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28800" windowHeight="12300" tabRatio="954" firstSheet="1" activeTab="1"/>
  </bookViews>
  <sheets>
    <sheet name="Copyright" sheetId="105" r:id="rId1"/>
    <sheet name="Notes" sheetId="38" r:id="rId2"/>
    <sheet name="SqMiles" sheetId="93" state="hidden" r:id="rId3"/>
    <sheet name="Assumptions" sheetId="142" r:id="rId4"/>
    <sheet name="Weights" sheetId="247" state="hidden" r:id="rId5"/>
    <sheet name="Ch41 Calc Data" sheetId="74" state="hidden" r:id="rId6"/>
    <sheet name="SOF1718-HB3646" sheetId="398" state="hidden" r:id="rId7"/>
    <sheet name="SOF1819-HB3646" sheetId="400" state="hidden" r:id="rId8"/>
    <sheet name="DE1" sheetId="49" state="hidden" r:id="rId9"/>
    <sheet name="Weights-HB3" sheetId="466" r:id="rId10"/>
    <sheet name="Data Entry - SOF" sheetId="1" r:id="rId11"/>
    <sheet name="Option Costs" sheetId="168" state="hidden" r:id="rId12"/>
    <sheet name="Option Costs-Transition" sheetId="477" state="hidden" r:id="rId13"/>
    <sheet name="Existing Debt-HB3" sheetId="483" state="hidden" r:id="rId14"/>
    <sheet name="IFA_Limits" sheetId="391" r:id="rId15"/>
    <sheet name="Report-SOF1819" sheetId="301" r:id="rId16"/>
    <sheet name="Report-SOF1920-HB3" sheetId="316" r:id="rId17"/>
    <sheet name="Report-SOF2021-HB3" sheetId="495" r:id="rId18"/>
    <sheet name="Report-SOF2122-HB3" sheetId="496" r:id="rId19"/>
    <sheet name="Report-SOF2223-HB3" sheetId="497" r:id="rId20"/>
    <sheet name="Report-SOF2324-HB3" sheetId="498" r:id="rId21"/>
    <sheet name="Report-SOF-AllYears" sheetId="248" r:id="rId22"/>
    <sheet name="The30%" sheetId="487" r:id="rId23"/>
    <sheet name="HB3-RollbackRates" sheetId="467" r:id="rId24"/>
    <sheet name="SOF1920-HB3" sheetId="315" r:id="rId25"/>
    <sheet name="SOF2021-HB3" sheetId="478" r:id="rId26"/>
    <sheet name="SOF2122-HB3" sheetId="481" r:id="rId27"/>
    <sheet name="SOF2223-HB3" sheetId="489" r:id="rId28"/>
    <sheet name="SOF2324-HB3" sheetId="490" r:id="rId29"/>
    <sheet name="Report-SOF2021" sheetId="371" state="hidden" r:id="rId30"/>
    <sheet name="Report-SOF2122" sheetId="408" state="hidden" r:id="rId31"/>
    <sheet name="Report-SOF2223" sheetId="424" state="hidden" r:id="rId32"/>
    <sheet name="Report-SOF2324" sheetId="444" state="hidden" r:id="rId33"/>
    <sheet name="RateToMaintain1920" sheetId="106" r:id="rId34"/>
    <sheet name="Notice1920" sheetId="107" r:id="rId35"/>
    <sheet name="Calc Data" sheetId="167" state="hidden" r:id="rId36"/>
    <sheet name="DistCharter-Data1819" sheetId="491" r:id="rId37"/>
    <sheet name="DistCharter-Funding1819" sheetId="492" r:id="rId38"/>
    <sheet name="DistCharter-Data1920" sheetId="460" r:id="rId39"/>
    <sheet name="DistCharter-Funding1920" sheetId="486" r:id="rId40"/>
    <sheet name="SOF1819-SB1" sheetId="302" state="hidden" r:id="rId41"/>
    <sheet name="HH1819-Calcs" sheetId="361" r:id="rId42"/>
    <sheet name="Calc Data-15K" sheetId="393" state="hidden" r:id="rId43"/>
    <sheet name="Notice Calc1920" sheetId="109" state="hidden" r:id="rId44"/>
    <sheet name="HH1920-Calcs" sheetId="363" r:id="rId45"/>
    <sheet name="IFA-OldLaw" sheetId="60" state="hidden" r:id="rId46"/>
    <sheet name="ASATR" sheetId="184" state="hidden" r:id="rId47"/>
    <sheet name="Option Costs-HH-15K" sheetId="389" state="hidden" r:id="rId48"/>
    <sheet name="Option Costs-HH" sheetId="388" state="hidden" r:id="rId49"/>
    <sheet name="FracFunding1718" sheetId="359" state="hidden" r:id="rId50"/>
    <sheet name="Report-SOF1718" sheetId="281" state="hidden" r:id="rId51"/>
    <sheet name="HH1718-Calcs" sheetId="360" state="hidden" r:id="rId52"/>
    <sheet name="FracFunding1819" sheetId="364" state="hidden" r:id="rId53"/>
    <sheet name="SOF1718-SB1" sheetId="280" state="hidden" r:id="rId54"/>
    <sheet name="SOF2021-SB1" sheetId="369" state="hidden" r:id="rId55"/>
    <sheet name="Existing Debt-OldLaw" sheetId="2" state="hidden" r:id="rId56"/>
    <sheet name="HH2021-Calcs" sheetId="372" r:id="rId57"/>
    <sheet name="HH2122-Calcs" sheetId="409" r:id="rId58"/>
    <sheet name="HH2223-Calcs" sheetId="423" r:id="rId59"/>
    <sheet name="HH2324-Calcs" sheetId="443" r:id="rId60"/>
    <sheet name="SOF2122-SB1" sheetId="410" state="hidden" r:id="rId61"/>
    <sheet name="SOF2223-SB1" sheetId="422" state="hidden" r:id="rId62"/>
    <sheet name="SOF2324-SB1" sheetId="441" state="hidden" r:id="rId63"/>
    <sheet name="FracFunding1920" sheetId="368" state="hidden" r:id="rId64"/>
    <sheet name="FracFunding2021" sheetId="384" state="hidden" r:id="rId65"/>
    <sheet name="FracFunding2122" sheetId="407" state="hidden" r:id="rId66"/>
    <sheet name="FracFunding2223" sheetId="426" state="hidden" r:id="rId67"/>
    <sheet name="FracFunding2324" sheetId="442" state="hidden" r:id="rId68"/>
    <sheet name="Data - Notice1920" sheetId="108" state="hidden" r:id="rId69"/>
    <sheet name="Comparisons" sheetId="173" state="hidden" r:id="rId70"/>
    <sheet name="GraphData" sheetId="176" state="hidden" r:id="rId71"/>
    <sheet name="Graphs" sheetId="177" state="hidden" r:id="rId72"/>
    <sheet name="Report-Calculations" sheetId="227" r:id="rId73"/>
    <sheet name="Report-Recapture1718" sheetId="291" state="hidden" r:id="rId74"/>
    <sheet name="Report-Recapture1819" sheetId="303" state="hidden" r:id="rId75"/>
    <sheet name="Report-Recapture1920" sheetId="327" state="hidden" r:id="rId76"/>
    <sheet name="Report-Recapture2021" sheetId="383" state="hidden" r:id="rId77"/>
    <sheet name="Report-Recapture2122" sheetId="411" state="hidden" r:id="rId78"/>
    <sheet name="Report-Recapture2223" sheetId="425" state="hidden" r:id="rId79"/>
    <sheet name="Report-Recapture2324" sheetId="447" state="hidden" r:id="rId80"/>
    <sheet name="Sheet5" sheetId="236" r:id="rId81"/>
    <sheet name="Sheet4" sheetId="235" r:id="rId82"/>
    <sheet name="Sheet3" sheetId="234" r:id="rId83"/>
    <sheet name="Sheet7" sheetId="238" r:id="rId84"/>
    <sheet name="Sheet6" sheetId="237" r:id="rId85"/>
    <sheet name="Sheet9" sheetId="240" r:id="rId86"/>
    <sheet name="Sheet8" sheetId="239" r:id="rId87"/>
    <sheet name="Sheet2" sheetId="233" r:id="rId88"/>
    <sheet name="Report-SpEd1819" sheetId="304" r:id="rId89"/>
    <sheet name="Report-M&amp;O1819" sheetId="305" r:id="rId90"/>
    <sheet name="Report-AA1819" sheetId="306" r:id="rId91"/>
    <sheet name="Report-T1Detail1819" sheetId="307" r:id="rId92"/>
    <sheet name="Report-T2Detail1819" sheetId="308" r:id="rId93"/>
    <sheet name="Report-ASATR1819" sheetId="314" r:id="rId94"/>
    <sheet name="Report-Other1819" sheetId="309" r:id="rId95"/>
    <sheet name="Report-EDA1819" sheetId="310" r:id="rId96"/>
    <sheet name="Report-IFA1819" sheetId="311" r:id="rId97"/>
    <sheet name="Report-FSF1819" sheetId="312" r:id="rId98"/>
    <sheet name="Report-SpEd1920" sheetId="317" r:id="rId99"/>
    <sheet name="Report-M&amp;O1920" sheetId="318" r:id="rId100"/>
    <sheet name="Report-AA1920" sheetId="319" r:id="rId101"/>
    <sheet name="Report-T1Detail1920" sheetId="320" r:id="rId102"/>
    <sheet name="Report-T2Detail1920" sheetId="321" r:id="rId103"/>
    <sheet name="Report-Other1920" sheetId="323" r:id="rId104"/>
    <sheet name="Report-ASATR1920" sheetId="322" r:id="rId105"/>
    <sheet name="Report-EDA1920" sheetId="324" r:id="rId106"/>
    <sheet name="IFA-HB3" sheetId="482" state="hidden" r:id="rId107"/>
    <sheet name="Report-IFA1920" sheetId="325" r:id="rId108"/>
    <sheet name="Report-FSF1920" sheetId="326" r:id="rId109"/>
    <sheet name="Report-SpEd2021" sheetId="375" r:id="rId110"/>
    <sheet name="Report-M&amp;O2021" sheetId="376" r:id="rId111"/>
    <sheet name="Report-AA2021" sheetId="377" r:id="rId112"/>
    <sheet name="Report-T1Detail2021" sheetId="378" r:id="rId113"/>
    <sheet name="Report-T2Detail2021" sheetId="379" r:id="rId114"/>
    <sheet name="Report-ASATR2021" sheetId="380" r:id="rId115"/>
    <sheet name="Report-Other2021" sheetId="381" r:id="rId116"/>
    <sheet name="Report-EDA2021" sheetId="373" r:id="rId117"/>
    <sheet name="Report-IFA2021" sheetId="374" r:id="rId118"/>
    <sheet name="Report-FSF2021" sheetId="382" r:id="rId119"/>
    <sheet name="Report-SpEd2122" sheetId="412" r:id="rId120"/>
    <sheet name="Report-M&amp;O2122" sheetId="413" r:id="rId121"/>
    <sheet name="Report-AA2122" sheetId="414" r:id="rId122"/>
    <sheet name="Report-T1Detail2122" sheetId="415" r:id="rId123"/>
    <sheet name="Report-T2Detail2122" sheetId="416" r:id="rId124"/>
    <sheet name="Report-ASATR2122" sheetId="417" r:id="rId125"/>
    <sheet name="Report-Other2122" sheetId="418" r:id="rId126"/>
    <sheet name="Report-EDA2122" sheetId="419" r:id="rId127"/>
    <sheet name="Report-IFA2122" sheetId="421" r:id="rId128"/>
    <sheet name="Report-FSF2122" sheetId="420" r:id="rId129"/>
    <sheet name="Report-SpEd2223" sheetId="427" r:id="rId130"/>
    <sheet name="Report-M&amp;O2223" sheetId="428" r:id="rId131"/>
    <sheet name="Report-AA2223" sheetId="429" r:id="rId132"/>
    <sheet name="Report-T1Detail2223" sheetId="430" r:id="rId133"/>
    <sheet name="Report-T2Detail2223" sheetId="431" r:id="rId134"/>
    <sheet name="Report-ASATR2223" sheetId="432" r:id="rId135"/>
    <sheet name="Report-Other2223" sheetId="433" r:id="rId136"/>
    <sheet name="Report-EDA2223" sheetId="434" r:id="rId137"/>
    <sheet name="Report-IFA2223" sheetId="435" r:id="rId138"/>
    <sheet name="Report-FSF2223" sheetId="436" r:id="rId139"/>
    <sheet name="Report-SpEd2324" sheetId="448" r:id="rId140"/>
    <sheet name="Report-M&amp;O2324" sheetId="449" r:id="rId141"/>
    <sheet name="Report-AA2324" sheetId="450" r:id="rId142"/>
    <sheet name="Report-T1Detail2324" sheetId="451" r:id="rId143"/>
    <sheet name="Report-T2Detail2324" sheetId="452" r:id="rId144"/>
    <sheet name="Report-ASATR2324" sheetId="453" r:id="rId145"/>
    <sheet name="Report-Other2324" sheetId="454" r:id="rId146"/>
    <sheet name="Report-EDA2324" sheetId="445" r:id="rId147"/>
    <sheet name="Report-IFA2324" sheetId="446" r:id="rId148"/>
    <sheet name="Report-FSF2324" sheetId="455" r:id="rId149"/>
    <sheet name="UnequalizedTaxes" sheetId="366" state="hidden" r:id="rId150"/>
    <sheet name="HardshipGrant" sheetId="406" state="hidden" r:id="rId151"/>
    <sheet name="Hardship-DPVAdj1819" sheetId="462" state="hidden" r:id="rId152"/>
    <sheet name="IFAData_TEA_1718" sheetId="456" state="hidden" r:id="rId153"/>
    <sheet name="IFAData_TEA_1819" sheetId="457" state="hidden" r:id="rId154"/>
    <sheet name="IFA_Limits1819" sheetId="458" state="hidden" r:id="rId155"/>
    <sheet name="HG-DPV-Data" sheetId="463" state="hidden" r:id="rId156"/>
    <sheet name="IFAData_TEA" sheetId="390" state="hidden" r:id="rId157"/>
    <sheet name="HH_debt1718" sheetId="438" state="hidden" r:id="rId158"/>
    <sheet name="HH_debt1819" sheetId="439" state="hidden" r:id="rId159"/>
    <sheet name="IFAData_TEA_1617" sheetId="405" state="hidden" r:id="rId160"/>
    <sheet name="TaxYr2015Values" sheetId="399" state="hidden" r:id="rId161"/>
    <sheet name="final0809" sheetId="182" state="hidden" r:id="rId162"/>
    <sheet name="staff-ada" sheetId="70" state="hidden" r:id="rId163"/>
    <sheet name="Data0809" sheetId="120" state="hidden" r:id="rId164"/>
    <sheet name="Data0910" sheetId="159" state="hidden" r:id="rId165"/>
    <sheet name="0506Data" sheetId="112" state="hidden" r:id="rId166"/>
    <sheet name="Data1415" sheetId="394" state="hidden" r:id="rId167"/>
    <sheet name="TaxYr2016ValuesFinal" sheetId="402" state="hidden" r:id="rId168"/>
    <sheet name="DeclineAdj" sheetId="403" state="hidden" r:id="rId169"/>
    <sheet name="Final_2017_Values" sheetId="440" state="hidden" r:id="rId170"/>
    <sheet name="Prelim_2018_Values" sheetId="464" state="hidden" r:id="rId171"/>
    <sheet name="Final_2018_Values" sheetId="493" r:id="rId172"/>
    <sheet name="CH49_Flag" sheetId="494" r:id="rId173"/>
    <sheet name="Concatenate" sheetId="298" state="hidden" r:id="rId174"/>
    <sheet name="Data1617" sheetId="459" state="hidden" r:id="rId175"/>
    <sheet name="Data1718" sheetId="480" state="hidden" r:id="rId176"/>
    <sheet name="FastGrowth" sheetId="479" state="hidden" r:id="rId177"/>
  </sheets>
  <definedNames>
    <definedName name="_MailAutoSig" localSheetId="10">'Data Entry - SOF'!$G$19</definedName>
    <definedName name="_xlnm.Print_Area" localSheetId="46">ASATR!$A$1:$D$47</definedName>
    <definedName name="_xlnm.Print_Area" localSheetId="3">Assumptions!$A$115:$O$161</definedName>
    <definedName name="_xlnm.Print_Area" localSheetId="35" xml:space="preserve"> 'Calc Data'!$A$1:$K$45</definedName>
    <definedName name="_xlnm.Print_Area" localSheetId="42" xml:space="preserve"> 'Calc Data-15K'!$A$1:$I$45</definedName>
    <definedName name="_xlnm.Print_Area" localSheetId="5">'Ch41 Calc Data'!$A$1:$E$10</definedName>
    <definedName name="_xlnm.Print_Area" localSheetId="68">'Data - Notice1920'!$A$1:$C$49</definedName>
    <definedName name="_xlnm.Print_Area" localSheetId="10">'Data Entry - SOF'!$A$1:$X$223</definedName>
    <definedName name="_xlnm.Print_Area" localSheetId="13">'Existing Debt-HB3'!$A$1:$F$175</definedName>
    <definedName name="_xlnm.Print_Area" localSheetId="55">'Existing Debt-OldLaw'!$A$1:$F$175</definedName>
    <definedName name="_xlnm.Print_Area" localSheetId="106">'IFA-HB3'!$A$1:$G$91</definedName>
    <definedName name="_xlnm.Print_Area" localSheetId="45">'IFA-OldLaw'!$A$1:$G$91</definedName>
    <definedName name="_xlnm.Print_Area" localSheetId="1">Notes!$A$212:$B$235</definedName>
    <definedName name="_xlnm.Print_Area" localSheetId="34">Notice1920!$A$1:$K$24</definedName>
    <definedName name="_xlnm.Print_Area" localSheetId="11">'Option Costs'!$A$1:$B$58</definedName>
    <definedName name="_xlnm.Print_Area" localSheetId="48">'Option Costs-HH'!$A$1:$B$58</definedName>
    <definedName name="_xlnm.Print_Area" localSheetId="47">'Option Costs-HH-15K'!$A$1:$B$58</definedName>
    <definedName name="_xlnm.Print_Area" localSheetId="12">'Option Costs-Transition'!$A$1:$B$58</definedName>
    <definedName name="_xlnm.Print_Area" localSheetId="33">RateToMaintain1920!$A$1:$F$104</definedName>
    <definedName name="_xlnm.Print_Area" localSheetId="72">'Report-Calculations'!$A$1:$C$47</definedName>
    <definedName name="_xlnm.Print_Area" localSheetId="73">'Report-Recapture1718'!$A$1:$E$154</definedName>
    <definedName name="_xlnm.Print_Area" localSheetId="50">'Report-SOF1718'!$A$1:$D$94</definedName>
    <definedName name="_xlnm.Print_Area" localSheetId="21">'Report-SOF-AllYears'!$A$1:$D$93</definedName>
    <definedName name="_xlnm.Print_Area" localSheetId="53">'SOF1718-SB1'!$A$1:$F$119</definedName>
    <definedName name="_xlnm.Print_Area" localSheetId="4">Weights!$A$1:$P$54</definedName>
    <definedName name="_xlnm.Print_Area" localSheetId="9">'Weights-HB3'!$A$2:$L$56</definedName>
    <definedName name="_xlnm.Print_Titles" localSheetId="13">'Existing Debt-HB3'!$1:$3</definedName>
    <definedName name="_xlnm.Print_Titles" localSheetId="55">'Existing Debt-OldLaw'!$1:$3</definedName>
    <definedName name="_xlnm.Print_Titles" localSheetId="106">'IFA-HB3'!$1:$3</definedName>
    <definedName name="_xlnm.Print_Titles" localSheetId="45">'IFA-OldLaw'!$1:$3</definedName>
    <definedName name="_xlnm.Print_Titles" localSheetId="11">'Option Costs'!$A:$B</definedName>
    <definedName name="_xlnm.Print_Titles" localSheetId="48">'Option Costs-HH'!$A:$B</definedName>
    <definedName name="_xlnm.Print_Titles" localSheetId="47">'Option Costs-HH-15K'!$A:$B</definedName>
    <definedName name="_xlnm.Print_Titles" localSheetId="12">'Option Costs-Transition'!$A:$B</definedName>
    <definedName name="_xlnm.Print_Titles" localSheetId="53">'SOF1718-SB1'!$1:$5</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36" i="1" l="1"/>
  <c r="Q136" i="1" s="1"/>
  <c r="S136" i="1" s="1"/>
  <c r="G123" i="142" l="1"/>
  <c r="I105" i="315" l="1"/>
  <c r="C12" i="326" l="1"/>
  <c r="C11" i="326"/>
  <c r="D17" i="324"/>
  <c r="D15" i="324"/>
  <c r="D13" i="323"/>
  <c r="D12" i="323"/>
  <c r="D11" i="323"/>
  <c r="B16" i="321"/>
  <c r="B14" i="321"/>
  <c r="E2" i="317"/>
  <c r="D2" i="320" s="1"/>
  <c r="E1" i="317"/>
  <c r="D1" i="320" s="1"/>
  <c r="C57" i="320"/>
  <c r="B57" i="320"/>
  <c r="C54" i="320"/>
  <c r="D54" i="320" s="1"/>
  <c r="C53" i="320"/>
  <c r="D53" i="320" s="1"/>
  <c r="C52" i="320"/>
  <c r="D52" i="320" s="1"/>
  <c r="B54" i="320"/>
  <c r="B53" i="320"/>
  <c r="B52" i="320"/>
  <c r="C50" i="320"/>
  <c r="B50" i="320"/>
  <c r="C48" i="320"/>
  <c r="B48" i="320"/>
  <c r="C45" i="320"/>
  <c r="C44" i="320"/>
  <c r="C43" i="320"/>
  <c r="B45" i="320"/>
  <c r="B44" i="320"/>
  <c r="B43" i="320"/>
  <c r="B38" i="320"/>
  <c r="B37" i="320"/>
  <c r="B36" i="320"/>
  <c r="B35" i="320"/>
  <c r="B34" i="320"/>
  <c r="B33" i="320"/>
  <c r="B32" i="320"/>
  <c r="B31" i="320"/>
  <c r="C38" i="320"/>
  <c r="C37" i="320"/>
  <c r="C36" i="320"/>
  <c r="C35" i="320"/>
  <c r="C34" i="320"/>
  <c r="C33" i="320"/>
  <c r="C32" i="320"/>
  <c r="C31" i="320"/>
  <c r="C23" i="320"/>
  <c r="C22" i="320"/>
  <c r="C19" i="320"/>
  <c r="C17" i="320"/>
  <c r="C16" i="320"/>
  <c r="C15" i="320"/>
  <c r="C14" i="320"/>
  <c r="K28" i="227"/>
  <c r="K27" i="227"/>
  <c r="K26" i="227"/>
  <c r="K36" i="227"/>
  <c r="J28" i="227"/>
  <c r="J27" i="227"/>
  <c r="J26" i="227"/>
  <c r="J36" i="227"/>
  <c r="I28" i="227"/>
  <c r="I27" i="227"/>
  <c r="I26" i="227"/>
  <c r="I36" i="227"/>
  <c r="H28" i="227"/>
  <c r="H27" i="227"/>
  <c r="H26" i="227"/>
  <c r="J96" i="248" l="1"/>
  <c r="J60" i="248"/>
  <c r="J56" i="248"/>
  <c r="J55" i="248"/>
  <c r="J54" i="248"/>
  <c r="J48" i="248"/>
  <c r="J47" i="248"/>
  <c r="J45" i="248"/>
  <c r="J33" i="248"/>
  <c r="I96" i="248"/>
  <c r="I56" i="248"/>
  <c r="I55" i="248"/>
  <c r="I54" i="248"/>
  <c r="I48" i="248"/>
  <c r="I47" i="248"/>
  <c r="I45" i="248"/>
  <c r="I33" i="248"/>
  <c r="H96" i="248"/>
  <c r="H60" i="248"/>
  <c r="H56" i="248"/>
  <c r="H55" i="248"/>
  <c r="H54" i="248"/>
  <c r="H48" i="248"/>
  <c r="H47" i="248"/>
  <c r="H45" i="248"/>
  <c r="H33" i="248"/>
  <c r="G96" i="248"/>
  <c r="G56" i="248"/>
  <c r="G55" i="248"/>
  <c r="G54" i="248"/>
  <c r="G48" i="248"/>
  <c r="G47" i="248"/>
  <c r="G45" i="248"/>
  <c r="G33" i="248"/>
  <c r="F14" i="248"/>
  <c r="D95" i="498" l="1"/>
  <c r="I102" i="490"/>
  <c r="D32" i="498"/>
  <c r="E32" i="498" s="1"/>
  <c r="D26" i="498"/>
  <c r="J27" i="248" s="1"/>
  <c r="D25" i="498"/>
  <c r="J26" i="248" s="1"/>
  <c r="E24" i="498"/>
  <c r="D24" i="498"/>
  <c r="D21" i="498"/>
  <c r="J22" i="248" s="1"/>
  <c r="D17" i="498"/>
  <c r="J18" i="248" s="1"/>
  <c r="E74" i="498"/>
  <c r="D59" i="498"/>
  <c r="D55" i="498"/>
  <c r="D54" i="498"/>
  <c r="D47" i="498"/>
  <c r="D46" i="498"/>
  <c r="E40" i="498"/>
  <c r="D20" i="498"/>
  <c r="J21" i="248" s="1"/>
  <c r="A6" i="498"/>
  <c r="D2" i="498"/>
  <c r="D1" i="498"/>
  <c r="D32" i="497"/>
  <c r="E32" i="497" s="1"/>
  <c r="E74" i="497"/>
  <c r="E67" i="497"/>
  <c r="D55" i="497"/>
  <c r="D54" i="497"/>
  <c r="D47" i="497"/>
  <c r="D46" i="497"/>
  <c r="E40" i="497"/>
  <c r="D26" i="497"/>
  <c r="D25" i="497"/>
  <c r="I26" i="248" s="1"/>
  <c r="E24" i="497"/>
  <c r="D24" i="497"/>
  <c r="I25" i="248" s="1"/>
  <c r="D21" i="497"/>
  <c r="I22" i="248" s="1"/>
  <c r="D17" i="497"/>
  <c r="I18" i="248" s="1"/>
  <c r="I102" i="489"/>
  <c r="D20" i="497"/>
  <c r="I21" i="248" s="1"/>
  <c r="A6" i="497"/>
  <c r="D2" i="497"/>
  <c r="D1" i="497"/>
  <c r="D95" i="496"/>
  <c r="I102" i="481"/>
  <c r="D32" i="496"/>
  <c r="E32" i="496" s="1"/>
  <c r="D26" i="496"/>
  <c r="H27" i="248" s="1"/>
  <c r="D25" i="496"/>
  <c r="H26" i="248" s="1"/>
  <c r="E24" i="496"/>
  <c r="D24" i="496"/>
  <c r="H25" i="248" s="1"/>
  <c r="D21" i="496"/>
  <c r="H22" i="248" s="1"/>
  <c r="D17" i="496"/>
  <c r="H18" i="248" s="1"/>
  <c r="E74" i="496"/>
  <c r="E67" i="496"/>
  <c r="D59" i="496"/>
  <c r="D55" i="496"/>
  <c r="D54" i="496"/>
  <c r="D47" i="496"/>
  <c r="D46" i="496"/>
  <c r="E40" i="496"/>
  <c r="D20" i="496"/>
  <c r="H21" i="248" s="1"/>
  <c r="A6" i="496"/>
  <c r="D2" i="496"/>
  <c r="D1" i="496"/>
  <c r="E26" i="498" l="1"/>
  <c r="E26" i="497"/>
  <c r="I27" i="248"/>
  <c r="E26" i="496"/>
  <c r="D27" i="498"/>
  <c r="J28" i="248" s="1"/>
  <c r="J25" i="248"/>
  <c r="D27" i="496"/>
  <c r="H28" i="248" s="1"/>
  <c r="D95" i="497"/>
  <c r="D27" i="497"/>
  <c r="I28" i="248" s="1"/>
  <c r="D95" i="495"/>
  <c r="I102" i="478"/>
  <c r="D32" i="495"/>
  <c r="E32" i="495" s="1"/>
  <c r="D31" i="495"/>
  <c r="G32" i="248" s="1"/>
  <c r="E74" i="495"/>
  <c r="E68" i="495"/>
  <c r="E62" i="495"/>
  <c r="E59" i="495"/>
  <c r="D55" i="495"/>
  <c r="D54" i="495"/>
  <c r="D47" i="495"/>
  <c r="D46" i="495"/>
  <c r="E40" i="495"/>
  <c r="D26" i="495"/>
  <c r="D25" i="495"/>
  <c r="G26" i="248" s="1"/>
  <c r="E24" i="495"/>
  <c r="D24" i="495"/>
  <c r="G25" i="248" s="1"/>
  <c r="D21" i="495"/>
  <c r="G22" i="248" s="1"/>
  <c r="D17" i="495"/>
  <c r="G18" i="248" s="1"/>
  <c r="D20" i="495"/>
  <c r="G21" i="248" s="1"/>
  <c r="A6" i="495"/>
  <c r="D2" i="495"/>
  <c r="D1" i="495"/>
  <c r="E26" i="495" l="1"/>
  <c r="G27" i="248"/>
  <c r="D27" i="495"/>
  <c r="G28" i="248" s="1"/>
  <c r="D95" i="316"/>
  <c r="F96" i="248" s="1"/>
  <c r="I102" i="315"/>
  <c r="D17" i="309"/>
  <c r="D23" i="316"/>
  <c r="F24" i="248" s="1"/>
  <c r="I28" i="315"/>
  <c r="I34" i="315"/>
  <c r="D56" i="316" s="1"/>
  <c r="F57" i="248" s="1"/>
  <c r="K114" i="1"/>
  <c r="K113" i="1"/>
  <c r="D55" i="316"/>
  <c r="D54" i="316"/>
  <c r="D31" i="316"/>
  <c r="F32" i="248" s="1"/>
  <c r="D19" i="320" l="1"/>
  <c r="G29" i="227"/>
  <c r="G26" i="227"/>
  <c r="F55" i="248"/>
  <c r="G27" i="227"/>
  <c r="F56" i="248"/>
  <c r="D25" i="316"/>
  <c r="F26" i="248" s="1"/>
  <c r="D20" i="316"/>
  <c r="F21" i="248" s="1"/>
  <c r="D21" i="316"/>
  <c r="F22" i="248" s="1"/>
  <c r="D17" i="316"/>
  <c r="F18" i="248" s="1"/>
  <c r="K152" i="466" l="1"/>
  <c r="J152" i="466"/>
  <c r="I152" i="466"/>
  <c r="H152" i="466"/>
  <c r="J2" i="248" l="1"/>
  <c r="D2" i="444"/>
  <c r="D1" i="444"/>
  <c r="J1" i="248" s="1"/>
  <c r="D2" i="424"/>
  <c r="D1" i="424"/>
  <c r="D2" i="408"/>
  <c r="D1" i="408"/>
  <c r="D2" i="371"/>
  <c r="D1" i="371"/>
  <c r="AG144" i="388"/>
  <c r="AG103" i="388" s="1"/>
  <c r="AC144" i="388"/>
  <c r="AC103" i="388" s="1"/>
  <c r="AG137" i="388"/>
  <c r="AG83" i="388" s="1"/>
  <c r="AC137" i="388"/>
  <c r="AC83" i="388" s="1"/>
  <c r="AG130" i="388"/>
  <c r="AG52" i="388" s="1"/>
  <c r="AC130" i="388"/>
  <c r="AC52" i="388" s="1"/>
  <c r="I30" i="315" l="1"/>
  <c r="D23" i="320" s="1"/>
  <c r="B1346" i="494" l="1"/>
  <c r="B1345" i="494"/>
  <c r="B1344" i="494"/>
  <c r="B1343" i="494"/>
  <c r="B1342" i="494"/>
  <c r="B1341" i="494"/>
  <c r="B1340" i="494"/>
  <c r="B1339" i="494"/>
  <c r="B1338" i="494"/>
  <c r="B1337" i="494"/>
  <c r="B1336" i="494"/>
  <c r="B1335" i="494"/>
  <c r="B1334" i="494"/>
  <c r="B1333" i="494"/>
  <c r="B1332" i="494"/>
  <c r="B1331" i="494"/>
  <c r="B1330" i="494"/>
  <c r="B1329" i="494"/>
  <c r="B1328" i="494"/>
  <c r="B1327" i="494"/>
  <c r="B1326" i="494"/>
  <c r="B1325" i="494"/>
  <c r="B1324" i="494"/>
  <c r="B1323" i="494"/>
  <c r="B1322" i="494"/>
  <c r="B1321" i="494"/>
  <c r="B1320" i="494"/>
  <c r="B1319" i="494"/>
  <c r="B1318" i="494"/>
  <c r="B1317" i="494"/>
  <c r="B1316" i="494"/>
  <c r="B1315" i="494"/>
  <c r="B1314" i="494"/>
  <c r="B1313" i="494"/>
  <c r="B1312" i="494"/>
  <c r="B1311" i="494"/>
  <c r="B1310" i="494"/>
  <c r="B1309" i="494"/>
  <c r="B1308" i="494"/>
  <c r="B1307" i="494"/>
  <c r="B1306" i="494"/>
  <c r="B1305" i="494"/>
  <c r="B1304" i="494"/>
  <c r="B1303" i="494"/>
  <c r="B1302" i="494"/>
  <c r="B1301" i="494"/>
  <c r="B1300" i="494"/>
  <c r="B1299" i="494"/>
  <c r="B1298" i="494"/>
  <c r="B1297" i="494"/>
  <c r="B1296" i="494"/>
  <c r="B1295" i="494"/>
  <c r="B1294" i="494"/>
  <c r="B1293" i="494"/>
  <c r="B1292" i="494"/>
  <c r="B1291" i="494"/>
  <c r="B1290" i="494"/>
  <c r="B1289" i="494"/>
  <c r="B1288" i="494"/>
  <c r="B1287" i="494"/>
  <c r="B1286" i="494"/>
  <c r="B1285" i="494"/>
  <c r="B1284" i="494"/>
  <c r="B1283" i="494"/>
  <c r="B1282" i="494"/>
  <c r="B1281" i="494"/>
  <c r="B1280" i="494"/>
  <c r="B1279" i="494"/>
  <c r="B1278" i="494"/>
  <c r="B1277" i="494"/>
  <c r="B1276" i="494"/>
  <c r="B1275" i="494"/>
  <c r="B1274" i="494"/>
  <c r="B1273" i="494"/>
  <c r="B1272" i="494"/>
  <c r="B1271" i="494"/>
  <c r="B1270" i="494"/>
  <c r="B1269" i="494"/>
  <c r="B1268" i="494"/>
  <c r="B1267" i="494"/>
  <c r="B1266" i="494"/>
  <c r="B1265" i="494"/>
  <c r="B1264" i="494"/>
  <c r="B1263" i="494"/>
  <c r="B1262" i="494"/>
  <c r="B1261" i="494"/>
  <c r="B1260" i="494"/>
  <c r="B1259" i="494"/>
  <c r="B1258" i="494"/>
  <c r="B1257" i="494"/>
  <c r="B1256" i="494"/>
  <c r="B1255" i="494"/>
  <c r="B1254" i="494"/>
  <c r="B1253" i="494"/>
  <c r="B1252" i="494"/>
  <c r="B1251" i="494"/>
  <c r="B1250" i="494"/>
  <c r="B1249" i="494"/>
  <c r="B1248" i="494"/>
  <c r="B1247" i="494"/>
  <c r="B1246" i="494"/>
  <c r="B1245" i="494"/>
  <c r="B1244" i="494"/>
  <c r="B1243" i="494"/>
  <c r="B1242" i="494"/>
  <c r="B1241" i="494"/>
  <c r="B1240" i="494"/>
  <c r="B1239" i="494"/>
  <c r="B1238" i="494"/>
  <c r="B1237" i="494"/>
  <c r="B1236" i="494"/>
  <c r="B1235" i="494"/>
  <c r="B1234" i="494"/>
  <c r="B1233" i="494"/>
  <c r="B1232" i="494"/>
  <c r="B1231" i="494"/>
  <c r="B1230" i="494"/>
  <c r="B1229" i="494"/>
  <c r="B1228" i="494"/>
  <c r="B1227" i="494"/>
  <c r="B1226" i="494"/>
  <c r="B1225" i="494"/>
  <c r="B1224" i="494"/>
  <c r="B1223" i="494"/>
  <c r="B1222" i="494"/>
  <c r="B1221" i="494"/>
  <c r="B1220" i="494"/>
  <c r="B1219" i="494"/>
  <c r="B1218" i="494"/>
  <c r="B1217" i="494"/>
  <c r="B1216" i="494"/>
  <c r="B1215" i="494"/>
  <c r="B1214" i="494"/>
  <c r="B1213" i="494"/>
  <c r="B1212" i="494"/>
  <c r="B1211" i="494"/>
  <c r="B1210" i="494"/>
  <c r="B1209" i="494"/>
  <c r="B1208" i="494"/>
  <c r="B1207" i="494"/>
  <c r="B1206" i="494"/>
  <c r="B1205" i="494"/>
  <c r="B1204" i="494"/>
  <c r="B1203" i="494"/>
  <c r="B1202" i="494"/>
  <c r="B1201" i="494"/>
  <c r="B1200" i="494"/>
  <c r="B1199" i="494"/>
  <c r="B1198" i="494"/>
  <c r="B1197" i="494"/>
  <c r="B1196" i="494"/>
  <c r="B1195" i="494"/>
  <c r="B1194" i="494"/>
  <c r="B1193" i="494"/>
  <c r="B1192" i="494"/>
  <c r="B1191" i="494"/>
  <c r="B1190" i="494"/>
  <c r="B1189" i="494"/>
  <c r="B1188" i="494"/>
  <c r="B1187" i="494"/>
  <c r="B1186" i="494"/>
  <c r="B1185" i="494"/>
  <c r="B1184" i="494"/>
  <c r="B1183" i="494"/>
  <c r="B1182" i="494"/>
  <c r="B1181" i="494"/>
  <c r="B1180" i="494"/>
  <c r="B1179" i="494"/>
  <c r="B1178" i="494"/>
  <c r="B1177" i="494"/>
  <c r="B1176" i="494"/>
  <c r="B1175" i="494"/>
  <c r="B1174" i="494"/>
  <c r="B1173" i="494"/>
  <c r="B1172" i="494"/>
  <c r="B1171" i="494"/>
  <c r="B1170" i="494"/>
  <c r="B1169" i="494"/>
  <c r="B1168" i="494"/>
  <c r="B1167" i="494"/>
  <c r="B1166" i="494"/>
  <c r="B1165" i="494"/>
  <c r="B1164" i="494"/>
  <c r="B1163" i="494"/>
  <c r="B1162" i="494"/>
  <c r="B1161" i="494"/>
  <c r="B1160" i="494"/>
  <c r="B1159" i="494"/>
  <c r="B1158" i="494"/>
  <c r="B1157" i="494"/>
  <c r="B1156" i="494"/>
  <c r="B1155" i="494"/>
  <c r="B1154" i="494"/>
  <c r="B1153" i="494"/>
  <c r="B1152" i="494"/>
  <c r="B1151" i="494"/>
  <c r="B1150" i="494"/>
  <c r="B1149" i="494"/>
  <c r="B1148" i="494"/>
  <c r="B1147" i="494"/>
  <c r="B1146" i="494"/>
  <c r="B1145" i="494"/>
  <c r="B1144" i="494"/>
  <c r="B1143" i="494"/>
  <c r="B1142" i="494"/>
  <c r="B1141" i="494"/>
  <c r="B1140" i="494"/>
  <c r="B1139" i="494"/>
  <c r="B1138" i="494"/>
  <c r="B1137" i="494"/>
  <c r="B1136" i="494"/>
  <c r="B1135" i="494"/>
  <c r="B1134" i="494"/>
  <c r="B1133" i="494"/>
  <c r="B1132" i="494"/>
  <c r="B1131" i="494"/>
  <c r="B1130" i="494"/>
  <c r="B1129" i="494"/>
  <c r="B1128" i="494"/>
  <c r="B1127" i="494"/>
  <c r="B1126" i="494"/>
  <c r="B1125" i="494"/>
  <c r="B1124" i="494"/>
  <c r="B1123" i="494"/>
  <c r="B1122" i="494"/>
  <c r="B1121" i="494"/>
  <c r="B1120" i="494"/>
  <c r="B1119" i="494"/>
  <c r="B1118" i="494"/>
  <c r="B1117" i="494"/>
  <c r="B1116" i="494"/>
  <c r="B1115" i="494"/>
  <c r="B1114" i="494"/>
  <c r="B1113" i="494"/>
  <c r="B1112" i="494"/>
  <c r="B1111" i="494"/>
  <c r="B1110" i="494"/>
  <c r="B1109" i="494"/>
  <c r="B1108" i="494"/>
  <c r="B1107" i="494"/>
  <c r="B1106" i="494"/>
  <c r="B1105" i="494"/>
  <c r="B1104" i="494"/>
  <c r="B1103" i="494"/>
  <c r="B1102" i="494"/>
  <c r="B1101" i="494"/>
  <c r="B1100" i="494"/>
  <c r="B1099" i="494"/>
  <c r="B1098" i="494"/>
  <c r="B1097" i="494"/>
  <c r="B1096" i="494"/>
  <c r="B1095" i="494"/>
  <c r="B1094" i="494"/>
  <c r="B1093" i="494"/>
  <c r="B1092" i="494"/>
  <c r="B1091" i="494"/>
  <c r="B1090" i="494"/>
  <c r="B1089" i="494"/>
  <c r="B1088" i="494"/>
  <c r="B1087" i="494"/>
  <c r="B1086" i="494"/>
  <c r="B1085" i="494"/>
  <c r="B1084" i="494"/>
  <c r="B1083" i="494"/>
  <c r="B1082" i="494"/>
  <c r="B1081" i="494"/>
  <c r="B1080" i="494"/>
  <c r="B1079" i="494"/>
  <c r="B1078" i="494"/>
  <c r="B1077" i="494"/>
  <c r="B1076" i="494"/>
  <c r="B1075" i="494"/>
  <c r="B1074" i="494"/>
  <c r="B1073" i="494"/>
  <c r="B1072" i="494"/>
  <c r="B1071" i="494"/>
  <c r="B1070" i="494"/>
  <c r="B1069" i="494"/>
  <c r="B1068" i="494"/>
  <c r="B1067" i="494"/>
  <c r="B1066" i="494"/>
  <c r="B1065" i="494"/>
  <c r="B1064" i="494"/>
  <c r="B1063" i="494"/>
  <c r="B1062" i="494"/>
  <c r="B1061" i="494"/>
  <c r="B1060" i="494"/>
  <c r="B1059" i="494"/>
  <c r="B1058" i="494"/>
  <c r="B1057" i="494"/>
  <c r="B1056" i="494"/>
  <c r="B1055" i="494"/>
  <c r="B1054" i="494"/>
  <c r="B1053" i="494"/>
  <c r="B1052" i="494"/>
  <c r="B1051" i="494"/>
  <c r="B1050" i="494"/>
  <c r="B1049" i="494"/>
  <c r="B1048" i="494"/>
  <c r="B1047" i="494"/>
  <c r="B1046" i="494"/>
  <c r="B1045" i="494"/>
  <c r="B1044" i="494"/>
  <c r="B1043" i="494"/>
  <c r="B1042" i="494"/>
  <c r="B1041" i="494"/>
  <c r="B1040" i="494"/>
  <c r="B1039" i="494"/>
  <c r="B1038" i="494"/>
  <c r="B1037" i="494"/>
  <c r="B1036" i="494"/>
  <c r="B1035" i="494"/>
  <c r="B1034" i="494"/>
  <c r="B1033" i="494"/>
  <c r="B1032" i="494"/>
  <c r="B1031" i="494"/>
  <c r="B1030" i="494"/>
  <c r="B1029" i="494"/>
  <c r="B1028" i="494"/>
  <c r="B1027" i="494"/>
  <c r="B1026" i="494"/>
  <c r="B1025" i="494"/>
  <c r="B1024" i="494"/>
  <c r="B1023" i="494"/>
  <c r="B1022" i="494"/>
  <c r="B1021" i="494"/>
  <c r="B1020" i="494"/>
  <c r="B1019" i="494"/>
  <c r="B1018" i="494"/>
  <c r="B1017" i="494"/>
  <c r="B1016" i="494"/>
  <c r="B1015" i="494"/>
  <c r="B1014" i="494"/>
  <c r="B1013" i="494"/>
  <c r="B1012" i="494"/>
  <c r="B1011" i="494"/>
  <c r="B1010" i="494"/>
  <c r="B1009" i="494"/>
  <c r="B1008" i="494"/>
  <c r="B1007" i="494"/>
  <c r="B1006" i="494"/>
  <c r="B1005" i="494"/>
  <c r="B1004" i="494"/>
  <c r="B1003" i="494"/>
  <c r="B1002" i="494"/>
  <c r="B1001" i="494"/>
  <c r="B1000" i="494"/>
  <c r="B999" i="494"/>
  <c r="B998" i="494"/>
  <c r="B997" i="494"/>
  <c r="B996" i="494"/>
  <c r="B995" i="494"/>
  <c r="B994" i="494"/>
  <c r="B993" i="494"/>
  <c r="B992" i="494"/>
  <c r="B991" i="494"/>
  <c r="B990" i="494"/>
  <c r="B989" i="494"/>
  <c r="B988" i="494"/>
  <c r="B987" i="494"/>
  <c r="B986" i="494"/>
  <c r="B985" i="494"/>
  <c r="B984" i="494"/>
  <c r="B983" i="494"/>
  <c r="B982" i="494"/>
  <c r="B981" i="494"/>
  <c r="B980" i="494"/>
  <c r="B979" i="494"/>
  <c r="B978" i="494"/>
  <c r="B977" i="494"/>
  <c r="B976" i="494"/>
  <c r="B975" i="494"/>
  <c r="B974" i="494"/>
  <c r="B973" i="494"/>
  <c r="B972" i="494"/>
  <c r="B971" i="494"/>
  <c r="B970" i="494"/>
  <c r="B969" i="494"/>
  <c r="B968" i="494"/>
  <c r="B967" i="494"/>
  <c r="B966" i="494"/>
  <c r="B965" i="494"/>
  <c r="B964" i="494"/>
  <c r="B963" i="494"/>
  <c r="B962" i="494"/>
  <c r="B961" i="494"/>
  <c r="B960" i="494"/>
  <c r="B959" i="494"/>
  <c r="B958" i="494"/>
  <c r="B957" i="494"/>
  <c r="B956" i="494"/>
  <c r="B955" i="494"/>
  <c r="B954" i="494"/>
  <c r="B953" i="494"/>
  <c r="B952" i="494"/>
  <c r="B951" i="494"/>
  <c r="B950" i="494"/>
  <c r="B949" i="494"/>
  <c r="B948" i="494"/>
  <c r="B947" i="494"/>
  <c r="B946" i="494"/>
  <c r="B945" i="494"/>
  <c r="B944" i="494"/>
  <c r="B943" i="494"/>
  <c r="B942" i="494"/>
  <c r="B941" i="494"/>
  <c r="B940" i="494"/>
  <c r="B939" i="494"/>
  <c r="B938" i="494"/>
  <c r="B937" i="494"/>
  <c r="B936" i="494"/>
  <c r="B935" i="494"/>
  <c r="B934" i="494"/>
  <c r="B933" i="494"/>
  <c r="B932" i="494"/>
  <c r="B931" i="494"/>
  <c r="B930" i="494"/>
  <c r="B929" i="494"/>
  <c r="B928" i="494"/>
  <c r="B927" i="494"/>
  <c r="B926" i="494"/>
  <c r="B925" i="494"/>
  <c r="B924" i="494"/>
  <c r="B923" i="494"/>
  <c r="B922" i="494"/>
  <c r="B921" i="494"/>
  <c r="B920" i="494"/>
  <c r="B919" i="494"/>
  <c r="B918" i="494"/>
  <c r="B917" i="494"/>
  <c r="B916" i="494"/>
  <c r="B915" i="494"/>
  <c r="B914" i="494"/>
  <c r="B913" i="494"/>
  <c r="B912" i="494"/>
  <c r="B911" i="494"/>
  <c r="B910" i="494"/>
  <c r="B909" i="494"/>
  <c r="B908" i="494"/>
  <c r="B907" i="494"/>
  <c r="B906" i="494"/>
  <c r="B905" i="494"/>
  <c r="B904" i="494"/>
  <c r="B903" i="494"/>
  <c r="B902" i="494"/>
  <c r="B901" i="494"/>
  <c r="B900" i="494"/>
  <c r="B899" i="494"/>
  <c r="B898" i="494"/>
  <c r="B897" i="494"/>
  <c r="B896" i="494"/>
  <c r="B895" i="494"/>
  <c r="B894" i="494"/>
  <c r="B893" i="494"/>
  <c r="B892" i="494"/>
  <c r="B891" i="494"/>
  <c r="B890" i="494"/>
  <c r="B889" i="494"/>
  <c r="B888" i="494"/>
  <c r="B887" i="494"/>
  <c r="B886" i="494"/>
  <c r="B885" i="494"/>
  <c r="B884" i="494"/>
  <c r="B883" i="494"/>
  <c r="B882" i="494"/>
  <c r="B881" i="494"/>
  <c r="B880" i="494"/>
  <c r="B879" i="494"/>
  <c r="B878" i="494"/>
  <c r="B877" i="494"/>
  <c r="B876" i="494"/>
  <c r="B875" i="494"/>
  <c r="B874" i="494"/>
  <c r="B873" i="494"/>
  <c r="B872" i="494"/>
  <c r="B871" i="494"/>
  <c r="B870" i="494"/>
  <c r="B869" i="494"/>
  <c r="B868" i="494"/>
  <c r="B867" i="494"/>
  <c r="B866" i="494"/>
  <c r="B865" i="494"/>
  <c r="B864" i="494"/>
  <c r="B863" i="494"/>
  <c r="B862" i="494"/>
  <c r="B861" i="494"/>
  <c r="B860" i="494"/>
  <c r="B859" i="494"/>
  <c r="B858" i="494"/>
  <c r="B857" i="494"/>
  <c r="B856" i="494"/>
  <c r="B855" i="494"/>
  <c r="B854" i="494"/>
  <c r="B853" i="494"/>
  <c r="B852" i="494"/>
  <c r="B851" i="494"/>
  <c r="B850" i="494"/>
  <c r="B849" i="494"/>
  <c r="B848" i="494"/>
  <c r="B847" i="494"/>
  <c r="B846" i="494"/>
  <c r="B845" i="494"/>
  <c r="B844" i="494"/>
  <c r="B843" i="494"/>
  <c r="B842" i="494"/>
  <c r="B841" i="494"/>
  <c r="B840" i="494"/>
  <c r="B839" i="494"/>
  <c r="B838" i="494"/>
  <c r="B837" i="494"/>
  <c r="B836" i="494"/>
  <c r="B835" i="494"/>
  <c r="B834" i="494"/>
  <c r="B833" i="494"/>
  <c r="B832" i="494"/>
  <c r="B831" i="494"/>
  <c r="B830" i="494"/>
  <c r="B829" i="494"/>
  <c r="B828" i="494"/>
  <c r="B827" i="494"/>
  <c r="B826" i="494"/>
  <c r="B825" i="494"/>
  <c r="B824" i="494"/>
  <c r="B823" i="494"/>
  <c r="B822" i="494"/>
  <c r="B821" i="494"/>
  <c r="B820" i="494"/>
  <c r="B819" i="494"/>
  <c r="B818" i="494"/>
  <c r="B817" i="494"/>
  <c r="B816" i="494"/>
  <c r="B815" i="494"/>
  <c r="B814" i="494"/>
  <c r="B813" i="494"/>
  <c r="B812" i="494"/>
  <c r="B811" i="494"/>
  <c r="B810" i="494"/>
  <c r="B809" i="494"/>
  <c r="B808" i="494"/>
  <c r="B807" i="494"/>
  <c r="B806" i="494"/>
  <c r="B805" i="494"/>
  <c r="B804" i="494"/>
  <c r="B803" i="494"/>
  <c r="B802" i="494"/>
  <c r="B801" i="494"/>
  <c r="B800" i="494"/>
  <c r="B799" i="494"/>
  <c r="B798" i="494"/>
  <c r="B797" i="494"/>
  <c r="B796" i="494"/>
  <c r="B795" i="494"/>
  <c r="B794" i="494"/>
  <c r="B793" i="494"/>
  <c r="B792" i="494"/>
  <c r="B791" i="494"/>
  <c r="B790" i="494"/>
  <c r="B789" i="494"/>
  <c r="B788" i="494"/>
  <c r="B787" i="494"/>
  <c r="B786" i="494"/>
  <c r="B785" i="494"/>
  <c r="B784" i="494"/>
  <c r="B783" i="494"/>
  <c r="B782" i="494"/>
  <c r="B781" i="494"/>
  <c r="B780" i="494"/>
  <c r="B779" i="494"/>
  <c r="B778" i="494"/>
  <c r="B777" i="494"/>
  <c r="B776" i="494"/>
  <c r="B775" i="494"/>
  <c r="B774" i="494"/>
  <c r="B773" i="494"/>
  <c r="B772" i="494"/>
  <c r="B771" i="494"/>
  <c r="B770" i="494"/>
  <c r="B769" i="494"/>
  <c r="B768" i="494"/>
  <c r="B767" i="494"/>
  <c r="B766" i="494"/>
  <c r="B765" i="494"/>
  <c r="B764" i="494"/>
  <c r="B763" i="494"/>
  <c r="B762" i="494"/>
  <c r="B761" i="494"/>
  <c r="B760" i="494"/>
  <c r="B759" i="494"/>
  <c r="B758" i="494"/>
  <c r="B757" i="494"/>
  <c r="B756" i="494"/>
  <c r="B755" i="494"/>
  <c r="B754" i="494"/>
  <c r="B753" i="494"/>
  <c r="B752" i="494"/>
  <c r="B751" i="494"/>
  <c r="B750" i="494"/>
  <c r="B749" i="494"/>
  <c r="B748" i="494"/>
  <c r="B747" i="494"/>
  <c r="B746" i="494"/>
  <c r="B745" i="494"/>
  <c r="B744" i="494"/>
  <c r="B743" i="494"/>
  <c r="B742" i="494"/>
  <c r="B741" i="494"/>
  <c r="B740" i="494"/>
  <c r="B739" i="494"/>
  <c r="B738" i="494"/>
  <c r="B737" i="494"/>
  <c r="B736" i="494"/>
  <c r="B735" i="494"/>
  <c r="B734" i="494"/>
  <c r="B733" i="494"/>
  <c r="B732" i="494"/>
  <c r="B731" i="494"/>
  <c r="B730" i="494"/>
  <c r="B729" i="494"/>
  <c r="B728" i="494"/>
  <c r="B727" i="494"/>
  <c r="B726" i="494"/>
  <c r="B725" i="494"/>
  <c r="B724" i="494"/>
  <c r="B723" i="494"/>
  <c r="B722" i="494"/>
  <c r="B721" i="494"/>
  <c r="B720" i="494"/>
  <c r="B719" i="494"/>
  <c r="B718" i="494"/>
  <c r="B717" i="494"/>
  <c r="B716" i="494"/>
  <c r="B715" i="494"/>
  <c r="B714" i="494"/>
  <c r="B713" i="494"/>
  <c r="B712" i="494"/>
  <c r="B711" i="494"/>
  <c r="B710" i="494"/>
  <c r="B709" i="494"/>
  <c r="B708" i="494"/>
  <c r="B707" i="494"/>
  <c r="B706" i="494"/>
  <c r="B705" i="494"/>
  <c r="B704" i="494"/>
  <c r="B703" i="494"/>
  <c r="B702" i="494"/>
  <c r="B701" i="494"/>
  <c r="B700" i="494"/>
  <c r="B699" i="494"/>
  <c r="B698" i="494"/>
  <c r="B697" i="494"/>
  <c r="B696" i="494"/>
  <c r="B695" i="494"/>
  <c r="B694" i="494"/>
  <c r="B693" i="494"/>
  <c r="B692" i="494"/>
  <c r="B691" i="494"/>
  <c r="B690" i="494"/>
  <c r="B689" i="494"/>
  <c r="B688" i="494"/>
  <c r="B687" i="494"/>
  <c r="B686" i="494"/>
  <c r="B685" i="494"/>
  <c r="B684" i="494"/>
  <c r="B683" i="494"/>
  <c r="B682" i="494"/>
  <c r="B681" i="494"/>
  <c r="B680" i="494"/>
  <c r="B679" i="494"/>
  <c r="B678" i="494"/>
  <c r="B677" i="494"/>
  <c r="B676" i="494"/>
  <c r="B675" i="494"/>
  <c r="B674" i="494"/>
  <c r="B673" i="494"/>
  <c r="B672" i="494"/>
  <c r="B671" i="494"/>
  <c r="B670" i="494"/>
  <c r="B669" i="494"/>
  <c r="B668" i="494"/>
  <c r="B667" i="494"/>
  <c r="B666" i="494"/>
  <c r="B665" i="494"/>
  <c r="B664" i="494"/>
  <c r="B663" i="494"/>
  <c r="B662" i="494"/>
  <c r="B661" i="494"/>
  <c r="B660" i="494"/>
  <c r="B659" i="494"/>
  <c r="B658" i="494"/>
  <c r="B657" i="494"/>
  <c r="B656" i="494"/>
  <c r="B655" i="494"/>
  <c r="B654" i="494"/>
  <c r="B653" i="494"/>
  <c r="B652" i="494"/>
  <c r="B651" i="494"/>
  <c r="B650" i="494"/>
  <c r="B649" i="494"/>
  <c r="B648" i="494"/>
  <c r="B647" i="494"/>
  <c r="B646" i="494"/>
  <c r="B645" i="494"/>
  <c r="B644" i="494"/>
  <c r="B643" i="494"/>
  <c r="B642" i="494"/>
  <c r="B641" i="494"/>
  <c r="B640" i="494"/>
  <c r="B639" i="494"/>
  <c r="B638" i="494"/>
  <c r="B637" i="494"/>
  <c r="B636" i="494"/>
  <c r="B635" i="494"/>
  <c r="B634" i="494"/>
  <c r="B633" i="494"/>
  <c r="B632" i="494"/>
  <c r="B631" i="494"/>
  <c r="B630" i="494"/>
  <c r="B629" i="494"/>
  <c r="B628" i="494"/>
  <c r="B627" i="494"/>
  <c r="B626" i="494"/>
  <c r="B625" i="494"/>
  <c r="B624" i="494"/>
  <c r="B623" i="494"/>
  <c r="B622" i="494"/>
  <c r="B621" i="494"/>
  <c r="B620" i="494"/>
  <c r="B619" i="494"/>
  <c r="B618" i="494"/>
  <c r="B617" i="494"/>
  <c r="B616" i="494"/>
  <c r="B615" i="494"/>
  <c r="B614" i="494"/>
  <c r="B613" i="494"/>
  <c r="B612" i="494"/>
  <c r="B611" i="494"/>
  <c r="B610" i="494"/>
  <c r="B609" i="494"/>
  <c r="B608" i="494"/>
  <c r="B607" i="494"/>
  <c r="B606" i="494"/>
  <c r="B605" i="494"/>
  <c r="B604" i="494"/>
  <c r="B603" i="494"/>
  <c r="B602" i="494"/>
  <c r="B601" i="494"/>
  <c r="B600" i="494"/>
  <c r="B599" i="494"/>
  <c r="B598" i="494"/>
  <c r="B597" i="494"/>
  <c r="B596" i="494"/>
  <c r="B595" i="494"/>
  <c r="B594" i="494"/>
  <c r="B593" i="494"/>
  <c r="B592" i="494"/>
  <c r="B591" i="494"/>
  <c r="B590" i="494"/>
  <c r="B589" i="494"/>
  <c r="B588" i="494"/>
  <c r="B587" i="494"/>
  <c r="B586" i="494"/>
  <c r="B585" i="494"/>
  <c r="B584" i="494"/>
  <c r="B583" i="494"/>
  <c r="B582" i="494"/>
  <c r="B581" i="494"/>
  <c r="B580" i="494"/>
  <c r="B579" i="494"/>
  <c r="B578" i="494"/>
  <c r="B577" i="494"/>
  <c r="B576" i="494"/>
  <c r="B575" i="494"/>
  <c r="B574" i="494"/>
  <c r="B573" i="494"/>
  <c r="B572" i="494"/>
  <c r="B571" i="494"/>
  <c r="B570" i="494"/>
  <c r="B569" i="494"/>
  <c r="B568" i="494"/>
  <c r="B567" i="494"/>
  <c r="B566" i="494"/>
  <c r="B565" i="494"/>
  <c r="B564" i="494"/>
  <c r="B563" i="494"/>
  <c r="B562" i="494"/>
  <c r="B561" i="494"/>
  <c r="B560" i="494"/>
  <c r="B559" i="494"/>
  <c r="B558" i="494"/>
  <c r="B557" i="494"/>
  <c r="B556" i="494"/>
  <c r="B555" i="494"/>
  <c r="B554" i="494"/>
  <c r="B553" i="494"/>
  <c r="B552" i="494"/>
  <c r="B551" i="494"/>
  <c r="B550" i="494"/>
  <c r="B549" i="494"/>
  <c r="B548" i="494"/>
  <c r="B547" i="494"/>
  <c r="B546" i="494"/>
  <c r="B545" i="494"/>
  <c r="B544" i="494"/>
  <c r="B543" i="494"/>
  <c r="B542" i="494"/>
  <c r="B541" i="494"/>
  <c r="B540" i="494"/>
  <c r="B539" i="494"/>
  <c r="B538" i="494"/>
  <c r="B537" i="494"/>
  <c r="B536" i="494"/>
  <c r="B535" i="494"/>
  <c r="B534" i="494"/>
  <c r="B533" i="494"/>
  <c r="B532" i="494"/>
  <c r="B531" i="494"/>
  <c r="B530" i="494"/>
  <c r="B529" i="494"/>
  <c r="B528" i="494"/>
  <c r="B527" i="494"/>
  <c r="B526" i="494"/>
  <c r="B525" i="494"/>
  <c r="B524" i="494"/>
  <c r="B523" i="494"/>
  <c r="B522" i="494"/>
  <c r="B521" i="494"/>
  <c r="B520" i="494"/>
  <c r="B519" i="494"/>
  <c r="B518" i="494"/>
  <c r="B517" i="494"/>
  <c r="B516" i="494"/>
  <c r="B515" i="494"/>
  <c r="B514" i="494"/>
  <c r="B513" i="494"/>
  <c r="B512" i="494"/>
  <c r="B511" i="494"/>
  <c r="B510" i="494"/>
  <c r="B509" i="494"/>
  <c r="B508" i="494"/>
  <c r="B507" i="494"/>
  <c r="B506" i="494"/>
  <c r="B505" i="494"/>
  <c r="B504" i="494"/>
  <c r="B503" i="494"/>
  <c r="B502" i="494"/>
  <c r="B501" i="494"/>
  <c r="B500" i="494"/>
  <c r="B499" i="494"/>
  <c r="B498" i="494"/>
  <c r="B497" i="494"/>
  <c r="B496" i="494"/>
  <c r="B495" i="494"/>
  <c r="B494" i="494"/>
  <c r="B493" i="494"/>
  <c r="B492" i="494"/>
  <c r="B491" i="494"/>
  <c r="B490" i="494"/>
  <c r="B489" i="494"/>
  <c r="B488" i="494"/>
  <c r="B487" i="494"/>
  <c r="B486" i="494"/>
  <c r="B485" i="494"/>
  <c r="B484" i="494"/>
  <c r="B483" i="494"/>
  <c r="B482" i="494"/>
  <c r="B481" i="494"/>
  <c r="B480" i="494"/>
  <c r="B479" i="494"/>
  <c r="B478" i="494"/>
  <c r="B477" i="494"/>
  <c r="B476" i="494"/>
  <c r="B475" i="494"/>
  <c r="B474" i="494"/>
  <c r="B473" i="494"/>
  <c r="B472" i="494"/>
  <c r="B471" i="494"/>
  <c r="B470" i="494"/>
  <c r="B469" i="494"/>
  <c r="B468" i="494"/>
  <c r="B467" i="494"/>
  <c r="B466" i="494"/>
  <c r="B465" i="494"/>
  <c r="B464" i="494"/>
  <c r="B463" i="494"/>
  <c r="B462" i="494"/>
  <c r="B461" i="494"/>
  <c r="B460" i="494"/>
  <c r="B459" i="494"/>
  <c r="B458" i="494"/>
  <c r="B457" i="494"/>
  <c r="B456" i="494"/>
  <c r="B455" i="494"/>
  <c r="B454" i="494"/>
  <c r="B453" i="494"/>
  <c r="B452" i="494"/>
  <c r="B451" i="494"/>
  <c r="B450" i="494"/>
  <c r="B449" i="494"/>
  <c r="B448" i="494"/>
  <c r="B447" i="494"/>
  <c r="B446" i="494"/>
  <c r="B445" i="494"/>
  <c r="B444" i="494"/>
  <c r="B443" i="494"/>
  <c r="B442" i="494"/>
  <c r="B441" i="494"/>
  <c r="B440" i="494"/>
  <c r="B439" i="494"/>
  <c r="B438" i="494"/>
  <c r="B437" i="494"/>
  <c r="B436" i="494"/>
  <c r="B435" i="494"/>
  <c r="B434" i="494"/>
  <c r="B433" i="494"/>
  <c r="B432" i="494"/>
  <c r="B431" i="494"/>
  <c r="B430" i="494"/>
  <c r="B429" i="494"/>
  <c r="B428" i="494"/>
  <c r="B427" i="494"/>
  <c r="B426" i="494"/>
  <c r="B425" i="494"/>
  <c r="B424" i="494"/>
  <c r="B423" i="494"/>
  <c r="B422" i="494"/>
  <c r="B421" i="494"/>
  <c r="B420" i="494"/>
  <c r="B419" i="494"/>
  <c r="B418" i="494"/>
  <c r="B417" i="494"/>
  <c r="B416" i="494"/>
  <c r="B415" i="494"/>
  <c r="B414" i="494"/>
  <c r="B413" i="494"/>
  <c r="B412" i="494"/>
  <c r="B411" i="494"/>
  <c r="B410" i="494"/>
  <c r="B409" i="494"/>
  <c r="B408" i="494"/>
  <c r="B407" i="494"/>
  <c r="B406" i="494"/>
  <c r="B405" i="494"/>
  <c r="B404" i="494"/>
  <c r="B403" i="494"/>
  <c r="B402" i="494"/>
  <c r="B401" i="494"/>
  <c r="B400" i="494"/>
  <c r="B399" i="494"/>
  <c r="B398" i="494"/>
  <c r="B397" i="494"/>
  <c r="B396" i="494"/>
  <c r="B395" i="494"/>
  <c r="B394" i="494"/>
  <c r="B393" i="494"/>
  <c r="B392" i="494"/>
  <c r="B391" i="494"/>
  <c r="B390" i="494"/>
  <c r="B389" i="494"/>
  <c r="B388" i="494"/>
  <c r="B387" i="494"/>
  <c r="B386" i="494"/>
  <c r="B385" i="494"/>
  <c r="B384" i="494"/>
  <c r="B383" i="494"/>
  <c r="B382" i="494"/>
  <c r="B381" i="494"/>
  <c r="B380" i="494"/>
  <c r="B379" i="494"/>
  <c r="B378" i="494"/>
  <c r="B377" i="494"/>
  <c r="B376" i="494"/>
  <c r="B375" i="494"/>
  <c r="B374" i="494"/>
  <c r="B373" i="494"/>
  <c r="B372" i="494"/>
  <c r="B371" i="494"/>
  <c r="B370" i="494"/>
  <c r="B369" i="494"/>
  <c r="B368" i="494"/>
  <c r="B367" i="494"/>
  <c r="B366" i="494"/>
  <c r="B365" i="494"/>
  <c r="B364" i="494"/>
  <c r="B363" i="494"/>
  <c r="B362" i="494"/>
  <c r="B361" i="494"/>
  <c r="B360" i="494"/>
  <c r="B359" i="494"/>
  <c r="B358" i="494"/>
  <c r="B357" i="494"/>
  <c r="B356" i="494"/>
  <c r="B355" i="494"/>
  <c r="B354" i="494"/>
  <c r="B353" i="494"/>
  <c r="B352" i="494"/>
  <c r="B351" i="494"/>
  <c r="B350" i="494"/>
  <c r="B349" i="494"/>
  <c r="B348" i="494"/>
  <c r="B347" i="494"/>
  <c r="B346" i="494"/>
  <c r="B345" i="494"/>
  <c r="B344" i="494"/>
  <c r="B343" i="494"/>
  <c r="B342" i="494"/>
  <c r="B341" i="494"/>
  <c r="B340" i="494"/>
  <c r="B339" i="494"/>
  <c r="B338" i="494"/>
  <c r="B337" i="494"/>
  <c r="B336" i="494"/>
  <c r="B335" i="494"/>
  <c r="B334" i="494"/>
  <c r="B333" i="494"/>
  <c r="B332" i="494"/>
  <c r="B331" i="494"/>
  <c r="B330" i="494"/>
  <c r="B329" i="494"/>
  <c r="B328" i="494"/>
  <c r="B327" i="494"/>
  <c r="B326" i="494"/>
  <c r="B325" i="494"/>
  <c r="B324" i="494"/>
  <c r="B323" i="494"/>
  <c r="B322" i="494"/>
  <c r="B321" i="494"/>
  <c r="B320" i="494"/>
  <c r="B319" i="494"/>
  <c r="B318" i="494"/>
  <c r="B317" i="494"/>
  <c r="B316" i="494"/>
  <c r="B315" i="494"/>
  <c r="B314" i="494"/>
  <c r="B313" i="494"/>
  <c r="B312" i="494"/>
  <c r="B311" i="494"/>
  <c r="B310" i="494"/>
  <c r="B309" i="494"/>
  <c r="B308" i="494"/>
  <c r="B307" i="494"/>
  <c r="B306" i="494"/>
  <c r="B305" i="494"/>
  <c r="B304" i="494"/>
  <c r="B303" i="494"/>
  <c r="B302" i="494"/>
  <c r="B301" i="494"/>
  <c r="B300" i="494"/>
  <c r="B299" i="494"/>
  <c r="B298" i="494"/>
  <c r="B297" i="494"/>
  <c r="B296" i="494"/>
  <c r="B295" i="494"/>
  <c r="B294" i="494"/>
  <c r="B293" i="494"/>
  <c r="B292" i="494"/>
  <c r="B291" i="494"/>
  <c r="B290" i="494"/>
  <c r="B289" i="494"/>
  <c r="B288" i="494"/>
  <c r="B287" i="494"/>
  <c r="B286" i="494"/>
  <c r="B285" i="494"/>
  <c r="B284" i="494"/>
  <c r="B283" i="494"/>
  <c r="B282" i="494"/>
  <c r="B281" i="494"/>
  <c r="B280" i="494"/>
  <c r="B279" i="494"/>
  <c r="B278" i="494"/>
  <c r="B277" i="494"/>
  <c r="B276" i="494"/>
  <c r="B275" i="494"/>
  <c r="B274" i="494"/>
  <c r="B273" i="494"/>
  <c r="B272" i="494"/>
  <c r="B271" i="494"/>
  <c r="B270" i="494"/>
  <c r="B269" i="494"/>
  <c r="B268" i="494"/>
  <c r="B267" i="494"/>
  <c r="B266" i="494"/>
  <c r="B265" i="494"/>
  <c r="B264" i="494"/>
  <c r="B263" i="494"/>
  <c r="B262" i="494"/>
  <c r="B261" i="494"/>
  <c r="B260" i="494"/>
  <c r="B259" i="494"/>
  <c r="B258" i="494"/>
  <c r="B257" i="494"/>
  <c r="B256" i="494"/>
  <c r="B255" i="494"/>
  <c r="B254" i="494"/>
  <c r="B253" i="494"/>
  <c r="B252" i="494"/>
  <c r="B251" i="494"/>
  <c r="B250" i="494"/>
  <c r="B249" i="494"/>
  <c r="B248" i="494"/>
  <c r="B247" i="494"/>
  <c r="B246" i="494"/>
  <c r="B245" i="494"/>
  <c r="B244" i="494"/>
  <c r="B243" i="494"/>
  <c r="B242" i="494"/>
  <c r="B241" i="494"/>
  <c r="B240" i="494"/>
  <c r="B239" i="494"/>
  <c r="B238" i="494"/>
  <c r="B237" i="494"/>
  <c r="B236" i="494"/>
  <c r="B235" i="494"/>
  <c r="B234" i="494"/>
  <c r="B233" i="494"/>
  <c r="B232" i="494"/>
  <c r="B231" i="494"/>
  <c r="B230" i="494"/>
  <c r="B229" i="494"/>
  <c r="B228" i="494"/>
  <c r="B227" i="494"/>
  <c r="B226" i="494"/>
  <c r="B225" i="494"/>
  <c r="B224" i="494"/>
  <c r="B223" i="494"/>
  <c r="B222" i="494"/>
  <c r="B221" i="494"/>
  <c r="B220" i="494"/>
  <c r="B219" i="494"/>
  <c r="B218" i="494"/>
  <c r="B217" i="494"/>
  <c r="B216" i="494"/>
  <c r="B215" i="494"/>
  <c r="B214" i="494"/>
  <c r="B213" i="494"/>
  <c r="B212" i="494"/>
  <c r="B211" i="494"/>
  <c r="B210" i="494"/>
  <c r="B209" i="494"/>
  <c r="B208" i="494"/>
  <c r="B207" i="494"/>
  <c r="B206" i="494"/>
  <c r="B205" i="494"/>
  <c r="B204" i="494"/>
  <c r="B203" i="494"/>
  <c r="B202" i="494"/>
  <c r="B201" i="494"/>
  <c r="B200" i="494"/>
  <c r="B199" i="494"/>
  <c r="B198" i="494"/>
  <c r="B197" i="494"/>
  <c r="B196" i="494"/>
  <c r="B195" i="494"/>
  <c r="B194" i="494"/>
  <c r="B193" i="494"/>
  <c r="B192" i="494"/>
  <c r="B191" i="494"/>
  <c r="B190" i="494"/>
  <c r="B189" i="494"/>
  <c r="B188" i="494"/>
  <c r="B187" i="494"/>
  <c r="B186" i="494"/>
  <c r="B185" i="494"/>
  <c r="B184" i="494"/>
  <c r="B183" i="494"/>
  <c r="B182" i="494"/>
  <c r="B181" i="494"/>
  <c r="B180" i="494"/>
  <c r="B179" i="494"/>
  <c r="B178" i="494"/>
  <c r="B177" i="494"/>
  <c r="B176" i="494"/>
  <c r="B175" i="494"/>
  <c r="B174" i="494"/>
  <c r="B173" i="494"/>
  <c r="B172" i="494"/>
  <c r="B171" i="494"/>
  <c r="B170" i="494"/>
  <c r="B169" i="494"/>
  <c r="B168" i="494"/>
  <c r="B167" i="494"/>
  <c r="B166" i="494"/>
  <c r="B165" i="494"/>
  <c r="B164" i="494"/>
  <c r="B163" i="494"/>
  <c r="B162" i="494"/>
  <c r="B161" i="494"/>
  <c r="B160" i="494"/>
  <c r="B159" i="494"/>
  <c r="B158" i="494"/>
  <c r="B157" i="494"/>
  <c r="B156" i="494"/>
  <c r="B155" i="494"/>
  <c r="B154" i="494"/>
  <c r="B153" i="494"/>
  <c r="B152" i="494"/>
  <c r="B151" i="494"/>
  <c r="B150" i="494"/>
  <c r="B149" i="494"/>
  <c r="B148" i="494"/>
  <c r="B147" i="494"/>
  <c r="B146" i="494"/>
  <c r="B145" i="494"/>
  <c r="B144" i="494"/>
  <c r="B143" i="494"/>
  <c r="B142" i="494"/>
  <c r="B141" i="494"/>
  <c r="B140" i="494"/>
  <c r="B139" i="494"/>
  <c r="B138" i="494"/>
  <c r="B137" i="494"/>
  <c r="B136" i="494"/>
  <c r="B135" i="494"/>
  <c r="B134" i="494"/>
  <c r="B133" i="494"/>
  <c r="B132" i="494"/>
  <c r="B131" i="494"/>
  <c r="B130" i="494"/>
  <c r="B129" i="494"/>
  <c r="B128" i="494"/>
  <c r="B127" i="494"/>
  <c r="B126" i="494"/>
  <c r="B125" i="494"/>
  <c r="B124" i="494"/>
  <c r="B123" i="494"/>
  <c r="B122" i="494"/>
  <c r="B121" i="494"/>
  <c r="B120" i="494"/>
  <c r="B119" i="494"/>
  <c r="B118" i="494"/>
  <c r="B117" i="494"/>
  <c r="B116" i="494"/>
  <c r="B115" i="494"/>
  <c r="B114" i="494"/>
  <c r="B113" i="494"/>
  <c r="B112" i="494"/>
  <c r="B111" i="494"/>
  <c r="B110" i="494"/>
  <c r="B109" i="494"/>
  <c r="B108" i="494"/>
  <c r="B107" i="494"/>
  <c r="B106" i="494"/>
  <c r="B105" i="494"/>
  <c r="B104" i="494"/>
  <c r="B103" i="494"/>
  <c r="B102" i="494"/>
  <c r="B101" i="494"/>
  <c r="B100" i="494"/>
  <c r="B99" i="494"/>
  <c r="B98" i="494"/>
  <c r="B97" i="494"/>
  <c r="B96" i="494"/>
  <c r="B95" i="494"/>
  <c r="B94" i="494"/>
  <c r="B93" i="494"/>
  <c r="B92" i="494"/>
  <c r="B91" i="494"/>
  <c r="B90" i="494"/>
  <c r="B89" i="494"/>
  <c r="B88" i="494"/>
  <c r="B87" i="494"/>
  <c r="B86" i="494"/>
  <c r="B85" i="494"/>
  <c r="B84" i="494"/>
  <c r="B83" i="494"/>
  <c r="B82" i="494"/>
  <c r="B81" i="494"/>
  <c r="B80" i="494"/>
  <c r="B79" i="494"/>
  <c r="B78" i="494"/>
  <c r="B77" i="494"/>
  <c r="B76" i="494"/>
  <c r="B75" i="494"/>
  <c r="B74" i="494"/>
  <c r="B73" i="494"/>
  <c r="B72" i="494"/>
  <c r="B71" i="494"/>
  <c r="B70" i="494"/>
  <c r="B69" i="494"/>
  <c r="B68" i="494"/>
  <c r="B67" i="494"/>
  <c r="B66" i="494"/>
  <c r="B65" i="494"/>
  <c r="B64" i="494"/>
  <c r="B63" i="494"/>
  <c r="B62" i="494"/>
  <c r="B61" i="494"/>
  <c r="B60" i="494"/>
  <c r="B59" i="494"/>
  <c r="B58" i="494"/>
  <c r="B57" i="494"/>
  <c r="B56" i="494"/>
  <c r="B55" i="494"/>
  <c r="B54" i="494"/>
  <c r="B53" i="494"/>
  <c r="B52" i="494"/>
  <c r="B51" i="494"/>
  <c r="B50" i="494"/>
  <c r="B49" i="494"/>
  <c r="B48" i="494"/>
  <c r="B47" i="494"/>
  <c r="B46" i="494"/>
  <c r="B45" i="494"/>
  <c r="B44" i="494"/>
  <c r="B43" i="494"/>
  <c r="B42" i="494"/>
  <c r="B41" i="494"/>
  <c r="B40" i="494"/>
  <c r="B39" i="494"/>
  <c r="B38" i="494"/>
  <c r="B37" i="494"/>
  <c r="B36" i="494"/>
  <c r="B35" i="494"/>
  <c r="B34" i="494"/>
  <c r="B33" i="494"/>
  <c r="B32" i="494"/>
  <c r="B31" i="494"/>
  <c r="B30" i="494"/>
  <c r="B29" i="494"/>
  <c r="B28" i="494"/>
  <c r="B27" i="494"/>
  <c r="B26" i="494"/>
  <c r="B25" i="494"/>
  <c r="B24" i="494"/>
  <c r="B23" i="494"/>
  <c r="B22" i="494"/>
  <c r="B21" i="494"/>
  <c r="B20" i="494"/>
  <c r="B19" i="494"/>
  <c r="B18" i="494"/>
  <c r="B17" i="494"/>
  <c r="B16" i="494"/>
  <c r="B15" i="494"/>
  <c r="B14" i="494"/>
  <c r="B13" i="494"/>
  <c r="B12" i="494"/>
  <c r="B11" i="494"/>
  <c r="B10" i="494"/>
  <c r="B9" i="494"/>
  <c r="B8" i="494"/>
  <c r="B7" i="494"/>
  <c r="B6" i="494"/>
  <c r="B5" i="494"/>
  <c r="B4" i="494"/>
  <c r="B3" i="494"/>
  <c r="B2" i="494"/>
  <c r="B1" i="494"/>
  <c r="E81" i="460" l="1"/>
  <c r="D81" i="460"/>
  <c r="C81" i="460"/>
  <c r="E80" i="460"/>
  <c r="D80" i="460"/>
  <c r="C80" i="460"/>
  <c r="B81" i="460"/>
  <c r="B80" i="460"/>
  <c r="M116" i="1" l="1"/>
  <c r="M115" i="1"/>
  <c r="O116" i="1" l="1"/>
  <c r="I28" i="478"/>
  <c r="H29" i="227" s="1"/>
  <c r="O115" i="1"/>
  <c r="I34" i="478"/>
  <c r="D56" i="495" s="1"/>
  <c r="G57" i="248" s="1"/>
  <c r="D30" i="408"/>
  <c r="D30" i="424"/>
  <c r="D30" i="444"/>
  <c r="Q116" i="1" l="1"/>
  <c r="I28" i="481"/>
  <c r="I29" i="227" s="1"/>
  <c r="Q115" i="1"/>
  <c r="I34" i="481"/>
  <c r="D56" i="496" s="1"/>
  <c r="H57" i="248" s="1"/>
  <c r="E16" i="248"/>
  <c r="E14" i="248"/>
  <c r="S116" i="1" l="1"/>
  <c r="I28" i="490" s="1"/>
  <c r="K29" i="227" s="1"/>
  <c r="I28" i="489"/>
  <c r="J29" i="227" s="1"/>
  <c r="S115" i="1"/>
  <c r="I34" i="490" s="1"/>
  <c r="D56" i="498" s="1"/>
  <c r="J57" i="248" s="1"/>
  <c r="I34" i="489"/>
  <c r="D56" i="497" s="1"/>
  <c r="I57" i="248" s="1"/>
  <c r="I51" i="490"/>
  <c r="D44" i="498" s="1"/>
  <c r="I51" i="489"/>
  <c r="D44" i="497" s="1"/>
  <c r="I51" i="481"/>
  <c r="D44" i="496" s="1"/>
  <c r="I51" i="478"/>
  <c r="I51" i="315"/>
  <c r="D44" i="316" s="1"/>
  <c r="D55" i="320" l="1"/>
  <c r="F45" i="248"/>
  <c r="D44" i="371"/>
  <c r="D44" i="495"/>
  <c r="C14" i="318"/>
  <c r="C11" i="318"/>
  <c r="D83" i="371"/>
  <c r="D79" i="371"/>
  <c r="D51" i="371" l="1"/>
  <c r="D50" i="371"/>
  <c r="D47" i="371"/>
  <c r="D46" i="371"/>
  <c r="D40" i="371"/>
  <c r="D39" i="371"/>
  <c r="D38" i="371"/>
  <c r="D30" i="371"/>
  <c r="D24" i="371"/>
  <c r="D16" i="371"/>
  <c r="D13" i="316"/>
  <c r="G8" i="227" l="1"/>
  <c r="G6" i="227"/>
  <c r="C23" i="317"/>
  <c r="D23" i="317"/>
  <c r="D22" i="317"/>
  <c r="D19" i="317"/>
  <c r="D18" i="317"/>
  <c r="D17" i="317"/>
  <c r="D16" i="317"/>
  <c r="D15" i="317"/>
  <c r="D13" i="317"/>
  <c r="D12" i="317"/>
  <c r="D11" i="317"/>
  <c r="D10" i="317"/>
  <c r="D32" i="316"/>
  <c r="F33" i="248" s="1"/>
  <c r="D24" i="316"/>
  <c r="F25" i="248" s="1"/>
  <c r="C35" i="443"/>
  <c r="C34" i="443"/>
  <c r="C35" i="423"/>
  <c r="C34" i="423"/>
  <c r="C35" i="409"/>
  <c r="C34" i="409"/>
  <c r="C35" i="372"/>
  <c r="C34" i="372"/>
  <c r="C35" i="363" l="1"/>
  <c r="C34" i="363"/>
  <c r="I20" i="491" l="1"/>
  <c r="H20" i="491"/>
  <c r="G20" i="491"/>
  <c r="F20" i="491"/>
  <c r="I19" i="491"/>
  <c r="H19" i="491"/>
  <c r="G19" i="491"/>
  <c r="F19" i="491"/>
  <c r="I18" i="491"/>
  <c r="H18" i="491"/>
  <c r="G18" i="491"/>
  <c r="F18" i="491"/>
  <c r="I17" i="491"/>
  <c r="H17" i="491"/>
  <c r="G17" i="491"/>
  <c r="F17" i="491"/>
  <c r="I16" i="491"/>
  <c r="H16" i="491"/>
  <c r="G16" i="491"/>
  <c r="F16" i="491"/>
  <c r="I15" i="491"/>
  <c r="H15" i="491"/>
  <c r="G15" i="491"/>
  <c r="F15" i="491"/>
  <c r="I14" i="491"/>
  <c r="H14" i="491"/>
  <c r="G14" i="491"/>
  <c r="F14" i="491"/>
  <c r="E50" i="491"/>
  <c r="E34" i="492" s="1"/>
  <c r="D50" i="491"/>
  <c r="D34" i="492" s="1"/>
  <c r="C50" i="491"/>
  <c r="C34" i="492" s="1"/>
  <c r="B50" i="491"/>
  <c r="B34" i="492" s="1"/>
  <c r="E49" i="491"/>
  <c r="E33" i="492" s="1"/>
  <c r="D49" i="491"/>
  <c r="D33" i="492" s="1"/>
  <c r="C49" i="491"/>
  <c r="C33" i="492" s="1"/>
  <c r="B49" i="491"/>
  <c r="B33" i="492" s="1"/>
  <c r="E48" i="491"/>
  <c r="E32" i="492" s="1"/>
  <c r="E47" i="491"/>
  <c r="E31" i="492" s="1"/>
  <c r="D47" i="491"/>
  <c r="D31" i="492" s="1"/>
  <c r="C47" i="491"/>
  <c r="C31" i="492" s="1"/>
  <c r="B47" i="491"/>
  <c r="B31" i="492" s="1"/>
  <c r="E85" i="491"/>
  <c r="E45" i="492" s="1"/>
  <c r="D85" i="491"/>
  <c r="D45" i="492" s="1"/>
  <c r="C85" i="491"/>
  <c r="C45" i="492" s="1"/>
  <c r="B85" i="491"/>
  <c r="B45" i="492" s="1"/>
  <c r="C79" i="491"/>
  <c r="D79" i="491" s="1"/>
  <c r="E79" i="491" s="1"/>
  <c r="C78" i="491"/>
  <c r="D78" i="491" s="1"/>
  <c r="E78" i="491" s="1"/>
  <c r="E54" i="491"/>
  <c r="E56" i="491" s="1"/>
  <c r="D54" i="491"/>
  <c r="D56" i="491" s="1"/>
  <c r="C54" i="491"/>
  <c r="C56" i="491" s="1"/>
  <c r="B54" i="491"/>
  <c r="B56" i="491" s="1"/>
  <c r="E29" i="491"/>
  <c r="D29" i="491"/>
  <c r="D48" i="491" s="1"/>
  <c r="D32" i="492" s="1"/>
  <c r="C29" i="491"/>
  <c r="C48" i="491" s="1"/>
  <c r="C32" i="492" s="1"/>
  <c r="B29" i="491"/>
  <c r="B48" i="491" s="1"/>
  <c r="B32" i="492" s="1"/>
  <c r="G21" i="491" l="1"/>
  <c r="C55" i="491" s="1"/>
  <c r="H21" i="491"/>
  <c r="D55" i="491" s="1"/>
  <c r="I21" i="491"/>
  <c r="E55" i="491" s="1"/>
  <c r="E46" i="491" s="1"/>
  <c r="C46" i="491"/>
  <c r="F21" i="491"/>
  <c r="B55" i="491" s="1"/>
  <c r="B46" i="491" s="1"/>
  <c r="E30" i="492" l="1"/>
  <c r="C30" i="492"/>
  <c r="B30" i="492"/>
  <c r="D46" i="491"/>
  <c r="D30" i="492" l="1"/>
  <c r="T39" i="483" l="1"/>
  <c r="S39" i="483"/>
  <c r="P39" i="483"/>
  <c r="R39" i="483" s="1"/>
  <c r="O39" i="483"/>
  <c r="S39" i="2"/>
  <c r="O39" i="2"/>
  <c r="K37" i="2"/>
  <c r="P39" i="2"/>
  <c r="R39" i="2" s="1"/>
  <c r="T41" i="483"/>
  <c r="R41" i="483"/>
  <c r="P41" i="483"/>
  <c r="N41" i="483"/>
  <c r="L41" i="483"/>
  <c r="AA60" i="482"/>
  <c r="X60" i="482"/>
  <c r="U60" i="482"/>
  <c r="R60" i="482"/>
  <c r="O60" i="482"/>
  <c r="S41" i="483" l="1"/>
  <c r="Q41" i="483"/>
  <c r="O41" i="483"/>
  <c r="M41" i="483"/>
  <c r="K41" i="483"/>
  <c r="D18" i="324" s="1"/>
  <c r="Z60" i="482"/>
  <c r="W60" i="482"/>
  <c r="T60" i="482"/>
  <c r="Q60" i="482"/>
  <c r="N60" i="482"/>
  <c r="E59" i="460" l="1"/>
  <c r="D59" i="460"/>
  <c r="C59" i="460"/>
  <c r="B59" i="460" l="1"/>
  <c r="E40" i="486" l="1"/>
  <c r="D40" i="486"/>
  <c r="C40" i="486"/>
  <c r="B40" i="486"/>
  <c r="B89" i="460"/>
  <c r="E60" i="460" l="1"/>
  <c r="D60" i="460"/>
  <c r="C60" i="460"/>
  <c r="B60" i="460"/>
  <c r="E58" i="460"/>
  <c r="D58" i="460"/>
  <c r="C58" i="460"/>
  <c r="B58" i="460"/>
  <c r="E57" i="460"/>
  <c r="E35" i="486" s="1"/>
  <c r="D57" i="460"/>
  <c r="D35" i="486" s="1"/>
  <c r="C57" i="460"/>
  <c r="C35" i="486" s="1"/>
  <c r="B57" i="460"/>
  <c r="B35" i="486" s="1"/>
  <c r="I27" i="315" l="1"/>
  <c r="D17" i="320" s="1"/>
  <c r="I26" i="315"/>
  <c r="D16" i="320" s="1"/>
  <c r="I25" i="315"/>
  <c r="D15" i="320" s="1"/>
  <c r="K92" i="1" l="1"/>
  <c r="Q15" i="467" l="1"/>
  <c r="N15" i="467"/>
  <c r="K15" i="467"/>
  <c r="D2" i="301" l="1"/>
  <c r="D1" i="301"/>
  <c r="AA67" i="482" l="1"/>
  <c r="X67" i="482"/>
  <c r="U67" i="482"/>
  <c r="R67" i="482"/>
  <c r="O67" i="482"/>
  <c r="C49" i="363"/>
  <c r="C36" i="363"/>
  <c r="M41" i="2" l="1"/>
  <c r="S41" i="2"/>
  <c r="Q41" i="2"/>
  <c r="O41" i="2"/>
  <c r="T41" i="2"/>
  <c r="R41" i="2"/>
  <c r="P41" i="2"/>
  <c r="T39" i="2"/>
  <c r="N41" i="2"/>
  <c r="AH60" i="60"/>
  <c r="AF60" i="60"/>
  <c r="AD60" i="60"/>
  <c r="AB60" i="60"/>
  <c r="Z60" i="60"/>
  <c r="X60" i="60"/>
  <c r="V60" i="60"/>
  <c r="T60" i="60"/>
  <c r="H58" i="478"/>
  <c r="I58" i="478" s="1"/>
  <c r="D53" i="495" s="1"/>
  <c r="F99" i="315"/>
  <c r="H99" i="315" s="1"/>
  <c r="H58" i="315"/>
  <c r="I58" i="315" s="1"/>
  <c r="D53" i="316" s="1"/>
  <c r="H137" i="142"/>
  <c r="G28" i="227" l="1"/>
  <c r="F54" i="248"/>
  <c r="W182" i="1"/>
  <c r="M52" i="1" l="1"/>
  <c r="O52" i="1" s="1"/>
  <c r="Q52" i="1" s="1"/>
  <c r="S52" i="1" s="1"/>
  <c r="I123" i="489" l="1"/>
  <c r="D84" i="497" s="1"/>
  <c r="I85" i="248" s="1"/>
  <c r="H182" i="481" l="1"/>
  <c r="H182" i="490" s="1"/>
  <c r="M38" i="1" l="1"/>
  <c r="C8" i="363"/>
  <c r="O38" i="1" l="1"/>
  <c r="Q38" i="1" s="1"/>
  <c r="S38" i="1" s="1"/>
  <c r="D14" i="371"/>
  <c r="C17" i="107"/>
  <c r="E17" i="107"/>
  <c r="M114" i="1" l="1"/>
  <c r="G39" i="1" l="1"/>
  <c r="G40" i="1"/>
  <c r="Z196" i="1" l="1"/>
  <c r="Y196" i="1"/>
  <c r="X196" i="1"/>
  <c r="P11" i="467"/>
  <c r="M11" i="467"/>
  <c r="J11" i="467"/>
  <c r="F64" i="393" l="1"/>
  <c r="C27" i="393"/>
  <c r="F9" i="393"/>
  <c r="F8" i="393"/>
  <c r="F6" i="393"/>
  <c r="M104" i="1"/>
  <c r="O104" i="1" s="1"/>
  <c r="Q104" i="1" s="1"/>
  <c r="S104" i="1" s="1"/>
  <c r="AG97" i="167" l="1"/>
  <c r="J183" i="167" l="1"/>
  <c r="I123" i="490"/>
  <c r="D84" i="498" s="1"/>
  <c r="J85" i="248" s="1"/>
  <c r="H123" i="478"/>
  <c r="I123" i="481"/>
  <c r="D84" i="496" s="1"/>
  <c r="H85" i="248" s="1"/>
  <c r="I123" i="478"/>
  <c r="D84" i="495" s="1"/>
  <c r="G85" i="248" s="1"/>
  <c r="I123" i="315"/>
  <c r="D84" i="316" s="1"/>
  <c r="F85" i="248" s="1"/>
  <c r="M36" i="1" l="1"/>
  <c r="N200" i="167"/>
  <c r="N196" i="167"/>
  <c r="N195" i="167"/>
  <c r="N193" i="167"/>
  <c r="N185" i="167"/>
  <c r="N183" i="167"/>
  <c r="N182" i="167"/>
  <c r="N156" i="167"/>
  <c r="N157" i="167" s="1"/>
  <c r="N158" i="167" s="1"/>
  <c r="N148" i="167"/>
  <c r="N147" i="167"/>
  <c r="N150" i="167" s="1"/>
  <c r="N136" i="167"/>
  <c r="N137" i="167" s="1"/>
  <c r="N134" i="167"/>
  <c r="N140" i="167" s="1"/>
  <c r="N133" i="167"/>
  <c r="N132" i="167"/>
  <c r="N131" i="167"/>
  <c r="L200" i="167"/>
  <c r="L195" i="167"/>
  <c r="L193" i="167"/>
  <c r="L185" i="167"/>
  <c r="L183" i="167"/>
  <c r="L182" i="167"/>
  <c r="L181" i="167"/>
  <c r="L156" i="167"/>
  <c r="L157" i="167" s="1"/>
  <c r="L158" i="167" s="1"/>
  <c r="L148" i="167"/>
  <c r="L147" i="167"/>
  <c r="L150" i="167" s="1"/>
  <c r="L136" i="167"/>
  <c r="L134" i="167"/>
  <c r="L140" i="167" s="1"/>
  <c r="L133" i="167"/>
  <c r="L132" i="167"/>
  <c r="L130" i="167"/>
  <c r="H95" i="315"/>
  <c r="H93" i="315"/>
  <c r="H92" i="315"/>
  <c r="H123" i="490"/>
  <c r="J67" i="490"/>
  <c r="H60" i="490"/>
  <c r="J60" i="490" s="1"/>
  <c r="F60" i="490"/>
  <c r="F16" i="490"/>
  <c r="F12" i="490"/>
  <c r="I169" i="490"/>
  <c r="H98" i="490"/>
  <c r="I98" i="490" s="1"/>
  <c r="H97" i="490"/>
  <c r="I97" i="490" s="1"/>
  <c r="G72" i="490"/>
  <c r="AL67" i="490"/>
  <c r="AL60" i="490"/>
  <c r="AL59" i="490"/>
  <c r="AL52" i="490"/>
  <c r="F13" i="490"/>
  <c r="F3" i="490"/>
  <c r="C2" i="490"/>
  <c r="G14" i="248" l="1"/>
  <c r="D13" i="495"/>
  <c r="E13" i="495" s="1"/>
  <c r="O36" i="1"/>
  <c r="D13" i="371"/>
  <c r="H8" i="227"/>
  <c r="L201" i="167"/>
  <c r="L203" i="167" s="1"/>
  <c r="N201" i="167"/>
  <c r="N203" i="167" s="1"/>
  <c r="L137" i="167"/>
  <c r="H182" i="489"/>
  <c r="H123" i="489"/>
  <c r="J67" i="489"/>
  <c r="H60" i="489"/>
  <c r="J60" i="489" s="1"/>
  <c r="F60" i="489"/>
  <c r="F16" i="489"/>
  <c r="F12" i="489"/>
  <c r="I169" i="489"/>
  <c r="E37" i="497" s="1"/>
  <c r="H98" i="489"/>
  <c r="I98" i="489" s="1"/>
  <c r="H97" i="489"/>
  <c r="I97" i="489" s="1"/>
  <c r="G72" i="489"/>
  <c r="AL67" i="489"/>
  <c r="AL60" i="489"/>
  <c r="AL59" i="489"/>
  <c r="AL52" i="489"/>
  <c r="F13" i="489"/>
  <c r="F3" i="489"/>
  <c r="C2" i="489"/>
  <c r="F107" i="167"/>
  <c r="C20" i="318" s="1"/>
  <c r="F102" i="167"/>
  <c r="C17" i="318" s="1"/>
  <c r="H14" i="248" l="1"/>
  <c r="D13" i="496"/>
  <c r="E13" i="496" s="1"/>
  <c r="Q36" i="1"/>
  <c r="I8" i="227"/>
  <c r="J67" i="481"/>
  <c r="H123" i="481"/>
  <c r="H60" i="481"/>
  <c r="F60" i="481"/>
  <c r="F16" i="481"/>
  <c r="F12" i="481"/>
  <c r="I14" i="248" l="1"/>
  <c r="D13" i="497"/>
  <c r="E13" i="497" s="1"/>
  <c r="S36" i="1"/>
  <c r="D13" i="498" s="1"/>
  <c r="E13" i="498" s="1"/>
  <c r="J8" i="227"/>
  <c r="D18" i="372"/>
  <c r="G13" i="487"/>
  <c r="K8" i="227" l="1"/>
  <c r="J14" i="248"/>
  <c r="E38" i="486"/>
  <c r="D38" i="486"/>
  <c r="B38" i="486"/>
  <c r="E37" i="486"/>
  <c r="D37" i="486"/>
  <c r="C37" i="486"/>
  <c r="B37" i="486"/>
  <c r="E36" i="486"/>
  <c r="D36" i="486"/>
  <c r="C36" i="486"/>
  <c r="B36" i="486"/>
  <c r="I19" i="460"/>
  <c r="H19" i="460"/>
  <c r="G19" i="460"/>
  <c r="F19" i="460"/>
  <c r="I18" i="460"/>
  <c r="H18" i="460"/>
  <c r="G18" i="460"/>
  <c r="F18" i="460"/>
  <c r="I17" i="460"/>
  <c r="H17" i="460"/>
  <c r="G17" i="460"/>
  <c r="F17" i="460"/>
  <c r="I16" i="460"/>
  <c r="H16" i="460"/>
  <c r="G16" i="460"/>
  <c r="F16" i="460"/>
  <c r="I15" i="460"/>
  <c r="H15" i="460"/>
  <c r="G15" i="460"/>
  <c r="F15" i="460"/>
  <c r="I14" i="460"/>
  <c r="H14" i="460"/>
  <c r="G14" i="460"/>
  <c r="F14" i="460"/>
  <c r="I13" i="460"/>
  <c r="H13" i="460"/>
  <c r="H20" i="460" s="1"/>
  <c r="G13" i="460"/>
  <c r="G20" i="460" s="1"/>
  <c r="F13" i="460"/>
  <c r="C38" i="486"/>
  <c r="F20" i="460" l="1"/>
  <c r="I20" i="460"/>
  <c r="N181" i="167"/>
  <c r="M92" i="1"/>
  <c r="O92" i="1" l="1"/>
  <c r="E20" i="495"/>
  <c r="Q92" i="1" l="1"/>
  <c r="E20" i="496"/>
  <c r="AG101" i="168"/>
  <c r="AG83" i="168" s="1"/>
  <c r="AG94" i="168"/>
  <c r="AG52" i="168" s="1"/>
  <c r="AC101" i="168"/>
  <c r="AC83" i="168" s="1"/>
  <c r="AC94" i="168"/>
  <c r="AC52" i="168" s="1"/>
  <c r="AG101" i="477"/>
  <c r="AG83" i="477" s="1"/>
  <c r="AG94" i="477"/>
  <c r="AG52" i="477" s="1"/>
  <c r="AC101" i="477"/>
  <c r="AC83" i="477" s="1"/>
  <c r="AC94" i="477"/>
  <c r="AC52" i="477" s="1"/>
  <c r="N130" i="167" l="1"/>
  <c r="E20" i="497"/>
  <c r="S92" i="1"/>
  <c r="E20" i="498" s="1"/>
  <c r="N139" i="167"/>
  <c r="N141" i="167" s="1"/>
  <c r="N142" i="167" s="1"/>
  <c r="N143" i="167" s="1"/>
  <c r="B149" i="483"/>
  <c r="B150" i="483" s="1"/>
  <c r="H41" i="483"/>
  <c r="G41" i="483"/>
  <c r="Q39" i="483"/>
  <c r="G39" i="483"/>
  <c r="H39" i="483" s="1"/>
  <c r="K37" i="483"/>
  <c r="J37" i="483"/>
  <c r="I37" i="483"/>
  <c r="G37" i="483"/>
  <c r="H37" i="483" s="1"/>
  <c r="G35" i="483"/>
  <c r="H35" i="483" s="1"/>
  <c r="S33" i="483"/>
  <c r="T33" i="483" s="1"/>
  <c r="Q33" i="483"/>
  <c r="O33" i="483"/>
  <c r="M33" i="483"/>
  <c r="N33" i="483" s="1"/>
  <c r="K33" i="483"/>
  <c r="L33" i="483" s="1"/>
  <c r="J33" i="483"/>
  <c r="I33" i="483"/>
  <c r="G33" i="483"/>
  <c r="G51" i="483" s="1"/>
  <c r="G28" i="483"/>
  <c r="H28" i="483" s="1"/>
  <c r="G26" i="483"/>
  <c r="H26" i="483" s="1"/>
  <c r="S24" i="483"/>
  <c r="O24" i="483"/>
  <c r="Q24" i="483" s="1"/>
  <c r="K24" i="483"/>
  <c r="M24" i="483" s="1"/>
  <c r="G24" i="483"/>
  <c r="T22" i="483"/>
  <c r="R22" i="483"/>
  <c r="D2" i="483"/>
  <c r="T22" i="2"/>
  <c r="AE55" i="60"/>
  <c r="G30" i="483" l="1"/>
  <c r="H24" i="483"/>
  <c r="H30" i="483" s="1"/>
  <c r="P24" i="483"/>
  <c r="H33" i="483"/>
  <c r="H51" i="483" s="1"/>
  <c r="P33" i="483"/>
  <c r="L37" i="483"/>
  <c r="R24" i="483"/>
  <c r="R33" i="483"/>
  <c r="L24" i="483"/>
  <c r="T24" i="483"/>
  <c r="W60" i="60"/>
  <c r="W67" i="60" s="1"/>
  <c r="S55" i="60"/>
  <c r="U55" i="60"/>
  <c r="W55" i="60"/>
  <c r="V67" i="60" l="1"/>
  <c r="N24" i="483"/>
  <c r="AE60" i="60" l="1"/>
  <c r="AE67" i="60" s="1"/>
  <c r="AD67" i="60"/>
  <c r="AI60" i="60"/>
  <c r="AI67" i="60" s="1"/>
  <c r="AH67" i="60"/>
  <c r="AA60" i="60"/>
  <c r="AA67" i="60" s="1"/>
  <c r="Z67" i="60"/>
  <c r="G143" i="1"/>
  <c r="G144" i="1"/>
  <c r="G153" i="1"/>
  <c r="G207" i="1"/>
  <c r="G211" i="1"/>
  <c r="J65" i="482"/>
  <c r="K65" i="482" s="1"/>
  <c r="H65" i="482"/>
  <c r="I65" i="482" s="1"/>
  <c r="Z67" i="482"/>
  <c r="W67" i="482"/>
  <c r="T67" i="482"/>
  <c r="S60" i="482"/>
  <c r="S67" i="482" s="1"/>
  <c r="N67" i="482"/>
  <c r="D15" i="325" s="1"/>
  <c r="I60" i="482"/>
  <c r="K60" i="482" s="1"/>
  <c r="K67" i="482" s="1"/>
  <c r="H60" i="482"/>
  <c r="H67" i="482" s="1"/>
  <c r="N58" i="482"/>
  <c r="D12" i="325" s="1"/>
  <c r="L58" i="482"/>
  <c r="M58" i="482" s="1"/>
  <c r="H58" i="482"/>
  <c r="J58" i="482" s="1"/>
  <c r="K58" i="482" s="1"/>
  <c r="Y55" i="482"/>
  <c r="D2" i="482"/>
  <c r="K211" i="1"/>
  <c r="K207" i="1"/>
  <c r="P58" i="482" l="1"/>
  <c r="O58" i="482"/>
  <c r="O69" i="482" s="1"/>
  <c r="V60" i="482"/>
  <c r="V67" i="482" s="1"/>
  <c r="J60" i="482"/>
  <c r="J67" i="482" s="1"/>
  <c r="J69" i="482" s="1"/>
  <c r="J71" i="482" s="1"/>
  <c r="J73" i="482" s="1"/>
  <c r="J75" i="482" s="1"/>
  <c r="J86" i="482" s="1"/>
  <c r="P60" i="482"/>
  <c r="P67" i="482" s="1"/>
  <c r="E15" i="325" s="1"/>
  <c r="N69" i="482"/>
  <c r="H69" i="482"/>
  <c r="H71" i="482" s="1"/>
  <c r="H73" i="482" s="1"/>
  <c r="H75" i="482" s="1"/>
  <c r="H86" i="482" s="1"/>
  <c r="H85" i="482" s="1"/>
  <c r="AB60" i="482"/>
  <c r="AB67" i="482" s="1"/>
  <c r="K69" i="482"/>
  <c r="K71" i="482" s="1"/>
  <c r="K73" i="482" s="1"/>
  <c r="K75" i="482" s="1"/>
  <c r="K86" i="482" s="1"/>
  <c r="I67" i="482"/>
  <c r="Q67" i="482"/>
  <c r="I58" i="482"/>
  <c r="Y60" i="482"/>
  <c r="Y67" i="482" s="1"/>
  <c r="K155" i="1"/>
  <c r="M70" i="1"/>
  <c r="O70" i="1" s="1"/>
  <c r="Q70" i="1" s="1"/>
  <c r="S70" i="1" s="1"/>
  <c r="M69" i="1"/>
  <c r="O69" i="1" s="1"/>
  <c r="M60" i="1"/>
  <c r="O60" i="1" s="1"/>
  <c r="Q60" i="1" s="1"/>
  <c r="S60" i="1" s="1"/>
  <c r="M41" i="1"/>
  <c r="M21" i="1"/>
  <c r="N71" i="482" l="1"/>
  <c r="D17" i="325" s="1"/>
  <c r="D16" i="325"/>
  <c r="H118" i="142"/>
  <c r="D22" i="316"/>
  <c r="F23" i="248" s="1"/>
  <c r="D19" i="316"/>
  <c r="F20" i="248" s="1"/>
  <c r="P69" i="482"/>
  <c r="N73" i="482"/>
  <c r="D18" i="325" s="1"/>
  <c r="O71" i="482"/>
  <c r="O73" i="482" s="1"/>
  <c r="I67" i="315"/>
  <c r="O21" i="1"/>
  <c r="H52" i="478"/>
  <c r="F52" i="478"/>
  <c r="Q69" i="1"/>
  <c r="F99" i="481"/>
  <c r="H99" i="481" s="1"/>
  <c r="O41" i="1"/>
  <c r="J35" i="478"/>
  <c r="H79" i="482"/>
  <c r="J79" i="482"/>
  <c r="I69" i="482"/>
  <c r="I71" i="482" s="1"/>
  <c r="I73" i="482" s="1"/>
  <c r="I75" i="482" s="1"/>
  <c r="K79" i="482"/>
  <c r="H95" i="478"/>
  <c r="H92" i="478"/>
  <c r="J200" i="167"/>
  <c r="J196" i="167"/>
  <c r="J193" i="167"/>
  <c r="J182" i="167"/>
  <c r="J181" i="167"/>
  <c r="J148" i="167"/>
  <c r="J147" i="167"/>
  <c r="J150" i="167" s="1"/>
  <c r="J136" i="167"/>
  <c r="J134" i="167"/>
  <c r="J140" i="167" s="1"/>
  <c r="J133" i="167"/>
  <c r="J132" i="167"/>
  <c r="J130" i="167"/>
  <c r="I169" i="481"/>
  <c r="E37" i="496" s="1"/>
  <c r="H98" i="481"/>
  <c r="I98" i="481" s="1"/>
  <c r="H97" i="481"/>
  <c r="I97" i="481" s="1"/>
  <c r="G72" i="481"/>
  <c r="AL67" i="481"/>
  <c r="AL60" i="481"/>
  <c r="J60" i="481"/>
  <c r="AL59" i="481"/>
  <c r="AL52" i="481"/>
  <c r="F13" i="481"/>
  <c r="F3" i="481"/>
  <c r="C2" i="481"/>
  <c r="P71" i="482" l="1"/>
  <c r="E16" i="325"/>
  <c r="C44" i="460"/>
  <c r="C12" i="486" s="1"/>
  <c r="D46" i="460"/>
  <c r="C46" i="460"/>
  <c r="E47" i="460"/>
  <c r="D44" i="460"/>
  <c r="D12" i="486" s="1"/>
  <c r="E46" i="460"/>
  <c r="D47" i="460"/>
  <c r="B85" i="460"/>
  <c r="B46" i="460"/>
  <c r="C45" i="460"/>
  <c r="C47" i="460"/>
  <c r="B47" i="460"/>
  <c r="D45" i="460"/>
  <c r="B44" i="460"/>
  <c r="B12" i="486" s="1"/>
  <c r="E44" i="460"/>
  <c r="E12" i="486" s="1"/>
  <c r="B45" i="460"/>
  <c r="E45" i="460"/>
  <c r="I46" i="315"/>
  <c r="D43" i="320" s="1"/>
  <c r="Q41" i="1"/>
  <c r="J35" i="481"/>
  <c r="S69" i="1"/>
  <c r="F99" i="490" s="1"/>
  <c r="H99" i="490" s="1"/>
  <c r="F99" i="489"/>
  <c r="H99" i="489" s="1"/>
  <c r="Q21" i="1"/>
  <c r="H52" i="481"/>
  <c r="J52" i="481" s="1"/>
  <c r="F52" i="481"/>
  <c r="I86" i="482"/>
  <c r="I79" i="482"/>
  <c r="J201" i="167"/>
  <c r="J202" i="167" s="1"/>
  <c r="J137" i="167"/>
  <c r="I144" i="1"/>
  <c r="I143" i="1"/>
  <c r="P73" i="482" l="1"/>
  <c r="E18" i="325" s="1"/>
  <c r="E17" i="325"/>
  <c r="S21" i="1"/>
  <c r="F52" i="489"/>
  <c r="H52" i="489"/>
  <c r="J52" i="489" s="1"/>
  <c r="S41" i="1"/>
  <c r="J35" i="490" s="1"/>
  <c r="J35" i="489"/>
  <c r="H156" i="142"/>
  <c r="H155" i="142"/>
  <c r="H147" i="142"/>
  <c r="H146" i="142"/>
  <c r="H138" i="142"/>
  <c r="AC55" i="60"/>
  <c r="P58" i="60"/>
  <c r="Q39" i="2"/>
  <c r="K24" i="2"/>
  <c r="K33" i="2"/>
  <c r="F19" i="106"/>
  <c r="D53" i="109"/>
  <c r="D31" i="109"/>
  <c r="D20" i="109"/>
  <c r="H52" i="490" l="1"/>
  <c r="J52" i="490" s="1"/>
  <c r="F52" i="490"/>
  <c r="G120" i="167"/>
  <c r="G124" i="167" s="1"/>
  <c r="J122" i="167" l="1"/>
  <c r="J118" i="167"/>
  <c r="J120" i="167" s="1"/>
  <c r="J124" i="167" s="1"/>
  <c r="G205" i="167"/>
  <c r="B318" i="479"/>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S131" i="1"/>
  <c r="J205" i="167" l="1"/>
  <c r="L118" i="167"/>
  <c r="L122" i="167"/>
  <c r="D28" i="316"/>
  <c r="F29" i="248" s="1"/>
  <c r="D26" i="316"/>
  <c r="F27" i="248" s="1"/>
  <c r="D10" i="316"/>
  <c r="D47" i="316"/>
  <c r="F48" i="248" s="1"/>
  <c r="D46" i="316"/>
  <c r="F47" i="248" s="1"/>
  <c r="D2" i="316"/>
  <c r="D1" i="316"/>
  <c r="G11" i="467"/>
  <c r="H15" i="467"/>
  <c r="E15" i="467"/>
  <c r="F2" i="481" l="1"/>
  <c r="F2" i="490"/>
  <c r="F2" i="489"/>
  <c r="L120" i="167"/>
  <c r="L124" i="167" s="1"/>
  <c r="L202" i="167"/>
  <c r="L204" i="167" s="1"/>
  <c r="F1" i="481"/>
  <c r="F1" i="490"/>
  <c r="F1" i="489"/>
  <c r="D27" i="316"/>
  <c r="F28" i="248" s="1"/>
  <c r="M207" i="1"/>
  <c r="L205" i="167" l="1"/>
  <c r="L206" i="167" s="1"/>
  <c r="Q155" i="1" s="1"/>
  <c r="N122" i="167"/>
  <c r="N118" i="167"/>
  <c r="H28" i="478"/>
  <c r="M113" i="1"/>
  <c r="H34" i="478" s="1"/>
  <c r="M112" i="1"/>
  <c r="D28" i="495" s="1"/>
  <c r="G29" i="248" s="1"/>
  <c r="M111" i="1"/>
  <c r="M110" i="1"/>
  <c r="F99" i="478"/>
  <c r="H60" i="478"/>
  <c r="F60" i="478"/>
  <c r="F16" i="478"/>
  <c r="F12" i="478"/>
  <c r="H145" i="142" l="1"/>
  <c r="D22" i="497"/>
  <c r="I23" i="248" s="1"/>
  <c r="D19" i="497"/>
  <c r="I20" i="248" s="1"/>
  <c r="D29" i="424"/>
  <c r="N3" i="467"/>
  <c r="D23" i="497" s="1"/>
  <c r="I24" i="248" s="1"/>
  <c r="Y197" i="1"/>
  <c r="Y198" i="1" s="1"/>
  <c r="N199" i="167"/>
  <c r="F34" i="478"/>
  <c r="N120" i="167"/>
  <c r="N124" i="167" s="1"/>
  <c r="N205" i="167" s="1"/>
  <c r="N202" i="167"/>
  <c r="N204" i="167" s="1"/>
  <c r="F28" i="478"/>
  <c r="H71" i="466"/>
  <c r="I71" i="466" s="1"/>
  <c r="J71" i="466" s="1"/>
  <c r="K71" i="466" s="1"/>
  <c r="H69" i="466"/>
  <c r="I69" i="466" s="1"/>
  <c r="J69" i="466" s="1"/>
  <c r="K69" i="466" s="1"/>
  <c r="H67" i="466"/>
  <c r="I67" i="466" s="1"/>
  <c r="J67" i="466" s="1"/>
  <c r="K67" i="466" s="1"/>
  <c r="H65" i="466"/>
  <c r="I65" i="466" s="1"/>
  <c r="J65" i="466" s="1"/>
  <c r="K65" i="466" s="1"/>
  <c r="H58" i="466"/>
  <c r="I58" i="466" s="1"/>
  <c r="J58" i="466" s="1"/>
  <c r="K58" i="466" s="1"/>
  <c r="H57" i="466"/>
  <c r="I57" i="466" s="1"/>
  <c r="J57" i="466" s="1"/>
  <c r="K57" i="466" s="1"/>
  <c r="H56" i="466"/>
  <c r="I56" i="466" s="1"/>
  <c r="J56" i="466" s="1"/>
  <c r="K56" i="466" s="1"/>
  <c r="H47" i="466"/>
  <c r="I47" i="466" s="1"/>
  <c r="J47" i="466" s="1"/>
  <c r="K47" i="466" s="1"/>
  <c r="I32" i="466"/>
  <c r="J32" i="466" s="1"/>
  <c r="K32" i="466" s="1"/>
  <c r="H38" i="466"/>
  <c r="I38" i="466" s="1"/>
  <c r="J38" i="466" s="1"/>
  <c r="K38" i="466" s="1"/>
  <c r="H37" i="466"/>
  <c r="I37" i="466" s="1"/>
  <c r="J37" i="466" s="1"/>
  <c r="K37" i="466" s="1"/>
  <c r="H36" i="466"/>
  <c r="I36" i="466" s="1"/>
  <c r="J36" i="466" s="1"/>
  <c r="K36" i="466" s="1"/>
  <c r="H35" i="466"/>
  <c r="I35" i="466" s="1"/>
  <c r="J35" i="466" s="1"/>
  <c r="K35" i="466" s="1"/>
  <c r="H34" i="466"/>
  <c r="I34" i="466" s="1"/>
  <c r="J34" i="466" s="1"/>
  <c r="K34" i="466" s="1"/>
  <c r="H33" i="466"/>
  <c r="I33" i="466" s="1"/>
  <c r="J33" i="466" s="1"/>
  <c r="K33" i="466" s="1"/>
  <c r="H32" i="466"/>
  <c r="H31" i="466"/>
  <c r="I31" i="466" s="1"/>
  <c r="J31" i="466" s="1"/>
  <c r="K31" i="466" s="1"/>
  <c r="I25" i="466"/>
  <c r="J25" i="466" s="1"/>
  <c r="K25" i="466" s="1"/>
  <c r="I24" i="466"/>
  <c r="J24" i="466" s="1"/>
  <c r="K24" i="466" s="1"/>
  <c r="H18" i="466"/>
  <c r="I18" i="466" s="1"/>
  <c r="J18" i="466" s="1"/>
  <c r="K18" i="466" s="1"/>
  <c r="G183" i="167"/>
  <c r="G200" i="167"/>
  <c r="G182" i="167"/>
  <c r="H183" i="478"/>
  <c r="I169" i="478"/>
  <c r="E41" i="495" s="1"/>
  <c r="H99" i="478"/>
  <c r="H98" i="478"/>
  <c r="I98" i="478" s="1"/>
  <c r="H97" i="478"/>
  <c r="I97" i="478" s="1"/>
  <c r="G72" i="478"/>
  <c r="AL67" i="478"/>
  <c r="AL60" i="478"/>
  <c r="J60" i="478"/>
  <c r="AL59" i="478"/>
  <c r="AL52" i="478"/>
  <c r="J52" i="478"/>
  <c r="J34" i="478"/>
  <c r="J28" i="478"/>
  <c r="F13" i="478"/>
  <c r="C2" i="478"/>
  <c r="F102" i="478"/>
  <c r="O137" i="1"/>
  <c r="Q137" i="1" s="1"/>
  <c r="S137" i="1" s="1"/>
  <c r="M120" i="1"/>
  <c r="H93" i="478" s="1"/>
  <c r="M109" i="1"/>
  <c r="O109" i="1" s="1"/>
  <c r="Q109" i="1" s="1"/>
  <c r="S109" i="1" s="1"/>
  <c r="M108" i="1"/>
  <c r="O108" i="1" s="1"/>
  <c r="Q108" i="1" s="1"/>
  <c r="S108" i="1" s="1"/>
  <c r="M107" i="1"/>
  <c r="O107" i="1" s="1"/>
  <c r="Q107" i="1" s="1"/>
  <c r="S107" i="1" s="1"/>
  <c r="M106" i="1"/>
  <c r="O106" i="1" s="1"/>
  <c r="Q106" i="1" s="1"/>
  <c r="S106" i="1" s="1"/>
  <c r="M105" i="1"/>
  <c r="I60" i="315"/>
  <c r="D50" i="316" s="1"/>
  <c r="F51" i="248" s="1"/>
  <c r="M127" i="1"/>
  <c r="M126" i="1"/>
  <c r="F96" i="315"/>
  <c r="F95" i="315"/>
  <c r="F94" i="315"/>
  <c r="H34" i="315"/>
  <c r="M67" i="1"/>
  <c r="M66" i="1"/>
  <c r="O66" i="1" s="1"/>
  <c r="Q66" i="1" s="1"/>
  <c r="S66" i="1" s="1"/>
  <c r="M65" i="1"/>
  <c r="O65" i="1" s="1"/>
  <c r="Q65" i="1" s="1"/>
  <c r="S65" i="1" s="1"/>
  <c r="M64" i="1"/>
  <c r="O64" i="1" s="1"/>
  <c r="Q64" i="1" s="1"/>
  <c r="S64" i="1" s="1"/>
  <c r="M63" i="1"/>
  <c r="O63" i="1" s="1"/>
  <c r="Q63" i="1" s="1"/>
  <c r="S63" i="1" s="1"/>
  <c r="M62" i="1"/>
  <c r="M61" i="1"/>
  <c r="J53" i="478" s="1"/>
  <c r="M56" i="1"/>
  <c r="O56" i="1" s="1"/>
  <c r="Q56" i="1" s="1"/>
  <c r="S56" i="1" s="1"/>
  <c r="M55" i="1"/>
  <c r="O55" i="1" s="1"/>
  <c r="Q55" i="1" s="1"/>
  <c r="S55" i="1" s="1"/>
  <c r="M54" i="1"/>
  <c r="O54" i="1" s="1"/>
  <c r="Q54" i="1" s="1"/>
  <c r="S54" i="1" s="1"/>
  <c r="M53" i="1"/>
  <c r="O53" i="1" s="1"/>
  <c r="Q53" i="1" s="1"/>
  <c r="S53" i="1" s="1"/>
  <c r="M37" i="1"/>
  <c r="M35" i="1"/>
  <c r="J29" i="478" s="1"/>
  <c r="M34" i="1"/>
  <c r="M32" i="1"/>
  <c r="M31" i="1"/>
  <c r="M30" i="1"/>
  <c r="M29" i="1"/>
  <c r="M28" i="1"/>
  <c r="M27" i="1"/>
  <c r="M26" i="1"/>
  <c r="M25" i="1"/>
  <c r="M24" i="1"/>
  <c r="M23" i="1"/>
  <c r="M19" i="1"/>
  <c r="G188" i="167"/>
  <c r="G130" i="167"/>
  <c r="F97" i="167"/>
  <c r="F64" i="167"/>
  <c r="C27" i="167"/>
  <c r="F9" i="167"/>
  <c r="F6" i="167"/>
  <c r="H123" i="315"/>
  <c r="F102" i="315"/>
  <c r="F93" i="315"/>
  <c r="F92" i="315"/>
  <c r="H60" i="315"/>
  <c r="F60" i="315"/>
  <c r="I59" i="315"/>
  <c r="D51" i="316" s="1"/>
  <c r="F52" i="248" s="1"/>
  <c r="H52" i="315"/>
  <c r="F52" i="315"/>
  <c r="H44" i="315"/>
  <c r="F44" i="315"/>
  <c r="H32" i="315"/>
  <c r="F32" i="315"/>
  <c r="H31" i="315"/>
  <c r="F31" i="315"/>
  <c r="H30" i="315"/>
  <c r="F30" i="315"/>
  <c r="F16" i="315"/>
  <c r="F12" i="315"/>
  <c r="F10" i="315"/>
  <c r="M51" i="1"/>
  <c r="J46" i="478" s="1"/>
  <c r="M49" i="1"/>
  <c r="J43" i="478" s="1"/>
  <c r="F8" i="167"/>
  <c r="I57" i="315"/>
  <c r="D48" i="316" s="1"/>
  <c r="F49" i="248" s="1"/>
  <c r="M48" i="1"/>
  <c r="O48" i="1" s="1"/>
  <c r="Q48" i="1" s="1"/>
  <c r="S48" i="1" s="1"/>
  <c r="M47" i="1"/>
  <c r="O47" i="1" s="1"/>
  <c r="Q47" i="1" s="1"/>
  <c r="S47" i="1" s="1"/>
  <c r="M46" i="1"/>
  <c r="O46" i="1" s="1"/>
  <c r="Q46" i="1" s="1"/>
  <c r="S46" i="1" s="1"/>
  <c r="M45" i="1"/>
  <c r="O45" i="1" s="1"/>
  <c r="Q45" i="1" s="1"/>
  <c r="S45" i="1" s="1"/>
  <c r="M44" i="1"/>
  <c r="O44" i="1" s="1"/>
  <c r="Q44" i="1" s="1"/>
  <c r="S44" i="1" s="1"/>
  <c r="M43" i="1"/>
  <c r="O43" i="1" s="1"/>
  <c r="Q43" i="1" s="1"/>
  <c r="S43" i="1" s="1"/>
  <c r="M42" i="1"/>
  <c r="O42" i="1" s="1"/>
  <c r="Q42" i="1" s="1"/>
  <c r="S42" i="1" s="1"/>
  <c r="M20" i="1"/>
  <c r="O20" i="1" s="1"/>
  <c r="Q20" i="1" s="1"/>
  <c r="S20" i="1" s="1"/>
  <c r="K153" i="1"/>
  <c r="D10" i="371" l="1"/>
  <c r="D31" i="496"/>
  <c r="H32" i="248" s="1"/>
  <c r="D10" i="495"/>
  <c r="E10" i="495" s="1"/>
  <c r="I46" i="489"/>
  <c r="D30" i="497"/>
  <c r="I31" i="248" s="1"/>
  <c r="J25" i="478"/>
  <c r="I25" i="478"/>
  <c r="J26" i="478"/>
  <c r="I26" i="478"/>
  <c r="J24" i="478"/>
  <c r="J27" i="478"/>
  <c r="I27" i="478"/>
  <c r="H183" i="489"/>
  <c r="Y199" i="1"/>
  <c r="Y200" i="1"/>
  <c r="H30" i="478"/>
  <c r="J30" i="478" s="1"/>
  <c r="F30" i="478"/>
  <c r="N206" i="167"/>
  <c r="S155" i="1" s="1"/>
  <c r="Q58" i="482"/>
  <c r="M37" i="483"/>
  <c r="N37" i="483" s="1"/>
  <c r="J188" i="167"/>
  <c r="J149" i="167"/>
  <c r="J151" i="167" s="1"/>
  <c r="J152" i="167" s="1"/>
  <c r="J153" i="167" s="1"/>
  <c r="F10" i="478"/>
  <c r="I63" i="478"/>
  <c r="O105" i="1"/>
  <c r="O142" i="1"/>
  <c r="D12" i="316"/>
  <c r="F13" i="248" s="1"/>
  <c r="G201" i="167"/>
  <c r="G203" i="167" s="1"/>
  <c r="I30" i="478"/>
  <c r="I93" i="478"/>
  <c r="F93" i="478"/>
  <c r="O120" i="1"/>
  <c r="F92" i="478"/>
  <c r="I92" i="478"/>
  <c r="O121" i="1"/>
  <c r="G97" i="167"/>
  <c r="H190" i="478"/>
  <c r="H198" i="478" s="1"/>
  <c r="I57" i="478"/>
  <c r="M122" i="1"/>
  <c r="F95" i="478"/>
  <c r="I95" i="478"/>
  <c r="O123" i="1"/>
  <c r="O67" i="1"/>
  <c r="I60" i="478"/>
  <c r="M124" i="1"/>
  <c r="O125" i="1"/>
  <c r="H58" i="481" s="1"/>
  <c r="I58" i="481" s="1"/>
  <c r="D53" i="496" s="1"/>
  <c r="O62" i="1"/>
  <c r="M33" i="1"/>
  <c r="F28" i="315"/>
  <c r="H28" i="315"/>
  <c r="F34" i="315"/>
  <c r="H188" i="315"/>
  <c r="H154" i="142" l="1"/>
  <c r="D30" i="498" s="1"/>
  <c r="J31" i="248" s="1"/>
  <c r="D19" i="498"/>
  <c r="J20" i="248" s="1"/>
  <c r="D22" i="498"/>
  <c r="J23" i="248" s="1"/>
  <c r="D49" i="371"/>
  <c r="D52" i="495"/>
  <c r="D48" i="371"/>
  <c r="D48" i="495"/>
  <c r="G49" i="248" s="1"/>
  <c r="E50" i="495"/>
  <c r="D50" i="495"/>
  <c r="Q69" i="482"/>
  <c r="Q71" i="482" s="1"/>
  <c r="Q73" i="482" s="1"/>
  <c r="R58" i="482"/>
  <c r="R69" i="482" s="1"/>
  <c r="Z197" i="1"/>
  <c r="Z198" i="1" s="1"/>
  <c r="Q3" i="467"/>
  <c r="D23" i="498" s="1"/>
  <c r="J24" i="248" s="1"/>
  <c r="Y201" i="1"/>
  <c r="Y202" i="1" s="1"/>
  <c r="S58" i="482"/>
  <c r="S69" i="482" s="1"/>
  <c r="S71" i="482" s="1"/>
  <c r="S73" i="482" s="1"/>
  <c r="Q120" i="1"/>
  <c r="H93" i="481"/>
  <c r="I93" i="481"/>
  <c r="F93" i="481"/>
  <c r="Q105" i="1"/>
  <c r="I60" i="481"/>
  <c r="Q125" i="1"/>
  <c r="H58" i="489" s="1"/>
  <c r="I58" i="489" s="1"/>
  <c r="D53" i="497" s="1"/>
  <c r="Q67" i="1"/>
  <c r="I63" i="481"/>
  <c r="D52" i="496" s="1"/>
  <c r="Q121" i="1"/>
  <c r="H92" i="481"/>
  <c r="F92" i="481"/>
  <c r="I92" i="481"/>
  <c r="Q123" i="1"/>
  <c r="H95" i="481"/>
  <c r="I95" i="481"/>
  <c r="F95" i="481"/>
  <c r="Q62" i="1"/>
  <c r="Q142" i="1"/>
  <c r="F102" i="481"/>
  <c r="G202" i="167"/>
  <c r="G204" i="167" s="1"/>
  <c r="G206" i="167" s="1"/>
  <c r="F94" i="478"/>
  <c r="O122" i="1"/>
  <c r="F96" i="478"/>
  <c r="H96" i="478" s="1"/>
  <c r="I96" i="478" s="1"/>
  <c r="O124" i="1"/>
  <c r="D10" i="109"/>
  <c r="F74" i="106"/>
  <c r="D29" i="444" l="1"/>
  <c r="H22" i="227"/>
  <c r="G51" i="248"/>
  <c r="I25" i="227"/>
  <c r="H53" i="248"/>
  <c r="H25" i="227"/>
  <c r="G53" i="248"/>
  <c r="Y203" i="1"/>
  <c r="P6" i="467" s="1"/>
  <c r="D50" i="496"/>
  <c r="E50" i="496"/>
  <c r="R71" i="482"/>
  <c r="R73" i="482" s="1"/>
  <c r="Z200" i="1"/>
  <c r="Z199" i="1"/>
  <c r="W197" i="1"/>
  <c r="H3" i="467"/>
  <c r="D23" i="495" s="1"/>
  <c r="G24" i="248" s="1"/>
  <c r="S125" i="1"/>
  <c r="H58" i="490" s="1"/>
  <c r="I58" i="490" s="1"/>
  <c r="D53" i="498" s="1"/>
  <c r="S121" i="1"/>
  <c r="H92" i="489"/>
  <c r="I92" i="489"/>
  <c r="F92" i="489"/>
  <c r="Q122" i="1"/>
  <c r="F94" i="481"/>
  <c r="S62" i="1"/>
  <c r="S67" i="1"/>
  <c r="I63" i="490" s="1"/>
  <c r="D52" i="498" s="1"/>
  <c r="I63" i="489"/>
  <c r="D52" i="497" s="1"/>
  <c r="S123" i="1"/>
  <c r="H95" i="489"/>
  <c r="I95" i="489"/>
  <c r="F95" i="489"/>
  <c r="S105" i="1"/>
  <c r="I60" i="490" s="1"/>
  <c r="I60" i="489"/>
  <c r="S142" i="1"/>
  <c r="F102" i="490" s="1"/>
  <c r="F102" i="489"/>
  <c r="Q124" i="1"/>
  <c r="F96" i="481"/>
  <c r="H96" i="481" s="1"/>
  <c r="I96" i="481" s="1"/>
  <c r="S120" i="1"/>
  <c r="H93" i="489"/>
  <c r="I93" i="489"/>
  <c r="F93" i="489"/>
  <c r="M155" i="1"/>
  <c r="J199" i="167"/>
  <c r="J203" i="167" s="1"/>
  <c r="J204" i="167" s="1"/>
  <c r="J206" i="167" s="1"/>
  <c r="O155" i="1" s="1"/>
  <c r="H63" i="466"/>
  <c r="D6" i="467"/>
  <c r="I22" i="227" l="1"/>
  <c r="H51" i="248"/>
  <c r="J25" i="227"/>
  <c r="I53" i="248"/>
  <c r="H136" i="142"/>
  <c r="D30" i="496" s="1"/>
  <c r="H31" i="248" s="1"/>
  <c r="D19" i="496"/>
  <c r="H20" i="248" s="1"/>
  <c r="D22" i="496"/>
  <c r="H23" i="248" s="1"/>
  <c r="D22" i="495"/>
  <c r="G23" i="248" s="1"/>
  <c r="D19" i="495"/>
  <c r="G20" i="248" s="1"/>
  <c r="K25" i="227"/>
  <c r="J53" i="248"/>
  <c r="E50" i="498"/>
  <c r="D50" i="498"/>
  <c r="D50" i="497"/>
  <c r="E50" i="497"/>
  <c r="I67" i="478"/>
  <c r="H127" i="142"/>
  <c r="K3" i="467"/>
  <c r="D23" i="496" s="1"/>
  <c r="H24" i="248" s="1"/>
  <c r="X197" i="1"/>
  <c r="X198" i="1" s="1"/>
  <c r="Z201" i="1"/>
  <c r="Z202" i="1" s="1"/>
  <c r="L199" i="167"/>
  <c r="I67" i="481"/>
  <c r="H92" i="490"/>
  <c r="I92" i="490"/>
  <c r="F92" i="490"/>
  <c r="S124" i="1"/>
  <c r="F96" i="490" s="1"/>
  <c r="H96" i="490" s="1"/>
  <c r="I96" i="490" s="1"/>
  <c r="F96" i="489"/>
  <c r="H96" i="489" s="1"/>
  <c r="I96" i="489" s="1"/>
  <c r="I95" i="490"/>
  <c r="F95" i="490"/>
  <c r="H95" i="490"/>
  <c r="H93" i="490"/>
  <c r="I93" i="490"/>
  <c r="F93" i="490"/>
  <c r="S122" i="1"/>
  <c r="F94" i="490" s="1"/>
  <c r="F94" i="489"/>
  <c r="I63" i="466"/>
  <c r="D16" i="109"/>
  <c r="F2" i="106"/>
  <c r="K2" i="107" s="1"/>
  <c r="F1" i="106"/>
  <c r="K1" i="107" s="1"/>
  <c r="Z203" i="1" l="1"/>
  <c r="D29" i="408"/>
  <c r="J22" i="227"/>
  <c r="I51" i="248"/>
  <c r="K22" i="227"/>
  <c r="J51" i="248"/>
  <c r="I46" i="478"/>
  <c r="D30" i="495"/>
  <c r="G31" i="248" s="1"/>
  <c r="D58" i="496"/>
  <c r="E58" i="496"/>
  <c r="D53" i="371"/>
  <c r="D58" i="495"/>
  <c r="E58" i="495"/>
  <c r="D29" i="371"/>
  <c r="X199" i="1"/>
  <c r="X200" i="1"/>
  <c r="I67" i="489"/>
  <c r="J63" i="466"/>
  <c r="K63" i="466" s="1"/>
  <c r="L131" i="167" s="1"/>
  <c r="J131" i="167"/>
  <c r="M39" i="1"/>
  <c r="M40" i="1"/>
  <c r="D101" i="495" l="1"/>
  <c r="G59" i="248"/>
  <c r="D101" i="496"/>
  <c r="H59" i="248"/>
  <c r="E58" i="497"/>
  <c r="D58" i="497"/>
  <c r="X201" i="1"/>
  <c r="X202" i="1" s="1"/>
  <c r="I67" i="490"/>
  <c r="H32" i="478"/>
  <c r="F32" i="478"/>
  <c r="H31" i="478"/>
  <c r="F31" i="478"/>
  <c r="X203" i="1" l="1"/>
  <c r="M6" i="467" s="1"/>
  <c r="D101" i="497"/>
  <c r="I59" i="248"/>
  <c r="D58" i="498"/>
  <c r="E58" i="498"/>
  <c r="I40" i="489"/>
  <c r="I48" i="489"/>
  <c r="D40" i="497" s="1"/>
  <c r="I41" i="248" s="1"/>
  <c r="I29" i="489"/>
  <c r="I42" i="489"/>
  <c r="I50" i="489"/>
  <c r="D43" i="497" s="1"/>
  <c r="I44" i="248" s="1"/>
  <c r="I41" i="489"/>
  <c r="O61" i="489"/>
  <c r="I37" i="489"/>
  <c r="I170" i="489" s="1"/>
  <c r="E41" i="497" s="1"/>
  <c r="I39" i="489"/>
  <c r="I36" i="489"/>
  <c r="I47" i="489"/>
  <c r="I38" i="489"/>
  <c r="I49" i="489"/>
  <c r="D38" i="497" s="1"/>
  <c r="I39" i="248" s="1"/>
  <c r="I214" i="167"/>
  <c r="G214" i="167"/>
  <c r="F214" i="167"/>
  <c r="E214" i="167"/>
  <c r="D214" i="167"/>
  <c r="D101" i="498" l="1"/>
  <c r="J59" i="248"/>
  <c r="I29" i="490"/>
  <c r="I46" i="490"/>
  <c r="I39" i="490"/>
  <c r="I48" i="490"/>
  <c r="I42" i="490"/>
  <c r="I50" i="490"/>
  <c r="D43" i="498" s="1"/>
  <c r="J44" i="248" s="1"/>
  <c r="I36" i="490"/>
  <c r="O61" i="490"/>
  <c r="I41" i="490"/>
  <c r="I37" i="490"/>
  <c r="I170" i="490" s="1"/>
  <c r="E37" i="498" s="1"/>
  <c r="I47" i="490"/>
  <c r="I49" i="490"/>
  <c r="D38" i="498" s="1"/>
  <c r="J39" i="248" s="1"/>
  <c r="I40" i="490"/>
  <c r="I38" i="490"/>
  <c r="H15" i="109"/>
  <c r="H11" i="109"/>
  <c r="H196" i="315"/>
  <c r="H183" i="315"/>
  <c r="H183" i="481" s="1"/>
  <c r="H183" i="490" s="1"/>
  <c r="D40" i="498" l="1"/>
  <c r="J41" i="248" s="1"/>
  <c r="G193" i="167"/>
  <c r="I63" i="315" l="1"/>
  <c r="D52" i="316" l="1"/>
  <c r="W183" i="1"/>
  <c r="W188" i="1" s="1"/>
  <c r="G25" i="227" l="1"/>
  <c r="F53" i="248"/>
  <c r="W184" i="1"/>
  <c r="W185" i="1" s="1"/>
  <c r="W186" i="1" l="1"/>
  <c r="W187" i="1" s="1"/>
  <c r="W189" i="1" l="1"/>
  <c r="W191" i="1" s="1"/>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K52" i="477" s="1"/>
  <c r="DG94" i="477"/>
  <c r="DG52" i="477" s="1"/>
  <c r="DC94" i="477"/>
  <c r="DC52" i="477" s="1"/>
  <c r="CY94" i="477"/>
  <c r="CY52" i="477" s="1"/>
  <c r="CU94" i="477"/>
  <c r="CU52" i="477" s="1"/>
  <c r="CQ94" i="477"/>
  <c r="CQ52" i="477" s="1"/>
  <c r="CM94" i="477"/>
  <c r="CM52" i="477" s="1"/>
  <c r="CI94" i="477"/>
  <c r="CI52" i="477" s="1"/>
  <c r="CE94" i="477"/>
  <c r="CE52" i="477" s="1"/>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C18" i="477"/>
  <c r="CE18" i="477" s="1"/>
  <c r="CG18" i="477" s="1"/>
  <c r="CI18" i="477" s="1"/>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C14" i="477"/>
  <c r="C16" i="477" s="1"/>
  <c r="EG13" i="477"/>
  <c r="DY13" i="477"/>
  <c r="EA13" i="477" s="1"/>
  <c r="DQ13" i="477"/>
  <c r="DS13" i="477" s="1"/>
  <c r="DU13" i="477" s="1"/>
  <c r="DI13" i="477"/>
  <c r="DK13" i="477" s="1"/>
  <c r="DA13" i="477"/>
  <c r="CS13" i="477"/>
  <c r="CU13" i="477" s="1"/>
  <c r="CK13" i="477"/>
  <c r="CM13" i="477" s="1"/>
  <c r="CO13" i="477" s="1"/>
  <c r="CC13" i="477"/>
  <c r="CE13" i="477" s="1"/>
  <c r="C13" i="477"/>
  <c r="E13" i="477" s="1"/>
  <c r="BQ10" i="477"/>
  <c r="BR10" i="477" s="1"/>
  <c r="EK9" i="477"/>
  <c r="EM9" i="477" s="1"/>
  <c r="EG9" i="477"/>
  <c r="EI9" i="477" s="1"/>
  <c r="EC9" i="477"/>
  <c r="EE9" i="477" s="1"/>
  <c r="DY9" i="477"/>
  <c r="EA9" i="477" s="1"/>
  <c r="DU9" i="477"/>
  <c r="DW9" i="477" s="1"/>
  <c r="DQ9" i="477"/>
  <c r="DS9" i="477" s="1"/>
  <c r="DM9" i="477"/>
  <c r="DO9" i="477" s="1"/>
  <c r="DI9" i="477"/>
  <c r="DK9" i="477" s="1"/>
  <c r="DE9" i="477"/>
  <c r="DG9" i="477" s="1"/>
  <c r="DA9" i="477"/>
  <c r="DC9" i="477" s="1"/>
  <c r="CW9" i="477"/>
  <c r="CY9" i="477" s="1"/>
  <c r="CS9" i="477"/>
  <c r="CU9" i="477" s="1"/>
  <c r="CO9" i="477"/>
  <c r="CQ9" i="477" s="1"/>
  <c r="CK9" i="477"/>
  <c r="CM9" i="477" s="1"/>
  <c r="CG9" i="477"/>
  <c r="CI9" i="477" s="1"/>
  <c r="CC9" i="477"/>
  <c r="CE9" i="477" s="1"/>
  <c r="BK9" i="477"/>
  <c r="BM9" i="477" s="1"/>
  <c r="BC9" i="477"/>
  <c r="BE9" i="477" s="1"/>
  <c r="AU9" i="477"/>
  <c r="AW9" i="477" s="1"/>
  <c r="AM9" i="477"/>
  <c r="AO9" i="477" s="1"/>
  <c r="AE9" i="477"/>
  <c r="AG9" i="477" s="1"/>
  <c r="W9" i="477"/>
  <c r="Y9" i="477" s="1"/>
  <c r="O9" i="477"/>
  <c r="Q9" i="477" s="1"/>
  <c r="G9" i="477"/>
  <c r="I9" i="477" s="1"/>
  <c r="C9" i="477"/>
  <c r="E9" i="477" s="1"/>
  <c r="BI7" i="477"/>
  <c r="BK7" i="477" s="1"/>
  <c r="BM7" i="477" s="1"/>
  <c r="BA7" i="477"/>
  <c r="BC7" i="477" s="1"/>
  <c r="BE7" i="477" s="1"/>
  <c r="W192" i="1" l="1"/>
  <c r="W193" i="1" s="1"/>
  <c r="G6" i="467"/>
  <c r="CY40" i="477"/>
  <c r="CY41" i="477" s="1"/>
  <c r="CW41" i="477"/>
  <c r="D8" i="467"/>
  <c r="CU39" i="477"/>
  <c r="CU41" i="477" s="1"/>
  <c r="CO42" i="477"/>
  <c r="CO52" i="477" s="1"/>
  <c r="CQ40" i="477"/>
  <c r="CQ42" i="477" s="1"/>
  <c r="CQ91" i="477" s="1"/>
  <c r="CC16" i="477"/>
  <c r="CC17" i="477" s="1"/>
  <c r="CC19" i="477" s="1"/>
  <c r="CC27" i="477" s="1"/>
  <c r="C21" i="477"/>
  <c r="CM14" i="477"/>
  <c r="E14" i="477"/>
  <c r="DS14" i="477"/>
  <c r="DC14" i="477"/>
  <c r="EI14" i="477"/>
  <c r="DA21" i="477"/>
  <c r="EA20" i="477"/>
  <c r="EC20" i="477" s="1"/>
  <c r="DI16" i="477"/>
  <c r="DI17" i="477" s="1"/>
  <c r="DI19" i="477" s="1"/>
  <c r="DI27" i="477" s="1"/>
  <c r="DQ21" i="477"/>
  <c r="DS20" i="477"/>
  <c r="CQ13" i="477"/>
  <c r="DW13"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C13" i="477"/>
  <c r="EG17" i="477"/>
  <c r="EI13" i="477"/>
  <c r="CG14" i="477"/>
  <c r="CE16" i="477"/>
  <c r="CE17" i="477" s="1"/>
  <c r="CE19" i="477" s="1"/>
  <c r="DM14" i="477"/>
  <c r="DK16" i="477"/>
  <c r="DK17" i="477" s="1"/>
  <c r="DK19" i="477" s="1"/>
  <c r="DY16" i="477"/>
  <c r="DY17" i="477" s="1"/>
  <c r="CM20" i="477"/>
  <c r="CK21" i="477"/>
  <c r="DQ17" i="477"/>
  <c r="DQ19" i="477" s="1"/>
  <c r="CG13" i="477"/>
  <c r="DM13" i="477"/>
  <c r="CS16" i="477"/>
  <c r="CS17" i="477" s="1"/>
  <c r="CS19" i="477" s="1"/>
  <c r="CS27" i="477" s="1"/>
  <c r="CU20" i="477"/>
  <c r="G13" i="477"/>
  <c r="CW91" i="477"/>
  <c r="CW52" i="477"/>
  <c r="EI20" i="477"/>
  <c r="CE20" i="477"/>
  <c r="DK20" i="477"/>
  <c r="CW43" i="477"/>
  <c r="CG42" i="477"/>
  <c r="CG41" i="477"/>
  <c r="CI40" i="477"/>
  <c r="CM39" i="477"/>
  <c r="CM41" i="477" s="1"/>
  <c r="CK41" i="477"/>
  <c r="CE39" i="477"/>
  <c r="CE41" i="477" s="1"/>
  <c r="CC41" i="477"/>
  <c r="G136" i="167"/>
  <c r="G137" i="167" s="1"/>
  <c r="CQ41" i="477" l="1"/>
  <c r="CY42" i="477"/>
  <c r="CY91" i="477" s="1"/>
  <c r="DA27" i="477"/>
  <c r="CQ43" i="477"/>
  <c r="CQ44" i="477" s="1"/>
  <c r="CO43" i="477"/>
  <c r="CO44" i="477" s="1"/>
  <c r="CO45" i="477" s="1"/>
  <c r="CQ45" i="477" s="1"/>
  <c r="CO91" i="477"/>
  <c r="EA21" i="477"/>
  <c r="C27" i="477"/>
  <c r="G14" i="477"/>
  <c r="E16" i="477"/>
  <c r="E17" i="477" s="1"/>
  <c r="E19" i="477" s="1"/>
  <c r="CO14" i="477"/>
  <c r="CM16" i="477"/>
  <c r="CM17" i="477" s="1"/>
  <c r="CM19" i="477" s="1"/>
  <c r="EK14" i="477"/>
  <c r="EI16" i="477"/>
  <c r="EI17" i="477" s="1"/>
  <c r="DQ27" i="477"/>
  <c r="DE14" i="477"/>
  <c r="DC16" i="477"/>
  <c r="DC17" i="477" s="1"/>
  <c r="DC19" i="477" s="1"/>
  <c r="DU14" i="477"/>
  <c r="DS16" i="477"/>
  <c r="DS17" i="477" s="1"/>
  <c r="DS19" i="477" s="1"/>
  <c r="CW20" i="477"/>
  <c r="CU21" i="477"/>
  <c r="DO14" i="477"/>
  <c r="DO16" i="477" s="1"/>
  <c r="DM16" i="477"/>
  <c r="DM17" i="477" s="1"/>
  <c r="DM19" i="477" s="1"/>
  <c r="AI13" i="477"/>
  <c r="AC13" i="477"/>
  <c r="CY13" i="477"/>
  <c r="CG91" i="477"/>
  <c r="CG52" i="477"/>
  <c r="CG43"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CK27" i="477"/>
  <c r="CY14" i="477"/>
  <c r="CY16" i="477" s="1"/>
  <c r="CW16" i="477"/>
  <c r="CW17" i="477" s="1"/>
  <c r="CW19" i="477" s="1"/>
  <c r="DU20" i="477"/>
  <c r="DS21" i="477"/>
  <c r="CG20" i="477"/>
  <c r="CE21" i="477"/>
  <c r="I13" i="477"/>
  <c r="DE13" i="477"/>
  <c r="CI13" i="477"/>
  <c r="EE13" i="477"/>
  <c r="AA14" i="477"/>
  <c r="U14" i="477"/>
  <c r="CI41" i="477"/>
  <c r="CI42" i="477"/>
  <c r="CW92" i="477"/>
  <c r="CW51" i="477" s="1"/>
  <c r="CW44" i="477"/>
  <c r="CW45" i="477" s="1"/>
  <c r="CY45" i="477" s="1"/>
  <c r="W13" i="477"/>
  <c r="I216" i="167"/>
  <c r="G216" i="167"/>
  <c r="F216" i="167"/>
  <c r="E216" i="167"/>
  <c r="D216" i="167"/>
  <c r="D217" i="167" s="1"/>
  <c r="M9" i="467" l="1"/>
  <c r="N11" i="467" s="1"/>
  <c r="N13" i="467" s="1"/>
  <c r="P9" i="467"/>
  <c r="Q11" i="467" s="1"/>
  <c r="Q13" i="467" s="1"/>
  <c r="CY43" i="477"/>
  <c r="CY44" i="477" s="1"/>
  <c r="CQ47" i="477"/>
  <c r="CQ55" i="477" s="1"/>
  <c r="CO92" i="477"/>
  <c r="CO51" i="477" s="1"/>
  <c r="CO47" i="477"/>
  <c r="CO48"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13" i="477"/>
  <c r="AQ13" i="477"/>
  <c r="AK13" i="477"/>
  <c r="W14" i="477"/>
  <c r="U16" i="477"/>
  <c r="U17" i="477" s="1"/>
  <c r="DO20" i="477"/>
  <c r="DO21" i="477" s="1"/>
  <c r="DM21" i="477"/>
  <c r="DM27" i="477" s="1"/>
  <c r="CW21" i="477"/>
  <c r="CW27" i="477" s="1"/>
  <c r="CY20" i="477"/>
  <c r="CY21" i="477" s="1"/>
  <c r="CG21" i="477"/>
  <c r="CG27" i="477" s="1"/>
  <c r="CI20" i="477"/>
  <c r="CI21"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Y13" i="477"/>
  <c r="I217" i="167"/>
  <c r="G217" i="167"/>
  <c r="F217" i="167"/>
  <c r="E217" i="167"/>
  <c r="Q17" i="467" l="1"/>
  <c r="S94" i="1"/>
  <c r="N17" i="467"/>
  <c r="Q94" i="1"/>
  <c r="CY47" i="477"/>
  <c r="CY55" i="477" s="1"/>
  <c r="CQ48" i="477"/>
  <c r="CQ54" i="477" s="1"/>
  <c r="CO54" i="477"/>
  <c r="CO55" i="477"/>
  <c r="CW48" i="477"/>
  <c r="CW54" i="477" s="1"/>
  <c r="DG17" i="477"/>
  <c r="DG19" i="477" s="1"/>
  <c r="DU27" i="477"/>
  <c r="CO27" i="477"/>
  <c r="EM17" i="477"/>
  <c r="AE14" i="477"/>
  <c r="AC16" i="477"/>
  <c r="AC17" i="477" s="1"/>
  <c r="AI16" i="477"/>
  <c r="AI17" i="477" s="1"/>
  <c r="AQ14" i="477"/>
  <c r="AK14" i="477"/>
  <c r="W16" i="477"/>
  <c r="W17" i="477" s="1"/>
  <c r="Y14" i="477"/>
  <c r="Y16" i="477" s="1"/>
  <c r="Y17" i="477" s="1"/>
  <c r="AM13" i="477"/>
  <c r="CI47" i="477"/>
  <c r="CI44" i="477"/>
  <c r="CY48" i="477"/>
  <c r="CY54" i="477" s="1"/>
  <c r="AS13" i="477"/>
  <c r="AY13" i="477"/>
  <c r="AG13" i="477"/>
  <c r="CG47" i="477"/>
  <c r="I46" i="481" l="1"/>
  <c r="AU13" i="477"/>
  <c r="CI48" i="477"/>
  <c r="CI54" i="477" s="1"/>
  <c r="CI55" i="477"/>
  <c r="AM14" i="477"/>
  <c r="AK16" i="477"/>
  <c r="AK17" i="477" s="1"/>
  <c r="AY14" i="477"/>
  <c r="AS14" i="477"/>
  <c r="AQ16" i="477"/>
  <c r="AQ17" i="477" s="1"/>
  <c r="CG55" i="477"/>
  <c r="CG48" i="477"/>
  <c r="CG54" i="477" s="1"/>
  <c r="AO13" i="477"/>
  <c r="AG14" i="477"/>
  <c r="AG16" i="477" s="1"/>
  <c r="AG17" i="477" s="1"/>
  <c r="AE16" i="477"/>
  <c r="AE17" i="477" s="1"/>
  <c r="BG13" i="477"/>
  <c r="BA13" i="477"/>
  <c r="I50" i="481" l="1"/>
  <c r="D43" i="496" s="1"/>
  <c r="H44" i="248" s="1"/>
  <c r="I40" i="481"/>
  <c r="O61" i="481"/>
  <c r="I48" i="481"/>
  <c r="I38" i="481"/>
  <c r="I47" i="481"/>
  <c r="D40" i="496" s="1"/>
  <c r="H41" i="248" s="1"/>
  <c r="I37" i="481"/>
  <c r="I36" i="481"/>
  <c r="I41" i="481"/>
  <c r="I49" i="481"/>
  <c r="D38" i="496" s="1"/>
  <c r="H39" i="248" s="1"/>
  <c r="I42" i="481"/>
  <c r="I29" i="481"/>
  <c r="I39" i="481"/>
  <c r="BC13" i="477"/>
  <c r="AU14" i="477"/>
  <c r="AS16" i="477"/>
  <c r="AS17" i="477" s="1"/>
  <c r="AY16" i="477"/>
  <c r="AY17" i="477" s="1"/>
  <c r="BA14" i="477"/>
  <c r="BG14" i="477"/>
  <c r="AM16" i="477"/>
  <c r="AM17" i="477" s="1"/>
  <c r="AO14" i="477"/>
  <c r="AO16" i="477" s="1"/>
  <c r="AO17" i="477" s="1"/>
  <c r="AW13" i="477"/>
  <c r="BO13" i="477"/>
  <c r="BI13" i="477"/>
  <c r="BK13" i="477" l="1"/>
  <c r="BO14" i="477"/>
  <c r="BI14" i="477"/>
  <c r="BG16" i="477"/>
  <c r="BG17" i="477" s="1"/>
  <c r="AW14" i="477"/>
  <c r="AW16" i="477" s="1"/>
  <c r="AW17" i="477" s="1"/>
  <c r="AU16" i="477"/>
  <c r="AU17" i="477" s="1"/>
  <c r="BE13" i="477"/>
  <c r="BP13" i="477"/>
  <c r="BQ13" i="477" s="1"/>
  <c r="BR13" i="477" s="1"/>
  <c r="BC14" i="477"/>
  <c r="BA16" i="477"/>
  <c r="BA17" i="477" s="1"/>
  <c r="G181"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BP17" i="477" l="1"/>
  <c r="BQ17" i="477" s="1"/>
  <c r="BR17" i="477" s="1"/>
  <c r="G131" i="167" l="1"/>
  <c r="I169" i="315" l="1"/>
  <c r="AL19" i="167" l="1"/>
  <c r="E24" i="316"/>
  <c r="E50" i="316"/>
  <c r="E51" i="316"/>
  <c r="H44" i="466"/>
  <c r="H120" i="142"/>
  <c r="H119" i="142"/>
  <c r="I44" i="466" l="1"/>
  <c r="I59" i="478"/>
  <c r="E12" i="107"/>
  <c r="C12" i="107"/>
  <c r="E51" i="495" l="1"/>
  <c r="D51" i="495"/>
  <c r="J44" i="466"/>
  <c r="I59" i="481"/>
  <c r="BM144" i="389"/>
  <c r="BI144" i="389"/>
  <c r="BE144" i="389"/>
  <c r="BA144" i="389"/>
  <c r="AW144" i="389"/>
  <c r="AS144" i="389"/>
  <c r="AO144" i="389"/>
  <c r="AK144" i="389"/>
  <c r="AG144" i="389"/>
  <c r="AC144" i="389"/>
  <c r="Y144" i="389"/>
  <c r="U144" i="389"/>
  <c r="Q151" i="389"/>
  <c r="M151" i="389"/>
  <c r="Q144" i="389"/>
  <c r="M144" i="389"/>
  <c r="H24" i="227" l="1"/>
  <c r="G52" i="248"/>
  <c r="E51" i="496"/>
  <c r="D51" i="496"/>
  <c r="K44" i="466"/>
  <c r="I59" i="490" s="1"/>
  <c r="I59" i="489"/>
  <c r="O47" i="302"/>
  <c r="I24" i="227" l="1"/>
  <c r="H52" i="248"/>
  <c r="D51" i="498"/>
  <c r="E51" i="498"/>
  <c r="E51" i="497"/>
  <c r="D51" i="497"/>
  <c r="H39" i="280"/>
  <c r="J39" i="280" s="1"/>
  <c r="H29" i="280"/>
  <c r="J29" i="280" s="1"/>
  <c r="J24" i="227" l="1"/>
  <c r="I52" i="248"/>
  <c r="K24" i="227"/>
  <c r="J52" i="248"/>
  <c r="B3" i="1"/>
  <c r="C3" i="489" l="1"/>
  <c r="C3" i="490"/>
  <c r="D3" i="482"/>
  <c r="D3" i="483"/>
  <c r="C3" i="478"/>
  <c r="C3" i="481"/>
  <c r="C67" i="460" l="1"/>
  <c r="D67" i="460"/>
  <c r="E67" i="460"/>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56" i="460" l="1"/>
  <c r="E34" i="486" s="1"/>
  <c r="D56" i="460"/>
  <c r="D34" i="486" s="1"/>
  <c r="C56" i="460"/>
  <c r="C34" i="486" s="1"/>
  <c r="E95" i="460"/>
  <c r="E51" i="486" s="1"/>
  <c r="D95" i="460"/>
  <c r="D51" i="486" s="1"/>
  <c r="C95" i="460"/>
  <c r="C51" i="486" s="1"/>
  <c r="B95" i="460"/>
  <c r="B51" i="486" s="1"/>
  <c r="C89" i="460"/>
  <c r="D89" i="460" s="1"/>
  <c r="E89" i="460" s="1"/>
  <c r="E66" i="460"/>
  <c r="E68" i="460" s="1"/>
  <c r="D66" i="460"/>
  <c r="D68" i="460" s="1"/>
  <c r="C66" i="460"/>
  <c r="C68" i="460" s="1"/>
  <c r="E35" i="460"/>
  <c r="E61" i="460" s="1"/>
  <c r="E39" i="486" s="1"/>
  <c r="D35" i="460"/>
  <c r="D61" i="460" s="1"/>
  <c r="D39" i="486" s="1"/>
  <c r="C35" i="460"/>
  <c r="C61" i="460" s="1"/>
  <c r="C39" i="486" s="1"/>
  <c r="E55" i="460" l="1"/>
  <c r="E33" i="486" s="1"/>
  <c r="E54" i="460"/>
  <c r="E63" i="460" s="1"/>
  <c r="C55" i="460"/>
  <c r="C33" i="486" s="1"/>
  <c r="C54" i="460"/>
  <c r="D55" i="460"/>
  <c r="D33" i="486" s="1"/>
  <c r="D54" i="460"/>
  <c r="E48" i="460"/>
  <c r="E16" i="486" s="1"/>
  <c r="C48" i="460"/>
  <c r="C16" i="486" s="1"/>
  <c r="D48" i="460"/>
  <c r="D16" i="486" s="1"/>
  <c r="C41" i="460"/>
  <c r="D41" i="460"/>
  <c r="E32" i="486"/>
  <c r="E41" i="486" s="1"/>
  <c r="E41" i="460"/>
  <c r="B66" i="460"/>
  <c r="B68" i="460" s="1"/>
  <c r="B61" i="460"/>
  <c r="B39" i="486" s="1"/>
  <c r="C32" i="486" l="1"/>
  <c r="C41" i="486" s="1"/>
  <c r="C63" i="460"/>
  <c r="D32" i="486"/>
  <c r="D41" i="486" s="1"/>
  <c r="D63" i="460"/>
  <c r="B54" i="460"/>
  <c r="B32" i="486" s="1"/>
  <c r="B55" i="460"/>
  <c r="B33" i="486" s="1"/>
  <c r="B48" i="460"/>
  <c r="B16" i="486" s="1"/>
  <c r="B41" i="460"/>
  <c r="B67" i="460" l="1"/>
  <c r="B1" i="159"/>
  <c r="B56" i="460" l="1"/>
  <c r="B63" i="460" s="1"/>
  <c r="D3" i="281"/>
  <c r="D2" i="281"/>
  <c r="D1" i="281"/>
  <c r="C3" i="108"/>
  <c r="C2" i="108"/>
  <c r="C1" i="108"/>
  <c r="M3" i="74"/>
  <c r="M2" i="74"/>
  <c r="M1" i="74"/>
  <c r="C153" i="1"/>
  <c r="C207" i="1"/>
  <c r="C211" i="1"/>
  <c r="C22" i="108"/>
  <c r="C7" i="108"/>
  <c r="BR94" i="168"/>
  <c r="BR52" i="168" s="1"/>
  <c r="B90" i="460" l="1"/>
  <c r="B34" i="486"/>
  <c r="B41" i="486" s="1"/>
  <c r="D36" i="109"/>
  <c r="D25" i="109"/>
  <c r="D23" i="109"/>
  <c r="K145" i="1"/>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O112" i="1" l="1"/>
  <c r="O111" i="1"/>
  <c r="Q111" i="1" s="1"/>
  <c r="S111" i="1" s="1"/>
  <c r="O110" i="1"/>
  <c r="Q110" i="1" s="1"/>
  <c r="S110" i="1" s="1"/>
  <c r="Q112" i="1" l="1"/>
  <c r="D28" i="496"/>
  <c r="H29" i="248" s="1"/>
  <c r="O42" i="302"/>
  <c r="Q57" i="393"/>
  <c r="S112" i="1" l="1"/>
  <c r="D28" i="498" s="1"/>
  <c r="J29" i="248" s="1"/>
  <c r="D28" i="497"/>
  <c r="I29" i="248" s="1"/>
  <c r="B2511" i="457"/>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O114" i="1"/>
  <c r="O113" i="1"/>
  <c r="Q113" i="1" l="1"/>
  <c r="H34" i="481"/>
  <c r="J34" i="481" s="1"/>
  <c r="F34" i="481"/>
  <c r="Q114" i="1"/>
  <c r="H28" i="481"/>
  <c r="J28" i="481" s="1"/>
  <c r="F28" i="481"/>
  <c r="J1023" i="366"/>
  <c r="K1023" i="366" s="1"/>
  <c r="L1023" i="366" s="1"/>
  <c r="M50" i="1"/>
  <c r="S114" i="1" l="1"/>
  <c r="F28" i="489"/>
  <c r="H28" i="489"/>
  <c r="J28" i="489" s="1"/>
  <c r="S113" i="1"/>
  <c r="H34" i="489"/>
  <c r="J34" i="489" s="1"/>
  <c r="F34" i="489"/>
  <c r="F44" i="478"/>
  <c r="H44" i="478"/>
  <c r="M1023" i="366"/>
  <c r="N1023" i="366" s="1"/>
  <c r="O1023" i="366" s="1"/>
  <c r="H34" i="490" l="1"/>
  <c r="J34" i="490" s="1"/>
  <c r="F34" i="490"/>
  <c r="H28" i="490"/>
  <c r="J28" i="490" s="1"/>
  <c r="F28" i="490"/>
  <c r="P1023" i="366"/>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E64" i="393"/>
  <c r="D64" i="393"/>
  <c r="C64" i="393"/>
  <c r="Q58" i="393"/>
  <c r="Q59" i="393" s="1"/>
  <c r="BJ39" i="393"/>
  <c r="AQ39" i="393"/>
  <c r="F27" i="393"/>
  <c r="E27" i="393"/>
  <c r="D27" i="393"/>
  <c r="J26" i="393"/>
  <c r="I26" i="393"/>
  <c r="H26" i="393"/>
  <c r="G26" i="393"/>
  <c r="F26" i="393"/>
  <c r="E26" i="393"/>
  <c r="D26" i="393"/>
  <c r="C26" i="393"/>
  <c r="R22" i="393"/>
  <c r="Q22" i="393"/>
  <c r="R21" i="393"/>
  <c r="Q21" i="393"/>
  <c r="Q18" i="393"/>
  <c r="R18" i="393" s="1"/>
  <c r="K18" i="393"/>
  <c r="J18" i="393"/>
  <c r="J17" i="393"/>
  <c r="I17" i="393"/>
  <c r="H17" i="393"/>
  <c r="C17" i="393"/>
  <c r="G9" i="393"/>
  <c r="E9" i="393"/>
  <c r="D9" i="393"/>
  <c r="C9" i="393"/>
  <c r="G8" i="393"/>
  <c r="E8" i="393"/>
  <c r="D8" i="393"/>
  <c r="C8" i="393"/>
  <c r="G6" i="393"/>
  <c r="E6" i="393"/>
  <c r="D6" i="393"/>
  <c r="C6" i="393"/>
  <c r="C49" i="443"/>
  <c r="C36" i="443"/>
  <c r="C10" i="443"/>
  <c r="C8" i="443"/>
  <c r="D7" i="443"/>
  <c r="C7" i="443"/>
  <c r="J18" i="167"/>
  <c r="K20" i="227"/>
  <c r="K48" i="227" s="1"/>
  <c r="K2" i="227"/>
  <c r="K1" i="227"/>
  <c r="C7" i="393" l="1"/>
  <c r="C10" i="393" s="1"/>
  <c r="K57" i="393" s="1"/>
  <c r="D7" i="393"/>
  <c r="D10" i="393" s="1"/>
  <c r="D57" i="393" s="1"/>
  <c r="E7" i="393"/>
  <c r="E10" i="393" s="1"/>
  <c r="E57" i="393" s="1"/>
  <c r="F7" i="393"/>
  <c r="F10"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F57" i="393" l="1"/>
  <c r="C57" i="393"/>
  <c r="E12" i="455"/>
  <c r="C13" i="455"/>
  <c r="A6" i="455"/>
  <c r="A6" i="454"/>
  <c r="C15" i="453"/>
  <c r="A6" i="453"/>
  <c r="A6" i="452"/>
  <c r="A6" i="451"/>
  <c r="A6" i="450"/>
  <c r="A6" i="449"/>
  <c r="A6" i="448"/>
  <c r="D83" i="444"/>
  <c r="D73" i="444"/>
  <c r="D27" i="444"/>
  <c r="D25" i="444"/>
  <c r="D24" i="444"/>
  <c r="D23" i="444"/>
  <c r="D20" i="444"/>
  <c r="D18" i="444"/>
  <c r="D17" i="444"/>
  <c r="D19" i="445"/>
  <c r="D18" i="445"/>
  <c r="D13" i="446" s="1"/>
  <c r="D15" i="445"/>
  <c r="D11"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E2" i="447"/>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BK9" i="388"/>
  <c r="BM9" i="388" s="1"/>
  <c r="BI7" i="388"/>
  <c r="BK7" i="388" s="1"/>
  <c r="BM7" i="388" s="1"/>
  <c r="F67" i="441"/>
  <c r="H67" i="441" s="1"/>
  <c r="F62" i="441"/>
  <c r="H62" i="441" s="1"/>
  <c r="F60" i="441"/>
  <c r="H60" i="441" s="1"/>
  <c r="F59" i="441"/>
  <c r="H59" i="441" s="1"/>
  <c r="F58" i="441"/>
  <c r="H58" i="441" s="1"/>
  <c r="F57" i="441"/>
  <c r="H57" i="441" s="1"/>
  <c r="F56" i="441"/>
  <c r="F16" i="441"/>
  <c r="F12" i="441"/>
  <c r="E13" i="446"/>
  <c r="A6" i="446"/>
  <c r="A6" i="445"/>
  <c r="S24" i="2"/>
  <c r="T24" i="2" s="1"/>
  <c r="S33" i="2"/>
  <c r="T33" i="2" s="1"/>
  <c r="AG60" i="60"/>
  <c r="AG67" i="60" s="1"/>
  <c r="E15" i="446" s="1"/>
  <c r="B81" i="444"/>
  <c r="B52" i="444"/>
  <c r="A6" i="444"/>
  <c r="C54" i="443"/>
  <c r="C41" i="443"/>
  <c r="A25" i="443"/>
  <c r="A26" i="443" s="1"/>
  <c r="E20" i="443"/>
  <c r="D8" i="443"/>
  <c r="E8" i="443" s="1"/>
  <c r="D3" i="442"/>
  <c r="E3" i="442" s="1"/>
  <c r="BF39" i="167"/>
  <c r="H63" i="441"/>
  <c r="H61" i="441"/>
  <c r="G49" i="441"/>
  <c r="AK44" i="441"/>
  <c r="AK42" i="441"/>
  <c r="AK41" i="441"/>
  <c r="AK39" i="441"/>
  <c r="F13" i="441"/>
  <c r="F3" i="441"/>
  <c r="F2" i="441"/>
  <c r="C2" i="441"/>
  <c r="F1" i="441"/>
  <c r="G157" i="142"/>
  <c r="J26" i="167"/>
  <c r="J17" i="167"/>
  <c r="S213" i="1"/>
  <c r="S207" i="1"/>
  <c r="D26" i="444" s="1"/>
  <c r="BG9" i="389" l="1"/>
  <c r="BI9" i="389" s="1"/>
  <c r="BG9" i="477"/>
  <c r="BI9" i="477" s="1"/>
  <c r="BG9" i="168"/>
  <c r="BI9" i="168" s="1"/>
  <c r="BG9" i="388"/>
  <c r="BI9" i="388" s="1"/>
  <c r="AF67" i="60"/>
  <c r="D15" i="446" s="1"/>
  <c r="E7" i="443"/>
  <c r="E59" i="447"/>
  <c r="E62" i="447"/>
  <c r="E135" i="447"/>
  <c r="E138" i="447"/>
  <c r="E19" i="447"/>
  <c r="H56" i="441"/>
  <c r="J35" i="247"/>
  <c r="L35" i="247" l="1"/>
  <c r="F59" i="315"/>
  <c r="M35" i="247" l="1"/>
  <c r="F59" i="478"/>
  <c r="N35" i="247" l="1"/>
  <c r="F59" i="481"/>
  <c r="L50" i="247"/>
  <c r="M50" i="247" l="1"/>
  <c r="H59" i="478"/>
  <c r="J59" i="478" s="1"/>
  <c r="O35" i="247"/>
  <c r="F59" i="489"/>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F41" i="441" l="1"/>
  <c r="F59" i="490"/>
  <c r="N50" i="247"/>
  <c r="H59" i="481"/>
  <c r="J59" i="481" s="1"/>
  <c r="O61" i="1"/>
  <c r="O51" i="1"/>
  <c r="O50" i="1"/>
  <c r="O49" i="1"/>
  <c r="C30" i="451"/>
  <c r="O40" i="1"/>
  <c r="O39" i="1"/>
  <c r="O37" i="1"/>
  <c r="O35" i="1"/>
  <c r="O34" i="1"/>
  <c r="O33" i="1"/>
  <c r="Q33" i="1" s="1"/>
  <c r="S33" i="1" s="1"/>
  <c r="O32" i="1"/>
  <c r="I25" i="481" s="1"/>
  <c r="O31" i="1"/>
  <c r="I27" i="481" s="1"/>
  <c r="O30" i="1"/>
  <c r="I26" i="481" s="1"/>
  <c r="O29" i="1"/>
  <c r="Q29" i="1" s="1"/>
  <c r="S29" i="1" s="1"/>
  <c r="D17" i="448" s="1"/>
  <c r="E17" i="448" s="1"/>
  <c r="O28" i="1"/>
  <c r="Q28" i="1" s="1"/>
  <c r="S28" i="1" s="1"/>
  <c r="D16" i="448" s="1"/>
  <c r="E16" i="448" s="1"/>
  <c r="O27" i="1"/>
  <c r="Q27" i="1" s="1"/>
  <c r="S27" i="1" s="1"/>
  <c r="D15" i="448" s="1"/>
  <c r="E15" i="448" s="1"/>
  <c r="O26" i="1"/>
  <c r="Q26" i="1" s="1"/>
  <c r="S26" i="1" s="1"/>
  <c r="D13" i="448" s="1"/>
  <c r="E13" i="448" s="1"/>
  <c r="O25" i="1"/>
  <c r="Q25" i="1" s="1"/>
  <c r="S25" i="1" s="1"/>
  <c r="D12" i="448" s="1"/>
  <c r="E12" i="448" s="1"/>
  <c r="O24" i="1"/>
  <c r="Q24" i="1" s="1"/>
  <c r="S24" i="1" s="1"/>
  <c r="D11" i="448" s="1"/>
  <c r="E11" i="448" s="1"/>
  <c r="O23" i="1"/>
  <c r="O50" i="247" l="1"/>
  <c r="H59" i="489"/>
  <c r="J59" i="489" s="1"/>
  <c r="J70" i="167"/>
  <c r="J70" i="393"/>
  <c r="H41" i="441"/>
  <c r="Q40" i="1"/>
  <c r="H32" i="481"/>
  <c r="F32" i="481"/>
  <c r="Q31" i="1"/>
  <c r="I27" i="489" s="1"/>
  <c r="J27" i="481"/>
  <c r="Q30" i="1"/>
  <c r="I26" i="489" s="1"/>
  <c r="J26" i="481"/>
  <c r="Q49" i="1"/>
  <c r="J43" i="481"/>
  <c r="I43" i="481"/>
  <c r="D39" i="496" s="1"/>
  <c r="H40" i="248" s="1"/>
  <c r="Q35" i="1"/>
  <c r="J29" i="481"/>
  <c r="F10" i="481"/>
  <c r="Q61" i="1"/>
  <c r="J53" i="481"/>
  <c r="I53" i="481"/>
  <c r="Q39" i="1"/>
  <c r="H31" i="481"/>
  <c r="F31" i="481"/>
  <c r="Q32" i="1"/>
  <c r="I25" i="489" s="1"/>
  <c r="J25" i="481"/>
  <c r="Q50" i="1"/>
  <c r="F44" i="481"/>
  <c r="H44" i="481"/>
  <c r="Q34" i="1"/>
  <c r="J24" i="481"/>
  <c r="Q51" i="1"/>
  <c r="J46" i="481"/>
  <c r="Q37" i="1"/>
  <c r="I30" i="481"/>
  <c r="D41" i="496" s="1"/>
  <c r="H42" i="248" s="1"/>
  <c r="F30" i="481"/>
  <c r="H30" i="481"/>
  <c r="J30" i="481" s="1"/>
  <c r="Q23" i="1"/>
  <c r="H9" i="393"/>
  <c r="H8" i="393"/>
  <c r="J64" i="167"/>
  <c r="F42" i="441"/>
  <c r="H42" i="441" s="1"/>
  <c r="J42" i="441" s="1"/>
  <c r="F64" i="441"/>
  <c r="H64" i="441" s="1"/>
  <c r="O19" i="1"/>
  <c r="D5" i="176"/>
  <c r="D17" i="310"/>
  <c r="F6" i="227"/>
  <c r="J37" i="2"/>
  <c r="L58" i="60"/>
  <c r="I37" i="2"/>
  <c r="E6" i="167"/>
  <c r="C34" i="451"/>
  <c r="F39" i="441"/>
  <c r="H39" i="441"/>
  <c r="J39" i="441" s="1"/>
  <c r="E211" i="1"/>
  <c r="H9" i="176"/>
  <c r="G9" i="176"/>
  <c r="F9" i="176"/>
  <c r="E5" i="176"/>
  <c r="C5" i="176"/>
  <c r="H188" i="481" l="1"/>
  <c r="D31" i="497"/>
  <c r="I32" i="248" s="1"/>
  <c r="D10" i="496"/>
  <c r="E10" i="496" s="1"/>
  <c r="E42" i="496"/>
  <c r="D42" i="496"/>
  <c r="H43" i="248" s="1"/>
  <c r="J41" i="441"/>
  <c r="D40" i="444"/>
  <c r="H59" i="490"/>
  <c r="J59" i="490" s="1"/>
  <c r="B23" i="445"/>
  <c r="B25" i="445"/>
  <c r="S49" i="1"/>
  <c r="J43" i="489"/>
  <c r="I43" i="489"/>
  <c r="D39" i="497" s="1"/>
  <c r="I40" i="248" s="1"/>
  <c r="S37" i="1"/>
  <c r="H30" i="489"/>
  <c r="J30" i="489" s="1"/>
  <c r="F30" i="489"/>
  <c r="I30" i="489"/>
  <c r="S50" i="1"/>
  <c r="H44" i="489"/>
  <c r="F44" i="489"/>
  <c r="S61" i="1"/>
  <c r="J53" i="489"/>
  <c r="I53" i="489"/>
  <c r="S30" i="1"/>
  <c r="I26" i="490" s="1"/>
  <c r="J26" i="489"/>
  <c r="S32" i="1"/>
  <c r="I25" i="490" s="1"/>
  <c r="J25" i="489"/>
  <c r="S31" i="1"/>
  <c r="I27" i="490" s="1"/>
  <c r="J27" i="489"/>
  <c r="O37" i="483"/>
  <c r="P37" i="483" s="1"/>
  <c r="L188" i="167"/>
  <c r="J97" i="167"/>
  <c r="I57" i="481"/>
  <c r="D48" i="496" s="1"/>
  <c r="H49" i="248" s="1"/>
  <c r="L149" i="167"/>
  <c r="L151" i="167" s="1"/>
  <c r="L152" i="167" s="1"/>
  <c r="L153" i="167" s="1"/>
  <c r="S51" i="1"/>
  <c r="J46" i="489"/>
  <c r="I173" i="489"/>
  <c r="S35" i="1"/>
  <c r="F10" i="489"/>
  <c r="J29" i="489"/>
  <c r="S34" i="1"/>
  <c r="J24" i="489"/>
  <c r="S39" i="1"/>
  <c r="F31" i="489"/>
  <c r="H31" i="489"/>
  <c r="S40" i="1"/>
  <c r="H32" i="489"/>
  <c r="F32" i="489"/>
  <c r="T58" i="482"/>
  <c r="U58" i="482" s="1"/>
  <c r="U69" i="482" s="1"/>
  <c r="S23" i="1"/>
  <c r="I9" i="393"/>
  <c r="I8" i="393"/>
  <c r="Q19" i="1"/>
  <c r="H6" i="393"/>
  <c r="F5" i="176"/>
  <c r="G5" i="176"/>
  <c r="D41" i="444"/>
  <c r="D18" i="454"/>
  <c r="C26" i="451"/>
  <c r="D34" i="451"/>
  <c r="D42" i="444"/>
  <c r="D31" i="498" l="1"/>
  <c r="J32" i="248" s="1"/>
  <c r="D10" i="497"/>
  <c r="E10" i="497" s="1"/>
  <c r="I168" i="489"/>
  <c r="D41" i="497"/>
  <c r="I42" i="248" s="1"/>
  <c r="D42" i="497"/>
  <c r="I43" i="248" s="1"/>
  <c r="E42" i="497"/>
  <c r="C23" i="447"/>
  <c r="U71" i="482"/>
  <c r="U73" i="482" s="1"/>
  <c r="J25" i="490"/>
  <c r="D19" i="448"/>
  <c r="E19" i="448" s="1"/>
  <c r="C15" i="451"/>
  <c r="F44" i="490"/>
  <c r="H44" i="490"/>
  <c r="F36" i="441"/>
  <c r="H36" i="441"/>
  <c r="H32" i="490"/>
  <c r="F32" i="490"/>
  <c r="H31" i="441"/>
  <c r="F31" i="441"/>
  <c r="J29" i="490"/>
  <c r="F10" i="490"/>
  <c r="F10" i="441"/>
  <c r="D13" i="444" s="1"/>
  <c r="C22" i="451"/>
  <c r="J26" i="490"/>
  <c r="C16" i="451"/>
  <c r="D18" i="448"/>
  <c r="E18" i="448" s="1"/>
  <c r="H30" i="490"/>
  <c r="J30" i="490" s="1"/>
  <c r="F30" i="490"/>
  <c r="I30" i="490"/>
  <c r="C23" i="451"/>
  <c r="D14" i="444"/>
  <c r="F29" i="441"/>
  <c r="H29" i="441"/>
  <c r="Q37" i="483"/>
  <c r="R37" i="483" s="1"/>
  <c r="N188" i="167"/>
  <c r="N149" i="167"/>
  <c r="N151" i="167" s="1"/>
  <c r="N152" i="167" s="1"/>
  <c r="N153" i="167" s="1"/>
  <c r="N197" i="167"/>
  <c r="I57" i="489"/>
  <c r="D48" i="497" s="1"/>
  <c r="I49" i="248" s="1"/>
  <c r="L97" i="167"/>
  <c r="H190" i="489"/>
  <c r="H31" i="490"/>
  <c r="F31" i="490"/>
  <c r="H30" i="441"/>
  <c r="F30" i="441"/>
  <c r="J27" i="490"/>
  <c r="D22" i="448"/>
  <c r="C17" i="451"/>
  <c r="C36" i="451"/>
  <c r="J46" i="490"/>
  <c r="I173" i="490"/>
  <c r="E39" i="498" s="1"/>
  <c r="C38" i="451"/>
  <c r="J53" i="490"/>
  <c r="I53" i="490"/>
  <c r="J24" i="490"/>
  <c r="C14" i="451"/>
  <c r="D23" i="448"/>
  <c r="C31" i="451"/>
  <c r="J43" i="490"/>
  <c r="I43" i="490"/>
  <c r="D39" i="498" s="1"/>
  <c r="J40" i="248" s="1"/>
  <c r="H5" i="176"/>
  <c r="W58" i="482"/>
  <c r="X58" i="482" s="1"/>
  <c r="X69" i="482" s="1"/>
  <c r="V58" i="482"/>
  <c r="V69" i="482" s="1"/>
  <c r="V71" i="482" s="1"/>
  <c r="V73" i="482" s="1"/>
  <c r="T69" i="482"/>
  <c r="T71" i="482" s="1"/>
  <c r="T73" i="482" s="1"/>
  <c r="J9" i="393"/>
  <c r="J8" i="393"/>
  <c r="J9" i="167"/>
  <c r="D10" i="448"/>
  <c r="E10" i="448" s="1"/>
  <c r="J8" i="167"/>
  <c r="D12" i="498" s="1"/>
  <c r="H7" i="393"/>
  <c r="H10" i="393" s="1"/>
  <c r="H57" i="393" s="1"/>
  <c r="S19" i="1"/>
  <c r="I6" i="393"/>
  <c r="EM94" i="168"/>
  <c r="EI94" i="168"/>
  <c r="EE94" i="168"/>
  <c r="EA94" i="168"/>
  <c r="DW94" i="168"/>
  <c r="DS94" i="168"/>
  <c r="DO94" i="168"/>
  <c r="DK94" i="168"/>
  <c r="H189" i="490" l="1"/>
  <c r="D10" i="498"/>
  <c r="E10" i="498" s="1"/>
  <c r="J13" i="248"/>
  <c r="E12" i="498"/>
  <c r="E42" i="498"/>
  <c r="D42" i="498"/>
  <c r="J43" i="248" s="1"/>
  <c r="I168" i="490"/>
  <c r="D41" i="498"/>
  <c r="J42" i="248" s="1"/>
  <c r="F9" i="490"/>
  <c r="C99" i="447"/>
  <c r="E99" i="447" s="1"/>
  <c r="E23" i="447"/>
  <c r="X71" i="482"/>
  <c r="X73" i="482" s="1"/>
  <c r="E21" i="448"/>
  <c r="I57" i="490"/>
  <c r="D48" i="498" s="1"/>
  <c r="J49" i="248" s="1"/>
  <c r="N97" i="167"/>
  <c r="J29" i="441"/>
  <c r="D23" i="451"/>
  <c r="J22" i="490"/>
  <c r="S37" i="483"/>
  <c r="T37" i="483" s="1"/>
  <c r="AH58" i="60"/>
  <c r="I5" i="176"/>
  <c r="Z58" i="482"/>
  <c r="AA58" i="482" s="1"/>
  <c r="AA69" i="482" s="1"/>
  <c r="AA71" i="482" s="1"/>
  <c r="AA73" i="482" s="1"/>
  <c r="Y58" i="482"/>
  <c r="Y69" i="482" s="1"/>
  <c r="Y71" i="482" s="1"/>
  <c r="Y73" i="482" s="1"/>
  <c r="W69" i="482"/>
  <c r="W71" i="482" s="1"/>
  <c r="W73" i="482" s="1"/>
  <c r="F9" i="441"/>
  <c r="D12" i="444" s="1"/>
  <c r="C13" i="451"/>
  <c r="K7" i="227"/>
  <c r="I7" i="393"/>
  <c r="I10" i="393" s="1"/>
  <c r="I57" i="393" s="1"/>
  <c r="J6" i="393"/>
  <c r="S211" i="1"/>
  <c r="J33" i="490" s="1"/>
  <c r="AF58" i="60"/>
  <c r="S37" i="2"/>
  <c r="T37" i="2" s="1"/>
  <c r="K6" i="227"/>
  <c r="D17" i="445"/>
  <c r="J6" i="167"/>
  <c r="J7" i="167" s="1"/>
  <c r="J11" i="248" s="1"/>
  <c r="F8" i="490" l="1"/>
  <c r="AI58" i="60"/>
  <c r="AI69" i="60" s="1"/>
  <c r="AI71" i="60" s="1"/>
  <c r="AI73" i="60" s="1"/>
  <c r="AH69" i="60"/>
  <c r="AH71" i="60" s="1"/>
  <c r="AH73" i="60" s="1"/>
  <c r="F8" i="441"/>
  <c r="D10" i="444" s="1"/>
  <c r="J12" i="167"/>
  <c r="D11" i="498" s="1"/>
  <c r="AB58" i="482"/>
  <c r="AB69" i="482" s="1"/>
  <c r="AB71" i="482" s="1"/>
  <c r="AB73" i="482" s="1"/>
  <c r="Z69" i="482"/>
  <c r="Z71" i="482" s="1"/>
  <c r="Z73" i="482" s="1"/>
  <c r="J10" i="167"/>
  <c r="K9" i="227"/>
  <c r="J7" i="393"/>
  <c r="J10" i="393" s="1"/>
  <c r="D12" i="446"/>
  <c r="E12" i="446" s="1"/>
  <c r="AF69" i="60"/>
  <c r="AG58" i="60"/>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J12" i="248" l="1"/>
  <c r="E11" i="498"/>
  <c r="F11" i="441"/>
  <c r="F11" i="490"/>
  <c r="M94" i="167"/>
  <c r="D11" i="444"/>
  <c r="C11" i="451"/>
  <c r="J57" i="167"/>
  <c r="J57" i="393"/>
  <c r="D16" i="446"/>
  <c r="AF71" i="60"/>
  <c r="AG69" i="60"/>
  <c r="J20" i="227"/>
  <c r="J48" i="227" s="1"/>
  <c r="AF73" i="60" l="1"/>
  <c r="D18" i="446" s="1"/>
  <c r="D17" i="446"/>
  <c r="E16" i="446"/>
  <c r="AG71" i="60"/>
  <c r="E17" i="446" l="1"/>
  <c r="AG73" i="60"/>
  <c r="E18" i="446" s="1"/>
  <c r="F67" i="422"/>
  <c r="H67" i="422" s="1"/>
  <c r="F62" i="422"/>
  <c r="H62" i="422" s="1"/>
  <c r="F60" i="422"/>
  <c r="H60" i="422" s="1"/>
  <c r="F59" i="422"/>
  <c r="H59" i="422" s="1"/>
  <c r="F58" i="422"/>
  <c r="H58" i="422" s="1"/>
  <c r="F57" i="422"/>
  <c r="H57" i="422" s="1"/>
  <c r="F56" i="422"/>
  <c r="H56" i="422" s="1"/>
  <c r="F16" i="422"/>
  <c r="F12" i="422"/>
  <c r="C49" i="423"/>
  <c r="C36"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B67" i="60"/>
  <c r="D15" i="435" s="1"/>
  <c r="R22" i="2"/>
  <c r="Q33" i="2"/>
  <c r="R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E3" i="304" s="1"/>
  <c r="C3" i="305" s="1"/>
  <c r="D3" i="306" s="1"/>
  <c r="D3" i="307" s="1"/>
  <c r="D3" i="308" s="1"/>
  <c r="C3" i="314" s="1"/>
  <c r="D3" i="309" s="1"/>
  <c r="D3" i="310" s="1"/>
  <c r="E3" i="311" s="1"/>
  <c r="E3" i="312" s="1"/>
  <c r="C3" i="449" s="1"/>
  <c r="E2" i="425"/>
  <c r="E2" i="304" s="1"/>
  <c r="C2" i="305" s="1"/>
  <c r="D2" i="306" s="1"/>
  <c r="D2" i="307" s="1"/>
  <c r="D2" i="308" s="1"/>
  <c r="C2" i="314" s="1"/>
  <c r="D2" i="309" s="1"/>
  <c r="D2" i="310" s="1"/>
  <c r="E2" i="311" s="1"/>
  <c r="E2" i="312" s="1"/>
  <c r="C2" i="449"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AS7" i="388"/>
  <c r="AU7" i="388" s="1"/>
  <c r="AW7" i="388" s="1"/>
  <c r="L81" i="184"/>
  <c r="D83" i="424"/>
  <c r="D73" i="424"/>
  <c r="D27" i="424"/>
  <c r="D25" i="424"/>
  <c r="D24" i="424"/>
  <c r="D23" i="424"/>
  <c r="D20" i="424"/>
  <c r="D18" i="424"/>
  <c r="D17" i="424"/>
  <c r="B81" i="424"/>
  <c r="B52" i="424"/>
  <c r="A6" i="424"/>
  <c r="A25" i="423"/>
  <c r="A26" i="423" s="1"/>
  <c r="E20" i="423"/>
  <c r="H63" i="422"/>
  <c r="H61" i="422"/>
  <c r="G49" i="422"/>
  <c r="AK44" i="422"/>
  <c r="AK42" i="422"/>
  <c r="AK41" i="422"/>
  <c r="AK39" i="422"/>
  <c r="F13" i="422"/>
  <c r="F3" i="422"/>
  <c r="F2" i="422"/>
  <c r="C2" i="422"/>
  <c r="F1" i="422"/>
  <c r="I26" i="167"/>
  <c r="I17" i="167"/>
  <c r="Q213" i="1"/>
  <c r="Q207" i="1"/>
  <c r="D26" i="424" s="1"/>
  <c r="Q91" i="1"/>
  <c r="G148" i="142"/>
  <c r="O91" i="1"/>
  <c r="M153" i="1"/>
  <c r="T18" i="184"/>
  <c r="U18" i="184" s="1"/>
  <c r="BP94" i="168"/>
  <c r="BP52" i="168" s="1"/>
  <c r="E91" i="248"/>
  <c r="D23" i="301"/>
  <c r="E23" i="248" s="1"/>
  <c r="D27" i="109"/>
  <c r="F41" i="280"/>
  <c r="D70" i="393" s="1"/>
  <c r="F39" i="280"/>
  <c r="F29" i="280"/>
  <c r="F95" i="106"/>
  <c r="I20" i="227"/>
  <c r="I48" i="227" s="1"/>
  <c r="F3" i="280"/>
  <c r="F2" i="280"/>
  <c r="H17" i="167"/>
  <c r="C17" i="167"/>
  <c r="D15" i="310"/>
  <c r="F12" i="369"/>
  <c r="AK43" i="398"/>
  <c r="F30" i="302"/>
  <c r="C16" i="307"/>
  <c r="D17" i="412"/>
  <c r="D13" i="304"/>
  <c r="D12" i="304"/>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C49" i="409"/>
  <c r="C36" i="409"/>
  <c r="C10" i="409"/>
  <c r="C8" i="409"/>
  <c r="D8" i="409" s="1"/>
  <c r="E27" i="167"/>
  <c r="B17" i="421"/>
  <c r="A6" i="421"/>
  <c r="C12" i="420"/>
  <c r="E12" i="420" s="1"/>
  <c r="C11" i="420"/>
  <c r="A6" i="420"/>
  <c r="O24" i="2"/>
  <c r="O33" i="2"/>
  <c r="P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83" i="408"/>
  <c r="D73" i="408"/>
  <c r="D27" i="408"/>
  <c r="D25" i="408"/>
  <c r="D24" i="408"/>
  <c r="D23" i="408"/>
  <c r="D18" i="408"/>
  <c r="D17" i="408"/>
  <c r="C49" i="361"/>
  <c r="C10" i="361"/>
  <c r="L33" i="2"/>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81" i="408"/>
  <c r="B52" i="408"/>
  <c r="A6" i="408"/>
  <c r="G139" i="142"/>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1" i="371"/>
  <c r="D94" i="301"/>
  <c r="D84" i="301"/>
  <c r="D94" i="281"/>
  <c r="F37" i="398"/>
  <c r="G37" i="398" s="1"/>
  <c r="H31" i="280"/>
  <c r="H30" i="280"/>
  <c r="F10" i="280"/>
  <c r="D14" i="281" s="1"/>
  <c r="E8" i="227"/>
  <c r="D16" i="281"/>
  <c r="EM52" i="168"/>
  <c r="EM92" i="168"/>
  <c r="EI52" i="168"/>
  <c r="EI92" i="168"/>
  <c r="EK9" i="168"/>
  <c r="EM9" i="168" s="1"/>
  <c r="EG9" i="168"/>
  <c r="EI9" i="168" s="1"/>
  <c r="EE52" i="168"/>
  <c r="EE92" i="168"/>
  <c r="EA52" i="168"/>
  <c r="EA92" i="168"/>
  <c r="EC9" i="168"/>
  <c r="EE9" i="168" s="1"/>
  <c r="DY9" i="168"/>
  <c r="EA9" i="168" s="1"/>
  <c r="DM57" i="168"/>
  <c r="C57" i="168"/>
  <c r="D22" i="281"/>
  <c r="H33" i="302"/>
  <c r="G28" i="398"/>
  <c r="G141" i="291"/>
  <c r="D17" i="381"/>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D31" i="281"/>
  <c r="C2" i="49"/>
  <c r="E18" i="49" s="1"/>
  <c r="I74" i="315" s="1"/>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L2155" i="390"/>
  <c r="G121" i="388"/>
  <c r="AO137" i="388"/>
  <c r="AO83" i="388" s="1"/>
  <c r="AK137" i="388"/>
  <c r="AK83" i="388" s="1"/>
  <c r="Y137" i="388"/>
  <c r="Y83" i="388" s="1"/>
  <c r="U137" i="388"/>
  <c r="U83" i="388" s="1"/>
  <c r="Q137" i="388"/>
  <c r="Q83" i="388" s="1"/>
  <c r="M137" i="388"/>
  <c r="M83" i="388" s="1"/>
  <c r="I137" i="388"/>
  <c r="I83" i="388" s="1"/>
  <c r="AO130" i="388"/>
  <c r="AO52" i="388" s="1"/>
  <c r="AK130" i="388"/>
  <c r="AK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E59" i="327"/>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B63" i="281"/>
  <c r="C56" i="291"/>
  <c r="E70" i="291"/>
  <c r="D19" i="301"/>
  <c r="E19" i="248" s="1"/>
  <c r="D19" i="28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A6" i="325"/>
  <c r="B17" i="325"/>
  <c r="A6" i="324"/>
  <c r="B23" i="324"/>
  <c r="B25" i="324"/>
  <c r="A6" i="323"/>
  <c r="D20" i="323"/>
  <c r="A6" i="322"/>
  <c r="B14" i="322"/>
  <c r="C15" i="322"/>
  <c r="B20" i="322"/>
  <c r="A6" i="321"/>
  <c r="B20" i="321"/>
  <c r="B22" i="321"/>
  <c r="A6" i="320"/>
  <c r="B14" i="320"/>
  <c r="B15" i="320"/>
  <c r="B16" i="320"/>
  <c r="B17" i="320"/>
  <c r="B22" i="320"/>
  <c r="B23" i="320"/>
  <c r="B26" i="320"/>
  <c r="B41" i="320"/>
  <c r="A6" i="319"/>
  <c r="A6" i="318"/>
  <c r="A6" i="317"/>
  <c r="C10" i="317"/>
  <c r="C11" i="317"/>
  <c r="C12" i="317"/>
  <c r="C13" i="317"/>
  <c r="C15" i="317"/>
  <c r="C16" i="317"/>
  <c r="C17" i="317"/>
  <c r="C18" i="317"/>
  <c r="C19" i="317"/>
  <c r="C22"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C29"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30" i="227" s="1"/>
  <c r="C22" i="227"/>
  <c r="C23" i="227"/>
  <c r="C49" i="227"/>
  <c r="C36" i="227" s="1"/>
  <c r="C50" i="227"/>
  <c r="C32" i="227" s="1"/>
  <c r="C51" i="227"/>
  <c r="C52" i="227"/>
  <c r="C53" i="227"/>
  <c r="C54" i="227"/>
  <c r="A6" i="248"/>
  <c r="D11" i="248"/>
  <c r="D12" i="248"/>
  <c r="D14" i="248"/>
  <c r="D16" i="248"/>
  <c r="D17" i="248"/>
  <c r="D18" i="248"/>
  <c r="D19" i="248"/>
  <c r="D20" i="248"/>
  <c r="D22" i="248"/>
  <c r="D23" i="248"/>
  <c r="D25" i="248"/>
  <c r="E25" i="248"/>
  <c r="D26" i="248"/>
  <c r="D28" i="248"/>
  <c r="D29" i="248"/>
  <c r="D30" i="248"/>
  <c r="E30" i="248"/>
  <c r="D31" i="248"/>
  <c r="D32" i="248"/>
  <c r="D33" i="248"/>
  <c r="D34" i="248"/>
  <c r="D35" i="248"/>
  <c r="D37" i="248"/>
  <c r="D38" i="248"/>
  <c r="D41" i="248"/>
  <c r="D42" i="248"/>
  <c r="D43" i="248"/>
  <c r="D44" i="248"/>
  <c r="D45" i="248"/>
  <c r="D46" i="248"/>
  <c r="D47" i="248"/>
  <c r="D48" i="248"/>
  <c r="D49" i="248"/>
  <c r="D50" i="248"/>
  <c r="D51" i="248"/>
  <c r="D52" i="248"/>
  <c r="D53" i="248"/>
  <c r="D54" i="248"/>
  <c r="D57" i="248"/>
  <c r="D59" i="248"/>
  <c r="D60" i="248"/>
  <c r="D61" i="248"/>
  <c r="D65" i="248"/>
  <c r="D66" i="248"/>
  <c r="D67" i="248"/>
  <c r="D68" i="248"/>
  <c r="D70" i="248"/>
  <c r="D77" i="248"/>
  <c r="D78" i="248"/>
  <c r="D79" i="248"/>
  <c r="D80" i="248"/>
  <c r="D81" i="248"/>
  <c r="D82" i="248"/>
  <c r="D83" i="248"/>
  <c r="D84" i="248"/>
  <c r="D88" i="248"/>
  <c r="D89" i="248"/>
  <c r="D90" i="248"/>
  <c r="D91" i="248"/>
  <c r="D92" i="248"/>
  <c r="C2" i="315"/>
  <c r="F13" i="315"/>
  <c r="AL52" i="315"/>
  <c r="AL59" i="315"/>
  <c r="AL60" i="315"/>
  <c r="AL67" i="315"/>
  <c r="G72" i="315"/>
  <c r="I92" i="315"/>
  <c r="I93" i="315"/>
  <c r="I95" i="315"/>
  <c r="H96" i="315"/>
  <c r="I96" i="315" s="1"/>
  <c r="H97" i="315"/>
  <c r="I97" i="315" s="1"/>
  <c r="H98" i="315"/>
  <c r="I98" i="315" s="1"/>
  <c r="A6"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03" i="142"/>
  <c r="K9" i="388" s="1"/>
  <c r="M9" i="388" s="1"/>
  <c r="E56" i="291"/>
  <c r="C146" i="291"/>
  <c r="C70" i="291"/>
  <c r="C70" i="303"/>
  <c r="C132" i="291"/>
  <c r="E132" i="291"/>
  <c r="E146" i="291"/>
  <c r="D35" i="281"/>
  <c r="D17" i="371"/>
  <c r="D20" i="281"/>
  <c r="C132" i="327"/>
  <c r="E56" i="327"/>
  <c r="E132" i="303"/>
  <c r="C132" i="303"/>
  <c r="E56" i="303"/>
  <c r="C56" i="303"/>
  <c r="E132" i="327"/>
  <c r="C56" i="327"/>
  <c r="E70" i="303"/>
  <c r="E146" i="303"/>
  <c r="C146" i="303"/>
  <c r="D35" i="301"/>
  <c r="E35" i="248" s="1"/>
  <c r="D20" i="301"/>
  <c r="E20" i="248" s="1"/>
  <c r="E132" i="383"/>
  <c r="C56" i="383"/>
  <c r="C132" i="383"/>
  <c r="E56" i="383"/>
  <c r="C70" i="327"/>
  <c r="E70" i="327"/>
  <c r="C146" i="327"/>
  <c r="D27" i="371"/>
  <c r="D18" i="371"/>
  <c r="E146" i="383"/>
  <c r="C70" i="383"/>
  <c r="E70" i="383"/>
  <c r="C146" i="383"/>
  <c r="E20" i="361"/>
  <c r="E20" i="363"/>
  <c r="E20" i="372"/>
  <c r="E20" i="360"/>
  <c r="B16" i="308"/>
  <c r="B14" i="308"/>
  <c r="D41" i="281"/>
  <c r="D41" i="301"/>
  <c r="E38" i="248" s="1"/>
  <c r="B63" i="301"/>
  <c r="G33" i="2"/>
  <c r="H33" i="2" s="1"/>
  <c r="E81" i="184"/>
  <c r="C16" i="291"/>
  <c r="E16" i="291" s="1"/>
  <c r="C8" i="361"/>
  <c r="D8" i="361" s="1"/>
  <c r="E8" i="361" s="1"/>
  <c r="C8" i="360"/>
  <c r="D8" i="360" s="1"/>
  <c r="E8" i="360" s="1"/>
  <c r="C92" i="291"/>
  <c r="E92" i="291" s="1"/>
  <c r="G81" i="184"/>
  <c r="C11" i="382"/>
  <c r="I33" i="2"/>
  <c r="AB15" i="74"/>
  <c r="AA15" i="74"/>
  <c r="C38" i="108"/>
  <c r="B61"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E18" i="168" s="1"/>
  <c r="CG18" i="168" s="1"/>
  <c r="CI18" i="168" s="1"/>
  <c r="C46" i="108"/>
  <c r="CK18" i="168"/>
  <c r="CM18" i="168" s="1"/>
  <c r="CO18" i="168" s="1"/>
  <c r="CQ18" i="168" s="1"/>
  <c r="F2" i="369"/>
  <c r="F1" i="369"/>
  <c r="C34" i="108"/>
  <c r="F3" i="369"/>
  <c r="C11" i="305"/>
  <c r="D33" i="281"/>
  <c r="C49" i="360"/>
  <c r="F16" i="400"/>
  <c r="C9" i="167"/>
  <c r="D32" i="301"/>
  <c r="F16" i="302"/>
  <c r="D33" i="301"/>
  <c r="E33" i="248" s="1"/>
  <c r="CS57" i="168"/>
  <c r="G37" i="2"/>
  <c r="H37" i="2" s="1"/>
  <c r="D6" i="227"/>
  <c r="F33" i="280"/>
  <c r="E6" i="227"/>
  <c r="F10" i="398"/>
  <c r="H27" i="280"/>
  <c r="F27" i="280"/>
  <c r="D15" i="28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L16" i="74"/>
  <c r="K16" i="74"/>
  <c r="F77" i="400"/>
  <c r="EG18" i="477" s="1"/>
  <c r="F68" i="400"/>
  <c r="G68" i="400" s="1"/>
  <c r="F67" i="400"/>
  <c r="G67" i="400" s="1"/>
  <c r="F34" i="398"/>
  <c r="H33" i="280"/>
  <c r="G34" i="398"/>
  <c r="F40" i="398"/>
  <c r="G40" i="398"/>
  <c r="G28" i="400"/>
  <c r="F64" i="280"/>
  <c r="H64" i="280" s="1"/>
  <c r="D23" i="281"/>
  <c r="F66" i="398"/>
  <c r="G66" i="398" s="1"/>
  <c r="DA57" i="168"/>
  <c r="G77" i="400"/>
  <c r="G72" i="400" s="1"/>
  <c r="DE57" i="168"/>
  <c r="CW57" i="168"/>
  <c r="F28" i="398"/>
  <c r="D9" i="167"/>
  <c r="D8" i="167"/>
  <c r="F9" i="280" s="1"/>
  <c r="D13" i="281" s="1"/>
  <c r="F30" i="280"/>
  <c r="F31" i="398"/>
  <c r="G31" i="398" s="1"/>
  <c r="F36" i="280"/>
  <c r="H36" i="280"/>
  <c r="DA18" i="168"/>
  <c r="DC18" i="168" s="1"/>
  <c r="DE18" i="168" s="1"/>
  <c r="DG18" i="168" s="1"/>
  <c r="CS18" i="168"/>
  <c r="CU18" i="168" s="1"/>
  <c r="CW18" i="168" s="1"/>
  <c r="CY18" i="168" s="1"/>
  <c r="G77" i="398"/>
  <c r="G72" i="398" s="1"/>
  <c r="AH15" i="74"/>
  <c r="AH16" i="74" s="1"/>
  <c r="F27" i="167"/>
  <c r="D27" i="167"/>
  <c r="CS39" i="168"/>
  <c r="CS41" i="168" s="1"/>
  <c r="CW40" i="168"/>
  <c r="CW41" i="168" s="1"/>
  <c r="D11" i="324"/>
  <c r="L24" i="2"/>
  <c r="D11" i="373"/>
  <c r="C15" i="305"/>
  <c r="H81" i="184"/>
  <c r="C16" i="327"/>
  <c r="E16" i="327" s="1"/>
  <c r="D8" i="363"/>
  <c r="E8" i="363" s="1"/>
  <c r="I81" i="184"/>
  <c r="C92" i="327"/>
  <c r="E92" i="327" s="1"/>
  <c r="C16" i="303"/>
  <c r="E16" i="303" s="1"/>
  <c r="C92" i="303"/>
  <c r="E92" i="303" s="1"/>
  <c r="D31" i="301"/>
  <c r="E31" i="248" s="1"/>
  <c r="E207" i="1"/>
  <c r="D34" i="301" s="1"/>
  <c r="E34" i="248" s="1"/>
  <c r="C36" i="372"/>
  <c r="D15" i="373"/>
  <c r="M33" i="2"/>
  <c r="N33" i="2" s="1"/>
  <c r="D25" i="371"/>
  <c r="C49" i="372"/>
  <c r="C15" i="376"/>
  <c r="C8" i="372"/>
  <c r="D8" i="372" s="1"/>
  <c r="E8" i="372" s="1"/>
  <c r="J81" i="184"/>
  <c r="C92" i="383"/>
  <c r="E92" i="383" s="1"/>
  <c r="D23" i="371"/>
  <c r="C16" i="383"/>
  <c r="E16" i="383" s="1"/>
  <c r="F16" i="369"/>
  <c r="C11" i="376"/>
  <c r="C10" i="372"/>
  <c r="C16" i="411"/>
  <c r="E16" i="411" s="1"/>
  <c r="K81" i="184"/>
  <c r="C92" i="411"/>
  <c r="E92" i="411" s="1"/>
  <c r="F16" i="410"/>
  <c r="O207" i="1"/>
  <c r="D26" i="408" s="1"/>
  <c r="C7" i="372"/>
  <c r="D18" i="419"/>
  <c r="D13" i="421" s="1"/>
  <c r="E13" i="421" s="1"/>
  <c r="F12" i="410"/>
  <c r="C36" i="307"/>
  <c r="C34" i="307"/>
  <c r="J33" i="2"/>
  <c r="C7" i="409"/>
  <c r="T67" i="60"/>
  <c r="D15" i="374" s="1"/>
  <c r="D18" i="373"/>
  <c r="D13" i="374" s="1"/>
  <c r="E13" i="374" s="1"/>
  <c r="X67" i="60"/>
  <c r="D15" i="421" s="1"/>
  <c r="C19" i="411"/>
  <c r="C19" i="383"/>
  <c r="C95" i="383" s="1"/>
  <c r="E95" i="383" s="1"/>
  <c r="D7" i="372"/>
  <c r="D20" i="371"/>
  <c r="D20" i="408"/>
  <c r="D7" i="409"/>
  <c r="G57" i="398"/>
  <c r="G70" i="398" s="1"/>
  <c r="G57" i="400"/>
  <c r="G70" i="400" s="1"/>
  <c r="G65" i="400"/>
  <c r="G65" i="398"/>
  <c r="D23" i="304"/>
  <c r="C14" i="307"/>
  <c r="D17" i="304"/>
  <c r="G141" i="303"/>
  <c r="F42" i="302"/>
  <c r="F40" i="400"/>
  <c r="D18" i="304"/>
  <c r="C30" i="307"/>
  <c r="E7" i="167"/>
  <c r="E11" i="248" s="1"/>
  <c r="D16" i="375"/>
  <c r="D16" i="304"/>
  <c r="F27" i="302"/>
  <c r="C17" i="307"/>
  <c r="D22" i="304"/>
  <c r="F10" i="400"/>
  <c r="C26" i="320"/>
  <c r="C30" i="378"/>
  <c r="C15" i="307"/>
  <c r="C26" i="307"/>
  <c r="H27" i="302"/>
  <c r="J27" i="302" s="1"/>
  <c r="D19" i="304"/>
  <c r="E19" i="304" s="1"/>
  <c r="D10" i="304"/>
  <c r="G65" i="291"/>
  <c r="F30" i="400"/>
  <c r="F29" i="302"/>
  <c r="D15" i="301"/>
  <c r="C38" i="307"/>
  <c r="C31" i="307"/>
  <c r="F39" i="302"/>
  <c r="G40" i="400"/>
  <c r="H39" i="302"/>
  <c r="D12" i="375"/>
  <c r="E12" i="375" s="1"/>
  <c r="E8" i="167"/>
  <c r="AY9" i="388"/>
  <c r="BA9" i="388" s="1"/>
  <c r="AY9" i="168"/>
  <c r="BA9" i="168" s="1"/>
  <c r="G30" i="400"/>
  <c r="E9" i="167"/>
  <c r="D16" i="301"/>
  <c r="D64" i="167"/>
  <c r="C30" i="430"/>
  <c r="A10" i="291"/>
  <c r="G137" i="142"/>
  <c r="H42" i="302"/>
  <c r="F41" i="422"/>
  <c r="C26" i="378"/>
  <c r="C34" i="378"/>
  <c r="C41" i="320"/>
  <c r="F28" i="400"/>
  <c r="J28" i="315"/>
  <c r="H29" i="302"/>
  <c r="C23" i="307"/>
  <c r="AQ9" i="388"/>
  <c r="AS9" i="388" s="1"/>
  <c r="AQ9" i="168"/>
  <c r="AS9" i="168" s="1"/>
  <c r="F41" i="410"/>
  <c r="F31" i="400"/>
  <c r="G31" i="400" s="1"/>
  <c r="H30" i="302"/>
  <c r="H30" i="410"/>
  <c r="D16" i="427"/>
  <c r="E16" i="427" s="1"/>
  <c r="L37" i="2"/>
  <c r="C15" i="415"/>
  <c r="C30" i="415"/>
  <c r="F30" i="369"/>
  <c r="C26" i="415"/>
  <c r="H30" i="369"/>
  <c r="D16" i="412"/>
  <c r="E16" i="412" s="1"/>
  <c r="C15" i="378"/>
  <c r="D19" i="375"/>
  <c r="E19" i="375" s="1"/>
  <c r="C38" i="378"/>
  <c r="D12" i="427"/>
  <c r="E12" i="427" s="1"/>
  <c r="D13" i="375"/>
  <c r="E13" i="375" s="1"/>
  <c r="F30" i="410"/>
  <c r="C26" i="430"/>
  <c r="H30" i="422"/>
  <c r="F30" i="422"/>
  <c r="D13" i="412"/>
  <c r="D13" i="427"/>
  <c r="E13" i="427" s="1"/>
  <c r="C38" i="430"/>
  <c r="C38" i="415"/>
  <c r="D12" i="412"/>
  <c r="E12" i="412" s="1"/>
  <c r="F9" i="400" l="1"/>
  <c r="F53" i="49"/>
  <c r="F51" i="49"/>
  <c r="F50" i="49"/>
  <c r="F49" i="49"/>
  <c r="F55" i="49"/>
  <c r="F52" i="49"/>
  <c r="F48" i="49"/>
  <c r="F54" i="49"/>
  <c r="L39" i="483" s="1"/>
  <c r="N39" i="483" s="1"/>
  <c r="D26" i="371"/>
  <c r="E45" i="491"/>
  <c r="B45" i="491"/>
  <c r="C45" i="491"/>
  <c r="D45" i="491"/>
  <c r="F101" i="490"/>
  <c r="F100" i="490"/>
  <c r="F110" i="490"/>
  <c r="F105" i="490" s="1"/>
  <c r="F101" i="489"/>
  <c r="F100" i="489"/>
  <c r="F110" i="489"/>
  <c r="F105" i="489" s="1"/>
  <c r="E32" i="248"/>
  <c r="G6" i="487"/>
  <c r="F101" i="481"/>
  <c r="F100" i="481"/>
  <c r="I110" i="315"/>
  <c r="F110" i="481"/>
  <c r="F105" i="481" s="1"/>
  <c r="G126" i="142"/>
  <c r="P24" i="2"/>
  <c r="Q24" i="2"/>
  <c r="J18" i="49"/>
  <c r="K160" i="1" s="1"/>
  <c r="M160" i="1" s="1"/>
  <c r="D118" i="49"/>
  <c r="E166" i="1" s="1"/>
  <c r="D6" i="167" s="1"/>
  <c r="D7" i="167" s="1"/>
  <c r="F8" i="398" s="1"/>
  <c r="O131" i="1"/>
  <c r="O153" i="1" s="1"/>
  <c r="Q131" i="1"/>
  <c r="Q153" i="1" s="1"/>
  <c r="F101" i="478"/>
  <c r="F100" i="478"/>
  <c r="F110" i="478"/>
  <c r="F105" i="478" s="1"/>
  <c r="F101" i="315"/>
  <c r="F100" i="315"/>
  <c r="H101" i="315"/>
  <c r="I101" i="315" s="1"/>
  <c r="D15" i="323" s="1"/>
  <c r="H100" i="315"/>
  <c r="I100" i="315" s="1"/>
  <c r="D16" i="323" s="1"/>
  <c r="E13" i="412"/>
  <c r="E18" i="304"/>
  <c r="B91" i="281"/>
  <c r="A10" i="383"/>
  <c r="A10" i="303"/>
  <c r="E13" i="317"/>
  <c r="A10" i="425"/>
  <c r="K9" i="168"/>
  <c r="M9" i="168" s="1"/>
  <c r="AQ9" i="389"/>
  <c r="AS9" i="389" s="1"/>
  <c r="AQ9" i="477"/>
  <c r="AS9" i="477" s="1"/>
  <c r="AY9" i="389"/>
  <c r="BA9" i="389" s="1"/>
  <c r="AY9" i="477"/>
  <c r="BA9" i="477" s="1"/>
  <c r="A10" i="327"/>
  <c r="K9" i="477"/>
  <c r="M9" i="477" s="1"/>
  <c r="F72" i="398"/>
  <c r="DY18" i="477"/>
  <c r="DA15" i="168"/>
  <c r="DC15" i="168" s="1"/>
  <c r="DE15" i="168" s="1"/>
  <c r="DG15" i="168" s="1"/>
  <c r="DA24" i="477"/>
  <c r="DC24" i="477" s="1"/>
  <c r="DC33" i="477" s="1"/>
  <c r="DA15" i="477"/>
  <c r="DC15" i="477" s="1"/>
  <c r="DE15" i="477" s="1"/>
  <c r="DG15" i="477" s="1"/>
  <c r="DE24" i="477"/>
  <c r="DG24" i="477" s="1"/>
  <c r="DG33" i="477" s="1"/>
  <c r="DA28" i="477"/>
  <c r="DA29" i="477" s="1"/>
  <c r="DA30" i="477" s="1"/>
  <c r="DE28" i="477"/>
  <c r="DE29" i="477" s="1"/>
  <c r="DE30"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W24" i="477"/>
  <c r="CY24" i="477" s="1"/>
  <c r="CY33" i="477" s="1"/>
  <c r="CS15" i="477"/>
  <c r="CU15" i="477" s="1"/>
  <c r="CW15" i="477" s="1"/>
  <c r="CY15" i="477" s="1"/>
  <c r="CS24" i="477"/>
  <c r="CU24" i="477" s="1"/>
  <c r="CU33" i="477" s="1"/>
  <c r="CS28" i="477"/>
  <c r="CS29" i="477" s="1"/>
  <c r="CS30" i="477" s="1"/>
  <c r="CW28" i="477"/>
  <c r="CW29" i="477" s="1"/>
  <c r="CW30" i="477" s="1"/>
  <c r="CC24" i="477"/>
  <c r="CE24" i="477" s="1"/>
  <c r="CE33" i="477" s="1"/>
  <c r="CG24" i="477"/>
  <c r="CI24" i="477" s="1"/>
  <c r="CI33" i="477" s="1"/>
  <c r="CC15" i="477"/>
  <c r="CE15" i="477" s="1"/>
  <c r="CG15" i="477" s="1"/>
  <c r="CI15" i="477" s="1"/>
  <c r="CC28" i="477"/>
  <c r="CC29" i="477" s="1"/>
  <c r="CC30" i="477" s="1"/>
  <c r="CG28" i="477"/>
  <c r="CG29" i="477" s="1"/>
  <c r="CG30" i="477" s="1"/>
  <c r="EC57" i="477"/>
  <c r="O57" i="477"/>
  <c r="EI18" i="477"/>
  <c r="EG19" i="477"/>
  <c r="EG27" i="477" s="1"/>
  <c r="E17" i="304"/>
  <c r="E19" i="317"/>
  <c r="H20" i="74"/>
  <c r="C17" i="108"/>
  <c r="E26" i="316"/>
  <c r="E32" i="316"/>
  <c r="E86" i="1"/>
  <c r="K41" i="2" s="1"/>
  <c r="D27" i="307"/>
  <c r="J33" i="302"/>
  <c r="D23" i="307"/>
  <c r="J29" i="302"/>
  <c r="E29" i="227"/>
  <c r="J27" i="280"/>
  <c r="J33" i="280"/>
  <c r="D52" i="301"/>
  <c r="E49" i="248" s="1"/>
  <c r="J42" i="302"/>
  <c r="D34" i="307"/>
  <c r="J39" i="302"/>
  <c r="D41" i="320"/>
  <c r="J52" i="315"/>
  <c r="C24" i="49"/>
  <c r="D22" i="49"/>
  <c r="E9" i="301" s="1"/>
  <c r="B11" i="307"/>
  <c r="K9" i="389"/>
  <c r="M9" i="389" s="1"/>
  <c r="A10" i="447"/>
  <c r="J7" i="247"/>
  <c r="G9" i="184"/>
  <c r="E12" i="317"/>
  <c r="E16" i="317"/>
  <c r="A10" i="411"/>
  <c r="G112" i="142"/>
  <c r="S9" i="477" s="1"/>
  <c r="U9" i="477" s="1"/>
  <c r="C123" i="49"/>
  <c r="C120" i="49"/>
  <c r="C122" i="49"/>
  <c r="C121" i="49"/>
  <c r="C118" i="49"/>
  <c r="C112" i="49"/>
  <c r="C126" i="49"/>
  <c r="E174" i="1" s="1"/>
  <c r="C117" i="49"/>
  <c r="E165" i="1" s="1"/>
  <c r="C129" i="49"/>
  <c r="E177" i="1" s="1"/>
  <c r="C110" i="49"/>
  <c r="C111" i="49"/>
  <c r="C116" i="49"/>
  <c r="C128" i="49"/>
  <c r="E176" i="1" s="1"/>
  <c r="K14" i="477" s="1"/>
  <c r="C108" i="49"/>
  <c r="C113" i="49"/>
  <c r="C115" i="49"/>
  <c r="C127" i="49"/>
  <c r="E175" i="1" s="1"/>
  <c r="A1" i="458"/>
  <c r="C8" i="458" s="1"/>
  <c r="C51" i="49"/>
  <c r="C13" i="420"/>
  <c r="G65" i="327"/>
  <c r="G65" i="303"/>
  <c r="CG41" i="168"/>
  <c r="CY40" i="168"/>
  <c r="CY42" i="168" s="1"/>
  <c r="CY91" i="168" s="1"/>
  <c r="C57" i="389"/>
  <c r="DY57" i="168"/>
  <c r="K57" i="389"/>
  <c r="W57" i="388"/>
  <c r="W57" i="389"/>
  <c r="EK57" i="168"/>
  <c r="EC57" i="168"/>
  <c r="O57" i="389"/>
  <c r="O57" i="168"/>
  <c r="G57" i="389"/>
  <c r="I70" i="167"/>
  <c r="I70" i="393"/>
  <c r="H41" i="410"/>
  <c r="J41" i="410" s="1"/>
  <c r="H70" i="393"/>
  <c r="D53" i="281"/>
  <c r="CO42" i="168"/>
  <c r="CO91" i="168" s="1"/>
  <c r="CU39" i="168"/>
  <c r="CU41" i="168" s="1"/>
  <c r="K82" i="184"/>
  <c r="D19" i="307"/>
  <c r="F29" i="227" s="1"/>
  <c r="B65" i="49"/>
  <c r="H41" i="369"/>
  <c r="J41" i="369" s="1"/>
  <c r="G70" i="393"/>
  <c r="F70" i="167"/>
  <c r="F70" i="393"/>
  <c r="C70" i="393"/>
  <c r="CI40" i="168"/>
  <c r="CQ40" i="168"/>
  <c r="CC41" i="168"/>
  <c r="F3" i="478"/>
  <c r="G34" i="400"/>
  <c r="F34" i="400"/>
  <c r="F33" i="302"/>
  <c r="J34" i="315"/>
  <c r="E62" i="425"/>
  <c r="C3" i="441"/>
  <c r="E10" i="317"/>
  <c r="E16" i="304"/>
  <c r="E10" i="304"/>
  <c r="E16" i="375"/>
  <c r="E18" i="317"/>
  <c r="D53" i="301"/>
  <c r="F23" i="227" s="1"/>
  <c r="C31" i="227"/>
  <c r="C33" i="227" s="1"/>
  <c r="C34" i="227" s="1"/>
  <c r="C35" i="227" s="1"/>
  <c r="C37" i="227" s="1"/>
  <c r="CW42" i="168"/>
  <c r="CW43" i="168" s="1"/>
  <c r="CW92" i="168" s="1"/>
  <c r="DI57" i="168"/>
  <c r="K57" i="168"/>
  <c r="G57" i="388"/>
  <c r="DU57" i="168"/>
  <c r="C70" i="167"/>
  <c r="CO24" i="168"/>
  <c r="CQ24" i="168" s="1"/>
  <c r="CQ33" i="168" s="1"/>
  <c r="C57" i="388"/>
  <c r="C41" i="409"/>
  <c r="DA24" i="168"/>
  <c r="DC24" i="168" s="1"/>
  <c r="DC33" i="168" s="1"/>
  <c r="DC36" i="168" s="1"/>
  <c r="G57" i="168"/>
  <c r="H59" i="315"/>
  <c r="E19" i="383"/>
  <c r="CK15" i="168"/>
  <c r="CM15" i="168" s="1"/>
  <c r="CO15" i="168" s="1"/>
  <c r="CQ15" i="168" s="1"/>
  <c r="DQ57" i="168"/>
  <c r="C13" i="382"/>
  <c r="C13" i="436"/>
  <c r="DE24" i="168"/>
  <c r="DG24" i="168" s="1"/>
  <c r="DG33" i="168" s="1"/>
  <c r="DG36" i="168" s="1"/>
  <c r="C75" i="49"/>
  <c r="E53" i="49"/>
  <c r="E78" i="1" s="1"/>
  <c r="L39" i="2" s="1"/>
  <c r="N39" i="2" s="1"/>
  <c r="E49" i="49"/>
  <c r="E52" i="49"/>
  <c r="E77" i="1" s="1"/>
  <c r="E48" i="49"/>
  <c r="E73" i="1" s="1"/>
  <c r="E51" i="49"/>
  <c r="E76" i="1" s="1"/>
  <c r="K39" i="483" s="1"/>
  <c r="E50" i="49"/>
  <c r="E75" i="1" s="1"/>
  <c r="G146" i="142"/>
  <c r="G155" i="142" s="1"/>
  <c r="B14" i="416"/>
  <c r="B16" i="416"/>
  <c r="K4" i="247"/>
  <c r="B16" i="379"/>
  <c r="B14" i="379"/>
  <c r="CM39" i="168"/>
  <c r="CM41" i="168" s="1"/>
  <c r="M58" i="60"/>
  <c r="N58" i="60" s="1"/>
  <c r="Q59" i="167"/>
  <c r="C9" i="227"/>
  <c r="E13" i="304"/>
  <c r="E17" i="412"/>
  <c r="E12" i="304"/>
  <c r="D6" i="109"/>
  <c r="H70" i="167"/>
  <c r="C53" i="49"/>
  <c r="E168" i="1" s="1"/>
  <c r="C74" i="49"/>
  <c r="E19" i="425"/>
  <c r="G70" i="167"/>
  <c r="F72" i="400"/>
  <c r="EG18" i="168"/>
  <c r="EI18" i="168" s="1"/>
  <c r="EK18" i="168" s="1"/>
  <c r="EM18" i="168" s="1"/>
  <c r="E19" i="411"/>
  <c r="C95" i="411"/>
  <c r="E95" i="411" s="1"/>
  <c r="C2" i="428"/>
  <c r="C2" i="376"/>
  <c r="C2" i="413"/>
  <c r="C2" i="318"/>
  <c r="D2" i="450" s="1"/>
  <c r="D1" i="109"/>
  <c r="F1" i="280"/>
  <c r="CS24" i="168"/>
  <c r="CU24" i="168" s="1"/>
  <c r="CU33" i="168" s="1"/>
  <c r="CW24" i="168"/>
  <c r="CY24" i="168" s="1"/>
  <c r="CY33" i="168" s="1"/>
  <c r="CS15" i="168"/>
  <c r="CU15" i="168" s="1"/>
  <c r="CW15" i="168" s="1"/>
  <c r="CY15" i="168" s="1"/>
  <c r="C3" i="318"/>
  <c r="C3" i="376"/>
  <c r="C7" i="167"/>
  <c r="O76" i="280"/>
  <c r="W57" i="168"/>
  <c r="BQ57" i="168" s="1"/>
  <c r="F8" i="400"/>
  <c r="F110" i="315"/>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F2" i="302"/>
  <c r="L82" i="184"/>
  <c r="E7" i="423"/>
  <c r="C41" i="423"/>
  <c r="E8" i="409"/>
  <c r="M24" i="2"/>
  <c r="N24" i="2" s="1"/>
  <c r="G12" i="107"/>
  <c r="E59" i="425"/>
  <c r="E7" i="372"/>
  <c r="DY18" i="168"/>
  <c r="EA18" i="168" s="1"/>
  <c r="EC18" i="168" s="1"/>
  <c r="EE18" i="168" s="1"/>
  <c r="E153" i="1"/>
  <c r="H110" i="315"/>
  <c r="F8" i="302"/>
  <c r="D11" i="301" s="1"/>
  <c r="F15" i="106" s="1"/>
  <c r="E7" i="227"/>
  <c r="E9" i="227" s="1"/>
  <c r="F9" i="398"/>
  <c r="D53" i="49"/>
  <c r="D52" i="49"/>
  <c r="C109" i="49"/>
  <c r="E157" i="1" s="1"/>
  <c r="G157" i="1" s="1"/>
  <c r="G221" i="1" s="1"/>
  <c r="D50" i="49"/>
  <c r="C49" i="49"/>
  <c r="D49" i="49"/>
  <c r="D55" i="49"/>
  <c r="J39" i="2" s="1"/>
  <c r="C48" i="49"/>
  <c r="C83" i="49"/>
  <c r="C128" i="1" s="1"/>
  <c r="D48" i="49"/>
  <c r="C124" i="49"/>
  <c r="C52" i="49"/>
  <c r="C22" i="49"/>
  <c r="E8" i="281" s="1"/>
  <c r="C54" i="49"/>
  <c r="C55" i="49"/>
  <c r="C1" i="49"/>
  <c r="C50" i="49"/>
  <c r="A1" i="391"/>
  <c r="D51" i="49"/>
  <c r="C3" i="428"/>
  <c r="C3" i="413"/>
  <c r="CG52" i="168"/>
  <c r="CG91" i="168"/>
  <c r="CG92" i="168"/>
  <c r="E151" i="327"/>
  <c r="E75" i="327"/>
  <c r="D54" i="49"/>
  <c r="E62" i="291"/>
  <c r="F27" i="369"/>
  <c r="G17" i="107"/>
  <c r="C54" i="409"/>
  <c r="E7" i="409"/>
  <c r="C54" i="372"/>
  <c r="CG47" i="168"/>
  <c r="CG55" i="168" s="1"/>
  <c r="AK43" i="400"/>
  <c r="E64" i="167"/>
  <c r="F43" i="398"/>
  <c r="G43" i="398" s="1"/>
  <c r="H42" i="280"/>
  <c r="J42" i="280" s="1"/>
  <c r="F43" i="400"/>
  <c r="G43" i="400" s="1"/>
  <c r="F42" i="280"/>
  <c r="AC60" i="60"/>
  <c r="AC67" i="60" s="1"/>
  <c r="E15" i="435" s="1"/>
  <c r="Y60" i="60"/>
  <c r="Y67" i="60" s="1"/>
  <c r="E15" i="421" s="1"/>
  <c r="D18" i="412"/>
  <c r="E18" i="412" s="1"/>
  <c r="C16" i="415"/>
  <c r="D17" i="427"/>
  <c r="E17" i="427" s="1"/>
  <c r="F9" i="302"/>
  <c r="D13" i="301" s="1"/>
  <c r="C13" i="307"/>
  <c r="D20" i="304"/>
  <c r="F7" i="227"/>
  <c r="F10" i="302"/>
  <c r="D14" i="301" s="1"/>
  <c r="F8" i="227"/>
  <c r="H31" i="302"/>
  <c r="F32" i="400"/>
  <c r="G32" i="400" s="1"/>
  <c r="F31" i="302"/>
  <c r="H36" i="302"/>
  <c r="F36" i="302"/>
  <c r="D70" i="167"/>
  <c r="H41" i="280"/>
  <c r="J41" i="280" s="1"/>
  <c r="D22" i="301"/>
  <c r="E22" i="248" s="1"/>
  <c r="F64" i="302"/>
  <c r="H64" i="302" s="1"/>
  <c r="F66" i="400"/>
  <c r="G66" i="400" s="1"/>
  <c r="D19" i="412"/>
  <c r="E19" i="412" s="1"/>
  <c r="D17" i="375"/>
  <c r="E17" i="375" s="1"/>
  <c r="D10" i="375"/>
  <c r="E10" i="375" s="1"/>
  <c r="E17" i="317"/>
  <c r="F37" i="400"/>
  <c r="G37" i="400" s="1"/>
  <c r="J30" i="315"/>
  <c r="C75" i="291"/>
  <c r="E75" i="291"/>
  <c r="C151" i="327"/>
  <c r="C75" i="383"/>
  <c r="D15" i="304"/>
  <c r="E15" i="304" s="1"/>
  <c r="H39" i="369"/>
  <c r="F39" i="369"/>
  <c r="D18" i="375"/>
  <c r="E18" i="375" s="1"/>
  <c r="C16" i="378"/>
  <c r="D11" i="304"/>
  <c r="E11" i="304" s="1"/>
  <c r="E151" i="291"/>
  <c r="C151" i="291"/>
  <c r="I58" i="60"/>
  <c r="E138" i="291"/>
  <c r="C41" i="372"/>
  <c r="U60" i="60"/>
  <c r="U67" i="60" s="1"/>
  <c r="E62" i="411"/>
  <c r="E135" i="303"/>
  <c r="E59" i="383"/>
  <c r="E10" i="167"/>
  <c r="E12" i="248" s="1"/>
  <c r="C22" i="307"/>
  <c r="E62" i="327"/>
  <c r="D10" i="412"/>
  <c r="E10" i="412" s="1"/>
  <c r="E138" i="327"/>
  <c r="E135" i="327"/>
  <c r="E138" i="383"/>
  <c r="E135" i="383"/>
  <c r="E135" i="411"/>
  <c r="E138" i="411"/>
  <c r="E138" i="425"/>
  <c r="E135" i="425"/>
  <c r="D7" i="227"/>
  <c r="D9" i="227" s="1"/>
  <c r="H41" i="422"/>
  <c r="J41" i="422" s="1"/>
  <c r="E62" i="303"/>
  <c r="E59" i="303"/>
  <c r="C3" i="398"/>
  <c r="D3" i="2"/>
  <c r="C3" i="280"/>
  <c r="D3" i="60"/>
  <c r="C3" i="302"/>
  <c r="C3" i="315"/>
  <c r="C3" i="369"/>
  <c r="D3" i="106"/>
  <c r="C3" i="422"/>
  <c r="C3" i="400"/>
  <c r="C3" i="410"/>
  <c r="D19" i="324" l="1"/>
  <c r="F8" i="280"/>
  <c r="D11" i="281" s="1"/>
  <c r="D10" i="167"/>
  <c r="D57" i="167" s="1"/>
  <c r="D59" i="316"/>
  <c r="F60" i="248" s="1"/>
  <c r="D68" i="316"/>
  <c r="F69" i="248" s="1"/>
  <c r="C29" i="492"/>
  <c r="C35" i="492" s="1"/>
  <c r="C51" i="491"/>
  <c r="B29" i="492"/>
  <c r="B35" i="492" s="1"/>
  <c r="B51" i="491"/>
  <c r="E29" i="492"/>
  <c r="E35" i="492" s="1"/>
  <c r="E51" i="491"/>
  <c r="D29" i="492"/>
  <c r="D35" i="492" s="1"/>
  <c r="D51" i="491"/>
  <c r="P60" i="60"/>
  <c r="G75" i="1"/>
  <c r="C19" i="327" s="1"/>
  <c r="E85" i="1"/>
  <c r="G78" i="1"/>
  <c r="E88" i="1"/>
  <c r="G77" i="1"/>
  <c r="E87" i="1"/>
  <c r="G73" i="1"/>
  <c r="E83" i="1"/>
  <c r="G74" i="1"/>
  <c r="E84" i="1"/>
  <c r="D7" i="363" s="1"/>
  <c r="F103" i="489"/>
  <c r="F103" i="481"/>
  <c r="F103" i="490"/>
  <c r="AA18" i="168"/>
  <c r="AC18" i="168" s="1"/>
  <c r="AE18" i="168" s="1"/>
  <c r="AG18" i="168" s="1"/>
  <c r="AA18" i="477"/>
  <c r="N60" i="60"/>
  <c r="N67" i="60" s="1"/>
  <c r="N69" i="60" s="1"/>
  <c r="N71" i="60" s="1"/>
  <c r="N73" i="60" s="1"/>
  <c r="J41" i="483"/>
  <c r="F66" i="302"/>
  <c r="H66" i="302" s="1"/>
  <c r="D21" i="309" s="1"/>
  <c r="F65" i="302"/>
  <c r="H65" i="302" s="1"/>
  <c r="I39" i="2"/>
  <c r="I39" i="483"/>
  <c r="J39" i="483" s="1"/>
  <c r="L60" i="482"/>
  <c r="L67" i="482" s="1"/>
  <c r="L69" i="482" s="1"/>
  <c r="L71" i="482" s="1"/>
  <c r="L73" i="482" s="1"/>
  <c r="I41" i="483"/>
  <c r="G76" i="1"/>
  <c r="O58" i="60"/>
  <c r="K157" i="1"/>
  <c r="H14" i="109"/>
  <c r="R24" i="2"/>
  <c r="E159" i="1"/>
  <c r="G159" i="1" s="1"/>
  <c r="E158" i="1"/>
  <c r="E156" i="1"/>
  <c r="G156" i="1" s="1"/>
  <c r="I54" i="315"/>
  <c r="H75" i="302"/>
  <c r="BO18" i="168" s="1"/>
  <c r="F75" i="302"/>
  <c r="S18" i="477" s="1"/>
  <c r="U18" i="477" s="1"/>
  <c r="O160" i="1"/>
  <c r="I54" i="478"/>
  <c r="F103" i="478"/>
  <c r="CM34" i="168"/>
  <c r="CM35" i="168" s="1"/>
  <c r="CM42" i="168" s="1"/>
  <c r="CM91" i="168" s="1"/>
  <c r="B1" i="1"/>
  <c r="K13" i="477"/>
  <c r="BO20" i="477"/>
  <c r="K20" i="477"/>
  <c r="M14" i="477"/>
  <c r="CW33" i="477"/>
  <c r="CW36" i="477" s="1"/>
  <c r="F7" i="167"/>
  <c r="F11" i="248" s="1"/>
  <c r="DA33" i="477"/>
  <c r="DA34" i="477" s="1"/>
  <c r="DE33" i="477"/>
  <c r="DE36" i="477" s="1"/>
  <c r="CS33" i="477"/>
  <c r="CS36" i="477" s="1"/>
  <c r="CG33" i="477"/>
  <c r="CG36" i="477" s="1"/>
  <c r="CC33" i="477"/>
  <c r="CC36" i="477" s="1"/>
  <c r="CO33" i="477"/>
  <c r="CO36" i="477" s="1"/>
  <c r="AA57" i="389"/>
  <c r="AA57" i="477"/>
  <c r="CM36" i="477"/>
  <c r="CM34" i="477"/>
  <c r="CU36" i="477"/>
  <c r="CU34" i="477"/>
  <c r="DG36" i="477"/>
  <c r="DG34" i="477"/>
  <c r="DG35" i="477" s="1"/>
  <c r="CY36" i="477"/>
  <c r="CY34" i="477"/>
  <c r="CY35" i="477" s="1"/>
  <c r="DC36" i="477"/>
  <c r="DC34" i="477"/>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EK18" i="477"/>
  <c r="EI19" i="477"/>
  <c r="E74" i="1"/>
  <c r="D7" i="361" s="1"/>
  <c r="E59" i="316"/>
  <c r="E68" i="316"/>
  <c r="F22" i="227"/>
  <c r="O41" i="302"/>
  <c r="J41" i="302"/>
  <c r="J59" i="315"/>
  <c r="D34" i="378"/>
  <c r="J39" i="369"/>
  <c r="H58" i="280"/>
  <c r="H9" i="184"/>
  <c r="K7" i="247"/>
  <c r="I8" i="184" s="1"/>
  <c r="B16" i="452"/>
  <c r="B14" i="452"/>
  <c r="S9" i="389"/>
  <c r="U9" i="389" s="1"/>
  <c r="B91" i="301"/>
  <c r="G121" i="142"/>
  <c r="S9" i="388"/>
  <c r="U9" i="388" s="1"/>
  <c r="S9" i="168"/>
  <c r="U9" i="168" s="1"/>
  <c r="C90" i="460"/>
  <c r="E90" i="460"/>
  <c r="D90" i="460"/>
  <c r="E1" i="291"/>
  <c r="H8" i="184"/>
  <c r="G8" i="184"/>
  <c r="B11" i="458"/>
  <c r="E11" i="458" s="1"/>
  <c r="C221" i="1"/>
  <c r="C219" i="1"/>
  <c r="C220" i="1"/>
  <c r="C218" i="1"/>
  <c r="C216" i="1"/>
  <c r="C217" i="1"/>
  <c r="C222" i="1"/>
  <c r="D40" i="408"/>
  <c r="C23" i="411" s="1"/>
  <c r="E23" i="411" s="1"/>
  <c r="AA57" i="168"/>
  <c r="AA57" i="388"/>
  <c r="E161" i="1"/>
  <c r="H60" i="60"/>
  <c r="E167" i="1"/>
  <c r="E164" i="1"/>
  <c r="B70" i="167" s="1"/>
  <c r="H41" i="2"/>
  <c r="E170" i="1"/>
  <c r="G26" i="2"/>
  <c r="H26" i="2" s="1"/>
  <c r="E162" i="1"/>
  <c r="G18" i="184" s="1"/>
  <c r="S18" i="184"/>
  <c r="E172" i="1"/>
  <c r="G39" i="2"/>
  <c r="H39" i="2" s="1"/>
  <c r="E163" i="1"/>
  <c r="B64" i="167" s="1"/>
  <c r="E65" i="167" s="1"/>
  <c r="H16" i="184" s="1"/>
  <c r="E171" i="1"/>
  <c r="E169" i="1"/>
  <c r="E8" i="184"/>
  <c r="E10" i="184" s="1"/>
  <c r="C35" i="360"/>
  <c r="C7" i="360"/>
  <c r="D7" i="360"/>
  <c r="C36" i="360"/>
  <c r="O143" i="1"/>
  <c r="G65" i="383"/>
  <c r="AI57" i="477" s="1"/>
  <c r="S57" i="389"/>
  <c r="S57" i="388"/>
  <c r="S57" i="168"/>
  <c r="BO57" i="168" s="1"/>
  <c r="BO88" i="168" s="1"/>
  <c r="CY43" i="168"/>
  <c r="CY44" i="168" s="1"/>
  <c r="CY41" i="168"/>
  <c r="CO52" i="168"/>
  <c r="F3" i="302"/>
  <c r="F11" i="400"/>
  <c r="BQ88" i="168"/>
  <c r="G141" i="327"/>
  <c r="AE57" i="477" s="1"/>
  <c r="CO43" i="168"/>
  <c r="CO92" i="168" s="1"/>
  <c r="CO51" i="168" s="1"/>
  <c r="C10" i="167"/>
  <c r="D18" i="309"/>
  <c r="E23" i="227"/>
  <c r="B70" i="393"/>
  <c r="H71" i="393" s="1"/>
  <c r="C8" i="391"/>
  <c r="B11" i="391"/>
  <c r="C36" i="361"/>
  <c r="D3" i="319"/>
  <c r="D3" i="451" s="1"/>
  <c r="D3" i="450"/>
  <c r="D3" i="414"/>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G34" i="168"/>
  <c r="DG35" i="168" s="1"/>
  <c r="CW44" i="168"/>
  <c r="CW45" i="168" s="1"/>
  <c r="CW47" i="168" s="1"/>
  <c r="CW48" i="168" s="1"/>
  <c r="CW52" i="168"/>
  <c r="CW91" i="168"/>
  <c r="CW51" i="168" s="1"/>
  <c r="DC34" i="168"/>
  <c r="DC35" i="168" s="1"/>
  <c r="E50" i="248"/>
  <c r="AA18" i="388"/>
  <c r="AC18" i="388" s="1"/>
  <c r="AE18" i="388" s="1"/>
  <c r="AG18" i="388" s="1"/>
  <c r="CQ36" i="168"/>
  <c r="CQ34" i="168"/>
  <c r="CQ35" i="168" s="1"/>
  <c r="CE34" i="168"/>
  <c r="CE35" i="168" s="1"/>
  <c r="CE42" i="168" s="1"/>
  <c r="CE91" i="168" s="1"/>
  <c r="F105" i="315"/>
  <c r="H105" i="315"/>
  <c r="B11" i="320"/>
  <c r="L4" i="247"/>
  <c r="B16" i="431"/>
  <c r="B14" i="431"/>
  <c r="D2" i="109"/>
  <c r="D19" i="310"/>
  <c r="G41" i="2"/>
  <c r="D9" i="176"/>
  <c r="AD40" i="167"/>
  <c r="D3" i="429"/>
  <c r="D51" i="301"/>
  <c r="CU34" i="168"/>
  <c r="CU35" i="168" s="1"/>
  <c r="CU42" i="168" s="1"/>
  <c r="CU91" i="168" s="1"/>
  <c r="CU36" i="168"/>
  <c r="D2" i="377"/>
  <c r="D2" i="414"/>
  <c r="D2" i="319"/>
  <c r="D2" i="451" s="1"/>
  <c r="D2" i="429"/>
  <c r="D3" i="377"/>
  <c r="CI34" i="168"/>
  <c r="CI35" i="168" s="1"/>
  <c r="CI36" i="168"/>
  <c r="F1" i="302"/>
  <c r="AB376" i="1"/>
  <c r="AB378" i="1"/>
  <c r="AB377" i="1"/>
  <c r="C34" i="176"/>
  <c r="F3" i="315"/>
  <c r="D3" i="408"/>
  <c r="CY34" i="168"/>
  <c r="CY35" i="168" s="1"/>
  <c r="CY36" i="168"/>
  <c r="D22" i="227"/>
  <c r="D22" i="323"/>
  <c r="C17" i="428"/>
  <c r="C17" i="376"/>
  <c r="C18" i="167"/>
  <c r="D51" i="227" s="1"/>
  <c r="AC81" i="167"/>
  <c r="I60" i="60"/>
  <c r="I67" i="60" s="1"/>
  <c r="I69" i="60" s="1"/>
  <c r="I71" i="60" s="1"/>
  <c r="I73" i="60" s="1"/>
  <c r="D26" i="301"/>
  <c r="E26" i="248" s="1"/>
  <c r="F12" i="302"/>
  <c r="F12" i="400"/>
  <c r="C7" i="361"/>
  <c r="C35" i="361"/>
  <c r="J41" i="2"/>
  <c r="C34" i="361"/>
  <c r="D19" i="419"/>
  <c r="L60" i="60"/>
  <c r="I41" i="2"/>
  <c r="D19" i="373"/>
  <c r="D18" i="310"/>
  <c r="D13" i="311" s="1"/>
  <c r="E13" i="311" s="1"/>
  <c r="K39" i="2"/>
  <c r="CG51" i="168"/>
  <c r="CG48" i="168"/>
  <c r="H27" i="369"/>
  <c r="J27" i="369" s="1"/>
  <c r="E21" i="304"/>
  <c r="D27" i="320"/>
  <c r="J60" i="315"/>
  <c r="D52" i="281"/>
  <c r="C34" i="415"/>
  <c r="F39" i="410"/>
  <c r="H39" i="410"/>
  <c r="J39" i="410" s="1"/>
  <c r="E11" i="317"/>
  <c r="E15" i="317"/>
  <c r="C16" i="430"/>
  <c r="D18" i="427"/>
  <c r="E18" i="427" s="1"/>
  <c r="C15" i="430"/>
  <c r="D19" i="427"/>
  <c r="E19" i="427" s="1"/>
  <c r="Q58" i="60"/>
  <c r="R58" i="60" s="1"/>
  <c r="E12" i="325"/>
  <c r="F9" i="227"/>
  <c r="D22" i="375"/>
  <c r="C17" i="378"/>
  <c r="H6" i="227"/>
  <c r="T58" i="60"/>
  <c r="D17" i="373"/>
  <c r="G6" i="167"/>
  <c r="G7" i="167" s="1"/>
  <c r="G11" i="248" s="1"/>
  <c r="M211" i="1"/>
  <c r="J33" i="478" s="1"/>
  <c r="M37" i="2"/>
  <c r="N37" i="2" s="1"/>
  <c r="D51" i="281"/>
  <c r="E15" i="374"/>
  <c r="C36" i="378"/>
  <c r="C31" i="378"/>
  <c r="F29" i="369"/>
  <c r="C23" i="378"/>
  <c r="H29" i="369"/>
  <c r="J29" i="369" s="1"/>
  <c r="D12" i="301"/>
  <c r="C11" i="307"/>
  <c r="F11" i="302"/>
  <c r="E57" i="167"/>
  <c r="D23" i="375"/>
  <c r="C14" i="378"/>
  <c r="D10" i="427"/>
  <c r="E10" i="427" s="1"/>
  <c r="D18" i="301"/>
  <c r="E18" i="248" s="1"/>
  <c r="D12" i="281"/>
  <c r="D40" i="424"/>
  <c r="D16" i="498" l="1"/>
  <c r="D16" i="497"/>
  <c r="D16" i="496"/>
  <c r="D16" i="495"/>
  <c r="A5" i="496"/>
  <c r="A5" i="497"/>
  <c r="A5" i="498"/>
  <c r="A5" i="495"/>
  <c r="D45" i="371"/>
  <c r="D45" i="495"/>
  <c r="G46" i="248" s="1"/>
  <c r="C7" i="363"/>
  <c r="D16" i="316"/>
  <c r="F11" i="398"/>
  <c r="F11" i="280"/>
  <c r="D80" i="491"/>
  <c r="B80" i="491"/>
  <c r="E80" i="491"/>
  <c r="C80" i="491"/>
  <c r="D45" i="316"/>
  <c r="F46" i="248" s="1"/>
  <c r="E49" i="460"/>
  <c r="E17" i="486" s="1"/>
  <c r="D49" i="460"/>
  <c r="D17" i="486" s="1"/>
  <c r="C49" i="460"/>
  <c r="C17" i="486" s="1"/>
  <c r="B49" i="460"/>
  <c r="B17" i="486" s="1"/>
  <c r="D57" i="301"/>
  <c r="E54" i="248" s="1"/>
  <c r="G158" i="1"/>
  <c r="G222" i="1" s="1"/>
  <c r="E215" i="1"/>
  <c r="E217" i="1"/>
  <c r="E216" i="1"/>
  <c r="F73" i="393"/>
  <c r="AO81" i="393"/>
  <c r="L41" i="2"/>
  <c r="R60" i="60"/>
  <c r="F18" i="167"/>
  <c r="F18" i="393"/>
  <c r="AG81" i="167"/>
  <c r="E9" i="176"/>
  <c r="O60" i="60"/>
  <c r="O67" i="60" s="1"/>
  <c r="O69" i="60" s="1"/>
  <c r="O71" i="60" s="1"/>
  <c r="O73" i="60" s="1"/>
  <c r="C1" i="490"/>
  <c r="C1" i="489"/>
  <c r="F12" i="167"/>
  <c r="C11" i="320" s="1"/>
  <c r="I110" i="478"/>
  <c r="I100" i="478"/>
  <c r="I101" i="478"/>
  <c r="Q160" i="1"/>
  <c r="I54" i="481"/>
  <c r="D45" i="496" s="1"/>
  <c r="H46" i="248" s="1"/>
  <c r="H110" i="481"/>
  <c r="H105" i="481" s="1"/>
  <c r="I101" i="481"/>
  <c r="I100" i="481"/>
  <c r="H101" i="481"/>
  <c r="H100" i="481"/>
  <c r="I110" i="481"/>
  <c r="D68" i="496" s="1"/>
  <c r="H69" i="248" s="1"/>
  <c r="M157" i="1"/>
  <c r="M39" i="483"/>
  <c r="G154" i="1"/>
  <c r="AI39" i="167"/>
  <c r="AM39" i="167"/>
  <c r="M60" i="482"/>
  <c r="M67" i="482" s="1"/>
  <c r="M69" i="482" s="1"/>
  <c r="M71" i="482" s="1"/>
  <c r="M73" i="482" s="1"/>
  <c r="I24" i="2"/>
  <c r="I24" i="483"/>
  <c r="I26" i="2"/>
  <c r="I26" i="483"/>
  <c r="J26" i="483" s="1"/>
  <c r="I28" i="2"/>
  <c r="I28" i="483"/>
  <c r="J28" i="483" s="1"/>
  <c r="D1" i="482"/>
  <c r="D1" i="483"/>
  <c r="G220" i="1"/>
  <c r="G218" i="1"/>
  <c r="G219" i="1"/>
  <c r="K221" i="1"/>
  <c r="S58" i="60"/>
  <c r="K158" i="1"/>
  <c r="K159" i="1"/>
  <c r="F58" i="393" s="1"/>
  <c r="K156" i="1"/>
  <c r="K219" i="1" s="1"/>
  <c r="A5" i="449"/>
  <c r="C1" i="481"/>
  <c r="S18" i="168"/>
  <c r="U18" i="168" s="1"/>
  <c r="W18" i="168" s="1"/>
  <c r="Y18" i="168" s="1"/>
  <c r="S18" i="389"/>
  <c r="U18" i="389" s="1"/>
  <c r="W18" i="389" s="1"/>
  <c r="Y18" i="389" s="1"/>
  <c r="F70" i="302"/>
  <c r="S18" i="388"/>
  <c r="U18" i="388" s="1"/>
  <c r="W18" i="388" s="1"/>
  <c r="Y18" i="388" s="1"/>
  <c r="I154" i="1"/>
  <c r="H100" i="478"/>
  <c r="H101" i="478"/>
  <c r="H110" i="478"/>
  <c r="F8" i="478"/>
  <c r="S19" i="477"/>
  <c r="M39" i="2"/>
  <c r="A5" i="412"/>
  <c r="D68" i="301"/>
  <c r="C20" i="303" s="1"/>
  <c r="E20" i="303" s="1"/>
  <c r="A5" i="415"/>
  <c r="H70" i="302"/>
  <c r="D63" i="301" s="1"/>
  <c r="E60" i="248" s="1"/>
  <c r="BO18" i="477"/>
  <c r="BP18" i="477" s="1"/>
  <c r="BQ18" i="477" s="1"/>
  <c r="BR18" i="477" s="1"/>
  <c r="A5" i="380"/>
  <c r="A5" i="311"/>
  <c r="C1" i="302"/>
  <c r="A5" i="305"/>
  <c r="A5" i="434"/>
  <c r="A5" i="327"/>
  <c r="A81" i="327" s="1"/>
  <c r="D1" i="2"/>
  <c r="A5" i="374"/>
  <c r="A5" i="432"/>
  <c r="A5" i="304"/>
  <c r="A5" i="281"/>
  <c r="A5" i="420"/>
  <c r="A5" i="307"/>
  <c r="A5" i="427"/>
  <c r="A5" i="447"/>
  <c r="A81" i="447" s="1"/>
  <c r="A5" i="433"/>
  <c r="A5" i="421"/>
  <c r="A2" i="391"/>
  <c r="A5" i="448"/>
  <c r="A5" i="314"/>
  <c r="A5" i="408"/>
  <c r="A5" i="381"/>
  <c r="A5" i="417"/>
  <c r="A5" i="424"/>
  <c r="A5" i="444"/>
  <c r="A5" i="416"/>
  <c r="A5" i="326"/>
  <c r="A5" i="303"/>
  <c r="A81" i="303" s="1"/>
  <c r="A5" i="378"/>
  <c r="A5" i="323"/>
  <c r="A5" i="450"/>
  <c r="A5" i="309"/>
  <c r="A5" i="310"/>
  <c r="A5" i="431"/>
  <c r="A5" i="291"/>
  <c r="A81" i="291" s="1"/>
  <c r="C1" i="369"/>
  <c r="A5" i="454"/>
  <c r="C1" i="400"/>
  <c r="A5" i="383"/>
  <c r="A81" i="383" s="1"/>
  <c r="A5" i="414"/>
  <c r="A5" i="373"/>
  <c r="A5" i="248"/>
  <c r="CM43" i="168"/>
  <c r="CM44" i="168" s="1"/>
  <c r="F2" i="478"/>
  <c r="A2" i="458"/>
  <c r="C1" i="478"/>
  <c r="F1" i="315"/>
  <c r="F1" i="478"/>
  <c r="A5" i="371"/>
  <c r="C1" i="315"/>
  <c r="A5" i="320"/>
  <c r="A5" i="301"/>
  <c r="A5" i="376"/>
  <c r="A5" i="324"/>
  <c r="A5" i="436"/>
  <c r="A5" i="435"/>
  <c r="A5" i="411"/>
  <c r="A81" i="411" s="1"/>
  <c r="A5" i="322"/>
  <c r="A5" i="445"/>
  <c r="A5" i="451"/>
  <c r="A5" i="325"/>
  <c r="A5" i="382"/>
  <c r="A5" i="312"/>
  <c r="A5" i="316"/>
  <c r="D1" i="106"/>
  <c r="A5" i="430"/>
  <c r="A5" i="321"/>
  <c r="A5" i="308"/>
  <c r="A5" i="446"/>
  <c r="A5" i="455"/>
  <c r="A5" i="318"/>
  <c r="C1" i="410"/>
  <c r="A5" i="418"/>
  <c r="A5" i="375"/>
  <c r="A5" i="379"/>
  <c r="A5" i="377"/>
  <c r="C1" i="398"/>
  <c r="A5" i="425"/>
  <c r="A81" i="425" s="1"/>
  <c r="A5" i="452"/>
  <c r="C1" i="280"/>
  <c r="A5" i="306"/>
  <c r="A5" i="413"/>
  <c r="A5" i="419"/>
  <c r="A5" i="428"/>
  <c r="C1" i="422"/>
  <c r="A5" i="317"/>
  <c r="A5" i="319"/>
  <c r="A5" i="429"/>
  <c r="D1" i="60"/>
  <c r="C1" i="441"/>
  <c r="A5" i="453"/>
  <c r="F73" i="167"/>
  <c r="E154" i="1"/>
  <c r="F66" i="369"/>
  <c r="H66" i="369" s="1"/>
  <c r="D21" i="381" s="1"/>
  <c r="F10" i="167"/>
  <c r="H75" i="369"/>
  <c r="F65" i="369"/>
  <c r="H65" i="369" s="1"/>
  <c r="D22" i="381" s="1"/>
  <c r="F75" i="369"/>
  <c r="F8" i="315"/>
  <c r="E10" i="316" s="1"/>
  <c r="O14" i="477"/>
  <c r="K21" i="477"/>
  <c r="S20" i="477"/>
  <c r="M20" i="477"/>
  <c r="BP20" i="477"/>
  <c r="BQ20" i="477" s="1"/>
  <c r="BR20" i="477" s="1"/>
  <c r="BO21" i="477"/>
  <c r="BP21" i="477" s="1"/>
  <c r="BQ21" i="477" s="1"/>
  <c r="BR21" i="477" s="1"/>
  <c r="M13" i="477"/>
  <c r="O13" i="477" s="1"/>
  <c r="Q13" i="477" s="1"/>
  <c r="DA36" i="477"/>
  <c r="DA43" i="477" s="1"/>
  <c r="CG34" i="477"/>
  <c r="CG35" i="477" s="1"/>
  <c r="CW34" i="477"/>
  <c r="CW35" i="477" s="1"/>
  <c r="CC34" i="477"/>
  <c r="CC43" i="477" s="1"/>
  <c r="CO34" i="477"/>
  <c r="CO35" i="477" s="1"/>
  <c r="DE34" i="477"/>
  <c r="DE35" i="477" s="1"/>
  <c r="CS34" i="477"/>
  <c r="CS35" i="477" s="1"/>
  <c r="CS42" i="477" s="1"/>
  <c r="AA9" i="477"/>
  <c r="AC9" i="477" s="1"/>
  <c r="BO10" i="477"/>
  <c r="BP10" i="477" s="1"/>
  <c r="H18" i="184"/>
  <c r="E1" i="303"/>
  <c r="E1" i="411" s="1"/>
  <c r="CK34" i="477"/>
  <c r="CK36" i="477"/>
  <c r="DC43" i="477"/>
  <c r="DC44" i="477" s="1"/>
  <c r="DC35" i="477"/>
  <c r="DA35" i="477"/>
  <c r="CE35" i="477"/>
  <c r="CE42" i="477" s="1"/>
  <c r="CE91" i="477" s="1"/>
  <c r="CE43" i="477"/>
  <c r="CU43" i="477"/>
  <c r="CU44" i="477" s="1"/>
  <c r="CU35" i="477"/>
  <c r="CU42" i="477" s="1"/>
  <c r="CU91" i="477" s="1"/>
  <c r="CM43" i="477"/>
  <c r="CM44" i="477" s="1"/>
  <c r="CM35" i="477"/>
  <c r="CM42" i="477" s="1"/>
  <c r="CM91" i="477" s="1"/>
  <c r="EC18" i="477"/>
  <c r="EA19" i="477"/>
  <c r="AC18" i="477"/>
  <c r="AA19" i="477"/>
  <c r="EM18" i="477"/>
  <c r="EM19" i="477" s="1"/>
  <c r="EK19" i="477"/>
  <c r="EK27" i="477" s="1"/>
  <c r="W18" i="477"/>
  <c r="U19" i="477"/>
  <c r="H10" i="184"/>
  <c r="N8" i="184"/>
  <c r="E7" i="361"/>
  <c r="E7" i="363"/>
  <c r="C95" i="327"/>
  <c r="E95" i="327" s="1"/>
  <c r="E19" i="327"/>
  <c r="E13" i="316"/>
  <c r="G24" i="227"/>
  <c r="C23" i="327"/>
  <c r="C99" i="327" s="1"/>
  <c r="E99" i="327" s="1"/>
  <c r="D19" i="434"/>
  <c r="D13" i="325"/>
  <c r="E13" i="325" s="1"/>
  <c r="C41" i="363"/>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F65" i="280"/>
  <c r="H65" i="280" s="1"/>
  <c r="B12" i="391"/>
  <c r="B13" i="391" s="1"/>
  <c r="E11" i="391"/>
  <c r="D11" i="391"/>
  <c r="F63" i="280"/>
  <c r="E71" i="393"/>
  <c r="G130" i="142"/>
  <c r="AI9" i="477" s="1"/>
  <c r="AK9" i="477" s="1"/>
  <c r="BO10" i="168"/>
  <c r="BP10" i="168" s="1"/>
  <c r="AA9" i="389"/>
  <c r="AC9" i="389" s="1"/>
  <c r="B80" i="444"/>
  <c r="AA9" i="168"/>
  <c r="AC9" i="168" s="1"/>
  <c r="B80" i="408"/>
  <c r="AA9" i="388"/>
  <c r="AC9" i="388" s="1"/>
  <c r="B80" i="424"/>
  <c r="L7" i="247"/>
  <c r="N9" i="184"/>
  <c r="I9" i="184"/>
  <c r="I10" i="184" s="1"/>
  <c r="K3" i="227"/>
  <c r="E3" i="291"/>
  <c r="E3" i="303" s="1"/>
  <c r="E3" i="327" s="1"/>
  <c r="E3" i="383" s="1"/>
  <c r="E3" i="411" s="1"/>
  <c r="D3" i="452"/>
  <c r="D3" i="415"/>
  <c r="H11" i="458"/>
  <c r="K20" i="168"/>
  <c r="S20" i="168" s="1"/>
  <c r="D11" i="458"/>
  <c r="D13" i="310"/>
  <c r="C9" i="360"/>
  <c r="D9" i="360" s="1"/>
  <c r="E9" i="360" s="1"/>
  <c r="D73" i="167"/>
  <c r="D12" i="310"/>
  <c r="D18" i="281"/>
  <c r="F75" i="280"/>
  <c r="K18" i="477" s="1"/>
  <c r="D26" i="28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D11" i="310"/>
  <c r="K14" i="388"/>
  <c r="M14" i="388" s="1"/>
  <c r="O14" i="388" s="1"/>
  <c r="Q14" i="388" s="1"/>
  <c r="S14" i="388" s="1"/>
  <c r="U14" i="388" s="1"/>
  <c r="W14" i="388" s="1"/>
  <c r="K14" i="389"/>
  <c r="S14" i="389" s="1"/>
  <c r="AA14" i="389" s="1"/>
  <c r="AI14" i="389" s="1"/>
  <c r="AQ14" i="389" s="1"/>
  <c r="AY14" i="389" s="1"/>
  <c r="BG14" i="389" s="1"/>
  <c r="BI14" i="389" s="1"/>
  <c r="G11" i="458"/>
  <c r="D28" i="281"/>
  <c r="D28" i="301"/>
  <c r="E28" i="248" s="1"/>
  <c r="F11" i="458"/>
  <c r="B12" i="458"/>
  <c r="H12" i="458" s="1"/>
  <c r="F12" i="391" s="1"/>
  <c r="D3" i="430"/>
  <c r="F12" i="280"/>
  <c r="F13" i="280" s="1"/>
  <c r="I11" i="458"/>
  <c r="BO20" i="168"/>
  <c r="BO21" i="168" s="1"/>
  <c r="BP21" i="168" s="1"/>
  <c r="BQ21" i="168" s="1"/>
  <c r="BR21" i="168" s="1"/>
  <c r="C215" i="1"/>
  <c r="D19" i="167"/>
  <c r="C6" i="359" s="1"/>
  <c r="C9" i="423"/>
  <c r="C11" i="423" s="1"/>
  <c r="I74" i="167" s="1"/>
  <c r="BH81" i="393"/>
  <c r="I73" i="167"/>
  <c r="C9" i="409"/>
  <c r="D9" i="409" s="1"/>
  <c r="E9" i="409" s="1"/>
  <c r="BC81" i="393"/>
  <c r="AK81" i="393"/>
  <c r="H73" i="167"/>
  <c r="C9" i="372"/>
  <c r="C11" i="372" s="1"/>
  <c r="G74" i="167" s="1"/>
  <c r="AX81" i="393"/>
  <c r="AG81" i="393"/>
  <c r="C9" i="361"/>
  <c r="C11" i="361" s="1"/>
  <c r="G73" i="167"/>
  <c r="E73" i="167"/>
  <c r="C9" i="443"/>
  <c r="D9" i="443" s="1"/>
  <c r="E9" i="443" s="1"/>
  <c r="C9" i="363"/>
  <c r="AS81" i="393"/>
  <c r="J73" i="167"/>
  <c r="C9" i="176"/>
  <c r="C99" i="411"/>
  <c r="E99" i="411" s="1"/>
  <c r="F12" i="398"/>
  <c r="I71" i="393"/>
  <c r="J60" i="60"/>
  <c r="J67" i="60" s="1"/>
  <c r="H67" i="60"/>
  <c r="C11" i="167"/>
  <c r="S8" i="184"/>
  <c r="S10" i="184" s="1"/>
  <c r="AZ39" i="393"/>
  <c r="E18" i="184"/>
  <c r="C34" i="360"/>
  <c r="C54" i="360" s="1"/>
  <c r="C17" i="305"/>
  <c r="E7" i="360"/>
  <c r="G10" i="184"/>
  <c r="AM39" i="393"/>
  <c r="BE39" i="393"/>
  <c r="AI57" i="168"/>
  <c r="AI57" i="389"/>
  <c r="AI57" i="388"/>
  <c r="D3" i="378"/>
  <c r="C17" i="449"/>
  <c r="Q143" i="1"/>
  <c r="G65" i="411"/>
  <c r="AQ57" i="477" s="1"/>
  <c r="F94" i="106"/>
  <c r="F96" i="106" s="1"/>
  <c r="C73" i="167"/>
  <c r="Q19" i="167"/>
  <c r="Q20" i="167" s="1"/>
  <c r="Q25" i="167" s="1"/>
  <c r="Y17" i="74" s="1"/>
  <c r="C71" i="393"/>
  <c r="CO44" i="168"/>
  <c r="CO45" i="168" s="1"/>
  <c r="CQ45" i="168" s="1"/>
  <c r="G141" i="383"/>
  <c r="AM57" i="477" s="1"/>
  <c r="O144" i="1"/>
  <c r="AE57" i="389"/>
  <c r="AE57" i="388"/>
  <c r="AE57" i="168"/>
  <c r="C23" i="383"/>
  <c r="E23" i="383" s="1"/>
  <c r="G24" i="2"/>
  <c r="H24" i="2" s="1"/>
  <c r="R19" i="393"/>
  <c r="R20" i="393" s="1"/>
  <c r="R25" i="393" s="1"/>
  <c r="DI18" i="168"/>
  <c r="DK18" i="168" s="1"/>
  <c r="DM18" i="168" s="1"/>
  <c r="DO18" i="168" s="1"/>
  <c r="BA39" i="167"/>
  <c r="AV39" i="167"/>
  <c r="R19" i="167"/>
  <c r="R20" i="167" s="1"/>
  <c r="R23" i="167" s="1"/>
  <c r="AQ39" i="167"/>
  <c r="AU39" i="393"/>
  <c r="C73" i="393"/>
  <c r="C57" i="167"/>
  <c r="C59" i="167" s="1"/>
  <c r="B64" i="393"/>
  <c r="F65" i="393" s="1"/>
  <c r="BP18" i="168"/>
  <c r="BQ18" i="168" s="1"/>
  <c r="BR18" i="168" s="1"/>
  <c r="C17" i="413"/>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F33" i="369"/>
  <c r="H33" i="369"/>
  <c r="J33" i="369" s="1"/>
  <c r="CW55" i="168"/>
  <c r="CY45" i="168"/>
  <c r="CY47" i="168" s="1"/>
  <c r="CY55" i="168" s="1"/>
  <c r="DC43" i="168"/>
  <c r="DC44" i="168" s="1"/>
  <c r="CE43" i="168"/>
  <c r="CE44" i="168" s="1"/>
  <c r="CU43" i="168"/>
  <c r="CU44" i="168" s="1"/>
  <c r="C19" i="167"/>
  <c r="U5" i="167"/>
  <c r="K60" i="60"/>
  <c r="K67" i="60" s="1"/>
  <c r="K69" i="60" s="1"/>
  <c r="K71" i="60" s="1"/>
  <c r="K73" i="60" s="1"/>
  <c r="M4" i="247"/>
  <c r="B11" i="378"/>
  <c r="D2" i="415"/>
  <c r="D2" i="430"/>
  <c r="D2" i="378"/>
  <c r="D2" i="452"/>
  <c r="C23" i="303"/>
  <c r="F24" i="227"/>
  <c r="E48" i="248"/>
  <c r="D32" i="281"/>
  <c r="F16" i="280"/>
  <c r="D34" i="281"/>
  <c r="F16" i="398"/>
  <c r="C10" i="360"/>
  <c r="C96" i="327"/>
  <c r="E96" i="327" s="1"/>
  <c r="C20" i="327"/>
  <c r="E20" i="327" s="1"/>
  <c r="C11" i="314"/>
  <c r="D39" i="281"/>
  <c r="F14" i="280"/>
  <c r="F14" i="398"/>
  <c r="U4" i="167"/>
  <c r="V4" i="167" s="1"/>
  <c r="W4" i="167" s="1"/>
  <c r="CW54" i="168"/>
  <c r="M60" i="60"/>
  <c r="M67" i="60" s="1"/>
  <c r="L67" i="60"/>
  <c r="C41" i="361"/>
  <c r="CG54" i="168"/>
  <c r="C19" i="314"/>
  <c r="N16" i="184"/>
  <c r="U16" i="184"/>
  <c r="F27" i="410"/>
  <c r="H27" i="410"/>
  <c r="J27" i="410" s="1"/>
  <c r="D19" i="378"/>
  <c r="E21" i="317"/>
  <c r="E22" i="227"/>
  <c r="F42" i="369"/>
  <c r="H42" i="369"/>
  <c r="J42" i="369" s="1"/>
  <c r="G64" i="167"/>
  <c r="G65" i="167" s="1"/>
  <c r="D20" i="317"/>
  <c r="F9" i="315"/>
  <c r="C13" i="320"/>
  <c r="G7" i="227"/>
  <c r="G9" i="227" s="1"/>
  <c r="F64" i="369"/>
  <c r="F36" i="369"/>
  <c r="H36" i="369"/>
  <c r="D11" i="375"/>
  <c r="E11" i="375" s="1"/>
  <c r="G8" i="167"/>
  <c r="D12" i="495" s="1"/>
  <c r="G9" i="167"/>
  <c r="J22" i="478" s="1"/>
  <c r="D42" i="408"/>
  <c r="D34" i="415"/>
  <c r="F39" i="422"/>
  <c r="H39" i="422"/>
  <c r="J39" i="422" s="1"/>
  <c r="C34" i="430"/>
  <c r="F103" i="315"/>
  <c r="F75" i="410"/>
  <c r="F65" i="410"/>
  <c r="H65" i="410" s="1"/>
  <c r="F66" i="410"/>
  <c r="H66" i="410" s="1"/>
  <c r="H75" i="410"/>
  <c r="F8" i="369"/>
  <c r="H31" i="369"/>
  <c r="F31" i="369"/>
  <c r="D12" i="374"/>
  <c r="E12" i="374" s="1"/>
  <c r="U58" i="60"/>
  <c r="V58" i="60" s="1"/>
  <c r="T69" i="60"/>
  <c r="E24" i="227"/>
  <c r="C23" i="291"/>
  <c r="X58" i="60"/>
  <c r="O37" i="2"/>
  <c r="P37" i="2" s="1"/>
  <c r="O211" i="1"/>
  <c r="J33" i="481" s="1"/>
  <c r="I6" i="227"/>
  <c r="D17" i="419"/>
  <c r="H6" i="167"/>
  <c r="H7" i="167" s="1"/>
  <c r="H11" i="248" s="1"/>
  <c r="C17" i="415"/>
  <c r="D22" i="412"/>
  <c r="D15" i="375"/>
  <c r="E15" i="375" s="1"/>
  <c r="C36" i="430"/>
  <c r="C36" i="415"/>
  <c r="C31" i="415"/>
  <c r="C31" i="430"/>
  <c r="C23" i="415"/>
  <c r="D14" i="408"/>
  <c r="F29" i="410"/>
  <c r="H29" i="410"/>
  <c r="J29" i="410" s="1"/>
  <c r="D23" i="378"/>
  <c r="F10" i="369"/>
  <c r="C22" i="378"/>
  <c r="C14" i="415"/>
  <c r="D23" i="412"/>
  <c r="D22" i="309"/>
  <c r="C23" i="425"/>
  <c r="E12" i="495" l="1"/>
  <c r="G13" i="248"/>
  <c r="E67" i="495"/>
  <c r="E80" i="495" s="1"/>
  <c r="D68" i="495"/>
  <c r="G69" i="248" s="1"/>
  <c r="D59" i="495"/>
  <c r="G60" i="248" s="1"/>
  <c r="E16" i="316"/>
  <c r="F17" i="248"/>
  <c r="G17" i="248"/>
  <c r="E16" i="495"/>
  <c r="H17" i="248"/>
  <c r="E16" i="496"/>
  <c r="E16" i="497"/>
  <c r="I17" i="248"/>
  <c r="J17" i="248"/>
  <c r="E16" i="498"/>
  <c r="I105" i="478"/>
  <c r="D61" i="371" s="1"/>
  <c r="D55" i="371"/>
  <c r="D66" i="371"/>
  <c r="C20" i="383" s="1"/>
  <c r="E20" i="383" s="1"/>
  <c r="F9" i="478"/>
  <c r="D12" i="371"/>
  <c r="E94" i="167"/>
  <c r="F94" i="167" s="1"/>
  <c r="D11" i="316"/>
  <c r="F12" i="248" s="1"/>
  <c r="E68" i="491"/>
  <c r="E69" i="491"/>
  <c r="E40" i="492" s="1"/>
  <c r="B69" i="491"/>
  <c r="B40" i="492" s="1"/>
  <c r="B68" i="491"/>
  <c r="C68" i="491"/>
  <c r="C69" i="491"/>
  <c r="C40" i="492" s="1"/>
  <c r="D68" i="491"/>
  <c r="D69" i="491"/>
  <c r="D40" i="492" s="1"/>
  <c r="G215" i="1"/>
  <c r="G216" i="1"/>
  <c r="G217" i="1"/>
  <c r="S60" i="60"/>
  <c r="S67" i="60" s="1"/>
  <c r="S69" i="60" s="1"/>
  <c r="S71" i="60" s="1"/>
  <c r="S73" i="60" s="1"/>
  <c r="R67" i="60"/>
  <c r="R69" i="60" s="1"/>
  <c r="R71" i="60" s="1"/>
  <c r="R73" i="60" s="1"/>
  <c r="E74" i="167"/>
  <c r="E75" i="167" s="1"/>
  <c r="AG80" i="167"/>
  <c r="AG92" i="167"/>
  <c r="AG79" i="167"/>
  <c r="K154" i="1"/>
  <c r="AO79" i="393" s="1"/>
  <c r="O157" i="1"/>
  <c r="Q157" i="1" s="1"/>
  <c r="S157" i="1" s="1"/>
  <c r="G18" i="167"/>
  <c r="S160" i="1"/>
  <c r="I54" i="490" s="1"/>
  <c r="D45" i="498" s="1"/>
  <c r="J46" i="248" s="1"/>
  <c r="I54" i="489"/>
  <c r="D45" i="497" s="1"/>
  <c r="I46" i="248" s="1"/>
  <c r="H110" i="489"/>
  <c r="H105" i="489" s="1"/>
  <c r="I110" i="489"/>
  <c r="D68" i="497" s="1"/>
  <c r="I69" i="248" s="1"/>
  <c r="I100" i="489"/>
  <c r="I101" i="489"/>
  <c r="H100" i="489"/>
  <c r="H101" i="489"/>
  <c r="G12" i="167"/>
  <c r="H105" i="478"/>
  <c r="AI18" i="477"/>
  <c r="AK18" i="477" s="1"/>
  <c r="AI18" i="168"/>
  <c r="AK18" i="168" s="1"/>
  <c r="AM18" i="168" s="1"/>
  <c r="AO18" i="168" s="1"/>
  <c r="W58" i="60"/>
  <c r="W69" i="60" s="1"/>
  <c r="W71" i="60" s="1"/>
  <c r="W73" i="60" s="1"/>
  <c r="V69" i="60"/>
  <c r="V71" i="60" s="1"/>
  <c r="V73" i="60" s="1"/>
  <c r="I30" i="483"/>
  <c r="J24" i="483"/>
  <c r="J30" i="483" s="1"/>
  <c r="K217" i="1"/>
  <c r="K222" i="1"/>
  <c r="E1" i="383"/>
  <c r="K218" i="1"/>
  <c r="K215" i="1"/>
  <c r="F57" i="167"/>
  <c r="M158" i="1"/>
  <c r="K220" i="1"/>
  <c r="K216" i="1"/>
  <c r="M156" i="1"/>
  <c r="M159" i="1"/>
  <c r="F58" i="167"/>
  <c r="F14" i="315"/>
  <c r="I105" i="481"/>
  <c r="F8" i="481"/>
  <c r="E1" i="327"/>
  <c r="C96" i="303"/>
  <c r="E96" i="303" s="1"/>
  <c r="BO19" i="477"/>
  <c r="BO27" i="477" s="1"/>
  <c r="E65" i="248"/>
  <c r="E1" i="425"/>
  <c r="E1" i="447"/>
  <c r="E1" i="304" s="1"/>
  <c r="C1" i="305" s="1"/>
  <c r="D1" i="306" s="1"/>
  <c r="D1" i="307" s="1"/>
  <c r="D1" i="308" s="1"/>
  <c r="C1" i="314" s="1"/>
  <c r="D1" i="309" s="1"/>
  <c r="D1" i="310" s="1"/>
  <c r="E1" i="311" s="1"/>
  <c r="E1" i="312" s="1"/>
  <c r="C1" i="449" s="1"/>
  <c r="I103" i="478"/>
  <c r="H70" i="369"/>
  <c r="AI18" i="388"/>
  <c r="AK18" i="388" s="1"/>
  <c r="F70" i="369"/>
  <c r="AI18" i="389"/>
  <c r="AK18" i="389" s="1"/>
  <c r="AM18" i="389" s="1"/>
  <c r="AO18" i="389" s="1"/>
  <c r="O20" i="477"/>
  <c r="M21" i="477"/>
  <c r="AA20" i="477"/>
  <c r="U20" i="477"/>
  <c r="S21" i="477"/>
  <c r="S27" i="477" s="1"/>
  <c r="Q14" i="477"/>
  <c r="CC35" i="477"/>
  <c r="CC42" i="477" s="1"/>
  <c r="CC52" i="477" s="1"/>
  <c r="CS43" i="477"/>
  <c r="CS92" i="477" s="1"/>
  <c r="I18" i="184"/>
  <c r="C20" i="314"/>
  <c r="AI38" i="167"/>
  <c r="CC92" i="477"/>
  <c r="CC44" i="477"/>
  <c r="CC45" i="477" s="1"/>
  <c r="CE45" i="477" s="1"/>
  <c r="CE47" i="477" s="1"/>
  <c r="CS52" i="477"/>
  <c r="CS91" i="477"/>
  <c r="CE44" i="477"/>
  <c r="EE18" i="477"/>
  <c r="EE19" i="477" s="1"/>
  <c r="EC19" i="477"/>
  <c r="EC27" i="477" s="1"/>
  <c r="DA44" i="477"/>
  <c r="DA45" i="477" s="1"/>
  <c r="DC45" i="477" s="1"/>
  <c r="DC47" i="477" s="1"/>
  <c r="DA92" i="477"/>
  <c r="CK43" i="477"/>
  <c r="CK35" i="477"/>
  <c r="CK42" i="477" s="1"/>
  <c r="AQ18" i="389"/>
  <c r="AS18" i="389" s="1"/>
  <c r="AU18" i="389" s="1"/>
  <c r="AW18" i="389" s="1"/>
  <c r="AQ18" i="477"/>
  <c r="AE18" i="477"/>
  <c r="AC19" i="477"/>
  <c r="Y18" i="477"/>
  <c r="Y19" i="477" s="1"/>
  <c r="W19" i="477"/>
  <c r="M18" i="477"/>
  <c r="N10" i="184"/>
  <c r="D3" i="379"/>
  <c r="E12" i="316"/>
  <c r="E23" i="327"/>
  <c r="D3" i="416"/>
  <c r="D3" i="431"/>
  <c r="D3" i="321"/>
  <c r="C3" i="453" s="1"/>
  <c r="C54" i="363"/>
  <c r="Q60" i="60"/>
  <c r="Q67" i="60" s="1"/>
  <c r="P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AI9" i="389"/>
  <c r="AK9" i="389" s="1"/>
  <c r="AI9" i="168"/>
  <c r="AK9" i="168" s="1"/>
  <c r="AI9" i="388"/>
  <c r="AK9" i="388" s="1"/>
  <c r="J9" i="184"/>
  <c r="B20" i="380"/>
  <c r="B14" i="417"/>
  <c r="M7" i="247"/>
  <c r="B14" i="380"/>
  <c r="B20" i="417"/>
  <c r="J8" i="184"/>
  <c r="C11" i="380" s="1"/>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D9" i="361"/>
  <c r="E9" i="361" s="1"/>
  <c r="F12" i="458"/>
  <c r="D12" i="458"/>
  <c r="U20" i="388"/>
  <c r="S21" i="388"/>
  <c r="E12" i="458"/>
  <c r="I12" i="458"/>
  <c r="J24" i="2"/>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75" i="167"/>
  <c r="AY21" i="388"/>
  <c r="BA20" i="388"/>
  <c r="AK92" i="393"/>
  <c r="CO14" i="168"/>
  <c r="CQ14" i="168" s="1"/>
  <c r="CQ16" i="168" s="1"/>
  <c r="CQ17" i="168" s="1"/>
  <c r="CQ19" i="168" s="1"/>
  <c r="T8" i="184"/>
  <c r="T10" i="184" s="1"/>
  <c r="D9" i="372"/>
  <c r="E9" i="372" s="1"/>
  <c r="DE20" i="168"/>
  <c r="DG20" i="168" s="1"/>
  <c r="DG21" i="168" s="1"/>
  <c r="D19" i="393"/>
  <c r="D20" i="393" s="1"/>
  <c r="V5" i="167"/>
  <c r="V6" i="167" s="1"/>
  <c r="V8" i="167" s="1"/>
  <c r="C11" i="322"/>
  <c r="EI21" i="168"/>
  <c r="H69" i="60"/>
  <c r="H71" i="60" s="1"/>
  <c r="H73" i="60" s="1"/>
  <c r="D29" i="281"/>
  <c r="AG24" i="393"/>
  <c r="D18" i="393"/>
  <c r="C5" i="359"/>
  <c r="F45" i="398"/>
  <c r="G45" i="398" s="1"/>
  <c r="D33" i="167"/>
  <c r="D36" i="393"/>
  <c r="D18" i="167"/>
  <c r="E51" i="227" s="1"/>
  <c r="F44" i="280"/>
  <c r="C9" i="359" s="1"/>
  <c r="AG80" i="393"/>
  <c r="AG25" i="393"/>
  <c r="AG92" i="393"/>
  <c r="C18" i="389"/>
  <c r="E18" i="389" s="1"/>
  <c r="G18" i="389" s="1"/>
  <c r="I18" i="389" s="1"/>
  <c r="C18" i="388"/>
  <c r="E18" i="388" s="1"/>
  <c r="G18" i="388" s="1"/>
  <c r="I18" i="388" s="1"/>
  <c r="C5" i="364"/>
  <c r="C18" i="168"/>
  <c r="E18" i="168" s="1"/>
  <c r="G18" i="168" s="1"/>
  <c r="I18" i="168" s="1"/>
  <c r="D36" i="167"/>
  <c r="C18" i="359" s="1"/>
  <c r="C41" i="360"/>
  <c r="D33" i="393"/>
  <c r="AI38" i="393"/>
  <c r="D82" i="393"/>
  <c r="D82" i="167"/>
  <c r="J69" i="60"/>
  <c r="C5" i="368"/>
  <c r="C99" i="383"/>
  <c r="E99" i="383" s="1"/>
  <c r="Q20" i="388"/>
  <c r="Q21" i="388" s="1"/>
  <c r="EG21" i="168"/>
  <c r="DA21" i="168"/>
  <c r="D9" i="423"/>
  <c r="E9" i="423" s="1"/>
  <c r="C21" i="389"/>
  <c r="M21" i="388"/>
  <c r="G65" i="393"/>
  <c r="E36" i="393"/>
  <c r="G65" i="425"/>
  <c r="AY57" i="477" s="1"/>
  <c r="S143" i="1"/>
  <c r="G65" i="447" s="1"/>
  <c r="BG57" i="477" s="1"/>
  <c r="AC24" i="393"/>
  <c r="AQ57" i="389"/>
  <c r="AQ57" i="168"/>
  <c r="AQ57" i="388"/>
  <c r="D79" i="167"/>
  <c r="CO47" i="168"/>
  <c r="CO48" i="168" s="1"/>
  <c r="CO54" i="168" s="1"/>
  <c r="CC16" i="168"/>
  <c r="CC17" i="168" s="1"/>
  <c r="CC19" i="168" s="1"/>
  <c r="CC27" i="168" s="1"/>
  <c r="CC28" i="168" s="1"/>
  <c r="CC29" i="168" s="1"/>
  <c r="CC30" i="168" s="1"/>
  <c r="CC33" i="168" s="1"/>
  <c r="CC34" i="168" s="1"/>
  <c r="CC35" i="168" s="1"/>
  <c r="CC42" i="168" s="1"/>
  <c r="CC52" i="168" s="1"/>
  <c r="CU20" i="168"/>
  <c r="CW20" i="168" s="1"/>
  <c r="CY20" i="168" s="1"/>
  <c r="CY21" i="168" s="1"/>
  <c r="E20" i="168"/>
  <c r="G20" i="168" s="1"/>
  <c r="Q23" i="167"/>
  <c r="C79" i="393"/>
  <c r="C82" i="167"/>
  <c r="AC79" i="167"/>
  <c r="AC24" i="167"/>
  <c r="K21" i="389"/>
  <c r="C74" i="167"/>
  <c r="C75" i="167" s="1"/>
  <c r="C76" i="167" s="1"/>
  <c r="F44" i="302"/>
  <c r="C9" i="364" s="1"/>
  <c r="C11" i="360"/>
  <c r="D74" i="167" s="1"/>
  <c r="D75" i="167" s="1"/>
  <c r="D76" i="167" s="1"/>
  <c r="AG24" i="167"/>
  <c r="F45" i="400"/>
  <c r="G45" i="400" s="1"/>
  <c r="AK79" i="393"/>
  <c r="AK25" i="393"/>
  <c r="AK80" i="393"/>
  <c r="AC13" i="168"/>
  <c r="AE13" i="168" s="1"/>
  <c r="AG13" i="168" s="1"/>
  <c r="E19" i="167"/>
  <c r="C6" i="364" s="1"/>
  <c r="E33" i="167"/>
  <c r="G139" i="167" s="1"/>
  <c r="D29" i="301"/>
  <c r="E29" i="248" s="1"/>
  <c r="E33" i="393"/>
  <c r="AM38" i="393"/>
  <c r="H30" i="2"/>
  <c r="AG25" i="167"/>
  <c r="W5" i="167"/>
  <c r="W6" i="167" s="1"/>
  <c r="W8" i="167" s="1"/>
  <c r="E36" i="167"/>
  <c r="C18" i="364" s="1"/>
  <c r="AK24" i="393"/>
  <c r="E82" i="167"/>
  <c r="E58" i="393"/>
  <c r="E59" i="393" s="1"/>
  <c r="E19" i="393"/>
  <c r="Q144" i="1"/>
  <c r="G141" i="411"/>
  <c r="AU57" i="477" s="1"/>
  <c r="AM57" i="389"/>
  <c r="AM57" i="168"/>
  <c r="AM57" i="388"/>
  <c r="E79" i="167"/>
  <c r="R25" i="167"/>
  <c r="Z17" i="74" s="1"/>
  <c r="C65" i="393"/>
  <c r="R23" i="393"/>
  <c r="J71" i="167"/>
  <c r="M15" i="184" s="1"/>
  <c r="C18" i="453" s="1"/>
  <c r="D9" i="363"/>
  <c r="E9" i="363" s="1"/>
  <c r="K21" i="388"/>
  <c r="I71" i="167"/>
  <c r="L15" i="184" s="1"/>
  <c r="C18" i="432" s="1"/>
  <c r="H65" i="393"/>
  <c r="BP13" i="168"/>
  <c r="BQ13" i="168" s="1"/>
  <c r="BR13" i="168" s="1"/>
  <c r="C26" i="425"/>
  <c r="E26" i="425" s="1"/>
  <c r="G71" i="167"/>
  <c r="J15" i="184" s="1"/>
  <c r="C18" i="380" s="1"/>
  <c r="I65" i="393"/>
  <c r="C82" i="393"/>
  <c r="G75" i="167"/>
  <c r="AD39" i="167"/>
  <c r="M20" i="168"/>
  <c r="O20" i="168" s="1"/>
  <c r="Q20" i="168" s="1"/>
  <c r="Q21" i="168" s="1"/>
  <c r="C36" i="167"/>
  <c r="AD39" i="393"/>
  <c r="AC80" i="393"/>
  <c r="DI21" i="168"/>
  <c r="BP14" i="168"/>
  <c r="BQ14" i="168" s="1"/>
  <c r="BR14" i="168" s="1"/>
  <c r="DK21" i="168"/>
  <c r="C11" i="409"/>
  <c r="H74" i="167" s="1"/>
  <c r="H75" i="167" s="1"/>
  <c r="AC25" i="167"/>
  <c r="C11" i="443"/>
  <c r="J74" i="167" s="1"/>
  <c r="AC99" i="393"/>
  <c r="AC25" i="393"/>
  <c r="I20" i="388"/>
  <c r="I21" i="388" s="1"/>
  <c r="AC99" i="167"/>
  <c r="C79" i="167"/>
  <c r="C33" i="167"/>
  <c r="AC79" i="393"/>
  <c r="C33" i="393"/>
  <c r="AC80" i="167"/>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Y48" i="168"/>
  <c r="CY54" i="168" s="1"/>
  <c r="C20" i="167"/>
  <c r="C22" i="167" s="1"/>
  <c r="C50" i="167" s="1"/>
  <c r="D22" i="418"/>
  <c r="N4" i="247"/>
  <c r="B11" i="415"/>
  <c r="D20" i="167"/>
  <c r="D22" i="167" s="1"/>
  <c r="D50" i="167" s="1"/>
  <c r="E15" i="184"/>
  <c r="D39" i="301"/>
  <c r="F14" i="302"/>
  <c r="F15" i="398"/>
  <c r="F15" i="280"/>
  <c r="D40" i="281"/>
  <c r="D2" i="321"/>
  <c r="C2" i="453" s="1"/>
  <c r="D2" i="379"/>
  <c r="D2" i="431"/>
  <c r="D2" i="416"/>
  <c r="E23" i="303"/>
  <c r="C99" i="303"/>
  <c r="E99" i="303" s="1"/>
  <c r="F14" i="400"/>
  <c r="E58" i="167"/>
  <c r="E59" i="167" s="1"/>
  <c r="I159" i="1"/>
  <c r="G58" i="167" s="1"/>
  <c r="E218" i="1"/>
  <c r="E219" i="1"/>
  <c r="E220" i="1"/>
  <c r="D15" i="311"/>
  <c r="L69" i="60"/>
  <c r="D10" i="227"/>
  <c r="E15" i="311"/>
  <c r="M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H27" i="422"/>
  <c r="J27" i="422" s="1"/>
  <c r="F27" i="422"/>
  <c r="H42" i="410"/>
  <c r="J42" i="410" s="1"/>
  <c r="H64" i="167"/>
  <c r="F42" i="410"/>
  <c r="G22" i="227"/>
  <c r="F9" i="369"/>
  <c r="C13" i="378"/>
  <c r="D20" i="375"/>
  <c r="H7" i="227"/>
  <c r="H9" i="227" s="1"/>
  <c r="G10" i="167"/>
  <c r="D42" i="424"/>
  <c r="D34" i="430"/>
  <c r="F64" i="410"/>
  <c r="H75" i="422"/>
  <c r="F75" i="422"/>
  <c r="F66" i="422"/>
  <c r="H66" i="422" s="1"/>
  <c r="F8" i="410"/>
  <c r="D10" i="408" s="1"/>
  <c r="F65" i="422"/>
  <c r="E23" i="291"/>
  <c r="C99" i="291"/>
  <c r="E99" i="291" s="1"/>
  <c r="D21" i="418"/>
  <c r="F11" i="315"/>
  <c r="D22" i="427"/>
  <c r="C17" i="430"/>
  <c r="I6" i="167"/>
  <c r="Q211" i="1"/>
  <c r="J33" i="489" s="1"/>
  <c r="AB58" i="60"/>
  <c r="Q37" i="2"/>
  <c r="J6" i="227"/>
  <c r="D17" i="434"/>
  <c r="D16" i="374"/>
  <c r="T71" i="60"/>
  <c r="T73" i="60" s="1"/>
  <c r="D16" i="408"/>
  <c r="F70" i="410"/>
  <c r="AQ18" i="388"/>
  <c r="AQ18" i="168"/>
  <c r="D11" i="412"/>
  <c r="E11" i="412" s="1"/>
  <c r="H8" i="167"/>
  <c r="D12" i="496" s="1"/>
  <c r="H9" i="167"/>
  <c r="J22" i="481" s="1"/>
  <c r="D15" i="427"/>
  <c r="E15" i="427" s="1"/>
  <c r="D15" i="412"/>
  <c r="E15" i="412" s="1"/>
  <c r="X69" i="60"/>
  <c r="D12" i="421"/>
  <c r="E12" i="421" s="1"/>
  <c r="Y58" i="60"/>
  <c r="Z58" i="60" s="1"/>
  <c r="U69" i="60"/>
  <c r="F31" i="410"/>
  <c r="H31" i="410"/>
  <c r="D46" i="408"/>
  <c r="H70" i="410"/>
  <c r="D57" i="408"/>
  <c r="E21" i="375"/>
  <c r="F36" i="410"/>
  <c r="H36" i="410"/>
  <c r="H64" i="369"/>
  <c r="F68" i="369"/>
  <c r="D23" i="415"/>
  <c r="C23" i="430"/>
  <c r="F29" i="422"/>
  <c r="H29" i="422"/>
  <c r="J29" i="422" s="1"/>
  <c r="D14" i="424"/>
  <c r="F10" i="410"/>
  <c r="D13" i="408" s="1"/>
  <c r="C22" i="415"/>
  <c r="D23" i="427"/>
  <c r="C14" i="430"/>
  <c r="C99" i="425"/>
  <c r="E99" i="425" s="1"/>
  <c r="E23" i="425"/>
  <c r="D11" i="371" l="1"/>
  <c r="D11" i="495"/>
  <c r="E12" i="496"/>
  <c r="H13" i="248"/>
  <c r="I105" i="489"/>
  <c r="D59" i="497"/>
  <c r="I60" i="248" s="1"/>
  <c r="D60" i="371"/>
  <c r="H12" i="167"/>
  <c r="D11" i="496" s="1"/>
  <c r="B39" i="492"/>
  <c r="B41" i="492" s="1"/>
  <c r="B47" i="492" s="1"/>
  <c r="B70" i="491"/>
  <c r="D39" i="492"/>
  <c r="D41" i="492" s="1"/>
  <c r="D47" i="492" s="1"/>
  <c r="D70" i="491"/>
  <c r="C39" i="492"/>
  <c r="C41" i="492" s="1"/>
  <c r="C47" i="492" s="1"/>
  <c r="C70" i="491"/>
  <c r="E39" i="492"/>
  <c r="E41" i="492" s="1"/>
  <c r="E47" i="492" s="1"/>
  <c r="E70" i="491"/>
  <c r="AK25" i="167"/>
  <c r="F82" i="393"/>
  <c r="F79" i="393"/>
  <c r="F11" i="393"/>
  <c r="AM38" i="167"/>
  <c r="F36" i="393"/>
  <c r="F33" i="393"/>
  <c r="AO25" i="393"/>
  <c r="AO80" i="393"/>
  <c r="AO74" i="393" s="1"/>
  <c r="AO24" i="393"/>
  <c r="F19" i="393"/>
  <c r="AO92" i="393"/>
  <c r="AK24" i="167"/>
  <c r="F82" i="167"/>
  <c r="AG83" i="167"/>
  <c r="AG74" i="167"/>
  <c r="AG75" i="167" s="1"/>
  <c r="AG77" i="167" s="1"/>
  <c r="F79" i="167"/>
  <c r="M154" i="1"/>
  <c r="G33" i="167" s="1"/>
  <c r="J139" i="167" s="1"/>
  <c r="J141" i="167" s="1"/>
  <c r="J142" i="167" s="1"/>
  <c r="J143" i="167" s="1"/>
  <c r="F36" i="167"/>
  <c r="F19" i="167"/>
  <c r="C6" i="368" s="1"/>
  <c r="AG85" i="167"/>
  <c r="J44" i="302" s="1"/>
  <c r="C13" i="361" s="1"/>
  <c r="F33" i="167"/>
  <c r="F67" i="315"/>
  <c r="C9" i="368" s="1"/>
  <c r="I103" i="489"/>
  <c r="AI19" i="477"/>
  <c r="H94" i="167"/>
  <c r="G94" i="167" s="1"/>
  <c r="I29" i="315"/>
  <c r="D22" i="320" s="1"/>
  <c r="AA58" i="60"/>
  <c r="AA69" i="60" s="1"/>
  <c r="AA71" i="60" s="1"/>
  <c r="AA73" i="60" s="1"/>
  <c r="Z69" i="60"/>
  <c r="Z71" i="60" s="1"/>
  <c r="Z73" i="60" s="1"/>
  <c r="BP19" i="477"/>
  <c r="BQ19" i="477" s="1"/>
  <c r="BQ27" i="477" s="1"/>
  <c r="D58" i="316"/>
  <c r="F59" i="248" s="1"/>
  <c r="E58" i="316"/>
  <c r="F23" i="106"/>
  <c r="F25" i="106" s="1"/>
  <c r="D30" i="316"/>
  <c r="F31" i="248" s="1"/>
  <c r="O61" i="315"/>
  <c r="I43" i="315"/>
  <c r="D38" i="320" s="1"/>
  <c r="I53" i="315"/>
  <c r="I50" i="315"/>
  <c r="D43" i="316" s="1"/>
  <c r="I38" i="315"/>
  <c r="D33" i="320" s="1"/>
  <c r="I40" i="315"/>
  <c r="D35" i="320" s="1"/>
  <c r="I47" i="315"/>
  <c r="D44" i="320" s="1"/>
  <c r="I39" i="315"/>
  <c r="D34" i="320" s="1"/>
  <c r="I41" i="315"/>
  <c r="D36" i="320" s="1"/>
  <c r="I49" i="315"/>
  <c r="D38" i="316" s="1"/>
  <c r="I37" i="315"/>
  <c r="I42" i="315"/>
  <c r="D37" i="320" s="1"/>
  <c r="I48" i="315"/>
  <c r="D45" i="320" s="1"/>
  <c r="I36" i="315"/>
  <c r="D31" i="320" s="1"/>
  <c r="I103" i="481"/>
  <c r="H10" i="167"/>
  <c r="F9" i="481"/>
  <c r="I156" i="1"/>
  <c r="F11" i="478"/>
  <c r="C3" i="380"/>
  <c r="J67" i="478"/>
  <c r="C96" i="383"/>
  <c r="E96" i="383" s="1"/>
  <c r="CS44" i="477"/>
  <c r="CS45" i="477" s="1"/>
  <c r="CU45" i="477" s="1"/>
  <c r="CU47" i="477" s="1"/>
  <c r="CU55" i="477" s="1"/>
  <c r="F59" i="393"/>
  <c r="F59" i="167"/>
  <c r="CC91" i="477"/>
  <c r="CC51" i="477" s="1"/>
  <c r="W20" i="477"/>
  <c r="U21" i="477"/>
  <c r="AA21" i="477"/>
  <c r="AA27" i="477" s="1"/>
  <c r="AI20" i="477"/>
  <c r="AC20" i="477"/>
  <c r="Q20" i="477"/>
  <c r="Q21" i="477" s="1"/>
  <c r="O21" i="477"/>
  <c r="CS51" i="477"/>
  <c r="J18" i="184"/>
  <c r="C20" i="322"/>
  <c r="G133" i="167"/>
  <c r="DA47" i="477"/>
  <c r="DA55" i="477" s="1"/>
  <c r="CE48" i="477"/>
  <c r="CE54" i="477" s="1"/>
  <c r="CE55" i="477"/>
  <c r="DC48" i="477"/>
  <c r="DC54" i="477" s="1"/>
  <c r="DC55" i="477"/>
  <c r="CK91" i="477"/>
  <c r="CK52" i="477"/>
  <c r="CK92" i="477"/>
  <c r="CK44" i="477"/>
  <c r="CK45" i="477" s="1"/>
  <c r="CM45" i="477" s="1"/>
  <c r="CM47" i="477" s="1"/>
  <c r="CC47" i="477"/>
  <c r="AM18" i="477"/>
  <c r="AK19" i="477"/>
  <c r="AS18" i="477"/>
  <c r="AQ19" i="477"/>
  <c r="AY18" i="389"/>
  <c r="BA18" i="389" s="1"/>
  <c r="BC18" i="389" s="1"/>
  <c r="BE18" i="389" s="1"/>
  <c r="AY18" i="477"/>
  <c r="AG18" i="477"/>
  <c r="AG19" i="477" s="1"/>
  <c r="AE19" i="477"/>
  <c r="O18" i="477"/>
  <c r="C3" i="322"/>
  <c r="D3" i="454" s="1"/>
  <c r="C3" i="432"/>
  <c r="C3" i="417"/>
  <c r="E11" i="316"/>
  <c r="AG19" i="167"/>
  <c r="E50" i="227"/>
  <c r="E32" i="227" s="1"/>
  <c r="F13" i="458"/>
  <c r="P69" i="60"/>
  <c r="Q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E18" i="393"/>
  <c r="D13" i="458"/>
  <c r="I13" i="458"/>
  <c r="BC20" i="388"/>
  <c r="BA21" i="388"/>
  <c r="BI21" i="388"/>
  <c r="BK20" i="388"/>
  <c r="U21" i="389"/>
  <c r="W20" i="389"/>
  <c r="D57" i="281"/>
  <c r="H70" i="280"/>
  <c r="D63" i="281" s="1"/>
  <c r="D68" i="281"/>
  <c r="AI20" i="389"/>
  <c r="AC20" i="389"/>
  <c r="AA21" i="389"/>
  <c r="AU20" i="388"/>
  <c r="AS21" i="388"/>
  <c r="U8" i="184"/>
  <c r="U10" i="184" s="1"/>
  <c r="AC74" i="393"/>
  <c r="AC75" i="393" s="1"/>
  <c r="AC76" i="393" s="1"/>
  <c r="W20" i="388"/>
  <c r="U21" i="388"/>
  <c r="AM20" i="388"/>
  <c r="AK21" i="388"/>
  <c r="AC21" i="388"/>
  <c r="AE20" i="388"/>
  <c r="DE21" i="168"/>
  <c r="DE27" i="168" s="1"/>
  <c r="DE28" i="168" s="1"/>
  <c r="DE29" i="168" s="1"/>
  <c r="DE30" i="168" s="1"/>
  <c r="DE33" i="168" s="1"/>
  <c r="DE36" i="168" s="1"/>
  <c r="AC74" i="167"/>
  <c r="AC19" i="393"/>
  <c r="AC20" i="393" s="1"/>
  <c r="AC21" i="393" s="1"/>
  <c r="AK83" i="393"/>
  <c r="AK19" i="393"/>
  <c r="AK20" i="393" s="1"/>
  <c r="AK22" i="393" s="1"/>
  <c r="O21" i="168"/>
  <c r="C107" i="291" s="1"/>
  <c r="E107" i="291" s="1"/>
  <c r="AG85" i="393"/>
  <c r="K44" i="280" s="1"/>
  <c r="AG74" i="393"/>
  <c r="AG75" i="393" s="1"/>
  <c r="AG77" i="393" s="1"/>
  <c r="AK74" i="393"/>
  <c r="AK75" i="393" s="1"/>
  <c r="AK77" i="393" s="1"/>
  <c r="E221" i="1"/>
  <c r="C10" i="306" s="1"/>
  <c r="AC28" i="167"/>
  <c r="J44" i="441"/>
  <c r="C13" i="443" s="1"/>
  <c r="AG30" i="393"/>
  <c r="AH69" i="393" s="1"/>
  <c r="AH70" i="393" s="1"/>
  <c r="D18" i="359"/>
  <c r="E18" i="359" s="1"/>
  <c r="J44" i="422"/>
  <c r="C13" i="423" s="1"/>
  <c r="AG28" i="393"/>
  <c r="G80" i="184"/>
  <c r="E18" i="167"/>
  <c r="F51" i="227" s="1"/>
  <c r="J44" i="280"/>
  <c r="C13" i="360" s="1"/>
  <c r="Y13" i="168"/>
  <c r="J71" i="60"/>
  <c r="D11" i="393"/>
  <c r="L21" i="393" s="1"/>
  <c r="L23" i="393" s="1"/>
  <c r="G21" i="168"/>
  <c r="J44" i="410"/>
  <c r="C13" i="409" s="1"/>
  <c r="CW14" i="168"/>
  <c r="CY14" i="168" s="1"/>
  <c r="CY16" i="168" s="1"/>
  <c r="CY17" i="168" s="1"/>
  <c r="CY19" i="168" s="1"/>
  <c r="AK85" i="393"/>
  <c r="K44" i="302" s="1"/>
  <c r="DA27" i="168"/>
  <c r="DA28" i="168" s="1"/>
  <c r="DA29" i="168" s="1"/>
  <c r="DA30" i="168" s="1"/>
  <c r="DA33" i="168" s="1"/>
  <c r="DA36" i="168" s="1"/>
  <c r="AC30" i="393"/>
  <c r="AD69" i="393" s="1"/>
  <c r="AD70" i="393" s="1"/>
  <c r="CW21" i="168"/>
  <c r="CU21" i="168"/>
  <c r="CG20" i="168"/>
  <c r="CI20" i="168" s="1"/>
  <c r="CI21" i="168" s="1"/>
  <c r="BG57" i="389"/>
  <c r="BG57" i="388"/>
  <c r="BG57" i="168"/>
  <c r="AY57" i="389"/>
  <c r="AY57" i="388"/>
  <c r="AY57" i="168"/>
  <c r="C74" i="393"/>
  <c r="C75" i="393" s="1"/>
  <c r="C76" i="393" s="1"/>
  <c r="C102" i="327"/>
  <c r="E102" i="327" s="1"/>
  <c r="AC83" i="393"/>
  <c r="AC83" i="167"/>
  <c r="C81" i="167"/>
  <c r="C88" i="167" s="1"/>
  <c r="C83" i="167"/>
  <c r="G91" i="388" s="1"/>
  <c r="I91" i="388" s="1"/>
  <c r="I92" i="388" s="1"/>
  <c r="AG28" i="167"/>
  <c r="D18" i="364" s="1"/>
  <c r="E18" i="364" s="1"/>
  <c r="AG30" i="167"/>
  <c r="D5" i="364" s="1"/>
  <c r="CO55" i="168"/>
  <c r="E21" i="168"/>
  <c r="I20" i="168"/>
  <c r="I21" i="168" s="1"/>
  <c r="C84" i="167"/>
  <c r="C89" i="167" s="1"/>
  <c r="C80" i="167"/>
  <c r="AK28" i="393"/>
  <c r="AC85" i="393"/>
  <c r="AC19" i="167"/>
  <c r="AC20" i="167" s="1"/>
  <c r="AC22" i="167" s="1"/>
  <c r="AK30" i="393"/>
  <c r="AL69" i="393" s="1"/>
  <c r="AL70" i="393" s="1"/>
  <c r="E20" i="393"/>
  <c r="E22" i="393" s="1"/>
  <c r="E50" i="393" s="1"/>
  <c r="AU57" i="389"/>
  <c r="AU57" i="168"/>
  <c r="AU57" i="388"/>
  <c r="G141" i="425"/>
  <c r="BC57" i="477" s="1"/>
  <c r="S144" i="1"/>
  <c r="G141" i="447" s="1"/>
  <c r="BK57" i="477" s="1"/>
  <c r="G15" i="184"/>
  <c r="U7" i="167"/>
  <c r="U9" i="167" s="1"/>
  <c r="J44" i="369"/>
  <c r="C13" i="372" s="1"/>
  <c r="AC30" i="167"/>
  <c r="EE20" i="168"/>
  <c r="EE21" i="168" s="1"/>
  <c r="AC28" i="393"/>
  <c r="CC36" i="168"/>
  <c r="CC43" i="168" s="1"/>
  <c r="CC92" i="168" s="1"/>
  <c r="N15" i="184"/>
  <c r="DU20" i="168"/>
  <c r="DU21" i="168" s="1"/>
  <c r="M21" i="168"/>
  <c r="C106" i="291"/>
  <c r="E106" i="291" s="1"/>
  <c r="AC85" i="167"/>
  <c r="H15" i="184"/>
  <c r="C18" i="314" s="1"/>
  <c r="E80" i="167"/>
  <c r="CC91" i="168"/>
  <c r="E83" i="167"/>
  <c r="E84" i="167"/>
  <c r="E89" i="167" s="1"/>
  <c r="E81" i="167"/>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D80" i="167"/>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AW14" i="389"/>
  <c r="BM14" i="389"/>
  <c r="CI48" i="168"/>
  <c r="CI54" i="168" s="1"/>
  <c r="CI55" i="168"/>
  <c r="CQ48" i="168"/>
  <c r="CQ54" i="168" s="1"/>
  <c r="CQ55" i="168"/>
  <c r="D19" i="451"/>
  <c r="F33" i="422"/>
  <c r="H33" i="422"/>
  <c r="J33" i="422" s="1"/>
  <c r="D27" i="415"/>
  <c r="C21" i="167"/>
  <c r="C23" i="167" s="1"/>
  <c r="C102" i="447"/>
  <c r="E102" i="447" s="1"/>
  <c r="BM13" i="168"/>
  <c r="BM14" i="388"/>
  <c r="BM14" i="168"/>
  <c r="D11" i="167"/>
  <c r="CS52" i="168"/>
  <c r="C9" i="319"/>
  <c r="F11" i="369"/>
  <c r="F15" i="302"/>
  <c r="D40" i="301"/>
  <c r="C2" i="322"/>
  <c r="D2" i="454" s="1"/>
  <c r="C2" i="432"/>
  <c r="C2" i="380"/>
  <c r="C2" i="417"/>
  <c r="F15" i="400"/>
  <c r="E20" i="167"/>
  <c r="E22" i="167" s="1"/>
  <c r="E50" i="167" s="1"/>
  <c r="D18" i="306" s="1"/>
  <c r="E222" i="1"/>
  <c r="C11" i="306" s="1"/>
  <c r="I158" i="1"/>
  <c r="E11" i="393"/>
  <c r="M71" i="60"/>
  <c r="M73" i="60" s="1"/>
  <c r="E16" i="311"/>
  <c r="L71" i="60"/>
  <c r="L73" i="60" s="1"/>
  <c r="D16" i="311"/>
  <c r="D19" i="430"/>
  <c r="R37" i="2"/>
  <c r="H42" i="422"/>
  <c r="J42" i="422" s="1"/>
  <c r="I64" i="167"/>
  <c r="I65" i="167" s="1"/>
  <c r="L16" i="184" s="1"/>
  <c r="F42" i="422"/>
  <c r="D41" i="408"/>
  <c r="AY18" i="168"/>
  <c r="AY18" i="388"/>
  <c r="F70" i="422"/>
  <c r="G57" i="167"/>
  <c r="C20" i="411"/>
  <c r="E20" i="411" s="1"/>
  <c r="C96" i="411"/>
  <c r="E96" i="411" s="1"/>
  <c r="D16" i="421"/>
  <c r="X71" i="60"/>
  <c r="X73" i="60" s="1"/>
  <c r="AS18" i="168"/>
  <c r="H65" i="422"/>
  <c r="H70" i="422"/>
  <c r="D57" i="424"/>
  <c r="D46" i="424"/>
  <c r="F64" i="422"/>
  <c r="H64" i="422" s="1"/>
  <c r="D18" i="381"/>
  <c r="H68" i="369"/>
  <c r="D12" i="435"/>
  <c r="E12" i="435" s="1"/>
  <c r="AB69" i="60"/>
  <c r="AC58" i="60"/>
  <c r="AD58" i="60" s="1"/>
  <c r="C11" i="378"/>
  <c r="F36" i="422"/>
  <c r="H36" i="422"/>
  <c r="D52" i="408"/>
  <c r="H31" i="422"/>
  <c r="F31" i="422"/>
  <c r="Y69" i="60"/>
  <c r="E21" i="412"/>
  <c r="AS18" i="388"/>
  <c r="D16" i="424"/>
  <c r="U71" i="60"/>
  <c r="U73" i="60" s="1"/>
  <c r="E16" i="374"/>
  <c r="D20" i="412"/>
  <c r="I7" i="227"/>
  <c r="I9" i="227" s="1"/>
  <c r="F9" i="410"/>
  <c r="D12" i="408" s="1"/>
  <c r="C13" i="415"/>
  <c r="D11" i="427"/>
  <c r="E11" i="427" s="1"/>
  <c r="E21" i="427" s="1"/>
  <c r="I8" i="167"/>
  <c r="D12" i="497" s="1"/>
  <c r="I9" i="167"/>
  <c r="D17" i="374"/>
  <c r="D18" i="374"/>
  <c r="I7" i="167"/>
  <c r="I11" i="248" s="1"/>
  <c r="D21" i="433"/>
  <c r="AM18" i="388"/>
  <c r="H64" i="410"/>
  <c r="F68" i="410"/>
  <c r="Q18" i="388"/>
  <c r="Q18" i="168"/>
  <c r="D23" i="430"/>
  <c r="F10" i="422"/>
  <c r="D13" i="424" s="1"/>
  <c r="C22" i="430"/>
  <c r="E11" i="496" l="1"/>
  <c r="H12" i="248"/>
  <c r="I94" i="167"/>
  <c r="E11" i="495"/>
  <c r="G12" i="248"/>
  <c r="E12" i="497"/>
  <c r="I13" i="248"/>
  <c r="I170" i="315"/>
  <c r="E39" i="316" s="1"/>
  <c r="D32" i="320"/>
  <c r="D50" i="320"/>
  <c r="F44" i="248"/>
  <c r="D48" i="320"/>
  <c r="F39" i="248"/>
  <c r="C18" i="368"/>
  <c r="C11" i="415"/>
  <c r="D39" i="316"/>
  <c r="AO28" i="393"/>
  <c r="AK19" i="167"/>
  <c r="AK20" i="167" s="1"/>
  <c r="AK28" i="167"/>
  <c r="D18" i="368" s="1"/>
  <c r="AO19" i="393"/>
  <c r="AO20" i="393" s="1"/>
  <c r="AO22" i="393" s="1"/>
  <c r="F20" i="393"/>
  <c r="F22" i="393" s="1"/>
  <c r="F50" i="393" s="1"/>
  <c r="AO83" i="393"/>
  <c r="AO30" i="393"/>
  <c r="AP69" i="393" s="1"/>
  <c r="AP70" i="393" s="1"/>
  <c r="AO85" i="393"/>
  <c r="G19" i="393"/>
  <c r="AS79" i="393"/>
  <c r="G36" i="167"/>
  <c r="C18" i="384" s="1"/>
  <c r="AK30" i="167"/>
  <c r="H67" i="315" s="1"/>
  <c r="G76" i="167"/>
  <c r="G79" i="393"/>
  <c r="C5" i="384"/>
  <c r="F44" i="369"/>
  <c r="C9" i="384" s="1"/>
  <c r="AS92" i="393"/>
  <c r="AS25" i="393"/>
  <c r="AU38" i="393"/>
  <c r="G79" i="167"/>
  <c r="G81" i="167" s="1"/>
  <c r="G88" i="167" s="1"/>
  <c r="F67" i="478"/>
  <c r="G82" i="393"/>
  <c r="AQ38" i="167"/>
  <c r="AS24" i="393"/>
  <c r="O154" i="1"/>
  <c r="H19" i="167" s="1"/>
  <c r="C6" i="407" s="1"/>
  <c r="D22" i="371"/>
  <c r="AO25" i="167"/>
  <c r="G36" i="393"/>
  <c r="AO24" i="167"/>
  <c r="AS80" i="393"/>
  <c r="G33" i="393"/>
  <c r="G82" i="167"/>
  <c r="E88" i="167"/>
  <c r="AG94" i="167"/>
  <c r="AG99" i="167" s="1"/>
  <c r="AG101" i="167" s="1"/>
  <c r="G19" i="167"/>
  <c r="C6" i="384" s="1"/>
  <c r="F11" i="410"/>
  <c r="D11" i="408"/>
  <c r="H57" i="167"/>
  <c r="I12" i="167"/>
  <c r="H101" i="490"/>
  <c r="I100" i="490"/>
  <c r="H100" i="490"/>
  <c r="I110" i="490"/>
  <c r="H110" i="490"/>
  <c r="H105" i="490" s="1"/>
  <c r="I101" i="490"/>
  <c r="F8" i="489"/>
  <c r="D20" i="448"/>
  <c r="F9" i="489"/>
  <c r="J22" i="489"/>
  <c r="I29" i="478"/>
  <c r="D41" i="495" s="1"/>
  <c r="G42" i="248" s="1"/>
  <c r="AE58" i="60"/>
  <c r="AE69" i="60" s="1"/>
  <c r="AE71" i="60" s="1"/>
  <c r="AE73" i="60" s="1"/>
  <c r="AD69" i="60"/>
  <c r="AD71" i="60" s="1"/>
  <c r="AD73" i="60" s="1"/>
  <c r="BR19" i="477"/>
  <c r="I50" i="478"/>
  <c r="I40" i="478"/>
  <c r="I41" i="478"/>
  <c r="I39" i="478"/>
  <c r="I43" i="478"/>
  <c r="I47" i="478"/>
  <c r="I38" i="478"/>
  <c r="I53" i="478"/>
  <c r="I170" i="481"/>
  <c r="E41" i="496" s="1"/>
  <c r="I168" i="481"/>
  <c r="O61" i="478"/>
  <c r="I48" i="478"/>
  <c r="I42" i="478"/>
  <c r="I36" i="478"/>
  <c r="I49" i="478"/>
  <c r="I37" i="478"/>
  <c r="I170" i="478" s="1"/>
  <c r="D40" i="316"/>
  <c r="I173" i="315"/>
  <c r="E40" i="316" s="1"/>
  <c r="H33" i="393"/>
  <c r="D42" i="316"/>
  <c r="E42" i="316"/>
  <c r="D41" i="316"/>
  <c r="I168" i="315"/>
  <c r="E41" i="316" s="1"/>
  <c r="F11" i="481"/>
  <c r="I157" i="1"/>
  <c r="J67" i="315"/>
  <c r="C13" i="363" s="1"/>
  <c r="G58" i="393"/>
  <c r="G59" i="393" s="1"/>
  <c r="F14" i="478"/>
  <c r="AO75" i="393"/>
  <c r="AO77" i="393" s="1"/>
  <c r="F20" i="167"/>
  <c r="F22" i="167" s="1"/>
  <c r="F50" i="167" s="1"/>
  <c r="D18" i="319" s="1"/>
  <c r="CS47" i="477"/>
  <c r="CS48" i="477" s="1"/>
  <c r="CS54" i="477" s="1"/>
  <c r="CU48" i="477"/>
  <c r="CU54" i="477" s="1"/>
  <c r="D3" i="323"/>
  <c r="D3" i="445" s="1"/>
  <c r="D3" i="381"/>
  <c r="D3" i="433"/>
  <c r="AE20" i="477"/>
  <c r="AC21" i="477"/>
  <c r="AK20" i="477"/>
  <c r="AI21" i="477"/>
  <c r="AI27" i="477" s="1"/>
  <c r="AQ20" i="477"/>
  <c r="Y20" i="477"/>
  <c r="Y21" i="477" s="1"/>
  <c r="W21" i="477"/>
  <c r="W27" i="477" s="1"/>
  <c r="D3" i="418"/>
  <c r="DA48" i="477"/>
  <c r="K18" i="184"/>
  <c r="C20" i="380"/>
  <c r="G132" i="167"/>
  <c r="CK51" i="477"/>
  <c r="CC48" i="477"/>
  <c r="CC54" i="477" s="1"/>
  <c r="CC55" i="477"/>
  <c r="CM48" i="477"/>
  <c r="CM54" i="477" s="1"/>
  <c r="CM55" i="477"/>
  <c r="CK47" i="477"/>
  <c r="BA18" i="477"/>
  <c r="AY19" i="477"/>
  <c r="AU18" i="477"/>
  <c r="AS19" i="477"/>
  <c r="AO18" i="477"/>
  <c r="AO19" i="477" s="1"/>
  <c r="AM19" i="477"/>
  <c r="Q18" i="477"/>
  <c r="E5" i="364"/>
  <c r="D1" i="450"/>
  <c r="Q71" i="60"/>
  <c r="P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C85" i="460"/>
  <c r="E53" i="227"/>
  <c r="J13" i="458"/>
  <c r="L13" i="458" s="1"/>
  <c r="N13" i="458" s="1"/>
  <c r="P13" i="458" s="1"/>
  <c r="R13" i="458" s="1"/>
  <c r="F14" i="458"/>
  <c r="G14" i="458"/>
  <c r="E14" i="458"/>
  <c r="H14" i="458"/>
  <c r="B15" i="458"/>
  <c r="B16" i="458" s="1"/>
  <c r="D14" i="458"/>
  <c r="AG21" i="393"/>
  <c r="AG23" i="393" s="1"/>
  <c r="AQ20" i="168"/>
  <c r="AK20" i="168"/>
  <c r="AI21" i="168"/>
  <c r="C31" i="383" s="1"/>
  <c r="E31" i="383" s="1"/>
  <c r="C30" i="383"/>
  <c r="E30" i="383" s="1"/>
  <c r="Y20" i="168"/>
  <c r="Y21" i="168" s="1"/>
  <c r="C106" i="303"/>
  <c r="E106" i="303" s="1"/>
  <c r="W21" i="168"/>
  <c r="C107" i="303" s="1"/>
  <c r="E107" i="303" s="1"/>
  <c r="AC21" i="168"/>
  <c r="AE20" i="168"/>
  <c r="D6" i="364"/>
  <c r="F49" i="227" s="1"/>
  <c r="F36" i="227" s="1"/>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G20" i="167"/>
  <c r="AC75" i="167"/>
  <c r="AC77" i="167" s="1"/>
  <c r="AU21" i="388"/>
  <c r="AW20" i="388"/>
  <c r="AW21" i="388" s="1"/>
  <c r="C20" i="291"/>
  <c r="E20" i="291" s="1"/>
  <c r="C96" i="291"/>
  <c r="E96" i="291" s="1"/>
  <c r="D6" i="359"/>
  <c r="E49" i="227" s="1"/>
  <c r="E36" i="227" s="1"/>
  <c r="D13" i="360"/>
  <c r="H44" i="302"/>
  <c r="O44" i="302" s="1"/>
  <c r="C10" i="319"/>
  <c r="AC21" i="167"/>
  <c r="AC23" i="167" s="1"/>
  <c r="CG21" i="168"/>
  <c r="CG27" i="168" s="1"/>
  <c r="CG28" i="168" s="1"/>
  <c r="CG29" i="168" s="1"/>
  <c r="CG30" i="168" s="1"/>
  <c r="CG33" i="168" s="1"/>
  <c r="CG34" i="168" s="1"/>
  <c r="CG35" i="168" s="1"/>
  <c r="D5" i="359"/>
  <c r="C17" i="291" s="1"/>
  <c r="H44" i="280"/>
  <c r="D55" i="281" s="1"/>
  <c r="C81" i="393"/>
  <c r="C88" i="393" s="1"/>
  <c r="CW16" i="168"/>
  <c r="CW17" i="168" s="1"/>
  <c r="CW19" i="168" s="1"/>
  <c r="CW27" i="168" s="1"/>
  <c r="CW28" i="168" s="1"/>
  <c r="CW29" i="168" s="1"/>
  <c r="CW30" i="168" s="1"/>
  <c r="CW33" i="168" s="1"/>
  <c r="CW36" i="168" s="1"/>
  <c r="C83" i="393"/>
  <c r="G91" i="389" s="1"/>
  <c r="I91" i="389" s="1"/>
  <c r="D13" i="361"/>
  <c r="C84" i="393"/>
  <c r="C89" i="393" s="1"/>
  <c r="C80" i="393"/>
  <c r="J73" i="60"/>
  <c r="DA34" i="168"/>
  <c r="DA35" i="168" s="1"/>
  <c r="AK76" i="393"/>
  <c r="AK78" i="393" s="1"/>
  <c r="C17" i="303"/>
  <c r="H80" i="184"/>
  <c r="CC51" i="168"/>
  <c r="AD69" i="167"/>
  <c r="AD70" i="167" s="1"/>
  <c r="DW20" i="168"/>
  <c r="DW21" i="168" s="1"/>
  <c r="BC57" i="389"/>
  <c r="BC57" i="168"/>
  <c r="BC57" i="388"/>
  <c r="BK57" i="389"/>
  <c r="BK57" i="168"/>
  <c r="BK57" i="388"/>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G92" i="388"/>
  <c r="C9" i="377"/>
  <c r="C49" i="167"/>
  <c r="F33" i="441"/>
  <c r="H33" i="441"/>
  <c r="J33" i="441" s="1"/>
  <c r="D27" i="430"/>
  <c r="F8" i="422"/>
  <c r="D10" i="424" s="1"/>
  <c r="F66" i="441"/>
  <c r="H66" i="441" s="1"/>
  <c r="H75" i="441"/>
  <c r="F75" i="441"/>
  <c r="F65" i="441"/>
  <c r="C19" i="432"/>
  <c r="CU55" i="168"/>
  <c r="E10" i="227"/>
  <c r="M219" i="1"/>
  <c r="V7" i="167"/>
  <c r="V9" i="167" s="1"/>
  <c r="E52" i="227"/>
  <c r="D21" i="167"/>
  <c r="D23" i="167" s="1"/>
  <c r="F24" i="280" s="1"/>
  <c r="O156" i="1"/>
  <c r="J94" i="167" s="1"/>
  <c r="M218" i="1"/>
  <c r="M220" i="1"/>
  <c r="CS47" i="168"/>
  <c r="CS48" i="168" s="1"/>
  <c r="D2" i="323"/>
  <c r="D2" i="445" s="1"/>
  <c r="D2" i="433"/>
  <c r="D2" i="381"/>
  <c r="D2" i="418"/>
  <c r="I10" i="167"/>
  <c r="F15" i="315"/>
  <c r="G59" i="167"/>
  <c r="F15" i="478" s="1"/>
  <c r="O159" i="1"/>
  <c r="F14" i="369"/>
  <c r="E11" i="167"/>
  <c r="C11" i="319"/>
  <c r="E17" i="311"/>
  <c r="E18" i="311"/>
  <c r="D17" i="311"/>
  <c r="D18" i="311"/>
  <c r="F68" i="422"/>
  <c r="D41" i="424"/>
  <c r="E16" i="421"/>
  <c r="Y71" i="60"/>
  <c r="Y73" i="60" s="1"/>
  <c r="C96" i="425"/>
  <c r="E96" i="425" s="1"/>
  <c r="C20" i="425"/>
  <c r="E20" i="425" s="1"/>
  <c r="BA18" i="168"/>
  <c r="C13" i="430"/>
  <c r="F9" i="422"/>
  <c r="D12" i="424" s="1"/>
  <c r="D20" i="427"/>
  <c r="J7" i="227"/>
  <c r="J9" i="227" s="1"/>
  <c r="D18" i="433"/>
  <c r="H68" i="422"/>
  <c r="D52" i="424"/>
  <c r="D18" i="418"/>
  <c r="H68" i="410"/>
  <c r="E18" i="374"/>
  <c r="E17" i="374"/>
  <c r="AU18" i="388"/>
  <c r="AC69" i="60"/>
  <c r="AU18" i="168"/>
  <c r="AO18" i="388"/>
  <c r="AB71" i="60"/>
  <c r="AB73" i="60" s="1"/>
  <c r="D16" i="435"/>
  <c r="D22" i="433"/>
  <c r="D17" i="421"/>
  <c r="D18" i="421"/>
  <c r="BA18" i="388"/>
  <c r="M12" i="391"/>
  <c r="K94" i="167" l="1"/>
  <c r="D11" i="497"/>
  <c r="D39" i="495"/>
  <c r="G40" i="248" s="1"/>
  <c r="D37" i="371"/>
  <c r="D40" i="495"/>
  <c r="G41" i="248" s="1"/>
  <c r="D57" i="320"/>
  <c r="F43" i="248"/>
  <c r="D39" i="320"/>
  <c r="F40" i="248"/>
  <c r="D46" i="320"/>
  <c r="F41" i="248"/>
  <c r="D24" i="320"/>
  <c r="F42" i="248"/>
  <c r="I105" i="490"/>
  <c r="D68" i="498"/>
  <c r="J69" i="248" s="1"/>
  <c r="D42" i="371"/>
  <c r="D38" i="495"/>
  <c r="G39" i="248" s="1"/>
  <c r="D43" i="371"/>
  <c r="D43" i="495"/>
  <c r="G44" i="248" s="1"/>
  <c r="E42" i="495"/>
  <c r="D42" i="495"/>
  <c r="G43" i="248" s="1"/>
  <c r="D36" i="371"/>
  <c r="E18" i="368"/>
  <c r="I168" i="478"/>
  <c r="E37" i="495" s="1"/>
  <c r="D35" i="371"/>
  <c r="E74" i="491"/>
  <c r="D74" i="491"/>
  <c r="C74" i="491"/>
  <c r="B74" i="491"/>
  <c r="D15" i="319"/>
  <c r="E73" i="491"/>
  <c r="D73" i="491"/>
  <c r="C73" i="491"/>
  <c r="B73" i="491"/>
  <c r="D6" i="368"/>
  <c r="G36" i="227" s="1"/>
  <c r="D85" i="460"/>
  <c r="G20" i="393"/>
  <c r="G22" i="393" s="1"/>
  <c r="G50" i="393" s="1"/>
  <c r="AZ38" i="393"/>
  <c r="D5" i="368"/>
  <c r="C17" i="327" s="1"/>
  <c r="AO28" i="167"/>
  <c r="D18" i="384" s="1"/>
  <c r="E18" i="384" s="1"/>
  <c r="AV38" i="167"/>
  <c r="K67" i="490"/>
  <c r="K67" i="315"/>
  <c r="D13" i="363" s="1"/>
  <c r="E13" i="363" s="1"/>
  <c r="K67" i="478"/>
  <c r="K67" i="481"/>
  <c r="K67" i="489"/>
  <c r="AO19" i="167"/>
  <c r="D15" i="377" s="1"/>
  <c r="AO30" i="167"/>
  <c r="H82" i="393"/>
  <c r="AS74" i="393"/>
  <c r="AS75" i="393" s="1"/>
  <c r="AS77" i="393" s="1"/>
  <c r="AX79" i="393"/>
  <c r="F67" i="481"/>
  <c r="I80" i="184"/>
  <c r="C5" i="407"/>
  <c r="G80" i="167"/>
  <c r="AS28" i="393"/>
  <c r="AS30" i="393"/>
  <c r="AT69" i="393" s="1"/>
  <c r="AT70" i="393" s="1"/>
  <c r="AS85" i="393"/>
  <c r="AQ38" i="393"/>
  <c r="H79" i="167"/>
  <c r="H81" i="167" s="1"/>
  <c r="H88" i="167" s="1"/>
  <c r="H33" i="167"/>
  <c r="H76" i="167"/>
  <c r="H82" i="167"/>
  <c r="H83" i="167" s="1"/>
  <c r="D22" i="408"/>
  <c r="Q154" i="1"/>
  <c r="I19" i="393" s="1"/>
  <c r="H79" i="393"/>
  <c r="AX24" i="393"/>
  <c r="AS19" i="393"/>
  <c r="AS20" i="393" s="1"/>
  <c r="AS22" i="393" s="1"/>
  <c r="AX25" i="393"/>
  <c r="F44" i="410"/>
  <c r="C9" i="407" s="1"/>
  <c r="H19" i="393"/>
  <c r="H36" i="167"/>
  <c r="C18" i="407" s="1"/>
  <c r="AX80" i="393"/>
  <c r="AX92" i="393"/>
  <c r="AT24" i="167"/>
  <c r="AT25" i="167"/>
  <c r="H36" i="393"/>
  <c r="G9" i="487"/>
  <c r="AG76" i="167"/>
  <c r="AG78" i="167" s="1"/>
  <c r="J23" i="280" s="1"/>
  <c r="AS83" i="393"/>
  <c r="G84" i="167"/>
  <c r="G89" i="167" s="1"/>
  <c r="G83" i="167"/>
  <c r="I103" i="490"/>
  <c r="D16" i="319"/>
  <c r="AK22" i="167"/>
  <c r="AL43" i="490"/>
  <c r="AL26" i="490"/>
  <c r="AL29" i="490"/>
  <c r="AL35" i="490"/>
  <c r="AL25" i="490"/>
  <c r="AL33" i="490"/>
  <c r="AL22" i="490"/>
  <c r="AL46" i="490"/>
  <c r="AL27" i="490"/>
  <c r="AL24" i="490"/>
  <c r="AL53" i="490"/>
  <c r="AL20" i="490"/>
  <c r="AL66" i="490" s="1"/>
  <c r="AL68" i="490" s="1"/>
  <c r="AL53" i="489"/>
  <c r="AL33" i="489"/>
  <c r="AL22" i="489"/>
  <c r="AL43" i="489"/>
  <c r="AL24" i="489"/>
  <c r="AL20" i="489"/>
  <c r="AL66" i="489" s="1"/>
  <c r="AL68" i="489" s="1"/>
  <c r="AL26" i="489"/>
  <c r="AL35" i="489"/>
  <c r="AL29" i="489"/>
  <c r="AL25" i="489"/>
  <c r="AL46" i="489"/>
  <c r="AL27" i="489"/>
  <c r="F11" i="422"/>
  <c r="F11" i="489"/>
  <c r="H58" i="393"/>
  <c r="H59" i="393" s="1"/>
  <c r="F14" i="481"/>
  <c r="I173" i="481"/>
  <c r="I173" i="478"/>
  <c r="I18" i="393"/>
  <c r="AL25" i="481"/>
  <c r="AL29" i="481"/>
  <c r="AL22" i="481"/>
  <c r="AL53" i="481"/>
  <c r="AL46" i="481"/>
  <c r="AL33" i="481"/>
  <c r="AL26" i="481"/>
  <c r="AL20" i="481"/>
  <c r="AL66" i="481" s="1"/>
  <c r="AL68" i="481" s="1"/>
  <c r="AL24" i="481"/>
  <c r="AL35" i="481"/>
  <c r="AL27" i="481"/>
  <c r="AL43" i="481"/>
  <c r="AO21" i="393"/>
  <c r="AO23" i="393" s="1"/>
  <c r="F11" i="167"/>
  <c r="D3" i="434"/>
  <c r="D3" i="324"/>
  <c r="E3" i="446" s="1"/>
  <c r="AL35" i="478"/>
  <c r="AL33" i="478"/>
  <c r="AL26" i="478"/>
  <c r="AL53" i="478"/>
  <c r="AL24" i="478"/>
  <c r="AL29" i="478"/>
  <c r="AL27" i="478"/>
  <c r="AL43" i="478"/>
  <c r="AL46" i="478"/>
  <c r="AL25" i="478"/>
  <c r="AL20" i="478"/>
  <c r="AL66" i="478" s="1"/>
  <c r="AL68" i="478" s="1"/>
  <c r="AL22" i="478"/>
  <c r="CS55" i="477"/>
  <c r="D3" i="373"/>
  <c r="D3" i="419"/>
  <c r="AQ21" i="477"/>
  <c r="AQ27" i="477" s="1"/>
  <c r="AY20" i="477"/>
  <c r="AS20" i="477"/>
  <c r="AM20" i="477"/>
  <c r="AK21" i="477"/>
  <c r="AG20" i="477"/>
  <c r="AG21" i="477" s="1"/>
  <c r="AE21" i="477"/>
  <c r="AE27" i="477" s="1"/>
  <c r="L18" i="184"/>
  <c r="C20" i="417"/>
  <c r="G134" i="167"/>
  <c r="CK55" i="477"/>
  <c r="CK48" i="477"/>
  <c r="CK54" i="477" s="1"/>
  <c r="AW18" i="477"/>
  <c r="AW19" i="477" s="1"/>
  <c r="AU19" i="477"/>
  <c r="BG18" i="389"/>
  <c r="BI18" i="389" s="1"/>
  <c r="BG18" i="477"/>
  <c r="BC18" i="477"/>
  <c r="BA19" i="477"/>
  <c r="D1" i="452"/>
  <c r="D1" i="415"/>
  <c r="D1" i="378"/>
  <c r="P73" i="60"/>
  <c r="Q73" i="60"/>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50" i="227"/>
  <c r="F32" i="227" s="1"/>
  <c r="AG22" i="167"/>
  <c r="F53" i="227" s="1"/>
  <c r="H15" i="458"/>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31" i="227"/>
  <c r="E33" i="227" s="1"/>
  <c r="E34" i="227" s="1"/>
  <c r="AY20" i="389"/>
  <c r="AS20" i="389"/>
  <c r="AQ21" i="389"/>
  <c r="M221" i="1"/>
  <c r="C10" i="377" s="1"/>
  <c r="D55" i="301"/>
  <c r="E52" i="248" s="1"/>
  <c r="AK21" i="389"/>
  <c r="AM20" i="389"/>
  <c r="AG20" i="389"/>
  <c r="AG21" i="389" s="1"/>
  <c r="AE21" i="389"/>
  <c r="G18" i="393"/>
  <c r="CG36" i="168"/>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6" i="315" s="1"/>
  <c r="AL68"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3"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CC47" i="168"/>
  <c r="CC48" i="168" s="1"/>
  <c r="CC54" i="168" s="1"/>
  <c r="CK44" i="168"/>
  <c r="CK45" i="168" s="1"/>
  <c r="CM45" i="168" s="1"/>
  <c r="CM47" i="168" s="1"/>
  <c r="CM55" i="168" s="1"/>
  <c r="P20" i="302"/>
  <c r="O35" i="302" s="1"/>
  <c r="CS54" i="168"/>
  <c r="CO34" i="168"/>
  <c r="CO35" i="168" s="1"/>
  <c r="O13" i="458"/>
  <c r="S11" i="458"/>
  <c r="H16" i="458"/>
  <c r="F16" i="391" s="1"/>
  <c r="E16" i="458"/>
  <c r="D16" i="458"/>
  <c r="F16" i="458"/>
  <c r="I16" i="458"/>
  <c r="G16" i="391" s="1"/>
  <c r="B17" i="458"/>
  <c r="G16" i="458"/>
  <c r="H18" i="167"/>
  <c r="B17" i="391"/>
  <c r="C11" i="430"/>
  <c r="E49" i="393"/>
  <c r="E23" i="393"/>
  <c r="I92" i="389"/>
  <c r="I93" i="389"/>
  <c r="I94" i="389" s="1"/>
  <c r="I95" i="389" s="1"/>
  <c r="O219" i="1"/>
  <c r="O221" i="1"/>
  <c r="C10" i="414" s="1"/>
  <c r="H18" i="393"/>
  <c r="G24" i="398"/>
  <c r="D27" i="451"/>
  <c r="D21" i="454"/>
  <c r="F70" i="441"/>
  <c r="BG18" i="168"/>
  <c r="BI18" i="168" s="1"/>
  <c r="BK18" i="168" s="1"/>
  <c r="BM18" i="168" s="1"/>
  <c r="BG18" i="388"/>
  <c r="BI18" i="388" s="1"/>
  <c r="BK18" i="388" s="1"/>
  <c r="BM18" i="388" s="1"/>
  <c r="D57" i="444"/>
  <c r="D46" i="444"/>
  <c r="H70" i="441"/>
  <c r="F68" i="441"/>
  <c r="H65" i="441"/>
  <c r="D16" i="444"/>
  <c r="F36" i="398"/>
  <c r="G27" i="400"/>
  <c r="G33" i="398"/>
  <c r="G136" i="398" s="1"/>
  <c r="F34" i="280"/>
  <c r="F33" i="398"/>
  <c r="F136" i="398" s="1"/>
  <c r="G21" i="398"/>
  <c r="F26" i="280"/>
  <c r="F35" i="398"/>
  <c r="F35" i="280"/>
  <c r="O218" i="1"/>
  <c r="C9" i="414"/>
  <c r="I18" i="167"/>
  <c r="G36" i="400"/>
  <c r="Q156" i="1"/>
  <c r="Q219" i="1" s="1"/>
  <c r="O220"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CS55" i="168"/>
  <c r="Q221" i="1"/>
  <c r="C10" i="429" s="1"/>
  <c r="I57" i="167"/>
  <c r="D2" i="373"/>
  <c r="D2" i="419"/>
  <c r="D2" i="434"/>
  <c r="D2" i="324"/>
  <c r="E2" i="446" s="1"/>
  <c r="D11" i="424"/>
  <c r="F15" i="369"/>
  <c r="G20" i="167"/>
  <c r="H58" i="167"/>
  <c r="H59" i="167" s="1"/>
  <c r="Q159" i="1"/>
  <c r="F14" i="489" s="1"/>
  <c r="F14" i="410"/>
  <c r="F10" i="227"/>
  <c r="E21" i="167"/>
  <c r="W7" i="167"/>
  <c r="W9" i="167" s="1"/>
  <c r="AG21" i="167"/>
  <c r="O158" i="1"/>
  <c r="M222" i="1"/>
  <c r="C11" i="377" s="1"/>
  <c r="M215" i="1"/>
  <c r="G11" i="393" s="1"/>
  <c r="M217" i="1"/>
  <c r="M216" i="1"/>
  <c r="D17" i="435"/>
  <c r="D18" i="435"/>
  <c r="AW18" i="168"/>
  <c r="AC71" i="60"/>
  <c r="AC73" i="60" s="1"/>
  <c r="E16" i="435"/>
  <c r="BC18" i="388"/>
  <c r="AW18" i="388"/>
  <c r="BC18" i="168"/>
  <c r="E18" i="421"/>
  <c r="E17" i="421"/>
  <c r="O12" i="391"/>
  <c r="Q12" i="391" s="1"/>
  <c r="E11" i="497" l="1"/>
  <c r="I12" i="248"/>
  <c r="I76" i="167"/>
  <c r="AY25" i="167"/>
  <c r="BA38" i="167"/>
  <c r="S154" i="1"/>
  <c r="BH25" i="393" s="1"/>
  <c r="E85" i="460"/>
  <c r="J80" i="184"/>
  <c r="H67" i="478"/>
  <c r="BE38" i="393"/>
  <c r="E93" i="167"/>
  <c r="F93" i="167" s="1"/>
  <c r="F95" i="167" s="1"/>
  <c r="I24" i="315" s="1"/>
  <c r="D14" i="320" s="1"/>
  <c r="D39" i="109"/>
  <c r="D69" i="109" s="1"/>
  <c r="E5" i="368"/>
  <c r="AY24" i="167"/>
  <c r="I82" i="393"/>
  <c r="D6" i="384"/>
  <c r="H36" i="227" s="1"/>
  <c r="AT28" i="167"/>
  <c r="D18" i="407" s="1"/>
  <c r="E18" i="407" s="1"/>
  <c r="AX30" i="393"/>
  <c r="AY69" i="393" s="1"/>
  <c r="AY70" i="393" s="1"/>
  <c r="I82" i="167"/>
  <c r="I84" i="167" s="1"/>
  <c r="I89" i="167" s="1"/>
  <c r="I36" i="393"/>
  <c r="I79" i="393"/>
  <c r="C5" i="426"/>
  <c r="BC80" i="393"/>
  <c r="D22" i="424"/>
  <c r="H80" i="167"/>
  <c r="H44" i="369"/>
  <c r="D98" i="371" s="1"/>
  <c r="AO20" i="167"/>
  <c r="D16" i="377" s="1"/>
  <c r="D5" i="384"/>
  <c r="E5" i="384" s="1"/>
  <c r="AT30" i="167"/>
  <c r="H67" i="481" s="1"/>
  <c r="AX28" i="393"/>
  <c r="AX85" i="393"/>
  <c r="I19" i="167"/>
  <c r="C6" i="426" s="1"/>
  <c r="AX19" i="393"/>
  <c r="AX20" i="393" s="1"/>
  <c r="AX22" i="393" s="1"/>
  <c r="AX83" i="393"/>
  <c r="BC25" i="393"/>
  <c r="BC79" i="393"/>
  <c r="F44" i="422"/>
  <c r="C9" i="426" s="1"/>
  <c r="I79" i="167"/>
  <c r="I81" i="167" s="1"/>
  <c r="I88" i="167" s="1"/>
  <c r="K44" i="369"/>
  <c r="D13" i="372" s="1"/>
  <c r="E13" i="372" s="1"/>
  <c r="H84" i="167"/>
  <c r="H89" i="167" s="1"/>
  <c r="H20" i="393"/>
  <c r="H22" i="393" s="1"/>
  <c r="H50" i="393" s="1"/>
  <c r="AX74" i="393"/>
  <c r="AX75" i="393" s="1"/>
  <c r="AX77" i="393" s="1"/>
  <c r="BC92" i="393"/>
  <c r="I33" i="167"/>
  <c r="L139" i="167" s="1"/>
  <c r="L141" i="167" s="1"/>
  <c r="L142" i="167" s="1"/>
  <c r="L143" i="167" s="1"/>
  <c r="I33" i="393"/>
  <c r="F67" i="489"/>
  <c r="BC24" i="393"/>
  <c r="I36" i="167"/>
  <c r="C18" i="426" s="1"/>
  <c r="AT19" i="167"/>
  <c r="AT20" i="167" s="1"/>
  <c r="AT22" i="167" s="1"/>
  <c r="L94" i="167"/>
  <c r="G22" i="167"/>
  <c r="G50" i="167" s="1"/>
  <c r="D18" i="377" s="1"/>
  <c r="F21" i="393"/>
  <c r="F49" i="393" s="1"/>
  <c r="F98" i="167"/>
  <c r="G16" i="487"/>
  <c r="G20" i="487" s="1"/>
  <c r="I20" i="315"/>
  <c r="AO76" i="393"/>
  <c r="AO78" i="393" s="1"/>
  <c r="F15" i="481"/>
  <c r="D47" i="109"/>
  <c r="D56" i="109" s="1"/>
  <c r="D81" i="109" s="1"/>
  <c r="D92" i="109" s="1"/>
  <c r="E3" i="421"/>
  <c r="E3" i="435"/>
  <c r="E3" i="325"/>
  <c r="E3" i="455" s="1"/>
  <c r="E3" i="374"/>
  <c r="AO20" i="477"/>
  <c r="AO21" i="477" s="1"/>
  <c r="AM21" i="477"/>
  <c r="AM27" i="477" s="1"/>
  <c r="AS21" i="477"/>
  <c r="AU20" i="477"/>
  <c r="BA20" i="477"/>
  <c r="AY21" i="477"/>
  <c r="AY27" i="477" s="1"/>
  <c r="BG20" i="477"/>
  <c r="M18" i="184"/>
  <c r="C20" i="432"/>
  <c r="D9" i="467"/>
  <c r="E11" i="467" s="1"/>
  <c r="G140" i="167"/>
  <c r="G141" i="167" s="1"/>
  <c r="G142" i="167" s="1"/>
  <c r="G143" i="167" s="1"/>
  <c r="BE18" i="477"/>
  <c r="BE19" i="477" s="1"/>
  <c r="BC19" i="477"/>
  <c r="BI18" i="477"/>
  <c r="BG19" i="477"/>
  <c r="D1" i="321"/>
  <c r="C1" i="453" s="1"/>
  <c r="D1" i="431"/>
  <c r="D1" i="416"/>
  <c r="D1" i="379"/>
  <c r="AL32" i="280"/>
  <c r="H40" i="280"/>
  <c r="H25" i="280"/>
  <c r="H20" i="280"/>
  <c r="H38" i="280"/>
  <c r="D49" i="281" s="1"/>
  <c r="H24" i="280"/>
  <c r="H35" i="280"/>
  <c r="H34" i="280"/>
  <c r="H23" i="280"/>
  <c r="H32" i="280"/>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31" i="227"/>
  <c r="F33" i="227" s="1"/>
  <c r="F34" i="227" s="1"/>
  <c r="G21" i="393"/>
  <c r="G49" i="393" s="1"/>
  <c r="BG20" i="168"/>
  <c r="C30" i="425"/>
  <c r="E30" i="425" s="1"/>
  <c r="BA20" i="168"/>
  <c r="AY21" i="168"/>
  <c r="C31" i="425" s="1"/>
  <c r="E31" i="425" s="1"/>
  <c r="AS21" i="168"/>
  <c r="AU20" i="168"/>
  <c r="AM21" i="168"/>
  <c r="C107" i="383" s="1"/>
  <c r="E107" i="383" s="1"/>
  <c r="AO20" i="168"/>
  <c r="AO21" i="168" s="1"/>
  <c r="C106" i="383"/>
  <c r="E106" i="383" s="1"/>
  <c r="D101" i="316"/>
  <c r="BG20" i="389"/>
  <c r="BA20" i="389"/>
  <c r="AY21" i="389"/>
  <c r="E13" i="361"/>
  <c r="D101" i="301"/>
  <c r="AO20" i="389"/>
  <c r="AO21" i="389" s="1"/>
  <c r="AM21" i="389"/>
  <c r="AS21" i="389"/>
  <c r="AU20" i="389"/>
  <c r="CC55" i="168"/>
  <c r="DA92" i="168"/>
  <c r="DA47" i="168"/>
  <c r="DA55" i="168" s="1"/>
  <c r="G142" i="389"/>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I98" i="389"/>
  <c r="I99" i="389" s="1"/>
  <c r="I105" i="389" s="1"/>
  <c r="G98" i="389"/>
  <c r="G99" i="389" s="1"/>
  <c r="S159" i="1"/>
  <c r="I58" i="393"/>
  <c r="I59" i="393" s="1"/>
  <c r="C25" i="393"/>
  <c r="O217" i="1"/>
  <c r="O215" i="1"/>
  <c r="H11" i="393" s="1"/>
  <c r="O216" i="1"/>
  <c r="C25" i="167"/>
  <c r="K15" i="74" s="1"/>
  <c r="F137" i="398"/>
  <c r="AE15" i="74"/>
  <c r="C20" i="447"/>
  <c r="E20" i="447" s="1"/>
  <c r="C96" i="447"/>
  <c r="E96" i="447" s="1"/>
  <c r="D52" i="444"/>
  <c r="D22" i="454"/>
  <c r="H68" i="441"/>
  <c r="C10" i="450"/>
  <c r="Q218" i="1"/>
  <c r="S156" i="1"/>
  <c r="N94" i="167" s="1"/>
  <c r="D37" i="281"/>
  <c r="AL26" i="280"/>
  <c r="AL23" i="280"/>
  <c r="AL35" i="280"/>
  <c r="AL24" i="280"/>
  <c r="AL25" i="280"/>
  <c r="F134" i="280"/>
  <c r="C9" i="429"/>
  <c r="G134" i="398"/>
  <c r="Q220" i="1"/>
  <c r="AL38" i="280"/>
  <c r="AL21" i="280"/>
  <c r="H21" i="280"/>
  <c r="AL28" i="280"/>
  <c r="E54" i="227"/>
  <c r="G137" i="398"/>
  <c r="AL40" i="280"/>
  <c r="AL20" i="280"/>
  <c r="AL43" i="280" s="1"/>
  <c r="AL45" i="280" s="1"/>
  <c r="AL34" i="280"/>
  <c r="F134" i="398"/>
  <c r="G137" i="400"/>
  <c r="G134" i="400"/>
  <c r="F44" i="398"/>
  <c r="F131" i="280"/>
  <c r="G44" i="400"/>
  <c r="G46" i="400" s="1"/>
  <c r="G49" i="400" s="1"/>
  <c r="G44" i="398"/>
  <c r="G46" i="398" s="1"/>
  <c r="G49" i="398" s="1"/>
  <c r="F43" i="280"/>
  <c r="F45" i="280" s="1"/>
  <c r="AG23" i="167"/>
  <c r="F52" i="227"/>
  <c r="E2" i="374"/>
  <c r="E2" i="325"/>
  <c r="E2" i="455" s="1"/>
  <c r="E2" i="435"/>
  <c r="E2" i="421"/>
  <c r="H20" i="167"/>
  <c r="H22" i="167" s="1"/>
  <c r="H50" i="167" s="1"/>
  <c r="D18" i="414" s="1"/>
  <c r="F15" i="410"/>
  <c r="I58" i="167"/>
  <c r="I59" i="167" s="1"/>
  <c r="F14" i="422"/>
  <c r="DC48" i="168"/>
  <c r="DC54" i="168" s="1"/>
  <c r="DC55" i="168"/>
  <c r="G11" i="167"/>
  <c r="H93" i="167" s="1"/>
  <c r="G93" i="167" s="1"/>
  <c r="G95" i="167" s="1"/>
  <c r="Q158" i="1"/>
  <c r="O222" i="1"/>
  <c r="C11" i="414" s="1"/>
  <c r="F41" i="400"/>
  <c r="F35" i="400"/>
  <c r="F33" i="400"/>
  <c r="F136" i="400" s="1"/>
  <c r="F24" i="400"/>
  <c r="F22" i="400"/>
  <c r="F25" i="400"/>
  <c r="F39" i="400"/>
  <c r="F36" i="400"/>
  <c r="F27" i="400"/>
  <c r="F21" i="400"/>
  <c r="F26" i="400"/>
  <c r="F29" i="400"/>
  <c r="F135" i="400" s="1"/>
  <c r="G10" i="227"/>
  <c r="F21" i="167"/>
  <c r="AK21" i="167"/>
  <c r="E23" i="167"/>
  <c r="E49" i="167"/>
  <c r="D17" i="306" s="1"/>
  <c r="BE18" i="168"/>
  <c r="BE18" i="388"/>
  <c r="E18" i="435"/>
  <c r="E17" i="435"/>
  <c r="D35" i="316" l="1"/>
  <c r="F36" i="248" s="1"/>
  <c r="AO22" i="167"/>
  <c r="G96" i="167"/>
  <c r="I24" i="478"/>
  <c r="F67" i="490"/>
  <c r="J36" i="167"/>
  <c r="C18" i="442" s="1"/>
  <c r="BD25" i="167"/>
  <c r="BH92" i="393"/>
  <c r="BH24" i="393"/>
  <c r="BH30" i="393" s="1"/>
  <c r="BI69" i="393" s="1"/>
  <c r="BI70" i="393" s="1"/>
  <c r="F44" i="441"/>
  <c r="C9" i="442" s="1"/>
  <c r="J82" i="393"/>
  <c r="BJ38" i="393"/>
  <c r="BF38" i="167"/>
  <c r="BD24" i="167"/>
  <c r="J19" i="167"/>
  <c r="C6" i="442" s="1"/>
  <c r="J33" i="393"/>
  <c r="D22" i="444"/>
  <c r="J79" i="393"/>
  <c r="J36" i="393"/>
  <c r="J79" i="167"/>
  <c r="C5" i="442"/>
  <c r="J33" i="167"/>
  <c r="BH79" i="393"/>
  <c r="BH80" i="393"/>
  <c r="J19" i="393"/>
  <c r="J82" i="167"/>
  <c r="AY19" i="167"/>
  <c r="D6" i="426" s="1"/>
  <c r="E43" i="460"/>
  <c r="D43" i="460"/>
  <c r="B43" i="460"/>
  <c r="C43" i="460"/>
  <c r="B46" i="486"/>
  <c r="AY28" i="167"/>
  <c r="D18" i="426" s="1"/>
  <c r="E18" i="426" s="1"/>
  <c r="AY30" i="167"/>
  <c r="H67" i="489" s="1"/>
  <c r="D9" i="384"/>
  <c r="E9" i="384" s="1"/>
  <c r="K44" i="410"/>
  <c r="D13" i="409" s="1"/>
  <c r="E13" i="409" s="1"/>
  <c r="I83" i="167"/>
  <c r="H44" i="410"/>
  <c r="D44" i="408" s="1"/>
  <c r="D5" i="407"/>
  <c r="C17" i="411" s="1"/>
  <c r="BC85" i="393"/>
  <c r="BC19" i="393"/>
  <c r="BC20" i="393" s="1"/>
  <c r="BC22" i="393" s="1"/>
  <c r="K44" i="422"/>
  <c r="D13" i="423" s="1"/>
  <c r="E13" i="423" s="1"/>
  <c r="K44" i="441"/>
  <c r="D13" i="443" s="1"/>
  <c r="E13" i="443" s="1"/>
  <c r="BC83" i="393"/>
  <c r="BC74" i="393"/>
  <c r="BC75" i="393" s="1"/>
  <c r="BC77" i="393" s="1"/>
  <c r="C17" i="383"/>
  <c r="BC28" i="393"/>
  <c r="I80" i="167"/>
  <c r="BC30" i="393"/>
  <c r="BD69" i="393" s="1"/>
  <c r="BD70" i="393" s="1"/>
  <c r="D6" i="407"/>
  <c r="D15" i="414"/>
  <c r="I22" i="478"/>
  <c r="D37" i="495" s="1"/>
  <c r="G38" i="248" s="1"/>
  <c r="F23" i="393"/>
  <c r="I20" i="167"/>
  <c r="I22" i="167" s="1"/>
  <c r="I50" i="167" s="1"/>
  <c r="F15" i="489"/>
  <c r="J58" i="393"/>
  <c r="J59" i="393" s="1"/>
  <c r="J20" i="393" s="1"/>
  <c r="J22" i="393" s="1"/>
  <c r="F14" i="490"/>
  <c r="I22" i="315"/>
  <c r="D13" i="320" s="1"/>
  <c r="F96" i="167"/>
  <c r="I21" i="315" s="1"/>
  <c r="D36" i="316" s="1"/>
  <c r="F37" i="248" s="1"/>
  <c r="G98" i="167"/>
  <c r="I20" i="478"/>
  <c r="D16" i="414"/>
  <c r="E3" i="382"/>
  <c r="E3" i="326"/>
  <c r="E3" i="375" s="1"/>
  <c r="E35" i="316"/>
  <c r="E3" i="436"/>
  <c r="E3" i="420"/>
  <c r="J20" i="478"/>
  <c r="J53" i="315"/>
  <c r="J27" i="315"/>
  <c r="J43" i="315"/>
  <c r="J25" i="315"/>
  <c r="J35" i="315"/>
  <c r="J24" i="315"/>
  <c r="J33" i="315"/>
  <c r="J29" i="315"/>
  <c r="J46" i="315"/>
  <c r="J26" i="315"/>
  <c r="BG21" i="477"/>
  <c r="BG27" i="477" s="1"/>
  <c r="BI20" i="477"/>
  <c r="BC20" i="477"/>
  <c r="BA21" i="477"/>
  <c r="AU21" i="477"/>
  <c r="AU27" i="477" s="1"/>
  <c r="AW20" i="477"/>
  <c r="AW21" i="477" s="1"/>
  <c r="E13" i="467"/>
  <c r="K94" i="1" s="1"/>
  <c r="N18" i="184"/>
  <c r="C20" i="453"/>
  <c r="BK18" i="477"/>
  <c r="BI19" i="477"/>
  <c r="C1" i="432"/>
  <c r="C1" i="380"/>
  <c r="C1" i="417"/>
  <c r="C1" i="322"/>
  <c r="D1" i="454" s="1"/>
  <c r="C12" i="360"/>
  <c r="J45" i="280"/>
  <c r="K43" i="280"/>
  <c r="J43" i="302"/>
  <c r="J22" i="315"/>
  <c r="J20" i="315"/>
  <c r="D18" i="391"/>
  <c r="E18" i="391"/>
  <c r="I15" i="391"/>
  <c r="K15" i="391" s="1"/>
  <c r="M15" i="391" s="1"/>
  <c r="O15" i="391" s="1"/>
  <c r="Q15" i="391" s="1"/>
  <c r="G23" i="393"/>
  <c r="H25" i="302"/>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F15" i="490" s="1"/>
  <c r="AX76" i="393"/>
  <c r="AX78" i="393" s="1"/>
  <c r="AX21" i="393"/>
  <c r="AX23" i="393" s="1"/>
  <c r="H21" i="393"/>
  <c r="H49" i="393" s="1"/>
  <c r="BM18" i="389"/>
  <c r="I141" i="389"/>
  <c r="E11" i="184"/>
  <c r="E51" i="184" s="1"/>
  <c r="K17" i="74"/>
  <c r="G103" i="389"/>
  <c r="G141" i="389"/>
  <c r="G102" i="389" s="1"/>
  <c r="S158" i="1"/>
  <c r="Q215" i="1"/>
  <c r="I11" i="393" s="1"/>
  <c r="Q216" i="1"/>
  <c r="Q217" i="1"/>
  <c r="I20" i="393"/>
  <c r="I22" i="393" s="1"/>
  <c r="I50" i="393" s="1"/>
  <c r="D50" i="281"/>
  <c r="F46" i="398"/>
  <c r="F49" i="398" s="1"/>
  <c r="T22" i="184" s="1"/>
  <c r="H132" i="280"/>
  <c r="W11" i="167"/>
  <c r="V11" i="167"/>
  <c r="D44" i="281"/>
  <c r="S218" i="1"/>
  <c r="C9" i="450"/>
  <c r="S219" i="1"/>
  <c r="S220" i="1"/>
  <c r="C11" i="450"/>
  <c r="H133" i="280"/>
  <c r="D47" i="281" s="1"/>
  <c r="F15" i="422"/>
  <c r="E37" i="184"/>
  <c r="H134" i="280"/>
  <c r="D48" i="281" s="1"/>
  <c r="H131" i="280"/>
  <c r="D45" i="281" s="1"/>
  <c r="H43" i="280"/>
  <c r="C8" i="359"/>
  <c r="H21" i="302"/>
  <c r="H35" i="302"/>
  <c r="H24" i="302"/>
  <c r="D15" i="307" s="1"/>
  <c r="H23" i="302"/>
  <c r="D19" i="306"/>
  <c r="H26" i="302"/>
  <c r="H34" i="302"/>
  <c r="D30" i="307" s="1"/>
  <c r="H38" i="302"/>
  <c r="D49" i="301" s="1"/>
  <c r="E46" i="248" s="1"/>
  <c r="H20" i="302"/>
  <c r="D44" i="301" s="1"/>
  <c r="E41" i="248" s="1"/>
  <c r="H32" i="302"/>
  <c r="D26" i="307" s="1"/>
  <c r="H28" i="302"/>
  <c r="H132" i="302" s="1"/>
  <c r="D46" i="301" s="1"/>
  <c r="E43" i="248" s="1"/>
  <c r="H40" i="302"/>
  <c r="D38" i="307" s="1"/>
  <c r="E2" i="326"/>
  <c r="E2" i="375" s="1"/>
  <c r="E2" i="436"/>
  <c r="E2" i="420"/>
  <c r="E2" i="382"/>
  <c r="E2" i="412" s="1"/>
  <c r="AK23" i="167"/>
  <c r="D37" i="301"/>
  <c r="E37" i="248" s="1"/>
  <c r="F54" i="227"/>
  <c r="F137" i="400"/>
  <c r="F23" i="302"/>
  <c r="F38" i="302"/>
  <c r="F34" i="302"/>
  <c r="F24" i="302"/>
  <c r="F21" i="302"/>
  <c r="F20" i="302"/>
  <c r="F32" i="302"/>
  <c r="F133" i="302" s="1"/>
  <c r="F28" i="302"/>
  <c r="F132" i="302" s="1"/>
  <c r="F35" i="302"/>
  <c r="F40" i="302"/>
  <c r="F25" i="302"/>
  <c r="F26" i="302"/>
  <c r="F134" i="400"/>
  <c r="Q222" i="1"/>
  <c r="C11" i="429" s="1"/>
  <c r="H10" i="227"/>
  <c r="AO21" i="167"/>
  <c r="G21" i="167"/>
  <c r="F23" i="167"/>
  <c r="F49" i="167"/>
  <c r="D17" i="319" s="1"/>
  <c r="F44" i="400"/>
  <c r="H11" i="167"/>
  <c r="C10" i="359"/>
  <c r="F48" i="280"/>
  <c r="F22" i="184"/>
  <c r="F57" i="184" s="1"/>
  <c r="E22" i="184"/>
  <c r="E57" i="184" s="1"/>
  <c r="I66" i="315" l="1"/>
  <c r="L66" i="315" s="1"/>
  <c r="D35" i="495"/>
  <c r="G36" i="248" s="1"/>
  <c r="E35" i="495"/>
  <c r="D34" i="371"/>
  <c r="BD28" i="167"/>
  <c r="D18" i="442" s="1"/>
  <c r="E18" i="442" s="1"/>
  <c r="BH83" i="393"/>
  <c r="BH19" i="393"/>
  <c r="BH20" i="393" s="1"/>
  <c r="BH22" i="393" s="1"/>
  <c r="BH28" i="393"/>
  <c r="BH85" i="393"/>
  <c r="AY20" i="167"/>
  <c r="D16" i="429" s="1"/>
  <c r="BD30" i="167"/>
  <c r="H67" i="490" s="1"/>
  <c r="BD19" i="167"/>
  <c r="D6" i="442" s="1"/>
  <c r="BH74" i="393"/>
  <c r="BH75" i="393" s="1"/>
  <c r="BH77" i="393" s="1"/>
  <c r="E5" i="407"/>
  <c r="D15" i="429"/>
  <c r="D40" i="491"/>
  <c r="D14" i="492" s="1"/>
  <c r="D39" i="491"/>
  <c r="D13" i="492" s="1"/>
  <c r="D37" i="491"/>
  <c r="D11" i="492" s="1"/>
  <c r="E39" i="491"/>
  <c r="E13" i="492" s="1"/>
  <c r="C40" i="491"/>
  <c r="C14" i="492" s="1"/>
  <c r="C39" i="491"/>
  <c r="C13" i="492" s="1"/>
  <c r="C37" i="491"/>
  <c r="C11" i="492" s="1"/>
  <c r="E38" i="491"/>
  <c r="E12" i="492" s="1"/>
  <c r="B40" i="491"/>
  <c r="B14" i="492" s="1"/>
  <c r="B39" i="491"/>
  <c r="B13" i="492" s="1"/>
  <c r="B37" i="491"/>
  <c r="B11" i="492" s="1"/>
  <c r="E40" i="491"/>
  <c r="E14" i="492" s="1"/>
  <c r="E37" i="491"/>
  <c r="E11" i="492" s="1"/>
  <c r="E35" i="491"/>
  <c r="E9" i="492" s="1"/>
  <c r="B38" i="491"/>
  <c r="B12" i="492" s="1"/>
  <c r="D35" i="491"/>
  <c r="C38" i="491"/>
  <c r="C12" i="492" s="1"/>
  <c r="C35" i="491"/>
  <c r="D38" i="491"/>
  <c r="D12" i="492" s="1"/>
  <c r="B35" i="491"/>
  <c r="B9" i="492" s="1"/>
  <c r="D36" i="491"/>
  <c r="D10" i="492" s="1"/>
  <c r="C36" i="491"/>
  <c r="C10" i="492" s="1"/>
  <c r="E36" i="491"/>
  <c r="B36" i="491"/>
  <c r="H44" i="422"/>
  <c r="D44" i="424" s="1"/>
  <c r="D90" i="424" s="1"/>
  <c r="D5" i="426"/>
  <c r="E5" i="426" s="1"/>
  <c r="E42" i="460"/>
  <c r="B42" i="460"/>
  <c r="D42" i="460"/>
  <c r="C42" i="460"/>
  <c r="C46" i="486"/>
  <c r="B45" i="486"/>
  <c r="B47" i="486" s="1"/>
  <c r="B53" i="486" s="1"/>
  <c r="B82" i="460"/>
  <c r="D9" i="407"/>
  <c r="E9" i="407" s="1"/>
  <c r="E17" i="467"/>
  <c r="I20" i="481"/>
  <c r="I93" i="167"/>
  <c r="J93" i="167" s="1"/>
  <c r="J95" i="167" s="1"/>
  <c r="I21" i="478"/>
  <c r="D36" i="495" s="1"/>
  <c r="G37" i="248" s="1"/>
  <c r="J98" i="167"/>
  <c r="J20" i="481"/>
  <c r="J66" i="481" s="1"/>
  <c r="E14" i="486"/>
  <c r="E13" i="486"/>
  <c r="D14" i="486"/>
  <c r="D13" i="486"/>
  <c r="E9" i="486"/>
  <c r="C14" i="486"/>
  <c r="C13" i="486"/>
  <c r="B15" i="486"/>
  <c r="B14" i="486"/>
  <c r="B13" i="486"/>
  <c r="E15" i="486"/>
  <c r="B9" i="486"/>
  <c r="D15" i="486"/>
  <c r="D9" i="486"/>
  <c r="C15" i="486"/>
  <c r="C9" i="486"/>
  <c r="E11" i="486"/>
  <c r="D11" i="486"/>
  <c r="C11" i="486"/>
  <c r="B11" i="486"/>
  <c r="D90" i="408"/>
  <c r="D37" i="316"/>
  <c r="J66" i="478"/>
  <c r="K66" i="478" s="1"/>
  <c r="K68" i="478" s="1"/>
  <c r="K71" i="478" s="1"/>
  <c r="I167" i="478"/>
  <c r="H35" i="315"/>
  <c r="H53" i="315"/>
  <c r="H26" i="315"/>
  <c r="H24" i="315"/>
  <c r="H46" i="315"/>
  <c r="H43" i="315"/>
  <c r="H33" i="315"/>
  <c r="H169" i="315" s="1"/>
  <c r="H27" i="315"/>
  <c r="H25" i="315"/>
  <c r="H29" i="315"/>
  <c r="F46" i="315"/>
  <c r="F24" i="315"/>
  <c r="F35" i="315"/>
  <c r="F26" i="315"/>
  <c r="F29" i="315"/>
  <c r="F168" i="315" s="1"/>
  <c r="F53" i="315"/>
  <c r="F43" i="315"/>
  <c r="F33" i="315"/>
  <c r="F169" i="315" s="1"/>
  <c r="F27" i="315"/>
  <c r="F25" i="315"/>
  <c r="BE20" i="477"/>
  <c r="BE21" i="477" s="1"/>
  <c r="BC21" i="477"/>
  <c r="BC27" i="477" s="1"/>
  <c r="BK20" i="477"/>
  <c r="BI21" i="477"/>
  <c r="E142" i="389"/>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M28" i="477"/>
  <c r="DM29" i="477" s="1"/>
  <c r="DM30" i="477" s="1"/>
  <c r="BM18" i="477"/>
  <c r="BM19" i="477" s="1"/>
  <c r="BK19" i="477"/>
  <c r="D1" i="418"/>
  <c r="I167" i="315"/>
  <c r="E37"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6" i="315"/>
  <c r="E19" i="391"/>
  <c r="D19" i="391"/>
  <c r="K18" i="458"/>
  <c r="M18" i="458" s="1"/>
  <c r="O18" i="458" s="1"/>
  <c r="Q18" i="458" s="1"/>
  <c r="S18" i="458" s="1"/>
  <c r="G18" i="391"/>
  <c r="I18" i="391" s="1"/>
  <c r="K18" i="391" s="1"/>
  <c r="M18" i="391" s="1"/>
  <c r="O18" i="391" s="1"/>
  <c r="Q18" i="391" s="1"/>
  <c r="D16" i="307"/>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8" i="359"/>
  <c r="E8" i="359" s="1"/>
  <c r="D25" i="393"/>
  <c r="S216" i="1"/>
  <c r="S217" i="1"/>
  <c r="S215" i="1"/>
  <c r="J11" i="167" s="1"/>
  <c r="M93" i="167" s="1"/>
  <c r="N93" i="167" s="1"/>
  <c r="N95" i="167" s="1"/>
  <c r="G105" i="389"/>
  <c r="J50" i="393"/>
  <c r="AG17" i="74"/>
  <c r="AG15" i="74"/>
  <c r="D25" i="167"/>
  <c r="AH17" i="74"/>
  <c r="D46" i="281"/>
  <c r="U11" i="184"/>
  <c r="U12" i="184" s="1"/>
  <c r="U14" i="184" s="1"/>
  <c r="T11" i="184"/>
  <c r="T12" i="184" s="1"/>
  <c r="T14" i="184" s="1"/>
  <c r="AF15" i="74"/>
  <c r="D18" i="429"/>
  <c r="D18" i="450"/>
  <c r="AF17" i="74"/>
  <c r="H45" i="280"/>
  <c r="D56" i="281" s="1"/>
  <c r="D54" i="281"/>
  <c r="D13" i="307"/>
  <c r="D31" i="307"/>
  <c r="D50" i="301"/>
  <c r="E47" i="248" s="1"/>
  <c r="D36" i="307"/>
  <c r="D14" i="307"/>
  <c r="H133" i="302"/>
  <c r="D28" i="307" s="1"/>
  <c r="H131" i="302"/>
  <c r="D45" i="301" s="1"/>
  <c r="E42" i="248" s="1"/>
  <c r="D17" i="307"/>
  <c r="D19" i="319"/>
  <c r="H20" i="315"/>
  <c r="D11" i="320" s="1"/>
  <c r="H22" i="315"/>
  <c r="H134" i="302"/>
  <c r="D48" i="301" s="1"/>
  <c r="E45" i="248" s="1"/>
  <c r="D22" i="307"/>
  <c r="H43" i="302"/>
  <c r="D11" i="307"/>
  <c r="D24" i="307"/>
  <c r="AO23" i="167"/>
  <c r="AY22" i="167"/>
  <c r="F20" i="315"/>
  <c r="F22" i="315"/>
  <c r="I11" i="167"/>
  <c r="K93" i="167" s="1"/>
  <c r="L93" i="167" s="1"/>
  <c r="L95" i="167" s="1"/>
  <c r="I24" i="489" s="1"/>
  <c r="F46" i="400"/>
  <c r="F49" i="400" s="1"/>
  <c r="U22" i="184" s="1"/>
  <c r="G49" i="167"/>
  <c r="D17" i="377" s="1"/>
  <c r="G23" i="167"/>
  <c r="F131" i="302"/>
  <c r="I10" i="227"/>
  <c r="AT21" i="167"/>
  <c r="H21" i="167"/>
  <c r="F43" i="302"/>
  <c r="F134" i="302"/>
  <c r="DK16" i="168"/>
  <c r="DK17" i="168" s="1"/>
  <c r="DK19" i="168" s="1"/>
  <c r="D20" i="320" l="1"/>
  <c r="F38" i="248"/>
  <c r="D10" i="321"/>
  <c r="F15" i="248"/>
  <c r="E35" i="496"/>
  <c r="D35" i="496"/>
  <c r="H36" i="248" s="1"/>
  <c r="J96" i="167"/>
  <c r="I21" i="481" s="1"/>
  <c r="D36" i="496" s="1"/>
  <c r="H37" i="248" s="1"/>
  <c r="I24" i="481"/>
  <c r="I24" i="490"/>
  <c r="Z75" i="315"/>
  <c r="I75" i="315"/>
  <c r="BE69" i="167"/>
  <c r="BE70" i="167" s="1"/>
  <c r="BD20" i="167"/>
  <c r="D15" i="450"/>
  <c r="D5" i="442"/>
  <c r="C17" i="447" s="1"/>
  <c r="H44" i="441"/>
  <c r="D44" i="444" s="1"/>
  <c r="D90" i="444" s="1"/>
  <c r="I66" i="478"/>
  <c r="L66" i="478" s="1"/>
  <c r="D41" i="371"/>
  <c r="B41" i="491"/>
  <c r="B10" i="492"/>
  <c r="D9" i="492"/>
  <c r="D41" i="491"/>
  <c r="E41" i="491"/>
  <c r="E10" i="492"/>
  <c r="C9" i="492"/>
  <c r="C41" i="491"/>
  <c r="D9" i="426"/>
  <c r="E9" i="426" s="1"/>
  <c r="C17" i="425"/>
  <c r="B10" i="486"/>
  <c r="B50" i="460"/>
  <c r="E10" i="486"/>
  <c r="E50" i="460"/>
  <c r="D10" i="486"/>
  <c r="D50" i="460"/>
  <c r="C10" i="486"/>
  <c r="C50" i="460"/>
  <c r="D46" i="486"/>
  <c r="C45" i="486"/>
  <c r="C47" i="486" s="1"/>
  <c r="C53" i="486" s="1"/>
  <c r="C82" i="460"/>
  <c r="E46" i="486"/>
  <c r="I22" i="490"/>
  <c r="D37" i="498" s="1"/>
  <c r="J38" i="248" s="1"/>
  <c r="I22" i="489"/>
  <c r="D37" i="497" s="1"/>
  <c r="I38" i="248" s="1"/>
  <c r="I22" i="481"/>
  <c r="J20" i="490"/>
  <c r="J66" i="490" s="1"/>
  <c r="I20" i="490"/>
  <c r="J20" i="489"/>
  <c r="J66" i="489" s="1"/>
  <c r="I20" i="489"/>
  <c r="L98" i="167"/>
  <c r="L96" i="167"/>
  <c r="F25" i="478"/>
  <c r="F46" i="478"/>
  <c r="F33" i="478"/>
  <c r="F169" i="478" s="1"/>
  <c r="F27" i="478"/>
  <c r="F24" i="478"/>
  <c r="F53" i="478"/>
  <c r="F43" i="478"/>
  <c r="F26" i="478"/>
  <c r="F35" i="478"/>
  <c r="F29" i="478"/>
  <c r="F168" i="478" s="1"/>
  <c r="H46" i="478"/>
  <c r="H33" i="478"/>
  <c r="H169" i="478" s="1"/>
  <c r="H27" i="478"/>
  <c r="H35" i="478"/>
  <c r="H24" i="478"/>
  <c r="H53" i="478"/>
  <c r="H43" i="478"/>
  <c r="H26" i="478"/>
  <c r="H29" i="478"/>
  <c r="H168" i="478" s="1"/>
  <c r="H25" i="478"/>
  <c r="N98" i="167"/>
  <c r="N96" i="167"/>
  <c r="H34" i="369"/>
  <c r="D30" i="378" s="1"/>
  <c r="H20" i="478"/>
  <c r="H22" i="478"/>
  <c r="J68" i="481"/>
  <c r="J71" i="481" s="1"/>
  <c r="K66" i="481"/>
  <c r="K68" i="481" s="1"/>
  <c r="K71" i="481" s="1"/>
  <c r="F20" i="478"/>
  <c r="F22" i="478"/>
  <c r="J68" i="478"/>
  <c r="J71" i="478" s="1"/>
  <c r="BK21" i="477"/>
  <c r="BK27" i="477" s="1"/>
  <c r="BM20" i="477"/>
  <c r="BM21" i="477" s="1"/>
  <c r="DI33" i="477"/>
  <c r="DI34" i="477" s="1"/>
  <c r="DO36" i="477"/>
  <c r="DO34" i="477"/>
  <c r="DO35" i="477" s="1"/>
  <c r="C64" i="477"/>
  <c r="C33" i="477"/>
  <c r="DM33"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8" i="315"/>
  <c r="K66" i="315"/>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30" i="227" s="1"/>
  <c r="E35" i="227" s="1"/>
  <c r="E37"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C16" i="388"/>
  <c r="C17" i="388" s="1"/>
  <c r="C19" i="388" s="1"/>
  <c r="C27" i="388" s="1"/>
  <c r="C28" i="388" s="1"/>
  <c r="C29" i="388" s="1"/>
  <c r="C30" i="388" s="1"/>
  <c r="C64" i="388" s="1"/>
  <c r="C67" i="388" s="1"/>
  <c r="G11" i="184"/>
  <c r="G50" i="184"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EG15" i="168"/>
  <c r="EI15" i="168" s="1"/>
  <c r="L17" i="74"/>
  <c r="DQ15" i="168"/>
  <c r="DS15" i="168" s="1"/>
  <c r="DU15" i="168" s="1"/>
  <c r="I67" i="389"/>
  <c r="I65" i="389"/>
  <c r="I66" i="389" s="1"/>
  <c r="E68" i="291"/>
  <c r="D17" i="281"/>
  <c r="E25" i="167"/>
  <c r="E25" i="393"/>
  <c r="E36" i="389"/>
  <c r="E34" i="389"/>
  <c r="U20" i="184"/>
  <c r="EK24" i="168"/>
  <c r="EM24" i="168" s="1"/>
  <c r="EM33" i="168" s="1"/>
  <c r="EM36" i="168" s="1"/>
  <c r="L15" i="74"/>
  <c r="DY24" i="168"/>
  <c r="EA24" i="168" s="1"/>
  <c r="EA33" i="168" s="1"/>
  <c r="DY15" i="168"/>
  <c r="D14" i="360"/>
  <c r="DU24" i="168"/>
  <c r="DW24" i="168" s="1"/>
  <c r="DW33" i="168" s="1"/>
  <c r="DW34" i="168" s="1"/>
  <c r="DW35" i="168" s="1"/>
  <c r="D20" i="307"/>
  <c r="T20" i="184"/>
  <c r="DQ24" i="168"/>
  <c r="DS24" i="168" s="1"/>
  <c r="DS33" i="168" s="1"/>
  <c r="DS34" i="168" s="1"/>
  <c r="DS35" i="168" s="1"/>
  <c r="K10" i="227"/>
  <c r="J21" i="167"/>
  <c r="H35" i="369"/>
  <c r="D31" i="378" s="1"/>
  <c r="D26" i="320"/>
  <c r="D32" i="307"/>
  <c r="H23" i="369"/>
  <c r="D14" i="378" s="1"/>
  <c r="H170" i="315"/>
  <c r="D47" i="301"/>
  <c r="E44" i="248" s="1"/>
  <c r="D19" i="377"/>
  <c r="H168" i="315"/>
  <c r="H40" i="369"/>
  <c r="H26" i="369"/>
  <c r="D17" i="378" s="1"/>
  <c r="H21" i="369"/>
  <c r="D13" i="378" s="1"/>
  <c r="H167" i="315"/>
  <c r="H66" i="315"/>
  <c r="H28" i="369"/>
  <c r="D22" i="378" s="1"/>
  <c r="H38" i="369"/>
  <c r="H24" i="369"/>
  <c r="D15" i="378" s="1"/>
  <c r="H32" i="369"/>
  <c r="D26" i="378" s="1"/>
  <c r="H25" i="369"/>
  <c r="D54" i="301"/>
  <c r="D8" i="364"/>
  <c r="H45" i="302"/>
  <c r="D10" i="364" s="1"/>
  <c r="AT23" i="167"/>
  <c r="H20" i="369"/>
  <c r="F170" i="315"/>
  <c r="F167" i="315"/>
  <c r="F28" i="369"/>
  <c r="F132" i="369" s="1"/>
  <c r="F40" i="369"/>
  <c r="F25" i="369"/>
  <c r="F24" i="369"/>
  <c r="F32" i="369"/>
  <c r="F133" i="369" s="1"/>
  <c r="F20" i="369"/>
  <c r="F35" i="369"/>
  <c r="F26" i="369"/>
  <c r="F38" i="369"/>
  <c r="F34" i="369"/>
  <c r="F23" i="369"/>
  <c r="F21" i="369"/>
  <c r="F66" i="315"/>
  <c r="D28" i="320"/>
  <c r="C8" i="364"/>
  <c r="F45" i="302"/>
  <c r="H49" i="167"/>
  <c r="D17" i="414" s="1"/>
  <c r="H23" i="167"/>
  <c r="J10" i="227"/>
  <c r="AY21" i="167"/>
  <c r="I21" i="167"/>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D37" i="496" l="1"/>
  <c r="H38" i="248" s="1"/>
  <c r="E35" i="498"/>
  <c r="D35" i="498"/>
  <c r="J36" i="248" s="1"/>
  <c r="E35" i="497"/>
  <c r="D35" i="497"/>
  <c r="I36" i="248" s="1"/>
  <c r="D52" i="371"/>
  <c r="E57" i="495"/>
  <c r="D57" i="495"/>
  <c r="BD21" i="167"/>
  <c r="D16" i="450"/>
  <c r="BD22" i="167"/>
  <c r="D18" i="486"/>
  <c r="D86" i="460"/>
  <c r="E18" i="486"/>
  <c r="E86" i="460"/>
  <c r="B18" i="486"/>
  <c r="B86" i="460"/>
  <c r="C18" i="486"/>
  <c r="C86" i="460"/>
  <c r="C15" i="492"/>
  <c r="C75" i="491"/>
  <c r="E15" i="492"/>
  <c r="E75" i="491"/>
  <c r="D15" i="492"/>
  <c r="D75" i="491"/>
  <c r="B15" i="492"/>
  <c r="B75" i="491"/>
  <c r="D9" i="442"/>
  <c r="E9" i="442" s="1"/>
  <c r="E5" i="442"/>
  <c r="I75" i="478"/>
  <c r="I68" i="478"/>
  <c r="E61" i="495" s="1"/>
  <c r="G15" i="248"/>
  <c r="E45" i="486"/>
  <c r="E47" i="486" s="1"/>
  <c r="E53" i="486" s="1"/>
  <c r="E82" i="460"/>
  <c r="D45" i="486"/>
  <c r="D47" i="486" s="1"/>
  <c r="D53" i="486" s="1"/>
  <c r="D82" i="460"/>
  <c r="I167" i="489"/>
  <c r="I167" i="481"/>
  <c r="I167" i="490"/>
  <c r="I66" i="481"/>
  <c r="L66" i="481" s="1"/>
  <c r="J68" i="489"/>
  <c r="J71" i="489" s="1"/>
  <c r="K66" i="489"/>
  <c r="K68" i="489" s="1"/>
  <c r="K71" i="489" s="1"/>
  <c r="I21" i="490"/>
  <c r="I21" i="489"/>
  <c r="J68" i="490"/>
  <c r="J71" i="490" s="1"/>
  <c r="K66" i="490"/>
  <c r="K68" i="490" s="1"/>
  <c r="K71" i="490" s="1"/>
  <c r="F35" i="481"/>
  <c r="F26" i="481"/>
  <c r="F53" i="481"/>
  <c r="F25" i="481"/>
  <c r="F24" i="481"/>
  <c r="F33" i="481"/>
  <c r="F169" i="481" s="1"/>
  <c r="F29" i="481"/>
  <c r="F168" i="481" s="1"/>
  <c r="F46" i="481"/>
  <c r="F43" i="481"/>
  <c r="F27" i="481"/>
  <c r="H35" i="481"/>
  <c r="H26" i="481"/>
  <c r="H20" i="481"/>
  <c r="H43" i="481"/>
  <c r="H53" i="481"/>
  <c r="H33" i="481"/>
  <c r="H169" i="481" s="1"/>
  <c r="H25" i="481"/>
  <c r="H22" i="481"/>
  <c r="H46" i="481"/>
  <c r="H29" i="481"/>
  <c r="H168" i="481" s="1"/>
  <c r="H24" i="481"/>
  <c r="H27" i="481"/>
  <c r="H170" i="478"/>
  <c r="H167" i="478"/>
  <c r="H66" i="478"/>
  <c r="H68" i="478" s="1"/>
  <c r="H71" i="478" s="1"/>
  <c r="F170" i="478"/>
  <c r="D12" i="363"/>
  <c r="J156" i="167"/>
  <c r="J157" i="167" s="1"/>
  <c r="J158" i="167" s="1"/>
  <c r="F22" i="481"/>
  <c r="F20" i="481"/>
  <c r="F167" i="478"/>
  <c r="F66" i="478"/>
  <c r="F68" i="478" s="1"/>
  <c r="F71" i="478" s="1"/>
  <c r="D57" i="316"/>
  <c r="E1" i="421"/>
  <c r="E1" i="374"/>
  <c r="DK35" i="168"/>
  <c r="E1" i="435"/>
  <c r="E1" i="325"/>
  <c r="E1" i="455" s="1"/>
  <c r="DI36" i="477"/>
  <c r="DI43" i="477" s="1"/>
  <c r="EI34" i="168"/>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71" i="315"/>
  <c r="E12" i="361"/>
  <c r="K20" i="458"/>
  <c r="M20" i="458" s="1"/>
  <c r="O20" i="458" s="1"/>
  <c r="G20" i="391"/>
  <c r="I20" i="391" s="1"/>
  <c r="K20" i="391" s="1"/>
  <c r="M20" i="391" s="1"/>
  <c r="O20" i="391" s="1"/>
  <c r="Q20" i="391" s="1"/>
  <c r="E21" i="391"/>
  <c r="D21" i="391"/>
  <c r="DI34" i="168"/>
  <c r="DI35" i="168" s="1"/>
  <c r="C17" i="168"/>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H11" i="184"/>
  <c r="H12" i="184" s="1"/>
  <c r="G15" i="389"/>
  <c r="E16" i="389"/>
  <c r="E17" i="389" s="1"/>
  <c r="E19" i="389" s="1"/>
  <c r="G12" i="184"/>
  <c r="G51" i="184"/>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I67" i="388"/>
  <c r="M135" i="388"/>
  <c r="E12" i="360"/>
  <c r="D16" i="360"/>
  <c r="G37" i="184"/>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H133" i="369"/>
  <c r="H134" i="369"/>
  <c r="D32" i="378" s="1"/>
  <c r="K45" i="302"/>
  <c r="K48" i="302" s="1"/>
  <c r="F21" i="227"/>
  <c r="F30" i="227" s="1"/>
  <c r="F35" i="227" s="1"/>
  <c r="F37" i="227" s="1"/>
  <c r="H48" i="302"/>
  <c r="D38" i="378"/>
  <c r="D36" i="378"/>
  <c r="E51" i="248"/>
  <c r="H20" i="410"/>
  <c r="H21" i="410"/>
  <c r="D13" i="415" s="1"/>
  <c r="H40" i="410"/>
  <c r="D39" i="408" s="1"/>
  <c r="D19" i="414"/>
  <c r="H34" i="410"/>
  <c r="D30" i="415" s="1"/>
  <c r="H26" i="410"/>
  <c r="D17" i="415" s="1"/>
  <c r="H24" i="410"/>
  <c r="H38" i="410"/>
  <c r="D36" i="415" s="1"/>
  <c r="H35" i="410"/>
  <c r="H23" i="410"/>
  <c r="H32" i="410"/>
  <c r="D26" i="415" s="1"/>
  <c r="H28" i="410"/>
  <c r="H25" i="410"/>
  <c r="H43" i="369"/>
  <c r="D8" i="368"/>
  <c r="H68" i="315"/>
  <c r="D10" i="368" s="1"/>
  <c r="H131" i="369"/>
  <c r="D20" i="378" s="1"/>
  <c r="D16" i="378"/>
  <c r="H132" i="369"/>
  <c r="D24" i="378" s="1"/>
  <c r="D56" i="301"/>
  <c r="E53" i="248" s="1"/>
  <c r="E8" i="364"/>
  <c r="D11" i="378"/>
  <c r="D33" i="371"/>
  <c r="AY23" i="167"/>
  <c r="F131" i="369"/>
  <c r="E144" i="303"/>
  <c r="C144" i="303"/>
  <c r="D10" i="308"/>
  <c r="C68" i="303"/>
  <c r="D17" i="301"/>
  <c r="C12" i="314"/>
  <c r="E68" i="303"/>
  <c r="C8" i="368"/>
  <c r="F68"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BD23" i="167" l="1"/>
  <c r="H21" i="227"/>
  <c r="H30" i="227" s="1"/>
  <c r="H37" i="227" s="1"/>
  <c r="G58" i="248"/>
  <c r="D61" i="495"/>
  <c r="G62" i="248" s="1"/>
  <c r="F58" i="248"/>
  <c r="D61" i="316"/>
  <c r="F62" i="248" s="1"/>
  <c r="I66" i="490"/>
  <c r="L66" i="490" s="1"/>
  <c r="D36" i="498"/>
  <c r="J37" i="248" s="1"/>
  <c r="I66" i="489"/>
  <c r="D36" i="497"/>
  <c r="I37" i="248" s="1"/>
  <c r="E57" i="496"/>
  <c r="D57" i="496"/>
  <c r="D15" i="371"/>
  <c r="E14" i="495"/>
  <c r="D14" i="495"/>
  <c r="G21" i="227"/>
  <c r="G30" i="227" s="1"/>
  <c r="G37" i="227" s="1"/>
  <c r="I71" i="478"/>
  <c r="D54" i="371"/>
  <c r="E150" i="303"/>
  <c r="M16" i="74"/>
  <c r="I75" i="481"/>
  <c r="I68" i="481"/>
  <c r="F35" i="489"/>
  <c r="F29" i="489"/>
  <c r="F168" i="489" s="1"/>
  <c r="F26" i="489"/>
  <c r="F20" i="489"/>
  <c r="F25" i="489"/>
  <c r="F46" i="489"/>
  <c r="F33" i="489"/>
  <c r="F169" i="489" s="1"/>
  <c r="F27" i="489"/>
  <c r="F24" i="489"/>
  <c r="F53" i="489"/>
  <c r="F43" i="489"/>
  <c r="F22" i="489"/>
  <c r="H33" i="490"/>
  <c r="H169" i="490" s="1"/>
  <c r="H27" i="490"/>
  <c r="H24" i="490"/>
  <c r="H35" i="490"/>
  <c r="H29" i="490"/>
  <c r="H168" i="490" s="1"/>
  <c r="H43" i="490"/>
  <c r="H25" i="490"/>
  <c r="H20" i="490"/>
  <c r="H53" i="490"/>
  <c r="H26" i="490"/>
  <c r="H46" i="490"/>
  <c r="H22" i="490"/>
  <c r="H25" i="489"/>
  <c r="H46" i="489"/>
  <c r="H33" i="489"/>
  <c r="H169" i="489" s="1"/>
  <c r="H27" i="489"/>
  <c r="H24" i="489"/>
  <c r="H53" i="489"/>
  <c r="H43" i="489"/>
  <c r="H35" i="489"/>
  <c r="H26" i="489"/>
  <c r="H20" i="489"/>
  <c r="H29" i="489"/>
  <c r="H168" i="489" s="1"/>
  <c r="H22" i="489"/>
  <c r="F46" i="490"/>
  <c r="F26" i="490"/>
  <c r="F35" i="490"/>
  <c r="F29" i="490"/>
  <c r="F168" i="490" s="1"/>
  <c r="F33" i="490"/>
  <c r="F169" i="490" s="1"/>
  <c r="F43" i="490"/>
  <c r="F25" i="490"/>
  <c r="F20" i="490"/>
  <c r="F27" i="490"/>
  <c r="F24" i="490"/>
  <c r="F53" i="490"/>
  <c r="F22" i="490"/>
  <c r="H66" i="481"/>
  <c r="H68" i="481" s="1"/>
  <c r="H71" i="481" s="1"/>
  <c r="H170" i="481"/>
  <c r="H167" i="481"/>
  <c r="C14" i="363"/>
  <c r="J185" i="167"/>
  <c r="F167" i="481"/>
  <c r="F170" i="481"/>
  <c r="F66" i="481"/>
  <c r="F68" i="481" s="1"/>
  <c r="F71" i="481" s="1"/>
  <c r="E1" i="420"/>
  <c r="E1" i="382"/>
  <c r="E1" i="412" s="1"/>
  <c r="E1" i="436"/>
  <c r="E1" i="326"/>
  <c r="E1" i="375" s="1"/>
  <c r="H37" i="184"/>
  <c r="C23" i="314" s="1"/>
  <c r="D61" i="109"/>
  <c r="M15" i="477"/>
  <c r="K16" i="477"/>
  <c r="K17" i="477" s="1"/>
  <c r="K19" i="477" s="1"/>
  <c r="K27" i="477" s="1"/>
  <c r="K28" i="477" s="1"/>
  <c r="K29" i="477" s="1"/>
  <c r="K30" i="477" s="1"/>
  <c r="K64" i="477" s="1"/>
  <c r="EI43" i="168"/>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EK36" i="477"/>
  <c r="EK34" i="477"/>
  <c r="EK35" i="477" s="1"/>
  <c r="EI43" i="477"/>
  <c r="EI35" i="477"/>
  <c r="DY34" i="477"/>
  <c r="DY36" i="477"/>
  <c r="M64" i="477"/>
  <c r="M33" i="477"/>
  <c r="Q64" i="477"/>
  <c r="Q33" i="477"/>
  <c r="EA35" i="477"/>
  <c r="EA43" i="477"/>
  <c r="EA44" i="477" s="1"/>
  <c r="EG35" i="477"/>
  <c r="EC34" i="477"/>
  <c r="EC35" i="477" s="1"/>
  <c r="EC36" i="477"/>
  <c r="C12" i="409"/>
  <c r="J45" i="410"/>
  <c r="J48" i="410" s="1"/>
  <c r="C14" i="409"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D19" i="450"/>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14" i="361"/>
  <c r="D16" i="361" s="1"/>
  <c r="H28" i="422"/>
  <c r="H25" i="422"/>
  <c r="D16" i="430" s="1"/>
  <c r="H23" i="422"/>
  <c r="D60" i="301"/>
  <c r="D33" i="408"/>
  <c r="D31" i="415"/>
  <c r="K68" i="315"/>
  <c r="K71" i="315" s="1"/>
  <c r="H32" i="422"/>
  <c r="H133" i="422" s="1"/>
  <c r="H24" i="422"/>
  <c r="D15" i="430" s="1"/>
  <c r="D11" i="415"/>
  <c r="D16" i="415"/>
  <c r="H38" i="422"/>
  <c r="D38" i="424" s="1"/>
  <c r="H26" i="422"/>
  <c r="D17" i="430" s="1"/>
  <c r="D19" i="429"/>
  <c r="H20" i="422"/>
  <c r="H21" i="422"/>
  <c r="D38" i="415"/>
  <c r="D14" i="415"/>
  <c r="H34" i="422"/>
  <c r="D30" i="430" s="1"/>
  <c r="H35" i="422"/>
  <c r="D31" i="430" s="1"/>
  <c r="H131" i="410"/>
  <c r="D34" i="408" s="1"/>
  <c r="E12" i="363"/>
  <c r="H40" i="422"/>
  <c r="H134" i="410"/>
  <c r="D32" i="415" s="1"/>
  <c r="H132" i="410"/>
  <c r="D35" i="408" s="1"/>
  <c r="D15" i="415"/>
  <c r="H133" i="410"/>
  <c r="D36" i="408" s="1"/>
  <c r="D22" i="415"/>
  <c r="D38" i="408"/>
  <c r="H43" i="410"/>
  <c r="H45" i="369"/>
  <c r="H48" i="369" s="1"/>
  <c r="K43" i="369"/>
  <c r="G25" i="167"/>
  <c r="H71" i="315"/>
  <c r="E8" i="368"/>
  <c r="E17" i="248"/>
  <c r="D6" i="176"/>
  <c r="F134" i="410"/>
  <c r="F43" i="410"/>
  <c r="H50" i="184"/>
  <c r="C13" i="314" s="1"/>
  <c r="H51" i="184"/>
  <c r="C14" i="314" s="1"/>
  <c r="F45" i="369"/>
  <c r="C8" i="384"/>
  <c r="F131" i="410"/>
  <c r="N17" i="74"/>
  <c r="E68" i="327"/>
  <c r="C144" i="327"/>
  <c r="C12" i="322"/>
  <c r="C68" i="327"/>
  <c r="E144" i="327"/>
  <c r="F40" i="422"/>
  <c r="F28" i="422"/>
  <c r="F132" i="422" s="1"/>
  <c r="F26" i="422"/>
  <c r="F23" i="422"/>
  <c r="F21" i="422"/>
  <c r="F35" i="422"/>
  <c r="F20" i="422"/>
  <c r="F32" i="422"/>
  <c r="F133" i="422" s="1"/>
  <c r="F24" i="422"/>
  <c r="F38" i="422"/>
  <c r="F34" i="422"/>
  <c r="F25" i="422"/>
  <c r="F71" i="315"/>
  <c r="C10" i="368"/>
  <c r="E10" i="368" s="1"/>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I75" i="489" l="1"/>
  <c r="L66" i="489"/>
  <c r="E14" i="497" s="1"/>
  <c r="I68" i="489"/>
  <c r="I71" i="489" s="1"/>
  <c r="I75" i="490"/>
  <c r="I68" i="490"/>
  <c r="I71" i="490" s="1"/>
  <c r="J15" i="248"/>
  <c r="I21" i="227"/>
  <c r="I30" i="227" s="1"/>
  <c r="I37" i="227" s="1"/>
  <c r="D61" i="496"/>
  <c r="H62" i="248" s="1"/>
  <c r="H58" i="248"/>
  <c r="H15" i="248"/>
  <c r="D14" i="498"/>
  <c r="E14" i="498"/>
  <c r="E57" i="498"/>
  <c r="D57" i="498"/>
  <c r="E57" i="497"/>
  <c r="D57" i="497"/>
  <c r="I71" i="481"/>
  <c r="E61" i="496"/>
  <c r="E14" i="496"/>
  <c r="D14" i="496"/>
  <c r="D58" i="371"/>
  <c r="E151" i="303"/>
  <c r="C151" i="303"/>
  <c r="E75" i="303"/>
  <c r="C75" i="303"/>
  <c r="M17" i="74"/>
  <c r="H170" i="489"/>
  <c r="H170" i="490"/>
  <c r="F170" i="490"/>
  <c r="F66" i="490"/>
  <c r="F68" i="490" s="1"/>
  <c r="F71" i="490" s="1"/>
  <c r="F167" i="489"/>
  <c r="F167" i="490"/>
  <c r="H167" i="490"/>
  <c r="H167" i="489"/>
  <c r="H66" i="490"/>
  <c r="H68" i="490" s="1"/>
  <c r="H71" i="490" s="1"/>
  <c r="F66" i="489"/>
  <c r="F68" i="489" s="1"/>
  <c r="F71" i="489" s="1"/>
  <c r="H66" i="489"/>
  <c r="H68" i="489" s="1"/>
  <c r="H71" i="489" s="1"/>
  <c r="F170" i="489"/>
  <c r="F7" i="106"/>
  <c r="D14" i="363"/>
  <c r="D16" i="363" s="1"/>
  <c r="J195" i="167"/>
  <c r="J197" i="167" s="1"/>
  <c r="J82" i="478"/>
  <c r="J81" i="478"/>
  <c r="K33" i="477"/>
  <c r="K36" i="477" s="1"/>
  <c r="O15" i="477"/>
  <c r="M16" i="477"/>
  <c r="M17" i="477" s="1"/>
  <c r="M19" i="477" s="1"/>
  <c r="DQ43" i="477"/>
  <c r="DQ92" i="477" s="1"/>
  <c r="C99" i="477"/>
  <c r="C75" i="477"/>
  <c r="C76" i="477" s="1"/>
  <c r="E76" i="477" s="1"/>
  <c r="E78" i="477" s="1"/>
  <c r="C92" i="477"/>
  <c r="C44" i="477"/>
  <c r="C45" i="477" s="1"/>
  <c r="E45" i="477" s="1"/>
  <c r="E47" i="477" s="1"/>
  <c r="DK48" i="477"/>
  <c r="DK55" i="477"/>
  <c r="DI47" i="477"/>
  <c r="DY35" i="477"/>
  <c r="DY43" i="477"/>
  <c r="AC92" i="477"/>
  <c r="AG99" i="477"/>
  <c r="AC15" i="477"/>
  <c r="AE15" i="477" s="1"/>
  <c r="AG15" i="477" s="1"/>
  <c r="AC99" i="477"/>
  <c r="AE24" i="477"/>
  <c r="AG24" i="477" s="1"/>
  <c r="AA24" i="477"/>
  <c r="AC24" i="477" s="1"/>
  <c r="AG92" i="477"/>
  <c r="AA28" i="477"/>
  <c r="AE28" i="477"/>
  <c r="K67" i="477"/>
  <c r="K65" i="477"/>
  <c r="Q36" i="477"/>
  <c r="Q34" i="477"/>
  <c r="Q35" i="477" s="1"/>
  <c r="Q67" i="477"/>
  <c r="Q65" i="477"/>
  <c r="Q66" i="477" s="1"/>
  <c r="M36" i="477"/>
  <c r="M34" i="477"/>
  <c r="I37" i="184"/>
  <c r="C23" i="322" s="1"/>
  <c r="EG92" i="477"/>
  <c r="M67" i="477"/>
  <c r="M65" i="477"/>
  <c r="J45" i="422"/>
  <c r="J48" i="422" s="1"/>
  <c r="C14" i="423" s="1"/>
  <c r="C12" i="423"/>
  <c r="J11" i="184"/>
  <c r="J12" i="184" s="1"/>
  <c r="J20" i="184" s="1"/>
  <c r="J51" i="369"/>
  <c r="C17" i="372" s="1"/>
  <c r="J43" i="441"/>
  <c r="E23" i="391"/>
  <c r="D23" i="391"/>
  <c r="K22" i="458"/>
  <c r="M22" i="458" s="1"/>
  <c r="O22" i="458" s="1"/>
  <c r="G22" i="391"/>
  <c r="I22" i="391" s="1"/>
  <c r="K22" i="391" s="1"/>
  <c r="M22" i="391" s="1"/>
  <c r="O22" i="391" s="1"/>
  <c r="Q22" i="391" s="1"/>
  <c r="K33" i="388"/>
  <c r="K36" i="388" s="1"/>
  <c r="C113" i="388"/>
  <c r="C149" i="388" s="1"/>
  <c r="C94" i="388"/>
  <c r="C142" i="388" s="1"/>
  <c r="E8" i="384"/>
  <c r="C150" i="327"/>
  <c r="EG35" i="168"/>
  <c r="K33" i="389"/>
  <c r="K34" i="389" s="1"/>
  <c r="K35" i="389" s="1"/>
  <c r="C74" i="327"/>
  <c r="E150" i="327"/>
  <c r="C66" i="389"/>
  <c r="C28" i="291"/>
  <c r="E28" i="291" s="1"/>
  <c r="C27" i="291"/>
  <c r="E27" i="291" s="1"/>
  <c r="G35" i="184"/>
  <c r="G33" i="389"/>
  <c r="G64" i="389"/>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M67" i="389"/>
  <c r="H25" i="167"/>
  <c r="H25" i="393"/>
  <c r="Q36" i="389"/>
  <c r="AG135" i="389"/>
  <c r="AG128" i="389"/>
  <c r="AE24" i="389"/>
  <c r="AG24" i="389" s="1"/>
  <c r="AG142" i="389"/>
  <c r="AC135" i="389"/>
  <c r="AC128" i="389"/>
  <c r="AA24" i="389"/>
  <c r="AC24" i="389" s="1"/>
  <c r="AA15" i="389"/>
  <c r="AC142" i="389"/>
  <c r="K67" i="389"/>
  <c r="M36" i="389"/>
  <c r="DY43" i="168"/>
  <c r="DY92" i="168" s="1"/>
  <c r="EE15" i="168"/>
  <c r="EE16" i="168" s="1"/>
  <c r="EE17" i="168" s="1"/>
  <c r="EE19" i="168" s="1"/>
  <c r="EC16" i="168"/>
  <c r="EC17" i="168" s="1"/>
  <c r="EC19" i="168" s="1"/>
  <c r="EC27" i="168" s="1"/>
  <c r="EC28" i="168" s="1"/>
  <c r="EC29" i="168" s="1"/>
  <c r="EC30" i="168" s="1"/>
  <c r="EC33" i="168" s="1"/>
  <c r="O15" i="74"/>
  <c r="O16" i="74" s="1"/>
  <c r="O17" i="74" s="1"/>
  <c r="D11" i="430"/>
  <c r="F131" i="441"/>
  <c r="D11" i="451"/>
  <c r="D33" i="444"/>
  <c r="H43" i="441"/>
  <c r="J25" i="393" s="1"/>
  <c r="D22" i="451"/>
  <c r="H132" i="441"/>
  <c r="D16" i="451"/>
  <c r="D38" i="451"/>
  <c r="D39" i="444"/>
  <c r="D30" i="451"/>
  <c r="H134" i="441"/>
  <c r="D17" i="451"/>
  <c r="D14" i="451"/>
  <c r="D31" i="451"/>
  <c r="D15" i="451"/>
  <c r="F134" i="441"/>
  <c r="F43" i="441"/>
  <c r="D36" i="451"/>
  <c r="D38" i="444"/>
  <c r="D26" i="451"/>
  <c r="H133" i="441"/>
  <c r="D13" i="451"/>
  <c r="H131" i="441"/>
  <c r="H132" i="422"/>
  <c r="D35" i="424" s="1"/>
  <c r="D22" i="430"/>
  <c r="D26" i="430"/>
  <c r="D36" i="430"/>
  <c r="D24" i="415"/>
  <c r="E57" i="248"/>
  <c r="C16" i="361"/>
  <c r="E16" i="361" s="1"/>
  <c r="D14" i="430"/>
  <c r="H45" i="410"/>
  <c r="H48" i="410" s="1"/>
  <c r="H131" i="422"/>
  <c r="D34" i="424" s="1"/>
  <c r="H43" i="422"/>
  <c r="I25" i="393" s="1"/>
  <c r="D13" i="430"/>
  <c r="H134" i="422"/>
  <c r="D32" i="430" s="1"/>
  <c r="D33" i="424"/>
  <c r="D39" i="424"/>
  <c r="D20" i="415"/>
  <c r="K45" i="410"/>
  <c r="K48" i="410" s="1"/>
  <c r="D37" i="408"/>
  <c r="D8" i="407"/>
  <c r="D38" i="430"/>
  <c r="D43" i="408"/>
  <c r="D28" i="415"/>
  <c r="C16" i="372"/>
  <c r="D10" i="384"/>
  <c r="J37" i="184"/>
  <c r="C23" i="380" s="1"/>
  <c r="K45" i="369"/>
  <c r="K48" i="369" s="1"/>
  <c r="D12" i="372"/>
  <c r="F134" i="422"/>
  <c r="F43" i="422"/>
  <c r="C8" i="407"/>
  <c r="F45" i="410"/>
  <c r="I51" i="184"/>
  <c r="C14" i="322" s="1"/>
  <c r="I50" i="184"/>
  <c r="C13" i="322" s="1"/>
  <c r="D28" i="430"/>
  <c r="D36" i="424"/>
  <c r="F48" i="369"/>
  <c r="C10" i="384"/>
  <c r="C16" i="314"/>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D10" i="379"/>
  <c r="C68" i="383"/>
  <c r="E68" i="383"/>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E61" i="497" l="1"/>
  <c r="I15" i="248"/>
  <c r="D14" i="497"/>
  <c r="E61" i="498"/>
  <c r="J21" i="227"/>
  <c r="J30" i="227" s="1"/>
  <c r="J37" i="227" s="1"/>
  <c r="D61" i="497"/>
  <c r="I62" i="248" s="1"/>
  <c r="I58" i="248"/>
  <c r="K21" i="227"/>
  <c r="K30" i="227" s="1"/>
  <c r="K37" i="227" s="1"/>
  <c r="D61" i="498"/>
  <c r="J62" i="248" s="1"/>
  <c r="J58" i="248"/>
  <c r="C151" i="383"/>
  <c r="E75" i="383"/>
  <c r="E151" i="383"/>
  <c r="S28" i="477"/>
  <c r="S29" i="477" s="1"/>
  <c r="S30" i="477" s="1"/>
  <c r="U135" i="389"/>
  <c r="W24" i="388"/>
  <c r="Y24" i="388" s="1"/>
  <c r="C18" i="303"/>
  <c r="E18" i="303" s="1"/>
  <c r="U142" i="389"/>
  <c r="Y135" i="388"/>
  <c r="Y92" i="168"/>
  <c r="U128" i="388"/>
  <c r="W28" i="477"/>
  <c r="W29" i="477" s="1"/>
  <c r="W30" i="477" s="1"/>
  <c r="S24" i="389"/>
  <c r="U24" i="389" s="1"/>
  <c r="S15" i="168"/>
  <c r="Y128" i="388"/>
  <c r="U99" i="168"/>
  <c r="S24" i="388"/>
  <c r="U24" i="388" s="1"/>
  <c r="U64" i="388" s="1"/>
  <c r="E77" i="303"/>
  <c r="S24" i="477"/>
  <c r="U24" i="477" s="1"/>
  <c r="U128" i="389"/>
  <c r="S15" i="388"/>
  <c r="E153" i="303"/>
  <c r="C94" i="303"/>
  <c r="E94" i="303" s="1"/>
  <c r="Y92" i="477"/>
  <c r="U142" i="388"/>
  <c r="Y99" i="168"/>
  <c r="Y142" i="389"/>
  <c r="C153" i="303"/>
  <c r="U92" i="477"/>
  <c r="Y135" i="389"/>
  <c r="Y99" i="477"/>
  <c r="Y128" i="389"/>
  <c r="W24" i="168"/>
  <c r="Y142" i="388"/>
  <c r="S24" i="168"/>
  <c r="U99" i="477"/>
  <c r="W24" i="389"/>
  <c r="Y24" i="389" s="1"/>
  <c r="C77" i="303"/>
  <c r="U92" i="168"/>
  <c r="U135" i="388"/>
  <c r="W24" i="477"/>
  <c r="Y24" i="477" s="1"/>
  <c r="S15" i="389"/>
  <c r="J82" i="481"/>
  <c r="AE29" i="477"/>
  <c r="AE30" i="477" s="1"/>
  <c r="AA29" i="477"/>
  <c r="AA30" i="477" s="1"/>
  <c r="J81" i="481"/>
  <c r="K34" i="477"/>
  <c r="K43" i="477" s="1"/>
  <c r="Q15" i="477"/>
  <c r="Q16" i="477" s="1"/>
  <c r="Q17" i="477" s="1"/>
  <c r="Q19" i="477" s="1"/>
  <c r="O16" i="477"/>
  <c r="O17" i="477" s="1"/>
  <c r="O19" i="477" s="1"/>
  <c r="O27" i="477" s="1"/>
  <c r="O28" i="477" s="1"/>
  <c r="O29" i="477" s="1"/>
  <c r="O30" i="477" s="1"/>
  <c r="DQ44" i="477"/>
  <c r="DQ45" i="477" s="1"/>
  <c r="DS45" i="477" s="1"/>
  <c r="DS47" i="477" s="1"/>
  <c r="DS48" i="477" s="1"/>
  <c r="C78" i="477"/>
  <c r="C79" i="477" s="1"/>
  <c r="E48" i="477"/>
  <c r="E55" i="477"/>
  <c r="DI55" i="477"/>
  <c r="DI48" i="477"/>
  <c r="E79" i="477"/>
  <c r="E86" i="477"/>
  <c r="DK54" i="477"/>
  <c r="DK91" i="477"/>
  <c r="C47" i="477"/>
  <c r="M74" i="477"/>
  <c r="M75" i="477" s="1"/>
  <c r="M66" i="477"/>
  <c r="AC33" i="477"/>
  <c r="AC34" i="477" s="1"/>
  <c r="AC35" i="477" s="1"/>
  <c r="AC64" i="477"/>
  <c r="AC65" i="477" s="1"/>
  <c r="AC66" i="477" s="1"/>
  <c r="AG64" i="477"/>
  <c r="AG65" i="477" s="1"/>
  <c r="AG66" i="477" s="1"/>
  <c r="AG33" i="477"/>
  <c r="AG34" i="477" s="1"/>
  <c r="AG35" i="477" s="1"/>
  <c r="M35" i="477"/>
  <c r="M43" i="477"/>
  <c r="M44" i="477" s="1"/>
  <c r="K74" i="477"/>
  <c r="K66" i="477"/>
  <c r="AK15" i="477"/>
  <c r="AM15" i="477" s="1"/>
  <c r="AO15" i="477" s="1"/>
  <c r="AO99" i="477"/>
  <c r="AK99" i="477"/>
  <c r="AM24" i="477"/>
  <c r="AO24" i="477" s="1"/>
  <c r="AI24" i="477"/>
  <c r="AK24" i="477" s="1"/>
  <c r="AO92" i="477"/>
  <c r="AK92" i="477"/>
  <c r="AI28" i="477"/>
  <c r="AI29" i="477" s="1"/>
  <c r="AI30" i="477" s="1"/>
  <c r="AM28" i="477"/>
  <c r="AM29" i="477" s="1"/>
  <c r="AM30" i="477" s="1"/>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E14" i="363"/>
  <c r="K36" i="389"/>
  <c r="K43" i="389" s="1"/>
  <c r="P15" i="74"/>
  <c r="K11" i="184"/>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F24" i="176"/>
  <c r="M35" i="388"/>
  <c r="M94" i="388"/>
  <c r="K66" i="388"/>
  <c r="AK142" i="389"/>
  <c r="AK135" i="389"/>
  <c r="AO142" i="389"/>
  <c r="AO135" i="389"/>
  <c r="AO128" i="389"/>
  <c r="AM24" i="389"/>
  <c r="AO24" i="389" s="1"/>
  <c r="AK128" i="389"/>
  <c r="AI24" i="389"/>
  <c r="AK24" i="389" s="1"/>
  <c r="AI15" i="389"/>
  <c r="M94" i="389"/>
  <c r="M43" i="389"/>
  <c r="K74" i="389"/>
  <c r="M74" i="389"/>
  <c r="AC64" i="389"/>
  <c r="AC65" i="389" s="1"/>
  <c r="AC66" i="389" s="1"/>
  <c r="AC33" i="389"/>
  <c r="AC34" i="389" s="1"/>
  <c r="AC35" i="389" s="1"/>
  <c r="AG64" i="389"/>
  <c r="AG65" i="389" s="1"/>
  <c r="AG66" i="389" s="1"/>
  <c r="AG33" i="389"/>
  <c r="AG34" i="389" s="1"/>
  <c r="AG35" i="389" s="1"/>
  <c r="D8" i="442"/>
  <c r="D24" i="430"/>
  <c r="F45" i="441"/>
  <c r="C8" i="442"/>
  <c r="EC34" i="168"/>
  <c r="EC35" i="168" s="1"/>
  <c r="EC36" i="168"/>
  <c r="C150" i="383"/>
  <c r="E74" i="383"/>
  <c r="C74" i="383"/>
  <c r="E150" i="383"/>
  <c r="G94" i="388"/>
  <c r="G95" i="388" s="1"/>
  <c r="G96" i="388" s="1"/>
  <c r="J25" i="167"/>
  <c r="D43" i="444"/>
  <c r="H45" i="441"/>
  <c r="D10" i="442" s="1"/>
  <c r="I25" i="167"/>
  <c r="D20" i="451"/>
  <c r="D34" i="444"/>
  <c r="D32" i="451"/>
  <c r="D37" i="444"/>
  <c r="D24" i="451"/>
  <c r="D35" i="444"/>
  <c r="D28" i="451"/>
  <c r="D36" i="444"/>
  <c r="E14" i="361"/>
  <c r="D12" i="409"/>
  <c r="E12" i="409" s="1"/>
  <c r="D45" i="408"/>
  <c r="D10" i="407"/>
  <c r="H45" i="422"/>
  <c r="D10" i="426" s="1"/>
  <c r="D20" i="430"/>
  <c r="D8" i="426"/>
  <c r="D43" i="424"/>
  <c r="E8" i="407"/>
  <c r="K43" i="422"/>
  <c r="D37" i="424"/>
  <c r="E10" i="384"/>
  <c r="C16" i="363"/>
  <c r="E16" i="363" s="1"/>
  <c r="E12" i="372"/>
  <c r="D14" i="372"/>
  <c r="E14" i="372" s="1"/>
  <c r="F6" i="176"/>
  <c r="AC15" i="388"/>
  <c r="AA16" i="388"/>
  <c r="AA17" i="388" s="1"/>
  <c r="AA19" i="388" s="1"/>
  <c r="AA27" i="388" s="1"/>
  <c r="AA28" i="388" s="1"/>
  <c r="AC15" i="168"/>
  <c r="AA16" i="168"/>
  <c r="AC64" i="388"/>
  <c r="AC65" i="388" s="1"/>
  <c r="AC66" i="388" s="1"/>
  <c r="AC33" i="388"/>
  <c r="AC34" i="388" s="1"/>
  <c r="AC35" i="388" s="1"/>
  <c r="C109" i="327"/>
  <c r="E109" i="327" s="1"/>
  <c r="AG24" i="168"/>
  <c r="C16" i="322"/>
  <c r="C68" i="411"/>
  <c r="E68" i="411"/>
  <c r="E144" i="411"/>
  <c r="C144" i="411"/>
  <c r="C12" i="417"/>
  <c r="D15" i="408"/>
  <c r="D10" i="416"/>
  <c r="J50" i="184"/>
  <c r="C13" i="380" s="1"/>
  <c r="J51" i="184"/>
  <c r="C14" i="380" s="1"/>
  <c r="K37" i="184"/>
  <c r="C23" i="417" s="1"/>
  <c r="D49" i="408"/>
  <c r="F48" i="410"/>
  <c r="C10" i="407"/>
  <c r="F45" i="422"/>
  <c r="C8" i="426"/>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34" i="388" s="1"/>
  <c r="AG35" i="388" s="1"/>
  <c r="AG64" i="388"/>
  <c r="AG65" i="388" s="1"/>
  <c r="AG66" i="388" s="1"/>
  <c r="D14" i="409"/>
  <c r="H35" i="184"/>
  <c r="C21" i="314"/>
  <c r="O67" i="388"/>
  <c r="O65" i="388"/>
  <c r="O66" i="388" s="1"/>
  <c r="C35" i="291"/>
  <c r="K28" i="168"/>
  <c r="C104" i="291"/>
  <c r="E104" i="291" s="1"/>
  <c r="O19" i="168"/>
  <c r="G27" i="168"/>
  <c r="C29" i="168"/>
  <c r="O36" i="388"/>
  <c r="O34" i="388"/>
  <c r="O35" i="388" s="1"/>
  <c r="E44" i="291"/>
  <c r="AA29" i="388" l="1"/>
  <c r="AA30" i="388" s="1"/>
  <c r="E150" i="411"/>
  <c r="P16" i="74"/>
  <c r="U33" i="388"/>
  <c r="U34" i="388" s="1"/>
  <c r="U33" i="477"/>
  <c r="U64" i="477"/>
  <c r="U15" i="389"/>
  <c r="S16" i="389"/>
  <c r="S17" i="389" s="1"/>
  <c r="S19" i="389" s="1"/>
  <c r="S27" i="389" s="1"/>
  <c r="S28" i="389" s="1"/>
  <c r="S29" i="389" s="1"/>
  <c r="S30" i="389" s="1"/>
  <c r="C33" i="303"/>
  <c r="E33" i="303" s="1"/>
  <c r="U24" i="168"/>
  <c r="Y33" i="477"/>
  <c r="Y64" i="477"/>
  <c r="C109" i="303"/>
  <c r="E109" i="303" s="1"/>
  <c r="Y24" i="168"/>
  <c r="U15" i="168"/>
  <c r="S16" i="168"/>
  <c r="Y64" i="388"/>
  <c r="Y33" i="388"/>
  <c r="Y64" i="389"/>
  <c r="Y33" i="389"/>
  <c r="S16" i="388"/>
  <c r="S17" i="388" s="1"/>
  <c r="S19" i="388" s="1"/>
  <c r="S27" i="388" s="1"/>
  <c r="S28" i="388" s="1"/>
  <c r="S29" i="388" s="1"/>
  <c r="S30" i="388" s="1"/>
  <c r="U15" i="388"/>
  <c r="U33" i="389"/>
  <c r="U64" i="389"/>
  <c r="W64" i="477"/>
  <c r="W33" i="477"/>
  <c r="S33" i="477"/>
  <c r="S64" i="477"/>
  <c r="J81" i="489"/>
  <c r="J82" i="489"/>
  <c r="J82" i="490"/>
  <c r="AA64" i="477"/>
  <c r="AA65" i="477" s="1"/>
  <c r="AA66" i="477" s="1"/>
  <c r="AA33" i="477"/>
  <c r="AA34" i="477" s="1"/>
  <c r="AA35" i="477" s="1"/>
  <c r="AE33" i="477"/>
  <c r="AE34" i="477" s="1"/>
  <c r="AE35" i="477" s="1"/>
  <c r="AE64" i="477"/>
  <c r="AE65" i="477" s="1"/>
  <c r="AE66" i="477" s="1"/>
  <c r="K35" i="477"/>
  <c r="O64" i="477"/>
  <c r="O33" i="477"/>
  <c r="C86" i="477"/>
  <c r="DS55" i="477"/>
  <c r="DQ47" i="477"/>
  <c r="DQ48" i="477" s="1"/>
  <c r="C55" i="477"/>
  <c r="C48" i="477"/>
  <c r="E98" i="477"/>
  <c r="E85" i="477"/>
  <c r="C98" i="477"/>
  <c r="C82" i="477" s="1"/>
  <c r="C83" i="477"/>
  <c r="DI91" i="477"/>
  <c r="DI51" i="477" s="1"/>
  <c r="DI52" i="477"/>
  <c r="E91" i="477"/>
  <c r="E54" i="477"/>
  <c r="EA48" i="477"/>
  <c r="EA55" i="477"/>
  <c r="AI64" i="477"/>
  <c r="AI65" i="477" s="1"/>
  <c r="AI66" i="477" s="1"/>
  <c r="AI33" i="477"/>
  <c r="AI34" i="477" s="1"/>
  <c r="AI35" i="477" s="1"/>
  <c r="K44" i="477"/>
  <c r="K45" i="477" s="1"/>
  <c r="M45" i="477" s="1"/>
  <c r="M47" i="477" s="1"/>
  <c r="K92" i="477"/>
  <c r="AC67" i="477"/>
  <c r="DY47" i="477"/>
  <c r="AC36" i="477"/>
  <c r="AK64" i="477"/>
  <c r="AK65" i="477" s="1"/>
  <c r="AK66" i="477" s="1"/>
  <c r="AK33" i="477"/>
  <c r="AK34" i="477" s="1"/>
  <c r="AK35" i="477" s="1"/>
  <c r="AO33" i="477"/>
  <c r="AO34" i="477" s="1"/>
  <c r="AO35" i="477" s="1"/>
  <c r="AO64" i="477"/>
  <c r="AO65" i="477" s="1"/>
  <c r="AO66" i="477" s="1"/>
  <c r="K109" i="477"/>
  <c r="K118" i="477" s="1"/>
  <c r="AG36" i="477"/>
  <c r="K99" i="477"/>
  <c r="K75" i="477"/>
  <c r="K76" i="477" s="1"/>
  <c r="M76" i="477" s="1"/>
  <c r="M78" i="477" s="1"/>
  <c r="K110" i="477"/>
  <c r="AG67" i="477"/>
  <c r="AS15" i="477"/>
  <c r="AU15" i="477" s="1"/>
  <c r="AW15" i="477" s="1"/>
  <c r="AM64" i="477"/>
  <c r="AM65" i="477" s="1"/>
  <c r="AM66" i="477" s="1"/>
  <c r="AM33" i="477"/>
  <c r="AM34" i="477" s="1"/>
  <c r="AM35" i="477" s="1"/>
  <c r="DS91" i="477"/>
  <c r="DS54" i="477"/>
  <c r="J51" i="422"/>
  <c r="C17" i="423" s="1"/>
  <c r="K43" i="388"/>
  <c r="K128" i="388" s="1"/>
  <c r="K24" i="458"/>
  <c r="M24" i="458" s="1"/>
  <c r="O24" i="458" s="1"/>
  <c r="Q24" i="458" s="1"/>
  <c r="S24" i="458" s="1"/>
  <c r="G24" i="391"/>
  <c r="I24" i="391" s="1"/>
  <c r="K24" i="391" s="1"/>
  <c r="M24" i="391" s="1"/>
  <c r="O24" i="391" s="1"/>
  <c r="Q24" i="391" s="1"/>
  <c r="D25" i="391"/>
  <c r="E25" i="391"/>
  <c r="K94" i="388"/>
  <c r="K142" i="388" s="1"/>
  <c r="K94" i="389"/>
  <c r="K142" i="389" s="1"/>
  <c r="C74" i="411"/>
  <c r="E74" i="411"/>
  <c r="C150" i="411"/>
  <c r="AA64" i="389"/>
  <c r="AA65" i="389" s="1"/>
  <c r="AA66" i="389" s="1"/>
  <c r="Q15" i="74"/>
  <c r="L11" i="184"/>
  <c r="L12" i="184" s="1"/>
  <c r="R15" i="74"/>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S22" i="458"/>
  <c r="J24" i="458"/>
  <c r="L24" i="458" s="1"/>
  <c r="N24" i="458" s="1"/>
  <c r="P24" i="458" s="1"/>
  <c r="R24" i="458" s="1"/>
  <c r="H24" i="391"/>
  <c r="J24" i="391" s="1"/>
  <c r="L24" i="391" s="1"/>
  <c r="N24" i="391" s="1"/>
  <c r="P24" i="391" s="1"/>
  <c r="E25" i="458"/>
  <c r="H25" i="458"/>
  <c r="F25" i="391" s="1"/>
  <c r="I25" i="458"/>
  <c r="G25" i="458"/>
  <c r="B26" i="458"/>
  <c r="F25" i="458"/>
  <c r="D25" i="458"/>
  <c r="B26" i="391"/>
  <c r="G24" i="176"/>
  <c r="E10" i="407"/>
  <c r="E8" i="442"/>
  <c r="AA36" i="389"/>
  <c r="AG36" i="389"/>
  <c r="AK64" i="389"/>
  <c r="AK65" i="389" s="1"/>
  <c r="AK66" i="389" s="1"/>
  <c r="AK33" i="389"/>
  <c r="AK34" i="389" s="1"/>
  <c r="AK35" i="389" s="1"/>
  <c r="AC36" i="389"/>
  <c r="AO64" i="389"/>
  <c r="AO65" i="389" s="1"/>
  <c r="AO66" i="389" s="1"/>
  <c r="AO33" i="389"/>
  <c r="AO34" i="389" s="1"/>
  <c r="AO35" i="389" s="1"/>
  <c r="AG67" i="389"/>
  <c r="AC67" i="389"/>
  <c r="K128" i="389"/>
  <c r="K135" i="389"/>
  <c r="F48" i="441"/>
  <c r="C10" i="442"/>
  <c r="E10" i="442" s="1"/>
  <c r="K45" i="441"/>
  <c r="K48" i="441" s="1"/>
  <c r="D12" i="443"/>
  <c r="E12" i="443" s="1"/>
  <c r="G142" i="388"/>
  <c r="K45" i="422"/>
  <c r="K48" i="422" s="1"/>
  <c r="H48" i="441"/>
  <c r="D45" i="444"/>
  <c r="D45" i="424"/>
  <c r="D12" i="423"/>
  <c r="E12" i="423" s="1"/>
  <c r="E68" i="447"/>
  <c r="D10" i="452"/>
  <c r="C12" i="453"/>
  <c r="D15" i="444"/>
  <c r="C68" i="447"/>
  <c r="C144" i="447"/>
  <c r="E144" i="447"/>
  <c r="D16" i="409"/>
  <c r="E8" i="426"/>
  <c r="H48" i="422"/>
  <c r="D16" i="372"/>
  <c r="E16" i="372" s="1"/>
  <c r="G6" i="176"/>
  <c r="C27" i="327"/>
  <c r="E27" i="327" s="1"/>
  <c r="AA17"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AG67" i="388"/>
  <c r="AK33" i="388"/>
  <c r="AK64" i="388"/>
  <c r="AO24" i="168"/>
  <c r="C109" i="383"/>
  <c r="E109" i="383" s="1"/>
  <c r="F48" i="422"/>
  <c r="C10" i="426"/>
  <c r="E10" i="426" s="1"/>
  <c r="AC67" i="388"/>
  <c r="U65" i="388"/>
  <c r="U67" i="388"/>
  <c r="AG36" i="388"/>
  <c r="C33" i="383"/>
  <c r="E33" i="383" s="1"/>
  <c r="AK24" i="168"/>
  <c r="C16" i="380"/>
  <c r="AG33" i="168"/>
  <c r="AG34" i="168" s="1"/>
  <c r="AG35" i="168" s="1"/>
  <c r="AG64" i="168"/>
  <c r="AG65" i="168" s="1"/>
  <c r="AG66" i="168" s="1"/>
  <c r="AC33" i="168"/>
  <c r="AC34" i="168" s="1"/>
  <c r="AC35" i="168" s="1"/>
  <c r="AC64" i="168"/>
  <c r="AC65" i="168" s="1"/>
  <c r="AC66" i="168" s="1"/>
  <c r="E144" i="425"/>
  <c r="C68" i="425"/>
  <c r="C144" i="425"/>
  <c r="C12" i="432"/>
  <c r="D15" i="424"/>
  <c r="D10" i="431"/>
  <c r="E68" i="425"/>
  <c r="E14" i="409"/>
  <c r="C16" i="409"/>
  <c r="C21" i="322"/>
  <c r="I35" i="184"/>
  <c r="AO33" i="388"/>
  <c r="AO64" i="388"/>
  <c r="K50" i="184"/>
  <c r="C13" i="417" s="1"/>
  <c r="AC36" i="388"/>
  <c r="G28" i="168"/>
  <c r="I96" i="388"/>
  <c r="I98" i="388" s="1"/>
  <c r="I99" i="388" s="1"/>
  <c r="G98" i="388"/>
  <c r="G99" i="388" s="1"/>
  <c r="O27" i="168"/>
  <c r="C105" i="291"/>
  <c r="E105" i="291" s="1"/>
  <c r="K29" i="168"/>
  <c r="C36" i="291"/>
  <c r="C30" i="168"/>
  <c r="AA64" i="388" l="1"/>
  <c r="AA33" i="388"/>
  <c r="AA34" i="388" s="1"/>
  <c r="AA35" i="388" s="1"/>
  <c r="U36" i="388"/>
  <c r="U43" i="388" s="1"/>
  <c r="C150" i="425"/>
  <c r="Q16" i="74"/>
  <c r="C74" i="447"/>
  <c r="R16" i="74"/>
  <c r="E75" i="411"/>
  <c r="E151" i="411"/>
  <c r="C75" i="411"/>
  <c r="C151" i="411"/>
  <c r="P17" i="74"/>
  <c r="S65" i="477"/>
  <c r="S67" i="477"/>
  <c r="S36" i="477"/>
  <c r="S34" i="477"/>
  <c r="Y36" i="477"/>
  <c r="Y34" i="477"/>
  <c r="Y35" i="477" s="1"/>
  <c r="W36" i="477"/>
  <c r="W34" i="477"/>
  <c r="W35" i="477" s="1"/>
  <c r="Y34" i="388"/>
  <c r="Y35" i="388" s="1"/>
  <c r="Y36" i="388"/>
  <c r="U64" i="168"/>
  <c r="U33" i="168"/>
  <c r="Y34" i="389"/>
  <c r="Y35" i="389" s="1"/>
  <c r="Y36" i="389"/>
  <c r="Y65" i="389"/>
  <c r="Y66" i="389" s="1"/>
  <c r="Y67" i="389"/>
  <c r="W67" i="477"/>
  <c r="W65" i="477"/>
  <c r="W66" i="477" s="1"/>
  <c r="Y65" i="388"/>
  <c r="Y66" i="388" s="1"/>
  <c r="Y67" i="388"/>
  <c r="Y67" i="477"/>
  <c r="Y65" i="477"/>
  <c r="Y66" i="477" s="1"/>
  <c r="U65" i="389"/>
  <c r="U67" i="389"/>
  <c r="C27" i="303"/>
  <c r="E27" i="303" s="1"/>
  <c r="S17" i="168"/>
  <c r="S64" i="389"/>
  <c r="S33" i="389"/>
  <c r="U34" i="389"/>
  <c r="U36" i="389"/>
  <c r="W15" i="168"/>
  <c r="U16" i="168"/>
  <c r="U17" i="168" s="1"/>
  <c r="U19" i="168" s="1"/>
  <c r="W15" i="389"/>
  <c r="U16" i="389"/>
  <c r="U17" i="389" s="1"/>
  <c r="U19" i="389" s="1"/>
  <c r="W15" i="388"/>
  <c r="U16" i="388"/>
  <c r="U17" i="388" s="1"/>
  <c r="U19" i="388" s="1"/>
  <c r="Y33" i="168"/>
  <c r="Y64" i="168"/>
  <c r="U65" i="477"/>
  <c r="U67" i="477"/>
  <c r="S33" i="388"/>
  <c r="S64" i="388"/>
  <c r="U36" i="477"/>
  <c r="U34" i="477"/>
  <c r="AE36" i="477"/>
  <c r="AA67" i="477"/>
  <c r="AA74" i="477" s="1"/>
  <c r="AA36" i="477"/>
  <c r="AA43" i="477" s="1"/>
  <c r="AE67" i="477"/>
  <c r="DQ55" i="477"/>
  <c r="O36" i="477"/>
  <c r="O34" i="477"/>
  <c r="O35" i="477" s="1"/>
  <c r="O67" i="477"/>
  <c r="O65" i="477"/>
  <c r="O66" i="477" s="1"/>
  <c r="DI54" i="477"/>
  <c r="C85" i="477"/>
  <c r="C91" i="477"/>
  <c r="C51" i="477" s="1"/>
  <c r="C52" i="477"/>
  <c r="K47" i="477"/>
  <c r="K48" i="477" s="1"/>
  <c r="AM36" i="477"/>
  <c r="DQ91" i="477"/>
  <c r="DQ51" i="477" s="1"/>
  <c r="DQ52" i="477"/>
  <c r="AM67" i="477"/>
  <c r="K78" i="477"/>
  <c r="BA15" i="477"/>
  <c r="BC15" i="477" s="1"/>
  <c r="BE15" i="477" s="1"/>
  <c r="K111" i="477"/>
  <c r="K127" i="477"/>
  <c r="M79" i="477"/>
  <c r="M86" i="477"/>
  <c r="AK36" i="477"/>
  <c r="AC43" i="477"/>
  <c r="M48" i="477"/>
  <c r="M55" i="477"/>
  <c r="AK67" i="477"/>
  <c r="AI36" i="477"/>
  <c r="BI15" i="477"/>
  <c r="BK15" i="477" s="1"/>
  <c r="BM15" i="477" s="1"/>
  <c r="AO67" i="477"/>
  <c r="AI67" i="477"/>
  <c r="AO36" i="477"/>
  <c r="DY55" i="477"/>
  <c r="DY48" i="477"/>
  <c r="AC74" i="477"/>
  <c r="EA54" i="477"/>
  <c r="EA91" i="477"/>
  <c r="K25" i="458"/>
  <c r="M25" i="458" s="1"/>
  <c r="O25" i="458" s="1"/>
  <c r="Q25" i="458" s="1"/>
  <c r="S25" i="458" s="1"/>
  <c r="G25" i="391"/>
  <c r="I25" i="391" s="1"/>
  <c r="K25" i="391" s="1"/>
  <c r="M25" i="391" s="1"/>
  <c r="O25" i="391" s="1"/>
  <c r="Q25" i="391" s="1"/>
  <c r="D26" i="391"/>
  <c r="E26" i="391"/>
  <c r="K149" i="388"/>
  <c r="D14" i="443"/>
  <c r="D16" i="443" s="1"/>
  <c r="K149" i="389"/>
  <c r="AA67" i="389"/>
  <c r="AA74" i="389" s="1"/>
  <c r="E150" i="447"/>
  <c r="E150" i="425"/>
  <c r="C74" i="425"/>
  <c r="E74" i="425"/>
  <c r="E74" i="447"/>
  <c r="C150" i="447"/>
  <c r="AI64" i="389"/>
  <c r="AI65" i="389" s="1"/>
  <c r="AI66" i="389" s="1"/>
  <c r="M14" i="184"/>
  <c r="M20" i="184"/>
  <c r="AG15" i="389"/>
  <c r="AG16" i="389" s="1"/>
  <c r="AG17" i="389" s="1"/>
  <c r="AG19" i="389" s="1"/>
  <c r="AE16" i="389"/>
  <c r="AE17" i="389" s="1"/>
  <c r="AE19" i="389" s="1"/>
  <c r="AE27" i="389" s="1"/>
  <c r="AE28" i="389" s="1"/>
  <c r="AE29" i="389" s="1"/>
  <c r="AE30" i="389" s="1"/>
  <c r="AM15" i="389"/>
  <c r="AK16" i="389"/>
  <c r="AK17" i="389" s="1"/>
  <c r="AK19"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I6" i="176"/>
  <c r="AI36" i="389"/>
  <c r="AK67" i="389"/>
  <c r="AA94" i="389"/>
  <c r="AA43" i="389"/>
  <c r="AO36" i="389"/>
  <c r="AC74" i="389"/>
  <c r="AO67" i="389"/>
  <c r="AC43" i="389"/>
  <c r="AC94" i="389"/>
  <c r="AK36" i="389"/>
  <c r="D14" i="423"/>
  <c r="D16" i="423" s="1"/>
  <c r="M37" i="184"/>
  <c r="D49" i="444"/>
  <c r="M51" i="184"/>
  <c r="C14" i="453" s="1"/>
  <c r="M50" i="184"/>
  <c r="C13" i="453" s="1"/>
  <c r="L37" i="184"/>
  <c r="C23" i="432" s="1"/>
  <c r="E16" i="409"/>
  <c r="D49" i="424"/>
  <c r="H6" i="176"/>
  <c r="AI64" i="388"/>
  <c r="AI67" i="388" s="1"/>
  <c r="AM15" i="388"/>
  <c r="AK16" i="388"/>
  <c r="AK17" i="388" s="1"/>
  <c r="AK19" i="388" s="1"/>
  <c r="C27" i="383"/>
  <c r="E27" i="383" s="1"/>
  <c r="AI17" i="168"/>
  <c r="AG15" i="388"/>
  <c r="AG16" i="388" s="1"/>
  <c r="AG17" i="388" s="1"/>
  <c r="AG19" i="388" s="1"/>
  <c r="AE16" i="388"/>
  <c r="AE17" i="388" s="1"/>
  <c r="AE19" i="388" s="1"/>
  <c r="AE27" i="388" s="1"/>
  <c r="AE28" i="388" s="1"/>
  <c r="AE16" i="168"/>
  <c r="AG15" i="168"/>
  <c r="AG16" i="168" s="1"/>
  <c r="AG17" i="168" s="1"/>
  <c r="AG19" i="168" s="1"/>
  <c r="AM15" i="168"/>
  <c r="AK16" i="168"/>
  <c r="AK17" i="168" s="1"/>
  <c r="AK19" i="168" s="1"/>
  <c r="C28" i="327"/>
  <c r="E28" i="327" s="1"/>
  <c r="AA19" i="168"/>
  <c r="L50" i="184"/>
  <c r="C13" i="432" s="1"/>
  <c r="L51" i="184"/>
  <c r="C14" i="432" s="1"/>
  <c r="E39" i="327"/>
  <c r="AC67" i="168"/>
  <c r="U66" i="388"/>
  <c r="U74" i="388"/>
  <c r="AI36" i="388"/>
  <c r="AI34" i="388"/>
  <c r="U35" i="388"/>
  <c r="AC94" i="388"/>
  <c r="AC43" i="388"/>
  <c r="AC36" i="168"/>
  <c r="AO64" i="168"/>
  <c r="AO65" i="168" s="1"/>
  <c r="AO66" i="168" s="1"/>
  <c r="AO33" i="168"/>
  <c r="AO34" i="168" s="1"/>
  <c r="AO35" i="168" s="1"/>
  <c r="AO65" i="388"/>
  <c r="AO66" i="388" s="1"/>
  <c r="AO67" i="388"/>
  <c r="AG67" i="168"/>
  <c r="E115" i="327"/>
  <c r="AC74" i="388"/>
  <c r="AK67" i="388"/>
  <c r="AK65" i="388"/>
  <c r="AO34" i="388"/>
  <c r="AO35" i="388" s="1"/>
  <c r="AO36" i="388"/>
  <c r="AG36" i="168"/>
  <c r="C21" i="380"/>
  <c r="J35" i="184"/>
  <c r="AK33" i="168"/>
  <c r="AK34" i="168" s="1"/>
  <c r="AK35" i="168" s="1"/>
  <c r="AK64" i="168"/>
  <c r="AK65" i="168" s="1"/>
  <c r="AK66" i="168" s="1"/>
  <c r="AK36" i="388"/>
  <c r="AK34" i="388"/>
  <c r="C37" i="291"/>
  <c r="K30" i="168"/>
  <c r="C111" i="291"/>
  <c r="O28" i="168"/>
  <c r="G29" i="168"/>
  <c r="I141" i="388"/>
  <c r="I105" i="388"/>
  <c r="C64" i="168"/>
  <c r="C33" i="168"/>
  <c r="G141" i="388"/>
  <c r="G102" i="388" s="1"/>
  <c r="G103" i="388"/>
  <c r="AA36" i="388" l="1"/>
  <c r="AA94" i="388" s="1"/>
  <c r="AA142" i="388" s="1"/>
  <c r="AE29" i="388"/>
  <c r="AE30" i="388" s="1"/>
  <c r="AA65" i="388"/>
  <c r="AA67" i="388"/>
  <c r="U94" i="388"/>
  <c r="E151" i="447"/>
  <c r="E75" i="447"/>
  <c r="C75" i="447"/>
  <c r="C151" i="447"/>
  <c r="R17" i="74"/>
  <c r="AW92" i="477"/>
  <c r="AS128" i="389"/>
  <c r="AQ24" i="168"/>
  <c r="AS99" i="168"/>
  <c r="AS142" i="388"/>
  <c r="AW99" i="477"/>
  <c r="AW135" i="389"/>
  <c r="AQ15" i="388"/>
  <c r="AS135" i="388"/>
  <c r="E77" i="411"/>
  <c r="C153" i="411"/>
  <c r="AU24" i="477"/>
  <c r="AW24" i="477" s="1"/>
  <c r="AU24" i="168"/>
  <c r="AS92" i="477"/>
  <c r="AQ24" i="389"/>
  <c r="AS24" i="389" s="1"/>
  <c r="AS128" i="388"/>
  <c r="C18" i="411"/>
  <c r="E18" i="411" s="1"/>
  <c r="AW128" i="388"/>
  <c r="AQ15" i="389"/>
  <c r="AW99" i="168"/>
  <c r="AW128" i="389"/>
  <c r="C77" i="411"/>
  <c r="AW142" i="388"/>
  <c r="AU24" i="389"/>
  <c r="AW24" i="389" s="1"/>
  <c r="AQ24" i="388"/>
  <c r="AS24" i="388" s="1"/>
  <c r="AW92" i="168"/>
  <c r="E153" i="411"/>
  <c r="AQ28" i="477"/>
  <c r="AQ29" i="477" s="1"/>
  <c r="AQ30" i="477" s="1"/>
  <c r="AU24" i="388"/>
  <c r="AW24" i="388" s="1"/>
  <c r="AS142" i="389"/>
  <c r="AS99" i="477"/>
  <c r="AU28" i="477"/>
  <c r="AU29" i="477" s="1"/>
  <c r="AU30" i="477" s="1"/>
  <c r="AW142" i="389"/>
  <c r="AQ24" i="477"/>
  <c r="AS24" i="477" s="1"/>
  <c r="AS135" i="389"/>
  <c r="AS92" i="168"/>
  <c r="AQ15" i="168"/>
  <c r="C94" i="411"/>
  <c r="E94" i="411" s="1"/>
  <c r="AW135" i="388"/>
  <c r="E75" i="425"/>
  <c r="C151" i="425"/>
  <c r="E151" i="425"/>
  <c r="C75" i="425"/>
  <c r="Q17" i="74"/>
  <c r="U66" i="477"/>
  <c r="U74" i="477"/>
  <c r="Y15" i="168"/>
  <c r="Y16" i="168" s="1"/>
  <c r="Y17" i="168" s="1"/>
  <c r="Y19" i="168" s="1"/>
  <c r="W16" i="168"/>
  <c r="U66" i="389"/>
  <c r="U74" i="389"/>
  <c r="Y65" i="168"/>
  <c r="E115" i="303"/>
  <c r="Y67" i="168"/>
  <c r="Y34" i="168"/>
  <c r="Y35" i="168" s="1"/>
  <c r="Y36" i="168"/>
  <c r="U35" i="389"/>
  <c r="U94" i="389"/>
  <c r="U43" i="389"/>
  <c r="U35" i="477"/>
  <c r="U43" i="477"/>
  <c r="S34" i="389"/>
  <c r="S36" i="389"/>
  <c r="U36" i="168"/>
  <c r="U34" i="168"/>
  <c r="S35" i="477"/>
  <c r="S43" i="477"/>
  <c r="S92" i="477" s="1"/>
  <c r="W16" i="388"/>
  <c r="W17" i="388" s="1"/>
  <c r="W19" i="388" s="1"/>
  <c r="W27" i="388" s="1"/>
  <c r="W28" i="388" s="1"/>
  <c r="W29" i="388" s="1"/>
  <c r="W30" i="388" s="1"/>
  <c r="Y15" i="388"/>
  <c r="Y16" i="388" s="1"/>
  <c r="Y17" i="388" s="1"/>
  <c r="Y19" i="388" s="1"/>
  <c r="S65" i="389"/>
  <c r="S67" i="389"/>
  <c r="U65" i="168"/>
  <c r="U67" i="168"/>
  <c r="E39" i="303"/>
  <c r="S67" i="388"/>
  <c r="S65" i="388"/>
  <c r="C28" i="303"/>
  <c r="E28" i="303" s="1"/>
  <c r="S19" i="168"/>
  <c r="S36" i="388"/>
  <c r="S34" i="388"/>
  <c r="Y15" i="389"/>
  <c r="Y16" i="389" s="1"/>
  <c r="Y17" i="389" s="1"/>
  <c r="Y19" i="389" s="1"/>
  <c r="W16" i="389"/>
  <c r="W17" i="389" s="1"/>
  <c r="W19" i="389" s="1"/>
  <c r="W27" i="389" s="1"/>
  <c r="W28" i="389" s="1"/>
  <c r="W29" i="389" s="1"/>
  <c r="W30" i="389" s="1"/>
  <c r="S66" i="477"/>
  <c r="S74" i="477"/>
  <c r="S99" i="477" s="1"/>
  <c r="C54" i="477"/>
  <c r="K55" i="477"/>
  <c r="AA92" i="477"/>
  <c r="M91" i="477"/>
  <c r="M54" i="477"/>
  <c r="AI74" i="477"/>
  <c r="K91" i="477"/>
  <c r="K51" i="477" s="1"/>
  <c r="K52" i="477"/>
  <c r="AA99" i="477"/>
  <c r="DY91" i="477"/>
  <c r="DY51" i="477" s="1"/>
  <c r="DY52" i="477"/>
  <c r="AI43" i="477"/>
  <c r="AK43" i="477"/>
  <c r="DQ54" i="477"/>
  <c r="K112" i="477"/>
  <c r="K113" i="477"/>
  <c r="K79" i="477"/>
  <c r="K86" i="477"/>
  <c r="AK74" i="477"/>
  <c r="M85" i="477"/>
  <c r="M98" i="477"/>
  <c r="E27" i="391"/>
  <c r="D27" i="391"/>
  <c r="K26" i="458"/>
  <c r="M26" i="458" s="1"/>
  <c r="O26" i="458" s="1"/>
  <c r="Q26" i="458" s="1"/>
  <c r="S26" i="458" s="1"/>
  <c r="G26" i="391"/>
  <c r="I26" i="391" s="1"/>
  <c r="K26" i="391" s="1"/>
  <c r="M26" i="391" s="1"/>
  <c r="O26" i="391" s="1"/>
  <c r="Q26" i="391" s="1"/>
  <c r="AI67" i="389"/>
  <c r="AI74" i="389" s="1"/>
  <c r="AO15" i="389"/>
  <c r="AO16" i="389" s="1"/>
  <c r="AO17" i="389" s="1"/>
  <c r="AO19" i="389" s="1"/>
  <c r="AM16" i="389"/>
  <c r="AM17" i="389" s="1"/>
  <c r="AM19" i="389" s="1"/>
  <c r="AM27" i="389" s="1"/>
  <c r="AM28" i="389" s="1"/>
  <c r="AM29" i="389" s="1"/>
  <c r="AM30" i="389" s="1"/>
  <c r="AE64" i="389"/>
  <c r="AE65" i="389" s="1"/>
  <c r="AE66" i="389" s="1"/>
  <c r="AE33" i="389"/>
  <c r="AE34" i="389" s="1"/>
  <c r="AE35" i="389" s="1"/>
  <c r="E27" i="458"/>
  <c r="B28" i="458"/>
  <c r="D27" i="458"/>
  <c r="G27" i="458"/>
  <c r="I27" i="458"/>
  <c r="F27" i="458"/>
  <c r="H27" i="458"/>
  <c r="F27" i="391" s="1"/>
  <c r="J26" i="458"/>
  <c r="L26" i="458" s="1"/>
  <c r="N26" i="458" s="1"/>
  <c r="P26" i="458" s="1"/>
  <c r="R26" i="458" s="1"/>
  <c r="H26" i="391"/>
  <c r="J26" i="391" s="1"/>
  <c r="L26" i="391" s="1"/>
  <c r="N26" i="391" s="1"/>
  <c r="P26" i="391" s="1"/>
  <c r="B28" i="391"/>
  <c r="H24" i="176"/>
  <c r="I24" i="176"/>
  <c r="E14" i="423"/>
  <c r="AA142" i="389"/>
  <c r="AK74" i="389"/>
  <c r="AI43" i="389"/>
  <c r="AI94" i="389"/>
  <c r="AK94" i="389"/>
  <c r="AK43" i="389"/>
  <c r="AA135" i="389"/>
  <c r="AA128" i="389"/>
  <c r="C16" i="423"/>
  <c r="E16" i="423" s="1"/>
  <c r="C16" i="443"/>
  <c r="E16" i="443" s="1"/>
  <c r="E14" i="443"/>
  <c r="C23" i="453"/>
  <c r="C16" i="453"/>
  <c r="AA43" i="388"/>
  <c r="AI65" i="388"/>
  <c r="AI74" i="388" s="1"/>
  <c r="AO15" i="168"/>
  <c r="AO16" i="168" s="1"/>
  <c r="AO17" i="168" s="1"/>
  <c r="AO19" i="168" s="1"/>
  <c r="AM16" i="168"/>
  <c r="C28" i="383"/>
  <c r="E28" i="383" s="1"/>
  <c r="AI19" i="168"/>
  <c r="AE17" i="168"/>
  <c r="C103" i="327"/>
  <c r="E103" i="327" s="1"/>
  <c r="AA27" i="168"/>
  <c r="C29" i="327"/>
  <c r="E29" i="327" s="1"/>
  <c r="AO15" i="388"/>
  <c r="AO16" i="388" s="1"/>
  <c r="AO17" i="388" s="1"/>
  <c r="AO19" i="388" s="1"/>
  <c r="AM16" i="388"/>
  <c r="AM17" i="388" s="1"/>
  <c r="AM19" i="388" s="1"/>
  <c r="AM27" i="388" s="1"/>
  <c r="AM28" i="388" s="1"/>
  <c r="AM29" i="388" s="1"/>
  <c r="AM30" i="388" s="1"/>
  <c r="E117" i="327"/>
  <c r="E116" i="327"/>
  <c r="AO67" i="168"/>
  <c r="E115" i="383"/>
  <c r="AI35" i="388"/>
  <c r="AI43" i="388"/>
  <c r="AI94" i="388"/>
  <c r="AI142" i="388" s="1"/>
  <c r="E39" i="383"/>
  <c r="AK67" i="168"/>
  <c r="K35" i="184"/>
  <c r="C21" i="417"/>
  <c r="AC43" i="168"/>
  <c r="AK43" i="388"/>
  <c r="AK35" i="388"/>
  <c r="AK94" i="388"/>
  <c r="AK36" i="168"/>
  <c r="AK66" i="388"/>
  <c r="AK74" i="388"/>
  <c r="AO36" i="168"/>
  <c r="AC74" i="168"/>
  <c r="E41" i="327"/>
  <c r="E40" i="327"/>
  <c r="G30" i="168"/>
  <c r="G105" i="388"/>
  <c r="C34" i="168"/>
  <c r="C36" i="168"/>
  <c r="O29" i="168"/>
  <c r="C112" i="291"/>
  <c r="K64" i="168"/>
  <c r="K33" i="168"/>
  <c r="C38" i="291"/>
  <c r="C65" i="168"/>
  <c r="C67" i="168"/>
  <c r="AE33" i="388" l="1"/>
  <c r="AE34" i="388" s="1"/>
  <c r="AE35" i="388" s="1"/>
  <c r="AE64" i="388"/>
  <c r="AE65" i="388" s="1"/>
  <c r="AE66" i="388" s="1"/>
  <c r="AA66" i="388"/>
  <c r="AA74" i="388"/>
  <c r="AA135" i="388" s="1"/>
  <c r="AQ16" i="389"/>
  <c r="AQ17" i="389" s="1"/>
  <c r="AQ19" i="389" s="1"/>
  <c r="AQ27" i="389" s="1"/>
  <c r="AQ28" i="389" s="1"/>
  <c r="AQ29" i="389" s="1"/>
  <c r="AQ30" i="389" s="1"/>
  <c r="AS15" i="389"/>
  <c r="AS24" i="168"/>
  <c r="C33" i="411"/>
  <c r="E33" i="411" s="1"/>
  <c r="AS64" i="477"/>
  <c r="AS65" i="477" s="1"/>
  <c r="AS66" i="477" s="1"/>
  <c r="AS33" i="477"/>
  <c r="AS34" i="477" s="1"/>
  <c r="AS35" i="477" s="1"/>
  <c r="AS64" i="388"/>
  <c r="AS33" i="388"/>
  <c r="AU33" i="477"/>
  <c r="AU34" i="477" s="1"/>
  <c r="AU35" i="477" s="1"/>
  <c r="AU64" i="477"/>
  <c r="AU65" i="477" s="1"/>
  <c r="AU66" i="477" s="1"/>
  <c r="AW33" i="389"/>
  <c r="AW64" i="389"/>
  <c r="AS15" i="388"/>
  <c r="AQ16" i="388"/>
  <c r="AQ17" i="388" s="1"/>
  <c r="AQ19" i="388" s="1"/>
  <c r="AQ27" i="388" s="1"/>
  <c r="AQ28" i="388" s="1"/>
  <c r="AQ29" i="388" s="1"/>
  <c r="AQ30" i="388" s="1"/>
  <c r="BI135" i="389"/>
  <c r="BK24" i="168"/>
  <c r="BM135" i="388"/>
  <c r="BM142" i="388"/>
  <c r="BI99" i="477"/>
  <c r="BI128" i="389"/>
  <c r="C77" i="447"/>
  <c r="BI142" i="388"/>
  <c r="BG24" i="168"/>
  <c r="BG24" i="477"/>
  <c r="BI24" i="477" s="1"/>
  <c r="BG24" i="389"/>
  <c r="BI24" i="389" s="1"/>
  <c r="C18" i="447"/>
  <c r="E18" i="447" s="1"/>
  <c r="BK24" i="388"/>
  <c r="BM24" i="388" s="1"/>
  <c r="BM92" i="477"/>
  <c r="BG15" i="389"/>
  <c r="BM92" i="168"/>
  <c r="BI128" i="388"/>
  <c r="BG28" i="477"/>
  <c r="BG29" i="477" s="1"/>
  <c r="BG30" i="477" s="1"/>
  <c r="BM135" i="389"/>
  <c r="BI142" i="389"/>
  <c r="E77" i="447"/>
  <c r="BM128" i="388"/>
  <c r="BM99" i="168"/>
  <c r="BI92" i="477"/>
  <c r="BK28" i="477"/>
  <c r="BK29" i="477" s="1"/>
  <c r="BK30" i="477" s="1"/>
  <c r="BM128" i="389"/>
  <c r="C153" i="447"/>
  <c r="BI135" i="388"/>
  <c r="BG15" i="168"/>
  <c r="BM99" i="477"/>
  <c r="BK24" i="389"/>
  <c r="BM24" i="389" s="1"/>
  <c r="E153" i="447"/>
  <c r="BI92" i="168"/>
  <c r="BG24" i="388"/>
  <c r="BI24" i="388" s="1"/>
  <c r="BK24" i="477"/>
  <c r="BM24" i="477" s="1"/>
  <c r="BM142" i="389"/>
  <c r="C94" i="447"/>
  <c r="E94" i="447" s="1"/>
  <c r="BI99" i="168"/>
  <c r="BG15" i="388"/>
  <c r="AS33" i="389"/>
  <c r="AS64" i="389"/>
  <c r="AQ16" i="168"/>
  <c r="AS15" i="168"/>
  <c r="AW64" i="388"/>
  <c r="AW33" i="388"/>
  <c r="C109" i="411"/>
  <c r="E109" i="411" s="1"/>
  <c r="AW24" i="168"/>
  <c r="AY24" i="389"/>
  <c r="BA24" i="389" s="1"/>
  <c r="C153" i="425"/>
  <c r="AY15" i="168"/>
  <c r="BE99" i="477"/>
  <c r="BE142" i="389"/>
  <c r="AY15" i="389"/>
  <c r="BA92" i="168"/>
  <c r="BC24" i="388"/>
  <c r="BE24" i="388" s="1"/>
  <c r="C18" i="425"/>
  <c r="E18" i="425" s="1"/>
  <c r="BE142" i="388"/>
  <c r="BA99" i="477"/>
  <c r="BA135" i="389"/>
  <c r="BE92" i="168"/>
  <c r="C94" i="425"/>
  <c r="E94" i="425" s="1"/>
  <c r="BC24" i="477"/>
  <c r="BE24" i="477" s="1"/>
  <c r="BA128" i="389"/>
  <c r="E77" i="425"/>
  <c r="BE128" i="388"/>
  <c r="BA135" i="388"/>
  <c r="AY24" i="477"/>
  <c r="BA24" i="477" s="1"/>
  <c r="BA142" i="389"/>
  <c r="BA142" i="388"/>
  <c r="BA99" i="168"/>
  <c r="C77" i="425"/>
  <c r="AY28" i="477"/>
  <c r="AY29" i="477" s="1"/>
  <c r="AY30" i="477" s="1"/>
  <c r="BE135" i="389"/>
  <c r="BC24" i="168"/>
  <c r="BA128" i="388"/>
  <c r="BE99" i="168"/>
  <c r="AY15" i="388"/>
  <c r="AY24" i="168"/>
  <c r="BE92" i="477"/>
  <c r="BC28" i="477"/>
  <c r="BC29" i="477" s="1"/>
  <c r="BC30" i="477" s="1"/>
  <c r="BE128" i="389"/>
  <c r="BE135" i="388"/>
  <c r="BA92" i="477"/>
  <c r="BC24" i="389"/>
  <c r="BE24" i="389" s="1"/>
  <c r="AY24" i="388"/>
  <c r="BA24" i="388" s="1"/>
  <c r="E153" i="425"/>
  <c r="AQ33" i="477"/>
  <c r="AQ34" i="477" s="1"/>
  <c r="AQ35" i="477" s="1"/>
  <c r="AQ64" i="477"/>
  <c r="AQ65" i="477" s="1"/>
  <c r="AQ66" i="477" s="1"/>
  <c r="AW64" i="477"/>
  <c r="AW65" i="477" s="1"/>
  <c r="AW66" i="477" s="1"/>
  <c r="AW33" i="477"/>
  <c r="AW34" i="477" s="1"/>
  <c r="AW35" i="477" s="1"/>
  <c r="S94" i="389"/>
  <c r="S142" i="389" s="1"/>
  <c r="S74" i="388"/>
  <c r="S135" i="388" s="1"/>
  <c r="S66" i="388"/>
  <c r="W64" i="388"/>
  <c r="W33" i="388"/>
  <c r="Y66" i="168"/>
  <c r="E117" i="303" s="1"/>
  <c r="E116" i="303"/>
  <c r="W33" i="389"/>
  <c r="W64" i="389"/>
  <c r="U43" i="168"/>
  <c r="U35" i="168"/>
  <c r="W17" i="168"/>
  <c r="C103" i="303"/>
  <c r="E103" i="303" s="1"/>
  <c r="S35" i="388"/>
  <c r="S94" i="388"/>
  <c r="S142" i="388" s="1"/>
  <c r="S43" i="388"/>
  <c r="S128" i="388" s="1"/>
  <c r="E40" i="303"/>
  <c r="U66" i="168"/>
  <c r="E41" i="303" s="1"/>
  <c r="U74" i="168"/>
  <c r="E44" i="303" s="1"/>
  <c r="S27" i="168"/>
  <c r="C29" i="303"/>
  <c r="E29" i="303" s="1"/>
  <c r="S66" i="389"/>
  <c r="S74" i="389"/>
  <c r="S135" i="389" s="1"/>
  <c r="S35" i="389"/>
  <c r="S43" i="389"/>
  <c r="S128" i="389" s="1"/>
  <c r="K114" i="477"/>
  <c r="K115" i="477" s="1"/>
  <c r="K126" i="477" s="1"/>
  <c r="K117" i="477" s="1"/>
  <c r="K120" i="477" s="1"/>
  <c r="K54" i="477"/>
  <c r="DY54" i="477"/>
  <c r="K98" i="477"/>
  <c r="K82" i="477" s="1"/>
  <c r="K83" i="477"/>
  <c r="AI99" i="477"/>
  <c r="AI92" i="477"/>
  <c r="E28" i="391"/>
  <c r="D28" i="391"/>
  <c r="K27" i="458"/>
  <c r="M27" i="458" s="1"/>
  <c r="O27" i="458" s="1"/>
  <c r="Q27" i="458" s="1"/>
  <c r="S27" i="458" s="1"/>
  <c r="G27" i="391"/>
  <c r="I27" i="391" s="1"/>
  <c r="K27" i="391" s="1"/>
  <c r="M27" i="391" s="1"/>
  <c r="O27" i="391" s="1"/>
  <c r="Q27" i="391" s="1"/>
  <c r="E44" i="327"/>
  <c r="AA128" i="388"/>
  <c r="AI128" i="388"/>
  <c r="AI135" i="388"/>
  <c r="AE36" i="389"/>
  <c r="AM64" i="389"/>
  <c r="AM65" i="389" s="1"/>
  <c r="AM66" i="389" s="1"/>
  <c r="AM33" i="389"/>
  <c r="AM34" i="389" s="1"/>
  <c r="AM35" i="389" s="1"/>
  <c r="AE67" i="389"/>
  <c r="J27" i="458"/>
  <c r="L27" i="458" s="1"/>
  <c r="N27" i="458" s="1"/>
  <c r="P27" i="458" s="1"/>
  <c r="R27" i="458" s="1"/>
  <c r="H27" i="391"/>
  <c r="J27" i="391" s="1"/>
  <c r="L27" i="391" s="1"/>
  <c r="N27" i="391" s="1"/>
  <c r="P27" i="391" s="1"/>
  <c r="H28" i="458"/>
  <c r="F28" i="391" s="1"/>
  <c r="E28" i="458"/>
  <c r="G28" i="458"/>
  <c r="F28" i="458"/>
  <c r="D28" i="458"/>
  <c r="I28" i="458"/>
  <c r="B29" i="458"/>
  <c r="B29" i="391"/>
  <c r="AI142" i="389"/>
  <c r="AI135" i="389"/>
  <c r="AI128" i="389"/>
  <c r="C21" i="453"/>
  <c r="M35" i="184"/>
  <c r="C16" i="432"/>
  <c r="AI66" i="388"/>
  <c r="AE67" i="388"/>
  <c r="C103" i="383"/>
  <c r="E103" i="383" s="1"/>
  <c r="AM17" i="168"/>
  <c r="AM64" i="388"/>
  <c r="AM33" i="388"/>
  <c r="AI27" i="168"/>
  <c r="C29" i="383"/>
  <c r="E29" i="383" s="1"/>
  <c r="AA28" i="168"/>
  <c r="AA29" i="168" s="1"/>
  <c r="C35" i="327"/>
  <c r="C104" i="327"/>
  <c r="E104" i="327" s="1"/>
  <c r="AE19" i="168"/>
  <c r="AK43" i="168"/>
  <c r="L35" i="184"/>
  <c r="C21" i="432"/>
  <c r="E116" i="383"/>
  <c r="E117" i="383"/>
  <c r="E40" i="383"/>
  <c r="AK74" i="168"/>
  <c r="E41" i="383"/>
  <c r="K67" i="168"/>
  <c r="C39" i="291"/>
  <c r="K65" i="168"/>
  <c r="G64" i="168"/>
  <c r="G33" i="168"/>
  <c r="C113" i="291"/>
  <c r="O30" i="168"/>
  <c r="C66" i="168"/>
  <c r="C74" i="168"/>
  <c r="C99" i="168" s="1"/>
  <c r="C35" i="168"/>
  <c r="C43" i="168"/>
  <c r="C92" i="168" s="1"/>
  <c r="K36" i="168"/>
  <c r="K34" i="168"/>
  <c r="AE36" i="388" l="1"/>
  <c r="AS65" i="389"/>
  <c r="AS67" i="389"/>
  <c r="AY33" i="477"/>
  <c r="AY34" i="477" s="1"/>
  <c r="AY35" i="477" s="1"/>
  <c r="AY64" i="477"/>
  <c r="AY65" i="477" s="1"/>
  <c r="AY66" i="477" s="1"/>
  <c r="AS34" i="389"/>
  <c r="AS36" i="389"/>
  <c r="AW36" i="477"/>
  <c r="BE24" i="168"/>
  <c r="C109" i="425"/>
  <c r="E109" i="425" s="1"/>
  <c r="BA15" i="168"/>
  <c r="AY16" i="168"/>
  <c r="AQ17" i="168"/>
  <c r="C27" i="411"/>
  <c r="E27" i="411" s="1"/>
  <c r="BI33" i="388"/>
  <c r="BI64" i="388"/>
  <c r="BG33" i="477"/>
  <c r="BG34" i="477" s="1"/>
  <c r="BG35" i="477" s="1"/>
  <c r="BG64" i="477"/>
  <c r="BG65" i="477" s="1"/>
  <c r="BG66" i="477" s="1"/>
  <c r="BI64" i="477"/>
  <c r="BI65" i="477" s="1"/>
  <c r="BI66" i="477" s="1"/>
  <c r="BI33" i="477"/>
  <c r="BI34" i="477" s="1"/>
  <c r="BI35" i="477" s="1"/>
  <c r="C109" i="447"/>
  <c r="E109" i="447" s="1"/>
  <c r="BM24" i="168"/>
  <c r="AS34" i="388"/>
  <c r="AS36" i="388"/>
  <c r="BK64" i="477"/>
  <c r="BK65" i="477" s="1"/>
  <c r="BK66" i="477" s="1"/>
  <c r="BK33" i="477"/>
  <c r="BK34" i="477" s="1"/>
  <c r="BK35" i="477" s="1"/>
  <c r="AS36" i="477"/>
  <c r="AQ36" i="477"/>
  <c r="BE33" i="388"/>
  <c r="BE64" i="388"/>
  <c r="AW33" i="168"/>
  <c r="AW34" i="168" s="1"/>
  <c r="AW35" i="168" s="1"/>
  <c r="AW64" i="168"/>
  <c r="AW65" i="168" s="1"/>
  <c r="AW66" i="168" s="1"/>
  <c r="BI15" i="388"/>
  <c r="BG16" i="388"/>
  <c r="BG17" i="388" s="1"/>
  <c r="BG19" i="388" s="1"/>
  <c r="BG27" i="388" s="1"/>
  <c r="BG28" i="388" s="1"/>
  <c r="BG29" i="388" s="1"/>
  <c r="BG30" i="388" s="1"/>
  <c r="BM33" i="389"/>
  <c r="BM64" i="389"/>
  <c r="BG16" i="389"/>
  <c r="BG17" i="389" s="1"/>
  <c r="BG19" i="389" s="1"/>
  <c r="BG27" i="389" s="1"/>
  <c r="BG28" i="389" s="1"/>
  <c r="BG29" i="389" s="1"/>
  <c r="BG30" i="389" s="1"/>
  <c r="BI15" i="389"/>
  <c r="AU15" i="388"/>
  <c r="AS16" i="388"/>
  <c r="AS17" i="388" s="1"/>
  <c r="AS19" i="388" s="1"/>
  <c r="AS67" i="477"/>
  <c r="AS65" i="388"/>
  <c r="AS67" i="388"/>
  <c r="BA24" i="168"/>
  <c r="C33" i="425"/>
  <c r="E33" i="425" s="1"/>
  <c r="BE64" i="477"/>
  <c r="BE65" i="477" s="1"/>
  <c r="BE66" i="477" s="1"/>
  <c r="BE33" i="477"/>
  <c r="BE34" i="477" s="1"/>
  <c r="BE35" i="477" s="1"/>
  <c r="AW65" i="389"/>
  <c r="AW66" i="389" s="1"/>
  <c r="AW67" i="389"/>
  <c r="AQ33" i="388"/>
  <c r="AQ64" i="388"/>
  <c r="BA33" i="388"/>
  <c r="BA64" i="388"/>
  <c r="BA15" i="388"/>
  <c r="AY16" i="388"/>
  <c r="AY17" i="388" s="1"/>
  <c r="AY19" i="388" s="1"/>
  <c r="AY27" i="388" s="1"/>
  <c r="AY28" i="388" s="1"/>
  <c r="AY29" i="388" s="1"/>
  <c r="AY30" i="388" s="1"/>
  <c r="BA15" i="389"/>
  <c r="AY16" i="389"/>
  <c r="AY17" i="389" s="1"/>
  <c r="AY19" i="389" s="1"/>
  <c r="AY27" i="389" s="1"/>
  <c r="AY28" i="389" s="1"/>
  <c r="AY29" i="389" s="1"/>
  <c r="AY30" i="389" s="1"/>
  <c r="AW34" i="388"/>
  <c r="AW35" i="388" s="1"/>
  <c r="AW36" i="388"/>
  <c r="BI15" i="168"/>
  <c r="BG16" i="168"/>
  <c r="BM33" i="388"/>
  <c r="BM64" i="388"/>
  <c r="AW34" i="389"/>
  <c r="AW35" i="389" s="1"/>
  <c r="AW36" i="389"/>
  <c r="AS64" i="168"/>
  <c r="AS65" i="168" s="1"/>
  <c r="AS66" i="168" s="1"/>
  <c r="AS33" i="168"/>
  <c r="AS34" i="168" s="1"/>
  <c r="AS35" i="168" s="1"/>
  <c r="BC64" i="477"/>
  <c r="BC65" i="477" s="1"/>
  <c r="BC66" i="477" s="1"/>
  <c r="BC33" i="477"/>
  <c r="BC34" i="477" s="1"/>
  <c r="BC35" i="477" s="1"/>
  <c r="BA33" i="389"/>
  <c r="BA64" i="389"/>
  <c r="BE33" i="389"/>
  <c r="BE64" i="389"/>
  <c r="AW67" i="388"/>
  <c r="AW65" i="388"/>
  <c r="AW66" i="388" s="1"/>
  <c r="AU67" i="477"/>
  <c r="AU15" i="389"/>
  <c r="AS16" i="389"/>
  <c r="AS17" i="389" s="1"/>
  <c r="AS19" i="389" s="1"/>
  <c r="AW67" i="477"/>
  <c r="C33" i="447"/>
  <c r="E33" i="447" s="1"/>
  <c r="BI24" i="168"/>
  <c r="AQ67" i="477"/>
  <c r="BA64" i="477"/>
  <c r="BA65" i="477" s="1"/>
  <c r="BA66" i="477" s="1"/>
  <c r="BA33" i="477"/>
  <c r="BA34" i="477" s="1"/>
  <c r="BA35" i="477" s="1"/>
  <c r="AU15" i="168"/>
  <c r="AS16" i="168"/>
  <c r="AS17" i="168" s="1"/>
  <c r="AS19" i="168" s="1"/>
  <c r="BM64" i="477"/>
  <c r="BM65" i="477" s="1"/>
  <c r="BM66" i="477" s="1"/>
  <c r="BM33" i="477"/>
  <c r="BM34" i="477" s="1"/>
  <c r="BM35" i="477" s="1"/>
  <c r="BI64" i="389"/>
  <c r="BI33" i="389"/>
  <c r="AU36" i="477"/>
  <c r="AQ33" i="389"/>
  <c r="AQ64" i="389"/>
  <c r="W34" i="389"/>
  <c r="W35" i="389" s="1"/>
  <c r="W36" i="389"/>
  <c r="W65" i="389"/>
  <c r="W66" i="389" s="1"/>
  <c r="W67" i="389"/>
  <c r="W36" i="388"/>
  <c r="W34" i="388"/>
  <c r="W35" i="388" s="1"/>
  <c r="C35" i="303"/>
  <c r="S28" i="168"/>
  <c r="C104" i="303"/>
  <c r="E104" i="303" s="1"/>
  <c r="W19" i="168"/>
  <c r="W67" i="388"/>
  <c r="W65" i="388"/>
  <c r="W66" i="388" s="1"/>
  <c r="K85" i="477"/>
  <c r="K28" i="458"/>
  <c r="M28" i="458" s="1"/>
  <c r="O28" i="458" s="1"/>
  <c r="Q28" i="458" s="1"/>
  <c r="S28" i="458" s="1"/>
  <c r="G28" i="391"/>
  <c r="I28" i="391" s="1"/>
  <c r="K28" i="391" s="1"/>
  <c r="M28" i="391" s="1"/>
  <c r="O28" i="391" s="1"/>
  <c r="Q28" i="391" s="1"/>
  <c r="E29" i="391"/>
  <c r="D29" i="391"/>
  <c r="E44" i="383"/>
  <c r="AM36" i="389"/>
  <c r="AM67" i="389"/>
  <c r="J28" i="458"/>
  <c r="L28" i="458" s="1"/>
  <c r="N28" i="458" s="1"/>
  <c r="P28" i="458" s="1"/>
  <c r="R28" i="458" s="1"/>
  <c r="H28" i="391"/>
  <c r="J28" i="391" s="1"/>
  <c r="L28" i="391" s="1"/>
  <c r="N28" i="391" s="1"/>
  <c r="P28" i="391" s="1"/>
  <c r="F29" i="458"/>
  <c r="D29" i="458"/>
  <c r="G29" i="458"/>
  <c r="E29" i="458"/>
  <c r="H29" i="458"/>
  <c r="F29" i="391" s="1"/>
  <c r="I29" i="458"/>
  <c r="B30" i="458"/>
  <c r="B30" i="391"/>
  <c r="C36" i="327"/>
  <c r="AM34" i="388"/>
  <c r="AM35" i="388" s="1"/>
  <c r="AM36" i="388"/>
  <c r="C104" i="383"/>
  <c r="E104" i="383" s="1"/>
  <c r="AM19" i="168"/>
  <c r="C105" i="327"/>
  <c r="E105" i="327" s="1"/>
  <c r="AE27" i="168"/>
  <c r="AI28" i="168"/>
  <c r="AI29" i="168" s="1"/>
  <c r="C35" i="383"/>
  <c r="AM65" i="388"/>
  <c r="AM66" i="388" s="1"/>
  <c r="AM67" i="388"/>
  <c r="C114" i="291"/>
  <c r="O64" i="168"/>
  <c r="O33" i="168"/>
  <c r="C40" i="291"/>
  <c r="K74" i="168"/>
  <c r="K66" i="168"/>
  <c r="G67" i="168"/>
  <c r="G65" i="168"/>
  <c r="G66" i="168" s="1"/>
  <c r="K35" i="168"/>
  <c r="K43" i="168"/>
  <c r="K92" i="168" s="1"/>
  <c r="G34" i="168"/>
  <c r="G36" i="168"/>
  <c r="BI34" i="389" l="1"/>
  <c r="BI36" i="389"/>
  <c r="BC36" i="477"/>
  <c r="BG17" i="168"/>
  <c r="C27" i="447"/>
  <c r="E27" i="447" s="1"/>
  <c r="BA67" i="388"/>
  <c r="BA65" i="388"/>
  <c r="BI16" i="389"/>
  <c r="BI17" i="389" s="1"/>
  <c r="BI19" i="389" s="1"/>
  <c r="BK15" i="389"/>
  <c r="BE67" i="388"/>
  <c r="BE65" i="388"/>
  <c r="BE66" i="388" s="1"/>
  <c r="BI67" i="388"/>
  <c r="BI65" i="388"/>
  <c r="BI65" i="389"/>
  <c r="BI67" i="389"/>
  <c r="AQ74" i="477"/>
  <c r="AQ99" i="477" s="1"/>
  <c r="BC67" i="477"/>
  <c r="BI16" i="168"/>
  <c r="BI17" i="168" s="1"/>
  <c r="BI19" i="168" s="1"/>
  <c r="BK15" i="168"/>
  <c r="BA36" i="388"/>
  <c r="BA34" i="388"/>
  <c r="BA33" i="168"/>
  <c r="BA34" i="168" s="1"/>
  <c r="BA35" i="168" s="1"/>
  <c r="BA64" i="168"/>
  <c r="BA65" i="168" s="1"/>
  <c r="BA66" i="168" s="1"/>
  <c r="BG64" i="389"/>
  <c r="BG33" i="389"/>
  <c r="BE36" i="388"/>
  <c r="BE34" i="388"/>
  <c r="BE35" i="388" s="1"/>
  <c r="AS35" i="388"/>
  <c r="AS43" i="388"/>
  <c r="AS94" i="388"/>
  <c r="BI34" i="388"/>
  <c r="BI36" i="388"/>
  <c r="BM36" i="477"/>
  <c r="BI64" i="168"/>
  <c r="BI65" i="168" s="1"/>
  <c r="BI66" i="168" s="1"/>
  <c r="BI33" i="168"/>
  <c r="BI34" i="168" s="1"/>
  <c r="BI35" i="168" s="1"/>
  <c r="AS36" i="168"/>
  <c r="AQ65" i="388"/>
  <c r="AQ66" i="388" s="1"/>
  <c r="AQ67" i="388"/>
  <c r="BM65" i="389"/>
  <c r="BM66" i="389" s="1"/>
  <c r="BM67" i="389"/>
  <c r="AQ43" i="477"/>
  <c r="AQ92" i="477" s="1"/>
  <c r="BM33" i="168"/>
  <c r="BM34" i="168" s="1"/>
  <c r="BM35" i="168" s="1"/>
  <c r="BM64" i="168"/>
  <c r="BM65" i="168" s="1"/>
  <c r="BM66" i="168" s="1"/>
  <c r="BM67" i="477"/>
  <c r="E39" i="411"/>
  <c r="AS67" i="168"/>
  <c r="AQ36" i="388"/>
  <c r="AQ34" i="388"/>
  <c r="AS66" i="388"/>
  <c r="AS74" i="388"/>
  <c r="BM34" i="389"/>
  <c r="BM35" i="389" s="1"/>
  <c r="BM36" i="389"/>
  <c r="C28" i="411"/>
  <c r="E28" i="411" s="1"/>
  <c r="AQ19" i="168"/>
  <c r="AS35" i="389"/>
  <c r="AS43" i="389"/>
  <c r="AS94" i="389"/>
  <c r="BE65" i="389"/>
  <c r="BE66" i="389" s="1"/>
  <c r="BE67" i="389"/>
  <c r="AY33" i="389"/>
  <c r="AY64" i="389"/>
  <c r="AS74" i="477"/>
  <c r="BG64" i="388"/>
  <c r="BG33" i="388"/>
  <c r="BI36" i="477"/>
  <c r="AY17" i="168"/>
  <c r="C27" i="425"/>
  <c r="E27" i="425" s="1"/>
  <c r="AY67" i="477"/>
  <c r="AQ34" i="389"/>
  <c r="AQ36" i="389"/>
  <c r="AW15" i="168"/>
  <c r="AW16" i="168" s="1"/>
  <c r="AW17" i="168" s="1"/>
  <c r="AW19" i="168" s="1"/>
  <c r="AU16" i="168"/>
  <c r="BE34" i="389"/>
  <c r="BE35" i="389" s="1"/>
  <c r="BE36" i="389"/>
  <c r="BC15" i="389"/>
  <c r="BA16" i="389"/>
  <c r="BA17" i="389" s="1"/>
  <c r="BA19" i="389" s="1"/>
  <c r="BK15" i="388"/>
  <c r="BI16" i="388"/>
  <c r="BI17" i="388" s="1"/>
  <c r="BI19" i="388" s="1"/>
  <c r="AS43" i="477"/>
  <c r="BI67" i="477"/>
  <c r="BA16" i="168"/>
  <c r="BA17" i="168" s="1"/>
  <c r="BA19" i="168" s="1"/>
  <c r="BC15" i="168"/>
  <c r="AY36" i="477"/>
  <c r="AQ65" i="389"/>
  <c r="AQ66" i="389" s="1"/>
  <c r="AQ67" i="389"/>
  <c r="BA36" i="477"/>
  <c r="BA65" i="389"/>
  <c r="BA67" i="389"/>
  <c r="BM65" i="388"/>
  <c r="BM66" i="388" s="1"/>
  <c r="BM67" i="388"/>
  <c r="AY33" i="388"/>
  <c r="AY64" i="388"/>
  <c r="BE36" i="477"/>
  <c r="AW67" i="168"/>
  <c r="E115" i="411"/>
  <c r="BK36" i="477"/>
  <c r="BG67" i="477"/>
  <c r="BA67" i="477"/>
  <c r="AW15" i="389"/>
  <c r="AW16" i="389" s="1"/>
  <c r="AW17" i="389" s="1"/>
  <c r="AW19" i="389" s="1"/>
  <c r="AU16" i="389"/>
  <c r="AU17" i="389" s="1"/>
  <c r="AU19" i="389" s="1"/>
  <c r="AU27" i="389" s="1"/>
  <c r="AU28" i="389" s="1"/>
  <c r="AU29" i="389" s="1"/>
  <c r="AU30" i="389" s="1"/>
  <c r="BA34" i="389"/>
  <c r="BA36" i="389"/>
  <c r="BM34" i="388"/>
  <c r="BM35" i="388" s="1"/>
  <c r="BM36" i="388"/>
  <c r="BC15" i="388"/>
  <c r="BA16" i="388"/>
  <c r="BA17" i="388" s="1"/>
  <c r="BA19" i="388" s="1"/>
  <c r="BE67" i="477"/>
  <c r="AW15" i="388"/>
  <c r="AW16" i="388" s="1"/>
  <c r="AW17" i="388" s="1"/>
  <c r="AW19" i="388" s="1"/>
  <c r="AU16" i="388"/>
  <c r="AU17" i="388" s="1"/>
  <c r="AU19" i="388" s="1"/>
  <c r="AU27" i="388" s="1"/>
  <c r="AU28" i="388" s="1"/>
  <c r="AU29" i="388" s="1"/>
  <c r="AU30" i="388" s="1"/>
  <c r="AW36" i="168"/>
  <c r="BK67" i="477"/>
  <c r="BG36" i="477"/>
  <c r="BE33" i="168"/>
  <c r="BE34" i="168" s="1"/>
  <c r="BE35" i="168" s="1"/>
  <c r="BE64" i="168"/>
  <c r="BE65" i="168" s="1"/>
  <c r="BE66" i="168" s="1"/>
  <c r="AS66" i="389"/>
  <c r="AS74" i="389"/>
  <c r="C36" i="303"/>
  <c r="S29" i="168"/>
  <c r="W27" i="168"/>
  <c r="C105" i="303"/>
  <c r="E105" i="303" s="1"/>
  <c r="D30" i="391"/>
  <c r="E30" i="391"/>
  <c r="K29" i="458"/>
  <c r="M29" i="458" s="1"/>
  <c r="O29" i="458" s="1"/>
  <c r="Q29" i="458" s="1"/>
  <c r="S29" i="458" s="1"/>
  <c r="G29" i="391"/>
  <c r="I29" i="391" s="1"/>
  <c r="K29" i="391" s="1"/>
  <c r="M29" i="391" s="1"/>
  <c r="O29" i="391" s="1"/>
  <c r="Q29" i="391" s="1"/>
  <c r="F30" i="458"/>
  <c r="D30" i="458"/>
  <c r="E30" i="458"/>
  <c r="H30" i="458"/>
  <c r="F30" i="391" s="1"/>
  <c r="B31" i="458"/>
  <c r="G30" i="458"/>
  <c r="I30" i="458"/>
  <c r="J29" i="458"/>
  <c r="L29" i="458" s="1"/>
  <c r="N29" i="458" s="1"/>
  <c r="P29" i="458" s="1"/>
  <c r="R29" i="458" s="1"/>
  <c r="H29" i="391"/>
  <c r="J29" i="391" s="1"/>
  <c r="L29" i="391" s="1"/>
  <c r="N29" i="391" s="1"/>
  <c r="P29" i="391" s="1"/>
  <c r="B31" i="391"/>
  <c r="C37" i="327"/>
  <c r="AA30" i="168"/>
  <c r="C105" i="383"/>
  <c r="E105" i="383" s="1"/>
  <c r="AM27" i="168"/>
  <c r="C111" i="327"/>
  <c r="AE28" i="168"/>
  <c r="AE29" i="168" s="1"/>
  <c r="C36" i="383"/>
  <c r="O67" i="168"/>
  <c r="C115" i="291"/>
  <c r="O65" i="168"/>
  <c r="K109" i="168"/>
  <c r="K118" i="168" s="1"/>
  <c r="C41" i="291"/>
  <c r="G35" i="168"/>
  <c r="K110" i="168"/>
  <c r="C44" i="291"/>
  <c r="K99" i="168"/>
  <c r="C53" i="291" s="1"/>
  <c r="O36" i="168"/>
  <c r="O34" i="168"/>
  <c r="O35" i="168" s="1"/>
  <c r="AQ74" i="389" l="1"/>
  <c r="AQ135" i="389" s="1"/>
  <c r="AQ74" i="388"/>
  <c r="AQ135" i="388" s="1"/>
  <c r="AU64" i="389"/>
  <c r="AU33" i="389"/>
  <c r="E116" i="411"/>
  <c r="E117" i="411"/>
  <c r="BK16" i="388"/>
  <c r="BK17" i="388" s="1"/>
  <c r="BK19" i="388" s="1"/>
  <c r="BK27" i="388" s="1"/>
  <c r="BK28" i="388" s="1"/>
  <c r="BK29" i="388" s="1"/>
  <c r="BK30" i="388" s="1"/>
  <c r="BM15" i="388"/>
  <c r="BM16" i="388" s="1"/>
  <c r="BM17" i="388" s="1"/>
  <c r="BM19" i="388" s="1"/>
  <c r="AQ35" i="389"/>
  <c r="AQ94" i="389"/>
  <c r="AQ142" i="389" s="1"/>
  <c r="AQ43" i="389"/>
  <c r="AQ128" i="389" s="1"/>
  <c r="BG65" i="388"/>
  <c r="BG67" i="388"/>
  <c r="AQ43" i="388"/>
  <c r="AQ128" i="388" s="1"/>
  <c r="AQ94" i="388"/>
  <c r="AQ142" i="388" s="1"/>
  <c r="AQ35" i="388"/>
  <c r="BM36" i="168"/>
  <c r="AS43" i="168"/>
  <c r="BA43" i="388"/>
  <c r="BA94" i="388"/>
  <c r="BA35" i="388"/>
  <c r="BA66" i="388"/>
  <c r="BA74" i="388"/>
  <c r="BG43" i="477"/>
  <c r="BG92" i="477" s="1"/>
  <c r="BC16" i="168"/>
  <c r="BE15" i="168"/>
  <c r="BE16" i="168" s="1"/>
  <c r="BE17" i="168" s="1"/>
  <c r="BE19" i="168" s="1"/>
  <c r="BI36" i="168"/>
  <c r="BI66" i="389"/>
  <c r="BI74" i="389"/>
  <c r="BA74" i="477"/>
  <c r="BA66" i="389"/>
  <c r="BA74" i="389"/>
  <c r="BE15" i="389"/>
  <c r="BE16" i="389" s="1"/>
  <c r="BE17" i="389" s="1"/>
  <c r="BE19" i="389" s="1"/>
  <c r="BC16" i="389"/>
  <c r="BC17" i="389" s="1"/>
  <c r="BC19" i="389" s="1"/>
  <c r="BC27" i="389" s="1"/>
  <c r="BC28" i="389" s="1"/>
  <c r="BC29" i="389" s="1"/>
  <c r="BC30" i="389" s="1"/>
  <c r="AY74" i="477"/>
  <c r="AY99" i="477" s="1"/>
  <c r="AQ27" i="168"/>
  <c r="C29" i="411"/>
  <c r="E29" i="411" s="1"/>
  <c r="E41" i="411"/>
  <c r="AS74" i="168"/>
  <c r="E44" i="411" s="1"/>
  <c r="E40" i="411"/>
  <c r="E39" i="447"/>
  <c r="BI67" i="168"/>
  <c r="BM15" i="168"/>
  <c r="BM16" i="168" s="1"/>
  <c r="BM17" i="168" s="1"/>
  <c r="BM19" i="168" s="1"/>
  <c r="BK16" i="168"/>
  <c r="BI66" i="388"/>
  <c r="BI74" i="388"/>
  <c r="BE15" i="388"/>
  <c r="BE16" i="388" s="1"/>
  <c r="BE17" i="388" s="1"/>
  <c r="BE19" i="388" s="1"/>
  <c r="BC16" i="388"/>
  <c r="BC17" i="388" s="1"/>
  <c r="BC19" i="388" s="1"/>
  <c r="BC27" i="388" s="1"/>
  <c r="BC28" i="388" s="1"/>
  <c r="BC29" i="388" s="1"/>
  <c r="BC30" i="388" s="1"/>
  <c r="BI74" i="477"/>
  <c r="AY65" i="389"/>
  <c r="AY66" i="389" s="1"/>
  <c r="AY67" i="389"/>
  <c r="BG19" i="168"/>
  <c r="C28" i="447"/>
  <c r="E28" i="447" s="1"/>
  <c r="BG74" i="477"/>
  <c r="BG99" i="477" s="1"/>
  <c r="BA43" i="477"/>
  <c r="AY19" i="168"/>
  <c r="C28" i="425"/>
  <c r="E28" i="425" s="1"/>
  <c r="AY34" i="389"/>
  <c r="AY36" i="389"/>
  <c r="BG34" i="389"/>
  <c r="BG36" i="389"/>
  <c r="AU17" i="168"/>
  <c r="C103" i="411"/>
  <c r="E103" i="411" s="1"/>
  <c r="BG65" i="389"/>
  <c r="BG67" i="389"/>
  <c r="BE67" i="168"/>
  <c r="E115" i="425"/>
  <c r="AU33" i="388"/>
  <c r="AU64" i="388"/>
  <c r="AY34" i="388"/>
  <c r="AY36" i="388"/>
  <c r="BI43" i="477"/>
  <c r="BI35" i="388"/>
  <c r="BI94" i="388"/>
  <c r="BI43" i="388"/>
  <c r="BA67" i="168"/>
  <c r="E39" i="425"/>
  <c r="BK16" i="389"/>
  <c r="BK17" i="389" s="1"/>
  <c r="BK19" i="389" s="1"/>
  <c r="BK27" i="389" s="1"/>
  <c r="BK28" i="389" s="1"/>
  <c r="BK29" i="389" s="1"/>
  <c r="BK30" i="389" s="1"/>
  <c r="BM15" i="389"/>
  <c r="BM16" i="389" s="1"/>
  <c r="BM17" i="389" s="1"/>
  <c r="BM19" i="389" s="1"/>
  <c r="AY65" i="388"/>
  <c r="AY66" i="388" s="1"/>
  <c r="AY67" i="388"/>
  <c r="BE36" i="168"/>
  <c r="BA35" i="389"/>
  <c r="BA43" i="389"/>
  <c r="BA94" i="389"/>
  <c r="AY43" i="477"/>
  <c r="AY92" i="477" s="1"/>
  <c r="BG34" i="388"/>
  <c r="BG36" i="388"/>
  <c r="E115" i="447"/>
  <c r="BM67" i="168"/>
  <c r="BA36" i="168"/>
  <c r="BI35" i="389"/>
  <c r="BI94" i="389"/>
  <c r="BI43" i="389"/>
  <c r="S30" i="168"/>
  <c r="C37" i="303"/>
  <c r="C111" i="303"/>
  <c r="W28" i="168"/>
  <c r="K30" i="458"/>
  <c r="M30" i="458" s="1"/>
  <c r="O30" i="458" s="1"/>
  <c r="Q30" i="458" s="1"/>
  <c r="S30" i="458" s="1"/>
  <c r="G30" i="391"/>
  <c r="I30" i="391" s="1"/>
  <c r="K30" i="391" s="1"/>
  <c r="M30" i="391" s="1"/>
  <c r="O30" i="391" s="1"/>
  <c r="Q30" i="391" s="1"/>
  <c r="D31" i="391"/>
  <c r="E31" i="391"/>
  <c r="J30" i="458"/>
  <c r="L30" i="458" s="1"/>
  <c r="N30" i="458" s="1"/>
  <c r="P30" i="458" s="1"/>
  <c r="R30" i="458" s="1"/>
  <c r="H30" i="391"/>
  <c r="J30" i="391" s="1"/>
  <c r="L30" i="391" s="1"/>
  <c r="N30" i="391" s="1"/>
  <c r="P30" i="391" s="1"/>
  <c r="I31" i="458"/>
  <c r="H31" i="458"/>
  <c r="F31" i="391" s="1"/>
  <c r="E31" i="458"/>
  <c r="G31" i="458"/>
  <c r="B32" i="458"/>
  <c r="F31" i="458"/>
  <c r="D31" i="458"/>
  <c r="B32" i="391"/>
  <c r="C37" i="383"/>
  <c r="AI30" i="168"/>
  <c r="C112" i="327"/>
  <c r="AA33" i="168"/>
  <c r="AA34" i="168" s="1"/>
  <c r="AA35" i="168" s="1"/>
  <c r="C38" i="327"/>
  <c r="AA64" i="168"/>
  <c r="C111" i="383"/>
  <c r="AM28" i="168"/>
  <c r="K127" i="168"/>
  <c r="K111" i="168"/>
  <c r="O66" i="168"/>
  <c r="C117" i="291" s="1"/>
  <c r="C116" i="291"/>
  <c r="AA65" i="168" l="1"/>
  <c r="AA66" i="168" s="1"/>
  <c r="BG43" i="389"/>
  <c r="BG128" i="389" s="1"/>
  <c r="AY94" i="388"/>
  <c r="AY142" i="388" s="1"/>
  <c r="AY74" i="388"/>
  <c r="AY135" i="388" s="1"/>
  <c r="E117" i="447"/>
  <c r="E116" i="447"/>
  <c r="E40" i="425"/>
  <c r="E41" i="425"/>
  <c r="BA74" i="168"/>
  <c r="E44" i="425" s="1"/>
  <c r="AU65" i="388"/>
  <c r="AU66" i="388" s="1"/>
  <c r="AU67" i="388"/>
  <c r="C104" i="411"/>
  <c r="E104" i="411" s="1"/>
  <c r="AU19" i="168"/>
  <c r="C29" i="425"/>
  <c r="E29" i="425" s="1"/>
  <c r="AY27" i="168"/>
  <c r="AU34" i="388"/>
  <c r="AU35" i="388" s="1"/>
  <c r="AU36" i="388"/>
  <c r="BC33" i="388"/>
  <c r="BC64" i="388"/>
  <c r="BC64" i="389"/>
  <c r="BC33" i="389"/>
  <c r="BI43" i="168"/>
  <c r="BK33" i="388"/>
  <c r="BK64" i="388"/>
  <c r="E117" i="425"/>
  <c r="E116" i="425"/>
  <c r="BG35" i="389"/>
  <c r="BG94" i="389"/>
  <c r="BG142" i="389" s="1"/>
  <c r="BG66" i="389"/>
  <c r="BG74" i="389"/>
  <c r="BG135" i="389" s="1"/>
  <c r="C35" i="411"/>
  <c r="AQ28" i="168"/>
  <c r="E41" i="447"/>
  <c r="E40" i="447"/>
  <c r="BI74" i="168"/>
  <c r="E44" i="447" s="1"/>
  <c r="BG35" i="388"/>
  <c r="BG94" i="388"/>
  <c r="BG142" i="388" s="1"/>
  <c r="BG43" i="388"/>
  <c r="BG128" i="388" s="1"/>
  <c r="BA43" i="168"/>
  <c r="AY35" i="389"/>
  <c r="AY43" i="389"/>
  <c r="AY128" i="389" s="1"/>
  <c r="AY94" i="389"/>
  <c r="AY142" i="389" s="1"/>
  <c r="BG27" i="168"/>
  <c r="C29" i="447"/>
  <c r="E29" i="447" s="1"/>
  <c r="C103" i="425"/>
  <c r="E103" i="425" s="1"/>
  <c r="BC17" i="168"/>
  <c r="BG66" i="388"/>
  <c r="BG74" i="388"/>
  <c r="BG135" i="388" s="1"/>
  <c r="AU34" i="389"/>
  <c r="AU35" i="389" s="1"/>
  <c r="AU36" i="389"/>
  <c r="AY35" i="388"/>
  <c r="AY43" i="388"/>
  <c r="AY128" i="388" s="1"/>
  <c r="BK64" i="389"/>
  <c r="BK33" i="389"/>
  <c r="AY74" i="389"/>
  <c r="AY135" i="389" s="1"/>
  <c r="BK17" i="168"/>
  <c r="C103" i="447"/>
  <c r="E103" i="447" s="1"/>
  <c r="AU65" i="389"/>
  <c r="AU66" i="389" s="1"/>
  <c r="AU67" i="389"/>
  <c r="W29" i="168"/>
  <c r="C112" i="303"/>
  <c r="S33" i="168"/>
  <c r="S64" i="168"/>
  <c r="C38" i="303"/>
  <c r="D32" i="39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AM29" i="168"/>
  <c r="C112" i="383"/>
  <c r="AI33" i="168"/>
  <c r="AI34" i="168" s="1"/>
  <c r="AI35" i="168" s="1"/>
  <c r="AI64" i="168"/>
  <c r="AI65" i="168" s="1"/>
  <c r="AI66" i="168" s="1"/>
  <c r="C38" i="383"/>
  <c r="C113" i="327"/>
  <c r="AE30" i="168"/>
  <c r="AA67" i="168"/>
  <c r="C39" i="327"/>
  <c r="AA36" i="168"/>
  <c r="K113" i="168"/>
  <c r="K112" i="168"/>
  <c r="BC65" i="389" l="1"/>
  <c r="BC66" i="389" s="1"/>
  <c r="BC67" i="389"/>
  <c r="BC67" i="388"/>
  <c r="BC65" i="388"/>
  <c r="BC66" i="388" s="1"/>
  <c r="BK19" i="168"/>
  <c r="C104" i="447"/>
  <c r="E104" i="447" s="1"/>
  <c r="BC36" i="388"/>
  <c r="BC34" i="388"/>
  <c r="BC35" i="388" s="1"/>
  <c r="C36" i="411"/>
  <c r="AQ29" i="168"/>
  <c r="BK65" i="388"/>
  <c r="BK66" i="388" s="1"/>
  <c r="BK67" i="388"/>
  <c r="C104" i="425"/>
  <c r="E104" i="425" s="1"/>
  <c r="BC19" i="168"/>
  <c r="BK36" i="388"/>
  <c r="BK34" i="388"/>
  <c r="BK35" i="388" s="1"/>
  <c r="BK65" i="389"/>
  <c r="BK66" i="389" s="1"/>
  <c r="BK67" i="389"/>
  <c r="C35" i="425"/>
  <c r="AY28" i="168"/>
  <c r="BK34" i="389"/>
  <c r="BK35" i="389" s="1"/>
  <c r="BK36" i="389"/>
  <c r="C35" i="447"/>
  <c r="BG28" i="168"/>
  <c r="BC34" i="389"/>
  <c r="BC35" i="389" s="1"/>
  <c r="BC36" i="389"/>
  <c r="AU27" i="168"/>
  <c r="C105" i="411"/>
  <c r="E105" i="411" s="1"/>
  <c r="C113" i="303"/>
  <c r="W30" i="168"/>
  <c r="S67" i="168"/>
  <c r="C39" i="303"/>
  <c r="S65" i="168"/>
  <c r="S34" i="168"/>
  <c r="S36" i="168"/>
  <c r="K32" i="458"/>
  <c r="M32" i="458" s="1"/>
  <c r="O32" i="458" s="1"/>
  <c r="Q32" i="458" s="1"/>
  <c r="S32" i="458" s="1"/>
  <c r="G32" i="391"/>
  <c r="I32" i="391" s="1"/>
  <c r="K32" i="391" s="1"/>
  <c r="M32" i="391" s="1"/>
  <c r="O32" i="391" s="1"/>
  <c r="Q32" i="391" s="1"/>
  <c r="E33" i="391"/>
  <c r="D33" i="391"/>
  <c r="G33" i="458"/>
  <c r="D33" i="458"/>
  <c r="H33" i="458"/>
  <c r="F33" i="391" s="1"/>
  <c r="B34" i="458"/>
  <c r="F33" i="458"/>
  <c r="I33" i="458"/>
  <c r="E33" i="458"/>
  <c r="J32" i="458"/>
  <c r="L32" i="458" s="1"/>
  <c r="N32" i="458" s="1"/>
  <c r="P32" i="458" s="1"/>
  <c r="R32" i="458" s="1"/>
  <c r="H32" i="391"/>
  <c r="J32" i="391" s="1"/>
  <c r="L32" i="391" s="1"/>
  <c r="N32" i="391" s="1"/>
  <c r="P32" i="391" s="1"/>
  <c r="B34" i="391"/>
  <c r="AA74" i="168"/>
  <c r="C40" i="327"/>
  <c r="C41" i="327"/>
  <c r="AI36" i="168"/>
  <c r="AA43" i="168"/>
  <c r="AE64" i="168"/>
  <c r="AE65" i="168" s="1"/>
  <c r="AE66" i="168" s="1"/>
  <c r="AE33" i="168"/>
  <c r="AE34" i="168" s="1"/>
  <c r="AE35" i="168" s="1"/>
  <c r="C114" i="327"/>
  <c r="AI67" i="168"/>
  <c r="C39" i="383"/>
  <c r="C113" i="383"/>
  <c r="AM30" i="168"/>
  <c r="K114" i="168"/>
  <c r="K115" i="168" s="1"/>
  <c r="K126" i="168" s="1"/>
  <c r="K117" i="168" s="1"/>
  <c r="K120" i="168" s="1"/>
  <c r="BC27" i="168" l="1"/>
  <c r="C105" i="425"/>
  <c r="E105" i="425" s="1"/>
  <c r="BK27" i="168"/>
  <c r="C105" i="447"/>
  <c r="E105" i="447" s="1"/>
  <c r="AU28" i="168"/>
  <c r="C111" i="411"/>
  <c r="BG29" i="168"/>
  <c r="C36" i="447"/>
  <c r="C37" i="411"/>
  <c r="AQ30" i="168"/>
  <c r="C36" i="425"/>
  <c r="AY29" i="168"/>
  <c r="S43" i="168"/>
  <c r="S92" i="168" s="1"/>
  <c r="S35" i="168"/>
  <c r="S74" i="168"/>
  <c r="S66" i="168"/>
  <c r="C41" i="303" s="1"/>
  <c r="C40" i="303"/>
  <c r="C114" i="303"/>
  <c r="W33" i="168"/>
  <c r="W64" i="168"/>
  <c r="D34" i="39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AE36" i="168"/>
  <c r="C41" i="383"/>
  <c r="C40" i="383"/>
  <c r="AI74" i="168"/>
  <c r="C115" i="327"/>
  <c r="AE67" i="168"/>
  <c r="AI43" i="168"/>
  <c r="C114" i="383"/>
  <c r="AM64" i="168"/>
  <c r="AM65" i="168" s="1"/>
  <c r="AM66" i="168" s="1"/>
  <c r="AM33" i="168"/>
  <c r="AM34" i="168" s="1"/>
  <c r="AM35" i="168" s="1"/>
  <c r="C44" i="327"/>
  <c r="AA99" i="168"/>
  <c r="C53" i="327" s="1"/>
  <c r="AU29" i="168" l="1"/>
  <c r="C112" i="411"/>
  <c r="AQ64" i="168"/>
  <c r="AQ65" i="168" s="1"/>
  <c r="AQ66" i="168" s="1"/>
  <c r="AQ33" i="168"/>
  <c r="AQ34" i="168" s="1"/>
  <c r="AQ35" i="168" s="1"/>
  <c r="C38" i="411"/>
  <c r="C37" i="447"/>
  <c r="BG30" i="168"/>
  <c r="AY30" i="168"/>
  <c r="C37" i="425"/>
  <c r="C111" i="447"/>
  <c r="BK28" i="168"/>
  <c r="C111" i="425"/>
  <c r="BC28" i="168"/>
  <c r="W36" i="168"/>
  <c r="W34" i="168"/>
  <c r="W35" i="168" s="1"/>
  <c r="C44" i="303"/>
  <c r="S99" i="168"/>
  <c r="C53" i="303" s="1"/>
  <c r="W67" i="168"/>
  <c r="W65" i="168"/>
  <c r="C115" i="303"/>
  <c r="K34" i="458"/>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AM36" i="168"/>
  <c r="C116" i="327"/>
  <c r="C117" i="327"/>
  <c r="AM67" i="168"/>
  <c r="C115" i="383"/>
  <c r="C44" i="383"/>
  <c r="AI99" i="168"/>
  <c r="C53" i="383" s="1"/>
  <c r="C112" i="425" l="1"/>
  <c r="BC29" i="168"/>
  <c r="AY64" i="168"/>
  <c r="AY65" i="168" s="1"/>
  <c r="AY66" i="168" s="1"/>
  <c r="C38" i="425"/>
  <c r="AY33" i="168"/>
  <c r="AY34" i="168" s="1"/>
  <c r="AY35" i="168" s="1"/>
  <c r="BK29" i="168"/>
  <c r="C112" i="447"/>
  <c r="AQ67" i="168"/>
  <c r="C39" i="411"/>
  <c r="C38" i="447"/>
  <c r="BG33" i="168"/>
  <c r="BG34" i="168" s="1"/>
  <c r="BG35" i="168" s="1"/>
  <c r="BG64" i="168"/>
  <c r="BG65" i="168" s="1"/>
  <c r="BG66" i="168" s="1"/>
  <c r="AQ36" i="168"/>
  <c r="AU30" i="168"/>
  <c r="C113" i="411"/>
  <c r="C116" i="303"/>
  <c r="W66" i="168"/>
  <c r="C117" i="303" s="1"/>
  <c r="K35" i="458"/>
  <c r="M35" i="458" s="1"/>
  <c r="O35" i="458" s="1"/>
  <c r="Q35" i="458" s="1"/>
  <c r="S35" i="458" s="1"/>
  <c r="G35" i="391"/>
  <c r="I35" i="391" s="1"/>
  <c r="K35" i="391" s="1"/>
  <c r="M35" i="391" s="1"/>
  <c r="O35" i="391" s="1"/>
  <c r="Q35" i="391" s="1"/>
  <c r="E36" i="391"/>
  <c r="D36" i="391"/>
  <c r="I36" i="458"/>
  <c r="E36" i="458"/>
  <c r="H36" i="458"/>
  <c r="F36" i="391" s="1"/>
  <c r="F36" i="458"/>
  <c r="B37" i="458"/>
  <c r="G36" i="458"/>
  <c r="D36" i="458"/>
  <c r="J35" i="458"/>
  <c r="L35" i="458" s="1"/>
  <c r="N35" i="458" s="1"/>
  <c r="P35" i="458" s="1"/>
  <c r="R35" i="458" s="1"/>
  <c r="H35" i="391"/>
  <c r="J35" i="391" s="1"/>
  <c r="L35" i="391" s="1"/>
  <c r="N35" i="391" s="1"/>
  <c r="P35" i="391" s="1"/>
  <c r="B37" i="391"/>
  <c r="C116" i="383"/>
  <c r="C117" i="383"/>
  <c r="AU64" i="168" l="1"/>
  <c r="AU65" i="168" s="1"/>
  <c r="AU66" i="168" s="1"/>
  <c r="C114" i="411"/>
  <c r="AU33" i="168"/>
  <c r="AU34" i="168" s="1"/>
  <c r="AU35" i="168" s="1"/>
  <c r="BK30" i="168"/>
  <c r="C113" i="447"/>
  <c r="BG67" i="168"/>
  <c r="C39" i="447"/>
  <c r="AY36" i="168"/>
  <c r="BG36" i="168"/>
  <c r="AQ43" i="168"/>
  <c r="AQ92" i="168" s="1"/>
  <c r="AY67" i="168"/>
  <c r="C39" i="425"/>
  <c r="BC30" i="168"/>
  <c r="C113" i="425"/>
  <c r="AQ74" i="168"/>
  <c r="C41" i="411"/>
  <c r="C40" i="411"/>
  <c r="K36" i="458"/>
  <c r="M36" i="458" s="1"/>
  <c r="O36" i="458" s="1"/>
  <c r="Q36" i="458" s="1"/>
  <c r="S36" i="458" s="1"/>
  <c r="G36" i="391"/>
  <c r="I36" i="391" s="1"/>
  <c r="K36" i="391" s="1"/>
  <c r="M36" i="391" s="1"/>
  <c r="O36" i="391" s="1"/>
  <c r="Q36" i="391" s="1"/>
  <c r="D37" i="391"/>
  <c r="E37" i="391"/>
  <c r="B38" i="458"/>
  <c r="G37" i="458"/>
  <c r="H37" i="458"/>
  <c r="F37" i="391" s="1"/>
  <c r="F37" i="458"/>
  <c r="D37" i="458"/>
  <c r="E37" i="458"/>
  <c r="I37" i="458"/>
  <c r="J36" i="458"/>
  <c r="L36" i="458" s="1"/>
  <c r="N36" i="458" s="1"/>
  <c r="P36" i="458" s="1"/>
  <c r="R36" i="458" s="1"/>
  <c r="H36" i="391"/>
  <c r="J36" i="391" s="1"/>
  <c r="L36" i="391" s="1"/>
  <c r="N36" i="391" s="1"/>
  <c r="P36" i="391" s="1"/>
  <c r="B38" i="391"/>
  <c r="C41" i="447" l="1"/>
  <c r="C40" i="447"/>
  <c r="BG74" i="168"/>
  <c r="BG43" i="168"/>
  <c r="BG92" i="168" s="1"/>
  <c r="BK33" i="168"/>
  <c r="BK34" i="168" s="1"/>
  <c r="BK35" i="168" s="1"/>
  <c r="BK64" i="168"/>
  <c r="BK65" i="168" s="1"/>
  <c r="BK66" i="168" s="1"/>
  <c r="C114" i="447"/>
  <c r="AU36" i="168"/>
  <c r="C44" i="411"/>
  <c r="AQ99" i="168"/>
  <c r="C53" i="411" s="1"/>
  <c r="BC64" i="168"/>
  <c r="BC65" i="168" s="1"/>
  <c r="BC66" i="168" s="1"/>
  <c r="BC33" i="168"/>
  <c r="BC34" i="168" s="1"/>
  <c r="BC35" i="168" s="1"/>
  <c r="C114" i="425"/>
  <c r="AY43" i="168"/>
  <c r="AY92" i="168" s="1"/>
  <c r="C40" i="425"/>
  <c r="AY74" i="168"/>
  <c r="C41" i="425"/>
  <c r="C115" i="411"/>
  <c r="AU67" i="168"/>
  <c r="K37" i="458"/>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C36" i="168" l="1"/>
  <c r="AY99" i="168"/>
  <c r="C53" i="425" s="1"/>
  <c r="C44" i="425"/>
  <c r="C116" i="411"/>
  <c r="C117" i="411"/>
  <c r="BC67" i="168"/>
  <c r="C115" i="425"/>
  <c r="C44" i="447"/>
  <c r="BG99" i="168"/>
  <c r="C53" i="447" s="1"/>
  <c r="C115" i="447"/>
  <c r="BK67" i="168"/>
  <c r="BK36" i="168"/>
  <c r="K38" i="458"/>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6" i="425" l="1"/>
  <c r="C117" i="425"/>
  <c r="C116" i="447"/>
  <c r="C117" i="447"/>
  <c r="K39" i="458"/>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M49" i="458" s="1"/>
  <c r="O49" i="458" s="1"/>
  <c r="Q49" i="458" s="1"/>
  <c r="S49" i="458" s="1"/>
  <c r="G49" i="391"/>
  <c r="I49" i="391" s="1"/>
  <c r="K49" i="391" s="1"/>
  <c r="M49" i="391" s="1"/>
  <c r="O49" i="391" s="1"/>
  <c r="Q49" i="391" s="1"/>
  <c r="J49" i="458"/>
  <c r="L49" i="458" s="1"/>
  <c r="N49" i="458" s="1"/>
  <c r="P49" i="458" s="1"/>
  <c r="R49" i="458" s="1"/>
  <c r="H49" i="391"/>
  <c r="J49" i="391" s="1"/>
  <c r="L49" i="391" s="1"/>
  <c r="N49" i="391" s="1"/>
  <c r="P49" i="391"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D56" i="391" s="1"/>
  <c r="G54" i="458"/>
  <c r="I54" i="458"/>
  <c r="G54" i="391" s="1"/>
  <c r="H54" i="458"/>
  <c r="F54" i="391" s="1"/>
  <c r="F54" i="458"/>
  <c r="D54" i="458"/>
  <c r="E54" i="458"/>
  <c r="J53" i="458"/>
  <c r="L53" i="458" s="1"/>
  <c r="N53" i="458" s="1"/>
  <c r="P53" i="458" s="1"/>
  <c r="R53" i="458" s="1"/>
  <c r="H53" i="391"/>
  <c r="J53" i="391" s="1"/>
  <c r="L53" i="391" s="1"/>
  <c r="N53" i="391" s="1"/>
  <c r="P53" i="391" s="1"/>
  <c r="O52" i="391"/>
  <c r="Q52" i="391" s="1"/>
  <c r="D56" i="458" l="1"/>
  <c r="D55" i="458"/>
  <c r="K54" i="458"/>
  <c r="H55" i="458"/>
  <c r="H56" i="458"/>
  <c r="F55" i="458"/>
  <c r="F56" i="458"/>
  <c r="H54" i="391"/>
  <c r="J54" i="391" s="1"/>
  <c r="L54" i="391" s="1"/>
  <c r="N54" i="391" s="1"/>
  <c r="P54" i="391" s="1"/>
  <c r="J54" i="458"/>
  <c r="L54" i="458" s="1"/>
  <c r="N54" i="458" s="1"/>
  <c r="P54" i="458" s="1"/>
  <c r="R54" i="458" s="1"/>
  <c r="D55" i="391"/>
  <c r="M54" i="458" l="1"/>
  <c r="J56" i="458"/>
  <c r="J55" i="458"/>
  <c r="H65" i="60"/>
  <c r="G47" i="483" s="1"/>
  <c r="G55" i="483" s="1"/>
  <c r="D19" i="360"/>
  <c r="J65" i="60"/>
  <c r="G61" i="483" l="1"/>
  <c r="G59" i="483"/>
  <c r="O54" i="458"/>
  <c r="L56" i="458"/>
  <c r="L55" i="458"/>
  <c r="F55" i="391"/>
  <c r="I54" i="391"/>
  <c r="F56" i="391"/>
  <c r="M65" i="482" s="1"/>
  <c r="K65" i="60"/>
  <c r="J75" i="60"/>
  <c r="J79" i="60" s="1"/>
  <c r="G47" i="2"/>
  <c r="H75" i="60"/>
  <c r="I65" i="60"/>
  <c r="H47" i="483" s="1"/>
  <c r="H55" i="483" s="1"/>
  <c r="G35" i="2"/>
  <c r="T23" i="184"/>
  <c r="L65" i="482" l="1"/>
  <c r="I35" i="483"/>
  <c r="J35" i="483" s="1"/>
  <c r="I35" i="2"/>
  <c r="G70" i="483"/>
  <c r="G74" i="483" s="1"/>
  <c r="G73" i="483" s="1"/>
  <c r="H61" i="483"/>
  <c r="H59" i="483"/>
  <c r="L75" i="482"/>
  <c r="M75" i="482"/>
  <c r="M86" i="482" s="1"/>
  <c r="D10" i="360"/>
  <c r="D11" i="360" s="1"/>
  <c r="E11" i="360" s="1"/>
  <c r="D29" i="393"/>
  <c r="AH35" i="393"/>
  <c r="AG35" i="393"/>
  <c r="L65" i="60"/>
  <c r="D37" i="311"/>
  <c r="M65" i="60"/>
  <c r="E37" i="311"/>
  <c r="E11" i="311" s="1"/>
  <c r="H55" i="391"/>
  <c r="H56" i="391"/>
  <c r="P65" i="482" s="1"/>
  <c r="E14" i="325" s="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D77" i="167"/>
  <c r="D78" i="167" s="1"/>
  <c r="D47" i="167"/>
  <c r="D47" i="393"/>
  <c r="D29" i="167"/>
  <c r="J86" i="60"/>
  <c r="K75" i="60"/>
  <c r="K86" i="60" s="1"/>
  <c r="H47" i="2"/>
  <c r="I75" i="60"/>
  <c r="D71" i="281"/>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N65" i="482" l="1"/>
  <c r="K35" i="2"/>
  <c r="K35" i="483"/>
  <c r="K51" i="483" s="1"/>
  <c r="D23" i="324" s="1"/>
  <c r="H70" i="483"/>
  <c r="H74" i="483" s="1"/>
  <c r="J51" i="483"/>
  <c r="I51" i="483"/>
  <c r="N65" i="60"/>
  <c r="N75" i="60" s="1"/>
  <c r="I47" i="483"/>
  <c r="M79" i="482"/>
  <c r="P75" i="482"/>
  <c r="E19" i="325" s="1"/>
  <c r="L79" i="482"/>
  <c r="K28" i="483" s="1"/>
  <c r="O65" i="60"/>
  <c r="AG29" i="393"/>
  <c r="AG33" i="393" s="1"/>
  <c r="AG32" i="393"/>
  <c r="E10" i="360"/>
  <c r="AI36" i="393"/>
  <c r="K70" i="389" s="1"/>
  <c r="AG84" i="393"/>
  <c r="D74" i="393"/>
  <c r="D75" i="393" s="1"/>
  <c r="D77" i="393"/>
  <c r="D78" i="393" s="1"/>
  <c r="AG90" i="393"/>
  <c r="AG87" i="393" s="1"/>
  <c r="K90" i="389" s="1"/>
  <c r="D38" i="393"/>
  <c r="D43" i="393" s="1"/>
  <c r="D35" i="393"/>
  <c r="D42" i="393" s="1"/>
  <c r="G55" i="2"/>
  <c r="G59" i="2" s="1"/>
  <c r="E36" i="325"/>
  <c r="E11" i="325" s="1"/>
  <c r="Q65" i="60"/>
  <c r="S65" i="60" s="1"/>
  <c r="E14" i="311"/>
  <c r="M75" i="60"/>
  <c r="P65" i="60"/>
  <c r="D36" i="325"/>
  <c r="D16" i="310"/>
  <c r="D11" i="311"/>
  <c r="S54" i="458"/>
  <c r="P55" i="458"/>
  <c r="P56" i="458"/>
  <c r="L75" i="60"/>
  <c r="D14" i="311"/>
  <c r="J55" i="391"/>
  <c r="J56" i="391"/>
  <c r="S65" i="482" s="1"/>
  <c r="M54" i="391"/>
  <c r="K79" i="60"/>
  <c r="D30" i="167"/>
  <c r="D34" i="167"/>
  <c r="D35" i="167"/>
  <c r="D38" i="167"/>
  <c r="D37" i="167"/>
  <c r="G27" i="393"/>
  <c r="G27" i="167"/>
  <c r="AC86" i="167"/>
  <c r="AC84" i="167"/>
  <c r="AC87" i="167"/>
  <c r="AC100" i="167"/>
  <c r="AD101" i="167" s="1"/>
  <c r="AD102" i="167" s="1"/>
  <c r="AC86" i="393"/>
  <c r="G110" i="389" s="1"/>
  <c r="AC84" i="393"/>
  <c r="AC100" i="393"/>
  <c r="AD101" i="393" s="1"/>
  <c r="AD102" i="393" s="1"/>
  <c r="AD36" i="393"/>
  <c r="C39" i="389" s="1"/>
  <c r="AD91" i="167"/>
  <c r="AE91" i="167"/>
  <c r="O71" i="477"/>
  <c r="H90" i="280"/>
  <c r="K70" i="477"/>
  <c r="C37" i="167"/>
  <c r="C38" i="167"/>
  <c r="C30" i="167"/>
  <c r="C35" i="167"/>
  <c r="C34" i="167"/>
  <c r="AC29" i="167"/>
  <c r="AD71" i="167"/>
  <c r="AC31" i="167"/>
  <c r="G71" i="477" s="1"/>
  <c r="AC32" i="167"/>
  <c r="I79" i="60"/>
  <c r="AH71" i="393"/>
  <c r="AG31" i="393"/>
  <c r="O71" i="389" s="1"/>
  <c r="K90" i="388"/>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N75" i="482" l="1"/>
  <c r="D19" i="325" s="1"/>
  <c r="D14" i="325"/>
  <c r="P86" i="482"/>
  <c r="E21" i="325" s="1"/>
  <c r="D72" i="316"/>
  <c r="F73" i="248" s="1"/>
  <c r="O65" i="482"/>
  <c r="Q65" i="482"/>
  <c r="Q75" i="482" s="1"/>
  <c r="M35" i="2"/>
  <c r="M35" i="483"/>
  <c r="M51" i="483" s="1"/>
  <c r="I55" i="483"/>
  <c r="I61" i="483" s="1"/>
  <c r="L35" i="483"/>
  <c r="L51" i="483" s="1"/>
  <c r="R65" i="60"/>
  <c r="R75" i="60" s="1"/>
  <c r="J47" i="483"/>
  <c r="J55" i="483" s="1"/>
  <c r="S75" i="482"/>
  <c r="P79" i="482"/>
  <c r="S75" i="60"/>
  <c r="S86" i="60" s="1"/>
  <c r="D19" i="363" s="1"/>
  <c r="N79" i="60"/>
  <c r="AG90" i="167" s="1"/>
  <c r="O75" i="60"/>
  <c r="O86" i="60" s="1"/>
  <c r="G73" i="477"/>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D37" i="374"/>
  <c r="T65" i="60"/>
  <c r="P75" i="60"/>
  <c r="Q75" i="60"/>
  <c r="D16" i="324"/>
  <c r="D11" i="325"/>
  <c r="J35" i="2"/>
  <c r="J51" i="2" s="1"/>
  <c r="I51" i="2"/>
  <c r="D23" i="310" s="1"/>
  <c r="U65" i="60"/>
  <c r="E37" i="374"/>
  <c r="E11" i="374" s="1"/>
  <c r="O54" i="391"/>
  <c r="L55" i="391"/>
  <c r="L56" i="391"/>
  <c r="V65" i="482" s="1"/>
  <c r="D19" i="311"/>
  <c r="L79" i="60"/>
  <c r="K28" i="2" s="1"/>
  <c r="R55" i="458"/>
  <c r="R56" i="458"/>
  <c r="E19" i="311"/>
  <c r="M86" i="60"/>
  <c r="M79" i="60"/>
  <c r="J27" i="167"/>
  <c r="J27" i="393"/>
  <c r="C43" i="167"/>
  <c r="H136" i="280"/>
  <c r="C33" i="176" s="1"/>
  <c r="F139" i="398"/>
  <c r="F136" i="280"/>
  <c r="G139" i="398"/>
  <c r="D43" i="167"/>
  <c r="F52" i="280" s="1"/>
  <c r="C19" i="359" s="1"/>
  <c r="H27" i="393"/>
  <c r="H27" i="167"/>
  <c r="G71" i="168"/>
  <c r="G71" i="388"/>
  <c r="C42" i="167"/>
  <c r="DE40" i="168"/>
  <c r="DM40" i="168"/>
  <c r="G40" i="168"/>
  <c r="G40" i="388"/>
  <c r="K70" i="168"/>
  <c r="D100" i="281"/>
  <c r="D102" i="281" s="1"/>
  <c r="E58" i="184"/>
  <c r="C90" i="388"/>
  <c r="J28" i="2"/>
  <c r="G38" i="184"/>
  <c r="K70" i="388"/>
  <c r="H135" i="369"/>
  <c r="D14" i="379" s="1"/>
  <c r="F138" i="398"/>
  <c r="F135" i="280"/>
  <c r="C32" i="176" s="1"/>
  <c r="G138" i="398"/>
  <c r="H135" i="280"/>
  <c r="D42" i="167"/>
  <c r="C39" i="388"/>
  <c r="E23" i="184"/>
  <c r="S23" i="184" s="1"/>
  <c r="H61" i="2"/>
  <c r="I86" i="60" s="1"/>
  <c r="H59" i="2"/>
  <c r="E68" i="184"/>
  <c r="C109" i="388"/>
  <c r="O91" i="388"/>
  <c r="C39" i="168"/>
  <c r="DI39" i="168"/>
  <c r="DQ39" i="168"/>
  <c r="DA39" i="168"/>
  <c r="D82" i="281"/>
  <c r="F23" i="184"/>
  <c r="F38" i="184"/>
  <c r="AC88" i="393"/>
  <c r="AD104" i="393" s="1"/>
  <c r="AD103" i="393"/>
  <c r="AD103" i="167"/>
  <c r="AC88" i="167"/>
  <c r="J52" i="280"/>
  <c r="DU40" i="168"/>
  <c r="O40" i="168"/>
  <c r="EC40" i="168"/>
  <c r="O40" i="388"/>
  <c r="F90" i="280"/>
  <c r="F92" i="398"/>
  <c r="G92" i="398"/>
  <c r="C70" i="388"/>
  <c r="E38" i="184"/>
  <c r="AC33" i="167"/>
  <c r="O71" i="168"/>
  <c r="O71" i="388"/>
  <c r="G110" i="388"/>
  <c r="DY39" i="168"/>
  <c r="G91" i="398"/>
  <c r="K39" i="388"/>
  <c r="K39" i="168"/>
  <c r="N79" i="482" l="1"/>
  <c r="D20" i="325" s="1"/>
  <c r="C12" i="318"/>
  <c r="C13" i="318" s="1"/>
  <c r="E20" i="325"/>
  <c r="C800" i="366"/>
  <c r="E800" i="366" s="1"/>
  <c r="C221" i="366"/>
  <c r="E221" i="366" s="1"/>
  <c r="S86" i="482"/>
  <c r="D69" i="371" s="1"/>
  <c r="D72" i="495"/>
  <c r="C737" i="366"/>
  <c r="E737" i="366" s="1"/>
  <c r="C597" i="366"/>
  <c r="E597" i="366" s="1"/>
  <c r="K26" i="483"/>
  <c r="L86" i="482"/>
  <c r="L85" i="482" s="1"/>
  <c r="C914" i="366"/>
  <c r="E914" i="366" s="1"/>
  <c r="C834" i="366"/>
  <c r="E834" i="366" s="1"/>
  <c r="R65" i="482"/>
  <c r="O75" i="482"/>
  <c r="T65" i="482"/>
  <c r="T75" i="482" s="1"/>
  <c r="O35" i="483"/>
  <c r="O51" i="483" s="1"/>
  <c r="O35" i="2"/>
  <c r="I59" i="483"/>
  <c r="I70" i="483" s="1"/>
  <c r="I74" i="483" s="1"/>
  <c r="I73" i="483" s="1"/>
  <c r="C573" i="366"/>
  <c r="E573" i="366" s="1"/>
  <c r="C542" i="366"/>
  <c r="E542" i="366" s="1"/>
  <c r="AG87" i="167"/>
  <c r="AG93" i="167"/>
  <c r="AG86" i="167"/>
  <c r="C43" i="366"/>
  <c r="E43" i="366" s="1"/>
  <c r="C410" i="366"/>
  <c r="E410" i="366" s="1"/>
  <c r="J59" i="483"/>
  <c r="J61" i="483"/>
  <c r="V65" i="60"/>
  <c r="W65" i="60" s="1"/>
  <c r="N35" i="483"/>
  <c r="N51" i="483" s="1"/>
  <c r="Q79" i="482"/>
  <c r="O28" i="483" s="1"/>
  <c r="V75" i="482"/>
  <c r="S79" i="482"/>
  <c r="R79" i="60"/>
  <c r="S79" i="60"/>
  <c r="D10" i="363" s="1"/>
  <c r="O79" i="60"/>
  <c r="D19" i="361" s="1"/>
  <c r="D20" i="311"/>
  <c r="E29" i="393"/>
  <c r="D10" i="361"/>
  <c r="AL35" i="393"/>
  <c r="AK35" i="393"/>
  <c r="C72" i="168"/>
  <c r="C73" i="168" s="1"/>
  <c r="C75" i="168" s="1"/>
  <c r="C76" i="168" s="1"/>
  <c r="C78" i="168" s="1"/>
  <c r="C79" i="168" s="1"/>
  <c r="C83" i="168" s="1"/>
  <c r="C148" i="366"/>
  <c r="E148" i="366" s="1"/>
  <c r="C632" i="366"/>
  <c r="E632" i="366" s="1"/>
  <c r="C349" i="366"/>
  <c r="E349" i="366" s="1"/>
  <c r="C222" i="366"/>
  <c r="E222" i="366" s="1"/>
  <c r="C198" i="366"/>
  <c r="E198" i="366" s="1"/>
  <c r="C14" i="366"/>
  <c r="E14" i="366" s="1"/>
  <c r="DA41" i="477"/>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C66" i="366"/>
  <c r="E66" i="366" s="1"/>
  <c r="C910" i="366"/>
  <c r="E910" i="366" s="1"/>
  <c r="D18" i="360"/>
  <c r="D88" i="393"/>
  <c r="C446" i="366"/>
  <c r="E446" i="366" s="1"/>
  <c r="C993" i="366"/>
  <c r="E993" i="366" s="1"/>
  <c r="Y65" i="60"/>
  <c r="AA65" i="60" s="1"/>
  <c r="E37" i="421"/>
  <c r="E11" i="421" s="1"/>
  <c r="L35" i="2"/>
  <c r="L51" i="2" s="1"/>
  <c r="K51" i="2"/>
  <c r="T75" i="60"/>
  <c r="D19" i="374" s="1"/>
  <c r="D14" i="374"/>
  <c r="E47" i="167"/>
  <c r="C14" i="305" s="1"/>
  <c r="E47" i="393"/>
  <c r="C12" i="305"/>
  <c r="E20" i="311"/>
  <c r="E29" i="167"/>
  <c r="E35" i="167" s="1"/>
  <c r="AH35" i="167"/>
  <c r="AG84" i="167" s="1"/>
  <c r="AG88" i="167" s="1"/>
  <c r="E77" i="167"/>
  <c r="E78" i="167" s="1"/>
  <c r="AG35" i="167"/>
  <c r="X65" i="60"/>
  <c r="D37" i="421"/>
  <c r="E14" i="374"/>
  <c r="U75" i="60"/>
  <c r="D16" i="373"/>
  <c r="D11" i="374"/>
  <c r="D71" i="301"/>
  <c r="E68" i="248" s="1"/>
  <c r="C19" i="361"/>
  <c r="E21" i="311"/>
  <c r="N56" i="391"/>
  <c r="N55" i="391"/>
  <c r="Q54" i="391"/>
  <c r="P79" i="60"/>
  <c r="Q79" i="60"/>
  <c r="Q86" i="60"/>
  <c r="F51" i="280"/>
  <c r="F53" i="280" s="1"/>
  <c r="F74" i="280" s="1"/>
  <c r="H51" i="280"/>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H52" i="280"/>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4"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I30" i="2"/>
  <c r="I47" i="2" s="1"/>
  <c r="J26" i="2"/>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V86" i="482" l="1"/>
  <c r="D72" i="496"/>
  <c r="E72" i="495"/>
  <c r="G73" i="248"/>
  <c r="L26" i="483"/>
  <c r="M26" i="483"/>
  <c r="C10" i="363"/>
  <c r="C11" i="363" s="1"/>
  <c r="B62" i="491"/>
  <c r="D62" i="491"/>
  <c r="E62" i="491"/>
  <c r="C62" i="491"/>
  <c r="U65" i="482"/>
  <c r="R75" i="482"/>
  <c r="O79" i="482"/>
  <c r="Q35" i="483"/>
  <c r="Q51" i="483" s="1"/>
  <c r="Q35" i="2"/>
  <c r="AP35" i="393"/>
  <c r="AO35" i="393"/>
  <c r="F29" i="393"/>
  <c r="F47" i="393"/>
  <c r="J70" i="483"/>
  <c r="F100" i="167"/>
  <c r="C15" i="318" s="1"/>
  <c r="V75" i="60"/>
  <c r="Y65" i="482"/>
  <c r="Y75" i="482" s="1"/>
  <c r="P35" i="483"/>
  <c r="P51" i="483" s="1"/>
  <c r="Z65" i="60"/>
  <c r="Z75" i="60" s="1"/>
  <c r="D13" i="373"/>
  <c r="W65" i="482"/>
  <c r="X65" i="482" s="1"/>
  <c r="AA75" i="60"/>
  <c r="AA86" i="60" s="1"/>
  <c r="D19" i="409" s="1"/>
  <c r="W75" i="60"/>
  <c r="W86" i="60" s="1"/>
  <c r="D19" i="372" s="1"/>
  <c r="E19" i="361"/>
  <c r="T79" i="482"/>
  <c r="V79" i="482"/>
  <c r="D13" i="324"/>
  <c r="D13" i="419"/>
  <c r="L28" i="2"/>
  <c r="J30" i="2"/>
  <c r="J47" i="2" s="1"/>
  <c r="F47" i="167"/>
  <c r="F29" i="167"/>
  <c r="E76" i="168"/>
  <c r="E78" i="168" s="1"/>
  <c r="E79" i="168" s="1"/>
  <c r="E98" i="168" s="1"/>
  <c r="F67" i="106"/>
  <c r="F69" i="106" s="1"/>
  <c r="AK35" i="167"/>
  <c r="AK29" i="167" s="1"/>
  <c r="AL35" i="167"/>
  <c r="G78" i="477"/>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K51" i="280"/>
  <c r="D17" i="360" s="1"/>
  <c r="G80" i="398"/>
  <c r="F80" i="400"/>
  <c r="G80" i="400"/>
  <c r="H85" i="60"/>
  <c r="O73" i="168"/>
  <c r="C119" i="291" s="1"/>
  <c r="T79" i="60"/>
  <c r="G54" i="398"/>
  <c r="G76" i="398" s="1"/>
  <c r="G96" i="398" s="1"/>
  <c r="BO39" i="168"/>
  <c r="F54" i="398"/>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AL36" i="393"/>
  <c r="E30" i="393"/>
  <c r="S39" i="389" s="1"/>
  <c r="H53" i="280"/>
  <c r="H74" i="280" s="1"/>
  <c r="H93" i="280" s="1"/>
  <c r="D86" i="281" s="1"/>
  <c r="C65" i="49"/>
  <c r="AG32" i="167"/>
  <c r="AG31" i="167"/>
  <c r="W71" i="477" s="1"/>
  <c r="AG29" i="167"/>
  <c r="C19" i="363"/>
  <c r="E19" i="363" s="1"/>
  <c r="D37" i="435"/>
  <c r="AB65" i="60"/>
  <c r="AD65" i="60" s="1"/>
  <c r="E34" i="167"/>
  <c r="H90" i="302" s="1"/>
  <c r="C16" i="305"/>
  <c r="E37" i="167"/>
  <c r="E38" i="167"/>
  <c r="E30" i="167"/>
  <c r="E37" i="435"/>
  <c r="E11" i="435" s="1"/>
  <c r="AC65" i="60"/>
  <c r="AE65" i="60" s="1"/>
  <c r="D11" i="421"/>
  <c r="D16" i="419"/>
  <c r="S90" i="388"/>
  <c r="P56" i="391"/>
  <c r="P55" i="391"/>
  <c r="N35" i="2"/>
  <c r="N51" i="2" s="1"/>
  <c r="M51" i="2"/>
  <c r="D23" i="373" s="1"/>
  <c r="E19" i="374"/>
  <c r="U79" i="60"/>
  <c r="G29" i="167" s="1"/>
  <c r="G30" i="167" s="1"/>
  <c r="U86" i="60"/>
  <c r="X75" i="60"/>
  <c r="D14" i="421"/>
  <c r="AH36" i="167"/>
  <c r="AI36" i="167"/>
  <c r="Y75" i="60"/>
  <c r="E14" i="421"/>
  <c r="C25" i="176"/>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O128" i="389"/>
  <c r="O44" i="389"/>
  <c r="O45" i="389" s="1"/>
  <c r="Q45" i="389" s="1"/>
  <c r="Q47" i="389" s="1"/>
  <c r="I112" i="389"/>
  <c r="I113" i="389" s="1"/>
  <c r="I111" i="389"/>
  <c r="I73" i="389"/>
  <c r="I74" i="389" s="1"/>
  <c r="I72" i="389"/>
  <c r="K75" i="168"/>
  <c r="C43" i="291"/>
  <c r="C57" i="291"/>
  <c r="E96" i="389"/>
  <c r="E98" i="389" s="1"/>
  <c r="E99" i="389" s="1"/>
  <c r="C98" i="389"/>
  <c r="C99" i="389" s="1"/>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I55" i="2"/>
  <c r="O75" i="388"/>
  <c r="O76" i="388" s="1"/>
  <c r="O135" i="388"/>
  <c r="E45" i="168"/>
  <c r="E47" i="168" s="1"/>
  <c r="E48" i="168" s="1"/>
  <c r="E91" i="168" s="1"/>
  <c r="C47" i="168"/>
  <c r="C48" i="168" s="1"/>
  <c r="C91" i="168" s="1"/>
  <c r="C51" i="168" s="1"/>
  <c r="E96" i="388"/>
  <c r="E98" i="388" s="1"/>
  <c r="E99" i="388" s="1"/>
  <c r="C98" i="388"/>
  <c r="C99" i="388" s="1"/>
  <c r="D19" i="359"/>
  <c r="E19" i="359" s="1"/>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N26" i="483" l="1"/>
  <c r="Y86" i="482"/>
  <c r="D72" i="497"/>
  <c r="E72" i="496"/>
  <c r="H73" i="248"/>
  <c r="F74" i="167"/>
  <c r="F75" i="167" s="1"/>
  <c r="F77" i="167"/>
  <c r="F78" i="167" s="1"/>
  <c r="F38" i="167"/>
  <c r="F43" i="167" s="1"/>
  <c r="F35" i="167"/>
  <c r="F42" i="167" s="1"/>
  <c r="C19" i="492"/>
  <c r="E19" i="492"/>
  <c r="AK33" i="167"/>
  <c r="B63" i="491"/>
  <c r="B20" i="492" s="1"/>
  <c r="E63" i="491"/>
  <c r="E20" i="492" s="1"/>
  <c r="D63" i="491"/>
  <c r="D20" i="492" s="1"/>
  <c r="C63" i="491"/>
  <c r="C20" i="492" s="1"/>
  <c r="D19" i="492"/>
  <c r="B19" i="492"/>
  <c r="X75" i="482"/>
  <c r="U75" i="482"/>
  <c r="R79" i="482"/>
  <c r="W75" i="482"/>
  <c r="S35" i="2"/>
  <c r="S35" i="483"/>
  <c r="S51" i="483" s="1"/>
  <c r="D20" i="374"/>
  <c r="D13" i="434" s="1"/>
  <c r="O28" i="2"/>
  <c r="J74" i="483"/>
  <c r="J73" i="483" s="1"/>
  <c r="AO32" i="393"/>
  <c r="AO29" i="393"/>
  <c r="AO33" i="393" s="1"/>
  <c r="AQ36" i="393"/>
  <c r="AP36" i="393"/>
  <c r="AO84" i="393"/>
  <c r="AO88" i="393" s="1"/>
  <c r="F30" i="393"/>
  <c r="AA39" i="389" s="1"/>
  <c r="F38" i="393"/>
  <c r="F43" i="393" s="1"/>
  <c r="F35" i="393"/>
  <c r="F42" i="393" s="1"/>
  <c r="AS35" i="393"/>
  <c r="G29" i="393"/>
  <c r="AT35" i="393"/>
  <c r="V79" i="60"/>
  <c r="F101" i="167"/>
  <c r="C16" i="318" s="1"/>
  <c r="F112" i="167"/>
  <c r="M28" i="2"/>
  <c r="N28" i="2" s="1"/>
  <c r="AB65" i="482"/>
  <c r="AB75" i="482" s="1"/>
  <c r="Z65" i="482"/>
  <c r="AA65" i="482" s="1"/>
  <c r="AD75" i="60"/>
  <c r="M28" i="483"/>
  <c r="L28" i="483"/>
  <c r="L30" i="483" s="1"/>
  <c r="K30" i="483"/>
  <c r="AE75" i="60"/>
  <c r="AE86" i="60" s="1"/>
  <c r="D19" i="423" s="1"/>
  <c r="W79" i="60"/>
  <c r="D10" i="372" s="1"/>
  <c r="Z79" i="60"/>
  <c r="AA79" i="60"/>
  <c r="D10" i="409" s="1"/>
  <c r="Y79" i="482"/>
  <c r="J55" i="2"/>
  <c r="F30" i="167"/>
  <c r="G47" i="167"/>
  <c r="C14" i="376" s="1"/>
  <c r="E85" i="168"/>
  <c r="E86" i="168" s="1"/>
  <c r="AM36" i="167"/>
  <c r="AL36" i="167"/>
  <c r="AK32" i="167"/>
  <c r="AA70" i="477" s="1"/>
  <c r="DG43" i="477"/>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E72" i="316"/>
  <c r="D24" i="360"/>
  <c r="E24" i="360" s="1"/>
  <c r="E17" i="360"/>
  <c r="O74" i="168"/>
  <c r="O99" i="168" s="1"/>
  <c r="C129" i="291" s="1"/>
  <c r="C133" i="291"/>
  <c r="G82" i="398"/>
  <c r="Q73" i="168"/>
  <c r="Q74" i="168" s="1"/>
  <c r="G90" i="398"/>
  <c r="G95" i="398" s="1"/>
  <c r="G97" i="398" s="1"/>
  <c r="BO70" i="168"/>
  <c r="N23" i="184"/>
  <c r="BP39" i="168"/>
  <c r="BP41" i="168" s="1"/>
  <c r="BO41" i="168"/>
  <c r="E18" i="360"/>
  <c r="M54" i="168"/>
  <c r="M55" i="168"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AK90" i="393" s="1"/>
  <c r="AP71" i="393"/>
  <c r="D61" i="281"/>
  <c r="H88" i="280"/>
  <c r="Q48" i="389"/>
  <c r="Q127" i="389" s="1"/>
  <c r="D41" i="310"/>
  <c r="E32" i="311"/>
  <c r="E127" i="388"/>
  <c r="AA90" i="388"/>
  <c r="W91" i="388"/>
  <c r="H136" i="302"/>
  <c r="D19" i="308"/>
  <c r="AG33" i="167"/>
  <c r="G77" i="167"/>
  <c r="G78" i="167" s="1"/>
  <c r="E20" i="374"/>
  <c r="AP35" i="167"/>
  <c r="AO35" i="167"/>
  <c r="G47" i="393"/>
  <c r="C12" i="376"/>
  <c r="D37" i="446"/>
  <c r="AF65" i="60"/>
  <c r="AH65" i="60" s="1"/>
  <c r="S39" i="388"/>
  <c r="S39" i="168"/>
  <c r="EG39" i="168"/>
  <c r="G91" i="400"/>
  <c r="D16" i="434"/>
  <c r="D11" i="435"/>
  <c r="W71" i="168"/>
  <c r="C21" i="305"/>
  <c r="D18" i="308"/>
  <c r="W71" i="388"/>
  <c r="Y79" i="60"/>
  <c r="Y86" i="60"/>
  <c r="E19" i="421"/>
  <c r="C19" i="372"/>
  <c r="E19" i="372" s="1"/>
  <c r="E21" i="374"/>
  <c r="J52" i="302"/>
  <c r="C18" i="361" s="1"/>
  <c r="E37" i="446"/>
  <c r="E11" i="446" s="1"/>
  <c r="AG65" i="60"/>
  <c r="AI65" i="60" s="1"/>
  <c r="AI75" i="60" s="1"/>
  <c r="AC75" i="60"/>
  <c r="E14" i="435"/>
  <c r="G139" i="400"/>
  <c r="F139" i="400"/>
  <c r="E43" i="167"/>
  <c r="F136" i="302"/>
  <c r="C20" i="305"/>
  <c r="F92" i="400"/>
  <c r="F90" i="302"/>
  <c r="D12" i="308"/>
  <c r="G92" i="400"/>
  <c r="S70" i="168"/>
  <c r="C18" i="305"/>
  <c r="D100" i="301" s="1"/>
  <c r="D102" i="301" s="1"/>
  <c r="G138" i="400"/>
  <c r="E42" i="167"/>
  <c r="G52" i="400" s="1"/>
  <c r="C19" i="305"/>
  <c r="F135" i="302"/>
  <c r="D13" i="308"/>
  <c r="H135" i="302"/>
  <c r="D14" i="308" s="1"/>
  <c r="F138" i="400"/>
  <c r="D14" i="435"/>
  <c r="AB75" i="60"/>
  <c r="D19" i="435" s="1"/>
  <c r="S70" i="388"/>
  <c r="H38" i="184"/>
  <c r="C24" i="314" s="1"/>
  <c r="D19" i="421"/>
  <c r="X79" i="60"/>
  <c r="D20" i="421" s="1"/>
  <c r="F37" i="167"/>
  <c r="AE40" i="477" s="1"/>
  <c r="F34" i="167"/>
  <c r="AK31" i="167"/>
  <c r="AE71" i="477" s="1"/>
  <c r="O51" i="2"/>
  <c r="D23" i="419" s="1"/>
  <c r="P35" i="2"/>
  <c r="P51" i="2" s="1"/>
  <c r="W40" i="388"/>
  <c r="W40" i="168"/>
  <c r="EK40" i="168"/>
  <c r="D82" i="301"/>
  <c r="E79"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E54" i="168"/>
  <c r="E55" i="168" s="1"/>
  <c r="E148" i="389"/>
  <c r="E124" i="389"/>
  <c r="DI91" i="168"/>
  <c r="DI51" i="168" s="1"/>
  <c r="DI52" i="168"/>
  <c r="E86" i="389"/>
  <c r="E79" i="389"/>
  <c r="DG44" i="168"/>
  <c r="C26" i="176"/>
  <c r="I59" i="2"/>
  <c r="D25" i="310" s="1"/>
  <c r="I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I114" i="389"/>
  <c r="I117" i="389"/>
  <c r="I118" i="389" s="1"/>
  <c r="G47" i="389"/>
  <c r="DW45" i="168"/>
  <c r="DW47" i="168" s="1"/>
  <c r="DW48" i="168" s="1"/>
  <c r="DW54" i="168" s="1"/>
  <c r="DW55" i="168" s="1"/>
  <c r="DU47" i="168"/>
  <c r="DU48" i="168" s="1"/>
  <c r="DU91" i="168" s="1"/>
  <c r="DU51" i="168" s="1"/>
  <c r="J75" i="167"/>
  <c r="DI55" i="168"/>
  <c r="C86" i="388"/>
  <c r="C55" i="388"/>
  <c r="F800" i="366" l="1"/>
  <c r="H800" i="366" s="1"/>
  <c r="F221" i="366"/>
  <c r="H221" i="366" s="1"/>
  <c r="AB86" i="482"/>
  <c r="D72" i="498"/>
  <c r="Z76" i="315"/>
  <c r="L196" i="167" s="1"/>
  <c r="L197" i="167" s="1"/>
  <c r="D12" i="321"/>
  <c r="D100" i="496"/>
  <c r="D102" i="496" s="1"/>
  <c r="D100" i="498"/>
  <c r="D102" i="498" s="1"/>
  <c r="D100" i="497"/>
  <c r="D102" i="497" s="1"/>
  <c r="D100" i="495"/>
  <c r="D102" i="495" s="1"/>
  <c r="E72" i="497"/>
  <c r="I73" i="248"/>
  <c r="K47" i="483"/>
  <c r="L47" i="483"/>
  <c r="L55" i="483" s="1"/>
  <c r="F737" i="366"/>
  <c r="H737" i="366" s="1"/>
  <c r="F597" i="366"/>
  <c r="H597" i="366" s="1"/>
  <c r="F83" i="167"/>
  <c r="F84" i="167"/>
  <c r="F89" i="167" s="1"/>
  <c r="F81" i="167"/>
  <c r="F88" i="167" s="1"/>
  <c r="J81" i="315" s="1"/>
  <c r="C17" i="363" s="1"/>
  <c r="F76" i="167"/>
  <c r="F80" i="167"/>
  <c r="B64" i="491"/>
  <c r="E64" i="491"/>
  <c r="B21" i="492"/>
  <c r="B23" i="492" s="1"/>
  <c r="B51" i="492" s="1"/>
  <c r="D64" i="491"/>
  <c r="E21" i="492"/>
  <c r="E23" i="492" s="1"/>
  <c r="E51" i="492" s="1"/>
  <c r="D21" i="492"/>
  <c r="D23" i="492" s="1"/>
  <c r="D51" i="492" s="1"/>
  <c r="C21" i="492"/>
  <c r="C23" i="492" s="1"/>
  <c r="C51" i="492" s="1"/>
  <c r="C64" i="491"/>
  <c r="AA75" i="482"/>
  <c r="AA79" i="482" s="1"/>
  <c r="F914" i="366"/>
  <c r="H914" i="366" s="1"/>
  <c r="F834" i="366"/>
  <c r="H834" i="366" s="1"/>
  <c r="X79" i="482"/>
  <c r="U79" i="482"/>
  <c r="W79" i="482"/>
  <c r="S28" i="483" s="1"/>
  <c r="Z75" i="482"/>
  <c r="F573" i="366"/>
  <c r="H573" i="366" s="1"/>
  <c r="F542" i="366"/>
  <c r="H542" i="366" s="1"/>
  <c r="F43" i="366"/>
  <c r="H43" i="366" s="1"/>
  <c r="F410" i="366"/>
  <c r="H410" i="366" s="1"/>
  <c r="AY35" i="393"/>
  <c r="AX35" i="393"/>
  <c r="H29" i="393"/>
  <c r="AD79" i="60"/>
  <c r="N28" i="483"/>
  <c r="N30" i="483" s="1"/>
  <c r="M30" i="483"/>
  <c r="Q28" i="483"/>
  <c r="R28" i="483" s="1"/>
  <c r="P28" i="483"/>
  <c r="AH75" i="60"/>
  <c r="AE79" i="60"/>
  <c r="D10" i="423" s="1"/>
  <c r="T35" i="483"/>
  <c r="T51" i="483" s="1"/>
  <c r="R35" i="483"/>
  <c r="R51" i="483" s="1"/>
  <c r="AI79" i="60"/>
  <c r="D10" i="443" s="1"/>
  <c r="AI86" i="60"/>
  <c r="D19" i="443" s="1"/>
  <c r="AB79" i="482"/>
  <c r="J59" i="2"/>
  <c r="J61" i="2"/>
  <c r="N86" i="60" s="1"/>
  <c r="C44" i="361" s="1"/>
  <c r="H171" i="315"/>
  <c r="H172" i="478"/>
  <c r="P28" i="2"/>
  <c r="Q28" i="2"/>
  <c r="AA39" i="477"/>
  <c r="AA41" i="477" s="1"/>
  <c r="AA42" i="477" s="1"/>
  <c r="AA44" i="477" s="1"/>
  <c r="AA45" i="477" s="1"/>
  <c r="F148" i="366"/>
  <c r="H148" i="366" s="1"/>
  <c r="F632" i="366"/>
  <c r="H632" i="366" s="1"/>
  <c r="F349" i="366"/>
  <c r="H349" i="366" s="1"/>
  <c r="F222" i="366"/>
  <c r="H222" i="366" s="1"/>
  <c r="F198" i="366"/>
  <c r="H198" i="366" s="1"/>
  <c r="F14" i="366"/>
  <c r="H14" i="366" s="1"/>
  <c r="EC55" i="477"/>
  <c r="DE47" i="477"/>
  <c r="DE55" i="477" s="1"/>
  <c r="G83" i="477"/>
  <c r="G98" i="477"/>
  <c r="G82"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72" i="315"/>
  <c r="F1007" i="366"/>
  <c r="H1007" i="366" s="1"/>
  <c r="F893" i="366"/>
  <c r="H893" i="366" s="1"/>
  <c r="C12" i="359"/>
  <c r="K55" i="168"/>
  <c r="F916" i="366"/>
  <c r="H916" i="366" s="1"/>
  <c r="F4" i="366"/>
  <c r="H4" i="366" s="1"/>
  <c r="F331" i="366"/>
  <c r="H331" i="366" s="1"/>
  <c r="F149" i="366"/>
  <c r="H149" i="366" s="1"/>
  <c r="F748" i="366"/>
  <c r="H748" i="366" s="1"/>
  <c r="F11" i="366"/>
  <c r="H11" i="366" s="1"/>
  <c r="AK88" i="393"/>
  <c r="K52" i="302" s="1"/>
  <c r="C120" i="291"/>
  <c r="O75" i="168"/>
  <c r="C121" i="291" s="1"/>
  <c r="E133" i="291"/>
  <c r="E119" i="291"/>
  <c r="BQ40" i="168"/>
  <c r="BR40" i="168" s="1"/>
  <c r="BR41" i="168" s="1"/>
  <c r="BQ71" i="168"/>
  <c r="BR71" i="168" s="1"/>
  <c r="BR72" i="168" s="1"/>
  <c r="Q79" i="389"/>
  <c r="Q134" i="389" s="1"/>
  <c r="Q99" i="389"/>
  <c r="Q148" i="389" s="1"/>
  <c r="F66" i="366"/>
  <c r="H66" i="366" s="1"/>
  <c r="F910" i="366"/>
  <c r="H910" i="366" s="1"/>
  <c r="AU36" i="393"/>
  <c r="AI70" i="389" s="1"/>
  <c r="G34" i="393"/>
  <c r="G39" i="184"/>
  <c r="G40" i="184" s="1"/>
  <c r="D11" i="372"/>
  <c r="F37" i="393"/>
  <c r="AE40" i="389" s="1"/>
  <c r="K105" i="388"/>
  <c r="K86" i="388"/>
  <c r="Q106" i="388"/>
  <c r="E11" i="361"/>
  <c r="E77" i="393"/>
  <c r="E78" i="393" s="1"/>
  <c r="E74" i="393"/>
  <c r="E75" i="393" s="1"/>
  <c r="D11" i="363"/>
  <c r="E10" i="363"/>
  <c r="F34" i="393"/>
  <c r="AO31" i="393"/>
  <c r="AE71" i="389" s="1"/>
  <c r="AA70" i="389"/>
  <c r="Q54" i="389"/>
  <c r="Q55" i="389" s="1"/>
  <c r="AS29" i="393"/>
  <c r="AS33" i="393" s="1"/>
  <c r="AS32" i="393"/>
  <c r="F446" i="366"/>
  <c r="H446" i="366" s="1"/>
  <c r="F993" i="366"/>
  <c r="H993" i="366" s="1"/>
  <c r="H51" i="302"/>
  <c r="F52" i="400"/>
  <c r="AA39" i="388"/>
  <c r="AA39" i="168"/>
  <c r="AG75" i="60"/>
  <c r="AG79" i="60" s="1"/>
  <c r="E14" i="446"/>
  <c r="W72" i="389"/>
  <c r="W73" i="389" s="1"/>
  <c r="W74" i="389" s="1"/>
  <c r="Y71" i="389"/>
  <c r="Y72" i="389" s="1"/>
  <c r="Y73" i="389" s="1"/>
  <c r="Y74" i="389" s="1"/>
  <c r="Y75" i="389" s="1"/>
  <c r="S41" i="388"/>
  <c r="S42" i="388" s="1"/>
  <c r="U39" i="388"/>
  <c r="U41" i="388" s="1"/>
  <c r="U42" i="388" s="1"/>
  <c r="U44" i="388" s="1"/>
  <c r="AF75" i="60"/>
  <c r="D14" i="446"/>
  <c r="I38" i="184"/>
  <c r="C24" i="322" s="1"/>
  <c r="AA70" i="388"/>
  <c r="AE91" i="388"/>
  <c r="W41" i="168"/>
  <c r="W42" i="168" s="1"/>
  <c r="W43" i="168" s="1"/>
  <c r="W44" i="168" s="1"/>
  <c r="Y40" i="168"/>
  <c r="Y41" i="168" s="1"/>
  <c r="Y42" i="168" s="1"/>
  <c r="Y43" i="168" s="1"/>
  <c r="Y44" i="168" s="1"/>
  <c r="D100" i="316"/>
  <c r="D102" i="316" s="1"/>
  <c r="AA70" i="168"/>
  <c r="S72" i="389"/>
  <c r="S73" i="389" s="1"/>
  <c r="U70" i="389"/>
  <c r="U72" i="389" s="1"/>
  <c r="U73" i="389" s="1"/>
  <c r="U75" i="389" s="1"/>
  <c r="D60" i="408"/>
  <c r="E21" i="421"/>
  <c r="C19" i="409"/>
  <c r="E19" i="409" s="1"/>
  <c r="U39" i="389"/>
  <c r="U41" i="389" s="1"/>
  <c r="U42" i="389" s="1"/>
  <c r="U44" i="389" s="1"/>
  <c r="S41" i="389"/>
  <c r="S42" i="389" s="1"/>
  <c r="D16" i="445"/>
  <c r="D11" i="446"/>
  <c r="T35" i="2"/>
  <c r="T51" i="2" s="1"/>
  <c r="AO32" i="167"/>
  <c r="AI70" i="477" s="1"/>
  <c r="AO29" i="167"/>
  <c r="AO31" i="167"/>
  <c r="AM71" i="477" s="1"/>
  <c r="G34" i="167"/>
  <c r="F124" i="478" s="1"/>
  <c r="G35" i="167"/>
  <c r="G38" i="167"/>
  <c r="G37" i="167"/>
  <c r="AM40" i="477" s="1"/>
  <c r="C16" i="376"/>
  <c r="C22" i="305"/>
  <c r="D21" i="308"/>
  <c r="AE71" i="388"/>
  <c r="AE71" i="168"/>
  <c r="U70" i="388"/>
  <c r="U72" i="388" s="1"/>
  <c r="U73" i="388" s="1"/>
  <c r="U75" i="388" s="1"/>
  <c r="S72" i="388"/>
  <c r="S73" i="388" s="1"/>
  <c r="Y40" i="389"/>
  <c r="Y41" i="389" s="1"/>
  <c r="Y42" i="389" s="1"/>
  <c r="Y43" i="389" s="1"/>
  <c r="Y44" i="389" s="1"/>
  <c r="W41" i="389"/>
  <c r="W42" i="389" s="1"/>
  <c r="W43" i="389" s="1"/>
  <c r="W44" i="389" s="1"/>
  <c r="F171" i="315"/>
  <c r="F53" i="400"/>
  <c r="F52" i="302"/>
  <c r="C19" i="364" s="1"/>
  <c r="G53" i="400"/>
  <c r="G54" i="400" s="1"/>
  <c r="G76" i="400" s="1"/>
  <c r="H47" i="167"/>
  <c r="C14" i="413" s="1"/>
  <c r="H47" i="393"/>
  <c r="AT35" i="167"/>
  <c r="AU35" i="167"/>
  <c r="C12" i="413"/>
  <c r="H77" i="167"/>
  <c r="H78" i="167" s="1"/>
  <c r="H29" i="167"/>
  <c r="E20" i="421"/>
  <c r="Q51" i="2"/>
  <c r="D23" i="434" s="1"/>
  <c r="R35" i="2"/>
  <c r="R51" i="2" s="1"/>
  <c r="EI39" i="168"/>
  <c r="EI41" i="168" s="1"/>
  <c r="EI42" i="168" s="1"/>
  <c r="EI44" i="168" s="1"/>
  <c r="EG41" i="168"/>
  <c r="EG42" i="168" s="1"/>
  <c r="EG44" i="168" s="1"/>
  <c r="EG45" i="168" s="1"/>
  <c r="AT71" i="393"/>
  <c r="AS31" i="393"/>
  <c r="AM71" i="389" s="1"/>
  <c r="AQ36" i="167"/>
  <c r="AP36" i="167"/>
  <c r="EK41" i="168"/>
  <c r="EK42" i="168" s="1"/>
  <c r="EK43" i="168" s="1"/>
  <c r="EM40" i="168"/>
  <c r="EM41" i="168" s="1"/>
  <c r="EM42" i="168" s="1"/>
  <c r="EM43" i="168" s="1"/>
  <c r="F172" i="315"/>
  <c r="C124" i="389"/>
  <c r="C105" i="389"/>
  <c r="E106" i="389" s="1"/>
  <c r="U90" i="388"/>
  <c r="U92" i="388" s="1"/>
  <c r="U93" i="388" s="1"/>
  <c r="U95" i="388" s="1"/>
  <c r="S92" i="388"/>
  <c r="S93" i="388" s="1"/>
  <c r="W41" i="388"/>
  <c r="W42" i="388" s="1"/>
  <c r="W43" i="388" s="1"/>
  <c r="W44" i="388" s="1"/>
  <c r="Y40" i="388"/>
  <c r="Y41" i="388" s="1"/>
  <c r="Y42" i="388" s="1"/>
  <c r="Y43" i="388" s="1"/>
  <c r="Y44" i="388" s="1"/>
  <c r="F124" i="315"/>
  <c r="AE40" i="388"/>
  <c r="AE40" i="168"/>
  <c r="D15" i="308"/>
  <c r="F51" i="302"/>
  <c r="C15" i="303"/>
  <c r="E15" i="303" s="1"/>
  <c r="C58" i="303"/>
  <c r="U70" i="168"/>
  <c r="S72" i="168"/>
  <c r="S73" i="168" s="1"/>
  <c r="E19" i="435"/>
  <c r="AC86" i="60"/>
  <c r="AC79" i="60"/>
  <c r="Y71" i="388"/>
  <c r="Y72" i="388" s="1"/>
  <c r="Y73" i="388" s="1"/>
  <c r="Y74" i="388" s="1"/>
  <c r="W72" i="388"/>
  <c r="W73" i="388" s="1"/>
  <c r="W74" i="388" s="1"/>
  <c r="W72" i="168"/>
  <c r="C134" i="303" s="1"/>
  <c r="C91" i="303"/>
  <c r="E91" i="303" s="1"/>
  <c r="Y71" i="168"/>
  <c r="U39" i="168"/>
  <c r="U41" i="168" s="1"/>
  <c r="U42" i="168" s="1"/>
  <c r="U44" i="168" s="1"/>
  <c r="S41" i="168"/>
  <c r="S42" i="168" s="1"/>
  <c r="AI90" i="388"/>
  <c r="H52" i="302"/>
  <c r="D64" i="109" s="1"/>
  <c r="W92" i="388"/>
  <c r="W93" i="388" s="1"/>
  <c r="W94" i="388" s="1"/>
  <c r="Y91" i="388"/>
  <c r="Y92" i="388" s="1"/>
  <c r="Y93" i="388" s="1"/>
  <c r="Y94" i="388" s="1"/>
  <c r="Y95" i="388" s="1"/>
  <c r="AB79" i="60"/>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DQ54" i="168"/>
  <c r="DQ55" i="168" s="1"/>
  <c r="E85" i="389"/>
  <c r="E134" i="389"/>
  <c r="I55" i="388"/>
  <c r="G48" i="389"/>
  <c r="G55" i="389"/>
  <c r="I79" i="389"/>
  <c r="I86" i="389"/>
  <c r="Q54" i="388"/>
  <c r="Q55" i="388" s="1"/>
  <c r="Q127" i="388"/>
  <c r="L86" i="60"/>
  <c r="D26" i="310"/>
  <c r="K26" i="2"/>
  <c r="I70" i="2"/>
  <c r="E120" i="291"/>
  <c r="Q75" i="168"/>
  <c r="E121" i="291" s="1"/>
  <c r="I98" i="168"/>
  <c r="I85" i="168"/>
  <c r="I86" i="168" s="1"/>
  <c r="C44" i="360"/>
  <c r="G79" i="389"/>
  <c r="G86" i="389"/>
  <c r="C52" i="389"/>
  <c r="C127" i="389"/>
  <c r="C51" i="389" s="1"/>
  <c r="EC91" i="168"/>
  <c r="EC51" i="168" s="1"/>
  <c r="EC52" i="168"/>
  <c r="O148" i="389"/>
  <c r="O141" i="389"/>
  <c r="O102" i="389" s="1"/>
  <c r="I127" i="388"/>
  <c r="I54" i="388"/>
  <c r="I57" i="388" s="1"/>
  <c r="DM52" i="168"/>
  <c r="DM91" i="168"/>
  <c r="DM51" i="168" s="1"/>
  <c r="G52" i="388"/>
  <c r="G127" i="388"/>
  <c r="G51" i="388" s="1"/>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185" i="366"/>
  <c r="T185" i="366" s="1"/>
  <c r="Q299" i="366"/>
  <c r="T299" i="366" s="1"/>
  <c r="Q1020" i="366"/>
  <c r="T1020" i="366" s="1"/>
  <c r="Q504" i="366"/>
  <c r="T504" i="366" s="1"/>
  <c r="Q638" i="366"/>
  <c r="T638" i="366" s="1"/>
  <c r="Q314" i="366"/>
  <c r="T314" i="366" s="1"/>
  <c r="Q779" i="366"/>
  <c r="T779" i="366" s="1"/>
  <c r="Q660" i="366"/>
  <c r="T660"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M47" i="483" l="1"/>
  <c r="M55" i="483" s="1"/>
  <c r="N47" i="483"/>
  <c r="N55" i="483" s="1"/>
  <c r="Z77" i="315"/>
  <c r="Z78" i="315" s="1"/>
  <c r="K55" i="483"/>
  <c r="D24" i="324" s="1"/>
  <c r="D21" i="324"/>
  <c r="I800" i="366"/>
  <c r="K800" i="366" s="1"/>
  <c r="I221" i="366"/>
  <c r="K221" i="366" s="1"/>
  <c r="E72" i="498"/>
  <c r="J73" i="248"/>
  <c r="L59" i="483"/>
  <c r="L61" i="483"/>
  <c r="O86" i="482" s="1"/>
  <c r="O85" i="482" s="1"/>
  <c r="K61" i="483"/>
  <c r="I737" i="366"/>
  <c r="K737" i="366" s="1"/>
  <c r="I597" i="366"/>
  <c r="K597" i="366" s="1"/>
  <c r="F51" i="492"/>
  <c r="I914" i="366"/>
  <c r="K914" i="366" s="1"/>
  <c r="I834" i="366"/>
  <c r="K834" i="366" s="1"/>
  <c r="Z79" i="482"/>
  <c r="D20" i="435"/>
  <c r="D13" i="445" s="1"/>
  <c r="S28" i="2"/>
  <c r="T28" i="2" s="1"/>
  <c r="AO90" i="393"/>
  <c r="F77" i="393"/>
  <c r="F78" i="393" s="1"/>
  <c r="I573" i="366"/>
  <c r="K573" i="366" s="1"/>
  <c r="I542" i="366"/>
  <c r="K542" i="366" s="1"/>
  <c r="I43" i="366"/>
  <c r="K43" i="366" s="1"/>
  <c r="I410" i="366"/>
  <c r="K410" i="366" s="1"/>
  <c r="BC35" i="393"/>
  <c r="BC32" i="393" s="1"/>
  <c r="I29" i="393"/>
  <c r="I38" i="393" s="1"/>
  <c r="I43" i="393" s="1"/>
  <c r="BD35" i="393"/>
  <c r="BE36" i="393" s="1"/>
  <c r="J29" i="393"/>
  <c r="BI35" i="393"/>
  <c r="BH35" i="393"/>
  <c r="AH79" i="60"/>
  <c r="E11" i="372"/>
  <c r="AS90" i="393"/>
  <c r="AS87" i="393" s="1"/>
  <c r="AI90" i="389" s="1"/>
  <c r="T28" i="483"/>
  <c r="J70" i="2"/>
  <c r="J74" i="2" s="1"/>
  <c r="F172" i="478"/>
  <c r="AI39" i="477"/>
  <c r="AK39" i="477" s="1"/>
  <c r="AK41" i="477" s="1"/>
  <c r="AK42" i="477" s="1"/>
  <c r="AK44" i="477" s="1"/>
  <c r="F123" i="478"/>
  <c r="H171" i="478"/>
  <c r="F171" i="478"/>
  <c r="R28" i="2"/>
  <c r="F82" i="315"/>
  <c r="C19" i="368" s="1"/>
  <c r="H82" i="315"/>
  <c r="J82" i="315"/>
  <c r="C18" i="363" s="1"/>
  <c r="AC39" i="477"/>
  <c r="AC41" i="477" s="1"/>
  <c r="AC42" i="477" s="1"/>
  <c r="AC44" i="477" s="1"/>
  <c r="I148" i="366"/>
  <c r="K148" i="366" s="1"/>
  <c r="I632" i="366"/>
  <c r="K632" i="366" s="1"/>
  <c r="C18" i="108"/>
  <c r="D65" i="109"/>
  <c r="D16" i="308"/>
  <c r="D63" i="109"/>
  <c r="I349" i="366"/>
  <c r="K349" i="366" s="1"/>
  <c r="I222" i="366"/>
  <c r="K222" i="366" s="1"/>
  <c r="DE48" i="477"/>
  <c r="DE54" i="477" s="1"/>
  <c r="I198" i="366"/>
  <c r="K198" i="366" s="1"/>
  <c r="I14" i="366"/>
  <c r="K14" i="366" s="1"/>
  <c r="G85" i="477"/>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92" i="477"/>
  <c r="AE44" i="477"/>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K82" i="315"/>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10" i="409"/>
  <c r="AX84" i="393"/>
  <c r="AX31" i="393"/>
  <c r="AU71" i="389" s="1"/>
  <c r="H89" i="280"/>
  <c r="D81" i="281" s="1"/>
  <c r="G38" i="393"/>
  <c r="G43" i="393" s="1"/>
  <c r="G30" i="393"/>
  <c r="AI39" i="389" s="1"/>
  <c r="G35" i="393"/>
  <c r="G42" i="393" s="1"/>
  <c r="G37" i="393"/>
  <c r="AM40" i="389" s="1"/>
  <c r="AT36" i="393"/>
  <c r="G74" i="393"/>
  <c r="G75" i="393" s="1"/>
  <c r="G81" i="393" s="1"/>
  <c r="G77" i="393"/>
  <c r="G78" i="393" s="1"/>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H38" i="393"/>
  <c r="H43" i="393" s="1"/>
  <c r="H35" i="393"/>
  <c r="H42" i="393" s="1"/>
  <c r="G96" i="400"/>
  <c r="G82" i="400"/>
  <c r="G90" i="400"/>
  <c r="G95" i="400" s="1"/>
  <c r="F54" i="400"/>
  <c r="H53" i="302"/>
  <c r="J47" i="393"/>
  <c r="J77" i="167"/>
  <c r="J78" i="167" s="1"/>
  <c r="BE35" i="167"/>
  <c r="BF36" i="167" s="1"/>
  <c r="J47" i="167"/>
  <c r="C14" i="449" s="1"/>
  <c r="BD35" i="167"/>
  <c r="BD29" i="167" s="1"/>
  <c r="E20" i="446"/>
  <c r="D65" i="49"/>
  <c r="J29" i="167"/>
  <c r="J34" i="167" s="1"/>
  <c r="F124" i="490" s="1"/>
  <c r="C12" i="449"/>
  <c r="I446" i="366"/>
  <c r="K446" i="366" s="1"/>
  <c r="I993" i="366"/>
  <c r="K993" i="366" s="1"/>
  <c r="F59" i="184"/>
  <c r="W142" i="388"/>
  <c r="W95" i="388"/>
  <c r="W96" i="388" s="1"/>
  <c r="Y96" i="388" s="1"/>
  <c r="Y98" i="388" s="1"/>
  <c r="Y99" i="388" s="1"/>
  <c r="Y105" i="388" s="1"/>
  <c r="H30" i="393"/>
  <c r="AQ39" i="389" s="1"/>
  <c r="H34" i="393"/>
  <c r="H37" i="393"/>
  <c r="AU40" i="389" s="1"/>
  <c r="H81" i="315"/>
  <c r="F81" i="315"/>
  <c r="AG71" i="388"/>
  <c r="AG72" i="388" s="1"/>
  <c r="AG73" i="388" s="1"/>
  <c r="AG74" i="388" s="1"/>
  <c r="AG75" i="388" s="1"/>
  <c r="AE72" i="388"/>
  <c r="AE73" i="388" s="1"/>
  <c r="AE74" i="388" s="1"/>
  <c r="AE75" i="388" s="1"/>
  <c r="AE76" i="388" s="1"/>
  <c r="AM40" i="168"/>
  <c r="AM40" i="388"/>
  <c r="AA72" i="388"/>
  <c r="AA73" i="388" s="1"/>
  <c r="AC70" i="388"/>
  <c r="AC72" i="388" s="1"/>
  <c r="AC73" i="388" s="1"/>
  <c r="AC75" i="388" s="1"/>
  <c r="AF79" i="60"/>
  <c r="D20" i="446" s="1"/>
  <c r="D19" i="446"/>
  <c r="AA41" i="388"/>
  <c r="AA42" i="388" s="1"/>
  <c r="AC39" i="388"/>
  <c r="AC41" i="388" s="1"/>
  <c r="AC42" i="388" s="1"/>
  <c r="AC44" i="388" s="1"/>
  <c r="D22" i="308"/>
  <c r="D19" i="364"/>
  <c r="E19" i="364" s="1"/>
  <c r="D60" i="424"/>
  <c r="D60" i="444"/>
  <c r="C19" i="423"/>
  <c r="E19" i="423" s="1"/>
  <c r="E21" i="435"/>
  <c r="AE41" i="389"/>
  <c r="AE42" i="389" s="1"/>
  <c r="AE43" i="389" s="1"/>
  <c r="AE44" i="389" s="1"/>
  <c r="AG40" i="389"/>
  <c r="EM44" i="168"/>
  <c r="J52" i="369"/>
  <c r="C18" i="372" s="1"/>
  <c r="AU36" i="167"/>
  <c r="AV36" i="167"/>
  <c r="AG71" i="168"/>
  <c r="AE72" i="168"/>
  <c r="C134" i="327" s="1"/>
  <c r="C91" i="327"/>
  <c r="E91" i="327" s="1"/>
  <c r="C22" i="376"/>
  <c r="F136" i="369"/>
  <c r="G43" i="167"/>
  <c r="F52" i="369" s="1"/>
  <c r="C19" i="384" s="1"/>
  <c r="AM71" i="388"/>
  <c r="C21" i="376"/>
  <c r="AM71" i="168"/>
  <c r="D18" i="379"/>
  <c r="W45" i="168"/>
  <c r="Y45" i="168" s="1"/>
  <c r="Y47" i="168" s="1"/>
  <c r="W92" i="168"/>
  <c r="C24" i="361"/>
  <c r="AG86" i="60"/>
  <c r="E19" i="446"/>
  <c r="I77" i="167"/>
  <c r="I78" i="167" s="1"/>
  <c r="I47" i="167"/>
  <c r="C14" i="428" s="1"/>
  <c r="I29" i="167"/>
  <c r="C12" i="428"/>
  <c r="AZ35" i="167"/>
  <c r="E20" i="435"/>
  <c r="AY35" i="167"/>
  <c r="I47" i="393"/>
  <c r="AQ90" i="388"/>
  <c r="W45" i="389"/>
  <c r="W128" i="389"/>
  <c r="AI39" i="388"/>
  <c r="AI39" i="168"/>
  <c r="S51" i="2"/>
  <c r="D23" i="445" s="1"/>
  <c r="AE92" i="388"/>
  <c r="AE93" i="388" s="1"/>
  <c r="AE94" i="388" s="1"/>
  <c r="AG91" i="388"/>
  <c r="AG92" i="388" s="1"/>
  <c r="AG93" i="388" s="1"/>
  <c r="AG94" i="388" s="1"/>
  <c r="AG95" i="388" s="1"/>
  <c r="Y72" i="168"/>
  <c r="E134" i="303" s="1"/>
  <c r="W75" i="388"/>
  <c r="W76" i="388" s="1"/>
  <c r="Y76" i="388" s="1"/>
  <c r="Y78" i="388" s="1"/>
  <c r="W135" i="388"/>
  <c r="AE41" i="168"/>
  <c r="AE42" i="168" s="1"/>
  <c r="AE43" i="168" s="1"/>
  <c r="AE44" i="168" s="1"/>
  <c r="AE45" i="168" s="1"/>
  <c r="AG40" i="168"/>
  <c r="AG41" i="168" s="1"/>
  <c r="AG42" i="168" s="1"/>
  <c r="AG43" i="168" s="1"/>
  <c r="AG44" i="168" s="1"/>
  <c r="EK44" i="168"/>
  <c r="EK45" i="168" s="1"/>
  <c r="EM45" i="168" s="1"/>
  <c r="EM47" i="168" s="1"/>
  <c r="EK92" i="168"/>
  <c r="H38" i="167"/>
  <c r="H30" i="167"/>
  <c r="H34" i="167"/>
  <c r="F124" i="481" s="1"/>
  <c r="H37" i="167"/>
  <c r="AU40" i="477" s="1"/>
  <c r="H35" i="167"/>
  <c r="C16" i="413"/>
  <c r="AT31" i="167"/>
  <c r="AU71" i="477" s="1"/>
  <c r="AT29" i="167"/>
  <c r="AT32" i="167"/>
  <c r="AQ70" i="477" s="1"/>
  <c r="AA92" i="388"/>
  <c r="AA93" i="388" s="1"/>
  <c r="AC90" i="388"/>
  <c r="AC92" i="388" s="1"/>
  <c r="AC93" i="388" s="1"/>
  <c r="AC95" i="388" s="1"/>
  <c r="AG71" i="389"/>
  <c r="AE72" i="389"/>
  <c r="AE73" i="389" s="1"/>
  <c r="AE74" i="389" s="1"/>
  <c r="AE75" i="389" s="1"/>
  <c r="F135" i="369"/>
  <c r="D13" i="379"/>
  <c r="G42" i="167"/>
  <c r="F81" i="478" s="1"/>
  <c r="C19" i="376"/>
  <c r="AO33" i="167"/>
  <c r="H82" i="478" s="1"/>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E45" i="388" s="1"/>
  <c r="AG40" i="388"/>
  <c r="AG41" i="388" s="1"/>
  <c r="AG42" i="388" s="1"/>
  <c r="AG43" i="388" s="1"/>
  <c r="AG44" i="388" s="1"/>
  <c r="J38" i="184"/>
  <c r="C24" i="380" s="1"/>
  <c r="AI70" i="388"/>
  <c r="H90" i="369"/>
  <c r="C20" i="376"/>
  <c r="D12" i="379"/>
  <c r="F90" i="369"/>
  <c r="C18" i="376"/>
  <c r="D97" i="371" s="1"/>
  <c r="D99" i="371"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D12" i="324"/>
  <c r="D14" i="324" s="1"/>
  <c r="D12" i="373"/>
  <c r="D14" i="373" s="1"/>
  <c r="D12" i="419"/>
  <c r="D14" i="419" s="1"/>
  <c r="Q54" i="168"/>
  <c r="Q55" i="168" s="1"/>
  <c r="Q91" i="168"/>
  <c r="G54" i="388"/>
  <c r="G134" i="389"/>
  <c r="G82" i="389" s="1"/>
  <c r="G83" i="389"/>
  <c r="F78" i="302"/>
  <c r="D21" i="311"/>
  <c r="L85" i="60"/>
  <c r="C38" i="361"/>
  <c r="D70" i="301"/>
  <c r="H78" i="302"/>
  <c r="G127" i="389"/>
  <c r="G51" i="389" s="1"/>
  <c r="G52" i="389"/>
  <c r="O105" i="388"/>
  <c r="M106" i="388" s="1"/>
  <c r="C21" i="360" s="1"/>
  <c r="C23" i="360" s="1"/>
  <c r="C25" i="360" s="1"/>
  <c r="K79" i="168"/>
  <c r="C48" i="291"/>
  <c r="H78" i="280"/>
  <c r="F78" i="280"/>
  <c r="D70" i="281"/>
  <c r="C38" i="360"/>
  <c r="D27" i="310"/>
  <c r="I74" i="2"/>
  <c r="C19" i="108" s="1"/>
  <c r="I134" i="389"/>
  <c r="I85" i="389"/>
  <c r="E46" i="291"/>
  <c r="M78" i="168"/>
  <c r="DM54" i="168"/>
  <c r="K30" i="2"/>
  <c r="K47" i="2" s="1"/>
  <c r="L26" i="2"/>
  <c r="M26" i="2"/>
  <c r="E60" i="184"/>
  <c r="E62" i="184" s="1"/>
  <c r="O85" i="389"/>
  <c r="O86" i="389" s="1"/>
  <c r="E70" i="184"/>
  <c r="E72" i="184" s="1"/>
  <c r="DU55" i="168"/>
  <c r="J89" i="167"/>
  <c r="J88" i="167"/>
  <c r="J81" i="490" s="1"/>
  <c r="C31" i="176"/>
  <c r="G93" i="400"/>
  <c r="G55" i="168"/>
  <c r="C21" i="359"/>
  <c r="F69" i="184"/>
  <c r="F70" i="184" s="1"/>
  <c r="F72" i="184" s="1"/>
  <c r="G42" i="184"/>
  <c r="G82" i="184"/>
  <c r="E45" i="184"/>
  <c r="E46" i="184" s="1"/>
  <c r="E30" i="184"/>
  <c r="M59" i="483" l="1"/>
  <c r="M61" i="483"/>
  <c r="Q86" i="482" s="1"/>
  <c r="Q85" i="482" s="1"/>
  <c r="N59" i="483"/>
  <c r="N61" i="483"/>
  <c r="R86" i="482" s="1"/>
  <c r="C44" i="372" s="1"/>
  <c r="Z79" i="315"/>
  <c r="N86" i="482"/>
  <c r="I113" i="315" s="1"/>
  <c r="D26" i="324"/>
  <c r="K59" i="483"/>
  <c r="L800" i="366"/>
  <c r="N800" i="366" s="1"/>
  <c r="L221" i="366"/>
  <c r="N221" i="366" s="1"/>
  <c r="D71" i="495"/>
  <c r="C44" i="363"/>
  <c r="L70" i="483"/>
  <c r="L74" i="483" s="1"/>
  <c r="L73" i="483" s="1"/>
  <c r="N85" i="482"/>
  <c r="L737" i="366"/>
  <c r="N737" i="366" s="1"/>
  <c r="L597" i="366"/>
  <c r="N597" i="366" s="1"/>
  <c r="D27" i="309"/>
  <c r="F63" i="302"/>
  <c r="L914" i="366"/>
  <c r="N914" i="366" s="1"/>
  <c r="L834" i="366"/>
  <c r="N834" i="366" s="1"/>
  <c r="R85" i="482"/>
  <c r="C38" i="372"/>
  <c r="I113" i="478"/>
  <c r="F76" i="393"/>
  <c r="F81" i="393"/>
  <c r="F88" i="393" s="1"/>
  <c r="F84" i="393"/>
  <c r="F89" i="393" s="1"/>
  <c r="BC84" i="393"/>
  <c r="BC88" i="393" s="1"/>
  <c r="K52" i="422" s="1"/>
  <c r="D18" i="423" s="1"/>
  <c r="L573" i="366"/>
  <c r="N573" i="366" s="1"/>
  <c r="L542" i="366"/>
  <c r="N542" i="366" s="1"/>
  <c r="L43" i="366"/>
  <c r="N43" i="366" s="1"/>
  <c r="L410" i="366"/>
  <c r="N410" i="366" s="1"/>
  <c r="N70" i="483"/>
  <c r="M70" i="483"/>
  <c r="M74" i="483" s="1"/>
  <c r="C39" i="372" s="1"/>
  <c r="O26" i="483"/>
  <c r="H172" i="490"/>
  <c r="K82" i="490"/>
  <c r="K82" i="489"/>
  <c r="H172" i="481"/>
  <c r="AE76" i="477"/>
  <c r="AG76" i="477" s="1"/>
  <c r="AG78" i="477" s="1"/>
  <c r="AE45" i="477"/>
  <c r="AG45" i="477" s="1"/>
  <c r="AG47" i="477" s="1"/>
  <c r="C45" i="361"/>
  <c r="J73" i="2"/>
  <c r="L30" i="2"/>
  <c r="L47" i="2" s="1"/>
  <c r="K82" i="481"/>
  <c r="H81" i="478"/>
  <c r="H83" i="478" s="1"/>
  <c r="AQ39" i="477"/>
  <c r="AS39" i="477" s="1"/>
  <c r="AS41" i="477" s="1"/>
  <c r="AS42" i="477" s="1"/>
  <c r="AS44" i="477" s="1"/>
  <c r="F123" i="481"/>
  <c r="F171" i="481"/>
  <c r="H171" i="481"/>
  <c r="F172" i="481"/>
  <c r="AI41" i="477"/>
  <c r="AI42" i="477" s="1"/>
  <c r="AI44" i="477" s="1"/>
  <c r="AI45" i="477" s="1"/>
  <c r="AI47" i="477" s="1"/>
  <c r="F82" i="478"/>
  <c r="F83" i="478" s="1"/>
  <c r="F109" i="478" s="1"/>
  <c r="F83" i="315"/>
  <c r="F109" i="315" s="1"/>
  <c r="F127" i="315" s="1"/>
  <c r="K82" i="478"/>
  <c r="L148" i="366"/>
  <c r="N148" i="366" s="1"/>
  <c r="L632" i="366"/>
  <c r="N632" i="366" s="1"/>
  <c r="L349" i="366"/>
  <c r="N349" i="366" s="1"/>
  <c r="L222" i="366"/>
  <c r="N222" i="366" s="1"/>
  <c r="L198" i="366"/>
  <c r="N198" i="366" s="1"/>
  <c r="L14" i="366"/>
  <c r="N14" i="366" s="1"/>
  <c r="DU54" i="477"/>
  <c r="G54" i="477"/>
  <c r="DM54" i="477"/>
  <c r="AK76" i="477"/>
  <c r="AK78" i="477" s="1"/>
  <c r="AI78" i="477"/>
  <c r="AA48" i="477"/>
  <c r="AA52" i="477" s="1"/>
  <c r="AC48" i="477"/>
  <c r="AA79" i="477"/>
  <c r="AA83" i="477" s="1"/>
  <c r="AC79" i="477"/>
  <c r="S79" i="477"/>
  <c r="U79" i="477"/>
  <c r="S48" i="477"/>
  <c r="U48" i="477"/>
  <c r="Y79" i="477"/>
  <c r="EM44" i="477"/>
  <c r="EM47" i="477"/>
  <c r="AM92" i="477"/>
  <c r="AM44" i="477"/>
  <c r="AM45" i="477" s="1"/>
  <c r="AO45" i="477" s="1"/>
  <c r="AG44" i="477"/>
  <c r="W83" i="477"/>
  <c r="W98" i="477"/>
  <c r="W82" i="477" s="1"/>
  <c r="EK47" i="477"/>
  <c r="AU41" i="477"/>
  <c r="AU42" i="477" s="1"/>
  <c r="AU43" i="477" s="1"/>
  <c r="AW40" i="477"/>
  <c r="EG48" i="477"/>
  <c r="AO41" i="477"/>
  <c r="AO42" i="477" s="1"/>
  <c r="AO43" i="477" s="1"/>
  <c r="AO44" i="477" s="1"/>
  <c r="EI4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E67" i="248"/>
  <c r="AX32" i="393"/>
  <c r="L748" i="366"/>
  <c r="N748" i="366" s="1"/>
  <c r="L11" i="366"/>
  <c r="N11" i="366" s="1"/>
  <c r="I35" i="393"/>
  <c r="I42" i="393" s="1"/>
  <c r="AX88" i="393"/>
  <c r="K52" i="410" s="1"/>
  <c r="AS88" i="393"/>
  <c r="K52" i="369" s="1"/>
  <c r="AA75" i="389"/>
  <c r="AA76" i="389" s="1"/>
  <c r="AA44" i="389"/>
  <c r="AA45" i="389" s="1"/>
  <c r="AC45" i="389" s="1"/>
  <c r="AC47" i="389" s="1"/>
  <c r="AC48" i="389" s="1"/>
  <c r="AA75" i="388"/>
  <c r="AA76" i="388" s="1"/>
  <c r="AA44" i="388"/>
  <c r="AA45" i="388" s="1"/>
  <c r="AA44" i="168"/>
  <c r="AA45" i="168" s="1"/>
  <c r="AA75" i="168"/>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25" i="176"/>
  <c r="C38" i="176" s="1"/>
  <c r="C15" i="108"/>
  <c r="W74" i="168"/>
  <c r="C120" i="303" s="1"/>
  <c r="Y73" i="168"/>
  <c r="E133" i="303" s="1"/>
  <c r="C119" i="303"/>
  <c r="AX29" i="393"/>
  <c r="AX33" i="393" s="1"/>
  <c r="D11" i="409"/>
  <c r="AX90" i="393" s="1"/>
  <c r="AE73" i="168"/>
  <c r="AE74" i="168" s="1"/>
  <c r="G80" i="393"/>
  <c r="Y79" i="388"/>
  <c r="Y134" i="388" s="1"/>
  <c r="L66" i="366"/>
  <c r="N66" i="366" s="1"/>
  <c r="L910" i="366"/>
  <c r="N910" i="366" s="1"/>
  <c r="BD31" i="167"/>
  <c r="G76" i="393"/>
  <c r="AY36" i="393"/>
  <c r="AZ36" i="393"/>
  <c r="AQ70" i="389" s="1"/>
  <c r="BC29" i="393"/>
  <c r="BC33" i="393" s="1"/>
  <c r="G84" i="393"/>
  <c r="G89" i="393" s="1"/>
  <c r="AS93" i="393"/>
  <c r="AS94" i="393" s="1"/>
  <c r="AS95" i="393" s="1"/>
  <c r="G83" i="393"/>
  <c r="AS86" i="393"/>
  <c r="AM91" i="389" s="1"/>
  <c r="AM92" i="389" s="1"/>
  <c r="BG90" i="388"/>
  <c r="E10" i="423"/>
  <c r="D11" i="423"/>
  <c r="BC90" i="393" s="1"/>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E36" i="167"/>
  <c r="BE71" i="167"/>
  <c r="AO87" i="393"/>
  <c r="AA90" i="389" s="1"/>
  <c r="AO86" i="393"/>
  <c r="AE91" i="389" s="1"/>
  <c r="AO93" i="393"/>
  <c r="AO94" i="393" s="1"/>
  <c r="AO95" i="393" s="1"/>
  <c r="F83" i="393"/>
  <c r="F80" i="393"/>
  <c r="D23" i="308"/>
  <c r="D61" i="301"/>
  <c r="Y48" i="168"/>
  <c r="Y54" i="168" s="1"/>
  <c r="Y55" i="168" s="1"/>
  <c r="EM48" i="168"/>
  <c r="EM54" i="168" s="1"/>
  <c r="EM55" i="168" s="1"/>
  <c r="G97" i="400"/>
  <c r="F91" i="280"/>
  <c r="F92" i="280" s="1"/>
  <c r="F94" i="280" s="1"/>
  <c r="F60" i="184"/>
  <c r="F62" i="184" s="1"/>
  <c r="J38" i="167"/>
  <c r="BD32" i="167"/>
  <c r="C16" i="449"/>
  <c r="J34" i="393"/>
  <c r="BI36" i="393"/>
  <c r="G88" i="393"/>
  <c r="K51" i="410" s="1"/>
  <c r="W98" i="388"/>
  <c r="W99" i="388" s="1"/>
  <c r="W103" i="388" s="1"/>
  <c r="J30" i="167"/>
  <c r="F123" i="490" s="1"/>
  <c r="J37" i="167"/>
  <c r="Y141" i="388"/>
  <c r="J35" i="167"/>
  <c r="C24" i="372"/>
  <c r="F93" i="398"/>
  <c r="EC55" i="168"/>
  <c r="E32" i="325"/>
  <c r="D40"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EI91" i="168"/>
  <c r="EI54" i="168"/>
  <c r="EI55" i="168" s="1"/>
  <c r="AK90" i="388"/>
  <c r="AK92" i="388" s="1"/>
  <c r="AK93" i="388" s="1"/>
  <c r="AK95" i="388" s="1"/>
  <c r="AI92" i="388"/>
  <c r="AI93" i="388" s="1"/>
  <c r="C43" i="327"/>
  <c r="C57" i="327"/>
  <c r="AE76" i="389"/>
  <c r="AE135" i="389"/>
  <c r="C18" i="413"/>
  <c r="D89" i="408" s="1"/>
  <c r="D91" i="408" s="1"/>
  <c r="AQ70" i="168"/>
  <c r="H135" i="410"/>
  <c r="D14" i="416" s="1"/>
  <c r="F135" i="410"/>
  <c r="H42" i="167"/>
  <c r="F81" i="481" s="1"/>
  <c r="C19" i="413"/>
  <c r="D13" i="416"/>
  <c r="F136" i="410"/>
  <c r="C22" i="413"/>
  <c r="H43" i="167"/>
  <c r="F52" i="410" s="1"/>
  <c r="C19" i="407" s="1"/>
  <c r="D19" i="368"/>
  <c r="E19" i="368" s="1"/>
  <c r="AK39" i="388"/>
  <c r="AK41" i="388" s="1"/>
  <c r="AK42" i="388" s="1"/>
  <c r="AK44" i="388" s="1"/>
  <c r="AI41" i="388"/>
  <c r="AI42" i="388" s="1"/>
  <c r="AU91" i="388"/>
  <c r="BD36" i="393"/>
  <c r="AY70" i="389"/>
  <c r="I34" i="393"/>
  <c r="I37" i="393"/>
  <c r="BC40" i="389" s="1"/>
  <c r="I30" i="393"/>
  <c r="AY39" i="389" s="1"/>
  <c r="I34" i="167"/>
  <c r="F124" i="489" s="1"/>
  <c r="I38" i="167"/>
  <c r="C16" i="428"/>
  <c r="I37" i="167"/>
  <c r="I35" i="167"/>
  <c r="I30" i="167"/>
  <c r="K38" i="184"/>
  <c r="C24" i="417" s="1"/>
  <c r="AQ70" i="388"/>
  <c r="AE45" i="389"/>
  <c r="AE128" i="389"/>
  <c r="AM41" i="168"/>
  <c r="AM42" i="168" s="1"/>
  <c r="AM43" i="168" s="1"/>
  <c r="AM44" i="168" s="1"/>
  <c r="AO40" i="168"/>
  <c r="AO41" i="168" s="1"/>
  <c r="AO42" i="168" s="1"/>
  <c r="AO43" i="168" s="1"/>
  <c r="AO44" i="168" s="1"/>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T33" i="167"/>
  <c r="H82" i="481" s="1"/>
  <c r="H136" i="410"/>
  <c r="D20" i="416" s="1"/>
  <c r="D19" i="416"/>
  <c r="AU40" i="168"/>
  <c r="AU40" i="388"/>
  <c r="C24" i="363"/>
  <c r="AI41" i="389"/>
  <c r="AI42" i="389" s="1"/>
  <c r="AK39" i="389"/>
  <c r="AK41" i="389" s="1"/>
  <c r="AK42" i="389" s="1"/>
  <c r="AK44" i="389" s="1"/>
  <c r="Y45" i="389"/>
  <c r="Y47" i="389" s="1"/>
  <c r="Y48" i="389" s="1"/>
  <c r="W47" i="389"/>
  <c r="W48" i="389" s="1"/>
  <c r="AY32" i="167"/>
  <c r="AY70" i="477" s="1"/>
  <c r="AY29" i="167"/>
  <c r="AY31" i="167"/>
  <c r="BC71" i="477" s="1"/>
  <c r="AO71" i="389"/>
  <c r="AM72" i="389"/>
  <c r="AM73" i="389" s="1"/>
  <c r="AM74" i="389" s="1"/>
  <c r="AM41" i="389"/>
  <c r="AM42" i="389" s="1"/>
  <c r="AM43" i="389" s="1"/>
  <c r="AM44" i="389" s="1"/>
  <c r="AO40" i="389"/>
  <c r="AO41" i="389" s="1"/>
  <c r="AO42" i="389" s="1"/>
  <c r="AO43" i="389" s="1"/>
  <c r="AO44" i="389" s="1"/>
  <c r="H83" i="315"/>
  <c r="G185" i="167" s="1"/>
  <c r="AI92" i="389"/>
  <c r="AI93" i="389" s="1"/>
  <c r="AK90" i="389"/>
  <c r="AK92" i="389" s="1"/>
  <c r="AK93" i="389" s="1"/>
  <c r="AK95" i="389" s="1"/>
  <c r="AE92" i="168"/>
  <c r="AG45" i="168"/>
  <c r="AG47" i="168" s="1"/>
  <c r="AG48" i="168" s="1"/>
  <c r="AG54" i="168" s="1"/>
  <c r="AG55" i="168" s="1"/>
  <c r="AY90" i="388"/>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71" i="408" s="1"/>
  <c r="F90" i="410"/>
  <c r="EK47" i="168"/>
  <c r="EK48" i="168" s="1"/>
  <c r="AE95" i="388"/>
  <c r="AE96" i="388" s="1"/>
  <c r="AE142" i="388"/>
  <c r="AZ36" i="167"/>
  <c r="BA36" i="167"/>
  <c r="E21" i="446"/>
  <c r="C19" i="443"/>
  <c r="E19" i="443" s="1"/>
  <c r="W47" i="168"/>
  <c r="W48" i="168" s="1"/>
  <c r="AM72" i="388"/>
  <c r="AM73" i="388" s="1"/>
  <c r="AM74" i="388" s="1"/>
  <c r="AO71" i="388"/>
  <c r="AO72" i="388" s="1"/>
  <c r="AO73" i="388" s="1"/>
  <c r="AO74" i="388" s="1"/>
  <c r="J52" i="410"/>
  <c r="C18" i="409" s="1"/>
  <c r="C24" i="409" s="1"/>
  <c r="AE135" i="388"/>
  <c r="G85" i="389"/>
  <c r="F40" i="184"/>
  <c r="F42" i="184" s="1"/>
  <c r="G54" i="389"/>
  <c r="E57" i="389" s="1"/>
  <c r="N26" i="2"/>
  <c r="M30" i="2"/>
  <c r="M47" i="2" s="1"/>
  <c r="K83" i="168"/>
  <c r="C64" i="291"/>
  <c r="K98" i="168"/>
  <c r="C49" i="291"/>
  <c r="G55" i="388"/>
  <c r="E57" i="388"/>
  <c r="H77" i="280"/>
  <c r="F77" i="280"/>
  <c r="F80" i="280" s="1"/>
  <c r="D69" i="281"/>
  <c r="C39" i="360"/>
  <c r="C46" i="360" s="1"/>
  <c r="DM55" i="168"/>
  <c r="BD33" i="167"/>
  <c r="D21" i="452" s="1"/>
  <c r="D19" i="452"/>
  <c r="H136" i="441"/>
  <c r="D20" i="452" s="1"/>
  <c r="E122" i="291"/>
  <c r="Q78" i="168"/>
  <c r="D12" i="452"/>
  <c r="C20" i="449"/>
  <c r="H90" i="441"/>
  <c r="D71" i="444" s="1"/>
  <c r="F90" i="441"/>
  <c r="K55" i="2"/>
  <c r="BK91" i="388"/>
  <c r="BG70" i="388"/>
  <c r="M38" i="184"/>
  <c r="C24" i="453" s="1"/>
  <c r="F25" i="184"/>
  <c r="F27" i="184" s="1"/>
  <c r="M79" i="168"/>
  <c r="E48" i="291"/>
  <c r="D69" i="301"/>
  <c r="F77" i="302"/>
  <c r="C39" i="361"/>
  <c r="C40" i="361" s="1"/>
  <c r="C42" i="361" s="1"/>
  <c r="I73" i="2"/>
  <c r="D28" i="310"/>
  <c r="H77" i="302"/>
  <c r="D66" i="109" s="1"/>
  <c r="D68" i="109" s="1"/>
  <c r="D8" i="281"/>
  <c r="G45" i="184"/>
  <c r="F89" i="302"/>
  <c r="F123" i="315"/>
  <c r="E31" i="184"/>
  <c r="D21" i="109" l="1"/>
  <c r="D68" i="371"/>
  <c r="D78" i="109"/>
  <c r="C38" i="363"/>
  <c r="O800" i="366"/>
  <c r="Q800" i="366" s="1"/>
  <c r="T800" i="366" s="1"/>
  <c r="O221" i="366"/>
  <c r="Q221" i="366" s="1"/>
  <c r="T221" i="366" s="1"/>
  <c r="D25" i="324"/>
  <c r="K70" i="483"/>
  <c r="D71" i="316"/>
  <c r="F72" i="248" s="1"/>
  <c r="D21" i="325"/>
  <c r="E71" i="495"/>
  <c r="G72" i="248"/>
  <c r="C45" i="363"/>
  <c r="O737" i="366"/>
  <c r="Q737" i="366" s="1"/>
  <c r="T737" i="366" s="1"/>
  <c r="O597" i="366"/>
  <c r="Q597" i="366" s="1"/>
  <c r="T597" i="366" s="1"/>
  <c r="O914" i="366"/>
  <c r="Q914" i="366" s="1"/>
  <c r="T914" i="366" s="1"/>
  <c r="O834" i="366"/>
  <c r="Q834" i="366" s="1"/>
  <c r="T834" i="366" s="1"/>
  <c r="N74" i="483"/>
  <c r="O573" i="366"/>
  <c r="Q573" i="366" s="1"/>
  <c r="T573" i="366" s="1"/>
  <c r="O542" i="366"/>
  <c r="Q542" i="366" s="1"/>
  <c r="T542" i="366" s="1"/>
  <c r="O43" i="366"/>
  <c r="Q43" i="366" s="1"/>
  <c r="T43" i="366" s="1"/>
  <c r="O410" i="366"/>
  <c r="Q410" i="366" s="1"/>
  <c r="T410" i="366" s="1"/>
  <c r="P26" i="483"/>
  <c r="Q26" i="483"/>
  <c r="O30" i="483"/>
  <c r="M73" i="483"/>
  <c r="I112" i="478"/>
  <c r="AE47" i="477"/>
  <c r="AE48" i="477" s="1"/>
  <c r="AE52" i="477" s="1"/>
  <c r="H135" i="441"/>
  <c r="D14" i="452" s="1"/>
  <c r="F171" i="490"/>
  <c r="H171" i="490"/>
  <c r="BK40" i="477"/>
  <c r="BK41" i="477" s="1"/>
  <c r="BK42" i="477" s="1"/>
  <c r="BK43" i="477" s="1"/>
  <c r="C22" i="449"/>
  <c r="F172" i="490"/>
  <c r="H82" i="490"/>
  <c r="AY39" i="477"/>
  <c r="AY41" i="477" s="1"/>
  <c r="AY42" i="477" s="1"/>
  <c r="AY44" i="477" s="1"/>
  <c r="AY45" i="477" s="1"/>
  <c r="F123" i="489"/>
  <c r="H171" i="489"/>
  <c r="F171" i="489"/>
  <c r="BC40" i="477"/>
  <c r="BE40" i="477" s="1"/>
  <c r="H172" i="489"/>
  <c r="F172" i="489"/>
  <c r="H81" i="481"/>
  <c r="H83" i="481" s="1"/>
  <c r="F9" i="106"/>
  <c r="C45" i="327"/>
  <c r="AA76" i="168"/>
  <c r="C46" i="327" s="1"/>
  <c r="AE78" i="477"/>
  <c r="AE79" i="477" s="1"/>
  <c r="AE83" i="477" s="1"/>
  <c r="N30" i="2"/>
  <c r="N47" i="2" s="1"/>
  <c r="L55" i="2"/>
  <c r="AK45" i="477"/>
  <c r="AK47" i="477" s="1"/>
  <c r="AK48" i="477" s="1"/>
  <c r="AQ41" i="477"/>
  <c r="AQ42" i="477" s="1"/>
  <c r="AQ44" i="477" s="1"/>
  <c r="AQ45" i="477" s="1"/>
  <c r="AS45" i="477" s="1"/>
  <c r="AS47" i="477" s="1"/>
  <c r="F82" i="481"/>
  <c r="F83" i="481" s="1"/>
  <c r="F109" i="481" s="1"/>
  <c r="F122" i="315"/>
  <c r="F122" i="478"/>
  <c r="F127" i="478"/>
  <c r="O148" i="366"/>
  <c r="Q148" i="366" s="1"/>
  <c r="T148" i="366" s="1"/>
  <c r="O632" i="366"/>
  <c r="Q632" i="366" s="1"/>
  <c r="T632" i="366" s="1"/>
  <c r="O349" i="366"/>
  <c r="Q349" i="366" s="1"/>
  <c r="T349" i="366" s="1"/>
  <c r="O222" i="366"/>
  <c r="Q222" i="366" s="1"/>
  <c r="T222" i="366" s="1"/>
  <c r="O198" i="366"/>
  <c r="Q198" i="366" s="1"/>
  <c r="T198" i="366" s="1"/>
  <c r="O14" i="366"/>
  <c r="Q14" i="366" s="1"/>
  <c r="T14" i="366" s="1"/>
  <c r="AI48" i="477"/>
  <c r="AS76" i="477"/>
  <c r="AS78" i="477" s="1"/>
  <c r="AQ78" i="477"/>
  <c r="AI79" i="477"/>
  <c r="AK79" i="477"/>
  <c r="AM78" i="477"/>
  <c r="W85" i="477"/>
  <c r="W86" i="477" s="1"/>
  <c r="AM47" i="477"/>
  <c r="AC85" i="477"/>
  <c r="AC86" i="477" s="1"/>
  <c r="AC98" i="477"/>
  <c r="AA98" i="477"/>
  <c r="AA82" i="477" s="1"/>
  <c r="AC91" i="477"/>
  <c r="AC54" i="477"/>
  <c r="AC55" i="477" s="1"/>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AW72" i="477"/>
  <c r="AW73" i="477" s="1"/>
  <c r="AW74" i="477" s="1"/>
  <c r="AW75" i="477" s="1"/>
  <c r="AU44" i="477"/>
  <c r="AU45" i="477" s="1"/>
  <c r="AW45" i="477" s="1"/>
  <c r="AU92" i="477"/>
  <c r="AG48" i="477"/>
  <c r="BG39" i="168"/>
  <c r="BG41" i="168" s="1"/>
  <c r="BG42" i="168" s="1"/>
  <c r="BG39" i="477"/>
  <c r="AO78" i="477"/>
  <c r="AW41" i="477"/>
  <c r="AW42" i="477" s="1"/>
  <c r="AW43" i="477" s="1"/>
  <c r="AW44" i="477" s="1"/>
  <c r="C18" i="449"/>
  <c r="D89" i="444" s="1"/>
  <c r="D91" i="444" s="1"/>
  <c r="BG70" i="477"/>
  <c r="EI91" i="477"/>
  <c r="EI54" i="477"/>
  <c r="EI55" i="477" s="1"/>
  <c r="AO47" i="477"/>
  <c r="Y85" i="477"/>
  <c r="Y86" i="477" s="1"/>
  <c r="Y98" i="477"/>
  <c r="C21" i="449"/>
  <c r="BK71" i="477"/>
  <c r="EK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790" i="366"/>
  <c r="O1007" i="366"/>
  <c r="Q1007" i="366" s="1"/>
  <c r="T1007" i="366" s="1"/>
  <c r="O893" i="366"/>
  <c r="Q893" i="366" s="1"/>
  <c r="T893" i="366" s="1"/>
  <c r="U1007" i="366"/>
  <c r="U893" i="366"/>
  <c r="O916" i="366"/>
  <c r="Q916" i="366" s="1"/>
  <c r="T916" i="366" s="1"/>
  <c r="O4" i="366"/>
  <c r="Q4" i="366" s="1"/>
  <c r="T4" i="366" s="1"/>
  <c r="U916" i="366"/>
  <c r="J52" i="441"/>
  <c r="C18" i="443" s="1"/>
  <c r="C24" i="443" s="1"/>
  <c r="O331" i="366"/>
  <c r="Q331" i="366" s="1"/>
  <c r="T331" i="366" s="1"/>
  <c r="O149" i="366"/>
  <c r="Q149" i="366" s="1"/>
  <c r="T149" i="366" s="1"/>
  <c r="U331" i="366"/>
  <c r="U149" i="366"/>
  <c r="E66" i="248"/>
  <c r="U748" i="366"/>
  <c r="U11" i="366"/>
  <c r="O748" i="366"/>
  <c r="Q748" i="366" s="1"/>
  <c r="T748" i="366" s="1"/>
  <c r="O11" i="366"/>
  <c r="Q11" i="366" s="1"/>
  <c r="T11" i="366" s="1"/>
  <c r="K51" i="422"/>
  <c r="D17" i="423" s="1"/>
  <c r="E17" i="423" s="1"/>
  <c r="K51" i="441"/>
  <c r="D17" i="443" s="1"/>
  <c r="E17" i="443" s="1"/>
  <c r="E11" i="409"/>
  <c r="D17" i="409"/>
  <c r="E17" i="409" s="1"/>
  <c r="E18" i="372"/>
  <c r="U91" i="168"/>
  <c r="S52" i="389"/>
  <c r="S54" i="389" s="1"/>
  <c r="S83" i="388"/>
  <c r="S85" i="388" s="1"/>
  <c r="C46" i="303"/>
  <c r="U54" i="389"/>
  <c r="U55" i="389" s="1"/>
  <c r="S127" i="388"/>
  <c r="S51" i="388" s="1"/>
  <c r="S54" i="388" s="1"/>
  <c r="U134" i="388"/>
  <c r="S103" i="388"/>
  <c r="S105" i="388" s="1"/>
  <c r="S91" i="168"/>
  <c r="S51" i="168" s="1"/>
  <c r="S54" i="168" s="1"/>
  <c r="U78" i="168"/>
  <c r="U79" i="168" s="1"/>
  <c r="S78" i="168"/>
  <c r="S79" i="168" s="1"/>
  <c r="AA47" i="388"/>
  <c r="AA48" i="388" s="1"/>
  <c r="AA52" i="388" s="1"/>
  <c r="AC45" i="388"/>
  <c r="AC47" i="388" s="1"/>
  <c r="AC48" i="388" s="1"/>
  <c r="AC54" i="388" s="1"/>
  <c r="AC55" i="388" s="1"/>
  <c r="U141" i="388"/>
  <c r="AA78" i="388"/>
  <c r="AA79" i="388" s="1"/>
  <c r="AA83" i="388" s="1"/>
  <c r="AC76" i="388"/>
  <c r="AC78" i="388" s="1"/>
  <c r="AC79" i="388" s="1"/>
  <c r="AC85" i="388" s="1"/>
  <c r="AC86" i="388" s="1"/>
  <c r="AA47" i="168"/>
  <c r="AA48" i="168" s="1"/>
  <c r="AA52"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03" i="388" s="1"/>
  <c r="AI95" i="389"/>
  <c r="AI96" i="389" s="1"/>
  <c r="S95" i="389"/>
  <c r="S96" i="389" s="1"/>
  <c r="AI95" i="388"/>
  <c r="AI96" i="388" s="1"/>
  <c r="C124" i="291"/>
  <c r="BK40" i="168"/>
  <c r="BM40" i="168" s="1"/>
  <c r="BM41" i="168" s="1"/>
  <c r="BM42" i="168" s="1"/>
  <c r="BM43" i="168" s="1"/>
  <c r="BM44" i="168" s="1"/>
  <c r="BK40" i="388"/>
  <c r="BK71" i="388"/>
  <c r="BK72" i="388" s="1"/>
  <c r="BK73" i="388" s="1"/>
  <c r="BK74" i="388" s="1"/>
  <c r="D70" i="109"/>
  <c r="K12"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E11" i="423"/>
  <c r="BG39" i="388"/>
  <c r="BG41" i="388" s="1"/>
  <c r="BG42" i="388" s="1"/>
  <c r="F135" i="441"/>
  <c r="J42" i="167"/>
  <c r="D15" i="452" s="1"/>
  <c r="F95" i="398"/>
  <c r="F97" i="398" s="1"/>
  <c r="G5" i="173" s="1"/>
  <c r="D17" i="361"/>
  <c r="E17" i="361" s="1"/>
  <c r="Y91" i="168"/>
  <c r="W142" i="389"/>
  <c r="W95" i="389"/>
  <c r="W96" i="389" s="1"/>
  <c r="D18" i="363"/>
  <c r="E18" i="363" s="1"/>
  <c r="BG70" i="168"/>
  <c r="C58" i="447" s="1"/>
  <c r="J37" i="393"/>
  <c r="BK40" i="389" s="1"/>
  <c r="K81" i="315"/>
  <c r="D17" i="363" s="1"/>
  <c r="AA92" i="389"/>
  <c r="AA93" i="389" s="1"/>
  <c r="AC90" i="389"/>
  <c r="AC92" i="389" s="1"/>
  <c r="AC93" i="389" s="1"/>
  <c r="AC95" i="389" s="1"/>
  <c r="D18" i="409"/>
  <c r="AG91" i="389"/>
  <c r="AE92" i="389"/>
  <c r="AE93" i="389" s="1"/>
  <c r="AE94" i="389" s="1"/>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BH90" i="393" s="1"/>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71" i="424" s="1"/>
  <c r="D12" i="431"/>
  <c r="F90" i="422"/>
  <c r="C20" i="428"/>
  <c r="AQ41" i="168"/>
  <c r="AQ42" i="168" s="1"/>
  <c r="AS39" i="168"/>
  <c r="AS41" i="168" s="1"/>
  <c r="AS42" i="168" s="1"/>
  <c r="AS44" i="168" s="1"/>
  <c r="W52" i="168"/>
  <c r="W91" i="168"/>
  <c r="W51" i="168" s="1"/>
  <c r="EK91" i="168"/>
  <c r="EK51" i="168" s="1"/>
  <c r="EK52" i="168"/>
  <c r="AE47" i="168"/>
  <c r="AE48" i="168" s="1"/>
  <c r="AE52" i="168" s="1"/>
  <c r="AM128" i="388"/>
  <c r="AM45" i="388"/>
  <c r="AM128" i="389"/>
  <c r="AM45" i="389"/>
  <c r="AO72" i="389"/>
  <c r="AO73" i="389" s="1"/>
  <c r="AO74" i="389" s="1"/>
  <c r="H136" i="422"/>
  <c r="D20" i="431" s="1"/>
  <c r="AY33" i="167"/>
  <c r="H82" i="489" s="1"/>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E83" i="388" s="1"/>
  <c r="AG96" i="388"/>
  <c r="AG98" i="388" s="1"/>
  <c r="AG99" i="388" s="1"/>
  <c r="AE98" i="388"/>
  <c r="AE99" i="388" s="1"/>
  <c r="AE103" i="388" s="1"/>
  <c r="BC91" i="388"/>
  <c r="D13" i="431"/>
  <c r="F135" i="422"/>
  <c r="H135" i="422"/>
  <c r="D14" i="431" s="1"/>
  <c r="C19" i="428"/>
  <c r="I42" i="167"/>
  <c r="D15" i="431" s="1"/>
  <c r="J52" i="422"/>
  <c r="C18" i="423" s="1"/>
  <c r="C24" i="423" s="1"/>
  <c r="AW71" i="388"/>
  <c r="AW72" i="388" s="1"/>
  <c r="AW73" i="388" s="1"/>
  <c r="AW74" i="388" s="1"/>
  <c r="AU72" i="388"/>
  <c r="AU73" i="388" s="1"/>
  <c r="AU74" i="388" s="1"/>
  <c r="AU72" i="168"/>
  <c r="C134" i="411" s="1"/>
  <c r="AW71" i="168"/>
  <c r="C91" i="411"/>
  <c r="E91" i="411" s="1"/>
  <c r="C18" i="428"/>
  <c r="D89" i="424" s="1"/>
  <c r="D91" i="424" s="1"/>
  <c r="AY70" i="168"/>
  <c r="Y127" i="389"/>
  <c r="Y54" i="389"/>
  <c r="Y55" i="389" s="1"/>
  <c r="F88" i="369"/>
  <c r="F93" i="369"/>
  <c r="AQ72" i="389"/>
  <c r="AQ73" i="389" s="1"/>
  <c r="AS70" i="389"/>
  <c r="AS72" i="389" s="1"/>
  <c r="AS73" i="389" s="1"/>
  <c r="AS75" i="389" s="1"/>
  <c r="AE99" i="168"/>
  <c r="C129" i="327" s="1"/>
  <c r="AE75" i="168"/>
  <c r="AE76" i="168" s="1"/>
  <c r="C120" i="327"/>
  <c r="AU92" i="388"/>
  <c r="AU93" i="388" s="1"/>
  <c r="AU94" i="388" s="1"/>
  <c r="AW91" i="388"/>
  <c r="AW92" i="388" s="1"/>
  <c r="AW93" i="388" s="1"/>
  <c r="AW94" i="388" s="1"/>
  <c r="F51" i="410"/>
  <c r="F53" i="410" s="1"/>
  <c r="F74" i="410" s="1"/>
  <c r="H51" i="410"/>
  <c r="D15" i="416"/>
  <c r="AG45" i="388"/>
  <c r="AG47" i="388" s="1"/>
  <c r="AG48" i="388" s="1"/>
  <c r="AE47" i="388"/>
  <c r="AE48" i="388" s="1"/>
  <c r="AE52"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I126" i="389"/>
  <c r="C46" i="361"/>
  <c r="C48" i="361" s="1"/>
  <c r="C50" i="361" s="1"/>
  <c r="C51" i="361" s="1"/>
  <c r="D72" i="301" s="1"/>
  <c r="E69" i="248" s="1"/>
  <c r="H52" i="441"/>
  <c r="D19" i="442" s="1"/>
  <c r="M98" i="168"/>
  <c r="M85" i="168"/>
  <c r="E64" i="291"/>
  <c r="E49" i="291"/>
  <c r="O83" i="168"/>
  <c r="O98" i="168"/>
  <c r="C125" i="291"/>
  <c r="C140" i="291"/>
  <c r="C59" i="291"/>
  <c r="C62" i="291"/>
  <c r="D21" i="373"/>
  <c r="M55" i="2"/>
  <c r="BM91" i="388"/>
  <c r="BK92" i="388"/>
  <c r="BK93" i="388" s="1"/>
  <c r="BK94" i="388" s="1"/>
  <c r="BG72" i="388"/>
  <c r="BG73" i="388" s="1"/>
  <c r="BI70" i="388"/>
  <c r="BI72" i="388" s="1"/>
  <c r="BI73" i="388" s="1"/>
  <c r="BI75" i="388" s="1"/>
  <c r="BG92" i="388"/>
  <c r="BG93" i="388" s="1"/>
  <c r="BI90" i="388"/>
  <c r="BI92" i="388" s="1"/>
  <c r="BI93" i="388" s="1"/>
  <c r="BI95" i="388" s="1"/>
  <c r="Q79" i="168"/>
  <c r="E124" i="291"/>
  <c r="K59" i="2"/>
  <c r="K61" i="2"/>
  <c r="P86" i="60" s="1"/>
  <c r="C52" i="291"/>
  <c r="K82" i="168"/>
  <c r="G46" i="184"/>
  <c r="I82" i="184"/>
  <c r="H82" i="184"/>
  <c r="D67" i="281"/>
  <c r="D80" i="281"/>
  <c r="D62" i="281"/>
  <c r="D64" i="281"/>
  <c r="O47" i="483" l="1"/>
  <c r="O55" i="483" s="1"/>
  <c r="U4" i="366"/>
  <c r="U221" i="366"/>
  <c r="K74" i="483"/>
  <c r="D27" i="324"/>
  <c r="R800" i="366"/>
  <c r="R221" i="366"/>
  <c r="D67" i="371"/>
  <c r="D70" i="495"/>
  <c r="F113" i="490"/>
  <c r="F113" i="489"/>
  <c r="F113" i="481"/>
  <c r="U597" i="366"/>
  <c r="U800" i="366"/>
  <c r="R737" i="366"/>
  <c r="R597" i="366"/>
  <c r="AA141" i="388"/>
  <c r="AA102" i="388" s="1"/>
  <c r="AA105" i="388" s="1"/>
  <c r="U834" i="366"/>
  <c r="U737" i="366"/>
  <c r="R914" i="366"/>
  <c r="R834" i="366"/>
  <c r="N73" i="483"/>
  <c r="C45" i="372"/>
  <c r="U542" i="366"/>
  <c r="U914" i="366"/>
  <c r="R573" i="366"/>
  <c r="R542" i="366"/>
  <c r="U410" i="366"/>
  <c r="U573" i="366"/>
  <c r="R43" i="366"/>
  <c r="R410" i="366"/>
  <c r="BC41" i="477"/>
  <c r="BC42" i="477" s="1"/>
  <c r="BC43" i="477" s="1"/>
  <c r="BC44" i="477" s="1"/>
  <c r="BC45" i="477" s="1"/>
  <c r="BE45" i="477" s="1"/>
  <c r="R26" i="483"/>
  <c r="Q30" i="483"/>
  <c r="P30" i="483"/>
  <c r="BM40" i="477"/>
  <c r="BM41" i="477" s="1"/>
  <c r="BM42" i="477" s="1"/>
  <c r="BM43" i="477" s="1"/>
  <c r="BM44" i="477" s="1"/>
  <c r="BA39" i="477"/>
  <c r="BA41" i="477" s="1"/>
  <c r="BA42" i="477" s="1"/>
  <c r="BA44" i="477" s="1"/>
  <c r="N55" i="2"/>
  <c r="F82" i="489"/>
  <c r="K81" i="489"/>
  <c r="K81" i="490"/>
  <c r="F81" i="489"/>
  <c r="F82" i="490"/>
  <c r="H81" i="490"/>
  <c r="H83" i="490" s="1"/>
  <c r="F81" i="490"/>
  <c r="H81" i="489"/>
  <c r="H83" i="489" s="1"/>
  <c r="L59" i="2"/>
  <c r="L61" i="2"/>
  <c r="R86" i="60" s="1"/>
  <c r="AQ47" i="477"/>
  <c r="AQ48" i="477" s="1"/>
  <c r="K81" i="481"/>
  <c r="F122" i="481"/>
  <c r="F127" i="481"/>
  <c r="U910" i="366"/>
  <c r="U43" i="366"/>
  <c r="K81" i="478"/>
  <c r="AA91" i="168"/>
  <c r="AA51" i="168" s="1"/>
  <c r="R148" i="366"/>
  <c r="R632" i="366"/>
  <c r="U148" i="366"/>
  <c r="U632" i="366"/>
  <c r="U289" i="366"/>
  <c r="R349" i="366"/>
  <c r="R222" i="366"/>
  <c r="U349" i="366"/>
  <c r="U222" i="366"/>
  <c r="U198" i="366"/>
  <c r="U14" i="366"/>
  <c r="R198" i="366"/>
  <c r="R14" i="366"/>
  <c r="BI39" i="168"/>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S48" i="477"/>
  <c r="AU47" i="477"/>
  <c r="AU78" i="477"/>
  <c r="AU79" i="477" s="1"/>
  <c r="S85" i="477"/>
  <c r="J85" i="477" s="1"/>
  <c r="AA54" i="477"/>
  <c r="AA55" i="477" s="1"/>
  <c r="S54" i="477"/>
  <c r="S55" i="477" s="1"/>
  <c r="AA85" i="477"/>
  <c r="BK44" i="477"/>
  <c r="BK45" i="477" s="1"/>
  <c r="BM45" i="477" s="1"/>
  <c r="BK92" i="477"/>
  <c r="AE98" i="477"/>
  <c r="AE82" i="477" s="1"/>
  <c r="AG54" i="477"/>
  <c r="AG55" i="477" s="1"/>
  <c r="AG91" i="477"/>
  <c r="AO48" i="477"/>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R748" i="366"/>
  <c r="R11" i="366"/>
  <c r="C27" i="176"/>
  <c r="D24" i="409"/>
  <c r="E24" i="409" s="1"/>
  <c r="AC54" i="168"/>
  <c r="AC55" i="168" s="1"/>
  <c r="C49" i="303"/>
  <c r="AA127" i="389"/>
  <c r="AA51" i="389" s="1"/>
  <c r="AA54" i="389" s="1"/>
  <c r="AA55" i="389" s="1"/>
  <c r="C48" i="303"/>
  <c r="S98" i="168"/>
  <c r="S82" i="168" s="1"/>
  <c r="E48" i="303"/>
  <c r="C45" i="383"/>
  <c r="AC76" i="168"/>
  <c r="AA78" i="168"/>
  <c r="AA79" i="168" s="1"/>
  <c r="AA83" i="168"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52"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J74" i="393"/>
  <c r="J75" i="393" s="1"/>
  <c r="BH88" i="393"/>
  <c r="K52" i="441" s="1"/>
  <c r="D18" i="443" s="1"/>
  <c r="D24" i="423"/>
  <c r="E24" i="423" s="1"/>
  <c r="D24" i="372"/>
  <c r="E24" i="372" s="1"/>
  <c r="E17" i="372"/>
  <c r="AA127" i="388"/>
  <c r="AA51" i="388" s="1"/>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AE127" i="388"/>
  <c r="AE51" i="388" s="1"/>
  <c r="F93" i="410"/>
  <c r="F88" i="410"/>
  <c r="C121" i="327"/>
  <c r="AW72" i="168"/>
  <c r="E134" i="411" s="1"/>
  <c r="AW75"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M78" i="388"/>
  <c r="AM79" i="388" s="1"/>
  <c r="AO96" i="388"/>
  <c r="AO98" i="388" s="1"/>
  <c r="AO99" i="388" s="1"/>
  <c r="AM98" i="388"/>
  <c r="AM99" i="388" s="1"/>
  <c r="AO96" i="389"/>
  <c r="AM98" i="389"/>
  <c r="AM99" i="389" s="1"/>
  <c r="AM103" i="389" s="1"/>
  <c r="AE79" i="389"/>
  <c r="Y76" i="168"/>
  <c r="C122" i="303"/>
  <c r="W78" i="168"/>
  <c r="H74" i="369"/>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C57" i="411"/>
  <c r="C43" i="411"/>
  <c r="BC41" i="388"/>
  <c r="BC42" i="388" s="1"/>
  <c r="BC43" i="388" s="1"/>
  <c r="BC44" i="388" s="1"/>
  <c r="BE40" i="388"/>
  <c r="BE41" i="388" s="1"/>
  <c r="BE42" i="388" s="1"/>
  <c r="BE43" i="388" s="1"/>
  <c r="BE44" i="388" s="1"/>
  <c r="AE52" i="389"/>
  <c r="AE127" i="389"/>
  <c r="AE51" i="389" s="1"/>
  <c r="BE71" i="168"/>
  <c r="C91" i="425"/>
  <c r="E91" i="425" s="1"/>
  <c r="BC72" i="168"/>
  <c r="C134" i="425" s="1"/>
  <c r="D50" i="227"/>
  <c r="D32" i="227" s="1"/>
  <c r="E126" i="389"/>
  <c r="D22" i="452"/>
  <c r="I26" i="176" s="1"/>
  <c r="E80" i="184"/>
  <c r="E82" i="184" s="1"/>
  <c r="D21" i="227"/>
  <c r="D30" i="227" s="1"/>
  <c r="E126" i="388"/>
  <c r="D49" i="227"/>
  <c r="D36" i="227" s="1"/>
  <c r="D73" i="281"/>
  <c r="D54" i="227"/>
  <c r="D29" i="227"/>
  <c r="D53"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BK75" i="388"/>
  <c r="BK76" i="388" s="1"/>
  <c r="BM76" i="388" s="1"/>
  <c r="BK135" i="388"/>
  <c r="BM92" i="388"/>
  <c r="BM93" i="388" s="1"/>
  <c r="BM94" i="388" s="1"/>
  <c r="K70" i="2"/>
  <c r="K74" i="2" s="1"/>
  <c r="D24" i="373"/>
  <c r="M61" i="2"/>
  <c r="M59" i="2"/>
  <c r="D25" i="373" s="1"/>
  <c r="C15" i="176"/>
  <c r="C93" i="291"/>
  <c r="E93" i="291" s="1"/>
  <c r="E17" i="291"/>
  <c r="F89" i="441"/>
  <c r="D38" i="281"/>
  <c r="F89" i="369"/>
  <c r="O59" i="483" l="1"/>
  <c r="O61" i="483"/>
  <c r="T86" i="482" s="1"/>
  <c r="D71" i="496" s="1"/>
  <c r="E71" i="496" s="1"/>
  <c r="P47" i="483"/>
  <c r="P55" i="483" s="1"/>
  <c r="Q47" i="483"/>
  <c r="Q55" i="483" s="1"/>
  <c r="D28" i="324"/>
  <c r="D79" i="109"/>
  <c r="D22" i="109"/>
  <c r="I112" i="315"/>
  <c r="D70" i="316" s="1"/>
  <c r="F71" i="248" s="1"/>
  <c r="K73" i="483"/>
  <c r="C39" i="363"/>
  <c r="H72" i="248"/>
  <c r="G71" i="248"/>
  <c r="E70" i="495"/>
  <c r="C38" i="409"/>
  <c r="T85" i="482"/>
  <c r="BC92" i="477"/>
  <c r="O70" i="483"/>
  <c r="O74" i="483" s="1"/>
  <c r="C39" i="409" s="1"/>
  <c r="R30" i="483"/>
  <c r="R47" i="483" s="1"/>
  <c r="N61" i="2"/>
  <c r="V86" i="60" s="1"/>
  <c r="N59" i="2"/>
  <c r="F83" i="490"/>
  <c r="F109" i="490" s="1"/>
  <c r="F83" i="489"/>
  <c r="F109" i="489" s="1"/>
  <c r="F112" i="490"/>
  <c r="F112" i="489"/>
  <c r="L70" i="2"/>
  <c r="F112" i="481"/>
  <c r="F115" i="481" s="1"/>
  <c r="F113" i="478"/>
  <c r="AA54" i="168"/>
  <c r="AA55" i="168" s="1"/>
  <c r="C49" i="327"/>
  <c r="C59" i="327"/>
  <c r="AM52" i="477"/>
  <c r="AM54" i="477" s="1"/>
  <c r="AM55" i="477" s="1"/>
  <c r="AA86" i="477"/>
  <c r="AI85" i="477"/>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S141" i="389"/>
  <c r="S102" i="389" s="1"/>
  <c r="S103" i="389"/>
  <c r="AI141" i="389"/>
  <c r="AI102" i="389" s="1"/>
  <c r="AI103" i="389"/>
  <c r="E18" i="443"/>
  <c r="D24" i="443"/>
  <c r="E24" i="443" s="1"/>
  <c r="AI52" i="389"/>
  <c r="AI54" i="389" s="1"/>
  <c r="AI55" i="389" s="1"/>
  <c r="AK105" i="388"/>
  <c r="AK127" i="388"/>
  <c r="C52" i="303"/>
  <c r="C64" i="327"/>
  <c r="C45" i="411"/>
  <c r="AA98" i="168"/>
  <c r="AA82" i="168" s="1"/>
  <c r="AI52" i="168"/>
  <c r="AI54" i="168" s="1"/>
  <c r="AI83" i="389"/>
  <c r="AI85" i="389" s="1"/>
  <c r="AI86" i="389" s="1"/>
  <c r="AI134" i="388"/>
  <c r="AI82" i="388" s="1"/>
  <c r="AI85" i="388" s="1"/>
  <c r="J39" i="184"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89" i="109"/>
  <c r="H89" i="302"/>
  <c r="D81" i="301" s="1"/>
  <c r="E78" i="248" s="1"/>
  <c r="C20" i="108"/>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E88"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AM141" i="389"/>
  <c r="AM102" i="389" s="1"/>
  <c r="AM134" i="388"/>
  <c r="AM82" i="388" s="1"/>
  <c r="AM83" i="388"/>
  <c r="AO127" i="389"/>
  <c r="AO54" i="389"/>
  <c r="AO55" i="389" s="1"/>
  <c r="E57" i="411"/>
  <c r="E43" i="411"/>
  <c r="AG85" i="389"/>
  <c r="AG86" i="389" s="1"/>
  <c r="AG134" i="389"/>
  <c r="H74" i="410"/>
  <c r="D50" i="408"/>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31" i="227"/>
  <c r="D33" i="227" s="1"/>
  <c r="D34" i="227" s="1"/>
  <c r="D35" i="227" s="1"/>
  <c r="D37" i="227" s="1"/>
  <c r="BK98" i="388"/>
  <c r="BK99" i="388" s="1"/>
  <c r="BK141" i="388" s="1"/>
  <c r="BK102" i="388" s="1"/>
  <c r="H74" i="441"/>
  <c r="D23" i="452"/>
  <c r="D50" i="444"/>
  <c r="C54" i="303"/>
  <c r="S85" i="168"/>
  <c r="BM75" i="388"/>
  <c r="BM78" i="388"/>
  <c r="AS78" i="168"/>
  <c r="E46" i="411"/>
  <c r="BM95" i="388"/>
  <c r="BM98" i="388"/>
  <c r="P85" i="60"/>
  <c r="F113" i="315"/>
  <c r="H113" i="315"/>
  <c r="BK78" i="388"/>
  <c r="E45" i="447"/>
  <c r="E57" i="447"/>
  <c r="E43" i="447"/>
  <c r="BM75" i="389"/>
  <c r="T86" i="60"/>
  <c r="H113" i="478" s="1"/>
  <c r="D26" i="373"/>
  <c r="D12" i="434" s="1"/>
  <c r="D14" i="434" s="1"/>
  <c r="O26" i="2"/>
  <c r="Q26" i="2" s="1"/>
  <c r="M70" i="2"/>
  <c r="E48" i="383"/>
  <c r="AK79" i="168"/>
  <c r="O85" i="168"/>
  <c r="O86" i="168" s="1"/>
  <c r="C142" i="291" s="1"/>
  <c r="C130" i="291"/>
  <c r="J82" i="184"/>
  <c r="F89" i="410"/>
  <c r="F89" i="422"/>
  <c r="I113" i="481" l="1"/>
  <c r="Q59" i="483"/>
  <c r="Q61" i="483"/>
  <c r="W86" i="482" s="1"/>
  <c r="D71" i="497" s="1"/>
  <c r="P59" i="483"/>
  <c r="P61" i="483"/>
  <c r="U86" i="482" s="1"/>
  <c r="C44" i="409" s="1"/>
  <c r="R55" i="483"/>
  <c r="R59" i="483" s="1"/>
  <c r="I72" i="248"/>
  <c r="E71" i="497"/>
  <c r="L74" i="2"/>
  <c r="L73" i="2" s="1"/>
  <c r="F115" i="490"/>
  <c r="Q70" i="483"/>
  <c r="Q74" i="483" s="1"/>
  <c r="C39" i="423" s="1"/>
  <c r="S26" i="483"/>
  <c r="I112" i="481"/>
  <c r="O73" i="483"/>
  <c r="N70" i="2"/>
  <c r="N74" i="2" s="1"/>
  <c r="F127" i="489"/>
  <c r="F122" i="489"/>
  <c r="F125" i="490"/>
  <c r="F125" i="489"/>
  <c r="F122" i="490"/>
  <c r="F127" i="490"/>
  <c r="F115" i="489"/>
  <c r="AI86" i="477"/>
  <c r="J98" i="477"/>
  <c r="F125" i="478"/>
  <c r="F126" i="478" s="1"/>
  <c r="F130" i="478" s="1"/>
  <c r="F125" i="481"/>
  <c r="F126" i="481" s="1"/>
  <c r="F130" i="481" s="1"/>
  <c r="F112" i="478"/>
  <c r="F115" i="478" s="1"/>
  <c r="AE55" i="168"/>
  <c r="C12" i="368"/>
  <c r="J92" i="477"/>
  <c r="AQ54" i="477"/>
  <c r="AQ55" i="477" s="1"/>
  <c r="AU91" i="477"/>
  <c r="AU51" i="477" s="1"/>
  <c r="AU54" i="477" s="1"/>
  <c r="AU55" i="477" s="1"/>
  <c r="AQ85" i="477"/>
  <c r="BI79" i="477"/>
  <c r="BG48" i="477"/>
  <c r="BA54" i="477"/>
  <c r="BA55" i="477" s="1"/>
  <c r="BA91" i="477"/>
  <c r="BI48" i="477"/>
  <c r="BA85" i="477"/>
  <c r="BA86" i="477" s="1"/>
  <c r="BA98" i="477"/>
  <c r="AY52" i="477"/>
  <c r="AY91" i="477"/>
  <c r="AY51" i="477" s="1"/>
  <c r="AY83" i="477"/>
  <c r="AY98" i="477"/>
  <c r="AY82" i="477" s="1"/>
  <c r="BG79" i="477"/>
  <c r="AU85" i="477"/>
  <c r="AU86"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E71"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80"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4" i="109"/>
  <c r="D90" i="109"/>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25" i="315"/>
  <c r="F126" i="315" s="1"/>
  <c r="F130" i="315" s="1"/>
  <c r="C21" i="368"/>
  <c r="AM54" i="388"/>
  <c r="AM55" i="388" s="1"/>
  <c r="AM54" i="389"/>
  <c r="AM55" i="389" s="1"/>
  <c r="C122" i="383"/>
  <c r="AM78" i="168"/>
  <c r="AO76" i="168"/>
  <c r="H93" i="410"/>
  <c r="D75" i="408" s="1"/>
  <c r="H88" i="410"/>
  <c r="AU141" i="389"/>
  <c r="AU102" i="389" s="1"/>
  <c r="AU127" i="389"/>
  <c r="AU51" i="389" s="1"/>
  <c r="AU52" i="389"/>
  <c r="C124" i="327"/>
  <c r="AE79" i="168"/>
  <c r="AE83" i="168" s="1"/>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50" i="424"/>
  <c r="D23" i="431"/>
  <c r="BA141" i="388"/>
  <c r="BA105" i="388"/>
  <c r="BE95" i="389"/>
  <c r="BE76" i="388"/>
  <c r="BE78" i="388" s="1"/>
  <c r="BE79" i="388" s="1"/>
  <c r="BC78" i="388"/>
  <c r="BC79" i="388" s="1"/>
  <c r="AU52" i="388"/>
  <c r="AU127" i="388"/>
  <c r="AU51" i="388" s="1"/>
  <c r="BE75" i="389"/>
  <c r="AM105" i="388"/>
  <c r="AK106" i="388" s="1"/>
  <c r="BK103" i="388"/>
  <c r="BK105" i="388" s="1"/>
  <c r="AS79" i="168"/>
  <c r="E48" i="411"/>
  <c r="C62" i="383"/>
  <c r="C59" i="383"/>
  <c r="AK85" i="168"/>
  <c r="E49" i="383"/>
  <c r="AK98" i="168"/>
  <c r="E64" i="383"/>
  <c r="AQ83" i="168"/>
  <c r="C64" i="411"/>
  <c r="C49" i="411"/>
  <c r="AQ98" i="168"/>
  <c r="D27" i="373"/>
  <c r="M74" i="2"/>
  <c r="H112" i="478" s="1"/>
  <c r="H112" i="315"/>
  <c r="F112" i="315"/>
  <c r="F115" i="315" s="1"/>
  <c r="K73" i="2"/>
  <c r="O30" i="2"/>
  <c r="O47" i="2" s="1"/>
  <c r="P26" i="2"/>
  <c r="BK79" i="388"/>
  <c r="H88" i="441"/>
  <c r="H93" i="441"/>
  <c r="D75" i="444" s="1"/>
  <c r="T85" i="60"/>
  <c r="F78" i="369"/>
  <c r="D21" i="374"/>
  <c r="H78" i="369"/>
  <c r="D21" i="359"/>
  <c r="E21" i="359" s="1"/>
  <c r="E24" i="359" s="1"/>
  <c r="C141" i="291"/>
  <c r="D92" i="281" s="1"/>
  <c r="H91" i="280"/>
  <c r="C54" i="327"/>
  <c r="AA85" i="168"/>
  <c r="BM79" i="389"/>
  <c r="BM79" i="388"/>
  <c r="P70" i="483" l="1"/>
  <c r="I113" i="489"/>
  <c r="W85" i="482"/>
  <c r="R61" i="483"/>
  <c r="X86" i="482" s="1"/>
  <c r="X85" i="482" s="1"/>
  <c r="C38" i="423"/>
  <c r="U85" i="482"/>
  <c r="E68" i="496"/>
  <c r="E80" i="496" s="1"/>
  <c r="D70" i="496"/>
  <c r="P74" i="483"/>
  <c r="C46" i="363"/>
  <c r="T26" i="483"/>
  <c r="S30" i="483"/>
  <c r="I112" i="489"/>
  <c r="D70" i="497" s="1"/>
  <c r="I71" i="248" s="1"/>
  <c r="Q73" i="483"/>
  <c r="N73" i="2"/>
  <c r="F126" i="490"/>
  <c r="F130" i="490" s="1"/>
  <c r="F126" i="489"/>
  <c r="F130" i="489" s="1"/>
  <c r="AQ86" i="477"/>
  <c r="J104" i="477"/>
  <c r="C21" i="372"/>
  <c r="C23" i="372" s="1"/>
  <c r="C25" i="372" s="1"/>
  <c r="AY85" i="477"/>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E70" i="316"/>
  <c r="AK106" i="389"/>
  <c r="D21" i="372" s="1"/>
  <c r="AA105" i="389"/>
  <c r="BG55" i="168"/>
  <c r="C12" i="442"/>
  <c r="AQ55" i="168"/>
  <c r="C12" i="407"/>
  <c r="J42" i="184"/>
  <c r="J45" i="184" s="1"/>
  <c r="AY127" i="389"/>
  <c r="AY51" i="389" s="1"/>
  <c r="AY54" i="389" s="1"/>
  <c r="AY55" i="389" s="1"/>
  <c r="BA54" i="168"/>
  <c r="BA55" i="168" s="1"/>
  <c r="AS141" i="389"/>
  <c r="AY52" i="168"/>
  <c r="AY54" i="168" s="1"/>
  <c r="BA54" i="389"/>
  <c r="BA55" i="389" s="1"/>
  <c r="BA127" i="388"/>
  <c r="AC85" i="168"/>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3"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I40" i="184"/>
  <c r="C25" i="322"/>
  <c r="AU105" i="388"/>
  <c r="AS106" i="388" s="1"/>
  <c r="C21" i="409" s="1"/>
  <c r="C23" i="409" s="1"/>
  <c r="C25" i="409" s="1"/>
  <c r="AU105" i="389"/>
  <c r="F90" i="400"/>
  <c r="F95" i="400" s="1"/>
  <c r="F96" i="400"/>
  <c r="F82" i="400"/>
  <c r="AM85" i="389"/>
  <c r="AM86" i="389" s="1"/>
  <c r="H46" i="184"/>
  <c r="C31" i="314"/>
  <c r="D83" i="281"/>
  <c r="H92" i="280"/>
  <c r="AQ85" i="388"/>
  <c r="BC91" i="168"/>
  <c r="BC51" i="168" s="1"/>
  <c r="BC52" i="168"/>
  <c r="BE54" i="389"/>
  <c r="BE55" i="389" s="1"/>
  <c r="BE127" i="389"/>
  <c r="E120" i="425"/>
  <c r="BE75" i="168"/>
  <c r="E121" i="425" s="1"/>
  <c r="BC134" i="388"/>
  <c r="BC82" i="388" s="1"/>
  <c r="BC83" i="388"/>
  <c r="H88" i="422"/>
  <c r="H93" i="422"/>
  <c r="D75" i="424" s="1"/>
  <c r="BC141" i="388"/>
  <c r="BC102" i="388" s="1"/>
  <c r="BC103" i="388"/>
  <c r="W82" i="168"/>
  <c r="C128" i="303"/>
  <c r="BC79" i="389"/>
  <c r="AY134" i="388"/>
  <c r="AY82" i="388" s="1"/>
  <c r="AY83" i="388"/>
  <c r="BC76" i="168"/>
  <c r="C121" i="425"/>
  <c r="AE98"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40" i="363"/>
  <c r="C42" i="363" s="1"/>
  <c r="F77" i="369"/>
  <c r="F80" i="369" s="1"/>
  <c r="H77" i="369"/>
  <c r="M73" i="2"/>
  <c r="D28" i="373"/>
  <c r="E49" i="411"/>
  <c r="AS98" i="168"/>
  <c r="E64" i="411"/>
  <c r="AS85" i="168"/>
  <c r="P30" i="2"/>
  <c r="BM134" i="388"/>
  <c r="BM85" i="388"/>
  <c r="BM86" i="388" s="1"/>
  <c r="BM85" i="389"/>
  <c r="BM86" i="389" s="1"/>
  <c r="BM134" i="389"/>
  <c r="D21" i="419"/>
  <c r="O55" i="2"/>
  <c r="BK83" i="389"/>
  <c r="BK134" i="389"/>
  <c r="BK82" i="389" s="1"/>
  <c r="C62" i="411"/>
  <c r="C59" i="411"/>
  <c r="C25" i="453"/>
  <c r="M40" i="184"/>
  <c r="BI78" i="168"/>
  <c r="E46" i="447"/>
  <c r="D93" i="281"/>
  <c r="BK83" i="388"/>
  <c r="BK134" i="388"/>
  <c r="BK82" i="388" s="1"/>
  <c r="C52" i="411"/>
  <c r="AQ82" i="168"/>
  <c r="C93" i="327"/>
  <c r="E93" i="327" s="1"/>
  <c r="E17" i="327"/>
  <c r="C93" i="303"/>
  <c r="E93" i="303" s="1"/>
  <c r="E17" i="303"/>
  <c r="C44" i="423" l="1"/>
  <c r="R70" i="483"/>
  <c r="S47" i="483"/>
  <c r="S55" i="483" s="1"/>
  <c r="T30" i="483"/>
  <c r="T47" i="483"/>
  <c r="H71" i="248"/>
  <c r="E70" i="496"/>
  <c r="E68" i="497"/>
  <c r="E80" i="497" s="1"/>
  <c r="E70" i="497"/>
  <c r="P73" i="483"/>
  <c r="C45" i="409"/>
  <c r="R74" i="483"/>
  <c r="C48" i="363"/>
  <c r="C50" i="363" s="1"/>
  <c r="C51" i="363" s="1"/>
  <c r="P47" i="2"/>
  <c r="P55" i="2" s="1"/>
  <c r="C46" i="372"/>
  <c r="AY86" i="477"/>
  <c r="D12" i="368"/>
  <c r="E12" i="368" s="1"/>
  <c r="E16" i="368" s="1"/>
  <c r="E21" i="372"/>
  <c r="C21" i="443"/>
  <c r="C23" i="443" s="1"/>
  <c r="C25" i="443" s="1"/>
  <c r="BG54" i="477"/>
  <c r="BG55" i="477" s="1"/>
  <c r="BK98" i="477"/>
  <c r="BK82" i="477" s="1"/>
  <c r="BK85" i="477" s="1"/>
  <c r="BK86" i="477" s="1"/>
  <c r="BG85" i="477"/>
  <c r="BC85" i="477"/>
  <c r="BC86" i="477" s="1"/>
  <c r="BC54" i="477"/>
  <c r="BC55" i="477" s="1"/>
  <c r="BM85" i="477"/>
  <c r="BM86" i="477" s="1"/>
  <c r="BM98" i="477"/>
  <c r="D23" i="361"/>
  <c r="E23" i="361" s="1"/>
  <c r="D23" i="372"/>
  <c r="E23" i="372" s="1"/>
  <c r="AC106" i="389"/>
  <c r="D21" i="363" s="1"/>
  <c r="D23" i="363" s="1"/>
  <c r="AY55" i="168"/>
  <c r="C12" i="426"/>
  <c r="C121" i="447"/>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I42" i="184"/>
  <c r="C26" i="322"/>
  <c r="F97" i="400"/>
  <c r="I5" i="173" s="1"/>
  <c r="BC85" i="388"/>
  <c r="BC86" i="388" s="1"/>
  <c r="C32" i="314"/>
  <c r="D38" i="30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BK85" i="389"/>
  <c r="BK86" i="389" s="1"/>
  <c r="AQ85" i="168"/>
  <c r="C54" i="411"/>
  <c r="C16" i="176"/>
  <c r="C17" i="176" s="1"/>
  <c r="D95" i="281"/>
  <c r="M42" i="184"/>
  <c r="C26" i="453"/>
  <c r="BO72" i="168"/>
  <c r="BP70" i="168"/>
  <c r="BP72" i="168" s="1"/>
  <c r="O61" i="2"/>
  <c r="O59" i="2"/>
  <c r="D25" i="419" s="1"/>
  <c r="D24" i="419"/>
  <c r="R26" i="2"/>
  <c r="Q30" i="2"/>
  <c r="Q47" i="2" s="1"/>
  <c r="E48" i="447"/>
  <c r="BI79" i="168"/>
  <c r="E122" i="447"/>
  <c r="BM78" i="168"/>
  <c r="C31" i="380"/>
  <c r="J46" i="184"/>
  <c r="S59" i="483" l="1"/>
  <c r="S61" i="483"/>
  <c r="T55" i="483"/>
  <c r="D73" i="316"/>
  <c r="F74" i="248" s="1"/>
  <c r="I103" i="315"/>
  <c r="C48" i="372"/>
  <c r="C50" i="372" s="1"/>
  <c r="C51" i="372" s="1"/>
  <c r="R73" i="483"/>
  <c r="C45" i="423"/>
  <c r="P59" i="2"/>
  <c r="P61" i="2"/>
  <c r="Z86" i="60" s="1"/>
  <c r="S70" i="483"/>
  <c r="S74" i="483" s="1"/>
  <c r="C39" i="443" s="1"/>
  <c r="J123" i="477"/>
  <c r="BG86" i="477"/>
  <c r="J132" i="477"/>
  <c r="J186" i="167"/>
  <c r="J187" i="167" s="1"/>
  <c r="J189" i="167" s="1"/>
  <c r="J190" i="167" s="1"/>
  <c r="J194" i="167" s="1"/>
  <c r="J198" i="167" s="1"/>
  <c r="N186" i="167"/>
  <c r="N187" i="167" s="1"/>
  <c r="N189" i="167" s="1"/>
  <c r="N190" i="167" s="1"/>
  <c r="N194" i="167" s="1"/>
  <c r="N198" i="167" s="1"/>
  <c r="D12" i="407"/>
  <c r="E12" i="407" s="1"/>
  <c r="E16" i="407" s="1"/>
  <c r="R30" i="2"/>
  <c r="R47" i="2" s="1"/>
  <c r="J86" i="477"/>
  <c r="J87" i="477" s="1"/>
  <c r="D35" i="109"/>
  <c r="D38" i="109" s="1"/>
  <c r="D40" i="109" s="1"/>
  <c r="I12" i="107" s="1"/>
  <c r="W86" i="168"/>
  <c r="C142" i="303" s="1"/>
  <c r="S88" i="168"/>
  <c r="W88" i="168" s="1"/>
  <c r="D25" i="361"/>
  <c r="D26" i="361" s="1"/>
  <c r="D25" i="372"/>
  <c r="E21" i="363"/>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AY86" i="388"/>
  <c r="C65" i="411"/>
  <c r="AQ86" i="168"/>
  <c r="C66" i="411" s="1"/>
  <c r="H89" i="410"/>
  <c r="D70" i="408" s="1"/>
  <c r="D80" i="408"/>
  <c r="BA98" i="168"/>
  <c r="E49" i="425"/>
  <c r="BA85" i="168"/>
  <c r="E64" i="425"/>
  <c r="C62" i="425"/>
  <c r="C59" i="425"/>
  <c r="AY82" i="168"/>
  <c r="C52" i="425"/>
  <c r="E25" i="423"/>
  <c r="I45" i="184"/>
  <c r="C28" i="322"/>
  <c r="D87" i="281"/>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AO85" i="168"/>
  <c r="E125" i="383"/>
  <c r="AO98" i="168"/>
  <c r="E140" i="383"/>
  <c r="C135" i="383"/>
  <c r="C138" i="383"/>
  <c r="C124" i="425"/>
  <c r="BC79" i="168"/>
  <c r="E23" i="423"/>
  <c r="E124" i="411"/>
  <c r="AW79" i="168"/>
  <c r="C130" i="327"/>
  <c r="AE85" i="168"/>
  <c r="L186" i="167" s="1"/>
  <c r="L187" i="167" s="1"/>
  <c r="L189" i="167" s="1"/>
  <c r="L190" i="167" s="1"/>
  <c r="L194" i="167" s="1"/>
  <c r="L198" i="167" s="1"/>
  <c r="E122" i="425"/>
  <c r="BE78" i="168"/>
  <c r="BI98" i="168"/>
  <c r="BI85" i="168"/>
  <c r="E49" i="447"/>
  <c r="E64" i="447"/>
  <c r="M45" i="184"/>
  <c r="C28" i="453"/>
  <c r="Q55" i="2"/>
  <c r="D21" i="434"/>
  <c r="C59" i="447"/>
  <c r="C62" i="447"/>
  <c r="BM79" i="168"/>
  <c r="E124" i="447"/>
  <c r="X86" i="60"/>
  <c r="H113" i="481" s="1"/>
  <c r="O70" i="2"/>
  <c r="D26" i="419"/>
  <c r="C93" i="447"/>
  <c r="E93" i="447" s="1"/>
  <c r="E17" i="447"/>
  <c r="C32" i="380"/>
  <c r="T59" i="483" l="1"/>
  <c r="T61" i="483"/>
  <c r="D70" i="371"/>
  <c r="D73" i="495"/>
  <c r="G74" i="248" s="1"/>
  <c r="P70" i="2"/>
  <c r="S73" i="483"/>
  <c r="I112" i="490"/>
  <c r="D71" i="371"/>
  <c r="H94" i="478"/>
  <c r="H103" i="478" s="1"/>
  <c r="H109" i="478" s="1"/>
  <c r="I91" i="490"/>
  <c r="I91" i="489"/>
  <c r="D12" i="433"/>
  <c r="D26" i="433" s="1"/>
  <c r="D51" i="424" s="1"/>
  <c r="H27" i="176" s="1"/>
  <c r="H94" i="489"/>
  <c r="H103" i="489" s="1"/>
  <c r="H109" i="489" s="1"/>
  <c r="H122" i="489" s="1"/>
  <c r="R55" i="2"/>
  <c r="I91" i="481"/>
  <c r="G186" i="167"/>
  <c r="G187" i="167" s="1"/>
  <c r="G189" i="167" s="1"/>
  <c r="I91" i="478"/>
  <c r="I91" i="315"/>
  <c r="J93" i="477"/>
  <c r="J94" i="477" s="1"/>
  <c r="I128" i="315" s="1"/>
  <c r="H124" i="315"/>
  <c r="E25" i="361"/>
  <c r="E25" i="372"/>
  <c r="BK105" i="389"/>
  <c r="BG105" i="389"/>
  <c r="E23" i="409"/>
  <c r="E25" i="409"/>
  <c r="H94" i="481"/>
  <c r="H103" i="481" s="1"/>
  <c r="H109" i="481" s="1"/>
  <c r="H122" i="481" s="1"/>
  <c r="BK83" i="168"/>
  <c r="C138" i="447" s="1"/>
  <c r="BK98" i="168"/>
  <c r="BK82" i="168" s="1"/>
  <c r="C125" i="447"/>
  <c r="BG82" i="168"/>
  <c r="C54" i="447" s="1"/>
  <c r="AE86" i="168"/>
  <c r="C142" i="327" s="1"/>
  <c r="O45" i="302"/>
  <c r="P43" i="302"/>
  <c r="C25" i="432"/>
  <c r="BM105" i="389"/>
  <c r="BM106" i="389" s="1"/>
  <c r="E141" i="383"/>
  <c r="AO86" i="168"/>
  <c r="E142" i="383" s="1"/>
  <c r="D12" i="309"/>
  <c r="E25" i="363"/>
  <c r="H103" i="315"/>
  <c r="H109" i="315" s="1"/>
  <c r="H89" i="422"/>
  <c r="D70" i="424" s="1"/>
  <c r="C26" i="417"/>
  <c r="K42" i="184"/>
  <c r="D80" i="424"/>
  <c r="H89" i="441"/>
  <c r="D70" i="444" s="1"/>
  <c r="L40" i="184"/>
  <c r="E65" i="447"/>
  <c r="BI86" i="168"/>
  <c r="E66" i="447" s="1"/>
  <c r="E65" i="425"/>
  <c r="BA86" i="168"/>
  <c r="E66" i="425" s="1"/>
  <c r="C54" i="425"/>
  <c r="AY85" i="168"/>
  <c r="C31" i="322"/>
  <c r="I46" i="184"/>
  <c r="D83" i="301"/>
  <c r="E80" i="248" s="1"/>
  <c r="G24" i="173"/>
  <c r="G26" i="173" s="1"/>
  <c r="AW98" i="168"/>
  <c r="AW85" i="168"/>
  <c r="E125" i="411"/>
  <c r="E140" i="411"/>
  <c r="C141" i="327"/>
  <c r="D21" i="368"/>
  <c r="E21" i="368" s="1"/>
  <c r="E24" i="368" s="1"/>
  <c r="D93" i="301"/>
  <c r="E89" i="248"/>
  <c r="C128" i="411"/>
  <c r="AU82" i="168"/>
  <c r="C130" i="383"/>
  <c r="AM85" i="168"/>
  <c r="D56" i="424"/>
  <c r="D69" i="424"/>
  <c r="D69" i="444"/>
  <c r="BE79" i="168"/>
  <c r="E124" i="425"/>
  <c r="BC83" i="168"/>
  <c r="BC98" i="168"/>
  <c r="C140" i="425"/>
  <c r="C125" i="425"/>
  <c r="C135" i="411"/>
  <c r="C138" i="411"/>
  <c r="D56" i="444"/>
  <c r="E11" i="455" s="1"/>
  <c r="E13" i="455" s="1"/>
  <c r="E15" i="455" s="1"/>
  <c r="D12" i="381"/>
  <c r="D26" i="381" s="1"/>
  <c r="M46" i="184"/>
  <c r="C31" i="453"/>
  <c r="D27" i="419"/>
  <c r="O74" i="2"/>
  <c r="BM98" i="168"/>
  <c r="E140" i="447"/>
  <c r="E125" i="447"/>
  <c r="BM85" i="168"/>
  <c r="D24" i="434"/>
  <c r="Q59" i="2"/>
  <c r="D25" i="434" s="1"/>
  <c r="Q61" i="2"/>
  <c r="S26" i="2" s="1"/>
  <c r="T26" i="2" s="1"/>
  <c r="X85" i="60"/>
  <c r="F78" i="410"/>
  <c r="H78" i="410" s="1"/>
  <c r="D59" i="408"/>
  <c r="D21" i="421"/>
  <c r="C93" i="425"/>
  <c r="E93" i="425" s="1"/>
  <c r="E17" i="425"/>
  <c r="C93" i="411"/>
  <c r="E93" i="411" s="1"/>
  <c r="E17" i="411"/>
  <c r="C93" i="383"/>
  <c r="E93" i="383" s="1"/>
  <c r="E17" i="383"/>
  <c r="D21" i="323" l="1"/>
  <c r="AA86" i="482"/>
  <c r="Z86" i="482"/>
  <c r="T70" i="483"/>
  <c r="T74" i="483" s="1"/>
  <c r="C45" i="443" s="1"/>
  <c r="E67" i="498"/>
  <c r="D70" i="498"/>
  <c r="P74" i="2"/>
  <c r="P73" i="2" s="1"/>
  <c r="H15" i="176"/>
  <c r="H122" i="315"/>
  <c r="H193" i="315" s="1"/>
  <c r="H116" i="315"/>
  <c r="H115" i="315"/>
  <c r="D12" i="426"/>
  <c r="E12" i="426" s="1"/>
  <c r="E16" i="426" s="1"/>
  <c r="H122" i="478"/>
  <c r="H195" i="478" s="1"/>
  <c r="H116" i="478"/>
  <c r="H115" i="478"/>
  <c r="F11" i="106"/>
  <c r="F13" i="106" s="1"/>
  <c r="F17" i="106" s="1"/>
  <c r="F21" i="106" s="1"/>
  <c r="G7" i="487"/>
  <c r="T30" i="2"/>
  <c r="T47" i="2" s="1"/>
  <c r="T55" i="2" s="1"/>
  <c r="R61" i="2"/>
  <c r="AD86" i="60" s="1"/>
  <c r="R59" i="2"/>
  <c r="AM86" i="168"/>
  <c r="C142" i="383" s="1"/>
  <c r="H124" i="478"/>
  <c r="J99" i="477"/>
  <c r="J100" i="477" s="1"/>
  <c r="I128" i="478" s="1"/>
  <c r="H9" i="109"/>
  <c r="G190" i="167"/>
  <c r="G194" i="167" s="1"/>
  <c r="O51" i="302"/>
  <c r="BP15" i="477"/>
  <c r="BQ15" i="477" s="1"/>
  <c r="BR15" i="477" s="1"/>
  <c r="BI106" i="389"/>
  <c r="D21" i="443" s="1"/>
  <c r="E21" i="443" s="1"/>
  <c r="O48" i="302"/>
  <c r="N22" i="184" s="1"/>
  <c r="D53" i="444"/>
  <c r="D53" i="408"/>
  <c r="D69" i="408"/>
  <c r="D12" i="418"/>
  <c r="D26" i="418" s="1"/>
  <c r="D56" i="408"/>
  <c r="D53" i="424"/>
  <c r="C135" i="447"/>
  <c r="S30" i="2"/>
  <c r="S47" i="2" s="1"/>
  <c r="C128" i="447"/>
  <c r="BG85" i="168"/>
  <c r="O52" i="302"/>
  <c r="N11" i="184"/>
  <c r="N12" i="184" s="1"/>
  <c r="N14" i="184" s="1"/>
  <c r="E141" i="447"/>
  <c r="BM86" i="168"/>
  <c r="E142" i="447" s="1"/>
  <c r="E141" i="411"/>
  <c r="AW86" i="168"/>
  <c r="E142" i="411" s="1"/>
  <c r="BO15" i="168"/>
  <c r="BP15" i="168" s="1"/>
  <c r="BQ15" i="168" s="1"/>
  <c r="BR15" i="168" s="1"/>
  <c r="M19" i="74"/>
  <c r="M20" i="74" s="1"/>
  <c r="K45" i="184"/>
  <c r="C28" i="417"/>
  <c r="L42" i="184"/>
  <c r="C26" i="432"/>
  <c r="C65" i="425"/>
  <c r="AY86" i="168"/>
  <c r="C66" i="425" s="1"/>
  <c r="C32" i="322"/>
  <c r="E11" i="436"/>
  <c r="E13" i="436" s="1"/>
  <c r="E15" i="436" s="1"/>
  <c r="C130" i="411"/>
  <c r="AU85" i="168"/>
  <c r="BC82" i="168"/>
  <c r="C128" i="425"/>
  <c r="C135" i="425"/>
  <c r="C138" i="425"/>
  <c r="C141" i="383"/>
  <c r="H91" i="369"/>
  <c r="D21" i="384"/>
  <c r="E21" i="384" s="1"/>
  <c r="E24" i="384" s="1"/>
  <c r="F27" i="176"/>
  <c r="BE85" i="168"/>
  <c r="BE98" i="168"/>
  <c r="E140" i="425"/>
  <c r="E125" i="425"/>
  <c r="D16" i="176"/>
  <c r="E90" i="248"/>
  <c r="D95" i="301"/>
  <c r="E92" i="248" s="1"/>
  <c r="C130" i="447"/>
  <c r="BK85" i="168"/>
  <c r="D21" i="442" s="1"/>
  <c r="E21" i="442" s="1"/>
  <c r="D28" i="419"/>
  <c r="C40" i="409"/>
  <c r="C42" i="409" s="1"/>
  <c r="D58" i="408"/>
  <c r="O73" i="2"/>
  <c r="F77" i="410"/>
  <c r="AB86" i="60"/>
  <c r="Q70" i="2"/>
  <c r="D26" i="434"/>
  <c r="D12" i="445" s="1"/>
  <c r="D14" i="445" s="1"/>
  <c r="C32" i="453"/>
  <c r="D71" i="498" l="1"/>
  <c r="I113" i="490"/>
  <c r="E68" i="498" s="1"/>
  <c r="E80" i="498" s="1"/>
  <c r="Z85" i="482"/>
  <c r="C38" i="443"/>
  <c r="C44" i="443"/>
  <c r="AA85" i="482"/>
  <c r="T73" i="483"/>
  <c r="E70" i="498"/>
  <c r="J71" i="248"/>
  <c r="H126" i="315"/>
  <c r="H178" i="315" s="1"/>
  <c r="H178" i="481" s="1"/>
  <c r="H178" i="490" s="1"/>
  <c r="H124" i="490"/>
  <c r="J133" i="477"/>
  <c r="J134" i="477" s="1"/>
  <c r="I128" i="490" s="1"/>
  <c r="H126" i="478"/>
  <c r="H130" i="478" s="1"/>
  <c r="H132" i="478" s="1"/>
  <c r="AU86" i="168"/>
  <c r="C142" i="411" s="1"/>
  <c r="J105" i="477"/>
  <c r="J106" i="477" s="1"/>
  <c r="I128" i="481" s="1"/>
  <c r="H124" i="481"/>
  <c r="H126" i="481" s="1"/>
  <c r="H130" i="481" s="1"/>
  <c r="H132" i="481" s="1"/>
  <c r="H113" i="489"/>
  <c r="T61" i="2"/>
  <c r="AH86" i="60" s="1"/>
  <c r="AH85" i="60" s="1"/>
  <c r="T59" i="2"/>
  <c r="R70" i="2"/>
  <c r="R74" i="2" s="1"/>
  <c r="BQ24" i="168"/>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D51" i="444"/>
  <c r="D51" i="408"/>
  <c r="E11" i="420"/>
  <c r="E13" i="420" s="1"/>
  <c r="E15" i="420" s="1"/>
  <c r="D21" i="445"/>
  <c r="S55" i="2"/>
  <c r="BG86" i="168"/>
  <c r="C66" i="447" s="1"/>
  <c r="O53" i="302"/>
  <c r="BP92" i="168"/>
  <c r="BO24" i="168"/>
  <c r="BP24" i="168" s="1"/>
  <c r="BP33" i="168" s="1"/>
  <c r="N20" i="184"/>
  <c r="C141" i="447"/>
  <c r="D81" i="444" s="1"/>
  <c r="BK86" i="168"/>
  <c r="C142" i="447" s="1"/>
  <c r="E141" i="425"/>
  <c r="BE86" i="168"/>
  <c r="E142" i="425" s="1"/>
  <c r="BO16" i="168"/>
  <c r="BO17" i="168" s="1"/>
  <c r="BP99" i="168"/>
  <c r="BR99" i="168"/>
  <c r="BR92" i="168"/>
  <c r="C31" i="417"/>
  <c r="K46" i="184"/>
  <c r="C28" i="432"/>
  <c r="L45" i="184"/>
  <c r="H77" i="410"/>
  <c r="F80" i="410"/>
  <c r="H92" i="369"/>
  <c r="D21" i="407"/>
  <c r="E21" i="407" s="1"/>
  <c r="E24" i="407" s="1"/>
  <c r="H91" i="410"/>
  <c r="C141" i="411"/>
  <c r="D81" i="408" s="1"/>
  <c r="BC85" i="168"/>
  <c r="C130" i="425"/>
  <c r="C46" i="409"/>
  <c r="C48" i="409" s="1"/>
  <c r="C50" i="409" s="1"/>
  <c r="C51" i="409" s="1"/>
  <c r="D21" i="435"/>
  <c r="D59" i="424"/>
  <c r="F78" i="422"/>
  <c r="H78" i="422" s="1"/>
  <c r="AB85" i="60"/>
  <c r="D59" i="444"/>
  <c r="Q74" i="2"/>
  <c r="D27" i="434"/>
  <c r="E71" i="498" l="1"/>
  <c r="J72" i="248"/>
  <c r="D61" i="408"/>
  <c r="D73" i="496"/>
  <c r="H74" i="248" s="1"/>
  <c r="H130" i="315"/>
  <c r="H132" i="315" s="1"/>
  <c r="H178" i="478"/>
  <c r="H112" i="481"/>
  <c r="H112" i="489"/>
  <c r="E59" i="497" s="1"/>
  <c r="BC86" i="168"/>
  <c r="C142" i="425" s="1"/>
  <c r="J124" i="477"/>
  <c r="H124" i="489"/>
  <c r="H126" i="489" s="1"/>
  <c r="H130" i="489" s="1"/>
  <c r="H132" i="489" s="1"/>
  <c r="H179" i="315"/>
  <c r="H179" i="481" s="1"/>
  <c r="T70" i="2"/>
  <c r="T74" i="2" s="1"/>
  <c r="R73" i="2"/>
  <c r="BO64" i="477"/>
  <c r="BO33" i="477"/>
  <c r="BP36" i="477"/>
  <c r="BP34" i="477"/>
  <c r="BR64" i="477"/>
  <c r="BR33" i="477"/>
  <c r="BQ64" i="477"/>
  <c r="BQ33" i="477"/>
  <c r="E23" i="443"/>
  <c r="G27" i="176"/>
  <c r="G15" i="176"/>
  <c r="I15" i="176"/>
  <c r="I27" i="176"/>
  <c r="S61" i="2"/>
  <c r="AF86" i="60" s="1"/>
  <c r="S59" i="2"/>
  <c r="D25" i="445" s="1"/>
  <c r="D24" i="445"/>
  <c r="BP36" i="168"/>
  <c r="BP34" i="168"/>
  <c r="BP35" i="168" s="1"/>
  <c r="BP16" i="168"/>
  <c r="BQ16" i="168" s="1"/>
  <c r="BR16" i="168" s="1"/>
  <c r="BR64" i="168"/>
  <c r="C32" i="417"/>
  <c r="L46" i="184"/>
  <c r="C31" i="432"/>
  <c r="D72" i="408"/>
  <c r="H92" i="410"/>
  <c r="H80" i="410"/>
  <c r="H81" i="410"/>
  <c r="H94" i="369"/>
  <c r="H96" i="369" s="1"/>
  <c r="BP17" i="168"/>
  <c r="BQ17" i="168" s="1"/>
  <c r="BR17" i="168" s="1"/>
  <c r="BO19" i="168"/>
  <c r="H91" i="441"/>
  <c r="C141" i="425"/>
  <c r="D21" i="426"/>
  <c r="E21" i="426" s="1"/>
  <c r="E24" i="426" s="1"/>
  <c r="H91" i="422"/>
  <c r="D82" i="408"/>
  <c r="BR36" i="168"/>
  <c r="BR42" i="168"/>
  <c r="D28" i="434"/>
  <c r="D58" i="444"/>
  <c r="Q73" i="2"/>
  <c r="F77" i="422"/>
  <c r="C40" i="423"/>
  <c r="C42" i="423" s="1"/>
  <c r="D58" i="424"/>
  <c r="D62" i="408" l="1"/>
  <c r="H115" i="481"/>
  <c r="E59" i="496"/>
  <c r="H113" i="490"/>
  <c r="E59" i="498" s="1"/>
  <c r="AF85" i="60"/>
  <c r="D21" i="446"/>
  <c r="F78" i="441"/>
  <c r="H78" i="441" s="1"/>
  <c r="H185" i="481"/>
  <c r="H179" i="490"/>
  <c r="H116" i="481"/>
  <c r="H179" i="478"/>
  <c r="H178" i="489"/>
  <c r="D12" i="454"/>
  <c r="D26" i="454" s="1"/>
  <c r="H94" i="490"/>
  <c r="H103" i="490" s="1"/>
  <c r="H109" i="490" s="1"/>
  <c r="H122" i="490" s="1"/>
  <c r="H126" i="490" s="1"/>
  <c r="H130" i="490" s="1"/>
  <c r="H132" i="490" s="1"/>
  <c r="J129" i="477"/>
  <c r="I128" i="489" s="1"/>
  <c r="J125" i="477"/>
  <c r="H185" i="315"/>
  <c r="H186" i="478" s="1"/>
  <c r="T73" i="2"/>
  <c r="BQ36" i="477"/>
  <c r="BQ34" i="477"/>
  <c r="BQ35" i="477" s="1"/>
  <c r="BQ42" i="477" s="1"/>
  <c r="BQ67" i="477"/>
  <c r="BQ65" i="477"/>
  <c r="BQ66" i="477" s="1"/>
  <c r="BQ73" i="477" s="1"/>
  <c r="BQ74" i="477" s="1"/>
  <c r="BQ75" i="477" s="1"/>
  <c r="BQ76" i="477" s="1"/>
  <c r="BQ78" i="477" s="1"/>
  <c r="BQ79" i="477" s="1"/>
  <c r="BR36" i="477"/>
  <c r="BR34" i="477"/>
  <c r="BR35" i="477" s="1"/>
  <c r="BR42" i="477" s="1"/>
  <c r="BR67" i="477"/>
  <c r="BR65" i="477"/>
  <c r="BR66" i="477" s="1"/>
  <c r="BR73" i="477" s="1"/>
  <c r="BP43" i="477"/>
  <c r="BP35" i="477"/>
  <c r="BP42" i="477" s="1"/>
  <c r="BO36" i="477"/>
  <c r="BO34" i="477"/>
  <c r="BO67" i="477"/>
  <c r="BP64" i="477"/>
  <c r="BO65" i="477"/>
  <c r="S70" i="2"/>
  <c r="D26" i="445"/>
  <c r="BR65" i="168"/>
  <c r="BR66" i="168" s="1"/>
  <c r="BR73" i="168" s="1"/>
  <c r="BP43" i="168"/>
  <c r="BR43" i="168"/>
  <c r="BR44" i="168" s="1"/>
  <c r="BR67" i="168"/>
  <c r="BP42" i="168"/>
  <c r="C32" i="432"/>
  <c r="D72" i="444"/>
  <c r="H92" i="441"/>
  <c r="D72" i="424"/>
  <c r="H92" i="422"/>
  <c r="H77" i="422"/>
  <c r="F80" i="422"/>
  <c r="D74" i="408"/>
  <c r="H94" i="410"/>
  <c r="H96" i="410" s="1"/>
  <c r="BO27" i="168"/>
  <c r="BO28" i="168" s="1"/>
  <c r="BP19" i="168"/>
  <c r="BQ19" i="168" s="1"/>
  <c r="G16" i="176"/>
  <c r="G17" i="176" s="1"/>
  <c r="D84" i="408"/>
  <c r="D81" i="424"/>
  <c r="C46" i="423"/>
  <c r="C48" i="423" s="1"/>
  <c r="C50" i="423" s="1"/>
  <c r="C51" i="423" s="1"/>
  <c r="D73" i="497" s="1"/>
  <c r="I74" i="248" s="1"/>
  <c r="H185" i="490" l="1"/>
  <c r="H179" i="489"/>
  <c r="H185" i="489" s="1"/>
  <c r="H185" i="478"/>
  <c r="H186" i="490"/>
  <c r="H186" i="489"/>
  <c r="BR74" i="477"/>
  <c r="BR75" i="477" s="1"/>
  <c r="BR43" i="477"/>
  <c r="BR44" i="477" s="1"/>
  <c r="BQ43" i="477"/>
  <c r="BQ92" i="477" s="1"/>
  <c r="BQ98" i="477"/>
  <c r="BQ83" i="477"/>
  <c r="BP67" i="477"/>
  <c r="BP65" i="477"/>
  <c r="BO35" i="477"/>
  <c r="BO42" i="477" s="1"/>
  <c r="BO43" i="477"/>
  <c r="BO66" i="477"/>
  <c r="BO73" i="477" s="1"/>
  <c r="BO74" i="477"/>
  <c r="BP44" i="477"/>
  <c r="BP44" i="168"/>
  <c r="S74" i="2"/>
  <c r="D27" i="445"/>
  <c r="BR74" i="168"/>
  <c r="BR75" i="168" s="1"/>
  <c r="BO29" i="168"/>
  <c r="BO30" i="168" s="1"/>
  <c r="H94" i="441"/>
  <c r="H96" i="441" s="1"/>
  <c r="D74" i="444"/>
  <c r="H81" i="422"/>
  <c r="H80" i="422"/>
  <c r="H94" i="422"/>
  <c r="H96" i="422" s="1"/>
  <c r="D74" i="424"/>
  <c r="D76" i="408"/>
  <c r="BQ27" i="168"/>
  <c r="BQ28" i="168" s="1"/>
  <c r="BR19" i="168"/>
  <c r="D82" i="444"/>
  <c r="D82" i="424"/>
  <c r="D61" i="424"/>
  <c r="D61" i="444"/>
  <c r="H187" i="489" l="1"/>
  <c r="H116" i="489"/>
  <c r="H112" i="490"/>
  <c r="BQ44" i="477"/>
  <c r="BQ45" i="477" s="1"/>
  <c r="BQ47" i="477" s="1"/>
  <c r="BQ48" i="477" s="1"/>
  <c r="BQ91" i="477" s="1"/>
  <c r="BQ51" i="477" s="1"/>
  <c r="BQ99" i="477"/>
  <c r="BQ82" i="477" s="1"/>
  <c r="BQ85" i="477" s="1"/>
  <c r="BO44" i="477"/>
  <c r="BO45" i="477" s="1"/>
  <c r="BP45" i="477" s="1"/>
  <c r="BO99" i="477"/>
  <c r="BO92" i="477"/>
  <c r="BP66" i="477"/>
  <c r="BP73" i="477" s="1"/>
  <c r="BP74" i="477"/>
  <c r="BO75" i="477"/>
  <c r="BO76" i="477" s="1"/>
  <c r="BP76" i="477" s="1"/>
  <c r="BR76" i="477" s="1"/>
  <c r="BR78" i="477" s="1"/>
  <c r="BR79" i="477" s="1"/>
  <c r="D28" i="445"/>
  <c r="S73" i="2"/>
  <c r="F77" i="441"/>
  <c r="BO64" i="168"/>
  <c r="BO65" i="168" s="1"/>
  <c r="BO66" i="168" s="1"/>
  <c r="BO33" i="168"/>
  <c r="BO34" i="168" s="1"/>
  <c r="BO35" i="168" s="1"/>
  <c r="BQ29" i="168"/>
  <c r="BQ30" i="168" s="1"/>
  <c r="D76" i="444"/>
  <c r="D76" i="424"/>
  <c r="I16" i="176"/>
  <c r="I17" i="176" s="1"/>
  <c r="D84" i="444"/>
  <c r="H16" i="176"/>
  <c r="H17" i="176" s="1"/>
  <c r="D84" i="424"/>
  <c r="D62" i="424"/>
  <c r="H115" i="489" l="1"/>
  <c r="H116" i="490"/>
  <c r="H115" i="490"/>
  <c r="BQ52" i="477"/>
  <c r="BQ54" i="477" s="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D73" i="498" s="1"/>
  <c r="J74" i="248" s="1"/>
  <c r="H80" i="441"/>
  <c r="D62" i="444"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BP85" i="168"/>
  <c r="BP86" i="168" s="1"/>
  <c r="N24" i="184" l="1"/>
  <c r="N25" i="184" s="1"/>
  <c r="BO55" i="168"/>
  <c r="D75" i="109" l="1"/>
  <c r="E20" i="316" l="1"/>
  <c r="AL24" i="167"/>
  <c r="AL28" i="167" s="1"/>
  <c r="AL29" i="167" s="1"/>
  <c r="F108" i="167" l="1"/>
  <c r="D18" i="321" s="1"/>
  <c r="F103" i="167"/>
  <c r="F33" i="106" l="1"/>
  <c r="F35" i="106" s="1"/>
  <c r="C18" i="318"/>
  <c r="F109" i="167"/>
  <c r="C19" i="318"/>
  <c r="I76" i="315"/>
  <c r="I77" i="315" s="1"/>
  <c r="I78" i="315" s="1"/>
  <c r="F104" i="167"/>
  <c r="D13" i="321" s="1"/>
  <c r="F110" i="167" l="1"/>
  <c r="D21" i="321" s="1"/>
  <c r="D19" i="321"/>
  <c r="E75" i="460"/>
  <c r="E23" i="486" s="1"/>
  <c r="C75" i="460"/>
  <c r="C23" i="486" s="1"/>
  <c r="D75" i="460"/>
  <c r="D23" i="486" s="1"/>
  <c r="B75" i="460"/>
  <c r="B23" i="486" s="1"/>
  <c r="B74" i="460"/>
  <c r="C74" i="460"/>
  <c r="D74" i="460"/>
  <c r="E74" i="460"/>
  <c r="F105" i="167"/>
  <c r="D15" i="321" s="1"/>
  <c r="E57" i="316"/>
  <c r="I68" i="315"/>
  <c r="I71" i="315" s="1"/>
  <c r="G156" i="167"/>
  <c r="G157" i="167" s="1"/>
  <c r="Z85" i="315" l="1"/>
  <c r="I85" i="315"/>
  <c r="I86" i="315" s="1"/>
  <c r="E24" i="176"/>
  <c r="D22" i="486"/>
  <c r="D76" i="460"/>
  <c r="D24" i="486" s="1"/>
  <c r="D26" i="486" s="1"/>
  <c r="D57" i="486" s="1"/>
  <c r="C22" i="486"/>
  <c r="C76" i="460"/>
  <c r="C24" i="486" s="1"/>
  <c r="C26" i="486" s="1"/>
  <c r="C57" i="486" s="1"/>
  <c r="E22" i="486"/>
  <c r="E76" i="460"/>
  <c r="E24" i="486" s="1"/>
  <c r="E26" i="486" s="1"/>
  <c r="E57" i="486" s="1"/>
  <c r="B22" i="486"/>
  <c r="B76" i="460"/>
  <c r="B24" i="486" s="1"/>
  <c r="B26" i="486" s="1"/>
  <c r="B57" i="486" s="1"/>
  <c r="F27" i="106"/>
  <c r="F29" i="106" s="1"/>
  <c r="I31" i="106"/>
  <c r="D14" i="316"/>
  <c r="D86" i="109"/>
  <c r="I79" i="315"/>
  <c r="I81" i="315"/>
  <c r="D16" i="321" s="1"/>
  <c r="E25" i="176" s="1"/>
  <c r="I82" i="315"/>
  <c r="D22" i="321" s="1"/>
  <c r="E26" i="176" s="1"/>
  <c r="E14" i="316"/>
  <c r="I171" i="315"/>
  <c r="D14" i="321" s="1"/>
  <c r="I172" i="315"/>
  <c r="D20" i="321" s="1"/>
  <c r="E61" i="316"/>
  <c r="G158" i="167"/>
  <c r="F57" i="486" l="1"/>
  <c r="D18" i="323" s="1"/>
  <c r="D92" i="316"/>
  <c r="F93" i="248" s="1"/>
  <c r="D85" i="316"/>
  <c r="F86" i="248" s="1"/>
  <c r="Z86" i="315"/>
  <c r="Z87" i="315" s="1"/>
  <c r="F31" i="106"/>
  <c r="F39" i="106" s="1"/>
  <c r="F41" i="106" s="1"/>
  <c r="E6" i="176"/>
  <c r="I87" i="315"/>
  <c r="D76" i="316" s="1"/>
  <c r="F77" i="248" s="1"/>
  <c r="G196" i="167"/>
  <c r="I83" i="315"/>
  <c r="P103" i="315" l="1"/>
  <c r="D26" i="323"/>
  <c r="D93" i="316"/>
  <c r="F94" i="248" s="1"/>
  <c r="D86" i="316"/>
  <c r="F87" i="248" s="1"/>
  <c r="D52" i="109"/>
  <c r="D55" i="109" s="1"/>
  <c r="D57" i="109" s="1"/>
  <c r="I17" i="107" s="1"/>
  <c r="D28" i="309"/>
  <c r="D62" i="301" s="1"/>
  <c r="E28" i="309"/>
  <c r="G5" i="487" s="1"/>
  <c r="G8" i="487" s="1"/>
  <c r="G10" i="487" s="1"/>
  <c r="F68" i="302"/>
  <c r="F74" i="302" s="1"/>
  <c r="H63" i="302"/>
  <c r="H68" i="302" s="1"/>
  <c r="H74" i="302" s="1"/>
  <c r="F37" i="106"/>
  <c r="F43" i="106"/>
  <c r="F45" i="106" s="1"/>
  <c r="F49" i="106" s="1"/>
  <c r="F51" i="106" s="1"/>
  <c r="G14" i="487"/>
  <c r="D87" i="109"/>
  <c r="D91" i="109" s="1"/>
  <c r="D93" i="109" s="1"/>
  <c r="K17" i="107" s="1"/>
  <c r="D62" i="316"/>
  <c r="F57" i="106"/>
  <c r="I124" i="315"/>
  <c r="G195" i="167"/>
  <c r="G197" i="167" s="1"/>
  <c r="I109" i="315"/>
  <c r="E62" i="316"/>
  <c r="D23" i="321" l="1"/>
  <c r="F63" i="248"/>
  <c r="D94" i="316"/>
  <c r="H93" i="302"/>
  <c r="D86" i="301" s="1"/>
  <c r="E83" i="248" s="1"/>
  <c r="H88" i="302"/>
  <c r="H80" i="302"/>
  <c r="D73" i="301" s="1"/>
  <c r="E70" i="248" s="1"/>
  <c r="H81" i="302"/>
  <c r="D67" i="301"/>
  <c r="E11" i="312" s="1"/>
  <c r="D64" i="301"/>
  <c r="E61" i="248" s="1"/>
  <c r="F88" i="302"/>
  <c r="F92" i="302" s="1"/>
  <c r="F93" i="302"/>
  <c r="F80" i="302"/>
  <c r="E59" i="248"/>
  <c r="D27" i="176"/>
  <c r="C40" i="176" s="1"/>
  <c r="D15" i="176"/>
  <c r="D17" i="176" s="1"/>
  <c r="F47" i="106"/>
  <c r="F55" i="106" s="1"/>
  <c r="F59" i="106" s="1"/>
  <c r="G198" i="167"/>
  <c r="I122" i="315"/>
  <c r="E67" i="316"/>
  <c r="E80" i="316" s="1"/>
  <c r="I115" i="315"/>
  <c r="D96" i="316" l="1"/>
  <c r="F97" i="248" s="1"/>
  <c r="F95" i="248"/>
  <c r="F94" i="302"/>
  <c r="D80" i="301"/>
  <c r="E77" i="248" s="1"/>
  <c r="H92" i="302"/>
  <c r="H8" i="109"/>
  <c r="H10" i="109" s="1"/>
  <c r="H12" i="109" s="1"/>
  <c r="H17" i="109" s="1"/>
  <c r="G147" i="167"/>
  <c r="G150" i="167" s="1"/>
  <c r="E13" i="312"/>
  <c r="E15" i="312" s="1"/>
  <c r="F53" i="106"/>
  <c r="F61" i="106"/>
  <c r="F63" i="106" s="1"/>
  <c r="F65" i="106" s="1"/>
  <c r="F72" i="106" s="1"/>
  <c r="E74" i="316"/>
  <c r="I126" i="315"/>
  <c r="G148" i="167"/>
  <c r="E16" i="176" l="1"/>
  <c r="F76" i="106"/>
  <c r="C13" i="107" s="1"/>
  <c r="D44" i="109"/>
  <c r="D76" i="109" s="1"/>
  <c r="D85" i="301"/>
  <c r="H94" i="302"/>
  <c r="H96" i="302" s="1"/>
  <c r="H186" i="315"/>
  <c r="H194" i="315" s="1"/>
  <c r="H195" i="315" s="1"/>
  <c r="H197" i="315" s="1"/>
  <c r="G149" i="167"/>
  <c r="G151" i="167" s="1"/>
  <c r="D12" i="109" l="1"/>
  <c r="H187" i="315"/>
  <c r="H189" i="315" s="1"/>
  <c r="I127" i="315" s="1"/>
  <c r="E82" i="248"/>
  <c r="D87" i="301"/>
  <c r="H187" i="478"/>
  <c r="G152" i="167"/>
  <c r="G153" i="167" s="1"/>
  <c r="D80" i="109"/>
  <c r="D82" i="109" s="1"/>
  <c r="K13" i="107" s="1"/>
  <c r="D19" i="323" l="1"/>
  <c r="D27" i="323" s="1"/>
  <c r="G12" i="487"/>
  <c r="D74" i="316"/>
  <c r="F75" i="248" s="1"/>
  <c r="D83" i="316"/>
  <c r="F84" i="248" s="1"/>
  <c r="D63" i="316"/>
  <c r="F64" i="248" s="1"/>
  <c r="G15" i="487"/>
  <c r="G17" i="487" s="1"/>
  <c r="G19" i="487" s="1"/>
  <c r="G21" i="487" s="1"/>
  <c r="G23" i="487" s="1"/>
  <c r="I130" i="315"/>
  <c r="E84" i="248"/>
  <c r="I24" i="173"/>
  <c r="I26" i="173" s="1"/>
  <c r="D46" i="109"/>
  <c r="D48" i="109" s="1"/>
  <c r="I13" i="107" s="1"/>
  <c r="D88" i="316" l="1"/>
  <c r="F89" i="248" s="1"/>
  <c r="D87" i="316"/>
  <c r="F88" i="248" s="1"/>
  <c r="D64" i="316"/>
  <c r="D67" i="316" s="1"/>
  <c r="E27" i="176"/>
  <c r="E15" i="176"/>
  <c r="E17" i="176" s="1"/>
  <c r="G25" i="487"/>
  <c r="G26" i="487"/>
  <c r="F99" i="106"/>
  <c r="F102" i="106" s="1"/>
  <c r="F68" i="248" l="1"/>
  <c r="F65" i="248"/>
  <c r="D89" i="316"/>
  <c r="F90" i="248" s="1"/>
  <c r="G13" i="107"/>
  <c r="E11" i="326" l="1"/>
  <c r="E13" i="326" s="1"/>
  <c r="E15" i="326" s="1"/>
  <c r="G107" i="167"/>
  <c r="G102" i="167"/>
  <c r="G100" i="167" l="1"/>
  <c r="W196" i="1"/>
  <c r="W198" i="1" s="1"/>
  <c r="J107" i="167" l="1"/>
  <c r="J102" i="167"/>
  <c r="G112" i="167"/>
  <c r="I76" i="478" s="1"/>
  <c r="I77" i="478" s="1"/>
  <c r="G101" i="167"/>
  <c r="J100" i="167"/>
  <c r="W200" i="1"/>
  <c r="W201" i="1" s="1"/>
  <c r="W199" i="1"/>
  <c r="G103" i="167" l="1"/>
  <c r="G104" i="167" s="1"/>
  <c r="I171" i="478" s="1"/>
  <c r="E39" i="495" s="1"/>
  <c r="W203" i="1"/>
  <c r="J6" i="467" s="1"/>
  <c r="L100" i="167"/>
  <c r="L102" i="167"/>
  <c r="L107" i="167"/>
  <c r="J103" i="167"/>
  <c r="J104" i="167" s="1"/>
  <c r="J105" i="167" s="1"/>
  <c r="I81" i="481" s="1"/>
  <c r="J112" i="167"/>
  <c r="I76" i="481" s="1"/>
  <c r="I77" i="481" s="1"/>
  <c r="J101" i="167"/>
  <c r="W202" i="1"/>
  <c r="G108" i="167"/>
  <c r="G109" i="167" s="1"/>
  <c r="J108" i="167"/>
  <c r="J109" i="167" s="1"/>
  <c r="I78" i="478"/>
  <c r="I79" i="478" s="1"/>
  <c r="G105" i="167" l="1"/>
  <c r="I81" i="478" s="1"/>
  <c r="D85" i="495"/>
  <c r="G86" i="248" s="1"/>
  <c r="D92" i="495"/>
  <c r="D88" i="371"/>
  <c r="D80" i="371"/>
  <c r="J9" i="467"/>
  <c r="K11" i="467" s="1"/>
  <c r="K13" i="467" s="1"/>
  <c r="K17" i="467" s="1"/>
  <c r="G9" i="467"/>
  <c r="H11" i="467" s="1"/>
  <c r="H13" i="467" s="1"/>
  <c r="L108" i="167"/>
  <c r="L109" i="167" s="1"/>
  <c r="L103" i="167"/>
  <c r="L104" i="167" s="1"/>
  <c r="L105" i="167" s="1"/>
  <c r="I81" i="489" s="1"/>
  <c r="N102" i="167"/>
  <c r="N107" i="167"/>
  <c r="N100" i="167"/>
  <c r="L101" i="167"/>
  <c r="L112" i="167"/>
  <c r="I171" i="490"/>
  <c r="E41" i="498" s="1"/>
  <c r="I171" i="489"/>
  <c r="I171" i="481"/>
  <c r="G110" i="167"/>
  <c r="I82" i="478" s="1"/>
  <c r="I172" i="478"/>
  <c r="I172" i="489"/>
  <c r="E39" i="497" s="1"/>
  <c r="J110" i="167"/>
  <c r="I85" i="481" s="1"/>
  <c r="I172" i="481"/>
  <c r="E39" i="496" s="1"/>
  <c r="I172" i="490"/>
  <c r="I78" i="481"/>
  <c r="I79" i="481" s="1"/>
  <c r="I83" i="478" l="1"/>
  <c r="D62" i="495" s="1"/>
  <c r="G63" i="248" s="1"/>
  <c r="G93" i="248"/>
  <c r="D92" i="496"/>
  <c r="H93" i="248" s="1"/>
  <c r="D85" i="496"/>
  <c r="H86" i="248" s="1"/>
  <c r="L110" i="167"/>
  <c r="I82" i="489" s="1"/>
  <c r="I83" i="489" s="1"/>
  <c r="I86" i="481"/>
  <c r="I87" i="481" s="1"/>
  <c r="E62" i="496"/>
  <c r="I109" i="478"/>
  <c r="D65" i="371" s="1"/>
  <c r="D59" i="371"/>
  <c r="D62" i="371" s="1"/>
  <c r="O94" i="1"/>
  <c r="M94" i="1"/>
  <c r="H17" i="467"/>
  <c r="I76" i="489"/>
  <c r="I77" i="489" s="1"/>
  <c r="I78" i="489" s="1"/>
  <c r="I79" i="489" s="1"/>
  <c r="I76" i="490"/>
  <c r="I77" i="490" s="1"/>
  <c r="I78" i="490" s="1"/>
  <c r="I79" i="490" s="1"/>
  <c r="N108" i="167"/>
  <c r="N109" i="167" s="1"/>
  <c r="N101" i="167"/>
  <c r="N112" i="167"/>
  <c r="N103" i="167"/>
  <c r="N104" i="167" s="1"/>
  <c r="I82" i="481"/>
  <c r="I83" i="481" s="1"/>
  <c r="I85" i="478"/>
  <c r="I86" i="478" s="1"/>
  <c r="I85" i="489" l="1"/>
  <c r="I86" i="489" s="1"/>
  <c r="I109" i="489"/>
  <c r="D62" i="497"/>
  <c r="I63" i="248" s="1"/>
  <c r="I109" i="481"/>
  <c r="I115" i="481" s="1"/>
  <c r="D62" i="496"/>
  <c r="H63" i="248" s="1"/>
  <c r="N105" i="167"/>
  <c r="I81" i="490" s="1"/>
  <c r="D92" i="498"/>
  <c r="J93" i="248" s="1"/>
  <c r="D85" i="498"/>
  <c r="J86" i="248" s="1"/>
  <c r="I124" i="481"/>
  <c r="D93" i="496"/>
  <c r="D86" i="496"/>
  <c r="H87" i="248" s="1"/>
  <c r="D76" i="496"/>
  <c r="H77" i="248" s="1"/>
  <c r="D85" i="497"/>
  <c r="I86" i="248" s="1"/>
  <c r="D92" i="497"/>
  <c r="I93" i="248" s="1"/>
  <c r="I122" i="489"/>
  <c r="I87" i="489"/>
  <c r="E62" i="497"/>
  <c r="I115" i="478"/>
  <c r="I122" i="478"/>
  <c r="D78" i="371" s="1"/>
  <c r="F15" i="176"/>
  <c r="E11" i="382"/>
  <c r="E13" i="382" s="1"/>
  <c r="E15" i="382" s="1"/>
  <c r="I115" i="489"/>
  <c r="N110" i="167"/>
  <c r="I85" i="490" s="1"/>
  <c r="I87" i="478"/>
  <c r="I82" i="490" l="1"/>
  <c r="I122" i="481"/>
  <c r="D86" i="495"/>
  <c r="G87" i="248" s="1"/>
  <c r="D93" i="495"/>
  <c r="D76" i="495"/>
  <c r="G77" i="248" s="1"/>
  <c r="D94" i="496"/>
  <c r="H94" i="248"/>
  <c r="I124" i="489"/>
  <c r="I126" i="489" s="1"/>
  <c r="H188" i="489" s="1"/>
  <c r="H189" i="489" s="1"/>
  <c r="H191" i="489" s="1"/>
  <c r="I127" i="489" s="1"/>
  <c r="D63" i="497" s="1"/>
  <c r="I64" i="248" s="1"/>
  <c r="D93" i="497"/>
  <c r="I94" i="248" s="1"/>
  <c r="D86" i="497"/>
  <c r="I87" i="248" s="1"/>
  <c r="D76" i="497"/>
  <c r="I77" i="248" s="1"/>
  <c r="I86" i="490"/>
  <c r="I87" i="490" s="1"/>
  <c r="I126" i="481"/>
  <c r="H186" i="481" s="1"/>
  <c r="H187" i="481" s="1"/>
  <c r="H189" i="481" s="1"/>
  <c r="I127" i="481" s="1"/>
  <c r="D83" i="496" s="1"/>
  <c r="H84" i="248" s="1"/>
  <c r="I124" i="478"/>
  <c r="D89" i="371"/>
  <c r="D81" i="371"/>
  <c r="I83" i="490"/>
  <c r="D96" i="496" l="1"/>
  <c r="H97" i="248" s="1"/>
  <c r="H95" i="248"/>
  <c r="G94" i="248"/>
  <c r="D94" i="495"/>
  <c r="D94" i="497"/>
  <c r="D86" i="498"/>
  <c r="J87" i="248" s="1"/>
  <c r="D76" i="498"/>
  <c r="J77" i="248" s="1"/>
  <c r="D93" i="498"/>
  <c r="I109" i="490"/>
  <c r="I115" i="490" s="1"/>
  <c r="D62" i="498"/>
  <c r="J63" i="248" s="1"/>
  <c r="I124" i="490"/>
  <c r="E62" i="498"/>
  <c r="D88" i="496"/>
  <c r="H89" i="248" s="1"/>
  <c r="D87" i="496"/>
  <c r="H88" i="248" s="1"/>
  <c r="I130" i="481"/>
  <c r="D63" i="496"/>
  <c r="D74" i="496"/>
  <c r="H75" i="248" s="1"/>
  <c r="I130" i="489"/>
  <c r="D64" i="497"/>
  <c r="D67" i="497" s="1"/>
  <c r="D83" i="497"/>
  <c r="I84" i="248" s="1"/>
  <c r="D74" i="497"/>
  <c r="I75" i="248" s="1"/>
  <c r="I126" i="478"/>
  <c r="H188" i="478" s="1"/>
  <c r="H196" i="478" s="1"/>
  <c r="H197" i="478" s="1"/>
  <c r="H199" i="478" s="1"/>
  <c r="D90" i="371"/>
  <c r="D82" i="371"/>
  <c r="D84" i="371" s="1"/>
  <c r="I122" i="490"/>
  <c r="D94" i="498" l="1"/>
  <c r="J94" i="248"/>
  <c r="D96" i="497"/>
  <c r="I97" i="248" s="1"/>
  <c r="I95" i="248"/>
  <c r="H189" i="478"/>
  <c r="H191" i="478" s="1"/>
  <c r="I127" i="478" s="1"/>
  <c r="I130" i="478" s="1"/>
  <c r="G95" i="248"/>
  <c r="D96" i="495"/>
  <c r="G97" i="248" s="1"/>
  <c r="D64" i="496"/>
  <c r="D67" i="496" s="1"/>
  <c r="H64" i="248"/>
  <c r="I68" i="248"/>
  <c r="I65" i="248"/>
  <c r="D89" i="496"/>
  <c r="H90" i="248" s="1"/>
  <c r="I126" i="490"/>
  <c r="H187" i="490" s="1"/>
  <c r="H188" i="490" s="1"/>
  <c r="H190" i="490" s="1"/>
  <c r="D87" i="497"/>
  <c r="I88" i="248" s="1"/>
  <c r="D88" i="497"/>
  <c r="I89" i="248" s="1"/>
  <c r="F16" i="176"/>
  <c r="F17" i="176" s="1"/>
  <c r="D92" i="371"/>
  <c r="D74" i="495" l="1"/>
  <c r="G75" i="248" s="1"/>
  <c r="D83" i="495"/>
  <c r="D88" i="495" s="1"/>
  <c r="G89" i="248" s="1"/>
  <c r="D63" i="495"/>
  <c r="G64" i="248" s="1"/>
  <c r="D96" i="498"/>
  <c r="J97" i="248" s="1"/>
  <c r="J95" i="248"/>
  <c r="H68" i="248"/>
  <c r="H65" i="248"/>
  <c r="D89" i="497"/>
  <c r="I90" i="248" s="1"/>
  <c r="I127" i="490"/>
  <c r="D64" i="495" l="1"/>
  <c r="G84" i="248"/>
  <c r="D87" i="495"/>
  <c r="D89" i="495" s="1"/>
  <c r="G90" i="248" s="1"/>
  <c r="D74" i="498"/>
  <c r="J75" i="248" s="1"/>
  <c r="D83" i="498"/>
  <c r="J84" i="248" s="1"/>
  <c r="I130" i="490"/>
  <c r="D63" i="498"/>
  <c r="D67" i="495" l="1"/>
  <c r="G68" i="248" s="1"/>
  <c r="G65" i="248"/>
  <c r="G88" i="248"/>
  <c r="D64" i="498"/>
  <c r="D67" i="498" s="1"/>
  <c r="J64" i="248"/>
  <c r="D88" i="498"/>
  <c r="J89" i="248" s="1"/>
  <c r="D87" i="498"/>
  <c r="J88" i="248" s="1"/>
  <c r="J68" i="248" l="1"/>
  <c r="J65" i="248"/>
  <c r="D89" i="498"/>
  <c r="J90" i="248" s="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11.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2.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14.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5.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6.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7.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4.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5.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6.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7.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8.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9.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sharedStrings.xml><?xml version="1.0" encoding="utf-8"?>
<sst xmlns="http://schemas.openxmlformats.org/spreadsheetml/2006/main" count="90652" uniqueCount="10358">
  <si>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</si>
  <si>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</si>
  <si>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</si>
  <si>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</si>
  <si>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</si>
  <si>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</si>
  <si>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</si>
  <si>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</si>
  <si>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</si>
  <si>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</si>
  <si>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</si>
  <si>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</si>
  <si>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</si>
  <si>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</si>
  <si>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</si>
  <si>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</si>
  <si>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</si>
  <si>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</si>
  <si>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</si>
  <si>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</si>
  <si>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</si>
  <si>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</si>
  <si>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</si>
  <si>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</si>
  <si>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</si>
  <si>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</si>
  <si>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</si>
  <si>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</si>
  <si>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</si>
  <si>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</si>
  <si>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</si>
  <si>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</si>
  <si>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</si>
  <si>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</si>
  <si>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</si>
  <si>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</si>
  <si>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</si>
  <si>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</si>
  <si>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</si>
  <si>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</si>
  <si>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</si>
  <si>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</si>
  <si>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</si>
  <si>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</si>
  <si>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</si>
  <si>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</si>
  <si>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</si>
  <si>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</si>
  <si>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</si>
  <si>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</si>
  <si>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</si>
  <si>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</si>
  <si>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</si>
  <si>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</si>
  <si>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</si>
  <si>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</si>
  <si>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</si>
  <si>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</si>
  <si>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</si>
  <si>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</si>
  <si>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</si>
  <si>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</si>
  <si>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</si>
  <si>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</si>
  <si>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</si>
  <si>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</si>
  <si>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</si>
  <si>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</si>
  <si>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</si>
  <si>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</si>
  <si>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</si>
  <si>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</si>
  <si>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</si>
  <si>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</si>
  <si>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</si>
  <si>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</si>
  <si>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</si>
  <si>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</si>
  <si>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</si>
  <si>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</si>
  <si>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</si>
  <si>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</si>
  <si>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</si>
  <si>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</si>
  <si>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</si>
  <si>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</si>
  <si>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</si>
  <si>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</si>
  <si>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</si>
  <si>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</si>
  <si>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</si>
  <si>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</si>
  <si>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</si>
  <si>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</si>
  <si>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</si>
  <si>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</si>
  <si>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</si>
  <si>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</si>
  <si>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</si>
  <si>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</si>
  <si>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</si>
  <si>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</si>
  <si>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</si>
  <si>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</si>
  <si>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</si>
  <si>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</si>
  <si>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</si>
  <si>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</si>
  <si>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</si>
  <si>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</si>
  <si>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</si>
  <si>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</si>
  <si>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</si>
  <si>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</si>
  <si>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</si>
  <si>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</si>
  <si>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</si>
  <si>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</si>
  <si>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</si>
  <si>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</si>
  <si>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</si>
  <si>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</si>
  <si>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</si>
  <si>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</si>
  <si>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</si>
  <si>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</si>
  <si>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</si>
  <si>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</si>
  <si>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</si>
  <si>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</si>
  <si>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</si>
  <si>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</si>
  <si>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</si>
  <si>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</si>
  <si>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</si>
  <si>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</si>
  <si>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</si>
  <si>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</si>
  <si>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</si>
  <si>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</si>
  <si>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</si>
  <si>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</si>
  <si>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</si>
  <si>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</si>
  <si>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</si>
  <si>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</si>
  <si>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</si>
  <si>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</si>
  <si>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</si>
  <si>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</si>
  <si>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</si>
  <si>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</si>
  <si>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</si>
  <si>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</si>
  <si>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</si>
  <si>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</si>
  <si>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</si>
  <si>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</si>
  <si>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</si>
  <si>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</si>
  <si>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</si>
  <si>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</si>
  <si>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</si>
  <si>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</si>
  <si>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</si>
  <si>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</si>
  <si>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</si>
  <si>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</si>
  <si>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</si>
  <si>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</si>
  <si>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</si>
  <si>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</si>
  <si>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</si>
  <si>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</si>
  <si>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</si>
  <si>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</si>
  <si>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</si>
  <si>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</si>
  <si>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</si>
  <si>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</si>
  <si>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</si>
  <si>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</si>
  <si>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</si>
  <si>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</si>
  <si>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</si>
  <si>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</si>
  <si>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</si>
  <si>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</si>
  <si>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</si>
  <si>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</si>
  <si>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</si>
  <si>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</si>
  <si>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</si>
  <si>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</si>
  <si>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</si>
  <si>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</si>
  <si>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</si>
  <si>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</si>
  <si>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</si>
  <si>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</si>
  <si>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</si>
  <si>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</si>
  <si>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</si>
  <si>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</si>
  <si>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</si>
  <si>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</si>
  <si>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</si>
  <si>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</si>
  <si>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</si>
  <si>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</si>
  <si>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</si>
  <si>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</si>
  <si>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</si>
  <si>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</si>
  <si>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</si>
  <si>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</si>
  <si>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</si>
  <si>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</si>
  <si>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</si>
  <si>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</si>
  <si>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</si>
  <si>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</si>
  <si>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</si>
  <si>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</si>
  <si>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</si>
  <si>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</si>
  <si>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</si>
  <si>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</si>
  <si>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</si>
  <si>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</si>
  <si>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</si>
  <si>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</si>
  <si>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</si>
  <si>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</si>
  <si>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</si>
  <si>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</si>
  <si>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</si>
  <si>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</si>
  <si>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</si>
  <si>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</si>
  <si>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</si>
  <si>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</si>
  <si>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</si>
  <si>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</si>
  <si>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</si>
  <si>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</si>
  <si>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</si>
  <si>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</si>
  <si>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</si>
  <si>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</si>
  <si>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</si>
  <si>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</si>
  <si>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</si>
  <si>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</si>
  <si>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</si>
  <si>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</si>
  <si>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</si>
  <si>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</si>
  <si>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</si>
  <si>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</si>
  <si>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</si>
  <si>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</si>
  <si>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</si>
  <si>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</si>
  <si>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</si>
  <si>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</si>
  <si>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</si>
  <si>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</si>
  <si>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</si>
  <si>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</si>
  <si>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</si>
  <si>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</si>
  <si>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</si>
  <si>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</si>
  <si>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</si>
  <si>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</si>
  <si>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</si>
  <si>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</si>
  <si>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</si>
  <si>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</si>
  <si>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</si>
  <si>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</si>
  <si>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</si>
  <si>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</si>
  <si>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</si>
  <si>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</si>
  <si>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</si>
  <si>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</si>
  <si>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</si>
  <si>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</si>
  <si>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</si>
  <si>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</si>
  <si>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</si>
  <si>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</si>
  <si>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</si>
  <si>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</si>
  <si>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</si>
  <si>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</si>
  <si>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</si>
  <si>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</si>
  <si>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</si>
  <si>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</si>
  <si>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</si>
  <si>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</si>
  <si>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</si>
  <si>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</si>
  <si>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</si>
  <si>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</si>
  <si>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</si>
  <si>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</si>
  <si>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</si>
  <si>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</si>
  <si>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</si>
  <si>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</si>
  <si>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</si>
  <si>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</si>
  <si>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</si>
  <si>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</si>
  <si>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</si>
  <si>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</si>
  <si>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</si>
  <si>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</si>
  <si>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</si>
  <si>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</si>
  <si>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</si>
  <si>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</si>
  <si>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</si>
  <si>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</si>
  <si>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</si>
  <si>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</si>
  <si>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</si>
  <si>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</si>
  <si>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</si>
  <si>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</si>
  <si>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</si>
  <si>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</si>
  <si>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</si>
  <si>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</si>
  <si>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</si>
  <si>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</si>
  <si>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</si>
  <si>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</si>
  <si>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</si>
  <si>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</si>
  <si>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</si>
  <si>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</si>
  <si>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</si>
  <si>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</si>
  <si>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</si>
  <si>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</si>
  <si>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</si>
  <si>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</si>
  <si>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</si>
  <si>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</si>
  <si>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</si>
  <si>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</si>
  <si>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</si>
  <si>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</si>
  <si>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</si>
  <si>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</si>
  <si>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</si>
  <si>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</si>
  <si>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</si>
  <si>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</si>
  <si>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</si>
  <si>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</si>
  <si>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</si>
  <si>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</si>
  <si>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</si>
  <si>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</si>
  <si>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</si>
  <si>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</si>
  <si>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</si>
  <si>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</si>
  <si>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</si>
  <si>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</si>
  <si>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</si>
  <si>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</si>
  <si>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</si>
  <si>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</si>
  <si>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</si>
  <si>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</si>
  <si>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</si>
  <si>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</si>
  <si>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</si>
  <si>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</si>
  <si>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</si>
  <si>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</si>
  <si>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</si>
  <si>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</si>
  <si>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</si>
  <si>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</si>
  <si>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</si>
  <si>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</si>
  <si>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</si>
  <si>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</si>
  <si>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</si>
  <si>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</si>
  <si>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</si>
  <si>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</si>
  <si>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</si>
  <si>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</si>
  <si>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</si>
  <si>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</si>
  <si>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</si>
  <si>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</si>
  <si>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</si>
  <si>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</si>
  <si>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</si>
  <si>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</si>
  <si>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</si>
  <si>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</si>
  <si>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</si>
  <si>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</si>
  <si>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</si>
  <si>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</si>
  <si>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</si>
  <si>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</si>
  <si>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</si>
  <si>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</si>
  <si>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</si>
  <si>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</si>
  <si>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</si>
  <si>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</si>
  <si>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</si>
  <si>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</si>
  <si>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</si>
  <si>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</si>
  <si>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</si>
  <si>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</si>
  <si>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</si>
  <si>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</si>
  <si>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</si>
  <si>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</si>
  <si>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</si>
  <si>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</si>
  <si>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</si>
  <si>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</si>
  <si>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</si>
  <si>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</si>
  <si>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</si>
  <si>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</si>
  <si>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</si>
  <si>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</si>
  <si>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</si>
  <si>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</si>
  <si>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</si>
  <si>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</si>
  <si>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</si>
  <si>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</si>
  <si>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</si>
  <si>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</si>
  <si>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</si>
  <si>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</si>
  <si>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</si>
  <si>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</si>
  <si>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</si>
  <si>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</si>
  <si>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</si>
  <si>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</si>
  <si>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</si>
  <si>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</si>
  <si>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</si>
  <si>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</si>
  <si>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</si>
  <si>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</si>
  <si>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</si>
  <si>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</si>
  <si>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</si>
  <si>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</si>
  <si>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</si>
  <si>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</si>
  <si>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</si>
  <si>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</si>
  <si>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</si>
  <si>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</si>
  <si>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</si>
  <si>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</si>
  <si>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</si>
  <si>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</si>
  <si>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</si>
  <si>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</si>
  <si>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</si>
  <si>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</si>
  <si>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</si>
  <si>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</si>
  <si>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</si>
  <si>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</si>
  <si>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</si>
  <si>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</si>
  <si>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</si>
  <si>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</si>
  <si>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</si>
  <si>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</si>
  <si>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</si>
  <si>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</si>
  <si>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</si>
  <si>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</si>
  <si>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</si>
  <si>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</si>
  <si>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</si>
  <si>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</si>
  <si>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</si>
  <si>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</si>
  <si>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</si>
  <si>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</si>
  <si>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</si>
  <si>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</si>
  <si>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</si>
  <si>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</si>
  <si>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</si>
  <si>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</si>
  <si>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</si>
  <si>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</si>
  <si>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</si>
  <si>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</si>
  <si>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</si>
  <si>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</si>
  <si>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</si>
  <si>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</si>
  <si>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</si>
  <si>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</si>
  <si>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</si>
  <si>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</si>
  <si>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</si>
  <si>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</si>
  <si>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</si>
  <si>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</si>
  <si>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</si>
  <si>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</si>
  <si>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</si>
  <si>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</si>
  <si>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</si>
  <si>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</si>
  <si>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</si>
  <si>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</si>
  <si>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</si>
  <si>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</si>
  <si>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</si>
  <si>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</si>
  <si>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</si>
  <si>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</si>
  <si>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</si>
  <si>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</si>
  <si>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</si>
  <si>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</si>
  <si>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</si>
  <si>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</si>
  <si>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</si>
  <si>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</si>
  <si>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</si>
  <si>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</si>
  <si>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</si>
  <si>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</si>
  <si>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</si>
  <si>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</si>
  <si>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</si>
  <si>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</si>
  <si>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</si>
  <si>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</si>
  <si>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</si>
  <si>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</si>
  <si>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</si>
  <si>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</si>
  <si>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</si>
  <si>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</si>
  <si>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</si>
  <si>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</si>
  <si>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</si>
  <si>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</si>
  <si>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</si>
  <si>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</si>
  <si>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</si>
  <si>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</si>
  <si>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</si>
  <si>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</si>
  <si>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</si>
  <si>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</si>
  <si>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</si>
  <si>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</si>
  <si>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</si>
  <si>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</si>
  <si>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</si>
  <si>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</si>
  <si>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</si>
  <si>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</si>
  <si>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</si>
  <si>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</si>
  <si>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</si>
  <si>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</si>
  <si>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</si>
  <si>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</si>
  <si>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</si>
  <si>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</si>
  <si>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</si>
  <si>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</si>
  <si>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</si>
  <si>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</si>
  <si>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</si>
  <si>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</si>
  <si>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</si>
  <si>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</si>
  <si>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</si>
  <si>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</si>
  <si>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</si>
  <si>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</si>
  <si>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</si>
  <si>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</si>
  <si>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</si>
  <si>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</si>
  <si>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</si>
  <si>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</si>
  <si>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</si>
  <si>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</si>
  <si>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</si>
  <si>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</si>
  <si>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</si>
  <si>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</si>
  <si>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</si>
  <si>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</si>
  <si>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</si>
  <si>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</si>
  <si>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</si>
  <si>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</si>
  <si>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</si>
  <si>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</si>
  <si>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</si>
  <si>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</si>
  <si>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</si>
  <si>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</si>
  <si>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</si>
  <si>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</si>
  <si>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</si>
  <si>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</si>
  <si>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</si>
  <si>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</si>
  <si>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</si>
  <si>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</si>
  <si>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</si>
  <si>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</si>
  <si>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</si>
  <si>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</si>
  <si>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</si>
  <si>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</si>
  <si>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</si>
  <si>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</si>
  <si>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</si>
  <si>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</si>
  <si>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</si>
  <si>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</si>
  <si>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</si>
  <si>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</si>
  <si>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</si>
  <si>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</si>
  <si>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</si>
  <si>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</si>
  <si>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</si>
  <si>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</si>
  <si>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</si>
  <si>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</si>
  <si>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</si>
  <si>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</si>
  <si>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</si>
  <si>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</si>
  <si>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</si>
  <si>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</si>
  <si>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</si>
  <si>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</si>
  <si>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</si>
  <si>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</si>
  <si>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</si>
  <si>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</si>
  <si>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</si>
  <si>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</si>
  <si>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</si>
  <si>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</si>
  <si>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</si>
  <si>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</si>
  <si>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</si>
  <si>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</si>
  <si>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</si>
  <si>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</si>
  <si>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</si>
  <si>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</si>
  <si>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</si>
  <si>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</si>
  <si>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</si>
  <si>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</si>
  <si>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</si>
  <si>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</si>
  <si>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</si>
  <si>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</si>
  <si>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</si>
  <si>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</si>
  <si>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</si>
  <si>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</si>
  <si>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</si>
  <si>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</si>
  <si>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</si>
  <si>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</si>
  <si>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</si>
  <si>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</si>
  <si>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</si>
  <si>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</si>
  <si>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</si>
  <si>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</si>
  <si>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</si>
  <si>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</si>
  <si>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</si>
  <si>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</si>
  <si>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</si>
  <si>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</si>
  <si>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</si>
  <si>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</si>
  <si>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</si>
  <si>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</si>
  <si>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</si>
  <si>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</si>
  <si>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</si>
  <si>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</si>
  <si>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</si>
  <si>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</si>
  <si>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</si>
  <si>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</si>
  <si>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</si>
  <si>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</si>
  <si>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</si>
  <si>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</si>
  <si>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</si>
  <si>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</si>
  <si>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</si>
  <si>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</si>
  <si>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</si>
  <si>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</si>
  <si>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</si>
  <si>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</si>
  <si>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</si>
  <si>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</si>
  <si>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</si>
  <si>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</si>
  <si>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</si>
  <si>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</si>
  <si>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</si>
  <si>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</si>
  <si>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</si>
  <si>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</si>
  <si>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</si>
  <si>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</si>
  <si>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</si>
  <si>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</si>
  <si>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</si>
  <si>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</si>
  <si>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</si>
  <si>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</si>
  <si>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</si>
  <si>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</si>
  <si>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</si>
  <si>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</si>
  <si>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</si>
  <si>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</si>
  <si>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</si>
  <si>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</si>
  <si>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</si>
  <si>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</si>
  <si>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</si>
  <si>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</si>
  <si>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</si>
  <si>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</si>
  <si>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</si>
  <si>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</si>
  <si>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</si>
  <si>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</si>
  <si>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</si>
  <si>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</si>
  <si>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</si>
  <si>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</si>
  <si>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</si>
  <si>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</si>
  <si>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</si>
  <si>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</si>
  <si>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</si>
  <si>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</si>
  <si>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</si>
  <si>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</si>
  <si>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</si>
  <si>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</si>
  <si>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</si>
  <si>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</si>
  <si>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</si>
  <si>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</si>
  <si>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</si>
  <si>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</si>
  <si>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</si>
  <si>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</si>
  <si>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</si>
  <si>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</si>
  <si>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</si>
  <si>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</si>
  <si>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</si>
  <si>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</si>
  <si>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</si>
  <si>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</si>
  <si>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</si>
  <si>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</si>
  <si>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</si>
  <si>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</si>
  <si>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</si>
  <si>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</si>
  <si>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</si>
  <si>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</si>
  <si>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</si>
  <si>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</si>
  <si>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</si>
  <si>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</si>
  <si>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</si>
  <si>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</si>
  <si>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</si>
  <si>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</si>
  <si>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</si>
  <si>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</si>
  <si>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</si>
  <si>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</si>
  <si>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</si>
  <si>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</si>
  <si>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</si>
  <si>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</si>
  <si>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</si>
  <si>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</si>
  <si>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</si>
  <si>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</si>
  <si>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</si>
  <si>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</si>
  <si>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</si>
  <si>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</si>
  <si>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</si>
  <si>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</si>
  <si>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</si>
  <si>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</si>
  <si>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</si>
  <si>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</si>
  <si>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</si>
  <si>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</si>
  <si>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</si>
  <si>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</si>
  <si>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</si>
  <si>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</si>
  <si>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</si>
  <si>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</si>
  <si>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</si>
  <si>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</si>
  <si>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</si>
  <si>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</si>
  <si>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</si>
  <si>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</si>
  <si>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</si>
  <si>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</si>
  <si>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</si>
  <si>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</si>
  <si>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</si>
  <si>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</si>
  <si>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</si>
  <si>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</si>
  <si>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</si>
  <si>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</si>
  <si>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</si>
  <si>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</si>
  <si>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</si>
  <si>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</si>
  <si>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</si>
  <si>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</si>
  <si>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</si>
  <si>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</si>
  <si>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</si>
  <si>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</si>
  <si>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</si>
  <si>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</si>
  <si>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</si>
  <si>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</si>
  <si>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</si>
  <si>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</si>
  <si>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</si>
  <si>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</si>
  <si>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</si>
  <si>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</si>
  <si>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</si>
  <si>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</si>
  <si>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</si>
  <si>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</si>
  <si>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</si>
  <si>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</si>
  <si>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</si>
  <si>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</si>
  <si>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</si>
  <si>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</si>
  <si>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</si>
  <si>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</si>
  <si>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</si>
  <si>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</si>
  <si>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</si>
  <si>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</si>
  <si>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</si>
  <si>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</si>
  <si>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</si>
  <si>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</si>
  <si>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</si>
  <si>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</si>
  <si>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</si>
  <si>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</si>
  <si>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</si>
  <si>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</si>
  <si>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</si>
  <si>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</si>
  <si>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</si>
  <si>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</si>
  <si>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</si>
  <si>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</si>
  <si>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</si>
  <si>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</si>
  <si>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</si>
  <si>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</si>
  <si>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</si>
  <si>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</si>
  <si>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</si>
  <si>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</si>
  <si>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</si>
  <si>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</si>
  <si>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</si>
  <si>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</si>
  <si>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</si>
  <si>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</si>
  <si>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</si>
  <si>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</si>
  <si>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</si>
  <si>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</si>
  <si>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</si>
  <si>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</si>
  <si>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</si>
  <si>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</si>
  <si>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</si>
  <si>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</si>
  <si>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</si>
  <si>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</si>
  <si>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</si>
  <si>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</si>
  <si>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</si>
  <si>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</si>
  <si>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</si>
  <si>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</si>
  <si>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</si>
  <si>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</si>
  <si>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</si>
  <si>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</si>
  <si>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</si>
  <si>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</si>
  <si>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</si>
  <si>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</si>
  <si>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</si>
  <si>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</si>
  <si>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</si>
  <si>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</si>
  <si>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</si>
  <si>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</si>
  <si>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</si>
  <si>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</si>
  <si>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</si>
  <si>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</si>
  <si>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</si>
  <si>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</si>
  <si>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</si>
  <si>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</si>
  <si>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</si>
  <si>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</si>
  <si>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</si>
  <si>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</si>
  <si>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</si>
  <si>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</si>
  <si>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</si>
  <si>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</si>
  <si>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</si>
  <si>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</si>
  <si>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</si>
  <si>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</si>
  <si>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</si>
  <si>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</si>
  <si>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</si>
  <si>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</si>
  <si>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</si>
  <si>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</si>
  <si>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</si>
  <si>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</si>
  <si>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</si>
  <si>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</si>
  <si>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</si>
  <si>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</si>
  <si>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</si>
  <si>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</si>
  <si>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</si>
  <si>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</si>
  <si>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</si>
  <si>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</si>
  <si>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</si>
  <si>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</si>
  <si>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</si>
  <si>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</si>
  <si>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</si>
  <si>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</si>
  <si>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</si>
  <si>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</si>
  <si>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</si>
  <si>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</si>
  <si>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</si>
  <si>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</si>
  <si>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</si>
  <si>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</si>
  <si>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</si>
  <si>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</si>
  <si>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</si>
  <si>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</si>
  <si>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</si>
  <si>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</si>
  <si>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</si>
  <si>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</si>
  <si>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</si>
  <si>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</si>
  <si>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</si>
  <si>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</si>
  <si>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</si>
  <si>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</si>
  <si>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</si>
  <si>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</si>
  <si>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</si>
  <si>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</si>
  <si>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</si>
  <si>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</si>
  <si>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</si>
  <si>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</si>
  <si>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</si>
  <si>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</si>
  <si>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</si>
  <si>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</si>
  <si>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</si>
  <si>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</si>
  <si>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</si>
  <si>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</si>
  <si>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</si>
  <si>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</si>
  <si>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</si>
  <si>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</si>
  <si>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</si>
  <si>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</si>
  <si>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</si>
  <si>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</si>
  <si>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</si>
  <si>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</si>
  <si>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</si>
  <si>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</si>
  <si>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</si>
  <si>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</si>
  <si>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</si>
  <si>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</si>
  <si>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</si>
  <si>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</si>
  <si>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</si>
  <si>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</si>
  <si>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</si>
  <si>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</si>
  <si>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</si>
  <si>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</si>
  <si>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</si>
  <si>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</si>
  <si>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</si>
  <si>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</si>
  <si>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</si>
  <si>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</si>
  <si>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</si>
  <si>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</si>
  <si>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</si>
  <si>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</si>
  <si>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</si>
  <si>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</si>
  <si>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</si>
  <si>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</si>
  <si>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</si>
  <si>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</si>
  <si>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</si>
  <si>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</si>
  <si>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</si>
  <si>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</si>
  <si>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</si>
  <si>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</si>
  <si>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</si>
  <si>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</si>
  <si>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</si>
  <si>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</si>
  <si>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</si>
  <si>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</si>
  <si>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</si>
  <si>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</si>
  <si>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</si>
  <si>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</si>
  <si>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</si>
  <si>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</si>
  <si>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</si>
  <si>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</si>
  <si>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</si>
  <si>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</si>
  <si>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</si>
  <si>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</si>
  <si>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</si>
  <si>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</si>
  <si>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</si>
  <si>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</si>
  <si>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</si>
  <si>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</si>
  <si>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</si>
  <si>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</si>
  <si>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</si>
  <si>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</si>
  <si>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</si>
  <si>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</si>
  <si>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</si>
  <si>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</si>
  <si>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</si>
  <si>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</si>
  <si>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</si>
  <si>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</si>
  <si>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</si>
  <si>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</si>
  <si>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</si>
  <si>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</si>
  <si>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</si>
  <si>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</si>
  <si>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</si>
  <si>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</si>
  <si>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</si>
  <si>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</si>
  <si>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</si>
  <si>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</si>
  <si>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</si>
  <si>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</si>
  <si>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</si>
  <si>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</si>
  <si>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</si>
  <si>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</si>
  <si>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</si>
  <si>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</si>
  <si>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</si>
  <si>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</si>
  <si>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</si>
  <si>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</si>
  <si>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</si>
  <si>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</si>
  <si>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</si>
  <si>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</si>
  <si>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</si>
  <si>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</si>
  <si>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</si>
  <si>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</si>
  <si>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</si>
  <si>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</si>
  <si>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</si>
  <si>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</si>
  <si>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</si>
  <si>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</si>
  <si>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</si>
  <si>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</si>
  <si>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</si>
  <si>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</si>
  <si>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</si>
  <si>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</si>
  <si>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</si>
  <si>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</si>
  <si>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</si>
  <si>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</si>
  <si>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</si>
  <si>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</si>
  <si>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</si>
  <si>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</si>
  <si>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</si>
  <si>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</si>
  <si>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</si>
  <si>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</si>
  <si>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</si>
  <si>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</si>
  <si>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</si>
  <si>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</si>
  <si>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</si>
  <si>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</si>
  <si>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</si>
  <si>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</si>
  <si>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</si>
  <si>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</si>
  <si>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</si>
  <si>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</si>
  <si>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</si>
  <si>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</si>
  <si>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</si>
  <si>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</si>
  <si>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</si>
  <si>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</si>
  <si>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</si>
  <si>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</si>
  <si>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</si>
  <si>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</si>
  <si>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</si>
  <si>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</si>
  <si>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</si>
  <si>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</si>
  <si>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</si>
  <si>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</si>
  <si>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</si>
  <si>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</si>
  <si>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</si>
  <si>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</si>
  <si>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</si>
  <si>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</si>
  <si>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</si>
  <si>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</si>
  <si>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</si>
  <si>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</si>
  <si>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</si>
  <si>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</si>
  <si>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</si>
  <si>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</si>
  <si>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</si>
  <si>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</si>
  <si>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</si>
  <si>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</si>
  <si>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</si>
  <si>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</si>
  <si>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</si>
  <si>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</si>
  <si>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</si>
  <si>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</si>
  <si>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</si>
  <si>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</si>
  <si>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</si>
  <si>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</si>
  <si>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</si>
  <si>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</si>
  <si>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</si>
  <si>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</si>
  <si>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</si>
  <si>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</si>
  <si>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</si>
  <si>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</si>
  <si>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</si>
  <si>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</si>
  <si>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</si>
  <si>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</si>
  <si>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</si>
  <si>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</si>
  <si>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</si>
  <si>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</si>
  <si>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</si>
  <si>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</si>
  <si>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</si>
  <si>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</si>
  <si>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</si>
  <si>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</si>
  <si>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</si>
  <si>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</si>
  <si>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</si>
  <si>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</si>
  <si>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</si>
  <si>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</si>
  <si>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</si>
  <si>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</si>
  <si>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</si>
  <si>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</si>
  <si>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</si>
  <si>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</si>
  <si>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</si>
  <si>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</si>
  <si>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</si>
  <si>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</si>
  <si>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</si>
  <si>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</si>
  <si>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</si>
  <si>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</si>
  <si>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</si>
  <si>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</si>
  <si>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</si>
  <si>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</si>
  <si>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</si>
  <si>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</si>
  <si>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</si>
  <si>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</si>
  <si>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</si>
  <si>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</si>
  <si>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</si>
  <si>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</si>
  <si>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</si>
  <si>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</si>
  <si>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</si>
  <si>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</si>
  <si>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</si>
  <si>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</si>
  <si>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</si>
  <si>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</si>
  <si>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</si>
  <si>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</si>
  <si>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</si>
  <si>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</si>
  <si>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</si>
  <si>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</si>
  <si>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</si>
  <si>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</si>
  <si>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</si>
  <si>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</si>
  <si>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</si>
  <si>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</si>
  <si>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</si>
  <si>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</si>
  <si>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</si>
  <si>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</si>
  <si>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</si>
  <si>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</si>
  <si>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</si>
  <si>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</si>
  <si>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</si>
  <si>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</si>
  <si>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</si>
  <si>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</si>
  <si>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</si>
  <si>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</si>
  <si>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</si>
  <si>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</si>
  <si>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</si>
  <si>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</si>
  <si>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</si>
  <si>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</si>
  <si>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</si>
  <si>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</si>
  <si>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</si>
  <si>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</si>
  <si>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</si>
  <si>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</si>
  <si>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</si>
  <si>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</si>
  <si>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</si>
  <si>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</si>
  <si>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</si>
  <si>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</si>
  <si>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</si>
  <si>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</si>
  <si>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</si>
  <si>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</si>
  <si>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</si>
  <si>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</si>
  <si>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</si>
  <si>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</si>
  <si>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</si>
  <si>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</si>
  <si>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</si>
  <si>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</si>
  <si>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</si>
  <si>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</si>
  <si>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</si>
  <si>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</si>
  <si>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</si>
  <si>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</si>
  <si>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</si>
  <si>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</si>
  <si>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</si>
  <si>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</si>
  <si>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</si>
  <si>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</si>
  <si>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</si>
  <si>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</si>
  <si>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</si>
  <si>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</si>
  <si>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</si>
  <si>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</si>
  <si>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</si>
  <si>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</si>
  <si>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</si>
  <si>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</si>
  <si>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</si>
  <si>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</si>
  <si>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</si>
  <si>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</si>
  <si>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</si>
  <si>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</si>
  <si>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</si>
  <si>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</si>
  <si>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</si>
  <si>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</si>
  <si>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</si>
  <si>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</si>
  <si>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</si>
  <si>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</si>
  <si>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</si>
  <si>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</si>
  <si>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</si>
  <si>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</si>
  <si>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</si>
  <si>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</si>
  <si>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</si>
  <si>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</si>
  <si>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</si>
  <si>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</si>
  <si>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</si>
  <si>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</si>
  <si>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</si>
  <si>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</si>
  <si>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</si>
  <si>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</si>
  <si>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</si>
  <si>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</si>
  <si>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</si>
  <si>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</si>
  <si>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</si>
  <si>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</si>
  <si>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</si>
  <si>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</si>
  <si>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</si>
  <si>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</si>
  <si>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</si>
  <si>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</si>
  <si>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</si>
  <si>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</si>
  <si>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</si>
  <si>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</si>
  <si>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</si>
  <si>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</si>
  <si>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</si>
  <si>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</si>
  <si>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</si>
  <si>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</si>
  <si>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</si>
  <si>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</si>
  <si>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</si>
  <si>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</si>
  <si>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</si>
  <si>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</si>
  <si>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</si>
  <si>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</si>
  <si>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</si>
  <si>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</si>
  <si>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</si>
  <si>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</si>
  <si>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</si>
  <si>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</si>
  <si>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</si>
  <si>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</si>
  <si>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</si>
  <si>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</si>
  <si>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</si>
  <si>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</si>
  <si>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</si>
  <si>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</si>
  <si>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</si>
  <si>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</si>
  <si>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</si>
  <si>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</si>
  <si>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</si>
  <si>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</si>
  <si>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</si>
  <si>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</si>
  <si>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</si>
  <si>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</si>
  <si>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</si>
  <si>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</si>
  <si>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</si>
  <si>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</si>
  <si>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</si>
  <si>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</si>
  <si>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</si>
  <si>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</si>
  <si>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</si>
  <si>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</si>
  <si>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</si>
  <si>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</si>
  <si>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</si>
  <si>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</si>
  <si>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</si>
  <si>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</si>
  <si>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</si>
  <si>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</si>
  <si>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</si>
  <si>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</si>
  <si>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</si>
  <si>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</si>
  <si>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</si>
  <si>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</si>
  <si>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</si>
  <si>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</si>
  <si>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</si>
  <si>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</si>
  <si>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</si>
  <si>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</si>
  <si>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</si>
  <si>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</si>
  <si>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</si>
  <si>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</si>
  <si>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</si>
  <si>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</si>
  <si>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</si>
  <si>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</si>
  <si>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</si>
  <si>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</si>
  <si>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</si>
  <si>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</si>
  <si>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</si>
  <si>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</si>
  <si>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</si>
  <si>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</si>
  <si>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</si>
  <si>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</si>
  <si>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</si>
  <si>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</si>
  <si>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</si>
  <si>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</si>
  <si>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</si>
  <si>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</si>
  <si>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</si>
  <si>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</si>
  <si>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</si>
  <si>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</si>
  <si>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</si>
  <si>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</si>
  <si>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</si>
  <si>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</si>
  <si>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</si>
  <si>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</si>
  <si>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</si>
  <si>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</si>
  <si>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</si>
  <si>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</si>
  <si>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</si>
  <si>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</si>
  <si>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</si>
  <si>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</si>
  <si>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</si>
  <si>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</si>
  <si>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</si>
  <si>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</si>
  <si>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</si>
  <si>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</si>
  <si>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</si>
  <si>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</si>
  <si>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</si>
  <si>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</si>
  <si>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</si>
  <si>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</si>
  <si>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</si>
  <si>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</si>
  <si>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</si>
  <si>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</si>
  <si>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</si>
  <si>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</si>
  <si>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</si>
  <si>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</si>
  <si>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</si>
  <si>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</si>
  <si>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</si>
  <si>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</si>
  <si>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</si>
  <si>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</si>
  <si>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</si>
  <si>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</si>
  <si>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</si>
  <si>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</si>
  <si>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</si>
  <si>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</si>
  <si>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</si>
  <si>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</si>
  <si>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</si>
  <si>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</si>
  <si>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</si>
  <si>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</si>
  <si>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</si>
  <si>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</si>
  <si>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</si>
  <si>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</si>
  <si>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</si>
  <si>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</si>
  <si>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</si>
  <si>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</si>
  <si>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</si>
  <si>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</si>
  <si>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</si>
  <si>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</si>
  <si>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</si>
  <si>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</si>
  <si>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</si>
  <si>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</si>
  <si>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</si>
  <si>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</si>
  <si>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</si>
  <si>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</si>
  <si>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</si>
  <si>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</si>
  <si>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</si>
  <si>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</si>
  <si>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</si>
  <si>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</si>
  <si>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</si>
  <si>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</si>
  <si>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</si>
  <si>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</si>
  <si>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</si>
  <si>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</si>
  <si>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</si>
  <si>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</si>
  <si>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</si>
  <si>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</si>
  <si>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</si>
  <si>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</si>
  <si>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</si>
  <si>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</si>
  <si>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</si>
  <si>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</si>
  <si>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</si>
  <si>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</si>
  <si>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</si>
  <si>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</si>
  <si>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</si>
  <si>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</si>
  <si>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</si>
  <si>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</si>
  <si>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</si>
  <si>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</si>
  <si>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</si>
  <si>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</si>
  <si>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</si>
  <si>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</si>
  <si>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</si>
  <si>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</si>
  <si>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</si>
  <si>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</si>
  <si>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</si>
  <si>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</si>
  <si>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</si>
  <si>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</si>
  <si>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</si>
  <si>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</si>
  <si>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</si>
  <si>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</si>
  <si>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</si>
  <si>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</si>
  <si>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</si>
  <si>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</si>
  <si>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</si>
  <si>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</si>
  <si>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</si>
  <si>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</si>
  <si>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</si>
  <si>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</si>
  <si>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</si>
  <si>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</si>
  <si>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</si>
  <si>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</si>
  <si>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</si>
  <si>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</si>
  <si>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</si>
  <si>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</si>
  <si>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</si>
  <si>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</si>
  <si>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</si>
  <si>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</si>
  <si>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</si>
  <si>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</si>
  <si>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</si>
  <si>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</si>
  <si>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</si>
  <si>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</si>
  <si>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</si>
  <si>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</si>
  <si>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</si>
  <si>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</si>
  <si>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</si>
  <si>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</si>
  <si>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</si>
  <si>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</si>
  <si>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</si>
  <si>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</si>
  <si>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</si>
  <si>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</si>
  <si>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</si>
  <si>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</si>
  <si>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</si>
  <si>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</si>
  <si>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</si>
  <si>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</si>
  <si>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</si>
  <si>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</si>
  <si>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</si>
  <si>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</si>
  <si>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</si>
  <si>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</si>
  <si>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</si>
  <si>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</si>
  <si>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</si>
  <si>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</si>
  <si>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</si>
  <si>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</si>
  <si>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</si>
  <si>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</si>
  <si>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</si>
  <si>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</si>
  <si>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</si>
  <si>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</si>
  <si>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</si>
  <si>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</si>
  <si>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</si>
  <si>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</si>
  <si>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</si>
  <si>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</si>
  <si>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</si>
  <si>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</si>
  <si>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</si>
  <si>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</si>
  <si>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</si>
  <si>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</si>
  <si>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</si>
  <si>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</si>
  <si>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</si>
  <si>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</si>
  <si>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</si>
  <si>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</si>
  <si>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</si>
  <si>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</si>
  <si>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</si>
  <si>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</si>
  <si>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</si>
  <si>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</si>
  <si>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</si>
  <si>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</si>
  <si>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</si>
  <si>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</si>
  <si>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</si>
  <si>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</si>
  <si>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</si>
  <si>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</si>
  <si>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</si>
  <si>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</si>
  <si>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</si>
  <si>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</si>
  <si>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</si>
  <si>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</si>
  <si>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</si>
  <si>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</si>
  <si>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</si>
  <si>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</si>
  <si>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</si>
  <si>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</si>
  <si>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</si>
  <si>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</si>
  <si>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</si>
  <si>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</si>
  <si>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</si>
  <si>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</si>
  <si>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</si>
  <si>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</si>
  <si>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</si>
  <si>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</si>
  <si>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</si>
  <si>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</si>
  <si>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</si>
  <si>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</si>
  <si>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</si>
  <si>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</si>
  <si>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</si>
  <si>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</si>
  <si>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</si>
  <si>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</si>
  <si>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</si>
  <si>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</si>
  <si>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</si>
  <si>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</si>
  <si>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</si>
  <si>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</si>
  <si>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</si>
  <si>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</si>
  <si>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</si>
  <si>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</si>
  <si>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</si>
  <si>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</si>
  <si>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</si>
  <si>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</si>
  <si>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</si>
  <si>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</si>
  <si>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</si>
  <si>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</si>
  <si>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</si>
  <si>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</si>
  <si>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</si>
  <si>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</si>
  <si>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</si>
  <si>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</si>
  <si>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</si>
  <si>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</si>
  <si>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</si>
  <si>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</si>
  <si>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</si>
  <si>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</si>
  <si>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</si>
  <si>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</si>
  <si>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</si>
  <si>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</si>
  <si>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</si>
  <si>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</si>
  <si>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</si>
  <si>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</si>
  <si>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</si>
  <si>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</si>
  <si>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</si>
  <si>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</si>
  <si>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</si>
  <si>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</si>
  <si>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</si>
  <si>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</si>
  <si>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</si>
  <si>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</si>
  <si>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</si>
  <si>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</si>
  <si>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</si>
  <si>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</si>
  <si>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</si>
  <si>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</si>
  <si>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</si>
  <si>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</si>
  <si>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</si>
  <si>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</si>
  <si>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</si>
  <si>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</si>
  <si>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</si>
  <si>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</si>
  <si>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</si>
  <si>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</si>
  <si>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</si>
  <si>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</si>
  <si>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</si>
  <si>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</si>
  <si>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</si>
  <si>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</si>
  <si>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</si>
  <si>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</si>
  <si>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</si>
  <si>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</si>
  <si>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</si>
  <si>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</si>
  <si>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</si>
  <si>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</si>
  <si>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</si>
  <si>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</si>
  <si>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</si>
  <si>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</si>
  <si>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</si>
  <si>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</si>
  <si>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</si>
  <si>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</si>
  <si>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</si>
  <si>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</si>
  <si>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</si>
  <si>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</si>
  <si>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</si>
  <si>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</si>
  <si>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</si>
  <si>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</si>
  <si>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</si>
  <si>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</si>
  <si>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</si>
  <si>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</si>
  <si>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</si>
  <si>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</si>
  <si>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</si>
  <si>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</si>
  <si>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</si>
  <si>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</si>
  <si>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</si>
  <si>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</si>
  <si>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</si>
  <si>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</si>
  <si>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</si>
  <si>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</si>
  <si>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</si>
  <si>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</si>
  <si>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</si>
  <si>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</si>
  <si>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</si>
  <si>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</si>
  <si>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</si>
  <si>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</si>
  <si>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</si>
  <si>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</si>
  <si>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</si>
  <si>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</si>
  <si>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</si>
  <si>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</si>
  <si>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</si>
  <si>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</si>
  <si>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</si>
  <si>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</si>
  <si>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</si>
  <si>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</si>
  <si>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</si>
  <si>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</si>
  <si>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</si>
  <si>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</si>
  <si>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</si>
  <si>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</si>
  <si>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</si>
  <si>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</si>
  <si>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</si>
  <si>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</si>
  <si>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</si>
  <si>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</si>
  <si>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</si>
  <si>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</si>
  <si>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</si>
  <si>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</si>
  <si>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</si>
  <si>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</si>
  <si>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</si>
  <si>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</si>
  <si>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</si>
  <si>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</si>
  <si>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</si>
  <si>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</si>
  <si>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</si>
  <si>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</si>
  <si>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</si>
  <si>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</si>
  <si>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</si>
  <si>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</si>
  <si>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</si>
  <si>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</si>
  <si>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</si>
  <si>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</si>
  <si>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</si>
  <si>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</si>
  <si>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</si>
  <si>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</si>
  <si>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</si>
  <si>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</si>
  <si>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</si>
  <si>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</si>
  <si>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</si>
  <si>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</si>
  <si>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</si>
  <si>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</si>
  <si>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</si>
  <si>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</si>
  <si>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</si>
  <si>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</si>
  <si>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</si>
  <si>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</si>
  <si>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</si>
  <si>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</si>
  <si>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</si>
  <si>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</si>
  <si>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</si>
  <si>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</si>
  <si>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</si>
  <si>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</si>
  <si>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</si>
  <si>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</si>
  <si>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</si>
  <si>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</si>
  <si>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</si>
  <si>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</si>
  <si>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</si>
  <si>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</si>
  <si>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</si>
  <si>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</si>
  <si>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</si>
  <si>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</si>
  <si>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</si>
  <si>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</si>
  <si>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</si>
  <si>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</si>
  <si>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</si>
  <si>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</si>
  <si>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</si>
  <si>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</si>
  <si>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</si>
  <si>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</si>
  <si>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</si>
  <si>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</si>
  <si>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</si>
  <si>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</si>
  <si>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</si>
  <si>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</si>
  <si>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</si>
  <si>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</si>
  <si>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</si>
  <si>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</si>
  <si>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</si>
  <si>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</si>
  <si>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</si>
  <si>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</si>
  <si>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</si>
  <si>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</si>
  <si>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</si>
  <si>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</si>
  <si>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</si>
  <si>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</si>
  <si>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</si>
  <si>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</si>
  <si>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</si>
  <si>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</si>
  <si>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</si>
  <si>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</si>
  <si>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</si>
  <si>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</si>
  <si>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</si>
  <si>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</si>
  <si>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</si>
  <si>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</si>
  <si>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</si>
  <si>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</si>
  <si>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</si>
  <si>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</si>
  <si>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</si>
  <si>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</si>
  <si>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</si>
  <si>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</si>
  <si>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</si>
  <si>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</si>
  <si>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</si>
  <si>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</si>
  <si>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</si>
  <si>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</si>
  <si>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</si>
  <si>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</si>
  <si>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</si>
  <si>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</si>
  <si>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</si>
  <si>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</si>
  <si>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</si>
  <si>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</si>
  <si>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</si>
  <si>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</si>
  <si>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</si>
  <si>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</si>
  <si>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</si>
  <si>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</si>
  <si>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</si>
  <si>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</si>
  <si>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</si>
  <si>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</si>
  <si>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</si>
  <si>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</si>
  <si>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</si>
  <si>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</si>
  <si>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</si>
  <si>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</si>
  <si>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</si>
  <si>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</si>
  <si>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</si>
  <si>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</si>
  <si>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</si>
  <si>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</si>
  <si>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</si>
  <si>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</si>
  <si>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</si>
  <si>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</si>
  <si>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</si>
  <si>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</si>
  <si>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</si>
  <si>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</si>
  <si>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</si>
  <si>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</si>
  <si>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</si>
  <si>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</si>
  <si>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</si>
  <si>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</si>
  <si>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</si>
  <si>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</si>
  <si>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</si>
  <si>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</si>
  <si>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</si>
  <si>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</si>
  <si>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</si>
  <si>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</si>
  <si>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</si>
  <si>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</si>
  <si>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</si>
  <si>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</si>
  <si>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</si>
  <si>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</si>
  <si>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</si>
  <si>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</si>
  <si>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</si>
  <si>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</si>
  <si>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</si>
  <si>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</si>
  <si>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</si>
  <si>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</si>
  <si>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</si>
  <si>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</si>
  <si>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</si>
  <si>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</si>
  <si>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</si>
  <si>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</si>
  <si>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</si>
  <si>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</si>
  <si>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</si>
  <si>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</si>
  <si>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</si>
  <si>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</si>
  <si>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</si>
  <si>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</si>
  <si>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</si>
  <si>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</si>
  <si>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</si>
  <si>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</si>
  <si>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</si>
  <si>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</si>
  <si>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</si>
  <si>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</si>
  <si>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</si>
  <si>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</si>
  <si>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</si>
  <si>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</si>
  <si>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</si>
  <si>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</si>
  <si>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</si>
  <si>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</si>
  <si>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</si>
  <si>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</si>
  <si>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</si>
  <si>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</si>
  <si>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</si>
  <si>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</si>
  <si>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</si>
  <si>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</si>
  <si>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</si>
  <si>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</si>
  <si>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</si>
  <si>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</si>
  <si>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</si>
  <si>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</si>
  <si>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</si>
  <si>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</si>
  <si>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</si>
  <si>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</si>
  <si>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</si>
  <si>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</si>
  <si>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</si>
  <si>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</si>
  <si>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</si>
  <si>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</si>
  <si>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</si>
  <si>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</si>
  <si>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</si>
  <si>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</si>
  <si>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</si>
  <si>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</si>
  <si>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</si>
  <si>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</si>
  <si>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</si>
  <si>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</si>
  <si>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</si>
  <si>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</si>
  <si>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</si>
  <si>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</si>
  <si>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</si>
  <si>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</si>
  <si>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</si>
  <si>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</si>
  <si>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</si>
  <si>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</si>
  <si>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</si>
  <si>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</si>
  <si>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</si>
  <si>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</si>
  <si>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</si>
  <si>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</si>
  <si>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</si>
  <si>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</si>
  <si>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</si>
  <si>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</si>
  <si>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</si>
  <si>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</si>
  <si>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</si>
  <si>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</si>
  <si>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</si>
  <si>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</si>
  <si>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</si>
  <si>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</si>
  <si>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</si>
  <si>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</si>
  <si>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</si>
  <si>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</si>
  <si>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</si>
  <si>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</si>
  <si>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</si>
  <si>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</si>
  <si>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</si>
  <si>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</si>
  <si>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</si>
  <si>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</si>
  <si>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</si>
  <si>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</si>
  <si>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</si>
  <si>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</si>
  <si>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</si>
  <si>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</si>
  <si>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</si>
  <si>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</si>
  <si>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</si>
  <si>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</si>
  <si>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</si>
  <si>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</si>
  <si>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</si>
  <si>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</si>
  <si>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</si>
  <si>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</si>
  <si>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</si>
  <si>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</si>
  <si>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</si>
  <si>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</si>
  <si>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</si>
  <si>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</si>
  <si>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</si>
  <si>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</si>
  <si>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</si>
  <si>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</si>
  <si>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</si>
  <si>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</si>
  <si>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</si>
  <si>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</si>
  <si>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</si>
  <si>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</si>
  <si>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</si>
  <si>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</si>
  <si>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</si>
  <si>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</si>
  <si>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</si>
  <si>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</si>
  <si>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</si>
  <si>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</si>
  <si>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</si>
  <si>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</si>
  <si>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</si>
  <si>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</si>
  <si>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</si>
  <si>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</si>
  <si>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</si>
  <si>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</si>
  <si>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</si>
  <si>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</si>
  <si>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</si>
  <si>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</si>
  <si>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</si>
  <si>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</si>
  <si>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</si>
  <si>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</si>
  <si>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</si>
  <si>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</si>
  <si>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</si>
  <si>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</si>
  <si>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</si>
  <si>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</si>
  <si>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</si>
  <si>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</si>
  <si>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</si>
  <si>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</si>
  <si>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</si>
  <si>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</si>
  <si>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</si>
  <si>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</si>
  <si>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</si>
  <si>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</si>
  <si>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</si>
  <si>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</si>
  <si>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</si>
  <si>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</si>
  <si>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</si>
  <si>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</si>
  <si>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</si>
  <si>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</si>
  <si>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</si>
  <si>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</si>
  <si>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</si>
  <si>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</si>
  <si>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</si>
  <si>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</si>
  <si>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</si>
  <si>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</si>
  <si>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</si>
  <si>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</si>
  <si>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</si>
  <si>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</si>
  <si>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</si>
  <si>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</si>
  <si>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</si>
  <si>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</si>
  <si>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</si>
  <si>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</si>
  <si>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</si>
  <si>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</si>
  <si>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</si>
  <si>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</si>
  <si>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</si>
  <si>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</si>
  <si>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</si>
  <si>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</si>
  <si>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</si>
  <si>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</si>
  <si>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</si>
  <si>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</si>
  <si>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</si>
  <si>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</si>
  <si>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</si>
  <si>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</si>
  <si>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</si>
  <si>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</si>
  <si>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</si>
  <si>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</si>
  <si>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</si>
  <si>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</si>
  <si>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</si>
  <si>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</si>
  <si>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</si>
  <si>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</si>
  <si>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</si>
  <si>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</si>
  <si>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</si>
  <si>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</si>
  <si>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</si>
  <si>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</si>
  <si>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</si>
  <si>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</si>
  <si>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</si>
  <si>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</si>
  <si>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</si>
  <si>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</si>
  <si>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</si>
  <si>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</si>
  <si>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</si>
  <si>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</si>
  <si>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</si>
  <si>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</si>
  <si>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</si>
  <si>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</si>
  <si>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</si>
  <si>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</si>
  <si>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</si>
  <si>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</si>
  <si>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</si>
  <si>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</si>
  <si>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</si>
  <si>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</si>
  <si>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</si>
  <si>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</si>
  <si>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</si>
  <si>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</si>
  <si>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</si>
  <si>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</si>
  <si>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</si>
  <si>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</si>
  <si>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</si>
  <si>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</si>
  <si>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</si>
  <si>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</si>
  <si>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</si>
  <si>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</si>
  <si>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</si>
  <si>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</si>
  <si>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</si>
  <si>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</si>
  <si>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</si>
  <si>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</si>
  <si>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</si>
  <si>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</si>
  <si>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</si>
  <si>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</si>
  <si>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</si>
  <si>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</si>
  <si>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</si>
  <si>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</si>
  <si>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</si>
  <si>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</si>
  <si>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</si>
  <si>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</si>
  <si>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</si>
  <si>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</si>
  <si>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</si>
  <si>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</si>
  <si>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</si>
  <si>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</si>
  <si>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</si>
  <si>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</si>
  <si>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</si>
  <si>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</si>
  <si>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 xml:space="preserve">     1992-93 Hold Harmless Tax Base</t>
  </si>
  <si>
    <t xml:space="preserve">     Hold Harmless Tax Base per WADA</t>
  </si>
  <si>
    <t xml:space="preserve">&lt;= If district is a Chapter 41 district, change to Y. </t>
  </si>
  <si>
    <t>069-902</t>
  </si>
  <si>
    <t>CHAPTER  41   WADA   CALCULATIONS:</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</si>
  <si>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</si>
  <si>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</si>
  <si>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</si>
  <si>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</si>
  <si>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</si>
  <si>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</si>
  <si>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</si>
  <si>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</si>
  <si>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</si>
  <si>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</si>
  <si>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</si>
  <si>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</si>
  <si>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</si>
  <si>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</si>
  <si>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</si>
  <si>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</si>
  <si>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</si>
  <si>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</si>
  <si>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</si>
  <si>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</si>
  <si>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</si>
  <si>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</si>
  <si>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</si>
  <si>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</si>
  <si>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</si>
  <si>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</si>
  <si>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</si>
  <si>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</si>
  <si>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</si>
  <si>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</si>
  <si>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</si>
  <si>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</si>
  <si>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</si>
  <si>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</si>
  <si>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</si>
  <si>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</si>
  <si>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</si>
  <si>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</si>
  <si>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</si>
  <si>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</si>
  <si>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</si>
  <si>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</si>
  <si>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</si>
  <si>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</si>
  <si>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</si>
  <si>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</si>
  <si>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</si>
  <si>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</si>
  <si>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</si>
  <si>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</si>
  <si>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</si>
  <si>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</si>
  <si>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</si>
  <si>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</si>
  <si>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</si>
  <si>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</si>
  <si>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</si>
  <si>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</si>
  <si>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</si>
  <si>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</si>
  <si>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</si>
  <si>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</si>
  <si>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</si>
  <si>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</si>
  <si>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</si>
  <si>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</si>
  <si>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</si>
  <si>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</si>
  <si>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</si>
  <si>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</si>
  <si>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</si>
  <si>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</si>
  <si>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</si>
  <si>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</si>
  <si>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</si>
  <si>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</si>
  <si>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</si>
  <si>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</si>
  <si>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</si>
  <si>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</si>
  <si>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</si>
  <si>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</si>
  <si>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</si>
  <si>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</si>
  <si>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</si>
  <si>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</si>
  <si>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</si>
  <si>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</si>
  <si>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</si>
  <si>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</si>
  <si>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</si>
  <si>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</si>
  <si>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</si>
  <si>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</si>
  <si>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</si>
  <si>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</si>
  <si>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</si>
  <si>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</si>
  <si>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</si>
  <si>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</si>
  <si>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</si>
  <si>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</si>
  <si>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</si>
  <si>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</si>
  <si>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</si>
  <si>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</si>
  <si>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</si>
  <si>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</si>
  <si>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</si>
  <si>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</si>
  <si>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</si>
  <si>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</si>
  <si>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</si>
  <si>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</si>
  <si>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</si>
  <si>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</si>
  <si>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</si>
  <si>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</si>
  <si>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</si>
  <si>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</si>
  <si>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</si>
  <si>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</si>
  <si>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</si>
  <si>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</si>
  <si>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</si>
  <si>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</si>
  <si>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</si>
  <si>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</si>
  <si>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</si>
  <si>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</si>
  <si>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</si>
  <si>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</si>
  <si>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</si>
  <si>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</si>
  <si>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</si>
  <si>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</si>
  <si>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</si>
  <si>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</si>
  <si>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</si>
  <si>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</si>
  <si>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</si>
  <si>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</si>
  <si>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</si>
  <si>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</si>
  <si>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</si>
  <si>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</si>
  <si>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</si>
  <si>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</si>
  <si>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</si>
  <si>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</si>
  <si>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</si>
  <si>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</si>
  <si>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</si>
  <si>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</si>
  <si>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</si>
  <si>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</si>
  <si>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</si>
  <si>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</si>
  <si>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</si>
  <si>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</si>
  <si>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</si>
  <si>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</si>
  <si>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</si>
  <si>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</si>
  <si>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</si>
  <si>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</si>
  <si>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</si>
  <si>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</si>
  <si>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</si>
  <si>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</si>
  <si>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</si>
  <si>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</si>
  <si>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</si>
  <si>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</si>
  <si>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</si>
  <si>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</si>
  <si>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</si>
  <si>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</si>
  <si>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</si>
  <si>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</si>
  <si>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</si>
  <si>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</si>
  <si>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</si>
  <si>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</si>
  <si>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</si>
  <si>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</si>
  <si>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</si>
  <si>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</si>
  <si>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</si>
  <si>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</si>
  <si>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</si>
  <si>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</si>
  <si>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</si>
  <si>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</si>
  <si>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</si>
  <si>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</si>
  <si>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</si>
  <si>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</si>
  <si>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</si>
  <si>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</si>
  <si>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</si>
  <si>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</si>
  <si>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</si>
  <si>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</si>
  <si>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</si>
  <si>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</si>
  <si>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</si>
  <si>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</si>
  <si>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</si>
  <si>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</si>
  <si>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</si>
  <si>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</si>
  <si>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</si>
  <si>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</si>
  <si>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</si>
  <si>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</si>
  <si>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</si>
  <si>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</si>
  <si>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</si>
  <si>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</si>
  <si>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</si>
  <si>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</si>
  <si>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</si>
  <si>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</si>
  <si>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</si>
  <si>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</si>
  <si>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</si>
  <si>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</si>
  <si>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</si>
  <si>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</si>
  <si>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</si>
  <si>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</si>
  <si>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</si>
  <si>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</si>
  <si>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</si>
  <si>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</si>
  <si>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</si>
  <si>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</si>
  <si>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</si>
  <si>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</si>
  <si>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</si>
  <si>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</si>
  <si>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</si>
  <si>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</si>
  <si>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</si>
  <si>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</si>
  <si>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</si>
  <si>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</si>
  <si>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</si>
  <si>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</si>
  <si>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</si>
  <si>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</si>
  <si>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</si>
  <si>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</si>
  <si>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</si>
  <si>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</si>
  <si>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</si>
  <si>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</si>
  <si>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</si>
  <si>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</si>
  <si>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</si>
  <si>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</si>
  <si>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</si>
  <si>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</si>
  <si>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</si>
  <si>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</si>
  <si>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</si>
  <si>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</si>
  <si>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</si>
  <si>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</si>
  <si>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</si>
  <si>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</si>
  <si>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</si>
  <si>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</si>
  <si>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</si>
  <si>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</si>
  <si>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</si>
  <si>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</si>
  <si>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</si>
  <si>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</si>
  <si>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</si>
  <si>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</si>
  <si>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</si>
  <si>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</si>
  <si>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</si>
  <si>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</si>
  <si>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</si>
  <si>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</si>
  <si>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</si>
  <si>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</si>
  <si>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</si>
  <si>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</si>
  <si>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</si>
  <si>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</si>
  <si>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</si>
  <si>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</si>
  <si>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</si>
  <si>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</si>
  <si>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</si>
  <si>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</si>
  <si>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</si>
  <si>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</si>
  <si>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</si>
  <si>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</si>
  <si>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</si>
  <si>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</si>
  <si>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</si>
  <si>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</si>
  <si>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</si>
  <si>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</si>
  <si>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</si>
  <si>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</si>
  <si>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</si>
  <si>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</si>
  <si>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</si>
  <si>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</si>
  <si>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</si>
  <si>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</si>
  <si>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</si>
  <si>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</si>
  <si>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</si>
  <si>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</si>
  <si>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</si>
  <si>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</si>
  <si>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</si>
  <si>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</si>
  <si>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</si>
  <si>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</si>
  <si>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</si>
  <si>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</si>
  <si>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</si>
  <si>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</si>
  <si>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</si>
  <si>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</si>
  <si>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</si>
  <si>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</si>
  <si>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</si>
  <si>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</si>
  <si>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</si>
  <si>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</si>
  <si>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</si>
  <si>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</si>
  <si>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</si>
  <si>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</si>
  <si>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</si>
  <si>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</si>
  <si>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</si>
  <si>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</si>
  <si>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</si>
  <si>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</si>
  <si>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</si>
  <si>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</si>
  <si>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</si>
  <si>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</si>
  <si>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</si>
  <si>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</si>
  <si>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</si>
  <si>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</si>
  <si>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</si>
  <si>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</si>
  <si>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</si>
  <si>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</si>
  <si>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</si>
  <si>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</si>
  <si>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</si>
  <si>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</si>
  <si>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11-Public Education Grant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</si>
  <si>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</si>
  <si>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</si>
  <si>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</si>
  <si>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</si>
  <si>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</si>
  <si>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</si>
  <si>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</si>
  <si>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</si>
  <si>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</si>
  <si>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</si>
  <si>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</si>
  <si>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</si>
  <si>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</si>
  <si>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</si>
  <si>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</si>
  <si>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</si>
  <si>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</si>
  <si>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</si>
  <si>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</si>
  <si>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</si>
  <si>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</si>
  <si>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</si>
  <si>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</si>
  <si>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</si>
  <si>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</si>
  <si>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</si>
  <si>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</si>
  <si>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</si>
  <si>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</si>
  <si>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</si>
  <si>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</si>
  <si>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</si>
  <si>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</si>
  <si>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</si>
  <si>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</si>
  <si>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</si>
  <si>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</si>
  <si>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</si>
  <si>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</si>
  <si>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</si>
  <si>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</si>
  <si>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</si>
  <si>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</si>
  <si>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</si>
  <si>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</si>
  <si>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</si>
  <si>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</si>
  <si>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</si>
  <si>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</si>
  <si>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</si>
  <si>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</si>
  <si>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</si>
  <si>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</si>
  <si>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</si>
  <si>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</si>
  <si>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</si>
  <si>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</si>
  <si>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</si>
  <si>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</si>
  <si>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</si>
  <si>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</si>
  <si>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</si>
  <si>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</si>
  <si>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</si>
  <si>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</si>
  <si>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</si>
  <si>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</si>
  <si>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</si>
  <si>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</si>
  <si>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</si>
  <si>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</si>
  <si>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</si>
  <si>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</si>
  <si>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</si>
  <si>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</si>
  <si>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</si>
  <si>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</si>
  <si>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</si>
  <si>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</si>
  <si>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</si>
  <si>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</si>
  <si>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</si>
  <si>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</si>
  <si>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</si>
  <si>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</si>
  <si>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</si>
  <si>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</si>
  <si>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</si>
  <si>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</si>
  <si>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</si>
  <si>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</si>
  <si>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</si>
  <si>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</si>
  <si>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</si>
  <si>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</si>
  <si>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</si>
  <si>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</si>
  <si>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</si>
  <si>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</si>
  <si>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</si>
  <si>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</si>
  <si>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</si>
  <si>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</si>
  <si>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</si>
  <si>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</si>
  <si>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</si>
  <si>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</si>
  <si>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</si>
  <si>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</si>
  <si>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</si>
  <si>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</si>
  <si>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</si>
  <si>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</si>
  <si>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</si>
  <si>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</si>
  <si>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</si>
  <si>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</si>
  <si>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</si>
  <si>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</si>
  <si>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</si>
  <si>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</si>
  <si>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</si>
  <si>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</si>
  <si>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</si>
  <si>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</si>
  <si>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</si>
  <si>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</si>
  <si>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</si>
  <si>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</si>
  <si>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</si>
  <si>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</si>
  <si>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</si>
  <si>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</si>
  <si>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</si>
  <si>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</si>
  <si>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</si>
  <si>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</si>
  <si>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</si>
  <si>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</si>
  <si>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</si>
  <si>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</si>
  <si>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</si>
  <si>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</si>
  <si>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</si>
  <si>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</si>
  <si>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</si>
  <si>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</si>
  <si>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</si>
  <si>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</si>
  <si>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</si>
  <si>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</si>
  <si>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</si>
  <si>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</si>
  <si>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</si>
  <si>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</si>
  <si>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</si>
  <si>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</si>
  <si>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</si>
  <si>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</si>
  <si>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</si>
  <si>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</si>
  <si>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I&amp;S Tax Collections </t>
  </si>
  <si>
    <t>Other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</si>
  <si>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</si>
  <si>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</si>
  <si>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</si>
  <si>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</si>
  <si>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</si>
  <si>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</si>
  <si>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</si>
  <si>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</si>
  <si>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</si>
  <si>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</si>
  <si>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</si>
  <si>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</si>
  <si>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</si>
  <si>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</si>
  <si>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</si>
  <si>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</si>
  <si>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</si>
  <si>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</si>
  <si>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</si>
  <si>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</si>
  <si>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</si>
  <si>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</si>
  <si>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</si>
  <si>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</si>
  <si>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</si>
  <si>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</si>
  <si>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</si>
  <si>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</si>
  <si>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</si>
  <si>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</si>
  <si>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</si>
  <si>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</si>
  <si>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</si>
  <si>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</si>
  <si>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</si>
  <si>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</si>
  <si>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</si>
  <si>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</si>
  <si>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</si>
  <si>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</si>
  <si>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</si>
  <si>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</si>
  <si>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</si>
  <si>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</si>
  <si>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</si>
  <si>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</si>
  <si>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</si>
  <si>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</si>
  <si>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</si>
  <si>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</si>
  <si>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</si>
  <si>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</si>
  <si>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</si>
  <si>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</si>
  <si>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</si>
  <si>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</si>
  <si>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</si>
  <si>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</si>
  <si>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</si>
  <si>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</si>
  <si>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</si>
  <si>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</si>
  <si>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</si>
  <si>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</si>
  <si>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</si>
  <si>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</si>
  <si>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</si>
  <si>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</si>
  <si>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</si>
  <si>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</si>
  <si>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</si>
  <si>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</si>
  <si>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</si>
  <si>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</si>
  <si>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</si>
  <si>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</si>
  <si>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</si>
  <si>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</si>
  <si>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</si>
  <si>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</si>
  <si>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</si>
  <si>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</si>
  <si>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</si>
  <si>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</si>
  <si>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</si>
  <si>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</si>
  <si>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</si>
  <si>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</si>
  <si>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</si>
  <si>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</si>
  <si>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</si>
  <si>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</si>
  <si>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</si>
  <si>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</si>
  <si>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</si>
  <si>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</si>
  <si>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</si>
  <si>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</si>
  <si>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</si>
  <si>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t>&lt;= Did district choose least expensive Option?</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</si>
  <si>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</si>
  <si>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</si>
  <si>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</si>
  <si>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</si>
  <si>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</si>
  <si>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</si>
  <si>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</si>
  <si>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</si>
  <si>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</si>
  <si>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</si>
  <si>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</si>
  <si>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</si>
  <si>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</si>
  <si>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</si>
  <si>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</si>
  <si>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</si>
  <si>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</si>
  <si>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</si>
  <si>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</si>
  <si>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</si>
  <si>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</si>
  <si>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</si>
  <si>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</si>
  <si>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</si>
  <si>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</si>
  <si>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</si>
  <si>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</si>
  <si>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</si>
  <si>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</si>
  <si>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</si>
  <si>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</si>
  <si>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</si>
  <si>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</si>
  <si>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</si>
  <si>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</si>
  <si>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</si>
  <si>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</si>
  <si>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</si>
  <si>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</si>
  <si>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</si>
  <si>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</si>
  <si>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</si>
  <si>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</si>
  <si>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</si>
  <si>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</si>
  <si>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</si>
  <si>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</si>
  <si>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</si>
  <si>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</si>
  <si>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</si>
  <si>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</si>
  <si>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</si>
  <si>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</si>
  <si>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</si>
  <si>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</si>
  <si>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</si>
  <si>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</si>
  <si>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</si>
  <si>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</si>
  <si>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</si>
  <si>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M&amp;O Tax Rate</t>
  </si>
  <si>
    <t>I&amp;S Tax Collections</t>
  </si>
  <si>
    <t>Tier II</t>
  </si>
  <si>
    <t>Other Programs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</si>
  <si>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</si>
  <si>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</si>
  <si>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</si>
  <si>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</si>
  <si>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</si>
  <si>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</si>
  <si>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</si>
  <si>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</si>
  <si>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</si>
  <si>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</si>
  <si>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</si>
  <si>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</si>
  <si>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</si>
  <si>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</si>
  <si>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</si>
  <si>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</si>
  <si>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</si>
  <si>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</si>
  <si>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</si>
  <si>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</si>
  <si>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</si>
  <si>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</si>
  <si>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</si>
  <si>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</si>
  <si>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</si>
  <si>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</si>
  <si>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</si>
  <si>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</si>
  <si>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</si>
  <si>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</si>
  <si>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</si>
  <si>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</si>
  <si>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</si>
  <si>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</si>
  <si>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</si>
  <si>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</si>
  <si>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</si>
  <si>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</si>
  <si>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</si>
  <si>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</si>
  <si>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</si>
  <si>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</si>
  <si>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</si>
  <si>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</si>
  <si>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</si>
  <si>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</si>
  <si>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</si>
  <si>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</si>
  <si>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</si>
  <si>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</si>
  <si>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</si>
  <si>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</si>
  <si>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</si>
  <si>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</si>
  <si>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</si>
  <si>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</si>
  <si>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2017-18 Total Refined ADA</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</si>
  <si>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</si>
  <si>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</si>
  <si>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</si>
  <si>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</si>
  <si>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</si>
  <si>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</si>
  <si>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</si>
  <si>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</si>
  <si>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</si>
  <si>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</si>
  <si>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</si>
  <si>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</si>
  <si>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</si>
  <si>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</si>
  <si>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</si>
  <si>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</si>
  <si>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</si>
  <si>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</si>
  <si>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</si>
  <si>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</si>
  <si>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</si>
  <si>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</si>
  <si>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</si>
  <si>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</si>
  <si>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</si>
  <si>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</si>
  <si>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</si>
  <si>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</si>
  <si>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</si>
  <si>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</si>
  <si>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</si>
  <si>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</si>
  <si>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</si>
  <si>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</si>
  <si>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</si>
  <si>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</si>
  <si>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</si>
  <si>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</si>
  <si>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</si>
  <si>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</si>
  <si>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</si>
  <si>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</si>
  <si>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</si>
  <si>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</si>
  <si>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</si>
  <si>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</si>
  <si>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</si>
  <si>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</si>
  <si>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</si>
  <si>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2012-13 RPAF Adjustment </t>
    </r>
    <r>
      <rPr>
        <b/>
        <sz val="12"/>
        <color indexed="8"/>
        <rFont val="Arial MT"/>
      </rPr>
      <t>(if negative, enter as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</si>
  <si>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</si>
  <si>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</si>
  <si>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</si>
  <si>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</si>
  <si>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</si>
  <si>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</si>
  <si>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</si>
  <si>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</si>
  <si>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</si>
  <si>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</si>
  <si>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</si>
  <si>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</si>
  <si>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</si>
  <si>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</si>
  <si>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</si>
  <si>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</si>
  <si>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</si>
  <si>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</si>
  <si>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</si>
  <si>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</si>
  <si>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</si>
  <si>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</si>
  <si>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</si>
  <si>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</si>
  <si>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</si>
  <si>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</si>
  <si>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</si>
  <si>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</si>
  <si>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</si>
  <si>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</si>
  <si>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</si>
  <si>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</si>
  <si>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</si>
  <si>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</si>
  <si>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</si>
  <si>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</si>
  <si>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</si>
  <si>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</si>
  <si>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</si>
  <si>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</si>
  <si>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</si>
  <si>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</si>
  <si>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</si>
  <si>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</si>
  <si>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</si>
  <si>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</si>
  <si>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</si>
  <si>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</si>
  <si>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</si>
  <si>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</si>
  <si>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</si>
  <si>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</si>
  <si>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</si>
  <si>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</si>
  <si>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</si>
  <si>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</si>
  <si>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</si>
  <si>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</si>
  <si>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</si>
  <si>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</si>
  <si>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</si>
  <si>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</si>
  <si>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</si>
  <si>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</si>
  <si>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</si>
  <si>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</si>
  <si>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</si>
  <si>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</si>
  <si>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</si>
  <si>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</si>
  <si>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</si>
  <si>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</si>
  <si>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</si>
  <si>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</si>
  <si>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</si>
  <si>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</si>
  <si>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</si>
  <si>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</si>
  <si>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</si>
  <si>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</si>
  <si>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</si>
  <si>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</si>
  <si>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</si>
  <si>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</si>
  <si>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</si>
  <si>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</si>
  <si>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</si>
  <si>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</si>
  <si>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</si>
  <si>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</si>
  <si>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</si>
  <si>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</si>
  <si>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</si>
  <si>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</si>
  <si>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</si>
  <si>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</si>
  <si>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</si>
  <si>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</si>
  <si>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</si>
  <si>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</si>
  <si>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</si>
  <si>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</si>
  <si>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</si>
  <si>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</si>
  <si>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</si>
  <si>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</si>
  <si>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</si>
  <si>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</si>
  <si>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</si>
  <si>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</si>
  <si>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</si>
  <si>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</si>
  <si>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</si>
  <si>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</si>
  <si>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</si>
  <si>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</si>
  <si>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</si>
  <si>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</si>
  <si>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</si>
  <si>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</si>
  <si>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</si>
  <si>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</si>
  <si>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</si>
  <si>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</si>
  <si>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</si>
  <si>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</si>
  <si>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</si>
  <si>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</si>
  <si>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</si>
  <si>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</si>
  <si>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</si>
  <si>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</si>
  <si>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</si>
  <si>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TOTAL  2019-20  FSP/ASF  STATE  AID</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</si>
  <si>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</si>
  <si>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</si>
  <si>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</si>
  <si>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</si>
  <si>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</si>
  <si>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</si>
  <si>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</si>
  <si>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</si>
  <si>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</si>
  <si>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</si>
  <si>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</si>
  <si>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</si>
  <si>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</si>
  <si>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</si>
  <si>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</si>
  <si>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</si>
  <si>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</si>
  <si>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</si>
  <si>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</si>
  <si>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</si>
  <si>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</si>
  <si>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</si>
  <si>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</si>
  <si>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</si>
  <si>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</si>
  <si>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</si>
  <si>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</si>
  <si>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</si>
  <si>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</si>
  <si>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</si>
  <si>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</si>
  <si>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</si>
  <si>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</si>
  <si>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</si>
  <si>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</si>
  <si>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</si>
  <si>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</si>
  <si>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</si>
  <si>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</si>
  <si>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</si>
  <si>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</si>
  <si>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</si>
  <si>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</si>
  <si>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</si>
  <si>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</si>
  <si>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</si>
  <si>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</si>
  <si>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</si>
  <si>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</si>
  <si>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</si>
  <si>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</si>
  <si>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</si>
  <si>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</si>
  <si>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</si>
  <si>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</si>
  <si>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</si>
  <si>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</si>
  <si>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</si>
  <si>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</si>
  <si>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</si>
  <si>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</si>
  <si>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</si>
  <si>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</si>
  <si>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</si>
  <si>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</si>
  <si>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</si>
  <si>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</si>
  <si>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</si>
  <si>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</si>
  <si>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</si>
  <si>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</si>
  <si>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</si>
  <si>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</si>
  <si>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</si>
  <si>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</si>
  <si>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</si>
  <si>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</si>
  <si>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</si>
  <si>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</si>
  <si>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</si>
  <si>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</si>
  <si>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</si>
  <si>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</si>
  <si>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</si>
  <si>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</si>
  <si>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</si>
  <si>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</si>
  <si>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</si>
  <si>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</si>
  <si>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</si>
  <si>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</si>
  <si>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</si>
  <si>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</si>
  <si>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</si>
  <si>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</si>
  <si>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</si>
  <si>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</si>
  <si>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</si>
  <si>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</si>
  <si>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</si>
  <si>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</si>
  <si>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</si>
  <si>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</si>
  <si>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</si>
  <si>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</si>
  <si>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</si>
  <si>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</si>
  <si>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</si>
  <si>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</si>
  <si>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</si>
  <si>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</si>
  <si>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</si>
  <si>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</si>
  <si>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</si>
  <si>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</si>
  <si>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</si>
  <si>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</si>
  <si>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</si>
  <si>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</si>
  <si>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</si>
  <si>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</si>
  <si>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</si>
  <si>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</si>
  <si>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</si>
  <si>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</si>
  <si>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</si>
  <si>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</si>
  <si>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</si>
  <si>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</si>
  <si>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</si>
  <si>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</si>
  <si>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</si>
  <si>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</si>
  <si>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</si>
  <si>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</si>
  <si>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</si>
  <si>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</si>
  <si>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</si>
  <si>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</si>
  <si>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</si>
  <si>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</si>
  <si>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</si>
  <si>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</si>
  <si>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</si>
  <si>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</si>
  <si>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</si>
  <si>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</si>
  <si>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</si>
  <si>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</si>
  <si>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</si>
  <si>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</si>
  <si>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</si>
  <si>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</si>
  <si>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</si>
  <si>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</si>
  <si>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</si>
  <si>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</si>
  <si>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</si>
  <si>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</si>
  <si>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</si>
  <si>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</si>
  <si>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</si>
  <si>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</si>
  <si>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</si>
  <si>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</si>
  <si>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</si>
  <si>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</si>
  <si>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</si>
  <si>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</si>
  <si>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</si>
  <si>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</si>
  <si>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</si>
  <si>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</si>
  <si>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</si>
  <si>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</si>
  <si>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</si>
  <si>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</si>
  <si>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</si>
  <si>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</si>
  <si>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</si>
  <si>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</si>
  <si>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</si>
  <si>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</si>
  <si>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</si>
  <si>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</si>
  <si>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</si>
  <si>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</si>
  <si>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</si>
  <si>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</si>
  <si>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</si>
  <si>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</si>
  <si>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</si>
  <si>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</si>
  <si>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</si>
  <si>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</si>
  <si>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</si>
  <si>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</si>
  <si>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</si>
  <si>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</si>
  <si>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</si>
  <si>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</si>
  <si>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</si>
  <si>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</si>
  <si>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</si>
  <si>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</si>
  <si>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</si>
  <si>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</si>
  <si>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</si>
  <si>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</si>
  <si>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</si>
  <si>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</si>
  <si>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</si>
  <si>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</si>
  <si>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</si>
  <si>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</si>
  <si>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</si>
  <si>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</si>
  <si>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</si>
  <si>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</si>
  <si>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</si>
  <si>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</si>
  <si>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</si>
  <si>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</si>
  <si>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</si>
  <si>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</si>
  <si>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</si>
  <si>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</si>
  <si>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</si>
  <si>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</si>
  <si>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</si>
  <si>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</si>
  <si>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</si>
  <si>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</si>
  <si>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</si>
  <si>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</si>
  <si>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</si>
  <si>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</si>
  <si>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</si>
  <si>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</si>
  <si>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</si>
  <si>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</si>
  <si>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</si>
  <si>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</si>
  <si>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</si>
  <si>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</si>
  <si>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</si>
  <si>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</si>
  <si>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</si>
  <si>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</si>
  <si>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</si>
  <si>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</si>
  <si>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</si>
  <si>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</si>
  <si>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</si>
  <si>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</si>
  <si>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</si>
  <si>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</si>
  <si>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</si>
  <si>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</si>
  <si>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</si>
  <si>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</si>
  <si>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</si>
  <si>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</si>
  <si>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</si>
  <si>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</si>
  <si>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</si>
  <si>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</si>
  <si>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</si>
  <si>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</si>
  <si>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</si>
  <si>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</si>
  <si>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</si>
  <si>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</si>
  <si>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</si>
  <si>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</si>
  <si>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</si>
  <si>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</si>
  <si>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</si>
  <si>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</si>
  <si>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</si>
  <si>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</si>
  <si>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</si>
  <si>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</si>
  <si>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</si>
  <si>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</si>
  <si>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</si>
  <si>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</si>
  <si>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</si>
  <si>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</si>
  <si>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</si>
  <si>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</si>
  <si>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</si>
  <si>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</si>
  <si>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</si>
  <si>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</si>
  <si>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</si>
  <si>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</si>
  <si>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</si>
  <si>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</si>
  <si>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</si>
  <si>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</si>
  <si>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</si>
  <si>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</si>
  <si>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</si>
  <si>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</si>
  <si>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</si>
  <si>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</si>
  <si>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</si>
  <si>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</si>
  <si>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</si>
  <si>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</si>
  <si>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</si>
  <si>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</si>
  <si>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</si>
  <si>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</si>
  <si>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</si>
  <si>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</si>
  <si>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</si>
  <si>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</si>
  <si>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</si>
  <si>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</si>
  <si>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</si>
  <si>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</si>
  <si>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</si>
  <si>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</si>
  <si>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</si>
  <si>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</si>
  <si>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</si>
  <si>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</si>
  <si>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</si>
  <si>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</si>
  <si>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</si>
  <si>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</si>
  <si>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</si>
  <si>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</si>
  <si>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</si>
  <si>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</si>
  <si>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</si>
  <si>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</si>
  <si>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</si>
  <si>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</si>
  <si>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</si>
  <si>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</si>
  <si>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</si>
  <si>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</si>
  <si>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</si>
  <si>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</si>
  <si>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</si>
  <si>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</si>
  <si>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</si>
  <si>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</si>
  <si>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</si>
  <si>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</si>
  <si>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</si>
  <si>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</si>
  <si>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</si>
  <si>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</si>
  <si>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</si>
  <si>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</si>
  <si>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</si>
  <si>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</si>
  <si>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</si>
  <si>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</si>
  <si>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</si>
  <si>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</si>
  <si>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</si>
  <si>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</si>
  <si>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</si>
  <si>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</si>
  <si>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</si>
  <si>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</si>
  <si>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</si>
  <si>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</si>
  <si>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</si>
  <si>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</si>
  <si>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</si>
  <si>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</si>
  <si>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</si>
  <si>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</si>
  <si>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</si>
  <si>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</si>
  <si>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</si>
  <si>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</si>
  <si>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</si>
  <si>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</si>
  <si>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</si>
  <si>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</si>
  <si>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</si>
  <si>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</si>
  <si>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</si>
  <si>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</si>
  <si>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</si>
  <si>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</si>
  <si>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</si>
  <si>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</si>
  <si>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</si>
  <si>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</si>
  <si>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</si>
  <si>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</si>
  <si>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</si>
  <si>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</si>
  <si>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</si>
  <si>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</si>
  <si>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</si>
  <si>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</si>
  <si>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</si>
  <si>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</si>
  <si>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</si>
  <si>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</si>
  <si>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</si>
  <si>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</si>
  <si>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</si>
  <si>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</si>
  <si>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</si>
  <si>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</si>
  <si>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</si>
  <si>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</si>
  <si>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</si>
  <si>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</si>
  <si>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</si>
  <si>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</si>
  <si>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</si>
  <si>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</si>
  <si>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</si>
  <si>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</si>
  <si>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</si>
  <si>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</si>
  <si>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</si>
  <si>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</si>
  <si>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</si>
  <si>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</si>
  <si>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</si>
  <si>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</si>
  <si>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</si>
  <si>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</si>
  <si>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</si>
  <si>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</si>
  <si>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</si>
  <si>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</si>
  <si>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</si>
  <si>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</si>
  <si>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</si>
  <si>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</si>
  <si>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</si>
  <si>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</si>
  <si>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</si>
  <si>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</si>
  <si>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</si>
  <si>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</si>
  <si>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</si>
  <si>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</si>
  <si>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</si>
  <si>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</si>
  <si>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</si>
  <si>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</si>
  <si>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</si>
  <si>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</si>
  <si>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</si>
  <si>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</si>
  <si>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</si>
  <si>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</si>
  <si>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</si>
  <si>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</si>
  <si>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</si>
  <si>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</si>
  <si>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</si>
  <si>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</si>
  <si>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</si>
  <si>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</si>
  <si>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</si>
  <si>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</si>
  <si>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</si>
  <si>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</si>
  <si>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</si>
  <si>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</si>
  <si>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</si>
  <si>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</si>
  <si>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</si>
  <si>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</si>
  <si>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</si>
  <si>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</si>
  <si>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</si>
  <si>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</si>
  <si>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</si>
  <si>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</si>
  <si>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</si>
  <si>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</si>
  <si>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</si>
  <si>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</si>
  <si>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</si>
  <si>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</si>
  <si>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</si>
  <si>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</si>
  <si>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</si>
  <si>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</si>
  <si>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</si>
  <si>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</si>
  <si>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</si>
  <si>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</si>
  <si>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</si>
  <si>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</si>
  <si>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</si>
  <si>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</si>
  <si>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</si>
  <si>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</si>
  <si>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</si>
  <si>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</si>
  <si>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</si>
  <si>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</si>
  <si>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</si>
  <si>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</si>
  <si>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</si>
  <si>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</si>
  <si>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</si>
  <si>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</si>
  <si>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</si>
  <si>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</si>
  <si>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</si>
  <si>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</si>
  <si>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</si>
  <si>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</si>
  <si>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</si>
  <si>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</si>
  <si>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</si>
  <si>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</si>
  <si>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</si>
  <si>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</si>
  <si>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</si>
  <si>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</si>
  <si>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</si>
  <si>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</si>
  <si>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</si>
  <si>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</si>
  <si>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</si>
  <si>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</si>
  <si>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</si>
  <si>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</si>
  <si>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</si>
  <si>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</si>
  <si>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</si>
  <si>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</si>
  <si>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</si>
  <si>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</si>
  <si>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</si>
  <si>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</si>
  <si>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</si>
  <si>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</si>
  <si>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</si>
  <si>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</si>
  <si>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</si>
  <si>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</si>
  <si>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</si>
  <si>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</si>
  <si>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</si>
  <si>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</si>
  <si>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</si>
  <si>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</si>
  <si>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</si>
  <si>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</si>
  <si>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</si>
  <si>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</si>
  <si>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</si>
  <si>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</si>
  <si>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</si>
  <si>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</si>
  <si>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</si>
  <si>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</si>
  <si>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</si>
  <si>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</si>
  <si>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</si>
  <si>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</si>
  <si>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</si>
  <si>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</si>
  <si>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</si>
  <si>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</si>
  <si>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</si>
  <si>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</si>
  <si>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</si>
  <si>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</si>
  <si>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</si>
  <si>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</si>
  <si>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</si>
  <si>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</si>
  <si>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</si>
  <si>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</si>
  <si>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</si>
  <si>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</si>
  <si>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</si>
  <si>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</si>
  <si>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</si>
  <si>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</si>
  <si>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</si>
  <si>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</si>
  <si>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</si>
  <si>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</si>
  <si>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</si>
  <si>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</si>
  <si>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</si>
  <si>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</si>
  <si>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</si>
  <si>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</si>
  <si>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</si>
  <si>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</si>
  <si>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</si>
  <si>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</si>
  <si>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</si>
  <si>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</si>
  <si>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</si>
  <si>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</si>
  <si>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</si>
  <si>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</si>
  <si>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</si>
  <si>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</si>
  <si>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</si>
  <si>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</si>
  <si>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</si>
  <si>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</si>
  <si>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</si>
  <si>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</si>
  <si>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</si>
  <si>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</si>
  <si>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</si>
  <si>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</si>
  <si>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</si>
  <si>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</si>
  <si>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</si>
  <si>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</si>
  <si>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</si>
  <si>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</si>
  <si>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</si>
  <si>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</si>
  <si>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</si>
  <si>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</si>
  <si>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</si>
  <si>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</si>
  <si>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</si>
  <si>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</si>
  <si>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</si>
  <si>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</si>
  <si>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</si>
  <si>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</si>
  <si>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</si>
  <si>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</si>
  <si>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</si>
  <si>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</si>
  <si>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</si>
  <si>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</si>
  <si>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</si>
  <si>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</si>
  <si>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</si>
  <si>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</si>
  <si>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</si>
  <si>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</si>
  <si>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</si>
  <si>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</si>
  <si>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</si>
  <si>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</si>
  <si>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</si>
  <si>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</si>
  <si>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</si>
  <si>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</si>
  <si>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2019 (prior tax year) State Certified Property Value ("T2" value)</t>
  </si>
  <si>
    <t>2019-20 M&amp;O Tax Rate</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</si>
  <si>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</si>
  <si>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</si>
  <si>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</si>
  <si>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</si>
  <si>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</si>
  <si>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</si>
  <si>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</si>
  <si>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</si>
  <si>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</si>
  <si>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</si>
  <si>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</si>
  <si>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</si>
  <si>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</si>
  <si>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</si>
  <si>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</si>
  <si>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</si>
  <si>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</si>
  <si>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</si>
  <si>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</si>
  <si>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</si>
  <si>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</si>
  <si>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</si>
  <si>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</si>
  <si>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</si>
  <si>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</si>
  <si>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</si>
  <si>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</si>
  <si>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</si>
  <si>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</si>
  <si>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</si>
  <si>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</si>
  <si>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</si>
  <si>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</si>
  <si>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</si>
  <si>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</si>
  <si>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</si>
  <si>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</si>
  <si>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</si>
  <si>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</si>
  <si>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</si>
  <si>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</si>
  <si>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</si>
  <si>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</si>
  <si>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</si>
  <si>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</si>
  <si>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</si>
  <si>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</si>
  <si>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</si>
  <si>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</si>
  <si>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</si>
  <si>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</si>
  <si>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</si>
  <si>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</si>
  <si>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</si>
  <si>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</si>
  <si>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</si>
  <si>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</si>
  <si>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</si>
  <si>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</si>
  <si>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</si>
  <si>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</si>
  <si>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</si>
  <si>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</si>
  <si>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</si>
  <si>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</si>
  <si>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</si>
  <si>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</si>
  <si>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</si>
  <si>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</si>
  <si>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</si>
  <si>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</si>
  <si>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</si>
  <si>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</si>
  <si>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</si>
  <si>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</si>
  <si>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</si>
  <si>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</si>
  <si>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</si>
  <si>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</si>
  <si>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</si>
  <si>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</si>
  <si>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</si>
  <si>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</si>
  <si>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</si>
  <si>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</si>
  <si>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</si>
  <si>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</si>
  <si>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</si>
  <si>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</si>
  <si>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</si>
  <si>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</si>
  <si>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</si>
  <si>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</si>
  <si>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</si>
  <si>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</si>
  <si>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</si>
  <si>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</si>
  <si>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</si>
  <si>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</si>
  <si>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</si>
  <si>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</si>
  <si>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</si>
  <si>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</si>
  <si>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</si>
  <si>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</si>
  <si>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</si>
  <si>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</si>
  <si>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</si>
  <si>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</si>
  <si>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</si>
  <si>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</si>
  <si>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</si>
  <si>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</si>
  <si>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</si>
  <si>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</si>
  <si>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</si>
  <si>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</si>
  <si>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</si>
  <si>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</si>
  <si>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</si>
  <si>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</si>
  <si>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</si>
  <si>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</si>
  <si>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</si>
  <si>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</si>
  <si>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</si>
  <si>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</si>
  <si>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</si>
  <si>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</si>
  <si>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</si>
  <si>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</si>
  <si>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</si>
  <si>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</si>
  <si>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</si>
  <si>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</si>
  <si>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</si>
  <si>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</si>
  <si>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</si>
  <si>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</si>
  <si>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</si>
  <si>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</si>
  <si>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</si>
  <si>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</si>
  <si>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</si>
  <si>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</si>
  <si>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</si>
  <si>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</si>
  <si>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</si>
  <si>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</si>
  <si>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</si>
  <si>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</si>
  <si>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</si>
  <si>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</si>
  <si>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</si>
  <si>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</si>
  <si>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</si>
  <si>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</si>
  <si>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</si>
  <si>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</si>
  <si>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</si>
  <si>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</si>
  <si>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</si>
  <si>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</si>
  <si>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</si>
  <si>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</si>
  <si>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</si>
  <si>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</si>
  <si>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</si>
  <si>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</si>
  <si>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</si>
  <si>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</si>
  <si>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</si>
  <si>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</si>
  <si>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</si>
  <si>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</si>
  <si>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</si>
  <si>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</si>
  <si>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</si>
  <si>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</si>
  <si>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</si>
  <si>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</si>
  <si>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</si>
  <si>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</si>
  <si>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</si>
  <si>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</si>
  <si>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</si>
  <si>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</si>
  <si>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</si>
  <si>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</si>
  <si>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</si>
  <si>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</si>
  <si>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</si>
  <si>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</si>
  <si>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</si>
  <si>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</si>
  <si>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</si>
  <si>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</si>
  <si>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</si>
  <si>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</si>
  <si>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</si>
  <si>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</si>
  <si>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</si>
  <si>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</si>
  <si>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</si>
  <si>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</si>
  <si>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</si>
  <si>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</si>
  <si>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</si>
  <si>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</si>
  <si>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</si>
  <si>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</si>
  <si>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</si>
  <si>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</si>
  <si>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</si>
  <si>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</si>
  <si>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</si>
  <si>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</si>
  <si>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</si>
  <si>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</si>
  <si>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</si>
  <si>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</si>
  <si>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</si>
  <si>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</si>
  <si>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</si>
  <si>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</si>
  <si>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</si>
  <si>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</si>
  <si>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</si>
  <si>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</si>
  <si>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</si>
  <si>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</si>
  <si>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</si>
  <si>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</si>
  <si>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</si>
  <si>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</si>
  <si>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</si>
  <si>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</si>
  <si>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</si>
  <si>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</si>
  <si>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</si>
  <si>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</si>
  <si>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</si>
  <si>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</si>
  <si>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</si>
  <si>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</si>
  <si>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</si>
  <si>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</si>
  <si>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</si>
  <si>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</si>
  <si>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</si>
  <si>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</si>
  <si>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</si>
  <si>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</si>
  <si>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</si>
  <si>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</si>
  <si>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</si>
  <si>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</si>
  <si>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</si>
  <si>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</si>
  <si>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</si>
  <si>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</si>
  <si>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</si>
  <si>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</si>
  <si>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</si>
  <si>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</si>
  <si>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</si>
  <si>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</si>
  <si>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</si>
  <si>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</si>
  <si>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</si>
  <si>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</si>
  <si>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</si>
  <si>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</si>
  <si>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</si>
  <si>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</si>
  <si>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</si>
  <si>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</si>
  <si>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</si>
  <si>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</si>
  <si>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</si>
  <si>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</si>
  <si>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</si>
  <si>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</si>
  <si>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</si>
  <si>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</si>
  <si>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</si>
  <si>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</si>
  <si>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</si>
  <si>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</si>
  <si>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</si>
  <si>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</si>
  <si>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</si>
  <si>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</si>
  <si>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</si>
  <si>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</si>
  <si>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</si>
  <si>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</si>
  <si>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</si>
  <si>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</si>
  <si>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</si>
  <si>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</si>
  <si>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</si>
  <si>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</si>
  <si>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</si>
  <si>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</si>
  <si>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</si>
  <si>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</si>
  <si>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</si>
  <si>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</si>
  <si>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</si>
  <si>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</si>
  <si>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</si>
  <si>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</si>
  <si>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</si>
  <si>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</si>
  <si>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</si>
  <si>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</si>
  <si>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</si>
  <si>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</si>
  <si>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</si>
  <si>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</si>
  <si>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</si>
  <si>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</si>
  <si>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</si>
  <si>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</si>
  <si>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</si>
  <si>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</si>
  <si>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</si>
  <si>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</si>
  <si>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</si>
  <si>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</si>
  <si>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</si>
  <si>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</si>
  <si>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</si>
  <si>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</si>
  <si>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</si>
  <si>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</si>
  <si>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</si>
  <si>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</si>
  <si>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</si>
  <si>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</si>
  <si>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</si>
  <si>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</si>
  <si>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</si>
  <si>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</si>
  <si>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</si>
  <si>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</si>
  <si>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</si>
  <si>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</si>
  <si>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</si>
  <si>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</si>
  <si>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</si>
  <si>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</si>
  <si>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</si>
  <si>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</si>
  <si>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</si>
  <si>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</si>
  <si>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</si>
  <si>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</si>
  <si>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</si>
  <si>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</si>
  <si>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</si>
  <si>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</si>
  <si>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</si>
  <si>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</si>
  <si>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</si>
  <si>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</si>
  <si>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</si>
  <si>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</si>
  <si>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</si>
  <si>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</si>
  <si>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</si>
  <si>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</si>
  <si>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</si>
  <si>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</si>
  <si>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</si>
  <si>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</si>
  <si>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</si>
  <si>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</si>
  <si>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</si>
  <si>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</si>
  <si>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</si>
  <si>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</si>
  <si>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</si>
  <si>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</si>
  <si>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</si>
  <si>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</si>
  <si>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</si>
  <si>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</si>
  <si>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</si>
  <si>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</si>
  <si>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</si>
  <si>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</si>
  <si>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</si>
  <si>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</si>
  <si>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</si>
  <si>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</si>
  <si>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</si>
  <si>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</si>
  <si>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</si>
  <si>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</si>
  <si>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</si>
  <si>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</si>
  <si>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</si>
  <si>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</si>
  <si>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</si>
  <si>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</si>
  <si>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</si>
  <si>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</si>
  <si>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</si>
  <si>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</si>
  <si>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</si>
  <si>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</si>
  <si>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</si>
  <si>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</si>
  <si>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</si>
  <si>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</si>
  <si>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</si>
  <si>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</si>
  <si>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</si>
  <si>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</si>
  <si>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</si>
  <si>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</si>
  <si>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</si>
  <si>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</si>
  <si>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</si>
  <si>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</si>
  <si>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</si>
  <si>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</si>
  <si>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</si>
  <si>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</si>
  <si>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</si>
  <si>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</si>
  <si>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</si>
  <si>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</si>
  <si>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</si>
  <si>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</si>
  <si>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</si>
  <si>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</si>
  <si>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</si>
  <si>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</si>
  <si>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</si>
  <si>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</si>
  <si>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</si>
  <si>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</si>
  <si>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</si>
  <si>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</si>
  <si>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</si>
  <si>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</si>
  <si>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</si>
  <si>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</si>
  <si>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</si>
  <si>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</si>
  <si>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</si>
  <si>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</si>
  <si>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</si>
  <si>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</si>
  <si>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</si>
  <si>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</si>
  <si>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</si>
  <si>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</si>
  <si>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</si>
  <si>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</si>
  <si>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</si>
  <si>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</si>
  <si>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</si>
  <si>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</si>
  <si>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</si>
  <si>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</si>
  <si>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</si>
  <si>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</si>
  <si>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</si>
  <si>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</si>
  <si>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</si>
  <si>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</si>
  <si>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</si>
  <si>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</si>
  <si>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</si>
  <si>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</si>
  <si>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</si>
  <si>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</si>
  <si>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</si>
  <si>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</si>
  <si>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</si>
  <si>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</si>
  <si>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</si>
  <si>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</si>
  <si>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</si>
  <si>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</si>
  <si>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</si>
  <si>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</si>
  <si>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</si>
  <si>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</si>
  <si>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</si>
  <si>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</si>
  <si>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</si>
  <si>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</si>
  <si>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</si>
  <si>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</si>
  <si>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</si>
  <si>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</si>
  <si>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</si>
  <si>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</si>
  <si>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</si>
  <si>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</si>
  <si>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</si>
  <si>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</si>
  <si>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</si>
  <si>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</si>
  <si>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</si>
  <si>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</si>
  <si>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</si>
  <si>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</si>
  <si>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</si>
  <si>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</si>
  <si>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</si>
  <si>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</si>
  <si>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</si>
  <si>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</si>
  <si>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</si>
  <si>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</si>
  <si>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</si>
  <si>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</si>
  <si>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</si>
  <si>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</si>
  <si>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</si>
  <si>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</si>
  <si>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</si>
  <si>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</si>
  <si>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</si>
  <si>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</si>
  <si>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</si>
  <si>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</si>
  <si>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</si>
  <si>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</si>
  <si>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</si>
  <si>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</si>
  <si>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</si>
  <si>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</si>
  <si>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</si>
  <si>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</si>
  <si>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</si>
  <si>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</si>
  <si>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</si>
  <si>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</si>
  <si>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</si>
  <si>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</si>
  <si>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</si>
  <si>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</si>
  <si>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</si>
  <si>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</si>
  <si>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</si>
  <si>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</si>
  <si>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</si>
  <si>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</si>
  <si>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</si>
  <si>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</si>
  <si>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</si>
  <si>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</si>
  <si>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</si>
  <si>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</si>
  <si>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</si>
  <si>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</si>
  <si>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</si>
  <si>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</si>
  <si>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</si>
  <si>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</si>
  <si>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</si>
  <si>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</si>
  <si>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</si>
  <si>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</si>
  <si>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</si>
  <si>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</si>
  <si>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</si>
  <si>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</si>
  <si>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</si>
  <si>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</si>
  <si>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</si>
  <si>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</si>
  <si>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</si>
  <si>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</si>
  <si>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</si>
  <si>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</si>
  <si>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</si>
  <si>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</si>
  <si>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</si>
  <si>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</si>
  <si>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</si>
  <si>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</si>
  <si>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</si>
  <si>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</si>
  <si>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</si>
  <si>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</si>
  <si>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</si>
  <si>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</si>
  <si>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</si>
  <si>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</si>
  <si>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</si>
  <si>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</si>
  <si>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</si>
  <si>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</si>
  <si>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</si>
  <si>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</si>
  <si>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</si>
  <si>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</si>
  <si>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</si>
  <si>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</si>
  <si>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</si>
  <si>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</si>
  <si>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</si>
  <si>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</si>
  <si>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</si>
  <si>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</si>
  <si>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</si>
  <si>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</si>
  <si>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</si>
  <si>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</si>
  <si>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</si>
  <si>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</si>
  <si>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</si>
  <si>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</si>
  <si>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</si>
  <si>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</si>
  <si>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</si>
  <si>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</si>
  <si>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</si>
  <si>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</si>
  <si>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</si>
  <si>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</si>
  <si>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</si>
  <si>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</si>
  <si>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</si>
  <si>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</si>
  <si>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</si>
  <si>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</si>
  <si>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</si>
  <si>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</si>
  <si>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</si>
  <si>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</si>
  <si>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</si>
  <si>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</si>
  <si>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</si>
  <si>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</si>
  <si>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</si>
  <si>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</si>
  <si>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</si>
  <si>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</si>
  <si>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</si>
  <si>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</si>
  <si>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</si>
  <si>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</si>
  <si>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</si>
  <si>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</si>
  <si>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</si>
  <si>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</si>
  <si>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</si>
  <si>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</si>
  <si>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</si>
  <si>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</si>
  <si>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</si>
  <si>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</si>
  <si>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</si>
  <si>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</si>
  <si>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</si>
  <si>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</si>
  <si>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</si>
  <si>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</si>
  <si>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</si>
  <si>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</si>
  <si>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</si>
  <si>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</si>
  <si>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</si>
  <si>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</si>
  <si>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</si>
  <si>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</si>
  <si>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</si>
  <si>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</si>
  <si>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</si>
  <si>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</si>
  <si>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</si>
  <si>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</si>
  <si>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</si>
  <si>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</si>
  <si>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</si>
  <si>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</si>
  <si>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</si>
  <si>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</si>
  <si>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</si>
  <si>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</si>
  <si>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</si>
  <si>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</si>
  <si>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</si>
  <si>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</si>
  <si>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</si>
  <si>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</si>
  <si>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</si>
  <si>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</si>
  <si>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</si>
  <si>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</si>
  <si>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</si>
  <si>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</si>
  <si>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</si>
  <si>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</si>
  <si>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</si>
  <si>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</si>
  <si>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</si>
  <si>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</si>
  <si>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</si>
  <si>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</si>
  <si>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</si>
  <si>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</si>
  <si>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</si>
  <si>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</si>
  <si>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</si>
  <si>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</si>
  <si>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</si>
  <si>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</si>
  <si>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</si>
  <si>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</si>
  <si>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</si>
  <si>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</si>
  <si>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</si>
  <si>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</si>
  <si>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</si>
  <si>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</si>
  <si>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</si>
  <si>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</si>
  <si>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</si>
  <si>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</si>
  <si>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</si>
  <si>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</si>
  <si>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</si>
  <si>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</si>
  <si>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</si>
  <si>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</si>
  <si>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</si>
  <si>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</si>
  <si>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</si>
  <si>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</si>
  <si>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</si>
  <si>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</si>
  <si>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</si>
  <si>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</si>
  <si>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</si>
  <si>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</si>
  <si>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</si>
  <si>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</si>
  <si>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</si>
  <si>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</si>
  <si>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</si>
  <si>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</si>
  <si>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</si>
  <si>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</si>
  <si>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</si>
  <si>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</si>
  <si>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</si>
  <si>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</si>
  <si>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</si>
  <si>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</si>
  <si>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</si>
  <si>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</si>
  <si>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</si>
  <si>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</si>
  <si>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</si>
  <si>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</si>
  <si>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</si>
  <si>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</si>
  <si>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</si>
  <si>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</si>
  <si>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</si>
  <si>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</si>
  <si>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</si>
  <si>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</si>
  <si>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</si>
  <si>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</si>
  <si>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</si>
  <si>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</si>
  <si>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</si>
  <si>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</si>
  <si>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</si>
  <si>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</si>
  <si>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</si>
  <si>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</si>
  <si>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</si>
  <si>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</si>
  <si>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</si>
  <si>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</si>
  <si>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</si>
  <si>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</si>
  <si>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</si>
  <si>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</si>
  <si>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</si>
  <si>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</si>
  <si>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</si>
  <si>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</si>
  <si>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</si>
  <si>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</si>
  <si>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</si>
  <si>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</si>
  <si>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</si>
  <si>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</si>
  <si>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</si>
  <si>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</si>
  <si>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</si>
  <si>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</si>
  <si>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</si>
  <si>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</si>
  <si>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</si>
  <si>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</si>
  <si>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</si>
  <si>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</si>
  <si>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</si>
  <si>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</si>
  <si>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</si>
  <si>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</si>
  <si>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</si>
  <si>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</si>
  <si>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</si>
  <si>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</si>
  <si>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</si>
  <si>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</si>
  <si>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</si>
  <si>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</si>
  <si>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</si>
  <si>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</si>
  <si>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</si>
  <si>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</si>
  <si>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</si>
  <si>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</si>
  <si>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</si>
  <si>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</si>
  <si>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</si>
  <si>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</si>
  <si>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</si>
  <si>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</si>
  <si>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</si>
  <si>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</si>
  <si>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</si>
  <si>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</si>
  <si>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</si>
  <si>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</si>
  <si>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</si>
  <si>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</si>
  <si>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</si>
  <si>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</si>
  <si>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</si>
  <si>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</si>
  <si>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</si>
  <si>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</si>
  <si>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</si>
  <si>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</si>
  <si>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</si>
  <si>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</si>
  <si>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</si>
  <si>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</si>
  <si>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</si>
  <si>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</si>
  <si>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</si>
  <si>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</si>
  <si>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</si>
  <si>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</si>
  <si>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</si>
  <si>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</si>
  <si>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</si>
  <si>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</si>
  <si>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</si>
  <si>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</si>
  <si>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</si>
  <si>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</si>
  <si>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</si>
  <si>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</si>
  <si>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</si>
  <si>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</si>
  <si>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</si>
  <si>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</si>
  <si>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</si>
  <si>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</si>
  <si>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</si>
  <si>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</si>
  <si>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</si>
  <si>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</si>
  <si>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</si>
  <si>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</si>
  <si>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</si>
  <si>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</si>
  <si>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</si>
  <si>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</si>
  <si>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</si>
  <si>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</si>
  <si>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</si>
  <si>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</si>
  <si>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</si>
  <si>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</si>
  <si>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</si>
  <si>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</si>
  <si>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</si>
  <si>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</si>
  <si>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</si>
  <si>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</si>
  <si>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</si>
  <si>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</si>
  <si>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</si>
  <si>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</si>
  <si>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</si>
  <si>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</si>
  <si>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</si>
  <si>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</si>
  <si>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</si>
  <si>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</si>
  <si>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</si>
  <si>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</si>
  <si>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</si>
  <si>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</si>
  <si>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</si>
  <si>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</si>
  <si>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</si>
  <si>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</si>
  <si>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</si>
  <si>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</si>
  <si>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</si>
  <si>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</si>
  <si>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</si>
  <si>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</si>
  <si>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</si>
  <si>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</si>
  <si>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</si>
  <si>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</si>
  <si>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</si>
  <si>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</si>
  <si>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</si>
  <si>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</si>
  <si>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</si>
  <si>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</si>
  <si>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</si>
  <si>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</si>
  <si>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</si>
  <si>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</si>
  <si>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</si>
  <si>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</si>
  <si>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</si>
  <si>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</si>
  <si>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</si>
  <si>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</si>
  <si>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</si>
  <si>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</si>
  <si>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</si>
  <si>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</si>
  <si>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</si>
  <si>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</si>
  <si>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</si>
  <si>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</si>
  <si>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</si>
  <si>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</si>
  <si>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</si>
  <si>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</si>
  <si>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</si>
  <si>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</si>
  <si>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</si>
  <si>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</si>
  <si>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</si>
  <si>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</si>
  <si>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</si>
  <si>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</si>
  <si>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</si>
  <si>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</si>
  <si>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</si>
  <si>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</si>
  <si>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</si>
  <si>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</si>
  <si>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</si>
  <si>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</si>
  <si>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</si>
  <si>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</si>
  <si>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</si>
  <si>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</si>
  <si>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</si>
  <si>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</si>
  <si>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</si>
  <si>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</si>
  <si>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</si>
  <si>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</si>
  <si>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</si>
  <si>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</si>
  <si>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</si>
  <si>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</si>
  <si>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</si>
  <si>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</si>
  <si>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</si>
  <si>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</si>
  <si>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</si>
  <si>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</si>
  <si>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</si>
  <si>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</si>
  <si>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</si>
  <si>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</si>
  <si>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</si>
  <si>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</si>
  <si>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</si>
  <si>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</si>
  <si>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</si>
  <si>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</si>
  <si>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</si>
  <si>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</si>
  <si>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</si>
  <si>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</si>
  <si>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</si>
  <si>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</si>
  <si>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</si>
  <si>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</si>
  <si>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</si>
  <si>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</si>
  <si>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</si>
  <si>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</si>
  <si>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</si>
  <si>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</si>
  <si>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</si>
  <si>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</si>
  <si>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</si>
  <si>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</si>
  <si>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</si>
  <si>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</si>
  <si>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</si>
  <si>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</si>
  <si>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</si>
  <si>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</si>
  <si>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</si>
  <si>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</si>
  <si>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</si>
  <si>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</si>
  <si>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</si>
  <si>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</si>
  <si>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</si>
  <si>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</si>
  <si>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</si>
  <si>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</si>
  <si>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</si>
  <si>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</si>
  <si>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</si>
  <si>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</si>
  <si>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</si>
  <si>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</si>
  <si>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</si>
  <si>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</si>
  <si>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</si>
  <si>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</si>
  <si>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</si>
  <si>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</si>
  <si>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</si>
  <si>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</si>
  <si>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</si>
  <si>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</si>
  <si>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</si>
  <si>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</si>
  <si>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</si>
  <si>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</si>
  <si>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</si>
  <si>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</si>
  <si>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</si>
  <si>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</si>
  <si>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</si>
  <si>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</si>
  <si>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</si>
  <si>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</si>
  <si>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</si>
  <si>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</si>
  <si>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</si>
  <si>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</si>
  <si>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</si>
  <si>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</si>
  <si>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</si>
  <si>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</si>
  <si>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</si>
  <si>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</si>
  <si>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</si>
  <si>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</si>
  <si>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</si>
  <si>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</si>
  <si>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</si>
  <si>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</si>
  <si>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</si>
  <si>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</si>
  <si>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</si>
  <si>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</si>
  <si>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</si>
  <si>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</si>
  <si>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</si>
  <si>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</si>
  <si>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</si>
  <si>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</si>
  <si>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</si>
  <si>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</si>
  <si>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</si>
  <si>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</si>
  <si>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</si>
  <si>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</si>
  <si>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</si>
  <si>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</si>
  <si>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</si>
  <si>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</si>
  <si>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</si>
  <si>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</si>
  <si>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</si>
  <si>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</si>
  <si>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</si>
  <si>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</si>
  <si>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</si>
  <si>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</si>
  <si>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</si>
  <si>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</si>
  <si>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</si>
  <si>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</si>
  <si>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</si>
  <si>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</si>
  <si>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</si>
  <si>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</si>
  <si>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</si>
  <si>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</si>
  <si>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</si>
  <si>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</si>
  <si>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</si>
  <si>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</si>
  <si>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</si>
  <si>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</si>
  <si>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</si>
  <si>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</si>
  <si>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</si>
  <si>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</si>
  <si>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</si>
  <si>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</si>
  <si>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</si>
  <si>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</si>
  <si>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</si>
  <si>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</si>
  <si>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</si>
  <si>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</si>
  <si>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</si>
  <si>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</si>
  <si>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</si>
  <si>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</si>
  <si>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</si>
  <si>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</si>
  <si>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</si>
  <si>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</si>
  <si>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</si>
  <si>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</si>
  <si>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</si>
  <si>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</si>
  <si>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</si>
  <si>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</si>
  <si>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</si>
  <si>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</si>
  <si>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</si>
  <si>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</si>
  <si>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</si>
  <si>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</si>
  <si>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</si>
  <si>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</si>
  <si>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</si>
  <si>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</si>
  <si>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</si>
  <si>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</si>
  <si>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</si>
  <si>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</si>
  <si>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</si>
  <si>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</si>
  <si>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</si>
  <si>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</si>
  <si>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</si>
  <si>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</si>
  <si>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</si>
  <si>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</si>
  <si>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</si>
  <si>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</si>
  <si>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</si>
  <si>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</si>
  <si>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</si>
  <si>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</si>
  <si>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</si>
  <si>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</si>
  <si>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</si>
  <si>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</si>
  <si>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</si>
  <si>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</si>
  <si>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</si>
  <si>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</si>
  <si>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</si>
  <si>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</si>
  <si>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</si>
  <si>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</si>
  <si>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</si>
  <si>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</si>
  <si>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</si>
  <si>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</si>
  <si>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</si>
  <si>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</si>
  <si>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</si>
  <si>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</si>
  <si>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</si>
  <si>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</si>
  <si>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</si>
  <si>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</si>
  <si>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</si>
  <si>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</si>
  <si>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</si>
  <si>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</si>
  <si>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</si>
  <si>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</si>
  <si>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</si>
  <si>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</si>
  <si>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</si>
  <si>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</si>
  <si>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</si>
  <si>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</si>
  <si>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</si>
  <si>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</si>
  <si>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</si>
  <si>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</si>
  <si>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</si>
  <si>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</si>
  <si>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</si>
  <si>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</si>
  <si>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</si>
  <si>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</si>
  <si>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</si>
  <si>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</si>
  <si>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</si>
  <si>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</si>
  <si>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</si>
  <si>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</si>
  <si>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</si>
  <si>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</si>
  <si>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</si>
  <si>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</si>
  <si>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</si>
  <si>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</si>
  <si>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</si>
  <si>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</si>
  <si>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</si>
  <si>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</si>
  <si>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</si>
  <si>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</si>
  <si>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</si>
  <si>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</si>
  <si>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</si>
  <si>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</si>
  <si>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</si>
  <si>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</si>
  <si>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</si>
  <si>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</si>
  <si>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</si>
  <si>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</si>
  <si>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</si>
  <si>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</si>
  <si>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</si>
  <si>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</si>
  <si>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</si>
  <si>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</si>
  <si>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</si>
  <si>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</si>
  <si>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</si>
  <si>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</si>
  <si>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</si>
  <si>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</si>
  <si>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</si>
  <si>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</si>
  <si>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</si>
  <si>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</si>
  <si>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</si>
  <si>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</si>
  <si>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</si>
  <si>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</si>
  <si>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</si>
  <si>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</si>
  <si>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</si>
  <si>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</si>
  <si>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</si>
  <si>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</si>
  <si>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</si>
  <si>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</si>
  <si>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</si>
  <si>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</si>
  <si>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</si>
  <si>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</si>
  <si>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</si>
  <si>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</si>
  <si>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</si>
  <si>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</si>
  <si>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</si>
  <si>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</si>
  <si>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</si>
  <si>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</si>
  <si>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</si>
  <si>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</si>
  <si>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</si>
  <si>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</si>
  <si>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</si>
  <si>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</si>
  <si>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</si>
  <si>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</si>
  <si>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</si>
  <si>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</si>
  <si>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</si>
  <si>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</si>
  <si>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</si>
  <si>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</si>
  <si>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</si>
  <si>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</si>
  <si>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</si>
  <si>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</si>
  <si>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</si>
  <si>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</si>
  <si>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</si>
  <si>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</si>
  <si>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</si>
  <si>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</si>
  <si>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</si>
  <si>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</si>
  <si>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</si>
  <si>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</si>
  <si>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</si>
  <si>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</si>
  <si>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</si>
  <si>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</si>
  <si>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</si>
  <si>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</si>
  <si>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</si>
  <si>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</si>
  <si>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</si>
  <si>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</si>
  <si>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</si>
  <si>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</si>
  <si>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</si>
  <si>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</si>
  <si>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</si>
  <si>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</si>
  <si>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</si>
  <si>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</si>
  <si>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</si>
  <si>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</si>
  <si>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</si>
  <si>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</si>
  <si>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</si>
  <si>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</si>
  <si>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</si>
  <si>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</si>
  <si>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</si>
  <si>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</si>
  <si>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</si>
  <si>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</si>
  <si>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</si>
  <si>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</si>
  <si>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</si>
  <si>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</si>
  <si>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</si>
  <si>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</si>
  <si>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</si>
  <si>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</si>
  <si>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</si>
  <si>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</si>
  <si>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</si>
  <si>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</si>
  <si>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</si>
  <si>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</si>
  <si>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</si>
  <si>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</si>
  <si>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</si>
  <si>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</si>
  <si>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</si>
  <si>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</si>
  <si>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</si>
  <si>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</si>
  <si>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</si>
  <si>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</si>
  <si>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</si>
  <si>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</si>
  <si>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</si>
  <si>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</si>
  <si>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</si>
  <si>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</si>
  <si>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</si>
  <si>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</si>
  <si>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</si>
  <si>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</si>
  <si>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</si>
  <si>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</si>
  <si>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</si>
  <si>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</si>
  <si>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</si>
  <si>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</si>
  <si>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</si>
  <si>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</si>
  <si>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</si>
  <si>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</si>
  <si>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</si>
  <si>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</si>
  <si>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</si>
  <si>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</si>
  <si>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</si>
  <si>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</si>
  <si>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</si>
  <si>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</si>
  <si>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</si>
  <si>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</si>
  <si>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</si>
  <si>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</si>
  <si>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</si>
  <si>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</si>
  <si>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</si>
  <si>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</si>
  <si>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</si>
  <si>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</si>
  <si>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</si>
  <si>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</si>
  <si>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</si>
  <si>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</si>
  <si>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</si>
  <si>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</si>
  <si>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</si>
  <si>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</si>
  <si>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</si>
  <si>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</si>
  <si>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</si>
  <si>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</si>
  <si>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</si>
  <si>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</si>
  <si>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</si>
  <si>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</si>
  <si>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</si>
  <si>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</si>
  <si>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</si>
  <si>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</si>
  <si>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</si>
  <si>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</si>
  <si>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</si>
  <si>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</si>
  <si>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</si>
  <si>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</si>
  <si>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</si>
  <si>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</si>
  <si>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</si>
  <si>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</si>
  <si>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</si>
  <si>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</si>
  <si>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</si>
  <si>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</si>
  <si>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</si>
  <si>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</si>
  <si>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</si>
  <si>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</si>
  <si>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</si>
  <si>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</si>
  <si>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</si>
  <si>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</si>
  <si>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</si>
  <si>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</si>
  <si>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</si>
  <si>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</si>
  <si>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</si>
  <si>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</si>
  <si>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</si>
  <si>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</si>
  <si>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</si>
  <si>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</si>
  <si>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</si>
  <si>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</si>
  <si>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</si>
  <si>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</si>
  <si>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</si>
  <si>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</si>
  <si>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</si>
  <si>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</si>
  <si>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</si>
  <si>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</si>
  <si>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</si>
  <si>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</si>
  <si>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</si>
  <si>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</si>
  <si>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</si>
  <si>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</si>
  <si>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</si>
  <si>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</si>
  <si>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</si>
  <si>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</si>
  <si>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</si>
  <si>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</si>
  <si>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</si>
  <si>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</si>
  <si>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</si>
  <si>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</si>
  <si>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</si>
  <si>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</si>
  <si>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</si>
  <si>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</si>
  <si>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</si>
  <si>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</si>
  <si>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</si>
  <si>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</si>
  <si>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</si>
  <si>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</si>
  <si>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</si>
  <si>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</si>
  <si>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</si>
  <si>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</si>
  <si>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</si>
  <si>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</si>
  <si>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</si>
  <si>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</si>
  <si>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</si>
  <si>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</si>
  <si>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</si>
  <si>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</si>
  <si>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</si>
  <si>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</si>
  <si>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</si>
  <si>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</si>
  <si>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</si>
  <si>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</si>
  <si>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</si>
  <si>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</si>
  <si>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</si>
  <si>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</si>
  <si>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</si>
  <si>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</si>
  <si>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</si>
  <si>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</si>
  <si>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</si>
  <si>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</si>
  <si>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</si>
  <si>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</si>
  <si>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</si>
  <si>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</si>
  <si>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</si>
  <si>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</si>
  <si>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</si>
  <si>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</si>
  <si>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</si>
  <si>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</si>
  <si>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</si>
  <si>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</si>
  <si>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</si>
  <si>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</si>
  <si>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</si>
  <si>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</si>
  <si>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</si>
  <si>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</si>
  <si>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</si>
  <si>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</si>
  <si>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</si>
  <si>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</si>
  <si>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</si>
  <si>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</si>
  <si>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</si>
  <si>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</si>
  <si>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</si>
  <si>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</si>
  <si>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</si>
  <si>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</si>
  <si>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</si>
  <si>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</si>
  <si>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</si>
  <si>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</si>
  <si>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</si>
  <si>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</si>
  <si>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</si>
  <si>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</si>
  <si>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</si>
  <si>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</si>
  <si>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</si>
  <si>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</si>
  <si>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</si>
  <si>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</si>
  <si>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</si>
  <si>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</si>
  <si>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</si>
  <si>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</si>
  <si>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</si>
  <si>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</si>
  <si>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</si>
  <si>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</si>
  <si>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</si>
  <si>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</si>
  <si>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</si>
  <si>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</si>
  <si>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</si>
  <si>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</si>
  <si>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</si>
  <si>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</si>
  <si>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</si>
  <si>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</si>
  <si>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</si>
  <si>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</si>
  <si>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</si>
  <si>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</si>
  <si>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</si>
  <si>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</si>
  <si>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</si>
  <si>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</si>
  <si>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</si>
  <si>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</si>
  <si>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</si>
  <si>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</si>
  <si>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</si>
  <si>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</si>
  <si>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</si>
  <si>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</si>
  <si>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</si>
  <si>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</si>
  <si>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</si>
  <si>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</si>
  <si>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</si>
  <si>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</si>
  <si>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</si>
  <si>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</si>
  <si>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</si>
  <si>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</si>
  <si>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</si>
  <si>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</si>
  <si>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</si>
  <si>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</si>
  <si>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</si>
  <si>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</si>
  <si>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</si>
  <si>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</si>
  <si>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</si>
  <si>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</si>
  <si>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</si>
  <si>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</si>
  <si>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</si>
  <si>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</si>
  <si>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</si>
  <si>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</si>
  <si>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</si>
  <si>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</si>
  <si>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</si>
  <si>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</si>
  <si>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</si>
  <si>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</si>
  <si>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</si>
  <si>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</si>
  <si>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</si>
  <si>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</si>
  <si>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</si>
  <si>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</si>
  <si>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</si>
  <si>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</si>
  <si>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</si>
  <si>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</si>
  <si>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</si>
  <si>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</si>
  <si>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</si>
  <si>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</si>
  <si>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</si>
  <si>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</si>
  <si>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</si>
  <si>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</si>
  <si>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</si>
  <si>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</si>
  <si>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</si>
  <si>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</si>
  <si>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</si>
  <si>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</si>
  <si>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</si>
  <si>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</si>
  <si>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</si>
  <si>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</si>
  <si>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</si>
  <si>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</si>
  <si>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</si>
  <si>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</si>
  <si>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</si>
  <si>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</si>
  <si>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</si>
  <si>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</si>
  <si>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</si>
  <si>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</si>
  <si>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</si>
  <si>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</si>
  <si>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</si>
  <si>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</si>
  <si>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</si>
  <si>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</si>
  <si>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</si>
  <si>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</si>
  <si>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</si>
  <si>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</si>
  <si>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</si>
  <si>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</si>
  <si>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</si>
  <si>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</si>
  <si>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</si>
  <si>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</si>
  <si>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</si>
  <si>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</si>
  <si>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</si>
  <si>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</si>
  <si>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</si>
  <si>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</si>
  <si>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</si>
  <si>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</si>
  <si>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</si>
  <si>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</si>
  <si>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</si>
  <si>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</si>
  <si>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</si>
  <si>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</si>
  <si>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</si>
  <si>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</si>
  <si>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</si>
  <si>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</si>
  <si>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</si>
  <si>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</si>
  <si>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</si>
  <si>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</si>
  <si>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</si>
  <si>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</si>
  <si>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</si>
  <si>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</si>
  <si>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</si>
  <si>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</si>
  <si>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</si>
  <si>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</si>
  <si>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</si>
  <si>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</si>
  <si>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</si>
  <si>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</si>
  <si>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</si>
  <si>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</si>
  <si>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</si>
  <si>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</si>
  <si>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</si>
  <si>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</si>
  <si>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</si>
  <si>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</si>
  <si>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</si>
  <si>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</si>
  <si>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</si>
  <si>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</si>
  <si>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</si>
  <si>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</si>
  <si>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</si>
  <si>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</si>
  <si>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</si>
  <si>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</si>
  <si>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</si>
  <si>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</si>
  <si>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</si>
  <si>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</si>
  <si>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</si>
  <si>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</si>
  <si>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</si>
  <si>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</si>
  <si>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</si>
  <si>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</si>
  <si>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</si>
  <si>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</si>
  <si>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</si>
  <si>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</si>
  <si>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</si>
  <si>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</si>
  <si>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</si>
  <si>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</si>
  <si>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</si>
  <si>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</si>
  <si>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</si>
  <si>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</si>
  <si>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</si>
  <si>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</si>
  <si>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</si>
  <si>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</si>
  <si>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</si>
  <si>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</si>
  <si>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</si>
  <si>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</si>
  <si>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</si>
  <si>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</si>
  <si>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</si>
  <si>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</si>
  <si>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</si>
  <si>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</si>
  <si>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</si>
  <si>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</si>
  <si>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</si>
  <si>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</si>
  <si>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</si>
  <si>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</si>
  <si>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</si>
  <si>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</si>
  <si>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</si>
  <si>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</si>
  <si>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</si>
  <si>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</si>
  <si>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</si>
  <si>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</si>
  <si>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</si>
  <si>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</si>
  <si>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</si>
  <si>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</si>
  <si>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</si>
  <si>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</si>
  <si>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</si>
  <si>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</si>
  <si>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</si>
  <si>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</si>
  <si>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</si>
  <si>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</si>
  <si>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</si>
  <si>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</si>
  <si>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</si>
  <si>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</si>
  <si>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</si>
  <si>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</si>
  <si>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</si>
  <si>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</si>
  <si>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</si>
  <si>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</si>
  <si>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</si>
  <si>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</si>
  <si>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</si>
  <si>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</si>
  <si>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</si>
  <si>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</si>
  <si>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</si>
  <si>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</si>
  <si>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</si>
  <si>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</si>
  <si>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</si>
  <si>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</si>
  <si>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</si>
  <si>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</si>
  <si>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</si>
  <si>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</si>
  <si>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</si>
  <si>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</si>
  <si>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</si>
  <si>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</si>
  <si>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</si>
  <si>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</si>
  <si>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</si>
  <si>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</si>
  <si>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</si>
  <si>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</si>
  <si>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</si>
  <si>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</si>
  <si>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</si>
  <si>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</si>
  <si>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</si>
  <si>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</si>
  <si>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</si>
  <si>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</si>
  <si>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</si>
  <si>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</si>
  <si>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</si>
  <si>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</si>
  <si>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</si>
  <si>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</si>
  <si>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</si>
  <si>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</si>
  <si>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</si>
  <si>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</si>
  <si>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</si>
  <si>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</si>
  <si>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</si>
  <si>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</si>
  <si>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</si>
  <si>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</si>
  <si>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</si>
  <si>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</si>
  <si>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</si>
  <si>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</si>
  <si>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</si>
  <si>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</si>
  <si>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</si>
  <si>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</si>
  <si>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</si>
  <si>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</si>
  <si>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</si>
  <si>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</si>
  <si>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</si>
  <si>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</si>
  <si>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</si>
  <si>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</si>
  <si>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</si>
  <si>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</si>
  <si>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</si>
  <si>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</si>
  <si>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</si>
  <si>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</si>
  <si>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</si>
  <si>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</si>
  <si>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</si>
  <si>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</si>
  <si>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</si>
  <si>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</si>
  <si>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</si>
  <si>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</si>
  <si>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</si>
  <si>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</si>
  <si>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</si>
  <si>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</si>
  <si>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</si>
  <si>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</si>
  <si>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</si>
  <si>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</si>
  <si>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</si>
  <si>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</si>
  <si>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</si>
  <si>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</si>
  <si>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</si>
  <si>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</si>
  <si>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</si>
  <si>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</si>
  <si>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</si>
  <si>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</si>
  <si>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</si>
  <si>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</si>
  <si>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</si>
  <si>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</si>
  <si>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</si>
  <si>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</si>
  <si>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</si>
  <si>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</si>
  <si>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</si>
  <si>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</si>
  <si>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</si>
  <si>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</si>
  <si>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</si>
  <si>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</si>
  <si>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</si>
  <si>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</si>
  <si>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</si>
  <si>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</si>
  <si>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</si>
  <si>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</si>
  <si>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</si>
  <si>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</si>
  <si>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</si>
  <si>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</si>
  <si>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</si>
  <si>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</si>
  <si>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</si>
  <si>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</si>
  <si>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</si>
  <si>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</si>
  <si>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</si>
  <si>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</si>
  <si>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</si>
  <si>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</si>
  <si>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</si>
  <si>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</si>
  <si>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</si>
  <si>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</si>
  <si>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</si>
  <si>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</si>
  <si>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</si>
  <si>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</si>
  <si>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</si>
  <si>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</si>
  <si>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</si>
  <si>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</si>
  <si>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</si>
  <si>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</si>
  <si>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</si>
  <si>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</si>
  <si>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</si>
  <si>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</si>
  <si>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</si>
  <si>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</si>
  <si>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</si>
  <si>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</si>
  <si>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</si>
  <si>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</si>
  <si>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</si>
  <si>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</si>
  <si>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</si>
  <si>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</si>
  <si>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</si>
  <si>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</si>
  <si>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</si>
  <si>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</si>
  <si>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</si>
  <si>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</si>
  <si>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</si>
  <si>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</si>
  <si>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</si>
  <si>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</si>
  <si>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</si>
  <si>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</si>
  <si>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</si>
  <si>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</si>
  <si>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</si>
  <si>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</si>
  <si>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</si>
  <si>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</si>
  <si>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</si>
  <si>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</si>
  <si>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</si>
  <si>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</si>
  <si>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</si>
  <si>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</si>
  <si>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</si>
  <si>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</si>
  <si>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</si>
  <si>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</si>
  <si>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</si>
  <si>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</si>
  <si>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</si>
  <si>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</si>
  <si>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</si>
  <si>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</si>
  <si>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</si>
  <si>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</si>
  <si>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</si>
  <si>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</si>
  <si>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</si>
  <si>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</si>
  <si>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</si>
  <si>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</si>
  <si>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</si>
  <si>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</si>
  <si>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</si>
  <si>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</si>
  <si>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</si>
  <si>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</si>
  <si>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</si>
  <si>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</si>
  <si>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</si>
  <si>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</si>
  <si>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</si>
  <si>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</si>
  <si>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</si>
  <si>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</si>
  <si>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</si>
  <si>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</si>
  <si>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</si>
  <si>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</si>
  <si>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</si>
  <si>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</si>
  <si>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</si>
  <si>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</si>
  <si>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</si>
  <si>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</si>
  <si>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</si>
  <si>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</si>
  <si>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</si>
  <si>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</si>
  <si>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</si>
  <si>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</si>
  <si>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</si>
  <si>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</si>
  <si>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</si>
  <si>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</si>
  <si>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</si>
  <si>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</si>
  <si>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</si>
  <si>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</si>
  <si>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</si>
  <si>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</si>
  <si>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</si>
  <si>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</si>
  <si>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</si>
  <si>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</si>
  <si>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</si>
  <si>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</si>
  <si>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</si>
  <si>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</si>
  <si>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</si>
  <si>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</si>
  <si>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</si>
  <si>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</si>
  <si>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</si>
  <si>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</si>
  <si>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</si>
  <si>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</si>
  <si>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</si>
  <si>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</si>
  <si>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</si>
  <si>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</si>
  <si>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</si>
  <si>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</si>
  <si>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</si>
  <si>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</si>
  <si>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</si>
  <si>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</si>
  <si>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</si>
  <si>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</si>
  <si>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</si>
  <si>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</si>
  <si>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</si>
  <si>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</si>
  <si>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</si>
  <si>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</si>
  <si>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</si>
  <si>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</si>
  <si>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</si>
  <si>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</si>
  <si>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</si>
  <si>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</si>
  <si>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</si>
  <si>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</si>
  <si>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</si>
  <si>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</si>
  <si>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</si>
  <si>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</si>
  <si>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</si>
  <si>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</si>
  <si>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</si>
  <si>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</si>
  <si>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</si>
  <si>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</si>
  <si>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</si>
  <si>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</si>
  <si>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</si>
  <si>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</si>
  <si>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</si>
  <si>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</si>
  <si>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</si>
  <si>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</si>
  <si>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</si>
  <si>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</si>
  <si>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</si>
  <si>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</si>
  <si>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</si>
  <si>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</si>
  <si>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</si>
  <si>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</si>
  <si>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</si>
  <si>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</si>
  <si>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</si>
  <si>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</si>
  <si>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</si>
  <si>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</si>
  <si>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</si>
  <si>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</si>
  <si>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</si>
  <si>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</si>
  <si>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</si>
  <si>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</si>
  <si>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</si>
  <si>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</si>
  <si>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</si>
  <si>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</si>
  <si>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</si>
  <si>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</si>
  <si>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</si>
  <si>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</si>
  <si>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</si>
  <si>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</si>
  <si>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</si>
  <si>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</si>
  <si>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</si>
  <si>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</si>
  <si>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</si>
  <si>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</si>
  <si>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</si>
  <si>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</si>
  <si>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</si>
  <si>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</si>
  <si>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</si>
  <si>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</si>
  <si>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</si>
  <si>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</si>
  <si>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</si>
  <si>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</si>
  <si>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</si>
  <si>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</si>
  <si>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</si>
  <si>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</si>
  <si>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</si>
  <si>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</si>
  <si>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</si>
  <si>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</si>
  <si>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</si>
  <si>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</si>
  <si>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</si>
  <si>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</si>
  <si>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</si>
  <si>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</si>
  <si>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</si>
  <si>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</si>
  <si>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</si>
  <si>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</si>
  <si>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</si>
  <si>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</si>
  <si>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</si>
  <si>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</si>
  <si>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</si>
  <si>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</si>
  <si>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</si>
  <si>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</si>
  <si>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</si>
  <si>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</si>
  <si>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</si>
  <si>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</si>
  <si>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</si>
  <si>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</si>
  <si>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</si>
  <si>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</si>
  <si>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</si>
  <si>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</si>
  <si>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</si>
  <si>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</si>
  <si>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</si>
  <si>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</si>
  <si>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</si>
  <si>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</si>
  <si>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</si>
  <si>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</si>
  <si>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</si>
  <si>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</si>
  <si>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</si>
  <si>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</si>
  <si>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</si>
  <si>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</si>
  <si>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</si>
  <si>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</si>
  <si>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</si>
  <si>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</si>
  <si>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</si>
  <si>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</si>
  <si>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</si>
  <si>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</si>
  <si>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</si>
  <si>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</si>
  <si>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</si>
  <si>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</si>
  <si>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</si>
  <si>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</si>
  <si>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</si>
  <si>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</si>
  <si>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</si>
  <si>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</si>
  <si>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</si>
  <si>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</si>
  <si>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</si>
  <si>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</si>
  <si>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</si>
  <si>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</si>
  <si>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</si>
  <si>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</si>
  <si>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</si>
  <si>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</si>
  <si>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</si>
  <si>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</si>
  <si>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</si>
  <si>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</si>
  <si>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</si>
  <si>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</si>
  <si>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</si>
  <si>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</si>
  <si>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</si>
  <si>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</si>
  <si>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</si>
  <si>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</si>
  <si>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</si>
  <si>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</si>
  <si>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</si>
  <si>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</si>
  <si>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</si>
  <si>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</si>
  <si>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</si>
  <si>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</si>
  <si>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</si>
  <si>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</si>
  <si>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</si>
  <si>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</si>
  <si>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</si>
  <si>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</si>
  <si>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</si>
  <si>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</si>
  <si>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</si>
  <si>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</si>
  <si>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</si>
  <si>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</si>
  <si>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</si>
  <si>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</si>
  <si>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</si>
  <si>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</si>
  <si>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</si>
  <si>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</si>
  <si>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</si>
  <si>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</si>
  <si>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</si>
  <si>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</si>
  <si>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</si>
  <si>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</si>
  <si>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</si>
  <si>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</si>
  <si>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</si>
  <si>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</si>
  <si>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</si>
  <si>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</si>
  <si>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</si>
  <si>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</si>
  <si>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</si>
  <si>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</si>
  <si>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</si>
  <si>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</si>
  <si>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</si>
  <si>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</si>
  <si>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</si>
  <si>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</si>
  <si>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</si>
  <si>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</si>
  <si>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</si>
  <si>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</si>
  <si>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</si>
  <si>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</si>
  <si>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</si>
  <si>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</si>
  <si>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</si>
  <si>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</si>
  <si>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</si>
  <si>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</si>
  <si>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</si>
  <si>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</si>
  <si>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</si>
  <si>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</si>
  <si>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</si>
  <si>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</si>
  <si>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</si>
  <si>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</si>
  <si>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</si>
  <si>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</si>
  <si>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</si>
  <si>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</si>
  <si>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</si>
  <si>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</si>
  <si>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</si>
  <si>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</si>
  <si>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</si>
  <si>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</si>
  <si>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</si>
  <si>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</si>
  <si>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</si>
  <si>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</si>
  <si>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</si>
  <si>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</si>
  <si>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</si>
  <si>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</si>
  <si>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</si>
  <si>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</si>
  <si>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</si>
  <si>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</si>
  <si>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</si>
  <si>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</si>
  <si>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</si>
  <si>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</si>
  <si>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</si>
  <si>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</si>
  <si>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</si>
  <si>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</si>
  <si>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</si>
  <si>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</si>
  <si>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</si>
  <si>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</si>
  <si>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</si>
  <si>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</si>
  <si>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</si>
  <si>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</si>
  <si>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</si>
  <si>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</si>
  <si>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</si>
  <si>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</si>
  <si>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</si>
  <si>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</si>
  <si>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</si>
  <si>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</si>
  <si>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</si>
  <si>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</si>
  <si>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</si>
  <si>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</si>
  <si>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</si>
  <si>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</si>
  <si>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</si>
  <si>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</si>
  <si>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</si>
  <si>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</si>
  <si>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</si>
  <si>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</si>
  <si>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</si>
  <si>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</si>
  <si>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</si>
  <si>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</si>
  <si>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</si>
  <si>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</si>
  <si>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</si>
  <si>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</si>
  <si>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</si>
  <si>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</si>
  <si>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</si>
  <si>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</si>
  <si>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</si>
  <si>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</si>
  <si>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</si>
  <si>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</si>
  <si>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</si>
  <si>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</si>
  <si>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</si>
  <si>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</si>
  <si>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</si>
  <si>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</si>
  <si>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</si>
  <si>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</si>
  <si>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</si>
  <si>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</si>
  <si>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</si>
  <si>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</si>
  <si>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</si>
  <si>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</si>
  <si>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</si>
  <si>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</si>
  <si>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</si>
  <si>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</si>
  <si>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</si>
  <si>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</si>
  <si>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</si>
  <si>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</si>
  <si>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</si>
  <si>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</si>
  <si>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</si>
  <si>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</si>
  <si>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</si>
  <si>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</si>
  <si>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</si>
  <si>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</si>
  <si>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</si>
  <si>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</si>
  <si>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</si>
  <si>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</si>
  <si>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</si>
  <si>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</si>
  <si>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</si>
  <si>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</si>
  <si>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</si>
  <si>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</si>
  <si>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</si>
  <si>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</si>
  <si>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</si>
  <si>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</si>
  <si>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</si>
  <si>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</si>
  <si>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</si>
  <si>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</si>
  <si>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</si>
  <si>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</si>
  <si>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</si>
  <si>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</si>
  <si>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</si>
  <si>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</si>
  <si>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</si>
  <si>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</si>
  <si>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</si>
  <si>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</si>
  <si>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</si>
  <si>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</si>
  <si>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</si>
  <si>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</si>
  <si>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</si>
  <si>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</si>
  <si>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</si>
  <si>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</si>
  <si>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</si>
  <si>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</si>
  <si>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</si>
  <si>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</si>
  <si>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</si>
  <si>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</si>
  <si>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</si>
  <si>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</si>
  <si>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</si>
  <si>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</si>
  <si>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</si>
  <si>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</si>
  <si>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</si>
  <si>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</si>
  <si>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</si>
  <si>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</si>
  <si>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</si>
  <si>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</si>
  <si>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</si>
  <si>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</si>
  <si>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</si>
  <si>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</si>
  <si>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</si>
  <si>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</si>
  <si>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</si>
  <si>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</si>
  <si>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</si>
  <si>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</si>
  <si>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</si>
  <si>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</si>
  <si>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</si>
  <si>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</si>
  <si>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</si>
  <si>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</si>
  <si>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</si>
  <si>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</si>
  <si>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</si>
  <si>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</si>
  <si>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</si>
  <si>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</si>
  <si>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</si>
  <si>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</si>
  <si>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</si>
  <si>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</si>
  <si>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</si>
  <si>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</si>
  <si>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</si>
  <si>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</si>
  <si>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</si>
  <si>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</si>
  <si>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</si>
  <si>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</si>
  <si>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</si>
  <si>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</si>
  <si>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</si>
  <si>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</si>
  <si>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</si>
  <si>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</si>
  <si>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</si>
  <si>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</si>
  <si>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</si>
  <si>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</si>
  <si>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</si>
  <si>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</si>
  <si>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</si>
  <si>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</si>
  <si>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</si>
  <si>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</si>
  <si>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</si>
  <si>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</si>
  <si>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</si>
  <si>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</si>
  <si>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</si>
  <si>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</si>
  <si>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</si>
  <si>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</si>
  <si>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</si>
  <si>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</si>
  <si>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</si>
  <si>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</si>
  <si>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</si>
  <si>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</si>
  <si>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</si>
  <si>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</si>
  <si>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</si>
  <si>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</si>
  <si>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</si>
  <si>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</si>
  <si>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</si>
  <si>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</si>
  <si>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</si>
  <si>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</si>
  <si>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</si>
  <si>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</si>
  <si>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</si>
  <si>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</si>
  <si>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</si>
  <si>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</si>
  <si>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</si>
  <si>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</si>
  <si>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</si>
  <si>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</si>
  <si>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</si>
  <si>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</si>
  <si>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</si>
  <si>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</si>
  <si>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</si>
  <si>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</si>
  <si>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</si>
  <si>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2017-18 HB3646</t>
  </si>
  <si>
    <t xml:space="preserve">    payment in on the EDA Payment Ledger.</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</si>
  <si>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</si>
  <si>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</si>
  <si>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</si>
  <si>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</si>
  <si>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</si>
  <si>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</si>
  <si>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</si>
  <si>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</si>
  <si>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</si>
  <si>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</si>
  <si>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</si>
  <si>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</si>
  <si>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</si>
  <si>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</si>
  <si>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</si>
  <si>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</si>
  <si>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</si>
  <si>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</si>
  <si>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</si>
  <si>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</si>
  <si>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</si>
  <si>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</si>
  <si>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</si>
  <si>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</si>
  <si>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</si>
  <si>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</si>
  <si>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</si>
  <si>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</si>
  <si>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</si>
  <si>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</si>
  <si>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</si>
  <si>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</si>
  <si>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</si>
  <si>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</si>
  <si>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T4 @ $25K</t>
  </si>
  <si>
    <t>T10 @ $25K</t>
  </si>
  <si>
    <t>T3 @ $15K</t>
  </si>
  <si>
    <t>T9 @ $15K</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</si>
  <si>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</si>
  <si>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</si>
  <si>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</si>
  <si>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</si>
  <si>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</si>
  <si>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</si>
  <si>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</si>
  <si>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</si>
  <si>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</si>
  <si>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</si>
  <si>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</si>
  <si>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</si>
  <si>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</si>
  <si>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</si>
  <si>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</si>
  <si>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2017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</si>
  <si>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</si>
  <si>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</si>
  <si>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</si>
  <si>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</si>
  <si>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</si>
  <si>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</si>
  <si>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</si>
  <si>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</si>
  <si>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</si>
  <si>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</si>
  <si>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</si>
  <si>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</si>
  <si>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</si>
  <si>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</si>
  <si>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</si>
  <si>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</si>
  <si>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</si>
  <si>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</si>
  <si>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</si>
  <si>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</si>
  <si>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</si>
  <si>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</si>
  <si>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</si>
  <si>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</si>
  <si>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</si>
  <si>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</si>
  <si>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</si>
  <si>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</si>
  <si>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</si>
  <si>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</si>
  <si>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</si>
  <si>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</si>
  <si>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</si>
  <si>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</si>
  <si>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</si>
  <si>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</si>
  <si>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</si>
  <si>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</si>
  <si>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</si>
  <si>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</si>
  <si>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</si>
  <si>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</si>
  <si>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</si>
  <si>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</si>
  <si>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</si>
  <si>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</si>
  <si>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</si>
  <si>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</si>
  <si>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</si>
  <si>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</si>
  <si>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</si>
  <si>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</si>
  <si>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</si>
  <si>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</si>
  <si>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</si>
  <si>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</si>
  <si>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</si>
  <si>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</si>
  <si>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</si>
  <si>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</si>
  <si>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</si>
  <si>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</si>
  <si>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</si>
  <si>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</si>
  <si>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</si>
  <si>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</si>
  <si>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</si>
  <si>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</si>
  <si>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</si>
  <si>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</si>
  <si>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</si>
  <si>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</si>
  <si>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</si>
  <si>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</si>
  <si>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</si>
  <si>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</si>
  <si>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</si>
  <si>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</si>
  <si>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</si>
  <si>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</si>
  <si>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</si>
  <si>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</si>
  <si>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</si>
  <si>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</si>
  <si>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</si>
  <si>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</si>
  <si>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</si>
  <si>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</si>
  <si>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</si>
  <si>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</si>
  <si>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</si>
  <si>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</si>
  <si>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</si>
  <si>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</si>
  <si>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</si>
  <si>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</si>
  <si>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</si>
  <si>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</si>
  <si>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</si>
  <si>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</si>
  <si>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</si>
  <si>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</si>
  <si>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</si>
  <si>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</si>
  <si>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</si>
  <si>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</si>
  <si>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</si>
  <si>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</si>
  <si>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</si>
  <si>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</si>
  <si>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</si>
  <si>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</si>
  <si>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</si>
  <si>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</si>
  <si>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</si>
  <si>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</si>
  <si>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</si>
  <si>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</si>
  <si>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</si>
  <si>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</si>
  <si>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</si>
  <si>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</si>
  <si>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</si>
  <si>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</si>
  <si>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</si>
  <si>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</si>
  <si>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</si>
  <si>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</si>
  <si>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</si>
  <si>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</si>
  <si>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</si>
  <si>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</si>
  <si>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</si>
  <si>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</si>
  <si>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</si>
  <si>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</si>
  <si>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</si>
  <si>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</si>
  <si>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</si>
  <si>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</si>
  <si>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</si>
  <si>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</si>
  <si>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</si>
  <si>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</si>
  <si>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</si>
  <si>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</si>
  <si>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</si>
  <si>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</si>
  <si>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</si>
  <si>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</si>
  <si>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</si>
  <si>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</si>
  <si>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</si>
  <si>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</si>
  <si>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</si>
  <si>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</si>
  <si>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</si>
  <si>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</si>
  <si>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</si>
  <si>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</si>
  <si>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</si>
  <si>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</si>
  <si>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</si>
  <si>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</si>
  <si>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</si>
  <si>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</si>
  <si>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</si>
  <si>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</si>
  <si>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</si>
  <si>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</si>
  <si>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</si>
  <si>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</si>
  <si>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</si>
  <si>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</si>
  <si>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</si>
  <si>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</si>
  <si>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</si>
  <si>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</si>
  <si>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</si>
  <si>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</si>
  <si>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</si>
  <si>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</si>
  <si>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</si>
  <si>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</si>
  <si>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</si>
  <si>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</si>
  <si>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</si>
  <si>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</si>
  <si>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</si>
  <si>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</si>
  <si>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</si>
  <si>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</si>
  <si>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</si>
  <si>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</si>
  <si>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</si>
  <si>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</si>
  <si>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</si>
  <si>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</si>
  <si>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</si>
  <si>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</si>
  <si>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</si>
  <si>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</si>
  <si>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</si>
  <si>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</si>
  <si>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</si>
  <si>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</si>
  <si>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</si>
  <si>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</si>
  <si>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</si>
  <si>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</si>
  <si>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</si>
  <si>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</si>
  <si>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</si>
  <si>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</si>
  <si>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</si>
  <si>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</si>
  <si>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</si>
  <si>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</si>
  <si>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</si>
  <si>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</si>
  <si>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</si>
  <si>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</si>
  <si>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</si>
  <si>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</si>
  <si>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</si>
  <si>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</si>
  <si>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</si>
  <si>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</si>
  <si>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</si>
  <si>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</si>
  <si>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</si>
  <si>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</si>
  <si>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</si>
  <si>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</si>
  <si>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</si>
  <si>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2020 TAX</t>
  </si>
  <si>
    <t>Certified Excess 2017 Debt Collections</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</si>
  <si>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</si>
  <si>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</si>
  <si>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</si>
  <si>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</si>
  <si>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</si>
  <si>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</si>
  <si>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</si>
  <si>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</si>
  <si>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</si>
  <si>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</si>
  <si>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</si>
  <si>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</si>
  <si>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</si>
  <si>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</si>
  <si>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</si>
  <si>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</si>
  <si>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</si>
  <si>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</si>
  <si>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</si>
  <si>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</si>
  <si>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</si>
  <si>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</si>
  <si>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</si>
  <si>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</si>
  <si>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</si>
  <si>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</si>
  <si>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</si>
  <si>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</si>
  <si>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</si>
  <si>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</si>
  <si>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</si>
  <si>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</si>
  <si>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</si>
  <si>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</si>
  <si>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</si>
  <si>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</si>
  <si>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</si>
  <si>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</si>
  <si>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</si>
  <si>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</si>
  <si>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</si>
  <si>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</si>
  <si>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</si>
  <si>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</si>
  <si>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</si>
  <si>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</si>
  <si>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</si>
  <si>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</si>
  <si>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</si>
  <si>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</si>
  <si>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</si>
  <si>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</si>
  <si>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</si>
  <si>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</si>
  <si>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</si>
  <si>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</si>
  <si>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</si>
  <si>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</si>
  <si>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</si>
  <si>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</si>
  <si>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</si>
  <si>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</si>
  <si>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</si>
  <si>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</si>
  <si>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</si>
  <si>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</si>
  <si>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</si>
  <si>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</si>
  <si>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</si>
  <si>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</si>
  <si>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</si>
  <si>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</si>
  <si>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</si>
  <si>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</si>
  <si>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for HH recapture using 21-22 calculated M&amp;O collections: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</si>
  <si>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</si>
  <si>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</si>
  <si>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</si>
  <si>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</si>
  <si>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</si>
  <si>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</si>
  <si>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</si>
  <si>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</si>
  <si>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</si>
  <si>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 xml:space="preserve"> &lt; Will load after Co-Dist # is entered below</t>
  </si>
  <si>
    <t>as of this release, only a placeholder</t>
  </si>
  <si>
    <r>
      <t xml:space="preserve">Reg Program ADA </t>
    </r>
    <r>
      <rPr>
        <sz val="12"/>
        <rFont val="Arial MT"/>
      </rPr>
      <t>(Lines 1 - 2 - 3)</t>
    </r>
  </si>
  <si>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</si>
  <si>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</si>
  <si>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</si>
  <si>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</si>
  <si>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</si>
  <si>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</si>
  <si>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</si>
  <si>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</si>
  <si>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</si>
  <si>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</si>
  <si>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</si>
  <si>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</si>
  <si>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</si>
  <si>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t xml:space="preserve">Total 2019-20 Recapture Payments Due TEA </t>
  </si>
  <si>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</si>
  <si>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</si>
  <si>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</si>
  <si>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</si>
  <si>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</si>
  <si>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</si>
  <si>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</si>
  <si>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</si>
  <si>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</si>
  <si>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</si>
  <si>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</si>
  <si>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</si>
  <si>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</si>
  <si>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</si>
  <si>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</si>
  <si>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</si>
  <si>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</si>
  <si>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</si>
  <si>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</si>
  <si>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</si>
  <si>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</si>
  <si>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</si>
  <si>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</si>
  <si>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</si>
  <si>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</si>
  <si>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</si>
  <si>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</si>
  <si>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</si>
  <si>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</si>
  <si>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</si>
  <si>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</si>
  <si>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</si>
  <si>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</si>
  <si>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</si>
  <si>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</si>
  <si>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</si>
  <si>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</si>
  <si>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</si>
  <si>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</si>
  <si>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</si>
  <si>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</si>
  <si>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</si>
  <si>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</si>
  <si>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</si>
  <si>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</si>
  <si>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</si>
  <si>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</si>
  <si>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</si>
  <si>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</si>
  <si>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</si>
  <si>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</si>
  <si>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</si>
  <si>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</si>
  <si>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</si>
  <si>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</si>
  <si>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</si>
  <si>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</si>
  <si>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</si>
  <si>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</si>
  <si>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</si>
  <si>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</si>
  <si>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</si>
  <si>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</si>
  <si>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</si>
  <si>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</si>
  <si>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</si>
  <si>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</si>
  <si>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</si>
  <si>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</si>
  <si>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</si>
  <si>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</si>
  <si>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</si>
  <si>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</si>
  <si>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</si>
  <si>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</si>
  <si>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</si>
  <si>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</si>
  <si>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</si>
  <si>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</si>
  <si>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</si>
  <si>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</si>
  <si>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</si>
  <si>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</si>
  <si>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</si>
  <si>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</si>
  <si>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</si>
  <si>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</si>
  <si>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</si>
  <si>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</si>
  <si>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</si>
  <si>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</si>
  <si>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</si>
  <si>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</si>
  <si>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</si>
  <si>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</si>
  <si>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</si>
  <si>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</si>
  <si>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</si>
  <si>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</si>
  <si>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</si>
  <si>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</si>
  <si>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</si>
  <si>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</si>
  <si>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</si>
  <si>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</si>
  <si>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</si>
  <si>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</si>
  <si>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</si>
  <si>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</si>
  <si>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</si>
  <si>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</si>
  <si>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</si>
  <si>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</si>
  <si>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</si>
  <si>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</si>
  <si>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</si>
  <si>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</si>
  <si>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</si>
  <si>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</si>
  <si>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</si>
  <si>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</si>
  <si>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</si>
  <si>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The "T2" value is used to computed the local shares in Tier I &amp; Tier II and is also used in the computation of the M&amp;O hold harmless amount.</t>
  </si>
  <si>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</si>
  <si>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</si>
  <si>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</si>
  <si>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</si>
  <si>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</si>
  <si>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</si>
  <si>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</si>
  <si>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</si>
  <si>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</si>
  <si>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</si>
  <si>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</si>
  <si>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</si>
  <si>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</si>
  <si>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</si>
  <si>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</si>
  <si>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</si>
  <si>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</si>
  <si>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</si>
  <si>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</si>
  <si>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</si>
  <si>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</si>
  <si>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</si>
  <si>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</si>
  <si>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</si>
  <si>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</si>
  <si>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</si>
  <si>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</si>
  <si>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</si>
  <si>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</si>
  <si>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</si>
  <si>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</si>
  <si>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</si>
  <si>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</si>
  <si>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</si>
  <si>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</si>
  <si>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</si>
  <si>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</si>
  <si>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</si>
  <si>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</si>
  <si>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</si>
  <si>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</si>
  <si>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</si>
  <si>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</si>
  <si>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</si>
  <si>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</si>
  <si>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</si>
  <si>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</si>
  <si>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</si>
  <si>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</si>
  <si>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</si>
  <si>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</si>
  <si>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</si>
  <si>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</si>
  <si>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</si>
  <si>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</si>
  <si>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</si>
  <si>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</si>
  <si>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</si>
  <si>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</si>
  <si>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</si>
  <si>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</si>
  <si>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</si>
  <si>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</si>
  <si>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</si>
  <si>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</si>
  <si>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</si>
  <si>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</si>
  <si>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</si>
  <si>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</si>
  <si>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</si>
  <si>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</si>
  <si>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</si>
  <si>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</si>
  <si>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</si>
  <si>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</si>
  <si>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</si>
  <si>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</si>
  <si>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</si>
  <si>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</si>
  <si>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</si>
  <si>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</si>
  <si>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</si>
  <si>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</si>
  <si>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</si>
  <si>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</si>
  <si>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</si>
  <si>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</si>
  <si>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</si>
  <si>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</si>
  <si>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</si>
  <si>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</si>
  <si>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</si>
  <si>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</si>
  <si>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</si>
  <si>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</si>
  <si>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</si>
  <si>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</si>
  <si>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</si>
  <si>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</si>
  <si>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</si>
  <si>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</si>
  <si>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</si>
  <si>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</si>
  <si>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</si>
  <si>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</si>
  <si>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</si>
  <si>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</si>
  <si>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</si>
  <si>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</si>
  <si>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</si>
  <si>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</si>
  <si>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</si>
  <si>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</si>
  <si>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</si>
  <si>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</si>
  <si>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</si>
  <si>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</si>
  <si>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</si>
  <si>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</si>
  <si>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</si>
  <si>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</si>
  <si>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</si>
  <si>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</si>
  <si>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</si>
  <si>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</si>
  <si>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</si>
  <si>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</si>
  <si>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</si>
  <si>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</si>
  <si>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</si>
  <si>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</si>
  <si>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</si>
  <si>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</si>
  <si>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</si>
  <si>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</si>
  <si>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</si>
  <si>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</si>
  <si>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</si>
  <si>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</si>
  <si>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</si>
  <si>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</si>
  <si>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</si>
  <si>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</si>
  <si>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</si>
  <si>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</si>
  <si>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</si>
  <si>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</si>
  <si>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</si>
  <si>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</si>
  <si>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</si>
  <si>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</si>
  <si>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</si>
  <si>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</si>
  <si>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</si>
  <si>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</si>
  <si>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</si>
  <si>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</si>
  <si>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</si>
  <si>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</si>
  <si>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</si>
  <si>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</si>
  <si>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</si>
  <si>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</si>
  <si>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</si>
  <si>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</si>
  <si>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</si>
  <si>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</si>
  <si>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</si>
  <si>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</si>
  <si>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</si>
  <si>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</si>
  <si>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</si>
  <si>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</si>
  <si>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</si>
  <si>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</si>
  <si>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</si>
  <si>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</si>
  <si>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</si>
  <si>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</si>
  <si>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</si>
  <si>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</si>
  <si>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</si>
  <si>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</si>
  <si>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</si>
  <si>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</si>
  <si>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</si>
  <si>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</si>
  <si>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</si>
  <si>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</si>
  <si>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</si>
  <si>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</si>
  <si>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</si>
  <si>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</si>
  <si>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</si>
  <si>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</si>
  <si>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</si>
  <si>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</si>
  <si>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</si>
  <si>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</si>
  <si>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</si>
  <si>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</si>
  <si>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</si>
  <si>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</si>
  <si>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</si>
  <si>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</si>
  <si>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</si>
  <si>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</si>
  <si>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</si>
  <si>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</si>
  <si>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</si>
  <si>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</si>
  <si>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</si>
  <si>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</si>
  <si>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</si>
  <si>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</si>
  <si>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</si>
  <si>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</si>
  <si>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</si>
  <si>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</si>
  <si>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</si>
  <si>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</si>
  <si>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</si>
  <si>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</si>
  <si>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</si>
  <si>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</si>
  <si>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</si>
  <si>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</si>
  <si>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</si>
  <si>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</si>
  <si>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</si>
  <si>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</si>
  <si>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</si>
  <si>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</si>
  <si>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</si>
  <si>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</si>
  <si>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</si>
  <si>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</si>
  <si>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</si>
  <si>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</si>
  <si>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</si>
  <si>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</si>
  <si>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</si>
  <si>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</si>
  <si>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</si>
  <si>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</si>
  <si>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</si>
  <si>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</si>
  <si>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</si>
  <si>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</si>
  <si>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</si>
  <si>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</si>
  <si>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</si>
  <si>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</si>
  <si>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</si>
  <si>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</si>
  <si>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</si>
  <si>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</si>
  <si>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</si>
  <si>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</si>
  <si>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</si>
  <si>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</si>
  <si>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</si>
  <si>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</si>
  <si>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</si>
  <si>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</si>
  <si>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</si>
  <si>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</si>
  <si>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</si>
  <si>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</si>
  <si>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</si>
  <si>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</si>
  <si>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</si>
  <si>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</si>
  <si>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</si>
  <si>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</si>
  <si>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</si>
  <si>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</si>
  <si>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</si>
  <si>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</si>
  <si>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</si>
  <si>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</si>
  <si>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</si>
  <si>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</si>
  <si>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</si>
  <si>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</si>
  <si>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</si>
  <si>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</si>
  <si>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</si>
  <si>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</si>
  <si>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</si>
  <si>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</si>
  <si>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</si>
  <si>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</si>
  <si>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</si>
  <si>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</si>
  <si>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</si>
  <si>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</si>
  <si>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</si>
  <si>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</si>
  <si>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</si>
  <si>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</si>
  <si>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</si>
  <si>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</si>
  <si>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</si>
  <si>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</si>
  <si>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</si>
  <si>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</si>
  <si>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</si>
  <si>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</si>
  <si>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</si>
  <si>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</si>
  <si>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</si>
  <si>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</si>
  <si>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</si>
  <si>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</si>
  <si>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</si>
  <si>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</si>
  <si>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</si>
  <si>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</si>
  <si>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</si>
  <si>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</si>
  <si>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</si>
  <si>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</si>
  <si>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</si>
  <si>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</si>
  <si>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</si>
  <si>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</si>
  <si>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</si>
  <si>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</si>
  <si>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</si>
  <si>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</si>
  <si>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</si>
  <si>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</si>
  <si>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</si>
  <si>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</si>
  <si>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</si>
  <si>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</si>
  <si>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</si>
  <si>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</si>
  <si>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</si>
  <si>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</si>
  <si>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</si>
  <si>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</si>
  <si>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</si>
  <si>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</si>
  <si>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</si>
  <si>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</si>
  <si>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</si>
  <si>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</si>
  <si>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</si>
  <si>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</si>
  <si>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</si>
  <si>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</si>
  <si>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</si>
  <si>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</si>
  <si>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</si>
  <si>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</si>
  <si>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</si>
  <si>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</si>
  <si>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</si>
  <si>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</si>
  <si>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</si>
  <si>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</si>
  <si>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</si>
  <si>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</si>
  <si>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</si>
  <si>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</si>
  <si>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</si>
  <si>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</si>
  <si>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</si>
  <si>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</si>
  <si>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</si>
  <si>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</si>
  <si>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</si>
  <si>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</si>
  <si>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</si>
  <si>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</si>
  <si>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</si>
  <si>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</si>
  <si>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</si>
  <si>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</si>
  <si>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</si>
  <si>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</si>
  <si>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</si>
  <si>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</si>
  <si>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</si>
  <si>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</si>
  <si>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</si>
  <si>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</si>
  <si>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</si>
  <si>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</si>
  <si>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</si>
  <si>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</si>
  <si>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</si>
  <si>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</si>
  <si>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</si>
  <si>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</si>
  <si>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</si>
  <si>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</si>
  <si>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</si>
  <si>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</si>
  <si>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</si>
  <si>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</si>
  <si>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</si>
  <si>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</si>
  <si>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</si>
  <si>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</si>
  <si>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</si>
  <si>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</si>
  <si>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</si>
  <si>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</si>
  <si>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</si>
  <si>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</si>
  <si>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</si>
  <si>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</si>
  <si>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</si>
  <si>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</si>
  <si>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</si>
  <si>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</si>
  <si>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</si>
  <si>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</si>
  <si>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</si>
  <si>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</si>
  <si>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</si>
  <si>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</si>
  <si>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</si>
  <si>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</si>
  <si>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</si>
  <si>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</si>
  <si>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</si>
  <si>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</si>
  <si>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</si>
  <si>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</si>
  <si>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</si>
  <si>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</si>
  <si>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</si>
  <si>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</si>
  <si>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</si>
  <si>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</si>
  <si>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</si>
  <si>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</si>
  <si>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</si>
  <si>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</si>
  <si>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</si>
  <si>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</si>
  <si>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</si>
  <si>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</si>
  <si>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</si>
  <si>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</si>
  <si>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</si>
  <si>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</si>
  <si>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</si>
  <si>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</si>
  <si>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</si>
  <si>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</si>
  <si>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</si>
  <si>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</si>
  <si>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</si>
  <si>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</si>
  <si>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</si>
  <si>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</si>
  <si>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</si>
  <si>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</si>
  <si>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</si>
  <si>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</si>
  <si>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</si>
  <si>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</si>
  <si>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</si>
  <si>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</si>
  <si>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</si>
  <si>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</si>
  <si>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</si>
  <si>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</si>
  <si>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</si>
  <si>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</si>
  <si>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</si>
  <si>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</si>
  <si>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</si>
  <si>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</si>
  <si>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</si>
  <si>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</si>
  <si>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</si>
  <si>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</si>
  <si>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</si>
  <si>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</si>
  <si>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</si>
  <si>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</si>
  <si>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</si>
  <si>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</si>
  <si>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</si>
  <si>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</si>
  <si>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</si>
  <si>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</si>
  <si>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</si>
  <si>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</si>
  <si>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</si>
  <si>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</si>
  <si>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</si>
  <si>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</si>
  <si>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</si>
  <si>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</si>
  <si>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</si>
  <si>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</si>
  <si>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</si>
  <si>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</si>
  <si>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</si>
  <si>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</si>
  <si>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</si>
  <si>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</si>
  <si>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</si>
  <si>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</si>
  <si>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</si>
  <si>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</si>
  <si>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</si>
  <si>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</si>
  <si>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</si>
  <si>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</si>
  <si>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</si>
  <si>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</si>
  <si>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</si>
  <si>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</si>
  <si>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</si>
  <si>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</si>
  <si>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</si>
  <si>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</si>
  <si>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</si>
  <si>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</si>
  <si>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</si>
  <si>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</si>
  <si>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</si>
  <si>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</si>
  <si>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</si>
  <si>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</si>
  <si>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</si>
  <si>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</si>
  <si>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</si>
  <si>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</si>
  <si>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</si>
  <si>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</si>
  <si>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</si>
  <si>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</si>
  <si>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</si>
  <si>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</si>
  <si>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</si>
  <si>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</si>
  <si>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</si>
  <si>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</si>
  <si>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</si>
  <si>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</si>
  <si>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</si>
  <si>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</si>
  <si>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</si>
  <si>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</si>
  <si>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</si>
  <si>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</si>
  <si>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</si>
  <si>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</si>
  <si>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</si>
  <si>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</si>
  <si>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</si>
  <si>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</si>
  <si>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</si>
  <si>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</si>
  <si>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</si>
  <si>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</si>
  <si>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</si>
  <si>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</si>
  <si>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</si>
  <si>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</si>
  <si>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</si>
  <si>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</si>
  <si>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</si>
  <si>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</si>
  <si>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</si>
  <si>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</si>
  <si>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</si>
  <si>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</si>
  <si>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</si>
  <si>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</si>
  <si>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</si>
  <si>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</si>
  <si>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</si>
  <si>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</si>
  <si>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</si>
  <si>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</si>
  <si>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</si>
  <si>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</si>
  <si>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</si>
  <si>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</si>
  <si>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</si>
  <si>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</si>
  <si>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</si>
  <si>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</si>
  <si>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</si>
  <si>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</si>
  <si>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</si>
  <si>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</si>
  <si>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</si>
  <si>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</si>
  <si>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</si>
  <si>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</si>
  <si>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</si>
  <si>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</si>
  <si>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</si>
  <si>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</si>
  <si>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</si>
  <si>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</si>
  <si>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</si>
  <si>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</si>
  <si>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</si>
  <si>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</si>
  <si>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</si>
  <si>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</si>
  <si>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</si>
  <si>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</si>
  <si>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</si>
  <si>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</si>
  <si>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</si>
  <si>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</si>
  <si>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</si>
  <si>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</si>
  <si>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</si>
  <si>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</si>
  <si>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</si>
  <si>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</si>
  <si>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</si>
  <si>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</si>
  <si>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</si>
  <si>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</si>
  <si>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</si>
  <si>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</si>
  <si>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</si>
  <si>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</si>
  <si>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</si>
  <si>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</si>
  <si>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</si>
  <si>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</si>
  <si>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</si>
  <si>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</si>
  <si>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</si>
  <si>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</si>
  <si>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</si>
  <si>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</si>
  <si>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</si>
  <si>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</si>
  <si>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</si>
  <si>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</si>
  <si>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</si>
  <si>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</si>
  <si>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</si>
  <si>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</si>
  <si>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</si>
  <si>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</si>
  <si>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</si>
  <si>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</si>
  <si>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</si>
  <si>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</si>
  <si>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</si>
  <si>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</si>
  <si>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</si>
  <si>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</si>
  <si>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</si>
  <si>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</si>
  <si>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</si>
  <si>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</si>
  <si>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</si>
  <si>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</si>
  <si>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</si>
  <si>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</si>
  <si>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</si>
  <si>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</si>
  <si>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</si>
  <si>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</si>
  <si>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</si>
  <si>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</si>
  <si>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</si>
  <si>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</si>
  <si>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</si>
  <si>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</si>
  <si>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</si>
  <si>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</si>
  <si>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</si>
  <si>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</si>
  <si>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</si>
  <si>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</si>
  <si>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</si>
  <si>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</si>
  <si>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</si>
  <si>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</si>
  <si>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</si>
  <si>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</si>
  <si>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</si>
  <si>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</si>
  <si>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</si>
  <si>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</si>
  <si>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</si>
  <si>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</si>
  <si>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</si>
  <si>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</si>
  <si>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</si>
  <si>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</si>
  <si>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</si>
  <si>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</si>
  <si>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</si>
  <si>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</si>
  <si>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</si>
  <si>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</si>
  <si>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</si>
  <si>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</si>
  <si>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</si>
  <si>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</si>
  <si>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</si>
  <si>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</si>
  <si>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</si>
  <si>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</si>
  <si>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</si>
  <si>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</si>
  <si>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</si>
  <si>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</si>
  <si>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</si>
  <si>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</si>
  <si>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</si>
  <si>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</si>
  <si>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</si>
  <si>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</si>
  <si>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</si>
  <si>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</si>
  <si>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</si>
  <si>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</si>
  <si>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</si>
  <si>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</si>
  <si>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</si>
  <si>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</si>
  <si>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</si>
  <si>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</si>
  <si>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</si>
  <si>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</si>
  <si>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</si>
  <si>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</si>
  <si>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</si>
  <si>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</si>
  <si>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</si>
  <si>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</si>
  <si>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</si>
  <si>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</si>
  <si>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</si>
  <si>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</si>
  <si>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</si>
  <si>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</si>
  <si>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</si>
  <si>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</si>
  <si>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</si>
  <si>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</si>
  <si>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</si>
  <si>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</si>
  <si>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</si>
  <si>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</si>
  <si>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</si>
  <si>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</si>
  <si>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</si>
  <si>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</si>
  <si>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</si>
  <si>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</si>
  <si>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</si>
  <si>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</si>
  <si>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</si>
  <si>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</si>
  <si>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</si>
  <si>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</si>
  <si>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</si>
  <si>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</si>
  <si>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</si>
  <si>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</si>
  <si>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</si>
  <si>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</si>
  <si>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</si>
  <si>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</si>
  <si>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</si>
  <si>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</si>
  <si>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</si>
  <si>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</si>
  <si>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</si>
  <si>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</si>
  <si>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</si>
  <si>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</si>
  <si>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</si>
  <si>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</si>
  <si>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</si>
  <si>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</si>
  <si>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</si>
  <si>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</si>
  <si>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</si>
  <si>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</si>
  <si>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</si>
  <si>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</si>
  <si>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</si>
  <si>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</si>
  <si>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</si>
  <si>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</si>
  <si>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</si>
  <si>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</si>
  <si>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</si>
  <si>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</si>
  <si>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</si>
  <si>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</si>
  <si>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</si>
  <si>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</si>
  <si>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</si>
  <si>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</si>
  <si>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</si>
  <si>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</si>
  <si>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</si>
  <si>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</si>
  <si>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</si>
  <si>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</si>
  <si>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</si>
  <si>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</si>
  <si>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</si>
  <si>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</si>
  <si>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</si>
  <si>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</si>
  <si>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</si>
  <si>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</si>
  <si>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</si>
  <si>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</si>
  <si>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</si>
  <si>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</si>
  <si>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</si>
  <si>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</si>
  <si>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</si>
  <si>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</si>
  <si>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</si>
  <si>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</si>
  <si>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</si>
  <si>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</si>
  <si>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</si>
  <si>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</si>
  <si>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</si>
  <si>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</si>
  <si>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</si>
  <si>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</si>
  <si>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</si>
  <si>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</si>
  <si>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</si>
  <si>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</si>
  <si>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</si>
  <si>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</si>
  <si>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</si>
  <si>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</si>
  <si>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</si>
  <si>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</si>
  <si>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</si>
  <si>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</si>
  <si>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</si>
  <si>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</si>
  <si>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</si>
  <si>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</si>
  <si>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</si>
  <si>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</si>
  <si>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</si>
  <si>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</si>
  <si>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</si>
  <si>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</si>
  <si>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</si>
  <si>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</si>
  <si>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</si>
  <si>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</si>
  <si>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</si>
  <si>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</si>
  <si>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</si>
  <si>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</si>
  <si>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</si>
  <si>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</si>
  <si>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</si>
  <si>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</si>
  <si>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</si>
  <si>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</si>
  <si>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</si>
  <si>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</si>
  <si>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</si>
  <si>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</si>
  <si>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</si>
  <si>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</si>
  <si>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</si>
  <si>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</si>
  <si>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</si>
  <si>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</si>
  <si>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</si>
  <si>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</si>
  <si>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</si>
  <si>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</si>
  <si>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</si>
  <si>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</si>
  <si>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</si>
  <si>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</si>
  <si>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</si>
  <si>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</si>
  <si>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</si>
  <si>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</si>
  <si>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</si>
  <si>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</si>
  <si>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</si>
  <si>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</si>
  <si>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</si>
  <si>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</si>
  <si>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</si>
  <si>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</si>
  <si>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</si>
  <si>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</si>
  <si>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</si>
  <si>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</si>
  <si>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</si>
  <si>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</si>
  <si>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</si>
  <si>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</si>
  <si>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</si>
  <si>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</si>
  <si>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</si>
  <si>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</si>
  <si>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</si>
  <si>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</si>
  <si>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</si>
  <si>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</si>
  <si>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</si>
  <si>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</si>
  <si>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</si>
  <si>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</si>
  <si>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</si>
  <si>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</si>
  <si>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</si>
  <si>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</si>
  <si>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</si>
  <si>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</si>
  <si>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</si>
  <si>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</si>
  <si>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</si>
  <si>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</si>
  <si>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</si>
  <si>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</si>
  <si>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</si>
  <si>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</si>
  <si>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</si>
  <si>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</si>
  <si>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</si>
  <si>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</si>
  <si>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</si>
  <si>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</si>
  <si>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</si>
  <si>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</si>
  <si>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</si>
  <si>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</si>
  <si>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</si>
  <si>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</si>
  <si>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</si>
  <si>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</si>
  <si>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</si>
  <si>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</si>
  <si>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</si>
  <si>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</si>
  <si>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</si>
  <si>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</si>
  <si>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</si>
  <si>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</si>
  <si>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</si>
  <si>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</si>
  <si>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</si>
  <si>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</si>
  <si>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</si>
  <si>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</si>
  <si>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</si>
  <si>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</si>
  <si>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</si>
  <si>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</si>
  <si>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</si>
  <si>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</si>
  <si>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</si>
  <si>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</si>
  <si>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</si>
  <si>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</si>
  <si>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</si>
  <si>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</si>
  <si>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</si>
  <si>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</si>
  <si>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</si>
  <si>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</si>
  <si>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</si>
  <si>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</si>
  <si>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</si>
  <si>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</si>
  <si>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</si>
  <si>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</si>
  <si>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</si>
  <si>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</si>
  <si>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</si>
  <si>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</si>
  <si>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</si>
  <si>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</si>
  <si>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</si>
  <si>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</si>
  <si>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</si>
  <si>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</si>
  <si>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</si>
  <si>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</si>
  <si>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</si>
  <si>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</si>
  <si>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</si>
  <si>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</si>
  <si>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</si>
  <si>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</si>
  <si>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</si>
  <si>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</si>
  <si>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</si>
  <si>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</si>
  <si>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</si>
  <si>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</si>
  <si>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</si>
  <si>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</si>
  <si>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</si>
  <si>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</si>
  <si>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</si>
  <si>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</si>
  <si>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</si>
  <si>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</si>
  <si>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</si>
  <si>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</si>
  <si>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</si>
  <si>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</si>
  <si>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</si>
  <si>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</si>
  <si>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</si>
  <si>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</si>
  <si>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</si>
  <si>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</si>
  <si>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</si>
  <si>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</si>
  <si>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</si>
  <si>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</si>
  <si>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</si>
  <si>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</si>
  <si>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</si>
  <si>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</si>
  <si>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</si>
  <si>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</si>
  <si>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</si>
  <si>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</si>
  <si>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</si>
  <si>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</si>
  <si>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</si>
  <si>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</si>
  <si>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</si>
  <si>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</si>
  <si>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</si>
  <si>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</si>
  <si>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</si>
  <si>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</si>
  <si>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</si>
  <si>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</si>
  <si>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</si>
  <si>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</si>
  <si>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</si>
  <si>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</si>
  <si>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</si>
  <si>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</si>
  <si>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</si>
  <si>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</si>
  <si>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</si>
  <si>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</si>
  <si>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</si>
  <si>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</si>
  <si>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</si>
  <si>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</si>
  <si>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</si>
  <si>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</si>
  <si>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</si>
  <si>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</si>
  <si>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</si>
  <si>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</si>
  <si>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</si>
  <si>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</si>
  <si>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</si>
  <si>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</si>
  <si>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</si>
  <si>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</si>
  <si>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</si>
  <si>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</si>
  <si>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</si>
  <si>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</si>
  <si>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</si>
  <si>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</si>
  <si>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</si>
  <si>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</si>
  <si>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</si>
  <si>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</si>
  <si>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</si>
  <si>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</si>
  <si>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</si>
  <si>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</si>
  <si>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</si>
  <si>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</si>
  <si>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</si>
  <si>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</si>
  <si>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</si>
  <si>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</si>
  <si>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</si>
  <si>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</si>
  <si>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</si>
  <si>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</si>
  <si>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</si>
  <si>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</si>
  <si>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</si>
  <si>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</si>
  <si>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</si>
  <si>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</si>
  <si>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</si>
  <si>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</si>
  <si>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</si>
  <si>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</si>
  <si>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</si>
  <si>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</si>
  <si>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</si>
  <si>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</si>
  <si>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</si>
  <si>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</si>
  <si>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</si>
  <si>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</si>
  <si>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</si>
  <si>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</si>
  <si>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</si>
  <si>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</si>
  <si>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</si>
  <si>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</si>
  <si>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</si>
  <si>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</si>
  <si>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</si>
  <si>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</si>
  <si>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</si>
  <si>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</si>
  <si>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</si>
  <si>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</si>
  <si>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</si>
  <si>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</si>
  <si>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</si>
  <si>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</si>
  <si>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</si>
  <si>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</si>
  <si>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</si>
  <si>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599/5829 - Existing Debt Allotment (EDA)                            </t>
    </r>
    <r>
      <rPr>
        <sz val="12"/>
        <color rgb="FFFF0000"/>
        <rFont val="Arial MT"/>
      </rPr>
      <t>(Link to Detail Report)</t>
    </r>
  </si>
  <si>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</si>
  <si>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</si>
  <si>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</si>
  <si>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</si>
  <si>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</si>
  <si>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</si>
  <si>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</si>
  <si>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</si>
  <si>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</si>
  <si>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</si>
  <si>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</si>
  <si>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</si>
  <si>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</si>
  <si>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</si>
  <si>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</si>
  <si>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</si>
  <si>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</si>
  <si>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</si>
  <si>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</si>
  <si>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</si>
  <si>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</si>
  <si>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</si>
  <si>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</si>
  <si>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</si>
  <si>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</si>
  <si>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</si>
  <si>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</si>
  <si>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</si>
  <si>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</si>
  <si>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</si>
  <si>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</si>
  <si>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</si>
  <si>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</si>
  <si>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</si>
  <si>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</si>
  <si>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</si>
  <si>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</si>
  <si>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</si>
  <si>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</si>
  <si>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</si>
  <si>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</si>
  <si>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</si>
  <si>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</si>
  <si>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</si>
  <si>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</si>
  <si>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</si>
  <si>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</si>
  <si>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</si>
  <si>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</si>
  <si>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</si>
  <si>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</si>
  <si>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</si>
  <si>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</si>
  <si>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</si>
  <si>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</si>
  <si>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</si>
  <si>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</si>
  <si>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</si>
  <si>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</si>
  <si>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</si>
  <si>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</si>
  <si>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</si>
  <si>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</si>
  <si>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</si>
  <si>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</si>
  <si>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</si>
  <si>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</si>
  <si>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</si>
  <si>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</si>
  <si>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</si>
  <si>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</si>
  <si>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</si>
  <si>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</si>
  <si>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</si>
  <si>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</si>
  <si>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</si>
  <si>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</si>
  <si>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</si>
  <si>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</si>
  <si>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</si>
  <si>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</si>
  <si>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</si>
  <si>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</si>
  <si>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</si>
  <si>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</si>
  <si>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</si>
  <si>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</si>
  <si>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</si>
  <si>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</si>
  <si>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</si>
  <si>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</si>
  <si>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</si>
  <si>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</si>
  <si>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</si>
  <si>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</si>
  <si>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</si>
  <si>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</si>
  <si>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</si>
  <si>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</si>
  <si>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</si>
  <si>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</si>
  <si>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</si>
  <si>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</si>
  <si>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</si>
  <si>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</si>
  <si>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</si>
  <si>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</si>
  <si>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</si>
  <si>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</si>
  <si>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</si>
  <si>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</si>
  <si>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</si>
  <si>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</si>
  <si>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</si>
  <si>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</si>
  <si>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</si>
  <si>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</si>
  <si>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</si>
  <si>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</si>
  <si>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</si>
  <si>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</si>
  <si>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</si>
  <si>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</si>
  <si>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</si>
  <si>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</si>
  <si>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</si>
  <si>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</si>
  <si>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</si>
  <si>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</si>
  <si>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</si>
  <si>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</si>
  <si>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</si>
  <si>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</si>
  <si>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</si>
  <si>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</si>
  <si>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</si>
  <si>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</si>
  <si>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</si>
  <si>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</si>
  <si>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</si>
  <si>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</si>
  <si>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</si>
  <si>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</si>
  <si>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</si>
  <si>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</si>
  <si>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</si>
  <si>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</si>
  <si>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</si>
  <si>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</si>
  <si>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</si>
  <si>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</si>
  <si>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</si>
  <si>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</si>
  <si>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</si>
  <si>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</si>
  <si>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</si>
  <si>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</si>
  <si>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</si>
  <si>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</si>
  <si>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</si>
  <si>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</si>
  <si>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</si>
  <si>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</si>
  <si>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</si>
  <si>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</si>
  <si>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</si>
  <si>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</si>
  <si>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</si>
  <si>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</si>
  <si>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</si>
  <si>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</si>
  <si>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</si>
  <si>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</si>
  <si>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</si>
  <si>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</si>
  <si>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</si>
  <si>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</si>
  <si>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</si>
  <si>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</si>
  <si>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</si>
  <si>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</si>
  <si>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</si>
  <si>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</si>
  <si>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</si>
  <si>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</si>
  <si>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</si>
  <si>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</si>
  <si>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</si>
  <si>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</si>
  <si>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</si>
  <si>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</si>
  <si>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</si>
  <si>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</si>
  <si>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</si>
  <si>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</si>
  <si>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</si>
  <si>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</si>
  <si>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</si>
  <si>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</si>
  <si>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</si>
  <si>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</si>
  <si>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</si>
  <si>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</si>
  <si>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</si>
  <si>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</si>
  <si>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</si>
  <si>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</si>
  <si>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</si>
  <si>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</si>
  <si>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</si>
  <si>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</si>
  <si>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</si>
  <si>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</si>
  <si>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</si>
  <si>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</si>
  <si>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</si>
  <si>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</si>
  <si>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</si>
  <si>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</si>
  <si>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</si>
  <si>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</si>
  <si>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</si>
  <si>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</si>
  <si>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</si>
  <si>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</si>
  <si>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</si>
  <si>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</si>
  <si>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</si>
  <si>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</si>
  <si>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</si>
  <si>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</si>
  <si>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</si>
  <si>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</si>
  <si>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</si>
  <si>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</si>
  <si>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</si>
  <si>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</si>
  <si>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</si>
  <si>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</si>
  <si>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</si>
  <si>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</si>
  <si>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</si>
  <si>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</si>
  <si>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</si>
  <si>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</si>
  <si>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</si>
  <si>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</si>
  <si>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</si>
  <si>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</si>
  <si>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</si>
  <si>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</si>
  <si>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</si>
  <si>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</si>
  <si>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</si>
  <si>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</si>
  <si>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</si>
  <si>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</si>
  <si>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</si>
  <si>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</si>
  <si>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</si>
  <si>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</si>
  <si>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</si>
  <si>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</si>
  <si>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</si>
  <si>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</si>
  <si>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</si>
  <si>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</si>
  <si>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</si>
  <si>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</si>
  <si>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</si>
  <si>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</si>
  <si>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</si>
  <si>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</si>
  <si>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</si>
  <si>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</si>
  <si>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</si>
  <si>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</si>
  <si>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</si>
  <si>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</si>
  <si>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</si>
  <si>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</si>
  <si>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</si>
  <si>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</si>
  <si>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</si>
  <si>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</si>
  <si>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</si>
  <si>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</si>
  <si>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</si>
  <si>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</si>
  <si>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</si>
  <si>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</si>
  <si>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</si>
  <si>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</si>
  <si>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</si>
  <si>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</si>
  <si>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</si>
  <si>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</si>
  <si>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</si>
  <si>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</si>
  <si>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</si>
  <si>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</si>
  <si>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</si>
  <si>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</si>
  <si>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</si>
  <si>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</si>
  <si>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</si>
  <si>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</si>
  <si>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</si>
  <si>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</si>
  <si>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</si>
  <si>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</si>
  <si>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</si>
  <si>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</si>
  <si>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</si>
  <si>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</si>
  <si>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</si>
  <si>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</si>
  <si>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</si>
  <si>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</si>
  <si>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</si>
  <si>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</si>
  <si>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</si>
  <si>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</si>
  <si>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</si>
  <si>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</si>
  <si>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</si>
  <si>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</si>
  <si>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</si>
  <si>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Levy Needed for Remaining Balance</t>
  </si>
  <si>
    <t>2019-20 Local Share of IFA for a Lease-Purchase</t>
  </si>
  <si>
    <t>2019-20 Levy Needed for Local Share of IFA Lease-Purchase Local Share</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</si>
  <si>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</si>
  <si>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</si>
  <si>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</si>
  <si>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</si>
  <si>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</si>
  <si>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THE FOLLOWING WAS THE WAY IT WAS FOR 2018-19.  IT IS ASSUMED NOTHING WILL CHANGE FOR</t>
  </si>
  <si>
    <t>(using 19-20 rpaf)</t>
  </si>
  <si>
    <t>(using 19-20 funding elements)</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</si>
  <si>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</si>
  <si>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</si>
  <si>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</si>
  <si>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</si>
  <si>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</si>
  <si>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</si>
  <si>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</si>
  <si>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</si>
  <si>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</si>
  <si>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</si>
  <si>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</si>
  <si>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</si>
  <si>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</si>
  <si>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</si>
  <si>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</si>
  <si>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</si>
  <si>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</si>
  <si>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</si>
  <si>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</si>
  <si>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</si>
  <si>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</si>
  <si>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</si>
  <si>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</si>
  <si>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</si>
  <si>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</si>
  <si>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</si>
  <si>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</si>
  <si>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</si>
  <si>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</si>
  <si>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</si>
  <si>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</si>
  <si>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</si>
  <si>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</si>
  <si>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</si>
  <si>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</si>
  <si>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</si>
  <si>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</si>
  <si>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</si>
  <si>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</si>
  <si>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</si>
  <si>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</si>
  <si>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</si>
  <si>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</si>
  <si>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</si>
  <si>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</si>
  <si>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</si>
  <si>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</si>
  <si>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</si>
  <si>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</si>
  <si>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</si>
  <si>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</si>
  <si>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</si>
  <si>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</si>
  <si>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</si>
  <si>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</si>
  <si>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</si>
  <si>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</si>
  <si>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</si>
  <si>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</si>
  <si>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</si>
  <si>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</si>
  <si>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</si>
  <si>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</si>
  <si>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</si>
  <si>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</si>
  <si>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</si>
  <si>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</si>
  <si>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</si>
  <si>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Total State Aid (sum of #12.a thru #12.e; cannot be less than ASF-State)</t>
  </si>
  <si>
    <t>2018-19 Net M&amp;O Taxes Collected</t>
  </si>
  <si>
    <t>2018-19 Total Taxes Collected (#7.a + #7.b)</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</si>
  <si>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</si>
  <si>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</si>
  <si>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</si>
  <si>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</si>
  <si>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</si>
  <si>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</si>
  <si>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</si>
  <si>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</si>
  <si>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2019 Taxable Value</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</si>
  <si>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</si>
  <si>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</si>
  <si>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</si>
  <si>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</si>
  <si>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</si>
  <si>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</si>
  <si>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</si>
  <si>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</si>
  <si>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</si>
  <si>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</si>
  <si>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</si>
  <si>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</si>
  <si>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</si>
  <si>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</si>
  <si>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</si>
  <si>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</si>
  <si>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</si>
  <si>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</si>
  <si>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</si>
  <si>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</si>
  <si>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</si>
  <si>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</si>
  <si>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</si>
  <si>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</si>
  <si>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</si>
  <si>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</si>
  <si>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</si>
  <si>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</si>
  <si>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</si>
  <si>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</si>
  <si>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</si>
  <si>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</si>
  <si>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</si>
  <si>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</si>
  <si>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</si>
  <si>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</si>
  <si>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</si>
  <si>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</si>
  <si>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</si>
  <si>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</si>
  <si>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</si>
  <si>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</si>
  <si>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</si>
  <si>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</si>
  <si>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</si>
  <si>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</si>
  <si>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</si>
  <si>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</si>
  <si>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</si>
  <si>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</si>
  <si>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</si>
  <si>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</si>
  <si>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</si>
  <si>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</si>
  <si>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</si>
  <si>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</si>
  <si>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Tier I</t>
  </si>
  <si>
    <t>Golden Pennies</t>
  </si>
  <si>
    <t>Copper Pennies</t>
  </si>
  <si>
    <t>Avg DTRs</t>
  </si>
  <si>
    <t>EDA Allotment (prorated to $60M appropriation)</t>
  </si>
  <si>
    <t>DISTRICT TIER I</t>
  </si>
  <si>
    <t>DISTRICT TIER Ii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</si>
  <si>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</si>
  <si>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</si>
  <si>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</si>
  <si>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</si>
  <si>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</si>
  <si>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</si>
  <si>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</si>
  <si>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</si>
  <si>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</si>
  <si>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</si>
  <si>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</si>
  <si>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</si>
  <si>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</si>
  <si>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dpv decline adjustment</t>
  </si>
  <si>
    <t>DPV DECLILNE ADJUSTMENT</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</si>
  <si>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</si>
  <si>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</si>
  <si>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</si>
  <si>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</si>
  <si>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</si>
  <si>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</si>
  <si>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</si>
  <si>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</si>
  <si>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</si>
  <si>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</si>
  <si>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</si>
  <si>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</si>
  <si>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</si>
  <si>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</si>
  <si>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</si>
  <si>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</si>
  <si>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</si>
  <si>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</si>
  <si>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</si>
  <si>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</si>
  <si>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</si>
  <si>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</si>
  <si>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</si>
  <si>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</si>
  <si>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</si>
  <si>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</si>
  <si>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</si>
  <si>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</si>
  <si>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</si>
  <si>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</si>
  <si>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</si>
  <si>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</si>
  <si>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</si>
  <si>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</si>
  <si>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</si>
  <si>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</si>
  <si>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</si>
  <si>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</si>
  <si>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</si>
  <si>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</si>
  <si>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</si>
  <si>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</si>
  <si>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</si>
  <si>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</si>
  <si>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</si>
  <si>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</si>
  <si>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greater of</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</si>
  <si>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</si>
  <si>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</si>
  <si>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</si>
  <si>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</si>
  <si>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</si>
  <si>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</si>
  <si>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</si>
  <si>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</si>
  <si>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</si>
  <si>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</si>
  <si>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</si>
  <si>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</si>
  <si>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</si>
  <si>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</si>
  <si>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</si>
  <si>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</si>
  <si>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</si>
  <si>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</si>
  <si>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</si>
  <si>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</si>
  <si>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</si>
  <si>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</si>
  <si>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</si>
  <si>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</si>
  <si>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</si>
  <si>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</si>
  <si>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</si>
  <si>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</si>
  <si>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</si>
  <si>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</si>
  <si>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</si>
  <si>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</si>
  <si>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</si>
  <si>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</si>
  <si>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</si>
  <si>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</si>
  <si>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</si>
  <si>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</si>
  <si>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</si>
  <si>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</si>
  <si>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</si>
  <si>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</si>
  <si>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</si>
  <si>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</si>
  <si>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</si>
  <si>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</si>
  <si>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</si>
  <si>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</si>
  <si>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</si>
  <si>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</si>
  <si>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</si>
  <si>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</si>
  <si>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</si>
  <si>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</si>
  <si>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</si>
  <si>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</si>
  <si>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</si>
  <si>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</si>
  <si>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</si>
  <si>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</si>
  <si>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</si>
  <si>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</si>
  <si>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</si>
  <si>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</si>
  <si>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</si>
  <si>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</si>
  <si>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</si>
  <si>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</si>
  <si>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</si>
  <si>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</si>
  <si>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</si>
  <si>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</si>
  <si>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</si>
  <si>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</si>
  <si>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</si>
  <si>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</si>
  <si>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Comp Ed Enrollment if Census Block Data are not Available</t>
  </si>
  <si>
    <t>College Prep Assessment Reimbursement - Not done at this time</t>
  </si>
  <si>
    <t>(1) ADA &lt; 1,600</t>
  </si>
  <si>
    <t>collections for Tier I (collections @ compressed rate)</t>
  </si>
  <si>
    <t>Educator Effectiveness Allotment - Not done at this time</t>
  </si>
  <si>
    <t>Data for HB 3Transition Grant</t>
  </si>
  <si>
    <t>19-10 HB 3 state aid</t>
  </si>
  <si>
    <t>19-20 HB3 net local revenue</t>
  </si>
  <si>
    <t>total 19-20 revenue per ADA</t>
  </si>
  <si>
    <t>$.96 +$.04</t>
  </si>
  <si>
    <t>golden</t>
  </si>
  <si>
    <t>compressed copper</t>
  </si>
  <si>
    <t>total enrichment pennies</t>
  </si>
  <si>
    <t>$.96 + enrichment</t>
  </si>
  <si>
    <t>OR, $.96 + 18-19 golden exceeding .96 &amp; compressed copper:</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</si>
  <si>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</si>
  <si>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</si>
  <si>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</si>
  <si>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</si>
  <si>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</si>
  <si>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</si>
  <si>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</si>
  <si>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</si>
  <si>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</si>
  <si>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</si>
  <si>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</si>
  <si>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</si>
  <si>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</si>
  <si>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</si>
  <si>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</si>
  <si>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</si>
  <si>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</si>
  <si>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</si>
  <si>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</si>
  <si>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</si>
  <si>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new compression rate</t>
  </si>
  <si>
    <t>Aldine</t>
  </si>
  <si>
    <t>Deer Park</t>
  </si>
  <si>
    <t>Katy</t>
  </si>
  <si>
    <t>Pasadena</t>
  </si>
  <si>
    <t>Spring Branch</t>
  </si>
  <si>
    <t>M&amp;O Rate</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</si>
  <si>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</si>
  <si>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</si>
  <si>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</si>
  <si>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</si>
  <si>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</si>
  <si>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</si>
  <si>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</si>
  <si>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</si>
  <si>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</si>
  <si>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</si>
  <si>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</si>
  <si>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</si>
  <si>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</si>
  <si>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</si>
  <si>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2018-19 M&amp;O Adopted Rate</t>
  </si>
  <si>
    <t>Less: $1.00</t>
  </si>
  <si>
    <t>Less: 2019-20 # of Copper Pennies Compressed</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</si>
  <si>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</si>
  <si>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</si>
  <si>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</si>
  <si>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</si>
  <si>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</si>
  <si>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</si>
  <si>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</si>
  <si>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</si>
  <si>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</si>
  <si>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</si>
  <si>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</si>
  <si>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</si>
  <si>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</si>
  <si>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</si>
  <si>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18-19 M&amp;O rate</t>
  </si>
  <si>
    <t>19-20 golden pennies</t>
  </si>
  <si>
    <t>19-20 copper pennies after compression</t>
  </si>
  <si>
    <t>18-19 remaining enrichment pennies</t>
  </si>
  <si>
    <t>18-19 golden pennies</t>
  </si>
  <si>
    <t>18-19 copper pennies before compression</t>
  </si>
  <si>
    <t>19-20 total compressed rate</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</si>
  <si>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</si>
  <si>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</si>
  <si>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</si>
  <si>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</si>
  <si>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</si>
  <si>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</si>
  <si>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</si>
  <si>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</si>
  <si>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</si>
  <si>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</si>
  <si>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</si>
  <si>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</si>
  <si>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</si>
  <si>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</si>
  <si>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</si>
  <si>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</si>
  <si>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</si>
  <si>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</si>
  <si>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</si>
  <si>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</si>
  <si>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</si>
  <si>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</si>
  <si>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</si>
  <si>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</si>
  <si>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</si>
  <si>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</si>
  <si>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</si>
  <si>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</si>
  <si>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</si>
  <si>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</si>
  <si>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</si>
  <si>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</si>
  <si>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</si>
  <si>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</si>
  <si>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</si>
  <si>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</si>
  <si>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</si>
  <si>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</si>
  <si>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</si>
  <si>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</si>
  <si>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</si>
  <si>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</si>
  <si>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</si>
  <si>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</si>
  <si>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</si>
  <si>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</si>
  <si>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</si>
  <si>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</si>
  <si>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</si>
  <si>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</si>
  <si>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 xml:space="preserve">Accelerated Campus Excellence Allotment </t>
  </si>
  <si>
    <t>Property values used in formulas</t>
  </si>
  <si>
    <t>Current-Year</t>
  </si>
  <si>
    <t>4) Plus Debt Rate</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</si>
  <si>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</si>
  <si>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</si>
  <si>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</si>
  <si>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</si>
  <si>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</si>
  <si>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</si>
  <si>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</si>
  <si>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</si>
  <si>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</si>
  <si>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</si>
  <si>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</si>
  <si>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</si>
  <si>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</si>
  <si>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</si>
  <si>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</si>
  <si>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</si>
  <si>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</si>
  <si>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</si>
  <si>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</si>
  <si>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</si>
  <si>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</si>
  <si>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</si>
  <si>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</si>
  <si>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</si>
  <si>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</si>
  <si>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</si>
  <si>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</si>
  <si>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</si>
  <si>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Maximum M&amp;O Tax Rate</t>
  </si>
  <si>
    <t>Max Compressed Rate + $.17</t>
  </si>
  <si>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</si>
  <si>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</si>
  <si>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</si>
  <si>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</si>
  <si>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</si>
  <si>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</si>
  <si>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</si>
  <si>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</si>
  <si>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</si>
  <si>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</si>
  <si>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</si>
  <si>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</si>
  <si>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rate subject to .93 compression</t>
  </si>
  <si>
    <t>Greater of State Share of Tier I or Current Law ASF+HS NIFA; or HB3 ASF</t>
  </si>
  <si>
    <t>Teacher Incentive Allotment (not done at this time)</t>
  </si>
  <si>
    <t>Mentor Program Allotment (not done at this time)</t>
  </si>
  <si>
    <t>Is district the only district in the county?</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</si>
  <si>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</si>
  <si>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</si>
  <si>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</si>
  <si>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</si>
  <si>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</si>
  <si>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</si>
  <si>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ADA of Students in Dropout Recovery School and Res Placement Facility</t>
  </si>
  <si>
    <t>Certification Examination Reimbursement - Not done at this time</t>
  </si>
  <si>
    <t>&lt; not yet computed</t>
  </si>
  <si>
    <t>PS:</t>
  </si>
  <si>
    <t>Early Education Allotment</t>
  </si>
  <si>
    <t>Early Education ADA</t>
  </si>
  <si>
    <t>128% of Statewide  Avg</t>
  </si>
  <si>
    <t>HB 3 Revenue per ADA</t>
  </si>
  <si>
    <t>Difference for Transition Purposes</t>
  </si>
  <si>
    <t>19-20 ADA</t>
  </si>
  <si>
    <t>Lesser of 103% or 128%</t>
  </si>
  <si>
    <t>18-19 ADA</t>
  </si>
  <si>
    <t>18-19 state aid</t>
  </si>
  <si>
    <t>18-19 net M&amp;O taxes</t>
  </si>
  <si>
    <t xml:space="preserve">19-20 DPV </t>
  </si>
  <si>
    <t>Rate to Maintain M&amp;O</t>
  </si>
  <si>
    <t>2018-19 Tier II State Aid</t>
  </si>
  <si>
    <t>2018-19 Net Total State/Local Revenue</t>
  </si>
  <si>
    <t xml:space="preserve">2018-19 ADA </t>
  </si>
  <si>
    <t>2019-20 ADA</t>
  </si>
  <si>
    <t>A</t>
  </si>
  <si>
    <t>B</t>
  </si>
  <si>
    <t>C</t>
  </si>
  <si>
    <t>D</t>
  </si>
  <si>
    <t>E</t>
  </si>
  <si>
    <t>F</t>
  </si>
  <si>
    <t>G</t>
  </si>
  <si>
    <t>18-19 state/local revenue (A + B)</t>
  </si>
  <si>
    <t>18-19 total rev per ADA (C / D)</t>
  </si>
  <si>
    <t>H</t>
  </si>
  <si>
    <t>((E x G) / F) x 100</t>
  </si>
  <si>
    <t>Formula Transition Grant Section 48.277 (a)</t>
  </si>
  <si>
    <t>Formula Transition Grant Section 48.277 (d-1)</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</si>
  <si>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</si>
  <si>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</si>
  <si>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</si>
  <si>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</si>
  <si>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</si>
  <si>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</si>
  <si>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</si>
  <si>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</si>
  <si>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2018-19 Net Total State/Local Revenue per ADA (Line 5 / Line 6)</t>
  </si>
  <si>
    <t xml:space="preserve">2018-19 M&amp;O Tax Collections, Net of Recapture </t>
  </si>
  <si>
    <t>2019-20 Total State/Local Revenue Needed to be Maintained (Line 6 x Line 7)</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</si>
  <si>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</si>
  <si>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</si>
  <si>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</si>
  <si>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</si>
  <si>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</si>
  <si>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</si>
  <si>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</si>
  <si>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</si>
  <si>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</si>
  <si>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</si>
  <si>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</si>
  <si>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</si>
  <si>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</si>
  <si>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</si>
  <si>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</si>
  <si>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</si>
  <si>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</si>
  <si>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</si>
  <si>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</si>
  <si>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Total "Voter-Approved" (Rollback) Rate</t>
  </si>
  <si>
    <t>address the lingering issues that are still out there (does 30% ring a bell?)….so sit tight - it will all work out……maybe.</t>
  </si>
  <si>
    <t>2019-20 Remaining Balance Needed (Line 12 - Line 17 - Line 19)</t>
  </si>
  <si>
    <t>2019-20 Rate to Maintain (Line 34 / (Line 35 / 100))</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</si>
  <si>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</si>
  <si>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</si>
  <si>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</si>
  <si>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</si>
  <si>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</si>
  <si>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</si>
  <si>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</si>
  <si>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</si>
  <si>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</si>
  <si>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</si>
  <si>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</si>
  <si>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</si>
  <si>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</si>
  <si>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</si>
  <si>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</si>
  <si>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</si>
  <si>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</si>
  <si>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</si>
  <si>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</si>
  <si>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2019-20 Tier I Local Share Requirement (includes Tier I recapture)</t>
  </si>
  <si>
    <t>2019-20 Tier I Levy Required for Local Share</t>
  </si>
  <si>
    <t>2019-20 Balance Needed in Order to Maintain 2018-19 Revenue Level</t>
  </si>
  <si>
    <t>2019-20 Tier II Golden Penny DTR Needed to Fund Remaining Balance</t>
  </si>
  <si>
    <t xml:space="preserve">2019-20 Tier II Taxes Collected @ Maximum # of Golden Pennies Allowed </t>
  </si>
  <si>
    <t>2019-20 Tier II Golden Penny DTR @ Maximum Golden Pennies Allowed</t>
  </si>
  <si>
    <t>2019-20 Tier II Golden Penny State/Local Revenue @ Maximum Collections</t>
  </si>
  <si>
    <t>2019-20 Tier II Golden Penny Local Share (LR)</t>
  </si>
  <si>
    <t>2019-20 M&amp;O Levy Needed for Tier II Golden Penny Local Share (LR)</t>
  </si>
  <si>
    <t>2019-20 Tier II Golden Penny State Aid @ Max DTR Allowed</t>
  </si>
  <si>
    <t>2019-20 Tier II Copper Penny DTR Needed to Fund Remaining Balance</t>
  </si>
  <si>
    <t xml:space="preserve">2019-20 Tier II Taxes Collected @ Maximum # of Copper Pennies Allowed </t>
  </si>
  <si>
    <t>2019-20 Tier II Copper Penny DTR @ Maximum Copper Pennies Allowed</t>
  </si>
  <si>
    <t>2019-20 Tier II Copper Penny State/Local Revenue @ Maximum Collections</t>
  </si>
  <si>
    <t>2019-20 Tier II Recapture</t>
  </si>
  <si>
    <t>2019-20 M&amp;O Levy Needed for Tier II Copper Penny Level</t>
  </si>
  <si>
    <t>2019-20 Tier II Copper Penny State Aid @ Max DTR Allowed</t>
  </si>
  <si>
    <t>2019-20 Remaining Net Balance Needed (Line 20 - Line 25 - Line 28)</t>
  </si>
  <si>
    <t>2019-20 Total Levy Needed  (Sum of Lines 10, 18, 27, 30, and 33)</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</si>
  <si>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</si>
  <si>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</si>
  <si>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</si>
  <si>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</si>
  <si>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</si>
  <si>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</si>
  <si>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</si>
  <si>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</si>
  <si>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Current</t>
  </si>
  <si>
    <t>Law</t>
  </si>
  <si>
    <t>2023 TAX</t>
  </si>
  <si>
    <t>Special Education Transportation Allotment</t>
  </si>
  <si>
    <t>Career &amp; Tech Transportation Allotment</t>
  </si>
  <si>
    <t>Private Transportation Allotment</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</si>
  <si>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</si>
  <si>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</si>
  <si>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</si>
  <si>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</si>
  <si>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</si>
  <si>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</si>
  <si>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</si>
  <si>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</si>
  <si>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</si>
  <si>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</si>
  <si>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</si>
  <si>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</si>
  <si>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</si>
  <si>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Effective 20-21</t>
  </si>
  <si>
    <t>NOTE: the amount appropriated may</t>
  </si>
  <si>
    <t xml:space="preserve">not be enough to fund at the $1,000 </t>
  </si>
  <si>
    <t>20-21 ADA</t>
  </si>
  <si>
    <t>For the 19-20 and 20-21 school years, the "voter-approval" (rollback) rate would be:</t>
  </si>
  <si>
    <t xml:space="preserve">3) </t>
  </si>
  <si>
    <t>Compressed Tax Rate</t>
  </si>
  <si>
    <t>Less: 2020-21 # of Copper Pennies Compressed</t>
  </si>
  <si>
    <t>State Compression %</t>
  </si>
  <si>
    <t>the $.05 shown above will revert to $.04….so was it adopted unanimously?</t>
  </si>
  <si>
    <t>for the preceding tax year that is recognized as taxable</t>
  </si>
  <si>
    <t>from the preceding year because of refinancing or renewal</t>
  </si>
  <si>
    <r>
      <t xml:space="preserve">Basic Allotment                                                                    </t>
    </r>
    <r>
      <rPr>
        <sz val="12"/>
        <color indexed="10"/>
        <rFont val="Arial MT"/>
      </rPr>
      <t>(Link to Detail Report)</t>
    </r>
  </si>
  <si>
    <t>??-Small &amp; Mid-size District Allotment</t>
  </si>
  <si>
    <t>??-Fast Growth Allotment</t>
  </si>
  <si>
    <t>??-Teacher Incentive Allotment</t>
  </si>
  <si>
    <t>??-Mentor Program Allotment</t>
  </si>
  <si>
    <t>??-School Safety Allotment</t>
  </si>
  <si>
    <t>??-Dropout Recovery School &amp; Residential Placement Facility Allotment</t>
  </si>
  <si>
    <t>??-College Prep Assessment Reimbursement</t>
  </si>
  <si>
    <t>2019 State Certified Property Value ("T2" value)</t>
  </si>
  <si>
    <t>SUMMARY OF TOTAL RECAPTURE:</t>
  </si>
  <si>
    <t>Fast Growth ?</t>
  </si>
  <si>
    <t>Sec 48.255(b): St Compression % = lesser of:</t>
  </si>
  <si>
    <t>OR:</t>
  </si>
  <si>
    <t>SCP = PYCP x 1.025 / (1 + ECPV)</t>
  </si>
  <si>
    <t>PYCP</t>
  </si>
  <si>
    <t>ECPV</t>
  </si>
  <si>
    <t>SCP =</t>
  </si>
  <si>
    <t>Prior-yr %</t>
  </si>
  <si>
    <t>17-18 ADA</t>
  </si>
  <si>
    <t>NOTE: if a distict's MCR is less than 90% of another</t>
  </si>
  <si>
    <t>district's MCR, that district's MCR is equal to the MCR above</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</si>
  <si>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</si>
  <si>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</si>
  <si>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</si>
  <si>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</si>
  <si>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</si>
  <si>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</si>
  <si>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CPTD Value (prior-yr "T10" for 18-19 &amp; current-yr value beginning 19-20)</t>
  </si>
  <si>
    <t>CPTD Value for Applicable Year ("T10" in 18-19 &amp; "T2" beginning 19-20)</t>
  </si>
  <si>
    <t>The data for 18-19 come from TEA's template dated June 2018 and are carried over to the subsequent years.</t>
  </si>
  <si>
    <t>level</t>
  </si>
  <si>
    <t>HB 3 Law</t>
  </si>
  <si>
    <t>Greater of 19-20 or 20-21</t>
  </si>
  <si>
    <t>19-20 'Lesser of' Amount</t>
  </si>
  <si>
    <t>allotment for one-county district</t>
  </si>
  <si>
    <t>use of 1.00 expires end of 20-21</t>
  </si>
  <si>
    <t>greater of (to be added to 6,160 for sp ed only)</t>
  </si>
  <si>
    <t>Formula Transition Grant #1</t>
  </si>
  <si>
    <t>Formula Transition Grant #2</t>
  </si>
  <si>
    <t>M&amp;O Compressed Rate - Old Law</t>
  </si>
  <si>
    <t>M&amp;O Compressed Rate - HB 3</t>
  </si>
  <si>
    <t>M&amp;O Adopted Tax Rate - Old Law</t>
  </si>
  <si>
    <t>M&amp;O Adopted Tax Rate - HB 3</t>
  </si>
  <si>
    <t xml:space="preserve">M&amp;O Tax Collections @ Old Law Adopted M&amp;O Rate </t>
  </si>
  <si>
    <t xml:space="preserve">M&amp;O Tax Collections @ HB 3 Adopted M&amp;O Rate </t>
  </si>
  <si>
    <t># Miles Buses Traveled Transporting Regular Eligible Students &amp; Homeless Students</t>
  </si>
  <si>
    <t>CPTD Value (current-yr value beginning 19-20)</t>
  </si>
  <si>
    <t>Career &amp; Technology FTEs - Old Law</t>
  </si>
  <si>
    <t>Career &amp; Technology FTEs - New Law</t>
  </si>
  <si>
    <t>School Year 2019-20 Only:</t>
  </si>
  <si>
    <t>Expiration of Certain Excluded Property (see note in Cell K165 below)</t>
  </si>
  <si>
    <r>
      <t>"Harvey" Portion of 18-19 M&amp;O Tax Rate (</t>
    </r>
    <r>
      <rPr>
        <i/>
        <sz val="12"/>
        <rFont val="Arial MT"/>
      </rPr>
      <t>i.e.</t>
    </r>
    <r>
      <rPr>
        <sz val="12"/>
        <rFont val="Arial MT"/>
      </rPr>
      <t>, enter as .02, .04, etc.)</t>
    </r>
  </si>
  <si>
    <t>The following is the methodology laid out be TEA as per the To The Administrator Addressed letter dated 6/11/19</t>
  </si>
  <si>
    <t>re: Salary Increases. Please read that letter for more information.</t>
  </si>
  <si>
    <t>2019-20 ONLY</t>
  </si>
  <si>
    <t xml:space="preserve">2018-19 Total M&amp;O State Aid </t>
  </si>
  <si>
    <t>2018-19 Total M&amp;O Tax Collections</t>
  </si>
  <si>
    <t>2018-19 Recapture</t>
  </si>
  <si>
    <t>2018-19 Total State/Local Revenue (Line 1 + Line 2 - Line 3)</t>
  </si>
  <si>
    <t>2018-19 Total Revenue per ADA (Line 4 / Line 5)</t>
  </si>
  <si>
    <t xml:space="preserve">2019-20 Total M&amp;O State Aid </t>
  </si>
  <si>
    <t>2019-20 Total M&amp;O Tax Collections</t>
  </si>
  <si>
    <t>2019-20 Recapture</t>
  </si>
  <si>
    <t>2019-20 Total State/Local Revenue (Line 7 + Line 8 - Line 9)</t>
  </si>
  <si>
    <t>2019-20 Total Revenue per ADA (Line 10 / Line 11)</t>
  </si>
  <si>
    <t>Gain per ADA (Line 12 - Line 6)</t>
  </si>
  <si>
    <t>Total 2019-20 Refined ADA</t>
  </si>
  <si>
    <t>Total Gain (Line 13 x Line 14)</t>
  </si>
  <si>
    <t>30% of Total Gain (Line 15 x .30)</t>
  </si>
  <si>
    <t>75% of Total Gain (Line 16 x .75)</t>
  </si>
  <si>
    <t>25% of Total Gain (Line 16 x .25)</t>
  </si>
  <si>
    <t>21-22 ADA</t>
  </si>
  <si>
    <t>HB3 21-22 Revenue per ADA</t>
  </si>
  <si>
    <t>HB3 19-20 Revenue per ADA</t>
  </si>
  <si>
    <t>HB3 20-21 Revenue per ADA</t>
  </si>
  <si>
    <t>(d-1) Expired 20-21</t>
  </si>
  <si>
    <t>HB3 22-23 Revenue per ADA</t>
  </si>
  <si>
    <t>22-23 ADA</t>
  </si>
  <si>
    <t>Current Law 21-22</t>
  </si>
  <si>
    <t>Current Law 22-23</t>
  </si>
  <si>
    <t>Current Law 23-24</t>
  </si>
  <si>
    <t>ASAHE</t>
  </si>
  <si>
    <t>Tier I Compressed Rate</t>
  </si>
  <si>
    <t>19-20 remaining "enrichment" pennies</t>
  </si>
  <si>
    <t>Copper Pennies Before Compression</t>
  </si>
  <si>
    <t>Copper Pennies After Compression</t>
  </si>
  <si>
    <t># of copper pennies compressed</t>
  </si>
  <si>
    <t>3) M&amp;O "Voter-Approval" (Rollback) Rate</t>
  </si>
  <si>
    <t>M&amp;O "Voter-Approval" (Rollback) Rate</t>
  </si>
  <si>
    <r>
      <t xml:space="preserve">.05 OR .04 </t>
    </r>
    <r>
      <rPr>
        <b/>
        <sz val="10"/>
        <color rgb="FFFF0000"/>
        <rFont val="Arial MT"/>
      </rPr>
      <t>(see NOTE below)</t>
    </r>
  </si>
  <si>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</si>
  <si>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</si>
  <si>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</si>
  <si>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</si>
  <si>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</si>
  <si>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</si>
  <si>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</si>
  <si>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</si>
  <si>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</si>
  <si>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</si>
  <si>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</si>
  <si>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</si>
  <si>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</si>
  <si>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</si>
  <si>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</si>
  <si>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</si>
  <si>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</si>
  <si>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</si>
  <si>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</si>
  <si>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</si>
  <si>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</si>
  <si>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</si>
  <si>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</si>
  <si>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</si>
  <si>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</si>
  <si>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</si>
  <si>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</si>
  <si>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</si>
  <si>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HB3 M&amp;O Rollback Rate</t>
  </si>
  <si>
    <t>NOTE: If the the board does not unanimously adopt the voter-approval rate beginning with 20-21,</t>
  </si>
  <si>
    <t>change to N if no</t>
  </si>
  <si>
    <t>Enrichment Tax Rate for Preceeding Year</t>
  </si>
  <si>
    <t>Advanced Career &amp; Technology FTEs - Old Law</t>
  </si>
  <si>
    <r>
      <t xml:space="preserve">Ed Disadvantaged Students Living in Eco Disadvantaged Census Block 1 </t>
    </r>
    <r>
      <rPr>
        <b/>
        <sz val="12"/>
        <rFont val="Arial MT"/>
      </rPr>
      <t>(use this if no block data)</t>
    </r>
  </si>
  <si>
    <t>Advanced Career &amp; Technology FTEs - New Law</t>
  </si>
  <si>
    <t>Compensatory Ed Enrollment - Old Law</t>
  </si>
  <si>
    <t>Regular Transportation Allocation - Old Law</t>
  </si>
  <si>
    <t>Is district a fast-growth district as determined by TEA? (using TEA's preliminary list) (Y=yes; 0=no)</t>
  </si>
  <si>
    <t xml:space="preserve">&lt;= Enter C&amp;T FTEs under old law - Grades 9-12 + Grades 7-12 for students with disabilities. </t>
  </si>
  <si>
    <t xml:space="preserve">&lt;= Enter C&amp;T FTEs under new law - Grades 7-12 of all C&amp;T students regardless of any disabilities. </t>
  </si>
  <si>
    <t>&lt;= Enter the FTEs of students enrolled in 2 or more advanced C&amp;T classes for 3 or more credits.</t>
  </si>
  <si>
    <t>&lt;= Enter the FTEs of students enrolled in 2 or more advanced C&amp;T classes for 3 or more credits + FTEs of C&amp;T students on a P-TECH campus + FTEs of C&amp;T students on a campus that is a member of the New Tech Network.</t>
  </si>
  <si>
    <t xml:space="preserve">&lt;= Enter comp ed enrollment (best 6 mo avg of free and reduced price eligible students for the prior federal fiscal year 10/1 thru 9/30).   </t>
  </si>
  <si>
    <t xml:space="preserve">&lt;= Enter the # of students that do not have a disability and are living in a residential placement facility whose parents do not reside in the district.   </t>
  </si>
  <si>
    <t xml:space="preserve">&lt;= Enter the # of students that are educationally disadvantaged and are living in a residential placement facility whose parents do not reside in the district.   </t>
  </si>
  <si>
    <t xml:space="preserve">&lt;= # of students in this block to be determined by TEA.   </t>
  </si>
  <si>
    <t>&lt;= Enter the ADA of non-LEP students in a bilingual ed program using a dual language immersion/two-way program model.</t>
  </si>
  <si>
    <t>&lt;= Enter bilingual ADA of all LEP students as defined in TEC 29.052.</t>
  </si>
  <si>
    <t>&lt;= Enter bilingual ADA of LEP students in a bilingual ed program using a dual language immersion/one-way or two-way program model.</t>
  </si>
  <si>
    <t>&lt;= enter the # of students being served who have been identified as having dyslexia or a related disorder.</t>
  </si>
  <si>
    <t>&lt;= Enter the ADA of students in Grades K-3 that are either educationally disadvantaged or are LEP students being served in a bilingual ed or special language program under TEC Chapter 29, Subchapter B.</t>
  </si>
  <si>
    <t>&lt;= Enter the ADA of students residing in a residential placement facility or are enrolled in a dropout recovery school under TEC 39.0548.</t>
  </si>
  <si>
    <t>&lt;= For tax years 20187 and 2018 (2018 preliminary as of this date), the appropriate final "T" values as certified by the Comptroller have been loaded for you.  Starting with tax year 2019 (2019-20 school year, you should enter your own estimates of what those "T" values would be once certified by the Comptroller.</t>
  </si>
  <si>
    <t>&lt;= The "T1" value is used in the computation of the M&amp;O hold harmless amount under old law.</t>
  </si>
  <si>
    <t>&lt;= The "T4" value applies only to Chapter 41 school districts and is used in the computation of recapture under old law.</t>
  </si>
  <si>
    <t>&lt;= The "T10" value is used to computed the local shares for EDA &amp; IFA under old law.</t>
  </si>
  <si>
    <t>&lt;= The "T3" value applies only to Chapter 41 school districts and is used in the computation of the M&amp;O hold harmless amount under old law.</t>
  </si>
  <si>
    <t xml:space="preserve">&lt;= Enter the district's adopted M&amp;O tax rate for the 2018-19 school year - the other years will use that same rate to compute old law M&amp;O tax collections.  </t>
  </si>
  <si>
    <r>
      <t xml:space="preserve">&lt;= Enter the estimated M&amp;O taxes to be collected (including frozen levies) for the applicable year at the adopted 18-19 M&amp;O rate.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</si>
  <si>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This cell is calculated for you - it is the district's rollback rate under HB 3. </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</si>
  <si>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</si>
  <si>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</si>
  <si>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total (regular + sp ed + C&amp;T+ private) transportation allotment (you can use the prior year allocation if the current year's allotment is not known at this time).</t>
  </si>
  <si>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</si>
  <si>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</si>
  <si>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</si>
  <si>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</si>
  <si>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The 18-19 amount has been loaded for you but you should check to make sure it matches what TEA is using on your latest SOF - if not, change the amount loaded to what TEA has (you can find TEA's amount on the 18-19 ASAHE for Facilities Detail Report).  It represents the amount of eligible debt the district had as of 9/1/15 and is used in the calculation of I&amp;S hold harmless (TEA calls it Additional State Aid for Homestead Exemption (ASAHE) for Facilities.    </t>
  </si>
  <si>
    <t>&lt;= Enter the district's total taxable value for tax year 2019 as it appears on Line 18 of the Comptroller's Effective Tax Rate Worksheet, which is part of the Truth-in-Taxation publication for 2019 (may not be available yet).</t>
  </si>
  <si>
    <t xml:space="preserve">&lt;= Enter the district's total taxable value for I&amp;S purposes for tax year 2019 only if the district has a Chapter 313 agreement.  </t>
  </si>
  <si>
    <t>&lt;= Enter the amount of excess 2018 debt collections as certified by the Chief Appraiser (Line 29 on the Comptroller's Rollback Tax Rate Worksheet, if available).</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</si>
  <si>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</si>
  <si>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</si>
  <si>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</si>
  <si>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</si>
  <si>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</si>
  <si>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</si>
  <si>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</si>
  <si>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</si>
  <si>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</si>
  <si>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</si>
  <si>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</si>
  <si>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</si>
  <si>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</si>
  <si>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</si>
  <si>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</si>
  <si>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</si>
  <si>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</si>
  <si>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</si>
  <si>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Old Law</t>
  </si>
  <si>
    <t>19-20 Old Law State/Local Revenue per ADA</t>
  </si>
  <si>
    <t>103% of 19-20 Old Law State/Local Revenue per ADA</t>
  </si>
  <si>
    <t>Estimated Statewide Average Old Law 19-20 State/Local Revenue per ADA</t>
  </si>
  <si>
    <t>128% of Statewide Old Law 19-20 State/Local Revenue per ADA</t>
  </si>
  <si>
    <t>19-20 Old Law State/Local Revenue per ADA W/O Ch 41 HH</t>
  </si>
  <si>
    <t>Old Law 20-21 State/Local Revenue per ADA</t>
  </si>
  <si>
    <t>103% of Old Law 20-21 State/Local Revenue per ADA</t>
  </si>
  <si>
    <t>Estimated Statewide Average Old Law 20-21State/Local Revenue per ADA</t>
  </si>
  <si>
    <t>20-21 Old Law State/Local Revenue per ADA W/O Ch 41 HH</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</si>
  <si>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</si>
  <si>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</si>
  <si>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</si>
  <si>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</si>
  <si>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</si>
  <si>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</si>
  <si>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</si>
  <si>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</si>
  <si>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</si>
  <si>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Bilingual ADA - Old Law</t>
  </si>
  <si>
    <t>Bilingual ADA - New Law</t>
  </si>
  <si>
    <t>College, Career, or Military Readiness Outcomes Bonus</t>
  </si>
  <si>
    <t>Tuition Allotment for Districts Not Offering All Grade Levels</t>
  </si>
  <si>
    <t>Tuition Allotment for Districts Not Offering All Grades</t>
  </si>
  <si>
    <t xml:space="preserve">&lt;= Enter the amount, if any, determined by TEA - the amount will appear on the 18-19 Summary of Finances under "Other Programs Detail Report" link and will be part of the Tier I allotments beginning in 19-20 under new law. </t>
  </si>
  <si>
    <t>Career, College, or Military Readiness - Educationally Disadvantaged Graduates</t>
  </si>
  <si>
    <t>Career, College, or Military Readiness - Non-Educationally Disadvantaged Graduates</t>
  </si>
  <si>
    <t>Career, College, or Military Readiness - Special Ed. Graduates</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</si>
  <si>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</si>
  <si>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</si>
  <si>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</si>
  <si>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</si>
  <si>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</si>
  <si>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</si>
  <si>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</si>
  <si>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</si>
  <si>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</si>
  <si>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</si>
  <si>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</si>
  <si>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2017 Property Value With $25K Homestead Exemption (T10)</t>
  </si>
  <si>
    <t>2017 Property Value With $15K Homestead Exemption (T9)</t>
  </si>
  <si>
    <t>folks like me tend not to look ahead - the long and winding road doesn't stretch all that far any more).</t>
  </si>
  <si>
    <t xml:space="preserve">3) the last of the "T" values (T9) has been opened up for data entry - needed it for ASAHE for Facilities under old law, which I think survived (ASAHE for </t>
  </si>
  <si>
    <t>M&amp;O did not).</t>
  </si>
  <si>
    <t>&lt;= Enter bilingual ADA of all LEP students as defined in TEC 29.052, not in a dual language program.</t>
  </si>
  <si>
    <t>&lt; HB 3 says 1.00 but supposedly that was a "printing error" and it was meant to say .93.</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</si>
  <si>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</si>
  <si>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</si>
  <si>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</si>
  <si>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</si>
  <si>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</si>
  <si>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</si>
  <si>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THE WHITE-SHADED DATA ENTRY CELLS CAN BE LEFT ALONE, BUT CAN BE CHANGED IF SO DESIRED</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</si>
  <si>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</si>
  <si>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</si>
  <si>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</si>
  <si>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</si>
  <si>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</si>
  <si>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</si>
  <si>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</si>
  <si>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</si>
  <si>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</si>
  <si>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</si>
  <si>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</si>
  <si>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</si>
  <si>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</si>
  <si>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</si>
  <si>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</si>
  <si>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</si>
  <si>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</si>
  <si>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</si>
  <si>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</si>
  <si>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</si>
  <si>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</si>
  <si>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</si>
  <si>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</si>
  <si>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</si>
  <si>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</si>
  <si>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</si>
  <si>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&lt;= The "T9" value is used in the computation of the I&amp;S hold harmless amount.</t>
  </si>
  <si>
    <t>State Certified Property Value ("T8" value) @ $25K Exemption</t>
  </si>
  <si>
    <t>&lt;= The "T8" value is used in the computation of EDA &amp; IFA  - this value will only be different from T2 if district has a Ch 313 agreement.</t>
  </si>
  <si>
    <t>&lt;= The "T7" value is used in the computation of ASAHE for Facilities.</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</si>
  <si>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</si>
  <si>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</si>
  <si>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</si>
  <si>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</si>
  <si>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</si>
  <si>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</si>
  <si>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State Certified Property Value ("T7" value) @ $15K Exemption</t>
  </si>
  <si>
    <t>ASGN T7</t>
  </si>
  <si>
    <t>T7 @ $15K</t>
  </si>
  <si>
    <t>ASGN T8</t>
  </si>
  <si>
    <t>T8 @ $25K</t>
  </si>
  <si>
    <t xml:space="preserve">Section 42.2511.  Under this provision and based on my understanding, a school district that enters into a contract with a charter school to operate a district </t>
  </si>
  <si>
    <t>School Year 2018-19 Only:</t>
  </si>
  <si>
    <t>Compensatory Ed Enrollment</t>
  </si>
  <si>
    <t>Bilingual ADA</t>
  </si>
  <si>
    <t>Gifted / Talented Allotment</t>
  </si>
  <si>
    <t>Avg Adjusted Allotment</t>
  </si>
  <si>
    <t>(as of this release) avg BA</t>
  </si>
  <si>
    <t>(as of this release) avg ABA</t>
  </si>
  <si>
    <t>Avg DTR</t>
  </si>
  <si>
    <t>gya</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</si>
  <si>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</si>
  <si>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</si>
  <si>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</si>
  <si>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It has been determined that the revenue the district received for doing so is to be included as part of the 18-19 revenue for the 30%....same goes for</t>
  </si>
  <si>
    <t>HB 3, The Compromise - Release 8 Dated 8/5/19</t>
  </si>
  <si>
    <t>ASAHE for Facilities (I&amp;S hold harmless - see HHYR-Calcs tab)</t>
  </si>
  <si>
    <t>&lt; does not include Dist/Charter partnership funding (see DistCharter-Funding1920 tab) nor ASAHE for Facilities allotment (see HH1920-Calcs tab)</t>
  </si>
  <si>
    <t>&lt; includes Hardship Grant &amp; Dist/Charter Partnership Funding, if applicable</t>
  </si>
  <si>
    <t>&lt; includes Formula Transition Grant, Wealth Equalization Grant, &amp; Dist/Charter Partnership Funding, if applicable</t>
  </si>
  <si>
    <t xml:space="preserve">3) and in the Carole King's "It's Too Late" category (most of you youngsters are thinking 'who's that'?), it may be too late, but…...on the Notice tab, </t>
  </si>
  <si>
    <t>the Rate to Maintain under the I&amp;S column and the State Revenue per Student column was using prior-year values instead of current-year values for</t>
  </si>
  <si>
    <t>EDA &amp; IFA, so that's why the rates may have looked odd to some…..at least you now know why.</t>
  </si>
  <si>
    <t>the revenue the district will receive for contracting with a charter school in 19-20 - that revenue is now included as part of the revenue for the 30%.</t>
  </si>
  <si>
    <t>2023 Property Value With $25K Homestead Exemption (T8)</t>
  </si>
  <si>
    <t>2023 Property Value With $15K Homestead Exemption (T7)</t>
  </si>
  <si>
    <t>2022 Property Value With $25K Homestead Exemption (T8)</t>
  </si>
  <si>
    <t>2022 Property Value With $15K Homestead Exemption (T7)</t>
  </si>
  <si>
    <t>2021 Property Value With $25K Homestead Exemption (T8)</t>
  </si>
  <si>
    <t>2021 Property Value With $15K Homestead Exemption (T7)</t>
  </si>
  <si>
    <t>2020 Property Value With $25K Homestead Exemption (T8)</t>
  </si>
  <si>
    <t>2020 Property Value With $15K Homestead Exemption (T7)</t>
  </si>
  <si>
    <t>2019 Property Value With $25K Homestead Exemption (T8)</t>
  </si>
  <si>
    <t>2019 Property Value With $15K Homestead Exemption (T7)</t>
  </si>
  <si>
    <t>Less: Dropout Recovery</t>
  </si>
  <si>
    <t>Less: College Preg Reimbursement</t>
  </si>
  <si>
    <t>Less: Certificaion Exam Reimb.</t>
  </si>
  <si>
    <t>2020 State Certified Property Value ("T2" value)</t>
  </si>
  <si>
    <t>23-Special Education Adjusted Allotment (Spend 55%)</t>
  </si>
  <si>
    <t>22-Career &amp; Technology Allotment (Spend 55%)</t>
  </si>
  <si>
    <r>
      <t xml:space="preserve">24-Comp Ed Allotment (Spend 55%) </t>
    </r>
    <r>
      <rPr>
        <sz val="12"/>
        <color indexed="10"/>
        <rFont val="Arial MT"/>
      </rPr>
      <t>(no Detail Report included)</t>
    </r>
  </si>
  <si>
    <t>25-Bilingual Education Allotment (Spend 55%)</t>
  </si>
  <si>
    <t xml:space="preserve">Gross M&amp;O Rev From Local Taxes </t>
  </si>
  <si>
    <t>Tier 1 Recapture</t>
  </si>
  <si>
    <t>Recapture - Copper Penny Level</t>
  </si>
  <si>
    <t>Net M&amp;O Revenue From Local Taxes</t>
  </si>
  <si>
    <t>Additional M&amp;O Rev Resulting From Chapter 42 Credit Against Recapture</t>
  </si>
  <si>
    <t>Net 2019-20 TOTAL STATE/LOCAL M&amp;O REVENUE</t>
  </si>
  <si>
    <t>Tier I Recapture</t>
  </si>
  <si>
    <t>Less: Chapter 48 Funding Credit Against Recapture</t>
  </si>
  <si>
    <r>
      <rPr>
        <sz val="12"/>
        <rFont val="Arial MT"/>
      </rPr>
      <t>Total 2019-20 Recapture</t>
    </r>
    <r>
      <rPr>
        <sz val="12"/>
        <color indexed="8"/>
        <rFont val="Arial MT"/>
      </rPr>
      <t xml:space="preserve">                                                         </t>
    </r>
    <r>
      <rPr>
        <sz val="12"/>
        <color indexed="10"/>
        <rFont val="Arial MT"/>
      </rPr>
      <t>(Link to Detail Report)</t>
    </r>
  </si>
  <si>
    <t xml:space="preserve">Line 10 / Line 11 = </t>
  </si>
  <si>
    <t xml:space="preserve">Adjustment to ABA (1 - Line 12) </t>
  </si>
  <si>
    <t>Adj Total Cost (Line 9 x Line 13)</t>
  </si>
  <si>
    <t>M&amp;O Rate for Level 1 (Adopted Rate - Compressed Rate, Limited to $.08)</t>
  </si>
  <si>
    <t>Threshold %</t>
  </si>
  <si>
    <t>Note: Thresholds are estimates from TEA as of 8/9/19</t>
  </si>
  <si>
    <t>&lt;= Enter the # of educationally disadvantaged graduates that will meet the College, Career or Military Readiness Bonus criteria based on the methodology that TEA laid out in their 8/9/19 presentation…..or use TEA's estimates found on their template, unless you can figure out this count on your own (good luck with that).</t>
  </si>
  <si>
    <t>&lt;= Enter the # of non-educationally disadvantaged graduates that will meet the College, Career or Military Readiness Bonus criteria based on the methodology that TEA laid out in their 8/9/19 presentation…..or use TEA's estimates found on their template, unless you can figure out this count on your own (good luck with that).</t>
  </si>
  <si>
    <t>&lt;= Enter the # of graduates that received Sp Ed services that will meet the College, Career or Military Readiness Bonus criteria based on the methodology that TEA laid out in their 8/9/19 presentation…..or use TEA's estimates found on their template, unless you can figure out this count on your own (good luck with that).</t>
  </si>
  <si>
    <t>Recapture - Copper Penny Tier II Level</t>
  </si>
  <si>
    <t xml:space="preserve">&lt;= HB 3 repealed the former Chapter 42 Credit Against Recapture  - the only Chapter 48 funding being allowed to be credited against recapture is the amount of the Formula Transition Grant, so if your Grant exceeds your amount of recapture, enter (as a negative amount) the amount of that Grant you want to be applied towards your recapture cost. </t>
  </si>
  <si>
    <r>
      <t xml:space="preserve">Basic </t>
    </r>
    <r>
      <rPr>
        <sz val="12"/>
        <color indexed="8"/>
        <rFont val="Arial MT"/>
      </rPr>
      <t>Allotment</t>
    </r>
    <r>
      <rPr>
        <sz val="12"/>
        <color indexed="12"/>
        <rFont val="Arial MT"/>
      </rPr>
      <t xml:space="preserve">                                                                    </t>
    </r>
    <r>
      <rPr>
        <sz val="12"/>
        <color indexed="10"/>
        <rFont val="Arial MT"/>
      </rPr>
      <t>(Link to Detail Report)</t>
    </r>
  </si>
  <si>
    <r>
      <t xml:space="preserve">Basic Allotment                                                                    </t>
    </r>
    <r>
      <rPr>
        <sz val="12"/>
        <color rgb="FFFF0000"/>
        <rFont val="Arial MT"/>
      </rPr>
      <t>(Link to Detail Report)</t>
    </r>
  </si>
  <si>
    <r>
      <t xml:space="preserve">Basic Allotment                                                                   </t>
    </r>
    <r>
      <rPr>
        <sz val="12"/>
        <color rgb="FFFF0000"/>
        <rFont val="Arial MT"/>
      </rPr>
      <t xml:space="preserve"> (Link to Detail Report)</t>
    </r>
  </si>
  <si>
    <t>generated by TEA on the "DPE" side.  "LPE" data/side is not on this report.</t>
  </si>
  <si>
    <t>2018 Tax Year Finals</t>
  </si>
  <si>
    <t>2018 TAX</t>
  </si>
  <si>
    <r>
      <t xml:space="preserve">Charge for Adv Placement Tests </t>
    </r>
    <r>
      <rPr>
        <b/>
        <sz val="12"/>
        <rFont val="Arial MT"/>
      </rPr>
      <t>(enter as positive or negative #) - HB 3</t>
    </r>
  </si>
  <si>
    <r>
      <t xml:space="preserve">Charge for Early Child Intervention </t>
    </r>
    <r>
      <rPr>
        <b/>
        <sz val="12"/>
        <rFont val="Arial MT"/>
      </rPr>
      <t>(enter as positive or negative #) - HB3</t>
    </r>
  </si>
  <si>
    <t>003801</t>
  </si>
  <si>
    <t>PINEYWOODS COMMUNITY ACADEMY</t>
  </si>
  <si>
    <t>009903</t>
  </si>
  <si>
    <t>THREE-WAY</t>
  </si>
  <si>
    <t>013801</t>
  </si>
  <si>
    <t>ST MARY'S ACADEMY CHARTER SCHOOL</t>
  </si>
  <si>
    <t>014801</t>
  </si>
  <si>
    <t>RICHARD MILBURN ALTER HIGH SCHOOL (KILLEEN)</t>
  </si>
  <si>
    <t>014802</t>
  </si>
  <si>
    <t>TRANSFORMATIVE CHARTER ACADEMY</t>
  </si>
  <si>
    <t>014803</t>
  </si>
  <si>
    <t>PRIORITY CHARTER SCHOOLS</t>
  </si>
  <si>
    <t>014804</t>
  </si>
  <si>
    <t>ORENDA CHARTER SCHOOL</t>
  </si>
  <si>
    <t>015801</t>
  </si>
  <si>
    <t>POR VIDA ACADEMY</t>
  </si>
  <si>
    <t>015802</t>
  </si>
  <si>
    <t>GEORGE GERVIN ACADEMY</t>
  </si>
  <si>
    <t>015803</t>
  </si>
  <si>
    <t>HIGGS CARTER KING GIFTED &amp; TALENTED CHARTER ACAD</t>
  </si>
  <si>
    <t>015805</t>
  </si>
  <si>
    <t>NEW FRONTIERS PUBLIC SCHOOLS INC</t>
  </si>
  <si>
    <t>015806</t>
  </si>
  <si>
    <t>SCHOOL OF EXCELLENCE IN EDUCATION</t>
  </si>
  <si>
    <t>015807</t>
  </si>
  <si>
    <t>SOUTHWEST PREPARATORY SCHOOL</t>
  </si>
  <si>
    <t>015808</t>
  </si>
  <si>
    <t>INSPIRE ACADEMIES</t>
  </si>
  <si>
    <t>015809</t>
  </si>
  <si>
    <t>BEXAR COUNTY ACADEMY</t>
  </si>
  <si>
    <t>015810</t>
  </si>
  <si>
    <t>CAREER PLUS LEARNING ACADEMY</t>
  </si>
  <si>
    <t>015811</t>
  </si>
  <si>
    <t>LA ESCUELA DE LAS AMERICAS</t>
  </si>
  <si>
    <t>015812</t>
  </si>
  <si>
    <t>GEORGE I SANCHEZ CHARTER HS SAN ANTONIO BRANCH</t>
  </si>
  <si>
    <t>015813</t>
  </si>
  <si>
    <t>GUARDIAN ANGEL PERFORMANCE ARTS ACADEMY</t>
  </si>
  <si>
    <t>015814</t>
  </si>
  <si>
    <t>POSITIVE SOLUTIONS CHARTER SCHOOL</t>
  </si>
  <si>
    <t>015815</t>
  </si>
  <si>
    <t>HERITAGE ACADEMY</t>
  </si>
  <si>
    <t>015816</t>
  </si>
  <si>
    <t>ACADEMY OF CAREERS AND TECHNOLOGIES CHARTER SCHOOL</t>
  </si>
  <si>
    <t>015817</t>
  </si>
  <si>
    <t>SAN ANTONIO CAN HIGH SCHOOL</t>
  </si>
  <si>
    <t>015819</t>
  </si>
  <si>
    <t>SHEKINAH RADIANCE ACADEMY</t>
  </si>
  <si>
    <t>015820</t>
  </si>
  <si>
    <t>SAN ANTONIO SCHOOL FOR INQUIRY &amp; CREATIVITY</t>
  </si>
  <si>
    <t>015822</t>
  </si>
  <si>
    <t>JUBILEE ACADEMIES</t>
  </si>
  <si>
    <t>015823</t>
  </si>
  <si>
    <t>SAN ANTONIO TECHNOLOGY ACADEMY</t>
  </si>
  <si>
    <t>015824</t>
  </si>
  <si>
    <t>SAN ANTONIO PREPARATORY ACADEMY</t>
  </si>
  <si>
    <t>015825</t>
  </si>
  <si>
    <t>LIGHTHOUSE CHARTER SCHOOL</t>
  </si>
  <si>
    <t>015826</t>
  </si>
  <si>
    <t>KIPP SAN ANTONIO</t>
  </si>
  <si>
    <t>015827</t>
  </si>
  <si>
    <t>SCHOOL OF SCIENCE AND TECHNOLOGY</t>
  </si>
  <si>
    <t>015828</t>
  </si>
  <si>
    <t>HARMONY SCIENCE ACAD (SAN ANTONIO)</t>
  </si>
  <si>
    <t>015829</t>
  </si>
  <si>
    <t>GENERAL ALFRED A VALENZUELA INT LEADERSHIP ACAD</t>
  </si>
  <si>
    <t>015830</t>
  </si>
  <si>
    <t>BROOKS ACADEMIES OF TEXAS</t>
  </si>
  <si>
    <t>015831</t>
  </si>
  <si>
    <t>SCHOOL OF SCIENCE AND TECHNOLOGY DISCOVERY</t>
  </si>
  <si>
    <t>015832</t>
  </si>
  <si>
    <t>CITY CENTER HEALTH CAREERS</t>
  </si>
  <si>
    <t>015833</t>
  </si>
  <si>
    <t>HENRY FORD ACADEMY ALAMEDA SCHOOL FOR ART + DESIGN</t>
  </si>
  <si>
    <t>015834</t>
  </si>
  <si>
    <t>BASIS TEXAS</t>
  </si>
  <si>
    <t>015835</t>
  </si>
  <si>
    <t>GREAT HEARTS TEXAS</t>
  </si>
  <si>
    <t>015836</t>
  </si>
  <si>
    <t>ELEANOR KOLITZ HEBREW LANGUAGE ACADEMY</t>
  </si>
  <si>
    <t>015837</t>
  </si>
  <si>
    <t>CARPE DIEM SCHOOLS</t>
  </si>
  <si>
    <t>015838</t>
  </si>
  <si>
    <t>COMPASS ROSE ACADEMY</t>
  </si>
  <si>
    <t>015839</t>
  </si>
  <si>
    <t>PROMESA ACADEMY CHARTER SCHOOL</t>
  </si>
  <si>
    <t>021803</t>
  </si>
  <si>
    <t>BRAZOS SCHOOL FOR INQUIRY &amp; CREATIVITY</t>
  </si>
  <si>
    <t>021804</t>
  </si>
  <si>
    <t>HARMONY SCIENCE ACAD (COLLEGE STATION)</t>
  </si>
  <si>
    <t>021805</t>
  </si>
  <si>
    <t>ARROW ACADEMY</t>
  </si>
  <si>
    <t>021903</t>
  </si>
  <si>
    <t>J W HAMILTON JR STATE SCHOOL</t>
  </si>
  <si>
    <t>024801</t>
  </si>
  <si>
    <t>ENCINO SCHOOL</t>
  </si>
  <si>
    <t>025910</t>
  </si>
  <si>
    <t>RON JACKSON STATE JUVENILE CORR COMPLEX UNIT I</t>
  </si>
  <si>
    <t>025911</t>
  </si>
  <si>
    <t>RON JACKSON STATE JUVENILE CORR COMPLEX UNIT II</t>
  </si>
  <si>
    <t>031504</t>
  </si>
  <si>
    <t>UNIVERSITY OF TEXAS AT BROWNSVILLE</t>
  </si>
  <si>
    <t>031505</t>
  </si>
  <si>
    <t>UNIVERSITY OF TEXAS RIO GRANDE VALLEY</t>
  </si>
  <si>
    <t>031801</t>
  </si>
  <si>
    <t>VALLEY HIGH SCHOOL</t>
  </si>
  <si>
    <t>031803</t>
  </si>
  <si>
    <t>HARMONY SCIENCE ACADEMY - BROWNSVILLE</t>
  </si>
  <si>
    <t>034908</t>
  </si>
  <si>
    <t>039901</t>
  </si>
  <si>
    <t>042906</t>
  </si>
  <si>
    <t>043801</t>
  </si>
  <si>
    <t>IMAGINE INTERNATIONAL ACADEMY OF NORTH TEXAS</t>
  </si>
  <si>
    <t>043802</t>
  </si>
  <si>
    <t>LONE STAR LANGUAGE ACADEMY</t>
  </si>
  <si>
    <t>044904</t>
  </si>
  <si>
    <t>046801</t>
  </si>
  <si>
    <t>NANCY NEY CHARTER SCHOOL</t>
  </si>
  <si>
    <t>046802</t>
  </si>
  <si>
    <t>TRINITY CHARTER SCHOOL</t>
  </si>
  <si>
    <t>049904</t>
  </si>
  <si>
    <t>GAINESVILLE STATE SCHOOL</t>
  </si>
  <si>
    <t>057802</t>
  </si>
  <si>
    <t>PEGASUS SCHOOL OF LIBERAL ARTS AND SCIENCES</t>
  </si>
  <si>
    <t>057803</t>
  </si>
  <si>
    <t>UPLIFT EDUCATION</t>
  </si>
  <si>
    <t>057804</t>
  </si>
  <si>
    <t>TEXANS CAN ACADEMIES</t>
  </si>
  <si>
    <t>057805</t>
  </si>
  <si>
    <t>LUMIN EDUCATION</t>
  </si>
  <si>
    <t>057806</t>
  </si>
  <si>
    <t>ADVANTAGE ACADEMY</t>
  </si>
  <si>
    <t>057807</t>
  </si>
  <si>
    <t>LIFE SCHOOL</t>
  </si>
  <si>
    <t>057808</t>
  </si>
  <si>
    <t>UNIVERSAL ACADEMY</t>
  </si>
  <si>
    <t>057809</t>
  </si>
  <si>
    <t>NOVA ACADEMY</t>
  </si>
  <si>
    <t>057810</t>
  </si>
  <si>
    <t>ACADEMY OF DALLAS</t>
  </si>
  <si>
    <t>057811</t>
  </si>
  <si>
    <t>CHILDREN FIRST ACADEMY OF DALLAS</t>
  </si>
  <si>
    <t>057813</t>
  </si>
  <si>
    <t>TRINITY BASIN PREPARATORY</t>
  </si>
  <si>
    <t>057814</t>
  </si>
  <si>
    <t>ACADEMY FOR ACADEMIC EXCELLENCE</t>
  </si>
  <si>
    <t>057815</t>
  </si>
  <si>
    <t>FAITH FAMILY ACADEMY OF OAK CLIFF</t>
  </si>
  <si>
    <t>057816</t>
  </si>
  <si>
    <t>A W BROWN LEADERSHIP ACADEMY</t>
  </si>
  <si>
    <t>057817</t>
  </si>
  <si>
    <t>FOCUS LEARNING ACADEMY</t>
  </si>
  <si>
    <t>057818</t>
  </si>
  <si>
    <t>LYNACRE ACADEMY CHARTER SCHOOL</t>
  </si>
  <si>
    <t>057819</t>
  </si>
  <si>
    <t>JEAN MASSIEU ACADEMY</t>
  </si>
  <si>
    <t>057820</t>
  </si>
  <si>
    <t>RYLIE FAITH FAMILY ACADEMY</t>
  </si>
  <si>
    <t>057821</t>
  </si>
  <si>
    <t>THE SCHOOL OF LIBERAL ARTS AND SCIENCE</t>
  </si>
  <si>
    <t>057825</t>
  </si>
  <si>
    <t>HONORS ACADEMY</t>
  </si>
  <si>
    <t>057827</t>
  </si>
  <si>
    <t>NOVA ACADEMY SOUTHEAST</t>
  </si>
  <si>
    <t>057828</t>
  </si>
  <si>
    <t>WINFREE ACADEMY CHARTER SCHOOLS</t>
  </si>
  <si>
    <t>057829</t>
  </si>
  <si>
    <t>A+ ACADEMY</t>
  </si>
  <si>
    <t>057830</t>
  </si>
  <si>
    <t>INSPIRED VISION ACADEMY</t>
  </si>
  <si>
    <t>057831</t>
  </si>
  <si>
    <t>GATEWAY CHARTER ACADEMY</t>
  </si>
  <si>
    <t>057832</t>
  </si>
  <si>
    <t>ALPHA CHARTER SCHOOL</t>
  </si>
  <si>
    <t>057833</t>
  </si>
  <si>
    <t>EDUCATION CENTER INTERNATIONAL ACADEMY</t>
  </si>
  <si>
    <t>057834</t>
  </si>
  <si>
    <t>EVOLUTION ACADEMY CHARTER SCHOOL</t>
  </si>
  <si>
    <t>057835</t>
  </si>
  <si>
    <t>GOLDEN RULE CHARTER SCHOOL</t>
  </si>
  <si>
    <t>057836</t>
  </si>
  <si>
    <t>ST ANTHONY SCHOOL</t>
  </si>
  <si>
    <t>057837</t>
  </si>
  <si>
    <t>KIPP DALLAS-FORT WORTH</t>
  </si>
  <si>
    <t>057838</t>
  </si>
  <si>
    <t>UPLIFT EDUCATION - PEAK PREPARATORY</t>
  </si>
  <si>
    <t>057839</t>
  </si>
  <si>
    <t>LA ACADEMIA DE ESTRELLAS</t>
  </si>
  <si>
    <t>057840</t>
  </si>
  <si>
    <t>RICHLAND COLLEGIATE HIGH SCHOOL</t>
  </si>
  <si>
    <t>057841</t>
  </si>
  <si>
    <t>CITYSCAPE SCHOOLS</t>
  </si>
  <si>
    <t>057842</t>
  </si>
  <si>
    <t>UPLIFT EDUCATION - WILLIAMS PREPARATORY</t>
  </si>
  <si>
    <t>057843</t>
  </si>
  <si>
    <t>UPLIFT EDUCATION - HAMPTON PREPARATORY</t>
  </si>
  <si>
    <t>057844</t>
  </si>
  <si>
    <t>MANARA ACADEMY</t>
  </si>
  <si>
    <t>057845</t>
  </si>
  <si>
    <t>UME PREPARATORY ACADEMY</t>
  </si>
  <si>
    <t>057846</t>
  </si>
  <si>
    <t>LEGACY PREPARATORY</t>
  </si>
  <si>
    <t>057847</t>
  </si>
  <si>
    <t>VILLAGE TECH SCHOOLS</t>
  </si>
  <si>
    <t>057848</t>
  </si>
  <si>
    <t>INTERNATIONAL LEADERSHIP OF TEXAS (ILTEXAS)</t>
  </si>
  <si>
    <t>057849</t>
  </si>
  <si>
    <t>TRINITY ENVIRONMENTAL ACADEMY</t>
  </si>
  <si>
    <t>057850</t>
  </si>
  <si>
    <t>PIONEER TECHNOLOGY &amp; ARTS ACADEMY</t>
  </si>
  <si>
    <t>057851</t>
  </si>
  <si>
    <t>BRIDGEWAY PREPARATORY ACADEMY</t>
  </si>
  <si>
    <t>057920</t>
  </si>
  <si>
    <t>WILMER-HUTCHINS ISD</t>
  </si>
  <si>
    <t>061501</t>
  </si>
  <si>
    <t>UNIVERSITY OF NORTH TEXAS</t>
  </si>
  <si>
    <t>061802</t>
  </si>
  <si>
    <t>NORTH TEXAS COLLEGIATE ACADEMY</t>
  </si>
  <si>
    <t>061803</t>
  </si>
  <si>
    <t>THE LEGENDS ACADEMY</t>
  </si>
  <si>
    <t>061804</t>
  </si>
  <si>
    <t>LEADERSHIP PREP SCHOOL</t>
  </si>
  <si>
    <t>061805</t>
  </si>
  <si>
    <t>TRIVIUM ACADEMY</t>
  </si>
  <si>
    <t>068801</t>
  </si>
  <si>
    <t>RICHARD MILBURN ACADEMY (ECTOR COUNTY)</t>
  </si>
  <si>
    <t>068802</t>
  </si>
  <si>
    <t>COMPASS ACADEMY CHARTER SCHOOL</t>
  </si>
  <si>
    <t>068803</t>
  </si>
  <si>
    <t>UTPB STEM ACADEMY</t>
  </si>
  <si>
    <t>070801</t>
  </si>
  <si>
    <t>WAXAHACHIE FAITH FAMILY ACADEMY</t>
  </si>
  <si>
    <t>071801</t>
  </si>
  <si>
    <t>BURNHAM WOOD CHARTER SCHOOL DISTRICT</t>
  </si>
  <si>
    <t>071803</t>
  </si>
  <si>
    <t>TRIUMPH PUBLIC HIGH SCHOOLS-EL PASO</t>
  </si>
  <si>
    <t>071804</t>
  </si>
  <si>
    <t>EL PASO ACADEMY</t>
  </si>
  <si>
    <t>071805</t>
  </si>
  <si>
    <t>EL PASO SCHOOL OF EXCELLENCE</t>
  </si>
  <si>
    <t>071806</t>
  </si>
  <si>
    <t>HARMONY SCIENCE ACAD (EL PASO)</t>
  </si>
  <si>
    <t>071807</t>
  </si>
  <si>
    <t>LA FE PREPARATORY SCHOOL</t>
  </si>
  <si>
    <t>071808</t>
  </si>
  <si>
    <t>Somerset Charter School</t>
  </si>
  <si>
    <t>071809</t>
  </si>
  <si>
    <t>VISTA DEL FUTURO CHARTER SCHOOL</t>
  </si>
  <si>
    <t>071810</t>
  </si>
  <si>
    <t>EL PASO LEADERSHIP ACADEMY</t>
  </si>
  <si>
    <t>072801</t>
  </si>
  <si>
    <t>PREMIER HIGH SCHOOLS</t>
  </si>
  <si>
    <t>072802</t>
  </si>
  <si>
    <t>ERATH EXCELS ACADEMY INC</t>
  </si>
  <si>
    <t>079908</t>
  </si>
  <si>
    <t>084505</t>
  </si>
  <si>
    <t>TEXAS A &amp; M UNIVERSITY AT GALVESTON</t>
  </si>
  <si>
    <t>084801</t>
  </si>
  <si>
    <t>MAINLAND PREPARATORY ACADEMY</t>
  </si>
  <si>
    <t>084802</t>
  </si>
  <si>
    <t>ODYSSEY ACADEMY INC</t>
  </si>
  <si>
    <t>084804</t>
  </si>
  <si>
    <t>AMBASSADORS PREPARATORY ACADEMY</t>
  </si>
  <si>
    <t>084805</t>
  </si>
  <si>
    <t>PREMIER LEARNING ACADEMY</t>
  </si>
  <si>
    <t>084904</t>
  </si>
  <si>
    <t>092801</t>
  </si>
  <si>
    <t>EAST TEXAS CHARTER SCHOOLS</t>
  </si>
  <si>
    <t>101801</t>
  </si>
  <si>
    <t>MEDICAL CENTER CHARTER SCHOOL</t>
  </si>
  <si>
    <t>101802</t>
  </si>
  <si>
    <t>SER-NINOS CHARTER SCHOOL</t>
  </si>
  <si>
    <t>101803</t>
  </si>
  <si>
    <t>ARISTOI CLASSICAL ACADEMY</t>
  </si>
  <si>
    <t>101804</t>
  </si>
  <si>
    <t>GEORGE I SANCHEZ CHARTER</t>
  </si>
  <si>
    <t>101805</t>
  </si>
  <si>
    <t>GIRLS &amp; BOYS PREPARATORY ACADEMY</t>
  </si>
  <si>
    <t>101806</t>
  </si>
  <si>
    <t>RAUL YZAGUIRRE SCHOOLS FOR SUCCESS</t>
  </si>
  <si>
    <t>101807</t>
  </si>
  <si>
    <t>UNIVERSITY OF HOUSTON CHARTER SCHOOL</t>
  </si>
  <si>
    <t>101809</t>
  </si>
  <si>
    <t>BAY AREA CHARTER INC</t>
  </si>
  <si>
    <t>101810</t>
  </si>
  <si>
    <t>ACADEMY OF ACCELERATED LEARNING INC</t>
  </si>
  <si>
    <t>101811</t>
  </si>
  <si>
    <t>EXCEL ACADEMY</t>
  </si>
  <si>
    <t>101812</t>
  </si>
  <si>
    <t>HOUSTON CAN ACADEMY CHARTER SCHOOL</t>
  </si>
  <si>
    <t>101813</t>
  </si>
  <si>
    <t>KIPP INC CHARTER</t>
  </si>
  <si>
    <t>101814</t>
  </si>
  <si>
    <t>THE VARNETT PUBLIC SCHOOL</t>
  </si>
  <si>
    <t>101815</t>
  </si>
  <si>
    <t>ALIEF MONTESSORI COMMUNITY SCHOOL</t>
  </si>
  <si>
    <t>101817</t>
  </si>
  <si>
    <t>ALPHONSO CRUTCH'S-LIFE SUPPORT CENTER</t>
  </si>
  <si>
    <t>101818</t>
  </si>
  <si>
    <t>AMERICAN ACADEMY OF EXCELLENCE CHARTER SCHOOL-HOU</t>
  </si>
  <si>
    <t>101819</t>
  </si>
  <si>
    <t>AMIGOS POR VIDA-FRIENDS FOR LIFE PUB CHTR SCH</t>
  </si>
  <si>
    <t>101820</t>
  </si>
  <si>
    <t>BENJI'S SPECIAL EDUCATIONAL ACADEMY CHARTER SCHOOL</t>
  </si>
  <si>
    <t>101821</t>
  </si>
  <si>
    <t>HOUSTON HEIGHTS HIGH SCHOOL</t>
  </si>
  <si>
    <t>101822</t>
  </si>
  <si>
    <t>JAMIE'S HOUSE CHARTER SCHOOL</t>
  </si>
  <si>
    <t>101823</t>
  </si>
  <si>
    <t>CHILDREN FIRST ACADEMY OF HOUSTON</t>
  </si>
  <si>
    <t>101827</t>
  </si>
  <si>
    <t>CROSSROADS COMMUNITY ED CTR CHARTER SCHOOL</t>
  </si>
  <si>
    <t>101828</t>
  </si>
  <si>
    <t>HOUSTON GATEWAY ACADEMY INC</t>
  </si>
  <si>
    <t>101829</t>
  </si>
  <si>
    <t>HOUSTON HEIGHTS LEARNING ACADEMY INC</t>
  </si>
  <si>
    <t>101830</t>
  </si>
  <si>
    <t>IMPACT CHARTER</t>
  </si>
  <si>
    <t>101831</t>
  </si>
  <si>
    <t>JESSE JACKSON ACADEMY</t>
  </si>
  <si>
    <t>101833</t>
  </si>
  <si>
    <t>LA AMISTAD LOVE &amp; LEARNING ACADEMY</t>
  </si>
  <si>
    <t>101834</t>
  </si>
  <si>
    <t>NORTH HOUSTON H S FOR BUSINESS</t>
  </si>
  <si>
    <t>101837</t>
  </si>
  <si>
    <t>CALVIN NELMS CHARTER SCHOOLS</t>
  </si>
  <si>
    <t>101838</t>
  </si>
  <si>
    <t>SOUTHWEST SCHOOL</t>
  </si>
  <si>
    <t>101840</t>
  </si>
  <si>
    <t>TWO DIMENSIONS PREPARATORY ACADEMY</t>
  </si>
  <si>
    <t>101842</t>
  </si>
  <si>
    <t>COMQUEST ACADEMY</t>
  </si>
  <si>
    <t>101843</t>
  </si>
  <si>
    <t>GULF SHORES ACADEMY</t>
  </si>
  <si>
    <t>101845</t>
  </si>
  <si>
    <t>YES PREP PUBLIC SCHOOLS INC</t>
  </si>
  <si>
    <t>101846</t>
  </si>
  <si>
    <t>HARMONY SCIENCE ACADEMY</t>
  </si>
  <si>
    <t>101847</t>
  </si>
  <si>
    <t>BEATRICE MAYES INSTITUTE CHARTER SCHOOL</t>
  </si>
  <si>
    <t>101848</t>
  </si>
  <si>
    <t>NORTHWEST PREPARATORY</t>
  </si>
  <si>
    <t>101849</t>
  </si>
  <si>
    <t>ACCELERATED INTERMEDIATE ACADEMY</t>
  </si>
  <si>
    <t>101850</t>
  </si>
  <si>
    <t>ZOE LEARNING ACADEMY</t>
  </si>
  <si>
    <t>101851</t>
  </si>
  <si>
    <t>HOUSTON ALTERNATIVE PREPARATORY CHARTER SCHOOL</t>
  </si>
  <si>
    <t>101852</t>
  </si>
  <si>
    <t>JUAN B GALAVIZ CHARTER SCHOOL</t>
  </si>
  <si>
    <t>101853</t>
  </si>
  <si>
    <t>PROMISE COMMUNITY SCHOOL</t>
  </si>
  <si>
    <t>101854</t>
  </si>
  <si>
    <t>RICHARD MILBURN ACADEMY (SUBURBAN HOUSTON)</t>
  </si>
  <si>
    <t>101855</t>
  </si>
  <si>
    <t>MEYERPARK ELEMENTARY</t>
  </si>
  <si>
    <t>101856</t>
  </si>
  <si>
    <t>DRAW ACADEMY</t>
  </si>
  <si>
    <t>101857</t>
  </si>
  <si>
    <t>HARMONY SCHOOL OF INNOVATION</t>
  </si>
  <si>
    <t>101858</t>
  </si>
  <si>
    <t>HARMONY SCHOOL OF EXCELLENCE</t>
  </si>
  <si>
    <t>101859</t>
  </si>
  <si>
    <t>STEP CHARTER SCHOOL</t>
  </si>
  <si>
    <t>101860</t>
  </si>
  <si>
    <t>KIPP SOUTHEAST HOUSTON</t>
  </si>
  <si>
    <t>101861</t>
  </si>
  <si>
    <t>THE RHODES SCHOOL</t>
  </si>
  <si>
    <t>101862</t>
  </si>
  <si>
    <t>HARMONY SCHOOL OF SCIENCE - HOUSTON</t>
  </si>
  <si>
    <t>101863</t>
  </si>
  <si>
    <t>KOINONIA COMMUNITY LEARNING ACADEMY</t>
  </si>
  <si>
    <t>101864</t>
  </si>
  <si>
    <t>THE LAWSON ACADEMY</t>
  </si>
  <si>
    <t>101865</t>
  </si>
  <si>
    <t>VICTORY PREP</t>
  </si>
  <si>
    <t>101866</t>
  </si>
  <si>
    <t>GLOBAL LEARNING VILLAGE</t>
  </si>
  <si>
    <t>101867</t>
  </si>
  <si>
    <t>FALLBROOK COLLEGE PREPARATORY ACADEMY</t>
  </si>
  <si>
    <t>101868</t>
  </si>
  <si>
    <t>THE PRO-VISION ACADEMY</t>
  </si>
  <si>
    <t>101869</t>
  </si>
  <si>
    <t>C O R E ACADEMY</t>
  </si>
  <si>
    <t>101870</t>
  </si>
  <si>
    <t>BETA ACADEMY</t>
  </si>
  <si>
    <t>101871</t>
  </si>
  <si>
    <t>A+ UNLIMITED POTENTIAL</t>
  </si>
  <si>
    <t>101872</t>
  </si>
  <si>
    <t>ETOILE ACADEMY CHARTER SCHOOL</t>
  </si>
  <si>
    <t>101873</t>
  </si>
  <si>
    <t>YELLOWSTONE COLLEGE PREPARATORY</t>
  </si>
  <si>
    <t>101874</t>
  </si>
  <si>
    <t>LEGACY SCHOOL OF SPORT SCIENCES</t>
  </si>
  <si>
    <t>101875</t>
  </si>
  <si>
    <t>BLOOM ACADEMY CHARTER SCHOOL</t>
  </si>
  <si>
    <t>101876</t>
  </si>
  <si>
    <t>REVE PREPARATORY CHARTER SCHOOL</t>
  </si>
  <si>
    <t>101909</t>
  </si>
  <si>
    <t>105801</t>
  </si>
  <si>
    <t>KATHERINE ANNE PORTER SCHOOL</t>
  </si>
  <si>
    <t>105802</t>
  </si>
  <si>
    <t>TEXAS PREPARATORY SCHOOL</t>
  </si>
  <si>
    <t>105803</t>
  </si>
  <si>
    <t>KI CHARTER ACADEMY</t>
  </si>
  <si>
    <t>108801</t>
  </si>
  <si>
    <t>IGNITE PUBLIC SCHOOLS AND COMMUNITY SERVICE CENTER</t>
  </si>
  <si>
    <t>108802</t>
  </si>
  <si>
    <t>HORIZON MONTESSORI PUBLIC SCHOOLS</t>
  </si>
  <si>
    <t>108804</t>
  </si>
  <si>
    <t>TRIUMPH PUBLIC HIGH SCHOOLS-RIO GRANDE VALLEY</t>
  </si>
  <si>
    <t>108807</t>
  </si>
  <si>
    <t>IDEA PUBLIC SCHOOLS</t>
  </si>
  <si>
    <t>108808</t>
  </si>
  <si>
    <t>VANGUARD ACADEMY</t>
  </si>
  <si>
    <t>108809</t>
  </si>
  <si>
    <t>EXCELLENCE IN LEADERSHIP ACADEMY</t>
  </si>
  <si>
    <t>108917</t>
  </si>
  <si>
    <t>EVINS REGIONAL JUVENILE CENTER</t>
  </si>
  <si>
    <t>111801</t>
  </si>
  <si>
    <t>LAKE GRANBURY ACADEMY CHARTER SCHOOL</t>
  </si>
  <si>
    <t>113904</t>
  </si>
  <si>
    <t>CROCKETT STATE SCHOOL</t>
  </si>
  <si>
    <t>116801</t>
  </si>
  <si>
    <t>PHOENIX CHARTER SCHOOL</t>
  </si>
  <si>
    <t>123503</t>
  </si>
  <si>
    <t>TEXAS ACADEMY OF LEADERSHIP IN THE HUMANITIES</t>
  </si>
  <si>
    <t>123801</t>
  </si>
  <si>
    <t>ACADEMY OF BEAUMONT</t>
  </si>
  <si>
    <t>123803</t>
  </si>
  <si>
    <t>TEKOA ACADEMY OF ACCELERATED STUDIES STEM SCHOOL</t>
  </si>
  <si>
    <t>123804</t>
  </si>
  <si>
    <t>RICHARD MILBURN ACADEMY (BEAUMONT)</t>
  </si>
  <si>
    <t>123805</t>
  </si>
  <si>
    <t>EHRHART SCHOOL</t>
  </si>
  <si>
    <t>123806</t>
  </si>
  <si>
    <t>HARMONY SCIENCE ACAD (BEAUMONT)</t>
  </si>
  <si>
    <t>123807</t>
  </si>
  <si>
    <t>BOB HOPE SCHOOL</t>
  </si>
  <si>
    <t>123915</t>
  </si>
  <si>
    <t>AL PRICE STATE JUVENILE CORRECTIONAL FACILITY</t>
  </si>
  <si>
    <t>126801</t>
  </si>
  <si>
    <t>KAUFFMAN LEADERSHIP ACADEMY</t>
  </si>
  <si>
    <t>130801</t>
  </si>
  <si>
    <t>MEADOWLAND CHARTER DISTRICT</t>
  </si>
  <si>
    <t>140906</t>
  </si>
  <si>
    <t>141801</t>
  </si>
  <si>
    <t>WHISPERING OAKS CHARTER SCHOOL</t>
  </si>
  <si>
    <t>144905</t>
  </si>
  <si>
    <t>GIDDINGS STATE SCHOOL</t>
  </si>
  <si>
    <t>152801</t>
  </si>
  <si>
    <t>RICHARD MILBURN ALTER HIGH SCHOOL (LUBBOCK)</t>
  </si>
  <si>
    <t>152802</t>
  </si>
  <si>
    <t>RISE ACADEMY</t>
  </si>
  <si>
    <t>152803</t>
  </si>
  <si>
    <t>TRIUMPH PUBLIC HIGH SCHOOLS-LUBBOCK</t>
  </si>
  <si>
    <t>152805</t>
  </si>
  <si>
    <t>HARMONY SCIENCE ACAD (LUBBOCK)</t>
  </si>
  <si>
    <t>152806</t>
  </si>
  <si>
    <t>ELEMENTARY SCHOOL FOR EDUCATION INNOVATION</t>
  </si>
  <si>
    <t>161801</t>
  </si>
  <si>
    <t>WACO CHARTER SCHOOL</t>
  </si>
  <si>
    <t>161802</t>
  </si>
  <si>
    <t>RAPOPORT ACADEMY PUBLIC SCHOOL</t>
  </si>
  <si>
    <t>161805</t>
  </si>
  <si>
    <t>RAPOPORT ACADEMY PREP SCH</t>
  </si>
  <si>
    <t>161807</t>
  </si>
  <si>
    <t>HARMONY SCIENCE ACAD (WACO)</t>
  </si>
  <si>
    <t>161926</t>
  </si>
  <si>
    <t>MCLENNAN CO ST JUVENILE CORRECTION FACILITY I</t>
  </si>
  <si>
    <t>161927</t>
  </si>
  <si>
    <t>MCLENNAN CO ST JUVENILE CORRECTION FACILITY II</t>
  </si>
  <si>
    <t>165801</t>
  </si>
  <si>
    <t>RICHARD MILBURN ACADEMY (MIDLAND)</t>
  </si>
  <si>
    <t>165802</t>
  </si>
  <si>
    <t>MIDLAND ACADEMY CHARTER SCHOOL</t>
  </si>
  <si>
    <t>167903</t>
  </si>
  <si>
    <t>170801</t>
  </si>
  <si>
    <t>TEXAS SERENITY ACADEMY</t>
  </si>
  <si>
    <t>174801</t>
  </si>
  <si>
    <t>STEPHEN F AUSTIN STATE UNIVERSITY CHARTER SCHOOL</t>
  </si>
  <si>
    <t>175909</t>
  </si>
  <si>
    <t>CORSICANA RESIDENTIAL TREATMENT CENTER</t>
  </si>
  <si>
    <t>178801</t>
  </si>
  <si>
    <t>DR M L GARZA-GONZALEZ CHARTER SCHOOL</t>
  </si>
  <si>
    <t>178802</t>
  </si>
  <si>
    <t>SEASHORE LEARNING CTR CHARTER</t>
  </si>
  <si>
    <t>178804</t>
  </si>
  <si>
    <t>RICHARD MILBURN ALTER HIGH SCHOOL (CORPUS CHRISTI)</t>
  </si>
  <si>
    <t>178807</t>
  </si>
  <si>
    <t>CORPUS CHRISTI MONTESSORI SCHOOL</t>
  </si>
  <si>
    <t>178808</t>
  </si>
  <si>
    <t>SEASHORE CHARTER SCHOOLS</t>
  </si>
  <si>
    <t>178809</t>
  </si>
  <si>
    <t>SCHOOL OF SCIENCE AND TECHNOLOGY CORPUS CHRISTI</t>
  </si>
  <si>
    <t>183801</t>
  </si>
  <si>
    <t>PANOLA CHARTER SCHOOL</t>
  </si>
  <si>
    <t>184801</t>
  </si>
  <si>
    <t>CROSSTIMBERS ACADEMY</t>
  </si>
  <si>
    <t>188801</t>
  </si>
  <si>
    <t>RICHARD MILBURN ACADEMY (AMARILLO)</t>
  </si>
  <si>
    <t>193801</t>
  </si>
  <si>
    <t>BIG SPRINGS CHARTER SCHOOL</t>
  </si>
  <si>
    <t>212801</t>
  </si>
  <si>
    <t>CUMBERLAND ACADEMY</t>
  </si>
  <si>
    <t>212803</t>
  </si>
  <si>
    <t>AZLEWAY CHARTER SCHOOL</t>
  </si>
  <si>
    <t>212804</t>
  </si>
  <si>
    <t>UT TYLER UNIVERSITY ACADEMY</t>
  </si>
  <si>
    <t>213801</t>
  </si>
  <si>
    <t>BRAZOS RIVER CHARTER SCHOOL</t>
  </si>
  <si>
    <t>220801</t>
  </si>
  <si>
    <t>TREETOPS SCHOOL INTERNATIONAL</t>
  </si>
  <si>
    <t>220802</t>
  </si>
  <si>
    <t>ARLINGTON CLASSICS ACADEMY</t>
  </si>
  <si>
    <t>220803</t>
  </si>
  <si>
    <t>220804</t>
  </si>
  <si>
    <t>FORT WORTH CAN ACADEMY</t>
  </si>
  <si>
    <t>220806</t>
  </si>
  <si>
    <t>THERESA B LEE ACADEMY</t>
  </si>
  <si>
    <t>220808</t>
  </si>
  <si>
    <t>METRO ACADEMY OF MATH AND SCIENCE</t>
  </si>
  <si>
    <t>220809</t>
  </si>
  <si>
    <t>FORT WORTH ACADEMY OF FINE ARTS</t>
  </si>
  <si>
    <t>220810</t>
  </si>
  <si>
    <t>WESTLAKE ACADEMY CHARTER SCHOOL</t>
  </si>
  <si>
    <t>220811</t>
  </si>
  <si>
    <t>EAST FORT WORTH MONTESSORI ACADEMY</t>
  </si>
  <si>
    <t>220812</t>
  </si>
  <si>
    <t>RICHARD MILBURN ACADEMY (FORT WORTH)</t>
  </si>
  <si>
    <t>220813</t>
  </si>
  <si>
    <t>HARMONY SCIENCE ACAD (FORT WORTH)</t>
  </si>
  <si>
    <t>220814</t>
  </si>
  <si>
    <t>TEXAS SCHOOL OF THE ARTS</t>
  </si>
  <si>
    <t>220815</t>
  </si>
  <si>
    <t>CHAPEL HILL ACADEMY</t>
  </si>
  <si>
    <t>220816</t>
  </si>
  <si>
    <t>UPLIFT EDUCATION-SUMMIT INTERNATIONAL PREPARATORY</t>
  </si>
  <si>
    <t>220817</t>
  </si>
  <si>
    <t>NEWMAN INTERNATIONAL ACADEMY OF ARLINGTON</t>
  </si>
  <si>
    <t>220818</t>
  </si>
  <si>
    <t>PRIME PREP ACADEMY</t>
  </si>
  <si>
    <t>220819</t>
  </si>
  <si>
    <t>HIGH POINT ACADEMY</t>
  </si>
  <si>
    <t>220825</t>
  </si>
  <si>
    <t>AUSTIN ACHIEVE PUBLIC SCHOOLS</t>
  </si>
  <si>
    <t>220909</t>
  </si>
  <si>
    <t>MASONIC HOME ISD</t>
  </si>
  <si>
    <t>221801</t>
  </si>
  <si>
    <t>TEXAS COLLEGE PREPARATORY ACADEMIES</t>
  </si>
  <si>
    <t>226801</t>
  </si>
  <si>
    <t>TEXAS LEADERSHIP</t>
  </si>
  <si>
    <t>227622</t>
  </si>
  <si>
    <t>TEXAS JUVENILE JUSTICE DEPARTMENT</t>
  </si>
  <si>
    <t>227801</t>
  </si>
  <si>
    <t>AMERICAN YOUTHWORKS CHARTER SCHOOL</t>
  </si>
  <si>
    <t>227803</t>
  </si>
  <si>
    <t>WAYSIDE SCHOOLS</t>
  </si>
  <si>
    <t>227804</t>
  </si>
  <si>
    <t>NYOS CHARTER SCHOOL</t>
  </si>
  <si>
    <t>227805</t>
  </si>
  <si>
    <t>TEXAS EMPOWERMENT ACADEMY</t>
  </si>
  <si>
    <t>227806</t>
  </si>
  <si>
    <t>UNIVERSITY OF TEXAS UNIVERSITY CHARTER SCHOOL</t>
  </si>
  <si>
    <t>227811</t>
  </si>
  <si>
    <t>MCCULLOUGH ACADEMY OF EXCELLENCE</t>
  </si>
  <si>
    <t>227812</t>
  </si>
  <si>
    <t>FRUIT OF EXCELLENCE</t>
  </si>
  <si>
    <t>227814</t>
  </si>
  <si>
    <t>CHAPARRAL STAR ACADEMY</t>
  </si>
  <si>
    <t>227816</t>
  </si>
  <si>
    <t>HARMONY SCIENCE ACADEMY (AUSTIN)</t>
  </si>
  <si>
    <t>227817</t>
  </si>
  <si>
    <t>CEDARS INTERNATIONAL ACADEMY</t>
  </si>
  <si>
    <t>227818</t>
  </si>
  <si>
    <t>AUSTIN CAN ACADEMY CHARTER SCHOOL</t>
  </si>
  <si>
    <t>227819</t>
  </si>
  <si>
    <t>UNIVERSITY OF TEXAS ELEMENTARY CHARTER SCHOOL</t>
  </si>
  <si>
    <t>227820</t>
  </si>
  <si>
    <t>KIPP TEXAS PUBLIC SCHOOLS</t>
  </si>
  <si>
    <t>227821</t>
  </si>
  <si>
    <t>AUSTIN DISCOVERY SCHOOL</t>
  </si>
  <si>
    <t>227822</t>
  </si>
  <si>
    <t>HARMONY SCHOOL OF SCIENCE AUSTIN</t>
  </si>
  <si>
    <t>227823</t>
  </si>
  <si>
    <t>SAILL</t>
  </si>
  <si>
    <t>227824</t>
  </si>
  <si>
    <t>PROMESA PUBLIC SCHOOLS</t>
  </si>
  <si>
    <t>227825</t>
  </si>
  <si>
    <t>227826</t>
  </si>
  <si>
    <t>MONTESSORI FOR ALL</t>
  </si>
  <si>
    <t>227827</t>
  </si>
  <si>
    <t>THE EXCEL CENTER (FOR ADULTS)</t>
  </si>
  <si>
    <t>227828</t>
  </si>
  <si>
    <t>THE EXCEL CENTER</t>
  </si>
  <si>
    <t>227829</t>
  </si>
  <si>
    <t>VALOR PUBLIC SCHOOLS</t>
  </si>
  <si>
    <t>227905</t>
  </si>
  <si>
    <t>TEXAS SCH FOR THE BLIND &amp; VISUALLY IMPAIRED</t>
  </si>
  <si>
    <t>227906</t>
  </si>
  <si>
    <t>TEXAS SCH FOR THE DEAF</t>
  </si>
  <si>
    <t>232801</t>
  </si>
  <si>
    <t>GABRIEL TAFOLLA ACADEMY</t>
  </si>
  <si>
    <t>234801</t>
  </si>
  <si>
    <t>RANCH ACADEMY</t>
  </si>
  <si>
    <t>235801</t>
  </si>
  <si>
    <t>OUTREACH ACADEMY</t>
  </si>
  <si>
    <t>236801</t>
  </si>
  <si>
    <t>RAVEN SCHOOL</t>
  </si>
  <si>
    <t>236802</t>
  </si>
  <si>
    <t>SAM HOUSTON STATE UNIVERSITY CHARTER SCHOOL</t>
  </si>
  <si>
    <t>236903</t>
  </si>
  <si>
    <t>WINDHAM SCHOOL DISTRICT</t>
  </si>
  <si>
    <t>238905</t>
  </si>
  <si>
    <t>WEST TEXAS STATE SCHOOL</t>
  </si>
  <si>
    <t>240503</t>
  </si>
  <si>
    <t>TEXAS A&amp;M INTERNATIONAL UNIVERSITY ISD</t>
  </si>
  <si>
    <t>240801</t>
  </si>
  <si>
    <t>TRIUMPH PUBLIC HIGH SCHOOLS-LAREDO</t>
  </si>
  <si>
    <t>240804</t>
  </si>
  <si>
    <t>HARMONY SCIENCE ACADEMY - LAREDO</t>
  </si>
  <si>
    <t>240902</t>
  </si>
  <si>
    <t>MIRANDO CITY ISD</t>
  </si>
  <si>
    <t>242904</t>
  </si>
  <si>
    <t>ALLISON ISD</t>
  </si>
  <si>
    <t>243801</t>
  </si>
  <si>
    <t>BRIGHT IDEAS CHARTER</t>
  </si>
  <si>
    <t>244906</t>
  </si>
  <si>
    <t>VICTORY FIELD CORRECTIONAL ACADEMY</t>
  </si>
  <si>
    <t>246801</t>
  </si>
  <si>
    <t>MERIDIAN WORLD SCHOOL LLC</t>
  </si>
  <si>
    <t>246802</t>
  </si>
  <si>
    <t>GOODWATER MONTESSORI SCHOOL</t>
  </si>
  <si>
    <t>254903</t>
  </si>
  <si>
    <t>BATESVILLE ISD</t>
  </si>
  <si>
    <t>19-20 Chapter 49 Status</t>
  </si>
  <si>
    <t>HB 3 Chapter 49 (Recapture) Status:</t>
  </si>
  <si>
    <t>&lt; Official TEA Designation - if you weren't designated, you will not owe any recapture regardless, and here's what your recapture would have been using your data:</t>
  </si>
  <si>
    <t>would have been Tier I recapture</t>
  </si>
  <si>
    <t>would have been coppy penny recapture</t>
  </si>
  <si>
    <t>39-College, Career, or Military Readiness Outcomes Bonus</t>
  </si>
  <si>
    <t>37-Early Education Allotment</t>
  </si>
  <si>
    <t>38-Dyslexia Allotment or Related Disorder Allotment</t>
  </si>
  <si>
    <t>&lt;= Enter the district's share of the statewide cost of the Advanced Placement testing (can be entered as positive or negative amount) - for 18-19, use the same charge that appears on TEA's Tier I Detail Report that is linked to the latest 18-19 Summary of Finances....for 19-20, use the same charge that appears on TEA's template (tab labeled 'State Aid OL).</t>
  </si>
  <si>
    <t>&lt;= Enter the district's share of the statewide cost of the Early Childhood Intervention Program (can be entered as positive or negative amount) - for 18-19, use the same charge that appears on TEA's Tier I Detail Report that is linked to the latest 18-19 Summary of Finances....for 19-20, use same charge that appears on TEA's template (tab labeled 'State Aid OL) .</t>
  </si>
  <si>
    <t xml:space="preserve">&lt;= Enter the district's share of the statewide cost of the Advanced Placement testing under HB 3 (can be entered as positive or negative amount) - use same charge that appears on the district's latest Tier I Detail Report that is linked on TEA's HB 3 Summary of Finances.  If an HB 3  Summary of Finance is not available, use the charge that appears on TEA's template (tab labeled 'State Aid'). </t>
  </si>
  <si>
    <t xml:space="preserve">&lt;= Enter the district's share of the statewide cost of the Early Childhood Intervention Program under HB 3 (can be entered as positive or negative amount) - use same charge that appears on the district's latest Tier I Detail Report that is linked on TEA's HB 3 Summary of Finances.  If an HB 3  Summary of Finance is not available, use the charge that appears on TEA's template (tab labeled 'State Aid'). </t>
  </si>
  <si>
    <t>2018 State Certified Property Value ("T2" value)</t>
  </si>
  <si>
    <t>State Compression Percentage</t>
  </si>
  <si>
    <t xml:space="preserve">2019-20 M&amp;O Tax Collections               </t>
  </si>
  <si>
    <t>2019-20 Tier I M&amp;O Tax Rate</t>
  </si>
  <si>
    <t>2019-20 Maximum Compressed Tax Rate</t>
  </si>
  <si>
    <t>2019-20 I&amp;S Tax Rate</t>
  </si>
  <si>
    <t>2019-20 I&amp;S Tax Collections</t>
  </si>
  <si>
    <t xml:space="preserve">District Basic Allotment                                                        </t>
  </si>
  <si>
    <t>ASF ADA (Prior-year ADA)</t>
  </si>
  <si>
    <t>Tier I Subchapter B &amp; C  Allotments</t>
  </si>
  <si>
    <t>11-Regular Program Allotment 48.051</t>
  </si>
  <si>
    <t>Small and Mid-size Allotment 48.101</t>
  </si>
  <si>
    <t>23-Total Special Education Adjusted Allotment 48.102 (Spend 55%)</t>
  </si>
  <si>
    <t>Dyslexia Allotment 48.103</t>
  </si>
  <si>
    <t>24-Total Comp Ed Allotment 48.104 (Spend 55%)</t>
  </si>
  <si>
    <t>25-Total Bilingual Education Allotment 48.105 (Spend 55%)</t>
  </si>
  <si>
    <t>22-Total Career &amp; Technology Allotment 48.106 (Spend 55%)</t>
  </si>
  <si>
    <t>11-Public Education Grant 48.107</t>
  </si>
  <si>
    <t>Early Education Allotment 48.108</t>
  </si>
  <si>
    <t>39-College, Career, or Military Readiness Outcomes Bonus 48.110</t>
  </si>
  <si>
    <t>Fast Growth Allotment 48.111</t>
  </si>
  <si>
    <t>Teacher Incentive Allotment 48.112</t>
  </si>
  <si>
    <t>Mentor Program Allotment 48.114</t>
  </si>
  <si>
    <t>School Safety Allotment 42.168</t>
  </si>
  <si>
    <t>Tier I Subchapter D  Allotments</t>
  </si>
  <si>
    <t>99-Total Transportation Allotment 48.151</t>
  </si>
  <si>
    <t>99-New Instructional Facilities Allotment (NIFA) 48.152</t>
  </si>
  <si>
    <t>Dropout Recovery and Residential Placement Facility Allotment 48.153</t>
  </si>
  <si>
    <t>Tuition Allotment for Districts Not Offering All Grade Levels 48.154</t>
  </si>
  <si>
    <t>College Preparation Assesment Reimbursement 48.155</t>
  </si>
  <si>
    <t>Certification Examination Reimbursement 48.156</t>
  </si>
  <si>
    <t>Advanced Placement Tests Set-Aside</t>
  </si>
  <si>
    <t>Foundation School Program (FSP) State Funding</t>
  </si>
  <si>
    <t>State Aid by Fund Code / Object Code - Funding Source</t>
  </si>
  <si>
    <t>M&amp;O State Aid</t>
  </si>
  <si>
    <t>I&amp;S State Aid</t>
  </si>
  <si>
    <t>Local Revenue in Excess of Entitlement</t>
  </si>
  <si>
    <r>
      <rPr>
        <sz val="12"/>
        <color indexed="8"/>
        <rFont val="Arial MT"/>
      </rPr>
      <t>FSP Allocations and Adjustments Report</t>
    </r>
    <r>
      <rPr>
        <sz val="12"/>
        <color indexed="12"/>
        <rFont val="Arial MT"/>
      </rPr>
      <t xml:space="preserve">                              </t>
    </r>
    <r>
      <rPr>
        <sz val="12"/>
        <color indexed="10"/>
        <rFont val="Arial MT"/>
      </rPr>
      <t>(Link to Detail Report)</t>
    </r>
  </si>
  <si>
    <t>Less: Credit Balance Due State (only if Line 58 is less than zero)</t>
  </si>
  <si>
    <t>Total 2019-20 Recapture</t>
  </si>
  <si>
    <t>Less: Formula Transition Grant Funding Credit Against Recapture (if applicable)</t>
  </si>
  <si>
    <t>67.</t>
  </si>
  <si>
    <t>68.</t>
  </si>
  <si>
    <t>69.</t>
  </si>
  <si>
    <r>
      <t xml:space="preserve">Charge for Adv Placement Tests </t>
    </r>
    <r>
      <rPr>
        <b/>
        <sz val="12"/>
        <rFont val="Arial MT"/>
      </rPr>
      <t>(enter as positive or negative #) - Old Law</t>
    </r>
  </si>
  <si>
    <r>
      <t xml:space="preserve">Charge for Early Child Intervention </t>
    </r>
    <r>
      <rPr>
        <b/>
        <sz val="12"/>
        <rFont val="Arial MT"/>
      </rPr>
      <t>(enter as positive or negative #) - Old Law</t>
    </r>
  </si>
  <si>
    <t xml:space="preserve">M&amp;O Rev From State (not including Fund 599 &amp; I&amp;S Hold Harmless) </t>
  </si>
  <si>
    <t>Less: State Aid Credit Against Recapture</t>
  </si>
  <si>
    <t>Chapter 41/49 Data</t>
  </si>
  <si>
    <r>
      <t xml:space="preserve">Formula Transition Grant Credited Against Recapture </t>
    </r>
    <r>
      <rPr>
        <b/>
        <sz val="12"/>
        <rFont val="Arial MT"/>
      </rPr>
      <t>(enter as negative #, if applicable)</t>
    </r>
  </si>
  <si>
    <r>
      <t xml:space="preserve">Chapter 42 Funding Credit Against Recapture </t>
    </r>
    <r>
      <rPr>
        <b/>
        <sz val="12"/>
        <rFont val="Arial MT"/>
      </rPr>
      <t>(enter as negative #, if applicable)</t>
    </r>
  </si>
  <si>
    <t>Credit Against Recapture</t>
  </si>
  <si>
    <t>&lt; includes Formula Transition Grant &amp; Equalized Wealth Transition Grant</t>
  </si>
  <si>
    <t>2020-21 Tier I M&amp;O Tax Rate</t>
  </si>
  <si>
    <t>2020-21 Maximum Compressed Tax Rate</t>
  </si>
  <si>
    <t xml:space="preserve">2020-21 M&amp;O Tax Collections               </t>
  </si>
  <si>
    <t>2020-21 I&amp;S Tax Rate</t>
  </si>
  <si>
    <t>Net 2020-21 TOTAL STATE/LOCAL M&amp;O REVENUE</t>
  </si>
  <si>
    <t>Total 2020-21 Recapture</t>
  </si>
  <si>
    <t xml:space="preserve">Total 2020-21 Recapture Payments Due TEA </t>
  </si>
  <si>
    <t>Not known yet</t>
  </si>
  <si>
    <t>2021 State Certified Property Value ("T2" value)</t>
  </si>
  <si>
    <t>2021-22 Tier I M&amp;O Tax Rate</t>
  </si>
  <si>
    <t>2021-22 Maximum Compressed Tax Rate</t>
  </si>
  <si>
    <t xml:space="preserve">2021-22 M&amp;O Tax Collections               </t>
  </si>
  <si>
    <t>2021-22 I&amp;S Tax Rate</t>
  </si>
  <si>
    <t>Net 2021-22 TOTAL STATE/LOCAL M&amp;O REVENUE</t>
  </si>
  <si>
    <t>Total 2021-22 Recapture</t>
  </si>
  <si>
    <t xml:space="preserve">Total 2021-22 Recapture Payments Due TEA </t>
  </si>
  <si>
    <t>2022-23 Tier I M&amp;O Tax Rate</t>
  </si>
  <si>
    <t>2022-23 Maximum Compressed Tax Rate</t>
  </si>
  <si>
    <t xml:space="preserve">2022-23 M&amp;O Tax Collections               </t>
  </si>
  <si>
    <t>2022-23 I&amp;S Tax Rate</t>
  </si>
  <si>
    <t>Net 2022-23 TOTAL STATE/LOCAL M&amp;O REVENUE</t>
  </si>
  <si>
    <t>Total 2022-23 Recapture</t>
  </si>
  <si>
    <t xml:space="preserve">Total 2022-23 Recapture Payments Due TEA </t>
  </si>
  <si>
    <t>2023-24 Tier I M&amp;O Tax Rate</t>
  </si>
  <si>
    <t>2023-24 Maximum Compressed Tax Rate</t>
  </si>
  <si>
    <t xml:space="preserve">2023-24 M&amp;O Tax Collections               </t>
  </si>
  <si>
    <t>2023-24 I&amp;S Tax Rate</t>
  </si>
  <si>
    <t>Net 2023-24 TOTAL STATE/LOCAL M&amp;O REVENUE</t>
  </si>
  <si>
    <t>Total 2023-24 Recapture</t>
  </si>
  <si>
    <t xml:space="preserve">Total 2023-24 Recapture Payments Due TEA </t>
  </si>
  <si>
    <t>Enrichment Pennies Before Compression</t>
  </si>
  <si>
    <t>Enrichment Pennies After Compression</t>
  </si>
  <si>
    <t>FSP State Share of Tier I (Line 42 - Line 43 - Line 44)</t>
  </si>
  <si>
    <t>WADA (Weighted Average Daily Attendance)</t>
  </si>
  <si>
    <t>20-21 Law Cont'd</t>
  </si>
  <si>
    <t xml:space="preserve">Total Cost of Tier I </t>
  </si>
  <si>
    <r>
      <t xml:space="preserve">Tier II State Aid                                                              </t>
    </r>
    <r>
      <rPr>
        <sz val="12"/>
        <color indexed="10"/>
        <rFont val="Arial MT"/>
      </rPr>
      <t>(Link to Tier II Detail Report)</t>
    </r>
  </si>
  <si>
    <t>Tier II State Aid</t>
  </si>
  <si>
    <t>599/5829- Existing Debt Allotment (EDA)</t>
  </si>
  <si>
    <t>599/5829 - Instructional Facilities Allotment (IFA) - Bonds</t>
  </si>
  <si>
    <t>599/5829 - Instructional Facilities Allotment IFA) - Lease-Purchase</t>
  </si>
  <si>
    <t>Summary of Finances - All Years 19-20 thru 23-24</t>
  </si>
  <si>
    <t>ROUND 9 - Additions as follows:</t>
  </si>
  <si>
    <t>1) the final 2018 values have now replaced the preliminary values that were auto-loaded….keep in mind that the only place these values come into</t>
  </si>
  <si>
    <t>play is in the calculation of 19-20 old law revenue that is part of the calculation of the Formula Transition Grant.</t>
  </si>
  <si>
    <t>2) the official list of 19-20 Chapter 49 (recapture) districts has been factored into the recapture calculation…..if you were not on the list, recapture</t>
  </si>
  <si>
    <t xml:space="preserve">will not be calculated regardless of what your data shows….so congratulations to some of you that were seeing recapture calculated on the </t>
  </si>
  <si>
    <t xml:space="preserve">previous SOF1920-HB3 tab that are not on the official list - spend the money that you thought you were going to have to send to the state (a few </t>
  </si>
  <si>
    <t>might have been in the millions of dollars) wisely…..or you can send it to me for safekeeping (just kidding).</t>
  </si>
  <si>
    <t>3) now that TEA has released its initial 19-20 HB 3 Summary of Finances, the long-awaited Report-SOF tabs have been updated along with the 'All Years'</t>
  </si>
  <si>
    <t xml:space="preserve">tab…..the bad news is that most of the Detail Reports are not available yet, so you can't see most of the data that were used in calculating most of </t>
  </si>
  <si>
    <t>the allotments…..so that means you can't compare the template's results to the SOF results just yet…..and it may be a month or so before those</t>
  </si>
  <si>
    <t>ROUND 9 - corrections/updates:</t>
  </si>
  <si>
    <t xml:space="preserve">amount per ADA has been changed to $250 (was using $235); (3) the 19-20 per capita (ASF) rate has been changed to $259.207 (was $247.587); (4) the </t>
  </si>
  <si>
    <t>19-20 old law state average state/local revenue per ADA has been changed to $8,896 (was $8,936) to match the average TEA is currently using…..this</t>
  </si>
  <si>
    <t>average gets increased by 128% (and yes, I remembered my 5th grade math on this one) and is used in the calculation of the Formula Transition Grant.</t>
  </si>
  <si>
    <t>Speaking of the Formula Transition Grant and TEA's new HB 3 Summary of Finances, the Formula Transition Grant and the Equalized Wealth Transition</t>
  </si>
  <si>
    <t>Grant will be part of your 'Other Program' amount on your Summary of Finances….but since you can't see that Detail Report just yet, you may not be</t>
  </si>
  <si>
    <t>able to determine how much you're getting compared to what the template is showing.  For districts that have had significant value growth in 2019</t>
  </si>
  <si>
    <t>and are seeing a significant amount of Formula Transition Grant on the template, you will probably not start receiving that money until the February/</t>
  </si>
  <si>
    <t>March Foundation School Fund payment, since TEA does not know about your value growth yet.  They are going to wait until they get 2019 values and</t>
  </si>
  <si>
    <t xml:space="preserve">And speaking of the Formula Transition Grant (again), part of the calculation takes into account the amount of 19-20 M&amp;O taxes you would have </t>
  </si>
  <si>
    <t>collected at your old tax rate, which is currently a data entry item on the template.  TEA will probably establish a method of calculating that amount and</t>
  </si>
  <si>
    <t xml:space="preserve">that result may be different from what you have entered on the template. So just be aware that the Grant amount will probably change a little from </t>
  </si>
  <si>
    <t>what you are seeing now.  When that methodology is finalized, I will use it and do away with that data entry cell.</t>
  </si>
  <si>
    <t>of the 19-20 District/Charter Funding calculations were not quite right, so they were fixed; (3) on the old law Option Costs tab beginning with the</t>
  </si>
  <si>
    <t>20-21 year, the values being used were current-year values instead of prior-year values (told you I was getting old).</t>
  </si>
  <si>
    <t>19-20 tax rates before they will update their calculation of the Formula Transition Grant. So don't panic just yet - eventually it will all be settled up.</t>
  </si>
  <si>
    <t>or 3 or 4 or……)….I've said this before and I'll say it again - "it ain't (or won't be) over 'till it's over."</t>
  </si>
  <si>
    <t>Please keep in mind that the 'Report-SOF' tabs are not functional yet (nor am I)  - the only one that is  the 'Report-SOF1819' tab.</t>
  </si>
  <si>
    <t xml:space="preserve">If you are on the list, your total recapture amount is shown on Line 56 of the 'Report-SOF1920-HB3' tab and is broken out into Tier I recapture and </t>
  </si>
  <si>
    <t>Report-SOF1920-HB3</t>
  </si>
  <si>
    <t>Report-SOF2021-HB3</t>
  </si>
  <si>
    <t>Report-SOF2122-HB3</t>
  </si>
  <si>
    <t>Report-SOF2223-HB3</t>
  </si>
  <si>
    <t>Report-SOF2324-HB3</t>
  </si>
  <si>
    <t>Less: Tuition Allotment for &lt; 12 Grades</t>
  </si>
  <si>
    <t>SOF2324-HB3</t>
  </si>
  <si>
    <t xml:space="preserve">(1) The "Less" amounts are subtracted from the Total Cost of Tier I because they have no weights.  Only weighted programs are </t>
  </si>
  <si>
    <t>(2) The Sp Ed Set-Aside is added back to the Total Cost of Tier I as specified in law.</t>
  </si>
  <si>
    <t>(3) Lines 11 thru 15 basically calculate one-half of the effect that the Cost of Education Index has on the Basic Allotment, as specified in law - only pertains to 18-19</t>
  </si>
  <si>
    <t>2018-19 NOTES:</t>
  </si>
  <si>
    <t>4. Compensatory Education</t>
  </si>
  <si>
    <t>Advanced CC&amp;T FTEs</t>
  </si>
  <si>
    <t>Regular C&amp;T FTEs</t>
  </si>
  <si>
    <t>Regular Comp Ed:</t>
  </si>
  <si>
    <t>Res Place Facility - Not Ed Disadv</t>
  </si>
  <si>
    <t>Res Place Facility - Ed Disadv</t>
  </si>
  <si>
    <t>Block 1 Ed Disadvantaged</t>
  </si>
  <si>
    <t>Block 2 Ed Disadvantaged</t>
  </si>
  <si>
    <t>Block 3 Ed Disadvantaged</t>
  </si>
  <si>
    <t>Block 4 Ed Disadvantaged</t>
  </si>
  <si>
    <t>Block 5 Ed Disadvantaged</t>
  </si>
  <si>
    <t>Regular Special Education</t>
  </si>
  <si>
    <t>Regular Program</t>
  </si>
  <si>
    <t>5. Bilingual Education</t>
  </si>
  <si>
    <t>Regular Bilingual</t>
  </si>
  <si>
    <t>Bilingual - Dual Language</t>
  </si>
  <si>
    <t>Non-Bilingual - Dual Language</t>
  </si>
  <si>
    <t>6. Dyslexia or Related Disorder</t>
  </si>
  <si>
    <t>7. Early Education Program</t>
  </si>
  <si>
    <t>8. CCMR Outcomes Bonus</t>
  </si>
  <si>
    <t>CCMR - Ed Disadv Graduates</t>
  </si>
  <si>
    <t>CCMR - Non-Ed Disadv Graduates</t>
  </si>
  <si>
    <t>CCMR Allotment</t>
  </si>
  <si>
    <t>CCMR - Sp Ed Graduates</t>
  </si>
  <si>
    <t>9. Public Education Grant</t>
  </si>
  <si>
    <t>2019 State Certified Property Value ("T8" value)</t>
  </si>
  <si>
    <t xml:space="preserve">     entered on Row 101 plus the unequalized taxes entered on Row 102 minus the EDA local share</t>
  </si>
  <si>
    <t>4) 2 more data entries have been added to bring in the GT &amp; Sp Ed set-asides under HB 3 - they will be different from the old law set-asides.</t>
  </si>
  <si>
    <t>5) updates first - (1) the 20-21 old law golden penny yield has been changed to $135.92 (was using the same as the 19-20 yield; (2) the 19-20 old law NIFA</t>
  </si>
  <si>
    <t xml:space="preserve">(6) the fixes: (1) the 19-20 Advanced C&amp;T Allotment was not calculating correctly if you entered an FTE that was different from the old law FTE; (2) some  </t>
  </si>
  <si>
    <t>This report is just a combined Summary of Finances for all years beginning with 19-20, without the links.</t>
  </si>
  <si>
    <t>HB 3, The Compromise - Release 9 Dated 9/5/19</t>
  </si>
  <si>
    <t>recapture at the copper penny level starting on Row 91 on that same tab.</t>
  </si>
  <si>
    <t>Detail Reports get built…..so continue being the patient person you are.  I do have some 19-20 Detail links but they are not yet 'official' - just my 1st shot.</t>
  </si>
  <si>
    <t>That's it for now - the initial HB 3 Summary of Finances is a work in progress and as TEA updates it, I probably will need to put out another release (or 2</t>
  </si>
  <si>
    <t>2017 State Certified Property Value ("T8" value)</t>
  </si>
  <si>
    <t>FSP Allocations and Adjustments Report</t>
  </si>
  <si>
    <t>College Preparation Assessment Reimbursement 48.155</t>
  </si>
  <si>
    <t>&lt; latest estimate from TEA</t>
  </si>
  <si>
    <t>reduced if adopted rate is less than .93</t>
  </si>
  <si>
    <t>1) by now most of you have noticed that the Report-SOF1920-HB3 was not quite correct - the Foundation School Fund amount on Line 49 looked way</t>
  </si>
  <si>
    <t>2) on the Assumptions tab, the 19-20 old law Per Capita Rate has been set to equal the new law Per Capita Rate…when the new law rate was changed</t>
  </si>
  <si>
    <t xml:space="preserve">in Release 9, I thought the old law rate might be different (higher) because of the Tax Reduction and Excellence in Education Fund provision in HB 3, </t>
  </si>
  <si>
    <t>HB 3, The Compromise - Release 10 Dated 9/16/19</t>
  </si>
  <si>
    <t>Formula Transition Grant will be excluded from the 30% calculation…so before you folks that get that Grant get too excited, we will have to wait for any</t>
  </si>
  <si>
    <t>ROUND 10 - Additions as follows:</t>
  </si>
  <si>
    <t>ROUND 10 - corrections/updates:</t>
  </si>
  <si>
    <t>I know this will surprise you - no additions!</t>
  </si>
  <si>
    <t>And in the Fleetwood Mac's 'Rumours' category (surely even you youngsters know who they were/are):  rumors coming out of west Texas are that the</t>
  </si>
  <si>
    <t>Release 10</t>
  </si>
  <si>
    <t>off in most cases….and it was and has been fixed….it was fixed for the other years as well.</t>
  </si>
  <si>
    <t>I was wrong…again….but remember, old law is only used in the calculation of the Formula Transition Grant, so no impact to most districts.</t>
  </si>
  <si>
    <t>official word from TEA…..but if you want to see what the effect would be compared to what you already did this past summer, assuming those rumors</t>
  </si>
  <si>
    <t xml:space="preserve">which transfers some of the money to that fund that otherwise would get deposited into the Available School Fund, under certain circumstances…..but </t>
  </si>
  <si>
    <t>end (I trust you to not mess anything else up in that formula - I moved that part of the formula to the tail-end to make it easier for you….you're welcome).</t>
  </si>
  <si>
    <r>
      <t>are in fact true, you can go to 'The30%' tab and in the formula for Cell G12, delete the "</t>
    </r>
    <r>
      <rPr>
        <b/>
        <sz val="10"/>
        <color rgb="FFFF0000"/>
        <rFont val="Arial MT"/>
      </rPr>
      <t>+'SOF1920-HB3'!I127</t>
    </r>
    <r>
      <rPr>
        <b/>
        <sz val="10"/>
        <rFont val="Arial MT"/>
      </rPr>
      <t>" portion of that formula located at the tail-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</si>
</sst>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 numFmtId="191" formatCode="&quot;$&quot;#,##0.00"/>
    <numFmt numFmtId="192" formatCode="mm/dd/yy;@"/>
    <numFmt numFmtId="193" formatCode="000000"/>
    <numFmt numFmtId="194" formatCode="_(* #,##0.000_);_(* \(#,##0.000\);_(* &quot;-&quot;??_);_(@_)"/>
    <numFmt numFmtId="195" formatCode="&quot;$&quot;#,##0.00000_);[Red]\(&quot;$&quot;#,##0.00000\)"/>
  </numFmts>
  <fonts count="216">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u/>
      <sz val="14"/>
      <color indexed="10"/>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2"/>
      <color indexed="12"/>
      <name val="Arial MT"/>
    </font>
    <font>
      <sz val="13.5"/>
      <name val="High Tower Text"/>
      <family val="1"/>
    </font>
    <font>
      <b/>
      <sz val="10"/>
      <color indexed="36"/>
      <name val="Arial MT"/>
    </font>
    <font>
      <b/>
      <i/>
      <sz val="12"/>
      <name val="Arial MT"/>
    </font>
    <font>
      <sz val="12"/>
      <color indexed="30"/>
      <name val="Arial MT"/>
    </font>
    <font>
      <b/>
      <sz val="12"/>
      <color indexed="44"/>
      <name val="Arial MT"/>
    </font>
    <font>
      <sz val="12"/>
      <color indexed="1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10"/>
      <name val="Arial MT"/>
    </font>
    <font>
      <b/>
      <sz val="12"/>
      <color indexed="14"/>
      <name val="Arial MT"/>
    </font>
    <font>
      <b/>
      <sz val="10"/>
      <color indexed="12"/>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A50021"/>
      <name val="Arial MT"/>
    </font>
    <font>
      <sz val="10"/>
      <color rgb="FFA50021"/>
      <name val="Arial MT"/>
    </font>
    <font>
      <b/>
      <sz val="14"/>
      <color rgb="FF003366"/>
      <name val="Arial MT"/>
    </font>
    <font>
      <b/>
      <sz val="12"/>
      <color rgb="FFCC00CC"/>
      <name val="Arial MT"/>
    </font>
    <font>
      <b/>
      <sz val="12"/>
      <color rgb="FFCC3300"/>
      <name val="Arial MT"/>
    </font>
    <font>
      <b/>
      <sz val="12"/>
      <color rgb="FFC00000"/>
      <name val="Arial MT"/>
    </font>
    <font>
      <sz val="11"/>
      <color rgb="FF000000"/>
      <name val="Calibri"/>
      <family val="2"/>
    </font>
    <font>
      <b/>
      <sz val="12"/>
      <color rgb="FF002060"/>
      <name val="Arial MT"/>
    </font>
    <font>
      <i/>
      <sz val="12"/>
      <name val="Arial MT"/>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sz val="11"/>
      <color indexed="10"/>
      <name val="Arial MT"/>
    </font>
    <font>
      <b/>
      <sz val="11"/>
      <color rgb="FFFF0000"/>
      <name val="Arial MT"/>
    </font>
    <font>
      <sz val="11"/>
      <color rgb="FFFF0000"/>
      <name val="Arial MT"/>
    </font>
  </fonts>
  <fills count="64">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34998626667073579"/>
        <bgColor indexed="64"/>
      </patternFill>
    </fill>
  </fills>
  <borders count="524">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thin">
        <color auto="1"/>
      </left>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double">
        <color rgb="FFFF0000"/>
      </left>
      <right/>
      <top style="thin">
        <color auto="1"/>
      </top>
      <bottom style="thin">
        <color auto="1"/>
      </bottom>
      <diagonal/>
    </border>
    <border>
      <left/>
      <right style="double">
        <color indexed="64"/>
      </right>
      <top style="thin">
        <color auto="1"/>
      </top>
      <bottom style="thin">
        <color auto="1"/>
      </bottom>
      <diagonal/>
    </border>
    <border>
      <left style="thin">
        <color auto="1"/>
      </left>
      <right style="double">
        <color rgb="FFFF0000"/>
      </right>
      <top style="thin">
        <color auto="1"/>
      </top>
      <bottom style="thin">
        <color auto="1"/>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auto="1"/>
      </left>
      <right style="thick">
        <color indexed="64"/>
      </right>
      <top/>
      <bottom/>
      <diagonal/>
    </border>
    <border>
      <left style="thick">
        <color indexed="64"/>
      </left>
      <right style="thin">
        <color indexed="64"/>
      </right>
      <top/>
      <bottom style="thin">
        <color indexed="8"/>
      </bottom>
      <diagonal/>
    </border>
    <border>
      <left style="thin">
        <color indexed="64"/>
      </left>
      <right style="thick">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ck">
        <color indexed="64"/>
      </top>
      <bottom/>
      <diagonal/>
    </border>
    <border>
      <left style="thick">
        <color indexed="64"/>
      </left>
      <right/>
      <top style="thin">
        <color auto="1"/>
      </top>
      <bottom style="thin">
        <color auto="1"/>
      </bottom>
      <diagonal/>
    </border>
    <border>
      <left style="thick">
        <color indexed="64"/>
      </left>
      <right/>
      <top style="thin">
        <color indexed="64"/>
      </top>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n">
        <color auto="1"/>
      </bottom>
      <diagonal/>
    </border>
    <border>
      <left style="thick">
        <color indexed="64"/>
      </left>
      <right/>
      <top style="thin">
        <color indexed="64"/>
      </top>
      <bottom style="thick">
        <color indexed="64"/>
      </bottom>
      <diagonal/>
    </border>
    <border>
      <left/>
      <right style="thin">
        <color indexed="64"/>
      </right>
      <top/>
      <bottom style="thin">
        <color indexed="8"/>
      </bottom>
      <diagonal/>
    </border>
    <border>
      <left style="thick">
        <color indexed="64"/>
      </left>
      <right style="thin">
        <color indexed="64"/>
      </right>
      <top/>
      <bottom style="thin">
        <color indexed="8"/>
      </bottom>
      <diagonal/>
    </border>
    <border>
      <left style="thin">
        <color indexed="64"/>
      </left>
      <right style="thin">
        <color auto="1"/>
      </right>
      <top style="thick">
        <color indexed="64"/>
      </top>
      <bottom/>
      <diagonal/>
    </border>
    <border>
      <left style="thin">
        <color indexed="64"/>
      </left>
      <right style="thin">
        <color auto="1"/>
      </right>
      <top style="thin">
        <color indexed="64"/>
      </top>
      <bottom/>
      <diagonal/>
    </border>
    <border>
      <left style="thin">
        <color indexed="64"/>
      </left>
      <right style="thin">
        <color auto="1"/>
      </right>
      <top/>
      <bottom style="thin">
        <color indexed="8"/>
      </bottom>
      <diagonal/>
    </border>
    <border>
      <left style="thin">
        <color indexed="64"/>
      </left>
      <right style="thin">
        <color auto="1"/>
      </right>
      <top style="thin">
        <color indexed="8"/>
      </top>
      <bottom style="thin">
        <color indexed="8"/>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ck">
        <color indexed="64"/>
      </bottom>
      <diagonal/>
    </border>
    <border>
      <left/>
      <right style="thin">
        <color indexed="64"/>
      </right>
      <top style="thick">
        <color indexed="64"/>
      </top>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thick">
        <color indexed="64"/>
      </right>
      <top style="thin">
        <color indexed="64"/>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indexed="8"/>
      </top>
      <bottom style="thin">
        <color indexed="8"/>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style="thin">
        <color indexed="8"/>
      </top>
      <bottom style="thin">
        <color indexed="8"/>
      </bottom>
      <diagonal/>
    </border>
    <border>
      <left style="thick">
        <color indexed="64"/>
      </left>
      <right/>
      <top style="thin">
        <color indexed="64"/>
      </top>
      <bottom style="thick">
        <color indexed="64"/>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8"/>
      </bottom>
      <diagonal/>
    </border>
    <border>
      <left style="thin">
        <color indexed="64"/>
      </left>
      <right style="thick">
        <color indexed="64"/>
      </right>
      <top style="thin">
        <color indexed="8"/>
      </top>
      <bottom style="thin">
        <color indexed="8"/>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n">
        <color auto="1"/>
      </left>
      <right style="thick">
        <color auto="1"/>
      </right>
      <top style="thin">
        <color auto="1"/>
      </top>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style="thin">
        <color indexed="64"/>
      </top>
      <bottom style="thin">
        <color indexed="64"/>
      </bottom>
      <diagonal/>
    </border>
    <border>
      <left/>
      <right style="thin">
        <color auto="1"/>
      </right>
      <top/>
      <bottom style="thin">
        <color indexed="8"/>
      </bottom>
      <diagonal/>
    </border>
    <border>
      <left/>
      <right style="thin">
        <color auto="1"/>
      </right>
      <top style="thin">
        <color indexed="8"/>
      </top>
      <bottom style="thin">
        <color indexed="8"/>
      </bottom>
      <diagonal/>
    </border>
    <border>
      <left/>
      <right style="thin">
        <color indexed="64"/>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8"/>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double">
        <color indexed="64"/>
      </top>
      <bottom style="thin">
        <color indexed="64"/>
      </bottom>
      <diagonal/>
    </border>
    <border>
      <left style="thin">
        <color indexed="64"/>
      </left>
      <right/>
      <top style="thin">
        <color indexed="64"/>
      </top>
      <bottom style="thin">
        <color indexed="64"/>
      </bottom>
      <diagonal/>
    </border>
  </borders>
  <cellStyleXfs count="6">
    <xf numFmtId="0" fontId="0" fillId="2" borderId="0"/>
    <xf numFmtId="0" fontId="157" fillId="24" borderId="107"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811">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19" fillId="2" borderId="0" xfId="0" applyFont="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3" fillId="9" borderId="40" xfId="0" applyFont="1" applyFill="1" applyBorder="1"/>
    <xf numFmtId="0" fontId="33"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5" fillId="2" borderId="0" xfId="0" applyFont="1"/>
    <xf numFmtId="167" fontId="35" fillId="2" borderId="0" xfId="0" applyNumberFormat="1" applyFont="1"/>
    <xf numFmtId="0" fontId="37" fillId="2" borderId="15" xfId="0" applyFont="1" applyBorder="1"/>
    <xf numFmtId="0" fontId="37" fillId="4" borderId="0" xfId="0" applyFont="1" applyFill="1"/>
    <xf numFmtId="0" fontId="37" fillId="2" borderId="0" xfId="0" applyFont="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39"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0" fillId="2" borderId="0" xfId="0" applyFont="1"/>
    <xf numFmtId="0" fontId="40" fillId="2" borderId="0" xfId="0" applyFont="1" applyAlignment="1">
      <alignment horizontal="center"/>
    </xf>
    <xf numFmtId="170" fontId="40" fillId="2" borderId="0" xfId="0" applyNumberFormat="1" applyFont="1"/>
    <xf numFmtId="39" fontId="40"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2" fillId="2" borderId="0" xfId="0" applyFont="1"/>
    <xf numFmtId="0" fontId="42" fillId="2" borderId="0" xfId="0" applyFont="1" applyAlignment="1">
      <alignment horizontal="center"/>
    </xf>
    <xf numFmtId="167" fontId="42" fillId="2" borderId="2" xfId="0" applyNumberFormat="1" applyFont="1" applyBorder="1"/>
    <xf numFmtId="38" fontId="42"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5"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0"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49" fillId="2" borderId="15" xfId="0" applyFont="1" applyBorder="1"/>
    <xf numFmtId="0" fontId="49" fillId="2" borderId="0" xfId="0" applyFont="1"/>
    <xf numFmtId="0" fontId="49" fillId="4" borderId="0" xfId="0" applyFont="1" applyFill="1"/>
    <xf numFmtId="0" fontId="53" fillId="2" borderId="0" xfId="0" applyFont="1"/>
    <xf numFmtId="37" fontId="53" fillId="2" borderId="2" xfId="0" applyNumberFormat="1" applyFont="1" applyBorder="1"/>
    <xf numFmtId="38" fontId="53" fillId="2" borderId="9" xfId="0" applyNumberFormat="1" applyFont="1" applyBorder="1"/>
    <xf numFmtId="0" fontId="54" fillId="2" borderId="0" xfId="0" applyFont="1"/>
    <xf numFmtId="0" fontId="55" fillId="11" borderId="2" xfId="0" applyFont="1" applyFill="1" applyBorder="1" applyAlignment="1">
      <alignment horizontal="center"/>
    </xf>
    <xf numFmtId="0" fontId="55" fillId="2" borderId="2" xfId="0" applyFont="1" applyBorder="1"/>
    <xf numFmtId="38" fontId="55" fillId="9" borderId="46" xfId="0" applyNumberFormat="1" applyFont="1" applyFill="1" applyBorder="1"/>
    <xf numFmtId="37" fontId="55"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7" fontId="6" fillId="2" borderId="13" xfId="0" applyNumberFormat="1" applyFont="1" applyBorder="1" applyAlignment="1">
      <alignment horizontal="right"/>
    </xf>
    <xf numFmtId="0" fontId="56" fillId="4" borderId="0" xfId="0" applyFont="1" applyFill="1"/>
    <xf numFmtId="0" fontId="0" fillId="4" borderId="48" xfId="0" applyFill="1" applyBorder="1"/>
    <xf numFmtId="0" fontId="0" fillId="4" borderId="49" xfId="0" applyFill="1" applyBorder="1"/>
    <xf numFmtId="0" fontId="0" fillId="4" borderId="50" xfId="0" applyFill="1" applyBorder="1"/>
    <xf numFmtId="0" fontId="57"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3" fillId="9" borderId="43" xfId="0" applyFont="1" applyFill="1" applyBorder="1"/>
    <xf numFmtId="0" fontId="34" fillId="9" borderId="0" xfId="0" applyFont="1" applyFill="1"/>
    <xf numFmtId="0" fontId="33"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56" fillId="4" borderId="0" xfId="0" applyFont="1" applyFill="1" applyAlignment="1">
      <alignment horizontal="left"/>
    </xf>
    <xf numFmtId="0" fontId="56" fillId="2" borderId="0" xfId="0" applyFont="1" applyAlignment="1">
      <alignment horizontal="left"/>
    </xf>
    <xf numFmtId="175" fontId="53" fillId="2" borderId="9" xfId="0" applyNumberFormat="1" applyFont="1" applyBorder="1"/>
    <xf numFmtId="0" fontId="49" fillId="4" borderId="0" xfId="0" applyFont="1" applyFill="1" applyAlignment="1">
      <alignment horizontal="center"/>
    </xf>
    <xf numFmtId="0" fontId="10" fillId="2" borderId="0" xfId="0" applyFont="1"/>
    <xf numFmtId="37" fontId="14" fillId="2" borderId="0" xfId="0" applyNumberFormat="1" applyFont="1"/>
    <xf numFmtId="175" fontId="26" fillId="2" borderId="9" xfId="0" applyNumberFormat="1" applyFont="1" applyBorder="1"/>
    <xf numFmtId="38" fontId="48"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58"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58" fillId="2" borderId="0" xfId="0" applyFont="1" applyAlignment="1">
      <alignment horizontal="right"/>
    </xf>
    <xf numFmtId="0" fontId="46" fillId="2" borderId="0" xfId="0" applyFont="1"/>
    <xf numFmtId="38" fontId="45" fillId="2" borderId="0" xfId="0" applyNumberFormat="1" applyFont="1"/>
    <xf numFmtId="38" fontId="45" fillId="9" borderId="9" xfId="0" applyNumberFormat="1" applyFont="1" applyFill="1" applyBorder="1"/>
    <xf numFmtId="38" fontId="48" fillId="9" borderId="62" xfId="0" applyNumberFormat="1" applyFont="1" applyFill="1" applyBorder="1"/>
    <xf numFmtId="169" fontId="26" fillId="2" borderId="9" xfId="0" applyNumberFormat="1" applyFont="1" applyBorder="1"/>
    <xf numFmtId="0" fontId="0" fillId="2" borderId="59" xfId="0" applyBorder="1"/>
    <xf numFmtId="0" fontId="58"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0" fillId="5" borderId="0" xfId="0" applyFont="1" applyFill="1"/>
    <xf numFmtId="38" fontId="42"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0" fillId="5" borderId="0" xfId="0" applyFont="1" applyFill="1" applyAlignment="1">
      <alignment horizontal="center"/>
    </xf>
    <xf numFmtId="38" fontId="60" fillId="5" borderId="0" xfId="0" quotePrefix="1" applyNumberFormat="1" applyFont="1" applyFill="1" applyAlignment="1">
      <alignment horizontal="center"/>
    </xf>
    <xf numFmtId="0" fontId="60" fillId="5" borderId="0" xfId="0" quotePrefix="1" applyFont="1" applyFill="1" applyAlignment="1">
      <alignment horizontal="center"/>
    </xf>
    <xf numFmtId="37" fontId="60" fillId="5" borderId="2" xfId="0" applyNumberFormat="1" applyFont="1" applyFill="1" applyBorder="1"/>
    <xf numFmtId="37" fontId="60" fillId="5" borderId="0" xfId="0" applyNumberFormat="1" applyFont="1" applyFill="1"/>
    <xf numFmtId="174" fontId="60" fillId="5" borderId="2" xfId="0" applyNumberFormat="1" applyFont="1" applyFill="1" applyBorder="1"/>
    <xf numFmtId="174" fontId="60" fillId="5" borderId="0" xfId="0" applyNumberFormat="1" applyFont="1" applyFill="1"/>
    <xf numFmtId="37" fontId="60" fillId="5" borderId="0" xfId="0" applyNumberFormat="1" applyFont="1" applyFill="1" applyAlignment="1">
      <alignment horizontal="center"/>
    </xf>
    <xf numFmtId="37" fontId="60" fillId="5" borderId="2" xfId="0" applyNumberFormat="1" applyFont="1" applyFill="1" applyBorder="1" applyAlignment="1">
      <alignment horizontal="center"/>
    </xf>
    <xf numFmtId="167" fontId="60" fillId="5" borderId="2" xfId="0" applyNumberFormat="1" applyFont="1" applyFill="1" applyBorder="1"/>
    <xf numFmtId="167" fontId="60" fillId="5" borderId="0" xfId="0" applyNumberFormat="1" applyFont="1" applyFill="1"/>
    <xf numFmtId="38" fontId="60" fillId="5" borderId="2" xfId="0" applyNumberFormat="1" applyFont="1" applyFill="1" applyBorder="1"/>
    <xf numFmtId="38" fontId="60" fillId="5" borderId="0" xfId="0" applyNumberFormat="1" applyFont="1" applyFill="1"/>
    <xf numFmtId="40" fontId="60" fillId="5" borderId="0" xfId="0" applyNumberFormat="1" applyFont="1" applyFill="1"/>
    <xf numFmtId="38" fontId="60" fillId="5" borderId="9" xfId="0" applyNumberFormat="1" applyFont="1" applyFill="1" applyBorder="1"/>
    <xf numFmtId="38" fontId="60"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3" fillId="2" borderId="0" xfId="0" applyFont="1" applyAlignment="1">
      <alignment horizontal="left"/>
    </xf>
    <xf numFmtId="0" fontId="46" fillId="2" borderId="0" xfId="0" applyFont="1" applyAlignment="1">
      <alignment horizontal="left"/>
    </xf>
    <xf numFmtId="0" fontId="15" fillId="2" borderId="0" xfId="0" applyFont="1"/>
    <xf numFmtId="49" fontId="46" fillId="2" borderId="0" xfId="0" applyNumberFormat="1" applyFont="1" applyAlignment="1">
      <alignment horizontal="left"/>
    </xf>
    <xf numFmtId="0" fontId="46"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6"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1" fillId="2" borderId="0" xfId="0" quotePrefix="1" applyFont="1"/>
    <xf numFmtId="184" fontId="15" fillId="2" borderId="9" xfId="0" applyNumberFormat="1" applyFont="1" applyBorder="1"/>
    <xf numFmtId="0" fontId="49" fillId="2" borderId="0" xfId="0" applyFont="1" applyAlignment="1">
      <alignment horizontal="right"/>
    </xf>
    <xf numFmtId="37" fontId="49"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6" fillId="2" borderId="22" xfId="0" applyNumberFormat="1" applyFont="1" applyBorder="1"/>
    <xf numFmtId="0" fontId="46" fillId="2" borderId="63" xfId="0" applyFont="1" applyBorder="1"/>
    <xf numFmtId="0" fontId="46"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4" fillId="5" borderId="2" xfId="0" applyNumberFormat="1" applyFont="1" applyFill="1" applyBorder="1"/>
    <xf numFmtId="49" fontId="46" fillId="2" borderId="0" xfId="0" applyNumberFormat="1" applyFont="1"/>
    <xf numFmtId="0" fontId="15" fillId="4" borderId="0" xfId="0" applyFont="1" applyFill="1"/>
    <xf numFmtId="0" fontId="62" fillId="2" borderId="0" xfId="0" applyFont="1"/>
    <xf numFmtId="174" fontId="14" fillId="2" borderId="0" xfId="0" applyNumberFormat="1" applyFont="1"/>
    <xf numFmtId="174" fontId="39" fillId="2" borderId="0" xfId="0" applyNumberFormat="1" applyFont="1" applyProtection="1">
      <protection locked="0"/>
    </xf>
    <xf numFmtId="0" fontId="14" fillId="4" borderId="0" xfId="0" applyFont="1" applyFill="1"/>
    <xf numFmtId="174" fontId="39" fillId="4" borderId="0" xfId="0" applyNumberFormat="1" applyFont="1" applyFill="1"/>
    <xf numFmtId="0" fontId="31" fillId="2" borderId="0" xfId="0" applyFont="1"/>
    <xf numFmtId="40" fontId="14" fillId="2" borderId="0" xfId="0" applyNumberFormat="1" applyFont="1"/>
    <xf numFmtId="40" fontId="39" fillId="2" borderId="0" xfId="0" applyNumberFormat="1" applyFont="1" applyAlignment="1" applyProtection="1">
      <alignment horizontal="right"/>
      <protection locked="0"/>
    </xf>
    <xf numFmtId="0" fontId="36" fillId="2" borderId="0" xfId="0" applyFont="1"/>
    <xf numFmtId="38" fontId="14" fillId="2" borderId="0" xfId="0" applyNumberFormat="1" applyFont="1"/>
    <xf numFmtId="38" fontId="39"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6" fillId="4" borderId="0" xfId="0" applyFont="1" applyFill="1"/>
    <xf numFmtId="174" fontId="39"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6" fillId="2" borderId="11" xfId="0" applyFont="1" applyBorder="1"/>
    <xf numFmtId="0" fontId="15" fillId="4" borderId="13" xfId="0" applyFont="1" applyFill="1" applyBorder="1"/>
    <xf numFmtId="0" fontId="15" fillId="4" borderId="13" xfId="0" quotePrefix="1" applyFont="1" applyFill="1" applyBorder="1"/>
    <xf numFmtId="175" fontId="65" fillId="2" borderId="66" xfId="0" applyNumberFormat="1" applyFont="1" applyBorder="1"/>
    <xf numFmtId="175" fontId="65"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6" fillId="2" borderId="68" xfId="0" applyNumberFormat="1" applyFont="1" applyBorder="1"/>
    <xf numFmtId="14" fontId="15" fillId="2" borderId="9" xfId="0" quotePrefix="1" applyNumberFormat="1" applyFont="1" applyBorder="1" applyAlignment="1" applyProtection="1">
      <alignment horizontal="left"/>
      <protection locked="0"/>
    </xf>
    <xf numFmtId="0" fontId="78" fillId="2" borderId="0" xfId="0" applyFont="1"/>
    <xf numFmtId="175" fontId="79" fillId="2" borderId="0" xfId="3" applyNumberFormat="1" applyFont="1" applyFill="1" applyAlignment="1" applyProtection="1">
      <alignment horizontal="center"/>
    </xf>
    <xf numFmtId="181" fontId="15" fillId="2" borderId="0" xfId="0" applyNumberFormat="1" applyFont="1" applyAlignment="1">
      <alignment horizontal="center"/>
    </xf>
    <xf numFmtId="0" fontId="79" fillId="2" borderId="0" xfId="3" applyFont="1" applyFill="1" applyAlignment="1" applyProtection="1">
      <alignment horizontal="center"/>
    </xf>
    <xf numFmtId="0" fontId="78" fillId="2" borderId="0" xfId="0" applyFont="1" applyAlignment="1">
      <alignment horizontal="right"/>
    </xf>
    <xf numFmtId="6" fontId="15" fillId="4" borderId="9" xfId="0" applyNumberFormat="1" applyFont="1" applyFill="1" applyBorder="1"/>
    <xf numFmtId="0" fontId="80" fillId="2" borderId="0" xfId="0" applyFont="1"/>
    <xf numFmtId="0" fontId="73" fillId="2" borderId="0" xfId="0" applyFont="1"/>
    <xf numFmtId="0" fontId="15" fillId="6" borderId="9" xfId="0" applyFont="1" applyFill="1" applyBorder="1" applyProtection="1">
      <protection locked="0"/>
    </xf>
    <xf numFmtId="0" fontId="46"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6"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15" fillId="12" borderId="11" xfId="0" applyFont="1" applyFill="1" applyBorder="1"/>
    <xf numFmtId="0" fontId="76"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2" fillId="2" borderId="71" xfId="0" applyFont="1" applyBorder="1"/>
    <xf numFmtId="0" fontId="4" fillId="2" borderId="64" xfId="0" applyFont="1" applyBorder="1"/>
    <xf numFmtId="0" fontId="4" fillId="2" borderId="72" xfId="0" applyFont="1" applyBorder="1"/>
    <xf numFmtId="6" fontId="46"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3"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6"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3" fillId="2" borderId="0" xfId="0" applyFont="1" applyAlignment="1">
      <alignment horizontal="center"/>
    </xf>
    <xf numFmtId="167" fontId="83" fillId="2" borderId="2" xfId="0" applyNumberFormat="1" applyFont="1" applyBorder="1"/>
    <xf numFmtId="38" fontId="83" fillId="2" borderId="9" xfId="0" applyNumberFormat="1" applyFont="1" applyBorder="1"/>
    <xf numFmtId="174" fontId="83" fillId="4" borderId="9" xfId="0" applyNumberFormat="1" applyFont="1" applyFill="1" applyBorder="1"/>
    <xf numFmtId="0" fontId="49" fillId="10" borderId="21" xfId="0" applyFont="1" applyFill="1" applyBorder="1"/>
    <xf numFmtId="0" fontId="49" fillId="10" borderId="22" xfId="0" applyFont="1" applyFill="1" applyBorder="1"/>
    <xf numFmtId="0" fontId="49" fillId="10" borderId="45" xfId="0" applyFont="1" applyFill="1" applyBorder="1"/>
    <xf numFmtId="0" fontId="49" fillId="10" borderId="16" xfId="0" applyFont="1" applyFill="1" applyBorder="1"/>
    <xf numFmtId="0" fontId="49" fillId="10" borderId="23" xfId="0" applyFont="1" applyFill="1" applyBorder="1"/>
    <xf numFmtId="0" fontId="49" fillId="10" borderId="36" xfId="0" applyFont="1" applyFill="1" applyBorder="1"/>
    <xf numFmtId="0" fontId="49" fillId="10" borderId="29" xfId="0" applyFont="1" applyFill="1" applyBorder="1"/>
    <xf numFmtId="0" fontId="49" fillId="10" borderId="22" xfId="0" applyFont="1" applyFill="1" applyBorder="1" applyAlignment="1">
      <alignment horizontal="center"/>
    </xf>
    <xf numFmtId="181" fontId="49" fillId="10" borderId="45" xfId="0" applyNumberFormat="1" applyFont="1" applyFill="1" applyBorder="1" applyAlignment="1">
      <alignment horizontal="center"/>
    </xf>
    <xf numFmtId="0" fontId="38" fillId="10" borderId="45" xfId="0" applyFont="1" applyFill="1" applyBorder="1" applyAlignment="1">
      <alignment horizontal="center"/>
    </xf>
    <xf numFmtId="0" fontId="38" fillId="10" borderId="36" xfId="0" applyFont="1" applyFill="1" applyBorder="1" applyAlignment="1">
      <alignment horizontal="center"/>
    </xf>
    <xf numFmtId="0" fontId="0" fillId="10" borderId="29" xfId="0" applyFill="1" applyBorder="1"/>
    <xf numFmtId="0" fontId="0" fillId="10" borderId="22" xfId="0" applyFill="1" applyBorder="1"/>
    <xf numFmtId="0" fontId="46" fillId="10" borderId="45" xfId="0" applyFont="1" applyFill="1" applyBorder="1" applyAlignment="1">
      <alignment horizontal="center"/>
    </xf>
    <xf numFmtId="0" fontId="38" fillId="10" borderId="23" xfId="0" applyFont="1" applyFill="1" applyBorder="1" applyAlignment="1">
      <alignment horizontal="center"/>
    </xf>
    <xf numFmtId="0" fontId="46"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38"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38" fillId="10" borderId="9" xfId="0" applyFont="1" applyFill="1" applyBorder="1"/>
    <xf numFmtId="0" fontId="38" fillId="10" borderId="9" xfId="0" applyFont="1" applyFill="1" applyBorder="1" applyAlignment="1">
      <alignment horizontal="center"/>
    </xf>
    <xf numFmtId="0" fontId="49"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6" fillId="17" borderId="10" xfId="0" applyFont="1" applyFill="1" applyBorder="1" applyAlignment="1">
      <alignment horizontal="left"/>
    </xf>
    <xf numFmtId="0" fontId="15" fillId="2" borderId="36" xfId="0" quotePrefix="1" applyFont="1" applyBorder="1" applyAlignment="1">
      <alignment horizontal="center"/>
    </xf>
    <xf numFmtId="0" fontId="38" fillId="10" borderId="16" xfId="0" applyFont="1" applyFill="1" applyBorder="1" applyAlignment="1">
      <alignment horizontal="left"/>
    </xf>
    <xf numFmtId="0" fontId="75" fillId="10" borderId="12" xfId="0" applyFont="1" applyFill="1" applyBorder="1" applyAlignment="1">
      <alignment horizontal="center"/>
    </xf>
    <xf numFmtId="0" fontId="38" fillId="10" borderId="12" xfId="0" applyFont="1" applyFill="1" applyBorder="1" applyAlignment="1">
      <alignment horizontal="center"/>
    </xf>
    <xf numFmtId="6" fontId="15" fillId="17" borderId="12" xfId="0" applyNumberFormat="1" applyFont="1" applyFill="1" applyBorder="1"/>
    <xf numFmtId="0" fontId="38" fillId="10" borderId="10" xfId="0" applyFont="1" applyFill="1" applyBorder="1" applyAlignment="1">
      <alignment horizontal="left"/>
    </xf>
    <xf numFmtId="0" fontId="38" fillId="10" borderId="16" xfId="0" applyFont="1" applyFill="1" applyBorder="1"/>
    <xf numFmtId="0" fontId="49" fillId="10" borderId="11" xfId="0" applyFont="1" applyFill="1" applyBorder="1"/>
    <xf numFmtId="0" fontId="49" fillId="10" borderId="12" xfId="0" applyFont="1" applyFill="1" applyBorder="1"/>
    <xf numFmtId="0" fontId="15" fillId="17" borderId="13" xfId="0" applyFont="1" applyFill="1" applyBorder="1"/>
    <xf numFmtId="0" fontId="15" fillId="17" borderId="23" xfId="0" applyFont="1" applyFill="1" applyBorder="1"/>
    <xf numFmtId="0" fontId="46" fillId="17" borderId="16" xfId="0" applyFont="1" applyFill="1" applyBorder="1"/>
    <xf numFmtId="0" fontId="15" fillId="17" borderId="9" xfId="0" applyFont="1" applyFill="1" applyBorder="1"/>
    <xf numFmtId="0" fontId="38" fillId="10" borderId="10" xfId="0" applyFont="1" applyFill="1" applyBorder="1"/>
    <xf numFmtId="0" fontId="46" fillId="2" borderId="0" xfId="0" quotePrefix="1" applyFont="1"/>
    <xf numFmtId="181" fontId="38"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49" fillId="10" borderId="13" xfId="0" applyFont="1" applyFill="1" applyBorder="1"/>
    <xf numFmtId="38" fontId="38" fillId="10" borderId="29" xfId="0" applyNumberFormat="1" applyFont="1" applyFill="1" applyBorder="1"/>
    <xf numFmtId="0" fontId="38" fillId="10" borderId="45" xfId="0" applyFont="1" applyFill="1" applyBorder="1"/>
    <xf numFmtId="0" fontId="38" fillId="10" borderId="21" xfId="0" applyFont="1" applyFill="1" applyBorder="1" applyAlignment="1">
      <alignment horizontal="center"/>
    </xf>
    <xf numFmtId="0" fontId="38" fillId="10" borderId="22" xfId="0" applyFont="1" applyFill="1" applyBorder="1"/>
    <xf numFmtId="0" fontId="15" fillId="17" borderId="21" xfId="0" applyFont="1" applyFill="1" applyBorder="1"/>
    <xf numFmtId="0" fontId="15" fillId="17" borderId="22" xfId="0" applyFont="1" applyFill="1" applyBorder="1"/>
    <xf numFmtId="0" fontId="46" fillId="17" borderId="29" xfId="0" applyFont="1" applyFill="1" applyBorder="1"/>
    <xf numFmtId="0" fontId="82" fillId="17" borderId="10" xfId="0" applyFont="1" applyFill="1" applyBorder="1"/>
    <xf numFmtId="38" fontId="38" fillId="10" borderId="16" xfId="0" applyNumberFormat="1" applyFont="1" applyFill="1" applyBorder="1" applyAlignment="1">
      <alignment horizontal="left"/>
    </xf>
    <xf numFmtId="38" fontId="38" fillId="10" borderId="16" xfId="0" applyNumberFormat="1" applyFont="1" applyFill="1" applyBorder="1"/>
    <xf numFmtId="0" fontId="46" fillId="17" borderId="75" xfId="0" applyFont="1" applyFill="1" applyBorder="1" applyAlignment="1">
      <alignment horizontal="center"/>
    </xf>
    <xf numFmtId="0" fontId="46" fillId="10" borderId="12" xfId="0" applyFont="1" applyFill="1" applyBorder="1"/>
    <xf numFmtId="0" fontId="85"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6" fillId="10" borderId="10" xfId="0" applyFont="1" applyFill="1" applyBorder="1"/>
    <xf numFmtId="0" fontId="46" fillId="10" borderId="10" xfId="0" applyFont="1" applyFill="1" applyBorder="1" applyAlignment="1">
      <alignment horizontal="center"/>
    </xf>
    <xf numFmtId="0" fontId="46" fillId="10" borderId="9" xfId="0" applyFont="1" applyFill="1" applyBorder="1" applyAlignment="1">
      <alignment horizontal="center"/>
    </xf>
    <xf numFmtId="0" fontId="46" fillId="10" borderId="11" xfId="0" applyFont="1" applyFill="1" applyBorder="1"/>
    <xf numFmtId="0" fontId="84" fillId="2" borderId="0" xfId="0" applyFont="1"/>
    <xf numFmtId="6" fontId="46" fillId="2" borderId="0" xfId="0" applyNumberFormat="1" applyFont="1"/>
    <xf numFmtId="0" fontId="38" fillId="10" borderId="29" xfId="0" applyFont="1" applyFill="1" applyBorder="1"/>
    <xf numFmtId="0" fontId="0" fillId="10" borderId="45" xfId="0" applyFill="1" applyBorder="1"/>
    <xf numFmtId="0" fontId="38" fillId="10" borderId="22" xfId="0" applyFont="1" applyFill="1" applyBorder="1" applyAlignment="1">
      <alignment horizontal="center"/>
    </xf>
    <xf numFmtId="0" fontId="0" fillId="10" borderId="23" xfId="0" applyFill="1" applyBorder="1"/>
    <xf numFmtId="0" fontId="0" fillId="10" borderId="36" xfId="0" applyFill="1" applyBorder="1"/>
    <xf numFmtId="0" fontId="46" fillId="17" borderId="10" xfId="0" applyFont="1" applyFill="1" applyBorder="1"/>
    <xf numFmtId="0" fontId="0" fillId="17" borderId="11" xfId="0" applyFill="1" applyBorder="1"/>
    <xf numFmtId="0" fontId="0" fillId="17" borderId="12" xfId="0" applyFill="1" applyBorder="1"/>
    <xf numFmtId="0" fontId="38" fillId="12" borderId="10" xfId="0" applyFont="1" applyFill="1" applyBorder="1"/>
    <xf numFmtId="0" fontId="76" fillId="4" borderId="11" xfId="0" applyFont="1" applyFill="1" applyBorder="1"/>
    <xf numFmtId="38" fontId="15" fillId="2" borderId="0" xfId="0" applyNumberFormat="1" applyFont="1"/>
    <xf numFmtId="38" fontId="46" fillId="12" borderId="9"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79" fillId="2" borderId="0" xfId="3" quotePrefix="1" applyFont="1" applyFill="1" applyAlignment="1" applyProtection="1">
      <alignment horizontal="center"/>
    </xf>
    <xf numFmtId="49" fontId="15" fillId="2" borderId="9" xfId="0" applyNumberFormat="1" applyFont="1" applyBorder="1"/>
    <xf numFmtId="0" fontId="89" fillId="2" borderId="0" xfId="0" applyFont="1"/>
    <xf numFmtId="6" fontId="78"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2"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3" fillId="12" borderId="2" xfId="0" applyFont="1" applyFill="1" applyBorder="1"/>
    <xf numFmtId="38" fontId="53" fillId="12" borderId="46" xfId="0" applyNumberFormat="1" applyFont="1" applyFill="1" applyBorder="1"/>
    <xf numFmtId="37" fontId="53" fillId="12" borderId="2" xfId="0" applyNumberFormat="1" applyFont="1" applyFill="1" applyBorder="1"/>
    <xf numFmtId="0" fontId="54" fillId="12" borderId="0" xfId="0" applyFont="1" applyFill="1"/>
    <xf numFmtId="0" fontId="26" fillId="12" borderId="0" xfId="0" applyFont="1" applyFill="1" applyAlignment="1">
      <alignment horizontal="right"/>
    </xf>
    <xf numFmtId="38" fontId="42" fillId="12" borderId="0" xfId="0" applyNumberFormat="1" applyFont="1" applyFill="1" applyAlignment="1">
      <alignment horizontal="center"/>
    </xf>
    <xf numFmtId="0" fontId="0" fillId="12" borderId="0" xfId="0" applyFill="1" applyAlignment="1">
      <alignment horizontal="center"/>
    </xf>
    <xf numFmtId="0" fontId="43"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58" fillId="9" borderId="0" xfId="0" applyFont="1" applyFill="1" applyAlignment="1">
      <alignment horizontal="right"/>
    </xf>
    <xf numFmtId="0" fontId="58"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5" fillId="10" borderId="2" xfId="0" applyFont="1" applyFill="1" applyBorder="1" applyAlignment="1">
      <alignment horizontal="center"/>
    </xf>
    <xf numFmtId="38" fontId="4" fillId="4" borderId="51" xfId="0" applyNumberFormat="1" applyFont="1" applyFill="1" applyBorder="1"/>
    <xf numFmtId="0" fontId="92" fillId="2" borderId="0" xfId="3" applyFont="1" applyFill="1" applyAlignment="1" applyProtection="1"/>
    <xf numFmtId="0" fontId="92" fillId="4" borderId="9" xfId="3" applyFont="1" applyFill="1" applyBorder="1" applyAlignment="1" applyProtection="1">
      <alignment horizontal="left"/>
    </xf>
    <xf numFmtId="0" fontId="92" fillId="2" borderId="9" xfId="3" applyFont="1" applyFill="1" applyBorder="1" applyAlignment="1" applyProtection="1"/>
    <xf numFmtId="0" fontId="44" fillId="2" borderId="0" xfId="0" applyFont="1"/>
    <xf numFmtId="0" fontId="46" fillId="2" borderId="75" xfId="0" applyFont="1" applyBorder="1"/>
    <xf numFmtId="0" fontId="46"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6" fillId="2" borderId="36" xfId="0" applyFont="1" applyBorder="1"/>
    <xf numFmtId="0" fontId="5" fillId="4" borderId="9" xfId="0" applyFont="1" applyFill="1" applyBorder="1"/>
    <xf numFmtId="0" fontId="5" fillId="2" borderId="9" xfId="0" applyFont="1" applyBorder="1"/>
    <xf numFmtId="0" fontId="46" fillId="4" borderId="74" xfId="0" applyFont="1" applyFill="1" applyBorder="1"/>
    <xf numFmtId="0" fontId="15" fillId="2" borderId="9" xfId="0" applyFont="1" applyBorder="1" applyAlignment="1">
      <alignment horizontal="left"/>
    </xf>
    <xf numFmtId="174" fontId="0" fillId="2" borderId="0" xfId="0" applyNumberFormat="1" applyAlignment="1">
      <alignment horizontal="center"/>
    </xf>
    <xf numFmtId="38" fontId="94" fillId="2" borderId="0" xfId="0" applyNumberFormat="1" applyFont="1"/>
    <xf numFmtId="0" fontId="94" fillId="2" borderId="0" xfId="0" applyFont="1"/>
    <xf numFmtId="165" fontId="94" fillId="2" borderId="0" xfId="0" applyNumberFormat="1" applyFont="1" applyAlignment="1">
      <alignment horizontal="right"/>
    </xf>
    <xf numFmtId="174" fontId="94" fillId="2" borderId="0" xfId="0" applyNumberFormat="1" applyFont="1"/>
    <xf numFmtId="0" fontId="94" fillId="2" borderId="0" xfId="0" applyFont="1" applyAlignment="1">
      <alignment horizontal="right"/>
    </xf>
    <xf numFmtId="38" fontId="94" fillId="2" borderId="0" xfId="0" applyNumberFormat="1" applyFont="1" applyProtection="1">
      <protection locked="0"/>
    </xf>
    <xf numFmtId="0" fontId="94" fillId="2" borderId="0" xfId="0" applyFont="1" applyAlignment="1">
      <alignment horizontal="center"/>
    </xf>
    <xf numFmtId="174" fontId="94" fillId="2" borderId="2" xfId="0" applyNumberFormat="1" applyFont="1" applyBorder="1"/>
    <xf numFmtId="175" fontId="94" fillId="0" borderId="2" xfId="0" applyNumberFormat="1" applyFont="1" applyFill="1" applyBorder="1"/>
    <xf numFmtId="0" fontId="94" fillId="2" borderId="2" xfId="0" applyFont="1" applyBorder="1"/>
    <xf numFmtId="37" fontId="94" fillId="2" borderId="2" xfId="0" applyNumberFormat="1" applyFont="1" applyBorder="1"/>
    <xf numFmtId="167" fontId="94" fillId="2" borderId="2" xfId="0" applyNumberFormat="1" applyFont="1" applyBorder="1"/>
    <xf numFmtId="167" fontId="94" fillId="8" borderId="2" xfId="0" applyNumberFormat="1" applyFont="1" applyFill="1" applyBorder="1"/>
    <xf numFmtId="38" fontId="94" fillId="2" borderId="2" xfId="0" applyNumberFormat="1" applyFont="1" applyBorder="1"/>
    <xf numFmtId="170" fontId="94" fillId="2" borderId="0" xfId="0" applyNumberFormat="1" applyFont="1" applyAlignment="1">
      <alignment horizontal="right"/>
    </xf>
    <xf numFmtId="39" fontId="94" fillId="2" borderId="0" xfId="0" applyNumberFormat="1" applyFont="1" applyAlignment="1">
      <alignment horizontal="right"/>
    </xf>
    <xf numFmtId="0" fontId="94" fillId="9" borderId="22" xfId="0" applyFont="1" applyFill="1" applyBorder="1" applyAlignment="1">
      <alignment horizontal="center"/>
    </xf>
    <xf numFmtId="38" fontId="94" fillId="9" borderId="20" xfId="0" applyNumberFormat="1" applyFont="1" applyFill="1" applyBorder="1" applyAlignment="1">
      <alignment horizontal="center"/>
    </xf>
    <xf numFmtId="0" fontId="94" fillId="9" borderId="20" xfId="0" applyFont="1" applyFill="1" applyBorder="1"/>
    <xf numFmtId="38" fontId="94" fillId="9" borderId="23" xfId="0" applyNumberFormat="1" applyFont="1" applyFill="1" applyBorder="1" applyAlignment="1">
      <alignment horizontal="center"/>
    </xf>
    <xf numFmtId="38" fontId="94" fillId="4" borderId="0" xfId="0" applyNumberFormat="1" applyFont="1" applyFill="1" applyAlignment="1">
      <alignment horizontal="center"/>
    </xf>
    <xf numFmtId="0" fontId="94" fillId="4" borderId="0" xfId="0" applyFont="1" applyFill="1"/>
    <xf numFmtId="0" fontId="94" fillId="19" borderId="0" xfId="0" applyFont="1" applyFill="1"/>
    <xf numFmtId="38" fontId="94" fillId="19" borderId="0" xfId="0" applyNumberFormat="1" applyFont="1" applyFill="1"/>
    <xf numFmtId="0" fontId="94" fillId="19" borderId="0" xfId="0" applyFont="1" applyFill="1" applyAlignment="1">
      <alignment horizontal="center"/>
    </xf>
    <xf numFmtId="38" fontId="94" fillId="19" borderId="0" xfId="0" quotePrefix="1" applyNumberFormat="1" applyFont="1" applyFill="1" applyAlignment="1">
      <alignment horizontal="center"/>
    </xf>
    <xf numFmtId="0" fontId="94" fillId="19" borderId="0" xfId="0" quotePrefix="1" applyFont="1" applyFill="1" applyAlignment="1">
      <alignment horizontal="center"/>
    </xf>
    <xf numFmtId="37" fontId="94" fillId="19" borderId="2" xfId="0" applyNumberFormat="1" applyFont="1" applyFill="1" applyBorder="1"/>
    <xf numFmtId="37" fontId="94" fillId="19" borderId="0" xfId="0" applyNumberFormat="1" applyFont="1" applyFill="1"/>
    <xf numFmtId="174" fontId="94" fillId="19" borderId="2" xfId="0" applyNumberFormat="1" applyFont="1" applyFill="1" applyBorder="1"/>
    <xf numFmtId="174" fontId="94" fillId="19" borderId="0" xfId="0" applyNumberFormat="1" applyFont="1" applyFill="1"/>
    <xf numFmtId="37" fontId="94" fillId="19" borderId="0" xfId="0" applyNumberFormat="1" applyFont="1" applyFill="1" applyAlignment="1">
      <alignment horizontal="center"/>
    </xf>
    <xf numFmtId="37" fontId="94" fillId="19" borderId="2" xfId="0" applyNumberFormat="1" applyFont="1" applyFill="1" applyBorder="1" applyAlignment="1">
      <alignment horizontal="center"/>
    </xf>
    <xf numFmtId="167" fontId="94" fillId="19" borderId="2" xfId="0" applyNumberFormat="1" applyFont="1" applyFill="1" applyBorder="1"/>
    <xf numFmtId="167" fontId="94" fillId="19" borderId="0" xfId="0" applyNumberFormat="1" applyFont="1" applyFill="1"/>
    <xf numFmtId="38" fontId="94" fillId="19" borderId="2" xfId="0" applyNumberFormat="1" applyFont="1" applyFill="1" applyBorder="1"/>
    <xf numFmtId="40" fontId="94" fillId="19" borderId="2" xfId="0" applyNumberFormat="1" applyFont="1" applyFill="1" applyBorder="1"/>
    <xf numFmtId="40" fontId="94" fillId="19" borderId="0" xfId="0" applyNumberFormat="1" applyFont="1" applyFill="1"/>
    <xf numFmtId="38" fontId="94" fillId="19" borderId="9" xfId="0" applyNumberFormat="1" applyFont="1" applyFill="1" applyBorder="1"/>
    <xf numFmtId="38" fontId="94" fillId="19" borderId="8" xfId="0" applyNumberFormat="1" applyFont="1" applyFill="1" applyBorder="1"/>
    <xf numFmtId="38" fontId="94" fillId="19" borderId="9" xfId="0" applyNumberFormat="1" applyFont="1" applyFill="1" applyBorder="1" applyAlignment="1" applyProtection="1">
      <alignment horizontal="center"/>
      <protection locked="0"/>
    </xf>
    <xf numFmtId="38" fontId="94" fillId="19" borderId="9" xfId="0" applyNumberFormat="1" applyFont="1" applyFill="1" applyBorder="1" applyAlignment="1">
      <alignment horizontal="center"/>
    </xf>
    <xf numFmtId="0" fontId="94" fillId="19" borderId="0" xfId="0" quotePrefix="1" applyFont="1" applyFill="1"/>
    <xf numFmtId="0" fontId="52"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67" fillId="2" borderId="0" xfId="3" applyFont="1" applyFill="1" applyAlignment="1" applyProtection="1"/>
    <xf numFmtId="0" fontId="0" fillId="0" borderId="0" xfId="0" applyFill="1"/>
    <xf numFmtId="38" fontId="93" fillId="0" borderId="36" xfId="0" applyNumberFormat="1" applyFont="1" applyFill="1" applyBorder="1" applyAlignment="1" applyProtection="1">
      <alignment horizontal="center"/>
      <protection locked="0"/>
    </xf>
    <xf numFmtId="0" fontId="90" fillId="4" borderId="0" xfId="0" applyFont="1" applyFill="1" applyAlignment="1">
      <alignment horizontal="center"/>
    </xf>
    <xf numFmtId="38" fontId="94" fillId="4" borderId="0" xfId="0" applyNumberFormat="1" applyFont="1" applyFill="1"/>
    <xf numFmtId="165" fontId="94" fillId="4" borderId="0" xfId="0" applyNumberFormat="1" applyFont="1" applyFill="1" applyAlignment="1">
      <alignment horizontal="right"/>
    </xf>
    <xf numFmtId="174" fontId="94" fillId="4" borderId="0" xfId="0" applyNumberFormat="1" applyFont="1" applyFill="1"/>
    <xf numFmtId="0" fontId="94" fillId="4" borderId="0" xfId="0" applyFont="1" applyFill="1" applyAlignment="1">
      <alignment horizontal="right"/>
    </xf>
    <xf numFmtId="38" fontId="94"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96" fillId="0" borderId="36" xfId="0" applyNumberFormat="1" applyFont="1" applyFill="1" applyBorder="1" applyAlignment="1" applyProtection="1">
      <alignment horizontal="center"/>
      <protection locked="0"/>
    </xf>
    <xf numFmtId="0" fontId="97"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68" fillId="0" borderId="0" xfId="0" applyFont="1" applyFill="1"/>
    <xf numFmtId="0" fontId="68" fillId="0" borderId="0" xfId="0" applyFont="1" applyFill="1" applyAlignment="1">
      <alignment horizontal="left"/>
    </xf>
    <xf numFmtId="0" fontId="44" fillId="12" borderId="0" xfId="0" applyFont="1" applyFill="1"/>
    <xf numFmtId="38" fontId="81"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79" xfId="0" applyFill="1" applyBorder="1"/>
    <xf numFmtId="0" fontId="4" fillId="5" borderId="48" xfId="0" applyFont="1" applyFill="1" applyBorder="1"/>
    <xf numFmtId="0" fontId="91" fillId="5" borderId="80" xfId="0" applyFont="1" applyFill="1" applyBorder="1"/>
    <xf numFmtId="0" fontId="9" fillId="5" borderId="81" xfId="0" applyFont="1" applyFill="1" applyBorder="1"/>
    <xf numFmtId="0" fontId="0" fillId="5" borderId="82" xfId="0" applyFill="1" applyBorder="1"/>
    <xf numFmtId="174" fontId="4" fillId="6" borderId="83" xfId="0" applyNumberFormat="1" applyFont="1" applyFill="1" applyBorder="1"/>
    <xf numFmtId="174" fontId="4" fillId="6" borderId="84" xfId="0" applyNumberFormat="1" applyFont="1" applyFill="1" applyBorder="1" applyProtection="1">
      <protection locked="0"/>
    </xf>
    <xf numFmtId="174" fontId="4" fillId="6" borderId="85" xfId="0" applyNumberFormat="1" applyFont="1" applyFill="1" applyBorder="1"/>
    <xf numFmtId="174" fontId="73" fillId="6" borderId="86" xfId="0" applyNumberFormat="1" applyFont="1" applyFill="1" applyBorder="1"/>
    <xf numFmtId="0" fontId="73" fillId="6" borderId="87" xfId="0" applyFont="1" applyFill="1" applyBorder="1"/>
    <xf numFmtId="0" fontId="4" fillId="6" borderId="88" xfId="0" applyFont="1" applyFill="1" applyBorder="1"/>
    <xf numFmtId="0" fontId="4" fillId="6" borderId="7" xfId="0" applyFont="1" applyFill="1" applyBorder="1"/>
    <xf numFmtId="0" fontId="92" fillId="2" borderId="0" xfId="0" applyFont="1" applyAlignment="1">
      <alignment horizontal="right"/>
    </xf>
    <xf numFmtId="38" fontId="60" fillId="9" borderId="89" xfId="0" applyNumberFormat="1" applyFont="1" applyFill="1" applyBorder="1"/>
    <xf numFmtId="0" fontId="83" fillId="12" borderId="0" xfId="0" applyFont="1" applyFill="1"/>
    <xf numFmtId="38" fontId="83"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3" fillId="4" borderId="0" xfId="0" applyFont="1" applyFill="1" applyAlignment="1">
      <alignment horizontal="right"/>
    </xf>
    <xf numFmtId="0" fontId="73" fillId="4" borderId="0" xfId="0" applyFont="1" applyFill="1"/>
    <xf numFmtId="0" fontId="56" fillId="4" borderId="0" xfId="0" applyFont="1" applyFill="1" applyAlignment="1">
      <alignment horizontal="right"/>
    </xf>
    <xf numFmtId="0" fontId="100" fillId="4" borderId="0" xfId="0" applyFont="1" applyFill="1"/>
    <xf numFmtId="174" fontId="4" fillId="5" borderId="90"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77" fillId="12" borderId="10" xfId="0" applyFont="1" applyFill="1" applyBorder="1" applyAlignment="1">
      <alignment horizontal="left"/>
    </xf>
    <xf numFmtId="0" fontId="100"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4" fillId="19" borderId="9" xfId="0" applyFont="1" applyFill="1" applyBorder="1" applyAlignment="1">
      <alignment horizontal="center"/>
    </xf>
    <xf numFmtId="0" fontId="101"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2" fillId="21" borderId="91" xfId="1" applyFont="1" applyFill="1" applyBorder="1"/>
    <xf numFmtId="0" fontId="102" fillId="21" borderId="92" xfId="1" applyFont="1" applyFill="1" applyBorder="1" applyAlignment="1">
      <alignment horizontal="left"/>
    </xf>
    <xf numFmtId="0" fontId="102" fillId="21" borderId="0" xfId="1" applyFont="1" applyFill="1" applyBorder="1" applyAlignment="1">
      <alignment horizontal="left"/>
    </xf>
    <xf numFmtId="0" fontId="83" fillId="2" borderId="0" xfId="0" quotePrefix="1" applyFont="1" applyAlignment="1">
      <alignment horizontal="center"/>
    </xf>
    <xf numFmtId="0" fontId="88"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2" fillId="21" borderId="9" xfId="1" applyFont="1" applyFill="1" applyBorder="1"/>
    <xf numFmtId="0" fontId="15" fillId="21" borderId="9" xfId="0" applyFont="1" applyFill="1" applyBorder="1"/>
    <xf numFmtId="6" fontId="103" fillId="2" borderId="9" xfId="0" applyNumberFormat="1" applyFont="1" applyBorder="1"/>
    <xf numFmtId="0" fontId="104" fillId="21" borderId="9" xfId="0" quotePrefix="1" applyFont="1" applyFill="1" applyBorder="1" applyAlignment="1">
      <alignment horizontal="center"/>
    </xf>
    <xf numFmtId="6" fontId="46" fillId="12" borderId="9" xfId="0" applyNumberFormat="1" applyFont="1" applyFill="1" applyBorder="1"/>
    <xf numFmtId="8" fontId="0" fillId="2" borderId="0" xfId="0" applyNumberFormat="1"/>
    <xf numFmtId="0" fontId="60" fillId="6" borderId="0" xfId="0" applyFont="1" applyFill="1"/>
    <xf numFmtId="174" fontId="83" fillId="6" borderId="2" xfId="0" applyNumberFormat="1" applyFont="1" applyFill="1" applyBorder="1"/>
    <xf numFmtId="0" fontId="73" fillId="2" borderId="0" xfId="0" applyFont="1" applyAlignment="1">
      <alignment horizontal="center"/>
    </xf>
    <xf numFmtId="0" fontId="73" fillId="2" borderId="0" xfId="0" quotePrefix="1" applyFont="1" applyAlignment="1">
      <alignment horizontal="center"/>
    </xf>
    <xf numFmtId="0" fontId="46" fillId="12" borderId="9" xfId="0" applyFont="1" applyFill="1" applyBorder="1" applyAlignment="1">
      <alignment horizontal="center"/>
    </xf>
    <xf numFmtId="0" fontId="105" fillId="2" borderId="9" xfId="0" applyFont="1" applyBorder="1"/>
    <xf numFmtId="0" fontId="15" fillId="12" borderId="9" xfId="0" applyFont="1" applyFill="1" applyBorder="1" applyAlignment="1">
      <alignment horizontal="center"/>
    </xf>
    <xf numFmtId="0" fontId="106" fillId="12" borderId="10" xfId="0" applyFont="1" applyFill="1" applyBorder="1"/>
    <xf numFmtId="0" fontId="15" fillId="12" borderId="12" xfId="0" applyFont="1" applyFill="1" applyBorder="1"/>
    <xf numFmtId="174" fontId="49" fillId="2" borderId="0" xfId="0" applyNumberFormat="1" applyFont="1"/>
    <xf numFmtId="38" fontId="0" fillId="2" borderId="0" xfId="0" applyNumberFormat="1" applyAlignment="1">
      <alignment horizontal="left"/>
    </xf>
    <xf numFmtId="37" fontId="60" fillId="6" borderId="2" xfId="0" applyNumberFormat="1" applyFont="1" applyFill="1" applyBorder="1"/>
    <xf numFmtId="38" fontId="60" fillId="6" borderId="2" xfId="0" applyNumberFormat="1" applyFont="1" applyFill="1" applyBorder="1"/>
    <xf numFmtId="0" fontId="107" fillId="6" borderId="0" xfId="0" applyFont="1" applyFill="1" applyAlignment="1">
      <alignment horizontal="left"/>
    </xf>
    <xf numFmtId="37" fontId="60" fillId="19" borderId="2" xfId="0" applyNumberFormat="1" applyFont="1" applyFill="1" applyBorder="1"/>
    <xf numFmtId="37" fontId="53" fillId="19" borderId="2" xfId="0" applyNumberFormat="1" applyFont="1" applyFill="1" applyBorder="1"/>
    <xf numFmtId="174" fontId="107" fillId="19" borderId="2" xfId="0" applyNumberFormat="1" applyFont="1" applyFill="1" applyBorder="1"/>
    <xf numFmtId="0" fontId="107" fillId="19" borderId="2" xfId="0" applyFont="1" applyFill="1" applyBorder="1"/>
    <xf numFmtId="180" fontId="60" fillId="19" borderId="2" xfId="0" applyNumberFormat="1" applyFont="1" applyFill="1" applyBorder="1"/>
    <xf numFmtId="38" fontId="107" fillId="19" borderId="2" xfId="0" applyNumberFormat="1" applyFont="1" applyFill="1" applyBorder="1"/>
    <xf numFmtId="38" fontId="60" fillId="19" borderId="2" xfId="0" applyNumberFormat="1" applyFont="1" applyFill="1" applyBorder="1"/>
    <xf numFmtId="0" fontId="0" fillId="19" borderId="0" xfId="0" applyFill="1"/>
    <xf numFmtId="37" fontId="60" fillId="20" borderId="2" xfId="0" applyNumberFormat="1" applyFont="1" applyFill="1" applyBorder="1"/>
    <xf numFmtId="37" fontId="53" fillId="20" borderId="2" xfId="0" applyNumberFormat="1" applyFont="1" applyFill="1" applyBorder="1"/>
    <xf numFmtId="174" fontId="107" fillId="20" borderId="2" xfId="0" applyNumberFormat="1" applyFont="1" applyFill="1" applyBorder="1"/>
    <xf numFmtId="0" fontId="107" fillId="20" borderId="2" xfId="0" applyFont="1" applyFill="1" applyBorder="1"/>
    <xf numFmtId="180" fontId="60" fillId="20" borderId="2" xfId="0" applyNumberFormat="1" applyFont="1" applyFill="1" applyBorder="1"/>
    <xf numFmtId="38" fontId="107" fillId="20" borderId="2" xfId="0" applyNumberFormat="1" applyFont="1" applyFill="1" applyBorder="1"/>
    <xf numFmtId="38" fontId="60"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3" fillId="19" borderId="0" xfId="0" applyNumberFormat="1" applyFont="1" applyFill="1"/>
    <xf numFmtId="38" fontId="83" fillId="19" borderId="2" xfId="0" applyNumberFormat="1" applyFont="1" applyFill="1" applyBorder="1"/>
    <xf numFmtId="37" fontId="83" fillId="19" borderId="2" xfId="0" applyNumberFormat="1" applyFont="1" applyFill="1" applyBorder="1"/>
    <xf numFmtId="174" fontId="83" fillId="19" borderId="2" xfId="0" applyNumberFormat="1" applyFont="1" applyFill="1" applyBorder="1"/>
    <xf numFmtId="40" fontId="83" fillId="19" borderId="2" xfId="0" applyNumberFormat="1" applyFont="1" applyFill="1" applyBorder="1"/>
    <xf numFmtId="0" fontId="83" fillId="19" borderId="0" xfId="0" applyFont="1" applyFill="1"/>
    <xf numFmtId="38" fontId="83" fillId="19" borderId="9" xfId="0" applyNumberFormat="1" applyFont="1" applyFill="1" applyBorder="1"/>
    <xf numFmtId="38" fontId="83" fillId="19" borderId="8" xfId="0" applyNumberFormat="1" applyFont="1" applyFill="1" applyBorder="1"/>
    <xf numFmtId="167" fontId="83" fillId="19" borderId="2" xfId="0" applyNumberFormat="1" applyFont="1" applyFill="1" applyBorder="1"/>
    <xf numFmtId="0" fontId="83"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78" fillId="2" borderId="9" xfId="0" applyNumberFormat="1" applyFont="1" applyBorder="1"/>
    <xf numFmtId="0" fontId="46" fillId="6" borderId="9" xfId="0" applyFont="1" applyFill="1" applyBorder="1" applyAlignment="1">
      <alignment horizontal="center"/>
    </xf>
    <xf numFmtId="175" fontId="96" fillId="4" borderId="0" xfId="0" applyNumberFormat="1" applyFont="1" applyFill="1" applyProtection="1">
      <protection locked="0"/>
    </xf>
    <xf numFmtId="175" fontId="96" fillId="4" borderId="0" xfId="0" applyNumberFormat="1" applyFont="1" applyFill="1"/>
    <xf numFmtId="38" fontId="96" fillId="4" borderId="0" xfId="0" applyNumberFormat="1" applyFont="1" applyFill="1" applyProtection="1">
      <protection locked="0"/>
    </xf>
    <xf numFmtId="174" fontId="96" fillId="4" borderId="0" xfId="0" applyNumberFormat="1" applyFont="1" applyFill="1" applyProtection="1">
      <protection locked="0"/>
    </xf>
    <xf numFmtId="38" fontId="96" fillId="4" borderId="0" xfId="0" applyNumberFormat="1" applyFont="1" applyFill="1" applyAlignment="1" applyProtection="1">
      <alignment horizontal="center"/>
      <protection locked="0"/>
    </xf>
    <xf numFmtId="0" fontId="97" fillId="4" borderId="0" xfId="0" applyFont="1" applyFill="1"/>
    <xf numFmtId="174" fontId="96" fillId="4" borderId="0" xfId="0" applyNumberFormat="1" applyFont="1" applyFill="1"/>
    <xf numFmtId="37" fontId="96" fillId="4" borderId="0" xfId="0" applyNumberFormat="1" applyFont="1" applyFill="1" applyAlignment="1" applyProtection="1">
      <alignment horizontal="center"/>
      <protection locked="0"/>
    </xf>
    <xf numFmtId="175" fontId="96" fillId="4" borderId="0" xfId="0" applyNumberFormat="1" applyFont="1" applyFill="1" applyAlignment="1">
      <alignment horizontal="right"/>
    </xf>
    <xf numFmtId="38" fontId="109" fillId="0" borderId="36" xfId="0" applyNumberFormat="1" applyFont="1" applyFill="1" applyBorder="1" applyAlignment="1" applyProtection="1">
      <alignment horizontal="center"/>
      <protection locked="0"/>
    </xf>
    <xf numFmtId="0" fontId="110" fillId="2" borderId="0" xfId="0" applyFont="1"/>
    <xf numFmtId="0" fontId="111" fillId="2" borderId="0" xfId="0" applyFont="1"/>
    <xf numFmtId="0" fontId="88"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88" fillId="13" borderId="0" xfId="0" applyFont="1" applyFill="1"/>
    <xf numFmtId="0" fontId="88" fillId="13" borderId="0" xfId="0" applyFont="1" applyFill="1" applyAlignment="1">
      <alignment horizontal="center"/>
    </xf>
    <xf numFmtId="38" fontId="88" fillId="13" borderId="0" xfId="0" quotePrefix="1" applyNumberFormat="1" applyFont="1" applyFill="1" applyAlignment="1">
      <alignment horizontal="center"/>
    </xf>
    <xf numFmtId="0" fontId="88" fillId="13" borderId="0" xfId="0" quotePrefix="1" applyFont="1" applyFill="1" applyAlignment="1">
      <alignment horizontal="center"/>
    </xf>
    <xf numFmtId="37" fontId="88" fillId="13" borderId="2" xfId="0" applyNumberFormat="1" applyFont="1" applyFill="1" applyBorder="1"/>
    <xf numFmtId="37" fontId="88" fillId="13" borderId="0" xfId="0" applyNumberFormat="1" applyFont="1" applyFill="1"/>
    <xf numFmtId="174" fontId="88" fillId="13" borderId="2" xfId="0" applyNumberFormat="1" applyFont="1" applyFill="1" applyBorder="1"/>
    <xf numFmtId="174" fontId="88" fillId="13" borderId="0" xfId="0" applyNumberFormat="1" applyFont="1" applyFill="1"/>
    <xf numFmtId="37" fontId="88" fillId="13" borderId="0" xfId="0" applyNumberFormat="1" applyFont="1" applyFill="1" applyAlignment="1">
      <alignment horizontal="center"/>
    </xf>
    <xf numFmtId="37" fontId="88" fillId="13" borderId="2" xfId="0" applyNumberFormat="1" applyFont="1" applyFill="1" applyBorder="1" applyAlignment="1">
      <alignment horizontal="center"/>
    </xf>
    <xf numFmtId="167" fontId="88" fillId="13" borderId="2" xfId="0" applyNumberFormat="1" applyFont="1" applyFill="1" applyBorder="1"/>
    <xf numFmtId="167" fontId="88" fillId="13" borderId="0" xfId="0" applyNumberFormat="1" applyFont="1" applyFill="1"/>
    <xf numFmtId="38" fontId="88" fillId="13" borderId="2" xfId="0" applyNumberFormat="1" applyFont="1" applyFill="1" applyBorder="1"/>
    <xf numFmtId="38" fontId="88" fillId="13" borderId="0" xfId="0" applyNumberFormat="1" applyFont="1" applyFill="1"/>
    <xf numFmtId="40" fontId="88" fillId="13" borderId="2" xfId="0" applyNumberFormat="1" applyFont="1" applyFill="1" applyBorder="1"/>
    <xf numFmtId="40" fontId="88" fillId="13" borderId="0" xfId="0" applyNumberFormat="1" applyFont="1" applyFill="1"/>
    <xf numFmtId="38" fontId="88" fillId="13" borderId="9" xfId="0" applyNumberFormat="1" applyFont="1" applyFill="1" applyBorder="1"/>
    <xf numFmtId="38" fontId="88" fillId="13" borderId="8" xfId="0" applyNumberFormat="1" applyFont="1" applyFill="1" applyBorder="1"/>
    <xf numFmtId="38" fontId="88" fillId="13" borderId="9" xfId="0" applyNumberFormat="1" applyFont="1" applyFill="1" applyBorder="1" applyAlignment="1" applyProtection="1">
      <alignment horizontal="center"/>
      <protection locked="0"/>
    </xf>
    <xf numFmtId="38" fontId="88" fillId="13" borderId="9" xfId="0" applyNumberFormat="1" applyFont="1" applyFill="1" applyBorder="1" applyAlignment="1">
      <alignment horizontal="center"/>
    </xf>
    <xf numFmtId="0" fontId="88" fillId="13" borderId="0" xfId="0" quotePrefix="1" applyFont="1" applyFill="1"/>
    <xf numFmtId="167" fontId="88" fillId="2" borderId="2" xfId="0" applyNumberFormat="1" applyFont="1" applyBorder="1"/>
    <xf numFmtId="38" fontId="88" fillId="12" borderId="0" xfId="0" applyNumberFormat="1" applyFont="1" applyFill="1"/>
    <xf numFmtId="0" fontId="94" fillId="6" borderId="0" xfId="0" applyFont="1" applyFill="1"/>
    <xf numFmtId="0" fontId="60" fillId="12" borderId="0" xfId="0" applyFont="1" applyFill="1" applyAlignment="1">
      <alignment horizontal="center"/>
    </xf>
    <xf numFmtId="38" fontId="60" fillId="5" borderId="9" xfId="0" applyNumberFormat="1" applyFont="1" applyFill="1" applyBorder="1" applyAlignment="1" applyProtection="1">
      <alignment horizontal="center"/>
      <protection locked="0"/>
    </xf>
    <xf numFmtId="38" fontId="60" fillId="5" borderId="9" xfId="0" applyNumberFormat="1" applyFont="1" applyFill="1" applyBorder="1" applyAlignment="1">
      <alignment horizontal="center"/>
    </xf>
    <xf numFmtId="0" fontId="60" fillId="6" borderId="0" xfId="0" applyFont="1" applyFill="1" applyAlignment="1">
      <alignment horizontal="center"/>
    </xf>
    <xf numFmtId="38" fontId="60" fillId="6" borderId="0" xfId="0" quotePrefix="1" applyNumberFormat="1" applyFont="1" applyFill="1" applyAlignment="1">
      <alignment horizontal="center"/>
    </xf>
    <xf numFmtId="0" fontId="60" fillId="6" borderId="0" xfId="0" quotePrefix="1" applyFont="1" applyFill="1" applyAlignment="1">
      <alignment horizontal="center"/>
    </xf>
    <xf numFmtId="37" fontId="60" fillId="6" borderId="0" xfId="0" applyNumberFormat="1" applyFont="1" applyFill="1"/>
    <xf numFmtId="174" fontId="60" fillId="6" borderId="2" xfId="0" applyNumberFormat="1" applyFont="1" applyFill="1" applyBorder="1"/>
    <xf numFmtId="174" fontId="60" fillId="6" borderId="0" xfId="0" applyNumberFormat="1" applyFont="1" applyFill="1"/>
    <xf numFmtId="174" fontId="74" fillId="6" borderId="2" xfId="0" applyNumberFormat="1" applyFont="1" applyFill="1" applyBorder="1"/>
    <xf numFmtId="37" fontId="60" fillId="6" borderId="0" xfId="0" applyNumberFormat="1" applyFont="1" applyFill="1" applyAlignment="1">
      <alignment horizontal="center"/>
    </xf>
    <xf numFmtId="37" fontId="60" fillId="6" borderId="2" xfId="0" applyNumberFormat="1" applyFont="1" applyFill="1" applyBorder="1" applyAlignment="1">
      <alignment horizontal="center"/>
    </xf>
    <xf numFmtId="167" fontId="60" fillId="6" borderId="2" xfId="0" applyNumberFormat="1" applyFont="1" applyFill="1" applyBorder="1"/>
    <xf numFmtId="167" fontId="60" fillId="6" borderId="0" xfId="0" applyNumberFormat="1" applyFont="1" applyFill="1"/>
    <xf numFmtId="38" fontId="60" fillId="6" borderId="0" xfId="0" applyNumberFormat="1" applyFont="1" applyFill="1"/>
    <xf numFmtId="40" fontId="26" fillId="6" borderId="2" xfId="0" applyNumberFormat="1" applyFont="1" applyFill="1" applyBorder="1"/>
    <xf numFmtId="40" fontId="60" fillId="6" borderId="0" xfId="0" applyNumberFormat="1" applyFont="1" applyFill="1"/>
    <xf numFmtId="38" fontId="60" fillId="6" borderId="9" xfId="0" applyNumberFormat="1" applyFont="1" applyFill="1" applyBorder="1"/>
    <xf numFmtId="38" fontId="60" fillId="6" borderId="8" xfId="0" applyNumberFormat="1" applyFont="1" applyFill="1" applyBorder="1"/>
    <xf numFmtId="38" fontId="60" fillId="6" borderId="9" xfId="0" applyNumberFormat="1" applyFont="1" applyFill="1" applyBorder="1" applyAlignment="1" applyProtection="1">
      <alignment horizontal="center"/>
      <protection locked="0"/>
    </xf>
    <xf numFmtId="38" fontId="60" fillId="6" borderId="9" xfId="0" applyNumberFormat="1" applyFont="1" applyFill="1" applyBorder="1" applyAlignment="1">
      <alignment horizontal="center"/>
    </xf>
    <xf numFmtId="0" fontId="9" fillId="6" borderId="0" xfId="0" quotePrefix="1" applyFont="1" applyFill="1"/>
    <xf numFmtId="0" fontId="60" fillId="17" borderId="0" xfId="0" applyFont="1" applyFill="1"/>
    <xf numFmtId="0" fontId="0" fillId="17" borderId="0" xfId="0" applyFill="1"/>
    <xf numFmtId="0" fontId="60" fillId="17" borderId="0" xfId="0" applyFont="1" applyFill="1" applyAlignment="1">
      <alignment horizontal="center"/>
    </xf>
    <xf numFmtId="38" fontId="60" fillId="17" borderId="0" xfId="0" quotePrefix="1" applyNumberFormat="1" applyFont="1" applyFill="1" applyAlignment="1">
      <alignment horizontal="center"/>
    </xf>
    <xf numFmtId="0" fontId="60" fillId="17" borderId="0" xfId="0" quotePrefix="1" applyFont="1" applyFill="1" applyAlignment="1">
      <alignment horizontal="center"/>
    </xf>
    <xf numFmtId="37" fontId="60" fillId="17" borderId="2" xfId="0" applyNumberFormat="1" applyFont="1" applyFill="1" applyBorder="1"/>
    <xf numFmtId="37" fontId="60" fillId="17" borderId="0" xfId="0" applyNumberFormat="1" applyFont="1" applyFill="1"/>
    <xf numFmtId="174" fontId="60" fillId="17" borderId="2" xfId="0" applyNumberFormat="1" applyFont="1" applyFill="1" applyBorder="1"/>
    <xf numFmtId="174" fontId="60" fillId="17" borderId="0" xfId="0" applyNumberFormat="1" applyFont="1" applyFill="1"/>
    <xf numFmtId="174" fontId="74" fillId="17" borderId="2" xfId="0" applyNumberFormat="1" applyFont="1" applyFill="1" applyBorder="1"/>
    <xf numFmtId="37" fontId="60" fillId="17" borderId="0" xfId="0" applyNumberFormat="1" applyFont="1" applyFill="1" applyAlignment="1">
      <alignment horizontal="center"/>
    </xf>
    <xf numFmtId="37" fontId="60" fillId="17" borderId="2" xfId="0" applyNumberFormat="1" applyFont="1" applyFill="1" applyBorder="1" applyAlignment="1">
      <alignment horizontal="center"/>
    </xf>
    <xf numFmtId="167" fontId="60" fillId="17" borderId="2" xfId="0" applyNumberFormat="1" applyFont="1" applyFill="1" applyBorder="1"/>
    <xf numFmtId="167" fontId="60" fillId="17" borderId="0" xfId="0" applyNumberFormat="1" applyFont="1" applyFill="1"/>
    <xf numFmtId="38" fontId="60" fillId="17" borderId="2" xfId="0" applyNumberFormat="1" applyFont="1" applyFill="1" applyBorder="1"/>
    <xf numFmtId="38" fontId="60" fillId="17" borderId="0" xfId="0" applyNumberFormat="1" applyFont="1" applyFill="1"/>
    <xf numFmtId="40" fontId="26" fillId="17" borderId="2" xfId="0" applyNumberFormat="1" applyFont="1" applyFill="1" applyBorder="1"/>
    <xf numFmtId="40" fontId="60" fillId="17" borderId="0" xfId="0" applyNumberFormat="1" applyFont="1" applyFill="1"/>
    <xf numFmtId="38" fontId="60" fillId="17" borderId="9" xfId="0" applyNumberFormat="1" applyFont="1" applyFill="1" applyBorder="1"/>
    <xf numFmtId="38" fontId="60" fillId="17" borderId="8" xfId="0" applyNumberFormat="1" applyFont="1" applyFill="1" applyBorder="1"/>
    <xf numFmtId="38" fontId="60" fillId="17" borderId="9" xfId="0" applyNumberFormat="1" applyFont="1" applyFill="1" applyBorder="1" applyAlignment="1" applyProtection="1">
      <alignment horizontal="center"/>
      <protection locked="0"/>
    </xf>
    <xf numFmtId="38" fontId="60" fillId="17" borderId="9" xfId="0" applyNumberFormat="1" applyFont="1" applyFill="1" applyBorder="1" applyAlignment="1">
      <alignment horizontal="center"/>
    </xf>
    <xf numFmtId="0" fontId="9" fillId="17" borderId="0" xfId="0" quotePrefix="1" applyFont="1" applyFill="1"/>
    <xf numFmtId="0" fontId="73" fillId="2" borderId="9" xfId="0" applyFont="1" applyBorder="1"/>
    <xf numFmtId="0" fontId="60" fillId="10" borderId="0" xfId="0" applyFont="1" applyFill="1"/>
    <xf numFmtId="0" fontId="0" fillId="10" borderId="0" xfId="0" applyFill="1"/>
    <xf numFmtId="0" fontId="60" fillId="10" borderId="0" xfId="0" applyFont="1" applyFill="1" applyAlignment="1">
      <alignment horizontal="center"/>
    </xf>
    <xf numFmtId="38" fontId="60" fillId="10" borderId="0" xfId="0" quotePrefix="1" applyNumberFormat="1" applyFont="1" applyFill="1" applyAlignment="1">
      <alignment horizontal="center"/>
    </xf>
    <xf numFmtId="0" fontId="60" fillId="10" borderId="0" xfId="0" quotePrefix="1" applyFont="1" applyFill="1" applyAlignment="1">
      <alignment horizontal="center"/>
    </xf>
    <xf numFmtId="37" fontId="60" fillId="10" borderId="2" xfId="0" applyNumberFormat="1" applyFont="1" applyFill="1" applyBorder="1"/>
    <xf numFmtId="37" fontId="60" fillId="10" borderId="0" xfId="0" applyNumberFormat="1" applyFont="1" applyFill="1"/>
    <xf numFmtId="174" fontId="60" fillId="10" borderId="2" xfId="0" applyNumberFormat="1" applyFont="1" applyFill="1" applyBorder="1"/>
    <xf numFmtId="174" fontId="60" fillId="10" borderId="0" xfId="0" applyNumberFormat="1" applyFont="1" applyFill="1"/>
    <xf numFmtId="174" fontId="74" fillId="10" borderId="2" xfId="0" applyNumberFormat="1" applyFont="1" applyFill="1" applyBorder="1"/>
    <xf numFmtId="37" fontId="60" fillId="10" borderId="0" xfId="0" applyNumberFormat="1" applyFont="1" applyFill="1" applyAlignment="1">
      <alignment horizontal="center"/>
    </xf>
    <xf numFmtId="37" fontId="60" fillId="10" borderId="2" xfId="0" applyNumberFormat="1" applyFont="1" applyFill="1" applyBorder="1" applyAlignment="1">
      <alignment horizontal="center"/>
    </xf>
    <xf numFmtId="167" fontId="60" fillId="10" borderId="2" xfId="0" applyNumberFormat="1" applyFont="1" applyFill="1" applyBorder="1"/>
    <xf numFmtId="167" fontId="60" fillId="10" borderId="0" xfId="0" applyNumberFormat="1" applyFont="1" applyFill="1"/>
    <xf numFmtId="38" fontId="60" fillId="10" borderId="2" xfId="0" applyNumberFormat="1" applyFont="1" applyFill="1" applyBorder="1"/>
    <xf numFmtId="38" fontId="60" fillId="10" borderId="0" xfId="0" applyNumberFormat="1" applyFont="1" applyFill="1"/>
    <xf numFmtId="40" fontId="26" fillId="10" borderId="2" xfId="0" applyNumberFormat="1" applyFont="1" applyFill="1" applyBorder="1"/>
    <xf numFmtId="40" fontId="60" fillId="10" borderId="0" xfId="0" applyNumberFormat="1" applyFont="1" applyFill="1"/>
    <xf numFmtId="38" fontId="60" fillId="10" borderId="9" xfId="0" applyNumberFormat="1" applyFont="1" applyFill="1" applyBorder="1"/>
    <xf numFmtId="38" fontId="60" fillId="10" borderId="8" xfId="0" applyNumberFormat="1" applyFont="1" applyFill="1" applyBorder="1"/>
    <xf numFmtId="38" fontId="60" fillId="10" borderId="9" xfId="0" applyNumberFormat="1" applyFont="1" applyFill="1" applyBorder="1" applyAlignment="1" applyProtection="1">
      <alignment horizontal="center"/>
      <protection locked="0"/>
    </xf>
    <xf numFmtId="38" fontId="60" fillId="10" borderId="9" xfId="0" applyNumberFormat="1" applyFont="1" applyFill="1" applyBorder="1" applyAlignment="1">
      <alignment horizontal="center"/>
    </xf>
    <xf numFmtId="0" fontId="9" fillId="10" borderId="0" xfId="0" quotePrefix="1" applyFont="1" applyFill="1"/>
    <xf numFmtId="173" fontId="113" fillId="2" borderId="0" xfId="0" applyNumberFormat="1" applyFont="1"/>
    <xf numFmtId="38" fontId="83" fillId="9" borderId="89" xfId="0" applyNumberFormat="1" applyFont="1" applyFill="1" applyBorder="1"/>
    <xf numFmtId="180" fontId="94" fillId="19" borderId="0" xfId="0" applyNumberFormat="1" applyFont="1" applyFill="1"/>
    <xf numFmtId="38" fontId="60" fillId="4" borderId="0" xfId="0" applyNumberFormat="1" applyFont="1" applyFill="1"/>
    <xf numFmtId="37" fontId="60" fillId="4" borderId="0" xfId="0" applyNumberFormat="1" applyFont="1" applyFill="1"/>
    <xf numFmtId="37" fontId="53" fillId="4" borderId="0" xfId="0" applyNumberFormat="1" applyFont="1" applyFill="1"/>
    <xf numFmtId="174" fontId="107" fillId="4" borderId="0" xfId="0" applyNumberFormat="1" applyFont="1" applyFill="1"/>
    <xf numFmtId="0" fontId="107" fillId="4" borderId="0" xfId="0" applyFont="1" applyFill="1"/>
    <xf numFmtId="180" fontId="60" fillId="4" borderId="0" xfId="0" applyNumberFormat="1" applyFont="1" applyFill="1"/>
    <xf numFmtId="38" fontId="107"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6" fillId="12" borderId="10" xfId="0" applyFont="1" applyFill="1" applyBorder="1" applyAlignment="1">
      <alignment horizontal="left"/>
    </xf>
    <xf numFmtId="186" fontId="15" fillId="2" borderId="9" xfId="0" applyNumberFormat="1" applyFont="1" applyBorder="1"/>
    <xf numFmtId="0" fontId="44" fillId="18" borderId="0" xfId="0" applyFont="1" applyFill="1" applyAlignment="1">
      <alignment horizontal="center" vertical="center" wrapText="1"/>
    </xf>
    <xf numFmtId="0" fontId="44" fillId="18" borderId="0" xfId="0" applyFont="1" applyFill="1" applyAlignment="1">
      <alignment horizontal="left" vertical="center" wrapText="1"/>
    </xf>
    <xf numFmtId="173" fontId="44" fillId="18" borderId="0" xfId="0" applyNumberFormat="1" applyFont="1" applyFill="1" applyAlignment="1">
      <alignment horizontal="center" vertical="center" wrapText="1"/>
    </xf>
    <xf numFmtId="10" fontId="44" fillId="18" borderId="0" xfId="4" applyNumberFormat="1" applyFont="1" applyFill="1" applyAlignment="1">
      <alignment horizontal="center" vertical="center" wrapText="1"/>
    </xf>
    <xf numFmtId="0" fontId="44" fillId="0" borderId="0" xfId="0" applyFont="1" applyFill="1" applyAlignment="1">
      <alignment horizontal="center" wrapText="1"/>
    </xf>
    <xf numFmtId="173" fontId="68" fillId="0" borderId="0" xfId="0" applyNumberFormat="1" applyFont="1" applyFill="1"/>
    <xf numFmtId="10" fontId="68" fillId="0" borderId="0" xfId="4" applyNumberFormat="1" applyFont="1"/>
    <xf numFmtId="0" fontId="72"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14" fillId="2" borderId="0" xfId="0" applyFont="1"/>
    <xf numFmtId="38" fontId="0" fillId="12" borderId="0" xfId="0" applyNumberFormat="1" applyFill="1"/>
    <xf numFmtId="0" fontId="83" fillId="18" borderId="9" xfId="0" applyFont="1" applyFill="1" applyBorder="1" applyAlignment="1">
      <alignment horizontal="center"/>
    </xf>
    <xf numFmtId="0" fontId="4" fillId="17" borderId="0" xfId="0" applyFont="1" applyFill="1"/>
    <xf numFmtId="38" fontId="83" fillId="17" borderId="9" xfId="0" applyNumberFormat="1" applyFont="1" applyFill="1" applyBorder="1"/>
    <xf numFmtId="38" fontId="83" fillId="4" borderId="9" xfId="0" applyNumberFormat="1" applyFont="1" applyFill="1" applyBorder="1"/>
    <xf numFmtId="0" fontId="83" fillId="12" borderId="29" xfId="0" applyFont="1" applyFill="1" applyBorder="1" applyAlignment="1">
      <alignment horizontal="center"/>
    </xf>
    <xf numFmtId="38" fontId="83" fillId="12" borderId="15" xfId="0" applyNumberFormat="1" applyFont="1" applyFill="1" applyBorder="1"/>
    <xf numFmtId="38" fontId="83"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3" fillId="12" borderId="46" xfId="0" applyFont="1" applyFill="1" applyBorder="1" applyAlignment="1">
      <alignment horizontal="center"/>
    </xf>
    <xf numFmtId="38" fontId="83" fillId="12" borderId="36" xfId="0" applyNumberFormat="1" applyFont="1" applyFill="1" applyBorder="1"/>
    <xf numFmtId="0" fontId="89" fillId="12" borderId="45" xfId="0" applyFont="1" applyFill="1" applyBorder="1" applyAlignment="1">
      <alignment horizontal="right"/>
    </xf>
    <xf numFmtId="0" fontId="94" fillId="12" borderId="45" xfId="0" applyFont="1" applyFill="1" applyBorder="1"/>
    <xf numFmtId="0" fontId="94" fillId="12" borderId="45" xfId="0" applyFont="1" applyFill="1" applyBorder="1" applyAlignment="1">
      <alignment horizontal="right"/>
    </xf>
    <xf numFmtId="0" fontId="73"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0" fillId="4" borderId="0" xfId="0" quotePrefix="1" applyFont="1" applyFill="1" applyAlignment="1">
      <alignment horizontal="center"/>
    </xf>
    <xf numFmtId="0" fontId="115" fillId="2" borderId="0" xfId="0" applyFont="1"/>
    <xf numFmtId="38" fontId="74" fillId="20" borderId="0" xfId="0" applyNumberFormat="1" applyFont="1" applyFill="1"/>
    <xf numFmtId="38" fontId="74" fillId="12" borderId="15" xfId="0" applyNumberFormat="1" applyFont="1" applyFill="1" applyBorder="1"/>
    <xf numFmtId="38" fontId="74" fillId="12" borderId="16" xfId="0" applyNumberFormat="1" applyFont="1" applyFill="1" applyBorder="1"/>
    <xf numFmtId="38" fontId="74" fillId="12" borderId="36" xfId="0" applyNumberFormat="1" applyFont="1" applyFill="1" applyBorder="1"/>
    <xf numFmtId="180" fontId="74" fillId="20" borderId="0" xfId="0" applyNumberFormat="1" applyFont="1" applyFill="1"/>
    <xf numFmtId="0" fontId="74" fillId="20" borderId="0" xfId="0" applyFont="1" applyFill="1"/>
    <xf numFmtId="0" fontId="74" fillId="20" borderId="0" xfId="0" applyFont="1" applyFill="1" applyAlignment="1">
      <alignment horizontal="right"/>
    </xf>
    <xf numFmtId="0" fontId="116" fillId="20" borderId="0" xfId="0" applyFont="1" applyFill="1"/>
    <xf numFmtId="0" fontId="74" fillId="4" borderId="0" xfId="0" quotePrefix="1" applyFont="1" applyFill="1" applyAlignment="1">
      <alignment horizontal="center"/>
    </xf>
    <xf numFmtId="0" fontId="116" fillId="2" borderId="0" xfId="0" applyFont="1"/>
    <xf numFmtId="0" fontId="117" fillId="2" borderId="0" xfId="0" applyFont="1"/>
    <xf numFmtId="0" fontId="118" fillId="2" borderId="0" xfId="0" applyFont="1" applyAlignment="1">
      <alignment horizontal="right"/>
    </xf>
    <xf numFmtId="0" fontId="118" fillId="2" borderId="0" xfId="0" applyFont="1"/>
    <xf numFmtId="0" fontId="116" fillId="2" borderId="0" xfId="0" applyFont="1" applyAlignment="1">
      <alignment horizontal="right"/>
    </xf>
    <xf numFmtId="38" fontId="116" fillId="2" borderId="0" xfId="0" applyNumberFormat="1" applyFont="1"/>
    <xf numFmtId="0" fontId="74" fillId="2" borderId="0" xfId="0" applyFont="1" applyAlignment="1">
      <alignment horizontal="center"/>
    </xf>
    <xf numFmtId="38" fontId="74" fillId="19" borderId="0" xfId="0" applyNumberFormat="1" applyFont="1" applyFill="1"/>
    <xf numFmtId="180" fontId="74" fillId="19" borderId="0" xfId="0" applyNumberFormat="1" applyFont="1" applyFill="1"/>
    <xf numFmtId="0" fontId="74" fillId="19" borderId="0" xfId="0" applyFont="1" applyFill="1"/>
    <xf numFmtId="0" fontId="94" fillId="19" borderId="0" xfId="0" applyFont="1" applyFill="1" applyAlignment="1">
      <alignment horizontal="left"/>
    </xf>
    <xf numFmtId="0" fontId="94"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0" xfId="0" applyFill="1" applyBorder="1"/>
    <xf numFmtId="0" fontId="0" fillId="4" borderId="81" xfId="0" applyFill="1" applyBorder="1"/>
    <xf numFmtId="38" fontId="7" fillId="4" borderId="94" xfId="0" applyNumberFormat="1" applyFont="1" applyFill="1" applyBorder="1" applyProtection="1">
      <protection locked="0"/>
    </xf>
    <xf numFmtId="40" fontId="7" fillId="4" borderId="95" xfId="0" applyNumberFormat="1" applyFont="1" applyFill="1" applyBorder="1"/>
    <xf numFmtId="173" fontId="114" fillId="2" borderId="0" xfId="0" applyNumberFormat="1" applyFont="1"/>
    <xf numFmtId="0" fontId="73" fillId="4" borderId="0" xfId="0" applyFont="1" applyFill="1" applyAlignment="1">
      <alignment horizontal="left"/>
    </xf>
    <xf numFmtId="185" fontId="83" fillId="2" borderId="9" xfId="0" applyNumberFormat="1" applyFont="1" applyBorder="1"/>
    <xf numFmtId="0" fontId="114" fillId="4" borderId="0" xfId="0" applyFont="1" applyFill="1"/>
    <xf numFmtId="9" fontId="114" fillId="0" borderId="0" xfId="4" applyFont="1"/>
    <xf numFmtId="173" fontId="114" fillId="4" borderId="0" xfId="0" applyNumberFormat="1" applyFont="1" applyFill="1"/>
    <xf numFmtId="9" fontId="114" fillId="4" borderId="0" xfId="4" applyFont="1" applyFill="1"/>
    <xf numFmtId="38" fontId="119" fillId="2" borderId="9" xfId="0" applyNumberFormat="1" applyFont="1" applyBorder="1"/>
    <xf numFmtId="38" fontId="113" fillId="2" borderId="0" xfId="0" applyNumberFormat="1" applyFont="1"/>
    <xf numFmtId="38" fontId="0" fillId="12" borderId="69" xfId="0" applyNumberFormat="1" applyFill="1" applyBorder="1"/>
    <xf numFmtId="0" fontId="44"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0" fillId="2" borderId="10" xfId="0" applyFont="1" applyBorder="1" applyAlignment="1">
      <alignment horizontal="left"/>
    </xf>
    <xf numFmtId="174" fontId="120"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3" fillId="2" borderId="0" xfId="0" quotePrefix="1" applyFont="1" applyAlignment="1">
      <alignment horizontal="left"/>
    </xf>
    <xf numFmtId="0" fontId="73" fillId="2" borderId="0" xfId="0" quotePrefix="1" applyFont="1"/>
    <xf numFmtId="49" fontId="4" fillId="2" borderId="0" xfId="0" applyNumberFormat="1" applyFont="1" applyAlignment="1">
      <alignment horizontal="left"/>
    </xf>
    <xf numFmtId="0" fontId="15" fillId="4" borderId="22" xfId="0" applyFont="1" applyFill="1" applyBorder="1"/>
    <xf numFmtId="38" fontId="73"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2"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21"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87" fillId="12" borderId="0" xfId="0" applyNumberFormat="1" applyFont="1" applyFill="1" applyAlignment="1">
      <alignment horizontal="right"/>
    </xf>
    <xf numFmtId="39" fontId="87" fillId="12" borderId="0" xfId="0" applyNumberFormat="1" applyFont="1" applyFill="1" applyAlignment="1">
      <alignment horizontal="right"/>
    </xf>
    <xf numFmtId="0" fontId="87" fillId="12" borderId="0" xfId="0" applyFont="1" applyFill="1" applyAlignment="1">
      <alignment horizontal="right"/>
    </xf>
    <xf numFmtId="9" fontId="44" fillId="18" borderId="0" xfId="4" applyFont="1" applyFill="1" applyAlignment="1">
      <alignment horizontal="center" vertical="center" wrapText="1"/>
    </xf>
    <xf numFmtId="173" fontId="122" fillId="22" borderId="9" xfId="0" applyNumberFormat="1" applyFont="1" applyFill="1" applyBorder="1"/>
    <xf numFmtId="173" fontId="122" fillId="2" borderId="9" xfId="0" applyNumberFormat="1" applyFont="1" applyBorder="1"/>
    <xf numFmtId="173" fontId="0" fillId="2" borderId="9" xfId="0" applyNumberFormat="1" applyBorder="1"/>
    <xf numFmtId="6" fontId="78" fillId="2" borderId="9" xfId="0" applyNumberFormat="1" applyFont="1" applyBorder="1"/>
    <xf numFmtId="0" fontId="4" fillId="2" borderId="51" xfId="0" applyFont="1" applyBorder="1"/>
    <xf numFmtId="0" fontId="94" fillId="6" borderId="97" xfId="0" applyFont="1" applyFill="1" applyBorder="1"/>
    <xf numFmtId="0" fontId="83" fillId="12" borderId="97" xfId="0" applyFont="1" applyFill="1" applyBorder="1"/>
    <xf numFmtId="38" fontId="83" fillId="12" borderId="97" xfId="0" applyNumberFormat="1" applyFont="1" applyFill="1" applyBorder="1"/>
    <xf numFmtId="0" fontId="94" fillId="19" borderId="97" xfId="0" applyFont="1" applyFill="1" applyBorder="1"/>
    <xf numFmtId="0" fontId="94" fillId="19" borderId="97" xfId="0" applyFont="1" applyFill="1" applyBorder="1" applyAlignment="1">
      <alignment horizontal="center"/>
    </xf>
    <xf numFmtId="38" fontId="94" fillId="19" borderId="97" xfId="0" quotePrefix="1" applyNumberFormat="1" applyFont="1" applyFill="1" applyBorder="1" applyAlignment="1">
      <alignment horizontal="center"/>
    </xf>
    <xf numFmtId="0" fontId="94" fillId="19" borderId="97" xfId="0" quotePrefix="1" applyFont="1" applyFill="1" applyBorder="1" applyAlignment="1">
      <alignment horizontal="center"/>
    </xf>
    <xf numFmtId="38" fontId="94" fillId="19" borderId="99" xfId="0" applyNumberFormat="1" applyFont="1" applyFill="1" applyBorder="1"/>
    <xf numFmtId="38" fontId="94" fillId="19" borderId="97" xfId="0" applyNumberFormat="1" applyFont="1" applyFill="1" applyBorder="1"/>
    <xf numFmtId="38" fontId="94" fillId="19" borderId="100"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1" xfId="0" applyNumberFormat="1" applyFont="1" applyFill="1" applyBorder="1" applyAlignment="1" applyProtection="1">
      <alignment horizontal="left"/>
      <protection locked="0"/>
    </xf>
    <xf numFmtId="14" fontId="46" fillId="2" borderId="0" xfId="0" applyNumberFormat="1" applyFont="1" applyAlignment="1">
      <alignment horizontal="right"/>
    </xf>
    <xf numFmtId="175" fontId="129" fillId="0" borderId="36" xfId="0" applyNumberFormat="1" applyFont="1" applyFill="1" applyBorder="1" applyProtection="1">
      <protection locked="0"/>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4" fillId="7" borderId="0" xfId="0" applyFont="1" applyFill="1"/>
    <xf numFmtId="0" fontId="97" fillId="19" borderId="0" xfId="0" applyFont="1" applyFill="1"/>
    <xf numFmtId="0" fontId="88" fillId="5" borderId="0" xfId="0" applyFont="1" applyFill="1"/>
    <xf numFmtId="0" fontId="97" fillId="19" borderId="97" xfId="0" applyFont="1" applyFill="1" applyBorder="1"/>
    <xf numFmtId="0" fontId="98" fillId="19" borderId="0" xfId="0" applyFont="1" applyFill="1"/>
    <xf numFmtId="0" fontId="98" fillId="19" borderId="97" xfId="0" applyFont="1" applyFill="1" applyBorder="1"/>
    <xf numFmtId="37" fontId="97" fillId="19" borderId="97" xfId="0" applyNumberFormat="1" applyFont="1" applyFill="1" applyBorder="1"/>
    <xf numFmtId="0" fontId="110" fillId="17" borderId="0" xfId="0" applyFont="1" applyFill="1"/>
    <xf numFmtId="0" fontId="110" fillId="17" borderId="97" xfId="0" applyFont="1" applyFill="1" applyBorder="1" applyAlignment="1">
      <alignment horizontal="right"/>
    </xf>
    <xf numFmtId="14" fontId="110" fillId="17" borderId="97" xfId="0" applyNumberFormat="1" applyFont="1" applyFill="1" applyBorder="1" applyAlignment="1">
      <alignment horizontal="right"/>
    </xf>
    <xf numFmtId="0" fontId="110" fillId="17" borderId="97" xfId="0" applyFont="1" applyFill="1" applyBorder="1"/>
    <xf numFmtId="0" fontId="112" fillId="17" borderId="0" xfId="0" applyFont="1" applyFill="1"/>
    <xf numFmtId="0" fontId="112" fillId="17" borderId="97" xfId="0" applyFont="1" applyFill="1" applyBorder="1"/>
    <xf numFmtId="0" fontId="95" fillId="6" borderId="0" xfId="0" applyFont="1" applyFill="1"/>
    <xf numFmtId="0" fontId="95" fillId="6" borderId="97" xfId="0" applyFont="1" applyFill="1" applyBorder="1"/>
    <xf numFmtId="0" fontId="126"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37" fillId="2" borderId="0" xfId="0" applyFont="1"/>
    <xf numFmtId="0" fontId="137" fillId="2" borderId="0" xfId="0" applyFont="1" applyAlignment="1">
      <alignment horizontal="center"/>
    </xf>
    <xf numFmtId="174" fontId="137" fillId="2" borderId="2" xfId="0" applyNumberFormat="1" applyFont="1" applyBorder="1"/>
    <xf numFmtId="175" fontId="137" fillId="0" borderId="2" xfId="0" applyNumberFormat="1" applyFont="1" applyFill="1" applyBorder="1"/>
    <xf numFmtId="0" fontId="137" fillId="2" borderId="2" xfId="0" applyFont="1" applyBorder="1"/>
    <xf numFmtId="37" fontId="137" fillId="2" borderId="2" xfId="0" applyNumberFormat="1" applyFont="1" applyBorder="1"/>
    <xf numFmtId="167" fontId="137" fillId="2" borderId="2" xfId="0" applyNumberFormat="1" applyFont="1" applyBorder="1"/>
    <xf numFmtId="167" fontId="137" fillId="8" borderId="2" xfId="0" applyNumberFormat="1" applyFont="1" applyFill="1" applyBorder="1"/>
    <xf numFmtId="38" fontId="137" fillId="2" borderId="2" xfId="0" applyNumberFormat="1" applyFont="1" applyBorder="1"/>
    <xf numFmtId="38" fontId="137" fillId="2" borderId="9" xfId="0" applyNumberFormat="1" applyFont="1" applyBorder="1"/>
    <xf numFmtId="38" fontId="137" fillId="2" borderId="0" xfId="0" applyNumberFormat="1" applyFont="1"/>
    <xf numFmtId="0" fontId="137" fillId="2" borderId="0" xfId="0" applyFont="1" applyAlignment="1">
      <alignment horizontal="right"/>
    </xf>
    <xf numFmtId="170" fontId="137" fillId="2" borderId="0" xfId="0" applyNumberFormat="1" applyFont="1" applyAlignment="1">
      <alignment horizontal="right"/>
    </xf>
    <xf numFmtId="39" fontId="137" fillId="2" borderId="0" xfId="0" applyNumberFormat="1" applyFont="1" applyAlignment="1">
      <alignment horizontal="right"/>
    </xf>
    <xf numFmtId="0" fontId="137" fillId="9" borderId="22" xfId="0" applyFont="1" applyFill="1" applyBorder="1" applyAlignment="1">
      <alignment horizontal="center"/>
    </xf>
    <xf numFmtId="38" fontId="137" fillId="9" borderId="20" xfId="0" applyNumberFormat="1" applyFont="1" applyFill="1" applyBorder="1" applyAlignment="1">
      <alignment horizontal="center"/>
    </xf>
    <xf numFmtId="0" fontId="137" fillId="9" borderId="20" xfId="0" applyFont="1" applyFill="1" applyBorder="1"/>
    <xf numFmtId="38" fontId="137" fillId="9" borderId="23" xfId="0" applyNumberFormat="1" applyFont="1" applyFill="1" applyBorder="1" applyAlignment="1">
      <alignment horizontal="center"/>
    </xf>
    <xf numFmtId="0" fontId="137" fillId="2" borderId="0" xfId="0" quotePrefix="1" applyFont="1" applyAlignment="1">
      <alignment horizontal="center"/>
    </xf>
    <xf numFmtId="185" fontId="137" fillId="2" borderId="9" xfId="0" applyNumberFormat="1" applyFont="1" applyBorder="1"/>
    <xf numFmtId="38" fontId="137" fillId="4" borderId="9" xfId="0" applyNumberFormat="1" applyFont="1" applyFill="1" applyBorder="1"/>
    <xf numFmtId="38" fontId="137" fillId="17" borderId="9" xfId="0" applyNumberFormat="1" applyFont="1" applyFill="1" applyBorder="1"/>
    <xf numFmtId="174" fontId="137" fillId="4" borderId="9" xfId="0" applyNumberFormat="1" applyFont="1" applyFill="1" applyBorder="1"/>
    <xf numFmtId="0" fontId="137" fillId="18" borderId="9" xfId="0" applyFont="1" applyFill="1" applyBorder="1" applyAlignment="1">
      <alignment horizontal="center"/>
    </xf>
    <xf numFmtId="38" fontId="137" fillId="4" borderId="0" xfId="0" applyNumberFormat="1" applyFont="1" applyFill="1" applyAlignment="1">
      <alignment horizontal="center"/>
    </xf>
    <xf numFmtId="0" fontId="137" fillId="4" borderId="0" xfId="0" applyFont="1" applyFill="1"/>
    <xf numFmtId="0" fontId="139" fillId="2" borderId="0" xfId="0" applyFont="1"/>
    <xf numFmtId="0" fontId="139" fillId="2" borderId="0" xfId="0" applyFont="1" applyAlignment="1">
      <alignment horizontal="center"/>
    </xf>
    <xf numFmtId="174" fontId="139" fillId="2" borderId="2" xfId="0" applyNumberFormat="1" applyFont="1" applyBorder="1"/>
    <xf numFmtId="175" fontId="139" fillId="0" borderId="2" xfId="0" applyNumberFormat="1" applyFont="1" applyFill="1" applyBorder="1"/>
    <xf numFmtId="0" fontId="139" fillId="2" borderId="2" xfId="0" applyFont="1" applyBorder="1"/>
    <xf numFmtId="37" fontId="139" fillId="2" borderId="2" xfId="0" applyNumberFormat="1" applyFont="1" applyBorder="1"/>
    <xf numFmtId="167" fontId="139" fillId="2" borderId="2" xfId="0" applyNumberFormat="1" applyFont="1" applyBorder="1"/>
    <xf numFmtId="167" fontId="139" fillId="8" borderId="2" xfId="0" applyNumberFormat="1" applyFont="1" applyFill="1" applyBorder="1"/>
    <xf numFmtId="38" fontId="139" fillId="2" borderId="2" xfId="0" applyNumberFormat="1" applyFont="1" applyBorder="1"/>
    <xf numFmtId="38" fontId="139" fillId="2" borderId="9" xfId="0" applyNumberFormat="1" applyFont="1" applyBorder="1"/>
    <xf numFmtId="38" fontId="139" fillId="2" borderId="0" xfId="0" applyNumberFormat="1" applyFont="1"/>
    <xf numFmtId="0" fontId="139" fillId="2" borderId="0" xfId="0" applyFont="1" applyAlignment="1">
      <alignment horizontal="right"/>
    </xf>
    <xf numFmtId="170" fontId="139" fillId="2" borderId="0" xfId="0" applyNumberFormat="1" applyFont="1" applyAlignment="1">
      <alignment horizontal="right"/>
    </xf>
    <xf numFmtId="39" fontId="139" fillId="2" borderId="0" xfId="0" applyNumberFormat="1" applyFont="1" applyAlignment="1">
      <alignment horizontal="right"/>
    </xf>
    <xf numFmtId="0" fontId="139" fillId="9" borderId="22" xfId="0" applyFont="1" applyFill="1" applyBorder="1" applyAlignment="1">
      <alignment horizontal="center"/>
    </xf>
    <xf numFmtId="38" fontId="139" fillId="9" borderId="20" xfId="0" applyNumberFormat="1" applyFont="1" applyFill="1" applyBorder="1" applyAlignment="1">
      <alignment horizontal="center"/>
    </xf>
    <xf numFmtId="0" fontId="139" fillId="9" borderId="20" xfId="0" applyFont="1" applyFill="1" applyBorder="1"/>
    <xf numFmtId="38" fontId="139" fillId="9" borderId="23" xfId="0" applyNumberFormat="1" applyFont="1" applyFill="1" applyBorder="1" applyAlignment="1">
      <alignment horizontal="center"/>
    </xf>
    <xf numFmtId="0" fontId="139" fillId="2" borderId="0" xfId="0" quotePrefix="1" applyFont="1" applyAlignment="1">
      <alignment horizontal="center"/>
    </xf>
    <xf numFmtId="185" fontId="139" fillId="2" borderId="9" xfId="0" applyNumberFormat="1" applyFont="1" applyBorder="1"/>
    <xf numFmtId="38" fontId="139" fillId="4" borderId="9" xfId="0" applyNumberFormat="1" applyFont="1" applyFill="1" applyBorder="1"/>
    <xf numFmtId="38" fontId="139" fillId="17" borderId="9" xfId="0" applyNumberFormat="1" applyFont="1" applyFill="1" applyBorder="1"/>
    <xf numFmtId="174" fontId="139" fillId="4" borderId="9" xfId="0" applyNumberFormat="1" applyFont="1" applyFill="1" applyBorder="1"/>
    <xf numFmtId="0" fontId="139" fillId="18" borderId="9" xfId="0" applyFont="1" applyFill="1" applyBorder="1" applyAlignment="1">
      <alignment horizontal="center"/>
    </xf>
    <xf numFmtId="38" fontId="139" fillId="4" borderId="0" xfId="0" applyNumberFormat="1" applyFont="1" applyFill="1" applyAlignment="1">
      <alignment horizontal="center"/>
    </xf>
    <xf numFmtId="0" fontId="139" fillId="4" borderId="0" xfId="0" applyFont="1" applyFill="1"/>
    <xf numFmtId="0" fontId="134" fillId="2" borderId="0" xfId="0" applyFont="1"/>
    <xf numFmtId="0" fontId="134" fillId="2" borderId="0" xfId="0" applyFont="1" applyAlignment="1">
      <alignment horizontal="center"/>
    </xf>
    <xf numFmtId="174" fontId="134" fillId="2" borderId="2" xfId="0" applyNumberFormat="1" applyFont="1" applyBorder="1"/>
    <xf numFmtId="175" fontId="134" fillId="0" borderId="2" xfId="0" applyNumberFormat="1" applyFont="1" applyFill="1" applyBorder="1"/>
    <xf numFmtId="0" fontId="134" fillId="2" borderId="2" xfId="0" applyFont="1" applyBorder="1"/>
    <xf numFmtId="37" fontId="134" fillId="2" borderId="2" xfId="0" applyNumberFormat="1" applyFont="1" applyBorder="1"/>
    <xf numFmtId="167" fontId="134" fillId="2" borderId="2" xfId="0" applyNumberFormat="1" applyFont="1" applyBorder="1"/>
    <xf numFmtId="167" fontId="134" fillId="8" borderId="2" xfId="0" applyNumberFormat="1" applyFont="1" applyFill="1" applyBorder="1"/>
    <xf numFmtId="38" fontId="134" fillId="2" borderId="2" xfId="0" applyNumberFormat="1" applyFont="1" applyBorder="1"/>
    <xf numFmtId="38" fontId="134" fillId="2" borderId="9" xfId="0" applyNumberFormat="1" applyFont="1" applyBorder="1"/>
    <xf numFmtId="38" fontId="134" fillId="2" borderId="0" xfId="0" applyNumberFormat="1" applyFont="1"/>
    <xf numFmtId="0" fontId="134" fillId="2" borderId="0" xfId="0" applyFont="1" applyAlignment="1">
      <alignment horizontal="right"/>
    </xf>
    <xf numFmtId="170" fontId="134" fillId="2" borderId="0" xfId="0" applyNumberFormat="1" applyFont="1" applyAlignment="1">
      <alignment horizontal="right"/>
    </xf>
    <xf numFmtId="39" fontId="134" fillId="2" borderId="0" xfId="0" applyNumberFormat="1" applyFont="1" applyAlignment="1">
      <alignment horizontal="right"/>
    </xf>
    <xf numFmtId="0" fontId="134" fillId="9" borderId="22" xfId="0" applyFont="1" applyFill="1" applyBorder="1" applyAlignment="1">
      <alignment horizontal="center"/>
    </xf>
    <xf numFmtId="38" fontId="134" fillId="9" borderId="20" xfId="0" applyNumberFormat="1" applyFont="1" applyFill="1" applyBorder="1" applyAlignment="1">
      <alignment horizontal="center"/>
    </xf>
    <xf numFmtId="0" fontId="134" fillId="9" borderId="20" xfId="0" applyFont="1" applyFill="1" applyBorder="1"/>
    <xf numFmtId="38" fontId="134" fillId="9" borderId="23" xfId="0" applyNumberFormat="1" applyFont="1" applyFill="1" applyBorder="1" applyAlignment="1">
      <alignment horizontal="center"/>
    </xf>
    <xf numFmtId="0" fontId="134" fillId="2" borderId="0" xfId="0" quotePrefix="1" applyFont="1" applyAlignment="1">
      <alignment horizontal="center"/>
    </xf>
    <xf numFmtId="185" fontId="134" fillId="2" borderId="9" xfId="0" applyNumberFormat="1" applyFont="1" applyBorder="1"/>
    <xf numFmtId="38" fontId="134" fillId="4" borderId="9" xfId="0" applyNumberFormat="1" applyFont="1" applyFill="1" applyBorder="1"/>
    <xf numFmtId="38" fontId="134" fillId="17" borderId="9" xfId="0" applyNumberFormat="1" applyFont="1" applyFill="1" applyBorder="1"/>
    <xf numFmtId="174" fontId="134" fillId="4" borderId="9" xfId="0" applyNumberFormat="1" applyFont="1" applyFill="1" applyBorder="1"/>
    <xf numFmtId="0" fontId="134" fillId="18" borderId="9" xfId="0" applyFont="1" applyFill="1" applyBorder="1" applyAlignment="1">
      <alignment horizontal="center"/>
    </xf>
    <xf numFmtId="38" fontId="134" fillId="4" borderId="0" xfId="0" applyNumberFormat="1" applyFont="1" applyFill="1" applyAlignment="1">
      <alignment horizontal="center"/>
    </xf>
    <xf numFmtId="0" fontId="134" fillId="4" borderId="0" xfId="0" applyFont="1" applyFill="1"/>
    <xf numFmtId="0" fontId="142" fillId="2" borderId="0" xfId="0" applyFont="1"/>
    <xf numFmtId="0" fontId="142" fillId="2" borderId="0" xfId="0" applyFont="1" applyAlignment="1">
      <alignment horizontal="center"/>
    </xf>
    <xf numFmtId="174" fontId="142" fillId="2" borderId="2" xfId="0" applyNumberFormat="1" applyFont="1" applyBorder="1"/>
    <xf numFmtId="175" fontId="142" fillId="0" borderId="2" xfId="0" applyNumberFormat="1" applyFont="1" applyFill="1" applyBorder="1"/>
    <xf numFmtId="0" fontId="142" fillId="2" borderId="2" xfId="0" applyFont="1" applyBorder="1"/>
    <xf numFmtId="37" fontId="142" fillId="2" borderId="2" xfId="0" applyNumberFormat="1" applyFont="1" applyBorder="1"/>
    <xf numFmtId="167" fontId="142" fillId="2" borderId="2" xfId="0" applyNumberFormat="1" applyFont="1" applyBorder="1"/>
    <xf numFmtId="167" fontId="142" fillId="8" borderId="2" xfId="0" applyNumberFormat="1" applyFont="1" applyFill="1" applyBorder="1"/>
    <xf numFmtId="38" fontId="142" fillId="2" borderId="2" xfId="0" applyNumberFormat="1" applyFont="1" applyBorder="1"/>
    <xf numFmtId="38" fontId="142" fillId="2" borderId="9" xfId="0" applyNumberFormat="1" applyFont="1" applyBorder="1"/>
    <xf numFmtId="38" fontId="142" fillId="2" borderId="0" xfId="0" applyNumberFormat="1" applyFont="1"/>
    <xf numFmtId="0" fontId="142" fillId="2" borderId="0" xfId="0" applyFont="1" applyAlignment="1">
      <alignment horizontal="right"/>
    </xf>
    <xf numFmtId="170" fontId="142" fillId="2" borderId="0" xfId="0" applyNumberFormat="1" applyFont="1" applyAlignment="1">
      <alignment horizontal="right"/>
    </xf>
    <xf numFmtId="39" fontId="142" fillId="2" borderId="0" xfId="0" applyNumberFormat="1" applyFont="1" applyAlignment="1">
      <alignment horizontal="right"/>
    </xf>
    <xf numFmtId="0" fontId="142" fillId="9" borderId="22" xfId="0" applyFont="1" applyFill="1" applyBorder="1" applyAlignment="1">
      <alignment horizontal="center"/>
    </xf>
    <xf numFmtId="38" fontId="142" fillId="9" borderId="20" xfId="0" applyNumberFormat="1" applyFont="1" applyFill="1" applyBorder="1" applyAlignment="1">
      <alignment horizontal="center"/>
    </xf>
    <xf numFmtId="0" fontId="142" fillId="9" borderId="20" xfId="0" applyFont="1" applyFill="1" applyBorder="1"/>
    <xf numFmtId="38" fontId="142" fillId="9" borderId="23" xfId="0" applyNumberFormat="1" applyFont="1" applyFill="1" applyBorder="1" applyAlignment="1">
      <alignment horizontal="center"/>
    </xf>
    <xf numFmtId="0" fontId="142" fillId="2" borderId="0" xfId="0" quotePrefix="1" applyFont="1" applyAlignment="1">
      <alignment horizontal="center"/>
    </xf>
    <xf numFmtId="185" fontId="142" fillId="2" borderId="9" xfId="0" applyNumberFormat="1" applyFont="1" applyBorder="1"/>
    <xf numFmtId="38" fontId="142" fillId="4" borderId="9" xfId="0" applyNumberFormat="1" applyFont="1" applyFill="1" applyBorder="1"/>
    <xf numFmtId="38" fontId="142" fillId="17" borderId="9" xfId="0" applyNumberFormat="1" applyFont="1" applyFill="1" applyBorder="1"/>
    <xf numFmtId="174" fontId="142" fillId="4" borderId="9" xfId="0" applyNumberFormat="1" applyFont="1" applyFill="1" applyBorder="1"/>
    <xf numFmtId="0" fontId="142" fillId="18" borderId="9" xfId="0" applyFont="1" applyFill="1" applyBorder="1" applyAlignment="1">
      <alignment horizontal="center"/>
    </xf>
    <xf numFmtId="38" fontId="142" fillId="4" borderId="0" xfId="0" applyNumberFormat="1" applyFont="1" applyFill="1" applyAlignment="1">
      <alignment horizontal="center"/>
    </xf>
    <xf numFmtId="0" fontId="142" fillId="4" borderId="0" xfId="0" applyFont="1" applyFill="1"/>
    <xf numFmtId="0" fontId="133" fillId="2" borderId="0" xfId="0" applyFont="1" applyAlignment="1">
      <alignment horizontal="center"/>
    </xf>
    <xf numFmtId="0" fontId="137" fillId="6" borderId="2" xfId="0" applyFont="1" applyFill="1" applyBorder="1" applyAlignment="1">
      <alignment horizontal="center"/>
    </xf>
    <xf numFmtId="0" fontId="94" fillId="6" borderId="2" xfId="0" applyFont="1" applyFill="1" applyBorder="1" applyAlignment="1">
      <alignment horizontal="center"/>
    </xf>
    <xf numFmtId="0" fontId="139" fillId="6" borderId="2" xfId="0" applyFont="1" applyFill="1" applyBorder="1" applyAlignment="1">
      <alignment horizontal="center"/>
    </xf>
    <xf numFmtId="0" fontId="134" fillId="6" borderId="2" xfId="0" applyFont="1" applyFill="1" applyBorder="1" applyAlignment="1">
      <alignment horizontal="center"/>
    </xf>
    <xf numFmtId="0" fontId="142" fillId="6" borderId="2" xfId="0" applyFont="1" applyFill="1" applyBorder="1" applyAlignment="1">
      <alignment horizontal="center"/>
    </xf>
    <xf numFmtId="164" fontId="138" fillId="12" borderId="2" xfId="0" applyNumberFormat="1" applyFont="1" applyFill="1" applyBorder="1"/>
    <xf numFmtId="164" fontId="93" fillId="12" borderId="2" xfId="0" applyNumberFormat="1" applyFont="1" applyFill="1" applyBorder="1"/>
    <xf numFmtId="164" fontId="140" fillId="12" borderId="2" xfId="0" applyNumberFormat="1" applyFont="1" applyFill="1" applyBorder="1"/>
    <xf numFmtId="164" fontId="141" fillId="12" borderId="2" xfId="0" applyNumberFormat="1" applyFont="1" applyFill="1" applyBorder="1"/>
    <xf numFmtId="164" fontId="130" fillId="12" borderId="2" xfId="0" applyNumberFormat="1" applyFont="1" applyFill="1" applyBorder="1"/>
    <xf numFmtId="38" fontId="137" fillId="4" borderId="2" xfId="0" applyNumberFormat="1" applyFont="1" applyFill="1" applyBorder="1" applyProtection="1">
      <protection locked="0"/>
    </xf>
    <xf numFmtId="38" fontId="83" fillId="4" borderId="2" xfId="0" applyNumberFormat="1" applyFont="1" applyFill="1" applyBorder="1" applyProtection="1">
      <protection locked="0"/>
    </xf>
    <xf numFmtId="38" fontId="139" fillId="4" borderId="2" xfId="0" applyNumberFormat="1" applyFont="1" applyFill="1" applyBorder="1" applyProtection="1">
      <protection locked="0"/>
    </xf>
    <xf numFmtId="38" fontId="134" fillId="4" borderId="2" xfId="0" applyNumberFormat="1" applyFont="1" applyFill="1" applyBorder="1" applyProtection="1">
      <protection locked="0"/>
    </xf>
    <xf numFmtId="38" fontId="142" fillId="4" borderId="2" xfId="0" applyNumberFormat="1" applyFont="1" applyFill="1" applyBorder="1" applyProtection="1">
      <protection locked="0"/>
    </xf>
    <xf numFmtId="174" fontId="137" fillId="4" borderId="2" xfId="0" applyNumberFormat="1" applyFont="1" applyFill="1" applyBorder="1"/>
    <xf numFmtId="174" fontId="83" fillId="4" borderId="2" xfId="0" applyNumberFormat="1" applyFont="1" applyFill="1" applyBorder="1"/>
    <xf numFmtId="174" fontId="139" fillId="4" borderId="2" xfId="0" applyNumberFormat="1" applyFont="1" applyFill="1" applyBorder="1"/>
    <xf numFmtId="174" fontId="134" fillId="4" borderId="2" xfId="0" applyNumberFormat="1" applyFont="1" applyFill="1" applyBorder="1"/>
    <xf numFmtId="174" fontId="142" fillId="4" borderId="2" xfId="0" applyNumberFormat="1" applyFont="1" applyFill="1" applyBorder="1"/>
    <xf numFmtId="174" fontId="137" fillId="12" borderId="2" xfId="0" applyNumberFormat="1" applyFont="1" applyFill="1" applyBorder="1"/>
    <xf numFmtId="174" fontId="83" fillId="12" borderId="2" xfId="0" applyNumberFormat="1" applyFont="1" applyFill="1" applyBorder="1"/>
    <xf numFmtId="174" fontId="139" fillId="12" borderId="2" xfId="0" applyNumberFormat="1" applyFont="1" applyFill="1" applyBorder="1"/>
    <xf numFmtId="174" fontId="134" fillId="12" borderId="2" xfId="0" applyNumberFormat="1" applyFont="1" applyFill="1" applyBorder="1"/>
    <xf numFmtId="174" fontId="142" fillId="12" borderId="2" xfId="0" applyNumberFormat="1" applyFont="1" applyFill="1" applyBorder="1"/>
    <xf numFmtId="38" fontId="137" fillId="12" borderId="9" xfId="0" applyNumberFormat="1" applyFont="1" applyFill="1" applyBorder="1"/>
    <xf numFmtId="38" fontId="94" fillId="12" borderId="9" xfId="0" applyNumberFormat="1" applyFont="1" applyFill="1" applyBorder="1"/>
    <xf numFmtId="38" fontId="139" fillId="12" borderId="9" xfId="0" applyNumberFormat="1" applyFont="1" applyFill="1" applyBorder="1"/>
    <xf numFmtId="38" fontId="134" fillId="12" borderId="9" xfId="0" applyNumberFormat="1" applyFont="1" applyFill="1" applyBorder="1"/>
    <xf numFmtId="38" fontId="142" fillId="12" borderId="9" xfId="0" applyNumberFormat="1" applyFont="1" applyFill="1" applyBorder="1"/>
    <xf numFmtId="38" fontId="137" fillId="4" borderId="46" xfId="0" applyNumberFormat="1" applyFont="1" applyFill="1" applyBorder="1"/>
    <xf numFmtId="38" fontId="94" fillId="4" borderId="46" xfId="0" applyNumberFormat="1" applyFont="1" applyFill="1" applyBorder="1"/>
    <xf numFmtId="38" fontId="139" fillId="4" borderId="46" xfId="0" applyNumberFormat="1" applyFont="1" applyFill="1" applyBorder="1"/>
    <xf numFmtId="38" fontId="134" fillId="4" borderId="46" xfId="0" applyNumberFormat="1" applyFont="1" applyFill="1" applyBorder="1"/>
    <xf numFmtId="38" fontId="142" fillId="4" borderId="46" xfId="0" applyNumberFormat="1" applyFont="1" applyFill="1" applyBorder="1"/>
    <xf numFmtId="37" fontId="137" fillId="12" borderId="2" xfId="0" applyNumberFormat="1" applyFont="1" applyFill="1" applyBorder="1"/>
    <xf numFmtId="37" fontId="94" fillId="12" borderId="2" xfId="0" applyNumberFormat="1" applyFont="1" applyFill="1" applyBorder="1"/>
    <xf numFmtId="37" fontId="139" fillId="12" borderId="2" xfId="0" applyNumberFormat="1" applyFont="1" applyFill="1" applyBorder="1"/>
    <xf numFmtId="37" fontId="134" fillId="12" borderId="2" xfId="0" applyNumberFormat="1" applyFont="1" applyFill="1" applyBorder="1"/>
    <xf numFmtId="37" fontId="142" fillId="12" borderId="2" xfId="0" applyNumberFormat="1" applyFont="1" applyFill="1" applyBorder="1"/>
    <xf numFmtId="0" fontId="125" fillId="2" borderId="2" xfId="0" applyFont="1" applyBorder="1"/>
    <xf numFmtId="0" fontId="125" fillId="4" borderId="9" xfId="0" applyFont="1" applyFill="1" applyBorder="1"/>
    <xf numFmtId="0" fontId="125" fillId="2" borderId="2" xfId="0" applyFont="1" applyBorder="1" applyAlignment="1">
      <alignment horizontal="left"/>
    </xf>
    <xf numFmtId="0" fontId="134" fillId="19" borderId="0" xfId="0" applyFont="1" applyFill="1"/>
    <xf numFmtId="0" fontId="134" fillId="19" borderId="22" xfId="0" applyFont="1" applyFill="1" applyBorder="1" applyAlignment="1">
      <alignment horizontal="center"/>
    </xf>
    <xf numFmtId="174" fontId="134" fillId="19" borderId="20" xfId="0" applyNumberFormat="1" applyFont="1" applyFill="1" applyBorder="1"/>
    <xf numFmtId="38" fontId="134" fillId="19" borderId="23" xfId="0" applyNumberFormat="1" applyFont="1" applyFill="1" applyBorder="1"/>
    <xf numFmtId="0" fontId="144" fillId="13" borderId="0" xfId="0" applyFont="1" applyFill="1"/>
    <xf numFmtId="0" fontId="144" fillId="13" borderId="22" xfId="0" applyFont="1" applyFill="1" applyBorder="1" applyAlignment="1">
      <alignment horizontal="center"/>
    </xf>
    <xf numFmtId="174" fontId="144" fillId="13" borderId="20" xfId="0" applyNumberFormat="1" applyFont="1" applyFill="1" applyBorder="1"/>
    <xf numFmtId="38" fontId="144" fillId="13" borderId="23" xfId="0" applyNumberFormat="1" applyFont="1" applyFill="1" applyBorder="1"/>
    <xf numFmtId="0" fontId="0" fillId="10" borderId="11" xfId="0" applyFill="1" applyBorder="1"/>
    <xf numFmtId="0" fontId="0" fillId="10" borderId="12" xfId="0" applyFill="1" applyBorder="1"/>
    <xf numFmtId="0" fontId="78" fillId="12" borderId="29" xfId="0" applyFont="1" applyFill="1" applyBorder="1"/>
    <xf numFmtId="0" fontId="46" fillId="12" borderId="22" xfId="0" applyFont="1" applyFill="1" applyBorder="1"/>
    <xf numFmtId="0" fontId="92"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84" fillId="4" borderId="13" xfId="0" applyFont="1" applyFill="1" applyBorder="1"/>
    <xf numFmtId="6" fontId="15" fillId="2" borderId="45" xfId="0" applyNumberFormat="1" applyFont="1" applyBorder="1"/>
    <xf numFmtId="6" fontId="46" fillId="4" borderId="0" xfId="0" applyNumberFormat="1" applyFont="1" applyFill="1"/>
    <xf numFmtId="0" fontId="46" fillId="2" borderId="78" xfId="0" applyFont="1" applyBorder="1"/>
    <xf numFmtId="0" fontId="38" fillId="10" borderId="0" xfId="0" applyFont="1" applyFill="1" applyAlignment="1">
      <alignment horizontal="center"/>
    </xf>
    <xf numFmtId="6" fontId="78" fillId="12" borderId="45" xfId="0" applyNumberFormat="1" applyFont="1" applyFill="1" applyBorder="1"/>
    <xf numFmtId="0" fontId="38" fillId="10" borderId="0" xfId="0" applyFont="1" applyFill="1"/>
    <xf numFmtId="0" fontId="0" fillId="2" borderId="78" xfId="0" applyBorder="1"/>
    <xf numFmtId="0" fontId="145" fillId="12" borderId="10" xfId="0" applyFont="1" applyFill="1" applyBorder="1"/>
    <xf numFmtId="0" fontId="145" fillId="12" borderId="11" xfId="0" applyFont="1" applyFill="1" applyBorder="1"/>
    <xf numFmtId="0" fontId="146" fillId="2" borderId="0" xfId="0" applyFont="1" applyAlignment="1">
      <alignment horizontal="right"/>
    </xf>
    <xf numFmtId="0" fontId="147" fillId="2" borderId="0" xfId="0" applyFont="1"/>
    <xf numFmtId="0" fontId="148" fillId="2" borderId="0" xfId="0" applyFont="1" applyAlignment="1">
      <alignment horizontal="center"/>
    </xf>
    <xf numFmtId="175" fontId="150" fillId="0" borderId="36" xfId="0" applyNumberFormat="1" applyFont="1" applyFill="1" applyBorder="1" applyProtection="1">
      <protection locked="0"/>
    </xf>
    <xf numFmtId="38" fontId="150" fillId="6" borderId="36" xfId="0" applyNumberFormat="1" applyFont="1" applyFill="1" applyBorder="1" applyProtection="1">
      <protection locked="0"/>
    </xf>
    <xf numFmtId="38" fontId="150" fillId="0" borderId="36" xfId="0" applyNumberFormat="1" applyFont="1" applyFill="1" applyBorder="1" applyProtection="1">
      <protection locked="0"/>
    </xf>
    <xf numFmtId="175" fontId="150" fillId="6" borderId="9" xfId="0" applyNumberFormat="1" applyFont="1" applyFill="1" applyBorder="1"/>
    <xf numFmtId="38" fontId="150" fillId="0" borderId="36" xfId="0" applyNumberFormat="1" applyFont="1" applyFill="1" applyBorder="1" applyAlignment="1" applyProtection="1">
      <alignment horizontal="center"/>
      <protection locked="0"/>
    </xf>
    <xf numFmtId="37" fontId="150" fillId="2" borderId="9" xfId="0" applyNumberFormat="1" applyFont="1" applyBorder="1" applyAlignment="1" applyProtection="1">
      <alignment horizontal="center"/>
      <protection locked="0"/>
    </xf>
    <xf numFmtId="175" fontId="150" fillId="2" borderId="9" xfId="0" applyNumberFormat="1" applyFont="1" applyBorder="1" applyAlignment="1">
      <alignment horizontal="right"/>
    </xf>
    <xf numFmtId="37" fontId="151" fillId="2" borderId="9" xfId="0" applyNumberFormat="1" applyFont="1" applyBorder="1" applyAlignment="1" applyProtection="1">
      <alignment horizontal="center"/>
      <protection locked="0"/>
    </xf>
    <xf numFmtId="175" fontId="151" fillId="2" borderId="9" xfId="0" applyNumberFormat="1" applyFont="1" applyBorder="1" applyAlignment="1">
      <alignment horizontal="right"/>
    </xf>
    <xf numFmtId="0" fontId="99" fillId="4" borderId="15" xfId="0" applyFont="1" applyFill="1" applyBorder="1" applyAlignment="1">
      <alignment horizontal="center"/>
    </xf>
    <xf numFmtId="175" fontId="96" fillId="4" borderId="15" xfId="0" applyNumberFormat="1" applyFont="1" applyFill="1" applyBorder="1"/>
    <xf numFmtId="175" fontId="96" fillId="4" borderId="15" xfId="0" applyNumberFormat="1" applyFont="1" applyFill="1" applyBorder="1" applyAlignment="1">
      <alignment horizontal="center"/>
    </xf>
    <xf numFmtId="0" fontId="96" fillId="4" borderId="15" xfId="0" applyFont="1" applyFill="1" applyBorder="1" applyAlignment="1">
      <alignment horizontal="center"/>
    </xf>
    <xf numFmtId="38" fontId="96" fillId="4" borderId="15" xfId="0" applyNumberFormat="1" applyFont="1" applyFill="1" applyBorder="1" applyAlignment="1" applyProtection="1">
      <alignment horizontal="right"/>
      <protection locked="0"/>
    </xf>
    <xf numFmtId="175" fontId="152" fillId="0" borderId="36" xfId="0" applyNumberFormat="1" applyFont="1" applyFill="1" applyBorder="1" applyProtection="1">
      <protection locked="0"/>
    </xf>
    <xf numFmtId="0" fontId="153" fillId="2" borderId="0" xfId="0" applyFont="1"/>
    <xf numFmtId="0" fontId="153" fillId="2" borderId="0" xfId="0" applyFont="1" applyAlignment="1">
      <alignment horizontal="center"/>
    </xf>
    <xf numFmtId="0" fontId="153" fillId="6" borderId="2" xfId="0" applyFont="1" applyFill="1" applyBorder="1" applyAlignment="1">
      <alignment horizontal="center"/>
    </xf>
    <xf numFmtId="174" fontId="153" fillId="2" borderId="2" xfId="0" applyNumberFormat="1" applyFont="1" applyBorder="1"/>
    <xf numFmtId="175" fontId="153" fillId="0" borderId="2" xfId="0" applyNumberFormat="1" applyFont="1" applyFill="1" applyBorder="1"/>
    <xf numFmtId="0" fontId="153" fillId="2" borderId="2" xfId="0" applyFont="1" applyBorder="1"/>
    <xf numFmtId="38" fontId="153" fillId="4" borderId="46" xfId="0" applyNumberFormat="1" applyFont="1" applyFill="1" applyBorder="1"/>
    <xf numFmtId="37" fontId="153" fillId="2" borderId="2" xfId="0" applyNumberFormat="1" applyFont="1" applyBorder="1"/>
    <xf numFmtId="37" fontId="153" fillId="12" borderId="2" xfId="0" applyNumberFormat="1" applyFont="1" applyFill="1" applyBorder="1"/>
    <xf numFmtId="164" fontId="150" fillId="12" borderId="2" xfId="0" applyNumberFormat="1" applyFont="1" applyFill="1" applyBorder="1"/>
    <xf numFmtId="167" fontId="153" fillId="2" borderId="2" xfId="0" applyNumberFormat="1" applyFont="1" applyBorder="1"/>
    <xf numFmtId="167" fontId="153" fillId="8" borderId="2" xfId="0" applyNumberFormat="1" applyFont="1" applyFill="1" applyBorder="1"/>
    <xf numFmtId="38" fontId="153" fillId="4" borderId="2" xfId="0" applyNumberFormat="1" applyFont="1" applyFill="1" applyBorder="1" applyProtection="1">
      <protection locked="0"/>
    </xf>
    <xf numFmtId="174" fontId="153" fillId="4" borderId="2" xfId="0" applyNumberFormat="1" applyFont="1" applyFill="1" applyBorder="1"/>
    <xf numFmtId="38" fontId="153" fillId="2" borderId="2" xfId="0" applyNumberFormat="1" applyFont="1" applyBorder="1"/>
    <xf numFmtId="174" fontId="153" fillId="12" borderId="2" xfId="0" applyNumberFormat="1" applyFont="1" applyFill="1" applyBorder="1"/>
    <xf numFmtId="38" fontId="153" fillId="12" borderId="9" xfId="0" applyNumberFormat="1" applyFont="1" applyFill="1" applyBorder="1"/>
    <xf numFmtId="38" fontId="153" fillId="2" borderId="0" xfId="0" applyNumberFormat="1" applyFont="1"/>
    <xf numFmtId="0" fontId="153" fillId="2" borderId="0" xfId="0" applyFont="1" applyAlignment="1">
      <alignment horizontal="right"/>
    </xf>
    <xf numFmtId="170" fontId="153" fillId="2" borderId="0" xfId="0" applyNumberFormat="1" applyFont="1" applyAlignment="1">
      <alignment horizontal="right"/>
    </xf>
    <xf numFmtId="39" fontId="153" fillId="2" borderId="0" xfId="0" applyNumberFormat="1" applyFont="1" applyAlignment="1">
      <alignment horizontal="right"/>
    </xf>
    <xf numFmtId="0" fontId="153" fillId="9" borderId="22" xfId="0" applyFont="1" applyFill="1" applyBorder="1" applyAlignment="1">
      <alignment horizontal="center"/>
    </xf>
    <xf numFmtId="38" fontId="153" fillId="9" borderId="20" xfId="0" applyNumberFormat="1" applyFont="1" applyFill="1" applyBorder="1" applyAlignment="1">
      <alignment horizontal="center"/>
    </xf>
    <xf numFmtId="0" fontId="153" fillId="9" borderId="20" xfId="0" applyFont="1" applyFill="1" applyBorder="1"/>
    <xf numFmtId="38" fontId="153" fillId="9" borderId="23" xfId="0" applyNumberFormat="1" applyFont="1" applyFill="1" applyBorder="1" applyAlignment="1">
      <alignment horizontal="center"/>
    </xf>
    <xf numFmtId="0" fontId="153" fillId="2" borderId="0" xfId="0" quotePrefix="1" applyFont="1" applyAlignment="1">
      <alignment horizontal="center"/>
    </xf>
    <xf numFmtId="185" fontId="153" fillId="2" borderId="9" xfId="0" applyNumberFormat="1" applyFont="1" applyBorder="1"/>
    <xf numFmtId="38" fontId="153" fillId="2" borderId="9" xfId="0" applyNumberFormat="1" applyFont="1" applyBorder="1"/>
    <xf numFmtId="38" fontId="153" fillId="4" borderId="9" xfId="0" applyNumberFormat="1" applyFont="1" applyFill="1" applyBorder="1"/>
    <xf numFmtId="38" fontId="153" fillId="17" borderId="9" xfId="0" applyNumberFormat="1" applyFont="1" applyFill="1" applyBorder="1"/>
    <xf numFmtId="174" fontId="153" fillId="4" borderId="9" xfId="0" applyNumberFormat="1" applyFont="1" applyFill="1" applyBorder="1"/>
    <xf numFmtId="0" fontId="153" fillId="18" borderId="9" xfId="0" applyFont="1" applyFill="1" applyBorder="1" applyAlignment="1">
      <alignment horizontal="center"/>
    </xf>
    <xf numFmtId="38" fontId="153" fillId="4" borderId="0" xfId="0" applyNumberFormat="1" applyFont="1" applyFill="1" applyAlignment="1">
      <alignment horizontal="center"/>
    </xf>
    <xf numFmtId="0" fontId="153" fillId="4" borderId="0" xfId="0" applyFont="1" applyFill="1"/>
    <xf numFmtId="38" fontId="150" fillId="6" borderId="46" xfId="0" applyNumberFormat="1" applyFont="1" applyFill="1" applyBorder="1" applyProtection="1">
      <protection locked="0"/>
    </xf>
    <xf numFmtId="0" fontId="15" fillId="2" borderId="29" xfId="0" applyFont="1" applyBorder="1"/>
    <xf numFmtId="0" fontId="78" fillId="4" borderId="12" xfId="0" applyFont="1" applyFill="1" applyBorder="1"/>
    <xf numFmtId="174" fontId="151"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39" fillId="6" borderId="0" xfId="0" applyFont="1" applyFill="1"/>
    <xf numFmtId="0" fontId="139" fillId="6" borderId="22" xfId="0" applyFont="1" applyFill="1" applyBorder="1" applyAlignment="1">
      <alignment horizontal="center"/>
    </xf>
    <xf numFmtId="174" fontId="139" fillId="6" borderId="20" xfId="0" applyNumberFormat="1" applyFont="1" applyFill="1" applyBorder="1"/>
    <xf numFmtId="38" fontId="139" fillId="6" borderId="23" xfId="0" applyNumberFormat="1" applyFont="1" applyFill="1" applyBorder="1"/>
    <xf numFmtId="0" fontId="38" fillId="25" borderId="10" xfId="0" applyFont="1" applyFill="1" applyBorder="1"/>
    <xf numFmtId="0" fontId="0" fillId="25" borderId="12" xfId="0" applyFill="1" applyBorder="1"/>
    <xf numFmtId="0" fontId="154" fillId="25" borderId="45" xfId="0" applyFont="1" applyFill="1" applyBorder="1" applyAlignment="1">
      <alignment horizontal="center"/>
    </xf>
    <xf numFmtId="0" fontId="154" fillId="25" borderId="36" xfId="0" applyFont="1" applyFill="1" applyBorder="1" applyAlignment="1">
      <alignment horizontal="center"/>
    </xf>
    <xf numFmtId="0" fontId="46" fillId="25" borderId="0" xfId="0" applyFont="1" applyFill="1"/>
    <xf numFmtId="0" fontId="0" fillId="25" borderId="0" xfId="0" applyFill="1"/>
    <xf numFmtId="0" fontId="0" fillId="25" borderId="9" xfId="0" applyFill="1" applyBorder="1"/>
    <xf numFmtId="0" fontId="38" fillId="25" borderId="9" xfId="0" applyFont="1" applyFill="1" applyBorder="1" applyAlignment="1">
      <alignment horizontal="center"/>
    </xf>
    <xf numFmtId="0" fontId="0" fillId="25" borderId="29" xfId="0" applyFill="1" applyBorder="1"/>
    <xf numFmtId="0" fontId="0" fillId="25" borderId="22" xfId="0" applyFill="1" applyBorder="1"/>
    <xf numFmtId="0" fontId="38" fillId="25" borderId="16" xfId="0" applyFont="1" applyFill="1" applyBorder="1"/>
    <xf numFmtId="0" fontId="0" fillId="25" borderId="23" xfId="0" applyFill="1" applyBorder="1"/>
    <xf numFmtId="0" fontId="38" fillId="25" borderId="0" xfId="0" applyFont="1" applyFill="1"/>
    <xf numFmtId="0" fontId="46" fillId="25" borderId="11" xfId="0" applyFont="1" applyFill="1" applyBorder="1"/>
    <xf numFmtId="0" fontId="0" fillId="25" borderId="13" xfId="0" applyFill="1" applyBorder="1"/>
    <xf numFmtId="0" fontId="0" fillId="25" borderId="11" xfId="0" applyFill="1" applyBorder="1"/>
    <xf numFmtId="0" fontId="38" fillId="25" borderId="11" xfId="0" applyFont="1" applyFill="1" applyBorder="1"/>
    <xf numFmtId="0" fontId="38" fillId="25" borderId="12" xfId="0" applyFont="1" applyFill="1" applyBorder="1"/>
    <xf numFmtId="0" fontId="38"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6" borderId="9" xfId="0" applyFont="1" applyFill="1" applyBorder="1"/>
    <xf numFmtId="0" fontId="46" fillId="25" borderId="9" xfId="0" applyFont="1" applyFill="1" applyBorder="1" applyAlignment="1">
      <alignment horizontal="center"/>
    </xf>
    <xf numFmtId="0" fontId="0" fillId="25" borderId="10" xfId="0" applyFill="1" applyBorder="1"/>
    <xf numFmtId="0" fontId="38" fillId="25" borderId="9" xfId="0" applyFont="1" applyFill="1" applyBorder="1"/>
    <xf numFmtId="0" fontId="15" fillId="26" borderId="11" xfId="0" applyFont="1" applyFill="1" applyBorder="1"/>
    <xf numFmtId="6" fontId="46" fillId="26" borderId="9" xfId="0" applyNumberFormat="1" applyFont="1" applyFill="1" applyBorder="1"/>
    <xf numFmtId="0" fontId="15" fillId="25" borderId="36" xfId="0" quotePrefix="1" applyFont="1" applyFill="1" applyBorder="1" applyAlignment="1">
      <alignment horizontal="center"/>
    </xf>
    <xf numFmtId="0" fontId="38" fillId="25" borderId="21" xfId="0" applyFont="1" applyFill="1" applyBorder="1"/>
    <xf numFmtId="0" fontId="38" fillId="25" borderId="22" xfId="0" applyFont="1" applyFill="1" applyBorder="1"/>
    <xf numFmtId="0" fontId="38" fillId="25" borderId="13" xfId="0" applyFont="1" applyFill="1" applyBorder="1"/>
    <xf numFmtId="0" fontId="38" fillId="25" borderId="23" xfId="0" applyFont="1" applyFill="1" applyBorder="1"/>
    <xf numFmtId="6" fontId="46" fillId="26" borderId="12" xfId="0" applyNumberFormat="1" applyFont="1" applyFill="1" applyBorder="1"/>
    <xf numFmtId="0" fontId="15" fillId="25" borderId="9" xfId="0" applyFont="1" applyFill="1" applyBorder="1"/>
    <xf numFmtId="6" fontId="46" fillId="25" borderId="12" xfId="0" applyNumberFormat="1" applyFont="1" applyFill="1" applyBorder="1"/>
    <xf numFmtId="0" fontId="46" fillId="26" borderId="9" xfId="0" applyFont="1" applyFill="1" applyBorder="1"/>
    <xf numFmtId="173" fontId="46" fillId="26" borderId="9" xfId="0" applyNumberFormat="1" applyFont="1" applyFill="1" applyBorder="1"/>
    <xf numFmtId="5" fontId="46" fillId="2" borderId="68" xfId="0" applyNumberFormat="1" applyFont="1" applyBorder="1"/>
    <xf numFmtId="0" fontId="15" fillId="2" borderId="78" xfId="0" applyFont="1" applyBorder="1"/>
    <xf numFmtId="0" fontId="38" fillId="25" borderId="10" xfId="0" applyFont="1" applyFill="1" applyBorder="1" applyAlignment="1">
      <alignment horizontal="left"/>
    </xf>
    <xf numFmtId="0" fontId="75" fillId="25" borderId="11" xfId="0" applyFont="1" applyFill="1" applyBorder="1" applyAlignment="1">
      <alignment horizontal="center"/>
    </xf>
    <xf numFmtId="0" fontId="46" fillId="25" borderId="23" xfId="0" applyFont="1" applyFill="1" applyBorder="1"/>
    <xf numFmtId="6" fontId="15" fillId="25" borderId="9" xfId="0" applyNumberFormat="1" applyFont="1" applyFill="1" applyBorder="1"/>
    <xf numFmtId="0" fontId="46" fillId="25" borderId="63" xfId="0" applyFont="1" applyFill="1" applyBorder="1" applyAlignment="1">
      <alignment horizontal="center"/>
    </xf>
    <xf numFmtId="0" fontId="4" fillId="27" borderId="0" xfId="0" applyFont="1" applyFill="1"/>
    <xf numFmtId="0" fontId="0" fillId="26"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0" fillId="25" borderId="0" xfId="0" applyFont="1" applyFill="1"/>
    <xf numFmtId="0" fontId="88" fillId="25" borderId="0" xfId="0" applyFont="1" applyFill="1"/>
    <xf numFmtId="0" fontId="0" fillId="28" borderId="0" xfId="0" applyFill="1"/>
    <xf numFmtId="0" fontId="160" fillId="29" borderId="12" xfId="0" applyFont="1" applyFill="1" applyBorder="1" applyAlignment="1">
      <alignment horizontal="center"/>
    </xf>
    <xf numFmtId="3" fontId="4" fillId="25" borderId="0" xfId="0" applyNumberFormat="1" applyFont="1" applyFill="1"/>
    <xf numFmtId="3" fontId="4" fillId="28" borderId="0" xfId="0" applyNumberFormat="1" applyFont="1" applyFill="1"/>
    <xf numFmtId="38" fontId="4" fillId="28" borderId="110" xfId="0" applyNumberFormat="1" applyFont="1" applyFill="1" applyBorder="1"/>
    <xf numFmtId="0" fontId="160" fillId="29" borderId="110" xfId="0" applyFont="1" applyFill="1" applyBorder="1" applyAlignment="1">
      <alignment horizontal="center"/>
    </xf>
    <xf numFmtId="3" fontId="4" fillId="28" borderId="110" xfId="0" applyNumberFormat="1" applyFont="1" applyFill="1" applyBorder="1"/>
    <xf numFmtId="3" fontId="4" fillId="25" borderId="97" xfId="0" applyNumberFormat="1" applyFont="1" applyFill="1" applyBorder="1"/>
    <xf numFmtId="3" fontId="4" fillId="28" borderId="97" xfId="0" applyNumberFormat="1" applyFont="1" applyFill="1" applyBorder="1"/>
    <xf numFmtId="0" fontId="0" fillId="30" borderId="0" xfId="0" applyFill="1"/>
    <xf numFmtId="0" fontId="94" fillId="30" borderId="0" xfId="0" applyFont="1" applyFill="1"/>
    <xf numFmtId="0" fontId="162" fillId="2" borderId="0" xfId="3" quotePrefix="1" applyFont="1" applyFill="1" applyAlignment="1" applyProtection="1">
      <alignment horizontal="center"/>
    </xf>
    <xf numFmtId="0" fontId="67" fillId="2" borderId="9" xfId="3" applyFont="1" applyFill="1" applyBorder="1" applyAlignment="1" applyProtection="1"/>
    <xf numFmtId="0" fontId="9" fillId="27" borderId="0" xfId="0" applyFont="1" applyFill="1" applyAlignment="1">
      <alignment horizontal="right"/>
    </xf>
    <xf numFmtId="0" fontId="64" fillId="2" borderId="0" xfId="0" applyFont="1" applyAlignment="1">
      <alignment horizontal="right"/>
    </xf>
    <xf numFmtId="0" fontId="4" fillId="27" borderId="0" xfId="0" applyFont="1" applyFill="1" applyAlignment="1">
      <alignment horizontal="right"/>
    </xf>
    <xf numFmtId="0" fontId="4" fillId="25" borderId="0" xfId="0" applyFont="1" applyFill="1"/>
    <xf numFmtId="38" fontId="4" fillId="25" borderId="108" xfId="0" applyNumberFormat="1" applyFont="1" applyFill="1" applyBorder="1"/>
    <xf numFmtId="38" fontId="4" fillId="25" borderId="0" xfId="0" applyNumberFormat="1" applyFont="1" applyFill="1"/>
    <xf numFmtId="174" fontId="4" fillId="25" borderId="108" xfId="0" applyNumberFormat="1" applyFont="1" applyFill="1" applyBorder="1"/>
    <xf numFmtId="174" fontId="4" fillId="25" borderId="0" xfId="0" applyNumberFormat="1" applyFont="1" applyFill="1"/>
    <xf numFmtId="38" fontId="4" fillId="25" borderId="108" xfId="0" applyNumberFormat="1" applyFont="1" applyFill="1" applyBorder="1" applyAlignment="1">
      <alignment horizontal="center"/>
    </xf>
    <xf numFmtId="177" fontId="4" fillId="25" borderId="108" xfId="0" applyNumberFormat="1" applyFont="1" applyFill="1" applyBorder="1"/>
    <xf numFmtId="177" fontId="4" fillId="25" borderId="0" xfId="0" applyNumberFormat="1" applyFont="1" applyFill="1"/>
    <xf numFmtId="38" fontId="4" fillId="25" borderId="113" xfId="0" applyNumberFormat="1" applyFont="1" applyFill="1" applyBorder="1"/>
    <xf numFmtId="0" fontId="4" fillId="25" borderId="108" xfId="0" applyFont="1" applyFill="1" applyBorder="1" applyAlignment="1">
      <alignment horizontal="center"/>
    </xf>
    <xf numFmtId="0" fontId="134" fillId="30" borderId="0" xfId="0" applyFont="1" applyFill="1"/>
    <xf numFmtId="0" fontId="134" fillId="30" borderId="0" xfId="0" applyFont="1" applyFill="1" applyAlignment="1">
      <alignment horizontal="center"/>
    </xf>
    <xf numFmtId="38" fontId="134" fillId="30" borderId="0" xfId="0" applyNumberFormat="1" applyFont="1" applyFill="1" applyAlignment="1">
      <alignment horizontal="center"/>
    </xf>
    <xf numFmtId="0" fontId="134" fillId="30" borderId="9" xfId="0" applyFont="1" applyFill="1" applyBorder="1"/>
    <xf numFmtId="174" fontId="134" fillId="30" borderId="9" xfId="0" applyNumberFormat="1" applyFont="1" applyFill="1" applyBorder="1"/>
    <xf numFmtId="174" fontId="134" fillId="30" borderId="0" xfId="0" applyNumberFormat="1" applyFont="1" applyFill="1"/>
    <xf numFmtId="38" fontId="134" fillId="30" borderId="9" xfId="0" applyNumberFormat="1" applyFont="1" applyFill="1" applyBorder="1"/>
    <xf numFmtId="38" fontId="134" fillId="30" borderId="0" xfId="0" applyNumberFormat="1" applyFont="1" applyFill="1"/>
    <xf numFmtId="38" fontId="134" fillId="30" borderId="9" xfId="0" applyNumberFormat="1" applyFont="1" applyFill="1" applyBorder="1" applyAlignment="1">
      <alignment horizontal="center"/>
    </xf>
    <xf numFmtId="177" fontId="134" fillId="30" borderId="9" xfId="0" applyNumberFormat="1" applyFont="1" applyFill="1" applyBorder="1"/>
    <xf numFmtId="177" fontId="134" fillId="30" borderId="0" xfId="0" applyNumberFormat="1" applyFont="1" applyFill="1"/>
    <xf numFmtId="2" fontId="134" fillId="30" borderId="9" xfId="0" applyNumberFormat="1" applyFont="1" applyFill="1" applyBorder="1"/>
    <xf numFmtId="0" fontId="163" fillId="30" borderId="0" xfId="0" applyFont="1" applyFill="1"/>
    <xf numFmtId="0" fontId="163" fillId="30" borderId="0" xfId="0" applyFont="1" applyFill="1" applyAlignment="1">
      <alignment horizontal="center"/>
    </xf>
    <xf numFmtId="38" fontId="163" fillId="30" borderId="0" xfId="0" applyNumberFormat="1" applyFont="1" applyFill="1" applyAlignment="1">
      <alignment horizontal="center"/>
    </xf>
    <xf numFmtId="38" fontId="163" fillId="30" borderId="108" xfId="0" applyNumberFormat="1" applyFont="1" applyFill="1" applyBorder="1"/>
    <xf numFmtId="174" fontId="163" fillId="30" borderId="108" xfId="0" applyNumberFormat="1" applyFont="1" applyFill="1" applyBorder="1"/>
    <xf numFmtId="0" fontId="163" fillId="30" borderId="108" xfId="0" applyFont="1" applyFill="1" applyBorder="1" applyAlignment="1">
      <alignment horizontal="center"/>
    </xf>
    <xf numFmtId="3" fontId="163" fillId="30" borderId="108" xfId="0" applyNumberFormat="1" applyFont="1" applyFill="1" applyBorder="1"/>
    <xf numFmtId="0" fontId="4" fillId="31" borderId="0" xfId="0" applyFont="1" applyFill="1" applyAlignment="1">
      <alignment horizontal="center"/>
    </xf>
    <xf numFmtId="0" fontId="4" fillId="28" borderId="0" xfId="0" applyFont="1" applyFill="1" applyAlignment="1">
      <alignment horizontal="center"/>
    </xf>
    <xf numFmtId="0" fontId="4" fillId="32" borderId="0" xfId="0" applyFont="1" applyFill="1" applyAlignment="1">
      <alignment horizontal="center"/>
    </xf>
    <xf numFmtId="0" fontId="4" fillId="33" borderId="0" xfId="0" applyFont="1" applyFill="1" applyAlignment="1">
      <alignment horizontal="center"/>
    </xf>
    <xf numFmtId="0" fontId="4" fillId="31" borderId="0" xfId="0" applyFont="1" applyFill="1"/>
    <xf numFmtId="0" fontId="4" fillId="28" borderId="0" xfId="0" applyFont="1" applyFill="1"/>
    <xf numFmtId="0" fontId="4" fillId="32" borderId="0" xfId="0" applyFont="1" applyFill="1"/>
    <xf numFmtId="0" fontId="4" fillId="33" borderId="0" xfId="0" applyFont="1" applyFill="1"/>
    <xf numFmtId="38" fontId="4" fillId="25" borderId="0" xfId="0" applyNumberFormat="1" applyFont="1" applyFill="1" applyAlignment="1">
      <alignment horizontal="center"/>
    </xf>
    <xf numFmtId="38" fontId="4" fillId="31" borderId="0" xfId="0" applyNumberFormat="1" applyFont="1" applyFill="1" applyAlignment="1">
      <alignment horizontal="center"/>
    </xf>
    <xf numFmtId="38" fontId="4" fillId="28" borderId="0" xfId="0" applyNumberFormat="1" applyFont="1" applyFill="1" applyAlignment="1">
      <alignment horizontal="center"/>
    </xf>
    <xf numFmtId="38" fontId="4" fillId="32" borderId="0" xfId="0" applyNumberFormat="1" applyFont="1" applyFill="1" applyAlignment="1">
      <alignment horizontal="center"/>
    </xf>
    <xf numFmtId="38" fontId="4" fillId="33" borderId="0" xfId="0" applyNumberFormat="1" applyFont="1" applyFill="1" applyAlignment="1">
      <alignment horizontal="center"/>
    </xf>
    <xf numFmtId="0" fontId="4" fillId="25" borderId="108" xfId="0" applyFont="1" applyFill="1" applyBorder="1"/>
    <xf numFmtId="0" fontId="163" fillId="30" borderId="108" xfId="0" applyFont="1" applyFill="1" applyBorder="1"/>
    <xf numFmtId="0" fontId="0" fillId="30" borderId="108" xfId="0" applyFill="1" applyBorder="1" applyAlignment="1">
      <alignment horizontal="center"/>
    </xf>
    <xf numFmtId="0" fontId="4" fillId="30" borderId="108" xfId="0" applyFont="1" applyFill="1" applyBorder="1"/>
    <xf numFmtId="38" fontId="13" fillId="30" borderId="0" xfId="0" applyNumberFormat="1" applyFont="1" applyFill="1"/>
    <xf numFmtId="0" fontId="4" fillId="30" borderId="0" xfId="0" applyFont="1" applyFill="1"/>
    <xf numFmtId="174" fontId="13" fillId="30" borderId="0" xfId="0" applyNumberFormat="1" applyFont="1" applyFill="1"/>
    <xf numFmtId="0" fontId="4" fillId="31" borderId="108" xfId="0" applyFont="1" applyFill="1" applyBorder="1"/>
    <xf numFmtId="0" fontId="4" fillId="31" borderId="108" xfId="0" applyFont="1" applyFill="1" applyBorder="1" applyAlignment="1">
      <alignment horizontal="center"/>
    </xf>
    <xf numFmtId="0" fontId="4" fillId="28" borderId="108" xfId="0" applyFont="1" applyFill="1" applyBorder="1" applyAlignment="1">
      <alignment horizontal="center"/>
    </xf>
    <xf numFmtId="0" fontId="4" fillId="33" borderId="108" xfId="0" applyFont="1" applyFill="1" applyBorder="1"/>
    <xf numFmtId="0" fontId="4" fillId="32" borderId="108" xfId="0" applyFont="1" applyFill="1" applyBorder="1" applyAlignment="1">
      <alignment horizontal="center"/>
    </xf>
    <xf numFmtId="0" fontId="4" fillId="33" borderId="108" xfId="0" applyFont="1" applyFill="1" applyBorder="1" applyAlignment="1">
      <alignment horizontal="center"/>
    </xf>
    <xf numFmtId="3" fontId="4" fillId="25" borderId="108" xfId="0" applyNumberFormat="1" applyFont="1" applyFill="1" applyBorder="1"/>
    <xf numFmtId="3" fontId="4" fillId="31" borderId="108" xfId="0" applyNumberFormat="1" applyFont="1" applyFill="1" applyBorder="1"/>
    <xf numFmtId="3" fontId="4" fillId="31" borderId="0" xfId="0" applyNumberFormat="1" applyFont="1" applyFill="1"/>
    <xf numFmtId="3" fontId="4" fillId="28" borderId="108" xfId="0" applyNumberFormat="1" applyFont="1" applyFill="1" applyBorder="1"/>
    <xf numFmtId="3" fontId="4" fillId="32" borderId="108" xfId="0" applyNumberFormat="1" applyFont="1" applyFill="1" applyBorder="1"/>
    <xf numFmtId="3" fontId="4" fillId="32" borderId="0" xfId="0" applyNumberFormat="1" applyFont="1" applyFill="1"/>
    <xf numFmtId="3" fontId="4" fillId="33" borderId="108" xfId="0" applyNumberFormat="1" applyFont="1" applyFill="1" applyBorder="1"/>
    <xf numFmtId="3" fontId="4" fillId="33" borderId="0" xfId="0" applyNumberFormat="1" applyFont="1" applyFill="1"/>
    <xf numFmtId="174" fontId="4" fillId="31" borderId="108" xfId="0" applyNumberFormat="1" applyFont="1" applyFill="1" applyBorder="1"/>
    <xf numFmtId="174" fontId="4" fillId="31" borderId="0" xfId="0" applyNumberFormat="1" applyFont="1" applyFill="1"/>
    <xf numFmtId="174" fontId="4" fillId="28" borderId="108" xfId="0" applyNumberFormat="1" applyFont="1" applyFill="1" applyBorder="1"/>
    <xf numFmtId="174" fontId="4" fillId="28" borderId="0" xfId="0" applyNumberFormat="1" applyFont="1" applyFill="1"/>
    <xf numFmtId="174" fontId="4" fillId="32" borderId="108" xfId="0" applyNumberFormat="1" applyFont="1" applyFill="1" applyBorder="1"/>
    <xf numFmtId="174" fontId="4" fillId="32" borderId="0" xfId="0" applyNumberFormat="1" applyFont="1" applyFill="1"/>
    <xf numFmtId="174" fontId="4" fillId="33" borderId="108" xfId="0" applyNumberFormat="1" applyFont="1" applyFill="1" applyBorder="1"/>
    <xf numFmtId="174" fontId="4" fillId="33" borderId="0" xfId="0" applyNumberFormat="1" applyFont="1" applyFill="1"/>
    <xf numFmtId="38" fontId="4" fillId="31" borderId="108" xfId="0" applyNumberFormat="1" applyFont="1" applyFill="1" applyBorder="1"/>
    <xf numFmtId="38" fontId="4" fillId="31" borderId="0" xfId="0" applyNumberFormat="1" applyFont="1" applyFill="1"/>
    <xf numFmtId="38" fontId="4" fillId="28" borderId="108" xfId="0" applyNumberFormat="1" applyFont="1" applyFill="1" applyBorder="1"/>
    <xf numFmtId="38" fontId="4" fillId="28" borderId="0" xfId="0" applyNumberFormat="1" applyFont="1" applyFill="1"/>
    <xf numFmtId="38" fontId="4" fillId="32" borderId="108" xfId="0" applyNumberFormat="1" applyFont="1" applyFill="1" applyBorder="1"/>
    <xf numFmtId="38" fontId="4" fillId="32" borderId="0" xfId="0" applyNumberFormat="1" applyFont="1" applyFill="1"/>
    <xf numFmtId="38" fontId="4" fillId="33" borderId="108" xfId="0" applyNumberFormat="1" applyFont="1" applyFill="1" applyBorder="1"/>
    <xf numFmtId="38" fontId="4" fillId="33" borderId="0" xfId="0" applyNumberFormat="1" applyFont="1" applyFill="1"/>
    <xf numFmtId="38" fontId="4" fillId="31" borderId="108" xfId="0" applyNumberFormat="1" applyFont="1" applyFill="1" applyBorder="1" applyAlignment="1">
      <alignment horizontal="center"/>
    </xf>
    <xf numFmtId="38" fontId="4" fillId="28" borderId="108" xfId="0" applyNumberFormat="1" applyFont="1" applyFill="1" applyBorder="1" applyAlignment="1">
      <alignment horizontal="center"/>
    </xf>
    <xf numFmtId="38" fontId="4" fillId="32" borderId="108" xfId="0" applyNumberFormat="1" applyFont="1" applyFill="1" applyBorder="1" applyAlignment="1">
      <alignment horizontal="center"/>
    </xf>
    <xf numFmtId="38" fontId="4" fillId="33" borderId="108" xfId="0" applyNumberFormat="1" applyFont="1" applyFill="1" applyBorder="1" applyAlignment="1">
      <alignment horizontal="center"/>
    </xf>
    <xf numFmtId="177" fontId="4" fillId="31" borderId="108" xfId="0" applyNumberFormat="1" applyFont="1" applyFill="1" applyBorder="1"/>
    <xf numFmtId="177" fontId="4" fillId="31" borderId="0" xfId="0" applyNumberFormat="1" applyFont="1" applyFill="1"/>
    <xf numFmtId="177" fontId="4" fillId="28" borderId="108" xfId="0" applyNumberFormat="1" applyFont="1" applyFill="1" applyBorder="1"/>
    <xf numFmtId="177" fontId="4" fillId="28" borderId="0" xfId="0" applyNumberFormat="1" applyFont="1" applyFill="1"/>
    <xf numFmtId="177" fontId="4" fillId="32" borderId="108" xfId="0" applyNumberFormat="1" applyFont="1" applyFill="1" applyBorder="1"/>
    <xf numFmtId="177" fontId="4" fillId="32" borderId="0" xfId="0" applyNumberFormat="1" applyFont="1" applyFill="1"/>
    <xf numFmtId="177" fontId="4" fillId="33" borderId="108" xfId="0" applyNumberFormat="1" applyFont="1" applyFill="1" applyBorder="1"/>
    <xf numFmtId="177" fontId="4" fillId="33" borderId="0" xfId="0" applyNumberFormat="1" applyFont="1" applyFill="1"/>
    <xf numFmtId="3" fontId="134" fillId="30" borderId="9" xfId="0" applyNumberFormat="1" applyFont="1" applyFill="1" applyBorder="1"/>
    <xf numFmtId="3" fontId="134" fillId="30" borderId="0" xfId="0" applyNumberFormat="1" applyFont="1" applyFill="1"/>
    <xf numFmtId="174" fontId="0" fillId="30" borderId="0" xfId="0" applyNumberFormat="1" applyFill="1"/>
    <xf numFmtId="3" fontId="163" fillId="30" borderId="0" xfId="0" applyNumberFormat="1" applyFont="1" applyFill="1"/>
    <xf numFmtId="3" fontId="163" fillId="30" borderId="113" xfId="0" applyNumberFormat="1" applyFont="1" applyFill="1" applyBorder="1"/>
    <xf numFmtId="3" fontId="4" fillId="25" borderId="113" xfId="0" applyNumberFormat="1" applyFont="1" applyFill="1" applyBorder="1"/>
    <xf numFmtId="3" fontId="4" fillId="31" borderId="113" xfId="0" applyNumberFormat="1" applyFont="1" applyFill="1" applyBorder="1"/>
    <xf numFmtId="3" fontId="4" fillId="28" borderId="113" xfId="0" applyNumberFormat="1" applyFont="1" applyFill="1" applyBorder="1"/>
    <xf numFmtId="3" fontId="4" fillId="32" borderId="113" xfId="0" applyNumberFormat="1" applyFont="1" applyFill="1" applyBorder="1"/>
    <xf numFmtId="3" fontId="4" fillId="33" borderId="113" xfId="0" applyNumberFormat="1" applyFont="1" applyFill="1" applyBorder="1"/>
    <xf numFmtId="38" fontId="0" fillId="30" borderId="113" xfId="0" applyNumberFormat="1" applyFill="1" applyBorder="1"/>
    <xf numFmtId="38" fontId="163" fillId="30" borderId="0" xfId="0" applyNumberFormat="1" applyFont="1" applyFill="1"/>
    <xf numFmtId="174" fontId="4" fillId="30" borderId="108" xfId="0" applyNumberFormat="1" applyFont="1" applyFill="1" applyBorder="1"/>
    <xf numFmtId="38" fontId="163" fillId="30" borderId="113" xfId="0" applyNumberFormat="1" applyFont="1" applyFill="1" applyBorder="1"/>
    <xf numFmtId="38" fontId="4" fillId="31" borderId="113" xfId="0" applyNumberFormat="1" applyFont="1" applyFill="1" applyBorder="1"/>
    <xf numFmtId="38" fontId="4" fillId="28" borderId="113" xfId="0" applyNumberFormat="1" applyFont="1" applyFill="1" applyBorder="1"/>
    <xf numFmtId="38" fontId="4" fillId="32" borderId="113" xfId="0" applyNumberFormat="1" applyFont="1" applyFill="1" applyBorder="1"/>
    <xf numFmtId="38" fontId="4" fillId="33" borderId="113" xfId="0" applyNumberFormat="1" applyFont="1" applyFill="1" applyBorder="1"/>
    <xf numFmtId="38" fontId="4" fillId="30" borderId="108" xfId="0" applyNumberFormat="1" applyFont="1" applyFill="1" applyBorder="1"/>
    <xf numFmtId="174" fontId="4" fillId="30" borderId="0" xfId="0" applyNumberFormat="1" applyFont="1" applyFill="1"/>
    <xf numFmtId="38" fontId="4" fillId="30" borderId="113" xfId="0" applyNumberFormat="1" applyFont="1" applyFill="1" applyBorder="1"/>
    <xf numFmtId="3" fontId="4" fillId="2" borderId="108" xfId="0" applyNumberFormat="1" applyFont="1" applyBorder="1"/>
    <xf numFmtId="3" fontId="4" fillId="2" borderId="0" xfId="0" applyNumberFormat="1" applyFont="1"/>
    <xf numFmtId="174" fontId="4" fillId="2" borderId="108" xfId="0" applyNumberFormat="1" applyFont="1" applyBorder="1"/>
    <xf numFmtId="38" fontId="4" fillId="2" borderId="108" xfId="0" applyNumberFormat="1" applyFont="1" applyBorder="1"/>
    <xf numFmtId="38" fontId="4" fillId="2" borderId="0" xfId="0" applyNumberFormat="1" applyFont="1"/>
    <xf numFmtId="38" fontId="4" fillId="2" borderId="108" xfId="0" applyNumberFormat="1" applyFont="1" applyBorder="1" applyAlignment="1">
      <alignment horizontal="center"/>
    </xf>
    <xf numFmtId="3" fontId="4" fillId="2" borderId="113" xfId="0" applyNumberFormat="1" applyFont="1" applyBorder="1"/>
    <xf numFmtId="3" fontId="4" fillId="2" borderId="108" xfId="0" applyNumberFormat="1" applyFont="1" applyBorder="1" applyAlignment="1">
      <alignment horizontal="center"/>
    </xf>
    <xf numFmtId="38" fontId="4" fillId="2" borderId="113" xfId="0" applyNumberFormat="1" applyFont="1" applyBorder="1"/>
    <xf numFmtId="0" fontId="4" fillId="25" borderId="97" xfId="0" applyFont="1" applyFill="1" applyBorder="1" applyAlignment="1">
      <alignment horizontal="center"/>
    </xf>
    <xf numFmtId="0" fontId="4" fillId="25" borderId="97" xfId="0" applyFont="1" applyFill="1" applyBorder="1"/>
    <xf numFmtId="38" fontId="4" fillId="25" borderId="97" xfId="0" applyNumberFormat="1" applyFont="1" applyFill="1" applyBorder="1"/>
    <xf numFmtId="3" fontId="4" fillId="25" borderId="110" xfId="0" applyNumberFormat="1" applyFont="1" applyFill="1" applyBorder="1"/>
    <xf numFmtId="174" fontId="4" fillId="25" borderId="110" xfId="0" applyNumberFormat="1" applyFont="1" applyFill="1" applyBorder="1"/>
    <xf numFmtId="38" fontId="4" fillId="25" borderId="110" xfId="0" applyNumberFormat="1" applyFont="1" applyFill="1" applyBorder="1"/>
    <xf numFmtId="177" fontId="4" fillId="25" borderId="110" xfId="0" applyNumberFormat="1" applyFont="1" applyFill="1" applyBorder="1"/>
    <xf numFmtId="0" fontId="4" fillId="25" borderId="110" xfId="0" applyFont="1" applyFill="1" applyBorder="1" applyAlignment="1">
      <alignment horizontal="center"/>
    </xf>
    <xf numFmtId="0" fontId="94" fillId="30" borderId="97" xfId="0" applyFont="1" applyFill="1" applyBorder="1"/>
    <xf numFmtId="174" fontId="94" fillId="30" borderId="97" xfId="0" applyNumberFormat="1" applyFont="1" applyFill="1" applyBorder="1"/>
    <xf numFmtId="3" fontId="94" fillId="30" borderId="97" xfId="0" applyNumberFormat="1" applyFont="1" applyFill="1" applyBorder="1"/>
    <xf numFmtId="38" fontId="94" fillId="30" borderId="97" xfId="0" applyNumberFormat="1" applyFont="1" applyFill="1" applyBorder="1"/>
    <xf numFmtId="3" fontId="4" fillId="31" borderId="110" xfId="0" applyNumberFormat="1" applyFont="1" applyFill="1" applyBorder="1"/>
    <xf numFmtId="174" fontId="4" fillId="31" borderId="110" xfId="0" applyNumberFormat="1" applyFont="1" applyFill="1" applyBorder="1"/>
    <xf numFmtId="38" fontId="4" fillId="31" borderId="110" xfId="0" applyNumberFormat="1" applyFont="1" applyFill="1" applyBorder="1"/>
    <xf numFmtId="177" fontId="4" fillId="31" borderId="110" xfId="0" applyNumberFormat="1" applyFont="1" applyFill="1" applyBorder="1"/>
    <xf numFmtId="0" fontId="4" fillId="31" borderId="110" xfId="0" applyFont="1" applyFill="1" applyBorder="1" applyAlignment="1">
      <alignment horizontal="center"/>
    </xf>
    <xf numFmtId="38" fontId="4" fillId="25" borderId="97" xfId="0" applyNumberFormat="1" applyFont="1" applyFill="1" applyBorder="1" applyAlignment="1">
      <alignment horizontal="center"/>
    </xf>
    <xf numFmtId="174" fontId="4" fillId="25" borderId="97" xfId="0" applyNumberFormat="1" applyFont="1" applyFill="1" applyBorder="1"/>
    <xf numFmtId="177" fontId="4" fillId="25" borderId="97" xfId="0" applyNumberFormat="1" applyFont="1" applyFill="1" applyBorder="1"/>
    <xf numFmtId="174" fontId="4" fillId="28" borderId="110" xfId="0" applyNumberFormat="1" applyFont="1" applyFill="1" applyBorder="1"/>
    <xf numFmtId="177" fontId="4" fillId="28" borderId="110" xfId="0" applyNumberFormat="1" applyFont="1" applyFill="1" applyBorder="1"/>
    <xf numFmtId="0" fontId="4" fillId="28" borderId="110" xfId="0" applyFont="1" applyFill="1" applyBorder="1" applyAlignment="1">
      <alignment horizontal="center"/>
    </xf>
    <xf numFmtId="0" fontId="4" fillId="31" borderId="97" xfId="0" applyFont="1" applyFill="1" applyBorder="1"/>
    <xf numFmtId="0" fontId="4" fillId="31" borderId="97" xfId="0" applyFont="1" applyFill="1" applyBorder="1" applyAlignment="1">
      <alignment horizontal="center"/>
    </xf>
    <xf numFmtId="38" fontId="4" fillId="31" borderId="97" xfId="0" applyNumberFormat="1" applyFont="1" applyFill="1" applyBorder="1" applyAlignment="1">
      <alignment horizontal="center"/>
    </xf>
    <xf numFmtId="3" fontId="4" fillId="31" borderId="97" xfId="0" applyNumberFormat="1" applyFont="1" applyFill="1" applyBorder="1"/>
    <xf numFmtId="174" fontId="4" fillId="31" borderId="97" xfId="0" applyNumberFormat="1" applyFont="1" applyFill="1" applyBorder="1"/>
    <xf numFmtId="38" fontId="4" fillId="31" borderId="97" xfId="0" applyNumberFormat="1" applyFont="1" applyFill="1" applyBorder="1"/>
    <xf numFmtId="177" fontId="4" fillId="31" borderId="97" xfId="0" applyNumberFormat="1" applyFont="1" applyFill="1" applyBorder="1"/>
    <xf numFmtId="3" fontId="4" fillId="32" borderId="110" xfId="0" applyNumberFormat="1" applyFont="1" applyFill="1" applyBorder="1"/>
    <xf numFmtId="174" fontId="4" fillId="32" borderId="110" xfId="0" applyNumberFormat="1" applyFont="1" applyFill="1" applyBorder="1"/>
    <xf numFmtId="38" fontId="4" fillId="32" borderId="110" xfId="0" applyNumberFormat="1" applyFont="1" applyFill="1" applyBorder="1"/>
    <xf numFmtId="177" fontId="4" fillId="32" borderId="110" xfId="0" applyNumberFormat="1" applyFont="1" applyFill="1" applyBorder="1"/>
    <xf numFmtId="0" fontId="4" fillId="32" borderId="110" xfId="0" applyFont="1" applyFill="1" applyBorder="1" applyAlignment="1">
      <alignment horizontal="center"/>
    </xf>
    <xf numFmtId="0" fontId="4" fillId="28" borderId="97" xfId="0" applyFont="1" applyFill="1" applyBorder="1"/>
    <xf numFmtId="0" fontId="4" fillId="28" borderId="97" xfId="0" applyFont="1" applyFill="1" applyBorder="1" applyAlignment="1">
      <alignment horizontal="center"/>
    </xf>
    <xf numFmtId="38" fontId="4" fillId="28" borderId="97" xfId="0" applyNumberFormat="1" applyFont="1" applyFill="1" applyBorder="1" applyAlignment="1">
      <alignment horizontal="center"/>
    </xf>
    <xf numFmtId="174" fontId="4" fillId="28" borderId="97" xfId="0" applyNumberFormat="1" applyFont="1" applyFill="1" applyBorder="1"/>
    <xf numFmtId="38" fontId="4" fillId="28" borderId="97" xfId="0" applyNumberFormat="1" applyFont="1" applyFill="1" applyBorder="1"/>
    <xf numFmtId="177" fontId="4" fillId="28" borderId="97" xfId="0" applyNumberFormat="1" applyFont="1" applyFill="1" applyBorder="1"/>
    <xf numFmtId="3" fontId="4" fillId="33" borderId="110" xfId="0" applyNumberFormat="1" applyFont="1" applyFill="1" applyBorder="1"/>
    <xf numFmtId="174" fontId="4" fillId="33" borderId="110" xfId="0" applyNumberFormat="1" applyFont="1" applyFill="1" applyBorder="1"/>
    <xf numFmtId="38" fontId="4" fillId="33" borderId="110" xfId="0" applyNumberFormat="1" applyFont="1" applyFill="1" applyBorder="1"/>
    <xf numFmtId="177" fontId="4" fillId="33" borderId="110" xfId="0" applyNumberFormat="1" applyFont="1" applyFill="1" applyBorder="1"/>
    <xf numFmtId="0" fontId="4" fillId="33" borderId="110" xfId="0" applyFont="1" applyFill="1" applyBorder="1" applyAlignment="1">
      <alignment horizontal="center"/>
    </xf>
    <xf numFmtId="0" fontId="4" fillId="32" borderId="97" xfId="0" applyFont="1" applyFill="1" applyBorder="1"/>
    <xf numFmtId="0" fontId="4" fillId="32" borderId="97" xfId="0" applyFont="1" applyFill="1" applyBorder="1" applyAlignment="1">
      <alignment horizontal="center"/>
    </xf>
    <xf numFmtId="38" fontId="4" fillId="32" borderId="97" xfId="0" applyNumberFormat="1" applyFont="1" applyFill="1" applyBorder="1" applyAlignment="1">
      <alignment horizontal="center"/>
    </xf>
    <xf numFmtId="3" fontId="4" fillId="32" borderId="97" xfId="0" applyNumberFormat="1" applyFont="1" applyFill="1" applyBorder="1"/>
    <xf numFmtId="174" fontId="4" fillId="32" borderId="97" xfId="0" applyNumberFormat="1" applyFont="1" applyFill="1" applyBorder="1"/>
    <xf numFmtId="38" fontId="4" fillId="32" borderId="97" xfId="0" applyNumberFormat="1" applyFont="1" applyFill="1" applyBorder="1"/>
    <xf numFmtId="177" fontId="4" fillId="32" borderId="97" xfId="0" applyNumberFormat="1" applyFont="1" applyFill="1" applyBorder="1"/>
    <xf numFmtId="0" fontId="4" fillId="33" borderId="97" xfId="0" applyFont="1" applyFill="1" applyBorder="1"/>
    <xf numFmtId="0" fontId="4" fillId="33" borderId="97" xfId="0" applyFont="1" applyFill="1" applyBorder="1" applyAlignment="1">
      <alignment horizontal="center"/>
    </xf>
    <xf numFmtId="38" fontId="4" fillId="33" borderId="97" xfId="0" applyNumberFormat="1" applyFont="1" applyFill="1" applyBorder="1" applyAlignment="1">
      <alignment horizontal="center"/>
    </xf>
    <xf numFmtId="174" fontId="30" fillId="2" borderId="114" xfId="0" applyNumberFormat="1" applyFont="1" applyBorder="1"/>
    <xf numFmtId="0" fontId="4" fillId="2" borderId="97" xfId="0" applyFont="1" applyBorder="1"/>
    <xf numFmtId="0" fontId="4" fillId="2" borderId="97" xfId="0" applyFont="1" applyBorder="1" applyAlignment="1">
      <alignment horizontal="center"/>
    </xf>
    <xf numFmtId="38" fontId="4" fillId="2" borderId="97" xfId="0" applyNumberFormat="1" applyFont="1" applyBorder="1" applyAlignment="1">
      <alignment horizontal="center"/>
    </xf>
    <xf numFmtId="3" fontId="4" fillId="2" borderId="111" xfId="0" applyNumberFormat="1" applyFont="1" applyBorder="1"/>
    <xf numFmtId="174" fontId="4" fillId="2" borderId="111" xfId="0" applyNumberFormat="1" applyFont="1" applyBorder="1"/>
    <xf numFmtId="38" fontId="4" fillId="2" borderId="111" xfId="0" applyNumberFormat="1" applyFont="1" applyBorder="1"/>
    <xf numFmtId="38" fontId="4" fillId="2" borderId="97" xfId="0" applyNumberFormat="1" applyFont="1" applyBorder="1"/>
    <xf numFmtId="38" fontId="4" fillId="2" borderId="111" xfId="0" applyNumberFormat="1" applyFont="1" applyBorder="1" applyAlignment="1">
      <alignment horizontal="center"/>
    </xf>
    <xf numFmtId="3" fontId="4" fillId="2" borderId="97" xfId="0" applyNumberFormat="1" applyFont="1" applyBorder="1"/>
    <xf numFmtId="3" fontId="4" fillId="2" borderId="100" xfId="0" applyNumberFormat="1" applyFont="1" applyBorder="1"/>
    <xf numFmtId="38" fontId="4" fillId="2" borderId="100" xfId="0" applyNumberFormat="1" applyFont="1" applyBorder="1"/>
    <xf numFmtId="37" fontId="94" fillId="19" borderId="114" xfId="0" applyNumberFormat="1" applyFont="1" applyFill="1" applyBorder="1"/>
    <xf numFmtId="174" fontId="94" fillId="19" borderId="114" xfId="0" applyNumberFormat="1" applyFont="1" applyFill="1" applyBorder="1"/>
    <xf numFmtId="37" fontId="94" fillId="19" borderId="114" xfId="0" applyNumberFormat="1" applyFont="1" applyFill="1" applyBorder="1" applyAlignment="1">
      <alignment horizontal="center"/>
    </xf>
    <xf numFmtId="167" fontId="94" fillId="19" borderId="114" xfId="0" applyNumberFormat="1" applyFont="1" applyFill="1" applyBorder="1"/>
    <xf numFmtId="38" fontId="94" fillId="19" borderId="114" xfId="0" applyNumberFormat="1" applyFont="1" applyFill="1" applyBorder="1"/>
    <xf numFmtId="40" fontId="94" fillId="19" borderId="114" xfId="0" applyNumberFormat="1" applyFont="1" applyFill="1" applyBorder="1"/>
    <xf numFmtId="0" fontId="83" fillId="19" borderId="97" xfId="0" applyFont="1" applyFill="1" applyBorder="1"/>
    <xf numFmtId="37" fontId="83" fillId="19" borderId="114" xfId="0" applyNumberFormat="1" applyFont="1" applyFill="1" applyBorder="1"/>
    <xf numFmtId="167" fontId="83" fillId="19" borderId="114" xfId="0" applyNumberFormat="1" applyFont="1" applyFill="1" applyBorder="1"/>
    <xf numFmtId="38" fontId="83" fillId="19" borderId="114" xfId="0" applyNumberFormat="1" applyFont="1" applyFill="1" applyBorder="1"/>
    <xf numFmtId="174" fontId="83" fillId="19" borderId="114" xfId="0" applyNumberFormat="1" applyFont="1" applyFill="1" applyBorder="1"/>
    <xf numFmtId="40" fontId="83" fillId="19" borderId="114" xfId="0" applyNumberFormat="1" applyFont="1" applyFill="1" applyBorder="1"/>
    <xf numFmtId="38" fontId="83" fillId="19" borderId="99" xfId="0" applyNumberFormat="1" applyFont="1" applyFill="1" applyBorder="1"/>
    <xf numFmtId="38" fontId="83" fillId="19" borderId="97" xfId="0" applyNumberFormat="1" applyFont="1" applyFill="1" applyBorder="1"/>
    <xf numFmtId="38" fontId="83" fillId="19" borderId="100" xfId="0" applyNumberFormat="1" applyFont="1" applyFill="1" applyBorder="1"/>
    <xf numFmtId="0" fontId="88" fillId="13" borderId="97" xfId="0" applyFont="1" applyFill="1" applyBorder="1"/>
    <xf numFmtId="0" fontId="88" fillId="13" borderId="97" xfId="0" applyFont="1" applyFill="1" applyBorder="1" applyAlignment="1">
      <alignment horizontal="center"/>
    </xf>
    <xf numFmtId="38" fontId="88" fillId="13" borderId="97" xfId="0" quotePrefix="1" applyNumberFormat="1" applyFont="1" applyFill="1" applyBorder="1" applyAlignment="1">
      <alignment horizontal="center"/>
    </xf>
    <xf numFmtId="0" fontId="88" fillId="13" borderId="97" xfId="0" quotePrefix="1" applyFont="1" applyFill="1" applyBorder="1" applyAlignment="1">
      <alignment horizontal="center"/>
    </xf>
    <xf numFmtId="37" fontId="88" fillId="13" borderId="114" xfId="0" applyNumberFormat="1" applyFont="1" applyFill="1" applyBorder="1"/>
    <xf numFmtId="174" fontId="88" fillId="13" borderId="114" xfId="0" applyNumberFormat="1" applyFont="1" applyFill="1" applyBorder="1"/>
    <xf numFmtId="37" fontId="88" fillId="13" borderId="114" xfId="0" applyNumberFormat="1" applyFont="1" applyFill="1" applyBorder="1" applyAlignment="1">
      <alignment horizontal="center"/>
    </xf>
    <xf numFmtId="167" fontId="88" fillId="13" borderId="114" xfId="0" applyNumberFormat="1" applyFont="1" applyFill="1" applyBorder="1"/>
    <xf numFmtId="38" fontId="88" fillId="13" borderId="114" xfId="0" applyNumberFormat="1" applyFont="1" applyFill="1" applyBorder="1"/>
    <xf numFmtId="40" fontId="88" fillId="13" borderId="114" xfId="0" applyNumberFormat="1" applyFont="1" applyFill="1" applyBorder="1"/>
    <xf numFmtId="38" fontId="88" fillId="13" borderId="99" xfId="0" applyNumberFormat="1" applyFont="1" applyFill="1" applyBorder="1"/>
    <xf numFmtId="38" fontId="88" fillId="13" borderId="97" xfId="0" applyNumberFormat="1" applyFont="1" applyFill="1" applyBorder="1"/>
    <xf numFmtId="38" fontId="88" fillId="13" borderId="100" xfId="0" applyNumberFormat="1" applyFont="1" applyFill="1" applyBorder="1"/>
    <xf numFmtId="0" fontId="88" fillId="12" borderId="97" xfId="0" applyFont="1" applyFill="1" applyBorder="1"/>
    <xf numFmtId="38" fontId="88" fillId="12" borderId="97" xfId="0" applyNumberFormat="1" applyFont="1" applyFill="1" applyBorder="1"/>
    <xf numFmtId="38" fontId="4" fillId="33" borderId="111" xfId="0" applyNumberFormat="1" applyFont="1" applyFill="1" applyBorder="1"/>
    <xf numFmtId="177" fontId="4" fillId="33" borderId="111" xfId="0" applyNumberFormat="1" applyFont="1" applyFill="1" applyBorder="1"/>
    <xf numFmtId="3" fontId="4" fillId="33" borderId="111" xfId="0" applyNumberFormat="1" applyFont="1" applyFill="1" applyBorder="1"/>
    <xf numFmtId="38" fontId="4" fillId="33" borderId="97" xfId="0" applyNumberFormat="1" applyFont="1" applyFill="1" applyBorder="1"/>
    <xf numFmtId="38" fontId="4" fillId="33" borderId="111" xfId="0" applyNumberFormat="1" applyFont="1" applyFill="1" applyBorder="1" applyAlignment="1">
      <alignment horizontal="center"/>
    </xf>
    <xf numFmtId="174" fontId="4" fillId="33" borderId="111" xfId="0" applyNumberFormat="1" applyFont="1" applyFill="1" applyBorder="1"/>
    <xf numFmtId="0" fontId="4" fillId="33" borderId="111" xfId="0" applyFont="1" applyFill="1" applyBorder="1"/>
    <xf numFmtId="38" fontId="4" fillId="33" borderId="100" xfId="0" applyNumberFormat="1" applyFont="1" applyFill="1" applyBorder="1"/>
    <xf numFmtId="3" fontId="0" fillId="26" borderId="0" xfId="0" applyNumberFormat="1" applyFill="1"/>
    <xf numFmtId="0" fontId="88" fillId="34" borderId="0" xfId="0" applyFont="1" applyFill="1"/>
    <xf numFmtId="0" fontId="9" fillId="25" borderId="0" xfId="0" quotePrefix="1" applyFont="1" applyFill="1" applyAlignment="1">
      <alignment horizontal="center"/>
    </xf>
    <xf numFmtId="0" fontId="4" fillId="25" borderId="115" xfId="0" applyFont="1" applyFill="1" applyBorder="1"/>
    <xf numFmtId="0" fontId="110" fillId="25" borderId="97" xfId="0" applyFont="1" applyFill="1" applyBorder="1" applyAlignment="1">
      <alignment horizontal="right"/>
    </xf>
    <xf numFmtId="14" fontId="110" fillId="25" borderId="97" xfId="0" applyNumberFormat="1" applyFont="1" applyFill="1" applyBorder="1" applyAlignment="1">
      <alignment horizontal="right"/>
    </xf>
    <xf numFmtId="0" fontId="110" fillId="25" borderId="97" xfId="0" applyFont="1" applyFill="1" applyBorder="1"/>
    <xf numFmtId="0" fontId="112" fillId="25" borderId="0" xfId="0" applyFont="1" applyFill="1"/>
    <xf numFmtId="0" fontId="112" fillId="25" borderId="97" xfId="0" applyFont="1" applyFill="1" applyBorder="1"/>
    <xf numFmtId="0" fontId="110" fillId="28" borderId="0" xfId="0" applyFont="1" applyFill="1"/>
    <xf numFmtId="0" fontId="110" fillId="28" borderId="97" xfId="0" applyFont="1" applyFill="1" applyBorder="1" applyAlignment="1">
      <alignment horizontal="right"/>
    </xf>
    <xf numFmtId="14" fontId="110" fillId="28" borderId="97" xfId="0" applyNumberFormat="1" applyFont="1" applyFill="1" applyBorder="1" applyAlignment="1">
      <alignment horizontal="right"/>
    </xf>
    <xf numFmtId="0" fontId="110" fillId="28" borderId="97" xfId="0" applyFont="1" applyFill="1" applyBorder="1"/>
    <xf numFmtId="0" fontId="112" fillId="28" borderId="0" xfId="0" applyFont="1" applyFill="1"/>
    <xf numFmtId="0" fontId="112" fillId="28" borderId="97" xfId="0" applyFont="1" applyFill="1" applyBorder="1"/>
    <xf numFmtId="0" fontId="110" fillId="28" borderId="97" xfId="0" applyFont="1" applyFill="1" applyBorder="1" applyAlignment="1">
      <alignment horizontal="center"/>
    </xf>
    <xf numFmtId="37" fontId="110" fillId="28" borderId="97" xfId="0" applyNumberFormat="1" applyFont="1" applyFill="1" applyBorder="1" applyProtection="1">
      <protection locked="0"/>
    </xf>
    <xf numFmtId="174" fontId="110" fillId="28" borderId="97" xfId="0" applyNumberFormat="1" applyFont="1" applyFill="1" applyBorder="1"/>
    <xf numFmtId="37" fontId="110" fillId="28" borderId="97" xfId="0" applyNumberFormat="1" applyFont="1" applyFill="1" applyBorder="1"/>
    <xf numFmtId="170" fontId="110" fillId="28" borderId="97" xfId="0" applyNumberFormat="1" applyFont="1" applyFill="1" applyBorder="1"/>
    <xf numFmtId="0" fontId="110" fillId="25" borderId="102" xfId="0" applyFont="1" applyFill="1" applyBorder="1"/>
    <xf numFmtId="0" fontId="134" fillId="35" borderId="0" xfId="0" applyFont="1" applyFill="1"/>
    <xf numFmtId="0" fontId="134" fillId="35" borderId="22" xfId="0" applyFont="1" applyFill="1" applyBorder="1" applyAlignment="1">
      <alignment horizontal="center"/>
    </xf>
    <xf numFmtId="174" fontId="134" fillId="35" borderId="20" xfId="0" applyNumberFormat="1" applyFont="1" applyFill="1" applyBorder="1"/>
    <xf numFmtId="38" fontId="134" fillId="35" borderId="23" xfId="0" applyNumberFormat="1" applyFont="1" applyFill="1" applyBorder="1"/>
    <xf numFmtId="14" fontId="4" fillId="27" borderId="0" xfId="0" applyNumberFormat="1" applyFont="1" applyFill="1" applyAlignment="1">
      <alignment horizontal="right"/>
    </xf>
    <xf numFmtId="0" fontId="161" fillId="2" borderId="0" xfId="0" applyFont="1"/>
    <xf numFmtId="38" fontId="0" fillId="26" borderId="9" xfId="0" applyNumberFormat="1" applyFill="1" applyBorder="1" applyProtection="1">
      <protection locked="0"/>
    </xf>
    <xf numFmtId="38" fontId="49" fillId="2" borderId="0" xfId="0" applyNumberFormat="1" applyFont="1" applyAlignment="1">
      <alignment horizontal="center"/>
    </xf>
    <xf numFmtId="38" fontId="49" fillId="4" borderId="0" xfId="0" applyNumberFormat="1" applyFont="1" applyFill="1"/>
    <xf numFmtId="38" fontId="49" fillId="2" borderId="0" xfId="0" applyNumberFormat="1" applyFont="1"/>
    <xf numFmtId="38" fontId="49" fillId="4" borderId="0" xfId="0" applyNumberFormat="1" applyFont="1" applyFill="1" applyAlignment="1">
      <alignment horizontal="center"/>
    </xf>
    <xf numFmtId="38" fontId="0" fillId="25" borderId="9" xfId="0" applyNumberFormat="1" applyFill="1" applyBorder="1"/>
    <xf numFmtId="38" fontId="0" fillId="2" borderId="117" xfId="0" applyNumberFormat="1" applyBorder="1" applyAlignment="1">
      <alignment horizontal="center"/>
    </xf>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0" fontId="124" fillId="25" borderId="45" xfId="0" applyFont="1" applyFill="1" applyBorder="1" applyAlignment="1">
      <alignment horizontal="center"/>
    </xf>
    <xf numFmtId="175" fontId="168" fillId="0" borderId="36" xfId="0" applyNumberFormat="1" applyFont="1" applyFill="1" applyBorder="1" applyProtection="1">
      <protection locked="0"/>
    </xf>
    <xf numFmtId="0" fontId="169" fillId="25" borderId="9" xfId="0" applyFont="1" applyFill="1" applyBorder="1"/>
    <xf numFmtId="0" fontId="170" fillId="25" borderId="45" xfId="0" applyFont="1" applyFill="1" applyBorder="1" applyAlignment="1">
      <alignment horizontal="center"/>
    </xf>
    <xf numFmtId="0" fontId="170" fillId="25" borderId="36" xfId="0" applyFont="1" applyFill="1" applyBorder="1" applyAlignment="1">
      <alignment horizontal="center"/>
    </xf>
    <xf numFmtId="38" fontId="168" fillId="6" borderId="36" xfId="0" applyNumberFormat="1" applyFont="1" applyFill="1" applyBorder="1" applyProtection="1">
      <protection locked="0"/>
    </xf>
    <xf numFmtId="38" fontId="168" fillId="6" borderId="46" xfId="0" applyNumberFormat="1" applyFont="1" applyFill="1" applyBorder="1" applyProtection="1">
      <protection locked="0"/>
    </xf>
    <xf numFmtId="174" fontId="168" fillId="6" borderId="36" xfId="0" applyNumberFormat="1" applyFont="1" applyFill="1" applyBorder="1" applyProtection="1">
      <protection locked="0"/>
    </xf>
    <xf numFmtId="38" fontId="168" fillId="0" borderId="36" xfId="0" applyNumberFormat="1" applyFont="1" applyFill="1" applyBorder="1" applyProtection="1">
      <protection locked="0"/>
    </xf>
    <xf numFmtId="175" fontId="168" fillId="6" borderId="9" xfId="0" applyNumberFormat="1" applyFont="1" applyFill="1" applyBorder="1"/>
    <xf numFmtId="38" fontId="168" fillId="0" borderId="36" xfId="0" applyNumberFormat="1" applyFont="1" applyFill="1" applyBorder="1" applyAlignment="1" applyProtection="1">
      <alignment horizontal="center"/>
      <protection locked="0"/>
    </xf>
    <xf numFmtId="0" fontId="171" fillId="2" borderId="0" xfId="0" applyFont="1"/>
    <xf numFmtId="37" fontId="168" fillId="2" borderId="9" xfId="0" applyNumberFormat="1" applyFont="1" applyBorder="1" applyAlignment="1" applyProtection="1">
      <alignment horizontal="center"/>
      <protection locked="0"/>
    </xf>
    <xf numFmtId="175" fontId="168" fillId="2" borderId="9" xfId="0" applyNumberFormat="1" applyFont="1" applyBorder="1" applyAlignment="1">
      <alignment horizontal="right"/>
    </xf>
    <xf numFmtId="0" fontId="171" fillId="2" borderId="0" xfId="0" applyFont="1" applyAlignment="1">
      <alignment horizontal="center"/>
    </xf>
    <xf numFmtId="0" fontId="171" fillId="6" borderId="2" xfId="0" applyFont="1" applyFill="1" applyBorder="1" applyAlignment="1">
      <alignment horizontal="center"/>
    </xf>
    <xf numFmtId="174" fontId="171" fillId="2" borderId="2" xfId="0" applyNumberFormat="1" applyFont="1" applyBorder="1"/>
    <xf numFmtId="175" fontId="171" fillId="0" borderId="2" xfId="0" applyNumberFormat="1" applyFont="1" applyFill="1" applyBorder="1"/>
    <xf numFmtId="0" fontId="171" fillId="2" borderId="2" xfId="0" applyFont="1" applyBorder="1"/>
    <xf numFmtId="38" fontId="171" fillId="4" borderId="46" xfId="0" applyNumberFormat="1" applyFont="1" applyFill="1" applyBorder="1"/>
    <xf numFmtId="37" fontId="171" fillId="2" borderId="2" xfId="0" applyNumberFormat="1" applyFont="1" applyBorder="1"/>
    <xf numFmtId="37" fontId="171" fillId="12" borderId="2" xfId="0" applyNumberFormat="1" applyFont="1" applyFill="1" applyBorder="1"/>
    <xf numFmtId="164" fontId="168" fillId="12" borderId="2" xfId="0" applyNumberFormat="1" applyFont="1" applyFill="1" applyBorder="1"/>
    <xf numFmtId="167" fontId="171" fillId="2" borderId="2" xfId="0" applyNumberFormat="1" applyFont="1" applyBorder="1"/>
    <xf numFmtId="167" fontId="171" fillId="8" borderId="2" xfId="0" applyNumberFormat="1" applyFont="1" applyFill="1" applyBorder="1"/>
    <xf numFmtId="38" fontId="171" fillId="4" borderId="2" xfId="0" applyNumberFormat="1" applyFont="1" applyFill="1" applyBorder="1" applyProtection="1">
      <protection locked="0"/>
    </xf>
    <xf numFmtId="174" fontId="171" fillId="4" borderId="2" xfId="0" applyNumberFormat="1" applyFont="1" applyFill="1" applyBorder="1"/>
    <xf numFmtId="38" fontId="171" fillId="2" borderId="2" xfId="0" applyNumberFormat="1" applyFont="1" applyBorder="1"/>
    <xf numFmtId="174" fontId="171" fillId="12" borderId="2" xfId="0" applyNumberFormat="1" applyFont="1" applyFill="1" applyBorder="1"/>
    <xf numFmtId="38" fontId="171" fillId="12" borderId="9" xfId="0" applyNumberFormat="1" applyFont="1" applyFill="1" applyBorder="1"/>
    <xf numFmtId="38" fontId="171" fillId="2" borderId="0" xfId="0" applyNumberFormat="1" applyFont="1"/>
    <xf numFmtId="0" fontId="171" fillId="2" borderId="0" xfId="0" applyFont="1" applyAlignment="1">
      <alignment horizontal="right"/>
    </xf>
    <xf numFmtId="170" fontId="171" fillId="2" borderId="0" xfId="0" applyNumberFormat="1" applyFont="1" applyAlignment="1">
      <alignment horizontal="right"/>
    </xf>
    <xf numFmtId="39" fontId="171" fillId="2" borderId="0" xfId="0" applyNumberFormat="1" applyFont="1" applyAlignment="1">
      <alignment horizontal="right"/>
    </xf>
    <xf numFmtId="0" fontId="171" fillId="9" borderId="22" xfId="0" applyFont="1" applyFill="1" applyBorder="1" applyAlignment="1">
      <alignment horizontal="center"/>
    </xf>
    <xf numFmtId="38" fontId="171" fillId="9" borderId="20" xfId="0" applyNumberFormat="1" applyFont="1" applyFill="1" applyBorder="1" applyAlignment="1">
      <alignment horizontal="center"/>
    </xf>
    <xf numFmtId="0" fontId="171" fillId="9" borderId="20" xfId="0" applyFont="1" applyFill="1" applyBorder="1"/>
    <xf numFmtId="38" fontId="171" fillId="9" borderId="23" xfId="0" applyNumberFormat="1" applyFont="1" applyFill="1" applyBorder="1" applyAlignment="1">
      <alignment horizontal="center"/>
    </xf>
    <xf numFmtId="0" fontId="171" fillId="2" borderId="0" xfId="0" quotePrefix="1" applyFont="1" applyAlignment="1">
      <alignment horizontal="center"/>
    </xf>
    <xf numFmtId="185" fontId="171" fillId="2" borderId="9" xfId="0" applyNumberFormat="1" applyFont="1" applyBorder="1"/>
    <xf numFmtId="38" fontId="171" fillId="2" borderId="9" xfId="0" applyNumberFormat="1" applyFont="1" applyBorder="1"/>
    <xf numFmtId="38" fontId="171" fillId="4" borderId="9" xfId="0" applyNumberFormat="1" applyFont="1" applyFill="1" applyBorder="1"/>
    <xf numFmtId="38" fontId="171" fillId="17" borderId="9" xfId="0" applyNumberFormat="1" applyFont="1" applyFill="1" applyBorder="1"/>
    <xf numFmtId="174" fontId="171" fillId="4" borderId="9" xfId="0" applyNumberFormat="1" applyFont="1" applyFill="1" applyBorder="1"/>
    <xf numFmtId="0" fontId="171" fillId="18" borderId="9" xfId="0" applyFont="1" applyFill="1" applyBorder="1" applyAlignment="1">
      <alignment horizontal="center"/>
    </xf>
    <xf numFmtId="38" fontId="171" fillId="4" borderId="0" xfId="0" applyNumberFormat="1" applyFont="1" applyFill="1" applyAlignment="1">
      <alignment horizontal="center"/>
    </xf>
    <xf numFmtId="0" fontId="171" fillId="4" borderId="0" xfId="0" applyFont="1" applyFill="1"/>
    <xf numFmtId="0" fontId="4" fillId="28" borderId="45" xfId="0" applyFont="1" applyFill="1" applyBorder="1" applyAlignment="1">
      <alignment horizontal="center"/>
    </xf>
    <xf numFmtId="0" fontId="0" fillId="28" borderId="22" xfId="0" applyFill="1" applyBorder="1"/>
    <xf numFmtId="38" fontId="4" fillId="28" borderId="36" xfId="0" applyNumberFormat="1" applyFont="1" applyFill="1" applyBorder="1" applyAlignment="1">
      <alignment horizontal="center"/>
    </xf>
    <xf numFmtId="0" fontId="4" fillId="28" borderId="23" xfId="0" applyFont="1" applyFill="1" applyBorder="1" applyAlignment="1">
      <alignment horizontal="right"/>
    </xf>
    <xf numFmtId="0" fontId="4" fillId="32" borderId="45" xfId="0" applyFont="1" applyFill="1" applyBorder="1" applyAlignment="1">
      <alignment horizontal="center"/>
    </xf>
    <xf numFmtId="0" fontId="0" fillId="32" borderId="22" xfId="0" applyFill="1" applyBorder="1"/>
    <xf numFmtId="38" fontId="4" fillId="32" borderId="36" xfId="0" applyNumberFormat="1" applyFont="1" applyFill="1" applyBorder="1" applyAlignment="1">
      <alignment horizontal="center"/>
    </xf>
    <xf numFmtId="0" fontId="4" fillId="32" borderId="23" xfId="0" applyFont="1" applyFill="1" applyBorder="1" applyAlignment="1">
      <alignment horizontal="right"/>
    </xf>
    <xf numFmtId="38" fontId="0" fillId="32" borderId="36" xfId="0" applyNumberFormat="1" applyFill="1" applyBorder="1"/>
    <xf numFmtId="38" fontId="0" fillId="32" borderId="9" xfId="0" applyNumberFormat="1" applyFill="1" applyBorder="1"/>
    <xf numFmtId="38" fontId="0" fillId="28" borderId="36" xfId="0" applyNumberFormat="1" applyFill="1" applyBorder="1"/>
    <xf numFmtId="38" fontId="0" fillId="28" borderId="9" xfId="0" applyNumberFormat="1" applyFill="1" applyBorder="1"/>
    <xf numFmtId="0" fontId="110" fillId="36" borderId="0" xfId="0" applyFont="1" applyFill="1"/>
    <xf numFmtId="0" fontId="112" fillId="36" borderId="0" xfId="0" applyFont="1" applyFill="1"/>
    <xf numFmtId="0" fontId="88" fillId="37" borderId="0" xfId="0" applyFont="1" applyFill="1"/>
    <xf numFmtId="3" fontId="4" fillId="25" borderId="119" xfId="0" applyNumberFormat="1" applyFont="1" applyFill="1" applyBorder="1"/>
    <xf numFmtId="0" fontId="4" fillId="38" borderId="0" xfId="0" applyFont="1" applyFill="1"/>
    <xf numFmtId="0" fontId="4" fillId="38" borderId="97" xfId="0" applyFont="1" applyFill="1" applyBorder="1"/>
    <xf numFmtId="0" fontId="4" fillId="38" borderId="0" xfId="0" applyFont="1" applyFill="1" applyAlignment="1">
      <alignment horizontal="center"/>
    </xf>
    <xf numFmtId="0" fontId="4" fillId="38" borderId="97" xfId="0" applyFont="1" applyFill="1" applyBorder="1" applyAlignment="1">
      <alignment horizontal="center"/>
    </xf>
    <xf numFmtId="38" fontId="4" fillId="38" borderId="0" xfId="0" applyNumberFormat="1" applyFont="1" applyFill="1" applyAlignment="1">
      <alignment horizontal="center"/>
    </xf>
    <xf numFmtId="38" fontId="4" fillId="38" borderId="97" xfId="0" applyNumberFormat="1" applyFont="1" applyFill="1" applyBorder="1" applyAlignment="1">
      <alignment horizontal="center"/>
    </xf>
    <xf numFmtId="3" fontId="4" fillId="38" borderId="110" xfId="0" applyNumberFormat="1" applyFont="1" applyFill="1" applyBorder="1"/>
    <xf numFmtId="3" fontId="4" fillId="38" borderId="0" xfId="0" applyNumberFormat="1" applyFont="1" applyFill="1"/>
    <xf numFmtId="3" fontId="4" fillId="38" borderId="108" xfId="0" applyNumberFormat="1" applyFont="1" applyFill="1" applyBorder="1"/>
    <xf numFmtId="174" fontId="4" fillId="38" borderId="110" xfId="0" applyNumberFormat="1" applyFont="1" applyFill="1" applyBorder="1"/>
    <xf numFmtId="174" fontId="4" fillId="38" borderId="0" xfId="0" applyNumberFormat="1" applyFont="1" applyFill="1"/>
    <xf numFmtId="174" fontId="4" fillId="38" borderId="108" xfId="0" applyNumberFormat="1" applyFont="1" applyFill="1" applyBorder="1"/>
    <xf numFmtId="38" fontId="4" fillId="38" borderId="110" xfId="0" applyNumberFormat="1" applyFont="1" applyFill="1" applyBorder="1"/>
    <xf numFmtId="38" fontId="4" fillId="38" borderId="0" xfId="0" applyNumberFormat="1" applyFont="1" applyFill="1"/>
    <xf numFmtId="38" fontId="4" fillId="38" borderId="108" xfId="0" applyNumberFormat="1" applyFont="1" applyFill="1" applyBorder="1"/>
    <xf numFmtId="0" fontId="4" fillId="38" borderId="108" xfId="0" applyFont="1" applyFill="1" applyBorder="1"/>
    <xf numFmtId="38" fontId="4" fillId="38" borderId="108" xfId="0" applyNumberFormat="1" applyFont="1" applyFill="1" applyBorder="1" applyAlignment="1">
      <alignment horizontal="center"/>
    </xf>
    <xf numFmtId="177" fontId="4" fillId="38" borderId="110" xfId="0" applyNumberFormat="1" applyFont="1" applyFill="1" applyBorder="1"/>
    <xf numFmtId="177" fontId="4" fillId="38" borderId="0" xfId="0" applyNumberFormat="1" applyFont="1" applyFill="1"/>
    <xf numFmtId="177" fontId="4" fillId="38" borderId="108" xfId="0" applyNumberFormat="1" applyFont="1" applyFill="1" applyBorder="1"/>
    <xf numFmtId="3" fontId="4" fillId="38" borderId="113" xfId="0" applyNumberFormat="1" applyFont="1" applyFill="1" applyBorder="1"/>
    <xf numFmtId="38" fontId="4" fillId="38" borderId="113" xfId="0" applyNumberFormat="1" applyFont="1" applyFill="1" applyBorder="1"/>
    <xf numFmtId="38" fontId="4" fillId="38" borderId="110" xfId="0" applyNumberFormat="1" applyFont="1" applyFill="1" applyBorder="1" applyAlignment="1">
      <alignment horizontal="center"/>
    </xf>
    <xf numFmtId="0" fontId="0" fillId="36" borderId="0" xfId="0" applyFill="1"/>
    <xf numFmtId="0" fontId="172" fillId="2" borderId="0" xfId="3" applyFont="1" applyFill="1" applyAlignment="1" applyProtection="1"/>
    <xf numFmtId="0" fontId="172" fillId="2" borderId="9" xfId="3" applyFont="1" applyFill="1" applyBorder="1" applyAlignment="1" applyProtection="1"/>
    <xf numFmtId="0" fontId="94" fillId="7" borderId="125" xfId="0" applyFont="1" applyFill="1" applyBorder="1" applyAlignment="1">
      <alignment horizontal="center"/>
    </xf>
    <xf numFmtId="0" fontId="97" fillId="19" borderId="125" xfId="0" applyFont="1" applyFill="1" applyBorder="1" applyAlignment="1">
      <alignment horizontal="center"/>
    </xf>
    <xf numFmtId="0" fontId="88" fillId="25" borderId="125" xfId="0" applyFont="1" applyFill="1" applyBorder="1" applyAlignment="1">
      <alignment horizontal="center"/>
    </xf>
    <xf numFmtId="0" fontId="88" fillId="5" borderId="125" xfId="0" applyFont="1" applyFill="1" applyBorder="1" applyAlignment="1">
      <alignment horizontal="center"/>
    </xf>
    <xf numFmtId="0" fontId="88" fillId="34" borderId="125" xfId="0" applyFont="1" applyFill="1" applyBorder="1" applyAlignment="1">
      <alignment horizontal="center"/>
    </xf>
    <xf numFmtId="0" fontId="88" fillId="37" borderId="125" xfId="0" applyFont="1" applyFill="1" applyBorder="1" applyAlignment="1">
      <alignment horizontal="center"/>
    </xf>
    <xf numFmtId="0" fontId="0" fillId="27" borderId="0" xfId="0" applyFill="1"/>
    <xf numFmtId="0" fontId="4" fillId="26" borderId="126" xfId="0" applyFont="1" applyFill="1" applyBorder="1"/>
    <xf numFmtId="0" fontId="0" fillId="26" borderId="120" xfId="0" applyFill="1" applyBorder="1"/>
    <xf numFmtId="0" fontId="0" fillId="26" borderId="122" xfId="0" applyFill="1" applyBorder="1"/>
    <xf numFmtId="37" fontId="83" fillId="33" borderId="2" xfId="0" applyNumberFormat="1" applyFont="1" applyFill="1" applyBorder="1"/>
    <xf numFmtId="174" fontId="83" fillId="33" borderId="2" xfId="0" applyNumberFormat="1" applyFont="1" applyFill="1" applyBorder="1"/>
    <xf numFmtId="0" fontId="83" fillId="33" borderId="2" xfId="0" applyFont="1" applyFill="1" applyBorder="1"/>
    <xf numFmtId="180" fontId="83" fillId="33" borderId="2" xfId="0" applyNumberFormat="1" applyFont="1" applyFill="1" applyBorder="1"/>
    <xf numFmtId="38" fontId="83" fillId="33" borderId="2" xfId="0" applyNumberFormat="1" applyFont="1" applyFill="1" applyBorder="1"/>
    <xf numFmtId="16" fontId="83" fillId="33" borderId="6" xfId="0" quotePrefix="1" applyNumberFormat="1" applyFont="1" applyFill="1" applyBorder="1" applyAlignment="1">
      <alignment horizontal="center"/>
    </xf>
    <xf numFmtId="38" fontId="83" fillId="33" borderId="0" xfId="0" applyNumberFormat="1" applyFont="1" applyFill="1"/>
    <xf numFmtId="180" fontId="83" fillId="33" borderId="0" xfId="0" applyNumberFormat="1" applyFont="1" applyFill="1"/>
    <xf numFmtId="0" fontId="83" fillId="33" borderId="0" xfId="0" applyFont="1" applyFill="1"/>
    <xf numFmtId="0" fontId="0" fillId="33" borderId="0" xfId="0" applyFill="1"/>
    <xf numFmtId="0" fontId="89" fillId="33" borderId="0" xfId="0" applyFont="1" applyFill="1"/>
    <xf numFmtId="3" fontId="4" fillId="26" borderId="121" xfId="0" applyNumberFormat="1" applyFont="1" applyFill="1" applyBorder="1" applyAlignment="1">
      <alignment horizontal="center"/>
    </xf>
    <xf numFmtId="0" fontId="4" fillId="26" borderId="0" xfId="0" applyFont="1" applyFill="1"/>
    <xf numFmtId="0" fontId="4" fillId="26" borderId="97" xfId="0" applyFont="1" applyFill="1" applyBorder="1"/>
    <xf numFmtId="38" fontId="4" fillId="26" borderId="120" xfId="0" applyNumberFormat="1" applyFont="1" applyFill="1" applyBorder="1"/>
    <xf numFmtId="38" fontId="4" fillId="26" borderId="122" xfId="0" applyNumberFormat="1" applyFont="1" applyFill="1" applyBorder="1"/>
    <xf numFmtId="0" fontId="94" fillId="39" borderId="0" xfId="0" applyFont="1" applyFill="1"/>
    <xf numFmtId="0" fontId="94" fillId="39" borderId="97" xfId="0" applyFont="1" applyFill="1" applyBorder="1"/>
    <xf numFmtId="0" fontId="94" fillId="39" borderId="0" xfId="0" applyFont="1" applyFill="1" applyAlignment="1">
      <alignment horizontal="center"/>
    </xf>
    <xf numFmtId="0" fontId="94" fillId="39" borderId="97" xfId="0" applyFont="1" applyFill="1" applyBorder="1" applyAlignment="1">
      <alignment horizontal="center"/>
    </xf>
    <xf numFmtId="38" fontId="94" fillId="39" borderId="0" xfId="0" quotePrefix="1" applyNumberFormat="1" applyFont="1" applyFill="1" applyAlignment="1">
      <alignment horizontal="center"/>
    </xf>
    <xf numFmtId="0" fontId="94" fillId="39" borderId="0" xfId="0" quotePrefix="1" applyFont="1" applyFill="1" applyAlignment="1">
      <alignment horizontal="center"/>
    </xf>
    <xf numFmtId="38" fontId="94" fillId="39" borderId="97" xfId="0" quotePrefix="1" applyNumberFormat="1" applyFont="1" applyFill="1" applyBorder="1" applyAlignment="1">
      <alignment horizontal="center"/>
    </xf>
    <xf numFmtId="0" fontId="94" fillId="39" borderId="97" xfId="0" quotePrefix="1" applyFont="1" applyFill="1" applyBorder="1" applyAlignment="1">
      <alignment horizontal="center"/>
    </xf>
    <xf numFmtId="37" fontId="94" fillId="39" borderId="2" xfId="0" applyNumberFormat="1" applyFont="1" applyFill="1" applyBorder="1"/>
    <xf numFmtId="37" fontId="94" fillId="39" borderId="0" xfId="0" applyNumberFormat="1" applyFont="1" applyFill="1"/>
    <xf numFmtId="37" fontId="94" fillId="39" borderId="114" xfId="0" applyNumberFormat="1" applyFont="1" applyFill="1" applyBorder="1"/>
    <xf numFmtId="174" fontId="94" fillId="39" borderId="2" xfId="0" applyNumberFormat="1" applyFont="1" applyFill="1" applyBorder="1"/>
    <xf numFmtId="174" fontId="94" fillId="39" borderId="0" xfId="0" applyNumberFormat="1" applyFont="1" applyFill="1"/>
    <xf numFmtId="174" fontId="94" fillId="39" borderId="114" xfId="0" applyNumberFormat="1" applyFont="1" applyFill="1" applyBorder="1"/>
    <xf numFmtId="37" fontId="94" fillId="39" borderId="0" xfId="0" applyNumberFormat="1" applyFont="1" applyFill="1" applyAlignment="1">
      <alignment horizontal="center"/>
    </xf>
    <xf numFmtId="37" fontId="94" fillId="39" borderId="2" xfId="0" applyNumberFormat="1" applyFont="1" applyFill="1" applyBorder="1" applyAlignment="1">
      <alignment horizontal="center"/>
    </xf>
    <xf numFmtId="37" fontId="94" fillId="39" borderId="114" xfId="0" applyNumberFormat="1" applyFont="1" applyFill="1" applyBorder="1" applyAlignment="1">
      <alignment horizontal="center"/>
    </xf>
    <xf numFmtId="167" fontId="94" fillId="39" borderId="2" xfId="0" applyNumberFormat="1" applyFont="1" applyFill="1" applyBorder="1"/>
    <xf numFmtId="167" fontId="94" fillId="39" borderId="0" xfId="0" applyNumberFormat="1" applyFont="1" applyFill="1"/>
    <xf numFmtId="167" fontId="94" fillId="39" borderId="114" xfId="0" applyNumberFormat="1" applyFont="1" applyFill="1" applyBorder="1"/>
    <xf numFmtId="38" fontId="94" fillId="39" borderId="2" xfId="0" applyNumberFormat="1" applyFont="1" applyFill="1" applyBorder="1"/>
    <xf numFmtId="38" fontId="94" fillId="39" borderId="0" xfId="0" applyNumberFormat="1" applyFont="1" applyFill="1"/>
    <xf numFmtId="38" fontId="94" fillId="39" borderId="114" xfId="0" applyNumberFormat="1" applyFont="1" applyFill="1" applyBorder="1"/>
    <xf numFmtId="40" fontId="94" fillId="39" borderId="2" xfId="0" applyNumberFormat="1" applyFont="1" applyFill="1" applyBorder="1"/>
    <xf numFmtId="40" fontId="94" fillId="39" borderId="0" xfId="0" applyNumberFormat="1" applyFont="1" applyFill="1"/>
    <xf numFmtId="40" fontId="94" fillId="39" borderId="114" xfId="0" applyNumberFormat="1" applyFont="1" applyFill="1" applyBorder="1"/>
    <xf numFmtId="174" fontId="30" fillId="39" borderId="2" xfId="0" applyNumberFormat="1" applyFont="1" applyFill="1" applyBorder="1"/>
    <xf numFmtId="174" fontId="30" fillId="39" borderId="114" xfId="0" applyNumberFormat="1" applyFont="1" applyFill="1" applyBorder="1"/>
    <xf numFmtId="38" fontId="94" fillId="39" borderId="9" xfId="0" applyNumberFormat="1" applyFont="1" applyFill="1" applyBorder="1"/>
    <xf numFmtId="38" fontId="94" fillId="39" borderId="99" xfId="0" applyNumberFormat="1" applyFont="1" applyFill="1" applyBorder="1"/>
    <xf numFmtId="38" fontId="94" fillId="39" borderId="97" xfId="0" applyNumberFormat="1" applyFont="1" applyFill="1" applyBorder="1"/>
    <xf numFmtId="38" fontId="94" fillId="39" borderId="8" xfId="0" applyNumberFormat="1" applyFont="1" applyFill="1" applyBorder="1"/>
    <xf numFmtId="38" fontId="94" fillId="39" borderId="100" xfId="0" applyNumberFormat="1" applyFont="1" applyFill="1" applyBorder="1"/>
    <xf numFmtId="38" fontId="94" fillId="39" borderId="9" xfId="0" applyNumberFormat="1" applyFont="1" applyFill="1" applyBorder="1" applyAlignment="1" applyProtection="1">
      <alignment horizontal="center"/>
      <protection locked="0"/>
    </xf>
    <xf numFmtId="38" fontId="94" fillId="39" borderId="9" xfId="0" applyNumberFormat="1" applyFont="1" applyFill="1" applyBorder="1" applyAlignment="1">
      <alignment horizontal="center"/>
    </xf>
    <xf numFmtId="0" fontId="94" fillId="39" borderId="0" xfId="0" quotePrefix="1" applyFont="1" applyFill="1"/>
    <xf numFmtId="0" fontId="83" fillId="39" borderId="0" xfId="0" applyFont="1" applyFill="1"/>
    <xf numFmtId="0" fontId="83" fillId="39" borderId="97" xfId="0" applyFont="1" applyFill="1" applyBorder="1"/>
    <xf numFmtId="37" fontId="83" fillId="39" borderId="2" xfId="0" applyNumberFormat="1" applyFont="1" applyFill="1" applyBorder="1"/>
    <xf numFmtId="37" fontId="83" fillId="39" borderId="114" xfId="0" applyNumberFormat="1" applyFont="1" applyFill="1" applyBorder="1"/>
    <xf numFmtId="167" fontId="83" fillId="39" borderId="2" xfId="0" applyNumberFormat="1" applyFont="1" applyFill="1" applyBorder="1"/>
    <xf numFmtId="167" fontId="83" fillId="39" borderId="114" xfId="0" applyNumberFormat="1" applyFont="1" applyFill="1" applyBorder="1"/>
    <xf numFmtId="38" fontId="83" fillId="39" borderId="2" xfId="0" applyNumberFormat="1" applyFont="1" applyFill="1" applyBorder="1"/>
    <xf numFmtId="38" fontId="83" fillId="39" borderId="114" xfId="0" applyNumberFormat="1" applyFont="1" applyFill="1" applyBorder="1"/>
    <xf numFmtId="0" fontId="83" fillId="39" borderId="0" xfId="0" applyFont="1" applyFill="1" applyAlignment="1">
      <alignment horizontal="center"/>
    </xf>
    <xf numFmtId="38" fontId="83" fillId="39" borderId="0" xfId="0" applyNumberFormat="1" applyFont="1" applyFill="1"/>
    <xf numFmtId="174" fontId="83" fillId="39" borderId="2" xfId="0" applyNumberFormat="1" applyFont="1" applyFill="1" applyBorder="1"/>
    <xf numFmtId="174" fontId="83" fillId="39" borderId="114" xfId="0" applyNumberFormat="1" applyFont="1" applyFill="1" applyBorder="1"/>
    <xf numFmtId="40" fontId="83" fillId="39" borderId="2" xfId="0" applyNumberFormat="1" applyFont="1" applyFill="1" applyBorder="1"/>
    <xf numFmtId="40" fontId="83" fillId="39" borderId="114" xfId="0" applyNumberFormat="1" applyFont="1" applyFill="1" applyBorder="1"/>
    <xf numFmtId="38" fontId="83" fillId="39" borderId="9" xfId="0" applyNumberFormat="1" applyFont="1" applyFill="1" applyBorder="1"/>
    <xf numFmtId="38" fontId="83" fillId="39" borderId="99" xfId="0" applyNumberFormat="1" applyFont="1" applyFill="1" applyBorder="1"/>
    <xf numFmtId="38" fontId="83" fillId="39" borderId="97" xfId="0" applyNumberFormat="1" applyFont="1" applyFill="1" applyBorder="1"/>
    <xf numFmtId="38" fontId="83" fillId="39" borderId="8" xfId="0" applyNumberFormat="1" applyFont="1" applyFill="1" applyBorder="1"/>
    <xf numFmtId="38" fontId="83" fillId="39" borderId="100" xfId="0" applyNumberFormat="1" applyFont="1" applyFill="1" applyBorder="1"/>
    <xf numFmtId="0" fontId="88" fillId="40" borderId="0" xfId="0" applyFont="1" applyFill="1"/>
    <xf numFmtId="0" fontId="88" fillId="40" borderId="97" xfId="0" applyFont="1" applyFill="1" applyBorder="1"/>
    <xf numFmtId="0" fontId="88" fillId="40" borderId="0" xfId="0" applyFont="1" applyFill="1" applyAlignment="1">
      <alignment horizontal="center"/>
    </xf>
    <xf numFmtId="0" fontId="88" fillId="40" borderId="97" xfId="0" applyFont="1" applyFill="1" applyBorder="1" applyAlignment="1">
      <alignment horizontal="center"/>
    </xf>
    <xf numFmtId="38" fontId="88" fillId="40" borderId="0" xfId="0" quotePrefix="1" applyNumberFormat="1" applyFont="1" applyFill="1" applyAlignment="1">
      <alignment horizontal="center"/>
    </xf>
    <xf numFmtId="0" fontId="88" fillId="40" borderId="0" xfId="0" quotePrefix="1" applyFont="1" applyFill="1" applyAlignment="1">
      <alignment horizontal="center"/>
    </xf>
    <xf numFmtId="38" fontId="88" fillId="40" borderId="97" xfId="0" quotePrefix="1" applyNumberFormat="1" applyFont="1" applyFill="1" applyBorder="1" applyAlignment="1">
      <alignment horizontal="center"/>
    </xf>
    <xf numFmtId="0" fontId="88" fillId="40" borderId="97" xfId="0" quotePrefix="1" applyFont="1" applyFill="1" applyBorder="1" applyAlignment="1">
      <alignment horizontal="center"/>
    </xf>
    <xf numFmtId="37" fontId="88" fillId="40" borderId="2" xfId="0" applyNumberFormat="1" applyFont="1" applyFill="1" applyBorder="1"/>
    <xf numFmtId="37" fontId="88" fillId="40" borderId="0" xfId="0" applyNumberFormat="1" applyFont="1" applyFill="1"/>
    <xf numFmtId="37" fontId="88" fillId="40" borderId="114" xfId="0" applyNumberFormat="1" applyFont="1" applyFill="1" applyBorder="1"/>
    <xf numFmtId="174" fontId="88" fillId="40" borderId="2" xfId="0" applyNumberFormat="1" applyFont="1" applyFill="1" applyBorder="1"/>
    <xf numFmtId="174" fontId="88" fillId="40" borderId="0" xfId="0" applyNumberFormat="1" applyFont="1" applyFill="1"/>
    <xf numFmtId="174" fontId="88" fillId="40" borderId="114" xfId="0" applyNumberFormat="1" applyFont="1" applyFill="1" applyBorder="1"/>
    <xf numFmtId="37" fontId="88" fillId="40" borderId="0" xfId="0" applyNumberFormat="1" applyFont="1" applyFill="1" applyAlignment="1">
      <alignment horizontal="center"/>
    </xf>
    <xf numFmtId="37" fontId="88" fillId="40" borderId="2" xfId="0" applyNumberFormat="1" applyFont="1" applyFill="1" applyBorder="1" applyAlignment="1">
      <alignment horizontal="center"/>
    </xf>
    <xf numFmtId="37" fontId="88" fillId="40" borderId="114" xfId="0" applyNumberFormat="1" applyFont="1" applyFill="1" applyBorder="1" applyAlignment="1">
      <alignment horizontal="center"/>
    </xf>
    <xf numFmtId="167" fontId="88" fillId="40" borderId="2" xfId="0" applyNumberFormat="1" applyFont="1" applyFill="1" applyBorder="1"/>
    <xf numFmtId="167" fontId="88" fillId="40" borderId="0" xfId="0" applyNumberFormat="1" applyFont="1" applyFill="1"/>
    <xf numFmtId="167" fontId="88" fillId="40" borderId="114" xfId="0" applyNumberFormat="1" applyFont="1" applyFill="1" applyBorder="1"/>
    <xf numFmtId="38" fontId="88" fillId="40" borderId="2" xfId="0" applyNumberFormat="1" applyFont="1" applyFill="1" applyBorder="1"/>
    <xf numFmtId="38" fontId="88" fillId="40" borderId="0" xfId="0" applyNumberFormat="1" applyFont="1" applyFill="1"/>
    <xf numFmtId="38" fontId="88" fillId="40" borderId="114" xfId="0" applyNumberFormat="1" applyFont="1" applyFill="1" applyBorder="1"/>
    <xf numFmtId="40" fontId="88" fillId="40" borderId="2" xfId="0" applyNumberFormat="1" applyFont="1" applyFill="1" applyBorder="1"/>
    <xf numFmtId="40" fontId="88" fillId="40" borderId="0" xfId="0" applyNumberFormat="1" applyFont="1" applyFill="1"/>
    <xf numFmtId="40" fontId="88" fillId="40" borderId="114" xfId="0" applyNumberFormat="1" applyFont="1" applyFill="1" applyBorder="1"/>
    <xf numFmtId="174" fontId="30" fillId="40" borderId="2" xfId="0" applyNumberFormat="1" applyFont="1" applyFill="1" applyBorder="1"/>
    <xf numFmtId="174" fontId="30" fillId="40" borderId="114" xfId="0" applyNumberFormat="1" applyFont="1" applyFill="1" applyBorder="1"/>
    <xf numFmtId="38" fontId="88" fillId="40" borderId="9" xfId="0" applyNumberFormat="1" applyFont="1" applyFill="1" applyBorder="1"/>
    <xf numFmtId="38" fontId="88" fillId="40" borderId="99" xfId="0" applyNumberFormat="1" applyFont="1" applyFill="1" applyBorder="1"/>
    <xf numFmtId="38" fontId="88" fillId="40" borderId="97" xfId="0" applyNumberFormat="1" applyFont="1" applyFill="1" applyBorder="1"/>
    <xf numFmtId="38" fontId="88" fillId="40" borderId="8" xfId="0" applyNumberFormat="1" applyFont="1" applyFill="1" applyBorder="1"/>
    <xf numFmtId="38" fontId="88" fillId="40" borderId="100" xfId="0" applyNumberFormat="1" applyFont="1" applyFill="1" applyBorder="1"/>
    <xf numFmtId="38" fontId="88" fillId="40" borderId="9" xfId="0" applyNumberFormat="1" applyFont="1" applyFill="1" applyBorder="1" applyAlignment="1" applyProtection="1">
      <alignment horizontal="center"/>
      <protection locked="0"/>
    </xf>
    <xf numFmtId="38" fontId="88" fillId="40" borderId="9" xfId="0" applyNumberFormat="1" applyFont="1" applyFill="1" applyBorder="1" applyAlignment="1">
      <alignment horizontal="center"/>
    </xf>
    <xf numFmtId="0" fontId="88" fillId="40" borderId="0" xfId="0" quotePrefix="1" applyFont="1" applyFill="1"/>
    <xf numFmtId="0" fontId="4" fillId="36" borderId="0" xfId="0" applyFont="1" applyFill="1"/>
    <xf numFmtId="0" fontId="4" fillId="36" borderId="97" xfId="0" applyFont="1" applyFill="1" applyBorder="1"/>
    <xf numFmtId="0" fontId="4" fillId="36" borderId="0" xfId="0" applyFont="1" applyFill="1" applyAlignment="1">
      <alignment horizontal="center"/>
    </xf>
    <xf numFmtId="0" fontId="4" fillId="36" borderId="97" xfId="0" applyFont="1" applyFill="1" applyBorder="1" applyAlignment="1">
      <alignment horizontal="center"/>
    </xf>
    <xf numFmtId="38" fontId="4" fillId="36" borderId="0" xfId="0" applyNumberFormat="1" applyFont="1" applyFill="1" applyAlignment="1">
      <alignment horizontal="center"/>
    </xf>
    <xf numFmtId="38" fontId="4" fillId="36" borderId="97" xfId="0" applyNumberFormat="1" applyFont="1" applyFill="1" applyBorder="1" applyAlignment="1">
      <alignment horizontal="center"/>
    </xf>
    <xf numFmtId="38" fontId="4" fillId="36" borderId="108" xfId="0" applyNumberFormat="1" applyFont="1" applyFill="1" applyBorder="1"/>
    <xf numFmtId="38" fontId="4" fillId="36" borderId="0" xfId="0" applyNumberFormat="1" applyFont="1" applyFill="1"/>
    <xf numFmtId="38" fontId="4" fillId="36" borderId="111" xfId="0" applyNumberFormat="1" applyFont="1" applyFill="1" applyBorder="1"/>
    <xf numFmtId="177" fontId="4" fillId="36" borderId="108" xfId="0" applyNumberFormat="1" applyFont="1" applyFill="1" applyBorder="1"/>
    <xf numFmtId="177" fontId="4" fillId="36" borderId="0" xfId="0" applyNumberFormat="1" applyFont="1" applyFill="1"/>
    <xf numFmtId="177" fontId="4" fillId="36" borderId="111" xfId="0" applyNumberFormat="1" applyFont="1" applyFill="1" applyBorder="1"/>
    <xf numFmtId="3" fontId="4" fillId="36" borderId="108" xfId="0" applyNumberFormat="1" applyFont="1" applyFill="1" applyBorder="1"/>
    <xf numFmtId="3" fontId="4" fillId="36" borderId="0" xfId="0" applyNumberFormat="1" applyFont="1" applyFill="1"/>
    <xf numFmtId="3" fontId="4" fillId="36" borderId="111" xfId="0" applyNumberFormat="1" applyFont="1" applyFill="1" applyBorder="1"/>
    <xf numFmtId="38" fontId="4" fillId="36" borderId="97" xfId="0" applyNumberFormat="1" applyFont="1" applyFill="1" applyBorder="1"/>
    <xf numFmtId="38" fontId="4" fillId="36" borderId="108" xfId="0" applyNumberFormat="1" applyFont="1" applyFill="1" applyBorder="1" applyAlignment="1">
      <alignment horizontal="center"/>
    </xf>
    <xf numFmtId="38" fontId="4" fillId="36" borderId="111" xfId="0" applyNumberFormat="1" applyFont="1" applyFill="1" applyBorder="1" applyAlignment="1">
      <alignment horizontal="center"/>
    </xf>
    <xf numFmtId="174" fontId="4" fillId="36" borderId="108" xfId="0" applyNumberFormat="1" applyFont="1" applyFill="1" applyBorder="1"/>
    <xf numFmtId="174" fontId="4" fillId="36" borderId="0" xfId="0" applyNumberFormat="1" applyFont="1" applyFill="1"/>
    <xf numFmtId="174" fontId="4" fillId="36" borderId="111" xfId="0" applyNumberFormat="1" applyFont="1" applyFill="1" applyBorder="1"/>
    <xf numFmtId="0" fontId="4" fillId="36" borderId="108" xfId="0" applyFont="1" applyFill="1" applyBorder="1"/>
    <xf numFmtId="0" fontId="4" fillId="36" borderId="111" xfId="0" applyFont="1" applyFill="1" applyBorder="1"/>
    <xf numFmtId="38" fontId="4" fillId="36" borderId="113" xfId="0" applyNumberFormat="1" applyFont="1" applyFill="1" applyBorder="1"/>
    <xf numFmtId="38" fontId="4" fillId="36" borderId="100" xfId="0" applyNumberFormat="1" applyFont="1" applyFill="1" applyBorder="1"/>
    <xf numFmtId="0" fontId="26" fillId="26" borderId="126" xfId="0" applyFont="1" applyFill="1" applyBorder="1"/>
    <xf numFmtId="38" fontId="13" fillId="26" borderId="120" xfId="0" applyNumberFormat="1" applyFont="1" applyFill="1" applyBorder="1"/>
    <xf numFmtId="38" fontId="13" fillId="26" borderId="122" xfId="0" applyNumberFormat="1" applyFont="1" applyFill="1" applyBorder="1"/>
    <xf numFmtId="38" fontId="4" fillId="25" borderId="116" xfId="0" applyNumberFormat="1" applyFont="1" applyFill="1" applyBorder="1"/>
    <xf numFmtId="38" fontId="4" fillId="25" borderId="127" xfId="0" applyNumberFormat="1" applyFont="1" applyFill="1" applyBorder="1"/>
    <xf numFmtId="38" fontId="4" fillId="26" borderId="128" xfId="0" applyNumberFormat="1" applyFont="1" applyFill="1" applyBorder="1"/>
    <xf numFmtId="38" fontId="4" fillId="31" borderId="116" xfId="0" applyNumberFormat="1" applyFont="1" applyFill="1" applyBorder="1"/>
    <xf numFmtId="38" fontId="4" fillId="31" borderId="127" xfId="0" applyNumberFormat="1" applyFont="1" applyFill="1" applyBorder="1"/>
    <xf numFmtId="38" fontId="4" fillId="28" borderId="116" xfId="0" applyNumberFormat="1" applyFont="1" applyFill="1" applyBorder="1"/>
    <xf numFmtId="38" fontId="4" fillId="28" borderId="127" xfId="0" applyNumberFormat="1" applyFont="1" applyFill="1" applyBorder="1"/>
    <xf numFmtId="38" fontId="4" fillId="32" borderId="116" xfId="0" applyNumberFormat="1" applyFont="1" applyFill="1" applyBorder="1"/>
    <xf numFmtId="38" fontId="4" fillId="32" borderId="127" xfId="0" applyNumberFormat="1" applyFont="1" applyFill="1" applyBorder="1"/>
    <xf numFmtId="38" fontId="4" fillId="33" borderId="116" xfId="0" applyNumberFormat="1" applyFont="1" applyFill="1" applyBorder="1"/>
    <xf numFmtId="38" fontId="4" fillId="33" borderId="127" xfId="0" applyNumberFormat="1" applyFont="1" applyFill="1" applyBorder="1"/>
    <xf numFmtId="38" fontId="4" fillId="38" borderId="116" xfId="0" applyNumberFormat="1" applyFont="1" applyFill="1" applyBorder="1"/>
    <xf numFmtId="38" fontId="4" fillId="38" borderId="127" xfId="0" applyNumberFormat="1" applyFont="1" applyFill="1" applyBorder="1"/>
    <xf numFmtId="0" fontId="94" fillId="26" borderId="120" xfId="0" applyFont="1" applyFill="1" applyBorder="1"/>
    <xf numFmtId="0" fontId="139" fillId="26" borderId="122"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6" borderId="124" xfId="0" applyFont="1" applyFill="1" applyBorder="1" applyAlignment="1">
      <alignment horizontal="right"/>
    </xf>
    <xf numFmtId="0" fontId="4" fillId="26" borderId="36" xfId="0" applyFont="1" applyFill="1" applyBorder="1" applyAlignment="1">
      <alignment horizontal="right"/>
    </xf>
    <xf numFmtId="0" fontId="46" fillId="2" borderId="0" xfId="0" applyFont="1" applyAlignment="1">
      <alignment horizontal="right"/>
    </xf>
    <xf numFmtId="0" fontId="134" fillId="27" borderId="0" xfId="0" applyFont="1" applyFill="1"/>
    <xf numFmtId="0" fontId="144" fillId="27" borderId="0" xfId="0" applyFont="1" applyFill="1"/>
    <xf numFmtId="0" fontId="139" fillId="27" borderId="0" xfId="0" applyFont="1" applyFill="1"/>
    <xf numFmtId="0" fontId="15" fillId="27" borderId="0" xfId="0" applyFont="1" applyFill="1"/>
    <xf numFmtId="0" fontId="7" fillId="2" borderId="0" xfId="0" applyFont="1" applyAlignment="1">
      <alignment horizontal="right"/>
    </xf>
    <xf numFmtId="0" fontId="0" fillId="4" borderId="0" xfId="0" applyFill="1" applyAlignment="1">
      <alignment horizontal="right"/>
    </xf>
    <xf numFmtId="0" fontId="49" fillId="4" borderId="0" xfId="0" applyFont="1" applyFill="1" applyAlignment="1">
      <alignment horizontal="right"/>
    </xf>
    <xf numFmtId="0" fontId="0" fillId="26" borderId="126" xfId="0" applyFill="1" applyBorder="1"/>
    <xf numFmtId="0" fontId="46" fillId="26" borderId="122" xfId="0" applyFont="1" applyFill="1" applyBorder="1" applyAlignment="1">
      <alignment horizontal="right"/>
    </xf>
    <xf numFmtId="0" fontId="10" fillId="4" borderId="0" xfId="0" applyFont="1" applyFill="1" applyAlignment="1">
      <alignment horizontal="right"/>
    </xf>
    <xf numFmtId="0" fontId="134" fillId="31" borderId="133" xfId="0" applyFont="1" applyFill="1" applyBorder="1"/>
    <xf numFmtId="0" fontId="139" fillId="6" borderId="135" xfId="0" applyFont="1" applyFill="1" applyBorder="1"/>
    <xf numFmtId="0" fontId="134" fillId="19" borderId="135" xfId="0" applyFont="1" applyFill="1" applyBorder="1"/>
    <xf numFmtId="0" fontId="0" fillId="28" borderId="135" xfId="0" applyFill="1" applyBorder="1"/>
    <xf numFmtId="0" fontId="0" fillId="36" borderId="134" xfId="0" applyFill="1" applyBorder="1"/>
    <xf numFmtId="38" fontId="13" fillId="30" borderId="136" xfId="0" applyNumberFormat="1" applyFont="1" applyFill="1" applyBorder="1"/>
    <xf numFmtId="38" fontId="163" fillId="30" borderId="136" xfId="0" applyNumberFormat="1" applyFont="1" applyFill="1" applyBorder="1"/>
    <xf numFmtId="38" fontId="4" fillId="25" borderId="136" xfId="0" applyNumberFormat="1" applyFont="1" applyFill="1" applyBorder="1"/>
    <xf numFmtId="38" fontId="4" fillId="31" borderId="136" xfId="0" applyNumberFormat="1" applyFont="1" applyFill="1" applyBorder="1"/>
    <xf numFmtId="38" fontId="4" fillId="28" borderId="136" xfId="0" applyNumberFormat="1" applyFont="1" applyFill="1" applyBorder="1"/>
    <xf numFmtId="38" fontId="4" fillId="32" borderId="136" xfId="0" applyNumberFormat="1" applyFont="1" applyFill="1" applyBorder="1"/>
    <xf numFmtId="38" fontId="4" fillId="33" borderId="136" xfId="0" applyNumberFormat="1" applyFont="1" applyFill="1" applyBorder="1"/>
    <xf numFmtId="38" fontId="4" fillId="38" borderId="136" xfId="0" applyNumberFormat="1" applyFont="1" applyFill="1" applyBorder="1"/>
    <xf numFmtId="0" fontId="13" fillId="30" borderId="0" xfId="0" applyFont="1" applyFill="1" applyAlignment="1">
      <alignment horizontal="center"/>
    </xf>
    <xf numFmtId="0" fontId="4" fillId="26" borderId="121" xfId="0" applyFont="1" applyFill="1" applyBorder="1" applyAlignment="1">
      <alignment horizontal="center"/>
    </xf>
    <xf numFmtId="0" fontId="0" fillId="26" borderId="121" xfId="0" applyFill="1" applyBorder="1" applyAlignment="1">
      <alignment horizontal="center"/>
    </xf>
    <xf numFmtId="3" fontId="4" fillId="30" borderId="127" xfId="0" applyNumberFormat="1" applyFont="1" applyFill="1" applyBorder="1"/>
    <xf numFmtId="3" fontId="13" fillId="30" borderId="0" xfId="0" applyNumberFormat="1" applyFont="1" applyFill="1"/>
    <xf numFmtId="3" fontId="4" fillId="30" borderId="108" xfId="0" applyNumberFormat="1" applyFont="1" applyFill="1" applyBorder="1"/>
    <xf numFmtId="38" fontId="4" fillId="30" borderId="127" xfId="0" applyNumberFormat="1" applyFont="1" applyFill="1" applyBorder="1"/>
    <xf numFmtId="0" fontId="13" fillId="27" borderId="0" xfId="0" applyFont="1" applyFill="1"/>
    <xf numFmtId="0" fontId="13" fillId="27" borderId="137" xfId="0" applyFont="1" applyFill="1" applyBorder="1"/>
    <xf numFmtId="0" fontId="49" fillId="26" borderId="126" xfId="0" applyFont="1" applyFill="1" applyBorder="1" applyAlignment="1">
      <alignment horizontal="left"/>
    </xf>
    <xf numFmtId="6" fontId="46"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7" borderId="0" xfId="0" applyNumberFormat="1" applyFont="1" applyFill="1" applyAlignment="1">
      <alignment horizontal="center"/>
    </xf>
    <xf numFmtId="0" fontId="0" fillId="26" borderId="0" xfId="0" applyFill="1" applyAlignment="1">
      <alignment horizontal="center"/>
    </xf>
    <xf numFmtId="175" fontId="0" fillId="26" borderId="0" xfId="0" applyNumberFormat="1" applyFill="1"/>
    <xf numFmtId="0" fontId="0" fillId="25" borderId="0" xfId="0" applyFill="1" applyAlignment="1">
      <alignment horizontal="center"/>
    </xf>
    <xf numFmtId="38" fontId="0" fillId="25" borderId="0" xfId="0" applyNumberFormat="1" applyFill="1"/>
    <xf numFmtId="0" fontId="0" fillId="36" borderId="0" xfId="0" applyFill="1" applyAlignment="1">
      <alignment horizontal="center"/>
    </xf>
    <xf numFmtId="38" fontId="0" fillId="36" borderId="0" xfId="0" applyNumberFormat="1" applyFill="1"/>
    <xf numFmtId="0" fontId="0" fillId="31" borderId="0" xfId="0" applyFill="1"/>
    <xf numFmtId="0" fontId="0" fillId="31" borderId="0" xfId="0" applyFill="1" applyAlignment="1">
      <alignment horizontal="center"/>
    </xf>
    <xf numFmtId="38" fontId="0" fillId="31" borderId="0" xfId="0" applyNumberFormat="1" applyFill="1"/>
    <xf numFmtId="173" fontId="44" fillId="41" borderId="0" xfId="0" applyNumberFormat="1" applyFont="1" applyFill="1" applyAlignment="1">
      <alignment horizontal="center" vertical="center" wrapText="1"/>
    </xf>
    <xf numFmtId="9" fontId="44" fillId="41" borderId="0" xfId="4" applyFont="1" applyFill="1" applyAlignment="1">
      <alignment horizontal="center" vertical="center" wrapText="1"/>
    </xf>
    <xf numFmtId="0" fontId="44" fillId="41" borderId="0" xfId="0" applyFont="1" applyFill="1" applyAlignment="1">
      <alignment horizontal="center" vertical="center" wrapText="1"/>
    </xf>
    <xf numFmtId="0" fontId="175" fillId="2" borderId="0" xfId="0" applyFont="1" applyAlignment="1">
      <alignment horizontal="center" vertical="center"/>
    </xf>
    <xf numFmtId="0" fontId="175" fillId="2" borderId="0" xfId="0" applyFont="1"/>
    <xf numFmtId="173" fontId="175" fillId="2" borderId="0" xfId="0" applyNumberFormat="1" applyFont="1"/>
    <xf numFmtId="9" fontId="175" fillId="0" borderId="0" xfId="4" applyFont="1"/>
    <xf numFmtId="0" fontId="44" fillId="26" borderId="0" xfId="0" applyFont="1" applyFill="1" applyAlignment="1">
      <alignment horizontal="center"/>
    </xf>
    <xf numFmtId="0" fontId="175" fillId="26" borderId="0" xfId="0" applyFont="1" applyFill="1"/>
    <xf numFmtId="0" fontId="0" fillId="42" borderId="0" xfId="0" applyFill="1"/>
    <xf numFmtId="0" fontId="4" fillId="42" borderId="45" xfId="0" applyFont="1" applyFill="1" applyBorder="1" applyAlignment="1">
      <alignment horizontal="center"/>
    </xf>
    <xf numFmtId="0" fontId="0" fillId="42" borderId="22" xfId="0" applyFill="1" applyBorder="1"/>
    <xf numFmtId="38" fontId="4" fillId="42" borderId="36" xfId="0" applyNumberFormat="1" applyFont="1" applyFill="1" applyBorder="1" applyAlignment="1">
      <alignment horizontal="center"/>
    </xf>
    <xf numFmtId="0" fontId="4" fillId="42" borderId="23" xfId="0" applyFont="1" applyFill="1" applyBorder="1" applyAlignment="1">
      <alignment horizontal="right"/>
    </xf>
    <xf numFmtId="38" fontId="0" fillId="42" borderId="29" xfId="0" applyNumberFormat="1" applyFill="1" applyBorder="1"/>
    <xf numFmtId="38" fontId="0" fillId="42" borderId="9" xfId="0" applyNumberFormat="1" applyFill="1" applyBorder="1"/>
    <xf numFmtId="38" fontId="0" fillId="42" borderId="36" xfId="0" applyNumberFormat="1" applyFill="1" applyBorder="1"/>
    <xf numFmtId="0" fontId="78" fillId="27" borderId="0" xfId="0" applyFont="1" applyFill="1"/>
    <xf numFmtId="38" fontId="0" fillId="26" borderId="0" xfId="0" applyNumberFormat="1" applyFill="1"/>
    <xf numFmtId="0" fontId="14" fillId="27" borderId="0" xfId="0" applyFont="1" applyFill="1"/>
    <xf numFmtId="38" fontId="0" fillId="6" borderId="121" xfId="0" applyNumberFormat="1" applyFill="1" applyBorder="1"/>
    <xf numFmtId="38" fontId="0" fillId="7" borderId="121" xfId="0" applyNumberFormat="1" applyFill="1" applyBorder="1"/>
    <xf numFmtId="0" fontId="15" fillId="42" borderId="0" xfId="0" applyFont="1" applyFill="1"/>
    <xf numFmtId="0" fontId="40" fillId="42" borderId="0" xfId="0" applyFont="1" applyFill="1"/>
    <xf numFmtId="0" fontId="47" fillId="42" borderId="12" xfId="0" applyFont="1" applyFill="1" applyBorder="1"/>
    <xf numFmtId="0" fontId="49" fillId="42" borderId="10" xfId="0" applyFont="1" applyFill="1" applyBorder="1"/>
    <xf numFmtId="0" fontId="154" fillId="42" borderId="45" xfId="0" applyFont="1" applyFill="1" applyBorder="1" applyAlignment="1">
      <alignment horizontal="center"/>
    </xf>
    <xf numFmtId="0" fontId="154" fillId="42" borderId="36" xfId="0" applyFont="1" applyFill="1" applyBorder="1" applyAlignment="1">
      <alignment horizontal="center"/>
    </xf>
    <xf numFmtId="175" fontId="128" fillId="42" borderId="36" xfId="0" applyNumberFormat="1" applyFont="1" applyFill="1" applyBorder="1" applyProtection="1">
      <protection locked="0"/>
    </xf>
    <xf numFmtId="175" fontId="128" fillId="42" borderId="46" xfId="0" applyNumberFormat="1" applyFont="1" applyFill="1" applyBorder="1" applyProtection="1">
      <protection locked="0"/>
    </xf>
    <xf numFmtId="0" fontId="0" fillId="42" borderId="9" xfId="0" applyFill="1" applyBorder="1"/>
    <xf numFmtId="175" fontId="128" fillId="42" borderId="20" xfId="0" applyNumberFormat="1" applyFont="1" applyFill="1" applyBorder="1" applyProtection="1">
      <protection locked="0"/>
    </xf>
    <xf numFmtId="0" fontId="38" fillId="42" borderId="9" xfId="0" applyFont="1" applyFill="1" applyBorder="1" applyAlignment="1">
      <alignment horizontal="center"/>
    </xf>
    <xf numFmtId="38" fontId="15" fillId="42" borderId="0" xfId="0" applyNumberFormat="1" applyFont="1" applyFill="1"/>
    <xf numFmtId="38" fontId="128" fillId="42" borderId="36" xfId="0" applyNumberFormat="1" applyFont="1" applyFill="1" applyBorder="1"/>
    <xf numFmtId="175" fontId="128" fillId="42" borderId="36" xfId="0" applyNumberFormat="1" applyFont="1" applyFill="1" applyBorder="1" applyAlignment="1">
      <alignment horizontal="center"/>
    </xf>
    <xf numFmtId="38" fontId="128" fillId="42" borderId="9" xfId="0" applyNumberFormat="1" applyFont="1" applyFill="1" applyBorder="1"/>
    <xf numFmtId="38" fontId="128" fillId="42" borderId="45" xfId="0" applyNumberFormat="1" applyFont="1" applyFill="1" applyBorder="1"/>
    <xf numFmtId="174" fontId="128" fillId="42" borderId="36" xfId="0" applyNumberFormat="1" applyFont="1" applyFill="1" applyBorder="1" applyProtection="1">
      <protection locked="0"/>
    </xf>
    <xf numFmtId="38" fontId="128" fillId="42" borderId="36" xfId="0" applyNumberFormat="1" applyFont="1" applyFill="1" applyBorder="1" applyProtection="1">
      <protection locked="0"/>
    </xf>
    <xf numFmtId="38" fontId="128" fillId="42" borderId="46" xfId="0" applyNumberFormat="1" applyFont="1" applyFill="1" applyBorder="1" applyProtection="1">
      <protection locked="0"/>
    </xf>
    <xf numFmtId="175" fontId="128" fillId="42" borderId="9" xfId="0" applyNumberFormat="1" applyFont="1" applyFill="1" applyBorder="1"/>
    <xf numFmtId="175" fontId="15" fillId="42" borderId="9" xfId="0" applyNumberFormat="1" applyFont="1" applyFill="1" applyBorder="1"/>
    <xf numFmtId="38" fontId="86" fillId="42" borderId="36" xfId="0" applyNumberFormat="1" applyFont="1" applyFill="1" applyBorder="1" applyAlignment="1" applyProtection="1">
      <alignment horizontal="center"/>
      <protection locked="0"/>
    </xf>
    <xf numFmtId="38" fontId="128" fillId="42" borderId="45" xfId="0" applyNumberFormat="1" applyFont="1" applyFill="1" applyBorder="1" applyProtection="1">
      <protection locked="0"/>
    </xf>
    <xf numFmtId="38" fontId="128" fillId="42" borderId="36" xfId="0" applyNumberFormat="1" applyFont="1" applyFill="1" applyBorder="1" applyAlignment="1" applyProtection="1">
      <alignment horizontal="center"/>
      <protection locked="0"/>
    </xf>
    <xf numFmtId="0" fontId="0" fillId="42" borderId="36" xfId="0" applyFill="1" applyBorder="1"/>
    <xf numFmtId="175" fontId="63" fillId="42" borderId="9" xfId="0" applyNumberFormat="1" applyFont="1" applyFill="1" applyBorder="1"/>
    <xf numFmtId="0" fontId="0" fillId="42" borderId="45" xfId="0" applyFill="1" applyBorder="1"/>
    <xf numFmtId="174" fontId="128" fillId="42" borderId="36" xfId="0" applyNumberFormat="1" applyFont="1" applyFill="1" applyBorder="1"/>
    <xf numFmtId="38" fontId="128" fillId="42" borderId="9" xfId="0" applyNumberFormat="1" applyFont="1" applyFill="1" applyBorder="1" applyAlignment="1">
      <alignment horizontal="right"/>
    </xf>
    <xf numFmtId="175" fontId="128" fillId="42" borderId="9" xfId="0" applyNumberFormat="1" applyFont="1" applyFill="1" applyBorder="1" applyAlignment="1">
      <alignment horizontal="right"/>
    </xf>
    <xf numFmtId="174" fontId="128" fillId="42" borderId="9" xfId="0" applyNumberFormat="1" applyFont="1" applyFill="1" applyBorder="1"/>
    <xf numFmtId="175" fontId="78" fillId="42" borderId="9" xfId="0" applyNumberFormat="1" applyFont="1" applyFill="1" applyBorder="1"/>
    <xf numFmtId="0" fontId="41" fillId="42" borderId="0" xfId="0" quotePrefix="1" applyFont="1" applyFill="1"/>
    <xf numFmtId="38" fontId="87" fillId="42" borderId="0" xfId="0" applyNumberFormat="1" applyFont="1" applyFill="1"/>
    <xf numFmtId="0" fontId="87" fillId="42" borderId="0" xfId="0" applyFont="1" applyFill="1"/>
    <xf numFmtId="165" fontId="87" fillId="42" borderId="0" xfId="0" applyNumberFormat="1" applyFont="1" applyFill="1" applyAlignment="1">
      <alignment horizontal="right"/>
    </xf>
    <xf numFmtId="174" fontId="87" fillId="42" borderId="0" xfId="0" applyNumberFormat="1" applyFont="1" applyFill="1"/>
    <xf numFmtId="0" fontId="87" fillId="42" borderId="0" xfId="0" applyFont="1" applyFill="1" applyAlignment="1">
      <alignment horizontal="right"/>
    </xf>
    <xf numFmtId="38" fontId="87" fillId="42" borderId="0" xfId="0" applyNumberFormat="1" applyFont="1" applyFill="1" applyProtection="1">
      <protection locked="0"/>
    </xf>
    <xf numFmtId="0" fontId="41" fillId="42" borderId="0" xfId="0" applyFont="1" applyFill="1"/>
    <xf numFmtId="167" fontId="40" fillId="42" borderId="0" xfId="0" applyNumberFormat="1" applyFont="1" applyFill="1"/>
    <xf numFmtId="165" fontId="41" fillId="42" borderId="0" xfId="0" applyNumberFormat="1" applyFont="1" applyFill="1"/>
    <xf numFmtId="165" fontId="40" fillId="42" borderId="0" xfId="0" applyNumberFormat="1" applyFont="1" applyFill="1"/>
    <xf numFmtId="164" fontId="40" fillId="42" borderId="0" xfId="0" applyNumberFormat="1" applyFont="1" applyFill="1" applyProtection="1">
      <protection locked="0"/>
    </xf>
    <xf numFmtId="164" fontId="40" fillId="42" borderId="0" xfId="0" applyNumberFormat="1" applyFont="1" applyFill="1"/>
    <xf numFmtId="37" fontId="40" fillId="42" borderId="0" xfId="0" applyNumberFormat="1" applyFont="1" applyFill="1"/>
    <xf numFmtId="0" fontId="87" fillId="42" borderId="97" xfId="0" applyFont="1" applyFill="1" applyBorder="1"/>
    <xf numFmtId="0" fontId="125" fillId="42" borderId="9" xfId="0" quotePrefix="1" applyFont="1" applyFill="1" applyBorder="1" applyAlignment="1">
      <alignment horizontal="center"/>
    </xf>
    <xf numFmtId="0" fontId="125" fillId="42" borderId="99" xfId="0" quotePrefix="1" applyFont="1" applyFill="1" applyBorder="1" applyAlignment="1">
      <alignment horizontal="center"/>
    </xf>
    <xf numFmtId="0" fontId="123" fillId="42" borderId="124" xfId="0" applyFont="1" applyFill="1" applyBorder="1" applyAlignment="1">
      <alignment horizontal="center"/>
    </xf>
    <xf numFmtId="0" fontId="88" fillId="42" borderId="124" xfId="0" applyFont="1" applyFill="1" applyBorder="1" applyAlignment="1">
      <alignment horizontal="center"/>
    </xf>
    <xf numFmtId="0" fontId="123" fillId="42" borderId="118" xfId="0" applyFont="1" applyFill="1" applyBorder="1" applyAlignment="1">
      <alignment horizontal="center"/>
    </xf>
    <xf numFmtId="0" fontId="88" fillId="42" borderId="118" xfId="0" applyFont="1" applyFill="1" applyBorder="1" applyAlignment="1">
      <alignment horizontal="center"/>
    </xf>
    <xf numFmtId="0" fontId="123" fillId="42" borderId="36" xfId="0" applyFont="1" applyFill="1" applyBorder="1" applyAlignment="1">
      <alignment horizontal="center"/>
    </xf>
    <xf numFmtId="0" fontId="88" fillId="42" borderId="36" xfId="0" applyFont="1" applyFill="1" applyBorder="1" applyAlignment="1">
      <alignment horizontal="center"/>
    </xf>
    <xf numFmtId="174" fontId="87" fillId="42" borderId="101" xfId="0" applyNumberFormat="1" applyFont="1" applyFill="1" applyBorder="1"/>
    <xf numFmtId="174" fontId="87" fillId="42" borderId="98" xfId="0" applyNumberFormat="1" applyFont="1" applyFill="1" applyBorder="1"/>
    <xf numFmtId="37" fontId="87" fillId="42" borderId="2" xfId="0" applyNumberFormat="1" applyFont="1" applyFill="1" applyBorder="1"/>
    <xf numFmtId="37" fontId="87" fillId="42" borderId="98" xfId="0" applyNumberFormat="1" applyFont="1" applyFill="1" applyBorder="1"/>
    <xf numFmtId="38" fontId="87" fillId="42" borderId="2" xfId="0" applyNumberFormat="1" applyFont="1" applyFill="1" applyBorder="1"/>
    <xf numFmtId="38" fontId="87" fillId="42" borderId="98" xfId="0" applyNumberFormat="1" applyFont="1" applyFill="1" applyBorder="1"/>
    <xf numFmtId="37" fontId="87" fillId="42" borderId="0" xfId="0" applyNumberFormat="1" applyFont="1" applyFill="1"/>
    <xf numFmtId="177" fontId="87" fillId="42" borderId="2" xfId="0" applyNumberFormat="1" applyFont="1" applyFill="1" applyBorder="1"/>
    <xf numFmtId="177" fontId="87" fillId="42" borderId="0" xfId="0" applyNumberFormat="1" applyFont="1" applyFill="1"/>
    <xf numFmtId="37" fontId="87" fillId="42" borderId="9" xfId="0" applyNumberFormat="1" applyFont="1" applyFill="1" applyBorder="1"/>
    <xf numFmtId="0" fontId="87" fillId="42" borderId="0" xfId="0" applyFont="1" applyFill="1" applyAlignment="1">
      <alignment horizontal="left"/>
    </xf>
    <xf numFmtId="37" fontId="87" fillId="42" borderId="0" xfId="0" applyNumberFormat="1" applyFont="1" applyFill="1" applyAlignment="1">
      <alignment horizontal="center"/>
    </xf>
    <xf numFmtId="0" fontId="131" fillId="42" borderId="0" xfId="0" applyFont="1" applyFill="1"/>
    <xf numFmtId="0" fontId="132" fillId="42" borderId="0" xfId="0" applyFont="1" applyFill="1"/>
    <xf numFmtId="0" fontId="131" fillId="42" borderId="9" xfId="0" applyFont="1" applyFill="1" applyBorder="1" applyAlignment="1">
      <alignment horizontal="center"/>
    </xf>
    <xf numFmtId="0" fontId="131" fillId="42" borderId="0" xfId="0" applyFont="1" applyFill="1" applyAlignment="1">
      <alignment horizontal="center"/>
    </xf>
    <xf numFmtId="37" fontId="131" fillId="42" borderId="2" xfId="0" applyNumberFormat="1" applyFont="1" applyFill="1" applyBorder="1" applyProtection="1">
      <protection locked="0"/>
    </xf>
    <xf numFmtId="37" fontId="131" fillId="42" borderId="0" xfId="0" applyNumberFormat="1" applyFont="1" applyFill="1" applyProtection="1">
      <protection locked="0"/>
    </xf>
    <xf numFmtId="37" fontId="131" fillId="42" borderId="2" xfId="0" applyNumberFormat="1" applyFont="1" applyFill="1" applyBorder="1"/>
    <xf numFmtId="37" fontId="131" fillId="42" borderId="9" xfId="0" applyNumberFormat="1" applyFont="1" applyFill="1" applyBorder="1"/>
    <xf numFmtId="167" fontId="131" fillId="42" borderId="2" xfId="0" applyNumberFormat="1" applyFont="1" applyFill="1" applyBorder="1"/>
    <xf numFmtId="174" fontId="131" fillId="42" borderId="9" xfId="0" applyNumberFormat="1" applyFont="1" applyFill="1" applyBorder="1"/>
    <xf numFmtId="174" fontId="131" fillId="42" borderId="0" xfId="0" applyNumberFormat="1" applyFont="1" applyFill="1"/>
    <xf numFmtId="174" fontId="131" fillId="42" borderId="2" xfId="0" applyNumberFormat="1" applyFont="1" applyFill="1" applyBorder="1"/>
    <xf numFmtId="37" fontId="131" fillId="42" borderId="0" xfId="0" applyNumberFormat="1" applyFont="1" applyFill="1"/>
    <xf numFmtId="170" fontId="131" fillId="42" borderId="0" xfId="0" applyNumberFormat="1" applyFont="1" applyFill="1"/>
    <xf numFmtId="0" fontId="135" fillId="42" borderId="0" xfId="0" applyFont="1" applyFill="1"/>
    <xf numFmtId="0" fontId="133" fillId="42" borderId="0" xfId="0" applyFont="1" applyFill="1" applyAlignment="1">
      <alignment horizontal="center"/>
    </xf>
    <xf numFmtId="0" fontId="135" fillId="42" borderId="2" xfId="0" applyFont="1" applyFill="1" applyBorder="1" applyAlignment="1">
      <alignment horizontal="center"/>
    </xf>
    <xf numFmtId="174" fontId="135" fillId="42" borderId="2" xfId="0" applyNumberFormat="1" applyFont="1" applyFill="1" applyBorder="1"/>
    <xf numFmtId="175" fontId="135" fillId="42" borderId="2" xfId="0" applyNumberFormat="1" applyFont="1" applyFill="1" applyBorder="1"/>
    <xf numFmtId="0" fontId="135" fillId="42" borderId="0" xfId="0" applyFont="1" applyFill="1" applyAlignment="1">
      <alignment horizontal="center"/>
    </xf>
    <xf numFmtId="0" fontId="135" fillId="42" borderId="2" xfId="0" applyFont="1" applyFill="1" applyBorder="1"/>
    <xf numFmtId="38" fontId="135" fillId="42" borderId="46" xfId="0" applyNumberFormat="1" applyFont="1" applyFill="1" applyBorder="1"/>
    <xf numFmtId="37" fontId="135" fillId="42" borderId="2" xfId="0" applyNumberFormat="1" applyFont="1" applyFill="1" applyBorder="1"/>
    <xf numFmtId="164" fontId="136" fillId="42" borderId="2" xfId="0" applyNumberFormat="1" applyFont="1" applyFill="1" applyBorder="1"/>
    <xf numFmtId="167" fontId="135" fillId="42" borderId="2" xfId="0" applyNumberFormat="1" applyFont="1" applyFill="1" applyBorder="1"/>
    <xf numFmtId="38" fontId="135" fillId="42" borderId="2" xfId="0" applyNumberFormat="1" applyFont="1" applyFill="1" applyBorder="1" applyProtection="1">
      <protection locked="0"/>
    </xf>
    <xf numFmtId="38" fontId="135" fillId="42" borderId="2" xfId="0" applyNumberFormat="1" applyFont="1" applyFill="1" applyBorder="1"/>
    <xf numFmtId="38" fontId="135" fillId="42" borderId="9" xfId="0" applyNumberFormat="1" applyFont="1" applyFill="1" applyBorder="1"/>
    <xf numFmtId="38" fontId="135" fillId="42" borderId="0" xfId="0" applyNumberFormat="1" applyFont="1" applyFill="1"/>
    <xf numFmtId="0" fontId="135" fillId="42" borderId="0" xfId="0" applyFont="1" applyFill="1" applyAlignment="1">
      <alignment horizontal="right"/>
    </xf>
    <xf numFmtId="170" fontId="135" fillId="42" borderId="0" xfId="0" applyNumberFormat="1" applyFont="1" applyFill="1" applyAlignment="1">
      <alignment horizontal="right"/>
    </xf>
    <xf numFmtId="39" fontId="135" fillId="42" borderId="0" xfId="0" applyNumberFormat="1" applyFont="1" applyFill="1" applyAlignment="1">
      <alignment horizontal="right"/>
    </xf>
    <xf numFmtId="0" fontId="135" fillId="42" borderId="22" xfId="0" applyFont="1" applyFill="1" applyBorder="1" applyAlignment="1">
      <alignment horizontal="center"/>
    </xf>
    <xf numFmtId="38" fontId="135" fillId="42" borderId="20" xfId="0" applyNumberFormat="1" applyFont="1" applyFill="1" applyBorder="1" applyAlignment="1">
      <alignment horizontal="center"/>
    </xf>
    <xf numFmtId="0" fontId="135" fillId="42" borderId="20" xfId="0" applyFont="1" applyFill="1" applyBorder="1"/>
    <xf numFmtId="38" fontId="135" fillId="42" borderId="23" xfId="0" applyNumberFormat="1" applyFont="1" applyFill="1" applyBorder="1" applyAlignment="1">
      <alignment horizontal="center"/>
    </xf>
    <xf numFmtId="0" fontId="135" fillId="42" borderId="0" xfId="0" quotePrefix="1" applyFont="1" applyFill="1" applyAlignment="1">
      <alignment horizontal="center"/>
    </xf>
    <xf numFmtId="185" fontId="135" fillId="42" borderId="9" xfId="0" applyNumberFormat="1" applyFont="1" applyFill="1" applyBorder="1"/>
    <xf numFmtId="174" fontId="135" fillId="42" borderId="9" xfId="0" applyNumberFormat="1" applyFont="1" applyFill="1" applyBorder="1"/>
    <xf numFmtId="0" fontId="135" fillId="42" borderId="9" xfId="0" applyFont="1" applyFill="1" applyBorder="1" applyAlignment="1">
      <alignment horizontal="center"/>
    </xf>
    <xf numFmtId="38" fontId="135" fillId="42" borderId="0" xfId="0" applyNumberFormat="1" applyFont="1" applyFill="1" applyAlignment="1">
      <alignment horizontal="center"/>
    </xf>
    <xf numFmtId="0" fontId="0" fillId="42" borderId="120" xfId="0" applyFill="1" applyBorder="1"/>
    <xf numFmtId="0" fontId="0" fillId="42" borderId="122" xfId="0" applyFill="1" applyBorder="1"/>
    <xf numFmtId="0" fontId="4" fillId="42" borderId="0" xfId="0" quotePrefix="1" applyFont="1" applyFill="1" applyAlignment="1">
      <alignment horizontal="center"/>
    </xf>
    <xf numFmtId="0" fontId="73" fillId="42" borderId="0" xfId="0" quotePrefix="1" applyFont="1" applyFill="1" applyAlignment="1">
      <alignment horizontal="center"/>
    </xf>
    <xf numFmtId="0" fontId="4" fillId="42" borderId="0" xfId="0" applyFont="1" applyFill="1" applyAlignment="1">
      <alignment horizontal="center"/>
    </xf>
    <xf numFmtId="38" fontId="60" fillId="42" borderId="89" xfId="0" applyNumberFormat="1" applyFont="1" applyFill="1" applyBorder="1"/>
    <xf numFmtId="0" fontId="0" fillId="42" borderId="0" xfId="0" applyFill="1" applyAlignment="1">
      <alignment horizontal="right"/>
    </xf>
    <xf numFmtId="37" fontId="60" fillId="42" borderId="2" xfId="0" applyNumberFormat="1" applyFont="1" applyFill="1" applyBorder="1"/>
    <xf numFmtId="37" fontId="53" fillId="42" borderId="2" xfId="0" applyNumberFormat="1" applyFont="1" applyFill="1" applyBorder="1"/>
    <xf numFmtId="174" fontId="83" fillId="42" borderId="2" xfId="0" applyNumberFormat="1" applyFont="1" applyFill="1" applyBorder="1"/>
    <xf numFmtId="174" fontId="107" fillId="42" borderId="2" xfId="0" applyNumberFormat="1" applyFont="1" applyFill="1" applyBorder="1"/>
    <xf numFmtId="167" fontId="30" fillId="42" borderId="0" xfId="0" applyNumberFormat="1" applyFont="1" applyFill="1"/>
    <xf numFmtId="0" fontId="107" fillId="42" borderId="2" xfId="0" applyFont="1" applyFill="1" applyBorder="1"/>
    <xf numFmtId="180" fontId="60" fillId="42" borderId="2" xfId="0" applyNumberFormat="1" applyFont="1" applyFill="1" applyBorder="1"/>
    <xf numFmtId="38" fontId="107" fillId="42" borderId="2" xfId="0" applyNumberFormat="1" applyFont="1" applyFill="1" applyBorder="1"/>
    <xf numFmtId="38" fontId="60" fillId="42" borderId="2" xfId="0" applyNumberFormat="1" applyFont="1" applyFill="1" applyBorder="1"/>
    <xf numFmtId="0" fontId="42" fillId="42" borderId="0" xfId="0" applyFont="1" applyFill="1" applyAlignment="1">
      <alignment horizontal="right"/>
    </xf>
    <xf numFmtId="16" fontId="4" fillId="42" borderId="6" xfId="0" quotePrefix="1" applyNumberFormat="1" applyFont="1" applyFill="1" applyBorder="1" applyAlignment="1">
      <alignment horizontal="center"/>
    </xf>
    <xf numFmtId="0" fontId="11" fillId="42" borderId="29" xfId="0" applyFont="1" applyFill="1" applyBorder="1" applyAlignment="1">
      <alignment horizontal="center"/>
    </xf>
    <xf numFmtId="0" fontId="83" fillId="42" borderId="0" xfId="0" applyFont="1" applyFill="1" applyAlignment="1">
      <alignment horizontal="left"/>
    </xf>
    <xf numFmtId="38" fontId="107" fillId="42" borderId="0" xfId="0" applyNumberFormat="1" applyFont="1" applyFill="1"/>
    <xf numFmtId="38" fontId="107" fillId="42" borderId="15" xfId="0" applyNumberFormat="1" applyFont="1" applyFill="1" applyBorder="1"/>
    <xf numFmtId="0" fontId="83" fillId="42" borderId="46" xfId="0" applyFont="1" applyFill="1" applyBorder="1" applyAlignment="1">
      <alignment horizontal="center"/>
    </xf>
    <xf numFmtId="38" fontId="107" fillId="42" borderId="16" xfId="0" applyNumberFormat="1" applyFont="1" applyFill="1" applyBorder="1"/>
    <xf numFmtId="38" fontId="83" fillId="42" borderId="36" xfId="0" applyNumberFormat="1" applyFont="1" applyFill="1" applyBorder="1"/>
    <xf numFmtId="180" fontId="107" fillId="42" borderId="0" xfId="0" applyNumberFormat="1" applyFont="1" applyFill="1"/>
    <xf numFmtId="0" fontId="161" fillId="42" borderId="129" xfId="0" applyFont="1" applyFill="1" applyBorder="1"/>
    <xf numFmtId="0" fontId="161" fillId="42" borderId="131" xfId="0" applyFont="1" applyFill="1" applyBorder="1"/>
    <xf numFmtId="0" fontId="107" fillId="42" borderId="0" xfId="0" applyFont="1" applyFill="1"/>
    <xf numFmtId="0" fontId="161" fillId="42" borderId="132" xfId="0" applyFont="1" applyFill="1" applyBorder="1" applyAlignment="1">
      <alignment horizontal="left"/>
    </xf>
    <xf numFmtId="0" fontId="161" fillId="42" borderId="20" xfId="0" applyFont="1" applyFill="1" applyBorder="1" applyAlignment="1">
      <alignment horizontal="right"/>
    </xf>
    <xf numFmtId="0" fontId="27" fillId="42" borderId="0" xfId="0" applyFont="1" applyFill="1"/>
    <xf numFmtId="0" fontId="161" fillId="42" borderId="20" xfId="0" applyFont="1" applyFill="1" applyBorder="1"/>
    <xf numFmtId="0" fontId="161" fillId="42" borderId="16" xfId="0" applyFont="1" applyFill="1" applyBorder="1" applyAlignment="1">
      <alignment horizontal="left"/>
    </xf>
    <xf numFmtId="0" fontId="161" fillId="42" borderId="23" xfId="0" applyFont="1" applyFill="1" applyBorder="1"/>
    <xf numFmtId="38" fontId="0" fillId="42" borderId="0" xfId="0" applyNumberFormat="1" applyFill="1"/>
    <xf numFmtId="0" fontId="37" fillId="42" borderId="0" xfId="0" applyFont="1" applyFill="1"/>
    <xf numFmtId="0" fontId="49" fillId="42" borderId="0" xfId="0" applyFont="1" applyFill="1" applyAlignment="1">
      <alignment horizontal="right"/>
    </xf>
    <xf numFmtId="174" fontId="49" fillId="42" borderId="0" xfId="0" applyNumberFormat="1" applyFont="1" applyFill="1"/>
    <xf numFmtId="0" fontId="49" fillId="42" borderId="0" xfId="0" applyFont="1" applyFill="1"/>
    <xf numFmtId="0" fontId="4" fillId="42" borderId="0" xfId="0" applyFont="1" applyFill="1" applyAlignment="1">
      <alignment horizontal="right"/>
    </xf>
    <xf numFmtId="0" fontId="73" fillId="42" borderId="0" xfId="0" applyFont="1" applyFill="1" applyAlignment="1">
      <alignment horizontal="center"/>
    </xf>
    <xf numFmtId="38" fontId="74" fillId="42" borderId="89" xfId="0" applyNumberFormat="1" applyFont="1" applyFill="1" applyBorder="1"/>
    <xf numFmtId="37" fontId="74" fillId="42" borderId="93" xfId="0" applyNumberFormat="1" applyFont="1" applyFill="1" applyBorder="1"/>
    <xf numFmtId="174" fontId="74" fillId="42" borderId="93" xfId="0" applyNumberFormat="1" applyFont="1" applyFill="1" applyBorder="1"/>
    <xf numFmtId="0" fontId="73" fillId="42" borderId="93" xfId="0" applyFont="1" applyFill="1" applyBorder="1"/>
    <xf numFmtId="0" fontId="73" fillId="42" borderId="0" xfId="0" applyFont="1" applyFill="1" applyAlignment="1">
      <alignment horizontal="left"/>
    </xf>
    <xf numFmtId="0" fontId="74" fillId="42" borderId="93" xfId="0" applyFont="1" applyFill="1" applyBorder="1"/>
    <xf numFmtId="180" fontId="74" fillId="42" borderId="2" xfId="0" applyNumberFormat="1" applyFont="1" applyFill="1" applyBorder="1"/>
    <xf numFmtId="174" fontId="74" fillId="42" borderId="2" xfId="0" applyNumberFormat="1" applyFont="1" applyFill="1" applyBorder="1"/>
    <xf numFmtId="38" fontId="83" fillId="42" borderId="2" xfId="0" applyNumberFormat="1" applyFont="1" applyFill="1" applyBorder="1"/>
    <xf numFmtId="38" fontId="74" fillId="42" borderId="2" xfId="0" applyNumberFormat="1" applyFont="1" applyFill="1" applyBorder="1"/>
    <xf numFmtId="0" fontId="4" fillId="42" borderId="6" xfId="0" quotePrefix="1" applyFont="1" applyFill="1" applyBorder="1" applyAlignment="1">
      <alignment horizontal="center"/>
    </xf>
    <xf numFmtId="38" fontId="83" fillId="42" borderId="0" xfId="0" applyNumberFormat="1" applyFont="1" applyFill="1"/>
    <xf numFmtId="38" fontId="74" fillId="42" borderId="15" xfId="0" applyNumberFormat="1" applyFont="1" applyFill="1" applyBorder="1"/>
    <xf numFmtId="38" fontId="74" fillId="42" borderId="16" xfId="0" applyNumberFormat="1" applyFont="1" applyFill="1" applyBorder="1"/>
    <xf numFmtId="38" fontId="74" fillId="42" borderId="36" xfId="0" applyNumberFormat="1" applyFont="1" applyFill="1" applyBorder="1"/>
    <xf numFmtId="0" fontId="60" fillId="42" borderId="0" xfId="0" applyFont="1" applyFill="1"/>
    <xf numFmtId="174" fontId="83" fillId="42" borderId="9" xfId="0" applyNumberFormat="1" applyFont="1" applyFill="1" applyBorder="1"/>
    <xf numFmtId="174" fontId="74" fillId="42" borderId="0" xfId="0" applyNumberFormat="1" applyFont="1" applyFill="1"/>
    <xf numFmtId="38" fontId="83" fillId="42" borderId="9" xfId="0" applyNumberFormat="1" applyFont="1" applyFill="1" applyBorder="1" applyAlignment="1">
      <alignment horizontal="right"/>
    </xf>
    <xf numFmtId="0" fontId="83" fillId="42" borderId="9" xfId="0" applyFont="1" applyFill="1" applyBorder="1" applyAlignment="1">
      <alignment horizontal="right"/>
    </xf>
    <xf numFmtId="38" fontId="83" fillId="42" borderId="9" xfId="0" applyNumberFormat="1" applyFont="1" applyFill="1" applyBorder="1"/>
    <xf numFmtId="0" fontId="83" fillId="42" borderId="0" xfId="0" applyFont="1" applyFill="1" applyAlignment="1">
      <alignment horizontal="right"/>
    </xf>
    <xf numFmtId="174" fontId="83" fillId="42" borderId="0" xfId="0" applyNumberFormat="1" applyFont="1" applyFill="1"/>
    <xf numFmtId="0" fontId="134" fillId="26" borderId="122" xfId="0" applyFont="1" applyFill="1" applyBorder="1"/>
    <xf numFmtId="0" fontId="83" fillId="42" borderId="29" xfId="0" applyFont="1" applyFill="1" applyBorder="1" applyAlignment="1">
      <alignment horizontal="center"/>
    </xf>
    <xf numFmtId="0" fontId="107" fillId="42" borderId="45" xfId="0" applyFont="1" applyFill="1" applyBorder="1" applyAlignment="1">
      <alignment horizontal="left"/>
    </xf>
    <xf numFmtId="0" fontId="107" fillId="42" borderId="0" xfId="0" applyFont="1" applyFill="1" applyAlignment="1">
      <alignment horizontal="left"/>
    </xf>
    <xf numFmtId="0" fontId="107" fillId="42" borderId="0" xfId="0" applyFont="1" applyFill="1" applyAlignment="1">
      <alignment horizontal="center"/>
    </xf>
    <xf numFmtId="0" fontId="13" fillId="26" borderId="135" xfId="0" applyFont="1" applyFill="1" applyBorder="1"/>
    <xf numFmtId="0" fontId="13" fillId="26" borderId="138" xfId="0" applyFont="1" applyFill="1" applyBorder="1"/>
    <xf numFmtId="0" fontId="160" fillId="29" borderId="130" xfId="0" applyFont="1" applyFill="1" applyBorder="1" applyAlignment="1">
      <alignment horizontal="center"/>
    </xf>
    <xf numFmtId="0" fontId="13" fillId="26" borderId="122" xfId="0" applyFont="1" applyFill="1" applyBorder="1"/>
    <xf numFmtId="175" fontId="166" fillId="27" borderId="9" xfId="0" applyNumberFormat="1" applyFont="1" applyFill="1" applyBorder="1" applyAlignment="1">
      <alignment horizontal="right"/>
    </xf>
    <xf numFmtId="38" fontId="166" fillId="27" borderId="9" xfId="0" applyNumberFormat="1" applyFont="1" applyFill="1" applyBorder="1"/>
    <xf numFmtId="174" fontId="166" fillId="27" borderId="9" xfId="0" applyNumberFormat="1" applyFont="1" applyFill="1" applyBorder="1"/>
    <xf numFmtId="175" fontId="166" fillId="27" borderId="9" xfId="0" applyNumberFormat="1" applyFont="1" applyFill="1" applyBorder="1"/>
    <xf numFmtId="0" fontId="176" fillId="25" borderId="9" xfId="0" applyFont="1" applyFill="1" applyBorder="1"/>
    <xf numFmtId="0" fontId="177" fillId="25" borderId="135" xfId="0" applyFont="1" applyFill="1" applyBorder="1"/>
    <xf numFmtId="0" fontId="160" fillId="25" borderId="12" xfId="0" applyFont="1" applyFill="1" applyBorder="1" applyAlignment="1">
      <alignment horizontal="center"/>
    </xf>
    <xf numFmtId="0" fontId="160" fillId="30" borderId="12" xfId="0" applyFont="1" applyFill="1" applyBorder="1" applyAlignment="1">
      <alignment horizontal="center"/>
    </xf>
    <xf numFmtId="0" fontId="0" fillId="40" borderId="135" xfId="0" applyFill="1" applyBorder="1"/>
    <xf numFmtId="0" fontId="160" fillId="40" borderId="12" xfId="0" applyFont="1" applyFill="1" applyBorder="1" applyAlignment="1">
      <alignment horizontal="center"/>
    </xf>
    <xf numFmtId="38" fontId="178" fillId="26" borderId="110" xfId="0" applyNumberFormat="1" applyFont="1" applyFill="1" applyBorder="1"/>
    <xf numFmtId="38" fontId="179" fillId="28" borderId="110" xfId="0" applyNumberFormat="1" applyFont="1" applyFill="1" applyBorder="1"/>
    <xf numFmtId="38" fontId="178" fillId="28" borderId="110" xfId="0" applyNumberFormat="1" applyFont="1" applyFill="1" applyBorder="1"/>
    <xf numFmtId="0" fontId="180" fillId="28" borderId="0" xfId="0" applyFont="1" applyFill="1"/>
    <xf numFmtId="38" fontId="181" fillId="26" borderId="110" xfId="0" applyNumberFormat="1" applyFont="1" applyFill="1" applyBorder="1"/>
    <xf numFmtId="38" fontId="180" fillId="28" borderId="121" xfId="0" applyNumberFormat="1" applyFont="1" applyFill="1" applyBorder="1"/>
    <xf numFmtId="0" fontId="179" fillId="31" borderId="103" xfId="0" applyFont="1" applyFill="1" applyBorder="1" applyAlignment="1">
      <alignment horizontal="center"/>
    </xf>
    <xf numFmtId="0" fontId="179" fillId="25" borderId="122" xfId="0" applyFont="1" applyFill="1" applyBorder="1" applyAlignment="1">
      <alignment horizontal="center"/>
    </xf>
    <xf numFmtId="0" fontId="179" fillId="29" borderId="122" xfId="0" applyFont="1" applyFill="1" applyBorder="1" applyAlignment="1">
      <alignment horizontal="center"/>
    </xf>
    <xf numFmtId="0" fontId="179" fillId="30" borderId="122" xfId="0" applyFont="1" applyFill="1" applyBorder="1" applyAlignment="1">
      <alignment horizontal="center"/>
    </xf>
    <xf numFmtId="0" fontId="179" fillId="40" borderId="122" xfId="0" applyFont="1" applyFill="1" applyBorder="1" applyAlignment="1">
      <alignment horizontal="center"/>
    </xf>
    <xf numFmtId="0" fontId="179" fillId="28" borderId="122" xfId="0" applyFont="1" applyFill="1" applyBorder="1" applyAlignment="1">
      <alignment horizontal="center"/>
    </xf>
    <xf numFmtId="0" fontId="179" fillId="36" borderId="122" xfId="0" applyFont="1" applyFill="1" applyBorder="1" applyAlignment="1">
      <alignment horizontal="center"/>
    </xf>
    <xf numFmtId="169" fontId="179" fillId="31" borderId="9" xfId="0" applyNumberFormat="1" applyFont="1" applyFill="1" applyBorder="1"/>
    <xf numFmtId="169" fontId="179" fillId="25" borderId="9" xfId="0" applyNumberFormat="1" applyFont="1" applyFill="1" applyBorder="1"/>
    <xf numFmtId="169" fontId="179" fillId="29" borderId="9" xfId="0" applyNumberFormat="1" applyFont="1" applyFill="1" applyBorder="1"/>
    <xf numFmtId="169" fontId="179" fillId="30" borderId="9" xfId="0" applyNumberFormat="1" applyFont="1" applyFill="1" applyBorder="1"/>
    <xf numFmtId="169" fontId="179" fillId="40" borderId="9" xfId="0" applyNumberFormat="1" applyFont="1" applyFill="1" applyBorder="1"/>
    <xf numFmtId="169" fontId="179" fillId="28" borderId="9" xfId="0" applyNumberFormat="1" applyFont="1" applyFill="1" applyBorder="1"/>
    <xf numFmtId="169" fontId="179" fillId="36" borderId="9" xfId="0" applyNumberFormat="1" applyFont="1" applyFill="1" applyBorder="1"/>
    <xf numFmtId="175" fontId="179" fillId="31" borderId="9" xfId="0" applyNumberFormat="1" applyFont="1" applyFill="1" applyBorder="1"/>
    <xf numFmtId="175" fontId="179" fillId="25" borderId="9" xfId="0" applyNumberFormat="1" applyFont="1" applyFill="1" applyBorder="1"/>
    <xf numFmtId="175" fontId="179" fillId="29" borderId="9" xfId="0" applyNumberFormat="1" applyFont="1" applyFill="1" applyBorder="1"/>
    <xf numFmtId="175" fontId="179" fillId="30" borderId="9" xfId="0" applyNumberFormat="1" applyFont="1" applyFill="1" applyBorder="1"/>
    <xf numFmtId="175" fontId="179" fillId="40" borderId="9" xfId="0" applyNumberFormat="1" applyFont="1" applyFill="1" applyBorder="1"/>
    <xf numFmtId="175" fontId="179" fillId="28" borderId="9" xfId="0" applyNumberFormat="1" applyFont="1" applyFill="1" applyBorder="1"/>
    <xf numFmtId="175" fontId="179" fillId="36" borderId="9" xfId="0" applyNumberFormat="1" applyFont="1" applyFill="1" applyBorder="1"/>
    <xf numFmtId="174" fontId="179" fillId="31" borderId="9" xfId="0" applyNumberFormat="1" applyFont="1" applyFill="1" applyBorder="1"/>
    <xf numFmtId="174" fontId="179" fillId="25" borderId="9" xfId="0" applyNumberFormat="1" applyFont="1" applyFill="1" applyBorder="1"/>
    <xf numFmtId="174" fontId="179" fillId="29" borderId="9" xfId="0" applyNumberFormat="1" applyFont="1" applyFill="1" applyBorder="1"/>
    <xf numFmtId="174" fontId="179" fillId="30" borderId="9" xfId="0" applyNumberFormat="1" applyFont="1" applyFill="1" applyBorder="1"/>
    <xf numFmtId="174" fontId="179" fillId="40" borderId="9" xfId="0" applyNumberFormat="1" applyFont="1" applyFill="1" applyBorder="1"/>
    <xf numFmtId="174" fontId="179" fillId="28" borderId="9" xfId="0" applyNumberFormat="1" applyFont="1" applyFill="1" applyBorder="1"/>
    <xf numFmtId="174" fontId="179" fillId="36" borderId="9" xfId="0" applyNumberFormat="1" applyFont="1" applyFill="1" applyBorder="1"/>
    <xf numFmtId="38" fontId="179" fillId="31" borderId="9" xfId="0" applyNumberFormat="1" applyFont="1" applyFill="1" applyBorder="1"/>
    <xf numFmtId="38" fontId="179" fillId="25" borderId="9" xfId="0" applyNumberFormat="1" applyFont="1" applyFill="1" applyBorder="1"/>
    <xf numFmtId="38" fontId="179" fillId="29" borderId="9" xfId="0" applyNumberFormat="1" applyFont="1" applyFill="1" applyBorder="1"/>
    <xf numFmtId="38" fontId="179" fillId="30" borderId="9" xfId="0" applyNumberFormat="1" applyFont="1" applyFill="1" applyBorder="1"/>
    <xf numFmtId="38" fontId="179" fillId="40" borderId="9" xfId="0" applyNumberFormat="1" applyFont="1" applyFill="1" applyBorder="1"/>
    <xf numFmtId="38" fontId="179" fillId="28" borderId="9" xfId="0" applyNumberFormat="1" applyFont="1" applyFill="1" applyBorder="1"/>
    <xf numFmtId="38" fontId="179" fillId="36" borderId="9" xfId="0" applyNumberFormat="1" applyFont="1" applyFill="1" applyBorder="1"/>
    <xf numFmtId="0" fontId="179" fillId="25" borderId="122" xfId="0" applyFont="1" applyFill="1" applyBorder="1"/>
    <xf numFmtId="0" fontId="179" fillId="29" borderId="122" xfId="0" applyFont="1" applyFill="1" applyBorder="1"/>
    <xf numFmtId="0" fontId="179" fillId="30" borderId="122" xfId="0" applyFont="1" applyFill="1" applyBorder="1"/>
    <xf numFmtId="0" fontId="179" fillId="40" borderId="122" xfId="0" applyFont="1" applyFill="1" applyBorder="1"/>
    <xf numFmtId="0" fontId="179" fillId="28" borderId="122" xfId="0" applyFont="1" applyFill="1" applyBorder="1"/>
    <xf numFmtId="0" fontId="179" fillId="36" borderId="122" xfId="0" applyFont="1" applyFill="1" applyBorder="1"/>
    <xf numFmtId="38" fontId="179" fillId="26" borderId="122" xfId="0" applyNumberFormat="1" applyFont="1" applyFill="1" applyBorder="1"/>
    <xf numFmtId="38" fontId="178" fillId="26" borderId="23" xfId="0" applyNumberFormat="1" applyFont="1" applyFill="1" applyBorder="1"/>
    <xf numFmtId="38" fontId="178" fillId="26" borderId="12" xfId="0" applyNumberFormat="1" applyFont="1" applyFill="1" applyBorder="1"/>
    <xf numFmtId="38" fontId="178" fillId="12" borderId="23" xfId="0" applyNumberFormat="1" applyFont="1" applyFill="1" applyBorder="1"/>
    <xf numFmtId="38" fontId="178" fillId="26" borderId="130" xfId="0" applyNumberFormat="1" applyFont="1" applyFill="1" applyBorder="1"/>
    <xf numFmtId="0" fontId="179" fillId="31" borderId="0" xfId="0" applyFont="1" applyFill="1"/>
    <xf numFmtId="0" fontId="179" fillId="25" borderId="0" xfId="0" applyFont="1" applyFill="1"/>
    <xf numFmtId="0" fontId="179" fillId="6" borderId="0" xfId="0" applyFont="1" applyFill="1"/>
    <xf numFmtId="0" fontId="179" fillId="19" borderId="0" xfId="0" applyFont="1" applyFill="1"/>
    <xf numFmtId="38" fontId="179" fillId="40" borderId="12" xfId="0" applyNumberFormat="1" applyFont="1" applyFill="1" applyBorder="1"/>
    <xf numFmtId="38" fontId="179" fillId="36" borderId="97" xfId="0" applyNumberFormat="1" applyFont="1" applyFill="1" applyBorder="1"/>
    <xf numFmtId="37" fontId="179" fillId="25" borderId="12" xfId="0" applyNumberFormat="1" applyFont="1" applyFill="1" applyBorder="1"/>
    <xf numFmtId="37" fontId="179" fillId="6" borderId="12" xfId="0" applyNumberFormat="1" applyFont="1" applyFill="1" applyBorder="1"/>
    <xf numFmtId="37" fontId="179" fillId="19" borderId="12" xfId="0" applyNumberFormat="1" applyFont="1" applyFill="1" applyBorder="1"/>
    <xf numFmtId="38" fontId="179" fillId="36" borderId="130" xfId="0" applyNumberFormat="1" applyFont="1" applyFill="1" applyBorder="1"/>
    <xf numFmtId="38" fontId="179" fillId="25" borderId="12" xfId="0" applyNumberFormat="1" applyFont="1" applyFill="1" applyBorder="1"/>
    <xf numFmtId="38" fontId="179" fillId="6" borderId="12" xfId="0" applyNumberFormat="1" applyFont="1" applyFill="1" applyBorder="1"/>
    <xf numFmtId="38" fontId="179" fillId="19" borderId="12" xfId="0" applyNumberFormat="1" applyFont="1" applyFill="1" applyBorder="1"/>
    <xf numFmtId="38" fontId="178" fillId="25" borderId="12" xfId="0" applyNumberFormat="1" applyFont="1" applyFill="1" applyBorder="1"/>
    <xf numFmtId="38" fontId="178" fillId="6" borderId="12" xfId="0" applyNumberFormat="1" applyFont="1" applyFill="1" applyBorder="1"/>
    <xf numFmtId="38" fontId="178" fillId="19" borderId="12" xfId="0" applyNumberFormat="1" applyFont="1" applyFill="1" applyBorder="1"/>
    <xf numFmtId="38" fontId="178" fillId="40" borderId="12" xfId="0" applyNumberFormat="1" applyFont="1" applyFill="1" applyBorder="1"/>
    <xf numFmtId="38" fontId="178" fillId="36" borderId="130" xfId="0" applyNumberFormat="1" applyFont="1" applyFill="1" applyBorder="1"/>
    <xf numFmtId="38" fontId="178" fillId="25" borderId="0" xfId="0" applyNumberFormat="1" applyFont="1" applyFill="1"/>
    <xf numFmtId="38" fontId="178" fillId="6" borderId="0" xfId="0" applyNumberFormat="1" applyFont="1" applyFill="1"/>
    <xf numFmtId="38" fontId="178" fillId="19" borderId="0" xfId="0" applyNumberFormat="1" applyFont="1" applyFill="1"/>
    <xf numFmtId="0" fontId="180" fillId="40" borderId="0" xfId="0" applyFont="1" applyFill="1"/>
    <xf numFmtId="0" fontId="180" fillId="36" borderId="97" xfId="0" applyFont="1" applyFill="1" applyBorder="1"/>
    <xf numFmtId="38" fontId="181" fillId="26" borderId="12" xfId="0" applyNumberFormat="1" applyFont="1" applyFill="1" applyBorder="1"/>
    <xf numFmtId="38" fontId="181" fillId="25" borderId="106" xfId="0" applyNumberFormat="1" applyFont="1" applyFill="1" applyBorder="1"/>
    <xf numFmtId="38" fontId="181" fillId="26" borderId="106" xfId="0" applyNumberFormat="1" applyFont="1" applyFill="1" applyBorder="1"/>
    <xf numFmtId="38" fontId="181" fillId="26" borderId="130" xfId="0" applyNumberFormat="1" applyFont="1" applyFill="1" applyBorder="1"/>
    <xf numFmtId="38" fontId="181" fillId="25" borderId="0" xfId="0" applyNumberFormat="1" applyFont="1" applyFill="1"/>
    <xf numFmtId="38" fontId="181" fillId="6" borderId="0" xfId="0" applyNumberFormat="1" applyFont="1" applyFill="1"/>
    <xf numFmtId="38" fontId="181" fillId="19" borderId="0" xfId="0" applyNumberFormat="1" applyFont="1" applyFill="1"/>
    <xf numFmtId="38" fontId="179" fillId="31" borderId="103" xfId="0" applyNumberFormat="1" applyFont="1" applyFill="1" applyBorder="1"/>
    <xf numFmtId="38" fontId="179" fillId="25" borderId="121" xfId="0" applyNumberFormat="1" applyFont="1" applyFill="1" applyBorder="1"/>
    <xf numFmtId="38" fontId="179" fillId="6" borderId="121" xfId="0" applyNumberFormat="1" applyFont="1" applyFill="1" applyBorder="1"/>
    <xf numFmtId="38" fontId="179" fillId="19" borderId="121" xfId="0" applyNumberFormat="1" applyFont="1" applyFill="1" applyBorder="1"/>
    <xf numFmtId="38" fontId="180" fillId="40" borderId="121" xfId="0" applyNumberFormat="1" applyFont="1" applyFill="1" applyBorder="1"/>
    <xf numFmtId="38" fontId="180" fillId="36" borderId="130" xfId="0" applyNumberFormat="1" applyFont="1" applyFill="1" applyBorder="1"/>
    <xf numFmtId="0" fontId="179" fillId="25" borderId="20" xfId="0" applyFont="1" applyFill="1" applyBorder="1" applyAlignment="1">
      <alignment horizontal="center"/>
    </xf>
    <xf numFmtId="0" fontId="179" fillId="6" borderId="20" xfId="0" applyFont="1" applyFill="1" applyBorder="1" applyAlignment="1">
      <alignment horizontal="center"/>
    </xf>
    <xf numFmtId="0" fontId="179" fillId="30" borderId="20" xfId="0" applyFont="1" applyFill="1" applyBorder="1" applyAlignment="1">
      <alignment horizontal="center"/>
    </xf>
    <xf numFmtId="0" fontId="179" fillId="40" borderId="116" xfId="0" applyFont="1" applyFill="1" applyBorder="1" applyAlignment="1">
      <alignment horizontal="center"/>
    </xf>
    <xf numFmtId="0" fontId="179" fillId="29" borderId="116" xfId="0" applyFont="1" applyFill="1" applyBorder="1" applyAlignment="1">
      <alignment horizontal="center"/>
    </xf>
    <xf numFmtId="0" fontId="179" fillId="29" borderId="139" xfId="0" applyFont="1" applyFill="1" applyBorder="1" applyAlignment="1">
      <alignment horizontal="center"/>
    </xf>
    <xf numFmtId="0" fontId="0" fillId="42" borderId="97" xfId="0" applyFill="1" applyBorder="1"/>
    <xf numFmtId="14" fontId="4" fillId="42" borderId="0" xfId="0" applyNumberFormat="1" applyFont="1" applyFill="1" applyAlignment="1">
      <alignment horizontal="right"/>
    </xf>
    <xf numFmtId="14" fontId="4" fillId="42" borderId="97" xfId="0" applyNumberFormat="1" applyFont="1" applyFill="1" applyBorder="1" applyAlignment="1">
      <alignment horizontal="right"/>
    </xf>
    <xf numFmtId="0" fontId="73" fillId="42" borderId="9" xfId="0" quotePrefix="1" applyFont="1" applyFill="1" applyBorder="1" applyAlignment="1">
      <alignment horizontal="center"/>
    </xf>
    <xf numFmtId="0" fontId="91" fillId="42" borderId="104" xfId="0" applyFont="1" applyFill="1" applyBorder="1" applyAlignment="1">
      <alignment horizontal="center"/>
    </xf>
    <xf numFmtId="0" fontId="91" fillId="42" borderId="105" xfId="0" applyFont="1" applyFill="1" applyBorder="1" applyAlignment="1">
      <alignment horizontal="center"/>
    </xf>
    <xf numFmtId="169" fontId="156" fillId="42" borderId="9" xfId="0" applyNumberFormat="1" applyFont="1" applyFill="1" applyBorder="1"/>
    <xf numFmtId="169" fontId="156" fillId="42" borderId="99" xfId="0" applyNumberFormat="1" applyFont="1" applyFill="1" applyBorder="1"/>
    <xf numFmtId="175" fontId="156" fillId="42" borderId="9" xfId="0" applyNumberFormat="1" applyFont="1" applyFill="1" applyBorder="1"/>
    <xf numFmtId="175" fontId="156" fillId="42" borderId="99" xfId="0" applyNumberFormat="1" applyFont="1" applyFill="1" applyBorder="1"/>
    <xf numFmtId="174" fontId="156" fillId="42" borderId="9" xfId="0" applyNumberFormat="1" applyFont="1" applyFill="1" applyBorder="1"/>
    <xf numFmtId="174" fontId="156" fillId="42" borderId="99" xfId="0" applyNumberFormat="1" applyFont="1" applyFill="1" applyBorder="1"/>
    <xf numFmtId="38" fontId="156" fillId="42" borderId="9" xfId="0" applyNumberFormat="1" applyFont="1" applyFill="1" applyBorder="1"/>
    <xf numFmtId="38" fontId="156" fillId="42" borderId="99" xfId="0" applyNumberFormat="1" applyFont="1" applyFill="1" applyBorder="1"/>
    <xf numFmtId="0" fontId="156" fillId="42" borderId="0" xfId="0" applyFont="1" applyFill="1"/>
    <xf numFmtId="0" fontId="156" fillId="42" borderId="97" xfId="0" applyFont="1" applyFill="1" applyBorder="1"/>
    <xf numFmtId="38" fontId="26" fillId="42" borderId="9" xfId="0" applyNumberFormat="1" applyFont="1" applyFill="1" applyBorder="1"/>
    <xf numFmtId="37" fontId="156" fillId="42" borderId="9" xfId="0" applyNumberFormat="1" applyFont="1" applyFill="1" applyBorder="1"/>
    <xf numFmtId="38" fontId="159" fillId="42" borderId="108" xfId="0" applyNumberFormat="1" applyFont="1" applyFill="1" applyBorder="1"/>
    <xf numFmtId="38" fontId="159" fillId="42" borderId="99" xfId="0" applyNumberFormat="1" applyFont="1" applyFill="1" applyBorder="1"/>
    <xf numFmtId="0" fontId="159" fillId="42" borderId="0" xfId="0" applyFont="1" applyFill="1"/>
    <xf numFmtId="38" fontId="174" fillId="42" borderId="108" xfId="0" applyNumberFormat="1" applyFont="1" applyFill="1" applyBorder="1"/>
    <xf numFmtId="0" fontId="91" fillId="42" borderId="9" xfId="0" applyFont="1" applyFill="1" applyBorder="1" applyAlignment="1">
      <alignment horizontal="center"/>
    </xf>
    <xf numFmtId="0" fontId="155" fillId="42" borderId="9" xfId="0" applyFont="1" applyFill="1" applyBorder="1" applyAlignment="1">
      <alignment horizontal="center"/>
    </xf>
    <xf numFmtId="38" fontId="46" fillId="42" borderId="108" xfId="0" applyNumberFormat="1" applyFont="1" applyFill="1" applyBorder="1"/>
    <xf numFmtId="38" fontId="46" fillId="42" borderId="99" xfId="0" applyNumberFormat="1" applyFont="1" applyFill="1" applyBorder="1"/>
    <xf numFmtId="38" fontId="131" fillId="42" borderId="9" xfId="0" applyNumberFormat="1" applyFont="1" applyFill="1" applyBorder="1"/>
    <xf numFmtId="38" fontId="128" fillId="42" borderId="0" xfId="0" applyNumberFormat="1" applyFont="1" applyFill="1"/>
    <xf numFmtId="38" fontId="48" fillId="42" borderId="62" xfId="0" applyNumberFormat="1" applyFont="1" applyFill="1" applyBorder="1"/>
    <xf numFmtId="38" fontId="143" fillId="42" borderId="0" xfId="0" applyNumberFormat="1" applyFont="1" applyFill="1"/>
    <xf numFmtId="38" fontId="0" fillId="42" borderId="121" xfId="0" applyNumberFormat="1" applyFill="1" applyBorder="1"/>
    <xf numFmtId="38" fontId="0" fillId="42" borderId="123" xfId="0" applyNumberFormat="1" applyFill="1" applyBorder="1"/>
    <xf numFmtId="0" fontId="88" fillId="42" borderId="122" xfId="0" applyFont="1" applyFill="1" applyBorder="1" applyAlignment="1">
      <alignment horizontal="center"/>
    </xf>
    <xf numFmtId="0" fontId="88" fillId="42" borderId="99" xfId="0" applyFont="1" applyFill="1" applyBorder="1" applyAlignment="1">
      <alignment horizontal="center"/>
    </xf>
    <xf numFmtId="0" fontId="125" fillId="42" borderId="122" xfId="0" quotePrefix="1" applyFont="1" applyFill="1" applyBorder="1" applyAlignment="1">
      <alignment horizontal="center"/>
    </xf>
    <xf numFmtId="38" fontId="173" fillId="42" borderId="108" xfId="0" applyNumberFormat="1" applyFont="1" applyFill="1" applyBorder="1"/>
    <xf numFmtId="38" fontId="173" fillId="42" borderId="99" xfId="0" applyNumberFormat="1" applyFont="1" applyFill="1" applyBorder="1"/>
    <xf numFmtId="38" fontId="0" fillId="42" borderId="99" xfId="0" applyNumberFormat="1" applyFill="1" applyBorder="1"/>
    <xf numFmtId="38" fontId="171" fillId="42" borderId="121" xfId="0" applyNumberFormat="1" applyFont="1" applyFill="1" applyBorder="1"/>
    <xf numFmtId="38" fontId="171" fillId="42" borderId="99" xfId="0" applyNumberFormat="1" applyFont="1" applyFill="1" applyBorder="1"/>
    <xf numFmtId="0" fontId="4" fillId="42" borderId="22" xfId="0" applyFont="1" applyFill="1" applyBorder="1" applyAlignment="1">
      <alignment horizontal="center"/>
    </xf>
    <xf numFmtId="174" fontId="4" fillId="42" borderId="20" xfId="0" applyNumberFormat="1" applyFont="1" applyFill="1" applyBorder="1"/>
    <xf numFmtId="38" fontId="4" fillId="42" borderId="23" xfId="0" applyNumberFormat="1" applyFont="1" applyFill="1" applyBorder="1"/>
    <xf numFmtId="0" fontId="87" fillId="42" borderId="0" xfId="0" applyFont="1" applyFill="1" applyAlignment="1">
      <alignment horizontal="center"/>
    </xf>
    <xf numFmtId="0" fontId="87" fillId="42" borderId="97" xfId="0" applyFont="1" applyFill="1" applyBorder="1" applyAlignment="1">
      <alignment horizontal="center"/>
    </xf>
    <xf numFmtId="38" fontId="87" fillId="42" borderId="0" xfId="0" quotePrefix="1" applyNumberFormat="1" applyFont="1" applyFill="1" applyAlignment="1">
      <alignment horizontal="center"/>
    </xf>
    <xf numFmtId="0" fontId="87" fillId="42" borderId="0" xfId="0" quotePrefix="1" applyFont="1" applyFill="1" applyAlignment="1">
      <alignment horizontal="center"/>
    </xf>
    <xf numFmtId="38" fontId="87" fillId="42" borderId="97" xfId="0" quotePrefix="1" applyNumberFormat="1" applyFont="1" applyFill="1" applyBorder="1" applyAlignment="1">
      <alignment horizontal="center"/>
    </xf>
    <xf numFmtId="0" fontId="87" fillId="42" borderId="97" xfId="0" quotePrefix="1" applyFont="1" applyFill="1" applyBorder="1" applyAlignment="1">
      <alignment horizontal="center"/>
    </xf>
    <xf numFmtId="174" fontId="87" fillId="42" borderId="2" xfId="0" applyNumberFormat="1" applyFont="1" applyFill="1" applyBorder="1"/>
    <xf numFmtId="37" fontId="87" fillId="42" borderId="2" xfId="0" applyNumberFormat="1" applyFont="1" applyFill="1" applyBorder="1" applyAlignment="1">
      <alignment horizontal="center"/>
    </xf>
    <xf numFmtId="37" fontId="87" fillId="42" borderId="98" xfId="0" applyNumberFormat="1" applyFont="1" applyFill="1" applyBorder="1" applyAlignment="1">
      <alignment horizontal="center"/>
    </xf>
    <xf numFmtId="167" fontId="87" fillId="42" borderId="2" xfId="0" applyNumberFormat="1" applyFont="1" applyFill="1" applyBorder="1"/>
    <xf numFmtId="167" fontId="87" fillId="42" borderId="0" xfId="0" applyNumberFormat="1" applyFont="1" applyFill="1"/>
    <xf numFmtId="167" fontId="87" fillId="42" borderId="98" xfId="0" applyNumberFormat="1" applyFont="1" applyFill="1" applyBorder="1"/>
    <xf numFmtId="40" fontId="87" fillId="42" borderId="2" xfId="0" applyNumberFormat="1" applyFont="1" applyFill="1" applyBorder="1"/>
    <xf numFmtId="40" fontId="87" fillId="42" borderId="0" xfId="0" applyNumberFormat="1" applyFont="1" applyFill="1"/>
    <xf numFmtId="40" fontId="87" fillId="42" borderId="98" xfId="0" applyNumberFormat="1" applyFont="1" applyFill="1" applyBorder="1"/>
    <xf numFmtId="38" fontId="87" fillId="42" borderId="9" xfId="0" applyNumberFormat="1" applyFont="1" applyFill="1" applyBorder="1"/>
    <xf numFmtId="38" fontId="87" fillId="42" borderId="99" xfId="0" applyNumberFormat="1" applyFont="1" applyFill="1" applyBorder="1"/>
    <xf numFmtId="38" fontId="87" fillId="42" borderId="97" xfId="0" applyNumberFormat="1" applyFont="1" applyFill="1" applyBorder="1"/>
    <xf numFmtId="38" fontId="87" fillId="42" borderId="8" xfId="0" applyNumberFormat="1" applyFont="1" applyFill="1" applyBorder="1"/>
    <xf numFmtId="38" fontId="87" fillId="42" borderId="100" xfId="0" applyNumberFormat="1" applyFont="1" applyFill="1" applyBorder="1"/>
    <xf numFmtId="38" fontId="87" fillId="42" borderId="9" xfId="0" applyNumberFormat="1" applyFont="1" applyFill="1" applyBorder="1" applyAlignment="1" applyProtection="1">
      <alignment horizontal="center"/>
      <protection locked="0"/>
    </xf>
    <xf numFmtId="38" fontId="87" fillId="42" borderId="9" xfId="0" applyNumberFormat="1" applyFont="1" applyFill="1" applyBorder="1" applyAlignment="1">
      <alignment horizontal="center"/>
    </xf>
    <xf numFmtId="0" fontId="87" fillId="42" borderId="0" xfId="0" quotePrefix="1" applyFont="1" applyFill="1"/>
    <xf numFmtId="38" fontId="73" fillId="42" borderId="126" xfId="0" applyNumberFormat="1" applyFont="1" applyFill="1" applyBorder="1"/>
    <xf numFmtId="38" fontId="83" fillId="42" borderId="120" xfId="0" applyNumberFormat="1" applyFont="1" applyFill="1" applyBorder="1"/>
    <xf numFmtId="38" fontId="83" fillId="42" borderId="122" xfId="0" applyNumberFormat="1" applyFont="1" applyFill="1" applyBorder="1"/>
    <xf numFmtId="38" fontId="83" fillId="42" borderId="97" xfId="0" applyNumberFormat="1" applyFont="1" applyFill="1" applyBorder="1"/>
    <xf numFmtId="38" fontId="87" fillId="42" borderId="101" xfId="0" applyNumberFormat="1" applyFont="1" applyFill="1" applyBorder="1"/>
    <xf numFmtId="0" fontId="87" fillId="42" borderId="9" xfId="0" applyFont="1" applyFill="1" applyBorder="1"/>
    <xf numFmtId="0" fontId="0" fillId="42" borderId="121" xfId="0" applyFill="1" applyBorder="1"/>
    <xf numFmtId="0" fontId="0" fillId="42" borderId="123" xfId="0" applyFill="1" applyBorder="1"/>
    <xf numFmtId="37" fontId="87" fillId="42" borderId="114" xfId="0" applyNumberFormat="1" applyFont="1" applyFill="1" applyBorder="1"/>
    <xf numFmtId="174" fontId="87" fillId="42" borderId="114" xfId="0" applyNumberFormat="1" applyFont="1" applyFill="1" applyBorder="1"/>
    <xf numFmtId="37" fontId="87" fillId="42" borderId="114" xfId="0" applyNumberFormat="1" applyFont="1" applyFill="1" applyBorder="1" applyAlignment="1">
      <alignment horizontal="center"/>
    </xf>
    <xf numFmtId="167" fontId="87" fillId="42" borderId="114" xfId="0" applyNumberFormat="1" applyFont="1" applyFill="1" applyBorder="1"/>
    <xf numFmtId="38" fontId="87" fillId="42" borderId="114" xfId="0" applyNumberFormat="1" applyFont="1" applyFill="1" applyBorder="1"/>
    <xf numFmtId="40" fontId="87" fillId="42" borderId="114" xfId="0" applyNumberFormat="1" applyFont="1" applyFill="1" applyBorder="1"/>
    <xf numFmtId="174" fontId="30" fillId="42" borderId="2" xfId="0" applyNumberFormat="1" applyFont="1" applyFill="1" applyBorder="1"/>
    <xf numFmtId="174" fontId="30" fillId="42" borderId="114" xfId="0" applyNumberFormat="1" applyFont="1" applyFill="1" applyBorder="1"/>
    <xf numFmtId="0" fontId="83" fillId="42" borderId="0" xfId="0" applyFont="1" applyFill="1"/>
    <xf numFmtId="0" fontId="83" fillId="42" borderId="97" xfId="0" applyFont="1" applyFill="1" applyBorder="1"/>
    <xf numFmtId="37" fontId="83" fillId="42" borderId="2" xfId="0" applyNumberFormat="1" applyFont="1" applyFill="1" applyBorder="1"/>
    <xf numFmtId="37" fontId="83" fillId="42" borderId="114" xfId="0" applyNumberFormat="1" applyFont="1" applyFill="1" applyBorder="1"/>
    <xf numFmtId="167" fontId="83" fillId="42" borderId="2" xfId="0" applyNumberFormat="1" applyFont="1" applyFill="1" applyBorder="1"/>
    <xf numFmtId="167" fontId="83" fillId="42" borderId="114" xfId="0" applyNumberFormat="1" applyFont="1" applyFill="1" applyBorder="1"/>
    <xf numFmtId="38" fontId="83" fillId="42" borderId="114" xfId="0" applyNumberFormat="1" applyFont="1" applyFill="1" applyBorder="1"/>
    <xf numFmtId="0" fontId="83" fillId="42" borderId="0" xfId="0" applyFont="1" applyFill="1" applyAlignment="1">
      <alignment horizontal="center"/>
    </xf>
    <xf numFmtId="174" fontId="83" fillId="42" borderId="114" xfId="0" applyNumberFormat="1" applyFont="1" applyFill="1" applyBorder="1"/>
    <xf numFmtId="40" fontId="83" fillId="42" borderId="2" xfId="0" applyNumberFormat="1" applyFont="1" applyFill="1" applyBorder="1"/>
    <xf numFmtId="40" fontId="83" fillId="42" borderId="114" xfId="0" applyNumberFormat="1" applyFont="1" applyFill="1" applyBorder="1"/>
    <xf numFmtId="38" fontId="83" fillId="42" borderId="99" xfId="0" applyNumberFormat="1" applyFont="1" applyFill="1" applyBorder="1"/>
    <xf numFmtId="38" fontId="83" fillId="42" borderId="8" xfId="0" applyNumberFormat="1" applyFont="1" applyFill="1" applyBorder="1"/>
    <xf numFmtId="38" fontId="83" fillId="42" borderId="100" xfId="0" applyNumberFormat="1" applyFont="1" applyFill="1" applyBorder="1"/>
    <xf numFmtId="0" fontId="134" fillId="17" borderId="9" xfId="0" applyFont="1" applyFill="1" applyBorder="1"/>
    <xf numFmtId="0" fontId="142" fillId="17" borderId="9" xfId="0" applyFont="1" applyFill="1" applyBorder="1"/>
    <xf numFmtId="0" fontId="153" fillId="17" borderId="9" xfId="0" applyFont="1" applyFill="1" applyBorder="1"/>
    <xf numFmtId="0" fontId="171" fillId="17" borderId="9" xfId="0" applyFont="1" applyFill="1" applyBorder="1"/>
    <xf numFmtId="38" fontId="182" fillId="9" borderId="89" xfId="0" applyNumberFormat="1" applyFont="1" applyFill="1" applyBorder="1"/>
    <xf numFmtId="37" fontId="182" fillId="20" borderId="93" xfId="0" applyNumberFormat="1" applyFont="1" applyFill="1" applyBorder="1"/>
    <xf numFmtId="174" fontId="182" fillId="20" borderId="93" xfId="0" applyNumberFormat="1" applyFont="1" applyFill="1" applyBorder="1"/>
    <xf numFmtId="0" fontId="183" fillId="20" borderId="93" xfId="0" applyFont="1" applyFill="1" applyBorder="1"/>
    <xf numFmtId="174" fontId="182" fillId="20" borderId="2" xfId="0" applyNumberFormat="1" applyFont="1" applyFill="1" applyBorder="1"/>
    <xf numFmtId="38" fontId="182" fillId="20" borderId="2" xfId="0" applyNumberFormat="1" applyFont="1" applyFill="1" applyBorder="1"/>
    <xf numFmtId="38" fontId="182" fillId="45" borderId="140" xfId="0" applyNumberFormat="1" applyFont="1" applyFill="1" applyBorder="1"/>
    <xf numFmtId="38" fontId="182" fillId="45" borderId="36" xfId="0" applyNumberFormat="1" applyFont="1" applyFill="1" applyBorder="1"/>
    <xf numFmtId="174" fontId="182" fillId="45" borderId="9" xfId="0" applyNumberFormat="1" applyFont="1" applyFill="1" applyBorder="1"/>
    <xf numFmtId="38" fontId="182" fillId="45" borderId="9" xfId="0" applyNumberFormat="1" applyFont="1" applyFill="1" applyBorder="1" applyAlignment="1">
      <alignment horizontal="right"/>
    </xf>
    <xf numFmtId="38" fontId="1" fillId="2" borderId="0" xfId="0" applyNumberFormat="1" applyFont="1"/>
    <xf numFmtId="38" fontId="4" fillId="9" borderId="89" xfId="0" applyNumberFormat="1" applyFont="1" applyFill="1" applyBorder="1"/>
    <xf numFmtId="37" fontId="4" fillId="19" borderId="93" xfId="0" applyNumberFormat="1" applyFont="1" applyFill="1" applyBorder="1"/>
    <xf numFmtId="174" fontId="4" fillId="30" borderId="2" xfId="0" applyNumberFormat="1" applyFont="1" applyFill="1" applyBorder="1"/>
    <xf numFmtId="174" fontId="4" fillId="19" borderId="93" xfId="0" applyNumberFormat="1" applyFont="1" applyFill="1" applyBorder="1"/>
    <xf numFmtId="0" fontId="4" fillId="19" borderId="93"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0" borderId="140" xfId="0" applyNumberFormat="1" applyFont="1" applyFill="1" applyBorder="1"/>
    <xf numFmtId="38" fontId="4" fillId="30" borderId="9" xfId="0" applyNumberFormat="1" applyFont="1" applyFill="1" applyBorder="1" applyAlignment="1">
      <alignment horizontal="right"/>
    </xf>
    <xf numFmtId="0" fontId="4" fillId="19" borderId="140" xfId="0" quotePrefix="1" applyFont="1" applyFill="1" applyBorder="1" applyAlignment="1">
      <alignment horizontal="center"/>
    </xf>
    <xf numFmtId="174" fontId="4" fillId="30" borderId="127" xfId="0" applyNumberFormat="1" applyFont="1" applyFill="1" applyBorder="1"/>
    <xf numFmtId="37" fontId="182" fillId="33" borderId="93" xfId="0" applyNumberFormat="1" applyFont="1" applyFill="1" applyBorder="1"/>
    <xf numFmtId="174" fontId="182" fillId="33" borderId="93" xfId="0" applyNumberFormat="1" applyFont="1" applyFill="1" applyBorder="1"/>
    <xf numFmtId="0" fontId="182" fillId="33" borderId="93" xfId="0" applyFont="1" applyFill="1" applyBorder="1"/>
    <xf numFmtId="174" fontId="182" fillId="33" borderId="2" xfId="0" applyNumberFormat="1" applyFont="1" applyFill="1" applyBorder="1"/>
    <xf numFmtId="38" fontId="182" fillId="33" borderId="2" xfId="0" applyNumberFormat="1" applyFont="1" applyFill="1" applyBorder="1"/>
    <xf numFmtId="0" fontId="182" fillId="33" borderId="140" xfId="0" quotePrefix="1" applyFont="1" applyFill="1" applyBorder="1" applyAlignment="1">
      <alignment horizontal="center"/>
    </xf>
    <xf numFmtId="38" fontId="182" fillId="33" borderId="140" xfId="0" applyNumberFormat="1" applyFont="1" applyFill="1" applyBorder="1"/>
    <xf numFmtId="174" fontId="182" fillId="33" borderId="127" xfId="0" applyNumberFormat="1" applyFont="1" applyFill="1" applyBorder="1"/>
    <xf numFmtId="38" fontId="182" fillId="33" borderId="9" xfId="0" applyNumberFormat="1" applyFont="1" applyFill="1" applyBorder="1" applyAlignment="1">
      <alignment horizontal="right"/>
    </xf>
    <xf numFmtId="0" fontId="4" fillId="27" borderId="0" xfId="0" quotePrefix="1" applyFont="1" applyFill="1" applyAlignment="1">
      <alignment horizontal="center"/>
    </xf>
    <xf numFmtId="0" fontId="73" fillId="27" borderId="0" xfId="0" quotePrefix="1" applyFont="1" applyFill="1" applyAlignment="1">
      <alignment horizontal="center"/>
    </xf>
    <xf numFmtId="0" fontId="4" fillId="27" borderId="0" xfId="0" applyFont="1" applyFill="1" applyAlignment="1">
      <alignment horizontal="center"/>
    </xf>
    <xf numFmtId="0" fontId="110" fillId="27" borderId="0" xfId="0" applyFont="1" applyFill="1"/>
    <xf numFmtId="0" fontId="0" fillId="27" borderId="0" xfId="0" applyFill="1" applyAlignment="1">
      <alignment horizontal="right"/>
    </xf>
    <xf numFmtId="167" fontId="30" fillId="27" borderId="0" xfId="0" applyNumberFormat="1" applyFont="1" applyFill="1"/>
    <xf numFmtId="0" fontId="94" fillId="27" borderId="0" xfId="0" applyFont="1" applyFill="1" applyAlignment="1">
      <alignment horizontal="right"/>
    </xf>
    <xf numFmtId="0" fontId="94" fillId="27" borderId="0" xfId="0" applyFont="1" applyFill="1" applyAlignment="1">
      <alignment horizontal="left"/>
    </xf>
    <xf numFmtId="0" fontId="89" fillId="27" borderId="0" xfId="0" applyFont="1" applyFill="1" applyAlignment="1">
      <alignment horizontal="right"/>
    </xf>
    <xf numFmtId="0" fontId="94" fillId="27" borderId="0" xfId="0" applyFont="1" applyFill="1"/>
    <xf numFmtId="0" fontId="37" fillId="27" borderId="0" xfId="0" applyFont="1" applyFill="1"/>
    <xf numFmtId="0" fontId="111" fillId="27" borderId="0" xfId="0" applyFont="1" applyFill="1"/>
    <xf numFmtId="0" fontId="49" fillId="27" borderId="0" xfId="0" applyFont="1" applyFill="1"/>
    <xf numFmtId="0" fontId="49" fillId="27" borderId="0" xfId="0" applyFont="1" applyFill="1" applyAlignment="1">
      <alignment horizontal="right"/>
    </xf>
    <xf numFmtId="174" fontId="49" fillId="27" borderId="0" xfId="0" applyNumberFormat="1" applyFont="1" applyFill="1"/>
    <xf numFmtId="38" fontId="0" fillId="27" borderId="0" xfId="0" applyNumberFormat="1" applyFill="1"/>
    <xf numFmtId="0" fontId="110" fillId="27" borderId="0" xfId="0" quotePrefix="1" applyFont="1" applyFill="1" applyAlignment="1">
      <alignment horizontal="center"/>
    </xf>
    <xf numFmtId="0" fontId="115" fillId="27" borderId="0" xfId="0" applyFont="1" applyFill="1"/>
    <xf numFmtId="0" fontId="73" fillId="27" borderId="0" xfId="0" applyFont="1" applyFill="1" applyAlignment="1">
      <alignment horizontal="left"/>
    </xf>
    <xf numFmtId="0" fontId="30" fillId="27" borderId="0" xfId="0" applyFont="1" applyFill="1"/>
    <xf numFmtId="174" fontId="110" fillId="27" borderId="0" xfId="0" applyNumberFormat="1" applyFont="1" applyFill="1"/>
    <xf numFmtId="0" fontId="83" fillId="27" borderId="0" xfId="0" applyFont="1" applyFill="1" applyAlignment="1">
      <alignment horizontal="right"/>
    </xf>
    <xf numFmtId="174" fontId="83" fillId="27" borderId="0" xfId="0" applyNumberFormat="1" applyFont="1" applyFill="1"/>
    <xf numFmtId="38" fontId="4" fillId="26" borderId="89" xfId="0" applyNumberFormat="1" applyFont="1" applyFill="1" applyBorder="1"/>
    <xf numFmtId="38" fontId="4" fillId="27" borderId="0" xfId="0" applyNumberFormat="1" applyFont="1" applyFill="1"/>
    <xf numFmtId="37" fontId="4" fillId="28" borderId="93" xfId="0" applyNumberFormat="1" applyFont="1" applyFill="1" applyBorder="1"/>
    <xf numFmtId="174" fontId="4" fillId="28" borderId="2" xfId="0" applyNumberFormat="1" applyFont="1" applyFill="1" applyBorder="1"/>
    <xf numFmtId="174" fontId="4" fillId="28" borderId="93" xfId="0" applyNumberFormat="1" applyFont="1" applyFill="1" applyBorder="1"/>
    <xf numFmtId="174" fontId="4" fillId="29" borderId="2" xfId="0" applyNumberFormat="1" applyFont="1" applyFill="1" applyBorder="1"/>
    <xf numFmtId="180" fontId="4" fillId="28" borderId="2" xfId="0" applyNumberFormat="1" applyFont="1" applyFill="1" applyBorder="1"/>
    <xf numFmtId="38" fontId="4" fillId="28" borderId="2" xfId="0" applyNumberFormat="1" applyFont="1" applyFill="1" applyBorder="1"/>
    <xf numFmtId="0" fontId="4" fillId="28" borderId="140" xfId="0" quotePrefix="1" applyFont="1" applyFill="1" applyBorder="1" applyAlignment="1">
      <alignment horizontal="center"/>
    </xf>
    <xf numFmtId="38" fontId="4" fillId="28" borderId="140" xfId="0" applyNumberFormat="1" applyFont="1" applyFill="1" applyBorder="1"/>
    <xf numFmtId="174" fontId="4" fillId="28" borderId="127" xfId="0" applyNumberFormat="1" applyFont="1" applyFill="1" applyBorder="1"/>
    <xf numFmtId="38" fontId="4" fillId="28" borderId="9" xfId="0" applyNumberFormat="1" applyFont="1" applyFill="1" applyBorder="1" applyAlignment="1">
      <alignment horizontal="right"/>
    </xf>
    <xf numFmtId="0" fontId="171" fillId="27" borderId="0" xfId="0" applyFont="1" applyFill="1"/>
    <xf numFmtId="0" fontId="169" fillId="27" borderId="0" xfId="0" applyFont="1" applyFill="1"/>
    <xf numFmtId="0" fontId="9" fillId="27" borderId="0" xfId="0" quotePrefix="1" applyFont="1" applyFill="1" applyAlignment="1">
      <alignment horizontal="center"/>
    </xf>
    <xf numFmtId="0" fontId="171" fillId="27" borderId="0" xfId="0" quotePrefix="1" applyFont="1" applyFill="1" applyAlignment="1">
      <alignment horizontal="center"/>
    </xf>
    <xf numFmtId="0" fontId="171" fillId="27" borderId="0" xfId="0" applyFont="1" applyFill="1" applyAlignment="1">
      <alignment horizontal="center"/>
    </xf>
    <xf numFmtId="0" fontId="171" fillId="27" borderId="0" xfId="0" applyFont="1" applyFill="1" applyAlignment="1">
      <alignment horizontal="right"/>
    </xf>
    <xf numFmtId="0" fontId="171" fillId="27" borderId="0" xfId="0" applyFont="1" applyFill="1" applyAlignment="1">
      <alignment horizontal="left"/>
    </xf>
    <xf numFmtId="38" fontId="4" fillId="26" borderId="108" xfId="0" applyNumberFormat="1" applyFont="1" applyFill="1" applyBorder="1"/>
    <xf numFmtId="0" fontId="4" fillId="25" borderId="121" xfId="0" applyFont="1" applyFill="1" applyBorder="1"/>
    <xf numFmtId="38" fontId="4" fillId="25" borderId="121" xfId="0" applyNumberFormat="1" applyFont="1" applyFill="1" applyBorder="1"/>
    <xf numFmtId="38" fontId="4" fillId="25" borderId="117" xfId="0" applyNumberFormat="1" applyFont="1" applyFill="1" applyBorder="1"/>
    <xf numFmtId="0" fontId="161" fillId="27" borderId="0" xfId="0" applyFont="1" applyFill="1"/>
    <xf numFmtId="40" fontId="4" fillId="25" borderId="117" xfId="0" applyNumberFormat="1" applyFont="1" applyFill="1" applyBorder="1"/>
    <xf numFmtId="0" fontId="182" fillId="27" borderId="0" xfId="0" applyFont="1" applyFill="1" applyAlignment="1">
      <alignment horizontal="right"/>
    </xf>
    <xf numFmtId="0" fontId="182" fillId="20" borderId="140" xfId="0" quotePrefix="1" applyFont="1" applyFill="1" applyBorder="1" applyAlignment="1">
      <alignment horizontal="center"/>
    </xf>
    <xf numFmtId="0" fontId="161" fillId="42" borderId="142" xfId="0" applyFont="1" applyFill="1" applyBorder="1"/>
    <xf numFmtId="174" fontId="4" fillId="6" borderId="2" xfId="0" applyNumberFormat="1" applyFont="1" applyFill="1" applyBorder="1"/>
    <xf numFmtId="174" fontId="4" fillId="25" borderId="2" xfId="0" applyNumberFormat="1" applyFont="1" applyFill="1" applyBorder="1"/>
    <xf numFmtId="180" fontId="4" fillId="25" borderId="2" xfId="0" applyNumberFormat="1" applyFont="1" applyFill="1" applyBorder="1"/>
    <xf numFmtId="174" fontId="161" fillId="29" borderId="108" xfId="0" applyNumberFormat="1" applyFont="1" applyFill="1" applyBorder="1"/>
    <xf numFmtId="37" fontId="1" fillId="27" borderId="0" xfId="0" applyNumberFormat="1" applyFont="1" applyFill="1"/>
    <xf numFmtId="37" fontId="1" fillId="27" borderId="0" xfId="0" applyNumberFormat="1" applyFont="1" applyFill="1" applyAlignment="1">
      <alignment horizontal="right"/>
    </xf>
    <xf numFmtId="37" fontId="4" fillId="27" borderId="0" xfId="0" applyNumberFormat="1" applyFont="1" applyFill="1"/>
    <xf numFmtId="0" fontId="4" fillId="25" borderId="143" xfId="0" applyFont="1" applyFill="1" applyBorder="1"/>
    <xf numFmtId="0" fontId="0" fillId="25" borderId="144" xfId="0" applyFill="1" applyBorder="1" applyAlignment="1">
      <alignment horizontal="right"/>
    </xf>
    <xf numFmtId="0" fontId="4" fillId="25" borderId="132" xfId="0" applyFont="1" applyFill="1" applyBorder="1"/>
    <xf numFmtId="38" fontId="0" fillId="25" borderId="115" xfId="0" applyNumberFormat="1" applyFill="1" applyBorder="1"/>
    <xf numFmtId="0" fontId="4" fillId="25" borderId="145" xfId="0" quotePrefix="1" applyFont="1" applyFill="1" applyBorder="1" applyAlignment="1">
      <alignment horizontal="center"/>
    </xf>
    <xf numFmtId="38" fontId="0" fillId="25" borderId="116" xfId="0" applyNumberFormat="1" applyFill="1" applyBorder="1" applyAlignment="1">
      <alignment horizontal="right"/>
    </xf>
    <xf numFmtId="38" fontId="0" fillId="25" borderId="144" xfId="0" applyNumberFormat="1" applyFill="1" applyBorder="1"/>
    <xf numFmtId="0" fontId="0" fillId="25" borderId="115" xfId="0" applyFill="1" applyBorder="1"/>
    <xf numFmtId="38" fontId="0" fillId="25" borderId="147" xfId="0" applyNumberFormat="1" applyFill="1" applyBorder="1"/>
    <xf numFmtId="0" fontId="4" fillId="26" borderId="147" xfId="0" applyFont="1" applyFill="1" applyBorder="1" applyAlignment="1">
      <alignment horizontal="center"/>
    </xf>
    <xf numFmtId="0" fontId="4" fillId="26" borderId="127" xfId="0" applyFont="1" applyFill="1" applyBorder="1" applyAlignment="1">
      <alignment horizontal="center"/>
    </xf>
    <xf numFmtId="0" fontId="4" fillId="25" borderId="146" xfId="0" applyFont="1" applyFill="1" applyBorder="1"/>
    <xf numFmtId="0" fontId="4" fillId="25" borderId="142" xfId="0" applyFont="1" applyFill="1" applyBorder="1"/>
    <xf numFmtId="37" fontId="14" fillId="15" borderId="147" xfId="0" applyNumberFormat="1" applyFont="1" applyFill="1" applyBorder="1"/>
    <xf numFmtId="37" fontId="1" fillId="15" borderId="118" xfId="0" applyNumberFormat="1" applyFont="1" applyFill="1" applyBorder="1"/>
    <xf numFmtId="0" fontId="4" fillId="15" borderId="118" xfId="0" applyFont="1" applyFill="1" applyBorder="1"/>
    <xf numFmtId="37" fontId="1" fillId="16" borderId="118" xfId="0" applyNumberFormat="1" applyFont="1" applyFill="1" applyBorder="1"/>
    <xf numFmtId="37" fontId="4" fillId="15" borderId="118" xfId="0" applyNumberFormat="1" applyFont="1" applyFill="1" applyBorder="1"/>
    <xf numFmtId="37" fontId="1" fillId="15" borderId="148" xfId="0" applyNumberFormat="1" applyFont="1" applyFill="1" applyBorder="1"/>
    <xf numFmtId="37" fontId="1" fillId="15" borderId="148" xfId="0" applyNumberFormat="1" applyFont="1" applyFill="1" applyBorder="1" applyAlignment="1">
      <alignment horizontal="right"/>
    </xf>
    <xf numFmtId="37" fontId="1" fillId="15" borderId="118" xfId="0" applyNumberFormat="1" applyFont="1" applyFill="1" applyBorder="1" applyAlignment="1">
      <alignment horizontal="right"/>
    </xf>
    <xf numFmtId="0" fontId="0" fillId="15" borderId="118" xfId="0" applyFill="1" applyBorder="1"/>
    <xf numFmtId="37" fontId="1" fillId="12" borderId="118" xfId="0" applyNumberFormat="1" applyFont="1" applyFill="1" applyBorder="1" applyAlignment="1">
      <alignment horizontal="right"/>
    </xf>
    <xf numFmtId="37" fontId="1" fillId="12" borderId="127" xfId="0" applyNumberFormat="1" applyFont="1" applyFill="1" applyBorder="1" applyAlignment="1">
      <alignment horizontal="right"/>
    </xf>
    <xf numFmtId="37" fontId="9" fillId="12" borderId="118" xfId="0" applyNumberFormat="1" applyFont="1" applyFill="1" applyBorder="1" applyAlignment="1">
      <alignment horizontal="right"/>
    </xf>
    <xf numFmtId="37" fontId="11" fillId="12" borderId="118" xfId="0" applyNumberFormat="1" applyFont="1" applyFill="1" applyBorder="1"/>
    <xf numFmtId="37" fontId="9" fillId="12" borderId="149" xfId="0" applyNumberFormat="1" applyFont="1" applyFill="1" applyBorder="1" applyAlignment="1">
      <alignment horizontal="right"/>
    </xf>
    <xf numFmtId="0" fontId="0" fillId="12" borderId="118" xfId="0" applyFill="1" applyBorder="1"/>
    <xf numFmtId="37" fontId="9" fillId="12" borderId="150" xfId="0" applyNumberFormat="1" applyFont="1" applyFill="1" applyBorder="1" applyAlignment="1">
      <alignment horizontal="right"/>
    </xf>
    <xf numFmtId="0" fontId="0" fillId="26" borderId="118" xfId="0" applyFill="1" applyBorder="1"/>
    <xf numFmtId="37" fontId="1" fillId="26" borderId="147" xfId="0" applyNumberFormat="1" applyFont="1" applyFill="1" applyBorder="1"/>
    <xf numFmtId="37" fontId="1" fillId="26" borderId="118" xfId="0" applyNumberFormat="1" applyFont="1" applyFill="1" applyBorder="1" applyAlignment="1">
      <alignment horizontal="right"/>
    </xf>
    <xf numFmtId="37" fontId="4" fillId="26" borderId="118" xfId="0" applyNumberFormat="1" applyFont="1" applyFill="1" applyBorder="1"/>
    <xf numFmtId="38" fontId="4" fillId="26" borderId="118" xfId="0" applyNumberFormat="1" applyFont="1" applyFill="1" applyBorder="1"/>
    <xf numFmtId="38" fontId="4" fillId="26" borderId="127" xfId="0" applyNumberFormat="1" applyFont="1" applyFill="1" applyBorder="1"/>
    <xf numFmtId="37" fontId="4" fillId="26" borderId="147" xfId="0" applyNumberFormat="1" applyFont="1" applyFill="1" applyBorder="1"/>
    <xf numFmtId="37" fontId="4" fillId="26" borderId="9" xfId="0" applyNumberFormat="1" applyFont="1" applyFill="1" applyBorder="1"/>
    <xf numFmtId="37" fontId="14" fillId="46" borderId="147" xfId="0" applyNumberFormat="1" applyFont="1" applyFill="1" applyBorder="1"/>
    <xf numFmtId="37" fontId="1" fillId="46" borderId="118" xfId="0" applyNumberFormat="1" applyFont="1" applyFill="1" applyBorder="1"/>
    <xf numFmtId="0" fontId="4" fillId="46" borderId="118" xfId="0" applyFont="1" applyFill="1" applyBorder="1"/>
    <xf numFmtId="37" fontId="1" fillId="47" borderId="118" xfId="0" applyNumberFormat="1" applyFont="1" applyFill="1" applyBorder="1"/>
    <xf numFmtId="37" fontId="4" fillId="46" borderId="118" xfId="0" applyNumberFormat="1" applyFont="1" applyFill="1" applyBorder="1"/>
    <xf numFmtId="37" fontId="1" fillId="46" borderId="96" xfId="0" applyNumberFormat="1" applyFont="1" applyFill="1" applyBorder="1"/>
    <xf numFmtId="37" fontId="1" fillId="46" borderId="96" xfId="0" applyNumberFormat="1" applyFont="1" applyFill="1" applyBorder="1" applyAlignment="1">
      <alignment horizontal="right"/>
    </xf>
    <xf numFmtId="37" fontId="1" fillId="46" borderId="118" xfId="0" applyNumberFormat="1" applyFont="1" applyFill="1" applyBorder="1" applyAlignment="1">
      <alignment horizontal="right"/>
    </xf>
    <xf numFmtId="0" fontId="0" fillId="46" borderId="118" xfId="0" applyFill="1" applyBorder="1"/>
    <xf numFmtId="37" fontId="1" fillId="26" borderId="36" xfId="0" applyNumberFormat="1" applyFont="1" applyFill="1" applyBorder="1" applyAlignment="1">
      <alignment horizontal="right"/>
    </xf>
    <xf numFmtId="37" fontId="9" fillId="26" borderId="118" xfId="0" applyNumberFormat="1" applyFont="1" applyFill="1" applyBorder="1" applyAlignment="1">
      <alignment horizontal="right"/>
    </xf>
    <xf numFmtId="37" fontId="11" fillId="26" borderId="118" xfId="0" applyNumberFormat="1" applyFont="1" applyFill="1" applyBorder="1"/>
    <xf numFmtId="37" fontId="9" fillId="26" borderId="149" xfId="0" applyNumberFormat="1" applyFont="1" applyFill="1" applyBorder="1" applyAlignment="1">
      <alignment horizontal="right"/>
    </xf>
    <xf numFmtId="37" fontId="9" fillId="26" borderId="150" xfId="0" applyNumberFormat="1" applyFont="1" applyFill="1" applyBorder="1" applyAlignment="1">
      <alignment horizontal="right"/>
    </xf>
    <xf numFmtId="37" fontId="1" fillId="26" borderId="118" xfId="0" applyNumberFormat="1" applyFont="1" applyFill="1" applyBorder="1"/>
    <xf numFmtId="38" fontId="4" fillId="26" borderId="36" xfId="0" applyNumberFormat="1" applyFont="1" applyFill="1" applyBorder="1"/>
    <xf numFmtId="0" fontId="0" fillId="46" borderId="36" xfId="0" applyFill="1" applyBorder="1"/>
    <xf numFmtId="0" fontId="0" fillId="25" borderId="143" xfId="0" applyFill="1" applyBorder="1"/>
    <xf numFmtId="0" fontId="0" fillId="25" borderId="132" xfId="0" applyFill="1" applyBorder="1"/>
    <xf numFmtId="0" fontId="0" fillId="25" borderId="145" xfId="0" applyFill="1" applyBorder="1"/>
    <xf numFmtId="0" fontId="0" fillId="26" borderId="36" xfId="0" applyFill="1" applyBorder="1"/>
    <xf numFmtId="0" fontId="4" fillId="46" borderId="147" xfId="0" applyFont="1" applyFill="1" applyBorder="1" applyAlignment="1">
      <alignment horizontal="center"/>
    </xf>
    <xf numFmtId="37" fontId="14" fillId="46" borderId="118" xfId="0" applyNumberFormat="1" applyFont="1" applyFill="1" applyBorder="1"/>
    <xf numFmtId="37" fontId="9" fillId="46" borderId="150" xfId="0" applyNumberFormat="1" applyFont="1" applyFill="1" applyBorder="1" applyAlignment="1">
      <alignment horizontal="right"/>
    </xf>
    <xf numFmtId="38" fontId="4" fillId="46" borderId="118" xfId="0" applyNumberFormat="1" applyFont="1" applyFill="1" applyBorder="1"/>
    <xf numFmtId="38" fontId="4" fillId="46" borderId="36" xfId="0" applyNumberFormat="1" applyFont="1" applyFill="1" applyBorder="1"/>
    <xf numFmtId="37" fontId="4" fillId="46" borderId="147" xfId="0" applyNumberFormat="1" applyFont="1" applyFill="1" applyBorder="1"/>
    <xf numFmtId="0" fontId="4" fillId="46" borderId="36" xfId="0" applyFont="1" applyFill="1" applyBorder="1" applyAlignment="1">
      <alignment horizontal="center"/>
    </xf>
    <xf numFmtId="37" fontId="1" fillId="46" borderId="151" xfId="0" applyNumberFormat="1" applyFont="1" applyFill="1" applyBorder="1"/>
    <xf numFmtId="37" fontId="1" fillId="46" borderId="151" xfId="0" applyNumberFormat="1" applyFont="1" applyFill="1" applyBorder="1" applyAlignment="1">
      <alignment horizontal="right"/>
    </xf>
    <xf numFmtId="37" fontId="1" fillId="25" borderId="0" xfId="0" applyNumberFormat="1" applyFont="1" applyFill="1" applyAlignment="1">
      <alignment horizontal="right"/>
    </xf>
    <xf numFmtId="37" fontId="4" fillId="27" borderId="0" xfId="0" applyNumberFormat="1" applyFont="1" applyFill="1" applyAlignment="1">
      <alignment horizontal="right"/>
    </xf>
    <xf numFmtId="37" fontId="4" fillId="25" borderId="144" xfId="0" applyNumberFormat="1" applyFont="1" applyFill="1" applyBorder="1"/>
    <xf numFmtId="37" fontId="4" fillId="25" borderId="115" xfId="0" applyNumberFormat="1" applyFont="1" applyFill="1" applyBorder="1"/>
    <xf numFmtId="37" fontId="1" fillId="25" borderId="115" xfId="0" applyNumberFormat="1" applyFont="1" applyFill="1" applyBorder="1"/>
    <xf numFmtId="37" fontId="1" fillId="25" borderId="115" xfId="0" applyNumberFormat="1" applyFont="1" applyFill="1" applyBorder="1" applyAlignment="1">
      <alignment horizontal="right"/>
    </xf>
    <xf numFmtId="37" fontId="1" fillId="25" borderId="116" xfId="0" applyNumberFormat="1" applyFont="1" applyFill="1" applyBorder="1" applyAlignment="1">
      <alignment horizontal="right"/>
    </xf>
    <xf numFmtId="37" fontId="0" fillId="25" borderId="144" xfId="0" applyNumberFormat="1" applyFill="1" applyBorder="1"/>
    <xf numFmtId="37" fontId="1" fillId="25" borderId="118"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6" borderId="148" xfId="0" applyNumberFormat="1" applyFont="1" applyFill="1" applyBorder="1"/>
    <xf numFmtId="37" fontId="1" fillId="46" borderId="148" xfId="0" applyNumberFormat="1" applyFont="1" applyFill="1" applyBorder="1" applyAlignment="1">
      <alignment horizontal="right"/>
    </xf>
    <xf numFmtId="0" fontId="4" fillId="46" borderId="36" xfId="0" applyFont="1" applyFill="1" applyBorder="1"/>
    <xf numFmtId="37" fontId="4" fillId="25" borderId="116" xfId="0" applyNumberFormat="1" applyFont="1" applyFill="1" applyBorder="1"/>
    <xf numFmtId="37" fontId="1" fillId="25" borderId="154" xfId="0" applyNumberFormat="1" applyFont="1" applyFill="1" applyBorder="1" applyAlignment="1">
      <alignment horizontal="right"/>
    </xf>
    <xf numFmtId="37" fontId="1" fillId="25" borderId="144" xfId="0" applyNumberFormat="1" applyFont="1" applyFill="1" applyBorder="1" applyAlignment="1">
      <alignment horizontal="right"/>
    </xf>
    <xf numFmtId="37" fontId="1" fillId="46" borderId="155" xfId="0" applyNumberFormat="1" applyFont="1" applyFill="1" applyBorder="1"/>
    <xf numFmtId="37" fontId="1" fillId="46" borderId="155" xfId="0" applyNumberFormat="1" applyFont="1" applyFill="1" applyBorder="1" applyAlignment="1">
      <alignment horizontal="right"/>
    </xf>
    <xf numFmtId="0" fontId="0" fillId="48" borderId="0" xfId="0" applyFill="1"/>
    <xf numFmtId="37" fontId="1" fillId="48" borderId="0" xfId="0" applyNumberFormat="1" applyFont="1" applyFill="1"/>
    <xf numFmtId="0" fontId="4" fillId="48" borderId="0" xfId="0" applyFont="1" applyFill="1"/>
    <xf numFmtId="37" fontId="4" fillId="48" borderId="0" xfId="0" applyNumberFormat="1" applyFont="1" applyFill="1"/>
    <xf numFmtId="37" fontId="1" fillId="48" borderId="0" xfId="0" applyNumberFormat="1" applyFont="1" applyFill="1" applyAlignment="1">
      <alignment horizontal="right"/>
    </xf>
    <xf numFmtId="37" fontId="9" fillId="27" borderId="0" xfId="0" applyNumberFormat="1" applyFont="1" applyFill="1" applyAlignment="1">
      <alignment horizontal="right"/>
    </xf>
    <xf numFmtId="37" fontId="11" fillId="27" borderId="0" xfId="0" applyNumberFormat="1" applyFont="1" applyFill="1"/>
    <xf numFmtId="37" fontId="9" fillId="48" borderId="0" xfId="0" applyNumberFormat="1" applyFont="1" applyFill="1" applyAlignment="1">
      <alignment horizontal="right"/>
    </xf>
    <xf numFmtId="38" fontId="4" fillId="48" borderId="0" xfId="0" applyNumberFormat="1" applyFont="1" applyFill="1"/>
    <xf numFmtId="37" fontId="0" fillId="48" borderId="0" xfId="0" applyNumberFormat="1" applyFill="1"/>
    <xf numFmtId="38" fontId="0" fillId="48" borderId="0" xfId="0" applyNumberFormat="1" applyFill="1"/>
    <xf numFmtId="37" fontId="14" fillId="44" borderId="0" xfId="0" applyNumberFormat="1" applyFont="1" applyFill="1"/>
    <xf numFmtId="37" fontId="1" fillId="44" borderId="0" xfId="0" applyNumberFormat="1" applyFont="1" applyFill="1"/>
    <xf numFmtId="0" fontId="4" fillId="44" borderId="0" xfId="0" applyFont="1" applyFill="1"/>
    <xf numFmtId="37" fontId="1" fillId="49" borderId="0" xfId="0" applyNumberFormat="1" applyFont="1" applyFill="1"/>
    <xf numFmtId="37" fontId="4" fillId="44" borderId="0" xfId="0" applyNumberFormat="1" applyFont="1" applyFill="1"/>
    <xf numFmtId="37" fontId="1" fillId="44" borderId="0" xfId="0" applyNumberFormat="1" applyFont="1" applyFill="1" applyAlignment="1">
      <alignment horizontal="right"/>
    </xf>
    <xf numFmtId="0" fontId="0" fillId="44" borderId="0" xfId="0" applyFill="1"/>
    <xf numFmtId="0" fontId="0" fillId="25" borderId="153" xfId="0" applyFill="1" applyBorder="1"/>
    <xf numFmtId="38" fontId="0" fillId="25" borderId="157" xfId="0" applyNumberFormat="1" applyFill="1" applyBorder="1"/>
    <xf numFmtId="0" fontId="0" fillId="25" borderId="158" xfId="0" applyFill="1" applyBorder="1"/>
    <xf numFmtId="37" fontId="1" fillId="46" borderId="159" xfId="0" applyNumberFormat="1" applyFont="1" applyFill="1" applyBorder="1" applyAlignment="1">
      <alignment horizontal="right"/>
    </xf>
    <xf numFmtId="38" fontId="4" fillId="26" borderId="156" xfId="0" applyNumberFormat="1" applyFont="1" applyFill="1" applyBorder="1"/>
    <xf numFmtId="0" fontId="0" fillId="26" borderId="156" xfId="0" applyFill="1" applyBorder="1"/>
    <xf numFmtId="175" fontId="150" fillId="27" borderId="36" xfId="0" applyNumberFormat="1" applyFont="1" applyFill="1" applyBorder="1" applyProtection="1">
      <protection locked="0"/>
    </xf>
    <xf numFmtId="38" fontId="150" fillId="27" borderId="36" xfId="0" applyNumberFormat="1" applyFont="1" applyFill="1" applyBorder="1" applyProtection="1">
      <protection locked="0"/>
    </xf>
    <xf numFmtId="175" fontId="168" fillId="27" borderId="36" xfId="0" applyNumberFormat="1" applyFont="1" applyFill="1" applyBorder="1" applyProtection="1">
      <protection locked="0"/>
    </xf>
    <xf numFmtId="38" fontId="168" fillId="27" borderId="36" xfId="0" applyNumberFormat="1" applyFont="1" applyFill="1" applyBorder="1" applyProtection="1">
      <protection locked="0"/>
    </xf>
    <xf numFmtId="0" fontId="38" fillId="25" borderId="156" xfId="0" applyFont="1" applyFill="1" applyBorder="1" applyAlignment="1">
      <alignment horizontal="center"/>
    </xf>
    <xf numFmtId="0" fontId="170" fillId="25" borderId="147" xfId="0" applyFont="1" applyFill="1" applyBorder="1" applyAlignment="1">
      <alignment horizontal="center"/>
    </xf>
    <xf numFmtId="0" fontId="4" fillId="28" borderId="146" xfId="0" quotePrefix="1" applyFont="1" applyFill="1" applyBorder="1" applyAlignment="1">
      <alignment horizontal="left"/>
    </xf>
    <xf numFmtId="0" fontId="4" fillId="43" borderId="146" xfId="0" quotePrefix="1" applyFont="1" applyFill="1" applyBorder="1"/>
    <xf numFmtId="0" fontId="0" fillId="43" borderId="146" xfId="0" applyFill="1" applyBorder="1"/>
    <xf numFmtId="0" fontId="0" fillId="43" borderId="144" xfId="0" applyFill="1" applyBorder="1"/>
    <xf numFmtId="0" fontId="4" fillId="28" borderId="132" xfId="0" applyFont="1" applyFill="1" applyBorder="1" applyAlignment="1">
      <alignment horizontal="center"/>
    </xf>
    <xf numFmtId="0" fontId="4" fillId="28" borderId="0" xfId="0" applyFont="1" applyFill="1" applyAlignment="1">
      <alignment horizontal="left"/>
    </xf>
    <xf numFmtId="0" fontId="0" fillId="43" borderId="0" xfId="0" applyFill="1"/>
    <xf numFmtId="0" fontId="0" fillId="43" borderId="115" xfId="0" applyFill="1" applyBorder="1"/>
    <xf numFmtId="0" fontId="0" fillId="28" borderId="0" xfId="0" applyFill="1" applyAlignment="1">
      <alignment horizontal="center"/>
    </xf>
    <xf numFmtId="37" fontId="14" fillId="43" borderId="132" xfId="0" applyNumberFormat="1" applyFont="1" applyFill="1" applyBorder="1"/>
    <xf numFmtId="0" fontId="0" fillId="28" borderId="0" xfId="0" quotePrefix="1" applyFill="1"/>
    <xf numFmtId="37" fontId="1" fillId="43" borderId="132" xfId="0" applyNumberFormat="1" applyFont="1" applyFill="1" applyBorder="1"/>
    <xf numFmtId="0" fontId="4" fillId="43" borderId="132" xfId="0" applyFont="1" applyFill="1" applyBorder="1"/>
    <xf numFmtId="37" fontId="1" fillId="50" borderId="132" xfId="0" applyNumberFormat="1" applyFont="1" applyFill="1" applyBorder="1"/>
    <xf numFmtId="37" fontId="4" fillId="43" borderId="132" xfId="0" applyNumberFormat="1" applyFont="1" applyFill="1" applyBorder="1"/>
    <xf numFmtId="37" fontId="11" fillId="43" borderId="132" xfId="0" applyNumberFormat="1" applyFont="1" applyFill="1" applyBorder="1"/>
    <xf numFmtId="37" fontId="1" fillId="43" borderId="160" xfId="0" applyNumberFormat="1" applyFont="1" applyFill="1" applyBorder="1"/>
    <xf numFmtId="38" fontId="4" fillId="43" borderId="132" xfId="0" applyNumberFormat="1" applyFont="1" applyFill="1" applyBorder="1"/>
    <xf numFmtId="164" fontId="4" fillId="28" borderId="119" xfId="0" applyNumberFormat="1" applyFont="1" applyFill="1" applyBorder="1"/>
    <xf numFmtId="37" fontId="1" fillId="43" borderId="160" xfId="0" applyNumberFormat="1" applyFont="1" applyFill="1" applyBorder="1" applyAlignment="1">
      <alignment horizontal="right"/>
    </xf>
    <xf numFmtId="38" fontId="0" fillId="43" borderId="0" xfId="0" applyNumberFormat="1" applyFill="1"/>
    <xf numFmtId="37" fontId="1" fillId="43" borderId="132" xfId="0" applyNumberFormat="1" applyFont="1" applyFill="1" applyBorder="1" applyAlignment="1">
      <alignment horizontal="right"/>
    </xf>
    <xf numFmtId="0" fontId="0" fillId="28" borderId="132" xfId="0" applyFill="1" applyBorder="1" applyAlignment="1">
      <alignment horizontal="right"/>
    </xf>
    <xf numFmtId="37" fontId="4" fillId="28" borderId="132" xfId="0" applyNumberFormat="1" applyFont="1" applyFill="1" applyBorder="1"/>
    <xf numFmtId="37" fontId="1" fillId="28" borderId="132" xfId="0" applyNumberFormat="1" applyFont="1" applyFill="1" applyBorder="1" applyAlignment="1">
      <alignment horizontal="right"/>
    </xf>
    <xf numFmtId="37" fontId="4" fillId="28" borderId="132" xfId="0" applyNumberFormat="1" applyFont="1" applyFill="1" applyBorder="1" applyAlignment="1">
      <alignment horizontal="right"/>
    </xf>
    <xf numFmtId="0" fontId="4" fillId="28" borderId="132" xfId="0" applyFont="1" applyFill="1" applyBorder="1" applyAlignment="1">
      <alignment horizontal="right"/>
    </xf>
    <xf numFmtId="38" fontId="4" fillId="28" borderId="153" xfId="0" applyNumberFormat="1" applyFont="1" applyFill="1" applyBorder="1" applyAlignment="1">
      <alignment horizontal="right"/>
    </xf>
    <xf numFmtId="0" fontId="0" fillId="28" borderId="142" xfId="0" applyFill="1" applyBorder="1"/>
    <xf numFmtId="0" fontId="0" fillId="43" borderId="142" xfId="0" applyFill="1" applyBorder="1"/>
    <xf numFmtId="0" fontId="0" fillId="43" borderId="116" xfId="0" applyFill="1" applyBorder="1"/>
    <xf numFmtId="0" fontId="0" fillId="28" borderId="144" xfId="0" applyFill="1" applyBorder="1"/>
    <xf numFmtId="0" fontId="0" fillId="28" borderId="146" xfId="0" applyFill="1" applyBorder="1"/>
    <xf numFmtId="0" fontId="0" fillId="28" borderId="115" xfId="0" applyFill="1" applyBorder="1"/>
    <xf numFmtId="0" fontId="4" fillId="28" borderId="0" xfId="0" applyFont="1" applyFill="1" applyAlignment="1">
      <alignment horizontal="right"/>
    </xf>
    <xf numFmtId="174" fontId="0" fillId="28" borderId="9" xfId="0" applyNumberFormat="1" applyFill="1" applyBorder="1"/>
    <xf numFmtId="0" fontId="0" fillId="28" borderId="0" xfId="0" applyFill="1" applyAlignment="1">
      <alignment horizontal="right"/>
    </xf>
    <xf numFmtId="0" fontId="0" fillId="28" borderId="116" xfId="0" applyFill="1" applyBorder="1"/>
    <xf numFmtId="0" fontId="42" fillId="27" borderId="0" xfId="0" applyFont="1" applyFill="1"/>
    <xf numFmtId="14" fontId="27" fillId="27" borderId="0" xfId="0" applyNumberFormat="1" applyFont="1" applyFill="1" applyAlignment="1">
      <alignment horizontal="right"/>
    </xf>
    <xf numFmtId="0" fontId="1" fillId="27" borderId="0" xfId="0" applyFont="1" applyFill="1" applyAlignment="1">
      <alignment horizontal="center"/>
    </xf>
    <xf numFmtId="0" fontId="0" fillId="27" borderId="0" xfId="0" applyFill="1" applyAlignment="1">
      <alignment horizontal="center"/>
    </xf>
    <xf numFmtId="0" fontId="0" fillId="27" borderId="0" xfId="0" quotePrefix="1" applyFill="1"/>
    <xf numFmtId="0" fontId="54" fillId="27" borderId="0" xfId="0" applyFont="1" applyFill="1"/>
    <xf numFmtId="0" fontId="11" fillId="27" borderId="0" xfId="0" applyFont="1" applyFill="1"/>
    <xf numFmtId="38" fontId="42" fillId="27" borderId="0" xfId="0" applyNumberFormat="1" applyFont="1" applyFill="1" applyAlignment="1">
      <alignment horizontal="center"/>
    </xf>
    <xf numFmtId="0" fontId="171" fillId="6" borderId="161" xfId="0" applyFont="1" applyFill="1" applyBorder="1" applyAlignment="1">
      <alignment horizontal="center"/>
    </xf>
    <xf numFmtId="0" fontId="4" fillId="43" borderId="143" xfId="0" applyFont="1" applyFill="1" applyBorder="1" applyAlignment="1">
      <alignment horizontal="left"/>
    </xf>
    <xf numFmtId="0" fontId="4" fillId="28" borderId="143" xfId="0" applyFont="1" applyFill="1" applyBorder="1" applyAlignment="1">
      <alignment horizontal="center"/>
    </xf>
    <xf numFmtId="0" fontId="4" fillId="28" borderId="144" xfId="0" quotePrefix="1" applyFont="1" applyFill="1" applyBorder="1" applyAlignment="1">
      <alignment horizontal="left"/>
    </xf>
    <xf numFmtId="0" fontId="4" fillId="28" borderId="163" xfId="0" applyFont="1" applyFill="1" applyBorder="1" applyAlignment="1">
      <alignment horizontal="center"/>
    </xf>
    <xf numFmtId="0" fontId="4" fillId="28" borderId="115" xfId="0" applyFont="1" applyFill="1" applyBorder="1" applyAlignment="1">
      <alignment horizontal="left"/>
    </xf>
    <xf numFmtId="0" fontId="4" fillId="28" borderId="153" xfId="0" applyFont="1" applyFill="1" applyBorder="1" applyAlignment="1">
      <alignment horizontal="center"/>
    </xf>
    <xf numFmtId="0" fontId="4" fillId="28" borderId="116" xfId="0" applyFont="1" applyFill="1" applyBorder="1" applyAlignment="1">
      <alignment horizontal="left"/>
    </xf>
    <xf numFmtId="0" fontId="4" fillId="28" borderId="121" xfId="0" applyFont="1" applyFill="1" applyBorder="1" applyAlignment="1">
      <alignment horizontal="center"/>
    </xf>
    <xf numFmtId="0" fontId="0" fillId="28" borderId="45" xfId="0" applyFill="1" applyBorder="1" applyAlignment="1">
      <alignment horizontal="center"/>
    </xf>
    <xf numFmtId="0" fontId="0" fillId="28" borderId="46" xfId="0" applyFill="1" applyBorder="1" applyAlignment="1">
      <alignment horizontal="center"/>
    </xf>
    <xf numFmtId="0" fontId="0" fillId="28" borderId="36" xfId="0" applyFill="1" applyBorder="1" applyAlignment="1">
      <alignment horizontal="center"/>
    </xf>
    <xf numFmtId="6" fontId="0" fillId="28" borderId="46" xfId="0" quotePrefix="1" applyNumberFormat="1" applyFill="1" applyBorder="1" applyAlignment="1">
      <alignment horizontal="center"/>
    </xf>
    <xf numFmtId="0" fontId="4" fillId="28" borderId="143" xfId="0" applyFont="1" applyFill="1" applyBorder="1" applyAlignment="1">
      <alignment horizontal="right"/>
    </xf>
    <xf numFmtId="0" fontId="4" fillId="28" borderId="153" xfId="0" applyFont="1" applyFill="1" applyBorder="1" applyAlignment="1">
      <alignment horizontal="right"/>
    </xf>
    <xf numFmtId="37" fontId="4" fillId="28" borderId="2" xfId="0" applyNumberFormat="1" applyFont="1" applyFill="1" applyBorder="1"/>
    <xf numFmtId="187" fontId="0" fillId="28" borderId="9" xfId="0" applyNumberFormat="1" applyFill="1" applyBorder="1"/>
    <xf numFmtId="37" fontId="4" fillId="28" borderId="2" xfId="0" applyNumberFormat="1" applyFont="1" applyFill="1" applyBorder="1" applyAlignment="1">
      <alignment horizontal="center"/>
    </xf>
    <xf numFmtId="167" fontId="4" fillId="28" borderId="2" xfId="0" applyNumberFormat="1" applyFont="1" applyFill="1" applyBorder="1"/>
    <xf numFmtId="40" fontId="4" fillId="28" borderId="2" xfId="0" applyNumberFormat="1" applyFont="1" applyFill="1" applyBorder="1"/>
    <xf numFmtId="38" fontId="4" fillId="28" borderId="9" xfId="0" applyNumberFormat="1" applyFont="1" applyFill="1" applyBorder="1"/>
    <xf numFmtId="38" fontId="4" fillId="28" borderId="8" xfId="0" applyNumberFormat="1" applyFont="1" applyFill="1" applyBorder="1"/>
    <xf numFmtId="38" fontId="4" fillId="28" borderId="9" xfId="0" applyNumberFormat="1" applyFont="1" applyFill="1" applyBorder="1" applyAlignment="1" applyProtection="1">
      <alignment horizontal="center"/>
      <protection locked="0"/>
    </xf>
    <xf numFmtId="38" fontId="0" fillId="28" borderId="121" xfId="0" applyNumberFormat="1" applyFill="1" applyBorder="1"/>
    <xf numFmtId="0" fontId="4" fillId="28" borderId="9" xfId="0" applyFont="1" applyFill="1" applyBorder="1" applyAlignment="1" applyProtection="1">
      <alignment horizontal="center"/>
      <protection locked="0"/>
    </xf>
    <xf numFmtId="0" fontId="4" fillId="28" borderId="143" xfId="0" applyFont="1" applyFill="1" applyBorder="1"/>
    <xf numFmtId="0" fontId="4" fillId="28" borderId="153" xfId="0" applyFont="1" applyFill="1" applyBorder="1"/>
    <xf numFmtId="38" fontId="58" fillId="27" borderId="0" xfId="0" applyNumberFormat="1" applyFont="1" applyFill="1"/>
    <xf numFmtId="38" fontId="49" fillId="27" borderId="0" xfId="0" applyNumberFormat="1" applyFont="1" applyFill="1"/>
    <xf numFmtId="0" fontId="0" fillId="28" borderId="115" xfId="0" quotePrefix="1" applyFill="1" applyBorder="1"/>
    <xf numFmtId="169" fontId="0" fillId="28" borderId="121" xfId="0" applyNumberFormat="1" applyFill="1" applyBorder="1"/>
    <xf numFmtId="38" fontId="4" fillId="28" borderId="121" xfId="0" applyNumberFormat="1" applyFont="1" applyFill="1" applyBorder="1"/>
    <xf numFmtId="37" fontId="1" fillId="28" borderId="164" xfId="0" applyNumberFormat="1" applyFont="1" applyFill="1" applyBorder="1" applyAlignment="1">
      <alignment horizontal="right"/>
    </xf>
    <xf numFmtId="0" fontId="0" fillId="42" borderId="10" xfId="0" applyFill="1" applyBorder="1"/>
    <xf numFmtId="174" fontId="149" fillId="6" borderId="115" xfId="0" applyNumberFormat="1" applyFont="1" applyFill="1" applyBorder="1" applyProtection="1">
      <protection locked="0"/>
    </xf>
    <xf numFmtId="0" fontId="0" fillId="4" borderId="164" xfId="0" applyFill="1" applyBorder="1"/>
    <xf numFmtId="0" fontId="29" fillId="2" borderId="0" xfId="0" applyFont="1"/>
    <xf numFmtId="38" fontId="0" fillId="28" borderId="0" xfId="0" applyNumberFormat="1" applyFill="1"/>
    <xf numFmtId="38" fontId="4" fillId="28" borderId="111" xfId="0" applyNumberFormat="1" applyFont="1" applyFill="1" applyBorder="1"/>
    <xf numFmtId="38" fontId="166" fillId="27" borderId="9" xfId="0" applyNumberFormat="1" applyFont="1" applyFill="1" applyBorder="1" applyAlignment="1">
      <alignment horizontal="right"/>
    </xf>
    <xf numFmtId="174" fontId="0" fillId="28" borderId="144" xfId="0" applyNumberFormat="1" applyFill="1" applyBorder="1"/>
    <xf numFmtId="174" fontId="0" fillId="28" borderId="116" xfId="0" applyNumberFormat="1" applyFill="1" applyBorder="1"/>
    <xf numFmtId="174" fontId="0" fillId="2" borderId="119" xfId="0" applyNumberFormat="1" applyBorder="1"/>
    <xf numFmtId="0" fontId="123" fillId="42" borderId="0" xfId="0" applyFont="1" applyFill="1" applyAlignment="1">
      <alignment horizontal="center"/>
    </xf>
    <xf numFmtId="0" fontId="4" fillId="42" borderId="29" xfId="0" applyFont="1" applyFill="1" applyBorder="1" applyAlignment="1">
      <alignment horizontal="center"/>
    </xf>
    <xf numFmtId="0" fontId="73" fillId="42" borderId="10" xfId="0" quotePrefix="1" applyFont="1" applyFill="1" applyBorder="1" applyAlignment="1">
      <alignment horizontal="center"/>
    </xf>
    <xf numFmtId="0" fontId="13" fillId="26" borderId="29" xfId="0" applyFont="1" applyFill="1" applyBorder="1"/>
    <xf numFmtId="0" fontId="13" fillId="26" borderId="21" xfId="0" applyFont="1" applyFill="1" applyBorder="1"/>
    <xf numFmtId="0" fontId="13" fillId="26" borderId="22" xfId="0" applyFont="1" applyFill="1" applyBorder="1"/>
    <xf numFmtId="0" fontId="13" fillId="26" borderId="132" xfId="0" applyFont="1" applyFill="1" applyBorder="1"/>
    <xf numFmtId="0" fontId="13" fillId="26" borderId="0" xfId="0" applyFont="1" applyFill="1"/>
    <xf numFmtId="0" fontId="13" fillId="26" borderId="115" xfId="0" applyFont="1" applyFill="1" applyBorder="1"/>
    <xf numFmtId="0" fontId="13" fillId="26" borderId="153" xfId="0" applyFont="1" applyFill="1" applyBorder="1"/>
    <xf numFmtId="0" fontId="13" fillId="26" borderId="142" xfId="0" applyFont="1" applyFill="1" applyBorder="1"/>
    <xf numFmtId="0" fontId="13" fillId="26" borderId="116" xfId="0" applyFont="1" applyFill="1" applyBorder="1"/>
    <xf numFmtId="0" fontId="0" fillId="26" borderId="10" xfId="0" applyFill="1" applyBorder="1"/>
    <xf numFmtId="0" fontId="9" fillId="26" borderId="12" xfId="0" applyFont="1" applyFill="1" applyBorder="1" applyAlignment="1">
      <alignment horizontal="right"/>
    </xf>
    <xf numFmtId="0" fontId="4" fillId="33"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4" fillId="26" borderId="2" xfId="0" applyNumberFormat="1" applyFont="1" applyFill="1" applyBorder="1"/>
    <xf numFmtId="0" fontId="4" fillId="28" borderId="0" xfId="0" quotePrefix="1" applyFont="1" applyFill="1" applyAlignment="1">
      <alignment horizontal="center"/>
    </xf>
    <xf numFmtId="0" fontId="73" fillId="28" borderId="0" xfId="0" quotePrefix="1" applyFont="1" applyFill="1" applyAlignment="1">
      <alignment horizontal="center"/>
    </xf>
    <xf numFmtId="0" fontId="110" fillId="28" borderId="0" xfId="0" applyFont="1" applyFill="1" applyAlignment="1">
      <alignment horizontal="right"/>
    </xf>
    <xf numFmtId="0" fontId="4" fillId="28" borderId="2" xfId="0" applyFont="1" applyFill="1" applyBorder="1"/>
    <xf numFmtId="16" fontId="4" fillId="28" borderId="6" xfId="0" quotePrefix="1" applyNumberFormat="1" applyFont="1" applyFill="1" applyBorder="1" applyAlignment="1">
      <alignment horizontal="center"/>
    </xf>
    <xf numFmtId="180" fontId="4" fillId="28"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6" borderId="29" xfId="0" applyFont="1" applyFill="1" applyBorder="1" applyAlignment="1">
      <alignment horizontal="center"/>
    </xf>
    <xf numFmtId="0" fontId="4" fillId="26" borderId="45" xfId="0" applyFont="1" applyFill="1" applyBorder="1" applyAlignment="1">
      <alignment horizontal="right"/>
    </xf>
    <xf numFmtId="38" fontId="4" fillId="26" borderId="15" xfId="0" applyNumberFormat="1" applyFont="1" applyFill="1" applyBorder="1"/>
    <xf numFmtId="0" fontId="4" fillId="26" borderId="46" xfId="0" applyFont="1" applyFill="1" applyBorder="1" applyAlignment="1">
      <alignment horizontal="center"/>
    </xf>
    <xf numFmtId="38" fontId="4" fillId="26" borderId="16" xfId="0" applyNumberFormat="1" applyFont="1" applyFill="1" applyBorder="1"/>
    <xf numFmtId="0" fontId="4" fillId="26" borderId="112" xfId="0" applyFont="1" applyFill="1" applyBorder="1" applyAlignment="1">
      <alignment horizontal="center"/>
    </xf>
    <xf numFmtId="0" fontId="4" fillId="26" borderId="109" xfId="0" applyFont="1" applyFill="1" applyBorder="1" applyAlignment="1">
      <alignment horizontal="right"/>
    </xf>
    <xf numFmtId="3" fontId="4" fillId="26" borderId="115" xfId="0" applyNumberFormat="1" applyFont="1" applyFill="1" applyBorder="1"/>
    <xf numFmtId="3" fontId="4" fillId="26" borderId="20" xfId="0" applyNumberFormat="1" applyFont="1" applyFill="1" applyBorder="1" applyAlignment="1">
      <alignment horizontal="center"/>
    </xf>
    <xf numFmtId="3" fontId="4" fillId="26" borderId="36" xfId="0" applyNumberFormat="1" applyFont="1" applyFill="1" applyBorder="1"/>
    <xf numFmtId="3" fontId="4" fillId="26" borderId="23" xfId="0" applyNumberFormat="1" applyFont="1" applyFill="1" applyBorder="1"/>
    <xf numFmtId="167" fontId="4" fillId="27" borderId="0" xfId="0" applyNumberFormat="1" applyFont="1" applyFill="1"/>
    <xf numFmtId="0" fontId="4" fillId="27" borderId="0" xfId="0" applyFont="1" applyFill="1" applyAlignment="1">
      <alignment horizontal="left"/>
    </xf>
    <xf numFmtId="0" fontId="4" fillId="31" borderId="0" xfId="0" quotePrefix="1" applyFont="1" applyFill="1" applyAlignment="1">
      <alignment horizontal="center"/>
    </xf>
    <xf numFmtId="37" fontId="4" fillId="31" borderId="2" xfId="0" applyNumberFormat="1" applyFont="1" applyFill="1" applyBorder="1"/>
    <xf numFmtId="174" fontId="4" fillId="31" borderId="2" xfId="0" applyNumberFormat="1" applyFont="1" applyFill="1" applyBorder="1"/>
    <xf numFmtId="0" fontId="4" fillId="31" borderId="2" xfId="0" applyFont="1" applyFill="1" applyBorder="1"/>
    <xf numFmtId="180" fontId="4" fillId="31" borderId="2" xfId="0" applyNumberFormat="1" applyFont="1" applyFill="1" applyBorder="1"/>
    <xf numFmtId="38" fontId="4" fillId="31" borderId="2" xfId="0" applyNumberFormat="1" applyFont="1" applyFill="1" applyBorder="1"/>
    <xf numFmtId="16" fontId="4" fillId="31" borderId="6" xfId="0" quotePrefix="1" applyNumberFormat="1" applyFont="1" applyFill="1" applyBorder="1" applyAlignment="1">
      <alignment horizontal="center"/>
    </xf>
    <xf numFmtId="3" fontId="4" fillId="31" borderId="119" xfId="0" applyNumberFormat="1" applyFont="1" applyFill="1" applyBorder="1"/>
    <xf numFmtId="0" fontId="171" fillId="31" borderId="0" xfId="0" applyFont="1" applyFill="1"/>
    <xf numFmtId="0" fontId="4" fillId="31" borderId="0" xfId="0" applyFont="1" applyFill="1" applyAlignment="1">
      <alignment horizontal="left"/>
    </xf>
    <xf numFmtId="38" fontId="4" fillId="30" borderId="2" xfId="0" applyNumberFormat="1" applyFont="1" applyFill="1" applyBorder="1"/>
    <xf numFmtId="0" fontId="110" fillId="51" borderId="0" xfId="0" applyFont="1" applyFill="1"/>
    <xf numFmtId="37" fontId="4" fillId="51" borderId="2" xfId="0" applyNumberFormat="1" applyFont="1" applyFill="1" applyBorder="1"/>
    <xf numFmtId="174" fontId="4" fillId="51" borderId="2" xfId="0" applyNumberFormat="1" applyFont="1" applyFill="1" applyBorder="1"/>
    <xf numFmtId="0" fontId="4" fillId="51" borderId="2" xfId="0" applyFont="1" applyFill="1" applyBorder="1"/>
    <xf numFmtId="180" fontId="4" fillId="51" borderId="2" xfId="0" applyNumberFormat="1" applyFont="1" applyFill="1" applyBorder="1"/>
    <xf numFmtId="38" fontId="4" fillId="51" borderId="2" xfId="0" applyNumberFormat="1" applyFont="1" applyFill="1" applyBorder="1"/>
    <xf numFmtId="16" fontId="4" fillId="51" borderId="6" xfId="0" quotePrefix="1" applyNumberFormat="1" applyFont="1" applyFill="1" applyBorder="1" applyAlignment="1">
      <alignment horizontal="center"/>
    </xf>
    <xf numFmtId="38" fontId="4" fillId="51" borderId="0" xfId="0" applyNumberFormat="1" applyFont="1" applyFill="1"/>
    <xf numFmtId="180" fontId="4" fillId="51" borderId="0" xfId="0" applyNumberFormat="1" applyFont="1" applyFill="1"/>
    <xf numFmtId="0" fontId="4" fillId="51" borderId="0" xfId="0" applyFont="1" applyFill="1"/>
    <xf numFmtId="0" fontId="4" fillId="51" borderId="0" xfId="0" applyFont="1" applyFill="1" applyAlignment="1">
      <alignment horizontal="left"/>
    </xf>
    <xf numFmtId="0" fontId="110" fillId="51" borderId="0" xfId="0" applyFont="1" applyFill="1" applyAlignment="1">
      <alignment horizontal="right"/>
    </xf>
    <xf numFmtId="38" fontId="182" fillId="51" borderId="2" xfId="0" applyNumberFormat="1" applyFont="1" applyFill="1" applyBorder="1"/>
    <xf numFmtId="174" fontId="182" fillId="51" borderId="127" xfId="0" applyNumberFormat="1" applyFont="1" applyFill="1" applyBorder="1"/>
    <xf numFmtId="38" fontId="182" fillId="51" borderId="9" xfId="0" applyNumberFormat="1" applyFont="1" applyFill="1" applyBorder="1" applyAlignment="1">
      <alignment horizontal="right"/>
    </xf>
    <xf numFmtId="174" fontId="161" fillId="6" borderId="93" xfId="0" applyNumberFormat="1" applyFont="1" applyFill="1" applyBorder="1"/>
    <xf numFmtId="0" fontId="4" fillId="28" borderId="93" xfId="0" applyFont="1" applyFill="1" applyBorder="1"/>
    <xf numFmtId="174" fontId="83" fillId="33" borderId="141" xfId="0" applyNumberFormat="1" applyFont="1" applyFill="1" applyBorder="1"/>
    <xf numFmtId="38" fontId="83" fillId="33" borderId="141" xfId="0" applyNumberFormat="1" applyFont="1" applyFill="1" applyBorder="1"/>
    <xf numFmtId="174" fontId="83" fillId="30" borderId="141" xfId="0" applyNumberFormat="1" applyFont="1" applyFill="1" applyBorder="1"/>
    <xf numFmtId="38" fontId="83" fillId="30" borderId="141" xfId="0" applyNumberFormat="1" applyFont="1" applyFill="1" applyBorder="1"/>
    <xf numFmtId="174" fontId="182" fillId="45" borderId="2" xfId="0" applyNumberFormat="1" applyFont="1" applyFill="1" applyBorder="1"/>
    <xf numFmtId="38" fontId="182" fillId="45" borderId="2" xfId="0" applyNumberFormat="1" applyFont="1" applyFill="1" applyBorder="1"/>
    <xf numFmtId="174" fontId="83" fillId="45" borderId="141" xfId="0" applyNumberFormat="1" applyFont="1" applyFill="1" applyBorder="1"/>
    <xf numFmtId="38" fontId="83" fillId="45" borderId="141" xfId="0" applyNumberFormat="1" applyFont="1" applyFill="1" applyBorder="1"/>
    <xf numFmtId="37" fontId="182" fillId="51" borderId="93" xfId="0" applyNumberFormat="1" applyFont="1" applyFill="1" applyBorder="1"/>
    <xf numFmtId="174" fontId="182" fillId="51" borderId="2" xfId="0" applyNumberFormat="1" applyFont="1" applyFill="1" applyBorder="1"/>
    <xf numFmtId="174" fontId="182" fillId="51" borderId="93" xfId="0" applyNumberFormat="1" applyFont="1" applyFill="1" applyBorder="1"/>
    <xf numFmtId="0" fontId="183" fillId="51" borderId="93" xfId="0" applyFont="1" applyFill="1" applyBorder="1"/>
    <xf numFmtId="0" fontId="182" fillId="51" borderId="140" xfId="0" quotePrefix="1" applyFont="1" applyFill="1" applyBorder="1" applyAlignment="1">
      <alignment horizontal="center"/>
    </xf>
    <xf numFmtId="38" fontId="182" fillId="51" borderId="140" xfId="0" applyNumberFormat="1" applyFont="1" applyFill="1" applyBorder="1"/>
    <xf numFmtId="174" fontId="83" fillId="51" borderId="141" xfId="0" applyNumberFormat="1" applyFont="1" applyFill="1" applyBorder="1"/>
    <xf numFmtId="38" fontId="83" fillId="51" borderId="141" xfId="0" applyNumberFormat="1" applyFont="1" applyFill="1" applyBorder="1"/>
    <xf numFmtId="0" fontId="4" fillId="51" borderId="0" xfId="0" applyFont="1" applyFill="1" applyAlignment="1">
      <alignment horizontal="right"/>
    </xf>
    <xf numFmtId="174" fontId="4" fillId="28" borderId="141" xfId="0" applyNumberFormat="1" applyFont="1" applyFill="1" applyBorder="1"/>
    <xf numFmtId="38" fontId="4" fillId="28" borderId="141" xfId="0" applyNumberFormat="1" applyFont="1" applyFill="1" applyBorder="1"/>
    <xf numFmtId="174" fontId="161" fillId="29" borderId="93" xfId="0" applyNumberFormat="1" applyFont="1" applyFill="1" applyBorder="1"/>
    <xf numFmtId="0" fontId="4" fillId="25" borderId="141" xfId="0" applyFont="1" applyFill="1" applyBorder="1"/>
    <xf numFmtId="1" fontId="4" fillId="25" borderId="141" xfId="0" applyNumberFormat="1" applyFont="1" applyFill="1" applyBorder="1"/>
    <xf numFmtId="0" fontId="4" fillId="31" borderId="121" xfId="0" applyFont="1" applyFill="1" applyBorder="1"/>
    <xf numFmtId="38" fontId="4" fillId="31" borderId="121" xfId="0" applyNumberFormat="1" applyFont="1" applyFill="1" applyBorder="1"/>
    <xf numFmtId="40" fontId="4" fillId="31" borderId="117" xfId="0" applyNumberFormat="1" applyFont="1" applyFill="1" applyBorder="1"/>
    <xf numFmtId="38" fontId="4" fillId="31" borderId="117" xfId="0" applyNumberFormat="1" applyFont="1" applyFill="1" applyBorder="1"/>
    <xf numFmtId="174" fontId="4" fillId="31" borderId="141" xfId="0" applyNumberFormat="1" applyFont="1" applyFill="1" applyBorder="1"/>
    <xf numFmtId="38" fontId="4" fillId="31" borderId="141" xfId="0" applyNumberFormat="1" applyFont="1" applyFill="1" applyBorder="1"/>
    <xf numFmtId="14" fontId="56" fillId="4" borderId="0" xfId="0" applyNumberFormat="1" applyFont="1" applyFill="1" applyAlignment="1">
      <alignment horizontal="right"/>
    </xf>
    <xf numFmtId="38" fontId="0" fillId="40" borderId="9" xfId="0" applyNumberFormat="1" applyFill="1" applyBorder="1" applyProtection="1">
      <protection locked="0"/>
    </xf>
    <xf numFmtId="0" fontId="15" fillId="27" borderId="10" xfId="0" applyFont="1" applyFill="1" applyBorder="1" applyAlignment="1">
      <alignment horizontal="left"/>
    </xf>
    <xf numFmtId="38" fontId="128" fillId="27" borderId="9" xfId="0" applyNumberFormat="1" applyFont="1" applyFill="1" applyBorder="1"/>
    <xf numFmtId="174" fontId="128" fillId="27" borderId="9" xfId="0" applyNumberFormat="1" applyFont="1" applyFill="1" applyBorder="1"/>
    <xf numFmtId="38" fontId="0" fillId="26" borderId="0" xfId="0" applyNumberFormat="1" applyFill="1" applyAlignment="1">
      <alignment horizontal="center"/>
    </xf>
    <xf numFmtId="38" fontId="0" fillId="26" borderId="9" xfId="0" applyNumberFormat="1" applyFill="1" applyBorder="1"/>
    <xf numFmtId="37" fontId="156" fillId="42" borderId="165" xfId="0" applyNumberFormat="1" applyFont="1" applyFill="1" applyBorder="1"/>
    <xf numFmtId="38" fontId="156" fillId="42" borderId="165" xfId="0" applyNumberFormat="1" applyFont="1" applyFill="1" applyBorder="1"/>
    <xf numFmtId="38" fontId="159" fillId="42" borderId="165" xfId="0" applyNumberFormat="1" applyFont="1" applyFill="1" applyBorder="1"/>
    <xf numFmtId="38" fontId="174" fillId="42" borderId="165" xfId="0" applyNumberFormat="1" applyFont="1" applyFill="1" applyBorder="1"/>
    <xf numFmtId="0" fontId="163" fillId="27" borderId="146" xfId="0" applyFont="1" applyFill="1" applyBorder="1"/>
    <xf numFmtId="0" fontId="163" fillId="27" borderId="0" xfId="0" applyFont="1" applyFill="1"/>
    <xf numFmtId="38" fontId="26" fillId="42" borderId="165" xfId="0" applyNumberFormat="1" applyFont="1" applyFill="1" applyBorder="1"/>
    <xf numFmtId="0" fontId="179" fillId="31" borderId="141" xfId="0" applyFont="1" applyFill="1" applyBorder="1"/>
    <xf numFmtId="38" fontId="179" fillId="12" borderId="141" xfId="0" applyNumberFormat="1" applyFont="1" applyFill="1" applyBorder="1"/>
    <xf numFmtId="0" fontId="160" fillId="42" borderId="165" xfId="0" applyFont="1" applyFill="1" applyBorder="1" applyAlignment="1">
      <alignment horizontal="center"/>
    </xf>
    <xf numFmtId="38" fontId="46" fillId="42" borderId="165" xfId="0" applyNumberFormat="1" applyFont="1" applyFill="1" applyBorder="1"/>
    <xf numFmtId="37" fontId="131" fillId="42" borderId="165" xfId="0" applyNumberFormat="1" applyFont="1" applyFill="1" applyBorder="1"/>
    <xf numFmtId="38" fontId="131" fillId="42" borderId="165" xfId="0" applyNumberFormat="1" applyFont="1" applyFill="1" applyBorder="1"/>
    <xf numFmtId="38" fontId="128" fillId="42" borderId="165" xfId="0" applyNumberFormat="1" applyFont="1" applyFill="1" applyBorder="1"/>
    <xf numFmtId="38" fontId="48" fillId="42" borderId="166" xfId="0" applyNumberFormat="1" applyFont="1" applyFill="1" applyBorder="1"/>
    <xf numFmtId="0" fontId="108" fillId="42" borderId="0" xfId="0" applyFont="1" applyFill="1"/>
    <xf numFmtId="0" fontId="13" fillId="26" borderId="167" xfId="0" applyFont="1" applyFill="1" applyBorder="1"/>
    <xf numFmtId="0" fontId="91" fillId="42" borderId="143" xfId="0" applyFont="1" applyFill="1" applyBorder="1" applyAlignment="1">
      <alignment horizontal="center"/>
    </xf>
    <xf numFmtId="0" fontId="179" fillId="31" borderId="168" xfId="0" applyFont="1" applyFill="1" applyBorder="1" applyAlignment="1">
      <alignment horizontal="center"/>
    </xf>
    <xf numFmtId="0" fontId="160" fillId="31" borderId="169" xfId="0" applyFont="1" applyFill="1" applyBorder="1" applyAlignment="1">
      <alignment horizontal="center"/>
    </xf>
    <xf numFmtId="38" fontId="178" fillId="26" borderId="170" xfId="0" applyNumberFormat="1" applyFont="1" applyFill="1" applyBorder="1"/>
    <xf numFmtId="0" fontId="179" fillId="31" borderId="102" xfId="0" applyFont="1" applyFill="1" applyBorder="1"/>
    <xf numFmtId="37" fontId="179" fillId="31" borderId="169" xfId="0" applyNumberFormat="1" applyFont="1" applyFill="1" applyBorder="1"/>
    <xf numFmtId="38" fontId="179" fillId="31" borderId="169" xfId="0" applyNumberFormat="1" applyFont="1" applyFill="1" applyBorder="1"/>
    <xf numFmtId="38" fontId="178" fillId="31" borderId="169" xfId="0" applyNumberFormat="1" applyFont="1" applyFill="1" applyBorder="1"/>
    <xf numFmtId="38" fontId="178" fillId="31" borderId="102" xfId="0" applyNumberFormat="1" applyFont="1" applyFill="1" applyBorder="1"/>
    <xf numFmtId="38" fontId="181" fillId="26" borderId="169" xfId="0" applyNumberFormat="1" applyFont="1" applyFill="1" applyBorder="1"/>
    <xf numFmtId="38" fontId="181" fillId="31" borderId="102" xfId="0" applyNumberFormat="1" applyFont="1" applyFill="1" applyBorder="1"/>
    <xf numFmtId="0" fontId="137" fillId="2" borderId="141" xfId="0" quotePrefix="1" applyFont="1" applyBorder="1" applyAlignment="1">
      <alignment horizontal="center"/>
    </xf>
    <xf numFmtId="0" fontId="83" fillId="2" borderId="141" xfId="0" quotePrefix="1" applyFont="1" applyBorder="1" applyAlignment="1">
      <alignment horizontal="center"/>
    </xf>
    <xf numFmtId="0" fontId="139" fillId="2" borderId="141" xfId="0" quotePrefix="1" applyFont="1" applyBorder="1" applyAlignment="1">
      <alignment horizontal="center"/>
    </xf>
    <xf numFmtId="0" fontId="134" fillId="2" borderId="141" xfId="0" quotePrefix="1" applyFont="1" applyBorder="1" applyAlignment="1">
      <alignment horizontal="center"/>
    </xf>
    <xf numFmtId="0" fontId="142" fillId="2" borderId="141" xfId="0" quotePrefix="1" applyFont="1" applyBorder="1" applyAlignment="1">
      <alignment horizontal="center"/>
    </xf>
    <xf numFmtId="0" fontId="153" fillId="2" borderId="141" xfId="0" quotePrefix="1" applyFont="1" applyBorder="1" applyAlignment="1">
      <alignment horizontal="center"/>
    </xf>
    <xf numFmtId="0" fontId="171" fillId="2" borderId="141" xfId="0" quotePrefix="1" applyFont="1" applyBorder="1" applyAlignment="1">
      <alignment horizontal="center"/>
    </xf>
    <xf numFmtId="0" fontId="127" fillId="27" borderId="0" xfId="0" quotePrefix="1" applyFont="1" applyFill="1"/>
    <xf numFmtId="0" fontId="64" fillId="27" borderId="0" xfId="0" quotePrefix="1" applyFont="1" applyFill="1"/>
    <xf numFmtId="0" fontId="40" fillId="27" borderId="0" xfId="0" applyFont="1" applyFill="1"/>
    <xf numFmtId="0" fontId="160" fillId="27" borderId="0" xfId="0" quotePrefix="1" applyFont="1" applyFill="1"/>
    <xf numFmtId="38" fontId="0" fillId="26" borderId="171" xfId="0" applyNumberFormat="1" applyFill="1" applyBorder="1" applyAlignment="1">
      <alignment horizontal="right"/>
    </xf>
    <xf numFmtId="38" fontId="0" fillId="26" borderId="171" xfId="0" applyNumberFormat="1" applyFill="1" applyBorder="1" applyAlignment="1" applyProtection="1">
      <alignment horizontal="right"/>
      <protection locked="0"/>
    </xf>
    <xf numFmtId="179" fontId="0" fillId="26" borderId="171" xfId="0" applyNumberFormat="1" applyFill="1" applyBorder="1" applyAlignment="1" applyProtection="1">
      <alignment horizontal="right"/>
      <protection locked="0"/>
    </xf>
    <xf numFmtId="174" fontId="0" fillId="26" borderId="171" xfId="0" applyNumberFormat="1" applyFill="1" applyBorder="1" applyAlignment="1" applyProtection="1">
      <alignment horizontal="right"/>
      <protection locked="0"/>
    </xf>
    <xf numFmtId="175" fontId="0" fillId="26" borderId="171" xfId="0" applyNumberFormat="1" applyFill="1" applyBorder="1" applyAlignment="1">
      <alignment horizontal="right"/>
    </xf>
    <xf numFmtId="175" fontId="0" fillId="2" borderId="9" xfId="0" applyNumberFormat="1" applyBorder="1" applyAlignment="1">
      <alignment horizontal="right"/>
    </xf>
    <xf numFmtId="175" fontId="0" fillId="26" borderId="9" xfId="0" applyNumberFormat="1" applyFill="1" applyBorder="1" applyAlignment="1">
      <alignment horizontal="right"/>
    </xf>
    <xf numFmtId="38" fontId="0" fillId="26" borderId="9" xfId="0" applyNumberFormat="1" applyFill="1" applyBorder="1" applyAlignment="1">
      <alignment horizontal="right"/>
    </xf>
    <xf numFmtId="38" fontId="0" fillId="26" borderId="141" xfId="0" applyNumberFormat="1" applyFill="1" applyBorder="1" applyAlignment="1">
      <alignment horizontal="right"/>
    </xf>
    <xf numFmtId="174" fontId="0" fillId="26" borderId="141" xfId="0" applyNumberFormat="1" applyFill="1" applyBorder="1" applyAlignment="1">
      <alignment horizontal="right"/>
    </xf>
    <xf numFmtId="174" fontId="0" fillId="26" borderId="0" xfId="0" applyNumberFormat="1" applyFill="1" applyAlignment="1">
      <alignment horizontal="center"/>
    </xf>
    <xf numFmtId="174" fontId="0" fillId="26" borderId="0" xfId="0" applyNumberFormat="1" applyFill="1"/>
    <xf numFmtId="178" fontId="0" fillId="26" borderId="0" xfId="0" applyNumberFormat="1" applyFill="1"/>
    <xf numFmtId="175" fontId="0" fillId="26" borderId="172" xfId="0" applyNumberFormat="1" applyFill="1" applyBorder="1"/>
    <xf numFmtId="40" fontId="0" fillId="26" borderId="0" xfId="0" applyNumberFormat="1" applyFill="1" applyAlignment="1">
      <alignment horizontal="center"/>
    </xf>
    <xf numFmtId="40" fontId="0" fillId="26" borderId="0" xfId="0" applyNumberFormat="1" applyFill="1"/>
    <xf numFmtId="174" fontId="66" fillId="26" borderId="0" xfId="0" applyNumberFormat="1" applyFont="1" applyFill="1"/>
    <xf numFmtId="38" fontId="59" fillId="26" borderId="0" xfId="0" applyNumberFormat="1" applyFont="1" applyFill="1"/>
    <xf numFmtId="0" fontId="0" fillId="40" borderId="0" xfId="0" applyFill="1" applyAlignment="1">
      <alignment horizontal="right"/>
    </xf>
    <xf numFmtId="189" fontId="0" fillId="0" borderId="0" xfId="5" applyNumberFormat="1" applyFont="1"/>
    <xf numFmtId="188" fontId="0" fillId="0" borderId="0" xfId="2" applyNumberFormat="1" applyFont="1"/>
    <xf numFmtId="0" fontId="184" fillId="2" borderId="0" xfId="0" applyFont="1" applyAlignment="1">
      <alignment wrapText="1"/>
    </xf>
    <xf numFmtId="188" fontId="184" fillId="0" borderId="0" xfId="2" applyNumberFormat="1" applyFont="1" applyAlignment="1">
      <alignment wrapText="1"/>
    </xf>
    <xf numFmtId="0" fontId="184" fillId="2" borderId="0" xfId="0" applyFont="1" applyAlignment="1">
      <alignment vertical="center" wrapText="1"/>
    </xf>
    <xf numFmtId="175" fontId="128" fillId="27" borderId="9" xfId="0" applyNumberFormat="1" applyFont="1" applyFill="1" applyBorder="1"/>
    <xf numFmtId="0" fontId="0" fillId="2" borderId="16" xfId="0" applyBorder="1"/>
    <xf numFmtId="175" fontId="15" fillId="29" borderId="108" xfId="0" applyNumberFormat="1" applyFont="1" applyFill="1" applyBorder="1"/>
    <xf numFmtId="0" fontId="182" fillId="25" borderId="147" xfId="0" applyFont="1" applyFill="1" applyBorder="1" applyAlignment="1">
      <alignment horizontal="center"/>
    </xf>
    <xf numFmtId="0" fontId="182" fillId="25" borderId="144" xfId="0" applyFont="1" applyFill="1" applyBorder="1" applyAlignment="1">
      <alignment horizontal="center"/>
    </xf>
    <xf numFmtId="0" fontId="182" fillId="25" borderId="164" xfId="0" applyFont="1" applyFill="1" applyBorder="1" applyAlignment="1">
      <alignment horizontal="center"/>
    </xf>
    <xf numFmtId="0" fontId="182" fillId="25" borderId="157" xfId="0" applyFont="1" applyFill="1" applyBorder="1" applyAlignment="1">
      <alignment horizontal="center"/>
    </xf>
    <xf numFmtId="0" fontId="185" fillId="27" borderId="0" xfId="0" applyFont="1" applyFill="1"/>
    <xf numFmtId="0" fontId="182" fillId="25" borderId="171" xfId="0" applyFont="1" applyFill="1" applyBorder="1" applyAlignment="1">
      <alignment horizontal="center"/>
    </xf>
    <xf numFmtId="0" fontId="182" fillId="25" borderId="172" xfId="0" applyFont="1" applyFill="1" applyBorder="1" applyAlignment="1">
      <alignment horizontal="center"/>
    </xf>
    <xf numFmtId="175" fontId="0" fillId="2" borderId="171" xfId="0" applyNumberFormat="1" applyBorder="1"/>
    <xf numFmtId="38" fontId="0" fillId="2" borderId="171" xfId="0" applyNumberFormat="1" applyBorder="1"/>
    <xf numFmtId="0" fontId="186" fillId="2" borderId="0" xfId="0" applyFont="1"/>
    <xf numFmtId="0" fontId="186" fillId="2" borderId="0" xfId="0" applyFont="1" applyAlignment="1">
      <alignment horizontal="center"/>
    </xf>
    <xf numFmtId="0" fontId="187" fillId="27" borderId="0" xfId="0" applyFont="1" applyFill="1" applyAlignment="1">
      <alignment horizontal="center"/>
    </xf>
    <xf numFmtId="0" fontId="186" fillId="2" borderId="171" xfId="0" applyFont="1" applyBorder="1"/>
    <xf numFmtId="0" fontId="167" fillId="25" borderId="171" xfId="0" applyFont="1" applyFill="1" applyBorder="1" applyAlignment="1">
      <alignment horizontal="center"/>
    </xf>
    <xf numFmtId="0" fontId="167" fillId="25" borderId="172" xfId="0" applyFont="1" applyFill="1" applyBorder="1" applyAlignment="1">
      <alignment horizontal="center"/>
    </xf>
    <xf numFmtId="37" fontId="186" fillId="2" borderId="171" xfId="0" applyNumberFormat="1" applyFont="1" applyBorder="1"/>
    <xf numFmtId="174" fontId="186" fillId="26" borderId="118" xfId="0" applyNumberFormat="1" applyFont="1" applyFill="1" applyBorder="1"/>
    <xf numFmtId="174" fontId="186" fillId="26" borderId="164" xfId="0" applyNumberFormat="1" applyFont="1" applyFill="1" applyBorder="1"/>
    <xf numFmtId="38" fontId="186" fillId="2" borderId="171" xfId="0" applyNumberFormat="1" applyFont="1" applyBorder="1"/>
    <xf numFmtId="174" fontId="186" fillId="2" borderId="171" xfId="0" applyNumberFormat="1" applyFont="1" applyBorder="1"/>
    <xf numFmtId="0" fontId="186" fillId="2" borderId="0" xfId="0" applyFont="1" applyAlignment="1">
      <alignment horizontal="right"/>
    </xf>
    <xf numFmtId="0" fontId="15" fillId="26" borderId="164" xfId="0" applyFont="1" applyFill="1" applyBorder="1"/>
    <xf numFmtId="0" fontId="0" fillId="26" borderId="144" xfId="0" applyFill="1" applyBorder="1"/>
    <xf numFmtId="38" fontId="15" fillId="2" borderId="171" xfId="0" applyNumberFormat="1" applyFont="1" applyBorder="1" applyAlignment="1">
      <alignment horizontal="right"/>
    </xf>
    <xf numFmtId="0" fontId="0" fillId="26" borderId="174" xfId="0" applyFill="1" applyBorder="1"/>
    <xf numFmtId="0" fontId="0" fillId="26" borderId="172" xfId="0" applyFill="1" applyBorder="1"/>
    <xf numFmtId="0" fontId="188" fillId="52" borderId="175" xfId="0" applyFont="1" applyFill="1" applyBorder="1"/>
    <xf numFmtId="188" fontId="188" fillId="52" borderId="175" xfId="2" applyNumberFormat="1" applyFont="1" applyFill="1" applyBorder="1"/>
    <xf numFmtId="0" fontId="188" fillId="2" borderId="175" xfId="0" applyFont="1" applyBorder="1"/>
    <xf numFmtId="188" fontId="188" fillId="0" borderId="175" xfId="2" applyNumberFormat="1" applyFont="1" applyBorder="1"/>
    <xf numFmtId="0" fontId="44" fillId="48" borderId="0" xfId="0" applyFont="1" applyFill="1"/>
    <xf numFmtId="188" fontId="188" fillId="53" borderId="0" xfId="2" applyNumberFormat="1" applyFont="1" applyFill="1"/>
    <xf numFmtId="0" fontId="188" fillId="48" borderId="0" xfId="0" applyFont="1" applyFill="1"/>
    <xf numFmtId="188" fontId="188" fillId="27" borderId="0" xfId="2" applyNumberFormat="1" applyFont="1" applyFill="1"/>
    <xf numFmtId="0" fontId="188" fillId="53" borderId="0" xfId="0" applyFont="1" applyFill="1"/>
    <xf numFmtId="0" fontId="44" fillId="48" borderId="0" xfId="0" applyFont="1" applyFill="1" applyAlignment="1">
      <alignment horizontal="left"/>
    </xf>
    <xf numFmtId="38" fontId="188" fillId="53" borderId="0" xfId="2" applyNumberFormat="1" applyFont="1" applyFill="1"/>
    <xf numFmtId="38" fontId="188" fillId="27" borderId="0" xfId="2" applyNumberFormat="1" applyFont="1" applyFill="1"/>
    <xf numFmtId="0" fontId="15" fillId="2" borderId="171" xfId="0" applyFont="1" applyBorder="1"/>
    <xf numFmtId="6" fontId="15" fillId="2" borderId="171" xfId="0" applyNumberFormat="1" applyFont="1" applyBorder="1"/>
    <xf numFmtId="0" fontId="0" fillId="2" borderId="171" xfId="0" applyBorder="1"/>
    <xf numFmtId="0" fontId="182" fillId="26" borderId="147" xfId="0" applyFont="1" applyFill="1" applyBorder="1" applyAlignment="1">
      <alignment horizontal="left"/>
    </xf>
    <xf numFmtId="38" fontId="15" fillId="27" borderId="171" xfId="0" applyNumberFormat="1" applyFont="1" applyFill="1" applyBorder="1" applyAlignment="1">
      <alignment horizontal="right"/>
    </xf>
    <xf numFmtId="38" fontId="0" fillId="27" borderId="29" xfId="0" applyNumberFormat="1" applyFill="1" applyBorder="1"/>
    <xf numFmtId="38" fontId="0" fillId="27" borderId="9" xfId="0" applyNumberFormat="1" applyFill="1" applyBorder="1"/>
    <xf numFmtId="0" fontId="160" fillId="26" borderId="173" xfId="0" applyFont="1" applyFill="1" applyBorder="1"/>
    <xf numFmtId="0" fontId="4" fillId="54" borderId="45" xfId="0" applyFont="1" applyFill="1" applyBorder="1"/>
    <xf numFmtId="38" fontId="0" fillId="25" borderId="132" xfId="0" applyNumberFormat="1" applyFill="1" applyBorder="1"/>
    <xf numFmtId="37" fontId="1" fillId="46" borderId="176" xfId="0" applyNumberFormat="1" applyFont="1" applyFill="1" applyBorder="1"/>
    <xf numFmtId="0" fontId="0" fillId="26" borderId="176" xfId="0" applyFill="1" applyBorder="1"/>
    <xf numFmtId="37" fontId="1" fillId="47" borderId="176" xfId="0" applyNumberFormat="1" applyFont="1" applyFill="1" applyBorder="1"/>
    <xf numFmtId="37" fontId="0" fillId="26" borderId="176" xfId="0" applyNumberFormat="1" applyFill="1" applyBorder="1"/>
    <xf numFmtId="0" fontId="0" fillId="25" borderId="176" xfId="0" applyFill="1" applyBorder="1"/>
    <xf numFmtId="37" fontId="1" fillId="46" borderId="176" xfId="0" applyNumberFormat="1" applyFont="1" applyFill="1" applyBorder="1" applyAlignment="1">
      <alignment horizontal="right"/>
    </xf>
    <xf numFmtId="37" fontId="4" fillId="46" borderId="176" xfId="0" applyNumberFormat="1" applyFont="1" applyFill="1" applyBorder="1"/>
    <xf numFmtId="37" fontId="0" fillId="26" borderId="164" xfId="0" applyNumberFormat="1" applyFill="1" applyBorder="1"/>
    <xf numFmtId="180" fontId="83" fillId="12" borderId="2" xfId="0" applyNumberFormat="1" applyFont="1" applyFill="1" applyBorder="1"/>
    <xf numFmtId="180" fontId="15" fillId="2" borderId="9" xfId="0" applyNumberFormat="1" applyFont="1" applyBorder="1"/>
    <xf numFmtId="37" fontId="14" fillId="46" borderId="143" xfId="0" applyNumberFormat="1" applyFont="1" applyFill="1" applyBorder="1"/>
    <xf numFmtId="37" fontId="1" fillId="46" borderId="163" xfId="0" applyNumberFormat="1" applyFont="1" applyFill="1" applyBorder="1"/>
    <xf numFmtId="0" fontId="0" fillId="26" borderId="163" xfId="0" applyFill="1" applyBorder="1"/>
    <xf numFmtId="37" fontId="1" fillId="47" borderId="163" xfId="0" applyNumberFormat="1" applyFont="1" applyFill="1" applyBorder="1"/>
    <xf numFmtId="37" fontId="0" fillId="26" borderId="163" xfId="0" applyNumberFormat="1" applyFill="1" applyBorder="1"/>
    <xf numFmtId="0" fontId="0" fillId="25" borderId="163" xfId="0" applyFill="1" applyBorder="1"/>
    <xf numFmtId="37" fontId="0" fillId="26" borderId="158" xfId="0" applyNumberFormat="1" applyFill="1" applyBorder="1"/>
    <xf numFmtId="38" fontId="0" fillId="25" borderId="115" xfId="0" applyNumberFormat="1" applyFill="1" applyBorder="1" applyAlignment="1">
      <alignment horizontal="right"/>
    </xf>
    <xf numFmtId="38" fontId="0" fillId="25" borderId="176" xfId="0" applyNumberFormat="1" applyFill="1" applyBorder="1"/>
    <xf numFmtId="38" fontId="0" fillId="25" borderId="164" xfId="0" applyNumberFormat="1" applyFill="1" applyBorder="1"/>
    <xf numFmtId="38" fontId="4" fillId="25" borderId="118" xfId="0" applyNumberFormat="1" applyFont="1" applyFill="1" applyBorder="1"/>
    <xf numFmtId="38" fontId="4" fillId="25" borderId="36" xfId="0" applyNumberFormat="1" applyFont="1" applyFill="1" applyBorder="1"/>
    <xf numFmtId="38" fontId="4" fillId="25" borderId="147" xfId="0" applyNumberFormat="1" applyFont="1" applyFill="1" applyBorder="1"/>
    <xf numFmtId="38" fontId="4" fillId="26" borderId="147" xfId="0" applyNumberFormat="1" applyFont="1" applyFill="1" applyBorder="1"/>
    <xf numFmtId="38" fontId="4" fillId="26" borderId="164" xfId="0" applyNumberFormat="1" applyFont="1" applyFill="1" applyBorder="1"/>
    <xf numFmtId="38" fontId="4" fillId="25" borderId="115" xfId="0" applyNumberFormat="1" applyFont="1" applyFill="1" applyBorder="1"/>
    <xf numFmtId="38" fontId="4" fillId="25" borderId="144" xfId="0" applyNumberFormat="1" applyFont="1" applyFill="1" applyBorder="1"/>
    <xf numFmtId="0" fontId="0" fillId="25" borderId="147" xfId="0" applyFill="1" applyBorder="1" applyAlignment="1">
      <alignment horizontal="right"/>
    </xf>
    <xf numFmtId="0" fontId="0" fillId="25" borderId="164" xfId="0" applyFill="1" applyBorder="1" applyAlignment="1">
      <alignment horizontal="right"/>
    </xf>
    <xf numFmtId="0" fontId="4" fillId="25" borderId="147" xfId="0" applyFont="1" applyFill="1" applyBorder="1"/>
    <xf numFmtId="0" fontId="4" fillId="25" borderId="164" xfId="0" quotePrefix="1" applyFont="1" applyFill="1" applyBorder="1" applyAlignment="1">
      <alignment horizontal="center"/>
    </xf>
    <xf numFmtId="0" fontId="0" fillId="25" borderId="164" xfId="0" applyFill="1" applyBorder="1"/>
    <xf numFmtId="37" fontId="1" fillId="25" borderId="152" xfId="0" applyNumberFormat="1" applyFont="1" applyFill="1" applyBorder="1" applyAlignment="1">
      <alignment horizontal="right"/>
    </xf>
    <xf numFmtId="37" fontId="4" fillId="25" borderId="176" xfId="0" applyNumberFormat="1" applyFont="1" applyFill="1" applyBorder="1"/>
    <xf numFmtId="37" fontId="1" fillId="25" borderId="164" xfId="0" applyNumberFormat="1" applyFont="1" applyFill="1" applyBorder="1"/>
    <xf numFmtId="0" fontId="4" fillId="44" borderId="143" xfId="0" applyFont="1" applyFill="1" applyBorder="1" applyAlignment="1">
      <alignment horizontal="center"/>
    </xf>
    <xf numFmtId="0" fontId="4" fillId="44" borderId="158" xfId="0" applyFont="1" applyFill="1" applyBorder="1" applyAlignment="1">
      <alignment horizontal="center"/>
    </xf>
    <xf numFmtId="38" fontId="4" fillId="25" borderId="164" xfId="0" applyNumberFormat="1" applyFont="1" applyFill="1" applyBorder="1"/>
    <xf numFmtId="38" fontId="4" fillId="25" borderId="157" xfId="0" applyNumberFormat="1" applyFont="1" applyFill="1" applyBorder="1"/>
    <xf numFmtId="38" fontId="4" fillId="28" borderId="132" xfId="0" applyNumberFormat="1" applyFont="1" applyFill="1" applyBorder="1" applyAlignment="1">
      <alignment horizontal="right"/>
    </xf>
    <xf numFmtId="0" fontId="0" fillId="29" borderId="171" xfId="0" applyFill="1" applyBorder="1"/>
    <xf numFmtId="0" fontId="0" fillId="26" borderId="171" xfId="0" applyFill="1" applyBorder="1"/>
    <xf numFmtId="0" fontId="4" fillId="25" borderId="110" xfId="0" applyFont="1" applyFill="1" applyBorder="1"/>
    <xf numFmtId="6" fontId="4" fillId="31" borderId="108" xfId="0" applyNumberFormat="1" applyFont="1" applyFill="1" applyBorder="1"/>
    <xf numFmtId="0" fontId="0" fillId="55" borderId="0" xfId="0" applyFill="1"/>
    <xf numFmtId="0" fontId="4" fillId="55" borderId="0" xfId="0" applyFont="1" applyFill="1"/>
    <xf numFmtId="0" fontId="4" fillId="55" borderId="9" xfId="0" applyFont="1" applyFill="1" applyBorder="1" applyAlignment="1">
      <alignment horizontal="center"/>
    </xf>
    <xf numFmtId="175" fontId="15" fillId="2" borderId="0" xfId="0" applyNumberFormat="1" applyFont="1" applyAlignment="1">
      <alignment horizontal="right"/>
    </xf>
    <xf numFmtId="174" fontId="15" fillId="2" borderId="0" xfId="0" applyNumberFormat="1" applyFont="1"/>
    <xf numFmtId="182" fontId="15" fillId="2" borderId="0" xfId="0" applyNumberFormat="1" applyFont="1"/>
    <xf numFmtId="6" fontId="46" fillId="26" borderId="0" xfId="0" applyNumberFormat="1" applyFont="1" applyFill="1"/>
    <xf numFmtId="6" fontId="15" fillId="2" borderId="0" xfId="0" quotePrefix="1" applyNumberFormat="1" applyFont="1" applyAlignment="1">
      <alignment horizontal="right"/>
    </xf>
    <xf numFmtId="175" fontId="128" fillId="42" borderId="164" xfId="0" applyNumberFormat="1" applyFont="1" applyFill="1" applyBorder="1" applyProtection="1">
      <protection locked="0"/>
    </xf>
    <xf numFmtId="175" fontId="46" fillId="29" borderId="171" xfId="0" applyNumberFormat="1" applyFont="1" applyFill="1" applyBorder="1"/>
    <xf numFmtId="175" fontId="150" fillId="0" borderId="164" xfId="0" applyNumberFormat="1" applyFont="1" applyFill="1" applyBorder="1" applyProtection="1">
      <protection locked="0"/>
    </xf>
    <xf numFmtId="175" fontId="168" fillId="0" borderId="164" xfId="0" applyNumberFormat="1" applyFont="1" applyFill="1" applyBorder="1" applyProtection="1">
      <protection locked="0"/>
    </xf>
    <xf numFmtId="175" fontId="15" fillId="55" borderId="171" xfId="0" applyNumberFormat="1" applyFont="1" applyFill="1" applyBorder="1" applyAlignment="1">
      <alignment horizontal="right"/>
    </xf>
    <xf numFmtId="38" fontId="15" fillId="55" borderId="171" xfId="0" applyNumberFormat="1" applyFont="1" applyFill="1" applyBorder="1"/>
    <xf numFmtId="174" fontId="15" fillId="55" borderId="171" xfId="0" applyNumberFormat="1" applyFont="1" applyFill="1" applyBorder="1"/>
    <xf numFmtId="6" fontId="15" fillId="55" borderId="171" xfId="0" applyNumberFormat="1" applyFont="1" applyFill="1" applyBorder="1"/>
    <xf numFmtId="182" fontId="15" fillId="55" borderId="171" xfId="0" applyNumberFormat="1" applyFont="1" applyFill="1" applyBorder="1"/>
    <xf numFmtId="6" fontId="46" fillId="55" borderId="171" xfId="0" applyNumberFormat="1" applyFont="1" applyFill="1" applyBorder="1"/>
    <xf numFmtId="0" fontId="0" fillId="25" borderId="171" xfId="0" applyFill="1" applyBorder="1"/>
    <xf numFmtId="0" fontId="38" fillId="55" borderId="147" xfId="0" applyFont="1" applyFill="1" applyBorder="1" applyAlignment="1">
      <alignment horizontal="center"/>
    </xf>
    <xf numFmtId="0" fontId="46" fillId="55" borderId="164" xfId="0" applyFont="1" applyFill="1" applyBorder="1" applyAlignment="1">
      <alignment horizontal="center"/>
    </xf>
    <xf numFmtId="0" fontId="0" fillId="25" borderId="147" xfId="0" applyFill="1" applyBorder="1"/>
    <xf numFmtId="0" fontId="9" fillId="4" borderId="0" xfId="0" quotePrefix="1" applyFont="1" applyFill="1" applyAlignment="1">
      <alignment horizontal="center"/>
    </xf>
    <xf numFmtId="38" fontId="4" fillId="9" borderId="179" xfId="0" applyNumberFormat="1" applyFont="1" applyFill="1" applyBorder="1"/>
    <xf numFmtId="37" fontId="4" fillId="20" borderId="180" xfId="0" applyNumberFormat="1" applyFont="1" applyFill="1" applyBorder="1"/>
    <xf numFmtId="0" fontId="4" fillId="4" borderId="181" xfId="0" quotePrefix="1" applyFont="1" applyFill="1" applyBorder="1" applyAlignment="1">
      <alignment horizontal="center"/>
    </xf>
    <xf numFmtId="38" fontId="4" fillId="4" borderId="181" xfId="0" quotePrefix="1" applyNumberFormat="1" applyFont="1" applyFill="1" applyBorder="1" applyAlignment="1">
      <alignment horizontal="center"/>
    </xf>
    <xf numFmtId="0" fontId="11" fillId="55" borderId="0" xfId="0" applyFont="1" applyFill="1"/>
    <xf numFmtId="0" fontId="135" fillId="55" borderId="0" xfId="0" applyFont="1" applyFill="1"/>
    <xf numFmtId="0" fontId="137" fillId="55" borderId="0" xfId="0" applyFont="1" applyFill="1"/>
    <xf numFmtId="0" fontId="94" fillId="55" borderId="0" xfId="0" applyFont="1" applyFill="1"/>
    <xf numFmtId="38" fontId="139" fillId="55" borderId="2" xfId="0" applyNumberFormat="1" applyFont="1" applyFill="1" applyBorder="1"/>
    <xf numFmtId="38" fontId="139" fillId="55" borderId="182" xfId="0" applyNumberFormat="1" applyFont="1" applyFill="1" applyBorder="1"/>
    <xf numFmtId="0" fontId="94" fillId="55" borderId="0" xfId="0" applyFont="1" applyFill="1" applyAlignment="1">
      <alignment horizontal="right"/>
    </xf>
    <xf numFmtId="0" fontId="0" fillId="55" borderId="0" xfId="0" applyFill="1" applyAlignment="1">
      <alignment horizontal="right"/>
    </xf>
    <xf numFmtId="38" fontId="139" fillId="55" borderId="2" xfId="0" applyNumberFormat="1" applyFont="1" applyFill="1" applyBorder="1" applyProtection="1">
      <protection locked="0"/>
    </xf>
    <xf numFmtId="174" fontId="139" fillId="55" borderId="2" xfId="0" applyNumberFormat="1" applyFont="1" applyFill="1" applyBorder="1"/>
    <xf numFmtId="38" fontId="139" fillId="55" borderId="9" xfId="0" applyNumberFormat="1" applyFont="1" applyFill="1" applyBorder="1"/>
    <xf numFmtId="0" fontId="0" fillId="55" borderId="187" xfId="0" applyFill="1" applyBorder="1" applyAlignment="1">
      <alignment horizontal="right"/>
    </xf>
    <xf numFmtId="0" fontId="0" fillId="55" borderId="176" xfId="0" applyFill="1" applyBorder="1" applyAlignment="1">
      <alignment horizontal="right"/>
    </xf>
    <xf numFmtId="0" fontId="0" fillId="55" borderId="162" xfId="0" applyFill="1" applyBorder="1" applyAlignment="1">
      <alignment horizontal="right"/>
    </xf>
    <xf numFmtId="0" fontId="0" fillId="55" borderId="163" xfId="0" applyFill="1" applyBorder="1" applyAlignment="1">
      <alignment horizontal="right"/>
    </xf>
    <xf numFmtId="0" fontId="4" fillId="55" borderId="0" xfId="0" applyFont="1" applyFill="1" applyAlignment="1">
      <alignment horizontal="right"/>
    </xf>
    <xf numFmtId="175" fontId="128" fillId="42" borderId="186" xfId="0" applyNumberFormat="1" applyFont="1" applyFill="1" applyBorder="1" applyProtection="1">
      <protection locked="0"/>
    </xf>
    <xf numFmtId="175" fontId="168" fillId="0" borderId="186" xfId="0" applyNumberFormat="1" applyFont="1" applyFill="1" applyBorder="1" applyProtection="1">
      <protection locked="0"/>
    </xf>
    <xf numFmtId="38" fontId="135" fillId="55" borderId="0" xfId="0" applyNumberFormat="1" applyFont="1" applyFill="1" applyAlignment="1">
      <alignment horizontal="center"/>
    </xf>
    <xf numFmtId="38" fontId="137" fillId="55" borderId="0" xfId="0" applyNumberFormat="1" applyFont="1" applyFill="1" applyAlignment="1">
      <alignment horizontal="center"/>
    </xf>
    <xf numFmtId="38" fontId="94" fillId="55" borderId="0" xfId="0" applyNumberFormat="1" applyFont="1" applyFill="1" applyAlignment="1">
      <alignment horizontal="center"/>
    </xf>
    <xf numFmtId="38" fontId="94" fillId="55" borderId="0" xfId="0" applyNumberFormat="1" applyFont="1" applyFill="1" applyAlignment="1">
      <alignment horizontal="right"/>
    </xf>
    <xf numFmtId="0" fontId="134" fillId="55" borderId="0" xfId="0" applyFont="1" applyFill="1"/>
    <xf numFmtId="0" fontId="4" fillId="55" borderId="0" xfId="0" applyFont="1" applyFill="1" applyAlignment="1">
      <alignment horizontal="center"/>
    </xf>
    <xf numFmtId="175" fontId="128" fillId="42" borderId="194" xfId="0" applyNumberFormat="1" applyFont="1" applyFill="1" applyBorder="1" applyProtection="1">
      <protection locked="0"/>
    </xf>
    <xf numFmtId="6" fontId="15" fillId="55" borderId="171" xfId="0" applyNumberFormat="1" applyFont="1" applyFill="1" applyBorder="1" applyProtection="1">
      <protection locked="0"/>
    </xf>
    <xf numFmtId="175" fontId="151" fillId="27" borderId="171" xfId="0" applyNumberFormat="1" applyFont="1" applyFill="1" applyBorder="1" applyProtection="1">
      <protection locked="0"/>
    </xf>
    <xf numFmtId="38" fontId="139" fillId="55" borderId="171" xfId="0" applyNumberFormat="1" applyFont="1" applyFill="1" applyBorder="1"/>
    <xf numFmtId="0" fontId="15" fillId="55" borderId="177" xfId="0" applyFont="1" applyFill="1" applyBorder="1"/>
    <xf numFmtId="0" fontId="92" fillId="55" borderId="193" xfId="0" applyFont="1" applyFill="1" applyBorder="1"/>
    <xf numFmtId="0" fontId="94" fillId="4" borderId="0" xfId="0" applyFont="1" applyFill="1" applyAlignment="1">
      <alignment horizontal="center"/>
    </xf>
    <xf numFmtId="0" fontId="94" fillId="4" borderId="0" xfId="0" applyFont="1" applyFill="1" applyAlignment="1">
      <alignment horizontal="left"/>
    </xf>
    <xf numFmtId="174" fontId="139" fillId="55" borderId="195" xfId="0" applyNumberFormat="1" applyFont="1" applyFill="1" applyBorder="1"/>
    <xf numFmtId="0" fontId="46" fillId="55" borderId="188" xfId="0" applyFont="1" applyFill="1" applyBorder="1"/>
    <xf numFmtId="0" fontId="46" fillId="55" borderId="193" xfId="0" applyFont="1" applyFill="1" applyBorder="1"/>
    <xf numFmtId="38" fontId="128" fillId="42" borderId="186" xfId="0" applyNumberFormat="1" applyFont="1" applyFill="1" applyBorder="1" applyProtection="1">
      <protection locked="0"/>
    </xf>
    <xf numFmtId="0" fontId="15" fillId="2" borderId="193" xfId="0" applyFont="1" applyBorder="1"/>
    <xf numFmtId="0" fontId="15" fillId="4" borderId="193" xfId="0" applyFont="1" applyFill="1" applyBorder="1"/>
    <xf numFmtId="0" fontId="15" fillId="27" borderId="193" xfId="0" applyFont="1" applyFill="1" applyBorder="1"/>
    <xf numFmtId="0" fontId="0" fillId="25" borderId="193" xfId="0" applyFill="1" applyBorder="1"/>
    <xf numFmtId="0" fontId="38" fillId="25" borderId="36" xfId="0" applyFont="1" applyFill="1" applyBorder="1" applyAlignment="1">
      <alignment horizontal="center"/>
    </xf>
    <xf numFmtId="0" fontId="154" fillId="25" borderId="147" xfId="0" applyFont="1" applyFill="1" applyBorder="1" applyAlignment="1">
      <alignment horizontal="center"/>
    </xf>
    <xf numFmtId="0" fontId="4" fillId="55" borderId="147" xfId="0" applyFont="1" applyFill="1" applyBorder="1" applyAlignment="1">
      <alignment horizontal="center"/>
    </xf>
    <xf numFmtId="0" fontId="4" fillId="55" borderId="186" xfId="0" applyFont="1" applyFill="1" applyBorder="1" applyAlignment="1">
      <alignment horizontal="center"/>
    </xf>
    <xf numFmtId="0" fontId="0" fillId="58" borderId="9" xfId="0" applyFill="1" applyBorder="1"/>
    <xf numFmtId="0" fontId="38" fillId="55" borderId="36" xfId="0" applyFont="1" applyFill="1" applyBorder="1" applyAlignment="1">
      <alignment horizontal="center"/>
    </xf>
    <xf numFmtId="38" fontId="151" fillId="29" borderId="36" xfId="0" applyNumberFormat="1" applyFont="1" applyFill="1" applyBorder="1" applyProtection="1">
      <protection locked="0"/>
    </xf>
    <xf numFmtId="38" fontId="139" fillId="55" borderId="181" xfId="0" applyNumberFormat="1" applyFont="1" applyFill="1" applyBorder="1"/>
    <xf numFmtId="0" fontId="15" fillId="2" borderId="0" xfId="0" applyFont="1" applyAlignment="1">
      <alignment horizontal="right"/>
    </xf>
    <xf numFmtId="18" fontId="191" fillId="2" borderId="0" xfId="0" applyNumberFormat="1" applyFont="1" applyProtection="1">
      <protection locked="0"/>
    </xf>
    <xf numFmtId="0" fontId="135" fillId="27" borderId="0" xfId="0" applyFont="1" applyFill="1"/>
    <xf numFmtId="0" fontId="137" fillId="27" borderId="0" xfId="0" applyFont="1" applyFill="1"/>
    <xf numFmtId="38" fontId="139" fillId="27" borderId="0" xfId="0" applyNumberFormat="1" applyFont="1" applyFill="1"/>
    <xf numFmtId="0" fontId="4" fillId="27" borderId="0" xfId="0" applyFont="1" applyFill="1" applyAlignment="1">
      <alignment horizontal="right"/>
    </xf>
    <xf numFmtId="0" fontId="0" fillId="27" borderId="0" xfId="0" applyFill="1"/>
    <xf numFmtId="0" fontId="0" fillId="27" borderId="0" xfId="0" applyFill="1" applyAlignment="1">
      <alignment horizontal="right"/>
    </xf>
    <xf numFmtId="0" fontId="94" fillId="27" borderId="0" xfId="0" applyFont="1" applyFill="1" applyAlignment="1">
      <alignment horizontal="right"/>
    </xf>
    <xf numFmtId="0" fontId="11" fillId="27" borderId="0" xfId="0" applyFont="1" applyFill="1"/>
    <xf numFmtId="0" fontId="94" fillId="55" borderId="0" xfId="0" applyFont="1" applyFill="1" applyAlignment="1">
      <alignment horizontal="right"/>
    </xf>
    <xf numFmtId="0" fontId="4" fillId="26" borderId="181" xfId="0" applyFont="1" applyFill="1" applyBorder="1" applyAlignment="1">
      <alignment horizontal="center"/>
    </xf>
    <xf numFmtId="174" fontId="94" fillId="4" borderId="0" xfId="0" applyNumberFormat="1" applyFont="1" applyFill="1" applyAlignment="1">
      <alignment horizontal="center"/>
    </xf>
    <xf numFmtId="174" fontId="94" fillId="2" borderId="0" xfId="0" applyNumberFormat="1" applyFont="1" applyAlignment="1">
      <alignment horizontal="center"/>
    </xf>
    <xf numFmtId="174" fontId="4" fillId="2" borderId="0" xfId="0" applyNumberFormat="1" applyFont="1" applyAlignment="1">
      <alignment horizontal="center"/>
    </xf>
    <xf numFmtId="174" fontId="137" fillId="2" borderId="0" xfId="0" applyNumberFormat="1" applyFont="1" applyAlignment="1">
      <alignment horizontal="center"/>
    </xf>
    <xf numFmtId="0" fontId="0" fillId="2" borderId="0" xfId="0" applyFont="1" applyAlignment="1">
      <alignment horizontal="right"/>
    </xf>
    <xf numFmtId="174" fontId="4" fillId="2" borderId="188" xfId="0" applyNumberFormat="1" applyFont="1" applyBorder="1" applyAlignment="1">
      <alignment horizontal="center"/>
    </xf>
    <xf numFmtId="174" fontId="4" fillId="2" borderId="197" xfId="0" applyNumberFormat="1" applyFont="1" applyBorder="1" applyAlignment="1">
      <alignment horizontal="center"/>
    </xf>
    <xf numFmtId="174" fontId="4" fillId="2" borderId="193" xfId="0" applyNumberFormat="1" applyFont="1" applyBorder="1" applyAlignment="1">
      <alignment horizontal="center"/>
    </xf>
    <xf numFmtId="0" fontId="192" fillId="2" borderId="0" xfId="0" applyFont="1"/>
    <xf numFmtId="0" fontId="192" fillId="4" borderId="0" xfId="0" applyFont="1" applyFill="1"/>
    <xf numFmtId="175" fontId="15" fillId="2" borderId="171" xfId="0" applyNumberFormat="1" applyFont="1" applyBorder="1" applyAlignment="1">
      <alignment horizontal="right"/>
    </xf>
    <xf numFmtId="38" fontId="15" fillId="2" borderId="171" xfId="0" applyNumberFormat="1" applyFont="1" applyBorder="1"/>
    <xf numFmtId="182" fontId="15" fillId="2" borderId="171" xfId="0" applyNumberFormat="1" applyFont="1" applyBorder="1"/>
    <xf numFmtId="0" fontId="0" fillId="25" borderId="144" xfId="0" applyFill="1" applyBorder="1"/>
    <xf numFmtId="6" fontId="46" fillId="26" borderId="193" xfId="0" applyNumberFormat="1" applyFont="1" applyFill="1" applyBorder="1"/>
    <xf numFmtId="0" fontId="26" fillId="42" borderId="0" xfId="0" applyFont="1" applyFill="1"/>
    <xf numFmtId="0" fontId="26" fillId="42" borderId="97" xfId="0" applyFont="1" applyFill="1" applyBorder="1"/>
    <xf numFmtId="0" fontId="11" fillId="42" borderId="0" xfId="0" applyFont="1" applyFill="1"/>
    <xf numFmtId="0" fontId="11" fillId="42" borderId="97" xfId="0" applyFont="1" applyFill="1" applyBorder="1"/>
    <xf numFmtId="0" fontId="193" fillId="55" borderId="0" xfId="0" applyFont="1" applyFill="1" applyAlignment="1">
      <alignment horizontal="right"/>
    </xf>
    <xf numFmtId="174" fontId="0" fillId="55" borderId="171" xfId="0" applyNumberFormat="1" applyFont="1" applyFill="1" applyBorder="1" applyAlignment="1">
      <alignment horizontal="right"/>
    </xf>
    <xf numFmtId="0" fontId="4" fillId="26" borderId="199" xfId="0" applyFont="1" applyFill="1" applyBorder="1" applyAlignment="1">
      <alignment horizontal="center"/>
    </xf>
    <xf numFmtId="0" fontId="194" fillId="2" borderId="0" xfId="0" applyFont="1" applyAlignment="1">
      <alignment horizontal="justify" vertical="center"/>
    </xf>
    <xf numFmtId="40" fontId="4" fillId="37" borderId="0" xfId="0" applyNumberFormat="1" applyFont="1" applyFill="1" applyAlignment="1">
      <alignment horizontal="center"/>
    </xf>
    <xf numFmtId="0" fontId="4" fillId="37" borderId="0" xfId="0" applyFont="1" applyFill="1" applyAlignment="1">
      <alignment horizontal="center"/>
    </xf>
    <xf numFmtId="0" fontId="0" fillId="37" borderId="0" xfId="0" applyFill="1"/>
    <xf numFmtId="0" fontId="4" fillId="37" borderId="0" xfId="0" applyFont="1" applyFill="1"/>
    <xf numFmtId="0" fontId="4" fillId="55" borderId="199" xfId="0" applyFont="1" applyFill="1" applyBorder="1" applyAlignment="1">
      <alignment horizontal="center"/>
    </xf>
    <xf numFmtId="38" fontId="4" fillId="55" borderId="147" xfId="0" applyNumberFormat="1" applyFont="1" applyFill="1" applyBorder="1" applyAlignment="1">
      <alignment horizontal="center"/>
    </xf>
    <xf numFmtId="38" fontId="4" fillId="55" borderId="118" xfId="0" applyNumberFormat="1" applyFont="1" applyFill="1" applyBorder="1" applyAlignment="1">
      <alignment horizontal="center"/>
    </xf>
    <xf numFmtId="40" fontId="4" fillId="55" borderId="118" xfId="0" applyNumberFormat="1" applyFont="1" applyFill="1" applyBorder="1" applyAlignment="1">
      <alignment horizontal="center"/>
    </xf>
    <xf numFmtId="177" fontId="4" fillId="27" borderId="0" xfId="0" applyNumberFormat="1" applyFont="1" applyFill="1"/>
    <xf numFmtId="175" fontId="4" fillId="37" borderId="0" xfId="0" applyNumberFormat="1" applyFont="1" applyFill="1" applyAlignment="1">
      <alignment horizontal="center"/>
    </xf>
    <xf numFmtId="3" fontId="4" fillId="37" borderId="0" xfId="0" applyNumberFormat="1" applyFont="1" applyFill="1" applyAlignment="1">
      <alignment horizontal="center"/>
    </xf>
    <xf numFmtId="0" fontId="4" fillId="2" borderId="200" xfId="0" applyFont="1" applyBorder="1" applyAlignment="1">
      <alignment horizontal="center"/>
    </xf>
    <xf numFmtId="0" fontId="4" fillId="2" borderId="163" xfId="0" applyFont="1" applyBorder="1"/>
    <xf numFmtId="0" fontId="0" fillId="2" borderId="163" xfId="0" applyBorder="1"/>
    <xf numFmtId="8" fontId="4" fillId="2" borderId="0" xfId="0" applyNumberFormat="1" applyFont="1"/>
    <xf numFmtId="8" fontId="4" fillId="55" borderId="0" xfId="0" applyNumberFormat="1" applyFont="1" applyFill="1"/>
    <xf numFmtId="0" fontId="4" fillId="26" borderId="188" xfId="0" applyFont="1" applyFill="1" applyBorder="1"/>
    <xf numFmtId="0" fontId="4" fillId="26" borderId="197" xfId="0" applyFont="1" applyFill="1" applyBorder="1"/>
    <xf numFmtId="40" fontId="4" fillId="55" borderId="199" xfId="0" applyNumberFormat="1" applyFont="1" applyFill="1" applyBorder="1" applyAlignment="1">
      <alignment horizontal="center"/>
    </xf>
    <xf numFmtId="0" fontId="0" fillId="27" borderId="0" xfId="0" applyFont="1" applyFill="1"/>
    <xf numFmtId="175" fontId="0" fillId="27" borderId="0" xfId="0" applyNumberFormat="1" applyFont="1" applyFill="1"/>
    <xf numFmtId="0" fontId="4" fillId="26" borderId="9" xfId="0" applyFont="1" applyFill="1" applyBorder="1" applyAlignment="1">
      <alignment horizontal="center"/>
    </xf>
    <xf numFmtId="175" fontId="128" fillId="42" borderId="176" xfId="0" applyNumberFormat="1" applyFont="1" applyFill="1" applyBorder="1" applyProtection="1">
      <protection locked="0"/>
    </xf>
    <xf numFmtId="0" fontId="15" fillId="55" borderId="200" xfId="0" applyFont="1" applyFill="1" applyBorder="1"/>
    <xf numFmtId="0" fontId="3" fillId="55" borderId="197" xfId="0" applyFont="1" applyFill="1" applyBorder="1"/>
    <xf numFmtId="38" fontId="4" fillId="55" borderId="198" xfId="0" applyNumberFormat="1" applyFont="1" applyFill="1" applyBorder="1" applyAlignment="1">
      <alignment horizontal="right"/>
    </xf>
    <xf numFmtId="0" fontId="137" fillId="26" borderId="0" xfId="0" applyFont="1" applyFill="1"/>
    <xf numFmtId="0" fontId="4" fillId="26" borderId="0" xfId="0" applyFont="1" applyFill="1" applyAlignment="1">
      <alignment horizontal="right"/>
    </xf>
    <xf numFmtId="0" fontId="161" fillId="2" borderId="0" xfId="0" applyFont="1" applyAlignment="1">
      <alignment horizontal="right"/>
    </xf>
    <xf numFmtId="0" fontId="29" fillId="4" borderId="197" xfId="0" applyFont="1" applyFill="1" applyBorder="1"/>
    <xf numFmtId="0" fontId="29" fillId="2" borderId="197" xfId="0" applyFont="1" applyBorder="1"/>
    <xf numFmtId="175" fontId="0" fillId="2" borderId="13" xfId="0" applyNumberFormat="1" applyBorder="1"/>
    <xf numFmtId="180"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5"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5" fontId="0" fillId="6" borderId="0" xfId="0" applyNumberFormat="1" applyFill="1" applyBorder="1"/>
    <xf numFmtId="0" fontId="196" fillId="2" borderId="0" xfId="0" applyFont="1"/>
    <xf numFmtId="0" fontId="38" fillId="2" borderId="0" xfId="0" applyFont="1"/>
    <xf numFmtId="0" fontId="36" fillId="4" borderId="0" xfId="0" applyFont="1" applyFill="1"/>
    <xf numFmtId="0" fontId="35" fillId="5" borderId="0" xfId="0" applyFont="1" applyFill="1"/>
    <xf numFmtId="0" fontId="35" fillId="4" borderId="0" xfId="0" applyFont="1" applyFill="1"/>
    <xf numFmtId="37" fontId="35" fillId="2" borderId="0" xfId="0" applyNumberFormat="1" applyFont="1"/>
    <xf numFmtId="165" fontId="35" fillId="2" borderId="0" xfId="0" applyNumberFormat="1" applyFont="1"/>
    <xf numFmtId="164" fontId="35" fillId="2" borderId="0" xfId="0" applyNumberFormat="1" applyFont="1" applyProtection="1">
      <protection locked="0"/>
    </xf>
    <xf numFmtId="164" fontId="35" fillId="2" borderId="0" xfId="0" applyNumberFormat="1" applyFont="1"/>
    <xf numFmtId="0" fontId="15" fillId="27" borderId="10" xfId="0" applyFont="1" applyFill="1" applyBorder="1"/>
    <xf numFmtId="0" fontId="46" fillId="55" borderId="147" xfId="0" applyFont="1" applyFill="1" applyBorder="1" applyAlignment="1">
      <alignment horizontal="center"/>
    </xf>
    <xf numFmtId="190" fontId="46" fillId="55" borderId="186" xfId="0" applyNumberFormat="1" applyFont="1" applyFill="1" applyBorder="1" applyAlignment="1">
      <alignment horizontal="center"/>
    </xf>
    <xf numFmtId="0" fontId="0" fillId="2" borderId="0" xfId="0" applyBorder="1"/>
    <xf numFmtId="0" fontId="4" fillId="2" borderId="0" xfId="0" applyFont="1" applyBorder="1"/>
    <xf numFmtId="0" fontId="0" fillId="2" borderId="146" xfId="0" applyBorder="1"/>
    <xf numFmtId="0" fontId="0" fillId="27" borderId="0" xfId="0" applyFill="1" applyBorder="1"/>
    <xf numFmtId="174" fontId="161" fillId="2" borderId="182" xfId="0" applyNumberFormat="1" applyFont="1" applyBorder="1"/>
    <xf numFmtId="0" fontId="0" fillId="25" borderId="181" xfId="0" applyFill="1" applyBorder="1"/>
    <xf numFmtId="38" fontId="0" fillId="34" borderId="9" xfId="0" applyNumberFormat="1" applyFill="1" applyBorder="1"/>
    <xf numFmtId="0" fontId="56" fillId="4" borderId="147" xfId="0" applyFont="1" applyFill="1" applyBorder="1" applyAlignment="1">
      <alignment horizontal="center"/>
    </xf>
    <xf numFmtId="192" fontId="161" fillId="2" borderId="217" xfId="0" applyNumberFormat="1" applyFont="1" applyBorder="1" applyAlignment="1">
      <alignment horizontal="center"/>
    </xf>
    <xf numFmtId="190" fontId="56" fillId="4" borderId="217" xfId="0" applyNumberFormat="1" applyFont="1" applyFill="1" applyBorder="1" applyAlignment="1">
      <alignment horizontal="center"/>
    </xf>
    <xf numFmtId="0" fontId="197" fillId="4" borderId="188" xfId="0" applyFont="1" applyFill="1" applyBorder="1" applyAlignment="1">
      <alignment horizontal="center"/>
    </xf>
    <xf numFmtId="0" fontId="197" fillId="2" borderId="197" xfId="0" applyFont="1" applyBorder="1"/>
    <xf numFmtId="0" fontId="161" fillId="4" borderId="188" xfId="0" applyFont="1" applyFill="1" applyBorder="1" applyAlignment="1">
      <alignment horizontal="center"/>
    </xf>
    <xf numFmtId="0" fontId="28" fillId="2" borderId="193" xfId="0" applyFont="1" applyBorder="1"/>
    <xf numFmtId="0" fontId="4" fillId="4" borderId="188" xfId="0" applyFont="1" applyFill="1" applyBorder="1" applyAlignment="1">
      <alignment horizontal="center"/>
    </xf>
    <xf numFmtId="0" fontId="4" fillId="4" borderId="193" xfId="0" applyFont="1" applyFill="1" applyBorder="1"/>
    <xf numFmtId="0" fontId="9" fillId="2" borderId="197" xfId="0" applyFont="1" applyBorder="1"/>
    <xf numFmtId="0" fontId="4" fillId="2" borderId="193" xfId="0" applyFont="1" applyBorder="1"/>
    <xf numFmtId="0" fontId="4" fillId="4" borderId="0" xfId="0" applyFont="1" applyFill="1" applyBorder="1" applyAlignment="1">
      <alignment horizontal="center"/>
    </xf>
    <xf numFmtId="0" fontId="29" fillId="2" borderId="0" xfId="0" applyFont="1" applyBorder="1"/>
    <xf numFmtId="0" fontId="0" fillId="4" borderId="193" xfId="0" applyFill="1" applyBorder="1"/>
    <xf numFmtId="0" fontId="29" fillId="4" borderId="193" xfId="0" applyFont="1" applyFill="1" applyBorder="1"/>
    <xf numFmtId="38" fontId="0" fillId="2" borderId="0" xfId="0" applyNumberFormat="1" applyBorder="1"/>
    <xf numFmtId="38" fontId="161" fillId="26" borderId="181" xfId="0" applyNumberFormat="1" applyFont="1" applyFill="1" applyBorder="1"/>
    <xf numFmtId="174" fontId="0" fillId="2" borderId="0" xfId="0" applyNumberFormat="1" applyBorder="1"/>
    <xf numFmtId="38" fontId="9" fillId="12" borderId="181" xfId="0" applyNumberFormat="1" applyFont="1" applyFill="1" applyBorder="1"/>
    <xf numFmtId="175" fontId="14" fillId="29" borderId="36" xfId="0" applyNumberFormat="1" applyFont="1" applyFill="1" applyBorder="1" applyProtection="1">
      <protection locked="0"/>
    </xf>
    <xf numFmtId="175" fontId="46" fillId="29" borderId="199" xfId="0" applyNumberFormat="1" applyFont="1" applyFill="1" applyBorder="1" applyAlignment="1" applyProtection="1">
      <alignment horizontal="center"/>
      <protection locked="0"/>
    </xf>
    <xf numFmtId="175" fontId="46" fillId="29" borderId="171" xfId="0" applyNumberFormat="1" applyFont="1" applyFill="1" applyBorder="1" applyProtection="1">
      <protection locked="0"/>
    </xf>
    <xf numFmtId="175" fontId="15" fillId="29" borderId="171" xfId="0" applyNumberFormat="1" applyFont="1" applyFill="1" applyBorder="1" applyProtection="1">
      <protection locked="0"/>
    </xf>
    <xf numFmtId="175" fontId="46" fillId="29" borderId="181" xfId="0" applyNumberFormat="1" applyFont="1" applyFill="1" applyBorder="1" applyProtection="1">
      <protection locked="0"/>
    </xf>
    <xf numFmtId="0" fontId="124" fillId="25" borderId="36" xfId="0" applyFont="1" applyFill="1" applyBorder="1" applyAlignment="1">
      <alignment horizontal="center"/>
    </xf>
    <xf numFmtId="38" fontId="46" fillId="29" borderId="171" xfId="0" applyNumberFormat="1" applyFont="1" applyFill="1" applyBorder="1" applyProtection="1">
      <protection locked="0"/>
    </xf>
    <xf numFmtId="38" fontId="46" fillId="29" borderId="181" xfId="0" applyNumberFormat="1" applyFont="1" applyFill="1" applyBorder="1"/>
    <xf numFmtId="38" fontId="46" fillId="29" borderId="171" xfId="0" applyNumberFormat="1" applyFont="1" applyFill="1" applyBorder="1" applyAlignment="1">
      <alignment horizontal="center"/>
    </xf>
    <xf numFmtId="175" fontId="198" fillId="29" borderId="181" xfId="0" applyNumberFormat="1" applyFont="1" applyFill="1" applyBorder="1"/>
    <xf numFmtId="0" fontId="199" fillId="29" borderId="181" xfId="0" applyFont="1" applyFill="1" applyBorder="1"/>
    <xf numFmtId="175" fontId="198" fillId="29" borderId="108" xfId="0" applyNumberFormat="1" applyFont="1" applyFill="1" applyBorder="1"/>
    <xf numFmtId="38" fontId="198" fillId="2" borderId="36" xfId="0" applyNumberFormat="1" applyFont="1" applyBorder="1"/>
    <xf numFmtId="38" fontId="198" fillId="29" borderId="36" xfId="0" applyNumberFormat="1" applyFont="1" applyFill="1" applyBorder="1" applyProtection="1">
      <protection locked="0"/>
    </xf>
    <xf numFmtId="175" fontId="198" fillId="6" borderId="36" xfId="0" applyNumberFormat="1" applyFont="1" applyFill="1" applyBorder="1" applyProtection="1">
      <protection locked="0"/>
    </xf>
    <xf numFmtId="0" fontId="199" fillId="29" borderId="147" xfId="0" applyFont="1" applyFill="1" applyBorder="1"/>
    <xf numFmtId="38" fontId="198" fillId="29" borderId="36" xfId="0" applyNumberFormat="1" applyFont="1" applyFill="1" applyBorder="1" applyAlignment="1" applyProtection="1">
      <alignment horizontal="center"/>
      <protection locked="0"/>
    </xf>
    <xf numFmtId="38" fontId="160" fillId="2" borderId="36" xfId="0" applyNumberFormat="1" applyFont="1" applyBorder="1"/>
    <xf numFmtId="0" fontId="200" fillId="25" borderId="45" xfId="0" applyFont="1" applyFill="1" applyBorder="1" applyAlignment="1">
      <alignment horizontal="center"/>
    </xf>
    <xf numFmtId="0" fontId="200" fillId="25" borderId="36" xfId="0" applyFont="1" applyFill="1" applyBorder="1" applyAlignment="1">
      <alignment horizontal="center"/>
    </xf>
    <xf numFmtId="175" fontId="46" fillId="27" borderId="199" xfId="0" applyNumberFormat="1" applyFont="1" applyFill="1" applyBorder="1" applyAlignment="1" applyProtection="1">
      <alignment horizontal="center"/>
      <protection locked="0"/>
    </xf>
    <xf numFmtId="174" fontId="149" fillId="6" borderId="36" xfId="0" applyNumberFormat="1" applyFont="1" applyFill="1" applyBorder="1" applyProtection="1">
      <protection locked="0"/>
    </xf>
    <xf numFmtId="38" fontId="149" fillId="6" borderId="36" xfId="0" applyNumberFormat="1" applyFont="1" applyFill="1" applyBorder="1" applyProtection="1">
      <protection locked="0"/>
    </xf>
    <xf numFmtId="37" fontId="46" fillId="2" borderId="171" xfId="0" applyNumberFormat="1" applyFont="1" applyBorder="1"/>
    <xf numFmtId="0" fontId="15" fillId="27" borderId="12" xfId="0" applyFont="1" applyFill="1" applyBorder="1"/>
    <xf numFmtId="175" fontId="46" fillId="29" borderId="9" xfId="0" applyNumberFormat="1" applyFont="1" applyFill="1" applyBorder="1"/>
    <xf numFmtId="0" fontId="15" fillId="29" borderId="171" xfId="0" applyFont="1" applyFill="1" applyBorder="1" applyProtection="1">
      <protection locked="0"/>
    </xf>
    <xf numFmtId="38" fontId="46" fillId="29" borderId="9" xfId="0" applyNumberFormat="1" applyFont="1" applyFill="1" applyBorder="1"/>
    <xf numFmtId="0" fontId="154" fillId="42" borderId="147" xfId="0" applyFont="1" applyFill="1" applyBorder="1" applyAlignment="1">
      <alignment horizontal="center"/>
    </xf>
    <xf numFmtId="0" fontId="155" fillId="25" borderId="144" xfId="0" applyFont="1" applyFill="1" applyBorder="1"/>
    <xf numFmtId="0" fontId="15" fillId="27" borderId="13" xfId="0" applyFont="1" applyFill="1" applyBorder="1"/>
    <xf numFmtId="38" fontId="150" fillId="0" borderId="186" xfId="0" applyNumberFormat="1" applyFont="1" applyFill="1" applyBorder="1" applyAlignment="1" applyProtection="1">
      <alignment horizontal="center"/>
      <protection locked="0"/>
    </xf>
    <xf numFmtId="38" fontId="168" fillId="0" borderId="186" xfId="0" applyNumberFormat="1" applyFont="1" applyFill="1" applyBorder="1" applyAlignment="1" applyProtection="1">
      <alignment horizontal="center"/>
      <protection locked="0"/>
    </xf>
    <xf numFmtId="175" fontId="201" fillId="0" borderId="36" xfId="0" applyNumberFormat="1" applyFont="1" applyFill="1" applyBorder="1" applyProtection="1">
      <protection locked="0"/>
    </xf>
    <xf numFmtId="175" fontId="201" fillId="27" borderId="199" xfId="0" applyNumberFormat="1" applyFont="1" applyFill="1" applyBorder="1" applyAlignment="1" applyProtection="1">
      <alignment horizontal="center"/>
      <protection locked="0"/>
    </xf>
    <xf numFmtId="175" fontId="202" fillId="0" borderId="36" xfId="0" applyNumberFormat="1" applyFont="1" applyFill="1" applyBorder="1" applyProtection="1">
      <protection locked="0"/>
    </xf>
    <xf numFmtId="175" fontId="202" fillId="27" borderId="199" xfId="0" applyNumberFormat="1" applyFont="1" applyFill="1" applyBorder="1" applyAlignment="1" applyProtection="1">
      <alignment horizontal="center"/>
      <protection locked="0"/>
    </xf>
    <xf numFmtId="175" fontId="202" fillId="0" borderId="164" xfId="0" applyNumberFormat="1" applyFont="1" applyFill="1" applyBorder="1" applyProtection="1">
      <protection locked="0"/>
    </xf>
    <xf numFmtId="38" fontId="202" fillId="6" borderId="36" xfId="0" applyNumberFormat="1" applyFont="1" applyFill="1" applyBorder="1" applyProtection="1">
      <protection locked="0"/>
    </xf>
    <xf numFmtId="38" fontId="202" fillId="6" borderId="46" xfId="0" applyNumberFormat="1" applyFont="1" applyFill="1" applyBorder="1" applyProtection="1">
      <protection locked="0"/>
    </xf>
    <xf numFmtId="38" fontId="202" fillId="0" borderId="36" xfId="0" applyNumberFormat="1" applyFont="1" applyFill="1" applyBorder="1" applyProtection="1">
      <protection locked="0"/>
    </xf>
    <xf numFmtId="38" fontId="202" fillId="0" borderId="186" xfId="0" applyNumberFormat="1" applyFont="1" applyFill="1" applyBorder="1" applyAlignment="1" applyProtection="1">
      <alignment horizontal="center"/>
      <protection locked="0"/>
    </xf>
    <xf numFmtId="175" fontId="202" fillId="27" borderId="36" xfId="0" applyNumberFormat="1" applyFont="1" applyFill="1" applyBorder="1" applyProtection="1">
      <protection locked="0"/>
    </xf>
    <xf numFmtId="38" fontId="202" fillId="27" borderId="36" xfId="0" applyNumberFormat="1" applyFont="1" applyFill="1" applyBorder="1" applyProtection="1">
      <protection locked="0"/>
    </xf>
    <xf numFmtId="38" fontId="202" fillId="29" borderId="36" xfId="0" applyNumberFormat="1" applyFont="1" applyFill="1" applyBorder="1" applyProtection="1">
      <protection locked="0"/>
    </xf>
    <xf numFmtId="37" fontId="202" fillId="2" borderId="9" xfId="0" applyNumberFormat="1" applyFont="1" applyBorder="1" applyAlignment="1" applyProtection="1">
      <alignment horizontal="center"/>
      <protection locked="0"/>
    </xf>
    <xf numFmtId="175" fontId="201" fillId="0" borderId="164" xfId="0" applyNumberFormat="1" applyFont="1" applyFill="1" applyBorder="1" applyProtection="1">
      <protection locked="0"/>
    </xf>
    <xf numFmtId="38" fontId="201" fillId="6" borderId="36" xfId="0" applyNumberFormat="1" applyFont="1" applyFill="1" applyBorder="1" applyProtection="1">
      <protection locked="0"/>
    </xf>
    <xf numFmtId="38" fontId="201" fillId="6" borderId="46" xfId="0" applyNumberFormat="1" applyFont="1" applyFill="1" applyBorder="1" applyProtection="1">
      <protection locked="0"/>
    </xf>
    <xf numFmtId="38" fontId="201" fillId="0" borderId="36" xfId="0" applyNumberFormat="1" applyFont="1" applyFill="1" applyBorder="1" applyProtection="1">
      <protection locked="0"/>
    </xf>
    <xf numFmtId="38" fontId="201" fillId="0" borderId="186" xfId="0" applyNumberFormat="1" applyFont="1" applyFill="1" applyBorder="1" applyAlignment="1" applyProtection="1">
      <alignment horizontal="center"/>
      <protection locked="0"/>
    </xf>
    <xf numFmtId="175" fontId="201" fillId="27" borderId="36" xfId="0" applyNumberFormat="1" applyFont="1" applyFill="1" applyBorder="1" applyProtection="1">
      <protection locked="0"/>
    </xf>
    <xf numFmtId="38" fontId="201" fillId="27" borderId="36" xfId="0" applyNumberFormat="1" applyFont="1" applyFill="1" applyBorder="1" applyProtection="1">
      <protection locked="0"/>
    </xf>
    <xf numFmtId="38" fontId="203" fillId="27" borderId="36" xfId="0" applyNumberFormat="1" applyFont="1" applyFill="1" applyBorder="1" applyProtection="1">
      <protection locked="0"/>
    </xf>
    <xf numFmtId="175" fontId="203" fillId="6" borderId="9" xfId="0" applyNumberFormat="1" applyFont="1" applyFill="1" applyBorder="1"/>
    <xf numFmtId="38" fontId="203" fillId="6" borderId="36" xfId="0" applyNumberFormat="1" applyFont="1" applyFill="1" applyBorder="1" applyProtection="1">
      <protection locked="0"/>
    </xf>
    <xf numFmtId="38" fontId="203" fillId="6" borderId="46" xfId="0" applyNumberFormat="1" applyFont="1" applyFill="1" applyBorder="1" applyProtection="1">
      <protection locked="0"/>
    </xf>
    <xf numFmtId="38" fontId="201" fillId="0" borderId="36" xfId="0" applyNumberFormat="1" applyFont="1" applyFill="1" applyBorder="1" applyAlignment="1" applyProtection="1">
      <alignment horizontal="center"/>
      <protection locked="0"/>
    </xf>
    <xf numFmtId="37" fontId="201" fillId="2" borderId="9" xfId="0" applyNumberFormat="1" applyFont="1" applyBorder="1" applyAlignment="1" applyProtection="1">
      <alignment horizontal="center"/>
      <protection locked="0"/>
    </xf>
    <xf numFmtId="175" fontId="201" fillId="2" borderId="9" xfId="0" applyNumberFormat="1" applyFont="1" applyBorder="1" applyAlignment="1">
      <alignment horizontal="right"/>
    </xf>
    <xf numFmtId="38" fontId="4" fillId="55" borderId="176" xfId="0" applyNumberFormat="1" applyFont="1" applyFill="1" applyBorder="1" applyAlignment="1">
      <alignment horizontal="center"/>
    </xf>
    <xf numFmtId="40" fontId="4" fillId="2" borderId="176" xfId="0" applyNumberFormat="1" applyFont="1" applyBorder="1" applyAlignment="1">
      <alignment horizontal="center"/>
    </xf>
    <xf numFmtId="38" fontId="4" fillId="2" borderId="176" xfId="0" applyNumberFormat="1" applyFont="1" applyBorder="1" applyAlignment="1">
      <alignment horizontal="center"/>
    </xf>
    <xf numFmtId="176" fontId="4" fillId="27" borderId="0" xfId="0" applyNumberFormat="1" applyFont="1" applyFill="1" applyAlignment="1">
      <alignment horizontal="center"/>
    </xf>
    <xf numFmtId="175" fontId="4" fillId="27" borderId="0" xfId="0" applyNumberFormat="1" applyFont="1" applyFill="1"/>
    <xf numFmtId="0" fontId="4" fillId="12" borderId="147" xfId="0" applyFont="1" applyFill="1" applyBorder="1"/>
    <xf numFmtId="0" fontId="4" fillId="12" borderId="147" xfId="0" applyFont="1" applyFill="1" applyBorder="1" applyAlignment="1">
      <alignment horizontal="left"/>
    </xf>
    <xf numFmtId="0" fontId="4" fillId="12" borderId="176" xfId="0" applyFont="1" applyFill="1" applyBorder="1" applyAlignment="1">
      <alignment horizontal="left"/>
    </xf>
    <xf numFmtId="40" fontId="4" fillId="55" borderId="176" xfId="0" applyNumberFormat="1" applyFont="1" applyFill="1" applyBorder="1" applyAlignment="1">
      <alignment horizontal="center"/>
    </xf>
    <xf numFmtId="175" fontId="4" fillId="55" borderId="36" xfId="0" applyNumberFormat="1" applyFont="1" applyFill="1" applyBorder="1" applyAlignment="1">
      <alignment horizontal="center"/>
    </xf>
    <xf numFmtId="0" fontId="4" fillId="26" borderId="200" xfId="0" applyFont="1" applyFill="1" applyBorder="1"/>
    <xf numFmtId="184" fontId="4" fillId="27" borderId="0" xfId="0" applyNumberFormat="1" applyFont="1" applyFill="1" applyBorder="1"/>
    <xf numFmtId="0" fontId="4" fillId="27" borderId="0" xfId="0" applyFont="1" applyFill="1" applyBorder="1"/>
    <xf numFmtId="8" fontId="4" fillId="2" borderId="0" xfId="0" applyNumberFormat="1" applyFont="1" applyAlignment="1">
      <alignment horizontal="left"/>
    </xf>
    <xf numFmtId="0" fontId="4" fillId="27" borderId="163" xfId="0" applyFont="1" applyFill="1" applyBorder="1" applyAlignment="1">
      <alignment horizontal="right"/>
    </xf>
    <xf numFmtId="0" fontId="4" fillId="26" borderId="201" xfId="0" applyFont="1" applyFill="1" applyBorder="1" applyAlignment="1">
      <alignment horizontal="center"/>
    </xf>
    <xf numFmtId="8" fontId="4" fillId="55" borderId="0" xfId="0" applyNumberFormat="1" applyFont="1" applyFill="1" applyAlignment="1">
      <alignment horizontal="center"/>
    </xf>
    <xf numFmtId="0" fontId="4" fillId="26" borderId="200" xfId="0" applyFont="1" applyFill="1" applyBorder="1" applyAlignment="1">
      <alignment horizontal="right"/>
    </xf>
    <xf numFmtId="0" fontId="0" fillId="37" borderId="0" xfId="0" applyFill="1" applyAlignment="1">
      <alignment horizontal="right"/>
    </xf>
    <xf numFmtId="38" fontId="152" fillId="6" borderId="36" xfId="0" applyNumberFormat="1" applyFont="1" applyFill="1" applyBorder="1" applyAlignment="1">
      <alignment horizontal="right"/>
    </xf>
    <xf numFmtId="38" fontId="150" fillId="6" borderId="36" xfId="0" applyNumberFormat="1" applyFont="1" applyFill="1" applyBorder="1" applyAlignment="1">
      <alignment horizontal="right"/>
    </xf>
    <xf numFmtId="38" fontId="168" fillId="6" borderId="36" xfId="0" applyNumberFormat="1" applyFont="1" applyFill="1" applyBorder="1" applyAlignment="1">
      <alignment horizontal="right"/>
    </xf>
    <xf numFmtId="175" fontId="4" fillId="55" borderId="186" xfId="0" applyNumberFormat="1" applyFont="1" applyFill="1" applyBorder="1" applyAlignment="1">
      <alignment horizontal="center"/>
    </xf>
    <xf numFmtId="0" fontId="161" fillId="2" borderId="181" xfId="0" applyFont="1" applyBorder="1" applyAlignment="1">
      <alignment horizontal="center"/>
    </xf>
    <xf numFmtId="0" fontId="161" fillId="2" borderId="0" xfId="0" applyFont="1" applyAlignment="1">
      <alignment horizontal="left"/>
    </xf>
    <xf numFmtId="0" fontId="4" fillId="27" borderId="0" xfId="0" applyFont="1" applyFill="1" applyBorder="1" applyAlignment="1">
      <alignment horizontal="center"/>
    </xf>
    <xf numFmtId="174" fontId="46" fillId="27" borderId="0" xfId="0" applyNumberFormat="1" applyFont="1" applyFill="1" applyBorder="1" applyAlignment="1">
      <alignment horizontal="center"/>
    </xf>
    <xf numFmtId="0" fontId="46" fillId="27" borderId="0" xfId="0" applyFont="1" applyFill="1" applyBorder="1"/>
    <xf numFmtId="0" fontId="15" fillId="2" borderId="181" xfId="0" applyFont="1" applyBorder="1"/>
    <xf numFmtId="6" fontId="15" fillId="2" borderId="181" xfId="0" applyNumberFormat="1" applyFont="1" applyBorder="1"/>
    <xf numFmtId="6" fontId="15" fillId="55" borderId="181" xfId="0" applyNumberFormat="1" applyFont="1" applyFill="1" applyBorder="1"/>
    <xf numFmtId="0" fontId="15" fillId="26" borderId="181" xfId="0" applyFont="1" applyFill="1" applyBorder="1"/>
    <xf numFmtId="0" fontId="36" fillId="2" borderId="71" xfId="0" applyFont="1" applyBorder="1"/>
    <xf numFmtId="175" fontId="128" fillId="42" borderId="181" xfId="0" applyNumberFormat="1" applyFont="1" applyFill="1" applyBorder="1" applyAlignment="1">
      <alignment horizontal="right"/>
    </xf>
    <xf numFmtId="0" fontId="0" fillId="42" borderId="0" xfId="0" applyFill="1" applyBorder="1"/>
    <xf numFmtId="193" fontId="204" fillId="0" borderId="0" xfId="0" applyNumberFormat="1" applyFont="1" applyFill="1" applyAlignment="1">
      <alignment horizontal="right" vertical="top" indent="1" shrinkToFit="1"/>
    </xf>
    <xf numFmtId="1" fontId="204" fillId="0" borderId="0" xfId="0" applyNumberFormat="1" applyFont="1" applyFill="1" applyAlignment="1">
      <alignment horizontal="right" vertical="top" indent="1" shrinkToFit="1"/>
    </xf>
    <xf numFmtId="0" fontId="0" fillId="0" borderId="0" xfId="0" applyFill="1" applyAlignment="1">
      <alignment horizontal="left" vertical="top"/>
    </xf>
    <xf numFmtId="0" fontId="0" fillId="2" borderId="181" xfId="0" applyBorder="1"/>
    <xf numFmtId="0" fontId="0" fillId="2" borderId="181" xfId="0" applyNumberFormat="1" applyBorder="1" applyAlignment="1">
      <alignment horizontal="center"/>
    </xf>
    <xf numFmtId="38" fontId="205" fillId="2" borderId="36" xfId="0" applyNumberFormat="1" applyFont="1" applyBorder="1" applyAlignment="1">
      <alignment horizontal="center"/>
    </xf>
    <xf numFmtId="38" fontId="202" fillId="2" borderId="181" xfId="0" applyNumberFormat="1" applyFont="1" applyBorder="1" applyAlignment="1">
      <alignment horizontal="center"/>
    </xf>
    <xf numFmtId="38" fontId="201" fillId="2" borderId="181" xfId="0" applyNumberFormat="1" applyFont="1" applyBorder="1" applyAlignment="1">
      <alignment horizontal="center"/>
    </xf>
    <xf numFmtId="38" fontId="150" fillId="2" borderId="181" xfId="0" applyNumberFormat="1" applyFont="1" applyBorder="1" applyAlignment="1">
      <alignment horizontal="center"/>
    </xf>
    <xf numFmtId="38" fontId="168" fillId="2" borderId="181" xfId="0" applyNumberFormat="1" applyFont="1" applyBorder="1" applyAlignment="1">
      <alignment horizontal="center"/>
    </xf>
    <xf numFmtId="194" fontId="0" fillId="27" borderId="0" xfId="5" applyNumberFormat="1" applyFont="1" applyFill="1"/>
    <xf numFmtId="0" fontId="0" fillId="26" borderId="181" xfId="0" applyFill="1" applyBorder="1"/>
    <xf numFmtId="194" fontId="0" fillId="27" borderId="181" xfId="5" applyNumberFormat="1" applyFont="1" applyFill="1" applyBorder="1"/>
    <xf numFmtId="38" fontId="139" fillId="27" borderId="0" xfId="0" applyNumberFormat="1" applyFont="1" applyFill="1" applyBorder="1"/>
    <xf numFmtId="0" fontId="142" fillId="27" borderId="0" xfId="0" applyFont="1" applyFill="1"/>
    <xf numFmtId="0" fontId="153" fillId="27" borderId="0" xfId="0" applyFont="1" applyFill="1"/>
    <xf numFmtId="38" fontId="35" fillId="27" borderId="0" xfId="0" applyNumberFormat="1" applyFont="1" applyFill="1" applyAlignment="1">
      <alignment horizontal="center"/>
    </xf>
    <xf numFmtId="38" fontId="30" fillId="27" borderId="0" xfId="0" applyNumberFormat="1" applyFont="1" applyFill="1" applyAlignment="1">
      <alignment horizontal="center"/>
    </xf>
    <xf numFmtId="38" fontId="13" fillId="27" borderId="0" xfId="0" applyNumberFormat="1" applyFont="1" applyFill="1" applyAlignment="1">
      <alignment horizontal="center"/>
    </xf>
    <xf numFmtId="38" fontId="40" fillId="27" borderId="0" xfId="0" applyNumberFormat="1" applyFont="1" applyFill="1" applyAlignment="1">
      <alignment horizontal="center"/>
    </xf>
    <xf numFmtId="38" fontId="27" fillId="27" borderId="0" xfId="0" applyNumberFormat="1" applyFont="1" applyFill="1" applyAlignment="1">
      <alignment horizontal="center"/>
    </xf>
    <xf numFmtId="38" fontId="26" fillId="27" borderId="0" xfId="0" applyNumberFormat="1" applyFont="1" applyFill="1" applyAlignment="1">
      <alignment horizontal="center"/>
    </xf>
    <xf numFmtId="174" fontId="139" fillId="27" borderId="181" xfId="0" applyNumberFormat="1" applyFont="1" applyFill="1" applyBorder="1"/>
    <xf numFmtId="38" fontId="30" fillId="27" borderId="0" xfId="0" applyNumberFormat="1" applyFont="1" applyFill="1" applyBorder="1" applyAlignment="1">
      <alignment horizontal="center"/>
    </xf>
    <xf numFmtId="38" fontId="30" fillId="27" borderId="0" xfId="0" applyNumberFormat="1" applyFont="1" applyFill="1" applyBorder="1" applyAlignment="1">
      <alignment horizontal="right"/>
    </xf>
    <xf numFmtId="0" fontId="30" fillId="27" borderId="0" xfId="0" applyFont="1" applyFill="1" applyAlignment="1">
      <alignment horizontal="right"/>
    </xf>
    <xf numFmtId="174" fontId="142" fillId="27" borderId="181" xfId="0" applyNumberFormat="1" applyFont="1" applyFill="1" applyBorder="1"/>
    <xf numFmtId="174" fontId="142" fillId="27" borderId="0" xfId="0" applyNumberFormat="1" applyFont="1" applyFill="1" applyBorder="1"/>
    <xf numFmtId="0" fontId="161" fillId="27" borderId="0" xfId="0" quotePrefix="1" applyFont="1" applyFill="1" applyAlignment="1">
      <alignment horizontal="right"/>
    </xf>
    <xf numFmtId="174" fontId="139" fillId="27" borderId="171" xfId="0" applyNumberFormat="1" applyFont="1" applyFill="1" applyBorder="1"/>
    <xf numFmtId="174" fontId="139" fillId="27" borderId="171" xfId="0" applyNumberFormat="1" applyFont="1" applyFill="1" applyBorder="1" applyAlignment="1">
      <alignment horizontal="right"/>
    </xf>
    <xf numFmtId="174" fontId="30" fillId="27" borderId="197" xfId="0" applyNumberFormat="1" applyFont="1" applyFill="1" applyBorder="1" applyAlignment="1">
      <alignment horizontal="right"/>
    </xf>
    <xf numFmtId="174" fontId="30" fillId="27" borderId="171" xfId="0" applyNumberFormat="1" applyFont="1" applyFill="1" applyBorder="1" applyAlignment="1">
      <alignment horizontal="right"/>
    </xf>
    <xf numFmtId="174" fontId="30" fillId="27" borderId="0" xfId="0" applyNumberFormat="1" applyFont="1" applyFill="1" applyBorder="1" applyAlignment="1">
      <alignment horizontal="right"/>
    </xf>
    <xf numFmtId="6" fontId="139" fillId="27" borderId="171" xfId="0" applyNumberFormat="1" applyFont="1" applyFill="1" applyBorder="1"/>
    <xf numFmtId="0" fontId="139" fillId="27" borderId="171" xfId="0" applyFont="1" applyFill="1" applyBorder="1"/>
    <xf numFmtId="38" fontId="139" fillId="27" borderId="171" xfId="0" applyNumberFormat="1" applyFont="1" applyFill="1" applyBorder="1"/>
    <xf numFmtId="175" fontId="139" fillId="27" borderId="171" xfId="0" applyNumberFormat="1" applyFont="1" applyFill="1" applyBorder="1"/>
    <xf numFmtId="38" fontId="139" fillId="27" borderId="181" xfId="0" applyNumberFormat="1" applyFont="1" applyFill="1" applyBorder="1"/>
    <xf numFmtId="0" fontId="4" fillId="27" borderId="181" xfId="0" applyFont="1" applyFill="1" applyBorder="1" applyAlignment="1">
      <alignment horizontal="right"/>
    </xf>
    <xf numFmtId="6" fontId="4" fillId="27" borderId="181" xfId="0" applyNumberFormat="1" applyFont="1" applyFill="1" applyBorder="1"/>
    <xf numFmtId="38" fontId="4" fillId="27" borderId="181" xfId="0" applyNumberFormat="1" applyFont="1" applyFill="1" applyBorder="1"/>
    <xf numFmtId="175" fontId="4" fillId="27" borderId="181" xfId="0" applyNumberFormat="1" applyFont="1" applyFill="1" applyBorder="1"/>
    <xf numFmtId="9" fontId="4" fillId="27" borderId="181" xfId="0" applyNumberFormat="1" applyFont="1" applyFill="1" applyBorder="1"/>
    <xf numFmtId="38" fontId="4" fillId="27" borderId="181" xfId="0" applyNumberFormat="1" applyFont="1" applyFill="1" applyBorder="1" applyAlignment="1">
      <alignment horizontal="right"/>
    </xf>
    <xf numFmtId="174" fontId="142" fillId="26" borderId="181" xfId="0" applyNumberFormat="1" applyFont="1" applyFill="1" applyBorder="1"/>
    <xf numFmtId="0" fontId="13" fillId="2" borderId="0" xfId="0" applyFont="1" applyAlignment="1">
      <alignment horizontal="right"/>
    </xf>
    <xf numFmtId="175" fontId="78" fillId="42" borderId="181" xfId="0" applyNumberFormat="1" applyFont="1" applyFill="1" applyBorder="1"/>
    <xf numFmtId="0" fontId="15" fillId="27" borderId="201" xfId="0" applyFont="1" applyFill="1" applyBorder="1"/>
    <xf numFmtId="0" fontId="161" fillId="4" borderId="0" xfId="0" applyFont="1" applyFill="1" applyAlignment="1">
      <alignment horizontal="right"/>
    </xf>
    <xf numFmtId="174" fontId="139" fillId="26" borderId="181" xfId="0" applyNumberFormat="1" applyFont="1" applyFill="1" applyBorder="1"/>
    <xf numFmtId="174" fontId="139" fillId="27" borderId="181" xfId="0" applyNumberFormat="1" applyFont="1" applyFill="1" applyBorder="1" applyAlignment="1">
      <alignment horizontal="center"/>
    </xf>
    <xf numFmtId="38" fontId="30" fillId="25" borderId="181" xfId="0" applyNumberFormat="1" applyFont="1" applyFill="1" applyBorder="1" applyAlignment="1">
      <alignment horizontal="center"/>
    </xf>
    <xf numFmtId="38" fontId="4" fillId="2" borderId="147" xfId="0" applyNumberFormat="1" applyFont="1" applyBorder="1" applyAlignment="1">
      <alignment horizontal="center"/>
    </xf>
    <xf numFmtId="175" fontId="4" fillId="2" borderId="217" xfId="0" applyNumberFormat="1" applyFont="1" applyBorder="1" applyAlignment="1">
      <alignment horizontal="center"/>
    </xf>
    <xf numFmtId="0" fontId="131" fillId="42" borderId="0" xfId="0" applyFont="1" applyFill="1" applyBorder="1"/>
    <xf numFmtId="0" fontId="131" fillId="42" borderId="0" xfId="0" applyFont="1" applyFill="1" applyBorder="1" applyAlignment="1">
      <alignment horizontal="center"/>
    </xf>
    <xf numFmtId="37" fontId="131" fillId="42" borderId="0" xfId="0" applyNumberFormat="1" applyFont="1" applyFill="1" applyBorder="1" applyProtection="1">
      <protection locked="0"/>
    </xf>
    <xf numFmtId="174" fontId="131" fillId="42" borderId="0" xfId="0" applyNumberFormat="1" applyFont="1" applyFill="1" applyBorder="1"/>
    <xf numFmtId="37" fontId="131" fillId="42" borderId="0" xfId="0" applyNumberFormat="1" applyFont="1" applyFill="1" applyBorder="1"/>
    <xf numFmtId="170" fontId="131" fillId="42" borderId="0" xfId="0" applyNumberFormat="1" applyFont="1" applyFill="1" applyBorder="1"/>
    <xf numFmtId="0" fontId="110" fillId="28" borderId="219" xfId="0" applyFont="1" applyFill="1" applyBorder="1" applyAlignment="1">
      <alignment horizontal="center"/>
    </xf>
    <xf numFmtId="0" fontId="97" fillId="19" borderId="0" xfId="0" applyFont="1" applyFill="1" applyBorder="1"/>
    <xf numFmtId="37" fontId="97" fillId="19" borderId="0" xfId="0" applyNumberFormat="1" applyFont="1" applyFill="1" applyBorder="1"/>
    <xf numFmtId="0" fontId="97" fillId="19" borderId="176" xfId="0" applyFont="1" applyFill="1" applyBorder="1" applyAlignment="1">
      <alignment horizontal="center"/>
    </xf>
    <xf numFmtId="0" fontId="97" fillId="19" borderId="176" xfId="0" applyFont="1" applyFill="1" applyBorder="1"/>
    <xf numFmtId="37" fontId="97" fillId="19" borderId="176" xfId="0" applyNumberFormat="1" applyFont="1" applyFill="1" applyBorder="1"/>
    <xf numFmtId="0" fontId="87" fillId="42" borderId="0" xfId="0" applyFont="1" applyFill="1" applyBorder="1"/>
    <xf numFmtId="0" fontId="125" fillId="42" borderId="220" xfId="0" quotePrefix="1" applyFont="1" applyFill="1" applyBorder="1" applyAlignment="1">
      <alignment horizontal="center"/>
    </xf>
    <xf numFmtId="174" fontId="87" fillId="42" borderId="221" xfId="0" applyNumberFormat="1" applyFont="1" applyFill="1" applyBorder="1"/>
    <xf numFmtId="37" fontId="87" fillId="42" borderId="221" xfId="0" applyNumberFormat="1" applyFont="1" applyFill="1" applyBorder="1"/>
    <xf numFmtId="38" fontId="87" fillId="42" borderId="221" xfId="0" applyNumberFormat="1" applyFont="1" applyFill="1" applyBorder="1"/>
    <xf numFmtId="177" fontId="87" fillId="42" borderId="221" xfId="0" applyNumberFormat="1" applyFont="1" applyFill="1" applyBorder="1"/>
    <xf numFmtId="177" fontId="87" fillId="42" borderId="0" xfId="0" applyNumberFormat="1" applyFont="1" applyFill="1" applyBorder="1"/>
    <xf numFmtId="37" fontId="87" fillId="42" borderId="220" xfId="0" applyNumberFormat="1" applyFont="1" applyFill="1" applyBorder="1"/>
    <xf numFmtId="0" fontId="87" fillId="42" borderId="0" xfId="0" applyFont="1" applyFill="1" applyBorder="1" applyAlignment="1">
      <alignment horizontal="left"/>
    </xf>
    <xf numFmtId="0" fontId="94" fillId="7" borderId="222" xfId="0" applyFont="1" applyFill="1" applyBorder="1"/>
    <xf numFmtId="0" fontId="94" fillId="7" borderId="223" xfId="0" applyFont="1" applyFill="1" applyBorder="1"/>
    <xf numFmtId="0" fontId="94" fillId="7" borderId="102" xfId="0" applyFont="1" applyFill="1" applyBorder="1"/>
    <xf numFmtId="0" fontId="94" fillId="7" borderId="97" xfId="0" applyFont="1" applyFill="1" applyBorder="1"/>
    <xf numFmtId="0" fontId="125" fillId="12" borderId="224" xfId="0" quotePrefix="1" applyFont="1" applyFill="1" applyBorder="1" applyAlignment="1">
      <alignment horizontal="center"/>
    </xf>
    <xf numFmtId="0" fontId="125" fillId="12" borderId="225" xfId="0" quotePrefix="1" applyFont="1" applyFill="1" applyBorder="1" applyAlignment="1">
      <alignment horizontal="center"/>
    </xf>
    <xf numFmtId="0" fontId="94" fillId="7" borderId="226" xfId="0" applyFont="1" applyFill="1" applyBorder="1" applyAlignment="1">
      <alignment horizontal="center"/>
    </xf>
    <xf numFmtId="0" fontId="94" fillId="7" borderId="227" xfId="0" applyFont="1" applyFill="1" applyBorder="1" applyAlignment="1">
      <alignment horizontal="center"/>
    </xf>
    <xf numFmtId="0" fontId="94" fillId="7" borderId="228" xfId="0" applyFont="1" applyFill="1" applyBorder="1" applyAlignment="1">
      <alignment horizontal="center"/>
    </xf>
    <xf numFmtId="0" fontId="94" fillId="7" borderId="229" xfId="0" applyFont="1" applyFill="1" applyBorder="1" applyAlignment="1">
      <alignment horizontal="center"/>
    </xf>
    <xf numFmtId="0" fontId="94" fillId="7" borderId="230" xfId="0" applyFont="1" applyFill="1" applyBorder="1" applyAlignment="1">
      <alignment horizontal="center"/>
    </xf>
    <xf numFmtId="174" fontId="94" fillId="7" borderId="231" xfId="0" applyNumberFormat="1" applyFont="1" applyFill="1" applyBorder="1"/>
    <xf numFmtId="174" fontId="94" fillId="7" borderId="232" xfId="0" applyNumberFormat="1" applyFont="1" applyFill="1" applyBorder="1"/>
    <xf numFmtId="37" fontId="94" fillId="7" borderId="231" xfId="0" applyNumberFormat="1" applyFont="1" applyFill="1" applyBorder="1"/>
    <xf numFmtId="37" fontId="94" fillId="7" borderId="232" xfId="0" applyNumberFormat="1" applyFont="1" applyFill="1" applyBorder="1"/>
    <xf numFmtId="37" fontId="94" fillId="7" borderId="102" xfId="0" applyNumberFormat="1" applyFont="1" applyFill="1" applyBorder="1"/>
    <xf numFmtId="177" fontId="94" fillId="7" borderId="231" xfId="0" applyNumberFormat="1" applyFont="1" applyFill="1" applyBorder="1"/>
    <xf numFmtId="177" fontId="94" fillId="7" borderId="232" xfId="0" applyNumberFormat="1" applyFont="1" applyFill="1" applyBorder="1"/>
    <xf numFmtId="177" fontId="94" fillId="7" borderId="102" xfId="0" applyNumberFormat="1" applyFont="1" applyFill="1" applyBorder="1"/>
    <xf numFmtId="177" fontId="94" fillId="7" borderId="97" xfId="0" applyNumberFormat="1" applyFont="1" applyFill="1" applyBorder="1"/>
    <xf numFmtId="37" fontId="94" fillId="7" borderId="97" xfId="0" applyNumberFormat="1" applyFont="1" applyFill="1" applyBorder="1"/>
    <xf numFmtId="37" fontId="94" fillId="7" borderId="224" xfId="0" applyNumberFormat="1" applyFont="1" applyFill="1" applyBorder="1"/>
    <xf numFmtId="37" fontId="94" fillId="7" borderId="225" xfId="0" applyNumberFormat="1" applyFont="1" applyFill="1" applyBorder="1"/>
    <xf numFmtId="37" fontId="94" fillId="7" borderId="102" xfId="0" applyNumberFormat="1" applyFont="1" applyFill="1" applyBorder="1" applyAlignment="1">
      <alignment horizontal="center"/>
    </xf>
    <xf numFmtId="37" fontId="94" fillId="7" borderId="233" xfId="0" applyNumberFormat="1" applyFont="1" applyFill="1" applyBorder="1"/>
    <xf numFmtId="37" fontId="94" fillId="7" borderId="234" xfId="0" applyNumberFormat="1" applyFont="1" applyFill="1" applyBorder="1"/>
    <xf numFmtId="0" fontId="97" fillId="19" borderId="222" xfId="0" applyFont="1" applyFill="1" applyBorder="1"/>
    <xf numFmtId="0" fontId="97" fillId="19" borderId="223" xfId="0" applyFont="1" applyFill="1" applyBorder="1"/>
    <xf numFmtId="0" fontId="97" fillId="19" borderId="102" xfId="0" applyFont="1" applyFill="1" applyBorder="1"/>
    <xf numFmtId="177" fontId="97" fillId="19" borderId="97" xfId="0" applyNumberFormat="1" applyFont="1" applyFill="1" applyBorder="1"/>
    <xf numFmtId="0" fontId="88" fillId="25" borderId="223" xfId="0" applyFont="1" applyFill="1" applyBorder="1"/>
    <xf numFmtId="0" fontId="88" fillId="25" borderId="97" xfId="0" applyFont="1" applyFill="1" applyBorder="1"/>
    <xf numFmtId="0" fontId="125" fillId="25" borderId="235" xfId="0" quotePrefix="1" applyFont="1" applyFill="1" applyBorder="1" applyAlignment="1">
      <alignment horizontal="center"/>
    </xf>
    <xf numFmtId="0" fontId="88" fillId="25" borderId="236" xfId="0" applyFont="1" applyFill="1" applyBorder="1" applyAlignment="1">
      <alignment horizontal="center"/>
    </xf>
    <xf numFmtId="0" fontId="88" fillId="25" borderId="228" xfId="0" applyFont="1" applyFill="1" applyBorder="1" applyAlignment="1">
      <alignment horizontal="center"/>
    </xf>
    <xf numFmtId="0" fontId="88" fillId="25" borderId="230" xfId="0" applyFont="1" applyFill="1" applyBorder="1" applyAlignment="1">
      <alignment horizontal="center"/>
    </xf>
    <xf numFmtId="174" fontId="88" fillId="25" borderId="237" xfId="0" applyNumberFormat="1" applyFont="1" applyFill="1" applyBorder="1"/>
    <xf numFmtId="37" fontId="88" fillId="25" borderId="237" xfId="0" applyNumberFormat="1" applyFont="1" applyFill="1" applyBorder="1"/>
    <xf numFmtId="177" fontId="88" fillId="25" borderId="237" xfId="0" applyNumberFormat="1" applyFont="1" applyFill="1" applyBorder="1"/>
    <xf numFmtId="177" fontId="88" fillId="25" borderId="97" xfId="0" applyNumberFormat="1" applyFont="1" applyFill="1" applyBorder="1"/>
    <xf numFmtId="37" fontId="88" fillId="25" borderId="97" xfId="0" applyNumberFormat="1" applyFont="1" applyFill="1" applyBorder="1"/>
    <xf numFmtId="37" fontId="88" fillId="25" borderId="238" xfId="0" applyNumberFormat="1" applyFont="1" applyFill="1" applyBorder="1"/>
    <xf numFmtId="37" fontId="88" fillId="25" borderId="239" xfId="0" applyNumberFormat="1" applyFont="1" applyFill="1" applyBorder="1"/>
    <xf numFmtId="0" fontId="88" fillId="5" borderId="222" xfId="0" applyFont="1" applyFill="1" applyBorder="1"/>
    <xf numFmtId="0" fontId="88" fillId="5" borderId="223" xfId="0" applyFont="1" applyFill="1" applyBorder="1"/>
    <xf numFmtId="0" fontId="88" fillId="5" borderId="102" xfId="0" applyFont="1" applyFill="1" applyBorder="1"/>
    <xf numFmtId="0" fontId="88" fillId="5" borderId="97" xfId="0" applyFont="1" applyFill="1" applyBorder="1"/>
    <xf numFmtId="37" fontId="88" fillId="5" borderId="102" xfId="0" applyNumberFormat="1" applyFont="1" applyFill="1" applyBorder="1"/>
    <xf numFmtId="177" fontId="88" fillId="5" borderId="102" xfId="0" applyNumberFormat="1" applyFont="1" applyFill="1" applyBorder="1"/>
    <xf numFmtId="177" fontId="88" fillId="5" borderId="97" xfId="0" applyNumberFormat="1" applyFont="1" applyFill="1" applyBorder="1"/>
    <xf numFmtId="37" fontId="88" fillId="5" borderId="97" xfId="0" applyNumberFormat="1" applyFont="1" applyFill="1" applyBorder="1"/>
    <xf numFmtId="37" fontId="88" fillId="5" borderId="102" xfId="0" applyNumberFormat="1" applyFont="1" applyFill="1" applyBorder="1" applyAlignment="1">
      <alignment horizontal="center"/>
    </xf>
    <xf numFmtId="0" fontId="88" fillId="34" borderId="222" xfId="0" applyFont="1" applyFill="1" applyBorder="1"/>
    <xf numFmtId="0" fontId="88" fillId="34" borderId="223" xfId="0" applyFont="1" applyFill="1" applyBorder="1"/>
    <xf numFmtId="0" fontId="88" fillId="34" borderId="102" xfId="0" applyFont="1" applyFill="1" applyBorder="1"/>
    <xf numFmtId="0" fontId="88" fillId="34" borderId="97" xfId="0" applyFont="1" applyFill="1" applyBorder="1"/>
    <xf numFmtId="37" fontId="88" fillId="34" borderId="102" xfId="0" applyNumberFormat="1" applyFont="1" applyFill="1" applyBorder="1"/>
    <xf numFmtId="177" fontId="88" fillId="34" borderId="102" xfId="0" applyNumberFormat="1" applyFont="1" applyFill="1" applyBorder="1"/>
    <xf numFmtId="177" fontId="88" fillId="34" borderId="97" xfId="0" applyNumberFormat="1" applyFont="1" applyFill="1" applyBorder="1"/>
    <xf numFmtId="37" fontId="88" fillId="34" borderId="97" xfId="0" applyNumberFormat="1" applyFont="1" applyFill="1" applyBorder="1"/>
    <xf numFmtId="37" fontId="88" fillId="34" borderId="102" xfId="0" applyNumberFormat="1" applyFont="1" applyFill="1" applyBorder="1" applyAlignment="1">
      <alignment horizontal="center"/>
    </xf>
    <xf numFmtId="0" fontId="88" fillId="37" borderId="222" xfId="0" applyFont="1" applyFill="1" applyBorder="1"/>
    <xf numFmtId="0" fontId="88" fillId="37" borderId="223" xfId="0" applyFont="1" applyFill="1" applyBorder="1"/>
    <xf numFmtId="0" fontId="88" fillId="37" borderId="102" xfId="0" applyFont="1" applyFill="1" applyBorder="1"/>
    <xf numFmtId="0" fontId="88" fillId="37" borderId="97" xfId="0" applyFont="1" applyFill="1" applyBorder="1"/>
    <xf numFmtId="0" fontId="88" fillId="37" borderId="228" xfId="0" applyFont="1" applyFill="1" applyBorder="1" applyAlignment="1">
      <alignment horizontal="center"/>
    </xf>
    <xf numFmtId="37" fontId="88" fillId="37" borderId="102" xfId="0" applyNumberFormat="1" applyFont="1" applyFill="1" applyBorder="1"/>
    <xf numFmtId="177" fontId="88" fillId="37" borderId="102" xfId="0" applyNumberFormat="1" applyFont="1" applyFill="1" applyBorder="1"/>
    <xf numFmtId="177" fontId="88" fillId="37" borderId="97" xfId="0" applyNumberFormat="1" applyFont="1" applyFill="1" applyBorder="1"/>
    <xf numFmtId="37" fontId="88" fillId="37" borderId="97" xfId="0" applyNumberFormat="1" applyFont="1" applyFill="1" applyBorder="1"/>
    <xf numFmtId="37" fontId="88" fillId="37" borderId="102" xfId="0" applyNumberFormat="1" applyFont="1" applyFill="1" applyBorder="1" applyAlignment="1">
      <alignment horizontal="center"/>
    </xf>
    <xf numFmtId="174" fontId="0" fillId="27" borderId="0" xfId="0" applyNumberFormat="1" applyFill="1"/>
    <xf numFmtId="175" fontId="0" fillId="27" borderId="0" xfId="0" applyNumberFormat="1" applyFill="1"/>
    <xf numFmtId="176" fontId="0" fillId="27" borderId="0" xfId="0" applyNumberFormat="1" applyFill="1"/>
    <xf numFmtId="180" fontId="0" fillId="27" borderId="0" xfId="0" applyNumberFormat="1" applyFill="1"/>
    <xf numFmtId="0" fontId="28" fillId="27" borderId="0" xfId="0" applyFont="1" applyFill="1"/>
    <xf numFmtId="0" fontId="28" fillId="27" borderId="0" xfId="0" quotePrefix="1" applyFont="1" applyFill="1"/>
    <xf numFmtId="0" fontId="195" fillId="27" borderId="0" xfId="0" applyFont="1" applyFill="1"/>
    <xf numFmtId="3" fontId="4" fillId="27" borderId="0" xfId="0" applyNumberFormat="1" applyFont="1" applyFill="1" applyAlignment="1">
      <alignment horizontal="center"/>
    </xf>
    <xf numFmtId="40" fontId="4" fillId="27" borderId="0" xfId="0" applyNumberFormat="1" applyFont="1" applyFill="1" applyAlignment="1">
      <alignment horizontal="center"/>
    </xf>
    <xf numFmtId="0" fontId="161" fillId="27" borderId="0" xfId="0" quotePrefix="1" applyFont="1" applyFill="1"/>
    <xf numFmtId="0" fontId="4" fillId="27" borderId="0" xfId="0" quotePrefix="1" applyFont="1" applyFill="1"/>
    <xf numFmtId="174" fontId="0" fillId="27" borderId="0" xfId="0" applyNumberFormat="1" applyFill="1" applyAlignment="1">
      <alignment horizontal="center"/>
    </xf>
    <xf numFmtId="175" fontId="0" fillId="27" borderId="0" xfId="0" applyNumberFormat="1" applyFill="1" applyAlignment="1">
      <alignment horizontal="center"/>
    </xf>
    <xf numFmtId="38" fontId="0" fillId="27" borderId="0" xfId="0" applyNumberFormat="1" applyFill="1" applyAlignment="1">
      <alignment horizontal="center"/>
    </xf>
    <xf numFmtId="175" fontId="0" fillId="27" borderId="0" xfId="0" applyNumberFormat="1" applyFont="1" applyFill="1" applyAlignment="1">
      <alignment horizontal="center"/>
    </xf>
    <xf numFmtId="177" fontId="4" fillId="27" borderId="0" xfId="0" applyNumberFormat="1" applyFont="1" applyFill="1" applyAlignment="1">
      <alignment horizontal="center"/>
    </xf>
    <xf numFmtId="38" fontId="4" fillId="27" borderId="0" xfId="0" applyNumberFormat="1" applyFont="1" applyFill="1" applyAlignment="1">
      <alignment horizontal="center"/>
    </xf>
    <xf numFmtId="180" fontId="4" fillId="27" borderId="0" xfId="0" applyNumberFormat="1" applyFont="1" applyFill="1" applyAlignment="1">
      <alignment horizontal="center"/>
    </xf>
    <xf numFmtId="174" fontId="4" fillId="27" borderId="0" xfId="0" applyNumberFormat="1" applyFont="1" applyFill="1" applyAlignment="1">
      <alignment horizontal="center"/>
    </xf>
    <xf numFmtId="40" fontId="0" fillId="27" borderId="0" xfId="0" applyNumberFormat="1" applyFill="1" applyAlignment="1">
      <alignment horizontal="center"/>
    </xf>
    <xf numFmtId="191" fontId="4" fillId="27" borderId="0" xfId="0" applyNumberFormat="1" applyFont="1" applyFill="1" applyAlignment="1">
      <alignment horizontal="center"/>
    </xf>
    <xf numFmtId="177" fontId="0" fillId="27" borderId="0" xfId="0" applyNumberFormat="1" applyFont="1" applyFill="1" applyAlignment="1">
      <alignment horizontal="center"/>
    </xf>
    <xf numFmtId="0" fontId="0" fillId="37" borderId="0" xfId="0" applyFill="1" applyAlignment="1">
      <alignment horizontal="center"/>
    </xf>
    <xf numFmtId="175" fontId="0" fillId="2" borderId="0" xfId="0" applyNumberFormat="1" applyAlignment="1">
      <alignment horizontal="center"/>
    </xf>
    <xf numFmtId="177" fontId="0" fillId="2" borderId="0" xfId="0" applyNumberFormat="1" applyAlignment="1">
      <alignment horizontal="center"/>
    </xf>
    <xf numFmtId="38" fontId="0" fillId="27" borderId="0" xfId="0" applyNumberFormat="1" applyFill="1" applyBorder="1" applyAlignment="1">
      <alignment horizontal="center"/>
    </xf>
    <xf numFmtId="180" fontId="4" fillId="12" borderId="12" xfId="0" applyNumberFormat="1" applyFont="1" applyFill="1" applyBorder="1" applyAlignment="1">
      <alignment horizontal="center"/>
    </xf>
    <xf numFmtId="180" fontId="0" fillId="2" borderId="0" xfId="0" applyNumberFormat="1" applyAlignment="1">
      <alignment horizontal="center"/>
    </xf>
    <xf numFmtId="176" fontId="0" fillId="2" borderId="0" xfId="0" applyNumberFormat="1" applyAlignment="1">
      <alignment horizontal="center"/>
    </xf>
    <xf numFmtId="191" fontId="0" fillId="2" borderId="0" xfId="0" applyNumberFormat="1" applyAlignment="1">
      <alignment horizontal="center"/>
    </xf>
    <xf numFmtId="0" fontId="4" fillId="27" borderId="199" xfId="0" applyFont="1" applyFill="1" applyBorder="1" applyAlignment="1">
      <alignment horizontal="center"/>
    </xf>
    <xf numFmtId="0" fontId="4" fillId="27" borderId="186" xfId="0" applyFont="1" applyFill="1" applyBorder="1" applyAlignment="1">
      <alignment horizontal="center"/>
    </xf>
    <xf numFmtId="175" fontId="4" fillId="27" borderId="217" xfId="0" applyNumberFormat="1" applyFont="1" applyFill="1" applyBorder="1" applyAlignment="1">
      <alignment horizontal="center"/>
    </xf>
    <xf numFmtId="0" fontId="4" fillId="2" borderId="240" xfId="0" applyFont="1" applyBorder="1" applyAlignment="1">
      <alignment horizontal="left"/>
    </xf>
    <xf numFmtId="0" fontId="4" fillId="2" borderId="241" xfId="0" applyFont="1" applyBorder="1" applyAlignment="1">
      <alignment horizontal="center"/>
    </xf>
    <xf numFmtId="40" fontId="4" fillId="27" borderId="241" xfId="0" applyNumberFormat="1" applyFont="1" applyFill="1" applyBorder="1" applyAlignment="1">
      <alignment horizontal="center"/>
    </xf>
    <xf numFmtId="0" fontId="0" fillId="25" borderId="241" xfId="0" applyFill="1" applyBorder="1"/>
    <xf numFmtId="175" fontId="15" fillId="29" borderId="0" xfId="0" applyNumberFormat="1" applyFont="1" applyFill="1" applyBorder="1" applyProtection="1">
      <protection locked="0"/>
    </xf>
    <xf numFmtId="0" fontId="38" fillId="25" borderId="241" xfId="0" applyFont="1" applyFill="1" applyBorder="1" applyAlignment="1">
      <alignment horizontal="center"/>
    </xf>
    <xf numFmtId="0" fontId="124" fillId="25" borderId="147" xfId="0" applyFont="1" applyFill="1" applyBorder="1" applyAlignment="1">
      <alignment horizontal="center"/>
    </xf>
    <xf numFmtId="0" fontId="124" fillId="25" borderId="217" xfId="0" applyFont="1" applyFill="1" applyBorder="1" applyAlignment="1">
      <alignment horizontal="center"/>
    </xf>
    <xf numFmtId="0" fontId="154" fillId="27" borderId="45" xfId="0" applyFont="1" applyFill="1" applyBorder="1" applyAlignment="1">
      <alignment horizontal="center"/>
    </xf>
    <xf numFmtId="175" fontId="96" fillId="27" borderId="0" xfId="0" applyNumberFormat="1" applyFont="1" applyFill="1" applyProtection="1">
      <protection locked="0"/>
    </xf>
    <xf numFmtId="38" fontId="96" fillId="27" borderId="0" xfId="0" applyNumberFormat="1" applyFont="1" applyFill="1" applyProtection="1">
      <protection locked="0"/>
    </xf>
    <xf numFmtId="174" fontId="96" fillId="27" borderId="0" xfId="0" applyNumberFormat="1" applyFont="1" applyFill="1" applyProtection="1">
      <protection locked="0"/>
    </xf>
    <xf numFmtId="175" fontId="96" fillId="27" borderId="0" xfId="0" applyNumberFormat="1" applyFont="1" applyFill="1"/>
    <xf numFmtId="38" fontId="96" fillId="27" borderId="0" xfId="0" applyNumberFormat="1" applyFont="1" applyFill="1" applyAlignment="1" applyProtection="1">
      <alignment horizontal="center"/>
      <protection locked="0"/>
    </xf>
    <xf numFmtId="0" fontId="97" fillId="27" borderId="0" xfId="0" applyFont="1" applyFill="1"/>
    <xf numFmtId="174" fontId="96" fillId="27" borderId="0" xfId="0" applyNumberFormat="1" applyFont="1" applyFill="1"/>
    <xf numFmtId="37" fontId="96" fillId="27" borderId="0" xfId="0" applyNumberFormat="1" applyFont="1" applyFill="1" applyAlignment="1" applyProtection="1">
      <alignment horizontal="center"/>
      <protection locked="0"/>
    </xf>
    <xf numFmtId="175" fontId="96" fillId="27" borderId="0" xfId="0" applyNumberFormat="1" applyFont="1" applyFill="1" applyAlignment="1">
      <alignment horizontal="right"/>
    </xf>
    <xf numFmtId="0" fontId="46" fillId="27" borderId="0" xfId="0" applyFont="1" applyFill="1"/>
    <xf numFmtId="38" fontId="94" fillId="27" borderId="0" xfId="0" applyNumberFormat="1" applyFont="1" applyFill="1"/>
    <xf numFmtId="165" fontId="94" fillId="27" borderId="0" xfId="0" applyNumberFormat="1" applyFont="1" applyFill="1" applyAlignment="1">
      <alignment horizontal="right"/>
    </xf>
    <xf numFmtId="174" fontId="94" fillId="27" borderId="0" xfId="0" applyNumberFormat="1" applyFont="1" applyFill="1"/>
    <xf numFmtId="38" fontId="94" fillId="27" borderId="0" xfId="0" applyNumberFormat="1" applyFont="1" applyFill="1" applyProtection="1">
      <protection locked="0"/>
    </xf>
    <xf numFmtId="37" fontId="0" fillId="27" borderId="0" xfId="0" applyNumberFormat="1" applyFill="1"/>
    <xf numFmtId="167" fontId="1" fillId="27" borderId="0" xfId="0" applyNumberFormat="1" applyFont="1" applyFill="1"/>
    <xf numFmtId="165" fontId="0" fillId="27" borderId="0" xfId="0" applyNumberFormat="1" applyFill="1"/>
    <xf numFmtId="164" fontId="0" fillId="27" borderId="0" xfId="0" applyNumberFormat="1" applyFill="1" applyProtection="1">
      <protection locked="0"/>
    </xf>
    <xf numFmtId="164" fontId="0" fillId="27" borderId="0" xfId="0" applyNumberFormat="1" applyFill="1"/>
    <xf numFmtId="38" fontId="160" fillId="29" borderId="9" xfId="0" applyNumberFormat="1" applyFont="1" applyFill="1" applyBorder="1" applyAlignment="1">
      <alignment horizontal="center"/>
    </xf>
    <xf numFmtId="0" fontId="94" fillId="55" borderId="0" xfId="0" applyFont="1" applyFill="1" applyAlignment="1">
      <alignment horizontal="left"/>
    </xf>
    <xf numFmtId="38" fontId="30" fillId="55" borderId="242" xfId="0" applyNumberFormat="1" applyFont="1" applyFill="1" applyBorder="1"/>
    <xf numFmtId="0" fontId="30" fillId="4" borderId="241" xfId="0" applyFont="1" applyFill="1" applyBorder="1" applyAlignment="1">
      <alignment horizontal="center"/>
    </xf>
    <xf numFmtId="38" fontId="203" fillId="6" borderId="36" xfId="0" applyNumberFormat="1" applyFont="1" applyFill="1" applyBorder="1" applyAlignment="1">
      <alignment horizontal="right"/>
    </xf>
    <xf numFmtId="38" fontId="46" fillId="29" borderId="9" xfId="0" applyNumberFormat="1" applyFont="1" applyFill="1" applyBorder="1" applyAlignment="1">
      <alignment horizontal="center"/>
    </xf>
    <xf numFmtId="38" fontId="202" fillId="29" borderId="36" xfId="0" applyNumberFormat="1" applyFont="1" applyFill="1" applyBorder="1" applyAlignment="1" applyProtection="1">
      <alignment horizontal="center"/>
      <protection locked="0"/>
    </xf>
    <xf numFmtId="0" fontId="46" fillId="2" borderId="244" xfId="0" applyFont="1" applyBorder="1"/>
    <xf numFmtId="174" fontId="128" fillId="42" borderId="217" xfId="0" applyNumberFormat="1" applyFont="1" applyFill="1" applyBorder="1"/>
    <xf numFmtId="37" fontId="203" fillId="27" borderId="9" xfId="0" applyNumberFormat="1" applyFont="1" applyFill="1" applyBorder="1"/>
    <xf numFmtId="175" fontId="46" fillId="27" borderId="9" xfId="0" applyNumberFormat="1" applyFont="1" applyFill="1" applyBorder="1"/>
    <xf numFmtId="174" fontId="128" fillId="42" borderId="217" xfId="0" applyNumberFormat="1" applyFont="1" applyFill="1" applyBorder="1" applyProtection="1">
      <protection locked="0"/>
    </xf>
    <xf numFmtId="177" fontId="160" fillId="29" borderId="243" xfId="0" applyNumberFormat="1" applyFont="1" applyFill="1" applyBorder="1"/>
    <xf numFmtId="38" fontId="128" fillId="42" borderId="217" xfId="0" applyNumberFormat="1" applyFont="1" applyFill="1" applyBorder="1" applyProtection="1">
      <protection locked="0"/>
    </xf>
    <xf numFmtId="38" fontId="160" fillId="29" borderId="243" xfId="0" applyNumberFormat="1" applyFont="1" applyFill="1" applyBorder="1"/>
    <xf numFmtId="0" fontId="94" fillId="7" borderId="245" xfId="0" applyFont="1" applyFill="1" applyBorder="1"/>
    <xf numFmtId="0" fontId="94" fillId="7" borderId="0" xfId="0" applyFont="1" applyFill="1" applyBorder="1"/>
    <xf numFmtId="37" fontId="94" fillId="7" borderId="0" xfId="0" applyNumberFormat="1" applyFont="1" applyFill="1" applyBorder="1"/>
    <xf numFmtId="177" fontId="94" fillId="7" borderId="0" xfId="0" applyNumberFormat="1" applyFont="1" applyFill="1" applyBorder="1"/>
    <xf numFmtId="0" fontId="97" fillId="19" borderId="245" xfId="0" applyFont="1" applyFill="1" applyBorder="1"/>
    <xf numFmtId="177" fontId="97" fillId="19" borderId="0" xfId="0" applyNumberFormat="1" applyFont="1" applyFill="1" applyBorder="1"/>
    <xf numFmtId="0" fontId="88" fillId="25" borderId="245" xfId="0" applyFont="1" applyFill="1" applyBorder="1"/>
    <xf numFmtId="0" fontId="88" fillId="25" borderId="0" xfId="0" applyFont="1" applyFill="1" applyBorder="1"/>
    <xf numFmtId="177" fontId="88" fillId="25" borderId="0" xfId="0" applyNumberFormat="1" applyFont="1" applyFill="1" applyBorder="1"/>
    <xf numFmtId="37" fontId="88" fillId="25" borderId="0" xfId="0" applyNumberFormat="1" applyFont="1" applyFill="1" applyBorder="1"/>
    <xf numFmtId="0" fontId="15" fillId="27" borderId="16" xfId="0" applyFont="1" applyFill="1" applyBorder="1"/>
    <xf numFmtId="0" fontId="15" fillId="2" borderId="218" xfId="0" applyFont="1" applyBorder="1"/>
    <xf numFmtId="0" fontId="15" fillId="4" borderId="29" xfId="0" applyFont="1" applyFill="1" applyBorder="1"/>
    <xf numFmtId="0" fontId="125" fillId="12" borderId="246" xfId="0" quotePrefix="1" applyFont="1" applyFill="1" applyBorder="1" applyAlignment="1">
      <alignment horizontal="center"/>
    </xf>
    <xf numFmtId="0" fontId="94" fillId="7" borderId="247" xfId="0" applyFont="1" applyFill="1" applyBorder="1" applyAlignment="1">
      <alignment horizontal="center"/>
    </xf>
    <xf numFmtId="0" fontId="94" fillId="7" borderId="102" xfId="0" applyFont="1" applyFill="1" applyBorder="1" applyAlignment="1">
      <alignment horizontal="center"/>
    </xf>
    <xf numFmtId="0" fontId="94" fillId="7" borderId="248" xfId="0" applyFont="1" applyFill="1" applyBorder="1" applyAlignment="1">
      <alignment horizontal="center"/>
    </xf>
    <xf numFmtId="174" fontId="94" fillId="7" borderId="249" xfId="0" applyNumberFormat="1" applyFont="1" applyFill="1" applyBorder="1"/>
    <xf numFmtId="37" fontId="94" fillId="7" borderId="249" xfId="0" applyNumberFormat="1" applyFont="1" applyFill="1" applyBorder="1"/>
    <xf numFmtId="177" fontId="94" fillId="7" borderId="249" xfId="0" applyNumberFormat="1" applyFont="1" applyFill="1" applyBorder="1"/>
    <xf numFmtId="37" fontId="94" fillId="7" borderId="250" xfId="0" applyNumberFormat="1" applyFont="1" applyFill="1" applyBorder="1"/>
    <xf numFmtId="37" fontId="94" fillId="7" borderId="251" xfId="0" applyNumberFormat="1" applyFont="1" applyFill="1" applyBorder="1"/>
    <xf numFmtId="0" fontId="94" fillId="7" borderId="254" xfId="0" applyFont="1" applyFill="1" applyBorder="1"/>
    <xf numFmtId="0" fontId="94" fillId="7" borderId="176" xfId="0" applyFont="1" applyFill="1" applyBorder="1"/>
    <xf numFmtId="0" fontId="125" fillId="12" borderId="241" xfId="0" quotePrefix="1" applyFont="1" applyFill="1" applyBorder="1" applyAlignment="1">
      <alignment horizontal="center"/>
    </xf>
    <xf numFmtId="0" fontId="94" fillId="7" borderId="255" xfId="0" applyFont="1" applyFill="1" applyBorder="1" applyAlignment="1">
      <alignment horizontal="center"/>
    </xf>
    <xf numFmtId="0" fontId="94" fillId="7" borderId="176" xfId="0" applyFont="1" applyFill="1" applyBorder="1" applyAlignment="1">
      <alignment horizontal="center"/>
    </xf>
    <xf numFmtId="0" fontId="94" fillId="7" borderId="256" xfId="0" applyFont="1" applyFill="1" applyBorder="1" applyAlignment="1">
      <alignment horizontal="center"/>
    </xf>
    <xf numFmtId="174" fontId="94" fillId="7" borderId="257" xfId="0" applyNumberFormat="1" applyFont="1" applyFill="1" applyBorder="1"/>
    <xf numFmtId="37" fontId="94" fillId="7" borderId="257" xfId="0" applyNumberFormat="1" applyFont="1" applyFill="1" applyBorder="1"/>
    <xf numFmtId="177" fontId="94" fillId="7" borderId="257" xfId="0" applyNumberFormat="1" applyFont="1" applyFill="1" applyBorder="1"/>
    <xf numFmtId="177" fontId="94" fillId="7" borderId="176" xfId="0" applyNumberFormat="1" applyFont="1" applyFill="1" applyBorder="1"/>
    <xf numFmtId="37" fontId="94" fillId="7" borderId="176" xfId="0" applyNumberFormat="1" applyFont="1" applyFill="1" applyBorder="1"/>
    <xf numFmtId="37" fontId="94" fillId="7" borderId="258" xfId="0" applyNumberFormat="1" applyFont="1" applyFill="1" applyBorder="1"/>
    <xf numFmtId="37" fontId="94" fillId="7" borderId="259" xfId="0" applyNumberFormat="1" applyFont="1" applyFill="1" applyBorder="1"/>
    <xf numFmtId="0" fontId="97" fillId="19" borderId="144" xfId="0" applyFont="1" applyFill="1" applyBorder="1" applyAlignment="1">
      <alignment horizontal="center"/>
    </xf>
    <xf numFmtId="0" fontId="97" fillId="19" borderId="194" xfId="0" applyFont="1" applyFill="1" applyBorder="1" applyAlignment="1">
      <alignment horizontal="center"/>
    </xf>
    <xf numFmtId="0" fontId="97" fillId="19" borderId="252" xfId="0" applyFont="1" applyFill="1" applyBorder="1" applyAlignment="1">
      <alignment horizontal="center"/>
    </xf>
    <xf numFmtId="0" fontId="97" fillId="19" borderId="260" xfId="0" applyFont="1" applyFill="1" applyBorder="1"/>
    <xf numFmtId="0" fontId="97" fillId="19" borderId="194" xfId="0" applyFont="1" applyFill="1" applyBorder="1"/>
    <xf numFmtId="0" fontId="97" fillId="19" borderId="147" xfId="0" applyFont="1" applyFill="1" applyBorder="1" applyAlignment="1">
      <alignment horizontal="center"/>
    </xf>
    <xf numFmtId="0" fontId="97" fillId="19" borderId="256" xfId="0" applyFont="1" applyFill="1" applyBorder="1" applyAlignment="1">
      <alignment horizontal="center"/>
    </xf>
    <xf numFmtId="177" fontId="97" fillId="19" borderId="194" xfId="0" applyNumberFormat="1" applyFont="1" applyFill="1" applyBorder="1"/>
    <xf numFmtId="37" fontId="97" fillId="19" borderId="194" xfId="0" applyNumberFormat="1" applyFont="1" applyFill="1" applyBorder="1"/>
    <xf numFmtId="0" fontId="88" fillId="25" borderId="194" xfId="0" applyFont="1" applyFill="1" applyBorder="1" applyAlignment="1">
      <alignment horizontal="center"/>
    </xf>
    <xf numFmtId="0" fontId="88" fillId="25" borderId="252" xfId="0" applyFont="1" applyFill="1" applyBorder="1" applyAlignment="1">
      <alignment horizontal="center"/>
    </xf>
    <xf numFmtId="0" fontId="88" fillId="25" borderId="260" xfId="0" applyFont="1" applyFill="1" applyBorder="1"/>
    <xf numFmtId="0" fontId="88" fillId="25" borderId="194" xfId="0" applyFont="1" applyFill="1" applyBorder="1"/>
    <xf numFmtId="0" fontId="88" fillId="25" borderId="176" xfId="0" applyFont="1" applyFill="1" applyBorder="1" applyAlignment="1">
      <alignment horizontal="center"/>
    </xf>
    <xf numFmtId="0" fontId="88" fillId="25" borderId="256" xfId="0" applyFont="1" applyFill="1" applyBorder="1" applyAlignment="1">
      <alignment horizontal="center"/>
    </xf>
    <xf numFmtId="177" fontId="88" fillId="25" borderId="194" xfId="0" applyNumberFormat="1" applyFont="1" applyFill="1" applyBorder="1"/>
    <xf numFmtId="37" fontId="88" fillId="25" borderId="194" xfId="0" applyNumberFormat="1" applyFont="1" applyFill="1" applyBorder="1"/>
    <xf numFmtId="0" fontId="88" fillId="5" borderId="245" xfId="0" applyFont="1" applyFill="1" applyBorder="1"/>
    <xf numFmtId="0" fontId="88" fillId="5" borderId="0" xfId="0" applyFont="1" applyFill="1" applyBorder="1"/>
    <xf numFmtId="177" fontId="88" fillId="5" borderId="0" xfId="0" applyNumberFormat="1" applyFont="1" applyFill="1" applyBorder="1"/>
    <xf numFmtId="37" fontId="88" fillId="5" borderId="0" xfId="0" applyNumberFormat="1" applyFont="1" applyFill="1" applyBorder="1"/>
    <xf numFmtId="0" fontId="88" fillId="5" borderId="147" xfId="0" applyFont="1" applyFill="1" applyBorder="1" applyAlignment="1">
      <alignment horizontal="center"/>
    </xf>
    <xf numFmtId="0" fontId="88" fillId="5" borderId="176" xfId="0" applyFont="1" applyFill="1" applyBorder="1" applyAlignment="1">
      <alignment horizontal="center"/>
    </xf>
    <xf numFmtId="0" fontId="88" fillId="5" borderId="256" xfId="0" applyFont="1" applyFill="1" applyBorder="1" applyAlignment="1">
      <alignment horizontal="center"/>
    </xf>
    <xf numFmtId="0" fontId="88" fillId="34" borderId="245" xfId="0" applyFont="1" applyFill="1" applyBorder="1"/>
    <xf numFmtId="0" fontId="88" fillId="34" borderId="0" xfId="0" applyFont="1" applyFill="1" applyBorder="1"/>
    <xf numFmtId="177" fontId="88" fillId="34" borderId="0" xfId="0" applyNumberFormat="1" applyFont="1" applyFill="1" applyBorder="1"/>
    <xf numFmtId="37" fontId="88" fillId="34" borderId="0" xfId="0" applyNumberFormat="1" applyFont="1" applyFill="1" applyBorder="1"/>
    <xf numFmtId="0" fontId="88" fillId="34" borderId="176" xfId="0" applyFont="1" applyFill="1" applyBorder="1" applyAlignment="1">
      <alignment horizontal="center"/>
    </xf>
    <xf numFmtId="0" fontId="88" fillId="34" borderId="256" xfId="0" applyFont="1" applyFill="1" applyBorder="1" applyAlignment="1">
      <alignment horizontal="center"/>
    </xf>
    <xf numFmtId="0" fontId="88" fillId="5" borderId="144" xfId="0" applyFont="1" applyFill="1" applyBorder="1" applyAlignment="1">
      <alignment horizontal="center"/>
    </xf>
    <xf numFmtId="0" fontId="88" fillId="5" borderId="194" xfId="0" applyFont="1" applyFill="1" applyBorder="1" applyAlignment="1">
      <alignment horizontal="center"/>
    </xf>
    <xf numFmtId="0" fontId="88" fillId="5" borderId="252" xfId="0" applyFont="1" applyFill="1" applyBorder="1" applyAlignment="1">
      <alignment horizontal="center"/>
    </xf>
    <xf numFmtId="37" fontId="88" fillId="5" borderId="261" xfId="0" applyNumberFormat="1" applyFont="1" applyFill="1" applyBorder="1"/>
    <xf numFmtId="0" fontId="125" fillId="12" borderId="262" xfId="0" quotePrefix="1" applyFont="1" applyFill="1" applyBorder="1" applyAlignment="1">
      <alignment horizontal="center"/>
    </xf>
    <xf numFmtId="37" fontId="88" fillId="5" borderId="262" xfId="0" applyNumberFormat="1" applyFont="1" applyFill="1" applyBorder="1"/>
    <xf numFmtId="37" fontId="88" fillId="5" borderId="263" xfId="0" applyNumberFormat="1" applyFont="1" applyFill="1" applyBorder="1"/>
    <xf numFmtId="0" fontId="125" fillId="12" borderId="264" xfId="0" quotePrefix="1" applyFont="1" applyFill="1" applyBorder="1" applyAlignment="1">
      <alignment horizontal="center"/>
    </xf>
    <xf numFmtId="0" fontId="88" fillId="5" borderId="265" xfId="0" applyFont="1" applyFill="1" applyBorder="1" applyAlignment="1">
      <alignment horizontal="center"/>
    </xf>
    <xf numFmtId="0" fontId="88" fillId="5" borderId="102" xfId="0" applyFont="1" applyFill="1" applyBorder="1" applyAlignment="1">
      <alignment horizontal="center"/>
    </xf>
    <xf numFmtId="0" fontId="88" fillId="5" borderId="248" xfId="0" applyFont="1" applyFill="1" applyBorder="1" applyAlignment="1">
      <alignment horizontal="center"/>
    </xf>
    <xf numFmtId="174" fontId="88" fillId="5" borderId="266" xfId="0" applyNumberFormat="1" applyFont="1" applyFill="1" applyBorder="1"/>
    <xf numFmtId="37" fontId="88" fillId="5" borderId="266" xfId="0" applyNumberFormat="1" applyFont="1" applyFill="1" applyBorder="1"/>
    <xf numFmtId="177" fontId="88" fillId="5" borderId="266" xfId="0" applyNumberFormat="1" applyFont="1" applyFill="1" applyBorder="1"/>
    <xf numFmtId="37" fontId="88" fillId="5" borderId="264" xfId="0" applyNumberFormat="1" applyFont="1" applyFill="1" applyBorder="1"/>
    <xf numFmtId="37" fontId="88" fillId="5" borderId="251" xfId="0" applyNumberFormat="1" applyFont="1" applyFill="1" applyBorder="1"/>
    <xf numFmtId="0" fontId="88" fillId="5" borderId="254" xfId="0" applyFont="1" applyFill="1" applyBorder="1"/>
    <xf numFmtId="0" fontId="88" fillId="5" borderId="176" xfId="0" applyFont="1" applyFill="1" applyBorder="1"/>
    <xf numFmtId="174" fontId="88" fillId="5" borderId="267" xfId="0" applyNumberFormat="1" applyFont="1" applyFill="1" applyBorder="1"/>
    <xf numFmtId="37" fontId="88" fillId="5" borderId="267" xfId="0" applyNumberFormat="1" applyFont="1" applyFill="1" applyBorder="1"/>
    <xf numFmtId="177" fontId="88" fillId="5" borderId="267" xfId="0" applyNumberFormat="1" applyFont="1" applyFill="1" applyBorder="1"/>
    <xf numFmtId="177" fontId="88" fillId="5" borderId="176" xfId="0" applyNumberFormat="1" applyFont="1" applyFill="1" applyBorder="1"/>
    <xf numFmtId="37" fontId="88" fillId="5" borderId="176" xfId="0" applyNumberFormat="1" applyFont="1" applyFill="1" applyBorder="1"/>
    <xf numFmtId="0" fontId="9" fillId="26" borderId="268" xfId="0" quotePrefix="1" applyFont="1" applyFill="1" applyBorder="1" applyAlignment="1">
      <alignment horizontal="center"/>
    </xf>
    <xf numFmtId="174" fontId="88" fillId="5" borderId="269" xfId="0" applyNumberFormat="1" applyFont="1" applyFill="1" applyBorder="1"/>
    <xf numFmtId="37" fontId="88" fillId="5" borderId="269" xfId="0" applyNumberFormat="1" applyFont="1" applyFill="1" applyBorder="1"/>
    <xf numFmtId="177" fontId="88" fillId="5" borderId="269" xfId="0" applyNumberFormat="1" applyFont="1" applyFill="1" applyBorder="1"/>
    <xf numFmtId="37" fontId="88" fillId="5" borderId="270" xfId="0" applyNumberFormat="1" applyFont="1" applyFill="1" applyBorder="1"/>
    <xf numFmtId="0" fontId="9" fillId="26" borderId="271" xfId="0" quotePrefix="1" applyFont="1" applyFill="1" applyBorder="1" applyAlignment="1">
      <alignment horizontal="center"/>
    </xf>
    <xf numFmtId="174" fontId="88" fillId="5" borderId="272" xfId="0" applyNumberFormat="1" applyFont="1" applyFill="1" applyBorder="1"/>
    <xf numFmtId="37" fontId="88" fillId="5" borderId="272" xfId="0" applyNumberFormat="1" applyFont="1" applyFill="1" applyBorder="1"/>
    <xf numFmtId="177" fontId="88" fillId="5" borderId="272" xfId="0" applyNumberFormat="1" applyFont="1" applyFill="1" applyBorder="1"/>
    <xf numFmtId="37" fontId="88" fillId="5" borderId="271" xfId="0" applyNumberFormat="1" applyFont="1" applyFill="1" applyBorder="1"/>
    <xf numFmtId="0" fontId="88" fillId="25" borderId="273" xfId="0" applyFont="1" applyFill="1" applyBorder="1" applyAlignment="1">
      <alignment horizontal="center"/>
    </xf>
    <xf numFmtId="0" fontId="88" fillId="25" borderId="97" xfId="0" applyFont="1" applyFill="1" applyBorder="1" applyAlignment="1">
      <alignment horizontal="center"/>
    </xf>
    <xf numFmtId="0" fontId="88" fillId="25" borderId="274" xfId="0" applyFont="1" applyFill="1" applyBorder="1" applyAlignment="1">
      <alignment horizontal="center"/>
    </xf>
    <xf numFmtId="174" fontId="88" fillId="25" borderId="275" xfId="0" applyNumberFormat="1" applyFont="1" applyFill="1" applyBorder="1"/>
    <xf numFmtId="37" fontId="88" fillId="25" borderId="275" xfId="0" applyNumberFormat="1" applyFont="1" applyFill="1" applyBorder="1"/>
    <xf numFmtId="177" fontId="88" fillId="25" borderId="275" xfId="0" applyNumberFormat="1" applyFont="1" applyFill="1" applyBorder="1"/>
    <xf numFmtId="37" fontId="88" fillId="25" borderId="268" xfId="0" applyNumberFormat="1" applyFont="1" applyFill="1" applyBorder="1"/>
    <xf numFmtId="37" fontId="88" fillId="25" borderId="276" xfId="0" applyNumberFormat="1" applyFont="1" applyFill="1" applyBorder="1"/>
    <xf numFmtId="0" fontId="88" fillId="25" borderId="254" xfId="0" applyFont="1" applyFill="1" applyBorder="1"/>
    <xf numFmtId="0" fontId="88" fillId="25" borderId="176" xfId="0" applyFont="1" applyFill="1" applyBorder="1"/>
    <xf numFmtId="0" fontId="26" fillId="25" borderId="147" xfId="0" applyFont="1" applyFill="1" applyBorder="1" applyAlignment="1">
      <alignment horizontal="center"/>
    </xf>
    <xf numFmtId="174" fontId="88" fillId="25" borderId="277" xfId="0" applyNumberFormat="1" applyFont="1" applyFill="1" applyBorder="1"/>
    <xf numFmtId="37" fontId="88" fillId="25" borderId="277" xfId="0" applyNumberFormat="1" applyFont="1" applyFill="1" applyBorder="1"/>
    <xf numFmtId="177" fontId="88" fillId="25" borderId="277" xfId="0" applyNumberFormat="1" applyFont="1" applyFill="1" applyBorder="1"/>
    <xf numFmtId="177" fontId="88" fillId="25" borderId="176" xfId="0" applyNumberFormat="1" applyFont="1" applyFill="1" applyBorder="1"/>
    <xf numFmtId="37" fontId="88" fillId="25" borderId="176" xfId="0" applyNumberFormat="1" applyFont="1" applyFill="1" applyBorder="1"/>
    <xf numFmtId="37" fontId="88" fillId="25" borderId="271" xfId="0" applyNumberFormat="1" applyFont="1" applyFill="1" applyBorder="1"/>
    <xf numFmtId="37" fontId="88" fillId="25" borderId="278" xfId="0" applyNumberFormat="1" applyFont="1" applyFill="1" applyBorder="1"/>
    <xf numFmtId="0" fontId="125" fillId="26" borderId="261" xfId="0" quotePrefix="1" applyFont="1" applyFill="1" applyBorder="1" applyAlignment="1">
      <alignment horizontal="center"/>
    </xf>
    <xf numFmtId="0" fontId="88" fillId="25" borderId="144" xfId="0" applyFont="1" applyFill="1" applyBorder="1" applyAlignment="1">
      <alignment horizontal="center"/>
    </xf>
    <xf numFmtId="174" fontId="88" fillId="25" borderId="279" xfId="0" applyNumberFormat="1" applyFont="1" applyFill="1" applyBorder="1"/>
    <xf numFmtId="37" fontId="88" fillId="25" borderId="279" xfId="0" applyNumberFormat="1" applyFont="1" applyFill="1" applyBorder="1"/>
    <xf numFmtId="177" fontId="88" fillId="25" borderId="279" xfId="0" applyNumberFormat="1" applyFont="1" applyFill="1" applyBorder="1"/>
    <xf numFmtId="37" fontId="88" fillId="25" borderId="261" xfId="0" applyNumberFormat="1" applyFont="1" applyFill="1" applyBorder="1"/>
    <xf numFmtId="37" fontId="88" fillId="25" borderId="280" xfId="0" applyNumberFormat="1" applyFont="1" applyFill="1" applyBorder="1"/>
    <xf numFmtId="0" fontId="88" fillId="25" borderId="168" xfId="0" applyFont="1" applyFill="1" applyBorder="1"/>
    <xf numFmtId="0" fontId="88" fillId="25" borderId="125" xfId="0" applyFont="1" applyFill="1" applyBorder="1"/>
    <xf numFmtId="0" fontId="125" fillId="26" borderId="281" xfId="0" quotePrefix="1" applyFont="1" applyFill="1" applyBorder="1" applyAlignment="1">
      <alignment horizontal="center"/>
    </xf>
    <xf numFmtId="0" fontId="88" fillId="25" borderId="282" xfId="0" applyFont="1" applyFill="1" applyBorder="1" applyAlignment="1">
      <alignment horizontal="center"/>
    </xf>
    <xf numFmtId="0" fontId="88" fillId="25" borderId="253" xfId="0" applyFont="1" applyFill="1" applyBorder="1" applyAlignment="1">
      <alignment horizontal="center"/>
    </xf>
    <xf numFmtId="174" fontId="88" fillId="25" borderId="283" xfId="0" applyNumberFormat="1" applyFont="1" applyFill="1" applyBorder="1"/>
    <xf numFmtId="37" fontId="88" fillId="25" borderId="283" xfId="0" applyNumberFormat="1" applyFont="1" applyFill="1" applyBorder="1"/>
    <xf numFmtId="37" fontId="88" fillId="25" borderId="125" xfId="0" applyNumberFormat="1" applyFont="1" applyFill="1" applyBorder="1"/>
    <xf numFmtId="177" fontId="88" fillId="25" borderId="283" xfId="0" applyNumberFormat="1" applyFont="1" applyFill="1" applyBorder="1"/>
    <xf numFmtId="177" fontId="88" fillId="25" borderId="125" xfId="0" applyNumberFormat="1" applyFont="1" applyFill="1" applyBorder="1"/>
    <xf numFmtId="37" fontId="88" fillId="25" borderId="284" xfId="0" applyNumberFormat="1" applyFont="1" applyFill="1" applyBorder="1"/>
    <xf numFmtId="37" fontId="88" fillId="25" borderId="125" xfId="0" applyNumberFormat="1" applyFont="1" applyFill="1" applyBorder="1" applyAlignment="1">
      <alignment horizontal="center"/>
    </xf>
    <xf numFmtId="37" fontId="88" fillId="25" borderId="285" xfId="0" applyNumberFormat="1" applyFont="1" applyFill="1" applyBorder="1"/>
    <xf numFmtId="0" fontId="9" fillId="12" borderId="286" xfId="0" quotePrefix="1" applyFont="1" applyFill="1" applyBorder="1" applyAlignment="1">
      <alignment horizontal="center"/>
    </xf>
    <xf numFmtId="0" fontId="97" fillId="19" borderId="219" xfId="0" applyFont="1" applyFill="1" applyBorder="1" applyAlignment="1">
      <alignment horizontal="center"/>
    </xf>
    <xf numFmtId="0" fontId="97" fillId="19" borderId="97" xfId="0" applyFont="1" applyFill="1" applyBorder="1" applyAlignment="1">
      <alignment horizontal="center"/>
    </xf>
    <xf numFmtId="0" fontId="97" fillId="19" borderId="274" xfId="0" applyFont="1" applyFill="1" applyBorder="1" applyAlignment="1">
      <alignment horizontal="center"/>
    </xf>
    <xf numFmtId="174" fontId="97" fillId="19" borderId="287" xfId="0" applyNumberFormat="1" applyFont="1" applyFill="1" applyBorder="1"/>
    <xf numFmtId="37" fontId="97" fillId="19" borderId="287" xfId="0" applyNumberFormat="1" applyFont="1" applyFill="1" applyBorder="1"/>
    <xf numFmtId="177" fontId="97" fillId="19" borderId="287" xfId="0" applyNumberFormat="1" applyFont="1" applyFill="1" applyBorder="1"/>
    <xf numFmtId="37" fontId="97" fillId="19" borderId="286" xfId="0" applyNumberFormat="1" applyFont="1" applyFill="1" applyBorder="1"/>
    <xf numFmtId="37" fontId="97" fillId="19" borderId="288" xfId="0" applyNumberFormat="1" applyFont="1" applyFill="1" applyBorder="1"/>
    <xf numFmtId="0" fontId="97" fillId="19" borderId="254" xfId="0" applyFont="1" applyFill="1" applyBorder="1"/>
    <xf numFmtId="0" fontId="9" fillId="12" borderId="289" xfId="0" quotePrefix="1" applyFont="1" applyFill="1" applyBorder="1" applyAlignment="1">
      <alignment horizontal="center"/>
    </xf>
    <xf numFmtId="174" fontId="97" fillId="19" borderId="290" xfId="0" applyNumberFormat="1" applyFont="1" applyFill="1" applyBorder="1"/>
    <xf numFmtId="37" fontId="97" fillId="19" borderId="290" xfId="0" applyNumberFormat="1" applyFont="1" applyFill="1" applyBorder="1"/>
    <xf numFmtId="177" fontId="97" fillId="19" borderId="290" xfId="0" applyNumberFormat="1" applyFont="1" applyFill="1" applyBorder="1"/>
    <xf numFmtId="177" fontId="97" fillId="19" borderId="176" xfId="0" applyNumberFormat="1" applyFont="1" applyFill="1" applyBorder="1"/>
    <xf numFmtId="37" fontId="97" fillId="19" borderId="291" xfId="0" applyNumberFormat="1" applyFont="1" applyFill="1" applyBorder="1"/>
    <xf numFmtId="37" fontId="97" fillId="19" borderId="292" xfId="0" applyNumberFormat="1" applyFont="1" applyFill="1" applyBorder="1"/>
    <xf numFmtId="0" fontId="125" fillId="12" borderId="293" xfId="0" quotePrefix="1" applyFont="1" applyFill="1" applyBorder="1" applyAlignment="1">
      <alignment horizontal="center"/>
    </xf>
    <xf numFmtId="174" fontId="97" fillId="19" borderId="294" xfId="0" applyNumberFormat="1" applyFont="1" applyFill="1" applyBorder="1"/>
    <xf numFmtId="37" fontId="97" fillId="19" borderId="294" xfId="0" applyNumberFormat="1" applyFont="1" applyFill="1" applyBorder="1"/>
    <xf numFmtId="177" fontId="97" fillId="19" borderId="294" xfId="0" applyNumberFormat="1" applyFont="1" applyFill="1" applyBorder="1"/>
    <xf numFmtId="37" fontId="97" fillId="19" borderId="293" xfId="0" applyNumberFormat="1" applyFont="1" applyFill="1" applyBorder="1"/>
    <xf numFmtId="37" fontId="97" fillId="19" borderId="295" xfId="0" applyNumberFormat="1" applyFont="1" applyFill="1" applyBorder="1"/>
    <xf numFmtId="0" fontId="97" fillId="19" borderId="168" xfId="0" applyFont="1" applyFill="1" applyBorder="1"/>
    <xf numFmtId="0" fontId="97" fillId="19" borderId="125" xfId="0" applyFont="1" applyFill="1" applyBorder="1"/>
    <xf numFmtId="0" fontId="125" fillId="12" borderId="284" xfId="0" quotePrefix="1" applyFont="1" applyFill="1" applyBorder="1" applyAlignment="1">
      <alignment horizontal="center"/>
    </xf>
    <xf numFmtId="0" fontId="97" fillId="19" borderId="296" xfId="0" applyFont="1" applyFill="1" applyBorder="1" applyAlignment="1">
      <alignment horizontal="center"/>
    </xf>
    <xf numFmtId="0" fontId="97" fillId="19" borderId="253" xfId="0" applyFont="1" applyFill="1" applyBorder="1" applyAlignment="1">
      <alignment horizontal="center"/>
    </xf>
    <xf numFmtId="174" fontId="97" fillId="19" borderId="297" xfId="0" applyNumberFormat="1" applyFont="1" applyFill="1" applyBorder="1"/>
    <xf numFmtId="37" fontId="97" fillId="19" borderId="298" xfId="0" applyNumberFormat="1" applyFont="1" applyFill="1" applyBorder="1"/>
    <xf numFmtId="37" fontId="97" fillId="19" borderId="297" xfId="0" applyNumberFormat="1" applyFont="1" applyFill="1" applyBorder="1"/>
    <xf numFmtId="37" fontId="97" fillId="19" borderId="125" xfId="0" applyNumberFormat="1" applyFont="1" applyFill="1" applyBorder="1"/>
    <xf numFmtId="177" fontId="97" fillId="19" borderId="297" xfId="0" applyNumberFormat="1" applyFont="1" applyFill="1" applyBorder="1"/>
    <xf numFmtId="177" fontId="97" fillId="19" borderId="125" xfId="0" applyNumberFormat="1" applyFont="1" applyFill="1" applyBorder="1"/>
    <xf numFmtId="37" fontId="97" fillId="19" borderId="299" xfId="0" applyNumberFormat="1" applyFont="1" applyFill="1" applyBorder="1"/>
    <xf numFmtId="37" fontId="97" fillId="19" borderId="125" xfId="0" applyNumberFormat="1" applyFont="1" applyFill="1" applyBorder="1" applyAlignment="1">
      <alignment horizontal="center"/>
    </xf>
    <xf numFmtId="37" fontId="97" fillId="19" borderId="300" xfId="0" applyNumberFormat="1" applyFont="1" applyFill="1" applyBorder="1"/>
    <xf numFmtId="0" fontId="94" fillId="7" borderId="301" xfId="0" applyFont="1" applyFill="1" applyBorder="1" applyAlignment="1">
      <alignment horizontal="center"/>
    </xf>
    <xf numFmtId="0" fontId="94" fillId="7" borderId="97" xfId="0" applyFont="1" applyFill="1" applyBorder="1" applyAlignment="1">
      <alignment horizontal="center"/>
    </xf>
    <xf numFmtId="0" fontId="94" fillId="7" borderId="274" xfId="0" applyFont="1" applyFill="1" applyBorder="1" applyAlignment="1">
      <alignment horizontal="center"/>
    </xf>
    <xf numFmtId="174" fontId="94" fillId="7" borderId="302" xfId="0" applyNumberFormat="1" applyFont="1" applyFill="1" applyBorder="1"/>
    <xf numFmtId="37" fontId="94" fillId="7" borderId="303" xfId="0" applyNumberFormat="1" applyFont="1" applyFill="1" applyBorder="1"/>
    <xf numFmtId="37" fontId="94" fillId="7" borderId="302" xfId="0" applyNumberFormat="1" applyFont="1" applyFill="1" applyBorder="1"/>
    <xf numFmtId="177" fontId="94" fillId="7" borderId="302" xfId="0" applyNumberFormat="1" applyFont="1" applyFill="1" applyBorder="1"/>
    <xf numFmtId="37" fontId="94" fillId="7" borderId="286" xfId="0" applyNumberFormat="1" applyFont="1" applyFill="1" applyBorder="1"/>
    <xf numFmtId="37" fontId="94" fillId="7" borderId="288" xfId="0" applyNumberFormat="1" applyFont="1" applyFill="1" applyBorder="1"/>
    <xf numFmtId="0" fontId="94" fillId="7" borderId="147" xfId="0" applyFont="1" applyFill="1" applyBorder="1" applyAlignment="1">
      <alignment horizontal="center"/>
    </xf>
    <xf numFmtId="174" fontId="94" fillId="7" borderId="304" xfId="0" applyNumberFormat="1" applyFont="1" applyFill="1" applyBorder="1"/>
    <xf numFmtId="37" fontId="94" fillId="7" borderId="304" xfId="0" applyNumberFormat="1" applyFont="1" applyFill="1" applyBorder="1"/>
    <xf numFmtId="177" fontId="94" fillId="7" borderId="304" xfId="0" applyNumberFormat="1" applyFont="1" applyFill="1" applyBorder="1"/>
    <xf numFmtId="37" fontId="94" fillId="7" borderId="289" xfId="0" applyNumberFormat="1" applyFont="1" applyFill="1" applyBorder="1"/>
    <xf numFmtId="37" fontId="94" fillId="7" borderId="305" xfId="0" applyNumberFormat="1" applyFont="1" applyFill="1" applyBorder="1"/>
    <xf numFmtId="0" fontId="125" fillId="26" borderId="306" xfId="0" quotePrefix="1" applyFont="1" applyFill="1" applyBorder="1" applyAlignment="1">
      <alignment horizontal="center"/>
    </xf>
    <xf numFmtId="0" fontId="26" fillId="34" borderId="265" xfId="0" applyFont="1" applyFill="1" applyBorder="1" applyAlignment="1">
      <alignment horizontal="center"/>
    </xf>
    <xf numFmtId="0" fontId="88" fillId="34" borderId="102" xfId="0" applyFont="1" applyFill="1" applyBorder="1" applyAlignment="1">
      <alignment horizontal="center"/>
    </xf>
    <xf numFmtId="0" fontId="88" fillId="34" borderId="248" xfId="0" applyFont="1" applyFill="1" applyBorder="1" applyAlignment="1">
      <alignment horizontal="center"/>
    </xf>
    <xf numFmtId="174" fontId="88" fillId="34" borderId="307" xfId="0" applyNumberFormat="1" applyFont="1" applyFill="1" applyBorder="1"/>
    <xf numFmtId="37" fontId="88" fillId="34" borderId="307" xfId="0" applyNumberFormat="1" applyFont="1" applyFill="1" applyBorder="1"/>
    <xf numFmtId="177" fontId="88" fillId="34" borderId="307" xfId="0" applyNumberFormat="1" applyFont="1" applyFill="1" applyBorder="1"/>
    <xf numFmtId="37" fontId="88" fillId="34" borderId="306" xfId="0" applyNumberFormat="1" applyFont="1" applyFill="1" applyBorder="1"/>
    <xf numFmtId="37" fontId="88" fillId="34" borderId="308" xfId="0" applyNumberFormat="1" applyFont="1" applyFill="1" applyBorder="1"/>
    <xf numFmtId="0" fontId="88" fillId="34" borderId="254" xfId="0" applyFont="1" applyFill="1" applyBorder="1"/>
    <xf numFmtId="0" fontId="88" fillId="34" borderId="176" xfId="0" applyFont="1" applyFill="1" applyBorder="1"/>
    <xf numFmtId="0" fontId="88" fillId="34" borderId="147" xfId="0" applyFont="1" applyFill="1" applyBorder="1" applyAlignment="1">
      <alignment horizontal="center"/>
    </xf>
    <xf numFmtId="174" fontId="88" fillId="34" borderId="304" xfId="0" applyNumberFormat="1" applyFont="1" applyFill="1" applyBorder="1"/>
    <xf numFmtId="37" fontId="88" fillId="34" borderId="304" xfId="0" applyNumberFormat="1" applyFont="1" applyFill="1" applyBorder="1"/>
    <xf numFmtId="177" fontId="88" fillId="34" borderId="304" xfId="0" applyNumberFormat="1" applyFont="1" applyFill="1" applyBorder="1"/>
    <xf numFmtId="177" fontId="88" fillId="34" borderId="176" xfId="0" applyNumberFormat="1" applyFont="1" applyFill="1" applyBorder="1"/>
    <xf numFmtId="37" fontId="88" fillId="34" borderId="176" xfId="0" applyNumberFormat="1" applyFont="1" applyFill="1" applyBorder="1"/>
    <xf numFmtId="37" fontId="88" fillId="34" borderId="309" xfId="0" applyNumberFormat="1" applyFont="1" applyFill="1" applyBorder="1"/>
    <xf numFmtId="0" fontId="125" fillId="26" borderId="311" xfId="0" quotePrefix="1" applyFont="1" applyFill="1" applyBorder="1" applyAlignment="1">
      <alignment horizontal="center"/>
    </xf>
    <xf numFmtId="37" fontId="88" fillId="34" borderId="311" xfId="0" applyNumberFormat="1" applyFont="1" applyFill="1" applyBorder="1"/>
    <xf numFmtId="0" fontId="88" fillId="37" borderId="176" xfId="0" applyFont="1" applyFill="1" applyBorder="1" applyAlignment="1">
      <alignment horizontal="center"/>
    </xf>
    <xf numFmtId="0" fontId="88" fillId="37" borderId="256" xfId="0" applyFont="1" applyFill="1" applyBorder="1" applyAlignment="1">
      <alignment horizontal="center"/>
    </xf>
    <xf numFmtId="0" fontId="88" fillId="37" borderId="102" xfId="0" applyFont="1" applyFill="1" applyBorder="1" applyAlignment="1">
      <alignment horizontal="center"/>
    </xf>
    <xf numFmtId="0" fontId="0" fillId="37" borderId="228" xfId="0" applyFill="1" applyBorder="1"/>
    <xf numFmtId="0" fontId="9" fillId="26" borderId="312" xfId="0" quotePrefix="1" applyFont="1" applyFill="1" applyBorder="1" applyAlignment="1">
      <alignment horizontal="center"/>
    </xf>
    <xf numFmtId="0" fontId="88" fillId="37" borderId="313" xfId="0" applyFont="1" applyFill="1" applyBorder="1" applyAlignment="1">
      <alignment horizontal="center"/>
    </xf>
    <xf numFmtId="174" fontId="88" fillId="37" borderId="314" xfId="0" applyNumberFormat="1" applyFont="1" applyFill="1" applyBorder="1"/>
    <xf numFmtId="37" fontId="88" fillId="37" borderId="314" xfId="0" applyNumberFormat="1" applyFont="1" applyFill="1" applyBorder="1"/>
    <xf numFmtId="177" fontId="88" fillId="37" borderId="314" xfId="0" applyNumberFormat="1" applyFont="1" applyFill="1" applyBorder="1"/>
    <xf numFmtId="37" fontId="88" fillId="37" borderId="228" xfId="0" applyNumberFormat="1" applyFont="1" applyFill="1" applyBorder="1"/>
    <xf numFmtId="37" fontId="88" fillId="37" borderId="312" xfId="0" applyNumberFormat="1" applyFont="1" applyFill="1" applyBorder="1"/>
    <xf numFmtId="37" fontId="88" fillId="37" borderId="315" xfId="0" applyNumberFormat="1" applyFont="1" applyFill="1" applyBorder="1"/>
    <xf numFmtId="0" fontId="0" fillId="37" borderId="176" xfId="0" applyFill="1" applyBorder="1"/>
    <xf numFmtId="0" fontId="9" fillId="26" borderId="311" xfId="0" quotePrefix="1" applyFont="1" applyFill="1" applyBorder="1" applyAlignment="1">
      <alignment horizontal="center"/>
    </xf>
    <xf numFmtId="174" fontId="88" fillId="37" borderId="316" xfId="0" applyNumberFormat="1" applyFont="1" applyFill="1" applyBorder="1"/>
    <xf numFmtId="37" fontId="88" fillId="37" borderId="316" xfId="0" applyNumberFormat="1" applyFont="1" applyFill="1" applyBorder="1"/>
    <xf numFmtId="177" fontId="88" fillId="37" borderId="316" xfId="0" applyNumberFormat="1" applyFont="1" applyFill="1" applyBorder="1"/>
    <xf numFmtId="37" fontId="88" fillId="37" borderId="176" xfId="0" applyNumberFormat="1" applyFont="1" applyFill="1" applyBorder="1"/>
    <xf numFmtId="37" fontId="88" fillId="37" borderId="317" xfId="0" applyNumberFormat="1" applyFont="1" applyFill="1" applyBorder="1"/>
    <xf numFmtId="37" fontId="88" fillId="37" borderId="176" xfId="0" applyNumberFormat="1" applyFont="1" applyFill="1" applyBorder="1" applyAlignment="1">
      <alignment horizontal="center"/>
    </xf>
    <xf numFmtId="37" fontId="88" fillId="37" borderId="318" xfId="0" applyNumberFormat="1" applyFont="1" applyFill="1" applyBorder="1"/>
    <xf numFmtId="0" fontId="26" fillId="37" borderId="319" xfId="0" applyFont="1" applyFill="1" applyBorder="1" applyAlignment="1">
      <alignment horizontal="center"/>
    </xf>
    <xf numFmtId="0" fontId="26" fillId="37" borderId="147" xfId="0" applyFont="1" applyFill="1" applyBorder="1" applyAlignment="1">
      <alignment horizontal="center"/>
    </xf>
    <xf numFmtId="0" fontId="110" fillId="36" borderId="97" xfId="0" applyFont="1" applyFill="1" applyBorder="1" applyAlignment="1">
      <alignment horizontal="right"/>
    </xf>
    <xf numFmtId="14" fontId="110" fillId="36" borderId="97" xfId="0" applyNumberFormat="1" applyFont="1" applyFill="1" applyBorder="1" applyAlignment="1">
      <alignment horizontal="right"/>
    </xf>
    <xf numFmtId="0" fontId="110" fillId="36" borderId="97" xfId="0" applyFont="1" applyFill="1" applyBorder="1"/>
    <xf numFmtId="0" fontId="112" fillId="36" borderId="97" xfId="0" applyFont="1" applyFill="1" applyBorder="1"/>
    <xf numFmtId="0" fontId="110" fillId="36" borderId="219" xfId="0" applyFont="1" applyFill="1" applyBorder="1" applyAlignment="1">
      <alignment horizontal="center"/>
    </xf>
    <xf numFmtId="0" fontId="110" fillId="36" borderId="97" xfId="0" applyFont="1" applyFill="1" applyBorder="1" applyAlignment="1">
      <alignment horizontal="center"/>
    </xf>
    <xf numFmtId="37" fontId="110" fillId="36" borderId="97" xfId="0" applyNumberFormat="1" applyFont="1" applyFill="1" applyBorder="1" applyProtection="1">
      <protection locked="0"/>
    </xf>
    <xf numFmtId="174" fontId="110" fillId="36" borderId="97" xfId="0" applyNumberFormat="1" applyFont="1" applyFill="1" applyBorder="1"/>
    <xf numFmtId="37" fontId="110" fillId="36" borderId="97" xfId="0" applyNumberFormat="1" applyFont="1" applyFill="1" applyBorder="1"/>
    <xf numFmtId="170" fontId="110" fillId="36" borderId="97" xfId="0" applyNumberFormat="1" applyFont="1" applyFill="1" applyBorder="1"/>
    <xf numFmtId="0" fontId="132" fillId="42" borderId="0" xfId="0" applyFont="1" applyFill="1" applyBorder="1"/>
    <xf numFmtId="0" fontId="94" fillId="6" borderId="222" xfId="0" applyFont="1" applyFill="1" applyBorder="1"/>
    <xf numFmtId="0" fontId="94" fillId="6" borderId="223" xfId="0" applyFont="1" applyFill="1" applyBorder="1"/>
    <xf numFmtId="0" fontId="94" fillId="6" borderId="102" xfId="0" applyFont="1" applyFill="1" applyBorder="1"/>
    <xf numFmtId="0" fontId="95" fillId="6" borderId="102" xfId="0" applyFont="1" applyFill="1" applyBorder="1"/>
    <xf numFmtId="0" fontId="94" fillId="6" borderId="320" xfId="0" applyFont="1" applyFill="1" applyBorder="1" applyAlignment="1">
      <alignment horizontal="center"/>
    </xf>
    <xf numFmtId="0" fontId="94" fillId="6" borderId="219" xfId="0" applyFont="1" applyFill="1" applyBorder="1" applyAlignment="1">
      <alignment horizontal="center"/>
    </xf>
    <xf numFmtId="0" fontId="94" fillId="6" borderId="125" xfId="0" applyFont="1" applyFill="1" applyBorder="1" applyAlignment="1">
      <alignment horizontal="center"/>
    </xf>
    <xf numFmtId="0" fontId="94" fillId="6" borderId="97" xfId="0" applyFont="1" applyFill="1" applyBorder="1" applyAlignment="1">
      <alignment horizontal="center"/>
    </xf>
    <xf numFmtId="37" fontId="94" fillId="6" borderId="125" xfId="0" applyNumberFormat="1" applyFont="1" applyFill="1" applyBorder="1" applyProtection="1">
      <protection locked="0"/>
    </xf>
    <xf numFmtId="37" fontId="94" fillId="6" borderId="97" xfId="0" applyNumberFormat="1" applyFont="1" applyFill="1" applyBorder="1" applyProtection="1">
      <protection locked="0"/>
    </xf>
    <xf numFmtId="0" fontId="94" fillId="6" borderId="125" xfId="0" applyFont="1" applyFill="1" applyBorder="1"/>
    <xf numFmtId="174" fontId="94" fillId="6" borderId="125" xfId="0" applyNumberFormat="1" applyFont="1" applyFill="1" applyBorder="1"/>
    <xf numFmtId="174" fontId="94" fillId="6" borderId="97" xfId="0" applyNumberFormat="1" applyFont="1" applyFill="1" applyBorder="1"/>
    <xf numFmtId="37" fontId="94" fillId="6" borderId="125" xfId="0" applyNumberFormat="1" applyFont="1" applyFill="1" applyBorder="1"/>
    <xf numFmtId="37" fontId="94" fillId="6" borderId="97" xfId="0" applyNumberFormat="1" applyFont="1" applyFill="1" applyBorder="1"/>
    <xf numFmtId="170" fontId="94" fillId="6" borderId="125" xfId="0" applyNumberFormat="1" applyFont="1" applyFill="1" applyBorder="1"/>
    <xf numFmtId="170" fontId="94" fillId="6" borderId="97" xfId="0" applyNumberFormat="1" applyFont="1" applyFill="1" applyBorder="1"/>
    <xf numFmtId="0" fontId="125" fillId="42" borderId="321" xfId="0" quotePrefix="1" applyFont="1" applyFill="1" applyBorder="1" applyAlignment="1">
      <alignment horizontal="center"/>
    </xf>
    <xf numFmtId="37" fontId="131" fillId="42" borderId="322" xfId="0" applyNumberFormat="1" applyFont="1" applyFill="1" applyBorder="1" applyProtection="1">
      <protection locked="0"/>
    </xf>
    <xf numFmtId="37" fontId="131" fillId="42" borderId="322" xfId="0" applyNumberFormat="1" applyFont="1" applyFill="1" applyBorder="1"/>
    <xf numFmtId="37" fontId="131" fillId="42" borderId="321" xfId="0" applyNumberFormat="1" applyFont="1" applyFill="1" applyBorder="1"/>
    <xf numFmtId="167" fontId="131" fillId="42" borderId="322" xfId="0" applyNumberFormat="1" applyFont="1" applyFill="1" applyBorder="1"/>
    <xf numFmtId="174" fontId="131" fillId="42" borderId="321" xfId="0" applyNumberFormat="1" applyFont="1" applyFill="1" applyBorder="1"/>
    <xf numFmtId="174" fontId="131" fillId="42" borderId="322" xfId="0" applyNumberFormat="1" applyFont="1" applyFill="1" applyBorder="1"/>
    <xf numFmtId="0" fontId="91" fillId="6" borderId="323" xfId="0" applyFont="1" applyFill="1" applyBorder="1" applyAlignment="1">
      <alignment horizontal="center"/>
    </xf>
    <xf numFmtId="0" fontId="73" fillId="12" borderId="323" xfId="0" quotePrefix="1" applyFont="1" applyFill="1" applyBorder="1" applyAlignment="1">
      <alignment horizontal="center"/>
    </xf>
    <xf numFmtId="0" fontId="73" fillId="12" borderId="324" xfId="0" quotePrefix="1" applyFont="1" applyFill="1" applyBorder="1" applyAlignment="1">
      <alignment horizontal="center"/>
    </xf>
    <xf numFmtId="37" fontId="94" fillId="6" borderId="325" xfId="0" applyNumberFormat="1" applyFont="1" applyFill="1" applyBorder="1" applyProtection="1">
      <protection locked="0"/>
    </xf>
    <xf numFmtId="37" fontId="94" fillId="6" borderId="326" xfId="0" applyNumberFormat="1" applyFont="1" applyFill="1" applyBorder="1" applyProtection="1">
      <protection locked="0"/>
    </xf>
    <xf numFmtId="37" fontId="94" fillId="6" borderId="325" xfId="0" applyNumberFormat="1" applyFont="1" applyFill="1" applyBorder="1"/>
    <xf numFmtId="37" fontId="94" fillId="6" borderId="326" xfId="0" applyNumberFormat="1" applyFont="1" applyFill="1" applyBorder="1"/>
    <xf numFmtId="37" fontId="94" fillId="6" borderId="327" xfId="0" applyNumberFormat="1" applyFont="1" applyFill="1" applyBorder="1"/>
    <xf numFmtId="37" fontId="94" fillId="6" borderId="328" xfId="0" applyNumberFormat="1" applyFont="1" applyFill="1" applyBorder="1"/>
    <xf numFmtId="37" fontId="94" fillId="6" borderId="329" xfId="0" applyNumberFormat="1" applyFont="1" applyFill="1" applyBorder="1"/>
    <xf numFmtId="37" fontId="94" fillId="6" borderId="330" xfId="0" applyNumberFormat="1" applyFont="1" applyFill="1" applyBorder="1"/>
    <xf numFmtId="167" fontId="94" fillId="6" borderId="329" xfId="0" applyNumberFormat="1" applyFont="1" applyFill="1" applyBorder="1"/>
    <xf numFmtId="167" fontId="94" fillId="6" borderId="330" xfId="0" applyNumberFormat="1" applyFont="1" applyFill="1" applyBorder="1"/>
    <xf numFmtId="174" fontId="94" fillId="6" borderId="331" xfId="0" applyNumberFormat="1" applyFont="1" applyFill="1" applyBorder="1"/>
    <xf numFmtId="174" fontId="94" fillId="6" borderId="332" xfId="0" applyNumberFormat="1" applyFont="1" applyFill="1" applyBorder="1"/>
    <xf numFmtId="174" fontId="94" fillId="6" borderId="333" xfId="0" applyNumberFormat="1" applyFont="1" applyFill="1" applyBorder="1"/>
    <xf numFmtId="174" fontId="94" fillId="6" borderId="334" xfId="0" applyNumberFormat="1" applyFont="1" applyFill="1" applyBorder="1"/>
    <xf numFmtId="37" fontId="94" fillId="6" borderId="333" xfId="0" applyNumberFormat="1" applyFont="1" applyFill="1" applyBorder="1"/>
    <xf numFmtId="37" fontId="94" fillId="6" borderId="334" xfId="0" applyNumberFormat="1" applyFont="1" applyFill="1" applyBorder="1"/>
    <xf numFmtId="37" fontId="94" fillId="6" borderId="335" xfId="0" applyNumberFormat="1" applyFont="1" applyFill="1" applyBorder="1"/>
    <xf numFmtId="37" fontId="94" fillId="6" borderId="336" xfId="0" applyNumberFormat="1" applyFont="1" applyFill="1" applyBorder="1"/>
    <xf numFmtId="0" fontId="98" fillId="19" borderId="102" xfId="0" applyFont="1" applyFill="1" applyBorder="1"/>
    <xf numFmtId="0" fontId="97" fillId="19" borderId="337" xfId="0" applyFont="1" applyFill="1" applyBorder="1"/>
    <xf numFmtId="0" fontId="73" fillId="12" borderId="338" xfId="0" quotePrefix="1" applyFont="1" applyFill="1" applyBorder="1" applyAlignment="1">
      <alignment horizontal="center"/>
    </xf>
    <xf numFmtId="0" fontId="73" fillId="12" borderId="339" xfId="0" quotePrefix="1" applyFont="1" applyFill="1" applyBorder="1" applyAlignment="1">
      <alignment horizontal="center"/>
    </xf>
    <xf numFmtId="0" fontId="97" fillId="19" borderId="340" xfId="0" applyFont="1" applyFill="1" applyBorder="1" applyAlignment="1">
      <alignment horizontal="center"/>
    </xf>
    <xf numFmtId="37" fontId="97" fillId="19" borderId="341" xfId="0" applyNumberFormat="1" applyFont="1" applyFill="1" applyBorder="1" applyProtection="1">
      <protection locked="0"/>
    </xf>
    <xf numFmtId="37" fontId="97" fillId="19" borderId="342" xfId="0" applyNumberFormat="1" applyFont="1" applyFill="1" applyBorder="1" applyProtection="1">
      <protection locked="0"/>
    </xf>
    <xf numFmtId="37" fontId="97" fillId="19" borderId="125" xfId="0" applyNumberFormat="1" applyFont="1" applyFill="1" applyBorder="1" applyProtection="1">
      <protection locked="0"/>
    </xf>
    <xf numFmtId="37" fontId="97" fillId="19" borderId="97" xfId="0" applyNumberFormat="1" applyFont="1" applyFill="1" applyBorder="1" applyProtection="1">
      <protection locked="0"/>
    </xf>
    <xf numFmtId="37" fontId="97" fillId="19" borderId="341" xfId="0" applyNumberFormat="1" applyFont="1" applyFill="1" applyBorder="1"/>
    <xf numFmtId="37" fontId="97" fillId="19" borderId="342" xfId="0" applyNumberFormat="1" applyFont="1" applyFill="1" applyBorder="1"/>
    <xf numFmtId="37" fontId="97" fillId="19" borderId="343" xfId="0" applyNumberFormat="1" applyFont="1" applyFill="1" applyBorder="1"/>
    <xf numFmtId="37" fontId="97" fillId="19" borderId="344" xfId="0" applyNumberFormat="1" applyFont="1" applyFill="1" applyBorder="1"/>
    <xf numFmtId="37" fontId="97" fillId="19" borderId="345" xfId="0" applyNumberFormat="1" applyFont="1" applyFill="1" applyBorder="1"/>
    <xf numFmtId="37" fontId="97" fillId="19" borderId="346" xfId="0" applyNumberFormat="1" applyFont="1" applyFill="1" applyBorder="1"/>
    <xf numFmtId="167" fontId="97" fillId="19" borderId="345" xfId="0" applyNumberFormat="1" applyFont="1" applyFill="1" applyBorder="1"/>
    <xf numFmtId="167" fontId="97" fillId="19" borderId="346" xfId="0" applyNumberFormat="1" applyFont="1" applyFill="1" applyBorder="1"/>
    <xf numFmtId="174" fontId="97" fillId="19" borderId="347" xfId="0" applyNumberFormat="1" applyFont="1" applyFill="1" applyBorder="1"/>
    <xf numFmtId="174" fontId="97" fillId="19" borderId="348" xfId="0" applyNumberFormat="1" applyFont="1" applyFill="1" applyBorder="1"/>
    <xf numFmtId="174" fontId="97" fillId="19" borderId="125" xfId="0" applyNumberFormat="1" applyFont="1" applyFill="1" applyBorder="1"/>
    <xf numFmtId="174" fontId="97" fillId="19" borderId="97" xfId="0" applyNumberFormat="1" applyFont="1" applyFill="1" applyBorder="1"/>
    <xf numFmtId="174" fontId="97" fillId="19" borderId="349" xfId="0" applyNumberFormat="1" applyFont="1" applyFill="1" applyBorder="1"/>
    <xf numFmtId="174" fontId="97" fillId="19" borderId="350" xfId="0" applyNumberFormat="1" applyFont="1" applyFill="1" applyBorder="1"/>
    <xf numFmtId="37" fontId="97" fillId="19" borderId="349" xfId="0" applyNumberFormat="1" applyFont="1" applyFill="1" applyBorder="1"/>
    <xf numFmtId="37" fontId="97" fillId="19" borderId="350" xfId="0" applyNumberFormat="1" applyFont="1" applyFill="1" applyBorder="1"/>
    <xf numFmtId="170" fontId="97" fillId="19" borderId="125" xfId="0" applyNumberFormat="1" applyFont="1" applyFill="1" applyBorder="1"/>
    <xf numFmtId="170" fontId="97" fillId="19" borderId="97" xfId="0" applyNumberFormat="1" applyFont="1" applyFill="1" applyBorder="1"/>
    <xf numFmtId="37" fontId="97" fillId="19" borderId="351" xfId="0" applyNumberFormat="1" applyFont="1" applyFill="1" applyBorder="1"/>
    <xf numFmtId="0" fontId="110" fillId="17" borderId="222" xfId="0" applyFont="1" applyFill="1" applyBorder="1"/>
    <xf numFmtId="0" fontId="110" fillId="17" borderId="223" xfId="0" applyFont="1" applyFill="1" applyBorder="1" applyAlignment="1">
      <alignment horizontal="right"/>
    </xf>
    <xf numFmtId="0" fontId="110" fillId="17" borderId="102" xfId="0" applyFont="1" applyFill="1" applyBorder="1"/>
    <xf numFmtId="0" fontId="112" fillId="17" borderId="102" xfId="0" applyFont="1" applyFill="1" applyBorder="1"/>
    <xf numFmtId="0" fontId="91" fillId="17" borderId="352" xfId="0" applyFont="1" applyFill="1" applyBorder="1" applyAlignment="1">
      <alignment horizontal="center"/>
    </xf>
    <xf numFmtId="0" fontId="73" fillId="12" borderId="352" xfId="0" quotePrefix="1" applyFont="1" applyFill="1" applyBorder="1" applyAlignment="1">
      <alignment horizontal="center"/>
    </xf>
    <xf numFmtId="0" fontId="73" fillId="12" borderId="353" xfId="0" quotePrefix="1" applyFont="1" applyFill="1" applyBorder="1" applyAlignment="1">
      <alignment horizontal="center"/>
    </xf>
    <xf numFmtId="0" fontId="110" fillId="17" borderId="320" xfId="0" applyFont="1" applyFill="1" applyBorder="1" applyAlignment="1">
      <alignment horizontal="center"/>
    </xf>
    <xf numFmtId="0" fontId="110" fillId="17" borderId="219" xfId="0" applyFont="1" applyFill="1" applyBorder="1" applyAlignment="1">
      <alignment horizontal="center"/>
    </xf>
    <xf numFmtId="0" fontId="110" fillId="17" borderId="125" xfId="0" applyFont="1" applyFill="1" applyBorder="1" applyAlignment="1">
      <alignment horizontal="center"/>
    </xf>
    <xf numFmtId="0" fontId="110" fillId="17" borderId="97" xfId="0" applyFont="1" applyFill="1" applyBorder="1" applyAlignment="1">
      <alignment horizontal="center"/>
    </xf>
    <xf numFmtId="37" fontId="110" fillId="17" borderId="354" xfId="0" applyNumberFormat="1" applyFont="1" applyFill="1" applyBorder="1" applyProtection="1">
      <protection locked="0"/>
    </xf>
    <xf numFmtId="37" fontId="110" fillId="17" borderId="355" xfId="0" applyNumberFormat="1" applyFont="1" applyFill="1" applyBorder="1" applyProtection="1">
      <protection locked="0"/>
    </xf>
    <xf numFmtId="37" fontId="110" fillId="17" borderId="125" xfId="0" applyNumberFormat="1" applyFont="1" applyFill="1" applyBorder="1" applyProtection="1">
      <protection locked="0"/>
    </xf>
    <xf numFmtId="37" fontId="110" fillId="17" borderId="97" xfId="0" applyNumberFormat="1" applyFont="1" applyFill="1" applyBorder="1" applyProtection="1">
      <protection locked="0"/>
    </xf>
    <xf numFmtId="37" fontId="110" fillId="17" borderId="354" xfId="0" applyNumberFormat="1" applyFont="1" applyFill="1" applyBorder="1"/>
    <xf numFmtId="37" fontId="110" fillId="17" borderId="355" xfId="0" applyNumberFormat="1" applyFont="1" applyFill="1" applyBorder="1"/>
    <xf numFmtId="37" fontId="110" fillId="17" borderId="356" xfId="0" applyNumberFormat="1" applyFont="1" applyFill="1" applyBorder="1"/>
    <xf numFmtId="37" fontId="110" fillId="17" borderId="357" xfId="0" applyNumberFormat="1" applyFont="1" applyFill="1" applyBorder="1"/>
    <xf numFmtId="37" fontId="110" fillId="17" borderId="358" xfId="0" applyNumberFormat="1" applyFont="1" applyFill="1" applyBorder="1"/>
    <xf numFmtId="37" fontId="110" fillId="17" borderId="359" xfId="0" applyNumberFormat="1" applyFont="1" applyFill="1" applyBorder="1"/>
    <xf numFmtId="167" fontId="110" fillId="17" borderId="358" xfId="0" applyNumberFormat="1" applyFont="1" applyFill="1" applyBorder="1"/>
    <xf numFmtId="167" fontId="110" fillId="17" borderId="359" xfId="0" applyNumberFormat="1" applyFont="1" applyFill="1" applyBorder="1"/>
    <xf numFmtId="0" fontId="110" fillId="17" borderId="125" xfId="0" applyFont="1" applyFill="1" applyBorder="1"/>
    <xf numFmtId="174" fontId="110" fillId="17" borderId="360" xfId="0" applyNumberFormat="1" applyFont="1" applyFill="1" applyBorder="1"/>
    <xf numFmtId="174" fontId="110" fillId="17" borderId="361" xfId="0" applyNumberFormat="1" applyFont="1" applyFill="1" applyBorder="1"/>
    <xf numFmtId="174" fontId="110" fillId="17" borderId="125" xfId="0" applyNumberFormat="1" applyFont="1" applyFill="1" applyBorder="1"/>
    <xf numFmtId="174" fontId="110" fillId="17" borderId="97" xfId="0" applyNumberFormat="1" applyFont="1" applyFill="1" applyBorder="1"/>
    <xf numFmtId="174" fontId="110" fillId="17" borderId="362" xfId="0" applyNumberFormat="1" applyFont="1" applyFill="1" applyBorder="1"/>
    <xf numFmtId="174" fontId="110" fillId="17" borderId="363" xfId="0" applyNumberFormat="1" applyFont="1" applyFill="1" applyBorder="1"/>
    <xf numFmtId="37" fontId="110" fillId="17" borderId="125" xfId="0" applyNumberFormat="1" applyFont="1" applyFill="1" applyBorder="1"/>
    <xf numFmtId="37" fontId="110" fillId="17" borderId="97" xfId="0" applyNumberFormat="1" applyFont="1" applyFill="1" applyBorder="1"/>
    <xf numFmtId="37" fontId="110" fillId="17" borderId="362" xfId="0" applyNumberFormat="1" applyFont="1" applyFill="1" applyBorder="1"/>
    <xf numFmtId="37" fontId="110" fillId="17" borderId="363" xfId="0" applyNumberFormat="1" applyFont="1" applyFill="1" applyBorder="1"/>
    <xf numFmtId="170" fontId="110" fillId="17" borderId="125" xfId="0" applyNumberFormat="1" applyFont="1" applyFill="1" applyBorder="1"/>
    <xf numFmtId="170" fontId="110" fillId="17" borderId="97" xfId="0" applyNumberFormat="1" applyFont="1" applyFill="1" applyBorder="1"/>
    <xf numFmtId="37" fontId="110" fillId="17" borderId="364" xfId="0" applyNumberFormat="1" applyFont="1" applyFill="1" applyBorder="1"/>
    <xf numFmtId="0" fontId="110" fillId="25" borderId="222" xfId="0" applyFont="1" applyFill="1" applyBorder="1"/>
    <xf numFmtId="0" fontId="110" fillId="25" borderId="223" xfId="0" applyFont="1" applyFill="1" applyBorder="1" applyAlignment="1">
      <alignment horizontal="right"/>
    </xf>
    <xf numFmtId="0" fontId="112" fillId="25" borderId="102" xfId="0" applyFont="1" applyFill="1" applyBorder="1"/>
    <xf numFmtId="0" fontId="30" fillId="25" borderId="102" xfId="0" applyFont="1" applyFill="1" applyBorder="1" applyAlignment="1">
      <alignment horizontal="center"/>
    </xf>
    <xf numFmtId="0" fontId="73" fillId="25" borderId="365" xfId="0" quotePrefix="1" applyFont="1" applyFill="1" applyBorder="1" applyAlignment="1">
      <alignment horizontal="center"/>
    </xf>
    <xf numFmtId="0" fontId="73" fillId="25" borderId="366" xfId="0" quotePrefix="1" applyFont="1" applyFill="1" applyBorder="1" applyAlignment="1">
      <alignment horizontal="center"/>
    </xf>
    <xf numFmtId="0" fontId="110" fillId="25" borderId="320" xfId="0" applyFont="1" applyFill="1" applyBorder="1" applyAlignment="1">
      <alignment horizontal="center"/>
    </xf>
    <xf numFmtId="0" fontId="110" fillId="25" borderId="219" xfId="0" applyFont="1" applyFill="1" applyBorder="1" applyAlignment="1">
      <alignment horizontal="center"/>
    </xf>
    <xf numFmtId="0" fontId="110" fillId="25" borderId="125" xfId="0" applyFont="1" applyFill="1" applyBorder="1" applyAlignment="1">
      <alignment horizontal="center"/>
    </xf>
    <xf numFmtId="0" fontId="110" fillId="25" borderId="97" xfId="0" applyFont="1" applyFill="1" applyBorder="1" applyAlignment="1">
      <alignment horizontal="center"/>
    </xf>
    <xf numFmtId="37" fontId="110" fillId="25" borderId="367" xfId="0" applyNumberFormat="1" applyFont="1" applyFill="1" applyBorder="1" applyProtection="1">
      <protection locked="0"/>
    </xf>
    <xf numFmtId="37" fontId="110" fillId="25" borderId="368" xfId="0" applyNumberFormat="1" applyFont="1" applyFill="1" applyBorder="1" applyProtection="1">
      <protection locked="0"/>
    </xf>
    <xf numFmtId="37" fontId="110" fillId="25" borderId="125" xfId="0" applyNumberFormat="1" applyFont="1" applyFill="1" applyBorder="1" applyProtection="1">
      <protection locked="0"/>
    </xf>
    <xf numFmtId="37" fontId="110" fillId="25" borderId="97" xfId="0" applyNumberFormat="1" applyFont="1" applyFill="1" applyBorder="1" applyProtection="1">
      <protection locked="0"/>
    </xf>
    <xf numFmtId="37" fontId="110" fillId="25" borderId="367" xfId="0" applyNumberFormat="1" applyFont="1" applyFill="1" applyBorder="1"/>
    <xf numFmtId="37" fontId="110" fillId="25" borderId="368" xfId="0" applyNumberFormat="1" applyFont="1" applyFill="1" applyBorder="1"/>
    <xf numFmtId="37" fontId="97" fillId="25" borderId="367" xfId="0" applyNumberFormat="1" applyFont="1" applyFill="1" applyBorder="1"/>
    <xf numFmtId="37" fontId="110" fillId="25" borderId="369" xfId="0" applyNumberFormat="1" applyFont="1" applyFill="1" applyBorder="1"/>
    <xf numFmtId="37" fontId="110" fillId="25" borderId="370" xfId="0" applyNumberFormat="1" applyFont="1" applyFill="1" applyBorder="1"/>
    <xf numFmtId="37" fontId="110" fillId="25" borderId="371" xfId="0" applyNumberFormat="1" applyFont="1" applyFill="1" applyBorder="1"/>
    <xf numFmtId="37" fontId="110" fillId="25" borderId="372" xfId="0" applyNumberFormat="1" applyFont="1" applyFill="1" applyBorder="1"/>
    <xf numFmtId="167" fontId="110" fillId="25" borderId="371" xfId="0" applyNumberFormat="1" applyFont="1" applyFill="1" applyBorder="1"/>
    <xf numFmtId="167" fontId="110" fillId="25" borderId="372" xfId="0" applyNumberFormat="1" applyFont="1" applyFill="1" applyBorder="1"/>
    <xf numFmtId="0" fontId="110" fillId="25" borderId="125" xfId="0" applyFont="1" applyFill="1" applyBorder="1"/>
    <xf numFmtId="37" fontId="97" fillId="25" borderId="371" xfId="0" applyNumberFormat="1" applyFont="1" applyFill="1" applyBorder="1"/>
    <xf numFmtId="174" fontId="110" fillId="25" borderId="373" xfId="0" applyNumberFormat="1" applyFont="1" applyFill="1" applyBorder="1"/>
    <xf numFmtId="174" fontId="110" fillId="25" borderId="374" xfId="0" applyNumberFormat="1" applyFont="1" applyFill="1" applyBorder="1"/>
    <xf numFmtId="174" fontId="110" fillId="25" borderId="125" xfId="0" applyNumberFormat="1" applyFont="1" applyFill="1" applyBorder="1"/>
    <xf numFmtId="174" fontId="110" fillId="25" borderId="97" xfId="0" applyNumberFormat="1" applyFont="1" applyFill="1" applyBorder="1"/>
    <xf numFmtId="174" fontId="110" fillId="25" borderId="375" xfId="0" applyNumberFormat="1" applyFont="1" applyFill="1" applyBorder="1"/>
    <xf numFmtId="174" fontId="110" fillId="25" borderId="376" xfId="0" applyNumberFormat="1" applyFont="1" applyFill="1" applyBorder="1"/>
    <xf numFmtId="37" fontId="110" fillId="25" borderId="125" xfId="0" applyNumberFormat="1" applyFont="1" applyFill="1" applyBorder="1"/>
    <xf numFmtId="37" fontId="110" fillId="25" borderId="97" xfId="0" applyNumberFormat="1" applyFont="1" applyFill="1" applyBorder="1"/>
    <xf numFmtId="37" fontId="110" fillId="25" borderId="375" xfId="0" applyNumberFormat="1" applyFont="1" applyFill="1" applyBorder="1"/>
    <xf numFmtId="37" fontId="110" fillId="25" borderId="376" xfId="0" applyNumberFormat="1" applyFont="1" applyFill="1" applyBorder="1"/>
    <xf numFmtId="170" fontId="110" fillId="25" borderId="125" xfId="0" applyNumberFormat="1" applyFont="1" applyFill="1" applyBorder="1"/>
    <xf numFmtId="170" fontId="110" fillId="25" borderId="97" xfId="0" applyNumberFormat="1" applyFont="1" applyFill="1" applyBorder="1"/>
    <xf numFmtId="37" fontId="110" fillId="25" borderId="377" xfId="0" applyNumberFormat="1" applyFont="1" applyFill="1" applyBorder="1"/>
    <xf numFmtId="0" fontId="110" fillId="28" borderId="222" xfId="0" applyFont="1" applyFill="1" applyBorder="1"/>
    <xf numFmtId="0" fontId="110" fillId="28" borderId="223" xfId="0" applyFont="1" applyFill="1" applyBorder="1" applyAlignment="1">
      <alignment horizontal="right"/>
    </xf>
    <xf numFmtId="0" fontId="110" fillId="28" borderId="102" xfId="0" applyFont="1" applyFill="1" applyBorder="1"/>
    <xf numFmtId="0" fontId="112" fillId="28" borderId="102" xfId="0" applyFont="1" applyFill="1" applyBorder="1"/>
    <xf numFmtId="0" fontId="91" fillId="28" borderId="378" xfId="0" applyFont="1" applyFill="1" applyBorder="1" applyAlignment="1">
      <alignment horizontal="center"/>
    </xf>
    <xf numFmtId="0" fontId="73" fillId="28" borderId="378" xfId="0" quotePrefix="1" applyFont="1" applyFill="1" applyBorder="1" applyAlignment="1">
      <alignment horizontal="center"/>
    </xf>
    <xf numFmtId="0" fontId="73" fillId="28" borderId="379" xfId="0" quotePrefix="1" applyFont="1" applyFill="1" applyBorder="1" applyAlignment="1">
      <alignment horizontal="center"/>
    </xf>
    <xf numFmtId="0" fontId="110" fillId="28" borderId="320" xfId="0" applyFont="1" applyFill="1" applyBorder="1" applyAlignment="1">
      <alignment horizontal="center"/>
    </xf>
    <xf numFmtId="0" fontId="110" fillId="28" borderId="125" xfId="0" applyFont="1" applyFill="1" applyBorder="1" applyAlignment="1">
      <alignment horizontal="center"/>
    </xf>
    <xf numFmtId="37" fontId="110" fillId="28" borderId="380" xfId="0" applyNumberFormat="1" applyFont="1" applyFill="1" applyBorder="1" applyProtection="1">
      <protection locked="0"/>
    </xf>
    <xf numFmtId="37" fontId="110" fillId="28" borderId="381" xfId="0" applyNumberFormat="1" applyFont="1" applyFill="1" applyBorder="1" applyProtection="1">
      <protection locked="0"/>
    </xf>
    <xf numFmtId="37" fontId="110" fillId="28" borderId="125" xfId="0" applyNumberFormat="1" applyFont="1" applyFill="1" applyBorder="1" applyProtection="1">
      <protection locked="0"/>
    </xf>
    <xf numFmtId="37" fontId="110" fillId="28" borderId="380" xfId="0" applyNumberFormat="1" applyFont="1" applyFill="1" applyBorder="1"/>
    <xf numFmtId="37" fontId="110" fillId="28" borderId="381" xfId="0" applyNumberFormat="1" applyFont="1" applyFill="1" applyBorder="1"/>
    <xf numFmtId="37" fontId="97" fillId="28" borderId="380" xfId="0" applyNumberFormat="1" applyFont="1" applyFill="1" applyBorder="1"/>
    <xf numFmtId="37" fontId="110" fillId="28" borderId="382" xfId="0" applyNumberFormat="1" applyFont="1" applyFill="1" applyBorder="1"/>
    <xf numFmtId="37" fontId="110" fillId="28" borderId="383" xfId="0" applyNumberFormat="1" applyFont="1" applyFill="1" applyBorder="1"/>
    <xf numFmtId="37" fontId="110" fillId="28" borderId="384" xfId="0" applyNumberFormat="1" applyFont="1" applyFill="1" applyBorder="1"/>
    <xf numFmtId="37" fontId="110" fillId="28" borderId="385" xfId="0" applyNumberFormat="1" applyFont="1" applyFill="1" applyBorder="1"/>
    <xf numFmtId="167" fontId="110" fillId="28" borderId="384" xfId="0" applyNumberFormat="1" applyFont="1" applyFill="1" applyBorder="1"/>
    <xf numFmtId="167" fontId="110" fillId="28" borderId="385" xfId="0" applyNumberFormat="1" applyFont="1" applyFill="1" applyBorder="1"/>
    <xf numFmtId="0" fontId="110" fillId="28" borderId="125" xfId="0" applyFont="1" applyFill="1" applyBorder="1"/>
    <xf numFmtId="37" fontId="97" fillId="28" borderId="384" xfId="0" applyNumberFormat="1" applyFont="1" applyFill="1" applyBorder="1"/>
    <xf numFmtId="174" fontId="110" fillId="28" borderId="386" xfId="0" applyNumberFormat="1" applyFont="1" applyFill="1" applyBorder="1"/>
    <xf numFmtId="174" fontId="110" fillId="28" borderId="387" xfId="0" applyNumberFormat="1" applyFont="1" applyFill="1" applyBorder="1"/>
    <xf numFmtId="174" fontId="110" fillId="28" borderId="125" xfId="0" applyNumberFormat="1" applyFont="1" applyFill="1" applyBorder="1"/>
    <xf numFmtId="174" fontId="110" fillId="28" borderId="388" xfId="0" applyNumberFormat="1" applyFont="1" applyFill="1" applyBorder="1"/>
    <xf numFmtId="174" fontId="110" fillId="28" borderId="389" xfId="0" applyNumberFormat="1" applyFont="1" applyFill="1" applyBorder="1"/>
    <xf numFmtId="37" fontId="110" fillId="28" borderId="125" xfId="0" applyNumberFormat="1" applyFont="1" applyFill="1" applyBorder="1"/>
    <xf numFmtId="37" fontId="110" fillId="28" borderId="388" xfId="0" applyNumberFormat="1" applyFont="1" applyFill="1" applyBorder="1"/>
    <xf numFmtId="37" fontId="110" fillId="28" borderId="389" xfId="0" applyNumberFormat="1" applyFont="1" applyFill="1" applyBorder="1"/>
    <xf numFmtId="170" fontId="110" fillId="28" borderId="125" xfId="0" applyNumberFormat="1" applyFont="1" applyFill="1" applyBorder="1"/>
    <xf numFmtId="37" fontId="110" fillId="28" borderId="390" xfId="0" applyNumberFormat="1" applyFont="1" applyFill="1" applyBorder="1"/>
    <xf numFmtId="37" fontId="110" fillId="28" borderId="391" xfId="0" applyNumberFormat="1" applyFont="1" applyFill="1" applyBorder="1"/>
    <xf numFmtId="0" fontId="110" fillId="36" borderId="222" xfId="0" applyFont="1" applyFill="1" applyBorder="1"/>
    <xf numFmtId="0" fontId="110" fillId="36" borderId="223" xfId="0" applyFont="1" applyFill="1" applyBorder="1" applyAlignment="1">
      <alignment horizontal="right"/>
    </xf>
    <xf numFmtId="0" fontId="110" fillId="36" borderId="102" xfId="0" applyFont="1" applyFill="1" applyBorder="1"/>
    <xf numFmtId="0" fontId="112" fillId="36" borderId="102" xfId="0" applyFont="1" applyFill="1" applyBorder="1"/>
    <xf numFmtId="0" fontId="91" fillId="36" borderId="392" xfId="0" applyFont="1" applyFill="1" applyBorder="1" applyAlignment="1">
      <alignment horizontal="center"/>
    </xf>
    <xf numFmtId="0" fontId="73" fillId="36" borderId="393" xfId="0" quotePrefix="1" applyFont="1" applyFill="1" applyBorder="1" applyAlignment="1">
      <alignment horizontal="center"/>
    </xf>
    <xf numFmtId="0" fontId="73" fillId="36" borderId="394" xfId="0" quotePrefix="1" applyFont="1" applyFill="1" applyBorder="1" applyAlignment="1">
      <alignment horizontal="center"/>
    </xf>
    <xf numFmtId="0" fontId="110" fillId="36" borderId="320" xfId="0" applyFont="1" applyFill="1" applyBorder="1" applyAlignment="1">
      <alignment horizontal="center"/>
    </xf>
    <xf numFmtId="0" fontId="110" fillId="36" borderId="125" xfId="0" applyFont="1" applyFill="1" applyBorder="1" applyAlignment="1">
      <alignment horizontal="center"/>
    </xf>
    <xf numFmtId="37" fontId="110" fillId="36" borderId="395" xfId="0" applyNumberFormat="1" applyFont="1" applyFill="1" applyBorder="1" applyProtection="1">
      <protection locked="0"/>
    </xf>
    <xf numFmtId="37" fontId="110" fillId="36" borderId="396" xfId="0" applyNumberFormat="1" applyFont="1" applyFill="1" applyBorder="1" applyProtection="1">
      <protection locked="0"/>
    </xf>
    <xf numFmtId="37" fontId="110" fillId="36" borderId="125" xfId="0" applyNumberFormat="1" applyFont="1" applyFill="1" applyBorder="1" applyProtection="1">
      <protection locked="0"/>
    </xf>
    <xf numFmtId="37" fontId="110" fillId="36" borderId="395" xfId="0" applyNumberFormat="1" applyFont="1" applyFill="1" applyBorder="1"/>
    <xf numFmtId="37" fontId="110" fillId="36" borderId="396" xfId="0" applyNumberFormat="1" applyFont="1" applyFill="1" applyBorder="1"/>
    <xf numFmtId="37" fontId="97" fillId="36" borderId="395" xfId="0" applyNumberFormat="1" applyFont="1" applyFill="1" applyBorder="1"/>
    <xf numFmtId="37" fontId="110" fillId="36" borderId="397" xfId="0" applyNumberFormat="1" applyFont="1" applyFill="1" applyBorder="1"/>
    <xf numFmtId="37" fontId="110" fillId="36" borderId="398" xfId="0" applyNumberFormat="1" applyFont="1" applyFill="1" applyBorder="1"/>
    <xf numFmtId="37" fontId="110" fillId="36" borderId="399" xfId="0" applyNumberFormat="1" applyFont="1" applyFill="1" applyBorder="1"/>
    <xf numFmtId="37" fontId="110" fillId="36" borderId="400" xfId="0" applyNumberFormat="1" applyFont="1" applyFill="1" applyBorder="1"/>
    <xf numFmtId="167" fontId="110" fillId="36" borderId="399" xfId="0" applyNumberFormat="1" applyFont="1" applyFill="1" applyBorder="1"/>
    <xf numFmtId="167" fontId="110" fillId="36" borderId="400" xfId="0" applyNumberFormat="1" applyFont="1" applyFill="1" applyBorder="1"/>
    <xf numFmtId="0" fontId="110" fillId="36" borderId="125" xfId="0" applyFont="1" applyFill="1" applyBorder="1"/>
    <xf numFmtId="37" fontId="110" fillId="36" borderId="399" xfId="0" applyNumberFormat="1" applyFont="1" applyFill="1" applyBorder="1" applyProtection="1">
      <protection locked="0"/>
    </xf>
    <xf numFmtId="174" fontId="110" fillId="36" borderId="401" xfId="0" applyNumberFormat="1" applyFont="1" applyFill="1" applyBorder="1"/>
    <xf numFmtId="174" fontId="110" fillId="36" borderId="402" xfId="0" applyNumberFormat="1" applyFont="1" applyFill="1" applyBorder="1"/>
    <xf numFmtId="174" fontId="110" fillId="36" borderId="125" xfId="0" applyNumberFormat="1" applyFont="1" applyFill="1" applyBorder="1"/>
    <xf numFmtId="174" fontId="110" fillId="36" borderId="403" xfId="0" applyNumberFormat="1" applyFont="1" applyFill="1" applyBorder="1"/>
    <xf numFmtId="174" fontId="110" fillId="36" borderId="404" xfId="0" applyNumberFormat="1" applyFont="1" applyFill="1" applyBorder="1"/>
    <xf numFmtId="37" fontId="110" fillId="36" borderId="125" xfId="0" applyNumberFormat="1" applyFont="1" applyFill="1" applyBorder="1"/>
    <xf numFmtId="37" fontId="110" fillId="36" borderId="403" xfId="0" applyNumberFormat="1" applyFont="1" applyFill="1" applyBorder="1"/>
    <xf numFmtId="37" fontId="110" fillId="36" borderId="404" xfId="0" applyNumberFormat="1" applyFont="1" applyFill="1" applyBorder="1"/>
    <xf numFmtId="170" fontId="110" fillId="36" borderId="125" xfId="0" applyNumberFormat="1" applyFont="1" applyFill="1" applyBorder="1"/>
    <xf numFmtId="37" fontId="110" fillId="36" borderId="405" xfId="0" applyNumberFormat="1" applyFont="1" applyFill="1" applyBorder="1"/>
    <xf numFmtId="37" fontId="110" fillId="36" borderId="406" xfId="0" applyNumberFormat="1" applyFont="1" applyFill="1" applyBorder="1"/>
    <xf numFmtId="0" fontId="9" fillId="26" borderId="407" xfId="0" quotePrefix="1" applyFont="1" applyFill="1" applyBorder="1" applyAlignment="1">
      <alignment horizontal="center"/>
    </xf>
    <xf numFmtId="0" fontId="88" fillId="34" borderId="144" xfId="0" applyFont="1" applyFill="1" applyBorder="1" applyAlignment="1">
      <alignment horizontal="center"/>
    </xf>
    <xf numFmtId="0" fontId="88" fillId="34" borderId="194" xfId="0" applyFont="1" applyFill="1" applyBorder="1" applyAlignment="1">
      <alignment horizontal="center"/>
    </xf>
    <xf numFmtId="0" fontId="88" fillId="34" borderId="408" xfId="0" applyFont="1" applyFill="1" applyBorder="1" applyAlignment="1">
      <alignment horizontal="center"/>
    </xf>
    <xf numFmtId="174" fontId="88" fillId="34" borderId="409" xfId="0" applyNumberFormat="1" applyFont="1" applyFill="1" applyBorder="1"/>
    <xf numFmtId="37" fontId="88" fillId="34" borderId="409" xfId="0" applyNumberFormat="1" applyFont="1" applyFill="1" applyBorder="1"/>
    <xf numFmtId="177" fontId="88" fillId="34" borderId="409" xfId="0" applyNumberFormat="1" applyFont="1" applyFill="1" applyBorder="1"/>
    <xf numFmtId="37" fontId="88" fillId="34" borderId="310" xfId="0" applyNumberFormat="1" applyFont="1" applyFill="1" applyBorder="1"/>
    <xf numFmtId="37" fontId="88" fillId="34" borderId="410" xfId="0" applyNumberFormat="1" applyFont="1" applyFill="1" applyBorder="1"/>
    <xf numFmtId="0" fontId="9" fillId="26" borderId="411" xfId="0" quotePrefix="1" applyFont="1" applyFill="1" applyBorder="1" applyAlignment="1">
      <alignment horizontal="center"/>
    </xf>
    <xf numFmtId="0" fontId="26" fillId="34" borderId="147" xfId="0" applyFont="1" applyFill="1" applyBorder="1" applyAlignment="1">
      <alignment horizontal="center"/>
    </xf>
    <xf numFmtId="0" fontId="88" fillId="34" borderId="412" xfId="0" applyFont="1" applyFill="1" applyBorder="1" applyAlignment="1">
      <alignment horizontal="center"/>
    </xf>
    <xf numFmtId="174" fontId="88" fillId="34" borderId="413" xfId="0" applyNumberFormat="1" applyFont="1" applyFill="1" applyBorder="1"/>
    <xf numFmtId="37" fontId="88" fillId="34" borderId="413" xfId="0" applyNumberFormat="1" applyFont="1" applyFill="1" applyBorder="1"/>
    <xf numFmtId="177" fontId="88" fillId="34" borderId="413" xfId="0" applyNumberFormat="1" applyFont="1" applyFill="1" applyBorder="1"/>
    <xf numFmtId="37" fontId="88" fillId="34" borderId="411" xfId="0" applyNumberFormat="1" applyFont="1" applyFill="1" applyBorder="1"/>
    <xf numFmtId="37" fontId="88" fillId="34" borderId="414" xfId="0" applyNumberFormat="1" applyFont="1" applyFill="1" applyBorder="1"/>
    <xf numFmtId="0" fontId="125" fillId="26" borderId="415" xfId="0" quotePrefix="1" applyFont="1" applyFill="1" applyBorder="1" applyAlignment="1">
      <alignment horizontal="center"/>
    </xf>
    <xf numFmtId="0" fontId="26" fillId="37" borderId="265" xfId="0" applyFont="1" applyFill="1" applyBorder="1" applyAlignment="1">
      <alignment horizontal="center"/>
    </xf>
    <xf numFmtId="0" fontId="88" fillId="37" borderId="416" xfId="0" applyFont="1" applyFill="1" applyBorder="1" applyAlignment="1">
      <alignment horizontal="center"/>
    </xf>
    <xf numFmtId="174" fontId="88" fillId="37" borderId="417" xfId="0" applyNumberFormat="1" applyFont="1" applyFill="1" applyBorder="1"/>
    <xf numFmtId="37" fontId="88" fillId="37" borderId="417" xfId="0" applyNumberFormat="1" applyFont="1" applyFill="1" applyBorder="1"/>
    <xf numFmtId="177" fontId="88" fillId="37" borderId="417" xfId="0" applyNumberFormat="1" applyFont="1" applyFill="1" applyBorder="1"/>
    <xf numFmtId="37" fontId="88" fillId="37" borderId="415" xfId="0" applyNumberFormat="1" applyFont="1" applyFill="1" applyBorder="1"/>
    <xf numFmtId="37" fontId="88" fillId="37" borderId="418" xfId="0" applyNumberFormat="1" applyFont="1" applyFill="1" applyBorder="1"/>
    <xf numFmtId="0" fontId="88" fillId="37" borderId="254" xfId="0" applyFont="1" applyFill="1" applyBorder="1"/>
    <xf numFmtId="0" fontId="88" fillId="37" borderId="176" xfId="0" applyFont="1" applyFill="1" applyBorder="1"/>
    <xf numFmtId="0" fontId="125" fillId="26" borderId="419" xfId="0" quotePrefix="1" applyFont="1" applyFill="1" applyBorder="1" applyAlignment="1">
      <alignment horizontal="center"/>
    </xf>
    <xf numFmtId="0" fontId="88" fillId="37" borderId="412" xfId="0" applyFont="1" applyFill="1" applyBorder="1" applyAlignment="1">
      <alignment horizontal="center"/>
    </xf>
    <xf numFmtId="174" fontId="88" fillId="37" borderId="413" xfId="0" applyNumberFormat="1" applyFont="1" applyFill="1" applyBorder="1"/>
    <xf numFmtId="37" fontId="88" fillId="37" borderId="413" xfId="0" applyNumberFormat="1" applyFont="1" applyFill="1" applyBorder="1"/>
    <xf numFmtId="177" fontId="88" fillId="37" borderId="413" xfId="0" applyNumberFormat="1" applyFont="1" applyFill="1" applyBorder="1"/>
    <xf numFmtId="177" fontId="88" fillId="37" borderId="176" xfId="0" applyNumberFormat="1" applyFont="1" applyFill="1" applyBorder="1"/>
    <xf numFmtId="37" fontId="88" fillId="37" borderId="419" xfId="0" applyNumberFormat="1" applyFont="1" applyFill="1" applyBorder="1"/>
    <xf numFmtId="37" fontId="88" fillId="37" borderId="414" xfId="0" applyNumberFormat="1" applyFont="1" applyFill="1" applyBorder="1"/>
    <xf numFmtId="0" fontId="0" fillId="58" borderId="419" xfId="0" applyFill="1" applyBorder="1"/>
    <xf numFmtId="0" fontId="4" fillId="26" borderId="421" xfId="0" applyFont="1" applyFill="1" applyBorder="1"/>
    <xf numFmtId="0" fontId="15" fillId="27" borderId="142" xfId="0" applyFont="1" applyFill="1" applyBorder="1"/>
    <xf numFmtId="0" fontId="15" fillId="27" borderId="158" xfId="0" applyFont="1" applyFill="1" applyBorder="1"/>
    <xf numFmtId="0" fontId="15" fillId="27" borderId="188" xfId="0" applyFont="1" applyFill="1" applyBorder="1"/>
    <xf numFmtId="0" fontId="92" fillId="27" borderId="193" xfId="0" applyFont="1" applyFill="1" applyBorder="1"/>
    <xf numFmtId="0" fontId="15" fillId="4" borderId="144" xfId="0" applyFont="1" applyFill="1" applyBorder="1"/>
    <xf numFmtId="0" fontId="160" fillId="26" borderId="420" xfId="0" applyFont="1" applyFill="1" applyBorder="1"/>
    <xf numFmtId="0" fontId="0" fillId="26" borderId="421" xfId="0" applyFill="1" applyBorder="1"/>
    <xf numFmtId="0" fontId="0" fillId="26" borderId="422" xfId="0" applyFill="1" applyBorder="1"/>
    <xf numFmtId="0" fontId="182" fillId="25" borderId="419" xfId="0" applyFont="1" applyFill="1" applyBorder="1" applyAlignment="1">
      <alignment horizontal="center"/>
    </xf>
    <xf numFmtId="0" fontId="182" fillId="25" borderId="422" xfId="0" applyFont="1" applyFill="1" applyBorder="1" applyAlignment="1">
      <alignment horizontal="center"/>
    </xf>
    <xf numFmtId="0" fontId="4" fillId="25" borderId="419" xfId="0" applyFont="1" applyFill="1" applyBorder="1" applyAlignment="1">
      <alignment horizontal="center"/>
    </xf>
    <xf numFmtId="6" fontId="0" fillId="2" borderId="419" xfId="0" applyNumberFormat="1" applyBorder="1"/>
    <xf numFmtId="0" fontId="186" fillId="36" borderId="419" xfId="0" applyFont="1" applyFill="1" applyBorder="1"/>
    <xf numFmtId="0" fontId="186" fillId="26" borderId="423" xfId="0" applyFont="1" applyFill="1" applyBorder="1"/>
    <xf numFmtId="0" fontId="0" fillId="26" borderId="423" xfId="0" applyFill="1" applyBorder="1"/>
    <xf numFmtId="0" fontId="186" fillId="26" borderId="217" xfId="0" applyFont="1" applyFill="1" applyBorder="1"/>
    <xf numFmtId="0" fontId="4" fillId="26" borderId="419" xfId="0" applyFont="1" applyFill="1" applyBorder="1" applyAlignment="1">
      <alignment horizontal="center"/>
    </xf>
    <xf numFmtId="49" fontId="4" fillId="2" borderId="0" xfId="0" applyNumberFormat="1" applyFont="1" applyAlignment="1">
      <alignment horizontal="right"/>
    </xf>
    <xf numFmtId="38" fontId="4" fillId="2" borderId="419" xfId="0" applyNumberFormat="1" applyFont="1" applyBorder="1"/>
    <xf numFmtId="175" fontId="4" fillId="2" borderId="423" xfId="0" applyNumberFormat="1" applyFont="1" applyBorder="1"/>
    <xf numFmtId="49" fontId="4" fillId="2" borderId="420" xfId="0" applyNumberFormat="1" applyFont="1" applyBorder="1" applyAlignment="1">
      <alignment horizontal="right"/>
    </xf>
    <xf numFmtId="0" fontId="4" fillId="2" borderId="421" xfId="0" applyFont="1" applyBorder="1"/>
    <xf numFmtId="175" fontId="4" fillId="2" borderId="419" xfId="0" applyNumberFormat="1" applyFont="1" applyBorder="1"/>
    <xf numFmtId="49" fontId="4" fillId="26" borderId="420" xfId="0" applyNumberFormat="1" applyFont="1" applyFill="1" applyBorder="1" applyAlignment="1">
      <alignment horizontal="right"/>
    </xf>
    <xf numFmtId="0" fontId="4" fillId="26" borderId="422" xfId="0" applyFont="1" applyFill="1" applyBorder="1"/>
    <xf numFmtId="38" fontId="4" fillId="26" borderId="419" xfId="0" applyNumberFormat="1" applyFont="1" applyFill="1" applyBorder="1"/>
    <xf numFmtId="38" fontId="4" fillId="25" borderId="419" xfId="0" applyNumberFormat="1" applyFont="1" applyFill="1" applyBorder="1"/>
    <xf numFmtId="0" fontId="49" fillId="12" borderId="422" xfId="0" applyFont="1" applyFill="1" applyBorder="1"/>
    <xf numFmtId="0" fontId="30" fillId="26" borderId="424" xfId="0" applyFont="1" applyFill="1" applyBorder="1" applyAlignment="1">
      <alignment horizontal="center"/>
    </xf>
    <xf numFmtId="174" fontId="161" fillId="27" borderId="181" xfId="0" applyNumberFormat="1" applyFont="1" applyFill="1" applyBorder="1" applyAlignment="1">
      <alignment horizontal="right"/>
    </xf>
    <xf numFmtId="174" fontId="161" fillId="26" borderId="181" xfId="0" applyNumberFormat="1" applyFont="1" applyFill="1" applyBorder="1"/>
    <xf numFmtId="174" fontId="139" fillId="27" borderId="181" xfId="0" applyNumberFormat="1" applyFont="1" applyFill="1" applyBorder="1" applyAlignment="1">
      <alignment horizontal="right"/>
    </xf>
    <xf numFmtId="174" fontId="171" fillId="27" borderId="241" xfId="0" applyNumberFormat="1" applyFont="1" applyFill="1" applyBorder="1"/>
    <xf numFmtId="174" fontId="171" fillId="27" borderId="0" xfId="0" applyNumberFormat="1" applyFont="1" applyFill="1"/>
    <xf numFmtId="186" fontId="139" fillId="27" borderId="181" xfId="0" applyNumberFormat="1" applyFont="1" applyFill="1" applyBorder="1"/>
    <xf numFmtId="0" fontId="35" fillId="4" borderId="0" xfId="0" applyFont="1" applyFill="1" applyAlignment="1">
      <alignment horizontal="right"/>
    </xf>
    <xf numFmtId="174" fontId="30" fillId="4" borderId="0" xfId="0" applyNumberFormat="1" applyFont="1" applyFill="1"/>
    <xf numFmtId="38" fontId="128" fillId="42" borderId="176" xfId="0" applyNumberFormat="1" applyFont="1" applyFill="1" applyBorder="1"/>
    <xf numFmtId="38" fontId="160" fillId="2" borderId="217" xfId="0" applyNumberFormat="1" applyFont="1" applyBorder="1"/>
    <xf numFmtId="6" fontId="15" fillId="2" borderId="419" xfId="0" applyNumberFormat="1" applyFont="1" applyBorder="1"/>
    <xf numFmtId="38" fontId="4" fillId="9" borderId="425" xfId="0" applyNumberFormat="1" applyFont="1" applyFill="1" applyBorder="1"/>
    <xf numFmtId="37" fontId="4" fillId="30" borderId="426" xfId="0" applyNumberFormat="1" applyFont="1" applyFill="1" applyBorder="1"/>
    <xf numFmtId="174" fontId="4" fillId="30" borderId="427" xfId="0" applyNumberFormat="1" applyFont="1" applyFill="1" applyBorder="1"/>
    <xf numFmtId="174" fontId="4" fillId="30" borderId="426" xfId="0" applyNumberFormat="1" applyFont="1" applyFill="1" applyBorder="1"/>
    <xf numFmtId="174" fontId="161" fillId="6" borderId="426" xfId="0" applyNumberFormat="1" applyFont="1" applyFill="1" applyBorder="1"/>
    <xf numFmtId="0" fontId="4" fillId="19" borderId="426" xfId="0" applyFont="1" applyFill="1" applyBorder="1"/>
    <xf numFmtId="174" fontId="4" fillId="19" borderId="426" xfId="0" applyNumberFormat="1" applyFont="1" applyFill="1" applyBorder="1"/>
    <xf numFmtId="174" fontId="4" fillId="19" borderId="427" xfId="0" applyNumberFormat="1" applyFont="1" applyFill="1" applyBorder="1"/>
    <xf numFmtId="38" fontId="4" fillId="30" borderId="427" xfId="0" applyNumberFormat="1" applyFont="1" applyFill="1" applyBorder="1"/>
    <xf numFmtId="6" fontId="9" fillId="4" borderId="0" xfId="0" quotePrefix="1" applyNumberFormat="1" applyFont="1" applyFill="1" applyAlignment="1">
      <alignment horizontal="center"/>
    </xf>
    <xf numFmtId="0" fontId="4" fillId="30" borderId="427" xfId="0" quotePrefix="1" applyFont="1" applyFill="1" applyBorder="1" applyAlignment="1">
      <alignment horizontal="center"/>
    </xf>
    <xf numFmtId="174" fontId="4" fillId="30" borderId="217" xfId="0" applyNumberFormat="1" applyFont="1" applyFill="1" applyBorder="1"/>
    <xf numFmtId="38" fontId="4" fillId="30" borderId="419" xfId="0" applyNumberFormat="1" applyFont="1" applyFill="1" applyBorder="1" applyAlignment="1">
      <alignment horizontal="right"/>
    </xf>
    <xf numFmtId="38" fontId="4" fillId="30" borderId="419" xfId="0" applyNumberFormat="1" applyFont="1" applyFill="1" applyBorder="1"/>
    <xf numFmtId="0" fontId="15" fillId="55" borderId="13" xfId="0" applyFont="1" applyFill="1" applyBorder="1"/>
    <xf numFmtId="0" fontId="15" fillId="55" borderId="193" xfId="0" applyFont="1" applyFill="1" applyBorder="1"/>
    <xf numFmtId="0" fontId="4" fillId="26" borderId="428" xfId="0" applyFont="1" applyFill="1" applyBorder="1" applyAlignment="1">
      <alignment horizontal="center"/>
    </xf>
    <xf numFmtId="0" fontId="186" fillId="2" borderId="0" xfId="0" applyFont="1" applyAlignment="1">
      <alignment vertical="center"/>
    </xf>
    <xf numFmtId="0" fontId="207" fillId="2" borderId="0" xfId="0" applyFont="1" applyAlignment="1">
      <alignment vertical="center"/>
    </xf>
    <xf numFmtId="177" fontId="160" fillId="29" borderId="428" xfId="0" applyNumberFormat="1" applyFont="1" applyFill="1" applyBorder="1"/>
    <xf numFmtId="0" fontId="4" fillId="26" borderId="0" xfId="0" applyFont="1" applyFill="1" applyBorder="1" applyAlignment="1">
      <alignment horizontal="center"/>
    </xf>
    <xf numFmtId="184" fontId="4" fillId="27" borderId="0" xfId="0" applyNumberFormat="1" applyFont="1" applyFill="1" applyBorder="1" applyAlignment="1">
      <alignment horizontal="center"/>
    </xf>
    <xf numFmtId="184" fontId="4" fillId="26" borderId="0" xfId="0" applyNumberFormat="1" applyFont="1" applyFill="1" applyBorder="1" applyAlignment="1">
      <alignment horizontal="center"/>
    </xf>
    <xf numFmtId="0" fontId="46" fillId="55" borderId="429" xfId="0" applyFont="1" applyFill="1" applyBorder="1"/>
    <xf numFmtId="0" fontId="15" fillId="40" borderId="142" xfId="0" applyFont="1" applyFill="1" applyBorder="1"/>
    <xf numFmtId="0" fontId="15" fillId="40" borderId="16" xfId="0" applyFont="1" applyFill="1" applyBorder="1"/>
    <xf numFmtId="0" fontId="46" fillId="55" borderId="244" xfId="0" applyFont="1" applyFill="1" applyBorder="1"/>
    <xf numFmtId="0" fontId="46" fillId="55" borderId="11" xfId="0" applyFont="1" applyFill="1" applyBorder="1"/>
    <xf numFmtId="0" fontId="15" fillId="40" borderId="197" xfId="0" applyFont="1" applyFill="1" applyBorder="1"/>
    <xf numFmtId="0" fontId="15" fillId="55" borderId="244" xfId="0" applyFont="1" applyFill="1" applyBorder="1"/>
    <xf numFmtId="0" fontId="15" fillId="32" borderId="11" xfId="0" applyFont="1" applyFill="1" applyBorder="1"/>
    <xf numFmtId="175" fontId="128" fillId="32" borderId="36" xfId="0" applyNumberFormat="1" applyFont="1" applyFill="1" applyBorder="1" applyProtection="1">
      <protection locked="0"/>
    </xf>
    <xf numFmtId="0" fontId="15" fillId="32" borderId="0" xfId="0" applyFont="1" applyFill="1"/>
    <xf numFmtId="175" fontId="198" fillId="32" borderId="181" xfId="0" applyNumberFormat="1" applyFont="1" applyFill="1" applyBorder="1"/>
    <xf numFmtId="175" fontId="96" fillId="32" borderId="0" xfId="0" applyNumberFormat="1" applyFont="1" applyFill="1" applyProtection="1">
      <protection locked="0"/>
    </xf>
    <xf numFmtId="0" fontId="0" fillId="32" borderId="9" xfId="0" applyFill="1" applyBorder="1"/>
    <xf numFmtId="175" fontId="46" fillId="32" borderId="171" xfId="0" applyNumberFormat="1" applyFont="1" applyFill="1" applyBorder="1" applyProtection="1">
      <protection locked="0"/>
    </xf>
    <xf numFmtId="175" fontId="202" fillId="32" borderId="36" xfId="0" applyNumberFormat="1" applyFont="1" applyFill="1" applyBorder="1" applyProtection="1">
      <protection locked="0"/>
    </xf>
    <xf numFmtId="175" fontId="201" fillId="32" borderId="36" xfId="0" applyNumberFormat="1" applyFont="1" applyFill="1" applyBorder="1" applyProtection="1">
      <protection locked="0"/>
    </xf>
    <xf numFmtId="175" fontId="150" fillId="32" borderId="36" xfId="0" applyNumberFormat="1" applyFont="1" applyFill="1" applyBorder="1" applyProtection="1">
      <protection locked="0"/>
    </xf>
    <xf numFmtId="175" fontId="168" fillId="32" borderId="36" xfId="0" applyNumberFormat="1" applyFont="1" applyFill="1" applyBorder="1" applyProtection="1">
      <protection locked="0"/>
    </xf>
    <xf numFmtId="175" fontId="128" fillId="55" borderId="36" xfId="0" applyNumberFormat="1" applyFont="1" applyFill="1" applyBorder="1" applyProtection="1">
      <protection locked="0"/>
    </xf>
    <xf numFmtId="0" fontId="15" fillId="55" borderId="0" xfId="0" applyFont="1" applyFill="1"/>
    <xf numFmtId="175" fontId="198" fillId="55" borderId="181" xfId="0" applyNumberFormat="1" applyFont="1" applyFill="1" applyBorder="1"/>
    <xf numFmtId="175" fontId="96" fillId="55" borderId="0" xfId="0" applyNumberFormat="1" applyFont="1" applyFill="1" applyProtection="1">
      <protection locked="0"/>
    </xf>
    <xf numFmtId="175" fontId="14" fillId="55" borderId="36" xfId="0" applyNumberFormat="1" applyFont="1" applyFill="1" applyBorder="1" applyProtection="1">
      <protection locked="0"/>
    </xf>
    <xf numFmtId="175" fontId="46" fillId="55" borderId="171" xfId="0" applyNumberFormat="1" applyFont="1" applyFill="1" applyBorder="1" applyProtection="1">
      <protection locked="0"/>
    </xf>
    <xf numFmtId="175" fontId="202" fillId="55" borderId="36" xfId="0" applyNumberFormat="1" applyFont="1" applyFill="1" applyBorder="1" applyProtection="1">
      <protection locked="0"/>
    </xf>
    <xf numFmtId="175" fontId="201" fillId="55" borderId="36" xfId="0" applyNumberFormat="1" applyFont="1" applyFill="1" applyBorder="1" applyProtection="1">
      <protection locked="0"/>
    </xf>
    <xf numFmtId="175" fontId="150" fillId="55" borderId="36" xfId="0" applyNumberFormat="1" applyFont="1" applyFill="1" applyBorder="1" applyProtection="1">
      <protection locked="0"/>
    </xf>
    <xf numFmtId="175" fontId="168" fillId="55" borderId="36" xfId="0" applyNumberFormat="1" applyFont="1" applyFill="1" applyBorder="1" applyProtection="1">
      <protection locked="0"/>
    </xf>
    <xf numFmtId="0" fontId="15" fillId="55" borderId="431" xfId="0" applyFont="1" applyFill="1" applyBorder="1"/>
    <xf numFmtId="0" fontId="15" fillId="55" borderId="430" xfId="0" applyFont="1" applyFill="1" applyBorder="1"/>
    <xf numFmtId="0" fontId="15" fillId="32" borderId="10" xfId="0" applyFont="1" applyFill="1" applyBorder="1"/>
    <xf numFmtId="0" fontId="15" fillId="34" borderId="10" xfId="0" applyFont="1" applyFill="1" applyBorder="1"/>
    <xf numFmtId="0" fontId="15" fillId="31" borderId="0" xfId="0" applyFont="1" applyFill="1"/>
    <xf numFmtId="177" fontId="160" fillId="31" borderId="9" xfId="0" applyNumberFormat="1" applyFont="1" applyFill="1" applyBorder="1"/>
    <xf numFmtId="174" fontId="96" fillId="31" borderId="0" xfId="0" applyNumberFormat="1" applyFont="1" applyFill="1" applyProtection="1">
      <protection locked="0"/>
    </xf>
    <xf numFmtId="0" fontId="15" fillId="34" borderId="11" xfId="0" applyFont="1" applyFill="1" applyBorder="1"/>
    <xf numFmtId="175" fontId="128" fillId="34" borderId="36" xfId="0" applyNumberFormat="1" applyFont="1" applyFill="1" applyBorder="1" applyProtection="1">
      <protection locked="0"/>
    </xf>
    <xf numFmtId="0" fontId="15" fillId="34" borderId="0" xfId="0" applyFont="1" applyFill="1"/>
    <xf numFmtId="175" fontId="198" fillId="34" borderId="181" xfId="0" applyNumberFormat="1" applyFont="1" applyFill="1" applyBorder="1"/>
    <xf numFmtId="175" fontId="96" fillId="34" borderId="0" xfId="0" applyNumberFormat="1" applyFont="1" applyFill="1" applyProtection="1">
      <protection locked="0"/>
    </xf>
    <xf numFmtId="0" fontId="0" fillId="34" borderId="9" xfId="0" applyFill="1" applyBorder="1"/>
    <xf numFmtId="175" fontId="46" fillId="34" borderId="171" xfId="0" applyNumberFormat="1" applyFont="1" applyFill="1" applyBorder="1" applyProtection="1">
      <protection locked="0"/>
    </xf>
    <xf numFmtId="175" fontId="202" fillId="34" borderId="36" xfId="0" applyNumberFormat="1" applyFont="1" applyFill="1" applyBorder="1" applyProtection="1">
      <protection locked="0"/>
    </xf>
    <xf numFmtId="175" fontId="201" fillId="34" borderId="36" xfId="0" applyNumberFormat="1" applyFont="1" applyFill="1" applyBorder="1" applyProtection="1">
      <protection locked="0"/>
    </xf>
    <xf numFmtId="175" fontId="150" fillId="34" borderId="36" xfId="0" applyNumberFormat="1" applyFont="1" applyFill="1" applyBorder="1" applyProtection="1">
      <protection locked="0"/>
    </xf>
    <xf numFmtId="175" fontId="168" fillId="34" borderId="36" xfId="0" applyNumberFormat="1" applyFont="1" applyFill="1" applyBorder="1" applyProtection="1">
      <protection locked="0"/>
    </xf>
    <xf numFmtId="0" fontId="15" fillId="34" borderId="421" xfId="0" applyFont="1" applyFill="1" applyBorder="1"/>
    <xf numFmtId="175" fontId="128" fillId="34" borderId="217" xfId="0" applyNumberFormat="1" applyFont="1" applyFill="1" applyBorder="1" applyProtection="1">
      <protection locked="0"/>
    </xf>
    <xf numFmtId="0" fontId="0" fillId="34" borderId="419" xfId="0" applyFill="1" applyBorder="1"/>
    <xf numFmtId="175" fontId="202" fillId="34" borderId="217" xfId="0" applyNumberFormat="1" applyFont="1" applyFill="1" applyBorder="1" applyProtection="1">
      <protection locked="0"/>
    </xf>
    <xf numFmtId="175" fontId="201" fillId="34" borderId="217" xfId="0" applyNumberFormat="1" applyFont="1" applyFill="1" applyBorder="1" applyProtection="1">
      <protection locked="0"/>
    </xf>
    <xf numFmtId="175" fontId="150" fillId="34" borderId="217" xfId="0" applyNumberFormat="1" applyFont="1" applyFill="1" applyBorder="1" applyProtection="1">
      <protection locked="0"/>
    </xf>
    <xf numFmtId="175" fontId="168" fillId="34" borderId="217" xfId="0" applyNumberFormat="1" applyFont="1" applyFill="1" applyBorder="1" applyProtection="1">
      <protection locked="0"/>
    </xf>
    <xf numFmtId="0" fontId="15" fillId="32" borderId="0" xfId="0" applyFont="1" applyFill="1" applyBorder="1"/>
    <xf numFmtId="175" fontId="128" fillId="32" borderId="217" xfId="0" applyNumberFormat="1" applyFont="1" applyFill="1" applyBorder="1" applyProtection="1">
      <protection locked="0"/>
    </xf>
    <xf numFmtId="0" fontId="0" fillId="32" borderId="217" xfId="0" applyFill="1" applyBorder="1"/>
    <xf numFmtId="0" fontId="0" fillId="32" borderId="0" xfId="0" applyFill="1" applyBorder="1"/>
    <xf numFmtId="0" fontId="15" fillId="55" borderId="158" xfId="0" applyFont="1" applyFill="1" applyBorder="1"/>
    <xf numFmtId="0" fontId="15" fillId="55" borderId="142" xfId="0" applyFont="1" applyFill="1" applyBorder="1"/>
    <xf numFmtId="175" fontId="128" fillId="55" borderId="164" xfId="0" applyNumberFormat="1" applyFont="1" applyFill="1" applyBorder="1" applyProtection="1">
      <protection locked="0"/>
    </xf>
    <xf numFmtId="0" fontId="0" fillId="55" borderId="9" xfId="0" applyFill="1" applyBorder="1"/>
    <xf numFmtId="175" fontId="201" fillId="55" borderId="164" xfId="0" applyNumberFormat="1" applyFont="1" applyFill="1" applyBorder="1" applyProtection="1">
      <protection locked="0"/>
    </xf>
    <xf numFmtId="175" fontId="150" fillId="55" borderId="164" xfId="0" applyNumberFormat="1" applyFont="1" applyFill="1" applyBorder="1" applyProtection="1">
      <protection locked="0"/>
    </xf>
    <xf numFmtId="175" fontId="168" fillId="55" borderId="164" xfId="0" applyNumberFormat="1" applyFont="1" applyFill="1" applyBorder="1" applyProtection="1">
      <protection locked="0"/>
    </xf>
    <xf numFmtId="0" fontId="38" fillId="25" borderId="218" xfId="0" applyFont="1" applyFill="1" applyBorder="1"/>
    <xf numFmtId="0" fontId="0" fillId="25" borderId="432" xfId="0" applyFill="1" applyBorder="1"/>
    <xf numFmtId="0" fontId="0" fillId="25" borderId="433" xfId="0" applyFill="1" applyBorder="1"/>
    <xf numFmtId="0" fontId="15" fillId="55" borderId="197" xfId="0" applyFont="1" applyFill="1" applyBorder="1"/>
    <xf numFmtId="0" fontId="0" fillId="59" borderId="9" xfId="0" applyFill="1" applyBorder="1"/>
    <xf numFmtId="0" fontId="15" fillId="31" borderId="16" xfId="0" applyFont="1" applyFill="1" applyBorder="1"/>
    <xf numFmtId="0" fontId="15" fillId="31" borderId="13" xfId="0" applyFont="1" applyFill="1" applyBorder="1"/>
    <xf numFmtId="175" fontId="128" fillId="31" borderId="36" xfId="0" applyNumberFormat="1" applyFont="1" applyFill="1" applyBorder="1" applyProtection="1">
      <protection locked="0"/>
    </xf>
    <xf numFmtId="175" fontId="198" fillId="31" borderId="108" xfId="0" applyNumberFormat="1" applyFont="1" applyFill="1" applyBorder="1"/>
    <xf numFmtId="175" fontId="96" fillId="31" borderId="0" xfId="0" applyNumberFormat="1" applyFont="1" applyFill="1" applyProtection="1">
      <protection locked="0"/>
    </xf>
    <xf numFmtId="0" fontId="0" fillId="31" borderId="9" xfId="0" applyFill="1" applyBorder="1"/>
    <xf numFmtId="175" fontId="46" fillId="31" borderId="171" xfId="0" applyNumberFormat="1" applyFont="1" applyFill="1" applyBorder="1" applyProtection="1">
      <protection locked="0"/>
    </xf>
    <xf numFmtId="175" fontId="202" fillId="31" borderId="36" xfId="0" applyNumberFormat="1" applyFont="1" applyFill="1" applyBorder="1" applyProtection="1">
      <protection locked="0"/>
    </xf>
    <xf numFmtId="175" fontId="201" fillId="31" borderId="36" xfId="0" applyNumberFormat="1" applyFont="1" applyFill="1" applyBorder="1" applyProtection="1">
      <protection locked="0"/>
    </xf>
    <xf numFmtId="175" fontId="150" fillId="31" borderId="36" xfId="0" applyNumberFormat="1" applyFont="1" applyFill="1" applyBorder="1" applyProtection="1">
      <protection locked="0"/>
    </xf>
    <xf numFmtId="175" fontId="168" fillId="31" borderId="36" xfId="0" applyNumberFormat="1" applyFont="1" applyFill="1" applyBorder="1" applyProtection="1">
      <protection locked="0"/>
    </xf>
    <xf numFmtId="0" fontId="15" fillId="28" borderId="11" xfId="0" applyFont="1" applyFill="1" applyBorder="1"/>
    <xf numFmtId="0" fontId="46" fillId="28" borderId="11" xfId="0" applyFont="1" applyFill="1" applyBorder="1"/>
    <xf numFmtId="174" fontId="128" fillId="28" borderId="36" xfId="0" applyNumberFormat="1" applyFont="1" applyFill="1" applyBorder="1" applyProtection="1">
      <protection locked="0"/>
    </xf>
    <xf numFmtId="0" fontId="15" fillId="28" borderId="0" xfId="0" applyFont="1" applyFill="1"/>
    <xf numFmtId="0" fontId="160" fillId="28" borderId="11" xfId="0" applyFont="1" applyFill="1" applyBorder="1"/>
    <xf numFmtId="38" fontId="128" fillId="28" borderId="36" xfId="0" applyNumberFormat="1" applyFont="1" applyFill="1" applyBorder="1" applyProtection="1">
      <protection locked="0"/>
    </xf>
    <xf numFmtId="38" fontId="198" fillId="28" borderId="36" xfId="0" applyNumberFormat="1" applyFont="1" applyFill="1" applyBorder="1" applyProtection="1">
      <protection locked="0"/>
    </xf>
    <xf numFmtId="38" fontId="160" fillId="28" borderId="9" xfId="0" applyNumberFormat="1" applyFont="1" applyFill="1" applyBorder="1"/>
    <xf numFmtId="174" fontId="96" fillId="28" borderId="0" xfId="0" applyNumberFormat="1" applyFont="1" applyFill="1" applyProtection="1">
      <protection locked="0"/>
    </xf>
    <xf numFmtId="38" fontId="46" fillId="28" borderId="181" xfId="0" applyNumberFormat="1" applyFont="1" applyFill="1" applyBorder="1"/>
    <xf numFmtId="38" fontId="202" fillId="28" borderId="36" xfId="0" applyNumberFormat="1" applyFont="1" applyFill="1" applyBorder="1" applyProtection="1">
      <protection locked="0"/>
    </xf>
    <xf numFmtId="38" fontId="201" fillId="28" borderId="36" xfId="0" applyNumberFormat="1" applyFont="1" applyFill="1" applyBorder="1" applyProtection="1">
      <protection locked="0"/>
    </xf>
    <xf numFmtId="38" fontId="150" fillId="28" borderId="36" xfId="0" applyNumberFormat="1" applyFont="1" applyFill="1" applyBorder="1" applyProtection="1">
      <protection locked="0"/>
    </xf>
    <xf numFmtId="38" fontId="168" fillId="28" borderId="36" xfId="0" applyNumberFormat="1" applyFont="1" applyFill="1" applyBorder="1" applyProtection="1">
      <protection locked="0"/>
    </xf>
    <xf numFmtId="0" fontId="154" fillId="25" borderId="434" xfId="0" applyFont="1" applyFill="1" applyBorder="1" applyAlignment="1">
      <alignment horizontal="center"/>
    </xf>
    <xf numFmtId="0" fontId="154" fillId="25" borderId="435" xfId="0" applyFont="1" applyFill="1" applyBorder="1" applyAlignment="1">
      <alignment horizontal="center"/>
    </xf>
    <xf numFmtId="175" fontId="128" fillId="31" borderId="435" xfId="0" applyNumberFormat="1" applyFont="1" applyFill="1" applyBorder="1" applyProtection="1">
      <protection locked="0"/>
    </xf>
    <xf numFmtId="0" fontId="15" fillId="55" borderId="436" xfId="0" applyFont="1" applyFill="1" applyBorder="1"/>
    <xf numFmtId="175" fontId="128" fillId="42" borderId="435" xfId="0" applyNumberFormat="1" applyFont="1" applyFill="1" applyBorder="1" applyProtection="1">
      <protection locked="0"/>
    </xf>
    <xf numFmtId="0" fontId="0" fillId="59" borderId="428" xfId="0" applyFill="1" applyBorder="1"/>
    <xf numFmtId="0" fontId="208" fillId="2" borderId="0" xfId="0" applyFont="1"/>
    <xf numFmtId="0" fontId="209" fillId="2" borderId="0" xfId="0" applyFont="1"/>
    <xf numFmtId="49" fontId="209" fillId="2" borderId="5" xfId="0" applyNumberFormat="1" applyFont="1" applyBorder="1"/>
    <xf numFmtId="0" fontId="209" fillId="4" borderId="20" xfId="0" applyFont="1" applyFill="1" applyBorder="1"/>
    <xf numFmtId="0" fontId="210" fillId="12" borderId="9" xfId="0" applyFont="1" applyFill="1" applyBorder="1" applyAlignment="1">
      <alignment horizontal="right"/>
    </xf>
    <xf numFmtId="0" fontId="208" fillId="2" borderId="0" xfId="0" applyFont="1" applyAlignment="1">
      <alignment horizontal="right"/>
    </xf>
    <xf numFmtId="0" fontId="209" fillId="4" borderId="0" xfId="0" applyFont="1" applyFill="1"/>
    <xf numFmtId="0" fontId="209" fillId="2" borderId="0" xfId="0" applyFont="1" applyAlignment="1">
      <alignment horizontal="right"/>
    </xf>
    <xf numFmtId="0" fontId="209" fillId="2" borderId="5" xfId="0" applyFont="1" applyBorder="1"/>
    <xf numFmtId="15" fontId="209" fillId="2" borderId="5" xfId="0" applyNumberFormat="1" applyFont="1" applyBorder="1" applyAlignment="1">
      <alignment horizontal="left"/>
    </xf>
    <xf numFmtId="14" fontId="211" fillId="2" borderId="0" xfId="0" applyNumberFormat="1" applyFont="1" applyAlignment="1">
      <alignment horizontal="right"/>
    </xf>
    <xf numFmtId="0" fontId="211" fillId="6" borderId="45" xfId="0" applyFont="1" applyFill="1" applyBorder="1" applyAlignment="1">
      <alignment horizontal="center"/>
    </xf>
    <xf numFmtId="0" fontId="211" fillId="6" borderId="36" xfId="0" applyFont="1" applyFill="1" applyBorder="1" applyAlignment="1">
      <alignment horizontal="center"/>
    </xf>
    <xf numFmtId="0" fontId="209" fillId="2" borderId="0" xfId="0" applyFont="1" applyProtection="1">
      <protection locked="0"/>
    </xf>
    <xf numFmtId="167" fontId="208" fillId="2" borderId="0" xfId="0" applyNumberFormat="1" applyFont="1"/>
    <xf numFmtId="164" fontId="208" fillId="2" borderId="0" xfId="0" applyNumberFormat="1" applyFont="1"/>
    <xf numFmtId="37" fontId="208" fillId="2" borderId="0" xfId="0" applyNumberFormat="1" applyFont="1"/>
    <xf numFmtId="39" fontId="208" fillId="2" borderId="0" xfId="0" applyNumberFormat="1" applyFont="1"/>
    <xf numFmtId="0" fontId="208" fillId="2" borderId="4" xfId="0" applyFont="1" applyBorder="1"/>
    <xf numFmtId="0" fontId="209" fillId="2" borderId="4" xfId="0" applyFont="1" applyBorder="1"/>
    <xf numFmtId="0" fontId="211" fillId="46" borderId="143" xfId="0" applyFont="1" applyFill="1" applyBorder="1" applyAlignment="1">
      <alignment horizontal="center"/>
    </xf>
    <xf numFmtId="0" fontId="211" fillId="55" borderId="147" xfId="0" applyFont="1" applyFill="1" applyBorder="1" applyAlignment="1">
      <alignment horizontal="center"/>
    </xf>
    <xf numFmtId="0" fontId="209" fillId="25" borderId="144" xfId="0" applyFont="1" applyFill="1" applyBorder="1" applyAlignment="1">
      <alignment horizontal="right"/>
    </xf>
    <xf numFmtId="0" fontId="208" fillId="2" borderId="0" xfId="0" applyFont="1" applyAlignment="1">
      <alignment horizontal="center"/>
    </xf>
    <xf numFmtId="0" fontId="212" fillId="2" borderId="0" xfId="0" applyFont="1" applyAlignment="1">
      <alignment horizontal="right"/>
    </xf>
    <xf numFmtId="0" fontId="211" fillId="46" borderId="158" xfId="0" applyFont="1" applyFill="1" applyBorder="1" applyAlignment="1">
      <alignment horizontal="center"/>
    </xf>
    <xf numFmtId="0" fontId="211" fillId="55" borderId="186" xfId="0" quotePrefix="1" applyFont="1" applyFill="1" applyBorder="1" applyAlignment="1">
      <alignment horizontal="center"/>
    </xf>
    <xf numFmtId="0" fontId="209" fillId="25" borderId="157" xfId="0" applyFont="1" applyFill="1" applyBorder="1" applyAlignment="1">
      <alignment horizontal="right"/>
    </xf>
    <xf numFmtId="38" fontId="209" fillId="25" borderId="116" xfId="0" applyNumberFormat="1" applyFont="1" applyFill="1" applyBorder="1" applyAlignment="1">
      <alignment horizontal="right"/>
    </xf>
    <xf numFmtId="0" fontId="210" fillId="2" borderId="0" xfId="0" applyFont="1"/>
    <xf numFmtId="37" fontId="210" fillId="2" borderId="0" xfId="0" applyNumberFormat="1" applyFont="1"/>
    <xf numFmtId="37" fontId="210" fillId="46" borderId="163" xfId="0" applyNumberFormat="1" applyFont="1" applyFill="1" applyBorder="1"/>
    <xf numFmtId="37" fontId="210" fillId="56" borderId="176" xfId="0" applyNumberFormat="1" applyFont="1" applyFill="1" applyBorder="1"/>
    <xf numFmtId="37" fontId="210" fillId="46" borderId="146" xfId="0" applyNumberFormat="1" applyFont="1" applyFill="1" applyBorder="1"/>
    <xf numFmtId="38" fontId="209" fillId="25" borderId="147" xfId="0" applyNumberFormat="1" applyFont="1" applyFill="1" applyBorder="1"/>
    <xf numFmtId="0" fontId="209" fillId="55" borderId="0" xfId="0" applyFont="1" applyFill="1" applyAlignment="1">
      <alignment horizontal="right"/>
    </xf>
    <xf numFmtId="0" fontId="211" fillId="55" borderId="0" xfId="0" applyFont="1" applyFill="1"/>
    <xf numFmtId="0" fontId="209" fillId="55" borderId="0" xfId="0" applyFont="1" applyFill="1"/>
    <xf numFmtId="37" fontId="210" fillId="55" borderId="0" xfId="0" applyNumberFormat="1" applyFont="1" applyFill="1"/>
    <xf numFmtId="37" fontId="208" fillId="55" borderId="0" xfId="0" applyNumberFormat="1" applyFont="1" applyFill="1"/>
    <xf numFmtId="37" fontId="210" fillId="46" borderId="0" xfId="0" applyNumberFormat="1" applyFont="1" applyFill="1"/>
    <xf numFmtId="38" fontId="209" fillId="25" borderId="176" xfId="0" applyNumberFormat="1" applyFont="1" applyFill="1" applyBorder="1"/>
    <xf numFmtId="37" fontId="208" fillId="46" borderId="163" xfId="0" applyNumberFormat="1" applyFont="1" applyFill="1" applyBorder="1"/>
    <xf numFmtId="37" fontId="208" fillId="56" borderId="176" xfId="0" applyNumberFormat="1" applyFont="1" applyFill="1" applyBorder="1"/>
    <xf numFmtId="37" fontId="208" fillId="46" borderId="0" xfId="0" applyNumberFormat="1" applyFont="1" applyFill="1"/>
    <xf numFmtId="38" fontId="209" fillId="25" borderId="118" xfId="0" applyNumberFormat="1" applyFont="1" applyFill="1" applyBorder="1"/>
    <xf numFmtId="0" fontId="211" fillId="2" borderId="0" xfId="0" applyFont="1"/>
    <xf numFmtId="0" fontId="211" fillId="46" borderId="163" xfId="0" applyFont="1" applyFill="1" applyBorder="1"/>
    <xf numFmtId="0" fontId="209" fillId="55" borderId="176" xfId="0" applyFont="1" applyFill="1" applyBorder="1"/>
    <xf numFmtId="0" fontId="209" fillId="26" borderId="0" xfId="0" applyFont="1" applyFill="1"/>
    <xf numFmtId="37" fontId="208" fillId="3" borderId="0" xfId="0" applyNumberFormat="1" applyFont="1" applyFill="1"/>
    <xf numFmtId="37" fontId="208" fillId="47" borderId="163" xfId="0" applyNumberFormat="1" applyFont="1" applyFill="1" applyBorder="1"/>
    <xf numFmtId="37" fontId="208" fillId="57" borderId="176" xfId="0" applyNumberFormat="1" applyFont="1" applyFill="1" applyBorder="1"/>
    <xf numFmtId="37" fontId="208" fillId="47" borderId="0" xfId="0" applyNumberFormat="1" applyFont="1" applyFill="1"/>
    <xf numFmtId="0" fontId="208" fillId="2" borderId="0" xfId="0" applyFont="1" applyAlignment="1">
      <alignment horizontal="left"/>
    </xf>
    <xf numFmtId="37" fontId="209" fillId="26" borderId="0" xfId="0" applyNumberFormat="1" applyFont="1" applyFill="1"/>
    <xf numFmtId="0" fontId="209" fillId="25" borderId="0" xfId="0" applyFont="1" applyFill="1"/>
    <xf numFmtId="38" fontId="211" fillId="55" borderId="176" xfId="0" applyNumberFormat="1" applyFont="1" applyFill="1" applyBorder="1"/>
    <xf numFmtId="0" fontId="208" fillId="55" borderId="0" xfId="0" applyFont="1" applyFill="1"/>
    <xf numFmtId="0" fontId="213" fillId="2" borderId="0" xfId="0" applyFont="1"/>
    <xf numFmtId="37" fontId="211" fillId="2" borderId="0" xfId="0" applyNumberFormat="1" applyFont="1"/>
    <xf numFmtId="37" fontId="211" fillId="46" borderId="163" xfId="0" applyNumberFormat="1" applyFont="1" applyFill="1" applyBorder="1"/>
    <xf numFmtId="38" fontId="208" fillId="56" borderId="176" xfId="0" applyNumberFormat="1" applyFont="1" applyFill="1" applyBorder="1"/>
    <xf numFmtId="37" fontId="212" fillId="2" borderId="0" xfId="0" applyNumberFormat="1" applyFont="1"/>
    <xf numFmtId="38" fontId="211" fillId="26" borderId="176" xfId="0" applyNumberFormat="1" applyFont="1" applyFill="1" applyBorder="1"/>
    <xf numFmtId="37" fontId="208" fillId="2" borderId="5" xfId="0" applyNumberFormat="1" applyFont="1" applyBorder="1"/>
    <xf numFmtId="37" fontId="209" fillId="26" borderId="142" xfId="0" applyNumberFormat="1" applyFont="1" applyFill="1" applyBorder="1"/>
    <xf numFmtId="38" fontId="209" fillId="25" borderId="164" xfId="0" applyNumberFormat="1" applyFont="1" applyFill="1" applyBorder="1"/>
    <xf numFmtId="37" fontId="208" fillId="55" borderId="163" xfId="0" applyNumberFormat="1" applyFont="1" applyFill="1" applyBorder="1"/>
    <xf numFmtId="37" fontId="208" fillId="46" borderId="218" xfId="0" applyNumberFormat="1" applyFont="1" applyFill="1" applyBorder="1"/>
    <xf numFmtId="38" fontId="211" fillId="55" borderId="217" xfId="0" applyNumberFormat="1" applyFont="1" applyFill="1" applyBorder="1"/>
    <xf numFmtId="37" fontId="211" fillId="55" borderId="176" xfId="0" applyNumberFormat="1" applyFont="1" applyFill="1" applyBorder="1"/>
    <xf numFmtId="37" fontId="208" fillId="46" borderId="115" xfId="0" applyNumberFormat="1" applyFont="1" applyFill="1" applyBorder="1"/>
    <xf numFmtId="38" fontId="211" fillId="25" borderId="118" xfId="0" applyNumberFormat="1" applyFont="1" applyFill="1" applyBorder="1"/>
    <xf numFmtId="164" fontId="211" fillId="55" borderId="181" xfId="0" applyNumberFormat="1" applyFont="1" applyFill="1" applyBorder="1"/>
    <xf numFmtId="0" fontId="211" fillId="55" borderId="171" xfId="0" applyFont="1" applyFill="1" applyBorder="1"/>
    <xf numFmtId="37" fontId="208" fillId="2" borderId="5" xfId="0" applyNumberFormat="1" applyFont="1" applyBorder="1" applyAlignment="1">
      <alignment horizontal="right"/>
    </xf>
    <xf numFmtId="37" fontId="208" fillId="2" borderId="0" xfId="0" applyNumberFormat="1" applyFont="1" applyAlignment="1">
      <alignment horizontal="right"/>
    </xf>
    <xf numFmtId="37" fontId="208" fillId="46" borderId="160" xfId="0" applyNumberFormat="1" applyFont="1" applyFill="1" applyBorder="1" applyAlignment="1">
      <alignment horizontal="right"/>
    </xf>
    <xf numFmtId="38" fontId="211" fillId="55" borderId="186" xfId="0" applyNumberFormat="1" applyFont="1" applyFill="1" applyBorder="1"/>
    <xf numFmtId="37" fontId="208" fillId="46" borderId="184" xfId="0" applyNumberFormat="1" applyFont="1" applyFill="1" applyBorder="1" applyAlignment="1">
      <alignment horizontal="right"/>
    </xf>
    <xf numFmtId="38" fontId="211" fillId="25" borderId="36" xfId="0" applyNumberFormat="1" applyFont="1" applyFill="1" applyBorder="1"/>
    <xf numFmtId="37" fontId="208" fillId="46" borderId="163" xfId="0" applyNumberFormat="1" applyFont="1" applyFill="1" applyBorder="1" applyAlignment="1">
      <alignment horizontal="right"/>
    </xf>
    <xf numFmtId="37" fontId="208" fillId="46" borderId="115" xfId="0" applyNumberFormat="1" applyFont="1" applyFill="1" applyBorder="1" applyAlignment="1">
      <alignment horizontal="right"/>
    </xf>
    <xf numFmtId="0" fontId="209" fillId="46" borderId="163" xfId="0" applyFont="1" applyFill="1" applyBorder="1"/>
    <xf numFmtId="0" fontId="209" fillId="26" borderId="115" xfId="0" applyFont="1" applyFill="1" applyBorder="1"/>
    <xf numFmtId="0" fontId="211" fillId="2" borderId="0" xfId="0" quotePrefix="1" applyFont="1"/>
    <xf numFmtId="0" fontId="210" fillId="2" borderId="9" xfId="0" applyFont="1" applyBorder="1"/>
    <xf numFmtId="37" fontId="211" fillId="46" borderId="115" xfId="0" applyNumberFormat="1" applyFont="1" applyFill="1" applyBorder="1"/>
    <xf numFmtId="0" fontId="211" fillId="55" borderId="176" xfId="0" applyFont="1" applyFill="1" applyBorder="1"/>
    <xf numFmtId="0" fontId="209" fillId="25" borderId="115" xfId="0" applyFont="1" applyFill="1" applyBorder="1"/>
    <xf numFmtId="38" fontId="211" fillId="25" borderId="176" xfId="0" applyNumberFormat="1" applyFont="1" applyFill="1" applyBorder="1"/>
    <xf numFmtId="38" fontId="211" fillId="25" borderId="163" xfId="0" applyNumberFormat="1" applyFont="1" applyFill="1" applyBorder="1"/>
    <xf numFmtId="0" fontId="208" fillId="27" borderId="0" xfId="0" applyFont="1" applyFill="1" applyBorder="1"/>
    <xf numFmtId="0" fontId="209" fillId="27" borderId="0" xfId="0" applyFont="1" applyFill="1" applyBorder="1"/>
    <xf numFmtId="0" fontId="209" fillId="27" borderId="178" xfId="0" applyFont="1" applyFill="1" applyBorder="1"/>
    <xf numFmtId="37" fontId="208" fillId="27" borderId="194" xfId="0" applyNumberFormat="1" applyFont="1" applyFill="1" applyBorder="1" applyAlignment="1">
      <alignment horizontal="right"/>
    </xf>
    <xf numFmtId="38" fontId="211" fillId="55" borderId="147" xfId="0" applyNumberFormat="1" applyFont="1" applyFill="1" applyBorder="1"/>
    <xf numFmtId="37" fontId="208" fillId="27" borderId="0" xfId="0" applyNumberFormat="1" applyFont="1" applyFill="1" applyBorder="1" applyAlignment="1">
      <alignment horizontal="right"/>
    </xf>
    <xf numFmtId="0" fontId="209" fillId="25" borderId="194" xfId="0" applyFont="1" applyFill="1" applyBorder="1"/>
    <xf numFmtId="0" fontId="208" fillId="55" borderId="188" xfId="0" applyFont="1" applyFill="1" applyBorder="1"/>
    <xf numFmtId="0" fontId="209" fillId="55" borderId="197" xfId="0" applyFont="1" applyFill="1" applyBorder="1"/>
    <xf numFmtId="37" fontId="208" fillId="55" borderId="197" xfId="0" applyNumberFormat="1" applyFont="1" applyFill="1" applyBorder="1" applyAlignment="1">
      <alignment horizontal="right"/>
    </xf>
    <xf numFmtId="37" fontId="208" fillId="46" borderId="188" xfId="0" applyNumberFormat="1" applyFont="1" applyFill="1" applyBorder="1" applyAlignment="1">
      <alignment horizontal="right"/>
    </xf>
    <xf numFmtId="38" fontId="211" fillId="55" borderId="181" xfId="0" applyNumberFormat="1" applyFont="1" applyFill="1" applyBorder="1"/>
    <xf numFmtId="37" fontId="208" fillId="26" borderId="163" xfId="0" applyNumberFormat="1" applyFont="1" applyFill="1" applyBorder="1" applyAlignment="1">
      <alignment horizontal="right"/>
    </xf>
    <xf numFmtId="37" fontId="208" fillId="55" borderId="176" xfId="0" applyNumberFormat="1" applyFont="1" applyFill="1" applyBorder="1" applyAlignment="1">
      <alignment horizontal="right"/>
    </xf>
    <xf numFmtId="38" fontId="211" fillId="26" borderId="144" xfId="0" applyNumberFormat="1" applyFont="1" applyFill="1" applyBorder="1"/>
    <xf numFmtId="38" fontId="211" fillId="25" borderId="143" xfId="0" applyNumberFormat="1" applyFont="1" applyFill="1" applyBorder="1"/>
    <xf numFmtId="37" fontId="208" fillId="2" borderId="13" xfId="0" applyNumberFormat="1" applyFont="1" applyBorder="1" applyAlignment="1">
      <alignment horizontal="right"/>
    </xf>
    <xf numFmtId="37" fontId="208" fillId="26" borderId="16" xfId="0" applyNumberFormat="1" applyFont="1" applyFill="1" applyBorder="1" applyAlignment="1">
      <alignment horizontal="right"/>
    </xf>
    <xf numFmtId="37" fontId="208" fillId="55" borderId="186" xfId="0" applyNumberFormat="1" applyFont="1" applyFill="1" applyBorder="1" applyAlignment="1">
      <alignment horizontal="right"/>
    </xf>
    <xf numFmtId="38" fontId="211" fillId="26" borderId="185" xfId="0" applyNumberFormat="1" applyFont="1" applyFill="1" applyBorder="1"/>
    <xf numFmtId="38" fontId="211" fillId="25" borderId="16" xfId="0" applyNumberFormat="1" applyFont="1" applyFill="1" applyBorder="1"/>
    <xf numFmtId="0" fontId="214" fillId="2" borderId="171" xfId="0" applyFont="1" applyBorder="1"/>
    <xf numFmtId="37" fontId="208" fillId="27" borderId="196" xfId="0" applyNumberFormat="1" applyFont="1" applyFill="1" applyBorder="1" applyAlignment="1">
      <alignment horizontal="right"/>
    </xf>
    <xf numFmtId="37" fontId="208" fillId="55" borderId="188" xfId="0" applyNumberFormat="1" applyFont="1" applyFill="1" applyBorder="1" applyAlignment="1">
      <alignment horizontal="right"/>
    </xf>
    <xf numFmtId="37" fontId="208" fillId="55" borderId="181" xfId="0" applyNumberFormat="1" applyFont="1" applyFill="1" applyBorder="1" applyAlignment="1">
      <alignment horizontal="right"/>
    </xf>
    <xf numFmtId="37" fontId="208" fillId="55" borderId="0" xfId="0" applyNumberFormat="1" applyFont="1" applyFill="1" applyAlignment="1">
      <alignment horizontal="right"/>
    </xf>
    <xf numFmtId="37" fontId="208" fillId="55" borderId="163" xfId="0" applyNumberFormat="1" applyFont="1" applyFill="1" applyBorder="1" applyAlignment="1">
      <alignment horizontal="right"/>
    </xf>
    <xf numFmtId="38" fontId="211" fillId="2" borderId="0" xfId="0" quotePrefix="1" applyNumberFormat="1" applyFont="1"/>
    <xf numFmtId="38" fontId="209" fillId="4" borderId="0" xfId="0" applyNumberFormat="1" applyFont="1" applyFill="1"/>
    <xf numFmtId="38" fontId="209" fillId="2" borderId="0" xfId="0" applyNumberFormat="1" applyFont="1"/>
    <xf numFmtId="38" fontId="208" fillId="2" borderId="0" xfId="0" applyNumberFormat="1" applyFont="1" applyAlignment="1">
      <alignment horizontal="right"/>
    </xf>
    <xf numFmtId="38" fontId="208" fillId="26" borderId="176" xfId="0" applyNumberFormat="1" applyFont="1" applyFill="1" applyBorder="1" applyAlignment="1">
      <alignment horizontal="right"/>
    </xf>
    <xf numFmtId="38" fontId="208" fillId="55" borderId="176" xfId="0" applyNumberFormat="1" applyFont="1" applyFill="1" applyBorder="1" applyAlignment="1">
      <alignment horizontal="right"/>
    </xf>
    <xf numFmtId="38" fontId="208" fillId="2" borderId="13" xfId="0" applyNumberFormat="1" applyFont="1" applyBorder="1" applyAlignment="1">
      <alignment horizontal="right"/>
    </xf>
    <xf numFmtId="0" fontId="214" fillId="2" borderId="171" xfId="0" quotePrefix="1" applyFont="1" applyBorder="1"/>
    <xf numFmtId="0" fontId="208" fillId="2" borderId="0" xfId="0" quotePrefix="1" applyFont="1"/>
    <xf numFmtId="37" fontId="208" fillId="2" borderId="0" xfId="0" applyNumberFormat="1" applyFont="1" applyBorder="1" applyAlignment="1">
      <alignment horizontal="right"/>
    </xf>
    <xf numFmtId="0" fontId="209" fillId="2" borderId="143" xfId="0" applyFont="1" applyBorder="1"/>
    <xf numFmtId="0" fontId="209" fillId="2" borderId="146" xfId="0" applyFont="1" applyBorder="1"/>
    <xf numFmtId="0" fontId="208" fillId="2" borderId="146" xfId="0" applyFont="1" applyBorder="1"/>
    <xf numFmtId="0" fontId="209" fillId="2" borderId="202" xfId="0" applyFont="1" applyBorder="1"/>
    <xf numFmtId="37" fontId="208" fillId="2" borderId="146" xfId="0" applyNumberFormat="1" applyFont="1" applyBorder="1" applyAlignment="1">
      <alignment horizontal="right"/>
    </xf>
    <xf numFmtId="0" fontId="209" fillId="46" borderId="143" xfId="0" applyFont="1" applyFill="1" applyBorder="1"/>
    <xf numFmtId="0" fontId="211" fillId="55" borderId="147" xfId="0" applyFont="1" applyFill="1" applyBorder="1"/>
    <xf numFmtId="0" fontId="209" fillId="2" borderId="163" xfId="0" applyFont="1" applyBorder="1"/>
    <xf numFmtId="0" fontId="208" fillId="2" borderId="0" xfId="0" applyFont="1" applyBorder="1" applyAlignment="1">
      <alignment horizontal="center"/>
    </xf>
    <xf numFmtId="0" fontId="209" fillId="2" borderId="0" xfId="0" applyFont="1" applyBorder="1"/>
    <xf numFmtId="0" fontId="208" fillId="2" borderId="0" xfId="0" quotePrefix="1" applyFont="1" applyBorder="1"/>
    <xf numFmtId="0" fontId="209" fillId="2" borderId="35" xfId="0" applyFont="1" applyBorder="1"/>
    <xf numFmtId="0" fontId="211" fillId="2" borderId="0" xfId="0" applyFont="1" applyBorder="1"/>
    <xf numFmtId="0" fontId="210" fillId="2" borderId="0" xfId="0" applyFont="1" applyBorder="1"/>
    <xf numFmtId="37" fontId="210" fillId="2" borderId="35" xfId="0" applyNumberFormat="1" applyFont="1" applyBorder="1" applyAlignment="1">
      <alignment horizontal="right"/>
    </xf>
    <xf numFmtId="37" fontId="211" fillId="26" borderId="163" xfId="0" applyNumberFormat="1" applyFont="1" applyFill="1" applyBorder="1" applyAlignment="1">
      <alignment horizontal="right"/>
    </xf>
    <xf numFmtId="37" fontId="211" fillId="55" borderId="176" xfId="0" applyNumberFormat="1" applyFont="1" applyFill="1" applyBorder="1" applyAlignment="1">
      <alignment horizontal="right"/>
    </xf>
    <xf numFmtId="0" fontId="212" fillId="2" borderId="0" xfId="0" applyFont="1" applyBorder="1"/>
    <xf numFmtId="37" fontId="212" fillId="2" borderId="35" xfId="0" applyNumberFormat="1" applyFont="1" applyBorder="1"/>
    <xf numFmtId="37" fontId="211" fillId="26" borderId="163" xfId="0" applyNumberFormat="1" applyFont="1" applyFill="1" applyBorder="1"/>
    <xf numFmtId="37" fontId="210" fillId="2" borderId="58" xfId="0" applyNumberFormat="1" applyFont="1" applyBorder="1" applyAlignment="1">
      <alignment horizontal="right"/>
    </xf>
    <xf numFmtId="37" fontId="211" fillId="26" borderId="36" xfId="0" applyNumberFormat="1" applyFont="1" applyFill="1" applyBorder="1" applyAlignment="1">
      <alignment horizontal="right"/>
    </xf>
    <xf numFmtId="37" fontId="211" fillId="55" borderId="36" xfId="0" applyNumberFormat="1" applyFont="1" applyFill="1" applyBorder="1"/>
    <xf numFmtId="0" fontId="209" fillId="26" borderId="163" xfId="0" applyFont="1" applyFill="1" applyBorder="1"/>
    <xf numFmtId="174" fontId="209" fillId="2" borderId="0" xfId="0" applyNumberFormat="1" applyFont="1"/>
    <xf numFmtId="174" fontId="209" fillId="4" borderId="0" xfId="0" applyNumberFormat="1" applyFont="1" applyFill="1"/>
    <xf numFmtId="37" fontId="210" fillId="2" borderId="59" xfId="0" applyNumberFormat="1" applyFont="1" applyBorder="1" applyAlignment="1">
      <alignment horizontal="right"/>
    </xf>
    <xf numFmtId="37" fontId="211" fillId="46" borderId="36" xfId="0" applyNumberFormat="1" applyFont="1" applyFill="1" applyBorder="1" applyAlignment="1">
      <alignment horizontal="right"/>
    </xf>
    <xf numFmtId="38" fontId="211" fillId="55" borderId="36" xfId="0" applyNumberFormat="1" applyFont="1" applyFill="1" applyBorder="1"/>
    <xf numFmtId="0" fontId="208" fillId="2" borderId="0" xfId="0" applyFont="1" applyBorder="1"/>
    <xf numFmtId="37" fontId="210" fillId="26" borderId="183" xfId="0" applyNumberFormat="1" applyFont="1" applyFill="1" applyBorder="1" applyAlignment="1">
      <alignment horizontal="right"/>
    </xf>
    <xf numFmtId="0" fontId="209" fillId="2" borderId="158" xfId="0" applyFont="1" applyBorder="1"/>
    <xf numFmtId="0" fontId="209" fillId="2" borderId="142" xfId="0" applyFont="1" applyBorder="1"/>
    <xf numFmtId="0" fontId="208" fillId="2" borderId="142" xfId="0" applyFont="1" applyBorder="1"/>
    <xf numFmtId="37" fontId="208" fillId="2" borderId="185" xfId="0" applyNumberFormat="1" applyFont="1" applyBorder="1"/>
    <xf numFmtId="37" fontId="208" fillId="46" borderId="158" xfId="0" applyNumberFormat="1" applyFont="1" applyFill="1" applyBorder="1" applyAlignment="1">
      <alignment horizontal="right"/>
    </xf>
    <xf numFmtId="0" fontId="209" fillId="55" borderId="36" xfId="0" applyFont="1" applyFill="1" applyBorder="1"/>
    <xf numFmtId="38" fontId="209" fillId="2" borderId="0" xfId="0" applyNumberFormat="1" applyFont="1" applyAlignment="1">
      <alignment horizontal="right"/>
    </xf>
    <xf numFmtId="37" fontId="209" fillId="2" borderId="0" xfId="0" applyNumberFormat="1" applyFont="1"/>
    <xf numFmtId="0" fontId="214" fillId="2" borderId="203" xfId="0" applyFont="1" applyBorder="1"/>
    <xf numFmtId="0" fontId="215" fillId="2" borderId="204" xfId="0" applyFont="1" applyBorder="1"/>
    <xf numFmtId="0" fontId="209" fillId="2" borderId="204" xfId="0" applyFont="1" applyBorder="1"/>
    <xf numFmtId="0" fontId="209" fillId="2" borderId="205" xfId="0" applyFont="1" applyBorder="1"/>
    <xf numFmtId="0" fontId="209" fillId="46" borderId="206" xfId="0" applyFont="1" applyFill="1" applyBorder="1"/>
    <xf numFmtId="0" fontId="209" fillId="55" borderId="191" xfId="0" applyFont="1" applyFill="1" applyBorder="1"/>
    <xf numFmtId="0" fontId="209" fillId="2" borderId="207" xfId="0" applyFont="1" applyBorder="1"/>
    <xf numFmtId="0" fontId="209" fillId="2" borderId="31" xfId="0" applyFont="1" applyBorder="1"/>
    <xf numFmtId="0" fontId="209" fillId="55" borderId="192" xfId="0" applyFont="1" applyFill="1" applyBorder="1"/>
    <xf numFmtId="0" fontId="208" fillId="2" borderId="207" xfId="0" applyFont="1" applyBorder="1"/>
    <xf numFmtId="37" fontId="211" fillId="2" borderId="31" xfId="0" applyNumberFormat="1" applyFont="1" applyBorder="1"/>
    <xf numFmtId="37" fontId="211" fillId="55" borderId="192" xfId="0" applyNumberFormat="1" applyFont="1" applyFill="1" applyBorder="1"/>
    <xf numFmtId="0" fontId="208" fillId="4" borderId="207" xfId="0" applyFont="1" applyFill="1" applyBorder="1"/>
    <xf numFmtId="38" fontId="211" fillId="2" borderId="31" xfId="0" applyNumberFormat="1" applyFont="1" applyBorder="1"/>
    <xf numFmtId="38" fontId="211" fillId="46" borderId="163" xfId="0" applyNumberFormat="1" applyFont="1" applyFill="1" applyBorder="1"/>
    <xf numFmtId="38" fontId="211" fillId="55" borderId="192" xfId="0" applyNumberFormat="1" applyFont="1" applyFill="1" applyBorder="1"/>
    <xf numFmtId="38" fontId="211" fillId="2" borderId="208" xfId="0" applyNumberFormat="1" applyFont="1" applyBorder="1"/>
    <xf numFmtId="38" fontId="211" fillId="46" borderId="158" xfId="0" applyNumberFormat="1" applyFont="1" applyFill="1" applyBorder="1"/>
    <xf numFmtId="37" fontId="211" fillId="2" borderId="209" xfId="0" applyNumberFormat="1" applyFont="1" applyBorder="1"/>
    <xf numFmtId="37" fontId="211" fillId="46" borderId="143" xfId="0" applyNumberFormat="1" applyFont="1" applyFill="1" applyBorder="1"/>
    <xf numFmtId="37" fontId="211" fillId="55" borderId="210" xfId="0" applyNumberFormat="1" applyFont="1" applyFill="1" applyBorder="1"/>
    <xf numFmtId="0" fontId="208" fillId="55" borderId="207" xfId="0" applyFont="1" applyFill="1" applyBorder="1"/>
    <xf numFmtId="0" fontId="209" fillId="55" borderId="0" xfId="0" applyFont="1" applyFill="1" applyBorder="1"/>
    <xf numFmtId="38" fontId="211" fillId="55" borderId="208" xfId="0" applyNumberFormat="1" applyFont="1" applyFill="1" applyBorder="1"/>
    <xf numFmtId="38" fontId="211" fillId="46" borderId="163" xfId="0" applyNumberFormat="1" applyFont="1" applyFill="1" applyBorder="1" applyAlignment="1">
      <alignment horizontal="center"/>
    </xf>
    <xf numFmtId="38" fontId="211" fillId="55" borderId="31" xfId="0" applyNumberFormat="1" applyFont="1" applyFill="1" applyBorder="1"/>
    <xf numFmtId="0" fontId="208" fillId="27" borderId="207" xfId="0" applyFont="1" applyFill="1" applyBorder="1"/>
    <xf numFmtId="38" fontId="211" fillId="27" borderId="31" xfId="0" applyNumberFormat="1" applyFont="1" applyFill="1" applyBorder="1"/>
    <xf numFmtId="0" fontId="214" fillId="4" borderId="214" xfId="0" applyFont="1" applyFill="1" applyBorder="1"/>
    <xf numFmtId="0" fontId="215" fillId="2" borderId="197" xfId="0" applyFont="1" applyBorder="1"/>
    <xf numFmtId="37" fontId="214" fillId="2" borderId="215" xfId="0" applyNumberFormat="1" applyFont="1" applyBorder="1"/>
    <xf numFmtId="0" fontId="215" fillId="2" borderId="201" xfId="0" applyFont="1" applyBorder="1"/>
    <xf numFmtId="37" fontId="214" fillId="46" borderId="200" xfId="0" applyNumberFormat="1" applyFont="1" applyFill="1" applyBorder="1"/>
    <xf numFmtId="37" fontId="214" fillId="55" borderId="216" xfId="0" applyNumberFormat="1" applyFont="1" applyFill="1" applyBorder="1"/>
    <xf numFmtId="0" fontId="209" fillId="2" borderId="211" xfId="0" applyFont="1" applyBorder="1"/>
    <xf numFmtId="0" fontId="209" fillId="2" borderId="189" xfId="0" applyFont="1" applyBorder="1"/>
    <xf numFmtId="0" fontId="209" fillId="2" borderId="212" xfId="0" applyFont="1" applyBorder="1"/>
    <xf numFmtId="0" fontId="209" fillId="46" borderId="190" xfId="0" applyFont="1" applyFill="1" applyBorder="1"/>
    <xf numFmtId="0" fontId="209" fillId="55" borderId="213" xfId="0" applyFont="1" applyFill="1" applyBorder="1"/>
    <xf numFmtId="37" fontId="211" fillId="12" borderId="0" xfId="0" applyNumberFormat="1" applyFont="1" applyFill="1"/>
    <xf numFmtId="0" fontId="209" fillId="12" borderId="0" xfId="0" applyFont="1" applyFill="1"/>
    <xf numFmtId="37" fontId="209" fillId="55" borderId="147" xfId="0" applyNumberFormat="1" applyFont="1" applyFill="1" applyBorder="1"/>
    <xf numFmtId="37" fontId="209" fillId="55" borderId="176" xfId="0" applyNumberFormat="1" applyFont="1" applyFill="1" applyBorder="1"/>
    <xf numFmtId="38" fontId="209" fillId="55" borderId="176" xfId="0" applyNumberFormat="1" applyFont="1" applyFill="1" applyBorder="1"/>
    <xf numFmtId="37" fontId="209" fillId="55" borderId="186" xfId="0" applyNumberFormat="1" applyFont="1" applyFill="1" applyBorder="1"/>
    <xf numFmtId="0" fontId="214" fillId="2" borderId="0" xfId="0" applyFont="1" applyAlignment="1">
      <alignment horizontal="right"/>
    </xf>
    <xf numFmtId="0" fontId="211" fillId="2" borderId="0" xfId="0" applyFont="1" applyAlignment="1">
      <alignment horizontal="right"/>
    </xf>
    <xf numFmtId="38" fontId="211" fillId="2" borderId="147" xfId="0" applyNumberFormat="1" applyFont="1" applyBorder="1"/>
    <xf numFmtId="38" fontId="211" fillId="2" borderId="199" xfId="0" applyNumberFormat="1" applyFont="1" applyBorder="1"/>
    <xf numFmtId="38" fontId="211" fillId="2" borderId="176" xfId="0" applyNumberFormat="1" applyFont="1" applyBorder="1"/>
    <xf numFmtId="38" fontId="211" fillId="25" borderId="199" xfId="0" applyNumberFormat="1" applyFont="1" applyFill="1" applyBorder="1"/>
    <xf numFmtId="38" fontId="211" fillId="25" borderId="241" xfId="0" applyNumberFormat="1" applyFont="1" applyFill="1" applyBorder="1"/>
    <xf numFmtId="38" fontId="211" fillId="25" borderId="181" xfId="0" applyNumberFormat="1" applyFont="1" applyFill="1" applyBorder="1"/>
    <xf numFmtId="0" fontId="211" fillId="2" borderId="0" xfId="0" applyFont="1" applyBorder="1" applyAlignment="1">
      <alignment horizontal="right"/>
    </xf>
    <xf numFmtId="175" fontId="211" fillId="2" borderId="199" xfId="0" applyNumberFormat="1" applyFont="1" applyBorder="1"/>
    <xf numFmtId="38" fontId="211" fillId="55" borderId="199" xfId="0" applyNumberFormat="1" applyFont="1" applyFill="1" applyBorder="1"/>
    <xf numFmtId="0" fontId="214" fillId="2" borderId="0" xfId="0" applyFont="1" applyAlignment="1">
      <alignment horizontal="center"/>
    </xf>
    <xf numFmtId="0" fontId="209" fillId="2" borderId="0" xfId="0" applyFont="1" applyAlignment="1">
      <alignment horizontal="left"/>
    </xf>
    <xf numFmtId="0" fontId="209" fillId="4" borderId="0" xfId="0" applyFont="1" applyFill="1" applyAlignment="1">
      <alignment horizontal="left"/>
    </xf>
    <xf numFmtId="38" fontId="211" fillId="2" borderId="241" xfId="0" applyNumberFormat="1" applyFont="1" applyBorder="1"/>
    <xf numFmtId="37" fontId="97" fillId="29" borderId="345" xfId="0" applyNumberFormat="1" applyFont="1" applyFill="1" applyBorder="1"/>
    <xf numFmtId="0" fontId="110" fillId="36" borderId="437" xfId="0" applyFont="1" applyFill="1" applyBorder="1"/>
    <xf numFmtId="0" fontId="0" fillId="55" borderId="435" xfId="0" applyFill="1" applyBorder="1"/>
    <xf numFmtId="0" fontId="125" fillId="12" borderId="438" xfId="0" quotePrefix="1" applyFont="1" applyFill="1" applyBorder="1" applyAlignment="1">
      <alignment horizontal="center"/>
    </xf>
    <xf numFmtId="0" fontId="97" fillId="19" borderId="439" xfId="0" applyFont="1" applyFill="1" applyBorder="1" applyAlignment="1">
      <alignment horizontal="center"/>
    </xf>
    <xf numFmtId="0" fontId="97" fillId="19" borderId="440" xfId="0" applyFont="1" applyFill="1" applyBorder="1" applyAlignment="1">
      <alignment horizontal="center"/>
    </xf>
    <xf numFmtId="174" fontId="97" fillId="19" borderId="441" xfId="0" applyNumberFormat="1" applyFont="1" applyFill="1" applyBorder="1"/>
    <xf numFmtId="37" fontId="97" fillId="19" borderId="442" xfId="0" applyNumberFormat="1" applyFont="1" applyFill="1" applyBorder="1"/>
    <xf numFmtId="37" fontId="97" fillId="19" borderId="441" xfId="0" applyNumberFormat="1" applyFont="1" applyFill="1" applyBorder="1"/>
    <xf numFmtId="177" fontId="97" fillId="19" borderId="441" xfId="0" applyNumberFormat="1" applyFont="1" applyFill="1" applyBorder="1"/>
    <xf numFmtId="37" fontId="97" fillId="19" borderId="443" xfId="0" applyNumberFormat="1" applyFont="1" applyFill="1" applyBorder="1"/>
    <xf numFmtId="37" fontId="97" fillId="19" borderId="444" xfId="0" applyNumberFormat="1" applyFont="1" applyFill="1" applyBorder="1"/>
    <xf numFmtId="0" fontId="125" fillId="12" borderId="445" xfId="0" quotePrefix="1" applyFont="1" applyFill="1" applyBorder="1" applyAlignment="1">
      <alignment horizontal="center"/>
    </xf>
    <xf numFmtId="0" fontId="97" fillId="19" borderId="446" xfId="0" applyFont="1" applyFill="1" applyBorder="1" applyAlignment="1">
      <alignment horizontal="center"/>
    </xf>
    <xf numFmtId="0" fontId="97" fillId="19" borderId="447" xfId="0" applyFont="1" applyFill="1" applyBorder="1" applyAlignment="1">
      <alignment horizontal="center"/>
    </xf>
    <xf numFmtId="174" fontId="97" fillId="19" borderId="448" xfId="0" applyNumberFormat="1" applyFont="1" applyFill="1" applyBorder="1"/>
    <xf numFmtId="37" fontId="97" fillId="19" borderId="448" xfId="0" applyNumberFormat="1" applyFont="1" applyFill="1" applyBorder="1"/>
    <xf numFmtId="177" fontId="97" fillId="19" borderId="448" xfId="0" applyNumberFormat="1" applyFont="1" applyFill="1" applyBorder="1"/>
    <xf numFmtId="37" fontId="97" fillId="19" borderId="445" xfId="0" applyNumberFormat="1" applyFont="1" applyFill="1" applyBorder="1"/>
    <xf numFmtId="37" fontId="97" fillId="19" borderId="449" xfId="0" applyNumberFormat="1" applyFont="1" applyFill="1" applyBorder="1"/>
    <xf numFmtId="0" fontId="9" fillId="12" borderId="450" xfId="0" quotePrefix="1" applyFont="1" applyFill="1" applyBorder="1" applyAlignment="1">
      <alignment horizontal="center"/>
    </xf>
    <xf numFmtId="0" fontId="97" fillId="19" borderId="451" xfId="0" applyFont="1" applyFill="1" applyBorder="1" applyAlignment="1">
      <alignment horizontal="center"/>
    </xf>
    <xf numFmtId="0" fontId="97" fillId="19" borderId="96" xfId="0" applyFont="1" applyFill="1" applyBorder="1" applyAlignment="1">
      <alignment horizontal="center"/>
    </xf>
    <xf numFmtId="174" fontId="97" fillId="19" borderId="452" xfId="0" applyNumberFormat="1" applyFont="1" applyFill="1" applyBorder="1"/>
    <xf numFmtId="37" fontId="97" fillId="19" borderId="452" xfId="0" applyNumberFormat="1" applyFont="1" applyFill="1" applyBorder="1"/>
    <xf numFmtId="177" fontId="97" fillId="19" borderId="452" xfId="0" applyNumberFormat="1" applyFont="1" applyFill="1" applyBorder="1"/>
    <xf numFmtId="37" fontId="97" fillId="19" borderId="450" xfId="0" applyNumberFormat="1" applyFont="1" applyFill="1" applyBorder="1"/>
    <xf numFmtId="37" fontId="97" fillId="19" borderId="176" xfId="0" applyNumberFormat="1" applyFont="1" applyFill="1" applyBorder="1" applyAlignment="1">
      <alignment horizontal="center"/>
    </xf>
    <xf numFmtId="37" fontId="97" fillId="19" borderId="453" xfId="0" applyNumberFormat="1" applyFont="1" applyFill="1" applyBorder="1"/>
    <xf numFmtId="37" fontId="88" fillId="25" borderId="0" xfId="0" applyNumberFormat="1" applyFont="1" applyFill="1" applyBorder="1" applyAlignment="1">
      <alignment horizontal="center"/>
    </xf>
    <xf numFmtId="0" fontId="9" fillId="25" borderId="454" xfId="0" quotePrefix="1" applyFont="1" applyFill="1" applyBorder="1" applyAlignment="1">
      <alignment horizontal="center"/>
    </xf>
    <xf numFmtId="0" fontId="88" fillId="25" borderId="184" xfId="0" applyFont="1" applyFill="1" applyBorder="1" applyAlignment="1">
      <alignment horizontal="center"/>
    </xf>
    <xf numFmtId="174" fontId="88" fillId="25" borderId="455" xfId="0" applyNumberFormat="1" applyFont="1" applyFill="1" applyBorder="1"/>
    <xf numFmtId="37" fontId="88" fillId="25" borderId="455" xfId="0" applyNumberFormat="1" applyFont="1" applyFill="1" applyBorder="1"/>
    <xf numFmtId="177" fontId="88" fillId="25" borderId="455" xfId="0" applyNumberFormat="1" applyFont="1" applyFill="1" applyBorder="1"/>
    <xf numFmtId="37" fontId="88" fillId="25" borderId="454" xfId="0" applyNumberFormat="1" applyFont="1" applyFill="1" applyBorder="1"/>
    <xf numFmtId="37" fontId="88" fillId="25" borderId="410" xfId="0" applyNumberFormat="1" applyFont="1" applyFill="1" applyBorder="1"/>
    <xf numFmtId="0" fontId="125" fillId="25" borderId="443" xfId="0" quotePrefix="1" applyFont="1" applyFill="1" applyBorder="1" applyAlignment="1">
      <alignment horizontal="center"/>
    </xf>
    <xf numFmtId="0" fontId="88" fillId="25" borderId="456" xfId="0" applyFont="1" applyFill="1" applyBorder="1" applyAlignment="1">
      <alignment horizontal="center"/>
    </xf>
    <xf numFmtId="0" fontId="88" fillId="25" borderId="440" xfId="0" applyFont="1" applyFill="1" applyBorder="1" applyAlignment="1">
      <alignment horizontal="center"/>
    </xf>
    <xf numFmtId="174" fontId="88" fillId="25" borderId="457" xfId="0" applyNumberFormat="1" applyFont="1" applyFill="1" applyBorder="1"/>
    <xf numFmtId="37" fontId="88" fillId="25" borderId="457" xfId="0" applyNumberFormat="1" applyFont="1" applyFill="1" applyBorder="1"/>
    <xf numFmtId="177" fontId="88" fillId="25" borderId="457" xfId="0" applyNumberFormat="1" applyFont="1" applyFill="1" applyBorder="1"/>
    <xf numFmtId="37" fontId="88" fillId="25" borderId="458" xfId="0" applyNumberFormat="1" applyFont="1" applyFill="1" applyBorder="1"/>
    <xf numFmtId="37" fontId="88" fillId="25" borderId="459" xfId="0" applyNumberFormat="1" applyFont="1" applyFill="1" applyBorder="1"/>
    <xf numFmtId="0" fontId="125" fillId="12" borderId="460" xfId="0" quotePrefix="1" applyFont="1" applyFill="1" applyBorder="1" applyAlignment="1">
      <alignment horizontal="center"/>
    </xf>
    <xf numFmtId="0" fontId="88" fillId="5" borderId="461" xfId="0" applyFont="1" applyFill="1" applyBorder="1" applyAlignment="1">
      <alignment horizontal="center"/>
    </xf>
    <xf numFmtId="0" fontId="88" fillId="5" borderId="97" xfId="0" applyFont="1" applyFill="1" applyBorder="1" applyAlignment="1">
      <alignment horizontal="center"/>
    </xf>
    <xf numFmtId="0" fontId="88" fillId="5" borderId="447" xfId="0" applyFont="1" applyFill="1" applyBorder="1" applyAlignment="1">
      <alignment horizontal="center"/>
    </xf>
    <xf numFmtId="174" fontId="88" fillId="5" borderId="462" xfId="0" applyNumberFormat="1" applyFont="1" applyFill="1" applyBorder="1"/>
    <xf numFmtId="37" fontId="88" fillId="5" borderId="462" xfId="0" applyNumberFormat="1" applyFont="1" applyFill="1" applyBorder="1"/>
    <xf numFmtId="177" fontId="88" fillId="5" borderId="462" xfId="0" applyNumberFormat="1" applyFont="1" applyFill="1" applyBorder="1"/>
    <xf numFmtId="37" fontId="88" fillId="5" borderId="460" xfId="0" applyNumberFormat="1" applyFont="1" applyFill="1" applyBorder="1"/>
    <xf numFmtId="37" fontId="88" fillId="5" borderId="463" xfId="0" applyNumberFormat="1" applyFont="1" applyFill="1" applyBorder="1"/>
    <xf numFmtId="0" fontId="88" fillId="5" borderId="168" xfId="0" applyFont="1" applyFill="1" applyBorder="1"/>
    <xf numFmtId="0" fontId="88" fillId="5" borderId="125" xfId="0" applyFont="1" applyFill="1" applyBorder="1"/>
    <xf numFmtId="0" fontId="88" fillId="5" borderId="464" xfId="0" applyFont="1" applyFill="1" applyBorder="1" applyAlignment="1">
      <alignment horizontal="center"/>
    </xf>
    <xf numFmtId="0" fontId="88" fillId="5" borderId="440" xfId="0" applyFont="1" applyFill="1" applyBorder="1" applyAlignment="1">
      <alignment horizontal="center"/>
    </xf>
    <xf numFmtId="37" fontId="88" fillId="5" borderId="125" xfId="0" applyNumberFormat="1" applyFont="1" applyFill="1" applyBorder="1"/>
    <xf numFmtId="177" fontId="88" fillId="5" borderId="125" xfId="0" applyNumberFormat="1" applyFont="1" applyFill="1" applyBorder="1"/>
    <xf numFmtId="37" fontId="88" fillId="5" borderId="125" xfId="0" applyNumberFormat="1" applyFont="1" applyFill="1" applyBorder="1" applyAlignment="1">
      <alignment horizontal="center"/>
    </xf>
    <xf numFmtId="0" fontId="88" fillId="5" borderId="260" xfId="0" applyFont="1" applyFill="1" applyBorder="1"/>
    <xf numFmtId="0" fontId="88" fillId="5" borderId="194" xfId="0" applyFont="1" applyFill="1" applyBorder="1"/>
    <xf numFmtId="0" fontId="9" fillId="12" borderId="465" xfId="0" quotePrefix="1" applyFont="1" applyFill="1" applyBorder="1" applyAlignment="1">
      <alignment horizontal="center"/>
    </xf>
    <xf numFmtId="0" fontId="88" fillId="5" borderId="184" xfId="0" applyFont="1" applyFill="1" applyBorder="1" applyAlignment="1">
      <alignment horizontal="center"/>
    </xf>
    <xf numFmtId="174" fontId="88" fillId="5" borderId="466" xfId="0" applyNumberFormat="1" applyFont="1" applyFill="1" applyBorder="1"/>
    <xf numFmtId="37" fontId="88" fillId="5" borderId="466" xfId="0" applyNumberFormat="1" applyFont="1" applyFill="1" applyBorder="1"/>
    <xf numFmtId="37" fontId="88" fillId="5" borderId="194" xfId="0" applyNumberFormat="1" applyFont="1" applyFill="1" applyBorder="1"/>
    <xf numFmtId="177" fontId="88" fillId="5" borderId="466" xfId="0" applyNumberFormat="1" applyFont="1" applyFill="1" applyBorder="1"/>
    <xf numFmtId="177" fontId="88" fillId="5" borderId="194" xfId="0" applyNumberFormat="1" applyFont="1" applyFill="1" applyBorder="1"/>
    <xf numFmtId="37" fontId="88" fillId="5" borderId="465" xfId="0" applyNumberFormat="1" applyFont="1" applyFill="1" applyBorder="1"/>
    <xf numFmtId="37" fontId="88" fillId="5" borderId="194" xfId="0" applyNumberFormat="1" applyFont="1" applyFill="1" applyBorder="1" applyAlignment="1">
      <alignment horizontal="center"/>
    </xf>
    <xf numFmtId="37" fontId="88" fillId="5" borderId="467" xfId="0" applyNumberFormat="1" applyFont="1" applyFill="1" applyBorder="1"/>
    <xf numFmtId="0" fontId="125" fillId="12" borderId="468" xfId="0" quotePrefix="1" applyFont="1" applyFill="1" applyBorder="1" applyAlignment="1">
      <alignment horizontal="center"/>
    </xf>
    <xf numFmtId="174" fontId="88" fillId="5" borderId="469" xfId="0" applyNumberFormat="1" applyFont="1" applyFill="1" applyBorder="1"/>
    <xf numFmtId="37" fontId="88" fillId="5" borderId="469" xfId="0" applyNumberFormat="1" applyFont="1" applyFill="1" applyBorder="1"/>
    <xf numFmtId="177" fontId="88" fillId="5" borderId="469" xfId="0" applyNumberFormat="1" applyFont="1" applyFill="1" applyBorder="1"/>
    <xf numFmtId="37" fontId="88" fillId="5" borderId="468" xfId="0" applyNumberFormat="1" applyFont="1" applyFill="1" applyBorder="1"/>
    <xf numFmtId="37" fontId="88" fillId="5" borderId="335" xfId="0" applyNumberFormat="1" applyFont="1" applyFill="1" applyBorder="1"/>
    <xf numFmtId="0" fontId="88" fillId="34" borderId="168" xfId="0" applyFont="1" applyFill="1" applyBorder="1"/>
    <xf numFmtId="0" fontId="88" fillId="34" borderId="125" xfId="0" applyFont="1" applyFill="1" applyBorder="1"/>
    <xf numFmtId="0" fontId="125" fillId="26" borderId="470" xfId="0" quotePrefix="1" applyFont="1" applyFill="1" applyBorder="1" applyAlignment="1">
      <alignment horizontal="center"/>
    </xf>
    <xf numFmtId="0" fontId="26" fillId="34" borderId="464" xfId="0" applyFont="1" applyFill="1" applyBorder="1" applyAlignment="1">
      <alignment horizontal="center"/>
    </xf>
    <xf numFmtId="0" fontId="88" fillId="34" borderId="440" xfId="0" applyFont="1" applyFill="1" applyBorder="1" applyAlignment="1">
      <alignment horizontal="center"/>
    </xf>
    <xf numFmtId="174" fontId="88" fillId="34" borderId="471" xfId="0" applyNumberFormat="1" applyFont="1" applyFill="1" applyBorder="1"/>
    <xf numFmtId="37" fontId="88" fillId="34" borderId="471" xfId="0" applyNumberFormat="1" applyFont="1" applyFill="1" applyBorder="1"/>
    <xf numFmtId="37" fontId="88" fillId="34" borderId="125" xfId="0" applyNumberFormat="1" applyFont="1" applyFill="1" applyBorder="1"/>
    <xf numFmtId="177" fontId="88" fillId="34" borderId="471" xfId="0" applyNumberFormat="1" applyFont="1" applyFill="1" applyBorder="1"/>
    <xf numFmtId="177" fontId="88" fillId="34" borderId="125" xfId="0" applyNumberFormat="1" applyFont="1" applyFill="1" applyBorder="1"/>
    <xf numFmtId="37" fontId="88" fillId="34" borderId="470" xfId="0" applyNumberFormat="1" applyFont="1" applyFill="1" applyBorder="1"/>
    <xf numFmtId="37" fontId="88" fillId="34" borderId="125" xfId="0" applyNumberFormat="1" applyFont="1" applyFill="1" applyBorder="1" applyAlignment="1">
      <alignment horizontal="center"/>
    </xf>
    <xf numFmtId="37" fontId="88" fillId="34" borderId="285" xfId="0" applyNumberFormat="1" applyFont="1" applyFill="1" applyBorder="1"/>
    <xf numFmtId="0" fontId="125" fillId="26" borderId="332" xfId="0" quotePrefix="1" applyFont="1" applyFill="1" applyBorder="1" applyAlignment="1">
      <alignment horizontal="center"/>
    </xf>
    <xf numFmtId="0" fontId="88" fillId="34" borderId="472" xfId="0" applyFont="1" applyFill="1" applyBorder="1" applyAlignment="1">
      <alignment horizontal="center"/>
    </xf>
    <xf numFmtId="0" fontId="88" fillId="34" borderId="97" xfId="0" applyFont="1" applyFill="1" applyBorder="1" applyAlignment="1">
      <alignment horizontal="center"/>
    </xf>
    <xf numFmtId="0" fontId="88" fillId="34" borderId="447" xfId="0" applyFont="1" applyFill="1" applyBorder="1" applyAlignment="1">
      <alignment horizontal="center"/>
    </xf>
    <xf numFmtId="174" fontId="88" fillId="34" borderId="473" xfId="0" applyNumberFormat="1" applyFont="1" applyFill="1" applyBorder="1"/>
    <xf numFmtId="37" fontId="88" fillId="34" borderId="473" xfId="0" applyNumberFormat="1" applyFont="1" applyFill="1" applyBorder="1"/>
    <xf numFmtId="177" fontId="88" fillId="34" borderId="473" xfId="0" applyNumberFormat="1" applyFont="1" applyFill="1" applyBorder="1"/>
    <xf numFmtId="37" fontId="88" fillId="34" borderId="332" xfId="0" applyNumberFormat="1" applyFont="1" applyFill="1" applyBorder="1"/>
    <xf numFmtId="37" fontId="88" fillId="34" borderId="474" xfId="0" applyNumberFormat="1" applyFont="1" applyFill="1" applyBorder="1"/>
    <xf numFmtId="0" fontId="9" fillId="26" borderId="317" xfId="0" quotePrefix="1" applyFont="1" applyFill="1" applyBorder="1" applyAlignment="1">
      <alignment horizontal="center"/>
    </xf>
    <xf numFmtId="0" fontId="26" fillId="34" borderId="475" xfId="0" applyFont="1" applyFill="1" applyBorder="1" applyAlignment="1">
      <alignment horizontal="center"/>
    </xf>
    <xf numFmtId="0" fontId="88" fillId="34" borderId="96" xfId="0" applyFont="1" applyFill="1" applyBorder="1" applyAlignment="1">
      <alignment horizontal="center"/>
    </xf>
    <xf numFmtId="174" fontId="88" fillId="34" borderId="476" xfId="0" applyNumberFormat="1" applyFont="1" applyFill="1" applyBorder="1"/>
    <xf numFmtId="37" fontId="88" fillId="34" borderId="476" xfId="0" applyNumberFormat="1" applyFont="1" applyFill="1" applyBorder="1"/>
    <xf numFmtId="177" fontId="88" fillId="34" borderId="476" xfId="0" applyNumberFormat="1" applyFont="1" applyFill="1" applyBorder="1"/>
    <xf numFmtId="37" fontId="88" fillId="34" borderId="477" xfId="0" applyNumberFormat="1" applyFont="1" applyFill="1" applyBorder="1"/>
    <xf numFmtId="37" fontId="88" fillId="34" borderId="176" xfId="0" applyNumberFormat="1" applyFont="1" applyFill="1" applyBorder="1" applyAlignment="1">
      <alignment horizontal="center"/>
    </xf>
    <xf numFmtId="37" fontId="88" fillId="34" borderId="478" xfId="0" applyNumberFormat="1" applyFont="1" applyFill="1" applyBorder="1"/>
    <xf numFmtId="0" fontId="9" fillId="26" borderId="479" xfId="0" quotePrefix="1" applyFont="1" applyFill="1" applyBorder="1" applyAlignment="1">
      <alignment horizontal="center"/>
    </xf>
    <xf numFmtId="0" fontId="26" fillId="37" borderId="144" xfId="0" applyFont="1" applyFill="1" applyBorder="1" applyAlignment="1">
      <alignment horizontal="center"/>
    </xf>
    <xf numFmtId="0" fontId="88" fillId="37" borderId="194" xfId="0" applyFont="1" applyFill="1" applyBorder="1" applyAlignment="1">
      <alignment horizontal="center"/>
    </xf>
    <xf numFmtId="0" fontId="88" fillId="37" borderId="184" xfId="0" applyFont="1" applyFill="1" applyBorder="1" applyAlignment="1">
      <alignment horizontal="center"/>
    </xf>
    <xf numFmtId="37" fontId="88" fillId="37" borderId="479" xfId="0" applyNumberFormat="1" applyFont="1" applyFill="1" applyBorder="1"/>
    <xf numFmtId="37" fontId="88" fillId="37" borderId="480" xfId="0" applyNumberFormat="1" applyFont="1" applyFill="1" applyBorder="1"/>
    <xf numFmtId="0" fontId="88" fillId="37" borderId="125" xfId="0" applyFont="1" applyFill="1" applyBorder="1"/>
    <xf numFmtId="0" fontId="125" fillId="26" borderId="481" xfId="0" quotePrefix="1" applyFont="1" applyFill="1" applyBorder="1" applyAlignment="1">
      <alignment horizontal="center"/>
    </xf>
    <xf numFmtId="0" fontId="26" fillId="37" borderId="482" xfId="0" applyFont="1" applyFill="1" applyBorder="1" applyAlignment="1">
      <alignment horizontal="center"/>
    </xf>
    <xf numFmtId="0" fontId="88" fillId="37" borderId="440" xfId="0" applyFont="1" applyFill="1" applyBorder="1" applyAlignment="1">
      <alignment horizontal="center"/>
    </xf>
    <xf numFmtId="174" fontId="88" fillId="37" borderId="283" xfId="0" applyNumberFormat="1" applyFont="1" applyFill="1" applyBorder="1"/>
    <xf numFmtId="37" fontId="88" fillId="37" borderId="283" xfId="0" applyNumberFormat="1" applyFont="1" applyFill="1" applyBorder="1"/>
    <xf numFmtId="37" fontId="88" fillId="37" borderId="125" xfId="0" applyNumberFormat="1" applyFont="1" applyFill="1" applyBorder="1"/>
    <xf numFmtId="177" fontId="88" fillId="37" borderId="283" xfId="0" applyNumberFormat="1" applyFont="1" applyFill="1" applyBorder="1"/>
    <xf numFmtId="177" fontId="88" fillId="37" borderId="125" xfId="0" applyNumberFormat="1" applyFont="1" applyFill="1" applyBorder="1"/>
    <xf numFmtId="37" fontId="88" fillId="37" borderId="481" xfId="0" applyNumberFormat="1" applyFont="1" applyFill="1" applyBorder="1"/>
    <xf numFmtId="37" fontId="88" fillId="37" borderId="125" xfId="0" applyNumberFormat="1" applyFont="1" applyFill="1" applyBorder="1" applyAlignment="1">
      <alignment horizontal="center"/>
    </xf>
    <xf numFmtId="37" fontId="88" fillId="37" borderId="483" xfId="0" applyNumberFormat="1" applyFont="1" applyFill="1" applyBorder="1"/>
    <xf numFmtId="0" fontId="125" fillId="26" borderId="484" xfId="0" quotePrefix="1" applyFont="1" applyFill="1" applyBorder="1" applyAlignment="1">
      <alignment horizontal="center"/>
    </xf>
    <xf numFmtId="0" fontId="26" fillId="37" borderId="485" xfId="0" applyFont="1" applyFill="1" applyBorder="1" applyAlignment="1">
      <alignment horizontal="center"/>
    </xf>
    <xf numFmtId="0" fontId="88" fillId="37" borderId="97" xfId="0" applyFont="1" applyFill="1" applyBorder="1" applyAlignment="1">
      <alignment horizontal="center"/>
    </xf>
    <xf numFmtId="0" fontId="88" fillId="37" borderId="447" xfId="0" applyFont="1" applyFill="1" applyBorder="1" applyAlignment="1">
      <alignment horizontal="center"/>
    </xf>
    <xf numFmtId="174" fontId="88" fillId="37" borderId="486" xfId="0" applyNumberFormat="1" applyFont="1" applyFill="1" applyBorder="1"/>
    <xf numFmtId="37" fontId="88" fillId="37" borderId="486" xfId="0" applyNumberFormat="1" applyFont="1" applyFill="1" applyBorder="1"/>
    <xf numFmtId="177" fontId="88" fillId="37" borderId="486" xfId="0" applyNumberFormat="1" applyFont="1" applyFill="1" applyBorder="1"/>
    <xf numFmtId="37" fontId="88" fillId="37" borderId="484" xfId="0" applyNumberFormat="1" applyFont="1" applyFill="1" applyBorder="1"/>
    <xf numFmtId="37" fontId="88" fillId="37" borderId="487" xfId="0" applyNumberFormat="1" applyFont="1" applyFill="1" applyBorder="1"/>
    <xf numFmtId="0" fontId="88" fillId="37" borderId="168" xfId="0" applyFont="1" applyFill="1" applyBorder="1"/>
    <xf numFmtId="0" fontId="88" fillId="37" borderId="194" xfId="0" applyFont="1" applyFill="1" applyBorder="1"/>
    <xf numFmtId="174" fontId="88" fillId="37" borderId="488" xfId="0" applyNumberFormat="1" applyFont="1" applyFill="1" applyBorder="1"/>
    <xf numFmtId="37" fontId="88" fillId="37" borderId="488" xfId="0" applyNumberFormat="1" applyFont="1" applyFill="1" applyBorder="1"/>
    <xf numFmtId="37" fontId="88" fillId="37" borderId="194" xfId="0" applyNumberFormat="1" applyFont="1" applyFill="1" applyBorder="1"/>
    <xf numFmtId="177" fontId="88" fillId="37" borderId="488" xfId="0" applyNumberFormat="1" applyFont="1" applyFill="1" applyBorder="1"/>
    <xf numFmtId="177" fontId="88" fillId="37" borderId="194" xfId="0" applyNumberFormat="1" applyFont="1" applyFill="1" applyBorder="1"/>
    <xf numFmtId="37" fontId="88" fillId="37" borderId="194" xfId="0" applyNumberFormat="1" applyFont="1" applyFill="1" applyBorder="1" applyAlignment="1">
      <alignment horizontal="center"/>
    </xf>
    <xf numFmtId="0" fontId="88" fillId="37" borderId="260" xfId="0" applyFont="1" applyFill="1" applyBorder="1"/>
    <xf numFmtId="37" fontId="94" fillId="7" borderId="489" xfId="0" applyNumberFormat="1" applyFont="1" applyFill="1" applyBorder="1"/>
    <xf numFmtId="190" fontId="4" fillId="2" borderId="0" xfId="0" applyNumberFormat="1" applyFont="1" applyAlignment="1">
      <alignment horizontal="right"/>
    </xf>
    <xf numFmtId="176" fontId="36" fillId="2" borderId="0" xfId="0" applyNumberFormat="1" applyFont="1"/>
    <xf numFmtId="176" fontId="36" fillId="27" borderId="0" xfId="0" applyNumberFormat="1" applyFont="1" applyFill="1" applyBorder="1"/>
    <xf numFmtId="176" fontId="46" fillId="2" borderId="0" xfId="0" applyNumberFormat="1" applyFont="1"/>
    <xf numFmtId="176" fontId="36" fillId="4" borderId="0" xfId="0" applyNumberFormat="1" applyFont="1" applyFill="1"/>
    <xf numFmtId="176" fontId="30" fillId="4" borderId="0" xfId="0" applyNumberFormat="1" applyFont="1" applyFill="1" applyAlignment="1">
      <alignment horizontal="center"/>
    </xf>
    <xf numFmtId="0" fontId="46" fillId="27" borderId="490" xfId="0" applyFont="1" applyFill="1" applyBorder="1"/>
    <xf numFmtId="0" fontId="160" fillId="27" borderId="491" xfId="0" applyFont="1" applyFill="1" applyBorder="1" applyAlignment="1">
      <alignment horizontal="right"/>
    </xf>
    <xf numFmtId="0" fontId="160" fillId="29" borderId="492" xfId="0" applyFont="1" applyFill="1" applyBorder="1"/>
    <xf numFmtId="0" fontId="160" fillId="29" borderId="492" xfId="0" applyFont="1" applyFill="1" applyBorder="1" applyAlignment="1">
      <alignment horizontal="right"/>
    </xf>
    <xf numFmtId="0" fontId="40" fillId="2" borderId="491" xfId="0" applyFont="1" applyBorder="1"/>
    <xf numFmtId="38" fontId="0" fillId="2" borderId="477" xfId="0" applyNumberFormat="1" applyBorder="1"/>
    <xf numFmtId="0" fontId="0" fillId="2" borderId="490" xfId="0" applyBorder="1"/>
    <xf numFmtId="0" fontId="160" fillId="2" borderId="0" xfId="0" applyFont="1" applyAlignment="1">
      <alignment horizontal="center"/>
    </xf>
    <xf numFmtId="0" fontId="186" fillId="26" borderId="171" xfId="0" applyFont="1" applyFill="1" applyBorder="1"/>
    <xf numFmtId="0" fontId="186" fillId="26" borderId="477" xfId="0" applyFont="1" applyFill="1" applyBorder="1" applyAlignment="1">
      <alignment horizontal="center"/>
    </xf>
    <xf numFmtId="0" fontId="15" fillId="26" borderId="477" xfId="0" applyFont="1" applyFill="1" applyBorder="1" applyAlignment="1">
      <alignment horizontal="center"/>
    </xf>
    <xf numFmtId="38" fontId="186" fillId="27" borderId="171" xfId="0" applyNumberFormat="1" applyFont="1" applyFill="1" applyBorder="1"/>
    <xf numFmtId="0" fontId="15" fillId="26" borderId="477" xfId="0" applyFont="1" applyFill="1" applyBorder="1"/>
    <xf numFmtId="8" fontId="15" fillId="26" borderId="171" xfId="0" applyNumberFormat="1" applyFont="1" applyFill="1" applyBorder="1"/>
    <xf numFmtId="176" fontId="4" fillId="27" borderId="143" xfId="0" applyNumberFormat="1" applyFont="1" applyFill="1" applyBorder="1"/>
    <xf numFmtId="176" fontId="4" fillId="27" borderId="144" xfId="0" applyNumberFormat="1" applyFont="1" applyFill="1" applyBorder="1" applyAlignment="1">
      <alignment horizontal="center"/>
    </xf>
    <xf numFmtId="176" fontId="4" fillId="27" borderId="163" xfId="0" applyNumberFormat="1" applyFont="1" applyFill="1" applyBorder="1"/>
    <xf numFmtId="176" fontId="4" fillId="27" borderId="194" xfId="0" applyNumberFormat="1" applyFont="1" applyFill="1" applyBorder="1" applyAlignment="1">
      <alignment horizontal="center"/>
    </xf>
    <xf numFmtId="176" fontId="4" fillId="27" borderId="218" xfId="0" applyNumberFormat="1" applyFont="1" applyFill="1" applyBorder="1"/>
    <xf numFmtId="176" fontId="4" fillId="26" borderId="188" xfId="0" applyNumberFormat="1" applyFont="1" applyFill="1" applyBorder="1"/>
    <xf numFmtId="176" fontId="4" fillId="26" borderId="193" xfId="0" applyNumberFormat="1" applyFont="1" applyFill="1" applyBorder="1" applyAlignment="1">
      <alignment horizontal="center"/>
    </xf>
    <xf numFmtId="176" fontId="4" fillId="27" borderId="23" xfId="0" applyNumberFormat="1" applyFont="1" applyFill="1" applyBorder="1" applyAlignment="1">
      <alignment horizontal="center"/>
    </xf>
    <xf numFmtId="176" fontId="4" fillId="27" borderId="143" xfId="0" applyNumberFormat="1" applyFont="1" applyFill="1" applyBorder="1" applyAlignment="1">
      <alignment horizontal="right"/>
    </xf>
    <xf numFmtId="176" fontId="4" fillId="27" borderId="163" xfId="0" applyNumberFormat="1" applyFont="1" applyFill="1" applyBorder="1" applyAlignment="1">
      <alignment horizontal="right"/>
    </xf>
    <xf numFmtId="176" fontId="4" fillId="27" borderId="218" xfId="0" applyNumberFormat="1" applyFont="1" applyFill="1" applyBorder="1" applyAlignment="1">
      <alignment horizontal="right"/>
    </xf>
    <xf numFmtId="176" fontId="4" fillId="26" borderId="188" xfId="0" applyNumberFormat="1" applyFont="1" applyFill="1" applyBorder="1" applyAlignment="1">
      <alignment horizontal="right"/>
    </xf>
    <xf numFmtId="6" fontId="15" fillId="36" borderId="419" xfId="0" applyNumberFormat="1" applyFont="1" applyFill="1" applyBorder="1"/>
    <xf numFmtId="6" fontId="15" fillId="26" borderId="217" xfId="0" applyNumberFormat="1" applyFont="1" applyFill="1" applyBorder="1"/>
    <xf numFmtId="176" fontId="198" fillId="28" borderId="36" xfId="0" applyNumberFormat="1" applyFont="1" applyFill="1" applyBorder="1" applyProtection="1">
      <protection locked="0"/>
    </xf>
    <xf numFmtId="176" fontId="46" fillId="27" borderId="171" xfId="0" applyNumberFormat="1" applyFont="1" applyFill="1" applyBorder="1"/>
    <xf numFmtId="176" fontId="202" fillId="27" borderId="36" xfId="0" applyNumberFormat="1" applyFont="1" applyFill="1" applyBorder="1" applyProtection="1">
      <protection locked="0"/>
    </xf>
    <xf numFmtId="176" fontId="201" fillId="27" borderId="36" xfId="0" applyNumberFormat="1" applyFont="1" applyFill="1" applyBorder="1" applyProtection="1">
      <protection locked="0"/>
    </xf>
    <xf numFmtId="176" fontId="150" fillId="27" borderId="36" xfId="0" applyNumberFormat="1" applyFont="1" applyFill="1" applyBorder="1" applyProtection="1">
      <protection locked="0"/>
    </xf>
    <xf numFmtId="176" fontId="168" fillId="27" borderId="36" xfId="0" applyNumberFormat="1" applyFont="1" applyFill="1" applyBorder="1" applyProtection="1">
      <protection locked="0"/>
    </xf>
    <xf numFmtId="176" fontId="46" fillId="27" borderId="428" xfId="0" applyNumberFormat="1" applyFont="1" applyFill="1" applyBorder="1"/>
    <xf numFmtId="176" fontId="202" fillId="27" borderId="217" xfId="0" applyNumberFormat="1" applyFont="1" applyFill="1" applyBorder="1" applyProtection="1">
      <protection locked="0"/>
    </xf>
    <xf numFmtId="176" fontId="201" fillId="27" borderId="217" xfId="0" applyNumberFormat="1" applyFont="1" applyFill="1" applyBorder="1" applyProtection="1">
      <protection locked="0"/>
    </xf>
    <xf numFmtId="176" fontId="150" fillId="27" borderId="217" xfId="0" applyNumberFormat="1" applyFont="1" applyFill="1" applyBorder="1" applyProtection="1">
      <protection locked="0"/>
    </xf>
    <xf numFmtId="176" fontId="168" fillId="27" borderId="217" xfId="0" applyNumberFormat="1" applyFont="1" applyFill="1" applyBorder="1" applyProtection="1">
      <protection locked="0"/>
    </xf>
    <xf numFmtId="176" fontId="46" fillId="29" borderId="243" xfId="0" applyNumberFormat="1" applyFont="1" applyFill="1" applyBorder="1"/>
    <xf numFmtId="176" fontId="202" fillId="6" borderId="217" xfId="0" applyNumberFormat="1" applyFont="1" applyFill="1" applyBorder="1" applyProtection="1">
      <protection locked="0"/>
    </xf>
    <xf numFmtId="176" fontId="201" fillId="6" borderId="217" xfId="0" applyNumberFormat="1" applyFont="1" applyFill="1" applyBorder="1" applyProtection="1">
      <protection locked="0"/>
    </xf>
    <xf numFmtId="176" fontId="150" fillId="6" borderId="217" xfId="0" applyNumberFormat="1" applyFont="1" applyFill="1" applyBorder="1" applyProtection="1">
      <protection locked="0"/>
    </xf>
    <xf numFmtId="176" fontId="168" fillId="6" borderId="217" xfId="0" applyNumberFormat="1" applyFont="1" applyFill="1" applyBorder="1" applyProtection="1">
      <protection locked="0"/>
    </xf>
    <xf numFmtId="176" fontId="198" fillId="29" borderId="36" xfId="0" applyNumberFormat="1" applyFont="1" applyFill="1" applyBorder="1" applyProtection="1">
      <protection locked="0"/>
    </xf>
    <xf numFmtId="176" fontId="46" fillId="29" borderId="9" xfId="0" applyNumberFormat="1" applyFont="1" applyFill="1" applyBorder="1"/>
    <xf numFmtId="176" fontId="202" fillId="6" borderId="36" xfId="0" applyNumberFormat="1" applyFont="1" applyFill="1" applyBorder="1" applyProtection="1">
      <protection locked="0"/>
    </xf>
    <xf numFmtId="176" fontId="201" fillId="6" borderId="36" xfId="0" applyNumberFormat="1" applyFont="1" applyFill="1" applyBorder="1" applyProtection="1">
      <protection locked="0"/>
    </xf>
    <xf numFmtId="176" fontId="150" fillId="6" borderId="36" xfId="0" applyNumberFormat="1" applyFont="1" applyFill="1" applyBorder="1" applyProtection="1">
      <protection locked="0"/>
    </xf>
    <xf numFmtId="176" fontId="198" fillId="0" borderId="36" xfId="0" applyNumberFormat="1" applyFont="1" applyFill="1" applyBorder="1"/>
    <xf numFmtId="176" fontId="46" fillId="2" borderId="171" xfId="0" applyNumberFormat="1" applyFont="1" applyBorder="1"/>
    <xf numFmtId="176" fontId="202" fillId="0" borderId="36" xfId="0" applyNumberFormat="1" applyFont="1" applyFill="1" applyBorder="1"/>
    <xf numFmtId="176" fontId="201" fillId="0" borderId="36" xfId="0" applyNumberFormat="1" applyFont="1" applyFill="1" applyBorder="1"/>
    <xf numFmtId="176" fontId="201" fillId="27" borderId="217" xfId="0" applyNumberFormat="1" applyFont="1" applyFill="1" applyBorder="1"/>
    <xf numFmtId="176" fontId="150" fillId="0" borderId="36" xfId="0" applyNumberFormat="1" applyFont="1" applyFill="1" applyBorder="1"/>
    <xf numFmtId="176" fontId="150" fillId="27" borderId="217" xfId="0" applyNumberFormat="1" applyFont="1" applyFill="1" applyBorder="1"/>
    <xf numFmtId="176" fontId="168" fillId="0" borderId="36" xfId="0" applyNumberFormat="1" applyFont="1" applyFill="1" applyBorder="1"/>
    <xf numFmtId="176" fontId="168" fillId="27" borderId="217" xfId="0" applyNumberFormat="1" applyFont="1" applyFill="1" applyBorder="1"/>
    <xf numFmtId="176" fontId="166" fillId="27" borderId="9" xfId="0" applyNumberFormat="1" applyFont="1" applyFill="1" applyBorder="1"/>
    <xf numFmtId="176" fontId="9" fillId="12" borderId="193" xfId="0" applyNumberFormat="1" applyFont="1" applyFill="1" applyBorder="1"/>
    <xf numFmtId="176" fontId="7" fillId="2" borderId="0" xfId="0" applyNumberFormat="1" applyFont="1"/>
    <xf numFmtId="37" fontId="0" fillId="26" borderId="9" xfId="0" applyNumberFormat="1" applyFill="1" applyBorder="1"/>
    <xf numFmtId="0" fontId="15" fillId="4" borderId="493" xfId="0" applyFont="1" applyFill="1" applyBorder="1"/>
    <xf numFmtId="38" fontId="160" fillId="2" borderId="435" xfId="0" applyNumberFormat="1" applyFont="1" applyBorder="1"/>
    <xf numFmtId="0" fontId="0" fillId="58" borderId="477" xfId="0" applyFill="1" applyBorder="1"/>
    <xf numFmtId="0" fontId="0" fillId="59" borderId="494" xfId="0" applyFill="1" applyBorder="1"/>
    <xf numFmtId="0" fontId="0" fillId="29" borderId="477" xfId="0" applyFill="1" applyBorder="1"/>
    <xf numFmtId="0" fontId="160" fillId="26" borderId="490" xfId="0" applyFont="1" applyFill="1" applyBorder="1"/>
    <xf numFmtId="0" fontId="0" fillId="26" borderId="492" xfId="0" applyFill="1" applyBorder="1"/>
    <xf numFmtId="0" fontId="0" fillId="26" borderId="491" xfId="0" applyFill="1" applyBorder="1"/>
    <xf numFmtId="0" fontId="182" fillId="25" borderId="494" xfId="0" applyFont="1" applyFill="1" applyBorder="1" applyAlignment="1">
      <alignment horizontal="center"/>
    </xf>
    <xf numFmtId="0" fontId="182" fillId="25" borderId="495" xfId="0" applyFont="1" applyFill="1" applyBorder="1" applyAlignment="1">
      <alignment horizontal="center"/>
    </xf>
    <xf numFmtId="0" fontId="182" fillId="25" borderId="185" xfId="0" applyFont="1" applyFill="1" applyBorder="1" applyAlignment="1">
      <alignment horizontal="center"/>
    </xf>
    <xf numFmtId="175" fontId="15" fillId="29" borderId="477" xfId="0" applyNumberFormat="1" applyFont="1" applyFill="1" applyBorder="1"/>
    <xf numFmtId="0" fontId="0" fillId="25" borderId="477" xfId="0" applyFill="1" applyBorder="1"/>
    <xf numFmtId="0" fontId="0" fillId="2" borderId="496" xfId="0" applyBorder="1"/>
    <xf numFmtId="175" fontId="0" fillId="2" borderId="477" xfId="0" applyNumberFormat="1" applyBorder="1"/>
    <xf numFmtId="0" fontId="186" fillId="2" borderId="477" xfId="0" applyFont="1" applyBorder="1"/>
    <xf numFmtId="0" fontId="182" fillId="25" borderId="477" xfId="0" applyFont="1" applyFill="1" applyBorder="1" applyAlignment="1">
      <alignment horizontal="center"/>
    </xf>
    <xf numFmtId="0" fontId="182" fillId="25" borderId="491" xfId="0" applyFont="1" applyFill="1" applyBorder="1" applyAlignment="1">
      <alignment horizontal="center"/>
    </xf>
    <xf numFmtId="0" fontId="182" fillId="26" borderId="494" xfId="0" applyFont="1" applyFill="1" applyBorder="1" applyAlignment="1">
      <alignment horizontal="left"/>
    </xf>
    <xf numFmtId="38" fontId="0" fillId="26" borderId="495" xfId="0" applyNumberFormat="1" applyFill="1" applyBorder="1"/>
    <xf numFmtId="0" fontId="167" fillId="25" borderId="477" xfId="0" applyFont="1" applyFill="1" applyBorder="1" applyAlignment="1">
      <alignment horizontal="center"/>
    </xf>
    <xf numFmtId="0" fontId="167" fillId="25" borderId="491" xfId="0" applyFont="1" applyFill="1" applyBorder="1" applyAlignment="1">
      <alignment horizontal="center"/>
    </xf>
    <xf numFmtId="38" fontId="186" fillId="2" borderId="477" xfId="0" applyNumberFormat="1" applyFont="1" applyBorder="1"/>
    <xf numFmtId="38" fontId="15" fillId="27" borderId="477" xfId="0" applyNumberFormat="1" applyFont="1" applyFill="1" applyBorder="1" applyAlignment="1">
      <alignment horizontal="right"/>
    </xf>
    <xf numFmtId="37" fontId="15" fillId="27" borderId="477" xfId="0" applyNumberFormat="1" applyFont="1" applyFill="1" applyBorder="1" applyAlignment="1">
      <alignment horizontal="right"/>
    </xf>
    <xf numFmtId="174" fontId="186" fillId="2" borderId="477" xfId="0" applyNumberFormat="1" applyFont="1" applyBorder="1"/>
    <xf numFmtId="0" fontId="186" fillId="26" borderId="494" xfId="0" applyFont="1" applyFill="1" applyBorder="1" applyAlignment="1">
      <alignment horizontal="center"/>
    </xf>
    <xf numFmtId="174" fontId="186" fillId="26" borderId="176" xfId="0" applyNumberFormat="1" applyFont="1" applyFill="1" applyBorder="1"/>
    <xf numFmtId="174" fontId="186" fillId="26" borderId="495" xfId="0" applyNumberFormat="1" applyFont="1" applyFill="1" applyBorder="1"/>
    <xf numFmtId="0" fontId="15" fillId="26" borderId="494" xfId="0" applyFont="1" applyFill="1" applyBorder="1" applyAlignment="1">
      <alignment horizontal="center"/>
    </xf>
    <xf numFmtId="0" fontId="15" fillId="26" borderId="495" xfId="0" applyFont="1" applyFill="1" applyBorder="1"/>
    <xf numFmtId="0" fontId="4" fillId="25" borderId="477" xfId="0" applyFont="1" applyFill="1" applyBorder="1" applyAlignment="1">
      <alignment horizontal="center"/>
    </xf>
    <xf numFmtId="6" fontId="0" fillId="2" borderId="477" xfId="0" applyNumberFormat="1" applyBorder="1"/>
    <xf numFmtId="0" fontId="186" fillId="36" borderId="477" xfId="0" applyFont="1" applyFill="1" applyBorder="1"/>
    <xf numFmtId="38" fontId="15" fillId="36" borderId="477" xfId="0" applyNumberFormat="1" applyFont="1" applyFill="1" applyBorder="1"/>
    <xf numFmtId="0" fontId="186" fillId="26" borderId="494" xfId="0" applyFont="1" applyFill="1" applyBorder="1"/>
    <xf numFmtId="0" fontId="0" fillId="26" borderId="494" xfId="0" applyFill="1" applyBorder="1"/>
    <xf numFmtId="0" fontId="186" fillId="26" borderId="495" xfId="0" applyFont="1" applyFill="1" applyBorder="1"/>
    <xf numFmtId="0" fontId="209" fillId="2" borderId="419" xfId="0" applyNumberFormat="1" applyFont="1" applyBorder="1"/>
    <xf numFmtId="6" fontId="186" fillId="2" borderId="477" xfId="0" applyNumberFormat="1" applyFont="1" applyBorder="1"/>
    <xf numFmtId="6" fontId="15" fillId="36" borderId="477" xfId="0" applyNumberFormat="1" applyFont="1" applyFill="1" applyBorder="1"/>
    <xf numFmtId="6" fontId="15" fillId="26" borderId="495" xfId="0" applyNumberFormat="1" applyFont="1" applyFill="1" applyBorder="1"/>
    <xf numFmtId="0" fontId="15" fillId="2" borderId="477" xfId="0" applyFont="1" applyBorder="1"/>
    <xf numFmtId="6" fontId="15" fillId="2" borderId="477" xfId="0" applyNumberFormat="1" applyFont="1" applyBorder="1"/>
    <xf numFmtId="0" fontId="4" fillId="2" borderId="419" xfId="0" applyNumberFormat="1" applyFont="1" applyBorder="1"/>
    <xf numFmtId="0" fontId="46" fillId="26" borderId="181" xfId="0" applyFont="1" applyFill="1" applyBorder="1" applyAlignment="1">
      <alignment horizontal="center"/>
    </xf>
    <xf numFmtId="40" fontId="15" fillId="2" borderId="9" xfId="0" applyNumberFormat="1" applyFont="1" applyBorder="1" applyAlignment="1">
      <alignment horizontal="center"/>
    </xf>
    <xf numFmtId="0" fontId="15" fillId="2" borderId="477" xfId="0" quotePrefix="1" applyFont="1" applyBorder="1" applyAlignment="1">
      <alignment horizontal="center"/>
    </xf>
    <xf numFmtId="192" fontId="4" fillId="55" borderId="36" xfId="0" applyNumberFormat="1" applyFont="1" applyFill="1" applyBorder="1" applyAlignment="1">
      <alignment horizontal="center"/>
    </xf>
    <xf numFmtId="176" fontId="15" fillId="2" borderId="9" xfId="0" applyNumberFormat="1" applyFont="1" applyBorder="1"/>
    <xf numFmtId="176" fontId="15" fillId="2" borderId="171" xfId="0" applyNumberFormat="1" applyFont="1" applyBorder="1"/>
    <xf numFmtId="0" fontId="5" fillId="2" borderId="0" xfId="3" applyFont="1" applyFill="1" applyAlignment="1" applyProtection="1"/>
    <xf numFmtId="0" fontId="15" fillId="2" borderId="497" xfId="0" quotePrefix="1" applyFont="1" applyBorder="1" applyAlignment="1">
      <alignment horizontal="center"/>
    </xf>
    <xf numFmtId="0" fontId="5" fillId="4" borderId="498" xfId="0" applyFont="1" applyFill="1" applyBorder="1"/>
    <xf numFmtId="0" fontId="46" fillId="2" borderId="499" xfId="0" applyFont="1" applyBorder="1"/>
    <xf numFmtId="0" fontId="3" fillId="4" borderId="9" xfId="0" applyFont="1" applyFill="1" applyBorder="1"/>
    <xf numFmtId="0" fontId="0" fillId="2" borderId="0" xfId="0" applyFont="1"/>
    <xf numFmtId="5" fontId="15" fillId="2" borderId="9" xfId="0" applyNumberFormat="1" applyFont="1" applyBorder="1" applyAlignment="1">
      <alignment horizontal="center"/>
    </xf>
    <xf numFmtId="0" fontId="15" fillId="55" borderId="496" xfId="0" applyFont="1" applyFill="1" applyBorder="1"/>
    <xf numFmtId="38" fontId="46" fillId="55" borderId="428" xfId="0" applyNumberFormat="1" applyFont="1" applyFill="1" applyBorder="1" applyProtection="1">
      <protection locked="0"/>
    </xf>
    <xf numFmtId="0" fontId="15" fillId="55" borderId="16" xfId="0" applyFont="1" applyFill="1" applyBorder="1"/>
    <xf numFmtId="38" fontId="202" fillId="55" borderId="435" xfId="0" applyNumberFormat="1" applyFont="1" applyFill="1" applyBorder="1" applyProtection="1">
      <protection locked="0"/>
    </xf>
    <xf numFmtId="38" fontId="201" fillId="55" borderId="435" xfId="0" applyNumberFormat="1" applyFont="1" applyFill="1" applyBorder="1" applyProtection="1">
      <protection locked="0"/>
    </xf>
    <xf numFmtId="38" fontId="150" fillId="55" borderId="435" xfId="0" applyNumberFormat="1" applyFont="1" applyFill="1" applyBorder="1" applyProtection="1">
      <protection locked="0"/>
    </xf>
    <xf numFmtId="38" fontId="168" fillId="55" borderId="435" xfId="0" applyNumberFormat="1" applyFont="1" applyFill="1" applyBorder="1" applyProtection="1">
      <protection locked="0"/>
    </xf>
    <xf numFmtId="0" fontId="4" fillId="26" borderId="0" xfId="0" applyFont="1" applyFill="1" applyAlignment="1">
      <alignment horizontal="center"/>
    </xf>
    <xf numFmtId="38" fontId="128" fillId="42" borderId="495" xfId="0" applyNumberFormat="1" applyFont="1" applyFill="1" applyBorder="1" applyProtection="1">
      <protection locked="0"/>
    </xf>
    <xf numFmtId="38" fontId="186" fillId="27" borderId="477" xfId="0" applyNumberFormat="1" applyFont="1" applyFill="1" applyBorder="1"/>
    <xf numFmtId="0" fontId="44" fillId="26" borderId="0" xfId="0" applyFont="1" applyFill="1"/>
    <xf numFmtId="38" fontId="0" fillId="2" borderId="9" xfId="0" applyNumberFormat="1" applyBorder="1" applyAlignment="1">
      <alignment horizontal="center"/>
    </xf>
    <xf numFmtId="38" fontId="160" fillId="55" borderId="9" xfId="0" applyNumberFormat="1" applyFont="1" applyFill="1" applyBorder="1" applyAlignment="1">
      <alignment horizontal="center"/>
    </xf>
    <xf numFmtId="0" fontId="214" fillId="55" borderId="490" xfId="0" applyFont="1" applyFill="1" applyBorder="1"/>
    <xf numFmtId="0" fontId="209" fillId="55" borderId="492" xfId="0" applyFont="1" applyFill="1" applyBorder="1"/>
    <xf numFmtId="37" fontId="208" fillId="55" borderId="498" xfId="0" applyNumberFormat="1" applyFont="1" applyFill="1" applyBorder="1" applyAlignment="1">
      <alignment horizontal="right"/>
    </xf>
    <xf numFmtId="38" fontId="211" fillId="55" borderId="494" xfId="0" applyNumberFormat="1" applyFont="1" applyFill="1" applyBorder="1" applyAlignment="1">
      <alignment horizontal="center"/>
    </xf>
    <xf numFmtId="38" fontId="211" fillId="55" borderId="495" xfId="0" applyNumberFormat="1" applyFont="1" applyFill="1" applyBorder="1" applyAlignment="1">
      <alignment horizontal="center"/>
    </xf>
    <xf numFmtId="38" fontId="211" fillId="55" borderId="176" xfId="0" applyNumberFormat="1" applyFont="1" applyFill="1" applyBorder="1" applyAlignment="1">
      <alignment horizontal="center"/>
    </xf>
    <xf numFmtId="38" fontId="211" fillId="55" borderId="499" xfId="0" applyNumberFormat="1" applyFont="1" applyFill="1" applyBorder="1" applyAlignment="1">
      <alignment horizontal="center"/>
    </xf>
    <xf numFmtId="37" fontId="208" fillId="55" borderId="494" xfId="0" applyNumberFormat="1" applyFont="1" applyFill="1" applyBorder="1" applyAlignment="1">
      <alignment horizontal="center"/>
    </xf>
    <xf numFmtId="37" fontId="208" fillId="55" borderId="176" xfId="0" applyNumberFormat="1" applyFont="1" applyFill="1" applyBorder="1" applyAlignment="1">
      <alignment horizontal="center"/>
    </xf>
    <xf numFmtId="37" fontId="208" fillId="55" borderId="499" xfId="0" applyNumberFormat="1" applyFont="1" applyFill="1" applyBorder="1" applyAlignment="1">
      <alignment horizontal="center"/>
    </xf>
    <xf numFmtId="0" fontId="15" fillId="2" borderId="499" xfId="0" quotePrefix="1" applyFont="1" applyBorder="1" applyAlignment="1">
      <alignment horizontal="center"/>
    </xf>
    <xf numFmtId="0" fontId="15" fillId="26" borderId="499" xfId="0" applyFont="1" applyFill="1" applyBorder="1"/>
    <xf numFmtId="0" fontId="15" fillId="2" borderId="499" xfId="0" applyFont="1" applyBorder="1"/>
    <xf numFmtId="6" fontId="15" fillId="55" borderId="499" xfId="0" applyNumberFormat="1" applyFont="1" applyFill="1" applyBorder="1"/>
    <xf numFmtId="0" fontId="15" fillId="34" borderId="142" xfId="0" applyFont="1" applyFill="1" applyBorder="1"/>
    <xf numFmtId="0" fontId="15" fillId="34" borderId="13" xfId="0" applyFont="1" applyFill="1" applyBorder="1"/>
    <xf numFmtId="0" fontId="0" fillId="34" borderId="499" xfId="0" applyFill="1" applyBorder="1"/>
    <xf numFmtId="38" fontId="96" fillId="34" borderId="0" xfId="0" applyNumberFormat="1" applyFont="1" applyFill="1" applyProtection="1">
      <protection locked="0"/>
    </xf>
    <xf numFmtId="38" fontId="46" fillId="34" borderId="9" xfId="0" applyNumberFormat="1" applyFont="1" applyFill="1" applyBorder="1"/>
    <xf numFmtId="0" fontId="209" fillId="25" borderId="157" xfId="0" applyFont="1" applyFill="1" applyBorder="1" applyAlignment="1">
      <alignment horizontal="center"/>
    </xf>
    <xf numFmtId="38" fontId="209" fillId="25" borderId="116" xfId="0" applyNumberFormat="1" applyFont="1" applyFill="1" applyBorder="1" applyAlignment="1">
      <alignment horizontal="center"/>
    </xf>
    <xf numFmtId="38" fontId="15" fillId="55" borderId="499" xfId="0" applyNumberFormat="1" applyFont="1" applyFill="1" applyBorder="1"/>
    <xf numFmtId="0" fontId="15" fillId="2" borderId="0" xfId="0" applyFont="1" applyBorder="1"/>
    <xf numFmtId="174" fontId="15" fillId="55" borderId="499" xfId="0" applyNumberFormat="1" applyFont="1" applyFill="1" applyBorder="1"/>
    <xf numFmtId="6" fontId="15" fillId="2" borderId="499" xfId="0" applyNumberFormat="1" applyFont="1" applyBorder="1"/>
    <xf numFmtId="0" fontId="15" fillId="2" borderId="495" xfId="0" applyFont="1" applyBorder="1"/>
    <xf numFmtId="0" fontId="15" fillId="2" borderId="499" xfId="3" applyFont="1" applyFill="1" applyBorder="1" applyAlignment="1" applyProtection="1"/>
    <xf numFmtId="0" fontId="15" fillId="27" borderId="499" xfId="0" applyFont="1" applyFill="1" applyBorder="1"/>
    <xf numFmtId="0" fontId="15" fillId="27" borderId="181" xfId="0" applyFont="1" applyFill="1" applyBorder="1"/>
    <xf numFmtId="2" fontId="15" fillId="27" borderId="181" xfId="0" applyNumberFormat="1" applyFont="1" applyFill="1" applyBorder="1"/>
    <xf numFmtId="0" fontId="15" fillId="2" borderId="0" xfId="0" quotePrefix="1" applyFont="1" applyBorder="1" applyAlignment="1">
      <alignment horizontal="center"/>
    </xf>
    <xf numFmtId="0" fontId="67" fillId="25" borderId="9" xfId="3" applyFont="1" applyFill="1" applyBorder="1" applyAlignment="1" applyProtection="1">
      <alignment horizontal="left"/>
    </xf>
    <xf numFmtId="0" fontId="15" fillId="25" borderId="499" xfId="0" applyFont="1" applyFill="1" applyBorder="1"/>
    <xf numFmtId="0" fontId="15" fillId="27" borderId="0" xfId="0" quotePrefix="1" applyFont="1" applyFill="1" applyBorder="1" applyAlignment="1">
      <alignment horizontal="center"/>
    </xf>
    <xf numFmtId="0" fontId="67" fillId="27" borderId="0" xfId="3" applyFont="1" applyFill="1" applyBorder="1" applyAlignment="1" applyProtection="1">
      <alignment horizontal="left"/>
    </xf>
    <xf numFmtId="0" fontId="46" fillId="2" borderId="113" xfId="0" applyFont="1" applyBorder="1" applyAlignment="1">
      <alignment horizontal="left"/>
    </xf>
    <xf numFmtId="0" fontId="15" fillId="2" borderId="113" xfId="0" applyFont="1" applyBorder="1"/>
    <xf numFmtId="0" fontId="82" fillId="2" borderId="500" xfId="0" applyFont="1" applyBorder="1"/>
    <xf numFmtId="0" fontId="46" fillId="2" borderId="495" xfId="0" applyFont="1" applyBorder="1"/>
    <xf numFmtId="0" fontId="46" fillId="2" borderId="73" xfId="0" applyFont="1" applyBorder="1"/>
    <xf numFmtId="0" fontId="5" fillId="2" borderId="499" xfId="0" applyFont="1" applyBorder="1"/>
    <xf numFmtId="0" fontId="4" fillId="2" borderId="185" xfId="0" applyFont="1" applyBorder="1"/>
    <xf numFmtId="0" fontId="46" fillId="2" borderId="494" xfId="0" applyFont="1" applyBorder="1"/>
    <xf numFmtId="6" fontId="15" fillId="2" borderId="503" xfId="0" applyNumberFormat="1" applyFont="1" applyBorder="1"/>
    <xf numFmtId="0" fontId="4" fillId="2" borderId="504" xfId="0" applyFont="1" applyBorder="1"/>
    <xf numFmtId="0" fontId="4" fillId="2" borderId="505" xfId="0" applyFont="1" applyBorder="1"/>
    <xf numFmtId="0" fontId="4" fillId="2" borderId="78" xfId="0" applyFont="1" applyBorder="1"/>
    <xf numFmtId="0" fontId="4" fillId="2" borderId="506" xfId="0" applyFont="1" applyBorder="1"/>
    <xf numFmtId="6" fontId="15" fillId="2" borderId="507" xfId="0" applyNumberFormat="1" applyFont="1" applyBorder="1"/>
    <xf numFmtId="0" fontId="46" fillId="2" borderId="498" xfId="0" applyFont="1" applyBorder="1" applyAlignment="1">
      <alignment horizontal="left"/>
    </xf>
    <xf numFmtId="0" fontId="46" fillId="60" borderId="502" xfId="0" applyFont="1" applyFill="1" applyBorder="1" applyAlignment="1">
      <alignment horizontal="left"/>
    </xf>
    <xf numFmtId="0" fontId="46" fillId="60" borderId="64" xfId="0" applyFont="1" applyFill="1" applyBorder="1"/>
    <xf numFmtId="0" fontId="15" fillId="60" borderId="64" xfId="0" applyFont="1" applyFill="1" applyBorder="1"/>
    <xf numFmtId="0" fontId="15" fillId="60" borderId="501" xfId="0" applyFont="1" applyFill="1" applyBorder="1"/>
    <xf numFmtId="0" fontId="209" fillId="27" borderId="0" xfId="0" applyFont="1" applyFill="1" applyAlignment="1">
      <alignment horizontal="right"/>
    </xf>
    <xf numFmtId="0" fontId="208" fillId="27" borderId="0" xfId="0" applyFont="1" applyFill="1"/>
    <xf numFmtId="0" fontId="209" fillId="27" borderId="0" xfId="0" applyFont="1" applyFill="1"/>
    <xf numFmtId="37" fontId="208" fillId="27" borderId="0" xfId="0" applyNumberFormat="1" applyFont="1" applyFill="1"/>
    <xf numFmtId="38" fontId="46" fillId="27" borderId="9" xfId="0" applyNumberFormat="1" applyFont="1" applyFill="1" applyBorder="1"/>
    <xf numFmtId="37" fontId="15" fillId="2" borderId="73" xfId="0" applyNumberFormat="1" applyFont="1" applyBorder="1"/>
    <xf numFmtId="0" fontId="0" fillId="59" borderId="495" xfId="0" applyFill="1" applyBorder="1"/>
    <xf numFmtId="0" fontId="15" fillId="4" borderId="490" xfId="0" applyFont="1" applyFill="1" applyBorder="1"/>
    <xf numFmtId="0" fontId="15" fillId="4" borderId="498" xfId="0" applyFont="1" applyFill="1" applyBorder="1"/>
    <xf numFmtId="0" fontId="0" fillId="58" borderId="506" xfId="0" applyFill="1" applyBorder="1"/>
    <xf numFmtId="0" fontId="0" fillId="59" borderId="506" xfId="0" applyFill="1" applyBorder="1"/>
    <xf numFmtId="38" fontId="209" fillId="55" borderId="495" xfId="0" applyNumberFormat="1" applyFont="1" applyFill="1" applyBorder="1"/>
    <xf numFmtId="195" fontId="15" fillId="2" borderId="499" xfId="0" applyNumberFormat="1" applyFont="1" applyBorder="1"/>
    <xf numFmtId="195" fontId="15" fillId="2" borderId="171" xfId="0" applyNumberFormat="1" applyFont="1" applyBorder="1"/>
    <xf numFmtId="175" fontId="15" fillId="2" borderId="495" xfId="0" applyNumberFormat="1" applyFont="1" applyBorder="1"/>
    <xf numFmtId="6" fontId="15" fillId="2" borderId="73" xfId="0" applyNumberFormat="1" applyFont="1" applyBorder="1"/>
    <xf numFmtId="6" fontId="46" fillId="2" borderId="68" xfId="0" quotePrefix="1" applyNumberFormat="1" applyFont="1" applyBorder="1" applyAlignment="1">
      <alignment horizontal="right"/>
    </xf>
    <xf numFmtId="0" fontId="211" fillId="55" borderId="176" xfId="0" applyFont="1" applyFill="1" applyBorder="1" applyAlignment="1">
      <alignment horizontal="center"/>
    </xf>
    <xf numFmtId="38" fontId="211" fillId="55" borderId="495" xfId="0" applyNumberFormat="1" applyFont="1" applyFill="1" applyBorder="1"/>
    <xf numFmtId="176" fontId="30" fillId="4" borderId="0" xfId="0" applyNumberFormat="1" applyFont="1" applyFill="1"/>
    <xf numFmtId="0" fontId="15" fillId="2" borderId="506" xfId="3" applyFont="1" applyFill="1" applyBorder="1" applyAlignment="1" applyProtection="1"/>
    <xf numFmtId="0" fontId="15" fillId="2" borderId="506" xfId="0" applyFont="1" applyBorder="1"/>
    <xf numFmtId="175" fontId="15" fillId="2" borderId="506" xfId="0" applyNumberFormat="1" applyFont="1" applyBorder="1"/>
    <xf numFmtId="0" fontId="15" fillId="2" borderId="492" xfId="0" applyFont="1" applyBorder="1"/>
    <xf numFmtId="6" fontId="15" fillId="27" borderId="9" xfId="0" applyNumberFormat="1" applyFont="1" applyFill="1" applyBorder="1"/>
    <xf numFmtId="0" fontId="0" fillId="25" borderId="498" xfId="0" applyFill="1" applyBorder="1"/>
    <xf numFmtId="6" fontId="15" fillId="2" borderId="506" xfId="0" applyNumberFormat="1" applyFont="1" applyBorder="1"/>
    <xf numFmtId="6" fontId="15" fillId="2" borderId="490" xfId="0" applyNumberFormat="1" applyFont="1" applyBorder="1"/>
    <xf numFmtId="6" fontId="46" fillId="2" borderId="78" xfId="0" applyNumberFormat="1" applyFont="1" applyBorder="1"/>
    <xf numFmtId="6" fontId="46" fillId="2" borderId="509" xfId="0" applyNumberFormat="1" applyFont="1" applyBorder="1"/>
    <xf numFmtId="0" fontId="4" fillId="2" borderId="511" xfId="0" applyFont="1" applyBorder="1"/>
    <xf numFmtId="6" fontId="15" fillId="26" borderId="9" xfId="0" applyNumberFormat="1" applyFont="1" applyFill="1" applyBorder="1"/>
    <xf numFmtId="0" fontId="46" fillId="25" borderId="512" xfId="0" applyFont="1" applyFill="1" applyBorder="1" applyAlignment="1">
      <alignment horizontal="center"/>
    </xf>
    <xf numFmtId="6" fontId="15" fillId="2" borderId="505" xfId="0" applyNumberFormat="1" applyFont="1" applyBorder="1"/>
    <xf numFmtId="6" fontId="15" fillId="2" borderId="495" xfId="0" applyNumberFormat="1" applyFont="1" applyBorder="1"/>
    <xf numFmtId="6" fontId="15" fillId="2" borderId="508" xfId="0" applyNumberFormat="1" applyFont="1" applyBorder="1"/>
    <xf numFmtId="0" fontId="15" fillId="25" borderId="506" xfId="0" applyFont="1" applyFill="1" applyBorder="1"/>
    <xf numFmtId="6" fontId="15" fillId="27" borderId="506" xfId="0" applyNumberFormat="1" applyFont="1" applyFill="1" applyBorder="1"/>
    <xf numFmtId="6" fontId="46" fillId="27" borderId="498" xfId="0" applyNumberFormat="1" applyFont="1" applyFill="1" applyBorder="1"/>
    <xf numFmtId="6" fontId="46" fillId="27" borderId="0" xfId="0" applyNumberFormat="1" applyFont="1" applyFill="1" applyBorder="1"/>
    <xf numFmtId="0" fontId="15" fillId="27" borderId="490" xfId="0" applyFont="1" applyFill="1" applyBorder="1"/>
    <xf numFmtId="0" fontId="161" fillId="2" borderId="513" xfId="0" applyFont="1" applyBorder="1"/>
    <xf numFmtId="0" fontId="161" fillId="2" borderId="176" xfId="0" applyFont="1" applyBorder="1"/>
    <xf numFmtId="0" fontId="161" fillId="2" borderId="495" xfId="0" applyFont="1" applyBorder="1"/>
    <xf numFmtId="38" fontId="15" fillId="2" borderId="36" xfId="0" applyNumberFormat="1" applyFont="1" applyBorder="1" applyAlignment="1">
      <alignment horizontal="right"/>
    </xf>
    <xf numFmtId="40" fontId="15" fillId="2" borderId="506" xfId="0" applyNumberFormat="1" applyFont="1" applyBorder="1"/>
    <xf numFmtId="174" fontId="15" fillId="2" borderId="506" xfId="0" applyNumberFormat="1" applyFont="1" applyBorder="1"/>
    <xf numFmtId="40" fontId="15" fillId="2" borderId="506" xfId="0" applyNumberFormat="1" applyFont="1" applyBorder="1" applyAlignment="1">
      <alignment horizontal="right"/>
    </xf>
    <xf numFmtId="175" fontId="15" fillId="2" borderId="506" xfId="0" applyNumberFormat="1" applyFont="1" applyBorder="1" applyAlignment="1">
      <alignment horizontal="right"/>
    </xf>
    <xf numFmtId="3" fontId="15" fillId="2" borderId="506" xfId="0" applyNumberFormat="1" applyFont="1" applyBorder="1" applyAlignment="1">
      <alignment horizontal="right"/>
    </xf>
    <xf numFmtId="0" fontId="158" fillId="2" borderId="9" xfId="0" applyFont="1" applyBorder="1"/>
    <xf numFmtId="0" fontId="158" fillId="2" borderId="0" xfId="0" applyFont="1"/>
    <xf numFmtId="0" fontId="46" fillId="25" borderId="506" xfId="0" applyFont="1" applyFill="1" applyBorder="1" applyAlignment="1">
      <alignment horizontal="center"/>
    </xf>
    <xf numFmtId="0" fontId="15" fillId="25" borderId="506" xfId="3" applyFont="1" applyFill="1" applyBorder="1" applyAlignment="1" applyProtection="1">
      <alignment horizontal="left"/>
    </xf>
    <xf numFmtId="0" fontId="0" fillId="2" borderId="514" xfId="0" applyBorder="1"/>
    <xf numFmtId="0" fontId="36" fillId="2" borderId="502" xfId="0" applyFont="1" applyBorder="1"/>
    <xf numFmtId="6" fontId="46" fillId="2" borderId="515" xfId="0" applyNumberFormat="1" applyFont="1" applyBorder="1"/>
    <xf numFmtId="6" fontId="46" fillId="2" borderId="510" xfId="0" applyNumberFormat="1" applyFont="1" applyBorder="1"/>
    <xf numFmtId="0" fontId="15" fillId="2" borderId="516" xfId="0" quotePrefix="1" applyFont="1" applyBorder="1" applyAlignment="1">
      <alignment horizontal="center"/>
    </xf>
    <xf numFmtId="0" fontId="15" fillId="2" borderId="498" xfId="0" applyFont="1" applyBorder="1" applyAlignment="1">
      <alignment horizontal="left"/>
    </xf>
    <xf numFmtId="6" fontId="15" fillId="2" borderId="517" xfId="0" applyNumberFormat="1" applyFont="1" applyBorder="1"/>
    <xf numFmtId="0" fontId="15" fillId="2" borderId="518" xfId="0" applyFont="1" applyBorder="1" applyAlignment="1">
      <alignment horizontal="left"/>
    </xf>
    <xf numFmtId="0" fontId="4" fillId="2" borderId="519" xfId="0" applyFont="1" applyBorder="1"/>
    <xf numFmtId="0" fontId="46" fillId="2" borderId="518" xfId="0" applyFont="1" applyBorder="1" applyAlignment="1">
      <alignment horizontal="left"/>
    </xf>
    <xf numFmtId="0" fontId="0" fillId="2" borderId="113" xfId="0" applyBorder="1"/>
    <xf numFmtId="6" fontId="15" fillId="2" borderId="520" xfId="0" applyNumberFormat="1" applyFont="1" applyBorder="1"/>
    <xf numFmtId="6" fontId="15" fillId="2" borderId="521" xfId="0" applyNumberFormat="1" applyFont="1" applyBorder="1" applyAlignment="1">
      <alignment horizontal="center"/>
    </xf>
    <xf numFmtId="0" fontId="4" fillId="60" borderId="505" xfId="0" applyFont="1" applyFill="1" applyBorder="1"/>
    <xf numFmtId="0" fontId="15" fillId="60" borderId="522" xfId="0" applyFont="1" applyFill="1" applyBorder="1"/>
    <xf numFmtId="6" fontId="15" fillId="2" borderId="519" xfId="0" applyNumberFormat="1" applyFont="1" applyBorder="1"/>
    <xf numFmtId="0" fontId="5" fillId="2" borderId="519" xfId="0" applyFont="1" applyBorder="1"/>
    <xf numFmtId="0" fontId="5" fillId="4" borderId="518" xfId="0" applyFont="1" applyFill="1" applyBorder="1"/>
    <xf numFmtId="0" fontId="46" fillId="2" borderId="519" xfId="0" applyFont="1" applyBorder="1"/>
    <xf numFmtId="0" fontId="15" fillId="17" borderId="505" xfId="0" applyFont="1" applyFill="1" applyBorder="1"/>
    <xf numFmtId="6" fontId="15" fillId="2" borderId="523" xfId="0" applyNumberFormat="1" applyFont="1" applyBorder="1"/>
    <xf numFmtId="0" fontId="46" fillId="2" borderId="520" xfId="0" applyFont="1" applyBorder="1"/>
    <xf numFmtId="0" fontId="3" fillId="4" borderId="78" xfId="0" applyFont="1" applyFill="1" applyBorder="1"/>
    <xf numFmtId="0" fontId="15" fillId="60" borderId="505" xfId="0" applyFont="1" applyFill="1" applyBorder="1"/>
    <xf numFmtId="6" fontId="15" fillId="2" borderId="194" xfId="0" applyNumberFormat="1" applyFont="1" applyBorder="1"/>
    <xf numFmtId="6" fontId="15" fillId="2" borderId="163" xfId="0" applyNumberFormat="1" applyFont="1" applyBorder="1"/>
    <xf numFmtId="0" fontId="38" fillId="61" borderId="10" xfId="0" applyFont="1" applyFill="1" applyBorder="1"/>
    <xf numFmtId="0" fontId="0" fillId="61" borderId="11" xfId="0" applyFill="1" applyBorder="1"/>
    <xf numFmtId="0" fontId="38" fillId="63" borderId="10" xfId="0" applyFont="1" applyFill="1" applyBorder="1"/>
    <xf numFmtId="0" fontId="0" fillId="63" borderId="11" xfId="0" applyFill="1" applyBorder="1"/>
    <xf numFmtId="0" fontId="0" fillId="61" borderId="193" xfId="0" applyFill="1" applyBorder="1"/>
    <xf numFmtId="0" fontId="38" fillId="61" borderId="11" xfId="0" applyFont="1" applyFill="1" applyBorder="1"/>
    <xf numFmtId="0" fontId="38" fillId="61" borderId="29" xfId="0" applyFont="1" applyFill="1" applyBorder="1"/>
    <xf numFmtId="0" fontId="0" fillId="61" borderId="21" xfId="0" applyFill="1" applyBorder="1"/>
    <xf numFmtId="0" fontId="0" fillId="61" borderId="144" xfId="0" applyFill="1" applyBorder="1"/>
    <xf numFmtId="0" fontId="15" fillId="62" borderId="9" xfId="3" applyFont="1" applyFill="1" applyBorder="1" applyAlignment="1" applyProtection="1">
      <alignment horizontal="left"/>
    </xf>
    <xf numFmtId="0" fontId="15" fillId="62" borderId="499" xfId="0" applyFont="1" applyFill="1" applyBorder="1"/>
    <xf numFmtId="0" fontId="15" fillId="26" borderId="9" xfId="0" quotePrefix="1" applyFont="1" applyFill="1" applyBorder="1" applyAlignment="1">
      <alignment horizontal="center"/>
    </xf>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66"/>
      <color rgb="FFCCFF33"/>
      <color rgb="FFFF99FF"/>
      <color rgb="FF99FF33"/>
      <color rgb="FF66FF33"/>
      <color rgb="FFFFFFCC"/>
      <color rgb="FF006600"/>
      <color rgb="FFFFCCFF"/>
      <color rgb="FFFF99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29.bin"/><Relationship Id="rId4" Type="http://schemas.openxmlformats.org/officeDocument/2006/relationships/comments" Target="../comments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35.bin"/><Relationship Id="rId4" Type="http://schemas.openxmlformats.org/officeDocument/2006/relationships/comments" Target="../comments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40.bin"/><Relationship Id="rId4" Type="http://schemas.openxmlformats.org/officeDocument/2006/relationships/comments" Target="../comments1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41.bin"/><Relationship Id="rId4" Type="http://schemas.openxmlformats.org/officeDocument/2006/relationships/comments" Target="../comments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45.bin"/><Relationship Id="rId4" Type="http://schemas.openxmlformats.org/officeDocument/2006/relationships/comments" Target="../comments13.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31.v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32.v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5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42578125" customWidth="1"/>
  </cols>
  <sheetData>
    <row r="1" spans="1:1">
      <c r="A1" s="71" t="s">
        <v>2441</v>
      </c>
    </row>
    <row r="2" spans="1:1">
      <c r="A2" s="71"/>
    </row>
    <row r="3" spans="1:1">
      <c r="A3" s="71" t="s">
        <v>8916</v>
      </c>
    </row>
    <row r="4" spans="1:1">
      <c r="A4" s="71" t="s">
        <v>415</v>
      </c>
    </row>
    <row r="5" spans="1:1">
      <c r="A5" s="154" t="s">
        <v>1483</v>
      </c>
    </row>
    <row r="6" spans="1:1">
      <c r="A6" s="71"/>
    </row>
    <row r="7" spans="1:1">
      <c r="A7" s="71" t="s">
        <v>1484</v>
      </c>
    </row>
    <row r="8" spans="1:1">
      <c r="A8" s="71" t="s">
        <v>1485</v>
      </c>
    </row>
    <row r="9" spans="1:1">
      <c r="A9" s="71" t="s">
        <v>8283</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Q167"/>
  <sheetViews>
    <sheetView workbookViewId="0">
      <selection activeCell="G1" sqref="G1"/>
    </sheetView>
  </sheetViews>
  <sheetFormatPr defaultRowHeight="12.75"/>
  <cols>
    <col min="1" max="1" width="82.7109375" customWidth="1"/>
    <col min="2" max="2" width="2.5703125" customWidth="1"/>
    <col min="3" max="6" width="12.5703125" hidden="1" customWidth="1"/>
    <col min="7" max="11" width="15.5703125" style="52" customWidth="1"/>
    <col min="12" max="12" width="34.140625" customWidth="1"/>
    <col min="13" max="13" width="22.85546875" style="54" customWidth="1"/>
    <col min="14" max="14" width="10.42578125" customWidth="1"/>
    <col min="15" max="15" width="11.5703125" customWidth="1"/>
    <col min="16" max="16" width="19.85546875" customWidth="1"/>
    <col min="17" max="17" width="11.42578125" customWidth="1"/>
  </cols>
  <sheetData>
    <row r="1" spans="1:13">
      <c r="G1" s="3093" t="s">
        <v>3284</v>
      </c>
      <c r="H1" s="3093" t="s">
        <v>3922</v>
      </c>
      <c r="I1" s="3446" t="s">
        <v>6374</v>
      </c>
      <c r="J1" s="3446" t="s">
        <v>6939</v>
      </c>
      <c r="K1" s="3446" t="s">
        <v>8157</v>
      </c>
      <c r="L1" s="3240" t="s">
        <v>3097</v>
      </c>
      <c r="M1"/>
    </row>
    <row r="2" spans="1:13">
      <c r="A2" s="35" t="s">
        <v>3096</v>
      </c>
      <c r="G2" s="3055" t="s">
        <v>8765</v>
      </c>
      <c r="H2" s="3055" t="s">
        <v>8765</v>
      </c>
      <c r="I2" s="3447" t="s">
        <v>9209</v>
      </c>
      <c r="J2" s="3447" t="s">
        <v>9209</v>
      </c>
      <c r="K2" s="3447" t="s">
        <v>9209</v>
      </c>
      <c r="L2" s="3241" t="s">
        <v>3089</v>
      </c>
      <c r="M2"/>
    </row>
    <row r="3" spans="1:13">
      <c r="C3" s="72" t="s">
        <v>167</v>
      </c>
      <c r="D3" s="72" t="s">
        <v>168</v>
      </c>
      <c r="E3" s="72" t="s">
        <v>169</v>
      </c>
      <c r="F3" s="72" t="s">
        <v>781</v>
      </c>
      <c r="L3" s="3241" t="s">
        <v>3094</v>
      </c>
      <c r="M3"/>
    </row>
    <row r="4" spans="1:13">
      <c r="A4" s="1416" t="s">
        <v>8978</v>
      </c>
      <c r="B4" s="3066"/>
      <c r="C4" s="3066"/>
      <c r="D4" s="3066"/>
      <c r="E4" s="3066"/>
      <c r="F4" s="3066"/>
      <c r="G4" s="3237" t="s">
        <v>8979</v>
      </c>
      <c r="H4" s="3237" t="s">
        <v>8979</v>
      </c>
      <c r="I4" s="3237" t="s">
        <v>8979</v>
      </c>
      <c r="J4" s="3237" t="s">
        <v>8979</v>
      </c>
      <c r="K4" s="3237" t="s">
        <v>8979</v>
      </c>
      <c r="L4" s="3241" t="s">
        <v>3090</v>
      </c>
      <c r="M4"/>
    </row>
    <row r="5" spans="1:13">
      <c r="A5" s="3066"/>
      <c r="B5" s="3066"/>
      <c r="C5" s="3416"/>
      <c r="D5" s="3416"/>
      <c r="E5" s="3416"/>
      <c r="F5" s="3416"/>
      <c r="G5" s="3427"/>
      <c r="H5" s="656"/>
      <c r="I5" s="656"/>
      <c r="J5" s="656"/>
      <c r="K5" s="656"/>
      <c r="L5" s="518" t="s">
        <v>3091</v>
      </c>
      <c r="M5"/>
    </row>
    <row r="6" spans="1:13">
      <c r="A6" s="1416" t="s">
        <v>9011</v>
      </c>
      <c r="B6" s="3066"/>
      <c r="C6" s="3416"/>
      <c r="D6" s="3416"/>
      <c r="E6" s="3416"/>
      <c r="F6" s="3416"/>
      <c r="G6" s="3427"/>
      <c r="H6" s="656"/>
      <c r="I6" s="656"/>
      <c r="J6" s="656"/>
      <c r="K6" s="656"/>
      <c r="L6" s="35"/>
      <c r="M6"/>
    </row>
    <row r="7" spans="1:13">
      <c r="A7" s="3066" t="s">
        <v>2784</v>
      </c>
      <c r="B7" s="3066"/>
      <c r="C7" s="3417">
        <v>5</v>
      </c>
      <c r="D7" s="3417">
        <v>5</v>
      </c>
      <c r="E7" s="3417">
        <v>5</v>
      </c>
      <c r="F7" s="3417">
        <v>5</v>
      </c>
      <c r="G7" s="3428">
        <v>5</v>
      </c>
      <c r="H7" s="3439">
        <v>5</v>
      </c>
      <c r="I7" s="3439">
        <v>5</v>
      </c>
      <c r="J7" s="3439">
        <v>5</v>
      </c>
      <c r="K7" s="3439">
        <v>5</v>
      </c>
      <c r="L7" s="35"/>
      <c r="M7"/>
    </row>
    <row r="8" spans="1:13">
      <c r="A8" s="3066" t="s">
        <v>2785</v>
      </c>
      <c r="B8" s="3066"/>
      <c r="C8" s="3417">
        <v>3</v>
      </c>
      <c r="D8" s="3417">
        <v>3</v>
      </c>
      <c r="E8" s="3417">
        <v>3</v>
      </c>
      <c r="F8" s="3417">
        <v>3</v>
      </c>
      <c r="G8" s="3428">
        <v>3</v>
      </c>
      <c r="H8" s="3439">
        <v>3</v>
      </c>
      <c r="I8" s="3439">
        <v>3</v>
      </c>
      <c r="J8" s="3439">
        <v>3</v>
      </c>
      <c r="K8" s="3439">
        <v>3</v>
      </c>
      <c r="M8"/>
    </row>
    <row r="9" spans="1:13">
      <c r="A9" s="3066" t="s">
        <v>2786</v>
      </c>
      <c r="B9" s="3066"/>
      <c r="C9" s="3417">
        <v>5</v>
      </c>
      <c r="D9" s="3417">
        <v>5</v>
      </c>
      <c r="E9" s="3417">
        <v>5</v>
      </c>
      <c r="F9" s="3417">
        <v>5</v>
      </c>
      <c r="G9" s="3428">
        <v>5</v>
      </c>
      <c r="H9" s="3439">
        <v>5</v>
      </c>
      <c r="I9" s="3439">
        <v>5</v>
      </c>
      <c r="J9" s="3439">
        <v>5</v>
      </c>
      <c r="K9" s="3439">
        <v>5</v>
      </c>
      <c r="M9"/>
    </row>
    <row r="10" spans="1:13">
      <c r="A10" s="3066" t="s">
        <v>2787</v>
      </c>
      <c r="B10" s="3066"/>
      <c r="C10" s="3417">
        <v>3</v>
      </c>
      <c r="D10" s="3417">
        <v>3</v>
      </c>
      <c r="E10" s="3417">
        <v>3</v>
      </c>
      <c r="F10" s="3417">
        <v>3</v>
      </c>
      <c r="G10" s="3428">
        <v>3</v>
      </c>
      <c r="H10" s="3439">
        <v>3</v>
      </c>
      <c r="I10" s="3439">
        <v>3</v>
      </c>
      <c r="J10" s="3439">
        <v>3</v>
      </c>
      <c r="K10" s="3439">
        <v>3</v>
      </c>
      <c r="M10"/>
    </row>
    <row r="11" spans="1:13">
      <c r="A11" s="3066" t="s">
        <v>3061</v>
      </c>
      <c r="B11" s="3066"/>
      <c r="C11" s="3417">
        <v>3</v>
      </c>
      <c r="D11" s="3417">
        <v>3</v>
      </c>
      <c r="E11" s="3417">
        <v>3</v>
      </c>
      <c r="F11" s="3417">
        <v>3</v>
      </c>
      <c r="G11" s="3428">
        <v>3</v>
      </c>
      <c r="H11" s="3439">
        <v>3</v>
      </c>
      <c r="I11" s="3439">
        <v>3</v>
      </c>
      <c r="J11" s="3439">
        <v>3</v>
      </c>
      <c r="K11" s="3439">
        <v>3</v>
      </c>
      <c r="M11"/>
    </row>
    <row r="12" spans="1:13">
      <c r="A12" s="3066" t="s">
        <v>2790</v>
      </c>
      <c r="B12" s="3066"/>
      <c r="C12" s="3417">
        <v>2.7</v>
      </c>
      <c r="D12" s="3417">
        <v>2.7</v>
      </c>
      <c r="E12" s="3417">
        <v>2.7</v>
      </c>
      <c r="F12" s="3417">
        <v>2.7</v>
      </c>
      <c r="G12" s="3428">
        <v>2.7</v>
      </c>
      <c r="H12" s="3439">
        <v>2.7</v>
      </c>
      <c r="I12" s="3439">
        <v>2.7</v>
      </c>
      <c r="J12" s="3439">
        <v>2.7</v>
      </c>
      <c r="K12" s="3439">
        <v>2.7</v>
      </c>
      <c r="M12"/>
    </row>
    <row r="13" spans="1:13">
      <c r="A13" s="3066" t="s">
        <v>3062</v>
      </c>
      <c r="B13" s="3066"/>
      <c r="C13" s="3417">
        <v>2.2999999999999998</v>
      </c>
      <c r="D13" s="3417">
        <v>2.2999999999999998</v>
      </c>
      <c r="E13" s="3417">
        <v>2.2999999999999998</v>
      </c>
      <c r="F13" s="3417">
        <v>2.2999999999999998</v>
      </c>
      <c r="G13" s="3428">
        <v>2.2999999999999998</v>
      </c>
      <c r="H13" s="3439">
        <v>2.2999999999999998</v>
      </c>
      <c r="I13" s="3439">
        <v>2.2999999999999998</v>
      </c>
      <c r="J13" s="3439">
        <v>2.2999999999999998</v>
      </c>
      <c r="K13" s="3439">
        <v>2.2999999999999998</v>
      </c>
      <c r="M13"/>
    </row>
    <row r="14" spans="1:13">
      <c r="A14" s="3066" t="s">
        <v>2792</v>
      </c>
      <c r="B14" s="3066"/>
      <c r="C14" s="3417">
        <v>2.8</v>
      </c>
      <c r="D14" s="3417">
        <v>2.8</v>
      </c>
      <c r="E14" s="3417">
        <v>2.8</v>
      </c>
      <c r="F14" s="3417">
        <v>2.8</v>
      </c>
      <c r="G14" s="3428">
        <v>2.8</v>
      </c>
      <c r="H14" s="3439">
        <v>2.8</v>
      </c>
      <c r="I14" s="3439">
        <v>2.8</v>
      </c>
      <c r="J14" s="3439">
        <v>2.8</v>
      </c>
      <c r="K14" s="3439">
        <v>2.8</v>
      </c>
      <c r="M14"/>
    </row>
    <row r="15" spans="1:13">
      <c r="A15" s="3066" t="s">
        <v>3063</v>
      </c>
      <c r="B15" s="3066"/>
      <c r="C15" s="3417">
        <v>1.7</v>
      </c>
      <c r="D15" s="3417">
        <v>1.7</v>
      </c>
      <c r="E15" s="3417">
        <v>1.7</v>
      </c>
      <c r="F15" s="3417">
        <v>1.7</v>
      </c>
      <c r="G15" s="3428">
        <v>1.7</v>
      </c>
      <c r="H15" s="3439">
        <v>1.7</v>
      </c>
      <c r="I15" s="3439">
        <v>1.7</v>
      </c>
      <c r="J15" s="3439">
        <v>1.7</v>
      </c>
      <c r="K15" s="3439">
        <v>1.7</v>
      </c>
      <c r="M15"/>
    </row>
    <row r="16" spans="1:13">
      <c r="A16" s="3066" t="s">
        <v>3064</v>
      </c>
      <c r="B16" s="3066"/>
      <c r="C16" s="3417">
        <v>4</v>
      </c>
      <c r="D16" s="3417">
        <v>4</v>
      </c>
      <c r="E16" s="3417">
        <v>4</v>
      </c>
      <c r="F16" s="3417">
        <v>4</v>
      </c>
      <c r="G16" s="3428">
        <v>4</v>
      </c>
      <c r="H16" s="3439">
        <v>4</v>
      </c>
      <c r="I16" s="3439">
        <v>4</v>
      </c>
      <c r="J16" s="3439">
        <v>4</v>
      </c>
      <c r="K16" s="3439">
        <v>4</v>
      </c>
      <c r="M16"/>
    </row>
    <row r="17" spans="1:13">
      <c r="A17" s="3066"/>
      <c r="B17" s="3066"/>
      <c r="C17" s="3417"/>
      <c r="D17" s="3417"/>
      <c r="E17" s="3417"/>
      <c r="F17" s="3417"/>
      <c r="G17" s="3428"/>
      <c r="H17" s="3439"/>
      <c r="I17" s="3439"/>
      <c r="J17" s="3439"/>
      <c r="K17" s="3439"/>
      <c r="M17"/>
    </row>
    <row r="18" spans="1:13">
      <c r="A18" s="1416" t="s">
        <v>2824</v>
      </c>
      <c r="B18" s="3066"/>
      <c r="C18" s="3417">
        <v>1.1000000000000001</v>
      </c>
      <c r="D18" s="3417">
        <v>1.1000000000000001</v>
      </c>
      <c r="E18" s="3417">
        <v>1.1000000000000001</v>
      </c>
      <c r="F18" s="3417">
        <v>1.1000000000000001</v>
      </c>
      <c r="G18" s="1992">
        <v>1.1499999999999999</v>
      </c>
      <c r="H18" s="3439">
        <f>G18</f>
        <v>1.1499999999999999</v>
      </c>
      <c r="I18" s="3439">
        <f>H18</f>
        <v>1.1499999999999999</v>
      </c>
      <c r="J18" s="3439">
        <f>I18</f>
        <v>1.1499999999999999</v>
      </c>
      <c r="K18" s="3439">
        <f>J18</f>
        <v>1.1499999999999999</v>
      </c>
      <c r="M18"/>
    </row>
    <row r="19" spans="1:13">
      <c r="A19" s="3066"/>
      <c r="B19" s="3066"/>
      <c r="C19" s="3417"/>
      <c r="D19" s="3417"/>
      <c r="E19" s="3417"/>
      <c r="F19" s="3417"/>
      <c r="G19" s="3428"/>
      <c r="H19" s="3439"/>
      <c r="I19" s="3439"/>
      <c r="J19" s="3439"/>
      <c r="K19" s="3439"/>
      <c r="M19"/>
    </row>
    <row r="20" spans="1:13">
      <c r="A20" s="1416" t="s">
        <v>9013</v>
      </c>
      <c r="B20" s="3066"/>
      <c r="C20" s="3417">
        <v>1.35</v>
      </c>
      <c r="D20" s="3417">
        <v>1.35</v>
      </c>
      <c r="E20" s="3417">
        <v>1.35</v>
      </c>
      <c r="F20" s="3417">
        <v>1.35</v>
      </c>
      <c r="G20" s="3428">
        <v>1.35</v>
      </c>
      <c r="H20" s="3439">
        <v>1.35</v>
      </c>
      <c r="I20" s="3439">
        <v>1.35</v>
      </c>
      <c r="J20" s="3439">
        <v>1.35</v>
      </c>
      <c r="K20" s="3439">
        <v>1.35</v>
      </c>
      <c r="M20"/>
    </row>
    <row r="21" spans="1:13">
      <c r="A21" s="3066" t="s">
        <v>3071</v>
      </c>
      <c r="B21" s="3066"/>
      <c r="C21" s="2457">
        <v>50</v>
      </c>
      <c r="D21" s="2457">
        <v>50</v>
      </c>
      <c r="E21" s="2457">
        <v>50</v>
      </c>
      <c r="F21" s="2457">
        <v>50</v>
      </c>
      <c r="G21" s="3429">
        <v>50</v>
      </c>
      <c r="H21" s="223">
        <v>50</v>
      </c>
      <c r="I21" s="223">
        <v>50</v>
      </c>
      <c r="J21" s="223">
        <v>50</v>
      </c>
      <c r="K21" s="223">
        <v>50</v>
      </c>
      <c r="M21"/>
    </row>
    <row r="22" spans="1:13">
      <c r="A22" s="3066"/>
      <c r="B22" s="3066"/>
      <c r="C22" s="3416"/>
      <c r="D22" s="3416"/>
      <c r="E22" s="3416"/>
      <c r="F22" s="3416"/>
      <c r="G22" s="3427"/>
      <c r="H22" s="656"/>
      <c r="I22" s="656"/>
      <c r="J22" s="656"/>
      <c r="K22" s="656"/>
      <c r="M22"/>
    </row>
    <row r="23" spans="1:13">
      <c r="A23" s="3114" t="s">
        <v>8987</v>
      </c>
      <c r="B23" s="3114"/>
      <c r="C23" s="3115">
        <v>0.1</v>
      </c>
      <c r="D23" s="3115">
        <v>0.1</v>
      </c>
      <c r="E23" s="3115">
        <v>0.1</v>
      </c>
      <c r="F23" s="3115">
        <v>0.1</v>
      </c>
      <c r="G23" s="3430">
        <v>0.1</v>
      </c>
      <c r="H23" s="3439">
        <v>0.1</v>
      </c>
      <c r="I23" s="3439">
        <v>0.1</v>
      </c>
      <c r="J23" s="3439">
        <v>0.1</v>
      </c>
      <c r="K23" s="3439">
        <v>0.1</v>
      </c>
      <c r="M23"/>
    </row>
    <row r="24" spans="1:13">
      <c r="A24" s="1416" t="s">
        <v>8960</v>
      </c>
      <c r="B24" s="3066"/>
      <c r="C24" s="3417"/>
      <c r="D24" s="3417"/>
      <c r="E24" s="3417"/>
      <c r="F24" s="3417"/>
      <c r="G24" s="1992">
        <v>0.15</v>
      </c>
      <c r="H24" s="1992">
        <v>0.15</v>
      </c>
      <c r="I24" s="3439">
        <f t="shared" ref="I24:K25" si="0">H24</f>
        <v>0.15</v>
      </c>
      <c r="J24" s="3439">
        <f t="shared" si="0"/>
        <v>0.15</v>
      </c>
      <c r="K24" s="3439">
        <f t="shared" si="0"/>
        <v>0.15</v>
      </c>
      <c r="M24"/>
    </row>
    <row r="25" spans="1:13">
      <c r="A25" s="1416" t="s">
        <v>8833</v>
      </c>
      <c r="B25" s="3066"/>
      <c r="C25" s="3417"/>
      <c r="D25" s="3417"/>
      <c r="E25" s="3417"/>
      <c r="F25" s="3417"/>
      <c r="G25" s="1992">
        <v>0.05</v>
      </c>
      <c r="H25" s="1992">
        <v>0.05</v>
      </c>
      <c r="I25" s="3439">
        <f t="shared" si="0"/>
        <v>0.05</v>
      </c>
      <c r="J25" s="3439">
        <f t="shared" si="0"/>
        <v>0.05</v>
      </c>
      <c r="K25" s="3439">
        <f t="shared" si="0"/>
        <v>0.05</v>
      </c>
      <c r="M25"/>
    </row>
    <row r="26" spans="1:13">
      <c r="A26" s="3066"/>
      <c r="B26" s="3066"/>
      <c r="C26" s="3417"/>
      <c r="D26" s="3417"/>
      <c r="E26" s="3417"/>
      <c r="F26" s="3417"/>
      <c r="G26" s="3428"/>
      <c r="H26" s="3439"/>
      <c r="I26" s="3439"/>
      <c r="J26" s="3439"/>
      <c r="K26" s="3439"/>
      <c r="M26"/>
    </row>
    <row r="27" spans="1:13">
      <c r="A27" s="1416" t="s">
        <v>3068</v>
      </c>
      <c r="B27" s="3066"/>
      <c r="C27" s="3417">
        <v>0.12</v>
      </c>
      <c r="D27" s="3417">
        <v>0.12</v>
      </c>
      <c r="E27" s="3417">
        <v>0.12</v>
      </c>
      <c r="F27" s="3417">
        <v>0.12</v>
      </c>
      <c r="G27" s="1992">
        <v>0</v>
      </c>
      <c r="H27" s="3439">
        <v>0.12</v>
      </c>
      <c r="I27" s="3439">
        <v>0.12</v>
      </c>
      <c r="J27" s="3439">
        <v>0.12</v>
      </c>
      <c r="K27" s="3439">
        <v>0.12</v>
      </c>
      <c r="M27"/>
    </row>
    <row r="28" spans="1:13">
      <c r="A28" s="3066"/>
      <c r="B28" s="3066"/>
      <c r="C28" s="3417"/>
      <c r="D28" s="3417"/>
      <c r="E28" s="3417"/>
      <c r="F28" s="3417"/>
      <c r="G28" s="3428"/>
      <c r="H28" s="3439"/>
      <c r="I28" s="3439"/>
      <c r="J28" s="3439"/>
      <c r="K28" s="3439"/>
      <c r="M28"/>
    </row>
    <row r="29" spans="1:13">
      <c r="A29" s="1416" t="s">
        <v>3069</v>
      </c>
      <c r="B29" s="3066"/>
      <c r="C29" s="3417">
        <v>0.2</v>
      </c>
      <c r="D29" s="3417">
        <v>0.2</v>
      </c>
      <c r="E29" s="3417">
        <v>0.2</v>
      </c>
      <c r="F29" s="3417">
        <v>0.2</v>
      </c>
      <c r="G29" s="1992">
        <v>0</v>
      </c>
      <c r="H29" s="3439">
        <v>0.2</v>
      </c>
      <c r="I29" s="3439">
        <v>0.2</v>
      </c>
      <c r="J29" s="3439">
        <v>0.2</v>
      </c>
      <c r="K29" s="3439">
        <v>0.2</v>
      </c>
      <c r="M29"/>
    </row>
    <row r="30" spans="1:13">
      <c r="A30" s="3066"/>
      <c r="B30" s="3066"/>
      <c r="C30" s="3066"/>
      <c r="D30" s="3066"/>
      <c r="E30" s="3066"/>
      <c r="F30" s="3066"/>
      <c r="G30" s="2656"/>
      <c r="M30"/>
    </row>
    <row r="31" spans="1:13">
      <c r="A31" s="1416" t="s">
        <v>8844</v>
      </c>
      <c r="B31" s="3066"/>
      <c r="C31" s="3066"/>
      <c r="D31" s="3066"/>
      <c r="E31" s="3066"/>
      <c r="F31" s="3066"/>
      <c r="G31" s="3431">
        <v>0.2</v>
      </c>
      <c r="H31" s="3440">
        <f>G31</f>
        <v>0.2</v>
      </c>
      <c r="I31" s="3440">
        <f>H31</f>
        <v>0.2</v>
      </c>
      <c r="J31" s="3440">
        <f>I31</f>
        <v>0.2</v>
      </c>
      <c r="K31" s="3440">
        <f>J31</f>
        <v>0.2</v>
      </c>
      <c r="M31"/>
    </row>
    <row r="32" spans="1:13">
      <c r="A32" s="1416" t="s">
        <v>8843</v>
      </c>
      <c r="B32" s="3066"/>
      <c r="C32" s="3066"/>
      <c r="D32" s="3066"/>
      <c r="E32" s="3066"/>
      <c r="F32" s="3066"/>
      <c r="G32" s="3431">
        <v>0.27500000000000002</v>
      </c>
      <c r="H32" s="3440">
        <f t="shared" ref="H32:K38" si="1">G32</f>
        <v>0.27500000000000002</v>
      </c>
      <c r="I32" s="3440">
        <f t="shared" si="1"/>
        <v>0.27500000000000002</v>
      </c>
      <c r="J32" s="3440">
        <f t="shared" si="1"/>
        <v>0.27500000000000002</v>
      </c>
      <c r="K32" s="3440">
        <f t="shared" si="1"/>
        <v>0.27500000000000002</v>
      </c>
      <c r="M32"/>
    </row>
    <row r="33" spans="1:13">
      <c r="A33" s="1416" t="s">
        <v>8863</v>
      </c>
      <c r="B33" s="3066"/>
      <c r="C33" s="3066"/>
      <c r="D33" s="3066"/>
      <c r="E33" s="3066"/>
      <c r="F33" s="3066"/>
      <c r="G33" s="3431">
        <v>0.22500000000000001</v>
      </c>
      <c r="H33" s="3440">
        <f t="shared" si="1"/>
        <v>0.22500000000000001</v>
      </c>
      <c r="I33" s="3440">
        <f t="shared" si="1"/>
        <v>0.22500000000000001</v>
      </c>
      <c r="J33" s="3440">
        <f t="shared" si="1"/>
        <v>0.22500000000000001</v>
      </c>
      <c r="K33" s="3440">
        <f t="shared" si="1"/>
        <v>0.22500000000000001</v>
      </c>
      <c r="M33"/>
    </row>
    <row r="34" spans="1:13">
      <c r="A34" s="1416" t="s">
        <v>8864</v>
      </c>
      <c r="B34" s="3066"/>
      <c r="C34" s="3066"/>
      <c r="D34" s="3066"/>
      <c r="E34" s="3066"/>
      <c r="F34" s="3066"/>
      <c r="G34" s="3431">
        <v>0.23749999999999999</v>
      </c>
      <c r="H34" s="3440">
        <f t="shared" si="1"/>
        <v>0.23749999999999999</v>
      </c>
      <c r="I34" s="3440">
        <f t="shared" si="1"/>
        <v>0.23749999999999999</v>
      </c>
      <c r="J34" s="3440">
        <f t="shared" si="1"/>
        <v>0.23749999999999999</v>
      </c>
      <c r="K34" s="3440">
        <f t="shared" si="1"/>
        <v>0.23749999999999999</v>
      </c>
      <c r="M34"/>
    </row>
    <row r="35" spans="1:13">
      <c r="A35" s="1416" t="s">
        <v>8865</v>
      </c>
      <c r="B35" s="3066"/>
      <c r="C35" s="3066"/>
      <c r="D35" s="3066"/>
      <c r="E35" s="3066"/>
      <c r="F35" s="3066"/>
      <c r="G35" s="3431">
        <v>0.25</v>
      </c>
      <c r="H35" s="3440">
        <f t="shared" si="1"/>
        <v>0.25</v>
      </c>
      <c r="I35" s="3440">
        <f t="shared" si="1"/>
        <v>0.25</v>
      </c>
      <c r="J35" s="3440">
        <f t="shared" si="1"/>
        <v>0.25</v>
      </c>
      <c r="K35" s="3440">
        <f t="shared" si="1"/>
        <v>0.25</v>
      </c>
      <c r="M35"/>
    </row>
    <row r="36" spans="1:13">
      <c r="A36" s="1416" t="s">
        <v>8866</v>
      </c>
      <c r="B36" s="3066"/>
      <c r="C36" s="3066"/>
      <c r="D36" s="3066"/>
      <c r="E36" s="3066"/>
      <c r="F36" s="3066"/>
      <c r="G36" s="3431">
        <v>0.26250000000000001</v>
      </c>
      <c r="H36" s="3440">
        <f t="shared" si="1"/>
        <v>0.26250000000000001</v>
      </c>
      <c r="I36" s="3440">
        <f t="shared" si="1"/>
        <v>0.26250000000000001</v>
      </c>
      <c r="J36" s="3440">
        <f t="shared" si="1"/>
        <v>0.26250000000000001</v>
      </c>
      <c r="K36" s="3440">
        <f t="shared" si="1"/>
        <v>0.26250000000000001</v>
      </c>
      <c r="M36"/>
    </row>
    <row r="37" spans="1:13">
      <c r="A37" s="1416" t="s">
        <v>8867</v>
      </c>
      <c r="B37" s="3066"/>
      <c r="C37" s="3066"/>
      <c r="D37" s="3066"/>
      <c r="E37" s="3066"/>
      <c r="F37" s="3066"/>
      <c r="G37" s="3431">
        <v>0.27500000000000002</v>
      </c>
      <c r="H37" s="3440">
        <f t="shared" si="1"/>
        <v>0.27500000000000002</v>
      </c>
      <c r="I37" s="3440">
        <f t="shared" si="1"/>
        <v>0.27500000000000002</v>
      </c>
      <c r="J37" s="3440">
        <f t="shared" si="1"/>
        <v>0.27500000000000002</v>
      </c>
      <c r="K37" s="3440">
        <f t="shared" si="1"/>
        <v>0.27500000000000002</v>
      </c>
      <c r="M37"/>
    </row>
    <row r="38" spans="1:13">
      <c r="A38" s="1416" t="s">
        <v>8847</v>
      </c>
      <c r="B38" s="3066"/>
      <c r="C38" s="3066"/>
      <c r="D38" s="3066"/>
      <c r="E38" s="3066"/>
      <c r="F38" s="3066"/>
      <c r="G38" s="3431">
        <v>0.22500000000000001</v>
      </c>
      <c r="H38" s="3440">
        <f t="shared" si="1"/>
        <v>0.22500000000000001</v>
      </c>
      <c r="I38" s="3440">
        <f t="shared" si="1"/>
        <v>0.22500000000000001</v>
      </c>
      <c r="J38" s="3440">
        <f t="shared" si="1"/>
        <v>0.22500000000000001</v>
      </c>
      <c r="K38" s="3440">
        <f t="shared" si="1"/>
        <v>0.22500000000000001</v>
      </c>
      <c r="M38"/>
    </row>
    <row r="39" spans="1:13">
      <c r="A39" s="3066"/>
      <c r="B39" s="3066"/>
      <c r="C39" s="3417"/>
      <c r="D39" s="3417"/>
      <c r="E39" s="3417"/>
      <c r="F39" s="3417"/>
      <c r="G39" s="3428"/>
      <c r="H39" s="3439"/>
      <c r="I39" s="3439"/>
      <c r="J39" s="3439"/>
      <c r="K39" s="3439"/>
      <c r="M39"/>
    </row>
    <row r="40" spans="1:13">
      <c r="A40" s="3066" t="s">
        <v>3070</v>
      </c>
      <c r="B40" s="3066"/>
      <c r="C40" s="3417">
        <v>2.41</v>
      </c>
      <c r="D40" s="3417">
        <v>2.41</v>
      </c>
      <c r="E40" s="3417">
        <v>2.41</v>
      </c>
      <c r="F40" s="3417">
        <v>2.41</v>
      </c>
      <c r="G40" s="3428">
        <v>2.41</v>
      </c>
      <c r="H40" s="3439">
        <v>2.41</v>
      </c>
      <c r="I40" s="3439">
        <v>2.41</v>
      </c>
      <c r="J40" s="3439">
        <v>2.41</v>
      </c>
      <c r="K40" s="3439">
        <v>2.41</v>
      </c>
      <c r="M40"/>
    </row>
    <row r="41" spans="1:13">
      <c r="A41" s="3066"/>
      <c r="B41" s="3066"/>
      <c r="C41" s="3416"/>
      <c r="D41" s="3416"/>
      <c r="E41" s="3416"/>
      <c r="F41" s="3416"/>
      <c r="G41" s="3427"/>
      <c r="H41" s="656"/>
      <c r="I41" s="656"/>
      <c r="J41" s="656"/>
      <c r="K41" s="656"/>
      <c r="M41"/>
    </row>
    <row r="42" spans="1:13">
      <c r="A42" s="1416" t="s">
        <v>3072</v>
      </c>
      <c r="B42" s="3066"/>
      <c r="C42" s="2457">
        <v>275</v>
      </c>
      <c r="D42" s="2457">
        <v>275</v>
      </c>
      <c r="E42" s="2457">
        <v>275</v>
      </c>
      <c r="F42" s="2457">
        <v>275</v>
      </c>
      <c r="G42" s="3432">
        <v>0</v>
      </c>
      <c r="H42" s="223">
        <v>0</v>
      </c>
      <c r="I42" s="223">
        <v>0</v>
      </c>
      <c r="J42" s="223">
        <v>0</v>
      </c>
      <c r="K42" s="223">
        <v>0</v>
      </c>
      <c r="M42"/>
    </row>
    <row r="43" spans="1:13">
      <c r="A43" s="3066"/>
      <c r="B43" s="3066"/>
      <c r="C43" s="2457"/>
      <c r="D43" s="2457"/>
      <c r="E43" s="2457"/>
      <c r="F43" s="2457"/>
      <c r="G43" s="3429"/>
      <c r="H43" s="223"/>
      <c r="I43" s="223"/>
      <c r="J43" s="223"/>
      <c r="K43" s="223"/>
      <c r="M43"/>
    </row>
    <row r="44" spans="1:13">
      <c r="A44" s="1416" t="s">
        <v>8956</v>
      </c>
      <c r="B44" s="3066"/>
      <c r="C44" s="3416"/>
      <c r="D44" s="3416"/>
      <c r="E44" s="3416"/>
      <c r="F44" s="3416"/>
      <c r="G44" s="3432">
        <v>1000</v>
      </c>
      <c r="H44" s="3441">
        <f t="shared" ref="H44:K44" si="2">G44</f>
        <v>1000</v>
      </c>
      <c r="I44" s="3441">
        <f t="shared" si="2"/>
        <v>1000</v>
      </c>
      <c r="J44" s="3441">
        <f t="shared" si="2"/>
        <v>1000</v>
      </c>
      <c r="K44" s="3441">
        <f t="shared" si="2"/>
        <v>1000</v>
      </c>
      <c r="L44" s="3239" t="s">
        <v>9167</v>
      </c>
      <c r="M44"/>
    </row>
    <row r="45" spans="1:13">
      <c r="A45" s="3066"/>
      <c r="B45" s="3066"/>
      <c r="C45" s="3416"/>
      <c r="D45" s="3416"/>
      <c r="E45" s="3416"/>
      <c r="F45" s="3416"/>
      <c r="G45" s="3427"/>
      <c r="H45" s="656"/>
      <c r="I45" s="656"/>
      <c r="J45" s="656"/>
      <c r="K45" s="656"/>
      <c r="L45" s="1066" t="s">
        <v>9168</v>
      </c>
      <c r="M45"/>
    </row>
    <row r="46" spans="1:13">
      <c r="A46" s="3066" t="s">
        <v>3073</v>
      </c>
      <c r="B46" s="3066"/>
      <c r="C46" s="3417">
        <v>0.1</v>
      </c>
      <c r="D46" s="3417">
        <v>0.1</v>
      </c>
      <c r="E46" s="3417">
        <v>0.1</v>
      </c>
      <c r="F46" s="3417">
        <v>0.1</v>
      </c>
      <c r="G46" s="3428">
        <v>0.1</v>
      </c>
      <c r="H46" s="3439">
        <v>0.1</v>
      </c>
      <c r="I46" s="3439">
        <v>0.1</v>
      </c>
      <c r="J46" s="3439">
        <v>0.1</v>
      </c>
      <c r="K46" s="3439">
        <v>0.1</v>
      </c>
      <c r="L46" s="1067" t="s">
        <v>9208</v>
      </c>
      <c r="M46"/>
    </row>
    <row r="47" spans="1:13">
      <c r="A47" s="1416" t="s">
        <v>9017</v>
      </c>
      <c r="B47" s="1416"/>
      <c r="C47" s="3238"/>
      <c r="D47" s="3238"/>
      <c r="E47" s="3238"/>
      <c r="F47" s="3238"/>
      <c r="G47" s="3432">
        <v>266</v>
      </c>
      <c r="H47" s="223">
        <f>G47</f>
        <v>266</v>
      </c>
      <c r="I47" s="223">
        <f>H47</f>
        <v>266</v>
      </c>
      <c r="J47" s="223">
        <f>I47</f>
        <v>266</v>
      </c>
      <c r="K47" s="223">
        <f>J47</f>
        <v>266</v>
      </c>
      <c r="M47"/>
    </row>
    <row r="48" spans="1:13">
      <c r="A48" s="3066"/>
      <c r="B48" s="3066"/>
      <c r="C48" s="3417"/>
      <c r="D48" s="3417"/>
      <c r="E48" s="3417"/>
      <c r="F48" s="3417"/>
      <c r="G48" s="2656"/>
      <c r="H48" s="3439"/>
      <c r="I48" s="3439"/>
      <c r="J48" s="3439"/>
      <c r="K48" s="3439"/>
      <c r="M48"/>
    </row>
    <row r="49" spans="1:15">
      <c r="A49" s="3066"/>
      <c r="B49" s="3066"/>
      <c r="C49" s="3416"/>
      <c r="D49" s="3416"/>
      <c r="E49" s="3416"/>
      <c r="F49" s="3416"/>
      <c r="G49" s="3427"/>
      <c r="H49" s="656"/>
      <c r="I49" s="656"/>
      <c r="J49" s="656"/>
      <c r="K49" s="656"/>
      <c r="M49"/>
    </row>
    <row r="50" spans="1:15" hidden="1">
      <c r="A50" s="1416" t="s">
        <v>3074</v>
      </c>
      <c r="B50" s="3066"/>
      <c r="C50" s="3418">
        <v>2.5000000000000001E-4</v>
      </c>
      <c r="D50" s="3418">
        <v>2.5000000000000001E-4</v>
      </c>
      <c r="E50" s="3418">
        <v>2.5000000000000001E-4</v>
      </c>
      <c r="F50" s="3418">
        <v>2.5000000000000001E-4</v>
      </c>
      <c r="G50" s="3237">
        <v>0</v>
      </c>
      <c r="H50" s="3442">
        <v>3.2499999999999999E-4</v>
      </c>
      <c r="I50" s="3442">
        <v>3.5E-4</v>
      </c>
      <c r="J50" s="3442">
        <v>3.7500000000000001E-4</v>
      </c>
      <c r="K50" s="3442">
        <v>4.0000000000000002E-4</v>
      </c>
      <c r="M50" s="3096">
        <v>2.9999999999999997E-4</v>
      </c>
      <c r="N50" s="3098" t="s">
        <v>8988</v>
      </c>
      <c r="O50" s="3098"/>
    </row>
    <row r="51" spans="1:15" hidden="1">
      <c r="A51" s="3066" t="s">
        <v>3081</v>
      </c>
      <c r="B51" s="3066"/>
      <c r="C51" s="3416">
        <v>4.0000000000000002E-4</v>
      </c>
      <c r="D51" s="3416">
        <v>4.0000000000000002E-4</v>
      </c>
      <c r="E51" s="3416">
        <v>4.0000000000000002E-4</v>
      </c>
      <c r="F51" s="3416">
        <v>4.0000000000000002E-4</v>
      </c>
      <c r="G51" s="3427">
        <v>0</v>
      </c>
      <c r="H51" s="656">
        <v>4.0000000000000002E-4</v>
      </c>
      <c r="I51" s="656">
        <v>4.0000000000000002E-4</v>
      </c>
      <c r="J51" s="656">
        <v>4.0000000000000002E-4</v>
      </c>
      <c r="K51" s="656">
        <v>4.0000000000000002E-4</v>
      </c>
      <c r="M51" s="3096"/>
    </row>
    <row r="52" spans="1:15" hidden="1">
      <c r="A52" s="3066"/>
      <c r="B52" s="3066"/>
      <c r="C52" s="3066"/>
      <c r="D52" s="3066"/>
      <c r="E52" s="3066"/>
      <c r="F52" s="3066"/>
      <c r="G52" s="2656"/>
      <c r="M52" s="3096">
        <v>4.0000000000000002E-4</v>
      </c>
      <c r="N52" s="3098" t="s">
        <v>8989</v>
      </c>
      <c r="O52" s="3097"/>
    </row>
    <row r="53" spans="1:15" hidden="1">
      <c r="A53" s="1416" t="s">
        <v>3075</v>
      </c>
      <c r="B53" s="3066"/>
      <c r="C53" s="3419">
        <v>2.5000000000000001E-5</v>
      </c>
      <c r="D53" s="3419">
        <v>2.5000000000000001E-5</v>
      </c>
      <c r="E53" s="3419">
        <v>2.5000000000000001E-5</v>
      </c>
      <c r="F53" s="3419">
        <v>2.5000000000000001E-5</v>
      </c>
      <c r="G53" s="3433">
        <v>0</v>
      </c>
      <c r="H53" s="3443">
        <v>2.5000000000000001E-5</v>
      </c>
      <c r="I53" s="3443">
        <v>2.5000000000000001E-5</v>
      </c>
      <c r="J53" s="3443">
        <v>2.5000000000000001E-5</v>
      </c>
      <c r="K53" s="3443">
        <v>2.5000000000000001E-5</v>
      </c>
      <c r="M53" s="3096">
        <v>2.5000000000000001E-5</v>
      </c>
      <c r="N53" s="3098" t="s">
        <v>8766</v>
      </c>
      <c r="O53" s="3097"/>
    </row>
    <row r="54" spans="1:15" hidden="1">
      <c r="A54" s="3066"/>
      <c r="B54" s="3066"/>
      <c r="C54" s="3066"/>
      <c r="D54" s="3066"/>
      <c r="E54" s="3066"/>
      <c r="F54" s="3066"/>
      <c r="G54" s="2656"/>
      <c r="H54" s="3443"/>
      <c r="I54" s="3443"/>
      <c r="J54" s="3443"/>
      <c r="K54" s="3443"/>
      <c r="M54" s="3096"/>
    </row>
    <row r="55" spans="1:15">
      <c r="A55" s="1416" t="s">
        <v>8768</v>
      </c>
      <c r="B55" s="3066"/>
      <c r="C55" s="3066"/>
      <c r="D55" s="3066"/>
      <c r="E55" s="3066"/>
      <c r="F55" s="3066"/>
      <c r="G55" s="2656"/>
      <c r="H55" s="656"/>
      <c r="I55" s="656"/>
      <c r="J55" s="656"/>
      <c r="K55" s="656"/>
      <c r="M55"/>
    </row>
    <row r="56" spans="1:15">
      <c r="A56" s="1416" t="s">
        <v>8849</v>
      </c>
      <c r="B56" s="3066"/>
      <c r="C56" s="3066"/>
      <c r="D56" s="3066"/>
      <c r="E56" s="3066"/>
      <c r="F56" s="3066"/>
      <c r="G56" s="3434">
        <v>4.0000000000000002E-4</v>
      </c>
      <c r="H56" s="656">
        <f>G56</f>
        <v>4.0000000000000002E-4</v>
      </c>
      <c r="I56" s="656">
        <f>H56</f>
        <v>4.0000000000000002E-4</v>
      </c>
      <c r="J56" s="656">
        <f>I56</f>
        <v>4.0000000000000002E-4</v>
      </c>
      <c r="K56" s="656">
        <f>J56</f>
        <v>4.0000000000000002E-4</v>
      </c>
      <c r="M56"/>
    </row>
    <row r="57" spans="1:15">
      <c r="A57" s="1416" t="s">
        <v>8990</v>
      </c>
      <c r="B57" s="3066"/>
      <c r="C57" s="3066"/>
      <c r="D57" s="3066"/>
      <c r="E57" s="3066"/>
      <c r="F57" s="3066"/>
      <c r="G57" s="3433">
        <v>2.5000000000000001E-5</v>
      </c>
      <c r="H57" s="3443">
        <f>G57</f>
        <v>2.5000000000000001E-5</v>
      </c>
      <c r="I57" s="3443">
        <f>H57</f>
        <v>2.5000000000000001E-5</v>
      </c>
      <c r="J57" s="3443">
        <f t="shared" ref="J57:K57" si="3">I57</f>
        <v>2.5000000000000001E-5</v>
      </c>
      <c r="K57" s="3443">
        <f t="shared" si="3"/>
        <v>2.5000000000000001E-5</v>
      </c>
      <c r="M57"/>
    </row>
    <row r="58" spans="1:15">
      <c r="A58" s="1416" t="s">
        <v>9012</v>
      </c>
      <c r="B58" s="3066"/>
      <c r="C58" s="3066"/>
      <c r="D58" s="3066"/>
      <c r="E58" s="3066"/>
      <c r="F58" s="3066"/>
      <c r="G58" s="3237">
        <v>4.6999999999999999E-4</v>
      </c>
      <c r="H58" s="3444">
        <f>G58</f>
        <v>4.6999999999999999E-4</v>
      </c>
      <c r="I58" s="3444">
        <f>H58</f>
        <v>4.6999999999999999E-4</v>
      </c>
      <c r="J58" s="3444">
        <f t="shared" ref="J58:K58" si="4">I58</f>
        <v>4.6999999999999999E-4</v>
      </c>
      <c r="K58" s="3444">
        <f t="shared" si="4"/>
        <v>4.6999999999999999E-4</v>
      </c>
      <c r="M58"/>
    </row>
    <row r="59" spans="1:15">
      <c r="A59" s="3066"/>
      <c r="B59" s="3066"/>
      <c r="C59" s="3066"/>
      <c r="D59" s="3066"/>
      <c r="E59" s="3066"/>
      <c r="F59" s="3066"/>
      <c r="G59" s="2656"/>
      <c r="M59"/>
    </row>
    <row r="60" spans="1:15">
      <c r="A60" s="1416" t="s">
        <v>3076</v>
      </c>
      <c r="B60" s="3066"/>
      <c r="C60" s="3066">
        <v>0.71</v>
      </c>
      <c r="D60" s="3066">
        <v>0.71</v>
      </c>
      <c r="E60" s="3066">
        <v>0.71</v>
      </c>
      <c r="F60" s="3066">
        <v>0.71</v>
      </c>
      <c r="G60" s="3424">
        <v>0</v>
      </c>
      <c r="H60" s="52">
        <v>0</v>
      </c>
      <c r="I60" s="52">
        <v>0</v>
      </c>
      <c r="J60" s="52">
        <v>0</v>
      </c>
      <c r="K60" s="52">
        <v>0</v>
      </c>
      <c r="M60"/>
    </row>
    <row r="61" spans="1:15" hidden="1">
      <c r="A61" s="3066" t="s">
        <v>3082</v>
      </c>
      <c r="B61" s="3066"/>
      <c r="C61" s="3066">
        <v>1.3999999999999999E-4</v>
      </c>
      <c r="D61" s="3066">
        <v>1.3999999999999999E-4</v>
      </c>
      <c r="E61" s="3066">
        <v>1.3999999999999999E-4</v>
      </c>
      <c r="F61" s="3066">
        <v>1.3999999999999999E-4</v>
      </c>
      <c r="G61" s="3435">
        <v>0</v>
      </c>
      <c r="H61" s="52">
        <v>1.3999999999999999E-4</v>
      </c>
      <c r="I61" s="52">
        <v>1.3999999999999999E-4</v>
      </c>
      <c r="J61" s="52">
        <v>1.3999999999999999E-4</v>
      </c>
      <c r="K61" s="52">
        <v>1.3999999999999999E-4</v>
      </c>
      <c r="M61"/>
    </row>
    <row r="62" spans="1:15">
      <c r="A62" s="3066"/>
      <c r="B62" s="3066"/>
      <c r="C62" s="3066"/>
      <c r="D62" s="3066"/>
      <c r="E62" s="3066"/>
      <c r="F62" s="3066"/>
      <c r="G62" s="2656"/>
      <c r="M62"/>
    </row>
    <row r="63" spans="1:15">
      <c r="A63" s="1416" t="s">
        <v>3078</v>
      </c>
      <c r="B63" s="3066"/>
      <c r="C63" s="3066">
        <v>0.66669999999999996</v>
      </c>
      <c r="D63" s="3066">
        <v>0.66669999999999996</v>
      </c>
      <c r="E63" s="3066">
        <v>0.66669999999999996</v>
      </c>
      <c r="F63" s="3066">
        <v>0.66669999999999996</v>
      </c>
      <c r="G63" s="3434">
        <v>0.93</v>
      </c>
      <c r="H63" s="656" t="e">
        <f>'Calc Data'!G206</f>
        <v>#DIV/0!</v>
      </c>
      <c r="I63" s="656" t="e">
        <f>H63</f>
        <v>#DIV/0!</v>
      </c>
      <c r="J63" s="656" t="e">
        <f>I63</f>
        <v>#DIV/0!</v>
      </c>
      <c r="K63" s="656" t="e">
        <f>J63</f>
        <v>#DIV/0!</v>
      </c>
    </row>
    <row r="64" spans="1:15">
      <c r="A64" s="3066"/>
      <c r="B64" s="3066"/>
      <c r="C64" s="3066"/>
      <c r="D64" s="3066"/>
      <c r="E64" s="3066"/>
      <c r="F64" s="3066"/>
      <c r="G64" s="2656"/>
      <c r="M64"/>
    </row>
    <row r="65" spans="1:17">
      <c r="A65" s="1416" t="s">
        <v>9005</v>
      </c>
      <c r="B65" s="3066"/>
      <c r="C65" s="3066"/>
      <c r="D65" s="3066"/>
      <c r="E65" s="3066"/>
      <c r="F65" s="3066"/>
      <c r="G65" s="3436">
        <v>9.7200000000000006</v>
      </c>
      <c r="H65" s="3445">
        <f>G65</f>
        <v>9.7200000000000006</v>
      </c>
      <c r="I65" s="3445">
        <f>H65</f>
        <v>9.7200000000000006</v>
      </c>
      <c r="J65" s="3445">
        <f>I65</f>
        <v>9.7200000000000006</v>
      </c>
      <c r="K65" s="3445">
        <f>J65</f>
        <v>9.7200000000000006</v>
      </c>
      <c r="M65"/>
    </row>
    <row r="66" spans="1:17">
      <c r="A66" s="3066"/>
      <c r="B66" s="3066"/>
      <c r="C66" s="3066"/>
      <c r="D66" s="3066"/>
      <c r="E66" s="3066"/>
      <c r="F66" s="3066"/>
      <c r="G66" s="2656"/>
      <c r="M66"/>
    </row>
    <row r="67" spans="1:17">
      <c r="A67" s="1416" t="s">
        <v>8981</v>
      </c>
      <c r="B67" s="3066"/>
      <c r="C67" s="3066"/>
      <c r="D67" s="3066"/>
      <c r="E67" s="3066"/>
      <c r="F67" s="3066"/>
      <c r="G67" s="3424">
        <v>1</v>
      </c>
      <c r="H67" s="225">
        <f>G67</f>
        <v>1</v>
      </c>
      <c r="I67" s="225">
        <f t="shared" ref="I67:K67" si="5">H67</f>
        <v>1</v>
      </c>
      <c r="J67" s="225">
        <f t="shared" si="5"/>
        <v>1</v>
      </c>
      <c r="K67" s="225">
        <f t="shared" si="5"/>
        <v>1</v>
      </c>
      <c r="M67"/>
    </row>
    <row r="68" spans="1:17">
      <c r="A68" s="3066"/>
      <c r="B68" s="3066"/>
      <c r="C68" s="3066"/>
      <c r="D68" s="3066"/>
      <c r="E68" s="3066"/>
      <c r="F68" s="3066"/>
      <c r="G68" s="2656"/>
      <c r="M68"/>
    </row>
    <row r="69" spans="1:17">
      <c r="A69" s="1416" t="s">
        <v>8962</v>
      </c>
      <c r="B69" s="3066"/>
      <c r="C69" s="3066"/>
      <c r="D69" s="3066"/>
      <c r="E69" s="3066"/>
      <c r="F69" s="3066"/>
      <c r="G69" s="3424">
        <v>0.1</v>
      </c>
      <c r="H69" s="225">
        <f>G69</f>
        <v>0.1</v>
      </c>
      <c r="I69" s="225">
        <f t="shared" ref="I69:K69" si="6">H69</f>
        <v>0.1</v>
      </c>
      <c r="J69" s="225">
        <f t="shared" si="6"/>
        <v>0.1</v>
      </c>
      <c r="K69" s="225">
        <f t="shared" si="6"/>
        <v>0.1</v>
      </c>
      <c r="M69"/>
    </row>
    <row r="70" spans="1:17">
      <c r="A70" s="3066"/>
      <c r="B70" s="3066"/>
      <c r="C70" s="3066"/>
      <c r="D70" s="3066"/>
      <c r="E70" s="3066"/>
      <c r="F70" s="3066"/>
      <c r="G70" s="2656"/>
      <c r="H70" s="2656"/>
      <c r="I70" s="2656"/>
      <c r="J70" s="2656"/>
      <c r="K70" s="2656"/>
      <c r="L70" s="3066"/>
      <c r="M70"/>
    </row>
    <row r="71" spans="1:17">
      <c r="A71" s="1416" t="s">
        <v>8862</v>
      </c>
      <c r="B71" s="3066"/>
      <c r="C71" s="3066"/>
      <c r="D71" s="3066"/>
      <c r="E71" s="3066"/>
      <c r="F71" s="3066"/>
      <c r="G71" s="3424">
        <v>0.1</v>
      </c>
      <c r="H71" s="225">
        <f>G71</f>
        <v>0.1</v>
      </c>
      <c r="I71" s="225">
        <f t="shared" ref="I71:K71" si="7">H71</f>
        <v>0.1</v>
      </c>
      <c r="J71" s="225">
        <f t="shared" si="7"/>
        <v>0.1</v>
      </c>
      <c r="K71" s="225">
        <f t="shared" si="7"/>
        <v>0.1</v>
      </c>
      <c r="M71"/>
    </row>
    <row r="72" spans="1:17">
      <c r="A72" s="3066"/>
      <c r="B72" s="3066"/>
      <c r="C72" s="3066"/>
      <c r="D72" s="3066"/>
      <c r="E72" s="3066"/>
      <c r="F72" s="3066"/>
      <c r="G72" s="3431"/>
      <c r="M72"/>
      <c r="N72" s="1416"/>
      <c r="O72" s="1416"/>
      <c r="P72" s="1416"/>
    </row>
    <row r="73" spans="1:17" hidden="1">
      <c r="A73" s="1416" t="s">
        <v>8957</v>
      </c>
      <c r="B73" s="3066"/>
      <c r="C73" s="3066"/>
      <c r="D73" s="3066"/>
      <c r="E73" s="3066"/>
      <c r="F73" s="3066"/>
      <c r="G73" s="3424">
        <v>0</v>
      </c>
      <c r="M73" s="3095">
        <v>0.1</v>
      </c>
      <c r="N73" s="1416"/>
      <c r="O73" s="1416"/>
      <c r="P73" s="1416"/>
    </row>
    <row r="74" spans="1:17" hidden="1">
      <c r="A74" s="3066"/>
      <c r="B74" s="3066"/>
      <c r="C74" s="3066"/>
      <c r="D74" s="3066"/>
      <c r="E74" s="3066"/>
      <c r="F74" s="3066"/>
      <c r="G74" s="3431"/>
      <c r="M74" s="3096"/>
      <c r="N74" s="1416"/>
      <c r="O74" s="1416"/>
      <c r="P74" s="1416"/>
    </row>
    <row r="75" spans="1:17">
      <c r="A75" s="1416" t="s">
        <v>8959</v>
      </c>
      <c r="B75" s="1416"/>
      <c r="C75" s="1416"/>
      <c r="D75" s="1416"/>
      <c r="E75" s="1416"/>
      <c r="F75" s="1416"/>
      <c r="G75" s="3431"/>
      <c r="M75" s="3103"/>
      <c r="N75" s="3103"/>
      <c r="O75" s="3103"/>
      <c r="P75" s="3103"/>
      <c r="Q75" s="3103"/>
    </row>
    <row r="76" spans="1:17">
      <c r="A76" s="3066"/>
      <c r="B76" s="3066"/>
      <c r="C76" s="3066"/>
      <c r="D76" s="3066"/>
      <c r="E76" s="3066"/>
      <c r="F76" s="3066"/>
      <c r="G76" s="3431"/>
      <c r="M76" s="3103"/>
      <c r="N76" s="3103"/>
      <c r="O76" s="3103"/>
      <c r="P76" s="3103"/>
      <c r="Q76" s="3103"/>
    </row>
    <row r="77" spans="1:17">
      <c r="A77" s="1416" t="s">
        <v>8961</v>
      </c>
      <c r="B77" s="1416"/>
      <c r="C77" s="1416"/>
      <c r="D77" s="1416"/>
      <c r="E77" s="1416"/>
      <c r="F77" s="1416"/>
      <c r="G77" s="3431"/>
      <c r="M77" s="3103"/>
      <c r="N77" s="3103"/>
      <c r="O77" s="3103"/>
      <c r="P77" s="3103"/>
      <c r="Q77" s="3103"/>
    </row>
    <row r="78" spans="1:17">
      <c r="A78" s="3066"/>
      <c r="B78" s="3066"/>
      <c r="C78" s="3066"/>
      <c r="D78" s="3066"/>
      <c r="E78" s="3066"/>
      <c r="F78" s="3066"/>
      <c r="G78" s="3431"/>
      <c r="M78" s="3103"/>
      <c r="N78" s="3103"/>
      <c r="O78" s="3103"/>
      <c r="P78" s="3103"/>
      <c r="Q78" s="3103"/>
    </row>
    <row r="79" spans="1:17" hidden="1">
      <c r="A79" s="1416" t="s">
        <v>8781</v>
      </c>
      <c r="B79" s="3066"/>
      <c r="C79" s="3066"/>
      <c r="D79" s="3066"/>
      <c r="E79" s="3066"/>
      <c r="F79" s="3066"/>
      <c r="G79" s="2444">
        <v>1.2E-2</v>
      </c>
      <c r="M79" s="3096" t="s">
        <v>8950</v>
      </c>
    </row>
    <row r="80" spans="1:17" hidden="1">
      <c r="A80" s="3114"/>
      <c r="B80" s="3114"/>
      <c r="C80" s="3114"/>
      <c r="D80" s="3114"/>
      <c r="E80" s="3114"/>
      <c r="F80" s="3114"/>
      <c r="G80" s="3437"/>
      <c r="M80" s="3096"/>
    </row>
    <row r="81" spans="1:13">
      <c r="A81" s="1416" t="s">
        <v>8953</v>
      </c>
      <c r="B81" s="3066"/>
      <c r="C81" s="3066"/>
      <c r="D81" s="3066"/>
      <c r="E81" s="3066"/>
      <c r="F81" s="3066"/>
      <c r="G81" s="2656"/>
      <c r="M81"/>
    </row>
    <row r="82" spans="1:13">
      <c r="A82" s="3114"/>
      <c r="B82" s="3114"/>
      <c r="C82" s="3114"/>
      <c r="D82" s="3114"/>
      <c r="E82" s="3114"/>
      <c r="F82" s="3114"/>
      <c r="G82" s="3437"/>
      <c r="M82"/>
    </row>
    <row r="83" spans="1:13">
      <c r="A83" s="1416" t="s">
        <v>8954</v>
      </c>
      <c r="B83" s="1416"/>
      <c r="C83" s="1416"/>
      <c r="D83" s="1416"/>
      <c r="E83" s="1416"/>
      <c r="F83" s="1416"/>
      <c r="G83" s="2444"/>
      <c r="M83"/>
    </row>
    <row r="84" spans="1:13">
      <c r="A84" s="3114"/>
      <c r="B84" s="3114"/>
      <c r="C84" s="3114"/>
      <c r="D84" s="3114"/>
      <c r="E84" s="3114"/>
      <c r="F84" s="3114"/>
      <c r="G84" s="3437"/>
      <c r="M84"/>
    </row>
    <row r="85" spans="1:13">
      <c r="A85" s="1416" t="s">
        <v>9007</v>
      </c>
      <c r="B85" s="1416"/>
      <c r="C85" s="1416"/>
      <c r="D85" s="1416"/>
      <c r="E85" s="1416"/>
      <c r="F85" s="1416"/>
      <c r="G85" s="2444" t="s">
        <v>9006</v>
      </c>
      <c r="H85" s="2444" t="s">
        <v>9006</v>
      </c>
      <c r="I85" s="2444" t="s">
        <v>9006</v>
      </c>
      <c r="J85" s="2444" t="s">
        <v>9006</v>
      </c>
      <c r="K85" s="2444" t="s">
        <v>9006</v>
      </c>
      <c r="M85"/>
    </row>
    <row r="86" spans="1:13">
      <c r="A86" s="1416"/>
      <c r="B86" s="3066"/>
      <c r="C86" s="3066"/>
      <c r="D86" s="3066"/>
      <c r="E86" s="3066"/>
      <c r="F86" s="3066"/>
      <c r="G86" s="2444"/>
      <c r="H86" s="2656"/>
      <c r="I86" s="2656"/>
      <c r="J86" s="2656"/>
      <c r="K86" s="2656"/>
      <c r="L86" s="3066"/>
      <c r="M86" s="1416"/>
    </row>
    <row r="87" spans="1:13" hidden="1">
      <c r="A87" s="1416" t="s">
        <v>8997</v>
      </c>
      <c r="B87" s="3066"/>
      <c r="C87" s="3066"/>
      <c r="D87" s="3066"/>
      <c r="E87" s="3066"/>
      <c r="F87" s="3066"/>
      <c r="G87" s="2444"/>
      <c r="H87" s="3438"/>
      <c r="I87" s="3438"/>
      <c r="J87" s="3438"/>
      <c r="K87" s="3438"/>
      <c r="L87" s="3097"/>
      <c r="M87" s="3104"/>
    </row>
    <row r="88" spans="1:13" hidden="1">
      <c r="A88" s="1416" t="s">
        <v>8973</v>
      </c>
      <c r="B88" s="3066"/>
      <c r="C88" s="3066"/>
      <c r="D88" s="3066"/>
      <c r="E88" s="3066"/>
      <c r="F88" s="3066"/>
      <c r="G88" s="2444"/>
      <c r="H88" s="3438"/>
      <c r="I88" s="3438"/>
      <c r="J88" s="3438"/>
      <c r="K88" s="3438"/>
      <c r="L88" s="3097"/>
      <c r="M88" s="3104"/>
    </row>
    <row r="89" spans="1:13" hidden="1">
      <c r="A89" s="3420" t="s">
        <v>8970</v>
      </c>
      <c r="B89" s="3066"/>
      <c r="C89" s="3066"/>
      <c r="D89" s="3066"/>
      <c r="E89" s="3066"/>
      <c r="F89" s="3066"/>
      <c r="G89" s="2444"/>
      <c r="H89" s="3438"/>
      <c r="I89" s="3438"/>
      <c r="J89" s="3438"/>
      <c r="K89" s="3438"/>
      <c r="L89" s="3097"/>
      <c r="M89" s="3104"/>
    </row>
    <row r="90" spans="1:13" hidden="1">
      <c r="A90" s="3421" t="s">
        <v>8986</v>
      </c>
      <c r="B90" s="3066"/>
      <c r="C90" s="3066"/>
      <c r="D90" s="3066"/>
      <c r="E90" s="3066"/>
      <c r="F90" s="3066"/>
      <c r="G90" s="2444"/>
      <c r="H90" s="3438"/>
      <c r="I90" s="3438"/>
      <c r="J90" s="3438"/>
      <c r="K90" s="3438"/>
      <c r="L90" s="3097"/>
      <c r="M90" s="3104"/>
    </row>
    <row r="91" spans="1:13" hidden="1">
      <c r="A91" s="3421" t="s">
        <v>8974</v>
      </c>
      <c r="B91" s="3066"/>
      <c r="C91" s="3066"/>
      <c r="D91" s="3066"/>
      <c r="E91" s="3066"/>
      <c r="F91" s="3066"/>
      <c r="G91" s="2444"/>
      <c r="H91" s="3438"/>
      <c r="I91" s="3438"/>
      <c r="J91" s="3438"/>
      <c r="K91" s="3438"/>
      <c r="L91" s="3097"/>
      <c r="M91" s="3104"/>
    </row>
    <row r="92" spans="1:13" hidden="1">
      <c r="A92" s="3421" t="s">
        <v>8975</v>
      </c>
      <c r="B92" s="3066"/>
      <c r="C92" s="3066"/>
      <c r="D92" s="3066"/>
      <c r="E92" s="3066"/>
      <c r="F92" s="3066"/>
      <c r="G92" s="2444"/>
      <c r="H92" s="3438"/>
      <c r="I92" s="3438"/>
      <c r="J92" s="3438"/>
      <c r="K92" s="3438"/>
      <c r="L92" s="3097"/>
      <c r="M92" s="3104"/>
    </row>
    <row r="93" spans="1:13" hidden="1">
      <c r="A93" s="3420" t="s">
        <v>8971</v>
      </c>
      <c r="B93" s="3066"/>
      <c r="C93" s="3066"/>
      <c r="D93" s="3066"/>
      <c r="E93" s="3066"/>
      <c r="F93" s="3066"/>
      <c r="G93" s="2444"/>
      <c r="H93" s="3438"/>
      <c r="I93" s="3438"/>
      <c r="J93" s="3438"/>
      <c r="K93" s="3438"/>
      <c r="L93" s="3097"/>
      <c r="M93" s="3104"/>
    </row>
    <row r="94" spans="1:13" hidden="1">
      <c r="A94" s="3420"/>
      <c r="B94" s="3066"/>
      <c r="C94" s="3066"/>
      <c r="D94" s="3066"/>
      <c r="E94" s="3066"/>
      <c r="F94" s="3066"/>
      <c r="G94" s="2444"/>
      <c r="H94" s="3438"/>
      <c r="I94" s="3438"/>
      <c r="J94" s="3438"/>
      <c r="K94" s="3438"/>
      <c r="L94" s="3097"/>
      <c r="M94" s="3104"/>
    </row>
    <row r="95" spans="1:13" hidden="1">
      <c r="A95" s="3420" t="s">
        <v>8972</v>
      </c>
      <c r="B95" s="3066"/>
      <c r="C95" s="3066"/>
      <c r="D95" s="3066"/>
      <c r="E95" s="3066"/>
      <c r="F95" s="3066"/>
      <c r="G95" s="2444"/>
      <c r="H95" s="3438"/>
      <c r="I95" s="3438"/>
      <c r="J95" s="3438"/>
      <c r="K95" s="3438"/>
      <c r="L95" s="3097"/>
      <c r="M95" s="3104"/>
    </row>
    <row r="96" spans="1:13" ht="15.75" hidden="1">
      <c r="A96" s="3422"/>
      <c r="B96" s="3066"/>
      <c r="C96" s="3066"/>
      <c r="D96" s="3066"/>
      <c r="E96" s="3066"/>
      <c r="F96" s="3066"/>
      <c r="G96" s="2444"/>
      <c r="H96" s="3438"/>
      <c r="I96" s="3438"/>
      <c r="J96" s="3438"/>
      <c r="K96" s="3438"/>
      <c r="L96" s="3097"/>
      <c r="M96" s="3104"/>
    </row>
    <row r="97" spans="1:14" hidden="1">
      <c r="A97" s="3420" t="s">
        <v>8976</v>
      </c>
      <c r="B97" s="3066"/>
      <c r="C97" s="3066"/>
      <c r="D97" s="3066"/>
      <c r="E97" s="3066"/>
      <c r="F97" s="3066"/>
      <c r="G97" s="2444"/>
      <c r="H97" s="3438"/>
      <c r="I97" s="3438"/>
      <c r="J97" s="3438"/>
      <c r="K97" s="3438"/>
      <c r="L97" s="3097"/>
      <c r="M97" s="3104"/>
    </row>
    <row r="98" spans="1:14" ht="15.75">
      <c r="A98" s="3422"/>
      <c r="B98" s="3066"/>
      <c r="C98" s="3066"/>
      <c r="D98" s="3066"/>
      <c r="E98" s="3066"/>
      <c r="F98" s="3066"/>
      <c r="G98" s="2444"/>
      <c r="H98" s="2656"/>
      <c r="I98" s="2656"/>
      <c r="J98" s="2656"/>
      <c r="K98" s="2656"/>
      <c r="L98" s="3066"/>
      <c r="M98" s="1992"/>
    </row>
    <row r="99" spans="1:14" hidden="1">
      <c r="A99" s="3420" t="s">
        <v>8999</v>
      </c>
      <c r="B99" s="3066"/>
      <c r="C99" s="3066"/>
      <c r="D99" s="3066"/>
      <c r="E99" s="3066"/>
      <c r="F99" s="3066"/>
      <c r="G99" s="2444"/>
      <c r="H99" s="3438"/>
      <c r="I99" s="3438"/>
      <c r="J99" s="3438"/>
      <c r="K99" s="3438"/>
      <c r="L99" s="3097"/>
      <c r="M99" s="3104"/>
    </row>
    <row r="100" spans="1:14" hidden="1">
      <c r="A100" s="3420" t="s">
        <v>8998</v>
      </c>
      <c r="B100" s="3066"/>
      <c r="C100" s="3066"/>
      <c r="D100" s="3066"/>
      <c r="E100" s="3066"/>
      <c r="F100" s="3066"/>
      <c r="G100" s="2444"/>
      <c r="H100" s="3438"/>
      <c r="I100" s="3438"/>
      <c r="J100" s="3438"/>
      <c r="K100" s="3438"/>
      <c r="L100" s="3097"/>
      <c r="M100" s="3104"/>
    </row>
    <row r="101" spans="1:14" ht="15.75">
      <c r="A101" s="3422"/>
      <c r="B101" s="3066"/>
      <c r="C101" s="3066"/>
      <c r="D101" s="3066"/>
      <c r="E101" s="3066"/>
      <c r="F101" s="3066"/>
      <c r="G101" s="2444"/>
      <c r="H101" s="2656"/>
      <c r="I101" s="2656"/>
      <c r="J101" s="2656"/>
      <c r="K101" s="2656"/>
      <c r="L101" s="3066"/>
      <c r="M101" s="1992"/>
    </row>
    <row r="102" spans="1:14">
      <c r="A102" s="1416" t="s">
        <v>8943</v>
      </c>
      <c r="B102" s="1416"/>
      <c r="C102" s="1416"/>
      <c r="D102" s="1416"/>
      <c r="E102" s="1416"/>
      <c r="F102" s="1416"/>
      <c r="G102" s="2444" t="s">
        <v>8944</v>
      </c>
      <c r="H102" s="2763" t="s">
        <v>8945</v>
      </c>
      <c r="I102" s="2656"/>
      <c r="J102" s="2656"/>
      <c r="K102" s="2656"/>
      <c r="L102" s="3066"/>
    </row>
    <row r="103" spans="1:14">
      <c r="A103" s="1416" t="s">
        <v>8951</v>
      </c>
      <c r="B103" s="3066"/>
      <c r="C103" s="3066"/>
      <c r="D103" s="3066"/>
      <c r="E103" s="3066"/>
      <c r="F103" s="3066"/>
      <c r="G103" s="2444" t="s">
        <v>8946</v>
      </c>
      <c r="H103" s="2763" t="s">
        <v>8947</v>
      </c>
      <c r="I103" s="2656"/>
      <c r="J103" s="2656"/>
      <c r="K103" s="2656"/>
      <c r="L103" s="3066"/>
    </row>
    <row r="104" spans="1:14">
      <c r="A104" s="1416" t="s">
        <v>8952</v>
      </c>
      <c r="B104" s="3066"/>
      <c r="C104" s="3066"/>
      <c r="D104" s="3066"/>
      <c r="E104" s="3066"/>
      <c r="F104" s="3066"/>
      <c r="G104" s="2444" t="s">
        <v>8948</v>
      </c>
      <c r="H104" s="2763" t="s">
        <v>8949</v>
      </c>
      <c r="I104" s="2656"/>
      <c r="J104" s="2656"/>
      <c r="K104" s="2656"/>
      <c r="L104" s="3066"/>
    </row>
    <row r="105" spans="1:14">
      <c r="A105" s="3066"/>
      <c r="B105" s="3066"/>
      <c r="C105" s="3066"/>
      <c r="D105" s="3066"/>
      <c r="E105" s="3066"/>
      <c r="F105" s="3066"/>
      <c r="G105" s="2444"/>
      <c r="I105" s="2656"/>
      <c r="J105" s="2656"/>
      <c r="K105" s="2656"/>
      <c r="L105" s="3066"/>
    </row>
    <row r="106" spans="1:14" hidden="1">
      <c r="A106" s="1416" t="s">
        <v>8969</v>
      </c>
      <c r="B106" s="3066"/>
      <c r="C106" s="3066"/>
      <c r="D106" s="3066"/>
      <c r="E106" s="3066"/>
      <c r="F106" s="3066"/>
      <c r="G106" s="3423">
        <v>4000</v>
      </c>
      <c r="I106" s="2656"/>
      <c r="J106" s="2656"/>
      <c r="K106" s="2656"/>
      <c r="L106" s="3066"/>
      <c r="N106" s="3098" t="s">
        <v>9002</v>
      </c>
    </row>
    <row r="107" spans="1:14" hidden="1">
      <c r="A107" s="3066" t="s">
        <v>9001</v>
      </c>
      <c r="B107" s="3066"/>
      <c r="C107" s="3066"/>
      <c r="D107" s="3066"/>
      <c r="E107" s="3066"/>
      <c r="F107" s="3066"/>
      <c r="G107" s="3423">
        <v>1000</v>
      </c>
      <c r="I107" s="2656"/>
      <c r="J107" s="2656"/>
      <c r="K107" s="2656"/>
      <c r="L107" s="3066"/>
      <c r="N107" s="3098" t="s">
        <v>9003</v>
      </c>
    </row>
    <row r="108" spans="1:14" hidden="1">
      <c r="A108" s="3066" t="s">
        <v>8983</v>
      </c>
      <c r="B108" s="3066"/>
      <c r="C108" s="3066"/>
      <c r="D108" s="3066"/>
      <c r="E108" s="3066"/>
      <c r="F108" s="3066"/>
      <c r="G108" s="3423">
        <v>1000</v>
      </c>
      <c r="I108" s="2656"/>
      <c r="J108" s="2656"/>
      <c r="K108" s="2656"/>
      <c r="L108" s="3066"/>
      <c r="N108" s="3098" t="s">
        <v>8967</v>
      </c>
    </row>
    <row r="109" spans="1:14">
      <c r="A109" s="3066"/>
      <c r="B109" s="3066"/>
      <c r="C109" s="3066"/>
      <c r="D109" s="3066"/>
      <c r="E109" s="3066"/>
      <c r="F109" s="3066"/>
      <c r="G109" s="2656"/>
      <c r="H109" s="54" t="s">
        <v>9505</v>
      </c>
      <c r="I109" s="2656"/>
      <c r="J109" s="2656"/>
      <c r="K109" s="2656"/>
      <c r="L109" s="3066"/>
    </row>
    <row r="110" spans="1:14">
      <c r="A110" s="1416" t="s">
        <v>8964</v>
      </c>
      <c r="B110" s="3066"/>
      <c r="C110" s="3066"/>
      <c r="D110" s="3066"/>
      <c r="E110" s="3066"/>
      <c r="F110" s="3066"/>
      <c r="G110" s="3423">
        <v>5000</v>
      </c>
      <c r="H110" s="54">
        <v>0.09</v>
      </c>
      <c r="I110" s="2763" t="s">
        <v>8965</v>
      </c>
      <c r="J110" s="2656"/>
      <c r="K110" s="2656"/>
      <c r="L110" s="3066"/>
    </row>
    <row r="111" spans="1:14">
      <c r="A111" s="2488" t="s">
        <v>9506</v>
      </c>
      <c r="B111" s="3066"/>
      <c r="C111" s="3066"/>
      <c r="D111" s="3066"/>
      <c r="E111" s="3066"/>
      <c r="F111" s="3066"/>
      <c r="G111" s="3423">
        <v>3000</v>
      </c>
      <c r="H111" s="54">
        <v>0.2</v>
      </c>
      <c r="I111" s="2763" t="s">
        <v>8966</v>
      </c>
      <c r="J111" s="2656"/>
      <c r="K111" s="2656"/>
      <c r="L111" s="3066"/>
    </row>
    <row r="112" spans="1:14">
      <c r="A112" s="3066"/>
      <c r="B112" s="3066"/>
      <c r="C112" s="3066"/>
      <c r="D112" s="3066"/>
      <c r="E112" s="3066"/>
      <c r="F112" s="3066"/>
      <c r="G112" s="3423">
        <v>2000</v>
      </c>
      <c r="H112" s="54">
        <v>1</v>
      </c>
      <c r="I112" s="2763" t="s">
        <v>8968</v>
      </c>
      <c r="J112" s="2656"/>
      <c r="K112" s="2656"/>
      <c r="L112" s="3066"/>
    </row>
    <row r="113" spans="1:12">
      <c r="A113" s="3066"/>
      <c r="B113" s="3066"/>
      <c r="C113" s="3066"/>
      <c r="D113" s="3066"/>
      <c r="E113" s="3066"/>
      <c r="F113" s="3066"/>
      <c r="G113" s="2656"/>
      <c r="I113" s="2656"/>
      <c r="J113" s="2656"/>
      <c r="K113" s="2656"/>
      <c r="L113" s="3066"/>
    </row>
    <row r="114" spans="1:12">
      <c r="A114" s="1416" t="s">
        <v>8942</v>
      </c>
      <c r="B114" s="1416"/>
      <c r="C114" s="1416"/>
      <c r="D114" s="1416"/>
      <c r="E114" s="1416"/>
      <c r="F114" s="1416"/>
      <c r="G114" s="2444">
        <v>0.04</v>
      </c>
      <c r="H114" s="2444">
        <v>0.04</v>
      </c>
      <c r="I114" s="2444">
        <v>0.04</v>
      </c>
      <c r="J114" s="2444">
        <v>0.04</v>
      </c>
      <c r="K114" s="2444">
        <v>0.04</v>
      </c>
      <c r="L114" s="3066"/>
    </row>
    <row r="115" spans="1:12">
      <c r="A115" s="3066"/>
      <c r="B115" s="3066"/>
      <c r="C115" s="3066"/>
      <c r="D115" s="3066"/>
      <c r="E115" s="3066"/>
      <c r="F115" s="3066"/>
      <c r="G115" s="2444"/>
      <c r="H115" s="2444"/>
      <c r="I115" s="2656"/>
      <c r="J115" s="2656"/>
      <c r="K115" s="2656"/>
      <c r="L115" s="3066"/>
    </row>
    <row r="116" spans="1:12" hidden="1">
      <c r="A116" s="1416" t="s">
        <v>8977</v>
      </c>
      <c r="B116" s="3066"/>
      <c r="C116" s="3066"/>
      <c r="D116" s="3066"/>
      <c r="E116" s="3066"/>
      <c r="F116" s="3066"/>
      <c r="G116" s="3424">
        <v>0.15</v>
      </c>
      <c r="H116" s="3424">
        <v>0.15</v>
      </c>
      <c r="I116" s="2656"/>
      <c r="J116" s="2656"/>
      <c r="K116" s="2656"/>
      <c r="L116" s="3066"/>
    </row>
    <row r="117" spans="1:12">
      <c r="A117" s="3066"/>
      <c r="B117" s="3066"/>
      <c r="C117" s="3066"/>
      <c r="D117" s="3066"/>
      <c r="E117" s="3066"/>
      <c r="F117" s="3066"/>
      <c r="G117" s="2444"/>
      <c r="H117" s="2444"/>
      <c r="I117" s="2656"/>
      <c r="J117" s="2656"/>
      <c r="K117" s="2656"/>
      <c r="L117" s="3066"/>
    </row>
    <row r="118" spans="1:12">
      <c r="A118" s="1416" t="s">
        <v>8984</v>
      </c>
      <c r="B118" s="3066"/>
      <c r="C118" s="3066"/>
      <c r="D118" s="3066"/>
      <c r="E118" s="3066"/>
      <c r="F118" s="3066"/>
      <c r="G118" s="3424" t="s">
        <v>8985</v>
      </c>
      <c r="H118" s="3424" t="s">
        <v>8985</v>
      </c>
      <c r="I118" s="3424" t="s">
        <v>8985</v>
      </c>
      <c r="J118" s="3424" t="s">
        <v>8985</v>
      </c>
      <c r="K118" s="3424" t="s">
        <v>8985</v>
      </c>
      <c r="L118" s="3066"/>
    </row>
    <row r="119" spans="1:12">
      <c r="A119" s="3066"/>
      <c r="B119" s="3066"/>
      <c r="C119" s="3066"/>
      <c r="D119" s="3066"/>
      <c r="E119" s="3066"/>
      <c r="F119" s="3066"/>
      <c r="G119" s="2444"/>
      <c r="H119" s="2444"/>
      <c r="I119" s="2656"/>
      <c r="J119" s="2656"/>
      <c r="K119" s="2656"/>
      <c r="L119" s="3066"/>
    </row>
    <row r="120" spans="1:12">
      <c r="A120" s="1416" t="s">
        <v>8963</v>
      </c>
      <c r="B120" s="3066"/>
      <c r="C120" s="3066"/>
      <c r="D120" s="3066"/>
      <c r="E120" s="3066"/>
      <c r="F120" s="3066"/>
      <c r="G120" s="2444">
        <v>275</v>
      </c>
      <c r="H120" s="2444">
        <v>275</v>
      </c>
      <c r="I120" s="2444">
        <v>275</v>
      </c>
      <c r="J120" s="2444">
        <v>275</v>
      </c>
      <c r="K120" s="2444">
        <v>275</v>
      </c>
      <c r="L120" s="1416" t="s">
        <v>9015</v>
      </c>
    </row>
    <row r="121" spans="1:12">
      <c r="A121" s="3066"/>
      <c r="B121" s="3066"/>
      <c r="C121" s="3066"/>
      <c r="D121" s="3066"/>
      <c r="E121" s="3066"/>
      <c r="F121" s="3066"/>
      <c r="G121" s="2444"/>
      <c r="H121" s="2444"/>
      <c r="I121" s="2656"/>
      <c r="J121" s="2656"/>
      <c r="K121" s="2656"/>
      <c r="L121" s="1416" t="s">
        <v>9014</v>
      </c>
    </row>
    <row r="122" spans="1:12" hidden="1">
      <c r="A122" s="1416" t="s">
        <v>8955</v>
      </c>
      <c r="B122" s="1416"/>
      <c r="C122" s="1416"/>
      <c r="D122" s="1416"/>
      <c r="E122" s="1416"/>
      <c r="F122" s="1416"/>
      <c r="G122" s="2444"/>
      <c r="H122" s="2444"/>
      <c r="I122" s="2656"/>
      <c r="J122" s="2656"/>
      <c r="K122" s="2656"/>
      <c r="L122" s="3066"/>
    </row>
    <row r="123" spans="1:12">
      <c r="A123" s="3066"/>
      <c r="B123" s="3066"/>
      <c r="C123" s="3066"/>
      <c r="D123" s="3066"/>
      <c r="E123" s="3066"/>
      <c r="F123" s="3066"/>
      <c r="G123" s="2444"/>
      <c r="H123" s="2444"/>
      <c r="I123" s="2656"/>
      <c r="J123" s="2656"/>
      <c r="K123" s="2656"/>
      <c r="L123" s="3066"/>
    </row>
    <row r="124" spans="1:12">
      <c r="A124" s="1416" t="s">
        <v>8958</v>
      </c>
      <c r="B124" s="3066"/>
      <c r="C124" s="3066"/>
      <c r="D124" s="3066"/>
      <c r="E124" s="3066"/>
      <c r="F124" s="3066"/>
      <c r="G124" s="2444"/>
      <c r="H124" s="2444"/>
      <c r="I124" s="2656"/>
      <c r="J124" s="2656"/>
      <c r="K124" s="2656"/>
      <c r="L124" s="3066"/>
    </row>
    <row r="125" spans="1:12">
      <c r="A125" s="3066"/>
      <c r="B125" s="3066"/>
      <c r="C125" s="3066"/>
      <c r="D125" s="3066"/>
      <c r="E125" s="3066"/>
      <c r="F125" s="3066"/>
      <c r="G125" s="2444"/>
      <c r="H125" s="2444"/>
      <c r="I125" s="2656"/>
      <c r="J125" s="2656"/>
      <c r="K125" s="2656"/>
      <c r="L125" s="3066"/>
    </row>
    <row r="126" spans="1:12">
      <c r="A126" s="1416" t="s">
        <v>8982</v>
      </c>
      <c r="B126" s="1416"/>
      <c r="C126" s="1416"/>
      <c r="D126" s="1416"/>
      <c r="E126" s="1416"/>
      <c r="F126" s="1416"/>
      <c r="G126" s="2444"/>
      <c r="H126" s="2444"/>
      <c r="I126" s="2656"/>
      <c r="J126" s="2656"/>
      <c r="K126" s="2656"/>
      <c r="L126" s="3066"/>
    </row>
    <row r="127" spans="1:12">
      <c r="A127" s="3066"/>
      <c r="B127" s="3066"/>
      <c r="C127" s="3066"/>
      <c r="D127" s="3066"/>
      <c r="E127" s="3066"/>
      <c r="F127" s="3066"/>
      <c r="G127" s="2444"/>
    </row>
    <row r="128" spans="1:12" s="35" customFormat="1">
      <c r="A128" s="1416" t="s">
        <v>9019</v>
      </c>
      <c r="B128" s="1416"/>
      <c r="C128" s="1416"/>
      <c r="D128" s="1416"/>
      <c r="E128" s="1416"/>
      <c r="F128" s="1416"/>
      <c r="G128" s="2444"/>
      <c r="H128" s="54"/>
      <c r="I128" s="52"/>
      <c r="J128" s="52"/>
      <c r="K128" s="52"/>
      <c r="L128"/>
    </row>
    <row r="129" spans="1:12" s="35" customFormat="1">
      <c r="A129" s="1416" t="s">
        <v>8973</v>
      </c>
      <c r="B129" s="1416"/>
      <c r="C129" s="1416">
        <v>35</v>
      </c>
      <c r="D129" s="1416">
        <v>35</v>
      </c>
      <c r="E129" s="1416">
        <v>35</v>
      </c>
      <c r="F129" s="1416">
        <v>35</v>
      </c>
      <c r="G129" s="2444"/>
      <c r="H129" s="54"/>
      <c r="I129" s="52"/>
      <c r="J129" s="52"/>
      <c r="K129" s="52"/>
      <c r="L129"/>
    </row>
    <row r="130" spans="1:12" s="35" customFormat="1">
      <c r="A130" s="1416" t="s">
        <v>9008</v>
      </c>
      <c r="B130" s="1416"/>
      <c r="C130" s="1416">
        <v>35</v>
      </c>
      <c r="D130" s="1416">
        <v>35</v>
      </c>
      <c r="E130" s="1416">
        <v>35</v>
      </c>
      <c r="F130" s="1416">
        <v>35</v>
      </c>
      <c r="G130" s="2444"/>
      <c r="H130" s="54"/>
      <c r="I130" s="52"/>
      <c r="J130" s="52"/>
      <c r="K130" s="52"/>
      <c r="L130"/>
    </row>
    <row r="131" spans="1:12">
      <c r="A131" s="3425" t="s">
        <v>9020</v>
      </c>
      <c r="B131" s="3066"/>
      <c r="C131" s="3066"/>
      <c r="D131" s="3066"/>
      <c r="E131" s="3066"/>
      <c r="F131" s="3066"/>
      <c r="G131" s="2444"/>
    </row>
    <row r="132" spans="1:12">
      <c r="A132" s="3425"/>
      <c r="B132" s="3066"/>
      <c r="C132" s="3066"/>
      <c r="D132" s="3066"/>
      <c r="E132" s="3066"/>
      <c r="F132" s="3066"/>
      <c r="G132" s="2444"/>
    </row>
    <row r="133" spans="1:12">
      <c r="A133" s="1416" t="s">
        <v>8991</v>
      </c>
      <c r="B133" s="3066"/>
      <c r="C133" s="3066"/>
      <c r="D133" s="3066"/>
      <c r="E133" s="3066"/>
      <c r="F133" s="3066"/>
      <c r="G133" s="2444"/>
    </row>
    <row r="134" spans="1:12">
      <c r="A134" s="1416" t="s">
        <v>8992</v>
      </c>
      <c r="B134" s="3066"/>
      <c r="C134" s="3066"/>
      <c r="D134" s="3066"/>
      <c r="E134" s="3066"/>
      <c r="F134" s="3066"/>
      <c r="G134" s="2444"/>
    </row>
    <row r="135" spans="1:12">
      <c r="A135" s="3426" t="s">
        <v>8995</v>
      </c>
      <c r="B135" s="3066"/>
      <c r="C135" s="3066"/>
      <c r="D135" s="3066"/>
      <c r="E135" s="3066"/>
      <c r="F135" s="3066"/>
      <c r="G135" s="2444"/>
    </row>
    <row r="136" spans="1:12">
      <c r="A136" s="1416" t="s">
        <v>8993</v>
      </c>
      <c r="B136" s="3066"/>
      <c r="C136" s="3066"/>
      <c r="D136" s="3066"/>
      <c r="E136" s="3066"/>
      <c r="F136" s="3066"/>
      <c r="G136" s="2444"/>
    </row>
    <row r="137" spans="1:12">
      <c r="A137" s="1416" t="s">
        <v>8994</v>
      </c>
      <c r="B137" s="3066"/>
      <c r="C137" s="3066"/>
      <c r="D137" s="3066"/>
      <c r="E137" s="3066"/>
      <c r="F137" s="3066"/>
      <c r="G137" s="2444"/>
    </row>
    <row r="138" spans="1:12">
      <c r="A138" s="1416"/>
      <c r="B138" s="3066"/>
      <c r="C138" s="3066"/>
      <c r="D138" s="3066"/>
      <c r="E138" s="3066"/>
      <c r="F138" s="3066"/>
      <c r="G138" s="2444"/>
    </row>
    <row r="139" spans="1:12" s="35" customFormat="1">
      <c r="A139" s="1416" t="s">
        <v>8996</v>
      </c>
      <c r="B139" s="1416"/>
      <c r="C139" s="1416"/>
      <c r="D139" s="1416"/>
      <c r="E139" s="1416"/>
      <c r="F139" s="1416"/>
      <c r="G139" s="2444"/>
      <c r="H139" s="54"/>
      <c r="I139" s="52"/>
      <c r="J139" s="52"/>
      <c r="K139" s="52"/>
      <c r="L139"/>
    </row>
    <row r="140" spans="1:12">
      <c r="A140" s="3425" t="s">
        <v>9021</v>
      </c>
      <c r="B140" s="3066"/>
      <c r="C140" s="3066"/>
      <c r="D140" s="3066"/>
      <c r="E140" s="3066"/>
      <c r="F140" s="3066"/>
      <c r="G140" s="2444"/>
    </row>
    <row r="141" spans="1:12">
      <c r="A141" s="3066"/>
      <c r="B141" s="3066"/>
      <c r="C141" s="3066"/>
      <c r="D141" s="3066"/>
      <c r="E141" s="3066"/>
      <c r="F141" s="3066"/>
      <c r="G141" s="2444"/>
    </row>
    <row r="142" spans="1:12">
      <c r="A142" s="1416" t="s">
        <v>9022</v>
      </c>
      <c r="B142" s="3066"/>
      <c r="C142" s="3066"/>
      <c r="D142" s="3066"/>
      <c r="E142" s="3066"/>
      <c r="F142" s="3066"/>
      <c r="G142" s="2444"/>
    </row>
    <row r="143" spans="1:12">
      <c r="A143" s="3066"/>
      <c r="B143" s="3066"/>
      <c r="C143" s="3066"/>
      <c r="D143" s="3066"/>
      <c r="E143" s="3066"/>
      <c r="F143" s="3066"/>
      <c r="G143" s="2444"/>
    </row>
    <row r="144" spans="1:12">
      <c r="A144" s="3066"/>
      <c r="B144" s="3066"/>
      <c r="C144" s="3066"/>
      <c r="D144" s="3066"/>
      <c r="E144" s="3066"/>
      <c r="F144" s="3066"/>
      <c r="G144" s="2444"/>
    </row>
    <row r="145" spans="1:17">
      <c r="A145" s="1416" t="s">
        <v>9000</v>
      </c>
      <c r="B145" s="3066"/>
      <c r="C145" s="3066"/>
      <c r="D145" s="3066"/>
      <c r="E145" s="3066"/>
      <c r="F145" s="3066"/>
      <c r="G145" s="2444"/>
    </row>
    <row r="146" spans="1:17">
      <c r="A146" s="3066"/>
      <c r="B146" s="3066"/>
      <c r="C146" s="3066"/>
      <c r="D146" s="3066"/>
      <c r="E146" s="3066"/>
      <c r="F146" s="3066"/>
      <c r="G146" s="2444"/>
    </row>
    <row r="147" spans="1:17">
      <c r="A147" s="1416" t="s">
        <v>9018</v>
      </c>
      <c r="B147" s="3066"/>
      <c r="C147" s="3066"/>
      <c r="D147" s="3066"/>
      <c r="E147" s="3066"/>
      <c r="F147" s="3066"/>
      <c r="G147" s="2444"/>
    </row>
    <row r="149" spans="1:17" hidden="1">
      <c r="A149" s="3098" t="s">
        <v>9004</v>
      </c>
      <c r="B149" s="3097"/>
      <c r="C149" s="3097"/>
      <c r="D149" s="3097"/>
      <c r="E149" s="3097"/>
      <c r="F149" s="3097"/>
      <c r="G149" s="3438"/>
      <c r="H149" s="3438"/>
      <c r="I149" s="3438"/>
      <c r="J149" s="3438"/>
      <c r="K149" s="3438"/>
      <c r="L149" s="3097"/>
      <c r="M149" s="3105">
        <v>4000</v>
      </c>
      <c r="N149" s="3098" t="s">
        <v>9002</v>
      </c>
      <c r="O149" s="3097"/>
      <c r="P149" s="3097"/>
      <c r="Q149" s="3097"/>
    </row>
    <row r="150" spans="1:17" hidden="1">
      <c r="A150" s="3097"/>
      <c r="B150" s="3097"/>
      <c r="C150" s="3097"/>
      <c r="D150" s="3097"/>
      <c r="E150" s="3097"/>
      <c r="F150" s="3097"/>
      <c r="G150" s="3438"/>
      <c r="M150" s="3105">
        <v>1000</v>
      </c>
      <c r="N150" s="3098" t="s">
        <v>9003</v>
      </c>
      <c r="O150" s="3097"/>
      <c r="P150" s="3097"/>
      <c r="Q150" s="3097"/>
    </row>
    <row r="151" spans="1:17" hidden="1">
      <c r="A151" s="3097"/>
      <c r="B151" s="3097"/>
      <c r="C151" s="3097"/>
      <c r="D151" s="3097"/>
      <c r="E151" s="3097"/>
      <c r="F151" s="3097"/>
      <c r="G151" s="3438"/>
      <c r="M151" s="3105">
        <v>1000</v>
      </c>
      <c r="N151" s="3098" t="s">
        <v>8967</v>
      </c>
      <c r="O151" s="3097"/>
      <c r="P151" s="3097"/>
      <c r="Q151" s="3097"/>
    </row>
    <row r="152" spans="1:17" s="35" customFormat="1">
      <c r="A152" s="35" t="s">
        <v>2867</v>
      </c>
      <c r="G152" s="255">
        <v>38.1</v>
      </c>
      <c r="H152" s="255">
        <f>G152</f>
        <v>38.1</v>
      </c>
      <c r="I152" s="255">
        <f>H152</f>
        <v>38.1</v>
      </c>
      <c r="J152" s="255">
        <f>I152</f>
        <v>38.1</v>
      </c>
      <c r="K152" s="255">
        <f>J152</f>
        <v>38.1</v>
      </c>
      <c r="M152" s="54"/>
    </row>
    <row r="166" spans="1:7">
      <c r="A166" t="s">
        <v>3083</v>
      </c>
      <c r="G166" s="52">
        <v>35</v>
      </c>
    </row>
    <row r="167" spans="1:7">
      <c r="A167" t="s">
        <v>3084</v>
      </c>
      <c r="G167" s="52">
        <v>40</v>
      </c>
    </row>
  </sheetData>
  <pageMargins left="0.45" right="0.45" top="0.5" bottom="0.5" header="0.3" footer="0.3"/>
  <pageSetup scale="8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5"/>
  <sheetViews>
    <sheetView topLeftCell="A4" workbookViewId="0">
      <selection activeCell="C21" sqref="C21"/>
    </sheetView>
  </sheetViews>
  <sheetFormatPr defaultRowHeight="12.75"/>
  <cols>
    <col min="1" max="1" width="3.85546875" customWidth="1"/>
    <col min="2" max="2" width="83.140625" customWidth="1"/>
    <col min="3" max="3" width="24" customWidth="1"/>
  </cols>
  <sheetData>
    <row r="1" spans="1:3">
      <c r="A1" s="380" t="s">
        <v>2993</v>
      </c>
      <c r="C1" s="754" t="str">
        <f>'Report-SpEd1920'!E1</f>
        <v>Release 10</v>
      </c>
    </row>
    <row r="2" spans="1:3">
      <c r="A2" s="380" t="s">
        <v>2994</v>
      </c>
      <c r="C2" s="72">
        <f>'Report-SpEd1920'!E2</f>
        <v>43724</v>
      </c>
    </row>
    <row r="3" spans="1:3">
      <c r="A3" s="64"/>
      <c r="C3" s="58">
        <f>'Report-SpEd1920'!E3</f>
        <v>0</v>
      </c>
    </row>
    <row r="4" spans="1:3" ht="15.75">
      <c r="A4" s="381" t="s">
        <v>3288</v>
      </c>
    </row>
    <row r="5" spans="1:3" ht="15.75">
      <c r="A5" s="383">
        <f>'Data Entry - SOF'!B1</f>
        <v>0</v>
      </c>
    </row>
    <row r="6" spans="1:3" ht="15.75">
      <c r="A6" s="381">
        <f>'Data Entry - SOF'!B2</f>
        <v>0</v>
      </c>
    </row>
    <row r="7" spans="1:3" ht="15.75">
      <c r="A7" s="381"/>
    </row>
    <row r="9" spans="1:3" ht="18">
      <c r="A9" s="534"/>
      <c r="B9" s="535"/>
      <c r="C9" s="532" t="s">
        <v>2715</v>
      </c>
    </row>
    <row r="10" spans="1:3" ht="18">
      <c r="A10" s="557" t="s">
        <v>2800</v>
      </c>
      <c r="B10" s="537"/>
      <c r="C10" s="533" t="s">
        <v>2805</v>
      </c>
    </row>
    <row r="11" spans="1:3" ht="15">
      <c r="A11" s="400" t="s">
        <v>2186</v>
      </c>
      <c r="B11" s="386" t="s">
        <v>3290</v>
      </c>
      <c r="C11" s="390">
        <f>'Data Entry - SOF'!K96</f>
        <v>0</v>
      </c>
    </row>
    <row r="12" spans="1:3" ht="15">
      <c r="A12" s="400" t="s">
        <v>2187</v>
      </c>
      <c r="B12" s="386" t="s">
        <v>3291</v>
      </c>
      <c r="C12" s="390">
        <f>'IFA-HB3'!P79</f>
        <v>0</v>
      </c>
    </row>
    <row r="13" spans="1:3" ht="15.75">
      <c r="A13" s="400" t="s">
        <v>909</v>
      </c>
      <c r="B13" s="384" t="s">
        <v>3292</v>
      </c>
      <c r="C13" s="395">
        <f>C11-C12</f>
        <v>0</v>
      </c>
    </row>
    <row r="14" spans="1:3" ht="15">
      <c r="A14" s="400" t="s">
        <v>910</v>
      </c>
      <c r="B14" s="386" t="s">
        <v>3992</v>
      </c>
      <c r="C14" s="408">
        <f>'Data Entry - SOF'!K95</f>
        <v>0</v>
      </c>
    </row>
    <row r="15" spans="1:3" ht="15">
      <c r="A15" s="400" t="s">
        <v>912</v>
      </c>
      <c r="B15" s="386" t="s">
        <v>2801</v>
      </c>
      <c r="C15" s="390" t="e">
        <f>'Calc Data'!F100</f>
        <v>#DIV/0!</v>
      </c>
    </row>
    <row r="16" spans="1:3" ht="15">
      <c r="A16" s="400" t="s">
        <v>914</v>
      </c>
      <c r="B16" s="386" t="s">
        <v>2809</v>
      </c>
      <c r="C16" s="390" t="e">
        <f>'Calc Data'!F101</f>
        <v>#DIV/0!</v>
      </c>
    </row>
    <row r="17" spans="1:3" ht="15">
      <c r="A17" s="400" t="s">
        <v>118</v>
      </c>
      <c r="B17" s="386" t="s">
        <v>9504</v>
      </c>
      <c r="C17" s="408">
        <f>'Calc Data'!F102</f>
        <v>-0.93</v>
      </c>
    </row>
    <row r="18" spans="1:3" ht="15">
      <c r="A18" s="400" t="s">
        <v>119</v>
      </c>
      <c r="B18" s="386" t="s">
        <v>2803</v>
      </c>
      <c r="C18" s="390" t="e">
        <f>'Calc Data'!F103</f>
        <v>#DIV/0!</v>
      </c>
    </row>
    <row r="19" spans="1:3" ht="15">
      <c r="A19" s="400" t="s">
        <v>120</v>
      </c>
      <c r="B19" s="386" t="s">
        <v>2804</v>
      </c>
      <c r="C19" s="390" t="e">
        <f>'Calc Data'!F108</f>
        <v>#DIV/0!</v>
      </c>
    </row>
    <row r="20" spans="1:3" ht="15">
      <c r="A20" s="400" t="s">
        <v>121</v>
      </c>
      <c r="B20" s="386" t="s">
        <v>2808</v>
      </c>
      <c r="C20" s="408">
        <f>'Calc Data'!F107</f>
        <v>0</v>
      </c>
    </row>
    <row r="21" spans="1:3" s="382" customFormat="1" ht="15.75">
      <c r="B21" s="477" t="s">
        <v>2978</v>
      </c>
      <c r="C21" s="476" t="s">
        <v>3352</v>
      </c>
    </row>
    <row r="24" spans="1:3" ht="15.75">
      <c r="B24" s="325" t="s">
        <v>3030</v>
      </c>
    </row>
    <row r="25" spans="1:3" ht="15.75">
      <c r="B25" s="325" t="s">
        <v>3029</v>
      </c>
    </row>
  </sheetData>
  <hyperlinks>
    <hyperlink ref="C21" location="'Report-SOF1920'!A1" display="'Report-SOF1920'!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0" sqref="D20"/>
    </sheetView>
  </sheetViews>
  <sheetFormatPr defaultRowHeight="12.75"/>
  <cols>
    <col min="1" max="1" width="4" customWidth="1"/>
    <col min="2" max="2" width="71.85546875" customWidth="1"/>
    <col min="3" max="3" width="5.5703125" customWidth="1"/>
    <col min="4" max="4" width="23" customWidth="1"/>
  </cols>
  <sheetData>
    <row r="1" spans="1:4">
      <c r="A1" s="380" t="s">
        <v>2993</v>
      </c>
      <c r="D1" s="754" t="str">
        <f>'Report-M&amp;O1920'!C1</f>
        <v>Release 10</v>
      </c>
    </row>
    <row r="2" spans="1:4">
      <c r="A2" s="380" t="s">
        <v>2994</v>
      </c>
      <c r="D2" s="72">
        <f>'Report-M&amp;O1920'!C2</f>
        <v>43724</v>
      </c>
    </row>
    <row r="3" spans="1:4">
      <c r="A3" s="64"/>
      <c r="D3" s="58">
        <f>'Report-M&amp;O1920'!C3</f>
        <v>0</v>
      </c>
    </row>
    <row r="4" spans="1:4" ht="15.75">
      <c r="A4" s="381" t="s">
        <v>3297</v>
      </c>
    </row>
    <row r="5" spans="1:4" ht="15.75">
      <c r="A5" s="383">
        <f>'Data Entry - SOF'!B1</f>
        <v>0</v>
      </c>
    </row>
    <row r="6" spans="1:4" ht="15.75">
      <c r="A6" s="381">
        <f>'Data Entry - SOF'!B2</f>
        <v>0</v>
      </c>
    </row>
    <row r="9" spans="1:4" ht="18">
      <c r="A9" s="266"/>
      <c r="B9" s="409" t="s">
        <v>939</v>
      </c>
      <c r="C9" s="410">
        <f>'Data Entry - SOF'!G156</f>
        <v>0</v>
      </c>
      <c r="D9" s="266"/>
    </row>
    <row r="10" spans="1:4" ht="18">
      <c r="A10" s="266"/>
      <c r="B10" s="409" t="s">
        <v>2810</v>
      </c>
      <c r="C10" s="409" t="str">
        <f>'Data Entry - SOF'!G221</f>
        <v>No</v>
      </c>
      <c r="D10" s="266"/>
    </row>
    <row r="11" spans="1:4" ht="18">
      <c r="A11" s="266"/>
      <c r="B11" s="409" t="s">
        <v>2811</v>
      </c>
      <c r="C11" s="409" t="str">
        <f>'Data Entry - SOF'!G222</f>
        <v>No</v>
      </c>
      <c r="D11" s="266"/>
    </row>
    <row r="12" spans="1:4" ht="18">
      <c r="A12" s="266"/>
      <c r="B12" s="409"/>
      <c r="C12" s="409"/>
      <c r="D12" s="266"/>
    </row>
    <row r="13" spans="1:4" ht="18">
      <c r="A13" s="529"/>
      <c r="B13" s="524"/>
      <c r="C13" s="525"/>
      <c r="D13" s="532" t="s">
        <v>2818</v>
      </c>
    </row>
    <row r="14" spans="1:4" ht="18">
      <c r="A14" s="552" t="s">
        <v>2812</v>
      </c>
      <c r="B14" s="537"/>
      <c r="C14" s="528"/>
      <c r="D14" s="533" t="s">
        <v>2805</v>
      </c>
    </row>
    <row r="15" spans="1:4" ht="15">
      <c r="A15" s="385" t="s">
        <v>2186</v>
      </c>
      <c r="B15" s="386" t="s">
        <v>2813</v>
      </c>
      <c r="C15" s="386"/>
      <c r="D15" s="390">
        <f>'Calc Data'!AK19</f>
        <v>5140</v>
      </c>
    </row>
    <row r="16" spans="1:4" ht="15">
      <c r="A16" s="385" t="s">
        <v>2187</v>
      </c>
      <c r="B16" s="386" t="s">
        <v>2814</v>
      </c>
      <c r="C16" s="386"/>
      <c r="D16" s="390">
        <f>'Calc Data'!AK20</f>
        <v>1491</v>
      </c>
    </row>
    <row r="17" spans="1:4" ht="15">
      <c r="A17" s="385" t="s">
        <v>2188</v>
      </c>
      <c r="B17" s="386" t="s">
        <v>2815</v>
      </c>
      <c r="C17" s="386"/>
      <c r="D17" s="411" t="str">
        <f>'Calc Data'!F49</f>
        <v>N/A</v>
      </c>
    </row>
    <row r="18" spans="1:4" ht="15">
      <c r="A18" s="385" t="s">
        <v>909</v>
      </c>
      <c r="B18" s="386" t="s">
        <v>2816</v>
      </c>
      <c r="C18" s="386"/>
      <c r="D18" s="483" t="str">
        <f>'Calc Data'!F50</f>
        <v>N/A</v>
      </c>
    </row>
    <row r="19" spans="1:4" ht="15">
      <c r="A19" s="385" t="s">
        <v>910</v>
      </c>
      <c r="B19" s="386" t="s">
        <v>2817</v>
      </c>
      <c r="C19" s="386"/>
      <c r="D19" s="390">
        <f>'Calc Data'!AK23</f>
        <v>2207</v>
      </c>
    </row>
    <row r="20" spans="1:4" s="382" customFormat="1" ht="15.75">
      <c r="B20" s="477" t="s">
        <v>2978</v>
      </c>
      <c r="D20" s="476" t="s">
        <v>3352</v>
      </c>
    </row>
  </sheetData>
  <sheetProtection sheet="1"/>
  <hyperlinks>
    <hyperlink ref="D20" location="'Report-SOF1920'!A1" display="'Report-SOF1920'!A1"/>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65"/>
  <sheetViews>
    <sheetView topLeftCell="A45" workbookViewId="0">
      <selection activeCell="D58" sqref="D58"/>
    </sheetView>
  </sheetViews>
  <sheetFormatPr defaultRowHeight="12.75"/>
  <cols>
    <col min="1" max="1" width="36.42578125" customWidth="1"/>
    <col min="2" max="2" width="19.85546875" customWidth="1"/>
    <col min="3" max="3" width="24.42578125" customWidth="1"/>
    <col min="4" max="4" width="26.5703125" customWidth="1"/>
  </cols>
  <sheetData>
    <row r="1" spans="1:4">
      <c r="A1" s="380" t="s">
        <v>2993</v>
      </c>
      <c r="D1" s="754" t="str">
        <f>'Report-SpEd1920'!E1</f>
        <v>Release 10</v>
      </c>
    </row>
    <row r="2" spans="1:4">
      <c r="A2" s="380" t="s">
        <v>2994</v>
      </c>
      <c r="D2" s="754">
        <f>'Report-SpEd1920'!E2</f>
        <v>43724</v>
      </c>
    </row>
    <row r="3" spans="1:4">
      <c r="A3" s="64"/>
      <c r="D3" s="58"/>
    </row>
    <row r="4" spans="1:4" ht="15.75">
      <c r="A4" s="381" t="s">
        <v>3298</v>
      </c>
    </row>
    <row r="5" spans="1:4" ht="15.75">
      <c r="A5" s="383">
        <f>'Data Entry - SOF'!B1</f>
        <v>0</v>
      </c>
    </row>
    <row r="6" spans="1:4" ht="15.75">
      <c r="A6" s="381">
        <f>'Data Entry - SOF'!B2</f>
        <v>0</v>
      </c>
    </row>
    <row r="8" spans="1:4" ht="18">
      <c r="A8" s="539"/>
      <c r="B8" s="540"/>
      <c r="C8" s="532" t="s">
        <v>2829</v>
      </c>
      <c r="D8" s="541"/>
    </row>
    <row r="9" spans="1:4" ht="18">
      <c r="A9" s="533" t="s">
        <v>2819</v>
      </c>
      <c r="B9" s="542" t="s">
        <v>2782</v>
      </c>
      <c r="C9" s="533" t="s">
        <v>2830</v>
      </c>
      <c r="D9" s="537" t="s">
        <v>2820</v>
      </c>
    </row>
    <row r="10" spans="1:4" s="382" customFormat="1" ht="15.75">
      <c r="A10" s="596" t="s">
        <v>2821</v>
      </c>
      <c r="B10" s="543"/>
      <c r="C10" s="543"/>
      <c r="D10" s="544"/>
    </row>
    <row r="11" spans="1:4" s="382" customFormat="1" ht="15">
      <c r="A11" s="386" t="s">
        <v>10314</v>
      </c>
      <c r="B11" s="389">
        <f>Weights!K4</f>
        <v>1</v>
      </c>
      <c r="C11" s="391">
        <f>'Calc Data'!F12</f>
        <v>0</v>
      </c>
      <c r="D11" s="390">
        <f>'SOF1920-HB3'!H20</f>
        <v>0</v>
      </c>
    </row>
    <row r="12" spans="1:4" s="382" customFormat="1" ht="15.75">
      <c r="A12" s="596" t="s">
        <v>2822</v>
      </c>
      <c r="B12" s="543"/>
      <c r="C12" s="543"/>
      <c r="D12" s="544"/>
    </row>
    <row r="13" spans="1:4" s="382" customFormat="1" ht="15">
      <c r="A13" s="386" t="s">
        <v>10313</v>
      </c>
      <c r="B13" s="411" t="s">
        <v>1775</v>
      </c>
      <c r="C13" s="391">
        <f>'Calc Data'!F8</f>
        <v>0</v>
      </c>
      <c r="D13" s="390">
        <f>'SOF1920-HB3'!I22</f>
        <v>0</v>
      </c>
    </row>
    <row r="14" spans="1:4" s="382" customFormat="1" ht="15">
      <c r="A14" s="386" t="s">
        <v>2824</v>
      </c>
      <c r="B14" s="414">
        <f>Weights!K21</f>
        <v>1.1000000000000001</v>
      </c>
      <c r="C14" s="391">
        <f>'Data Entry - SOF'!K34</f>
        <v>0</v>
      </c>
      <c r="D14" s="390">
        <f>'SOF1920-HB3'!I24</f>
        <v>0</v>
      </c>
    </row>
    <row r="15" spans="1:4" s="382" customFormat="1" ht="15">
      <c r="A15" s="386" t="s">
        <v>2825</v>
      </c>
      <c r="B15" s="414">
        <f>Weights!K19</f>
        <v>4</v>
      </c>
      <c r="C15" s="391">
        <f>'Data Entry - SOF'!K32</f>
        <v>0</v>
      </c>
      <c r="D15" s="390">
        <f>'SOF1920-HB3'!I25</f>
        <v>0</v>
      </c>
    </row>
    <row r="16" spans="1:4" s="382" customFormat="1" ht="15">
      <c r="A16" s="386" t="s">
        <v>2792</v>
      </c>
      <c r="B16" s="414">
        <f>Weights!K17</f>
        <v>2.8</v>
      </c>
      <c r="C16" s="391">
        <f>'Data Entry - SOF'!K30</f>
        <v>0</v>
      </c>
      <c r="D16" s="390">
        <f>'SOF1920-HB3'!I26</f>
        <v>0</v>
      </c>
    </row>
    <row r="17" spans="1:4" s="382" customFormat="1" ht="15">
      <c r="A17" s="386" t="s">
        <v>2795</v>
      </c>
      <c r="B17" s="414">
        <f>Weights!K18</f>
        <v>1.7</v>
      </c>
      <c r="C17" s="391">
        <f>'Data Entry - SOF'!K31</f>
        <v>0</v>
      </c>
      <c r="D17" s="390">
        <f>'SOF1920-HB3'!I27</f>
        <v>0</v>
      </c>
    </row>
    <row r="18" spans="1:4" s="382" customFormat="1" ht="15">
      <c r="A18" s="402" t="s">
        <v>2826</v>
      </c>
      <c r="B18" s="402"/>
      <c r="C18" s="402"/>
      <c r="D18" s="413"/>
    </row>
    <row r="19" spans="1:4" s="382" customFormat="1" ht="15">
      <c r="A19" s="404" t="s">
        <v>2827</v>
      </c>
      <c r="B19" s="416" t="s">
        <v>1775</v>
      </c>
      <c r="C19" s="4763">
        <f>'Data Entry - SOF'!K116</f>
        <v>0</v>
      </c>
      <c r="D19" s="415">
        <f>'SOF1920-HB3'!I28</f>
        <v>0</v>
      </c>
    </row>
    <row r="20" spans="1:4" s="382" customFormat="1" ht="15">
      <c r="A20" s="386" t="s">
        <v>2828</v>
      </c>
      <c r="B20" s="411" t="s">
        <v>1775</v>
      </c>
      <c r="C20" s="411" t="s">
        <v>1775</v>
      </c>
      <c r="D20" s="390">
        <f>'Report-SOF1920-HB3'!D37</f>
        <v>0</v>
      </c>
    </row>
    <row r="21" spans="1:4" s="382" customFormat="1" ht="15.75">
      <c r="A21" s="596" t="s">
        <v>2831</v>
      </c>
      <c r="B21" s="543"/>
      <c r="C21" s="543"/>
      <c r="D21" s="544"/>
    </row>
    <row r="22" spans="1:4" ht="15">
      <c r="A22" s="386" t="s">
        <v>10304</v>
      </c>
      <c r="B22" s="417">
        <f>Weights!K23</f>
        <v>1.35</v>
      </c>
      <c r="C22" s="391">
        <f>'Data Entry - SOF'!K36</f>
        <v>0</v>
      </c>
      <c r="D22" s="390">
        <f>'SOF1920-HB3'!I29</f>
        <v>0</v>
      </c>
    </row>
    <row r="23" spans="1:4" ht="15">
      <c r="A23" s="386" t="s">
        <v>10303</v>
      </c>
      <c r="B23" s="390">
        <f>Weights!K24</f>
        <v>50</v>
      </c>
      <c r="C23" s="391">
        <f>'Data Entry - SOF'!K38</f>
        <v>0</v>
      </c>
      <c r="D23" s="390">
        <f>'SOF1920-HB3'!I30</f>
        <v>0</v>
      </c>
    </row>
    <row r="24" spans="1:4" ht="15">
      <c r="A24" s="386" t="s">
        <v>2834</v>
      </c>
      <c r="B24" s="411" t="s">
        <v>1775</v>
      </c>
      <c r="C24" s="411" t="s">
        <v>1775</v>
      </c>
      <c r="D24" s="390">
        <f>'Report-SOF1920-HB3'!D41</f>
        <v>0</v>
      </c>
    </row>
    <row r="25" spans="1:4" s="382" customFormat="1" ht="15.75" hidden="1">
      <c r="A25" s="596" t="s">
        <v>2835</v>
      </c>
      <c r="B25" s="543"/>
      <c r="C25" s="543"/>
      <c r="D25" s="544"/>
    </row>
    <row r="26" spans="1:4" ht="15" hidden="1">
      <c r="A26" s="386" t="s">
        <v>2836</v>
      </c>
      <c r="B26" s="417">
        <f>Weights!K28</f>
        <v>0.12</v>
      </c>
      <c r="C26" s="391">
        <f>'Data Entry - SOF'!G60</f>
        <v>8800</v>
      </c>
      <c r="D26" s="390">
        <f>'SOF1920-HB3'!H33</f>
        <v>0</v>
      </c>
    </row>
    <row r="27" spans="1:4" ht="15" hidden="1">
      <c r="A27" s="386" t="s">
        <v>2837</v>
      </c>
      <c r="B27" s="411" t="s">
        <v>1775</v>
      </c>
      <c r="C27" s="411" t="s">
        <v>1775</v>
      </c>
      <c r="D27" s="390">
        <f>'SOF1920-HB3'!H34</f>
        <v>0</v>
      </c>
    </row>
    <row r="28" spans="1:4" ht="15" hidden="1">
      <c r="A28" s="386" t="s">
        <v>2838</v>
      </c>
      <c r="B28" s="411" t="s">
        <v>1775</v>
      </c>
      <c r="C28" s="411" t="s">
        <v>1775</v>
      </c>
      <c r="D28" s="390">
        <f>'SOF1920-HB3'!H169</f>
        <v>0</v>
      </c>
    </row>
    <row r="29" spans="1:4" s="382" customFormat="1" ht="15.75">
      <c r="A29" s="596" t="s">
        <v>10302</v>
      </c>
      <c r="B29" s="543"/>
      <c r="C29" s="543"/>
      <c r="D29" s="544"/>
    </row>
    <row r="30" spans="1:4" ht="15">
      <c r="A30" s="386" t="s">
        <v>10305</v>
      </c>
      <c r="B30" s="417"/>
      <c r="C30" s="391"/>
      <c r="D30" s="390"/>
    </row>
    <row r="31" spans="1:4" ht="15">
      <c r="A31" s="4740" t="s">
        <v>10306</v>
      </c>
      <c r="B31" s="4765">
        <f>'Weights-HB3'!G31</f>
        <v>0.2</v>
      </c>
      <c r="C31" s="4741">
        <f>'Data Entry - SOF'!K42</f>
        <v>0</v>
      </c>
      <c r="D31" s="4745">
        <f>'SOF1920-HB3'!I36</f>
        <v>0</v>
      </c>
    </row>
    <row r="32" spans="1:4" ht="15">
      <c r="A32" s="4740" t="s">
        <v>10307</v>
      </c>
      <c r="B32" s="4765">
        <f>'Weights-HB3'!G32</f>
        <v>0.27500000000000002</v>
      </c>
      <c r="C32" s="4741">
        <f>'Data Entry - SOF'!K43</f>
        <v>0</v>
      </c>
      <c r="D32" s="4745">
        <f>'SOF1920-HB3'!I37</f>
        <v>0</v>
      </c>
    </row>
    <row r="33" spans="1:4" ht="15">
      <c r="A33" s="4740" t="s">
        <v>10308</v>
      </c>
      <c r="B33" s="4765">
        <f>'Weights-HB3'!G33</f>
        <v>0.22500000000000001</v>
      </c>
      <c r="C33" s="4741">
        <f>'Data Entry - SOF'!K44</f>
        <v>0</v>
      </c>
      <c r="D33" s="4745">
        <f>'SOF1920-HB3'!I38</f>
        <v>0</v>
      </c>
    </row>
    <row r="34" spans="1:4" ht="15">
      <c r="A34" s="4740" t="s">
        <v>10309</v>
      </c>
      <c r="B34" s="4765">
        <f>'Weights-HB3'!G34</f>
        <v>0.23749999999999999</v>
      </c>
      <c r="C34" s="4741">
        <f>'Data Entry - SOF'!K45</f>
        <v>0</v>
      </c>
      <c r="D34" s="4745">
        <f>'SOF1920-HB3'!I39</f>
        <v>0</v>
      </c>
    </row>
    <row r="35" spans="1:4" ht="15">
      <c r="A35" s="4740" t="s">
        <v>10310</v>
      </c>
      <c r="B35" s="4765">
        <f>'Weights-HB3'!G35</f>
        <v>0.25</v>
      </c>
      <c r="C35" s="4741">
        <f>'Data Entry - SOF'!K46</f>
        <v>0</v>
      </c>
      <c r="D35" s="4745">
        <f>'SOF1920-HB3'!I40</f>
        <v>0</v>
      </c>
    </row>
    <row r="36" spans="1:4" ht="15">
      <c r="A36" s="4740" t="s">
        <v>10311</v>
      </c>
      <c r="B36" s="4765">
        <f>'Weights-HB3'!G36</f>
        <v>0.26250000000000001</v>
      </c>
      <c r="C36" s="4741">
        <f>'Data Entry - SOF'!K47</f>
        <v>0</v>
      </c>
      <c r="D36" s="4745">
        <f>'SOF1920-HB3'!I41</f>
        <v>0</v>
      </c>
    </row>
    <row r="37" spans="1:4" ht="15">
      <c r="A37" s="4740" t="s">
        <v>10312</v>
      </c>
      <c r="B37" s="4765">
        <f>'Weights-HB3'!G37</f>
        <v>0.27500000000000002</v>
      </c>
      <c r="C37" s="4741">
        <f>'Data Entry - SOF'!K48</f>
        <v>0</v>
      </c>
      <c r="D37" s="4745">
        <f>'SOF1920-HB3'!I42</f>
        <v>0</v>
      </c>
    </row>
    <row r="38" spans="1:4" ht="15">
      <c r="A38" s="386" t="s">
        <v>3040</v>
      </c>
      <c r="B38" s="4765">
        <f>'Weights-HB3'!G40</f>
        <v>2.41</v>
      </c>
      <c r="C38" s="4741">
        <f>'Data Entry - SOF'!K49</f>
        <v>0</v>
      </c>
      <c r="D38" s="4745">
        <f>'SOF1920-HB3'!I43</f>
        <v>0</v>
      </c>
    </row>
    <row r="39" spans="1:4" ht="15">
      <c r="A39" s="386" t="s">
        <v>3041</v>
      </c>
      <c r="B39" s="411" t="s">
        <v>1775</v>
      </c>
      <c r="C39" s="411" t="s">
        <v>1775</v>
      </c>
      <c r="D39" s="390">
        <f>'Report-SOF1920-HB3'!D39</f>
        <v>0</v>
      </c>
    </row>
    <row r="40" spans="1:4" s="382" customFormat="1" ht="15.75" hidden="1">
      <c r="A40" s="596" t="s">
        <v>2841</v>
      </c>
      <c r="B40" s="543"/>
      <c r="C40" s="543"/>
      <c r="D40" s="544"/>
    </row>
    <row r="41" spans="1:4" s="382" customFormat="1" ht="15" hidden="1">
      <c r="A41" s="386" t="s">
        <v>2435</v>
      </c>
      <c r="B41" s="390">
        <f>Weights!K33</f>
        <v>275</v>
      </c>
      <c r="C41" s="391">
        <f>'Data Entry - SOF'!G21</f>
        <v>18676.169999999998</v>
      </c>
      <c r="D41" s="390">
        <f>'SOF1920-HB3'!H52</f>
        <v>0</v>
      </c>
    </row>
    <row r="42" spans="1:4" s="382" customFormat="1" ht="15.75">
      <c r="A42" s="596" t="s">
        <v>10315</v>
      </c>
      <c r="B42" s="543"/>
      <c r="C42" s="543"/>
      <c r="D42" s="544"/>
    </row>
    <row r="43" spans="1:4" s="382" customFormat="1" ht="15">
      <c r="A43" s="386" t="s">
        <v>10316</v>
      </c>
      <c r="B43" s="4764">
        <f>'Weights-HB3'!G23</f>
        <v>0.1</v>
      </c>
      <c r="C43" s="391">
        <f>'Data Entry - SOF'!K52</f>
        <v>0</v>
      </c>
      <c r="D43" s="390">
        <f>'SOF1920-HB3'!I46</f>
        <v>0</v>
      </c>
    </row>
    <row r="44" spans="1:4" s="382" customFormat="1" ht="15">
      <c r="A44" s="4740" t="s">
        <v>10317</v>
      </c>
      <c r="B44" s="4764">
        <f>'Weights-HB3'!G24</f>
        <v>0.15</v>
      </c>
      <c r="C44" s="391">
        <f>'Data Entry - SOF'!K53</f>
        <v>0</v>
      </c>
      <c r="D44" s="390">
        <f>'SOF1920-HB3'!I47</f>
        <v>0</v>
      </c>
    </row>
    <row r="45" spans="1:4" s="382" customFormat="1" ht="15">
      <c r="A45" s="4740" t="s">
        <v>10318</v>
      </c>
      <c r="B45" s="4764">
        <f>'Weights-HB3'!G25</f>
        <v>0.05</v>
      </c>
      <c r="C45" s="391">
        <f>'Data Entry - SOF'!K54</f>
        <v>0</v>
      </c>
      <c r="D45" s="390">
        <f>'SOF1920-HB3'!I48</f>
        <v>0</v>
      </c>
    </row>
    <row r="46" spans="1:4" s="382" customFormat="1" ht="15">
      <c r="A46" s="4740" t="s">
        <v>2842</v>
      </c>
      <c r="B46" s="411" t="s">
        <v>1775</v>
      </c>
      <c r="C46" s="411" t="s">
        <v>1775</v>
      </c>
      <c r="D46" s="4745">
        <f>'Report-SOF1920-HB3'!D40</f>
        <v>0</v>
      </c>
    </row>
    <row r="47" spans="1:4" s="382" customFormat="1" ht="15.75">
      <c r="A47" s="596" t="s">
        <v>10319</v>
      </c>
      <c r="B47" s="543"/>
      <c r="C47" s="543"/>
      <c r="D47" s="544"/>
    </row>
    <row r="48" spans="1:4" s="382" customFormat="1" ht="15">
      <c r="A48" s="4740" t="s">
        <v>8775</v>
      </c>
      <c r="B48" s="4766">
        <f>'Weights-HB3'!G69</f>
        <v>0.1</v>
      </c>
      <c r="C48" s="4767">
        <f>'Data Entry - SOF'!K55</f>
        <v>0</v>
      </c>
      <c r="D48" s="4745">
        <f>'Report-SOF1920-HB3'!D38</f>
        <v>0</v>
      </c>
    </row>
    <row r="49" spans="1:4" s="382" customFormat="1" ht="15.75">
      <c r="A49" s="596" t="s">
        <v>10320</v>
      </c>
      <c r="B49" s="543"/>
      <c r="C49" s="543"/>
      <c r="D49" s="544"/>
    </row>
    <row r="50" spans="1:4" s="382" customFormat="1" ht="15">
      <c r="A50" s="4740" t="s">
        <v>9038</v>
      </c>
      <c r="B50" s="4766">
        <f>'Weights-HB3'!G71</f>
        <v>0.1</v>
      </c>
      <c r="C50" s="4767">
        <f>'Data Entry - SOF'!K56</f>
        <v>0</v>
      </c>
      <c r="D50" s="4745">
        <f>'Report-SOF1920-HB3'!D43</f>
        <v>0</v>
      </c>
    </row>
    <row r="51" spans="1:4" s="382" customFormat="1" ht="15.75">
      <c r="A51" s="596" t="s">
        <v>10321</v>
      </c>
      <c r="B51" s="543"/>
      <c r="C51" s="543"/>
      <c r="D51" s="544"/>
    </row>
    <row r="52" spans="1:4" s="382" customFormat="1" ht="15">
      <c r="A52" s="4740" t="s">
        <v>10322</v>
      </c>
      <c r="B52" s="4768">
        <f>'Weights-HB3'!G110</f>
        <v>5000</v>
      </c>
      <c r="C52" s="4767">
        <f>'Data Entry - SOF'!K57</f>
        <v>0</v>
      </c>
      <c r="D52" s="4745">
        <f>B52*C52</f>
        <v>0</v>
      </c>
    </row>
    <row r="53" spans="1:4" s="382" customFormat="1" ht="15">
      <c r="A53" s="4740" t="s">
        <v>10323</v>
      </c>
      <c r="B53" s="4768">
        <f>'Weights-HB3'!G111</f>
        <v>3000</v>
      </c>
      <c r="C53" s="4767">
        <f>'Data Entry - SOF'!K58</f>
        <v>0</v>
      </c>
      <c r="D53" s="4745">
        <f t="shared" ref="D53:D54" si="0">B53*C53</f>
        <v>0</v>
      </c>
    </row>
    <row r="54" spans="1:4" s="382" customFormat="1" ht="15">
      <c r="A54" s="4740" t="s">
        <v>10325</v>
      </c>
      <c r="B54" s="4768">
        <f>'Weights-HB3'!G112</f>
        <v>2000</v>
      </c>
      <c r="C54" s="4767">
        <f>'Data Entry - SOF'!K59</f>
        <v>0</v>
      </c>
      <c r="D54" s="4745">
        <f t="shared" si="0"/>
        <v>0</v>
      </c>
    </row>
    <row r="55" spans="1:4" s="382" customFormat="1" ht="15">
      <c r="A55" s="4740" t="s">
        <v>10324</v>
      </c>
      <c r="B55" s="411" t="s">
        <v>1775</v>
      </c>
      <c r="C55" s="411" t="s">
        <v>1775</v>
      </c>
      <c r="D55" s="4745">
        <f>'Report-SOF1920-HB3'!D44</f>
        <v>0</v>
      </c>
    </row>
    <row r="56" spans="1:4" s="382" customFormat="1" ht="15.75">
      <c r="A56" s="596" t="s">
        <v>10326</v>
      </c>
      <c r="B56" s="543"/>
      <c r="C56" s="543"/>
      <c r="D56" s="544"/>
    </row>
    <row r="57" spans="1:4" s="382" customFormat="1" ht="15">
      <c r="A57" s="386" t="s">
        <v>2845</v>
      </c>
      <c r="B57" s="417">
        <f>'Weights-HB3'!G46</f>
        <v>0.1</v>
      </c>
      <c r="C57" s="391">
        <f>'Data Entry - SOF'!K61</f>
        <v>0</v>
      </c>
      <c r="D57" s="390">
        <f>'Report-SOF1920-HB3'!D42</f>
        <v>0</v>
      </c>
    </row>
    <row r="58" spans="1:4" s="382" customFormat="1" ht="15.75">
      <c r="C58" s="477" t="s">
        <v>2979</v>
      </c>
      <c r="D58" s="1433" t="s">
        <v>10291</v>
      </c>
    </row>
    <row r="59" spans="1:4" ht="15">
      <c r="D59" s="382"/>
    </row>
    <row r="60" spans="1:4" ht="15">
      <c r="D60" s="382"/>
    </row>
    <row r="61" spans="1:4" s="382" customFormat="1" ht="15.75" hidden="1">
      <c r="A61" s="325" t="s">
        <v>3116</v>
      </c>
    </row>
    <row r="62" spans="1:4" s="382" customFormat="1" ht="15.75" hidden="1">
      <c r="A62" s="325" t="s">
        <v>4032</v>
      </c>
    </row>
    <row r="63" spans="1:4" s="382" customFormat="1" ht="15.75">
      <c r="A63" s="325"/>
    </row>
    <row r="64" spans="1:4" s="382" customFormat="1" ht="15">
      <c r="D64"/>
    </row>
    <row r="65" spans="4:4" s="382" customFormat="1" ht="15">
      <c r="D65"/>
    </row>
  </sheetData>
  <hyperlinks>
    <hyperlink ref="D58" location="'Report-SOF1920-HB3'!A1" display="'Report-SOF1920-HB3'!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9" workbookViewId="0">
      <selection activeCell="D24" sqref="D24"/>
    </sheetView>
  </sheetViews>
  <sheetFormatPr defaultRowHeight="12.75"/>
  <cols>
    <col min="1" max="1" width="5.85546875" customWidth="1"/>
    <col min="2" max="2" width="62.5703125" customWidth="1"/>
    <col min="3" max="3" width="5.140625" customWidth="1"/>
    <col min="4" max="4" width="25.5703125" customWidth="1"/>
  </cols>
  <sheetData>
    <row r="1" spans="1:4">
      <c r="A1" s="380" t="s">
        <v>2993</v>
      </c>
      <c r="C1" s="380"/>
      <c r="D1" s="754" t="str">
        <f>'Report-T1Detail1920'!D1</f>
        <v>Release 10</v>
      </c>
    </row>
    <row r="2" spans="1:4">
      <c r="A2" s="380" t="s">
        <v>2994</v>
      </c>
      <c r="C2" s="380"/>
      <c r="D2" s="72">
        <f>'Report-T1Detail1920'!D2</f>
        <v>43724</v>
      </c>
    </row>
    <row r="3" spans="1:4">
      <c r="A3" s="64"/>
      <c r="C3" s="64"/>
      <c r="D3" s="58">
        <f>'Report-T1Detail1920'!D3</f>
        <v>0</v>
      </c>
    </row>
    <row r="4" spans="1:4" ht="15.75">
      <c r="A4" s="381" t="s">
        <v>3299</v>
      </c>
      <c r="C4" s="381"/>
    </row>
    <row r="5" spans="1:4" ht="15.75">
      <c r="A5" s="383">
        <f>'Data Entry - SOF'!B1</f>
        <v>0</v>
      </c>
      <c r="C5" s="383"/>
    </row>
    <row r="6" spans="1:4" ht="15.75">
      <c r="A6" s="381">
        <f>'Data Entry - SOF'!B2</f>
        <v>0</v>
      </c>
      <c r="C6" s="381"/>
    </row>
    <row r="9" spans="1:4" ht="18">
      <c r="A9" s="545" t="s">
        <v>2846</v>
      </c>
      <c r="B9" s="548"/>
      <c r="C9" s="545"/>
      <c r="D9" s="546" t="s">
        <v>2847</v>
      </c>
    </row>
    <row r="10" spans="1:4" s="382" customFormat="1" ht="15">
      <c r="A10" s="385" t="s">
        <v>2186</v>
      </c>
      <c r="B10" s="386" t="s">
        <v>3114</v>
      </c>
      <c r="C10" s="386"/>
      <c r="D10" s="391" t="e">
        <f>'SOF1920-HB3'!L66</f>
        <v>#DIV/0!</v>
      </c>
    </row>
    <row r="11" spans="1:4" s="382" customFormat="1" ht="18">
      <c r="A11" s="596" t="s">
        <v>2848</v>
      </c>
      <c r="B11" s="583"/>
      <c r="C11" s="547"/>
      <c r="D11" s="544"/>
    </row>
    <row r="12" spans="1:4" s="382" customFormat="1" ht="15">
      <c r="A12" s="385" t="s">
        <v>2187</v>
      </c>
      <c r="B12" s="386" t="s">
        <v>3107</v>
      </c>
      <c r="C12" s="386"/>
      <c r="D12" s="390" t="e">
        <f>'Calc Data'!F112</f>
        <v>#DIV/0!</v>
      </c>
    </row>
    <row r="13" spans="1:4" s="382" customFormat="1" ht="15">
      <c r="A13" s="385" t="s">
        <v>2188</v>
      </c>
      <c r="B13" s="386" t="s">
        <v>6897</v>
      </c>
      <c r="C13" s="386"/>
      <c r="D13" s="389" t="e">
        <f>'Calc Data'!F104</f>
        <v>#DIV/0!</v>
      </c>
    </row>
    <row r="14" spans="1:4" s="382" customFormat="1" ht="15">
      <c r="A14" s="385" t="s">
        <v>3117</v>
      </c>
      <c r="B14" s="386" t="str">
        <f>CONCATENATE("Level 1 Entitlement @ $",Assumptions!H119,"")</f>
        <v>Level 1 Entitlement @ $98.56</v>
      </c>
      <c r="C14" s="386"/>
      <c r="D14" s="390" t="e">
        <f>'SOF1920-HB3'!I171</f>
        <v>#DIV/0!</v>
      </c>
    </row>
    <row r="15" spans="1:4" s="382" customFormat="1" ht="15">
      <c r="A15" s="385" t="s">
        <v>910</v>
      </c>
      <c r="B15" s="386" t="s">
        <v>3955</v>
      </c>
      <c r="C15" s="386"/>
      <c r="D15" s="390" t="e">
        <f>'Calc Data'!F105</f>
        <v>#DIV/0!</v>
      </c>
    </row>
    <row r="16" spans="1:4" s="382" customFormat="1" ht="15">
      <c r="A16" s="385" t="s">
        <v>912</v>
      </c>
      <c r="B16" s="386" t="str">
        <f>CONCATENATE("GYA ($",Assumptions!H119," * WADA * DTR_1 * 100) - LR")</f>
        <v>GYA ($98.56 * WADA * DTR_1 * 100) - LR</v>
      </c>
      <c r="C16" s="386"/>
      <c r="D16" s="390" t="e">
        <f>'SOF1920-HB3'!I81</f>
        <v>#DIV/0!</v>
      </c>
    </row>
    <row r="17" spans="1:4" s="382" customFormat="1" ht="18">
      <c r="A17" s="596" t="s">
        <v>2850</v>
      </c>
      <c r="B17" s="583"/>
      <c r="C17" s="547"/>
      <c r="D17" s="544"/>
    </row>
    <row r="18" spans="1:4" s="382" customFormat="1" ht="15">
      <c r="A18" s="385" t="s">
        <v>913</v>
      </c>
      <c r="B18" s="386" t="s">
        <v>3108</v>
      </c>
      <c r="C18" s="386"/>
      <c r="D18" s="390" t="e">
        <f>'Calc Data'!F108</f>
        <v>#DIV/0!</v>
      </c>
    </row>
    <row r="19" spans="1:4" s="382" customFormat="1" ht="15">
      <c r="A19" s="385" t="s">
        <v>914</v>
      </c>
      <c r="B19" s="386" t="s">
        <v>3956</v>
      </c>
      <c r="C19" s="386"/>
      <c r="D19" s="389" t="e">
        <f>'Calc Data'!F109</f>
        <v>#DIV/0!</v>
      </c>
    </row>
    <row r="20" spans="1:4" s="382" customFormat="1" ht="15">
      <c r="A20" s="385" t="s">
        <v>118</v>
      </c>
      <c r="B20" s="386" t="str">
        <f>CONCATENATE("Level 2 Entitlement @ $",Assumptions!G120,"")</f>
        <v>Level 2 Entitlement @ $31.95</v>
      </c>
      <c r="C20" s="386"/>
      <c r="D20" s="390" t="e">
        <f>'SOF1920-HB3'!I172</f>
        <v>#DIV/0!</v>
      </c>
    </row>
    <row r="21" spans="1:4" s="382" customFormat="1" ht="15">
      <c r="A21" s="385" t="s">
        <v>119</v>
      </c>
      <c r="B21" s="386" t="s">
        <v>3300</v>
      </c>
      <c r="C21" s="386"/>
      <c r="D21" s="390" t="e">
        <f>'Calc Data'!F110</f>
        <v>#DIV/0!</v>
      </c>
    </row>
    <row r="22" spans="1:4" s="382" customFormat="1" ht="15">
      <c r="A22" s="385" t="s">
        <v>120</v>
      </c>
      <c r="B22" s="386" t="str">
        <f>CONCATENATE("GYA ($",Assumptions!G120," * WADA * DTR_1 * 100) - LR")</f>
        <v>GYA ($31.95 * WADA * DTR_1 * 100) - LR</v>
      </c>
      <c r="C22" s="386"/>
      <c r="D22" s="390" t="e">
        <f>'SOF1920-HB3'!I82</f>
        <v>#DIV/0!</v>
      </c>
    </row>
    <row r="23" spans="1:4" s="382" customFormat="1" ht="15.75">
      <c r="A23" s="385" t="s">
        <v>121</v>
      </c>
      <c r="B23" s="384" t="s">
        <v>3109</v>
      </c>
      <c r="C23" s="384"/>
      <c r="D23" s="395" t="e">
        <f>'Report-SOF1920-HB3'!D62</f>
        <v>#DIV/0!</v>
      </c>
    </row>
    <row r="24" spans="1:4" s="382" customFormat="1" ht="15.75">
      <c r="B24" s="477" t="s">
        <v>2978</v>
      </c>
      <c r="D24" s="1433" t="s">
        <v>10291</v>
      </c>
    </row>
    <row r="25" spans="1:4" s="382" customFormat="1" ht="15"/>
    <row r="26" spans="1:4" s="382" customFormat="1" ht="15"/>
    <row r="27" spans="1:4" s="382" customFormat="1" ht="15"/>
    <row r="28" spans="1:4" s="382" customFormat="1" ht="15"/>
    <row r="29" spans="1:4" s="382" customFormat="1" ht="15"/>
    <row r="30" spans="1:4" s="382" customFormat="1" ht="15">
      <c r="D30"/>
    </row>
    <row r="31" spans="1:4" s="382" customFormat="1" ht="15">
      <c r="D31"/>
    </row>
  </sheetData>
  <hyperlinks>
    <hyperlink ref="D24" location="'Report-SOF1920-HB3'!A1" display="'Report-SOF1920-HB3'!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8"/>
  <sheetViews>
    <sheetView topLeftCell="A7" workbookViewId="0">
      <selection activeCell="D28" sqref="D28"/>
    </sheetView>
  </sheetViews>
  <sheetFormatPr defaultRowHeight="12.75"/>
  <cols>
    <col min="1" max="1" width="5.85546875" customWidth="1"/>
    <col min="2" max="2" width="78.140625" customWidth="1"/>
    <col min="3" max="3" width="4.5703125" customWidth="1"/>
    <col min="4" max="4" width="23" customWidth="1"/>
  </cols>
  <sheetData>
    <row r="1" spans="1:4" s="382" customFormat="1" ht="15">
      <c r="A1" s="380" t="s">
        <v>2993</v>
      </c>
      <c r="D1" s="754" t="str">
        <f>'Report-ASATR1920'!C1</f>
        <v>Release 10</v>
      </c>
    </row>
    <row r="2" spans="1:4" s="382" customFormat="1" ht="15">
      <c r="A2" s="380" t="s">
        <v>2994</v>
      </c>
      <c r="D2" s="72">
        <f>'Report-ASATR1920'!C2</f>
        <v>43724</v>
      </c>
    </row>
    <row r="3" spans="1:4" s="382" customFormat="1" ht="15.75">
      <c r="A3" s="381"/>
      <c r="D3" s="58">
        <f>'Report-ASATR1920'!C3</f>
        <v>0</v>
      </c>
    </row>
    <row r="4" spans="1:4" s="382" customFormat="1" ht="15.75">
      <c r="A4" s="381" t="s">
        <v>3315</v>
      </c>
    </row>
    <row r="5" spans="1:4" s="382" customFormat="1" ht="15.75">
      <c r="A5" s="383">
        <f>'Data Entry - SOF'!B1</f>
        <v>0</v>
      </c>
    </row>
    <row r="6" spans="1:4" s="382" customFormat="1" ht="15.75">
      <c r="A6" s="381">
        <f>'Data Entry - SOF'!B2</f>
        <v>0</v>
      </c>
    </row>
    <row r="7" spans="1:4" s="382" customFormat="1" ht="15.75">
      <c r="A7" s="381"/>
    </row>
    <row r="8" spans="1:4" s="382" customFormat="1" ht="15"/>
    <row r="9" spans="1:4" s="266" customFormat="1" ht="18">
      <c r="A9" s="523"/>
      <c r="B9" s="524"/>
      <c r="C9" s="525"/>
      <c r="D9" s="532" t="s">
        <v>2818</v>
      </c>
    </row>
    <row r="10" spans="1:4" s="479" customFormat="1" ht="18">
      <c r="A10" s="557" t="s">
        <v>2990</v>
      </c>
      <c r="B10" s="527"/>
      <c r="C10" s="528"/>
      <c r="D10" s="537" t="s">
        <v>2805</v>
      </c>
    </row>
    <row r="11" spans="1:4" s="382" customFormat="1" ht="15">
      <c r="A11" s="385" t="s">
        <v>2186</v>
      </c>
      <c r="B11" s="386" t="s">
        <v>2981</v>
      </c>
      <c r="C11" s="386"/>
      <c r="D11" s="495">
        <f>'Data Entry - SOF'!K120</f>
        <v>0</v>
      </c>
    </row>
    <row r="12" spans="1:4" s="382" customFormat="1" ht="15">
      <c r="A12" s="385" t="s">
        <v>2187</v>
      </c>
      <c r="B12" s="386" t="s">
        <v>758</v>
      </c>
      <c r="C12" s="386"/>
      <c r="D12" s="495">
        <f>'Data Entry - SOF'!K121</f>
        <v>0</v>
      </c>
    </row>
    <row r="13" spans="1:4" s="382" customFormat="1" ht="15">
      <c r="A13" s="385" t="s">
        <v>2188</v>
      </c>
      <c r="B13" s="386" t="s">
        <v>2983</v>
      </c>
      <c r="C13" s="386"/>
      <c r="D13" s="495">
        <f>'Data Entry - SOF'!K123</f>
        <v>0</v>
      </c>
    </row>
    <row r="14" spans="1:4" s="382" customFormat="1" ht="15.75" hidden="1">
      <c r="A14" s="385" t="s">
        <v>909</v>
      </c>
      <c r="B14" s="386" t="s">
        <v>3205</v>
      </c>
      <c r="C14" s="386"/>
      <c r="D14" s="395">
        <v>0</v>
      </c>
    </row>
    <row r="15" spans="1:4" s="382" customFormat="1" ht="15">
      <c r="A15" s="385" t="s">
        <v>909</v>
      </c>
      <c r="B15" s="386" t="s">
        <v>2988</v>
      </c>
      <c r="C15" s="386"/>
      <c r="D15" s="390" t="e">
        <f>'SOF1920-HB3'!I101</f>
        <v>#DIV/0!</v>
      </c>
    </row>
    <row r="16" spans="1:4" s="382" customFormat="1" ht="15">
      <c r="A16" s="385" t="s">
        <v>910</v>
      </c>
      <c r="B16" s="386" t="s">
        <v>2989</v>
      </c>
      <c r="C16" s="386"/>
      <c r="D16" s="495" t="e">
        <f>'SOF1920-HB3'!I100</f>
        <v>#DIV/0!</v>
      </c>
    </row>
    <row r="17" spans="1:5" s="382" customFormat="1" ht="15">
      <c r="A17" s="385" t="s">
        <v>912</v>
      </c>
      <c r="B17" s="386" t="s">
        <v>8725</v>
      </c>
      <c r="C17" s="386"/>
      <c r="D17" s="495">
        <v>0</v>
      </c>
    </row>
    <row r="18" spans="1:5" s="382" customFormat="1" ht="15">
      <c r="A18" s="385" t="s">
        <v>913</v>
      </c>
      <c r="B18" s="2931" t="s">
        <v>8726</v>
      </c>
      <c r="C18" s="386"/>
      <c r="D18" s="390" t="e">
        <f>'DistCharter-Funding1920'!F57</f>
        <v>#DIV/0!</v>
      </c>
    </row>
    <row r="19" spans="1:5" s="382" customFormat="1" ht="15">
      <c r="A19" s="385" t="s">
        <v>914</v>
      </c>
      <c r="B19" s="4769" t="s">
        <v>8841</v>
      </c>
      <c r="C19" s="386"/>
      <c r="D19" s="495" t="e">
        <f>'SOF1920-HB3'!I127</f>
        <v>#DIV/0!</v>
      </c>
    </row>
    <row r="20" spans="1:5" s="382" customFormat="1" ht="15" hidden="1">
      <c r="A20" s="385" t="s">
        <v>119</v>
      </c>
      <c r="B20" s="4769" t="s">
        <v>2987</v>
      </c>
      <c r="C20" s="386"/>
      <c r="D20" s="495">
        <f>'Data Entry - SOF'!G125</f>
        <v>0</v>
      </c>
    </row>
    <row r="21" spans="1:5" s="382" customFormat="1" ht="15">
      <c r="A21" s="385" t="s">
        <v>118</v>
      </c>
      <c r="B21" s="4770" t="s">
        <v>8842</v>
      </c>
      <c r="C21" s="386"/>
      <c r="D21" s="495" t="e">
        <f>'SOF1920-HB3'!I128</f>
        <v>#DIV/0!</v>
      </c>
    </row>
    <row r="22" spans="1:5" s="382" customFormat="1" ht="15" hidden="1">
      <c r="A22" s="385" t="s">
        <v>119</v>
      </c>
      <c r="C22" s="386"/>
      <c r="D22" s="390" t="e">
        <f>'SOF1920-HB3'!H100</f>
        <v>#DIV/0!</v>
      </c>
    </row>
    <row r="23" spans="1:5" s="382" customFormat="1" ht="15" hidden="1">
      <c r="A23" s="385" t="s">
        <v>120</v>
      </c>
      <c r="B23" s="386" t="s">
        <v>3105</v>
      </c>
      <c r="C23" s="386"/>
      <c r="D23" s="390">
        <v>0</v>
      </c>
    </row>
    <row r="24" spans="1:5" s="382" customFormat="1" ht="15" hidden="1">
      <c r="A24" s="385" t="s">
        <v>121</v>
      </c>
      <c r="B24" s="386" t="s">
        <v>3106</v>
      </c>
      <c r="C24" s="386"/>
      <c r="D24" s="390">
        <v>0</v>
      </c>
    </row>
    <row r="25" spans="1:5" s="382" customFormat="1" ht="15" hidden="1">
      <c r="A25" s="385" t="s">
        <v>1513</v>
      </c>
      <c r="C25" s="386"/>
      <c r="D25" s="390">
        <v>0</v>
      </c>
    </row>
    <row r="26" spans="1:5" s="382" customFormat="1" ht="15" hidden="1">
      <c r="A26" s="385" t="s">
        <v>6</v>
      </c>
      <c r="C26" s="4636"/>
      <c r="D26" s="4637" t="e">
        <f>'DistCharter-Funding1920'!F57</f>
        <v>#DIV/0!</v>
      </c>
      <c r="E26" s="424"/>
    </row>
    <row r="27" spans="1:5" s="382" customFormat="1" ht="15.75">
      <c r="A27" s="385" t="s">
        <v>2232</v>
      </c>
      <c r="B27" s="384" t="s">
        <v>3027</v>
      </c>
      <c r="C27" s="386"/>
      <c r="D27" s="395" t="e">
        <f>SUM(D11:D21)</f>
        <v>#DIV/0!</v>
      </c>
    </row>
    <row r="28" spans="1:5" s="382" customFormat="1" ht="15.75">
      <c r="A28" s="394"/>
      <c r="B28" s="477" t="s">
        <v>2978</v>
      </c>
      <c r="D28" s="1433" t="s">
        <v>10291</v>
      </c>
    </row>
    <row r="29" spans="1:5" s="382" customFormat="1" ht="15">
      <c r="A29" s="394"/>
    </row>
    <row r="30" spans="1:5" s="382" customFormat="1" ht="15">
      <c r="A30" s="394"/>
    </row>
    <row r="31" spans="1:5" s="382" customFormat="1" ht="15.75">
      <c r="A31" s="565" t="s">
        <v>4039</v>
      </c>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c r="A40" s="394"/>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row r="48" spans="1:4" s="382" customFormat="1" ht="15">
      <c r="D48"/>
    </row>
  </sheetData>
  <hyperlinks>
    <hyperlink ref="D28" location="'Report-SOF1920-HB3'!A1" display="'Report-SOF1920-HB3'!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42578125" customWidth="1"/>
    <col min="2" max="2" width="74" customWidth="1"/>
    <col min="3" max="3" width="25.5703125" customWidth="1"/>
  </cols>
  <sheetData>
    <row r="1" spans="1:3">
      <c r="A1" s="380" t="s">
        <v>2993</v>
      </c>
      <c r="C1" s="754" t="str">
        <f>'Report-T2Detail1920'!D1</f>
        <v>Release 10</v>
      </c>
    </row>
    <row r="2" spans="1:3">
      <c r="A2" s="380" t="s">
        <v>2994</v>
      </c>
      <c r="C2" s="72">
        <f>'Report-T2Detail1920'!D2</f>
        <v>43724</v>
      </c>
    </row>
    <row r="3" spans="1:3">
      <c r="A3" s="64"/>
      <c r="C3" s="58">
        <f>'Report-T2Detail1920'!D3</f>
        <v>0</v>
      </c>
    </row>
    <row r="4" spans="1:3" ht="15.75">
      <c r="A4" s="381" t="s">
        <v>3305</v>
      </c>
    </row>
    <row r="5" spans="1:3" ht="15.75">
      <c r="A5" s="383">
        <f>'Data Entry - SOF'!B1</f>
        <v>0</v>
      </c>
    </row>
    <row r="6" spans="1:3" ht="15.75">
      <c r="A6" s="381">
        <f>'Data Entry - SOF'!B2</f>
        <v>0</v>
      </c>
    </row>
    <row r="9" spans="1:3" s="266" customFormat="1" ht="18">
      <c r="A9" s="556" t="s">
        <v>1982</v>
      </c>
      <c r="B9" s="553"/>
      <c r="C9" s="546" t="s">
        <v>1273</v>
      </c>
    </row>
    <row r="10" spans="1:3" s="382" customFormat="1" ht="15.75">
      <c r="A10" s="596" t="s">
        <v>2852</v>
      </c>
      <c r="B10" s="543"/>
      <c r="C10" s="544"/>
    </row>
    <row r="11" spans="1:3" s="382" customFormat="1" ht="15">
      <c r="A11" s="385" t="s">
        <v>2186</v>
      </c>
      <c r="B11" s="386" t="s">
        <v>2356</v>
      </c>
      <c r="C11" s="392" t="e">
        <f>ASATR!I8</f>
        <v>#N/A</v>
      </c>
    </row>
    <row r="12" spans="1:3" s="382" customFormat="1" ht="15">
      <c r="A12" s="385" t="s">
        <v>2187</v>
      </c>
      <c r="B12" s="386" t="s">
        <v>3306</v>
      </c>
      <c r="C12" s="391">
        <f>'Calc Data'!F25</f>
        <v>0</v>
      </c>
    </row>
    <row r="13" spans="1:3" s="382" customFormat="1" ht="15">
      <c r="A13" s="385" t="s">
        <v>2188</v>
      </c>
      <c r="B13" s="386" t="s">
        <v>3307</v>
      </c>
      <c r="C13" s="390" t="e">
        <f>ASATR!I50</f>
        <v>#N/A</v>
      </c>
    </row>
    <row r="14" spans="1:3" s="382" customFormat="1" ht="15">
      <c r="A14" s="385" t="s">
        <v>909</v>
      </c>
      <c r="B14" s="386" t="str">
        <f>CONCATENATE("2019-20 Minimum Increase (Line 2 * $120 * ",Weights!H7,")")</f>
        <v>2019-20 Minimum Increase (Line 2 * $120 * 0.9263)</v>
      </c>
      <c r="C14" s="390">
        <f>ASATR!I51</f>
        <v>0</v>
      </c>
    </row>
    <row r="15" spans="1:3" s="382" customFormat="1" ht="15">
      <c r="A15" s="385" t="s">
        <v>910</v>
      </c>
      <c r="B15" s="386" t="s">
        <v>2853</v>
      </c>
      <c r="C15" s="390">
        <f>ASATR!I13</f>
        <v>0</v>
      </c>
    </row>
    <row r="16" spans="1:3" s="382" customFormat="1" ht="15">
      <c r="A16" s="385" t="s">
        <v>912</v>
      </c>
      <c r="B16" s="386" t="s">
        <v>3308</v>
      </c>
      <c r="C16" s="390" t="e">
        <f>ASATR!I14</f>
        <v>#N/A</v>
      </c>
    </row>
    <row r="17" spans="1:4" s="382" customFormat="1" ht="15">
      <c r="A17" s="549"/>
      <c r="B17" s="543"/>
      <c r="C17" s="544"/>
    </row>
    <row r="18" spans="1:4" s="382" customFormat="1" ht="15">
      <c r="A18" s="385" t="s">
        <v>913</v>
      </c>
      <c r="B18" s="386" t="s">
        <v>2856</v>
      </c>
      <c r="C18" s="390">
        <f>ASATR!I15</f>
        <v>0</v>
      </c>
    </row>
    <row r="19" spans="1:4" s="382" customFormat="1" ht="15">
      <c r="A19" s="385" t="s">
        <v>914</v>
      </c>
      <c r="B19" s="386" t="s">
        <v>2857</v>
      </c>
      <c r="C19" s="390">
        <f>ASATR!I16</f>
        <v>0</v>
      </c>
    </row>
    <row r="20" spans="1:4" s="382" customFormat="1" ht="15">
      <c r="A20" s="385" t="s">
        <v>118</v>
      </c>
      <c r="B20" s="386" t="str">
        <f>CONCATENATE("2008-09 Educator Salary Increase ($23.63 * 2008-09 WADA * ",Weights!H7,")")</f>
        <v>2008-09 Educator Salary Increase ($23.63 * 2008-09 WADA * 0.9263)</v>
      </c>
      <c r="C20" s="390">
        <f>ASATR!I18</f>
        <v>0</v>
      </c>
    </row>
    <row r="21" spans="1:4" s="382" customFormat="1" ht="15.75">
      <c r="A21" s="385" t="s">
        <v>119</v>
      </c>
      <c r="B21" s="384" t="s">
        <v>3309</v>
      </c>
      <c r="C21" s="390" t="e">
        <f>ASATR!I20</f>
        <v>#N/A</v>
      </c>
    </row>
    <row r="22" spans="1:4" s="382" customFormat="1" ht="15">
      <c r="A22" s="549"/>
      <c r="B22" s="543"/>
      <c r="C22" s="544"/>
    </row>
    <row r="23" spans="1:4" s="382" customFormat="1" ht="15">
      <c r="A23" s="385" t="s">
        <v>120</v>
      </c>
      <c r="B23" s="386" t="s">
        <v>3310</v>
      </c>
      <c r="C23" s="390">
        <f>ASATR!I37</f>
        <v>0</v>
      </c>
    </row>
    <row r="24" spans="1:4" s="382" customFormat="1" ht="15">
      <c r="A24" s="385" t="s">
        <v>121</v>
      </c>
      <c r="B24" s="386" t="s">
        <v>3311</v>
      </c>
      <c r="C24" s="390">
        <f>ASATR!I38</f>
        <v>0</v>
      </c>
    </row>
    <row r="25" spans="1:4" s="382" customFormat="1" ht="15">
      <c r="A25" s="385" t="s">
        <v>1513</v>
      </c>
      <c r="B25" s="719" t="s">
        <v>3363</v>
      </c>
      <c r="C25" s="390" t="e">
        <f>ASATR!I39</f>
        <v>#DIV/0!</v>
      </c>
    </row>
    <row r="26" spans="1:4" s="382" customFormat="1" ht="15">
      <c r="A26" s="385" t="s">
        <v>6</v>
      </c>
      <c r="B26" s="386" t="s">
        <v>3312</v>
      </c>
      <c r="C26" s="390" t="e">
        <f>ASATR!I40</f>
        <v>#DIV/0!</v>
      </c>
    </row>
    <row r="27" spans="1:4" s="382" customFormat="1" ht="15">
      <c r="A27" s="549"/>
      <c r="B27" s="543"/>
      <c r="C27" s="555"/>
    </row>
    <row r="28" spans="1:4" s="382" customFormat="1" ht="15.75">
      <c r="A28" s="418" t="s">
        <v>2232</v>
      </c>
      <c r="B28" s="402" t="s">
        <v>3026</v>
      </c>
      <c r="C28" s="395" t="e">
        <f>ASATR!I42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3313</v>
      </c>
      <c r="C31" s="390" t="e">
        <f>ASATR!I45</f>
        <v>#DIV/0!</v>
      </c>
    </row>
    <row r="32" spans="1:4" s="382" customFormat="1" ht="15">
      <c r="A32" s="400" t="s">
        <v>2722</v>
      </c>
      <c r="B32" s="386" t="s">
        <v>3314</v>
      </c>
      <c r="C32" s="390" t="e">
        <f>ASATR!I46</f>
        <v>#DIV/0!</v>
      </c>
    </row>
    <row r="33" spans="2:3" s="382" customFormat="1" ht="15.75">
      <c r="B33" s="477" t="s">
        <v>2991</v>
      </c>
      <c r="C33" s="476" t="s">
        <v>3352</v>
      </c>
    </row>
    <row r="34" spans="2:3" s="382" customFormat="1" ht="15"/>
    <row r="35" spans="2:3" s="382" customFormat="1" ht="15"/>
    <row r="36" spans="2:3" s="382" customFormat="1" ht="15"/>
    <row r="37" spans="2:3" s="382" customFormat="1" ht="15">
      <c r="C37"/>
    </row>
    <row r="38" spans="2:3" s="382"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4" workbookViewId="0">
      <selection activeCell="D19" sqref="D19"/>
    </sheetView>
  </sheetViews>
  <sheetFormatPr defaultRowHeight="12.75"/>
  <cols>
    <col min="1" max="1" width="5.42578125" customWidth="1"/>
    <col min="2" max="2" width="78.42578125" customWidth="1"/>
    <col min="3" max="3" width="4.5703125" customWidth="1"/>
    <col min="4" max="4" width="22.5703125" customWidth="1"/>
  </cols>
  <sheetData>
    <row r="1" spans="1:4">
      <c r="A1" s="380" t="s">
        <v>2993</v>
      </c>
      <c r="D1" s="141" t="str">
        <f>'Report-Other1920'!D1</f>
        <v>Release 10</v>
      </c>
    </row>
    <row r="2" spans="1:4">
      <c r="A2" s="380" t="s">
        <v>2994</v>
      </c>
      <c r="D2" s="72">
        <f>'Report-Other1920'!D2</f>
        <v>43724</v>
      </c>
    </row>
    <row r="3" spans="1:4">
      <c r="A3" s="64"/>
      <c r="D3" s="58">
        <f>'Report-Other1920'!D3</f>
        <v>0</v>
      </c>
    </row>
    <row r="4" spans="1:4" ht="15.75">
      <c r="A4" s="381" t="s">
        <v>3316</v>
      </c>
    </row>
    <row r="5" spans="1:4" ht="15.75">
      <c r="A5" s="383">
        <f>'Data Entry - SOF'!B1</f>
        <v>0</v>
      </c>
    </row>
    <row r="6" spans="1:4" ht="15.75">
      <c r="A6" s="381">
        <f>'Data Entry - SOF'!B2</f>
        <v>0</v>
      </c>
    </row>
    <row r="9" spans="1:4" s="266" customFormat="1" ht="18">
      <c r="A9" s="564" t="s">
        <v>3110</v>
      </c>
      <c r="B9" s="558"/>
      <c r="C9" s="559"/>
      <c r="D9" s="524"/>
    </row>
    <row r="10" spans="1:4" s="382" customFormat="1" ht="18">
      <c r="A10" s="562" t="s">
        <v>2866</v>
      </c>
      <c r="B10" s="560"/>
      <c r="C10" s="561"/>
      <c r="D10" s="537" t="s">
        <v>2867</v>
      </c>
    </row>
    <row r="11" spans="1:4" s="382" customFormat="1" ht="15">
      <c r="A11" s="385" t="s">
        <v>2186</v>
      </c>
      <c r="B11" s="386" t="s">
        <v>3317</v>
      </c>
      <c r="C11" s="386"/>
      <c r="D11" s="390">
        <f>'Data Entry - SOF'!E101</f>
        <v>0</v>
      </c>
    </row>
    <row r="12" spans="1:4" s="382" customFormat="1" ht="15">
      <c r="A12" s="385" t="s">
        <v>2187</v>
      </c>
      <c r="B12" s="386" t="s">
        <v>3318</v>
      </c>
      <c r="C12" s="386"/>
      <c r="D12" s="390">
        <f>'Report-EDA1819'!D26</f>
        <v>0</v>
      </c>
    </row>
    <row r="13" spans="1:4" s="382" customFormat="1" ht="15">
      <c r="A13" s="385" t="s">
        <v>2188</v>
      </c>
      <c r="B13" s="386" t="s">
        <v>3319</v>
      </c>
      <c r="C13" s="386"/>
      <c r="D13" s="390">
        <f>'Report-IFA1819'!D20</f>
        <v>0</v>
      </c>
    </row>
    <row r="14" spans="1:4" s="382" customFormat="1" ht="15">
      <c r="A14" s="385" t="s">
        <v>909</v>
      </c>
      <c r="B14" s="386" t="s">
        <v>3320</v>
      </c>
      <c r="C14" s="386"/>
      <c r="D14" s="390">
        <f>IF(D11-D12-D13&lt;0,0,D11-D12-D13)</f>
        <v>0</v>
      </c>
    </row>
    <row r="15" spans="1:4" s="382" customFormat="1" ht="15">
      <c r="A15" s="385" t="s">
        <v>910</v>
      </c>
      <c r="B15" s="386" t="s">
        <v>3321</v>
      </c>
      <c r="C15" s="386"/>
      <c r="D15" s="390">
        <f>'Data Entry - SOF'!K118</f>
        <v>0</v>
      </c>
    </row>
    <row r="16" spans="1:4" s="382" customFormat="1" ht="15">
      <c r="A16" s="385" t="s">
        <v>912</v>
      </c>
      <c r="B16" s="386" t="s">
        <v>3322</v>
      </c>
      <c r="C16" s="386"/>
      <c r="D16" s="390">
        <f>'Report-IFA1920'!D36</f>
        <v>0</v>
      </c>
    </row>
    <row r="17" spans="1:4" s="382" customFormat="1" ht="15">
      <c r="A17" s="385" t="s">
        <v>913</v>
      </c>
      <c r="B17" s="386" t="s">
        <v>3323</v>
      </c>
      <c r="C17" s="386"/>
      <c r="D17" s="391">
        <f>'Data Entry - SOF'!K19</f>
        <v>0</v>
      </c>
    </row>
    <row r="18" spans="1:4" s="382" customFormat="1" ht="15">
      <c r="A18" s="385" t="s">
        <v>914</v>
      </c>
      <c r="B18" s="386" t="s">
        <v>10327</v>
      </c>
      <c r="C18" s="386"/>
      <c r="D18" s="390">
        <f>'Existing Debt-HB3'!K41</f>
        <v>0</v>
      </c>
    </row>
    <row r="19" spans="1:4" s="382" customFormat="1" ht="15">
      <c r="A19" s="385" t="s">
        <v>118</v>
      </c>
      <c r="B19" s="386" t="s">
        <v>10337</v>
      </c>
      <c r="C19" s="386"/>
      <c r="D19" s="390">
        <f>'Existing Debt-HB3'!K39</f>
        <v>0</v>
      </c>
    </row>
    <row r="20" spans="1:4" s="382" customFormat="1" ht="15.75">
      <c r="A20" s="596" t="s">
        <v>2868</v>
      </c>
      <c r="B20" s="543"/>
      <c r="C20" s="544"/>
      <c r="D20" s="563"/>
    </row>
    <row r="21" spans="1:4" s="382" customFormat="1" ht="15">
      <c r="A21" s="418" t="s">
        <v>119</v>
      </c>
      <c r="B21" s="402" t="s">
        <v>3324</v>
      </c>
      <c r="C21" s="402"/>
      <c r="D21" s="425">
        <f>'Existing Debt-HB3'!K47</f>
        <v>0</v>
      </c>
    </row>
    <row r="22" spans="1:4" s="382" customFormat="1" ht="15">
      <c r="A22" s="396"/>
      <c r="B22" s="404" t="s">
        <v>2869</v>
      </c>
      <c r="C22" s="404"/>
      <c r="D22" s="426"/>
    </row>
    <row r="23" spans="1:4" s="382" customFormat="1" ht="15">
      <c r="A23" s="385" t="s">
        <v>120</v>
      </c>
      <c r="B23" s="386" t="str">
        <f>CONCATENATE("2019-20 Rate Needed for All Eligible Debt ((Line 5 - Line 6) / ",Weights!K50," / Line 7 / 100)")</f>
        <v>2019-20 Rate Needed for All Eligible Debt ((Line 5 - Line 6) / 37 / Line 7 / 100)</v>
      </c>
      <c r="C23" s="386"/>
      <c r="D23" s="427">
        <f>'Existing Debt-HB3'!K51</f>
        <v>0</v>
      </c>
    </row>
    <row r="24" spans="1:4" s="382" customFormat="1" ht="15">
      <c r="A24" s="385" t="s">
        <v>121</v>
      </c>
      <c r="B24" s="386" t="s">
        <v>3325</v>
      </c>
      <c r="C24" s="386"/>
      <c r="D24" s="427">
        <f>'Existing Debt-HB3'!K55</f>
        <v>0</v>
      </c>
    </row>
    <row r="25" spans="1:4" s="382" customFormat="1" ht="15">
      <c r="A25" s="385" t="s">
        <v>1513</v>
      </c>
      <c r="B25" s="386" t="str">
        <f>CONCATENATE("State/Local Share of EDA ($",Weights!K50," * Line 7 * Line 12 * 100)")</f>
        <v>State/Local Share of EDA ($37 * Line 7 * Line 12 * 100)</v>
      </c>
      <c r="C25" s="386"/>
      <c r="D25" s="390">
        <f>'Existing Debt-HB3'!K59</f>
        <v>0</v>
      </c>
    </row>
    <row r="26" spans="1:4" s="382" customFormat="1" ht="15">
      <c r="A26" s="385" t="s">
        <v>6</v>
      </c>
      <c r="B26" s="386" t="s">
        <v>2870</v>
      </c>
      <c r="C26" s="386"/>
      <c r="D26" s="390">
        <f>'Existing Debt-HB3'!K61</f>
        <v>0</v>
      </c>
    </row>
    <row r="27" spans="1:4" s="382" customFormat="1" ht="15">
      <c r="A27" s="385" t="s">
        <v>2232</v>
      </c>
      <c r="B27" s="386" t="s">
        <v>2871</v>
      </c>
      <c r="C27" s="386"/>
      <c r="D27" s="390">
        <f>'Existing Debt-HB3'!K70</f>
        <v>0</v>
      </c>
    </row>
    <row r="28" spans="1:4" s="382" customFormat="1" ht="15.75">
      <c r="A28" s="385" t="s">
        <v>2233</v>
      </c>
      <c r="B28" s="384" t="s">
        <v>2872</v>
      </c>
      <c r="C28" s="386"/>
      <c r="D28" s="395">
        <f>'Existing Debt-HB3'!K74</f>
        <v>0</v>
      </c>
    </row>
    <row r="29" spans="1:4" s="382" customFormat="1" ht="15.75">
      <c r="B29" s="477" t="s">
        <v>2978</v>
      </c>
      <c r="D29" s="1433" t="s">
        <v>10291</v>
      </c>
    </row>
    <row r="30" spans="1:4" s="382" customFormat="1" ht="15"/>
    <row r="31" spans="1:4" s="382" customFormat="1" ht="15"/>
    <row r="32" spans="1:4" s="382" customFormat="1" ht="15.75">
      <c r="B32" s="325" t="s">
        <v>2939</v>
      </c>
    </row>
    <row r="33" spans="2:4" s="382" customFormat="1" ht="15.75">
      <c r="B33" s="325" t="s">
        <v>3115</v>
      </c>
    </row>
    <row r="34" spans="2:4" s="382" customFormat="1" ht="15.75">
      <c r="B34" s="565" t="s">
        <v>3112</v>
      </c>
    </row>
    <row r="35" spans="2:4" s="382" customFormat="1" ht="15.75">
      <c r="B35" s="565"/>
    </row>
    <row r="36" spans="2:4" s="382" customFormat="1" ht="15.75">
      <c r="B36" s="325" t="s">
        <v>8266</v>
      </c>
    </row>
    <row r="37" spans="2:4" s="382" customFormat="1" ht="15.75">
      <c r="B37" s="565" t="s">
        <v>8267</v>
      </c>
    </row>
    <row r="38" spans="2:4" s="382" customFormat="1" ht="15.75">
      <c r="B38" s="565" t="s">
        <v>8268</v>
      </c>
    </row>
    <row r="39" spans="2:4" s="382" customFormat="1" ht="15.75">
      <c r="B39" s="325" t="s">
        <v>8269</v>
      </c>
    </row>
    <row r="40" spans="2:4" s="382" customFormat="1" ht="15.75">
      <c r="B40" s="325"/>
      <c r="D40" s="833">
        <f>IF(ISNA('DE1'!D65),0,'DE1'!D65)</f>
        <v>0</v>
      </c>
    </row>
    <row r="41" spans="2:4" s="382" customFormat="1" ht="15.75">
      <c r="B41" s="473" t="s">
        <v>6376</v>
      </c>
    </row>
    <row r="42" spans="2:4" ht="15.75">
      <c r="B42" s="325"/>
      <c r="C42" s="382"/>
      <c r="D42" s="382"/>
    </row>
    <row r="43" spans="2:4" ht="15.75">
      <c r="B43" s="325" t="s">
        <v>6367</v>
      </c>
      <c r="C43" s="382"/>
      <c r="D43" s="382"/>
    </row>
    <row r="44" spans="2:4" ht="15.75">
      <c r="B44" s="565" t="s">
        <v>6566</v>
      </c>
      <c r="C44" s="382"/>
    </row>
    <row r="45" spans="2:4" ht="15.75">
      <c r="B45" s="325" t="s">
        <v>8265</v>
      </c>
    </row>
  </sheetData>
  <hyperlinks>
    <hyperlink ref="D29" location="'Report-SOF1920-HB3'!A1" display="'Report-SOF1920-HB3'!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topLeftCell="A4" workbookViewId="0">
      <selection activeCell="N79" sqref="N79"/>
    </sheetView>
  </sheetViews>
  <sheetFormatPr defaultRowHeight="12.75"/>
  <cols>
    <col min="1" max="1" width="4.42578125" customWidth="1"/>
    <col min="2" max="2" width="9.42578125" customWidth="1"/>
    <col min="3" max="3" width="1.5703125" customWidth="1"/>
    <col min="4" max="4" width="12.5703125" customWidth="1"/>
    <col min="5" max="5" width="28.42578125" customWidth="1"/>
    <col min="6" max="6" width="4.5703125" customWidth="1"/>
    <col min="7" max="7" width="2.5703125" customWidth="1"/>
    <col min="8" max="9" width="20.5703125" style="2058" hidden="1" customWidth="1"/>
    <col min="10" max="10" width="19.140625" style="2058" hidden="1" customWidth="1"/>
    <col min="11" max="11" width="20.5703125" style="2058" hidden="1" customWidth="1"/>
    <col min="12" max="12" width="20.5703125" style="1113" customWidth="1"/>
    <col min="13" max="13" width="19.140625" style="1113" customWidth="1"/>
    <col min="14" max="15" width="18.5703125" style="1114" customWidth="1"/>
    <col min="16" max="16" width="19.140625" style="1114" customWidth="1"/>
    <col min="17" max="18" width="18.5703125" style="1421" customWidth="1"/>
    <col min="19" max="19" width="19.140625" style="1421" customWidth="1"/>
    <col min="20" max="21" width="18.5703125" style="1115" customWidth="1"/>
    <col min="22" max="22" width="19.140625" style="1115" customWidth="1"/>
    <col min="23" max="24" width="18.5703125" style="1666" customWidth="1"/>
    <col min="25" max="25" width="19.140625" style="1666" customWidth="1"/>
    <col min="26" max="27" width="18.5703125" style="1763" customWidth="1"/>
    <col min="28" max="28" width="19.140625" style="1763" customWidth="1"/>
  </cols>
  <sheetData>
    <row r="1" spans="1:28" ht="13.5" thickTop="1">
      <c r="A1" s="20" t="s">
        <v>66</v>
      </c>
      <c r="D1" s="60">
        <f>'Data Entry - SOF'!B1</f>
        <v>0</v>
      </c>
      <c r="F1" s="119"/>
      <c r="K1" s="3336"/>
      <c r="L1" s="3345"/>
      <c r="M1" s="3346"/>
      <c r="N1" s="3651"/>
      <c r="O1" s="3637"/>
      <c r="P1" s="3372"/>
      <c r="Q1" s="3615"/>
      <c r="R1" s="3498"/>
      <c r="S1" s="3375"/>
      <c r="T1" s="4433"/>
      <c r="U1" s="4440"/>
      <c r="V1" s="3389"/>
      <c r="W1" s="4458"/>
      <c r="X1" s="3689"/>
      <c r="Y1" s="3398"/>
      <c r="Z1" s="4516"/>
      <c r="AA1" s="4524"/>
      <c r="AB1" s="3407"/>
    </row>
    <row r="2" spans="1:28">
      <c r="A2" s="20" t="s">
        <v>1439</v>
      </c>
      <c r="D2" s="61">
        <f>'Data Entry - SOF'!B2</f>
        <v>0</v>
      </c>
      <c r="K2" s="3336"/>
      <c r="L2" s="3347"/>
      <c r="M2" s="3348"/>
      <c r="N2" s="3652"/>
      <c r="O2" s="3334"/>
      <c r="P2" s="1116"/>
      <c r="Q2" s="3616"/>
      <c r="R2" s="3499"/>
      <c r="S2" s="3376"/>
      <c r="T2" s="4434"/>
      <c r="U2" s="4441"/>
      <c r="V2" s="3391"/>
      <c r="W2" s="4459"/>
      <c r="X2" s="3690"/>
      <c r="Y2" s="3400"/>
      <c r="Z2" s="4495"/>
      <c r="AA2" s="4517"/>
      <c r="AB2" s="3409"/>
    </row>
    <row r="3" spans="1:28">
      <c r="A3" s="20" t="s">
        <v>143</v>
      </c>
      <c r="D3" s="63">
        <f ca="1">'Data Entry - SOF'!B3</f>
        <v>43726.623322453706</v>
      </c>
      <c r="K3" s="3336"/>
      <c r="L3" s="3347"/>
      <c r="M3" s="3348"/>
      <c r="N3" s="3652"/>
      <c r="O3" s="3334"/>
      <c r="P3" s="1116"/>
      <c r="Q3" s="3616"/>
      <c r="R3" s="3499"/>
      <c r="S3" s="3376"/>
      <c r="T3" s="4434"/>
      <c r="U3" s="4441"/>
      <c r="V3" s="3391"/>
      <c r="W3" s="4459"/>
      <c r="X3" s="3690"/>
      <c r="Y3" s="3400"/>
      <c r="Z3" s="4495"/>
      <c r="AA3" s="4517"/>
      <c r="AB3" s="3409"/>
    </row>
    <row r="4" spans="1:28">
      <c r="K4" s="3336"/>
      <c r="L4" s="3347"/>
      <c r="M4" s="3348"/>
      <c r="N4" s="3652"/>
      <c r="O4" s="3334"/>
      <c r="P4" s="1116"/>
      <c r="Q4" s="3616"/>
      <c r="R4" s="3499"/>
      <c r="S4" s="3376"/>
      <c r="T4" s="4434"/>
      <c r="U4" s="4441"/>
      <c r="V4" s="3391"/>
      <c r="W4" s="4459"/>
      <c r="X4" s="3690"/>
      <c r="Y4" s="3400"/>
      <c r="Z4" s="4495"/>
      <c r="AA4" s="4517"/>
      <c r="AB4" s="3409"/>
    </row>
    <row r="5" spans="1:28" ht="12.75" customHeight="1">
      <c r="A5" s="32" t="s">
        <v>6931</v>
      </c>
      <c r="K5" s="3336"/>
      <c r="L5" s="3347"/>
      <c r="M5" s="3348"/>
      <c r="N5" s="3652"/>
      <c r="O5" s="3334"/>
      <c r="P5" s="1116"/>
      <c r="Q5" s="3616"/>
      <c r="R5" s="3499"/>
      <c r="S5" s="3376"/>
      <c r="T5" s="4434"/>
      <c r="U5" s="4441"/>
      <c r="V5" s="3391"/>
      <c r="W5" s="4459"/>
      <c r="X5" s="3690"/>
      <c r="Y5" s="3400"/>
      <c r="Z5" s="4495"/>
      <c r="AA5" s="4517"/>
      <c r="AB5" s="3409"/>
    </row>
    <row r="6" spans="1:28" ht="12.75" hidden="1" customHeight="1">
      <c r="A6" s="32"/>
      <c r="C6" s="30" t="s">
        <v>1291</v>
      </c>
      <c r="K6" s="3336"/>
      <c r="L6" s="3347"/>
      <c r="M6" s="3348"/>
      <c r="N6" s="3652"/>
      <c r="O6" s="3334"/>
      <c r="P6" s="1116"/>
      <c r="Q6" s="3616"/>
      <c r="R6" s="3499"/>
      <c r="S6" s="3376"/>
      <c r="T6" s="4434"/>
      <c r="U6" s="4441"/>
      <c r="V6" s="3391"/>
      <c r="W6" s="4459"/>
      <c r="X6" s="3690"/>
      <c r="Y6" s="3400"/>
      <c r="Z6" s="4495"/>
      <c r="AA6" s="4517"/>
      <c r="AB6" s="3409"/>
    </row>
    <row r="7" spans="1:28" ht="12.75" hidden="1" customHeight="1">
      <c r="C7" s="30"/>
      <c r="K7" s="3336"/>
      <c r="L7" s="3347"/>
      <c r="M7" s="3348"/>
      <c r="N7" s="3652"/>
      <c r="O7" s="3334"/>
      <c r="P7" s="1116"/>
      <c r="Q7" s="3616"/>
      <c r="R7" s="3499"/>
      <c r="S7" s="3376"/>
      <c r="T7" s="4434"/>
      <c r="U7" s="4441"/>
      <c r="V7" s="3391"/>
      <c r="W7" s="4459"/>
      <c r="X7" s="3690"/>
      <c r="Y7" s="3400"/>
      <c r="Z7" s="4495"/>
      <c r="AA7" s="4517"/>
      <c r="AB7" s="3409"/>
    </row>
    <row r="8" spans="1:28" ht="12.75" hidden="1" customHeight="1">
      <c r="C8" s="30"/>
      <c r="K8" s="3336"/>
      <c r="L8" s="3347"/>
      <c r="M8" s="3348"/>
      <c r="N8" s="3652"/>
      <c r="O8" s="3334"/>
      <c r="P8" s="1116"/>
      <c r="Q8" s="3616"/>
      <c r="R8" s="3499"/>
      <c r="S8" s="3376"/>
      <c r="T8" s="4434"/>
      <c r="U8" s="4441"/>
      <c r="V8" s="3391"/>
      <c r="W8" s="4459"/>
      <c r="X8" s="3690"/>
      <c r="Y8" s="3400"/>
      <c r="Z8" s="4495"/>
      <c r="AA8" s="4517"/>
      <c r="AB8" s="3409"/>
    </row>
    <row r="9" spans="1:28" ht="12.75" hidden="1" customHeight="1">
      <c r="C9" s="30"/>
      <c r="K9" s="3336"/>
      <c r="L9" s="3347"/>
      <c r="M9" s="3348"/>
      <c r="N9" s="3652"/>
      <c r="O9" s="3334"/>
      <c r="P9" s="1116"/>
      <c r="Q9" s="3616"/>
      <c r="R9" s="3499"/>
      <c r="S9" s="3376"/>
      <c r="T9" s="4434"/>
      <c r="U9" s="4441"/>
      <c r="V9" s="3391"/>
      <c r="W9" s="4459"/>
      <c r="X9" s="3690"/>
      <c r="Y9" s="3400"/>
      <c r="Z9" s="4495"/>
      <c r="AA9" s="4517"/>
      <c r="AB9" s="3409"/>
    </row>
    <row r="10" spans="1:28" ht="12.75" hidden="1" customHeight="1">
      <c r="C10" s="30"/>
      <c r="K10" s="3336"/>
      <c r="L10" s="3347"/>
      <c r="M10" s="3348"/>
      <c r="N10" s="3652"/>
      <c r="O10" s="3334"/>
      <c r="P10" s="1116"/>
      <c r="Q10" s="3616"/>
      <c r="R10" s="3499"/>
      <c r="S10" s="3376"/>
      <c r="T10" s="4434"/>
      <c r="U10" s="4441"/>
      <c r="V10" s="3391"/>
      <c r="W10" s="4459"/>
      <c r="X10" s="3690"/>
      <c r="Y10" s="3400"/>
      <c r="Z10" s="4495"/>
      <c r="AA10" s="4517"/>
      <c r="AB10" s="3409"/>
    </row>
    <row r="11" spans="1:28" ht="12.75" hidden="1" customHeight="1">
      <c r="A11" s="310"/>
      <c r="C11" s="30"/>
      <c r="K11" s="3336"/>
      <c r="L11" s="3347"/>
      <c r="M11" s="3348"/>
      <c r="N11" s="3652"/>
      <c r="O11" s="3334"/>
      <c r="P11" s="1116"/>
      <c r="Q11" s="3616"/>
      <c r="R11" s="3499"/>
      <c r="S11" s="3376"/>
      <c r="T11" s="4434"/>
      <c r="U11" s="4441"/>
      <c r="V11" s="3391"/>
      <c r="W11" s="4459"/>
      <c r="X11" s="3690"/>
      <c r="Y11" s="3400"/>
      <c r="Z11" s="4495"/>
      <c r="AA11" s="4517"/>
      <c r="AB11" s="3409"/>
    </row>
    <row r="12" spans="1:28" ht="12.75" hidden="1" customHeight="1">
      <c r="C12" s="30"/>
      <c r="K12" s="3336"/>
      <c r="L12" s="3347"/>
      <c r="M12" s="3348"/>
      <c r="N12" s="3652"/>
      <c r="O12" s="3334"/>
      <c r="P12" s="1116"/>
      <c r="Q12" s="3616"/>
      <c r="R12" s="3499"/>
      <c r="S12" s="3376"/>
      <c r="T12" s="4434"/>
      <c r="U12" s="4441"/>
      <c r="V12" s="3391"/>
      <c r="W12" s="4459"/>
      <c r="X12" s="3690"/>
      <c r="Y12" s="3400"/>
      <c r="Z12" s="4495"/>
      <c r="AA12" s="4517"/>
      <c r="AB12" s="3409"/>
    </row>
    <row r="13" spans="1:28" ht="12.75" hidden="1" customHeight="1">
      <c r="C13" s="30"/>
      <c r="D13" s="52" t="s">
        <v>3224</v>
      </c>
      <c r="K13" s="3336"/>
      <c r="L13" s="3347"/>
      <c r="M13" s="3348"/>
      <c r="N13" s="3652"/>
      <c r="O13" s="3334"/>
      <c r="P13" s="1116"/>
      <c r="Q13" s="3616"/>
      <c r="R13" s="3499"/>
      <c r="S13" s="3376"/>
      <c r="T13" s="4434"/>
      <c r="U13" s="4441"/>
      <c r="V13" s="3391"/>
      <c r="W13" s="4459"/>
      <c r="X13" s="3690"/>
      <c r="Y13" s="3400"/>
      <c r="Z13" s="4495"/>
      <c r="AA13" s="4517"/>
      <c r="AB13" s="3409"/>
    </row>
    <row r="14" spans="1:28" ht="12.75" hidden="1" customHeight="1">
      <c r="A14" s="30"/>
      <c r="K14" s="3336"/>
      <c r="L14" s="3347"/>
      <c r="M14" s="3348"/>
      <c r="N14" s="3652"/>
      <c r="O14" s="3334"/>
      <c r="P14" s="1116"/>
      <c r="Q14" s="3616"/>
      <c r="R14" s="3499"/>
      <c r="S14" s="3376"/>
      <c r="T14" s="4434"/>
      <c r="U14" s="4441"/>
      <c r="V14" s="3391"/>
      <c r="W14" s="4459"/>
      <c r="X14" s="3690"/>
      <c r="Y14" s="3400"/>
      <c r="Z14" s="4495"/>
      <c r="AA14" s="4517"/>
      <c r="AB14" s="3409"/>
    </row>
    <row r="15" spans="1:28" ht="12.75" hidden="1" customHeight="1">
      <c r="A15" s="30"/>
      <c r="K15" s="3336"/>
      <c r="L15" s="3347"/>
      <c r="M15" s="3348"/>
      <c r="N15" s="3652"/>
      <c r="O15" s="3334"/>
      <c r="P15" s="1116"/>
      <c r="Q15" s="3616"/>
      <c r="R15" s="3499"/>
      <c r="S15" s="3376"/>
      <c r="T15" s="4434"/>
      <c r="U15" s="4441"/>
      <c r="V15" s="3391"/>
      <c r="W15" s="4459"/>
      <c r="X15" s="3690"/>
      <c r="Y15" s="3400"/>
      <c r="Z15" s="4495"/>
      <c r="AA15" s="4517"/>
      <c r="AB15" s="3409"/>
    </row>
    <row r="16" spans="1:28" ht="12.75" hidden="1" customHeight="1">
      <c r="A16" s="56" t="s">
        <v>1720</v>
      </c>
      <c r="B16" t="s">
        <v>1714</v>
      </c>
      <c r="D16" s="122" t="s">
        <v>1538</v>
      </c>
      <c r="K16" s="3336"/>
      <c r="L16" s="3347"/>
      <c r="M16" s="3348"/>
      <c r="N16" s="3652"/>
      <c r="O16" s="3334"/>
      <c r="P16" s="1116"/>
      <c r="Q16" s="3616"/>
      <c r="R16" s="3499"/>
      <c r="S16" s="3376"/>
      <c r="T16" s="4434"/>
      <c r="U16" s="4441"/>
      <c r="V16" s="3391"/>
      <c r="W16" s="4459"/>
      <c r="X16" s="3690"/>
      <c r="Y16" s="3400"/>
      <c r="Z16" s="4495"/>
      <c r="AA16" s="4517"/>
      <c r="AB16" s="3409"/>
    </row>
    <row r="17" spans="1:28" ht="12.75" hidden="1" customHeight="1">
      <c r="A17" s="30"/>
      <c r="B17" s="45"/>
      <c r="E17" t="s">
        <v>1657</v>
      </c>
      <c r="K17" s="3336"/>
      <c r="L17" s="3347"/>
      <c r="M17" s="3348"/>
      <c r="N17" s="3652"/>
      <c r="O17" s="3334"/>
      <c r="P17" s="1116"/>
      <c r="Q17" s="3616"/>
      <c r="R17" s="3499"/>
      <c r="S17" s="3376"/>
      <c r="T17" s="4434"/>
      <c r="U17" s="4441"/>
      <c r="V17" s="3391"/>
      <c r="W17" s="4459"/>
      <c r="X17" s="3690"/>
      <c r="Y17" s="3400"/>
      <c r="Z17" s="4495"/>
      <c r="AA17" s="4517"/>
      <c r="AB17" s="3409"/>
    </row>
    <row r="18" spans="1:28" ht="12.75" hidden="1" customHeight="1">
      <c r="A18" s="30"/>
      <c r="E18" s="45" t="s">
        <v>806</v>
      </c>
      <c r="K18" s="3336"/>
      <c r="L18" s="3347"/>
      <c r="M18" s="3348"/>
      <c r="N18" s="3652"/>
      <c r="O18" s="3334"/>
      <c r="P18" s="1116"/>
      <c r="Q18" s="3616"/>
      <c r="R18" s="3499"/>
      <c r="S18" s="3376"/>
      <c r="T18" s="4434"/>
      <c r="U18" s="4441"/>
      <c r="V18" s="3391"/>
      <c r="W18" s="4459"/>
      <c r="X18" s="3690"/>
      <c r="Y18" s="3400"/>
      <c r="Z18" s="4495"/>
      <c r="AA18" s="4517"/>
      <c r="AB18" s="3409"/>
    </row>
    <row r="19" spans="1:28" ht="12.75" hidden="1" customHeight="1">
      <c r="A19" s="30"/>
      <c r="E19" t="s">
        <v>200</v>
      </c>
      <c r="K19" s="3336"/>
      <c r="L19" s="3347"/>
      <c r="M19" s="3348"/>
      <c r="N19" s="3652"/>
      <c r="O19" s="3334"/>
      <c r="P19" s="1116"/>
      <c r="Q19" s="3616"/>
      <c r="R19" s="3499"/>
      <c r="S19" s="3376"/>
      <c r="T19" s="4434"/>
      <c r="U19" s="4441"/>
      <c r="V19" s="3391"/>
      <c r="W19" s="4459"/>
      <c r="X19" s="3690"/>
      <c r="Y19" s="3400"/>
      <c r="Z19" s="4495"/>
      <c r="AA19" s="4517"/>
      <c r="AB19" s="3409"/>
    </row>
    <row r="20" spans="1:28" ht="12.75" hidden="1" customHeight="1">
      <c r="A20" s="56" t="s">
        <v>1721</v>
      </c>
      <c r="B20" t="s">
        <v>1715</v>
      </c>
      <c r="D20" s="122" t="s">
        <v>1538</v>
      </c>
      <c r="K20" s="3336"/>
      <c r="L20" s="3347"/>
      <c r="M20" s="3348"/>
      <c r="N20" s="3652"/>
      <c r="O20" s="3334"/>
      <c r="P20" s="1116"/>
      <c r="Q20" s="3616"/>
      <c r="R20" s="3499"/>
      <c r="S20" s="3376"/>
      <c r="T20" s="4434"/>
      <c r="U20" s="4441"/>
      <c r="V20" s="3391"/>
      <c r="W20" s="4459"/>
      <c r="X20" s="3690"/>
      <c r="Y20" s="3400"/>
      <c r="Z20" s="4495"/>
      <c r="AA20" s="4517"/>
      <c r="AB20" s="3409"/>
    </row>
    <row r="21" spans="1:28" ht="12.75" hidden="1" customHeight="1">
      <c r="A21" s="30"/>
      <c r="B21" s="45"/>
      <c r="E21" t="s">
        <v>1657</v>
      </c>
      <c r="K21" s="3336"/>
      <c r="L21" s="3347"/>
      <c r="M21" s="3348"/>
      <c r="N21" s="3652"/>
      <c r="O21" s="3334"/>
      <c r="P21" s="1116"/>
      <c r="Q21" s="3616"/>
      <c r="R21" s="3499"/>
      <c r="S21" s="3376"/>
      <c r="T21" s="4434"/>
      <c r="U21" s="4441"/>
      <c r="V21" s="3391"/>
      <c r="W21" s="4459"/>
      <c r="X21" s="3690"/>
      <c r="Y21" s="3400"/>
      <c r="Z21" s="4495"/>
      <c r="AA21" s="4517"/>
      <c r="AB21" s="3409"/>
    </row>
    <row r="22" spans="1:28" ht="12.75" hidden="1" customHeight="1">
      <c r="A22" s="30"/>
      <c r="E22" s="45" t="s">
        <v>806</v>
      </c>
      <c r="K22" s="3336"/>
      <c r="L22" s="3347"/>
      <c r="M22" s="3348"/>
      <c r="N22" s="3652"/>
      <c r="O22" s="3334"/>
      <c r="P22" s="1116"/>
      <c r="Q22" s="3616"/>
      <c r="R22" s="3499"/>
      <c r="S22" s="3376"/>
      <c r="T22" s="4434"/>
      <c r="U22" s="4441"/>
      <c r="V22" s="3391"/>
      <c r="W22" s="4459"/>
      <c r="X22" s="3690"/>
      <c r="Y22" s="3400"/>
      <c r="Z22" s="4495"/>
      <c r="AA22" s="4517"/>
      <c r="AB22" s="3409"/>
    </row>
    <row r="23" spans="1:28" ht="12.75" hidden="1" customHeight="1">
      <c r="A23" s="30"/>
      <c r="E23" t="s">
        <v>200</v>
      </c>
      <c r="K23" s="3336"/>
      <c r="L23" s="3347"/>
      <c r="M23" s="3348"/>
      <c r="N23" s="3652"/>
      <c r="O23" s="3334"/>
      <c r="P23" s="1116"/>
      <c r="Q23" s="3616"/>
      <c r="R23" s="3499"/>
      <c r="S23" s="3376"/>
      <c r="T23" s="4434"/>
      <c r="U23" s="4441"/>
      <c r="V23" s="3391"/>
      <c r="W23" s="4459"/>
      <c r="X23" s="3690"/>
      <c r="Y23" s="3400"/>
      <c r="Z23" s="4495"/>
      <c r="AA23" s="4517"/>
      <c r="AB23" s="3409"/>
    </row>
    <row r="24" spans="1:28" ht="12.75" hidden="1" customHeight="1">
      <c r="A24" s="56" t="s">
        <v>1722</v>
      </c>
      <c r="B24" t="s">
        <v>2277</v>
      </c>
      <c r="D24" s="122" t="s">
        <v>1538</v>
      </c>
      <c r="K24" s="3336"/>
      <c r="L24" s="3347"/>
      <c r="M24" s="3348"/>
      <c r="N24" s="3652"/>
      <c r="O24" s="3334"/>
      <c r="P24" s="1116"/>
      <c r="Q24" s="3616"/>
      <c r="R24" s="3499"/>
      <c r="S24" s="3376"/>
      <c r="T24" s="4434"/>
      <c r="U24" s="4441"/>
      <c r="V24" s="3391"/>
      <c r="W24" s="4459"/>
      <c r="X24" s="3690"/>
      <c r="Y24" s="3400"/>
      <c r="Z24" s="4495"/>
      <c r="AA24" s="4517"/>
      <c r="AB24" s="3409"/>
    </row>
    <row r="25" spans="1:28" ht="12.75" hidden="1" customHeight="1">
      <c r="A25" s="30"/>
      <c r="B25" s="45"/>
      <c r="E25" t="s">
        <v>1657</v>
      </c>
      <c r="K25" s="3336"/>
      <c r="L25" s="3347"/>
      <c r="M25" s="3348"/>
      <c r="N25" s="3652"/>
      <c r="O25" s="3334"/>
      <c r="P25" s="1116"/>
      <c r="Q25" s="3616"/>
      <c r="R25" s="3499"/>
      <c r="S25" s="3376"/>
      <c r="T25" s="4434"/>
      <c r="U25" s="4441"/>
      <c r="V25" s="3391"/>
      <c r="W25" s="4459"/>
      <c r="X25" s="3690"/>
      <c r="Y25" s="3400"/>
      <c r="Z25" s="4495"/>
      <c r="AA25" s="4517"/>
      <c r="AB25" s="3409"/>
    </row>
    <row r="26" spans="1:28" ht="12.75" hidden="1" customHeight="1">
      <c r="A26" s="30"/>
      <c r="E26" s="45" t="s">
        <v>806</v>
      </c>
      <c r="K26" s="3336"/>
      <c r="L26" s="3347"/>
      <c r="M26" s="3348"/>
      <c r="N26" s="3652"/>
      <c r="O26" s="3334"/>
      <c r="P26" s="1116"/>
      <c r="Q26" s="3616"/>
      <c r="R26" s="3499"/>
      <c r="S26" s="3376"/>
      <c r="T26" s="4434"/>
      <c r="U26" s="4441"/>
      <c r="V26" s="3391"/>
      <c r="W26" s="4459"/>
      <c r="X26" s="3690"/>
      <c r="Y26" s="3400"/>
      <c r="Z26" s="4495"/>
      <c r="AA26" s="4517"/>
      <c r="AB26" s="3409"/>
    </row>
    <row r="27" spans="1:28" ht="12.75" hidden="1" customHeight="1">
      <c r="A27" s="30"/>
      <c r="E27" t="s">
        <v>200</v>
      </c>
      <c r="K27" s="3336"/>
      <c r="L27" s="3347"/>
      <c r="M27" s="3348"/>
      <c r="N27" s="3652"/>
      <c r="O27" s="3334"/>
      <c r="P27" s="1116"/>
      <c r="Q27" s="3616"/>
      <c r="R27" s="3499"/>
      <c r="S27" s="3376"/>
      <c r="T27" s="4434"/>
      <c r="U27" s="4441"/>
      <c r="V27" s="3391"/>
      <c r="W27" s="4459"/>
      <c r="X27" s="3690"/>
      <c r="Y27" s="3400"/>
      <c r="Z27" s="4495"/>
      <c r="AA27" s="4517"/>
      <c r="AB27" s="3409"/>
    </row>
    <row r="28" spans="1:28" ht="12.75" hidden="1" customHeight="1">
      <c r="A28" s="56" t="s">
        <v>1723</v>
      </c>
      <c r="B28" t="s">
        <v>752</v>
      </c>
      <c r="D28" s="122" t="s">
        <v>1538</v>
      </c>
      <c r="K28" s="3336"/>
      <c r="L28" s="3347"/>
      <c r="M28" s="3348"/>
      <c r="N28" s="3652"/>
      <c r="O28" s="3334"/>
      <c r="P28" s="1116"/>
      <c r="Q28" s="3616"/>
      <c r="R28" s="3499"/>
      <c r="S28" s="3376"/>
      <c r="T28" s="4434"/>
      <c r="U28" s="4441"/>
      <c r="V28" s="3391"/>
      <c r="W28" s="4459"/>
      <c r="X28" s="3690"/>
      <c r="Y28" s="3400"/>
      <c r="Z28" s="4495"/>
      <c r="AA28" s="4517"/>
      <c r="AB28" s="3409"/>
    </row>
    <row r="29" spans="1:28" ht="12.75" hidden="1" customHeight="1">
      <c r="A29" s="30"/>
      <c r="B29" s="45"/>
      <c r="E29" t="s">
        <v>1657</v>
      </c>
      <c r="K29" s="3336"/>
      <c r="L29" s="3347"/>
      <c r="M29" s="3348"/>
      <c r="N29" s="3652"/>
      <c r="O29" s="3334"/>
      <c r="P29" s="1116"/>
      <c r="Q29" s="3616"/>
      <c r="R29" s="3499"/>
      <c r="S29" s="3376"/>
      <c r="T29" s="4434"/>
      <c r="U29" s="4441"/>
      <c r="V29" s="3391"/>
      <c r="W29" s="4459"/>
      <c r="X29" s="3690"/>
      <c r="Y29" s="3400"/>
      <c r="Z29" s="4495"/>
      <c r="AA29" s="4517"/>
      <c r="AB29" s="3409"/>
    </row>
    <row r="30" spans="1:28" ht="12.75" hidden="1" customHeight="1">
      <c r="A30" s="30"/>
      <c r="E30" s="45" t="s">
        <v>806</v>
      </c>
      <c r="K30" s="3336"/>
      <c r="L30" s="3347"/>
      <c r="M30" s="3348"/>
      <c r="N30" s="3652"/>
      <c r="O30" s="3334"/>
      <c r="P30" s="1116"/>
      <c r="Q30" s="3616"/>
      <c r="R30" s="3499"/>
      <c r="S30" s="3376"/>
      <c r="T30" s="4434"/>
      <c r="U30" s="4441"/>
      <c r="V30" s="3391"/>
      <c r="W30" s="4459"/>
      <c r="X30" s="3690"/>
      <c r="Y30" s="3400"/>
      <c r="Z30" s="4495"/>
      <c r="AA30" s="4517"/>
      <c r="AB30" s="3409"/>
    </row>
    <row r="31" spans="1:28" ht="12.75" hidden="1" customHeight="1">
      <c r="A31" s="30"/>
      <c r="E31" t="s">
        <v>200</v>
      </c>
      <c r="K31" s="3336"/>
      <c r="L31" s="3347"/>
      <c r="M31" s="3348"/>
      <c r="N31" s="3652"/>
      <c r="O31" s="3334"/>
      <c r="P31" s="1116"/>
      <c r="Q31" s="3616"/>
      <c r="R31" s="3499"/>
      <c r="S31" s="3376"/>
      <c r="T31" s="4434"/>
      <c r="U31" s="4441"/>
      <c r="V31" s="3391"/>
      <c r="W31" s="4459"/>
      <c r="X31" s="3690"/>
      <c r="Y31" s="3400"/>
      <c r="Z31" s="4495"/>
      <c r="AA31" s="4517"/>
      <c r="AB31" s="3409"/>
    </row>
    <row r="32" spans="1:28" ht="12.75" hidden="1" customHeight="1">
      <c r="A32" s="56" t="s">
        <v>2550</v>
      </c>
      <c r="B32" t="s">
        <v>2551</v>
      </c>
      <c r="D32" s="122" t="s">
        <v>1538</v>
      </c>
      <c r="K32" s="3336"/>
      <c r="L32" s="3347"/>
      <c r="M32" s="3348"/>
      <c r="N32" s="3652"/>
      <c r="O32" s="3334"/>
      <c r="P32" s="1116"/>
      <c r="Q32" s="3616"/>
      <c r="R32" s="3499"/>
      <c r="S32" s="3376"/>
      <c r="T32" s="4434"/>
      <c r="U32" s="4441"/>
      <c r="V32" s="3391"/>
      <c r="W32" s="4459"/>
      <c r="X32" s="3690"/>
      <c r="Y32" s="3400"/>
      <c r="Z32" s="4495"/>
      <c r="AA32" s="4517"/>
      <c r="AB32" s="3409"/>
    </row>
    <row r="33" spans="1:28" ht="12.75" hidden="1" customHeight="1">
      <c r="A33" s="30"/>
      <c r="B33" s="45"/>
      <c r="E33" t="s">
        <v>1657</v>
      </c>
      <c r="K33" s="3336"/>
      <c r="L33" s="3347"/>
      <c r="M33" s="3348"/>
      <c r="N33" s="3652"/>
      <c r="O33" s="3334"/>
      <c r="P33" s="1116"/>
      <c r="Q33" s="3616"/>
      <c r="R33" s="3499"/>
      <c r="S33" s="3376"/>
      <c r="T33" s="4434"/>
      <c r="U33" s="4441"/>
      <c r="V33" s="3391"/>
      <c r="W33" s="4459"/>
      <c r="X33" s="3690"/>
      <c r="Y33" s="3400"/>
      <c r="Z33" s="4495"/>
      <c r="AA33" s="4517"/>
      <c r="AB33" s="3409"/>
    </row>
    <row r="34" spans="1:28" ht="12.75" hidden="1" customHeight="1">
      <c r="A34" s="30"/>
      <c r="E34" s="45" t="s">
        <v>806</v>
      </c>
      <c r="K34" s="3336"/>
      <c r="L34" s="3347"/>
      <c r="M34" s="3348"/>
      <c r="N34" s="3652"/>
      <c r="O34" s="3334"/>
      <c r="P34" s="1116"/>
      <c r="Q34" s="3616"/>
      <c r="R34" s="3499"/>
      <c r="S34" s="3376"/>
      <c r="T34" s="4434"/>
      <c r="U34" s="4441"/>
      <c r="V34" s="3391"/>
      <c r="W34" s="4459"/>
      <c r="X34" s="3690"/>
      <c r="Y34" s="3400"/>
      <c r="Z34" s="4495"/>
      <c r="AA34" s="4517"/>
      <c r="AB34" s="3409"/>
    </row>
    <row r="35" spans="1:28" ht="12.75" hidden="1" customHeight="1">
      <c r="A35" s="30"/>
      <c r="E35" t="s">
        <v>200</v>
      </c>
      <c r="K35" s="3336"/>
      <c r="L35" s="3347"/>
      <c r="M35" s="3348"/>
      <c r="N35" s="3652"/>
      <c r="O35" s="3334"/>
      <c r="P35" s="1116"/>
      <c r="Q35" s="3616"/>
      <c r="R35" s="3499"/>
      <c r="S35" s="3376"/>
      <c r="T35" s="4434"/>
      <c r="U35" s="4441"/>
      <c r="V35" s="3391"/>
      <c r="W35" s="4459"/>
      <c r="X35" s="3690"/>
      <c r="Y35" s="3400"/>
      <c r="Z35" s="4495"/>
      <c r="AA35" s="4517"/>
      <c r="AB35" s="3409"/>
    </row>
    <row r="36" spans="1:28" ht="12.75" hidden="1" customHeight="1">
      <c r="A36" s="56" t="s">
        <v>1643</v>
      </c>
      <c r="B36" t="s">
        <v>269</v>
      </c>
      <c r="D36" s="122" t="s">
        <v>1538</v>
      </c>
      <c r="K36" s="3336"/>
      <c r="L36" s="3347"/>
      <c r="M36" s="3348"/>
      <c r="N36" s="3652"/>
      <c r="O36" s="3334"/>
      <c r="P36" s="1116"/>
      <c r="Q36" s="3616"/>
      <c r="R36" s="3499"/>
      <c r="S36" s="3376"/>
      <c r="T36" s="4434"/>
      <c r="U36" s="4441"/>
      <c r="V36" s="3391"/>
      <c r="W36" s="4459"/>
      <c r="X36" s="3690"/>
      <c r="Y36" s="3400"/>
      <c r="Z36" s="4495"/>
      <c r="AA36" s="4517"/>
      <c r="AB36" s="3409"/>
    </row>
    <row r="37" spans="1:28" ht="12.75" hidden="1" customHeight="1">
      <c r="A37" s="30"/>
      <c r="B37" s="45"/>
      <c r="E37" t="s">
        <v>1657</v>
      </c>
      <c r="K37" s="3336"/>
      <c r="L37" s="3347"/>
      <c r="M37" s="3348"/>
      <c r="N37" s="3652"/>
      <c r="O37" s="3334"/>
      <c r="P37" s="1116"/>
      <c r="Q37" s="3616"/>
      <c r="R37" s="3499"/>
      <c r="S37" s="3376"/>
      <c r="T37" s="4434"/>
      <c r="U37" s="4441"/>
      <c r="V37" s="3391"/>
      <c r="W37" s="4459"/>
      <c r="X37" s="3690"/>
      <c r="Y37" s="3400"/>
      <c r="Z37" s="4495"/>
      <c r="AA37" s="4517"/>
      <c r="AB37" s="3409"/>
    </row>
    <row r="38" spans="1:28" ht="12.75" hidden="1" customHeight="1">
      <c r="A38" s="30"/>
      <c r="E38" s="45" t="s">
        <v>806</v>
      </c>
      <c r="K38" s="3336"/>
      <c r="L38" s="3347"/>
      <c r="M38" s="3348"/>
      <c r="N38" s="3652"/>
      <c r="O38" s="3334"/>
      <c r="P38" s="1116"/>
      <c r="Q38" s="3616"/>
      <c r="R38" s="3499"/>
      <c r="S38" s="3376"/>
      <c r="T38" s="4434"/>
      <c r="U38" s="4441"/>
      <c r="V38" s="3391"/>
      <c r="W38" s="4459"/>
      <c r="X38" s="3690"/>
      <c r="Y38" s="3400"/>
      <c r="Z38" s="4495"/>
      <c r="AA38" s="4517"/>
      <c r="AB38" s="3409"/>
    </row>
    <row r="39" spans="1:28" ht="12.75" hidden="1" customHeight="1">
      <c r="A39" s="30"/>
      <c r="E39" t="s">
        <v>200</v>
      </c>
      <c r="K39" s="3336"/>
      <c r="L39" s="3347"/>
      <c r="M39" s="3348"/>
      <c r="N39" s="3652"/>
      <c r="O39" s="3334"/>
      <c r="P39" s="1116"/>
      <c r="Q39" s="3616"/>
      <c r="R39" s="3499"/>
      <c r="S39" s="3376"/>
      <c r="T39" s="4434"/>
      <c r="U39" s="4441"/>
      <c r="V39" s="3391"/>
      <c r="W39" s="4459"/>
      <c r="X39" s="3690"/>
      <c r="Y39" s="3400"/>
      <c r="Z39" s="4495"/>
      <c r="AA39" s="4517"/>
      <c r="AB39" s="3409"/>
    </row>
    <row r="40" spans="1:28" ht="12.75" hidden="1" customHeight="1">
      <c r="A40" s="56" t="s">
        <v>1644</v>
      </c>
      <c r="B40" t="s">
        <v>270</v>
      </c>
      <c r="D40" s="122" t="s">
        <v>1538</v>
      </c>
      <c r="K40" s="3336"/>
      <c r="L40" s="3347"/>
      <c r="M40" s="3348"/>
      <c r="N40" s="3652"/>
      <c r="O40" s="3334"/>
      <c r="P40" s="1116"/>
      <c r="Q40" s="3616"/>
      <c r="R40" s="3499"/>
      <c r="S40" s="3376"/>
      <c r="T40" s="4434"/>
      <c r="U40" s="4441"/>
      <c r="V40" s="3391"/>
      <c r="W40" s="4459"/>
      <c r="X40" s="3690"/>
      <c r="Y40" s="3400"/>
      <c r="Z40" s="4495"/>
      <c r="AA40" s="4517"/>
      <c r="AB40" s="3409"/>
    </row>
    <row r="41" spans="1:28" ht="12.75" hidden="1" customHeight="1">
      <c r="A41" s="30"/>
      <c r="B41" s="45"/>
      <c r="E41" t="s">
        <v>1657</v>
      </c>
      <c r="K41" s="3336"/>
      <c r="L41" s="3347"/>
      <c r="M41" s="3348"/>
      <c r="N41" s="3652"/>
      <c r="O41" s="3334"/>
      <c r="P41" s="1116"/>
      <c r="Q41" s="3616"/>
      <c r="R41" s="3499"/>
      <c r="S41" s="3376"/>
      <c r="T41" s="4434"/>
      <c r="U41" s="4441"/>
      <c r="V41" s="3391"/>
      <c r="W41" s="4459"/>
      <c r="X41" s="3690"/>
      <c r="Y41" s="3400"/>
      <c r="Z41" s="4495"/>
      <c r="AA41" s="4517"/>
      <c r="AB41" s="3409"/>
    </row>
    <row r="42" spans="1:28" ht="12.75" hidden="1" customHeight="1">
      <c r="A42" s="30"/>
      <c r="E42" s="45" t="s">
        <v>806</v>
      </c>
      <c r="K42" s="3336"/>
      <c r="L42" s="3347"/>
      <c r="M42" s="3348"/>
      <c r="N42" s="3652"/>
      <c r="O42" s="3334"/>
      <c r="P42" s="1116"/>
      <c r="Q42" s="3616"/>
      <c r="R42" s="3499"/>
      <c r="S42" s="3376"/>
      <c r="T42" s="4434"/>
      <c r="U42" s="4441"/>
      <c r="V42" s="3391"/>
      <c r="W42" s="4459"/>
      <c r="X42" s="3690"/>
      <c r="Y42" s="3400"/>
      <c r="Z42" s="4495"/>
      <c r="AA42" s="4517"/>
      <c r="AB42" s="3409"/>
    </row>
    <row r="43" spans="1:28" ht="12.75" hidden="1" customHeight="1">
      <c r="A43" s="30"/>
      <c r="E43" t="s">
        <v>200</v>
      </c>
      <c r="K43" s="3336"/>
      <c r="L43" s="3347"/>
      <c r="M43" s="3348"/>
      <c r="N43" s="3652"/>
      <c r="O43" s="3334"/>
      <c r="P43" s="1116"/>
      <c r="Q43" s="3616"/>
      <c r="R43" s="3499"/>
      <c r="S43" s="3376"/>
      <c r="T43" s="4434"/>
      <c r="U43" s="4441"/>
      <c r="V43" s="3391"/>
      <c r="W43" s="4459"/>
      <c r="X43" s="3690"/>
      <c r="Y43" s="3400"/>
      <c r="Z43" s="4495"/>
      <c r="AA43" s="4517"/>
      <c r="AB43" s="3409"/>
    </row>
    <row r="44" spans="1:28" ht="12.75" hidden="1" customHeight="1">
      <c r="A44" s="56" t="s">
        <v>2307</v>
      </c>
      <c r="B44" t="s">
        <v>1336</v>
      </c>
      <c r="D44" s="122" t="s">
        <v>1538</v>
      </c>
      <c r="K44" s="3336"/>
      <c r="L44" s="3347"/>
      <c r="M44" s="3348"/>
      <c r="N44" s="3652"/>
      <c r="O44" s="3334"/>
      <c r="P44" s="1116"/>
      <c r="Q44" s="3616"/>
      <c r="R44" s="3499"/>
      <c r="S44" s="3376"/>
      <c r="T44" s="4434"/>
      <c r="U44" s="4441"/>
      <c r="V44" s="3391"/>
      <c r="W44" s="4459"/>
      <c r="X44" s="3690"/>
      <c r="Y44" s="3400"/>
      <c r="Z44" s="4495"/>
      <c r="AA44" s="4517"/>
      <c r="AB44" s="3409"/>
    </row>
    <row r="45" spans="1:28" ht="12.75" hidden="1" customHeight="1">
      <c r="A45" s="30"/>
      <c r="B45" s="45"/>
      <c r="E45" t="s">
        <v>1657</v>
      </c>
      <c r="K45" s="3336"/>
      <c r="L45" s="3347"/>
      <c r="M45" s="3348"/>
      <c r="N45" s="3652"/>
      <c r="O45" s="3334"/>
      <c r="P45" s="1116"/>
      <c r="Q45" s="3616"/>
      <c r="R45" s="3499"/>
      <c r="S45" s="3376"/>
      <c r="T45" s="4434"/>
      <c r="U45" s="4441"/>
      <c r="V45" s="3391"/>
      <c r="W45" s="4459"/>
      <c r="X45" s="3690"/>
      <c r="Y45" s="3400"/>
      <c r="Z45" s="4495"/>
      <c r="AA45" s="4517"/>
      <c r="AB45" s="3409"/>
    </row>
    <row r="46" spans="1:28" ht="12.75" hidden="1" customHeight="1">
      <c r="A46" s="30"/>
      <c r="E46" s="45" t="s">
        <v>806</v>
      </c>
      <c r="K46" s="3336"/>
      <c r="L46" s="3347"/>
      <c r="M46" s="3348"/>
      <c r="N46" s="3652"/>
      <c r="O46" s="3334"/>
      <c r="P46" s="1116"/>
      <c r="Q46" s="3616"/>
      <c r="R46" s="3499"/>
      <c r="S46" s="3376"/>
      <c r="T46" s="4434"/>
      <c r="U46" s="4441"/>
      <c r="V46" s="3391"/>
      <c r="W46" s="4459"/>
      <c r="X46" s="3690"/>
      <c r="Y46" s="3400"/>
      <c r="Z46" s="4495"/>
      <c r="AA46" s="4517"/>
      <c r="AB46" s="3409"/>
    </row>
    <row r="47" spans="1:28" ht="12.75" hidden="1" customHeight="1">
      <c r="A47" s="30"/>
      <c r="E47" t="s">
        <v>200</v>
      </c>
      <c r="K47" s="3336"/>
      <c r="L47" s="3347"/>
      <c r="M47" s="3348"/>
      <c r="N47" s="3652"/>
      <c r="O47" s="3334"/>
      <c r="P47" s="1116"/>
      <c r="Q47" s="3616"/>
      <c r="R47" s="3499"/>
      <c r="S47" s="3376"/>
      <c r="T47" s="4434"/>
      <c r="U47" s="4441"/>
      <c r="V47" s="3391"/>
      <c r="W47" s="4459"/>
      <c r="X47" s="3690"/>
      <c r="Y47" s="3400"/>
      <c r="Z47" s="4495"/>
      <c r="AA47" s="4517"/>
      <c r="AB47" s="3409"/>
    </row>
    <row r="48" spans="1:28" ht="12.75" hidden="1" customHeight="1">
      <c r="A48" s="56" t="s">
        <v>2442</v>
      </c>
      <c r="B48" t="s">
        <v>805</v>
      </c>
      <c r="D48" s="122" t="s">
        <v>1538</v>
      </c>
      <c r="K48" s="3336"/>
      <c r="L48" s="3347"/>
      <c r="M48" s="3348"/>
      <c r="N48" s="3652"/>
      <c r="O48" s="3334"/>
      <c r="P48" s="1116"/>
      <c r="Q48" s="3616"/>
      <c r="R48" s="3499"/>
      <c r="S48" s="3376"/>
      <c r="T48" s="4434"/>
      <c r="U48" s="4441"/>
      <c r="V48" s="3391"/>
      <c r="W48" s="4459"/>
      <c r="X48" s="3690"/>
      <c r="Y48" s="3400"/>
      <c r="Z48" s="4495"/>
      <c r="AA48" s="4517"/>
      <c r="AB48" s="3409"/>
    </row>
    <row r="49" spans="1:28" ht="12.75" hidden="1" customHeight="1">
      <c r="A49" s="30"/>
      <c r="B49" s="45"/>
      <c r="E49" t="s">
        <v>1657</v>
      </c>
      <c r="K49" s="3336"/>
      <c r="L49" s="3347"/>
      <c r="M49" s="3348"/>
      <c r="N49" s="3652"/>
      <c r="O49" s="3334"/>
      <c r="P49" s="1116"/>
      <c r="Q49" s="3616"/>
      <c r="R49" s="3499"/>
      <c r="S49" s="3376"/>
      <c r="T49" s="4434"/>
      <c r="U49" s="4441"/>
      <c r="V49" s="3391"/>
      <c r="W49" s="4459"/>
      <c r="X49" s="3690"/>
      <c r="Y49" s="3400"/>
      <c r="Z49" s="4495"/>
      <c r="AA49" s="4517"/>
      <c r="AB49" s="3409"/>
    </row>
    <row r="50" spans="1:28" ht="12.75" hidden="1" customHeight="1">
      <c r="A50" s="30"/>
      <c r="E50" s="45" t="s">
        <v>806</v>
      </c>
      <c r="K50" s="3336"/>
      <c r="L50" s="3347"/>
      <c r="M50" s="3348"/>
      <c r="N50" s="3652"/>
      <c r="O50" s="3334"/>
      <c r="P50" s="1116"/>
      <c r="Q50" s="3616"/>
      <c r="R50" s="3499"/>
      <c r="S50" s="3376"/>
      <c r="T50" s="4434"/>
      <c r="U50" s="4441"/>
      <c r="V50" s="3391"/>
      <c r="W50" s="4459"/>
      <c r="X50" s="3690"/>
      <c r="Y50" s="3400"/>
      <c r="Z50" s="4495"/>
      <c r="AA50" s="4517"/>
      <c r="AB50" s="3409"/>
    </row>
    <row r="51" spans="1:28" ht="12.75" hidden="1" customHeight="1">
      <c r="A51" s="30"/>
      <c r="E51" t="s">
        <v>200</v>
      </c>
      <c r="K51" s="3336"/>
      <c r="L51" s="3347"/>
      <c r="M51" s="3348"/>
      <c r="N51" s="3652"/>
      <c r="O51" s="3334"/>
      <c r="P51" s="1116"/>
      <c r="Q51" s="3616"/>
      <c r="R51" s="3499"/>
      <c r="S51" s="3376"/>
      <c r="T51" s="4434"/>
      <c r="U51" s="4441"/>
      <c r="V51" s="3391"/>
      <c r="W51" s="4459"/>
      <c r="X51" s="3690"/>
      <c r="Y51" s="3400"/>
      <c r="Z51" s="4495"/>
      <c r="AA51" s="4517"/>
      <c r="AB51" s="3409"/>
    </row>
    <row r="52" spans="1:28" ht="12.75" hidden="1" customHeight="1">
      <c r="A52" s="30"/>
      <c r="K52" s="3336"/>
      <c r="L52" s="3347"/>
      <c r="M52" s="3348"/>
      <c r="N52" s="3652"/>
      <c r="O52" s="3334"/>
      <c r="P52" s="1116"/>
      <c r="Q52" s="3616"/>
      <c r="R52" s="3499"/>
      <c r="S52" s="3376"/>
      <c r="T52" s="4434"/>
      <c r="U52" s="4441"/>
      <c r="V52" s="3391"/>
      <c r="W52" s="4459"/>
      <c r="X52" s="3690"/>
      <c r="Y52" s="3400"/>
      <c r="Z52" s="4495"/>
      <c r="AA52" s="4517"/>
      <c r="AB52" s="3409"/>
    </row>
    <row r="53" spans="1:28" ht="12.75" hidden="1" customHeight="1">
      <c r="A53" s="30"/>
      <c r="E53" t="s">
        <v>2974</v>
      </c>
      <c r="K53" s="3336"/>
      <c r="L53" s="3347"/>
      <c r="M53" s="3348"/>
      <c r="N53" s="3652"/>
      <c r="O53" s="3334"/>
      <c r="P53" s="1116"/>
      <c r="Q53" s="3616"/>
      <c r="R53" s="3499"/>
      <c r="S53" s="3376"/>
      <c r="T53" s="4434"/>
      <c r="U53" s="4441"/>
      <c r="V53" s="3391"/>
      <c r="W53" s="4459"/>
      <c r="X53" s="3690"/>
      <c r="Y53" s="3400"/>
      <c r="Z53" s="4495"/>
      <c r="AA53" s="4517"/>
      <c r="AB53" s="3409"/>
    </row>
    <row r="54" spans="1:28" ht="12.75" customHeight="1">
      <c r="A54" s="30"/>
      <c r="H54" s="2071" t="s">
        <v>3853</v>
      </c>
      <c r="I54" s="2071" t="s">
        <v>3854</v>
      </c>
      <c r="J54" s="2071" t="s">
        <v>3864</v>
      </c>
      <c r="K54" s="3337" t="s">
        <v>3854</v>
      </c>
      <c r="L54" s="3349" t="s">
        <v>3853</v>
      </c>
      <c r="M54" s="3350" t="s">
        <v>3853</v>
      </c>
      <c r="N54" s="4382" t="s">
        <v>3853</v>
      </c>
      <c r="O54" s="4399" t="s">
        <v>3854</v>
      </c>
      <c r="P54" s="4391" t="s">
        <v>3853</v>
      </c>
      <c r="Q54" s="4416" t="s">
        <v>3853</v>
      </c>
      <c r="R54" s="4409" t="s">
        <v>3854</v>
      </c>
      <c r="S54" s="3377" t="s">
        <v>3853</v>
      </c>
      <c r="T54" s="4452" t="s">
        <v>3853</v>
      </c>
      <c r="U54" s="4442" t="s">
        <v>3854</v>
      </c>
      <c r="V54" s="4424" t="s">
        <v>3853</v>
      </c>
      <c r="W54" s="4460" t="s">
        <v>3853</v>
      </c>
      <c r="X54" s="4480" t="s">
        <v>3854</v>
      </c>
      <c r="Y54" s="4471" t="s">
        <v>3853</v>
      </c>
      <c r="Z54" s="4496" t="s">
        <v>3853</v>
      </c>
      <c r="AA54" s="4489" t="s">
        <v>3854</v>
      </c>
      <c r="AB54" s="4507" t="s">
        <v>3853</v>
      </c>
    </row>
    <row r="55" spans="1:28" ht="12.75" customHeight="1">
      <c r="A55" s="30"/>
      <c r="H55" s="2073" t="s">
        <v>3138</v>
      </c>
      <c r="I55" s="2074" t="s">
        <v>3138</v>
      </c>
      <c r="J55" s="2073" t="s">
        <v>3138</v>
      </c>
      <c r="K55" s="2704" t="s">
        <v>3138</v>
      </c>
      <c r="L55" s="3351" t="s">
        <v>3225</v>
      </c>
      <c r="M55" s="3352" t="s">
        <v>3225</v>
      </c>
      <c r="N55" s="4383" t="s">
        <v>3284</v>
      </c>
      <c r="O55" s="4400" t="s">
        <v>3284</v>
      </c>
      <c r="P55" s="4392" t="s">
        <v>3284</v>
      </c>
      <c r="Q55" s="4417" t="s">
        <v>3922</v>
      </c>
      <c r="R55" s="3609" t="s">
        <v>3922</v>
      </c>
      <c r="S55" s="3378" t="s">
        <v>3922</v>
      </c>
      <c r="T55" s="4435" t="s">
        <v>6374</v>
      </c>
      <c r="U55" s="3557" t="s">
        <v>6374</v>
      </c>
      <c r="V55" s="4425" t="s">
        <v>6374</v>
      </c>
      <c r="W55" s="4461" t="s">
        <v>6939</v>
      </c>
      <c r="X55" s="4481" t="s">
        <v>6939</v>
      </c>
      <c r="Y55" s="4472" t="str">
        <f>W55</f>
        <v>2022-23</v>
      </c>
      <c r="Z55" s="4497" t="s">
        <v>8157</v>
      </c>
      <c r="AA55" s="4490" t="s">
        <v>8157</v>
      </c>
      <c r="AB55" s="4508" t="s">
        <v>8157</v>
      </c>
    </row>
    <row r="56" spans="1:28" ht="12.75" customHeight="1">
      <c r="A56" s="30"/>
      <c r="H56" s="2075" t="s">
        <v>2078</v>
      </c>
      <c r="I56" s="2076" t="s">
        <v>2078</v>
      </c>
      <c r="J56" s="2075" t="s">
        <v>2079</v>
      </c>
      <c r="K56" s="2704" t="s">
        <v>3891</v>
      </c>
      <c r="L56" s="1791" t="s">
        <v>2078</v>
      </c>
      <c r="M56" s="3353" t="s">
        <v>2079</v>
      </c>
      <c r="N56" s="1792" t="s">
        <v>2078</v>
      </c>
      <c r="O56" s="3333" t="s">
        <v>2078</v>
      </c>
      <c r="P56" s="3630" t="s">
        <v>2079</v>
      </c>
      <c r="Q56" s="1793" t="s">
        <v>2078</v>
      </c>
      <c r="R56" s="3536" t="s">
        <v>2078</v>
      </c>
      <c r="S56" s="3379" t="s">
        <v>2079</v>
      </c>
      <c r="T56" s="1794" t="s">
        <v>2078</v>
      </c>
      <c r="U56" s="3558" t="s">
        <v>2078</v>
      </c>
      <c r="V56" s="4426" t="s">
        <v>2079</v>
      </c>
      <c r="W56" s="1795" t="s">
        <v>2078</v>
      </c>
      <c r="X56" s="3555" t="s">
        <v>2078</v>
      </c>
      <c r="Y56" s="4473" t="s">
        <v>2079</v>
      </c>
      <c r="Z56" s="1796" t="s">
        <v>2078</v>
      </c>
      <c r="AA56" s="4491" t="s">
        <v>2078</v>
      </c>
      <c r="AB56" s="4509" t="s">
        <v>2079</v>
      </c>
    </row>
    <row r="57" spans="1:28" ht="12.75" customHeight="1">
      <c r="A57" s="30"/>
      <c r="H57" s="2077" t="s">
        <v>2077</v>
      </c>
      <c r="I57" s="2078" t="s">
        <v>2077</v>
      </c>
      <c r="J57" s="2077" t="s">
        <v>2077</v>
      </c>
      <c r="K57" s="2704" t="s">
        <v>2077</v>
      </c>
      <c r="L57" s="3354" t="s">
        <v>2077</v>
      </c>
      <c r="M57" s="3355" t="s">
        <v>2077</v>
      </c>
      <c r="N57" s="4384" t="s">
        <v>2077</v>
      </c>
      <c r="O57" s="4401" t="s">
        <v>2077</v>
      </c>
      <c r="P57" s="4393" t="s">
        <v>2077</v>
      </c>
      <c r="Q57" s="4418" t="s">
        <v>2077</v>
      </c>
      <c r="R57" s="4410" t="s">
        <v>2077</v>
      </c>
      <c r="S57" s="3380" t="s">
        <v>2077</v>
      </c>
      <c r="T57" s="4436" t="s">
        <v>2077</v>
      </c>
      <c r="U57" s="4443" t="s">
        <v>2077</v>
      </c>
      <c r="V57" s="4427" t="s">
        <v>2077</v>
      </c>
      <c r="W57" s="4462" t="s">
        <v>2077</v>
      </c>
      <c r="X57" s="4482" t="s">
        <v>2077</v>
      </c>
      <c r="Y57" s="4474" t="s">
        <v>2077</v>
      </c>
      <c r="Z57" s="4498" t="s">
        <v>2077</v>
      </c>
      <c r="AA57" s="4492" t="s">
        <v>2077</v>
      </c>
      <c r="AB57" s="4510" t="s">
        <v>2077</v>
      </c>
    </row>
    <row r="58" spans="1:28" ht="12.75" customHeight="1">
      <c r="A58" s="31" t="s">
        <v>2187</v>
      </c>
      <c r="B58" t="s">
        <v>103</v>
      </c>
      <c r="H58" s="2079">
        <f>IF('Data Entry - SOF'!C19&lt;400,400,'Data Entry - SOF'!C19)</f>
        <v>400</v>
      </c>
      <c r="I58" s="2079">
        <f>H58</f>
        <v>400</v>
      </c>
      <c r="J58" s="2079">
        <f>H58</f>
        <v>400</v>
      </c>
      <c r="K58" s="3338">
        <f>J58</f>
        <v>400</v>
      </c>
      <c r="L58" s="3356">
        <f>IF('Data Entry - SOF'!E19&lt;400,400,'Data Entry - SOF'!E19)</f>
        <v>400</v>
      </c>
      <c r="M58" s="3357">
        <f>L58</f>
        <v>400</v>
      </c>
      <c r="N58" s="4385">
        <f>IF('Data Entry - SOF'!K19&lt;400,400,'Data Entry - SOF'!K19)</f>
        <v>400</v>
      </c>
      <c r="O58" s="4402">
        <f>N58</f>
        <v>400</v>
      </c>
      <c r="P58" s="4394">
        <f>N58</f>
        <v>400</v>
      </c>
      <c r="Q58" s="4419">
        <f>IF('Data Entry - SOF'!M19&lt;400,400,'Data Entry - SOF'!M19)</f>
        <v>400</v>
      </c>
      <c r="R58" s="4411">
        <f>Q58</f>
        <v>400</v>
      </c>
      <c r="S58" s="3381">
        <f>Q58</f>
        <v>400</v>
      </c>
      <c r="T58" s="4453">
        <f>IF('Data Entry - SOF'!O19&lt;400,400,'Data Entry - SOF'!O19)</f>
        <v>400</v>
      </c>
      <c r="U58" s="4444">
        <f>T58</f>
        <v>400</v>
      </c>
      <c r="V58" s="4428">
        <f>T58</f>
        <v>400</v>
      </c>
      <c r="W58" s="4463">
        <f>IF('Data Entry - SOF'!Q19&lt;400,400,'Data Entry - SOF'!Q19)</f>
        <v>400</v>
      </c>
      <c r="X58" s="4483">
        <f>W58</f>
        <v>400</v>
      </c>
      <c r="Y58" s="4475">
        <f>W58</f>
        <v>400</v>
      </c>
      <c r="Z58" s="4499">
        <f>IF('Data Entry - SOF'!S19&lt;400,400,'Data Entry - SOF'!S19)</f>
        <v>400</v>
      </c>
      <c r="AA58" s="4518">
        <f>Z58</f>
        <v>400</v>
      </c>
      <c r="AB58" s="4511">
        <f>Z58</f>
        <v>400</v>
      </c>
    </row>
    <row r="59" spans="1:28" ht="12.75" customHeight="1">
      <c r="A59" s="31"/>
      <c r="K59" s="3336"/>
      <c r="L59" s="3347"/>
      <c r="M59" s="3348"/>
      <c r="N59" s="3652"/>
      <c r="O59" s="3334"/>
      <c r="P59" s="1116"/>
      <c r="Q59" s="3616"/>
      <c r="R59" s="3499"/>
      <c r="S59" s="3376"/>
      <c r="T59" s="4434"/>
      <c r="U59" s="4441"/>
      <c r="V59" s="3391"/>
      <c r="W59" s="4459"/>
      <c r="X59" s="3690"/>
      <c r="Y59" s="3400"/>
      <c r="Z59" s="4495"/>
      <c r="AA59" s="4517"/>
      <c r="AB59" s="3409"/>
    </row>
    <row r="60" spans="1:28" ht="12.75" customHeight="1">
      <c r="A60" s="31" t="s">
        <v>2188</v>
      </c>
      <c r="B60" t="s">
        <v>9445</v>
      </c>
      <c r="H60" s="2081">
        <f>'Data Entry - SOF'!C76</f>
        <v>0</v>
      </c>
      <c r="I60" s="2081">
        <f>'Data Entry - SOF'!C78</f>
        <v>0</v>
      </c>
      <c r="J60" s="2081">
        <f>H60</f>
        <v>0</v>
      </c>
      <c r="K60" s="3339">
        <f>I60</f>
        <v>0</v>
      </c>
      <c r="L60" s="3358">
        <f>'Data Entry - SOF'!E76</f>
        <v>0</v>
      </c>
      <c r="M60" s="4525">
        <f>L60</f>
        <v>0</v>
      </c>
      <c r="N60" s="4386">
        <f>'Data Entry - SOF'!K79</f>
        <v>0</v>
      </c>
      <c r="O60" s="4403">
        <f>'Data Entry - SOF'!K80</f>
        <v>0</v>
      </c>
      <c r="P60" s="4395">
        <f>N60</f>
        <v>0</v>
      </c>
      <c r="Q60" s="4420">
        <f>'Data Entry - SOF'!M79</f>
        <v>0</v>
      </c>
      <c r="R60" s="4412">
        <f>'Data Entry - SOF'!M80</f>
        <v>0</v>
      </c>
      <c r="S60" s="3382">
        <f>Q60</f>
        <v>0</v>
      </c>
      <c r="T60" s="4454">
        <f>'Data Entry - SOF'!O79</f>
        <v>0</v>
      </c>
      <c r="U60" s="4445">
        <f>'Data Entry - SOF'!O80</f>
        <v>0</v>
      </c>
      <c r="V60" s="4429">
        <f>T60</f>
        <v>0</v>
      </c>
      <c r="W60" s="4464">
        <f>'Data Entry - SOF'!Q79</f>
        <v>0</v>
      </c>
      <c r="X60" s="4484">
        <f>'Data Entry - SOF'!Q80</f>
        <v>0</v>
      </c>
      <c r="Y60" s="4476">
        <f>W60</f>
        <v>0</v>
      </c>
      <c r="Z60" s="4500">
        <f>'Data Entry - SOF'!S79</f>
        <v>0</v>
      </c>
      <c r="AA60" s="4519">
        <f>'Data Entry - SOF'!S80</f>
        <v>0</v>
      </c>
      <c r="AB60" s="4512">
        <f>Z60</f>
        <v>0</v>
      </c>
    </row>
    <row r="61" spans="1:28" ht="12.75" customHeight="1">
      <c r="A61" s="31"/>
      <c r="K61" s="3336"/>
      <c r="L61" s="3347"/>
      <c r="M61" s="3348"/>
      <c r="N61" s="3652"/>
      <c r="O61" s="3334"/>
      <c r="P61" s="1116"/>
      <c r="Q61" s="3616"/>
      <c r="R61" s="3499"/>
      <c r="S61" s="3376"/>
      <c r="T61" s="4434"/>
      <c r="U61" s="4441"/>
      <c r="V61" s="3391"/>
      <c r="W61" s="4459"/>
      <c r="X61" s="3690"/>
      <c r="Y61" s="3400"/>
      <c r="Z61" s="4495"/>
      <c r="AA61" s="4517"/>
      <c r="AB61" s="3409"/>
    </row>
    <row r="62" spans="1:28" ht="12.75" customHeight="1">
      <c r="A62" s="30"/>
      <c r="K62" s="3336"/>
      <c r="L62" s="3347"/>
      <c r="M62" s="3348"/>
      <c r="N62" s="3652"/>
      <c r="O62" s="3334"/>
      <c r="P62" s="1116"/>
      <c r="Q62" s="3616"/>
      <c r="R62" s="3499"/>
      <c r="S62" s="3376"/>
      <c r="T62" s="4434"/>
      <c r="U62" s="4441"/>
      <c r="V62" s="3391"/>
      <c r="W62" s="4459"/>
      <c r="X62" s="3690"/>
      <c r="Y62" s="3400"/>
      <c r="Z62" s="4495"/>
      <c r="AA62" s="4517"/>
      <c r="AB62" s="3409"/>
    </row>
    <row r="63" spans="1:28" ht="12.75" customHeight="1">
      <c r="A63" s="57" t="s">
        <v>911</v>
      </c>
      <c r="B63" s="43"/>
      <c r="C63" s="43"/>
      <c r="D63" s="44"/>
      <c r="K63" s="3336"/>
      <c r="L63" s="3347"/>
      <c r="M63" s="3348"/>
      <c r="N63" s="3652"/>
      <c r="O63" s="3334"/>
      <c r="P63" s="1116"/>
      <c r="Q63" s="3616"/>
      <c r="R63" s="3499"/>
      <c r="S63" s="3376"/>
      <c r="T63" s="4434"/>
      <c r="U63" s="4441"/>
      <c r="V63" s="3391"/>
      <c r="W63" s="4459"/>
      <c r="X63" s="3690"/>
      <c r="Y63" s="3400"/>
      <c r="Z63" s="4495"/>
      <c r="AA63" s="4517"/>
      <c r="AB63" s="3409"/>
    </row>
    <row r="64" spans="1:28" ht="12.75" customHeight="1">
      <c r="A64" s="32"/>
      <c r="K64" s="3336"/>
      <c r="L64" s="3347"/>
      <c r="M64" s="3348"/>
      <c r="N64" s="3652"/>
      <c r="O64" s="3334"/>
      <c r="P64" s="1116"/>
      <c r="Q64" s="3616"/>
      <c r="R64" s="3499"/>
      <c r="S64" s="3376"/>
      <c r="T64" s="4434"/>
      <c r="U64" s="4441"/>
      <c r="V64" s="3391"/>
      <c r="W64" s="4459"/>
      <c r="X64" s="3690"/>
      <c r="Y64" s="3400"/>
      <c r="Z64" s="4495"/>
      <c r="AA64" s="4517"/>
      <c r="AB64" s="3409"/>
    </row>
    <row r="65" spans="1:28" ht="12.75" customHeight="1">
      <c r="A65" s="41" t="s">
        <v>909</v>
      </c>
      <c r="B65" t="s">
        <v>8735</v>
      </c>
      <c r="H65" s="2081" t="e">
        <f>IFA_Limits!#REF!</f>
        <v>#REF!</v>
      </c>
      <c r="I65" s="2083" t="e">
        <f>H65</f>
        <v>#REF!</v>
      </c>
      <c r="J65" s="2081" t="e">
        <f>IFA_Limits!#REF!</f>
        <v>#REF!</v>
      </c>
      <c r="K65" s="3340" t="e">
        <f>J65</f>
        <v>#REF!</v>
      </c>
      <c r="L65" s="3358">
        <f>IFA_Limits!F55</f>
        <v>0</v>
      </c>
      <c r="M65" s="3359">
        <f>IFA_Limits!F56</f>
        <v>0</v>
      </c>
      <c r="N65" s="4387">
        <f>IFA_Limits!H55</f>
        <v>0</v>
      </c>
      <c r="O65" s="4403">
        <f>N65</f>
        <v>0</v>
      </c>
      <c r="P65" s="4395">
        <f>IFA_Limits!H56</f>
        <v>0</v>
      </c>
      <c r="Q65" s="4420">
        <f>IFA_Limits!J55</f>
        <v>0</v>
      </c>
      <c r="R65" s="4412">
        <f>Q65</f>
        <v>0</v>
      </c>
      <c r="S65" s="3382">
        <f>IFA_Limits!J56</f>
        <v>0</v>
      </c>
      <c r="T65" s="4454">
        <f>IFA_Limits!L55</f>
        <v>0</v>
      </c>
      <c r="U65" s="4445">
        <f>T65</f>
        <v>0</v>
      </c>
      <c r="V65" s="4429">
        <f>IFA_Limits!L56</f>
        <v>0</v>
      </c>
      <c r="W65" s="4464">
        <f>IFA_Limits!N55</f>
        <v>0</v>
      </c>
      <c r="X65" s="4484">
        <f>W65</f>
        <v>0</v>
      </c>
      <c r="Y65" s="4476">
        <f>IFA_Limits!N56</f>
        <v>0</v>
      </c>
      <c r="Z65" s="4500">
        <f>IFA_Limits!P55</f>
        <v>0</v>
      </c>
      <c r="AA65" s="4519">
        <f>Z65</f>
        <v>0</v>
      </c>
      <c r="AB65" s="4512">
        <f>IFA_Limits!P56</f>
        <v>0</v>
      </c>
    </row>
    <row r="66" spans="1:28" ht="12.75" customHeight="1">
      <c r="A66" s="31"/>
      <c r="H66" s="2085"/>
      <c r="K66" s="3336"/>
      <c r="L66" s="3360"/>
      <c r="M66" s="3348"/>
      <c r="N66" s="3659"/>
      <c r="O66" s="3335"/>
      <c r="P66" s="1116"/>
      <c r="Q66" s="3622"/>
      <c r="R66" s="3501"/>
      <c r="S66" s="3376"/>
      <c r="T66" s="4437"/>
      <c r="U66" s="4446"/>
      <c r="V66" s="3391"/>
      <c r="W66" s="4465"/>
      <c r="X66" s="3696"/>
      <c r="Y66" s="3400"/>
      <c r="Z66" s="4501"/>
      <c r="AA66" s="4520"/>
      <c r="AB66" s="3409"/>
    </row>
    <row r="67" spans="1:28" ht="12.75" customHeight="1">
      <c r="A67" s="41" t="s">
        <v>910</v>
      </c>
      <c r="B67" t="s">
        <v>1138</v>
      </c>
      <c r="H67" s="2081">
        <f>H60/10000</f>
        <v>0</v>
      </c>
      <c r="I67" s="2081">
        <f>I60/10000</f>
        <v>0</v>
      </c>
      <c r="J67" s="2081">
        <f>J60/10000</f>
        <v>0</v>
      </c>
      <c r="K67" s="3339">
        <f t="shared" ref="K67:P67" si="0">K60/10000</f>
        <v>0</v>
      </c>
      <c r="L67" s="3358">
        <f t="shared" si="0"/>
        <v>0</v>
      </c>
      <c r="M67" s="3359">
        <f t="shared" si="0"/>
        <v>0</v>
      </c>
      <c r="N67" s="4387">
        <f t="shared" si="0"/>
        <v>0</v>
      </c>
      <c r="O67" s="4403">
        <f t="shared" ref="O67" si="1">O60/10000</f>
        <v>0</v>
      </c>
      <c r="P67" s="4395">
        <f t="shared" si="0"/>
        <v>0</v>
      </c>
      <c r="Q67" s="4420">
        <f t="shared" ref="Q67:AB67" si="2">Q60/10000</f>
        <v>0</v>
      </c>
      <c r="R67" s="4412">
        <f t="shared" ref="R67" si="3">R60/10000</f>
        <v>0</v>
      </c>
      <c r="S67" s="3382">
        <f t="shared" si="2"/>
        <v>0</v>
      </c>
      <c r="T67" s="4454">
        <f t="shared" si="2"/>
        <v>0</v>
      </c>
      <c r="U67" s="4445">
        <f t="shared" ref="U67" si="4">U60/10000</f>
        <v>0</v>
      </c>
      <c r="V67" s="4429">
        <f t="shared" si="2"/>
        <v>0</v>
      </c>
      <c r="W67" s="4464">
        <f t="shared" si="2"/>
        <v>0</v>
      </c>
      <c r="X67" s="4484">
        <f t="shared" ref="X67" si="5">X60/10000</f>
        <v>0</v>
      </c>
      <c r="Y67" s="4476">
        <f t="shared" si="2"/>
        <v>0</v>
      </c>
      <c r="Z67" s="4500">
        <f t="shared" si="2"/>
        <v>0</v>
      </c>
      <c r="AA67" s="4519">
        <f t="shared" ref="AA67" si="6">AA60/10000</f>
        <v>0</v>
      </c>
      <c r="AB67" s="4512">
        <f t="shared" si="2"/>
        <v>0</v>
      </c>
    </row>
    <row r="68" spans="1:28" ht="12.75" customHeight="1">
      <c r="A68" s="31"/>
      <c r="H68" s="2085"/>
      <c r="K68" s="3336"/>
      <c r="L68" s="3360"/>
      <c r="M68" s="3348"/>
      <c r="N68" s="3659"/>
      <c r="O68" s="3335"/>
      <c r="P68" s="1116"/>
      <c r="Q68" s="3622"/>
      <c r="R68" s="3501"/>
      <c r="S68" s="3376"/>
      <c r="T68" s="4437"/>
      <c r="U68" s="4446"/>
      <c r="V68" s="3391"/>
      <c r="W68" s="4465"/>
      <c r="X68" s="3696"/>
      <c r="Y68" s="3400"/>
      <c r="Z68" s="4501"/>
      <c r="AA68" s="4520"/>
      <c r="AB68" s="3409"/>
    </row>
    <row r="69" spans="1:28" ht="12.75" customHeight="1">
      <c r="A69" s="41" t="s">
        <v>912</v>
      </c>
      <c r="B69" t="s">
        <v>895</v>
      </c>
      <c r="H69" s="2086">
        <f>H67/H58</f>
        <v>0</v>
      </c>
      <c r="I69" s="2086">
        <f>I67/I58</f>
        <v>0</v>
      </c>
      <c r="J69" s="2086">
        <f>J67/J58</f>
        <v>0</v>
      </c>
      <c r="K69" s="3341">
        <f t="shared" ref="K69:P69" si="7">K67/K58</f>
        <v>0</v>
      </c>
      <c r="L69" s="3361">
        <f t="shared" si="7"/>
        <v>0</v>
      </c>
      <c r="M69" s="3362">
        <f t="shared" si="7"/>
        <v>0</v>
      </c>
      <c r="N69" s="4388">
        <f t="shared" si="7"/>
        <v>0</v>
      </c>
      <c r="O69" s="4404">
        <f t="shared" ref="O69" si="8">O67/O58</f>
        <v>0</v>
      </c>
      <c r="P69" s="4396">
        <f t="shared" si="7"/>
        <v>0</v>
      </c>
      <c r="Q69" s="4421">
        <f t="shared" ref="Q69:AB69" si="9">Q67/Q58</f>
        <v>0</v>
      </c>
      <c r="R69" s="4413">
        <f t="shared" ref="R69" si="10">R67/R58</f>
        <v>0</v>
      </c>
      <c r="S69" s="3383">
        <f t="shared" si="9"/>
        <v>0</v>
      </c>
      <c r="T69" s="4455">
        <f t="shared" si="9"/>
        <v>0</v>
      </c>
      <c r="U69" s="4447">
        <f t="shared" ref="U69" si="11">U67/U58</f>
        <v>0</v>
      </c>
      <c r="V69" s="4430">
        <f t="shared" si="9"/>
        <v>0</v>
      </c>
      <c r="W69" s="4466">
        <f t="shared" si="9"/>
        <v>0</v>
      </c>
      <c r="X69" s="4485">
        <f t="shared" ref="X69" si="12">X67/X58</f>
        <v>0</v>
      </c>
      <c r="Y69" s="4477">
        <f t="shared" si="9"/>
        <v>0</v>
      </c>
      <c r="Z69" s="4502">
        <f t="shared" si="9"/>
        <v>0</v>
      </c>
      <c r="AA69" s="4521">
        <f t="shared" ref="AA69" si="13">AA67/AA58</f>
        <v>0</v>
      </c>
      <c r="AB69" s="4513">
        <f t="shared" si="9"/>
        <v>0</v>
      </c>
    </row>
    <row r="70" spans="1:28" ht="12.75" customHeight="1">
      <c r="A70" s="31"/>
      <c r="H70" s="2087"/>
      <c r="I70" s="2087"/>
      <c r="J70" s="2087"/>
      <c r="K70" s="3342"/>
      <c r="L70" s="3363"/>
      <c r="M70" s="3364"/>
      <c r="N70" s="3661"/>
      <c r="O70" s="3642"/>
      <c r="P70" s="3374"/>
      <c r="Q70" s="3624"/>
      <c r="R70" s="3500"/>
      <c r="S70" s="3384"/>
      <c r="T70" s="4438"/>
      <c r="U70" s="4448"/>
      <c r="V70" s="3394"/>
      <c r="W70" s="4467"/>
      <c r="X70" s="3695"/>
      <c r="Y70" s="3403"/>
      <c r="Z70" s="4503"/>
      <c r="AA70" s="4522"/>
      <c r="AB70" s="3413"/>
    </row>
    <row r="71" spans="1:28" ht="12.75" customHeight="1">
      <c r="A71" s="41" t="s">
        <v>913</v>
      </c>
      <c r="B71" t="s">
        <v>896</v>
      </c>
      <c r="H71" s="2086">
        <f>IF(H69&gt;Weights!H49,0,Weights!H49-H69)</f>
        <v>35</v>
      </c>
      <c r="I71" s="2086">
        <f>IF(I69&gt;Weights!H49,0,Weights!H49-I69)</f>
        <v>35</v>
      </c>
      <c r="J71" s="2086">
        <f>IF(J69&gt;Weights!H49,0,Weights!H49-J69)</f>
        <v>35</v>
      </c>
      <c r="K71" s="3341">
        <f>IF(K69&gt;Weights!H49,0,Weights!H49-K69)</f>
        <v>35</v>
      </c>
      <c r="L71" s="3361">
        <f>IF(L69&gt;Weights!J49,0,Weights!J49-L69)</f>
        <v>35</v>
      </c>
      <c r="M71" s="3362">
        <f>IF(M69&gt;Weights!J49,0,Weights!J49-M69)</f>
        <v>35</v>
      </c>
      <c r="N71" s="4388">
        <f>IF(N69&gt;Weights!K49,0,Weights!K49-N69)</f>
        <v>35</v>
      </c>
      <c r="O71" s="4404">
        <f>N71</f>
        <v>35</v>
      </c>
      <c r="P71" s="4396">
        <f>IF(P69&gt;Weights!K49,0,Weights!K49-P69)</f>
        <v>35</v>
      </c>
      <c r="Q71" s="4421">
        <f>IF(Q69&gt;Weights!L49,0,Weights!L49-Q69)</f>
        <v>35</v>
      </c>
      <c r="R71" s="4413">
        <f>IF(R69&gt;Weights!L49,0,Weights!L49-R69)</f>
        <v>35</v>
      </c>
      <c r="S71" s="3383">
        <f>IF(S69&gt;Weights!L49,0,Weights!L49-S69)</f>
        <v>35</v>
      </c>
      <c r="T71" s="4455">
        <f>IF(T69&gt;Weights!M49,0,Weights!M49-T69)</f>
        <v>35</v>
      </c>
      <c r="U71" s="4447">
        <f>IF(U69&gt;Weights!M49,0,Weights!M49-U69)</f>
        <v>35</v>
      </c>
      <c r="V71" s="4430">
        <f>IF(V69&gt;Weights!M49,0,Weights!M49-V69)</f>
        <v>35</v>
      </c>
      <c r="W71" s="4466">
        <f>IF(W69&gt;Weights!N49,0,Weights!N49-W69)</f>
        <v>35</v>
      </c>
      <c r="X71" s="4485">
        <f>IF(X69&gt;Weights!N49,0,Weights!N49-X69)</f>
        <v>35</v>
      </c>
      <c r="Y71" s="4477">
        <f>IF(Y69&gt;Weights!N49,0,Weights!N49-Y69)</f>
        <v>35</v>
      </c>
      <c r="Z71" s="4502">
        <f>IF(Z69&gt;Weights!O49,0,Weights!O49-Z69)</f>
        <v>35</v>
      </c>
      <c r="AA71" s="4521">
        <f>IF(AA69&gt;Weights!O49,0,Weights!O49-AA69)</f>
        <v>35</v>
      </c>
      <c r="AB71" s="4513">
        <f>IF(AB69&gt;Weights!O49,0,Weights!O49-AB69)</f>
        <v>35</v>
      </c>
    </row>
    <row r="72" spans="1:28" ht="12.75" customHeight="1">
      <c r="A72" s="31"/>
      <c r="H72" s="2087"/>
      <c r="I72" s="2087"/>
      <c r="J72" s="2087"/>
      <c r="K72" s="3342"/>
      <c r="L72" s="3363"/>
      <c r="M72" s="3364"/>
      <c r="N72" s="3661"/>
      <c r="O72" s="3642"/>
      <c r="P72" s="3374"/>
      <c r="Q72" s="3624"/>
      <c r="R72" s="3500"/>
      <c r="S72" s="3384"/>
      <c r="T72" s="4438"/>
      <c r="U72" s="4448"/>
      <c r="V72" s="3394"/>
      <c r="W72" s="4467"/>
      <c r="X72" s="3695"/>
      <c r="Y72" s="3403"/>
      <c r="Z72" s="4503"/>
      <c r="AA72" s="4522"/>
      <c r="AB72" s="3413"/>
    </row>
    <row r="73" spans="1:28">
      <c r="A73" s="41" t="s">
        <v>914</v>
      </c>
      <c r="B73" t="s">
        <v>2676</v>
      </c>
      <c r="H73" s="2086">
        <f>ROUND(IF(H71=0,0,H71/Weights!H49),5)</f>
        <v>1</v>
      </c>
      <c r="I73" s="2086">
        <f>ROUND(IF(I71=0,0,I71/Weights!H49),5)</f>
        <v>1</v>
      </c>
      <c r="J73" s="2086">
        <f>ROUND(IF(J71=0,0,J71/Weights!H49),5)</f>
        <v>1</v>
      </c>
      <c r="K73" s="3341">
        <f>ROUND(IF(K71=0,0,K71/Weights!H49),5)</f>
        <v>1</v>
      </c>
      <c r="L73" s="3361">
        <f>ROUND(IF(L71=0,0,L71/Weights!J49),5)</f>
        <v>1</v>
      </c>
      <c r="M73" s="3362">
        <f>ROUND(IF(M71=0,0,M71/Weights!J49),5)</f>
        <v>1</v>
      </c>
      <c r="N73" s="4388">
        <f>ROUND(IF(N71=0,0,N71/Weights!K49),5)</f>
        <v>1</v>
      </c>
      <c r="O73" s="4404">
        <f>ROUND(IF(O71=0,0,O71/Weights!K49),5)</f>
        <v>1</v>
      </c>
      <c r="P73" s="4396">
        <f>ROUND(IF(P71=0,0,P71/Weights!K49),5)</f>
        <v>1</v>
      </c>
      <c r="Q73" s="4421">
        <f>ROUND(IF(Q71=0,0,Q71/Weights!L49),5)</f>
        <v>1</v>
      </c>
      <c r="R73" s="4413">
        <f>ROUND(IF(R71=0,0,R71/Weights!L49),5)</f>
        <v>1</v>
      </c>
      <c r="S73" s="3383">
        <f>ROUND(IF(S71=0,0,S71/Weights!L49),5)</f>
        <v>1</v>
      </c>
      <c r="T73" s="4455">
        <f>ROUND(IF(T71=0,0,T71/Weights!M49),5)</f>
        <v>1</v>
      </c>
      <c r="U73" s="4447">
        <f>ROUND(IF(U71=0,0,U71/Weights!M49),5)</f>
        <v>1</v>
      </c>
      <c r="V73" s="4430">
        <f>ROUND(IF(V71=0,0,V71/Weights!M49),5)</f>
        <v>1</v>
      </c>
      <c r="W73" s="4466">
        <f>ROUND(IF(W71=0,0,W71/Weights!N49),5)</f>
        <v>1</v>
      </c>
      <c r="X73" s="4485">
        <f>ROUND(IF(X71=0,0,X71/Weights!N49),5)</f>
        <v>1</v>
      </c>
      <c r="Y73" s="4477">
        <f>ROUND(IF(Y71=0,0,Y71/Weights!N49),5)</f>
        <v>1</v>
      </c>
      <c r="Z73" s="4502">
        <f>ROUND(IF(Z71=0,0,Z71/Weights!O49),5)</f>
        <v>1</v>
      </c>
      <c r="AA73" s="4521">
        <f>ROUND(IF(AA71=0,0,AA71/Weights!O49),5)</f>
        <v>1</v>
      </c>
      <c r="AB73" s="4513">
        <f>ROUND(IF(AB71=0,0,AB71/Weights!O49),5)</f>
        <v>1</v>
      </c>
    </row>
    <row r="74" spans="1:28">
      <c r="A74" s="31"/>
      <c r="K74" s="3336"/>
      <c r="L74" s="3347"/>
      <c r="M74" s="3348"/>
      <c r="N74" s="3652"/>
      <c r="O74" s="3334"/>
      <c r="P74" s="1116"/>
      <c r="Q74" s="3616"/>
      <c r="R74" s="3499"/>
      <c r="S74" s="3376"/>
      <c r="T74" s="4434"/>
      <c r="U74" s="4441"/>
      <c r="V74" s="3391"/>
      <c r="W74" s="4459"/>
      <c r="X74" s="3690"/>
      <c r="Y74" s="3400"/>
      <c r="Z74" s="4495"/>
      <c r="AA74" s="4517"/>
      <c r="AB74" s="3409"/>
    </row>
    <row r="75" spans="1:28">
      <c r="A75" s="41" t="s">
        <v>118</v>
      </c>
      <c r="B75" t="s">
        <v>2260</v>
      </c>
      <c r="H75" s="2081" t="e">
        <f>H73*H65</f>
        <v>#REF!</v>
      </c>
      <c r="I75" s="2081" t="e">
        <f>I73*I65</f>
        <v>#REF!</v>
      </c>
      <c r="J75" s="2081" t="e">
        <f>J73*J65</f>
        <v>#REF!</v>
      </c>
      <c r="K75" s="3339" t="e">
        <f t="shared" ref="K75:P75" si="14">K73*K65</f>
        <v>#REF!</v>
      </c>
      <c r="L75" s="3358">
        <f t="shared" si="14"/>
        <v>0</v>
      </c>
      <c r="M75" s="3359">
        <f t="shared" si="14"/>
        <v>0</v>
      </c>
      <c r="N75" s="4387">
        <f t="shared" si="14"/>
        <v>0</v>
      </c>
      <c r="O75" s="4403">
        <f t="shared" ref="O75" si="15">O73*O65</f>
        <v>0</v>
      </c>
      <c r="P75" s="4395">
        <f t="shared" si="14"/>
        <v>0</v>
      </c>
      <c r="Q75" s="4420">
        <f t="shared" ref="Q75:AB75" si="16">Q73*Q65</f>
        <v>0</v>
      </c>
      <c r="R75" s="4412">
        <f t="shared" ref="R75" si="17">R73*R65</f>
        <v>0</v>
      </c>
      <c r="S75" s="3382">
        <f t="shared" si="16"/>
        <v>0</v>
      </c>
      <c r="T75" s="4454">
        <f t="shared" si="16"/>
        <v>0</v>
      </c>
      <c r="U75" s="4445">
        <f t="shared" ref="U75" si="18">U73*U65</f>
        <v>0</v>
      </c>
      <c r="V75" s="4429">
        <f t="shared" si="16"/>
        <v>0</v>
      </c>
      <c r="W75" s="4464">
        <f t="shared" si="16"/>
        <v>0</v>
      </c>
      <c r="X75" s="4484">
        <f t="shared" ref="X75" si="19">X73*X65</f>
        <v>0</v>
      </c>
      <c r="Y75" s="4476">
        <f t="shared" si="16"/>
        <v>0</v>
      </c>
      <c r="Z75" s="4500">
        <f t="shared" si="16"/>
        <v>0</v>
      </c>
      <c r="AA75" s="4519">
        <f t="shared" ref="AA75" si="20">AA73*AA65</f>
        <v>0</v>
      </c>
      <c r="AB75" s="4512">
        <f t="shared" si="16"/>
        <v>0</v>
      </c>
    </row>
    <row r="76" spans="1:28">
      <c r="A76" s="41"/>
      <c r="B76" s="35" t="s">
        <v>1783</v>
      </c>
      <c r="H76" s="2085"/>
      <c r="J76" s="2085"/>
      <c r="K76" s="3336"/>
      <c r="L76" s="3360"/>
      <c r="M76" s="3365"/>
      <c r="N76" s="3659"/>
      <c r="O76" s="3335"/>
      <c r="P76" s="1119"/>
      <c r="Q76" s="3622"/>
      <c r="R76" s="3501"/>
      <c r="S76" s="3385"/>
      <c r="T76" s="4437"/>
      <c r="U76" s="4446"/>
      <c r="V76" s="3395"/>
      <c r="W76" s="4465"/>
      <c r="X76" s="3696"/>
      <c r="Y76" s="3404"/>
      <c r="Z76" s="4501"/>
      <c r="AA76" s="4520"/>
      <c r="AB76" s="3414"/>
    </row>
    <row r="77" spans="1:28">
      <c r="A77" s="41"/>
      <c r="B77" s="35" t="s">
        <v>1784</v>
      </c>
      <c r="H77" s="2085"/>
      <c r="J77" s="2085"/>
      <c r="K77" s="3336"/>
      <c r="L77" s="3360"/>
      <c r="M77" s="3365"/>
      <c r="N77" s="3659"/>
      <c r="O77" s="3335"/>
      <c r="P77" s="1119"/>
      <c r="Q77" s="3622"/>
      <c r="R77" s="3501"/>
      <c r="S77" s="3385"/>
      <c r="T77" s="4437"/>
      <c r="U77" s="4446"/>
      <c r="V77" s="3395"/>
      <c r="W77" s="4465"/>
      <c r="X77" s="3696"/>
      <c r="Y77" s="3404"/>
      <c r="Z77" s="4501"/>
      <c r="AA77" s="4520"/>
      <c r="AB77" s="3414"/>
    </row>
    <row r="78" spans="1:28">
      <c r="A78" s="31"/>
      <c r="H78" s="2085"/>
      <c r="J78" s="2085"/>
      <c r="K78" s="3336"/>
      <c r="L78" s="3360"/>
      <c r="M78" s="3365"/>
      <c r="N78" s="3659"/>
      <c r="O78" s="3335"/>
      <c r="P78" s="1119"/>
      <c r="Q78" s="3622"/>
      <c r="R78" s="3501"/>
      <c r="S78" s="3385"/>
      <c r="T78" s="4437"/>
      <c r="U78" s="4446"/>
      <c r="V78" s="3395"/>
      <c r="W78" s="4465"/>
      <c r="X78" s="3696"/>
      <c r="Y78" s="3404"/>
      <c r="Z78" s="4501"/>
      <c r="AA78" s="4520"/>
      <c r="AB78" s="3414"/>
    </row>
    <row r="79" spans="1:28">
      <c r="A79" s="41" t="s">
        <v>119</v>
      </c>
      <c r="B79" s="31" t="s">
        <v>1923</v>
      </c>
      <c r="C79" s="31"/>
      <c r="D79" s="31"/>
      <c r="E79" s="31"/>
      <c r="H79" s="2088" t="e">
        <f>H65-H75</f>
        <v>#REF!</v>
      </c>
      <c r="I79" s="2088" t="e">
        <f>I65-I75</f>
        <v>#REF!</v>
      </c>
      <c r="J79" s="2088" t="e">
        <f>J65-J75</f>
        <v>#REF!</v>
      </c>
      <c r="K79" s="3343" t="e">
        <f t="shared" ref="K79:P79" si="21">K65-K75</f>
        <v>#REF!</v>
      </c>
      <c r="L79" s="3366">
        <f t="shared" si="21"/>
        <v>0</v>
      </c>
      <c r="M79" s="3367">
        <f t="shared" si="21"/>
        <v>0</v>
      </c>
      <c r="N79" s="4389">
        <f t="shared" si="21"/>
        <v>0</v>
      </c>
      <c r="O79" s="4405">
        <f t="shared" ref="O79" si="22">O65-O75</f>
        <v>0</v>
      </c>
      <c r="P79" s="4397">
        <f t="shared" si="21"/>
        <v>0</v>
      </c>
      <c r="Q79" s="4422">
        <f t="shared" ref="Q79:AB79" si="23">Q65-Q75</f>
        <v>0</v>
      </c>
      <c r="R79" s="4414">
        <f t="shared" ref="R79" si="24">R65-R75</f>
        <v>0</v>
      </c>
      <c r="S79" s="3386">
        <f t="shared" si="23"/>
        <v>0</v>
      </c>
      <c r="T79" s="4456">
        <f t="shared" si="23"/>
        <v>0</v>
      </c>
      <c r="U79" s="4449">
        <f t="shared" ref="U79" si="25">U65-U75</f>
        <v>0</v>
      </c>
      <c r="V79" s="4431">
        <f t="shared" si="23"/>
        <v>0</v>
      </c>
      <c r="W79" s="4468">
        <f t="shared" si="23"/>
        <v>0</v>
      </c>
      <c r="X79" s="4486">
        <f t="shared" ref="X79" si="26">X65-X75</f>
        <v>0</v>
      </c>
      <c r="Y79" s="4478">
        <f t="shared" si="23"/>
        <v>0</v>
      </c>
      <c r="Z79" s="4504">
        <f t="shared" si="23"/>
        <v>0</v>
      </c>
      <c r="AA79" s="4493">
        <f t="shared" ref="AA79" si="27">AA65-AA75</f>
        <v>0</v>
      </c>
      <c r="AB79" s="4514">
        <f t="shared" si="23"/>
        <v>0</v>
      </c>
    </row>
    <row r="80" spans="1:28">
      <c r="A80" s="41"/>
      <c r="B80" s="307" t="s">
        <v>591</v>
      </c>
      <c r="C80" s="31"/>
      <c r="D80" s="31"/>
      <c r="E80" s="31"/>
      <c r="H80" s="2085"/>
      <c r="I80" s="2089"/>
      <c r="J80" s="2085"/>
      <c r="K80" s="3344"/>
      <c r="L80" s="3360"/>
      <c r="M80" s="3365"/>
      <c r="N80" s="3659"/>
      <c r="O80" s="3335"/>
      <c r="P80" s="1119"/>
      <c r="Q80" s="3622"/>
      <c r="R80" s="3501"/>
      <c r="S80" s="3385"/>
      <c r="T80" s="4437"/>
      <c r="U80" s="4446"/>
      <c r="V80" s="3395"/>
      <c r="W80" s="4465"/>
      <c r="X80" s="3696"/>
      <c r="Y80" s="3404"/>
      <c r="Z80" s="4501"/>
      <c r="AA80" s="4520"/>
      <c r="AB80" s="3414"/>
    </row>
    <row r="81" spans="1:28">
      <c r="A81" s="41"/>
      <c r="B81" s="307" t="s">
        <v>1559</v>
      </c>
      <c r="C81" s="31"/>
      <c r="D81" s="31"/>
      <c r="E81" s="31"/>
      <c r="H81" s="2085"/>
      <c r="I81" s="2089"/>
      <c r="J81" s="2085"/>
      <c r="K81" s="3344"/>
      <c r="L81" s="3360"/>
      <c r="M81" s="3365"/>
      <c r="N81" s="3659"/>
      <c r="O81" s="3335"/>
      <c r="P81" s="1119"/>
      <c r="Q81" s="3622"/>
      <c r="R81" s="3501"/>
      <c r="S81" s="3385"/>
      <c r="T81" s="4437"/>
      <c r="U81" s="4446"/>
      <c r="V81" s="3395"/>
      <c r="W81" s="4465"/>
      <c r="X81" s="3696"/>
      <c r="Y81" s="3404"/>
      <c r="Z81" s="4501"/>
      <c r="AA81" s="4520"/>
      <c r="AB81" s="3414"/>
    </row>
    <row r="82" spans="1:28">
      <c r="A82" s="41"/>
      <c r="B82" s="64"/>
      <c r="C82" s="31"/>
      <c r="D82" s="31"/>
      <c r="E82" s="31"/>
      <c r="H82" s="2085"/>
      <c r="I82" s="2089"/>
      <c r="J82" s="2085"/>
      <c r="K82" s="3344"/>
      <c r="L82" s="3360"/>
      <c r="M82" s="3365"/>
      <c r="N82" s="3659"/>
      <c r="O82" s="3335"/>
      <c r="P82" s="1119"/>
      <c r="Q82" s="3622"/>
      <c r="R82" s="3501"/>
      <c r="S82" s="3385"/>
      <c r="T82" s="4437"/>
      <c r="U82" s="4446"/>
      <c r="V82" s="3395"/>
      <c r="W82" s="4465"/>
      <c r="X82" s="3696"/>
      <c r="Y82" s="3404"/>
      <c r="Z82" s="4501"/>
      <c r="AA82" s="4520"/>
      <c r="AB82" s="3414"/>
    </row>
    <row r="83" spans="1:28">
      <c r="A83" s="41"/>
      <c r="B83" s="69"/>
      <c r="C83" s="31"/>
      <c r="D83" s="31"/>
      <c r="E83" s="31"/>
      <c r="H83" s="2085"/>
      <c r="I83" s="2089"/>
      <c r="J83" s="2085"/>
      <c r="K83" s="3344"/>
      <c r="L83" s="3360"/>
      <c r="M83" s="3365"/>
      <c r="N83" s="3659"/>
      <c r="O83" s="3335"/>
      <c r="P83" s="1119"/>
      <c r="Q83" s="3622"/>
      <c r="R83" s="3501"/>
      <c r="S83" s="3385"/>
      <c r="T83" s="4437"/>
      <c r="U83" s="4446"/>
      <c r="V83" s="3395"/>
      <c r="W83" s="4465"/>
      <c r="X83" s="3696"/>
      <c r="Y83" s="3404"/>
      <c r="Z83" s="4501"/>
      <c r="AA83" s="4520"/>
      <c r="AB83" s="3414"/>
    </row>
    <row r="84" spans="1:28">
      <c r="A84" s="41"/>
      <c r="B84" s="69"/>
      <c r="C84" s="31"/>
      <c r="D84" s="31"/>
      <c r="E84" s="31"/>
      <c r="H84" s="2085"/>
      <c r="I84" s="2089"/>
      <c r="J84" s="2085"/>
      <c r="K84" s="3344"/>
      <c r="L84" s="3360"/>
      <c r="M84" s="3365"/>
      <c r="N84" s="3659"/>
      <c r="O84" s="3335"/>
      <c r="P84" s="1119"/>
      <c r="Q84" s="3622"/>
      <c r="R84" s="3501"/>
      <c r="S84" s="3385"/>
      <c r="T84" s="4437"/>
      <c r="U84" s="4446"/>
      <c r="V84" s="3395"/>
      <c r="W84" s="4465"/>
      <c r="X84" s="3696"/>
      <c r="Y84" s="3404"/>
      <c r="Z84" s="4501"/>
      <c r="AA84" s="4520"/>
      <c r="AB84" s="3414"/>
    </row>
    <row r="85" spans="1:28">
      <c r="A85" s="41"/>
      <c r="B85" s="69"/>
      <c r="C85" s="31"/>
      <c r="D85" s="31"/>
      <c r="E85" s="31"/>
      <c r="H85" s="2090" t="e">
        <f>IF(H86&lt;H75,"See Line 11 Note "," ")</f>
        <v>#REF!</v>
      </c>
      <c r="I85" s="2089"/>
      <c r="J85" s="2085"/>
      <c r="K85" s="3344"/>
      <c r="L85" s="3368" t="str">
        <f>IF(L86&lt;L75,"See Line 11 Note "," ")</f>
        <v xml:space="preserve"> </v>
      </c>
      <c r="M85" s="3365"/>
      <c r="N85" s="3663" t="str">
        <f>IF(N86&lt;N75,"See Line 11 Note "," ")</f>
        <v xml:space="preserve"> </v>
      </c>
      <c r="O85" s="4406" t="str">
        <f>IF(O86&lt;O75,"See Line 11 Note "," ")</f>
        <v xml:space="preserve"> </v>
      </c>
      <c r="P85" s="1119"/>
      <c r="Q85" s="3626" t="str">
        <f>IF(Q86&lt;Q75,"See Line 11 Note "," ")</f>
        <v xml:space="preserve"> </v>
      </c>
      <c r="R85" s="4408" t="str">
        <f>IF(R86&lt;R75,"See Line 11 Note "," ")</f>
        <v xml:space="preserve"> </v>
      </c>
      <c r="S85" s="3385"/>
      <c r="T85" s="4439" t="str">
        <f>IF(T86&lt;T75,"See Line 11 Note "," ")</f>
        <v xml:space="preserve"> </v>
      </c>
      <c r="U85" s="4450" t="str">
        <f>IF(U86&lt;U75,"See Line 11 Note "," ")</f>
        <v xml:space="preserve"> </v>
      </c>
      <c r="V85" s="3395"/>
      <c r="W85" s="4469" t="str">
        <f>IF(W86&lt;W75,"See Line 11 Note "," ")</f>
        <v xml:space="preserve"> </v>
      </c>
      <c r="X85" s="4487" t="str">
        <f>IF(X86&lt;X75,"See Line 11 Note "," ")</f>
        <v xml:space="preserve"> </v>
      </c>
      <c r="Y85" s="3404"/>
      <c r="Z85" s="4505" t="str">
        <f>IF(Z86&lt;Z75,"See Line 11 Note "," ")</f>
        <v xml:space="preserve"> </v>
      </c>
      <c r="AA85" s="4523" t="str">
        <f>IF(AA86&lt;AA75,"See Line 11 Note "," ")</f>
        <v xml:space="preserve"> </v>
      </c>
      <c r="AB85" s="3414"/>
    </row>
    <row r="86" spans="1:28" ht="13.5" thickBot="1">
      <c r="A86" s="77" t="s">
        <v>120</v>
      </c>
      <c r="B86" s="78" t="s">
        <v>2326</v>
      </c>
      <c r="C86" s="31"/>
      <c r="D86" s="31"/>
      <c r="E86" s="31"/>
      <c r="H86" s="2088" t="e">
        <f>IF(H75=0,0,IF('Data Entry - SOF'!C101+'Data Entry - SOF'!C102-'Existing Debt-OldLaw'!G61&lt;0,0,IF('Data Entry - SOF'!C101+'Data Entry - SOF'!C102-'Existing Debt-OldLaw'!G61&gt;H79,H75,(('Data Entry - SOF'!C101+'Data Entry - SOF'!C102-'Existing Debt-OldLaw'!G61)/H79)*H75)))</f>
        <v>#REF!</v>
      </c>
      <c r="I86" s="2088" t="e">
        <f>IF(I75=0,0,IF('Data Entry - SOF'!C101+'Data Entry - SOF'!C102-'Existing Debt-OldLaw'!H61&lt;0,0,IF('Data Entry - SOF'!C101+'Data Entry - SOF'!C102-'Existing Debt-OldLaw'!H61&gt;I79,I75,(('Data Entry - SOF'!C101+'Data Entry - SOF'!C102-'Existing Debt-OldLaw'!H61)/I79)*I75)))</f>
        <v>#REF!</v>
      </c>
      <c r="J86" s="2088" t="e">
        <f>J75</f>
        <v>#REF!</v>
      </c>
      <c r="K86" s="3343" t="e">
        <f>K75</f>
        <v>#REF!</v>
      </c>
      <c r="L86" s="3369">
        <f>IF(L75=0,0,IF('Data Entry - SOF'!E101+'Data Entry - SOF'!E102-'Existing Debt-HB3'!I61&lt;0,0,IF('Data Entry - SOF'!E101+'Data Entry - SOF'!E102-'Existing Debt-HB3'!I61&gt;L79,L75,(('Data Entry - SOF'!E101+'Data Entry - SOF'!E102-'Existing Debt-HB3'!I61)/L79)*L75)))</f>
        <v>0</v>
      </c>
      <c r="M86" s="3370">
        <f>M75</f>
        <v>0</v>
      </c>
      <c r="N86" s="4390">
        <f>IF(N75=0,0,IF('Data Entry - SOF'!K101+'Data Entry - SOF'!K102-'Existing Debt-HB3'!K61&lt;0,0,IF('Data Entry - SOF'!K101+'Data Entry - SOF'!K102-'Existing Debt-HB3'!K61&gt;N79,N75,(('Data Entry - SOF'!K101+'Data Entry - SOF'!K102-'Existing Debt-HB3'!K61)/N79)*N75)))</f>
        <v>0</v>
      </c>
      <c r="O86" s="4407">
        <f>IF(O75=0,0,IF('Data Entry - SOF'!K101+'Data Entry - SOF'!K102-'Existing Debt-HB3'!L61&lt;0,0,IF('Data Entry - SOF'!K101+'Data Entry - SOF'!K102-'Existing Debt-HB3'!L61&gt;O79,O75,(('Data Entry - SOF'!K101+'Data Entry - SOF'!K102-'Existing Debt-HB3'!L61)/O79)*O75)))</f>
        <v>0</v>
      </c>
      <c r="P86" s="4398">
        <f>P75</f>
        <v>0</v>
      </c>
      <c r="Q86" s="4423">
        <f>IF(Q75=0,0,IF('Data Entry - SOF'!M101+'Data Entry - SOF'!M102-'Existing Debt-HB3'!M61&lt;0,0,IF('Data Entry - SOF'!M101+'Data Entry - SOF'!M102-'Existing Debt-HB3'!M61&gt;Q79,Q75,(('Data Entry - SOF'!M101+'Data Entry - SOF'!M102-'Existing Debt-HB3'!M61)/Q79)*Q75)))</f>
        <v>0</v>
      </c>
      <c r="R86" s="4415">
        <f>IF(R75=0,0,IF('Data Entry - SOF'!M101+'Data Entry - SOF'!M102-'Existing Debt-HB3'!N61&lt;0,0,IF('Data Entry - SOF'!M101+'Data Entry - SOF'!M102-'Existing Debt-HB3'!N61&gt;R79,R75,(('Data Entry - SOF'!M101+'Data Entry - SOF'!M102-'Existing Debt-HB3'!N61)/R79)*R75)))</f>
        <v>0</v>
      </c>
      <c r="S86" s="3387">
        <f>S75</f>
        <v>0</v>
      </c>
      <c r="T86" s="4457">
        <f>IF(T75=0,0,IF('Data Entry - SOF'!O101+'Data Entry - SOF'!O102-'Existing Debt-HB3'!O61&lt;0,0,IF('Data Entry - SOF'!O101+'Data Entry - SOF'!O102-'Existing Debt-HB3'!O61&gt;T79,T75,(('Data Entry - SOF'!O101+'Data Entry - SOF'!O102-'Existing Debt-HB3'!O61)/T79)*T75)))</f>
        <v>0</v>
      </c>
      <c r="U86" s="4451">
        <f>IF(U75=0,0,IF('Data Entry - SOF'!O101+'Data Entry - SOF'!O102-'Existing Debt-HB3'!P61&lt;0,0,IF('Data Entry - SOF'!O101+'Data Entry - SOF'!O102-'Existing Debt-HB3'!P61&gt;U79,U75,(('Data Entry - SOF'!O101+'Data Entry - SOF'!O102-'Existing Debt-HB3'!P61)/U79)*U75)))</f>
        <v>0</v>
      </c>
      <c r="V86" s="4432">
        <f>V75</f>
        <v>0</v>
      </c>
      <c r="W86" s="4470">
        <f>IF(W75=0,0,IF('Data Entry - SOF'!Q101+'Data Entry - SOF'!Q102-'Existing Debt-HB3'!Q61&lt;0,0,IF('Data Entry - SOF'!Q101+'Data Entry - SOF'!Q102-'Existing Debt-HB3'!Q61&gt;W79,W75,(('Data Entry - SOF'!Q101+'Data Entry - SOF'!Q102-'Existing Debt-HB3'!Q61)/W79)*W75)))</f>
        <v>0</v>
      </c>
      <c r="X86" s="4488">
        <f>IF(X75=0,0,IF('Data Entry - SOF'!Q101+'Data Entry - SOF'!Q102-'Existing Debt-HB3'!R61&lt;0,0,IF('Data Entry - SOF'!Q101+'Data Entry - SOF'!Q102-'Existing Debt-HB3'!R61&gt;X79,X75,(('Data Entry - SOF'!Q101+'Data Entry - SOF'!Q102-'Existing Debt-HB3'!R61)/X79)*X75)))</f>
        <v>0</v>
      </c>
      <c r="Y86" s="4479">
        <f>Y75</f>
        <v>0</v>
      </c>
      <c r="Z86" s="4506">
        <f>IF(Z75=0,0,IF('Data Entry - SOF'!S101+'Data Entry - SOF'!S102-'Existing Debt-HB3'!T61&lt;0,0,IF('Data Entry - SOF'!S101+'Data Entry - SOF'!S102-'Existing Debt-HB3'!T61&gt;Z79,Z75,(('Data Entry - SOF'!S101+'Data Entry - SOF'!S102-'Existing Debt-HB3'!T61)/Z79)*Z75)))</f>
        <v>0</v>
      </c>
      <c r="AA86" s="4494">
        <f>IF(AA75=0,0,IF('Data Entry - SOF'!S101+'Data Entry - SOF'!S102-'Existing Debt-HB3'!T61&lt;0,0,IF('Data Entry - SOF'!S101+'Data Entry - SOF'!S102-'Existing Debt-HB3'!T61&gt;AA79,AA75,(('Data Entry - SOF'!S101+'Data Entry - SOF'!S102-'Existing Debt-HB3'!T61)/AA79)*AA75)))</f>
        <v>0</v>
      </c>
      <c r="AB86" s="4515">
        <f>AB75</f>
        <v>0</v>
      </c>
    </row>
    <row r="87" spans="1:28" ht="13.5" thickTop="1">
      <c r="A87" s="77"/>
      <c r="B87" s="306" t="s">
        <v>2327</v>
      </c>
      <c r="C87" s="31"/>
      <c r="D87" s="31"/>
      <c r="E87" s="31"/>
    </row>
    <row r="88" spans="1:28">
      <c r="A88" s="77"/>
      <c r="B88" s="69" t="s">
        <v>3923</v>
      </c>
      <c r="C88" s="31"/>
      <c r="D88" s="31"/>
      <c r="E88" s="31"/>
    </row>
    <row r="89" spans="1:28">
      <c r="A89" s="41"/>
      <c r="B89" s="306" t="s">
        <v>590</v>
      </c>
      <c r="C89" s="31"/>
      <c r="D89" s="31"/>
      <c r="E89" s="31"/>
    </row>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3" workbookViewId="0">
      <selection activeCell="D22" sqref="D22"/>
    </sheetView>
  </sheetViews>
  <sheetFormatPr defaultRowHeight="12.75"/>
  <cols>
    <col min="1" max="1" width="5.42578125" customWidth="1"/>
    <col min="2" max="2" width="61.85546875" customWidth="1"/>
    <col min="3" max="3" width="5.5703125" customWidth="1"/>
    <col min="4" max="5" width="22.5703125" customWidth="1"/>
  </cols>
  <sheetData>
    <row r="1" spans="1:5">
      <c r="A1" s="380" t="s">
        <v>2992</v>
      </c>
      <c r="E1" s="754" t="str">
        <f>'Report-EDA1920'!D1</f>
        <v>Release 10</v>
      </c>
    </row>
    <row r="2" spans="1:5">
      <c r="A2" s="380" t="s">
        <v>2865</v>
      </c>
      <c r="E2" s="72">
        <f>'Report-EDA1920'!D2</f>
        <v>43724</v>
      </c>
    </row>
    <row r="3" spans="1:5">
      <c r="A3" s="64"/>
      <c r="E3" s="58">
        <f>'Report-EDA1920'!D3</f>
        <v>0</v>
      </c>
    </row>
    <row r="4" spans="1:5" ht="15.75">
      <c r="A4" s="381" t="s">
        <v>3326</v>
      </c>
    </row>
    <row r="5" spans="1:5" ht="15.75">
      <c r="A5" s="383">
        <f>'Data Entry - SOF'!B1</f>
        <v>0</v>
      </c>
    </row>
    <row r="6" spans="1:5" ht="15.75">
      <c r="A6" s="381">
        <f>'Data Entry - SOF'!B2</f>
        <v>0</v>
      </c>
    </row>
    <row r="9" spans="1:5" s="266" customFormat="1" ht="18">
      <c r="A9" s="564" t="s">
        <v>3111</v>
      </c>
      <c r="B9" s="558"/>
      <c r="C9" s="558"/>
      <c r="D9" s="532" t="s">
        <v>2964</v>
      </c>
      <c r="E9" s="593" t="s">
        <v>2964</v>
      </c>
    </row>
    <row r="10" spans="1:5" s="382" customFormat="1" ht="18">
      <c r="A10" s="562" t="s">
        <v>2866</v>
      </c>
      <c r="B10" s="560"/>
      <c r="C10" s="560"/>
      <c r="D10" s="533" t="s">
        <v>1718</v>
      </c>
      <c r="E10" s="537" t="s">
        <v>1719</v>
      </c>
    </row>
    <row r="11" spans="1:5" s="382" customFormat="1" ht="15">
      <c r="A11" s="385" t="s">
        <v>2186</v>
      </c>
      <c r="B11" s="386" t="s">
        <v>2965</v>
      </c>
      <c r="C11" s="386"/>
      <c r="D11" s="390">
        <f>D36</f>
        <v>0</v>
      </c>
      <c r="E11" s="390">
        <f>E36</f>
        <v>0</v>
      </c>
    </row>
    <row r="12" spans="1:5" s="382" customFormat="1" ht="15">
      <c r="A12" s="385" t="s">
        <v>2187</v>
      </c>
      <c r="B12" s="386" t="s">
        <v>2966</v>
      </c>
      <c r="C12" s="386"/>
      <c r="D12" s="391">
        <f>'IFA-HB3'!N58</f>
        <v>400</v>
      </c>
      <c r="E12" s="391">
        <f>D12</f>
        <v>400</v>
      </c>
    </row>
    <row r="13" spans="1:5" s="382" customFormat="1" ht="15">
      <c r="A13" s="385" t="s">
        <v>2188</v>
      </c>
      <c r="B13" s="386" t="s">
        <v>10327</v>
      </c>
      <c r="C13" s="386"/>
      <c r="D13" s="390">
        <f>'Report-EDA1920'!D18</f>
        <v>0</v>
      </c>
      <c r="E13" s="390">
        <f>D13</f>
        <v>0</v>
      </c>
    </row>
    <row r="14" spans="1:5" s="382" customFormat="1" ht="15">
      <c r="A14" s="385" t="s">
        <v>909</v>
      </c>
      <c r="B14" s="386" t="s">
        <v>2967</v>
      </c>
      <c r="C14" s="386"/>
      <c r="D14" s="390">
        <f>'IFA-HB3'!N65</f>
        <v>0</v>
      </c>
      <c r="E14" s="390">
        <f>'IFA-HB3'!P65</f>
        <v>0</v>
      </c>
    </row>
    <row r="15" spans="1:5" s="382" customFormat="1" ht="15">
      <c r="A15" s="385" t="s">
        <v>910</v>
      </c>
      <c r="B15" s="386" t="s">
        <v>2968</v>
      </c>
      <c r="C15" s="386"/>
      <c r="D15" s="469">
        <f>'IFA-HB3'!N67</f>
        <v>0</v>
      </c>
      <c r="E15" s="469">
        <f>'IFA-HB3'!P67</f>
        <v>0</v>
      </c>
    </row>
    <row r="16" spans="1:5" s="382" customFormat="1" ht="15">
      <c r="A16" s="385" t="s">
        <v>912</v>
      </c>
      <c r="B16" s="386" t="s">
        <v>2969</v>
      </c>
      <c r="C16" s="386"/>
      <c r="D16" s="469">
        <f>'IFA-HB3'!N69</f>
        <v>0</v>
      </c>
      <c r="E16" s="469">
        <f>'IFA-HB3'!P69</f>
        <v>0</v>
      </c>
    </row>
    <row r="17" spans="1:5" s="382" customFormat="1" ht="15">
      <c r="A17" s="385" t="s">
        <v>913</v>
      </c>
      <c r="B17" s="386" t="str">
        <f>CONCATENATE("State's Share of $",Weights!K49," per ADA Yield")</f>
        <v>State's Share of $35 per ADA Yield</v>
      </c>
      <c r="C17" s="386"/>
      <c r="D17" s="390">
        <f>'IFA-HB3'!N71</f>
        <v>35</v>
      </c>
      <c r="E17" s="390">
        <f>'IFA-HB3'!P71</f>
        <v>35</v>
      </c>
    </row>
    <row r="18" spans="1:5" s="382" customFormat="1" ht="15">
      <c r="A18" s="385" t="s">
        <v>914</v>
      </c>
      <c r="B18" s="386" t="s">
        <v>2970</v>
      </c>
      <c r="C18" s="386"/>
      <c r="D18" s="470">
        <f>'IFA-HB3'!N73</f>
        <v>1</v>
      </c>
      <c r="E18" s="470">
        <f>'IFA-HB3'!P73</f>
        <v>1</v>
      </c>
    </row>
    <row r="19" spans="1:5" s="382" customFormat="1" ht="15">
      <c r="A19" s="385" t="s">
        <v>118</v>
      </c>
      <c r="B19" s="386" t="s">
        <v>2971</v>
      </c>
      <c r="C19" s="386"/>
      <c r="D19" s="390">
        <f>'IFA-HB3'!N75</f>
        <v>0</v>
      </c>
      <c r="E19" s="390">
        <f>'IFA-HB3'!P75</f>
        <v>0</v>
      </c>
    </row>
    <row r="20" spans="1:5" s="382" customFormat="1" ht="15">
      <c r="A20" s="385" t="s">
        <v>119</v>
      </c>
      <c r="B20" s="386" t="s">
        <v>2972</v>
      </c>
      <c r="C20" s="386"/>
      <c r="D20" s="390">
        <f>'IFA-HB3'!N79</f>
        <v>0</v>
      </c>
      <c r="E20" s="390">
        <f>'IFA-HB3'!P79</f>
        <v>0</v>
      </c>
    </row>
    <row r="21" spans="1:5" s="382" customFormat="1" ht="15.75">
      <c r="A21" s="385" t="s">
        <v>120</v>
      </c>
      <c r="B21" s="384" t="s">
        <v>2973</v>
      </c>
      <c r="C21" s="386"/>
      <c r="D21" s="390">
        <f>'IFA-HB3'!N86</f>
        <v>0</v>
      </c>
      <c r="E21" s="390">
        <f>'IFA-HB3'!P86</f>
        <v>0</v>
      </c>
    </row>
    <row r="22" spans="1:5" s="382" customFormat="1" ht="15.75">
      <c r="B22" s="477" t="s">
        <v>2978</v>
      </c>
      <c r="D22" s="1433" t="s">
        <v>10291</v>
      </c>
    </row>
    <row r="23" spans="1:5" s="382" customFormat="1" ht="15"/>
    <row r="24" spans="1:5" s="382" customFormat="1" ht="15.75">
      <c r="B24" s="325" t="s">
        <v>2939</v>
      </c>
    </row>
    <row r="25" spans="1:5" s="382" customFormat="1" ht="15.75">
      <c r="B25" s="325" t="s">
        <v>8270</v>
      </c>
    </row>
    <row r="26" spans="1:5" s="382" customFormat="1" ht="15.75">
      <c r="B26" s="325" t="s">
        <v>8271</v>
      </c>
    </row>
    <row r="27" spans="1:5" s="382" customFormat="1" ht="15.75">
      <c r="B27" s="565" t="s">
        <v>8272</v>
      </c>
    </row>
    <row r="28" spans="1:5" s="382" customFormat="1" ht="15"/>
    <row r="29" spans="1:5" s="382" customFormat="1" ht="15.75">
      <c r="B29" s="325" t="s">
        <v>8273</v>
      </c>
    </row>
    <row r="30" spans="1:5" s="382" customFormat="1" ht="15.75">
      <c r="B30" s="565" t="s">
        <v>10328</v>
      </c>
    </row>
    <row r="31" spans="1:5" s="382" customFormat="1" ht="15.75">
      <c r="B31" s="325" t="s">
        <v>8275</v>
      </c>
    </row>
    <row r="32" spans="1:5" s="382" customFormat="1" ht="15.75" hidden="1">
      <c r="B32" s="473" t="s">
        <v>6376</v>
      </c>
      <c r="E32" s="833">
        <f>IF(ISNA('DE1'!D65),0,'DE1'!D65)</f>
        <v>0</v>
      </c>
    </row>
    <row r="33" spans="2:5" s="382" customFormat="1" ht="15.75">
      <c r="B33" s="325"/>
    </row>
    <row r="34" spans="2:5" s="382" customFormat="1" ht="15.75">
      <c r="D34" s="482" t="s">
        <v>1718</v>
      </c>
      <c r="E34" s="482" t="s">
        <v>1719</v>
      </c>
    </row>
    <row r="35" spans="2:5" s="382" customFormat="1" ht="15.75">
      <c r="D35" s="482" t="s">
        <v>3044</v>
      </c>
      <c r="E35" s="482" t="s">
        <v>3044</v>
      </c>
    </row>
    <row r="36" spans="2:5" s="382" customFormat="1" ht="15.75">
      <c r="D36" s="1989">
        <f>IFA_Limits!H55</f>
        <v>0</v>
      </c>
      <c r="E36" s="1989">
        <f>IFA_Limits!H56</f>
        <v>0</v>
      </c>
    </row>
    <row r="37" spans="2:5" s="382" customFormat="1" ht="15.75">
      <c r="B37" s="1955" t="s">
        <v>2451</v>
      </c>
      <c r="C37" s="325"/>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c r="D50"/>
    </row>
    <row r="51" spans="4:4" s="382" customFormat="1" ht="15">
      <c r="D51"/>
    </row>
  </sheetData>
  <hyperlinks>
    <hyperlink ref="D22" location="'Report-SOF1920-HB3'!A1" display="'Report-SOF1920-HB3'!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0" t="s">
        <v>3118</v>
      </c>
      <c r="E1" s="754" t="str">
        <f>'Report-IFA1920'!E1</f>
        <v>Release 10</v>
      </c>
    </row>
    <row r="2" spans="1:5">
      <c r="A2" s="380" t="s">
        <v>3119</v>
      </c>
      <c r="E2" s="72">
        <f>'Report-IFA1920'!E2</f>
        <v>43724</v>
      </c>
    </row>
    <row r="3" spans="1:5">
      <c r="A3" s="64"/>
      <c r="E3" s="58">
        <f>'Report-IFA1920'!E3</f>
        <v>0</v>
      </c>
    </row>
    <row r="4" spans="1:5" ht="15.75">
      <c r="A4" s="381" t="s">
        <v>3327</v>
      </c>
    </row>
    <row r="5" spans="1:5" ht="15.75">
      <c r="A5" s="383">
        <f>'Data Entry - SOF'!B1</f>
        <v>0</v>
      </c>
    </row>
    <row r="6" spans="1:5" ht="15.75">
      <c r="A6" s="381">
        <f>'Data Entry - SOF'!B2</f>
        <v>0</v>
      </c>
    </row>
    <row r="8" spans="1:5" ht="18">
      <c r="A8" s="591" t="s">
        <v>3121</v>
      </c>
      <c r="B8" s="535"/>
      <c r="C8" s="532" t="s">
        <v>2080</v>
      </c>
      <c r="D8" s="592"/>
      <c r="E8" s="593" t="s">
        <v>3123</v>
      </c>
    </row>
    <row r="9" spans="1:5" ht="18">
      <c r="A9" s="552" t="s">
        <v>3120</v>
      </c>
      <c r="B9" s="594"/>
      <c r="C9" s="533" t="s">
        <v>3122</v>
      </c>
      <c r="D9" s="595"/>
      <c r="E9" s="537" t="s">
        <v>3124</v>
      </c>
    </row>
    <row r="10" spans="1:5" ht="15.75">
      <c r="A10" s="596" t="s">
        <v>3129</v>
      </c>
      <c r="B10" s="597"/>
      <c r="C10" s="597"/>
      <c r="D10" s="597"/>
      <c r="E10" s="598"/>
    </row>
    <row r="11" spans="1:5" ht="15">
      <c r="A11" s="385" t="s">
        <v>2186</v>
      </c>
      <c r="B11" s="386" t="s">
        <v>3125</v>
      </c>
      <c r="C11" s="388">
        <f>'Data Entry - SOF'!K129</f>
        <v>0</v>
      </c>
      <c r="D11" s="386"/>
      <c r="E11" s="388" t="e">
        <f>'Report-SOF1920-HB3'!D67</f>
        <v>#DIV/0!</v>
      </c>
    </row>
    <row r="12" spans="1:5" ht="15">
      <c r="A12" s="385" t="s">
        <v>2187</v>
      </c>
      <c r="B12" s="386" t="s">
        <v>3126</v>
      </c>
      <c r="C12" s="388">
        <f>'Data Entry - SOF'!K130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8">
      <c r="A15" s="382"/>
      <c r="B15" s="599" t="s">
        <v>3130</v>
      </c>
      <c r="C15" s="492"/>
      <c r="D15" s="492"/>
      <c r="E15" s="602" t="e">
        <f>E13-C13</f>
        <v>#DIV/0!</v>
      </c>
    </row>
    <row r="16" spans="1:5" ht="15.75">
      <c r="A16" s="382"/>
      <c r="C16" s="477" t="s">
        <v>2978</v>
      </c>
      <c r="D16" s="382"/>
      <c r="E16" s="1433" t="s">
        <v>10291</v>
      </c>
    </row>
    <row r="17" spans="1:5" ht="15.75">
      <c r="A17" s="382"/>
      <c r="C17" s="477"/>
      <c r="D17" s="382"/>
      <c r="E17" s="382"/>
    </row>
    <row r="18" spans="1:5" ht="15">
      <c r="A18" s="382"/>
      <c r="B18" s="382"/>
      <c r="C18" s="382"/>
      <c r="D18" s="382"/>
      <c r="E18" s="382"/>
    </row>
    <row r="19" spans="1:5" ht="15.75">
      <c r="A19" s="382"/>
      <c r="B19" s="325" t="s">
        <v>3128</v>
      </c>
      <c r="C19" s="382"/>
      <c r="D19" s="382"/>
      <c r="E19" s="382"/>
    </row>
    <row r="20" spans="1:5" ht="15.75">
      <c r="A20" s="382"/>
      <c r="B20" s="325" t="s">
        <v>3133</v>
      </c>
      <c r="C20" s="382"/>
      <c r="D20" s="382"/>
    </row>
    <row r="21" spans="1:5" ht="15.75">
      <c r="A21" s="382"/>
      <c r="B21" s="325" t="s">
        <v>3134</v>
      </c>
      <c r="C21" s="382"/>
      <c r="D21" s="382"/>
    </row>
    <row r="22" spans="1:5" ht="15.75">
      <c r="A22" s="382"/>
      <c r="B22" s="325" t="s">
        <v>3135</v>
      </c>
    </row>
    <row r="23" spans="1:5" ht="15.75">
      <c r="A23" s="382"/>
      <c r="B23" s="325"/>
    </row>
    <row r="24" spans="1:5" ht="15.75">
      <c r="A24" s="382"/>
      <c r="B24" s="325" t="s">
        <v>3131</v>
      </c>
    </row>
    <row r="25" spans="1:5" ht="15.7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1920-HB3'!A1" display="'Report-SOF1920-HB3'!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Z543"/>
  <sheetViews>
    <sheetView showOutlineSymbols="0" zoomScale="80" zoomScaleNormal="80" workbookViewId="0">
      <selection activeCell="K15" sqref="K15"/>
    </sheetView>
  </sheetViews>
  <sheetFormatPr defaultColWidth="10.5703125" defaultRowHeight="12.75"/>
  <cols>
    <col min="1" max="1" width="23.5703125" customWidth="1"/>
    <col min="2" max="2" width="81" customWidth="1"/>
    <col min="3" max="3" width="20.5703125" style="2025" hidden="1" customWidth="1"/>
    <col min="4" max="4" width="2.5703125" style="2011" hidden="1" customWidth="1"/>
    <col min="5" max="5" width="20.5703125" customWidth="1"/>
    <col min="6" max="6" width="2.5703125" customWidth="1"/>
    <col min="7" max="7" width="20.5703125" hidden="1" customWidth="1"/>
    <col min="8" max="8" width="2.5703125" style="119" hidden="1" customWidth="1"/>
    <col min="9" max="9" width="20.5703125" hidden="1" customWidth="1"/>
    <col min="10" max="10" width="10.7109375" style="3066" hidden="1" customWidth="1"/>
    <col min="11" max="11" width="20.5703125" customWidth="1"/>
    <col min="12" max="12" width="2.5703125" style="119" customWidth="1"/>
    <col min="13" max="13" width="20.5703125" customWidth="1"/>
    <col min="14" max="14" width="2.5703125" style="119" customWidth="1"/>
    <col min="15" max="15" width="20.5703125" customWidth="1"/>
    <col min="16" max="16" width="2.5703125" style="119" customWidth="1"/>
    <col min="17" max="17" width="20.5703125" customWidth="1"/>
    <col min="18" max="18" width="2.5703125" style="119" customWidth="1"/>
    <col min="19" max="19" width="20.5703125" customWidth="1"/>
    <col min="20" max="20" width="2.5703125" style="119" customWidth="1"/>
    <col min="21" max="21" width="17.140625" customWidth="1"/>
    <col min="22" max="22" width="30.5703125" style="204" customWidth="1"/>
    <col min="23" max="23" width="18.5703125" customWidth="1"/>
    <col min="24" max="24" width="19.85546875" customWidth="1"/>
    <col min="25" max="25" width="24.5703125" customWidth="1"/>
    <col min="26" max="26" width="30.5703125" customWidth="1"/>
    <col min="27" max="27" width="17" customWidth="1"/>
    <col min="28" max="28" width="16.5703125" hidden="1" customWidth="1"/>
    <col min="29" max="29" width="18.42578125" customWidth="1"/>
    <col min="30" max="32" width="17.5703125" customWidth="1"/>
    <col min="33" max="33" width="16" customWidth="1"/>
    <col min="34" max="34" width="16.42578125" customWidth="1"/>
  </cols>
  <sheetData>
    <row r="1" spans="1:24" s="382" customFormat="1" ht="15.75">
      <c r="A1" s="30" t="s">
        <v>66</v>
      </c>
      <c r="B1" s="608">
        <f>IF(ISNA('DE1'!C1),0,'DE1'!C1)</f>
        <v>0</v>
      </c>
      <c r="D1" s="1959"/>
      <c r="E1" s="2862" t="s">
        <v>6940</v>
      </c>
      <c r="H1" s="435"/>
      <c r="J1" s="1959"/>
      <c r="L1" s="435"/>
      <c r="M1"/>
      <c r="N1" s="435"/>
      <c r="P1" s="435"/>
      <c r="R1" s="435"/>
      <c r="S1" s="3146" t="s">
        <v>10351</v>
      </c>
      <c r="T1" s="435"/>
      <c r="V1" s="325"/>
    </row>
    <row r="2" spans="1:24" s="382" customFormat="1" ht="15.75">
      <c r="A2" s="30" t="s">
        <v>67</v>
      </c>
      <c r="B2" s="481"/>
      <c r="D2" s="1959"/>
      <c r="E2" s="2863" t="s">
        <v>8736</v>
      </c>
      <c r="H2" s="435"/>
      <c r="J2" s="1959"/>
      <c r="L2" s="435"/>
      <c r="M2"/>
      <c r="N2" s="435"/>
      <c r="P2" s="435"/>
      <c r="R2" s="435"/>
      <c r="S2" s="3147">
        <v>43724</v>
      </c>
      <c r="T2" s="435"/>
      <c r="V2" s="325"/>
      <c r="X2" s="30"/>
    </row>
    <row r="3" spans="1:24" s="382" customFormat="1" ht="15.75">
      <c r="A3" s="30" t="s">
        <v>143</v>
      </c>
      <c r="B3" s="472">
        <f ca="1">NOW()</f>
        <v>43726.623322453706</v>
      </c>
      <c r="D3" s="1959"/>
      <c r="E3" s="2864"/>
      <c r="H3" s="435"/>
      <c r="J3" s="1959"/>
      <c r="L3" s="435"/>
      <c r="M3" s="58"/>
      <c r="N3" s="435"/>
      <c r="P3" s="435"/>
      <c r="R3" s="435"/>
      <c r="S3" s="1106"/>
      <c r="T3" s="435"/>
      <c r="V3" s="325"/>
      <c r="X3" s="452"/>
    </row>
    <row r="4" spans="1:24" s="382" customFormat="1" ht="15.75">
      <c r="A4" s="30" t="s">
        <v>1858</v>
      </c>
      <c r="B4" s="1105"/>
      <c r="D4" s="1959"/>
      <c r="E4" s="2865" t="s">
        <v>6975</v>
      </c>
      <c r="H4" s="435"/>
      <c r="J4" s="1959"/>
      <c r="L4" s="435"/>
      <c r="N4" s="435"/>
      <c r="P4" s="435"/>
      <c r="R4" s="435"/>
      <c r="T4" s="435"/>
      <c r="V4" s="444"/>
    </row>
    <row r="5" spans="1:24" ht="19.5">
      <c r="A5" s="20"/>
      <c r="B5" s="3061"/>
    </row>
    <row r="7" spans="1:24" s="266" customFormat="1" ht="18">
      <c r="A7" s="765" t="s">
        <v>8281</v>
      </c>
      <c r="B7" s="4014"/>
      <c r="C7" s="2026"/>
      <c r="D7" s="2027"/>
      <c r="E7"/>
      <c r="F7"/>
      <c r="G7"/>
      <c r="H7" s="267"/>
      <c r="J7" s="2454"/>
      <c r="L7" s="267"/>
      <c r="N7" s="267"/>
      <c r="P7" s="267"/>
      <c r="R7" s="267"/>
      <c r="T7" s="267"/>
      <c r="V7" s="3136"/>
    </row>
    <row r="8" spans="1:24">
      <c r="A8" s="1991" t="s">
        <v>8282</v>
      </c>
    </row>
    <row r="10" spans="1:24" ht="15.75">
      <c r="A10" s="325" t="s">
        <v>8825</v>
      </c>
      <c r="G10" s="3148"/>
      <c r="I10" s="3148"/>
      <c r="K10" s="3148"/>
    </row>
    <row r="11" spans="1:24" ht="12.75" customHeight="1">
      <c r="A11" s="325" t="s">
        <v>6624</v>
      </c>
    </row>
    <row r="12" spans="1:24" ht="12.75" customHeight="1">
      <c r="A12" s="100" t="s">
        <v>2934</v>
      </c>
    </row>
    <row r="13" spans="1:24" ht="12.75" customHeight="1">
      <c r="A13" s="35"/>
    </row>
    <row r="14" spans="1:24">
      <c r="E14" s="235"/>
      <c r="G14" s="3148"/>
    </row>
    <row r="15" spans="1:24" ht="16.350000000000001" customHeight="1">
      <c r="A15" s="4532" t="s">
        <v>9409</v>
      </c>
      <c r="B15" s="4533"/>
      <c r="C15" s="4534"/>
      <c r="D15" s="4535" t="s">
        <v>7070</v>
      </c>
      <c r="E15" s="4536"/>
      <c r="G15" s="3004" t="s">
        <v>9147</v>
      </c>
      <c r="H15"/>
      <c r="I15" s="3004" t="s">
        <v>9147</v>
      </c>
      <c r="L15"/>
      <c r="N15"/>
      <c r="P15"/>
      <c r="R15"/>
      <c r="T15" s="706"/>
      <c r="U15" s="20"/>
      <c r="W15" s="20"/>
    </row>
    <row r="16" spans="1:24" ht="16.350000000000001" customHeight="1">
      <c r="G16" s="3057" t="s">
        <v>9148</v>
      </c>
      <c r="H16"/>
      <c r="I16" s="3057" t="s">
        <v>9148</v>
      </c>
      <c r="L16"/>
      <c r="N16"/>
      <c r="P16"/>
      <c r="R16"/>
      <c r="T16" s="706"/>
    </row>
    <row r="17" spans="1:52" s="266" customFormat="1" ht="18">
      <c r="A17" s="2554"/>
      <c r="B17" s="3203" t="s">
        <v>2707</v>
      </c>
      <c r="C17" s="3202" t="s">
        <v>3138</v>
      </c>
      <c r="D17" s="3202"/>
      <c r="E17" s="3053" t="s">
        <v>3225</v>
      </c>
      <c r="F17" s="3458"/>
      <c r="G17" s="3053" t="s">
        <v>3284</v>
      </c>
      <c r="H17" s="1374"/>
      <c r="I17" s="1374" t="s">
        <v>3922</v>
      </c>
      <c r="J17" s="3066"/>
      <c r="K17" s="1374" t="s">
        <v>3284</v>
      </c>
      <c r="L17" s="1374"/>
      <c r="M17" s="1374" t="s">
        <v>3922</v>
      </c>
      <c r="N17" s="1374"/>
      <c r="O17" s="1374" t="s">
        <v>6374</v>
      </c>
      <c r="P17" s="1374"/>
      <c r="Q17" s="1374" t="s">
        <v>6939</v>
      </c>
      <c r="R17" s="1374"/>
      <c r="S17" s="1702" t="s">
        <v>8157</v>
      </c>
      <c r="T17" s="1316"/>
      <c r="V17" s="3137"/>
    </row>
    <row r="18" spans="1:52" s="266" customFormat="1" ht="18">
      <c r="A18" s="1372" t="s">
        <v>2708</v>
      </c>
      <c r="B18" s="1373"/>
      <c r="C18" s="2029" t="s">
        <v>2805</v>
      </c>
      <c r="D18" s="2029"/>
      <c r="E18" s="1375" t="s">
        <v>2805</v>
      </c>
      <c r="F18" s="3458"/>
      <c r="G18" s="1375" t="s">
        <v>2805</v>
      </c>
      <c r="H18" s="1375"/>
      <c r="I18" s="1375" t="s">
        <v>2805</v>
      </c>
      <c r="J18" s="3066"/>
      <c r="K18" s="1375" t="s">
        <v>2805</v>
      </c>
      <c r="L18" s="1375"/>
      <c r="M18" s="1375" t="s">
        <v>2805</v>
      </c>
      <c r="N18" s="1375"/>
      <c r="O18" s="1375" t="s">
        <v>2805</v>
      </c>
      <c r="P18" s="1375"/>
      <c r="Q18" s="1375" t="s">
        <v>2805</v>
      </c>
      <c r="R18" s="1375"/>
      <c r="S18" s="1375" t="s">
        <v>2805</v>
      </c>
      <c r="T18" s="1316"/>
      <c r="V18" s="3137"/>
    </row>
    <row r="19" spans="1:52" s="382" customFormat="1" ht="15" customHeight="1">
      <c r="A19" s="432" t="s">
        <v>498</v>
      </c>
      <c r="B19" s="459"/>
      <c r="C19" s="2030">
        <v>0</v>
      </c>
      <c r="D19" s="2024"/>
      <c r="E19" s="3183">
        <v>0</v>
      </c>
      <c r="F19" s="3458"/>
      <c r="G19" s="3056"/>
      <c r="H19" s="835"/>
      <c r="I19" s="3056"/>
      <c r="J19" s="3458"/>
      <c r="K19" s="3199">
        <v>0</v>
      </c>
      <c r="L19" s="835"/>
      <c r="M19" s="3209">
        <f>K19</f>
        <v>0</v>
      </c>
      <c r="N19" s="835"/>
      <c r="O19" s="3207">
        <f>M19</f>
        <v>0</v>
      </c>
      <c r="P19" s="835"/>
      <c r="Q19" s="1307">
        <f>O19</f>
        <v>0</v>
      </c>
      <c r="R19" s="835"/>
      <c r="S19" s="1703">
        <f>Q19</f>
        <v>0</v>
      </c>
      <c r="T19" s="835"/>
      <c r="U19" t="s">
        <v>3011</v>
      </c>
      <c r="Y19" s="437"/>
      <c r="Z19" s="438"/>
      <c r="AZ19" s="266"/>
    </row>
    <row r="20" spans="1:52" s="382" customFormat="1" ht="15" customHeight="1">
      <c r="A20" s="3118" t="s">
        <v>9027</v>
      </c>
      <c r="B20" s="3119"/>
      <c r="C20" s="3117"/>
      <c r="D20" s="2024"/>
      <c r="E20" s="4118"/>
      <c r="F20" s="3458"/>
      <c r="G20" s="3056"/>
      <c r="H20" s="835"/>
      <c r="I20" s="3056"/>
      <c r="J20" s="3458"/>
      <c r="K20" s="3175" t="s">
        <v>1782</v>
      </c>
      <c r="L20" s="835"/>
      <c r="M20" s="3210" t="str">
        <f>K20</f>
        <v>N</v>
      </c>
      <c r="N20" s="835"/>
      <c r="O20" s="3208" t="str">
        <f>M20</f>
        <v>N</v>
      </c>
      <c r="P20" s="835"/>
      <c r="Q20" s="3194" t="str">
        <f>O20</f>
        <v>N</v>
      </c>
      <c r="R20" s="835"/>
      <c r="S20" s="3194" t="str">
        <f>Q20</f>
        <v>N</v>
      </c>
      <c r="T20" s="835"/>
      <c r="U20" s="35" t="s">
        <v>9333</v>
      </c>
      <c r="V20" s="3137"/>
      <c r="Y20" s="437"/>
      <c r="Z20" s="438"/>
      <c r="AZ20" s="266"/>
    </row>
    <row r="21" spans="1:52" s="382" customFormat="1" ht="15" customHeight="1">
      <c r="A21" s="432" t="s">
        <v>2933</v>
      </c>
      <c r="B21" s="459"/>
      <c r="C21" s="2031">
        <v>0</v>
      </c>
      <c r="D21" s="2024"/>
      <c r="E21" s="3183">
        <v>0</v>
      </c>
      <c r="F21" s="3458"/>
      <c r="G21" s="3174">
        <v>18676.169999999998</v>
      </c>
      <c r="H21" s="835"/>
      <c r="I21" s="3174">
        <v>18676.169999999998</v>
      </c>
      <c r="J21" s="3458"/>
      <c r="K21" s="3199">
        <v>0</v>
      </c>
      <c r="L21" s="835"/>
      <c r="M21" s="3209">
        <f t="shared" ref="M21:M38" si="0">K21</f>
        <v>0</v>
      </c>
      <c r="N21" s="835"/>
      <c r="O21" s="3207">
        <f>M21</f>
        <v>0</v>
      </c>
      <c r="P21" s="835"/>
      <c r="Q21" s="1307">
        <f>O21</f>
        <v>0</v>
      </c>
      <c r="R21" s="835"/>
      <c r="S21" s="1703">
        <f>Q21</f>
        <v>0</v>
      </c>
      <c r="T21" s="835"/>
      <c r="U21" t="s">
        <v>3012</v>
      </c>
      <c r="V21" s="444"/>
      <c r="Y21" s="437"/>
      <c r="Z21" s="438"/>
    </row>
    <row r="22" spans="1:52" s="382" customFormat="1" ht="15" customHeight="1">
      <c r="A22" s="1376" t="s">
        <v>539</v>
      </c>
      <c r="B22" s="1377"/>
      <c r="C22" s="2032"/>
      <c r="D22" s="2032"/>
      <c r="E22" s="3153"/>
      <c r="F22" s="3458"/>
      <c r="G22" s="3153"/>
      <c r="H22" s="1378"/>
      <c r="I22" s="3452"/>
      <c r="J22" s="3458"/>
      <c r="K22" s="1378"/>
      <c r="L22" s="1378"/>
      <c r="M22" s="1378"/>
      <c r="N22" s="1378"/>
      <c r="O22" s="1378"/>
      <c r="P22" s="1378"/>
      <c r="Q22" s="1378"/>
      <c r="R22" s="1378"/>
      <c r="S22" s="1704"/>
      <c r="T22" s="1317"/>
      <c r="V22" s="444"/>
      <c r="Y22" s="439"/>
      <c r="Z22" s="440"/>
    </row>
    <row r="23" spans="1:52" s="382" customFormat="1" ht="15" customHeight="1">
      <c r="A23" s="432" t="s">
        <v>499</v>
      </c>
      <c r="B23" s="412"/>
      <c r="C23" s="2030">
        <v>0</v>
      </c>
      <c r="D23" s="2024"/>
      <c r="E23" s="3183">
        <v>0</v>
      </c>
      <c r="F23" s="3458"/>
      <c r="G23" s="3056"/>
      <c r="H23" s="835"/>
      <c r="I23" s="3056"/>
      <c r="J23" s="3458"/>
      <c r="K23" s="3199">
        <v>0</v>
      </c>
      <c r="L23" s="835"/>
      <c r="M23" s="3209">
        <f t="shared" si="0"/>
        <v>0</v>
      </c>
      <c r="N23" s="835"/>
      <c r="O23" s="3207">
        <f>M23</f>
        <v>0</v>
      </c>
      <c r="P23" s="835"/>
      <c r="Q23" s="1307">
        <f>O23</f>
        <v>0</v>
      </c>
      <c r="R23" s="835"/>
      <c r="S23" s="1703">
        <f>Q23</f>
        <v>0</v>
      </c>
      <c r="T23" s="835"/>
      <c r="U23" t="s">
        <v>2920</v>
      </c>
      <c r="V23" s="444"/>
      <c r="Y23" s="437"/>
      <c r="Z23" s="438"/>
    </row>
    <row r="24" spans="1:52" s="382" customFormat="1" ht="15" customHeight="1">
      <c r="A24" s="447" t="s">
        <v>500</v>
      </c>
      <c r="B24" s="448"/>
      <c r="C24" s="2030">
        <v>0</v>
      </c>
      <c r="D24" s="2024"/>
      <c r="E24" s="3183">
        <v>0</v>
      </c>
      <c r="F24" s="3458"/>
      <c r="G24" s="3056"/>
      <c r="H24" s="835"/>
      <c r="I24" s="3056"/>
      <c r="J24" s="3458"/>
      <c r="K24" s="3199">
        <v>0</v>
      </c>
      <c r="L24" s="835"/>
      <c r="M24" s="3209">
        <f t="shared" si="0"/>
        <v>0</v>
      </c>
      <c r="N24" s="835"/>
      <c r="O24" s="3207">
        <f t="shared" ref="O24:O70" si="1">M24</f>
        <v>0</v>
      </c>
      <c r="P24" s="835"/>
      <c r="Q24" s="1307">
        <f t="shared" ref="Q24:S62" si="2">O24</f>
        <v>0</v>
      </c>
      <c r="R24" s="835"/>
      <c r="S24" s="1703">
        <f t="shared" si="2"/>
        <v>0</v>
      </c>
      <c r="T24" s="835"/>
      <c r="U24" t="s">
        <v>2995</v>
      </c>
      <c r="V24" s="444"/>
      <c r="Y24" s="437"/>
      <c r="Z24" s="438"/>
    </row>
    <row r="25" spans="1:52" s="382" customFormat="1" ht="15" customHeight="1">
      <c r="A25" s="432" t="s">
        <v>1699</v>
      </c>
      <c r="B25" s="412"/>
      <c r="C25" s="2030">
        <v>0</v>
      </c>
      <c r="D25" s="2024"/>
      <c r="E25" s="3183">
        <v>0</v>
      </c>
      <c r="F25" s="3458"/>
      <c r="G25" s="3056"/>
      <c r="H25" s="835"/>
      <c r="I25" s="3056"/>
      <c r="J25" s="3458"/>
      <c r="K25" s="3199">
        <v>0</v>
      </c>
      <c r="L25" s="835"/>
      <c r="M25" s="3209">
        <f t="shared" si="0"/>
        <v>0</v>
      </c>
      <c r="N25" s="835"/>
      <c r="O25" s="3207">
        <f t="shared" si="1"/>
        <v>0</v>
      </c>
      <c r="P25" s="835"/>
      <c r="Q25" s="1307">
        <f t="shared" si="2"/>
        <v>0</v>
      </c>
      <c r="R25" s="835"/>
      <c r="S25" s="1703">
        <f t="shared" si="2"/>
        <v>0</v>
      </c>
      <c r="T25" s="835"/>
      <c r="U25" t="s">
        <v>2996</v>
      </c>
      <c r="V25" s="444"/>
      <c r="Y25" s="437"/>
      <c r="Z25" s="438"/>
    </row>
    <row r="26" spans="1:52" s="382" customFormat="1" ht="15" customHeight="1">
      <c r="A26" s="432" t="s">
        <v>1700</v>
      </c>
      <c r="B26" s="412"/>
      <c r="C26" s="2030">
        <v>0</v>
      </c>
      <c r="D26" s="2024"/>
      <c r="E26" s="3183">
        <v>0</v>
      </c>
      <c r="F26" s="3458"/>
      <c r="G26" s="3056"/>
      <c r="H26" s="835"/>
      <c r="I26" s="3056"/>
      <c r="J26" s="3458"/>
      <c r="K26" s="3199">
        <v>0</v>
      </c>
      <c r="L26" s="835"/>
      <c r="M26" s="3209">
        <f t="shared" si="0"/>
        <v>0</v>
      </c>
      <c r="N26" s="835"/>
      <c r="O26" s="3207">
        <f t="shared" si="1"/>
        <v>0</v>
      </c>
      <c r="P26" s="835"/>
      <c r="Q26" s="1307">
        <f t="shared" si="2"/>
        <v>0</v>
      </c>
      <c r="R26" s="835"/>
      <c r="S26" s="1703">
        <f t="shared" si="2"/>
        <v>0</v>
      </c>
      <c r="T26" s="835"/>
      <c r="U26" t="s">
        <v>2997</v>
      </c>
      <c r="V26" s="444"/>
      <c r="Y26" s="437"/>
      <c r="Z26" s="438"/>
    </row>
    <row r="27" spans="1:52" s="382" customFormat="1" ht="15" customHeight="1">
      <c r="A27" s="432" t="s">
        <v>583</v>
      </c>
      <c r="B27" s="412"/>
      <c r="C27" s="2030">
        <v>0</v>
      </c>
      <c r="D27" s="2024"/>
      <c r="E27" s="3183">
        <v>0</v>
      </c>
      <c r="F27" s="3458"/>
      <c r="G27" s="3056"/>
      <c r="H27" s="835"/>
      <c r="I27" s="3056"/>
      <c r="J27" s="3458"/>
      <c r="K27" s="3199">
        <v>0</v>
      </c>
      <c r="L27" s="835"/>
      <c r="M27" s="3209">
        <f t="shared" si="0"/>
        <v>0</v>
      </c>
      <c r="N27" s="835"/>
      <c r="O27" s="3207">
        <f t="shared" si="1"/>
        <v>0</v>
      </c>
      <c r="P27" s="835"/>
      <c r="Q27" s="1307">
        <f t="shared" si="2"/>
        <v>0</v>
      </c>
      <c r="R27" s="835"/>
      <c r="S27" s="1703">
        <f t="shared" si="2"/>
        <v>0</v>
      </c>
      <c r="T27" s="835"/>
      <c r="U27" t="s">
        <v>2998</v>
      </c>
      <c r="V27" s="444"/>
      <c r="Y27" s="437"/>
      <c r="Z27" s="438"/>
    </row>
    <row r="28" spans="1:52" s="382" customFormat="1" ht="15" customHeight="1">
      <c r="A28" s="432" t="s">
        <v>2014</v>
      </c>
      <c r="B28" s="412"/>
      <c r="C28" s="2030">
        <v>0</v>
      </c>
      <c r="D28" s="2024"/>
      <c r="E28" s="3183">
        <v>0</v>
      </c>
      <c r="F28" s="3458"/>
      <c r="G28" s="3056"/>
      <c r="H28" s="835"/>
      <c r="I28" s="3056"/>
      <c r="J28" s="3458"/>
      <c r="K28" s="3199">
        <v>0</v>
      </c>
      <c r="L28" s="835"/>
      <c r="M28" s="3209">
        <f t="shared" si="0"/>
        <v>0</v>
      </c>
      <c r="N28" s="835"/>
      <c r="O28" s="3207">
        <f t="shared" si="1"/>
        <v>0</v>
      </c>
      <c r="P28" s="835"/>
      <c r="Q28" s="1307">
        <f t="shared" si="2"/>
        <v>0</v>
      </c>
      <c r="R28" s="835"/>
      <c r="S28" s="1703">
        <f t="shared" si="2"/>
        <v>0</v>
      </c>
      <c r="T28" s="835"/>
      <c r="U28" t="s">
        <v>2999</v>
      </c>
      <c r="V28" s="444"/>
      <c r="Y28" s="437"/>
      <c r="Z28" s="438"/>
    </row>
    <row r="29" spans="1:52" s="382" customFormat="1" ht="15" customHeight="1">
      <c r="A29" s="432" t="s">
        <v>2015</v>
      </c>
      <c r="B29" s="412"/>
      <c r="C29" s="2030">
        <v>0</v>
      </c>
      <c r="D29" s="2024"/>
      <c r="E29" s="3183">
        <v>0</v>
      </c>
      <c r="F29" s="3458"/>
      <c r="G29" s="3056"/>
      <c r="H29" s="835"/>
      <c r="I29" s="3056"/>
      <c r="J29" s="3458"/>
      <c r="K29" s="3199">
        <v>0</v>
      </c>
      <c r="L29" s="835"/>
      <c r="M29" s="3209">
        <f t="shared" si="0"/>
        <v>0</v>
      </c>
      <c r="N29" s="835"/>
      <c r="O29" s="3207">
        <f t="shared" si="1"/>
        <v>0</v>
      </c>
      <c r="P29" s="835"/>
      <c r="Q29" s="1307">
        <f t="shared" si="2"/>
        <v>0</v>
      </c>
      <c r="R29" s="835"/>
      <c r="S29" s="1703">
        <f t="shared" si="2"/>
        <v>0</v>
      </c>
      <c r="T29" s="835"/>
      <c r="U29" t="s">
        <v>3000</v>
      </c>
      <c r="V29" s="444"/>
      <c r="Y29" s="437"/>
      <c r="Z29" s="438"/>
    </row>
    <row r="30" spans="1:52" s="382" customFormat="1" ht="15" customHeight="1">
      <c r="A30" s="432" t="s">
        <v>501</v>
      </c>
      <c r="B30" s="412"/>
      <c r="C30" s="2030">
        <v>0</v>
      </c>
      <c r="D30" s="2024"/>
      <c r="E30" s="3183">
        <v>0</v>
      </c>
      <c r="F30" s="3458"/>
      <c r="G30" s="3056"/>
      <c r="H30" s="835"/>
      <c r="I30" s="3056"/>
      <c r="J30" s="3458"/>
      <c r="K30" s="3199">
        <v>0</v>
      </c>
      <c r="L30" s="835"/>
      <c r="M30" s="3209">
        <f t="shared" si="0"/>
        <v>0</v>
      </c>
      <c r="N30" s="835"/>
      <c r="O30" s="3207">
        <f t="shared" si="1"/>
        <v>0</v>
      </c>
      <c r="P30" s="835"/>
      <c r="Q30" s="1307">
        <f t="shared" si="2"/>
        <v>0</v>
      </c>
      <c r="R30" s="835"/>
      <c r="S30" s="1703">
        <f t="shared" si="2"/>
        <v>0</v>
      </c>
      <c r="T30" s="835"/>
      <c r="U30" t="s">
        <v>3001</v>
      </c>
      <c r="V30" s="444"/>
      <c r="Y30" s="437"/>
      <c r="Z30" s="438"/>
    </row>
    <row r="31" spans="1:52" s="382" customFormat="1" ht="15" customHeight="1">
      <c r="A31" s="432" t="s">
        <v>535</v>
      </c>
      <c r="B31" s="412"/>
      <c r="C31" s="2030">
        <v>0</v>
      </c>
      <c r="D31" s="2024"/>
      <c r="E31" s="3183">
        <v>0</v>
      </c>
      <c r="F31" s="3458"/>
      <c r="G31" s="3056"/>
      <c r="H31" s="835"/>
      <c r="I31" s="3056"/>
      <c r="J31" s="3458"/>
      <c r="K31" s="3199">
        <v>0</v>
      </c>
      <c r="L31" s="835"/>
      <c r="M31" s="3209">
        <f t="shared" si="0"/>
        <v>0</v>
      </c>
      <c r="N31" s="835"/>
      <c r="O31" s="3207">
        <f t="shared" si="1"/>
        <v>0</v>
      </c>
      <c r="P31" s="835"/>
      <c r="Q31" s="1307">
        <f t="shared" si="2"/>
        <v>0</v>
      </c>
      <c r="R31" s="835"/>
      <c r="S31" s="1703">
        <f t="shared" si="2"/>
        <v>0</v>
      </c>
      <c r="T31" s="835"/>
      <c r="U31" t="s">
        <v>3002</v>
      </c>
      <c r="V31" s="444"/>
      <c r="Y31" s="437"/>
      <c r="Z31" s="438"/>
    </row>
    <row r="32" spans="1:52" s="382" customFormat="1" ht="15" customHeight="1">
      <c r="A32" s="432" t="s">
        <v>536</v>
      </c>
      <c r="B32" s="412"/>
      <c r="C32" s="2030">
        <v>0</v>
      </c>
      <c r="D32" s="2024"/>
      <c r="E32" s="3183">
        <v>0</v>
      </c>
      <c r="F32" s="3458"/>
      <c r="G32" s="3056"/>
      <c r="H32" s="835"/>
      <c r="I32" s="3056"/>
      <c r="J32" s="3458"/>
      <c r="K32" s="3199">
        <v>0</v>
      </c>
      <c r="L32" s="835"/>
      <c r="M32" s="3209">
        <f t="shared" si="0"/>
        <v>0</v>
      </c>
      <c r="N32" s="835"/>
      <c r="O32" s="3207">
        <f t="shared" si="1"/>
        <v>0</v>
      </c>
      <c r="P32" s="835"/>
      <c r="Q32" s="1307">
        <f t="shared" si="2"/>
        <v>0</v>
      </c>
      <c r="R32" s="835"/>
      <c r="S32" s="1703">
        <f t="shared" si="2"/>
        <v>0</v>
      </c>
      <c r="T32" s="835"/>
      <c r="U32" t="s">
        <v>3003</v>
      </c>
      <c r="V32" s="444"/>
      <c r="Y32" s="437"/>
      <c r="Z32" s="438"/>
    </row>
    <row r="33" spans="1:26" s="382" customFormat="1" ht="15" hidden="1" customHeight="1">
      <c r="A33" s="432" t="s">
        <v>537</v>
      </c>
      <c r="B33" s="412"/>
      <c r="C33" s="2030">
        <v>0</v>
      </c>
      <c r="D33" s="2024"/>
      <c r="E33" s="3184">
        <v>0</v>
      </c>
      <c r="F33" s="3458"/>
      <c r="G33" s="3056"/>
      <c r="H33" s="835"/>
      <c r="I33" s="3056"/>
      <c r="J33" s="3458"/>
      <c r="K33" s="3199">
        <v>0</v>
      </c>
      <c r="L33" s="835"/>
      <c r="M33" s="3209">
        <f t="shared" si="0"/>
        <v>0</v>
      </c>
      <c r="N33" s="835"/>
      <c r="O33" s="3207">
        <f t="shared" si="1"/>
        <v>0</v>
      </c>
      <c r="P33" s="835"/>
      <c r="Q33" s="1307">
        <f t="shared" si="2"/>
        <v>0</v>
      </c>
      <c r="R33" s="835"/>
      <c r="S33" s="1703">
        <f t="shared" si="2"/>
        <v>0</v>
      </c>
      <c r="T33" s="835"/>
      <c r="U33" t="s">
        <v>3004</v>
      </c>
      <c r="V33" s="444"/>
      <c r="Y33" s="437"/>
      <c r="Z33" s="438"/>
    </row>
    <row r="34" spans="1:26" s="382" customFormat="1" ht="15" customHeight="1">
      <c r="A34" s="432" t="s">
        <v>538</v>
      </c>
      <c r="B34" s="412"/>
      <c r="C34" s="2030">
        <v>0</v>
      </c>
      <c r="D34" s="2024"/>
      <c r="E34" s="3183">
        <v>0</v>
      </c>
      <c r="F34" s="3458"/>
      <c r="G34" s="3056"/>
      <c r="H34" s="835"/>
      <c r="I34" s="3056"/>
      <c r="J34" s="3458"/>
      <c r="K34" s="3199">
        <v>0</v>
      </c>
      <c r="L34" s="835"/>
      <c r="M34" s="3209">
        <f t="shared" si="0"/>
        <v>0</v>
      </c>
      <c r="N34" s="835"/>
      <c r="O34" s="3207">
        <f t="shared" si="1"/>
        <v>0</v>
      </c>
      <c r="P34" s="835"/>
      <c r="Q34" s="1307">
        <f t="shared" si="2"/>
        <v>0</v>
      </c>
      <c r="R34" s="835"/>
      <c r="S34" s="1703">
        <f t="shared" si="2"/>
        <v>0</v>
      </c>
      <c r="T34" s="835"/>
      <c r="U34" t="s">
        <v>3005</v>
      </c>
      <c r="V34" s="444"/>
      <c r="Y34" s="437"/>
      <c r="Z34" s="438"/>
    </row>
    <row r="35" spans="1:26" s="382" customFormat="1" ht="15" customHeight="1">
      <c r="A35" s="4081" t="s">
        <v>9225</v>
      </c>
      <c r="B35" s="4085"/>
      <c r="C35" s="4086">
        <v>0</v>
      </c>
      <c r="D35" s="4087"/>
      <c r="E35" s="4088">
        <v>0</v>
      </c>
      <c r="F35" s="4089"/>
      <c r="G35" s="4090"/>
      <c r="H35" s="4089"/>
      <c r="I35" s="4090"/>
      <c r="J35" s="4089"/>
      <c r="K35" s="4091">
        <v>0</v>
      </c>
      <c r="L35" s="4089"/>
      <c r="M35" s="4092">
        <f t="shared" si="0"/>
        <v>0</v>
      </c>
      <c r="N35" s="4089"/>
      <c r="O35" s="4093">
        <f t="shared" si="1"/>
        <v>0</v>
      </c>
      <c r="P35" s="4089"/>
      <c r="Q35" s="4094">
        <f t="shared" si="2"/>
        <v>0</v>
      </c>
      <c r="R35" s="4089"/>
      <c r="S35" s="4095">
        <f t="shared" si="2"/>
        <v>0</v>
      </c>
      <c r="T35" s="835"/>
      <c r="U35" s="35" t="s">
        <v>9306</v>
      </c>
      <c r="V35" s="444"/>
      <c r="Y35" s="437"/>
      <c r="Z35" s="438"/>
    </row>
    <row r="36" spans="1:26" s="382" customFormat="1" ht="15" customHeight="1">
      <c r="A36" s="4081" t="s">
        <v>9226</v>
      </c>
      <c r="B36" s="4096"/>
      <c r="C36" s="4097"/>
      <c r="D36" s="4087"/>
      <c r="E36" s="4118"/>
      <c r="F36" s="4089"/>
      <c r="G36" s="4098"/>
      <c r="H36" s="4089"/>
      <c r="I36" s="4098"/>
      <c r="J36" s="4089"/>
      <c r="K36" s="4091">
        <v>0</v>
      </c>
      <c r="L36" s="4089"/>
      <c r="M36" s="4099">
        <f>K36</f>
        <v>0</v>
      </c>
      <c r="N36" s="4089"/>
      <c r="O36" s="4100">
        <f>M36</f>
        <v>0</v>
      </c>
      <c r="P36" s="4089"/>
      <c r="Q36" s="4101">
        <f>O36</f>
        <v>0</v>
      </c>
      <c r="R36" s="4089"/>
      <c r="S36" s="4102">
        <f>Q36</f>
        <v>0</v>
      </c>
      <c r="T36" s="835"/>
      <c r="U36" s="35" t="s">
        <v>9307</v>
      </c>
      <c r="V36" s="444"/>
      <c r="Y36" s="437"/>
      <c r="Z36" s="438"/>
    </row>
    <row r="37" spans="1:26" s="382" customFormat="1" ht="15" customHeight="1">
      <c r="A37" s="4080" t="s">
        <v>9300</v>
      </c>
      <c r="B37" s="4057"/>
      <c r="C37" s="4058">
        <v>0</v>
      </c>
      <c r="D37" s="4059"/>
      <c r="E37" s="4060">
        <v>0</v>
      </c>
      <c r="F37" s="4061"/>
      <c r="G37" s="4062"/>
      <c r="H37" s="4061"/>
      <c r="I37" s="4062"/>
      <c r="J37" s="4061"/>
      <c r="K37" s="4063">
        <v>0</v>
      </c>
      <c r="L37" s="4061"/>
      <c r="M37" s="4064">
        <f t="shared" si="0"/>
        <v>0</v>
      </c>
      <c r="N37" s="4061"/>
      <c r="O37" s="4065">
        <f t="shared" si="1"/>
        <v>0</v>
      </c>
      <c r="P37" s="4061"/>
      <c r="Q37" s="4066">
        <f t="shared" si="2"/>
        <v>0</v>
      </c>
      <c r="R37" s="4061"/>
      <c r="S37" s="4067">
        <f t="shared" si="2"/>
        <v>0</v>
      </c>
      <c r="T37" s="835"/>
      <c r="U37" s="46" t="s">
        <v>9308</v>
      </c>
      <c r="V37" s="444"/>
      <c r="Y37" s="437"/>
      <c r="Z37" s="438"/>
    </row>
    <row r="38" spans="1:26" s="382" customFormat="1" ht="15" customHeight="1">
      <c r="A38" s="4080" t="s">
        <v>9302</v>
      </c>
      <c r="B38" s="4103"/>
      <c r="C38" s="4104"/>
      <c r="D38" s="4059"/>
      <c r="E38" s="4118"/>
      <c r="F38" s="4061"/>
      <c r="G38" s="4105"/>
      <c r="H38" s="4061"/>
      <c r="I38" s="4106"/>
      <c r="J38" s="4061"/>
      <c r="K38" s="4063">
        <v>0</v>
      </c>
      <c r="L38" s="4061"/>
      <c r="M38" s="4064">
        <f t="shared" si="0"/>
        <v>0</v>
      </c>
      <c r="N38" s="4061"/>
      <c r="O38" s="4065">
        <f t="shared" si="1"/>
        <v>0</v>
      </c>
      <c r="P38" s="4061"/>
      <c r="Q38" s="4066">
        <f t="shared" si="2"/>
        <v>0</v>
      </c>
      <c r="R38" s="4061"/>
      <c r="S38" s="4067">
        <f t="shared" si="2"/>
        <v>0</v>
      </c>
      <c r="T38" s="835"/>
      <c r="U38" s="46" t="s">
        <v>9309</v>
      </c>
      <c r="V38" s="444"/>
      <c r="Y38" s="437"/>
      <c r="Z38" s="438"/>
    </row>
    <row r="39" spans="1:26" s="382" customFormat="1" ht="15" hidden="1" customHeight="1">
      <c r="A39" s="454" t="s">
        <v>1105</v>
      </c>
      <c r="B39" s="435"/>
      <c r="C39" s="2030">
        <v>0</v>
      </c>
      <c r="D39" s="2024"/>
      <c r="E39" s="3183">
        <v>0</v>
      </c>
      <c r="F39" s="3458"/>
      <c r="G39" s="3174" t="e">
        <f>(E39/$E$19)*71336.15</f>
        <v>#DIV/0!</v>
      </c>
      <c r="H39" s="835"/>
      <c r="I39" s="3453"/>
      <c r="J39" s="3458"/>
      <c r="K39" s="3177">
        <v>0</v>
      </c>
      <c r="L39" s="835"/>
      <c r="M39" s="1107" t="e">
        <f>G39</f>
        <v>#DIV/0!</v>
      </c>
      <c r="N39" s="835"/>
      <c r="O39" s="1321" t="e">
        <f t="shared" si="1"/>
        <v>#DIV/0!</v>
      </c>
      <c r="P39" s="835"/>
      <c r="Q39" s="1307" t="e">
        <f t="shared" si="2"/>
        <v>#DIV/0!</v>
      </c>
      <c r="R39" s="835"/>
      <c r="S39" s="1703" t="e">
        <f t="shared" si="2"/>
        <v>#DIV/0!</v>
      </c>
      <c r="T39" s="835"/>
      <c r="U39" t="s">
        <v>520</v>
      </c>
      <c r="V39" s="444"/>
      <c r="Y39" s="437"/>
      <c r="Z39" s="438"/>
    </row>
    <row r="40" spans="1:26" s="382" customFormat="1" ht="15" hidden="1" customHeight="1">
      <c r="A40" s="455" t="s">
        <v>1104</v>
      </c>
      <c r="B40" s="456"/>
      <c r="C40" s="2030">
        <v>0</v>
      </c>
      <c r="D40" s="2024"/>
      <c r="E40" s="3183">
        <v>0</v>
      </c>
      <c r="F40" s="3458"/>
      <c r="G40" s="3174" t="e">
        <f>(E40/$E$19)*71336.15</f>
        <v>#DIV/0!</v>
      </c>
      <c r="H40" s="835"/>
      <c r="I40" s="3453"/>
      <c r="J40" s="3458"/>
      <c r="K40" s="3177">
        <v>0</v>
      </c>
      <c r="L40" s="835"/>
      <c r="M40" s="1107" t="e">
        <f>G40</f>
        <v>#DIV/0!</v>
      </c>
      <c r="N40" s="835"/>
      <c r="O40" s="1321" t="e">
        <f t="shared" si="1"/>
        <v>#DIV/0!</v>
      </c>
      <c r="P40" s="835"/>
      <c r="Q40" s="1307" t="e">
        <f t="shared" si="2"/>
        <v>#DIV/0!</v>
      </c>
      <c r="R40" s="835"/>
      <c r="S40" s="1703" t="e">
        <f t="shared" si="2"/>
        <v>#DIV/0!</v>
      </c>
      <c r="T40" s="835"/>
      <c r="U40" s="45" t="s">
        <v>1819</v>
      </c>
      <c r="V40" s="444"/>
      <c r="Y40" s="437"/>
      <c r="Z40" s="438"/>
    </row>
    <row r="41" spans="1:26" s="382" customFormat="1" ht="15" customHeight="1">
      <c r="A41" s="4079" t="s">
        <v>9303</v>
      </c>
      <c r="B41" s="4078"/>
      <c r="C41" s="4068">
        <v>0</v>
      </c>
      <c r="D41" s="4069"/>
      <c r="E41" s="4070">
        <v>0</v>
      </c>
      <c r="F41" s="4071"/>
      <c r="G41" s="4072">
        <v>41699.61</v>
      </c>
      <c r="H41" s="4071"/>
      <c r="I41" s="4072">
        <v>41699.61</v>
      </c>
      <c r="J41" s="4071"/>
      <c r="K41" s="4073">
        <v>0</v>
      </c>
      <c r="L41" s="4071"/>
      <c r="M41" s="4074">
        <f t="shared" ref="M41" si="3">K41</f>
        <v>0</v>
      </c>
      <c r="N41" s="4071"/>
      <c r="O41" s="4075">
        <f t="shared" si="1"/>
        <v>0</v>
      </c>
      <c r="P41" s="4071"/>
      <c r="Q41" s="4076">
        <f t="shared" si="2"/>
        <v>0</v>
      </c>
      <c r="R41" s="4071"/>
      <c r="S41" s="4077">
        <f t="shared" si="2"/>
        <v>0</v>
      </c>
      <c r="T41" s="835"/>
      <c r="U41" s="35" t="s">
        <v>9310</v>
      </c>
      <c r="V41" s="444"/>
      <c r="Y41" s="437"/>
      <c r="Z41" s="438"/>
    </row>
    <row r="42" spans="1:26" s="382" customFormat="1" ht="15" customHeight="1">
      <c r="A42" s="3502" t="s">
        <v>8868</v>
      </c>
      <c r="B42" s="3987"/>
      <c r="C42" s="2993"/>
      <c r="D42" s="2024"/>
      <c r="E42" s="4118"/>
      <c r="F42" s="3458"/>
      <c r="G42" s="3056"/>
      <c r="H42" s="835"/>
      <c r="I42" s="3056"/>
      <c r="J42" s="3458"/>
      <c r="K42" s="3176">
        <v>0</v>
      </c>
      <c r="L42" s="835"/>
      <c r="M42" s="3211">
        <f t="shared" ref="M42:M49" si="4">K42</f>
        <v>0</v>
      </c>
      <c r="N42" s="835"/>
      <c r="O42" s="3220">
        <f>M42</f>
        <v>0</v>
      </c>
      <c r="P42" s="835"/>
      <c r="Q42" s="2995">
        <f>O42</f>
        <v>0</v>
      </c>
      <c r="R42" s="835"/>
      <c r="S42" s="2996">
        <f>Q42</f>
        <v>0</v>
      </c>
      <c r="T42" s="835"/>
      <c r="U42" s="35" t="s">
        <v>9311</v>
      </c>
      <c r="V42" s="444"/>
      <c r="W42" s="436"/>
      <c r="X42" s="436"/>
      <c r="Y42" s="437"/>
      <c r="Z42" s="438"/>
    </row>
    <row r="43" spans="1:26" s="382" customFormat="1" ht="15" customHeight="1">
      <c r="A43" s="3502" t="s">
        <v>8869</v>
      </c>
      <c r="B43" s="3987"/>
      <c r="C43" s="2993"/>
      <c r="D43" s="2024"/>
      <c r="E43" s="4118"/>
      <c r="F43" s="3458"/>
      <c r="G43" s="3056"/>
      <c r="H43" s="835"/>
      <c r="I43" s="3056"/>
      <c r="J43" s="3458"/>
      <c r="K43" s="3176">
        <v>0</v>
      </c>
      <c r="L43" s="835"/>
      <c r="M43" s="3211">
        <f t="shared" si="4"/>
        <v>0</v>
      </c>
      <c r="N43" s="835"/>
      <c r="O43" s="3220">
        <f t="shared" ref="O43:O48" si="5">M43</f>
        <v>0</v>
      </c>
      <c r="P43" s="835"/>
      <c r="Q43" s="2995">
        <f t="shared" ref="Q43:Q48" si="6">O43</f>
        <v>0</v>
      </c>
      <c r="R43" s="835"/>
      <c r="S43" s="2996">
        <f t="shared" ref="S43:S48" si="7">Q43</f>
        <v>0</v>
      </c>
      <c r="T43" s="835"/>
      <c r="U43" s="35" t="s">
        <v>9312</v>
      </c>
      <c r="V43" s="444"/>
      <c r="Y43" s="437"/>
      <c r="Z43" s="438"/>
    </row>
    <row r="44" spans="1:26" s="382" customFormat="1" ht="15" customHeight="1">
      <c r="A44" s="4052" t="s">
        <v>9301</v>
      </c>
      <c r="B44" s="4051"/>
      <c r="C44" s="3028"/>
      <c r="D44" s="2024"/>
      <c r="E44" s="4118"/>
      <c r="F44" s="3458"/>
      <c r="G44" s="3056"/>
      <c r="H44" s="835"/>
      <c r="I44" s="3056"/>
      <c r="J44" s="3458"/>
      <c r="K44" s="3176">
        <v>0</v>
      </c>
      <c r="L44" s="835"/>
      <c r="M44" s="3211">
        <f t="shared" si="4"/>
        <v>0</v>
      </c>
      <c r="N44" s="835"/>
      <c r="O44" s="3220">
        <f t="shared" si="5"/>
        <v>0</v>
      </c>
      <c r="P44" s="835"/>
      <c r="Q44" s="2995">
        <f t="shared" si="6"/>
        <v>0</v>
      </c>
      <c r="R44" s="835"/>
      <c r="S44" s="2996">
        <f t="shared" si="7"/>
        <v>0</v>
      </c>
      <c r="T44" s="835"/>
      <c r="U44" s="35" t="s">
        <v>9313</v>
      </c>
      <c r="V44" s="444"/>
      <c r="Y44" s="437"/>
      <c r="Z44" s="438"/>
    </row>
    <row r="45" spans="1:26" s="382" customFormat="1" ht="15" customHeight="1">
      <c r="A45" s="3502" t="s">
        <v>8870</v>
      </c>
      <c r="B45" s="3987"/>
      <c r="C45" s="3028"/>
      <c r="D45" s="2024"/>
      <c r="E45" s="4118"/>
      <c r="F45" s="3458"/>
      <c r="G45" s="3056"/>
      <c r="H45" s="835"/>
      <c r="I45" s="3056"/>
      <c r="J45" s="3458"/>
      <c r="K45" s="3176">
        <v>0</v>
      </c>
      <c r="L45" s="835"/>
      <c r="M45" s="3211">
        <f t="shared" si="4"/>
        <v>0</v>
      </c>
      <c r="N45" s="835"/>
      <c r="O45" s="3220">
        <f t="shared" si="5"/>
        <v>0</v>
      </c>
      <c r="P45" s="835"/>
      <c r="Q45" s="2995">
        <f t="shared" si="6"/>
        <v>0</v>
      </c>
      <c r="R45" s="835"/>
      <c r="S45" s="2996">
        <f t="shared" si="7"/>
        <v>0</v>
      </c>
      <c r="T45" s="835"/>
      <c r="U45" s="35" t="s">
        <v>9313</v>
      </c>
      <c r="V45" s="444"/>
      <c r="Y45" s="437"/>
      <c r="Z45" s="438"/>
    </row>
    <row r="46" spans="1:26" s="382" customFormat="1" ht="15" customHeight="1">
      <c r="A46" s="3502" t="s">
        <v>8871</v>
      </c>
      <c r="B46" s="3987"/>
      <c r="C46" s="2993"/>
      <c r="D46" s="2024"/>
      <c r="E46" s="4118"/>
      <c r="F46" s="3458"/>
      <c r="G46" s="3056"/>
      <c r="H46" s="835"/>
      <c r="I46" s="3056"/>
      <c r="J46" s="3458"/>
      <c r="K46" s="3176">
        <v>0</v>
      </c>
      <c r="L46" s="835"/>
      <c r="M46" s="3211">
        <f t="shared" si="4"/>
        <v>0</v>
      </c>
      <c r="N46" s="835"/>
      <c r="O46" s="3220">
        <f t="shared" si="5"/>
        <v>0</v>
      </c>
      <c r="P46" s="835"/>
      <c r="Q46" s="2995">
        <f t="shared" si="6"/>
        <v>0</v>
      </c>
      <c r="R46" s="835"/>
      <c r="S46" s="2996">
        <f t="shared" si="7"/>
        <v>0</v>
      </c>
      <c r="T46" s="835"/>
      <c r="U46" s="35" t="s">
        <v>9313</v>
      </c>
      <c r="V46" s="444"/>
      <c r="Y46" s="437"/>
      <c r="Z46" s="438"/>
    </row>
    <row r="47" spans="1:26" s="382" customFormat="1" ht="15" customHeight="1">
      <c r="A47" s="3502" t="s">
        <v>8872</v>
      </c>
      <c r="B47" s="3987"/>
      <c r="C47" s="2993"/>
      <c r="D47" s="2024"/>
      <c r="E47" s="4118"/>
      <c r="F47" s="3458"/>
      <c r="G47" s="3056"/>
      <c r="H47" s="835"/>
      <c r="I47" s="3056"/>
      <c r="J47" s="3458"/>
      <c r="K47" s="3176">
        <v>0</v>
      </c>
      <c r="L47" s="835"/>
      <c r="M47" s="3211">
        <f t="shared" si="4"/>
        <v>0</v>
      </c>
      <c r="N47" s="835"/>
      <c r="O47" s="3220">
        <f t="shared" si="5"/>
        <v>0</v>
      </c>
      <c r="P47" s="835"/>
      <c r="Q47" s="2995">
        <f t="shared" si="6"/>
        <v>0</v>
      </c>
      <c r="R47" s="835"/>
      <c r="S47" s="2996">
        <f t="shared" si="7"/>
        <v>0</v>
      </c>
      <c r="T47" s="835"/>
      <c r="U47" s="35" t="s">
        <v>9313</v>
      </c>
      <c r="V47" s="444"/>
      <c r="Y47" s="437"/>
      <c r="Z47" s="438"/>
    </row>
    <row r="48" spans="1:26" s="382" customFormat="1" ht="15" customHeight="1">
      <c r="A48" s="3502" t="s">
        <v>8873</v>
      </c>
      <c r="B48" s="3987"/>
      <c r="C48" s="2993"/>
      <c r="D48" s="2024"/>
      <c r="E48" s="4118"/>
      <c r="F48" s="3458"/>
      <c r="G48" s="3056"/>
      <c r="H48" s="835"/>
      <c r="I48" s="3056"/>
      <c r="J48" s="3458"/>
      <c r="K48" s="3176">
        <v>0</v>
      </c>
      <c r="L48" s="835"/>
      <c r="M48" s="3211">
        <f t="shared" si="4"/>
        <v>0</v>
      </c>
      <c r="N48" s="835"/>
      <c r="O48" s="3220">
        <f t="shared" si="5"/>
        <v>0</v>
      </c>
      <c r="P48" s="835"/>
      <c r="Q48" s="2995">
        <f t="shared" si="6"/>
        <v>0</v>
      </c>
      <c r="R48" s="835"/>
      <c r="S48" s="2996">
        <f t="shared" si="7"/>
        <v>0</v>
      </c>
      <c r="T48" s="835"/>
      <c r="U48" s="35" t="s">
        <v>9313</v>
      </c>
      <c r="V48" s="444"/>
      <c r="Y48" s="437"/>
      <c r="Z48" s="438"/>
    </row>
    <row r="49" spans="1:26" s="382" customFormat="1" ht="15" customHeight="1">
      <c r="A49" s="432" t="s">
        <v>540</v>
      </c>
      <c r="B49" s="412"/>
      <c r="C49" s="2030">
        <v>0</v>
      </c>
      <c r="D49" s="2024"/>
      <c r="E49" s="3185">
        <v>0</v>
      </c>
      <c r="F49" s="3458"/>
      <c r="G49" s="3056"/>
      <c r="H49" s="835"/>
      <c r="I49" s="3056"/>
      <c r="J49" s="3458"/>
      <c r="K49" s="3199">
        <v>0</v>
      </c>
      <c r="L49" s="835"/>
      <c r="M49" s="3209">
        <f t="shared" si="4"/>
        <v>0</v>
      </c>
      <c r="N49" s="835"/>
      <c r="O49" s="3207">
        <f t="shared" si="1"/>
        <v>0</v>
      </c>
      <c r="P49" s="835"/>
      <c r="Q49" s="1307">
        <f t="shared" si="2"/>
        <v>0</v>
      </c>
      <c r="R49" s="835"/>
      <c r="S49" s="1703">
        <f t="shared" si="2"/>
        <v>0</v>
      </c>
      <c r="T49" s="835"/>
      <c r="U49" t="s">
        <v>3006</v>
      </c>
      <c r="V49" s="444"/>
      <c r="Y49" s="437"/>
      <c r="Z49" s="438"/>
    </row>
    <row r="50" spans="1:26" s="382" customFormat="1" ht="15" hidden="1" customHeight="1">
      <c r="A50" s="457" t="s">
        <v>1606</v>
      </c>
      <c r="B50" s="458"/>
      <c r="C50" s="2030">
        <v>0</v>
      </c>
      <c r="D50" s="2024"/>
      <c r="E50" s="3185">
        <v>0</v>
      </c>
      <c r="F50" s="3458"/>
      <c r="G50" s="3056"/>
      <c r="H50" s="835"/>
      <c r="I50" s="3056"/>
      <c r="J50" s="3458"/>
      <c r="K50" s="3200">
        <v>0</v>
      </c>
      <c r="L50" s="835"/>
      <c r="M50" s="3209">
        <f>G50</f>
        <v>0</v>
      </c>
      <c r="N50" s="835"/>
      <c r="O50" s="3207">
        <f t="shared" si="1"/>
        <v>0</v>
      </c>
      <c r="P50" s="835"/>
      <c r="Q50" s="1307">
        <f t="shared" si="2"/>
        <v>0</v>
      </c>
      <c r="R50" s="835"/>
      <c r="S50" s="1703">
        <f t="shared" si="2"/>
        <v>0</v>
      </c>
      <c r="T50" s="835"/>
      <c r="U50" s="45" t="s">
        <v>450</v>
      </c>
      <c r="V50" s="444"/>
      <c r="Y50" s="437"/>
      <c r="Z50" s="438"/>
    </row>
    <row r="51" spans="1:26" s="382" customFormat="1" ht="15" customHeight="1">
      <c r="A51" s="4119" t="s">
        <v>9376</v>
      </c>
      <c r="B51" s="4120"/>
      <c r="C51" s="4121">
        <v>0</v>
      </c>
      <c r="D51" s="4082"/>
      <c r="E51" s="4122">
        <v>0</v>
      </c>
      <c r="F51" s="4123"/>
      <c r="G51" s="4124"/>
      <c r="H51" s="4123"/>
      <c r="I51" s="4124"/>
      <c r="J51" s="4123"/>
      <c r="K51" s="4125">
        <v>0</v>
      </c>
      <c r="L51" s="4123"/>
      <c r="M51" s="4126">
        <f t="shared" ref="M51:M60" si="8">K51</f>
        <v>0</v>
      </c>
      <c r="N51" s="4123"/>
      <c r="O51" s="4127">
        <f t="shared" si="1"/>
        <v>0</v>
      </c>
      <c r="P51" s="4123"/>
      <c r="Q51" s="4128">
        <f t="shared" si="2"/>
        <v>0</v>
      </c>
      <c r="R51" s="4123"/>
      <c r="S51" s="4129">
        <f t="shared" si="2"/>
        <v>0</v>
      </c>
      <c r="T51" s="835"/>
      <c r="U51" t="s">
        <v>9315</v>
      </c>
      <c r="V51" s="444"/>
      <c r="Y51" s="437"/>
      <c r="Z51" s="438"/>
    </row>
    <row r="52" spans="1:26" s="382" customFormat="1" ht="15" customHeight="1">
      <c r="A52" s="4654" t="s">
        <v>9377</v>
      </c>
      <c r="B52" s="4147"/>
      <c r="C52" s="4146"/>
      <c r="D52" s="4082"/>
      <c r="E52" s="4118"/>
      <c r="F52" s="4071"/>
      <c r="G52" s="4110"/>
      <c r="H52" s="4071"/>
      <c r="I52" s="4110"/>
      <c r="J52" s="4071"/>
      <c r="K52" s="4073">
        <v>0</v>
      </c>
      <c r="L52" s="4071"/>
      <c r="M52" s="4074">
        <f t="shared" ref="M52" si="9">K52</f>
        <v>0</v>
      </c>
      <c r="N52" s="4071"/>
      <c r="O52" s="4111">
        <f>M52</f>
        <v>0</v>
      </c>
      <c r="P52" s="4071"/>
      <c r="Q52" s="4112">
        <f t="shared" ref="Q52" si="10">O52</f>
        <v>0</v>
      </c>
      <c r="R52" s="4071"/>
      <c r="S52" s="4113">
        <f t="shared" ref="S52" si="11">Q52</f>
        <v>0</v>
      </c>
      <c r="T52" s="835"/>
      <c r="U52" s="35" t="s">
        <v>9401</v>
      </c>
      <c r="V52" s="444"/>
      <c r="Y52" s="437"/>
      <c r="Z52" s="438"/>
    </row>
    <row r="53" spans="1:26" s="382" customFormat="1" ht="15" customHeight="1">
      <c r="A53" s="4107" t="s">
        <v>8828</v>
      </c>
      <c r="B53" s="4108"/>
      <c r="C53" s="4109"/>
      <c r="D53" s="4069"/>
      <c r="E53" s="4118"/>
      <c r="F53" s="4071"/>
      <c r="G53" s="4110"/>
      <c r="H53" s="4071"/>
      <c r="I53" s="4110"/>
      <c r="J53" s="4071"/>
      <c r="K53" s="4073">
        <v>0</v>
      </c>
      <c r="L53" s="4071"/>
      <c r="M53" s="4074">
        <f t="shared" si="8"/>
        <v>0</v>
      </c>
      <c r="N53" s="4071"/>
      <c r="O53" s="4111">
        <f>M53</f>
        <v>0</v>
      </c>
      <c r="P53" s="4071"/>
      <c r="Q53" s="4112">
        <f t="shared" si="2"/>
        <v>0</v>
      </c>
      <c r="R53" s="4071"/>
      <c r="S53" s="4113">
        <f t="shared" si="2"/>
        <v>0</v>
      </c>
      <c r="T53" s="835"/>
      <c r="U53" s="35" t="s">
        <v>9316</v>
      </c>
      <c r="V53" s="444"/>
      <c r="Y53" s="437"/>
      <c r="Z53" s="438"/>
    </row>
    <row r="54" spans="1:26" s="382" customFormat="1" ht="15" customHeight="1">
      <c r="A54" s="4107" t="s">
        <v>8829</v>
      </c>
      <c r="B54" s="4108"/>
      <c r="C54" s="4109"/>
      <c r="D54" s="4069"/>
      <c r="E54" s="4118"/>
      <c r="F54" s="4071"/>
      <c r="G54" s="4110"/>
      <c r="H54" s="4071"/>
      <c r="I54" s="4110"/>
      <c r="J54" s="4071"/>
      <c r="K54" s="4073">
        <v>0</v>
      </c>
      <c r="L54" s="4071"/>
      <c r="M54" s="4074">
        <f t="shared" si="8"/>
        <v>0</v>
      </c>
      <c r="N54" s="4071"/>
      <c r="O54" s="4111">
        <f t="shared" ref="O54:O60" si="12">M54</f>
        <v>0</v>
      </c>
      <c r="P54" s="4071"/>
      <c r="Q54" s="4112">
        <f>O54</f>
        <v>0</v>
      </c>
      <c r="R54" s="4071"/>
      <c r="S54" s="4113">
        <f t="shared" si="2"/>
        <v>0</v>
      </c>
      <c r="T54" s="835"/>
      <c r="U54" s="35" t="s">
        <v>9314</v>
      </c>
      <c r="V54" s="444"/>
      <c r="Y54" s="437"/>
      <c r="Z54" s="438"/>
    </row>
    <row r="55" spans="1:26" s="382" customFormat="1" ht="15" customHeight="1">
      <c r="A55" s="3988" t="s">
        <v>8774</v>
      </c>
      <c r="B55" s="3987"/>
      <c r="C55" s="3028"/>
      <c r="D55" s="2024"/>
      <c r="E55" s="4118"/>
      <c r="F55" s="3458"/>
      <c r="G55" s="3056"/>
      <c r="H55" s="835"/>
      <c r="I55" s="3056"/>
      <c r="J55" s="3458"/>
      <c r="K55" s="3178">
        <v>0</v>
      </c>
      <c r="L55" s="835"/>
      <c r="M55" s="3209">
        <f t="shared" si="8"/>
        <v>0</v>
      </c>
      <c r="N55" s="835"/>
      <c r="O55" s="3220">
        <f t="shared" si="12"/>
        <v>0</v>
      </c>
      <c r="P55" s="835"/>
      <c r="Q55" s="2995">
        <f t="shared" ref="Q55:Q60" si="13">O55</f>
        <v>0</v>
      </c>
      <c r="R55" s="835"/>
      <c r="S55" s="3029">
        <f>Q55</f>
        <v>0</v>
      </c>
      <c r="T55" s="835"/>
      <c r="U55" s="35" t="s">
        <v>9317</v>
      </c>
      <c r="V55" s="444"/>
      <c r="Y55" s="437"/>
      <c r="Z55" s="438"/>
    </row>
    <row r="56" spans="1:26" s="382" customFormat="1" ht="15" customHeight="1">
      <c r="A56" s="3988" t="s">
        <v>9039</v>
      </c>
      <c r="B56" s="3987"/>
      <c r="C56" s="3028"/>
      <c r="D56" s="2024"/>
      <c r="E56" s="4118"/>
      <c r="F56" s="3458"/>
      <c r="G56" s="3056"/>
      <c r="H56" s="835"/>
      <c r="I56" s="3056"/>
      <c r="J56" s="3458"/>
      <c r="K56" s="3178">
        <v>0</v>
      </c>
      <c r="L56" s="835"/>
      <c r="M56" s="3209">
        <f t="shared" si="8"/>
        <v>0</v>
      </c>
      <c r="N56" s="835"/>
      <c r="O56" s="3220">
        <f t="shared" si="12"/>
        <v>0</v>
      </c>
      <c r="P56" s="835"/>
      <c r="Q56" s="2995">
        <f t="shared" si="13"/>
        <v>0</v>
      </c>
      <c r="R56" s="835"/>
      <c r="S56" s="3029">
        <f>Q56</f>
        <v>0</v>
      </c>
      <c r="T56" s="835"/>
      <c r="U56" s="35" t="s">
        <v>9318</v>
      </c>
      <c r="V56" s="444"/>
      <c r="Y56" s="437"/>
      <c r="Z56" s="438"/>
    </row>
    <row r="57" spans="1:26" s="382" customFormat="1" ht="15" customHeight="1">
      <c r="A57" s="4652" t="s">
        <v>9382</v>
      </c>
      <c r="B57" s="4147"/>
      <c r="C57" s="4148"/>
      <c r="D57" s="2024"/>
      <c r="E57" s="4149"/>
      <c r="F57" s="4071"/>
      <c r="G57" s="4381"/>
      <c r="H57" s="4071"/>
      <c r="I57" s="4381"/>
      <c r="J57" s="4071"/>
      <c r="K57" s="4653">
        <v>0</v>
      </c>
      <c r="L57" s="4071"/>
      <c r="M57" s="4655">
        <v>0</v>
      </c>
      <c r="N57" s="4071"/>
      <c r="O57" s="4656">
        <v>0</v>
      </c>
      <c r="P57" s="4071"/>
      <c r="Q57" s="4657">
        <v>0</v>
      </c>
      <c r="R57" s="4071"/>
      <c r="S57" s="4658">
        <v>0</v>
      </c>
      <c r="T57" s="835"/>
      <c r="U57" s="35" t="s">
        <v>9507</v>
      </c>
      <c r="V57" s="444"/>
      <c r="Y57" s="437"/>
      <c r="Z57" s="438"/>
    </row>
    <row r="58" spans="1:26" s="382" customFormat="1" ht="15" customHeight="1">
      <c r="A58" s="4652" t="s">
        <v>9383</v>
      </c>
      <c r="B58" s="4147"/>
      <c r="C58" s="4148"/>
      <c r="D58" s="2024"/>
      <c r="E58" s="4149"/>
      <c r="F58" s="4071"/>
      <c r="G58" s="4381"/>
      <c r="H58" s="4071"/>
      <c r="I58" s="4381"/>
      <c r="J58" s="4071"/>
      <c r="K58" s="4653">
        <v>0</v>
      </c>
      <c r="L58" s="4071"/>
      <c r="M58" s="4655">
        <v>0</v>
      </c>
      <c r="N58" s="4071"/>
      <c r="O58" s="4656">
        <v>0</v>
      </c>
      <c r="P58" s="4071"/>
      <c r="Q58" s="4657">
        <v>0</v>
      </c>
      <c r="R58" s="4071"/>
      <c r="S58" s="4658">
        <v>0</v>
      </c>
      <c r="T58" s="835"/>
      <c r="U58" s="35" t="s">
        <v>9508</v>
      </c>
      <c r="V58" s="444"/>
      <c r="Y58" s="437"/>
      <c r="Z58" s="438"/>
    </row>
    <row r="59" spans="1:26" s="382" customFormat="1" ht="15" customHeight="1">
      <c r="A59" s="4652" t="s">
        <v>9384</v>
      </c>
      <c r="B59" s="4147"/>
      <c r="C59" s="4148"/>
      <c r="D59" s="2024"/>
      <c r="E59" s="4149"/>
      <c r="F59" s="4071"/>
      <c r="G59" s="4381"/>
      <c r="H59" s="4071"/>
      <c r="I59" s="4381"/>
      <c r="J59" s="4071"/>
      <c r="K59" s="4653">
        <v>0</v>
      </c>
      <c r="L59" s="4071"/>
      <c r="M59" s="4655">
        <v>0</v>
      </c>
      <c r="N59" s="4071"/>
      <c r="O59" s="4656">
        <v>0</v>
      </c>
      <c r="P59" s="4071"/>
      <c r="Q59" s="4657">
        <v>0</v>
      </c>
      <c r="R59" s="4071"/>
      <c r="S59" s="4658">
        <v>0</v>
      </c>
      <c r="T59" s="835"/>
      <c r="U59" s="35" t="s">
        <v>9509</v>
      </c>
      <c r="V59" s="444"/>
      <c r="Y59" s="437"/>
      <c r="Z59" s="438"/>
    </row>
    <row r="60" spans="1:26" s="382" customFormat="1" ht="15" customHeight="1">
      <c r="A60" s="447" t="s">
        <v>937</v>
      </c>
      <c r="B60" s="448"/>
      <c r="C60" s="2030">
        <v>0</v>
      </c>
      <c r="D60" s="2024"/>
      <c r="E60" s="3183">
        <v>0</v>
      </c>
      <c r="F60" s="3458"/>
      <c r="G60" s="3174">
        <v>8800</v>
      </c>
      <c r="H60" s="835"/>
      <c r="I60" s="3174">
        <v>8800</v>
      </c>
      <c r="J60" s="3458"/>
      <c r="K60" s="3199">
        <v>0</v>
      </c>
      <c r="L60" s="835"/>
      <c r="M60" s="3209">
        <f t="shared" si="8"/>
        <v>0</v>
      </c>
      <c r="N60" s="835"/>
      <c r="O60" s="3220">
        <f t="shared" si="12"/>
        <v>0</v>
      </c>
      <c r="P60" s="835"/>
      <c r="Q60" s="2995">
        <f t="shared" si="13"/>
        <v>0</v>
      </c>
      <c r="R60" s="835"/>
      <c r="S60" s="3029">
        <f>Q60</f>
        <v>0</v>
      </c>
      <c r="T60" s="835"/>
      <c r="U60" t="s">
        <v>3007</v>
      </c>
      <c r="V60" s="444"/>
      <c r="Y60" s="437"/>
      <c r="Z60" s="438"/>
    </row>
    <row r="61" spans="1:26" s="382" customFormat="1" ht="15" customHeight="1">
      <c r="A61" s="447" t="s">
        <v>938</v>
      </c>
      <c r="B61" s="448"/>
      <c r="C61" s="2030">
        <v>0</v>
      </c>
      <c r="D61" s="2024"/>
      <c r="E61" s="3185">
        <v>0</v>
      </c>
      <c r="F61" s="3458"/>
      <c r="G61" s="3056"/>
      <c r="H61" s="835"/>
      <c r="I61" s="3056"/>
      <c r="J61" s="3458"/>
      <c r="K61" s="3199">
        <v>0</v>
      </c>
      <c r="L61" s="835"/>
      <c r="M61" s="3209">
        <f t="shared" ref="M61:M70" si="14">K61</f>
        <v>0</v>
      </c>
      <c r="N61" s="835"/>
      <c r="O61" s="3207">
        <f t="shared" si="1"/>
        <v>0</v>
      </c>
      <c r="P61" s="835"/>
      <c r="Q61" s="1307">
        <f t="shared" si="2"/>
        <v>0</v>
      </c>
      <c r="R61" s="835"/>
      <c r="S61" s="1703">
        <f t="shared" si="2"/>
        <v>0</v>
      </c>
      <c r="T61" s="835"/>
      <c r="U61" t="s">
        <v>3008</v>
      </c>
      <c r="V61" s="444"/>
      <c r="Y61" s="437"/>
      <c r="Z61" s="438"/>
    </row>
    <row r="62" spans="1:26" s="382" customFormat="1" ht="15" customHeight="1">
      <c r="A62" s="386" t="s">
        <v>3838</v>
      </c>
      <c r="B62" s="1072"/>
      <c r="C62" s="2033">
        <v>0</v>
      </c>
      <c r="D62" s="2024"/>
      <c r="E62" s="3185">
        <v>0</v>
      </c>
      <c r="F62" s="3458"/>
      <c r="G62" s="3056"/>
      <c r="H62" s="835"/>
      <c r="I62" s="3056"/>
      <c r="J62" s="3458"/>
      <c r="K62" s="3199">
        <v>0</v>
      </c>
      <c r="L62" s="835"/>
      <c r="M62" s="3209">
        <f t="shared" si="14"/>
        <v>0</v>
      </c>
      <c r="N62" s="835"/>
      <c r="O62" s="3207">
        <f t="shared" si="1"/>
        <v>0</v>
      </c>
      <c r="P62" s="835"/>
      <c r="Q62" s="1307">
        <f t="shared" si="2"/>
        <v>0</v>
      </c>
      <c r="R62" s="835"/>
      <c r="S62" s="1703">
        <f t="shared" si="2"/>
        <v>0</v>
      </c>
      <c r="T62" s="835"/>
      <c r="U62" t="s">
        <v>3009</v>
      </c>
      <c r="V62" s="444"/>
      <c r="Y62" s="437"/>
      <c r="Z62" s="438"/>
    </row>
    <row r="63" spans="1:26" s="382" customFormat="1" ht="15" hidden="1" customHeight="1">
      <c r="A63" s="3040" t="s">
        <v>8785</v>
      </c>
      <c r="B63" s="3041"/>
      <c r="C63" s="3036"/>
      <c r="D63" s="2024"/>
      <c r="E63" s="2994"/>
      <c r="F63" s="3458"/>
      <c r="G63" s="3038"/>
      <c r="H63" s="835"/>
      <c r="I63" s="3038"/>
      <c r="J63" s="3458"/>
      <c r="K63" s="3037"/>
      <c r="L63" s="835"/>
      <c r="M63" s="3209">
        <f t="shared" si="14"/>
        <v>0</v>
      </c>
      <c r="N63" s="835"/>
      <c r="O63" s="3207">
        <f t="shared" si="1"/>
        <v>0</v>
      </c>
      <c r="P63" s="835"/>
      <c r="Q63" s="1307">
        <f t="shared" ref="Q63:Q70" si="15">O63</f>
        <v>0</v>
      </c>
      <c r="R63" s="835"/>
      <c r="S63" s="1703">
        <f t="shared" ref="S63:S70" si="16">Q63</f>
        <v>0</v>
      </c>
      <c r="T63" s="835"/>
      <c r="U63"/>
      <c r="V63" s="3045" t="s">
        <v>8826</v>
      </c>
      <c r="W63" s="3046"/>
      <c r="Y63" s="437"/>
      <c r="Z63" s="438"/>
    </row>
    <row r="64" spans="1:26" s="382" customFormat="1" ht="15" hidden="1" customHeight="1">
      <c r="A64" s="3040" t="s">
        <v>8802</v>
      </c>
      <c r="B64" s="3041"/>
      <c r="C64" s="3036"/>
      <c r="D64" s="2024"/>
      <c r="E64" s="2994"/>
      <c r="F64" s="3458"/>
      <c r="G64" s="3038"/>
      <c r="H64" s="835"/>
      <c r="I64" s="3038"/>
      <c r="J64" s="3458"/>
      <c r="K64" s="3037"/>
      <c r="L64" s="835"/>
      <c r="M64" s="3209">
        <f t="shared" si="14"/>
        <v>0</v>
      </c>
      <c r="N64" s="835"/>
      <c r="O64" s="3207">
        <f t="shared" si="1"/>
        <v>0</v>
      </c>
      <c r="P64" s="835"/>
      <c r="Q64" s="1307">
        <f t="shared" si="15"/>
        <v>0</v>
      </c>
      <c r="R64" s="835"/>
      <c r="S64" s="1703">
        <f t="shared" si="16"/>
        <v>0</v>
      </c>
      <c r="T64" s="835"/>
      <c r="U64"/>
      <c r="V64" s="444"/>
      <c r="Y64" s="437"/>
      <c r="Z64" s="438"/>
    </row>
    <row r="65" spans="1:26" s="382" customFormat="1" ht="15" hidden="1" customHeight="1">
      <c r="A65" s="3040" t="s">
        <v>8803</v>
      </c>
      <c r="B65" s="3041"/>
      <c r="C65" s="3036"/>
      <c r="D65" s="2024"/>
      <c r="E65" s="2994"/>
      <c r="F65" s="3458"/>
      <c r="G65" s="3038"/>
      <c r="H65" s="835"/>
      <c r="I65" s="3038"/>
      <c r="J65" s="3458"/>
      <c r="K65" s="3037"/>
      <c r="L65" s="835"/>
      <c r="M65" s="3209">
        <f t="shared" si="14"/>
        <v>0</v>
      </c>
      <c r="N65" s="835"/>
      <c r="O65" s="3207">
        <f t="shared" si="1"/>
        <v>0</v>
      </c>
      <c r="P65" s="835"/>
      <c r="Q65" s="1307">
        <f t="shared" si="15"/>
        <v>0</v>
      </c>
      <c r="R65" s="835"/>
      <c r="S65" s="1703">
        <f t="shared" si="16"/>
        <v>0</v>
      </c>
      <c r="T65" s="835"/>
      <c r="U65"/>
      <c r="V65" s="444"/>
      <c r="Y65" s="437"/>
      <c r="Z65" s="438"/>
    </row>
    <row r="66" spans="1:26" s="382" customFormat="1" ht="15" hidden="1" customHeight="1">
      <c r="A66" s="3040" t="s">
        <v>8804</v>
      </c>
      <c r="B66" s="3041"/>
      <c r="C66" s="3036"/>
      <c r="D66" s="2024"/>
      <c r="E66" s="2994"/>
      <c r="F66" s="3458"/>
      <c r="G66" s="3038"/>
      <c r="H66" s="835"/>
      <c r="I66" s="3038"/>
      <c r="J66" s="3458"/>
      <c r="K66" s="3037"/>
      <c r="L66" s="835"/>
      <c r="M66" s="3209">
        <f t="shared" si="14"/>
        <v>0</v>
      </c>
      <c r="N66" s="835"/>
      <c r="O66" s="3207">
        <f t="shared" si="1"/>
        <v>0</v>
      </c>
      <c r="P66" s="835"/>
      <c r="Q66" s="1307">
        <f t="shared" si="15"/>
        <v>0</v>
      </c>
      <c r="R66" s="835"/>
      <c r="S66" s="1703">
        <f t="shared" si="16"/>
        <v>0</v>
      </c>
      <c r="T66" s="835"/>
      <c r="U66"/>
      <c r="V66" s="444"/>
      <c r="Y66" s="437"/>
      <c r="Z66" s="438"/>
    </row>
    <row r="67" spans="1:26" s="382" customFormat="1" ht="15" customHeight="1">
      <c r="A67" s="3989" t="s">
        <v>9034</v>
      </c>
      <c r="B67" s="3990"/>
      <c r="C67" s="3036"/>
      <c r="D67" s="2024"/>
      <c r="E67" s="4118"/>
      <c r="F67" s="3458"/>
      <c r="G67" s="3056"/>
      <c r="H67" s="835"/>
      <c r="I67" s="3056"/>
      <c r="J67" s="3458"/>
      <c r="K67" s="3178">
        <v>0</v>
      </c>
      <c r="L67" s="835"/>
      <c r="M67" s="3209">
        <f t="shared" si="14"/>
        <v>0</v>
      </c>
      <c r="N67" s="835"/>
      <c r="O67" s="3207">
        <f t="shared" si="1"/>
        <v>0</v>
      </c>
      <c r="P67" s="835"/>
      <c r="Q67" s="1307">
        <f t="shared" si="15"/>
        <v>0</v>
      </c>
      <c r="R67" s="835"/>
      <c r="S67" s="1703">
        <f t="shared" si="16"/>
        <v>0</v>
      </c>
      <c r="T67" s="835"/>
      <c r="U67" s="35" t="s">
        <v>9319</v>
      </c>
      <c r="V67" s="444"/>
      <c r="Y67" s="437"/>
      <c r="Z67" s="438"/>
    </row>
    <row r="68" spans="1:26" s="382" customFormat="1" ht="18" customHeight="1">
      <c r="A68" s="1372" t="s">
        <v>2717</v>
      </c>
      <c r="B68" s="1373"/>
      <c r="C68" s="2034" t="s">
        <v>3138</v>
      </c>
      <c r="D68" s="2034"/>
      <c r="E68" s="1379" t="s">
        <v>3225</v>
      </c>
      <c r="F68" s="3458"/>
      <c r="G68" s="1379" t="s">
        <v>3284</v>
      </c>
      <c r="H68" s="1379"/>
      <c r="I68" s="1379" t="s">
        <v>3922</v>
      </c>
      <c r="J68" s="3458"/>
      <c r="K68" s="1379" t="s">
        <v>3284</v>
      </c>
      <c r="L68" s="1379"/>
      <c r="M68" s="1379" t="s">
        <v>3922</v>
      </c>
      <c r="N68" s="1379"/>
      <c r="O68" s="1379" t="s">
        <v>6374</v>
      </c>
      <c r="P68" s="1379"/>
      <c r="Q68" s="1379" t="s">
        <v>6939</v>
      </c>
      <c r="R68" s="1379"/>
      <c r="S68" s="1379" t="s">
        <v>8157</v>
      </c>
      <c r="T68" s="1318"/>
      <c r="U68"/>
      <c r="V68" s="444"/>
      <c r="Y68" s="437"/>
      <c r="Z68" s="438"/>
    </row>
    <row r="69" spans="1:26" s="382" customFormat="1" ht="15" customHeight="1">
      <c r="A69" s="412" t="s">
        <v>1879</v>
      </c>
      <c r="B69" s="412"/>
      <c r="C69" s="2030">
        <v>0</v>
      </c>
      <c r="D69" s="2035"/>
      <c r="E69" s="3183">
        <v>0</v>
      </c>
      <c r="F69" s="3458"/>
      <c r="G69" s="3174">
        <v>4437.5</v>
      </c>
      <c r="H69" s="835"/>
      <c r="I69" s="3174">
        <v>4437.5</v>
      </c>
      <c r="J69" s="3458"/>
      <c r="K69" s="3178">
        <v>0</v>
      </c>
      <c r="L69" s="835"/>
      <c r="M69" s="3209">
        <f t="shared" si="14"/>
        <v>0</v>
      </c>
      <c r="N69" s="835"/>
      <c r="O69" s="3207">
        <f t="shared" si="1"/>
        <v>0</v>
      </c>
      <c r="P69" s="835"/>
      <c r="Q69" s="1307">
        <f t="shared" si="15"/>
        <v>0</v>
      </c>
      <c r="R69" s="835"/>
      <c r="S69" s="1703">
        <f t="shared" si="16"/>
        <v>0</v>
      </c>
      <c r="T69" s="835"/>
      <c r="U69" t="s">
        <v>2921</v>
      </c>
      <c r="V69" s="444"/>
      <c r="W69" s="441"/>
      <c r="Y69" s="442"/>
      <c r="Z69" s="443"/>
    </row>
    <row r="70" spans="1:26" s="382" customFormat="1" ht="15" customHeight="1">
      <c r="A70" s="432" t="s">
        <v>1880</v>
      </c>
      <c r="B70" s="769"/>
      <c r="C70" s="2031">
        <v>0</v>
      </c>
      <c r="D70" s="2035"/>
      <c r="E70" s="3183">
        <v>0</v>
      </c>
      <c r="F70" s="3458"/>
      <c r="G70" s="3174">
        <v>387.83</v>
      </c>
      <c r="H70" s="835"/>
      <c r="I70" s="3174">
        <v>387.83</v>
      </c>
      <c r="J70" s="3458"/>
      <c r="K70" s="3178">
        <v>0</v>
      </c>
      <c r="L70" s="835"/>
      <c r="M70" s="3209">
        <f t="shared" si="14"/>
        <v>0</v>
      </c>
      <c r="N70" s="835"/>
      <c r="O70" s="3207">
        <f t="shared" si="1"/>
        <v>0</v>
      </c>
      <c r="P70" s="835"/>
      <c r="Q70" s="1307">
        <f t="shared" si="15"/>
        <v>0</v>
      </c>
      <c r="R70" s="835"/>
      <c r="S70" s="1703">
        <f t="shared" si="16"/>
        <v>0</v>
      </c>
      <c r="T70" s="835"/>
      <c r="U70" t="s">
        <v>2922</v>
      </c>
      <c r="V70" s="444"/>
      <c r="W70" s="441"/>
      <c r="Y70" s="442"/>
      <c r="Z70" s="443"/>
    </row>
    <row r="71" spans="1:26" s="382" customFormat="1" ht="18" customHeight="1">
      <c r="A71" s="1380"/>
      <c r="B71" s="1381"/>
      <c r="C71" s="2028" t="s">
        <v>3143</v>
      </c>
      <c r="D71" s="2028"/>
      <c r="E71" s="1702" t="s">
        <v>8156</v>
      </c>
      <c r="F71" s="3458"/>
      <c r="G71" s="3192" t="s">
        <v>8740</v>
      </c>
      <c r="H71" s="1374"/>
      <c r="I71" s="3455"/>
      <c r="J71" s="3458"/>
      <c r="K71" s="1702" t="s">
        <v>3928</v>
      </c>
      <c r="L71" s="1374"/>
      <c r="M71" s="1702" t="s">
        <v>6854</v>
      </c>
      <c r="N71" s="1374"/>
      <c r="O71" s="1702" t="s">
        <v>6976</v>
      </c>
      <c r="P71" s="1374"/>
      <c r="Q71" s="1702" t="s">
        <v>8158</v>
      </c>
      <c r="R71" s="1374"/>
      <c r="S71" s="1705" t="s">
        <v>9149</v>
      </c>
      <c r="T71" s="1318"/>
      <c r="U71"/>
      <c r="V71" s="444"/>
      <c r="Y71" s="437"/>
      <c r="Z71" s="438"/>
    </row>
    <row r="72" spans="1:26" s="382" customFormat="1" ht="18">
      <c r="A72" s="1382" t="s">
        <v>2720</v>
      </c>
      <c r="B72" s="1383"/>
      <c r="C72" s="2029" t="s">
        <v>2949</v>
      </c>
      <c r="D72" s="2029"/>
      <c r="E72" s="1375" t="s">
        <v>2949</v>
      </c>
      <c r="F72" s="3458"/>
      <c r="G72" s="3193" t="s">
        <v>8739</v>
      </c>
      <c r="H72" s="1375"/>
      <c r="I72" s="3456"/>
      <c r="J72" s="3458"/>
      <c r="K72" s="3179" t="s">
        <v>2949</v>
      </c>
      <c r="L72" s="1375"/>
      <c r="M72" s="1375" t="s">
        <v>2949</v>
      </c>
      <c r="N72" s="1375"/>
      <c r="O72" s="1375" t="s">
        <v>2949</v>
      </c>
      <c r="P72" s="1375"/>
      <c r="Q72" s="1375" t="s">
        <v>2949</v>
      </c>
      <c r="R72" s="1375"/>
      <c r="S72" s="1706" t="s">
        <v>2949</v>
      </c>
      <c r="T72" s="1319"/>
      <c r="U72" s="1691" t="s">
        <v>9320</v>
      </c>
      <c r="V72" s="444"/>
      <c r="Z72" s="231"/>
    </row>
    <row r="73" spans="1:26" s="382" customFormat="1" ht="15" customHeight="1">
      <c r="A73" s="3145" t="s">
        <v>3871</v>
      </c>
      <c r="B73" s="3198"/>
      <c r="C73" s="2036">
        <v>0</v>
      </c>
      <c r="D73" s="2024"/>
      <c r="E73" s="3186">
        <f>IF(ISNA('DE1'!E48),0,'DE1'!E48)</f>
        <v>0</v>
      </c>
      <c r="G73" s="3191">
        <f>IF(ISNA('DE1'!F48),0,'DE1'!F48)</f>
        <v>0</v>
      </c>
      <c r="H73" s="837"/>
      <c r="I73" s="3056"/>
      <c r="J73" s="3459"/>
      <c r="K73" s="3180">
        <v>0</v>
      </c>
      <c r="L73" s="837"/>
      <c r="M73" s="3212">
        <v>0</v>
      </c>
      <c r="N73" s="837"/>
      <c r="O73" s="3221">
        <v>0</v>
      </c>
      <c r="P73" s="837"/>
      <c r="Q73" s="1308">
        <v>0</v>
      </c>
      <c r="R73" s="837"/>
      <c r="S73" s="1707">
        <v>0</v>
      </c>
      <c r="T73" s="837"/>
      <c r="U73" t="s">
        <v>7079</v>
      </c>
      <c r="V73" s="444"/>
      <c r="Y73" s="445"/>
      <c r="Z73" s="446"/>
    </row>
    <row r="74" spans="1:26" s="382" customFormat="1" ht="15" customHeight="1">
      <c r="A74" s="3503" t="s">
        <v>6598</v>
      </c>
      <c r="C74" s="2038">
        <v>0</v>
      </c>
      <c r="D74" s="2024"/>
      <c r="E74" s="3186">
        <f>IF(ISNA('DE1'!E49),0,'DE1'!E49)</f>
        <v>0</v>
      </c>
      <c r="G74" s="3191">
        <f>IF(ISNA('DE1'!F49),0,'DE1'!F49)</f>
        <v>0</v>
      </c>
      <c r="H74" s="837"/>
      <c r="I74" s="3056"/>
      <c r="J74" s="3459"/>
      <c r="K74" s="3180">
        <v>0</v>
      </c>
      <c r="L74" s="837"/>
      <c r="M74" s="3212">
        <v>0</v>
      </c>
      <c r="N74" s="837"/>
      <c r="O74" s="3253">
        <v>0</v>
      </c>
      <c r="P74" s="837"/>
      <c r="Q74" s="3254">
        <v>0</v>
      </c>
      <c r="R74" s="837"/>
      <c r="S74" s="3255">
        <v>0</v>
      </c>
      <c r="T74" s="837"/>
      <c r="U74" t="s">
        <v>9321</v>
      </c>
      <c r="V74" s="444"/>
      <c r="Y74" s="445"/>
      <c r="Z74" s="446"/>
    </row>
    <row r="75" spans="1:26" s="382" customFormat="1" ht="15" customHeight="1">
      <c r="A75" s="432" t="s">
        <v>6594</v>
      </c>
      <c r="B75" s="1053"/>
      <c r="C75" s="2038">
        <v>0</v>
      </c>
      <c r="D75" s="2024"/>
      <c r="E75" s="3186">
        <f>IF(ISNA('DE1'!E50),0,'DE1'!E50)</f>
        <v>0</v>
      </c>
      <c r="G75" s="3191">
        <f>IF(ISNA('DE1'!F50),0,'DE1'!F50)</f>
        <v>0</v>
      </c>
      <c r="H75" s="837"/>
      <c r="I75" s="3056"/>
      <c r="J75" s="3459"/>
      <c r="K75" s="3201">
        <v>0</v>
      </c>
      <c r="L75" s="837"/>
      <c r="M75" s="3481">
        <v>0</v>
      </c>
      <c r="N75" s="837"/>
      <c r="O75" s="3253">
        <v>0</v>
      </c>
      <c r="P75" s="837"/>
      <c r="Q75" s="3254">
        <v>0</v>
      </c>
      <c r="R75" s="837"/>
      <c r="S75" s="3255">
        <v>0</v>
      </c>
      <c r="T75" s="837"/>
      <c r="U75" t="s">
        <v>9322</v>
      </c>
      <c r="V75" s="444"/>
      <c r="Y75" s="445"/>
      <c r="Z75" s="446"/>
    </row>
    <row r="76" spans="1:26" s="382" customFormat="1" ht="15" customHeight="1">
      <c r="A76" s="460" t="s">
        <v>6595</v>
      </c>
      <c r="B76" s="1053"/>
      <c r="C76" s="2038">
        <v>0</v>
      </c>
      <c r="D76" s="2024"/>
      <c r="E76" s="3186">
        <f>IF(ISNA('DE1'!E51),0,'DE1'!E51)</f>
        <v>0</v>
      </c>
      <c r="G76" s="3191">
        <f>IF(ISNA('DE1'!F51),0,'DE1'!F51)</f>
        <v>0</v>
      </c>
      <c r="H76" s="837"/>
      <c r="I76" s="3056"/>
      <c r="J76" s="3459"/>
      <c r="K76" s="3180">
        <v>0</v>
      </c>
      <c r="L76" s="837"/>
      <c r="M76" s="3212">
        <v>0</v>
      </c>
      <c r="N76" s="837"/>
      <c r="O76" s="3253">
        <v>0</v>
      </c>
      <c r="P76" s="837"/>
      <c r="Q76" s="3254">
        <v>0</v>
      </c>
      <c r="R76" s="837"/>
      <c r="S76" s="3255">
        <v>0</v>
      </c>
      <c r="T76" s="837"/>
      <c r="U76" t="s">
        <v>9323</v>
      </c>
      <c r="V76" s="444"/>
      <c r="Y76" s="445"/>
      <c r="Z76" s="446"/>
    </row>
    <row r="77" spans="1:26" s="382" customFormat="1" ht="15" customHeight="1">
      <c r="A77" s="432" t="s">
        <v>6596</v>
      </c>
      <c r="B77" s="1053"/>
      <c r="C77" s="2038">
        <v>0</v>
      </c>
      <c r="D77" s="2024"/>
      <c r="E77" s="3186">
        <f>IF(ISNA('DE1'!E52),0,'DE1'!E52)</f>
        <v>0</v>
      </c>
      <c r="G77" s="3191">
        <f>IF(ISNA('DE1'!F52),0,'DE1'!F52)</f>
        <v>0</v>
      </c>
      <c r="H77" s="837"/>
      <c r="I77" s="3056"/>
      <c r="J77" s="3459"/>
      <c r="K77" s="3180">
        <v>0</v>
      </c>
      <c r="L77" s="837"/>
      <c r="M77" s="3212">
        <v>0</v>
      </c>
      <c r="N77" s="837"/>
      <c r="O77" s="3253">
        <v>0</v>
      </c>
      <c r="P77" s="837"/>
      <c r="Q77" s="3254">
        <v>0</v>
      </c>
      <c r="R77" s="837"/>
      <c r="S77" s="3255">
        <v>0</v>
      </c>
      <c r="T77" s="837"/>
      <c r="U77" t="s">
        <v>9324</v>
      </c>
      <c r="V77" s="444"/>
      <c r="Y77" s="445"/>
      <c r="Z77" s="446"/>
    </row>
    <row r="78" spans="1:26" s="382" customFormat="1" ht="15" customHeight="1">
      <c r="A78" s="3504" t="s">
        <v>6597</v>
      </c>
      <c r="B78" s="1053"/>
      <c r="C78" s="2039">
        <v>0</v>
      </c>
      <c r="D78" s="2024"/>
      <c r="E78" s="3186">
        <f>IF(ISNA('DE1'!E53),0,'DE1'!E53)</f>
        <v>0</v>
      </c>
      <c r="G78" s="3191">
        <f>IF(ISNA('DE1'!F53),0,'DE1'!F53)</f>
        <v>0</v>
      </c>
      <c r="H78" s="837"/>
      <c r="I78" s="3056"/>
      <c r="J78" s="3459"/>
      <c r="K78" s="3180">
        <v>0</v>
      </c>
      <c r="L78" s="837"/>
      <c r="M78" s="3212">
        <v>0</v>
      </c>
      <c r="N78" s="837"/>
      <c r="O78" s="3253">
        <v>0</v>
      </c>
      <c r="P78" s="837"/>
      <c r="Q78" s="3254">
        <v>0</v>
      </c>
      <c r="R78" s="837"/>
      <c r="S78" s="3255">
        <v>0</v>
      </c>
      <c r="T78" s="837"/>
      <c r="U78" t="s">
        <v>9436</v>
      </c>
      <c r="V78" s="444"/>
      <c r="Y78" s="445"/>
      <c r="Z78" s="446"/>
    </row>
    <row r="79" spans="1:26" s="382" customFormat="1" ht="15" customHeight="1">
      <c r="A79" s="3504" t="s">
        <v>9437</v>
      </c>
      <c r="B79" s="4594"/>
      <c r="C79" s="4024"/>
      <c r="D79" s="2024"/>
      <c r="E79" s="4118"/>
      <c r="G79" s="4595"/>
      <c r="H79" s="837"/>
      <c r="I79" s="4596"/>
      <c r="J79" s="3459"/>
      <c r="K79" s="3180">
        <v>0</v>
      </c>
      <c r="L79" s="837"/>
      <c r="M79" s="3212">
        <v>0</v>
      </c>
      <c r="N79" s="837"/>
      <c r="O79" s="3253">
        <v>0</v>
      </c>
      <c r="P79" s="837"/>
      <c r="Q79" s="3254">
        <v>0</v>
      </c>
      <c r="R79" s="837"/>
      <c r="S79" s="3255">
        <v>0</v>
      </c>
      <c r="T79" s="837"/>
      <c r="U79" t="s">
        <v>9438</v>
      </c>
      <c r="V79" s="444"/>
      <c r="Y79" s="445"/>
      <c r="Z79" s="446"/>
    </row>
    <row r="80" spans="1:26" s="382" customFormat="1" ht="15" customHeight="1">
      <c r="A80" s="3504" t="s">
        <v>9446</v>
      </c>
      <c r="B80" s="4594"/>
      <c r="C80" s="4024"/>
      <c r="D80" s="2024"/>
      <c r="E80" s="4597"/>
      <c r="G80" s="4595"/>
      <c r="H80" s="837"/>
      <c r="I80" s="4596"/>
      <c r="J80" s="3459"/>
      <c r="K80" s="3180">
        <v>0</v>
      </c>
      <c r="L80" s="837"/>
      <c r="M80" s="3212">
        <v>0</v>
      </c>
      <c r="N80" s="837"/>
      <c r="O80" s="3253">
        <v>0</v>
      </c>
      <c r="P80" s="837"/>
      <c r="Q80" s="3254">
        <v>0</v>
      </c>
      <c r="R80" s="837"/>
      <c r="S80" s="3255">
        <v>0</v>
      </c>
      <c r="T80" s="837"/>
      <c r="U80" t="s">
        <v>9439</v>
      </c>
      <c r="V80" s="444"/>
      <c r="Y80" s="445"/>
      <c r="Z80" s="446"/>
    </row>
    <row r="81" spans="1:26" s="382" customFormat="1" ht="15" customHeight="1">
      <c r="A81" s="1380"/>
      <c r="B81" s="1381"/>
      <c r="C81" s="4024"/>
      <c r="D81" s="2024"/>
      <c r="E81" s="1702" t="s">
        <v>9517</v>
      </c>
      <c r="G81" s="4025"/>
      <c r="H81" s="837"/>
      <c r="I81" s="3985"/>
      <c r="J81" s="3459"/>
      <c r="K81" s="4118"/>
      <c r="L81" s="837"/>
      <c r="M81" s="4118"/>
      <c r="N81" s="837"/>
      <c r="O81" s="4118"/>
      <c r="P81" s="837"/>
      <c r="Q81" s="4118"/>
      <c r="R81" s="837"/>
      <c r="S81" s="4118"/>
      <c r="T81" s="837"/>
      <c r="U81"/>
      <c r="V81" s="444"/>
      <c r="Y81" s="445"/>
      <c r="Z81" s="446"/>
    </row>
    <row r="82" spans="1:26" s="382" customFormat="1" ht="15" customHeight="1">
      <c r="A82" s="1382" t="s">
        <v>2720</v>
      </c>
      <c r="B82" s="1383"/>
      <c r="C82" s="4024"/>
      <c r="D82" s="2024"/>
      <c r="E82" s="3179" t="s">
        <v>2949</v>
      </c>
      <c r="G82" s="4025"/>
      <c r="H82" s="837"/>
      <c r="I82" s="3985"/>
      <c r="J82" s="3459"/>
      <c r="K82" s="4118"/>
      <c r="L82" s="837"/>
      <c r="M82" s="4118"/>
      <c r="N82" s="837"/>
      <c r="O82" s="4118"/>
      <c r="P82" s="837"/>
      <c r="Q82" s="4118"/>
      <c r="R82" s="837"/>
      <c r="S82" s="4118"/>
      <c r="T82" s="837"/>
      <c r="U82"/>
      <c r="V82" s="444"/>
      <c r="Y82" s="445"/>
      <c r="Z82" s="446"/>
    </row>
    <row r="83" spans="1:26" s="382" customFormat="1" ht="15" customHeight="1">
      <c r="A83" s="3145" t="s">
        <v>3871</v>
      </c>
      <c r="B83" s="3991"/>
      <c r="C83" s="4024"/>
      <c r="D83" s="2024"/>
      <c r="E83" s="3186">
        <f>IF(ISNA('DE1'!F48),0,'DE1'!F48)</f>
        <v>0</v>
      </c>
      <c r="G83" s="4025"/>
      <c r="H83" s="837"/>
      <c r="I83" s="3985"/>
      <c r="J83" s="3459"/>
      <c r="K83" s="4118"/>
      <c r="L83" s="837"/>
      <c r="M83" s="4118"/>
      <c r="N83" s="837"/>
      <c r="O83" s="4118"/>
      <c r="P83" s="837"/>
      <c r="Q83" s="4118"/>
      <c r="R83" s="837"/>
      <c r="S83" s="4118"/>
      <c r="T83" s="837"/>
      <c r="U83"/>
      <c r="V83" s="444"/>
      <c r="Y83" s="445"/>
      <c r="Z83" s="446"/>
    </row>
    <row r="84" spans="1:26" s="382" customFormat="1" ht="15" customHeight="1">
      <c r="A84" s="3503" t="s">
        <v>6598</v>
      </c>
      <c r="B84" s="3991"/>
      <c r="C84" s="4024"/>
      <c r="D84" s="2024"/>
      <c r="E84" s="3186">
        <f>IF(ISNA('DE1'!F49),0,'DE1'!F49)</f>
        <v>0</v>
      </c>
      <c r="G84" s="4025"/>
      <c r="H84" s="837"/>
      <c r="I84" s="3985"/>
      <c r="J84" s="3459"/>
      <c r="K84" s="4118"/>
      <c r="L84" s="837"/>
      <c r="M84" s="4118"/>
      <c r="N84" s="837"/>
      <c r="O84" s="4118"/>
      <c r="P84" s="837"/>
      <c r="Q84" s="4118"/>
      <c r="R84" s="837"/>
      <c r="S84" s="4118"/>
      <c r="T84" s="837"/>
      <c r="U84"/>
      <c r="V84" s="444"/>
      <c r="Y84" s="445"/>
      <c r="Z84" s="446"/>
    </row>
    <row r="85" spans="1:26" s="382" customFormat="1" ht="15" customHeight="1">
      <c r="A85" s="432" t="s">
        <v>6594</v>
      </c>
      <c r="B85" s="3991"/>
      <c r="C85" s="4024"/>
      <c r="D85" s="2024"/>
      <c r="E85" s="3186">
        <f>IF(ISNA('DE1'!F50),0,'DE1'!F50)</f>
        <v>0</v>
      </c>
      <c r="G85" s="4025"/>
      <c r="H85" s="837"/>
      <c r="I85" s="3985"/>
      <c r="J85" s="3459"/>
      <c r="K85" s="4118"/>
      <c r="L85" s="837"/>
      <c r="M85" s="4118"/>
      <c r="N85" s="837"/>
      <c r="O85" s="4118"/>
      <c r="P85" s="837"/>
      <c r="Q85" s="4118"/>
      <c r="R85" s="837"/>
      <c r="S85" s="4118"/>
      <c r="T85" s="837"/>
      <c r="U85"/>
      <c r="V85" s="444"/>
      <c r="Y85" s="445"/>
      <c r="Z85" s="446"/>
    </row>
    <row r="86" spans="1:26" s="382" customFormat="1" ht="15" customHeight="1">
      <c r="A86" s="460" t="s">
        <v>6595</v>
      </c>
      <c r="B86" s="3991"/>
      <c r="C86" s="4024"/>
      <c r="D86" s="2024"/>
      <c r="E86" s="3186">
        <f>IF(ISNA('DE1'!F51),0,'DE1'!F51)</f>
        <v>0</v>
      </c>
      <c r="G86" s="4025"/>
      <c r="H86" s="837"/>
      <c r="I86" s="3985"/>
      <c r="J86" s="3459"/>
      <c r="K86" s="4118"/>
      <c r="L86" s="837"/>
      <c r="M86" s="4118"/>
      <c r="N86" s="837"/>
      <c r="O86" s="4118"/>
      <c r="P86" s="837"/>
      <c r="Q86" s="4118"/>
      <c r="R86" s="837"/>
      <c r="S86" s="4118"/>
      <c r="T86" s="837"/>
      <c r="U86"/>
      <c r="V86" s="444"/>
      <c r="Y86" s="445"/>
      <c r="Z86" s="446"/>
    </row>
    <row r="87" spans="1:26" s="382" customFormat="1" ht="15" customHeight="1">
      <c r="A87" s="432" t="s">
        <v>6596</v>
      </c>
      <c r="B87" s="3991"/>
      <c r="C87" s="4024"/>
      <c r="D87" s="2024"/>
      <c r="E87" s="3186">
        <f>IF(ISNA('DE1'!F52),0,'DE1'!F52)</f>
        <v>0</v>
      </c>
      <c r="G87" s="4025"/>
      <c r="H87" s="837"/>
      <c r="I87" s="3985"/>
      <c r="J87" s="3459"/>
      <c r="K87" s="4118"/>
      <c r="L87" s="837"/>
      <c r="M87" s="4118"/>
      <c r="N87" s="837"/>
      <c r="O87" s="4118"/>
      <c r="P87" s="837"/>
      <c r="Q87" s="4118"/>
      <c r="R87" s="837"/>
      <c r="S87" s="4118"/>
      <c r="T87" s="837"/>
      <c r="U87"/>
      <c r="V87" s="444"/>
      <c r="Y87" s="445"/>
      <c r="Z87" s="446"/>
    </row>
    <row r="88" spans="1:26" s="382" customFormat="1" ht="15" customHeight="1">
      <c r="A88" s="3504" t="s">
        <v>6597</v>
      </c>
      <c r="B88" s="3991"/>
      <c r="C88" s="4024"/>
      <c r="D88" s="2024"/>
      <c r="E88" s="3186">
        <f>IF(ISNA('DE1'!F53),0,'DE1'!F53)</f>
        <v>0</v>
      </c>
      <c r="G88" s="4025"/>
      <c r="H88" s="837"/>
      <c r="I88" s="3985"/>
      <c r="J88" s="3459"/>
      <c r="K88" s="4118"/>
      <c r="L88" s="837"/>
      <c r="M88" s="4118"/>
      <c r="N88" s="837"/>
      <c r="O88" s="4118"/>
      <c r="P88" s="837"/>
      <c r="Q88" s="4118"/>
      <c r="R88" s="837"/>
      <c r="S88" s="4118"/>
      <c r="T88" s="837"/>
      <c r="U88"/>
      <c r="V88" s="444"/>
      <c r="Y88" s="445"/>
      <c r="Z88" s="446"/>
    </row>
    <row r="89" spans="1:26" s="382" customFormat="1" ht="15" customHeight="1">
      <c r="A89" s="3045" t="s">
        <v>9228</v>
      </c>
      <c r="B89" s="4042"/>
      <c r="C89" s="2037"/>
      <c r="D89" s="2024"/>
      <c r="E89" s="4118"/>
      <c r="G89" s="3056"/>
      <c r="H89" s="837"/>
      <c r="I89" s="3056"/>
      <c r="J89" s="3459"/>
      <c r="K89" s="3180">
        <v>0</v>
      </c>
      <c r="L89" s="837"/>
      <c r="M89" s="3212">
        <v>0</v>
      </c>
      <c r="N89" s="837"/>
      <c r="O89" s="3253">
        <v>0</v>
      </c>
      <c r="P89" s="837"/>
      <c r="Q89" s="3254">
        <v>0</v>
      </c>
      <c r="R89" s="837"/>
      <c r="S89" s="3255">
        <v>0</v>
      </c>
      <c r="T89" s="837"/>
      <c r="U89"/>
      <c r="V89" s="444"/>
      <c r="Y89" s="445"/>
      <c r="Z89" s="446"/>
    </row>
    <row r="90" spans="1:26" s="382" customFormat="1" ht="15" customHeight="1">
      <c r="A90" s="4116"/>
      <c r="B90" s="3085"/>
      <c r="C90" s="2028"/>
      <c r="D90" s="2028"/>
      <c r="E90" s="3053"/>
      <c r="F90" s="4144"/>
      <c r="G90" s="1374"/>
      <c r="H90" s="1374"/>
      <c r="I90" s="2970"/>
      <c r="J90" s="3457"/>
      <c r="K90" s="2970"/>
      <c r="L90" s="1374"/>
      <c r="M90" s="1374"/>
      <c r="N90" s="1374"/>
      <c r="O90" s="1374"/>
      <c r="P90" s="1374"/>
      <c r="Q90" s="1374"/>
      <c r="R90" s="1374"/>
      <c r="S90" s="2614"/>
      <c r="T90" s="1320"/>
      <c r="U90"/>
      <c r="V90" s="444"/>
      <c r="Y90" s="445"/>
      <c r="Z90" s="446"/>
    </row>
    <row r="91" spans="1:26" s="382" customFormat="1" ht="18" customHeight="1">
      <c r="A91" s="4114" t="s">
        <v>2721</v>
      </c>
      <c r="B91" s="4115"/>
      <c r="C91" s="2029" t="s">
        <v>3138</v>
      </c>
      <c r="D91" s="2029"/>
      <c r="E91" s="3052" t="s">
        <v>3225</v>
      </c>
      <c r="F91" s="4145"/>
      <c r="G91" s="1375" t="s">
        <v>3284</v>
      </c>
      <c r="H91" s="1375"/>
      <c r="I91" s="1379" t="s">
        <v>3922</v>
      </c>
      <c r="J91" s="3458"/>
      <c r="K91" s="1375" t="s">
        <v>3284</v>
      </c>
      <c r="L91" s="1375"/>
      <c r="M91" s="1375" t="s">
        <v>3922</v>
      </c>
      <c r="N91" s="1375"/>
      <c r="O91" s="1375" t="str">
        <f>O68</f>
        <v>2021-22</v>
      </c>
      <c r="P91" s="1375"/>
      <c r="Q91" s="1375" t="str">
        <f>Q68</f>
        <v>2022-23</v>
      </c>
      <c r="R91" s="1375"/>
      <c r="S91" s="2613" t="s">
        <v>8157</v>
      </c>
      <c r="T91" s="1318"/>
      <c r="U91"/>
      <c r="V91" s="3259"/>
      <c r="W91" s="565"/>
      <c r="Y91" s="437"/>
      <c r="Z91" s="438"/>
    </row>
    <row r="92" spans="1:26" s="382" customFormat="1" ht="15.75">
      <c r="A92" s="4130" t="s">
        <v>9219</v>
      </c>
      <c r="B92" s="4131"/>
      <c r="C92" s="4132">
        <v>0</v>
      </c>
      <c r="D92" s="4133"/>
      <c r="E92" s="4560">
        <v>1.17</v>
      </c>
      <c r="G92" s="4083">
        <v>1.079</v>
      </c>
      <c r="H92" s="4084"/>
      <c r="I92" s="4083">
        <v>1.079</v>
      </c>
      <c r="J92" s="4084"/>
      <c r="K92" s="4561">
        <f>E92-E97</f>
        <v>1.17</v>
      </c>
      <c r="M92" s="4562">
        <f>K92</f>
        <v>1.17</v>
      </c>
      <c r="O92" s="4563">
        <f>M92</f>
        <v>1.17</v>
      </c>
      <c r="Q92" s="4564">
        <f>O92</f>
        <v>1.17</v>
      </c>
      <c r="S92" s="4565">
        <f>Q92</f>
        <v>1.17</v>
      </c>
      <c r="U92" s="35" t="s">
        <v>9325</v>
      </c>
      <c r="V92" s="3260"/>
      <c r="Y92" s="437"/>
      <c r="Z92" s="438"/>
    </row>
    <row r="93" spans="1:26" s="382" customFormat="1" ht="15.75">
      <c r="A93" s="4130" t="s">
        <v>9221</v>
      </c>
      <c r="B93" s="4134"/>
      <c r="C93" s="4135">
        <v>0</v>
      </c>
      <c r="D93" s="4133"/>
      <c r="E93" s="4136">
        <v>0</v>
      </c>
      <c r="F93" s="4133"/>
      <c r="G93" s="4137">
        <v>1305123361</v>
      </c>
      <c r="H93" s="4138"/>
      <c r="I93" s="4137">
        <v>1305123361</v>
      </c>
      <c r="J93" s="4138"/>
      <c r="K93" s="4139">
        <v>0</v>
      </c>
      <c r="L93" s="4138"/>
      <c r="M93" s="4140">
        <v>0</v>
      </c>
      <c r="N93" s="4138"/>
      <c r="O93" s="4141">
        <v>0</v>
      </c>
      <c r="P93" s="4138"/>
      <c r="Q93" s="4142">
        <v>0</v>
      </c>
      <c r="R93" s="4138"/>
      <c r="S93" s="4143">
        <v>0</v>
      </c>
      <c r="T93" s="838"/>
      <c r="U93" s="35" t="s">
        <v>9326</v>
      </c>
      <c r="V93" s="444"/>
      <c r="Y93" s="445"/>
      <c r="Z93" s="446"/>
    </row>
    <row r="94" spans="1:26" s="382" customFormat="1" ht="15.75">
      <c r="A94" s="4050" t="s">
        <v>9296</v>
      </c>
      <c r="B94" s="4050"/>
      <c r="C94" s="3488"/>
      <c r="D94" s="2024"/>
      <c r="E94" s="4118"/>
      <c r="G94" s="4046"/>
      <c r="H94" s="838"/>
      <c r="I94" s="4046"/>
      <c r="J94" s="3460"/>
      <c r="K94" s="4566">
        <f>'HB3-RollbackRates'!E13</f>
        <v>1.0683502435064935</v>
      </c>
      <c r="L94" s="838"/>
      <c r="M94" s="4567" t="e">
        <f>'HB3-RollbackRates'!H13</f>
        <v>#DIV/0!</v>
      </c>
      <c r="N94" s="838"/>
      <c r="O94" s="4568" t="e">
        <f>'HB3-RollbackRates'!K13</f>
        <v>#DIV/0!</v>
      </c>
      <c r="P94" s="838"/>
      <c r="Q94" s="4569" t="e">
        <f>'HB3-RollbackRates'!N13</f>
        <v>#DIV/0!</v>
      </c>
      <c r="R94" s="838"/>
      <c r="S94" s="4570" t="e">
        <f>'HB3-RollbackRates'!Q13</f>
        <v>#DIV/0!</v>
      </c>
      <c r="T94" s="838"/>
      <c r="U94" s="35" t="s">
        <v>9327</v>
      </c>
      <c r="V94" s="3260"/>
      <c r="Y94" s="437"/>
      <c r="Z94" s="438"/>
    </row>
    <row r="95" spans="1:26" s="382" customFormat="1" ht="15.75">
      <c r="A95" s="4054" t="s">
        <v>9220</v>
      </c>
      <c r="B95" s="4053"/>
      <c r="C95" s="3488"/>
      <c r="D95" s="2024"/>
      <c r="E95" s="4118"/>
      <c r="G95" s="3489"/>
      <c r="H95" s="838"/>
      <c r="I95" s="3489"/>
      <c r="J95" s="3460"/>
      <c r="K95" s="4571">
        <v>0</v>
      </c>
      <c r="L95" s="838"/>
      <c r="M95" s="4572">
        <v>0</v>
      </c>
      <c r="N95" s="838"/>
      <c r="O95" s="4573">
        <v>0</v>
      </c>
      <c r="P95" s="838"/>
      <c r="Q95" s="4574">
        <v>0</v>
      </c>
      <c r="R95" s="838"/>
      <c r="S95" s="4575">
        <v>0</v>
      </c>
      <c r="T95" s="838"/>
      <c r="U95" s="35" t="s">
        <v>9328</v>
      </c>
      <c r="V95" s="3260"/>
      <c r="Y95" s="437"/>
      <c r="Z95" s="438"/>
    </row>
    <row r="96" spans="1:26" s="382" customFormat="1" ht="15.75">
      <c r="A96" s="4054" t="s">
        <v>9222</v>
      </c>
      <c r="B96" s="4056"/>
      <c r="C96" s="3490"/>
      <c r="D96" s="2024"/>
      <c r="E96" s="4118"/>
      <c r="G96" s="3491"/>
      <c r="H96" s="838"/>
      <c r="I96" s="3491"/>
      <c r="J96" s="3460"/>
      <c r="K96" s="3181">
        <v>0</v>
      </c>
      <c r="L96" s="838"/>
      <c r="M96" s="3212">
        <v>0</v>
      </c>
      <c r="N96" s="838"/>
      <c r="O96" s="3221">
        <v>0</v>
      </c>
      <c r="P96" s="838"/>
      <c r="Q96" s="1308">
        <v>0</v>
      </c>
      <c r="R96" s="838"/>
      <c r="S96" s="1707">
        <v>0</v>
      </c>
      <c r="T96" s="838"/>
      <c r="U96" s="35" t="s">
        <v>9329</v>
      </c>
      <c r="V96" s="444"/>
      <c r="Y96" s="445"/>
      <c r="Z96" s="446"/>
    </row>
    <row r="97" spans="1:26" s="382" customFormat="1" ht="15.75">
      <c r="A97" s="4055" t="s">
        <v>9229</v>
      </c>
      <c r="B97" s="4055"/>
      <c r="C97" s="2041"/>
      <c r="D97" s="2024"/>
      <c r="E97" s="4576">
        <v>0</v>
      </c>
      <c r="G97" s="3056"/>
      <c r="H97" s="838"/>
      <c r="I97" s="3056"/>
      <c r="J97" s="3460"/>
      <c r="K97" s="4118"/>
      <c r="L97" s="838"/>
      <c r="M97" s="4118"/>
      <c r="N97" s="838"/>
      <c r="O97" s="4118"/>
      <c r="P97" s="838"/>
      <c r="Q97" s="4118"/>
      <c r="R97" s="838"/>
      <c r="S97" s="4118"/>
      <c r="T97" s="838"/>
      <c r="U97"/>
      <c r="V97" s="444"/>
      <c r="Y97" s="445"/>
      <c r="Z97" s="446"/>
    </row>
    <row r="98" spans="1:26" s="382" customFormat="1" ht="15.75">
      <c r="A98" s="412" t="s">
        <v>3873</v>
      </c>
      <c r="B98" s="412"/>
      <c r="C98" s="2041">
        <v>0</v>
      </c>
      <c r="D98" s="2024"/>
      <c r="E98" s="3187">
        <v>0</v>
      </c>
      <c r="G98" s="3058">
        <v>0</v>
      </c>
      <c r="H98" s="838"/>
      <c r="I98" s="3058">
        <v>0</v>
      </c>
      <c r="J98" s="3460"/>
      <c r="K98" s="3201">
        <v>0</v>
      </c>
      <c r="L98" s="838"/>
      <c r="M98" s="3212">
        <v>0</v>
      </c>
      <c r="N98" s="838"/>
      <c r="O98" s="3221">
        <v>0</v>
      </c>
      <c r="P98" s="838"/>
      <c r="Q98" s="1308">
        <v>0</v>
      </c>
      <c r="R98" s="838"/>
      <c r="S98" s="1707">
        <v>0</v>
      </c>
      <c r="T98" s="838"/>
      <c r="U98" t="s">
        <v>3882</v>
      </c>
      <c r="V98" s="444"/>
      <c r="Y98" s="445"/>
      <c r="Z98" s="446"/>
    </row>
    <row r="99" spans="1:26" s="382" customFormat="1" ht="15.75" hidden="1">
      <c r="A99" s="432" t="s">
        <v>2980</v>
      </c>
      <c r="B99" s="412"/>
      <c r="C99" s="2041">
        <v>0</v>
      </c>
      <c r="D99" s="2024"/>
      <c r="E99" s="3187">
        <v>0</v>
      </c>
      <c r="G99" s="3058">
        <v>0</v>
      </c>
      <c r="H99" s="837"/>
      <c r="I99" s="3058">
        <v>0</v>
      </c>
      <c r="J99" s="3459"/>
      <c r="K99" s="3201">
        <v>0</v>
      </c>
      <c r="L99" s="837"/>
      <c r="M99" s="3212">
        <v>0</v>
      </c>
      <c r="N99" s="837"/>
      <c r="O99" s="3221">
        <v>0</v>
      </c>
      <c r="P99" s="837"/>
      <c r="Q99" s="1308">
        <v>0</v>
      </c>
      <c r="R99" s="837"/>
      <c r="S99" s="1707">
        <v>0</v>
      </c>
      <c r="T99" s="837"/>
      <c r="U99" t="s">
        <v>7080</v>
      </c>
      <c r="V99" s="444"/>
      <c r="Y99" s="445"/>
      <c r="Z99" s="446"/>
    </row>
    <row r="100" spans="1:26" s="382" customFormat="1" ht="15.75">
      <c r="A100" s="412" t="s">
        <v>3033</v>
      </c>
      <c r="B100" s="412"/>
      <c r="C100" s="2040">
        <v>0</v>
      </c>
      <c r="D100" s="2024"/>
      <c r="E100" s="4576">
        <v>0</v>
      </c>
      <c r="G100" s="3056"/>
      <c r="H100" s="838"/>
      <c r="I100" s="3056"/>
      <c r="J100" s="3460"/>
      <c r="K100" s="4577">
        <v>0</v>
      </c>
      <c r="L100" s="838"/>
      <c r="M100" s="4578">
        <v>0</v>
      </c>
      <c r="N100" s="838"/>
      <c r="O100" s="4579">
        <v>0</v>
      </c>
      <c r="P100" s="838"/>
      <c r="Q100" s="4580">
        <v>0</v>
      </c>
      <c r="R100" s="838"/>
      <c r="S100" s="1709">
        <v>0</v>
      </c>
      <c r="T100" s="838"/>
      <c r="U100" t="s">
        <v>3869</v>
      </c>
      <c r="V100" s="444"/>
      <c r="Y100" s="445"/>
      <c r="Z100" s="446"/>
    </row>
    <row r="101" spans="1:26" s="382" customFormat="1" ht="15.75">
      <c r="A101" s="382" t="s">
        <v>2923</v>
      </c>
      <c r="C101" s="2041">
        <v>0</v>
      </c>
      <c r="D101" s="2024"/>
      <c r="E101" s="3187">
        <v>0</v>
      </c>
      <c r="G101" s="3056"/>
      <c r="H101" s="837"/>
      <c r="I101" s="3056"/>
      <c r="J101" s="3459"/>
      <c r="K101" s="3201">
        <v>0</v>
      </c>
      <c r="L101" s="837"/>
      <c r="M101" s="3212">
        <v>0</v>
      </c>
      <c r="N101" s="837"/>
      <c r="O101" s="3221">
        <v>0</v>
      </c>
      <c r="P101" s="837"/>
      <c r="Q101" s="1308">
        <v>0</v>
      </c>
      <c r="R101" s="837"/>
      <c r="S101" s="1707">
        <v>0</v>
      </c>
      <c r="T101" s="837"/>
      <c r="U101" t="s">
        <v>7081</v>
      </c>
      <c r="V101" s="444"/>
      <c r="Y101" s="445"/>
      <c r="Z101" s="446"/>
    </row>
    <row r="102" spans="1:26" s="382" customFormat="1" ht="15.75">
      <c r="A102" s="1357" t="s">
        <v>3926</v>
      </c>
      <c r="B102" s="413"/>
      <c r="C102" s="2042">
        <v>0</v>
      </c>
      <c r="D102" s="2024"/>
      <c r="E102" s="3187">
        <v>0</v>
      </c>
      <c r="G102" s="3056"/>
      <c r="H102" s="837"/>
      <c r="I102" s="3056"/>
      <c r="J102" s="3459"/>
      <c r="K102" s="3201">
        <v>0</v>
      </c>
      <c r="L102" s="837"/>
      <c r="M102" s="3213">
        <v>0</v>
      </c>
      <c r="N102" s="837"/>
      <c r="O102" s="3222">
        <v>0</v>
      </c>
      <c r="P102" s="837"/>
      <c r="Q102" s="1356">
        <v>0</v>
      </c>
      <c r="R102" s="837"/>
      <c r="S102" s="1708">
        <v>0</v>
      </c>
      <c r="T102" s="837"/>
      <c r="U102" t="s">
        <v>7082</v>
      </c>
      <c r="V102" s="444"/>
      <c r="Y102" s="445"/>
      <c r="Z102" s="446"/>
    </row>
    <row r="103" spans="1:26" ht="18">
      <c r="A103" s="1372" t="s">
        <v>2924</v>
      </c>
      <c r="B103" s="1373"/>
      <c r="C103" s="2032"/>
      <c r="D103" s="2032"/>
      <c r="E103" s="1697"/>
      <c r="F103" s="3458"/>
      <c r="G103" s="1378"/>
      <c r="H103" s="1378"/>
      <c r="I103" s="3452"/>
      <c r="J103" s="3458"/>
      <c r="K103" s="1378"/>
      <c r="L103" s="1378"/>
      <c r="M103" s="1378"/>
      <c r="N103" s="1378"/>
      <c r="O103" s="1378"/>
      <c r="P103" s="1378"/>
      <c r="Q103" s="1378"/>
      <c r="R103" s="1378"/>
      <c r="S103" s="1704"/>
      <c r="T103" s="1318"/>
      <c r="U103" s="35"/>
      <c r="Y103" s="227"/>
      <c r="Z103" s="232"/>
    </row>
    <row r="104" spans="1:26" ht="15.75">
      <c r="A104" s="3204" t="s">
        <v>9304</v>
      </c>
      <c r="B104" s="3204"/>
      <c r="C104" s="2041">
        <v>0</v>
      </c>
      <c r="E104" s="3187">
        <v>0</v>
      </c>
      <c r="F104" s="3458"/>
      <c r="G104" s="3058">
        <v>0</v>
      </c>
      <c r="H104" s="837"/>
      <c r="I104" s="3058">
        <v>0</v>
      </c>
      <c r="J104" s="3459"/>
      <c r="K104" s="3201">
        <v>0</v>
      </c>
      <c r="L104" s="837"/>
      <c r="M104" s="3214">
        <f t="shared" ref="M104:M116" si="17">K104</f>
        <v>0</v>
      </c>
      <c r="N104" s="837"/>
      <c r="O104" s="3223">
        <f>M104</f>
        <v>0</v>
      </c>
      <c r="P104" s="837"/>
      <c r="Q104" s="1309">
        <f>O104</f>
        <v>0</v>
      </c>
      <c r="R104" s="837"/>
      <c r="S104" s="1710">
        <f>Q104</f>
        <v>0</v>
      </c>
      <c r="T104" s="837"/>
      <c r="U104" s="45" t="s">
        <v>9330</v>
      </c>
      <c r="V104" s="3261"/>
      <c r="W104" s="3151"/>
      <c r="X104" s="3151"/>
      <c r="Y104" s="3151"/>
      <c r="Z104" s="3151"/>
    </row>
    <row r="105" spans="1:26" ht="15.75">
      <c r="A105" s="4041" t="s">
        <v>9223</v>
      </c>
      <c r="B105" s="4041"/>
      <c r="C105" s="2041"/>
      <c r="E105" s="4118"/>
      <c r="F105" s="3458"/>
      <c r="G105" s="3056"/>
      <c r="H105" s="837"/>
      <c r="I105" s="3056"/>
      <c r="J105" s="3459"/>
      <c r="K105" s="3181">
        <v>0</v>
      </c>
      <c r="L105" s="837"/>
      <c r="M105" s="3214">
        <f t="shared" si="17"/>
        <v>0</v>
      </c>
      <c r="N105" s="837"/>
      <c r="O105" s="3223">
        <f>M105</f>
        <v>0</v>
      </c>
      <c r="P105" s="837"/>
      <c r="Q105" s="1309">
        <f>O105</f>
        <v>0</v>
      </c>
      <c r="R105" s="837"/>
      <c r="S105" s="1710">
        <f>Q105</f>
        <v>0</v>
      </c>
      <c r="T105" s="837"/>
      <c r="U105" s="35" t="s">
        <v>9331</v>
      </c>
      <c r="V105" s="3261"/>
      <c r="W105" s="3151"/>
      <c r="X105" s="3151"/>
      <c r="Y105" s="3151"/>
      <c r="Z105" s="3151"/>
    </row>
    <row r="106" spans="1:26" ht="15.75">
      <c r="A106" s="4041" t="s">
        <v>9150</v>
      </c>
      <c r="B106" s="4041"/>
      <c r="C106" s="2041"/>
      <c r="E106" s="4118"/>
      <c r="F106" s="3458"/>
      <c r="G106" s="3056"/>
      <c r="H106" s="837"/>
      <c r="I106" s="3056"/>
      <c r="J106" s="3459"/>
      <c r="K106" s="3181">
        <v>0</v>
      </c>
      <c r="L106" s="837"/>
      <c r="M106" s="3214">
        <f t="shared" si="17"/>
        <v>0</v>
      </c>
      <c r="N106" s="837"/>
      <c r="O106" s="3223">
        <f t="shared" ref="O106:O108" si="18">M106</f>
        <v>0</v>
      </c>
      <c r="P106" s="837"/>
      <c r="Q106" s="1309">
        <f t="shared" ref="Q106:Q108" si="19">O106</f>
        <v>0</v>
      </c>
      <c r="R106" s="837"/>
      <c r="S106" s="1710">
        <f t="shared" ref="S106:S108" si="20">Q106</f>
        <v>0</v>
      </c>
      <c r="T106" s="837"/>
      <c r="U106" s="46" t="s">
        <v>9332</v>
      </c>
      <c r="V106" s="3261"/>
      <c r="W106" s="3151"/>
      <c r="X106" s="3151"/>
      <c r="Y106" s="3151"/>
      <c r="Z106" s="3151"/>
    </row>
    <row r="107" spans="1:26" ht="15.75">
      <c r="A107" s="4041" t="s">
        <v>9151</v>
      </c>
      <c r="B107" s="4041"/>
      <c r="C107" s="2041"/>
      <c r="E107" s="4118"/>
      <c r="F107" s="3458"/>
      <c r="G107" s="3056"/>
      <c r="H107" s="837"/>
      <c r="I107" s="3056"/>
      <c r="J107" s="3459"/>
      <c r="K107" s="3181">
        <v>0</v>
      </c>
      <c r="L107" s="837"/>
      <c r="M107" s="3214">
        <f t="shared" si="17"/>
        <v>0</v>
      </c>
      <c r="N107" s="837"/>
      <c r="O107" s="3223">
        <f t="shared" si="18"/>
        <v>0</v>
      </c>
      <c r="P107" s="837"/>
      <c r="Q107" s="1309">
        <f t="shared" si="19"/>
        <v>0</v>
      </c>
      <c r="R107" s="837"/>
      <c r="S107" s="1710">
        <f t="shared" si="20"/>
        <v>0</v>
      </c>
      <c r="T107" s="837"/>
      <c r="U107" s="46" t="s">
        <v>9332</v>
      </c>
      <c r="V107" s="3261"/>
      <c r="W107" s="3151"/>
      <c r="X107" s="3151"/>
      <c r="Y107" s="3151"/>
      <c r="Z107" s="3151"/>
    </row>
    <row r="108" spans="1:26" ht="15.75">
      <c r="A108" s="4041" t="s">
        <v>9152</v>
      </c>
      <c r="B108" s="4041"/>
      <c r="C108" s="2041"/>
      <c r="E108" s="4118"/>
      <c r="F108" s="3458"/>
      <c r="G108" s="3056"/>
      <c r="H108" s="837"/>
      <c r="I108" s="3056"/>
      <c r="J108" s="3459"/>
      <c r="K108" s="3181">
        <v>0</v>
      </c>
      <c r="L108" s="837"/>
      <c r="M108" s="3214">
        <f t="shared" si="17"/>
        <v>0</v>
      </c>
      <c r="N108" s="837"/>
      <c r="O108" s="3223">
        <f t="shared" si="18"/>
        <v>0</v>
      </c>
      <c r="P108" s="837"/>
      <c r="Q108" s="1309">
        <f t="shared" si="19"/>
        <v>0</v>
      </c>
      <c r="R108" s="837"/>
      <c r="S108" s="1710">
        <f t="shared" si="20"/>
        <v>0</v>
      </c>
      <c r="T108" s="837"/>
      <c r="U108" s="46" t="s">
        <v>9332</v>
      </c>
      <c r="V108" s="3261"/>
      <c r="W108" s="3151"/>
      <c r="X108" s="3151"/>
      <c r="Y108" s="3151"/>
      <c r="Z108" s="3151"/>
    </row>
    <row r="109" spans="1:26" ht="15.75">
      <c r="A109" s="4051" t="s">
        <v>8836</v>
      </c>
      <c r="B109" s="4051"/>
      <c r="C109" s="3047"/>
      <c r="E109" s="4118"/>
      <c r="F109" s="3458"/>
      <c r="G109" s="3056"/>
      <c r="H109" s="837"/>
      <c r="I109" s="3056"/>
      <c r="J109" s="3459"/>
      <c r="K109" s="3182" t="s">
        <v>1782</v>
      </c>
      <c r="L109" s="837"/>
      <c r="M109" s="3215" t="str">
        <f t="shared" si="17"/>
        <v>N</v>
      </c>
      <c r="N109" s="837"/>
      <c r="O109" s="3224" t="str">
        <f>M109</f>
        <v>N</v>
      </c>
      <c r="P109" s="837"/>
      <c r="Q109" s="3205" t="str">
        <f>O109</f>
        <v>N</v>
      </c>
      <c r="R109" s="837"/>
      <c r="S109" s="3206" t="str">
        <f>Q109</f>
        <v>N</v>
      </c>
      <c r="T109" s="837"/>
      <c r="U109" s="35" t="s">
        <v>9334</v>
      </c>
      <c r="V109" s="3261"/>
      <c r="W109" s="3151"/>
      <c r="X109" s="3151"/>
      <c r="Y109" s="3151"/>
      <c r="Z109" s="3151"/>
    </row>
    <row r="110" spans="1:26" ht="15.75">
      <c r="A110" s="412" t="s">
        <v>2925</v>
      </c>
      <c r="B110" s="412"/>
      <c r="C110" s="2040">
        <v>0</v>
      </c>
      <c r="E110" s="3188">
        <v>0</v>
      </c>
      <c r="F110" s="3458"/>
      <c r="G110" s="3056"/>
      <c r="H110" s="835"/>
      <c r="I110" s="3056"/>
      <c r="J110" s="3458"/>
      <c r="K110" s="3199">
        <v>0</v>
      </c>
      <c r="L110" s="835"/>
      <c r="M110" s="3216">
        <f t="shared" si="17"/>
        <v>0</v>
      </c>
      <c r="N110" s="835"/>
      <c r="O110" s="3225">
        <f t="shared" ref="O110:O116" si="21">M110</f>
        <v>0</v>
      </c>
      <c r="P110" s="835"/>
      <c r="Q110" s="2609">
        <f t="shared" ref="Q110:Q116" si="22">O110</f>
        <v>0</v>
      </c>
      <c r="R110" s="835"/>
      <c r="S110" s="2611">
        <f t="shared" ref="S110:S116" si="23">Q110</f>
        <v>0</v>
      </c>
      <c r="T110" s="835"/>
      <c r="U110" t="s">
        <v>7083</v>
      </c>
      <c r="W110" s="129"/>
      <c r="Z110" s="229"/>
    </row>
    <row r="111" spans="1:26" ht="15.75">
      <c r="A111" s="412" t="s">
        <v>2926</v>
      </c>
      <c r="B111" s="412"/>
      <c r="C111" s="2040">
        <v>0</v>
      </c>
      <c r="E111" s="3188">
        <v>0</v>
      </c>
      <c r="F111" s="3458"/>
      <c r="G111" s="3056"/>
      <c r="H111" s="835"/>
      <c r="I111" s="3056"/>
      <c r="J111" s="3458"/>
      <c r="K111" s="3199">
        <v>0</v>
      </c>
      <c r="L111" s="835"/>
      <c r="M111" s="3216">
        <f t="shared" si="17"/>
        <v>0</v>
      </c>
      <c r="N111" s="835"/>
      <c r="O111" s="3225">
        <f t="shared" si="21"/>
        <v>0</v>
      </c>
      <c r="P111" s="835"/>
      <c r="Q111" s="2609">
        <f t="shared" si="22"/>
        <v>0</v>
      </c>
      <c r="R111" s="835"/>
      <c r="S111" s="2611">
        <f t="shared" si="23"/>
        <v>0</v>
      </c>
      <c r="T111" s="835"/>
      <c r="U111" s="67" t="s">
        <v>2275</v>
      </c>
      <c r="W111" s="129"/>
      <c r="Y111" s="228"/>
      <c r="Z111" s="229"/>
    </row>
    <row r="112" spans="1:26" ht="15.75">
      <c r="A112" s="412" t="s">
        <v>271</v>
      </c>
      <c r="B112" s="412"/>
      <c r="C112" s="2041">
        <v>0</v>
      </c>
      <c r="E112" s="3187">
        <v>0</v>
      </c>
      <c r="F112" s="3458"/>
      <c r="G112" s="3056"/>
      <c r="H112" s="837"/>
      <c r="I112" s="3056"/>
      <c r="J112" s="3459"/>
      <c r="K112" s="3201">
        <v>0</v>
      </c>
      <c r="L112" s="837"/>
      <c r="M112" s="3217">
        <f t="shared" si="17"/>
        <v>0</v>
      </c>
      <c r="N112" s="837"/>
      <c r="O112" s="3226">
        <f t="shared" si="21"/>
        <v>0</v>
      </c>
      <c r="P112" s="837"/>
      <c r="Q112" s="2610">
        <f t="shared" si="22"/>
        <v>0</v>
      </c>
      <c r="R112" s="837"/>
      <c r="S112" s="2612">
        <f t="shared" si="23"/>
        <v>0</v>
      </c>
      <c r="T112" s="837"/>
      <c r="U112" t="s">
        <v>7084</v>
      </c>
      <c r="W112" s="129"/>
      <c r="Y112" s="121"/>
      <c r="Z112" s="233"/>
    </row>
    <row r="113" spans="1:26" ht="15.75">
      <c r="A113" s="412" t="s">
        <v>10211</v>
      </c>
      <c r="B113" s="412"/>
      <c r="C113" s="2041">
        <v>0</v>
      </c>
      <c r="E113" s="3187">
        <v>0</v>
      </c>
      <c r="F113" s="3458"/>
      <c r="G113" s="3056"/>
      <c r="H113" s="837"/>
      <c r="I113" s="3056"/>
      <c r="J113" s="3459"/>
      <c r="K113" s="4723">
        <f>E113</f>
        <v>0</v>
      </c>
      <c r="L113" s="837"/>
      <c r="M113" s="3214">
        <f t="shared" si="17"/>
        <v>0</v>
      </c>
      <c r="N113" s="837"/>
      <c r="O113" s="3223">
        <f t="shared" si="21"/>
        <v>0</v>
      </c>
      <c r="P113" s="837"/>
      <c r="Q113" s="1309">
        <f t="shared" si="22"/>
        <v>0</v>
      </c>
      <c r="R113" s="837"/>
      <c r="S113" s="1710">
        <f t="shared" si="23"/>
        <v>0</v>
      </c>
      <c r="T113" s="837"/>
      <c r="U113" t="s">
        <v>10163</v>
      </c>
      <c r="W113" s="129"/>
      <c r="Y113" s="121"/>
      <c r="Z113" s="233"/>
    </row>
    <row r="114" spans="1:26" ht="15.75">
      <c r="A114" s="448" t="s">
        <v>10212</v>
      </c>
      <c r="B114" s="448"/>
      <c r="C114" s="2041">
        <v>0</v>
      </c>
      <c r="E114" s="3187">
        <v>0</v>
      </c>
      <c r="F114" s="3458"/>
      <c r="G114" s="3056"/>
      <c r="H114" s="837"/>
      <c r="I114" s="3056"/>
      <c r="J114" s="3459"/>
      <c r="K114" s="4723">
        <f>E114</f>
        <v>0</v>
      </c>
      <c r="L114" s="837"/>
      <c r="M114" s="3214">
        <f t="shared" si="17"/>
        <v>0</v>
      </c>
      <c r="N114" s="837"/>
      <c r="O114" s="3223">
        <f t="shared" si="21"/>
        <v>0</v>
      </c>
      <c r="P114" s="837"/>
      <c r="Q114" s="1309">
        <f t="shared" si="22"/>
        <v>0</v>
      </c>
      <c r="R114" s="837"/>
      <c r="S114" s="1710">
        <f t="shared" si="23"/>
        <v>0</v>
      </c>
      <c r="T114" s="837"/>
      <c r="U114" t="s">
        <v>10164</v>
      </c>
      <c r="W114" s="129"/>
      <c r="Y114" s="227"/>
      <c r="Z114" s="232"/>
    </row>
    <row r="115" spans="1:26" ht="15.75">
      <c r="A115" s="4085" t="s">
        <v>9518</v>
      </c>
      <c r="B115" s="4679"/>
      <c r="C115" s="4660"/>
      <c r="E115" s="4118"/>
      <c r="F115" s="4089"/>
      <c r="G115" s="4681"/>
      <c r="H115" s="4682"/>
      <c r="I115" s="4681"/>
      <c r="J115" s="4682"/>
      <c r="K115" s="4683">
        <v>0</v>
      </c>
      <c r="L115" s="3459"/>
      <c r="M115" s="3217">
        <f t="shared" si="17"/>
        <v>0</v>
      </c>
      <c r="N115" s="3459"/>
      <c r="O115" s="3226">
        <f t="shared" si="21"/>
        <v>0</v>
      </c>
      <c r="P115" s="3459"/>
      <c r="Q115" s="2610">
        <f t="shared" si="22"/>
        <v>0</v>
      </c>
      <c r="R115" s="3459"/>
      <c r="S115" s="2612">
        <f t="shared" si="23"/>
        <v>0</v>
      </c>
      <c r="T115" s="837"/>
      <c r="U115" s="1416" t="s">
        <v>10165</v>
      </c>
      <c r="W115" s="129"/>
      <c r="Y115" s="227"/>
      <c r="Z115" s="232"/>
    </row>
    <row r="116" spans="1:26" ht="15.75">
      <c r="A116" s="4680" t="s">
        <v>9519</v>
      </c>
      <c r="B116" s="4679"/>
      <c r="C116" s="4660"/>
      <c r="E116" s="4118"/>
      <c r="F116" s="4089"/>
      <c r="G116" s="4681"/>
      <c r="H116" s="4682"/>
      <c r="I116" s="4681"/>
      <c r="J116" s="4682"/>
      <c r="K116" s="4683">
        <v>0</v>
      </c>
      <c r="L116" s="3459"/>
      <c r="M116" s="3217">
        <f t="shared" si="17"/>
        <v>0</v>
      </c>
      <c r="N116" s="3459"/>
      <c r="O116" s="3226">
        <f t="shared" si="21"/>
        <v>0</v>
      </c>
      <c r="P116" s="3459"/>
      <c r="Q116" s="2610">
        <f t="shared" si="22"/>
        <v>0</v>
      </c>
      <c r="R116" s="3459"/>
      <c r="S116" s="2612">
        <f t="shared" si="23"/>
        <v>0</v>
      </c>
      <c r="T116" s="837"/>
      <c r="U116" s="1416" t="s">
        <v>10166</v>
      </c>
      <c r="W116" s="129"/>
      <c r="Y116" s="227"/>
      <c r="Z116" s="232"/>
    </row>
    <row r="117" spans="1:26" ht="15.75" hidden="1">
      <c r="A117" s="412" t="s">
        <v>2929</v>
      </c>
      <c r="B117" s="412"/>
      <c r="C117" s="2041">
        <v>0</v>
      </c>
      <c r="E117" s="3187">
        <v>0</v>
      </c>
      <c r="F117" s="3458"/>
      <c r="G117" s="3056"/>
      <c r="H117" s="837"/>
      <c r="I117" s="3056"/>
      <c r="J117" s="3459"/>
      <c r="K117" s="3201">
        <v>0</v>
      </c>
      <c r="L117" s="837"/>
      <c r="M117" s="3212">
        <v>0</v>
      </c>
      <c r="N117" s="837"/>
      <c r="O117" s="3221">
        <v>0</v>
      </c>
      <c r="P117" s="837"/>
      <c r="Q117" s="1308">
        <v>0</v>
      </c>
      <c r="R117" s="837"/>
      <c r="S117" s="1707">
        <v>0</v>
      </c>
      <c r="T117" s="837"/>
      <c r="U117" t="s">
        <v>3010</v>
      </c>
      <c r="W117" s="129"/>
      <c r="Y117" s="227"/>
      <c r="Z117" s="232"/>
    </row>
    <row r="118" spans="1:26" ht="15.75">
      <c r="A118" s="412" t="s">
        <v>3927</v>
      </c>
      <c r="B118" s="412"/>
      <c r="C118" s="2041">
        <v>0</v>
      </c>
      <c r="E118" s="3187">
        <v>0</v>
      </c>
      <c r="F118" s="3458"/>
      <c r="G118" s="3056"/>
      <c r="H118" s="837"/>
      <c r="I118" s="3056"/>
      <c r="J118" s="3459"/>
      <c r="K118" s="3201">
        <v>0</v>
      </c>
      <c r="L118" s="837"/>
      <c r="M118" s="3212">
        <v>0</v>
      </c>
      <c r="N118" s="837"/>
      <c r="O118" s="3221">
        <v>0</v>
      </c>
      <c r="P118" s="837"/>
      <c r="Q118" s="1308">
        <v>0</v>
      </c>
      <c r="R118" s="837"/>
      <c r="S118" s="3201">
        <v>0</v>
      </c>
      <c r="T118" s="837"/>
      <c r="U118" t="s">
        <v>7085</v>
      </c>
      <c r="W118" s="129"/>
      <c r="Y118" s="227"/>
      <c r="Z118" s="232"/>
    </row>
    <row r="119" spans="1:26" ht="15.75">
      <c r="A119" s="412" t="s">
        <v>3910</v>
      </c>
      <c r="B119" s="412"/>
      <c r="C119" s="2038">
        <v>0</v>
      </c>
      <c r="E119" s="3187">
        <v>0</v>
      </c>
      <c r="F119" s="3458"/>
      <c r="G119" s="3056"/>
      <c r="H119" s="837"/>
      <c r="I119" s="3056"/>
      <c r="J119" s="3459"/>
      <c r="K119" s="3201">
        <v>0</v>
      </c>
      <c r="L119" s="837"/>
      <c r="M119" s="3212">
        <v>0</v>
      </c>
      <c r="N119" s="837"/>
      <c r="O119" s="3221">
        <v>0</v>
      </c>
      <c r="P119" s="837"/>
      <c r="Q119" s="1308">
        <v>0</v>
      </c>
      <c r="R119" s="837"/>
      <c r="S119" s="3201">
        <v>0</v>
      </c>
      <c r="T119" s="837"/>
      <c r="U119" t="s">
        <v>9335</v>
      </c>
      <c r="W119" s="129"/>
      <c r="Y119" s="227"/>
      <c r="Z119" s="232"/>
    </row>
    <row r="120" spans="1:26" ht="15.75">
      <c r="A120" s="503" t="s">
        <v>3057</v>
      </c>
      <c r="B120" s="494"/>
      <c r="C120" s="2041">
        <v>0</v>
      </c>
      <c r="E120" s="3187">
        <v>0</v>
      </c>
      <c r="F120" s="3458"/>
      <c r="G120" s="3056"/>
      <c r="H120" s="837"/>
      <c r="I120" s="3056"/>
      <c r="J120" s="3459"/>
      <c r="K120" s="3201">
        <v>0</v>
      </c>
      <c r="L120" s="837"/>
      <c r="M120" s="3218">
        <f t="shared" ref="M120:M127" si="24">K120</f>
        <v>0</v>
      </c>
      <c r="N120" s="837"/>
      <c r="O120" s="3227">
        <f>M120</f>
        <v>0</v>
      </c>
      <c r="P120" s="837"/>
      <c r="Q120" s="2610">
        <f>O120</f>
        <v>0</v>
      </c>
      <c r="R120" s="837"/>
      <c r="S120" s="2612">
        <f>Q120</f>
        <v>0</v>
      </c>
      <c r="T120" s="837"/>
      <c r="U120" t="s">
        <v>3048</v>
      </c>
      <c r="W120" s="129"/>
      <c r="Y120" s="121"/>
      <c r="Z120" s="233"/>
    </row>
    <row r="121" spans="1:26" ht="15.75">
      <c r="A121" s="493" t="s">
        <v>2930</v>
      </c>
      <c r="B121" s="494"/>
      <c r="C121" s="2041">
        <v>0</v>
      </c>
      <c r="E121" s="3187">
        <v>0</v>
      </c>
      <c r="F121" s="3458"/>
      <c r="G121" s="3056"/>
      <c r="H121" s="837"/>
      <c r="I121" s="3056"/>
      <c r="J121" s="3459"/>
      <c r="K121" s="3201">
        <v>0</v>
      </c>
      <c r="L121" s="837"/>
      <c r="M121" s="3218">
        <v>0</v>
      </c>
      <c r="N121" s="837"/>
      <c r="O121" s="3227">
        <f t="shared" ref="O121:O125" si="25">M121</f>
        <v>0</v>
      </c>
      <c r="P121" s="837"/>
      <c r="Q121" s="2610">
        <f t="shared" ref="Q121:Q125" si="26">O121</f>
        <v>0</v>
      </c>
      <c r="R121" s="837"/>
      <c r="S121" s="2612">
        <f t="shared" ref="S121:S125" si="27">Q121</f>
        <v>0</v>
      </c>
      <c r="T121" s="837"/>
      <c r="U121" t="s">
        <v>3013</v>
      </c>
      <c r="W121" s="129"/>
      <c r="Y121" s="121"/>
      <c r="Z121" s="233"/>
    </row>
    <row r="122" spans="1:26" ht="15.75" hidden="1">
      <c r="A122" s="503" t="s">
        <v>2982</v>
      </c>
      <c r="B122" s="494"/>
      <c r="C122" s="2041">
        <v>0</v>
      </c>
      <c r="E122" s="3187">
        <v>0</v>
      </c>
      <c r="F122" s="3458"/>
      <c r="G122" s="3056"/>
      <c r="H122" s="837"/>
      <c r="I122" s="3056"/>
      <c r="J122" s="3459"/>
      <c r="K122" s="3201">
        <v>0</v>
      </c>
      <c r="L122" s="837"/>
      <c r="M122" s="3218">
        <f t="shared" si="24"/>
        <v>0</v>
      </c>
      <c r="N122" s="837"/>
      <c r="O122" s="3227">
        <f t="shared" si="25"/>
        <v>0</v>
      </c>
      <c r="P122" s="837"/>
      <c r="Q122" s="2610">
        <f t="shared" si="26"/>
        <v>0</v>
      </c>
      <c r="R122" s="837"/>
      <c r="S122" s="2612">
        <f t="shared" si="27"/>
        <v>0</v>
      </c>
      <c r="T122" s="837"/>
      <c r="U122" t="s">
        <v>3013</v>
      </c>
      <c r="W122" s="129"/>
      <c r="Y122" s="121"/>
      <c r="Z122" s="233"/>
    </row>
    <row r="123" spans="1:26" ht="15.75">
      <c r="A123" s="503" t="s">
        <v>2983</v>
      </c>
      <c r="B123" s="494"/>
      <c r="C123" s="2041">
        <v>0</v>
      </c>
      <c r="E123" s="3187">
        <v>0</v>
      </c>
      <c r="F123" s="3458"/>
      <c r="G123" s="3056"/>
      <c r="H123" s="837"/>
      <c r="I123" s="3056"/>
      <c r="J123" s="3459"/>
      <c r="K123" s="3201">
        <v>0</v>
      </c>
      <c r="L123" s="837"/>
      <c r="M123" s="3218">
        <v>0</v>
      </c>
      <c r="N123" s="837"/>
      <c r="O123" s="3227">
        <f t="shared" si="25"/>
        <v>0</v>
      </c>
      <c r="P123" s="837"/>
      <c r="Q123" s="2610">
        <f t="shared" si="26"/>
        <v>0</v>
      </c>
      <c r="R123" s="837"/>
      <c r="S123" s="2612">
        <f t="shared" si="27"/>
        <v>0</v>
      </c>
      <c r="T123" s="837"/>
      <c r="U123" t="s">
        <v>3013</v>
      </c>
      <c r="W123" s="129"/>
      <c r="Y123" s="121"/>
      <c r="Z123" s="233"/>
    </row>
    <row r="124" spans="1:26" ht="15.75" hidden="1">
      <c r="A124" s="503" t="s">
        <v>2984</v>
      </c>
      <c r="B124" s="494"/>
      <c r="C124" s="2041">
        <v>0</v>
      </c>
      <c r="E124" s="3187">
        <v>0</v>
      </c>
      <c r="F124" s="3458"/>
      <c r="G124" s="3056"/>
      <c r="H124" s="837"/>
      <c r="I124" s="3056"/>
      <c r="J124" s="3459"/>
      <c r="K124" s="3201">
        <v>0</v>
      </c>
      <c r="L124" s="837"/>
      <c r="M124" s="3218">
        <f t="shared" si="24"/>
        <v>0</v>
      </c>
      <c r="N124" s="837"/>
      <c r="O124" s="3227">
        <f t="shared" si="25"/>
        <v>0</v>
      </c>
      <c r="P124" s="837"/>
      <c r="Q124" s="2610">
        <f t="shared" si="26"/>
        <v>0</v>
      </c>
      <c r="R124" s="837"/>
      <c r="S124" s="2612">
        <f t="shared" si="27"/>
        <v>0</v>
      </c>
      <c r="T124" s="837"/>
      <c r="U124" t="s">
        <v>3013</v>
      </c>
      <c r="W124" s="129"/>
      <c r="Y124" s="121"/>
      <c r="Z124" s="233"/>
    </row>
    <row r="125" spans="1:26" ht="15.75">
      <c r="A125" s="503" t="s">
        <v>9380</v>
      </c>
      <c r="B125" s="494"/>
      <c r="C125" s="2041">
        <v>0</v>
      </c>
      <c r="E125" s="3187">
        <v>0</v>
      </c>
      <c r="F125" s="3458"/>
      <c r="G125" s="3056"/>
      <c r="H125" s="837"/>
      <c r="I125" s="3056"/>
      <c r="J125" s="3459"/>
      <c r="K125" s="3201">
        <v>0</v>
      </c>
      <c r="L125" s="837"/>
      <c r="M125" s="3218">
        <v>0</v>
      </c>
      <c r="N125" s="837"/>
      <c r="O125" s="3227">
        <f t="shared" si="25"/>
        <v>0</v>
      </c>
      <c r="P125" s="837"/>
      <c r="Q125" s="2610">
        <f t="shared" si="26"/>
        <v>0</v>
      </c>
      <c r="R125" s="837"/>
      <c r="S125" s="2612">
        <f t="shared" si="27"/>
        <v>0</v>
      </c>
      <c r="T125" s="837"/>
      <c r="U125" t="s">
        <v>9381</v>
      </c>
      <c r="W125" s="129"/>
      <c r="Y125" s="121"/>
      <c r="Z125" s="233"/>
    </row>
    <row r="126" spans="1:26" ht="15.75" hidden="1">
      <c r="A126" s="412" t="s">
        <v>3025</v>
      </c>
      <c r="B126" s="412"/>
      <c r="C126" s="2043"/>
      <c r="D126" s="2044"/>
      <c r="E126" s="3187">
        <v>0</v>
      </c>
      <c r="G126" s="3056"/>
      <c r="H126" s="836"/>
      <c r="I126" s="3056"/>
      <c r="J126" s="3461"/>
      <c r="K126" s="3201">
        <v>0</v>
      </c>
      <c r="L126" s="836"/>
      <c r="M126" s="3217">
        <f t="shared" si="24"/>
        <v>0</v>
      </c>
      <c r="N126" s="836"/>
      <c r="O126" s="3228"/>
      <c r="P126" s="836"/>
      <c r="Q126" s="1310"/>
      <c r="R126" s="836"/>
      <c r="S126" s="1711"/>
      <c r="T126" s="836"/>
      <c r="U126" t="s">
        <v>3023</v>
      </c>
      <c r="W126" s="129"/>
      <c r="Y126" s="226"/>
      <c r="Z126" s="234"/>
    </row>
    <row r="127" spans="1:26" ht="15.75" hidden="1">
      <c r="A127" s="493" t="s">
        <v>3195</v>
      </c>
      <c r="B127" s="494"/>
      <c r="C127" s="2043"/>
      <c r="D127" s="2044"/>
      <c r="E127" s="3187">
        <v>0</v>
      </c>
      <c r="F127" s="449"/>
      <c r="G127" s="3056"/>
      <c r="H127" s="836"/>
      <c r="I127" s="3056"/>
      <c r="J127" s="3461"/>
      <c r="K127" s="3201">
        <v>0</v>
      </c>
      <c r="L127" s="836"/>
      <c r="M127" s="3217">
        <f t="shared" si="24"/>
        <v>0</v>
      </c>
      <c r="N127" s="836"/>
      <c r="O127" s="3228"/>
      <c r="P127" s="836"/>
      <c r="Q127" s="1310"/>
      <c r="R127" s="836"/>
      <c r="S127" s="1711"/>
      <c r="T127" s="836"/>
      <c r="U127" t="s">
        <v>3058</v>
      </c>
      <c r="W127" s="129"/>
      <c r="Y127" s="121"/>
      <c r="Z127" s="233"/>
    </row>
    <row r="128" spans="1:26" ht="15.75" hidden="1">
      <c r="A128" s="453" t="s">
        <v>6655</v>
      </c>
      <c r="B128" s="453"/>
      <c r="C128" s="2038">
        <f>IF(ISNA('DE1'!C83),0,'DE1'!C83)</f>
        <v>0</v>
      </c>
      <c r="E128" s="3187">
        <v>0</v>
      </c>
      <c r="F128" s="704"/>
      <c r="G128" s="3056"/>
      <c r="H128" s="836"/>
      <c r="I128" s="3056"/>
      <c r="J128" s="3461"/>
      <c r="K128" s="3201">
        <v>0</v>
      </c>
      <c r="L128" s="836"/>
      <c r="M128" s="3218">
        <v>0</v>
      </c>
      <c r="N128" s="836"/>
      <c r="O128" s="3229">
        <v>0</v>
      </c>
      <c r="P128" s="836"/>
      <c r="Q128" s="1308">
        <v>0</v>
      </c>
      <c r="R128" s="836"/>
      <c r="S128" s="1707">
        <v>0</v>
      </c>
      <c r="T128" s="836"/>
      <c r="U128" t="s">
        <v>7086</v>
      </c>
      <c r="W128" s="129"/>
      <c r="Y128" s="121"/>
      <c r="Z128" s="233"/>
    </row>
    <row r="129" spans="1:26" ht="15.75">
      <c r="A129" s="600" t="s">
        <v>3924</v>
      </c>
      <c r="B129" s="453"/>
      <c r="C129" s="2041">
        <v>0</v>
      </c>
      <c r="E129" s="3187">
        <v>0</v>
      </c>
      <c r="G129" s="3056"/>
      <c r="H129" s="837"/>
      <c r="I129" s="3056"/>
      <c r="J129" s="3459"/>
      <c r="K129" s="3201">
        <v>0</v>
      </c>
      <c r="L129" s="837"/>
      <c r="M129" s="3212">
        <v>0</v>
      </c>
      <c r="N129" s="837"/>
      <c r="O129" s="3229">
        <v>0</v>
      </c>
      <c r="P129" s="837"/>
      <c r="Q129" s="1308">
        <v>0</v>
      </c>
      <c r="R129" s="837"/>
      <c r="S129" s="1707">
        <v>0</v>
      </c>
      <c r="T129" s="837"/>
      <c r="U129" t="s">
        <v>3136</v>
      </c>
      <c r="W129" s="129"/>
      <c r="Y129" s="121"/>
      <c r="Z129" s="233"/>
    </row>
    <row r="130" spans="1:26" ht="15.75">
      <c r="A130" s="600" t="s">
        <v>3925</v>
      </c>
      <c r="B130" s="453"/>
      <c r="C130" s="2042">
        <v>0</v>
      </c>
      <c r="E130" s="3187">
        <v>0</v>
      </c>
      <c r="G130" s="3056"/>
      <c r="H130" s="837"/>
      <c r="I130" s="3056"/>
      <c r="J130" s="3459"/>
      <c r="K130" s="3201">
        <v>0</v>
      </c>
      <c r="L130" s="837"/>
      <c r="M130" s="3213">
        <v>0</v>
      </c>
      <c r="N130" s="837"/>
      <c r="O130" s="3230">
        <v>0</v>
      </c>
      <c r="P130" s="837"/>
      <c r="Q130" s="1356">
        <v>0</v>
      </c>
      <c r="R130" s="837"/>
      <c r="S130" s="1708">
        <v>0</v>
      </c>
      <c r="T130" s="837"/>
      <c r="U130" t="s">
        <v>3136</v>
      </c>
      <c r="W130" s="129"/>
      <c r="Y130" s="121"/>
      <c r="Z130" s="233"/>
    </row>
    <row r="131" spans="1:26" ht="18">
      <c r="A131" s="1384" t="s">
        <v>10215</v>
      </c>
      <c r="B131" s="1377"/>
      <c r="C131" s="2034" t="s">
        <v>3138</v>
      </c>
      <c r="D131" s="2034"/>
      <c r="E131" s="1379" t="s">
        <v>3225</v>
      </c>
      <c r="F131" s="3458"/>
      <c r="G131" s="1379" t="s">
        <v>3284</v>
      </c>
      <c r="H131" s="1379"/>
      <c r="I131" s="1379" t="s">
        <v>3922</v>
      </c>
      <c r="J131" s="3458"/>
      <c r="K131" s="1379" t="s">
        <v>3284</v>
      </c>
      <c r="L131" s="1379"/>
      <c r="M131" s="1379" t="s">
        <v>3922</v>
      </c>
      <c r="N131" s="1379"/>
      <c r="O131" s="1379" t="str">
        <f>O91</f>
        <v>2021-22</v>
      </c>
      <c r="P131" s="1379"/>
      <c r="Q131" s="1379" t="str">
        <f>Q91</f>
        <v>2022-23</v>
      </c>
      <c r="R131" s="1379"/>
      <c r="S131" s="1379" t="str">
        <f>S91</f>
        <v>2023-24</v>
      </c>
      <c r="T131" s="1318"/>
      <c r="U131" s="165" t="s">
        <v>980</v>
      </c>
      <c r="Y131" s="227"/>
      <c r="Z131" s="232"/>
    </row>
    <row r="132" spans="1:26" ht="15.75" hidden="1">
      <c r="A132" s="412" t="s">
        <v>2927</v>
      </c>
      <c r="B132" s="412"/>
      <c r="C132" s="2045" t="s">
        <v>1782</v>
      </c>
      <c r="E132" s="705" t="s">
        <v>1782</v>
      </c>
      <c r="F132" s="119"/>
      <c r="G132" s="715" t="s">
        <v>1782</v>
      </c>
      <c r="H132" s="839"/>
      <c r="I132" s="119"/>
      <c r="J132" s="3462"/>
      <c r="K132" s="119"/>
      <c r="L132" s="839"/>
      <c r="M132" s="844" t="s">
        <v>1782</v>
      </c>
      <c r="N132" s="839"/>
      <c r="O132" s="844" t="s">
        <v>1782</v>
      </c>
      <c r="P132" s="839"/>
      <c r="Q132" s="844" t="s">
        <v>1782</v>
      </c>
      <c r="R132" s="839"/>
      <c r="S132" s="1712" t="s">
        <v>1782</v>
      </c>
      <c r="T132" s="839"/>
      <c r="U132" s="67" t="s">
        <v>2392</v>
      </c>
      <c r="W132" s="129"/>
      <c r="Y132" s="226"/>
      <c r="Z132" s="234"/>
    </row>
    <row r="133" spans="1:26" ht="15.75" hidden="1">
      <c r="A133" s="412" t="s">
        <v>2928</v>
      </c>
      <c r="B133" s="412"/>
      <c r="C133" s="2045" t="s">
        <v>1782</v>
      </c>
      <c r="E133" s="705" t="s">
        <v>1782</v>
      </c>
      <c r="F133" s="119"/>
      <c r="G133" s="715" t="s">
        <v>1782</v>
      </c>
      <c r="H133" s="839"/>
      <c r="I133" s="119"/>
      <c r="J133" s="3462"/>
      <c r="K133" s="119"/>
      <c r="L133" s="839"/>
      <c r="M133" s="844" t="s">
        <v>1782</v>
      </c>
      <c r="N133" s="839"/>
      <c r="O133" s="844" t="s">
        <v>1782</v>
      </c>
      <c r="P133" s="839"/>
      <c r="Q133" s="844" t="s">
        <v>1782</v>
      </c>
      <c r="R133" s="839"/>
      <c r="S133" s="1712" t="s">
        <v>1782</v>
      </c>
      <c r="T133" s="839"/>
      <c r="U133" t="s">
        <v>3022</v>
      </c>
      <c r="W133" s="129"/>
      <c r="Y133" s="226"/>
      <c r="Z133" s="234"/>
    </row>
    <row r="134" spans="1:26" ht="15.75">
      <c r="A134" s="453" t="s">
        <v>2096</v>
      </c>
      <c r="B134" s="453"/>
      <c r="C134" s="2041">
        <v>0</v>
      </c>
      <c r="E134" s="3187">
        <v>0</v>
      </c>
      <c r="G134" s="3056"/>
      <c r="H134" s="837"/>
      <c r="I134" s="3056"/>
      <c r="J134" s="3459"/>
      <c r="K134" s="4118"/>
      <c r="L134" s="837"/>
      <c r="M134" s="4118"/>
      <c r="N134" s="837"/>
      <c r="O134" s="4118"/>
      <c r="P134" s="837"/>
      <c r="Q134" s="4118"/>
      <c r="R134" s="837"/>
      <c r="S134" s="4118"/>
      <c r="T134" s="837"/>
      <c r="U134" s="119" t="s">
        <v>8286</v>
      </c>
      <c r="W134" s="129"/>
      <c r="Y134" s="227"/>
      <c r="Z134" s="232"/>
    </row>
    <row r="135" spans="1:26" ht="15.75">
      <c r="A135" s="453" t="s">
        <v>931</v>
      </c>
      <c r="B135" s="453"/>
      <c r="C135" s="2041">
        <v>0</v>
      </c>
      <c r="E135" s="3187">
        <v>0</v>
      </c>
      <c r="G135" s="3056"/>
      <c r="H135" s="837"/>
      <c r="I135" s="3056"/>
      <c r="J135" s="3459"/>
      <c r="K135" s="4118"/>
      <c r="L135" s="837"/>
      <c r="M135" s="4118"/>
      <c r="N135" s="837"/>
      <c r="O135" s="4118"/>
      <c r="P135" s="837"/>
      <c r="Q135" s="4118"/>
      <c r="R135" s="837"/>
      <c r="S135" s="4118"/>
      <c r="T135" s="837"/>
      <c r="U135" s="209" t="s">
        <v>7087</v>
      </c>
      <c r="W135" s="129"/>
      <c r="Y135" s="227"/>
      <c r="Z135" s="232"/>
    </row>
    <row r="136" spans="1:26" ht="15.75">
      <c r="A136" s="453" t="s">
        <v>2931</v>
      </c>
      <c r="B136" s="453"/>
      <c r="C136" s="2041">
        <v>0</v>
      </c>
      <c r="E136" s="3187">
        <v>0</v>
      </c>
      <c r="G136" s="3056"/>
      <c r="H136" s="837"/>
      <c r="I136" s="3056"/>
      <c r="J136" s="3459"/>
      <c r="K136" s="3201">
        <v>0</v>
      </c>
      <c r="L136" s="837"/>
      <c r="M136" s="3218">
        <v>0</v>
      </c>
      <c r="N136" s="837"/>
      <c r="O136" s="3226">
        <f t="shared" ref="O136" si="28">M136</f>
        <v>0</v>
      </c>
      <c r="P136" s="837"/>
      <c r="Q136" s="2610">
        <f t="shared" ref="Q136" si="29">O136</f>
        <v>0</v>
      </c>
      <c r="R136" s="837"/>
      <c r="S136" s="2612">
        <f t="shared" ref="S136" si="30">Q136</f>
        <v>0</v>
      </c>
      <c r="T136" s="837"/>
      <c r="U136" s="209" t="s">
        <v>3014</v>
      </c>
      <c r="W136" s="129"/>
      <c r="Y136" s="227"/>
      <c r="Z136" s="232"/>
    </row>
    <row r="137" spans="1:26" ht="15.75">
      <c r="A137" s="453" t="s">
        <v>2443</v>
      </c>
      <c r="B137" s="453"/>
      <c r="C137" s="2041">
        <v>0</v>
      </c>
      <c r="E137" s="3187">
        <v>0</v>
      </c>
      <c r="G137" s="3056"/>
      <c r="H137" s="837"/>
      <c r="I137" s="3056"/>
      <c r="J137" s="3459"/>
      <c r="K137" s="3201">
        <v>0</v>
      </c>
      <c r="L137" s="837"/>
      <c r="M137" s="3218">
        <v>0</v>
      </c>
      <c r="N137" s="837"/>
      <c r="O137" s="3226">
        <f t="shared" ref="O137" si="31">M137</f>
        <v>0</v>
      </c>
      <c r="P137" s="837"/>
      <c r="Q137" s="2610">
        <f t="shared" ref="Q137" si="32">O137</f>
        <v>0</v>
      </c>
      <c r="R137" s="837"/>
      <c r="S137" s="2612">
        <f t="shared" ref="S137" si="33">Q137</f>
        <v>0</v>
      </c>
      <c r="T137" s="837"/>
      <c r="U137" s="209" t="s">
        <v>3015</v>
      </c>
      <c r="W137" s="129"/>
      <c r="Y137" s="227"/>
      <c r="Z137" s="232"/>
    </row>
    <row r="138" spans="1:26" ht="15.75">
      <c r="A138" s="435" t="s">
        <v>1851</v>
      </c>
      <c r="B138" s="435"/>
      <c r="C138" s="2046"/>
      <c r="E138" s="3189"/>
      <c r="G138" s="3056"/>
      <c r="H138" s="837"/>
      <c r="I138" s="3056"/>
      <c r="J138" s="3459"/>
      <c r="K138" s="4597"/>
      <c r="L138" s="837"/>
      <c r="M138" s="4597"/>
      <c r="N138" s="837"/>
      <c r="O138" s="4597"/>
      <c r="P138" s="837"/>
      <c r="Q138" s="4597"/>
      <c r="R138" s="837"/>
      <c r="S138" s="4597"/>
      <c r="T138" s="837"/>
      <c r="W138" s="129"/>
      <c r="Y138" s="227"/>
      <c r="Z138" s="232"/>
    </row>
    <row r="139" spans="1:26" ht="15.75">
      <c r="A139" s="463" t="s">
        <v>2679</v>
      </c>
      <c r="B139" s="462"/>
      <c r="C139" s="2041">
        <v>0</v>
      </c>
      <c r="E139" s="3187">
        <v>0</v>
      </c>
      <c r="G139" s="3056"/>
      <c r="H139" s="837"/>
      <c r="I139" s="3056"/>
      <c r="J139" s="3459"/>
      <c r="K139" s="4725"/>
      <c r="L139" s="837"/>
      <c r="M139" s="4725"/>
      <c r="N139" s="837"/>
      <c r="O139" s="4725"/>
      <c r="P139" s="837"/>
      <c r="Q139" s="4725"/>
      <c r="R139" s="837"/>
      <c r="S139" s="4725"/>
      <c r="T139" s="837"/>
      <c r="U139" s="209" t="s">
        <v>3016</v>
      </c>
      <c r="W139" s="129"/>
      <c r="Y139" s="227"/>
      <c r="Z139" s="232"/>
    </row>
    <row r="140" spans="1:26" ht="15.75">
      <c r="A140" s="460" t="s">
        <v>766</v>
      </c>
      <c r="B140" s="494"/>
      <c r="C140" s="2041">
        <v>0</v>
      </c>
      <c r="E140" s="3187">
        <v>0</v>
      </c>
      <c r="G140" s="3056"/>
      <c r="H140" s="837"/>
      <c r="I140" s="3056"/>
      <c r="J140" s="3459"/>
      <c r="K140" s="4118"/>
      <c r="L140" s="837"/>
      <c r="M140" s="4118"/>
      <c r="N140" s="837"/>
      <c r="O140" s="4118"/>
      <c r="P140" s="837"/>
      <c r="Q140" s="4118"/>
      <c r="R140" s="837"/>
      <c r="S140" s="4118"/>
      <c r="T140" s="837"/>
      <c r="U140" s="209" t="s">
        <v>3017</v>
      </c>
    </row>
    <row r="141" spans="1:26" ht="15.75">
      <c r="A141" s="4726" t="s">
        <v>10217</v>
      </c>
      <c r="B141" s="4727"/>
      <c r="C141" s="4660"/>
      <c r="E141" s="3187">
        <v>0</v>
      </c>
      <c r="G141" s="4728"/>
      <c r="H141" s="837"/>
      <c r="I141" s="4728"/>
      <c r="J141" s="3459"/>
      <c r="K141" s="4729"/>
      <c r="L141" s="837"/>
      <c r="M141" s="4725"/>
      <c r="N141" s="837"/>
      <c r="O141" s="4725"/>
      <c r="P141" s="837"/>
      <c r="Q141" s="4725"/>
      <c r="R141" s="837"/>
      <c r="S141" s="4725"/>
      <c r="T141" s="837"/>
      <c r="U141" s="209"/>
    </row>
    <row r="142" spans="1:26" ht="15.75">
      <c r="A142" s="503" t="s">
        <v>10216</v>
      </c>
      <c r="B142" s="494"/>
      <c r="C142" s="2041">
        <v>0</v>
      </c>
      <c r="E142" s="4118"/>
      <c r="F142" s="3458"/>
      <c r="G142" s="3056"/>
      <c r="H142" s="839"/>
      <c r="I142" s="3056"/>
      <c r="J142" s="3462"/>
      <c r="K142" s="3201">
        <v>0</v>
      </c>
      <c r="L142" s="839"/>
      <c r="M142" s="3218">
        <v>0</v>
      </c>
      <c r="N142" s="839"/>
      <c r="O142" s="3226">
        <f t="shared" ref="O142" si="34">M142</f>
        <v>0</v>
      </c>
      <c r="P142" s="839"/>
      <c r="Q142" s="2610">
        <f t="shared" ref="Q142" si="35">O142</f>
        <v>0</v>
      </c>
      <c r="R142" s="839"/>
      <c r="S142" s="2612">
        <f t="shared" ref="S142" si="36">Q142</f>
        <v>0</v>
      </c>
      <c r="T142" s="839"/>
      <c r="U142" s="35" t="s">
        <v>9511</v>
      </c>
      <c r="W142" s="129"/>
      <c r="Y142" s="121"/>
      <c r="Z142" s="233"/>
    </row>
    <row r="143" spans="1:26" ht="15.75">
      <c r="A143" s="460" t="s">
        <v>3851</v>
      </c>
      <c r="B143" s="494"/>
      <c r="C143" s="2047">
        <v>0</v>
      </c>
      <c r="E143" s="3190" t="s">
        <v>700</v>
      </c>
      <c r="F143" s="119"/>
      <c r="G143" s="3477" t="str">
        <f>E143</f>
        <v>Y</v>
      </c>
      <c r="H143" s="839"/>
      <c r="I143" s="3477" t="str">
        <f>G143</f>
        <v>Y</v>
      </c>
      <c r="J143" s="3462"/>
      <c r="K143" s="3482" t="s">
        <v>700</v>
      </c>
      <c r="L143" s="839"/>
      <c r="M143" s="3483" t="s">
        <v>700</v>
      </c>
      <c r="N143" s="839"/>
      <c r="O143" s="3231" t="str">
        <f>M143</f>
        <v>Y</v>
      </c>
      <c r="P143" s="839"/>
      <c r="Q143" s="1311" t="str">
        <f>O143</f>
        <v>Y</v>
      </c>
      <c r="R143" s="839"/>
      <c r="S143" s="1712" t="str">
        <f>Q143</f>
        <v>Y</v>
      </c>
      <c r="T143" s="839"/>
      <c r="U143" s="209" t="s">
        <v>7088</v>
      </c>
    </row>
    <row r="144" spans="1:26" ht="15.75">
      <c r="A144" s="460" t="s">
        <v>3045</v>
      </c>
      <c r="B144" s="504"/>
      <c r="C144" s="2047">
        <v>0</v>
      </c>
      <c r="D144" s="2048"/>
      <c r="E144" s="3190" t="s">
        <v>700</v>
      </c>
      <c r="F144" s="3458"/>
      <c r="G144" s="3477" t="str">
        <f>E144</f>
        <v>Y</v>
      </c>
      <c r="H144" s="839"/>
      <c r="I144" s="3477" t="str">
        <f>G144</f>
        <v>Y</v>
      </c>
      <c r="J144" s="3462"/>
      <c r="K144" s="3482" t="s">
        <v>700</v>
      </c>
      <c r="L144" s="839"/>
      <c r="M144" s="3483" t="s">
        <v>700</v>
      </c>
      <c r="N144" s="839"/>
      <c r="O144" s="3231" t="str">
        <f>M144</f>
        <v>Y</v>
      </c>
      <c r="P144" s="839"/>
      <c r="Q144" s="1311" t="str">
        <f>O144</f>
        <v>Y</v>
      </c>
      <c r="R144" s="839"/>
      <c r="S144" s="1712" t="str">
        <f>Q144</f>
        <v>Y</v>
      </c>
      <c r="T144" s="839"/>
      <c r="U144" s="209" t="s">
        <v>7089</v>
      </c>
    </row>
    <row r="145" spans="1:26" ht="18">
      <c r="A145" s="1384" t="s">
        <v>9118</v>
      </c>
      <c r="B145" s="1381"/>
      <c r="C145" s="2032"/>
      <c r="D145" s="2694"/>
      <c r="E145" s="1378"/>
      <c r="F145" s="3458"/>
      <c r="G145" s="1378"/>
      <c r="H145" s="1379"/>
      <c r="I145" s="1379" t="s">
        <v>3922</v>
      </c>
      <c r="J145" s="3458"/>
      <c r="K145" s="3454" t="str">
        <f>G131</f>
        <v>2019-20</v>
      </c>
      <c r="L145" s="840"/>
      <c r="M145" s="845"/>
      <c r="N145" s="840"/>
      <c r="O145" s="845"/>
      <c r="P145" s="840"/>
      <c r="Q145" s="845"/>
      <c r="R145" s="840"/>
      <c r="S145" s="1713"/>
      <c r="T145" s="840"/>
      <c r="U145" s="209"/>
    </row>
    <row r="146" spans="1:26" ht="15.75" hidden="1">
      <c r="A146" s="453" t="s">
        <v>3032</v>
      </c>
      <c r="B146" s="494"/>
      <c r="C146" s="2049"/>
      <c r="D146" s="2025"/>
      <c r="E146" s="1378"/>
      <c r="F146" s="2507"/>
      <c r="H146" s="840"/>
      <c r="J146" s="3463"/>
      <c r="K146" s="716"/>
      <c r="L146" s="840"/>
      <c r="M146" s="845"/>
      <c r="N146" s="840"/>
      <c r="O146" s="845"/>
      <c r="P146" s="840"/>
      <c r="Q146" s="845"/>
      <c r="R146" s="840"/>
      <c r="S146" s="1713"/>
      <c r="T146" s="840"/>
      <c r="U146" s="209" t="s">
        <v>3035</v>
      </c>
    </row>
    <row r="147" spans="1:26" ht="15.75" hidden="1">
      <c r="A147" s="453" t="s">
        <v>3031</v>
      </c>
      <c r="B147" s="494"/>
      <c r="C147" s="2049"/>
      <c r="D147" s="2025"/>
      <c r="E147" s="1378"/>
      <c r="F147" s="2507"/>
      <c r="H147" s="840"/>
      <c r="J147" s="3463"/>
      <c r="K147" s="716"/>
      <c r="L147" s="840"/>
      <c r="M147" s="845"/>
      <c r="N147" s="840"/>
      <c r="O147" s="845"/>
      <c r="P147" s="840"/>
      <c r="Q147" s="845"/>
      <c r="R147" s="840"/>
      <c r="S147" s="1713"/>
      <c r="T147" s="840"/>
      <c r="U147" s="209" t="s">
        <v>3036</v>
      </c>
    </row>
    <row r="148" spans="1:26" ht="15.75">
      <c r="A148" s="453" t="s">
        <v>3186</v>
      </c>
      <c r="B148" s="494"/>
      <c r="C148" s="2032"/>
      <c r="E148" s="4118"/>
      <c r="F148" s="3458"/>
      <c r="G148" s="3056"/>
      <c r="H148" s="840"/>
      <c r="I148" s="3056"/>
      <c r="J148" s="3463"/>
      <c r="K148" s="3195">
        <v>0</v>
      </c>
      <c r="L148" s="840"/>
      <c r="M148" s="845"/>
      <c r="N148" s="840"/>
      <c r="O148" s="845"/>
      <c r="P148" s="840"/>
      <c r="Q148" s="845"/>
      <c r="R148" s="840"/>
      <c r="S148" s="1713"/>
      <c r="T148" s="840"/>
      <c r="U148" s="209" t="s">
        <v>3037</v>
      </c>
    </row>
    <row r="149" spans="1:26" ht="15.75">
      <c r="A149" s="453" t="s">
        <v>8641</v>
      </c>
      <c r="B149" s="494"/>
      <c r="C149" s="2032"/>
      <c r="E149" s="4118"/>
      <c r="F149" s="3458"/>
      <c r="G149" s="3056"/>
      <c r="H149" s="840"/>
      <c r="I149" s="3056"/>
      <c r="J149" s="3463"/>
      <c r="K149" s="3196">
        <v>0</v>
      </c>
      <c r="L149" s="840"/>
      <c r="M149" s="845"/>
      <c r="N149" s="840"/>
      <c r="O149" s="845"/>
      <c r="P149" s="840"/>
      <c r="Q149" s="845"/>
      <c r="R149" s="840"/>
      <c r="S149" s="1713"/>
      <c r="T149" s="840"/>
      <c r="U149" s="119" t="s">
        <v>9336</v>
      </c>
      <c r="V149" s="1100"/>
    </row>
    <row r="150" spans="1:26" ht="15.75">
      <c r="A150" s="453" t="s">
        <v>8642</v>
      </c>
      <c r="B150" s="1358"/>
      <c r="C150" s="2032"/>
      <c r="E150" s="4118"/>
      <c r="F150" s="3458"/>
      <c r="G150" s="3056"/>
      <c r="H150" s="840"/>
      <c r="I150" s="3056"/>
      <c r="J150" s="3463"/>
      <c r="K150" s="3196">
        <v>0</v>
      </c>
      <c r="L150" s="840"/>
      <c r="M150" s="845"/>
      <c r="N150" s="840"/>
      <c r="O150" s="845"/>
      <c r="P150" s="840"/>
      <c r="Q150" s="845"/>
      <c r="R150" s="840"/>
      <c r="S150" s="1713"/>
      <c r="T150" s="840"/>
      <c r="U150" s="119" t="s">
        <v>9337</v>
      </c>
      <c r="V150" s="1054"/>
    </row>
    <row r="151" spans="1:26" ht="15.75">
      <c r="A151" s="453" t="s">
        <v>8643</v>
      </c>
      <c r="B151" s="494"/>
      <c r="C151" s="2032"/>
      <c r="E151" s="4118"/>
      <c r="F151" s="3458"/>
      <c r="G151" s="3056"/>
      <c r="H151" s="840"/>
      <c r="I151" s="3056"/>
      <c r="J151" s="3463"/>
      <c r="K151" s="3196">
        <v>0</v>
      </c>
      <c r="L151" s="840"/>
      <c r="M151" s="845"/>
      <c r="N151" s="840"/>
      <c r="O151" s="845"/>
      <c r="P151" s="840"/>
      <c r="Q151" s="845"/>
      <c r="R151" s="840"/>
      <c r="S151" s="1713"/>
      <c r="T151" s="840"/>
      <c r="U151" s="209" t="s">
        <v>9338</v>
      </c>
    </row>
    <row r="152" spans="1:26" ht="15.75" hidden="1">
      <c r="A152" s="453" t="s">
        <v>3042</v>
      </c>
      <c r="B152" s="494"/>
      <c r="C152" s="2050"/>
      <c r="E152" s="3056"/>
      <c r="F152" s="2696"/>
      <c r="G152" s="2695">
        <v>0</v>
      </c>
      <c r="H152" s="840"/>
      <c r="J152" s="3463"/>
      <c r="L152" s="840"/>
      <c r="M152" s="845"/>
      <c r="N152" s="840"/>
      <c r="O152" s="845"/>
      <c r="P152" s="840"/>
      <c r="Q152" s="845"/>
      <c r="R152" s="840"/>
      <c r="S152" s="1713"/>
      <c r="T152" s="840"/>
      <c r="U152" s="209" t="s">
        <v>3043</v>
      </c>
    </row>
    <row r="153" spans="1:26" ht="18">
      <c r="A153" s="1384" t="s">
        <v>2945</v>
      </c>
      <c r="B153" s="1383"/>
      <c r="C153" s="2034" t="str">
        <f>C131</f>
        <v>2016-17</v>
      </c>
      <c r="D153" s="2034"/>
      <c r="E153" s="1379" t="str">
        <f>E131</f>
        <v>2018-19</v>
      </c>
      <c r="F153" s="3458"/>
      <c r="G153" s="1379" t="str">
        <f>G131</f>
        <v>2019-20</v>
      </c>
      <c r="H153" s="1379"/>
      <c r="I153" s="1379" t="s">
        <v>3922</v>
      </c>
      <c r="J153" s="3458"/>
      <c r="K153" s="1379" t="str">
        <f>K131</f>
        <v>2019-20</v>
      </c>
      <c r="L153" s="1379"/>
      <c r="M153" s="1379" t="str">
        <f>M131</f>
        <v>2020-21</v>
      </c>
      <c r="N153" s="1379"/>
      <c r="O153" s="1379" t="str">
        <f>O131</f>
        <v>2021-22</v>
      </c>
      <c r="P153" s="1379"/>
      <c r="Q153" s="1379" t="str">
        <f>Q131</f>
        <v>2022-23</v>
      </c>
      <c r="R153" s="1379"/>
      <c r="S153" s="1379" t="s">
        <v>8157</v>
      </c>
      <c r="T153" s="1318"/>
    </row>
    <row r="154" spans="1:26" s="382" customFormat="1" ht="15.75">
      <c r="A154" s="412" t="s">
        <v>9217</v>
      </c>
      <c r="B154" s="461"/>
      <c r="C154" s="2051">
        <v>0</v>
      </c>
      <c r="D154" s="2024"/>
      <c r="E154" s="4581">
        <f>ROUNDDOWN(E161*Weights!J47,4)</f>
        <v>0</v>
      </c>
      <c r="G154" s="1359">
        <f>ROUNDDOWN(E161*Weights!K47,4)</f>
        <v>0</v>
      </c>
      <c r="H154" s="841"/>
      <c r="I154" s="1359">
        <f>ROUNDDOWN(E161*Weights!O47,4)</f>
        <v>0</v>
      </c>
      <c r="J154" s="3464"/>
      <c r="K154" s="4582">
        <f>E154</f>
        <v>0</v>
      </c>
      <c r="L154" s="841"/>
      <c r="M154" s="4583">
        <f>K154</f>
        <v>0</v>
      </c>
      <c r="N154" s="841"/>
      <c r="O154" s="4584">
        <f t="shared" ref="O154:O160" si="37">M154</f>
        <v>0</v>
      </c>
      <c r="P154" s="841"/>
      <c r="Q154" s="4586">
        <f t="shared" ref="Q154:Q160" si="38">O154</f>
        <v>0</v>
      </c>
      <c r="R154" s="841"/>
      <c r="S154" s="4588">
        <f t="shared" ref="S154:S160" si="39">Q154</f>
        <v>0</v>
      </c>
      <c r="T154" s="841"/>
      <c r="U154" t="s">
        <v>9339</v>
      </c>
      <c r="V154" s="204"/>
      <c r="Y154" s="450"/>
      <c r="Z154" s="451"/>
    </row>
    <row r="155" spans="1:26" s="382" customFormat="1" ht="15.75">
      <c r="A155" s="412" t="s">
        <v>9218</v>
      </c>
      <c r="B155" s="3484"/>
      <c r="C155" s="3485"/>
      <c r="D155" s="2024"/>
      <c r="E155" s="4118"/>
      <c r="G155" s="3056"/>
      <c r="H155" s="841"/>
      <c r="I155" s="3056"/>
      <c r="J155" s="3464"/>
      <c r="K155" s="4582">
        <f>IF('Data Entry - SOF'!E92&gt;=1,1*0.93,'Data Entry - SOF'!E92*0.93)</f>
        <v>0.93</v>
      </c>
      <c r="L155" s="841"/>
      <c r="M155" s="4583" t="e">
        <f>'Calc Data'!G206</f>
        <v>#DIV/0!</v>
      </c>
      <c r="N155" s="841"/>
      <c r="O155" s="4585" t="e">
        <f>'Calc Data'!J206</f>
        <v>#DIV/0!</v>
      </c>
      <c r="P155" s="841"/>
      <c r="Q155" s="4587" t="e">
        <f>'Calc Data'!L206</f>
        <v>#DIV/0!</v>
      </c>
      <c r="R155" s="841"/>
      <c r="S155" s="4589" t="e">
        <f>'Calc Data'!N206</f>
        <v>#DIV/0!</v>
      </c>
      <c r="T155" s="841"/>
      <c r="U155"/>
      <c r="V155" s="204"/>
      <c r="Y155" s="450"/>
      <c r="Z155" s="451"/>
    </row>
    <row r="156" spans="1:26" ht="15.75">
      <c r="A156" s="412" t="s">
        <v>939</v>
      </c>
      <c r="B156" s="412"/>
      <c r="C156" s="2052">
        <v>0</v>
      </c>
      <c r="E156" s="2700">
        <f>IF(ISNA('DE1'!C108),0,'DE1'!C108)</f>
        <v>0</v>
      </c>
      <c r="G156" s="1314">
        <f>E156</f>
        <v>0</v>
      </c>
      <c r="H156" s="842"/>
      <c r="I156" s="1314">
        <f>G156</f>
        <v>0</v>
      </c>
      <c r="J156" s="3465"/>
      <c r="K156" s="3197">
        <f>E156</f>
        <v>0</v>
      </c>
      <c r="L156" s="842"/>
      <c r="M156" s="3219">
        <f>K156</f>
        <v>0</v>
      </c>
      <c r="N156" s="842"/>
      <c r="O156" s="3232">
        <f t="shared" si="37"/>
        <v>0</v>
      </c>
      <c r="P156" s="842"/>
      <c r="Q156" s="1312">
        <f t="shared" si="38"/>
        <v>0</v>
      </c>
      <c r="R156" s="842"/>
      <c r="S156" s="1714">
        <f t="shared" si="39"/>
        <v>0</v>
      </c>
      <c r="T156" s="842"/>
      <c r="U156" t="s">
        <v>3018</v>
      </c>
    </row>
    <row r="157" spans="1:26" ht="15.75">
      <c r="A157" s="412" t="s">
        <v>1271</v>
      </c>
      <c r="B157" s="412"/>
      <c r="C157" s="2052">
        <v>0</v>
      </c>
      <c r="E157" s="2700">
        <f>IF(ISNA('DE1'!C109),0,'DE1'!C109)</f>
        <v>0</v>
      </c>
      <c r="G157" s="1314">
        <f>E157</f>
        <v>0</v>
      </c>
      <c r="H157" s="842"/>
      <c r="I157" s="1314">
        <f>G157</f>
        <v>0</v>
      </c>
      <c r="J157" s="3465"/>
      <c r="K157" s="3197">
        <f>E157</f>
        <v>0</v>
      </c>
      <c r="L157" s="842"/>
      <c r="M157" s="3486">
        <f>K157</f>
        <v>0</v>
      </c>
      <c r="N157" s="842"/>
      <c r="O157" s="3232">
        <f t="shared" si="37"/>
        <v>0</v>
      </c>
      <c r="P157" s="842"/>
      <c r="Q157" s="1312">
        <f t="shared" si="38"/>
        <v>0</v>
      </c>
      <c r="R157" s="842"/>
      <c r="S157" s="1714">
        <f t="shared" si="39"/>
        <v>0</v>
      </c>
      <c r="T157" s="842"/>
      <c r="U157" t="s">
        <v>3019</v>
      </c>
    </row>
    <row r="158" spans="1:26" ht="15.75">
      <c r="A158" s="412" t="s">
        <v>2083</v>
      </c>
      <c r="B158" s="412"/>
      <c r="C158" s="2052">
        <v>0</v>
      </c>
      <c r="E158" s="2700">
        <f>IF(ISNA('DE1'!C110),0,'DE1'!C110)</f>
        <v>0</v>
      </c>
      <c r="G158" s="1314">
        <f>E158</f>
        <v>0</v>
      </c>
      <c r="H158" s="842"/>
      <c r="I158" s="1314">
        <f>G158</f>
        <v>0</v>
      </c>
      <c r="J158" s="3465"/>
      <c r="K158" s="3197">
        <f>E158</f>
        <v>0</v>
      </c>
      <c r="L158" s="842"/>
      <c r="M158" s="3219">
        <f>K158</f>
        <v>0</v>
      </c>
      <c r="N158" s="842"/>
      <c r="O158" s="3232">
        <f t="shared" si="37"/>
        <v>0</v>
      </c>
      <c r="P158" s="842"/>
      <c r="Q158" s="1312">
        <f t="shared" si="38"/>
        <v>0</v>
      </c>
      <c r="R158" s="842"/>
      <c r="S158" s="1714">
        <f t="shared" si="39"/>
        <v>0</v>
      </c>
      <c r="T158" s="842"/>
      <c r="U158" t="s">
        <v>3020</v>
      </c>
    </row>
    <row r="159" spans="1:26" ht="15.75">
      <c r="A159" s="412" t="s">
        <v>2932</v>
      </c>
      <c r="B159" s="412"/>
      <c r="C159" s="2053">
        <v>0</v>
      </c>
      <c r="D159" s="2048"/>
      <c r="E159" s="2206">
        <f>IF(ISNA('DE1'!C111),0,'DE1'!C111)</f>
        <v>0</v>
      </c>
      <c r="G159" s="1315">
        <f>E159</f>
        <v>0</v>
      </c>
      <c r="H159" s="843"/>
      <c r="I159" s="1315">
        <f>G159</f>
        <v>0</v>
      </c>
      <c r="J159" s="3466"/>
      <c r="K159" s="3487">
        <f>E159</f>
        <v>0</v>
      </c>
      <c r="L159" s="843"/>
      <c r="M159" s="3487">
        <f>K159</f>
        <v>0</v>
      </c>
      <c r="N159" s="843"/>
      <c r="O159" s="3233">
        <f t="shared" si="37"/>
        <v>0</v>
      </c>
      <c r="P159" s="843"/>
      <c r="Q159" s="1313">
        <f t="shared" si="38"/>
        <v>0</v>
      </c>
      <c r="R159" s="843"/>
      <c r="S159" s="1715">
        <f t="shared" si="39"/>
        <v>0</v>
      </c>
      <c r="T159" s="843"/>
      <c r="U159" s="67" t="s">
        <v>13</v>
      </c>
    </row>
    <row r="160" spans="1:26" ht="15.75">
      <c r="A160" s="3118" t="s">
        <v>9305</v>
      </c>
      <c r="B160" s="4117"/>
      <c r="C160" s="3267"/>
      <c r="D160" s="3268"/>
      <c r="E160" s="4118"/>
      <c r="G160" s="3056"/>
      <c r="H160" s="843"/>
      <c r="I160" s="3056"/>
      <c r="J160" s="3466"/>
      <c r="K160" s="3274">
        <f>IF(ISNA('DE1'!J18),0,'DE1'!J18)</f>
        <v>0</v>
      </c>
      <c r="L160" s="843"/>
      <c r="M160" s="3275">
        <f>K160</f>
        <v>0</v>
      </c>
      <c r="N160" s="843"/>
      <c r="O160" s="3276">
        <f t="shared" si="37"/>
        <v>0</v>
      </c>
      <c r="P160" s="843"/>
      <c r="Q160" s="3277">
        <f t="shared" si="38"/>
        <v>0</v>
      </c>
      <c r="R160" s="843"/>
      <c r="S160" s="3278">
        <f t="shared" si="39"/>
        <v>0</v>
      </c>
      <c r="T160" s="843"/>
      <c r="U160" s="67"/>
    </row>
    <row r="161" spans="1:22" s="382" customFormat="1" ht="15.75" hidden="1">
      <c r="A161" s="412" t="s">
        <v>2062</v>
      </c>
      <c r="B161" s="3048"/>
      <c r="C161" s="2053">
        <v>0</v>
      </c>
      <c r="D161" s="2024"/>
      <c r="E161" s="2206">
        <f>IF(ISNA('DE1'!C112),0,'DE1'!C112)</f>
        <v>0</v>
      </c>
      <c r="H161" s="435"/>
      <c r="J161" s="1959"/>
      <c r="L161" s="435"/>
      <c r="N161" s="435"/>
      <c r="P161" s="435"/>
      <c r="R161" s="435"/>
      <c r="T161" s="435"/>
      <c r="V161" s="444"/>
    </row>
    <row r="162" spans="1:22" s="382" customFormat="1" ht="15.75" hidden="1">
      <c r="A162" s="453" t="s">
        <v>1833</v>
      </c>
      <c r="B162" s="3049"/>
      <c r="C162" s="2054">
        <v>0</v>
      </c>
      <c r="D162" s="2024"/>
      <c r="E162" s="2208">
        <f>IF(ISNA('DE1'!C113),0,'DE1'!C113)</f>
        <v>0</v>
      </c>
      <c r="H162" s="450"/>
      <c r="J162" s="3467"/>
      <c r="L162" s="450"/>
      <c r="M162" s="325"/>
      <c r="N162" s="450"/>
      <c r="O162" s="325"/>
      <c r="P162" s="450"/>
      <c r="Q162" s="325"/>
      <c r="R162" s="450"/>
      <c r="S162" s="325"/>
      <c r="T162" s="450"/>
      <c r="U162" s="45" t="s">
        <v>3021</v>
      </c>
    </row>
    <row r="163" spans="1:22" s="382" customFormat="1" ht="15.75" hidden="1">
      <c r="A163" s="412" t="s">
        <v>2358</v>
      </c>
      <c r="B163" s="3049"/>
      <c r="C163" s="2038">
        <v>0</v>
      </c>
      <c r="D163" s="2024"/>
      <c r="E163" s="2207">
        <f>IF(ISNA('DE1'!C115),0,'DE1'!C115)</f>
        <v>0</v>
      </c>
      <c r="H163" s="450"/>
      <c r="J163" s="3467"/>
      <c r="L163" s="450"/>
      <c r="M163" s="325"/>
      <c r="N163" s="450"/>
      <c r="O163" s="325"/>
      <c r="P163" s="450"/>
      <c r="Q163" s="325"/>
      <c r="R163" s="450"/>
      <c r="S163" s="325"/>
      <c r="T163" s="450"/>
      <c r="U163" s="45" t="s">
        <v>3021</v>
      </c>
    </row>
    <row r="164" spans="1:22" s="382" customFormat="1" ht="15.75" hidden="1">
      <c r="A164" s="412" t="s">
        <v>2359</v>
      </c>
      <c r="B164" s="3049"/>
      <c r="C164" s="2038">
        <v>0</v>
      </c>
      <c r="D164" s="2024"/>
      <c r="E164" s="2207">
        <f>IF(ISNA('DE1'!C116),0,'DE1'!C116)</f>
        <v>0</v>
      </c>
      <c r="H164" s="450"/>
      <c r="J164" s="3467"/>
      <c r="L164" s="450"/>
      <c r="M164" s="325"/>
      <c r="N164" s="450"/>
      <c r="O164" s="325"/>
      <c r="P164" s="450"/>
      <c r="Q164" s="325"/>
      <c r="R164" s="450"/>
      <c r="S164" s="325"/>
      <c r="T164" s="450"/>
      <c r="U164" s="45" t="s">
        <v>3021</v>
      </c>
    </row>
    <row r="165" spans="1:22" s="382" customFormat="1" ht="15.75" hidden="1">
      <c r="A165" s="3145" t="s">
        <v>2356</v>
      </c>
      <c r="B165" s="3050"/>
      <c r="C165" s="2055">
        <v>0</v>
      </c>
      <c r="D165" s="2024"/>
      <c r="E165" s="2209" t="e">
        <f>IF(ISNA('DE1'!I149),0,'DE1'!C117)</f>
        <v>#N/A</v>
      </c>
      <c r="H165" s="450"/>
      <c r="J165" s="3467"/>
      <c r="L165" s="450"/>
      <c r="M165" s="325"/>
      <c r="N165" s="450"/>
      <c r="O165" s="325"/>
      <c r="P165" s="450"/>
      <c r="Q165" s="325"/>
      <c r="R165" s="450"/>
      <c r="S165" s="325"/>
      <c r="T165" s="450"/>
      <c r="U165" s="45" t="s">
        <v>3021</v>
      </c>
    </row>
    <row r="166" spans="1:22" s="382" customFormat="1" ht="15.75">
      <c r="A166" s="2822" t="s">
        <v>3145</v>
      </c>
      <c r="B166" s="3317"/>
      <c r="C166" s="3316"/>
      <c r="D166" s="2024"/>
      <c r="E166" s="2209">
        <f>IF(ISNA('DE1'!D118),0,'DE1'!D118)</f>
        <v>0</v>
      </c>
      <c r="H166" s="450"/>
      <c r="J166" s="3467"/>
      <c r="L166" s="450"/>
      <c r="M166" s="325"/>
      <c r="N166" s="450"/>
      <c r="O166" s="325"/>
      <c r="P166" s="450"/>
      <c r="Q166" s="325"/>
      <c r="R166" s="450"/>
      <c r="S166" s="325"/>
      <c r="T166" s="450"/>
      <c r="U166" s="45"/>
    </row>
    <row r="167" spans="1:22" s="382" customFormat="1" ht="15.75">
      <c r="A167" s="2822" t="s">
        <v>3141</v>
      </c>
      <c r="B167" s="3050"/>
      <c r="C167" s="2890">
        <v>0</v>
      </c>
      <c r="D167" s="1959"/>
      <c r="E167" s="2209">
        <f>IF(ISNA('DE1'!C118),0,'DE1'!C118)</f>
        <v>0</v>
      </c>
      <c r="H167" s="450"/>
      <c r="J167" s="3467"/>
      <c r="L167" s="450"/>
      <c r="M167" s="325"/>
      <c r="N167" s="450"/>
      <c r="O167" s="325"/>
      <c r="P167" s="450"/>
      <c r="Q167" s="325"/>
      <c r="R167" s="450"/>
      <c r="S167" s="325"/>
      <c r="T167" s="450"/>
      <c r="U167" s="45" t="s">
        <v>3021</v>
      </c>
    </row>
    <row r="168" spans="1:22" s="382" customFormat="1" ht="15.75">
      <c r="A168" s="2822" t="s">
        <v>8649</v>
      </c>
      <c r="B168" s="3050"/>
      <c r="C168" s="2823">
        <v>0</v>
      </c>
      <c r="D168" s="1959"/>
      <c r="E168" s="2207">
        <f>IF(ISNA('DE1'!C53),0,'DE1'!C53)</f>
        <v>0</v>
      </c>
      <c r="H168" s="450"/>
      <c r="J168" s="3467"/>
      <c r="L168" s="450"/>
      <c r="M168" s="325"/>
      <c r="N168" s="450"/>
      <c r="O168" s="325"/>
      <c r="P168" s="450"/>
      <c r="Q168" s="325"/>
      <c r="R168" s="450"/>
      <c r="S168" s="325"/>
      <c r="T168" s="450"/>
      <c r="U168" s="45" t="s">
        <v>3021</v>
      </c>
    </row>
    <row r="169" spans="1:22" s="382" customFormat="1" ht="15.75">
      <c r="A169" s="2822" t="s">
        <v>3146</v>
      </c>
      <c r="B169" s="3050"/>
      <c r="C169" s="2823">
        <v>0</v>
      </c>
      <c r="D169" s="1959"/>
      <c r="E169" s="2207">
        <f>IF(ISNA('DE1'!C120),0,'DE1'!C120)</f>
        <v>0</v>
      </c>
      <c r="H169" s="450"/>
      <c r="J169" s="3467"/>
      <c r="L169" s="450"/>
      <c r="M169" s="325"/>
      <c r="N169" s="450"/>
      <c r="O169" s="325"/>
      <c r="P169" s="450"/>
      <c r="Q169" s="325"/>
      <c r="R169" s="450"/>
      <c r="S169" s="325"/>
      <c r="T169" s="450"/>
      <c r="U169" s="45" t="s">
        <v>3021</v>
      </c>
    </row>
    <row r="170" spans="1:22" s="382" customFormat="1" ht="15.75">
      <c r="A170" s="2822" t="s">
        <v>8646</v>
      </c>
      <c r="B170" s="3050"/>
      <c r="C170" s="2823">
        <v>0</v>
      </c>
      <c r="D170" s="1959"/>
      <c r="E170" s="2207">
        <f>IF(ISNA('DE1'!C121),0,'DE1'!C121)</f>
        <v>0</v>
      </c>
      <c r="H170" s="450"/>
      <c r="J170" s="3467"/>
      <c r="L170" s="450"/>
      <c r="M170" s="325"/>
      <c r="N170" s="450"/>
      <c r="O170" s="325"/>
      <c r="P170" s="450"/>
      <c r="Q170" s="325"/>
      <c r="R170" s="450"/>
      <c r="S170" s="325"/>
      <c r="T170" s="450"/>
      <c r="U170" s="45" t="s">
        <v>3021</v>
      </c>
    </row>
    <row r="171" spans="1:22" s="382" customFormat="1" ht="15.75">
      <c r="A171" s="2822" t="s">
        <v>8647</v>
      </c>
      <c r="B171" s="3050"/>
      <c r="C171" s="2823">
        <v>0</v>
      </c>
      <c r="D171" s="1959"/>
      <c r="E171" s="2207">
        <f>IF(ISNA('DE1'!C122),0,'DE1'!C122)</f>
        <v>0</v>
      </c>
      <c r="G171" s="3080"/>
      <c r="H171" s="450"/>
      <c r="J171" s="3467"/>
      <c r="L171" s="450"/>
      <c r="M171" s="325"/>
      <c r="N171" s="450"/>
      <c r="O171" s="325"/>
      <c r="P171" s="450"/>
      <c r="Q171" s="325"/>
      <c r="R171" s="450"/>
      <c r="S171" s="325"/>
      <c r="T171" s="450"/>
      <c r="U171" s="45" t="s">
        <v>3021</v>
      </c>
    </row>
    <row r="172" spans="1:22" s="435" customFormat="1" ht="15.75">
      <c r="A172" s="2822" t="s">
        <v>6394</v>
      </c>
      <c r="B172" s="3050"/>
      <c r="C172" s="2824">
        <v>0</v>
      </c>
      <c r="D172" s="1959"/>
      <c r="E172" s="4590">
        <f>IF(ISNA('DE1'!C123),0,'DE1'!C123)</f>
        <v>0</v>
      </c>
      <c r="G172" s="3081"/>
      <c r="H172" s="450"/>
      <c r="J172" s="3467"/>
      <c r="L172" s="450"/>
      <c r="M172" s="450"/>
      <c r="N172" s="450"/>
      <c r="O172" s="450"/>
      <c r="P172" s="450"/>
      <c r="Q172" s="450"/>
      <c r="R172" s="450"/>
      <c r="S172" s="450"/>
      <c r="T172" s="450"/>
      <c r="U172" s="45" t="s">
        <v>3021</v>
      </c>
    </row>
    <row r="173" spans="1:22" s="435" customFormat="1" ht="15.75">
      <c r="A173" s="1385" t="s">
        <v>866</v>
      </c>
      <c r="B173" s="3051"/>
      <c r="C173" s="2032">
        <v>0</v>
      </c>
      <c r="D173" s="2024"/>
      <c r="E173" s="2210"/>
      <c r="G173" s="3081"/>
      <c r="J173" s="1959"/>
      <c r="U173" s="119"/>
    </row>
    <row r="174" spans="1:22" s="435" customFormat="1" ht="15.75">
      <c r="A174" s="453" t="s">
        <v>959</v>
      </c>
      <c r="B174" s="3049"/>
      <c r="C174" s="2038">
        <v>0</v>
      </c>
      <c r="D174" s="2024"/>
      <c r="E174" s="2207">
        <f>IF(ISNA('DE1'!C126),0,'DE1'!C126)</f>
        <v>0</v>
      </c>
      <c r="G174" s="3081"/>
      <c r="J174" s="1959"/>
      <c r="U174" s="45" t="s">
        <v>13</v>
      </c>
    </row>
    <row r="175" spans="1:22" s="435" customFormat="1" ht="15.75">
      <c r="A175" s="453" t="s">
        <v>960</v>
      </c>
      <c r="B175" s="3049"/>
      <c r="C175" s="2038">
        <v>0</v>
      </c>
      <c r="D175" s="2024"/>
      <c r="E175" s="2207">
        <f>IF(ISNA('DE1'!C127),0,'DE1'!C127)</f>
        <v>0</v>
      </c>
      <c r="J175" s="1959"/>
      <c r="U175" s="45" t="s">
        <v>13</v>
      </c>
      <c r="V175" s="3138"/>
    </row>
    <row r="176" spans="1:22" s="435" customFormat="1" ht="15.75">
      <c r="A176" s="453" t="s">
        <v>617</v>
      </c>
      <c r="B176" s="3049"/>
      <c r="C176" s="2038">
        <v>0</v>
      </c>
      <c r="D176" s="2024"/>
      <c r="E176" s="2209">
        <f>IF(ISNA('DE1'!C128),0,'DE1'!C128)</f>
        <v>0</v>
      </c>
      <c r="J176" s="1959"/>
      <c r="U176" s="45" t="s">
        <v>13</v>
      </c>
      <c r="V176" s="3138"/>
    </row>
    <row r="177" spans="1:24" s="435" customFormat="1" ht="15.75">
      <c r="A177" s="453" t="s">
        <v>618</v>
      </c>
      <c r="B177" s="3049"/>
      <c r="C177" s="2038">
        <v>0</v>
      </c>
      <c r="D177" s="2024"/>
      <c r="E177" s="2207">
        <f>IF(ISNA('DE1'!C129),0,'DE1'!C129)</f>
        <v>0</v>
      </c>
      <c r="J177" s="1959"/>
      <c r="U177" s="45" t="s">
        <v>13</v>
      </c>
      <c r="V177" s="3138"/>
    </row>
    <row r="178" spans="1:24" hidden="1">
      <c r="A178" s="120" t="s">
        <v>1582</v>
      </c>
      <c r="B178" s="120"/>
      <c r="E178" s="120"/>
      <c r="G178" s="120"/>
      <c r="M178" s="120"/>
      <c r="O178" s="120"/>
      <c r="Q178" s="120"/>
      <c r="S178" s="120"/>
      <c r="U178" s="209" t="s">
        <v>966</v>
      </c>
      <c r="V178" s="3139"/>
      <c r="W178" s="120"/>
    </row>
    <row r="179" spans="1:24" s="119" customFormat="1" ht="12.75" customHeight="1">
      <c r="A179"/>
      <c r="B179"/>
      <c r="C179" s="2056"/>
      <c r="D179" s="2011"/>
      <c r="J179" s="3066"/>
      <c r="V179" s="3140"/>
      <c r="W179" s="210"/>
    </row>
    <row r="180" spans="1:24" s="119" customFormat="1" ht="12.75" customHeight="1">
      <c r="A180"/>
      <c r="B180"/>
      <c r="C180" s="2056"/>
      <c r="D180" s="2011"/>
      <c r="J180" s="3066"/>
      <c r="V180" s="3140"/>
      <c r="W180" s="210"/>
    </row>
    <row r="181" spans="1:24" s="119" customFormat="1" ht="12.75" customHeight="1">
      <c r="A181"/>
      <c r="B181"/>
      <c r="C181" s="2056"/>
      <c r="D181" s="2011"/>
      <c r="J181" s="3066"/>
      <c r="V181" s="3140"/>
      <c r="W181" s="3480" t="s">
        <v>6162</v>
      </c>
    </row>
    <row r="182" spans="1:24" s="119" customFormat="1" ht="12.75" customHeight="1">
      <c r="A182"/>
      <c r="B182"/>
      <c r="C182" s="2056"/>
      <c r="D182" s="2011"/>
      <c r="I182" s="325"/>
      <c r="J182" s="3066"/>
      <c r="K182" s="325" t="s">
        <v>9155</v>
      </c>
      <c r="W182" s="4528">
        <f>IF(B2="101-902",1.1534-E97,IF(B2="101-908",IF(E92-E97&gt;=1.17,1.17,E92-E97),IF(B2="101-910",IF(E92-E97&gt;=1.17,1.17,E92-E97),IF(B2="101-914",1.1466-E97,IF(B2="101-917",IF(E92-E93.=1.17,1.17,E92-E97),IF(B2="101-920",1.11-E97,E92-E97))))))</f>
        <v>1.17</v>
      </c>
      <c r="X182" s="382" t="s">
        <v>8920</v>
      </c>
    </row>
    <row r="183" spans="1:24" s="119" customFormat="1" ht="12.75" customHeight="1">
      <c r="A183"/>
      <c r="B183"/>
      <c r="C183" s="2056"/>
      <c r="D183" s="2011"/>
      <c r="I183" s="382"/>
      <c r="J183" s="3066"/>
      <c r="K183" s="382" t="s">
        <v>9156</v>
      </c>
      <c r="W183" s="4527">
        <f>IF(W182&gt;=1,1,W182*0.93)</f>
        <v>1</v>
      </c>
      <c r="X183" s="382" t="s">
        <v>9023</v>
      </c>
    </row>
    <row r="184" spans="1:24" s="119" customFormat="1" ht="12.75" customHeight="1">
      <c r="A184"/>
      <c r="B184"/>
      <c r="C184" s="2056"/>
      <c r="D184" s="2011"/>
      <c r="I184" s="382"/>
      <c r="J184" s="3066"/>
      <c r="K184" s="382" t="s">
        <v>9176</v>
      </c>
      <c r="W184" s="4527">
        <f>IF(W182&lt;=1,0,W182-W183)</f>
        <v>0.16999999999999993</v>
      </c>
      <c r="X184" s="382" t="s">
        <v>8923</v>
      </c>
    </row>
    <row r="185" spans="1:24" s="119" customFormat="1" ht="12.75" customHeight="1">
      <c r="A185"/>
      <c r="B185"/>
      <c r="C185" s="2056"/>
      <c r="D185" s="2011"/>
      <c r="I185" s="382"/>
      <c r="J185" s="3066"/>
      <c r="K185" s="382" t="s">
        <v>9158</v>
      </c>
      <c r="W185" s="4527">
        <f>IF(W184&gt;=0.08,0.08,W184)</f>
        <v>0.08</v>
      </c>
      <c r="X185" s="382" t="s">
        <v>8924</v>
      </c>
    </row>
    <row r="186" spans="1:24" s="119" customFormat="1" ht="12.75" customHeight="1">
      <c r="A186"/>
      <c r="B186"/>
      <c r="C186" s="2056"/>
      <c r="D186" s="2011"/>
      <c r="I186" s="382"/>
      <c r="J186" s="3066"/>
      <c r="K186" s="382" t="s">
        <v>9157</v>
      </c>
      <c r="W186" s="4527">
        <f>IF(W184-W185&lt;=0,0,W184-W185)</f>
        <v>8.9999999999999927E-2</v>
      </c>
      <c r="X186" s="382" t="s">
        <v>8925</v>
      </c>
    </row>
    <row r="187" spans="1:24" s="119" customFormat="1" ht="12.75" customHeight="1">
      <c r="A187"/>
      <c r="B187"/>
      <c r="C187" s="2056"/>
      <c r="D187" s="2011"/>
      <c r="I187" s="382"/>
      <c r="J187" s="3066"/>
      <c r="K187" s="382" t="s">
        <v>9159</v>
      </c>
      <c r="W187" s="4527">
        <f>W186*(31.95/49.28)</f>
        <v>5.8350243506493461E-2</v>
      </c>
      <c r="X187" s="382" t="s">
        <v>8922</v>
      </c>
    </row>
    <row r="188" spans="1:24" s="119" customFormat="1" ht="12.75" customHeight="1">
      <c r="A188"/>
      <c r="B188"/>
      <c r="C188" s="2056"/>
      <c r="D188" s="2011"/>
      <c r="I188" s="2989"/>
      <c r="J188" s="3066"/>
      <c r="K188" s="2989" t="s">
        <v>9160</v>
      </c>
      <c r="W188" s="4529">
        <f>IF(W183&lt;=0.93,W183,W183*0.93)</f>
        <v>0.93</v>
      </c>
      <c r="X188" s="382" t="s">
        <v>8928</v>
      </c>
    </row>
    <row r="189" spans="1:24" s="119" customFormat="1" ht="12.75" customHeight="1">
      <c r="A189"/>
      <c r="B189"/>
      <c r="C189" s="2056"/>
      <c r="D189" s="2011"/>
      <c r="I189" s="435"/>
      <c r="J189" s="3066"/>
      <c r="K189" s="435" t="s">
        <v>9161</v>
      </c>
      <c r="W189" s="4527">
        <f>W188+W187+W185</f>
        <v>1.0683502435064935</v>
      </c>
      <c r="X189" s="382" t="s">
        <v>8926</v>
      </c>
    </row>
    <row r="190" spans="1:24" s="119" customFormat="1" ht="12.75" customHeight="1">
      <c r="A190"/>
      <c r="B190"/>
      <c r="C190" s="2056"/>
      <c r="D190" s="2011"/>
      <c r="I190" s="435"/>
      <c r="J190" s="3066"/>
      <c r="K190" s="435" t="s">
        <v>9162</v>
      </c>
      <c r="W190" s="4527">
        <v>0.93</v>
      </c>
      <c r="X190" s="382" t="s">
        <v>8913</v>
      </c>
    </row>
    <row r="191" spans="1:24" s="119" customFormat="1" ht="12.75" customHeight="1">
      <c r="A191"/>
      <c r="B191"/>
      <c r="C191" s="2056"/>
      <c r="D191" s="2011"/>
      <c r="I191" s="435"/>
      <c r="J191" s="3066"/>
      <c r="K191" s="435" t="s">
        <v>9177</v>
      </c>
      <c r="W191" s="4530">
        <f>IF(W189-W190&lt;=0,0,W189-W190)</f>
        <v>0.1383502435064935</v>
      </c>
      <c r="X191" s="435" t="s">
        <v>9261</v>
      </c>
    </row>
    <row r="192" spans="1:24" s="119" customFormat="1" ht="12.75" customHeight="1">
      <c r="A192"/>
      <c r="B192"/>
      <c r="C192" s="2056"/>
      <c r="D192" s="2011"/>
      <c r="I192" s="435"/>
      <c r="J192" s="3066"/>
      <c r="K192" s="435" t="s">
        <v>9163</v>
      </c>
      <c r="W192" s="4530">
        <f>IF(W191&gt;=0.08,0.08,W191)</f>
        <v>0.08</v>
      </c>
      <c r="X192" s="435" t="s">
        <v>8921</v>
      </c>
    </row>
    <row r="193" spans="1:26" s="119" customFormat="1" ht="12.75" customHeight="1">
      <c r="A193"/>
      <c r="B193"/>
      <c r="C193" s="2056"/>
      <c r="D193" s="2011"/>
      <c r="J193" s="3066"/>
      <c r="W193" s="4530">
        <f>IF(W191-W192&lt;=0,0,W191-W192)</f>
        <v>5.8350243506493496E-2</v>
      </c>
      <c r="X193" s="435" t="s">
        <v>8927</v>
      </c>
    </row>
    <row r="194" spans="1:26" s="119" customFormat="1" ht="12.75" customHeight="1">
      <c r="A194"/>
      <c r="B194"/>
      <c r="C194" s="2056"/>
      <c r="D194" s="2011"/>
      <c r="J194" s="3066"/>
      <c r="V194" s="3140"/>
      <c r="W194" s="210"/>
    </row>
    <row r="195" spans="1:26" s="119" customFormat="1" ht="12.75" customHeight="1">
      <c r="A195"/>
      <c r="B195"/>
      <c r="C195" s="2056"/>
      <c r="D195" s="2011"/>
      <c r="J195" s="3066"/>
      <c r="V195" s="3140"/>
      <c r="W195" s="3480" t="s">
        <v>6163</v>
      </c>
      <c r="X195" s="3480" t="s">
        <v>6922</v>
      </c>
      <c r="Y195" s="3480" t="s">
        <v>6978</v>
      </c>
      <c r="Z195" s="3480" t="s">
        <v>8160</v>
      </c>
    </row>
    <row r="196" spans="1:26" s="119" customFormat="1" ht="12.75" customHeight="1">
      <c r="A196"/>
      <c r="B196"/>
      <c r="C196" s="2056"/>
      <c r="D196" s="2011"/>
      <c r="J196" s="3066"/>
      <c r="V196" s="4022" t="s">
        <v>3085</v>
      </c>
      <c r="W196" s="4531">
        <f>M95</f>
        <v>0</v>
      </c>
      <c r="X196" s="4531">
        <f>O95</f>
        <v>0</v>
      </c>
      <c r="Y196" s="4531">
        <f>Q95</f>
        <v>0</v>
      </c>
      <c r="Z196" s="4531">
        <f>S95</f>
        <v>0</v>
      </c>
    </row>
    <row r="197" spans="1:26" s="119" customFormat="1" ht="12.75" customHeight="1">
      <c r="A197"/>
      <c r="B197"/>
      <c r="C197" s="2056"/>
      <c r="D197" s="2011"/>
      <c r="J197" s="3066"/>
      <c r="V197" s="4022" t="s">
        <v>9260</v>
      </c>
      <c r="W197" s="4531" t="e">
        <f>'Calc Data'!G206</f>
        <v>#DIV/0!</v>
      </c>
      <c r="X197" s="4531" t="e">
        <f>'Calc Data'!J206</f>
        <v>#DIV/0!</v>
      </c>
      <c r="Y197" s="4531" t="e">
        <f>'Calc Data'!L206</f>
        <v>#DIV/0!</v>
      </c>
      <c r="Z197" s="4531" t="e">
        <f>'Calc Data'!N206</f>
        <v>#DIV/0!</v>
      </c>
    </row>
    <row r="198" spans="1:26" s="119" customFormat="1" ht="12.75" customHeight="1">
      <c r="A198"/>
      <c r="B198"/>
      <c r="C198" s="2056"/>
      <c r="D198" s="2011"/>
      <c r="J198" s="3066"/>
      <c r="V198" s="4022" t="s">
        <v>10250</v>
      </c>
      <c r="W198" s="4531" t="e">
        <f>W196-W197</f>
        <v>#DIV/0!</v>
      </c>
      <c r="X198" s="4531" t="e">
        <f>X196-X197</f>
        <v>#DIV/0!</v>
      </c>
      <c r="Y198" s="4531" t="e">
        <f>Y196-Y197</f>
        <v>#DIV/0!</v>
      </c>
      <c r="Z198" s="4531" t="e">
        <f>Z196-Z197</f>
        <v>#DIV/0!</v>
      </c>
    </row>
    <row r="199" spans="1:26" s="119" customFormat="1" ht="15" customHeight="1">
      <c r="A199"/>
      <c r="B199"/>
      <c r="C199" s="2056"/>
      <c r="D199" s="2011"/>
      <c r="J199" s="3066"/>
      <c r="V199" s="4022" t="s">
        <v>8703</v>
      </c>
      <c r="W199" s="4531" t="e">
        <f>IF(W198&gt;=0.08,0.08,W198)</f>
        <v>#DIV/0!</v>
      </c>
      <c r="X199" s="4531" t="e">
        <f>IF(X198&gt;=0.08,0.08,X198)</f>
        <v>#DIV/0!</v>
      </c>
      <c r="Y199" s="4531" t="e">
        <f>IF(Y198&gt;=0.08,0.08,Y198)</f>
        <v>#DIV/0!</v>
      </c>
      <c r="Z199" s="4531" t="e">
        <f>IF(Z198&gt;=0.08,0.08,Z198)</f>
        <v>#DIV/0!</v>
      </c>
    </row>
    <row r="200" spans="1:26" s="119" customFormat="1" ht="12.75" customHeight="1">
      <c r="A200"/>
      <c r="B200"/>
      <c r="C200" s="2056"/>
      <c r="D200" s="2011"/>
      <c r="J200" s="3066"/>
      <c r="V200" s="4022" t="s">
        <v>9262</v>
      </c>
      <c r="W200" s="4531" t="e">
        <f>IF(W198&gt;=0.08,W196-W197-0.08,0)</f>
        <v>#DIV/0!</v>
      </c>
      <c r="X200" s="4531" t="e">
        <f>IF(X198&gt;=0.08,X196-X197-0.08,0)</f>
        <v>#DIV/0!</v>
      </c>
      <c r="Y200" s="4531" t="e">
        <f>IF(Y198&gt;=0.08,Y196-Y197-0.08,0)</f>
        <v>#DIV/0!</v>
      </c>
      <c r="Z200" s="4531" t="e">
        <f>IF(Z198&gt;=0.08,Z196-Z197-0.08,0)</f>
        <v>#DIV/0!</v>
      </c>
    </row>
    <row r="201" spans="1:26" s="119" customFormat="1" ht="12.75" customHeight="1">
      <c r="A201"/>
      <c r="B201"/>
      <c r="C201" s="2056"/>
      <c r="D201" s="2011"/>
      <c r="J201" s="3066"/>
      <c r="V201" s="4022" t="s">
        <v>9263</v>
      </c>
      <c r="W201" s="4531" t="e">
        <f>IF(W200=0,0,(Assumptions!G129/Assumptions!H129)*W200)</f>
        <v>#DIV/0!</v>
      </c>
      <c r="X201" s="4531" t="e">
        <f>IF(X200=0,0,(Assumptions!G138/Assumptions!H138)*X200)</f>
        <v>#DIV/0!</v>
      </c>
      <c r="Y201" s="4531" t="e">
        <f>IF(Y200=0,0,(Assumptions!G147/Assumptions!H147)*Y200)</f>
        <v>#DIV/0!</v>
      </c>
      <c r="Z201" s="4531" t="e">
        <f>IF(Z200=0,0,(Assumptions!G156/Assumptions!H156)*Z200)</f>
        <v>#DIV/0!</v>
      </c>
    </row>
    <row r="202" spans="1:26" s="119" customFormat="1" ht="12.75" customHeight="1">
      <c r="A202"/>
      <c r="B202"/>
      <c r="C202" s="2056"/>
      <c r="D202" s="2011"/>
      <c r="J202" s="3066"/>
      <c r="V202" s="4022" t="s">
        <v>9264</v>
      </c>
      <c r="W202" s="4531" t="e">
        <f>W200-W201</f>
        <v>#DIV/0!</v>
      </c>
      <c r="X202" s="4531" t="e">
        <f>X200-X201</f>
        <v>#DIV/0!</v>
      </c>
      <c r="Y202" s="4531" t="e">
        <f>Y200-Y201</f>
        <v>#DIV/0!</v>
      </c>
      <c r="Z202" s="4531" t="e">
        <f>Z200-Z201</f>
        <v>#DIV/0!</v>
      </c>
    </row>
    <row r="203" spans="1:26" s="119" customFormat="1" ht="12.75" customHeight="1">
      <c r="A203"/>
      <c r="B203"/>
      <c r="C203" s="2056"/>
      <c r="D203" s="2011"/>
      <c r="J203" s="3066"/>
      <c r="V203" s="4022" t="s">
        <v>10251</v>
      </c>
      <c r="W203" s="4738" t="e">
        <f>W199+W201</f>
        <v>#DIV/0!</v>
      </c>
      <c r="X203" s="4738" t="e">
        <f t="shared" ref="X203:Z203" si="40">X199+X201</f>
        <v>#DIV/0!</v>
      </c>
      <c r="Y203" s="4738" t="e">
        <f t="shared" si="40"/>
        <v>#DIV/0!</v>
      </c>
      <c r="Z203" s="4738" t="e">
        <f t="shared" si="40"/>
        <v>#DIV/0!</v>
      </c>
    </row>
    <row r="204" spans="1:26" s="119" customFormat="1" ht="12" customHeight="1">
      <c r="A204"/>
      <c r="B204"/>
      <c r="C204" s="2056"/>
      <c r="D204" s="2011"/>
      <c r="J204" s="3066"/>
      <c r="V204" s="3140"/>
      <c r="W204" s="4023"/>
    </row>
    <row r="205" spans="1:26" ht="12.75" customHeight="1"/>
    <row r="207" spans="1:26">
      <c r="C207" s="2057">
        <f>C93+C101</f>
        <v>0</v>
      </c>
      <c r="E207" s="657">
        <f>E93+E101</f>
        <v>0</v>
      </c>
      <c r="G207" s="657">
        <f>G93+G101</f>
        <v>1305123361</v>
      </c>
      <c r="H207" s="707"/>
      <c r="J207" s="3468"/>
      <c r="K207" s="657">
        <f>K93+K101</f>
        <v>0</v>
      </c>
      <c r="L207" s="707"/>
      <c r="M207" s="657">
        <f>M93+M101</f>
        <v>0</v>
      </c>
      <c r="N207" s="707"/>
      <c r="O207" s="657">
        <f>O93+O101</f>
        <v>0</v>
      </c>
      <c r="P207" s="707"/>
      <c r="Q207" s="657">
        <f>Q93+Q101</f>
        <v>0</v>
      </c>
      <c r="R207" s="707"/>
      <c r="S207" s="657">
        <f>S93+S101</f>
        <v>0</v>
      </c>
      <c r="T207" s="707"/>
    </row>
    <row r="208" spans="1:26">
      <c r="C208" s="2058"/>
      <c r="E208" s="658"/>
      <c r="G208" s="658"/>
      <c r="H208" s="678"/>
      <c r="J208" s="2451"/>
      <c r="K208" s="658"/>
      <c r="L208" s="678"/>
      <c r="M208" s="658"/>
      <c r="N208" s="678"/>
      <c r="O208" s="658"/>
      <c r="P208" s="678"/>
      <c r="Q208" s="658"/>
      <c r="R208" s="678"/>
      <c r="S208" s="658"/>
      <c r="T208" s="678"/>
    </row>
    <row r="209" spans="3:20">
      <c r="C209" s="2059" t="s">
        <v>3138</v>
      </c>
      <c r="E209" s="659" t="s">
        <v>3225</v>
      </c>
      <c r="G209" s="659" t="s">
        <v>3284</v>
      </c>
      <c r="H209" s="708"/>
      <c r="J209" s="3469"/>
      <c r="K209" s="659" t="s">
        <v>3284</v>
      </c>
      <c r="L209" s="708"/>
      <c r="M209" s="659" t="s">
        <v>3922</v>
      </c>
      <c r="N209" s="708"/>
      <c r="O209" s="659" t="s">
        <v>6374</v>
      </c>
      <c r="P209" s="708"/>
      <c r="Q209" s="659" t="s">
        <v>6939</v>
      </c>
      <c r="R209" s="708"/>
      <c r="S209" s="659" t="s">
        <v>8157</v>
      </c>
      <c r="T209" s="708"/>
    </row>
    <row r="210" spans="3:20">
      <c r="C210" s="2059" t="s">
        <v>782</v>
      </c>
      <c r="E210" s="659" t="s">
        <v>782</v>
      </c>
      <c r="G210" s="659" t="s">
        <v>782</v>
      </c>
      <c r="H210" s="708"/>
      <c r="J210" s="3469"/>
      <c r="K210" s="659" t="s">
        <v>782</v>
      </c>
      <c r="L210" s="708"/>
      <c r="M210" s="659" t="s">
        <v>782</v>
      </c>
      <c r="N210" s="708"/>
      <c r="O210" s="659" t="s">
        <v>782</v>
      </c>
      <c r="P210" s="708"/>
      <c r="Q210" s="659" t="s">
        <v>782</v>
      </c>
      <c r="R210" s="708"/>
      <c r="S210" s="659" t="s">
        <v>782</v>
      </c>
      <c r="T210" s="708"/>
    </row>
    <row r="211" spans="3:20">
      <c r="C211" s="2060">
        <f>IF(C60&gt;(C19*0.05),C19*0.05,C60)</f>
        <v>0</v>
      </c>
      <c r="E211" s="660">
        <f>IF(E60&gt;(E19*0.05),E19*0.05,E60)</f>
        <v>0</v>
      </c>
      <c r="G211" s="660">
        <f>IF(G60&gt;(G19*0.05),G19*0.05,G60)</f>
        <v>0</v>
      </c>
      <c r="H211" s="709"/>
      <c r="J211" s="3470"/>
      <c r="K211" s="660">
        <f>IF(K60&gt;(K19*0.05),K19*0.05,K60)</f>
        <v>0</v>
      </c>
      <c r="L211" s="709"/>
      <c r="M211" s="660">
        <f>IF(M60&gt;(M19*0.05),M19*0.05,M60)</f>
        <v>0</v>
      </c>
      <c r="N211" s="709"/>
      <c r="O211" s="660">
        <f>IF(O60&gt;(O19*0.05),O19*0.05,O60)</f>
        <v>0</v>
      </c>
      <c r="P211" s="709"/>
      <c r="Q211" s="660">
        <f>IF(Q60&gt;(Q19*0.05),Q19*0.05,Q60)</f>
        <v>0</v>
      </c>
      <c r="R211" s="709"/>
      <c r="S211" s="660">
        <f>IF(S60&gt;(S19*0.05),S19*0.05,S60)</f>
        <v>0</v>
      </c>
      <c r="T211" s="709"/>
    </row>
    <row r="212" spans="3:20">
      <c r="C212" s="2058"/>
      <c r="E212" s="658"/>
      <c r="G212" s="658"/>
      <c r="H212" s="678"/>
      <c r="J212" s="2451"/>
      <c r="K212" s="658"/>
      <c r="L212" s="678"/>
      <c r="M212" s="658"/>
      <c r="N212" s="678"/>
      <c r="O212" s="658"/>
      <c r="P212" s="678"/>
      <c r="Q212" s="658"/>
      <c r="R212" s="678"/>
      <c r="S212" s="658"/>
      <c r="T212" s="678"/>
    </row>
    <row r="213" spans="3:20">
      <c r="C213" s="2059" t="s">
        <v>3138</v>
      </c>
      <c r="E213" s="659" t="s">
        <v>3225</v>
      </c>
      <c r="G213" s="659" t="s">
        <v>3284</v>
      </c>
      <c r="H213" s="708"/>
      <c r="J213" s="3469"/>
      <c r="K213" s="659" t="s">
        <v>3284</v>
      </c>
      <c r="L213" s="708"/>
      <c r="M213" s="659" t="s">
        <v>3922</v>
      </c>
      <c r="N213" s="708"/>
      <c r="O213" s="659" t="s">
        <v>6374</v>
      </c>
      <c r="P213" s="708"/>
      <c r="Q213" s="659" t="str">
        <f>Q209</f>
        <v>2022-23</v>
      </c>
      <c r="R213" s="708"/>
      <c r="S213" s="659" t="str">
        <f>S209</f>
        <v>2023-24</v>
      </c>
      <c r="T213" s="708"/>
    </row>
    <row r="214" spans="3:20">
      <c r="C214" s="2061" t="s">
        <v>787</v>
      </c>
      <c r="E214" s="661" t="s">
        <v>787</v>
      </c>
      <c r="G214" s="661" t="s">
        <v>787</v>
      </c>
      <c r="H214" s="710"/>
      <c r="J214" s="3068"/>
      <c r="K214" s="661" t="s">
        <v>787</v>
      </c>
      <c r="L214" s="710"/>
      <c r="M214" s="661" t="s">
        <v>787</v>
      </c>
      <c r="N214" s="710"/>
      <c r="O214" s="661" t="s">
        <v>787</v>
      </c>
      <c r="P214" s="710"/>
      <c r="Q214" s="661" t="s">
        <v>787</v>
      </c>
      <c r="R214" s="710"/>
      <c r="S214" s="661" t="s">
        <v>787</v>
      </c>
      <c r="T214" s="710"/>
    </row>
    <row r="215" spans="3:20">
      <c r="C215" s="2057">
        <f>IF(AND(C158&gt;30,C156=12),130,IF(OR('Calc Data'!C10&gt;129.999,C156&lt;12),0,IF(OR(#REF!&gt;=90,'Calc Data'!C6&gt;=90),130,0)))</f>
        <v>0</v>
      </c>
      <c r="E215" s="657">
        <f>IF(AND(E158&gt;30,E156=12),130,IF(OR('Calc Data'!E10&gt;129.999,E156&lt;12),0,IF(OR(E166&gt;=90,'Calc Data'!E6&gt;=90),130,0)))</f>
        <v>0</v>
      </c>
      <c r="G215" s="657">
        <f>IF(AND(G158&gt;30,G156=12),130,IF(OR('Calc Data'!F10&gt;129.999,G156&lt;12),0,IF(OR('Calc Data'!E6&gt;=90,'Calc Data'!F6&gt;=90),130,0)))</f>
        <v>0</v>
      </c>
      <c r="H215" s="707"/>
      <c r="J215" s="3468"/>
      <c r="K215" s="657">
        <f>IF(AND(K158&gt;30,K156=12),130,IF(OR('Calc Data'!F10&gt;129.999,K156&lt;12),0,IF(OR('Calc Data'!E6&gt;=90,'Calc Data'!F6&gt;=90),130,0)))</f>
        <v>0</v>
      </c>
      <c r="L215" s="707"/>
      <c r="M215" s="657">
        <f>IF(AND(M158&gt;30,M156=12),130,IF(OR('Calc Data'!G10&gt;129.999,M156&lt;12),0,IF(OR('Calc Data'!F6&gt;=90,'Calc Data'!G6&gt;=90),130,0)))</f>
        <v>0</v>
      </c>
      <c r="N215" s="707"/>
      <c r="O215" s="657">
        <f>IF(AND(O158&gt;30,O156=12),130,IF(OR('Calc Data'!H10&gt;129.999,O156&lt;12),0,IF(OR('Calc Data'!G6&gt;=90,'Calc Data'!H6&gt;=90),130,0)))</f>
        <v>0</v>
      </c>
      <c r="P215" s="707"/>
      <c r="Q215" s="657">
        <f>IF(AND(Q158&gt;30,Q156=12),130,IF(OR('Calc Data'!I10&gt;129.999,Q156&lt;12),0,IF(OR('Calc Data'!H6&gt;=90,'Calc Data'!I6&gt;=90),130,0)))</f>
        <v>0</v>
      </c>
      <c r="R215" s="707"/>
      <c r="S215" s="657">
        <f>IF(AND(S158&gt;30,S156=12),130,IF(OR('Calc Data'!J10&gt;129.999,S156&lt;12),0,IF(OR('Calc Data'!I6&gt;=90,'Calc Data'!J6&gt;=90),130,0)))</f>
        <v>0</v>
      </c>
      <c r="T215" s="707"/>
    </row>
    <row r="216" spans="3:20" ht="12.75" customHeight="1">
      <c r="C216" s="2062">
        <f>IF(AND(C158&gt;30,C156=8),75,IF(C156&lt;8,0,IF(OR(#REF!&gt;=50,'Calc Data'!C6&gt;=50),75,0)))</f>
        <v>0</v>
      </c>
      <c r="E216" s="662">
        <f>IF(AND(E158&gt;30,E156=8),75,IF(E156&lt;8,0,IF(OR(E166&gt;=50,'Calc Data'!E6&gt;=50),75,0)))</f>
        <v>0</v>
      </c>
      <c r="G216" s="662">
        <f>IF(AND(G158&gt;30,G156=8),75,IF(G156&lt;8,0,IF(OR('Calc Data'!E6&gt;=50,'Calc Data'!F6&gt;=50),75,0)))</f>
        <v>0</v>
      </c>
      <c r="H216" s="711"/>
      <c r="J216" s="3471"/>
      <c r="K216" s="662">
        <f>IF(AND(K158&gt;30,K156=8),75,IF(K156&lt;8,0,IF(OR('Calc Data'!E6&gt;=50,'Calc Data'!F6&gt;=50),75,0)))</f>
        <v>0</v>
      </c>
      <c r="L216" s="711"/>
      <c r="M216" s="662">
        <f>IF(AND(M158&gt;30,M156=8),75,IF(M156&lt;8,0,IF(OR('Calc Data'!F6&gt;=50,'Calc Data'!G6&gt;=50),75,0)))</f>
        <v>0</v>
      </c>
      <c r="N216" s="711"/>
      <c r="O216" s="662">
        <f>IF(AND(O158&gt;30,O156=8),75,IF(O156&lt;8,0,IF(OR('Calc Data'!G6&gt;=50,'Calc Data'!H6&gt;=50),75,0)))</f>
        <v>0</v>
      </c>
      <c r="P216" s="711"/>
      <c r="Q216" s="662">
        <f>IF(AND(Q158&gt;30,Q156=8),75,IF(Q156&lt;8,0,IF(OR('Calc Data'!H6&gt;=50,'Calc Data'!I6&gt;=50),75,0)))</f>
        <v>0</v>
      </c>
      <c r="R216" s="711"/>
      <c r="S216" s="662">
        <f>IF(AND(S158&gt;30,S156=8),75,IF(S156&lt;8,0,IF(OR('Calc Data'!I6&gt;=50,'Calc Data'!J6&gt;=50),75,0)))</f>
        <v>0</v>
      </c>
      <c r="T216" s="711"/>
    </row>
    <row r="217" spans="3:20">
      <c r="C217" s="2062">
        <f>IF(AND(C158&gt;30,C156=6),60,IF(C156&lt;6,0,IF(OR(#REF!&gt;=40,'Calc Data'!C6&gt;=40),60,0)))</f>
        <v>0</v>
      </c>
      <c r="E217" s="662">
        <f>IF(AND(E158&gt;30,E156=6),60,IF(E156&lt;6,0,IF(OR(E166&gt;=40,'Calc Data'!E6&gt;=40),60,0)))</f>
        <v>0</v>
      </c>
      <c r="G217" s="662">
        <f>IF(AND(G158&gt;30,G156=6),60,IF(G156&lt;6,0,IF(OR('Calc Data'!E6&gt;=40,'Calc Data'!F6&gt;=40),60,0)))</f>
        <v>0</v>
      </c>
      <c r="H217" s="711"/>
      <c r="J217" s="3471"/>
      <c r="K217" s="662">
        <f>IF(AND(K158&gt;30,K156=6),60,IF(K156&lt;6,0,IF(OR('Calc Data'!E6&gt;=40,'Calc Data'!F6&gt;=40),60,0)))</f>
        <v>0</v>
      </c>
      <c r="L217" s="711"/>
      <c r="M217" s="662">
        <f>IF(AND(M158&gt;30,M156=6),60,IF(M156&lt;6,0,IF(OR('Calc Data'!F6&gt;=40,'Calc Data'!G6&gt;=40),60,0)))</f>
        <v>0</v>
      </c>
      <c r="N217" s="711"/>
      <c r="O217" s="662">
        <f>IF(AND(O158&gt;30,O156=6),60,IF(O156&lt;6,0,IF(OR('Calc Data'!G6&gt;=40,'Calc Data'!H6&gt;=40),60,0)))</f>
        <v>0</v>
      </c>
      <c r="P217" s="711"/>
      <c r="Q217" s="662">
        <f>IF(AND(Q158&gt;30,Q156=6),60,IF(Q156&lt;6,0,IF(OR('Calc Data'!H6&gt;=40,'Calc Data'!I6&gt;=40),60,0)))</f>
        <v>0</v>
      </c>
      <c r="R217" s="711"/>
      <c r="S217" s="662">
        <f>IF(AND(S158&gt;30,S156=6),60,IF(S156&lt;6,0,IF(OR('Calc Data'!I6&gt;=40,'Calc Data'!J6&gt;=40),60,0)))</f>
        <v>0</v>
      </c>
      <c r="T217" s="711"/>
    </row>
    <row r="218" spans="3:20" ht="21" customHeight="1">
      <c r="C218" s="2057">
        <f>IF(C156=12,1,0)</f>
        <v>0</v>
      </c>
      <c r="E218" s="657">
        <f>IF(E156=12,1,0)</f>
        <v>0</v>
      </c>
      <c r="G218" s="657">
        <f>IF(G156=12,1,0)</f>
        <v>0</v>
      </c>
      <c r="H218" s="707"/>
      <c r="J218" s="3468"/>
      <c r="K218" s="657">
        <f>IF(K156=12,1,0)</f>
        <v>0</v>
      </c>
      <c r="L218" s="707"/>
      <c r="M218" s="657">
        <f>IF(M156=12,1,0)</f>
        <v>0</v>
      </c>
      <c r="N218" s="707"/>
      <c r="O218" s="657">
        <f>IF(O156=12,1,0)</f>
        <v>0</v>
      </c>
      <c r="P218" s="707"/>
      <c r="Q218" s="657">
        <f>IF(Q156=12,1,0)</f>
        <v>0</v>
      </c>
      <c r="R218" s="707"/>
      <c r="S218" s="657">
        <f>IF(S156=12,1,0)</f>
        <v>0</v>
      </c>
      <c r="T218" s="707"/>
    </row>
    <row r="219" spans="3:20" ht="21" customHeight="1">
      <c r="C219" s="2057">
        <f>IF(C156=8,1,0)</f>
        <v>0</v>
      </c>
      <c r="E219" s="657">
        <f>IF(E156=8,1,0)</f>
        <v>0</v>
      </c>
      <c r="G219" s="657">
        <f>IF(G156=8,1,0)</f>
        <v>0</v>
      </c>
      <c r="H219" s="707"/>
      <c r="J219" s="3468"/>
      <c r="K219" s="657">
        <f>IF(K156=8,1,0)</f>
        <v>0</v>
      </c>
      <c r="L219" s="707"/>
      <c r="M219" s="657">
        <f>IF(M156=8,1,0)</f>
        <v>0</v>
      </c>
      <c r="N219" s="707"/>
      <c r="O219" s="657">
        <f>IF(O156=8,1,0)</f>
        <v>0</v>
      </c>
      <c r="P219" s="707"/>
      <c r="Q219" s="657">
        <f>IF(Q156=8,1,0)</f>
        <v>0</v>
      </c>
      <c r="R219" s="707"/>
      <c r="S219" s="657">
        <f>IF(S156=8,1,0)</f>
        <v>0</v>
      </c>
      <c r="T219" s="707"/>
    </row>
    <row r="220" spans="3:20" ht="21" customHeight="1">
      <c r="C220" s="2057">
        <f>IF(C156=6,1,0)</f>
        <v>0</v>
      </c>
      <c r="E220" s="657">
        <f>IF(E156=6,1,0)</f>
        <v>0</v>
      </c>
      <c r="G220" s="657">
        <f>IF(G156=6,1,0)</f>
        <v>0</v>
      </c>
      <c r="H220" s="707"/>
      <c r="J220" s="3468"/>
      <c r="K220" s="657">
        <f>IF(K156=6,1,0)</f>
        <v>0</v>
      </c>
      <c r="L220" s="707"/>
      <c r="M220" s="657">
        <f>IF(M156=6,1,0)</f>
        <v>0</v>
      </c>
      <c r="N220" s="707"/>
      <c r="O220" s="657">
        <f>IF(O156=6,1,0)</f>
        <v>0</v>
      </c>
      <c r="P220" s="707"/>
      <c r="Q220" s="657">
        <f>IF(Q156=6,1,0)</f>
        <v>0</v>
      </c>
      <c r="R220" s="707"/>
      <c r="S220" s="657">
        <f>IF(S156=6,1,0)</f>
        <v>0</v>
      </c>
      <c r="T220" s="707"/>
    </row>
    <row r="221" spans="3:20">
      <c r="C221" s="2061" t="str">
        <f>IF(C157&gt;300,"Yes","No")</f>
        <v>No</v>
      </c>
      <c r="E221" s="661" t="str">
        <f>IF(E157&gt;300,"Yes","No")</f>
        <v>No</v>
      </c>
      <c r="G221" s="661" t="str">
        <f>IF(G157&gt;300,"Yes","No")</f>
        <v>No</v>
      </c>
      <c r="H221" s="710"/>
      <c r="J221" s="3068"/>
      <c r="K221" s="661" t="str">
        <f>IF(K157&gt;300,"Yes","No")</f>
        <v>No</v>
      </c>
      <c r="L221" s="710"/>
      <c r="M221" s="661" t="str">
        <f>IF(M157&gt;300,"Yes","No")</f>
        <v>No</v>
      </c>
      <c r="N221" s="710"/>
      <c r="O221" s="661" t="str">
        <f>IF(O157&gt;300,"Yes","No")</f>
        <v>No</v>
      </c>
      <c r="P221" s="710"/>
      <c r="Q221" s="661" t="str">
        <f>IF(Q157&gt;300,"Yes","No")</f>
        <v>No</v>
      </c>
      <c r="R221" s="710"/>
      <c r="S221" s="661" t="s">
        <v>8230</v>
      </c>
      <c r="T221" s="710"/>
    </row>
    <row r="222" spans="3:20">
      <c r="C222" s="2061" t="str">
        <f>IF(C158&gt;30,"Yes","No")</f>
        <v>No</v>
      </c>
      <c r="E222" s="661" t="str">
        <f>IF(E158&gt;30,"Yes","No")</f>
        <v>No</v>
      </c>
      <c r="G222" s="661" t="str">
        <f>IF(G158&gt;30,"Yes","No")</f>
        <v>No</v>
      </c>
      <c r="H222" s="710"/>
      <c r="J222" s="3068"/>
      <c r="K222" s="661" t="str">
        <f>IF(K158&gt;30,"Yes","No")</f>
        <v>No</v>
      </c>
      <c r="L222" s="710"/>
      <c r="M222" s="661" t="str">
        <f>IF(M158&gt;30,"Yes","No")</f>
        <v>No</v>
      </c>
      <c r="N222" s="710"/>
      <c r="O222" s="661" t="str">
        <f>IF(O158&gt;30,"Yes","No")</f>
        <v>No</v>
      </c>
      <c r="P222" s="710"/>
      <c r="Q222" s="661" t="str">
        <f>IF(Q158&gt;30,"Yes","No")</f>
        <v>No</v>
      </c>
      <c r="R222" s="710"/>
      <c r="S222" s="661" t="s">
        <v>8230</v>
      </c>
      <c r="T222" s="710"/>
    </row>
    <row r="251" ht="12" customHeight="1"/>
    <row r="262" spans="25:25">
      <c r="Y262" s="8"/>
    </row>
    <row r="263" spans="25:25">
      <c r="Y263" s="8"/>
    </row>
    <row r="264" spans="25:25">
      <c r="Y264" s="8"/>
    </row>
    <row r="265" spans="25:25">
      <c r="Y265" s="8"/>
    </row>
    <row r="266" spans="25:25">
      <c r="Y266" s="8"/>
    </row>
    <row r="267" spans="25:25">
      <c r="Y267" s="8"/>
    </row>
    <row r="268" spans="25:25">
      <c r="Y268" s="8"/>
    </row>
    <row r="269" spans="25:25">
      <c r="Y269" s="8"/>
    </row>
    <row r="270" spans="25:25">
      <c r="Y270" s="8"/>
    </row>
    <row r="271" spans="25:25">
      <c r="Y271" s="8"/>
    </row>
    <row r="272" spans="25:25">
      <c r="Y272" s="8"/>
    </row>
    <row r="273" spans="25:25">
      <c r="Y273" s="8"/>
    </row>
    <row r="274" spans="25:25">
      <c r="Y274" s="8"/>
    </row>
    <row r="275" spans="25:25">
      <c r="Y275" s="8"/>
    </row>
    <row r="276" spans="25:25">
      <c r="Y276" s="8"/>
    </row>
    <row r="277" spans="25:25">
      <c r="Y277" s="8"/>
    </row>
    <row r="278" spans="25:25">
      <c r="Y278" s="8"/>
    </row>
    <row r="279" spans="25:25">
      <c r="Y279" s="8"/>
    </row>
    <row r="280" spans="25:25">
      <c r="Y280" s="8"/>
    </row>
    <row r="281" spans="25:25">
      <c r="Y281" s="8"/>
    </row>
    <row r="282" spans="25:25">
      <c r="Y282" s="8"/>
    </row>
    <row r="283" spans="25:25">
      <c r="Y283" s="8"/>
    </row>
    <row r="284" spans="25:25">
      <c r="Y284" s="8"/>
    </row>
    <row r="285" spans="25:25">
      <c r="Y285" s="8"/>
    </row>
    <row r="286" spans="25:25">
      <c r="Y286" s="8"/>
    </row>
    <row r="287" spans="25:25">
      <c r="Y287" s="8"/>
    </row>
    <row r="288" spans="25:25">
      <c r="Y288" s="8"/>
    </row>
    <row r="289" spans="2:27">
      <c r="Y289" s="8"/>
    </row>
    <row r="290" spans="2:27">
      <c r="Y290" s="8"/>
    </row>
    <row r="291" spans="2:27">
      <c r="B291" s="20"/>
      <c r="Y291" s="8"/>
    </row>
    <row r="292" spans="2:27">
      <c r="Y292" s="8"/>
    </row>
    <row r="293" spans="2:27">
      <c r="Y293" s="8"/>
    </row>
    <row r="294" spans="2:27">
      <c r="Y294" s="8"/>
      <c r="AA294" s="4"/>
    </row>
    <row r="295" spans="2:27">
      <c r="Y295" s="8"/>
    </row>
    <row r="296" spans="2:27">
      <c r="Y296" s="8"/>
      <c r="AA296" s="4"/>
    </row>
    <row r="297" spans="2:27">
      <c r="Y297" s="8"/>
      <c r="AA297" s="4"/>
    </row>
    <row r="298" spans="2:27">
      <c r="Y298" s="8"/>
      <c r="AA298" s="4"/>
    </row>
    <row r="299" spans="2:27">
      <c r="Y299" s="8"/>
      <c r="AA299" s="4"/>
    </row>
    <row r="301" spans="2:27">
      <c r="Y301" s="3"/>
    </row>
    <row r="302" spans="2:27">
      <c r="Y302" s="8"/>
      <c r="AA302" s="4"/>
    </row>
    <row r="303" spans="2:27">
      <c r="Y303" s="8"/>
      <c r="AA303" s="4"/>
    </row>
    <row r="304" spans="2:27">
      <c r="Y304" s="8"/>
      <c r="AA304" s="4"/>
    </row>
    <row r="305" spans="25:28">
      <c r="Y305" s="3"/>
      <c r="AA305" s="4"/>
    </row>
    <row r="306" spans="25:28">
      <c r="Y306" s="8"/>
    </row>
    <row r="307" spans="25:28">
      <c r="Y307" s="8"/>
      <c r="AA307" s="4"/>
      <c r="AB307" s="8"/>
    </row>
    <row r="308" spans="25:28">
      <c r="Y308" s="8"/>
      <c r="AA308" s="4"/>
    </row>
    <row r="309" spans="25:28">
      <c r="Y309" s="8"/>
      <c r="AA309" s="4"/>
    </row>
    <row r="318" spans="25:28">
      <c r="Y318" s="8"/>
      <c r="AA318" s="4"/>
    </row>
    <row r="319" spans="25:28">
      <c r="Y319" s="8"/>
      <c r="AA319" s="4"/>
    </row>
    <row r="320" spans="25:28">
      <c r="Y320" s="8"/>
      <c r="AA320" s="4"/>
    </row>
    <row r="321" spans="3:27">
      <c r="C321" s="2063"/>
      <c r="V321" s="35"/>
      <c r="Y321" s="8"/>
      <c r="AA321" s="4"/>
    </row>
    <row r="322" spans="3:27">
      <c r="C322" s="2063"/>
      <c r="V322" s="35"/>
      <c r="Y322" s="8"/>
      <c r="AA322" s="4"/>
    </row>
    <row r="323" spans="3:27">
      <c r="C323" s="2063"/>
      <c r="V323" s="35"/>
      <c r="Y323" s="3"/>
      <c r="AA323" s="4"/>
    </row>
    <row r="324" spans="3:27">
      <c r="C324" s="2063"/>
      <c r="V324" s="35"/>
      <c r="Y324" s="8"/>
      <c r="AA324" s="4"/>
    </row>
    <row r="325" spans="3:27">
      <c r="C325" s="2063"/>
      <c r="V325" s="35"/>
    </row>
    <row r="326" spans="3:27">
      <c r="C326" s="2063"/>
      <c r="V326" s="35"/>
    </row>
    <row r="327" spans="3:27">
      <c r="C327" s="2063"/>
      <c r="V327" s="35"/>
    </row>
    <row r="328" spans="3:27">
      <c r="C328" s="2063"/>
      <c r="V328" s="35"/>
    </row>
    <row r="329" spans="3:27">
      <c r="C329" s="2063"/>
      <c r="V329" s="35"/>
      <c r="W329" s="16"/>
    </row>
    <row r="330" spans="3:27">
      <c r="C330" s="2063"/>
      <c r="V330" s="35"/>
      <c r="AA330" s="4"/>
    </row>
    <row r="331" spans="3:27">
      <c r="C331" s="2063"/>
      <c r="V331" s="35"/>
      <c r="W331" s="16"/>
      <c r="AA331" s="4"/>
    </row>
    <row r="332" spans="3:27">
      <c r="C332" s="2063"/>
      <c r="V332" s="35"/>
      <c r="Y332" s="8"/>
      <c r="AA332" s="4"/>
    </row>
    <row r="333" spans="3:27">
      <c r="C333" s="2063"/>
      <c r="V333" s="35"/>
      <c r="AA333" s="4"/>
    </row>
    <row r="334" spans="3:27">
      <c r="C334" s="2063"/>
      <c r="V334" s="35"/>
    </row>
    <row r="335" spans="3:27">
      <c r="C335" s="2063"/>
      <c r="V335" s="35"/>
    </row>
    <row r="336" spans="3:27">
      <c r="C336" s="2063"/>
      <c r="V336" s="35"/>
    </row>
    <row r="338" spans="2:27">
      <c r="AA338" s="4"/>
    </row>
    <row r="339" spans="2:27">
      <c r="E339" s="5"/>
      <c r="G339" s="5"/>
      <c r="H339" s="145"/>
      <c r="J339" s="3472"/>
      <c r="L339" s="145"/>
      <c r="M339" s="5"/>
      <c r="N339" s="145"/>
      <c r="O339" s="5"/>
      <c r="P339" s="145"/>
      <c r="Q339" s="5"/>
      <c r="R339" s="145"/>
      <c r="S339" s="5"/>
      <c r="T339" s="145"/>
      <c r="U339" s="5"/>
      <c r="V339" s="3141"/>
      <c r="W339" s="5"/>
      <c r="AA339" s="4"/>
    </row>
    <row r="340" spans="2:27">
      <c r="Y340" s="8"/>
      <c r="AA340" s="4"/>
    </row>
    <row r="341" spans="2:27">
      <c r="AA341" s="4"/>
    </row>
    <row r="342" spans="2:27">
      <c r="AA342" s="4"/>
    </row>
    <row r="343" spans="2:27">
      <c r="AA343" s="4"/>
    </row>
    <row r="344" spans="2:27">
      <c r="Y344" s="8"/>
      <c r="AA344" s="4"/>
    </row>
    <row r="345" spans="2:27">
      <c r="Y345" s="8"/>
      <c r="AA345" s="4"/>
    </row>
    <row r="346" spans="2:27">
      <c r="B346" s="91"/>
      <c r="Y346" s="8"/>
      <c r="AA346" s="4"/>
    </row>
    <row r="347" spans="2:27">
      <c r="B347" s="91"/>
      <c r="Y347" s="8"/>
      <c r="AA347" s="4"/>
    </row>
    <row r="348" spans="2:27">
      <c r="B348" s="91"/>
      <c r="Y348" s="8"/>
      <c r="AA348" s="4"/>
    </row>
    <row r="349" spans="2:27">
      <c r="B349" s="91"/>
      <c r="Y349" s="8"/>
      <c r="AA349" s="4"/>
    </row>
    <row r="350" spans="2:27">
      <c r="Y350" s="8"/>
      <c r="AA350" s="4"/>
    </row>
    <row r="351" spans="2:27">
      <c r="V351" s="35"/>
      <c r="Y351" s="8"/>
    </row>
    <row r="352" spans="2:27">
      <c r="V352" s="35"/>
      <c r="Y352" s="8"/>
    </row>
    <row r="353" spans="3:27">
      <c r="C353" s="2064"/>
      <c r="E353" s="19"/>
      <c r="G353" s="19"/>
      <c r="H353" s="712"/>
      <c r="J353" s="3473"/>
      <c r="L353" s="712"/>
      <c r="M353" s="19"/>
      <c r="N353" s="712"/>
      <c r="O353" s="19"/>
      <c r="P353" s="712"/>
      <c r="Q353" s="19"/>
      <c r="R353" s="712"/>
      <c r="S353" s="19"/>
      <c r="T353" s="712"/>
      <c r="V353" s="35"/>
      <c r="Y353" s="8"/>
    </row>
    <row r="354" spans="3:27">
      <c r="C354" s="2064"/>
      <c r="E354" s="19"/>
      <c r="G354" s="19"/>
      <c r="H354" s="712"/>
      <c r="J354" s="3473"/>
      <c r="L354" s="712"/>
      <c r="M354" s="19"/>
      <c r="N354" s="712"/>
      <c r="O354" s="19"/>
      <c r="P354" s="712"/>
      <c r="Q354" s="19"/>
      <c r="R354" s="712"/>
      <c r="S354" s="19"/>
      <c r="T354" s="712"/>
      <c r="V354" s="35"/>
      <c r="Y354" s="8"/>
    </row>
    <row r="355" spans="3:27">
      <c r="C355" s="2064"/>
      <c r="E355" s="19"/>
      <c r="G355" s="19"/>
      <c r="H355" s="712"/>
      <c r="J355" s="3473"/>
      <c r="L355" s="712"/>
      <c r="M355" s="19"/>
      <c r="N355" s="712"/>
      <c r="O355" s="19"/>
      <c r="P355" s="712"/>
      <c r="Q355" s="19"/>
      <c r="R355" s="712"/>
      <c r="S355" s="19"/>
      <c r="T355" s="712"/>
      <c r="U355" s="19"/>
      <c r="V355" s="205"/>
      <c r="W355" s="19"/>
      <c r="Y355" s="8"/>
    </row>
    <row r="356" spans="3:27">
      <c r="C356" s="2064"/>
      <c r="E356" s="19"/>
      <c r="G356" s="19"/>
      <c r="H356" s="712"/>
      <c r="J356" s="3473"/>
      <c r="L356" s="712"/>
      <c r="M356" s="19"/>
      <c r="N356" s="712"/>
      <c r="O356" s="19"/>
      <c r="P356" s="712"/>
      <c r="Q356" s="19"/>
      <c r="R356" s="712"/>
      <c r="S356" s="19"/>
      <c r="T356" s="712"/>
      <c r="V356" s="35"/>
      <c r="Y356" s="8"/>
    </row>
    <row r="357" spans="3:27">
      <c r="C357" s="2064"/>
      <c r="E357" s="19"/>
      <c r="G357" s="19"/>
      <c r="H357" s="712"/>
      <c r="J357" s="3473"/>
      <c r="L357" s="712"/>
      <c r="M357" s="19"/>
      <c r="N357" s="712"/>
      <c r="O357" s="19"/>
      <c r="P357" s="712"/>
      <c r="Q357" s="19"/>
      <c r="R357" s="712"/>
      <c r="S357" s="19"/>
      <c r="T357" s="712"/>
      <c r="V357" s="35"/>
      <c r="Y357" s="8"/>
    </row>
    <row r="358" spans="3:27">
      <c r="C358" s="2064"/>
      <c r="E358" s="19"/>
      <c r="G358" s="19"/>
      <c r="H358" s="712"/>
      <c r="J358" s="3473"/>
      <c r="L358" s="712"/>
      <c r="M358" s="19"/>
      <c r="N358" s="712"/>
      <c r="O358" s="19"/>
      <c r="P358" s="712"/>
      <c r="Q358" s="19"/>
      <c r="R358" s="712"/>
      <c r="S358" s="19"/>
      <c r="T358" s="712"/>
      <c r="V358" s="35"/>
      <c r="Y358" s="8"/>
    </row>
    <row r="359" spans="3:27">
      <c r="C359" s="2064"/>
      <c r="E359" s="19"/>
      <c r="G359" s="19"/>
      <c r="H359" s="712"/>
      <c r="J359" s="3473"/>
      <c r="L359" s="712"/>
      <c r="M359" s="19"/>
      <c r="N359" s="712"/>
      <c r="O359" s="19"/>
      <c r="P359" s="712"/>
      <c r="Q359" s="19"/>
      <c r="R359" s="712"/>
      <c r="S359" s="19"/>
      <c r="T359" s="712"/>
      <c r="V359" s="35"/>
      <c r="W359" s="8"/>
      <c r="Y359" s="8"/>
    </row>
    <row r="360" spans="3:27">
      <c r="C360" s="2064"/>
      <c r="E360" s="19"/>
      <c r="G360" s="19"/>
      <c r="H360" s="712"/>
      <c r="J360" s="3473"/>
      <c r="L360" s="712"/>
      <c r="M360" s="19"/>
      <c r="N360" s="712"/>
      <c r="O360" s="19"/>
      <c r="P360" s="712"/>
      <c r="Q360" s="19"/>
      <c r="R360" s="712"/>
      <c r="S360" s="19"/>
      <c r="T360" s="712"/>
      <c r="V360" s="35"/>
      <c r="W360" s="8"/>
      <c r="Y360" s="8"/>
    </row>
    <row r="361" spans="3:27">
      <c r="C361" s="2064"/>
      <c r="E361" s="19"/>
      <c r="G361" s="19"/>
      <c r="H361" s="712"/>
      <c r="J361" s="3473"/>
      <c r="L361" s="712"/>
      <c r="M361" s="19"/>
      <c r="N361" s="712"/>
      <c r="O361" s="19"/>
      <c r="P361" s="712"/>
      <c r="Q361" s="19"/>
      <c r="R361" s="712"/>
      <c r="S361" s="19"/>
      <c r="T361" s="712"/>
      <c r="V361" s="35"/>
      <c r="W361" s="8"/>
      <c r="Y361" s="8"/>
    </row>
    <row r="362" spans="3:27">
      <c r="C362" s="2064"/>
      <c r="E362" s="19"/>
      <c r="G362" s="19"/>
      <c r="H362" s="712"/>
      <c r="J362" s="3473"/>
      <c r="L362" s="712"/>
      <c r="M362" s="19"/>
      <c r="N362" s="712"/>
      <c r="O362" s="19"/>
      <c r="P362" s="712"/>
      <c r="Q362" s="19"/>
      <c r="R362" s="712"/>
      <c r="S362" s="19"/>
      <c r="T362" s="712"/>
      <c r="V362" s="35"/>
      <c r="W362" s="8"/>
    </row>
    <row r="363" spans="3:27">
      <c r="C363" s="2064"/>
      <c r="E363" s="19"/>
      <c r="G363" s="19"/>
      <c r="H363" s="712"/>
      <c r="J363" s="3473"/>
      <c r="L363" s="712"/>
      <c r="M363" s="19"/>
      <c r="N363" s="712"/>
      <c r="O363" s="19"/>
      <c r="P363" s="712"/>
      <c r="Q363" s="19"/>
      <c r="R363" s="712"/>
      <c r="S363" s="19"/>
      <c r="T363" s="712"/>
      <c r="V363" s="35"/>
    </row>
    <row r="364" spans="3:27">
      <c r="C364" s="2064"/>
      <c r="E364" s="19"/>
      <c r="G364" s="19"/>
      <c r="H364" s="712"/>
      <c r="J364" s="3473"/>
      <c r="L364" s="712"/>
      <c r="M364" s="19"/>
      <c r="N364" s="712"/>
      <c r="O364" s="19"/>
      <c r="P364" s="712"/>
      <c r="Q364" s="19"/>
      <c r="R364" s="712"/>
      <c r="S364" s="19"/>
      <c r="T364" s="712"/>
      <c r="V364" s="35"/>
    </row>
    <row r="365" spans="3:27">
      <c r="C365" s="2064"/>
      <c r="E365" s="19"/>
      <c r="G365" s="19"/>
      <c r="H365" s="712"/>
      <c r="J365" s="3473"/>
      <c r="L365" s="712"/>
      <c r="M365" s="19"/>
      <c r="N365" s="712"/>
      <c r="O365" s="19"/>
      <c r="P365" s="712"/>
      <c r="Q365" s="19"/>
      <c r="R365" s="712"/>
      <c r="S365" s="19"/>
      <c r="T365" s="712"/>
      <c r="V365" s="35"/>
    </row>
    <row r="366" spans="3:27">
      <c r="C366" s="2064"/>
      <c r="E366" s="19"/>
      <c r="G366" s="19"/>
      <c r="H366" s="712"/>
      <c r="J366" s="3473"/>
      <c r="L366" s="712"/>
      <c r="M366" s="19"/>
      <c r="N366" s="712"/>
      <c r="O366" s="19"/>
      <c r="P366" s="712"/>
      <c r="Q366" s="19"/>
      <c r="R366" s="712"/>
      <c r="S366" s="19"/>
      <c r="T366" s="712"/>
      <c r="V366" s="35"/>
    </row>
    <row r="367" spans="3:27">
      <c r="C367" s="2064"/>
      <c r="E367" s="19"/>
      <c r="G367" s="19"/>
      <c r="H367" s="712"/>
      <c r="J367" s="3473"/>
      <c r="L367" s="712"/>
      <c r="M367" s="19"/>
      <c r="N367" s="712"/>
      <c r="O367" s="19"/>
      <c r="P367" s="712"/>
      <c r="Q367" s="19"/>
      <c r="R367" s="712"/>
      <c r="S367" s="19"/>
      <c r="T367" s="712"/>
      <c r="U367" s="19"/>
      <c r="V367" s="19"/>
      <c r="W367" s="8"/>
      <c r="Y367" s="8"/>
      <c r="AA367" s="4"/>
    </row>
    <row r="368" spans="3:27">
      <c r="C368" s="2064"/>
      <c r="E368" s="19"/>
      <c r="G368" s="19"/>
      <c r="H368" s="712"/>
      <c r="J368" s="3473"/>
      <c r="L368" s="712"/>
      <c r="M368" s="19"/>
      <c r="N368" s="712"/>
      <c r="O368" s="19"/>
      <c r="P368" s="712"/>
      <c r="Q368" s="19"/>
      <c r="R368" s="712"/>
      <c r="S368" s="19"/>
      <c r="T368" s="712"/>
      <c r="U368" s="19"/>
      <c r="V368" s="19"/>
      <c r="Y368" s="8"/>
      <c r="AA368" s="4"/>
    </row>
    <row r="369" spans="3:28">
      <c r="Y369" s="8"/>
    </row>
    <row r="370" spans="3:28">
      <c r="C370" s="2065"/>
      <c r="E370" s="8"/>
      <c r="G370" s="8"/>
      <c r="H370" s="713"/>
      <c r="J370" s="3474"/>
      <c r="L370" s="713"/>
      <c r="M370" s="8"/>
      <c r="N370" s="713"/>
      <c r="O370" s="8"/>
      <c r="P370" s="713"/>
      <c r="Q370" s="8"/>
      <c r="R370" s="713"/>
      <c r="S370" s="8"/>
      <c r="T370" s="713"/>
      <c r="U370" s="19"/>
      <c r="V370" s="19"/>
      <c r="W370" s="19"/>
      <c r="Y370" s="8"/>
    </row>
    <row r="371" spans="3:28">
      <c r="C371" s="2063"/>
      <c r="E371" s="8"/>
      <c r="G371" s="8"/>
      <c r="H371" s="713"/>
      <c r="J371" s="3474"/>
      <c r="L371" s="713"/>
      <c r="M371" s="8"/>
      <c r="N371" s="713"/>
      <c r="O371" s="8"/>
      <c r="P371" s="713"/>
      <c r="Q371" s="8"/>
      <c r="R371" s="713"/>
      <c r="S371" s="8"/>
      <c r="T371" s="713"/>
      <c r="U371" s="19"/>
      <c r="V371" s="19"/>
      <c r="W371" s="19"/>
      <c r="Y371" s="3"/>
    </row>
    <row r="372" spans="3:28">
      <c r="C372" s="2063"/>
      <c r="E372" s="8"/>
      <c r="G372" s="8"/>
      <c r="H372" s="713"/>
      <c r="J372" s="3474"/>
      <c r="L372" s="713"/>
      <c r="M372" s="8"/>
      <c r="N372" s="713"/>
      <c r="O372" s="8"/>
      <c r="P372" s="713"/>
      <c r="Q372" s="8"/>
      <c r="R372" s="713"/>
      <c r="S372" s="8"/>
      <c r="T372" s="713"/>
      <c r="U372" s="19"/>
      <c r="V372" s="19"/>
      <c r="W372" s="19"/>
      <c r="Y372" s="3"/>
    </row>
    <row r="373" spans="3:28">
      <c r="C373" s="2063"/>
      <c r="E373" s="8"/>
      <c r="G373" s="8"/>
      <c r="H373" s="713"/>
      <c r="J373" s="3474"/>
      <c r="L373" s="713"/>
      <c r="M373" s="8"/>
      <c r="N373" s="713"/>
      <c r="O373" s="8"/>
      <c r="P373" s="713"/>
      <c r="Q373" s="8"/>
      <c r="R373" s="713"/>
      <c r="S373" s="8"/>
      <c r="T373" s="713"/>
      <c r="U373" s="19"/>
      <c r="V373" s="19"/>
      <c r="W373" s="19"/>
      <c r="X373" s="8"/>
      <c r="Y373" s="8"/>
    </row>
    <row r="374" spans="3:28">
      <c r="C374" s="2063"/>
      <c r="E374" s="8"/>
      <c r="G374" s="8"/>
      <c r="H374" s="713"/>
      <c r="J374" s="3474"/>
      <c r="L374" s="713"/>
      <c r="M374" s="8"/>
      <c r="N374" s="713"/>
      <c r="O374" s="8"/>
      <c r="P374" s="713"/>
      <c r="Q374" s="8"/>
      <c r="R374" s="713"/>
      <c r="S374" s="8"/>
      <c r="T374" s="713"/>
      <c r="U374" s="19"/>
      <c r="V374" s="19"/>
      <c r="W374" s="19"/>
      <c r="X374" s="8"/>
      <c r="Y374" s="8"/>
    </row>
    <row r="375" spans="3:28">
      <c r="C375" s="2063"/>
      <c r="E375" s="8"/>
      <c r="G375" s="8"/>
      <c r="H375" s="713"/>
      <c r="J375" s="3474"/>
      <c r="L375" s="713"/>
      <c r="M375" s="8"/>
      <c r="N375" s="713"/>
      <c r="O375" s="8"/>
      <c r="P375" s="713"/>
      <c r="Q375" s="8"/>
      <c r="R375" s="713"/>
      <c r="S375" s="8"/>
      <c r="T375" s="713"/>
      <c r="U375" s="19"/>
      <c r="V375" s="19"/>
      <c r="W375" s="19"/>
      <c r="Y375" s="251"/>
      <c r="AB375" s="88" t="s">
        <v>1369</v>
      </c>
    </row>
    <row r="376" spans="3:28">
      <c r="C376" s="2063"/>
      <c r="E376" s="8"/>
      <c r="G376" s="8"/>
      <c r="H376" s="713"/>
      <c r="J376" s="3474"/>
      <c r="L376" s="713"/>
      <c r="M376" s="8"/>
      <c r="N376" s="713"/>
      <c r="O376" s="8"/>
      <c r="P376" s="713"/>
      <c r="Q376" s="8"/>
      <c r="R376" s="713"/>
      <c r="S376" s="8"/>
      <c r="T376" s="713"/>
      <c r="U376" s="19"/>
      <c r="V376" s="19"/>
      <c r="W376" s="19"/>
      <c r="Y376" s="91"/>
      <c r="AB376" s="91" t="e">
        <f>IF(OR(#REF!&gt;129.999,#REF!&lt;12),0,IF(OR(#REF!&gt;90,#REF!&gt;90),130,IF(AND(OR(#REF!&lt;90,#REF!&lt;90),#REF!&gt;30),130,0)))</f>
        <v>#REF!</v>
      </c>
    </row>
    <row r="377" spans="3:28">
      <c r="C377" s="2063"/>
      <c r="E377" s="8"/>
      <c r="G377" s="8"/>
      <c r="H377" s="713"/>
      <c r="J377" s="3474"/>
      <c r="L377" s="713"/>
      <c r="M377" s="8"/>
      <c r="N377" s="713"/>
      <c r="O377" s="8"/>
      <c r="P377" s="713"/>
      <c r="Q377" s="8"/>
      <c r="R377" s="713"/>
      <c r="S377" s="8"/>
      <c r="T377" s="713"/>
      <c r="U377" s="19"/>
      <c r="V377" s="19"/>
      <c r="W377" s="19"/>
      <c r="Y377" s="224"/>
      <c r="AB377" s="224" t="e">
        <f>IF(OR(#REF!&gt;129.999,#REF!&lt;8),0,IF(OR(#REF!&gt;50,#REF!&gt;50),75,IF(AND(OR(#REF!&lt;50,#REF!&lt;50),#REF!&gt;30),75,0)))</f>
        <v>#REF!</v>
      </c>
    </row>
    <row r="378" spans="3:28">
      <c r="C378" s="2063"/>
      <c r="E378" s="8"/>
      <c r="G378" s="8"/>
      <c r="H378" s="713"/>
      <c r="J378" s="3474"/>
      <c r="L378" s="713"/>
      <c r="M378" s="8"/>
      <c r="N378" s="713"/>
      <c r="O378" s="8"/>
      <c r="P378" s="713"/>
      <c r="Q378" s="8"/>
      <c r="R378" s="713"/>
      <c r="S378" s="8"/>
      <c r="T378" s="713"/>
      <c r="U378" s="19"/>
      <c r="V378" s="19"/>
      <c r="W378" s="19"/>
      <c r="X378" s="8"/>
      <c r="Y378" s="224"/>
      <c r="AB378" s="224" t="e">
        <f>IF(OR(#REF!&gt;129.999,#REF!&lt;6),0,IF(OR(#REF!&gt;40,#REF!&gt;40),60,IF(AND(OR(#REF!&lt;40,#REF!&lt;40),#REF!&gt;30),60,0)))</f>
        <v>#REF!</v>
      </c>
    </row>
    <row r="379" spans="3:28">
      <c r="C379" s="2063"/>
      <c r="E379" s="8"/>
      <c r="G379" s="8"/>
      <c r="H379" s="713"/>
      <c r="J379" s="3474"/>
      <c r="L379" s="713"/>
      <c r="M379" s="8"/>
      <c r="N379" s="713"/>
      <c r="O379" s="8"/>
      <c r="P379" s="713"/>
      <c r="Q379" s="8"/>
      <c r="R379" s="713"/>
      <c r="S379" s="8"/>
      <c r="T379" s="713"/>
      <c r="U379" s="8"/>
      <c r="V379" s="3142"/>
      <c r="W379" s="8"/>
      <c r="X379" s="8"/>
      <c r="Y379" s="8"/>
    </row>
    <row r="380" spans="3:28">
      <c r="C380" s="2063"/>
      <c r="E380" s="8"/>
      <c r="G380" s="8"/>
      <c r="H380" s="713"/>
      <c r="J380" s="3474"/>
      <c r="L380" s="713"/>
      <c r="M380" s="8"/>
      <c r="N380" s="713"/>
      <c r="O380" s="8"/>
      <c r="P380" s="713"/>
      <c r="Q380" s="8"/>
      <c r="R380" s="713"/>
      <c r="S380" s="8"/>
      <c r="T380" s="713"/>
      <c r="U380" s="8"/>
      <c r="V380" s="3142"/>
      <c r="W380" s="8"/>
      <c r="X380" s="8"/>
      <c r="Y380" s="8"/>
    </row>
    <row r="381" spans="3:28">
      <c r="C381" s="2066"/>
      <c r="E381" s="8"/>
      <c r="G381" s="8"/>
      <c r="H381" s="713"/>
      <c r="J381" s="3474"/>
      <c r="L381" s="713"/>
      <c r="M381" s="8"/>
      <c r="N381" s="713"/>
      <c r="O381" s="8"/>
      <c r="P381" s="713"/>
      <c r="Q381" s="8"/>
      <c r="R381" s="713"/>
      <c r="S381" s="8"/>
      <c r="T381" s="713"/>
      <c r="U381" s="8"/>
      <c r="V381" s="3142"/>
      <c r="W381" s="8"/>
      <c r="X381" s="8"/>
      <c r="Y381" s="8"/>
    </row>
    <row r="382" spans="3:28">
      <c r="C382" s="2066"/>
      <c r="E382" s="8"/>
      <c r="G382" s="8"/>
      <c r="H382" s="713"/>
      <c r="J382" s="3474"/>
      <c r="L382" s="713"/>
      <c r="M382" s="8"/>
      <c r="N382" s="713"/>
      <c r="O382" s="8"/>
      <c r="P382" s="713"/>
      <c r="Q382" s="8"/>
      <c r="R382" s="713"/>
      <c r="S382" s="8"/>
      <c r="T382" s="713"/>
      <c r="U382" s="8"/>
      <c r="V382" s="3142"/>
      <c r="W382" s="8"/>
      <c r="X382" s="8"/>
      <c r="Y382" s="91"/>
    </row>
    <row r="383" spans="3:28">
      <c r="C383" s="2066"/>
      <c r="E383" s="8"/>
      <c r="G383" s="8"/>
      <c r="H383" s="713"/>
      <c r="J383" s="3474"/>
      <c r="L383" s="713"/>
      <c r="M383" s="8"/>
      <c r="N383" s="713"/>
      <c r="O383" s="8"/>
      <c r="P383" s="713"/>
      <c r="Q383" s="8"/>
      <c r="R383" s="713"/>
      <c r="S383" s="8"/>
      <c r="T383" s="713"/>
      <c r="U383" s="8"/>
      <c r="V383" s="3142"/>
      <c r="W383" s="8"/>
      <c r="X383" s="8"/>
      <c r="Y383" s="91"/>
    </row>
    <row r="384" spans="3:28">
      <c r="C384" s="2066"/>
      <c r="E384" s="8"/>
      <c r="G384" s="8"/>
      <c r="H384" s="713"/>
      <c r="J384" s="3474"/>
      <c r="L384" s="713"/>
      <c r="M384" s="8"/>
      <c r="N384" s="713"/>
      <c r="O384" s="8"/>
      <c r="P384" s="713"/>
      <c r="Q384" s="8"/>
      <c r="R384" s="713"/>
      <c r="S384" s="8"/>
      <c r="T384" s="713"/>
      <c r="U384" s="8"/>
      <c r="V384" s="3142"/>
      <c r="W384" s="8"/>
      <c r="X384" s="8"/>
      <c r="Y384" s="91"/>
    </row>
    <row r="385" spans="3:25">
      <c r="C385" s="2066"/>
      <c r="E385" s="8"/>
      <c r="G385" s="8"/>
      <c r="H385" s="713"/>
      <c r="J385" s="3474"/>
      <c r="L385" s="713"/>
      <c r="M385" s="8"/>
      <c r="N385" s="713"/>
      <c r="O385" s="8"/>
      <c r="P385" s="713"/>
      <c r="Q385" s="8"/>
      <c r="R385" s="713"/>
      <c r="S385" s="8"/>
      <c r="T385" s="713"/>
      <c r="U385" s="8"/>
      <c r="V385" s="3142"/>
      <c r="W385" s="8"/>
      <c r="X385" s="8"/>
      <c r="Y385" s="8"/>
    </row>
    <row r="386" spans="3:25">
      <c r="C386" s="2066"/>
      <c r="E386" s="8"/>
      <c r="G386" s="8"/>
      <c r="H386" s="713"/>
      <c r="J386" s="3474"/>
      <c r="L386" s="713"/>
      <c r="M386" s="8"/>
      <c r="N386" s="713"/>
      <c r="O386" s="8"/>
      <c r="P386" s="713"/>
      <c r="Q386" s="8"/>
      <c r="R386" s="713"/>
      <c r="S386" s="8"/>
      <c r="T386" s="713"/>
      <c r="U386" s="8"/>
      <c r="V386" s="3142"/>
      <c r="W386" s="8"/>
      <c r="X386" s="8"/>
      <c r="Y386" s="8"/>
    </row>
    <row r="387" spans="3:25">
      <c r="C387" s="2066"/>
      <c r="E387" s="8"/>
      <c r="G387" s="8"/>
      <c r="H387" s="713"/>
      <c r="J387" s="3474"/>
      <c r="L387" s="713"/>
      <c r="M387" s="8"/>
      <c r="N387" s="713"/>
      <c r="O387" s="8"/>
      <c r="P387" s="713"/>
      <c r="Q387" s="8"/>
      <c r="R387" s="713"/>
      <c r="S387" s="8"/>
      <c r="T387" s="713"/>
      <c r="U387" s="8"/>
      <c r="V387" s="3142"/>
      <c r="W387" s="8"/>
      <c r="X387" s="8"/>
      <c r="Y387" s="8"/>
    </row>
    <row r="388" spans="3:25">
      <c r="C388" s="2066"/>
      <c r="E388" s="8"/>
      <c r="G388" s="8"/>
      <c r="H388" s="713"/>
      <c r="J388" s="3474"/>
      <c r="L388" s="713"/>
      <c r="M388" s="8"/>
      <c r="N388" s="713"/>
      <c r="O388" s="8"/>
      <c r="P388" s="713"/>
      <c r="Q388" s="8"/>
      <c r="R388" s="713"/>
      <c r="S388" s="8"/>
      <c r="T388" s="713"/>
      <c r="U388" s="8"/>
      <c r="V388" s="3142"/>
      <c r="W388" s="8"/>
      <c r="X388" s="8"/>
      <c r="Y388" s="8"/>
    </row>
    <row r="389" spans="3:25">
      <c r="C389" s="2066"/>
      <c r="E389" s="8"/>
      <c r="G389" s="8"/>
      <c r="H389" s="713"/>
      <c r="J389" s="3474"/>
      <c r="L389" s="713"/>
      <c r="M389" s="8"/>
      <c r="N389" s="713"/>
      <c r="O389" s="8"/>
      <c r="P389" s="713"/>
      <c r="Q389" s="8"/>
      <c r="R389" s="713"/>
      <c r="S389" s="8"/>
      <c r="T389" s="713"/>
      <c r="U389" s="8"/>
      <c r="V389" s="3142"/>
      <c r="W389" s="8"/>
      <c r="X389" s="8"/>
      <c r="Y389" s="8"/>
    </row>
    <row r="390" spans="3:25">
      <c r="C390" s="2066"/>
      <c r="E390" s="8"/>
      <c r="G390" s="8"/>
      <c r="H390" s="713"/>
      <c r="J390" s="3474"/>
      <c r="L390" s="713"/>
      <c r="M390" s="8"/>
      <c r="N390" s="713"/>
      <c r="O390" s="8"/>
      <c r="P390" s="713"/>
      <c r="Q390" s="8"/>
      <c r="R390" s="713"/>
      <c r="S390" s="8"/>
      <c r="T390" s="713"/>
      <c r="U390" s="8"/>
      <c r="V390" s="3142"/>
      <c r="W390" s="8"/>
      <c r="X390" s="8"/>
      <c r="Y390" s="8"/>
    </row>
    <row r="391" spans="3:25">
      <c r="C391" s="2066"/>
      <c r="E391" s="8"/>
      <c r="G391" s="8"/>
      <c r="H391" s="713"/>
      <c r="J391" s="3474"/>
      <c r="L391" s="713"/>
      <c r="M391" s="8"/>
      <c r="N391" s="713"/>
      <c r="O391" s="8"/>
      <c r="P391" s="713"/>
      <c r="Q391" s="8"/>
      <c r="R391" s="713"/>
      <c r="S391" s="8"/>
      <c r="T391" s="713"/>
      <c r="U391" s="8"/>
      <c r="V391" s="3142"/>
      <c r="W391" s="8"/>
      <c r="X391" s="8"/>
      <c r="Y391" s="8"/>
    </row>
    <row r="392" spans="3:25">
      <c r="X392" s="8"/>
      <c r="Y392" s="8"/>
    </row>
    <row r="393" spans="3:25">
      <c r="X393" s="8"/>
      <c r="Y393" s="8"/>
    </row>
    <row r="394" spans="3:25">
      <c r="X394" s="8"/>
      <c r="Y394" s="8"/>
    </row>
    <row r="395" spans="3:25">
      <c r="X395" s="8"/>
      <c r="Y395" s="8"/>
    </row>
    <row r="396" spans="3:25">
      <c r="X396" s="8"/>
      <c r="Y396" s="8"/>
    </row>
    <row r="397" spans="3:25">
      <c r="X397" s="8"/>
      <c r="Y397" s="8"/>
    </row>
    <row r="398" spans="3:25">
      <c r="X398" s="8"/>
      <c r="Y398" s="8"/>
    </row>
    <row r="399" spans="3:25">
      <c r="X399" s="8"/>
      <c r="Y399" s="8"/>
    </row>
    <row r="400" spans="3:25">
      <c r="X400" s="8"/>
      <c r="Y400" s="8"/>
    </row>
    <row r="401" spans="24:25">
      <c r="X401" s="8"/>
      <c r="Y401" s="8"/>
    </row>
    <row r="402" spans="24:25">
      <c r="X402" s="8"/>
      <c r="Y402" s="8"/>
    </row>
    <row r="403" spans="24:25">
      <c r="X403" s="8"/>
      <c r="Y403" s="8"/>
    </row>
    <row r="404" spans="24:25">
      <c r="X404" s="8"/>
      <c r="Y404" s="8"/>
    </row>
    <row r="405" spans="24:25">
      <c r="X405" s="8"/>
      <c r="Y405" s="8"/>
    </row>
    <row r="406" spans="24:25">
      <c r="X406" s="8"/>
      <c r="Y406" s="8"/>
    </row>
    <row r="407" spans="24:25">
      <c r="X407" s="8"/>
      <c r="Y407" s="8"/>
    </row>
    <row r="408" spans="24:25">
      <c r="X408" s="8"/>
      <c r="Y408" s="8"/>
    </row>
    <row r="409" spans="24:25">
      <c r="X409" s="8"/>
      <c r="Y409" s="8"/>
    </row>
    <row r="410" spans="24:25">
      <c r="X410" s="8"/>
      <c r="Y410" s="8"/>
    </row>
    <row r="411" spans="24:25">
      <c r="X411" s="8"/>
      <c r="Y411" s="8"/>
    </row>
    <row r="412" spans="24:25">
      <c r="X412" s="8"/>
      <c r="Y412" s="8"/>
    </row>
    <row r="413" spans="24:25">
      <c r="X413" s="8"/>
      <c r="Y413" s="8"/>
    </row>
    <row r="414" spans="24:25">
      <c r="X414" s="8"/>
      <c r="Y414" s="8"/>
    </row>
    <row r="415" spans="24:25">
      <c r="X415" s="8"/>
      <c r="Y415" s="8"/>
    </row>
    <row r="416" spans="24:25">
      <c r="X416" s="8"/>
      <c r="Y416" s="8"/>
    </row>
    <row r="417" spans="3:25">
      <c r="X417" s="8"/>
      <c r="Y417" s="8"/>
    </row>
    <row r="418" spans="3:25">
      <c r="X418" s="8"/>
      <c r="Y418" s="8"/>
    </row>
    <row r="419" spans="3:25">
      <c r="X419" s="8"/>
      <c r="Y419" s="8"/>
    </row>
    <row r="420" spans="3:25">
      <c r="X420" s="8"/>
      <c r="Y420" s="8"/>
    </row>
    <row r="421" spans="3:25">
      <c r="X421" s="8"/>
      <c r="Y421" s="8"/>
    </row>
    <row r="422" spans="3:25">
      <c r="X422" s="8"/>
      <c r="Y422" s="8"/>
    </row>
    <row r="423" spans="3:25">
      <c r="X423" s="8"/>
      <c r="Y423" s="8"/>
    </row>
    <row r="424" spans="3:25">
      <c r="X424" s="8"/>
      <c r="Y424" s="8"/>
    </row>
    <row r="425" spans="3:25">
      <c r="X425" s="8"/>
      <c r="Y425" s="8"/>
    </row>
    <row r="426" spans="3:25">
      <c r="X426" s="8"/>
      <c r="Y426" s="8"/>
    </row>
    <row r="427" spans="3:25">
      <c r="X427" s="8"/>
      <c r="Y427" s="8"/>
    </row>
    <row r="428" spans="3:25">
      <c r="X428" s="8"/>
    </row>
    <row r="429" spans="3:25">
      <c r="X429" s="8"/>
    </row>
    <row r="430" spans="3:25">
      <c r="C430" s="2067"/>
      <c r="E430" s="2"/>
      <c r="G430" s="2"/>
      <c r="H430" s="714"/>
      <c r="J430" s="3475"/>
      <c r="L430" s="714"/>
      <c r="M430" s="2"/>
      <c r="N430" s="714"/>
      <c r="O430" s="2"/>
      <c r="P430" s="714"/>
      <c r="Q430" s="2"/>
      <c r="R430" s="714"/>
      <c r="S430" s="2"/>
      <c r="T430" s="714"/>
      <c r="U430" s="2"/>
      <c r="V430" s="3143"/>
      <c r="W430" s="2"/>
      <c r="X430" s="8"/>
    </row>
    <row r="431" spans="3:25">
      <c r="C431" s="2067"/>
      <c r="E431" s="2"/>
      <c r="G431" s="2"/>
      <c r="H431" s="714"/>
      <c r="J431" s="3475"/>
      <c r="L431" s="714"/>
      <c r="M431" s="2"/>
      <c r="N431" s="714"/>
      <c r="O431" s="2"/>
      <c r="P431" s="714"/>
      <c r="Q431" s="2"/>
      <c r="R431" s="714"/>
      <c r="S431" s="2"/>
      <c r="T431" s="714"/>
      <c r="U431" s="2"/>
      <c r="V431" s="3143"/>
      <c r="W431" s="2"/>
      <c r="X431" s="8"/>
    </row>
    <row r="432" spans="3:25">
      <c r="C432" s="2067"/>
      <c r="E432" s="2"/>
      <c r="G432" s="2"/>
      <c r="H432" s="714"/>
      <c r="J432" s="3475"/>
      <c r="L432" s="714"/>
      <c r="M432" s="2"/>
      <c r="N432" s="714"/>
      <c r="O432" s="2"/>
      <c r="P432" s="714"/>
      <c r="Q432" s="2"/>
      <c r="R432" s="714"/>
      <c r="S432" s="2"/>
      <c r="T432" s="714"/>
      <c r="U432" s="2"/>
      <c r="V432" s="3143"/>
      <c r="W432" s="2"/>
      <c r="X432" s="8"/>
    </row>
    <row r="433" spans="3:24">
      <c r="C433" s="2067"/>
      <c r="E433" s="2"/>
      <c r="G433" s="2"/>
      <c r="H433" s="714"/>
      <c r="J433" s="3475"/>
      <c r="L433" s="714"/>
      <c r="M433" s="2"/>
      <c r="N433" s="714"/>
      <c r="O433" s="2"/>
      <c r="P433" s="714"/>
      <c r="Q433" s="2"/>
      <c r="R433" s="714"/>
      <c r="S433" s="2"/>
      <c r="T433" s="714"/>
      <c r="U433" s="2"/>
      <c r="V433" s="3143"/>
      <c r="W433" s="2"/>
      <c r="X433" s="8"/>
    </row>
    <row r="434" spans="3:24">
      <c r="C434" s="2067"/>
      <c r="E434" s="2"/>
      <c r="G434" s="2"/>
      <c r="H434" s="714"/>
      <c r="J434" s="3475"/>
      <c r="L434" s="714"/>
      <c r="M434" s="2"/>
      <c r="N434" s="714"/>
      <c r="O434" s="2"/>
      <c r="P434" s="714"/>
      <c r="Q434" s="2"/>
      <c r="R434" s="714"/>
      <c r="S434" s="2"/>
      <c r="T434" s="714"/>
      <c r="U434" s="2"/>
      <c r="V434" s="3143"/>
      <c r="W434" s="2"/>
      <c r="X434" s="8"/>
    </row>
    <row r="435" spans="3:24">
      <c r="C435" s="2067"/>
      <c r="E435" s="2"/>
      <c r="G435" s="2"/>
      <c r="H435" s="714"/>
      <c r="J435" s="3475"/>
      <c r="L435" s="714"/>
      <c r="M435" s="2"/>
      <c r="N435" s="714"/>
      <c r="O435" s="2"/>
      <c r="P435" s="714"/>
      <c r="Q435" s="2"/>
      <c r="R435" s="714"/>
      <c r="S435" s="2"/>
      <c r="T435" s="714"/>
      <c r="U435" s="2"/>
      <c r="V435" s="3143"/>
      <c r="W435" s="2"/>
      <c r="X435" s="8"/>
    </row>
    <row r="436" spans="3:24">
      <c r="C436" s="2067"/>
      <c r="E436" s="2"/>
      <c r="G436" s="2"/>
      <c r="H436" s="714"/>
      <c r="J436" s="3475"/>
      <c r="L436" s="714"/>
      <c r="M436" s="2"/>
      <c r="N436" s="714"/>
      <c r="O436" s="2"/>
      <c r="P436" s="714"/>
      <c r="Q436" s="2"/>
      <c r="R436" s="714"/>
      <c r="S436" s="2"/>
      <c r="T436" s="714"/>
      <c r="U436" s="2"/>
      <c r="V436" s="3143"/>
      <c r="W436" s="2"/>
      <c r="X436" s="8"/>
    </row>
    <row r="437" spans="3:24">
      <c r="C437" s="2067"/>
      <c r="E437" s="2"/>
      <c r="G437" s="2"/>
      <c r="H437" s="714"/>
      <c r="J437" s="3475"/>
      <c r="L437" s="714"/>
      <c r="M437" s="2"/>
      <c r="N437" s="714"/>
      <c r="O437" s="2"/>
      <c r="P437" s="714"/>
      <c r="Q437" s="2"/>
      <c r="R437" s="714"/>
      <c r="S437" s="2"/>
      <c r="T437" s="714"/>
      <c r="U437" s="2"/>
      <c r="V437" s="3143"/>
      <c r="W437" s="2"/>
      <c r="X437" s="8"/>
    </row>
    <row r="438" spans="3:24">
      <c r="C438" s="2067"/>
      <c r="E438" s="2"/>
      <c r="G438" s="2"/>
      <c r="H438" s="714"/>
      <c r="J438" s="3475"/>
      <c r="L438" s="714"/>
      <c r="M438" s="2"/>
      <c r="N438" s="714"/>
      <c r="O438" s="2"/>
      <c r="P438" s="714"/>
      <c r="Q438" s="2"/>
      <c r="R438" s="714"/>
      <c r="S438" s="2"/>
      <c r="T438" s="714"/>
      <c r="U438" s="2"/>
      <c r="V438" s="3143"/>
      <c r="W438" s="2"/>
      <c r="X438" s="8"/>
    </row>
    <row r="439" spans="3:24">
      <c r="C439" s="2067"/>
      <c r="E439" s="2"/>
      <c r="G439" s="2"/>
      <c r="H439" s="714"/>
      <c r="J439" s="3475"/>
      <c r="L439" s="714"/>
      <c r="M439" s="2"/>
      <c r="N439" s="714"/>
      <c r="O439" s="2"/>
      <c r="P439" s="714"/>
      <c r="Q439" s="2"/>
      <c r="R439" s="714"/>
      <c r="S439" s="2"/>
      <c r="T439" s="714"/>
      <c r="U439" s="2"/>
      <c r="V439" s="3143"/>
      <c r="W439" s="2"/>
      <c r="X439" s="8"/>
    </row>
    <row r="440" spans="3:24">
      <c r="C440" s="2067"/>
      <c r="E440" s="2"/>
      <c r="G440" s="2"/>
      <c r="H440" s="714"/>
      <c r="J440" s="3475"/>
      <c r="L440" s="714"/>
      <c r="M440" s="2"/>
      <c r="N440" s="714"/>
      <c r="O440" s="2"/>
      <c r="P440" s="714"/>
      <c r="Q440" s="2"/>
      <c r="R440" s="714"/>
      <c r="S440" s="2"/>
      <c r="T440" s="714"/>
      <c r="U440" s="2"/>
      <c r="V440" s="3143"/>
      <c r="W440" s="2"/>
      <c r="X440" s="8"/>
    </row>
    <row r="441" spans="3:24">
      <c r="C441" s="2067"/>
      <c r="E441" s="2"/>
      <c r="G441" s="2"/>
      <c r="H441" s="714"/>
      <c r="J441" s="3475"/>
      <c r="L441" s="714"/>
      <c r="M441" s="2"/>
      <c r="N441" s="714"/>
      <c r="O441" s="2"/>
      <c r="P441" s="714"/>
      <c r="Q441" s="2"/>
      <c r="R441" s="714"/>
      <c r="S441" s="2"/>
      <c r="T441" s="714"/>
      <c r="U441" s="2"/>
      <c r="V441" s="3143"/>
      <c r="W441" s="2"/>
      <c r="X441" s="8"/>
    </row>
    <row r="442" spans="3:24">
      <c r="C442" s="2067"/>
      <c r="E442" s="2"/>
      <c r="G442" s="2"/>
      <c r="H442" s="714"/>
      <c r="J442" s="3475"/>
      <c r="L442" s="714"/>
      <c r="M442" s="2"/>
      <c r="N442" s="714"/>
      <c r="O442" s="2"/>
      <c r="P442" s="714"/>
      <c r="Q442" s="2"/>
      <c r="R442" s="714"/>
      <c r="S442" s="2"/>
      <c r="T442" s="714"/>
      <c r="U442" s="2"/>
      <c r="V442" s="3143"/>
      <c r="W442" s="2"/>
      <c r="X442" s="8"/>
    </row>
    <row r="443" spans="3:24">
      <c r="X443" s="8"/>
    </row>
    <row r="444" spans="3:24">
      <c r="X444" s="8"/>
    </row>
    <row r="445" spans="3:24">
      <c r="C445" s="2068"/>
      <c r="E445" s="7"/>
      <c r="G445" s="7"/>
      <c r="H445" s="144"/>
      <c r="J445" s="3476"/>
      <c r="L445" s="144"/>
      <c r="M445" s="7"/>
      <c r="N445" s="144"/>
      <c r="O445" s="7"/>
      <c r="P445" s="144"/>
      <c r="Q445" s="7"/>
      <c r="R445" s="144"/>
      <c r="S445" s="7"/>
      <c r="T445" s="144"/>
      <c r="U445" s="7"/>
      <c r="V445" s="3144"/>
      <c r="W445" s="7"/>
      <c r="X445" s="8"/>
    </row>
    <row r="446" spans="3:24">
      <c r="C446" s="2067"/>
      <c r="E446" s="2"/>
      <c r="G446" s="2"/>
      <c r="H446" s="714"/>
      <c r="J446" s="3475"/>
      <c r="L446" s="714"/>
      <c r="M446" s="2"/>
      <c r="N446" s="714"/>
      <c r="O446" s="2"/>
      <c r="P446" s="714"/>
      <c r="Q446" s="2"/>
      <c r="R446" s="714"/>
      <c r="S446" s="2"/>
      <c r="T446" s="714"/>
      <c r="U446" s="2"/>
      <c r="V446" s="3143"/>
      <c r="W446" s="2"/>
      <c r="X446" s="8"/>
    </row>
    <row r="447" spans="3:24">
      <c r="C447" s="2068"/>
      <c r="E447" s="7"/>
      <c r="G447" s="7"/>
      <c r="H447" s="144"/>
      <c r="J447" s="3476"/>
      <c r="L447" s="144"/>
      <c r="M447" s="7"/>
      <c r="N447" s="144"/>
      <c r="O447" s="7"/>
      <c r="P447" s="144"/>
      <c r="Q447" s="7"/>
      <c r="R447" s="144"/>
      <c r="S447" s="7"/>
      <c r="T447" s="144"/>
      <c r="U447" s="7"/>
      <c r="V447" s="3144"/>
      <c r="W447" s="7"/>
      <c r="X447" s="8"/>
    </row>
    <row r="448" spans="3:24">
      <c r="C448" s="2068"/>
      <c r="E448" s="7"/>
      <c r="G448" s="7"/>
      <c r="H448" s="144"/>
      <c r="J448" s="3476"/>
      <c r="L448" s="144"/>
      <c r="M448" s="7"/>
      <c r="N448" s="144"/>
      <c r="O448" s="7"/>
      <c r="P448" s="144"/>
      <c r="Q448" s="7"/>
      <c r="R448" s="144"/>
      <c r="S448" s="7"/>
      <c r="T448" s="144"/>
      <c r="U448" s="7"/>
      <c r="V448" s="3144"/>
      <c r="W448" s="7"/>
      <c r="X448" s="8"/>
    </row>
    <row r="449" spans="24:24">
      <c r="X449" s="7"/>
    </row>
    <row r="450" spans="24:24">
      <c r="X450" s="7"/>
    </row>
    <row r="451" spans="24:24">
      <c r="X451" s="7"/>
    </row>
    <row r="452" spans="24:24">
      <c r="X452" s="6"/>
    </row>
    <row r="453" spans="24:24">
      <c r="X453" s="2"/>
    </row>
    <row r="454" spans="24:24">
      <c r="X454" s="2"/>
    </row>
    <row r="455" spans="24:24">
      <c r="X455" s="2"/>
    </row>
    <row r="456" spans="24:24">
      <c r="X456" s="2"/>
    </row>
    <row r="507" spans="24:24">
      <c r="X507" s="5"/>
    </row>
    <row r="508" spans="24:24">
      <c r="X508" s="5"/>
    </row>
    <row r="509" spans="24:24">
      <c r="X509" s="5"/>
    </row>
    <row r="511" spans="24:24">
      <c r="X511" s="5"/>
    </row>
    <row r="512" spans="24:24">
      <c r="X512" s="5"/>
    </row>
    <row r="513" spans="24:24">
      <c r="X513" s="5"/>
    </row>
    <row r="514" spans="24:24">
      <c r="X514" s="5"/>
    </row>
    <row r="515" spans="24:24">
      <c r="X515" s="5"/>
    </row>
    <row r="516" spans="24:24">
      <c r="X516" s="5"/>
    </row>
    <row r="517" spans="24:24">
      <c r="X517" s="5"/>
    </row>
    <row r="518" spans="24:24">
      <c r="X518" s="5"/>
    </row>
    <row r="519" spans="24:24">
      <c r="X519" s="5"/>
    </row>
    <row r="520" spans="24:24">
      <c r="X520" s="5"/>
    </row>
    <row r="521" spans="24:24">
      <c r="X521" s="5"/>
    </row>
    <row r="522" spans="24:24">
      <c r="X522" s="5"/>
    </row>
    <row r="523" spans="24:24">
      <c r="X523" s="5"/>
    </row>
    <row r="524" spans="24:24">
      <c r="X524" s="5"/>
    </row>
    <row r="525" spans="24:24">
      <c r="X525" s="5"/>
    </row>
    <row r="526" spans="24:24">
      <c r="X526" s="5"/>
    </row>
    <row r="527" spans="24:24">
      <c r="X527" s="5"/>
    </row>
    <row r="528" spans="24:24">
      <c r="X528" s="5"/>
    </row>
    <row r="530" spans="2:24">
      <c r="C530" s="2069"/>
      <c r="E530" s="5"/>
      <c r="G530" s="5"/>
      <c r="H530" s="145"/>
      <c r="J530" s="3472"/>
      <c r="L530" s="145"/>
      <c r="M530" s="5"/>
      <c r="N530" s="145"/>
      <c r="O530" s="5"/>
      <c r="P530" s="145"/>
      <c r="Q530" s="5"/>
      <c r="R530" s="145"/>
      <c r="S530" s="5"/>
      <c r="T530" s="145"/>
      <c r="U530" s="5"/>
      <c r="V530" s="3141"/>
      <c r="W530" s="5"/>
    </row>
    <row r="531" spans="2:24">
      <c r="C531" s="2069"/>
      <c r="E531" s="5"/>
      <c r="G531" s="5"/>
      <c r="H531" s="145"/>
      <c r="J531" s="3472"/>
      <c r="L531" s="145"/>
      <c r="M531" s="5"/>
      <c r="N531" s="145"/>
      <c r="O531" s="5"/>
      <c r="P531" s="145"/>
      <c r="Q531" s="5"/>
      <c r="R531" s="145"/>
      <c r="S531" s="5"/>
      <c r="T531" s="145"/>
      <c r="U531" s="5"/>
      <c r="V531" s="3141"/>
      <c r="W531" s="5"/>
    </row>
    <row r="532" spans="2:24">
      <c r="B532" s="4"/>
      <c r="X532" s="5"/>
    </row>
    <row r="533" spans="2:24">
      <c r="X533" s="5"/>
    </row>
    <row r="534" spans="2:24">
      <c r="X534" s="5"/>
    </row>
    <row r="535" spans="2:24">
      <c r="X535" s="5"/>
    </row>
    <row r="536" spans="2:24">
      <c r="X536" s="5"/>
    </row>
    <row r="537" spans="2:24">
      <c r="X537" s="1"/>
    </row>
    <row r="538" spans="2:24">
      <c r="X538" s="5"/>
    </row>
    <row r="540" spans="2:24">
      <c r="X540" s="5"/>
    </row>
    <row r="542" spans="2:24">
      <c r="X542" s="5"/>
    </row>
    <row r="543" spans="2:24">
      <c r="X543" s="5"/>
    </row>
  </sheetData>
  <phoneticPr fontId="0" type="noConversion"/>
  <printOptions gridLines="1"/>
  <pageMargins left="0.45" right="0.45" top="0.5" bottom="0.5" header="0.3" footer="0.3"/>
  <pageSetup scale="40" fitToHeight="0" orientation="portrait" r:id="rId1"/>
  <headerFooter alignWithMargins="0"/>
  <rowBreaks count="2" manualBreakCount="2">
    <brk id="152" max="21" man="1"/>
    <brk id="218"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703125" customWidth="1"/>
    <col min="2" max="2" width="36.42578125" customWidth="1"/>
    <col min="3" max="3" width="12.85546875" style="399" customWidth="1"/>
    <col min="4" max="4" width="29.5703125" customWidth="1"/>
    <col min="5" max="5" width="23.42578125" customWidth="1"/>
  </cols>
  <sheetData>
    <row r="1" spans="1:5">
      <c r="A1" s="380" t="s">
        <v>2993</v>
      </c>
      <c r="B1" s="380"/>
      <c r="E1" s="754" t="str">
        <f>'Report-FSF1920'!E1</f>
        <v>Release 10</v>
      </c>
    </row>
    <row r="2" spans="1:5">
      <c r="A2" s="380" t="s">
        <v>2994</v>
      </c>
      <c r="B2" s="380"/>
      <c r="E2" s="72">
        <f>'Report-FSF1920'!E2</f>
        <v>43724</v>
      </c>
    </row>
    <row r="3" spans="1:5">
      <c r="A3" s="64"/>
      <c r="B3" s="64"/>
      <c r="E3" s="58">
        <f>'Report-FSF1920'!E3</f>
        <v>0</v>
      </c>
    </row>
    <row r="4" spans="1:5" ht="15.75">
      <c r="A4" s="381" t="s">
        <v>3945</v>
      </c>
      <c r="B4" s="381"/>
    </row>
    <row r="5" spans="1:5" ht="15.75">
      <c r="A5" s="383">
        <f>'Data Entry - SOF'!B1</f>
        <v>0</v>
      </c>
      <c r="B5" s="383"/>
    </row>
    <row r="6" spans="1:5" ht="15.75">
      <c r="A6" s="381">
        <f>'Data Entry - SOF'!B2</f>
        <v>0</v>
      </c>
      <c r="B6" s="381"/>
    </row>
    <row r="8" spans="1:5" ht="18">
      <c r="A8" s="529"/>
      <c r="B8" s="530"/>
      <c r="C8" s="531"/>
      <c r="D8" s="532" t="s">
        <v>2797</v>
      </c>
      <c r="E8" s="532" t="s">
        <v>2798</v>
      </c>
    </row>
    <row r="9" spans="1:5" ht="18">
      <c r="A9" s="526"/>
      <c r="B9" s="537" t="s">
        <v>2796</v>
      </c>
      <c r="C9" s="566" t="s">
        <v>2782</v>
      </c>
      <c r="D9" s="533" t="s">
        <v>2783</v>
      </c>
      <c r="E9" s="533" t="s">
        <v>2797</v>
      </c>
    </row>
    <row r="10" spans="1:5" ht="15">
      <c r="A10" s="385" t="s">
        <v>2186</v>
      </c>
      <c r="B10" s="386" t="s">
        <v>2784</v>
      </c>
      <c r="C10" s="401">
        <f>Weights!L10</f>
        <v>5</v>
      </c>
      <c r="D10" s="387">
        <f>'Data Entry - SOF'!M23</f>
        <v>0</v>
      </c>
      <c r="E10" s="391">
        <f>D10*C10</f>
        <v>0</v>
      </c>
    </row>
    <row r="11" spans="1:5" ht="15">
      <c r="A11" s="385" t="s">
        <v>2187</v>
      </c>
      <c r="B11" s="386" t="s">
        <v>2785</v>
      </c>
      <c r="C11" s="401">
        <f>Weights!L11</f>
        <v>3</v>
      </c>
      <c r="D11" s="387">
        <f>'Data Entry - SOF'!M24</f>
        <v>0</v>
      </c>
      <c r="E11" s="391">
        <f t="shared" ref="E11:E19" si="0">D11*C11</f>
        <v>0</v>
      </c>
    </row>
    <row r="12" spans="1:5" ht="15">
      <c r="A12" s="385" t="s">
        <v>2188</v>
      </c>
      <c r="B12" s="386" t="s">
        <v>2786</v>
      </c>
      <c r="C12" s="401">
        <f>Weights!L12</f>
        <v>5</v>
      </c>
      <c r="D12" s="387">
        <f>'Data Entry - SOF'!M25</f>
        <v>0</v>
      </c>
      <c r="E12" s="391">
        <f t="shared" si="0"/>
        <v>0</v>
      </c>
    </row>
    <row r="13" spans="1:5" ht="15">
      <c r="A13" s="385" t="s">
        <v>909</v>
      </c>
      <c r="B13" s="386" t="s">
        <v>2787</v>
      </c>
      <c r="C13" s="401">
        <f>Weights!L13</f>
        <v>3</v>
      </c>
      <c r="D13" s="387">
        <f>'Data Entry - SOF'!M26</f>
        <v>0</v>
      </c>
      <c r="E13" s="391">
        <f t="shared" si="0"/>
        <v>0</v>
      </c>
    </row>
    <row r="14" spans="1:5" ht="15">
      <c r="A14" s="418"/>
      <c r="B14" s="402" t="s">
        <v>2788</v>
      </c>
      <c r="C14" s="397"/>
      <c r="D14" s="403"/>
      <c r="E14" s="406"/>
    </row>
    <row r="15" spans="1:5" ht="15">
      <c r="A15" s="551" t="s">
        <v>910</v>
      </c>
      <c r="B15" s="404" t="s">
        <v>2789</v>
      </c>
      <c r="C15" s="398">
        <f>Weights!L14</f>
        <v>3</v>
      </c>
      <c r="D15" s="405">
        <f>'Data Entry - SOF'!M27</f>
        <v>0</v>
      </c>
      <c r="E15" s="405">
        <f t="shared" si="0"/>
        <v>0</v>
      </c>
    </row>
    <row r="16" spans="1:5" ht="15">
      <c r="A16" s="385" t="s">
        <v>912</v>
      </c>
      <c r="B16" s="386" t="s">
        <v>2790</v>
      </c>
      <c r="C16" s="401">
        <f>Weights!L15</f>
        <v>2.7</v>
      </c>
      <c r="D16" s="391">
        <f>'Data Entry - SOF'!M28</f>
        <v>0</v>
      </c>
      <c r="E16" s="391">
        <f t="shared" si="0"/>
        <v>0</v>
      </c>
    </row>
    <row r="17" spans="1:5" ht="15">
      <c r="A17" s="385" t="s">
        <v>913</v>
      </c>
      <c r="B17" s="386" t="s">
        <v>2791</v>
      </c>
      <c r="C17" s="401">
        <f>Weights!L16</f>
        <v>2.2999999999999998</v>
      </c>
      <c r="D17" s="391">
        <f>'Data Entry - SOF'!M29</f>
        <v>0</v>
      </c>
      <c r="E17" s="391">
        <f t="shared" si="0"/>
        <v>0</v>
      </c>
    </row>
    <row r="18" spans="1:5" ht="15">
      <c r="A18" s="385" t="s">
        <v>914</v>
      </c>
      <c r="B18" s="386" t="s">
        <v>2792</v>
      </c>
      <c r="C18" s="401">
        <f>Weights!L17</f>
        <v>2.8</v>
      </c>
      <c r="D18" s="391">
        <f>'Data Entry - SOF'!M30</f>
        <v>0</v>
      </c>
      <c r="E18" s="391">
        <f t="shared" si="0"/>
        <v>0</v>
      </c>
    </row>
    <row r="19" spans="1:5" ht="15">
      <c r="A19" s="385" t="s">
        <v>118</v>
      </c>
      <c r="B19" s="386" t="s">
        <v>2793</v>
      </c>
      <c r="C19" s="401">
        <f>Weights!L19</f>
        <v>4</v>
      </c>
      <c r="D19" s="391">
        <f>'Data Entry - SOF'!M32</f>
        <v>0</v>
      </c>
      <c r="E19" s="391">
        <f t="shared" si="0"/>
        <v>0</v>
      </c>
    </row>
    <row r="20" spans="1:5" ht="15.75">
      <c r="A20" s="385" t="s">
        <v>119</v>
      </c>
      <c r="B20" s="386" t="s">
        <v>2799</v>
      </c>
      <c r="C20" s="401" t="s">
        <v>1775</v>
      </c>
      <c r="D20" s="391">
        <f>'Calc Data'!G8</f>
        <v>0</v>
      </c>
      <c r="E20" s="401" t="s">
        <v>1775</v>
      </c>
    </row>
    <row r="21" spans="1:5" ht="15">
      <c r="A21" s="385" t="s">
        <v>120</v>
      </c>
      <c r="B21" s="386" t="s">
        <v>2794</v>
      </c>
      <c r="C21" s="401" t="s">
        <v>1775</v>
      </c>
      <c r="D21" s="401" t="s">
        <v>1775</v>
      </c>
      <c r="E21" s="391">
        <f>SUM(E10:E19)</f>
        <v>0</v>
      </c>
    </row>
    <row r="22" spans="1:5" ht="15">
      <c r="A22" s="385" t="s">
        <v>121</v>
      </c>
      <c r="B22" s="386" t="s">
        <v>2795</v>
      </c>
      <c r="C22" s="401">
        <f>Weights!L18</f>
        <v>1.7</v>
      </c>
      <c r="D22" s="391">
        <f>'Data Entry - SOF'!M31</f>
        <v>0</v>
      </c>
      <c r="E22" s="401" t="s">
        <v>1775</v>
      </c>
    </row>
    <row r="23" spans="1:5" ht="15">
      <c r="A23" s="385" t="s">
        <v>1513</v>
      </c>
      <c r="B23" s="386" t="s">
        <v>538</v>
      </c>
      <c r="C23" s="401">
        <f>Weights!L21</f>
        <v>1.1000000000000001</v>
      </c>
      <c r="D23" s="391">
        <f>'Data Entry - SOF'!M34</f>
        <v>0</v>
      </c>
      <c r="E23" s="401" t="s">
        <v>1775</v>
      </c>
    </row>
    <row r="24" spans="1:5" s="382" customFormat="1" ht="15.75">
      <c r="C24" s="477" t="s">
        <v>2978</v>
      </c>
      <c r="D24" s="476" t="s">
        <v>3984</v>
      </c>
    </row>
    <row r="25" spans="1:5" s="382" customFormat="1" ht="15">
      <c r="C25" s="475"/>
      <c r="D25"/>
    </row>
    <row r="27" spans="1:5" ht="15">
      <c r="A27" s="407" t="s">
        <v>3113</v>
      </c>
    </row>
  </sheetData>
  <hyperlinks>
    <hyperlink ref="D24" location="'Report-SOF2021'!A1" display="Report-SOF202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380" t="s">
        <v>2993</v>
      </c>
      <c r="C1" s="754" t="str">
        <f>'Report-SpEd1920'!E1</f>
        <v>Release 10</v>
      </c>
    </row>
    <row r="2" spans="1:3">
      <c r="A2" s="380" t="s">
        <v>2994</v>
      </c>
      <c r="C2" s="72">
        <f>'Report-SpEd1920'!E2</f>
        <v>43724</v>
      </c>
    </row>
    <row r="3" spans="1:3">
      <c r="A3" s="64"/>
      <c r="C3" s="58">
        <f>'Report-SpEd1920'!E3</f>
        <v>0</v>
      </c>
    </row>
    <row r="4" spans="1:3" ht="15.75">
      <c r="A4" s="381" t="s">
        <v>3946</v>
      </c>
    </row>
    <row r="5" spans="1:3" ht="15.75">
      <c r="A5" s="383">
        <f>'Data Entry - SOF'!B1</f>
        <v>0</v>
      </c>
    </row>
    <row r="6" spans="1:3" ht="15.75">
      <c r="A6" s="381">
        <f>'Data Entry - SOF'!B2</f>
        <v>0</v>
      </c>
    </row>
    <row r="7" spans="1:3" ht="15.75">
      <c r="A7" s="381"/>
    </row>
    <row r="9" spans="1:3" ht="18">
      <c r="A9" s="534"/>
      <c r="B9" s="535"/>
      <c r="C9" s="532" t="s">
        <v>2715</v>
      </c>
    </row>
    <row r="10" spans="1:3" ht="18">
      <c r="A10" s="557" t="s">
        <v>2800</v>
      </c>
      <c r="B10" s="537"/>
      <c r="C10" s="533" t="s">
        <v>2805</v>
      </c>
    </row>
    <row r="11" spans="1:3" ht="15">
      <c r="A11" s="400" t="s">
        <v>2186</v>
      </c>
      <c r="B11" s="386" t="s">
        <v>3947</v>
      </c>
      <c r="C11" s="390">
        <f>'Data Entry - SOF'!M93</f>
        <v>0</v>
      </c>
    </row>
    <row r="12" spans="1:3" ht="15">
      <c r="A12" s="400" t="s">
        <v>2187</v>
      </c>
      <c r="B12" s="386" t="s">
        <v>3948</v>
      </c>
      <c r="C12" s="390">
        <f>'IFA-OldLaw'!U79</f>
        <v>0</v>
      </c>
    </row>
    <row r="13" spans="1:3" ht="15">
      <c r="A13" s="400" t="s">
        <v>2188</v>
      </c>
      <c r="B13" s="386" t="s">
        <v>3949</v>
      </c>
      <c r="C13" s="496" t="s">
        <v>3028</v>
      </c>
    </row>
    <row r="14" spans="1:3" ht="15.75">
      <c r="A14" s="400" t="s">
        <v>909</v>
      </c>
      <c r="B14" s="384" t="s">
        <v>3950</v>
      </c>
      <c r="C14" s="395">
        <f>'Calc Data'!G47</f>
        <v>1305123361</v>
      </c>
    </row>
    <row r="15" spans="1:3" ht="15">
      <c r="A15" s="400" t="s">
        <v>910</v>
      </c>
      <c r="B15" s="386" t="s">
        <v>3951</v>
      </c>
      <c r="C15" s="408">
        <f>'Data Entry - SOF'!M92</f>
        <v>1.17</v>
      </c>
    </row>
    <row r="16" spans="1:3" ht="15">
      <c r="A16" s="400" t="s">
        <v>912</v>
      </c>
      <c r="B16" s="386" t="s">
        <v>2801</v>
      </c>
      <c r="C16" s="390">
        <f>'Calc Data'!G29</f>
        <v>0</v>
      </c>
    </row>
    <row r="17" spans="1:3" ht="15">
      <c r="A17" s="400" t="s">
        <v>913</v>
      </c>
      <c r="B17" s="386" t="s">
        <v>2724</v>
      </c>
      <c r="C17" s="408">
        <f>'Data Entry - SOF'!C161</f>
        <v>0</v>
      </c>
    </row>
    <row r="18" spans="1:3" ht="15">
      <c r="A18" s="400" t="s">
        <v>914</v>
      </c>
      <c r="B18" s="386" t="s">
        <v>2809</v>
      </c>
      <c r="C18" s="390">
        <f>'Calc Data'!AO32</f>
        <v>0</v>
      </c>
    </row>
    <row r="19" spans="1:3" ht="15">
      <c r="A19" s="400" t="s">
        <v>118</v>
      </c>
      <c r="B19" s="386" t="s">
        <v>2802</v>
      </c>
      <c r="C19" s="408" t="e">
        <f>'Calc Data'!G35</f>
        <v>#DIV/0!</v>
      </c>
    </row>
    <row r="20" spans="1:3" ht="15">
      <c r="A20" s="400" t="s">
        <v>119</v>
      </c>
      <c r="B20" s="386" t="s">
        <v>2803</v>
      </c>
      <c r="C20" s="390">
        <f>'Calc Data'!G34</f>
        <v>0</v>
      </c>
    </row>
    <row r="21" spans="1:3" ht="15">
      <c r="A21" s="400" t="s">
        <v>120</v>
      </c>
      <c r="B21" s="386" t="s">
        <v>2804</v>
      </c>
      <c r="C21" s="390">
        <f>'Calc Data'!AO31</f>
        <v>0</v>
      </c>
    </row>
    <row r="22" spans="1:3" ht="15">
      <c r="A22" s="400" t="s">
        <v>121</v>
      </c>
      <c r="B22" s="386" t="s">
        <v>2808</v>
      </c>
      <c r="C22" s="408" t="e">
        <f>'Calc Data'!G38</f>
        <v>#DIV/0!</v>
      </c>
    </row>
    <row r="23" spans="1:3" s="382" customFormat="1" ht="15.75">
      <c r="B23" s="477" t="s">
        <v>2978</v>
      </c>
      <c r="C23" s="476" t="s">
        <v>3984</v>
      </c>
    </row>
    <row r="26" spans="1:3" ht="15.75">
      <c r="B26" s="325" t="s">
        <v>3030</v>
      </c>
    </row>
    <row r="27" spans="1:3" ht="15.75">
      <c r="B27" s="325" t="s">
        <v>3029</v>
      </c>
    </row>
  </sheetData>
  <sheetProtection sheet="1"/>
  <hyperlinks>
    <hyperlink ref="C23" location="'Report-SOF2021'!A1" display="Report-SOF202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5703125" customWidth="1"/>
    <col min="4" max="4" width="23" customWidth="1"/>
  </cols>
  <sheetData>
    <row r="1" spans="1:4">
      <c r="A1" s="380" t="s">
        <v>2993</v>
      </c>
      <c r="D1" s="754" t="str">
        <f>'Report-M&amp;O1920'!C1</f>
        <v>Release 10</v>
      </c>
    </row>
    <row r="2" spans="1:4">
      <c r="A2" s="380" t="s">
        <v>2994</v>
      </c>
      <c r="D2" s="72">
        <f>'Report-M&amp;O1920'!C2</f>
        <v>43724</v>
      </c>
    </row>
    <row r="3" spans="1:4">
      <c r="A3" s="64"/>
      <c r="D3" s="58">
        <f>'Report-M&amp;O1920'!C3</f>
        <v>0</v>
      </c>
    </row>
    <row r="4" spans="1:4" ht="15.75">
      <c r="A4" s="381" t="s">
        <v>3952</v>
      </c>
    </row>
    <row r="5" spans="1:4" ht="15.75">
      <c r="A5" s="383">
        <f>'Data Entry - SOF'!B1</f>
        <v>0</v>
      </c>
    </row>
    <row r="6" spans="1:4" ht="15.75">
      <c r="A6" s="381">
        <f>'Data Entry - SOF'!B2</f>
        <v>0</v>
      </c>
    </row>
    <row r="9" spans="1:4" ht="18">
      <c r="A9" s="266"/>
      <c r="B9" s="409" t="s">
        <v>939</v>
      </c>
      <c r="C9" s="410">
        <f>'Data Entry - SOF'!M156</f>
        <v>0</v>
      </c>
      <c r="D9" s="266"/>
    </row>
    <row r="10" spans="1:4" ht="18">
      <c r="A10" s="266"/>
      <c r="B10" s="409" t="s">
        <v>2810</v>
      </c>
      <c r="C10" s="409" t="str">
        <f>'Data Entry - SOF'!M221</f>
        <v>No</v>
      </c>
      <c r="D10" s="266"/>
    </row>
    <row r="11" spans="1:4" ht="18">
      <c r="A11" s="266"/>
      <c r="B11" s="409" t="s">
        <v>2811</v>
      </c>
      <c r="C11" s="409" t="str">
        <f>'Data Entry - SOF'!M222</f>
        <v>No</v>
      </c>
      <c r="D11" s="266"/>
    </row>
    <row r="12" spans="1:4" ht="18">
      <c r="A12" s="266"/>
      <c r="B12" s="409"/>
      <c r="C12" s="409"/>
      <c r="D12" s="266"/>
    </row>
    <row r="13" spans="1:4" ht="18">
      <c r="A13" s="529"/>
      <c r="B13" s="524"/>
      <c r="C13" s="525"/>
      <c r="D13" s="532" t="s">
        <v>2818</v>
      </c>
    </row>
    <row r="14" spans="1:4" ht="18">
      <c r="A14" s="552" t="s">
        <v>2812</v>
      </c>
      <c r="B14" s="537"/>
      <c r="C14" s="528"/>
      <c r="D14" s="533" t="s">
        <v>2805</v>
      </c>
    </row>
    <row r="15" spans="1:4" ht="15">
      <c r="A15" s="385" t="s">
        <v>2186</v>
      </c>
      <c r="B15" s="386" t="s">
        <v>2813</v>
      </c>
      <c r="C15" s="386"/>
      <c r="D15" s="390">
        <f>'Calc Data'!AO19</f>
        <v>5140</v>
      </c>
    </row>
    <row r="16" spans="1:4" ht="15">
      <c r="A16" s="385" t="s">
        <v>2187</v>
      </c>
      <c r="B16" s="386" t="s">
        <v>2814</v>
      </c>
      <c r="C16" s="386"/>
      <c r="D16" s="390">
        <f>'Calc Data'!AO20</f>
        <v>1491</v>
      </c>
    </row>
    <row r="17" spans="1:4" ht="15">
      <c r="A17" s="385" t="s">
        <v>2188</v>
      </c>
      <c r="B17" s="386" t="s">
        <v>2815</v>
      </c>
      <c r="C17" s="386"/>
      <c r="D17" s="411" t="str">
        <f>'Calc Data'!G49</f>
        <v>N/A</v>
      </c>
    </row>
    <row r="18" spans="1:4" ht="15">
      <c r="A18" s="385" t="s">
        <v>909</v>
      </c>
      <c r="B18" s="386" t="s">
        <v>2816</v>
      </c>
      <c r="C18" s="386"/>
      <c r="D18" s="483" t="str">
        <f>'Calc Data'!G50</f>
        <v>N/A</v>
      </c>
    </row>
    <row r="19" spans="1:4" ht="15">
      <c r="A19" s="385" t="s">
        <v>910</v>
      </c>
      <c r="B19" s="386" t="s">
        <v>2817</v>
      </c>
      <c r="C19" s="386"/>
      <c r="D19" s="390">
        <f>'Calc Data'!AO23</f>
        <v>2266</v>
      </c>
    </row>
    <row r="20" spans="1:4" s="382" customFormat="1" ht="15.75">
      <c r="B20" s="477" t="s">
        <v>2978</v>
      </c>
      <c r="D20" s="476" t="s">
        <v>3984</v>
      </c>
    </row>
  </sheetData>
  <sheetProtection sheet="1"/>
  <hyperlinks>
    <hyperlink ref="D20" location="'Report-SOF2021'!A1" display="Report-SOF202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42578125" customWidth="1"/>
    <col min="4" max="4" width="26.5703125" customWidth="1"/>
  </cols>
  <sheetData>
    <row r="1" spans="1:4">
      <c r="A1" s="380" t="s">
        <v>2993</v>
      </c>
      <c r="D1" s="754" t="str">
        <f>'Report-AA1920'!D1</f>
        <v>Release 10</v>
      </c>
    </row>
    <row r="2" spans="1:4">
      <c r="A2" s="380" t="s">
        <v>2994</v>
      </c>
      <c r="D2" s="72">
        <f>'Report-AA1920'!D2</f>
        <v>43724</v>
      </c>
    </row>
    <row r="3" spans="1:4">
      <c r="A3" s="64"/>
      <c r="D3" s="58">
        <f>'Report-AA1920'!D3</f>
        <v>0</v>
      </c>
    </row>
    <row r="4" spans="1:4" ht="15.75">
      <c r="A4" s="381" t="s">
        <v>3953</v>
      </c>
    </row>
    <row r="5" spans="1:4" ht="15.75">
      <c r="A5" s="383">
        <f>'Data Entry - SOF'!B1</f>
        <v>0</v>
      </c>
    </row>
    <row r="6" spans="1:4" ht="15.75">
      <c r="A6" s="381">
        <f>'Data Entry - SOF'!B2</f>
        <v>0</v>
      </c>
    </row>
    <row r="8" spans="1:4" ht="18">
      <c r="A8" s="539"/>
      <c r="B8" s="540"/>
      <c r="C8" s="532" t="s">
        <v>2829</v>
      </c>
      <c r="D8" s="541"/>
    </row>
    <row r="9" spans="1:4" ht="18">
      <c r="A9" s="533" t="s">
        <v>2819</v>
      </c>
      <c r="B9" s="542" t="s">
        <v>2782</v>
      </c>
      <c r="C9" s="533" t="s">
        <v>2830</v>
      </c>
      <c r="D9" s="537" t="s">
        <v>2820</v>
      </c>
    </row>
    <row r="10" spans="1:4" s="382" customFormat="1" ht="15.75">
      <c r="A10" s="596" t="s">
        <v>2821</v>
      </c>
      <c r="B10" s="543"/>
      <c r="C10" s="543"/>
      <c r="D10" s="544"/>
    </row>
    <row r="11" spans="1:4" s="382" customFormat="1" ht="15">
      <c r="A11" s="386" t="s">
        <v>2823</v>
      </c>
      <c r="B11" s="389">
        <f>Weights!L4</f>
        <v>1</v>
      </c>
      <c r="C11" s="391">
        <f>'Calc Data'!G10</f>
        <v>0</v>
      </c>
      <c r="D11" s="390">
        <f>'SOF2021-SB1'!H20</f>
        <v>0</v>
      </c>
    </row>
    <row r="12" spans="1:4" s="382" customFormat="1" ht="15.75">
      <c r="A12" s="596" t="s">
        <v>2822</v>
      </c>
      <c r="B12" s="543"/>
      <c r="C12" s="543"/>
      <c r="D12" s="544"/>
    </row>
    <row r="13" spans="1:4" s="382" customFormat="1" ht="15">
      <c r="A13" s="386" t="s">
        <v>2710</v>
      </c>
      <c r="B13" s="411" t="s">
        <v>1775</v>
      </c>
      <c r="C13" s="391">
        <f>'Calc Data'!G8</f>
        <v>0</v>
      </c>
      <c r="D13" s="390">
        <f>'SOF2021-SB1'!H21</f>
        <v>0</v>
      </c>
    </row>
    <row r="14" spans="1:4" s="382" customFormat="1" ht="15">
      <c r="A14" s="386" t="s">
        <v>2824</v>
      </c>
      <c r="B14" s="414">
        <f>Weights!L21</f>
        <v>1.1000000000000001</v>
      </c>
      <c r="C14" s="391">
        <f>'Data Entry - SOF'!M34</f>
        <v>0</v>
      </c>
      <c r="D14" s="390">
        <f>'SOF2021-SB1'!H23</f>
        <v>0</v>
      </c>
    </row>
    <row r="15" spans="1:4" s="382" customFormat="1" ht="15">
      <c r="A15" s="386" t="s">
        <v>2825</v>
      </c>
      <c r="B15" s="414">
        <f>Weights!L19</f>
        <v>4</v>
      </c>
      <c r="C15" s="391">
        <f>'Data Entry - SOF'!M32</f>
        <v>0</v>
      </c>
      <c r="D15" s="390">
        <f>'SOF2021-SB1'!H24</f>
        <v>0</v>
      </c>
    </row>
    <row r="16" spans="1:4" s="382" customFormat="1" ht="15">
      <c r="A16" s="386" t="s">
        <v>2792</v>
      </c>
      <c r="B16" s="414">
        <f>Weights!L17</f>
        <v>2.8</v>
      </c>
      <c r="C16" s="391">
        <f>'Data Entry - SOF'!M30</f>
        <v>0</v>
      </c>
      <c r="D16" s="390">
        <f>'SOF2021-SB1'!H25</f>
        <v>0</v>
      </c>
    </row>
    <row r="17" spans="1:4" s="382" customFormat="1" ht="15">
      <c r="A17" s="386" t="s">
        <v>2795</v>
      </c>
      <c r="B17" s="414">
        <f>Weights!L18</f>
        <v>1.7</v>
      </c>
      <c r="C17" s="391">
        <f>'Data Entry - SOF'!M31</f>
        <v>0</v>
      </c>
      <c r="D17" s="390">
        <f>'SOF2021-SB1'!H26</f>
        <v>0</v>
      </c>
    </row>
    <row r="18" spans="1:4" s="382" customFormat="1" ht="15">
      <c r="A18" s="402" t="s">
        <v>2826</v>
      </c>
      <c r="B18" s="402"/>
      <c r="C18" s="402"/>
      <c r="D18" s="413"/>
    </row>
    <row r="19" spans="1:4" s="382" customFormat="1" ht="15">
      <c r="A19" s="404" t="s">
        <v>2827</v>
      </c>
      <c r="B19" s="416" t="s">
        <v>1775</v>
      </c>
      <c r="C19" s="416" t="s">
        <v>1775</v>
      </c>
      <c r="D19" s="415">
        <f>'SOF2021-SB1'!H27</f>
        <v>0</v>
      </c>
    </row>
    <row r="20" spans="1:4" s="382" customFormat="1" ht="15">
      <c r="A20" s="386" t="s">
        <v>2828</v>
      </c>
      <c r="B20" s="411" t="s">
        <v>1775</v>
      </c>
      <c r="C20" s="411" t="s">
        <v>1775</v>
      </c>
      <c r="D20" s="390">
        <f>'SOF2021-SB1'!H131</f>
        <v>0</v>
      </c>
    </row>
    <row r="21" spans="1:4" s="382" customFormat="1" ht="15.75">
      <c r="A21" s="596" t="s">
        <v>2831</v>
      </c>
      <c r="B21" s="543"/>
      <c r="C21" s="543"/>
      <c r="D21" s="544"/>
    </row>
    <row r="22" spans="1:4" ht="15">
      <c r="A22" s="386" t="s">
        <v>2832</v>
      </c>
      <c r="B22" s="417">
        <f>Weights!L23</f>
        <v>1.35</v>
      </c>
      <c r="C22" s="391">
        <f>'Data Entry - SOF'!M35</f>
        <v>0</v>
      </c>
      <c r="D22" s="390">
        <f>'SOF2021-SB1'!H28</f>
        <v>0</v>
      </c>
    </row>
    <row r="23" spans="1:4" ht="15">
      <c r="A23" s="386" t="s">
        <v>2833</v>
      </c>
      <c r="B23" s="390">
        <f>Weights!L24</f>
        <v>50</v>
      </c>
      <c r="C23" s="391">
        <f>'Data Entry - SOF'!M37</f>
        <v>0</v>
      </c>
      <c r="D23" s="390">
        <f>'SOF2021-SB1'!H29</f>
        <v>0</v>
      </c>
    </row>
    <row r="24" spans="1:4" ht="15">
      <c r="A24" s="386" t="s">
        <v>2834</v>
      </c>
      <c r="B24" s="411" t="s">
        <v>1775</v>
      </c>
      <c r="C24" s="411" t="s">
        <v>1775</v>
      </c>
      <c r="D24" s="390">
        <f>'SOF2021-SB1'!H132</f>
        <v>0</v>
      </c>
    </row>
    <row r="25" spans="1:4" s="382" customFormat="1" ht="15.75">
      <c r="A25" s="596" t="s">
        <v>2835</v>
      </c>
      <c r="B25" s="543"/>
      <c r="C25" s="543"/>
      <c r="D25" s="544"/>
    </row>
    <row r="26" spans="1:4" ht="15">
      <c r="A26" s="386" t="s">
        <v>2836</v>
      </c>
      <c r="B26" s="417">
        <f>Weights!L28</f>
        <v>0.12</v>
      </c>
      <c r="C26" s="391">
        <f>'Data Entry - SOF'!M60</f>
        <v>0</v>
      </c>
      <c r="D26" s="390">
        <f>'SOF2021-SB1'!H32</f>
        <v>0</v>
      </c>
    </row>
    <row r="27" spans="1:4" ht="15">
      <c r="A27" s="386" t="s">
        <v>2837</v>
      </c>
      <c r="B27" s="411" t="s">
        <v>1775</v>
      </c>
      <c r="C27" s="411" t="s">
        <v>1775</v>
      </c>
      <c r="D27" s="390">
        <f>'SOF2021-SB1'!H33</f>
        <v>0</v>
      </c>
    </row>
    <row r="28" spans="1:4" ht="15">
      <c r="A28" s="386" t="s">
        <v>2838</v>
      </c>
      <c r="B28" s="411" t="s">
        <v>1775</v>
      </c>
      <c r="C28" s="411" t="s">
        <v>1775</v>
      </c>
      <c r="D28" s="390">
        <f>'SOF2021-SB1'!H133</f>
        <v>0</v>
      </c>
    </row>
    <row r="29" spans="1:4" s="382" customFormat="1" ht="15.75">
      <c r="A29" s="596" t="s">
        <v>2839</v>
      </c>
      <c r="B29" s="543"/>
      <c r="C29" s="543"/>
      <c r="D29" s="544"/>
    </row>
    <row r="30" spans="1:4" ht="15">
      <c r="A30" s="386" t="s">
        <v>2840</v>
      </c>
      <c r="B30" s="417">
        <f>Weights!L30</f>
        <v>0.2</v>
      </c>
      <c r="C30" s="391">
        <f>'Data Entry - SOF'!M41</f>
        <v>0</v>
      </c>
      <c r="D30" s="390">
        <f>'SOF2021-SB1'!H34</f>
        <v>0</v>
      </c>
    </row>
    <row r="31" spans="1:4" ht="15">
      <c r="A31" s="386" t="s">
        <v>3040</v>
      </c>
      <c r="B31" s="417">
        <f>Weights!L31</f>
        <v>2.41</v>
      </c>
      <c r="C31" s="391">
        <f>'Data Entry - SOF'!M49</f>
        <v>0</v>
      </c>
      <c r="D31" s="390">
        <f>'SOF2021-SB1'!H35</f>
        <v>0</v>
      </c>
    </row>
    <row r="32" spans="1:4" ht="15">
      <c r="A32" s="386" t="s">
        <v>3041</v>
      </c>
      <c r="B32" s="411" t="s">
        <v>1775</v>
      </c>
      <c r="C32" s="411" t="s">
        <v>1775</v>
      </c>
      <c r="D32" s="390">
        <f>'SOF2021-SB1'!H134</f>
        <v>0</v>
      </c>
    </row>
    <row r="33" spans="1:4" s="382" customFormat="1" ht="15.75">
      <c r="A33" s="596" t="s">
        <v>2841</v>
      </c>
      <c r="B33" s="543"/>
      <c r="C33" s="543"/>
      <c r="D33" s="544"/>
    </row>
    <row r="34" spans="1:4" s="382" customFormat="1" ht="15">
      <c r="A34" s="386" t="s">
        <v>2435</v>
      </c>
      <c r="B34" s="390">
        <f>Weights!L33</f>
        <v>275</v>
      </c>
      <c r="C34" s="391">
        <f>'Data Entry - SOF'!M21</f>
        <v>0</v>
      </c>
      <c r="D34" s="390">
        <f>'SOF2021-SB1'!H39</f>
        <v>0</v>
      </c>
    </row>
    <row r="35" spans="1:4" s="382" customFormat="1" ht="15.75">
      <c r="A35" s="596" t="s">
        <v>2844</v>
      </c>
      <c r="B35" s="543"/>
      <c r="C35" s="543"/>
      <c r="D35" s="544"/>
    </row>
    <row r="36" spans="1:4" s="382" customFormat="1" ht="15">
      <c r="A36" s="386" t="s">
        <v>2842</v>
      </c>
      <c r="B36" s="417">
        <f>Weights!L26</f>
        <v>0.1</v>
      </c>
      <c r="C36" s="391">
        <f>'Data Entry - SOF'!M51</f>
        <v>0</v>
      </c>
      <c r="D36" s="390">
        <f>'SOF2021-SB1'!H38</f>
        <v>0</v>
      </c>
    </row>
    <row r="37" spans="1:4" s="382" customFormat="1" ht="15.75">
      <c r="A37" s="596" t="s">
        <v>2843</v>
      </c>
      <c r="B37" s="543"/>
      <c r="C37" s="543"/>
      <c r="D37" s="544"/>
    </row>
    <row r="38" spans="1:4" s="382" customFormat="1" ht="15">
      <c r="A38" s="386" t="s">
        <v>2845</v>
      </c>
      <c r="B38" s="417">
        <f>Weights!L37</f>
        <v>0.1</v>
      </c>
      <c r="C38" s="391">
        <f>'Data Entry - SOF'!M61</f>
        <v>0</v>
      </c>
      <c r="D38" s="390">
        <f>'SOF2021-SB1'!H40</f>
        <v>0</v>
      </c>
    </row>
    <row r="39" spans="1:4" s="382" customFormat="1" ht="15.75">
      <c r="C39" s="477" t="s">
        <v>2979</v>
      </c>
      <c r="D39" s="476" t="s">
        <v>3984</v>
      </c>
    </row>
    <row r="41" spans="1:4" ht="15">
      <c r="D41" s="382"/>
    </row>
    <row r="42" spans="1:4" s="382" customFormat="1" ht="15.75">
      <c r="A42" s="325" t="s">
        <v>3116</v>
      </c>
    </row>
    <row r="43" spans="1:4" s="382" customFormat="1" ht="15.75">
      <c r="A43" s="325" t="s">
        <v>4032</v>
      </c>
    </row>
    <row r="44" spans="1:4" s="382" customFormat="1" ht="15.75">
      <c r="A44" s="325"/>
    </row>
    <row r="45" spans="1:4" s="382" customFormat="1" ht="15"/>
    <row r="46" spans="1:4" s="382"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5703125" customWidth="1"/>
  </cols>
  <sheetData>
    <row r="1" spans="1:4">
      <c r="A1" s="380" t="s">
        <v>2993</v>
      </c>
      <c r="C1" s="380"/>
      <c r="D1" s="754" t="str">
        <f>'Report-T1Detail1920'!D1</f>
        <v>Release 10</v>
      </c>
    </row>
    <row r="2" spans="1:4">
      <c r="A2" s="380" t="s">
        <v>2994</v>
      </c>
      <c r="C2" s="380"/>
      <c r="D2" s="72">
        <f>'Report-T1Detail1920'!D2</f>
        <v>43724</v>
      </c>
    </row>
    <row r="3" spans="1:4">
      <c r="A3" s="64"/>
      <c r="C3" s="64"/>
      <c r="D3" s="58">
        <f>'Report-T1Detail1920'!D3</f>
        <v>0</v>
      </c>
    </row>
    <row r="4" spans="1:4" ht="15.75">
      <c r="A4" s="381" t="s">
        <v>3954</v>
      </c>
      <c r="C4" s="381"/>
    </row>
    <row r="5" spans="1:4" ht="15.75">
      <c r="A5" s="383">
        <f>'Data Entry - SOF'!B1</f>
        <v>0</v>
      </c>
      <c r="C5" s="383"/>
    </row>
    <row r="6" spans="1:4" ht="15.75">
      <c r="A6" s="381">
        <f>'Data Entry - SOF'!B2</f>
        <v>0</v>
      </c>
      <c r="C6" s="381"/>
    </row>
    <row r="9" spans="1:4" ht="18">
      <c r="A9" s="545" t="s">
        <v>2846</v>
      </c>
      <c r="B9" s="548"/>
      <c r="C9" s="545"/>
      <c r="D9" s="546" t="s">
        <v>2847</v>
      </c>
    </row>
    <row r="10" spans="1:4" s="382" customFormat="1" ht="15">
      <c r="A10" s="385" t="s">
        <v>2186</v>
      </c>
      <c r="B10" s="386" t="s">
        <v>3114</v>
      </c>
      <c r="C10" s="386"/>
      <c r="D10" s="391" t="e">
        <f>'Calc Data'!G25</f>
        <v>#DIV/0!</v>
      </c>
    </row>
    <row r="11" spans="1:4" s="382" customFormat="1" ht="18">
      <c r="A11" s="596" t="s">
        <v>2848</v>
      </c>
      <c r="B11" s="583"/>
      <c r="C11" s="547"/>
      <c r="D11" s="544"/>
    </row>
    <row r="12" spans="1:4" s="382" customFormat="1" ht="15">
      <c r="A12" s="385" t="s">
        <v>2187</v>
      </c>
      <c r="B12" s="386" t="s">
        <v>3107</v>
      </c>
      <c r="C12" s="386"/>
      <c r="D12" s="390">
        <f>'Calc Data'!G34</f>
        <v>0</v>
      </c>
    </row>
    <row r="13" spans="1:4" s="382" customFormat="1" ht="15">
      <c r="A13" s="385" t="s">
        <v>2188</v>
      </c>
      <c r="B13" s="386" t="s">
        <v>6897</v>
      </c>
      <c r="C13" s="386"/>
      <c r="D13" s="389" t="e">
        <f>'Calc Data'!G35</f>
        <v>#DIV/0!</v>
      </c>
    </row>
    <row r="14" spans="1:4" s="382" customFormat="1" ht="15">
      <c r="A14" s="385" t="s">
        <v>3117</v>
      </c>
      <c r="B14" s="386" t="str">
        <f>CONCATENATE("Level 1 Entitlement @ $",Assumptions!G128,"")</f>
        <v>Level 1 Entitlement @ $135.92</v>
      </c>
      <c r="C14" s="386"/>
      <c r="D14" s="390" t="e">
        <f>'SOF2021-SB1'!H135</f>
        <v>#REF!</v>
      </c>
    </row>
    <row r="15" spans="1:4" s="382" customFormat="1" ht="15">
      <c r="A15" s="385" t="s">
        <v>910</v>
      </c>
      <c r="B15" s="386" t="s">
        <v>3955</v>
      </c>
      <c r="C15" s="386"/>
      <c r="D15" s="390" t="e">
        <f>'Calc Data'!G42*-1</f>
        <v>#DIV/0!</v>
      </c>
    </row>
    <row r="16" spans="1:4" s="382" customFormat="1" ht="15">
      <c r="A16" s="385" t="s">
        <v>912</v>
      </c>
      <c r="B16" s="386" t="str">
        <f>CONCATENATE("GYA ($",Assumptions!G128," * WADA * DTR_1 * 100) - LR")</f>
        <v>GYA ($135.92 * WADA * DTR_1 * 100) - LR</v>
      </c>
      <c r="C16" s="386"/>
      <c r="D16" s="390" t="e">
        <f>'SOF2021-SB1'!H51</f>
        <v>#DIV/0!</v>
      </c>
    </row>
    <row r="17" spans="1:4" s="382" customFormat="1" ht="18">
      <c r="A17" s="596" t="s">
        <v>2850</v>
      </c>
      <c r="B17" s="583"/>
      <c r="C17" s="547"/>
      <c r="D17" s="544"/>
    </row>
    <row r="18" spans="1:4" s="382" customFormat="1" ht="15">
      <c r="A18" s="385" t="s">
        <v>913</v>
      </c>
      <c r="B18" s="386" t="s">
        <v>3108</v>
      </c>
      <c r="C18" s="386"/>
      <c r="D18" s="390">
        <f>'Calc Data'!AO31</f>
        <v>0</v>
      </c>
    </row>
    <row r="19" spans="1:4" s="382" customFormat="1" ht="15">
      <c r="A19" s="385" t="s">
        <v>914</v>
      </c>
      <c r="B19" s="386" t="s">
        <v>3956</v>
      </c>
      <c r="C19" s="386"/>
      <c r="D19" s="389" t="e">
        <f>'Calc Data'!AO29</f>
        <v>#DIV/0!</v>
      </c>
    </row>
    <row r="20" spans="1:4" s="382" customFormat="1" ht="15">
      <c r="A20" s="385" t="s">
        <v>118</v>
      </c>
      <c r="B20" s="386" t="str">
        <f>CONCATENATE("Level 2 Entitlement @ $",Assumptions!G129,"")</f>
        <v>Level 2 Entitlement @ $31.95</v>
      </c>
      <c r="C20" s="386"/>
      <c r="D20" s="390" t="e">
        <f>'SOF2021-SB1'!H136</f>
        <v>#REF!</v>
      </c>
    </row>
    <row r="21" spans="1:4" s="382" customFormat="1" ht="15">
      <c r="A21" s="385" t="s">
        <v>119</v>
      </c>
      <c r="B21" s="386" t="s">
        <v>3957</v>
      </c>
      <c r="C21" s="386"/>
      <c r="D21" s="390" t="e">
        <f>'Calc Data'!AO33*-1</f>
        <v>#DIV/0!</v>
      </c>
    </row>
    <row r="22" spans="1:4" s="382" customFormat="1" ht="15">
      <c r="A22" s="385" t="s">
        <v>120</v>
      </c>
      <c r="B22" s="386" t="str">
        <f>CONCATENATE("GYA ($",Assumptions!G129," * WADA * DTR_1 * 100) - LR")</f>
        <v>GYA ($31.95 * WADA * DTR_1 * 100) - LR</v>
      </c>
      <c r="C22" s="386"/>
      <c r="D22" s="390" t="e">
        <f>'SOF2021-SB1'!H52</f>
        <v>#DIV/0!</v>
      </c>
    </row>
    <row r="23" spans="1:4" s="382" customFormat="1" ht="15.75">
      <c r="A23" s="385" t="s">
        <v>121</v>
      </c>
      <c r="B23" s="384" t="s">
        <v>3109</v>
      </c>
      <c r="C23" s="384"/>
      <c r="D23" s="395" t="e">
        <f>'SOF2021-SB1'!H53</f>
        <v>#DIV/0!</v>
      </c>
    </row>
    <row r="24" spans="1:4" s="382" customFormat="1" ht="15.75">
      <c r="B24" s="477" t="s">
        <v>2978</v>
      </c>
      <c r="D24" s="1306" t="s">
        <v>3984</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021'!A1" display="'Report-SOF2021'!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42578125" customWidth="1"/>
    <col min="2" max="2" width="74" customWidth="1"/>
    <col min="3" max="3" width="25.5703125" customWidth="1"/>
  </cols>
  <sheetData>
    <row r="1" spans="1:3">
      <c r="A1" s="380" t="s">
        <v>2993</v>
      </c>
      <c r="C1" s="754" t="str">
        <f>'Report-T2Detail1920'!D1</f>
        <v>Release 10</v>
      </c>
    </row>
    <row r="2" spans="1:3">
      <c r="A2" s="380" t="s">
        <v>2994</v>
      </c>
      <c r="C2" s="72">
        <f>'Report-T2Detail1920'!D2</f>
        <v>43724</v>
      </c>
    </row>
    <row r="3" spans="1:3">
      <c r="A3" s="64"/>
      <c r="C3" s="58">
        <f>'Report-T2Detail1920'!D3</f>
        <v>0</v>
      </c>
    </row>
    <row r="4" spans="1:3" ht="15.75">
      <c r="A4" s="381" t="s">
        <v>6909</v>
      </c>
    </row>
    <row r="5" spans="1:3" ht="15.75">
      <c r="A5" s="383">
        <f>'Data Entry - SOF'!B1</f>
        <v>0</v>
      </c>
    </row>
    <row r="6" spans="1:3" ht="15.75">
      <c r="A6" s="381">
        <f>'Data Entry - SOF'!B2</f>
        <v>0</v>
      </c>
    </row>
    <row r="9" spans="1:3" s="266" customFormat="1" ht="18">
      <c r="A9" s="556" t="s">
        <v>1982</v>
      </c>
      <c r="B9" s="553"/>
      <c r="C9" s="546" t="s">
        <v>1273</v>
      </c>
    </row>
    <row r="10" spans="1:3" s="382" customFormat="1" ht="15.75">
      <c r="A10" s="596" t="s">
        <v>2852</v>
      </c>
      <c r="B10" s="543"/>
      <c r="C10" s="544"/>
    </row>
    <row r="11" spans="1:3" s="382" customFormat="1" ht="15">
      <c r="A11" s="385" t="s">
        <v>2186</v>
      </c>
      <c r="B11" s="386" t="s">
        <v>2356</v>
      </c>
      <c r="C11" s="392" t="e">
        <f>ASATR!J8</f>
        <v>#N/A</v>
      </c>
    </row>
    <row r="12" spans="1:3" s="382" customFormat="1" ht="15">
      <c r="A12" s="385" t="s">
        <v>2187</v>
      </c>
      <c r="B12" s="386" t="s">
        <v>3958</v>
      </c>
      <c r="C12" s="391" t="e">
        <f>'Calc Data'!G25</f>
        <v>#DIV/0!</v>
      </c>
    </row>
    <row r="13" spans="1:3" s="382" customFormat="1" ht="15">
      <c r="A13" s="385" t="s">
        <v>2188</v>
      </c>
      <c r="B13" s="386" t="s">
        <v>3959</v>
      </c>
      <c r="C13" s="390" t="e">
        <f>ASATR!J50</f>
        <v>#N/A</v>
      </c>
    </row>
    <row r="14" spans="1:3" s="382" customFormat="1" ht="15">
      <c r="A14" s="385" t="s">
        <v>909</v>
      </c>
      <c r="B14" s="386" t="str">
        <f>CONCATENATE("2020-21 Minimum Increase (Line 2 * $120 * ",Weights!L7,")")</f>
        <v>2020-21 Minimum Increase (Line 2 * $120 * 0.9263)</v>
      </c>
      <c r="C14" s="390" t="e">
        <f>ASATR!J51</f>
        <v>#DIV/0!</v>
      </c>
    </row>
    <row r="15" spans="1:3" s="382" customFormat="1" ht="15">
      <c r="A15" s="385" t="s">
        <v>910</v>
      </c>
      <c r="B15" s="386" t="s">
        <v>2853</v>
      </c>
      <c r="C15" s="390">
        <f>ASATR!J13</f>
        <v>0</v>
      </c>
    </row>
    <row r="16" spans="1:3" s="382" customFormat="1" ht="15">
      <c r="A16" s="385" t="s">
        <v>912</v>
      </c>
      <c r="B16" s="386" t="s">
        <v>6907</v>
      </c>
      <c r="C16" s="390" t="e">
        <f>ASATR!J14</f>
        <v>#N/A</v>
      </c>
    </row>
    <row r="17" spans="1:4" s="382" customFormat="1" ht="15">
      <c r="A17" s="549"/>
      <c r="B17" s="543"/>
      <c r="C17" s="544"/>
    </row>
    <row r="18" spans="1:4" s="382" customFormat="1" ht="15">
      <c r="A18" s="385" t="s">
        <v>913</v>
      </c>
      <c r="B18" s="386" t="s">
        <v>2856</v>
      </c>
      <c r="C18" s="390">
        <f>ASATR!J15</f>
        <v>0</v>
      </c>
    </row>
    <row r="19" spans="1:4" s="382" customFormat="1" ht="15">
      <c r="A19" s="385" t="s">
        <v>914</v>
      </c>
      <c r="B19" s="386" t="s">
        <v>2857</v>
      </c>
      <c r="C19" s="390">
        <f>ASATR!J16</f>
        <v>0</v>
      </c>
    </row>
    <row r="20" spans="1:4" s="382" customFormat="1" ht="15">
      <c r="A20" s="385" t="s">
        <v>118</v>
      </c>
      <c r="B20" s="386" t="str">
        <f>CONCATENATE("2008-09 Educator Salary Increase ($23.63 * 2008-09 WADA * ",Weights!L7,")")</f>
        <v>2008-09 Educator Salary Increase ($23.63 * 2008-09 WADA * 0.9263)</v>
      </c>
      <c r="C20" s="390">
        <f>ASATR!J18</f>
        <v>0</v>
      </c>
    </row>
    <row r="21" spans="1:4" s="382" customFormat="1" ht="15.75">
      <c r="A21" s="385" t="s">
        <v>119</v>
      </c>
      <c r="B21" s="384" t="s">
        <v>3960</v>
      </c>
      <c r="C21" s="390" t="e">
        <f>ASATR!J20</f>
        <v>#N/A</v>
      </c>
    </row>
    <row r="22" spans="1:4" s="382" customFormat="1" ht="15">
      <c r="A22" s="549"/>
      <c r="B22" s="543"/>
      <c r="C22" s="544"/>
    </row>
    <row r="23" spans="1:4" s="382" customFormat="1" ht="15">
      <c r="A23" s="385" t="s">
        <v>120</v>
      </c>
      <c r="B23" s="386" t="s">
        <v>3961</v>
      </c>
      <c r="C23" s="390" t="e">
        <f>ASATR!J37</f>
        <v>#DIV/0!</v>
      </c>
    </row>
    <row r="24" spans="1:4" s="382" customFormat="1" ht="15">
      <c r="A24" s="385" t="s">
        <v>121</v>
      </c>
      <c r="B24" s="386" t="s">
        <v>3962</v>
      </c>
      <c r="C24" s="390">
        <f>ASATR!J38</f>
        <v>0</v>
      </c>
    </row>
    <row r="25" spans="1:4" s="382" customFormat="1" ht="15">
      <c r="A25" s="385" t="s">
        <v>1513</v>
      </c>
      <c r="B25" t="s">
        <v>6959</v>
      </c>
      <c r="C25" s="390" t="e">
        <f>ASATR!J39</f>
        <v>#DIV/0!</v>
      </c>
    </row>
    <row r="26" spans="1:4" s="382" customFormat="1" ht="15">
      <c r="A26" s="385" t="s">
        <v>6</v>
      </c>
      <c r="B26" s="386" t="s">
        <v>3963</v>
      </c>
      <c r="C26" s="390" t="e">
        <f>ASATR!J40</f>
        <v>#DIV/0!</v>
      </c>
    </row>
    <row r="27" spans="1:4" s="382" customFormat="1" ht="15">
      <c r="A27" s="549"/>
      <c r="B27" s="543"/>
      <c r="C27" s="555"/>
    </row>
    <row r="28" spans="1:4" s="382" customFormat="1" ht="15.75">
      <c r="A28" s="418" t="s">
        <v>2232</v>
      </c>
      <c r="B28" s="402" t="s">
        <v>3026</v>
      </c>
      <c r="C28" s="395" t="e">
        <f>ASATR!J42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3964</v>
      </c>
      <c r="C31" s="390" t="e">
        <f>ASATR!J45</f>
        <v>#DIV/0!</v>
      </c>
    </row>
    <row r="32" spans="1:4" s="382" customFormat="1" ht="15">
      <c r="A32" s="400" t="s">
        <v>2722</v>
      </c>
      <c r="B32" s="386" t="s">
        <v>3965</v>
      </c>
      <c r="C32" s="390" t="e">
        <f>ASATR!J46</f>
        <v>#DIV/0!</v>
      </c>
    </row>
    <row r="33" spans="2:3" s="382" customFormat="1" ht="15.75">
      <c r="B33" s="477" t="s">
        <v>2991</v>
      </c>
      <c r="C33" s="1306" t="s">
        <v>3984</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382" customFormat="1" ht="15">
      <c r="A1" s="380" t="s">
        <v>2993</v>
      </c>
      <c r="D1" s="754" t="str">
        <f>'Report-ASATR1920'!C1</f>
        <v>Release 10</v>
      </c>
    </row>
    <row r="2" spans="1:4" s="382" customFormat="1" ht="15">
      <c r="A2" s="380" t="s">
        <v>2994</v>
      </c>
      <c r="D2" s="72">
        <f>'Report-ASATR1920'!C2</f>
        <v>43724</v>
      </c>
    </row>
    <row r="3" spans="1:4" s="382" customFormat="1" ht="15.75">
      <c r="A3" s="381"/>
      <c r="D3" s="58">
        <f>'Report-ASATR1920'!C3</f>
        <v>0</v>
      </c>
    </row>
    <row r="4" spans="1:4" s="382" customFormat="1" ht="15.75">
      <c r="A4" s="381" t="s">
        <v>3966</v>
      </c>
    </row>
    <row r="5" spans="1:4" s="382" customFormat="1" ht="15.75">
      <c r="A5" s="383">
        <f>'Data Entry - SOF'!B1</f>
        <v>0</v>
      </c>
    </row>
    <row r="6" spans="1:4" s="382" customFormat="1" ht="15.75">
      <c r="A6" s="381">
        <f>'Data Entry - SOF'!B2</f>
        <v>0</v>
      </c>
    </row>
    <row r="7" spans="1:4" s="382" customFormat="1" ht="15.75">
      <c r="A7" s="381"/>
    </row>
    <row r="8" spans="1:4" s="382" customFormat="1" ht="15"/>
    <row r="9" spans="1:4" s="266" customFormat="1" ht="18">
      <c r="A9" s="523"/>
      <c r="B9" s="524"/>
      <c r="C9" s="525"/>
      <c r="D9" s="532" t="s">
        <v>2818</v>
      </c>
    </row>
    <row r="10" spans="1:4" s="479" customFormat="1" ht="18">
      <c r="A10" s="557" t="s">
        <v>2990</v>
      </c>
      <c r="B10" s="527"/>
      <c r="C10" s="528"/>
      <c r="D10" s="537" t="s">
        <v>2805</v>
      </c>
    </row>
    <row r="11" spans="1:4" s="382" customFormat="1" ht="15">
      <c r="A11" s="385" t="s">
        <v>2186</v>
      </c>
      <c r="B11" s="386" t="s">
        <v>2981</v>
      </c>
      <c r="C11" s="386"/>
      <c r="D11" s="495">
        <f>'Data Entry - SOF'!M120</f>
        <v>0</v>
      </c>
    </row>
    <row r="12" spans="1:4" s="382" customFormat="1" ht="15.75">
      <c r="A12" s="385" t="s">
        <v>2187</v>
      </c>
      <c r="B12" s="386" t="s">
        <v>4038</v>
      </c>
      <c r="C12" s="386"/>
      <c r="D12" s="495">
        <f>'HH2021-Calcs'!D26</f>
        <v>0</v>
      </c>
    </row>
    <row r="13" spans="1:4" s="382" customFormat="1" ht="15">
      <c r="A13" s="385" t="s">
        <v>2188</v>
      </c>
      <c r="B13" s="386" t="s">
        <v>3104</v>
      </c>
      <c r="C13" s="386"/>
      <c r="D13" s="495">
        <v>0</v>
      </c>
    </row>
    <row r="14" spans="1:4" s="382" customFormat="1" ht="15.75">
      <c r="A14" s="385" t="s">
        <v>909</v>
      </c>
      <c r="B14" s="719" t="s">
        <v>6958</v>
      </c>
      <c r="C14" s="386"/>
      <c r="D14" s="395">
        <v>0</v>
      </c>
    </row>
    <row r="15" spans="1:4" s="382" customFormat="1" ht="15">
      <c r="A15" s="385" t="s">
        <v>910</v>
      </c>
      <c r="B15" s="386" t="s">
        <v>758</v>
      </c>
      <c r="C15" s="386"/>
      <c r="D15" s="390">
        <f>'Data Entry - SOF'!M121</f>
        <v>0</v>
      </c>
    </row>
    <row r="16" spans="1:4" s="382" customFormat="1" ht="15">
      <c r="A16" s="385" t="s">
        <v>912</v>
      </c>
      <c r="B16" s="386" t="s">
        <v>2983</v>
      </c>
      <c r="C16" s="386"/>
      <c r="D16" s="495">
        <f>'Data Entry - SOF'!M123</f>
        <v>0</v>
      </c>
    </row>
    <row r="17" spans="1:5" s="382" customFormat="1" ht="15">
      <c r="A17" s="385" t="s">
        <v>913</v>
      </c>
      <c r="B17" s="386" t="s">
        <v>3205</v>
      </c>
      <c r="C17" s="386"/>
      <c r="D17" s="495">
        <f>'Data Entry - SOF'!M142</f>
        <v>0</v>
      </c>
    </row>
    <row r="18" spans="1:5" s="382" customFormat="1" ht="15">
      <c r="A18" s="385" t="s">
        <v>914</v>
      </c>
      <c r="B18" s="386" t="s">
        <v>2436</v>
      </c>
      <c r="C18" s="386"/>
      <c r="D18" s="390">
        <f>'SOF2021-SB1'!H64</f>
        <v>0</v>
      </c>
    </row>
    <row r="19" spans="1:5" s="382" customFormat="1" ht="15">
      <c r="A19" s="385" t="s">
        <v>118</v>
      </c>
      <c r="B19" s="386" t="s">
        <v>2986</v>
      </c>
      <c r="C19" s="386"/>
      <c r="D19" s="495">
        <v>0</v>
      </c>
    </row>
    <row r="20" spans="1:5" s="382" customFormat="1" ht="15">
      <c r="A20" s="385" t="s">
        <v>119</v>
      </c>
      <c r="B20" s="386" t="s">
        <v>2987</v>
      </c>
      <c r="C20" s="386"/>
      <c r="D20" s="495">
        <f>'Data Entry - SOF'!M125</f>
        <v>0</v>
      </c>
    </row>
    <row r="21" spans="1:5" s="382" customFormat="1" ht="15">
      <c r="A21" s="385" t="s">
        <v>120</v>
      </c>
      <c r="B21" s="386" t="s">
        <v>2988</v>
      </c>
      <c r="C21" s="386"/>
      <c r="D21" s="390" t="e">
        <f>'SOF2021-SB1'!H66</f>
        <v>#DIV/0!</v>
      </c>
    </row>
    <row r="22" spans="1:5" s="382" customFormat="1" ht="15">
      <c r="A22" s="385" t="s">
        <v>121</v>
      </c>
      <c r="B22" s="386" t="s">
        <v>2989</v>
      </c>
      <c r="C22" s="386"/>
      <c r="D22" s="390" t="e">
        <f>'SOF2021-SB1'!H65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t="s">
        <v>3795</v>
      </c>
    </row>
    <row r="26" spans="1:5" s="382" customFormat="1" ht="15.75">
      <c r="A26" s="385" t="s">
        <v>2233</v>
      </c>
      <c r="B26" s="384" t="s">
        <v>3027</v>
      </c>
      <c r="C26" s="386"/>
      <c r="D26" s="395" t="e">
        <f>SUM(D11:D25)</f>
        <v>#DIV/0!</v>
      </c>
    </row>
    <row r="27" spans="1:5" s="382" customFormat="1" ht="15.75">
      <c r="A27" s="394"/>
      <c r="B27" s="477" t="s">
        <v>2978</v>
      </c>
      <c r="D27" s="1306" t="s">
        <v>3984</v>
      </c>
    </row>
    <row r="28" spans="1:5" s="382" customFormat="1" ht="15">
      <c r="A28" s="394"/>
    </row>
    <row r="29" spans="1:5" s="382" customFormat="1" ht="15">
      <c r="A29" s="394"/>
    </row>
    <row r="30" spans="1:5" s="382" customFormat="1" ht="15.7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2578125" customWidth="1"/>
    <col min="2" max="2" width="78.42578125" customWidth="1"/>
    <col min="3" max="3" width="4.5703125" customWidth="1"/>
    <col min="4" max="4" width="22.5703125" customWidth="1"/>
  </cols>
  <sheetData>
    <row r="1" spans="1:4">
      <c r="A1" s="380" t="s">
        <v>2993</v>
      </c>
      <c r="D1" s="141" t="str">
        <f>'Report-Other1920'!D1</f>
        <v>Release 10</v>
      </c>
    </row>
    <row r="2" spans="1:4">
      <c r="A2" s="380" t="s">
        <v>2994</v>
      </c>
      <c r="D2" s="72">
        <f>'Report-Other1920'!D2</f>
        <v>43724</v>
      </c>
    </row>
    <row r="3" spans="1:4">
      <c r="A3" s="64"/>
      <c r="D3" s="58">
        <f>'Report-Other1920'!D3</f>
        <v>0</v>
      </c>
    </row>
    <row r="4" spans="1:4" ht="15.75">
      <c r="A4" s="381" t="s">
        <v>3939</v>
      </c>
    </row>
    <row r="5" spans="1:4" ht="15.75">
      <c r="A5" s="383">
        <f>'Data Entry - SOF'!B1</f>
        <v>0</v>
      </c>
    </row>
    <row r="6" spans="1:4" ht="15.75">
      <c r="A6" s="381">
        <f>'Data Entry - SOF'!B2</f>
        <v>0</v>
      </c>
    </row>
    <row r="9" spans="1:4" s="266" customFormat="1" ht="18">
      <c r="A9" s="564" t="s">
        <v>3110</v>
      </c>
      <c r="B9" s="558"/>
      <c r="C9" s="559"/>
      <c r="D9" s="524"/>
    </row>
    <row r="10" spans="1:4" s="382" customFormat="1" ht="18">
      <c r="A10" s="562" t="s">
        <v>2866</v>
      </c>
      <c r="B10" s="560"/>
      <c r="C10" s="561"/>
      <c r="D10" s="537" t="s">
        <v>2867</v>
      </c>
    </row>
    <row r="11" spans="1:4" s="382" customFormat="1" ht="15">
      <c r="A11" s="385" t="s">
        <v>2186</v>
      </c>
      <c r="B11" s="386" t="s">
        <v>3317</v>
      </c>
      <c r="C11" s="386"/>
      <c r="D11" s="390">
        <f>'Data Entry - SOF'!E101</f>
        <v>0</v>
      </c>
    </row>
    <row r="12" spans="1:4" s="382" customFormat="1" ht="15">
      <c r="A12" s="385" t="s">
        <v>2187</v>
      </c>
      <c r="B12" s="386" t="s">
        <v>3318</v>
      </c>
      <c r="C12" s="386"/>
      <c r="D12" s="390">
        <f>'Report-EDA1819'!D26</f>
        <v>0</v>
      </c>
    </row>
    <row r="13" spans="1:4" s="382" customFormat="1" ht="15">
      <c r="A13" s="385" t="s">
        <v>2188</v>
      </c>
      <c r="B13" s="386" t="s">
        <v>3319</v>
      </c>
      <c r="C13" s="386"/>
      <c r="D13" s="390">
        <f>'Report-IFA1819'!D20</f>
        <v>0</v>
      </c>
    </row>
    <row r="14" spans="1:4" s="382" customFormat="1" ht="15">
      <c r="A14" s="385" t="s">
        <v>909</v>
      </c>
      <c r="B14" s="386" t="s">
        <v>3320</v>
      </c>
      <c r="C14" s="386"/>
      <c r="D14" s="390">
        <f>IF(D11-D12-D13&lt;0,0,D11-D12-D13)</f>
        <v>0</v>
      </c>
    </row>
    <row r="15" spans="1:4" s="382" customFormat="1" ht="15">
      <c r="A15" s="385" t="s">
        <v>910</v>
      </c>
      <c r="B15" s="386" t="s">
        <v>3940</v>
      </c>
      <c r="C15" s="386"/>
      <c r="D15" s="390">
        <f>'Data Entry - SOF'!M118</f>
        <v>0</v>
      </c>
    </row>
    <row r="16" spans="1:4" s="382" customFormat="1" ht="15">
      <c r="A16" s="385" t="s">
        <v>912</v>
      </c>
      <c r="B16" s="386" t="s">
        <v>3941</v>
      </c>
      <c r="C16" s="386"/>
      <c r="D16" s="478">
        <f>'Report-IFA2021'!D37</f>
        <v>0</v>
      </c>
    </row>
    <row r="17" spans="1:4" s="382" customFormat="1" ht="15">
      <c r="A17" s="385" t="s">
        <v>913</v>
      </c>
      <c r="B17" s="386" t="s">
        <v>3942</v>
      </c>
      <c r="C17" s="386"/>
      <c r="D17" s="391">
        <f>'Data Entry - SOF'!M19</f>
        <v>0</v>
      </c>
    </row>
    <row r="18" spans="1:4" s="382" customFormat="1" ht="15">
      <c r="A18" s="385" t="s">
        <v>914</v>
      </c>
      <c r="B18" s="386" t="s">
        <v>6619</v>
      </c>
      <c r="C18" s="386"/>
      <c r="D18" s="390">
        <f>'Data Entry - SOF'!M76</f>
        <v>0</v>
      </c>
    </row>
    <row r="19" spans="1:4" s="382" customFormat="1" ht="15">
      <c r="A19" s="385" t="s">
        <v>118</v>
      </c>
      <c r="B19" s="386" t="s">
        <v>6618</v>
      </c>
      <c r="C19" s="386"/>
      <c r="D19" s="390">
        <f>'Data Entry - SOF'!E76</f>
        <v>0</v>
      </c>
    </row>
    <row r="20" spans="1:4" s="382" customFormat="1" ht="15.75">
      <c r="A20" s="596" t="s">
        <v>2868</v>
      </c>
      <c r="B20" s="543"/>
      <c r="C20" s="544"/>
      <c r="D20" s="563"/>
    </row>
    <row r="21" spans="1:4" s="382" customFormat="1" ht="15">
      <c r="A21" s="418" t="s">
        <v>119</v>
      </c>
      <c r="B21" s="402" t="s">
        <v>3324</v>
      </c>
      <c r="C21" s="402"/>
      <c r="D21" s="848">
        <f>'Existing Debt-OldLaw'!M47</f>
        <v>0</v>
      </c>
    </row>
    <row r="22" spans="1:4" s="382" customFormat="1" ht="15">
      <c r="A22" s="396"/>
      <c r="B22" s="404" t="s">
        <v>2869</v>
      </c>
      <c r="C22" s="404"/>
      <c r="D22" s="849"/>
    </row>
    <row r="23" spans="1:4" s="382" customFormat="1" ht="15">
      <c r="A23" s="385" t="s">
        <v>120</v>
      </c>
      <c r="B23" s="386" t="str">
        <f>CONCATENATE("2020-21 Rate Needed for All Eligible Debt ((Line 5 - Line 6) / ",Weights!L50," / Line 7 / 100)")</f>
        <v>2020-21 Rate Needed for All Eligible Debt ((Line 5 - Line 6) / 37 / Line 7 / 100)</v>
      </c>
      <c r="C23" s="386"/>
      <c r="D23" s="850">
        <f>'Existing Debt-OldLaw'!M51</f>
        <v>0</v>
      </c>
    </row>
    <row r="24" spans="1:4" s="382" customFormat="1" ht="15">
      <c r="A24" s="385" t="s">
        <v>121</v>
      </c>
      <c r="B24" s="386" t="s">
        <v>3943</v>
      </c>
      <c r="C24" s="386"/>
      <c r="D24" s="850">
        <f>'Existing Debt-OldLaw'!M55</f>
        <v>0</v>
      </c>
    </row>
    <row r="25" spans="1:4" s="382" customFormat="1" ht="15">
      <c r="A25" s="385" t="s">
        <v>1513</v>
      </c>
      <c r="B25" s="386" t="str">
        <f>CONCATENATE("State/Local Share of EDA ($",Weights!K50," * Line 7 * Line 12 * 100)")</f>
        <v>State/Local Share of EDA ($37 * Line 7 * Line 12 * 100)</v>
      </c>
      <c r="C25" s="386"/>
      <c r="D25" s="478">
        <f>'Existing Debt-OldLaw'!M59</f>
        <v>0</v>
      </c>
    </row>
    <row r="26" spans="1:4" s="382" customFormat="1" ht="15">
      <c r="A26" s="385" t="s">
        <v>6</v>
      </c>
      <c r="B26" s="386" t="s">
        <v>2870</v>
      </c>
      <c r="C26" s="386"/>
      <c r="D26" s="478">
        <f>'Existing Debt-OldLaw'!M61</f>
        <v>0</v>
      </c>
    </row>
    <row r="27" spans="1:4" s="382" customFormat="1" ht="15">
      <c r="A27" s="385" t="s">
        <v>2232</v>
      </c>
      <c r="B27" s="386" t="s">
        <v>2871</v>
      </c>
      <c r="C27" s="386"/>
      <c r="D27" s="478">
        <f>'Existing Debt-OldLaw'!M70</f>
        <v>0</v>
      </c>
    </row>
    <row r="28" spans="1:4" s="382" customFormat="1" ht="15.75">
      <c r="A28" s="385" t="s">
        <v>2233</v>
      </c>
      <c r="B28" s="384" t="s">
        <v>2872</v>
      </c>
      <c r="C28" s="386"/>
      <c r="D28" s="395">
        <f>'Existing Debt-OldLaw'!M74</f>
        <v>0</v>
      </c>
    </row>
    <row r="29" spans="1:4" s="382" customFormat="1" ht="15.75">
      <c r="B29" s="477" t="s">
        <v>2978</v>
      </c>
      <c r="D29" s="476" t="s">
        <v>3984</v>
      </c>
    </row>
    <row r="30" spans="1:4" s="382" customFormat="1" ht="15"/>
    <row r="31" spans="1:4" s="382" customFormat="1" ht="15"/>
    <row r="32" spans="1:4" s="382" customFormat="1" ht="15.75">
      <c r="B32" s="325" t="s">
        <v>2939</v>
      </c>
    </row>
    <row r="33" spans="2:4" s="382" customFormat="1" ht="15.75">
      <c r="B33" s="325" t="s">
        <v>3115</v>
      </c>
    </row>
    <row r="34" spans="2:4" s="382" customFormat="1" ht="15.75">
      <c r="B34" s="565" t="s">
        <v>3112</v>
      </c>
    </row>
    <row r="35" spans="2:4" s="382" customFormat="1" ht="15.75">
      <c r="B35" s="565"/>
    </row>
    <row r="36" spans="2:4" s="382" customFormat="1" ht="15.75">
      <c r="B36" s="325" t="s">
        <v>8266</v>
      </c>
    </row>
    <row r="37" spans="2:4" s="382" customFormat="1" ht="15.75">
      <c r="B37" s="565" t="s">
        <v>8267</v>
      </c>
    </row>
    <row r="38" spans="2:4" s="382" customFormat="1" ht="15.75">
      <c r="B38" s="565" t="s">
        <v>8268</v>
      </c>
    </row>
    <row r="39" spans="2:4" s="382" customFormat="1" ht="15.75">
      <c r="B39" s="325" t="s">
        <v>8269</v>
      </c>
    </row>
    <row r="40" spans="2:4" s="382" customFormat="1" ht="15.75">
      <c r="B40" s="325"/>
    </row>
    <row r="41" spans="2:4" s="382" customFormat="1" ht="15.75">
      <c r="B41" s="473" t="s">
        <v>6377</v>
      </c>
      <c r="D41" s="833">
        <f>IF(ISNA('DE1'!E65),0,'DE1'!E65)</f>
        <v>0</v>
      </c>
    </row>
    <row r="42" spans="2:4" ht="15.75">
      <c r="B42" s="325"/>
      <c r="C42" s="382"/>
      <c r="D42" s="382"/>
    </row>
    <row r="43" spans="2:4" ht="15.75">
      <c r="B43" s="325" t="s">
        <v>6367</v>
      </c>
      <c r="C43" s="382"/>
      <c r="D43" s="382"/>
    </row>
    <row r="44" spans="2:4" ht="15.75">
      <c r="B44" s="565" t="s">
        <v>6567</v>
      </c>
      <c r="C44" s="382"/>
      <c r="D44" s="382"/>
    </row>
    <row r="45" spans="2:4" ht="15.75">
      <c r="B45" s="325" t="s">
        <v>8265</v>
      </c>
    </row>
  </sheetData>
  <hyperlinks>
    <hyperlink ref="D29"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5703125" customWidth="1"/>
    <col min="4" max="5" width="22.5703125" customWidth="1"/>
  </cols>
  <sheetData>
    <row r="1" spans="1:5">
      <c r="A1" s="380" t="s">
        <v>2992</v>
      </c>
      <c r="E1" s="754" t="str">
        <f>'Report-EDA1920'!D1</f>
        <v>Release 10</v>
      </c>
    </row>
    <row r="2" spans="1:5">
      <c r="A2" s="380" t="s">
        <v>2865</v>
      </c>
      <c r="E2" s="72">
        <f>'Report-EDA1920'!D2</f>
        <v>43724</v>
      </c>
    </row>
    <row r="3" spans="1:5">
      <c r="A3" s="64"/>
      <c r="E3" s="58">
        <f>'Report-EDA1920'!D3</f>
        <v>0</v>
      </c>
    </row>
    <row r="4" spans="1:5" ht="15.75">
      <c r="A4" s="381" t="s">
        <v>3944</v>
      </c>
    </row>
    <row r="5" spans="1:5" ht="15.75">
      <c r="A5" s="383">
        <f>'Data Entry - SOF'!B1</f>
        <v>0</v>
      </c>
    </row>
    <row r="6" spans="1:5" ht="15.75">
      <c r="A6" s="381">
        <f>'Data Entry - SOF'!B2</f>
        <v>0</v>
      </c>
    </row>
    <row r="9" spans="1:5" s="266" customFormat="1" ht="18">
      <c r="A9" s="564" t="s">
        <v>3111</v>
      </c>
      <c r="B9" s="558"/>
      <c r="C9" s="558"/>
      <c r="D9" s="532" t="s">
        <v>2964</v>
      </c>
      <c r="E9" s="593" t="s">
        <v>2964</v>
      </c>
    </row>
    <row r="10" spans="1:5" s="382" customFormat="1" ht="18">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'IFA-OldLaw'!T58</f>
        <v>400</v>
      </c>
      <c r="E12" s="391">
        <f>D12</f>
        <v>400</v>
      </c>
    </row>
    <row r="13" spans="1:5" s="382" customFormat="1" ht="15">
      <c r="A13" s="385" t="s">
        <v>2188</v>
      </c>
      <c r="B13" s="386" t="s">
        <v>6619</v>
      </c>
      <c r="C13" s="386"/>
      <c r="D13" s="390">
        <f>'Report-EDA2021'!D18</f>
        <v>0</v>
      </c>
      <c r="E13" s="390">
        <f>D13</f>
        <v>0</v>
      </c>
    </row>
    <row r="14" spans="1:5" s="382" customFormat="1" ht="15">
      <c r="A14" s="385" t="s">
        <v>909</v>
      </c>
      <c r="B14" s="386" t="s">
        <v>2967</v>
      </c>
      <c r="C14" s="386"/>
      <c r="D14" s="390">
        <f>'IFA-OldLaw'!T65</f>
        <v>0</v>
      </c>
      <c r="E14" s="390">
        <f>'IFA-OldLaw'!U65</f>
        <v>0</v>
      </c>
    </row>
    <row r="15" spans="1:5" s="382" customFormat="1" ht="15">
      <c r="A15" s="385" t="s">
        <v>910</v>
      </c>
      <c r="B15" s="386" t="s">
        <v>2968</v>
      </c>
      <c r="C15" s="386"/>
      <c r="D15" s="469">
        <f>'IFA-OldLaw'!T67</f>
        <v>0</v>
      </c>
      <c r="E15" s="469">
        <f>'IFA-OldLaw'!U67</f>
        <v>0</v>
      </c>
    </row>
    <row r="16" spans="1:5" s="382" customFormat="1" ht="15">
      <c r="A16" s="385" t="s">
        <v>912</v>
      </c>
      <c r="B16" s="386" t="s">
        <v>2969</v>
      </c>
      <c r="C16" s="386"/>
      <c r="D16" s="469">
        <f>'IFA-OldLaw'!T69</f>
        <v>0</v>
      </c>
      <c r="E16" s="469">
        <f>'IFA-OldLaw'!U69</f>
        <v>0</v>
      </c>
    </row>
    <row r="17" spans="1:5" s="382" customFormat="1" ht="15">
      <c r="A17" s="385" t="s">
        <v>913</v>
      </c>
      <c r="B17" s="386" t="str">
        <f>CONCATENATE("State's Share of $",Weights!K49," per ADA Yield")</f>
        <v>State's Share of $35 per ADA Yield</v>
      </c>
      <c r="C17" s="386"/>
      <c r="D17" s="390">
        <f>'IFA-OldLaw'!T71</f>
        <v>35</v>
      </c>
      <c r="E17" s="390">
        <f>'IFA-OldLaw'!U71</f>
        <v>35</v>
      </c>
    </row>
    <row r="18" spans="1:5" s="382" customFormat="1" ht="15">
      <c r="A18" s="385" t="s">
        <v>914</v>
      </c>
      <c r="B18" s="386" t="s">
        <v>2970</v>
      </c>
      <c r="C18" s="386"/>
      <c r="D18" s="470">
        <f>'IFA-OldLaw'!T73</f>
        <v>1</v>
      </c>
      <c r="E18" s="470">
        <f>'IFA-OldLaw'!U73</f>
        <v>1</v>
      </c>
    </row>
    <row r="19" spans="1:5" s="382" customFormat="1" ht="15">
      <c r="A19" s="385" t="s">
        <v>118</v>
      </c>
      <c r="B19" s="386" t="s">
        <v>2971</v>
      </c>
      <c r="C19" s="386"/>
      <c r="D19" s="390">
        <f>'IFA-OldLaw'!T75</f>
        <v>0</v>
      </c>
      <c r="E19" s="390">
        <f>'IFA-OldLaw'!U75</f>
        <v>0</v>
      </c>
    </row>
    <row r="20" spans="1:5" s="382" customFormat="1" ht="15">
      <c r="A20" s="385" t="s">
        <v>119</v>
      </c>
      <c r="B20" s="386" t="s">
        <v>2972</v>
      </c>
      <c r="C20" s="386"/>
      <c r="D20" s="390">
        <f>'IFA-OldLaw'!T79</f>
        <v>0</v>
      </c>
      <c r="E20" s="390">
        <f>'IFA-OldLaw'!U79</f>
        <v>0</v>
      </c>
    </row>
    <row r="21" spans="1:5" s="382" customFormat="1" ht="15.75">
      <c r="A21" s="385" t="s">
        <v>120</v>
      </c>
      <c r="B21" s="384" t="s">
        <v>2973</v>
      </c>
      <c r="C21" s="386"/>
      <c r="D21" s="390">
        <f>'IFA-OldLaw'!T86</f>
        <v>0</v>
      </c>
      <c r="E21" s="390">
        <f>'IFA-OldLaw'!U86</f>
        <v>0</v>
      </c>
    </row>
    <row r="22" spans="1:5" s="382" customFormat="1" ht="15.75">
      <c r="B22" s="477" t="s">
        <v>2978</v>
      </c>
      <c r="D22" s="476" t="s">
        <v>3984</v>
      </c>
    </row>
    <row r="23" spans="1:5" s="382" customFormat="1" ht="15"/>
    <row r="24" spans="1:5" s="382" customFormat="1" ht="15.75">
      <c r="B24" s="325" t="s">
        <v>2939</v>
      </c>
    </row>
    <row r="25" spans="1:5" s="382" customFormat="1" ht="15.75">
      <c r="B25" s="325" t="s">
        <v>8270</v>
      </c>
    </row>
    <row r="26" spans="1:5" s="382" customFormat="1" ht="15.75">
      <c r="B26" s="325" t="s">
        <v>8271</v>
      </c>
    </row>
    <row r="27" spans="1:5" s="382" customFormat="1" ht="15.75">
      <c r="B27" s="565" t="s">
        <v>8272</v>
      </c>
    </row>
    <row r="28" spans="1:5" s="382" customFormat="1" ht="15"/>
    <row r="29" spans="1:5" s="382" customFormat="1" ht="15.75">
      <c r="B29" s="325" t="s">
        <v>8273</v>
      </c>
    </row>
    <row r="30" spans="1:5" s="382" customFormat="1" ht="15.75">
      <c r="B30" s="565" t="s">
        <v>8274</v>
      </c>
    </row>
    <row r="31" spans="1:5" s="382" customFormat="1" ht="15.75">
      <c r="B31" s="325" t="s">
        <v>8275</v>
      </c>
    </row>
    <row r="32" spans="1:5" s="382" customFormat="1" ht="15.75">
      <c r="B32" s="473" t="s">
        <v>6377</v>
      </c>
      <c r="E32" s="833">
        <f>IF(ISNA('DE1'!E65),0,'DE1'!E65)</f>
        <v>0</v>
      </c>
    </row>
    <row r="33" spans="2:5" s="382" customFormat="1" ht="15.75">
      <c r="B33" s="325"/>
    </row>
    <row r="34" spans="2:5" s="382" customFormat="1" ht="15"/>
    <row r="35" spans="2:5" s="382" customFormat="1" ht="15.75">
      <c r="D35" s="482" t="s">
        <v>1718</v>
      </c>
      <c r="E35" s="482" t="s">
        <v>1719</v>
      </c>
    </row>
    <row r="36" spans="2:5" s="382" customFormat="1" ht="15.75">
      <c r="D36" s="482" t="s">
        <v>3044</v>
      </c>
      <c r="E36" s="482" t="s">
        <v>3044</v>
      </c>
    </row>
    <row r="37" spans="2:5" s="382" customFormat="1" ht="15.75">
      <c r="B37" s="1955" t="s">
        <v>2451</v>
      </c>
      <c r="C37" s="325"/>
      <c r="D37" s="1989">
        <f>IFA_Limits!J55</f>
        <v>0</v>
      </c>
      <c r="E37" s="1989">
        <f>IFA_Limits!J56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021'!A1" display="Report-SOF202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0" t="s">
        <v>3118</v>
      </c>
      <c r="E1" s="754" t="str">
        <f>'Report-IFA1920'!E1</f>
        <v>Release 10</v>
      </c>
    </row>
    <row r="2" spans="1:5">
      <c r="A2" s="380" t="s">
        <v>3119</v>
      </c>
      <c r="E2" s="72">
        <f>'Report-IFA1920'!E2</f>
        <v>43724</v>
      </c>
    </row>
    <row r="3" spans="1:5">
      <c r="A3" s="64"/>
      <c r="E3" s="58">
        <f>'Report-IFA1920'!E3</f>
        <v>0</v>
      </c>
    </row>
    <row r="4" spans="1:5" ht="15.75">
      <c r="A4" s="381" t="s">
        <v>3967</v>
      </c>
    </row>
    <row r="5" spans="1:5" ht="15.75">
      <c r="A5" s="383">
        <f>'Data Entry - SOF'!B1</f>
        <v>0</v>
      </c>
    </row>
    <row r="6" spans="1:5" ht="15.75">
      <c r="A6" s="381">
        <f>'Data Entry - SOF'!B2</f>
        <v>0</v>
      </c>
    </row>
    <row r="8" spans="1:5" ht="18">
      <c r="A8" s="591" t="s">
        <v>3121</v>
      </c>
      <c r="B8" s="535"/>
      <c r="C8" s="532" t="s">
        <v>2080</v>
      </c>
      <c r="D8" s="592"/>
      <c r="E8" s="593" t="s">
        <v>3123</v>
      </c>
    </row>
    <row r="9" spans="1:5" ht="18">
      <c r="A9" s="552" t="s">
        <v>3120</v>
      </c>
      <c r="B9" s="594"/>
      <c r="C9" s="533" t="s">
        <v>3122</v>
      </c>
      <c r="D9" s="595"/>
      <c r="E9" s="537" t="s">
        <v>3124</v>
      </c>
    </row>
    <row r="10" spans="1:5" ht="15.75">
      <c r="A10" s="596" t="s">
        <v>3129</v>
      </c>
      <c r="B10" s="597"/>
      <c r="C10" s="597"/>
      <c r="D10" s="597"/>
      <c r="E10" s="598"/>
    </row>
    <row r="11" spans="1:5" ht="15">
      <c r="A11" s="385" t="s">
        <v>2186</v>
      </c>
      <c r="B11" s="386" t="s">
        <v>3125</v>
      </c>
      <c r="C11" s="388">
        <f>'Data Entry - SOF'!M129</f>
        <v>0</v>
      </c>
      <c r="D11" s="386"/>
      <c r="E11" s="388" t="e">
        <f>'Report-SOF2021'!D65</f>
        <v>#DIV/0!</v>
      </c>
    </row>
    <row r="12" spans="1:5" ht="15">
      <c r="A12" s="385" t="s">
        <v>2187</v>
      </c>
      <c r="B12" s="386" t="s">
        <v>3126</v>
      </c>
      <c r="C12" s="388">
        <f>'Data Entry - SOF'!M130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8">
      <c r="A15" s="382"/>
      <c r="B15" s="599" t="s">
        <v>3130</v>
      </c>
      <c r="C15" s="492"/>
      <c r="D15" s="492"/>
      <c r="E15" s="602" t="e">
        <f>E13-C13</f>
        <v>#DIV/0!</v>
      </c>
    </row>
    <row r="16" spans="1:5" ht="15.75">
      <c r="A16" s="382"/>
      <c r="C16" s="477" t="s">
        <v>2978</v>
      </c>
      <c r="D16" s="382"/>
      <c r="E16" s="476" t="s">
        <v>3984</v>
      </c>
    </row>
    <row r="17" spans="1:5" ht="15.75">
      <c r="A17" s="382"/>
      <c r="C17" s="477"/>
      <c r="D17" s="382"/>
      <c r="E17" s="382"/>
    </row>
    <row r="18" spans="1:5" ht="15">
      <c r="A18" s="382"/>
      <c r="B18" s="382"/>
      <c r="C18" s="382"/>
      <c r="D18" s="382"/>
      <c r="E18" s="382"/>
    </row>
    <row r="19" spans="1:5" ht="15.75">
      <c r="A19" s="382"/>
      <c r="B19" s="325" t="s">
        <v>3128</v>
      </c>
      <c r="C19" s="382"/>
      <c r="D19" s="382"/>
      <c r="E19" s="382"/>
    </row>
    <row r="20" spans="1:5" ht="15.75">
      <c r="A20" s="382"/>
      <c r="B20" s="325" t="s">
        <v>3133</v>
      </c>
      <c r="C20" s="382"/>
      <c r="D20" s="382"/>
      <c r="E20" s="382"/>
    </row>
    <row r="21" spans="1:5" ht="15.75">
      <c r="A21" s="382"/>
      <c r="B21" s="325" t="s">
        <v>3134</v>
      </c>
      <c r="C21" s="382"/>
      <c r="D21" s="382"/>
    </row>
    <row r="22" spans="1:5" ht="15.75">
      <c r="A22" s="382"/>
      <c r="B22" s="325" t="s">
        <v>3135</v>
      </c>
    </row>
    <row r="23" spans="1:5" ht="15.75">
      <c r="A23" s="382"/>
      <c r="B23" s="325"/>
    </row>
    <row r="24" spans="1:5" ht="15.75">
      <c r="A24" s="382"/>
      <c r="B24" s="325" t="s">
        <v>3131</v>
      </c>
    </row>
    <row r="25" spans="1:5" ht="15.75">
      <c r="A25" s="382"/>
      <c r="B25" s="325" t="s">
        <v>3132</v>
      </c>
    </row>
    <row r="26" spans="1:5" ht="15">
      <c r="A26" s="382"/>
    </row>
    <row r="27" spans="1:5" ht="15">
      <c r="A27" s="382"/>
    </row>
    <row r="28" spans="1:5" ht="15">
      <c r="A28" s="382"/>
    </row>
    <row r="29" spans="1:5" ht="15">
      <c r="A29" s="382"/>
    </row>
    <row r="30" spans="1:5" ht="15">
      <c r="A30" s="382"/>
    </row>
  </sheetData>
  <sheetProtection sheet="1"/>
  <hyperlinks>
    <hyperlink ref="E16" location="'Report-SOF2021'!A1" display="Report-SOF202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AI13" zoomScale="90" zoomScaleNormal="90" workbookViewId="0">
      <selection activeCell="AI35" sqref="AI35"/>
    </sheetView>
  </sheetViews>
  <sheetFormatPr defaultRowHeight="12.75"/>
  <cols>
    <col min="2" max="2" width="49.5703125" customWidth="1"/>
    <col min="3" max="3" width="20.5703125" style="2058" hidden="1" customWidth="1"/>
    <col min="4" max="4" width="2.5703125" style="2058" hidden="1" customWidth="1"/>
    <col min="5" max="5" width="20.5703125" style="2058" hidden="1" customWidth="1"/>
    <col min="6" max="6" width="2.5703125" style="2058" hidden="1" customWidth="1"/>
    <col min="7" max="7" width="20.5703125" style="2058" hidden="1" customWidth="1"/>
    <col min="8" max="8" width="2.5703125" style="2058" hidden="1" customWidth="1"/>
    <col min="9" max="9" width="20.5703125" style="2058" hidden="1" customWidth="1"/>
    <col min="10" max="10" width="5.5703125" customWidth="1"/>
    <col min="11" max="11" width="20.5703125" style="35" hidden="1" customWidth="1"/>
    <col min="12" max="12" width="2.5703125" style="35" hidden="1" customWidth="1"/>
    <col min="13" max="13" width="20.5703125" style="35" hidden="1" customWidth="1"/>
    <col min="14" max="14" width="2.5703125" style="35" hidden="1" customWidth="1"/>
    <col min="15" max="15" width="20.5703125" style="35" hidden="1" customWidth="1"/>
    <col min="16" max="16" width="2.5703125" style="35" hidden="1" customWidth="1"/>
    <col min="17" max="17" width="20.5703125" style="35" hidden="1" customWidth="1"/>
    <col min="18" max="18" width="5.5703125" style="679" customWidth="1"/>
    <col min="19" max="19" width="20.5703125" style="679" customWidth="1"/>
    <col min="20" max="20" width="2.5703125" style="679" customWidth="1"/>
    <col min="21" max="21" width="20.5703125" style="679" customWidth="1"/>
    <col min="22" max="22" width="2.5703125" style="679" customWidth="1"/>
    <col min="23" max="23" width="20.5703125" style="679" customWidth="1"/>
    <col min="24" max="24" width="2.5703125" style="679" customWidth="1"/>
    <col min="25" max="25" width="20.5703125" style="679" customWidth="1"/>
    <col min="26" max="26" width="5.5703125" style="1817" customWidth="1"/>
    <col min="27" max="27" width="20.5703125" style="1817" customWidth="1"/>
    <col min="28" max="28" width="2.5703125" style="1817" customWidth="1"/>
    <col min="29" max="29" width="20.5703125" style="1817" customWidth="1"/>
    <col min="30" max="30" width="2.5703125" style="1817" customWidth="1"/>
    <col min="31" max="31" width="20.5703125" style="1817" customWidth="1"/>
    <col min="32" max="32" width="2.5703125" style="1817" customWidth="1"/>
    <col min="33" max="33" width="20.5703125" style="1817" customWidth="1"/>
    <col min="34" max="34" width="5.5703125" style="851" customWidth="1"/>
    <col min="35" max="35" width="20.5703125" style="851" customWidth="1"/>
    <col min="36" max="36" width="2.5703125" style="851" customWidth="1"/>
    <col min="37" max="37" width="20.5703125" style="851" customWidth="1"/>
    <col min="38" max="38" width="2.5703125" style="851" customWidth="1"/>
    <col min="39" max="39" width="20.5703125" style="851" customWidth="1"/>
    <col min="40" max="40" width="2.5703125" style="851" customWidth="1"/>
    <col min="41" max="41" width="20.5703125" style="851" customWidth="1"/>
    <col min="42" max="42" width="5.5703125" style="1872" customWidth="1"/>
    <col min="43" max="43" width="20.5703125" style="1872" customWidth="1"/>
    <col min="44" max="44" width="2.5703125" style="1872" customWidth="1"/>
    <col min="45" max="45" width="20.5703125" style="1872" customWidth="1"/>
    <col min="46" max="46" width="2.5703125" style="1872" customWidth="1"/>
    <col min="47" max="47" width="20.5703125" style="1872" customWidth="1"/>
    <col min="48" max="48" width="2.5703125" style="1872" customWidth="1"/>
    <col min="49" max="49" width="20.5703125" style="1872" customWidth="1"/>
    <col min="50" max="50" width="5.5703125" style="1474" customWidth="1"/>
    <col min="51" max="51" width="20.5703125" style="1474" customWidth="1"/>
    <col min="52" max="52" width="2.5703125" style="1474" customWidth="1"/>
    <col min="53" max="53" width="20.5703125" style="1474" customWidth="1"/>
    <col min="54" max="54" width="2.5703125" style="1474" customWidth="1"/>
    <col min="55" max="55" width="20.5703125" style="1474" customWidth="1"/>
    <col min="56" max="56" width="2.5703125" style="1474" customWidth="1"/>
    <col min="57" max="57" width="20.5703125" style="1474" customWidth="1"/>
    <col min="58" max="58" width="5.5703125" style="1908" customWidth="1"/>
    <col min="59" max="59" width="20.5703125" style="1908" customWidth="1"/>
    <col min="60" max="60" width="2.5703125" style="1908" customWidth="1"/>
    <col min="61" max="61" width="20.5703125" style="1908" customWidth="1"/>
    <col min="62" max="62" width="2.5703125" style="1908" customWidth="1"/>
    <col min="63" max="63" width="20.5703125" style="1908" customWidth="1"/>
    <col min="64" max="64" width="2.5703125" style="1908" customWidth="1"/>
    <col min="65" max="65" width="20.5703125" style="1908" customWidth="1"/>
    <col min="67" max="70" width="20.5703125" style="1797" hidden="1" customWidth="1"/>
    <col min="81" max="81" width="20.5703125" style="334" hidden="1" customWidth="1"/>
    <col min="82" max="82" width="2.5703125" style="334" hidden="1" customWidth="1"/>
    <col min="83" max="83" width="20.5703125" style="334" hidden="1" customWidth="1"/>
    <col min="84" max="84" width="2.5703125" style="334" hidden="1" customWidth="1"/>
    <col min="85" max="85" width="20.5703125" style="334" hidden="1" customWidth="1"/>
    <col min="86" max="86" width="2.5703125" style="334" hidden="1" customWidth="1"/>
    <col min="87" max="87" width="20.5703125" style="334" hidden="1" customWidth="1"/>
    <col min="88" max="88" width="5.5703125" style="120" hidden="1" customWidth="1"/>
    <col min="89" max="89" width="20.5703125" style="921" hidden="1" customWidth="1"/>
    <col min="90" max="90" width="2.5703125" style="921" hidden="1" customWidth="1"/>
    <col min="91" max="91" width="20.5703125" style="921" hidden="1" customWidth="1"/>
    <col min="92" max="92" width="2.5703125" style="921" hidden="1" customWidth="1"/>
    <col min="93" max="93" width="20.5703125" style="921" hidden="1" customWidth="1"/>
    <col min="94" max="94" width="2.5703125" style="921" hidden="1" customWidth="1"/>
    <col min="95" max="95" width="20.5703125" style="921" hidden="1" customWidth="1"/>
    <col min="96" max="96" width="5.5703125" style="922" hidden="1" customWidth="1"/>
    <col min="97" max="97" width="20.5703125" style="897" hidden="1" customWidth="1"/>
    <col min="98" max="98" width="2.5703125" style="897" hidden="1" customWidth="1"/>
    <col min="99" max="99" width="20.5703125" style="897" hidden="1" customWidth="1"/>
    <col min="100" max="100" width="2.5703125" style="897" hidden="1" customWidth="1"/>
    <col min="101" max="101" width="20.5703125" style="897" hidden="1" customWidth="1"/>
    <col min="102" max="102" width="2.5703125" style="897" hidden="1" customWidth="1"/>
    <col min="103" max="103" width="20.5703125" style="897" hidden="1" customWidth="1"/>
    <col min="104" max="104" width="5.5703125" style="898" hidden="1" customWidth="1"/>
    <col min="105" max="105" width="20.5703125" style="788" hidden="1" customWidth="1"/>
    <col min="106" max="106" width="2.5703125" style="788" hidden="1" customWidth="1"/>
    <col min="107" max="107" width="20.5703125" style="788" hidden="1" customWidth="1"/>
    <col min="108" max="108" width="2.5703125" style="788" hidden="1" customWidth="1"/>
    <col min="109" max="109" width="20.5703125" style="788" hidden="1" customWidth="1"/>
    <col min="110" max="110" width="2.5703125" style="788" hidden="1" customWidth="1"/>
    <col min="111" max="111" width="20.5703125" style="788" hidden="1" customWidth="1"/>
    <col min="112" max="112" width="5.5703125" style="606" hidden="1" customWidth="1"/>
    <col min="113" max="113" width="20.5703125" style="897" hidden="1" customWidth="1"/>
    <col min="114" max="114" width="2.5703125" style="897" hidden="1" customWidth="1"/>
    <col min="115" max="115" width="20.5703125" style="897" hidden="1" customWidth="1"/>
    <col min="116" max="116" width="2.5703125" style="897" hidden="1" customWidth="1"/>
    <col min="117" max="117" width="20.5703125" style="897" hidden="1" customWidth="1"/>
    <col min="118" max="118" width="2.5703125" style="897" hidden="1" customWidth="1"/>
    <col min="119" max="119" width="20.5703125" style="897" hidden="1" customWidth="1"/>
    <col min="120" max="120" width="5.5703125" style="898" hidden="1" customWidth="1"/>
    <col min="121" max="121" width="20.5703125" style="788" hidden="1" customWidth="1"/>
    <col min="122" max="122" width="2.5703125" style="788" hidden="1" customWidth="1"/>
    <col min="123" max="123" width="20.5703125" style="788" hidden="1" customWidth="1"/>
    <col min="124" max="124" width="2.5703125" style="788" hidden="1" customWidth="1"/>
    <col min="125" max="125" width="20.5703125" style="788" hidden="1" customWidth="1"/>
    <col min="126" max="126" width="2.5703125" style="788" hidden="1" customWidth="1"/>
    <col min="127" max="127" width="20.5703125" style="788" hidden="1" customWidth="1"/>
    <col min="128" max="128" width="5.5703125" style="606" hidden="1" customWidth="1"/>
    <col min="129" max="129" width="20.5703125" style="897" hidden="1" customWidth="1"/>
    <col min="130" max="130" width="2.5703125" style="897" hidden="1" customWidth="1"/>
    <col min="131" max="131" width="20.5703125" style="897" hidden="1" customWidth="1"/>
    <col min="132" max="132" width="2.5703125" style="897" hidden="1" customWidth="1"/>
    <col min="133" max="133" width="20.5703125" style="897" hidden="1" customWidth="1"/>
    <col min="134" max="134" width="2.5703125" style="897" hidden="1" customWidth="1"/>
    <col min="135" max="135" width="20.5703125" style="897" hidden="1" customWidth="1"/>
    <col min="136" max="136" width="5.5703125" style="898" hidden="1" customWidth="1"/>
    <col min="137" max="137" width="20.5703125" style="788" hidden="1" customWidth="1"/>
    <col min="138" max="138" width="2.5703125" style="788" hidden="1" customWidth="1"/>
    <col min="139" max="139" width="20.5703125" style="788" hidden="1" customWidth="1"/>
    <col min="140" max="140" width="2.5703125" style="788" hidden="1" customWidth="1"/>
    <col min="141" max="141" width="20.5703125" style="788" hidden="1" customWidth="1"/>
    <col min="142" max="142" width="2.5703125" style="788" hidden="1" customWidth="1"/>
    <col min="143" max="143" width="20.5703125" style="788" hidden="1" customWidth="1"/>
    <col min="144" max="144" width="5.5703125" style="606" hidden="1" customWidth="1"/>
    <col min="145" max="146" width="0" hidden="1" customWidth="1"/>
  </cols>
  <sheetData>
    <row r="1" spans="1:143">
      <c r="I1" s="2070"/>
      <c r="K1" s="1813" t="s">
        <v>8237</v>
      </c>
      <c r="L1" s="1813"/>
      <c r="M1" s="1813"/>
      <c r="N1" s="1813"/>
      <c r="O1" s="1813"/>
      <c r="P1" s="1813"/>
      <c r="Q1" s="1814"/>
      <c r="R1" s="1417"/>
      <c r="S1" s="1813" t="s">
        <v>8237</v>
      </c>
      <c r="T1" s="1813"/>
      <c r="U1" s="1813"/>
      <c r="V1" s="1813"/>
      <c r="W1" s="1813"/>
      <c r="X1" s="1813"/>
      <c r="Y1" s="1814"/>
      <c r="Z1" s="1417"/>
      <c r="AA1" s="1813" t="s">
        <v>8237</v>
      </c>
      <c r="AB1" s="1813"/>
      <c r="AC1" s="1813"/>
      <c r="AD1" s="1813"/>
      <c r="AE1" s="1813"/>
      <c r="AF1" s="1813"/>
      <c r="AG1" s="1814"/>
      <c r="AH1" s="1417"/>
      <c r="AI1" s="1813" t="s">
        <v>8237</v>
      </c>
      <c r="AJ1" s="1813"/>
      <c r="AK1" s="1813"/>
      <c r="AL1" s="1813"/>
      <c r="AM1" s="1813"/>
      <c r="AN1" s="1813"/>
      <c r="AO1" s="1814"/>
      <c r="AP1" s="1417"/>
      <c r="AQ1" s="1813" t="s">
        <v>8237</v>
      </c>
      <c r="AR1" s="1813"/>
      <c r="AS1" s="1813"/>
      <c r="AT1" s="1813"/>
      <c r="AU1" s="1813"/>
      <c r="AV1" s="1813"/>
      <c r="AW1" s="1814"/>
      <c r="AX1" s="1417"/>
      <c r="AY1" s="1813" t="s">
        <v>8237</v>
      </c>
      <c r="AZ1" s="1813"/>
      <c r="BA1" s="1813"/>
      <c r="BB1" s="1813"/>
      <c r="BC1" s="1813"/>
      <c r="BD1" s="1813"/>
      <c r="BE1" s="1814"/>
      <c r="BF1" s="1417"/>
      <c r="BG1" s="1813" t="s">
        <v>8237</v>
      </c>
      <c r="BH1" s="1813"/>
      <c r="BI1" s="1813"/>
      <c r="BJ1" s="1813"/>
      <c r="BK1" s="1813"/>
      <c r="BL1" s="1813"/>
      <c r="BM1" s="1814"/>
    </row>
    <row r="2" spans="1:143">
      <c r="I2" s="2070"/>
      <c r="K2" s="1813" t="s">
        <v>8239</v>
      </c>
      <c r="L2" s="1813"/>
      <c r="M2" s="1813"/>
      <c r="N2" s="1813"/>
      <c r="O2" s="1813"/>
      <c r="P2" s="1813"/>
      <c r="Q2" s="1814"/>
      <c r="R2" s="1417"/>
      <c r="S2" s="1813" t="s">
        <v>8240</v>
      </c>
      <c r="T2" s="1813"/>
      <c r="U2" s="1813"/>
      <c r="V2" s="1813"/>
      <c r="W2" s="1813"/>
      <c r="X2" s="1813"/>
      <c r="Y2" s="1814"/>
      <c r="Z2" s="1417"/>
      <c r="AA2" s="1813" t="s">
        <v>8241</v>
      </c>
      <c r="AB2" s="1813"/>
      <c r="AC2" s="1813"/>
      <c r="AD2" s="1813"/>
      <c r="AE2" s="1813"/>
      <c r="AF2" s="1813"/>
      <c r="AG2" s="1814"/>
      <c r="AH2" s="1417"/>
      <c r="AI2" s="1813" t="s">
        <v>8242</v>
      </c>
      <c r="AJ2" s="1813"/>
      <c r="AK2" s="1813"/>
      <c r="AL2" s="1813"/>
      <c r="AM2" s="1813"/>
      <c r="AN2" s="1813"/>
      <c r="AO2" s="1814"/>
      <c r="AP2" s="1417"/>
      <c r="AQ2" s="1813" t="s">
        <v>8244</v>
      </c>
      <c r="AR2" s="1813"/>
      <c r="AS2" s="1813"/>
      <c r="AT2" s="1813"/>
      <c r="AU2" s="1813"/>
      <c r="AV2" s="1813"/>
      <c r="AW2" s="1814"/>
      <c r="AX2" s="1417"/>
      <c r="AY2" s="1813" t="s">
        <v>8243</v>
      </c>
      <c r="AZ2" s="1813"/>
      <c r="BA2" s="1813"/>
      <c r="BB2" s="1813"/>
      <c r="BC2" s="1813"/>
      <c r="BD2" s="1813"/>
      <c r="BE2" s="1814"/>
      <c r="BF2" s="1417"/>
      <c r="BG2" s="1813" t="s">
        <v>8245</v>
      </c>
      <c r="BH2" s="1813"/>
      <c r="BI2" s="1813"/>
      <c r="BJ2" s="1813"/>
      <c r="BK2" s="1813"/>
      <c r="BL2" s="1813"/>
      <c r="BM2" s="1814"/>
    </row>
    <row r="3" spans="1:143">
      <c r="I3" s="2070"/>
      <c r="K3" s="1813" t="s">
        <v>8238</v>
      </c>
      <c r="L3" s="1813"/>
      <c r="M3" s="1813"/>
      <c r="N3" s="1813"/>
      <c r="O3" s="1813"/>
      <c r="P3" s="1813"/>
      <c r="Q3" s="1814"/>
      <c r="R3" s="1417"/>
      <c r="S3" s="1813" t="s">
        <v>8238</v>
      </c>
      <c r="T3" s="1813"/>
      <c r="U3" s="1813"/>
      <c r="V3" s="1813"/>
      <c r="W3" s="1813"/>
      <c r="X3" s="1813"/>
      <c r="Y3" s="1814"/>
      <c r="Z3" s="1417"/>
      <c r="AA3" s="1813" t="s">
        <v>8238</v>
      </c>
      <c r="AB3" s="1813"/>
      <c r="AC3" s="1813"/>
      <c r="AD3" s="1813"/>
      <c r="AE3" s="1813"/>
      <c r="AF3" s="1813"/>
      <c r="AG3" s="1814"/>
      <c r="AH3" s="1417"/>
      <c r="AI3" s="1813" t="s">
        <v>8238</v>
      </c>
      <c r="AJ3" s="1813"/>
      <c r="AK3" s="1813"/>
      <c r="AL3" s="1813"/>
      <c r="AM3" s="1813"/>
      <c r="AN3" s="1813"/>
      <c r="AO3" s="1814"/>
      <c r="AP3" s="1417"/>
      <c r="AQ3" s="1813" t="s">
        <v>8238</v>
      </c>
      <c r="AR3" s="1813"/>
      <c r="AS3" s="1813"/>
      <c r="AT3" s="1813"/>
      <c r="AU3" s="1813"/>
      <c r="AV3" s="1813"/>
      <c r="AW3" s="1814"/>
      <c r="AX3" s="1417"/>
      <c r="AY3" s="1813" t="s">
        <v>8238</v>
      </c>
      <c r="AZ3" s="1813"/>
      <c r="BA3" s="1813"/>
      <c r="BB3" s="1813"/>
      <c r="BC3" s="1813"/>
      <c r="BD3" s="1813"/>
      <c r="BE3" s="1814"/>
      <c r="BF3" s="1417"/>
      <c r="BG3" s="1813" t="s">
        <v>8238</v>
      </c>
      <c r="BH3" s="1813"/>
      <c r="BI3" s="1813"/>
      <c r="BJ3" s="1813"/>
      <c r="BK3" s="1813"/>
      <c r="BL3" s="1813"/>
      <c r="BM3" s="1814"/>
    </row>
    <row r="4" spans="1:143">
      <c r="I4" s="2070"/>
      <c r="Q4" s="1616"/>
      <c r="Y4" s="1093"/>
      <c r="AG4" s="1818"/>
      <c r="AO4" s="1642"/>
      <c r="AW4" s="1873"/>
      <c r="BE4" s="1612"/>
      <c r="BM4" s="1909"/>
    </row>
    <row r="5" spans="1:143">
      <c r="I5" s="2070"/>
      <c r="Q5" s="1616"/>
      <c r="Y5" s="1093"/>
      <c r="AG5" s="1818"/>
      <c r="AO5" s="1642"/>
      <c r="AW5" s="1873"/>
      <c r="BE5" s="1612"/>
      <c r="BM5" s="1909"/>
    </row>
    <row r="6" spans="1:143">
      <c r="C6" s="2353" t="s">
        <v>3180</v>
      </c>
      <c r="D6" s="2353"/>
      <c r="E6" s="2353" t="s">
        <v>3180</v>
      </c>
      <c r="F6" s="2353"/>
      <c r="G6" s="2353" t="s">
        <v>3180</v>
      </c>
      <c r="H6" s="2353"/>
      <c r="I6" s="2354" t="s">
        <v>3180</v>
      </c>
      <c r="K6" s="54" t="s">
        <v>3180</v>
      </c>
      <c r="L6" s="54"/>
      <c r="M6" s="54" t="s">
        <v>3180</v>
      </c>
      <c r="N6" s="54"/>
      <c r="O6" s="54" t="s">
        <v>3180</v>
      </c>
      <c r="P6" s="54"/>
      <c r="Q6" s="1617" t="s">
        <v>3180</v>
      </c>
      <c r="S6" s="681" t="s">
        <v>3180</v>
      </c>
      <c r="T6" s="681"/>
      <c r="U6" s="681" t="s">
        <v>3180</v>
      </c>
      <c r="V6" s="681"/>
      <c r="W6" s="681" t="s">
        <v>3180</v>
      </c>
      <c r="X6" s="681"/>
      <c r="Y6" s="1094" t="s">
        <v>3180</v>
      </c>
      <c r="AA6" s="1819" t="s">
        <v>3180</v>
      </c>
      <c r="AB6" s="1819"/>
      <c r="AC6" s="1819" t="s">
        <v>3180</v>
      </c>
      <c r="AD6" s="1819"/>
      <c r="AE6" s="1819" t="s">
        <v>3180</v>
      </c>
      <c r="AF6" s="1819"/>
      <c r="AG6" s="1820" t="s">
        <v>3180</v>
      </c>
      <c r="AI6" s="852" t="s">
        <v>3180</v>
      </c>
      <c r="AJ6" s="852"/>
      <c r="AK6" s="852" t="s">
        <v>3180</v>
      </c>
      <c r="AL6" s="852"/>
      <c r="AM6" s="852" t="s">
        <v>3180</v>
      </c>
      <c r="AN6" s="852"/>
      <c r="AO6" s="1643" t="s">
        <v>3180</v>
      </c>
      <c r="AQ6" s="1874" t="s">
        <v>3180</v>
      </c>
      <c r="AR6" s="1874"/>
      <c r="AS6" s="1874" t="s">
        <v>3180</v>
      </c>
      <c r="AT6" s="1874"/>
      <c r="AU6" s="1874" t="s">
        <v>3180</v>
      </c>
      <c r="AV6" s="1874"/>
      <c r="AW6" s="1875" t="s">
        <v>3180</v>
      </c>
      <c r="AY6" s="1470" t="s">
        <v>3180</v>
      </c>
      <c r="AZ6" s="1470"/>
      <c r="BA6" s="1470" t="s">
        <v>3180</v>
      </c>
      <c r="BB6" s="1470"/>
      <c r="BC6" s="1470" t="s">
        <v>3180</v>
      </c>
      <c r="BD6" s="1470"/>
      <c r="BE6" s="1613" t="s">
        <v>3180</v>
      </c>
      <c r="BG6" s="1910" t="s">
        <v>3180</v>
      </c>
      <c r="BH6" s="1910"/>
      <c r="BI6" s="1910" t="s">
        <v>3180</v>
      </c>
      <c r="BJ6" s="1910"/>
      <c r="BK6" s="1910" t="s">
        <v>3180</v>
      </c>
      <c r="BL6" s="1910"/>
      <c r="BM6" s="1911" t="s">
        <v>3180</v>
      </c>
      <c r="BO6" s="2686" t="s">
        <v>8570</v>
      </c>
      <c r="BP6" s="2647"/>
      <c r="BQ6" s="2647"/>
      <c r="BR6" s="2646"/>
      <c r="CC6" s="875" t="s">
        <v>4014</v>
      </c>
      <c r="CD6" s="875"/>
      <c r="CE6" s="875" t="s">
        <v>4014</v>
      </c>
      <c r="CF6" s="875"/>
      <c r="CG6" s="875" t="s">
        <v>4014</v>
      </c>
      <c r="CH6" s="875"/>
      <c r="CI6" s="875" t="s">
        <v>4014</v>
      </c>
      <c r="CK6" s="875" t="s">
        <v>3182</v>
      </c>
      <c r="CL6" s="875"/>
      <c r="CM6" s="875" t="s">
        <v>3182</v>
      </c>
      <c r="CN6" s="875"/>
      <c r="CO6" s="875" t="s">
        <v>3182</v>
      </c>
      <c r="CP6" s="875"/>
      <c r="CQ6" s="875" t="s">
        <v>3182</v>
      </c>
      <c r="CS6" s="875" t="s">
        <v>4014</v>
      </c>
      <c r="CT6" s="875"/>
      <c r="CU6" s="875" t="s">
        <v>4014</v>
      </c>
      <c r="CV6" s="875"/>
      <c r="CW6" s="875" t="s">
        <v>4014</v>
      </c>
      <c r="CX6" s="875"/>
      <c r="CY6" s="875" t="s">
        <v>4014</v>
      </c>
      <c r="DA6" s="875" t="s">
        <v>3182</v>
      </c>
      <c r="DB6" s="875"/>
      <c r="DC6" s="875" t="s">
        <v>3182</v>
      </c>
      <c r="DD6" s="875"/>
      <c r="DE6" s="875" t="s">
        <v>3182</v>
      </c>
      <c r="DF6" s="875"/>
      <c r="DG6" s="875" t="s">
        <v>3182</v>
      </c>
      <c r="DI6" s="875" t="s">
        <v>4014</v>
      </c>
      <c r="DJ6" s="875"/>
      <c r="DK6" s="875" t="s">
        <v>4014</v>
      </c>
      <c r="DL6" s="875"/>
      <c r="DM6" s="875" t="s">
        <v>4014</v>
      </c>
      <c r="DN6" s="875"/>
      <c r="DO6" s="875" t="s">
        <v>4014</v>
      </c>
      <c r="DQ6" s="875" t="s">
        <v>3182</v>
      </c>
      <c r="DR6" s="875"/>
      <c r="DS6" s="875" t="s">
        <v>3182</v>
      </c>
      <c r="DT6" s="875"/>
      <c r="DU6" s="875" t="s">
        <v>3182</v>
      </c>
      <c r="DV6" s="875"/>
      <c r="DW6" s="875" t="s">
        <v>3182</v>
      </c>
      <c r="DY6" s="875" t="s">
        <v>4014</v>
      </c>
      <c r="DZ6" s="875"/>
      <c r="EA6" s="875" t="s">
        <v>4014</v>
      </c>
      <c r="EB6" s="875"/>
      <c r="EC6" s="875" t="s">
        <v>4014</v>
      </c>
      <c r="ED6" s="875"/>
      <c r="EE6" s="875" t="s">
        <v>4014</v>
      </c>
      <c r="EG6" s="878" t="s">
        <v>4014</v>
      </c>
      <c r="EH6" s="878"/>
      <c r="EI6" s="878" t="s">
        <v>4014</v>
      </c>
      <c r="EJ6" s="878"/>
      <c r="EK6" s="878" t="s">
        <v>4014</v>
      </c>
      <c r="EL6" s="878"/>
      <c r="EM6" s="878" t="s">
        <v>4014</v>
      </c>
    </row>
    <row r="7" spans="1:143">
      <c r="C7" s="2353" t="s">
        <v>3138</v>
      </c>
      <c r="D7" s="2353"/>
      <c r="E7" s="2353" t="s">
        <v>3138</v>
      </c>
      <c r="F7" s="2353"/>
      <c r="G7" s="2353" t="s">
        <v>3138</v>
      </c>
      <c r="H7" s="2353"/>
      <c r="I7" s="2354" t="s">
        <v>3138</v>
      </c>
      <c r="K7" s="54" t="s">
        <v>3144</v>
      </c>
      <c r="L7" s="54"/>
      <c r="M7" s="54" t="s">
        <v>3144</v>
      </c>
      <c r="N7" s="54"/>
      <c r="O7" s="54" t="s">
        <v>3144</v>
      </c>
      <c r="P7" s="54"/>
      <c r="Q7" s="1617" t="s">
        <v>3144</v>
      </c>
      <c r="S7" s="681" t="s">
        <v>3225</v>
      </c>
      <c r="T7" s="681"/>
      <c r="U7" s="681" t="s">
        <v>3225</v>
      </c>
      <c r="V7" s="681"/>
      <c r="W7" s="681" t="s">
        <v>3225</v>
      </c>
      <c r="X7" s="681"/>
      <c r="Y7" s="1094" t="s">
        <v>3225</v>
      </c>
      <c r="AA7" s="1819" t="s">
        <v>3284</v>
      </c>
      <c r="AB7" s="1819"/>
      <c r="AC7" s="1819" t="s">
        <v>3284</v>
      </c>
      <c r="AD7" s="1819"/>
      <c r="AE7" s="1819" t="s">
        <v>3284</v>
      </c>
      <c r="AF7" s="1819"/>
      <c r="AG7" s="1820" t="s">
        <v>3284</v>
      </c>
      <c r="AI7" s="852" t="s">
        <v>3922</v>
      </c>
      <c r="AJ7" s="852"/>
      <c r="AK7" s="852" t="s">
        <v>3922</v>
      </c>
      <c r="AL7" s="852"/>
      <c r="AM7" s="852" t="s">
        <v>3922</v>
      </c>
      <c r="AN7" s="852"/>
      <c r="AO7" s="1643" t="s">
        <v>3922</v>
      </c>
      <c r="AQ7" s="1874" t="s">
        <v>6374</v>
      </c>
      <c r="AR7" s="1874"/>
      <c r="AS7" s="1874" t="s">
        <v>6374</v>
      </c>
      <c r="AT7" s="1874"/>
      <c r="AU7" s="1874" t="s">
        <v>6374</v>
      </c>
      <c r="AV7" s="1874"/>
      <c r="AW7" s="1875" t="s">
        <v>6374</v>
      </c>
      <c r="AY7" s="1470" t="s">
        <v>6939</v>
      </c>
      <c r="AZ7" s="1470"/>
      <c r="BA7" s="1470" t="str">
        <f>AY7</f>
        <v>2022-23</v>
      </c>
      <c r="BB7" s="1470"/>
      <c r="BC7" s="1470" t="str">
        <f>BA7</f>
        <v>2022-23</v>
      </c>
      <c r="BD7" s="1470"/>
      <c r="BE7" s="1613" t="str">
        <f>BC7</f>
        <v>2022-23</v>
      </c>
      <c r="BG7" s="1910" t="s">
        <v>8157</v>
      </c>
      <c r="BH7" s="1910"/>
      <c r="BI7" s="1910" t="str">
        <f>BG7</f>
        <v>2023-24</v>
      </c>
      <c r="BJ7" s="1910"/>
      <c r="BK7" s="1910" t="str">
        <f>BI7</f>
        <v>2023-24</v>
      </c>
      <c r="BL7" s="1910"/>
      <c r="BM7" s="1911" t="str">
        <f>BK7</f>
        <v>2023-24</v>
      </c>
      <c r="BO7" s="2687" t="s">
        <v>8571</v>
      </c>
      <c r="BP7" s="2643"/>
      <c r="BQ7" s="2643"/>
      <c r="BR7" s="2652"/>
      <c r="CC7" s="343" t="s">
        <v>781</v>
      </c>
      <c r="CD7" s="343"/>
      <c r="CE7" s="343" t="s">
        <v>781</v>
      </c>
      <c r="CF7" s="343"/>
      <c r="CG7" s="343" t="s">
        <v>781</v>
      </c>
      <c r="CH7" s="343"/>
      <c r="CI7" s="343" t="s">
        <v>781</v>
      </c>
      <c r="CK7" s="923" t="s">
        <v>781</v>
      </c>
      <c r="CL7" s="923"/>
      <c r="CM7" s="923" t="s">
        <v>781</v>
      </c>
      <c r="CN7" s="923"/>
      <c r="CO7" s="923" t="s">
        <v>781</v>
      </c>
      <c r="CP7" s="923"/>
      <c r="CQ7" s="923" t="s">
        <v>781</v>
      </c>
      <c r="CS7" s="899" t="s">
        <v>3100</v>
      </c>
      <c r="CT7" s="899"/>
      <c r="CU7" s="899" t="s">
        <v>3100</v>
      </c>
      <c r="CV7" s="899"/>
      <c r="CW7" s="899" t="s">
        <v>3100</v>
      </c>
      <c r="CX7" s="899"/>
      <c r="CY7" s="899" t="s">
        <v>3100</v>
      </c>
      <c r="DA7" s="878" t="s">
        <v>3100</v>
      </c>
      <c r="DB7" s="878"/>
      <c r="DC7" s="878" t="s">
        <v>3100</v>
      </c>
      <c r="DD7" s="878"/>
      <c r="DE7" s="878" t="s">
        <v>3100</v>
      </c>
      <c r="DF7" s="878"/>
      <c r="DG7" s="878" t="s">
        <v>3100</v>
      </c>
      <c r="DI7" s="899" t="s">
        <v>3138</v>
      </c>
      <c r="DJ7" s="899"/>
      <c r="DK7" s="899" t="s">
        <v>3138</v>
      </c>
      <c r="DL7" s="899"/>
      <c r="DM7" s="899" t="s">
        <v>3138</v>
      </c>
      <c r="DN7" s="899"/>
      <c r="DO7" s="899" t="s">
        <v>3138</v>
      </c>
      <c r="DQ7" s="878" t="s">
        <v>3138</v>
      </c>
      <c r="DR7" s="878"/>
      <c r="DS7" s="878" t="s">
        <v>3138</v>
      </c>
      <c r="DT7" s="878"/>
      <c r="DU7" s="878" t="s">
        <v>3138</v>
      </c>
      <c r="DV7" s="878"/>
      <c r="DW7" s="878" t="s">
        <v>3138</v>
      </c>
      <c r="DY7" s="899" t="s">
        <v>3144</v>
      </c>
      <c r="DZ7" s="899"/>
      <c r="EA7" s="899" t="s">
        <v>3144</v>
      </c>
      <c r="EB7" s="899"/>
      <c r="EC7" s="899" t="s">
        <v>3144</v>
      </c>
      <c r="ED7" s="899"/>
      <c r="EE7" s="899" t="s">
        <v>3144</v>
      </c>
      <c r="EG7" s="878" t="s">
        <v>3225</v>
      </c>
      <c r="EH7" s="878"/>
      <c r="EI7" s="878" t="s">
        <v>3225</v>
      </c>
      <c r="EJ7" s="878"/>
      <c r="EK7" s="878" t="s">
        <v>3225</v>
      </c>
      <c r="EL7" s="878"/>
      <c r="EM7" s="878" t="s">
        <v>3225</v>
      </c>
    </row>
    <row r="8" spans="1:143">
      <c r="C8" s="2353" t="s">
        <v>2570</v>
      </c>
      <c r="D8" s="2353"/>
      <c r="E8" s="2353" t="s">
        <v>187</v>
      </c>
      <c r="F8" s="2353"/>
      <c r="G8" s="2353" t="s">
        <v>2570</v>
      </c>
      <c r="H8" s="2353"/>
      <c r="I8" s="2354" t="s">
        <v>187</v>
      </c>
      <c r="K8" s="54" t="s">
        <v>2570</v>
      </c>
      <c r="L8" s="54"/>
      <c r="M8" s="54" t="s">
        <v>187</v>
      </c>
      <c r="N8" s="54"/>
      <c r="O8" s="54" t="s">
        <v>2570</v>
      </c>
      <c r="P8" s="54"/>
      <c r="Q8" s="1617" t="s">
        <v>187</v>
      </c>
      <c r="S8" s="681" t="s">
        <v>2570</v>
      </c>
      <c r="T8" s="681"/>
      <c r="U8" s="681" t="s">
        <v>187</v>
      </c>
      <c r="V8" s="681"/>
      <c r="W8" s="681" t="s">
        <v>2570</v>
      </c>
      <c r="X8" s="681"/>
      <c r="Y8" s="1094" t="s">
        <v>187</v>
      </c>
      <c r="AA8" s="1819" t="s">
        <v>2570</v>
      </c>
      <c r="AB8" s="1819"/>
      <c r="AC8" s="1819" t="s">
        <v>187</v>
      </c>
      <c r="AD8" s="1819"/>
      <c r="AE8" s="1819" t="s">
        <v>2570</v>
      </c>
      <c r="AF8" s="1819"/>
      <c r="AG8" s="1820" t="s">
        <v>187</v>
      </c>
      <c r="AI8" s="852" t="s">
        <v>2570</v>
      </c>
      <c r="AJ8" s="852"/>
      <c r="AK8" s="852" t="s">
        <v>187</v>
      </c>
      <c r="AL8" s="852"/>
      <c r="AM8" s="852" t="s">
        <v>2570</v>
      </c>
      <c r="AN8" s="852"/>
      <c r="AO8" s="1643" t="s">
        <v>187</v>
      </c>
      <c r="AQ8" s="1874" t="s">
        <v>2570</v>
      </c>
      <c r="AR8" s="1874"/>
      <c r="AS8" s="1874" t="s">
        <v>187</v>
      </c>
      <c r="AT8" s="1874"/>
      <c r="AU8" s="1874" t="s">
        <v>2570</v>
      </c>
      <c r="AV8" s="1874"/>
      <c r="AW8" s="1875" t="s">
        <v>187</v>
      </c>
      <c r="AY8" s="1470" t="s">
        <v>2570</v>
      </c>
      <c r="AZ8" s="1470"/>
      <c r="BA8" s="1470" t="s">
        <v>187</v>
      </c>
      <c r="BB8" s="1470"/>
      <c r="BC8" s="1470" t="s">
        <v>2570</v>
      </c>
      <c r="BD8" s="1470"/>
      <c r="BE8" s="1613" t="s">
        <v>187</v>
      </c>
      <c r="BG8" s="1910" t="s">
        <v>2570</v>
      </c>
      <c r="BH8" s="1910"/>
      <c r="BI8" s="1910" t="s">
        <v>187</v>
      </c>
      <c r="BJ8" s="1910"/>
      <c r="BK8" s="1910" t="s">
        <v>2570</v>
      </c>
      <c r="BL8" s="1910"/>
      <c r="BM8" s="1911" t="s">
        <v>187</v>
      </c>
      <c r="BO8" s="2670"/>
      <c r="BP8" s="2670"/>
      <c r="BQ8" s="2670"/>
      <c r="BR8" s="2670"/>
      <c r="CC8" s="343" t="s">
        <v>2570</v>
      </c>
      <c r="CD8" s="343"/>
      <c r="CE8" s="343" t="s">
        <v>187</v>
      </c>
      <c r="CF8" s="343"/>
      <c r="CG8" s="343" t="s">
        <v>2570</v>
      </c>
      <c r="CH8" s="343"/>
      <c r="CI8" s="343" t="s">
        <v>187</v>
      </c>
      <c r="CK8" s="923" t="s">
        <v>2570</v>
      </c>
      <c r="CL8" s="923"/>
      <c r="CM8" s="923" t="s">
        <v>187</v>
      </c>
      <c r="CN8" s="923"/>
      <c r="CO8" s="923" t="s">
        <v>2570</v>
      </c>
      <c r="CP8" s="923"/>
      <c r="CQ8" s="923" t="s">
        <v>187</v>
      </c>
      <c r="CS8" s="899" t="s">
        <v>2570</v>
      </c>
      <c r="CT8" s="899"/>
      <c r="CU8" s="899" t="s">
        <v>187</v>
      </c>
      <c r="CV8" s="899"/>
      <c r="CW8" s="899" t="s">
        <v>2570</v>
      </c>
      <c r="CX8" s="899"/>
      <c r="CY8" s="899" t="s">
        <v>187</v>
      </c>
      <c r="DA8" s="878" t="s">
        <v>2570</v>
      </c>
      <c r="DB8" s="878"/>
      <c r="DC8" s="878" t="s">
        <v>187</v>
      </c>
      <c r="DD8" s="878"/>
      <c r="DE8" s="878" t="s">
        <v>2570</v>
      </c>
      <c r="DF8" s="878"/>
      <c r="DG8" s="878" t="s">
        <v>187</v>
      </c>
      <c r="DI8" s="899" t="s">
        <v>2570</v>
      </c>
      <c r="DJ8" s="899"/>
      <c r="DK8" s="899" t="s">
        <v>187</v>
      </c>
      <c r="DL8" s="899"/>
      <c r="DM8" s="899" t="s">
        <v>2570</v>
      </c>
      <c r="DN8" s="899"/>
      <c r="DO8" s="899" t="s">
        <v>187</v>
      </c>
      <c r="DQ8" s="878" t="s">
        <v>2570</v>
      </c>
      <c r="DR8" s="878"/>
      <c r="DS8" s="878" t="s">
        <v>187</v>
      </c>
      <c r="DT8" s="878"/>
      <c r="DU8" s="878" t="s">
        <v>2570</v>
      </c>
      <c r="DV8" s="878"/>
      <c r="DW8" s="878" t="s">
        <v>187</v>
      </c>
      <c r="DY8" s="899" t="s">
        <v>2570</v>
      </c>
      <c r="DZ8" s="899"/>
      <c r="EA8" s="899" t="s">
        <v>187</v>
      </c>
      <c r="EB8" s="899"/>
      <c r="EC8" s="899" t="s">
        <v>2570</v>
      </c>
      <c r="ED8" s="899"/>
      <c r="EE8" s="899" t="s">
        <v>187</v>
      </c>
      <c r="EG8" s="878" t="s">
        <v>2570</v>
      </c>
      <c r="EH8" s="878"/>
      <c r="EI8" s="878" t="s">
        <v>187</v>
      </c>
      <c r="EJ8" s="878"/>
      <c r="EK8" s="878" t="s">
        <v>2570</v>
      </c>
      <c r="EL8" s="878"/>
      <c r="EM8" s="878" t="s">
        <v>187</v>
      </c>
    </row>
    <row r="9" spans="1:143">
      <c r="C9" s="2355">
        <f>Assumptions!G92</f>
        <v>514000</v>
      </c>
      <c r="D9" s="2356"/>
      <c r="E9" s="2355">
        <f>C9</f>
        <v>514000</v>
      </c>
      <c r="F9" s="2356"/>
      <c r="G9" s="2355">
        <f>Assumptions!G93</f>
        <v>319500</v>
      </c>
      <c r="H9" s="2356"/>
      <c r="I9" s="2357">
        <f>G9</f>
        <v>319500</v>
      </c>
      <c r="K9" s="197">
        <f>Assumptions!G103</f>
        <v>514000</v>
      </c>
      <c r="L9" s="197"/>
      <c r="M9" s="197">
        <f>K9</f>
        <v>514000</v>
      </c>
      <c r="N9" s="197"/>
      <c r="O9" s="197">
        <f>Assumptions!G104</f>
        <v>319500</v>
      </c>
      <c r="P9" s="197"/>
      <c r="Q9" s="1618">
        <f>O9</f>
        <v>319500</v>
      </c>
      <c r="S9" s="682">
        <f>Assumptions!G112</f>
        <v>514000</v>
      </c>
      <c r="T9" s="683"/>
      <c r="U9" s="682">
        <f>S9</f>
        <v>514000</v>
      </c>
      <c r="V9" s="683"/>
      <c r="W9" s="682">
        <f>Assumptions!G113</f>
        <v>319500</v>
      </c>
      <c r="X9" s="683"/>
      <c r="Y9" s="1095">
        <f>W9</f>
        <v>319500</v>
      </c>
      <c r="AA9" s="1821">
        <f>Assumptions!G121</f>
        <v>514000</v>
      </c>
      <c r="AB9" s="1822"/>
      <c r="AC9" s="1821">
        <f>AA9</f>
        <v>514000</v>
      </c>
      <c r="AD9" s="1822"/>
      <c r="AE9" s="1821">
        <f>Assumptions!G122</f>
        <v>319500</v>
      </c>
      <c r="AF9" s="1822"/>
      <c r="AG9" s="1823">
        <f>AE9</f>
        <v>319500</v>
      </c>
      <c r="AI9" s="853">
        <f>Assumptions!G130</f>
        <v>514000</v>
      </c>
      <c r="AJ9" s="854"/>
      <c r="AK9" s="853">
        <f>AI9</f>
        <v>514000</v>
      </c>
      <c r="AL9" s="854"/>
      <c r="AM9" s="853">
        <f>Assumptions!G131</f>
        <v>319500</v>
      </c>
      <c r="AN9" s="854"/>
      <c r="AO9" s="1644">
        <f>AM9</f>
        <v>319500</v>
      </c>
      <c r="AQ9" s="1876">
        <f>Assumptions!G139</f>
        <v>514000</v>
      </c>
      <c r="AR9" s="1877"/>
      <c r="AS9" s="1876">
        <f>AQ9</f>
        <v>514000</v>
      </c>
      <c r="AT9" s="1877"/>
      <c r="AU9" s="1876">
        <f>Assumptions!G140</f>
        <v>319500</v>
      </c>
      <c r="AV9" s="1877"/>
      <c r="AW9" s="1878">
        <f>AU9</f>
        <v>319500</v>
      </c>
      <c r="AY9" s="1479">
        <f>Assumptions!G148</f>
        <v>514000</v>
      </c>
      <c r="AZ9" s="1479"/>
      <c r="BA9" s="1479">
        <f>AY9</f>
        <v>514000</v>
      </c>
      <c r="BB9" s="1479"/>
      <c r="BC9" s="1479">
        <f>Assumptions!G149</f>
        <v>319500</v>
      </c>
      <c r="BD9" s="1479"/>
      <c r="BE9" s="1614">
        <f>BC9</f>
        <v>319500</v>
      </c>
      <c r="BG9" s="1912">
        <f>Assumptions!G157</f>
        <v>514000</v>
      </c>
      <c r="BH9" s="1912"/>
      <c r="BI9" s="1912">
        <f>BG9</f>
        <v>514000</v>
      </c>
      <c r="BJ9" s="1912"/>
      <c r="BK9" s="1912">
        <f>Assumptions!G158</f>
        <v>319500</v>
      </c>
      <c r="BL9" s="1912"/>
      <c r="BM9" s="1913">
        <f>BK9</f>
        <v>319500</v>
      </c>
      <c r="BO9" s="2671" t="s">
        <v>8572</v>
      </c>
      <c r="BP9" s="2671" t="s">
        <v>8572</v>
      </c>
      <c r="BQ9" s="2671" t="s">
        <v>8572</v>
      </c>
      <c r="BR9" s="2671" t="s">
        <v>8572</v>
      </c>
      <c r="CC9" s="344">
        <f>Assumptions!G30</f>
        <v>476500</v>
      </c>
      <c r="CD9" s="345"/>
      <c r="CE9" s="344">
        <f>CC9</f>
        <v>476500</v>
      </c>
      <c r="CF9" s="345"/>
      <c r="CG9" s="344">
        <f>Assumptions!G71</f>
        <v>319500</v>
      </c>
      <c r="CH9" s="345"/>
      <c r="CI9" s="344">
        <f>CG9</f>
        <v>319500</v>
      </c>
      <c r="CK9" s="924">
        <f>Assumptions!G40</f>
        <v>476500</v>
      </c>
      <c r="CL9" s="925"/>
      <c r="CM9" s="924">
        <f>CK9</f>
        <v>476500</v>
      </c>
      <c r="CN9" s="925"/>
      <c r="CO9" s="924">
        <f>Assumptions!G41</f>
        <v>319500</v>
      </c>
      <c r="CP9" s="925"/>
      <c r="CQ9" s="924">
        <f>CO9</f>
        <v>319500</v>
      </c>
      <c r="CS9" s="900">
        <f>Assumptions!G30</f>
        <v>476500</v>
      </c>
      <c r="CT9" s="901"/>
      <c r="CU9" s="900">
        <f>CS9</f>
        <v>476500</v>
      </c>
      <c r="CV9" s="901"/>
      <c r="CW9" s="900">
        <f>Assumptions!G41</f>
        <v>319500</v>
      </c>
      <c r="CX9" s="901"/>
      <c r="CY9" s="900">
        <f>CW9</f>
        <v>319500</v>
      </c>
      <c r="DA9" s="879">
        <f>Assumptions!G30</f>
        <v>476500</v>
      </c>
      <c r="DB9" s="880"/>
      <c r="DC9" s="879">
        <f>DA9</f>
        <v>476500</v>
      </c>
      <c r="DD9" s="880"/>
      <c r="DE9" s="879">
        <f>Assumptions!G41</f>
        <v>319500</v>
      </c>
      <c r="DF9" s="880"/>
      <c r="DG9" s="879">
        <f>DE9</f>
        <v>319500</v>
      </c>
      <c r="DI9" s="900">
        <f>Assumptions!G30</f>
        <v>476500</v>
      </c>
      <c r="DJ9" s="901"/>
      <c r="DK9" s="900">
        <f>DI9</f>
        <v>476500</v>
      </c>
      <c r="DL9" s="901"/>
      <c r="DM9" s="900">
        <f>Assumptions!G41</f>
        <v>319500</v>
      </c>
      <c r="DN9" s="901"/>
      <c r="DO9" s="900">
        <f>DM9</f>
        <v>319500</v>
      </c>
      <c r="DQ9" s="879">
        <f>Assumptions!G30</f>
        <v>476500</v>
      </c>
      <c r="DR9" s="880"/>
      <c r="DS9" s="879">
        <f>DQ9</f>
        <v>476500</v>
      </c>
      <c r="DT9" s="880"/>
      <c r="DU9" s="879">
        <f>Assumptions!G41</f>
        <v>319500</v>
      </c>
      <c r="DV9" s="880"/>
      <c r="DW9" s="879">
        <f>DU9</f>
        <v>319500</v>
      </c>
      <c r="DY9" s="900">
        <f>Assumptions!X30</f>
        <v>0</v>
      </c>
      <c r="DZ9" s="901"/>
      <c r="EA9" s="900">
        <f>DY9</f>
        <v>0</v>
      </c>
      <c r="EB9" s="901"/>
      <c r="EC9" s="900">
        <f>Assumptions!X41</f>
        <v>0</v>
      </c>
      <c r="ED9" s="901"/>
      <c r="EE9" s="900">
        <f>EC9</f>
        <v>0</v>
      </c>
      <c r="EG9" s="879">
        <f>Assumptions!AF30</f>
        <v>0</v>
      </c>
      <c r="EH9" s="880"/>
      <c r="EI9" s="879">
        <f>EG9</f>
        <v>0</v>
      </c>
      <c r="EJ9" s="880"/>
      <c r="EK9" s="879">
        <f>Assumptions!AF41</f>
        <v>0</v>
      </c>
      <c r="EL9" s="880"/>
      <c r="EM9" s="879">
        <f>EK9</f>
        <v>0</v>
      </c>
    </row>
    <row r="10" spans="1:143">
      <c r="I10" s="2070"/>
      <c r="K10" s="54"/>
      <c r="L10" s="54"/>
      <c r="M10" s="54"/>
      <c r="N10" s="54"/>
      <c r="O10" s="54"/>
      <c r="P10" s="54"/>
      <c r="Q10" s="1617"/>
      <c r="Y10" s="1093"/>
      <c r="AG10" s="1818"/>
      <c r="AO10" s="1642"/>
      <c r="AW10" s="1873"/>
      <c r="AY10" s="1479"/>
      <c r="AZ10" s="1479"/>
      <c r="BA10" s="1479"/>
      <c r="BB10" s="1479"/>
      <c r="BC10" s="1479"/>
      <c r="BD10" s="1479"/>
      <c r="BE10" s="1614"/>
      <c r="BG10" s="1912"/>
      <c r="BH10" s="1912"/>
      <c r="BI10" s="1912"/>
      <c r="BJ10" s="1912"/>
      <c r="BK10" s="1912"/>
      <c r="BL10" s="1912"/>
      <c r="BM10" s="1913"/>
      <c r="BO10" s="2673">
        <f>Assumptions!G121</f>
        <v>514000</v>
      </c>
      <c r="BP10" s="2673">
        <f>BO10</f>
        <v>514000</v>
      </c>
      <c r="BQ10" s="2673">
        <f>Assumptions!G122</f>
        <v>319500</v>
      </c>
      <c r="BR10" s="2673">
        <f>BQ10</f>
        <v>319500</v>
      </c>
    </row>
    <row r="11" spans="1:143">
      <c r="C11" s="2356"/>
      <c r="D11" s="2356"/>
      <c r="E11" s="2356"/>
      <c r="F11" s="2356"/>
      <c r="G11" s="2356"/>
      <c r="H11" s="2356"/>
      <c r="I11" s="2358"/>
      <c r="K11" s="54"/>
      <c r="L11" s="54"/>
      <c r="M11" s="54"/>
      <c r="N11" s="54"/>
      <c r="O11" s="54"/>
      <c r="P11" s="54"/>
      <c r="Q11" s="1617"/>
      <c r="S11" s="683"/>
      <c r="T11" s="683"/>
      <c r="U11" s="683"/>
      <c r="V11" s="683"/>
      <c r="W11" s="683"/>
      <c r="X11" s="683"/>
      <c r="Y11" s="1096"/>
      <c r="AA11" s="1822"/>
      <c r="AB11" s="1822"/>
      <c r="AC11" s="1822"/>
      <c r="AD11" s="1822"/>
      <c r="AE11" s="1822"/>
      <c r="AF11" s="1822"/>
      <c r="AG11" s="1824"/>
      <c r="AI11" s="854"/>
      <c r="AJ11" s="854"/>
      <c r="AK11" s="854"/>
      <c r="AL11" s="854"/>
      <c r="AM11" s="854"/>
      <c r="AN11" s="854"/>
      <c r="AO11" s="1645"/>
      <c r="AQ11" s="1877"/>
      <c r="AR11" s="1877"/>
      <c r="AS11" s="1877"/>
      <c r="AT11" s="1877"/>
      <c r="AU11" s="1877"/>
      <c r="AV11" s="1877"/>
      <c r="AW11" s="1879"/>
      <c r="AY11" s="1479"/>
      <c r="AZ11" s="1479"/>
      <c r="BA11" s="1479"/>
      <c r="BB11" s="1479"/>
      <c r="BC11" s="1479"/>
      <c r="BD11" s="1479"/>
      <c r="BE11" s="1614"/>
      <c r="BG11" s="1912"/>
      <c r="BH11" s="1912"/>
      <c r="BI11" s="1912"/>
      <c r="BJ11" s="1912"/>
      <c r="BK11" s="1912"/>
      <c r="BL11" s="1912"/>
      <c r="BM11" s="1913"/>
      <c r="BO11" s="2671"/>
      <c r="BP11" s="2671"/>
      <c r="BQ11" s="2671"/>
      <c r="BR11" s="2671"/>
      <c r="CC11" s="345"/>
      <c r="CD11" s="345"/>
      <c r="CE11" s="345"/>
      <c r="CF11" s="345"/>
      <c r="CG11" s="345"/>
      <c r="CH11" s="345"/>
      <c r="CI11" s="345"/>
      <c r="CK11" s="925"/>
      <c r="CL11" s="925"/>
      <c r="CM11" s="925"/>
      <c r="CN11" s="925"/>
      <c r="CO11" s="925"/>
      <c r="CP11" s="925"/>
      <c r="CQ11" s="925"/>
      <c r="CS11" s="901"/>
      <c r="CT11" s="901"/>
      <c r="CU11" s="901"/>
      <c r="CV11" s="901"/>
      <c r="CW11" s="901"/>
      <c r="CX11" s="901"/>
      <c r="CY11" s="901"/>
      <c r="DA11" s="880"/>
      <c r="DB11" s="880"/>
      <c r="DC11" s="880"/>
      <c r="DD11" s="880"/>
      <c r="DE11" s="880"/>
      <c r="DF11" s="880"/>
      <c r="DG11" s="880"/>
      <c r="DI11" s="901"/>
      <c r="DJ11" s="901"/>
      <c r="DK11" s="901"/>
      <c r="DL11" s="901"/>
      <c r="DM11" s="901"/>
      <c r="DN11" s="901"/>
      <c r="DO11" s="901"/>
      <c r="DQ11" s="880"/>
      <c r="DR11" s="880"/>
      <c r="DS11" s="880"/>
      <c r="DT11" s="880"/>
      <c r="DU11" s="880"/>
      <c r="DV11" s="880"/>
      <c r="DW11" s="880"/>
      <c r="DY11" s="901"/>
      <c r="DZ11" s="901"/>
      <c r="EA11" s="901"/>
      <c r="EB11" s="901"/>
      <c r="EC11" s="901"/>
      <c r="ED11" s="901"/>
      <c r="EE11" s="901"/>
      <c r="EG11" s="880"/>
      <c r="EH11" s="880"/>
      <c r="EI11" s="880"/>
      <c r="EJ11" s="880"/>
      <c r="EK11" s="880"/>
      <c r="EL11" s="880"/>
      <c r="EM11" s="880"/>
    </row>
    <row r="12" spans="1:143" ht="15.75">
      <c r="A12" s="30" t="s">
        <v>1475</v>
      </c>
      <c r="C12" s="2353" t="s">
        <v>2077</v>
      </c>
      <c r="E12" s="2353" t="s">
        <v>2077</v>
      </c>
      <c r="G12" s="2353" t="s">
        <v>2077</v>
      </c>
      <c r="I12" s="2354" t="s">
        <v>2077</v>
      </c>
      <c r="K12" s="54" t="s">
        <v>2077</v>
      </c>
      <c r="L12" s="54"/>
      <c r="M12" s="54" t="s">
        <v>2077</v>
      </c>
      <c r="N12" s="54"/>
      <c r="O12" s="54" t="s">
        <v>2077</v>
      </c>
      <c r="P12" s="54"/>
      <c r="Q12" s="1617" t="s">
        <v>2077</v>
      </c>
      <c r="S12" s="681" t="s">
        <v>2077</v>
      </c>
      <c r="U12" s="681" t="s">
        <v>2077</v>
      </c>
      <c r="W12" s="681" t="s">
        <v>2077</v>
      </c>
      <c r="Y12" s="1094" t="s">
        <v>2077</v>
      </c>
      <c r="AA12" s="1819" t="s">
        <v>2077</v>
      </c>
      <c r="AC12" s="1819" t="s">
        <v>2077</v>
      </c>
      <c r="AE12" s="1819" t="s">
        <v>2077</v>
      </c>
      <c r="AG12" s="1820" t="s">
        <v>2077</v>
      </c>
      <c r="AI12" s="852" t="s">
        <v>2077</v>
      </c>
      <c r="AK12" s="852" t="s">
        <v>2077</v>
      </c>
      <c r="AM12" s="852" t="s">
        <v>2077</v>
      </c>
      <c r="AO12" s="1643" t="s">
        <v>2077</v>
      </c>
      <c r="AQ12" s="1874" t="s">
        <v>2077</v>
      </c>
      <c r="AS12" s="1874" t="s">
        <v>2077</v>
      </c>
      <c r="AU12" s="1874" t="s">
        <v>2077</v>
      </c>
      <c r="AW12" s="1875" t="s">
        <v>2077</v>
      </c>
      <c r="AY12" s="1479" t="s">
        <v>2077</v>
      </c>
      <c r="AZ12" s="1479"/>
      <c r="BA12" s="1479" t="s">
        <v>2077</v>
      </c>
      <c r="BB12" s="1479"/>
      <c r="BC12" s="1479" t="s">
        <v>2077</v>
      </c>
      <c r="BD12" s="1479"/>
      <c r="BE12" s="1614" t="s">
        <v>2077</v>
      </c>
      <c r="BG12" s="1912" t="s">
        <v>2077</v>
      </c>
      <c r="BH12" s="1912"/>
      <c r="BI12" s="1912" t="s">
        <v>2077</v>
      </c>
      <c r="BJ12" s="1912"/>
      <c r="BK12" s="1912" t="s">
        <v>2077</v>
      </c>
      <c r="BL12" s="1912"/>
      <c r="BM12" s="1913" t="s">
        <v>2077</v>
      </c>
      <c r="BO12" s="2672" t="s">
        <v>3225</v>
      </c>
      <c r="BP12" s="2672" t="s">
        <v>3225</v>
      </c>
      <c r="BQ12" s="2672" t="s">
        <v>3225</v>
      </c>
      <c r="BR12" s="2672" t="s">
        <v>3225</v>
      </c>
      <c r="CC12" s="343" t="s">
        <v>2077</v>
      </c>
      <c r="CE12" s="343" t="s">
        <v>2077</v>
      </c>
      <c r="CG12" s="343" t="s">
        <v>2077</v>
      </c>
      <c r="CI12" s="343" t="s">
        <v>2077</v>
      </c>
      <c r="CK12" s="923" t="s">
        <v>2077</v>
      </c>
      <c r="CM12" s="923" t="s">
        <v>2077</v>
      </c>
      <c r="CO12" s="923" t="s">
        <v>2077</v>
      </c>
      <c r="CQ12" s="923" t="s">
        <v>2077</v>
      </c>
      <c r="CS12" s="899" t="s">
        <v>2077</v>
      </c>
      <c r="CU12" s="899" t="s">
        <v>2077</v>
      </c>
      <c r="CW12" s="899" t="s">
        <v>2077</v>
      </c>
      <c r="CY12" s="899" t="s">
        <v>2077</v>
      </c>
      <c r="DA12" s="878" t="s">
        <v>2077</v>
      </c>
      <c r="DC12" s="878" t="s">
        <v>2077</v>
      </c>
      <c r="DE12" s="878" t="s">
        <v>2077</v>
      </c>
      <c r="DG12" s="878" t="s">
        <v>2077</v>
      </c>
      <c r="DI12" s="899" t="s">
        <v>2077</v>
      </c>
      <c r="DK12" s="899" t="s">
        <v>2077</v>
      </c>
      <c r="DM12" s="899" t="s">
        <v>2077</v>
      </c>
      <c r="DO12" s="899" t="s">
        <v>2077</v>
      </c>
      <c r="DQ12" s="878" t="s">
        <v>2077</v>
      </c>
      <c r="DS12" s="878" t="s">
        <v>2077</v>
      </c>
      <c r="DU12" s="878" t="s">
        <v>2077</v>
      </c>
      <c r="DW12" s="878" t="s">
        <v>2077</v>
      </c>
      <c r="DY12" s="899" t="s">
        <v>2077</v>
      </c>
      <c r="EA12" s="899" t="s">
        <v>2077</v>
      </c>
      <c r="EC12" s="899" t="s">
        <v>2077</v>
      </c>
      <c r="EE12" s="899" t="s">
        <v>2077</v>
      </c>
      <c r="EG12" s="878" t="s">
        <v>2077</v>
      </c>
      <c r="EI12" s="878" t="s">
        <v>2077</v>
      </c>
      <c r="EK12" s="878" t="s">
        <v>2077</v>
      </c>
      <c r="EM12" s="878" t="s">
        <v>2077</v>
      </c>
    </row>
    <row r="13" spans="1:143">
      <c r="A13" t="s">
        <v>458</v>
      </c>
      <c r="C13" s="2081">
        <f>'Data Entry - SOF'!C174+'Data Entry - SOF'!C175</f>
        <v>0</v>
      </c>
      <c r="D13" s="2085"/>
      <c r="E13" s="2081">
        <f>C13</f>
        <v>0</v>
      </c>
      <c r="F13" s="2085"/>
      <c r="G13" s="2081">
        <f>E13</f>
        <v>0</v>
      </c>
      <c r="H13" s="2085"/>
      <c r="I13" s="2384">
        <f>G13</f>
        <v>0</v>
      </c>
      <c r="K13" s="1550">
        <f>'Data Entry - SOF'!E174+'Data Entry - SOF'!E175</f>
        <v>0</v>
      </c>
      <c r="L13" s="1551"/>
      <c r="M13" s="1550">
        <f>K13</f>
        <v>0</v>
      </c>
      <c r="N13" s="1551"/>
      <c r="O13" s="1550">
        <f>M13</f>
        <v>0</v>
      </c>
      <c r="P13" s="1551"/>
      <c r="Q13" s="1619">
        <f>O13</f>
        <v>0</v>
      </c>
      <c r="S13" s="684">
        <f>K13</f>
        <v>0</v>
      </c>
      <c r="T13" s="685"/>
      <c r="U13" s="684">
        <f>S13</f>
        <v>0</v>
      </c>
      <c r="V13" s="685"/>
      <c r="W13" s="684">
        <f>U13</f>
        <v>0</v>
      </c>
      <c r="X13" s="685"/>
      <c r="Y13" s="1627">
        <f>W13</f>
        <v>0</v>
      </c>
      <c r="AA13" s="1825">
        <f>S13</f>
        <v>0</v>
      </c>
      <c r="AB13" s="1826"/>
      <c r="AC13" s="1825">
        <f>AA13</f>
        <v>0</v>
      </c>
      <c r="AD13" s="1826"/>
      <c r="AE13" s="1825">
        <f>AC13</f>
        <v>0</v>
      </c>
      <c r="AF13" s="1826"/>
      <c r="AG13" s="1827">
        <f>AE13</f>
        <v>0</v>
      </c>
      <c r="AI13" s="855">
        <f>AA13</f>
        <v>0</v>
      </c>
      <c r="AJ13" s="856"/>
      <c r="AK13" s="855">
        <f>AI13</f>
        <v>0</v>
      </c>
      <c r="AL13" s="856"/>
      <c r="AM13" s="855">
        <f>AK13</f>
        <v>0</v>
      </c>
      <c r="AN13" s="856"/>
      <c r="AO13" s="1646">
        <f>AM13</f>
        <v>0</v>
      </c>
      <c r="AQ13" s="1880">
        <f>AI13</f>
        <v>0</v>
      </c>
      <c r="AR13" s="1881"/>
      <c r="AS13" s="1880">
        <f>AQ13</f>
        <v>0</v>
      </c>
      <c r="AT13" s="1881"/>
      <c r="AU13" s="1880">
        <f>AS13</f>
        <v>0</v>
      </c>
      <c r="AV13" s="1881"/>
      <c r="AW13" s="1882">
        <f>AU13</f>
        <v>0</v>
      </c>
      <c r="AY13" s="1515">
        <f>AQ13</f>
        <v>0</v>
      </c>
      <c r="AZ13" s="1516"/>
      <c r="BA13" s="1515">
        <f>AY13</f>
        <v>0</v>
      </c>
      <c r="BB13" s="1516"/>
      <c r="BC13" s="1515">
        <f>BA13</f>
        <v>0</v>
      </c>
      <c r="BD13" s="1516"/>
      <c r="BE13" s="1657">
        <f>BC13</f>
        <v>0</v>
      </c>
      <c r="BG13" s="1914">
        <f>AY13</f>
        <v>0</v>
      </c>
      <c r="BH13" s="1915"/>
      <c r="BI13" s="1914">
        <f>BG13</f>
        <v>0</v>
      </c>
      <c r="BJ13" s="1915"/>
      <c r="BK13" s="1914">
        <f>BI13</f>
        <v>0</v>
      </c>
      <c r="BL13" s="1915"/>
      <c r="BM13" s="1916">
        <f>BK13</f>
        <v>0</v>
      </c>
      <c r="BO13" s="1760">
        <f>BG13</f>
        <v>0</v>
      </c>
      <c r="BP13" s="1760">
        <f>BO13</f>
        <v>0</v>
      </c>
      <c r="BQ13" s="1760">
        <f>BP13</f>
        <v>0</v>
      </c>
      <c r="BR13" s="1760">
        <f>BQ13</f>
        <v>0</v>
      </c>
      <c r="CC13" s="346">
        <f>'Data Entry - SOF'!C174+'Data Entry - SOF'!C175</f>
        <v>0</v>
      </c>
      <c r="CD13" s="347"/>
      <c r="CE13" s="346">
        <f>CC13</f>
        <v>0</v>
      </c>
      <c r="CF13" s="347"/>
      <c r="CG13" s="346">
        <f>CE13</f>
        <v>0</v>
      </c>
      <c r="CH13" s="347"/>
      <c r="CI13" s="346">
        <f>CG13</f>
        <v>0</v>
      </c>
      <c r="CK13" s="926">
        <f>'Data Entry - SOF'!C174+'Data Entry - SOF'!C175</f>
        <v>0</v>
      </c>
      <c r="CL13" s="927"/>
      <c r="CM13" s="926">
        <f>CK13</f>
        <v>0</v>
      </c>
      <c r="CN13" s="927"/>
      <c r="CO13" s="926">
        <f>CM13</f>
        <v>0</v>
      </c>
      <c r="CP13" s="927"/>
      <c r="CQ13" s="926">
        <f>CO13</f>
        <v>0</v>
      </c>
      <c r="CS13" s="902">
        <f>'Data Entry - SOF'!C174+'Data Entry - SOF'!C175</f>
        <v>0</v>
      </c>
      <c r="CT13" s="903"/>
      <c r="CU13" s="902">
        <f>CS13</f>
        <v>0</v>
      </c>
      <c r="CV13" s="903"/>
      <c r="CW13" s="902">
        <f>CU13</f>
        <v>0</v>
      </c>
      <c r="CX13" s="903"/>
      <c r="CY13" s="902">
        <f>CW13</f>
        <v>0</v>
      </c>
      <c r="DA13" s="799">
        <f>'Data Entry - SOF'!C174+'Data Entry - SOF'!C175</f>
        <v>0</v>
      </c>
      <c r="DB13" s="881"/>
      <c r="DC13" s="799">
        <f>DA13</f>
        <v>0</v>
      </c>
      <c r="DD13" s="881"/>
      <c r="DE13" s="799">
        <f>DC13</f>
        <v>0</v>
      </c>
      <c r="DF13" s="881"/>
      <c r="DG13" s="799">
        <f>DE13</f>
        <v>0</v>
      </c>
      <c r="DI13" s="902">
        <f>'Data Entry - SOF'!C174+'Data Entry - SOF'!C175</f>
        <v>0</v>
      </c>
      <c r="DJ13" s="903"/>
      <c r="DK13" s="902">
        <f>DI13</f>
        <v>0</v>
      </c>
      <c r="DL13" s="903"/>
      <c r="DM13" s="902">
        <f>DK13</f>
        <v>0</v>
      </c>
      <c r="DN13" s="903"/>
      <c r="DO13" s="902">
        <f>DM13</f>
        <v>0</v>
      </c>
      <c r="DQ13" s="799">
        <f>'Data Entry - SOF'!C174+'Data Entry - SOF'!C175</f>
        <v>0</v>
      </c>
      <c r="DR13" s="881"/>
      <c r="DS13" s="799">
        <f>DQ13</f>
        <v>0</v>
      </c>
      <c r="DT13" s="881"/>
      <c r="DU13" s="799">
        <f>DS13</f>
        <v>0</v>
      </c>
      <c r="DV13" s="881"/>
      <c r="DW13" s="799">
        <f>DU13</f>
        <v>0</v>
      </c>
      <c r="DY13" s="902">
        <f>'Data Entry - SOF'!C174+'Data Entry - SOF'!C175</f>
        <v>0</v>
      </c>
      <c r="DZ13" s="903"/>
      <c r="EA13" s="902">
        <f>DY13</f>
        <v>0</v>
      </c>
      <c r="EB13" s="903"/>
      <c r="EC13" s="902">
        <f>EA13</f>
        <v>0</v>
      </c>
      <c r="ED13" s="903"/>
      <c r="EE13" s="902">
        <f>EC13</f>
        <v>0</v>
      </c>
      <c r="EG13" s="799">
        <f>'Data Entry - SOF'!C174+'Data Entry - SOF'!C175</f>
        <v>0</v>
      </c>
      <c r="EH13" s="881"/>
      <c r="EI13" s="799">
        <f>EG13</f>
        <v>0</v>
      </c>
      <c r="EJ13" s="881"/>
      <c r="EK13" s="799">
        <f>EI13</f>
        <v>0</v>
      </c>
      <c r="EL13" s="881"/>
      <c r="EM13" s="799">
        <f>EK13</f>
        <v>0</v>
      </c>
    </row>
    <row r="14" spans="1:143">
      <c r="A14" t="s">
        <v>459</v>
      </c>
      <c r="C14" s="2359">
        <f>'Data Entry - SOF'!C176</f>
        <v>0</v>
      </c>
      <c r="D14" s="2060"/>
      <c r="E14" s="2359">
        <f>C14</f>
        <v>0</v>
      </c>
      <c r="F14" s="2060"/>
      <c r="G14" s="2359">
        <f>E14</f>
        <v>0</v>
      </c>
      <c r="H14" s="2060"/>
      <c r="I14" s="2385">
        <f>G14</f>
        <v>0</v>
      </c>
      <c r="K14" s="1552">
        <f>'Data Entry - SOF'!E176</f>
        <v>0</v>
      </c>
      <c r="L14" s="305"/>
      <c r="M14" s="1552">
        <f>K14</f>
        <v>0</v>
      </c>
      <c r="N14" s="305"/>
      <c r="O14" s="1552">
        <f>M14</f>
        <v>0</v>
      </c>
      <c r="P14" s="305"/>
      <c r="Q14" s="1620">
        <f>O14</f>
        <v>0</v>
      </c>
      <c r="S14" s="686">
        <f>K14</f>
        <v>0</v>
      </c>
      <c r="T14" s="687"/>
      <c r="U14" s="686">
        <f>S14</f>
        <v>0</v>
      </c>
      <c r="V14" s="687"/>
      <c r="W14" s="686">
        <f>U14</f>
        <v>0</v>
      </c>
      <c r="X14" s="687"/>
      <c r="Y14" s="1628">
        <f>W14</f>
        <v>0</v>
      </c>
      <c r="AA14" s="1828">
        <f>S14</f>
        <v>0</v>
      </c>
      <c r="AB14" s="1829"/>
      <c r="AC14" s="1828">
        <f>AA14</f>
        <v>0</v>
      </c>
      <c r="AD14" s="1829"/>
      <c r="AE14" s="1828">
        <f>AC14</f>
        <v>0</v>
      </c>
      <c r="AF14" s="1829"/>
      <c r="AG14" s="1830">
        <f>AE14</f>
        <v>0</v>
      </c>
      <c r="AI14" s="857">
        <f>AA14</f>
        <v>0</v>
      </c>
      <c r="AJ14" s="858"/>
      <c r="AK14" s="857">
        <f>AI14</f>
        <v>0</v>
      </c>
      <c r="AL14" s="858"/>
      <c r="AM14" s="857">
        <f>AK14</f>
        <v>0</v>
      </c>
      <c r="AN14" s="858"/>
      <c r="AO14" s="1647">
        <f>AM14</f>
        <v>0</v>
      </c>
      <c r="AQ14" s="1883">
        <f>AI14</f>
        <v>0</v>
      </c>
      <c r="AR14" s="1884"/>
      <c r="AS14" s="1883">
        <f>AQ14</f>
        <v>0</v>
      </c>
      <c r="AT14" s="1884"/>
      <c r="AU14" s="1883">
        <f>AS14</f>
        <v>0</v>
      </c>
      <c r="AV14" s="1884"/>
      <c r="AW14" s="1885">
        <f>AU14</f>
        <v>0</v>
      </c>
      <c r="AY14" s="1527">
        <f>AQ14</f>
        <v>0</v>
      </c>
      <c r="AZ14" s="1528"/>
      <c r="BA14" s="1527">
        <f>AY14</f>
        <v>0</v>
      </c>
      <c r="BB14" s="1528"/>
      <c r="BC14" s="1527">
        <f>BA14</f>
        <v>0</v>
      </c>
      <c r="BD14" s="1528"/>
      <c r="BE14" s="1658">
        <f>BC14</f>
        <v>0</v>
      </c>
      <c r="BG14" s="1917">
        <f>AY14</f>
        <v>0</v>
      </c>
      <c r="BH14" s="1918"/>
      <c r="BI14" s="1917">
        <f>BG14</f>
        <v>0</v>
      </c>
      <c r="BJ14" s="1918"/>
      <c r="BK14" s="1917">
        <f>BI14</f>
        <v>0</v>
      </c>
      <c r="BL14" s="1918"/>
      <c r="BM14" s="1919">
        <f>BK14</f>
        <v>0</v>
      </c>
      <c r="BO14" s="1760">
        <f>BG14</f>
        <v>0</v>
      </c>
      <c r="BP14" s="2650">
        <f t="shared" ref="BP14:BP21" si="0">BO14</f>
        <v>0</v>
      </c>
      <c r="BQ14" s="2650">
        <f t="shared" ref="BQ14:BR21" si="1">BP14</f>
        <v>0</v>
      </c>
      <c r="BR14" s="2650">
        <f t="shared" si="1"/>
        <v>0</v>
      </c>
      <c r="CC14" s="348">
        <f>'Data Entry - SOF'!C176</f>
        <v>0</v>
      </c>
      <c r="CD14" s="349"/>
      <c r="CE14" s="348">
        <f>CC14</f>
        <v>0</v>
      </c>
      <c r="CF14" s="349"/>
      <c r="CG14" s="348">
        <f>CE14</f>
        <v>0</v>
      </c>
      <c r="CH14" s="349"/>
      <c r="CI14" s="348">
        <f>CG14</f>
        <v>0</v>
      </c>
      <c r="CK14" s="928">
        <f>'Data Entry - SOF'!C176</f>
        <v>0</v>
      </c>
      <c r="CL14" s="929"/>
      <c r="CM14" s="928">
        <f>CK14</f>
        <v>0</v>
      </c>
      <c r="CN14" s="929"/>
      <c r="CO14" s="928">
        <f>CM14</f>
        <v>0</v>
      </c>
      <c r="CP14" s="929"/>
      <c r="CQ14" s="928">
        <f>CO14</f>
        <v>0</v>
      </c>
      <c r="CS14" s="904">
        <f>'Data Entry - SOF'!C176</f>
        <v>0</v>
      </c>
      <c r="CT14" s="905"/>
      <c r="CU14" s="904">
        <f>CS14</f>
        <v>0</v>
      </c>
      <c r="CV14" s="905"/>
      <c r="CW14" s="904">
        <f>CU14</f>
        <v>0</v>
      </c>
      <c r="CX14" s="905"/>
      <c r="CY14" s="904">
        <f>CW14</f>
        <v>0</v>
      </c>
      <c r="DA14" s="882">
        <f>'Data Entry - SOF'!C176</f>
        <v>0</v>
      </c>
      <c r="DB14" s="883"/>
      <c r="DC14" s="882">
        <f>DA14</f>
        <v>0</v>
      </c>
      <c r="DD14" s="883"/>
      <c r="DE14" s="882">
        <f>DC14</f>
        <v>0</v>
      </c>
      <c r="DF14" s="883"/>
      <c r="DG14" s="882">
        <f>DE14</f>
        <v>0</v>
      </c>
      <c r="DI14" s="904">
        <f>'Data Entry - SOF'!C176</f>
        <v>0</v>
      </c>
      <c r="DJ14" s="905"/>
      <c r="DK14" s="904">
        <f>DI14</f>
        <v>0</v>
      </c>
      <c r="DL14" s="905"/>
      <c r="DM14" s="904">
        <f>DK14</f>
        <v>0</v>
      </c>
      <c r="DN14" s="905"/>
      <c r="DO14" s="904">
        <f>DM14</f>
        <v>0</v>
      </c>
      <c r="DQ14" s="882">
        <f>'Data Entry - SOF'!C176</f>
        <v>0</v>
      </c>
      <c r="DR14" s="883"/>
      <c r="DS14" s="882">
        <f>DQ14</f>
        <v>0</v>
      </c>
      <c r="DT14" s="883"/>
      <c r="DU14" s="882">
        <f>DS14</f>
        <v>0</v>
      </c>
      <c r="DV14" s="883"/>
      <c r="DW14" s="882">
        <f>DU14</f>
        <v>0</v>
      </c>
      <c r="DY14" s="904">
        <f>'Data Entry - SOF'!C176</f>
        <v>0</v>
      </c>
      <c r="DZ14" s="905"/>
      <c r="EA14" s="904">
        <f>DY14</f>
        <v>0</v>
      </c>
      <c r="EB14" s="905"/>
      <c r="EC14" s="904">
        <f>EA14</f>
        <v>0</v>
      </c>
      <c r="ED14" s="905"/>
      <c r="EE14" s="904">
        <f>EC14</f>
        <v>0</v>
      </c>
      <c r="EG14" s="882">
        <f>'Data Entry - SOF'!C176</f>
        <v>0</v>
      </c>
      <c r="EH14" s="883"/>
      <c r="EI14" s="882">
        <f>EG14</f>
        <v>0</v>
      </c>
      <c r="EJ14" s="883"/>
      <c r="EK14" s="882">
        <f>EI14</f>
        <v>0</v>
      </c>
      <c r="EL14" s="883"/>
      <c r="EM14" s="882">
        <f>EK14</f>
        <v>0</v>
      </c>
    </row>
    <row r="15" spans="1:143">
      <c r="A15" t="s">
        <v>516</v>
      </c>
      <c r="C15" s="2359" t="e">
        <f>'Ch41 Calc Data'!K17</f>
        <v>#REF!</v>
      </c>
      <c r="D15" s="2060"/>
      <c r="E15" s="2359" t="e">
        <f>C15</f>
        <v>#REF!</v>
      </c>
      <c r="F15" s="2060"/>
      <c r="G15" s="2359" t="e">
        <f>E15</f>
        <v>#REF!</v>
      </c>
      <c r="H15" s="2060"/>
      <c r="I15" s="2385" t="e">
        <f>G15</f>
        <v>#REF!</v>
      </c>
      <c r="K15" s="1552" t="e">
        <f>'Ch41 Calc Data'!L17</f>
        <v>#REF!</v>
      </c>
      <c r="L15" s="305"/>
      <c r="M15" s="1552" t="e">
        <f>K15</f>
        <v>#REF!</v>
      </c>
      <c r="N15" s="305"/>
      <c r="O15" s="1552" t="e">
        <f>M15</f>
        <v>#REF!</v>
      </c>
      <c r="P15" s="305"/>
      <c r="Q15" s="1620" t="e">
        <f>O15</f>
        <v>#REF!</v>
      </c>
      <c r="S15" s="686">
        <f>'Ch41 Calc Data'!M17</f>
        <v>0</v>
      </c>
      <c r="T15" s="687"/>
      <c r="U15" s="686">
        <f>S15</f>
        <v>0</v>
      </c>
      <c r="V15" s="687"/>
      <c r="W15" s="686">
        <f>U15</f>
        <v>0</v>
      </c>
      <c r="X15" s="687"/>
      <c r="Y15" s="1628">
        <f>W15</f>
        <v>0</v>
      </c>
      <c r="AA15" s="1828">
        <f>'Ch41 Calc Data'!N17</f>
        <v>0</v>
      </c>
      <c r="AB15" s="1829"/>
      <c r="AC15" s="1828">
        <f>AA15</f>
        <v>0</v>
      </c>
      <c r="AD15" s="1829"/>
      <c r="AE15" s="1828">
        <f>AC15</f>
        <v>0</v>
      </c>
      <c r="AF15" s="1829"/>
      <c r="AG15" s="1830">
        <f>AE15</f>
        <v>0</v>
      </c>
      <c r="AI15" s="857" t="e">
        <f>'Ch41 Calc Data'!O17</f>
        <v>#DIV/0!</v>
      </c>
      <c r="AJ15" s="858"/>
      <c r="AK15" s="857" t="e">
        <f>AI15</f>
        <v>#DIV/0!</v>
      </c>
      <c r="AL15" s="858"/>
      <c r="AM15" s="857" t="e">
        <f>AK15</f>
        <v>#DIV/0!</v>
      </c>
      <c r="AN15" s="858"/>
      <c r="AO15" s="1647" t="e">
        <f>AM15</f>
        <v>#DIV/0!</v>
      </c>
      <c r="AQ15" s="1883" t="e">
        <f>'Ch41 Calc Data'!P17</f>
        <v>#DIV/0!</v>
      </c>
      <c r="AR15" s="1884"/>
      <c r="AS15" s="1883" t="e">
        <f>AQ15</f>
        <v>#DIV/0!</v>
      </c>
      <c r="AT15" s="1884"/>
      <c r="AU15" s="1883" t="e">
        <f>AS15</f>
        <v>#DIV/0!</v>
      </c>
      <c r="AV15" s="1884"/>
      <c r="AW15" s="1885" t="e">
        <f>AU15</f>
        <v>#DIV/0!</v>
      </c>
      <c r="AY15" s="1527" t="e">
        <f>'Ch41 Calc Data'!Q17</f>
        <v>#DIV/0!</v>
      </c>
      <c r="AZ15" s="1528"/>
      <c r="BA15" s="1527" t="e">
        <f>AY15</f>
        <v>#DIV/0!</v>
      </c>
      <c r="BB15" s="1528"/>
      <c r="BC15" s="1527" t="e">
        <f>BA15</f>
        <v>#DIV/0!</v>
      </c>
      <c r="BD15" s="1528"/>
      <c r="BE15" s="1658" t="e">
        <f>BC15</f>
        <v>#DIV/0!</v>
      </c>
      <c r="BG15" s="1917" t="e">
        <f>'Ch41 Calc Data'!R17</f>
        <v>#DIV/0!</v>
      </c>
      <c r="BH15" s="1918"/>
      <c r="BI15" s="1917" t="e">
        <f>BG15</f>
        <v>#DIV/0!</v>
      </c>
      <c r="BJ15" s="1918"/>
      <c r="BK15" s="1917" t="e">
        <f>BI15</f>
        <v>#DIV/0!</v>
      </c>
      <c r="BL15" s="1918"/>
      <c r="BM15" s="1919" t="e">
        <f>BK15</f>
        <v>#DIV/0!</v>
      </c>
      <c r="BO15" s="2650" t="e">
        <f>'SOF1819-SB1'!P43</f>
        <v>#REF!</v>
      </c>
      <c r="BP15" s="2650" t="e">
        <f t="shared" si="0"/>
        <v>#REF!</v>
      </c>
      <c r="BQ15" s="2650" t="e">
        <f t="shared" si="1"/>
        <v>#REF!</v>
      </c>
      <c r="BR15" s="2650" t="e">
        <f t="shared" si="1"/>
        <v>#REF!</v>
      </c>
      <c r="CC15" s="348" t="e">
        <f>'Ch41 Calc Data'!AA17</f>
        <v>#REF!</v>
      </c>
      <c r="CD15" s="349"/>
      <c r="CE15" s="348" t="e">
        <f>CC15</f>
        <v>#REF!</v>
      </c>
      <c r="CF15" s="349"/>
      <c r="CG15" s="348" t="e">
        <f>CE15</f>
        <v>#REF!</v>
      </c>
      <c r="CH15" s="349"/>
      <c r="CI15" s="348" t="e">
        <f>CG15</f>
        <v>#REF!</v>
      </c>
      <c r="CK15" s="928" t="e">
        <f>'Ch41 Calc Data'!AB17</f>
        <v>#REF!</v>
      </c>
      <c r="CL15" s="929"/>
      <c r="CM15" s="928" t="e">
        <f>CK15</f>
        <v>#REF!</v>
      </c>
      <c r="CN15" s="929"/>
      <c r="CO15" s="928" t="e">
        <f>CM15</f>
        <v>#REF!</v>
      </c>
      <c r="CP15" s="929"/>
      <c r="CQ15" s="928" t="e">
        <f>CO15</f>
        <v>#REF!</v>
      </c>
      <c r="CS15" s="904" t="e">
        <f>'Ch41 Calc Data'!AC17</f>
        <v>#REF!</v>
      </c>
      <c r="CT15" s="905"/>
      <c r="CU15" s="904" t="e">
        <f>CS15</f>
        <v>#REF!</v>
      </c>
      <c r="CV15" s="905"/>
      <c r="CW15" s="904" t="e">
        <f>CU15</f>
        <v>#REF!</v>
      </c>
      <c r="CX15" s="905"/>
      <c r="CY15" s="904" t="e">
        <f>CW15</f>
        <v>#REF!</v>
      </c>
      <c r="DA15" s="882" t="e">
        <f>'Ch41 Calc Data'!AD17</f>
        <v>#REF!</v>
      </c>
      <c r="DB15" s="883"/>
      <c r="DC15" s="882" t="e">
        <f>DA15</f>
        <v>#REF!</v>
      </c>
      <c r="DD15" s="883"/>
      <c r="DE15" s="882" t="e">
        <f>DC15</f>
        <v>#REF!</v>
      </c>
      <c r="DF15" s="883"/>
      <c r="DG15" s="882" t="e">
        <f>DE15</f>
        <v>#REF!</v>
      </c>
      <c r="DI15" s="904" t="e">
        <f>'Ch41 Calc Data'!AE17</f>
        <v>#REF!</v>
      </c>
      <c r="DJ15" s="905"/>
      <c r="DK15" s="904" t="e">
        <f>DI15</f>
        <v>#REF!</v>
      </c>
      <c r="DL15" s="905"/>
      <c r="DM15" s="904" t="e">
        <f>DK15</f>
        <v>#REF!</v>
      </c>
      <c r="DN15" s="905"/>
      <c r="DO15" s="904" t="e">
        <f>DM15</f>
        <v>#REF!</v>
      </c>
      <c r="DQ15" s="882" t="e">
        <f>'Ch41 Calc Data'!AF17</f>
        <v>#REF!</v>
      </c>
      <c r="DR15" s="883"/>
      <c r="DS15" s="882" t="e">
        <f>DQ15</f>
        <v>#REF!</v>
      </c>
      <c r="DT15" s="883"/>
      <c r="DU15" s="882" t="e">
        <f>DS15</f>
        <v>#REF!</v>
      </c>
      <c r="DV15" s="883"/>
      <c r="DW15" s="882" t="e">
        <f>DU15</f>
        <v>#REF!</v>
      </c>
      <c r="DY15" s="904" t="e">
        <f>'Ch41 Calc Data'!AG17</f>
        <v>#REF!</v>
      </c>
      <c r="DZ15" s="905"/>
      <c r="EA15" s="904" t="e">
        <f>DY15</f>
        <v>#REF!</v>
      </c>
      <c r="EB15" s="905"/>
      <c r="EC15" s="904" t="e">
        <f>EA15</f>
        <v>#REF!</v>
      </c>
      <c r="ED15" s="905"/>
      <c r="EE15" s="904" t="e">
        <f>EC15</f>
        <v>#REF!</v>
      </c>
      <c r="EG15" s="882" t="e">
        <f>'Ch41 Calc Data'!AH17</f>
        <v>#REF!</v>
      </c>
      <c r="EH15" s="883"/>
      <c r="EI15" s="882" t="e">
        <f>EG15</f>
        <v>#REF!</v>
      </c>
      <c r="EJ15" s="883"/>
      <c r="EK15" s="882" t="e">
        <f>EI15</f>
        <v>#REF!</v>
      </c>
      <c r="EL15" s="883"/>
      <c r="EM15" s="882" t="e">
        <f>EK15</f>
        <v>#REF!</v>
      </c>
    </row>
    <row r="16" spans="1:143">
      <c r="A16" t="s">
        <v>517</v>
      </c>
      <c r="C16" s="2359">
        <f>IF(C14=0,0,C15/C14)</f>
        <v>0</v>
      </c>
      <c r="D16" s="2060"/>
      <c r="E16" s="2359">
        <f>IF(E14=0,0,E15/E14)</f>
        <v>0</v>
      </c>
      <c r="F16" s="2060"/>
      <c r="G16" s="2359">
        <f>IF(G14=0,0,G15/G14)</f>
        <v>0</v>
      </c>
      <c r="H16" s="2060"/>
      <c r="I16" s="2385">
        <f>IF(I14=0,0,I15/I14)</f>
        <v>0</v>
      </c>
      <c r="K16" s="1552">
        <f>IF(K14=0,0,K15/K14)</f>
        <v>0</v>
      </c>
      <c r="L16" s="305"/>
      <c r="M16" s="1552">
        <f>IF(M14=0,0,M15/M14)</f>
        <v>0</v>
      </c>
      <c r="N16" s="305"/>
      <c r="O16" s="1552">
        <f>IF(O14=0,0,O15/O14)</f>
        <v>0</v>
      </c>
      <c r="P16" s="305"/>
      <c r="Q16" s="1620">
        <f>IF(Q14=0,0,Q15/Q14)</f>
        <v>0</v>
      </c>
      <c r="S16" s="686">
        <f>IF(S14=0,0,S15/S14)</f>
        <v>0</v>
      </c>
      <c r="T16" s="687"/>
      <c r="U16" s="686">
        <f>IF(U14=0,0,U15/U14)</f>
        <v>0</v>
      </c>
      <c r="V16" s="687"/>
      <c r="W16" s="686">
        <f>IF(W14=0,0,W15/W14)</f>
        <v>0</v>
      </c>
      <c r="X16" s="687"/>
      <c r="Y16" s="1628">
        <f>IF(Y14=0,0,Y15/Y14)</f>
        <v>0</v>
      </c>
      <c r="AA16" s="1828">
        <f>IF(AA14=0,0,AA15/AA14)</f>
        <v>0</v>
      </c>
      <c r="AB16" s="1829"/>
      <c r="AC16" s="1828">
        <f>IF(AC14=0,0,AC15/AC14)</f>
        <v>0</v>
      </c>
      <c r="AD16" s="1829"/>
      <c r="AE16" s="1828">
        <f>IF(AE14=0,0,AE15/AE14)</f>
        <v>0</v>
      </c>
      <c r="AF16" s="1829"/>
      <c r="AG16" s="1830">
        <f>IF(AG14=0,0,AG15/AG14)</f>
        <v>0</v>
      </c>
      <c r="AI16" s="857">
        <f>IF(AI14=0,0,AI15/AI14)</f>
        <v>0</v>
      </c>
      <c r="AJ16" s="858"/>
      <c r="AK16" s="857">
        <f>IF(AK14=0,0,AK15/AK14)</f>
        <v>0</v>
      </c>
      <c r="AL16" s="858"/>
      <c r="AM16" s="857">
        <f>IF(AM14=0,0,AM15/AM14)</f>
        <v>0</v>
      </c>
      <c r="AN16" s="858"/>
      <c r="AO16" s="1647">
        <f>IF(AO14=0,0,AO15/AO14)</f>
        <v>0</v>
      </c>
      <c r="AQ16" s="1883">
        <f>IF(AQ14=0,0,AQ15/AQ14)</f>
        <v>0</v>
      </c>
      <c r="AR16" s="1884"/>
      <c r="AS16" s="1883">
        <f>IF(AS14=0,0,AS15/AS14)</f>
        <v>0</v>
      </c>
      <c r="AT16" s="1884"/>
      <c r="AU16" s="1883">
        <f>IF(AU14=0,0,AU15/AU14)</f>
        <v>0</v>
      </c>
      <c r="AV16" s="1884"/>
      <c r="AW16" s="1885">
        <f>IF(AW14=0,0,AW15/AW14)</f>
        <v>0</v>
      </c>
      <c r="AY16" s="1527">
        <f>IF(AY14=0,0,AY15/AY14)</f>
        <v>0</v>
      </c>
      <c r="AZ16" s="1528"/>
      <c r="BA16" s="1527">
        <f>IF(BA14=0,0,BA15/BA14)</f>
        <v>0</v>
      </c>
      <c r="BB16" s="1528"/>
      <c r="BC16" s="1527">
        <f>IF(BC14=0,0,BC15/BC14)</f>
        <v>0</v>
      </c>
      <c r="BD16" s="1528"/>
      <c r="BE16" s="1658">
        <f>IF(BE14=0,0,BE15/BE14)</f>
        <v>0</v>
      </c>
      <c r="BG16" s="1917">
        <f>IF(BG14=0,0,BG15/BG14)</f>
        <v>0</v>
      </c>
      <c r="BH16" s="1918"/>
      <c r="BI16" s="1917">
        <f>IF(BI14=0,0,BI15/BI14)</f>
        <v>0</v>
      </c>
      <c r="BJ16" s="1918"/>
      <c r="BK16" s="1917">
        <f>IF(BK14=0,0,BK15/BK14)</f>
        <v>0</v>
      </c>
      <c r="BL16" s="1918"/>
      <c r="BM16" s="1919">
        <f>IF(BM14=0,0,BM15/BM14)</f>
        <v>0</v>
      </c>
      <c r="BO16" s="2468">
        <f>IF(BO14=0,0,BO15/BO14)</f>
        <v>0</v>
      </c>
      <c r="BP16" s="2650">
        <f t="shared" si="0"/>
        <v>0</v>
      </c>
      <c r="BQ16" s="2650">
        <f t="shared" si="1"/>
        <v>0</v>
      </c>
      <c r="BR16" s="2650">
        <f t="shared" si="1"/>
        <v>0</v>
      </c>
      <c r="CC16" s="348">
        <f>IF(CC14=0,0,CC15/CC14)</f>
        <v>0</v>
      </c>
      <c r="CD16" s="349"/>
      <c r="CE16" s="348">
        <f>IF(CE14=0,0,CE15/CE14)</f>
        <v>0</v>
      </c>
      <c r="CF16" s="349"/>
      <c r="CG16" s="348">
        <f>IF(CG14=0,0,CG15/CG14)</f>
        <v>0</v>
      </c>
      <c r="CH16" s="349"/>
      <c r="CI16" s="348">
        <f>IF(CI14=0,0,CI15/CI14)</f>
        <v>0</v>
      </c>
      <c r="CK16" s="928">
        <f>IF(CK14=0,0,CK15/CK14)</f>
        <v>0</v>
      </c>
      <c r="CL16" s="929"/>
      <c r="CM16" s="928">
        <f>IF(CM14=0,0,CM15/CM14)</f>
        <v>0</v>
      </c>
      <c r="CN16" s="929"/>
      <c r="CO16" s="928">
        <f>IF(CO14=0,0,CO15/CO14)</f>
        <v>0</v>
      </c>
      <c r="CP16" s="929"/>
      <c r="CQ16" s="928">
        <f>IF(CQ14=0,0,CQ15/CQ14)</f>
        <v>0</v>
      </c>
      <c r="CS16" s="904">
        <f>IF(CS14=0,0,CS15/CS14)</f>
        <v>0</v>
      </c>
      <c r="CT16" s="905"/>
      <c r="CU16" s="904">
        <f>IF(CU14=0,0,CU15/CU14)</f>
        <v>0</v>
      </c>
      <c r="CV16" s="905"/>
      <c r="CW16" s="904">
        <f>IF(CW14=0,0,CW15/CW14)</f>
        <v>0</v>
      </c>
      <c r="CX16" s="905"/>
      <c r="CY16" s="904">
        <f>IF(CY14=0,0,CY15/CY14)</f>
        <v>0</v>
      </c>
      <c r="DA16" s="882">
        <f>IF(DA14=0,0,DA15/DA14)</f>
        <v>0</v>
      </c>
      <c r="DB16" s="883"/>
      <c r="DC16" s="882">
        <f>IF(DC14=0,0,DC15/DC14)</f>
        <v>0</v>
      </c>
      <c r="DD16" s="883"/>
      <c r="DE16" s="882">
        <f>IF(DE14=0,0,DE15/DE14)</f>
        <v>0</v>
      </c>
      <c r="DF16" s="883"/>
      <c r="DG16" s="882">
        <f>IF(DG14=0,0,DG15/DG14)</f>
        <v>0</v>
      </c>
      <c r="DI16" s="904">
        <f>IF(DI14=0,0,DI15/DI14)</f>
        <v>0</v>
      </c>
      <c r="DJ16" s="905"/>
      <c r="DK16" s="904">
        <f>IF(DK14=0,0,DK15/DK14)</f>
        <v>0</v>
      </c>
      <c r="DL16" s="905"/>
      <c r="DM16" s="904">
        <f>IF(DM14=0,0,DM15/DM14)</f>
        <v>0</v>
      </c>
      <c r="DN16" s="905"/>
      <c r="DO16" s="904">
        <f>IF(DO14=0,0,DO15/DO14)</f>
        <v>0</v>
      </c>
      <c r="DQ16" s="882">
        <f>IF(DQ14=0,0,DQ15/DQ14)</f>
        <v>0</v>
      </c>
      <c r="DR16" s="883"/>
      <c r="DS16" s="882">
        <f>IF(DS14=0,0,DS15/DS14)</f>
        <v>0</v>
      </c>
      <c r="DT16" s="883"/>
      <c r="DU16" s="882">
        <f>IF(DU14=0,0,DU15/DU14)</f>
        <v>0</v>
      </c>
      <c r="DV16" s="883"/>
      <c r="DW16" s="882">
        <f>IF(DW14=0,0,DW15/DW14)</f>
        <v>0</v>
      </c>
      <c r="DY16" s="904">
        <f>IF(DY14=0,0,DY15/DY14)</f>
        <v>0</v>
      </c>
      <c r="DZ16" s="905"/>
      <c r="EA16" s="904">
        <f>IF(EA14=0,0,EA15/EA14)</f>
        <v>0</v>
      </c>
      <c r="EB16" s="905"/>
      <c r="EC16" s="904">
        <f>IF(EC14=0,0,EC15/EC14)</f>
        <v>0</v>
      </c>
      <c r="ED16" s="905"/>
      <c r="EE16" s="904">
        <f>IF(EE14=0,0,EE15/EE14)</f>
        <v>0</v>
      </c>
      <c r="EG16" s="882">
        <f>IF(EG14=0,0,EG15/EG14)</f>
        <v>0</v>
      </c>
      <c r="EH16" s="883"/>
      <c r="EI16" s="882">
        <f>IF(EI14=0,0,EI15/EI14)</f>
        <v>0</v>
      </c>
      <c r="EJ16" s="883"/>
      <c r="EK16" s="882">
        <f>IF(EK14=0,0,EK15/EK14)</f>
        <v>0</v>
      </c>
      <c r="EL16" s="883"/>
      <c r="EM16" s="882">
        <f>IF(EM14=0,0,EM15/EM14)</f>
        <v>0</v>
      </c>
    </row>
    <row r="17" spans="1:143">
      <c r="A17" t="s">
        <v>2163</v>
      </c>
      <c r="C17" s="2081">
        <f>C13*C16</f>
        <v>0</v>
      </c>
      <c r="D17" s="2085"/>
      <c r="E17" s="2081">
        <f>E13*E16</f>
        <v>0</v>
      </c>
      <c r="F17" s="2085"/>
      <c r="G17" s="2081">
        <f>G13*G16</f>
        <v>0</v>
      </c>
      <c r="H17" s="2085"/>
      <c r="I17" s="2384">
        <f>I13*I16</f>
        <v>0</v>
      </c>
      <c r="K17" s="1553">
        <f>K13*K16</f>
        <v>0</v>
      </c>
      <c r="L17" s="1554"/>
      <c r="M17" s="1553">
        <f>M13*M16</f>
        <v>0</v>
      </c>
      <c r="N17" s="1554"/>
      <c r="O17" s="1553">
        <f>O13*O16</f>
        <v>0</v>
      </c>
      <c r="P17" s="1554"/>
      <c r="Q17" s="1621">
        <f>Q13*Q16</f>
        <v>0</v>
      </c>
      <c r="S17" s="684">
        <f>S13*S16</f>
        <v>0</v>
      </c>
      <c r="T17" s="685"/>
      <c r="U17" s="684">
        <f>U13*U16</f>
        <v>0</v>
      </c>
      <c r="V17" s="685"/>
      <c r="W17" s="684">
        <f>W13*W16</f>
        <v>0</v>
      </c>
      <c r="X17" s="685"/>
      <c r="Y17" s="1627">
        <f>Y13*Y16</f>
        <v>0</v>
      </c>
      <c r="AA17" s="1825">
        <f>AA13*AA16</f>
        <v>0</v>
      </c>
      <c r="AB17" s="1826"/>
      <c r="AC17" s="1825">
        <f>AC13*AC16</f>
        <v>0</v>
      </c>
      <c r="AD17" s="1826"/>
      <c r="AE17" s="1825">
        <f>AE13*AE16</f>
        <v>0</v>
      </c>
      <c r="AF17" s="1826"/>
      <c r="AG17" s="1827">
        <f>AG13*AG16</f>
        <v>0</v>
      </c>
      <c r="AI17" s="855">
        <f>AI13*AI16</f>
        <v>0</v>
      </c>
      <c r="AJ17" s="856"/>
      <c r="AK17" s="855">
        <f>AK13*AK16</f>
        <v>0</v>
      </c>
      <c r="AL17" s="856"/>
      <c r="AM17" s="855">
        <f>AM13*AM16</f>
        <v>0</v>
      </c>
      <c r="AN17" s="856"/>
      <c r="AO17" s="1646">
        <f>AO13*AO16</f>
        <v>0</v>
      </c>
      <c r="AQ17" s="1880">
        <f>AQ13*AQ16</f>
        <v>0</v>
      </c>
      <c r="AR17" s="1881"/>
      <c r="AS17" s="1880">
        <f>AS13*AS16</f>
        <v>0</v>
      </c>
      <c r="AT17" s="1881"/>
      <c r="AU17" s="1880">
        <f>AU13*AU16</f>
        <v>0</v>
      </c>
      <c r="AV17" s="1881"/>
      <c r="AW17" s="1882">
        <f>AW13*AW16</f>
        <v>0</v>
      </c>
      <c r="AY17" s="1499">
        <f>AY13*AY16</f>
        <v>0</v>
      </c>
      <c r="AZ17" s="1500"/>
      <c r="BA17" s="1499">
        <f>BA13*BA16</f>
        <v>0</v>
      </c>
      <c r="BB17" s="1500"/>
      <c r="BC17" s="1499">
        <f>BC13*BC16</f>
        <v>0</v>
      </c>
      <c r="BD17" s="1500"/>
      <c r="BE17" s="1659">
        <f>BE13*BE16</f>
        <v>0</v>
      </c>
      <c r="BG17" s="1920">
        <f>BG13*BG16</f>
        <v>0</v>
      </c>
      <c r="BH17" s="1921"/>
      <c r="BI17" s="1920">
        <f>BI13*BI16</f>
        <v>0</v>
      </c>
      <c r="BJ17" s="1921"/>
      <c r="BK17" s="1920">
        <f>BK13*BK16</f>
        <v>0</v>
      </c>
      <c r="BL17" s="1921"/>
      <c r="BM17" s="1922">
        <f>BM13*BM16</f>
        <v>0</v>
      </c>
      <c r="BO17" s="2676">
        <f>BO13*BO16</f>
        <v>0</v>
      </c>
      <c r="BP17" s="1760">
        <f t="shared" si="0"/>
        <v>0</v>
      </c>
      <c r="BQ17" s="1760">
        <f t="shared" si="1"/>
        <v>0</v>
      </c>
      <c r="BR17" s="1760">
        <f t="shared" si="1"/>
        <v>0</v>
      </c>
      <c r="CC17" s="346">
        <f>CC13*CC16</f>
        <v>0</v>
      </c>
      <c r="CD17" s="347"/>
      <c r="CE17" s="346">
        <f>CE13*CE16</f>
        <v>0</v>
      </c>
      <c r="CF17" s="347"/>
      <c r="CG17" s="346">
        <f>CG13*CG16</f>
        <v>0</v>
      </c>
      <c r="CH17" s="347"/>
      <c r="CI17" s="346">
        <f>CI13*CI16</f>
        <v>0</v>
      </c>
      <c r="CK17" s="926">
        <f>CK13*CK16</f>
        <v>0</v>
      </c>
      <c r="CL17" s="927"/>
      <c r="CM17" s="926">
        <f>CM13*CM16</f>
        <v>0</v>
      </c>
      <c r="CN17" s="927"/>
      <c r="CO17" s="926">
        <f>CO13*CO16</f>
        <v>0</v>
      </c>
      <c r="CP17" s="927"/>
      <c r="CQ17" s="926">
        <f>CQ13*CQ16</f>
        <v>0</v>
      </c>
      <c r="CS17" s="902">
        <f>CS13*CS16</f>
        <v>0</v>
      </c>
      <c r="CT17" s="903"/>
      <c r="CU17" s="902">
        <f>CU13*CU16</f>
        <v>0</v>
      </c>
      <c r="CV17" s="903"/>
      <c r="CW17" s="902">
        <f>CW13*CW16</f>
        <v>0</v>
      </c>
      <c r="CX17" s="903"/>
      <c r="CY17" s="902">
        <f>CY13*CY16</f>
        <v>0</v>
      </c>
      <c r="DA17" s="799">
        <f>DA13*DA16</f>
        <v>0</v>
      </c>
      <c r="DB17" s="881"/>
      <c r="DC17" s="799">
        <f>DC13*DC16</f>
        <v>0</v>
      </c>
      <c r="DD17" s="881"/>
      <c r="DE17" s="799">
        <f>DE13*DE16</f>
        <v>0</v>
      </c>
      <c r="DF17" s="881"/>
      <c r="DG17" s="799">
        <f>DG13*DG16</f>
        <v>0</v>
      </c>
      <c r="DI17" s="902">
        <f>DI13*DI16</f>
        <v>0</v>
      </c>
      <c r="DJ17" s="903"/>
      <c r="DK17" s="902">
        <f>DK13*DK16</f>
        <v>0</v>
      </c>
      <c r="DL17" s="903"/>
      <c r="DM17" s="902">
        <f>DM13*DM16</f>
        <v>0</v>
      </c>
      <c r="DN17" s="903"/>
      <c r="DO17" s="902">
        <f>DO13*DO16</f>
        <v>0</v>
      </c>
      <c r="DQ17" s="799">
        <f>DQ13*DQ16</f>
        <v>0</v>
      </c>
      <c r="DR17" s="881"/>
      <c r="DS17" s="799">
        <f>DS13*DS16</f>
        <v>0</v>
      </c>
      <c r="DT17" s="881"/>
      <c r="DU17" s="799">
        <f>DU13*DU16</f>
        <v>0</v>
      </c>
      <c r="DV17" s="881"/>
      <c r="DW17" s="799">
        <f>DW13*DW16</f>
        <v>0</v>
      </c>
      <c r="DY17" s="902">
        <f>DY13*DY16</f>
        <v>0</v>
      </c>
      <c r="DZ17" s="903"/>
      <c r="EA17" s="902">
        <f>EA13*EA16</f>
        <v>0</v>
      </c>
      <c r="EB17" s="903"/>
      <c r="EC17" s="902">
        <f>EC13*EC16</f>
        <v>0</v>
      </c>
      <c r="ED17" s="903"/>
      <c r="EE17" s="902">
        <f>EE13*EE16</f>
        <v>0</v>
      </c>
      <c r="EG17" s="799">
        <f>EG13*EG16</f>
        <v>0</v>
      </c>
      <c r="EH17" s="881"/>
      <c r="EI17" s="799">
        <f>EI13*EI16</f>
        <v>0</v>
      </c>
      <c r="EJ17" s="881"/>
      <c r="EK17" s="799">
        <f>EK13*EK16</f>
        <v>0</v>
      </c>
      <c r="EL17" s="881"/>
      <c r="EM17" s="799">
        <f>EM13*EM16</f>
        <v>0</v>
      </c>
    </row>
    <row r="18" spans="1:143">
      <c r="A18" t="s">
        <v>515</v>
      </c>
      <c r="C18" s="2081" t="e">
        <f>#REF!</f>
        <v>#REF!</v>
      </c>
      <c r="D18" s="2085"/>
      <c r="E18" s="2081" t="e">
        <f>C18</f>
        <v>#REF!</v>
      </c>
      <c r="F18" s="2085"/>
      <c r="G18" s="2081" t="e">
        <f>E18</f>
        <v>#REF!</v>
      </c>
      <c r="H18" s="2085"/>
      <c r="I18" s="2384" t="e">
        <f>G18</f>
        <v>#REF!</v>
      </c>
      <c r="K18" s="1553">
        <f>'SOF1718-SB1'!F75</f>
        <v>0</v>
      </c>
      <c r="L18" s="1554"/>
      <c r="M18" s="1553">
        <f>K18</f>
        <v>0</v>
      </c>
      <c r="N18" s="1554"/>
      <c r="O18" s="1553">
        <f>M18</f>
        <v>0</v>
      </c>
      <c r="P18" s="1554"/>
      <c r="Q18" s="1621">
        <f>O18</f>
        <v>0</v>
      </c>
      <c r="S18" s="684">
        <f>'SOF1819-SB1'!F75</f>
        <v>0</v>
      </c>
      <c r="T18" s="685"/>
      <c r="U18" s="684">
        <f>S18</f>
        <v>0</v>
      </c>
      <c r="V18" s="685"/>
      <c r="W18" s="684">
        <f>U18</f>
        <v>0</v>
      </c>
      <c r="X18" s="685"/>
      <c r="Y18" s="1627">
        <f>W18</f>
        <v>0</v>
      </c>
      <c r="AA18" s="1825">
        <f>'SOF1920-HB3'!H110</f>
        <v>0</v>
      </c>
      <c r="AB18" s="1826"/>
      <c r="AC18" s="1825">
        <f>AA18</f>
        <v>0</v>
      </c>
      <c r="AD18" s="1826"/>
      <c r="AE18" s="1825">
        <f>AC18</f>
        <v>0</v>
      </c>
      <c r="AF18" s="1826"/>
      <c r="AG18" s="1827">
        <f>AE18</f>
        <v>0</v>
      </c>
      <c r="AI18" s="855">
        <f>'SOF2021-HB3'!H110</f>
        <v>0</v>
      </c>
      <c r="AJ18" s="856"/>
      <c r="AK18" s="855">
        <f>AI18</f>
        <v>0</v>
      </c>
      <c r="AL18" s="856"/>
      <c r="AM18" s="855">
        <f>AK18</f>
        <v>0</v>
      </c>
      <c r="AN18" s="856"/>
      <c r="AO18" s="1646">
        <f>AM18</f>
        <v>0</v>
      </c>
      <c r="AQ18" s="1880">
        <f>'SOF2122-SB1'!F75</f>
        <v>0</v>
      </c>
      <c r="AR18" s="1881"/>
      <c r="AS18" s="1880">
        <f>AQ18</f>
        <v>0</v>
      </c>
      <c r="AT18" s="1881"/>
      <c r="AU18" s="1880">
        <f>AS18</f>
        <v>0</v>
      </c>
      <c r="AV18" s="1881"/>
      <c r="AW18" s="1882">
        <f>AU18</f>
        <v>0</v>
      </c>
      <c r="AY18" s="1499">
        <f>'SOF2223-SB1'!F75</f>
        <v>0</v>
      </c>
      <c r="AZ18" s="1500"/>
      <c r="BA18" s="1499">
        <f>AY18</f>
        <v>0</v>
      </c>
      <c r="BB18" s="1500"/>
      <c r="BC18" s="1499">
        <f>BA18</f>
        <v>0</v>
      </c>
      <c r="BD18" s="1500"/>
      <c r="BE18" s="1659">
        <f>BC18</f>
        <v>0</v>
      </c>
      <c r="BG18" s="1920">
        <f>'SOF2324-SB1'!F75</f>
        <v>0</v>
      </c>
      <c r="BH18" s="1921"/>
      <c r="BI18" s="1920">
        <f>BG18</f>
        <v>0</v>
      </c>
      <c r="BJ18" s="1921"/>
      <c r="BK18" s="1920">
        <f>BI18</f>
        <v>0</v>
      </c>
      <c r="BL18" s="1921"/>
      <c r="BM18" s="1922">
        <f>BK18</f>
        <v>0</v>
      </c>
      <c r="BO18" s="2676">
        <f>'SOF1819-SB1'!H75</f>
        <v>0</v>
      </c>
      <c r="BP18" s="1760">
        <f t="shared" si="0"/>
        <v>0</v>
      </c>
      <c r="BQ18" s="1760">
        <f t="shared" si="1"/>
        <v>0</v>
      </c>
      <c r="BR18" s="1760">
        <f t="shared" si="1"/>
        <v>0</v>
      </c>
      <c r="CC18" s="346" t="e">
        <f>#REF!</f>
        <v>#REF!</v>
      </c>
      <c r="CD18" s="347"/>
      <c r="CE18" s="346" t="e">
        <f>CC18</f>
        <v>#REF!</v>
      </c>
      <c r="CF18" s="347"/>
      <c r="CG18" s="346" t="e">
        <f>CE18</f>
        <v>#REF!</v>
      </c>
      <c r="CH18" s="347"/>
      <c r="CI18" s="346" t="e">
        <f>CG18</f>
        <v>#REF!</v>
      </c>
      <c r="CK18" s="926" t="e">
        <f>#REF!</f>
        <v>#REF!</v>
      </c>
      <c r="CL18" s="927"/>
      <c r="CM18" s="926" t="e">
        <f>CK18</f>
        <v>#REF!</v>
      </c>
      <c r="CN18" s="927"/>
      <c r="CO18" s="926" t="e">
        <f>CM18</f>
        <v>#REF!</v>
      </c>
      <c r="CP18" s="927"/>
      <c r="CQ18" s="926" t="e">
        <f>CO18</f>
        <v>#REF!</v>
      </c>
      <c r="CS18" s="902" t="e">
        <f>#REF!</f>
        <v>#REF!</v>
      </c>
      <c r="CT18" s="903"/>
      <c r="CU18" s="902" t="e">
        <f>CS18</f>
        <v>#REF!</v>
      </c>
      <c r="CV18" s="903"/>
      <c r="CW18" s="902" t="e">
        <f>CU18</f>
        <v>#REF!</v>
      </c>
      <c r="CX18" s="903"/>
      <c r="CY18" s="902" t="e">
        <f>CW18</f>
        <v>#REF!</v>
      </c>
      <c r="DA18" s="799" t="e">
        <f>#REF!</f>
        <v>#REF!</v>
      </c>
      <c r="DB18" s="881"/>
      <c r="DC18" s="799" t="e">
        <f>DA18</f>
        <v>#REF!</v>
      </c>
      <c r="DD18" s="881"/>
      <c r="DE18" s="799" t="e">
        <f>DC18</f>
        <v>#REF!</v>
      </c>
      <c r="DF18" s="881"/>
      <c r="DG18" s="799" t="e">
        <f>DE18</f>
        <v>#REF!</v>
      </c>
      <c r="DI18" s="902" t="e">
        <f>#REF!</f>
        <v>#REF!</v>
      </c>
      <c r="DJ18" s="903"/>
      <c r="DK18" s="902" t="e">
        <f>DI18</f>
        <v>#REF!</v>
      </c>
      <c r="DL18" s="903"/>
      <c r="DM18" s="902" t="e">
        <f>DK18</f>
        <v>#REF!</v>
      </c>
      <c r="DN18" s="903"/>
      <c r="DO18" s="902" t="e">
        <f>DM18</f>
        <v>#REF!</v>
      </c>
      <c r="DQ18" s="799" t="e">
        <f>#REF!</f>
        <v>#REF!</v>
      </c>
      <c r="DR18" s="881"/>
      <c r="DS18" s="799" t="e">
        <f>DQ18</f>
        <v>#REF!</v>
      </c>
      <c r="DT18" s="881"/>
      <c r="DU18" s="799" t="e">
        <f>DS18</f>
        <v>#REF!</v>
      </c>
      <c r="DV18" s="881"/>
      <c r="DW18" s="799" t="e">
        <f>DU18</f>
        <v>#REF!</v>
      </c>
      <c r="DY18" s="902">
        <f>'SOF1718-HB3646'!F77</f>
        <v>0</v>
      </c>
      <c r="DZ18" s="903"/>
      <c r="EA18" s="902">
        <f>DY18</f>
        <v>0</v>
      </c>
      <c r="EB18" s="903"/>
      <c r="EC18" s="902">
        <f>EA18</f>
        <v>0</v>
      </c>
      <c r="ED18" s="903"/>
      <c r="EE18" s="902">
        <f>EC18</f>
        <v>0</v>
      </c>
      <c r="EG18" s="799" t="e">
        <f>'SOF1819-HB3646'!F77</f>
        <v>#REF!</v>
      </c>
      <c r="EH18" s="881"/>
      <c r="EI18" s="799" t="e">
        <f>EG18</f>
        <v>#REF!</v>
      </c>
      <c r="EJ18" s="881"/>
      <c r="EK18" s="799" t="e">
        <f>EI18</f>
        <v>#REF!</v>
      </c>
      <c r="EL18" s="881"/>
      <c r="EM18" s="799" t="e">
        <f>EK18</f>
        <v>#REF!</v>
      </c>
    </row>
    <row r="19" spans="1:143">
      <c r="A19" t="s">
        <v>2164</v>
      </c>
      <c r="C19" s="2081" t="e">
        <f>C17-C18</f>
        <v>#REF!</v>
      </c>
      <c r="D19" s="2085"/>
      <c r="E19" s="2081" t="e">
        <f>E17-E18</f>
        <v>#REF!</v>
      </c>
      <c r="F19" s="2085"/>
      <c r="G19" s="2081" t="e">
        <f>G17-G18</f>
        <v>#REF!</v>
      </c>
      <c r="H19" s="2085"/>
      <c r="I19" s="2384" t="e">
        <f>I17-I18</f>
        <v>#REF!</v>
      </c>
      <c r="K19" s="1553">
        <f>K17-K18</f>
        <v>0</v>
      </c>
      <c r="L19" s="1554"/>
      <c r="M19" s="1553">
        <f>M17-M18</f>
        <v>0</v>
      </c>
      <c r="N19" s="1554"/>
      <c r="O19" s="1553">
        <f>O17-O18</f>
        <v>0</v>
      </c>
      <c r="P19" s="1554"/>
      <c r="Q19" s="1621">
        <f>Q17-Q18</f>
        <v>0</v>
      </c>
      <c r="S19" s="684">
        <f>S17-S18</f>
        <v>0</v>
      </c>
      <c r="T19" s="685"/>
      <c r="U19" s="684">
        <f>U17-U18</f>
        <v>0</v>
      </c>
      <c r="V19" s="685"/>
      <c r="W19" s="684">
        <f>W17-W18</f>
        <v>0</v>
      </c>
      <c r="X19" s="685"/>
      <c r="Y19" s="1627">
        <f>Y17-Y18</f>
        <v>0</v>
      </c>
      <c r="AA19" s="1825">
        <f>AA17-AA18</f>
        <v>0</v>
      </c>
      <c r="AB19" s="1826"/>
      <c r="AC19" s="1825">
        <f>AC17-AC18</f>
        <v>0</v>
      </c>
      <c r="AD19" s="1826"/>
      <c r="AE19" s="1825">
        <f>AE17-AE18</f>
        <v>0</v>
      </c>
      <c r="AF19" s="1826"/>
      <c r="AG19" s="1827">
        <f>AG17-AG18</f>
        <v>0</v>
      </c>
      <c r="AI19" s="855">
        <f>AI17-AI18</f>
        <v>0</v>
      </c>
      <c r="AJ19" s="856"/>
      <c r="AK19" s="855">
        <f>AK17-AK18</f>
        <v>0</v>
      </c>
      <c r="AL19" s="856"/>
      <c r="AM19" s="855">
        <f>AM17-AM18</f>
        <v>0</v>
      </c>
      <c r="AN19" s="856"/>
      <c r="AO19" s="1646">
        <f>AO17-AO18</f>
        <v>0</v>
      </c>
      <c r="AQ19" s="1880">
        <f>AQ17-AQ18</f>
        <v>0</v>
      </c>
      <c r="AR19" s="1881"/>
      <c r="AS19" s="1880">
        <f>AS17-AS18</f>
        <v>0</v>
      </c>
      <c r="AT19" s="1881"/>
      <c r="AU19" s="1880">
        <f>AU17-AU18</f>
        <v>0</v>
      </c>
      <c r="AV19" s="1881"/>
      <c r="AW19" s="1882">
        <f>AW17-AW18</f>
        <v>0</v>
      </c>
      <c r="AY19" s="1499">
        <f>AY17-AY18</f>
        <v>0</v>
      </c>
      <c r="AZ19" s="1500"/>
      <c r="BA19" s="1499">
        <f>BA17-BA18</f>
        <v>0</v>
      </c>
      <c r="BB19" s="1500"/>
      <c r="BC19" s="1499">
        <f>BC17-BC18</f>
        <v>0</v>
      </c>
      <c r="BD19" s="1500"/>
      <c r="BE19" s="1659">
        <f>BE17-BE18</f>
        <v>0</v>
      </c>
      <c r="BG19" s="1920">
        <f>BG17-BG18</f>
        <v>0</v>
      </c>
      <c r="BH19" s="1921"/>
      <c r="BI19" s="1920">
        <f>BI17-BI18</f>
        <v>0</v>
      </c>
      <c r="BJ19" s="1921"/>
      <c r="BK19" s="1920">
        <f>BK17-BK18</f>
        <v>0</v>
      </c>
      <c r="BL19" s="1921"/>
      <c r="BM19" s="1922">
        <f>BM17-BM18</f>
        <v>0</v>
      </c>
      <c r="BO19" s="2676">
        <f>BO17-BO18</f>
        <v>0</v>
      </c>
      <c r="BP19" s="1760">
        <f t="shared" si="0"/>
        <v>0</v>
      </c>
      <c r="BQ19" s="1760">
        <f t="shared" si="1"/>
        <v>0</v>
      </c>
      <c r="BR19" s="1760">
        <f t="shared" si="1"/>
        <v>0</v>
      </c>
      <c r="CC19" s="346" t="e">
        <f>CC17-CC18</f>
        <v>#REF!</v>
      </c>
      <c r="CD19" s="347"/>
      <c r="CE19" s="346" t="e">
        <f>CE17-CE18</f>
        <v>#REF!</v>
      </c>
      <c r="CF19" s="347"/>
      <c r="CG19" s="346" t="e">
        <f>CG17-CG18</f>
        <v>#REF!</v>
      </c>
      <c r="CH19" s="347"/>
      <c r="CI19" s="346" t="e">
        <f>CI17-CI18</f>
        <v>#REF!</v>
      </c>
      <c r="CK19" s="926" t="e">
        <f>CK17-CK18</f>
        <v>#REF!</v>
      </c>
      <c r="CL19" s="927"/>
      <c r="CM19" s="926" t="e">
        <f>CM17-CM18</f>
        <v>#REF!</v>
      </c>
      <c r="CN19" s="927"/>
      <c r="CO19" s="926" t="e">
        <f>CO17-CO18</f>
        <v>#REF!</v>
      </c>
      <c r="CP19" s="927"/>
      <c r="CQ19" s="926" t="e">
        <f>CQ17-CQ18</f>
        <v>#REF!</v>
      </c>
      <c r="CS19" s="902" t="e">
        <f>CS17-CS18</f>
        <v>#REF!</v>
      </c>
      <c r="CT19" s="903"/>
      <c r="CU19" s="902" t="e">
        <f>CU17-CU18</f>
        <v>#REF!</v>
      </c>
      <c r="CV19" s="903"/>
      <c r="CW19" s="902" t="e">
        <f>CW17-CW18</f>
        <v>#REF!</v>
      </c>
      <c r="CX19" s="903"/>
      <c r="CY19" s="902" t="e">
        <f>CY17-CY18</f>
        <v>#REF!</v>
      </c>
      <c r="DA19" s="799" t="e">
        <f>DA17-DA18</f>
        <v>#REF!</v>
      </c>
      <c r="DB19" s="881"/>
      <c r="DC19" s="799" t="e">
        <f>DC17-DC18</f>
        <v>#REF!</v>
      </c>
      <c r="DD19" s="881"/>
      <c r="DE19" s="799" t="e">
        <f>DE17-DE18</f>
        <v>#REF!</v>
      </c>
      <c r="DF19" s="881"/>
      <c r="DG19" s="799" t="e">
        <f>DG17-DG18</f>
        <v>#REF!</v>
      </c>
      <c r="DI19" s="902" t="e">
        <f>DI17-DI18</f>
        <v>#REF!</v>
      </c>
      <c r="DJ19" s="903"/>
      <c r="DK19" s="902" t="e">
        <f>DK17-DK18</f>
        <v>#REF!</v>
      </c>
      <c r="DL19" s="903"/>
      <c r="DM19" s="902" t="e">
        <f>DM17-DM18</f>
        <v>#REF!</v>
      </c>
      <c r="DN19" s="903"/>
      <c r="DO19" s="902" t="e">
        <f>DO17-DO18</f>
        <v>#REF!</v>
      </c>
      <c r="DQ19" s="799" t="e">
        <f>DQ17-DQ18</f>
        <v>#REF!</v>
      </c>
      <c r="DR19" s="881"/>
      <c r="DS19" s="799" t="e">
        <f>DS17-DS18</f>
        <v>#REF!</v>
      </c>
      <c r="DT19" s="881"/>
      <c r="DU19" s="799" t="e">
        <f>DU17-DU18</f>
        <v>#REF!</v>
      </c>
      <c r="DV19" s="881"/>
      <c r="DW19" s="799" t="e">
        <f>DW17-DW18</f>
        <v>#REF!</v>
      </c>
      <c r="DY19" s="902">
        <f>DY17-DY18</f>
        <v>0</v>
      </c>
      <c r="DZ19" s="903"/>
      <c r="EA19" s="902">
        <f>EA17-EA18</f>
        <v>0</v>
      </c>
      <c r="EB19" s="903"/>
      <c r="EC19" s="902">
        <f>EC17-EC18</f>
        <v>0</v>
      </c>
      <c r="ED19" s="903"/>
      <c r="EE19" s="902">
        <f>EE17-EE18</f>
        <v>0</v>
      </c>
      <c r="EG19" s="799" t="e">
        <f>EG17-EG18</f>
        <v>#REF!</v>
      </c>
      <c r="EH19" s="881"/>
      <c r="EI19" s="799" t="e">
        <f>EI17-EI18</f>
        <v>#REF!</v>
      </c>
      <c r="EJ19" s="881"/>
      <c r="EK19" s="799" t="e">
        <f>EK17-EK18</f>
        <v>#REF!</v>
      </c>
      <c r="EL19" s="881"/>
      <c r="EM19" s="799" t="e">
        <f>EM17-EM18</f>
        <v>#REF!</v>
      </c>
    </row>
    <row r="20" spans="1:143">
      <c r="A20" t="s">
        <v>1122</v>
      </c>
      <c r="C20" s="2359">
        <f>IF('Data Entry - SOF'!C174=0,0,('Data Entry - SOF'!C174/'Data Entry - SOF'!C177)+0.0082)</f>
        <v>0</v>
      </c>
      <c r="D20" s="2060"/>
      <c r="E20" s="2359">
        <f>C20</f>
        <v>0</v>
      </c>
      <c r="F20" s="2060"/>
      <c r="G20" s="2359">
        <f>E20</f>
        <v>0</v>
      </c>
      <c r="H20" s="2060"/>
      <c r="I20" s="2385">
        <f>G20</f>
        <v>0</v>
      </c>
      <c r="K20" s="1552">
        <f>IF('Data Entry - SOF'!E174=0,0,('Data Entry - SOF'!E174/'Data Entry - SOF'!E177)+0.0082)</f>
        <v>0</v>
      </c>
      <c r="L20" s="305"/>
      <c r="M20" s="1552">
        <f>K20</f>
        <v>0</v>
      </c>
      <c r="N20" s="305"/>
      <c r="O20" s="1552">
        <f>M20</f>
        <v>0</v>
      </c>
      <c r="P20" s="305"/>
      <c r="Q20" s="1620">
        <f>O20</f>
        <v>0</v>
      </c>
      <c r="S20" s="686">
        <f>K20</f>
        <v>0</v>
      </c>
      <c r="T20" s="687"/>
      <c r="U20" s="686">
        <f>S20</f>
        <v>0</v>
      </c>
      <c r="V20" s="687"/>
      <c r="W20" s="686">
        <f>U20</f>
        <v>0</v>
      </c>
      <c r="X20" s="687"/>
      <c r="Y20" s="1628">
        <f>W20</f>
        <v>0</v>
      </c>
      <c r="AA20" s="1828">
        <f>S20</f>
        <v>0</v>
      </c>
      <c r="AB20" s="1829"/>
      <c r="AC20" s="1828">
        <f>AA20</f>
        <v>0</v>
      </c>
      <c r="AD20" s="1829"/>
      <c r="AE20" s="1828">
        <f>AC20</f>
        <v>0</v>
      </c>
      <c r="AF20" s="1829"/>
      <c r="AG20" s="1830">
        <f>AE20</f>
        <v>0</v>
      </c>
      <c r="AI20" s="857">
        <f>AA20</f>
        <v>0</v>
      </c>
      <c r="AJ20" s="858"/>
      <c r="AK20" s="857">
        <f>AI20</f>
        <v>0</v>
      </c>
      <c r="AL20" s="858"/>
      <c r="AM20" s="857">
        <f>AK20</f>
        <v>0</v>
      </c>
      <c r="AN20" s="858"/>
      <c r="AO20" s="1647">
        <f>AM20</f>
        <v>0</v>
      </c>
      <c r="AQ20" s="1883">
        <f>AI20</f>
        <v>0</v>
      </c>
      <c r="AR20" s="1884"/>
      <c r="AS20" s="1883">
        <f>AQ20</f>
        <v>0</v>
      </c>
      <c r="AT20" s="1884"/>
      <c r="AU20" s="1883">
        <f>AS20</f>
        <v>0</v>
      </c>
      <c r="AV20" s="1884"/>
      <c r="AW20" s="1885">
        <f>AU20</f>
        <v>0</v>
      </c>
      <c r="AY20" s="1527">
        <f>AQ20</f>
        <v>0</v>
      </c>
      <c r="AZ20" s="1528"/>
      <c r="BA20" s="1527">
        <f>AY20</f>
        <v>0</v>
      </c>
      <c r="BB20" s="1528"/>
      <c r="BC20" s="1527">
        <f>BA20</f>
        <v>0</v>
      </c>
      <c r="BD20" s="1528"/>
      <c r="BE20" s="1658">
        <f>BC20</f>
        <v>0</v>
      </c>
      <c r="BG20" s="1917">
        <f>AY20</f>
        <v>0</v>
      </c>
      <c r="BH20" s="1918"/>
      <c r="BI20" s="1917">
        <f>BG20</f>
        <v>0</v>
      </c>
      <c r="BJ20" s="1918"/>
      <c r="BK20" s="1917">
        <f>BI20</f>
        <v>0</v>
      </c>
      <c r="BL20" s="1918"/>
      <c r="BM20" s="1919">
        <f>BK20</f>
        <v>0</v>
      </c>
      <c r="BO20" s="2468">
        <f>IF('Data Entry - SOF'!E174=0,0,('Data Entry - SOF'!E174/'Data Entry - SOF'!E177)+0.0082)</f>
        <v>0</v>
      </c>
      <c r="BP20" s="2677">
        <f t="shared" si="0"/>
        <v>0</v>
      </c>
      <c r="BQ20" s="2677">
        <f t="shared" si="1"/>
        <v>0</v>
      </c>
      <c r="BR20" s="2677">
        <f t="shared" si="1"/>
        <v>0</v>
      </c>
      <c r="CC20" s="433">
        <f>IF('Data Entry - SOF'!C174=0,0,('Data Entry - SOF'!C174/'Data Entry - SOF'!C177)+0.0082)</f>
        <v>0</v>
      </c>
      <c r="CD20" s="349"/>
      <c r="CE20" s="348">
        <f>CC20</f>
        <v>0</v>
      </c>
      <c r="CF20" s="349"/>
      <c r="CG20" s="348">
        <f>CE20</f>
        <v>0</v>
      </c>
      <c r="CH20" s="349"/>
      <c r="CI20" s="348">
        <f>CG20</f>
        <v>0</v>
      </c>
      <c r="CK20" s="930">
        <f>IF('Data Entry - SOF'!C174=0,0,('Data Entry - SOF'!C174/'Data Entry - SOF'!C177)+0.0082)</f>
        <v>0</v>
      </c>
      <c r="CL20" s="929"/>
      <c r="CM20" s="928">
        <f>CK20</f>
        <v>0</v>
      </c>
      <c r="CN20" s="929"/>
      <c r="CO20" s="928">
        <f>CM20</f>
        <v>0</v>
      </c>
      <c r="CP20" s="929"/>
      <c r="CQ20" s="928">
        <f>CO20</f>
        <v>0</v>
      </c>
      <c r="CS20" s="906">
        <f>IF('Data Entry - SOF'!C174=0,0,('Data Entry - SOF'!C174/'Data Entry - SOF'!C177)+0.0082)</f>
        <v>0</v>
      </c>
      <c r="CT20" s="905"/>
      <c r="CU20" s="904">
        <f>CS20</f>
        <v>0</v>
      </c>
      <c r="CV20" s="905"/>
      <c r="CW20" s="904">
        <f>CU20</f>
        <v>0</v>
      </c>
      <c r="CX20" s="905"/>
      <c r="CY20" s="904">
        <f>CW20</f>
        <v>0</v>
      </c>
      <c r="DA20" s="884">
        <f>IF('Data Entry - SOF'!C174=0,0,('Data Entry - SOF'!C174/'Data Entry - SOF'!C177)+0.0082)</f>
        <v>0</v>
      </c>
      <c r="DB20" s="883"/>
      <c r="DC20" s="882">
        <f>DA20</f>
        <v>0</v>
      </c>
      <c r="DD20" s="883"/>
      <c r="DE20" s="882">
        <f>DC20</f>
        <v>0</v>
      </c>
      <c r="DF20" s="883"/>
      <c r="DG20" s="882">
        <f>DE20</f>
        <v>0</v>
      </c>
      <c r="DI20" s="906">
        <f>IF('Data Entry - SOF'!C174=0,0,('Data Entry - SOF'!C174/'Data Entry - SOF'!C177)+0.0082)</f>
        <v>0</v>
      </c>
      <c r="DJ20" s="905"/>
      <c r="DK20" s="904">
        <f>DI20</f>
        <v>0</v>
      </c>
      <c r="DL20" s="905"/>
      <c r="DM20" s="904">
        <f>DK20</f>
        <v>0</v>
      </c>
      <c r="DN20" s="905"/>
      <c r="DO20" s="904">
        <f>DM20</f>
        <v>0</v>
      </c>
      <c r="DQ20" s="884">
        <f>IF('Data Entry - SOF'!C174=0,0,('Data Entry - SOF'!C174/'Data Entry - SOF'!C177)+0.0082)</f>
        <v>0</v>
      </c>
      <c r="DR20" s="883"/>
      <c r="DS20" s="882">
        <f>DQ20</f>
        <v>0</v>
      </c>
      <c r="DT20" s="883"/>
      <c r="DU20" s="882">
        <f>DS20</f>
        <v>0</v>
      </c>
      <c r="DV20" s="883"/>
      <c r="DW20" s="882">
        <f>DU20</f>
        <v>0</v>
      </c>
      <c r="DY20" s="906">
        <f>IF('Data Entry - SOF'!C174=0,0,('Data Entry - SOF'!C174/'Data Entry - SOF'!C177)+0.0082)</f>
        <v>0</v>
      </c>
      <c r="DZ20" s="905"/>
      <c r="EA20" s="904">
        <f>DY20</f>
        <v>0</v>
      </c>
      <c r="EB20" s="905"/>
      <c r="EC20" s="904">
        <f>EA20</f>
        <v>0</v>
      </c>
      <c r="ED20" s="905"/>
      <c r="EE20" s="904">
        <f>EC20</f>
        <v>0</v>
      </c>
      <c r="EG20" s="884">
        <f>IF('Data Entry - SOF'!C174=0,0,('Data Entry - SOF'!C174/'Data Entry - SOF'!C177)+0.0082)</f>
        <v>0</v>
      </c>
      <c r="EH20" s="883"/>
      <c r="EI20" s="882">
        <f>EG20</f>
        <v>0</v>
      </c>
      <c r="EJ20" s="883"/>
      <c r="EK20" s="882">
        <f>EI20</f>
        <v>0</v>
      </c>
      <c r="EL20" s="883"/>
      <c r="EM20" s="882">
        <f>EK20</f>
        <v>0</v>
      </c>
    </row>
    <row r="21" spans="1:143">
      <c r="A21" t="s">
        <v>985</v>
      </c>
      <c r="C21" s="2359">
        <f>IF(C20&gt;0.015,C20,0.015)</f>
        <v>1.4999999999999999E-2</v>
      </c>
      <c r="D21" s="2060"/>
      <c r="E21" s="2359">
        <f>IF(E20&gt;0.015,E20,0.015)</f>
        <v>1.4999999999999999E-2</v>
      </c>
      <c r="F21" s="2060"/>
      <c r="G21" s="2359">
        <f>IF(G20&gt;0.015,G20,0.015)</f>
        <v>1.4999999999999999E-2</v>
      </c>
      <c r="H21" s="2060"/>
      <c r="I21" s="2385">
        <f>IF(I20&gt;0.015,I20,0.015)</f>
        <v>1.4999999999999999E-2</v>
      </c>
      <c r="K21" s="1552">
        <f>IF(K20&gt;0.015,K20,0.015)</f>
        <v>1.4999999999999999E-2</v>
      </c>
      <c r="L21" s="305"/>
      <c r="M21" s="1552">
        <f>IF(M20&gt;0.015,M20,0.015)</f>
        <v>1.4999999999999999E-2</v>
      </c>
      <c r="N21" s="305"/>
      <c r="O21" s="1552">
        <f>IF(O20&gt;0.015,O20,0.015)</f>
        <v>1.4999999999999999E-2</v>
      </c>
      <c r="P21" s="305"/>
      <c r="Q21" s="1620">
        <f>IF(Q20&gt;0.015,Q20,0.015)</f>
        <v>1.4999999999999999E-2</v>
      </c>
      <c r="S21" s="686">
        <f>IF(S20&gt;0.015,S20,0.015)</f>
        <v>1.4999999999999999E-2</v>
      </c>
      <c r="T21" s="687"/>
      <c r="U21" s="686">
        <f>IF(U20&gt;0.015,U20,0.015)</f>
        <v>1.4999999999999999E-2</v>
      </c>
      <c r="V21" s="687"/>
      <c r="W21" s="686">
        <f>IF(W20&gt;0.015,W20,0.015)</f>
        <v>1.4999999999999999E-2</v>
      </c>
      <c r="X21" s="687"/>
      <c r="Y21" s="1628">
        <f>IF(Y20&gt;0.015,Y20,0.015)</f>
        <v>1.4999999999999999E-2</v>
      </c>
      <c r="AA21" s="1828">
        <f>IF(AA20&gt;0.015,AA20,0.015)</f>
        <v>1.4999999999999999E-2</v>
      </c>
      <c r="AB21" s="1829"/>
      <c r="AC21" s="1828">
        <f>IF(AC20&gt;0.015,AC20,0.015)</f>
        <v>1.4999999999999999E-2</v>
      </c>
      <c r="AD21" s="1829"/>
      <c r="AE21" s="1828">
        <f>IF(AE20&gt;0.015,AE20,0.015)</f>
        <v>1.4999999999999999E-2</v>
      </c>
      <c r="AF21" s="1829"/>
      <c r="AG21" s="1830">
        <f>IF(AG20&gt;0.015,AG20,0.015)</f>
        <v>1.4999999999999999E-2</v>
      </c>
      <c r="AI21" s="857">
        <f>IF(AI20&gt;0.015,AI20,0.015)</f>
        <v>1.4999999999999999E-2</v>
      </c>
      <c r="AJ21" s="858"/>
      <c r="AK21" s="857">
        <f>IF(AK20&gt;0.015,AK20,0.015)</f>
        <v>1.4999999999999999E-2</v>
      </c>
      <c r="AL21" s="858"/>
      <c r="AM21" s="857">
        <f>IF(AM20&gt;0.015,AM20,0.015)</f>
        <v>1.4999999999999999E-2</v>
      </c>
      <c r="AN21" s="858"/>
      <c r="AO21" s="1647">
        <f>IF(AO20&gt;0.015,AO20,0.015)</f>
        <v>1.4999999999999999E-2</v>
      </c>
      <c r="AQ21" s="1883">
        <f>IF(AQ20&gt;0.015,AQ20,0.015)</f>
        <v>1.4999999999999999E-2</v>
      </c>
      <c r="AR21" s="1884"/>
      <c r="AS21" s="1883">
        <f>IF(AS20&gt;0.015,AS20,0.015)</f>
        <v>1.4999999999999999E-2</v>
      </c>
      <c r="AT21" s="1884"/>
      <c r="AU21" s="1883">
        <f>IF(AU20&gt;0.015,AU20,0.015)</f>
        <v>1.4999999999999999E-2</v>
      </c>
      <c r="AV21" s="1884"/>
      <c r="AW21" s="1885">
        <f>IF(AW20&gt;0.015,AW20,0.015)</f>
        <v>1.4999999999999999E-2</v>
      </c>
      <c r="AY21" s="1527">
        <f>IF(AY20&gt;0.015,AY20,0.015)</f>
        <v>1.4999999999999999E-2</v>
      </c>
      <c r="AZ21" s="1528"/>
      <c r="BA21" s="1527">
        <f>IF(BA20&gt;0.015,BA20,0.015)</f>
        <v>1.4999999999999999E-2</v>
      </c>
      <c r="BB21" s="1528"/>
      <c r="BC21" s="1527">
        <f>IF(BC20&gt;0.015,BC20,0.015)</f>
        <v>1.4999999999999999E-2</v>
      </c>
      <c r="BD21" s="1528"/>
      <c r="BE21" s="1658">
        <f>IF(BE20&gt;0.015,BE20,0.015)</f>
        <v>1.4999999999999999E-2</v>
      </c>
      <c r="BG21" s="1917">
        <f>IF(BG20&gt;0.015,BG20,0.015)</f>
        <v>1.4999999999999999E-2</v>
      </c>
      <c r="BH21" s="1918"/>
      <c r="BI21" s="1917">
        <f>IF(BI20&gt;0.015,BI20,0.015)</f>
        <v>1.4999999999999999E-2</v>
      </c>
      <c r="BJ21" s="1918"/>
      <c r="BK21" s="1917">
        <f>IF(BK20&gt;0.015,BK20,0.015)</f>
        <v>1.4999999999999999E-2</v>
      </c>
      <c r="BL21" s="1918"/>
      <c r="BM21" s="1919">
        <f>IF(BM20&gt;0.015,BM20,0.015)</f>
        <v>1.4999999999999999E-2</v>
      </c>
      <c r="BO21" s="2468">
        <f>IF(BO20&gt;0.015,BO20,0.015)</f>
        <v>1.4999999999999999E-2</v>
      </c>
      <c r="BP21" s="2677">
        <f t="shared" si="0"/>
        <v>1.4999999999999999E-2</v>
      </c>
      <c r="BQ21" s="2677">
        <f t="shared" si="1"/>
        <v>1.4999999999999999E-2</v>
      </c>
      <c r="BR21" s="2677">
        <f t="shared" si="1"/>
        <v>1.4999999999999999E-2</v>
      </c>
      <c r="CC21" s="433">
        <f>IF(CC20&gt;0.015,CC20,0.015)</f>
        <v>1.4999999999999999E-2</v>
      </c>
      <c r="CD21" s="349"/>
      <c r="CE21" s="348">
        <f>IF(CE20&gt;0.015,CE20,0.015)</f>
        <v>1.4999999999999999E-2</v>
      </c>
      <c r="CF21" s="349"/>
      <c r="CG21" s="348">
        <f>IF(CG20&gt;0.015,CG20,0.015)</f>
        <v>1.4999999999999999E-2</v>
      </c>
      <c r="CH21" s="349"/>
      <c r="CI21" s="348">
        <f>IF(CI20&gt;0.015,CI20,0.015)</f>
        <v>1.4999999999999999E-2</v>
      </c>
      <c r="CK21" s="930">
        <f>IF(CK20&gt;0.015,CK20,0.015)</f>
        <v>1.4999999999999999E-2</v>
      </c>
      <c r="CL21" s="929"/>
      <c r="CM21" s="928">
        <f>IF(CM20&gt;0.015,CM20,0.015)</f>
        <v>1.4999999999999999E-2</v>
      </c>
      <c r="CN21" s="929"/>
      <c r="CO21" s="928">
        <f>IF(CO20&gt;0.015,CO20,0.015)</f>
        <v>1.4999999999999999E-2</v>
      </c>
      <c r="CP21" s="929"/>
      <c r="CQ21" s="928">
        <f>IF(CQ20&gt;0.015,CQ20,0.015)</f>
        <v>1.4999999999999999E-2</v>
      </c>
      <c r="CS21" s="906">
        <f>IF(CS20&gt;0.015,CS20,0.015)</f>
        <v>1.4999999999999999E-2</v>
      </c>
      <c r="CT21" s="905"/>
      <c r="CU21" s="904">
        <f>IF(CU20&gt;0.015,CU20,0.015)</f>
        <v>1.4999999999999999E-2</v>
      </c>
      <c r="CV21" s="905"/>
      <c r="CW21" s="904">
        <f>IF(CW20&gt;0.015,CW20,0.015)</f>
        <v>1.4999999999999999E-2</v>
      </c>
      <c r="CX21" s="905"/>
      <c r="CY21" s="904">
        <f>IF(CY20&gt;0.015,CY20,0.015)</f>
        <v>1.4999999999999999E-2</v>
      </c>
      <c r="DA21" s="884">
        <f>IF(DA20&gt;0.015,DA20,0.015)</f>
        <v>1.4999999999999999E-2</v>
      </c>
      <c r="DB21" s="883"/>
      <c r="DC21" s="882">
        <f>IF(DC20&gt;0.015,DC20,0.015)</f>
        <v>1.4999999999999999E-2</v>
      </c>
      <c r="DD21" s="883"/>
      <c r="DE21" s="882">
        <f>IF(DE20&gt;0.015,DE20,0.015)</f>
        <v>1.4999999999999999E-2</v>
      </c>
      <c r="DF21" s="883"/>
      <c r="DG21" s="882">
        <f>IF(DG20&gt;0.015,DG20,0.015)</f>
        <v>1.4999999999999999E-2</v>
      </c>
      <c r="DI21" s="906">
        <f>IF(DI20&gt;0.015,DI20,0.015)</f>
        <v>1.4999999999999999E-2</v>
      </c>
      <c r="DJ21" s="905"/>
      <c r="DK21" s="904">
        <f>IF(DK20&gt;0.015,DK20,0.015)</f>
        <v>1.4999999999999999E-2</v>
      </c>
      <c r="DL21" s="905"/>
      <c r="DM21" s="904">
        <f>IF(DM20&gt;0.015,DM20,0.015)</f>
        <v>1.4999999999999999E-2</v>
      </c>
      <c r="DN21" s="905"/>
      <c r="DO21" s="904">
        <f>IF(DO20&gt;0.015,DO20,0.015)</f>
        <v>1.4999999999999999E-2</v>
      </c>
      <c r="DQ21" s="884">
        <f>IF(DQ20&gt;0.015,DQ20,0.015)</f>
        <v>1.4999999999999999E-2</v>
      </c>
      <c r="DR21" s="883"/>
      <c r="DS21" s="882">
        <f>IF(DS20&gt;0.015,DS20,0.015)</f>
        <v>1.4999999999999999E-2</v>
      </c>
      <c r="DT21" s="883"/>
      <c r="DU21" s="882">
        <f>IF(DU20&gt;0.015,DU20,0.015)</f>
        <v>1.4999999999999999E-2</v>
      </c>
      <c r="DV21" s="883"/>
      <c r="DW21" s="882">
        <f>IF(DW20&gt;0.015,DW20,0.015)</f>
        <v>1.4999999999999999E-2</v>
      </c>
      <c r="DY21" s="906">
        <f>IF(DY20&gt;0.015,DY20,0.015)</f>
        <v>1.4999999999999999E-2</v>
      </c>
      <c r="DZ21" s="905"/>
      <c r="EA21" s="904">
        <f>IF(EA20&gt;0.015,EA20,0.015)</f>
        <v>1.4999999999999999E-2</v>
      </c>
      <c r="EB21" s="905"/>
      <c r="EC21" s="904">
        <f>IF(EC20&gt;0.015,EC20,0.015)</f>
        <v>1.4999999999999999E-2</v>
      </c>
      <c r="ED21" s="905"/>
      <c r="EE21" s="904">
        <f>IF(EE20&gt;0.015,EE20,0.015)</f>
        <v>1.4999999999999999E-2</v>
      </c>
      <c r="EG21" s="884">
        <f>IF(EG20&gt;0.015,EG20,0.015)</f>
        <v>1.4999999999999999E-2</v>
      </c>
      <c r="EH21" s="883"/>
      <c r="EI21" s="882">
        <f>IF(EI20&gt;0.015,EI20,0.015)</f>
        <v>1.4999999999999999E-2</v>
      </c>
      <c r="EJ21" s="883"/>
      <c r="EK21" s="882">
        <f>IF(EK20&gt;0.015,EK20,0.015)</f>
        <v>1.4999999999999999E-2</v>
      </c>
      <c r="EL21" s="883"/>
      <c r="EM21" s="882">
        <f>IF(EM20&gt;0.015,EM20,0.015)</f>
        <v>1.4999999999999999E-2</v>
      </c>
    </row>
    <row r="22" spans="1:143">
      <c r="I22" s="2070"/>
      <c r="Q22" s="1616"/>
      <c r="Y22" s="1093"/>
      <c r="AG22" s="1818"/>
      <c r="AO22" s="1642"/>
      <c r="AW22" s="1873"/>
      <c r="BE22" s="1612"/>
      <c r="BM22" s="1909"/>
      <c r="BO22" s="1422"/>
      <c r="BP22" s="1422"/>
      <c r="BQ22" s="1422"/>
      <c r="BR22" s="1422"/>
    </row>
    <row r="23" spans="1:143" ht="15.75">
      <c r="A23" s="30" t="s">
        <v>1123</v>
      </c>
      <c r="I23" s="2070"/>
      <c r="Q23" s="1616"/>
      <c r="Y23" s="1093"/>
      <c r="AG23" s="1818"/>
      <c r="AO23" s="1642"/>
      <c r="AW23" s="1873"/>
      <c r="BE23" s="1612"/>
      <c r="BM23" s="1909"/>
      <c r="BO23" s="1422"/>
      <c r="BP23" s="1422"/>
      <c r="BQ23" s="1422"/>
      <c r="BR23" s="1422"/>
    </row>
    <row r="24" spans="1:143">
      <c r="A24" t="s">
        <v>1883</v>
      </c>
      <c r="C24" s="2081" t="e">
        <f>'Ch41 Calc Data'!K17*Assumptions!G92</f>
        <v>#REF!</v>
      </c>
      <c r="D24" s="2085"/>
      <c r="E24" s="2081" t="e">
        <f>C24</f>
        <v>#REF!</v>
      </c>
      <c r="F24" s="2085"/>
      <c r="G24" s="2081" t="e">
        <f>'Ch41 Calc Data'!K17*Assumptions!G93</f>
        <v>#REF!</v>
      </c>
      <c r="H24" s="2085"/>
      <c r="I24" s="2384" t="e">
        <f>G24</f>
        <v>#REF!</v>
      </c>
      <c r="K24" s="1553" t="e">
        <f>'Ch41 Calc Data'!L17*Assumptions!G103</f>
        <v>#REF!</v>
      </c>
      <c r="L24" s="1554"/>
      <c r="M24" s="1553" t="e">
        <f>K24</f>
        <v>#REF!</v>
      </c>
      <c r="N24" s="1554"/>
      <c r="O24" s="1553" t="e">
        <f>'Ch41 Calc Data'!L17*Assumptions!G104</f>
        <v>#REF!</v>
      </c>
      <c r="P24" s="1554"/>
      <c r="Q24" s="1621" t="e">
        <f>O24</f>
        <v>#REF!</v>
      </c>
      <c r="S24" s="684">
        <f>'Ch41 Calc Data'!M17*Assumptions!G112</f>
        <v>0</v>
      </c>
      <c r="T24" s="685"/>
      <c r="U24" s="684">
        <f>S24</f>
        <v>0</v>
      </c>
      <c r="V24" s="685"/>
      <c r="W24" s="684">
        <f>'Ch41 Calc Data'!M17*Assumptions!G113</f>
        <v>0</v>
      </c>
      <c r="X24" s="685"/>
      <c r="Y24" s="1627">
        <f>W24</f>
        <v>0</v>
      </c>
      <c r="AA24" s="1825">
        <f>'Ch41 Calc Data'!N17*Assumptions!G121</f>
        <v>0</v>
      </c>
      <c r="AB24" s="1826"/>
      <c r="AC24" s="1825">
        <f>AA24</f>
        <v>0</v>
      </c>
      <c r="AD24" s="1826"/>
      <c r="AE24" s="1825">
        <f>'Ch41 Calc Data'!N17*Assumptions!G122</f>
        <v>0</v>
      </c>
      <c r="AF24" s="1826"/>
      <c r="AG24" s="1827">
        <f>AE24</f>
        <v>0</v>
      </c>
      <c r="AI24" s="855" t="e">
        <f>'Ch41 Calc Data'!O17*Assumptions!G130</f>
        <v>#DIV/0!</v>
      </c>
      <c r="AJ24" s="856"/>
      <c r="AK24" s="855" t="e">
        <f>AI24</f>
        <v>#DIV/0!</v>
      </c>
      <c r="AL24" s="856"/>
      <c r="AM24" s="855" t="e">
        <f>'Ch41 Calc Data'!O17*Assumptions!G131</f>
        <v>#DIV/0!</v>
      </c>
      <c r="AN24" s="856"/>
      <c r="AO24" s="1646" t="e">
        <f>AM24</f>
        <v>#DIV/0!</v>
      </c>
      <c r="AQ24" s="1880" t="e">
        <f>'Ch41 Calc Data'!P17*Assumptions!G139</f>
        <v>#DIV/0!</v>
      </c>
      <c r="AR24" s="1881"/>
      <c r="AS24" s="1880" t="e">
        <f>AQ24</f>
        <v>#DIV/0!</v>
      </c>
      <c r="AT24" s="1881"/>
      <c r="AU24" s="1880" t="e">
        <f>'Ch41 Calc Data'!P17*Assumptions!G140</f>
        <v>#DIV/0!</v>
      </c>
      <c r="AV24" s="1881"/>
      <c r="AW24" s="1882" t="e">
        <f>AU24</f>
        <v>#DIV/0!</v>
      </c>
      <c r="AY24" s="1515" t="e">
        <f>'Ch41 Calc Data'!Q17*Assumptions!G148</f>
        <v>#DIV/0!</v>
      </c>
      <c r="AZ24" s="1516"/>
      <c r="BA24" s="1515" t="e">
        <f>AY24</f>
        <v>#DIV/0!</v>
      </c>
      <c r="BB24" s="1516"/>
      <c r="BC24" s="1515" t="e">
        <f>'Ch41 Calc Data'!Q17*Assumptions!G149</f>
        <v>#DIV/0!</v>
      </c>
      <c r="BD24" s="1516"/>
      <c r="BE24" s="1657" t="e">
        <f>BC24</f>
        <v>#DIV/0!</v>
      </c>
      <c r="BG24" s="1914" t="e">
        <f>'Ch41 Calc Data'!R17*Assumptions!G157</f>
        <v>#DIV/0!</v>
      </c>
      <c r="BH24" s="1915"/>
      <c r="BI24" s="1914" t="e">
        <f>BG24</f>
        <v>#DIV/0!</v>
      </c>
      <c r="BJ24" s="1915"/>
      <c r="BK24" s="1914" t="e">
        <f>'Ch41 Calc Data'!R17*Assumptions!G158</f>
        <v>#DIV/0!</v>
      </c>
      <c r="BL24" s="1915"/>
      <c r="BM24" s="1916" t="e">
        <f>BK24</f>
        <v>#DIV/0!</v>
      </c>
      <c r="BO24" s="2676" t="e">
        <f>'Ch41 Calc Data'!M20*Assumptions!G121</f>
        <v>#REF!</v>
      </c>
      <c r="BP24" s="2676" t="e">
        <f>BO24</f>
        <v>#REF!</v>
      </c>
      <c r="BQ24" s="2472" t="e">
        <f>'Ch41 Calc Data'!M20*Assumptions!G122</f>
        <v>#REF!</v>
      </c>
      <c r="BR24" s="2676" t="e">
        <f>BQ24</f>
        <v>#REF!</v>
      </c>
      <c r="CC24" s="346" t="e">
        <f>'Ch41 Calc Data'!AA17*Assumptions!G30</f>
        <v>#REF!</v>
      </c>
      <c r="CD24" s="347"/>
      <c r="CE24" s="346" t="e">
        <f>CC24</f>
        <v>#REF!</v>
      </c>
      <c r="CF24" s="347"/>
      <c r="CG24" s="346" t="e">
        <f>'Ch41 Calc Data'!AA17*Assumptions!G31</f>
        <v>#REF!</v>
      </c>
      <c r="CH24" s="347"/>
      <c r="CI24" s="346" t="e">
        <f>CG24</f>
        <v>#REF!</v>
      </c>
      <c r="CK24" s="926" t="e">
        <f>'Ch41 Calc Data'!AB17*Assumptions!G40</f>
        <v>#REF!</v>
      </c>
      <c r="CL24" s="927"/>
      <c r="CM24" s="926" t="e">
        <f>CK24</f>
        <v>#REF!</v>
      </c>
      <c r="CN24" s="927"/>
      <c r="CO24" s="926" t="e">
        <f>'Ch41 Calc Data'!AB17*Assumptions!G41</f>
        <v>#REF!</v>
      </c>
      <c r="CP24" s="927"/>
      <c r="CQ24" s="926" t="e">
        <f>CO24</f>
        <v>#REF!</v>
      </c>
      <c r="CS24" s="902" t="e">
        <f>'Ch41 Calc Data'!AC17*Assumptions!G30</f>
        <v>#REF!</v>
      </c>
      <c r="CT24" s="903"/>
      <c r="CU24" s="902" t="e">
        <f>CS24</f>
        <v>#REF!</v>
      </c>
      <c r="CV24" s="903"/>
      <c r="CW24" s="902" t="e">
        <f>'Ch41 Calc Data'!AC17*Assumptions!G31</f>
        <v>#REF!</v>
      </c>
      <c r="CX24" s="903"/>
      <c r="CY24" s="902" t="e">
        <f>CW24</f>
        <v>#REF!</v>
      </c>
      <c r="DA24" s="799" t="e">
        <f>'Ch41 Calc Data'!AD17*Assumptions!G30</f>
        <v>#REF!</v>
      </c>
      <c r="DB24" s="881"/>
      <c r="DC24" s="799" t="e">
        <f>DA24</f>
        <v>#REF!</v>
      </c>
      <c r="DD24" s="881"/>
      <c r="DE24" s="799" t="e">
        <f>'Ch41 Calc Data'!AD17*Assumptions!G31</f>
        <v>#REF!</v>
      </c>
      <c r="DF24" s="881"/>
      <c r="DG24" s="799" t="e">
        <f>DE24</f>
        <v>#REF!</v>
      </c>
      <c r="DI24" s="902" t="e">
        <f>'Ch41 Calc Data'!AE17*Assumptions!G30</f>
        <v>#REF!</v>
      </c>
      <c r="DJ24" s="903"/>
      <c r="DK24" s="902" t="e">
        <f>DI24</f>
        <v>#REF!</v>
      </c>
      <c r="DL24" s="903"/>
      <c r="DM24" s="902" t="e">
        <f>'Ch41 Calc Data'!AE17*Assumptions!G31</f>
        <v>#REF!</v>
      </c>
      <c r="DN24" s="903"/>
      <c r="DO24" s="902" t="e">
        <f>DM24</f>
        <v>#REF!</v>
      </c>
      <c r="DQ24" s="799" t="e">
        <f>'Ch41 Calc Data'!AF17*Assumptions!G30</f>
        <v>#REF!</v>
      </c>
      <c r="DR24" s="881"/>
      <c r="DS24" s="799" t="e">
        <f>DQ24</f>
        <v>#REF!</v>
      </c>
      <c r="DT24" s="881"/>
      <c r="DU24" s="799" t="e">
        <f>'Ch41 Calc Data'!AF17*Assumptions!G31</f>
        <v>#REF!</v>
      </c>
      <c r="DV24" s="881"/>
      <c r="DW24" s="799" t="e">
        <f>DU24</f>
        <v>#REF!</v>
      </c>
      <c r="DY24" s="902" t="e">
        <f>'Ch41 Calc Data'!AG17*Assumptions!G30</f>
        <v>#REF!</v>
      </c>
      <c r="DZ24" s="903"/>
      <c r="EA24" s="902" t="e">
        <f>DY24</f>
        <v>#REF!</v>
      </c>
      <c r="EB24" s="903"/>
      <c r="EC24" s="902" t="e">
        <f>'Ch41 Calc Data'!AG17*Assumptions!G31</f>
        <v>#REF!</v>
      </c>
      <c r="ED24" s="903"/>
      <c r="EE24" s="902" t="e">
        <f>EC24</f>
        <v>#REF!</v>
      </c>
      <c r="EG24" s="799" t="e">
        <f>'Ch41 Calc Data'!AH17*Assumptions!G30</f>
        <v>#REF!</v>
      </c>
      <c r="EH24" s="881"/>
      <c r="EI24" s="799" t="e">
        <f>EG24</f>
        <v>#REF!</v>
      </c>
      <c r="EJ24" s="881"/>
      <c r="EK24" s="799" t="e">
        <f>'Ch41 Calc Data'!AH17*Assumptions!G31</f>
        <v>#REF!</v>
      </c>
      <c r="EL24" s="881"/>
      <c r="EM24" s="799" t="e">
        <f>EK24</f>
        <v>#REF!</v>
      </c>
    </row>
    <row r="25" spans="1:143">
      <c r="I25" s="2070"/>
      <c r="K25" s="1554"/>
      <c r="L25" s="1554"/>
      <c r="M25" s="1554"/>
      <c r="N25" s="1554"/>
      <c r="O25" s="1554"/>
      <c r="P25" s="1554"/>
      <c r="Q25" s="1622"/>
      <c r="Y25" s="1093"/>
      <c r="AG25" s="1818"/>
      <c r="AO25" s="1642"/>
      <c r="AW25" s="1873"/>
      <c r="AY25" s="1516"/>
      <c r="AZ25" s="1516"/>
      <c r="BA25" s="1516"/>
      <c r="BB25" s="1516"/>
      <c r="BC25" s="1516"/>
      <c r="BD25" s="1516"/>
      <c r="BE25" s="1660"/>
      <c r="BG25" s="1915"/>
      <c r="BH25" s="1915"/>
      <c r="BI25" s="1915"/>
      <c r="BJ25" s="1915"/>
      <c r="BK25" s="1915"/>
      <c r="BL25" s="1915"/>
      <c r="BM25" s="1923"/>
      <c r="BO25" s="1472"/>
      <c r="BP25" s="1472"/>
      <c r="BQ25" s="1422"/>
      <c r="BR25" s="1472"/>
    </row>
    <row r="26" spans="1:143" ht="15.75">
      <c r="A26" s="30" t="s">
        <v>2092</v>
      </c>
      <c r="I26" s="2070"/>
      <c r="K26" s="1554"/>
      <c r="L26" s="1554"/>
      <c r="M26" s="1554"/>
      <c r="N26" s="1554"/>
      <c r="O26" s="1554"/>
      <c r="P26" s="1554"/>
      <c r="Q26" s="1622"/>
      <c r="Y26" s="1093"/>
      <c r="AG26" s="1818"/>
      <c r="AO26" s="1642"/>
      <c r="AW26" s="1873"/>
      <c r="AY26" s="1516"/>
      <c r="AZ26" s="1516"/>
      <c r="BA26" s="1516"/>
      <c r="BB26" s="1516"/>
      <c r="BC26" s="1516"/>
      <c r="BD26" s="1516"/>
      <c r="BE26" s="1660"/>
      <c r="BG26" s="1915"/>
      <c r="BH26" s="1915"/>
      <c r="BI26" s="1915"/>
      <c r="BJ26" s="1915"/>
      <c r="BK26" s="1915"/>
      <c r="BL26" s="1915"/>
      <c r="BM26" s="1923"/>
      <c r="BO26" s="1472"/>
      <c r="BP26" s="1472"/>
      <c r="BQ26" s="1422"/>
      <c r="BR26" s="1472"/>
    </row>
    <row r="27" spans="1:143">
      <c r="A27" t="s">
        <v>2390</v>
      </c>
      <c r="C27" s="2081" t="e">
        <f>C19/C21</f>
        <v>#REF!</v>
      </c>
      <c r="D27" s="2090"/>
      <c r="E27" s="2360" t="s">
        <v>1775</v>
      </c>
      <c r="F27" s="2090"/>
      <c r="G27" s="2081" t="e">
        <f>G19/G21</f>
        <v>#REF!</v>
      </c>
      <c r="H27" s="2090"/>
      <c r="I27" s="2386" t="s">
        <v>1775</v>
      </c>
      <c r="K27" s="1553">
        <f>K19/K21</f>
        <v>0</v>
      </c>
      <c r="L27" s="1554"/>
      <c r="M27" s="1555" t="s">
        <v>1775</v>
      </c>
      <c r="N27" s="1554"/>
      <c r="O27" s="1553">
        <f>O19/O21</f>
        <v>0</v>
      </c>
      <c r="P27" s="1554"/>
      <c r="Q27" s="1623" t="s">
        <v>1775</v>
      </c>
      <c r="S27" s="684">
        <f>S19/S21</f>
        <v>0</v>
      </c>
      <c r="T27" s="688"/>
      <c r="U27" s="689" t="s">
        <v>1775</v>
      </c>
      <c r="V27" s="688"/>
      <c r="W27" s="684">
        <f>W19/W21</f>
        <v>0</v>
      </c>
      <c r="X27" s="688"/>
      <c r="Y27" s="1629" t="s">
        <v>1775</v>
      </c>
      <c r="AA27" s="1825">
        <f>AA19/AA21</f>
        <v>0</v>
      </c>
      <c r="AB27" s="1831"/>
      <c r="AC27" s="1832" t="s">
        <v>1775</v>
      </c>
      <c r="AD27" s="1831"/>
      <c r="AE27" s="1825">
        <f>AE19/AE21</f>
        <v>0</v>
      </c>
      <c r="AF27" s="1831"/>
      <c r="AG27" s="1833" t="s">
        <v>1775</v>
      </c>
      <c r="AI27" s="855">
        <f>AI19/AI21</f>
        <v>0</v>
      </c>
      <c r="AJ27" s="859"/>
      <c r="AK27" s="860" t="s">
        <v>1775</v>
      </c>
      <c r="AL27" s="859"/>
      <c r="AM27" s="855">
        <f>AM19/AM21</f>
        <v>0</v>
      </c>
      <c r="AN27" s="859"/>
      <c r="AO27" s="1648" t="s">
        <v>1775</v>
      </c>
      <c r="AQ27" s="1880">
        <f>AQ19/AQ21</f>
        <v>0</v>
      </c>
      <c r="AR27" s="1886"/>
      <c r="AS27" s="1887" t="s">
        <v>1775</v>
      </c>
      <c r="AT27" s="1886"/>
      <c r="AU27" s="1880">
        <f>AU19/AU21</f>
        <v>0</v>
      </c>
      <c r="AV27" s="1886"/>
      <c r="AW27" s="1888" t="s">
        <v>1775</v>
      </c>
      <c r="AY27" s="1515">
        <f>AY19/AY21</f>
        <v>0</v>
      </c>
      <c r="AZ27" s="1516"/>
      <c r="BA27" s="1520" t="s">
        <v>1775</v>
      </c>
      <c r="BB27" s="1516"/>
      <c r="BC27" s="1515">
        <f>BC19/BC21</f>
        <v>0</v>
      </c>
      <c r="BD27" s="1516"/>
      <c r="BE27" s="1661" t="s">
        <v>1775</v>
      </c>
      <c r="BG27" s="1914">
        <f>BG19/BG21</f>
        <v>0</v>
      </c>
      <c r="BH27" s="1915"/>
      <c r="BI27" s="1924" t="s">
        <v>1775</v>
      </c>
      <c r="BJ27" s="1915"/>
      <c r="BK27" s="1914">
        <f>BK19/BK21</f>
        <v>0</v>
      </c>
      <c r="BL27" s="1915"/>
      <c r="BM27" s="1925" t="s">
        <v>1775</v>
      </c>
      <c r="BO27" s="2676">
        <f>BO19/BO21</f>
        <v>0</v>
      </c>
      <c r="BP27" s="2678" t="s">
        <v>1775</v>
      </c>
      <c r="BQ27" s="2676">
        <f>BQ19/BQ21</f>
        <v>0</v>
      </c>
      <c r="BR27" s="2678" t="s">
        <v>1775</v>
      </c>
      <c r="CC27" s="346" t="e">
        <f>CC19/CC21</f>
        <v>#REF!</v>
      </c>
      <c r="CD27" s="350"/>
      <c r="CE27" s="351" t="s">
        <v>1775</v>
      </c>
      <c r="CF27" s="350"/>
      <c r="CG27" s="346" t="e">
        <f>CG19/CG21</f>
        <v>#REF!</v>
      </c>
      <c r="CH27" s="350"/>
      <c r="CI27" s="351" t="s">
        <v>1775</v>
      </c>
      <c r="CK27" s="926" t="e">
        <f>CK19/CK21</f>
        <v>#REF!</v>
      </c>
      <c r="CL27" s="931"/>
      <c r="CM27" s="932" t="s">
        <v>1775</v>
      </c>
      <c r="CN27" s="931"/>
      <c r="CO27" s="926" t="e">
        <f>CO19/CO21</f>
        <v>#REF!</v>
      </c>
      <c r="CP27" s="931"/>
      <c r="CQ27" s="932" t="s">
        <v>1775</v>
      </c>
      <c r="CS27" s="902" t="e">
        <f>CS19/CS21</f>
        <v>#REF!</v>
      </c>
      <c r="CT27" s="907"/>
      <c r="CU27" s="908" t="s">
        <v>1775</v>
      </c>
      <c r="CV27" s="907"/>
      <c r="CW27" s="902" t="e">
        <f>CW19/CW21</f>
        <v>#REF!</v>
      </c>
      <c r="CX27" s="907"/>
      <c r="CY27" s="908" t="s">
        <v>1775</v>
      </c>
      <c r="DA27" s="799" t="e">
        <f>DA19/DA21</f>
        <v>#REF!</v>
      </c>
      <c r="DB27" s="885"/>
      <c r="DC27" s="886" t="s">
        <v>1775</v>
      </c>
      <c r="DD27" s="885"/>
      <c r="DE27" s="799" t="e">
        <f>DE19/DE21</f>
        <v>#REF!</v>
      </c>
      <c r="DF27" s="885"/>
      <c r="DG27" s="886" t="s">
        <v>1775</v>
      </c>
      <c r="DI27" s="902" t="e">
        <f>DI19/DI21</f>
        <v>#REF!</v>
      </c>
      <c r="DJ27" s="907"/>
      <c r="DK27" s="908" t="s">
        <v>1775</v>
      </c>
      <c r="DL27" s="907"/>
      <c r="DM27" s="902" t="e">
        <f>DM19/DM21</f>
        <v>#REF!</v>
      </c>
      <c r="DN27" s="907"/>
      <c r="DO27" s="908" t="s">
        <v>1775</v>
      </c>
      <c r="DQ27" s="799" t="e">
        <f>DQ19/DQ21</f>
        <v>#REF!</v>
      </c>
      <c r="DR27" s="885"/>
      <c r="DS27" s="886" t="s">
        <v>1775</v>
      </c>
      <c r="DT27" s="885"/>
      <c r="DU27" s="799" t="e">
        <f>DU19/DU21</f>
        <v>#REF!</v>
      </c>
      <c r="DV27" s="885"/>
      <c r="DW27" s="886" t="s">
        <v>1775</v>
      </c>
      <c r="DY27" s="902">
        <f>DY19/DY21</f>
        <v>0</v>
      </c>
      <c r="DZ27" s="907"/>
      <c r="EA27" s="908" t="s">
        <v>1775</v>
      </c>
      <c r="EB27" s="907"/>
      <c r="EC27" s="902">
        <f>EC19/EC21</f>
        <v>0</v>
      </c>
      <c r="ED27" s="907"/>
      <c r="EE27" s="908" t="s">
        <v>1775</v>
      </c>
      <c r="EG27" s="799" t="e">
        <f>EG19/EG21</f>
        <v>#REF!</v>
      </c>
      <c r="EH27" s="885"/>
      <c r="EI27" s="886" t="s">
        <v>1775</v>
      </c>
      <c r="EJ27" s="885"/>
      <c r="EK27" s="799" t="e">
        <f>EK19/EK21</f>
        <v>#REF!</v>
      </c>
      <c r="EL27" s="885"/>
      <c r="EM27" s="886" t="s">
        <v>1775</v>
      </c>
    </row>
    <row r="28" spans="1:143">
      <c r="A28" t="s">
        <v>2391</v>
      </c>
      <c r="C28" s="2081" t="e">
        <f>C27/'Ch41 Calc Data'!K17</f>
        <v>#REF!</v>
      </c>
      <c r="D28" s="2090"/>
      <c r="E28" s="2360" t="s">
        <v>1775</v>
      </c>
      <c r="F28" s="2090"/>
      <c r="G28" s="2081" t="e">
        <f>G27/'Ch41 Calc Data'!K17</f>
        <v>#REF!</v>
      </c>
      <c r="H28" s="2090"/>
      <c r="I28" s="2386" t="s">
        <v>1775</v>
      </c>
      <c r="K28" s="1553" t="e">
        <f>K27/'Ch41 Calc Data'!L17</f>
        <v>#REF!</v>
      </c>
      <c r="L28" s="1554"/>
      <c r="M28" s="1555" t="s">
        <v>1775</v>
      </c>
      <c r="N28" s="1554"/>
      <c r="O28" s="1553" t="e">
        <f>O27/'Ch41 Calc Data'!L17</f>
        <v>#REF!</v>
      </c>
      <c r="P28" s="1554"/>
      <c r="Q28" s="1623" t="s">
        <v>1775</v>
      </c>
      <c r="S28" s="684" t="e">
        <f>S27/'Ch41 Calc Data'!M17</f>
        <v>#DIV/0!</v>
      </c>
      <c r="T28" s="688"/>
      <c r="U28" s="689" t="s">
        <v>1775</v>
      </c>
      <c r="V28" s="688"/>
      <c r="W28" s="684" t="e">
        <f>W27/'Ch41 Calc Data'!M17</f>
        <v>#DIV/0!</v>
      </c>
      <c r="X28" s="688"/>
      <c r="Y28" s="1629" t="s">
        <v>1775</v>
      </c>
      <c r="AA28" s="1825" t="e">
        <f>AA27/'Ch41 Calc Data'!N17</f>
        <v>#DIV/0!</v>
      </c>
      <c r="AB28" s="1831"/>
      <c r="AC28" s="1832" t="s">
        <v>1775</v>
      </c>
      <c r="AD28" s="1831"/>
      <c r="AE28" s="1825" t="e">
        <f>AE27/'Ch41 Calc Data'!N17</f>
        <v>#DIV/0!</v>
      </c>
      <c r="AF28" s="1831"/>
      <c r="AG28" s="1833" t="s">
        <v>1775</v>
      </c>
      <c r="AI28" s="855" t="e">
        <f>AI27/'Ch41 Calc Data'!O17</f>
        <v>#DIV/0!</v>
      </c>
      <c r="AJ28" s="859"/>
      <c r="AK28" s="860" t="s">
        <v>1775</v>
      </c>
      <c r="AL28" s="859"/>
      <c r="AM28" s="855" t="e">
        <f>AM27/'Ch41 Calc Data'!O17</f>
        <v>#DIV/0!</v>
      </c>
      <c r="AN28" s="859"/>
      <c r="AO28" s="1648" t="s">
        <v>1775</v>
      </c>
      <c r="AQ28" s="1880" t="e">
        <f>AQ27/'Ch41 Calc Data'!P17</f>
        <v>#DIV/0!</v>
      </c>
      <c r="AR28" s="1886"/>
      <c r="AS28" s="1887" t="s">
        <v>1775</v>
      </c>
      <c r="AT28" s="1886"/>
      <c r="AU28" s="1880" t="e">
        <f>AU27/'Ch41 Calc Data'!P17</f>
        <v>#DIV/0!</v>
      </c>
      <c r="AV28" s="1886"/>
      <c r="AW28" s="1888" t="s">
        <v>1775</v>
      </c>
      <c r="AY28" s="1515" t="e">
        <f>AY27/'Ch41 Calc Data'!Q17</f>
        <v>#DIV/0!</v>
      </c>
      <c r="AZ28" s="1516"/>
      <c r="BA28" s="1520" t="s">
        <v>1775</v>
      </c>
      <c r="BB28" s="1516"/>
      <c r="BC28" s="1515" t="e">
        <f>BC27/'Ch41 Calc Data'!Q17</f>
        <v>#DIV/0!</v>
      </c>
      <c r="BD28" s="1516"/>
      <c r="BE28" s="1661" t="s">
        <v>1775</v>
      </c>
      <c r="BG28" s="1914" t="e">
        <f>BG27/'Ch41 Calc Data'!R17</f>
        <v>#DIV/0!</v>
      </c>
      <c r="BH28" s="1915"/>
      <c r="BI28" s="1924" t="s">
        <v>1775</v>
      </c>
      <c r="BJ28" s="1915"/>
      <c r="BK28" s="1914" t="e">
        <f>BK27/'Ch41 Calc Data'!R17</f>
        <v>#DIV/0!</v>
      </c>
      <c r="BL28" s="1915"/>
      <c r="BM28" s="1925" t="s">
        <v>1775</v>
      </c>
      <c r="BO28" s="2676" t="e">
        <f>BO27/'Ch41 Calc Data'!M20</f>
        <v>#REF!</v>
      </c>
      <c r="BP28" s="2678" t="s">
        <v>1775</v>
      </c>
      <c r="BQ28" s="2676" t="e">
        <f>BQ27/'Ch41 Calc Data'!M20</f>
        <v>#REF!</v>
      </c>
      <c r="BR28" s="2678" t="s">
        <v>1775</v>
      </c>
      <c r="CC28" s="346" t="e">
        <f>CC27/'Ch41 Calc Data'!AA17</f>
        <v>#REF!</v>
      </c>
      <c r="CD28" s="350"/>
      <c r="CE28" s="351" t="s">
        <v>1775</v>
      </c>
      <c r="CF28" s="350"/>
      <c r="CG28" s="346" t="e">
        <f>CG27/'Ch41 Calc Data'!AA17</f>
        <v>#REF!</v>
      </c>
      <c r="CH28" s="350"/>
      <c r="CI28" s="351" t="s">
        <v>1775</v>
      </c>
      <c r="CK28" s="926" t="e">
        <f>CK27/'Ch41 Calc Data'!AB17</f>
        <v>#REF!</v>
      </c>
      <c r="CL28" s="931"/>
      <c r="CM28" s="932" t="s">
        <v>1775</v>
      </c>
      <c r="CN28" s="931"/>
      <c r="CO28" s="926" t="e">
        <f>CO27/'Ch41 Calc Data'!AB17</f>
        <v>#REF!</v>
      </c>
      <c r="CP28" s="931"/>
      <c r="CQ28" s="932" t="s">
        <v>1775</v>
      </c>
      <c r="CS28" s="902" t="e">
        <f>CS27/'Ch41 Calc Data'!AC17</f>
        <v>#REF!</v>
      </c>
      <c r="CT28" s="907"/>
      <c r="CU28" s="908" t="s">
        <v>1775</v>
      </c>
      <c r="CV28" s="907"/>
      <c r="CW28" s="902" t="e">
        <f>CW27/'Ch41 Calc Data'!AC17</f>
        <v>#REF!</v>
      </c>
      <c r="CX28" s="907"/>
      <c r="CY28" s="908" t="s">
        <v>1775</v>
      </c>
      <c r="DA28" s="799" t="e">
        <f>DA27/'Ch41 Calc Data'!AD17</f>
        <v>#REF!</v>
      </c>
      <c r="DB28" s="885"/>
      <c r="DC28" s="886" t="s">
        <v>1775</v>
      </c>
      <c r="DD28" s="885"/>
      <c r="DE28" s="799" t="e">
        <f>DE27/'Ch41 Calc Data'!AD17</f>
        <v>#REF!</v>
      </c>
      <c r="DF28" s="885"/>
      <c r="DG28" s="886" t="s">
        <v>1775</v>
      </c>
      <c r="DI28" s="902" t="e">
        <f>DI27/'Ch41 Calc Data'!AE17</f>
        <v>#REF!</v>
      </c>
      <c r="DJ28" s="907"/>
      <c r="DK28" s="908" t="s">
        <v>1775</v>
      </c>
      <c r="DL28" s="907"/>
      <c r="DM28" s="902" t="e">
        <f>DM27/'Ch41 Calc Data'!AE17</f>
        <v>#REF!</v>
      </c>
      <c r="DN28" s="907"/>
      <c r="DO28" s="908" t="s">
        <v>1775</v>
      </c>
      <c r="DQ28" s="799" t="e">
        <f>DQ27/'Ch41 Calc Data'!AF17</f>
        <v>#REF!</v>
      </c>
      <c r="DR28" s="885"/>
      <c r="DS28" s="886" t="s">
        <v>1775</v>
      </c>
      <c r="DT28" s="885"/>
      <c r="DU28" s="799" t="e">
        <f>DU27/'Ch41 Calc Data'!AF17</f>
        <v>#REF!</v>
      </c>
      <c r="DV28" s="885"/>
      <c r="DW28" s="886" t="s">
        <v>1775</v>
      </c>
      <c r="DY28" s="902" t="e">
        <f>DY27/'Ch41 Calc Data'!AG17</f>
        <v>#REF!</v>
      </c>
      <c r="DZ28" s="907"/>
      <c r="EA28" s="908" t="s">
        <v>1775</v>
      </c>
      <c r="EB28" s="907"/>
      <c r="EC28" s="902" t="e">
        <f>EC27/'Ch41 Calc Data'!AG17</f>
        <v>#REF!</v>
      </c>
      <c r="ED28" s="907"/>
      <c r="EE28" s="908" t="s">
        <v>1775</v>
      </c>
      <c r="EG28" s="799" t="e">
        <f>EG27/'Ch41 Calc Data'!AH17</f>
        <v>#REF!</v>
      </c>
      <c r="EH28" s="885"/>
      <c r="EI28" s="886" t="s">
        <v>1775</v>
      </c>
      <c r="EJ28" s="885"/>
      <c r="EK28" s="799" t="e">
        <f>EK27/'Ch41 Calc Data'!AH17</f>
        <v>#REF!</v>
      </c>
      <c r="EL28" s="885"/>
      <c r="EM28" s="886" t="s">
        <v>1775</v>
      </c>
    </row>
    <row r="29" spans="1:143">
      <c r="A29" t="s">
        <v>1800</v>
      </c>
      <c r="C29" s="2081" t="e">
        <f>C28*((((Assumptions!G92/280000)-1)*('Data Entry - SOF'!C92/1.17))+1)</f>
        <v>#REF!</v>
      </c>
      <c r="D29" s="2090"/>
      <c r="E29" s="2360" t="s">
        <v>1775</v>
      </c>
      <c r="F29" s="2090"/>
      <c r="G29" s="2081" t="e">
        <f>G28*((((Assumptions!G93/280000)-1)*('Data Entry - SOF'!C92/1.17))+1)</f>
        <v>#REF!</v>
      </c>
      <c r="H29" s="2090"/>
      <c r="I29" s="2386" t="s">
        <v>1775</v>
      </c>
      <c r="K29" s="1553" t="e">
        <f>K28*((((Assumptions!G103/280000)-1)*('Data Entry - SOF'!#REF!/1.17))+1)</f>
        <v>#REF!</v>
      </c>
      <c r="L29" s="1554"/>
      <c r="M29" s="1555" t="s">
        <v>1775</v>
      </c>
      <c r="N29" s="1554"/>
      <c r="O29" s="1553" t="e">
        <f>O28*((((Assumptions!G104/280000)-1)*('Data Entry - SOF'!#REF!/1.17))+1)</f>
        <v>#REF!</v>
      </c>
      <c r="P29" s="1554"/>
      <c r="Q29" s="1623" t="s">
        <v>1775</v>
      </c>
      <c r="S29" s="684" t="e">
        <f>S28*((((Assumptions!G112/280000)-1)*('Data Entry - SOF'!E92/1.17))+1)</f>
        <v>#DIV/0!</v>
      </c>
      <c r="T29" s="688"/>
      <c r="U29" s="689" t="s">
        <v>1775</v>
      </c>
      <c r="V29" s="688"/>
      <c r="W29" s="684" t="e">
        <f>W28*((((Assumptions!G113/280000)-1)*('Data Entry - SOF'!E92/1.17))+1)</f>
        <v>#DIV/0!</v>
      </c>
      <c r="X29" s="688"/>
      <c r="Y29" s="1629" t="s">
        <v>1775</v>
      </c>
      <c r="AA29" s="1825" t="e">
        <f>AA28*((((Assumptions!G121/280000)-1)*('Data Entry - SOF'!K92/1.17))+1)</f>
        <v>#DIV/0!</v>
      </c>
      <c r="AB29" s="1831"/>
      <c r="AC29" s="1832" t="s">
        <v>1775</v>
      </c>
      <c r="AD29" s="1831"/>
      <c r="AE29" s="1825" t="e">
        <f>AE28*((((Assumptions!G122/280000)-1)*('Data Entry - SOF'!K92/1.17))+1)</f>
        <v>#DIV/0!</v>
      </c>
      <c r="AF29" s="1831"/>
      <c r="AG29" s="1833" t="s">
        <v>1775</v>
      </c>
      <c r="AI29" s="855" t="e">
        <f>AI28*((((Assumptions!G130/280000)-1)*('Data Entry - SOF'!M92/1.17))+1)</f>
        <v>#DIV/0!</v>
      </c>
      <c r="AJ29" s="859"/>
      <c r="AK29" s="860" t="s">
        <v>1775</v>
      </c>
      <c r="AL29" s="859"/>
      <c r="AM29" s="855" t="e">
        <f>AM28*((((Assumptions!G131/280000)-1)*('Data Entry - SOF'!M92/1.17))+1)</f>
        <v>#DIV/0!</v>
      </c>
      <c r="AN29" s="859"/>
      <c r="AO29" s="1648" t="s">
        <v>1775</v>
      </c>
      <c r="AQ29" s="1880" t="e">
        <f>AQ28*((((Assumptions!G139/280000)-1)*('Data Entry - SOF'!O92/1.17))+1)</f>
        <v>#DIV/0!</v>
      </c>
      <c r="AR29" s="1886"/>
      <c r="AS29" s="1887" t="s">
        <v>1775</v>
      </c>
      <c r="AT29" s="1886"/>
      <c r="AU29" s="1880" t="e">
        <f>AU28*((((Assumptions!G140/280000)-1)*('Data Entry - SOF'!O92/1.17))+1)</f>
        <v>#DIV/0!</v>
      </c>
      <c r="AV29" s="1886"/>
      <c r="AW29" s="1888" t="s">
        <v>1775</v>
      </c>
      <c r="AY29" s="1515" t="e">
        <f>AY28*((((Assumptions!G148/280000)-1)*('Data Entry - SOF'!Q92/1.17))+1)</f>
        <v>#DIV/0!</v>
      </c>
      <c r="AZ29" s="1516"/>
      <c r="BA29" s="1520" t="s">
        <v>1775</v>
      </c>
      <c r="BB29" s="1516"/>
      <c r="BC29" s="1515" t="e">
        <f>BC28*((((Assumptions!G149/280000)-1)*('Data Entry - SOF'!Q92/1.17))+1)</f>
        <v>#DIV/0!</v>
      </c>
      <c r="BD29" s="1516"/>
      <c r="BE29" s="1661" t="s">
        <v>1775</v>
      </c>
      <c r="BG29" s="1914" t="e">
        <f>BG28*((((Assumptions!G157/280000)-1)*('Data Entry - SOF'!S92/1.17))+1)</f>
        <v>#DIV/0!</v>
      </c>
      <c r="BH29" s="1915"/>
      <c r="BI29" s="1924" t="s">
        <v>1775</v>
      </c>
      <c r="BJ29" s="1915"/>
      <c r="BK29" s="1914" t="e">
        <f>BK28*((((Assumptions!G158/280000)-1)*('Data Entry - SOF'!S92/1.17))+1)</f>
        <v>#DIV/0!</v>
      </c>
      <c r="BL29" s="1915"/>
      <c r="BM29" s="1925" t="s">
        <v>1775</v>
      </c>
      <c r="BO29" s="2676" t="e">
        <f>BO28*((((Assumptions!G121/280000)-1)*('Data Entry - SOF'!E92/1.17))+1)</f>
        <v>#REF!</v>
      </c>
      <c r="BP29" s="2678" t="s">
        <v>1775</v>
      </c>
      <c r="BQ29" s="2676" t="e">
        <f>BQ28*((((Assumptions!G122/280000)-1)*('Data Entry - SOF'!E92/1.17))+1)</f>
        <v>#REF!</v>
      </c>
      <c r="BR29" s="2678" t="s">
        <v>1775</v>
      </c>
      <c r="CC29" s="346" t="e">
        <f>CC28*((((Assumptions!G30/280000)-1)*('Data Entry - SOF'!#REF!/1.17))+1)</f>
        <v>#REF!</v>
      </c>
      <c r="CD29" s="350"/>
      <c r="CE29" s="351" t="s">
        <v>1775</v>
      </c>
      <c r="CF29" s="350"/>
      <c r="CG29" s="346" t="e">
        <f>CG28*((((Assumptions!G31/280000)-1)*('Data Entry - SOF'!#REF!/1.17))+1)</f>
        <v>#REF!</v>
      </c>
      <c r="CH29" s="350"/>
      <c r="CI29" s="351" t="s">
        <v>1775</v>
      </c>
      <c r="CK29" s="926" t="e">
        <f>CK28*((((Assumptions!G40/280000)-1)*('Data Entry - SOF'!#REF!/1.17))+1)</f>
        <v>#REF!</v>
      </c>
      <c r="CL29" s="931"/>
      <c r="CM29" s="932" t="s">
        <v>1775</v>
      </c>
      <c r="CN29" s="931"/>
      <c r="CO29" s="926" t="e">
        <f>CO28*((((Assumptions!G41/280000)-1)*('Data Entry - SOF'!#REF!/1.17))+1)</f>
        <v>#REF!</v>
      </c>
      <c r="CP29" s="931"/>
      <c r="CQ29" s="932" t="s">
        <v>1775</v>
      </c>
      <c r="CS29" s="902" t="e">
        <f>CS28*((((Assumptions!G30/280000)-1)*('Data Entry - SOF'!#REF!/1.17))+1)</f>
        <v>#REF!</v>
      </c>
      <c r="CT29" s="907"/>
      <c r="CU29" s="908" t="s">
        <v>1775</v>
      </c>
      <c r="CV29" s="907"/>
      <c r="CW29" s="902" t="e">
        <f>CW28*((((Assumptions!G31/280000)-1)*('Data Entry - SOF'!#REF!/1.17))+1)</f>
        <v>#REF!</v>
      </c>
      <c r="CX29" s="907"/>
      <c r="CY29" s="908" t="s">
        <v>1775</v>
      </c>
      <c r="DA29" s="799" t="e">
        <f>DA28*((((Assumptions!G30/280000)-1)*('Data Entry - SOF'!#REF!/1.17))+1)</f>
        <v>#REF!</v>
      </c>
      <c r="DB29" s="885"/>
      <c r="DC29" s="886" t="s">
        <v>1775</v>
      </c>
      <c r="DD29" s="885"/>
      <c r="DE29" s="799" t="e">
        <f>DE28*((((Assumptions!G31/280000)-1)*('Data Entry - SOF'!#REF!/1.17))+1)</f>
        <v>#REF!</v>
      </c>
      <c r="DF29" s="885"/>
      <c r="DG29" s="886" t="s">
        <v>1775</v>
      </c>
      <c r="DI29" s="902" t="e">
        <f>DI28*((((Assumptions!G30/280000)-1)*('Data Entry - SOF'!C92/1.17))+1)</f>
        <v>#REF!</v>
      </c>
      <c r="DJ29" s="907"/>
      <c r="DK29" s="908" t="s">
        <v>1775</v>
      </c>
      <c r="DL29" s="907"/>
      <c r="DM29" s="902" t="e">
        <f>DM28*((((Assumptions!G31/280000)-1)*('Data Entry - SOF'!C92/1.17))+1)</f>
        <v>#REF!</v>
      </c>
      <c r="DN29" s="907"/>
      <c r="DO29" s="908" t="s">
        <v>1775</v>
      </c>
      <c r="DQ29" s="799" t="e">
        <f>DQ28*((((Assumptions!G30/280000)-1)*('Data Entry - SOF'!C92/1.17))+1)</f>
        <v>#REF!</v>
      </c>
      <c r="DR29" s="885"/>
      <c r="DS29" s="886" t="s">
        <v>1775</v>
      </c>
      <c r="DT29" s="885"/>
      <c r="DU29" s="799" t="e">
        <f>DU28*((((Assumptions!G31/280000)-1)*('Data Entry - SOF'!C92/1.17))+1)</f>
        <v>#REF!</v>
      </c>
      <c r="DV29" s="885"/>
      <c r="DW29" s="886" t="s">
        <v>1775</v>
      </c>
      <c r="DY29" s="902" t="e">
        <f>DY28*((((Assumptions!G30/280000)-1)*('Data Entry - SOF'!#REF!/1.17))+1)</f>
        <v>#REF!</v>
      </c>
      <c r="DZ29" s="907"/>
      <c r="EA29" s="908" t="s">
        <v>1775</v>
      </c>
      <c r="EB29" s="907"/>
      <c r="EC29" s="902" t="e">
        <f>EC28*((((Assumptions!G31/280000)-1)*('Data Entry - SOF'!#REF!/1.17))+1)</f>
        <v>#REF!</v>
      </c>
      <c r="ED29" s="907"/>
      <c r="EE29" s="908" t="s">
        <v>1775</v>
      </c>
      <c r="EG29" s="799" t="e">
        <f>EG28*((((Assumptions!G30/280000)-1)*('Data Entry - SOF'!E92/1.17))+1)</f>
        <v>#REF!</v>
      </c>
      <c r="EH29" s="885"/>
      <c r="EI29" s="886" t="s">
        <v>1775</v>
      </c>
      <c r="EJ29" s="885"/>
      <c r="EK29" s="799" t="e">
        <f>EK28*((((Assumptions!G31/280000)-1)*('Data Entry - SOF'!#REF!/1.17))+1)</f>
        <v>#REF!</v>
      </c>
      <c r="EL29" s="885"/>
      <c r="EM29" s="886" t="s">
        <v>1775</v>
      </c>
    </row>
    <row r="30" spans="1:143">
      <c r="A30" t="s">
        <v>801</v>
      </c>
      <c r="C30" s="2081" t="e">
        <f>C29*'Ch41 Calc Data'!K17</f>
        <v>#REF!</v>
      </c>
      <c r="D30" s="2090"/>
      <c r="E30" s="2360" t="s">
        <v>1775</v>
      </c>
      <c r="F30" s="2090"/>
      <c r="G30" s="2081" t="e">
        <f>G29*'Ch41 Calc Data'!K17</f>
        <v>#REF!</v>
      </c>
      <c r="H30" s="2090"/>
      <c r="I30" s="2386" t="s">
        <v>1775</v>
      </c>
      <c r="K30" s="1553" t="e">
        <f>K29*'Ch41 Calc Data'!L17</f>
        <v>#REF!</v>
      </c>
      <c r="L30" s="1554"/>
      <c r="M30" s="1555" t="s">
        <v>1775</v>
      </c>
      <c r="N30" s="1554"/>
      <c r="O30" s="1553" t="e">
        <f>O29*'Ch41 Calc Data'!L17</f>
        <v>#REF!</v>
      </c>
      <c r="P30" s="1554"/>
      <c r="Q30" s="1623" t="s">
        <v>1775</v>
      </c>
      <c r="S30" s="684" t="e">
        <f>S29*'Ch41 Calc Data'!M17</f>
        <v>#DIV/0!</v>
      </c>
      <c r="T30" s="688"/>
      <c r="U30" s="689" t="s">
        <v>1775</v>
      </c>
      <c r="V30" s="688"/>
      <c r="W30" s="684" t="e">
        <f>W29*'Ch41 Calc Data'!M17</f>
        <v>#DIV/0!</v>
      </c>
      <c r="X30" s="688"/>
      <c r="Y30" s="1629" t="s">
        <v>1775</v>
      </c>
      <c r="AA30" s="1825" t="e">
        <f>AA29*'Ch41 Calc Data'!N17</f>
        <v>#DIV/0!</v>
      </c>
      <c r="AB30" s="1831"/>
      <c r="AC30" s="1832" t="s">
        <v>1775</v>
      </c>
      <c r="AD30" s="1831"/>
      <c r="AE30" s="1825" t="e">
        <f>AE29*'Ch41 Calc Data'!N17</f>
        <v>#DIV/0!</v>
      </c>
      <c r="AF30" s="1831"/>
      <c r="AG30" s="1833" t="s">
        <v>1775</v>
      </c>
      <c r="AI30" s="855" t="e">
        <f>AI29*'Ch41 Calc Data'!O17</f>
        <v>#DIV/0!</v>
      </c>
      <c r="AJ30" s="859"/>
      <c r="AK30" s="860" t="s">
        <v>1775</v>
      </c>
      <c r="AL30" s="859"/>
      <c r="AM30" s="855" t="e">
        <f>AM29*'Ch41 Calc Data'!O17</f>
        <v>#DIV/0!</v>
      </c>
      <c r="AN30" s="859"/>
      <c r="AO30" s="1648" t="s">
        <v>1775</v>
      </c>
      <c r="AQ30" s="1880" t="e">
        <f>AQ29*'Ch41 Calc Data'!P17</f>
        <v>#DIV/0!</v>
      </c>
      <c r="AR30" s="1886"/>
      <c r="AS30" s="1887" t="s">
        <v>1775</v>
      </c>
      <c r="AT30" s="1886"/>
      <c r="AU30" s="1880" t="e">
        <f>AU29*'Ch41 Calc Data'!P17</f>
        <v>#DIV/0!</v>
      </c>
      <c r="AV30" s="1886"/>
      <c r="AW30" s="1888" t="s">
        <v>1775</v>
      </c>
      <c r="AY30" s="1515" t="e">
        <f>AY29*'Ch41 Calc Data'!Q17</f>
        <v>#DIV/0!</v>
      </c>
      <c r="AZ30" s="1516"/>
      <c r="BA30" s="1520" t="s">
        <v>1775</v>
      </c>
      <c r="BB30" s="1516"/>
      <c r="BC30" s="1515" t="e">
        <f>BC29*'Ch41 Calc Data'!Q17</f>
        <v>#DIV/0!</v>
      </c>
      <c r="BD30" s="1516"/>
      <c r="BE30" s="1661" t="s">
        <v>1775</v>
      </c>
      <c r="BG30" s="1914" t="e">
        <f>BG29*'Ch41 Calc Data'!R17</f>
        <v>#DIV/0!</v>
      </c>
      <c r="BH30" s="1915"/>
      <c r="BI30" s="1924" t="s">
        <v>1775</v>
      </c>
      <c r="BJ30" s="1915"/>
      <c r="BK30" s="1914" t="e">
        <f>BK29*'Ch41 Calc Data'!R17</f>
        <v>#DIV/0!</v>
      </c>
      <c r="BL30" s="1915"/>
      <c r="BM30" s="1925" t="s">
        <v>1775</v>
      </c>
      <c r="BO30" s="2676" t="e">
        <f>BO29*'Ch41 Calc Data'!M20</f>
        <v>#REF!</v>
      </c>
      <c r="BP30" s="2678" t="s">
        <v>1775</v>
      </c>
      <c r="BQ30" s="2676" t="e">
        <f>BQ29*'Ch41 Calc Data'!M20</f>
        <v>#REF!</v>
      </c>
      <c r="BR30" s="2678" t="s">
        <v>1775</v>
      </c>
      <c r="CC30" s="346" t="e">
        <f>CC29*'Ch41 Calc Data'!AA17</f>
        <v>#REF!</v>
      </c>
      <c r="CD30" s="350"/>
      <c r="CE30" s="351" t="s">
        <v>1775</v>
      </c>
      <c r="CF30" s="350"/>
      <c r="CG30" s="346" t="e">
        <f>CG29*'Ch41 Calc Data'!AA17</f>
        <v>#REF!</v>
      </c>
      <c r="CH30" s="350"/>
      <c r="CI30" s="351" t="s">
        <v>1775</v>
      </c>
      <c r="CK30" s="926" t="e">
        <f>CK29*'Ch41 Calc Data'!AB17</f>
        <v>#REF!</v>
      </c>
      <c r="CL30" s="931"/>
      <c r="CM30" s="932" t="s">
        <v>1775</v>
      </c>
      <c r="CN30" s="931"/>
      <c r="CO30" s="926" t="e">
        <f>CO29*'Ch41 Calc Data'!AB17</f>
        <v>#REF!</v>
      </c>
      <c r="CP30" s="931"/>
      <c r="CQ30" s="932" t="s">
        <v>1775</v>
      </c>
      <c r="CS30" s="902" t="e">
        <f>CS29*'Ch41 Calc Data'!AC17</f>
        <v>#REF!</v>
      </c>
      <c r="CT30" s="907"/>
      <c r="CU30" s="908" t="s">
        <v>1775</v>
      </c>
      <c r="CV30" s="907"/>
      <c r="CW30" s="902" t="e">
        <f>CW29*'Ch41 Calc Data'!AC17</f>
        <v>#REF!</v>
      </c>
      <c r="CX30" s="907"/>
      <c r="CY30" s="908" t="s">
        <v>1775</v>
      </c>
      <c r="DA30" s="799" t="e">
        <f>DA29*'Ch41 Calc Data'!AD17</f>
        <v>#REF!</v>
      </c>
      <c r="DB30" s="885"/>
      <c r="DC30" s="886" t="s">
        <v>1775</v>
      </c>
      <c r="DD30" s="885"/>
      <c r="DE30" s="799" t="e">
        <f>DE29*'Ch41 Calc Data'!AD17</f>
        <v>#REF!</v>
      </c>
      <c r="DF30" s="885"/>
      <c r="DG30" s="886" t="s">
        <v>1775</v>
      </c>
      <c r="DI30" s="902" t="e">
        <f>DI29*'Ch41 Calc Data'!AE17</f>
        <v>#REF!</v>
      </c>
      <c r="DJ30" s="907"/>
      <c r="DK30" s="908" t="s">
        <v>1775</v>
      </c>
      <c r="DL30" s="907"/>
      <c r="DM30" s="902" t="e">
        <f>DM29*'Ch41 Calc Data'!AE17</f>
        <v>#REF!</v>
      </c>
      <c r="DN30" s="907"/>
      <c r="DO30" s="908" t="s">
        <v>1775</v>
      </c>
      <c r="DQ30" s="799" t="e">
        <f>DQ29*'Ch41 Calc Data'!AF17</f>
        <v>#REF!</v>
      </c>
      <c r="DR30" s="885"/>
      <c r="DS30" s="886" t="s">
        <v>1775</v>
      </c>
      <c r="DT30" s="885"/>
      <c r="DU30" s="799" t="e">
        <f>DU29*'Ch41 Calc Data'!AF17</f>
        <v>#REF!</v>
      </c>
      <c r="DV30" s="885"/>
      <c r="DW30" s="886" t="s">
        <v>1775</v>
      </c>
      <c r="DY30" s="902" t="e">
        <f>DY29*'Ch41 Calc Data'!AG17</f>
        <v>#REF!</v>
      </c>
      <c r="DZ30" s="907"/>
      <c r="EA30" s="908" t="s">
        <v>1775</v>
      </c>
      <c r="EB30" s="907"/>
      <c r="EC30" s="902" t="e">
        <f>EC29*'Ch41 Calc Data'!AG17</f>
        <v>#REF!</v>
      </c>
      <c r="ED30" s="907"/>
      <c r="EE30" s="908" t="s">
        <v>1775</v>
      </c>
      <c r="EG30" s="799" t="e">
        <f>EG29*'Ch41 Calc Data'!AH17</f>
        <v>#REF!</v>
      </c>
      <c r="EH30" s="885"/>
      <c r="EI30" s="886" t="s">
        <v>1775</v>
      </c>
      <c r="EJ30" s="885"/>
      <c r="EK30" s="799" t="e">
        <f>EK29*'Ch41 Calc Data'!AH17</f>
        <v>#REF!</v>
      </c>
      <c r="EL30" s="885"/>
      <c r="EM30" s="886" t="s">
        <v>1775</v>
      </c>
    </row>
    <row r="31" spans="1:143">
      <c r="I31" s="2070"/>
      <c r="K31" s="1554"/>
      <c r="L31" s="1554"/>
      <c r="M31" s="1554"/>
      <c r="N31" s="1554"/>
      <c r="O31" s="1554"/>
      <c r="P31" s="1554"/>
      <c r="Q31" s="1622"/>
      <c r="Y31" s="1093"/>
      <c r="AG31" s="1818"/>
      <c r="AO31" s="1642"/>
      <c r="AW31" s="1873"/>
      <c r="AY31" s="1516"/>
      <c r="AZ31" s="1516"/>
      <c r="BA31" s="1516"/>
      <c r="BB31" s="1516"/>
      <c r="BC31" s="1516"/>
      <c r="BD31" s="1516"/>
      <c r="BE31" s="1660"/>
      <c r="BG31" s="1915"/>
      <c r="BH31" s="1915"/>
      <c r="BI31" s="1915"/>
      <c r="BJ31" s="1915"/>
      <c r="BK31" s="1915"/>
      <c r="BL31" s="1915"/>
      <c r="BM31" s="1923"/>
      <c r="BO31" s="1472"/>
      <c r="BP31" s="1472"/>
      <c r="BQ31" s="1472"/>
      <c r="BR31" s="1472"/>
    </row>
    <row r="32" spans="1:143" ht="15.75">
      <c r="A32" s="30" t="s">
        <v>1251</v>
      </c>
      <c r="I32" s="2070"/>
      <c r="K32" s="1554"/>
      <c r="L32" s="1554"/>
      <c r="M32" s="1554"/>
      <c r="N32" s="1554"/>
      <c r="O32" s="1554"/>
      <c r="P32" s="1554"/>
      <c r="Q32" s="1622"/>
      <c r="Y32" s="1093"/>
      <c r="AG32" s="1818"/>
      <c r="AO32" s="1642"/>
      <c r="AW32" s="1873"/>
      <c r="AY32" s="1516"/>
      <c r="AZ32" s="1516"/>
      <c r="BA32" s="1516"/>
      <c r="BB32" s="1516"/>
      <c r="BC32" s="1516"/>
      <c r="BD32" s="1516"/>
      <c r="BE32" s="1660"/>
      <c r="BG32" s="1915"/>
      <c r="BH32" s="1915"/>
      <c r="BI32" s="1915"/>
      <c r="BJ32" s="1915"/>
      <c r="BK32" s="1915"/>
      <c r="BL32" s="1915"/>
      <c r="BM32" s="1923"/>
      <c r="BO32" s="1472"/>
      <c r="BP32" s="1472"/>
      <c r="BQ32" s="1472"/>
      <c r="BR32" s="1472"/>
    </row>
    <row r="33" spans="1:143">
      <c r="A33" t="s">
        <v>1252</v>
      </c>
      <c r="C33" s="2081" t="e">
        <f>IF(C30&gt;C24,C30,C24)</f>
        <v>#REF!</v>
      </c>
      <c r="D33" s="2085"/>
      <c r="E33" s="2081" t="e">
        <f>E24</f>
        <v>#REF!</v>
      </c>
      <c r="F33" s="2085"/>
      <c r="G33" s="2081" t="e">
        <f>IF(G30&gt;G24,G30,G24)</f>
        <v>#REF!</v>
      </c>
      <c r="H33" s="2085"/>
      <c r="I33" s="2384" t="e">
        <f>I24</f>
        <v>#REF!</v>
      </c>
      <c r="K33" s="1553" t="e">
        <f>IF(K30&gt;K24,K30,K24)</f>
        <v>#REF!</v>
      </c>
      <c r="L33" s="1554"/>
      <c r="M33" s="1553" t="e">
        <f>M24</f>
        <v>#REF!</v>
      </c>
      <c r="N33" s="1554"/>
      <c r="O33" s="1553" t="e">
        <f>IF(O30&gt;O24,O30,O24)</f>
        <v>#REF!</v>
      </c>
      <c r="P33" s="1554"/>
      <c r="Q33" s="1621" t="e">
        <f>Q24</f>
        <v>#REF!</v>
      </c>
      <c r="S33" s="684" t="e">
        <f>IF(S30&gt;S24,S30,S24)</f>
        <v>#DIV/0!</v>
      </c>
      <c r="T33" s="685"/>
      <c r="U33" s="684">
        <f>U24</f>
        <v>0</v>
      </c>
      <c r="V33" s="685"/>
      <c r="W33" s="684" t="e">
        <f>IF(W30&gt;W24,W30,W24)</f>
        <v>#DIV/0!</v>
      </c>
      <c r="X33" s="685"/>
      <c r="Y33" s="1627">
        <f>Y24</f>
        <v>0</v>
      </c>
      <c r="AA33" s="1825" t="e">
        <f>IF(AA30&gt;AA24,AA30,AA24)</f>
        <v>#DIV/0!</v>
      </c>
      <c r="AB33" s="1826"/>
      <c r="AC33" s="1825">
        <f>AC24</f>
        <v>0</v>
      </c>
      <c r="AD33" s="1826"/>
      <c r="AE33" s="1825" t="e">
        <f>IF(AE30&gt;AE24,AE30,AE24)</f>
        <v>#DIV/0!</v>
      </c>
      <c r="AF33" s="1826"/>
      <c r="AG33" s="1827">
        <f>AG24</f>
        <v>0</v>
      </c>
      <c r="AI33" s="855" t="e">
        <f>IF(AI30&gt;AI24,AI30,AI24)</f>
        <v>#DIV/0!</v>
      </c>
      <c r="AJ33" s="856"/>
      <c r="AK33" s="855" t="e">
        <f>AK24</f>
        <v>#DIV/0!</v>
      </c>
      <c r="AL33" s="856"/>
      <c r="AM33" s="855" t="e">
        <f>IF(AM30&gt;AM24,AM30,AM24)</f>
        <v>#DIV/0!</v>
      </c>
      <c r="AN33" s="856"/>
      <c r="AO33" s="1646" t="e">
        <f>AO24</f>
        <v>#DIV/0!</v>
      </c>
      <c r="AQ33" s="1880" t="e">
        <f>IF(AQ30&gt;AQ24,AQ30,AQ24)</f>
        <v>#DIV/0!</v>
      </c>
      <c r="AR33" s="1881"/>
      <c r="AS33" s="1880" t="e">
        <f>AS24</f>
        <v>#DIV/0!</v>
      </c>
      <c r="AT33" s="1881"/>
      <c r="AU33" s="1880" t="e">
        <f>IF(AU30&gt;AU24,AU30,AU24)</f>
        <v>#DIV/0!</v>
      </c>
      <c r="AV33" s="1881"/>
      <c r="AW33" s="1882" t="e">
        <f>AW24</f>
        <v>#DIV/0!</v>
      </c>
      <c r="AY33" s="1515" t="e">
        <f>IF(AY30&gt;AY24,AY30,AY24)</f>
        <v>#DIV/0!</v>
      </c>
      <c r="AZ33" s="1516"/>
      <c r="BA33" s="1515" t="e">
        <f>BA24</f>
        <v>#DIV/0!</v>
      </c>
      <c r="BB33" s="1516"/>
      <c r="BC33" s="1515" t="e">
        <f>IF(BC30&gt;BC24,BC30,BC24)</f>
        <v>#DIV/0!</v>
      </c>
      <c r="BD33" s="1516"/>
      <c r="BE33" s="1657" t="e">
        <f>BE24</f>
        <v>#DIV/0!</v>
      </c>
      <c r="BG33" s="1914" t="e">
        <f>IF(BG30&gt;BG24,BG30,BG24)</f>
        <v>#DIV/0!</v>
      </c>
      <c r="BH33" s="1915"/>
      <c r="BI33" s="1914" t="e">
        <f>BI24</f>
        <v>#DIV/0!</v>
      </c>
      <c r="BJ33" s="1915"/>
      <c r="BK33" s="1914" t="e">
        <f>IF(BK30&gt;BK24,BK30,BK24)</f>
        <v>#DIV/0!</v>
      </c>
      <c r="BL33" s="1915"/>
      <c r="BM33" s="1916" t="e">
        <f>BM24</f>
        <v>#DIV/0!</v>
      </c>
      <c r="BO33" s="2676" t="e">
        <f>IF(BO30&gt;BO24,BO30,BO24)</f>
        <v>#REF!</v>
      </c>
      <c r="BP33" s="2676" t="e">
        <f>BP24</f>
        <v>#REF!</v>
      </c>
      <c r="BQ33" s="2676" t="e">
        <f>IF(BQ30&gt;BQ24,BQ30,BQ24)</f>
        <v>#REF!</v>
      </c>
      <c r="BR33" s="2676" t="e">
        <f>BR24</f>
        <v>#REF!</v>
      </c>
      <c r="CC33" s="346" t="e">
        <f>IF(CC30&gt;CC24,CC30,CC24)</f>
        <v>#REF!</v>
      </c>
      <c r="CD33" s="347"/>
      <c r="CE33" s="346" t="e">
        <f>CE24</f>
        <v>#REF!</v>
      </c>
      <c r="CF33" s="347"/>
      <c r="CG33" s="346" t="e">
        <f>IF(CG30&gt;CG24,CG30,CG24)</f>
        <v>#REF!</v>
      </c>
      <c r="CH33" s="347"/>
      <c r="CI33" s="346" t="e">
        <f>CI24</f>
        <v>#REF!</v>
      </c>
      <c r="CK33" s="926" t="e">
        <f>IF(CK30&gt;CK24,CK30,CK24)</f>
        <v>#REF!</v>
      </c>
      <c r="CL33" s="927"/>
      <c r="CM33" s="926" t="e">
        <f>CM24</f>
        <v>#REF!</v>
      </c>
      <c r="CN33" s="927"/>
      <c r="CO33" s="926" t="e">
        <f>IF(CO30&gt;CO24,CO30,CO24)</f>
        <v>#REF!</v>
      </c>
      <c r="CP33" s="927"/>
      <c r="CQ33" s="926" t="e">
        <f>CQ24</f>
        <v>#REF!</v>
      </c>
      <c r="CS33" s="902" t="e">
        <f>IF(CS30&gt;CS24,CS30,CS24)</f>
        <v>#REF!</v>
      </c>
      <c r="CT33" s="903"/>
      <c r="CU33" s="902" t="e">
        <f>CU24</f>
        <v>#REF!</v>
      </c>
      <c r="CV33" s="903"/>
      <c r="CW33" s="902" t="e">
        <f>IF(CW30&gt;CW24,CW30,CW24)</f>
        <v>#REF!</v>
      </c>
      <c r="CX33" s="903"/>
      <c r="CY33" s="902" t="e">
        <f>CY24</f>
        <v>#REF!</v>
      </c>
      <c r="DA33" s="799" t="e">
        <f>IF(DA30&gt;DA24,DA30,DA24)</f>
        <v>#REF!</v>
      </c>
      <c r="DB33" s="881"/>
      <c r="DC33" s="799" t="e">
        <f>DC24</f>
        <v>#REF!</v>
      </c>
      <c r="DD33" s="881"/>
      <c r="DE33" s="799" t="e">
        <f>IF(DE30&gt;DE24,DE30,DE24)</f>
        <v>#REF!</v>
      </c>
      <c r="DF33" s="881"/>
      <c r="DG33" s="799" t="e">
        <f>DG24</f>
        <v>#REF!</v>
      </c>
      <c r="DI33" s="902" t="e">
        <f>IF(DI30&gt;DI24,DI30,DI24)</f>
        <v>#REF!</v>
      </c>
      <c r="DJ33" s="903"/>
      <c r="DK33" s="902" t="e">
        <f>DK24</f>
        <v>#REF!</v>
      </c>
      <c r="DL33" s="903"/>
      <c r="DM33" s="902" t="e">
        <f>IF(DM30&gt;DM24,DM30,DM24)</f>
        <v>#REF!</v>
      </c>
      <c r="DN33" s="903"/>
      <c r="DO33" s="902" t="e">
        <f>DO24</f>
        <v>#REF!</v>
      </c>
      <c r="DQ33" s="799" t="e">
        <f>IF(DQ30&gt;DQ24,DQ30,DQ24)</f>
        <v>#REF!</v>
      </c>
      <c r="DR33" s="881"/>
      <c r="DS33" s="799" t="e">
        <f>DS24</f>
        <v>#REF!</v>
      </c>
      <c r="DT33" s="881"/>
      <c r="DU33" s="799" t="e">
        <f>IF(DU30&gt;DU24,DU30,DU24)</f>
        <v>#REF!</v>
      </c>
      <c r="DV33" s="881"/>
      <c r="DW33" s="799" t="e">
        <f>DW24</f>
        <v>#REF!</v>
      </c>
      <c r="DY33" s="902" t="e">
        <f>IF(DY30&gt;DY24,DY30,DY24)</f>
        <v>#REF!</v>
      </c>
      <c r="DZ33" s="903"/>
      <c r="EA33" s="902" t="e">
        <f>EA24</f>
        <v>#REF!</v>
      </c>
      <c r="EB33" s="903"/>
      <c r="EC33" s="902" t="e">
        <f>IF(EC30&gt;EC24,EC30,EC24)</f>
        <v>#REF!</v>
      </c>
      <c r="ED33" s="903"/>
      <c r="EE33" s="902" t="e">
        <f>EE24</f>
        <v>#REF!</v>
      </c>
      <c r="EG33" s="799" t="e">
        <f>IF(EG30&gt;EG24,EG30,EG24)</f>
        <v>#REF!</v>
      </c>
      <c r="EH33" s="881"/>
      <c r="EI33" s="799" t="e">
        <f>EI24</f>
        <v>#REF!</v>
      </c>
      <c r="EJ33" s="881"/>
      <c r="EK33" s="799" t="e">
        <f>IF(EK30&gt;EK24,EK30,EK24)</f>
        <v>#REF!</v>
      </c>
      <c r="EL33" s="881"/>
      <c r="EM33" s="799" t="e">
        <f>EM24</f>
        <v>#REF!</v>
      </c>
    </row>
    <row r="34" spans="1:143">
      <c r="A34" t="s">
        <v>503</v>
      </c>
      <c r="C34" s="2081" t="e">
        <f>IF('Data Entry - SOF'!C75-C33&lt;0,0,'Data Entry - SOF'!C75-C33)</f>
        <v>#REF!</v>
      </c>
      <c r="D34" s="2085"/>
      <c r="E34" s="2081" t="e">
        <f>IF('Data Entry - SOF'!C75-E33&lt;0,0,'Data Entry - SOF'!C75-E33)</f>
        <v>#REF!</v>
      </c>
      <c r="F34" s="2085"/>
      <c r="G34" s="2081" t="e">
        <f>IF('Data Entry - SOF'!C75-G33&lt;0,0,'Data Entry - SOF'!C75-G33)</f>
        <v>#REF!</v>
      </c>
      <c r="H34" s="2085"/>
      <c r="I34" s="2384" t="e">
        <f>IF('Data Entry - SOF'!C75-I33&lt;0,0,'Data Entry - SOF'!C75-I33)</f>
        <v>#REF!</v>
      </c>
      <c r="K34" s="1553" t="e">
        <f>IF('Data Entry - SOF'!#REF!-K33&lt;0,0,'Data Entry - SOF'!#REF!-K33)</f>
        <v>#REF!</v>
      </c>
      <c r="L34" s="1554"/>
      <c r="M34" s="1553" t="e">
        <f>IF('Data Entry - SOF'!#REF!-M33&lt;0,0,'Data Entry - SOF'!#REF!-M33)</f>
        <v>#REF!</v>
      </c>
      <c r="N34" s="1554"/>
      <c r="O34" s="1553" t="e">
        <f>IF('Data Entry - SOF'!#REF!-O33&lt;0,0,'Data Entry - SOF'!#REF!-O33)</f>
        <v>#REF!</v>
      </c>
      <c r="P34" s="1554"/>
      <c r="Q34" s="1621" t="e">
        <f>IF('Data Entry - SOF'!#REF!-Q33&lt;0,0,'Data Entry - SOF'!#REF!-Q33)</f>
        <v>#REF!</v>
      </c>
      <c r="S34" s="684" t="e">
        <f>IF('Data Entry - SOF'!E75-S33&lt;0,0,'Data Entry - SOF'!E75-S33)</f>
        <v>#DIV/0!</v>
      </c>
      <c r="T34" s="685"/>
      <c r="U34" s="684">
        <f>IF('Data Entry - SOF'!E75-U33&lt;0,0,'Data Entry - SOF'!E75-U33)</f>
        <v>0</v>
      </c>
      <c r="V34" s="685"/>
      <c r="W34" s="684" t="e">
        <f>IF('Data Entry - SOF'!E75-W33&lt;0,0,'Data Entry - SOF'!E75-W33)</f>
        <v>#DIV/0!</v>
      </c>
      <c r="X34" s="685"/>
      <c r="Y34" s="1627">
        <f>IF('Data Entry - SOF'!E75-Y33&lt;0,0,'Data Entry - SOF'!E75-Y33)</f>
        <v>0</v>
      </c>
      <c r="AA34" s="1825" t="e">
        <f>IF('Data Entry - SOF'!E85-AA33&lt;0,0,'Data Entry - SOF'!E85-AA33)</f>
        <v>#DIV/0!</v>
      </c>
      <c r="AB34" s="1826"/>
      <c r="AC34" s="1825">
        <f>IF('Data Entry - SOF'!E85-AC33&lt;0,0,'Data Entry - SOF'!E85-AC33)</f>
        <v>0</v>
      </c>
      <c r="AD34" s="1826"/>
      <c r="AE34" s="1825" t="e">
        <f>IF('Data Entry - SOF'!E85-AE33&lt;0,0,'Data Entry - SOF'!E85-AE33)</f>
        <v>#DIV/0!</v>
      </c>
      <c r="AF34" s="1826"/>
      <c r="AG34" s="1827">
        <f>IF('Data Entry - SOF'!E85-AG33&lt;0,0,'Data Entry - SOF'!E85-AG33)</f>
        <v>0</v>
      </c>
      <c r="AI34" s="855" t="e">
        <f>IF('Data Entry - SOF'!K75-AI33&lt;0,0,'Data Entry - SOF'!K75-AI33)</f>
        <v>#DIV/0!</v>
      </c>
      <c r="AJ34" s="856"/>
      <c r="AK34" s="855" t="e">
        <f>IF('Data Entry - SOF'!K75-AK33&lt;0,0,'Data Entry - SOF'!K75-AK33)</f>
        <v>#DIV/0!</v>
      </c>
      <c r="AL34" s="856"/>
      <c r="AM34" s="855" t="e">
        <f>IF('Data Entry - SOF'!K75-AM33&lt;0,0,'Data Entry - SOF'!K75-AM33)</f>
        <v>#DIV/0!</v>
      </c>
      <c r="AN34" s="856"/>
      <c r="AO34" s="1646" t="e">
        <f>IF('Data Entry - SOF'!K75-AO33&lt;0,0,'Data Entry - SOF'!K75-AO33)</f>
        <v>#DIV/0!</v>
      </c>
      <c r="AQ34" s="1880" t="e">
        <f>IF('Data Entry - SOF'!M75-AQ33&lt;0,0,'Data Entry - SOF'!M75-AQ33)</f>
        <v>#DIV/0!</v>
      </c>
      <c r="AR34" s="1881"/>
      <c r="AS34" s="1880" t="e">
        <f>IF('Data Entry - SOF'!M75-AS33&lt;0,0,'Data Entry - SOF'!M75-AS33)</f>
        <v>#DIV/0!</v>
      </c>
      <c r="AT34" s="1881"/>
      <c r="AU34" s="1880" t="e">
        <f>IF('Data Entry - SOF'!M75-AU33&lt;0,0,'Data Entry - SOF'!M75-AU33)</f>
        <v>#DIV/0!</v>
      </c>
      <c r="AV34" s="1881"/>
      <c r="AW34" s="1882" t="e">
        <f>IF('Data Entry - SOF'!M75-AW33&lt;0,0,'Data Entry - SOF'!M75-AW33)</f>
        <v>#DIV/0!</v>
      </c>
      <c r="AY34" s="1515" t="e">
        <f>IF('Data Entry - SOF'!O75-AY33&lt;0,0,'Data Entry - SOF'!O75-AY33)</f>
        <v>#DIV/0!</v>
      </c>
      <c r="AZ34" s="1516"/>
      <c r="BA34" s="1515" t="e">
        <f>IF('Data Entry - SOF'!O75-BA33&lt;0,0,'Data Entry - SOF'!O75-BA33)</f>
        <v>#DIV/0!</v>
      </c>
      <c r="BB34" s="1516"/>
      <c r="BC34" s="1515" t="e">
        <f>IF('Data Entry - SOF'!O75-BC33&lt;0,0,'Data Entry - SOF'!O75-BC33)</f>
        <v>#DIV/0!</v>
      </c>
      <c r="BD34" s="1516"/>
      <c r="BE34" s="1657" t="e">
        <f>IF('Data Entry - SOF'!O75-BE33&lt;0,0,'Data Entry - SOF'!O75-BE33)</f>
        <v>#DIV/0!</v>
      </c>
      <c r="BG34" s="1914" t="e">
        <f>IF('Data Entry - SOF'!Q75-BG33&lt;0,0,'Data Entry - SOF'!Q75-BG33)</f>
        <v>#DIV/0!</v>
      </c>
      <c r="BH34" s="1915"/>
      <c r="BI34" s="1914" t="e">
        <f>IF('Data Entry - SOF'!Q75-BI33&lt;0,0,'Data Entry - SOF'!Q75-BI33)</f>
        <v>#DIV/0!</v>
      </c>
      <c r="BJ34" s="1915"/>
      <c r="BK34" s="1914" t="e">
        <f>IF('Data Entry - SOF'!Q75-BK33&lt;0,0,'Data Entry - SOF'!Q75-BK33)</f>
        <v>#DIV/0!</v>
      </c>
      <c r="BL34" s="1915"/>
      <c r="BM34" s="1916" t="e">
        <f>IF('Data Entry - SOF'!Q75-BM33&lt;0,0,'Data Entry - SOF'!Q75-BM33)</f>
        <v>#DIV/0!</v>
      </c>
      <c r="BO34" s="2676" t="e">
        <f>IF('Data Entry - SOF'!E75-BO33&lt;0,0,'Data Entry - SOF'!E75-BO33)</f>
        <v>#REF!</v>
      </c>
      <c r="BP34" s="2676" t="e">
        <f>IF('Data Entry - SOF'!E75-BP33&lt;0,0,'Data Entry - SOF'!E75-BP33)</f>
        <v>#REF!</v>
      </c>
      <c r="BQ34" s="2676" t="e">
        <f>IF('Data Entry - SOF'!E75-BQ33&lt;0,0,'Data Entry - SOF'!E75-BQ33)</f>
        <v>#REF!</v>
      </c>
      <c r="BR34" s="2676" t="e">
        <f>IF('Data Entry - SOF'!E75-BR33&lt;0,0,'Data Entry - SOF'!E75-BR33)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26" t="e">
        <f>IF('Data Entry - SOF'!#REF!-CK33&lt;0,0,'Data Entry - SOF'!#REF!-CK33)</f>
        <v>#REF!</v>
      </c>
      <c r="CL34" s="927"/>
      <c r="CM34" s="926" t="e">
        <f>IF('Data Entry - SOF'!#REF!-CM33&lt;0,0,'Data Entry - SOF'!#REF!-CM33)</f>
        <v>#REF!</v>
      </c>
      <c r="CN34" s="927"/>
      <c r="CO34" s="926" t="e">
        <f>IF('Data Entry - SOF'!#REF!-CO33&lt;0,0,'Data Entry - SOF'!#REF!-CO33)</f>
        <v>#REF!</v>
      </c>
      <c r="CP34" s="927"/>
      <c r="CQ34" s="926" t="e">
        <f>IF('Data Entry - SOF'!#REF!-CQ33&lt;0,0,'Data Entry - SOF'!#REF!-CQ33)</f>
        <v>#REF!</v>
      </c>
      <c r="CS34" s="902" t="e">
        <f>IF('Data Entry - SOF'!#REF!-CS33&lt;0,0,'Data Entry - SOF'!#REF!-CS33)</f>
        <v>#REF!</v>
      </c>
      <c r="CT34" s="903"/>
      <c r="CU34" s="902" t="e">
        <f>IF('Data Entry - SOF'!#REF!-CU33&lt;0,0,'Data Entry - SOF'!#REF!-CU33)</f>
        <v>#REF!</v>
      </c>
      <c r="CV34" s="903"/>
      <c r="CW34" s="902" t="e">
        <f>IF('Data Entry - SOF'!#REF!-CW33&lt;0,0,'Data Entry - SOF'!#REF!-CW33)</f>
        <v>#REF!</v>
      </c>
      <c r="CX34" s="903"/>
      <c r="CY34" s="902" t="e">
        <f>IF('Data Entry - SOF'!#REF!-CY33&lt;0,0,'Data Entry - SOF'!#REF!-CY33)</f>
        <v>#REF!</v>
      </c>
      <c r="DA34" s="799" t="e">
        <f>IF('Data Entry - SOF'!#REF!-DA33&lt;0,0,'Data Entry - SOF'!#REF!-DA33)</f>
        <v>#REF!</v>
      </c>
      <c r="DB34" s="881"/>
      <c r="DC34" s="799" t="e">
        <f>IF('Data Entry - SOF'!#REF!-DC33&lt;0,0,'Data Entry - SOF'!#REF!-DC33)</f>
        <v>#REF!</v>
      </c>
      <c r="DD34" s="881"/>
      <c r="DE34" s="799" t="e">
        <f>IF('Data Entry - SOF'!#REF!-DE33&lt;0,0,'Data Entry - SOF'!#REF!-DE33)</f>
        <v>#REF!</v>
      </c>
      <c r="DF34" s="881"/>
      <c r="DG34" s="799" t="e">
        <f>IF('Data Entry - SOF'!#REF!-DG33&lt;0,0,'Data Entry - SOF'!#REF!-DG33)</f>
        <v>#REF!</v>
      </c>
      <c r="DI34" s="902" t="e">
        <f>IF('Data Entry - SOF'!C75-DI33&lt;0,0,'Data Entry - SOF'!C75-DI33)</f>
        <v>#REF!</v>
      </c>
      <c r="DJ34" s="903"/>
      <c r="DK34" s="902" t="e">
        <f>IF('Data Entry - SOF'!C75-DK33&lt;0,0,'Data Entry - SOF'!C75-DK33)</f>
        <v>#REF!</v>
      </c>
      <c r="DL34" s="903"/>
      <c r="DM34" s="902" t="e">
        <f>IF('Data Entry - SOF'!C75-DM33&lt;0,0,'Data Entry - SOF'!C75-DM33)</f>
        <v>#REF!</v>
      </c>
      <c r="DN34" s="903"/>
      <c r="DO34" s="902" t="e">
        <f>IF('Data Entry - SOF'!C75-DO33&lt;0,0,'Data Entry - SOF'!C75-DO33)</f>
        <v>#REF!</v>
      </c>
      <c r="DQ34" s="799" t="e">
        <f>IF('Data Entry - SOF'!C75-DQ33&lt;0,0,'Data Entry - SOF'!C75-DQ33)</f>
        <v>#REF!</v>
      </c>
      <c r="DR34" s="881"/>
      <c r="DS34" s="799" t="e">
        <f>IF('Data Entry - SOF'!C75-DS33&lt;0,0,'Data Entry - SOF'!C75-DS33)</f>
        <v>#REF!</v>
      </c>
      <c r="DT34" s="881"/>
      <c r="DU34" s="799" t="e">
        <f>IF('Data Entry - SOF'!C75-DU33&lt;0,0,'Data Entry - SOF'!C75-DU33)</f>
        <v>#REF!</v>
      </c>
      <c r="DV34" s="881"/>
      <c r="DW34" s="799" t="e">
        <f>IF('Data Entry - SOF'!C75-DW33&lt;0,0,'Data Entry - SOF'!C75-DW33)</f>
        <v>#REF!</v>
      </c>
      <c r="DY34" s="902" t="e">
        <f>IF('Data Entry - SOF'!#REF!-DY33&lt;0,0,'Data Entry - SOF'!#REF!-DY33)</f>
        <v>#REF!</v>
      </c>
      <c r="DZ34" s="903"/>
      <c r="EA34" s="902" t="e">
        <f>IF('Data Entry - SOF'!#REF!-EA33&lt;0,0,'Data Entry - SOF'!#REF!-EA33)</f>
        <v>#REF!</v>
      </c>
      <c r="EB34" s="903"/>
      <c r="EC34" s="902" t="e">
        <f>IF('Data Entry - SOF'!#REF!-EC33&lt;0,0,'Data Entry - SOF'!#REF!-EC33)</f>
        <v>#REF!</v>
      </c>
      <c r="ED34" s="903"/>
      <c r="EE34" s="902" t="e">
        <f>IF('Data Entry - SOF'!#REF!-EE33&lt;0,0,'Data Entry - SOF'!#REF!-EE33)</f>
        <v>#REF!</v>
      </c>
      <c r="EG34" s="799" t="e">
        <f>IF('Data Entry - SOF'!E75-EG33&lt;0,0,'Data Entry - SOF'!E75-EG33)</f>
        <v>#REF!</v>
      </c>
      <c r="EH34" s="881"/>
      <c r="EI34" s="799" t="e">
        <f>IF('Data Entry - SOF'!E75-EI33&lt;0,0,'Data Entry - SOF'!E75-EI33)</f>
        <v>#REF!</v>
      </c>
      <c r="EJ34" s="881"/>
      <c r="EK34" s="799" t="e">
        <f>IF('Data Entry - SOF'!E75-EK33&lt;0,0,'Data Entry - SOF'!E75-EK33)</f>
        <v>#REF!</v>
      </c>
      <c r="EL34" s="881"/>
      <c r="EM34" s="799" t="e">
        <f>IF('Data Entry - SOF'!E75-EM33&lt;0,0,'Data Entry - SOF'!E75-EM33)</f>
        <v>#REF!</v>
      </c>
    </row>
    <row r="35" spans="1:143">
      <c r="A35" t="s">
        <v>2093</v>
      </c>
      <c r="C35" s="2362" t="e">
        <f>C34/'Data Entry - SOF'!C75</f>
        <v>#REF!</v>
      </c>
      <c r="D35" s="2363"/>
      <c r="E35" s="2362" t="e">
        <f>E34/'Data Entry - SOF'!C75</f>
        <v>#REF!</v>
      </c>
      <c r="F35" s="2363"/>
      <c r="G35" s="2362" t="e">
        <f>G34/'Data Entry - SOF'!C75</f>
        <v>#REF!</v>
      </c>
      <c r="H35" s="2363"/>
      <c r="I35" s="2387" t="e">
        <f>I34/'Data Entry - SOF'!C75</f>
        <v>#REF!</v>
      </c>
      <c r="K35" s="1552" t="e">
        <f>K34/'Data Entry - SOF'!#REF!</f>
        <v>#REF!</v>
      </c>
      <c r="L35" s="305"/>
      <c r="M35" s="1552" t="e">
        <f>M34/'Data Entry - SOF'!#REF!</f>
        <v>#REF!</v>
      </c>
      <c r="N35" s="305"/>
      <c r="O35" s="1552" t="e">
        <f>O34/'Data Entry - SOF'!#REF!</f>
        <v>#REF!</v>
      </c>
      <c r="P35" s="305"/>
      <c r="Q35" s="1620" t="e">
        <f>Q34/'Data Entry - SOF'!#REF!</f>
        <v>#REF!</v>
      </c>
      <c r="S35" s="690" t="e">
        <f>S34/'Data Entry - SOF'!E75</f>
        <v>#DIV/0!</v>
      </c>
      <c r="T35" s="691"/>
      <c r="U35" s="690" t="e">
        <f>U34/'Data Entry - SOF'!E75</f>
        <v>#DIV/0!</v>
      </c>
      <c r="V35" s="691"/>
      <c r="W35" s="690" t="e">
        <f>W34/'Data Entry - SOF'!E75</f>
        <v>#DIV/0!</v>
      </c>
      <c r="X35" s="691"/>
      <c r="Y35" s="1630" t="e">
        <f>Y34/'Data Entry - SOF'!E75</f>
        <v>#DIV/0!</v>
      </c>
      <c r="AA35" s="1834" t="e">
        <f>AA34/'Data Entry - SOF'!E85</f>
        <v>#DIV/0!</v>
      </c>
      <c r="AB35" s="1835"/>
      <c r="AC35" s="1834" t="e">
        <f>AC34/'Data Entry - SOF'!E85</f>
        <v>#DIV/0!</v>
      </c>
      <c r="AD35" s="1835"/>
      <c r="AE35" s="1834" t="e">
        <f>AE34/'Data Entry - SOF'!E85</f>
        <v>#DIV/0!</v>
      </c>
      <c r="AF35" s="1835"/>
      <c r="AG35" s="1836" t="e">
        <f>AG34/'Data Entry - SOF'!E85</f>
        <v>#DIV/0!</v>
      </c>
      <c r="AI35" s="861" t="e">
        <f>AI34/'Data Entry - SOF'!K75</f>
        <v>#DIV/0!</v>
      </c>
      <c r="AJ35" s="862"/>
      <c r="AK35" s="861" t="e">
        <f>AK34/'Data Entry - SOF'!K75</f>
        <v>#DIV/0!</v>
      </c>
      <c r="AL35" s="862"/>
      <c r="AM35" s="861" t="e">
        <f>AM34/'Data Entry - SOF'!K75</f>
        <v>#DIV/0!</v>
      </c>
      <c r="AN35" s="862"/>
      <c r="AO35" s="1649" t="e">
        <f>AO34/'Data Entry - SOF'!K75</f>
        <v>#DIV/0!</v>
      </c>
      <c r="AQ35" s="1889" t="e">
        <f>AQ34/'Data Entry - SOF'!M75</f>
        <v>#DIV/0!</v>
      </c>
      <c r="AR35" s="1890"/>
      <c r="AS35" s="1889" t="e">
        <f>AS34/'Data Entry - SOF'!M75</f>
        <v>#DIV/0!</v>
      </c>
      <c r="AT35" s="1890"/>
      <c r="AU35" s="1889" t="e">
        <f>AU34/'Data Entry - SOF'!M75</f>
        <v>#DIV/0!</v>
      </c>
      <c r="AV35" s="1890"/>
      <c r="AW35" s="1891" t="e">
        <f>AW34/'Data Entry - SOF'!M75</f>
        <v>#DIV/0!</v>
      </c>
      <c r="AY35" s="1507" t="e">
        <f>AY34/'Data Entry - SOF'!O75</f>
        <v>#DIV/0!</v>
      </c>
      <c r="AZ35" s="1508"/>
      <c r="BA35" s="1507" t="e">
        <f>BA34/'Data Entry - SOF'!O75</f>
        <v>#DIV/0!</v>
      </c>
      <c r="BB35" s="1508"/>
      <c r="BC35" s="1507" t="e">
        <f>BC34/'Data Entry - SOF'!O75</f>
        <v>#DIV/0!</v>
      </c>
      <c r="BD35" s="1508"/>
      <c r="BE35" s="1662" t="e">
        <f>BE34/'Data Entry - SOF'!O75</f>
        <v>#DIV/0!</v>
      </c>
      <c r="BG35" s="1926" t="e">
        <f>BG34/'Data Entry - SOF'!Q75</f>
        <v>#DIV/0!</v>
      </c>
      <c r="BH35" s="1927"/>
      <c r="BI35" s="1926" t="e">
        <f>BI34/'Data Entry - SOF'!Q75</f>
        <v>#DIV/0!</v>
      </c>
      <c r="BJ35" s="1927"/>
      <c r="BK35" s="1926" t="e">
        <f>BK34/'Data Entry - SOF'!Q75</f>
        <v>#DIV/0!</v>
      </c>
      <c r="BL35" s="1927"/>
      <c r="BM35" s="1928" t="e">
        <f>BM34/'Data Entry - SOF'!Q75</f>
        <v>#DIV/0!</v>
      </c>
      <c r="BO35" s="2679" t="e">
        <f>BO34/'Data Entry - SOF'!E75</f>
        <v>#REF!</v>
      </c>
      <c r="BP35" s="2679" t="e">
        <f>BP34/'Data Entry - SOF'!E75</f>
        <v>#REF!</v>
      </c>
      <c r="BQ35" s="2679" t="e">
        <f>BQ34/'Data Entry - SOF'!E75</f>
        <v>#REF!</v>
      </c>
      <c r="BR35" s="2679" t="e">
        <f>BR34/'Data Entry - SOF'!E75</f>
        <v>#REF!</v>
      </c>
      <c r="CC35" s="352" t="e">
        <f>CC34/'Data Entry - SOF'!#REF!</f>
        <v>#REF!</v>
      </c>
      <c r="CD35" s="353"/>
      <c r="CE35" s="352" t="e">
        <f>CE34/'Data Entry - SOF'!#REF!</f>
        <v>#REF!</v>
      </c>
      <c r="CF35" s="353"/>
      <c r="CG35" s="352" t="e">
        <f>CG34/'Data Entry - SOF'!#REF!</f>
        <v>#REF!</v>
      </c>
      <c r="CH35" s="353"/>
      <c r="CI35" s="352" t="e">
        <f>CI34/'Data Entry - SOF'!#REF!</f>
        <v>#REF!</v>
      </c>
      <c r="CK35" s="933" t="e">
        <f>CK34/'Data Entry - SOF'!#REF!</f>
        <v>#REF!</v>
      </c>
      <c r="CL35" s="934"/>
      <c r="CM35" s="933" t="e">
        <f>CM34/'Data Entry - SOF'!#REF!</f>
        <v>#REF!</v>
      </c>
      <c r="CN35" s="934"/>
      <c r="CO35" s="933" t="e">
        <f>CO34/'Data Entry - SOF'!#REF!</f>
        <v>#REF!</v>
      </c>
      <c r="CP35" s="934"/>
      <c r="CQ35" s="933" t="e">
        <f>CQ34/'Data Entry - SOF'!#REF!</f>
        <v>#REF!</v>
      </c>
      <c r="CS35" s="909" t="e">
        <f>CS34/'Data Entry - SOF'!#REF!</f>
        <v>#REF!</v>
      </c>
      <c r="CT35" s="910"/>
      <c r="CU35" s="909" t="e">
        <f>CU34/'Data Entry - SOF'!#REF!</f>
        <v>#REF!</v>
      </c>
      <c r="CV35" s="910"/>
      <c r="CW35" s="909" t="e">
        <f>CW34/'Data Entry - SOF'!#REF!</f>
        <v>#REF!</v>
      </c>
      <c r="CX35" s="910"/>
      <c r="CY35" s="909" t="e">
        <f>CY34/'Data Entry - SOF'!#REF!</f>
        <v>#REF!</v>
      </c>
      <c r="DA35" s="887" t="e">
        <f>DA34/'Data Entry - SOF'!#REF!</f>
        <v>#REF!</v>
      </c>
      <c r="DB35" s="888"/>
      <c r="DC35" s="887" t="e">
        <f>DC34/'Data Entry - SOF'!#REF!</f>
        <v>#REF!</v>
      </c>
      <c r="DD35" s="888"/>
      <c r="DE35" s="887" t="e">
        <f>DE34/'Data Entry - SOF'!#REF!</f>
        <v>#REF!</v>
      </c>
      <c r="DF35" s="888"/>
      <c r="DG35" s="887" t="e">
        <f>DG34/'Data Entry - SOF'!#REF!</f>
        <v>#REF!</v>
      </c>
      <c r="DI35" s="909" t="e">
        <f>DI34/'Data Entry - SOF'!C75</f>
        <v>#REF!</v>
      </c>
      <c r="DJ35" s="910"/>
      <c r="DK35" s="909" t="e">
        <f>DK34/'Data Entry - SOF'!C75</f>
        <v>#REF!</v>
      </c>
      <c r="DL35" s="910"/>
      <c r="DM35" s="909" t="e">
        <f>DM34/'Data Entry - SOF'!C75</f>
        <v>#REF!</v>
      </c>
      <c r="DN35" s="910"/>
      <c r="DO35" s="909" t="e">
        <f>DO34/'Data Entry - SOF'!C75</f>
        <v>#REF!</v>
      </c>
      <c r="DQ35" s="887" t="e">
        <f>DQ34/'Data Entry - SOF'!C75</f>
        <v>#REF!</v>
      </c>
      <c r="DR35" s="888"/>
      <c r="DS35" s="887" t="e">
        <f>DS34/'Data Entry - SOF'!C75</f>
        <v>#REF!</v>
      </c>
      <c r="DT35" s="888"/>
      <c r="DU35" s="887" t="e">
        <f>DU34/'Data Entry - SOF'!C75</f>
        <v>#REF!</v>
      </c>
      <c r="DV35" s="888"/>
      <c r="DW35" s="887" t="e">
        <f>DW34/'Data Entry - SOF'!C75</f>
        <v>#REF!</v>
      </c>
      <c r="DY35" s="909" t="e">
        <f>DY34/'Data Entry - SOF'!#REF!</f>
        <v>#REF!</v>
      </c>
      <c r="DZ35" s="910"/>
      <c r="EA35" s="909" t="e">
        <f>EA34/'Data Entry - SOF'!#REF!</f>
        <v>#REF!</v>
      </c>
      <c r="EB35" s="910"/>
      <c r="EC35" s="909" t="e">
        <f>EC34/'Data Entry - SOF'!#REF!</f>
        <v>#REF!</v>
      </c>
      <c r="ED35" s="910"/>
      <c r="EE35" s="909" t="e">
        <f>EE34/'Data Entry - SOF'!#REF!</f>
        <v>#REF!</v>
      </c>
      <c r="EG35" s="887" t="e">
        <f>EG34/'Data Entry - SOF'!E75</f>
        <v>#REF!</v>
      </c>
      <c r="EH35" s="888"/>
      <c r="EI35" s="887" t="e">
        <f>EI34/'Data Entry - SOF'!E75</f>
        <v>#REF!</v>
      </c>
      <c r="EJ35" s="888"/>
      <c r="EK35" s="887" t="e">
        <f>EK34/'Data Entry - SOF'!E75</f>
        <v>#REF!</v>
      </c>
      <c r="EL35" s="888"/>
      <c r="EM35" s="887" t="e">
        <f>EM34/'Data Entry - SOF'!E75</f>
        <v>#REF!</v>
      </c>
    </row>
    <row r="36" spans="1:143">
      <c r="A36" t="s">
        <v>185</v>
      </c>
      <c r="C36" s="2083" t="e">
        <f>C33/'Ch41 Calc Data'!K17</f>
        <v>#REF!</v>
      </c>
      <c r="D36" s="2057"/>
      <c r="E36" s="2083" t="e">
        <f>E33/'Ch41 Calc Data'!K17</f>
        <v>#REF!</v>
      </c>
      <c r="F36" s="2057"/>
      <c r="G36" s="2083" t="e">
        <f>G33/'Ch41 Calc Data'!K17</f>
        <v>#REF!</v>
      </c>
      <c r="H36" s="2057"/>
      <c r="I36" s="2388" t="e">
        <f>I33/'Ch41 Calc Data'!K17</f>
        <v>#REF!</v>
      </c>
      <c r="K36" s="1553" t="e">
        <f>K33/'Ch41 Calc Data'!L17</f>
        <v>#REF!</v>
      </c>
      <c r="L36" s="1554"/>
      <c r="M36" s="1553" t="e">
        <f>M33/'Ch41 Calc Data'!L17</f>
        <v>#REF!</v>
      </c>
      <c r="N36" s="1554"/>
      <c r="O36" s="1553" t="e">
        <f>O33/'Ch41 Calc Data'!L17</f>
        <v>#REF!</v>
      </c>
      <c r="P36" s="1554"/>
      <c r="Q36" s="1621" t="e">
        <f>Q33/'Ch41 Calc Data'!L17</f>
        <v>#REF!</v>
      </c>
      <c r="S36" s="692" t="e">
        <f>S33/'Ch41 Calc Data'!M17</f>
        <v>#DIV/0!</v>
      </c>
      <c r="T36" s="680"/>
      <c r="U36" s="692" t="e">
        <f>U33/'Ch41 Calc Data'!M17</f>
        <v>#DIV/0!</v>
      </c>
      <c r="V36" s="680"/>
      <c r="W36" s="692" t="e">
        <f>W33/'Ch41 Calc Data'!M17</f>
        <v>#DIV/0!</v>
      </c>
      <c r="X36" s="680"/>
      <c r="Y36" s="1631" t="e">
        <f>Y33/'Ch41 Calc Data'!M17</f>
        <v>#DIV/0!</v>
      </c>
      <c r="AA36" s="1837" t="e">
        <f>AA33/'Ch41 Calc Data'!N17</f>
        <v>#DIV/0!</v>
      </c>
      <c r="AB36" s="1838"/>
      <c r="AC36" s="1837" t="e">
        <f>AC33/'Ch41 Calc Data'!N17</f>
        <v>#DIV/0!</v>
      </c>
      <c r="AD36" s="1838"/>
      <c r="AE36" s="1837" t="e">
        <f>AE33/'Ch41 Calc Data'!N17</f>
        <v>#DIV/0!</v>
      </c>
      <c r="AF36" s="1838"/>
      <c r="AG36" s="1839" t="e">
        <f>AG33/'Ch41 Calc Data'!N17</f>
        <v>#DIV/0!</v>
      </c>
      <c r="AI36" s="863" t="e">
        <f>AI33/'Ch41 Calc Data'!O17</f>
        <v>#DIV/0!</v>
      </c>
      <c r="AJ36" s="864"/>
      <c r="AK36" s="863" t="e">
        <f>AK33/'Ch41 Calc Data'!O17</f>
        <v>#DIV/0!</v>
      </c>
      <c r="AL36" s="864"/>
      <c r="AM36" s="863" t="e">
        <f>AM33/'Ch41 Calc Data'!O17</f>
        <v>#DIV/0!</v>
      </c>
      <c r="AN36" s="864"/>
      <c r="AO36" s="1650" t="e">
        <f>AO33/'Ch41 Calc Data'!O17</f>
        <v>#DIV/0!</v>
      </c>
      <c r="AQ36" s="1892" t="e">
        <f>AQ33/'Ch41 Calc Data'!P17</f>
        <v>#DIV/0!</v>
      </c>
      <c r="AR36" s="1893"/>
      <c r="AS36" s="1892" t="e">
        <f>AS33/'Ch41 Calc Data'!P17</f>
        <v>#DIV/0!</v>
      </c>
      <c r="AT36" s="1893"/>
      <c r="AU36" s="1892" t="e">
        <f>AU33/'Ch41 Calc Data'!P17</f>
        <v>#DIV/0!</v>
      </c>
      <c r="AV36" s="1893"/>
      <c r="AW36" s="1894" t="e">
        <f>AW33/'Ch41 Calc Data'!P17</f>
        <v>#DIV/0!</v>
      </c>
      <c r="AY36" s="1515" t="e">
        <f>AY33/'Ch41 Calc Data'!Q17</f>
        <v>#DIV/0!</v>
      </c>
      <c r="AZ36" s="1516"/>
      <c r="BA36" s="1515" t="e">
        <f>BA33/'Ch41 Calc Data'!Q17</f>
        <v>#DIV/0!</v>
      </c>
      <c r="BB36" s="1516"/>
      <c r="BC36" s="1515" t="e">
        <f>BC33/'Ch41 Calc Data'!Q17</f>
        <v>#DIV/0!</v>
      </c>
      <c r="BD36" s="1516"/>
      <c r="BE36" s="1657" t="e">
        <f>BE33/'Ch41 Calc Data'!Q17</f>
        <v>#DIV/0!</v>
      </c>
      <c r="BG36" s="1914" t="e">
        <f>BG33/'Ch41 Calc Data'!R17</f>
        <v>#DIV/0!</v>
      </c>
      <c r="BH36" s="1915"/>
      <c r="BI36" s="1914" t="e">
        <f>BI33/'Ch41 Calc Data'!R17</f>
        <v>#DIV/0!</v>
      </c>
      <c r="BJ36" s="1915"/>
      <c r="BK36" s="1914" t="e">
        <f>BK33/'Ch41 Calc Data'!R17</f>
        <v>#DIV/0!</v>
      </c>
      <c r="BL36" s="1915"/>
      <c r="BM36" s="1916" t="e">
        <f>BM33/'Ch41 Calc Data'!R17</f>
        <v>#DIV/0!</v>
      </c>
      <c r="BO36" s="2472" t="e">
        <f>BO33/'Ch41 Calc Data'!M20</f>
        <v>#REF!</v>
      </c>
      <c r="BP36" s="2472" t="e">
        <f>BP33/'Ch41 Calc Data'!M20</f>
        <v>#REF!</v>
      </c>
      <c r="BQ36" s="2472" t="e">
        <f>BQ33/'Ch41 Calc Data'!M20</f>
        <v>#REF!</v>
      </c>
      <c r="BR36" s="2472"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35" t="e">
        <f>CK33/'Ch41 Calc Data'!AB17</f>
        <v>#REF!</v>
      </c>
      <c r="CL36" s="936"/>
      <c r="CM36" s="935" t="e">
        <f>CM33/'Ch41 Calc Data'!AB17</f>
        <v>#REF!</v>
      </c>
      <c r="CN36" s="936"/>
      <c r="CO36" s="935" t="e">
        <f>CO33/'Ch41 Calc Data'!AB17</f>
        <v>#REF!</v>
      </c>
      <c r="CP36" s="936"/>
      <c r="CQ36" s="935" t="e">
        <f>CQ33/'Ch41 Calc Data'!AB17</f>
        <v>#REF!</v>
      </c>
      <c r="CS36" s="911" t="e">
        <f>CS33/'Ch41 Calc Data'!AC17</f>
        <v>#REF!</v>
      </c>
      <c r="CT36" s="912"/>
      <c r="CU36" s="911" t="e">
        <f>CU33/'Ch41 Calc Data'!AC17</f>
        <v>#REF!</v>
      </c>
      <c r="CV36" s="912"/>
      <c r="CW36" s="911" t="e">
        <f>CW33/'Ch41 Calc Data'!AC17</f>
        <v>#REF!</v>
      </c>
      <c r="CX36" s="912"/>
      <c r="CY36" s="911" t="e">
        <f>CY33/'Ch41 Calc Data'!AC17</f>
        <v>#REF!</v>
      </c>
      <c r="DA36" s="800" t="e">
        <f>DA33/'Ch41 Calc Data'!AD17</f>
        <v>#REF!</v>
      </c>
      <c r="DB36" s="889"/>
      <c r="DC36" s="800" t="e">
        <f>DC33/'Ch41 Calc Data'!AD17</f>
        <v>#REF!</v>
      </c>
      <c r="DD36" s="889"/>
      <c r="DE36" s="800" t="e">
        <f>DE33/'Ch41 Calc Data'!AD17</f>
        <v>#REF!</v>
      </c>
      <c r="DF36" s="889"/>
      <c r="DG36" s="800" t="e">
        <f>DG33/'Ch41 Calc Data'!AD17</f>
        <v>#REF!</v>
      </c>
      <c r="DI36" s="911" t="e">
        <f>DI33/'Ch41 Calc Data'!AE17</f>
        <v>#REF!</v>
      </c>
      <c r="DJ36" s="912"/>
      <c r="DK36" s="911" t="e">
        <f>DK33/'Ch41 Calc Data'!AE17</f>
        <v>#REF!</v>
      </c>
      <c r="DL36" s="912"/>
      <c r="DM36" s="911" t="e">
        <f>DM33/'Ch41 Calc Data'!AE17</f>
        <v>#REF!</v>
      </c>
      <c r="DN36" s="912"/>
      <c r="DO36" s="911" t="e">
        <f>DO33/'Ch41 Calc Data'!AE17</f>
        <v>#REF!</v>
      </c>
      <c r="DQ36" s="800" t="e">
        <f>DQ33/'Ch41 Calc Data'!AF17</f>
        <v>#REF!</v>
      </c>
      <c r="DR36" s="889"/>
      <c r="DS36" s="800" t="e">
        <f>DS33/'Ch41 Calc Data'!AF17</f>
        <v>#REF!</v>
      </c>
      <c r="DT36" s="889"/>
      <c r="DU36" s="800" t="e">
        <f>DU33/'Ch41 Calc Data'!AF17</f>
        <v>#REF!</v>
      </c>
      <c r="DV36" s="889"/>
      <c r="DW36" s="800" t="e">
        <f>DW33/'Ch41 Calc Data'!AF17</f>
        <v>#REF!</v>
      </c>
      <c r="DY36" s="911" t="e">
        <f>DY33/'Ch41 Calc Data'!AG17</f>
        <v>#REF!</v>
      </c>
      <c r="DZ36" s="912"/>
      <c r="EA36" s="911" t="e">
        <f>EA33/'Ch41 Calc Data'!AG17</f>
        <v>#REF!</v>
      </c>
      <c r="EB36" s="912"/>
      <c r="EC36" s="911" t="e">
        <f>EC33/'Ch41 Calc Data'!AG17</f>
        <v>#REF!</v>
      </c>
      <c r="ED36" s="912"/>
      <c r="EE36" s="911" t="e">
        <f>EE33/'Ch41 Calc Data'!AG17</f>
        <v>#REF!</v>
      </c>
      <c r="EG36" s="800" t="e">
        <f>EG33/'Ch41 Calc Data'!AH17</f>
        <v>#REF!</v>
      </c>
      <c r="EH36" s="889"/>
      <c r="EI36" s="800" t="e">
        <f>EI33/'Ch41 Calc Data'!AH17</f>
        <v>#REF!</v>
      </c>
      <c r="EJ36" s="889"/>
      <c r="EK36" s="800" t="e">
        <f>EK33/'Ch41 Calc Data'!AH17</f>
        <v>#REF!</v>
      </c>
      <c r="EL36" s="889"/>
      <c r="EM36" s="800" t="e">
        <f>EM33/'Ch41 Calc Data'!AH17</f>
        <v>#REF!</v>
      </c>
    </row>
    <row r="37" spans="1:143">
      <c r="I37" s="2070"/>
      <c r="K37" s="1554"/>
      <c r="L37" s="1554"/>
      <c r="M37" s="1554"/>
      <c r="N37" s="1554"/>
      <c r="O37" s="1554"/>
      <c r="P37" s="1554"/>
      <c r="Q37" s="1622"/>
      <c r="Y37" s="1093"/>
      <c r="AG37" s="1818"/>
      <c r="AO37" s="1642"/>
      <c r="AW37" s="1873"/>
      <c r="AY37" s="1516"/>
      <c r="AZ37" s="1516"/>
      <c r="BA37" s="1516"/>
      <c r="BB37" s="1516"/>
      <c r="BC37" s="1516"/>
      <c r="BD37" s="1516"/>
      <c r="BE37" s="1660"/>
      <c r="BG37" s="1915"/>
      <c r="BH37" s="1915"/>
      <c r="BI37" s="1915"/>
      <c r="BJ37" s="1915"/>
      <c r="BK37" s="1915"/>
      <c r="BL37" s="1915"/>
      <c r="BM37" s="1923"/>
      <c r="BO37" s="1472"/>
      <c r="BP37" s="1472"/>
      <c r="BQ37" s="1472"/>
      <c r="BR37" s="1472"/>
    </row>
    <row r="38" spans="1:143" ht="15.75">
      <c r="A38" s="30" t="s">
        <v>2094</v>
      </c>
      <c r="I38" s="2070"/>
      <c r="K38" s="1554"/>
      <c r="L38" s="1554"/>
      <c r="M38" s="1554"/>
      <c r="N38" s="1554"/>
      <c r="O38" s="1554"/>
      <c r="P38" s="1554"/>
      <c r="Q38" s="1622"/>
      <c r="Y38" s="1093"/>
      <c r="AG38" s="1818"/>
      <c r="AO38" s="1642"/>
      <c r="AW38" s="1873"/>
      <c r="AY38" s="1516"/>
      <c r="AZ38" s="1516"/>
      <c r="BA38" s="1516"/>
      <c r="BB38" s="1516"/>
      <c r="BC38" s="1516"/>
      <c r="BD38" s="1516"/>
      <c r="BE38" s="1660"/>
      <c r="BG38" s="1915"/>
      <c r="BH38" s="1915"/>
      <c r="BI38" s="1915"/>
      <c r="BJ38" s="1915"/>
      <c r="BK38" s="1915"/>
      <c r="BL38" s="1915"/>
      <c r="BM38" s="1923"/>
      <c r="BO38" s="1472"/>
      <c r="BP38" s="1472"/>
      <c r="BQ38" s="1472"/>
      <c r="BR38" s="1472"/>
    </row>
    <row r="39" spans="1:143">
      <c r="A39" t="s">
        <v>917</v>
      </c>
      <c r="C39" s="2083" t="e">
        <f>'Calc Data'!C30</f>
        <v>#REF!</v>
      </c>
      <c r="D39" s="2057"/>
      <c r="E39" s="2083" t="e">
        <f>C39</f>
        <v>#REF!</v>
      </c>
      <c r="F39" s="2057"/>
      <c r="G39" s="2083"/>
      <c r="H39" s="2057"/>
      <c r="I39" s="2388"/>
      <c r="K39" s="1553" t="e">
        <f>'Calc Data'!D30</f>
        <v>#REF!</v>
      </c>
      <c r="L39" s="1554"/>
      <c r="M39" s="1553" t="e">
        <f>K39</f>
        <v>#REF!</v>
      </c>
      <c r="N39" s="1554"/>
      <c r="O39" s="1553"/>
      <c r="P39" s="1554"/>
      <c r="Q39" s="1621"/>
      <c r="S39" s="692">
        <f>'Calc Data'!E30</f>
        <v>0</v>
      </c>
      <c r="T39" s="680"/>
      <c r="U39" s="692">
        <f>S39</f>
        <v>0</v>
      </c>
      <c r="V39" s="680"/>
      <c r="W39" s="692"/>
      <c r="X39" s="680"/>
      <c r="Y39" s="1631"/>
      <c r="AA39" s="1837">
        <f>'Calc Data'!F30</f>
        <v>0</v>
      </c>
      <c r="AB39" s="1838"/>
      <c r="AC39" s="1837">
        <f>AA39</f>
        <v>0</v>
      </c>
      <c r="AD39" s="1838"/>
      <c r="AE39" s="1837"/>
      <c r="AF39" s="1838"/>
      <c r="AG39" s="1839"/>
      <c r="AI39" s="863">
        <f>'Calc Data'!G30</f>
        <v>0</v>
      </c>
      <c r="AJ39" s="864"/>
      <c r="AK39" s="863">
        <f>AI39</f>
        <v>0</v>
      </c>
      <c r="AL39" s="864"/>
      <c r="AM39" s="863"/>
      <c r="AN39" s="864"/>
      <c r="AO39" s="1650"/>
      <c r="AQ39" s="1892">
        <f>'Calc Data'!H30</f>
        <v>0</v>
      </c>
      <c r="AR39" s="1893"/>
      <c r="AS39" s="1892">
        <f>AQ39</f>
        <v>0</v>
      </c>
      <c r="AT39" s="1893"/>
      <c r="AU39" s="1892"/>
      <c r="AV39" s="1893"/>
      <c r="AW39" s="1894"/>
      <c r="AY39" s="1515">
        <f>'Calc Data'!I30</f>
        <v>0</v>
      </c>
      <c r="AZ39" s="1516"/>
      <c r="BA39" s="1515">
        <f>AY39</f>
        <v>0</v>
      </c>
      <c r="BB39" s="1516"/>
      <c r="BC39" s="1515"/>
      <c r="BD39" s="1516"/>
      <c r="BE39" s="1657"/>
      <c r="BG39" s="1914">
        <f>'Calc Data'!J30</f>
        <v>0</v>
      </c>
      <c r="BH39" s="1915"/>
      <c r="BI39" s="1914">
        <f>BG39</f>
        <v>0</v>
      </c>
      <c r="BJ39" s="1915"/>
      <c r="BK39" s="1914"/>
      <c r="BL39" s="1915"/>
      <c r="BM39" s="1916"/>
      <c r="BO39" s="2472">
        <f>'Calc Data'!X32</f>
        <v>0</v>
      </c>
      <c r="BP39" s="2472">
        <f>BO39</f>
        <v>0</v>
      </c>
      <c r="BQ39" s="2472"/>
      <c r="BR39" s="2472"/>
      <c r="CC39" s="354" t="e">
        <f>'Calc Data'!#REF!</f>
        <v>#REF!</v>
      </c>
      <c r="CD39" s="355"/>
      <c r="CE39" s="354" t="e">
        <f>CC39</f>
        <v>#REF!</v>
      </c>
      <c r="CF39" s="355"/>
      <c r="CG39" s="354"/>
      <c r="CH39" s="355"/>
      <c r="CI39" s="354"/>
      <c r="CK39" s="935" t="e">
        <f>'Calc Data'!#REF!</f>
        <v>#REF!</v>
      </c>
      <c r="CL39" s="936"/>
      <c r="CM39" s="935" t="e">
        <f>CK39</f>
        <v>#REF!</v>
      </c>
      <c r="CN39" s="936"/>
      <c r="CO39" s="935"/>
      <c r="CP39" s="936"/>
      <c r="CQ39" s="935"/>
      <c r="CS39" s="911" t="e">
        <f>'Calc Data'!#REF!</f>
        <v>#REF!</v>
      </c>
      <c r="CT39" s="912"/>
      <c r="CU39" s="911" t="e">
        <f>CS39</f>
        <v>#REF!</v>
      </c>
      <c r="CV39" s="912"/>
      <c r="CW39" s="911"/>
      <c r="CX39" s="912"/>
      <c r="CY39" s="911"/>
      <c r="DA39" s="800" t="e">
        <f>'Calc Data'!C30</f>
        <v>#REF!</v>
      </c>
      <c r="DB39" s="889"/>
      <c r="DC39" s="800" t="e">
        <f>DA39</f>
        <v>#REF!</v>
      </c>
      <c r="DD39" s="889"/>
      <c r="DE39" s="800"/>
      <c r="DF39" s="889"/>
      <c r="DG39" s="800"/>
      <c r="DI39" s="911" t="e">
        <f>'Calc Data'!C30</f>
        <v>#REF!</v>
      </c>
      <c r="DJ39" s="912"/>
      <c r="DK39" s="911" t="e">
        <f>DI39</f>
        <v>#REF!</v>
      </c>
      <c r="DL39" s="912"/>
      <c r="DM39" s="911"/>
      <c r="DN39" s="912"/>
      <c r="DO39" s="911"/>
      <c r="DQ39" s="800" t="e">
        <f>'Calc Data'!C30</f>
        <v>#REF!</v>
      </c>
      <c r="DR39" s="889"/>
      <c r="DS39" s="800" t="e">
        <f>DQ39</f>
        <v>#REF!</v>
      </c>
      <c r="DT39" s="889"/>
      <c r="DU39" s="800"/>
      <c r="DV39" s="889"/>
      <c r="DW39" s="800"/>
      <c r="DY39" s="911" t="e">
        <f>'Calc Data'!D30</f>
        <v>#REF!</v>
      </c>
      <c r="DZ39" s="912"/>
      <c r="EA39" s="911" t="e">
        <f>DY39</f>
        <v>#REF!</v>
      </c>
      <c r="EB39" s="912"/>
      <c r="EC39" s="911"/>
      <c r="ED39" s="912"/>
      <c r="EE39" s="911"/>
      <c r="EG39" s="800">
        <f>'Calc Data'!E30</f>
        <v>0</v>
      </c>
      <c r="EH39" s="889"/>
      <c r="EI39" s="800">
        <f>EG39</f>
        <v>0</v>
      </c>
      <c r="EJ39" s="889"/>
      <c r="EK39" s="800"/>
      <c r="EL39" s="889"/>
      <c r="EM39" s="800"/>
    </row>
    <row r="40" spans="1:143">
      <c r="A40" t="s">
        <v>729</v>
      </c>
      <c r="C40" s="2083"/>
      <c r="D40" s="2057"/>
      <c r="E40" s="2083"/>
      <c r="F40" s="2057"/>
      <c r="G40" s="2083" t="e">
        <f>'Calc Data'!C37</f>
        <v>#REF!</v>
      </c>
      <c r="H40" s="2057"/>
      <c r="I40" s="2388" t="e">
        <f>G40</f>
        <v>#REF!</v>
      </c>
      <c r="K40" s="1553"/>
      <c r="L40" s="1554"/>
      <c r="M40" s="1553"/>
      <c r="N40" s="1554"/>
      <c r="O40" s="1553" t="e">
        <f>'Calc Data'!D37</f>
        <v>#REF!</v>
      </c>
      <c r="P40" s="1554"/>
      <c r="Q40" s="1621" t="e">
        <f>O40</f>
        <v>#REF!</v>
      </c>
      <c r="S40" s="692"/>
      <c r="T40" s="680"/>
      <c r="U40" s="692"/>
      <c r="V40" s="680"/>
      <c r="W40" s="692">
        <f>'Calc Data'!E37</f>
        <v>0</v>
      </c>
      <c r="X40" s="680"/>
      <c r="Y40" s="1631">
        <f>W40</f>
        <v>0</v>
      </c>
      <c r="AA40" s="1837"/>
      <c r="AB40" s="1838"/>
      <c r="AC40" s="1837"/>
      <c r="AD40" s="1838"/>
      <c r="AE40" s="1837">
        <f>'Calc Data'!F37</f>
        <v>0</v>
      </c>
      <c r="AF40" s="1838"/>
      <c r="AG40" s="1839">
        <f>AE40</f>
        <v>0</v>
      </c>
      <c r="AI40" s="863"/>
      <c r="AJ40" s="864"/>
      <c r="AK40" s="863"/>
      <c r="AL40" s="864"/>
      <c r="AM40" s="863">
        <f>'Calc Data'!G37</f>
        <v>0</v>
      </c>
      <c r="AN40" s="864"/>
      <c r="AO40" s="1650">
        <f>AM40</f>
        <v>0</v>
      </c>
      <c r="AQ40" s="1892"/>
      <c r="AR40" s="1893"/>
      <c r="AS40" s="1892"/>
      <c r="AT40" s="1893"/>
      <c r="AU40" s="1892">
        <f>'Calc Data'!H37</f>
        <v>0</v>
      </c>
      <c r="AV40" s="1893"/>
      <c r="AW40" s="1894">
        <f>AU40</f>
        <v>0</v>
      </c>
      <c r="AY40" s="1515"/>
      <c r="AZ40" s="1516"/>
      <c r="BA40" s="1515"/>
      <c r="BB40" s="1516"/>
      <c r="BC40" s="1515">
        <f>'Calc Data'!I37</f>
        <v>0</v>
      </c>
      <c r="BD40" s="1516"/>
      <c r="BE40" s="1657">
        <f>BC40</f>
        <v>0</v>
      </c>
      <c r="BG40" s="1914"/>
      <c r="BH40" s="1915"/>
      <c r="BI40" s="1914"/>
      <c r="BJ40" s="1915"/>
      <c r="BK40" s="1914">
        <f>'Calc Data'!J37</f>
        <v>0</v>
      </c>
      <c r="BL40" s="1915"/>
      <c r="BM40" s="1916">
        <f>BK40</f>
        <v>0</v>
      </c>
      <c r="BO40" s="2472"/>
      <c r="BP40" s="2472"/>
      <c r="BQ40" s="2698">
        <f>'Calc Data'!X31</f>
        <v>0</v>
      </c>
      <c r="BR40" s="2472">
        <f>BQ40</f>
        <v>0</v>
      </c>
      <c r="CC40" s="354"/>
      <c r="CD40" s="355"/>
      <c r="CE40" s="354"/>
      <c r="CF40" s="355"/>
      <c r="CG40" s="354" t="e">
        <f>'Calc Data'!#REF!</f>
        <v>#REF!</v>
      </c>
      <c r="CH40" s="355"/>
      <c r="CI40" s="354" t="e">
        <f>CG40</f>
        <v>#REF!</v>
      </c>
      <c r="CK40" s="935"/>
      <c r="CL40" s="936"/>
      <c r="CM40" s="935"/>
      <c r="CN40" s="936"/>
      <c r="CO40" s="935" t="e">
        <f>'Calc Data'!#REF!</f>
        <v>#REF!</v>
      </c>
      <c r="CP40" s="936"/>
      <c r="CQ40" s="935" t="e">
        <f>CO40</f>
        <v>#REF!</v>
      </c>
      <c r="CS40" s="911"/>
      <c r="CT40" s="912"/>
      <c r="CU40" s="911"/>
      <c r="CV40" s="912"/>
      <c r="CW40" s="911" t="e">
        <f>'Calc Data'!#REF!</f>
        <v>#REF!</v>
      </c>
      <c r="CX40" s="912"/>
      <c r="CY40" s="911" t="e">
        <f>CW40</f>
        <v>#REF!</v>
      </c>
      <c r="DA40" s="800"/>
      <c r="DB40" s="889"/>
      <c r="DC40" s="800"/>
      <c r="DD40" s="889"/>
      <c r="DE40" s="800" t="e">
        <f>'Calc Data'!C37</f>
        <v>#REF!</v>
      </c>
      <c r="DF40" s="889"/>
      <c r="DG40" s="800" t="e">
        <f>DE40</f>
        <v>#REF!</v>
      </c>
      <c r="DI40" s="911"/>
      <c r="DJ40" s="912"/>
      <c r="DK40" s="911"/>
      <c r="DL40" s="912"/>
      <c r="DM40" s="911" t="e">
        <f>'Calc Data'!C37</f>
        <v>#REF!</v>
      </c>
      <c r="DN40" s="912"/>
      <c r="DO40" s="911" t="e">
        <f>DM40</f>
        <v>#REF!</v>
      </c>
      <c r="DQ40" s="800"/>
      <c r="DR40" s="889"/>
      <c r="DS40" s="800"/>
      <c r="DT40" s="889"/>
      <c r="DU40" s="800" t="e">
        <f>'Calc Data'!D37</f>
        <v>#REF!</v>
      </c>
      <c r="DV40" s="889"/>
      <c r="DW40" s="800" t="e">
        <f>DU40</f>
        <v>#REF!</v>
      </c>
      <c r="DY40" s="911"/>
      <c r="DZ40" s="912"/>
      <c r="EA40" s="911"/>
      <c r="EB40" s="912"/>
      <c r="EC40" s="911" t="e">
        <f>'Calc Data'!D37</f>
        <v>#REF!</v>
      </c>
      <c r="ED40" s="912"/>
      <c r="EE40" s="911" t="e">
        <f>EC40</f>
        <v>#REF!</v>
      </c>
      <c r="EG40" s="800"/>
      <c r="EH40" s="889"/>
      <c r="EI40" s="800"/>
      <c r="EJ40" s="889"/>
      <c r="EK40" s="800">
        <f>'Calc Data'!E37</f>
        <v>0</v>
      </c>
      <c r="EL40" s="889"/>
      <c r="EM40" s="800">
        <f>EK40</f>
        <v>0</v>
      </c>
    </row>
    <row r="41" spans="1:143">
      <c r="A41" t="s">
        <v>1178</v>
      </c>
      <c r="C41" s="2083" t="e">
        <f>C39</f>
        <v>#REF!</v>
      </c>
      <c r="D41" s="2057"/>
      <c r="E41" s="2083" t="e">
        <f>E39</f>
        <v>#REF!</v>
      </c>
      <c r="F41" s="2057"/>
      <c r="G41" s="2083" t="e">
        <f>G40</f>
        <v>#REF!</v>
      </c>
      <c r="H41" s="2057"/>
      <c r="I41" s="2388" t="e">
        <f>I40</f>
        <v>#REF!</v>
      </c>
      <c r="K41" s="1553" t="e">
        <f>K39</f>
        <v>#REF!</v>
      </c>
      <c r="L41" s="1554"/>
      <c r="M41" s="1553" t="e">
        <f>M39</f>
        <v>#REF!</v>
      </c>
      <c r="N41" s="1554"/>
      <c r="O41" s="1553" t="e">
        <f>O40</f>
        <v>#REF!</v>
      </c>
      <c r="P41" s="1554"/>
      <c r="Q41" s="1621" t="e">
        <f>Q40</f>
        <v>#REF!</v>
      </c>
      <c r="S41" s="692">
        <f>S39</f>
        <v>0</v>
      </c>
      <c r="T41" s="680"/>
      <c r="U41" s="692">
        <f>U39</f>
        <v>0</v>
      </c>
      <c r="V41" s="680"/>
      <c r="W41" s="692">
        <f>W40</f>
        <v>0</v>
      </c>
      <c r="X41" s="680"/>
      <c r="Y41" s="1631">
        <f>Y40</f>
        <v>0</v>
      </c>
      <c r="AA41" s="1837">
        <f>AA39</f>
        <v>0</v>
      </c>
      <c r="AB41" s="1838"/>
      <c r="AC41" s="1837">
        <f>AC39</f>
        <v>0</v>
      </c>
      <c r="AD41" s="1838"/>
      <c r="AE41" s="1837">
        <f>AE40</f>
        <v>0</v>
      </c>
      <c r="AF41" s="1838"/>
      <c r="AG41" s="1839">
        <f>AG40</f>
        <v>0</v>
      </c>
      <c r="AI41" s="863">
        <f>AI39</f>
        <v>0</v>
      </c>
      <c r="AJ41" s="864"/>
      <c r="AK41" s="863">
        <f>AK39</f>
        <v>0</v>
      </c>
      <c r="AL41" s="864"/>
      <c r="AM41" s="863">
        <f>AM40</f>
        <v>0</v>
      </c>
      <c r="AN41" s="864"/>
      <c r="AO41" s="1650">
        <f>AO40</f>
        <v>0</v>
      </c>
      <c r="AQ41" s="1892">
        <f>AQ39</f>
        <v>0</v>
      </c>
      <c r="AR41" s="1893"/>
      <c r="AS41" s="1892">
        <f>AS39</f>
        <v>0</v>
      </c>
      <c r="AT41" s="1893"/>
      <c r="AU41" s="1892">
        <f>AU40</f>
        <v>0</v>
      </c>
      <c r="AV41" s="1893"/>
      <c r="AW41" s="1894">
        <f>AW40</f>
        <v>0</v>
      </c>
      <c r="AY41" s="1515">
        <f>AY39</f>
        <v>0</v>
      </c>
      <c r="AZ41" s="1516"/>
      <c r="BA41" s="1515">
        <f>BA39</f>
        <v>0</v>
      </c>
      <c r="BB41" s="1516"/>
      <c r="BC41" s="1515">
        <f>BC40</f>
        <v>0</v>
      </c>
      <c r="BD41" s="1516"/>
      <c r="BE41" s="1657">
        <f>BE40</f>
        <v>0</v>
      </c>
      <c r="BG41" s="1914">
        <f>BG39</f>
        <v>0</v>
      </c>
      <c r="BH41" s="1915"/>
      <c r="BI41" s="1914">
        <f>BI39</f>
        <v>0</v>
      </c>
      <c r="BJ41" s="1915"/>
      <c r="BK41" s="1914">
        <f>BK40</f>
        <v>0</v>
      </c>
      <c r="BL41" s="1915"/>
      <c r="BM41" s="1916">
        <f>BM40</f>
        <v>0</v>
      </c>
      <c r="BO41" s="2472">
        <f>BO39</f>
        <v>0</v>
      </c>
      <c r="BP41" s="2472">
        <f>BP39</f>
        <v>0</v>
      </c>
      <c r="BQ41" s="2472">
        <f>BQ40</f>
        <v>0</v>
      </c>
      <c r="BR41" s="2472">
        <f>BR40</f>
        <v>0</v>
      </c>
      <c r="CC41" s="354" t="e">
        <f>CC39</f>
        <v>#REF!</v>
      </c>
      <c r="CD41" s="355"/>
      <c r="CE41" s="354" t="e">
        <f>CE39</f>
        <v>#REF!</v>
      </c>
      <c r="CF41" s="355"/>
      <c r="CG41" s="354" t="e">
        <f>CG40</f>
        <v>#REF!</v>
      </c>
      <c r="CH41" s="355"/>
      <c r="CI41" s="354" t="e">
        <f>CI40</f>
        <v>#REF!</v>
      </c>
      <c r="CK41" s="935" t="e">
        <f>CK39</f>
        <v>#REF!</v>
      </c>
      <c r="CL41" s="936"/>
      <c r="CM41" s="935" t="e">
        <f>CM39</f>
        <v>#REF!</v>
      </c>
      <c r="CN41" s="936"/>
      <c r="CO41" s="935" t="e">
        <f>CO40</f>
        <v>#REF!</v>
      </c>
      <c r="CP41" s="936"/>
      <c r="CQ41" s="935" t="e">
        <f>CQ40</f>
        <v>#REF!</v>
      </c>
      <c r="CS41" s="911" t="e">
        <f>CS39</f>
        <v>#REF!</v>
      </c>
      <c r="CT41" s="912"/>
      <c r="CU41" s="911" t="e">
        <f>CU39</f>
        <v>#REF!</v>
      </c>
      <c r="CV41" s="912"/>
      <c r="CW41" s="911" t="e">
        <f>CW40</f>
        <v>#REF!</v>
      </c>
      <c r="CX41" s="912"/>
      <c r="CY41" s="911" t="e">
        <f>CY40</f>
        <v>#REF!</v>
      </c>
      <c r="DA41" s="800" t="e">
        <f>DA39</f>
        <v>#REF!</v>
      </c>
      <c r="DB41" s="889"/>
      <c r="DC41" s="800" t="e">
        <f>DC39</f>
        <v>#REF!</v>
      </c>
      <c r="DD41" s="889"/>
      <c r="DE41" s="800" t="e">
        <f>DE40</f>
        <v>#REF!</v>
      </c>
      <c r="DF41" s="889"/>
      <c r="DG41" s="800" t="e">
        <f>DG40</f>
        <v>#REF!</v>
      </c>
      <c r="DI41" s="911" t="e">
        <f>DI39</f>
        <v>#REF!</v>
      </c>
      <c r="DJ41" s="912"/>
      <c r="DK41" s="911" t="e">
        <f>DK39</f>
        <v>#REF!</v>
      </c>
      <c r="DL41" s="912"/>
      <c r="DM41" s="911" t="e">
        <f>DM40</f>
        <v>#REF!</v>
      </c>
      <c r="DN41" s="912"/>
      <c r="DO41" s="911" t="e">
        <f>DO40</f>
        <v>#REF!</v>
      </c>
      <c r="DQ41" s="800" t="e">
        <f>DQ39</f>
        <v>#REF!</v>
      </c>
      <c r="DR41" s="889"/>
      <c r="DS41" s="800" t="e">
        <f>DS39</f>
        <v>#REF!</v>
      </c>
      <c r="DT41" s="889"/>
      <c r="DU41" s="800" t="e">
        <f>DU40</f>
        <v>#REF!</v>
      </c>
      <c r="DV41" s="889"/>
      <c r="DW41" s="800" t="e">
        <f>DW40</f>
        <v>#REF!</v>
      </c>
      <c r="DY41" s="911" t="e">
        <f>DY39</f>
        <v>#REF!</v>
      </c>
      <c r="DZ41" s="912"/>
      <c r="EA41" s="911" t="e">
        <f>EA39</f>
        <v>#REF!</v>
      </c>
      <c r="EB41" s="912"/>
      <c r="EC41" s="911" t="e">
        <f>EC40</f>
        <v>#REF!</v>
      </c>
      <c r="ED41" s="912"/>
      <c r="EE41" s="911" t="e">
        <f>EE40</f>
        <v>#REF!</v>
      </c>
      <c r="EG41" s="800">
        <f>EG39</f>
        <v>0</v>
      </c>
      <c r="EH41" s="889"/>
      <c r="EI41" s="800">
        <f>EI39</f>
        <v>0</v>
      </c>
      <c r="EJ41" s="889"/>
      <c r="EK41" s="800">
        <f>EK40</f>
        <v>0</v>
      </c>
      <c r="EL41" s="889"/>
      <c r="EM41" s="800">
        <f>EM40</f>
        <v>0</v>
      </c>
    </row>
    <row r="42" spans="1:143">
      <c r="A42" t="s">
        <v>2095</v>
      </c>
      <c r="C42" s="2081" t="e">
        <f>C35*C41</f>
        <v>#REF!</v>
      </c>
      <c r="D42" s="2085"/>
      <c r="E42" s="2081" t="e">
        <f>E35*E41</f>
        <v>#REF!</v>
      </c>
      <c r="F42" s="2085"/>
      <c r="G42" s="2081" t="e">
        <f>IF(G40&lt;1,0,G35*G41)</f>
        <v>#REF!</v>
      </c>
      <c r="H42" s="2085"/>
      <c r="I42" s="2384" t="e">
        <f>IF(I40&lt;1,0,I35*I41)</f>
        <v>#REF!</v>
      </c>
      <c r="K42" s="1553" t="e">
        <f>K35*K41</f>
        <v>#REF!</v>
      </c>
      <c r="L42" s="1554"/>
      <c r="M42" s="1553" t="e">
        <f>M35*M41</f>
        <v>#REF!</v>
      </c>
      <c r="N42" s="1554"/>
      <c r="O42" s="1553" t="e">
        <f>IF(O40&lt;1,0,O35*O41)</f>
        <v>#REF!</v>
      </c>
      <c r="P42" s="1554"/>
      <c r="Q42" s="1621" t="e">
        <f>IF(Q40&lt;1,0,Q35*Q41)</f>
        <v>#REF!</v>
      </c>
      <c r="S42" s="684" t="e">
        <f>S35*S41</f>
        <v>#DIV/0!</v>
      </c>
      <c r="T42" s="685"/>
      <c r="U42" s="684" t="e">
        <f>U35*U41</f>
        <v>#DIV/0!</v>
      </c>
      <c r="V42" s="685"/>
      <c r="W42" s="684">
        <f>IF(W40&lt;1,0,W35*W41)</f>
        <v>0</v>
      </c>
      <c r="X42" s="685"/>
      <c r="Y42" s="1627">
        <f>IF(Y40&lt;1,0,Y35*Y41)</f>
        <v>0</v>
      </c>
      <c r="AA42" s="1825" t="e">
        <f>AA35*AA41</f>
        <v>#DIV/0!</v>
      </c>
      <c r="AB42" s="1826"/>
      <c r="AC42" s="1825" t="e">
        <f>AC35*AC41</f>
        <v>#DIV/0!</v>
      </c>
      <c r="AD42" s="1826"/>
      <c r="AE42" s="1825">
        <f>IF(AE40&lt;1,0,AE35*AE41)</f>
        <v>0</v>
      </c>
      <c r="AF42" s="1826"/>
      <c r="AG42" s="1827">
        <f>IF(AG40&lt;1,0,AG35*AG41)</f>
        <v>0</v>
      </c>
      <c r="AI42" s="855" t="e">
        <f>AI35*AI41</f>
        <v>#DIV/0!</v>
      </c>
      <c r="AJ42" s="856"/>
      <c r="AK42" s="855" t="e">
        <f>AK35*AK41</f>
        <v>#DIV/0!</v>
      </c>
      <c r="AL42" s="856"/>
      <c r="AM42" s="855">
        <f>IF(AM40&lt;1,0,AM35*AM41)</f>
        <v>0</v>
      </c>
      <c r="AN42" s="856"/>
      <c r="AO42" s="1646">
        <f>IF(AO40&lt;1,0,AO35*AO41)</f>
        <v>0</v>
      </c>
      <c r="AQ42" s="1880" t="e">
        <f>AQ35*AQ41</f>
        <v>#DIV/0!</v>
      </c>
      <c r="AR42" s="1881"/>
      <c r="AS42" s="1880" t="e">
        <f>AS35*AS41</f>
        <v>#DIV/0!</v>
      </c>
      <c r="AT42" s="1881"/>
      <c r="AU42" s="1880">
        <f>IF(AU40&lt;1,0,AU35*AU41)</f>
        <v>0</v>
      </c>
      <c r="AV42" s="1881"/>
      <c r="AW42" s="1882">
        <f>IF(AW40&lt;1,0,AW35*AW41)</f>
        <v>0</v>
      </c>
      <c r="AY42" s="1515" t="e">
        <f>AY35*AY41</f>
        <v>#DIV/0!</v>
      </c>
      <c r="AZ42" s="1516"/>
      <c r="BA42" s="1515" t="e">
        <f>BA35*BA41</f>
        <v>#DIV/0!</v>
      </c>
      <c r="BB42" s="1516"/>
      <c r="BC42" s="1515">
        <f>IF(BC40&lt;1,0,BC35*BC41)</f>
        <v>0</v>
      </c>
      <c r="BD42" s="1516"/>
      <c r="BE42" s="1657">
        <f>IF(BE40&lt;1,0,BE35*BE41)</f>
        <v>0</v>
      </c>
      <c r="BG42" s="1914" t="e">
        <f>BG35*BG41</f>
        <v>#DIV/0!</v>
      </c>
      <c r="BH42" s="1915"/>
      <c r="BI42" s="1914" t="e">
        <f>BI35*BI41</f>
        <v>#DIV/0!</v>
      </c>
      <c r="BJ42" s="1915"/>
      <c r="BK42" s="1914">
        <f>IF(BK40&lt;1,0,BK35*BK41)</f>
        <v>0</v>
      </c>
      <c r="BL42" s="1915"/>
      <c r="BM42" s="1916">
        <f>IF(BM40&lt;1,0,BM35*BM41)</f>
        <v>0</v>
      </c>
      <c r="BO42" s="2676" t="e">
        <f>BO35*BO41</f>
        <v>#REF!</v>
      </c>
      <c r="BP42" s="2676" t="e">
        <f>BP35*BP41</f>
        <v>#REF!</v>
      </c>
      <c r="BQ42" s="2676">
        <f>IF(BQ40&lt;1,0,BQ35*BQ41)</f>
        <v>0</v>
      </c>
      <c r="BR42" s="2676">
        <f>IF(BR40&lt;1,0,BR35*BR41)</f>
        <v>0</v>
      </c>
      <c r="CC42" s="346" t="e">
        <f>CC35*CC41</f>
        <v>#REF!</v>
      </c>
      <c r="CD42" s="347"/>
      <c r="CE42" s="346" t="e">
        <f>CE35*CE41</f>
        <v>#REF!</v>
      </c>
      <c r="CF42" s="347"/>
      <c r="CG42" s="346" t="e">
        <f>IF(CG40&lt;1,0,CG35*CG41)</f>
        <v>#REF!</v>
      </c>
      <c r="CH42" s="347"/>
      <c r="CI42" s="346" t="e">
        <f>IF(CI40&lt;1,0,CI35*CI41)</f>
        <v>#REF!</v>
      </c>
      <c r="CK42" s="926" t="e">
        <f>CK35*CK41</f>
        <v>#REF!</v>
      </c>
      <c r="CL42" s="927"/>
      <c r="CM42" s="926" t="e">
        <f>CM35*CM41</f>
        <v>#REF!</v>
      </c>
      <c r="CN42" s="927"/>
      <c r="CO42" s="926" t="e">
        <f>IF(CO40&lt;1,0,CO35*CO41)</f>
        <v>#REF!</v>
      </c>
      <c r="CP42" s="927"/>
      <c r="CQ42" s="926" t="e">
        <f>IF(CQ40&lt;1,0,CQ35*CQ41)</f>
        <v>#REF!</v>
      </c>
      <c r="CS42" s="902" t="e">
        <f>CS35*CS41</f>
        <v>#REF!</v>
      </c>
      <c r="CT42" s="903"/>
      <c r="CU42" s="902" t="e">
        <f>CU35*CU41</f>
        <v>#REF!</v>
      </c>
      <c r="CV42" s="903"/>
      <c r="CW42" s="902" t="e">
        <f>IF(CW40&lt;1,0,CW35*CW41)</f>
        <v>#REF!</v>
      </c>
      <c r="CX42" s="903"/>
      <c r="CY42" s="902" t="e">
        <f>IF(CY40&lt;1,0,CY35*CY41)</f>
        <v>#REF!</v>
      </c>
      <c r="DA42" s="799" t="e">
        <f>DA35*DA41</f>
        <v>#REF!</v>
      </c>
      <c r="DB42" s="881"/>
      <c r="DC42" s="799" t="e">
        <f>DC35*DC41</f>
        <v>#REF!</v>
      </c>
      <c r="DD42" s="881"/>
      <c r="DE42" s="799" t="e">
        <f>IF(DE40&lt;1,0,DE35*DE41)</f>
        <v>#REF!</v>
      </c>
      <c r="DF42" s="881"/>
      <c r="DG42" s="799" t="e">
        <f>IF(DG40&lt;1,0,DG35*DG41)</f>
        <v>#REF!</v>
      </c>
      <c r="DI42" s="902" t="e">
        <f>DI35*DI41</f>
        <v>#REF!</v>
      </c>
      <c r="DJ42" s="903"/>
      <c r="DK42" s="902" t="e">
        <f>DK35*DK41</f>
        <v>#REF!</v>
      </c>
      <c r="DL42" s="903"/>
      <c r="DM42" s="902" t="e">
        <f>IF(DM40&lt;1,0,DM35*DM41)</f>
        <v>#REF!</v>
      </c>
      <c r="DN42" s="903"/>
      <c r="DO42" s="902" t="e">
        <f>IF(DO40&lt;1,0,DO35*DO41)</f>
        <v>#REF!</v>
      </c>
      <c r="DQ42" s="799" t="e">
        <f>DQ35*DQ41</f>
        <v>#REF!</v>
      </c>
      <c r="DR42" s="881"/>
      <c r="DS42" s="799" t="e">
        <f>DS35*DS41</f>
        <v>#REF!</v>
      </c>
      <c r="DT42" s="881"/>
      <c r="DU42" s="799" t="e">
        <f>IF(DU40&lt;1,0,DU35*DU41)</f>
        <v>#REF!</v>
      </c>
      <c r="DV42" s="881"/>
      <c r="DW42" s="799" t="e">
        <f>IF(DW40&lt;1,0,DW35*DW41)</f>
        <v>#REF!</v>
      </c>
      <c r="DY42" s="902" t="e">
        <f>DY35*DY41</f>
        <v>#REF!</v>
      </c>
      <c r="DZ42" s="903"/>
      <c r="EA42" s="902" t="e">
        <f>EA35*EA41</f>
        <v>#REF!</v>
      </c>
      <c r="EB42" s="903"/>
      <c r="EC42" s="902" t="e">
        <f>IF(EC40&lt;1,0,EC35*EC41)</f>
        <v>#REF!</v>
      </c>
      <c r="ED42" s="903"/>
      <c r="EE42" s="902" t="e">
        <f>IF(EE40&lt;1,0,EE35*EE41)</f>
        <v>#REF!</v>
      </c>
      <c r="EG42" s="799" t="e">
        <f>EG35*EG41</f>
        <v>#REF!</v>
      </c>
      <c r="EH42" s="881"/>
      <c r="EI42" s="799" t="e">
        <f>EI35*EI41</f>
        <v>#REF!</v>
      </c>
      <c r="EJ42" s="881"/>
      <c r="EK42" s="799">
        <f>IF(EK40&lt;1,0,EK35*EK41)</f>
        <v>0</v>
      </c>
      <c r="EL42" s="881"/>
      <c r="EM42" s="799">
        <f>IF(EM40&lt;1,0,EM35*EM41)</f>
        <v>0</v>
      </c>
    </row>
    <row r="43" spans="1:143">
      <c r="A43" s="71" t="s">
        <v>1011</v>
      </c>
      <c r="C43" s="2359" t="e">
        <f>C34/IF(C36&lt;Assumptions!G92,Assumptions!G92,C36)</f>
        <v>#REF!</v>
      </c>
      <c r="D43" s="2060"/>
      <c r="E43" s="2359" t="e">
        <f>E34/E36</f>
        <v>#REF!</v>
      </c>
      <c r="F43" s="2060"/>
      <c r="G43" s="2359" t="e">
        <f>IF(G42=0,0,G34/G36)</f>
        <v>#REF!</v>
      </c>
      <c r="H43" s="2060"/>
      <c r="I43" s="2385" t="e">
        <f>IF(I42=0,0,I34/I36)</f>
        <v>#REF!</v>
      </c>
      <c r="K43" s="1552" t="e">
        <f>K34/IF(K36&lt;Assumptions!G103,Assumptions!G103,K36)</f>
        <v>#REF!</v>
      </c>
      <c r="L43" s="305"/>
      <c r="M43" s="1552" t="e">
        <f>M34/M36</f>
        <v>#REF!</v>
      </c>
      <c r="N43" s="305"/>
      <c r="O43" s="1552" t="e">
        <f>IF(O42=0,0,O34/O36)</f>
        <v>#REF!</v>
      </c>
      <c r="P43" s="305"/>
      <c r="Q43" s="1620" t="e">
        <f>IF(Q42=0,0,Q34/Q36)</f>
        <v>#REF!</v>
      </c>
      <c r="S43" s="686" t="e">
        <f>S34/IF(S36&lt;Assumptions!G112,Assumptions!G112,S36)</f>
        <v>#DIV/0!</v>
      </c>
      <c r="T43" s="687"/>
      <c r="U43" s="686" t="e">
        <f>U34/U36</f>
        <v>#DIV/0!</v>
      </c>
      <c r="V43" s="687"/>
      <c r="W43" s="686">
        <f>IF(W42=0,0,W34/W36)</f>
        <v>0</v>
      </c>
      <c r="X43" s="687"/>
      <c r="Y43" s="1628">
        <f>IF(Y42=0,0,Y34/Y36)</f>
        <v>0</v>
      </c>
      <c r="AA43" s="1828" t="e">
        <f>AA34/IF(AA36&lt;Assumptions!G121,Assumptions!G121,AA36)</f>
        <v>#DIV/0!</v>
      </c>
      <c r="AB43" s="1829"/>
      <c r="AC43" s="1828" t="e">
        <f>AC34/AC36</f>
        <v>#DIV/0!</v>
      </c>
      <c r="AD43" s="1829"/>
      <c r="AE43" s="1828">
        <f>IF(AE42=0,0,AE34/AE36)</f>
        <v>0</v>
      </c>
      <c r="AF43" s="1829"/>
      <c r="AG43" s="1830">
        <f>IF(AG42=0,0,AG34/AG36)</f>
        <v>0</v>
      </c>
      <c r="AI43" s="857" t="e">
        <f>AI34/IF(AI36&lt;Assumptions!G130,Assumptions!G130,AI36)</f>
        <v>#DIV/0!</v>
      </c>
      <c r="AJ43" s="858"/>
      <c r="AK43" s="857" t="e">
        <f>AK34/AK36</f>
        <v>#DIV/0!</v>
      </c>
      <c r="AL43" s="858"/>
      <c r="AM43" s="857">
        <f>IF(AM42=0,0,AM34/AM36)</f>
        <v>0</v>
      </c>
      <c r="AN43" s="858"/>
      <c r="AO43" s="1647">
        <f>IF(AO42=0,0,AO34/AO36)</f>
        <v>0</v>
      </c>
      <c r="AQ43" s="1883" t="e">
        <f>AQ34/IF(AQ36&lt;Assumptions!G139,Assumptions!G139,AQ36)</f>
        <v>#DIV/0!</v>
      </c>
      <c r="AR43" s="1884"/>
      <c r="AS43" s="1883" t="e">
        <f>AS34/AS36</f>
        <v>#DIV/0!</v>
      </c>
      <c r="AT43" s="1884"/>
      <c r="AU43" s="1883">
        <f>IF(AU42=0,0,AU34/AU36)</f>
        <v>0</v>
      </c>
      <c r="AV43" s="1884"/>
      <c r="AW43" s="1885">
        <f>IF(AW42=0,0,AW34/AW36)</f>
        <v>0</v>
      </c>
      <c r="AY43" s="1515" t="e">
        <f>AY34/IF(AY36&lt;Assumptions!G148,Assumptions!G148,AY36)</f>
        <v>#DIV/0!</v>
      </c>
      <c r="AZ43" s="1516"/>
      <c r="BA43" s="1515" t="e">
        <f>BA34/BA36</f>
        <v>#DIV/0!</v>
      </c>
      <c r="BB43" s="1516"/>
      <c r="BC43" s="1515">
        <f>IF(BC42=0,0,BC34/BC36)</f>
        <v>0</v>
      </c>
      <c r="BD43" s="1516"/>
      <c r="BE43" s="1657">
        <f>IF(BE42=0,0,BE34/BE36)</f>
        <v>0</v>
      </c>
      <c r="BG43" s="1914" t="e">
        <f>BG34/IF(BG36&lt;Assumptions!G157,Assumptions!G157,BG36)</f>
        <v>#DIV/0!</v>
      </c>
      <c r="BH43" s="1915"/>
      <c r="BI43" s="1914" t="e">
        <f>BI34/BI36</f>
        <v>#DIV/0!</v>
      </c>
      <c r="BJ43" s="1915"/>
      <c r="BK43" s="1914">
        <f>IF(BK42=0,0,BK34/BK36)</f>
        <v>0</v>
      </c>
      <c r="BL43" s="1915"/>
      <c r="BM43" s="1916">
        <f>IF(BM42=0,0,BM34/BM36)</f>
        <v>0</v>
      </c>
      <c r="BO43" s="2468" t="e">
        <f>BO34/IF(BO36&lt;Assumptions!G121,Assumptions!G121,BO36)</f>
        <v>#REF!</v>
      </c>
      <c r="BP43" s="2468" t="e">
        <f>BP34/BP36</f>
        <v>#REF!</v>
      </c>
      <c r="BQ43" s="2468">
        <f>IF(BQ42=0,0,BQ34/BQ36)</f>
        <v>0</v>
      </c>
      <c r="BR43" s="2468">
        <f>IF(BR42=0,0,BR34/BR36)</f>
        <v>0</v>
      </c>
      <c r="CC43" s="348" t="e">
        <f>CC34/IF(CC36&lt;Assumptions!G30,Assumptions!G30,CC36)</f>
        <v>#REF!</v>
      </c>
      <c r="CD43" s="349"/>
      <c r="CE43" s="348" t="e">
        <f>CE34/CE36</f>
        <v>#REF!</v>
      </c>
      <c r="CF43" s="349"/>
      <c r="CG43" s="348" t="e">
        <f>IF(CG42=0,0,CG34/CG36)</f>
        <v>#REF!</v>
      </c>
      <c r="CH43" s="349"/>
      <c r="CI43" s="348" t="e">
        <f>IF(CI42=0,0,CI34/CI36)</f>
        <v>#REF!</v>
      </c>
      <c r="CK43" s="928" t="e">
        <f>CK34/IF(CK36&lt;Assumptions!G40,Assumptions!G40,CK36)</f>
        <v>#REF!</v>
      </c>
      <c r="CL43" s="929"/>
      <c r="CM43" s="928" t="e">
        <f>CM34/CM36</f>
        <v>#REF!</v>
      </c>
      <c r="CN43" s="929"/>
      <c r="CO43" s="928" t="e">
        <f>IF(CO42=0,0,CO34/CO36)</f>
        <v>#REF!</v>
      </c>
      <c r="CP43" s="929"/>
      <c r="CQ43" s="928" t="e">
        <f>IF(CQ42=0,0,CQ34/CQ36)</f>
        <v>#REF!</v>
      </c>
      <c r="CS43" s="904" t="e">
        <f>CS34/IF(CS36&lt;Assumptions!G30,Assumptions!G30,CS36)</f>
        <v>#REF!</v>
      </c>
      <c r="CT43" s="905"/>
      <c r="CU43" s="904" t="e">
        <f>CU34/CU36</f>
        <v>#REF!</v>
      </c>
      <c r="CV43" s="905"/>
      <c r="CW43" s="904" t="e">
        <f>IF(CW42=0,0,CW34/CW36)</f>
        <v>#REF!</v>
      </c>
      <c r="CX43" s="905"/>
      <c r="CY43" s="904" t="e">
        <f>IF(CY42=0,0,CY34/CY36)</f>
        <v>#REF!</v>
      </c>
      <c r="DA43" s="882" t="e">
        <f>DA34/IF(DA36&lt;Assumptions!G30,Assumptions!G30,DA36)</f>
        <v>#REF!</v>
      </c>
      <c r="DB43" s="883"/>
      <c r="DC43" s="882" t="e">
        <f>DC34/DC36</f>
        <v>#REF!</v>
      </c>
      <c r="DD43" s="883"/>
      <c r="DE43" s="882" t="e">
        <f>IF(DE42=0,0,DE34/DE36)</f>
        <v>#REF!</v>
      </c>
      <c r="DF43" s="883"/>
      <c r="DG43" s="882" t="e">
        <f>IF(DG42=0,0,DG34/DG36)</f>
        <v>#REF!</v>
      </c>
      <c r="DI43" s="904" t="e">
        <f>DI34/IF(DI36&lt;Assumptions!G30,Assumptions!G30,DI36)</f>
        <v>#REF!</v>
      </c>
      <c r="DJ43" s="905"/>
      <c r="DK43" s="904" t="e">
        <f>DK34/DK36</f>
        <v>#REF!</v>
      </c>
      <c r="DL43" s="905"/>
      <c r="DM43" s="904" t="e">
        <f>IF(DM42=0,0,DM34/DM36)</f>
        <v>#REF!</v>
      </c>
      <c r="DN43" s="905"/>
      <c r="DO43" s="904" t="e">
        <f>IF(DO42=0,0,DO34/DO36)</f>
        <v>#REF!</v>
      </c>
      <c r="DQ43" s="882" t="e">
        <f>DQ34/IF(DQ36&lt;Assumptions!G30,Assumptions!G30,DQ36)</f>
        <v>#REF!</v>
      </c>
      <c r="DR43" s="883"/>
      <c r="DS43" s="882" t="e">
        <f>DS34/DS36</f>
        <v>#REF!</v>
      </c>
      <c r="DT43" s="883"/>
      <c r="DU43" s="882" t="e">
        <f>IF(DU42=0,0,DU34/DU36)</f>
        <v>#REF!</v>
      </c>
      <c r="DV43" s="883"/>
      <c r="DW43" s="882" t="e">
        <f>IF(DW42=0,0,DW34/DW36)</f>
        <v>#REF!</v>
      </c>
      <c r="DY43" s="904" t="e">
        <f>DY34/IF(DY36&lt;Assumptions!G30,Assumptions!G30,DY36)</f>
        <v>#REF!</v>
      </c>
      <c r="DZ43" s="905"/>
      <c r="EA43" s="904" t="e">
        <f>EA34/EA36</f>
        <v>#REF!</v>
      </c>
      <c r="EB43" s="905"/>
      <c r="EC43" s="904" t="e">
        <f>IF(EC42=0,0,EC34/EC36)</f>
        <v>#REF!</v>
      </c>
      <c r="ED43" s="905"/>
      <c r="EE43" s="904" t="e">
        <f>IF(EE42=0,0,EE34/EE36)</f>
        <v>#REF!</v>
      </c>
      <c r="EG43" s="882" t="e">
        <f>EG34/IF(EG36&lt;Assumptions!G30,Assumptions!G30,EG36)</f>
        <v>#REF!</v>
      </c>
      <c r="EH43" s="883"/>
      <c r="EI43" s="882" t="e">
        <f>EI34/EI36</f>
        <v>#REF!</v>
      </c>
      <c r="EJ43" s="883"/>
      <c r="EK43" s="882">
        <f>IF(EK42=0,0,EK34/EK36)</f>
        <v>0</v>
      </c>
      <c r="EL43" s="883"/>
      <c r="EM43" s="882">
        <f>IF(EM42=0,0,EM34/EM36)</f>
        <v>0</v>
      </c>
    </row>
    <row r="44" spans="1:143">
      <c r="A44" s="67" t="s">
        <v>1555</v>
      </c>
      <c r="C44" s="2365" t="e">
        <f>IF(C43=0,0,IF(C42/C43&lt;3147,3147,C42/C43))</f>
        <v>#REF!</v>
      </c>
      <c r="D44" s="2366"/>
      <c r="E44" s="2365" t="e">
        <f>IF(E43=0,0,IF(E42/E43&lt;3147,3147,E42/E43))</f>
        <v>#REF!</v>
      </c>
      <c r="F44" s="2366"/>
      <c r="G44" s="2365" t="e">
        <f>IF(G43=0,0,IF(G42/G43&lt;71.62,71.62,G42/G43))</f>
        <v>#REF!</v>
      </c>
      <c r="H44" s="2366"/>
      <c r="I44" s="2389" t="e">
        <f>IF(I43=0,0,IF(I42/I43&lt;71.62,71.62,I42/I43))</f>
        <v>#REF!</v>
      </c>
      <c r="K44" s="1552" t="e">
        <f>IF(K43=0,0,IF(K42/K43&lt;3392,3392,K42/K43))</f>
        <v>#REF!</v>
      </c>
      <c r="L44" s="305"/>
      <c r="M44" s="1552" t="e">
        <f>IF(M43=0,0,IF(M42/M43&lt;3392,3392,M42/M43))</f>
        <v>#REF!</v>
      </c>
      <c r="N44" s="305"/>
      <c r="O44" s="1552" t="e">
        <f>IF(O43=0,0,IF(O42/O43&lt;84.777,84.777,O42/O43))</f>
        <v>#REF!</v>
      </c>
      <c r="P44" s="305"/>
      <c r="Q44" s="1620" t="e">
        <f>IF(Q43=0,0,IF(Q42/Q43&lt;84.777,84.777,Q42/Q43))</f>
        <v>#REF!</v>
      </c>
      <c r="S44" s="693" t="e">
        <f>IF(S43=0,0,IF(S42/S43&lt;3618,3618,S42/S43))</f>
        <v>#DIV/0!</v>
      </c>
      <c r="T44" s="694"/>
      <c r="U44" s="693" t="e">
        <f>IF(U43=0,0,IF(U42/U43&lt;3618,3618,U42/U43))</f>
        <v>#DIV/0!</v>
      </c>
      <c r="V44" s="694"/>
      <c r="W44" s="693">
        <f>IF(W43=0,0,IF(W42/W43&lt;84.777,84.777,W42/W43))</f>
        <v>0</v>
      </c>
      <c r="X44" s="694"/>
      <c r="Y44" s="1632">
        <f>IF(Y43=0,0,IF(Y42/Y43&lt;84.777,84.777,Y42/Y43))</f>
        <v>0</v>
      </c>
      <c r="AA44" s="1840" t="e">
        <f>IF(AA43=0,0,IF(AA42/AA43&lt;3618,3618,AA42/AA43))</f>
        <v>#DIV/0!</v>
      </c>
      <c r="AB44" s="1841"/>
      <c r="AC44" s="1840" t="e">
        <f>IF(AC43=0,0,IF(AC42/AC43&lt;3618,3618,AC42/AC43))</f>
        <v>#DIV/0!</v>
      </c>
      <c r="AD44" s="1841"/>
      <c r="AE44" s="1840">
        <f>IF(AE43=0,0,IF(AE42/AE43&lt;84.777,84.777,AE42/AE43))</f>
        <v>0</v>
      </c>
      <c r="AF44" s="1841"/>
      <c r="AG44" s="1842">
        <f>IF(AG43=0,0,IF(AG42/AG43&lt;84.777,84.777,AG42/AG43))</f>
        <v>0</v>
      </c>
      <c r="AI44" s="865" t="e">
        <f>IF(AI43=0,0,IF(AI42/AI43&lt;3618,3618,AI42/AI43))</f>
        <v>#DIV/0!</v>
      </c>
      <c r="AJ44" s="866"/>
      <c r="AK44" s="865" t="e">
        <f>IF(AK43=0,0,IF(AK42/AK43&lt;3618,3618,AK42/AK43))</f>
        <v>#DIV/0!</v>
      </c>
      <c r="AL44" s="866"/>
      <c r="AM44" s="865">
        <f>IF(AM43=0,0,IF(AM42/AM43&lt;84.777,84.777,AM42/AM43))</f>
        <v>0</v>
      </c>
      <c r="AN44" s="866"/>
      <c r="AO44" s="1651">
        <f>IF(AO43=0,0,IF(AO42/AO43&lt;84.777,84.777,AO42/AO43))</f>
        <v>0</v>
      </c>
      <c r="AQ44" s="1895" t="e">
        <f>IF(AQ43=0,0,IF(AQ42/AQ43&lt;3618,3618,AQ42/AQ43))</f>
        <v>#DIV/0!</v>
      </c>
      <c r="AR44" s="1896"/>
      <c r="AS44" s="1895" t="e">
        <f>IF(AS43=0,0,IF(AS42/AS43&lt;3618,3618,AS42/AS43))</f>
        <v>#DIV/0!</v>
      </c>
      <c r="AT44" s="1896"/>
      <c r="AU44" s="1895">
        <f>IF(AU43=0,0,IF(AU42/AU43&lt;84.777,84.777,AU42/AU43))</f>
        <v>0</v>
      </c>
      <c r="AV44" s="1896"/>
      <c r="AW44" s="1897">
        <f>IF(AW43=0,0,IF(AW42/AW43&lt;84.777,84.777,AW42/AW43))</f>
        <v>0</v>
      </c>
      <c r="AY44" s="1507" t="e">
        <f>IF(AY43=0,0,IF(AY42/AY43&lt;3618,3618,AY42/AY43))</f>
        <v>#DIV/0!</v>
      </c>
      <c r="AZ44" s="1508"/>
      <c r="BA44" s="1507" t="e">
        <f>IF(BA43=0,0,IF(BA42/BA43&lt;3618,3618,BA42/BA43))</f>
        <v>#DIV/0!</v>
      </c>
      <c r="BB44" s="1508"/>
      <c r="BC44" s="1507">
        <f>IF(BC43=0,0,IF(BC42/BC43&lt;84.777,84.777,BC42/BC43))</f>
        <v>0</v>
      </c>
      <c r="BD44" s="1508"/>
      <c r="BE44" s="1662">
        <f>IF(BE43=0,0,IF(BE42/BE43&lt;84.777,84.777,BE42/BE43))</f>
        <v>0</v>
      </c>
      <c r="BG44" s="1926" t="e">
        <f>IF(BG43=0,0,IF(BG42/BG43&lt;3618,3618,BG42/BG43))</f>
        <v>#DIV/0!</v>
      </c>
      <c r="BH44" s="1927"/>
      <c r="BI44" s="1926" t="e">
        <f>IF(BI43=0,0,IF(BI42/BI43&lt;3618,3618,BI42/BI43))</f>
        <v>#DIV/0!</v>
      </c>
      <c r="BJ44" s="1927"/>
      <c r="BK44" s="1926">
        <f>IF(BK43=0,0,IF(BK42/BK43&lt;84.777,84.777,BK42/BK43))</f>
        <v>0</v>
      </c>
      <c r="BL44" s="1927"/>
      <c r="BM44" s="1928">
        <f>IF(BM43=0,0,IF(BM42/BM43&lt;84.777,84.777,BM42/BM43))</f>
        <v>0</v>
      </c>
      <c r="BO44" s="2680" t="e">
        <f>IF(BO43=0,0,IF(BO42/BO43&lt;3618,3618,BO42/BO43))</f>
        <v>#REF!</v>
      </c>
      <c r="BP44" s="2680" t="e">
        <f>IF(BP43=0,0,IF(BP42/BP43&lt;3618,3618,BP42/BP43))</f>
        <v>#REF!</v>
      </c>
      <c r="BQ44" s="2680">
        <f>IF(BQ43=0,0,IF(BQ42/BQ43&lt;84.777,84.777,BQ42/BQ43))</f>
        <v>0</v>
      </c>
      <c r="BR44" s="2680">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37" t="e">
        <f>IF(CK43=0,0,IF(CK42/CK43&lt;2780,2780,CK42/CK43))</f>
        <v>#REF!</v>
      </c>
      <c r="CL44" s="938"/>
      <c r="CM44" s="937" t="e">
        <f>IF(CM43=0,0,IF(CM42/CM43&lt;2780,2780,CM42/CM43))</f>
        <v>#REF!</v>
      </c>
      <c r="CN44" s="938"/>
      <c r="CO44" s="937" t="e">
        <f>IF(CO43=0,0,IF(CO42/CO43&lt;35.57,35.57,CO42/CO43))</f>
        <v>#REF!</v>
      </c>
      <c r="CP44" s="938"/>
      <c r="CQ44" s="937" t="e">
        <f>IF(CQ43=0,0,IF(CQ42/CQ43&lt;35.57,35.57,CQ42/CQ43))</f>
        <v>#REF!</v>
      </c>
      <c r="CS44" s="913" t="e">
        <f>IF(CS43=0,0,IF(CS42/CS43&lt;2780,2780,CS42/CS43))</f>
        <v>#REF!</v>
      </c>
      <c r="CT44" s="914"/>
      <c r="CU44" s="913" t="e">
        <f>IF(CU43=0,0,IF(CU42/CU43&lt;2780,2780,CU42/CU43))</f>
        <v>#REF!</v>
      </c>
      <c r="CV44" s="914"/>
      <c r="CW44" s="913" t="e">
        <f>IF(CW43=0,0,IF(CW42/CW43&lt;35.57,35.57,CW42/CW43))</f>
        <v>#REF!</v>
      </c>
      <c r="CX44" s="914"/>
      <c r="CY44" s="913" t="e">
        <f>IF(CY43=0,0,IF(CY42/CY43&lt;35.57,35.57,CY42/CY43))</f>
        <v>#REF!</v>
      </c>
      <c r="DA44" s="890" t="e">
        <f>IF(DA43=0,0,IF(DA42/DA43&lt;2780,2780,DA42/DA43))</f>
        <v>#REF!</v>
      </c>
      <c r="DB44" s="891"/>
      <c r="DC44" s="890" t="e">
        <f>IF(DC43=0,0,IF(DC42/DC43&lt;2780,2780,DC42/DC43))</f>
        <v>#REF!</v>
      </c>
      <c r="DD44" s="891"/>
      <c r="DE44" s="890" t="e">
        <f>IF(DE43=0,0,IF(DE42/DE43&lt;35.57,35.57,DE42/DE43))</f>
        <v>#REF!</v>
      </c>
      <c r="DF44" s="891"/>
      <c r="DG44" s="890" t="e">
        <f>IF(DG43=0,0,IF(DG42/DG43&lt;35.57,35.57,DG42/DG43))</f>
        <v>#REF!</v>
      </c>
      <c r="DI44" s="913" t="e">
        <f>IF(DI43=0,0,IF(DI42/DI43&lt;2780,2780,DI42/DI43))</f>
        <v>#REF!</v>
      </c>
      <c r="DJ44" s="914"/>
      <c r="DK44" s="913" t="e">
        <f>IF(DK43=0,0,IF(DK42/DK43&lt;2780,2780,DK42/DK43))</f>
        <v>#REF!</v>
      </c>
      <c r="DL44" s="914"/>
      <c r="DM44" s="913" t="e">
        <f>IF(DM43=0,0,IF(DM42/DM43&lt;35.57,35.57,DM42/DM43))</f>
        <v>#REF!</v>
      </c>
      <c r="DN44" s="914"/>
      <c r="DO44" s="913" t="e">
        <f>IF(DO43=0,0,IF(DO42/DO43&lt;35.57,35.57,DO42/DO43))</f>
        <v>#REF!</v>
      </c>
      <c r="DQ44" s="890" t="e">
        <f>IF(DQ43=0,0,IF(DQ42/DQ43&lt;2780,2780,DQ42/DQ43))</f>
        <v>#REF!</v>
      </c>
      <c r="DR44" s="891"/>
      <c r="DS44" s="890" t="e">
        <f>IF(DS43=0,0,IF(DS42/DS43&lt;2780,2780,DS42/DS43))</f>
        <v>#REF!</v>
      </c>
      <c r="DT44" s="891"/>
      <c r="DU44" s="890" t="e">
        <f>IF(DU43=0,0,IF(DU42/DU43&lt;35.57,35.57,DU42/DU43))</f>
        <v>#REF!</v>
      </c>
      <c r="DV44" s="891"/>
      <c r="DW44" s="890" t="e">
        <f>IF(DW43=0,0,IF(DW42/DW43&lt;35.57,35.57,DW42/DW43))</f>
        <v>#REF!</v>
      </c>
      <c r="DY44" s="913" t="e">
        <f>IF(DY43=0,0,IF(DY42/DY43&lt;2780,2780,DY42/DY43))</f>
        <v>#REF!</v>
      </c>
      <c r="DZ44" s="914"/>
      <c r="EA44" s="913" t="e">
        <f>IF(EA43=0,0,IF(EA42/EA43&lt;2780,2780,EA42/EA43))</f>
        <v>#REF!</v>
      </c>
      <c r="EB44" s="914"/>
      <c r="EC44" s="913" t="e">
        <f>IF(EC43=0,0,IF(EC42/EC43&lt;35.57,35.57,EC42/EC43))</f>
        <v>#REF!</v>
      </c>
      <c r="ED44" s="914"/>
      <c r="EE44" s="913" t="e">
        <f>IF(EE43=0,0,IF(EE42/EE43&lt;35.57,35.57,EE42/EE43))</f>
        <v>#REF!</v>
      </c>
      <c r="EG44" s="890" t="e">
        <f>IF(EG43=0,0,IF(EG42/EG43&lt;2780,2780,EG42/EG43))</f>
        <v>#REF!</v>
      </c>
      <c r="EH44" s="891"/>
      <c r="EI44" s="890" t="e">
        <f>IF(EI43=0,0,IF(EI42/EI43&lt;2780,2780,EI42/EI43))</f>
        <v>#REF!</v>
      </c>
      <c r="EJ44" s="891"/>
      <c r="EK44" s="890">
        <f>IF(EK43=0,0,IF(EK42/EK43&lt;35.57,35.57,EK42/EK43))</f>
        <v>0</v>
      </c>
      <c r="EL44" s="891"/>
      <c r="EM44" s="890">
        <f>IF(EM43=0,0,IF(EM42/EM43&lt;35.57,35.57,EM42/EM43))</f>
        <v>0</v>
      </c>
    </row>
    <row r="45" spans="1:143">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385" t="e">
        <f>G45</f>
        <v>#REF!</v>
      </c>
      <c r="K45" s="1552" t="e">
        <f>IF(OR('Data Entry - SOF'!#REF!=0,K44=0),0,IF('Data Entry - SOF'!#REF!&gt;K44,(K44*'Data Entry - SOF'!#REF!)/K44,('Data Entry - SOF'!#REF!*'Data Entry - SOF'!#REF!)/K44))</f>
        <v>#REF!</v>
      </c>
      <c r="L45" s="305"/>
      <c r="M45" s="1552" t="e">
        <f>K45</f>
        <v>#REF!</v>
      </c>
      <c r="N45" s="305"/>
      <c r="O45" s="1552" t="e">
        <f>IF(OR('Data Entry - SOF'!#REF!=0,O44=0),0,IF('Data Entry - SOF'!#REF!&gt;O44,(O44*'Data Entry - SOF'!#REF!)/O44,('Data Entry - SOF'!#REF!*'Data Entry - SOF'!#REF!)/O44))</f>
        <v>#REF!</v>
      </c>
      <c r="P45" s="305"/>
      <c r="Q45" s="1620" t="e">
        <f>O45</f>
        <v>#REF!</v>
      </c>
      <c r="S45" s="686" t="e">
        <f>IF(OR('Data Entry - SOF'!E140=0,S44=0),0,IF('Data Entry - SOF'!E140&gt;S44,(S44*'Data Entry - SOF'!E139)/S44,('Data Entry - SOF'!E140*'Data Entry - SOF'!E139)/S44))</f>
        <v>#DIV/0!</v>
      </c>
      <c r="T45" s="687"/>
      <c r="U45" s="686" t="e">
        <f>S45</f>
        <v>#DIV/0!</v>
      </c>
      <c r="V45" s="687"/>
      <c r="W45" s="686">
        <f>IF(OR('Data Entry - SOF'!E140=0,W44=0),0,IF('Data Entry - SOF'!E140&gt;W44,(W44*'Data Entry - SOF'!E139)/W44,('Data Entry - SOF'!E140*'Data Entry - SOF'!E139)/W44))</f>
        <v>0</v>
      </c>
      <c r="X45" s="687"/>
      <c r="Y45" s="1628">
        <f>W45</f>
        <v>0</v>
      </c>
      <c r="AA45" s="1828" t="e">
        <f>IF(OR('Data Entry - SOF'!K140=0,AA44=0),0,IF('Data Entry - SOF'!K140&gt;AA44,(AA44*'Data Entry - SOF'!K139)/AA44,('Data Entry - SOF'!K140*'Data Entry - SOF'!K139)/AA44))</f>
        <v>#DIV/0!</v>
      </c>
      <c r="AB45" s="1829"/>
      <c r="AC45" s="1828" t="e">
        <f>AA45</f>
        <v>#DIV/0!</v>
      </c>
      <c r="AD45" s="1829"/>
      <c r="AE45" s="1828">
        <f>IF(OR('Data Entry - SOF'!K140=0,AE44=0),0,IF('Data Entry - SOF'!K140&gt;AE44,(AE44*'Data Entry - SOF'!K139)/AE44,('Data Entry - SOF'!K140*'Data Entry - SOF'!K139)/AE44))</f>
        <v>0</v>
      </c>
      <c r="AF45" s="1829"/>
      <c r="AG45" s="1830">
        <f>AE45</f>
        <v>0</v>
      </c>
      <c r="AI45" s="857" t="e">
        <f>IF(OR('Data Entry - SOF'!M140=0,AI44=0),0,IF('Data Entry - SOF'!M140&gt;AI44,(AI44*'Data Entry - SOF'!M139)/AI44,('Data Entry - SOF'!M140*'Data Entry - SOF'!M139)/AI44))</f>
        <v>#DIV/0!</v>
      </c>
      <c r="AJ45" s="858"/>
      <c r="AK45" s="857" t="e">
        <f>AI45</f>
        <v>#DIV/0!</v>
      </c>
      <c r="AL45" s="858"/>
      <c r="AM45" s="857">
        <f>IF(OR('Data Entry - SOF'!M140=0,AM44=0),0,IF('Data Entry - SOF'!M140&gt;AM44,(AM44*'Data Entry - SOF'!M139)/AM44,('Data Entry - SOF'!M140*'Data Entry - SOF'!M139)/AM44))</f>
        <v>0</v>
      </c>
      <c r="AN45" s="858"/>
      <c r="AO45" s="1647">
        <f>AM45</f>
        <v>0</v>
      </c>
      <c r="AQ45" s="1883" t="e">
        <f>IF(OR('Data Entry - SOF'!O140=0,AQ44=0),0,IF('Data Entry - SOF'!O140&gt;AQ44,(AQ44*'Data Entry - SOF'!O139)/AQ44,('Data Entry - SOF'!O140*'Data Entry - SOF'!O139)/AQ44))</f>
        <v>#DIV/0!</v>
      </c>
      <c r="AR45" s="1884"/>
      <c r="AS45" s="1883" t="e">
        <f>AQ45</f>
        <v>#DIV/0!</v>
      </c>
      <c r="AT45" s="1884"/>
      <c r="AU45" s="1883">
        <f>IF(OR('Data Entry - SOF'!O140=0,AU44=0),0,IF('Data Entry - SOF'!O140&gt;AU44,(AU44*'Data Entry - SOF'!O139)/AU44,('Data Entry - SOF'!O140*'Data Entry - SOF'!O139)/AU44))</f>
        <v>0</v>
      </c>
      <c r="AV45" s="1884"/>
      <c r="AW45" s="1885">
        <f>AU45</f>
        <v>0</v>
      </c>
      <c r="AY45" s="1507" t="e">
        <f>IF(OR('Data Entry - SOF'!Q140=0,AY44=0),0,IF('Data Entry - SOF'!Q140&gt;AY44,(AY44*'Data Entry - SOF'!Q139)/AY44,('Data Entry - SOF'!Q140*'Data Entry - SOF'!Q139)/AY44))</f>
        <v>#DIV/0!</v>
      </c>
      <c r="AZ45" s="1508"/>
      <c r="BA45" s="1507" t="e">
        <f>AY45</f>
        <v>#DIV/0!</v>
      </c>
      <c r="BB45" s="1508"/>
      <c r="BC45" s="1507">
        <f>IF(OR('Data Entry - SOF'!Q140=0,BC44=0),0,IF('Data Entry - SOF'!Q140&gt;BC44,(BC44*'Data Entry - SOF'!Q139)/BC44,('Data Entry - SOF'!Q140*'Data Entry - SOF'!Q139)/BC44))</f>
        <v>0</v>
      </c>
      <c r="BD45" s="1508"/>
      <c r="BE45" s="1662">
        <f>BC45</f>
        <v>0</v>
      </c>
      <c r="BG45" s="1926" t="e">
        <f>IF(OR('Data Entry - SOF'!S140=0,BG44=0),0,IF('Data Entry - SOF'!S140&gt;BG44,(BG44*'Data Entry - SOF'!S139)/BG44,('Data Entry - SOF'!S140*'Data Entry - SOF'!S139)/BG44))</f>
        <v>#DIV/0!</v>
      </c>
      <c r="BH45" s="1927"/>
      <c r="BI45" s="1926" t="e">
        <f>BG45</f>
        <v>#DIV/0!</v>
      </c>
      <c r="BJ45" s="1927"/>
      <c r="BK45" s="1926">
        <f>IF(OR('Data Entry - SOF'!S140=0,BK44=0),0,IF('Data Entry - SOF'!S140&gt;BK44,(BK44*'Data Entry - SOF'!S139)/BK44,('Data Entry - SOF'!S140*'Data Entry - SOF'!S139)/BK44))</f>
        <v>0</v>
      </c>
      <c r="BL45" s="1927"/>
      <c r="BM45" s="1928">
        <f>BK45</f>
        <v>0</v>
      </c>
      <c r="BO45" s="2468" t="e">
        <f>IF(OR('Data Entry - SOF'!E140=0,BO44=0),0,IF('Data Entry - SOF'!E140&gt;BO44,(BO44*'Data Entry - SOF'!E139)/BO44,('Data Entry - SOF'!E140*'Data Entry - SOF'!E139)/BO44))</f>
        <v>#REF!</v>
      </c>
      <c r="BP45" s="2468" t="e">
        <f>BO45</f>
        <v>#REF!</v>
      </c>
      <c r="BQ45" s="2468">
        <f>IF(OR('Data Entry - SOF'!E140=0,BQ44=0),0,IF('Data Entry - SOF'!E140&gt;BQ44,(BQ44*'Data Entry - SOF'!E139)/BQ44,('Data Entry - SOF'!E140*'Data Entry - SOF'!E139)/BQ44))</f>
        <v>0</v>
      </c>
      <c r="BR45" s="2468"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28" t="e">
        <f>IF(OR('Data Entry - SOF'!#REF!=0,CK44=0),0,IF('Data Entry - SOF'!#REF!&gt;CK44,(CK44*'Data Entry - SOF'!#REF!)/CK44,('Data Entry - SOF'!#REF!*'Data Entry - SOF'!#REF!)/CK44))</f>
        <v>#REF!</v>
      </c>
      <c r="CL45" s="929"/>
      <c r="CM45" s="928" t="e">
        <f>CK45</f>
        <v>#REF!</v>
      </c>
      <c r="CN45" s="929"/>
      <c r="CO45" s="928" t="e">
        <f>IF(OR('Data Entry - SOF'!#REF!=0,CO44=0),0,IF('Data Entry - SOF'!#REF!&gt;CO44,(CO44*'Data Entry - SOF'!#REF!)/CO44,('Data Entry - SOF'!#REF!*'Data Entry - SOF'!#REF!)/CO44))</f>
        <v>#REF!</v>
      </c>
      <c r="CP45" s="929"/>
      <c r="CQ45" s="928" t="e">
        <f>CO45</f>
        <v>#REF!</v>
      </c>
      <c r="CS45" s="904" t="e">
        <f>IF(OR('Data Entry - SOF'!#REF!=0,CS44=0),0,IF('Data Entry - SOF'!#REF!&gt;CS44,(CS44*'Data Entry - SOF'!#REF!)/CS44,('Data Entry - SOF'!#REF!*'Data Entry - SOF'!#REF!)/CS44))</f>
        <v>#REF!</v>
      </c>
      <c r="CT45" s="905"/>
      <c r="CU45" s="904" t="e">
        <f>CS45</f>
        <v>#REF!</v>
      </c>
      <c r="CV45" s="905"/>
      <c r="CW45" s="904" t="e">
        <f>IF(OR('Data Entry - SOF'!#REF!=0,CW44=0),0,IF('Data Entry - SOF'!#REF!&gt;CW44,(CW44*'Data Entry - SOF'!#REF!)/CW44,('Data Entry - SOF'!#REF!*'Data Entry - SOF'!#REF!)/CW44))</f>
        <v>#REF!</v>
      </c>
      <c r="CX45" s="905"/>
      <c r="CY45" s="904" t="e">
        <f>CW45</f>
        <v>#REF!</v>
      </c>
      <c r="DA45" s="882" t="e">
        <f>IF(OR('Data Entry - SOF'!#REF!=0,DA44=0),0,IF('Data Entry - SOF'!#REF!&gt;DA44,(DA44*'Data Entry - SOF'!#REF!)/DA44,('Data Entry - SOF'!#REF!*'Data Entry - SOF'!#REF!)/DA44))</f>
        <v>#REF!</v>
      </c>
      <c r="DB45" s="883"/>
      <c r="DC45" s="882" t="e">
        <f>DA45</f>
        <v>#REF!</v>
      </c>
      <c r="DD45" s="883"/>
      <c r="DE45" s="882" t="e">
        <f>IF(OR('Data Entry - SOF'!#REF!=0,DE44=0),0,IF('Data Entry - SOF'!#REF!&gt;DE44,(DE44*'Data Entry - SOF'!#REF!)/DE44,('Data Entry - SOF'!#REF!*'Data Entry - SOF'!#REF!)/DE44))</f>
        <v>#REF!</v>
      </c>
      <c r="DF45" s="883"/>
      <c r="DG45" s="882" t="e">
        <f>DE45</f>
        <v>#REF!</v>
      </c>
      <c r="DI45" s="904" t="e">
        <f>IF(OR('Data Entry - SOF'!C140=0,DI44=0),0,IF('Data Entry - SOF'!C140&gt;DI44,(DI44*'Data Entry - SOF'!C139)/DI44,('Data Entry - SOF'!C140*'Data Entry - SOF'!C139)/DI44))</f>
        <v>#REF!</v>
      </c>
      <c r="DJ45" s="905"/>
      <c r="DK45" s="904" t="e">
        <f>DI45</f>
        <v>#REF!</v>
      </c>
      <c r="DL45" s="905"/>
      <c r="DM45" s="904" t="e">
        <f>IF(OR('Data Entry - SOF'!C140=0,DM44=0),0,IF('Data Entry - SOF'!C140&gt;DM44,(DM44*'Data Entry - SOF'!C139)/DM44,('Data Entry - SOF'!C140*'Data Entry - SOF'!C139)/DM44))</f>
        <v>#REF!</v>
      </c>
      <c r="DN45" s="905"/>
      <c r="DO45" s="904" t="e">
        <f>DM45</f>
        <v>#REF!</v>
      </c>
      <c r="DQ45" s="882" t="e">
        <f>IF(OR('Data Entry - SOF'!C140=0,DQ44=0),0,IF('Data Entry - SOF'!C140&gt;DQ44,(DQ44*'Data Entry - SOF'!C139)/DQ44,('Data Entry - SOF'!C140*'Data Entry - SOF'!C139)/DQ44))</f>
        <v>#REF!</v>
      </c>
      <c r="DR45" s="883"/>
      <c r="DS45" s="882" t="e">
        <f>DQ45</f>
        <v>#REF!</v>
      </c>
      <c r="DT45" s="883"/>
      <c r="DU45" s="882" t="e">
        <f>IF(OR('Data Entry - SOF'!C140=0,DU44=0),0,IF('Data Entry - SOF'!C140&gt;DU44,(DU44*'Data Entry - SOF'!C139)/DU44,('Data Entry - SOF'!C140*'Data Entry - SOF'!C139)/DU44))</f>
        <v>#REF!</v>
      </c>
      <c r="DV45" s="883"/>
      <c r="DW45" s="882" t="e">
        <f>DU45</f>
        <v>#REF!</v>
      </c>
      <c r="DY45" s="904" t="e">
        <f>IF(OR('Data Entry - SOF'!#REF!=0,DY44=0),0,IF('Data Entry - SOF'!#REF!&gt;DY44,(DY44*'Data Entry - SOF'!#REF!)/DY44,('Data Entry - SOF'!#REF!*'Data Entry - SOF'!#REF!)/DY44))</f>
        <v>#REF!</v>
      </c>
      <c r="DZ45" s="905"/>
      <c r="EA45" s="904" t="e">
        <f>DY45</f>
        <v>#REF!</v>
      </c>
      <c r="EB45" s="905"/>
      <c r="EC45" s="904" t="e">
        <f>IF(OR('Data Entry - SOF'!#REF!=0,EC44=0),0,IF('Data Entry - SOF'!#REF!&gt;EC44,(EC44*'Data Entry - SOF'!#REF!)/EC44,('Data Entry - SOF'!#REF!*'Data Entry - SOF'!#REF!)/EC44))</f>
        <v>#REF!</v>
      </c>
      <c r="ED45" s="905"/>
      <c r="EE45" s="904" t="e">
        <f>EC45</f>
        <v>#REF!</v>
      </c>
      <c r="EG45" s="882" t="e">
        <f>IF(OR('Data Entry - SOF'!E140=0,EG44=0),0,IF('Data Entry - SOF'!E140&gt;EG44,(EG44*'Data Entry - SOF'!E139)/EG44,('Data Entry - SOF'!E140*'Data Entry - SOF'!E139)/EG44))</f>
        <v>#REF!</v>
      </c>
      <c r="EH45" s="883"/>
      <c r="EI45" s="882" t="e">
        <f>EG45</f>
        <v>#REF!</v>
      </c>
      <c r="EJ45" s="883"/>
      <c r="EK45" s="882">
        <f>IF(OR('Data Entry - SOF'!E140=0,EK44=0),0,IF('Data Entry - SOF'!E140&gt;EK44,(EK44*'Data Entry - SOF'!E139)/EK44,('Data Entry - SOF'!E140*'Data Entry - SOF'!E139)/EK44))</f>
        <v>0</v>
      </c>
      <c r="EL45" s="883"/>
      <c r="EM45" s="882">
        <f>EK45</f>
        <v>0</v>
      </c>
    </row>
    <row r="46" spans="1:143">
      <c r="A46" s="67" t="s">
        <v>1301</v>
      </c>
      <c r="C46" s="2390">
        <v>0</v>
      </c>
      <c r="D46" s="2060"/>
      <c r="E46" s="2390">
        <v>0</v>
      </c>
      <c r="F46" s="2060"/>
      <c r="G46" s="2390">
        <v>0</v>
      </c>
      <c r="H46" s="2060"/>
      <c r="I46" s="2391">
        <v>0</v>
      </c>
      <c r="K46" s="1552">
        <v>0</v>
      </c>
      <c r="L46" s="305"/>
      <c r="M46" s="1552">
        <v>0</v>
      </c>
      <c r="N46" s="305"/>
      <c r="O46" s="1552">
        <v>0</v>
      </c>
      <c r="P46" s="305"/>
      <c r="Q46" s="1620">
        <v>0</v>
      </c>
      <c r="S46" s="151">
        <v>0</v>
      </c>
      <c r="T46" s="687"/>
      <c r="U46" s="151">
        <v>0</v>
      </c>
      <c r="V46" s="687"/>
      <c r="W46" s="151">
        <v>0</v>
      </c>
      <c r="X46" s="687"/>
      <c r="Y46" s="1615">
        <v>0</v>
      </c>
      <c r="AA46" s="1843">
        <v>0</v>
      </c>
      <c r="AB46" s="1829"/>
      <c r="AC46" s="1843">
        <v>0</v>
      </c>
      <c r="AD46" s="1829"/>
      <c r="AE46" s="1843">
        <v>0</v>
      </c>
      <c r="AF46" s="1829"/>
      <c r="AG46" s="1844">
        <v>0</v>
      </c>
      <c r="AI46" s="151">
        <v>0</v>
      </c>
      <c r="AJ46" s="858"/>
      <c r="AK46" s="151">
        <v>0</v>
      </c>
      <c r="AL46" s="858"/>
      <c r="AM46" s="151">
        <v>0</v>
      </c>
      <c r="AN46" s="858"/>
      <c r="AO46" s="1615">
        <v>0</v>
      </c>
      <c r="AQ46" s="1898">
        <v>0</v>
      </c>
      <c r="AR46" s="1884"/>
      <c r="AS46" s="1898">
        <v>0</v>
      </c>
      <c r="AT46" s="1884"/>
      <c r="AU46" s="1898">
        <v>0</v>
      </c>
      <c r="AV46" s="1884"/>
      <c r="AW46" s="1899">
        <v>0</v>
      </c>
      <c r="AY46" s="1507">
        <v>0</v>
      </c>
      <c r="AZ46" s="1508"/>
      <c r="BA46" s="1507">
        <v>0</v>
      </c>
      <c r="BB46" s="1508"/>
      <c r="BC46" s="1507">
        <v>0</v>
      </c>
      <c r="BD46" s="1508"/>
      <c r="BE46" s="1662">
        <v>0</v>
      </c>
      <c r="BG46" s="1926">
        <v>0</v>
      </c>
      <c r="BH46" s="1927"/>
      <c r="BI46" s="1926">
        <v>0</v>
      </c>
      <c r="BJ46" s="1927"/>
      <c r="BK46" s="1926">
        <v>0</v>
      </c>
      <c r="BL46" s="1927"/>
      <c r="BM46" s="1928">
        <v>0</v>
      </c>
      <c r="BO46" s="2468">
        <v>0</v>
      </c>
      <c r="BP46" s="2468">
        <v>0</v>
      </c>
      <c r="BQ46" s="2468">
        <v>0</v>
      </c>
      <c r="BR46" s="2468">
        <v>0</v>
      </c>
      <c r="CC46" s="348">
        <v>0</v>
      </c>
      <c r="CD46" s="349"/>
      <c r="CE46" s="348">
        <v>0</v>
      </c>
      <c r="CF46" s="349"/>
      <c r="CG46" s="348">
        <v>0</v>
      </c>
      <c r="CH46" s="349"/>
      <c r="CI46" s="348">
        <v>0</v>
      </c>
      <c r="CK46" s="928">
        <v>0</v>
      </c>
      <c r="CL46" s="929"/>
      <c r="CM46" s="928">
        <v>0</v>
      </c>
      <c r="CN46" s="929"/>
      <c r="CO46" s="928">
        <v>0</v>
      </c>
      <c r="CP46" s="929"/>
      <c r="CQ46" s="928">
        <v>0</v>
      </c>
      <c r="CS46" s="904">
        <v>0</v>
      </c>
      <c r="CT46" s="905"/>
      <c r="CU46" s="904">
        <v>0</v>
      </c>
      <c r="CV46" s="905"/>
      <c r="CW46" s="904">
        <v>0</v>
      </c>
      <c r="CX46" s="905"/>
      <c r="CY46" s="904">
        <v>0</v>
      </c>
      <c r="DA46" s="882">
        <v>0</v>
      </c>
      <c r="DB46" s="883"/>
      <c r="DC46" s="882">
        <v>0</v>
      </c>
      <c r="DD46" s="883"/>
      <c r="DE46" s="882">
        <v>0</v>
      </c>
      <c r="DF46" s="883"/>
      <c r="DG46" s="882">
        <v>0</v>
      </c>
      <c r="DI46" s="904">
        <v>0</v>
      </c>
      <c r="DJ46" s="905"/>
      <c r="DK46" s="904">
        <v>0</v>
      </c>
      <c r="DL46" s="905"/>
      <c r="DM46" s="904">
        <v>0</v>
      </c>
      <c r="DN46" s="905"/>
      <c r="DO46" s="904">
        <v>0</v>
      </c>
      <c r="DQ46" s="882">
        <v>0</v>
      </c>
      <c r="DR46" s="883"/>
      <c r="DS46" s="882">
        <v>0</v>
      </c>
      <c r="DT46" s="883"/>
      <c r="DU46" s="882">
        <v>0</v>
      </c>
      <c r="DV46" s="883"/>
      <c r="DW46" s="882">
        <v>0</v>
      </c>
      <c r="DY46" s="904">
        <v>0</v>
      </c>
      <c r="DZ46" s="905"/>
      <c r="EA46" s="904">
        <v>0</v>
      </c>
      <c r="EB46" s="905"/>
      <c r="EC46" s="904">
        <v>0</v>
      </c>
      <c r="ED46" s="905"/>
      <c r="EE46" s="904">
        <v>0</v>
      </c>
      <c r="EG46" s="882">
        <v>0</v>
      </c>
      <c r="EH46" s="883"/>
      <c r="EI46" s="882">
        <v>0</v>
      </c>
      <c r="EJ46" s="883"/>
      <c r="EK46" s="882">
        <v>0</v>
      </c>
      <c r="EL46" s="883"/>
      <c r="EM46" s="882">
        <v>0</v>
      </c>
    </row>
    <row r="47" spans="1:143">
      <c r="A47" s="35" t="s">
        <v>1737</v>
      </c>
      <c r="C47" s="2359" t="e">
        <f>IF(C43-C45-C46&lt;0,0,C43-C45-C46)</f>
        <v>#REF!</v>
      </c>
      <c r="D47" s="2060"/>
      <c r="E47" s="2359" t="e">
        <f>IF(E43-E45-E46&lt;0,0,E43-E45-E46)</f>
        <v>#REF!</v>
      </c>
      <c r="F47" s="2060"/>
      <c r="G47" s="2359" t="e">
        <f>IF(G43-G45-G46&lt;0,0,G43-G45-G46)</f>
        <v>#REF!</v>
      </c>
      <c r="H47" s="2060"/>
      <c r="I47" s="2385" t="e">
        <f>IF(I43-I45-I46&lt;0,0,I43-I45-I46)</f>
        <v>#REF!</v>
      </c>
      <c r="K47" s="1552" t="e">
        <f>IF(K43-K45-K46&lt;0,0,K43-K45-K46)</f>
        <v>#REF!</v>
      </c>
      <c r="L47" s="305"/>
      <c r="M47" s="1552" t="e">
        <f>IF(M43-M45-M46&lt;0,0,M43-M45-M46)</f>
        <v>#REF!</v>
      </c>
      <c r="N47" s="305"/>
      <c r="O47" s="1552" t="e">
        <f>IF(O43-O45-O46&lt;0,0,O43-O45-O46)</f>
        <v>#REF!</v>
      </c>
      <c r="P47" s="305"/>
      <c r="Q47" s="1620" t="e">
        <f>IF(Q43-Q45-Q46&lt;0,0,Q43-Q45-Q46)</f>
        <v>#REF!</v>
      </c>
      <c r="S47" s="686" t="e">
        <f>IF(S43-S45-S46&lt;0,0,S43-S45-S46)</f>
        <v>#DIV/0!</v>
      </c>
      <c r="T47" s="687"/>
      <c r="U47" s="686" t="e">
        <f>IF(U43-U45-U46&lt;0,0,U43-U45-U46)</f>
        <v>#DIV/0!</v>
      </c>
      <c r="V47" s="687"/>
      <c r="W47" s="686">
        <f>IF(W43-W45-W46&lt;0,0,W43-W45-W46)</f>
        <v>0</v>
      </c>
      <c r="X47" s="687"/>
      <c r="Y47" s="1628">
        <f>IF(Y43-Y45-Y46&lt;0,0,Y43-Y45-Y46)</f>
        <v>0</v>
      </c>
      <c r="AA47" s="1828" t="e">
        <f>IF(AA43-AA45-AA46&lt;0,0,AA43-AA45-AA46)</f>
        <v>#DIV/0!</v>
      </c>
      <c r="AB47" s="1829"/>
      <c r="AC47" s="1828" t="e">
        <f>IF(AC43-AC45-AC46&lt;0,0,AC43-AC45-AC46)</f>
        <v>#DIV/0!</v>
      </c>
      <c r="AD47" s="1829"/>
      <c r="AE47" s="1828">
        <f>IF(AE43-AE45-AE46&lt;0,0,AE43-AE45-AE46)</f>
        <v>0</v>
      </c>
      <c r="AF47" s="1829"/>
      <c r="AG47" s="1830">
        <f>IF(AG43-AG45-AG46&lt;0,0,AG43-AG45-AG46)</f>
        <v>0</v>
      </c>
      <c r="AI47" s="857" t="e">
        <f>IF(AI43-AI45-AI46&lt;0,0,AI43-AI45-AI46)</f>
        <v>#DIV/0!</v>
      </c>
      <c r="AJ47" s="858"/>
      <c r="AK47" s="857" t="e">
        <f>IF(AK43-AK45-AK46&lt;0,0,AK43-AK45-AK46)</f>
        <v>#DIV/0!</v>
      </c>
      <c r="AL47" s="858"/>
      <c r="AM47" s="857">
        <f>IF(AM43-AM45-AM46&lt;0,0,AM43-AM45-AM46)</f>
        <v>0</v>
      </c>
      <c r="AN47" s="858"/>
      <c r="AO47" s="1647">
        <f>IF(AO43-AO45-AO46&lt;0,0,AO43-AO45-AO46)</f>
        <v>0</v>
      </c>
      <c r="AQ47" s="1883" t="e">
        <f>IF(AQ43-AQ45-AQ46&lt;0,0,AQ43-AQ45-AQ46)</f>
        <v>#DIV/0!</v>
      </c>
      <c r="AR47" s="1884"/>
      <c r="AS47" s="1883" t="e">
        <f>IF(AS43-AS45-AS46&lt;0,0,AS43-AS45-AS46)</f>
        <v>#DIV/0!</v>
      </c>
      <c r="AT47" s="1884"/>
      <c r="AU47" s="1883">
        <f>IF(AU43-AU45-AU46&lt;0,0,AU43-AU45-AU46)</f>
        <v>0</v>
      </c>
      <c r="AV47" s="1884"/>
      <c r="AW47" s="1885">
        <f>IF(AW43-AW45-AW46&lt;0,0,AW43-AW45-AW46)</f>
        <v>0</v>
      </c>
      <c r="AY47" s="1507" t="e">
        <f>IF(AY43-AY45-AY46&lt;0,0,AY43-AY45-AY46)</f>
        <v>#DIV/0!</v>
      </c>
      <c r="AZ47" s="1508"/>
      <c r="BA47" s="1507" t="e">
        <f>IF(BA43-BA45-BA46&lt;0,0,BA43-BA45-BA46)</f>
        <v>#DIV/0!</v>
      </c>
      <c r="BB47" s="1508"/>
      <c r="BC47" s="1507">
        <f>IF(BC43-BC45-BC46&lt;0,0,BC43-BC45-BC46)</f>
        <v>0</v>
      </c>
      <c r="BD47" s="1508"/>
      <c r="BE47" s="1662">
        <f>IF(BE43-BE45-BE46&lt;0,0,BE43-BE45-BE46)</f>
        <v>0</v>
      </c>
      <c r="BG47" s="1926" t="e">
        <f>IF(BG43-BG45-BG46&lt;0,0,BG43-BG45-BG46)</f>
        <v>#DIV/0!</v>
      </c>
      <c r="BH47" s="1927"/>
      <c r="BI47" s="1926" t="e">
        <f>IF(BI43-BI45-BI46&lt;0,0,BI43-BI45-BI46)</f>
        <v>#DIV/0!</v>
      </c>
      <c r="BJ47" s="1927"/>
      <c r="BK47" s="1926">
        <f>IF(BK43-BK45-BK46&lt;0,0,BK43-BK45-BK46)</f>
        <v>0</v>
      </c>
      <c r="BL47" s="1927"/>
      <c r="BM47" s="1928">
        <f>IF(BM43-BM45-BM46&lt;0,0,BM43-BM45-BM46)</f>
        <v>0</v>
      </c>
      <c r="BO47" s="2468" t="e">
        <f>IF(BO43-BO45-BO46&lt;0,0,BO43-BO45-BO46)</f>
        <v>#REF!</v>
      </c>
      <c r="BP47" s="2468" t="e">
        <f>IF(BP43-BP45-BP46&lt;0,0,BP43-BP45-BP46)</f>
        <v>#REF!</v>
      </c>
      <c r="BQ47" s="2468">
        <f>IF(BQ43-BQ45-BQ46&lt;0,0,BQ43-BQ45-BQ46)</f>
        <v>0</v>
      </c>
      <c r="BR47" s="2468"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28" t="e">
        <f>IF(CK43-CK45-CK46&lt;0,0,CK43-CK45-CK46)</f>
        <v>#REF!</v>
      </c>
      <c r="CL47" s="929"/>
      <c r="CM47" s="928" t="e">
        <f>IF(CM43-CM45-CM46&lt;0,0,CM43-CM45-CM46)</f>
        <v>#REF!</v>
      </c>
      <c r="CN47" s="929"/>
      <c r="CO47" s="928" t="e">
        <f>IF(CO43-CO45-CO46&lt;0,0,CO43-CO45-CO46)</f>
        <v>#REF!</v>
      </c>
      <c r="CP47" s="929"/>
      <c r="CQ47" s="928" t="e">
        <f>IF(CQ43-CQ45-CQ46&lt;0,0,CQ43-CQ45-CQ46)</f>
        <v>#REF!</v>
      </c>
      <c r="CS47" s="904" t="e">
        <f>IF(CS43-CS45-CS46&lt;0,0,CS43-CS45-CS46)</f>
        <v>#REF!</v>
      </c>
      <c r="CT47" s="905"/>
      <c r="CU47" s="904" t="e">
        <f>IF(CU43-CU45-CU46&lt;0,0,CU43-CU45-CU46)</f>
        <v>#REF!</v>
      </c>
      <c r="CV47" s="905"/>
      <c r="CW47" s="904" t="e">
        <f>IF(CW43-CW45-CW46&lt;0,0,CW43-CW45-CW46)</f>
        <v>#REF!</v>
      </c>
      <c r="CX47" s="905"/>
      <c r="CY47" s="904" t="e">
        <f>IF(CY43-CY45-CY46&lt;0,0,CY43-CY45-CY46)</f>
        <v>#REF!</v>
      </c>
      <c r="DA47" s="882" t="e">
        <f>IF(DA43-DA45-DA46&lt;0,0,DA43-DA45-DA46)</f>
        <v>#REF!</v>
      </c>
      <c r="DB47" s="883"/>
      <c r="DC47" s="882" t="e">
        <f>IF(DC43-DC45-DC46&lt;0,0,DC43-DC45-DC46)</f>
        <v>#REF!</v>
      </c>
      <c r="DD47" s="883"/>
      <c r="DE47" s="882" t="e">
        <f>IF(DE43-DE45-DE46&lt;0,0,DE43-DE45-DE46)</f>
        <v>#REF!</v>
      </c>
      <c r="DF47" s="883"/>
      <c r="DG47" s="882" t="e">
        <f>IF(DG43-DG45-DG46&lt;0,0,DG43-DG45-DG46)</f>
        <v>#REF!</v>
      </c>
      <c r="DI47" s="904" t="e">
        <f>IF(DI43-DI45-DI46&lt;0,0,DI43-DI45-DI46)</f>
        <v>#REF!</v>
      </c>
      <c r="DJ47" s="905"/>
      <c r="DK47" s="904" t="e">
        <f>IF(DK43-DK45-DK46&lt;0,0,DK43-DK45-DK46)</f>
        <v>#REF!</v>
      </c>
      <c r="DL47" s="905"/>
      <c r="DM47" s="904" t="e">
        <f>IF(DM43-DM45-DM46&lt;0,0,DM43-DM45-DM46)</f>
        <v>#REF!</v>
      </c>
      <c r="DN47" s="905"/>
      <c r="DO47" s="904" t="e">
        <f>IF(DO43-DO45-DO46&lt;0,0,DO43-DO45-DO46)</f>
        <v>#REF!</v>
      </c>
      <c r="DQ47" s="882" t="e">
        <f>IF(DQ43-DQ45-DQ46&lt;0,0,DQ43-DQ45-DQ46)</f>
        <v>#REF!</v>
      </c>
      <c r="DR47" s="883"/>
      <c r="DS47" s="882" t="e">
        <f>IF(DS43-DS45-DS46&lt;0,0,DS43-DS45-DS46)</f>
        <v>#REF!</v>
      </c>
      <c r="DT47" s="883"/>
      <c r="DU47" s="882" t="e">
        <f>IF(DU43-DU45-DU46&lt;0,0,DU43-DU45-DU46)</f>
        <v>#REF!</v>
      </c>
      <c r="DV47" s="883"/>
      <c r="DW47" s="882" t="e">
        <f>IF(DW43-DW45-DW46&lt;0,0,DW43-DW45-DW46)</f>
        <v>#REF!</v>
      </c>
      <c r="DY47" s="904" t="e">
        <f>IF(DY43-DY45-DY46&lt;0,0,DY43-DY45-DY46)</f>
        <v>#REF!</v>
      </c>
      <c r="DZ47" s="905"/>
      <c r="EA47" s="904" t="e">
        <f>IF(EA43-EA45-EA46&lt;0,0,EA43-EA45-EA46)</f>
        <v>#REF!</v>
      </c>
      <c r="EB47" s="905"/>
      <c r="EC47" s="904" t="e">
        <f>IF(EC43-EC45-EC46&lt;0,0,EC43-EC45-EC46)</f>
        <v>#REF!</v>
      </c>
      <c r="ED47" s="905"/>
      <c r="EE47" s="904" t="e">
        <f>IF(EE43-EE45-EE46&lt;0,0,EE43-EE45-EE46)</f>
        <v>#REF!</v>
      </c>
      <c r="EG47" s="882" t="e">
        <f>IF(EG43-EG45-EG46&lt;0,0,EG43-EG45-EG46)</f>
        <v>#REF!</v>
      </c>
      <c r="EH47" s="883"/>
      <c r="EI47" s="882" t="e">
        <f>IF(EI43-EI45-EI46&lt;0,0,EI43-EI45-EI46)</f>
        <v>#REF!</v>
      </c>
      <c r="EJ47" s="883"/>
      <c r="EK47" s="882">
        <f>IF(EK43-EK45-EK46&lt;0,0,EK43-EK45-EK46)</f>
        <v>0</v>
      </c>
      <c r="EL47" s="883"/>
      <c r="EM47" s="882">
        <f>IF(EM43-EM45-EM46&lt;0,0,EM43-EM45-EM46)</f>
        <v>0</v>
      </c>
    </row>
    <row r="48" spans="1:143">
      <c r="A48" s="67" t="s">
        <v>2591</v>
      </c>
      <c r="C48" s="2083" t="e">
        <f>IF(C47=0,0,C47*C44)</f>
        <v>#REF!</v>
      </c>
      <c r="D48" s="2057"/>
      <c r="E48" s="2083" t="e">
        <f>IF(E47=0,0,E47*E44)</f>
        <v>#REF!</v>
      </c>
      <c r="F48" s="2057"/>
      <c r="G48" s="2083" t="e">
        <f>IF(G47=0,0,G47*G44)</f>
        <v>#REF!</v>
      </c>
      <c r="H48" s="2057"/>
      <c r="I48" s="2388" t="e">
        <f>IF(I47=0,0,I47*I44)</f>
        <v>#REF!</v>
      </c>
      <c r="K48" s="1550" t="e">
        <f>IF(K47=0,0,K47*K44)</f>
        <v>#REF!</v>
      </c>
      <c r="L48" s="1551"/>
      <c r="M48" s="1550" t="e">
        <f>IF(M47=0,0,M47*M44)</f>
        <v>#REF!</v>
      </c>
      <c r="N48" s="1551"/>
      <c r="O48" s="1550" t="e">
        <f>IF(O47=0,0,O47*O44)</f>
        <v>#REF!</v>
      </c>
      <c r="P48" s="1551"/>
      <c r="Q48" s="1619" t="e">
        <f>IF(Q47=0,0,Q47*Q44)</f>
        <v>#REF!</v>
      </c>
      <c r="S48" s="692" t="e">
        <f>IF(S47=0,0,S47*S44)</f>
        <v>#DIV/0!</v>
      </c>
      <c r="T48" s="680"/>
      <c r="U48" s="692" t="e">
        <f>IF(U47=0,0,U47*U44)</f>
        <v>#DIV/0!</v>
      </c>
      <c r="V48" s="680"/>
      <c r="W48" s="692">
        <f>IF(W47=0,0,W47*W44)</f>
        <v>0</v>
      </c>
      <c r="X48" s="680"/>
      <c r="Y48" s="1631">
        <f>IF(Y47=0,0,Y47*Y44)</f>
        <v>0</v>
      </c>
      <c r="AA48" s="1837" t="e">
        <f>IF(AA47=0,0,AA47*AA44)</f>
        <v>#DIV/0!</v>
      </c>
      <c r="AB48" s="1838"/>
      <c r="AC48" s="1837" t="e">
        <f>IF(AC47=0,0,AC47*AC44)</f>
        <v>#DIV/0!</v>
      </c>
      <c r="AD48" s="1838"/>
      <c r="AE48" s="1837">
        <f>IF(AE47=0,0,AE47*AE44)</f>
        <v>0</v>
      </c>
      <c r="AF48" s="1838"/>
      <c r="AG48" s="1839">
        <f>IF(AG47=0,0,AG47*AG44)</f>
        <v>0</v>
      </c>
      <c r="AI48" s="863" t="e">
        <f>IF(AI47=0,0,AI47*AI44)</f>
        <v>#DIV/0!</v>
      </c>
      <c r="AJ48" s="864"/>
      <c r="AK48" s="863" t="e">
        <f>IF(AK47=0,0,AK47*AK44)</f>
        <v>#DIV/0!</v>
      </c>
      <c r="AL48" s="864"/>
      <c r="AM48" s="863">
        <f>IF(AM47=0,0,AM47*AM44)</f>
        <v>0</v>
      </c>
      <c r="AN48" s="864"/>
      <c r="AO48" s="1650">
        <f>IF(AO47=0,0,AO47*AO44)</f>
        <v>0</v>
      </c>
      <c r="AQ48" s="1892" t="e">
        <f>IF(AQ47=0,0,AQ47*AQ44)</f>
        <v>#DIV/0!</v>
      </c>
      <c r="AR48" s="1893"/>
      <c r="AS48" s="1892" t="e">
        <f>IF(AS47=0,0,AS47*AS44)</f>
        <v>#DIV/0!</v>
      </c>
      <c r="AT48" s="1893"/>
      <c r="AU48" s="1892">
        <f>IF(AU47=0,0,AU47*AU44)</f>
        <v>0</v>
      </c>
      <c r="AV48" s="1893"/>
      <c r="AW48" s="1894">
        <f>IF(AW47=0,0,AW47*AW44)</f>
        <v>0</v>
      </c>
      <c r="AY48" s="1490" t="e">
        <f>IF(AY47=0,0,AY47*AY44)</f>
        <v>#DIV/0!</v>
      </c>
      <c r="BA48" s="1490" t="e">
        <f>IF(BA47=0,0,BA47*BA44)</f>
        <v>#DIV/0!</v>
      </c>
      <c r="BC48" s="1490">
        <f>IF(BC47=0,0,BC47*BC44)</f>
        <v>0</v>
      </c>
      <c r="BE48" s="1663">
        <f>IF(BE47=0,0,BE47*BE44)</f>
        <v>0</v>
      </c>
      <c r="BG48" s="1929" t="e">
        <f>IF(BG47=0,0,BG47*BG44)</f>
        <v>#DIV/0!</v>
      </c>
      <c r="BI48" s="1929" t="e">
        <f>IF(BI47=0,0,BI47*BI44)</f>
        <v>#DIV/0!</v>
      </c>
      <c r="BK48" s="1929">
        <f>IF(BK47=0,0,BK47*BK44)</f>
        <v>0</v>
      </c>
      <c r="BM48" s="1930">
        <f>IF(BM47=0,0,BM47*BM44)</f>
        <v>0</v>
      </c>
      <c r="BO48" s="2472" t="e">
        <f>IF(BO47=0,0,BO47*BO44)</f>
        <v>#REF!</v>
      </c>
      <c r="BP48" s="2472" t="e">
        <f>IF(BP47=0,0,BP47*BP44)</f>
        <v>#REF!</v>
      </c>
      <c r="BQ48" s="2472">
        <f>IF(BQ47=0,0,BQ47*BQ44)</f>
        <v>0</v>
      </c>
      <c r="BR48" s="2472" t="e">
        <f>IF(BR47=0,0,BR47*BR44)</f>
        <v>#REF!</v>
      </c>
      <c r="CC48" s="354" t="e">
        <f>IF(CC47=0,0,CC47*CC44)</f>
        <v>#REF!</v>
      </c>
      <c r="CD48" s="355"/>
      <c r="CE48" s="354" t="e">
        <f>IF(CE47=0,0,CE47*CE44)</f>
        <v>#REF!</v>
      </c>
      <c r="CF48" s="355"/>
      <c r="CG48" s="354" t="e">
        <f>IF(CG47=0,0,CG47*CG44)</f>
        <v>#REF!</v>
      </c>
      <c r="CH48" s="355"/>
      <c r="CI48" s="354" t="e">
        <f>IF(CI47=0,0,CI47*CI44)</f>
        <v>#REF!</v>
      </c>
      <c r="CK48" s="935" t="e">
        <f>IF(CK47=0,0,CK47*CK44)</f>
        <v>#REF!</v>
      </c>
      <c r="CL48" s="936"/>
      <c r="CM48" s="935" t="e">
        <f>IF(CM47=0,0,CM47*CM44)</f>
        <v>#REF!</v>
      </c>
      <c r="CN48" s="936"/>
      <c r="CO48" s="935" t="e">
        <f>IF(CO47=0,0,CO47*CO44)</f>
        <v>#REF!</v>
      </c>
      <c r="CP48" s="936"/>
      <c r="CQ48" s="935" t="e">
        <f>IF(CQ47=0,0,CQ47*CQ44)</f>
        <v>#REF!</v>
      </c>
      <c r="CS48" s="911" t="e">
        <f>IF(CS47=0,0,CS47*CS44)</f>
        <v>#REF!</v>
      </c>
      <c r="CT48" s="912"/>
      <c r="CU48" s="911" t="e">
        <f>IF(CU47=0,0,CU47*CU44)</f>
        <v>#REF!</v>
      </c>
      <c r="CV48" s="912"/>
      <c r="CW48" s="911" t="e">
        <f>IF(CW47=0,0,CW47*CW44)</f>
        <v>#REF!</v>
      </c>
      <c r="CX48" s="912"/>
      <c r="CY48" s="911" t="e">
        <f>IF(CY47=0,0,CY47*CY44)</f>
        <v>#REF!</v>
      </c>
      <c r="DA48" s="800" t="e">
        <f>IF(DA47=0,0,DA47*DA44)</f>
        <v>#REF!</v>
      </c>
      <c r="DB48" s="889"/>
      <c r="DC48" s="800" t="e">
        <f>IF(DC47=0,0,DC47*DC44)</f>
        <v>#REF!</v>
      </c>
      <c r="DD48" s="889"/>
      <c r="DE48" s="800" t="e">
        <f>IF(DE47=0,0,DE47*DE44)</f>
        <v>#REF!</v>
      </c>
      <c r="DF48" s="889"/>
      <c r="DG48" s="800" t="e">
        <f>IF(DG47=0,0,DG47*DG44)</f>
        <v>#REF!</v>
      </c>
      <c r="DI48" s="911" t="e">
        <f>IF(DI47=0,0,DI47*DI44)</f>
        <v>#REF!</v>
      </c>
      <c r="DJ48" s="912"/>
      <c r="DK48" s="911" t="e">
        <f>IF(DK47=0,0,DK47*DK44)</f>
        <v>#REF!</v>
      </c>
      <c r="DL48" s="912"/>
      <c r="DM48" s="911" t="e">
        <f>IF(DM47=0,0,DM47*DM44)</f>
        <v>#REF!</v>
      </c>
      <c r="DN48" s="912"/>
      <c r="DO48" s="911" t="e">
        <f>IF(DO47=0,0,DO47*DO44)</f>
        <v>#REF!</v>
      </c>
      <c r="DQ48" s="800" t="e">
        <f>IF(DQ47=0,0,DQ47*DQ44)</f>
        <v>#REF!</v>
      </c>
      <c r="DR48" s="889"/>
      <c r="DS48" s="800" t="e">
        <f>IF(DS47=0,0,DS47*DS44)</f>
        <v>#REF!</v>
      </c>
      <c r="DT48" s="889"/>
      <c r="DU48" s="800" t="e">
        <f>IF(DU47=0,0,DU47*DU44)</f>
        <v>#REF!</v>
      </c>
      <c r="DV48" s="889"/>
      <c r="DW48" s="800" t="e">
        <f>IF(DW47=0,0,DW47*DW44)</f>
        <v>#REF!</v>
      </c>
      <c r="DY48" s="911" t="e">
        <f>IF(DY47=0,0,DY47*DY44)</f>
        <v>#REF!</v>
      </c>
      <c r="DZ48" s="912"/>
      <c r="EA48" s="911" t="e">
        <f>IF(EA47=0,0,EA47*EA44)</f>
        <v>#REF!</v>
      </c>
      <c r="EB48" s="912"/>
      <c r="EC48" s="911" t="e">
        <f>IF(EC47=0,0,EC47*EC44)</f>
        <v>#REF!</v>
      </c>
      <c r="ED48" s="912"/>
      <c r="EE48" s="911" t="e">
        <f>IF(EE47=0,0,EE47*EE44)</f>
        <v>#REF!</v>
      </c>
      <c r="EG48" s="800" t="e">
        <f>IF(EG47=0,0,EG47*EG44)</f>
        <v>#REF!</v>
      </c>
      <c r="EH48" s="889"/>
      <c r="EI48" s="800" t="e">
        <f>IF(EI47=0,0,EI47*EI44)</f>
        <v>#REF!</v>
      </c>
      <c r="EJ48" s="889"/>
      <c r="EK48" s="800">
        <f>IF(EK47=0,0,EK47*EK44)</f>
        <v>0</v>
      </c>
      <c r="EL48" s="889"/>
      <c r="EM48" s="800">
        <f>IF(EM47=0,0,EM47*EM44)</f>
        <v>0</v>
      </c>
    </row>
    <row r="49" spans="1:143">
      <c r="A49" s="67"/>
      <c r="I49" s="2070"/>
      <c r="K49" s="1551"/>
      <c r="L49" s="1551"/>
      <c r="M49" s="1551"/>
      <c r="N49" s="1551"/>
      <c r="O49" s="1551"/>
      <c r="P49" s="1551"/>
      <c r="Q49" s="1624"/>
      <c r="Y49" s="1093"/>
      <c r="AG49" s="1818"/>
      <c r="AO49" s="1642"/>
      <c r="AW49" s="1873"/>
      <c r="BE49" s="1612"/>
      <c r="BM49" s="1909"/>
      <c r="BO49" s="1472"/>
      <c r="BP49" s="1472"/>
      <c r="BQ49" s="1472"/>
      <c r="BR49" s="1472"/>
    </row>
    <row r="50" spans="1:143">
      <c r="A50" s="20" t="s">
        <v>294</v>
      </c>
      <c r="I50" s="2070"/>
      <c r="K50" s="1551"/>
      <c r="L50" s="1551"/>
      <c r="M50" s="1551"/>
      <c r="N50" s="1551"/>
      <c r="O50" s="1551"/>
      <c r="P50" s="1551"/>
      <c r="Q50" s="1624"/>
      <c r="Y50" s="1093"/>
      <c r="AG50" s="1818"/>
      <c r="AO50" s="1642"/>
      <c r="AW50" s="1873"/>
      <c r="BE50" s="1612"/>
      <c r="BM50" s="1909"/>
      <c r="BO50" s="1472"/>
      <c r="BP50" s="1472"/>
      <c r="BQ50" s="1472"/>
      <c r="BR50" s="1472"/>
    </row>
    <row r="51" spans="1:143">
      <c r="A51" s="67" t="s">
        <v>186</v>
      </c>
      <c r="C51" s="2368" t="e">
        <f>IF(C91&gt;C92,C92,C91)</f>
        <v>#REF!</v>
      </c>
      <c r="D51" s="2057"/>
      <c r="E51" s="2368">
        <v>0</v>
      </c>
      <c r="F51" s="2057"/>
      <c r="G51" s="2368" t="e">
        <f>IF(G91&gt;G92,G92,G91)</f>
        <v>#REF!</v>
      </c>
      <c r="H51" s="2057"/>
      <c r="I51" s="2369">
        <v>0</v>
      </c>
      <c r="K51" s="1550" t="e">
        <f>IF(K91&gt;K92,K92,K91)</f>
        <v>#REF!</v>
      </c>
      <c r="L51" s="1551"/>
      <c r="M51" s="1550">
        <v>0</v>
      </c>
      <c r="N51" s="1551"/>
      <c r="O51" s="1550" t="e">
        <f>IF(O91&gt;O92,O92,O91)</f>
        <v>#REF!</v>
      </c>
      <c r="P51" s="1551"/>
      <c r="Q51" s="1619">
        <v>0</v>
      </c>
      <c r="S51" s="695" t="e">
        <f>IF(S91&gt;S92,S92,S91)</f>
        <v>#DIV/0!</v>
      </c>
      <c r="T51" s="680"/>
      <c r="U51" s="695">
        <v>0</v>
      </c>
      <c r="V51" s="680"/>
      <c r="W51" s="695">
        <f>IF(W91&gt;W92,W92,W91)</f>
        <v>0</v>
      </c>
      <c r="X51" s="680"/>
      <c r="Y51" s="1097">
        <v>0</v>
      </c>
      <c r="AA51" s="1845" t="e">
        <f>IF(AA91&gt;AA92,AA92,AA91)</f>
        <v>#DIV/0!</v>
      </c>
      <c r="AB51" s="1838"/>
      <c r="AC51" s="1845">
        <v>0</v>
      </c>
      <c r="AD51" s="1838"/>
      <c r="AE51" s="1845">
        <f>IF(AE91&gt;AE92,AE92,AE91)</f>
        <v>0</v>
      </c>
      <c r="AF51" s="1838"/>
      <c r="AG51" s="1846">
        <v>0</v>
      </c>
      <c r="AI51" s="867" t="e">
        <f>IF(AI91&gt;AI92,AI92,AI91)</f>
        <v>#DIV/0!</v>
      </c>
      <c r="AJ51" s="864"/>
      <c r="AK51" s="867">
        <v>0</v>
      </c>
      <c r="AL51" s="864"/>
      <c r="AM51" s="867">
        <f>IF(AM91&gt;AM92,AM92,AM91)</f>
        <v>0</v>
      </c>
      <c r="AN51" s="864"/>
      <c r="AO51" s="1652">
        <v>0</v>
      </c>
      <c r="AQ51" s="1900" t="e">
        <f>IF(AQ91&gt;AQ92,AQ92,AQ91)</f>
        <v>#DIV/0!</v>
      </c>
      <c r="AR51" s="1893"/>
      <c r="AS51" s="1900">
        <v>0</v>
      </c>
      <c r="AT51" s="1893"/>
      <c r="AU51" s="1900">
        <f>IF(AU91&gt;AU92,AU92,AU91)</f>
        <v>0</v>
      </c>
      <c r="AV51" s="1893"/>
      <c r="AW51" s="1901">
        <v>0</v>
      </c>
      <c r="AY51" s="1515" t="e">
        <f>IF(AY91&gt;AY92,AY92,AY91)</f>
        <v>#DIV/0!</v>
      </c>
      <c r="AZ51" s="1516"/>
      <c r="BA51" s="1515">
        <v>0</v>
      </c>
      <c r="BB51" s="1516"/>
      <c r="BC51" s="1515">
        <f>IF(BC91&gt;BC92,BC92,BC91)</f>
        <v>0</v>
      </c>
      <c r="BD51" s="1516"/>
      <c r="BE51" s="1657">
        <v>0</v>
      </c>
      <c r="BG51" s="1914" t="e">
        <f>IF(BG91&gt;BG92,BG92,BG91)</f>
        <v>#DIV/0!</v>
      </c>
      <c r="BH51" s="1915"/>
      <c r="BI51" s="1914">
        <v>0</v>
      </c>
      <c r="BJ51" s="1915"/>
      <c r="BK51" s="1914">
        <f>IF(BK91&gt;BK92,BK92,BK91)</f>
        <v>0</v>
      </c>
      <c r="BL51" s="1915"/>
      <c r="BM51" s="1916">
        <v>0</v>
      </c>
      <c r="BO51" s="2681" t="e">
        <f>IF(BO91&gt;BO92,BO92,BO91)</f>
        <v>#REF!</v>
      </c>
      <c r="BP51" s="2681">
        <v>0</v>
      </c>
      <c r="BQ51" s="2681">
        <f>IF(BQ91&gt;BQ92,BQ92,BQ91)</f>
        <v>0</v>
      </c>
      <c r="BR51" s="2681">
        <v>0</v>
      </c>
      <c r="CC51" s="357" t="e">
        <f>IF(CC91&gt;CC92,CC92,CC91)</f>
        <v>#REF!</v>
      </c>
      <c r="CD51" s="355"/>
      <c r="CE51" s="357">
        <v>0</v>
      </c>
      <c r="CF51" s="355"/>
      <c r="CG51" s="357" t="e">
        <f>IF(CG91&gt;CG92,CG92,CG91)</f>
        <v>#REF!</v>
      </c>
      <c r="CH51" s="355"/>
      <c r="CI51" s="357">
        <v>0</v>
      </c>
      <c r="CK51" s="939" t="e">
        <f>IF(CK91&gt;CK92,CK92,CK91)</f>
        <v>#REF!</v>
      </c>
      <c r="CL51" s="936"/>
      <c r="CM51" s="939">
        <v>0</v>
      </c>
      <c r="CN51" s="936"/>
      <c r="CO51" s="939" t="e">
        <f>IF(CO91&gt;CO92,CO92,CO91)</f>
        <v>#REF!</v>
      </c>
      <c r="CP51" s="936"/>
      <c r="CQ51" s="939">
        <v>0</v>
      </c>
      <c r="CS51" s="915" t="e">
        <f>IF(CS91&gt;CS92,CS92,CS91)</f>
        <v>#REF!</v>
      </c>
      <c r="CT51" s="912"/>
      <c r="CU51" s="915">
        <v>0</v>
      </c>
      <c r="CV51" s="912"/>
      <c r="CW51" s="915" t="e">
        <f>IF(CW91&gt;CW92,CW92,CW91)</f>
        <v>#REF!</v>
      </c>
      <c r="CX51" s="912"/>
      <c r="CY51" s="915">
        <v>0</v>
      </c>
      <c r="DA51" s="892" t="e">
        <f>IF(DA91&gt;DA92,DA92,DA91)</f>
        <v>#REF!</v>
      </c>
      <c r="DB51" s="889"/>
      <c r="DC51" s="892">
        <v>0</v>
      </c>
      <c r="DD51" s="889"/>
      <c r="DE51" s="892" t="e">
        <f>IF(DE91&gt;DE92,DE92,DE91)</f>
        <v>#REF!</v>
      </c>
      <c r="DF51" s="889"/>
      <c r="DG51" s="892">
        <v>0</v>
      </c>
      <c r="DI51" s="915" t="e">
        <f>IF(DI91&gt;DI92,DI92,DI91)</f>
        <v>#REF!</v>
      </c>
      <c r="DJ51" s="912"/>
      <c r="DK51" s="915">
        <v>0</v>
      </c>
      <c r="DL51" s="912"/>
      <c r="DM51" s="915" t="e">
        <f>IF(DM91&gt;DM92,DM92,DM91)</f>
        <v>#REF!</v>
      </c>
      <c r="DN51" s="912"/>
      <c r="DO51" s="915">
        <v>0</v>
      </c>
      <c r="DQ51" s="892" t="e">
        <f>IF(DQ91&gt;DQ92,DQ92,DQ91)</f>
        <v>#REF!</v>
      </c>
      <c r="DR51" s="889"/>
      <c r="DS51" s="892">
        <v>0</v>
      </c>
      <c r="DT51" s="889"/>
      <c r="DU51" s="892" t="e">
        <f>IF(DU91&gt;DU92,DU92,DU91)</f>
        <v>#REF!</v>
      </c>
      <c r="DV51" s="889"/>
      <c r="DW51" s="892">
        <v>0</v>
      </c>
      <c r="DY51" s="915" t="e">
        <f>IF(DY91&gt;DY92,DY92,DY91)</f>
        <v>#REF!</v>
      </c>
      <c r="DZ51" s="912"/>
      <c r="EA51" s="915">
        <v>0</v>
      </c>
      <c r="EB51" s="912"/>
      <c r="EC51" s="915" t="e">
        <f>IF(EC91&gt;EC92,EC92,EC91)</f>
        <v>#REF!</v>
      </c>
      <c r="ED51" s="912"/>
      <c r="EE51" s="915">
        <v>0</v>
      </c>
      <c r="EG51" s="892" t="e">
        <f>IF(EG91&gt;EG92,EG92,EG91)</f>
        <v>#REF!</v>
      </c>
      <c r="EH51" s="889"/>
      <c r="EI51" s="892">
        <v>0</v>
      </c>
      <c r="EJ51" s="889"/>
      <c r="EK51" s="892">
        <f>IF(EK91&gt;EK92,EK92,EK91)</f>
        <v>0</v>
      </c>
      <c r="EL51" s="889"/>
      <c r="EM51" s="892">
        <v>0</v>
      </c>
    </row>
    <row r="52" spans="1:143">
      <c r="A52" s="67" t="s">
        <v>1453</v>
      </c>
      <c r="C52" s="2368" t="e">
        <f>'Data Entry - SOF'!C136*(C48/'Data Entry - SOF'!C93)</f>
        <v>#REF!</v>
      </c>
      <c r="D52" s="2057"/>
      <c r="E52" s="2368">
        <f>IF('Data Entry - SOF'!C137&gt;E94,E94,'Data Entry - SOF'!C137)</f>
        <v>0</v>
      </c>
      <c r="F52" s="2057"/>
      <c r="G52" s="2368" t="e">
        <f>'Data Entry - SOF'!C136*(G48/'Data Entry - SOF'!C93)</f>
        <v>#REF!</v>
      </c>
      <c r="H52" s="2057"/>
      <c r="I52" s="2369">
        <f>IF('Data Entry - SOF'!C137&gt;I94,I94,'Data Entry - SOF'!C137)</f>
        <v>0</v>
      </c>
      <c r="K52" s="1550" t="e">
        <f>'Data Entry - SOF'!#REF!*(K48/'Data Entry - SOF'!#REF!)</f>
        <v>#REF!</v>
      </c>
      <c r="L52" s="1551"/>
      <c r="M52" s="1550" t="e">
        <f>IF('Data Entry - SOF'!#REF!&gt;M94,M94,'Data Entry - SOF'!#REF!)</f>
        <v>#REF!</v>
      </c>
      <c r="N52" s="1551"/>
      <c r="O52" s="1550" t="e">
        <f>'Data Entry - SOF'!#REF!*(O48/'Data Entry - SOF'!#REF!)</f>
        <v>#REF!</v>
      </c>
      <c r="P52" s="1551"/>
      <c r="Q52" s="1619" t="e">
        <f>IF('Data Entry - SOF'!#REF!&gt;Q94,Q94,'Data Entry - SOF'!#REF!)</f>
        <v>#REF!</v>
      </c>
      <c r="S52" s="695" t="e">
        <f>'Data Entry - SOF'!E136*(S48/'Data Entry - SOF'!E93)</f>
        <v>#DIV/0!</v>
      </c>
      <c r="T52" s="680"/>
      <c r="U52" s="695">
        <f>IF('Data Entry - SOF'!E137&gt;U94,U94,'Data Entry - SOF'!E137)</f>
        <v>0</v>
      </c>
      <c r="V52" s="680"/>
      <c r="W52" s="695" t="e">
        <f>'Data Entry - SOF'!E136*(W48/'Data Entry - SOF'!E93)</f>
        <v>#DIV/0!</v>
      </c>
      <c r="X52" s="680"/>
      <c r="Y52" s="1097">
        <f>IF('Data Entry - SOF'!E137&gt;Y94,Y94,'Data Entry - SOF'!E137)</f>
        <v>0</v>
      </c>
      <c r="AA52" s="1845" t="e">
        <f>'Data Entry - SOF'!K136*(AA48/'Data Entry - SOF'!K93)</f>
        <v>#DIV/0!</v>
      </c>
      <c r="AB52" s="1838"/>
      <c r="AC52" s="1845">
        <f>IF('Data Entry - SOF'!K137&gt;AC94,AC94,'Data Entry - SOF'!K137)</f>
        <v>0</v>
      </c>
      <c r="AD52" s="1838"/>
      <c r="AE52" s="1845" t="e">
        <f>'Data Entry - SOF'!K136*(AE48/'Data Entry - SOF'!K93)</f>
        <v>#DIV/0!</v>
      </c>
      <c r="AF52" s="1838"/>
      <c r="AG52" s="1846">
        <f>IF('Data Entry - SOF'!K137&gt;AG94,AG94,'Data Entry - SOF'!K137)</f>
        <v>0</v>
      </c>
      <c r="AI52" s="867" t="e">
        <f>'Data Entry - SOF'!M136*(AI48/'Data Entry - SOF'!M93)</f>
        <v>#DIV/0!</v>
      </c>
      <c r="AJ52" s="864"/>
      <c r="AK52" s="867">
        <f>IF('Data Entry - SOF'!M137&gt;AK94,AK94,'Data Entry - SOF'!M137)</f>
        <v>0</v>
      </c>
      <c r="AL52" s="864"/>
      <c r="AM52" s="867" t="e">
        <f>'Data Entry - SOF'!M136*(AM48/'Data Entry - SOF'!M93)</f>
        <v>#DIV/0!</v>
      </c>
      <c r="AN52" s="864"/>
      <c r="AO52" s="1652">
        <f>IF('Data Entry - SOF'!M137&gt;AO94,AO94,'Data Entry - SOF'!M137)</f>
        <v>0</v>
      </c>
      <c r="AQ52" s="1900" t="e">
        <f>'Data Entry - SOF'!O136*(AQ48/'Data Entry - SOF'!O93)</f>
        <v>#DIV/0!</v>
      </c>
      <c r="AR52" s="1893"/>
      <c r="AS52" s="1900">
        <f>IF('Data Entry - SOF'!O137&gt;AS94,AS94,'Data Entry - SOF'!O137)</f>
        <v>0</v>
      </c>
      <c r="AT52" s="1893"/>
      <c r="AU52" s="1900" t="e">
        <f>'Data Entry - SOF'!O136*(AU48/'Data Entry - SOF'!O93)</f>
        <v>#DIV/0!</v>
      </c>
      <c r="AV52" s="1893"/>
      <c r="AW52" s="1901">
        <f>IF('Data Entry - SOF'!O137&gt;AW94,AW94,'Data Entry - SOF'!O137)</f>
        <v>0</v>
      </c>
      <c r="AY52" s="1515" t="e">
        <f>'Data Entry - SOF'!Q136*(AY48/'Data Entry - SOF'!Q93)</f>
        <v>#DIV/0!</v>
      </c>
      <c r="AZ52" s="1516"/>
      <c r="BA52" s="1515">
        <f>IF('Data Entry - SOF'!Q137&gt;BA94,BA94,'Data Entry - SOF'!Q137)</f>
        <v>0</v>
      </c>
      <c r="BB52" s="1516"/>
      <c r="BC52" s="1515" t="e">
        <f>'Data Entry - SOF'!Q136*(BC48/'Data Entry - SOF'!Q93)</f>
        <v>#DIV/0!</v>
      </c>
      <c r="BD52" s="1516"/>
      <c r="BE52" s="1657">
        <f>IF('Data Entry - SOF'!Q137&gt;BE94,BE94,'Data Entry - SOF'!Q137)</f>
        <v>0</v>
      </c>
      <c r="BG52" s="1914" t="e">
        <f>'Data Entry - SOF'!S136*(BG48/'Data Entry - SOF'!S93)</f>
        <v>#DIV/0!</v>
      </c>
      <c r="BH52" s="1915"/>
      <c r="BI52" s="1914">
        <f>IF('Data Entry - SOF'!S137&gt;BI94,BI94,'Data Entry - SOF'!S137)</f>
        <v>0</v>
      </c>
      <c r="BJ52" s="1915"/>
      <c r="BK52" s="1914" t="e">
        <f>'Data Entry - SOF'!S136*(BK48/'Data Entry - SOF'!S93)</f>
        <v>#DIV/0!</v>
      </c>
      <c r="BL52" s="1915"/>
      <c r="BM52" s="1916">
        <f>IF('Data Entry - SOF'!S137&gt;BM94,BM94,'Data Entry - SOF'!S137)</f>
        <v>0</v>
      </c>
      <c r="BO52" s="2681" t="e">
        <f>'Data Entry - SOF'!E136*(BO48/'Data Entry - SOF'!E93)</f>
        <v>#REF!</v>
      </c>
      <c r="BP52" s="2681" t="e">
        <f>IF('Data Entry - SOF'!E137&gt;BP94,BP94,'Data Entry - SOF'!E137)</f>
        <v>#REF!</v>
      </c>
      <c r="BQ52" s="2681" t="e">
        <f>'Data Entry - SOF'!E136*(BQ48/'Data Entry - SOF'!E93)</f>
        <v>#DIV/0!</v>
      </c>
      <c r="BR52" s="2699">
        <f>IF('Data Entry - SOF'!E137&gt;BR94,BR94,'Data Entry - SOF'!E137)</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39" t="e">
        <f>'Data Entry - SOF'!#REF!*(CK42/'Data Entry - SOF'!#REF!)</f>
        <v>#REF!</v>
      </c>
      <c r="CL52" s="936"/>
      <c r="CM52" s="939" t="e">
        <f>IF('Data Entry - SOF'!#REF!&gt;CM94,CM94,'Data Entry - SOF'!#REF!)</f>
        <v>#REF!</v>
      </c>
      <c r="CN52" s="936"/>
      <c r="CO52" s="939" t="e">
        <f>'Data Entry - SOF'!#REF!*(CO42/'Data Entry - SOF'!#REF!)</f>
        <v>#REF!</v>
      </c>
      <c r="CP52" s="936"/>
      <c r="CQ52" s="939" t="e">
        <f>IF('Data Entry - SOF'!#REF!&gt;CQ94,CQ94,'Data Entry - SOF'!#REF!)</f>
        <v>#REF!</v>
      </c>
      <c r="CS52" s="915" t="e">
        <f>'Data Entry - SOF'!#REF!*(CS42/'Data Entry - SOF'!#REF!)</f>
        <v>#REF!</v>
      </c>
      <c r="CT52" s="912"/>
      <c r="CU52" s="915" t="e">
        <f>IF('Data Entry - SOF'!#REF!&gt;CU94,CU94,'Data Entry - SOF'!#REF!)</f>
        <v>#REF!</v>
      </c>
      <c r="CV52" s="912"/>
      <c r="CW52" s="915" t="e">
        <f>'Data Entry - SOF'!#REF!*(CW42/'Data Entry - SOF'!#REF!)</f>
        <v>#REF!</v>
      </c>
      <c r="CX52" s="912"/>
      <c r="CY52" s="915" t="e">
        <f>IF('Data Entry - SOF'!#REF!&gt;CY94,CY94,'Data Entry - SOF'!#REF!)</f>
        <v>#REF!</v>
      </c>
      <c r="DA52" s="892" t="e">
        <f>'Data Entry - SOF'!#REF!*(DA42/'Data Entry - SOF'!#REF!)</f>
        <v>#REF!</v>
      </c>
      <c r="DB52" s="889"/>
      <c r="DC52" s="892" t="e">
        <f>IF('Data Entry - SOF'!#REF!&gt;DC94,DC94,'Data Entry - SOF'!#REF!)</f>
        <v>#REF!</v>
      </c>
      <c r="DD52" s="889"/>
      <c r="DE52" s="892" t="e">
        <f>'Data Entry - SOF'!#REF!*(DE42/'Data Entry - SOF'!#REF!)</f>
        <v>#REF!</v>
      </c>
      <c r="DF52" s="889"/>
      <c r="DG52" s="892" t="e">
        <f>IF('Data Entry - SOF'!#REF!&gt;DG94,DG94,'Data Entry - SOF'!#REF!)</f>
        <v>#REF!</v>
      </c>
      <c r="DI52" s="915" t="e">
        <f>'Data Entry - SOF'!C136*(DI48/'Data Entry - SOF'!C93)</f>
        <v>#REF!</v>
      </c>
      <c r="DJ52" s="912"/>
      <c r="DK52" s="915">
        <f>IF('Data Entry - SOF'!C137&gt;DK94,DK94,'Data Entry - SOF'!C137)</f>
        <v>0</v>
      </c>
      <c r="DL52" s="912"/>
      <c r="DM52" s="915" t="e">
        <f>'Data Entry - SOF'!C136*(DM48/'Data Entry - SOF'!C93)</f>
        <v>#REF!</v>
      </c>
      <c r="DN52" s="912"/>
      <c r="DO52" s="915">
        <f>IF('Data Entry - SOF'!C137&gt;DO94,DO94,'Data Entry - SOF'!C137)</f>
        <v>0</v>
      </c>
      <c r="DQ52" s="892" t="e">
        <f>'Data Entry - SOF'!C136*(DQ48/'Data Entry - SOF'!C93)</f>
        <v>#REF!</v>
      </c>
      <c r="DR52" s="889"/>
      <c r="DS52" s="892">
        <f>IF('Data Entry - SOF'!C137&gt;DS94,DS94,'Data Entry - SOF'!C137)</f>
        <v>0</v>
      </c>
      <c r="DT52" s="889"/>
      <c r="DU52" s="892" t="e">
        <f>'Data Entry - SOF'!C136*(DU48/'Data Entry - SOF'!C93)</f>
        <v>#REF!</v>
      </c>
      <c r="DV52" s="889"/>
      <c r="DW52" s="892">
        <f>IF('Data Entry - SOF'!C137&gt;DW94,DW94,'Data Entry - SOF'!C137)</f>
        <v>0</v>
      </c>
      <c r="DY52" s="915" t="e">
        <f>'Data Entry - SOF'!#REF!*(DY48/'Data Entry - SOF'!#REF!)</f>
        <v>#REF!</v>
      </c>
      <c r="DZ52" s="912"/>
      <c r="EA52" s="915" t="e">
        <f>IF('Data Entry - SOF'!#REF!&gt;EA94,EA94,'Data Entry - SOF'!#REF!)</f>
        <v>#REF!</v>
      </c>
      <c r="EB52" s="912"/>
      <c r="EC52" s="915" t="e">
        <f>'Data Entry - SOF'!#REF!*(EC48/'Data Entry - SOF'!#REF!)</f>
        <v>#REF!</v>
      </c>
      <c r="ED52" s="912"/>
      <c r="EE52" s="915" t="e">
        <f>IF('Data Entry - SOF'!#REF!&gt;EE94,EE94,'Data Entry - SOF'!#REF!)</f>
        <v>#REF!</v>
      </c>
      <c r="EG52" s="892" t="e">
        <f>'Data Entry - SOF'!E136*(EG48/'Data Entry - SOF'!E93)</f>
        <v>#REF!</v>
      </c>
      <c r="EH52" s="889"/>
      <c r="EI52" s="892">
        <f>IF('Data Entry - SOF'!E137&gt;EI94,EI94,'Data Entry - SOF'!E137)</f>
        <v>0</v>
      </c>
      <c r="EJ52" s="889"/>
      <c r="EK52" s="892" t="e">
        <f>'Data Entry - SOF'!E136*(EK48/'Data Entry - SOF'!E93)</f>
        <v>#DIV/0!</v>
      </c>
      <c r="EL52" s="889"/>
      <c r="EM52" s="892">
        <f>IF('Data Entry - SOF'!E137&gt;EM94,EM94,'Data Entry - SOF'!E137)</f>
        <v>0</v>
      </c>
    </row>
    <row r="53" spans="1:143">
      <c r="A53" s="67"/>
      <c r="C53" s="2057"/>
      <c r="D53" s="2057"/>
      <c r="E53" s="2057"/>
      <c r="F53" s="2057"/>
      <c r="G53" s="2057"/>
      <c r="H53" s="2057"/>
      <c r="I53" s="2370"/>
      <c r="K53" s="1551"/>
      <c r="L53" s="1551"/>
      <c r="M53" s="1551"/>
      <c r="N53" s="1551"/>
      <c r="O53" s="1551"/>
      <c r="P53" s="1551"/>
      <c r="Q53" s="1624"/>
      <c r="S53" s="680"/>
      <c r="T53" s="680"/>
      <c r="U53" s="680"/>
      <c r="V53" s="680"/>
      <c r="W53" s="680"/>
      <c r="X53" s="680"/>
      <c r="Y53" s="1098"/>
      <c r="AA53" s="1838"/>
      <c r="AB53" s="1838"/>
      <c r="AC53" s="1838"/>
      <c r="AD53" s="1838"/>
      <c r="AE53" s="1838"/>
      <c r="AF53" s="1838"/>
      <c r="AG53" s="1847"/>
      <c r="AI53" s="864"/>
      <c r="AJ53" s="864"/>
      <c r="AK53" s="864"/>
      <c r="AL53" s="864"/>
      <c r="AM53" s="864"/>
      <c r="AN53" s="864"/>
      <c r="AO53" s="1653"/>
      <c r="AQ53" s="1893"/>
      <c r="AR53" s="1893"/>
      <c r="AS53" s="1893"/>
      <c r="AT53" s="1893"/>
      <c r="AU53" s="1893"/>
      <c r="AV53" s="1893"/>
      <c r="AW53" s="1902"/>
      <c r="AY53" s="1516"/>
      <c r="AZ53" s="1516"/>
      <c r="BA53" s="1516"/>
      <c r="BB53" s="1516"/>
      <c r="BC53" s="1516"/>
      <c r="BD53" s="1516"/>
      <c r="BE53" s="1660"/>
      <c r="BG53" s="1915"/>
      <c r="BH53" s="1915"/>
      <c r="BI53" s="1915"/>
      <c r="BJ53" s="1915"/>
      <c r="BK53" s="1915"/>
      <c r="BL53" s="1915"/>
      <c r="BM53" s="1923"/>
      <c r="BO53" s="1512"/>
      <c r="BP53" s="1512"/>
      <c r="BQ53" s="1512"/>
      <c r="BR53" s="1512"/>
      <c r="CC53" s="355"/>
      <c r="CD53" s="355"/>
      <c r="CE53" s="355"/>
      <c r="CF53" s="355"/>
      <c r="CG53" s="355"/>
      <c r="CH53" s="355"/>
      <c r="CI53" s="355"/>
      <c r="CK53" s="936"/>
      <c r="CL53" s="936"/>
      <c r="CM53" s="936"/>
      <c r="CN53" s="936"/>
      <c r="CO53" s="936"/>
      <c r="CP53" s="936"/>
      <c r="CQ53" s="936"/>
      <c r="CS53" s="912"/>
      <c r="CT53" s="912"/>
      <c r="CU53" s="912"/>
      <c r="CV53" s="912"/>
      <c r="CW53" s="912"/>
      <c r="CX53" s="912"/>
      <c r="CY53" s="912"/>
      <c r="DA53" s="889"/>
      <c r="DB53" s="889"/>
      <c r="DC53" s="889"/>
      <c r="DD53" s="889"/>
      <c r="DE53" s="889"/>
      <c r="DF53" s="889"/>
      <c r="DG53" s="889"/>
      <c r="DI53" s="912"/>
      <c r="DJ53" s="912"/>
      <c r="DK53" s="912"/>
      <c r="DL53" s="912"/>
      <c r="DM53" s="912"/>
      <c r="DN53" s="912"/>
      <c r="DO53" s="912"/>
      <c r="DQ53" s="889"/>
      <c r="DR53" s="889"/>
      <c r="DS53" s="889"/>
      <c r="DT53" s="889"/>
      <c r="DU53" s="889"/>
      <c r="DV53" s="889"/>
      <c r="DW53" s="889"/>
      <c r="DY53" s="912"/>
      <c r="DZ53" s="912"/>
      <c r="EA53" s="912"/>
      <c r="EB53" s="912"/>
      <c r="EC53" s="912"/>
      <c r="ED53" s="912"/>
      <c r="EE53" s="912"/>
      <c r="EG53" s="889"/>
      <c r="EH53" s="889"/>
      <c r="EI53" s="889"/>
      <c r="EJ53" s="889"/>
      <c r="EK53" s="889"/>
      <c r="EL53" s="889"/>
      <c r="EM53" s="889"/>
    </row>
    <row r="54" spans="1:143"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56" t="e">
        <f>IF(K48-K51-K52&lt;0,0,K48-K51-K52)</f>
        <v>#REF!</v>
      </c>
      <c r="L54" s="1551"/>
      <c r="M54" s="1556" t="e">
        <f>IF(M48-M51-M52&lt;0,0,M48-M51-M52)</f>
        <v>#REF!</v>
      </c>
      <c r="N54" s="1551"/>
      <c r="O54" s="1556" t="e">
        <f>IF(O48-O51-O52&lt;0,0,O48-O51-O52)</f>
        <v>#REF!</v>
      </c>
      <c r="P54" s="1551"/>
      <c r="Q54" s="1625" t="e">
        <f>IF(Q48-Q51-Q52&lt;0,0,Q48-Q51-Q52)</f>
        <v>#REF!</v>
      </c>
      <c r="S54" s="696" t="e">
        <f>IF(S48-S51-S52&lt;0,0,S48-S51-S52)</f>
        <v>#DIV/0!</v>
      </c>
      <c r="T54" s="680"/>
      <c r="U54" s="696" t="e">
        <f>IF(U48-U51-U52&lt;0,0,U48-U51-U52)</f>
        <v>#DIV/0!</v>
      </c>
      <c r="V54" s="680"/>
      <c r="W54" s="696" t="e">
        <f>IF(W48-W51-W52&lt;0,0,W48-W51-W52)</f>
        <v>#DIV/0!</v>
      </c>
      <c r="X54" s="680"/>
      <c r="Y54" s="1099">
        <f>IF(Y48-Y51-Y52&lt;0,0,Y48-Y51-Y52)</f>
        <v>0</v>
      </c>
      <c r="AA54" s="1848" t="e">
        <f>IF(AA48-AA51-AA52&lt;0,0,AA48-AA51-AA52)</f>
        <v>#DIV/0!</v>
      </c>
      <c r="AB54" s="1838"/>
      <c r="AC54" s="1848" t="e">
        <f>IF(AC48-AC51-AC52&lt;0,0,AC48-AC51-AC52)</f>
        <v>#DIV/0!</v>
      </c>
      <c r="AD54" s="1838"/>
      <c r="AE54" s="1848" t="e">
        <f>IF(AE48-AE51-AE52&lt;0,0,AE48-AE51-AE52)</f>
        <v>#DIV/0!</v>
      </c>
      <c r="AF54" s="1838"/>
      <c r="AG54" s="1849">
        <f>IF(AG48-AG51-AG52&lt;0,0,AG48-AG51-AG52)</f>
        <v>0</v>
      </c>
      <c r="AI54" s="868" t="e">
        <f>IF(AI48-AI51-AI52&lt;0,0,AI48-AI51-AI52)</f>
        <v>#DIV/0!</v>
      </c>
      <c r="AJ54" s="864"/>
      <c r="AK54" s="868" t="e">
        <f>IF(AK48-AK51-AK52&lt;0,0,AK48-AK51-AK52)</f>
        <v>#DIV/0!</v>
      </c>
      <c r="AL54" s="864"/>
      <c r="AM54" s="868" t="e">
        <f>IF(AM48-AM51-AM52&lt;0,0,AM48-AM51-AM52)</f>
        <v>#DIV/0!</v>
      </c>
      <c r="AN54" s="864"/>
      <c r="AO54" s="1654">
        <f>IF(AO48-AO51-AO52&lt;0,0,AO48-AO51-AO52)</f>
        <v>0</v>
      </c>
      <c r="AQ54" s="1903" t="e">
        <f>IF(AQ48-AQ51-AQ52&lt;0,0,AQ48-AQ51-AQ52)</f>
        <v>#DIV/0!</v>
      </c>
      <c r="AR54" s="1893"/>
      <c r="AS54" s="1903" t="e">
        <f>IF(AS48-AS51-AS52&lt;0,0,AS48-AS51-AS52)</f>
        <v>#DIV/0!</v>
      </c>
      <c r="AT54" s="1893"/>
      <c r="AU54" s="1903" t="e">
        <f>IF(AU48-AU51-AU52&lt;0,0,AU48-AU51-AU52)</f>
        <v>#DIV/0!</v>
      </c>
      <c r="AV54" s="1893"/>
      <c r="AW54" s="1904">
        <f>IF(AW48-AW51-AW52&lt;0,0,AW48-AW51-AW52)</f>
        <v>0</v>
      </c>
      <c r="AY54" s="1546" t="e">
        <f>IF(AY48-AY51-AY52&lt;0,0,AY48-AY51-AY52)</f>
        <v>#DIV/0!</v>
      </c>
      <c r="AZ54" s="1516"/>
      <c r="BA54" s="1546" t="e">
        <f>IF(BA48-BA51-BA52&lt;0,0,BA48-BA51-BA52)</f>
        <v>#DIV/0!</v>
      </c>
      <c r="BB54" s="1516"/>
      <c r="BC54" s="1546" t="e">
        <f>IF(BC48-BC51-BC52&lt;0,0,BC48-BC51-BC52)</f>
        <v>#DIV/0!</v>
      </c>
      <c r="BD54" s="1516"/>
      <c r="BE54" s="1664">
        <f>IF(BE48-BE51-BE52&lt;0,0,BE48-BE51-BE52)</f>
        <v>0</v>
      </c>
      <c r="BG54" s="1931" t="e">
        <f>IF(BG48-BG51-BG52&lt;0,0,BG48-BG51-BG52)</f>
        <v>#DIV/0!</v>
      </c>
      <c r="BH54" s="1915"/>
      <c r="BI54" s="1931" t="e">
        <f>IF(BI48-BI51-BI52&lt;0,0,BI48-BI51-BI52)</f>
        <v>#DIV/0!</v>
      </c>
      <c r="BJ54" s="1915"/>
      <c r="BK54" s="1931" t="e">
        <f>IF(BK48-BK51-BK52&lt;0,0,BK48-BK51-BK52)</f>
        <v>#DIV/0!</v>
      </c>
      <c r="BL54" s="1915"/>
      <c r="BM54" s="1932">
        <f>IF(BM48-BM51-BM52&lt;0,0,BM48-BM51-BM52)</f>
        <v>0</v>
      </c>
      <c r="BO54" s="2682" t="e">
        <f>IF(BO48-BO51-BO52&lt;0,0,BO48-BO51-BO52)</f>
        <v>#REF!</v>
      </c>
      <c r="BP54" s="2682" t="e">
        <f>IF(BP48-BP51-BP52&lt;0,0,BP48-BP51-BP52)</f>
        <v>#REF!</v>
      </c>
      <c r="BQ54" s="2682" t="e">
        <f>IF(BQ48-BQ51-BQ52&lt;0,0,BQ48-BQ51-BQ52)</f>
        <v>#DIV/0!</v>
      </c>
      <c r="BR54" s="2682"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40" t="e">
        <f>IF(CK48-CK51-CK52&lt;0,0,CK48-CK51-CK52)</f>
        <v>#REF!</v>
      </c>
      <c r="CL54" s="936"/>
      <c r="CM54" s="940" t="e">
        <f>IF(CM48-CM51-CM52&lt;0,0,CM48-CM51-CM52)</f>
        <v>#REF!</v>
      </c>
      <c r="CN54" s="936"/>
      <c r="CO54" s="940" t="e">
        <f>IF(CO48-CO51-CO52&lt;0,0,CO48-CO51-CO52)</f>
        <v>#REF!</v>
      </c>
      <c r="CP54" s="936"/>
      <c r="CQ54" s="940" t="e">
        <f>IF(CQ48-CQ51-CQ52&lt;0,0,CQ48-CQ51-CQ52)</f>
        <v>#REF!</v>
      </c>
      <c r="CS54" s="916" t="e">
        <f>IF(CS48-CS51-CS52&lt;0,0,CS48-CS51-CS52)</f>
        <v>#REF!</v>
      </c>
      <c r="CT54" s="912"/>
      <c r="CU54" s="916" t="e">
        <f>IF(CU48-CU51-CU52&lt;0,0,CU48-CU51-CU52)</f>
        <v>#REF!</v>
      </c>
      <c r="CV54" s="912"/>
      <c r="CW54" s="916" t="e">
        <f>IF(CW48-CW51-CW52&lt;0,0,CW48-CW51-CW52)</f>
        <v>#REF!</v>
      </c>
      <c r="CX54" s="912"/>
      <c r="CY54" s="916" t="e">
        <f>IF(CY48-CY51-CY52&lt;0,0,CY48-CY51-CY52)</f>
        <v>#REF!</v>
      </c>
      <c r="DA54" s="893" t="e">
        <f>IF(DA48-DA51-DA52&lt;0,0,DA48-DA51-DA52)</f>
        <v>#REF!</v>
      </c>
      <c r="DB54" s="889"/>
      <c r="DC54" s="893" t="e">
        <f>IF(DC48-DC51-DC52&lt;0,0,DC48-DC51-DC52)</f>
        <v>#REF!</v>
      </c>
      <c r="DD54" s="889"/>
      <c r="DE54" s="893" t="e">
        <f>IF(DE48-DE51-DE52&lt;0,0,DE48-DE51-DE52)</f>
        <v>#REF!</v>
      </c>
      <c r="DF54" s="889"/>
      <c r="DG54" s="893" t="e">
        <f>IF(DG48-DG51-DG52&lt;0,0,DG48-DG51-DG52)</f>
        <v>#REF!</v>
      </c>
      <c r="DI54" s="916" t="e">
        <f>IF(DI48-DI51-DI52&lt;0,0,DI48-DI51-DI52)</f>
        <v>#REF!</v>
      </c>
      <c r="DJ54" s="912"/>
      <c r="DK54" s="916" t="e">
        <f>IF(DK48-DK51-DK52&lt;0,0,DK48-DK51-DK52)</f>
        <v>#REF!</v>
      </c>
      <c r="DL54" s="912"/>
      <c r="DM54" s="916" t="e">
        <f>IF(DM48-DM51-DM52&lt;0,0,DM48-DM51-DM52)</f>
        <v>#REF!</v>
      </c>
      <c r="DN54" s="912"/>
      <c r="DO54" s="916" t="e">
        <f>IF(DO48-DO51-DO52&lt;0,0,DO48-DO51-DO52)</f>
        <v>#REF!</v>
      </c>
      <c r="DQ54" s="893" t="e">
        <f>IF(DQ48-DQ51-DQ52&lt;0,0,DQ48-DQ51-DQ52)</f>
        <v>#REF!</v>
      </c>
      <c r="DR54" s="889"/>
      <c r="DS54" s="893" t="e">
        <f>IF(DS48-DS51-DS52&lt;0,0,DS48-DS51-DS52)</f>
        <v>#REF!</v>
      </c>
      <c r="DT54" s="889"/>
      <c r="DU54" s="893" t="e">
        <f>IF(DU48-DU51-DU52&lt;0,0,DU48-DU51-DU52)</f>
        <v>#REF!</v>
      </c>
      <c r="DV54" s="889"/>
      <c r="DW54" s="893" t="e">
        <f>IF(DW48-DW51-DW52&lt;0,0,DW48-DW51-DW52)</f>
        <v>#REF!</v>
      </c>
      <c r="DY54" s="916" t="e">
        <f>IF(DY48-DY51-DY52&lt;0,0,DY48-DY51-DY52)</f>
        <v>#REF!</v>
      </c>
      <c r="DZ54" s="912"/>
      <c r="EA54" s="916" t="e">
        <f>IF(EA48-EA51-EA52&lt;0,0,EA48-EA51-EA52)</f>
        <v>#REF!</v>
      </c>
      <c r="EB54" s="912"/>
      <c r="EC54" s="916" t="e">
        <f>IF(EC48-EC51-EC52&lt;0,0,EC48-EC51-EC52)</f>
        <v>#REF!</v>
      </c>
      <c r="ED54" s="912"/>
      <c r="EE54" s="916" t="e">
        <f>IF(EE48-EE51-EE52&lt;0,0,EE48-EE51-EE52)</f>
        <v>#REF!</v>
      </c>
      <c r="EG54" s="893" t="e">
        <f>IF(EG48-EG51-EG52&lt;0,0,EG48-EG51-EG52)</f>
        <v>#REF!</v>
      </c>
      <c r="EH54" s="889"/>
      <c r="EI54" s="893" t="e">
        <f>IF(EI48-EI51-EI52&lt;0,0,EI48-EI51-EI52)</f>
        <v>#REF!</v>
      </c>
      <c r="EJ54" s="889"/>
      <c r="EK54" s="893" t="e">
        <f>IF(EK48-EK51-EK52&lt;0,0,EK48-EK51-EK52)</f>
        <v>#DIV/0!</v>
      </c>
      <c r="EL54" s="889"/>
      <c r="EM54" s="893">
        <f>IF(EM48-EM51-EM52&lt;0,0,EM48-EM51-EM52)</f>
        <v>0</v>
      </c>
    </row>
    <row r="55" spans="1:143" ht="13.5" thickTop="1">
      <c r="A55" s="20" t="s">
        <v>542</v>
      </c>
      <c r="C55" s="2057" t="e">
        <f>IF(C47=0,0,C54/C47)</f>
        <v>#REF!</v>
      </c>
      <c r="D55" s="2057"/>
      <c r="E55" s="2057" t="e">
        <f>IF(E47=0,0,E54/E47)</f>
        <v>#REF!</v>
      </c>
      <c r="F55" s="2057"/>
      <c r="G55" s="2057" t="e">
        <f>IF(G47=0,0,G54/G47)</f>
        <v>#REF!</v>
      </c>
      <c r="H55" s="2057"/>
      <c r="I55" s="2370" t="e">
        <f>IF(I47=0,0,I54/I47)</f>
        <v>#REF!</v>
      </c>
      <c r="K55" s="1551" t="e">
        <f>IF(K47=0,0,K54/K47)</f>
        <v>#REF!</v>
      </c>
      <c r="L55" s="1551"/>
      <c r="M55" s="1551" t="e">
        <f>IF(M47=0,0,M54/M47)</f>
        <v>#REF!</v>
      </c>
      <c r="N55" s="1551"/>
      <c r="O55" s="1551" t="e">
        <f>IF(O47=0,0,O54/O47)</f>
        <v>#REF!</v>
      </c>
      <c r="P55" s="1551"/>
      <c r="Q55" s="1624" t="e">
        <f>IF(Q47=0,0,Q54/Q47)</f>
        <v>#REF!</v>
      </c>
      <c r="S55" s="680" t="e">
        <f>IF(S47=0,0,S54/S47)</f>
        <v>#DIV/0!</v>
      </c>
      <c r="T55" s="680"/>
      <c r="U55" s="680" t="e">
        <f>IF(U47=0,0,U54/U47)</f>
        <v>#DIV/0!</v>
      </c>
      <c r="V55" s="680"/>
      <c r="W55" s="680">
        <f>IF(W47=0,0,W54/W47)</f>
        <v>0</v>
      </c>
      <c r="X55" s="680"/>
      <c r="Y55" s="1098">
        <f>IF(Y47=0,0,Y54/Y47)</f>
        <v>0</v>
      </c>
      <c r="AA55" s="1838" t="e">
        <f>IF(AA47=0,0,AA54/AA47)</f>
        <v>#DIV/0!</v>
      </c>
      <c r="AB55" s="1838"/>
      <c r="AC55" s="1838" t="e">
        <f>IF(AC47=0,0,AC54/AC47)</f>
        <v>#DIV/0!</v>
      </c>
      <c r="AD55" s="1838"/>
      <c r="AE55" s="1838">
        <f>IF(AE47=0,0,AE54/AE47)</f>
        <v>0</v>
      </c>
      <c r="AF55" s="1838"/>
      <c r="AG55" s="1847">
        <f>IF(AG47=0,0,AG54/AG47)</f>
        <v>0</v>
      </c>
      <c r="AI55" s="864" t="e">
        <f>IF(AI47=0,0,AI54/AI47)</f>
        <v>#DIV/0!</v>
      </c>
      <c r="AJ55" s="864"/>
      <c r="AK55" s="864" t="e">
        <f>IF(AK47=0,0,AK54/AK47)</f>
        <v>#DIV/0!</v>
      </c>
      <c r="AL55" s="864"/>
      <c r="AM55" s="864">
        <f>IF(AM47=0,0,AM54/AM47)</f>
        <v>0</v>
      </c>
      <c r="AN55" s="864"/>
      <c r="AO55" s="1653">
        <f>IF(AO47=0,0,AO54/AO47)</f>
        <v>0</v>
      </c>
      <c r="AQ55" s="1893" t="e">
        <f>IF(AQ47=0,0,AQ54/AQ47)</f>
        <v>#DIV/0!</v>
      </c>
      <c r="AR55" s="1893"/>
      <c r="AS55" s="1893" t="e">
        <f>IF(AS47=0,0,AS54/AS47)</f>
        <v>#DIV/0!</v>
      </c>
      <c r="AT55" s="1893"/>
      <c r="AU55" s="1893">
        <f>IF(AU47=0,0,AU54/AU47)</f>
        <v>0</v>
      </c>
      <c r="AV55" s="1893"/>
      <c r="AW55" s="1902">
        <f>IF(AW47=0,0,AW54/AW47)</f>
        <v>0</v>
      </c>
      <c r="AY55" s="1516" t="e">
        <f>IF(AY47=0,0,AY54/AY47)</f>
        <v>#DIV/0!</v>
      </c>
      <c r="AZ55" s="1516"/>
      <c r="BA55" s="1516" t="e">
        <f>IF(BA47=0,0,BA54/BA47)</f>
        <v>#DIV/0!</v>
      </c>
      <c r="BB55" s="1516"/>
      <c r="BC55" s="1516">
        <f>IF(BC47=0,0,BC54/BC47)</f>
        <v>0</v>
      </c>
      <c r="BD55" s="1516"/>
      <c r="BE55" s="1660">
        <f>IF(BE47=0,0,BE54/BE47)</f>
        <v>0</v>
      </c>
      <c r="BG55" s="1915" t="e">
        <f>IF(BG47=0,0,BG54/BG47)</f>
        <v>#DIV/0!</v>
      </c>
      <c r="BH55" s="1915"/>
      <c r="BI55" s="1915" t="e">
        <f>IF(BI47=0,0,BI54/BI47)</f>
        <v>#DIV/0!</v>
      </c>
      <c r="BJ55" s="1915"/>
      <c r="BK55" s="1915">
        <f>IF(BK47=0,0,BK54/BK47)</f>
        <v>0</v>
      </c>
      <c r="BL55" s="1915"/>
      <c r="BM55" s="1923">
        <f>IF(BM47=0,0,BM54/BM47)</f>
        <v>0</v>
      </c>
      <c r="BO55" s="1512" t="e">
        <f>IF(BO47=0,0,BO54/BO47)</f>
        <v>#REF!</v>
      </c>
      <c r="BP55" s="1512" t="e">
        <f>IF(BP47=0,0,BP54/BP47)</f>
        <v>#REF!</v>
      </c>
      <c r="BQ55" s="1422"/>
      <c r="BR55" s="1422"/>
      <c r="CC55" s="355" t="e">
        <f>IF(CC47=0,0,CC54/CC47)</f>
        <v>#REF!</v>
      </c>
      <c r="CD55" s="355"/>
      <c r="CE55" s="355" t="e">
        <f>IF(CE47=0,0,CE54/CE47)</f>
        <v>#REF!</v>
      </c>
      <c r="CF55" s="355"/>
      <c r="CG55" s="355" t="e">
        <f>IF(CG47=0,0,CG54/CG47)</f>
        <v>#REF!</v>
      </c>
      <c r="CH55" s="355"/>
      <c r="CI55" s="355" t="e">
        <f>IF(CI47=0,0,CI54/CI47)</f>
        <v>#REF!</v>
      </c>
      <c r="CK55" s="936" t="e">
        <f>IF(CK47=0,0,CK54/CK47)</f>
        <v>#REF!</v>
      </c>
      <c r="CL55" s="936"/>
      <c r="CM55" s="936" t="e">
        <f>IF(CM47=0,0,CM54/CM47)</f>
        <v>#REF!</v>
      </c>
      <c r="CN55" s="936"/>
      <c r="CO55" s="936" t="e">
        <f>IF(CO47=0,0,CO54/CO47)</f>
        <v>#REF!</v>
      </c>
      <c r="CP55" s="936"/>
      <c r="CQ55" s="936" t="e">
        <f>IF(CQ47=0,0,CQ54/CQ47)</f>
        <v>#REF!</v>
      </c>
      <c r="CS55" s="912" t="e">
        <f>IF(CS47=0,0,CS54/CS47)</f>
        <v>#REF!</v>
      </c>
      <c r="CT55" s="912"/>
      <c r="CU55" s="912" t="e">
        <f>IF(CU47=0,0,CU54/CU47)</f>
        <v>#REF!</v>
      </c>
      <c r="CV55" s="912"/>
      <c r="CW55" s="912" t="e">
        <f>IF(CW47=0,0,CW54/CW47)</f>
        <v>#REF!</v>
      </c>
      <c r="CX55" s="912"/>
      <c r="CY55" s="912" t="e">
        <f>IF(CY47=0,0,CY54/CY47)</f>
        <v>#REF!</v>
      </c>
      <c r="DA55" s="889" t="e">
        <f>IF(DA47=0,0,DA54/DA47)</f>
        <v>#REF!</v>
      </c>
      <c r="DB55" s="889"/>
      <c r="DC55" s="889" t="e">
        <f>IF(DC47=0,0,DC54/DC47)</f>
        <v>#REF!</v>
      </c>
      <c r="DD55" s="889"/>
      <c r="DE55" s="889" t="e">
        <f>IF(DE47=0,0,DE54/DE47)</f>
        <v>#REF!</v>
      </c>
      <c r="DF55" s="889"/>
      <c r="DG55" s="889" t="e">
        <f>IF(DG47=0,0,DG54/DG47)</f>
        <v>#REF!</v>
      </c>
      <c r="DI55" s="912" t="e">
        <f>IF(DI47=0,0,DI54/DI47)</f>
        <v>#REF!</v>
      </c>
      <c r="DJ55" s="912"/>
      <c r="DK55" s="912" t="e">
        <f>IF(DK47=0,0,DK54/DK47)</f>
        <v>#REF!</v>
      </c>
      <c r="DL55" s="912"/>
      <c r="DM55" s="912" t="e">
        <f>IF(DM47=0,0,DM54/DM47)</f>
        <v>#REF!</v>
      </c>
      <c r="DN55" s="912"/>
      <c r="DO55" s="912" t="e">
        <f>IF(DO47=0,0,DO54/DO47)</f>
        <v>#REF!</v>
      </c>
      <c r="DQ55" s="889" t="e">
        <f>IF(DQ47=0,0,DQ54/DQ47)</f>
        <v>#REF!</v>
      </c>
      <c r="DR55" s="889"/>
      <c r="DS55" s="889" t="e">
        <f>IF(DS47=0,0,DS54/DS47)</f>
        <v>#REF!</v>
      </c>
      <c r="DT55" s="889"/>
      <c r="DU55" s="889" t="e">
        <f>IF(DU47=0,0,DU54/DU47)</f>
        <v>#REF!</v>
      </c>
      <c r="DV55" s="889"/>
      <c r="DW55" s="889" t="e">
        <f>IF(DW47=0,0,DW54/DW47)</f>
        <v>#REF!</v>
      </c>
      <c r="DY55" s="912" t="e">
        <f>IF(DY47=0,0,DY54/DY47)</f>
        <v>#REF!</v>
      </c>
      <c r="DZ55" s="912"/>
      <c r="EA55" s="912" t="e">
        <f>IF(EA47=0,0,EA54/EA47)</f>
        <v>#REF!</v>
      </c>
      <c r="EB55" s="912"/>
      <c r="EC55" s="912" t="e">
        <f>IF(EC47=0,0,EC54/EC47)</f>
        <v>#REF!</v>
      </c>
      <c r="ED55" s="912"/>
      <c r="EE55" s="912" t="e">
        <f>IF(EE47=0,0,EE54/EE47)</f>
        <v>#REF!</v>
      </c>
      <c r="EG55" s="889" t="e">
        <f>IF(EG47=0,0,EG54/EG47)</f>
        <v>#REF!</v>
      </c>
      <c r="EH55" s="889"/>
      <c r="EI55" s="889" t="e">
        <f>IF(EI47=0,0,EI54/EI47)</f>
        <v>#REF!</v>
      </c>
      <c r="EJ55" s="889"/>
      <c r="EK55" s="889">
        <f>IF(EK47=0,0,EK54/EK47)</f>
        <v>0</v>
      </c>
      <c r="EL55" s="889"/>
      <c r="EM55" s="889">
        <f>IF(EM47=0,0,EM54/EM47)</f>
        <v>0</v>
      </c>
    </row>
    <row r="56" spans="1:143">
      <c r="I56" s="2070"/>
      <c r="K56" s="1551"/>
      <c r="L56" s="1551"/>
      <c r="M56" s="1551"/>
      <c r="N56" s="1551"/>
      <c r="O56" s="1551"/>
      <c r="P56" s="1551"/>
      <c r="Q56" s="1624"/>
      <c r="Y56" s="1093"/>
      <c r="AG56" s="1818"/>
      <c r="AO56" s="1642"/>
      <c r="AW56" s="1873"/>
      <c r="AY56" s="1516"/>
      <c r="AZ56" s="1516"/>
      <c r="BA56" s="1516"/>
      <c r="BB56" s="1516"/>
      <c r="BC56" s="1516"/>
      <c r="BD56" s="1516"/>
      <c r="BE56" s="1660"/>
      <c r="BG56" s="1915"/>
      <c r="BH56" s="1915"/>
      <c r="BI56" s="1915"/>
      <c r="BJ56" s="1915"/>
      <c r="BK56" s="1915"/>
      <c r="BL56" s="1915"/>
      <c r="BM56" s="1923"/>
      <c r="BO56" s="1472"/>
      <c r="BP56" s="1472"/>
      <c r="BQ56" s="1422"/>
      <c r="BR56" s="1422"/>
    </row>
    <row r="57" spans="1:143">
      <c r="A57" s="64" t="s">
        <v>1139</v>
      </c>
      <c r="C57" s="2373" t="e">
        <f>#REF!</f>
        <v>#REF!</v>
      </c>
      <c r="G57" s="2374" t="e">
        <f>#REF!</f>
        <v>#REF!</v>
      </c>
      <c r="I57" s="2070"/>
      <c r="K57" s="1557" t="e">
        <f>'Report-Recapture1718'!G65</f>
        <v>#REF!</v>
      </c>
      <c r="L57" s="1551"/>
      <c r="M57" s="1551"/>
      <c r="N57" s="1551"/>
      <c r="O57" s="1557" t="e">
        <f>'Report-Recapture1718'!G141</f>
        <v>#REF!</v>
      </c>
      <c r="P57" s="1551"/>
      <c r="Q57" s="1624"/>
      <c r="S57" s="697" t="str">
        <f>'Report-Recapture1819'!G65</f>
        <v>Y</v>
      </c>
      <c r="W57" s="698" t="str">
        <f>'Report-Recapture1819'!G141</f>
        <v>Y</v>
      </c>
      <c r="Y57" s="1093"/>
      <c r="AA57" s="1850" t="str">
        <f>'Report-Recapture1920'!G65</f>
        <v>Y</v>
      </c>
      <c r="AE57" s="1851" t="str">
        <f>'Report-Recapture1920'!G141</f>
        <v>Y</v>
      </c>
      <c r="AG57" s="1818"/>
      <c r="AI57" s="869" t="str">
        <f>'Report-Recapture2021'!G65</f>
        <v>Y</v>
      </c>
      <c r="AM57" s="870" t="str">
        <f>'Report-Recapture2021'!G141</f>
        <v>Y</v>
      </c>
      <c r="AO57" s="1642"/>
      <c r="AQ57" s="1905" t="str">
        <f>'Report-Recapture2122'!G65</f>
        <v>Y</v>
      </c>
      <c r="AU57" s="1906" t="str">
        <f>'Report-Recapture2122'!G141</f>
        <v>Y</v>
      </c>
      <c r="AW57" s="1873"/>
      <c r="AY57" s="1520" t="str">
        <f>'Report-Recapture2223'!G65</f>
        <v>Y</v>
      </c>
      <c r="AZ57" s="1516"/>
      <c r="BA57" s="1516"/>
      <c r="BB57" s="1516"/>
      <c r="BC57" s="1520" t="str">
        <f>'Report-Recapture2223'!G141</f>
        <v>Y</v>
      </c>
      <c r="BD57" s="1516"/>
      <c r="BE57" s="1660"/>
      <c r="BG57" s="1924" t="str">
        <f>'Report-Recapture2324'!G65</f>
        <v>Y</v>
      </c>
      <c r="BH57" s="1915"/>
      <c r="BI57" s="1915"/>
      <c r="BJ57" s="1915"/>
      <c r="BK57" s="1924" t="str">
        <f>'Report-Recapture2324'!G141</f>
        <v>Y</v>
      </c>
      <c r="BL57" s="1915"/>
      <c r="BM57" s="1923"/>
      <c r="BO57" s="2683" t="str">
        <f>S57</f>
        <v>Y</v>
      </c>
      <c r="BP57" s="1472"/>
      <c r="BQ57" s="2683" t="str">
        <f>W57</f>
        <v>Y</v>
      </c>
      <c r="BR57" s="1422"/>
      <c r="CC57" s="876" t="e">
        <f>#REF!</f>
        <v>#REF!</v>
      </c>
      <c r="CG57" s="877" t="e">
        <f>#REF!</f>
        <v>#REF!</v>
      </c>
      <c r="CK57" s="941" t="e">
        <f>#REF!</f>
        <v>#REF!</v>
      </c>
      <c r="CO57" s="942" t="e">
        <f>#REF!</f>
        <v>#REF!</v>
      </c>
      <c r="CS57" s="917" t="e">
        <f>#REF!</f>
        <v>#REF!</v>
      </c>
      <c r="CW57" s="918" t="e">
        <f>#REF!</f>
        <v>#REF!</v>
      </c>
      <c r="DA57" s="894" t="e">
        <f>#REF!</f>
        <v>#REF!</v>
      </c>
      <c r="DE57" s="895" t="e">
        <f>#REF!</f>
        <v>#REF!</v>
      </c>
      <c r="DI57" s="917" t="e">
        <f>#REF!</f>
        <v>#REF!</v>
      </c>
      <c r="DM57" s="918" t="e">
        <f>#REF!</f>
        <v>#REF!</v>
      </c>
      <c r="DQ57" s="894" t="e">
        <f>#REF!</f>
        <v>#REF!</v>
      </c>
      <c r="DU57" s="895" t="e">
        <f>#REF!</f>
        <v>#REF!</v>
      </c>
      <c r="DY57" s="917" t="e">
        <f>'Report-Recapture1718'!G65</f>
        <v>#REF!</v>
      </c>
      <c r="EC57" s="918" t="e">
        <f>'Report-Recapture1718'!G141</f>
        <v>#REF!</v>
      </c>
      <c r="EG57" s="894" t="str">
        <f>'Report-Recapture1819'!G65</f>
        <v>Y</v>
      </c>
      <c r="EK57" s="895" t="str">
        <f>'Report-Recapture1819'!G141</f>
        <v>Y</v>
      </c>
    </row>
    <row r="58" spans="1:143">
      <c r="A58" s="35" t="s">
        <v>1140</v>
      </c>
      <c r="I58" s="2070"/>
      <c r="K58" s="1551"/>
      <c r="L58" s="1551"/>
      <c r="M58" s="1551"/>
      <c r="N58" s="1551"/>
      <c r="O58" s="1551"/>
      <c r="P58" s="1551"/>
      <c r="Q58" s="1624"/>
      <c r="Y58" s="1093"/>
      <c r="AG58" s="1818"/>
      <c r="AO58" s="1642"/>
      <c r="AW58" s="1873"/>
      <c r="AY58" s="1516"/>
      <c r="AZ58" s="1516"/>
      <c r="BA58" s="1516"/>
      <c r="BB58" s="1516"/>
      <c r="BC58" s="1516"/>
      <c r="BD58" s="1516"/>
      <c r="BE58" s="1660"/>
      <c r="BG58" s="1915"/>
      <c r="BH58" s="1915"/>
      <c r="BI58" s="1915"/>
      <c r="BJ58" s="1915"/>
      <c r="BK58" s="1915"/>
      <c r="BL58" s="1915"/>
      <c r="BM58" s="1923"/>
      <c r="BO58" s="1422"/>
      <c r="BP58" s="1422"/>
      <c r="BQ58" s="1422"/>
      <c r="BR58" s="1422"/>
    </row>
    <row r="59" spans="1:143">
      <c r="A59" s="82"/>
      <c r="C59" s="2375" t="s">
        <v>1086</v>
      </c>
      <c r="I59" s="2070"/>
      <c r="K59" s="1551" t="s">
        <v>1086</v>
      </c>
      <c r="L59" s="1551"/>
      <c r="M59" s="1551"/>
      <c r="N59" s="1551"/>
      <c r="O59" s="1551"/>
      <c r="P59" s="1551"/>
      <c r="Q59" s="1624"/>
      <c r="S59" s="699" t="s">
        <v>1086</v>
      </c>
      <c r="Y59" s="1093"/>
      <c r="AA59" s="1852" t="s">
        <v>1086</v>
      </c>
      <c r="AG59" s="1818"/>
      <c r="AI59" s="871" t="s">
        <v>1086</v>
      </c>
      <c r="AO59" s="1642"/>
      <c r="AQ59" s="1907" t="s">
        <v>1086</v>
      </c>
      <c r="AW59" s="1873"/>
      <c r="AY59" s="1516" t="s">
        <v>1086</v>
      </c>
      <c r="AZ59" s="1516"/>
      <c r="BA59" s="1516"/>
      <c r="BB59" s="1516"/>
      <c r="BC59" s="1516"/>
      <c r="BD59" s="1516"/>
      <c r="BE59" s="1660"/>
      <c r="BG59" s="1915" t="s">
        <v>1086</v>
      </c>
      <c r="BH59" s="1915"/>
      <c r="BI59" s="1915"/>
      <c r="BJ59" s="1915"/>
      <c r="BK59" s="1915"/>
      <c r="BL59" s="1915"/>
      <c r="BM59" s="1923"/>
      <c r="BO59" s="1422"/>
      <c r="BP59" s="1422"/>
      <c r="BQ59" s="1422"/>
      <c r="BR59" s="1422"/>
      <c r="CC59" s="361" t="s">
        <v>1086</v>
      </c>
      <c r="CK59" s="943" t="s">
        <v>1086</v>
      </c>
      <c r="CS59" s="919" t="s">
        <v>1086</v>
      </c>
      <c r="DA59" s="896" t="s">
        <v>1086</v>
      </c>
      <c r="DI59" s="919" t="s">
        <v>1086</v>
      </c>
      <c r="DQ59" s="896" t="s">
        <v>1086</v>
      </c>
      <c r="DY59" s="919" t="s">
        <v>1086</v>
      </c>
      <c r="EG59" s="896" t="s">
        <v>1086</v>
      </c>
    </row>
    <row r="60" spans="1:143">
      <c r="A60" s="82"/>
      <c r="C60" s="2375" t="s">
        <v>1087</v>
      </c>
      <c r="I60" s="2070"/>
      <c r="K60" s="1551" t="s">
        <v>1087</v>
      </c>
      <c r="L60" s="1551"/>
      <c r="M60" s="1551"/>
      <c r="N60" s="1551"/>
      <c r="O60" s="1551"/>
      <c r="P60" s="1551"/>
      <c r="Q60" s="1624"/>
      <c r="S60" s="699" t="s">
        <v>1087</v>
      </c>
      <c r="Y60" s="1093"/>
      <c r="AA60" s="1852" t="s">
        <v>1087</v>
      </c>
      <c r="AG60" s="1818"/>
      <c r="AI60" s="871" t="s">
        <v>1087</v>
      </c>
      <c r="AO60" s="1642"/>
      <c r="AQ60" s="1907" t="s">
        <v>1087</v>
      </c>
      <c r="AW60" s="1873"/>
      <c r="AY60" s="1516" t="s">
        <v>1087</v>
      </c>
      <c r="AZ60" s="1516"/>
      <c r="BA60" s="1516"/>
      <c r="BB60" s="1516"/>
      <c r="BC60" s="1516"/>
      <c r="BD60" s="1516"/>
      <c r="BE60" s="1660"/>
      <c r="BG60" s="1915" t="s">
        <v>1087</v>
      </c>
      <c r="BH60" s="1915"/>
      <c r="BI60" s="1915"/>
      <c r="BJ60" s="1915"/>
      <c r="BK60" s="1915"/>
      <c r="BL60" s="1915"/>
      <c r="BM60" s="1923"/>
      <c r="BO60" s="1422"/>
      <c r="BP60" s="1422"/>
      <c r="BQ60" s="1422"/>
      <c r="BR60" s="1422"/>
      <c r="CC60" s="361" t="s">
        <v>1087</v>
      </c>
      <c r="CK60" s="943" t="s">
        <v>1087</v>
      </c>
      <c r="CS60" s="919" t="s">
        <v>1087</v>
      </c>
      <c r="DA60" s="896" t="s">
        <v>1087</v>
      </c>
      <c r="DI60" s="919" t="s">
        <v>1087</v>
      </c>
      <c r="DQ60" s="896" t="s">
        <v>1087</v>
      </c>
      <c r="DY60" s="919" t="s">
        <v>1087</v>
      </c>
      <c r="EG60" s="896" t="s">
        <v>1087</v>
      </c>
    </row>
    <row r="61" spans="1:143">
      <c r="A61" s="82"/>
      <c r="I61" s="2070"/>
      <c r="K61" s="1551"/>
      <c r="L61" s="1551"/>
      <c r="M61" s="1551"/>
      <c r="N61" s="1551"/>
      <c r="O61" s="1551"/>
      <c r="P61" s="1551"/>
      <c r="Q61" s="1624"/>
      <c r="Y61" s="1093"/>
      <c r="AG61" s="1818"/>
      <c r="AO61" s="1642"/>
      <c r="AW61" s="1873"/>
      <c r="AY61" s="1516"/>
      <c r="AZ61" s="1516"/>
      <c r="BA61" s="1516"/>
      <c r="BB61" s="1516"/>
      <c r="BC61" s="1516"/>
      <c r="BD61" s="1516"/>
      <c r="BE61" s="1660"/>
      <c r="BG61" s="1915"/>
      <c r="BH61" s="1915"/>
      <c r="BI61" s="1915"/>
      <c r="BJ61" s="1915"/>
      <c r="BK61" s="1915"/>
      <c r="BL61" s="1915"/>
      <c r="BM61" s="1923"/>
      <c r="BO61" s="1422"/>
      <c r="BP61" s="1422"/>
      <c r="BQ61" s="1422"/>
      <c r="BR61" s="1422"/>
    </row>
    <row r="62" spans="1:143">
      <c r="A62" s="71"/>
      <c r="I62" s="2070"/>
      <c r="K62" s="1812" t="s">
        <v>6969</v>
      </c>
      <c r="L62" s="1551"/>
      <c r="M62" s="1551"/>
      <c r="N62" s="1551"/>
      <c r="O62" s="1551"/>
      <c r="P62" s="1551"/>
      <c r="Q62" s="1624"/>
      <c r="S62" s="1812" t="s">
        <v>6969</v>
      </c>
      <c r="Y62" s="1093"/>
      <c r="AA62" s="1812" t="s">
        <v>6969</v>
      </c>
      <c r="AG62" s="1818"/>
      <c r="AI62" s="1812" t="s">
        <v>6969</v>
      </c>
      <c r="AO62" s="1642"/>
      <c r="AQ62" s="1812" t="s">
        <v>6969</v>
      </c>
      <c r="AW62" s="1873"/>
      <c r="AY62" s="1812" t="s">
        <v>6969</v>
      </c>
      <c r="AZ62" s="1516"/>
      <c r="BA62" s="1516"/>
      <c r="BB62" s="1516"/>
      <c r="BC62" s="1516"/>
      <c r="BD62" s="1516"/>
      <c r="BE62" s="1660"/>
      <c r="BG62" s="1812" t="s">
        <v>6969</v>
      </c>
      <c r="BH62" s="1915"/>
      <c r="BI62" s="1915"/>
      <c r="BJ62" s="1915"/>
      <c r="BK62" s="1915"/>
      <c r="BL62" s="1915"/>
      <c r="BM62" s="1923"/>
      <c r="BO62" s="1422"/>
      <c r="BP62" s="1422"/>
      <c r="BQ62" s="1422"/>
      <c r="BR62" s="1422"/>
    </row>
    <row r="63" spans="1:143">
      <c r="A63" s="71"/>
      <c r="C63" s="2392" t="s">
        <v>3830</v>
      </c>
      <c r="D63" s="2392"/>
      <c r="E63" s="2392"/>
      <c r="F63" s="2392"/>
      <c r="G63" s="2392"/>
      <c r="H63" s="2392"/>
      <c r="I63" s="2393"/>
      <c r="K63" s="1551" t="s">
        <v>3830</v>
      </c>
      <c r="L63" s="1551"/>
      <c r="M63" s="1551"/>
      <c r="N63" s="1551"/>
      <c r="O63" s="1551"/>
      <c r="P63" s="1551"/>
      <c r="Q63" s="1624"/>
      <c r="S63" s="825" t="s">
        <v>3830</v>
      </c>
      <c r="T63" s="825"/>
      <c r="U63" s="825"/>
      <c r="V63" s="825"/>
      <c r="W63" s="825"/>
      <c r="X63" s="825"/>
      <c r="Y63" s="1633"/>
      <c r="AA63" s="1853" t="s">
        <v>3830</v>
      </c>
      <c r="AB63" s="1853"/>
      <c r="AC63" s="1853"/>
      <c r="AD63" s="1853"/>
      <c r="AE63" s="1853"/>
      <c r="AF63" s="1853"/>
      <c r="AG63" s="1854"/>
      <c r="AI63" s="851" t="s">
        <v>3830</v>
      </c>
      <c r="AO63" s="1642"/>
      <c r="AQ63" s="1872" t="s">
        <v>3830</v>
      </c>
      <c r="AW63" s="1873"/>
      <c r="AY63" s="1516" t="s">
        <v>3830</v>
      </c>
      <c r="AZ63" s="1516"/>
      <c r="BA63" s="1516"/>
      <c r="BB63" s="1516"/>
      <c r="BC63" s="1516"/>
      <c r="BD63" s="1516"/>
      <c r="BE63" s="1660"/>
      <c r="BG63" s="1915" t="s">
        <v>3830</v>
      </c>
      <c r="BH63" s="1915"/>
      <c r="BI63" s="1915"/>
      <c r="BJ63" s="1915"/>
      <c r="BK63" s="1915"/>
      <c r="BL63" s="1915"/>
      <c r="BM63" s="1923"/>
      <c r="BO63" s="1472" t="s">
        <v>3830</v>
      </c>
      <c r="BP63" s="1422"/>
      <c r="BQ63" s="1422"/>
      <c r="BR63" s="1422"/>
    </row>
    <row r="64" spans="1:143">
      <c r="A64" s="71"/>
      <c r="C64" s="2394" t="e">
        <f>IF(C30&gt;C24,C30,C24)</f>
        <v>#REF!</v>
      </c>
      <c r="D64" s="2392"/>
      <c r="E64" s="2394" t="e">
        <f>E24</f>
        <v>#REF!</v>
      </c>
      <c r="F64" s="2392"/>
      <c r="G64" s="2394" t="e">
        <f>IF(G30&gt;G24,G30,G24)</f>
        <v>#REF!</v>
      </c>
      <c r="H64" s="2392"/>
      <c r="I64" s="2395" t="e">
        <f>I24</f>
        <v>#REF!</v>
      </c>
      <c r="K64" s="1550" t="e">
        <f>IF(K30&gt;K24,K30,K24)</f>
        <v>#REF!</v>
      </c>
      <c r="L64" s="1551"/>
      <c r="M64" s="1550" t="e">
        <f>M24</f>
        <v>#REF!</v>
      </c>
      <c r="N64" s="1551"/>
      <c r="O64" s="1550" t="e">
        <f>IF(O30&gt;O24,O30,O24)</f>
        <v>#REF!</v>
      </c>
      <c r="P64" s="1551"/>
      <c r="Q64" s="1619" t="e">
        <f>Q24</f>
        <v>#REF!</v>
      </c>
      <c r="S64" s="822" t="e">
        <f>IF(S30&gt;S24,S30,S24)</f>
        <v>#DIV/0!</v>
      </c>
      <c r="T64" s="825"/>
      <c r="U64" s="822">
        <f>U24</f>
        <v>0</v>
      </c>
      <c r="V64" s="825"/>
      <c r="W64" s="822" t="e">
        <f>IF(W30&gt;W24,W30,W24)</f>
        <v>#DIV/0!</v>
      </c>
      <c r="X64" s="825"/>
      <c r="Y64" s="1634">
        <f>Y24</f>
        <v>0</v>
      </c>
      <c r="AA64" s="1855" t="e">
        <f>IF(AA30&gt;AA24,AA30,AA24)</f>
        <v>#DIV/0!</v>
      </c>
      <c r="AB64" s="1853"/>
      <c r="AC64" s="1855">
        <f>AC24</f>
        <v>0</v>
      </c>
      <c r="AD64" s="1853"/>
      <c r="AE64" s="1855" t="e">
        <f>IF(AE30&gt;AE24,AE30,AE24)</f>
        <v>#DIV/0!</v>
      </c>
      <c r="AF64" s="1853"/>
      <c r="AG64" s="1856">
        <f>AG24</f>
        <v>0</v>
      </c>
      <c r="AI64" s="855" t="e">
        <f>IF(AI30&gt;AI24,AI30,AI24)</f>
        <v>#DIV/0!</v>
      </c>
      <c r="AK64" s="855" t="e">
        <f>AK24</f>
        <v>#DIV/0!</v>
      </c>
      <c r="AM64" s="855" t="e">
        <f>IF(AM30&gt;AM24,AM30,AM24)</f>
        <v>#DIV/0!</v>
      </c>
      <c r="AO64" s="1646" t="e">
        <f>AO24</f>
        <v>#DIV/0!</v>
      </c>
      <c r="AQ64" s="1880" t="e">
        <f>IF(AQ30&gt;AQ24,AQ30,AQ24)</f>
        <v>#DIV/0!</v>
      </c>
      <c r="AS64" s="1880" t="e">
        <f>AS24</f>
        <v>#DIV/0!</v>
      </c>
      <c r="AU64" s="1880" t="e">
        <f>IF(AU30&gt;AU24,AU30,AU24)</f>
        <v>#DIV/0!</v>
      </c>
      <c r="AW64" s="1882" t="e">
        <f>AW24</f>
        <v>#DIV/0!</v>
      </c>
      <c r="AY64" s="1515" t="e">
        <f>IF(AY30&gt;AY24,AY30,AY24)</f>
        <v>#DIV/0!</v>
      </c>
      <c r="AZ64" s="1516"/>
      <c r="BA64" s="1515" t="e">
        <f>BA24</f>
        <v>#DIV/0!</v>
      </c>
      <c r="BB64" s="1516"/>
      <c r="BC64" s="1515" t="e">
        <f>IF(BC30&gt;BC24,BC30,BC24)</f>
        <v>#DIV/0!</v>
      </c>
      <c r="BD64" s="1516"/>
      <c r="BE64" s="1657" t="e">
        <f>BE24</f>
        <v>#DIV/0!</v>
      </c>
      <c r="BG64" s="1914" t="e">
        <f>IF(BG30&gt;BG24,BG30,BG24)</f>
        <v>#DIV/0!</v>
      </c>
      <c r="BH64" s="1915"/>
      <c r="BI64" s="1914" t="e">
        <f>BI24</f>
        <v>#DIV/0!</v>
      </c>
      <c r="BJ64" s="1915"/>
      <c r="BK64" s="1914" t="e">
        <f>IF(BK30&gt;BK24,BK30,BK24)</f>
        <v>#DIV/0!</v>
      </c>
      <c r="BL64" s="1915"/>
      <c r="BM64" s="1916" t="e">
        <f>BM24</f>
        <v>#DIV/0!</v>
      </c>
      <c r="BO64" s="2676" t="e">
        <f>IF(BO30&gt;BO24,BO30,BO24)</f>
        <v>#REF!</v>
      </c>
      <c r="BP64" s="2676" t="e">
        <f>BO64</f>
        <v>#REF!</v>
      </c>
      <c r="BQ64" s="2676" t="e">
        <f>IF(BQ30&gt;BQ24,BQ30,BQ24)</f>
        <v>#REF!</v>
      </c>
      <c r="BR64" s="2676" t="e">
        <f>BR24</f>
        <v>#REF!</v>
      </c>
    </row>
    <row r="65" spans="1:143">
      <c r="A65" s="71"/>
      <c r="C65" s="2394" t="e">
        <f>IF('Data Entry - SOF'!C75-C64&lt;0,0,'Data Entry - SOF'!C75-C64)</f>
        <v>#REF!</v>
      </c>
      <c r="D65" s="2392"/>
      <c r="E65" s="2394" t="e">
        <f>IF('Data Entry - SOF'!C75-E64&lt;0,0,'Data Entry - SOF'!C75-E64)</f>
        <v>#REF!</v>
      </c>
      <c r="F65" s="2392"/>
      <c r="G65" s="2394" t="e">
        <f>IF('Data Entry - SOF'!C75-G64&lt;0,0,'Data Entry - SOF'!C75-G64)</f>
        <v>#REF!</v>
      </c>
      <c r="H65" s="2392"/>
      <c r="I65" s="2395" t="e">
        <f>IF('Data Entry - SOF'!C75-I64&lt;0,0,'Data Entry - SOF'!C75-I64)</f>
        <v>#REF!</v>
      </c>
      <c r="K65" s="1550" t="e">
        <f>IF('Data Entry - SOF'!#REF!-K64&lt;0,0,'Data Entry - SOF'!#REF!-K64)</f>
        <v>#REF!</v>
      </c>
      <c r="L65" s="1551"/>
      <c r="M65" s="1550" t="e">
        <f>IF('Data Entry - SOF'!#REF!-M64&lt;0,0,'Data Entry - SOF'!#REF!-M64)</f>
        <v>#REF!</v>
      </c>
      <c r="N65" s="1551"/>
      <c r="O65" s="1550" t="e">
        <f>IF('Data Entry - SOF'!#REF!-O64&lt;0,0,'Data Entry - SOF'!#REF!-O64)</f>
        <v>#REF!</v>
      </c>
      <c r="P65" s="1551"/>
      <c r="Q65" s="1619" t="e">
        <f>IF('Data Entry - SOF'!#REF!-Q64&lt;0,0,'Data Entry - SOF'!#REF!-Q64)</f>
        <v>#REF!</v>
      </c>
      <c r="S65" s="822" t="e">
        <f>IF('Data Entry - SOF'!E75-S64&lt;0,0,'Data Entry - SOF'!E75-S64)</f>
        <v>#DIV/0!</v>
      </c>
      <c r="T65" s="825"/>
      <c r="U65" s="822">
        <f>IF('Data Entry - SOF'!E75-U64&lt;0,0,'Data Entry - SOF'!E75-U64)</f>
        <v>0</v>
      </c>
      <c r="V65" s="825"/>
      <c r="W65" s="822" t="e">
        <f>IF('Data Entry - SOF'!E75-W64&lt;0,0,'Data Entry - SOF'!E75-W64)</f>
        <v>#DIV/0!</v>
      </c>
      <c r="X65" s="825"/>
      <c r="Y65" s="1634">
        <f>IF('Data Entry - SOF'!E75-Y64&lt;0,0,'Data Entry - SOF'!E75-Y64)</f>
        <v>0</v>
      </c>
      <c r="AA65" s="1855" t="e">
        <f>IF('Data Entry - SOF'!E85-AA64&lt;0,0,'Data Entry - SOF'!E85-AA64)</f>
        <v>#DIV/0!</v>
      </c>
      <c r="AB65" s="1853"/>
      <c r="AC65" s="1855">
        <f>IF('Data Entry - SOF'!E85-AC64&lt;0,0,'Data Entry - SOF'!E85-AC64)</f>
        <v>0</v>
      </c>
      <c r="AD65" s="1853"/>
      <c r="AE65" s="1855" t="e">
        <f>IF('Data Entry - SOF'!E85-AE64&lt;0,0,'Data Entry - SOF'!E85-AE64)</f>
        <v>#DIV/0!</v>
      </c>
      <c r="AF65" s="1853"/>
      <c r="AG65" s="1856">
        <f>IF('Data Entry - SOF'!E85-AG64&lt;0,0,'Data Entry - SOF'!E85-AG64)</f>
        <v>0</v>
      </c>
      <c r="AI65" s="855" t="e">
        <f>IF('Data Entry - SOF'!K75-AI64&lt;0,0,'Data Entry - SOF'!K75-AI64)</f>
        <v>#DIV/0!</v>
      </c>
      <c r="AK65" s="855" t="e">
        <f>IF('Data Entry - SOF'!K75-AK64&lt;0,0,'Data Entry - SOF'!K75-AK64)</f>
        <v>#DIV/0!</v>
      </c>
      <c r="AM65" s="855" t="e">
        <f>IF('Data Entry - SOF'!K75-AM64&lt;0,0,'Data Entry - SOF'!K75-AM64)</f>
        <v>#DIV/0!</v>
      </c>
      <c r="AO65" s="1646" t="e">
        <f>IF('Data Entry - SOF'!K75-AO64&lt;0,0,'Data Entry - SOF'!K75-AO64)</f>
        <v>#DIV/0!</v>
      </c>
      <c r="AQ65" s="1880" t="e">
        <f>IF('Data Entry - SOF'!M75-AQ64&lt;0,0,'Data Entry - SOF'!M75-AQ64)</f>
        <v>#DIV/0!</v>
      </c>
      <c r="AS65" s="1880" t="e">
        <f>IF('Data Entry - SOF'!M75-AS64&lt;0,0,'Data Entry - SOF'!M75-AS64)</f>
        <v>#DIV/0!</v>
      </c>
      <c r="AU65" s="1880" t="e">
        <f>IF('Data Entry - SOF'!M75-AU64&lt;0,0,'Data Entry - SOF'!M75-AU64)</f>
        <v>#DIV/0!</v>
      </c>
      <c r="AW65" s="1882" t="e">
        <f>IF('Data Entry - SOF'!M75-AW64&lt;0,0,'Data Entry - SOF'!M75-AW64)</f>
        <v>#DIV/0!</v>
      </c>
      <c r="AY65" s="1515" t="e">
        <f>IF('Data Entry - SOF'!O75-AY64&lt;0,0,'Data Entry - SOF'!O75-AY64)</f>
        <v>#DIV/0!</v>
      </c>
      <c r="AZ65" s="1516"/>
      <c r="BA65" s="1515" t="e">
        <f>IF('Data Entry - SOF'!O75-BA64&lt;0,0,'Data Entry - SOF'!O75-BA64)</f>
        <v>#DIV/0!</v>
      </c>
      <c r="BB65" s="1516"/>
      <c r="BC65" s="1515" t="e">
        <f>IF('Data Entry - SOF'!O75-BC64&lt;0,0,'Data Entry - SOF'!O75-BC64)</f>
        <v>#DIV/0!</v>
      </c>
      <c r="BD65" s="1516"/>
      <c r="BE65" s="1657" t="e">
        <f>IF('Data Entry - SOF'!O75-BE64&lt;0,0,'Data Entry - SOF'!O75-BE64)</f>
        <v>#DIV/0!</v>
      </c>
      <c r="BG65" s="1914" t="e">
        <f>IF('Data Entry - SOF'!Q75-BG64&lt;0,0,'Data Entry - SOF'!Q75-BG64)</f>
        <v>#DIV/0!</v>
      </c>
      <c r="BH65" s="1915"/>
      <c r="BI65" s="1914" t="e">
        <f>IF('Data Entry - SOF'!Q75-BI64&lt;0,0,'Data Entry - SOF'!Q75-BI64)</f>
        <v>#DIV/0!</v>
      </c>
      <c r="BJ65" s="1915"/>
      <c r="BK65" s="1914" t="e">
        <f>IF('Data Entry - SOF'!Q75-BK64&lt;0,0,'Data Entry - SOF'!Q75-BK64)</f>
        <v>#DIV/0!</v>
      </c>
      <c r="BL65" s="1915"/>
      <c r="BM65" s="1916" t="e">
        <f>IF('Data Entry - SOF'!Q75-BM64&lt;0,0,'Data Entry - SOF'!Q75-BM64)</f>
        <v>#DIV/0!</v>
      </c>
      <c r="BO65" s="2676" t="e">
        <f>IF('Data Entry - SOF'!E75-BO64&lt;0,0,'Data Entry - SOF'!E75-BO64)</f>
        <v>#REF!</v>
      </c>
      <c r="BP65" s="2676" t="e">
        <f>IF('Data Entry - SOF'!E75-BP64&lt;0,0,'Data Entry - SOF'!E75-BP64)</f>
        <v>#REF!</v>
      </c>
      <c r="BQ65" s="2676" t="e">
        <f>IF('Data Entry - SOF'!E75-BQ64&lt;0,0,'Data Entry - SOF'!E75-BQ64)</f>
        <v>#REF!</v>
      </c>
      <c r="BR65" s="2676" t="e">
        <f>IF('Data Entry - SOF'!E75-BR64&lt;0,0,'Data Entry - SOF'!E75-BR64)</f>
        <v>#REF!</v>
      </c>
    </row>
    <row r="66" spans="1:143">
      <c r="A66" s="71"/>
      <c r="C66" s="2396" t="e">
        <f>C65/'Data Entry - SOF'!C75</f>
        <v>#REF!</v>
      </c>
      <c r="D66" s="2392"/>
      <c r="E66" s="2396" t="e">
        <f>E65/'Data Entry - SOF'!C75</f>
        <v>#REF!</v>
      </c>
      <c r="F66" s="2392"/>
      <c r="G66" s="2396" t="e">
        <f>G65/'Data Entry - SOF'!C75</f>
        <v>#REF!</v>
      </c>
      <c r="H66" s="2392"/>
      <c r="I66" s="2397" t="e">
        <f>I65/'Data Entry - SOF'!C75</f>
        <v>#REF!</v>
      </c>
      <c r="K66" s="1552" t="e">
        <f>K65/'Data Entry - SOF'!#REF!</f>
        <v>#REF!</v>
      </c>
      <c r="L66" s="305"/>
      <c r="M66" s="1552" t="e">
        <f>M65/'Data Entry - SOF'!#REF!</f>
        <v>#REF!</v>
      </c>
      <c r="N66" s="305"/>
      <c r="O66" s="1552" t="e">
        <f>O65/'Data Entry - SOF'!#REF!</f>
        <v>#REF!</v>
      </c>
      <c r="P66" s="305"/>
      <c r="Q66" s="1620" t="e">
        <f>Q65/'Data Entry - SOF'!#REF!</f>
        <v>#REF!</v>
      </c>
      <c r="S66" s="828" t="e">
        <f>S65/'Data Entry - SOF'!E75</f>
        <v>#DIV/0!</v>
      </c>
      <c r="T66" s="825"/>
      <c r="U66" s="828" t="e">
        <f>U65/'Data Entry - SOF'!E75</f>
        <v>#DIV/0!</v>
      </c>
      <c r="V66" s="825"/>
      <c r="W66" s="828" t="e">
        <f>W65/'Data Entry - SOF'!E75</f>
        <v>#DIV/0!</v>
      </c>
      <c r="X66" s="825"/>
      <c r="Y66" s="1635" t="e">
        <f>Y65/'Data Entry - SOF'!E75</f>
        <v>#DIV/0!</v>
      </c>
      <c r="AA66" s="1857" t="e">
        <f>AA65/'Data Entry - SOF'!E85</f>
        <v>#DIV/0!</v>
      </c>
      <c r="AB66" s="1853"/>
      <c r="AC66" s="1857" t="e">
        <f>AC65/'Data Entry - SOF'!E85</f>
        <v>#DIV/0!</v>
      </c>
      <c r="AD66" s="1853"/>
      <c r="AE66" s="1857" t="e">
        <f>AE65/'Data Entry - SOF'!E85</f>
        <v>#DIV/0!</v>
      </c>
      <c r="AF66" s="1853"/>
      <c r="AG66" s="1858" t="e">
        <f>AG65/'Data Entry - SOF'!E85</f>
        <v>#DIV/0!</v>
      </c>
      <c r="AI66" s="861" t="e">
        <f>AI65/'Data Entry - SOF'!K75</f>
        <v>#DIV/0!</v>
      </c>
      <c r="AK66" s="861" t="e">
        <f>AK65/'Data Entry - SOF'!K75</f>
        <v>#DIV/0!</v>
      </c>
      <c r="AM66" s="861" t="e">
        <f>AM65/'Data Entry - SOF'!K75</f>
        <v>#DIV/0!</v>
      </c>
      <c r="AO66" s="1649" t="e">
        <f>AO65/'Data Entry - SOF'!K75</f>
        <v>#DIV/0!</v>
      </c>
      <c r="AQ66" s="1889" t="e">
        <f>AQ65/'Data Entry - SOF'!M75</f>
        <v>#DIV/0!</v>
      </c>
      <c r="AS66" s="1889" t="e">
        <f>AS65/'Data Entry - SOF'!M75</f>
        <v>#DIV/0!</v>
      </c>
      <c r="AU66" s="1889" t="e">
        <f>AU65/'Data Entry - SOF'!M75</f>
        <v>#DIV/0!</v>
      </c>
      <c r="AW66" s="1891" t="e">
        <f>AW65/'Data Entry - SOF'!M75</f>
        <v>#DIV/0!</v>
      </c>
      <c r="AY66" s="1527" t="e">
        <f>AY65/'Data Entry - SOF'!O75</f>
        <v>#DIV/0!</v>
      </c>
      <c r="AZ66" s="1528"/>
      <c r="BA66" s="1527" t="e">
        <f>BA65/'Data Entry - SOF'!O75</f>
        <v>#DIV/0!</v>
      </c>
      <c r="BB66" s="1528"/>
      <c r="BC66" s="1527" t="e">
        <f>BC65/'Data Entry - SOF'!O75</f>
        <v>#DIV/0!</v>
      </c>
      <c r="BD66" s="1528"/>
      <c r="BE66" s="1658" t="e">
        <f>BE65/'Data Entry - SOF'!O75</f>
        <v>#DIV/0!</v>
      </c>
      <c r="BG66" s="1917" t="e">
        <f>BG65/'Data Entry - SOF'!Q75</f>
        <v>#DIV/0!</v>
      </c>
      <c r="BH66" s="1918"/>
      <c r="BI66" s="1917" t="e">
        <f>BI65/'Data Entry - SOF'!Q75</f>
        <v>#DIV/0!</v>
      </c>
      <c r="BJ66" s="1918"/>
      <c r="BK66" s="1917" t="e">
        <f>BK65/'Data Entry - SOF'!Q75</f>
        <v>#DIV/0!</v>
      </c>
      <c r="BL66" s="1918"/>
      <c r="BM66" s="1919" t="e">
        <f>BM65/'Data Entry - SOF'!Q75</f>
        <v>#DIV/0!</v>
      </c>
      <c r="BO66" s="2679" t="e">
        <f>BO65/'Data Entry - SOF'!E75</f>
        <v>#REF!</v>
      </c>
      <c r="BP66" s="2679" t="e">
        <f>BP65/'Data Entry - SOF'!E75</f>
        <v>#REF!</v>
      </c>
      <c r="BQ66" s="2679" t="e">
        <f>BQ65/'Data Entry - SOF'!E75</f>
        <v>#REF!</v>
      </c>
      <c r="BR66" s="2679" t="e">
        <f>BR65/'Data Entry - SOF'!E75</f>
        <v>#REF!</v>
      </c>
    </row>
    <row r="67" spans="1:143">
      <c r="A67" s="71"/>
      <c r="C67" s="2182" t="e">
        <f>C64/'Ch41 Calc Data'!K17</f>
        <v>#REF!</v>
      </c>
      <c r="D67" s="2392"/>
      <c r="E67" s="2182" t="e">
        <f>E64/'Ch41 Calc Data'!K17</f>
        <v>#REF!</v>
      </c>
      <c r="F67" s="2392"/>
      <c r="G67" s="2182" t="e">
        <f>G64/'Ch41 Calc Data'!K17</f>
        <v>#REF!</v>
      </c>
      <c r="H67" s="2392"/>
      <c r="I67" s="2398" t="e">
        <f>I64/'Ch41 Calc Data'!K17</f>
        <v>#REF!</v>
      </c>
      <c r="K67" s="1553" t="e">
        <f>K64/'Ch41 Calc Data'!L17</f>
        <v>#REF!</v>
      </c>
      <c r="L67" s="1554"/>
      <c r="M67" s="1553" t="e">
        <f>M64/'Ch41 Calc Data'!L17</f>
        <v>#REF!</v>
      </c>
      <c r="N67" s="1554"/>
      <c r="O67" s="1553" t="e">
        <f>O64/'Ch41 Calc Data'!L17</f>
        <v>#REF!</v>
      </c>
      <c r="P67" s="1554"/>
      <c r="Q67" s="1621" t="e">
        <f>Q64/'Ch41 Calc Data'!L17</f>
        <v>#REF!</v>
      </c>
      <c r="S67" s="821" t="e">
        <f>S64/'Ch41 Calc Data'!M17</f>
        <v>#DIV/0!</v>
      </c>
      <c r="T67" s="825"/>
      <c r="U67" s="821" t="e">
        <f>U64/'Ch41 Calc Data'!M17</f>
        <v>#DIV/0!</v>
      </c>
      <c r="V67" s="825"/>
      <c r="W67" s="821" t="e">
        <f>W64/'Ch41 Calc Data'!M17</f>
        <v>#DIV/0!</v>
      </c>
      <c r="X67" s="825"/>
      <c r="Y67" s="1636" t="e">
        <f>Y64/'Ch41 Calc Data'!M17</f>
        <v>#DIV/0!</v>
      </c>
      <c r="AA67" s="1859" t="e">
        <f>AA64/'Ch41 Calc Data'!N17</f>
        <v>#DIV/0!</v>
      </c>
      <c r="AB67" s="1853"/>
      <c r="AC67" s="1859" t="e">
        <f>AC64/'Ch41 Calc Data'!N17</f>
        <v>#DIV/0!</v>
      </c>
      <c r="AD67" s="1853"/>
      <c r="AE67" s="1859" t="e">
        <f>AE64/'Ch41 Calc Data'!N17</f>
        <v>#DIV/0!</v>
      </c>
      <c r="AF67" s="1853"/>
      <c r="AG67" s="1860" t="e">
        <f>AG64/'Ch41 Calc Data'!N17</f>
        <v>#DIV/0!</v>
      </c>
      <c r="AI67" s="863" t="e">
        <f>AI64/'Ch41 Calc Data'!O17</f>
        <v>#DIV/0!</v>
      </c>
      <c r="AK67" s="863" t="e">
        <f>AK64/'Ch41 Calc Data'!O17</f>
        <v>#DIV/0!</v>
      </c>
      <c r="AM67" s="863" t="e">
        <f>AM64/'Ch41 Calc Data'!O17</f>
        <v>#DIV/0!</v>
      </c>
      <c r="AO67" s="1650" t="e">
        <f>AO64/'Ch41 Calc Data'!O17</f>
        <v>#DIV/0!</v>
      </c>
      <c r="AQ67" s="1892" t="e">
        <f>AQ64/'Ch41 Calc Data'!P17</f>
        <v>#DIV/0!</v>
      </c>
      <c r="AS67" s="1892" t="e">
        <f>AS64/'Ch41 Calc Data'!P17</f>
        <v>#DIV/0!</v>
      </c>
      <c r="AU67" s="1892" t="e">
        <f>AU64/'Ch41 Calc Data'!P17</f>
        <v>#DIV/0!</v>
      </c>
      <c r="AW67" s="1894" t="e">
        <f>AW64/'Ch41 Calc Data'!P17</f>
        <v>#DIV/0!</v>
      </c>
      <c r="AY67" s="1515" t="e">
        <f>AY64/'Ch41 Calc Data'!Q17</f>
        <v>#DIV/0!</v>
      </c>
      <c r="AZ67" s="1516"/>
      <c r="BA67" s="1515" t="e">
        <f>BA64/'Ch41 Calc Data'!Q17</f>
        <v>#DIV/0!</v>
      </c>
      <c r="BB67" s="1516"/>
      <c r="BC67" s="1515" t="e">
        <f>BC64/'Ch41 Calc Data'!Q17</f>
        <v>#DIV/0!</v>
      </c>
      <c r="BD67" s="1516"/>
      <c r="BE67" s="1657" t="e">
        <f>BE64/'Ch41 Calc Data'!Q17</f>
        <v>#DIV/0!</v>
      </c>
      <c r="BG67" s="1914" t="e">
        <f>BG64/'Ch41 Calc Data'!R17</f>
        <v>#DIV/0!</v>
      </c>
      <c r="BH67" s="1915"/>
      <c r="BI67" s="1914" t="e">
        <f>BI64/'Ch41 Calc Data'!R17</f>
        <v>#DIV/0!</v>
      </c>
      <c r="BJ67" s="1915"/>
      <c r="BK67" s="1914" t="e">
        <f>BK64/'Ch41 Calc Data'!R17</f>
        <v>#DIV/0!</v>
      </c>
      <c r="BL67" s="1915"/>
      <c r="BM67" s="1916" t="e">
        <f>BM64/'Ch41 Calc Data'!R17</f>
        <v>#DIV/0!</v>
      </c>
      <c r="BO67" s="2472" t="e">
        <f>BO64/'Ch41 Calc Data'!M20</f>
        <v>#REF!</v>
      </c>
      <c r="BP67" s="2472" t="e">
        <f>BP64/'Ch41 Calc Data'!M20</f>
        <v>#REF!</v>
      </c>
      <c r="BQ67" s="2472" t="e">
        <f>BQ64/'Ch41 Calc Data'!M20</f>
        <v>#REF!</v>
      </c>
      <c r="BR67" s="2472" t="e">
        <f>BR64/'Ch41 Calc Data'!M20</f>
        <v>#REF!</v>
      </c>
    </row>
    <row r="68" spans="1:143">
      <c r="A68" s="71"/>
      <c r="C68" s="2392"/>
      <c r="D68" s="2399"/>
      <c r="E68" s="2392"/>
      <c r="F68" s="2399"/>
      <c r="G68" s="2392"/>
      <c r="H68" s="2399"/>
      <c r="I68" s="2393"/>
      <c r="K68" s="1554"/>
      <c r="L68" s="1554"/>
      <c r="M68" s="1554"/>
      <c r="N68" s="1554"/>
      <c r="O68" s="1554"/>
      <c r="P68" s="1554"/>
      <c r="Q68" s="1622"/>
      <c r="S68" s="825"/>
      <c r="T68" s="829"/>
      <c r="U68" s="825"/>
      <c r="V68" s="829"/>
      <c r="W68" s="825"/>
      <c r="X68" s="829"/>
      <c r="Y68" s="1633"/>
      <c r="AA68" s="1853"/>
      <c r="AB68" s="1861"/>
      <c r="AC68" s="1853"/>
      <c r="AD68" s="1861"/>
      <c r="AE68" s="1853"/>
      <c r="AF68" s="1861"/>
      <c r="AG68" s="1854"/>
      <c r="AJ68" s="852"/>
      <c r="AL68" s="852"/>
      <c r="AN68" s="852"/>
      <c r="AO68" s="1642"/>
      <c r="AR68" s="1874"/>
      <c r="AT68" s="1874"/>
      <c r="AV68" s="1874"/>
      <c r="AW68" s="1873"/>
      <c r="AY68" s="1516"/>
      <c r="AZ68" s="1516"/>
      <c r="BA68" s="1516"/>
      <c r="BB68" s="1516"/>
      <c r="BC68" s="1516"/>
      <c r="BD68" s="1516"/>
      <c r="BE68" s="1660"/>
      <c r="BG68" s="1915"/>
      <c r="BH68" s="1915"/>
      <c r="BI68" s="1915"/>
      <c r="BJ68" s="1915"/>
      <c r="BK68" s="1915"/>
      <c r="BL68" s="1915"/>
      <c r="BM68" s="1923"/>
      <c r="BO68" s="1472"/>
      <c r="BP68" s="1472"/>
      <c r="BQ68" s="1472"/>
      <c r="BR68" s="1472"/>
      <c r="CC68" s="343"/>
      <c r="CD68" s="343"/>
      <c r="CE68" s="343"/>
      <c r="CF68" s="343"/>
      <c r="CG68" s="343"/>
      <c r="CH68" s="343"/>
      <c r="CI68" s="343"/>
      <c r="CK68" s="923"/>
      <c r="CL68" s="923"/>
      <c r="CM68" s="923"/>
      <c r="CN68" s="923"/>
      <c r="CO68" s="923"/>
      <c r="CP68" s="923"/>
      <c r="CQ68" s="923"/>
      <c r="CS68" s="899"/>
      <c r="CT68" s="899"/>
      <c r="CU68" s="899"/>
      <c r="CV68" s="899"/>
      <c r="CW68" s="899"/>
      <c r="CX68" s="899"/>
      <c r="CY68" s="899"/>
      <c r="DA68" s="878"/>
      <c r="DB68" s="878"/>
      <c r="DC68" s="878"/>
      <c r="DD68" s="878"/>
      <c r="DE68" s="878"/>
      <c r="DF68" s="878"/>
      <c r="DG68" s="878"/>
      <c r="DI68" s="899"/>
      <c r="DJ68" s="899"/>
      <c r="DK68" s="899"/>
      <c r="DL68" s="899"/>
      <c r="DM68" s="899"/>
      <c r="DN68" s="899"/>
      <c r="DO68" s="899"/>
      <c r="DQ68" s="878"/>
      <c r="DR68" s="878"/>
      <c r="DS68" s="878"/>
      <c r="DT68" s="878"/>
      <c r="DU68" s="878"/>
      <c r="DV68" s="878"/>
      <c r="DW68" s="878"/>
      <c r="DY68" s="899"/>
      <c r="DZ68" s="899"/>
      <c r="EA68" s="899"/>
      <c r="EB68" s="899"/>
      <c r="EC68" s="899"/>
      <c r="ED68" s="899"/>
      <c r="EE68" s="899"/>
      <c r="EG68" s="878"/>
      <c r="EH68" s="878"/>
      <c r="EI68" s="878"/>
      <c r="EJ68" s="878"/>
      <c r="EK68" s="878"/>
      <c r="EL68" s="878"/>
      <c r="EM68" s="878"/>
    </row>
    <row r="69" spans="1:143">
      <c r="A69" s="71"/>
      <c r="C69" s="2392"/>
      <c r="D69" s="2185"/>
      <c r="E69" s="2392"/>
      <c r="F69" s="2185"/>
      <c r="G69" s="2392"/>
      <c r="H69" s="2185"/>
      <c r="I69" s="2393"/>
      <c r="K69" s="1554"/>
      <c r="L69" s="1554"/>
      <c r="M69" s="1554"/>
      <c r="N69" s="1554"/>
      <c r="O69" s="1554"/>
      <c r="P69" s="1554"/>
      <c r="Q69" s="1622"/>
      <c r="S69" s="825"/>
      <c r="T69" s="820"/>
      <c r="U69" s="825"/>
      <c r="V69" s="820"/>
      <c r="W69" s="825"/>
      <c r="X69" s="820"/>
      <c r="Y69" s="1633"/>
      <c r="AA69" s="1853"/>
      <c r="AB69" s="1862"/>
      <c r="AC69" s="1853"/>
      <c r="AD69" s="1862"/>
      <c r="AE69" s="1853"/>
      <c r="AF69" s="1862"/>
      <c r="AG69" s="1854"/>
      <c r="AJ69" s="864"/>
      <c r="AL69" s="864"/>
      <c r="AN69" s="864"/>
      <c r="AO69" s="1642"/>
      <c r="AR69" s="1893"/>
      <c r="AT69" s="1893"/>
      <c r="AV69" s="1893"/>
      <c r="AW69" s="1873"/>
      <c r="AY69" s="1516"/>
      <c r="AZ69" s="1516"/>
      <c r="BA69" s="1516"/>
      <c r="BB69" s="1516"/>
      <c r="BC69" s="1516"/>
      <c r="BD69" s="1516"/>
      <c r="BE69" s="1660"/>
      <c r="BG69" s="1915"/>
      <c r="BH69" s="1915"/>
      <c r="BI69" s="1915"/>
      <c r="BJ69" s="1915"/>
      <c r="BK69" s="1915"/>
      <c r="BL69" s="1915"/>
      <c r="BM69" s="1923"/>
      <c r="BO69" s="1472"/>
      <c r="BP69" s="1472"/>
      <c r="BQ69" s="1472"/>
      <c r="BR69" s="1472"/>
      <c r="CC69" s="355"/>
      <c r="CD69" s="355"/>
      <c r="CE69" s="355"/>
      <c r="CF69" s="355"/>
      <c r="CG69" s="355"/>
      <c r="CH69" s="355"/>
      <c r="CI69" s="355"/>
      <c r="CK69" s="936"/>
      <c r="CL69" s="936"/>
      <c r="CM69" s="936"/>
      <c r="CN69" s="936"/>
      <c r="CO69" s="936"/>
      <c r="CP69" s="936"/>
      <c r="CQ69" s="936"/>
      <c r="CS69" s="912"/>
      <c r="CT69" s="912"/>
      <c r="CU69" s="912"/>
      <c r="CV69" s="912"/>
      <c r="CW69" s="912"/>
      <c r="CX69" s="912"/>
      <c r="CY69" s="912"/>
      <c r="DA69" s="889"/>
      <c r="DB69" s="889"/>
      <c r="DC69" s="889"/>
      <c r="DD69" s="889"/>
      <c r="DE69" s="889"/>
      <c r="DF69" s="889"/>
      <c r="DG69" s="889"/>
      <c r="DI69" s="912"/>
      <c r="DJ69" s="912"/>
      <c r="DK69" s="912"/>
      <c r="DL69" s="912"/>
      <c r="DM69" s="912"/>
      <c r="DN69" s="912"/>
      <c r="DO69" s="912"/>
      <c r="DQ69" s="889"/>
      <c r="DR69" s="889"/>
      <c r="DS69" s="889"/>
      <c r="DT69" s="889"/>
      <c r="DU69" s="889"/>
      <c r="DV69" s="889"/>
      <c r="DW69" s="889"/>
      <c r="DY69" s="912"/>
      <c r="DZ69" s="912"/>
      <c r="EA69" s="912"/>
      <c r="EB69" s="912"/>
      <c r="EC69" s="912"/>
      <c r="ED69" s="912"/>
      <c r="EE69" s="912"/>
      <c r="EG69" s="889"/>
      <c r="EH69" s="889"/>
      <c r="EI69" s="889"/>
      <c r="EJ69" s="889"/>
      <c r="EK69" s="889"/>
      <c r="EL69" s="889"/>
      <c r="EM69" s="889"/>
    </row>
    <row r="70" spans="1:143">
      <c r="A70" s="71"/>
      <c r="C70" s="2182" t="e">
        <f>'Calc Data'!AC32</f>
        <v>#REF!</v>
      </c>
      <c r="D70" s="2185"/>
      <c r="E70" s="2182" t="e">
        <f>C70</f>
        <v>#REF!</v>
      </c>
      <c r="F70" s="2185"/>
      <c r="G70" s="2182"/>
      <c r="H70" s="2185"/>
      <c r="I70" s="2398"/>
      <c r="K70" s="1553" t="e">
        <f>'Calc Data'!#REF!</f>
        <v>#REF!</v>
      </c>
      <c r="L70" s="1554"/>
      <c r="M70" s="1553" t="e">
        <f>K70</f>
        <v>#REF!</v>
      </c>
      <c r="N70" s="1554"/>
      <c r="O70" s="1553"/>
      <c r="P70" s="1554"/>
      <c r="Q70" s="1621"/>
      <c r="S70" s="821">
        <f>'Calc Data'!AG32</f>
        <v>0</v>
      </c>
      <c r="T70" s="820"/>
      <c r="U70" s="821">
        <f>S70</f>
        <v>0</v>
      </c>
      <c r="V70" s="820"/>
      <c r="W70" s="821"/>
      <c r="X70" s="820"/>
      <c r="Y70" s="1636"/>
      <c r="AA70" s="1859">
        <f>'Calc Data'!AK32</f>
        <v>0</v>
      </c>
      <c r="AB70" s="1862"/>
      <c r="AC70" s="1859">
        <f>AA70</f>
        <v>0</v>
      </c>
      <c r="AD70" s="1862"/>
      <c r="AE70" s="1859"/>
      <c r="AF70" s="1862"/>
      <c r="AG70" s="1860"/>
      <c r="AI70" s="863">
        <f>'Calc Data'!AO32</f>
        <v>0</v>
      </c>
      <c r="AJ70" s="864"/>
      <c r="AK70" s="863">
        <f>AI70</f>
        <v>0</v>
      </c>
      <c r="AL70" s="864"/>
      <c r="AM70" s="863"/>
      <c r="AN70" s="864"/>
      <c r="AO70" s="1650"/>
      <c r="AQ70" s="1892">
        <f>'Calc Data'!AT32</f>
        <v>0</v>
      </c>
      <c r="AR70" s="1893"/>
      <c r="AS70" s="1892">
        <f>AQ70</f>
        <v>0</v>
      </c>
      <c r="AT70" s="1893"/>
      <c r="AU70" s="1892"/>
      <c r="AV70" s="1893"/>
      <c r="AW70" s="1894"/>
      <c r="AY70" s="1515">
        <f>'Calc Data'!AY32</f>
        <v>0</v>
      </c>
      <c r="AZ70" s="1516"/>
      <c r="BA70" s="1515">
        <f>AY70</f>
        <v>0</v>
      </c>
      <c r="BB70" s="1516"/>
      <c r="BC70" s="1515"/>
      <c r="BD70" s="1516"/>
      <c r="BE70" s="1657"/>
      <c r="BG70" s="1914">
        <f>'Calc Data'!BD32</f>
        <v>0</v>
      </c>
      <c r="BH70" s="1915"/>
      <c r="BI70" s="1914">
        <f>BG70</f>
        <v>0</v>
      </c>
      <c r="BJ70" s="1915"/>
      <c r="BK70" s="1914"/>
      <c r="BL70" s="1915"/>
      <c r="BM70" s="1916"/>
      <c r="BO70" s="2472">
        <f>'Calc Data'!X32</f>
        <v>0</v>
      </c>
      <c r="BP70" s="2472">
        <f>BO70</f>
        <v>0</v>
      </c>
      <c r="BQ70" s="2472"/>
      <c r="BR70" s="2472"/>
      <c r="CC70" s="355"/>
      <c r="CD70" s="355"/>
      <c r="CE70" s="355"/>
      <c r="CF70" s="355"/>
      <c r="CG70" s="355"/>
      <c r="CH70" s="355"/>
      <c r="CI70" s="355"/>
      <c r="CK70" s="936"/>
      <c r="CL70" s="936"/>
      <c r="CM70" s="936"/>
      <c r="CN70" s="936"/>
      <c r="CO70" s="936"/>
      <c r="CP70" s="936"/>
      <c r="CQ70" s="936"/>
      <c r="CS70" s="912"/>
      <c r="CT70" s="912"/>
      <c r="CU70" s="912"/>
      <c r="CV70" s="912"/>
      <c r="CW70" s="912"/>
      <c r="CX70" s="912"/>
      <c r="CY70" s="912"/>
      <c r="DA70" s="889"/>
      <c r="DB70" s="889"/>
      <c r="DC70" s="889"/>
      <c r="DD70" s="889"/>
      <c r="DE70" s="889"/>
      <c r="DF70" s="889"/>
      <c r="DG70" s="889"/>
      <c r="DI70" s="912"/>
      <c r="DJ70" s="912"/>
      <c r="DK70" s="912"/>
      <c r="DL70" s="912"/>
      <c r="DM70" s="912"/>
      <c r="DN70" s="912"/>
      <c r="DO70" s="912"/>
      <c r="DQ70" s="889"/>
      <c r="DR70" s="889"/>
      <c r="DS70" s="889"/>
      <c r="DT70" s="889"/>
      <c r="DU70" s="889"/>
      <c r="DV70" s="889"/>
      <c r="DW70" s="889"/>
      <c r="DY70" s="912"/>
      <c r="DZ70" s="912"/>
      <c r="EA70" s="912"/>
      <c r="EB70" s="912"/>
      <c r="EC70" s="912"/>
      <c r="ED70" s="912"/>
      <c r="EE70" s="912"/>
      <c r="EG70" s="889"/>
      <c r="EH70" s="889"/>
      <c r="EI70" s="889"/>
      <c r="EJ70" s="889"/>
      <c r="EK70" s="889"/>
      <c r="EL70" s="889"/>
      <c r="EM70" s="889"/>
    </row>
    <row r="71" spans="1:143">
      <c r="A71" s="71"/>
      <c r="C71" s="2182"/>
      <c r="D71" s="2185"/>
      <c r="E71" s="2182"/>
      <c r="F71" s="2185"/>
      <c r="G71" s="2182" t="e">
        <f>'Calc Data'!AC31</f>
        <v>#REF!</v>
      </c>
      <c r="H71" s="2185"/>
      <c r="I71" s="2398" t="e">
        <f>G71</f>
        <v>#REF!</v>
      </c>
      <c r="K71" s="1553"/>
      <c r="L71" s="1554"/>
      <c r="M71" s="1553"/>
      <c r="N71" s="1554"/>
      <c r="O71" s="1553" t="e">
        <f>'Calc Data'!#REF!</f>
        <v>#REF!</v>
      </c>
      <c r="P71" s="1554"/>
      <c r="Q71" s="1621" t="e">
        <f>O71</f>
        <v>#REF!</v>
      </c>
      <c r="S71" s="821"/>
      <c r="T71" s="820"/>
      <c r="U71" s="821"/>
      <c r="V71" s="820"/>
      <c r="W71" s="821">
        <f>'Calc Data'!AG31</f>
        <v>0</v>
      </c>
      <c r="X71" s="820"/>
      <c r="Y71" s="1636">
        <f>W71</f>
        <v>0</v>
      </c>
      <c r="AA71" s="1859"/>
      <c r="AB71" s="1862"/>
      <c r="AC71" s="1859"/>
      <c r="AD71" s="1862"/>
      <c r="AE71" s="1859">
        <f>'Calc Data'!AK31</f>
        <v>0</v>
      </c>
      <c r="AF71" s="1862"/>
      <c r="AG71" s="1860">
        <f>AE71</f>
        <v>0</v>
      </c>
      <c r="AI71" s="863"/>
      <c r="AJ71" s="864"/>
      <c r="AK71" s="863"/>
      <c r="AL71" s="864"/>
      <c r="AM71" s="863">
        <f>'Calc Data'!AO31</f>
        <v>0</v>
      </c>
      <c r="AN71" s="864"/>
      <c r="AO71" s="1650">
        <f>AM71</f>
        <v>0</v>
      </c>
      <c r="AQ71" s="1892"/>
      <c r="AR71" s="1893"/>
      <c r="AS71" s="1892"/>
      <c r="AT71" s="1893"/>
      <c r="AU71" s="1892">
        <f>'Calc Data'!AT31</f>
        <v>0</v>
      </c>
      <c r="AV71" s="1893"/>
      <c r="AW71" s="1894">
        <f>AU71</f>
        <v>0</v>
      </c>
      <c r="AY71" s="1515"/>
      <c r="AZ71" s="1516"/>
      <c r="BA71" s="1515"/>
      <c r="BB71" s="1516"/>
      <c r="BC71" s="1515">
        <f>'Calc Data'!AY31</f>
        <v>0</v>
      </c>
      <c r="BD71" s="1516"/>
      <c r="BE71" s="1657">
        <f>BC71</f>
        <v>0</v>
      </c>
      <c r="BG71" s="1914"/>
      <c r="BH71" s="1915"/>
      <c r="BI71" s="1914"/>
      <c r="BJ71" s="1915"/>
      <c r="BK71" s="1914">
        <f>'Calc Data'!BD31</f>
        <v>0</v>
      </c>
      <c r="BL71" s="1915"/>
      <c r="BM71" s="1916">
        <f>BK71</f>
        <v>0</v>
      </c>
      <c r="BO71" s="2472"/>
      <c r="BP71" s="2472"/>
      <c r="BQ71" s="1512">
        <f>'Calc Data'!X31</f>
        <v>0</v>
      </c>
      <c r="BR71" s="2472">
        <f>BQ71</f>
        <v>0</v>
      </c>
      <c r="CC71" s="355"/>
      <c r="CD71" s="355"/>
      <c r="CE71" s="355"/>
      <c r="CF71" s="355"/>
      <c r="CG71" s="355"/>
      <c r="CH71" s="355"/>
      <c r="CI71" s="355"/>
      <c r="CK71" s="936"/>
      <c r="CL71" s="936"/>
      <c r="CM71" s="936"/>
      <c r="CN71" s="936"/>
      <c r="CO71" s="936"/>
      <c r="CP71" s="936"/>
      <c r="CQ71" s="936"/>
      <c r="CS71" s="912"/>
      <c r="CT71" s="912"/>
      <c r="CU71" s="912"/>
      <c r="CV71" s="912"/>
      <c r="CW71" s="912"/>
      <c r="CX71" s="912"/>
      <c r="CY71" s="912"/>
      <c r="DA71" s="889"/>
      <c r="DB71" s="889"/>
      <c r="DC71" s="889"/>
      <c r="DD71" s="889"/>
      <c r="DE71" s="889"/>
      <c r="DF71" s="889"/>
      <c r="DG71" s="889"/>
      <c r="DI71" s="912"/>
      <c r="DJ71" s="912"/>
      <c r="DK71" s="912"/>
      <c r="DL71" s="912"/>
      <c r="DM71" s="912"/>
      <c r="DN71" s="912"/>
      <c r="DO71" s="912"/>
      <c r="DQ71" s="889"/>
      <c r="DR71" s="889"/>
      <c r="DS71" s="889"/>
      <c r="DT71" s="889"/>
      <c r="DU71" s="889"/>
      <c r="DV71" s="889"/>
      <c r="DW71" s="889"/>
      <c r="DY71" s="912"/>
      <c r="DZ71" s="912"/>
      <c r="EA71" s="912"/>
      <c r="EB71" s="912"/>
      <c r="EC71" s="912"/>
      <c r="ED71" s="912"/>
      <c r="EE71" s="912"/>
      <c r="EG71" s="889"/>
      <c r="EH71" s="889"/>
      <c r="EI71" s="889"/>
      <c r="EJ71" s="889"/>
      <c r="EK71" s="889"/>
      <c r="EL71" s="889"/>
      <c r="EM71" s="889"/>
    </row>
    <row r="72" spans="1:143">
      <c r="A72" s="71"/>
      <c r="C72" s="2182" t="e">
        <f>C70</f>
        <v>#REF!</v>
      </c>
      <c r="D72" s="2185"/>
      <c r="E72" s="2182" t="e">
        <f>E70</f>
        <v>#REF!</v>
      </c>
      <c r="F72" s="2185"/>
      <c r="G72" s="2182" t="e">
        <f>G71</f>
        <v>#REF!</v>
      </c>
      <c r="H72" s="2185"/>
      <c r="I72" s="2398" t="e">
        <f>I71</f>
        <v>#REF!</v>
      </c>
      <c r="K72" s="1553" t="e">
        <f>K70</f>
        <v>#REF!</v>
      </c>
      <c r="L72" s="1554"/>
      <c r="M72" s="1553" t="e">
        <f>M70</f>
        <v>#REF!</v>
      </c>
      <c r="N72" s="1554"/>
      <c r="O72" s="1553" t="e">
        <f>O71</f>
        <v>#REF!</v>
      </c>
      <c r="P72" s="1554"/>
      <c r="Q72" s="1621" t="e">
        <f>Q71</f>
        <v>#REF!</v>
      </c>
      <c r="S72" s="821">
        <f>S70</f>
        <v>0</v>
      </c>
      <c r="T72" s="820"/>
      <c r="U72" s="821">
        <f>U70</f>
        <v>0</v>
      </c>
      <c r="V72" s="820"/>
      <c r="W72" s="821">
        <f>W71</f>
        <v>0</v>
      </c>
      <c r="X72" s="820"/>
      <c r="Y72" s="1636">
        <f>Y71</f>
        <v>0</v>
      </c>
      <c r="AA72" s="1859">
        <f>AA70</f>
        <v>0</v>
      </c>
      <c r="AB72" s="1862"/>
      <c r="AC72" s="1859">
        <f>AC70</f>
        <v>0</v>
      </c>
      <c r="AD72" s="1862"/>
      <c r="AE72" s="1859">
        <f>AE71</f>
        <v>0</v>
      </c>
      <c r="AF72" s="1862"/>
      <c r="AG72" s="1860">
        <f>AG71</f>
        <v>0</v>
      </c>
      <c r="AI72" s="863">
        <f>AI70</f>
        <v>0</v>
      </c>
      <c r="AJ72" s="864"/>
      <c r="AK72" s="863">
        <f>AK70</f>
        <v>0</v>
      </c>
      <c r="AL72" s="864"/>
      <c r="AM72" s="863">
        <f>AM71</f>
        <v>0</v>
      </c>
      <c r="AN72" s="864"/>
      <c r="AO72" s="1650">
        <f>AO71</f>
        <v>0</v>
      </c>
      <c r="AQ72" s="1892">
        <f>AQ70</f>
        <v>0</v>
      </c>
      <c r="AR72" s="1893"/>
      <c r="AS72" s="1892">
        <f>AS70</f>
        <v>0</v>
      </c>
      <c r="AT72" s="1893"/>
      <c r="AU72" s="1892">
        <f>AU71</f>
        <v>0</v>
      </c>
      <c r="AV72" s="1893"/>
      <c r="AW72" s="1894">
        <f>AW71</f>
        <v>0</v>
      </c>
      <c r="AY72" s="1515">
        <f>AY70</f>
        <v>0</v>
      </c>
      <c r="AZ72" s="1516"/>
      <c r="BA72" s="1515">
        <f>BA70</f>
        <v>0</v>
      </c>
      <c r="BB72" s="1516"/>
      <c r="BC72" s="1515">
        <f>BC71</f>
        <v>0</v>
      </c>
      <c r="BD72" s="1516"/>
      <c r="BE72" s="1657">
        <f>BE71</f>
        <v>0</v>
      </c>
      <c r="BG72" s="1914">
        <f>BG70</f>
        <v>0</v>
      </c>
      <c r="BH72" s="1915"/>
      <c r="BI72" s="1914">
        <f>BI70</f>
        <v>0</v>
      </c>
      <c r="BJ72" s="1915"/>
      <c r="BK72" s="1914">
        <f>BK71</f>
        <v>0</v>
      </c>
      <c r="BL72" s="1915"/>
      <c r="BM72" s="1916">
        <f>BM71</f>
        <v>0</v>
      </c>
      <c r="BO72" s="2472">
        <f>BO70</f>
        <v>0</v>
      </c>
      <c r="BP72" s="2472">
        <f>BP70</f>
        <v>0</v>
      </c>
      <c r="BQ72" s="2472">
        <f>BQ71</f>
        <v>0</v>
      </c>
      <c r="BR72" s="2472">
        <f>BR71</f>
        <v>0</v>
      </c>
      <c r="CC72" s="355"/>
      <c r="CD72" s="355"/>
      <c r="CE72" s="355"/>
      <c r="CF72" s="355"/>
      <c r="CG72" s="355"/>
      <c r="CH72" s="355"/>
      <c r="CI72" s="355"/>
      <c r="CK72" s="936"/>
      <c r="CL72" s="936"/>
      <c r="CM72" s="936"/>
      <c r="CN72" s="936"/>
      <c r="CO72" s="936"/>
      <c r="CP72" s="936"/>
      <c r="CQ72" s="936"/>
      <c r="CS72" s="912"/>
      <c r="CT72" s="912"/>
      <c r="CU72" s="912"/>
      <c r="CV72" s="912"/>
      <c r="CW72" s="912"/>
      <c r="CX72" s="912"/>
      <c r="CY72" s="912"/>
      <c r="DA72" s="889"/>
      <c r="DB72" s="889"/>
      <c r="DC72" s="889"/>
      <c r="DD72" s="889"/>
      <c r="DE72" s="889"/>
      <c r="DF72" s="889"/>
      <c r="DG72" s="889"/>
      <c r="DI72" s="912"/>
      <c r="DJ72" s="912"/>
      <c r="DK72" s="912"/>
      <c r="DL72" s="912"/>
      <c r="DM72" s="912"/>
      <c r="DN72" s="912"/>
      <c r="DO72" s="912"/>
      <c r="DQ72" s="889"/>
      <c r="DR72" s="889"/>
      <c r="DS72" s="889"/>
      <c r="DT72" s="889"/>
      <c r="DU72" s="889"/>
      <c r="DV72" s="889"/>
      <c r="DW72" s="889"/>
      <c r="DY72" s="912"/>
      <c r="DZ72" s="912"/>
      <c r="EA72" s="912"/>
      <c r="EB72" s="912"/>
      <c r="EC72" s="912"/>
      <c r="ED72" s="912"/>
      <c r="EE72" s="912"/>
      <c r="EG72" s="889"/>
      <c r="EH72" s="889"/>
      <c r="EI72" s="889"/>
      <c r="EJ72" s="889"/>
      <c r="EK72" s="889"/>
      <c r="EL72" s="889"/>
      <c r="EM72" s="889"/>
    </row>
    <row r="73" spans="1:143">
      <c r="A73" s="71"/>
      <c r="C73" s="2394" t="e">
        <f>C66*C72</f>
        <v>#REF!</v>
      </c>
      <c r="D73" s="2185"/>
      <c r="E73" s="2394" t="e">
        <f>E66*E72</f>
        <v>#REF!</v>
      </c>
      <c r="F73" s="2185"/>
      <c r="G73" s="2394" t="e">
        <f>IF(G71&lt;1,0,G66*G72)</f>
        <v>#REF!</v>
      </c>
      <c r="H73" s="2185"/>
      <c r="I73" s="2395" t="e">
        <f>IF(I71&lt;1,0,I66*I72)</f>
        <v>#REF!</v>
      </c>
      <c r="K73" s="1553" t="e">
        <f>K66*K72</f>
        <v>#REF!</v>
      </c>
      <c r="L73" s="1554"/>
      <c r="M73" s="1553" t="e">
        <f>M66*M72</f>
        <v>#REF!</v>
      </c>
      <c r="N73" s="1554"/>
      <c r="O73" s="1553" t="e">
        <f>IF(O71&lt;1,0,O66*O72)</f>
        <v>#REF!</v>
      </c>
      <c r="P73" s="1554"/>
      <c r="Q73" s="1621" t="e">
        <f>IF(Q71&lt;1,0,Q66*Q72)</f>
        <v>#REF!</v>
      </c>
      <c r="S73" s="822" t="e">
        <f>S66*S72</f>
        <v>#DIV/0!</v>
      </c>
      <c r="T73" s="820"/>
      <c r="U73" s="822" t="e">
        <f>U66*U72</f>
        <v>#DIV/0!</v>
      </c>
      <c r="V73" s="820"/>
      <c r="W73" s="822">
        <f>IF(W71&lt;1,0,W66*W72)</f>
        <v>0</v>
      </c>
      <c r="X73" s="820"/>
      <c r="Y73" s="1634">
        <f>IF(Y71&lt;1,0,Y66*Y72)</f>
        <v>0</v>
      </c>
      <c r="AA73" s="1855" t="e">
        <f>AA66*AA72</f>
        <v>#DIV/0!</v>
      </c>
      <c r="AB73" s="1862"/>
      <c r="AC73" s="1855" t="e">
        <f>AC66*AC72</f>
        <v>#DIV/0!</v>
      </c>
      <c r="AD73" s="1862"/>
      <c r="AE73" s="1855">
        <f>IF(AE71&lt;1,0,AE66*AE72)</f>
        <v>0</v>
      </c>
      <c r="AF73" s="1862"/>
      <c r="AG73" s="1856">
        <f>IF(AG71&lt;1,0,AG66*AG72)</f>
        <v>0</v>
      </c>
      <c r="AI73" s="855" t="e">
        <f>AI66*AI72</f>
        <v>#DIV/0!</v>
      </c>
      <c r="AJ73" s="864"/>
      <c r="AK73" s="855" t="e">
        <f>AK66*AK72</f>
        <v>#DIV/0!</v>
      </c>
      <c r="AL73" s="864"/>
      <c r="AM73" s="855">
        <f>IF(AM71&lt;1,0,AM66*AM72)</f>
        <v>0</v>
      </c>
      <c r="AN73" s="864"/>
      <c r="AO73" s="1646">
        <f>IF(AO71&lt;1,0,AO66*AO72)</f>
        <v>0</v>
      </c>
      <c r="AQ73" s="1880" t="e">
        <f>AQ66*AQ72</f>
        <v>#DIV/0!</v>
      </c>
      <c r="AR73" s="1893"/>
      <c r="AS73" s="1880" t="e">
        <f>AS66*AS72</f>
        <v>#DIV/0!</v>
      </c>
      <c r="AT73" s="1893"/>
      <c r="AU73" s="1880">
        <f>IF(AU71&lt;1,0,AU66*AU72)</f>
        <v>0</v>
      </c>
      <c r="AV73" s="1893"/>
      <c r="AW73" s="1882">
        <f>IF(AW71&lt;1,0,AW66*AW72)</f>
        <v>0</v>
      </c>
      <c r="AY73" s="1515" t="e">
        <f>AY66*AY72</f>
        <v>#DIV/0!</v>
      </c>
      <c r="AZ73" s="1516"/>
      <c r="BA73" s="1515" t="e">
        <f>BA66*BA72</f>
        <v>#DIV/0!</v>
      </c>
      <c r="BB73" s="1516"/>
      <c r="BC73" s="1515">
        <f>IF(BC71&lt;1,0,BC66*BC72)</f>
        <v>0</v>
      </c>
      <c r="BD73" s="1516"/>
      <c r="BE73" s="1657">
        <f>IF(BE71&lt;1,0,BE66*BE72)</f>
        <v>0</v>
      </c>
      <c r="BG73" s="1914" t="e">
        <f>BG66*BG72</f>
        <v>#DIV/0!</v>
      </c>
      <c r="BH73" s="1915"/>
      <c r="BI73" s="1914" t="e">
        <f>BI66*BI72</f>
        <v>#DIV/0!</v>
      </c>
      <c r="BJ73" s="1915"/>
      <c r="BK73" s="1914">
        <f>IF(BK71&lt;1,0,BK66*BK72)</f>
        <v>0</v>
      </c>
      <c r="BL73" s="1915"/>
      <c r="BM73" s="1916">
        <f>IF(BM71&lt;1,0,BM66*BM72)</f>
        <v>0</v>
      </c>
      <c r="BO73" s="2676" t="e">
        <f>BO66*BO72</f>
        <v>#REF!</v>
      </c>
      <c r="BP73" s="2676" t="e">
        <f>BP66*BP72</f>
        <v>#REF!</v>
      </c>
      <c r="BQ73" s="2676">
        <f>IF(BQ71&lt;1,0,BQ66*BQ72)</f>
        <v>0</v>
      </c>
      <c r="BR73" s="2676">
        <f>IF(BR71&lt;1,0,BR66*BR72)</f>
        <v>0</v>
      </c>
      <c r="CC73" s="355"/>
      <c r="CD73" s="355"/>
      <c r="CE73" s="355"/>
      <c r="CF73" s="355"/>
      <c r="CG73" s="355"/>
      <c r="CH73" s="355"/>
      <c r="CI73" s="355"/>
      <c r="CK73" s="936"/>
      <c r="CL73" s="936"/>
      <c r="CM73" s="936"/>
      <c r="CN73" s="936"/>
      <c r="CO73" s="936"/>
      <c r="CP73" s="936"/>
      <c r="CQ73" s="936"/>
      <c r="CS73" s="912"/>
      <c r="CT73" s="912"/>
      <c r="CU73" s="912"/>
      <c r="CV73" s="912"/>
      <c r="CW73" s="912"/>
      <c r="CX73" s="912"/>
      <c r="CY73" s="912"/>
      <c r="DA73" s="889"/>
      <c r="DB73" s="889"/>
      <c r="DC73" s="889"/>
      <c r="DD73" s="889"/>
      <c r="DE73" s="889"/>
      <c r="DF73" s="889"/>
      <c r="DG73" s="889"/>
      <c r="DI73" s="912"/>
      <c r="DJ73" s="912"/>
      <c r="DK73" s="912"/>
      <c r="DL73" s="912"/>
      <c r="DM73" s="912"/>
      <c r="DN73" s="912"/>
      <c r="DO73" s="912"/>
      <c r="DQ73" s="889"/>
      <c r="DR73" s="889"/>
      <c r="DS73" s="889"/>
      <c r="DT73" s="889"/>
      <c r="DU73" s="889"/>
      <c r="DV73" s="889"/>
      <c r="DW73" s="889"/>
      <c r="DY73" s="912"/>
      <c r="DZ73" s="912"/>
      <c r="EA73" s="912"/>
      <c r="EB73" s="912"/>
      <c r="EC73" s="912"/>
      <c r="ED73" s="912"/>
      <c r="EE73" s="912"/>
      <c r="EG73" s="889"/>
      <c r="EH73" s="889"/>
      <c r="EI73" s="889"/>
      <c r="EJ73" s="889"/>
      <c r="EK73" s="889"/>
      <c r="EL73" s="889"/>
      <c r="EM73" s="889"/>
    </row>
    <row r="74" spans="1:143">
      <c r="A74" s="71"/>
      <c r="C74" s="2141" t="e">
        <f>C65/IF(C67&lt;Assumptions!G92,Assumptions!G92,C67)</f>
        <v>#REF!</v>
      </c>
      <c r="D74" s="2185"/>
      <c r="E74" s="2141" t="e">
        <f>E65/E67</f>
        <v>#REF!</v>
      </c>
      <c r="F74" s="2185"/>
      <c r="G74" s="2141" t="e">
        <f>IF(G73=0,0,G65/G67)</f>
        <v>#REF!</v>
      </c>
      <c r="H74" s="2185"/>
      <c r="I74" s="2400" t="e">
        <f>IF(I73=0,0,I65/I67)</f>
        <v>#REF!</v>
      </c>
      <c r="K74" s="1552" t="e">
        <f>K65/IF(K67&lt;Assumptions!G103,Assumptions!G103,K67)</f>
        <v>#REF!</v>
      </c>
      <c r="L74" s="305"/>
      <c r="M74" s="1552" t="e">
        <f>M65/M67</f>
        <v>#REF!</v>
      </c>
      <c r="N74" s="305"/>
      <c r="O74" s="1552" t="e">
        <f>IF(O73=0,0,O65/O67)</f>
        <v>#REF!</v>
      </c>
      <c r="P74" s="305"/>
      <c r="Q74" s="1620" t="e">
        <f>IF(Q73=0,0,Q65/Q67)</f>
        <v>#REF!</v>
      </c>
      <c r="S74" s="823" t="e">
        <f>S65/IF(S67&lt;Assumptions!G112,Assumptions!G112,S67)</f>
        <v>#DIV/0!</v>
      </c>
      <c r="T74" s="820"/>
      <c r="U74" s="823" t="e">
        <f>U65/U67</f>
        <v>#DIV/0!</v>
      </c>
      <c r="V74" s="820"/>
      <c r="W74" s="823">
        <f>IF(W73=0,0,W65/W67)</f>
        <v>0</v>
      </c>
      <c r="X74" s="820"/>
      <c r="Y74" s="1637">
        <f>IF(Y73=0,0,Y65/Y67)</f>
        <v>0</v>
      </c>
      <c r="AA74" s="1863" t="e">
        <f>AA65/IF(AA67&lt;Assumptions!G121,Assumptions!G121,AA67)</f>
        <v>#DIV/0!</v>
      </c>
      <c r="AB74" s="1862"/>
      <c r="AC74" s="1863" t="e">
        <f>AC65/AC67</f>
        <v>#DIV/0!</v>
      </c>
      <c r="AD74" s="1862"/>
      <c r="AE74" s="1863">
        <f>IF(AE73=0,0,AE65/AE67)</f>
        <v>0</v>
      </c>
      <c r="AF74" s="1862"/>
      <c r="AG74" s="1864">
        <f>IF(AG73=0,0,AG65/AG67)</f>
        <v>0</v>
      </c>
      <c r="AI74" s="857" t="e">
        <f>AI65/IF(AI67&lt;Assumptions!G130,Assumptions!G130,AI67)</f>
        <v>#DIV/0!</v>
      </c>
      <c r="AJ74" s="864"/>
      <c r="AK74" s="857" t="e">
        <f>AK65/AK67</f>
        <v>#DIV/0!</v>
      </c>
      <c r="AL74" s="864"/>
      <c r="AM74" s="857">
        <f>IF(AM73=0,0,AM65/AM67)</f>
        <v>0</v>
      </c>
      <c r="AN74" s="864"/>
      <c r="AO74" s="1647">
        <f>IF(AO73=0,0,AO65/AO67)</f>
        <v>0</v>
      </c>
      <c r="AQ74" s="1883" t="e">
        <f>AQ65/IF(AQ67&lt;Assumptions!G139,Assumptions!G139,AQ67)</f>
        <v>#DIV/0!</v>
      </c>
      <c r="AR74" s="1893"/>
      <c r="AS74" s="1883" t="e">
        <f>AS65/AS67</f>
        <v>#DIV/0!</v>
      </c>
      <c r="AT74" s="1893"/>
      <c r="AU74" s="1883">
        <f>IF(AU73=0,0,AU65/AU67)</f>
        <v>0</v>
      </c>
      <c r="AV74" s="1893"/>
      <c r="AW74" s="1885">
        <f>IF(AW73=0,0,AW65/AW67)</f>
        <v>0</v>
      </c>
      <c r="AY74" s="1507" t="e">
        <f>AY65/IF(AY67&lt;Assumptions!G148,Assumptions!G148,AY67)</f>
        <v>#DIV/0!</v>
      </c>
      <c r="AZ74" s="1508"/>
      <c r="BA74" s="1507" t="e">
        <f>BA65/BA67</f>
        <v>#DIV/0!</v>
      </c>
      <c r="BB74" s="1508"/>
      <c r="BC74" s="1507">
        <f>IF(BC73=0,0,BC65/BC67)</f>
        <v>0</v>
      </c>
      <c r="BD74" s="1508"/>
      <c r="BE74" s="1662">
        <f>IF(BE73=0,0,BE65/BE67)</f>
        <v>0</v>
      </c>
      <c r="BG74" s="1926" t="e">
        <f>BG65/IF(BG67&lt;Assumptions!G157,Assumptions!G157,BG67)</f>
        <v>#DIV/0!</v>
      </c>
      <c r="BH74" s="1927"/>
      <c r="BI74" s="1926" t="e">
        <f>BI65/BI67</f>
        <v>#DIV/0!</v>
      </c>
      <c r="BJ74" s="1927"/>
      <c r="BK74" s="1926">
        <f>IF(BK73=0,0,BK65/BK67)</f>
        <v>0</v>
      </c>
      <c r="BL74" s="1927"/>
      <c r="BM74" s="1928">
        <f>IF(BM73=0,0,BM65/BM67)</f>
        <v>0</v>
      </c>
      <c r="BO74" s="2468" t="e">
        <f>BO65/IF(BO36&lt;Assumptions!G121,Assumptions!G121,BO67)</f>
        <v>#REF!</v>
      </c>
      <c r="BP74" s="2468" t="e">
        <f>BP65/BP67</f>
        <v>#REF!</v>
      </c>
      <c r="BQ74" s="2468">
        <f>IF(BQ73=0,0,BQ65/BQ67)</f>
        <v>0</v>
      </c>
      <c r="BR74" s="2468">
        <f>IF(BR73=0,0,BR65/BR67)</f>
        <v>0</v>
      </c>
      <c r="CC74" s="355"/>
      <c r="CD74" s="355"/>
      <c r="CE74" s="355"/>
      <c r="CF74" s="355"/>
      <c r="CG74" s="355"/>
      <c r="CH74" s="355"/>
      <c r="CI74" s="355"/>
      <c r="CK74" s="936"/>
      <c r="CL74" s="936"/>
      <c r="CM74" s="936"/>
      <c r="CN74" s="936"/>
      <c r="CO74" s="936"/>
      <c r="CP74" s="936"/>
      <c r="CQ74" s="936"/>
      <c r="CS74" s="912"/>
      <c r="CT74" s="912"/>
      <c r="CU74" s="912"/>
      <c r="CV74" s="912"/>
      <c r="CW74" s="912"/>
      <c r="CX74" s="912"/>
      <c r="CY74" s="912"/>
      <c r="DA74" s="889"/>
      <c r="DB74" s="889"/>
      <c r="DC74" s="889"/>
      <c r="DD74" s="889"/>
      <c r="DE74" s="889"/>
      <c r="DF74" s="889"/>
      <c r="DG74" s="889"/>
      <c r="DI74" s="912"/>
      <c r="DJ74" s="912"/>
      <c r="DK74" s="912"/>
      <c r="DL74" s="912"/>
      <c r="DM74" s="912"/>
      <c r="DN74" s="912"/>
      <c r="DO74" s="912"/>
      <c r="DQ74" s="889"/>
      <c r="DR74" s="889"/>
      <c r="DS74" s="889"/>
      <c r="DT74" s="889"/>
      <c r="DU74" s="889"/>
      <c r="DV74" s="889"/>
      <c r="DW74" s="889"/>
      <c r="DY74" s="912"/>
      <c r="DZ74" s="912"/>
      <c r="EA74" s="912"/>
      <c r="EB74" s="912"/>
      <c r="EC74" s="912"/>
      <c r="ED74" s="912"/>
      <c r="EE74" s="912"/>
      <c r="EG74" s="889"/>
      <c r="EH74" s="889"/>
      <c r="EI74" s="889"/>
      <c r="EJ74" s="889"/>
      <c r="EK74" s="889"/>
      <c r="EL74" s="889"/>
      <c r="EM74" s="889"/>
    </row>
    <row r="75" spans="1:143">
      <c r="A75" s="71"/>
      <c r="C75" s="2401" t="e">
        <f>IF(C74=0,0,IF(C73/C74&lt;3147,3147,C73/C74))</f>
        <v>#REF!</v>
      </c>
      <c r="D75" s="2185"/>
      <c r="E75" s="2401" t="e">
        <f>IF(E74=0,0,IF(E73/E74&lt;3147,3147,E73/E74))</f>
        <v>#REF!</v>
      </c>
      <c r="F75" s="2185"/>
      <c r="G75" s="2401" t="e">
        <f>IF(G74=0,0,IF(G73/G74&lt;71.62,71.62,G73/G74))</f>
        <v>#REF!</v>
      </c>
      <c r="H75" s="2185"/>
      <c r="I75" s="2402" t="e">
        <f>IF(I74=0,0,IF(I73/I74&lt;71.62,71.62,I73/I74))</f>
        <v>#REF!</v>
      </c>
      <c r="K75" s="1552" t="e">
        <f>IF(K74=0,0,IF(K73/K74&lt;3392,3392,K73/K74))</f>
        <v>#REF!</v>
      </c>
      <c r="L75" s="305"/>
      <c r="M75" s="1552" t="e">
        <f>IF(M74=0,0,IF(M73/M74&lt;3392,3392,M73/M74))</f>
        <v>#REF!</v>
      </c>
      <c r="N75" s="305"/>
      <c r="O75" s="1552" t="e">
        <f>IF(O74=0,0,IF(O73/O74&lt;84.777,84.777,O73/O74))</f>
        <v>#REF!</v>
      </c>
      <c r="P75" s="305"/>
      <c r="Q75" s="1620" t="e">
        <f>IF(Q74=0,0,IF(Q73/Q74&lt;84.777,84.777,Q73/Q74))</f>
        <v>#REF!</v>
      </c>
      <c r="S75" s="824" t="e">
        <f>IF(S74=0,0,IF(S73/S74&lt;3618,3618,S73/S74))</f>
        <v>#DIV/0!</v>
      </c>
      <c r="T75" s="820"/>
      <c r="U75" s="824" t="e">
        <f>IF(U74=0,0,IF(U73/U74&lt;3618,3618,U73/U74))</f>
        <v>#DIV/0!</v>
      </c>
      <c r="V75" s="820"/>
      <c r="W75" s="824">
        <f>IF(W74=0,0,IF(W73/W74&lt;84.777,84.777,W73/W74))</f>
        <v>0</v>
      </c>
      <c r="X75" s="820"/>
      <c r="Y75" s="1638">
        <f>IF(Y74=0,0,IF(Y73/Y74&lt;84.777,84.777,Y73/Y74))</f>
        <v>0</v>
      </c>
      <c r="AA75" s="1865" t="e">
        <f>IF(AA74=0,0,IF(AA73/AA74&lt;3618,3618,AA73/AA74))</f>
        <v>#DIV/0!</v>
      </c>
      <c r="AB75" s="1862"/>
      <c r="AC75" s="1865" t="e">
        <f>IF(AC74=0,0,IF(AC73/AC74&lt;3618,3618,AC73/AC74))</f>
        <v>#DIV/0!</v>
      </c>
      <c r="AD75" s="1862"/>
      <c r="AE75" s="1865">
        <f>IF(AE74=0,0,IF(AE73/AE74&lt;84.777,84.777,AE73/AE74))</f>
        <v>0</v>
      </c>
      <c r="AF75" s="1862"/>
      <c r="AG75" s="1866">
        <f>IF(AG74=0,0,IF(AG73/AG74&lt;84.777,84.777,AG73/AG74))</f>
        <v>0</v>
      </c>
      <c r="AI75" s="865" t="e">
        <f>IF(AI74=0,0,IF(AI73/AI74&lt;3618,3618,AI73/AI74))</f>
        <v>#DIV/0!</v>
      </c>
      <c r="AJ75" s="864"/>
      <c r="AK75" s="865" t="e">
        <f>IF(AK74=0,0,IF(AK73/AK74&lt;3618,3618,AK73/AK74))</f>
        <v>#DIV/0!</v>
      </c>
      <c r="AL75" s="864"/>
      <c r="AM75" s="865">
        <f>IF(AM74=0,0,IF(AM73/AM74&lt;84.777,84.777,AM73/AM74))</f>
        <v>0</v>
      </c>
      <c r="AN75" s="864"/>
      <c r="AO75" s="1651">
        <f>IF(AO74=0,0,IF(AO73/AO74&lt;84.777,84.777,AO73/AO74))</f>
        <v>0</v>
      </c>
      <c r="AQ75" s="1895" t="e">
        <f>IF(AQ74=0,0,IF(AQ73/AQ74&lt;3618,3618,AQ73/AQ74))</f>
        <v>#DIV/0!</v>
      </c>
      <c r="AR75" s="1893"/>
      <c r="AS75" s="1895" t="e">
        <f>IF(AS74=0,0,IF(AS73/AS74&lt;3618,3618,AS73/AS74))</f>
        <v>#DIV/0!</v>
      </c>
      <c r="AT75" s="1893"/>
      <c r="AU75" s="1895">
        <f>IF(AU74=0,0,IF(AU73/AU74&lt;84.777,84.777,AU73/AU74))</f>
        <v>0</v>
      </c>
      <c r="AV75" s="1893"/>
      <c r="AW75" s="1897">
        <f>IF(AW74=0,0,IF(AW73/AW74&lt;84.777,84.777,AW73/AW74))</f>
        <v>0</v>
      </c>
      <c r="AY75" s="1507" t="e">
        <f>IF(AY74=0,0,IF(AY73/AY74&lt;3618,3618,AY73/AY74))</f>
        <v>#DIV/0!</v>
      </c>
      <c r="AZ75" s="1508"/>
      <c r="BA75" s="1507" t="e">
        <f>IF(BA74=0,0,IF(BA73/BA74&lt;3618,3618,BA73/BA74))</f>
        <v>#DIV/0!</v>
      </c>
      <c r="BB75" s="1508"/>
      <c r="BC75" s="1507">
        <f>IF(BC74=0,0,IF(BC73/BC74&lt;84.777,84.777,BC73/BC74))</f>
        <v>0</v>
      </c>
      <c r="BD75" s="1508"/>
      <c r="BE75" s="1662">
        <f>IF(BE74=0,0,IF(BE73/BE74&lt;84.777,84.777,BE73/BE74))</f>
        <v>0</v>
      </c>
      <c r="BG75" s="1926" t="e">
        <f>IF(BG74=0,0,IF(BG73/BG74&lt;3618,3618,BG73/BG74))</f>
        <v>#DIV/0!</v>
      </c>
      <c r="BH75" s="1927"/>
      <c r="BI75" s="1926" t="e">
        <f>IF(BI74=0,0,IF(BI73/BI74&lt;3618,3618,BI73/BI74))</f>
        <v>#DIV/0!</v>
      </c>
      <c r="BJ75" s="1927"/>
      <c r="BK75" s="1926">
        <f>IF(BK74=0,0,IF(BK73/BK74&lt;84.777,84.777,BK73/BK74))</f>
        <v>0</v>
      </c>
      <c r="BL75" s="1927"/>
      <c r="BM75" s="1928">
        <f>IF(BM74=0,0,IF(BM73/BM74&lt;84.777,84.777,BM73/BM74))</f>
        <v>0</v>
      </c>
      <c r="BO75" s="2680" t="e">
        <f>IF(BO74=0,0,IF(BO73/BO74&lt;3618,3618,BO73/BO74))</f>
        <v>#REF!</v>
      </c>
      <c r="BP75" s="2680" t="e">
        <f>IF(BP74=0,0,IF(BP73/BP74&lt;3392,3392,BP73/BP74))</f>
        <v>#REF!</v>
      </c>
      <c r="BQ75" s="2680">
        <f>IF(BQ74=0,0,IF(BQ73/BQ74&lt;84.777,84.777,BQ73/BQ74))</f>
        <v>0</v>
      </c>
      <c r="BR75" s="2680">
        <f>IF(BR74=0,0,IF(BR73/BR74&lt;84.777,84.777,BR73/BR74))</f>
        <v>0</v>
      </c>
      <c r="CC75" s="355"/>
      <c r="CD75" s="355"/>
      <c r="CE75" s="355"/>
      <c r="CF75" s="355"/>
      <c r="CG75" s="355"/>
      <c r="CH75" s="355"/>
      <c r="CI75" s="355"/>
      <c r="CK75" s="936"/>
      <c r="CL75" s="936"/>
      <c r="CM75" s="936"/>
      <c r="CN75" s="936"/>
      <c r="CO75" s="936"/>
      <c r="CP75" s="936"/>
      <c r="CQ75" s="936"/>
      <c r="CS75" s="912"/>
      <c r="CT75" s="912"/>
      <c r="CU75" s="912"/>
      <c r="CV75" s="912"/>
      <c r="CW75" s="912"/>
      <c r="CX75" s="912"/>
      <c r="CY75" s="912"/>
      <c r="DA75" s="889"/>
      <c r="DB75" s="889"/>
      <c r="DC75" s="889"/>
      <c r="DD75" s="889"/>
      <c r="DE75" s="889"/>
      <c r="DF75" s="889"/>
      <c r="DG75" s="889"/>
      <c r="DI75" s="912"/>
      <c r="DJ75" s="912"/>
      <c r="DK75" s="912"/>
      <c r="DL75" s="912"/>
      <c r="DM75" s="912"/>
      <c r="DN75" s="912"/>
      <c r="DO75" s="912"/>
      <c r="DQ75" s="889"/>
      <c r="DR75" s="889"/>
      <c r="DS75" s="889"/>
      <c r="DT75" s="889"/>
      <c r="DU75" s="889"/>
      <c r="DV75" s="889"/>
      <c r="DW75" s="889"/>
      <c r="DY75" s="912"/>
      <c r="DZ75" s="912"/>
      <c r="EA75" s="912"/>
      <c r="EB75" s="912"/>
      <c r="EC75" s="912"/>
      <c r="ED75" s="912"/>
      <c r="EE75" s="912"/>
      <c r="EG75" s="889"/>
      <c r="EH75" s="889"/>
      <c r="EI75" s="889"/>
      <c r="EJ75" s="889"/>
      <c r="EK75" s="889"/>
      <c r="EL75" s="889"/>
      <c r="EM75" s="889"/>
    </row>
    <row r="76" spans="1:143">
      <c r="A76" s="71"/>
      <c r="C76" s="2141" t="e">
        <f>IF(OR('Data Entry - SOF'!C140=0,C75=0),0,IF('Data Entry - SOF'!C140&gt;C75,(C75*'Data Entry - SOF'!C139)/C75,('Data Entry - SOF'!C140*'Data Entry - SOF'!C139)/C75))</f>
        <v>#REF!</v>
      </c>
      <c r="D76" s="2185"/>
      <c r="E76" s="2141" t="e">
        <f>C76</f>
        <v>#REF!</v>
      </c>
      <c r="F76" s="2185"/>
      <c r="G76" s="2141" t="e">
        <f>IF(OR('Data Entry - SOF'!C140=0,G75=0),0,IF('Data Entry - SOF'!C140&gt;G75,(G75*'Data Entry - SOF'!C139)/G75,('Data Entry - SOF'!C140*'Data Entry - SOF'!C139)/G75))</f>
        <v>#REF!</v>
      </c>
      <c r="H76" s="2185"/>
      <c r="I76" s="2400" t="e">
        <f>G76</f>
        <v>#REF!</v>
      </c>
      <c r="K76" s="1552" t="e">
        <f>IF(OR('Data Entry - SOF'!#REF!=0,K75=0),0,IF('Data Entry - SOF'!#REF!&gt;K75,(K75*'Data Entry - SOF'!#REF!)/K75,('Data Entry - SOF'!#REF!*'Data Entry - SOF'!#REF!)/K75))</f>
        <v>#REF!</v>
      </c>
      <c r="L76" s="305"/>
      <c r="M76" s="1552" t="e">
        <f>K76</f>
        <v>#REF!</v>
      </c>
      <c r="N76" s="305"/>
      <c r="O76" s="1552" t="e">
        <f>IF(OR('Data Entry - SOF'!#REF!=0,O75=0),0,IF('Data Entry - SOF'!#REF!&gt;O75,(O75*'Data Entry - SOF'!#REF!)/O75,('Data Entry - SOF'!#REF!*'Data Entry - SOF'!#REF!)/O75))</f>
        <v>#REF!</v>
      </c>
      <c r="P76" s="305"/>
      <c r="Q76" s="1620" t="e">
        <f>O76</f>
        <v>#REF!</v>
      </c>
      <c r="S76" s="823" t="e">
        <f>IF(OR('Data Entry - SOF'!E140=0,S75=0),0,IF('Data Entry - SOF'!E140&gt;S75,(S75*'Data Entry - SOF'!E139)/S75,('Data Entry - SOF'!E140*'Data Entry - SOF'!E139)/S75))</f>
        <v>#DIV/0!</v>
      </c>
      <c r="T76" s="820"/>
      <c r="U76" s="823" t="e">
        <f>S76</f>
        <v>#DIV/0!</v>
      </c>
      <c r="V76" s="820"/>
      <c r="W76" s="823">
        <f>IF(OR('Data Entry - SOF'!E140=0,W75=0),0,IF('Data Entry - SOF'!E140&gt;W75,(W75*'Data Entry - SOF'!E139)/W75,('Data Entry - SOF'!E140*'Data Entry - SOF'!E139)/W75))</f>
        <v>0</v>
      </c>
      <c r="X76" s="820"/>
      <c r="Y76" s="1637">
        <f>W76</f>
        <v>0</v>
      </c>
      <c r="AA76" s="1863" t="e">
        <f>IF(OR('Data Entry - SOF'!K140=0,AA75=0),0,IF('Data Entry - SOF'!K140&gt;AA75,(AA75*'Data Entry - SOF'!K139)/AA75,('Data Entry - SOF'!K140*'Data Entry - SOF'!K139)/AA75))</f>
        <v>#DIV/0!</v>
      </c>
      <c r="AB76" s="1862"/>
      <c r="AC76" s="1863" t="e">
        <f>AA76</f>
        <v>#DIV/0!</v>
      </c>
      <c r="AD76" s="1862"/>
      <c r="AE76" s="1863">
        <f>IF(OR('Data Entry - SOF'!K140=0,AE75=0),0,IF('Data Entry - SOF'!K140&gt;AE75,(AE75*'Data Entry - SOF'!K139)/AE75,('Data Entry - SOF'!K140*'Data Entry - SOF'!K139)/AE75))</f>
        <v>0</v>
      </c>
      <c r="AF76" s="1862"/>
      <c r="AG76" s="1864">
        <f>AE76</f>
        <v>0</v>
      </c>
      <c r="AI76" s="857" t="e">
        <f>IF(OR('Data Entry - SOF'!M140=0,AI75=0),0,IF('Data Entry - SOF'!M140&gt;AI75,(AI75*'Data Entry - SOF'!M139)/AI75,('Data Entry - SOF'!M140*'Data Entry - SOF'!M139)/AI75))</f>
        <v>#DIV/0!</v>
      </c>
      <c r="AJ76" s="864"/>
      <c r="AK76" s="857" t="e">
        <f>AI76</f>
        <v>#DIV/0!</v>
      </c>
      <c r="AL76" s="864"/>
      <c r="AM76" s="857">
        <f>IF(OR('Data Entry - SOF'!M140=0,AM75=0),0,IF('Data Entry - SOF'!M140&gt;AM75,(AM75*'Data Entry - SOF'!M139)/AM75,('Data Entry - SOF'!M140*'Data Entry - SOF'!M139)/AM75))</f>
        <v>0</v>
      </c>
      <c r="AN76" s="864"/>
      <c r="AO76" s="1647">
        <f>AM76</f>
        <v>0</v>
      </c>
      <c r="AQ76" s="1883" t="e">
        <f>IF(OR('Data Entry - SOF'!O140=0,AQ75=0),0,IF('Data Entry - SOF'!O140&gt;AQ75,(AQ75*'Data Entry - SOF'!O139)/AQ75,('Data Entry - SOF'!O140*'Data Entry - SOF'!O139)/AQ75))</f>
        <v>#DIV/0!</v>
      </c>
      <c r="AR76" s="1893"/>
      <c r="AS76" s="1883" t="e">
        <f>AQ76</f>
        <v>#DIV/0!</v>
      </c>
      <c r="AT76" s="1893"/>
      <c r="AU76" s="1883">
        <f>IF(OR('Data Entry - SOF'!O140=0,AU75=0),0,IF('Data Entry - SOF'!O140&gt;AU75,(AU75*'Data Entry - SOF'!O139)/AU75,('Data Entry - SOF'!O140*'Data Entry - SOF'!O139)/AU75))</f>
        <v>0</v>
      </c>
      <c r="AV76" s="1893"/>
      <c r="AW76" s="1885">
        <f>AU76</f>
        <v>0</v>
      </c>
      <c r="AY76" s="1507" t="e">
        <f>IF(OR('Data Entry - SOF'!Q140=0,AY75=0),0,IF('Data Entry - SOF'!Q140&gt;AY75,(AY75*'Data Entry - SOF'!Q139)/AY75,('Data Entry - SOF'!Q140*'Data Entry - SOF'!Q139)/AY75))</f>
        <v>#DIV/0!</v>
      </c>
      <c r="AZ76" s="1508"/>
      <c r="BA76" s="1507" t="e">
        <f>AY76</f>
        <v>#DIV/0!</v>
      </c>
      <c r="BB76" s="1508"/>
      <c r="BC76" s="1507">
        <f>IF(OR('Data Entry - SOF'!Q140=0,BC75=0),0,IF('Data Entry - SOF'!Q140&gt;BC75,(BC75*'Data Entry - SOF'!Q139)/BC75,('Data Entry - SOF'!Q140*'Data Entry - SOF'!Q139)/BC75))</f>
        <v>0</v>
      </c>
      <c r="BD76" s="1508"/>
      <c r="BE76" s="1662">
        <f>BC76</f>
        <v>0</v>
      </c>
      <c r="BG76" s="1926" t="e">
        <f>IF(OR('Data Entry - SOF'!S140=0,BG75=0),0,IF('Data Entry - SOF'!S140&gt;BG75,(BG75*'Data Entry - SOF'!S139)/BG75,('Data Entry - SOF'!S140*'Data Entry - SOF'!S139)/BG75))</f>
        <v>#DIV/0!</v>
      </c>
      <c r="BH76" s="1927"/>
      <c r="BI76" s="1926" t="e">
        <f>BG76</f>
        <v>#DIV/0!</v>
      </c>
      <c r="BJ76" s="1927"/>
      <c r="BK76" s="1926">
        <f>IF(OR('Data Entry - SOF'!S140=0,BK75=0),0,IF('Data Entry - SOF'!S140&gt;BK75,(BK75*'Data Entry - SOF'!S139)/BK75,('Data Entry - SOF'!S140*'Data Entry - SOF'!S139)/BK75))</f>
        <v>0</v>
      </c>
      <c r="BL76" s="1927"/>
      <c r="BM76" s="1928">
        <f>BK76</f>
        <v>0</v>
      </c>
      <c r="BO76" s="2468" t="e">
        <f>IF(OR('Data Entry - SOF'!E140=0,BO75=0),0,IF('Data Entry - SOF'!E140&gt;BO75,(BO75*'Data Entry - SOF'!E139)/BO75,('Data Entry - SOF'!E140*'Data Entry - SOF'!E139)/BO75))</f>
        <v>#REF!</v>
      </c>
      <c r="BP76" s="2468" t="e">
        <f>BO76</f>
        <v>#REF!</v>
      </c>
      <c r="BQ76" s="2468">
        <f>IF(OR('Data Entry - SOF'!E140=0,BQ75=0),0,IF('Data Entry - SOF'!E140&gt;BQ75,(BQ75*'Data Entry - SOF'!E139)/BQ75,('Data Entry - SOF'!E140*'Data Entry - SOF'!E139)/BQ75))</f>
        <v>0</v>
      </c>
      <c r="BR76" s="2468" t="e">
        <f>BP76</f>
        <v>#REF!</v>
      </c>
      <c r="CC76" s="355"/>
      <c r="CD76" s="355"/>
      <c r="CE76" s="355"/>
      <c r="CF76" s="355"/>
      <c r="CG76" s="355"/>
      <c r="CH76" s="355"/>
      <c r="CI76" s="355"/>
      <c r="CK76" s="936"/>
      <c r="CL76" s="936"/>
      <c r="CM76" s="936"/>
      <c r="CN76" s="936"/>
      <c r="CO76" s="936"/>
      <c r="CP76" s="936"/>
      <c r="CQ76" s="936"/>
      <c r="CS76" s="912"/>
      <c r="CT76" s="912"/>
      <c r="CU76" s="912"/>
      <c r="CV76" s="912"/>
      <c r="CW76" s="912"/>
      <c r="CX76" s="912"/>
      <c r="CY76" s="912"/>
      <c r="DA76" s="889"/>
      <c r="DB76" s="889"/>
      <c r="DC76" s="889"/>
      <c r="DD76" s="889"/>
      <c r="DE76" s="889"/>
      <c r="DF76" s="889"/>
      <c r="DG76" s="889"/>
      <c r="DI76" s="912"/>
      <c r="DJ76" s="912"/>
      <c r="DK76" s="912"/>
      <c r="DL76" s="912"/>
      <c r="DM76" s="912"/>
      <c r="DN76" s="912"/>
      <c r="DO76" s="912"/>
      <c r="DQ76" s="889"/>
      <c r="DR76" s="889"/>
      <c r="DS76" s="889"/>
      <c r="DT76" s="889"/>
      <c r="DU76" s="889"/>
      <c r="DV76" s="889"/>
      <c r="DW76" s="889"/>
      <c r="DY76" s="912"/>
      <c r="DZ76" s="912"/>
      <c r="EA76" s="912"/>
      <c r="EB76" s="912"/>
      <c r="EC76" s="912"/>
      <c r="ED76" s="912"/>
      <c r="EE76" s="912"/>
      <c r="EG76" s="889"/>
      <c r="EH76" s="889"/>
      <c r="EI76" s="889"/>
      <c r="EJ76" s="889"/>
      <c r="EK76" s="889"/>
      <c r="EL76" s="889"/>
      <c r="EM76" s="889"/>
    </row>
    <row r="77" spans="1:143">
      <c r="A77" s="71"/>
      <c r="C77" s="2390">
        <v>0</v>
      </c>
      <c r="D77" s="2185"/>
      <c r="E77" s="2390">
        <v>0</v>
      </c>
      <c r="F77" s="2185"/>
      <c r="G77" s="2390">
        <v>0</v>
      </c>
      <c r="H77" s="2185"/>
      <c r="I77" s="2391">
        <v>0</v>
      </c>
      <c r="K77" s="1552">
        <v>0</v>
      </c>
      <c r="L77" s="305"/>
      <c r="M77" s="1552">
        <v>0</v>
      </c>
      <c r="N77" s="305"/>
      <c r="O77" s="1552">
        <v>0</v>
      </c>
      <c r="P77" s="305"/>
      <c r="Q77" s="1620">
        <v>0</v>
      </c>
      <c r="S77" s="151">
        <v>0</v>
      </c>
      <c r="T77" s="820"/>
      <c r="U77" s="151">
        <v>0</v>
      </c>
      <c r="V77" s="820"/>
      <c r="W77" s="151">
        <v>0</v>
      </c>
      <c r="X77" s="820"/>
      <c r="Y77" s="1615">
        <v>0</v>
      </c>
      <c r="AA77" s="1843">
        <v>0</v>
      </c>
      <c r="AB77" s="1862"/>
      <c r="AC77" s="1843">
        <v>0</v>
      </c>
      <c r="AD77" s="1862"/>
      <c r="AE77" s="1843">
        <v>0</v>
      </c>
      <c r="AF77" s="1862"/>
      <c r="AG77" s="1844">
        <v>0</v>
      </c>
      <c r="AI77" s="151">
        <v>0</v>
      </c>
      <c r="AJ77" s="864"/>
      <c r="AK77" s="151">
        <v>0</v>
      </c>
      <c r="AL77" s="864"/>
      <c r="AM77" s="151">
        <v>0</v>
      </c>
      <c r="AN77" s="864"/>
      <c r="AO77" s="1615">
        <v>0</v>
      </c>
      <c r="AQ77" s="1898">
        <v>0</v>
      </c>
      <c r="AR77" s="1893"/>
      <c r="AS77" s="1898">
        <v>0</v>
      </c>
      <c r="AT77" s="1893"/>
      <c r="AU77" s="1898">
        <v>0</v>
      </c>
      <c r="AV77" s="1893"/>
      <c r="AW77" s="1899">
        <v>0</v>
      </c>
      <c r="AY77" s="1507">
        <v>0</v>
      </c>
      <c r="AZ77" s="1508"/>
      <c r="BA77" s="1507">
        <v>0</v>
      </c>
      <c r="BB77" s="1508"/>
      <c r="BC77" s="1507">
        <v>0</v>
      </c>
      <c r="BD77" s="1508"/>
      <c r="BE77" s="1662">
        <v>0</v>
      </c>
      <c r="BG77" s="1926">
        <v>0</v>
      </c>
      <c r="BH77" s="1927"/>
      <c r="BI77" s="1926">
        <v>0</v>
      </c>
      <c r="BJ77" s="1927"/>
      <c r="BK77" s="1926">
        <v>0</v>
      </c>
      <c r="BL77" s="1927"/>
      <c r="BM77" s="1928">
        <v>0</v>
      </c>
      <c r="BO77" s="2468">
        <v>0</v>
      </c>
      <c r="BP77" s="2468">
        <v>0</v>
      </c>
      <c r="BQ77" s="2468">
        <v>0</v>
      </c>
      <c r="BR77" s="2468">
        <v>0</v>
      </c>
      <c r="CC77" s="355"/>
      <c r="CD77" s="355"/>
      <c r="CE77" s="355"/>
      <c r="CF77" s="355"/>
      <c r="CG77" s="355"/>
      <c r="CH77" s="355"/>
      <c r="CI77" s="355"/>
      <c r="CK77" s="936"/>
      <c r="CL77" s="936"/>
      <c r="CM77" s="936"/>
      <c r="CN77" s="936"/>
      <c r="CO77" s="936"/>
      <c r="CP77" s="936"/>
      <c r="CQ77" s="936"/>
      <c r="CS77" s="912"/>
      <c r="CT77" s="912"/>
      <c r="CU77" s="912"/>
      <c r="CV77" s="912"/>
      <c r="CW77" s="912"/>
      <c r="CX77" s="912"/>
      <c r="CY77" s="912"/>
      <c r="DA77" s="889"/>
      <c r="DB77" s="889"/>
      <c r="DC77" s="889"/>
      <c r="DD77" s="889"/>
      <c r="DE77" s="889"/>
      <c r="DF77" s="889"/>
      <c r="DG77" s="889"/>
      <c r="DI77" s="912"/>
      <c r="DJ77" s="912"/>
      <c r="DK77" s="912"/>
      <c r="DL77" s="912"/>
      <c r="DM77" s="912"/>
      <c r="DN77" s="912"/>
      <c r="DO77" s="912"/>
      <c r="DQ77" s="889"/>
      <c r="DR77" s="889"/>
      <c r="DS77" s="889"/>
      <c r="DT77" s="889"/>
      <c r="DU77" s="889"/>
      <c r="DV77" s="889"/>
      <c r="DW77" s="889"/>
      <c r="DY77" s="912"/>
      <c r="DZ77" s="912"/>
      <c r="EA77" s="912"/>
      <c r="EB77" s="912"/>
      <c r="EC77" s="912"/>
      <c r="ED77" s="912"/>
      <c r="EE77" s="912"/>
      <c r="EG77" s="889"/>
      <c r="EH77" s="889"/>
      <c r="EI77" s="889"/>
      <c r="EJ77" s="889"/>
      <c r="EK77" s="889"/>
      <c r="EL77" s="889"/>
      <c r="EM77" s="889"/>
    </row>
    <row r="78" spans="1:143">
      <c r="A78" s="71"/>
      <c r="C78" s="2141" t="e">
        <f>IF(C74-C76-C77&lt;0,0,C74-C76-C77)</f>
        <v>#REF!</v>
      </c>
      <c r="D78" s="2185"/>
      <c r="E78" s="2141" t="e">
        <f>IF(E74-E76-E77&lt;0,0,E74-E76-E77)</f>
        <v>#REF!</v>
      </c>
      <c r="F78" s="2185"/>
      <c r="G78" s="2141" t="e">
        <f>IF(G74-G76-G77&lt;0,0,G74-G76-G77)</f>
        <v>#REF!</v>
      </c>
      <c r="H78" s="2185"/>
      <c r="I78" s="2400" t="e">
        <f>IF(I74-I76-I77&lt;0,0,I74-I76-I77)</f>
        <v>#REF!</v>
      </c>
      <c r="K78" s="1552" t="e">
        <f>IF(K74-K76-K77&lt;0,0,K74-K76-K77)</f>
        <v>#REF!</v>
      </c>
      <c r="L78" s="305"/>
      <c r="M78" s="1552" t="e">
        <f>IF(M74-M76-M77&lt;0,0,M74-M76-M77)</f>
        <v>#REF!</v>
      </c>
      <c r="N78" s="305"/>
      <c r="O78" s="1552" t="e">
        <f>IF(O74-O76-O77&lt;0,0,O74-O76-O77)</f>
        <v>#REF!</v>
      </c>
      <c r="P78" s="305"/>
      <c r="Q78" s="1620" t="e">
        <f>IF(Q74-Q76-Q77&lt;0,0,Q74-Q76-Q77)</f>
        <v>#REF!</v>
      </c>
      <c r="S78" s="823" t="e">
        <f>IF(S74-S76-S77&lt;0,0,S74-S76-S77)</f>
        <v>#DIV/0!</v>
      </c>
      <c r="T78" s="820"/>
      <c r="U78" s="823" t="e">
        <f>IF(U74-U76-U77&lt;0,0,U74-U76-U77)</f>
        <v>#DIV/0!</v>
      </c>
      <c r="V78" s="820"/>
      <c r="W78" s="823">
        <f>IF(W74-W76-W77&lt;0,0,W74-W76-W77)</f>
        <v>0</v>
      </c>
      <c r="X78" s="820"/>
      <c r="Y78" s="1637">
        <f>IF(Y74-Y76-Y77&lt;0,0,Y74-Y76-Y77)</f>
        <v>0</v>
      </c>
      <c r="AA78" s="1863" t="e">
        <f>IF(AA74-AA76-AA77&lt;0,0,AA74-AA76-AA77)</f>
        <v>#DIV/0!</v>
      </c>
      <c r="AB78" s="1862"/>
      <c r="AC78" s="1863" t="e">
        <f>IF(AC74-AC76-AC77&lt;0,0,AC74-AC76-AC77)</f>
        <v>#DIV/0!</v>
      </c>
      <c r="AD78" s="1862"/>
      <c r="AE78" s="1863">
        <f>IF(AE74-AE76-AE77&lt;0,0,AE74-AE76-AE77)</f>
        <v>0</v>
      </c>
      <c r="AF78" s="1862"/>
      <c r="AG78" s="1864">
        <f>IF(AG74-AG76-AG77&lt;0,0,AG74-AG76-AG77)</f>
        <v>0</v>
      </c>
      <c r="AI78" s="857" t="e">
        <f>IF(AI74-AI76-AI77&lt;0,0,AI74-AI76-AI77)</f>
        <v>#DIV/0!</v>
      </c>
      <c r="AJ78" s="864"/>
      <c r="AK78" s="857" t="e">
        <f>IF(AK74-AK76-AK77&lt;0,0,AK74-AK76-AK77)</f>
        <v>#DIV/0!</v>
      </c>
      <c r="AL78" s="864"/>
      <c r="AM78" s="857">
        <f>IF(AM74-AM76-AM77&lt;0,0,AM74-AM76-AM77)</f>
        <v>0</v>
      </c>
      <c r="AN78" s="864"/>
      <c r="AO78" s="1647">
        <f>IF(AO74-AO76-AO77&lt;0,0,AO74-AO76-AO77)</f>
        <v>0</v>
      </c>
      <c r="AQ78" s="1883" t="e">
        <f>IF(AQ74-AQ76-AQ77&lt;0,0,AQ74-AQ76-AQ77)</f>
        <v>#DIV/0!</v>
      </c>
      <c r="AR78" s="1893"/>
      <c r="AS78" s="1883" t="e">
        <f>IF(AS74-AS76-AS77&lt;0,0,AS74-AS76-AS77)</f>
        <v>#DIV/0!</v>
      </c>
      <c r="AT78" s="1893"/>
      <c r="AU78" s="1883">
        <f>IF(AU74-AU76-AU77&lt;0,0,AU74-AU76-AU77)</f>
        <v>0</v>
      </c>
      <c r="AV78" s="1893"/>
      <c r="AW78" s="1885">
        <f>IF(AW74-AW76-AW77&lt;0,0,AW74-AW76-AW77)</f>
        <v>0</v>
      </c>
      <c r="AY78" s="1507" t="e">
        <f>IF(AY74-AY76-AY77&lt;0,0,AY74-AY76-AY77)</f>
        <v>#DIV/0!</v>
      </c>
      <c r="AZ78" s="1508"/>
      <c r="BA78" s="1507" t="e">
        <f>IF(BA74-BA76-BA77&lt;0,0,BA74-BA76-BA77)</f>
        <v>#DIV/0!</v>
      </c>
      <c r="BB78" s="1508"/>
      <c r="BC78" s="1507">
        <f>IF(BC74-BC76-BC77&lt;0,0,BC74-BC76-BC77)</f>
        <v>0</v>
      </c>
      <c r="BD78" s="1508"/>
      <c r="BE78" s="1662">
        <f>IF(BE74-BE76-BE77&lt;0,0,BE74-BE76-BE77)</f>
        <v>0</v>
      </c>
      <c r="BG78" s="1926" t="e">
        <f>IF(BG74-BG76-BG77&lt;0,0,BG74-BG76-BG77)</f>
        <v>#DIV/0!</v>
      </c>
      <c r="BH78" s="1927"/>
      <c r="BI78" s="1926" t="e">
        <f>IF(BI74-BI76-BI77&lt;0,0,BI74-BI76-BI77)</f>
        <v>#DIV/0!</v>
      </c>
      <c r="BJ78" s="1927"/>
      <c r="BK78" s="1926">
        <f>IF(BK74-BK76-BK77&lt;0,0,BK74-BK76-BK77)</f>
        <v>0</v>
      </c>
      <c r="BL78" s="1927"/>
      <c r="BM78" s="1928">
        <f>IF(BM74-BM76-BM77&lt;0,0,BM74-BM76-BM77)</f>
        <v>0</v>
      </c>
      <c r="BO78" s="2468" t="e">
        <f>IF(BO74-BO76-BO77&lt;0,0,BO74-BO76-BO77)</f>
        <v>#REF!</v>
      </c>
      <c r="BP78" s="2468" t="e">
        <f>IF(BP74-BP76-BP77&lt;0,0,BP74-BP76-BP77)</f>
        <v>#REF!</v>
      </c>
      <c r="BQ78" s="2468">
        <f>IF(BQ74-BQ76-BQ77&lt;0,0,BQ74-BQ76-BQ77)</f>
        <v>0</v>
      </c>
      <c r="BR78" s="2468" t="e">
        <f>IF(BR74-BR76-BR77&lt;0,0,BR74-BR76-BR77)</f>
        <v>#REF!</v>
      </c>
      <c r="CC78" s="355"/>
      <c r="CD78" s="355"/>
      <c r="CE78" s="355"/>
      <c r="CF78" s="355"/>
      <c r="CG78" s="355"/>
      <c r="CH78" s="355"/>
      <c r="CI78" s="355"/>
      <c r="CK78" s="936"/>
      <c r="CL78" s="936"/>
      <c r="CM78" s="936"/>
      <c r="CN78" s="936"/>
      <c r="CO78" s="936"/>
      <c r="CP78" s="936"/>
      <c r="CQ78" s="936"/>
      <c r="CS78" s="912"/>
      <c r="CT78" s="912"/>
      <c r="CU78" s="912"/>
      <c r="CV78" s="912"/>
      <c r="CW78" s="912"/>
      <c r="CX78" s="912"/>
      <c r="CY78" s="912"/>
      <c r="DA78" s="889"/>
      <c r="DB78" s="889"/>
      <c r="DC78" s="889"/>
      <c r="DD78" s="889"/>
      <c r="DE78" s="889"/>
      <c r="DF78" s="889"/>
      <c r="DG78" s="889"/>
      <c r="DI78" s="912"/>
      <c r="DJ78" s="912"/>
      <c r="DK78" s="912"/>
      <c r="DL78" s="912"/>
      <c r="DM78" s="912"/>
      <c r="DN78" s="912"/>
      <c r="DO78" s="912"/>
      <c r="DQ78" s="889"/>
      <c r="DR78" s="889"/>
      <c r="DS78" s="889"/>
      <c r="DT78" s="889"/>
      <c r="DU78" s="889"/>
      <c r="DV78" s="889"/>
      <c r="DW78" s="889"/>
      <c r="DY78" s="912"/>
      <c r="DZ78" s="912"/>
      <c r="EA78" s="912"/>
      <c r="EB78" s="912"/>
      <c r="EC78" s="912"/>
      <c r="ED78" s="912"/>
      <c r="EE78" s="912"/>
      <c r="EG78" s="889"/>
      <c r="EH78" s="889"/>
      <c r="EI78" s="889"/>
      <c r="EJ78" s="889"/>
      <c r="EK78" s="889"/>
      <c r="EL78" s="889"/>
      <c r="EM78" s="889"/>
    </row>
    <row r="79" spans="1:143">
      <c r="A79" s="71"/>
      <c r="C79" s="2182" t="e">
        <f>IF(C78=0,0,C78*C75)</f>
        <v>#REF!</v>
      </c>
      <c r="D79" s="2185"/>
      <c r="E79" s="2182" t="e">
        <f>IF(E78=0,0,E78*E75)</f>
        <v>#REF!</v>
      </c>
      <c r="F79" s="2185"/>
      <c r="G79" s="2182" t="e">
        <f>IF(G78=0,0,G78*G75)</f>
        <v>#REF!</v>
      </c>
      <c r="H79" s="2185"/>
      <c r="I79" s="2398" t="e">
        <f>IF(I78=0,0,I78*I75)</f>
        <v>#REF!</v>
      </c>
      <c r="K79" s="1553" t="e">
        <f>IF(K78=0,0,K78*K75)</f>
        <v>#REF!</v>
      </c>
      <c r="L79" s="1554"/>
      <c r="M79" s="1553" t="e">
        <f>IF(M78=0,0,M78*M75)</f>
        <v>#REF!</v>
      </c>
      <c r="N79" s="1554"/>
      <c r="O79" s="1553" t="e">
        <f>IF(O78=0,0,O78*O75)</f>
        <v>#REF!</v>
      </c>
      <c r="P79" s="1554"/>
      <c r="Q79" s="1621" t="e">
        <f>IF(Q78=0,0,Q78*Q75)</f>
        <v>#REF!</v>
      </c>
      <c r="S79" s="821" t="e">
        <f>IF(S78=0,0,S78*S75)</f>
        <v>#DIV/0!</v>
      </c>
      <c r="T79" s="820"/>
      <c r="U79" s="821" t="e">
        <f>IF(U78=0,0,U78*U75)</f>
        <v>#DIV/0!</v>
      </c>
      <c r="V79" s="820"/>
      <c r="W79" s="821">
        <f>IF(W78=0,0,W78*W75)</f>
        <v>0</v>
      </c>
      <c r="X79" s="820"/>
      <c r="Y79" s="1636">
        <f>IF(Y78=0,0,Y78*Y75)</f>
        <v>0</v>
      </c>
      <c r="AA79" s="1859" t="e">
        <f>IF(AA78=0,0,AA78*AA75)</f>
        <v>#DIV/0!</v>
      </c>
      <c r="AB79" s="1862"/>
      <c r="AC79" s="1859" t="e">
        <f>IF(AC78=0,0,AC78*AC75)</f>
        <v>#DIV/0!</v>
      </c>
      <c r="AD79" s="1862"/>
      <c r="AE79" s="1859">
        <f>IF(AE78=0,0,AE78*AE75)</f>
        <v>0</v>
      </c>
      <c r="AF79" s="1862"/>
      <c r="AG79" s="1860">
        <f>IF(AG78=0,0,AG78*AG75)</f>
        <v>0</v>
      </c>
      <c r="AI79" s="863" t="e">
        <f>IF(AI78=0,0,AI78*AI75)</f>
        <v>#DIV/0!</v>
      </c>
      <c r="AJ79" s="864"/>
      <c r="AK79" s="863" t="e">
        <f>IF(AK78=0,0,AK78*AK75)</f>
        <v>#DIV/0!</v>
      </c>
      <c r="AL79" s="864"/>
      <c r="AM79" s="863">
        <f>IF(AM78=0,0,AM78*AM75)</f>
        <v>0</v>
      </c>
      <c r="AN79" s="864"/>
      <c r="AO79" s="1650">
        <f>IF(AO78=0,0,AO78*AO75)</f>
        <v>0</v>
      </c>
      <c r="AQ79" s="1892" t="e">
        <f>IF(AQ78=0,0,AQ78*AQ75)</f>
        <v>#DIV/0!</v>
      </c>
      <c r="AR79" s="1893"/>
      <c r="AS79" s="1892" t="e">
        <f>IF(AS78=0,0,AS78*AS75)</f>
        <v>#DIV/0!</v>
      </c>
      <c r="AT79" s="1893"/>
      <c r="AU79" s="1892">
        <f>IF(AU78=0,0,AU78*AU75)</f>
        <v>0</v>
      </c>
      <c r="AV79" s="1893"/>
      <c r="AW79" s="1894">
        <f>IF(AW78=0,0,AW78*AW75)</f>
        <v>0</v>
      </c>
      <c r="AY79" s="1515" t="e">
        <f>IF(AY78=0,0,AY78*AY75)</f>
        <v>#DIV/0!</v>
      </c>
      <c r="AZ79" s="1516"/>
      <c r="BA79" s="1515" t="e">
        <f>IF(BA78=0,0,BA78*BA75)</f>
        <v>#DIV/0!</v>
      </c>
      <c r="BB79" s="1516"/>
      <c r="BC79" s="1515">
        <f>IF(BC78=0,0,BC78*BC75)</f>
        <v>0</v>
      </c>
      <c r="BD79" s="1516"/>
      <c r="BE79" s="1657">
        <f>IF(BE78=0,0,BE78*BE75)</f>
        <v>0</v>
      </c>
      <c r="BG79" s="1914" t="e">
        <f>IF(BG78=0,0,BG78*BG75)</f>
        <v>#DIV/0!</v>
      </c>
      <c r="BH79" s="1915"/>
      <c r="BI79" s="1914" t="e">
        <f>IF(BI78=0,0,BI78*BI75)</f>
        <v>#DIV/0!</v>
      </c>
      <c r="BJ79" s="1915"/>
      <c r="BK79" s="1914">
        <f>IF(BK78=0,0,BK78*BK75)</f>
        <v>0</v>
      </c>
      <c r="BL79" s="1915"/>
      <c r="BM79" s="1916">
        <f>IF(BM78=0,0,BM78*BM75)</f>
        <v>0</v>
      </c>
      <c r="BO79" s="2472" t="e">
        <f>IF(BO78=0,0,BO78*BO75)</f>
        <v>#REF!</v>
      </c>
      <c r="BP79" s="2472" t="e">
        <f>IF(BP78=0,0,BP78*BP75)</f>
        <v>#REF!</v>
      </c>
      <c r="BQ79" s="2472">
        <f>IF(BQ78=0,0,BQ78*BQ75)</f>
        <v>0</v>
      </c>
      <c r="BR79" s="2472" t="e">
        <f>IF(BR78=0,0,BR78*BR75)</f>
        <v>#REF!</v>
      </c>
      <c r="CC79" s="355"/>
      <c r="CD79" s="355"/>
      <c r="CE79" s="355"/>
      <c r="CF79" s="355"/>
      <c r="CG79" s="355"/>
      <c r="CH79" s="355"/>
      <c r="CI79" s="355"/>
      <c r="CK79" s="936"/>
      <c r="CL79" s="936"/>
      <c r="CM79" s="936"/>
      <c r="CN79" s="936"/>
      <c r="CO79" s="936"/>
      <c r="CP79" s="936"/>
      <c r="CQ79" s="936"/>
      <c r="CS79" s="912"/>
      <c r="CT79" s="912"/>
      <c r="CU79" s="912"/>
      <c r="CV79" s="912"/>
      <c r="CW79" s="912"/>
      <c r="CX79" s="912"/>
      <c r="CY79" s="912"/>
      <c r="DA79" s="889"/>
      <c r="DB79" s="889"/>
      <c r="DC79" s="889"/>
      <c r="DD79" s="889"/>
      <c r="DE79" s="889"/>
      <c r="DF79" s="889"/>
      <c r="DG79" s="889"/>
      <c r="DI79" s="912"/>
      <c r="DJ79" s="912"/>
      <c r="DK79" s="912"/>
      <c r="DL79" s="912"/>
      <c r="DM79" s="912"/>
      <c r="DN79" s="912"/>
      <c r="DO79" s="912"/>
      <c r="DQ79" s="889"/>
      <c r="DR79" s="889"/>
      <c r="DS79" s="889"/>
      <c r="DT79" s="889"/>
      <c r="DU79" s="889"/>
      <c r="DV79" s="889"/>
      <c r="DW79" s="889"/>
      <c r="DY79" s="912"/>
      <c r="DZ79" s="912"/>
      <c r="EA79" s="912"/>
      <c r="EB79" s="912"/>
      <c r="EC79" s="912"/>
      <c r="ED79" s="912"/>
      <c r="EE79" s="912"/>
      <c r="EG79" s="889"/>
      <c r="EH79" s="889"/>
      <c r="EI79" s="889"/>
      <c r="EJ79" s="889"/>
      <c r="EK79" s="889"/>
      <c r="EL79" s="889"/>
      <c r="EM79" s="889"/>
    </row>
    <row r="80" spans="1:143">
      <c r="A80" s="71"/>
      <c r="C80" s="2392"/>
      <c r="D80" s="2185"/>
      <c r="E80" s="2392"/>
      <c r="F80" s="2185"/>
      <c r="G80" s="2392"/>
      <c r="H80" s="2185"/>
      <c r="I80" s="2393"/>
      <c r="K80" s="1554"/>
      <c r="L80" s="1554"/>
      <c r="M80" s="1554"/>
      <c r="N80" s="1554"/>
      <c r="O80" s="1554"/>
      <c r="P80" s="1554"/>
      <c r="Q80" s="1622"/>
      <c r="S80" s="825"/>
      <c r="T80" s="820"/>
      <c r="U80" s="825"/>
      <c r="V80" s="820"/>
      <c r="W80" s="825"/>
      <c r="X80" s="820"/>
      <c r="Y80" s="1633"/>
      <c r="AA80" s="1853"/>
      <c r="AB80" s="1862"/>
      <c r="AC80" s="1853"/>
      <c r="AD80" s="1862"/>
      <c r="AE80" s="1853"/>
      <c r="AF80" s="1862"/>
      <c r="AG80" s="1854"/>
      <c r="AJ80" s="864"/>
      <c r="AL80" s="864"/>
      <c r="AN80" s="864"/>
      <c r="AO80" s="1642"/>
      <c r="AR80" s="1893"/>
      <c r="AT80" s="1893"/>
      <c r="AV80" s="1893"/>
      <c r="AW80" s="1873"/>
      <c r="AY80" s="1516"/>
      <c r="AZ80" s="1516"/>
      <c r="BA80" s="1516"/>
      <c r="BB80" s="1516"/>
      <c r="BC80" s="1516"/>
      <c r="BD80" s="1516"/>
      <c r="BE80" s="1660"/>
      <c r="BG80" s="1915"/>
      <c r="BH80" s="1915"/>
      <c r="BI80" s="1915"/>
      <c r="BJ80" s="1915"/>
      <c r="BK80" s="1915"/>
      <c r="BL80" s="1915"/>
      <c r="BM80" s="1923"/>
      <c r="BO80" s="1472"/>
      <c r="BP80" s="1472"/>
      <c r="BQ80" s="1472"/>
      <c r="BR80" s="1472"/>
      <c r="CC80" s="355"/>
      <c r="CD80" s="355"/>
      <c r="CE80" s="355"/>
      <c r="CF80" s="355"/>
      <c r="CG80" s="355"/>
      <c r="CH80" s="355"/>
      <c r="CI80" s="355"/>
      <c r="CK80" s="936"/>
      <c r="CL80" s="936"/>
      <c r="CM80" s="936"/>
      <c r="CN80" s="936"/>
      <c r="CO80" s="936"/>
      <c r="CP80" s="936"/>
      <c r="CQ80" s="936"/>
      <c r="CS80" s="912"/>
      <c r="CT80" s="912"/>
      <c r="CU80" s="912"/>
      <c r="CV80" s="912"/>
      <c r="CW80" s="912"/>
      <c r="CX80" s="912"/>
      <c r="CY80" s="912"/>
      <c r="DA80" s="889"/>
      <c r="DB80" s="889"/>
      <c r="DC80" s="889"/>
      <c r="DD80" s="889"/>
      <c r="DE80" s="889"/>
      <c r="DF80" s="889"/>
      <c r="DG80" s="889"/>
      <c r="DI80" s="912"/>
      <c r="DJ80" s="912"/>
      <c r="DK80" s="912"/>
      <c r="DL80" s="912"/>
      <c r="DM80" s="912"/>
      <c r="DN80" s="912"/>
      <c r="DO80" s="912"/>
      <c r="DQ80" s="889"/>
      <c r="DR80" s="889"/>
      <c r="DS80" s="889"/>
      <c r="DT80" s="889"/>
      <c r="DU80" s="889"/>
      <c r="DV80" s="889"/>
      <c r="DW80" s="889"/>
      <c r="DY80" s="912"/>
      <c r="DZ80" s="912"/>
      <c r="EA80" s="912"/>
      <c r="EB80" s="912"/>
      <c r="EC80" s="912"/>
      <c r="ED80" s="912"/>
      <c r="EE80" s="912"/>
      <c r="EG80" s="889"/>
      <c r="EH80" s="889"/>
      <c r="EI80" s="889"/>
      <c r="EJ80" s="889"/>
      <c r="EK80" s="889"/>
      <c r="EL80" s="889"/>
      <c r="EM80" s="889"/>
    </row>
    <row r="81" spans="1:143">
      <c r="A81" s="71"/>
      <c r="C81" s="2392"/>
      <c r="D81" s="2185"/>
      <c r="E81" s="2392"/>
      <c r="F81" s="2185"/>
      <c r="G81" s="2392"/>
      <c r="H81" s="2185"/>
      <c r="I81" s="2393"/>
      <c r="K81" s="1554"/>
      <c r="L81" s="1554"/>
      <c r="M81" s="1554"/>
      <c r="N81" s="1554"/>
      <c r="O81" s="1554"/>
      <c r="P81" s="1554"/>
      <c r="Q81" s="1622"/>
      <c r="S81" s="825"/>
      <c r="T81" s="820"/>
      <c r="U81" s="825"/>
      <c r="V81" s="820"/>
      <c r="W81" s="825"/>
      <c r="X81" s="820"/>
      <c r="Y81" s="1633"/>
      <c r="AA81" s="1853"/>
      <c r="AB81" s="1862"/>
      <c r="AC81" s="1853"/>
      <c r="AD81" s="1862"/>
      <c r="AE81" s="1853"/>
      <c r="AF81" s="1862"/>
      <c r="AG81" s="1854"/>
      <c r="AJ81" s="864"/>
      <c r="AL81" s="864"/>
      <c r="AN81" s="864"/>
      <c r="AO81" s="1642"/>
      <c r="AR81" s="1893"/>
      <c r="AT81" s="1893"/>
      <c r="AV81" s="1893"/>
      <c r="AW81" s="1873"/>
      <c r="AY81" s="1516"/>
      <c r="AZ81" s="1516"/>
      <c r="BA81" s="1516"/>
      <c r="BB81" s="1516"/>
      <c r="BC81" s="1516"/>
      <c r="BD81" s="1516"/>
      <c r="BE81" s="1660"/>
      <c r="BG81" s="1915"/>
      <c r="BH81" s="1915"/>
      <c r="BI81" s="1915"/>
      <c r="BJ81" s="1915"/>
      <c r="BK81" s="1915"/>
      <c r="BL81" s="1915"/>
      <c r="BM81" s="1923"/>
      <c r="BO81" s="1472"/>
      <c r="BP81" s="1472"/>
      <c r="BQ81" s="1472"/>
      <c r="BR81" s="1472"/>
      <c r="CC81" s="355"/>
      <c r="CD81" s="355"/>
      <c r="CE81" s="355"/>
      <c r="CF81" s="355"/>
      <c r="CG81" s="355"/>
      <c r="CH81" s="355"/>
      <c r="CI81" s="355"/>
      <c r="CK81" s="936"/>
      <c r="CL81" s="936"/>
      <c r="CM81" s="936"/>
      <c r="CN81" s="936"/>
      <c r="CO81" s="936"/>
      <c r="CP81" s="936"/>
      <c r="CQ81" s="936"/>
      <c r="CS81" s="912"/>
      <c r="CT81" s="912"/>
      <c r="CU81" s="912"/>
      <c r="CV81" s="912"/>
      <c r="CW81" s="912"/>
      <c r="CX81" s="912"/>
      <c r="CY81" s="912"/>
      <c r="DA81" s="889"/>
      <c r="DB81" s="889"/>
      <c r="DC81" s="889"/>
      <c r="DD81" s="889"/>
      <c r="DE81" s="889"/>
      <c r="DF81" s="889"/>
      <c r="DG81" s="889"/>
      <c r="DI81" s="912"/>
      <c r="DJ81" s="912"/>
      <c r="DK81" s="912"/>
      <c r="DL81" s="912"/>
      <c r="DM81" s="912"/>
      <c r="DN81" s="912"/>
      <c r="DO81" s="912"/>
      <c r="DQ81" s="889"/>
      <c r="DR81" s="889"/>
      <c r="DS81" s="889"/>
      <c r="DT81" s="889"/>
      <c r="DU81" s="889"/>
      <c r="DV81" s="889"/>
      <c r="DW81" s="889"/>
      <c r="DY81" s="912"/>
      <c r="DZ81" s="912"/>
      <c r="EA81" s="912"/>
      <c r="EB81" s="912"/>
      <c r="EC81" s="912"/>
      <c r="ED81" s="912"/>
      <c r="EE81" s="912"/>
      <c r="EG81" s="889"/>
      <c r="EH81" s="889"/>
      <c r="EI81" s="889"/>
      <c r="EJ81" s="889"/>
      <c r="EK81" s="889"/>
      <c r="EL81" s="889"/>
      <c r="EM81" s="889"/>
    </row>
    <row r="82" spans="1:143">
      <c r="A82" s="71"/>
      <c r="C82" s="2194" t="e">
        <f>IF(C98&gt;C99,C99,C98)</f>
        <v>#REF!</v>
      </c>
      <c r="D82" s="2185"/>
      <c r="E82" s="2194">
        <v>0</v>
      </c>
      <c r="F82" s="2185"/>
      <c r="G82" s="2194" t="e">
        <f>IF(G98&gt;G99,G99,G98)</f>
        <v>#REF!</v>
      </c>
      <c r="H82" s="2185"/>
      <c r="I82" s="2403">
        <v>0</v>
      </c>
      <c r="K82" s="1553" t="e">
        <f>IF(K98&gt;K99,K99,K98)</f>
        <v>#REF!</v>
      </c>
      <c r="L82" s="1554"/>
      <c r="M82" s="1553">
        <v>0</v>
      </c>
      <c r="N82" s="1554"/>
      <c r="O82" s="1553" t="e">
        <f>IF(O98&gt;O99,O99,O98)</f>
        <v>#REF!</v>
      </c>
      <c r="P82" s="1554"/>
      <c r="Q82" s="1621">
        <v>0</v>
      </c>
      <c r="S82" s="826" t="e">
        <f>IF(S98&gt;S99,S99,S98)</f>
        <v>#DIV/0!</v>
      </c>
      <c r="T82" s="820"/>
      <c r="U82" s="826">
        <v>0</v>
      </c>
      <c r="V82" s="820"/>
      <c r="W82" s="826">
        <f>IF(W98&gt;W99,W99,W98)</f>
        <v>0</v>
      </c>
      <c r="X82" s="820"/>
      <c r="Y82" s="1639">
        <v>0</v>
      </c>
      <c r="AA82" s="1867" t="e">
        <f>IF(AA98&gt;AA99,AA99,AA98)</f>
        <v>#DIV/0!</v>
      </c>
      <c r="AB82" s="1862"/>
      <c r="AC82" s="1867">
        <v>0</v>
      </c>
      <c r="AD82" s="1862"/>
      <c r="AE82" s="1867">
        <f>IF(AE98&gt;AE99,AE99,AE98)</f>
        <v>0</v>
      </c>
      <c r="AF82" s="1862"/>
      <c r="AG82" s="1868">
        <v>0</v>
      </c>
      <c r="AI82" s="867" t="e">
        <f>IF(AI98&gt;AI99,AI99,AI98)</f>
        <v>#DIV/0!</v>
      </c>
      <c r="AJ82" s="864"/>
      <c r="AK82" s="867">
        <v>0</v>
      </c>
      <c r="AL82" s="864"/>
      <c r="AM82" s="867">
        <f>IF(AM98&gt;AM99,AM99,AM98)</f>
        <v>0</v>
      </c>
      <c r="AN82" s="864"/>
      <c r="AO82" s="1652">
        <v>0</v>
      </c>
      <c r="AQ82" s="1900" t="e">
        <f>IF(AQ98&gt;AQ99,AQ99,AQ98)</f>
        <v>#DIV/0!</v>
      </c>
      <c r="AR82" s="1893"/>
      <c r="AS82" s="1900">
        <v>0</v>
      </c>
      <c r="AT82" s="1893"/>
      <c r="AU82" s="1900">
        <f>IF(AU98&gt;AU99,AU99,AU98)</f>
        <v>0</v>
      </c>
      <c r="AV82" s="1893"/>
      <c r="AW82" s="1901">
        <v>0</v>
      </c>
      <c r="AY82" s="1515" t="e">
        <f>IF(AY98&gt;AY99,AY99,AY98)</f>
        <v>#DIV/0!</v>
      </c>
      <c r="AZ82" s="1516"/>
      <c r="BA82" s="1515">
        <v>0</v>
      </c>
      <c r="BB82" s="1516"/>
      <c r="BC82" s="1515">
        <f>IF(BC98&gt;BC99,BC99,BC98)</f>
        <v>0</v>
      </c>
      <c r="BD82" s="1516"/>
      <c r="BE82" s="1657">
        <v>0</v>
      </c>
      <c r="BG82" s="1914" t="e">
        <f>IF(BG98&gt;BG99,BG99,BG98)</f>
        <v>#DIV/0!</v>
      </c>
      <c r="BH82" s="1915"/>
      <c r="BI82" s="1914">
        <v>0</v>
      </c>
      <c r="BJ82" s="1915"/>
      <c r="BK82" s="1914">
        <f>IF(BK98&gt;BK99,BK99,BK98)</f>
        <v>0</v>
      </c>
      <c r="BL82" s="1915"/>
      <c r="BM82" s="1916">
        <v>0</v>
      </c>
      <c r="BO82" s="2681" t="e">
        <f>IF(BO98&gt;BO99,BO99,BO98)</f>
        <v>#REF!</v>
      </c>
      <c r="BP82" s="2681">
        <v>0</v>
      </c>
      <c r="BQ82" s="2681">
        <f>IF(BQ98&gt;BQ99,BQ99,BQ98)</f>
        <v>0</v>
      </c>
      <c r="BR82" s="2681">
        <v>0</v>
      </c>
      <c r="CC82" s="355"/>
      <c r="CD82" s="355"/>
      <c r="CE82" s="355"/>
      <c r="CF82" s="355"/>
      <c r="CG82" s="355"/>
      <c r="CH82" s="355"/>
      <c r="CI82" s="355"/>
      <c r="CK82" s="936"/>
      <c r="CL82" s="936"/>
      <c r="CM82" s="936"/>
      <c r="CN82" s="936"/>
      <c r="CO82" s="936"/>
      <c r="CP82" s="936"/>
      <c r="CQ82" s="936"/>
      <c r="CS82" s="912"/>
      <c r="CT82" s="912"/>
      <c r="CU82" s="912"/>
      <c r="CV82" s="912"/>
      <c r="CW82" s="912"/>
      <c r="CX82" s="912"/>
      <c r="CY82" s="912"/>
      <c r="DA82" s="889"/>
      <c r="DB82" s="889"/>
      <c r="DC82" s="889"/>
      <c r="DD82" s="889"/>
      <c r="DE82" s="889"/>
      <c r="DF82" s="889"/>
      <c r="DG82" s="889"/>
      <c r="DI82" s="912"/>
      <c r="DJ82" s="912"/>
      <c r="DK82" s="912"/>
      <c r="DL82" s="912"/>
      <c r="DM82" s="912"/>
      <c r="DN82" s="912"/>
      <c r="DO82" s="912"/>
      <c r="DQ82" s="889"/>
      <c r="DR82" s="889"/>
      <c r="DS82" s="889"/>
      <c r="DT82" s="889"/>
      <c r="DU82" s="889"/>
      <c r="DV82" s="889"/>
      <c r="DW82" s="889"/>
      <c r="DY82" s="912"/>
      <c r="DZ82" s="912"/>
      <c r="EA82" s="912"/>
      <c r="EB82" s="912"/>
      <c r="EC82" s="912"/>
      <c r="ED82" s="912"/>
      <c r="EE82" s="912"/>
      <c r="EG82" s="889"/>
      <c r="EH82" s="889"/>
      <c r="EI82" s="889"/>
      <c r="EJ82" s="889"/>
      <c r="EK82" s="889"/>
      <c r="EL82" s="889"/>
      <c r="EM82" s="889"/>
    </row>
    <row r="83" spans="1:143">
      <c r="A83" s="71"/>
      <c r="C83" s="2194" t="e">
        <f>'Data Entry - SOF'!C136*(C79/'Data Entry - SOF'!C93)</f>
        <v>#REF!</v>
      </c>
      <c r="D83" s="2185"/>
      <c r="E83" s="2194">
        <f>IF('Data Entry - SOF'!C137&gt;E101,E101,'Data Entry - SOF'!C137)</f>
        <v>0</v>
      </c>
      <c r="F83" s="2185"/>
      <c r="G83" s="2194" t="e">
        <f>'Data Entry - SOF'!C136*(G79/'Data Entry - SOF'!C93)</f>
        <v>#REF!</v>
      </c>
      <c r="H83" s="2185"/>
      <c r="I83" s="2403">
        <f>IF('Data Entry - SOF'!C137&gt;I101,I101,'Data Entry - SOF'!C137)</f>
        <v>0</v>
      </c>
      <c r="K83" s="1553" t="e">
        <f>'Data Entry - SOF'!#REF!*(K79/'Data Entry - SOF'!#REF!)</f>
        <v>#REF!</v>
      </c>
      <c r="L83" s="1554"/>
      <c r="M83" s="1553" t="e">
        <f>IF('Data Entry - SOF'!#REF!&gt;M101,M101,'Data Entry - SOF'!#REF!)</f>
        <v>#REF!</v>
      </c>
      <c r="N83" s="1554"/>
      <c r="O83" s="1553" t="e">
        <f>'Data Entry - SOF'!#REF!*(O79/'Data Entry - SOF'!#REF!)</f>
        <v>#REF!</v>
      </c>
      <c r="P83" s="1554"/>
      <c r="Q83" s="1621" t="e">
        <f>IF('Data Entry - SOF'!#REF!&gt;Q101,Q101,'Data Entry - SOF'!#REF!)</f>
        <v>#REF!</v>
      </c>
      <c r="S83" s="826" t="e">
        <f>'Data Entry - SOF'!E136*(S79/'Data Entry - SOF'!E93)</f>
        <v>#DIV/0!</v>
      </c>
      <c r="T83" s="820"/>
      <c r="U83" s="826">
        <f>IF('Data Entry - SOF'!E137&gt;U101,U101,'Data Entry - SOF'!E137)</f>
        <v>0</v>
      </c>
      <c r="V83" s="820"/>
      <c r="W83" s="826" t="e">
        <f>'Data Entry - SOF'!E136*(W79/'Data Entry - SOF'!E93)</f>
        <v>#DIV/0!</v>
      </c>
      <c r="X83" s="820"/>
      <c r="Y83" s="1639">
        <f>IF('Data Entry - SOF'!E137&gt;Y101,Y101,'Data Entry - SOF'!E137)</f>
        <v>0</v>
      </c>
      <c r="AA83" s="1867" t="e">
        <f>'Data Entry - SOF'!K136*(AA79/'Data Entry - SOF'!K93)</f>
        <v>#DIV/0!</v>
      </c>
      <c r="AB83" s="1862"/>
      <c r="AC83" s="1867">
        <f>IF('Data Entry - SOF'!K137&gt;AC101,AC101,'Data Entry - SOF'!K137)</f>
        <v>0</v>
      </c>
      <c r="AD83" s="1862"/>
      <c r="AE83" s="1867" t="e">
        <f>'Data Entry - SOF'!K136*(AE79/'Data Entry - SOF'!K93)</f>
        <v>#DIV/0!</v>
      </c>
      <c r="AF83" s="1862"/>
      <c r="AG83" s="1868">
        <f>IF('Data Entry - SOF'!K137&gt;AG101,AG101,'Data Entry - SOF'!K137)</f>
        <v>0</v>
      </c>
      <c r="AI83" s="867" t="e">
        <f>'Data Entry - SOF'!M136*(AI79/'Data Entry - SOF'!M93)</f>
        <v>#DIV/0!</v>
      </c>
      <c r="AJ83" s="864"/>
      <c r="AK83" s="867">
        <f>IF('Data Entry - SOF'!M137&gt;AK101,AK101,'Data Entry - SOF'!M137)</f>
        <v>0</v>
      </c>
      <c r="AL83" s="864"/>
      <c r="AM83" s="867" t="e">
        <f>'Data Entry - SOF'!M136*(AM79/'Data Entry - SOF'!M93)</f>
        <v>#DIV/0!</v>
      </c>
      <c r="AN83" s="864"/>
      <c r="AO83" s="1652">
        <f>IF('Data Entry - SOF'!M137&gt;AO101,AO101,'Data Entry - SOF'!M137)</f>
        <v>0</v>
      </c>
      <c r="AQ83" s="1900" t="e">
        <f>'Data Entry - SOF'!O136*(AQ79/'Data Entry - SOF'!O93)</f>
        <v>#DIV/0!</v>
      </c>
      <c r="AR83" s="1893"/>
      <c r="AS83" s="1900">
        <f>IF('Data Entry - SOF'!O137&gt;AS101,AS101,'Data Entry - SOF'!O137)</f>
        <v>0</v>
      </c>
      <c r="AT83" s="1893"/>
      <c r="AU83" s="1900" t="e">
        <f>'Data Entry - SOF'!O136*(AU79/'Data Entry - SOF'!O93)</f>
        <v>#DIV/0!</v>
      </c>
      <c r="AV83" s="1893"/>
      <c r="AW83" s="1901">
        <f>IF('Data Entry - SOF'!O137&gt;AW101,AW101,'Data Entry - SOF'!O137)</f>
        <v>0</v>
      </c>
      <c r="AY83" s="1515" t="e">
        <f>'Data Entry - SOF'!Q136*(AY79/'Data Entry - SOF'!Q93)</f>
        <v>#DIV/0!</v>
      </c>
      <c r="AZ83" s="1516"/>
      <c r="BA83" s="1515">
        <f>IF('Data Entry - SOF'!Q137&gt;BA101,BA101,'Data Entry - SOF'!Q137)</f>
        <v>0</v>
      </c>
      <c r="BB83" s="1516"/>
      <c r="BC83" s="1515" t="e">
        <f>'Data Entry - SOF'!Q136*(BC79/'Data Entry - SOF'!Q93)</f>
        <v>#DIV/0!</v>
      </c>
      <c r="BD83" s="1516"/>
      <c r="BE83" s="1657">
        <f>IF('Data Entry - SOF'!Q137&gt;BE101,BE101,'Data Entry - SOF'!Q137)</f>
        <v>0</v>
      </c>
      <c r="BG83" s="1914" t="e">
        <f>'Data Entry - SOF'!S136*(BG79/'Data Entry - SOF'!S93)</f>
        <v>#DIV/0!</v>
      </c>
      <c r="BH83" s="1915"/>
      <c r="BI83" s="1914">
        <f>IF('Data Entry - SOF'!S137&gt;BI101,BI101,'Data Entry - SOF'!S137)</f>
        <v>0</v>
      </c>
      <c r="BJ83" s="1915"/>
      <c r="BK83" s="1914" t="e">
        <f>'Data Entry - SOF'!S136*(BK79/'Data Entry - SOF'!S93)</f>
        <v>#DIV/0!</v>
      </c>
      <c r="BL83" s="1915"/>
      <c r="BM83" s="1916">
        <f>IF('Data Entry - SOF'!S137&gt;BM101,BM101,'Data Entry - SOF'!S137)</f>
        <v>0</v>
      </c>
      <c r="BO83" s="2681" t="e">
        <f>'Data Entry - SOF'!E136*(BO79/'Data Entry - SOF'!E93)</f>
        <v>#REF!</v>
      </c>
      <c r="BP83" s="2681">
        <f>IF('Data Entry - SOF'!E137&gt;BP101,BP101,'Data Entry - SOF'!E137)</f>
        <v>0</v>
      </c>
      <c r="BQ83" s="2681" t="e">
        <f>'Data Entry - SOF'!E136*(BQ79/'Data Entry - SOF'!E93)</f>
        <v>#DIV/0!</v>
      </c>
      <c r="BR83" s="2684">
        <f>IF('Data Entry - SOF'!E137&gt;BR101,BR101,'Data Entry - SOF'!E137)</f>
        <v>0</v>
      </c>
      <c r="CC83" s="355"/>
      <c r="CD83" s="355"/>
      <c r="CE83" s="355"/>
      <c r="CF83" s="355"/>
      <c r="CG83" s="355"/>
      <c r="CH83" s="355"/>
      <c r="CI83" s="355"/>
      <c r="CK83" s="936"/>
      <c r="CL83" s="936"/>
      <c r="CM83" s="936"/>
      <c r="CN83" s="936"/>
      <c r="CO83" s="936"/>
      <c r="CP83" s="936"/>
      <c r="CQ83" s="936"/>
      <c r="CS83" s="912"/>
      <c r="CT83" s="912"/>
      <c r="CU83" s="912"/>
      <c r="CV83" s="912"/>
      <c r="CW83" s="912"/>
      <c r="CX83" s="912"/>
      <c r="CY83" s="912"/>
      <c r="DA83" s="889"/>
      <c r="DB83" s="889"/>
      <c r="DC83" s="889"/>
      <c r="DD83" s="889"/>
      <c r="DE83" s="889"/>
      <c r="DF83" s="889"/>
      <c r="DG83" s="889"/>
      <c r="DI83" s="912"/>
      <c r="DJ83" s="912"/>
      <c r="DK83" s="912"/>
      <c r="DL83" s="912"/>
      <c r="DM83" s="912"/>
      <c r="DN83" s="912"/>
      <c r="DO83" s="912"/>
      <c r="DQ83" s="889"/>
      <c r="DR83" s="889"/>
      <c r="DS83" s="889"/>
      <c r="DT83" s="889"/>
      <c r="DU83" s="889"/>
      <c r="DV83" s="889"/>
      <c r="DW83" s="889"/>
      <c r="DY83" s="912"/>
      <c r="DZ83" s="912"/>
      <c r="EA83" s="912"/>
      <c r="EB83" s="912"/>
      <c r="EC83" s="912"/>
      <c r="ED83" s="912"/>
      <c r="EE83" s="912"/>
      <c r="EG83" s="889"/>
      <c r="EH83" s="889"/>
      <c r="EI83" s="889"/>
      <c r="EJ83" s="889"/>
      <c r="EK83" s="889"/>
      <c r="EL83" s="889"/>
      <c r="EM83" s="889"/>
    </row>
    <row r="84" spans="1:143">
      <c r="A84" s="71"/>
      <c r="C84" s="2185"/>
      <c r="D84" s="2185"/>
      <c r="E84" s="2185"/>
      <c r="F84" s="2185"/>
      <c r="G84" s="2185"/>
      <c r="H84" s="2185"/>
      <c r="I84" s="2379"/>
      <c r="K84" s="1554"/>
      <c r="L84" s="1554"/>
      <c r="M84" s="1554"/>
      <c r="N84" s="1554"/>
      <c r="O84" s="1554"/>
      <c r="P84" s="1554"/>
      <c r="Q84" s="1622"/>
      <c r="S84" s="820"/>
      <c r="T84" s="820"/>
      <c r="U84" s="820"/>
      <c r="V84" s="820"/>
      <c r="W84" s="820"/>
      <c r="X84" s="820"/>
      <c r="Y84" s="1640"/>
      <c r="AA84" s="1862"/>
      <c r="AB84" s="1862"/>
      <c r="AC84" s="1862"/>
      <c r="AD84" s="1862"/>
      <c r="AE84" s="1862"/>
      <c r="AF84" s="1862"/>
      <c r="AG84" s="1869"/>
      <c r="AI84" s="864"/>
      <c r="AJ84" s="864"/>
      <c r="AK84" s="864"/>
      <c r="AL84" s="864"/>
      <c r="AM84" s="864"/>
      <c r="AN84" s="864"/>
      <c r="AO84" s="1653"/>
      <c r="AQ84" s="1893"/>
      <c r="AR84" s="1893"/>
      <c r="AS84" s="1893"/>
      <c r="AT84" s="1893"/>
      <c r="AU84" s="1893"/>
      <c r="AV84" s="1893"/>
      <c r="AW84" s="1902"/>
      <c r="AY84" s="1516"/>
      <c r="AZ84" s="1516"/>
      <c r="BA84" s="1516"/>
      <c r="BB84" s="1516"/>
      <c r="BC84" s="1516"/>
      <c r="BD84" s="1516"/>
      <c r="BE84" s="1660"/>
      <c r="BG84" s="1915"/>
      <c r="BH84" s="1915"/>
      <c r="BI84" s="1915"/>
      <c r="BJ84" s="1915"/>
      <c r="BK84" s="1915"/>
      <c r="BL84" s="1915"/>
      <c r="BM84" s="1923"/>
      <c r="BO84" s="1512"/>
      <c r="BP84" s="1512"/>
      <c r="BQ84" s="1512"/>
      <c r="BR84" s="1512"/>
      <c r="CC84" s="355"/>
      <c r="CD84" s="355"/>
      <c r="CE84" s="355"/>
      <c r="CF84" s="355"/>
      <c r="CG84" s="355"/>
      <c r="CH84" s="355"/>
      <c r="CI84" s="355"/>
      <c r="CK84" s="936"/>
      <c r="CL84" s="936"/>
      <c r="CM84" s="936"/>
      <c r="CN84" s="936"/>
      <c r="CO84" s="936"/>
      <c r="CP84" s="936"/>
      <c r="CQ84" s="936"/>
      <c r="CS84" s="912"/>
      <c r="CT84" s="912"/>
      <c r="CU84" s="912"/>
      <c r="CV84" s="912"/>
      <c r="CW84" s="912"/>
      <c r="CX84" s="912"/>
      <c r="CY84" s="912"/>
      <c r="DA84" s="889"/>
      <c r="DB84" s="889"/>
      <c r="DC84" s="889"/>
      <c r="DD84" s="889"/>
      <c r="DE84" s="889"/>
      <c r="DF84" s="889"/>
      <c r="DG84" s="889"/>
      <c r="DI84" s="912"/>
      <c r="DJ84" s="912"/>
      <c r="DK84" s="912"/>
      <c r="DL84" s="912"/>
      <c r="DM84" s="912"/>
      <c r="DN84" s="912"/>
      <c r="DO84" s="912"/>
      <c r="DQ84" s="889"/>
      <c r="DR84" s="889"/>
      <c r="DS84" s="889"/>
      <c r="DT84" s="889"/>
      <c r="DU84" s="889"/>
      <c r="DV84" s="889"/>
      <c r="DW84" s="889"/>
      <c r="DY84" s="912"/>
      <c r="DZ84" s="912"/>
      <c r="EA84" s="912"/>
      <c r="EB84" s="912"/>
      <c r="EC84" s="912"/>
      <c r="ED84" s="912"/>
      <c r="EE84" s="912"/>
      <c r="EG84" s="889"/>
      <c r="EH84" s="889"/>
      <c r="EI84" s="889"/>
      <c r="EJ84" s="889"/>
      <c r="EK84" s="889"/>
      <c r="EL84" s="889"/>
      <c r="EM84" s="889"/>
    </row>
    <row r="85" spans="1:143" ht="13.5" thickBot="1">
      <c r="A85" s="71"/>
      <c r="C85" s="2404" t="e">
        <f>IF(C79-C82-C83&lt;0,0,C79-C82-C83)</f>
        <v>#REF!</v>
      </c>
      <c r="D85" s="2185"/>
      <c r="E85" s="2404" t="e">
        <f>IF(E79-E82-E83&lt;0,0,E79-E82-E83)</f>
        <v>#REF!</v>
      </c>
      <c r="F85" s="2185"/>
      <c r="G85" s="2404" t="e">
        <f>IF(G79-G82-G83&lt;0,0,G79-G82-G83)</f>
        <v>#REF!</v>
      </c>
      <c r="H85" s="2185"/>
      <c r="I85" s="2405" t="e">
        <f>IF(I79-I82-I83&lt;0,0,I79-I82-I83)</f>
        <v>#REF!</v>
      </c>
      <c r="K85" s="1558" t="e">
        <f>IF(K79-K82-K83&lt;0,0,K79-K82-K83)</f>
        <v>#REF!</v>
      </c>
      <c r="L85" s="1554"/>
      <c r="M85" s="1558" t="e">
        <f>IF(M79-M82-M83&lt;0,0,M79-M82-M83)</f>
        <v>#REF!</v>
      </c>
      <c r="N85" s="1554"/>
      <c r="O85" s="1558" t="e">
        <f>IF(O79-O82-O83&lt;0,0,O79-O82-O83)</f>
        <v>#REF!</v>
      </c>
      <c r="P85" s="1554"/>
      <c r="Q85" s="1626" t="e">
        <f>IF(Q79-Q82-Q83&lt;0,0,Q79-Q82-Q83)</f>
        <v>#REF!</v>
      </c>
      <c r="S85" s="827" t="e">
        <f>IF(S79-S82-S83&lt;0,0,S79-S82-S83)</f>
        <v>#DIV/0!</v>
      </c>
      <c r="T85" s="820"/>
      <c r="U85" s="827" t="e">
        <f>IF(U79-U82-U83&lt;0,0,U79-U82-U83)</f>
        <v>#DIV/0!</v>
      </c>
      <c r="V85" s="820"/>
      <c r="W85" s="827" t="e">
        <f>IF(W79-W82-W83&lt;0,0,W79-W82-W83)</f>
        <v>#DIV/0!</v>
      </c>
      <c r="X85" s="820"/>
      <c r="Y85" s="1641">
        <f>IF(Y79-Y82-Y83&lt;0,0,Y79-Y82-Y83)</f>
        <v>0</v>
      </c>
      <c r="AA85" s="1870" t="e">
        <f>IF(AA79-AA82-AA83&lt;0,0,AA79-AA82-AA83)</f>
        <v>#DIV/0!</v>
      </c>
      <c r="AB85" s="1862"/>
      <c r="AC85" s="1870" t="e">
        <f>IF(AC79-AC82-AC83&lt;0,0,AC79-AC82-AC83)</f>
        <v>#DIV/0!</v>
      </c>
      <c r="AD85" s="1862"/>
      <c r="AE85" s="1870" t="e">
        <f>IF(AE79-AE82-AE83&lt;0,0,AE79-AE82-AE83)</f>
        <v>#DIV/0!</v>
      </c>
      <c r="AF85" s="1862"/>
      <c r="AG85" s="1871">
        <f>IF(AG79-AG82-AG83&lt;0,0,AG79-AG82-AG83)</f>
        <v>0</v>
      </c>
      <c r="AI85" s="868" t="e">
        <f>IF(AI79-AI82-AI83&lt;0,0,AI79-AI82-AI83)</f>
        <v>#DIV/0!</v>
      </c>
      <c r="AJ85" s="864"/>
      <c r="AK85" s="868" t="e">
        <f>IF(AK79-AK82-AK83&lt;0,0,AK79-AK82-AK83)</f>
        <v>#DIV/0!</v>
      </c>
      <c r="AL85" s="864"/>
      <c r="AM85" s="868" t="e">
        <f>IF(AM79-AM82-AM83&lt;0,0,AM79-AM82-AM83)</f>
        <v>#DIV/0!</v>
      </c>
      <c r="AN85" s="864"/>
      <c r="AO85" s="1654">
        <f>IF(AO79-AO82-AO83&lt;0,0,AO79-AO82-AO83)</f>
        <v>0</v>
      </c>
      <c r="AQ85" s="1903" t="e">
        <f>IF(AQ79-AQ82-AQ83&lt;0,0,AQ79-AQ82-AQ83)</f>
        <v>#DIV/0!</v>
      </c>
      <c r="AR85" s="1893"/>
      <c r="AS85" s="1903" t="e">
        <f>IF(AS79-AS82-AS83&lt;0,0,AS79-AS82-AS83)</f>
        <v>#DIV/0!</v>
      </c>
      <c r="AT85" s="1893"/>
      <c r="AU85" s="1903" t="e">
        <f>IF(AU79-AU82-AU83&lt;0,0,AU79-AU82-AU83)</f>
        <v>#DIV/0!</v>
      </c>
      <c r="AV85" s="1893"/>
      <c r="AW85" s="1904">
        <f>IF(AW79-AW82-AW83&lt;0,0,AW79-AW82-AW83)</f>
        <v>0</v>
      </c>
      <c r="AY85" s="1546" t="e">
        <f>IF(AY79-AY82-AY83&lt;0,0,AY79-AY82-AY83)</f>
        <v>#DIV/0!</v>
      </c>
      <c r="AZ85" s="1516"/>
      <c r="BA85" s="1546" t="e">
        <f>IF(BA79-BA82-BA83&lt;0,0,BA79-BA82-BA83)</f>
        <v>#DIV/0!</v>
      </c>
      <c r="BB85" s="1516"/>
      <c r="BC85" s="1546" t="e">
        <f>IF(BC79-BC82-BC83&lt;0,0,BC79-BC82-BC83)</f>
        <v>#DIV/0!</v>
      </c>
      <c r="BD85" s="1516"/>
      <c r="BE85" s="1664">
        <f>IF(BE79-BE82-BE83&lt;0,0,BE79-BE82-BE83)</f>
        <v>0</v>
      </c>
      <c r="BG85" s="1931" t="e">
        <f>IF(BG79-BG82-BG83&lt;0,0,BG79-BG82-BG83)</f>
        <v>#DIV/0!</v>
      </c>
      <c r="BH85" s="1915"/>
      <c r="BI85" s="1931" t="e">
        <f>IF(BI79-BI82-BI83&lt;0,0,BI79-BI82-BI83)</f>
        <v>#DIV/0!</v>
      </c>
      <c r="BJ85" s="1915"/>
      <c r="BK85" s="1931" t="e">
        <f>IF(BK79-BK82-BK83&lt;0,0,BK79-BK82-BK83)</f>
        <v>#DIV/0!</v>
      </c>
      <c r="BL85" s="1915"/>
      <c r="BM85" s="1932">
        <f>IF(BM79-BM82-BM83&lt;0,0,BM79-BM82-BM83)</f>
        <v>0</v>
      </c>
      <c r="BO85" s="2682" t="e">
        <f>IF(BO79-BO82-BO83&lt;0,0,BO79-BO82-BO83)</f>
        <v>#REF!</v>
      </c>
      <c r="BP85" s="2682" t="e">
        <f>IF(BP79-BP82-BP83&lt;0,0,BP79-BP82-BP83)</f>
        <v>#REF!</v>
      </c>
      <c r="BQ85" s="2682" t="e">
        <f>IF(BQ79-BQ82-BQ83&lt;0,0,BQ79-BQ82-BQ83)</f>
        <v>#DIV/0!</v>
      </c>
      <c r="BR85" s="2682" t="e">
        <f>IF(BR79-BR82-BR83&lt;0,0,BR79-BR82-BR83)</f>
        <v>#REF!</v>
      </c>
      <c r="CC85" s="355"/>
      <c r="CD85" s="355"/>
      <c r="CE85" s="355"/>
      <c r="CF85" s="355"/>
      <c r="CG85" s="355"/>
      <c r="CH85" s="355"/>
      <c r="CI85" s="355"/>
      <c r="CK85" s="936"/>
      <c r="CL85" s="936"/>
      <c r="CM85" s="936"/>
      <c r="CN85" s="936"/>
      <c r="CO85" s="936"/>
      <c r="CP85" s="936"/>
      <c r="CQ85" s="936"/>
      <c r="CS85" s="912"/>
      <c r="CT85" s="912"/>
      <c r="CU85" s="912"/>
      <c r="CV85" s="912"/>
      <c r="CW85" s="912"/>
      <c r="CX85" s="912"/>
      <c r="CY85" s="912"/>
      <c r="DA85" s="889"/>
      <c r="DB85" s="889"/>
      <c r="DC85" s="889"/>
      <c r="DD85" s="889"/>
      <c r="DE85" s="889"/>
      <c r="DF85" s="889"/>
      <c r="DG85" s="889"/>
      <c r="DI85" s="912"/>
      <c r="DJ85" s="912"/>
      <c r="DK85" s="912"/>
      <c r="DL85" s="912"/>
      <c r="DM85" s="912"/>
      <c r="DN85" s="912"/>
      <c r="DO85" s="912"/>
      <c r="DQ85" s="889"/>
      <c r="DR85" s="889"/>
      <c r="DS85" s="889"/>
      <c r="DT85" s="889"/>
      <c r="DU85" s="889"/>
      <c r="DV85" s="889"/>
      <c r="DW85" s="889"/>
      <c r="DY85" s="912"/>
      <c r="DZ85" s="912"/>
      <c r="EA85" s="912"/>
      <c r="EB85" s="912"/>
      <c r="EC85" s="912"/>
      <c r="ED85" s="912"/>
      <c r="EE85" s="912"/>
      <c r="EG85" s="889"/>
      <c r="EH85" s="889"/>
      <c r="EI85" s="889"/>
      <c r="EJ85" s="889"/>
      <c r="EK85" s="889"/>
      <c r="EL85" s="889"/>
      <c r="EM85" s="889"/>
    </row>
    <row r="86" spans="1:143" ht="13.5" thickTop="1">
      <c r="A86" s="71"/>
      <c r="C86" s="2185" t="e">
        <f>IF(C78=0,0,C85/C78)</f>
        <v>#REF!</v>
      </c>
      <c r="D86" s="2185"/>
      <c r="E86" s="2185" t="e">
        <f>IF(E78=0,0,E85/E78)</f>
        <v>#REF!</v>
      </c>
      <c r="F86" s="2185"/>
      <c r="G86" s="2185" t="e">
        <f>IF(G78=0,0,G85/G78)</f>
        <v>#REF!</v>
      </c>
      <c r="H86" s="2185"/>
      <c r="I86" s="2379" t="e">
        <f>IF(I78=0,0,I85/I78)</f>
        <v>#REF!</v>
      </c>
      <c r="K86" s="1554" t="e">
        <f>IF(K78=0,0,K85/K78)</f>
        <v>#REF!</v>
      </c>
      <c r="L86" s="1554"/>
      <c r="M86" s="1554" t="e">
        <f>IF(M78=0,0,M85/M78)</f>
        <v>#REF!</v>
      </c>
      <c r="N86" s="1554"/>
      <c r="O86" s="1554" t="e">
        <f>IF(O78=0,0,O85/O78)</f>
        <v>#REF!</v>
      </c>
      <c r="P86" s="1554"/>
      <c r="Q86" s="1622" t="e">
        <f>IF(Q78=0,0,Q85/Q78)</f>
        <v>#REF!</v>
      </c>
      <c r="S86" s="820" t="e">
        <f>IF(S78=0,0,S85/S78)</f>
        <v>#DIV/0!</v>
      </c>
      <c r="T86" s="820"/>
      <c r="U86" s="820" t="e">
        <f>IF(U78=0,0,U85/U78)</f>
        <v>#DIV/0!</v>
      </c>
      <c r="V86" s="820"/>
      <c r="W86" s="820">
        <f>IF(W78=0,0,W85/W78)</f>
        <v>0</v>
      </c>
      <c r="X86" s="820"/>
      <c r="Y86" s="1640">
        <f>IF(Y78=0,0,Y85/Y78)</f>
        <v>0</v>
      </c>
      <c r="AA86" s="1862" t="e">
        <f>IF(AA78=0,0,AA85/AA78)</f>
        <v>#DIV/0!</v>
      </c>
      <c r="AB86" s="1862"/>
      <c r="AC86" s="1862" t="e">
        <f>IF(AC78=0,0,AC85/AC78)</f>
        <v>#DIV/0!</v>
      </c>
      <c r="AD86" s="1862"/>
      <c r="AE86" s="1862">
        <f>IF(AE78=0,0,AE85/AE78)</f>
        <v>0</v>
      </c>
      <c r="AF86" s="1862"/>
      <c r="AG86" s="1869">
        <f>IF(AG78=0,0,AG85/AG78)</f>
        <v>0</v>
      </c>
      <c r="AI86" s="864" t="e">
        <f>IF(AI78=0,0,AI85/AI78)</f>
        <v>#DIV/0!</v>
      </c>
      <c r="AJ86" s="864"/>
      <c r="AK86" s="864" t="e">
        <f>IF(AK78=0,0,AK85/AK78)</f>
        <v>#DIV/0!</v>
      </c>
      <c r="AL86" s="864"/>
      <c r="AM86" s="864">
        <f>IF(AM78=0,0,AM85/AM78)</f>
        <v>0</v>
      </c>
      <c r="AN86" s="864"/>
      <c r="AO86" s="1653">
        <f>IF(AO78=0,0,AO85/AO78)</f>
        <v>0</v>
      </c>
      <c r="AQ86" s="1893" t="e">
        <f>IF(AQ78=0,0,AQ85/AQ78)</f>
        <v>#DIV/0!</v>
      </c>
      <c r="AR86" s="1893"/>
      <c r="AS86" s="1893" t="e">
        <f>IF(AS78=0,0,AS85/AS78)</f>
        <v>#DIV/0!</v>
      </c>
      <c r="AT86" s="1893"/>
      <c r="AU86" s="1893">
        <f>IF(AU78=0,0,AU85/AU78)</f>
        <v>0</v>
      </c>
      <c r="AV86" s="1893"/>
      <c r="AW86" s="1902">
        <f>IF(AW78=0,0,AW85/AW78)</f>
        <v>0</v>
      </c>
      <c r="AY86" s="1516" t="e">
        <f>IF(AY78=0,0,AY85/AY78)</f>
        <v>#DIV/0!</v>
      </c>
      <c r="AZ86" s="1516"/>
      <c r="BA86" s="1516" t="e">
        <f>IF(BA78=0,0,BA85/BA78)</f>
        <v>#DIV/0!</v>
      </c>
      <c r="BB86" s="1516"/>
      <c r="BC86" s="1516">
        <f>IF(BC78=0,0,BC85/BC78)</f>
        <v>0</v>
      </c>
      <c r="BD86" s="1516"/>
      <c r="BE86" s="1660">
        <f>IF(BE78=0,0,BE85/BE78)</f>
        <v>0</v>
      </c>
      <c r="BG86" s="1915" t="e">
        <f>IF(BG78=0,0,BG85/BG78)</f>
        <v>#DIV/0!</v>
      </c>
      <c r="BH86" s="1915"/>
      <c r="BI86" s="1915" t="e">
        <f>IF(BI78=0,0,BI85/BI78)</f>
        <v>#DIV/0!</v>
      </c>
      <c r="BJ86" s="1915"/>
      <c r="BK86" s="1915">
        <f>IF(BK78=0,0,BK85/BK78)</f>
        <v>0</v>
      </c>
      <c r="BL86" s="1915"/>
      <c r="BM86" s="1923">
        <f>IF(BM78=0,0,BM85/BM78)</f>
        <v>0</v>
      </c>
      <c r="BO86" s="1512" t="e">
        <f>IF(BO78=0,0,BO85/BO78)</f>
        <v>#REF!</v>
      </c>
      <c r="BP86" s="1512" t="e">
        <f>IF(BP78=0,0,BP85/BP78)</f>
        <v>#REF!</v>
      </c>
      <c r="BQ86" s="1422"/>
      <c r="BR86" s="1422"/>
      <c r="CC86" s="355"/>
      <c r="CD86" s="355"/>
      <c r="CE86" s="355"/>
      <c r="CF86" s="355"/>
      <c r="CG86" s="355"/>
      <c r="CH86" s="355"/>
      <c r="CI86" s="355"/>
      <c r="CK86" s="936"/>
      <c r="CL86" s="936"/>
      <c r="CM86" s="936"/>
      <c r="CN86" s="936"/>
      <c r="CO86" s="936"/>
      <c r="CP86" s="936"/>
      <c r="CQ86" s="936"/>
      <c r="CS86" s="912"/>
      <c r="CT86" s="912"/>
      <c r="CU86" s="912"/>
      <c r="CV86" s="912"/>
      <c r="CW86" s="912"/>
      <c r="CX86" s="912"/>
      <c r="CY86" s="912"/>
      <c r="DA86" s="889"/>
      <c r="DB86" s="889"/>
      <c r="DC86" s="889"/>
      <c r="DD86" s="889"/>
      <c r="DE86" s="889"/>
      <c r="DF86" s="889"/>
      <c r="DG86" s="889"/>
      <c r="DI86" s="912"/>
      <c r="DJ86" s="912"/>
      <c r="DK86" s="912"/>
      <c r="DL86" s="912"/>
      <c r="DM86" s="912"/>
      <c r="DN86" s="912"/>
      <c r="DO86" s="912"/>
      <c r="DQ86" s="889"/>
      <c r="DR86" s="889"/>
      <c r="DS86" s="889"/>
      <c r="DT86" s="889"/>
      <c r="DU86" s="889"/>
      <c r="DV86" s="889"/>
      <c r="DW86" s="889"/>
      <c r="DY86" s="912"/>
      <c r="DZ86" s="912"/>
      <c r="EA86" s="912"/>
      <c r="EB86" s="912"/>
      <c r="EC86" s="912"/>
      <c r="ED86" s="912"/>
      <c r="EE86" s="912"/>
      <c r="EG86" s="889"/>
      <c r="EH86" s="889"/>
      <c r="EI86" s="889"/>
      <c r="EJ86" s="889"/>
      <c r="EK86" s="889"/>
      <c r="EL86" s="889"/>
      <c r="EM86" s="889"/>
    </row>
    <row r="87" spans="1:143">
      <c r="A87" s="71"/>
      <c r="C87" s="2057"/>
      <c r="D87" s="2057"/>
      <c r="E87" s="2057"/>
      <c r="F87" s="2057"/>
      <c r="G87" s="2057"/>
      <c r="H87" s="2057"/>
      <c r="I87" s="2370"/>
      <c r="K87" s="1554">
        <v>218312640</v>
      </c>
      <c r="L87" s="1554"/>
      <c r="M87" s="1554"/>
      <c r="N87" s="1554"/>
      <c r="O87" s="1554"/>
      <c r="P87" s="1554"/>
      <c r="Q87" s="1622"/>
      <c r="S87" s="680"/>
      <c r="T87" s="680"/>
      <c r="U87" s="680"/>
      <c r="V87" s="680"/>
      <c r="W87" s="680"/>
      <c r="X87" s="680"/>
      <c r="Y87" s="1098"/>
      <c r="AA87" s="1838"/>
      <c r="AB87" s="1838"/>
      <c r="AC87" s="1838"/>
      <c r="AD87" s="1838"/>
      <c r="AE87" s="1838"/>
      <c r="AF87" s="1838"/>
      <c r="AG87" s="1847"/>
      <c r="AI87" s="864"/>
      <c r="AJ87" s="864"/>
      <c r="AK87" s="864"/>
      <c r="AL87" s="864"/>
      <c r="AM87" s="864"/>
      <c r="AN87" s="864"/>
      <c r="AO87" s="1653"/>
      <c r="AQ87" s="1893"/>
      <c r="AR87" s="1893"/>
      <c r="AS87" s="1893"/>
      <c r="AT87" s="1893"/>
      <c r="AU87" s="1893"/>
      <c r="AV87" s="1893"/>
      <c r="AW87" s="1902"/>
      <c r="AY87" s="1516"/>
      <c r="AZ87" s="1516"/>
      <c r="BA87" s="1516"/>
      <c r="BB87" s="1516"/>
      <c r="BC87" s="1516"/>
      <c r="BD87" s="1516"/>
      <c r="BE87" s="1660"/>
      <c r="BG87" s="1915"/>
      <c r="BH87" s="1915"/>
      <c r="BI87" s="1915"/>
      <c r="BJ87" s="1915"/>
      <c r="BK87" s="1915"/>
      <c r="BL87" s="1915"/>
      <c r="BM87" s="1923"/>
      <c r="BO87" s="1472"/>
      <c r="BP87" s="1472"/>
      <c r="BQ87" s="1422"/>
      <c r="BR87" s="1422"/>
      <c r="CC87" s="355"/>
      <c r="CD87" s="355"/>
      <c r="CE87" s="355"/>
      <c r="CF87" s="355"/>
      <c r="CG87" s="355"/>
      <c r="CH87" s="355"/>
      <c r="CI87" s="355"/>
      <c r="CK87" s="936"/>
      <c r="CL87" s="936"/>
      <c r="CM87" s="936"/>
      <c r="CN87" s="936"/>
      <c r="CO87" s="936"/>
      <c r="CP87" s="936"/>
      <c r="CQ87" s="936"/>
      <c r="CS87" s="912"/>
      <c r="CT87" s="912"/>
      <c r="CU87" s="912"/>
      <c r="CV87" s="912"/>
      <c r="CW87" s="912"/>
      <c r="CX87" s="912"/>
      <c r="CY87" s="912"/>
      <c r="DA87" s="889"/>
      <c r="DB87" s="889"/>
      <c r="DC87" s="889"/>
      <c r="DD87" s="889"/>
      <c r="DE87" s="889"/>
      <c r="DF87" s="889"/>
      <c r="DG87" s="889"/>
      <c r="DI87" s="912"/>
      <c r="DJ87" s="912"/>
      <c r="DK87" s="912"/>
      <c r="DL87" s="912"/>
      <c r="DM87" s="912"/>
      <c r="DN87" s="912"/>
      <c r="DO87" s="912"/>
      <c r="DQ87" s="889"/>
      <c r="DR87" s="889"/>
      <c r="DS87" s="889"/>
      <c r="DT87" s="889"/>
      <c r="DU87" s="889"/>
      <c r="DV87" s="889"/>
      <c r="DW87" s="889"/>
      <c r="DY87" s="912"/>
      <c r="DZ87" s="912"/>
      <c r="EA87" s="912"/>
      <c r="EB87" s="912"/>
      <c r="EC87" s="912"/>
      <c r="ED87" s="912"/>
      <c r="EE87" s="912"/>
      <c r="EG87" s="889"/>
      <c r="EH87" s="889"/>
      <c r="EI87" s="889"/>
      <c r="EJ87" s="889"/>
      <c r="EK87" s="889"/>
      <c r="EL87" s="889"/>
      <c r="EM87" s="889"/>
    </row>
    <row r="88" spans="1:143">
      <c r="A88" s="71"/>
      <c r="C88" s="2057"/>
      <c r="D88" s="2057"/>
      <c r="E88" s="2057"/>
      <c r="F88" s="2057"/>
      <c r="G88" s="2057"/>
      <c r="H88" s="2057"/>
      <c r="I88" s="2370"/>
      <c r="K88" s="1554"/>
      <c r="L88" s="1554"/>
      <c r="M88" s="1554"/>
      <c r="N88" s="1554"/>
      <c r="O88" s="1554"/>
      <c r="P88" s="1554"/>
      <c r="Q88" s="1622"/>
      <c r="S88" s="680" t="e">
        <f>S85+W85</f>
        <v>#DIV/0!</v>
      </c>
      <c r="T88" s="680"/>
      <c r="U88" s="680">
        <v>286904.78457126033</v>
      </c>
      <c r="V88" s="680"/>
      <c r="W88" s="680" t="e">
        <f>S88-U88</f>
        <v>#DIV/0!</v>
      </c>
      <c r="X88" s="680"/>
      <c r="Y88" s="1098"/>
      <c r="AA88" s="1838"/>
      <c r="AB88" s="1838"/>
      <c r="AC88" s="1838"/>
      <c r="AD88" s="1838"/>
      <c r="AE88" s="1838"/>
      <c r="AF88" s="1838"/>
      <c r="AG88" s="1847"/>
      <c r="AI88" s="864"/>
      <c r="AJ88" s="864"/>
      <c r="AK88" s="864"/>
      <c r="AL88" s="864"/>
      <c r="AM88" s="864"/>
      <c r="AN88" s="864"/>
      <c r="AO88" s="1653"/>
      <c r="AQ88" s="1893"/>
      <c r="AR88" s="1893"/>
      <c r="AS88" s="1893"/>
      <c r="AT88" s="1893"/>
      <c r="AU88" s="1893"/>
      <c r="AV88" s="1893"/>
      <c r="AW88" s="1902"/>
      <c r="AY88" s="1516"/>
      <c r="AZ88" s="1516"/>
      <c r="BA88" s="1516"/>
      <c r="BB88" s="1516"/>
      <c r="BC88" s="1516"/>
      <c r="BD88" s="1516"/>
      <c r="BE88" s="1660"/>
      <c r="BG88" s="1915"/>
      <c r="BH88" s="1915"/>
      <c r="BI88" s="1915"/>
      <c r="BJ88" s="1915"/>
      <c r="BK88" s="1915"/>
      <c r="BL88" s="1915"/>
      <c r="BM88" s="1923"/>
      <c r="BO88" s="2685" t="str">
        <f>BO57</f>
        <v>Y</v>
      </c>
      <c r="BP88" s="1472"/>
      <c r="BQ88" s="2685" t="str">
        <f>BQ57</f>
        <v>Y</v>
      </c>
      <c r="BR88" s="1422"/>
      <c r="CC88" s="355"/>
      <c r="CD88" s="355"/>
      <c r="CE88" s="355"/>
      <c r="CF88" s="355"/>
      <c r="CG88" s="355"/>
      <c r="CH88" s="355"/>
      <c r="CI88" s="355"/>
      <c r="CK88" s="936"/>
      <c r="CL88" s="936"/>
      <c r="CM88" s="936"/>
      <c r="CN88" s="936"/>
      <c r="CO88" s="936"/>
      <c r="CP88" s="936"/>
      <c r="CQ88" s="936"/>
      <c r="CS88" s="912"/>
      <c r="CT88" s="912"/>
      <c r="CU88" s="912"/>
      <c r="CV88" s="912"/>
      <c r="CW88" s="912"/>
      <c r="CX88" s="912"/>
      <c r="CY88" s="912"/>
      <c r="DA88" s="889"/>
      <c r="DB88" s="889"/>
      <c r="DC88" s="889"/>
      <c r="DD88" s="889"/>
      <c r="DE88" s="889"/>
      <c r="DF88" s="889"/>
      <c r="DG88" s="889"/>
      <c r="DI88" s="912"/>
      <c r="DJ88" s="912"/>
      <c r="DK88" s="912"/>
      <c r="DL88" s="912"/>
      <c r="DM88" s="912"/>
      <c r="DN88" s="912"/>
      <c r="DO88" s="912"/>
      <c r="DQ88" s="889"/>
      <c r="DR88" s="889"/>
      <c r="DS88" s="889"/>
      <c r="DT88" s="889"/>
      <c r="DU88" s="889"/>
      <c r="DV88" s="889"/>
      <c r="DW88" s="889"/>
      <c r="DY88" s="912"/>
      <c r="DZ88" s="912"/>
      <c r="EA88" s="912"/>
      <c r="EB88" s="912"/>
      <c r="EC88" s="912"/>
      <c r="ED88" s="912"/>
      <c r="EE88" s="912"/>
      <c r="EG88" s="889"/>
      <c r="EH88" s="889"/>
      <c r="EI88" s="889"/>
      <c r="EJ88" s="889"/>
      <c r="EK88" s="889"/>
      <c r="EL88" s="889"/>
      <c r="EM88" s="889"/>
    </row>
    <row r="89" spans="1:143">
      <c r="I89" s="2070"/>
      <c r="Q89" s="1616"/>
      <c r="Y89" s="1093"/>
      <c r="AG89" s="1818"/>
      <c r="AO89" s="1642"/>
      <c r="AW89" s="1873"/>
      <c r="BE89" s="1612"/>
      <c r="BM89" s="1909"/>
      <c r="BO89" s="1422"/>
      <c r="BP89" s="1422"/>
      <c r="BQ89" s="1422"/>
      <c r="BR89" s="1422"/>
    </row>
    <row r="90" spans="1:143">
      <c r="I90" s="2070"/>
      <c r="Q90" s="1616"/>
      <c r="Y90" s="1093"/>
      <c r="AG90" s="1818"/>
      <c r="AO90" s="1642"/>
      <c r="AW90" s="1873"/>
      <c r="BE90" s="1612"/>
      <c r="BM90" s="1909"/>
      <c r="BO90" s="1422"/>
      <c r="BP90" s="1422"/>
      <c r="BQ90" s="1422"/>
      <c r="BR90" s="1422"/>
    </row>
    <row r="91" spans="1:143">
      <c r="C91" s="2057" t="e">
        <f>C48*0.04</f>
        <v>#REF!</v>
      </c>
      <c r="D91" s="2057"/>
      <c r="E91" s="2057" t="e">
        <f>E48*0.05</f>
        <v>#REF!</v>
      </c>
      <c r="F91" s="2057"/>
      <c r="G91" s="2057" t="e">
        <f>G48*0.04</f>
        <v>#REF!</v>
      </c>
      <c r="H91" s="2057"/>
      <c r="I91" s="2370" t="e">
        <f>I48*0.05</f>
        <v>#REF!</v>
      </c>
      <c r="K91" s="35" t="e">
        <f>K48*0.04</f>
        <v>#REF!</v>
      </c>
      <c r="M91" s="35" t="e">
        <f>M48*0.05</f>
        <v>#REF!</v>
      </c>
      <c r="O91" s="35" t="e">
        <f>O48*0.04</f>
        <v>#REF!</v>
      </c>
      <c r="Q91" s="1616" t="e">
        <f>Q48*0.05</f>
        <v>#REF!</v>
      </c>
      <c r="S91" s="680" t="e">
        <f>S48*0.04</f>
        <v>#DIV/0!</v>
      </c>
      <c r="T91" s="680"/>
      <c r="U91" s="680" t="e">
        <f>U48*0.05</f>
        <v>#DIV/0!</v>
      </c>
      <c r="V91" s="680"/>
      <c r="W91" s="680">
        <f>W48*0.04</f>
        <v>0</v>
      </c>
      <c r="X91" s="680"/>
      <c r="Y91" s="1098">
        <f>Y48*0.05</f>
        <v>0</v>
      </c>
      <c r="AA91" s="1838" t="e">
        <f>AA48*0.04</f>
        <v>#DIV/0!</v>
      </c>
      <c r="AB91" s="1838"/>
      <c r="AC91" s="1838" t="e">
        <f>AC48*0.05</f>
        <v>#DIV/0!</v>
      </c>
      <c r="AD91" s="1838"/>
      <c r="AE91" s="1838">
        <f>AE48*0.04</f>
        <v>0</v>
      </c>
      <c r="AF91" s="1838"/>
      <c r="AG91" s="1847">
        <f>AG48*0.05</f>
        <v>0</v>
      </c>
      <c r="AI91" s="864" t="e">
        <f>AI48*0.04</f>
        <v>#DIV/0!</v>
      </c>
      <c r="AJ91" s="864"/>
      <c r="AK91" s="864" t="e">
        <f>AK48*0.05</f>
        <v>#DIV/0!</v>
      </c>
      <c r="AL91" s="864"/>
      <c r="AM91" s="864">
        <f>AM48*0.04</f>
        <v>0</v>
      </c>
      <c r="AN91" s="864"/>
      <c r="AO91" s="1653">
        <f>AO48*0.05</f>
        <v>0</v>
      </c>
      <c r="AQ91" s="1893" t="e">
        <f>AQ48*0.04</f>
        <v>#DIV/0!</v>
      </c>
      <c r="AR91" s="1893"/>
      <c r="AS91" s="1893" t="e">
        <f>AS48*0.05</f>
        <v>#DIV/0!</v>
      </c>
      <c r="AT91" s="1893"/>
      <c r="AU91" s="1893">
        <f>AU48*0.04</f>
        <v>0</v>
      </c>
      <c r="AV91" s="1893"/>
      <c r="AW91" s="1902">
        <f>AW48*0.05</f>
        <v>0</v>
      </c>
      <c r="AY91" s="1516" t="e">
        <f>AY48*0.04</f>
        <v>#DIV/0!</v>
      </c>
      <c r="AZ91" s="1516"/>
      <c r="BA91" s="1516" t="e">
        <f>BA48*0.05</f>
        <v>#DIV/0!</v>
      </c>
      <c r="BB91" s="1516"/>
      <c r="BC91" s="1516">
        <f>BC48*0.04</f>
        <v>0</v>
      </c>
      <c r="BD91" s="1516"/>
      <c r="BE91" s="1660">
        <f>BE48*0.05</f>
        <v>0</v>
      </c>
      <c r="BG91" s="1915" t="e">
        <f>BG48*0.04</f>
        <v>#DIV/0!</v>
      </c>
      <c r="BH91" s="1915"/>
      <c r="BI91" s="1915" t="e">
        <f>BI48*0.05</f>
        <v>#DIV/0!</v>
      </c>
      <c r="BJ91" s="1915"/>
      <c r="BK91" s="1915">
        <f>BK48*0.04</f>
        <v>0</v>
      </c>
      <c r="BL91" s="1915"/>
      <c r="BM91" s="1923">
        <f>BM48*0.05</f>
        <v>0</v>
      </c>
      <c r="BO91" s="1512" t="e">
        <f>BO48*0.04</f>
        <v>#REF!</v>
      </c>
      <c r="BP91" s="1512" t="e">
        <f>BP48*0.05</f>
        <v>#REF!</v>
      </c>
      <c r="BQ91" s="1512">
        <f>BQ48*0.04</f>
        <v>0</v>
      </c>
      <c r="BR91" s="1512" t="e">
        <f>BR48*0.05</f>
        <v>#REF!</v>
      </c>
      <c r="CC91" s="355" t="e">
        <f>CC42*0.04</f>
        <v>#REF!</v>
      </c>
      <c r="CD91" s="355"/>
      <c r="CE91" s="355" t="e">
        <f>CE42*0.05</f>
        <v>#REF!</v>
      </c>
      <c r="CF91" s="355"/>
      <c r="CG91" s="355" t="e">
        <f>CG42*0.04</f>
        <v>#REF!</v>
      </c>
      <c r="CH91" s="355"/>
      <c r="CI91" s="355" t="e">
        <f>CI42*0.05</f>
        <v>#REF!</v>
      </c>
      <c r="CK91" s="936" t="e">
        <f>CK42*0.04</f>
        <v>#REF!</v>
      </c>
      <c r="CL91" s="936"/>
      <c r="CM91" s="936" t="e">
        <f>CM42*0.05</f>
        <v>#REF!</v>
      </c>
      <c r="CN91" s="936"/>
      <c r="CO91" s="936" t="e">
        <f>CO42*0.04</f>
        <v>#REF!</v>
      </c>
      <c r="CP91" s="936"/>
      <c r="CQ91" s="936" t="e">
        <f>CQ42*0.05</f>
        <v>#REF!</v>
      </c>
      <c r="CS91" s="912" t="e">
        <f>CS42*0.04</f>
        <v>#REF!</v>
      </c>
      <c r="CT91" s="912"/>
      <c r="CU91" s="912" t="e">
        <f>CU42*0.05</f>
        <v>#REF!</v>
      </c>
      <c r="CV91" s="912"/>
      <c r="CW91" s="912" t="e">
        <f>CW42*0.04</f>
        <v>#REF!</v>
      </c>
      <c r="CX91" s="912"/>
      <c r="CY91" s="912" t="e">
        <f>CY42*0.05</f>
        <v>#REF!</v>
      </c>
      <c r="DA91" s="889" t="e">
        <f>DA42*0.04</f>
        <v>#REF!</v>
      </c>
      <c r="DB91" s="889"/>
      <c r="DC91" s="889" t="e">
        <f>DC42*0.05</f>
        <v>#REF!</v>
      </c>
      <c r="DD91" s="889"/>
      <c r="DE91" s="889" t="e">
        <f>DE42*0.04</f>
        <v>#REF!</v>
      </c>
      <c r="DF91" s="889"/>
      <c r="DG91" s="889" t="e">
        <f>DG42*0.05</f>
        <v>#REF!</v>
      </c>
      <c r="DI91" s="912" t="e">
        <f>DI48*0.04</f>
        <v>#REF!</v>
      </c>
      <c r="DJ91" s="912"/>
      <c r="DK91" s="912" t="e">
        <f>DK48*0.05</f>
        <v>#REF!</v>
      </c>
      <c r="DL91" s="912"/>
      <c r="DM91" s="912" t="e">
        <f>DM48*0.04</f>
        <v>#REF!</v>
      </c>
      <c r="DN91" s="912"/>
      <c r="DO91" s="912" t="e">
        <f>DO48*0.05</f>
        <v>#REF!</v>
      </c>
      <c r="DQ91" s="889" t="e">
        <f>DQ48*0.04</f>
        <v>#REF!</v>
      </c>
      <c r="DR91" s="889"/>
      <c r="DS91" s="889" t="e">
        <f>DS48*0.05</f>
        <v>#REF!</v>
      </c>
      <c r="DT91" s="889"/>
      <c r="DU91" s="889" t="e">
        <f>DU48*0.04</f>
        <v>#REF!</v>
      </c>
      <c r="DV91" s="889"/>
      <c r="DW91" s="889" t="e">
        <f>DW48*0.05</f>
        <v>#REF!</v>
      </c>
      <c r="DY91" s="912" t="e">
        <f>DY48*0.04</f>
        <v>#REF!</v>
      </c>
      <c r="DZ91" s="912"/>
      <c r="EA91" s="912" t="e">
        <f>EA48*0.05</f>
        <v>#REF!</v>
      </c>
      <c r="EB91" s="912"/>
      <c r="EC91" s="912" t="e">
        <f>EC48*0.04</f>
        <v>#REF!</v>
      </c>
      <c r="ED91" s="912"/>
      <c r="EE91" s="912" t="e">
        <f>EE48*0.05</f>
        <v>#REF!</v>
      </c>
      <c r="EG91" s="889" t="e">
        <f>EG48*0.04</f>
        <v>#REF!</v>
      </c>
      <c r="EH91" s="889"/>
      <c r="EI91" s="889" t="e">
        <f>EI48*0.05</f>
        <v>#REF!</v>
      </c>
      <c r="EJ91" s="889"/>
      <c r="EK91" s="889">
        <f>EK48*0.04</f>
        <v>0</v>
      </c>
      <c r="EL91" s="889"/>
      <c r="EM91" s="889">
        <f>EM48*0.05</f>
        <v>0</v>
      </c>
    </row>
    <row r="92" spans="1:143">
      <c r="C92" s="2057" t="e">
        <f>C43*80</f>
        <v>#REF!</v>
      </c>
      <c r="D92" s="2057"/>
      <c r="E92" s="2057" t="e">
        <f>'Ch41 Calc Data'!K17*100</f>
        <v>#REF!</v>
      </c>
      <c r="F92" s="2057"/>
      <c r="G92" s="2057" t="e">
        <f>G43*80</f>
        <v>#REF!</v>
      </c>
      <c r="H92" s="2057"/>
      <c r="I92" s="2370">
        <f>'Ch41 Calc Data'!L10*100</f>
        <v>0</v>
      </c>
      <c r="K92" s="35" t="e">
        <f>K43*80</f>
        <v>#REF!</v>
      </c>
      <c r="M92" s="35" t="e">
        <f>'Ch41 Calc Data'!L17*100</f>
        <v>#REF!</v>
      </c>
      <c r="O92" s="35" t="e">
        <f>O43*80</f>
        <v>#REF!</v>
      </c>
      <c r="Q92" s="1616" t="e">
        <f>'Ch41 Calc Data'!L17*100</f>
        <v>#REF!</v>
      </c>
      <c r="S92" s="680" t="e">
        <f>S43*80</f>
        <v>#DIV/0!</v>
      </c>
      <c r="T92" s="680"/>
      <c r="U92" s="680">
        <f>'Ch41 Calc Data'!M17*100</f>
        <v>0</v>
      </c>
      <c r="V92" s="680"/>
      <c r="W92" s="680">
        <f>W43*80</f>
        <v>0</v>
      </c>
      <c r="X92" s="680"/>
      <c r="Y92" s="1098">
        <f>'Ch41 Calc Data'!M17*100</f>
        <v>0</v>
      </c>
      <c r="AA92" s="1838" t="e">
        <f>AA43*80</f>
        <v>#DIV/0!</v>
      </c>
      <c r="AB92" s="1838"/>
      <c r="AC92" s="1838">
        <f>'Ch41 Calc Data'!N17*100</f>
        <v>0</v>
      </c>
      <c r="AD92" s="1838"/>
      <c r="AE92" s="1838">
        <f>AE43*80</f>
        <v>0</v>
      </c>
      <c r="AF92" s="1838"/>
      <c r="AG92" s="1847">
        <f>'Ch41 Calc Data'!N17*100</f>
        <v>0</v>
      </c>
      <c r="AI92" s="864" t="e">
        <f>AI43*80</f>
        <v>#DIV/0!</v>
      </c>
      <c r="AJ92" s="864"/>
      <c r="AK92" s="864" t="e">
        <f>'Ch41 Calc Data'!O17*100</f>
        <v>#DIV/0!</v>
      </c>
      <c r="AL92" s="864"/>
      <c r="AM92" s="864">
        <f>AM43*80</f>
        <v>0</v>
      </c>
      <c r="AN92" s="864"/>
      <c r="AO92" s="1653" t="e">
        <f>'Ch41 Calc Data'!O17*100</f>
        <v>#DIV/0!</v>
      </c>
      <c r="AQ92" s="1893" t="e">
        <f>AQ43*80</f>
        <v>#DIV/0!</v>
      </c>
      <c r="AR92" s="1893"/>
      <c r="AS92" s="1893" t="e">
        <f>'Ch41 Calc Data'!P17*100</f>
        <v>#DIV/0!</v>
      </c>
      <c r="AT92" s="1893"/>
      <c r="AU92" s="1893">
        <f>AU43*80</f>
        <v>0</v>
      </c>
      <c r="AV92" s="1893"/>
      <c r="AW92" s="1902" t="e">
        <f>'Ch41 Calc Data'!P17*100</f>
        <v>#DIV/0!</v>
      </c>
      <c r="AY92" s="1516" t="e">
        <f>AY43*80</f>
        <v>#DIV/0!</v>
      </c>
      <c r="AZ92" s="1516"/>
      <c r="BA92" s="1516" t="e">
        <f>'Ch41 Calc Data'!Q17*100</f>
        <v>#DIV/0!</v>
      </c>
      <c r="BB92" s="1516"/>
      <c r="BC92" s="1516">
        <f>BC43*80</f>
        <v>0</v>
      </c>
      <c r="BD92" s="1516"/>
      <c r="BE92" s="1660" t="e">
        <f>'Ch41 Calc Data'!Q17*100</f>
        <v>#DIV/0!</v>
      </c>
      <c r="BG92" s="1915" t="e">
        <f>BG43*80</f>
        <v>#DIV/0!</v>
      </c>
      <c r="BH92" s="1915"/>
      <c r="BI92" s="1915" t="e">
        <f>'Ch41 Calc Data'!R17*100</f>
        <v>#DIV/0!</v>
      </c>
      <c r="BJ92" s="1915"/>
      <c r="BK92" s="1915">
        <f>BK43*80</f>
        <v>0</v>
      </c>
      <c r="BL92" s="1915"/>
      <c r="BM92" s="1923" t="e">
        <f>'Ch41 Calc Data'!R17*100</f>
        <v>#DIV/0!</v>
      </c>
      <c r="BO92" s="1512" t="e">
        <f>BO43*80</f>
        <v>#REF!</v>
      </c>
      <c r="BP92" s="1512" t="e">
        <f>'Ch41 Calc Data'!M20*100</f>
        <v>#REF!</v>
      </c>
      <c r="BQ92" s="1512">
        <f>BQ43*80</f>
        <v>0</v>
      </c>
      <c r="BR92" s="1512" t="e">
        <f>'Ch41 Calc Data'!M20*100</f>
        <v>#REF!</v>
      </c>
      <c r="CC92" s="355" t="e">
        <f>CC43*80</f>
        <v>#REF!</v>
      </c>
      <c r="CD92" s="355"/>
      <c r="CE92" s="355">
        <f>'Ch41 Calc Data'!AA10*100</f>
        <v>0</v>
      </c>
      <c r="CF92" s="355"/>
      <c r="CG92" s="355" t="e">
        <f>CG43*80</f>
        <v>#REF!</v>
      </c>
      <c r="CH92" s="355"/>
      <c r="CI92" s="355">
        <f>'Ch41 Calc Data'!AA10*100</f>
        <v>0</v>
      </c>
      <c r="CK92" s="936" t="e">
        <f>CK43*80</f>
        <v>#REF!</v>
      </c>
      <c r="CL92" s="936"/>
      <c r="CM92" s="936">
        <f>'Ch41 Calc Data'!AB10*100</f>
        <v>0</v>
      </c>
      <c r="CN92" s="936"/>
      <c r="CO92" s="936" t="e">
        <f>CO43*80</f>
        <v>#REF!</v>
      </c>
      <c r="CP92" s="936"/>
      <c r="CQ92" s="936">
        <f>'Ch41 Calc Data'!AB10*100</f>
        <v>0</v>
      </c>
      <c r="CS92" s="912" t="e">
        <f>CS43*80</f>
        <v>#REF!</v>
      </c>
      <c r="CT92" s="912"/>
      <c r="CU92" s="912">
        <f>'Ch41 Calc Data'!AC10*100</f>
        <v>0</v>
      </c>
      <c r="CV92" s="912"/>
      <c r="CW92" s="912" t="e">
        <f>CW43*80</f>
        <v>#REF!</v>
      </c>
      <c r="CX92" s="912"/>
      <c r="CY92" s="912">
        <f>'Ch41 Calc Data'!AC10*100</f>
        <v>0</v>
      </c>
      <c r="DA92" s="889" t="e">
        <f>DA43*80</f>
        <v>#REF!</v>
      </c>
      <c r="DB92" s="889"/>
      <c r="DC92" s="889">
        <f>'Ch41 Calc Data'!AD10*100</f>
        <v>0</v>
      </c>
      <c r="DD92" s="889"/>
      <c r="DE92" s="889" t="e">
        <f>DE43*80</f>
        <v>#REF!</v>
      </c>
      <c r="DF92" s="889"/>
      <c r="DG92" s="889">
        <f>'Ch41 Calc Data'!AD10*100</f>
        <v>0</v>
      </c>
      <c r="DI92" s="912" t="e">
        <f>DI43*80</f>
        <v>#REF!</v>
      </c>
      <c r="DJ92" s="912"/>
      <c r="DK92" s="912">
        <f>'Ch41 Calc Data'!AE10*100</f>
        <v>0</v>
      </c>
      <c r="DL92" s="912"/>
      <c r="DM92" s="912" t="e">
        <f>DM43*80</f>
        <v>#REF!</v>
      </c>
      <c r="DN92" s="912"/>
      <c r="DO92" s="912">
        <f>'Ch41 Calc Data'!AE10*100</f>
        <v>0</v>
      </c>
      <c r="DQ92" s="889" t="e">
        <f>DQ43*80</f>
        <v>#REF!</v>
      </c>
      <c r="DR92" s="889"/>
      <c r="DS92" s="889">
        <f>'Ch41 Calc Data'!AF10*100</f>
        <v>0</v>
      </c>
      <c r="DT92" s="889"/>
      <c r="DU92" s="889" t="e">
        <f>DU43*80</f>
        <v>#REF!</v>
      </c>
      <c r="DV92" s="889"/>
      <c r="DW92" s="889">
        <f>'Ch41 Calc Data'!AF10*100</f>
        <v>0</v>
      </c>
      <c r="DY92" s="912" t="e">
        <f>DY43*80</f>
        <v>#REF!</v>
      </c>
      <c r="DZ92" s="912"/>
      <c r="EA92" s="912">
        <f>'Ch41 Calc Data'!AG10*100</f>
        <v>0</v>
      </c>
      <c r="EB92" s="912"/>
      <c r="EC92" s="912" t="e">
        <f>EC43*80</f>
        <v>#REF!</v>
      </c>
      <c r="ED92" s="912"/>
      <c r="EE92" s="912">
        <f>'Ch41 Calc Data'!AG10*100</f>
        <v>0</v>
      </c>
      <c r="EG92" s="889" t="e">
        <f>EG43*80</f>
        <v>#REF!</v>
      </c>
      <c r="EH92" s="889"/>
      <c r="EI92" s="889">
        <f>'Ch41 Calc Data'!AH10*100</f>
        <v>0</v>
      </c>
      <c r="EJ92" s="889"/>
      <c r="EK92" s="889">
        <f>EK43*80</f>
        <v>0</v>
      </c>
      <c r="EL92" s="889"/>
      <c r="EM92" s="889">
        <f>'Ch41 Calc Data'!AH10*100</f>
        <v>0</v>
      </c>
    </row>
    <row r="93" spans="1:143">
      <c r="I93" s="2070"/>
      <c r="Q93" s="1616"/>
      <c r="Y93" s="1093"/>
      <c r="AG93" s="1818"/>
      <c r="AO93" s="1642"/>
      <c r="AW93" s="1873"/>
      <c r="AY93" s="1516"/>
      <c r="AZ93" s="1516"/>
      <c r="BA93" s="1516"/>
      <c r="BB93" s="1516"/>
      <c r="BC93" s="1516"/>
      <c r="BD93" s="1516"/>
      <c r="BE93" s="1660"/>
      <c r="BG93" s="1915"/>
      <c r="BH93" s="1915"/>
      <c r="BI93" s="1915"/>
      <c r="BJ93" s="1915"/>
      <c r="BK93" s="1915"/>
      <c r="BL93" s="1915"/>
      <c r="BM93" s="1923"/>
      <c r="BO93" s="1472"/>
      <c r="BP93" s="1472"/>
      <c r="BQ93" s="1422"/>
      <c r="BR93" s="1422"/>
    </row>
    <row r="94" spans="1:143">
      <c r="E94" s="2058">
        <f>IF('Data Entry - SOF'!C137=0,0,'Data Entry - SOF'!C136*(E48/'Data Entry - SOF'!C93))</f>
        <v>0</v>
      </c>
      <c r="I94" s="2070">
        <f>IF('Data Entry - SOF'!C137=0,0,IF(I41=0,0,'Data Entry - SOF'!C136*('Option Costs'!I48/'Data Entry - SOF'!C93)))</f>
        <v>0</v>
      </c>
      <c r="M94" s="35" t="e">
        <f>IF('Data Entry - SOF'!#REF!=0,0,'Data Entry - SOF'!#REF!*(M48/'Data Entry - SOF'!#REF!))</f>
        <v>#REF!</v>
      </c>
      <c r="Q94" s="1616" t="e">
        <f>IF('Data Entry - SOF'!#REF!=0,0,IF(Q41=0,0,'Data Entry - SOF'!#REF!*(Q48/'Data Entry - SOF'!#REF!)))</f>
        <v>#REF!</v>
      </c>
      <c r="U94" s="679">
        <f>IF('Data Entry - SOF'!E137=0,0,'Data Entry - SOF'!E136*(U48/'Data Entry - SOF'!E93))</f>
        <v>0</v>
      </c>
      <c r="Y94" s="1093">
        <f>IF('Data Entry - SOF'!E137=0,0,IF(Y41=0,0,'Data Entry - SOF'!E136*(Y48/'Data Entry - SOF'!E93)))</f>
        <v>0</v>
      </c>
      <c r="AC94" s="1817">
        <f>IF('Data Entry - SOF'!K137=0,0,'Data Entry - SOF'!K136*(AC48/'Data Entry - SOF'!K93))</f>
        <v>0</v>
      </c>
      <c r="AG94" s="1818">
        <f>IF('Data Entry - SOF'!K137=0,0,IF(AG41=0,0,'Data Entry - SOF'!K136*(AG48/'Data Entry - SOF'!K93)))</f>
        <v>0</v>
      </c>
      <c r="AK94" s="851">
        <f>IF('Data Entry - SOF'!M137=0,0,'Data Entry - SOF'!M136*(AK48/'Data Entry - SOF'!M93))</f>
        <v>0</v>
      </c>
      <c r="AO94" s="1642">
        <f>IF('Data Entry - SOF'!M137=0,0,IF(AO41=0,0,'Data Entry - SOF'!M136*(AO48/'Data Entry - SOF'!M93)))</f>
        <v>0</v>
      </c>
      <c r="AS94" s="1872">
        <f>IF('Data Entry - SOF'!O137=0,0,'Data Entry - SOF'!O136*(AS48/'Data Entry - SOF'!O93))</f>
        <v>0</v>
      </c>
      <c r="AW94" s="1873">
        <f>IF('Data Entry - SOF'!O137=0,0,IF(AW41=0,0,'Data Entry - SOF'!O136*(AW48/'Data Entry - SOF'!O93)))</f>
        <v>0</v>
      </c>
      <c r="AY94" s="1516"/>
      <c r="AZ94" s="1516"/>
      <c r="BA94" s="1516">
        <f>IF('Data Entry - SOF'!Q137=0,0,'Data Entry - SOF'!Q136*(BA48/'Data Entry - SOF'!Q93))</f>
        <v>0</v>
      </c>
      <c r="BB94" s="1516"/>
      <c r="BC94" s="1516"/>
      <c r="BD94" s="1516"/>
      <c r="BE94" s="1660">
        <f>IF('Data Entry - SOF'!Q137=0,0,IF(BE41=0,0,'Data Entry - SOF'!Q136*(BE48/'Data Entry - SOF'!Q93)))</f>
        <v>0</v>
      </c>
      <c r="BG94" s="1915"/>
      <c r="BH94" s="1915"/>
      <c r="BI94" s="1915">
        <f>IF('Data Entry - SOF'!S137=0,0,'Data Entry - SOF'!S136*(BI48/'Data Entry - SOF'!S93))</f>
        <v>0</v>
      </c>
      <c r="BJ94" s="1915"/>
      <c r="BK94" s="1915"/>
      <c r="BL94" s="1915"/>
      <c r="BM94" s="1923">
        <f>IF('Data Entry - SOF'!S137=0,0,IF(BM41=0,0,'Data Entry - SOF'!S136*(BM48/'Data Entry - SOF'!S93)))</f>
        <v>0</v>
      </c>
      <c r="BO94" s="1472"/>
      <c r="BP94" s="1472" t="e">
        <f>IF('Data Entry - SOF'!#REF!=0,0,'Data Entry - SOF'!#REF!*(BP42/BP41))</f>
        <v>#REF!</v>
      </c>
      <c r="BQ94" s="1422"/>
      <c r="BR94" s="1512">
        <f>IF('Data Entry - SOF'!E137=0,0,IF(BR41=0,0,'Data Entry - SOF'!E136*(BR48/'Data Entry - SOF'!E93)))</f>
        <v>0</v>
      </c>
      <c r="CE94" s="334" t="e">
        <f>IF('Data Entry - SOF'!#REF!=0,0,'Data Entry - SOF'!#REF!*('Option Costs'!CE42/'Option Costs'!CE41))</f>
        <v>#REF!</v>
      </c>
      <c r="CI94" s="334" t="e">
        <f>IF('Data Entry - SOF'!#REF!=0,0,IF(CI41=0,0,'Data Entry - SOF'!#REF!*('Option Costs'!CI42/'Option Costs'!CI41)))</f>
        <v>#REF!</v>
      </c>
      <c r="CM94" s="921" t="e">
        <f>IF('Data Entry - SOF'!#REF!=0,0,'Data Entry - SOF'!#REF!*('Option Costs'!CM42/'Option Costs'!CM41))</f>
        <v>#REF!</v>
      </c>
      <c r="CQ94" s="921" t="e">
        <f>IF('Data Entry - SOF'!#REF!=0,0,IF(CQ41=0,0,'Data Entry - SOF'!#REF!*('Option Costs'!CQ42/'Option Costs'!CQ41)))</f>
        <v>#REF!</v>
      </c>
      <c r="CU94" s="897" t="e">
        <f>IF('Data Entry - SOF'!#REF!=0,0,'Data Entry - SOF'!#REF!*('Option Costs'!CU42/'Option Costs'!CU41))</f>
        <v>#REF!</v>
      </c>
      <c r="CY94" s="897" t="e">
        <f>IF('Data Entry - SOF'!#REF!=0,0,IF(CY41=0,0,'Data Entry - SOF'!#REF!*('Option Costs'!CY42/'Option Costs'!CY41)))</f>
        <v>#REF!</v>
      </c>
      <c r="DC94" s="788" t="e">
        <f>IF('Data Entry - SOF'!#REF!=0,0,'Data Entry - SOF'!#REF!*('Option Costs'!DC42/'Option Costs'!DC41))</f>
        <v>#REF!</v>
      </c>
      <c r="DG94" s="788" t="e">
        <f>IF('Data Entry - SOF'!#REF!=0,0,IF(DG41=0,0,'Data Entry - SOF'!#REF!*('Option Costs'!DG42/'Option Costs'!DG41)))</f>
        <v>#REF!</v>
      </c>
      <c r="DK94" s="897">
        <f>IF('Data Entry - SOF'!C137=0,0,'Data Entry - SOF'!C136*('Option Costs'!DK48/'Option Costs'!DK41))</f>
        <v>0</v>
      </c>
      <c r="DO94" s="897">
        <f>IF('Data Entry - SOF'!C137=0,0,IF(DO41=0,0,'Data Entry - SOF'!C136*('Option Costs'!DO48/'Option Costs'!DO41)))</f>
        <v>0</v>
      </c>
      <c r="DS94" s="788">
        <f>IF('Data Entry - SOF'!C137=0,0,'Data Entry - SOF'!C136*('Option Costs'!DS48/'Option Costs'!DS41))</f>
        <v>0</v>
      </c>
      <c r="DW94" s="788">
        <f>IF('Data Entry - SOF'!C137=0,0,IF(DW41=0,0,'Data Entry - SOF'!C136*('Option Costs'!DW48/'Option Costs'!DW41)))</f>
        <v>0</v>
      </c>
      <c r="EA94" s="897" t="e">
        <f>IF('Data Entry - SOF'!#REF!=0,0,'Data Entry - SOF'!#REF!*('Option Costs'!EA48/'Option Costs'!EA41))</f>
        <v>#REF!</v>
      </c>
      <c r="EE94" s="897" t="e">
        <f>IF('Data Entry - SOF'!#REF!=0,0,IF(EE41=0,0,'Data Entry - SOF'!#REF!*('Option Costs'!EE48/'Option Costs'!EE41)))</f>
        <v>#REF!</v>
      </c>
      <c r="EI94" s="788">
        <f>IF('Data Entry - SOF'!E137=0,0,'Data Entry - SOF'!E136*('Option Costs'!EI48/'Option Costs'!EI41))</f>
        <v>0</v>
      </c>
      <c r="EM94" s="788">
        <f>IF('Data Entry - SOF'!E137=0,0,IF(EM41=0,0,'Data Entry - SOF'!E136*('Option Costs'!EM48/'Option Costs'!EM41)))</f>
        <v>0</v>
      </c>
    </row>
    <row r="95" spans="1:143">
      <c r="I95" s="2070"/>
      <c r="Q95" s="1616"/>
      <c r="Y95" s="1093"/>
      <c r="AG95" s="1818"/>
      <c r="AO95" s="1642"/>
      <c r="AW95" s="1873"/>
      <c r="AY95" s="1516"/>
      <c r="AZ95" s="1516"/>
      <c r="BA95" s="1516"/>
      <c r="BB95" s="1516"/>
      <c r="BC95" s="1516"/>
      <c r="BD95" s="1516"/>
      <c r="BE95" s="1660"/>
      <c r="BG95" s="1915"/>
      <c r="BH95" s="1915"/>
      <c r="BI95" s="1915"/>
      <c r="BJ95" s="1915"/>
      <c r="BK95" s="1915"/>
      <c r="BL95" s="1915"/>
      <c r="BM95" s="1923"/>
      <c r="BO95" s="1422"/>
      <c r="BP95" s="1422"/>
      <c r="BQ95" s="1422"/>
      <c r="BR95" s="1422"/>
    </row>
    <row r="96" spans="1:143">
      <c r="I96" s="2070"/>
      <c r="Q96" s="1616"/>
      <c r="Y96" s="1093"/>
      <c r="AG96" s="1818"/>
      <c r="AO96" s="1642"/>
      <c r="AW96" s="1873"/>
      <c r="AY96" s="1516"/>
      <c r="AZ96" s="1516"/>
      <c r="BA96" s="1516"/>
      <c r="BB96" s="1516"/>
      <c r="BC96" s="1516"/>
      <c r="BD96" s="1516"/>
      <c r="BE96" s="1660"/>
      <c r="BG96" s="1915"/>
      <c r="BH96" s="1915"/>
      <c r="BI96" s="1915"/>
      <c r="BJ96" s="1915"/>
      <c r="BK96" s="1915"/>
      <c r="BL96" s="1915"/>
      <c r="BM96" s="1923"/>
      <c r="BO96" s="1422"/>
      <c r="BP96" s="1422"/>
      <c r="BQ96" s="1422"/>
      <c r="BR96" s="1422"/>
    </row>
    <row r="97" spans="3:70">
      <c r="C97" s="2392" t="s">
        <v>3830</v>
      </c>
      <c r="D97" s="2392"/>
      <c r="E97" s="2392"/>
      <c r="F97" s="2392"/>
      <c r="G97" s="2392"/>
      <c r="H97" s="2392"/>
      <c r="I97" s="2393"/>
      <c r="K97" s="35" t="s">
        <v>3830</v>
      </c>
      <c r="Q97" s="1616"/>
      <c r="S97" s="743" t="s">
        <v>3830</v>
      </c>
      <c r="T97" s="743"/>
      <c r="U97" s="743"/>
      <c r="V97" s="743"/>
      <c r="W97" s="743"/>
      <c r="X97" s="743"/>
      <c r="Y97" s="1091"/>
      <c r="AA97" s="1853" t="s">
        <v>3830</v>
      </c>
      <c r="AB97" s="1853"/>
      <c r="AC97" s="1853"/>
      <c r="AD97" s="1853"/>
      <c r="AE97" s="1853"/>
      <c r="AF97" s="1853"/>
      <c r="AG97" s="1854"/>
      <c r="AH97" s="779"/>
      <c r="AI97" s="779" t="s">
        <v>3830</v>
      </c>
      <c r="AJ97" s="779"/>
      <c r="AK97" s="779"/>
      <c r="AL97" s="779"/>
      <c r="AM97" s="779"/>
      <c r="AN97" s="779"/>
      <c r="AO97" s="1655"/>
      <c r="AQ97" s="1872" t="s">
        <v>3830</v>
      </c>
      <c r="AW97" s="1873"/>
      <c r="AY97" s="1516" t="s">
        <v>3830</v>
      </c>
      <c r="AZ97" s="1516"/>
      <c r="BA97" s="1516"/>
      <c r="BB97" s="1516"/>
      <c r="BC97" s="1516"/>
      <c r="BD97" s="1516"/>
      <c r="BE97" s="1660"/>
      <c r="BG97" s="1915" t="s">
        <v>3830</v>
      </c>
      <c r="BH97" s="1915"/>
      <c r="BI97" s="1915"/>
      <c r="BJ97" s="1915"/>
      <c r="BK97" s="1915"/>
      <c r="BL97" s="1915"/>
      <c r="BM97" s="1923"/>
      <c r="BO97" s="1422" t="s">
        <v>3830</v>
      </c>
      <c r="BP97" s="1422"/>
      <c r="BQ97" s="1422"/>
      <c r="BR97" s="1422"/>
    </row>
    <row r="98" spans="3:70">
      <c r="C98" s="2185" t="e">
        <f>C79*0.04</f>
        <v>#REF!</v>
      </c>
      <c r="D98" s="2392"/>
      <c r="E98" s="2185" t="e">
        <f>E79*0.05</f>
        <v>#REF!</v>
      </c>
      <c r="F98" s="2392"/>
      <c r="G98" s="2185" t="e">
        <f>G79*0.04</f>
        <v>#REF!</v>
      </c>
      <c r="H98" s="2392"/>
      <c r="I98" s="2379" t="e">
        <f>I79*0.05</f>
        <v>#REF!</v>
      </c>
      <c r="K98" s="35" t="e">
        <f>K79*0.04</f>
        <v>#REF!</v>
      </c>
      <c r="M98" s="35" t="e">
        <f>M79*0.05</f>
        <v>#REF!</v>
      </c>
      <c r="O98" s="35" t="e">
        <f>O79*0.04</f>
        <v>#REF!</v>
      </c>
      <c r="Q98" s="1616" t="e">
        <f>Q79*0.05</f>
        <v>#REF!</v>
      </c>
      <c r="S98" s="744" t="e">
        <f>S79*0.04</f>
        <v>#DIV/0!</v>
      </c>
      <c r="T98" s="743"/>
      <c r="U98" s="744" t="e">
        <f>U79*0.05</f>
        <v>#DIV/0!</v>
      </c>
      <c r="V98" s="743"/>
      <c r="W98" s="744">
        <f>W79*0.04</f>
        <v>0</v>
      </c>
      <c r="X98" s="743"/>
      <c r="Y98" s="1092">
        <f>Y79*0.05</f>
        <v>0</v>
      </c>
      <c r="AA98" s="1862" t="e">
        <f>AA79*0.04</f>
        <v>#DIV/0!</v>
      </c>
      <c r="AB98" s="1853"/>
      <c r="AC98" s="1862" t="e">
        <f>AC79*0.05</f>
        <v>#DIV/0!</v>
      </c>
      <c r="AD98" s="1853"/>
      <c r="AE98" s="1862">
        <f>AE79*0.04</f>
        <v>0</v>
      </c>
      <c r="AF98" s="1853"/>
      <c r="AG98" s="1869">
        <f>AG79*0.05</f>
        <v>0</v>
      </c>
      <c r="AH98" s="779"/>
      <c r="AI98" s="873" t="e">
        <f>AI79*0.04</f>
        <v>#DIV/0!</v>
      </c>
      <c r="AJ98" s="779"/>
      <c r="AK98" s="873" t="e">
        <f>AK79*0.05</f>
        <v>#DIV/0!</v>
      </c>
      <c r="AL98" s="779"/>
      <c r="AM98" s="873">
        <f>AM79*0.04</f>
        <v>0</v>
      </c>
      <c r="AN98" s="779"/>
      <c r="AO98" s="1656">
        <f>AO79*0.05</f>
        <v>0</v>
      </c>
      <c r="AQ98" s="1893" t="e">
        <f>AQ79*0.04</f>
        <v>#DIV/0!</v>
      </c>
      <c r="AS98" s="1893" t="e">
        <f>AS79*0.05</f>
        <v>#DIV/0!</v>
      </c>
      <c r="AU98" s="1893">
        <f>AU79*0.04</f>
        <v>0</v>
      </c>
      <c r="AW98" s="1902">
        <f>AW79*0.05</f>
        <v>0</v>
      </c>
      <c r="AY98" s="1516" t="e">
        <f>AY79*0.04</f>
        <v>#DIV/0!</v>
      </c>
      <c r="AZ98" s="1516"/>
      <c r="BA98" s="1516" t="e">
        <f>BA79*0.05</f>
        <v>#DIV/0!</v>
      </c>
      <c r="BB98" s="1516"/>
      <c r="BC98" s="1516">
        <f>BC79*0.04</f>
        <v>0</v>
      </c>
      <c r="BD98" s="1516"/>
      <c r="BE98" s="1660">
        <f>BE79*0.05</f>
        <v>0</v>
      </c>
      <c r="BG98" s="1915" t="e">
        <f>BG79*0.04</f>
        <v>#DIV/0!</v>
      </c>
      <c r="BH98" s="1915"/>
      <c r="BI98" s="1915" t="e">
        <f>BI79*0.05</f>
        <v>#DIV/0!</v>
      </c>
      <c r="BJ98" s="1915"/>
      <c r="BK98" s="1915">
        <f>BK79*0.04</f>
        <v>0</v>
      </c>
      <c r="BL98" s="1915"/>
      <c r="BM98" s="1923">
        <f>BM79*0.05</f>
        <v>0</v>
      </c>
      <c r="BO98" s="1512" t="e">
        <f>BO79*0.04</f>
        <v>#REF!</v>
      </c>
      <c r="BP98" s="1512" t="e">
        <f>BP79*0.05</f>
        <v>#REF!</v>
      </c>
      <c r="BQ98" s="1512">
        <f>BQ79*0.04</f>
        <v>0</v>
      </c>
      <c r="BR98" s="1512" t="e">
        <f>BR79*0.05</f>
        <v>#REF!</v>
      </c>
    </row>
    <row r="99" spans="3:70">
      <c r="C99" s="2185" t="e">
        <f>C74*80</f>
        <v>#REF!</v>
      </c>
      <c r="D99" s="2392"/>
      <c r="E99" s="2185" t="e">
        <f>'Ch41 Calc Data'!K17*100</f>
        <v>#REF!</v>
      </c>
      <c r="F99" s="2392"/>
      <c r="G99" s="2185" t="e">
        <f>G74*80</f>
        <v>#REF!</v>
      </c>
      <c r="H99" s="2392"/>
      <c r="I99" s="2379" t="e">
        <f>'Ch41 Calc Data'!K17*100</f>
        <v>#REF!</v>
      </c>
      <c r="K99" s="35" t="e">
        <f>K74*80</f>
        <v>#REF!</v>
      </c>
      <c r="M99" s="35" t="e">
        <f>'Ch41 Calc Data'!L17*100</f>
        <v>#REF!</v>
      </c>
      <c r="O99" s="35" t="e">
        <f>O74*80</f>
        <v>#REF!</v>
      </c>
      <c r="Q99" s="1616" t="e">
        <f>'Ch41 Calc Data'!L17*100</f>
        <v>#REF!</v>
      </c>
      <c r="S99" s="744" t="e">
        <f>S74*80</f>
        <v>#DIV/0!</v>
      </c>
      <c r="T99" s="743"/>
      <c r="U99" s="744">
        <f>'Ch41 Calc Data'!M17*100</f>
        <v>0</v>
      </c>
      <c r="V99" s="743"/>
      <c r="W99" s="744">
        <f>W74*80</f>
        <v>0</v>
      </c>
      <c r="X99" s="743"/>
      <c r="Y99" s="1092">
        <f>'Ch41 Calc Data'!M17*100</f>
        <v>0</v>
      </c>
      <c r="AA99" s="1862" t="e">
        <f>AA74*80</f>
        <v>#DIV/0!</v>
      </c>
      <c r="AB99" s="1853"/>
      <c r="AC99" s="1862">
        <f>'Ch41 Calc Data'!N17*100</f>
        <v>0</v>
      </c>
      <c r="AD99" s="1853"/>
      <c r="AE99" s="1862">
        <f>AE74*80</f>
        <v>0</v>
      </c>
      <c r="AF99" s="1853"/>
      <c r="AG99" s="1869">
        <f>'Ch41 Calc Data'!N17*100</f>
        <v>0</v>
      </c>
      <c r="AH99" s="779"/>
      <c r="AI99" s="873" t="e">
        <f>AI74*80</f>
        <v>#DIV/0!</v>
      </c>
      <c r="AJ99" s="779"/>
      <c r="AK99" s="873" t="e">
        <f>'Ch41 Calc Data'!O17*100</f>
        <v>#DIV/0!</v>
      </c>
      <c r="AL99" s="779"/>
      <c r="AM99" s="873">
        <f>AM74*80</f>
        <v>0</v>
      </c>
      <c r="AN99" s="779"/>
      <c r="AO99" s="1656" t="e">
        <f>'Ch41 Calc Data'!O17*100</f>
        <v>#DIV/0!</v>
      </c>
      <c r="AQ99" s="1893" t="e">
        <f>AQ74*80</f>
        <v>#DIV/0!</v>
      </c>
      <c r="AS99" s="1893" t="e">
        <f>'Ch41 Calc Data'!P17*100</f>
        <v>#DIV/0!</v>
      </c>
      <c r="AU99" s="1893">
        <f>AU74*80</f>
        <v>0</v>
      </c>
      <c r="AW99" s="1902" t="e">
        <f>'Ch41 Calc Data'!P17*100</f>
        <v>#DIV/0!</v>
      </c>
      <c r="AY99" s="1516" t="e">
        <f>AY74*80</f>
        <v>#DIV/0!</v>
      </c>
      <c r="AZ99" s="1516"/>
      <c r="BA99" s="1516" t="e">
        <f>'Ch41 Calc Data'!Q17*100</f>
        <v>#DIV/0!</v>
      </c>
      <c r="BB99" s="1516"/>
      <c r="BC99" s="1516">
        <f>BC74*80</f>
        <v>0</v>
      </c>
      <c r="BD99" s="1516"/>
      <c r="BE99" s="1660" t="e">
        <f>'Ch41 Calc Data'!Q17*100</f>
        <v>#DIV/0!</v>
      </c>
      <c r="BG99" s="1915" t="e">
        <f>BG74*80</f>
        <v>#DIV/0!</v>
      </c>
      <c r="BH99" s="1915"/>
      <c r="BI99" s="1915" t="e">
        <f>'Ch41 Calc Data'!R17*100</f>
        <v>#DIV/0!</v>
      </c>
      <c r="BJ99" s="1915"/>
      <c r="BK99" s="1915">
        <f>BK74*80</f>
        <v>0</v>
      </c>
      <c r="BL99" s="1915"/>
      <c r="BM99" s="1923" t="e">
        <f>'Ch41 Calc Data'!R17*100</f>
        <v>#DIV/0!</v>
      </c>
      <c r="BO99" s="1512" t="e">
        <f>BO43*80</f>
        <v>#REF!</v>
      </c>
      <c r="BP99" s="1512" t="e">
        <f>'Ch41 Calc Data'!M20*100</f>
        <v>#REF!</v>
      </c>
      <c r="BQ99" s="1512">
        <f>BQ43*80</f>
        <v>0</v>
      </c>
      <c r="BR99" s="1512" t="e">
        <f>'Ch41 Calc Data'!M20*100</f>
        <v>#REF!</v>
      </c>
    </row>
    <row r="100" spans="3:70">
      <c r="C100" s="2392"/>
      <c r="D100" s="2392"/>
      <c r="E100" s="2392"/>
      <c r="F100" s="2392"/>
      <c r="G100" s="2392"/>
      <c r="H100" s="2392"/>
      <c r="I100" s="2393"/>
      <c r="Q100" s="1616"/>
      <c r="S100" s="743"/>
      <c r="T100" s="743"/>
      <c r="U100" s="743"/>
      <c r="V100" s="743"/>
      <c r="W100" s="743"/>
      <c r="X100" s="743"/>
      <c r="Y100" s="1091"/>
      <c r="AA100" s="1853"/>
      <c r="AB100" s="1853"/>
      <c r="AC100" s="1853"/>
      <c r="AD100" s="1853"/>
      <c r="AE100" s="1853"/>
      <c r="AF100" s="1853"/>
      <c r="AG100" s="1854"/>
      <c r="AH100" s="779"/>
      <c r="AI100" s="779"/>
      <c r="AJ100" s="779"/>
      <c r="AK100" s="779"/>
      <c r="AL100" s="779"/>
      <c r="AM100" s="779"/>
      <c r="AN100" s="779"/>
      <c r="AO100" s="1655"/>
      <c r="AW100" s="1873"/>
      <c r="AY100" s="1516"/>
      <c r="AZ100" s="1516"/>
      <c r="BA100" s="1516"/>
      <c r="BB100" s="1516"/>
      <c r="BC100" s="1516"/>
      <c r="BD100" s="1516"/>
      <c r="BE100" s="1660"/>
      <c r="BG100" s="1915"/>
      <c r="BH100" s="1915"/>
      <c r="BI100" s="1915"/>
      <c r="BJ100" s="1915"/>
      <c r="BK100" s="1915"/>
      <c r="BL100" s="1915"/>
      <c r="BM100" s="1923"/>
      <c r="BO100" s="1472"/>
      <c r="BP100" s="1472"/>
      <c r="BQ100" s="1422"/>
      <c r="BR100" s="1422"/>
    </row>
    <row r="101" spans="3:70">
      <c r="C101" s="2392"/>
      <c r="D101" s="2392"/>
      <c r="E101" s="2392">
        <f>IF('Data Entry - SOF'!C137=0,0,'Data Entry - SOF'!C136*(E79/'Data Entry - SOF'!C93))</f>
        <v>0</v>
      </c>
      <c r="F101" s="2392"/>
      <c r="G101" s="2392"/>
      <c r="H101" s="2392"/>
      <c r="I101" s="2393">
        <f>IF('Data Entry - SOF'!C137=0,0,IF(I72=0,0,'Data Entry - SOF'!C136*(I79/'Data Entry - SOF'!C93)))</f>
        <v>0</v>
      </c>
      <c r="M101" s="35" t="e">
        <f>IF('Data Entry - SOF'!#REF!=0,0,'Data Entry - SOF'!#REF!*(M79/'Data Entry - SOF'!#REF!))</f>
        <v>#REF!</v>
      </c>
      <c r="Q101" s="1616" t="e">
        <f>IF('Data Entry - SOF'!#REF!=0,0,IF(Q72=0,0,'Data Entry - SOF'!#REF!*(Q79/'Data Entry - SOF'!#REF!)))</f>
        <v>#REF!</v>
      </c>
      <c r="S101" s="743"/>
      <c r="T101" s="743"/>
      <c r="U101" s="743">
        <f>IF('Data Entry - SOF'!E137=0,0,'Data Entry - SOF'!E136*(U79/'Data Entry - SOF'!E93))</f>
        <v>0</v>
      </c>
      <c r="V101" s="743"/>
      <c r="W101" s="743"/>
      <c r="X101" s="743"/>
      <c r="Y101" s="1091">
        <f>IF('Data Entry - SOF'!E137=0,0,IF(Y72=0,0,'Data Entry - SOF'!E136*(Y79/'Data Entry - SOF'!E93)))</f>
        <v>0</v>
      </c>
      <c r="AA101" s="1853"/>
      <c r="AB101" s="1853"/>
      <c r="AC101" s="1853">
        <f>IF('Data Entry - SOF'!K137=0,0,'Data Entry - SOF'!K136*(AC79/'Data Entry - SOF'!K93))</f>
        <v>0</v>
      </c>
      <c r="AD101" s="1853"/>
      <c r="AE101" s="1853"/>
      <c r="AF101" s="1853"/>
      <c r="AG101" s="1854">
        <f>IF('Data Entry - SOF'!K137=0,0,IF(AG72=0,0,'Data Entry - SOF'!K136*(AG79/'Data Entry - SOF'!K93)))</f>
        <v>0</v>
      </c>
      <c r="AH101" s="779"/>
      <c r="AI101" s="779"/>
      <c r="AJ101" s="779"/>
      <c r="AK101" s="779">
        <f>IF('Data Entry - SOF'!M137=0,0,'Data Entry - SOF'!M136*(AK79/'Data Entry - SOF'!M93))</f>
        <v>0</v>
      </c>
      <c r="AL101" s="779"/>
      <c r="AM101" s="779"/>
      <c r="AN101" s="779"/>
      <c r="AO101" s="1655">
        <f>IF('Data Entry - SOF'!M137=0,0,IF(AO72=0,0,'Data Entry - SOF'!M136*(AO79/'Data Entry - SOF'!M93)))</f>
        <v>0</v>
      </c>
      <c r="AS101" s="1872">
        <f>IF('Data Entry - SOF'!O137=0,0,'Data Entry - SOF'!O136*(AS79/'Data Entry - SOF'!O93))</f>
        <v>0</v>
      </c>
      <c r="AW101" s="1873">
        <f>IF('Data Entry - SOF'!O137=0,0,IF(AW72=0,0,'Data Entry - SOF'!O136*(AW79/'Data Entry - SOF'!O93)))</f>
        <v>0</v>
      </c>
      <c r="AY101" s="1516"/>
      <c r="AZ101" s="1516"/>
      <c r="BA101" s="1516">
        <f>IF('Data Entry - SOF'!Q137=0,0,'Data Entry - SOF'!Q136*(BA79/'Data Entry - SOF'!Q93))</f>
        <v>0</v>
      </c>
      <c r="BB101" s="1516"/>
      <c r="BC101" s="1516"/>
      <c r="BD101" s="1516"/>
      <c r="BE101" s="1660">
        <f>IF('Data Entry - SOF'!Q137=0,0,IF(BE72=0,0,'Data Entry - SOF'!Q136*(BE79/'Data Entry - SOF'!Q93)))</f>
        <v>0</v>
      </c>
      <c r="BG101" s="1915"/>
      <c r="BH101" s="1915"/>
      <c r="BI101" s="1915">
        <f>IF('Data Entry - SOF'!S137=0,0,'Data Entry - SOF'!S136*(BI79/'Data Entry - SOF'!S93))</f>
        <v>0</v>
      </c>
      <c r="BJ101" s="1915"/>
      <c r="BK101" s="1915"/>
      <c r="BL101" s="1915"/>
      <c r="BM101" s="1923">
        <f>IF('Data Entry - SOF'!S137=0,0,IF(BM72=0,0,'Data Entry - SOF'!S136*(BM79/'Data Entry - SOF'!S93)))</f>
        <v>0</v>
      </c>
      <c r="BO101" s="1472"/>
      <c r="BP101" s="1472">
        <f>IF('Data Entry - SOF'!E137=0,0,'Data Entry - SOF'!E136*(BP42/BP41))</f>
        <v>0</v>
      </c>
      <c r="BQ101" s="1422"/>
      <c r="BR101" s="1422">
        <f>IF('Data Entry - SOF'!E137=0,0,IF(BR72=0,0,'Data Entry - SOF'!E136*(BR79/'Data Entry - SOF'!E93)))</f>
        <v>0</v>
      </c>
    </row>
    <row r="102" spans="3:70">
      <c r="I102" s="2070"/>
      <c r="Q102" s="1616"/>
      <c r="Y102" s="1093"/>
      <c r="AG102" s="1818"/>
      <c r="AO102" s="1642"/>
      <c r="AW102" s="1873"/>
      <c r="AY102" s="1516"/>
      <c r="AZ102" s="1516"/>
      <c r="BA102" s="1516"/>
      <c r="BB102" s="1516"/>
      <c r="BC102" s="1516"/>
      <c r="BD102" s="1516"/>
      <c r="BE102" s="1660"/>
      <c r="BG102" s="1915"/>
      <c r="BH102" s="1915"/>
      <c r="BI102" s="1915"/>
      <c r="BJ102" s="1915"/>
      <c r="BK102" s="1915"/>
      <c r="BL102" s="1915"/>
      <c r="BM102" s="1923"/>
      <c r="BO102" s="1422"/>
      <c r="BP102" s="1422"/>
      <c r="BQ102" s="1422"/>
      <c r="BR102" s="1422"/>
    </row>
    <row r="103" spans="3:70">
      <c r="I103" s="2070"/>
      <c r="Q103" s="1616"/>
      <c r="Y103" s="1093"/>
      <c r="AG103" s="1818"/>
      <c r="AO103" s="1642"/>
      <c r="AW103" s="1873"/>
      <c r="AY103" s="1516"/>
      <c r="AZ103" s="1516"/>
      <c r="BA103" s="1516"/>
      <c r="BB103" s="1516"/>
      <c r="BC103" s="1516"/>
      <c r="BD103" s="1516"/>
      <c r="BE103" s="1660"/>
      <c r="BG103" s="1915"/>
      <c r="BH103" s="1915"/>
      <c r="BI103" s="1915"/>
      <c r="BJ103" s="1915"/>
      <c r="BK103" s="1915"/>
      <c r="BL103" s="1915"/>
      <c r="BM103" s="1923"/>
      <c r="BO103" s="1422"/>
      <c r="BP103" s="1422"/>
      <c r="BQ103" s="1422"/>
      <c r="BR103" s="1422"/>
    </row>
    <row r="109" spans="3:70" hidden="1">
      <c r="K109" s="35" t="e">
        <f>K66*'Notice Calc1920'!G44</f>
        <v>#REF!</v>
      </c>
    </row>
    <row r="110" spans="3:70" hidden="1">
      <c r="K110" s="35" t="e">
        <f>K74</f>
        <v>#REF!</v>
      </c>
    </row>
    <row r="111" spans="3:70" hidden="1">
      <c r="K111" s="35" t="e">
        <f>IF(K110=0,0,IF(K109/K110&lt;3147,3147,K109/K110))</f>
        <v>#REF!</v>
      </c>
    </row>
    <row r="112" spans="3:70" hidden="1">
      <c r="K112" s="35" t="e">
        <f>IF(OR('Data Entry - SOF'!#REF!=0,K111=0),0,IF('Data Entry - SOF'!#REF!&gt;K111,(K111*'Data Entry - SOF'!#REF!)/K111,('Data Entry - SOF'!#REF!*'Data Entry - SOF'!#REF!)/K111))</f>
        <v>#REF!</v>
      </c>
    </row>
    <row r="113" spans="11:11" hidden="1">
      <c r="K113" s="35" t="e">
        <f>IF(OR('Data Entry - SOF'!#REF!=0,K111=0),0,IF(K111&lt;=0,0,'Report-SOF1718'!D51/K111))</f>
        <v>#REF!</v>
      </c>
    </row>
    <row r="114" spans="11:11" hidden="1">
      <c r="K114" s="35" t="e">
        <f>IF(K110-K112-K113&lt;0,0,K110-K112-K113)</f>
        <v>#REF!</v>
      </c>
    </row>
    <row r="115" spans="11:11" hidden="1">
      <c r="K115" s="35" t="e">
        <f>IF(K114=0,0,K114*K111)</f>
        <v>#REF!</v>
      </c>
    </row>
    <row r="116" spans="11:11" hidden="1"/>
    <row r="117" spans="11:11" hidden="1">
      <c r="K117" s="35" t="e">
        <f>IF(K126&gt;K127,K127,K126)</f>
        <v>#REF!</v>
      </c>
    </row>
    <row r="118" spans="11:11" hidden="1">
      <c r="K118" s="35" t="e">
        <f>'Data Entry - SOF'!#REF!*(K109/'Data Entry - SOF'!#REF!)</f>
        <v>#REF!</v>
      </c>
    </row>
    <row r="119" spans="11:11" hidden="1"/>
    <row r="120" spans="11:11" hidden="1">
      <c r="K120" s="35" t="e">
        <f>IF(K115-K117-K118&lt;0,0,K115-K117-K118)</f>
        <v>#REF!</v>
      </c>
    </row>
    <row r="121" spans="11:11" hidden="1"/>
    <row r="125" spans="11:11" hidden="1"/>
    <row r="126" spans="11:11" hidden="1">
      <c r="K126" s="35" t="e">
        <f>K115*0.04</f>
        <v>#REF!</v>
      </c>
    </row>
    <row r="127" spans="11:11" hidden="1">
      <c r="K127" s="35" t="e">
        <f>K110*80</f>
        <v>#REF!</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703125" customWidth="1"/>
    <col min="2" max="2" width="36.42578125" customWidth="1"/>
    <col min="3" max="3" width="12.85546875" style="399" customWidth="1"/>
    <col min="4" max="4" width="29.5703125" customWidth="1"/>
    <col min="5" max="5" width="23.42578125" customWidth="1"/>
  </cols>
  <sheetData>
    <row r="1" spans="1:5">
      <c r="A1" s="380" t="s">
        <v>2993</v>
      </c>
      <c r="B1" s="380"/>
      <c r="E1" s="754" t="str">
        <f>'Report-FSF2021'!E1</f>
        <v>Release 10</v>
      </c>
    </row>
    <row r="2" spans="1:5">
      <c r="A2" s="380" t="s">
        <v>2994</v>
      </c>
      <c r="B2" s="380"/>
      <c r="E2" s="72">
        <f>'Report-FSF2021'!E2</f>
        <v>43724</v>
      </c>
    </row>
    <row r="3" spans="1:5">
      <c r="A3" s="64"/>
      <c r="B3" s="64"/>
      <c r="E3" s="58">
        <f>'Data Entry - SOF'!O3</f>
        <v>0</v>
      </c>
    </row>
    <row r="4" spans="1:5" ht="15.75">
      <c r="A4" s="381" t="s">
        <v>6883</v>
      </c>
      <c r="B4" s="381"/>
    </row>
    <row r="5" spans="1:5" ht="15.75">
      <c r="A5" s="383">
        <f>'Data Entry - SOF'!B1</f>
        <v>0</v>
      </c>
      <c r="B5" s="383"/>
    </row>
    <row r="6" spans="1:5" ht="15.75">
      <c r="A6" s="381">
        <f>'Data Entry - SOF'!B2</f>
        <v>0</v>
      </c>
      <c r="B6" s="381"/>
    </row>
    <row r="8" spans="1:5" ht="18">
      <c r="A8" s="529"/>
      <c r="B8" s="530"/>
      <c r="C8" s="531"/>
      <c r="D8" s="532" t="s">
        <v>2797</v>
      </c>
      <c r="E8" s="532" t="s">
        <v>2798</v>
      </c>
    </row>
    <row r="9" spans="1:5" ht="18">
      <c r="A9" s="526"/>
      <c r="B9" s="537" t="s">
        <v>2796</v>
      </c>
      <c r="C9" s="566" t="s">
        <v>2782</v>
      </c>
      <c r="D9" s="533" t="s">
        <v>2783</v>
      </c>
      <c r="E9" s="533" t="s">
        <v>2797</v>
      </c>
    </row>
    <row r="10" spans="1:5" ht="15">
      <c r="A10" s="385" t="s">
        <v>2186</v>
      </c>
      <c r="B10" s="386" t="s">
        <v>2784</v>
      </c>
      <c r="C10" s="401">
        <f>Weights!M10</f>
        <v>5</v>
      </c>
      <c r="D10" s="387">
        <f>'Data Entry - SOF'!O23</f>
        <v>0</v>
      </c>
      <c r="E10" s="391">
        <f>D10*C10</f>
        <v>0</v>
      </c>
    </row>
    <row r="11" spans="1:5" ht="15">
      <c r="A11" s="385" t="s">
        <v>2187</v>
      </c>
      <c r="B11" s="386" t="s">
        <v>2785</v>
      </c>
      <c r="C11" s="401">
        <f>Weights!M11</f>
        <v>3</v>
      </c>
      <c r="D11" s="387">
        <f>'Data Entry - SOF'!O24</f>
        <v>0</v>
      </c>
      <c r="E11" s="391">
        <f t="shared" ref="E11:E19" si="0">D11*C11</f>
        <v>0</v>
      </c>
    </row>
    <row r="12" spans="1:5" ht="15">
      <c r="A12" s="385" t="s">
        <v>2188</v>
      </c>
      <c r="B12" s="386" t="s">
        <v>2786</v>
      </c>
      <c r="C12" s="401">
        <f>Weights!M12</f>
        <v>5</v>
      </c>
      <c r="D12" s="387">
        <f>'Data Entry - SOF'!O25</f>
        <v>0</v>
      </c>
      <c r="E12" s="391">
        <f t="shared" si="0"/>
        <v>0</v>
      </c>
    </row>
    <row r="13" spans="1:5" ht="15">
      <c r="A13" s="385" t="s">
        <v>909</v>
      </c>
      <c r="B13" s="386" t="s">
        <v>2787</v>
      </c>
      <c r="C13" s="401">
        <f>Weights!M13</f>
        <v>3</v>
      </c>
      <c r="D13" s="387">
        <f>'Data Entry - SOF'!O26</f>
        <v>0</v>
      </c>
      <c r="E13" s="391">
        <f t="shared" si="0"/>
        <v>0</v>
      </c>
    </row>
    <row r="14" spans="1:5" ht="15">
      <c r="A14" s="418"/>
      <c r="B14" s="402" t="s">
        <v>2788</v>
      </c>
      <c r="C14" s="397"/>
      <c r="D14" s="403"/>
      <c r="E14" s="406"/>
    </row>
    <row r="15" spans="1:5" ht="15">
      <c r="A15" s="551" t="s">
        <v>910</v>
      </c>
      <c r="B15" s="404" t="s">
        <v>2789</v>
      </c>
      <c r="C15" s="398">
        <f>Weights!M14</f>
        <v>3</v>
      </c>
      <c r="D15" s="405">
        <f>'Data Entry - SOF'!O27</f>
        <v>0</v>
      </c>
      <c r="E15" s="405">
        <f t="shared" si="0"/>
        <v>0</v>
      </c>
    </row>
    <row r="16" spans="1:5" ht="15">
      <c r="A16" s="385" t="s">
        <v>912</v>
      </c>
      <c r="B16" s="386" t="s">
        <v>2790</v>
      </c>
      <c r="C16" s="401">
        <f>Weights!M15</f>
        <v>2.7</v>
      </c>
      <c r="D16" s="391">
        <f>'Data Entry - SOF'!O28</f>
        <v>0</v>
      </c>
      <c r="E16" s="391">
        <f t="shared" si="0"/>
        <v>0</v>
      </c>
    </row>
    <row r="17" spans="1:5" ht="15">
      <c r="A17" s="385" t="s">
        <v>913</v>
      </c>
      <c r="B17" s="386" t="s">
        <v>2791</v>
      </c>
      <c r="C17" s="401">
        <f>Weights!M16</f>
        <v>2.2999999999999998</v>
      </c>
      <c r="D17" s="391">
        <f>'Data Entry - SOF'!O29</f>
        <v>0</v>
      </c>
      <c r="E17" s="391">
        <f t="shared" si="0"/>
        <v>0</v>
      </c>
    </row>
    <row r="18" spans="1:5" ht="15">
      <c r="A18" s="385" t="s">
        <v>914</v>
      </c>
      <c r="B18" s="386" t="s">
        <v>2792</v>
      </c>
      <c r="C18" s="401">
        <f>Weights!M17</f>
        <v>2.8</v>
      </c>
      <c r="D18" s="391">
        <f>'Data Entry - SOF'!O30</f>
        <v>0</v>
      </c>
      <c r="E18" s="391">
        <f t="shared" si="0"/>
        <v>0</v>
      </c>
    </row>
    <row r="19" spans="1:5" ht="15">
      <c r="A19" s="385" t="s">
        <v>118</v>
      </c>
      <c r="B19" s="386" t="s">
        <v>2793</v>
      </c>
      <c r="C19" s="401">
        <f>Weights!M19</f>
        <v>4</v>
      </c>
      <c r="D19" s="391">
        <f>'Data Entry - SOF'!O32</f>
        <v>0</v>
      </c>
      <c r="E19" s="391">
        <f t="shared" si="0"/>
        <v>0</v>
      </c>
    </row>
    <row r="20" spans="1:5" ht="15.75">
      <c r="A20" s="385" t="s">
        <v>119</v>
      </c>
      <c r="B20" s="386" t="s">
        <v>2799</v>
      </c>
      <c r="C20" s="401" t="s">
        <v>1775</v>
      </c>
      <c r="D20" s="391">
        <f>'Calc Data'!H8</f>
        <v>0</v>
      </c>
      <c r="E20" s="401" t="s">
        <v>1775</v>
      </c>
    </row>
    <row r="21" spans="1:5" ht="15">
      <c r="A21" s="385" t="s">
        <v>120</v>
      </c>
      <c r="B21" s="386" t="s">
        <v>2794</v>
      </c>
      <c r="C21" s="401" t="s">
        <v>1775</v>
      </c>
      <c r="D21" s="401" t="s">
        <v>1775</v>
      </c>
      <c r="E21" s="391">
        <f>SUM(E10:E19)</f>
        <v>0</v>
      </c>
    </row>
    <row r="22" spans="1:5" ht="15">
      <c r="A22" s="385" t="s">
        <v>121</v>
      </c>
      <c r="B22" s="386" t="s">
        <v>2795</v>
      </c>
      <c r="C22" s="401">
        <f>Weights!M18</f>
        <v>1.7</v>
      </c>
      <c r="D22" s="391">
        <f>'Data Entry - SOF'!O31</f>
        <v>0</v>
      </c>
      <c r="E22" s="401" t="s">
        <v>1775</v>
      </c>
    </row>
    <row r="23" spans="1:5" ht="15">
      <c r="A23" s="385" t="s">
        <v>1513</v>
      </c>
      <c r="B23" s="386" t="s">
        <v>538</v>
      </c>
      <c r="C23" s="401">
        <f>Weights!M21</f>
        <v>1.1000000000000001</v>
      </c>
      <c r="D23" s="391">
        <f>'Data Entry - SOF'!O34</f>
        <v>0</v>
      </c>
      <c r="E23" s="401" t="s">
        <v>1775</v>
      </c>
    </row>
    <row r="24" spans="1:5" s="382" customFormat="1" ht="15.75">
      <c r="C24" s="477" t="s">
        <v>2978</v>
      </c>
      <c r="D24" s="1306" t="s">
        <v>6873</v>
      </c>
    </row>
    <row r="25" spans="1:5" s="382" customFormat="1" ht="15">
      <c r="C25" s="475"/>
      <c r="D25"/>
    </row>
    <row r="27" spans="1:5" ht="15">
      <c r="A27" s="407" t="s">
        <v>3113</v>
      </c>
    </row>
  </sheetData>
  <hyperlinks>
    <hyperlink ref="D24" location="'Report-SOF2122'!A1" display="'Report-SOF2122'!A1"/>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85546875" customWidth="1"/>
    <col min="2" max="2" width="83.140625" customWidth="1"/>
    <col min="3" max="3" width="24" customWidth="1"/>
  </cols>
  <sheetData>
    <row r="1" spans="1:3">
      <c r="A1" s="380" t="s">
        <v>2993</v>
      </c>
      <c r="C1" s="754" t="str">
        <f>'Report-SpEd1920'!E1</f>
        <v>Release 10</v>
      </c>
    </row>
    <row r="2" spans="1:3">
      <c r="A2" s="380" t="s">
        <v>2994</v>
      </c>
      <c r="C2" s="72">
        <f>'Report-SpEd1920'!E2</f>
        <v>43724</v>
      </c>
    </row>
    <row r="3" spans="1:3">
      <c r="A3" s="64"/>
      <c r="C3" s="58">
        <f>'Report-SpEd1920'!E3</f>
        <v>0</v>
      </c>
    </row>
    <row r="4" spans="1:3" ht="15.75">
      <c r="A4" s="381" t="s">
        <v>6884</v>
      </c>
    </row>
    <row r="5" spans="1:3" ht="15.75">
      <c r="A5" s="383">
        <f>'Data Entry - SOF'!B1</f>
        <v>0</v>
      </c>
    </row>
    <row r="6" spans="1:3" ht="15.75">
      <c r="A6" s="381">
        <f>'Data Entry - SOF'!B2</f>
        <v>0</v>
      </c>
    </row>
    <row r="7" spans="1:3" ht="15.75">
      <c r="A7" s="381"/>
    </row>
    <row r="9" spans="1:3" ht="18">
      <c r="A9" s="534"/>
      <c r="B9" s="535"/>
      <c r="C9" s="532" t="s">
        <v>2715</v>
      </c>
    </row>
    <row r="10" spans="1:3" ht="18">
      <c r="A10" s="557" t="s">
        <v>2800</v>
      </c>
      <c r="B10" s="537"/>
      <c r="C10" s="533" t="s">
        <v>2805</v>
      </c>
    </row>
    <row r="11" spans="1:3" ht="15">
      <c r="A11" s="400" t="s">
        <v>2186</v>
      </c>
      <c r="B11" s="386" t="s">
        <v>6885</v>
      </c>
      <c r="C11" s="390">
        <f>'Data Entry - SOF'!O93</f>
        <v>0</v>
      </c>
    </row>
    <row r="12" spans="1:3" ht="15">
      <c r="A12" s="400" t="s">
        <v>2187</v>
      </c>
      <c r="B12" s="386" t="s">
        <v>6886</v>
      </c>
      <c r="C12" s="390">
        <f>'IFA-OldLaw'!Y79</f>
        <v>0</v>
      </c>
    </row>
    <row r="13" spans="1:3" ht="15">
      <c r="A13" s="400" t="s">
        <v>2188</v>
      </c>
      <c r="B13" s="386" t="s">
        <v>6887</v>
      </c>
      <c r="C13" s="496" t="s">
        <v>3028</v>
      </c>
    </row>
    <row r="14" spans="1:3" ht="15.75">
      <c r="A14" s="400" t="s">
        <v>909</v>
      </c>
      <c r="B14" s="384" t="s">
        <v>6888</v>
      </c>
      <c r="C14" s="395">
        <f>'Calc Data'!H47</f>
        <v>0</v>
      </c>
    </row>
    <row r="15" spans="1:3" ht="15">
      <c r="A15" s="400" t="s">
        <v>910</v>
      </c>
      <c r="B15" s="386" t="s">
        <v>6889</v>
      </c>
      <c r="C15" s="408">
        <f>'Data Entry - SOF'!O92</f>
        <v>1.17</v>
      </c>
    </row>
    <row r="16" spans="1:3" ht="15">
      <c r="A16" s="400" t="s">
        <v>912</v>
      </c>
      <c r="B16" s="386" t="s">
        <v>2801</v>
      </c>
      <c r="C16" s="390">
        <f>'Calc Data'!H29</f>
        <v>0</v>
      </c>
    </row>
    <row r="17" spans="1:3" ht="15">
      <c r="A17" s="400" t="s">
        <v>913</v>
      </c>
      <c r="B17" s="386" t="s">
        <v>2724</v>
      </c>
      <c r="C17" s="408">
        <f>'Data Entry - SOF'!C161</f>
        <v>0</v>
      </c>
    </row>
    <row r="18" spans="1:3" ht="15">
      <c r="A18" s="400" t="s">
        <v>914</v>
      </c>
      <c r="B18" s="386" t="s">
        <v>2809</v>
      </c>
      <c r="C18" s="390">
        <f>'Calc Data'!AT32</f>
        <v>0</v>
      </c>
    </row>
    <row r="19" spans="1:3" ht="15">
      <c r="A19" s="400" t="s">
        <v>118</v>
      </c>
      <c r="B19" s="386" t="s">
        <v>2802</v>
      </c>
      <c r="C19" s="408" t="e">
        <f>'Calc Data'!H35</f>
        <v>#DIV/0!</v>
      </c>
    </row>
    <row r="20" spans="1:3" ht="15">
      <c r="A20" s="400" t="s">
        <v>119</v>
      </c>
      <c r="B20" s="386" t="s">
        <v>2803</v>
      </c>
      <c r="C20" s="390">
        <f>'Calc Data'!H34</f>
        <v>0</v>
      </c>
    </row>
    <row r="21" spans="1:3" ht="15">
      <c r="A21" s="400" t="s">
        <v>120</v>
      </c>
      <c r="B21" s="386" t="s">
        <v>2804</v>
      </c>
      <c r="C21" s="390">
        <f>'Calc Data'!AT31</f>
        <v>0</v>
      </c>
    </row>
    <row r="22" spans="1:3" ht="15">
      <c r="A22" s="400" t="s">
        <v>121</v>
      </c>
      <c r="B22" s="386" t="s">
        <v>2808</v>
      </c>
      <c r="C22" s="408" t="e">
        <f>'Calc Data'!H38</f>
        <v>#DIV/0!</v>
      </c>
    </row>
    <row r="23" spans="1:3" s="382" customFormat="1" ht="15.75">
      <c r="B23" s="477" t="s">
        <v>2978</v>
      </c>
      <c r="C23" s="1306" t="s">
        <v>6873</v>
      </c>
    </row>
    <row r="26" spans="1:3" ht="15.75">
      <c r="B26" s="325" t="s">
        <v>3030</v>
      </c>
    </row>
    <row r="27" spans="1:3" ht="15.75">
      <c r="B27" s="325" t="s">
        <v>3029</v>
      </c>
    </row>
  </sheetData>
  <hyperlinks>
    <hyperlink ref="C23" location="'Report-SOF2122'!A1" display="'Report-SOF2122'!A1"/>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0" sqref="D20"/>
    </sheetView>
  </sheetViews>
  <sheetFormatPr defaultRowHeight="12.75"/>
  <cols>
    <col min="1" max="1" width="4" customWidth="1"/>
    <col min="2" max="2" width="71.85546875" customWidth="1"/>
    <col min="3" max="3" width="5.5703125" customWidth="1"/>
    <col min="4" max="4" width="23" customWidth="1"/>
  </cols>
  <sheetData>
    <row r="1" spans="1:4">
      <c r="A1" s="380" t="s">
        <v>2993</v>
      </c>
      <c r="D1" s="754" t="str">
        <f>'Report-M&amp;O1920'!C1</f>
        <v>Release 10</v>
      </c>
    </row>
    <row r="2" spans="1:4">
      <c r="A2" s="380" t="s">
        <v>2994</v>
      </c>
      <c r="D2" s="72">
        <f>'Report-M&amp;O1920'!C2</f>
        <v>43724</v>
      </c>
    </row>
    <row r="3" spans="1:4">
      <c r="A3" s="64"/>
      <c r="D3" s="58">
        <f>'Report-M&amp;O1920'!C3</f>
        <v>0</v>
      </c>
    </row>
    <row r="4" spans="1:4" ht="15.75">
      <c r="A4" s="381" t="s">
        <v>6890</v>
      </c>
    </row>
    <row r="5" spans="1:4" ht="15.75">
      <c r="A5" s="383">
        <f>'Data Entry - SOF'!B1</f>
        <v>0</v>
      </c>
    </row>
    <row r="6" spans="1:4" ht="15.75">
      <c r="A6" s="381">
        <f>'Data Entry - SOF'!B2</f>
        <v>0</v>
      </c>
    </row>
    <row r="9" spans="1:4" ht="18">
      <c r="A9" s="266"/>
      <c r="B9" s="409" t="s">
        <v>939</v>
      </c>
      <c r="C9" s="410">
        <f>'Data Entry - SOF'!O156</f>
        <v>0</v>
      </c>
      <c r="D9" s="266"/>
    </row>
    <row r="10" spans="1:4" ht="18">
      <c r="A10" s="266"/>
      <c r="B10" s="409" t="s">
        <v>2810</v>
      </c>
      <c r="C10" s="409" t="str">
        <f>'Data Entry - SOF'!O221</f>
        <v>No</v>
      </c>
      <c r="D10" s="266"/>
    </row>
    <row r="11" spans="1:4" ht="18">
      <c r="A11" s="266"/>
      <c r="B11" s="409" t="s">
        <v>2811</v>
      </c>
      <c r="C11" s="409" t="str">
        <f>'Data Entry - SOF'!O222</f>
        <v>No</v>
      </c>
      <c r="D11" s="266"/>
    </row>
    <row r="12" spans="1:4" ht="18">
      <c r="A12" s="266"/>
      <c r="B12" s="409"/>
      <c r="C12" s="409"/>
      <c r="D12" s="266"/>
    </row>
    <row r="13" spans="1:4" ht="18">
      <c r="A13" s="529"/>
      <c r="B13" s="524"/>
      <c r="C13" s="525"/>
      <c r="D13" s="532" t="s">
        <v>2818</v>
      </c>
    </row>
    <row r="14" spans="1:4" ht="18">
      <c r="A14" s="552" t="s">
        <v>2812</v>
      </c>
      <c r="B14" s="537"/>
      <c r="C14" s="528"/>
      <c r="D14" s="533" t="s">
        <v>2805</v>
      </c>
    </row>
    <row r="15" spans="1:4" ht="15">
      <c r="A15" s="385" t="s">
        <v>2186</v>
      </c>
      <c r="B15" s="386" t="s">
        <v>2813</v>
      </c>
      <c r="C15" s="386"/>
      <c r="D15" s="390">
        <f>'Calc Data'!AT19</f>
        <v>5140</v>
      </c>
    </row>
    <row r="16" spans="1:4" ht="15">
      <c r="A16" s="385" t="s">
        <v>2187</v>
      </c>
      <c r="B16" s="386" t="s">
        <v>2814</v>
      </c>
      <c r="C16" s="386"/>
      <c r="D16" s="390">
        <f>'Calc Data'!AT20</f>
        <v>1491</v>
      </c>
    </row>
    <row r="17" spans="1:4" ht="15">
      <c r="A17" s="385" t="s">
        <v>2188</v>
      </c>
      <c r="B17" s="386" t="s">
        <v>2815</v>
      </c>
      <c r="C17" s="386"/>
      <c r="D17" s="411" t="str">
        <f>'Calc Data'!H49</f>
        <v>N/A</v>
      </c>
    </row>
    <row r="18" spans="1:4" ht="15">
      <c r="A18" s="385" t="s">
        <v>909</v>
      </c>
      <c r="B18" s="386" t="s">
        <v>2816</v>
      </c>
      <c r="C18" s="386"/>
      <c r="D18" s="483" t="str">
        <f>'Calc Data'!H50</f>
        <v>N/A</v>
      </c>
    </row>
    <row r="19" spans="1:4" ht="15">
      <c r="A19" s="385" t="s">
        <v>910</v>
      </c>
      <c r="B19" s="386" t="s">
        <v>2817</v>
      </c>
      <c r="C19" s="386"/>
      <c r="D19" s="390">
        <f>'Calc Data'!AT23</f>
        <v>2326</v>
      </c>
    </row>
    <row r="20" spans="1:4" s="382" customFormat="1" ht="15.75">
      <c r="B20" s="477" t="s">
        <v>2978</v>
      </c>
      <c r="D20" s="1306" t="s">
        <v>6873</v>
      </c>
    </row>
  </sheetData>
  <hyperlinks>
    <hyperlink ref="D20" location="'Report-SOF2122'!A1" display="'Report-SOF2122'!A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2578125" customWidth="1"/>
    <col min="2" max="2" width="19.85546875" customWidth="1"/>
    <col min="3" max="3" width="24.42578125" customWidth="1"/>
    <col min="4" max="4" width="26.5703125" customWidth="1"/>
  </cols>
  <sheetData>
    <row r="1" spans="1:4">
      <c r="A1" s="380" t="s">
        <v>2993</v>
      </c>
      <c r="D1" s="754" t="str">
        <f>'Report-AA1920'!D1</f>
        <v>Release 10</v>
      </c>
    </row>
    <row r="2" spans="1:4">
      <c r="A2" s="380" t="s">
        <v>2994</v>
      </c>
      <c r="D2" s="72">
        <f>'Report-AA1920'!D2</f>
        <v>43724</v>
      </c>
    </row>
    <row r="3" spans="1:4">
      <c r="A3" s="64"/>
      <c r="D3" s="58">
        <f>'Report-AA1920'!D3</f>
        <v>0</v>
      </c>
    </row>
    <row r="4" spans="1:4" ht="15.75">
      <c r="A4" s="381" t="s">
        <v>6891</v>
      </c>
    </row>
    <row r="5" spans="1:4" ht="15.75">
      <c r="A5" s="383">
        <f>'Data Entry - SOF'!B1</f>
        <v>0</v>
      </c>
    </row>
    <row r="6" spans="1:4" ht="15.75">
      <c r="A6" s="381">
        <f>'Data Entry - SOF'!B2</f>
        <v>0</v>
      </c>
    </row>
    <row r="8" spans="1:4" ht="18">
      <c r="A8" s="539"/>
      <c r="B8" s="540"/>
      <c r="C8" s="532" t="s">
        <v>2829</v>
      </c>
      <c r="D8" s="541"/>
    </row>
    <row r="9" spans="1:4" ht="18">
      <c r="A9" s="533" t="s">
        <v>2819</v>
      </c>
      <c r="B9" s="542" t="s">
        <v>2782</v>
      </c>
      <c r="C9" s="533" t="s">
        <v>2830</v>
      </c>
      <c r="D9" s="537" t="s">
        <v>2820</v>
      </c>
    </row>
    <row r="10" spans="1:4" s="382" customFormat="1" ht="15.75">
      <c r="A10" s="596" t="s">
        <v>2821</v>
      </c>
      <c r="B10" s="543"/>
      <c r="C10" s="543"/>
      <c r="D10" s="544"/>
    </row>
    <row r="11" spans="1:4" s="382" customFormat="1" ht="15">
      <c r="A11" s="386" t="s">
        <v>2823</v>
      </c>
      <c r="B11" s="389">
        <f>Weights!M4</f>
        <v>1</v>
      </c>
      <c r="C11" s="391">
        <f>'Calc Data'!H10</f>
        <v>0</v>
      </c>
      <c r="D11" s="390">
        <f>'SOF2122-SB1'!H20</f>
        <v>0</v>
      </c>
    </row>
    <row r="12" spans="1:4" s="382" customFormat="1" ht="15.75">
      <c r="A12" s="596" t="s">
        <v>2822</v>
      </c>
      <c r="B12" s="543"/>
      <c r="C12" s="543"/>
      <c r="D12" s="544"/>
    </row>
    <row r="13" spans="1:4" s="382" customFormat="1" ht="15">
      <c r="A13" s="386" t="s">
        <v>2710</v>
      </c>
      <c r="B13" s="411" t="s">
        <v>1775</v>
      </c>
      <c r="C13" s="391">
        <f>'Calc Data'!H8</f>
        <v>0</v>
      </c>
      <c r="D13" s="390">
        <f>'SOF2122-SB1'!H21</f>
        <v>0</v>
      </c>
    </row>
    <row r="14" spans="1:4" s="382" customFormat="1" ht="15">
      <c r="A14" s="386" t="s">
        <v>2824</v>
      </c>
      <c r="B14" s="414">
        <f>Weights!M21</f>
        <v>1.1000000000000001</v>
      </c>
      <c r="C14" s="391">
        <f>'Data Entry - SOF'!O34</f>
        <v>0</v>
      </c>
      <c r="D14" s="390">
        <f>'SOF2122-SB1'!H23</f>
        <v>0</v>
      </c>
    </row>
    <row r="15" spans="1:4" s="382" customFormat="1" ht="15">
      <c r="A15" s="386" t="s">
        <v>2825</v>
      </c>
      <c r="B15" s="414">
        <f>Weights!M19</f>
        <v>4</v>
      </c>
      <c r="C15" s="391">
        <f>'Data Entry - SOF'!O32</f>
        <v>0</v>
      </c>
      <c r="D15" s="390">
        <f>'SOF2122-SB1'!H24</f>
        <v>0</v>
      </c>
    </row>
    <row r="16" spans="1:4" s="382" customFormat="1" ht="15">
      <c r="A16" s="386" t="s">
        <v>2792</v>
      </c>
      <c r="B16" s="414">
        <f>Weights!M17</f>
        <v>2.8</v>
      </c>
      <c r="C16" s="391">
        <f>'Data Entry - SOF'!O30</f>
        <v>0</v>
      </c>
      <c r="D16" s="390">
        <f>'SOF2122-SB1'!H25</f>
        <v>0</v>
      </c>
    </row>
    <row r="17" spans="1:4" s="382" customFormat="1" ht="15">
      <c r="A17" s="386" t="s">
        <v>2795</v>
      </c>
      <c r="B17" s="414">
        <f>Weights!M18</f>
        <v>1.7</v>
      </c>
      <c r="C17" s="391">
        <f>'Data Entry - SOF'!O31</f>
        <v>0</v>
      </c>
      <c r="D17" s="390">
        <f>'SOF2122-SB1'!H26</f>
        <v>0</v>
      </c>
    </row>
    <row r="18" spans="1:4" s="382" customFormat="1" ht="15">
      <c r="A18" s="402" t="s">
        <v>2826</v>
      </c>
      <c r="B18" s="402"/>
      <c r="C18" s="402"/>
      <c r="D18" s="413"/>
    </row>
    <row r="19" spans="1:4" s="382" customFormat="1" ht="15">
      <c r="A19" s="404" t="s">
        <v>2827</v>
      </c>
      <c r="B19" s="416" t="s">
        <v>1775</v>
      </c>
      <c r="C19" s="416" t="s">
        <v>1775</v>
      </c>
      <c r="D19" s="415">
        <f>'SOF2122-SB1'!H27</f>
        <v>0</v>
      </c>
    </row>
    <row r="20" spans="1:4" s="382" customFormat="1" ht="15">
      <c r="A20" s="386" t="s">
        <v>2828</v>
      </c>
      <c r="B20" s="411" t="s">
        <v>1775</v>
      </c>
      <c r="C20" s="411" t="s">
        <v>1775</v>
      </c>
      <c r="D20" s="390">
        <f>'SOF2122-SB1'!H131</f>
        <v>0</v>
      </c>
    </row>
    <row r="21" spans="1:4" s="382" customFormat="1" ht="15.75">
      <c r="A21" s="596" t="s">
        <v>2831</v>
      </c>
      <c r="B21" s="543"/>
      <c r="C21" s="543"/>
      <c r="D21" s="544"/>
    </row>
    <row r="22" spans="1:4" ht="15">
      <c r="A22" s="386" t="s">
        <v>2832</v>
      </c>
      <c r="B22" s="417">
        <f>Weights!M23</f>
        <v>1.35</v>
      </c>
      <c r="C22" s="391">
        <f>'Data Entry - SOF'!O35</f>
        <v>0</v>
      </c>
      <c r="D22" s="390">
        <f>'SOF2122-SB1'!H28</f>
        <v>0</v>
      </c>
    </row>
    <row r="23" spans="1:4" ht="15">
      <c r="A23" s="386" t="s">
        <v>2833</v>
      </c>
      <c r="B23" s="390">
        <f>Weights!M24</f>
        <v>50</v>
      </c>
      <c r="C23" s="391">
        <f>'Data Entry - SOF'!O37</f>
        <v>0</v>
      </c>
      <c r="D23" s="390">
        <f>'SOF2122-SB1'!H29</f>
        <v>0</v>
      </c>
    </row>
    <row r="24" spans="1:4" ht="15">
      <c r="A24" s="386" t="s">
        <v>2834</v>
      </c>
      <c r="B24" s="411" t="s">
        <v>1775</v>
      </c>
      <c r="C24" s="411" t="s">
        <v>1775</v>
      </c>
      <c r="D24" s="390">
        <f>'SOF2122-SB1'!H132</f>
        <v>0</v>
      </c>
    </row>
    <row r="25" spans="1:4" s="382" customFormat="1" ht="15.75">
      <c r="A25" s="596" t="s">
        <v>2835</v>
      </c>
      <c r="B25" s="543"/>
      <c r="C25" s="543"/>
      <c r="D25" s="544"/>
    </row>
    <row r="26" spans="1:4" ht="15">
      <c r="A26" s="386" t="s">
        <v>2836</v>
      </c>
      <c r="B26" s="417">
        <f>Weights!M28</f>
        <v>0.12</v>
      </c>
      <c r="C26" s="391">
        <f>'Data Entry - SOF'!O60</f>
        <v>0</v>
      </c>
      <c r="D26" s="390">
        <f>'SOF2122-SB1'!H32</f>
        <v>0</v>
      </c>
    </row>
    <row r="27" spans="1:4" ht="15">
      <c r="A27" s="386" t="s">
        <v>2837</v>
      </c>
      <c r="B27" s="411" t="s">
        <v>1775</v>
      </c>
      <c r="C27" s="411" t="s">
        <v>1775</v>
      </c>
      <c r="D27" s="390">
        <f>'SOF2122-SB1'!H33</f>
        <v>0</v>
      </c>
    </row>
    <row r="28" spans="1:4" ht="15">
      <c r="A28" s="386" t="s">
        <v>2838</v>
      </c>
      <c r="B28" s="411" t="s">
        <v>1775</v>
      </c>
      <c r="C28" s="411" t="s">
        <v>1775</v>
      </c>
      <c r="D28" s="390">
        <f>'SOF2122-SB1'!H133</f>
        <v>0</v>
      </c>
    </row>
    <row r="29" spans="1:4" s="382" customFormat="1" ht="15.75">
      <c r="A29" s="596" t="s">
        <v>2839</v>
      </c>
      <c r="B29" s="543"/>
      <c r="C29" s="543"/>
      <c r="D29" s="544"/>
    </row>
    <row r="30" spans="1:4" ht="15">
      <c r="A30" s="386" t="s">
        <v>2840</v>
      </c>
      <c r="B30" s="417">
        <f>Weights!M30</f>
        <v>0.2</v>
      </c>
      <c r="C30" s="391">
        <f>'Data Entry - SOF'!O41</f>
        <v>0</v>
      </c>
      <c r="D30" s="390">
        <f>'SOF2122-SB1'!H34</f>
        <v>0</v>
      </c>
    </row>
    <row r="31" spans="1:4" ht="15">
      <c r="A31" s="386" t="s">
        <v>3040</v>
      </c>
      <c r="B31" s="417">
        <f>Weights!M31</f>
        <v>2.41</v>
      </c>
      <c r="C31" s="391">
        <f>'Data Entry - SOF'!O49</f>
        <v>0</v>
      </c>
      <c r="D31" s="390">
        <f>'SOF2122-SB1'!H35</f>
        <v>0</v>
      </c>
    </row>
    <row r="32" spans="1:4" ht="15">
      <c r="A32" s="386" t="s">
        <v>3041</v>
      </c>
      <c r="B32" s="411" t="s">
        <v>1775</v>
      </c>
      <c r="C32" s="411" t="s">
        <v>1775</v>
      </c>
      <c r="D32" s="390">
        <f>'SOF2122-SB1'!H134</f>
        <v>0</v>
      </c>
    </row>
    <row r="33" spans="1:4" s="382" customFormat="1" ht="15.75">
      <c r="A33" s="596" t="s">
        <v>2841</v>
      </c>
      <c r="B33" s="543"/>
      <c r="C33" s="543"/>
      <c r="D33" s="544"/>
    </row>
    <row r="34" spans="1:4" s="382" customFormat="1" ht="15">
      <c r="A34" s="386" t="s">
        <v>2435</v>
      </c>
      <c r="B34" s="390">
        <f>Weights!M33</f>
        <v>275</v>
      </c>
      <c r="C34" s="391">
        <f>'Data Entry - SOF'!O21</f>
        <v>0</v>
      </c>
      <c r="D34" s="390">
        <f>'SOF2122-SB1'!H39</f>
        <v>0</v>
      </c>
    </row>
    <row r="35" spans="1:4" s="382" customFormat="1" ht="15.75">
      <c r="A35" s="596" t="s">
        <v>2844</v>
      </c>
      <c r="B35" s="543"/>
      <c r="C35" s="543"/>
      <c r="D35" s="544"/>
    </row>
    <row r="36" spans="1:4" s="382" customFormat="1" ht="15">
      <c r="A36" s="386" t="s">
        <v>2842</v>
      </c>
      <c r="B36" s="417">
        <f>Weights!M26</f>
        <v>0.1</v>
      </c>
      <c r="C36" s="391">
        <f>'Data Entry - SOF'!O51</f>
        <v>0</v>
      </c>
      <c r="D36" s="390">
        <f>'SOF2122-SB1'!H38</f>
        <v>0</v>
      </c>
    </row>
    <row r="37" spans="1:4" s="382" customFormat="1" ht="15.75">
      <c r="A37" s="596" t="s">
        <v>2843</v>
      </c>
      <c r="B37" s="543"/>
      <c r="C37" s="543"/>
      <c r="D37" s="544"/>
    </row>
    <row r="38" spans="1:4" s="382" customFormat="1" ht="15">
      <c r="A38" s="386" t="s">
        <v>2845</v>
      </c>
      <c r="B38" s="417">
        <f>Weights!M37</f>
        <v>0.1</v>
      </c>
      <c r="C38" s="391">
        <f>'Data Entry - SOF'!O61</f>
        <v>0</v>
      </c>
      <c r="D38" s="390">
        <f>'SOF2122-SB1'!H40</f>
        <v>0</v>
      </c>
    </row>
    <row r="39" spans="1:4" s="382" customFormat="1" ht="15.75">
      <c r="C39" s="477" t="s">
        <v>2979</v>
      </c>
      <c r="D39" s="1433" t="s">
        <v>7053</v>
      </c>
    </row>
    <row r="41" spans="1:4" ht="15">
      <c r="D41" s="382"/>
    </row>
    <row r="42" spans="1:4" s="382" customFormat="1" ht="15.75">
      <c r="A42" s="325" t="s">
        <v>3116</v>
      </c>
    </row>
    <row r="43" spans="1:4" s="382" customFormat="1" ht="15.75">
      <c r="A43" s="325" t="s">
        <v>4032</v>
      </c>
    </row>
    <row r="44" spans="1:4" s="382" customFormat="1" ht="15.75">
      <c r="A44" s="325"/>
    </row>
    <row r="45" spans="1:4" s="382" customFormat="1" ht="15"/>
    <row r="46" spans="1:4" s="382" customFormat="1" ht="15">
      <c r="D46"/>
    </row>
  </sheetData>
  <hyperlinks>
    <hyperlink ref="D39" location="'Report-SOF2223'!A1" display="'Report-SOF2223'!A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5703125" customWidth="1"/>
  </cols>
  <sheetData>
    <row r="1" spans="1:4">
      <c r="A1" s="380" t="s">
        <v>2993</v>
      </c>
      <c r="C1" s="380"/>
      <c r="D1" s="754" t="str">
        <f>'Report-T1Detail1920'!D1</f>
        <v>Release 10</v>
      </c>
    </row>
    <row r="2" spans="1:4">
      <c r="A2" s="380" t="s">
        <v>2994</v>
      </c>
      <c r="C2" s="380"/>
      <c r="D2" s="72">
        <f>'Report-T1Detail1920'!D2</f>
        <v>43724</v>
      </c>
    </row>
    <row r="3" spans="1:4">
      <c r="A3" s="64"/>
      <c r="C3" s="64"/>
      <c r="D3" s="58">
        <f>'Report-T1Detail1920'!D3</f>
        <v>0</v>
      </c>
    </row>
    <row r="4" spans="1:4" ht="15.75">
      <c r="A4" s="381" t="s">
        <v>6892</v>
      </c>
      <c r="C4" s="381"/>
    </row>
    <row r="5" spans="1:4" ht="15.75">
      <c r="A5" s="383">
        <f>'Data Entry - SOF'!B1</f>
        <v>0</v>
      </c>
      <c r="C5" s="383"/>
    </row>
    <row r="6" spans="1:4" ht="15.75">
      <c r="A6" s="381">
        <f>'Data Entry - SOF'!B2</f>
        <v>0</v>
      </c>
      <c r="C6" s="381"/>
    </row>
    <row r="9" spans="1:4" ht="18">
      <c r="A9" s="545" t="s">
        <v>2846</v>
      </c>
      <c r="B9" s="548"/>
      <c r="C9" s="545"/>
      <c r="D9" s="546" t="s">
        <v>2847</v>
      </c>
    </row>
    <row r="10" spans="1:4" s="382" customFormat="1" ht="15">
      <c r="A10" s="385" t="s">
        <v>2186</v>
      </c>
      <c r="B10" s="386" t="s">
        <v>3114</v>
      </c>
      <c r="C10" s="386"/>
      <c r="D10" s="391" t="e">
        <f>'Calc Data'!H25</f>
        <v>#DIV/0!</v>
      </c>
    </row>
    <row r="11" spans="1:4" s="382" customFormat="1" ht="18">
      <c r="A11" s="596" t="s">
        <v>2848</v>
      </c>
      <c r="B11" s="583"/>
      <c r="C11" s="547"/>
      <c r="D11" s="544"/>
    </row>
    <row r="12" spans="1:4" s="382" customFormat="1" ht="15">
      <c r="A12" s="385" t="s">
        <v>2187</v>
      </c>
      <c r="B12" s="386" t="s">
        <v>3107</v>
      </c>
      <c r="C12" s="386"/>
      <c r="D12" s="390">
        <f>'Calc Data'!H34</f>
        <v>0</v>
      </c>
    </row>
    <row r="13" spans="1:4" s="382" customFormat="1" ht="15">
      <c r="A13" s="385" t="s">
        <v>2188</v>
      </c>
      <c r="B13" s="386" t="s">
        <v>6893</v>
      </c>
      <c r="C13" s="386"/>
      <c r="D13" s="389" t="e">
        <f>'Calc Data'!H35</f>
        <v>#DIV/0!</v>
      </c>
    </row>
    <row r="14" spans="1:4" s="382" customFormat="1" ht="15">
      <c r="A14" s="385" t="s">
        <v>3117</v>
      </c>
      <c r="B14" s="386" t="str">
        <f>CONCATENATE("Level 1 Entitlement @ $",Assumptions!G137,"")</f>
        <v>Level 1 Entitlement @ $135.92</v>
      </c>
      <c r="C14" s="386"/>
      <c r="D14" s="390" t="e">
        <f>'SOF2122-SB1'!H135</f>
        <v>#DIV/0!</v>
      </c>
    </row>
    <row r="15" spans="1:4" s="382" customFormat="1" ht="15">
      <c r="A15" s="385" t="s">
        <v>910</v>
      </c>
      <c r="B15" s="386" t="s">
        <v>6894</v>
      </c>
      <c r="C15" s="386"/>
      <c r="D15" s="390" t="e">
        <f>'Calc Data'!H42*-1</f>
        <v>#DIV/0!</v>
      </c>
    </row>
    <row r="16" spans="1:4" s="382" customFormat="1" ht="15">
      <c r="A16" s="385" t="s">
        <v>912</v>
      </c>
      <c r="B16" s="386" t="str">
        <f>CONCATENATE("GYA ($",Assumptions!G137," * WADA * DTR_1 * 100) - LR")</f>
        <v>GYA ($135.92 * WADA * DTR_1 * 100) - LR</v>
      </c>
      <c r="C16" s="386"/>
      <c r="D16" s="390" t="e">
        <f>'SOF2122-SB1'!H51</f>
        <v>#DIV/0!</v>
      </c>
    </row>
    <row r="17" spans="1:4" s="382" customFormat="1" ht="18">
      <c r="A17" s="596" t="s">
        <v>2850</v>
      </c>
      <c r="B17" s="583"/>
      <c r="C17" s="547"/>
      <c r="D17" s="544"/>
    </row>
    <row r="18" spans="1:4" s="382" customFormat="1" ht="15">
      <c r="A18" s="385" t="s">
        <v>913</v>
      </c>
      <c r="B18" s="386" t="s">
        <v>3108</v>
      </c>
      <c r="C18" s="386"/>
      <c r="D18" s="390">
        <f>'Calc Data'!AT31</f>
        <v>0</v>
      </c>
    </row>
    <row r="19" spans="1:4" s="382" customFormat="1" ht="15">
      <c r="A19" s="385" t="s">
        <v>914</v>
      </c>
      <c r="B19" s="386" t="s">
        <v>6895</v>
      </c>
      <c r="C19" s="386"/>
      <c r="D19" s="389" t="e">
        <f>'Calc Data'!AT29</f>
        <v>#DIV/0!</v>
      </c>
    </row>
    <row r="20" spans="1:4" s="382" customFormat="1" ht="15">
      <c r="A20" s="385" t="s">
        <v>118</v>
      </c>
      <c r="B20" s="386" t="str">
        <f>CONCATENATE("Level 2 Entitlement @ $",Assumptions!G138,"")</f>
        <v>Level 2 Entitlement @ $31.95</v>
      </c>
      <c r="C20" s="386"/>
      <c r="D20" s="390" t="e">
        <f>'SOF2122-SB1'!H136</f>
        <v>#DIV/0!</v>
      </c>
    </row>
    <row r="21" spans="1:4" s="382" customFormat="1" ht="15">
      <c r="A21" s="385" t="s">
        <v>119</v>
      </c>
      <c r="B21" s="386" t="s">
        <v>6896</v>
      </c>
      <c r="C21" s="386"/>
      <c r="D21" s="390" t="e">
        <f>'Calc Data'!AT33*-1</f>
        <v>#DIV/0!</v>
      </c>
    </row>
    <row r="22" spans="1:4" s="382" customFormat="1" ht="15">
      <c r="A22" s="385" t="s">
        <v>120</v>
      </c>
      <c r="B22" s="386" t="str">
        <f>CONCATENATE("GYA ($",Assumptions!G138," * WADA * DTR_1 * 100) - LR")</f>
        <v>GYA ($31.95 * WADA * DTR_1 * 100) - LR</v>
      </c>
      <c r="C22" s="386"/>
      <c r="D22" s="390" t="e">
        <f>'SOF2122-SB1'!H52</f>
        <v>#DIV/0!</v>
      </c>
    </row>
    <row r="23" spans="1:4" s="382" customFormat="1" ht="15.75">
      <c r="A23" s="385" t="s">
        <v>121</v>
      </c>
      <c r="B23" s="384" t="s">
        <v>3109</v>
      </c>
      <c r="C23" s="384"/>
      <c r="D23" s="395" t="e">
        <f>'SOF2122-SB1'!H53</f>
        <v>#DIV/0!</v>
      </c>
    </row>
    <row r="24" spans="1:4" s="382" customFormat="1" ht="15.75">
      <c r="B24" s="477" t="s">
        <v>2978</v>
      </c>
      <c r="D24" s="1306" t="s">
        <v>6873</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122'!A1" display="'Report-SOF2122'!A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42578125" customWidth="1"/>
    <col min="2" max="2" width="74" customWidth="1"/>
    <col min="3" max="3" width="25.5703125" customWidth="1"/>
  </cols>
  <sheetData>
    <row r="1" spans="1:3">
      <c r="A1" s="380" t="s">
        <v>2993</v>
      </c>
      <c r="C1" s="754" t="str">
        <f>'Report-T2Detail1920'!D1</f>
        <v>Release 10</v>
      </c>
    </row>
    <row r="2" spans="1:3">
      <c r="A2" s="380" t="s">
        <v>2994</v>
      </c>
      <c r="C2" s="72">
        <f>'Report-T2Detail1920'!D2</f>
        <v>43724</v>
      </c>
    </row>
    <row r="3" spans="1:3">
      <c r="A3" s="64"/>
      <c r="C3" s="58">
        <f>'Report-T2Detail1920'!D3</f>
        <v>0</v>
      </c>
    </row>
    <row r="4" spans="1:3" ht="15.75">
      <c r="A4" s="381" t="s">
        <v>6898</v>
      </c>
    </row>
    <row r="5" spans="1:3" ht="15.75">
      <c r="A5" s="383">
        <f>'Data Entry - SOF'!B1</f>
        <v>0</v>
      </c>
    </row>
    <row r="6" spans="1:3" ht="15.75">
      <c r="A6" s="381">
        <f>'Data Entry - SOF'!B2</f>
        <v>0</v>
      </c>
    </row>
    <row r="9" spans="1:3" s="266" customFormat="1" ht="18">
      <c r="A9" s="556" t="s">
        <v>1982</v>
      </c>
      <c r="B9" s="553"/>
      <c r="C9" s="546" t="s">
        <v>1273</v>
      </c>
    </row>
    <row r="10" spans="1:3" s="382" customFormat="1" ht="15.75">
      <c r="A10" s="596" t="s">
        <v>2852</v>
      </c>
      <c r="B10" s="543"/>
      <c r="C10" s="544"/>
    </row>
    <row r="11" spans="1:3" s="382" customFormat="1" ht="15">
      <c r="A11" s="385" t="s">
        <v>2186</v>
      </c>
      <c r="B11" s="386" t="s">
        <v>2356</v>
      </c>
      <c r="C11" s="392" t="e">
        <f>ASATR!K8</f>
        <v>#N/A</v>
      </c>
    </row>
    <row r="12" spans="1:3" s="382" customFormat="1" ht="15">
      <c r="A12" s="385" t="s">
        <v>2187</v>
      </c>
      <c r="B12" s="386" t="s">
        <v>6899</v>
      </c>
      <c r="C12" s="391" t="e">
        <f>'Calc Data'!H25</f>
        <v>#DIV/0!</v>
      </c>
    </row>
    <row r="13" spans="1:3" s="382" customFormat="1" ht="15">
      <c r="A13" s="385" t="s">
        <v>2188</v>
      </c>
      <c r="B13" s="386" t="s">
        <v>6900</v>
      </c>
      <c r="C13" s="390" t="e">
        <f>ASATR!K50</f>
        <v>#N/A</v>
      </c>
    </row>
    <row r="14" spans="1:3" s="382" customFormat="1" ht="15">
      <c r="A14" s="385" t="s">
        <v>909</v>
      </c>
      <c r="B14" s="386" t="str">
        <f>CONCATENATE("2021-22 Minimum Increase (Line 2 * $120 * ",Weights!L7,")")</f>
        <v>2021-22 Minimum Increase (Line 2 * $120 * 0.9263)</v>
      </c>
      <c r="C14" s="390" t="e">
        <f>ASATR!K51</f>
        <v>#DIV/0!</v>
      </c>
    </row>
    <row r="15" spans="1:3" s="382" customFormat="1" ht="15">
      <c r="A15" s="385" t="s">
        <v>910</v>
      </c>
      <c r="B15" s="386" t="s">
        <v>2853</v>
      </c>
      <c r="C15" s="390">
        <f>ASATR!K13</f>
        <v>0</v>
      </c>
    </row>
    <row r="16" spans="1:3" s="382" customFormat="1" ht="15">
      <c r="A16" s="385" t="s">
        <v>912</v>
      </c>
      <c r="B16" s="386" t="s">
        <v>6908</v>
      </c>
      <c r="C16" s="390" t="e">
        <f>ASATR!K14</f>
        <v>#N/A</v>
      </c>
    </row>
    <row r="17" spans="1:4" s="382" customFormat="1" ht="15">
      <c r="A17" s="549"/>
      <c r="B17" s="543"/>
      <c r="C17" s="544"/>
    </row>
    <row r="18" spans="1:4" s="382" customFormat="1" ht="15">
      <c r="A18" s="385" t="s">
        <v>913</v>
      </c>
      <c r="B18" s="386" t="s">
        <v>2856</v>
      </c>
      <c r="C18" s="390">
        <f>ASATR!K15</f>
        <v>0</v>
      </c>
    </row>
    <row r="19" spans="1:4" s="382" customFormat="1" ht="15">
      <c r="A19" s="385" t="s">
        <v>914</v>
      </c>
      <c r="B19" s="386" t="s">
        <v>2857</v>
      </c>
      <c r="C19" s="390">
        <f>ASATR!K16</f>
        <v>0</v>
      </c>
    </row>
    <row r="20" spans="1:4" s="382" customFormat="1" ht="15">
      <c r="A20" s="385" t="s">
        <v>118</v>
      </c>
      <c r="B20" s="386" t="str">
        <f>CONCATENATE("2008-09 Educator Salary Increase ($23.63 * 2008-09 WADA * ",Weights!L7,")")</f>
        <v>2008-09 Educator Salary Increase ($23.63 * 2008-09 WADA * 0.9263)</v>
      </c>
      <c r="C20" s="390">
        <f>ASATR!K18</f>
        <v>0</v>
      </c>
    </row>
    <row r="21" spans="1:4" s="382" customFormat="1" ht="15.75">
      <c r="A21" s="385" t="s">
        <v>119</v>
      </c>
      <c r="B21" s="384" t="s">
        <v>6901</v>
      </c>
      <c r="C21" s="390" t="e">
        <f>ASATR!K20</f>
        <v>#N/A</v>
      </c>
    </row>
    <row r="22" spans="1:4" s="382" customFormat="1" ht="15">
      <c r="A22" s="549"/>
      <c r="B22" s="543"/>
      <c r="C22" s="544"/>
    </row>
    <row r="23" spans="1:4" s="382" customFormat="1" ht="15">
      <c r="A23" s="385" t="s">
        <v>120</v>
      </c>
      <c r="B23" s="386" t="s">
        <v>6902</v>
      </c>
      <c r="C23" s="390" t="e">
        <f>ASATR!K37</f>
        <v>#DIV/0!</v>
      </c>
    </row>
    <row r="24" spans="1:4" s="382" customFormat="1" ht="15">
      <c r="A24" s="385" t="s">
        <v>121</v>
      </c>
      <c r="B24" s="386" t="s">
        <v>6903</v>
      </c>
      <c r="C24" s="390">
        <f>ASATR!K38</f>
        <v>0</v>
      </c>
    </row>
    <row r="25" spans="1:4" s="382" customFormat="1" ht="15">
      <c r="A25" s="385" t="s">
        <v>1513</v>
      </c>
      <c r="B25" t="s">
        <v>6960</v>
      </c>
      <c r="C25" s="390" t="e">
        <f>ASATR!K39</f>
        <v>#DIV/0!</v>
      </c>
    </row>
    <row r="26" spans="1:4" s="382" customFormat="1" ht="15">
      <c r="A26" s="385" t="s">
        <v>6</v>
      </c>
      <c r="B26" s="386" t="s">
        <v>6904</v>
      </c>
      <c r="C26" s="390" t="e">
        <f>ASATR!K40</f>
        <v>#DIV/0!</v>
      </c>
    </row>
    <row r="27" spans="1:4" s="382" customFormat="1" ht="15">
      <c r="A27" s="549"/>
      <c r="B27" s="543"/>
      <c r="C27" s="555"/>
    </row>
    <row r="28" spans="1:4" s="382" customFormat="1" ht="15.75">
      <c r="A28" s="418" t="s">
        <v>2232</v>
      </c>
      <c r="B28" s="402" t="s">
        <v>3026</v>
      </c>
      <c r="C28" s="395" t="e">
        <f>ASATR!K42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6905</v>
      </c>
      <c r="C31" s="390" t="e">
        <f>ASATR!K45</f>
        <v>#DIV/0!</v>
      </c>
    </row>
    <row r="32" spans="1:4" s="382" customFormat="1" ht="15">
      <c r="A32" s="400" t="s">
        <v>2722</v>
      </c>
      <c r="B32" s="386" t="s">
        <v>6906</v>
      </c>
      <c r="C32" s="390" t="e">
        <f>ASATR!K46</f>
        <v>#DIV/0!</v>
      </c>
    </row>
    <row r="33" spans="2:3" s="382" customFormat="1" ht="15.75">
      <c r="B33" s="477" t="s">
        <v>2991</v>
      </c>
      <c r="C33" s="1306" t="s">
        <v>6873</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382" customFormat="1" ht="15">
      <c r="A1" s="380" t="s">
        <v>2993</v>
      </c>
      <c r="D1" s="754" t="str">
        <f>'Report-ASATR1920'!C1</f>
        <v>Release 10</v>
      </c>
    </row>
    <row r="2" spans="1:4" s="382" customFormat="1" ht="15">
      <c r="A2" s="380" t="s">
        <v>2994</v>
      </c>
      <c r="D2" s="72">
        <f>'Report-ASATR1920'!C2</f>
        <v>43724</v>
      </c>
    </row>
    <row r="3" spans="1:4" s="382" customFormat="1" ht="15.75">
      <c r="A3" s="381"/>
      <c r="D3" s="58">
        <f>'Report-ASATR1920'!C3</f>
        <v>0</v>
      </c>
    </row>
    <row r="4" spans="1:4" s="382" customFormat="1" ht="15.75">
      <c r="A4" s="381" t="s">
        <v>6910</v>
      </c>
    </row>
    <row r="5" spans="1:4" s="382" customFormat="1" ht="15.75">
      <c r="A5" s="383">
        <f>'Data Entry - SOF'!B1</f>
        <v>0</v>
      </c>
    </row>
    <row r="6" spans="1:4" s="382" customFormat="1" ht="15.75">
      <c r="A6" s="381">
        <f>'Data Entry - SOF'!B2</f>
        <v>0</v>
      </c>
    </row>
    <row r="7" spans="1:4" s="382" customFormat="1" ht="15.75">
      <c r="A7" s="381"/>
    </row>
    <row r="8" spans="1:4" s="382" customFormat="1" ht="15"/>
    <row r="9" spans="1:4" s="266" customFormat="1" ht="18">
      <c r="A9" s="523"/>
      <c r="B9" s="524"/>
      <c r="C9" s="525"/>
      <c r="D9" s="532" t="s">
        <v>2818</v>
      </c>
    </row>
    <row r="10" spans="1:4" s="479" customFormat="1" ht="18">
      <c r="A10" s="557" t="s">
        <v>2990</v>
      </c>
      <c r="B10" s="527"/>
      <c r="C10" s="528"/>
      <c r="D10" s="537" t="s">
        <v>2805</v>
      </c>
    </row>
    <row r="11" spans="1:4" s="382" customFormat="1" ht="15">
      <c r="A11" s="385" t="s">
        <v>2186</v>
      </c>
      <c r="B11" s="386" t="s">
        <v>2981</v>
      </c>
      <c r="C11" s="386"/>
      <c r="D11" s="495">
        <f>'Data Entry - SOF'!O120</f>
        <v>0</v>
      </c>
    </row>
    <row r="12" spans="1:4" s="382" customFormat="1" ht="15.75">
      <c r="A12" s="385" t="s">
        <v>2187</v>
      </c>
      <c r="B12" s="386" t="s">
        <v>4038</v>
      </c>
      <c r="C12" s="386"/>
      <c r="D12" s="495">
        <f>'HH2122-Calcs'!D26</f>
        <v>0</v>
      </c>
    </row>
    <row r="13" spans="1:4" s="382" customFormat="1" ht="15">
      <c r="A13" s="385" t="s">
        <v>2188</v>
      </c>
      <c r="B13" s="386" t="s">
        <v>3104</v>
      </c>
      <c r="C13" s="386"/>
      <c r="D13" s="495">
        <v>0</v>
      </c>
    </row>
    <row r="14" spans="1:4" s="382" customFormat="1" ht="15.75">
      <c r="A14" s="385" t="s">
        <v>909</v>
      </c>
      <c r="B14" s="719" t="s">
        <v>6958</v>
      </c>
      <c r="C14" s="386"/>
      <c r="D14" s="395">
        <v>0</v>
      </c>
    </row>
    <row r="15" spans="1:4" s="382" customFormat="1" ht="15">
      <c r="A15" s="385" t="s">
        <v>910</v>
      </c>
      <c r="B15" s="386" t="s">
        <v>758</v>
      </c>
      <c r="C15" s="386"/>
      <c r="D15" s="390">
        <f>'Data Entry - SOF'!O121</f>
        <v>0</v>
      </c>
    </row>
    <row r="16" spans="1:4" s="382" customFormat="1" ht="15">
      <c r="A16" s="385" t="s">
        <v>912</v>
      </c>
      <c r="B16" s="386" t="s">
        <v>2983</v>
      </c>
      <c r="C16" s="386"/>
      <c r="D16" s="495">
        <f>'Data Entry - SOF'!O123</f>
        <v>0</v>
      </c>
    </row>
    <row r="17" spans="1:5" s="382" customFormat="1" ht="15">
      <c r="A17" s="385" t="s">
        <v>913</v>
      </c>
      <c r="B17" s="386" t="s">
        <v>3205</v>
      </c>
      <c r="C17" s="386"/>
      <c r="D17" s="495">
        <f>'Data Entry - SOF'!O142</f>
        <v>0</v>
      </c>
    </row>
    <row r="18" spans="1:5" s="382" customFormat="1" ht="15">
      <c r="A18" s="385" t="s">
        <v>914</v>
      </c>
      <c r="B18" s="386" t="s">
        <v>2436</v>
      </c>
      <c r="C18" s="386"/>
      <c r="D18" s="390">
        <f>'SOF2122-SB1'!H64</f>
        <v>0</v>
      </c>
    </row>
    <row r="19" spans="1:5" s="382" customFormat="1" ht="15">
      <c r="A19" s="385" t="s">
        <v>118</v>
      </c>
      <c r="B19" s="386" t="s">
        <v>2986</v>
      </c>
      <c r="C19" s="386"/>
      <c r="D19" s="495">
        <v>0</v>
      </c>
    </row>
    <row r="20" spans="1:5" s="382" customFormat="1" ht="15">
      <c r="A20" s="385" t="s">
        <v>119</v>
      </c>
      <c r="B20" s="386" t="s">
        <v>2987</v>
      </c>
      <c r="C20" s="386"/>
      <c r="D20" s="495">
        <f>'Data Entry - SOF'!O125</f>
        <v>0</v>
      </c>
    </row>
    <row r="21" spans="1:5" s="382" customFormat="1" ht="15">
      <c r="A21" s="385" t="s">
        <v>120</v>
      </c>
      <c r="B21" s="386" t="s">
        <v>2988</v>
      </c>
      <c r="C21" s="386"/>
      <c r="D21" s="390" t="e">
        <f>'SOF2122-SB1'!H66</f>
        <v>#DIV/0!</v>
      </c>
    </row>
    <row r="22" spans="1:5" s="382" customFormat="1" ht="15">
      <c r="A22" s="385" t="s">
        <v>121</v>
      </c>
      <c r="B22" s="386" t="s">
        <v>2989</v>
      </c>
      <c r="C22" s="386"/>
      <c r="D22" s="390" t="e">
        <f>'SOF2122-SB1'!H65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t="s">
        <v>3795</v>
      </c>
    </row>
    <row r="26" spans="1:5" s="382" customFormat="1" ht="15.75">
      <c r="A26" s="385" t="s">
        <v>2233</v>
      </c>
      <c r="B26" s="384" t="s">
        <v>3027</v>
      </c>
      <c r="C26" s="386"/>
      <c r="D26" s="395" t="e">
        <f>SUM(D11:D25)</f>
        <v>#DIV/0!</v>
      </c>
    </row>
    <row r="27" spans="1:5" s="382" customFormat="1" ht="15.75">
      <c r="A27" s="394"/>
      <c r="B27" s="477" t="s">
        <v>2978</v>
      </c>
      <c r="D27" s="1306" t="s">
        <v>6873</v>
      </c>
    </row>
    <row r="28" spans="1:5" s="382" customFormat="1" ht="15">
      <c r="A28" s="394"/>
    </row>
    <row r="29" spans="1:5" s="382" customFormat="1" ht="15">
      <c r="A29" s="394"/>
    </row>
    <row r="30" spans="1:5" s="382" customFormat="1" ht="15.7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2578125" customWidth="1"/>
    <col min="2" max="2" width="78.42578125" customWidth="1"/>
    <col min="3" max="3" width="4.5703125" customWidth="1"/>
    <col min="4" max="4" width="22.5703125" customWidth="1"/>
  </cols>
  <sheetData>
    <row r="1" spans="1:4">
      <c r="A1" s="380" t="s">
        <v>2993</v>
      </c>
      <c r="D1" s="141" t="str">
        <f>'Report-Other1920'!D1</f>
        <v>Release 10</v>
      </c>
    </row>
    <row r="2" spans="1:4">
      <c r="A2" s="380" t="s">
        <v>2994</v>
      </c>
      <c r="D2" s="72">
        <f>'Report-Other1920'!D2</f>
        <v>43724</v>
      </c>
    </row>
    <row r="3" spans="1:4">
      <c r="A3" s="64"/>
      <c r="D3" s="58">
        <f>'Report-Other1920'!D3</f>
        <v>0</v>
      </c>
    </row>
    <row r="4" spans="1:4" ht="15.75">
      <c r="A4" s="381" t="s">
        <v>6911</v>
      </c>
    </row>
    <row r="5" spans="1:4" ht="15.75">
      <c r="A5" s="383">
        <f>'Data Entry - SOF'!B1</f>
        <v>0</v>
      </c>
    </row>
    <row r="6" spans="1:4" ht="15.75">
      <c r="A6" s="381">
        <f>'Data Entry - SOF'!B2</f>
        <v>0</v>
      </c>
    </row>
    <row r="9" spans="1:4" s="266" customFormat="1" ht="18">
      <c r="A9" s="564" t="s">
        <v>3110</v>
      </c>
      <c r="B9" s="558"/>
      <c r="C9" s="559"/>
      <c r="D9" s="524"/>
    </row>
    <row r="10" spans="1:4" s="382" customFormat="1" ht="18">
      <c r="A10" s="562" t="s">
        <v>2866</v>
      </c>
      <c r="B10" s="560"/>
      <c r="C10" s="561"/>
      <c r="D10" s="537" t="s">
        <v>2867</v>
      </c>
    </row>
    <row r="11" spans="1:4" s="382" customFormat="1" ht="15">
      <c r="A11" s="385" t="s">
        <v>2186</v>
      </c>
      <c r="B11" s="386" t="s">
        <v>3317</v>
      </c>
      <c r="C11" s="386"/>
      <c r="D11" s="390">
        <f>'Data Entry - SOF'!E101</f>
        <v>0</v>
      </c>
    </row>
    <row r="12" spans="1:4" s="382" customFormat="1" ht="15">
      <c r="A12" s="385" t="s">
        <v>2187</v>
      </c>
      <c r="B12" s="386" t="s">
        <v>3318</v>
      </c>
      <c r="C12" s="386"/>
      <c r="D12" s="390">
        <f>'Report-EDA1819'!D26</f>
        <v>0</v>
      </c>
    </row>
    <row r="13" spans="1:4" s="382" customFormat="1" ht="15">
      <c r="A13" s="385" t="s">
        <v>2188</v>
      </c>
      <c r="B13" s="386" t="s">
        <v>3319</v>
      </c>
      <c r="C13" s="386"/>
      <c r="D13" s="390">
        <f>'Report-IFA1819'!D20</f>
        <v>0</v>
      </c>
    </row>
    <row r="14" spans="1:4" s="382" customFormat="1" ht="15">
      <c r="A14" s="385" t="s">
        <v>909</v>
      </c>
      <c r="B14" s="386" t="s">
        <v>3320</v>
      </c>
      <c r="C14" s="386"/>
      <c r="D14" s="390">
        <f>IF(D11-D12-D13&lt;0,0,D11-D12-D13)</f>
        <v>0</v>
      </c>
    </row>
    <row r="15" spans="1:4" s="382" customFormat="1" ht="15">
      <c r="A15" s="385" t="s">
        <v>910</v>
      </c>
      <c r="B15" s="386" t="s">
        <v>6912</v>
      </c>
      <c r="C15" s="386"/>
      <c r="D15" s="390">
        <f>'Data Entry - SOF'!O118</f>
        <v>0</v>
      </c>
    </row>
    <row r="16" spans="1:4" s="382" customFormat="1" ht="15">
      <c r="A16" s="385" t="s">
        <v>912</v>
      </c>
      <c r="B16" s="386" t="s">
        <v>6913</v>
      </c>
      <c r="C16" s="386"/>
      <c r="D16" s="478">
        <f>'Report-IFA2122'!D37</f>
        <v>0</v>
      </c>
    </row>
    <row r="17" spans="1:4" s="382" customFormat="1" ht="15">
      <c r="A17" s="385" t="s">
        <v>913</v>
      </c>
      <c r="B17" s="386" t="s">
        <v>6914</v>
      </c>
      <c r="C17" s="386"/>
      <c r="D17" s="391">
        <f>'Data Entry - SOF'!O19</f>
        <v>0</v>
      </c>
    </row>
    <row r="18" spans="1:4" s="382" customFormat="1" ht="15">
      <c r="A18" s="385" t="s">
        <v>914</v>
      </c>
      <c r="B18" s="386" t="s">
        <v>6917</v>
      </c>
      <c r="C18" s="386"/>
      <c r="D18" s="390">
        <f>'Data Entry - SOF'!O76</f>
        <v>0</v>
      </c>
    </row>
    <row r="19" spans="1:4" s="382" customFormat="1" ht="15">
      <c r="A19" s="385" t="s">
        <v>118</v>
      </c>
      <c r="B19" s="386" t="s">
        <v>6618</v>
      </c>
      <c r="C19" s="386"/>
      <c r="D19" s="390">
        <f>'Data Entry - SOF'!E76</f>
        <v>0</v>
      </c>
    </row>
    <row r="20" spans="1:4" s="382" customFormat="1" ht="15.75">
      <c r="A20" s="596" t="s">
        <v>2868</v>
      </c>
      <c r="B20" s="543"/>
      <c r="C20" s="544"/>
      <c r="D20" s="563"/>
    </row>
    <row r="21" spans="1:4" s="382" customFormat="1" ht="15">
      <c r="A21" s="418" t="s">
        <v>119</v>
      </c>
      <c r="B21" s="402" t="s">
        <v>3324</v>
      </c>
      <c r="C21" s="402"/>
      <c r="D21" s="848">
        <f>'Existing Debt-OldLaw'!O47</f>
        <v>0</v>
      </c>
    </row>
    <row r="22" spans="1:4" s="382" customFormat="1" ht="15">
      <c r="A22" s="396"/>
      <c r="B22" s="404" t="s">
        <v>2869</v>
      </c>
      <c r="C22" s="404"/>
      <c r="D22" s="849"/>
    </row>
    <row r="23" spans="1:4" s="382" customFormat="1" ht="15">
      <c r="A23" s="385" t="s">
        <v>120</v>
      </c>
      <c r="B23" s="386" t="str">
        <f>CONCATENATE("2021-22 Rate Needed for All Eligible Debt ((Line 5 - Line 6) / ",Weights!M50," / Line 7 / 100)")</f>
        <v>2021-22 Rate Needed for All Eligible Debt ((Line 5 - Line 6) / 37 / Line 7 / 100)</v>
      </c>
      <c r="C23" s="386"/>
      <c r="D23" s="850">
        <f>'Existing Debt-OldLaw'!O51</f>
        <v>0</v>
      </c>
    </row>
    <row r="24" spans="1:4" s="382" customFormat="1" ht="15">
      <c r="A24" s="385" t="s">
        <v>121</v>
      </c>
      <c r="B24" s="386" t="s">
        <v>6915</v>
      </c>
      <c r="C24" s="386"/>
      <c r="D24" s="850">
        <f>'Existing Debt-OldLaw'!O55</f>
        <v>0</v>
      </c>
    </row>
    <row r="25" spans="1:4" s="382" customFormat="1" ht="15">
      <c r="A25" s="385" t="s">
        <v>1513</v>
      </c>
      <c r="B25" s="386" t="str">
        <f>CONCATENATE("State/Local Share of EDA ($",Weights!M50," * Line 7 * Line 12 * 100)")</f>
        <v>State/Local Share of EDA ($37 * Line 7 * Line 12 * 100)</v>
      </c>
      <c r="C25" s="386"/>
      <c r="D25" s="478">
        <f>'Existing Debt-OldLaw'!O59</f>
        <v>0</v>
      </c>
    </row>
    <row r="26" spans="1:4" s="382" customFormat="1" ht="15">
      <c r="A26" s="385" t="s">
        <v>6</v>
      </c>
      <c r="B26" s="386" t="s">
        <v>2870</v>
      </c>
      <c r="C26" s="386"/>
      <c r="D26" s="478">
        <f>'Existing Debt-OldLaw'!O61</f>
        <v>0</v>
      </c>
    </row>
    <row r="27" spans="1:4" s="382" customFormat="1" ht="15">
      <c r="A27" s="385" t="s">
        <v>2232</v>
      </c>
      <c r="B27" s="386" t="s">
        <v>2871</v>
      </c>
      <c r="C27" s="386"/>
      <c r="D27" s="478">
        <f>'Existing Debt-OldLaw'!O70</f>
        <v>0</v>
      </c>
    </row>
    <row r="28" spans="1:4" s="382" customFormat="1" ht="15.75">
      <c r="A28" s="385" t="s">
        <v>2233</v>
      </c>
      <c r="B28" s="384" t="s">
        <v>2872</v>
      </c>
      <c r="C28" s="386"/>
      <c r="D28" s="395">
        <f>'Existing Debt-OldLaw'!O74</f>
        <v>0</v>
      </c>
    </row>
    <row r="29" spans="1:4" s="382" customFormat="1" ht="15.75">
      <c r="B29" s="477" t="s">
        <v>2978</v>
      </c>
      <c r="D29" s="1306" t="s">
        <v>6873</v>
      </c>
    </row>
    <row r="30" spans="1:4" s="382" customFormat="1" ht="15"/>
    <row r="31" spans="1:4" s="382" customFormat="1" ht="15"/>
    <row r="32" spans="1:4" s="382" customFormat="1" ht="15.75">
      <c r="B32" s="325" t="s">
        <v>2939</v>
      </c>
    </row>
    <row r="33" spans="2:4" s="382" customFormat="1" ht="15.75">
      <c r="B33" s="325" t="s">
        <v>3115</v>
      </c>
    </row>
    <row r="34" spans="2:4" s="382" customFormat="1" ht="15.75">
      <c r="B34" s="565" t="s">
        <v>3112</v>
      </c>
    </row>
    <row r="35" spans="2:4" s="382" customFormat="1" ht="15.75">
      <c r="B35" s="565"/>
    </row>
    <row r="36" spans="2:4" s="382" customFormat="1" ht="15.75">
      <c r="B36" s="325" t="s">
        <v>8266</v>
      </c>
    </row>
    <row r="37" spans="2:4" s="382" customFormat="1" ht="15.75">
      <c r="B37" s="565" t="s">
        <v>8267</v>
      </c>
    </row>
    <row r="38" spans="2:4" s="382" customFormat="1" ht="15.75">
      <c r="B38" s="565" t="s">
        <v>8268</v>
      </c>
    </row>
    <row r="39" spans="2:4" s="382" customFormat="1" ht="15.75">
      <c r="B39" s="325" t="s">
        <v>8269</v>
      </c>
    </row>
    <row r="40" spans="2:4" s="382" customFormat="1" ht="15.75">
      <c r="B40" s="325"/>
    </row>
    <row r="41" spans="2:4" s="382" customFormat="1" ht="15.75">
      <c r="B41" s="473" t="s">
        <v>6916</v>
      </c>
      <c r="D41" s="833">
        <f>IF(ISNA('DE1'!F65),0,'DE1'!F65)</f>
        <v>0</v>
      </c>
    </row>
    <row r="42" spans="2:4" ht="15.75">
      <c r="B42" s="325"/>
      <c r="C42" s="382"/>
      <c r="D42" s="382"/>
    </row>
    <row r="43" spans="2:4" ht="15.75">
      <c r="B43" s="325" t="s">
        <v>6367</v>
      </c>
      <c r="C43" s="382"/>
      <c r="D43" s="382"/>
    </row>
    <row r="44" spans="2:4" ht="15.75">
      <c r="B44" s="565" t="s">
        <v>6918</v>
      </c>
      <c r="C44" s="382"/>
      <c r="D44" s="382"/>
    </row>
    <row r="45" spans="2:4" ht="15.75">
      <c r="B45" s="325" t="s">
        <v>8265</v>
      </c>
    </row>
  </sheetData>
  <hyperlinks>
    <hyperlink ref="D29"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2578125" customWidth="1"/>
    <col min="2" max="2" width="61.85546875" customWidth="1"/>
    <col min="3" max="3" width="5.5703125" customWidth="1"/>
    <col min="4" max="5" width="22.5703125" customWidth="1"/>
  </cols>
  <sheetData>
    <row r="1" spans="1:5">
      <c r="A1" s="380" t="s">
        <v>2992</v>
      </c>
      <c r="E1" s="754" t="str">
        <f>'Report-EDA1920'!D1</f>
        <v>Release 10</v>
      </c>
    </row>
    <row r="2" spans="1:5">
      <c r="A2" s="380" t="s">
        <v>2865</v>
      </c>
      <c r="E2" s="72">
        <f>'Report-EDA1920'!D2</f>
        <v>43724</v>
      </c>
    </row>
    <row r="3" spans="1:5">
      <c r="A3" s="64"/>
      <c r="E3" s="58">
        <f>'Report-EDA1920'!D3</f>
        <v>0</v>
      </c>
    </row>
    <row r="4" spans="1:5" ht="15.75">
      <c r="A4" s="381" t="s">
        <v>6920</v>
      </c>
    </row>
    <row r="5" spans="1:5" ht="15.75">
      <c r="A5" s="383">
        <f>'Data Entry - SOF'!B1</f>
        <v>0</v>
      </c>
    </row>
    <row r="6" spans="1:5" ht="15.75">
      <c r="A6" s="381">
        <f>'Data Entry - SOF'!B2</f>
        <v>0</v>
      </c>
    </row>
    <row r="9" spans="1:5" s="266" customFormat="1" ht="18">
      <c r="A9" s="564" t="s">
        <v>3111</v>
      </c>
      <c r="B9" s="558"/>
      <c r="C9" s="558"/>
      <c r="D9" s="532" t="s">
        <v>2964</v>
      </c>
      <c r="E9" s="593" t="s">
        <v>2964</v>
      </c>
    </row>
    <row r="10" spans="1:5" s="382" customFormat="1" ht="18">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'IFA-OldLaw'!X58</f>
        <v>400</v>
      </c>
      <c r="E12" s="391">
        <f>D12</f>
        <v>400</v>
      </c>
    </row>
    <row r="13" spans="1:5" s="382" customFormat="1" ht="15">
      <c r="A13" s="385" t="s">
        <v>2188</v>
      </c>
      <c r="B13" s="386" t="s">
        <v>6619</v>
      </c>
      <c r="C13" s="386"/>
      <c r="D13" s="390">
        <f>'Report-EDA2122'!D18</f>
        <v>0</v>
      </c>
      <c r="E13" s="390">
        <f>D13</f>
        <v>0</v>
      </c>
    </row>
    <row r="14" spans="1:5" s="382" customFormat="1" ht="15">
      <c r="A14" s="385" t="s">
        <v>909</v>
      </c>
      <c r="B14" s="386" t="s">
        <v>2967</v>
      </c>
      <c r="C14" s="386"/>
      <c r="D14" s="390">
        <f>'IFA-OldLaw'!X65</f>
        <v>0</v>
      </c>
      <c r="E14" s="390">
        <f>'IFA-OldLaw'!Y65</f>
        <v>0</v>
      </c>
    </row>
    <row r="15" spans="1:5" s="382" customFormat="1" ht="15">
      <c r="A15" s="385" t="s">
        <v>910</v>
      </c>
      <c r="B15" s="386" t="s">
        <v>2968</v>
      </c>
      <c r="C15" s="386"/>
      <c r="D15" s="469">
        <f>'IFA-OldLaw'!X67</f>
        <v>0</v>
      </c>
      <c r="E15" s="469">
        <f>'IFA-OldLaw'!Y67</f>
        <v>0</v>
      </c>
    </row>
    <row r="16" spans="1:5" s="382" customFormat="1" ht="15">
      <c r="A16" s="385" t="s">
        <v>912</v>
      </c>
      <c r="B16" s="386" t="s">
        <v>2969</v>
      </c>
      <c r="C16" s="386"/>
      <c r="D16" s="469">
        <f>'IFA-OldLaw'!X69</f>
        <v>0</v>
      </c>
      <c r="E16" s="469">
        <f>'IFA-OldLaw'!Y69</f>
        <v>0</v>
      </c>
    </row>
    <row r="17" spans="1:5" s="382" customFormat="1" ht="15">
      <c r="A17" s="385" t="s">
        <v>913</v>
      </c>
      <c r="B17" s="386" t="str">
        <f>CONCATENATE("State's Share of $",Weights!K49," per ADA Yield")</f>
        <v>State's Share of $35 per ADA Yield</v>
      </c>
      <c r="C17" s="386"/>
      <c r="D17" s="390">
        <f>'IFA-OldLaw'!X71</f>
        <v>35</v>
      </c>
      <c r="E17" s="390">
        <f>'IFA-OldLaw'!Y71</f>
        <v>35</v>
      </c>
    </row>
    <row r="18" spans="1:5" s="382" customFormat="1" ht="15">
      <c r="A18" s="385" t="s">
        <v>914</v>
      </c>
      <c r="B18" s="386" t="s">
        <v>2970</v>
      </c>
      <c r="C18" s="386"/>
      <c r="D18" s="470">
        <f>'IFA-OldLaw'!X73</f>
        <v>1</v>
      </c>
      <c r="E18" s="470">
        <f>'IFA-OldLaw'!Y73</f>
        <v>1</v>
      </c>
    </row>
    <row r="19" spans="1:5" s="382" customFormat="1" ht="15">
      <c r="A19" s="385" t="s">
        <v>118</v>
      </c>
      <c r="B19" s="386" t="s">
        <v>2971</v>
      </c>
      <c r="C19" s="386"/>
      <c r="D19" s="390">
        <f>'IFA-OldLaw'!X75</f>
        <v>0</v>
      </c>
      <c r="E19" s="390">
        <f>'IFA-OldLaw'!Y75</f>
        <v>0</v>
      </c>
    </row>
    <row r="20" spans="1:5" s="382" customFormat="1" ht="15">
      <c r="A20" s="385" t="s">
        <v>119</v>
      </c>
      <c r="B20" s="386" t="s">
        <v>2972</v>
      </c>
      <c r="C20" s="386"/>
      <c r="D20" s="390">
        <f>'IFA-OldLaw'!X79</f>
        <v>0</v>
      </c>
      <c r="E20" s="390">
        <f>'IFA-OldLaw'!Y79</f>
        <v>0</v>
      </c>
    </row>
    <row r="21" spans="1:5" s="382" customFormat="1" ht="15.75">
      <c r="A21" s="385" t="s">
        <v>120</v>
      </c>
      <c r="B21" s="384" t="s">
        <v>2973</v>
      </c>
      <c r="C21" s="386"/>
      <c r="D21" s="390">
        <f>'IFA-OldLaw'!X86</f>
        <v>0</v>
      </c>
      <c r="E21" s="390">
        <f>'IFA-OldLaw'!Y86</f>
        <v>0</v>
      </c>
    </row>
    <row r="22" spans="1:5" s="382" customFormat="1" ht="15.75">
      <c r="B22" s="477" t="s">
        <v>2978</v>
      </c>
      <c r="D22" s="1306" t="s">
        <v>6873</v>
      </c>
    </row>
    <row r="23" spans="1:5" s="382" customFormat="1" ht="15"/>
    <row r="24" spans="1:5" s="382" customFormat="1" ht="15.75">
      <c r="B24" s="325" t="s">
        <v>2939</v>
      </c>
    </row>
    <row r="25" spans="1:5" s="382" customFormat="1" ht="15.75">
      <c r="B25" s="325" t="s">
        <v>8270</v>
      </c>
    </row>
    <row r="26" spans="1:5" s="382" customFormat="1" ht="15.75">
      <c r="B26" s="325" t="s">
        <v>8271</v>
      </c>
    </row>
    <row r="27" spans="1:5" s="382" customFormat="1" ht="15.75">
      <c r="B27" s="565" t="s">
        <v>8272</v>
      </c>
    </row>
    <row r="28" spans="1:5" s="382" customFormat="1" ht="15"/>
    <row r="29" spans="1:5" s="382" customFormat="1" ht="15.75">
      <c r="B29" s="325" t="s">
        <v>8273</v>
      </c>
    </row>
    <row r="30" spans="1:5" s="382" customFormat="1" ht="15.75">
      <c r="B30" s="565" t="s">
        <v>8274</v>
      </c>
    </row>
    <row r="31" spans="1:5" s="382" customFormat="1" ht="15.75">
      <c r="B31" s="325" t="s">
        <v>8275</v>
      </c>
    </row>
    <row r="32" spans="1:5" s="382" customFormat="1" ht="15.75">
      <c r="B32" s="473" t="s">
        <v>6916</v>
      </c>
      <c r="E32" s="833">
        <f>IF(ISNA('DE1'!F65),0,'DE1'!F65)</f>
        <v>0</v>
      </c>
    </row>
    <row r="33" spans="2:5" s="382" customFormat="1" ht="15.75">
      <c r="B33" s="325"/>
    </row>
    <row r="34" spans="2:5" s="382" customFormat="1" ht="15"/>
    <row r="35" spans="2:5" s="382" customFormat="1" ht="15.75">
      <c r="D35" s="482" t="s">
        <v>1718</v>
      </c>
      <c r="E35" s="482" t="s">
        <v>1719</v>
      </c>
    </row>
    <row r="36" spans="2:5" s="382" customFormat="1" ht="15.75">
      <c r="D36" s="482" t="s">
        <v>3044</v>
      </c>
      <c r="E36" s="482" t="s">
        <v>3044</v>
      </c>
    </row>
    <row r="37" spans="2:5" s="382" customFormat="1" ht="15.75">
      <c r="B37" s="1955" t="s">
        <v>2451</v>
      </c>
      <c r="C37" s="325"/>
      <c r="D37" s="1989">
        <f>IFA_Limits!L55</f>
        <v>0</v>
      </c>
      <c r="E37" s="1989">
        <f>IFA_Limits!L56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122'!A1" display="'Report-SOF2122'!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0" t="s">
        <v>3118</v>
      </c>
      <c r="E1" s="754" t="str">
        <f>'Report-IFA1920'!E1</f>
        <v>Release 10</v>
      </c>
    </row>
    <row r="2" spans="1:5">
      <c r="A2" s="380" t="s">
        <v>3119</v>
      </c>
      <c r="E2" s="72">
        <f>'Report-IFA1920'!E2</f>
        <v>43724</v>
      </c>
    </row>
    <row r="3" spans="1:5">
      <c r="A3" s="64"/>
      <c r="E3" s="58">
        <f>'Report-IFA1920'!E3</f>
        <v>0</v>
      </c>
    </row>
    <row r="4" spans="1:5" ht="15.75">
      <c r="A4" s="381" t="s">
        <v>6919</v>
      </c>
    </row>
    <row r="5" spans="1:5" ht="15.75">
      <c r="A5" s="383">
        <f>'Data Entry - SOF'!B1</f>
        <v>0</v>
      </c>
    </row>
    <row r="6" spans="1:5" ht="15.75">
      <c r="A6" s="381">
        <f>'Data Entry - SOF'!B2</f>
        <v>0</v>
      </c>
    </row>
    <row r="8" spans="1:5" ht="18">
      <c r="A8" s="591" t="s">
        <v>3121</v>
      </c>
      <c r="B8" s="535"/>
      <c r="C8" s="532" t="s">
        <v>2080</v>
      </c>
      <c r="D8" s="592"/>
      <c r="E8" s="593" t="s">
        <v>3123</v>
      </c>
    </row>
    <row r="9" spans="1:5" ht="18">
      <c r="A9" s="552" t="s">
        <v>3120</v>
      </c>
      <c r="B9" s="594"/>
      <c r="C9" s="533" t="s">
        <v>3122</v>
      </c>
      <c r="D9" s="595"/>
      <c r="E9" s="537" t="s">
        <v>3124</v>
      </c>
    </row>
    <row r="10" spans="1:5" ht="15.75">
      <c r="A10" s="596" t="s">
        <v>3129</v>
      </c>
      <c r="B10" s="597"/>
      <c r="C10" s="597"/>
      <c r="D10" s="597"/>
      <c r="E10" s="598"/>
    </row>
    <row r="11" spans="1:5" ht="15">
      <c r="A11" s="385" t="s">
        <v>2186</v>
      </c>
      <c r="B11" s="386" t="s">
        <v>3125</v>
      </c>
      <c r="C11" s="388">
        <f>'Data Entry - SOF'!O129</f>
        <v>0</v>
      </c>
      <c r="D11" s="386"/>
      <c r="E11" s="388" t="e">
        <f>'Report-SOF2122'!D56</f>
        <v>#DIV/0!</v>
      </c>
    </row>
    <row r="12" spans="1:5" ht="15">
      <c r="A12" s="385" t="s">
        <v>2187</v>
      </c>
      <c r="B12" s="386" t="s">
        <v>3126</v>
      </c>
      <c r="C12" s="388">
        <f>'Data Entry - SOF'!O130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8">
      <c r="A15" s="382"/>
      <c r="B15" s="599" t="s">
        <v>3130</v>
      </c>
      <c r="C15" s="492"/>
      <c r="D15" s="492"/>
      <c r="E15" s="602" t="e">
        <f>E13-C13</f>
        <v>#DIV/0!</v>
      </c>
    </row>
    <row r="16" spans="1:5" ht="15.75">
      <c r="A16" s="382"/>
      <c r="C16" s="477" t="s">
        <v>2978</v>
      </c>
      <c r="D16" s="382"/>
      <c r="E16" s="1306" t="s">
        <v>6873</v>
      </c>
    </row>
    <row r="17" spans="1:5" ht="15.75">
      <c r="A17" s="382"/>
      <c r="C17" s="477"/>
      <c r="D17" s="382"/>
      <c r="E17" s="382"/>
    </row>
    <row r="18" spans="1:5" ht="15">
      <c r="A18" s="382"/>
      <c r="B18" s="382"/>
      <c r="C18" s="382"/>
      <c r="D18" s="382"/>
      <c r="E18" s="382"/>
    </row>
    <row r="19" spans="1:5" ht="15.75">
      <c r="A19" s="382"/>
      <c r="B19" s="325" t="s">
        <v>3128</v>
      </c>
      <c r="C19" s="382"/>
      <c r="D19" s="382"/>
      <c r="E19" s="382"/>
    </row>
    <row r="20" spans="1:5" ht="15.75">
      <c r="A20" s="382"/>
      <c r="B20" s="325" t="s">
        <v>3133</v>
      </c>
      <c r="C20" s="382"/>
      <c r="D20" s="382"/>
      <c r="E20" s="382"/>
    </row>
    <row r="21" spans="1:5" ht="15.75">
      <c r="A21" s="382"/>
      <c r="B21" s="325" t="s">
        <v>3134</v>
      </c>
      <c r="C21" s="382"/>
      <c r="D21" s="382"/>
    </row>
    <row r="22" spans="1:5" ht="15.75">
      <c r="A22" s="382"/>
      <c r="B22" s="325" t="s">
        <v>3135</v>
      </c>
    </row>
    <row r="23" spans="1:5" ht="15.75">
      <c r="A23" s="382"/>
      <c r="B23" s="325"/>
    </row>
    <row r="24" spans="1:5" ht="15.75">
      <c r="A24" s="382"/>
      <c r="B24" s="325" t="s">
        <v>3131</v>
      </c>
    </row>
    <row r="25" spans="1:5" ht="15.7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2122'!A1" display="'Report-SOF2122'!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38"/>
  <sheetViews>
    <sheetView zoomScale="90" zoomScaleNormal="90" workbookViewId="0">
      <selection activeCell="A34" sqref="A34"/>
    </sheetView>
  </sheetViews>
  <sheetFormatPr defaultRowHeight="12.75"/>
  <cols>
    <col min="2" max="2" width="38.140625" customWidth="1"/>
    <col min="3" max="3" width="20.5703125" style="2058" hidden="1" customWidth="1"/>
    <col min="4" max="4" width="2.5703125" style="2058" hidden="1" customWidth="1"/>
    <col min="5" max="5" width="20.5703125" style="2058" hidden="1" customWidth="1"/>
    <col min="6" max="6" width="2.5703125" style="2058" hidden="1" customWidth="1"/>
    <col min="7" max="7" width="20.5703125" style="2058" hidden="1" customWidth="1"/>
    <col min="8" max="8" width="2.5703125" style="2058" hidden="1" customWidth="1"/>
    <col min="9" max="9" width="20.5703125" style="2058" hidden="1" customWidth="1"/>
    <col min="10" max="10" width="14.140625" customWidth="1"/>
    <col min="11" max="11" width="20.5703125" style="35" hidden="1" customWidth="1"/>
    <col min="12" max="12" width="2.5703125" style="35" hidden="1" customWidth="1"/>
    <col min="13" max="13" width="20.5703125" style="35" hidden="1" customWidth="1"/>
    <col min="14" max="14" width="2.5703125" style="35" hidden="1" customWidth="1"/>
    <col min="15" max="15" width="20.5703125" style="35" hidden="1" customWidth="1"/>
    <col min="16" max="16" width="2.5703125" style="35" hidden="1" customWidth="1"/>
    <col min="17" max="17" width="20.5703125" style="35" hidden="1" customWidth="1"/>
    <col min="18" max="18" width="5.5703125" style="679" customWidth="1"/>
    <col min="19" max="19" width="20.5703125" style="679" customWidth="1"/>
    <col min="20" max="20" width="2.5703125" style="679" customWidth="1"/>
    <col min="21" max="21" width="20.5703125" style="679" customWidth="1"/>
    <col min="22" max="22" width="2.5703125" style="679" customWidth="1"/>
    <col min="23" max="23" width="20.5703125" style="679" customWidth="1"/>
    <col min="24" max="24" width="2.5703125" style="679" customWidth="1"/>
    <col min="25" max="25" width="20.5703125" style="679" customWidth="1"/>
    <col min="26" max="26" width="5.5703125" style="1817" customWidth="1"/>
    <col min="27" max="27" width="20.5703125" style="1817" customWidth="1"/>
    <col min="28" max="28" width="2.5703125" style="1817" customWidth="1"/>
    <col min="29" max="29" width="20.5703125" style="1817" customWidth="1"/>
    <col min="30" max="30" width="2.5703125" style="1817" customWidth="1"/>
    <col min="31" max="31" width="20.5703125" style="1817" customWidth="1"/>
    <col min="32" max="32" width="2.5703125" style="1817" customWidth="1"/>
    <col min="33" max="33" width="20.5703125" style="1817" customWidth="1"/>
    <col min="34" max="34" width="5.5703125" style="851" customWidth="1"/>
    <col min="35" max="35" width="20.5703125" style="851" customWidth="1"/>
    <col min="36" max="36" width="2.5703125" style="851" customWidth="1"/>
    <col min="37" max="37" width="20.5703125" style="851" customWidth="1"/>
    <col min="38" max="38" width="2.5703125" style="851" customWidth="1"/>
    <col min="39" max="39" width="20.5703125" style="851" customWidth="1"/>
    <col min="40" max="40" width="2.5703125" style="851" customWidth="1"/>
    <col min="41" max="41" width="20.5703125" style="851" customWidth="1"/>
    <col min="42" max="42" width="5.5703125" style="1872" customWidth="1"/>
    <col min="43" max="43" width="20.5703125" style="1872" customWidth="1"/>
    <col min="44" max="44" width="2.5703125" style="1872" customWidth="1"/>
    <col min="45" max="45" width="20.5703125" style="1872" customWidth="1"/>
    <col min="46" max="46" width="2.5703125" style="1872" customWidth="1"/>
    <col min="47" max="47" width="20.5703125" style="1872" customWidth="1"/>
    <col min="48" max="48" width="2.5703125" style="1872" customWidth="1"/>
    <col min="49" max="49" width="20.5703125" style="1872" customWidth="1"/>
    <col min="50" max="50" width="5.5703125" style="1474" customWidth="1"/>
    <col min="51" max="51" width="20.5703125" style="1474" customWidth="1"/>
    <col min="52" max="52" width="2.5703125" style="1474" customWidth="1"/>
    <col min="53" max="53" width="20.5703125" style="1474" customWidth="1"/>
    <col min="54" max="54" width="2.5703125" style="1474" customWidth="1"/>
    <col min="55" max="55" width="20.5703125" style="1474" customWidth="1"/>
    <col min="56" max="56" width="2.5703125" style="1474" customWidth="1"/>
    <col min="57" max="57" width="20.5703125" style="1474" customWidth="1"/>
    <col min="58" max="58" width="5.5703125" style="1908" customWidth="1"/>
    <col min="59" max="59" width="20.5703125" style="1908" customWidth="1"/>
    <col min="60" max="60" width="2.5703125" style="1908" customWidth="1"/>
    <col min="61" max="61" width="20.5703125" style="1908" customWidth="1"/>
    <col min="62" max="62" width="2.5703125" style="1908" customWidth="1"/>
    <col min="63" max="63" width="20.5703125" style="1908" customWidth="1"/>
    <col min="64" max="64" width="2.5703125" style="1908" customWidth="1"/>
    <col min="65" max="65" width="20.5703125" style="1908" customWidth="1"/>
    <col min="66" max="66" width="8.5703125" customWidth="1"/>
    <col min="67" max="70" width="20.5703125" style="3066" hidden="1" customWidth="1"/>
    <col min="71" max="71" width="8.5703125" hidden="1" customWidth="1"/>
    <col min="72" max="72" width="8.5703125" customWidth="1"/>
    <col min="73" max="75" width="9.140625" customWidth="1"/>
    <col min="81" max="81" width="20.5703125" style="334" hidden="1" customWidth="1"/>
    <col min="82" max="82" width="2.5703125" style="334" hidden="1" customWidth="1"/>
    <col min="83" max="83" width="20.5703125" style="334" hidden="1" customWidth="1"/>
    <col min="84" max="84" width="2.5703125" style="334" hidden="1" customWidth="1"/>
    <col min="85" max="85" width="20.5703125" style="334" hidden="1" customWidth="1"/>
    <col min="86" max="86" width="2.5703125" style="334" hidden="1" customWidth="1"/>
    <col min="87" max="87" width="20.5703125" style="334" hidden="1" customWidth="1"/>
    <col min="88" max="88" width="5.5703125" style="120" hidden="1" customWidth="1"/>
    <col min="89" max="89" width="20.5703125" style="921" hidden="1" customWidth="1"/>
    <col min="90" max="90" width="2.5703125" style="921" hidden="1" customWidth="1"/>
    <col min="91" max="91" width="20.5703125" style="921" hidden="1" customWidth="1"/>
    <col min="92" max="92" width="2.5703125" style="921" hidden="1" customWidth="1"/>
    <col min="93" max="93" width="20.5703125" style="921" hidden="1" customWidth="1"/>
    <col min="94" max="94" width="2.5703125" style="921" hidden="1" customWidth="1"/>
    <col min="95" max="95" width="20.5703125" style="921" hidden="1" customWidth="1"/>
    <col min="96" max="96" width="5.5703125" style="922" hidden="1" customWidth="1"/>
    <col min="97" max="97" width="20.5703125" style="897" hidden="1" customWidth="1"/>
    <col min="98" max="98" width="2.5703125" style="897" hidden="1" customWidth="1"/>
    <col min="99" max="99" width="20.5703125" style="897" hidden="1" customWidth="1"/>
    <col min="100" max="100" width="2.5703125" style="897" hidden="1" customWidth="1"/>
    <col min="101" max="101" width="20.5703125" style="897" hidden="1" customWidth="1"/>
    <col min="102" max="102" width="2.5703125" style="897" hidden="1" customWidth="1"/>
    <col min="103" max="103" width="20.5703125" style="897" hidden="1" customWidth="1"/>
    <col min="104" max="104" width="5.5703125" style="898" hidden="1" customWidth="1"/>
    <col min="105" max="105" width="20.5703125" style="788" hidden="1" customWidth="1"/>
    <col min="106" max="106" width="2.5703125" style="788" hidden="1" customWidth="1"/>
    <col min="107" max="107" width="20.5703125" style="788" hidden="1" customWidth="1"/>
    <col min="108" max="108" width="2.5703125" style="788" hidden="1" customWidth="1"/>
    <col min="109" max="109" width="20.5703125" style="788" hidden="1" customWidth="1"/>
    <col min="110" max="110" width="2.5703125" style="788" hidden="1" customWidth="1"/>
    <col min="111" max="111" width="20.5703125" style="788" hidden="1" customWidth="1"/>
    <col min="112" max="112" width="5.5703125" style="606" hidden="1" customWidth="1"/>
    <col min="113" max="113" width="20.5703125" style="897" hidden="1" customWidth="1"/>
    <col min="114" max="114" width="2.5703125" style="897" hidden="1" customWidth="1"/>
    <col min="115" max="115" width="20.5703125" style="897" hidden="1" customWidth="1"/>
    <col min="116" max="116" width="2.5703125" style="897" hidden="1" customWidth="1"/>
    <col min="117" max="117" width="20.5703125" style="897" hidden="1" customWidth="1"/>
    <col min="118" max="118" width="2.5703125" style="897" hidden="1" customWidth="1"/>
    <col min="119" max="119" width="20.5703125" style="897" hidden="1" customWidth="1"/>
    <col min="120" max="120" width="5.5703125" style="898" hidden="1" customWidth="1"/>
    <col min="121" max="121" width="20.5703125" style="788" hidden="1" customWidth="1"/>
    <col min="122" max="122" width="2.5703125" style="788" hidden="1" customWidth="1"/>
    <col min="123" max="123" width="20.5703125" style="788" hidden="1" customWidth="1"/>
    <col min="124" max="124" width="2.5703125" style="788" hidden="1" customWidth="1"/>
    <col min="125" max="125" width="20.5703125" style="788" hidden="1" customWidth="1"/>
    <col min="126" max="126" width="2.5703125" style="788" hidden="1" customWidth="1"/>
    <col min="127" max="127" width="20.5703125" style="788" hidden="1" customWidth="1"/>
    <col min="128" max="128" width="5.5703125" style="606" hidden="1" customWidth="1"/>
    <col min="129" max="129" width="20.5703125" style="897" hidden="1" customWidth="1"/>
    <col min="130" max="130" width="2.5703125" style="897" hidden="1" customWidth="1"/>
    <col min="131" max="131" width="20.5703125" style="897" hidden="1" customWidth="1"/>
    <col min="132" max="132" width="2.5703125" style="897" hidden="1" customWidth="1"/>
    <col min="133" max="133" width="20.5703125" style="897" hidden="1" customWidth="1"/>
    <col min="134" max="134" width="2.5703125" style="897" hidden="1" customWidth="1"/>
    <col min="135" max="135" width="20.5703125" style="897" hidden="1" customWidth="1"/>
    <col min="136" max="136" width="5.5703125" style="898" hidden="1" customWidth="1"/>
    <col min="137" max="137" width="20.5703125" style="788" hidden="1" customWidth="1"/>
    <col min="138" max="138" width="2.5703125" style="788" hidden="1" customWidth="1"/>
    <col min="139" max="139" width="20.5703125" style="788" hidden="1" customWidth="1"/>
    <col min="140" max="140" width="2.5703125" style="788" hidden="1" customWidth="1"/>
    <col min="141" max="141" width="20.5703125" style="788" hidden="1" customWidth="1"/>
    <col min="142" max="142" width="2.5703125" style="788" hidden="1" customWidth="1"/>
    <col min="143" max="143" width="20.5703125" style="788" hidden="1" customWidth="1"/>
    <col min="144" max="144" width="5.5703125" style="606" hidden="1" customWidth="1"/>
    <col min="145" max="147" width="0" hidden="1" customWidth="1"/>
  </cols>
  <sheetData>
    <row r="1" spans="1:143">
      <c r="I1" s="2070"/>
      <c r="K1" s="1813" t="s">
        <v>8237</v>
      </c>
      <c r="L1" s="1813"/>
      <c r="M1" s="1813"/>
      <c r="N1" s="1813"/>
      <c r="O1" s="1813"/>
      <c r="P1" s="1813"/>
      <c r="Q1" s="1814"/>
      <c r="R1" s="1417"/>
      <c r="S1" s="1813" t="s">
        <v>8237</v>
      </c>
      <c r="T1" s="1813"/>
      <c r="U1" s="1813"/>
      <c r="V1" s="1813"/>
      <c r="W1" s="1813"/>
      <c r="X1" s="1813"/>
      <c r="Y1" s="1814"/>
      <c r="Z1" s="1417"/>
      <c r="AA1" s="1813" t="s">
        <v>8237</v>
      </c>
      <c r="AB1" s="1813"/>
      <c r="AC1" s="1813"/>
      <c r="AD1" s="1813"/>
      <c r="AE1" s="1813"/>
      <c r="AF1" s="1813"/>
      <c r="AG1" s="1814"/>
      <c r="AH1" s="1417"/>
      <c r="AI1" s="1813" t="s">
        <v>8237</v>
      </c>
      <c r="AJ1" s="1813"/>
      <c r="AK1" s="1813"/>
      <c r="AL1" s="1813"/>
      <c r="AM1" s="1813"/>
      <c r="AN1" s="1813"/>
      <c r="AO1" s="1814"/>
      <c r="AP1" s="1417"/>
      <c r="AQ1" s="1813" t="s">
        <v>8237</v>
      </c>
      <c r="AR1" s="1813"/>
      <c r="AS1" s="1813"/>
      <c r="AT1" s="1813"/>
      <c r="AU1" s="1813"/>
      <c r="AV1" s="1813"/>
      <c r="AW1" s="1814"/>
      <c r="AX1" s="1417"/>
      <c r="AY1" s="1813" t="s">
        <v>8237</v>
      </c>
      <c r="AZ1" s="1813"/>
      <c r="BA1" s="1813"/>
      <c r="BB1" s="1813"/>
      <c r="BC1" s="1813"/>
      <c r="BD1" s="1813"/>
      <c r="BE1" s="1814"/>
      <c r="BF1" s="1417"/>
      <c r="BG1" s="1813" t="s">
        <v>8237</v>
      </c>
      <c r="BH1" s="1813"/>
      <c r="BI1" s="1813"/>
      <c r="BJ1" s="1813"/>
      <c r="BK1" s="1813"/>
      <c r="BL1" s="1813"/>
      <c r="BM1" s="1814"/>
    </row>
    <row r="2" spans="1:143">
      <c r="I2" s="2070"/>
      <c r="K2" s="1813" t="s">
        <v>8239</v>
      </c>
      <c r="L2" s="1813"/>
      <c r="M2" s="1813"/>
      <c r="N2" s="1813"/>
      <c r="O2" s="1813"/>
      <c r="P2" s="1813"/>
      <c r="Q2" s="1814"/>
      <c r="R2" s="1417"/>
      <c r="S2" s="1813" t="s">
        <v>8240</v>
      </c>
      <c r="T2" s="1813"/>
      <c r="U2" s="1813"/>
      <c r="V2" s="1813"/>
      <c r="W2" s="1813"/>
      <c r="X2" s="1813"/>
      <c r="Y2" s="1814"/>
      <c r="Z2" s="1417"/>
      <c r="AA2" s="1813" t="s">
        <v>8241</v>
      </c>
      <c r="AB2" s="1813"/>
      <c r="AC2" s="1813"/>
      <c r="AD2" s="1813"/>
      <c r="AE2" s="1813"/>
      <c r="AF2" s="1813"/>
      <c r="AG2" s="1814"/>
      <c r="AH2" s="1417"/>
      <c r="AI2" s="1813" t="s">
        <v>8242</v>
      </c>
      <c r="AJ2" s="1813"/>
      <c r="AK2" s="1813"/>
      <c r="AL2" s="1813"/>
      <c r="AM2" s="1813"/>
      <c r="AN2" s="1813"/>
      <c r="AO2" s="1814"/>
      <c r="AP2" s="1417"/>
      <c r="AQ2" s="1813" t="s">
        <v>8244</v>
      </c>
      <c r="AR2" s="1813"/>
      <c r="AS2" s="1813"/>
      <c r="AT2" s="1813"/>
      <c r="AU2" s="1813"/>
      <c r="AV2" s="1813"/>
      <c r="AW2" s="1814"/>
      <c r="AX2" s="1417"/>
      <c r="AY2" s="1813" t="s">
        <v>8243</v>
      </c>
      <c r="AZ2" s="1813"/>
      <c r="BA2" s="1813"/>
      <c r="BB2" s="1813"/>
      <c r="BC2" s="1813"/>
      <c r="BD2" s="1813"/>
      <c r="BE2" s="1814"/>
      <c r="BF2" s="1417"/>
      <c r="BG2" s="1813" t="s">
        <v>8245</v>
      </c>
      <c r="BH2" s="1813"/>
      <c r="BI2" s="1813"/>
      <c r="BJ2" s="1813"/>
      <c r="BK2" s="1813"/>
      <c r="BL2" s="1813"/>
      <c r="BM2" s="1814"/>
    </row>
    <row r="3" spans="1:143">
      <c r="I3" s="2070"/>
      <c r="K3" s="1813" t="s">
        <v>8238</v>
      </c>
      <c r="L3" s="1813"/>
      <c r="M3" s="1813"/>
      <c r="N3" s="1813"/>
      <c r="O3" s="1813"/>
      <c r="P3" s="1813"/>
      <c r="Q3" s="1814"/>
      <c r="R3" s="1417"/>
      <c r="S3" s="1813" t="s">
        <v>8238</v>
      </c>
      <c r="T3" s="1813"/>
      <c r="U3" s="1813"/>
      <c r="V3" s="1813"/>
      <c r="W3" s="1813"/>
      <c r="X3" s="1813"/>
      <c r="Y3" s="1814"/>
      <c r="Z3" s="1417"/>
      <c r="AA3" s="1813" t="s">
        <v>8238</v>
      </c>
      <c r="AB3" s="1813"/>
      <c r="AC3" s="1813"/>
      <c r="AD3" s="1813"/>
      <c r="AE3" s="1813"/>
      <c r="AF3" s="1813"/>
      <c r="AG3" s="1814"/>
      <c r="AH3" s="1417"/>
      <c r="AI3" s="1813" t="s">
        <v>8238</v>
      </c>
      <c r="AJ3" s="1813"/>
      <c r="AK3" s="1813"/>
      <c r="AL3" s="1813"/>
      <c r="AM3" s="1813"/>
      <c r="AN3" s="1813"/>
      <c r="AO3" s="1814"/>
      <c r="AP3" s="1417"/>
      <c r="AQ3" s="1813" t="s">
        <v>8238</v>
      </c>
      <c r="AR3" s="1813"/>
      <c r="AS3" s="1813"/>
      <c r="AT3" s="1813"/>
      <c r="AU3" s="1813"/>
      <c r="AV3" s="1813"/>
      <c r="AW3" s="1814"/>
      <c r="AX3" s="1417"/>
      <c r="AY3" s="1813" t="s">
        <v>8238</v>
      </c>
      <c r="AZ3" s="1813"/>
      <c r="BA3" s="1813"/>
      <c r="BB3" s="1813"/>
      <c r="BC3" s="1813"/>
      <c r="BD3" s="1813"/>
      <c r="BE3" s="1814"/>
      <c r="BF3" s="1417"/>
      <c r="BG3" s="1813" t="s">
        <v>8238</v>
      </c>
      <c r="BH3" s="1813"/>
      <c r="BI3" s="1813"/>
      <c r="BJ3" s="1813"/>
      <c r="BK3" s="1813"/>
      <c r="BL3" s="1813"/>
      <c r="BM3" s="1814"/>
    </row>
    <row r="4" spans="1:143">
      <c r="I4" s="2070"/>
      <c r="Q4" s="1616"/>
      <c r="Y4" s="1093"/>
      <c r="AG4" s="1818"/>
      <c r="AO4" s="1642"/>
      <c r="AW4" s="1873"/>
      <c r="BE4" s="1612"/>
      <c r="BM4" s="1909"/>
    </row>
    <row r="5" spans="1:143">
      <c r="I5" s="2070"/>
      <c r="Q5" s="1616"/>
      <c r="Y5" s="1093"/>
      <c r="AG5" s="1818"/>
      <c r="AO5" s="1642"/>
      <c r="AW5" s="1873"/>
      <c r="BE5" s="1612"/>
      <c r="BM5" s="1909"/>
    </row>
    <row r="6" spans="1:143">
      <c r="C6" s="2353" t="s">
        <v>3180</v>
      </c>
      <c r="D6" s="2353"/>
      <c r="E6" s="2353" t="s">
        <v>3180</v>
      </c>
      <c r="F6" s="2353"/>
      <c r="G6" s="2353" t="s">
        <v>3180</v>
      </c>
      <c r="H6" s="2353"/>
      <c r="I6" s="2354" t="s">
        <v>3180</v>
      </c>
      <c r="K6" s="54" t="s">
        <v>3180</v>
      </c>
      <c r="L6" s="54"/>
      <c r="M6" s="54" t="s">
        <v>3180</v>
      </c>
      <c r="N6" s="54"/>
      <c r="O6" s="54" t="s">
        <v>3180</v>
      </c>
      <c r="P6" s="54"/>
      <c r="Q6" s="1617" t="s">
        <v>3180</v>
      </c>
      <c r="S6" s="681" t="s">
        <v>3180</v>
      </c>
      <c r="T6" s="681"/>
      <c r="U6" s="681" t="s">
        <v>3180</v>
      </c>
      <c r="V6" s="681"/>
      <c r="W6" s="681" t="s">
        <v>3180</v>
      </c>
      <c r="X6" s="681"/>
      <c r="Y6" s="1094" t="s">
        <v>3180</v>
      </c>
      <c r="AA6" s="1819" t="s">
        <v>3180</v>
      </c>
      <c r="AB6" s="1819"/>
      <c r="AC6" s="1819" t="s">
        <v>3180</v>
      </c>
      <c r="AD6" s="1819"/>
      <c r="AE6" s="1819" t="s">
        <v>3180</v>
      </c>
      <c r="AF6" s="1819"/>
      <c r="AG6" s="1820" t="s">
        <v>3180</v>
      </c>
      <c r="AI6" s="852" t="s">
        <v>3180</v>
      </c>
      <c r="AJ6" s="852"/>
      <c r="AK6" s="852" t="s">
        <v>3180</v>
      </c>
      <c r="AL6" s="852"/>
      <c r="AM6" s="852" t="s">
        <v>3180</v>
      </c>
      <c r="AN6" s="852"/>
      <c r="AO6" s="1643" t="s">
        <v>3180</v>
      </c>
      <c r="AQ6" s="1874" t="s">
        <v>3180</v>
      </c>
      <c r="AR6" s="1874"/>
      <c r="AS6" s="1874" t="s">
        <v>3180</v>
      </c>
      <c r="AT6" s="1874"/>
      <c r="AU6" s="1874" t="s">
        <v>3180</v>
      </c>
      <c r="AV6" s="1874"/>
      <c r="AW6" s="1875" t="s">
        <v>3180</v>
      </c>
      <c r="AY6" s="1470" t="s">
        <v>3180</v>
      </c>
      <c r="AZ6" s="1470"/>
      <c r="BA6" s="1470" t="s">
        <v>3180</v>
      </c>
      <c r="BB6" s="1470"/>
      <c r="BC6" s="1470" t="s">
        <v>3180</v>
      </c>
      <c r="BD6" s="1470"/>
      <c r="BE6" s="1613" t="s">
        <v>3180</v>
      </c>
      <c r="BG6" s="1910" t="s">
        <v>3180</v>
      </c>
      <c r="BH6" s="1910"/>
      <c r="BI6" s="1910" t="s">
        <v>3180</v>
      </c>
      <c r="BJ6" s="1910"/>
      <c r="BK6" s="1910" t="s">
        <v>3180</v>
      </c>
      <c r="BL6" s="1910"/>
      <c r="BM6" s="1911" t="s">
        <v>3180</v>
      </c>
      <c r="BO6" s="2686" t="s">
        <v>8570</v>
      </c>
      <c r="BP6" s="2647"/>
      <c r="BQ6" s="2647"/>
      <c r="BR6" s="2646"/>
      <c r="CC6" s="875" t="s">
        <v>4014</v>
      </c>
      <c r="CD6" s="875"/>
      <c r="CE6" s="875" t="s">
        <v>4014</v>
      </c>
      <c r="CF6" s="875"/>
      <c r="CG6" s="875" t="s">
        <v>4014</v>
      </c>
      <c r="CH6" s="875"/>
      <c r="CI6" s="875" t="s">
        <v>4014</v>
      </c>
      <c r="CK6" s="875" t="s">
        <v>3182</v>
      </c>
      <c r="CL6" s="875"/>
      <c r="CM6" s="875" t="s">
        <v>3182</v>
      </c>
      <c r="CN6" s="875"/>
      <c r="CO6" s="875" t="s">
        <v>3182</v>
      </c>
      <c r="CP6" s="875"/>
      <c r="CQ6" s="875" t="s">
        <v>3182</v>
      </c>
      <c r="CS6" s="875" t="s">
        <v>4014</v>
      </c>
      <c r="CT6" s="875"/>
      <c r="CU6" s="875" t="s">
        <v>4014</v>
      </c>
      <c r="CV6" s="875"/>
      <c r="CW6" s="875" t="s">
        <v>4014</v>
      </c>
      <c r="CX6" s="875"/>
      <c r="CY6" s="875" t="s">
        <v>4014</v>
      </c>
      <c r="DA6" s="875" t="s">
        <v>3182</v>
      </c>
      <c r="DB6" s="875"/>
      <c r="DC6" s="875" t="s">
        <v>3182</v>
      </c>
      <c r="DD6" s="875"/>
      <c r="DE6" s="875" t="s">
        <v>3182</v>
      </c>
      <c r="DF6" s="875"/>
      <c r="DG6" s="875" t="s">
        <v>3182</v>
      </c>
      <c r="DI6" s="875" t="s">
        <v>4014</v>
      </c>
      <c r="DJ6" s="875"/>
      <c r="DK6" s="875" t="s">
        <v>4014</v>
      </c>
      <c r="DL6" s="875"/>
      <c r="DM6" s="875" t="s">
        <v>4014</v>
      </c>
      <c r="DN6" s="875"/>
      <c r="DO6" s="875" t="s">
        <v>4014</v>
      </c>
      <c r="DQ6" s="875" t="s">
        <v>3182</v>
      </c>
      <c r="DR6" s="875"/>
      <c r="DS6" s="875" t="s">
        <v>3182</v>
      </c>
      <c r="DT6" s="875"/>
      <c r="DU6" s="875" t="s">
        <v>3182</v>
      </c>
      <c r="DV6" s="875"/>
      <c r="DW6" s="875" t="s">
        <v>3182</v>
      </c>
      <c r="DY6" s="875" t="s">
        <v>4014</v>
      </c>
      <c r="DZ6" s="875"/>
      <c r="EA6" s="875" t="s">
        <v>4014</v>
      </c>
      <c r="EB6" s="875"/>
      <c r="EC6" s="875" t="s">
        <v>4014</v>
      </c>
      <c r="ED6" s="875"/>
      <c r="EE6" s="875" t="s">
        <v>4014</v>
      </c>
      <c r="EG6" s="878" t="s">
        <v>4014</v>
      </c>
      <c r="EH6" s="878"/>
      <c r="EI6" s="878" t="s">
        <v>4014</v>
      </c>
      <c r="EJ6" s="878"/>
      <c r="EK6" s="878" t="s">
        <v>4014</v>
      </c>
      <c r="EL6" s="878"/>
      <c r="EM6" s="878" t="s">
        <v>4014</v>
      </c>
    </row>
    <row r="7" spans="1:143">
      <c r="C7" s="2353" t="s">
        <v>3138</v>
      </c>
      <c r="D7" s="2353"/>
      <c r="E7" s="2353" t="s">
        <v>3138</v>
      </c>
      <c r="F7" s="2353"/>
      <c r="G7" s="2353" t="s">
        <v>3138</v>
      </c>
      <c r="H7" s="2353"/>
      <c r="I7" s="2354" t="s">
        <v>3138</v>
      </c>
      <c r="K7" s="54" t="s">
        <v>3144</v>
      </c>
      <c r="L7" s="54"/>
      <c r="M7" s="54" t="s">
        <v>3144</v>
      </c>
      <c r="N7" s="54"/>
      <c r="O7" s="54" t="s">
        <v>3144</v>
      </c>
      <c r="P7" s="54"/>
      <c r="Q7" s="1617" t="s">
        <v>3144</v>
      </c>
      <c r="S7" s="681" t="s">
        <v>3225</v>
      </c>
      <c r="T7" s="681"/>
      <c r="U7" s="681" t="s">
        <v>3225</v>
      </c>
      <c r="V7" s="681"/>
      <c r="W7" s="681" t="s">
        <v>3225</v>
      </c>
      <c r="X7" s="681"/>
      <c r="Y7" s="1094" t="s">
        <v>3225</v>
      </c>
      <c r="AA7" s="1819" t="s">
        <v>3284</v>
      </c>
      <c r="AB7" s="1819"/>
      <c r="AC7" s="1819" t="s">
        <v>3284</v>
      </c>
      <c r="AD7" s="1819"/>
      <c r="AE7" s="1819" t="s">
        <v>3284</v>
      </c>
      <c r="AF7" s="1819"/>
      <c r="AG7" s="1820" t="s">
        <v>3284</v>
      </c>
      <c r="AI7" s="852" t="s">
        <v>3922</v>
      </c>
      <c r="AJ7" s="852"/>
      <c r="AK7" s="852" t="s">
        <v>3922</v>
      </c>
      <c r="AL7" s="852"/>
      <c r="AM7" s="852" t="s">
        <v>3922</v>
      </c>
      <c r="AN7" s="852"/>
      <c r="AO7" s="1643" t="s">
        <v>3922</v>
      </c>
      <c r="AQ7" s="1874" t="s">
        <v>6374</v>
      </c>
      <c r="AR7" s="1874"/>
      <c r="AS7" s="1874" t="s">
        <v>6374</v>
      </c>
      <c r="AT7" s="1874"/>
      <c r="AU7" s="1874" t="s">
        <v>6374</v>
      </c>
      <c r="AV7" s="1874"/>
      <c r="AW7" s="1875" t="s">
        <v>6374</v>
      </c>
      <c r="AY7" s="1470" t="s">
        <v>6939</v>
      </c>
      <c r="AZ7" s="1470"/>
      <c r="BA7" s="1470" t="str">
        <f>AY7</f>
        <v>2022-23</v>
      </c>
      <c r="BB7" s="1470"/>
      <c r="BC7" s="1470" t="str">
        <f>BA7</f>
        <v>2022-23</v>
      </c>
      <c r="BD7" s="1470"/>
      <c r="BE7" s="1613" t="str">
        <f>BC7</f>
        <v>2022-23</v>
      </c>
      <c r="BG7" s="1910" t="s">
        <v>8157</v>
      </c>
      <c r="BH7" s="1910"/>
      <c r="BI7" s="1910" t="str">
        <f>BG7</f>
        <v>2023-24</v>
      </c>
      <c r="BJ7" s="1910"/>
      <c r="BK7" s="1910" t="str">
        <f>BI7</f>
        <v>2023-24</v>
      </c>
      <c r="BL7" s="1910"/>
      <c r="BM7" s="1911" t="str">
        <f>BK7</f>
        <v>2023-24</v>
      </c>
      <c r="BO7" s="2687" t="s">
        <v>8571</v>
      </c>
      <c r="BP7" s="2643"/>
      <c r="BQ7" s="2643"/>
      <c r="BR7" s="2652"/>
      <c r="CC7" s="343" t="s">
        <v>781</v>
      </c>
      <c r="CD7" s="343"/>
      <c r="CE7" s="343" t="s">
        <v>781</v>
      </c>
      <c r="CF7" s="343"/>
      <c r="CG7" s="343" t="s">
        <v>781</v>
      </c>
      <c r="CH7" s="343"/>
      <c r="CI7" s="343" t="s">
        <v>781</v>
      </c>
      <c r="CK7" s="923" t="s">
        <v>781</v>
      </c>
      <c r="CL7" s="923"/>
      <c r="CM7" s="923" t="s">
        <v>781</v>
      </c>
      <c r="CN7" s="923"/>
      <c r="CO7" s="923" t="s">
        <v>781</v>
      </c>
      <c r="CP7" s="923"/>
      <c r="CQ7" s="923" t="s">
        <v>781</v>
      </c>
      <c r="CS7" s="899" t="s">
        <v>3100</v>
      </c>
      <c r="CT7" s="899"/>
      <c r="CU7" s="899" t="s">
        <v>3100</v>
      </c>
      <c r="CV7" s="899"/>
      <c r="CW7" s="899" t="s">
        <v>3100</v>
      </c>
      <c r="CX7" s="899"/>
      <c r="CY7" s="899" t="s">
        <v>3100</v>
      </c>
      <c r="DA7" s="878" t="s">
        <v>3100</v>
      </c>
      <c r="DB7" s="878"/>
      <c r="DC7" s="878" t="s">
        <v>3100</v>
      </c>
      <c r="DD7" s="878"/>
      <c r="DE7" s="878" t="s">
        <v>3100</v>
      </c>
      <c r="DF7" s="878"/>
      <c r="DG7" s="878" t="s">
        <v>3100</v>
      </c>
      <c r="DI7" s="899" t="s">
        <v>3138</v>
      </c>
      <c r="DJ7" s="899"/>
      <c r="DK7" s="899" t="s">
        <v>3138</v>
      </c>
      <c r="DL7" s="899"/>
      <c r="DM7" s="899" t="s">
        <v>3138</v>
      </c>
      <c r="DN7" s="899"/>
      <c r="DO7" s="899" t="s">
        <v>3138</v>
      </c>
      <c r="DQ7" s="878" t="s">
        <v>3138</v>
      </c>
      <c r="DR7" s="878"/>
      <c r="DS7" s="878" t="s">
        <v>3138</v>
      </c>
      <c r="DT7" s="878"/>
      <c r="DU7" s="878" t="s">
        <v>3138</v>
      </c>
      <c r="DV7" s="878"/>
      <c r="DW7" s="878" t="s">
        <v>3138</v>
      </c>
      <c r="DY7" s="899" t="s">
        <v>3144</v>
      </c>
      <c r="DZ7" s="899"/>
      <c r="EA7" s="899" t="s">
        <v>3144</v>
      </c>
      <c r="EB7" s="899"/>
      <c r="EC7" s="899" t="s">
        <v>3144</v>
      </c>
      <c r="ED7" s="899"/>
      <c r="EE7" s="899" t="s">
        <v>3144</v>
      </c>
      <c r="EG7" s="878" t="s">
        <v>3225</v>
      </c>
      <c r="EH7" s="878"/>
      <c r="EI7" s="878" t="s">
        <v>3225</v>
      </c>
      <c r="EJ7" s="878"/>
      <c r="EK7" s="878" t="s">
        <v>3225</v>
      </c>
      <c r="EL7" s="878"/>
      <c r="EM7" s="878" t="s">
        <v>3225</v>
      </c>
    </row>
    <row r="8" spans="1:143">
      <c r="C8" s="2353" t="s">
        <v>2570</v>
      </c>
      <c r="D8" s="2353"/>
      <c r="E8" s="2353" t="s">
        <v>187</v>
      </c>
      <c r="F8" s="2353"/>
      <c r="G8" s="2353" t="s">
        <v>2570</v>
      </c>
      <c r="H8" s="2353"/>
      <c r="I8" s="2354" t="s">
        <v>187</v>
      </c>
      <c r="K8" s="54" t="s">
        <v>2570</v>
      </c>
      <c r="L8" s="54"/>
      <c r="M8" s="54" t="s">
        <v>187</v>
      </c>
      <c r="N8" s="54"/>
      <c r="O8" s="54" t="s">
        <v>2570</v>
      </c>
      <c r="P8" s="54"/>
      <c r="Q8" s="1617" t="s">
        <v>187</v>
      </c>
      <c r="S8" s="681" t="s">
        <v>2570</v>
      </c>
      <c r="T8" s="681"/>
      <c r="U8" s="681" t="s">
        <v>187</v>
      </c>
      <c r="V8" s="681"/>
      <c r="W8" s="681" t="s">
        <v>2570</v>
      </c>
      <c r="X8" s="681"/>
      <c r="Y8" s="1094" t="s">
        <v>187</v>
      </c>
      <c r="AA8" s="1819" t="s">
        <v>2570</v>
      </c>
      <c r="AB8" s="1819"/>
      <c r="AC8" s="1819" t="s">
        <v>187</v>
      </c>
      <c r="AD8" s="1819"/>
      <c r="AE8" s="1819" t="s">
        <v>2570</v>
      </c>
      <c r="AF8" s="1819"/>
      <c r="AG8" s="1820" t="s">
        <v>187</v>
      </c>
      <c r="AI8" s="852" t="s">
        <v>2570</v>
      </c>
      <c r="AJ8" s="852"/>
      <c r="AK8" s="852" t="s">
        <v>187</v>
      </c>
      <c r="AL8" s="852"/>
      <c r="AM8" s="852" t="s">
        <v>2570</v>
      </c>
      <c r="AN8" s="852"/>
      <c r="AO8" s="1643" t="s">
        <v>187</v>
      </c>
      <c r="AQ8" s="1874" t="s">
        <v>2570</v>
      </c>
      <c r="AR8" s="1874"/>
      <c r="AS8" s="1874" t="s">
        <v>187</v>
      </c>
      <c r="AT8" s="1874"/>
      <c r="AU8" s="1874" t="s">
        <v>2570</v>
      </c>
      <c r="AV8" s="1874"/>
      <c r="AW8" s="1875" t="s">
        <v>187</v>
      </c>
      <c r="AY8" s="1470" t="s">
        <v>2570</v>
      </c>
      <c r="AZ8" s="1470"/>
      <c r="BA8" s="1470" t="s">
        <v>187</v>
      </c>
      <c r="BB8" s="1470"/>
      <c r="BC8" s="1470" t="s">
        <v>2570</v>
      </c>
      <c r="BD8" s="1470"/>
      <c r="BE8" s="1613" t="s">
        <v>187</v>
      </c>
      <c r="BG8" s="1910" t="s">
        <v>2570</v>
      </c>
      <c r="BH8" s="1910"/>
      <c r="BI8" s="1910" t="s">
        <v>187</v>
      </c>
      <c r="BJ8" s="1910"/>
      <c r="BK8" s="1910" t="s">
        <v>2570</v>
      </c>
      <c r="BL8" s="1910"/>
      <c r="BM8" s="1911" t="s">
        <v>187</v>
      </c>
      <c r="BO8" s="2670"/>
      <c r="BP8" s="2670"/>
      <c r="BQ8" s="2670"/>
      <c r="BR8" s="2670"/>
      <c r="CC8" s="343" t="s">
        <v>2570</v>
      </c>
      <c r="CD8" s="343"/>
      <c r="CE8" s="343" t="s">
        <v>187</v>
      </c>
      <c r="CF8" s="343"/>
      <c r="CG8" s="343" t="s">
        <v>2570</v>
      </c>
      <c r="CH8" s="343"/>
      <c r="CI8" s="343" t="s">
        <v>187</v>
      </c>
      <c r="CK8" s="923" t="s">
        <v>2570</v>
      </c>
      <c r="CL8" s="923"/>
      <c r="CM8" s="923" t="s">
        <v>187</v>
      </c>
      <c r="CN8" s="923"/>
      <c r="CO8" s="923" t="s">
        <v>2570</v>
      </c>
      <c r="CP8" s="923"/>
      <c r="CQ8" s="923" t="s">
        <v>187</v>
      </c>
      <c r="CS8" s="899" t="s">
        <v>2570</v>
      </c>
      <c r="CT8" s="899"/>
      <c r="CU8" s="899" t="s">
        <v>187</v>
      </c>
      <c r="CV8" s="899"/>
      <c r="CW8" s="899" t="s">
        <v>2570</v>
      </c>
      <c r="CX8" s="899"/>
      <c r="CY8" s="899" t="s">
        <v>187</v>
      </c>
      <c r="DA8" s="878" t="s">
        <v>2570</v>
      </c>
      <c r="DB8" s="878"/>
      <c r="DC8" s="878" t="s">
        <v>187</v>
      </c>
      <c r="DD8" s="878"/>
      <c r="DE8" s="878" t="s">
        <v>2570</v>
      </c>
      <c r="DF8" s="878"/>
      <c r="DG8" s="878" t="s">
        <v>187</v>
      </c>
      <c r="DI8" s="899" t="s">
        <v>2570</v>
      </c>
      <c r="DJ8" s="899"/>
      <c r="DK8" s="899" t="s">
        <v>187</v>
      </c>
      <c r="DL8" s="899"/>
      <c r="DM8" s="899" t="s">
        <v>2570</v>
      </c>
      <c r="DN8" s="899"/>
      <c r="DO8" s="899" t="s">
        <v>187</v>
      </c>
      <c r="DQ8" s="878" t="s">
        <v>2570</v>
      </c>
      <c r="DR8" s="878"/>
      <c r="DS8" s="878" t="s">
        <v>187</v>
      </c>
      <c r="DT8" s="878"/>
      <c r="DU8" s="878" t="s">
        <v>2570</v>
      </c>
      <c r="DV8" s="878"/>
      <c r="DW8" s="878" t="s">
        <v>187</v>
      </c>
      <c r="DY8" s="899" t="s">
        <v>2570</v>
      </c>
      <c r="DZ8" s="899"/>
      <c r="EA8" s="899" t="s">
        <v>187</v>
      </c>
      <c r="EB8" s="899"/>
      <c r="EC8" s="899" t="s">
        <v>2570</v>
      </c>
      <c r="ED8" s="899"/>
      <c r="EE8" s="899" t="s">
        <v>187</v>
      </c>
      <c r="EG8" s="878" t="s">
        <v>2570</v>
      </c>
      <c r="EH8" s="878"/>
      <c r="EI8" s="878" t="s">
        <v>187</v>
      </c>
      <c r="EJ8" s="878"/>
      <c r="EK8" s="878" t="s">
        <v>2570</v>
      </c>
      <c r="EL8" s="878"/>
      <c r="EM8" s="878" t="s">
        <v>187</v>
      </c>
    </row>
    <row r="9" spans="1:143">
      <c r="C9" s="2355">
        <f>Assumptions!G92</f>
        <v>514000</v>
      </c>
      <c r="D9" s="2356"/>
      <c r="E9" s="2355">
        <f>C9</f>
        <v>514000</v>
      </c>
      <c r="F9" s="2356"/>
      <c r="G9" s="2355">
        <f>Assumptions!G93</f>
        <v>319500</v>
      </c>
      <c r="H9" s="2356"/>
      <c r="I9" s="2357">
        <f>G9</f>
        <v>319500</v>
      </c>
      <c r="K9" s="197">
        <f>Assumptions!G103</f>
        <v>514000</v>
      </c>
      <c r="L9" s="197"/>
      <c r="M9" s="197">
        <f>K9</f>
        <v>514000</v>
      </c>
      <c r="N9" s="197"/>
      <c r="O9" s="197">
        <f>Assumptions!G104</f>
        <v>319500</v>
      </c>
      <c r="P9" s="197"/>
      <c r="Q9" s="1618">
        <f>O9</f>
        <v>319500</v>
      </c>
      <c r="S9" s="682">
        <f>Assumptions!G112</f>
        <v>514000</v>
      </c>
      <c r="T9" s="683"/>
      <c r="U9" s="682">
        <f>S9</f>
        <v>514000</v>
      </c>
      <c r="V9" s="683"/>
      <c r="W9" s="682">
        <f>Assumptions!G113</f>
        <v>319500</v>
      </c>
      <c r="X9" s="683"/>
      <c r="Y9" s="1095">
        <f>W9</f>
        <v>319500</v>
      </c>
      <c r="AA9" s="1821">
        <f>Assumptions!G121</f>
        <v>514000</v>
      </c>
      <c r="AB9" s="1822"/>
      <c r="AC9" s="1821">
        <f>AA9</f>
        <v>514000</v>
      </c>
      <c r="AD9" s="1822"/>
      <c r="AE9" s="1821">
        <f>Assumptions!G122</f>
        <v>319500</v>
      </c>
      <c r="AF9" s="1822"/>
      <c r="AG9" s="1823">
        <f>AE9</f>
        <v>319500</v>
      </c>
      <c r="AI9" s="853">
        <f>Assumptions!G130</f>
        <v>514000</v>
      </c>
      <c r="AJ9" s="854"/>
      <c r="AK9" s="853">
        <f>AI9</f>
        <v>514000</v>
      </c>
      <c r="AL9" s="854"/>
      <c r="AM9" s="853">
        <f>Assumptions!G131</f>
        <v>319500</v>
      </c>
      <c r="AN9" s="854"/>
      <c r="AO9" s="1644">
        <f>AM9</f>
        <v>319500</v>
      </c>
      <c r="AQ9" s="1876">
        <f>Assumptions!G139</f>
        <v>514000</v>
      </c>
      <c r="AR9" s="1877"/>
      <c r="AS9" s="1876">
        <f>AQ9</f>
        <v>514000</v>
      </c>
      <c r="AT9" s="1877"/>
      <c r="AU9" s="1876">
        <f>Assumptions!G140</f>
        <v>319500</v>
      </c>
      <c r="AV9" s="1877"/>
      <c r="AW9" s="1878">
        <f>AU9</f>
        <v>319500</v>
      </c>
      <c r="AY9" s="1479">
        <f>Assumptions!G148</f>
        <v>514000</v>
      </c>
      <c r="AZ9" s="1479"/>
      <c r="BA9" s="1479">
        <f>AY9</f>
        <v>514000</v>
      </c>
      <c r="BB9" s="1479"/>
      <c r="BC9" s="1479">
        <f>Assumptions!G149</f>
        <v>319500</v>
      </c>
      <c r="BD9" s="1479"/>
      <c r="BE9" s="1614">
        <f>BC9</f>
        <v>319500</v>
      </c>
      <c r="BG9" s="1912">
        <f>Assumptions!G157</f>
        <v>514000</v>
      </c>
      <c r="BH9" s="1912"/>
      <c r="BI9" s="1912">
        <f>BG9</f>
        <v>514000</v>
      </c>
      <c r="BJ9" s="1912"/>
      <c r="BK9" s="1912">
        <f>Assumptions!G158</f>
        <v>319500</v>
      </c>
      <c r="BL9" s="1912"/>
      <c r="BM9" s="1913">
        <f>BK9</f>
        <v>319500</v>
      </c>
      <c r="BO9" s="2671" t="s">
        <v>8572</v>
      </c>
      <c r="BP9" s="2671" t="s">
        <v>8572</v>
      </c>
      <c r="BQ9" s="2671" t="s">
        <v>8572</v>
      </c>
      <c r="BR9" s="2671" t="s">
        <v>8572</v>
      </c>
      <c r="CC9" s="344">
        <f>Assumptions!G30</f>
        <v>476500</v>
      </c>
      <c r="CD9" s="345"/>
      <c r="CE9" s="344">
        <f>CC9</f>
        <v>476500</v>
      </c>
      <c r="CF9" s="345"/>
      <c r="CG9" s="344">
        <f>Assumptions!G71</f>
        <v>319500</v>
      </c>
      <c r="CH9" s="345"/>
      <c r="CI9" s="344">
        <f>CG9</f>
        <v>319500</v>
      </c>
      <c r="CK9" s="924">
        <f>Assumptions!G40</f>
        <v>476500</v>
      </c>
      <c r="CL9" s="925"/>
      <c r="CM9" s="924">
        <f>CK9</f>
        <v>476500</v>
      </c>
      <c r="CN9" s="925"/>
      <c r="CO9" s="924">
        <f>Assumptions!G41</f>
        <v>319500</v>
      </c>
      <c r="CP9" s="925"/>
      <c r="CQ9" s="924">
        <f>CO9</f>
        <v>319500</v>
      </c>
      <c r="CS9" s="900">
        <f>Assumptions!G30</f>
        <v>476500</v>
      </c>
      <c r="CT9" s="901"/>
      <c r="CU9" s="900">
        <f>CS9</f>
        <v>476500</v>
      </c>
      <c r="CV9" s="901"/>
      <c r="CW9" s="900">
        <f>Assumptions!G41</f>
        <v>319500</v>
      </c>
      <c r="CX9" s="901"/>
      <c r="CY9" s="900">
        <f>CW9</f>
        <v>319500</v>
      </c>
      <c r="DA9" s="879">
        <f>Assumptions!G30</f>
        <v>476500</v>
      </c>
      <c r="DB9" s="880"/>
      <c r="DC9" s="879">
        <f>DA9</f>
        <v>476500</v>
      </c>
      <c r="DD9" s="880"/>
      <c r="DE9" s="879">
        <f>Assumptions!G41</f>
        <v>319500</v>
      </c>
      <c r="DF9" s="880"/>
      <c r="DG9" s="879">
        <f>DE9</f>
        <v>319500</v>
      </c>
      <c r="DI9" s="900">
        <f>Assumptions!G30</f>
        <v>476500</v>
      </c>
      <c r="DJ9" s="901"/>
      <c r="DK9" s="900">
        <f>DI9</f>
        <v>476500</v>
      </c>
      <c r="DL9" s="901"/>
      <c r="DM9" s="900">
        <f>Assumptions!G41</f>
        <v>319500</v>
      </c>
      <c r="DN9" s="901"/>
      <c r="DO9" s="900">
        <f>DM9</f>
        <v>319500</v>
      </c>
      <c r="DQ9" s="879">
        <f>Assumptions!G30</f>
        <v>476500</v>
      </c>
      <c r="DR9" s="880"/>
      <c r="DS9" s="879">
        <f>DQ9</f>
        <v>476500</v>
      </c>
      <c r="DT9" s="880"/>
      <c r="DU9" s="879">
        <f>Assumptions!G41</f>
        <v>319500</v>
      </c>
      <c r="DV9" s="880"/>
      <c r="DW9" s="879">
        <f>DU9</f>
        <v>319500</v>
      </c>
      <c r="DY9" s="900">
        <f>Assumptions!X30</f>
        <v>0</v>
      </c>
      <c r="DZ9" s="901"/>
      <c r="EA9" s="900">
        <f>DY9</f>
        <v>0</v>
      </c>
      <c r="EB9" s="901"/>
      <c r="EC9" s="900">
        <f>Assumptions!X41</f>
        <v>0</v>
      </c>
      <c r="ED9" s="901"/>
      <c r="EE9" s="900">
        <f>EC9</f>
        <v>0</v>
      </c>
      <c r="EG9" s="879">
        <f>Assumptions!AF30</f>
        <v>0</v>
      </c>
      <c r="EH9" s="880"/>
      <c r="EI9" s="879">
        <f>EG9</f>
        <v>0</v>
      </c>
      <c r="EJ9" s="880"/>
      <c r="EK9" s="879">
        <f>Assumptions!AF41</f>
        <v>0</v>
      </c>
      <c r="EL9" s="880"/>
      <c r="EM9" s="879">
        <f>EK9</f>
        <v>0</v>
      </c>
    </row>
    <row r="10" spans="1:143">
      <c r="I10" s="2070"/>
      <c r="K10" s="54"/>
      <c r="L10" s="54"/>
      <c r="M10" s="54"/>
      <c r="N10" s="54"/>
      <c r="O10" s="54"/>
      <c r="P10" s="54"/>
      <c r="Q10" s="1617"/>
      <c r="Y10" s="1093"/>
      <c r="AG10" s="1818"/>
      <c r="AO10" s="1642"/>
      <c r="AW10" s="1873"/>
      <c r="AY10" s="1479"/>
      <c r="AZ10" s="1479"/>
      <c r="BA10" s="1479"/>
      <c r="BB10" s="1479"/>
      <c r="BC10" s="1479"/>
      <c r="BD10" s="1479"/>
      <c r="BE10" s="1614"/>
      <c r="BG10" s="1912"/>
      <c r="BH10" s="1912"/>
      <c r="BI10" s="1912"/>
      <c r="BJ10" s="1912"/>
      <c r="BK10" s="1912"/>
      <c r="BL10" s="1912"/>
      <c r="BM10" s="1913"/>
      <c r="BO10" s="2673">
        <f>Assumptions!G121</f>
        <v>514000</v>
      </c>
      <c r="BP10" s="2673">
        <f>BO10</f>
        <v>514000</v>
      </c>
      <c r="BQ10" s="2673">
        <f>Assumptions!G122</f>
        <v>319500</v>
      </c>
      <c r="BR10" s="2673">
        <f>BQ10</f>
        <v>319500</v>
      </c>
    </row>
    <row r="11" spans="1:143">
      <c r="C11" s="2356"/>
      <c r="D11" s="2356"/>
      <c r="E11" s="2356"/>
      <c r="F11" s="2356"/>
      <c r="G11" s="2356"/>
      <c r="H11" s="2356"/>
      <c r="I11" s="2358"/>
      <c r="K11" s="54"/>
      <c r="L11" s="54"/>
      <c r="M11" s="54"/>
      <c r="N11" s="54"/>
      <c r="O11" s="54"/>
      <c r="P11" s="54"/>
      <c r="Q11" s="1617"/>
      <c r="S11" s="683"/>
      <c r="T11" s="683"/>
      <c r="U11" s="683"/>
      <c r="V11" s="683"/>
      <c r="W11" s="683"/>
      <c r="X11" s="683"/>
      <c r="Y11" s="1096"/>
      <c r="AA11" s="1822"/>
      <c r="AB11" s="1822"/>
      <c r="AC11" s="1822"/>
      <c r="AD11" s="1822"/>
      <c r="AE11" s="1822"/>
      <c r="AF11" s="1822"/>
      <c r="AG11" s="1824"/>
      <c r="AI11" s="854"/>
      <c r="AJ11" s="854"/>
      <c r="AK11" s="854"/>
      <c r="AL11" s="854"/>
      <c r="AM11" s="854"/>
      <c r="AN11" s="854"/>
      <c r="AO11" s="1645"/>
      <c r="AQ11" s="1877"/>
      <c r="AR11" s="1877"/>
      <c r="AS11" s="1877"/>
      <c r="AT11" s="1877"/>
      <c r="AU11" s="1877"/>
      <c r="AV11" s="1877"/>
      <c r="AW11" s="1879"/>
      <c r="AY11" s="1479"/>
      <c r="AZ11" s="1479"/>
      <c r="BA11" s="1479"/>
      <c r="BB11" s="1479"/>
      <c r="BC11" s="1479"/>
      <c r="BD11" s="1479"/>
      <c r="BE11" s="1614"/>
      <c r="BG11" s="1912"/>
      <c r="BH11" s="1912"/>
      <c r="BI11" s="1912"/>
      <c r="BJ11" s="1912"/>
      <c r="BK11" s="1912"/>
      <c r="BL11" s="1912"/>
      <c r="BM11" s="1913"/>
      <c r="BO11" s="2671"/>
      <c r="BP11" s="2671"/>
      <c r="BQ11" s="2671"/>
      <c r="BR11" s="2671"/>
      <c r="CC11" s="345"/>
      <c r="CD11" s="345"/>
      <c r="CE11" s="345"/>
      <c r="CF11" s="345"/>
      <c r="CG11" s="345"/>
      <c r="CH11" s="345"/>
      <c r="CI11" s="345"/>
      <c r="CK11" s="925"/>
      <c r="CL11" s="925"/>
      <c r="CM11" s="925"/>
      <c r="CN11" s="925"/>
      <c r="CO11" s="925"/>
      <c r="CP11" s="925"/>
      <c r="CQ11" s="925"/>
      <c r="CS11" s="901"/>
      <c r="CT11" s="901"/>
      <c r="CU11" s="901"/>
      <c r="CV11" s="901"/>
      <c r="CW11" s="901"/>
      <c r="CX11" s="901"/>
      <c r="CY11" s="901"/>
      <c r="DA11" s="880"/>
      <c r="DB11" s="880"/>
      <c r="DC11" s="880"/>
      <c r="DD11" s="880"/>
      <c r="DE11" s="880"/>
      <c r="DF11" s="880"/>
      <c r="DG11" s="880"/>
      <c r="DI11" s="901"/>
      <c r="DJ11" s="901"/>
      <c r="DK11" s="901"/>
      <c r="DL11" s="901"/>
      <c r="DM11" s="901"/>
      <c r="DN11" s="901"/>
      <c r="DO11" s="901"/>
      <c r="DQ11" s="880"/>
      <c r="DR11" s="880"/>
      <c r="DS11" s="880"/>
      <c r="DT11" s="880"/>
      <c r="DU11" s="880"/>
      <c r="DV11" s="880"/>
      <c r="DW11" s="880"/>
      <c r="DY11" s="901"/>
      <c r="DZ11" s="901"/>
      <c r="EA11" s="901"/>
      <c r="EB11" s="901"/>
      <c r="EC11" s="901"/>
      <c r="ED11" s="901"/>
      <c r="EE11" s="901"/>
      <c r="EG11" s="880"/>
      <c r="EH11" s="880"/>
      <c r="EI11" s="880"/>
      <c r="EJ11" s="880"/>
      <c r="EK11" s="880"/>
      <c r="EL11" s="880"/>
      <c r="EM11" s="880"/>
    </row>
    <row r="12" spans="1:143" ht="15.75">
      <c r="A12" s="30" t="s">
        <v>1475</v>
      </c>
      <c r="C12" s="2353" t="s">
        <v>2077</v>
      </c>
      <c r="E12" s="2353" t="s">
        <v>2077</v>
      </c>
      <c r="G12" s="2353" t="s">
        <v>2077</v>
      </c>
      <c r="I12" s="2354" t="s">
        <v>2077</v>
      </c>
      <c r="K12" s="54" t="s">
        <v>2077</v>
      </c>
      <c r="L12" s="54"/>
      <c r="M12" s="54" t="s">
        <v>2077</v>
      </c>
      <c r="N12" s="54"/>
      <c r="O12" s="54" t="s">
        <v>2077</v>
      </c>
      <c r="P12" s="54"/>
      <c r="Q12" s="1617" t="s">
        <v>2077</v>
      </c>
      <c r="S12" s="681" t="s">
        <v>2077</v>
      </c>
      <c r="U12" s="681" t="s">
        <v>2077</v>
      </c>
      <c r="W12" s="681" t="s">
        <v>2077</v>
      </c>
      <c r="Y12" s="1094" t="s">
        <v>2077</v>
      </c>
      <c r="AA12" s="1819" t="s">
        <v>2077</v>
      </c>
      <c r="AC12" s="1819" t="s">
        <v>2077</v>
      </c>
      <c r="AE12" s="1819" t="s">
        <v>2077</v>
      </c>
      <c r="AG12" s="1820" t="s">
        <v>2077</v>
      </c>
      <c r="AI12" s="852" t="s">
        <v>2077</v>
      </c>
      <c r="AK12" s="852" t="s">
        <v>2077</v>
      </c>
      <c r="AM12" s="852" t="s">
        <v>2077</v>
      </c>
      <c r="AO12" s="1643" t="s">
        <v>2077</v>
      </c>
      <c r="AQ12" s="1874" t="s">
        <v>2077</v>
      </c>
      <c r="AS12" s="1874" t="s">
        <v>2077</v>
      </c>
      <c r="AU12" s="1874" t="s">
        <v>2077</v>
      </c>
      <c r="AW12" s="1875" t="s">
        <v>2077</v>
      </c>
      <c r="AY12" s="1479" t="s">
        <v>2077</v>
      </c>
      <c r="AZ12" s="1479"/>
      <c r="BA12" s="1479" t="s">
        <v>2077</v>
      </c>
      <c r="BB12" s="1479"/>
      <c r="BC12" s="1479" t="s">
        <v>2077</v>
      </c>
      <c r="BD12" s="1479"/>
      <c r="BE12" s="1614" t="s">
        <v>2077</v>
      </c>
      <c r="BG12" s="1912" t="s">
        <v>2077</v>
      </c>
      <c r="BH12" s="1912"/>
      <c r="BI12" s="1912" t="s">
        <v>2077</v>
      </c>
      <c r="BJ12" s="1912"/>
      <c r="BK12" s="1912" t="s">
        <v>2077</v>
      </c>
      <c r="BL12" s="1912"/>
      <c r="BM12" s="1913" t="s">
        <v>2077</v>
      </c>
      <c r="BO12" s="2672" t="s">
        <v>3225</v>
      </c>
      <c r="BP12" s="2672" t="s">
        <v>3225</v>
      </c>
      <c r="BQ12" s="2672" t="s">
        <v>3225</v>
      </c>
      <c r="BR12" s="2672" t="s">
        <v>3225</v>
      </c>
      <c r="CC12" s="343" t="s">
        <v>2077</v>
      </c>
      <c r="CE12" s="343" t="s">
        <v>2077</v>
      </c>
      <c r="CG12" s="343" t="s">
        <v>2077</v>
      </c>
      <c r="CI12" s="343" t="s">
        <v>2077</v>
      </c>
      <c r="CK12" s="923" t="s">
        <v>2077</v>
      </c>
      <c r="CM12" s="923" t="s">
        <v>2077</v>
      </c>
      <c r="CO12" s="923" t="s">
        <v>2077</v>
      </c>
      <c r="CQ12" s="923" t="s">
        <v>2077</v>
      </c>
      <c r="CS12" s="899" t="s">
        <v>2077</v>
      </c>
      <c r="CU12" s="899" t="s">
        <v>2077</v>
      </c>
      <c r="CW12" s="899" t="s">
        <v>2077</v>
      </c>
      <c r="CY12" s="899" t="s">
        <v>2077</v>
      </c>
      <c r="DA12" s="878" t="s">
        <v>2077</v>
      </c>
      <c r="DC12" s="878" t="s">
        <v>2077</v>
      </c>
      <c r="DE12" s="878" t="s">
        <v>2077</v>
      </c>
      <c r="DG12" s="878" t="s">
        <v>2077</v>
      </c>
      <c r="DI12" s="899" t="s">
        <v>2077</v>
      </c>
      <c r="DK12" s="899" t="s">
        <v>2077</v>
      </c>
      <c r="DM12" s="899" t="s">
        <v>2077</v>
      </c>
      <c r="DO12" s="899" t="s">
        <v>2077</v>
      </c>
      <c r="DQ12" s="878" t="s">
        <v>2077</v>
      </c>
      <c r="DS12" s="878" t="s">
        <v>2077</v>
      </c>
      <c r="DU12" s="878" t="s">
        <v>2077</v>
      </c>
      <c r="DW12" s="878" t="s">
        <v>2077</v>
      </c>
      <c r="DY12" s="899" t="s">
        <v>2077</v>
      </c>
      <c r="EA12" s="899" t="s">
        <v>2077</v>
      </c>
      <c r="EC12" s="899" t="s">
        <v>2077</v>
      </c>
      <c r="EE12" s="899" t="s">
        <v>2077</v>
      </c>
      <c r="EG12" s="878" t="s">
        <v>2077</v>
      </c>
      <c r="EI12" s="878" t="s">
        <v>2077</v>
      </c>
      <c r="EK12" s="878" t="s">
        <v>2077</v>
      </c>
      <c r="EM12" s="878" t="s">
        <v>2077</v>
      </c>
    </row>
    <row r="13" spans="1:143">
      <c r="A13" t="s">
        <v>458</v>
      </c>
      <c r="C13" s="2081">
        <f>'Data Entry - SOF'!C174+'Data Entry - SOF'!C175</f>
        <v>0</v>
      </c>
      <c r="D13" s="2085"/>
      <c r="E13" s="2081">
        <f>C13</f>
        <v>0</v>
      </c>
      <c r="F13" s="2085"/>
      <c r="G13" s="2081">
        <f>E13</f>
        <v>0</v>
      </c>
      <c r="H13" s="2085"/>
      <c r="I13" s="2384">
        <f>G13</f>
        <v>0</v>
      </c>
      <c r="K13" s="1550">
        <f>'Data Entry - SOF'!E174+'Data Entry - SOF'!E175</f>
        <v>0</v>
      </c>
      <c r="L13" s="1551"/>
      <c r="M13" s="1550">
        <f>K13</f>
        <v>0</v>
      </c>
      <c r="N13" s="1551"/>
      <c r="O13" s="1550">
        <f>M13</f>
        <v>0</v>
      </c>
      <c r="P13" s="1551"/>
      <c r="Q13" s="1619">
        <f>O13</f>
        <v>0</v>
      </c>
      <c r="S13" s="684">
        <v>0</v>
      </c>
      <c r="T13" s="685"/>
      <c r="U13" s="684">
        <f>S13</f>
        <v>0</v>
      </c>
      <c r="V13" s="685"/>
      <c r="W13" s="684">
        <f>U13</f>
        <v>0</v>
      </c>
      <c r="X13" s="685"/>
      <c r="Y13" s="1627">
        <f>W13</f>
        <v>0</v>
      </c>
      <c r="AA13" s="1825">
        <f>S13</f>
        <v>0</v>
      </c>
      <c r="AB13" s="1826"/>
      <c r="AC13" s="1825">
        <f>AA13</f>
        <v>0</v>
      </c>
      <c r="AD13" s="1826"/>
      <c r="AE13" s="1825">
        <f>AC13</f>
        <v>0</v>
      </c>
      <c r="AF13" s="1826"/>
      <c r="AG13" s="1827">
        <f>AE13</f>
        <v>0</v>
      </c>
      <c r="AI13" s="855">
        <f>AA13</f>
        <v>0</v>
      </c>
      <c r="AJ13" s="856"/>
      <c r="AK13" s="855">
        <f>AI13</f>
        <v>0</v>
      </c>
      <c r="AL13" s="856"/>
      <c r="AM13" s="855">
        <f>AK13</f>
        <v>0</v>
      </c>
      <c r="AN13" s="856"/>
      <c r="AO13" s="1646">
        <f>AM13</f>
        <v>0</v>
      </c>
      <c r="AQ13" s="1880">
        <f>AI13</f>
        <v>0</v>
      </c>
      <c r="AR13" s="1881"/>
      <c r="AS13" s="1880">
        <f>AQ13</f>
        <v>0</v>
      </c>
      <c r="AT13" s="1881"/>
      <c r="AU13" s="1880">
        <f>AS13</f>
        <v>0</v>
      </c>
      <c r="AV13" s="1881"/>
      <c r="AW13" s="1882">
        <f>AU13</f>
        <v>0</v>
      </c>
      <c r="AY13" s="1515">
        <f>AQ13</f>
        <v>0</v>
      </c>
      <c r="AZ13" s="1516"/>
      <c r="BA13" s="1515">
        <f>AY13</f>
        <v>0</v>
      </c>
      <c r="BB13" s="1516"/>
      <c r="BC13" s="1515">
        <f>BA13</f>
        <v>0</v>
      </c>
      <c r="BD13" s="1516"/>
      <c r="BE13" s="1657">
        <f>BC13</f>
        <v>0</v>
      </c>
      <c r="BG13" s="1914">
        <f>AY13</f>
        <v>0</v>
      </c>
      <c r="BH13" s="1915"/>
      <c r="BI13" s="1914">
        <f>BG13</f>
        <v>0</v>
      </c>
      <c r="BJ13" s="1915"/>
      <c r="BK13" s="1914">
        <f>BI13</f>
        <v>0</v>
      </c>
      <c r="BL13" s="1915"/>
      <c r="BM13" s="1916">
        <f>BK13</f>
        <v>0</v>
      </c>
      <c r="BO13" s="1760">
        <f>BG13</f>
        <v>0</v>
      </c>
      <c r="BP13" s="1760">
        <f>BO13</f>
        <v>0</v>
      </c>
      <c r="BQ13" s="1760">
        <f>BP13</f>
        <v>0</v>
      </c>
      <c r="BR13" s="1760">
        <f>BQ13</f>
        <v>0</v>
      </c>
      <c r="CC13" s="346">
        <f>'Data Entry - SOF'!C174+'Data Entry - SOF'!C175</f>
        <v>0</v>
      </c>
      <c r="CD13" s="347"/>
      <c r="CE13" s="346">
        <f>CC13</f>
        <v>0</v>
      </c>
      <c r="CF13" s="347"/>
      <c r="CG13" s="346">
        <f>CE13</f>
        <v>0</v>
      </c>
      <c r="CH13" s="347"/>
      <c r="CI13" s="346">
        <f>CG13</f>
        <v>0</v>
      </c>
      <c r="CK13" s="926">
        <f>'Data Entry - SOF'!C174+'Data Entry - SOF'!C175</f>
        <v>0</v>
      </c>
      <c r="CL13" s="927"/>
      <c r="CM13" s="926">
        <f>CK13</f>
        <v>0</v>
      </c>
      <c r="CN13" s="927"/>
      <c r="CO13" s="926">
        <f>CM13</f>
        <v>0</v>
      </c>
      <c r="CP13" s="927"/>
      <c r="CQ13" s="926">
        <f>CO13</f>
        <v>0</v>
      </c>
      <c r="CS13" s="902">
        <f>'Data Entry - SOF'!C174+'Data Entry - SOF'!C175</f>
        <v>0</v>
      </c>
      <c r="CT13" s="903"/>
      <c r="CU13" s="902">
        <f>CS13</f>
        <v>0</v>
      </c>
      <c r="CV13" s="903"/>
      <c r="CW13" s="902">
        <f>CU13</f>
        <v>0</v>
      </c>
      <c r="CX13" s="903"/>
      <c r="CY13" s="902">
        <f>CW13</f>
        <v>0</v>
      </c>
      <c r="DA13" s="799">
        <f>'Data Entry - SOF'!C174+'Data Entry - SOF'!C175</f>
        <v>0</v>
      </c>
      <c r="DB13" s="881"/>
      <c r="DC13" s="799">
        <f>DA13</f>
        <v>0</v>
      </c>
      <c r="DD13" s="881"/>
      <c r="DE13" s="799">
        <f>DC13</f>
        <v>0</v>
      </c>
      <c r="DF13" s="881"/>
      <c r="DG13" s="799">
        <f>DE13</f>
        <v>0</v>
      </c>
      <c r="DI13" s="902">
        <f>'Data Entry - SOF'!C174+'Data Entry - SOF'!C175</f>
        <v>0</v>
      </c>
      <c r="DJ13" s="903"/>
      <c r="DK13" s="902">
        <f>DI13</f>
        <v>0</v>
      </c>
      <c r="DL13" s="903"/>
      <c r="DM13" s="902">
        <f>DK13</f>
        <v>0</v>
      </c>
      <c r="DN13" s="903"/>
      <c r="DO13" s="902">
        <f>DM13</f>
        <v>0</v>
      </c>
      <c r="DQ13" s="799">
        <f>'Data Entry - SOF'!C174+'Data Entry - SOF'!C175</f>
        <v>0</v>
      </c>
      <c r="DR13" s="881"/>
      <c r="DS13" s="799">
        <f>DQ13</f>
        <v>0</v>
      </c>
      <c r="DT13" s="881"/>
      <c r="DU13" s="799">
        <f>DS13</f>
        <v>0</v>
      </c>
      <c r="DV13" s="881"/>
      <c r="DW13" s="799">
        <f>DU13</f>
        <v>0</v>
      </c>
      <c r="DY13" s="902">
        <f>'Data Entry - SOF'!C174+'Data Entry - SOF'!C175</f>
        <v>0</v>
      </c>
      <c r="DZ13" s="903"/>
      <c r="EA13" s="902">
        <f>DY13</f>
        <v>0</v>
      </c>
      <c r="EB13" s="903"/>
      <c r="EC13" s="902">
        <f>EA13</f>
        <v>0</v>
      </c>
      <c r="ED13" s="903"/>
      <c r="EE13" s="902">
        <f>EC13</f>
        <v>0</v>
      </c>
      <c r="EG13" s="799">
        <f>'Data Entry - SOF'!C174+'Data Entry - SOF'!C175</f>
        <v>0</v>
      </c>
      <c r="EH13" s="881"/>
      <c r="EI13" s="799">
        <f>EG13</f>
        <v>0</v>
      </c>
      <c r="EJ13" s="881"/>
      <c r="EK13" s="799">
        <f>EI13</f>
        <v>0</v>
      </c>
      <c r="EL13" s="881"/>
      <c r="EM13" s="799">
        <f>EK13</f>
        <v>0</v>
      </c>
    </row>
    <row r="14" spans="1:143">
      <c r="A14" t="s">
        <v>459</v>
      </c>
      <c r="C14" s="2359">
        <f>'Data Entry - SOF'!C176</f>
        <v>0</v>
      </c>
      <c r="D14" s="2060"/>
      <c r="E14" s="2359">
        <f>C14</f>
        <v>0</v>
      </c>
      <c r="F14" s="2060"/>
      <c r="G14" s="2359">
        <f>E14</f>
        <v>0</v>
      </c>
      <c r="H14" s="2060"/>
      <c r="I14" s="2385">
        <f>G14</f>
        <v>0</v>
      </c>
      <c r="K14" s="1552">
        <f>'Data Entry - SOF'!E176</f>
        <v>0</v>
      </c>
      <c r="L14" s="305"/>
      <c r="M14" s="1552">
        <f>K14</f>
        <v>0</v>
      </c>
      <c r="N14" s="305"/>
      <c r="O14" s="1552">
        <f>M14</f>
        <v>0</v>
      </c>
      <c r="P14" s="305"/>
      <c r="Q14" s="1620">
        <f>O14</f>
        <v>0</v>
      </c>
      <c r="S14" s="686">
        <v>0</v>
      </c>
      <c r="T14" s="687"/>
      <c r="U14" s="686">
        <f>S14</f>
        <v>0</v>
      </c>
      <c r="V14" s="687"/>
      <c r="W14" s="686">
        <f>U14</f>
        <v>0</v>
      </c>
      <c r="X14" s="687"/>
      <c r="Y14" s="1628">
        <f>W14</f>
        <v>0</v>
      </c>
      <c r="AA14" s="1828">
        <f>S14</f>
        <v>0</v>
      </c>
      <c r="AB14" s="1829"/>
      <c r="AC14" s="1828">
        <f>AA14</f>
        <v>0</v>
      </c>
      <c r="AD14" s="1829"/>
      <c r="AE14" s="1828">
        <f>AC14</f>
        <v>0</v>
      </c>
      <c r="AF14" s="1829"/>
      <c r="AG14" s="1830">
        <f>AE14</f>
        <v>0</v>
      </c>
      <c r="AI14" s="857">
        <f>AA14</f>
        <v>0</v>
      </c>
      <c r="AJ14" s="858"/>
      <c r="AK14" s="857">
        <f>AI14</f>
        <v>0</v>
      </c>
      <c r="AL14" s="858"/>
      <c r="AM14" s="857">
        <f>AK14</f>
        <v>0</v>
      </c>
      <c r="AN14" s="858"/>
      <c r="AO14" s="1647">
        <f>AM14</f>
        <v>0</v>
      </c>
      <c r="AQ14" s="1883">
        <f>AI14</f>
        <v>0</v>
      </c>
      <c r="AR14" s="1884"/>
      <c r="AS14" s="1883">
        <f>AQ14</f>
        <v>0</v>
      </c>
      <c r="AT14" s="1884"/>
      <c r="AU14" s="1883">
        <f>AS14</f>
        <v>0</v>
      </c>
      <c r="AV14" s="1884"/>
      <c r="AW14" s="1885">
        <f>AU14</f>
        <v>0</v>
      </c>
      <c r="AY14" s="1527">
        <f>AQ14</f>
        <v>0</v>
      </c>
      <c r="AZ14" s="1528"/>
      <c r="BA14" s="1527">
        <f>AY14</f>
        <v>0</v>
      </c>
      <c r="BB14" s="1528"/>
      <c r="BC14" s="1527">
        <f>BA14</f>
        <v>0</v>
      </c>
      <c r="BD14" s="1528"/>
      <c r="BE14" s="1658">
        <f>BC14</f>
        <v>0</v>
      </c>
      <c r="BG14" s="1917">
        <f>AY14</f>
        <v>0</v>
      </c>
      <c r="BH14" s="1918"/>
      <c r="BI14" s="1917">
        <f>BG14</f>
        <v>0</v>
      </c>
      <c r="BJ14" s="1918"/>
      <c r="BK14" s="1917">
        <f>BI14</f>
        <v>0</v>
      </c>
      <c r="BL14" s="1918"/>
      <c r="BM14" s="1919">
        <f>BK14</f>
        <v>0</v>
      </c>
      <c r="BO14" s="1760">
        <f>BG14</f>
        <v>0</v>
      </c>
      <c r="BP14" s="2650">
        <f t="shared" ref="BP14:BR21" si="0">BO14</f>
        <v>0</v>
      </c>
      <c r="BQ14" s="2650">
        <f t="shared" si="0"/>
        <v>0</v>
      </c>
      <c r="BR14" s="2650">
        <f t="shared" si="0"/>
        <v>0</v>
      </c>
      <c r="CC14" s="348">
        <f>'Data Entry - SOF'!C176</f>
        <v>0</v>
      </c>
      <c r="CD14" s="349"/>
      <c r="CE14" s="348">
        <f>CC14</f>
        <v>0</v>
      </c>
      <c r="CF14" s="349"/>
      <c r="CG14" s="348">
        <f>CE14</f>
        <v>0</v>
      </c>
      <c r="CH14" s="349"/>
      <c r="CI14" s="348">
        <f>CG14</f>
        <v>0</v>
      </c>
      <c r="CK14" s="928">
        <f>'Data Entry - SOF'!C176</f>
        <v>0</v>
      </c>
      <c r="CL14" s="929"/>
      <c r="CM14" s="928">
        <f>CK14</f>
        <v>0</v>
      </c>
      <c r="CN14" s="929"/>
      <c r="CO14" s="928">
        <f>CM14</f>
        <v>0</v>
      </c>
      <c r="CP14" s="929"/>
      <c r="CQ14" s="928">
        <f>CO14</f>
        <v>0</v>
      </c>
      <c r="CS14" s="904">
        <f>'Data Entry - SOF'!C176</f>
        <v>0</v>
      </c>
      <c r="CT14" s="905"/>
      <c r="CU14" s="904">
        <f>CS14</f>
        <v>0</v>
      </c>
      <c r="CV14" s="905"/>
      <c r="CW14" s="904">
        <f>CU14</f>
        <v>0</v>
      </c>
      <c r="CX14" s="905"/>
      <c r="CY14" s="904">
        <f>CW14</f>
        <v>0</v>
      </c>
      <c r="DA14" s="882">
        <f>'Data Entry - SOF'!C176</f>
        <v>0</v>
      </c>
      <c r="DB14" s="883"/>
      <c r="DC14" s="882">
        <f>DA14</f>
        <v>0</v>
      </c>
      <c r="DD14" s="883"/>
      <c r="DE14" s="882">
        <f>DC14</f>
        <v>0</v>
      </c>
      <c r="DF14" s="883"/>
      <c r="DG14" s="882">
        <f>DE14</f>
        <v>0</v>
      </c>
      <c r="DI14" s="904">
        <f>'Data Entry - SOF'!C176</f>
        <v>0</v>
      </c>
      <c r="DJ14" s="905"/>
      <c r="DK14" s="904">
        <f>DI14</f>
        <v>0</v>
      </c>
      <c r="DL14" s="905"/>
      <c r="DM14" s="904">
        <f>DK14</f>
        <v>0</v>
      </c>
      <c r="DN14" s="905"/>
      <c r="DO14" s="904">
        <f>DM14</f>
        <v>0</v>
      </c>
      <c r="DQ14" s="882">
        <f>'Data Entry - SOF'!C176</f>
        <v>0</v>
      </c>
      <c r="DR14" s="883"/>
      <c r="DS14" s="882">
        <f>DQ14</f>
        <v>0</v>
      </c>
      <c r="DT14" s="883"/>
      <c r="DU14" s="882">
        <f>DS14</f>
        <v>0</v>
      </c>
      <c r="DV14" s="883"/>
      <c r="DW14" s="882">
        <f>DU14</f>
        <v>0</v>
      </c>
      <c r="DY14" s="904">
        <f>'Data Entry - SOF'!C176</f>
        <v>0</v>
      </c>
      <c r="DZ14" s="905"/>
      <c r="EA14" s="904">
        <f>DY14</f>
        <v>0</v>
      </c>
      <c r="EB14" s="905"/>
      <c r="EC14" s="904">
        <f>EA14</f>
        <v>0</v>
      </c>
      <c r="ED14" s="905"/>
      <c r="EE14" s="904">
        <f>EC14</f>
        <v>0</v>
      </c>
      <c r="EG14" s="882">
        <f>'Data Entry - SOF'!C176</f>
        <v>0</v>
      </c>
      <c r="EH14" s="883"/>
      <c r="EI14" s="882">
        <f>EG14</f>
        <v>0</v>
      </c>
      <c r="EJ14" s="883"/>
      <c r="EK14" s="882">
        <f>EI14</f>
        <v>0</v>
      </c>
      <c r="EL14" s="883"/>
      <c r="EM14" s="882">
        <f>EK14</f>
        <v>0</v>
      </c>
    </row>
    <row r="15" spans="1:143">
      <c r="A15" t="s">
        <v>516</v>
      </c>
      <c r="C15" s="2359" t="e">
        <f>'Ch41 Calc Data'!K17</f>
        <v>#REF!</v>
      </c>
      <c r="D15" s="2060"/>
      <c r="E15" s="2359" t="e">
        <f>C15</f>
        <v>#REF!</v>
      </c>
      <c r="F15" s="2060"/>
      <c r="G15" s="2359" t="e">
        <f>E15</f>
        <v>#REF!</v>
      </c>
      <c r="H15" s="2060"/>
      <c r="I15" s="2385" t="e">
        <f>G15</f>
        <v>#REF!</v>
      </c>
      <c r="K15" s="1552" t="e">
        <f>'Ch41 Calc Data'!L17</f>
        <v>#REF!</v>
      </c>
      <c r="L15" s="305"/>
      <c r="M15" s="1552" t="e">
        <f>K15</f>
        <v>#REF!</v>
      </c>
      <c r="N15" s="305"/>
      <c r="O15" s="1552" t="e">
        <f>M15</f>
        <v>#REF!</v>
      </c>
      <c r="P15" s="305"/>
      <c r="Q15" s="1620" t="e">
        <f>O15</f>
        <v>#REF!</v>
      </c>
      <c r="S15" s="686">
        <v>0</v>
      </c>
      <c r="T15" s="687"/>
      <c r="U15" s="686">
        <f>S15</f>
        <v>0</v>
      </c>
      <c r="V15" s="687"/>
      <c r="W15" s="686">
        <f>U15</f>
        <v>0</v>
      </c>
      <c r="X15" s="687"/>
      <c r="Y15" s="1628">
        <f>W15</f>
        <v>0</v>
      </c>
      <c r="AA15" s="1828">
        <v>0</v>
      </c>
      <c r="AB15" s="1829"/>
      <c r="AC15" s="1828">
        <f>AA15</f>
        <v>0</v>
      </c>
      <c r="AD15" s="1829"/>
      <c r="AE15" s="1828">
        <f>AC15</f>
        <v>0</v>
      </c>
      <c r="AF15" s="1829"/>
      <c r="AG15" s="1830">
        <f>AE15</f>
        <v>0</v>
      </c>
      <c r="AI15" s="857">
        <v>0</v>
      </c>
      <c r="AJ15" s="858"/>
      <c r="AK15" s="857">
        <f>AI15</f>
        <v>0</v>
      </c>
      <c r="AL15" s="858"/>
      <c r="AM15" s="857">
        <f>AK15</f>
        <v>0</v>
      </c>
      <c r="AN15" s="858"/>
      <c r="AO15" s="1647">
        <f>AM15</f>
        <v>0</v>
      </c>
      <c r="AQ15" s="1883">
        <v>0</v>
      </c>
      <c r="AR15" s="1884"/>
      <c r="AS15" s="1883">
        <f>AQ15</f>
        <v>0</v>
      </c>
      <c r="AT15" s="1884"/>
      <c r="AU15" s="1883">
        <f>AS15</f>
        <v>0</v>
      </c>
      <c r="AV15" s="1884"/>
      <c r="AW15" s="1885">
        <f>AU15</f>
        <v>0</v>
      </c>
      <c r="AY15" s="1527">
        <v>0</v>
      </c>
      <c r="AZ15" s="1528"/>
      <c r="BA15" s="1527">
        <f>AY15</f>
        <v>0</v>
      </c>
      <c r="BB15" s="1528"/>
      <c r="BC15" s="1527">
        <f>BA15</f>
        <v>0</v>
      </c>
      <c r="BD15" s="1528"/>
      <c r="BE15" s="1658">
        <f>BC15</f>
        <v>0</v>
      </c>
      <c r="BG15" s="1917">
        <v>0</v>
      </c>
      <c r="BH15" s="1918"/>
      <c r="BI15" s="1917">
        <f>BG15</f>
        <v>0</v>
      </c>
      <c r="BJ15" s="1918"/>
      <c r="BK15" s="1917">
        <f>BI15</f>
        <v>0</v>
      </c>
      <c r="BL15" s="1918"/>
      <c r="BM15" s="1919">
        <f>BK15</f>
        <v>0</v>
      </c>
      <c r="BO15" s="2650">
        <v>0</v>
      </c>
      <c r="BP15" s="2650">
        <f t="shared" si="0"/>
        <v>0</v>
      </c>
      <c r="BQ15" s="2650">
        <f t="shared" si="0"/>
        <v>0</v>
      </c>
      <c r="BR15" s="2650">
        <f t="shared" si="0"/>
        <v>0</v>
      </c>
      <c r="CC15" s="348" t="e">
        <f>'Ch41 Calc Data'!AA17</f>
        <v>#REF!</v>
      </c>
      <c r="CD15" s="349"/>
      <c r="CE15" s="348" t="e">
        <f>CC15</f>
        <v>#REF!</v>
      </c>
      <c r="CF15" s="349"/>
      <c r="CG15" s="348" t="e">
        <f>CE15</f>
        <v>#REF!</v>
      </c>
      <c r="CH15" s="349"/>
      <c r="CI15" s="348" t="e">
        <f>CG15</f>
        <v>#REF!</v>
      </c>
      <c r="CK15" s="928" t="e">
        <f>'Ch41 Calc Data'!AB17</f>
        <v>#REF!</v>
      </c>
      <c r="CL15" s="929"/>
      <c r="CM15" s="928" t="e">
        <f>CK15</f>
        <v>#REF!</v>
      </c>
      <c r="CN15" s="929"/>
      <c r="CO15" s="928" t="e">
        <f>CM15</f>
        <v>#REF!</v>
      </c>
      <c r="CP15" s="929"/>
      <c r="CQ15" s="928" t="e">
        <f>CO15</f>
        <v>#REF!</v>
      </c>
      <c r="CS15" s="904" t="e">
        <f>'Ch41 Calc Data'!AC17</f>
        <v>#REF!</v>
      </c>
      <c r="CT15" s="905"/>
      <c r="CU15" s="904" t="e">
        <f>CS15</f>
        <v>#REF!</v>
      </c>
      <c r="CV15" s="905"/>
      <c r="CW15" s="904" t="e">
        <f>CU15</f>
        <v>#REF!</v>
      </c>
      <c r="CX15" s="905"/>
      <c r="CY15" s="904" t="e">
        <f>CW15</f>
        <v>#REF!</v>
      </c>
      <c r="DA15" s="882" t="e">
        <f>'Ch41 Calc Data'!AD17</f>
        <v>#REF!</v>
      </c>
      <c r="DB15" s="883"/>
      <c r="DC15" s="882" t="e">
        <f>DA15</f>
        <v>#REF!</v>
      </c>
      <c r="DD15" s="883"/>
      <c r="DE15" s="882" t="e">
        <f>DC15</f>
        <v>#REF!</v>
      </c>
      <c r="DF15" s="883"/>
      <c r="DG15" s="882" t="e">
        <f>DE15</f>
        <v>#REF!</v>
      </c>
      <c r="DI15" s="904" t="e">
        <f>'Ch41 Calc Data'!AE17</f>
        <v>#REF!</v>
      </c>
      <c r="DJ15" s="905"/>
      <c r="DK15" s="904" t="e">
        <f>DI15</f>
        <v>#REF!</v>
      </c>
      <c r="DL15" s="905"/>
      <c r="DM15" s="904" t="e">
        <f>DK15</f>
        <v>#REF!</v>
      </c>
      <c r="DN15" s="905"/>
      <c r="DO15" s="904" t="e">
        <f>DM15</f>
        <v>#REF!</v>
      </c>
      <c r="DQ15" s="882" t="e">
        <f>'Ch41 Calc Data'!AF17</f>
        <v>#REF!</v>
      </c>
      <c r="DR15" s="883"/>
      <c r="DS15" s="882" t="e">
        <f>DQ15</f>
        <v>#REF!</v>
      </c>
      <c r="DT15" s="883"/>
      <c r="DU15" s="882" t="e">
        <f>DS15</f>
        <v>#REF!</v>
      </c>
      <c r="DV15" s="883"/>
      <c r="DW15" s="882" t="e">
        <f>DU15</f>
        <v>#REF!</v>
      </c>
      <c r="DY15" s="904" t="e">
        <f>'Ch41 Calc Data'!AG17</f>
        <v>#REF!</v>
      </c>
      <c r="DZ15" s="905"/>
      <c r="EA15" s="904" t="e">
        <f>DY15</f>
        <v>#REF!</v>
      </c>
      <c r="EB15" s="905"/>
      <c r="EC15" s="904" t="e">
        <f>EA15</f>
        <v>#REF!</v>
      </c>
      <c r="ED15" s="905"/>
      <c r="EE15" s="904" t="e">
        <f>EC15</f>
        <v>#REF!</v>
      </c>
      <c r="EG15" s="882" t="e">
        <f>'Ch41 Calc Data'!AH17</f>
        <v>#REF!</v>
      </c>
      <c r="EH15" s="883"/>
      <c r="EI15" s="882" t="e">
        <f>EG15</f>
        <v>#REF!</v>
      </c>
      <c r="EJ15" s="883"/>
      <c r="EK15" s="882" t="e">
        <f>EI15</f>
        <v>#REF!</v>
      </c>
      <c r="EL15" s="883"/>
      <c r="EM15" s="882" t="e">
        <f>EK15</f>
        <v>#REF!</v>
      </c>
    </row>
    <row r="16" spans="1:143">
      <c r="A16" t="s">
        <v>517</v>
      </c>
      <c r="C16" s="2359">
        <f>IF(C14=0,0,C15/C14)</f>
        <v>0</v>
      </c>
      <c r="D16" s="2060"/>
      <c r="E16" s="2359">
        <f>IF(E14=0,0,E15/E14)</f>
        <v>0</v>
      </c>
      <c r="F16" s="2060"/>
      <c r="G16" s="2359">
        <f>IF(G14=0,0,G15/G14)</f>
        <v>0</v>
      </c>
      <c r="H16" s="2060"/>
      <c r="I16" s="2385">
        <f>IF(I14=0,0,I15/I14)</f>
        <v>0</v>
      </c>
      <c r="K16" s="1552">
        <f>IF(K14=0,0,K15/K14)</f>
        <v>0</v>
      </c>
      <c r="L16" s="305"/>
      <c r="M16" s="1552">
        <f>IF(M14=0,0,M15/M14)</f>
        <v>0</v>
      </c>
      <c r="N16" s="305"/>
      <c r="O16" s="1552">
        <f>IF(O14=0,0,O15/O14)</f>
        <v>0</v>
      </c>
      <c r="P16" s="305"/>
      <c r="Q16" s="1620">
        <f>IF(Q14=0,0,Q15/Q14)</f>
        <v>0</v>
      </c>
      <c r="S16" s="686">
        <v>0</v>
      </c>
      <c r="T16" s="687"/>
      <c r="U16" s="686">
        <f>IF(U14=0,0,U15/U14)</f>
        <v>0</v>
      </c>
      <c r="V16" s="687"/>
      <c r="W16" s="686">
        <f>IF(W14=0,0,W15/W14)</f>
        <v>0</v>
      </c>
      <c r="X16" s="687"/>
      <c r="Y16" s="1628">
        <f>IF(Y14=0,0,Y15/Y14)</f>
        <v>0</v>
      </c>
      <c r="AA16" s="1828">
        <f>IF(AA14=0,0,AA15/AA14)</f>
        <v>0</v>
      </c>
      <c r="AB16" s="1829"/>
      <c r="AC16" s="1828">
        <f>IF(AC14=0,0,AC15/AC14)</f>
        <v>0</v>
      </c>
      <c r="AD16" s="1829"/>
      <c r="AE16" s="1828">
        <f>IF(AE14=0,0,AE15/AE14)</f>
        <v>0</v>
      </c>
      <c r="AF16" s="1829"/>
      <c r="AG16" s="1830">
        <f>IF(AG14=0,0,AG15/AG14)</f>
        <v>0</v>
      </c>
      <c r="AI16" s="857">
        <f>IF(AI14=0,0,AI15/AI14)</f>
        <v>0</v>
      </c>
      <c r="AJ16" s="858"/>
      <c r="AK16" s="857">
        <f>IF(AK14=0,0,AK15/AK14)</f>
        <v>0</v>
      </c>
      <c r="AL16" s="858"/>
      <c r="AM16" s="857">
        <f>IF(AM14=0,0,AM15/AM14)</f>
        <v>0</v>
      </c>
      <c r="AN16" s="858"/>
      <c r="AO16" s="1647">
        <f>IF(AO14=0,0,AO15/AO14)</f>
        <v>0</v>
      </c>
      <c r="AQ16" s="1883">
        <f>IF(AQ14=0,0,AQ15/AQ14)</f>
        <v>0</v>
      </c>
      <c r="AR16" s="1884"/>
      <c r="AS16" s="1883">
        <f>IF(AS14=0,0,AS15/AS14)</f>
        <v>0</v>
      </c>
      <c r="AT16" s="1884"/>
      <c r="AU16" s="1883">
        <f>IF(AU14=0,0,AU15/AU14)</f>
        <v>0</v>
      </c>
      <c r="AV16" s="1884"/>
      <c r="AW16" s="1885">
        <f>IF(AW14=0,0,AW15/AW14)</f>
        <v>0</v>
      </c>
      <c r="AY16" s="1527">
        <f>IF(AY14=0,0,AY15/AY14)</f>
        <v>0</v>
      </c>
      <c r="AZ16" s="1528"/>
      <c r="BA16" s="1527">
        <f>IF(BA14=0,0,BA15/BA14)</f>
        <v>0</v>
      </c>
      <c r="BB16" s="1528"/>
      <c r="BC16" s="1527">
        <f>IF(BC14=0,0,BC15/BC14)</f>
        <v>0</v>
      </c>
      <c r="BD16" s="1528"/>
      <c r="BE16" s="1658">
        <f>IF(BE14=0,0,BE15/BE14)</f>
        <v>0</v>
      </c>
      <c r="BG16" s="1917">
        <f>IF(BG14=0,0,BG15/BG14)</f>
        <v>0</v>
      </c>
      <c r="BH16" s="1918"/>
      <c r="BI16" s="1917">
        <f>IF(BI14=0,0,BI15/BI14)</f>
        <v>0</v>
      </c>
      <c r="BJ16" s="1918"/>
      <c r="BK16" s="1917">
        <f>IF(BK14=0,0,BK15/BK14)</f>
        <v>0</v>
      </c>
      <c r="BL16" s="1918"/>
      <c r="BM16" s="1919">
        <f>IF(BM14=0,0,BM15/BM14)</f>
        <v>0</v>
      </c>
      <c r="BO16" s="2468">
        <f>IF(BO14=0,0,BO15/BO14)</f>
        <v>0</v>
      </c>
      <c r="BP16" s="2650">
        <f t="shared" si="0"/>
        <v>0</v>
      </c>
      <c r="BQ16" s="2650">
        <f t="shared" si="0"/>
        <v>0</v>
      </c>
      <c r="BR16" s="2650">
        <f t="shared" si="0"/>
        <v>0</v>
      </c>
      <c r="CC16" s="348">
        <f>IF(CC14=0,0,CC15/CC14)</f>
        <v>0</v>
      </c>
      <c r="CD16" s="349"/>
      <c r="CE16" s="348">
        <f>IF(CE14=0,0,CE15/CE14)</f>
        <v>0</v>
      </c>
      <c r="CF16" s="349"/>
      <c r="CG16" s="348">
        <f>IF(CG14=0,0,CG15/CG14)</f>
        <v>0</v>
      </c>
      <c r="CH16" s="349"/>
      <c r="CI16" s="348">
        <f>IF(CI14=0,0,CI15/CI14)</f>
        <v>0</v>
      </c>
      <c r="CK16" s="928">
        <f>IF(CK14=0,0,CK15/CK14)</f>
        <v>0</v>
      </c>
      <c r="CL16" s="929"/>
      <c r="CM16" s="928">
        <f>IF(CM14=0,0,CM15/CM14)</f>
        <v>0</v>
      </c>
      <c r="CN16" s="929"/>
      <c r="CO16" s="928">
        <f>IF(CO14=0,0,CO15/CO14)</f>
        <v>0</v>
      </c>
      <c r="CP16" s="929"/>
      <c r="CQ16" s="928">
        <f>IF(CQ14=0,0,CQ15/CQ14)</f>
        <v>0</v>
      </c>
      <c r="CS16" s="904">
        <f>IF(CS14=0,0,CS15/CS14)</f>
        <v>0</v>
      </c>
      <c r="CT16" s="905"/>
      <c r="CU16" s="904">
        <f>IF(CU14=0,0,CU15/CU14)</f>
        <v>0</v>
      </c>
      <c r="CV16" s="905"/>
      <c r="CW16" s="904">
        <f>IF(CW14=0,0,CW15/CW14)</f>
        <v>0</v>
      </c>
      <c r="CX16" s="905"/>
      <c r="CY16" s="904">
        <f>IF(CY14=0,0,CY15/CY14)</f>
        <v>0</v>
      </c>
      <c r="DA16" s="882">
        <f>IF(DA14=0,0,DA15/DA14)</f>
        <v>0</v>
      </c>
      <c r="DB16" s="883"/>
      <c r="DC16" s="882">
        <f>IF(DC14=0,0,DC15/DC14)</f>
        <v>0</v>
      </c>
      <c r="DD16" s="883"/>
      <c r="DE16" s="882">
        <f>IF(DE14=0,0,DE15/DE14)</f>
        <v>0</v>
      </c>
      <c r="DF16" s="883"/>
      <c r="DG16" s="882">
        <f>IF(DG14=0,0,DG15/DG14)</f>
        <v>0</v>
      </c>
      <c r="DI16" s="904">
        <f>IF(DI14=0,0,DI15/DI14)</f>
        <v>0</v>
      </c>
      <c r="DJ16" s="905"/>
      <c r="DK16" s="904">
        <f>IF(DK14=0,0,DK15/DK14)</f>
        <v>0</v>
      </c>
      <c r="DL16" s="905"/>
      <c r="DM16" s="904">
        <f>IF(DM14=0,0,DM15/DM14)</f>
        <v>0</v>
      </c>
      <c r="DN16" s="905"/>
      <c r="DO16" s="904">
        <f>IF(DO14=0,0,DO15/DO14)</f>
        <v>0</v>
      </c>
      <c r="DQ16" s="882">
        <f>IF(DQ14=0,0,DQ15/DQ14)</f>
        <v>0</v>
      </c>
      <c r="DR16" s="883"/>
      <c r="DS16" s="882">
        <f>IF(DS14=0,0,DS15/DS14)</f>
        <v>0</v>
      </c>
      <c r="DT16" s="883"/>
      <c r="DU16" s="882">
        <f>IF(DU14=0,0,DU15/DU14)</f>
        <v>0</v>
      </c>
      <c r="DV16" s="883"/>
      <c r="DW16" s="882">
        <f>IF(DW14=0,0,DW15/DW14)</f>
        <v>0</v>
      </c>
      <c r="DY16" s="904">
        <f>IF(DY14=0,0,DY15/DY14)</f>
        <v>0</v>
      </c>
      <c r="DZ16" s="905"/>
      <c r="EA16" s="904">
        <f>IF(EA14=0,0,EA15/EA14)</f>
        <v>0</v>
      </c>
      <c r="EB16" s="905"/>
      <c r="EC16" s="904">
        <f>IF(EC14=0,0,EC15/EC14)</f>
        <v>0</v>
      </c>
      <c r="ED16" s="905"/>
      <c r="EE16" s="904">
        <f>IF(EE14=0,0,EE15/EE14)</f>
        <v>0</v>
      </c>
      <c r="EG16" s="882">
        <f>IF(EG14=0,0,EG15/EG14)</f>
        <v>0</v>
      </c>
      <c r="EH16" s="883"/>
      <c r="EI16" s="882">
        <f>IF(EI14=0,0,EI15/EI14)</f>
        <v>0</v>
      </c>
      <c r="EJ16" s="883"/>
      <c r="EK16" s="882">
        <f>IF(EK14=0,0,EK15/EK14)</f>
        <v>0</v>
      </c>
      <c r="EL16" s="883"/>
      <c r="EM16" s="882">
        <f>IF(EM14=0,0,EM15/EM14)</f>
        <v>0</v>
      </c>
    </row>
    <row r="17" spans="1:143">
      <c r="A17" t="s">
        <v>2163</v>
      </c>
      <c r="C17" s="2081">
        <f>C13*C16</f>
        <v>0</v>
      </c>
      <c r="D17" s="2085"/>
      <c r="E17" s="2081">
        <f>E13*E16</f>
        <v>0</v>
      </c>
      <c r="F17" s="2085"/>
      <c r="G17" s="2081">
        <f>G13*G16</f>
        <v>0</v>
      </c>
      <c r="H17" s="2085"/>
      <c r="I17" s="2384">
        <f>I13*I16</f>
        <v>0</v>
      </c>
      <c r="K17" s="1553">
        <f>K13*K16</f>
        <v>0</v>
      </c>
      <c r="L17" s="1554"/>
      <c r="M17" s="1553">
        <f>M13*M16</f>
        <v>0</v>
      </c>
      <c r="N17" s="1554"/>
      <c r="O17" s="1553">
        <f>O13*O16</f>
        <v>0</v>
      </c>
      <c r="P17" s="1554"/>
      <c r="Q17" s="1621">
        <f>Q13*Q16</f>
        <v>0</v>
      </c>
      <c r="S17" s="684">
        <v>0</v>
      </c>
      <c r="T17" s="685"/>
      <c r="U17" s="684">
        <f>U13*U16</f>
        <v>0</v>
      </c>
      <c r="V17" s="685"/>
      <c r="W17" s="684">
        <f>W13*W16</f>
        <v>0</v>
      </c>
      <c r="X17" s="685"/>
      <c r="Y17" s="1627">
        <f>Y13*Y16</f>
        <v>0</v>
      </c>
      <c r="AA17" s="1825">
        <f>AA13*AA16</f>
        <v>0</v>
      </c>
      <c r="AB17" s="1826"/>
      <c r="AC17" s="1825">
        <f>AC13*AC16</f>
        <v>0</v>
      </c>
      <c r="AD17" s="1826"/>
      <c r="AE17" s="1825">
        <f>AE13*AE16</f>
        <v>0</v>
      </c>
      <c r="AF17" s="1826"/>
      <c r="AG17" s="1827">
        <f>AG13*AG16</f>
        <v>0</v>
      </c>
      <c r="AI17" s="855">
        <f>AI13*AI16</f>
        <v>0</v>
      </c>
      <c r="AJ17" s="856"/>
      <c r="AK17" s="855">
        <f>AK13*AK16</f>
        <v>0</v>
      </c>
      <c r="AL17" s="856"/>
      <c r="AM17" s="855">
        <f>AM13*AM16</f>
        <v>0</v>
      </c>
      <c r="AN17" s="856"/>
      <c r="AO17" s="1646">
        <f>AO13*AO16</f>
        <v>0</v>
      </c>
      <c r="AQ17" s="1880">
        <f>AQ13*AQ16</f>
        <v>0</v>
      </c>
      <c r="AR17" s="1881"/>
      <c r="AS17" s="1880">
        <f>AS13*AS16</f>
        <v>0</v>
      </c>
      <c r="AT17" s="1881"/>
      <c r="AU17" s="1880">
        <f>AU13*AU16</f>
        <v>0</v>
      </c>
      <c r="AV17" s="1881"/>
      <c r="AW17" s="1882">
        <f>AW13*AW16</f>
        <v>0</v>
      </c>
      <c r="AY17" s="1499">
        <f>AY13*AY16</f>
        <v>0</v>
      </c>
      <c r="AZ17" s="1500"/>
      <c r="BA17" s="1499">
        <f>BA13*BA16</f>
        <v>0</v>
      </c>
      <c r="BB17" s="1500"/>
      <c r="BC17" s="1499">
        <f>BC13*BC16</f>
        <v>0</v>
      </c>
      <c r="BD17" s="1500"/>
      <c r="BE17" s="1659">
        <f>BE13*BE16</f>
        <v>0</v>
      </c>
      <c r="BG17" s="1920">
        <f>BG13*BG16</f>
        <v>0</v>
      </c>
      <c r="BH17" s="1921"/>
      <c r="BI17" s="1920">
        <f>BI13*BI16</f>
        <v>0</v>
      </c>
      <c r="BJ17" s="1921"/>
      <c r="BK17" s="1920">
        <f>BK13*BK16</f>
        <v>0</v>
      </c>
      <c r="BL17" s="1921"/>
      <c r="BM17" s="1922">
        <f>BM13*BM16</f>
        <v>0</v>
      </c>
      <c r="BO17" s="2676">
        <f>BO13*BO16</f>
        <v>0</v>
      </c>
      <c r="BP17" s="1760">
        <f t="shared" si="0"/>
        <v>0</v>
      </c>
      <c r="BQ17" s="1760">
        <f t="shared" si="0"/>
        <v>0</v>
      </c>
      <c r="BR17" s="1760">
        <f t="shared" si="0"/>
        <v>0</v>
      </c>
      <c r="CC17" s="346">
        <f>CC13*CC16</f>
        <v>0</v>
      </c>
      <c r="CD17" s="347"/>
      <c r="CE17" s="346">
        <f>CE13*CE16</f>
        <v>0</v>
      </c>
      <c r="CF17" s="347"/>
      <c r="CG17" s="346">
        <f>CG13*CG16</f>
        <v>0</v>
      </c>
      <c r="CH17" s="347"/>
      <c r="CI17" s="346">
        <f>CI13*CI16</f>
        <v>0</v>
      </c>
      <c r="CK17" s="926">
        <f>CK13*CK16</f>
        <v>0</v>
      </c>
      <c r="CL17" s="927"/>
      <c r="CM17" s="926">
        <f>CM13*CM16</f>
        <v>0</v>
      </c>
      <c r="CN17" s="927"/>
      <c r="CO17" s="926">
        <f>CO13*CO16</f>
        <v>0</v>
      </c>
      <c r="CP17" s="927"/>
      <c r="CQ17" s="926">
        <f>CQ13*CQ16</f>
        <v>0</v>
      </c>
      <c r="CS17" s="902">
        <f>CS13*CS16</f>
        <v>0</v>
      </c>
      <c r="CT17" s="903"/>
      <c r="CU17" s="902">
        <f>CU13*CU16</f>
        <v>0</v>
      </c>
      <c r="CV17" s="903"/>
      <c r="CW17" s="902">
        <f>CW13*CW16</f>
        <v>0</v>
      </c>
      <c r="CX17" s="903"/>
      <c r="CY17" s="902">
        <f>CY13*CY16</f>
        <v>0</v>
      </c>
      <c r="DA17" s="799">
        <f>DA13*DA16</f>
        <v>0</v>
      </c>
      <c r="DB17" s="881"/>
      <c r="DC17" s="799">
        <f>DC13*DC16</f>
        <v>0</v>
      </c>
      <c r="DD17" s="881"/>
      <c r="DE17" s="799">
        <f>DE13*DE16</f>
        <v>0</v>
      </c>
      <c r="DF17" s="881"/>
      <c r="DG17" s="799">
        <f>DG13*DG16</f>
        <v>0</v>
      </c>
      <c r="DI17" s="902">
        <f>DI13*DI16</f>
        <v>0</v>
      </c>
      <c r="DJ17" s="903"/>
      <c r="DK17" s="902">
        <f>DK13*DK16</f>
        <v>0</v>
      </c>
      <c r="DL17" s="903"/>
      <c r="DM17" s="902">
        <f>DM13*DM16</f>
        <v>0</v>
      </c>
      <c r="DN17" s="903"/>
      <c r="DO17" s="902">
        <f>DO13*DO16</f>
        <v>0</v>
      </c>
      <c r="DQ17" s="799">
        <f>DQ13*DQ16</f>
        <v>0</v>
      </c>
      <c r="DR17" s="881"/>
      <c r="DS17" s="799">
        <f>DS13*DS16</f>
        <v>0</v>
      </c>
      <c r="DT17" s="881"/>
      <c r="DU17" s="799">
        <f>DU13*DU16</f>
        <v>0</v>
      </c>
      <c r="DV17" s="881"/>
      <c r="DW17" s="799">
        <f>DW13*DW16</f>
        <v>0</v>
      </c>
      <c r="DY17" s="902">
        <f>DY13*DY16</f>
        <v>0</v>
      </c>
      <c r="DZ17" s="903"/>
      <c r="EA17" s="902">
        <f>EA13*EA16</f>
        <v>0</v>
      </c>
      <c r="EB17" s="903"/>
      <c r="EC17" s="902">
        <f>EC13*EC16</f>
        <v>0</v>
      </c>
      <c r="ED17" s="903"/>
      <c r="EE17" s="902">
        <f>EE13*EE16</f>
        <v>0</v>
      </c>
      <c r="EG17" s="799">
        <f>EG13*EG16</f>
        <v>0</v>
      </c>
      <c r="EH17" s="881"/>
      <c r="EI17" s="799">
        <f>EI13*EI16</f>
        <v>0</v>
      </c>
      <c r="EJ17" s="881"/>
      <c r="EK17" s="799">
        <f>EK13*EK16</f>
        <v>0</v>
      </c>
      <c r="EL17" s="881"/>
      <c r="EM17" s="799">
        <f>EM13*EM16</f>
        <v>0</v>
      </c>
    </row>
    <row r="18" spans="1:143">
      <c r="A18" t="s">
        <v>515</v>
      </c>
      <c r="C18" s="2081" t="e">
        <f>#REF!</f>
        <v>#REF!</v>
      </c>
      <c r="D18" s="2085"/>
      <c r="E18" s="2081" t="e">
        <f>C18</f>
        <v>#REF!</v>
      </c>
      <c r="F18" s="2085"/>
      <c r="G18" s="2081" t="e">
        <f>E18</f>
        <v>#REF!</v>
      </c>
      <c r="H18" s="2085"/>
      <c r="I18" s="2384" t="e">
        <f>G18</f>
        <v>#REF!</v>
      </c>
      <c r="K18" s="1553">
        <f>'SOF1718-SB1'!F75</f>
        <v>0</v>
      </c>
      <c r="L18" s="1554"/>
      <c r="M18" s="1553">
        <f>K18</f>
        <v>0</v>
      </c>
      <c r="N18" s="1554"/>
      <c r="O18" s="1553">
        <f>M18</f>
        <v>0</v>
      </c>
      <c r="P18" s="1554"/>
      <c r="Q18" s="1621">
        <f>O18</f>
        <v>0</v>
      </c>
      <c r="S18" s="684">
        <f>'SOF1819-SB1'!F75</f>
        <v>0</v>
      </c>
      <c r="T18" s="685"/>
      <c r="U18" s="684">
        <f>S18</f>
        <v>0</v>
      </c>
      <c r="V18" s="685"/>
      <c r="W18" s="684">
        <f>U18</f>
        <v>0</v>
      </c>
      <c r="X18" s="685"/>
      <c r="Y18" s="1627">
        <f>W18</f>
        <v>0</v>
      </c>
      <c r="AA18" s="1825">
        <f>'SOF1920-HB3'!H110</f>
        <v>0</v>
      </c>
      <c r="AB18" s="1826"/>
      <c r="AC18" s="1825">
        <f>AA18</f>
        <v>0</v>
      </c>
      <c r="AD18" s="1826"/>
      <c r="AE18" s="1825">
        <f>AC18</f>
        <v>0</v>
      </c>
      <c r="AF18" s="1826"/>
      <c r="AG18" s="1827">
        <f>AE18</f>
        <v>0</v>
      </c>
      <c r="AI18" s="855">
        <f>'SOF2021-HB3'!H110</f>
        <v>0</v>
      </c>
      <c r="AJ18" s="856"/>
      <c r="AK18" s="855">
        <f>AI18</f>
        <v>0</v>
      </c>
      <c r="AL18" s="856"/>
      <c r="AM18" s="855">
        <f>AK18</f>
        <v>0</v>
      </c>
      <c r="AN18" s="856"/>
      <c r="AO18" s="1646">
        <f>AM18</f>
        <v>0</v>
      </c>
      <c r="AQ18" s="1880">
        <f>'SOF2122-SB1'!F75</f>
        <v>0</v>
      </c>
      <c r="AR18" s="1881"/>
      <c r="AS18" s="1880">
        <f>AQ18</f>
        <v>0</v>
      </c>
      <c r="AT18" s="1881"/>
      <c r="AU18" s="1880">
        <f>AS18</f>
        <v>0</v>
      </c>
      <c r="AV18" s="1881"/>
      <c r="AW18" s="1882">
        <f>AU18</f>
        <v>0</v>
      </c>
      <c r="AY18" s="1499">
        <f>'SOF2223-SB1'!F75</f>
        <v>0</v>
      </c>
      <c r="AZ18" s="1500"/>
      <c r="BA18" s="1499">
        <f>AY18</f>
        <v>0</v>
      </c>
      <c r="BB18" s="1500"/>
      <c r="BC18" s="1499">
        <f>BA18</f>
        <v>0</v>
      </c>
      <c r="BD18" s="1500"/>
      <c r="BE18" s="1659">
        <f>BC18</f>
        <v>0</v>
      </c>
      <c r="BG18" s="1920">
        <f>'SOF2324-SB1'!F75</f>
        <v>0</v>
      </c>
      <c r="BH18" s="1921"/>
      <c r="BI18" s="1920">
        <f>BG18</f>
        <v>0</v>
      </c>
      <c r="BJ18" s="1921"/>
      <c r="BK18" s="1920">
        <f>BI18</f>
        <v>0</v>
      </c>
      <c r="BL18" s="1921"/>
      <c r="BM18" s="1922">
        <f>BK18</f>
        <v>0</v>
      </c>
      <c r="BO18" s="2676">
        <f>'SOF1819-SB1'!H75</f>
        <v>0</v>
      </c>
      <c r="BP18" s="1760">
        <f t="shared" si="0"/>
        <v>0</v>
      </c>
      <c r="BQ18" s="1760">
        <f t="shared" si="0"/>
        <v>0</v>
      </c>
      <c r="BR18" s="1760">
        <f t="shared" si="0"/>
        <v>0</v>
      </c>
      <c r="CC18" s="346" t="e">
        <f>#REF!</f>
        <v>#REF!</v>
      </c>
      <c r="CD18" s="347"/>
      <c r="CE18" s="346" t="e">
        <f>CC18</f>
        <v>#REF!</v>
      </c>
      <c r="CF18" s="347"/>
      <c r="CG18" s="346" t="e">
        <f>CE18</f>
        <v>#REF!</v>
      </c>
      <c r="CH18" s="347"/>
      <c r="CI18" s="346" t="e">
        <f>CG18</f>
        <v>#REF!</v>
      </c>
      <c r="CK18" s="926" t="e">
        <f>#REF!</f>
        <v>#REF!</v>
      </c>
      <c r="CL18" s="927"/>
      <c r="CM18" s="926" t="e">
        <f>CK18</f>
        <v>#REF!</v>
      </c>
      <c r="CN18" s="927"/>
      <c r="CO18" s="926" t="e">
        <f>CM18</f>
        <v>#REF!</v>
      </c>
      <c r="CP18" s="927"/>
      <c r="CQ18" s="926" t="e">
        <f>CO18</f>
        <v>#REF!</v>
      </c>
      <c r="CS18" s="902" t="e">
        <f>#REF!</f>
        <v>#REF!</v>
      </c>
      <c r="CT18" s="903"/>
      <c r="CU18" s="902" t="e">
        <f>CS18</f>
        <v>#REF!</v>
      </c>
      <c r="CV18" s="903"/>
      <c r="CW18" s="902" t="e">
        <f>CU18</f>
        <v>#REF!</v>
      </c>
      <c r="CX18" s="903"/>
      <c r="CY18" s="902" t="e">
        <f>CW18</f>
        <v>#REF!</v>
      </c>
      <c r="DA18" s="799" t="e">
        <f>#REF!</f>
        <v>#REF!</v>
      </c>
      <c r="DB18" s="881"/>
      <c r="DC18" s="799" t="e">
        <f>DA18</f>
        <v>#REF!</v>
      </c>
      <c r="DD18" s="881"/>
      <c r="DE18" s="799" t="e">
        <f>DC18</f>
        <v>#REF!</v>
      </c>
      <c r="DF18" s="881"/>
      <c r="DG18" s="799" t="e">
        <f>DE18</f>
        <v>#REF!</v>
      </c>
      <c r="DI18" s="902" t="e">
        <f>#REF!</f>
        <v>#REF!</v>
      </c>
      <c r="DJ18" s="903"/>
      <c r="DK18" s="902" t="e">
        <f>DI18</f>
        <v>#REF!</v>
      </c>
      <c r="DL18" s="903"/>
      <c r="DM18" s="902" t="e">
        <f>DK18</f>
        <v>#REF!</v>
      </c>
      <c r="DN18" s="903"/>
      <c r="DO18" s="902" t="e">
        <f>DM18</f>
        <v>#REF!</v>
      </c>
      <c r="DQ18" s="799" t="e">
        <f>#REF!</f>
        <v>#REF!</v>
      </c>
      <c r="DR18" s="881"/>
      <c r="DS18" s="799" t="e">
        <f>DQ18</f>
        <v>#REF!</v>
      </c>
      <c r="DT18" s="881"/>
      <c r="DU18" s="799" t="e">
        <f>DS18</f>
        <v>#REF!</v>
      </c>
      <c r="DV18" s="881"/>
      <c r="DW18" s="799" t="e">
        <f>DU18</f>
        <v>#REF!</v>
      </c>
      <c r="DY18" s="902">
        <f>'SOF1718-HB3646'!F77</f>
        <v>0</v>
      </c>
      <c r="DZ18" s="903"/>
      <c r="EA18" s="902">
        <f>DY18</f>
        <v>0</v>
      </c>
      <c r="EB18" s="903"/>
      <c r="EC18" s="902">
        <f>EA18</f>
        <v>0</v>
      </c>
      <c r="ED18" s="903"/>
      <c r="EE18" s="902">
        <f>EC18</f>
        <v>0</v>
      </c>
      <c r="EG18" s="799" t="e">
        <f>'SOF1819-HB3646'!F77</f>
        <v>#REF!</v>
      </c>
      <c r="EH18" s="881"/>
      <c r="EI18" s="799" t="e">
        <f>EG18</f>
        <v>#REF!</v>
      </c>
      <c r="EJ18" s="881"/>
      <c r="EK18" s="799" t="e">
        <f>EI18</f>
        <v>#REF!</v>
      </c>
      <c r="EL18" s="881"/>
      <c r="EM18" s="799" t="e">
        <f>EK18</f>
        <v>#REF!</v>
      </c>
    </row>
    <row r="19" spans="1:143">
      <c r="A19" t="s">
        <v>2164</v>
      </c>
      <c r="C19" s="2081" t="e">
        <f>C17-C18</f>
        <v>#REF!</v>
      </c>
      <c r="D19" s="2085"/>
      <c r="E19" s="2081" t="e">
        <f>E17-E18</f>
        <v>#REF!</v>
      </c>
      <c r="F19" s="2085"/>
      <c r="G19" s="2081" t="e">
        <f>G17-G18</f>
        <v>#REF!</v>
      </c>
      <c r="H19" s="2085"/>
      <c r="I19" s="2384" t="e">
        <f>I17-I18</f>
        <v>#REF!</v>
      </c>
      <c r="K19" s="1553">
        <f>K17-K18</f>
        <v>0</v>
      </c>
      <c r="L19" s="1554"/>
      <c r="M19" s="1553">
        <f>M17-M18</f>
        <v>0</v>
      </c>
      <c r="N19" s="1554"/>
      <c r="O19" s="1553">
        <f>O17-O18</f>
        <v>0</v>
      </c>
      <c r="P19" s="1554"/>
      <c r="Q19" s="1621">
        <f>Q17-Q18</f>
        <v>0</v>
      </c>
      <c r="S19" s="684">
        <f>S17-S18</f>
        <v>0</v>
      </c>
      <c r="T19" s="685"/>
      <c r="U19" s="684">
        <f>U17-U18</f>
        <v>0</v>
      </c>
      <c r="V19" s="685"/>
      <c r="W19" s="684">
        <f>W17-W18</f>
        <v>0</v>
      </c>
      <c r="X19" s="685"/>
      <c r="Y19" s="1627">
        <f>Y17-Y18</f>
        <v>0</v>
      </c>
      <c r="AA19" s="1825">
        <f>AA17-AA18</f>
        <v>0</v>
      </c>
      <c r="AB19" s="1826"/>
      <c r="AC19" s="1825">
        <f>AC17-AC18</f>
        <v>0</v>
      </c>
      <c r="AD19" s="1826"/>
      <c r="AE19" s="1825">
        <f>AE17-AE18</f>
        <v>0</v>
      </c>
      <c r="AF19" s="1826"/>
      <c r="AG19" s="1827">
        <f>AG17-AG18</f>
        <v>0</v>
      </c>
      <c r="AI19" s="855">
        <f>AI17-AI18</f>
        <v>0</v>
      </c>
      <c r="AJ19" s="856"/>
      <c r="AK19" s="855">
        <f>AK17-AK18</f>
        <v>0</v>
      </c>
      <c r="AL19" s="856"/>
      <c r="AM19" s="855">
        <f>AM17-AM18</f>
        <v>0</v>
      </c>
      <c r="AN19" s="856"/>
      <c r="AO19" s="1646">
        <f>AO17-AO18</f>
        <v>0</v>
      </c>
      <c r="AQ19" s="1880">
        <f>AQ17-AQ18</f>
        <v>0</v>
      </c>
      <c r="AR19" s="1881"/>
      <c r="AS19" s="1880">
        <f>AS17-AS18</f>
        <v>0</v>
      </c>
      <c r="AT19" s="1881"/>
      <c r="AU19" s="1880">
        <f>AU17-AU18</f>
        <v>0</v>
      </c>
      <c r="AV19" s="1881"/>
      <c r="AW19" s="1882">
        <f>AW17-AW18</f>
        <v>0</v>
      </c>
      <c r="AY19" s="1499">
        <f>AY17-AY18</f>
        <v>0</v>
      </c>
      <c r="AZ19" s="1500"/>
      <c r="BA19" s="1499">
        <f>BA17-BA18</f>
        <v>0</v>
      </c>
      <c r="BB19" s="1500"/>
      <c r="BC19" s="1499">
        <f>BC17-BC18</f>
        <v>0</v>
      </c>
      <c r="BD19" s="1500"/>
      <c r="BE19" s="1659">
        <f>BE17-BE18</f>
        <v>0</v>
      </c>
      <c r="BG19" s="1920">
        <f>BG17-BG18</f>
        <v>0</v>
      </c>
      <c r="BH19" s="1921"/>
      <c r="BI19" s="1920">
        <f>BI17-BI18</f>
        <v>0</v>
      </c>
      <c r="BJ19" s="1921"/>
      <c r="BK19" s="1920">
        <f>BK17-BK18</f>
        <v>0</v>
      </c>
      <c r="BL19" s="1921"/>
      <c r="BM19" s="1922">
        <f>BM17-BM18</f>
        <v>0</v>
      </c>
      <c r="BO19" s="2676">
        <f>BO17-BO18</f>
        <v>0</v>
      </c>
      <c r="BP19" s="1760">
        <f t="shared" si="0"/>
        <v>0</v>
      </c>
      <c r="BQ19" s="1760">
        <f t="shared" si="0"/>
        <v>0</v>
      </c>
      <c r="BR19" s="1760">
        <f t="shared" si="0"/>
        <v>0</v>
      </c>
      <c r="CC19" s="346" t="e">
        <f>CC17-CC18</f>
        <v>#REF!</v>
      </c>
      <c r="CD19" s="347"/>
      <c r="CE19" s="346" t="e">
        <f>CE17-CE18</f>
        <v>#REF!</v>
      </c>
      <c r="CF19" s="347"/>
      <c r="CG19" s="346" t="e">
        <f>CG17-CG18</f>
        <v>#REF!</v>
      </c>
      <c r="CH19" s="347"/>
      <c r="CI19" s="346" t="e">
        <f>CI17-CI18</f>
        <v>#REF!</v>
      </c>
      <c r="CK19" s="926" t="e">
        <f>CK17-CK18</f>
        <v>#REF!</v>
      </c>
      <c r="CL19" s="927"/>
      <c r="CM19" s="926" t="e">
        <f>CM17-CM18</f>
        <v>#REF!</v>
      </c>
      <c r="CN19" s="927"/>
      <c r="CO19" s="926" t="e">
        <f>CO17-CO18</f>
        <v>#REF!</v>
      </c>
      <c r="CP19" s="927"/>
      <c r="CQ19" s="926" t="e">
        <f>CQ17-CQ18</f>
        <v>#REF!</v>
      </c>
      <c r="CS19" s="902" t="e">
        <f>CS17-CS18</f>
        <v>#REF!</v>
      </c>
      <c r="CT19" s="903"/>
      <c r="CU19" s="902" t="e">
        <f>CU17-CU18</f>
        <v>#REF!</v>
      </c>
      <c r="CV19" s="903"/>
      <c r="CW19" s="902" t="e">
        <f>CW17-CW18</f>
        <v>#REF!</v>
      </c>
      <c r="CX19" s="903"/>
      <c r="CY19" s="902" t="e">
        <f>CY17-CY18</f>
        <v>#REF!</v>
      </c>
      <c r="DA19" s="799" t="e">
        <f>DA17-DA18</f>
        <v>#REF!</v>
      </c>
      <c r="DB19" s="881"/>
      <c r="DC19" s="799" t="e">
        <f>DC17-DC18</f>
        <v>#REF!</v>
      </c>
      <c r="DD19" s="881"/>
      <c r="DE19" s="799" t="e">
        <f>DE17-DE18</f>
        <v>#REF!</v>
      </c>
      <c r="DF19" s="881"/>
      <c r="DG19" s="799" t="e">
        <f>DG17-DG18</f>
        <v>#REF!</v>
      </c>
      <c r="DI19" s="902" t="e">
        <f>DI17-DI18</f>
        <v>#REF!</v>
      </c>
      <c r="DJ19" s="903"/>
      <c r="DK19" s="902" t="e">
        <f>DK17-DK18</f>
        <v>#REF!</v>
      </c>
      <c r="DL19" s="903"/>
      <c r="DM19" s="902" t="e">
        <f>DM17-DM18</f>
        <v>#REF!</v>
      </c>
      <c r="DN19" s="903"/>
      <c r="DO19" s="902" t="e">
        <f>DO17-DO18</f>
        <v>#REF!</v>
      </c>
      <c r="DQ19" s="799" t="e">
        <f>DQ17-DQ18</f>
        <v>#REF!</v>
      </c>
      <c r="DR19" s="881"/>
      <c r="DS19" s="799" t="e">
        <f>DS17-DS18</f>
        <v>#REF!</v>
      </c>
      <c r="DT19" s="881"/>
      <c r="DU19" s="799" t="e">
        <f>DU17-DU18</f>
        <v>#REF!</v>
      </c>
      <c r="DV19" s="881"/>
      <c r="DW19" s="799" t="e">
        <f>DW17-DW18</f>
        <v>#REF!</v>
      </c>
      <c r="DY19" s="902">
        <f>DY17-DY18</f>
        <v>0</v>
      </c>
      <c r="DZ19" s="903"/>
      <c r="EA19" s="902">
        <f>EA17-EA18</f>
        <v>0</v>
      </c>
      <c r="EB19" s="903"/>
      <c r="EC19" s="902">
        <f>EC17-EC18</f>
        <v>0</v>
      </c>
      <c r="ED19" s="903"/>
      <c r="EE19" s="902">
        <f>EE17-EE18</f>
        <v>0</v>
      </c>
      <c r="EG19" s="799" t="e">
        <f>EG17-EG18</f>
        <v>#REF!</v>
      </c>
      <c r="EH19" s="881"/>
      <c r="EI19" s="799" t="e">
        <f>EI17-EI18</f>
        <v>#REF!</v>
      </c>
      <c r="EJ19" s="881"/>
      <c r="EK19" s="799" t="e">
        <f>EK17-EK18</f>
        <v>#REF!</v>
      </c>
      <c r="EL19" s="881"/>
      <c r="EM19" s="799" t="e">
        <f>EM17-EM18</f>
        <v>#REF!</v>
      </c>
    </row>
    <row r="20" spans="1:143">
      <c r="A20" t="s">
        <v>1122</v>
      </c>
      <c r="C20" s="2359">
        <f>IF('Data Entry - SOF'!C174=0,0,('Data Entry - SOF'!C174/'Data Entry - SOF'!C177)+0.0082)</f>
        <v>0</v>
      </c>
      <c r="D20" s="2060"/>
      <c r="E20" s="2359">
        <f>C20</f>
        <v>0</v>
      </c>
      <c r="F20" s="2060"/>
      <c r="G20" s="2359">
        <f>E20</f>
        <v>0</v>
      </c>
      <c r="H20" s="2060"/>
      <c r="I20" s="2385">
        <f>G20</f>
        <v>0</v>
      </c>
      <c r="K20" s="1552">
        <f>IF('Data Entry - SOF'!E174=0,0,('Data Entry - SOF'!E174/'Data Entry - SOF'!E177)+0.0082)</f>
        <v>0</v>
      </c>
      <c r="L20" s="305"/>
      <c r="M20" s="1552">
        <f>K20</f>
        <v>0</v>
      </c>
      <c r="N20" s="305"/>
      <c r="O20" s="1552">
        <f>M20</f>
        <v>0</v>
      </c>
      <c r="P20" s="305"/>
      <c r="Q20" s="1620">
        <f>O20</f>
        <v>0</v>
      </c>
      <c r="S20" s="686">
        <f>K20</f>
        <v>0</v>
      </c>
      <c r="T20" s="687"/>
      <c r="U20" s="686">
        <f>S20</f>
        <v>0</v>
      </c>
      <c r="V20" s="687"/>
      <c r="W20" s="686">
        <f>U20</f>
        <v>0</v>
      </c>
      <c r="X20" s="687"/>
      <c r="Y20" s="1628">
        <f>W20</f>
        <v>0</v>
      </c>
      <c r="AA20" s="1828">
        <f>S20</f>
        <v>0</v>
      </c>
      <c r="AB20" s="1829"/>
      <c r="AC20" s="1828">
        <f>AA20</f>
        <v>0</v>
      </c>
      <c r="AD20" s="1829"/>
      <c r="AE20" s="1828">
        <f>AC20</f>
        <v>0</v>
      </c>
      <c r="AF20" s="1829"/>
      <c r="AG20" s="1830">
        <f>AE20</f>
        <v>0</v>
      </c>
      <c r="AI20" s="857">
        <f>AA20</f>
        <v>0</v>
      </c>
      <c r="AJ20" s="858"/>
      <c r="AK20" s="857">
        <f>AI20</f>
        <v>0</v>
      </c>
      <c r="AL20" s="858"/>
      <c r="AM20" s="857">
        <f>AK20</f>
        <v>0</v>
      </c>
      <c r="AN20" s="858"/>
      <c r="AO20" s="1647">
        <f>AM20</f>
        <v>0</v>
      </c>
      <c r="AQ20" s="1883">
        <f>AI20</f>
        <v>0</v>
      </c>
      <c r="AR20" s="1884"/>
      <c r="AS20" s="1883">
        <f>AQ20</f>
        <v>0</v>
      </c>
      <c r="AT20" s="1884"/>
      <c r="AU20" s="1883">
        <f>AS20</f>
        <v>0</v>
      </c>
      <c r="AV20" s="1884"/>
      <c r="AW20" s="1885">
        <f>AU20</f>
        <v>0</v>
      </c>
      <c r="AY20" s="1527">
        <f>AQ20</f>
        <v>0</v>
      </c>
      <c r="AZ20" s="1528"/>
      <c r="BA20" s="1527">
        <f>AY20</f>
        <v>0</v>
      </c>
      <c r="BB20" s="1528"/>
      <c r="BC20" s="1527">
        <f>BA20</f>
        <v>0</v>
      </c>
      <c r="BD20" s="1528"/>
      <c r="BE20" s="1658">
        <f>BC20</f>
        <v>0</v>
      </c>
      <c r="BG20" s="1917">
        <f>AY20</f>
        <v>0</v>
      </c>
      <c r="BH20" s="1918"/>
      <c r="BI20" s="1917">
        <f>BG20</f>
        <v>0</v>
      </c>
      <c r="BJ20" s="1918"/>
      <c r="BK20" s="1917">
        <f>BI20</f>
        <v>0</v>
      </c>
      <c r="BL20" s="1918"/>
      <c r="BM20" s="1919">
        <f>BK20</f>
        <v>0</v>
      </c>
      <c r="BO20" s="2468">
        <f>IF('Data Entry - SOF'!E174=0,0,('Data Entry - SOF'!E174/'Data Entry - SOF'!E177)+0.0082)</f>
        <v>0</v>
      </c>
      <c r="BP20" s="2677">
        <f t="shared" si="0"/>
        <v>0</v>
      </c>
      <c r="BQ20" s="2677">
        <f t="shared" si="0"/>
        <v>0</v>
      </c>
      <c r="BR20" s="2677">
        <f t="shared" si="0"/>
        <v>0</v>
      </c>
      <c r="CC20" s="433">
        <f>IF('Data Entry - SOF'!C174=0,0,('Data Entry - SOF'!C174/'Data Entry - SOF'!C177)+0.0082)</f>
        <v>0</v>
      </c>
      <c r="CD20" s="349"/>
      <c r="CE20" s="348">
        <f>CC20</f>
        <v>0</v>
      </c>
      <c r="CF20" s="349"/>
      <c r="CG20" s="348">
        <f>CE20</f>
        <v>0</v>
      </c>
      <c r="CH20" s="349"/>
      <c r="CI20" s="348">
        <f>CG20</f>
        <v>0</v>
      </c>
      <c r="CK20" s="930">
        <f>IF('Data Entry - SOF'!C174=0,0,('Data Entry - SOF'!C174/'Data Entry - SOF'!C177)+0.0082)</f>
        <v>0</v>
      </c>
      <c r="CL20" s="929"/>
      <c r="CM20" s="928">
        <f>CK20</f>
        <v>0</v>
      </c>
      <c r="CN20" s="929"/>
      <c r="CO20" s="928">
        <f>CM20</f>
        <v>0</v>
      </c>
      <c r="CP20" s="929"/>
      <c r="CQ20" s="928">
        <f>CO20</f>
        <v>0</v>
      </c>
      <c r="CS20" s="906">
        <f>IF('Data Entry - SOF'!C174=0,0,('Data Entry - SOF'!C174/'Data Entry - SOF'!C177)+0.0082)</f>
        <v>0</v>
      </c>
      <c r="CT20" s="905"/>
      <c r="CU20" s="904">
        <f>CS20</f>
        <v>0</v>
      </c>
      <c r="CV20" s="905"/>
      <c r="CW20" s="904">
        <f>CU20</f>
        <v>0</v>
      </c>
      <c r="CX20" s="905"/>
      <c r="CY20" s="904">
        <f>CW20</f>
        <v>0</v>
      </c>
      <c r="DA20" s="884">
        <f>IF('Data Entry - SOF'!C174=0,0,('Data Entry - SOF'!C174/'Data Entry - SOF'!C177)+0.0082)</f>
        <v>0</v>
      </c>
      <c r="DB20" s="883"/>
      <c r="DC20" s="882">
        <f>DA20</f>
        <v>0</v>
      </c>
      <c r="DD20" s="883"/>
      <c r="DE20" s="882">
        <f>DC20</f>
        <v>0</v>
      </c>
      <c r="DF20" s="883"/>
      <c r="DG20" s="882">
        <f>DE20</f>
        <v>0</v>
      </c>
      <c r="DI20" s="906">
        <f>IF('Data Entry - SOF'!C174=0,0,('Data Entry - SOF'!C174/'Data Entry - SOF'!C177)+0.0082)</f>
        <v>0</v>
      </c>
      <c r="DJ20" s="905"/>
      <c r="DK20" s="904">
        <f>DI20</f>
        <v>0</v>
      </c>
      <c r="DL20" s="905"/>
      <c r="DM20" s="904">
        <f>DK20</f>
        <v>0</v>
      </c>
      <c r="DN20" s="905"/>
      <c r="DO20" s="904">
        <f>DM20</f>
        <v>0</v>
      </c>
      <c r="DQ20" s="884">
        <f>IF('Data Entry - SOF'!C174=0,0,('Data Entry - SOF'!C174/'Data Entry - SOF'!C177)+0.0082)</f>
        <v>0</v>
      </c>
      <c r="DR20" s="883"/>
      <c r="DS20" s="882">
        <f>DQ20</f>
        <v>0</v>
      </c>
      <c r="DT20" s="883"/>
      <c r="DU20" s="882">
        <f>DS20</f>
        <v>0</v>
      </c>
      <c r="DV20" s="883"/>
      <c r="DW20" s="882">
        <f>DU20</f>
        <v>0</v>
      </c>
      <c r="DY20" s="906">
        <f>IF('Data Entry - SOF'!C174=0,0,('Data Entry - SOF'!C174/'Data Entry - SOF'!C177)+0.0082)</f>
        <v>0</v>
      </c>
      <c r="DZ20" s="905"/>
      <c r="EA20" s="904">
        <f>DY20</f>
        <v>0</v>
      </c>
      <c r="EB20" s="905"/>
      <c r="EC20" s="904">
        <f>EA20</f>
        <v>0</v>
      </c>
      <c r="ED20" s="905"/>
      <c r="EE20" s="904">
        <f>EC20</f>
        <v>0</v>
      </c>
      <c r="EG20" s="884">
        <f>IF('Data Entry - SOF'!C174=0,0,('Data Entry - SOF'!C174/'Data Entry - SOF'!C177)+0.0082)</f>
        <v>0</v>
      </c>
      <c r="EH20" s="883"/>
      <c r="EI20" s="882">
        <f>EG20</f>
        <v>0</v>
      </c>
      <c r="EJ20" s="883"/>
      <c r="EK20" s="882">
        <f>EI20</f>
        <v>0</v>
      </c>
      <c r="EL20" s="883"/>
      <c r="EM20" s="882">
        <f>EK20</f>
        <v>0</v>
      </c>
    </row>
    <row r="21" spans="1:143">
      <c r="A21" t="s">
        <v>985</v>
      </c>
      <c r="C21" s="2359">
        <f>IF(C20&gt;0.015,C20,0.015)</f>
        <v>1.4999999999999999E-2</v>
      </c>
      <c r="D21" s="2060"/>
      <c r="E21" s="2359">
        <f>IF(E20&gt;0.015,E20,0.015)</f>
        <v>1.4999999999999999E-2</v>
      </c>
      <c r="F21" s="2060"/>
      <c r="G21" s="2359">
        <f>IF(G20&gt;0.015,G20,0.015)</f>
        <v>1.4999999999999999E-2</v>
      </c>
      <c r="H21" s="2060"/>
      <c r="I21" s="2385">
        <f>IF(I20&gt;0.015,I20,0.015)</f>
        <v>1.4999999999999999E-2</v>
      </c>
      <c r="K21" s="1552">
        <f>IF(K20&gt;0.015,K20,0.015)</f>
        <v>1.4999999999999999E-2</v>
      </c>
      <c r="L21" s="305"/>
      <c r="M21" s="1552">
        <f>IF(M20&gt;0.015,M20,0.015)</f>
        <v>1.4999999999999999E-2</v>
      </c>
      <c r="N21" s="305"/>
      <c r="O21" s="1552">
        <f>IF(O20&gt;0.015,O20,0.015)</f>
        <v>1.4999999999999999E-2</v>
      </c>
      <c r="P21" s="305"/>
      <c r="Q21" s="1620">
        <f>IF(Q20&gt;0.015,Q20,0.015)</f>
        <v>1.4999999999999999E-2</v>
      </c>
      <c r="S21" s="686">
        <f>IF(S20&gt;0.015,S20,0.015)</f>
        <v>1.4999999999999999E-2</v>
      </c>
      <c r="T21" s="687"/>
      <c r="U21" s="686">
        <f>IF(U20&gt;0.015,U20,0.015)</f>
        <v>1.4999999999999999E-2</v>
      </c>
      <c r="V21" s="687"/>
      <c r="W21" s="686">
        <f>IF(W20&gt;0.015,W20,0.015)</f>
        <v>1.4999999999999999E-2</v>
      </c>
      <c r="X21" s="687"/>
      <c r="Y21" s="1628">
        <f>IF(Y20&gt;0.015,Y20,0.015)</f>
        <v>1.4999999999999999E-2</v>
      </c>
      <c r="AA21" s="1828">
        <f>IF(AA20&gt;0.015,AA20,0.015)</f>
        <v>1.4999999999999999E-2</v>
      </c>
      <c r="AB21" s="1829"/>
      <c r="AC21" s="1828">
        <f>IF(AC20&gt;0.015,AC20,0.015)</f>
        <v>1.4999999999999999E-2</v>
      </c>
      <c r="AD21" s="1829"/>
      <c r="AE21" s="1828">
        <f>IF(AE20&gt;0.015,AE20,0.015)</f>
        <v>1.4999999999999999E-2</v>
      </c>
      <c r="AF21" s="1829"/>
      <c r="AG21" s="1830">
        <f>IF(AG20&gt;0.015,AG20,0.015)</f>
        <v>1.4999999999999999E-2</v>
      </c>
      <c r="AI21" s="857">
        <f>IF(AI20&gt;0.015,AI20,0.015)</f>
        <v>1.4999999999999999E-2</v>
      </c>
      <c r="AJ21" s="858"/>
      <c r="AK21" s="857">
        <f>IF(AK20&gt;0.015,AK20,0.015)</f>
        <v>1.4999999999999999E-2</v>
      </c>
      <c r="AL21" s="858"/>
      <c r="AM21" s="857">
        <f>IF(AM20&gt;0.015,AM20,0.015)</f>
        <v>1.4999999999999999E-2</v>
      </c>
      <c r="AN21" s="858"/>
      <c r="AO21" s="1647">
        <f>IF(AO20&gt;0.015,AO20,0.015)</f>
        <v>1.4999999999999999E-2</v>
      </c>
      <c r="AQ21" s="1883">
        <f>IF(AQ20&gt;0.015,AQ20,0.015)</f>
        <v>1.4999999999999999E-2</v>
      </c>
      <c r="AR21" s="1884"/>
      <c r="AS21" s="1883">
        <f>IF(AS20&gt;0.015,AS20,0.015)</f>
        <v>1.4999999999999999E-2</v>
      </c>
      <c r="AT21" s="1884"/>
      <c r="AU21" s="1883">
        <f>IF(AU20&gt;0.015,AU20,0.015)</f>
        <v>1.4999999999999999E-2</v>
      </c>
      <c r="AV21" s="1884"/>
      <c r="AW21" s="1885">
        <f>IF(AW20&gt;0.015,AW20,0.015)</f>
        <v>1.4999999999999999E-2</v>
      </c>
      <c r="AY21" s="1527">
        <f>IF(AY20&gt;0.015,AY20,0.015)</f>
        <v>1.4999999999999999E-2</v>
      </c>
      <c r="AZ21" s="1528"/>
      <c r="BA21" s="1527">
        <f>IF(BA20&gt;0.015,BA20,0.015)</f>
        <v>1.4999999999999999E-2</v>
      </c>
      <c r="BB21" s="1528"/>
      <c r="BC21" s="1527">
        <f>IF(BC20&gt;0.015,BC20,0.015)</f>
        <v>1.4999999999999999E-2</v>
      </c>
      <c r="BD21" s="1528"/>
      <c r="BE21" s="1658">
        <f>IF(BE20&gt;0.015,BE20,0.015)</f>
        <v>1.4999999999999999E-2</v>
      </c>
      <c r="BG21" s="1917">
        <f>IF(BG20&gt;0.015,BG20,0.015)</f>
        <v>1.4999999999999999E-2</v>
      </c>
      <c r="BH21" s="1918"/>
      <c r="BI21" s="1917">
        <f>IF(BI20&gt;0.015,BI20,0.015)</f>
        <v>1.4999999999999999E-2</v>
      </c>
      <c r="BJ21" s="1918"/>
      <c r="BK21" s="1917">
        <f>IF(BK20&gt;0.015,BK20,0.015)</f>
        <v>1.4999999999999999E-2</v>
      </c>
      <c r="BL21" s="1918"/>
      <c r="BM21" s="1919">
        <f>IF(BM20&gt;0.015,BM20,0.015)</f>
        <v>1.4999999999999999E-2</v>
      </c>
      <c r="BO21" s="2468">
        <f>IF(BO20&gt;0.015,BO20,0.015)</f>
        <v>1.4999999999999999E-2</v>
      </c>
      <c r="BP21" s="2677">
        <f t="shared" si="0"/>
        <v>1.4999999999999999E-2</v>
      </c>
      <c r="BQ21" s="2677">
        <f t="shared" si="0"/>
        <v>1.4999999999999999E-2</v>
      </c>
      <c r="BR21" s="2677">
        <f t="shared" si="0"/>
        <v>1.4999999999999999E-2</v>
      </c>
      <c r="CC21" s="433">
        <f>IF(CC20&gt;0.015,CC20,0.015)</f>
        <v>1.4999999999999999E-2</v>
      </c>
      <c r="CD21" s="349"/>
      <c r="CE21" s="348">
        <f>IF(CE20&gt;0.015,CE20,0.015)</f>
        <v>1.4999999999999999E-2</v>
      </c>
      <c r="CF21" s="349"/>
      <c r="CG21" s="348">
        <f>IF(CG20&gt;0.015,CG20,0.015)</f>
        <v>1.4999999999999999E-2</v>
      </c>
      <c r="CH21" s="349"/>
      <c r="CI21" s="348">
        <f>IF(CI20&gt;0.015,CI20,0.015)</f>
        <v>1.4999999999999999E-2</v>
      </c>
      <c r="CK21" s="930">
        <f>IF(CK20&gt;0.015,CK20,0.015)</f>
        <v>1.4999999999999999E-2</v>
      </c>
      <c r="CL21" s="929"/>
      <c r="CM21" s="928">
        <f>IF(CM20&gt;0.015,CM20,0.015)</f>
        <v>1.4999999999999999E-2</v>
      </c>
      <c r="CN21" s="929"/>
      <c r="CO21" s="928">
        <f>IF(CO20&gt;0.015,CO20,0.015)</f>
        <v>1.4999999999999999E-2</v>
      </c>
      <c r="CP21" s="929"/>
      <c r="CQ21" s="928">
        <f>IF(CQ20&gt;0.015,CQ20,0.015)</f>
        <v>1.4999999999999999E-2</v>
      </c>
      <c r="CS21" s="906">
        <f>IF(CS20&gt;0.015,CS20,0.015)</f>
        <v>1.4999999999999999E-2</v>
      </c>
      <c r="CT21" s="905"/>
      <c r="CU21" s="904">
        <f>IF(CU20&gt;0.015,CU20,0.015)</f>
        <v>1.4999999999999999E-2</v>
      </c>
      <c r="CV21" s="905"/>
      <c r="CW21" s="904">
        <f>IF(CW20&gt;0.015,CW20,0.015)</f>
        <v>1.4999999999999999E-2</v>
      </c>
      <c r="CX21" s="905"/>
      <c r="CY21" s="904">
        <f>IF(CY20&gt;0.015,CY20,0.015)</f>
        <v>1.4999999999999999E-2</v>
      </c>
      <c r="DA21" s="884">
        <f>IF(DA20&gt;0.015,DA20,0.015)</f>
        <v>1.4999999999999999E-2</v>
      </c>
      <c r="DB21" s="883"/>
      <c r="DC21" s="882">
        <f>IF(DC20&gt;0.015,DC20,0.015)</f>
        <v>1.4999999999999999E-2</v>
      </c>
      <c r="DD21" s="883"/>
      <c r="DE21" s="882">
        <f>IF(DE20&gt;0.015,DE20,0.015)</f>
        <v>1.4999999999999999E-2</v>
      </c>
      <c r="DF21" s="883"/>
      <c r="DG21" s="882">
        <f>IF(DG20&gt;0.015,DG20,0.015)</f>
        <v>1.4999999999999999E-2</v>
      </c>
      <c r="DI21" s="906">
        <f>IF(DI20&gt;0.015,DI20,0.015)</f>
        <v>1.4999999999999999E-2</v>
      </c>
      <c r="DJ21" s="905"/>
      <c r="DK21" s="904">
        <f>IF(DK20&gt;0.015,DK20,0.015)</f>
        <v>1.4999999999999999E-2</v>
      </c>
      <c r="DL21" s="905"/>
      <c r="DM21" s="904">
        <f>IF(DM20&gt;0.015,DM20,0.015)</f>
        <v>1.4999999999999999E-2</v>
      </c>
      <c r="DN21" s="905"/>
      <c r="DO21" s="904">
        <f>IF(DO20&gt;0.015,DO20,0.015)</f>
        <v>1.4999999999999999E-2</v>
      </c>
      <c r="DQ21" s="884">
        <f>IF(DQ20&gt;0.015,DQ20,0.015)</f>
        <v>1.4999999999999999E-2</v>
      </c>
      <c r="DR21" s="883"/>
      <c r="DS21" s="882">
        <f>IF(DS20&gt;0.015,DS20,0.015)</f>
        <v>1.4999999999999999E-2</v>
      </c>
      <c r="DT21" s="883"/>
      <c r="DU21" s="882">
        <f>IF(DU20&gt;0.015,DU20,0.015)</f>
        <v>1.4999999999999999E-2</v>
      </c>
      <c r="DV21" s="883"/>
      <c r="DW21" s="882">
        <f>IF(DW20&gt;0.015,DW20,0.015)</f>
        <v>1.4999999999999999E-2</v>
      </c>
      <c r="DY21" s="906">
        <f>IF(DY20&gt;0.015,DY20,0.015)</f>
        <v>1.4999999999999999E-2</v>
      </c>
      <c r="DZ21" s="905"/>
      <c r="EA21" s="904">
        <f>IF(EA20&gt;0.015,EA20,0.015)</f>
        <v>1.4999999999999999E-2</v>
      </c>
      <c r="EB21" s="905"/>
      <c r="EC21" s="904">
        <f>IF(EC20&gt;0.015,EC20,0.015)</f>
        <v>1.4999999999999999E-2</v>
      </c>
      <c r="ED21" s="905"/>
      <c r="EE21" s="904">
        <f>IF(EE20&gt;0.015,EE20,0.015)</f>
        <v>1.4999999999999999E-2</v>
      </c>
      <c r="EG21" s="884">
        <f>IF(EG20&gt;0.015,EG20,0.015)</f>
        <v>1.4999999999999999E-2</v>
      </c>
      <c r="EH21" s="883"/>
      <c r="EI21" s="882">
        <f>IF(EI20&gt;0.015,EI20,0.015)</f>
        <v>1.4999999999999999E-2</v>
      </c>
      <c r="EJ21" s="883"/>
      <c r="EK21" s="882">
        <f>IF(EK20&gt;0.015,EK20,0.015)</f>
        <v>1.4999999999999999E-2</v>
      </c>
      <c r="EL21" s="883"/>
      <c r="EM21" s="882">
        <f>IF(EM20&gt;0.015,EM20,0.015)</f>
        <v>1.4999999999999999E-2</v>
      </c>
    </row>
    <row r="22" spans="1:143">
      <c r="I22" s="2070"/>
      <c r="Q22" s="1616"/>
      <c r="Y22" s="1093"/>
      <c r="AG22" s="1818"/>
      <c r="AO22" s="1642"/>
      <c r="AW22" s="1873"/>
      <c r="BE22" s="1612"/>
      <c r="BM22" s="1909"/>
      <c r="BO22" s="1422"/>
      <c r="BP22" s="1422"/>
      <c r="BQ22" s="1422"/>
      <c r="BR22" s="1422"/>
    </row>
    <row r="23" spans="1:143" ht="15.75">
      <c r="A23" s="30" t="s">
        <v>1123</v>
      </c>
      <c r="I23" s="2070"/>
      <c r="Q23" s="1616"/>
      <c r="Y23" s="1093"/>
      <c r="AG23" s="1818"/>
      <c r="AO23" s="1642"/>
      <c r="AW23" s="1873"/>
      <c r="BE23" s="1612"/>
      <c r="BM23" s="1909"/>
      <c r="BO23" s="1422"/>
      <c r="BP23" s="1422"/>
      <c r="BQ23" s="1422"/>
      <c r="BR23" s="1422"/>
    </row>
    <row r="24" spans="1:143">
      <c r="A24" t="s">
        <v>1883</v>
      </c>
      <c r="C24" s="2081" t="e">
        <f>'Ch41 Calc Data'!K17*Assumptions!G92</f>
        <v>#REF!</v>
      </c>
      <c r="D24" s="2085"/>
      <c r="E24" s="2081" t="e">
        <f>C24</f>
        <v>#REF!</v>
      </c>
      <c r="F24" s="2085"/>
      <c r="G24" s="2081" t="e">
        <f>'Ch41 Calc Data'!K17*Assumptions!G93</f>
        <v>#REF!</v>
      </c>
      <c r="H24" s="2085"/>
      <c r="I24" s="2384" t="e">
        <f>G24</f>
        <v>#REF!</v>
      </c>
      <c r="K24" s="1553" t="e">
        <f>'Ch41 Calc Data'!L17*Assumptions!G103</f>
        <v>#REF!</v>
      </c>
      <c r="L24" s="1554"/>
      <c r="M24" s="1553" t="e">
        <f>K24</f>
        <v>#REF!</v>
      </c>
      <c r="N24" s="1554"/>
      <c r="O24" s="1553" t="e">
        <f>'Ch41 Calc Data'!L17*Assumptions!G104</f>
        <v>#REF!</v>
      </c>
      <c r="P24" s="1554"/>
      <c r="Q24" s="1621" t="e">
        <f>O24</f>
        <v>#REF!</v>
      </c>
      <c r="S24" s="684">
        <f>'Ch41 Calc Data'!M17*Assumptions!G112</f>
        <v>0</v>
      </c>
      <c r="T24" s="685"/>
      <c r="U24" s="684">
        <f>S24</f>
        <v>0</v>
      </c>
      <c r="V24" s="685"/>
      <c r="W24" s="684">
        <f>'Ch41 Calc Data'!M17*Assumptions!G113</f>
        <v>0</v>
      </c>
      <c r="X24" s="685"/>
      <c r="Y24" s="1627">
        <f>W24</f>
        <v>0</v>
      </c>
      <c r="AA24" s="1825">
        <f>'Ch41 Calc Data'!N17*Assumptions!G121</f>
        <v>0</v>
      </c>
      <c r="AB24" s="1826"/>
      <c r="AC24" s="1825">
        <f>AA24</f>
        <v>0</v>
      </c>
      <c r="AD24" s="1826"/>
      <c r="AE24" s="1825">
        <f>'Ch41 Calc Data'!N17*Assumptions!G122</f>
        <v>0</v>
      </c>
      <c r="AF24" s="1826"/>
      <c r="AG24" s="1827">
        <f>AE24</f>
        <v>0</v>
      </c>
      <c r="AI24" s="855" t="e">
        <f>'Ch41 Calc Data'!O17*Assumptions!G130</f>
        <v>#DIV/0!</v>
      </c>
      <c r="AJ24" s="856"/>
      <c r="AK24" s="855" t="e">
        <f>AI24</f>
        <v>#DIV/0!</v>
      </c>
      <c r="AL24" s="856"/>
      <c r="AM24" s="855" t="e">
        <f>'Ch41 Calc Data'!O17*Assumptions!G131</f>
        <v>#DIV/0!</v>
      </c>
      <c r="AN24" s="856"/>
      <c r="AO24" s="1646" t="e">
        <f>AM24</f>
        <v>#DIV/0!</v>
      </c>
      <c r="AQ24" s="1880" t="e">
        <f>'Ch41 Calc Data'!P17*Assumptions!G139</f>
        <v>#DIV/0!</v>
      </c>
      <c r="AR24" s="1881"/>
      <c r="AS24" s="1880" t="e">
        <f>AQ24</f>
        <v>#DIV/0!</v>
      </c>
      <c r="AT24" s="1881"/>
      <c r="AU24" s="1880" t="e">
        <f>'Ch41 Calc Data'!P17*Assumptions!G140</f>
        <v>#DIV/0!</v>
      </c>
      <c r="AV24" s="1881"/>
      <c r="AW24" s="1882" t="e">
        <f>AU24</f>
        <v>#DIV/0!</v>
      </c>
      <c r="AY24" s="1515" t="e">
        <f>'Ch41 Calc Data'!Q17*Assumptions!G148</f>
        <v>#DIV/0!</v>
      </c>
      <c r="AZ24" s="1516"/>
      <c r="BA24" s="1515" t="e">
        <f>AY24</f>
        <v>#DIV/0!</v>
      </c>
      <c r="BB24" s="1516"/>
      <c r="BC24" s="1515" t="e">
        <f>'Ch41 Calc Data'!Q17*Assumptions!G149</f>
        <v>#DIV/0!</v>
      </c>
      <c r="BD24" s="1516"/>
      <c r="BE24" s="1657" t="e">
        <f>BC24</f>
        <v>#DIV/0!</v>
      </c>
      <c r="BG24" s="1914" t="e">
        <f>'Ch41 Calc Data'!R17*Assumptions!G157</f>
        <v>#DIV/0!</v>
      </c>
      <c r="BH24" s="1915"/>
      <c r="BI24" s="1914" t="e">
        <f>BG24</f>
        <v>#DIV/0!</v>
      </c>
      <c r="BJ24" s="1915"/>
      <c r="BK24" s="1914" t="e">
        <f>'Ch41 Calc Data'!R17*Assumptions!G158</f>
        <v>#DIV/0!</v>
      </c>
      <c r="BL24" s="1915"/>
      <c r="BM24" s="1916" t="e">
        <f>BK24</f>
        <v>#DIV/0!</v>
      </c>
      <c r="BO24" s="2676" t="e">
        <f>'Ch41 Calc Data'!M20*Assumptions!G121</f>
        <v>#REF!</v>
      </c>
      <c r="BP24" s="2676" t="e">
        <f>BO24</f>
        <v>#REF!</v>
      </c>
      <c r="BQ24" s="2472" t="e">
        <f>'Ch41 Calc Data'!M20*Assumptions!G122</f>
        <v>#REF!</v>
      </c>
      <c r="BR24" s="2676" t="e">
        <f>BQ24</f>
        <v>#REF!</v>
      </c>
      <c r="CC24" s="346" t="e">
        <f>'Ch41 Calc Data'!AA17*Assumptions!G30</f>
        <v>#REF!</v>
      </c>
      <c r="CD24" s="347"/>
      <c r="CE24" s="346" t="e">
        <f>CC24</f>
        <v>#REF!</v>
      </c>
      <c r="CF24" s="347"/>
      <c r="CG24" s="346" t="e">
        <f>'Ch41 Calc Data'!AA17*Assumptions!G31</f>
        <v>#REF!</v>
      </c>
      <c r="CH24" s="347"/>
      <c r="CI24" s="346" t="e">
        <f>CG24</f>
        <v>#REF!</v>
      </c>
      <c r="CK24" s="926" t="e">
        <f>'Ch41 Calc Data'!AB17*Assumptions!G40</f>
        <v>#REF!</v>
      </c>
      <c r="CL24" s="927"/>
      <c r="CM24" s="926" t="e">
        <f>CK24</f>
        <v>#REF!</v>
      </c>
      <c r="CN24" s="927"/>
      <c r="CO24" s="926" t="e">
        <f>'Ch41 Calc Data'!AB17*Assumptions!G41</f>
        <v>#REF!</v>
      </c>
      <c r="CP24" s="927"/>
      <c r="CQ24" s="926" t="e">
        <f>CO24</f>
        <v>#REF!</v>
      </c>
      <c r="CS24" s="902" t="e">
        <f>'Ch41 Calc Data'!AC17*Assumptions!G30</f>
        <v>#REF!</v>
      </c>
      <c r="CT24" s="903"/>
      <c r="CU24" s="902" t="e">
        <f>CS24</f>
        <v>#REF!</v>
      </c>
      <c r="CV24" s="903"/>
      <c r="CW24" s="902" t="e">
        <f>'Ch41 Calc Data'!AC17*Assumptions!G31</f>
        <v>#REF!</v>
      </c>
      <c r="CX24" s="903"/>
      <c r="CY24" s="902" t="e">
        <f>CW24</f>
        <v>#REF!</v>
      </c>
      <c r="DA24" s="799" t="e">
        <f>'Ch41 Calc Data'!AD17*Assumptions!G30</f>
        <v>#REF!</v>
      </c>
      <c r="DB24" s="881"/>
      <c r="DC24" s="799" t="e">
        <f>DA24</f>
        <v>#REF!</v>
      </c>
      <c r="DD24" s="881"/>
      <c r="DE24" s="799" t="e">
        <f>'Ch41 Calc Data'!AD17*Assumptions!G31</f>
        <v>#REF!</v>
      </c>
      <c r="DF24" s="881"/>
      <c r="DG24" s="799" t="e">
        <f>DE24</f>
        <v>#REF!</v>
      </c>
      <c r="DI24" s="902" t="e">
        <f>'Ch41 Calc Data'!AE17*Assumptions!G30</f>
        <v>#REF!</v>
      </c>
      <c r="DJ24" s="903"/>
      <c r="DK24" s="902" t="e">
        <f>DI24</f>
        <v>#REF!</v>
      </c>
      <c r="DL24" s="903"/>
      <c r="DM24" s="902" t="e">
        <f>'Ch41 Calc Data'!AE17*Assumptions!G31</f>
        <v>#REF!</v>
      </c>
      <c r="DN24" s="903"/>
      <c r="DO24" s="902" t="e">
        <f>DM24</f>
        <v>#REF!</v>
      </c>
      <c r="DQ24" s="799" t="e">
        <f>'Ch41 Calc Data'!AF17*Assumptions!G30</f>
        <v>#REF!</v>
      </c>
      <c r="DR24" s="881"/>
      <c r="DS24" s="799" t="e">
        <f>DQ24</f>
        <v>#REF!</v>
      </c>
      <c r="DT24" s="881"/>
      <c r="DU24" s="799" t="e">
        <f>'Ch41 Calc Data'!AF17*Assumptions!G31</f>
        <v>#REF!</v>
      </c>
      <c r="DV24" s="881"/>
      <c r="DW24" s="799" t="e">
        <f>DU24</f>
        <v>#REF!</v>
      </c>
      <c r="DY24" s="902" t="e">
        <f>'Ch41 Calc Data'!AG17*Assumptions!G30</f>
        <v>#REF!</v>
      </c>
      <c r="DZ24" s="903"/>
      <c r="EA24" s="902" t="e">
        <f>DY24</f>
        <v>#REF!</v>
      </c>
      <c r="EB24" s="903"/>
      <c r="EC24" s="902" t="e">
        <f>'Ch41 Calc Data'!AG17*Assumptions!G31</f>
        <v>#REF!</v>
      </c>
      <c r="ED24" s="903"/>
      <c r="EE24" s="902" t="e">
        <f>EC24</f>
        <v>#REF!</v>
      </c>
      <c r="EG24" s="799" t="e">
        <f>'Ch41 Calc Data'!AH17*Assumptions!G30</f>
        <v>#REF!</v>
      </c>
      <c r="EH24" s="881"/>
      <c r="EI24" s="799" t="e">
        <f>EG24</f>
        <v>#REF!</v>
      </c>
      <c r="EJ24" s="881"/>
      <c r="EK24" s="799" t="e">
        <f>'Ch41 Calc Data'!AH17*Assumptions!G31</f>
        <v>#REF!</v>
      </c>
      <c r="EL24" s="881"/>
      <c r="EM24" s="799" t="e">
        <f>EK24</f>
        <v>#REF!</v>
      </c>
    </row>
    <row r="25" spans="1:143">
      <c r="I25" s="2070"/>
      <c r="K25" s="1554"/>
      <c r="L25" s="1554"/>
      <c r="M25" s="1554"/>
      <c r="N25" s="1554"/>
      <c r="O25" s="1554"/>
      <c r="P25" s="1554"/>
      <c r="Q25" s="1622"/>
      <c r="Y25" s="1093"/>
      <c r="AG25" s="1818"/>
      <c r="AO25" s="1642"/>
      <c r="AW25" s="1873"/>
      <c r="AY25" s="1516"/>
      <c r="AZ25" s="1516"/>
      <c r="BA25" s="1516"/>
      <c r="BB25" s="1516"/>
      <c r="BC25" s="1516"/>
      <c r="BD25" s="1516"/>
      <c r="BE25" s="1660"/>
      <c r="BG25" s="1915"/>
      <c r="BH25" s="1915"/>
      <c r="BI25" s="1915"/>
      <c r="BJ25" s="1915"/>
      <c r="BK25" s="1915"/>
      <c r="BL25" s="1915"/>
      <c r="BM25" s="1923"/>
      <c r="BO25" s="1472"/>
      <c r="BP25" s="1472"/>
      <c r="BQ25" s="1422"/>
      <c r="BR25" s="1472"/>
    </row>
    <row r="26" spans="1:143" ht="15.75">
      <c r="A26" s="30" t="s">
        <v>2092</v>
      </c>
      <c r="I26" s="2070"/>
      <c r="K26" s="1554"/>
      <c r="L26" s="1554"/>
      <c r="M26" s="1554"/>
      <c r="N26" s="1554"/>
      <c r="O26" s="1554"/>
      <c r="P26" s="1554"/>
      <c r="Q26" s="1622"/>
      <c r="Y26" s="1093"/>
      <c r="AG26" s="1818"/>
      <c r="AO26" s="1642"/>
      <c r="AW26" s="1873"/>
      <c r="AY26" s="1516"/>
      <c r="AZ26" s="1516"/>
      <c r="BA26" s="1516"/>
      <c r="BB26" s="1516"/>
      <c r="BC26" s="1516"/>
      <c r="BD26" s="1516"/>
      <c r="BE26" s="1660"/>
      <c r="BG26" s="1915"/>
      <c r="BH26" s="1915"/>
      <c r="BI26" s="1915"/>
      <c r="BJ26" s="1915"/>
      <c r="BK26" s="1915"/>
      <c r="BL26" s="1915"/>
      <c r="BM26" s="1923"/>
      <c r="BO26" s="1472"/>
      <c r="BP26" s="1472"/>
      <c r="BQ26" s="1422"/>
      <c r="BR26" s="1472"/>
    </row>
    <row r="27" spans="1:143">
      <c r="A27" t="s">
        <v>2390</v>
      </c>
      <c r="C27" s="2081" t="e">
        <f>C19/C21</f>
        <v>#REF!</v>
      </c>
      <c r="D27" s="2090"/>
      <c r="E27" s="2360" t="s">
        <v>1775</v>
      </c>
      <c r="F27" s="2090"/>
      <c r="G27" s="2081" t="e">
        <f>G19/G21</f>
        <v>#REF!</v>
      </c>
      <c r="H27" s="2090"/>
      <c r="I27" s="2386" t="s">
        <v>1775</v>
      </c>
      <c r="K27" s="1553">
        <f>K19/K21</f>
        <v>0</v>
      </c>
      <c r="L27" s="1554"/>
      <c r="M27" s="1555" t="s">
        <v>1775</v>
      </c>
      <c r="N27" s="1554"/>
      <c r="O27" s="1553">
        <f>O19/O21</f>
        <v>0</v>
      </c>
      <c r="P27" s="1554"/>
      <c r="Q27" s="1623" t="s">
        <v>1775</v>
      </c>
      <c r="S27" s="684">
        <f>S19/S21</f>
        <v>0</v>
      </c>
      <c r="T27" s="688"/>
      <c r="U27" s="689" t="s">
        <v>1775</v>
      </c>
      <c r="V27" s="688"/>
      <c r="W27" s="684">
        <f>W19/W21</f>
        <v>0</v>
      </c>
      <c r="X27" s="688"/>
      <c r="Y27" s="1629" t="s">
        <v>1775</v>
      </c>
      <c r="AA27" s="1825">
        <f>AA19/AA21</f>
        <v>0</v>
      </c>
      <c r="AB27" s="1831"/>
      <c r="AC27" s="1832" t="s">
        <v>1775</v>
      </c>
      <c r="AD27" s="1831"/>
      <c r="AE27" s="1825">
        <f>AE19/AE21</f>
        <v>0</v>
      </c>
      <c r="AF27" s="1831"/>
      <c r="AG27" s="1833" t="s">
        <v>1775</v>
      </c>
      <c r="AI27" s="855">
        <f>AI19/AI21</f>
        <v>0</v>
      </c>
      <c r="AJ27" s="859"/>
      <c r="AK27" s="860" t="s">
        <v>1775</v>
      </c>
      <c r="AL27" s="859"/>
      <c r="AM27" s="855">
        <f>AM19/AM21</f>
        <v>0</v>
      </c>
      <c r="AN27" s="859"/>
      <c r="AO27" s="1648" t="s">
        <v>1775</v>
      </c>
      <c r="AQ27" s="1880">
        <f>AQ19/AQ21</f>
        <v>0</v>
      </c>
      <c r="AR27" s="1886"/>
      <c r="AS27" s="1887" t="s">
        <v>1775</v>
      </c>
      <c r="AT27" s="1886"/>
      <c r="AU27" s="1880">
        <f>AU19/AU21</f>
        <v>0</v>
      </c>
      <c r="AV27" s="1886"/>
      <c r="AW27" s="1888" t="s">
        <v>1775</v>
      </c>
      <c r="AY27" s="1515">
        <f>AY19/AY21</f>
        <v>0</v>
      </c>
      <c r="AZ27" s="1516"/>
      <c r="BA27" s="1520" t="s">
        <v>1775</v>
      </c>
      <c r="BB27" s="1516"/>
      <c r="BC27" s="1515">
        <f>BC19/BC21</f>
        <v>0</v>
      </c>
      <c r="BD27" s="1516"/>
      <c r="BE27" s="1661" t="s">
        <v>1775</v>
      </c>
      <c r="BG27" s="1914">
        <f>BG19/BG21</f>
        <v>0</v>
      </c>
      <c r="BH27" s="1915"/>
      <c r="BI27" s="1924" t="s">
        <v>1775</v>
      </c>
      <c r="BJ27" s="1915"/>
      <c r="BK27" s="1914">
        <f>BK19/BK21</f>
        <v>0</v>
      </c>
      <c r="BL27" s="1915"/>
      <c r="BM27" s="1925" t="s">
        <v>1775</v>
      </c>
      <c r="BO27" s="2676">
        <f>BO19/BO21</f>
        <v>0</v>
      </c>
      <c r="BP27" s="2678" t="s">
        <v>1775</v>
      </c>
      <c r="BQ27" s="2676">
        <f>BQ19/BQ21</f>
        <v>0</v>
      </c>
      <c r="BR27" s="2678" t="s">
        <v>1775</v>
      </c>
      <c r="CC27" s="346" t="e">
        <f>CC19/CC21</f>
        <v>#REF!</v>
      </c>
      <c r="CD27" s="350"/>
      <c r="CE27" s="351" t="s">
        <v>1775</v>
      </c>
      <c r="CF27" s="350"/>
      <c r="CG27" s="346" t="e">
        <f>CG19/CG21</f>
        <v>#REF!</v>
      </c>
      <c r="CH27" s="350"/>
      <c r="CI27" s="351" t="s">
        <v>1775</v>
      </c>
      <c r="CK27" s="926" t="e">
        <f>CK19/CK21</f>
        <v>#REF!</v>
      </c>
      <c r="CL27" s="931"/>
      <c r="CM27" s="932" t="s">
        <v>1775</v>
      </c>
      <c r="CN27" s="931"/>
      <c r="CO27" s="926" t="e">
        <f>CO19/CO21</f>
        <v>#REF!</v>
      </c>
      <c r="CP27" s="931"/>
      <c r="CQ27" s="932" t="s">
        <v>1775</v>
      </c>
      <c r="CS27" s="902" t="e">
        <f>CS19/CS21</f>
        <v>#REF!</v>
      </c>
      <c r="CT27" s="907"/>
      <c r="CU27" s="908" t="s">
        <v>1775</v>
      </c>
      <c r="CV27" s="907"/>
      <c r="CW27" s="902" t="e">
        <f>CW19/CW21</f>
        <v>#REF!</v>
      </c>
      <c r="CX27" s="907"/>
      <c r="CY27" s="908" t="s">
        <v>1775</v>
      </c>
      <c r="DA27" s="799" t="e">
        <f>DA19/DA21</f>
        <v>#REF!</v>
      </c>
      <c r="DB27" s="885"/>
      <c r="DC27" s="886" t="s">
        <v>1775</v>
      </c>
      <c r="DD27" s="885"/>
      <c r="DE27" s="799" t="e">
        <f>DE19/DE21</f>
        <v>#REF!</v>
      </c>
      <c r="DF27" s="885"/>
      <c r="DG27" s="886" t="s">
        <v>1775</v>
      </c>
      <c r="DI27" s="902" t="e">
        <f>DI19/DI21</f>
        <v>#REF!</v>
      </c>
      <c r="DJ27" s="907"/>
      <c r="DK27" s="908" t="s">
        <v>1775</v>
      </c>
      <c r="DL27" s="907"/>
      <c r="DM27" s="902" t="e">
        <f>DM19/DM21</f>
        <v>#REF!</v>
      </c>
      <c r="DN27" s="907"/>
      <c r="DO27" s="908" t="s">
        <v>1775</v>
      </c>
      <c r="DQ27" s="799" t="e">
        <f>DQ19/DQ21</f>
        <v>#REF!</v>
      </c>
      <c r="DR27" s="885"/>
      <c r="DS27" s="886" t="s">
        <v>1775</v>
      </c>
      <c r="DT27" s="885"/>
      <c r="DU27" s="799" t="e">
        <f>DU19/DU21</f>
        <v>#REF!</v>
      </c>
      <c r="DV27" s="885"/>
      <c r="DW27" s="886" t="s">
        <v>1775</v>
      </c>
      <c r="DY27" s="902">
        <f>DY19/DY21</f>
        <v>0</v>
      </c>
      <c r="DZ27" s="907"/>
      <c r="EA27" s="908" t="s">
        <v>1775</v>
      </c>
      <c r="EB27" s="907"/>
      <c r="EC27" s="902">
        <f>EC19/EC21</f>
        <v>0</v>
      </c>
      <c r="ED27" s="907"/>
      <c r="EE27" s="908" t="s">
        <v>1775</v>
      </c>
      <c r="EG27" s="799" t="e">
        <f>EG19/EG21</f>
        <v>#REF!</v>
      </c>
      <c r="EH27" s="885"/>
      <c r="EI27" s="886" t="s">
        <v>1775</v>
      </c>
      <c r="EJ27" s="885"/>
      <c r="EK27" s="799" t="e">
        <f>EK19/EK21</f>
        <v>#REF!</v>
      </c>
      <c r="EL27" s="885"/>
      <c r="EM27" s="886" t="s">
        <v>1775</v>
      </c>
    </row>
    <row r="28" spans="1:143">
      <c r="A28" t="s">
        <v>2391</v>
      </c>
      <c r="C28" s="2081" t="e">
        <f>C27/'Ch41 Calc Data'!K17</f>
        <v>#REF!</v>
      </c>
      <c r="D28" s="2090"/>
      <c r="E28" s="2360" t="s">
        <v>1775</v>
      </c>
      <c r="F28" s="2090"/>
      <c r="G28" s="2081" t="e">
        <f>G27/'Ch41 Calc Data'!K17</f>
        <v>#REF!</v>
      </c>
      <c r="H28" s="2090"/>
      <c r="I28" s="2386" t="s">
        <v>1775</v>
      </c>
      <c r="K28" s="1553" t="e">
        <f>K27/'Ch41 Calc Data'!L17</f>
        <v>#REF!</v>
      </c>
      <c r="L28" s="1554"/>
      <c r="M28" s="1555" t="s">
        <v>1775</v>
      </c>
      <c r="N28" s="1554"/>
      <c r="O28" s="1553" t="e">
        <f>O27/'Ch41 Calc Data'!L17</f>
        <v>#REF!</v>
      </c>
      <c r="P28" s="1554"/>
      <c r="Q28" s="1623" t="s">
        <v>1775</v>
      </c>
      <c r="S28" s="684" t="e">
        <f>S27/'Ch41 Calc Data'!M17</f>
        <v>#DIV/0!</v>
      </c>
      <c r="T28" s="688"/>
      <c r="U28" s="689" t="s">
        <v>1775</v>
      </c>
      <c r="V28" s="688"/>
      <c r="W28" s="684" t="e">
        <f>W27/'Ch41 Calc Data'!M17</f>
        <v>#DIV/0!</v>
      </c>
      <c r="X28" s="688"/>
      <c r="Y28" s="1629" t="s">
        <v>1775</v>
      </c>
      <c r="AA28" s="1825" t="e">
        <f>AA27/'Ch41 Calc Data'!N17</f>
        <v>#DIV/0!</v>
      </c>
      <c r="AB28" s="1831"/>
      <c r="AC28" s="1832" t="s">
        <v>1775</v>
      </c>
      <c r="AD28" s="1831"/>
      <c r="AE28" s="1825" t="e">
        <f>AE27/'Ch41 Calc Data'!N17</f>
        <v>#DIV/0!</v>
      </c>
      <c r="AF28" s="1831"/>
      <c r="AG28" s="1833" t="s">
        <v>1775</v>
      </c>
      <c r="AI28" s="855" t="e">
        <f>AI27/'Ch41 Calc Data'!O17</f>
        <v>#DIV/0!</v>
      </c>
      <c r="AJ28" s="859"/>
      <c r="AK28" s="860" t="s">
        <v>1775</v>
      </c>
      <c r="AL28" s="859"/>
      <c r="AM28" s="855" t="e">
        <f>AM27/'Ch41 Calc Data'!O17</f>
        <v>#DIV/0!</v>
      </c>
      <c r="AN28" s="859"/>
      <c r="AO28" s="1648" t="s">
        <v>1775</v>
      </c>
      <c r="AQ28" s="1880" t="e">
        <f>AQ27/'Ch41 Calc Data'!P17</f>
        <v>#DIV/0!</v>
      </c>
      <c r="AR28" s="1886"/>
      <c r="AS28" s="1887" t="s">
        <v>1775</v>
      </c>
      <c r="AT28" s="1886"/>
      <c r="AU28" s="1880" t="e">
        <f>AU27/'Ch41 Calc Data'!P17</f>
        <v>#DIV/0!</v>
      </c>
      <c r="AV28" s="1886"/>
      <c r="AW28" s="1888" t="s">
        <v>1775</v>
      </c>
      <c r="AY28" s="1515" t="e">
        <f>AY27/'Ch41 Calc Data'!Q17</f>
        <v>#DIV/0!</v>
      </c>
      <c r="AZ28" s="1516"/>
      <c r="BA28" s="1520" t="s">
        <v>1775</v>
      </c>
      <c r="BB28" s="1516"/>
      <c r="BC28" s="1515" t="e">
        <f>BC27/'Ch41 Calc Data'!Q17</f>
        <v>#DIV/0!</v>
      </c>
      <c r="BD28" s="1516"/>
      <c r="BE28" s="1661" t="s">
        <v>1775</v>
      </c>
      <c r="BG28" s="1914" t="e">
        <f>BG27/'Ch41 Calc Data'!R17</f>
        <v>#DIV/0!</v>
      </c>
      <c r="BH28" s="1915"/>
      <c r="BI28" s="1924" t="s">
        <v>1775</v>
      </c>
      <c r="BJ28" s="1915"/>
      <c r="BK28" s="1914" t="e">
        <f>BK27/'Ch41 Calc Data'!R17</f>
        <v>#DIV/0!</v>
      </c>
      <c r="BL28" s="1915"/>
      <c r="BM28" s="1925" t="s">
        <v>1775</v>
      </c>
      <c r="BO28" s="2676" t="e">
        <f>BO27/'Ch41 Calc Data'!M20</f>
        <v>#REF!</v>
      </c>
      <c r="BP28" s="2678" t="s">
        <v>1775</v>
      </c>
      <c r="BQ28" s="2676" t="e">
        <f>BQ27/'Ch41 Calc Data'!M20</f>
        <v>#REF!</v>
      </c>
      <c r="BR28" s="2678" t="s">
        <v>1775</v>
      </c>
      <c r="CC28" s="346" t="e">
        <f>CC27/'Ch41 Calc Data'!AA17</f>
        <v>#REF!</v>
      </c>
      <c r="CD28" s="350"/>
      <c r="CE28" s="351" t="s">
        <v>1775</v>
      </c>
      <c r="CF28" s="350"/>
      <c r="CG28" s="346" t="e">
        <f>CG27/'Ch41 Calc Data'!AA17</f>
        <v>#REF!</v>
      </c>
      <c r="CH28" s="350"/>
      <c r="CI28" s="351" t="s">
        <v>1775</v>
      </c>
      <c r="CK28" s="926" t="e">
        <f>CK27/'Ch41 Calc Data'!AB17</f>
        <v>#REF!</v>
      </c>
      <c r="CL28" s="931"/>
      <c r="CM28" s="932" t="s">
        <v>1775</v>
      </c>
      <c r="CN28" s="931"/>
      <c r="CO28" s="926" t="e">
        <f>CO27/'Ch41 Calc Data'!AB17</f>
        <v>#REF!</v>
      </c>
      <c r="CP28" s="931"/>
      <c r="CQ28" s="932" t="s">
        <v>1775</v>
      </c>
      <c r="CS28" s="902" t="e">
        <f>CS27/'Ch41 Calc Data'!AC17</f>
        <v>#REF!</v>
      </c>
      <c r="CT28" s="907"/>
      <c r="CU28" s="908" t="s">
        <v>1775</v>
      </c>
      <c r="CV28" s="907"/>
      <c r="CW28" s="902" t="e">
        <f>CW27/'Ch41 Calc Data'!AC17</f>
        <v>#REF!</v>
      </c>
      <c r="CX28" s="907"/>
      <c r="CY28" s="908" t="s">
        <v>1775</v>
      </c>
      <c r="DA28" s="799" t="e">
        <f>DA27/'Ch41 Calc Data'!AD17</f>
        <v>#REF!</v>
      </c>
      <c r="DB28" s="885"/>
      <c r="DC28" s="886" t="s">
        <v>1775</v>
      </c>
      <c r="DD28" s="885"/>
      <c r="DE28" s="799" t="e">
        <f>DE27/'Ch41 Calc Data'!AD17</f>
        <v>#REF!</v>
      </c>
      <c r="DF28" s="885"/>
      <c r="DG28" s="886" t="s">
        <v>1775</v>
      </c>
      <c r="DI28" s="902" t="e">
        <f>DI27/'Ch41 Calc Data'!AE17</f>
        <v>#REF!</v>
      </c>
      <c r="DJ28" s="907"/>
      <c r="DK28" s="908" t="s">
        <v>1775</v>
      </c>
      <c r="DL28" s="907"/>
      <c r="DM28" s="902" t="e">
        <f>DM27/'Ch41 Calc Data'!AE17</f>
        <v>#REF!</v>
      </c>
      <c r="DN28" s="907"/>
      <c r="DO28" s="908" t="s">
        <v>1775</v>
      </c>
      <c r="DQ28" s="799" t="e">
        <f>DQ27/'Ch41 Calc Data'!AF17</f>
        <v>#REF!</v>
      </c>
      <c r="DR28" s="885"/>
      <c r="DS28" s="886" t="s">
        <v>1775</v>
      </c>
      <c r="DT28" s="885"/>
      <c r="DU28" s="799" t="e">
        <f>DU27/'Ch41 Calc Data'!AF17</f>
        <v>#REF!</v>
      </c>
      <c r="DV28" s="885"/>
      <c r="DW28" s="886" t="s">
        <v>1775</v>
      </c>
      <c r="DY28" s="902" t="e">
        <f>DY27/'Ch41 Calc Data'!AG17</f>
        <v>#REF!</v>
      </c>
      <c r="DZ28" s="907"/>
      <c r="EA28" s="908" t="s">
        <v>1775</v>
      </c>
      <c r="EB28" s="907"/>
      <c r="EC28" s="902" t="e">
        <f>EC27/'Ch41 Calc Data'!AG17</f>
        <v>#REF!</v>
      </c>
      <c r="ED28" s="907"/>
      <c r="EE28" s="908" t="s">
        <v>1775</v>
      </c>
      <c r="EG28" s="799" t="e">
        <f>EG27/'Ch41 Calc Data'!AH17</f>
        <v>#REF!</v>
      </c>
      <c r="EH28" s="885"/>
      <c r="EI28" s="886" t="s">
        <v>1775</v>
      </c>
      <c r="EJ28" s="885"/>
      <c r="EK28" s="799" t="e">
        <f>EK27/'Ch41 Calc Data'!AH17</f>
        <v>#REF!</v>
      </c>
      <c r="EL28" s="885"/>
      <c r="EM28" s="886" t="s">
        <v>1775</v>
      </c>
    </row>
    <row r="29" spans="1:143">
      <c r="A29" t="s">
        <v>1800</v>
      </c>
      <c r="C29" s="2081" t="e">
        <f>C28*((((Assumptions!G92/280000)-1)*('Data Entry - SOF'!C92/1.17))+1)</f>
        <v>#REF!</v>
      </c>
      <c r="D29" s="2090"/>
      <c r="E29" s="2360" t="s">
        <v>1775</v>
      </c>
      <c r="F29" s="2090"/>
      <c r="G29" s="2081" t="e">
        <f>G28*((((Assumptions!G93/280000)-1)*('Data Entry - SOF'!C92/1.17))+1)</f>
        <v>#REF!</v>
      </c>
      <c r="H29" s="2090"/>
      <c r="I29" s="2386" t="s">
        <v>1775</v>
      </c>
      <c r="K29" s="1553" t="e">
        <f>K28*((((Assumptions!G103/280000)-1)*('Data Entry - SOF'!#REF!/1.17))+1)</f>
        <v>#REF!</v>
      </c>
      <c r="L29" s="1554"/>
      <c r="M29" s="1555" t="s">
        <v>1775</v>
      </c>
      <c r="N29" s="1554"/>
      <c r="O29" s="1553" t="e">
        <f>O28*((((Assumptions!G104/280000)-1)*('Data Entry - SOF'!#REF!/1.17))+1)</f>
        <v>#REF!</v>
      </c>
      <c r="P29" s="1554"/>
      <c r="Q29" s="1623" t="s">
        <v>1775</v>
      </c>
      <c r="S29" s="684" t="e">
        <f>S28*((((Assumptions!G112/280000)-1)*('Data Entry - SOF'!E92/1.17))+1)</f>
        <v>#DIV/0!</v>
      </c>
      <c r="T29" s="688"/>
      <c r="U29" s="689" t="s">
        <v>1775</v>
      </c>
      <c r="V29" s="688"/>
      <c r="W29" s="684" t="e">
        <f>W28*((((Assumptions!G113/280000)-1)*('Data Entry - SOF'!E92/1.17))+1)</f>
        <v>#DIV/0!</v>
      </c>
      <c r="X29" s="688"/>
      <c r="Y29" s="1629" t="s">
        <v>1775</v>
      </c>
      <c r="AA29" s="1825" t="e">
        <f>AA28*((((Assumptions!G121/280000)-1)*('Data Entry - SOF'!K92/1.17))+1)</f>
        <v>#DIV/0!</v>
      </c>
      <c r="AB29" s="1831"/>
      <c r="AC29" s="1832" t="s">
        <v>1775</v>
      </c>
      <c r="AD29" s="1831"/>
      <c r="AE29" s="1825" t="e">
        <f>AE28*((((Assumptions!G122/280000)-1)*('Data Entry - SOF'!K92/1.17))+1)</f>
        <v>#DIV/0!</v>
      </c>
      <c r="AF29" s="1831"/>
      <c r="AG29" s="1833" t="s">
        <v>1775</v>
      </c>
      <c r="AI29" s="855" t="e">
        <f>AI28*((((Assumptions!G130/280000)-1)*('Data Entry - SOF'!M92/1.17))+1)</f>
        <v>#DIV/0!</v>
      </c>
      <c r="AJ29" s="859"/>
      <c r="AK29" s="860" t="s">
        <v>1775</v>
      </c>
      <c r="AL29" s="859"/>
      <c r="AM29" s="855" t="e">
        <f>AM28*((((Assumptions!G131/280000)-1)*('Data Entry - SOF'!M92/1.17))+1)</f>
        <v>#DIV/0!</v>
      </c>
      <c r="AN29" s="859"/>
      <c r="AO29" s="1648" t="s">
        <v>1775</v>
      </c>
      <c r="AQ29" s="1880" t="e">
        <f>AQ28*((((Assumptions!G139/280000)-1)*('Data Entry - SOF'!O92/1.17))+1)</f>
        <v>#DIV/0!</v>
      </c>
      <c r="AR29" s="1886"/>
      <c r="AS29" s="1887" t="s">
        <v>1775</v>
      </c>
      <c r="AT29" s="1886"/>
      <c r="AU29" s="1880" t="e">
        <f>AU28*((((Assumptions!G140/280000)-1)*('Data Entry - SOF'!O92/1.17))+1)</f>
        <v>#DIV/0!</v>
      </c>
      <c r="AV29" s="1886"/>
      <c r="AW29" s="1888" t="s">
        <v>1775</v>
      </c>
      <c r="AY29" s="1515" t="e">
        <f>AY28*((((Assumptions!G148/280000)-1)*('Data Entry - SOF'!Q92/1.17))+1)</f>
        <v>#DIV/0!</v>
      </c>
      <c r="AZ29" s="1516"/>
      <c r="BA29" s="1520" t="s">
        <v>1775</v>
      </c>
      <c r="BB29" s="1516"/>
      <c r="BC29" s="1515" t="e">
        <f>BC28*((((Assumptions!G149/280000)-1)*('Data Entry - SOF'!Q92/1.17))+1)</f>
        <v>#DIV/0!</v>
      </c>
      <c r="BD29" s="1516"/>
      <c r="BE29" s="1661" t="s">
        <v>1775</v>
      </c>
      <c r="BG29" s="1914" t="e">
        <f>BG28*((((Assumptions!G157/280000)-1)*('Data Entry - SOF'!S92/1.17))+1)</f>
        <v>#DIV/0!</v>
      </c>
      <c r="BH29" s="1915"/>
      <c r="BI29" s="1924" t="s">
        <v>1775</v>
      </c>
      <c r="BJ29" s="1915"/>
      <c r="BK29" s="1914" t="e">
        <f>BK28*((((Assumptions!G158/280000)-1)*('Data Entry - SOF'!S92/1.17))+1)</f>
        <v>#DIV/0!</v>
      </c>
      <c r="BL29" s="1915"/>
      <c r="BM29" s="1925" t="s">
        <v>1775</v>
      </c>
      <c r="BO29" s="2676" t="e">
        <f>BO28*((((Assumptions!G121/280000)-1)*('Data Entry - SOF'!E92/1.17))+1)</f>
        <v>#REF!</v>
      </c>
      <c r="BP29" s="2678" t="s">
        <v>1775</v>
      </c>
      <c r="BQ29" s="2676" t="e">
        <f>BQ28*((((Assumptions!G122/280000)-1)*('Data Entry - SOF'!E92/1.17))+1)</f>
        <v>#REF!</v>
      </c>
      <c r="BR29" s="2678" t="s">
        <v>1775</v>
      </c>
      <c r="CC29" s="346" t="e">
        <f>CC28*((((Assumptions!G30/280000)-1)*('Data Entry - SOF'!#REF!/1.17))+1)</f>
        <v>#REF!</v>
      </c>
      <c r="CD29" s="350"/>
      <c r="CE29" s="351" t="s">
        <v>1775</v>
      </c>
      <c r="CF29" s="350"/>
      <c r="CG29" s="346" t="e">
        <f>CG28*((((Assumptions!G31/280000)-1)*('Data Entry - SOF'!#REF!/1.17))+1)</f>
        <v>#REF!</v>
      </c>
      <c r="CH29" s="350"/>
      <c r="CI29" s="351" t="s">
        <v>1775</v>
      </c>
      <c r="CK29" s="926" t="e">
        <f>CK28*((((Assumptions!G40/280000)-1)*('Data Entry - SOF'!#REF!/1.17))+1)</f>
        <v>#REF!</v>
      </c>
      <c r="CL29" s="931"/>
      <c r="CM29" s="932" t="s">
        <v>1775</v>
      </c>
      <c r="CN29" s="931"/>
      <c r="CO29" s="926" t="e">
        <f>CO28*((((Assumptions!G41/280000)-1)*('Data Entry - SOF'!#REF!/1.17))+1)</f>
        <v>#REF!</v>
      </c>
      <c r="CP29" s="931"/>
      <c r="CQ29" s="932" t="s">
        <v>1775</v>
      </c>
      <c r="CS29" s="902" t="e">
        <f>CS28*((((Assumptions!G30/280000)-1)*('Data Entry - SOF'!#REF!/1.17))+1)</f>
        <v>#REF!</v>
      </c>
      <c r="CT29" s="907"/>
      <c r="CU29" s="908" t="s">
        <v>1775</v>
      </c>
      <c r="CV29" s="907"/>
      <c r="CW29" s="902" t="e">
        <f>CW28*((((Assumptions!G31/280000)-1)*('Data Entry - SOF'!#REF!/1.17))+1)</f>
        <v>#REF!</v>
      </c>
      <c r="CX29" s="907"/>
      <c r="CY29" s="908" t="s">
        <v>1775</v>
      </c>
      <c r="DA29" s="799" t="e">
        <f>DA28*((((Assumptions!G30/280000)-1)*('Data Entry - SOF'!#REF!/1.17))+1)</f>
        <v>#REF!</v>
      </c>
      <c r="DB29" s="885"/>
      <c r="DC29" s="886" t="s">
        <v>1775</v>
      </c>
      <c r="DD29" s="885"/>
      <c r="DE29" s="799" t="e">
        <f>DE28*((((Assumptions!G31/280000)-1)*('Data Entry - SOF'!#REF!/1.17))+1)</f>
        <v>#REF!</v>
      </c>
      <c r="DF29" s="885"/>
      <c r="DG29" s="886" t="s">
        <v>1775</v>
      </c>
      <c r="DI29" s="902" t="e">
        <f>DI28*((((Assumptions!G30/280000)-1)*('Data Entry - SOF'!C92/1.17))+1)</f>
        <v>#REF!</v>
      </c>
      <c r="DJ29" s="907"/>
      <c r="DK29" s="908" t="s">
        <v>1775</v>
      </c>
      <c r="DL29" s="907"/>
      <c r="DM29" s="902" t="e">
        <f>DM28*((((Assumptions!G31/280000)-1)*('Data Entry - SOF'!C92/1.17))+1)</f>
        <v>#REF!</v>
      </c>
      <c r="DN29" s="907"/>
      <c r="DO29" s="908" t="s">
        <v>1775</v>
      </c>
      <c r="DQ29" s="799" t="e">
        <f>DQ28*((((Assumptions!G30/280000)-1)*('Data Entry - SOF'!C92/1.17))+1)</f>
        <v>#REF!</v>
      </c>
      <c r="DR29" s="885"/>
      <c r="DS29" s="886" t="s">
        <v>1775</v>
      </c>
      <c r="DT29" s="885"/>
      <c r="DU29" s="799" t="e">
        <f>DU28*((((Assumptions!G31/280000)-1)*('Data Entry - SOF'!C92/1.17))+1)</f>
        <v>#REF!</v>
      </c>
      <c r="DV29" s="885"/>
      <c r="DW29" s="886" t="s">
        <v>1775</v>
      </c>
      <c r="DY29" s="902" t="e">
        <f>DY28*((((Assumptions!G30/280000)-1)*('Data Entry - SOF'!#REF!/1.17))+1)</f>
        <v>#REF!</v>
      </c>
      <c r="DZ29" s="907"/>
      <c r="EA29" s="908" t="s">
        <v>1775</v>
      </c>
      <c r="EB29" s="907"/>
      <c r="EC29" s="902" t="e">
        <f>EC28*((((Assumptions!G31/280000)-1)*('Data Entry - SOF'!#REF!/1.17))+1)</f>
        <v>#REF!</v>
      </c>
      <c r="ED29" s="907"/>
      <c r="EE29" s="908" t="s">
        <v>1775</v>
      </c>
      <c r="EG29" s="799" t="e">
        <f>EG28*((((Assumptions!G30/280000)-1)*('Data Entry - SOF'!E92/1.17))+1)</f>
        <v>#REF!</v>
      </c>
      <c r="EH29" s="885"/>
      <c r="EI29" s="886" t="s">
        <v>1775</v>
      </c>
      <c r="EJ29" s="885"/>
      <c r="EK29" s="799" t="e">
        <f>EK28*((((Assumptions!G31/280000)-1)*('Data Entry - SOF'!#REF!/1.17))+1)</f>
        <v>#REF!</v>
      </c>
      <c r="EL29" s="885"/>
      <c r="EM29" s="886" t="s">
        <v>1775</v>
      </c>
    </row>
    <row r="30" spans="1:143">
      <c r="A30" t="s">
        <v>801</v>
      </c>
      <c r="C30" s="2081" t="e">
        <f>C29*'Ch41 Calc Data'!K17</f>
        <v>#REF!</v>
      </c>
      <c r="D30" s="2090"/>
      <c r="E30" s="2360" t="s">
        <v>1775</v>
      </c>
      <c r="F30" s="2090"/>
      <c r="G30" s="2081" t="e">
        <f>G29*'Ch41 Calc Data'!K17</f>
        <v>#REF!</v>
      </c>
      <c r="H30" s="2090"/>
      <c r="I30" s="2386" t="s">
        <v>1775</v>
      </c>
      <c r="K30" s="1553" t="e">
        <f>K29*'Ch41 Calc Data'!L17</f>
        <v>#REF!</v>
      </c>
      <c r="L30" s="1554"/>
      <c r="M30" s="1555" t="s">
        <v>1775</v>
      </c>
      <c r="N30" s="1554"/>
      <c r="O30" s="1553" t="e">
        <f>O29*'Ch41 Calc Data'!L17</f>
        <v>#REF!</v>
      </c>
      <c r="P30" s="1554"/>
      <c r="Q30" s="1623" t="s">
        <v>1775</v>
      </c>
      <c r="S30" s="684" t="e">
        <f>S29*'Ch41 Calc Data'!M17</f>
        <v>#DIV/0!</v>
      </c>
      <c r="T30" s="688"/>
      <c r="U30" s="689" t="s">
        <v>1775</v>
      </c>
      <c r="V30" s="688"/>
      <c r="W30" s="684" t="e">
        <f>W29*'Ch41 Calc Data'!M17</f>
        <v>#DIV/0!</v>
      </c>
      <c r="X30" s="688"/>
      <c r="Y30" s="1629" t="s">
        <v>1775</v>
      </c>
      <c r="AA30" s="1825" t="e">
        <f>AA29*'Ch41 Calc Data'!N17</f>
        <v>#DIV/0!</v>
      </c>
      <c r="AB30" s="1831"/>
      <c r="AC30" s="1832" t="s">
        <v>1775</v>
      </c>
      <c r="AD30" s="1831"/>
      <c r="AE30" s="1825" t="e">
        <f>AE29*'Ch41 Calc Data'!N17</f>
        <v>#DIV/0!</v>
      </c>
      <c r="AF30" s="1831"/>
      <c r="AG30" s="1833" t="s">
        <v>1775</v>
      </c>
      <c r="AI30" s="855" t="e">
        <f>AI29*'Ch41 Calc Data'!O17</f>
        <v>#DIV/0!</v>
      </c>
      <c r="AJ30" s="859"/>
      <c r="AK30" s="860" t="s">
        <v>1775</v>
      </c>
      <c r="AL30" s="859"/>
      <c r="AM30" s="855" t="e">
        <f>AM29*'Ch41 Calc Data'!O17</f>
        <v>#DIV/0!</v>
      </c>
      <c r="AN30" s="859"/>
      <c r="AO30" s="1648" t="s">
        <v>1775</v>
      </c>
      <c r="AQ30" s="1880" t="e">
        <f>AQ29*'Ch41 Calc Data'!P17</f>
        <v>#DIV/0!</v>
      </c>
      <c r="AR30" s="1886"/>
      <c r="AS30" s="1887" t="s">
        <v>1775</v>
      </c>
      <c r="AT30" s="1886"/>
      <c r="AU30" s="1880" t="e">
        <f>AU29*'Ch41 Calc Data'!P17</f>
        <v>#DIV/0!</v>
      </c>
      <c r="AV30" s="1886"/>
      <c r="AW30" s="1888" t="s">
        <v>1775</v>
      </c>
      <c r="AY30" s="1515" t="e">
        <f>AY29*'Ch41 Calc Data'!Q17</f>
        <v>#DIV/0!</v>
      </c>
      <c r="AZ30" s="1516"/>
      <c r="BA30" s="1520" t="s">
        <v>1775</v>
      </c>
      <c r="BB30" s="1516"/>
      <c r="BC30" s="1515" t="e">
        <f>BC29*'Ch41 Calc Data'!Q17</f>
        <v>#DIV/0!</v>
      </c>
      <c r="BD30" s="1516"/>
      <c r="BE30" s="1661" t="s">
        <v>1775</v>
      </c>
      <c r="BG30" s="1914" t="e">
        <f>BG29*'Ch41 Calc Data'!R17</f>
        <v>#DIV/0!</v>
      </c>
      <c r="BH30" s="1915"/>
      <c r="BI30" s="1924" t="s">
        <v>1775</v>
      </c>
      <c r="BJ30" s="1915"/>
      <c r="BK30" s="1914" t="e">
        <f>BK29*'Ch41 Calc Data'!R17</f>
        <v>#DIV/0!</v>
      </c>
      <c r="BL30" s="1915"/>
      <c r="BM30" s="1925" t="s">
        <v>1775</v>
      </c>
      <c r="BO30" s="2676" t="e">
        <f>BO29*'Ch41 Calc Data'!M20</f>
        <v>#REF!</v>
      </c>
      <c r="BP30" s="2678" t="s">
        <v>1775</v>
      </c>
      <c r="BQ30" s="2676" t="e">
        <f>BQ29*'Ch41 Calc Data'!M20</f>
        <v>#REF!</v>
      </c>
      <c r="BR30" s="2678" t="s">
        <v>1775</v>
      </c>
      <c r="CC30" s="346" t="e">
        <f>CC29*'Ch41 Calc Data'!AA17</f>
        <v>#REF!</v>
      </c>
      <c r="CD30" s="350"/>
      <c r="CE30" s="351" t="s">
        <v>1775</v>
      </c>
      <c r="CF30" s="350"/>
      <c r="CG30" s="346" t="e">
        <f>CG29*'Ch41 Calc Data'!AA17</f>
        <v>#REF!</v>
      </c>
      <c r="CH30" s="350"/>
      <c r="CI30" s="351" t="s">
        <v>1775</v>
      </c>
      <c r="CK30" s="926" t="e">
        <f>CK29*'Ch41 Calc Data'!AB17</f>
        <v>#REF!</v>
      </c>
      <c r="CL30" s="931"/>
      <c r="CM30" s="932" t="s">
        <v>1775</v>
      </c>
      <c r="CN30" s="931"/>
      <c r="CO30" s="926" t="e">
        <f>CO29*'Ch41 Calc Data'!AB17</f>
        <v>#REF!</v>
      </c>
      <c r="CP30" s="931"/>
      <c r="CQ30" s="932" t="s">
        <v>1775</v>
      </c>
      <c r="CS30" s="902" t="e">
        <f>CS29*'Ch41 Calc Data'!AC17</f>
        <v>#REF!</v>
      </c>
      <c r="CT30" s="907"/>
      <c r="CU30" s="908" t="s">
        <v>1775</v>
      </c>
      <c r="CV30" s="907"/>
      <c r="CW30" s="902" t="e">
        <f>CW29*'Ch41 Calc Data'!AC17</f>
        <v>#REF!</v>
      </c>
      <c r="CX30" s="907"/>
      <c r="CY30" s="908" t="s">
        <v>1775</v>
      </c>
      <c r="DA30" s="799" t="e">
        <f>DA29*'Ch41 Calc Data'!AD17</f>
        <v>#REF!</v>
      </c>
      <c r="DB30" s="885"/>
      <c r="DC30" s="886" t="s">
        <v>1775</v>
      </c>
      <c r="DD30" s="885"/>
      <c r="DE30" s="799" t="e">
        <f>DE29*'Ch41 Calc Data'!AD17</f>
        <v>#REF!</v>
      </c>
      <c r="DF30" s="885"/>
      <c r="DG30" s="886" t="s">
        <v>1775</v>
      </c>
      <c r="DI30" s="902" t="e">
        <f>DI29*'Ch41 Calc Data'!AE17</f>
        <v>#REF!</v>
      </c>
      <c r="DJ30" s="907"/>
      <c r="DK30" s="908" t="s">
        <v>1775</v>
      </c>
      <c r="DL30" s="907"/>
      <c r="DM30" s="902" t="e">
        <f>DM29*'Ch41 Calc Data'!AE17</f>
        <v>#REF!</v>
      </c>
      <c r="DN30" s="907"/>
      <c r="DO30" s="908" t="s">
        <v>1775</v>
      </c>
      <c r="DQ30" s="799" t="e">
        <f>DQ29*'Ch41 Calc Data'!AF17</f>
        <v>#REF!</v>
      </c>
      <c r="DR30" s="885"/>
      <c r="DS30" s="886" t="s">
        <v>1775</v>
      </c>
      <c r="DT30" s="885"/>
      <c r="DU30" s="799" t="e">
        <f>DU29*'Ch41 Calc Data'!AF17</f>
        <v>#REF!</v>
      </c>
      <c r="DV30" s="885"/>
      <c r="DW30" s="886" t="s">
        <v>1775</v>
      </c>
      <c r="DY30" s="902" t="e">
        <f>DY29*'Ch41 Calc Data'!AG17</f>
        <v>#REF!</v>
      </c>
      <c r="DZ30" s="907"/>
      <c r="EA30" s="908" t="s">
        <v>1775</v>
      </c>
      <c r="EB30" s="907"/>
      <c r="EC30" s="902" t="e">
        <f>EC29*'Ch41 Calc Data'!AG17</f>
        <v>#REF!</v>
      </c>
      <c r="ED30" s="907"/>
      <c r="EE30" s="908" t="s">
        <v>1775</v>
      </c>
      <c r="EG30" s="799" t="e">
        <f>EG29*'Ch41 Calc Data'!AH17</f>
        <v>#REF!</v>
      </c>
      <c r="EH30" s="885"/>
      <c r="EI30" s="886" t="s">
        <v>1775</v>
      </c>
      <c r="EJ30" s="885"/>
      <c r="EK30" s="799" t="e">
        <f>EK29*'Ch41 Calc Data'!AH17</f>
        <v>#REF!</v>
      </c>
      <c r="EL30" s="885"/>
      <c r="EM30" s="886" t="s">
        <v>1775</v>
      </c>
    </row>
    <row r="31" spans="1:143">
      <c r="I31" s="2070"/>
      <c r="K31" s="1554"/>
      <c r="L31" s="1554"/>
      <c r="M31" s="1554"/>
      <c r="N31" s="1554"/>
      <c r="O31" s="1554"/>
      <c r="P31" s="1554"/>
      <c r="Q31" s="1622"/>
      <c r="Y31" s="1093"/>
      <c r="AG31" s="1818"/>
      <c r="AO31" s="1642"/>
      <c r="AW31" s="1873"/>
      <c r="AY31" s="1516"/>
      <c r="AZ31" s="1516"/>
      <c r="BA31" s="1516"/>
      <c r="BB31" s="1516"/>
      <c r="BC31" s="1516"/>
      <c r="BD31" s="1516"/>
      <c r="BE31" s="1660"/>
      <c r="BG31" s="1915"/>
      <c r="BH31" s="1915"/>
      <c r="BI31" s="1915"/>
      <c r="BJ31" s="1915"/>
      <c r="BK31" s="1915"/>
      <c r="BL31" s="1915"/>
      <c r="BM31" s="1923"/>
      <c r="BO31" s="1472"/>
      <c r="BP31" s="1472"/>
      <c r="BQ31" s="1472"/>
      <c r="BR31" s="1472"/>
    </row>
    <row r="32" spans="1:143" ht="15.75">
      <c r="A32" s="30" t="s">
        <v>1251</v>
      </c>
      <c r="I32" s="2070"/>
      <c r="K32" s="1554"/>
      <c r="L32" s="1554"/>
      <c r="M32" s="1554"/>
      <c r="N32" s="1554"/>
      <c r="O32" s="1554"/>
      <c r="P32" s="1554"/>
      <c r="Q32" s="1622"/>
      <c r="Y32" s="1093"/>
      <c r="AG32" s="1818"/>
      <c r="AO32" s="1642"/>
      <c r="AW32" s="1873"/>
      <c r="AY32" s="1516"/>
      <c r="AZ32" s="1516"/>
      <c r="BA32" s="1516"/>
      <c r="BB32" s="1516"/>
      <c r="BC32" s="1516"/>
      <c r="BD32" s="1516"/>
      <c r="BE32" s="1660"/>
      <c r="BG32" s="1915"/>
      <c r="BH32" s="1915"/>
      <c r="BI32" s="1915"/>
      <c r="BJ32" s="1915"/>
      <c r="BK32" s="1915"/>
      <c r="BL32" s="1915"/>
      <c r="BM32" s="1923"/>
      <c r="BO32" s="1472"/>
      <c r="BP32" s="1472"/>
      <c r="BQ32" s="1472"/>
      <c r="BR32" s="1472"/>
    </row>
    <row r="33" spans="1:143">
      <c r="A33" t="s">
        <v>1252</v>
      </c>
      <c r="C33" s="2081" t="e">
        <f>IF(C30&gt;C24,C30,C24)</f>
        <v>#REF!</v>
      </c>
      <c r="D33" s="2085"/>
      <c r="E33" s="2081" t="e">
        <f>E24</f>
        <v>#REF!</v>
      </c>
      <c r="F33" s="2085"/>
      <c r="G33" s="2081" t="e">
        <f>IF(G30&gt;G24,G30,G24)</f>
        <v>#REF!</v>
      </c>
      <c r="H33" s="2085"/>
      <c r="I33" s="2384" t="e">
        <f>I24</f>
        <v>#REF!</v>
      </c>
      <c r="K33" s="1553" t="e">
        <f>IF(K30&gt;K24,K30,K24)</f>
        <v>#REF!</v>
      </c>
      <c r="L33" s="1554"/>
      <c r="M33" s="1553" t="e">
        <f>M24</f>
        <v>#REF!</v>
      </c>
      <c r="N33" s="1554"/>
      <c r="O33" s="1553" t="e">
        <f>IF(O30&gt;O24,O30,O24)</f>
        <v>#REF!</v>
      </c>
      <c r="P33" s="1554"/>
      <c r="Q33" s="1621" t="e">
        <f>Q24</f>
        <v>#REF!</v>
      </c>
      <c r="S33" s="684" t="e">
        <f>IF(S30&gt;S24,S30,S24)</f>
        <v>#DIV/0!</v>
      </c>
      <c r="T33" s="685"/>
      <c r="U33" s="684">
        <f>U24</f>
        <v>0</v>
      </c>
      <c r="V33" s="685"/>
      <c r="W33" s="684" t="e">
        <f>IF(W30&gt;W24,W30,W24)</f>
        <v>#DIV/0!</v>
      </c>
      <c r="X33" s="685"/>
      <c r="Y33" s="1627">
        <f>Y24</f>
        <v>0</v>
      </c>
      <c r="AA33" s="1825" t="e">
        <f>IF(AA30&gt;AA24,AA30,AA24)</f>
        <v>#DIV/0!</v>
      </c>
      <c r="AB33" s="1826"/>
      <c r="AC33" s="1825">
        <f>AC24</f>
        <v>0</v>
      </c>
      <c r="AD33" s="1826"/>
      <c r="AE33" s="1825" t="e">
        <f>IF(AE30&gt;AE24,AE30,AE24)</f>
        <v>#DIV/0!</v>
      </c>
      <c r="AF33" s="1826"/>
      <c r="AG33" s="1827">
        <f>AG24</f>
        <v>0</v>
      </c>
      <c r="AI33" s="855" t="e">
        <f>IF(AI30&gt;AI24,AI30,AI24)</f>
        <v>#DIV/0!</v>
      </c>
      <c r="AJ33" s="856"/>
      <c r="AK33" s="855" t="e">
        <f>AK24</f>
        <v>#DIV/0!</v>
      </c>
      <c r="AL33" s="856"/>
      <c r="AM33" s="855" t="e">
        <f>IF(AM30&gt;AM24,AM30,AM24)</f>
        <v>#DIV/0!</v>
      </c>
      <c r="AN33" s="856"/>
      <c r="AO33" s="1646" t="e">
        <f>AO24</f>
        <v>#DIV/0!</v>
      </c>
      <c r="AQ33" s="1880" t="e">
        <f>IF(AQ30&gt;AQ24,AQ30,AQ24)</f>
        <v>#DIV/0!</v>
      </c>
      <c r="AR33" s="1881"/>
      <c r="AS33" s="1880" t="e">
        <f>AS24</f>
        <v>#DIV/0!</v>
      </c>
      <c r="AT33" s="1881"/>
      <c r="AU33" s="1880" t="e">
        <f>IF(AU30&gt;AU24,AU30,AU24)</f>
        <v>#DIV/0!</v>
      </c>
      <c r="AV33" s="1881"/>
      <c r="AW33" s="1882" t="e">
        <f>AW24</f>
        <v>#DIV/0!</v>
      </c>
      <c r="AY33" s="1515" t="e">
        <f>IF(AY30&gt;AY24,AY30,AY24)</f>
        <v>#DIV/0!</v>
      </c>
      <c r="AZ33" s="1516"/>
      <c r="BA33" s="1515" t="e">
        <f>BA24</f>
        <v>#DIV/0!</v>
      </c>
      <c r="BB33" s="1516"/>
      <c r="BC33" s="1515" t="e">
        <f>IF(BC30&gt;BC24,BC30,BC24)</f>
        <v>#DIV/0!</v>
      </c>
      <c r="BD33" s="1516"/>
      <c r="BE33" s="1657" t="e">
        <f>BE24</f>
        <v>#DIV/0!</v>
      </c>
      <c r="BG33" s="1914" t="e">
        <f>IF(BG30&gt;BG24,BG30,BG24)</f>
        <v>#DIV/0!</v>
      </c>
      <c r="BH33" s="1915"/>
      <c r="BI33" s="1914" t="e">
        <f>BI24</f>
        <v>#DIV/0!</v>
      </c>
      <c r="BJ33" s="1915"/>
      <c r="BK33" s="1914" t="e">
        <f>IF(BK30&gt;BK24,BK30,BK24)</f>
        <v>#DIV/0!</v>
      </c>
      <c r="BL33" s="1915"/>
      <c r="BM33" s="1916" t="e">
        <f>BM24</f>
        <v>#DIV/0!</v>
      </c>
      <c r="BO33" s="2676" t="e">
        <f>IF(BO30&gt;BO24,BO30,BO24)</f>
        <v>#REF!</v>
      </c>
      <c r="BP33" s="2676" t="e">
        <f>BP24</f>
        <v>#REF!</v>
      </c>
      <c r="BQ33" s="2676" t="e">
        <f>IF(BQ30&gt;BQ24,BQ30,BQ24)</f>
        <v>#REF!</v>
      </c>
      <c r="BR33" s="2676" t="e">
        <f>BR24</f>
        <v>#REF!</v>
      </c>
      <c r="CC33" s="346" t="e">
        <f>IF(CC30&gt;CC24,CC30,CC24)</f>
        <v>#REF!</v>
      </c>
      <c r="CD33" s="347"/>
      <c r="CE33" s="346" t="e">
        <f>CE24</f>
        <v>#REF!</v>
      </c>
      <c r="CF33" s="347"/>
      <c r="CG33" s="346" t="e">
        <f>IF(CG30&gt;CG24,CG30,CG24)</f>
        <v>#REF!</v>
      </c>
      <c r="CH33" s="347"/>
      <c r="CI33" s="346" t="e">
        <f>CI24</f>
        <v>#REF!</v>
      </c>
      <c r="CK33" s="926" t="e">
        <f>IF(CK30&gt;CK24,CK30,CK24)</f>
        <v>#REF!</v>
      </c>
      <c r="CL33" s="927"/>
      <c r="CM33" s="926" t="e">
        <f>CM24</f>
        <v>#REF!</v>
      </c>
      <c r="CN33" s="927"/>
      <c r="CO33" s="926" t="e">
        <f>IF(CO30&gt;CO24,CO30,CO24)</f>
        <v>#REF!</v>
      </c>
      <c r="CP33" s="927"/>
      <c r="CQ33" s="926" t="e">
        <f>CQ24</f>
        <v>#REF!</v>
      </c>
      <c r="CS33" s="902" t="e">
        <f>IF(CS30&gt;CS24,CS30,CS24)</f>
        <v>#REF!</v>
      </c>
      <c r="CT33" s="903"/>
      <c r="CU33" s="902" t="e">
        <f>CU24</f>
        <v>#REF!</v>
      </c>
      <c r="CV33" s="903"/>
      <c r="CW33" s="902" t="e">
        <f>IF(CW30&gt;CW24,CW30,CW24)</f>
        <v>#REF!</v>
      </c>
      <c r="CX33" s="903"/>
      <c r="CY33" s="902" t="e">
        <f>CY24</f>
        <v>#REF!</v>
      </c>
      <c r="DA33" s="799" t="e">
        <f>IF(DA30&gt;DA24,DA30,DA24)</f>
        <v>#REF!</v>
      </c>
      <c r="DB33" s="881"/>
      <c r="DC33" s="799" t="e">
        <f>DC24</f>
        <v>#REF!</v>
      </c>
      <c r="DD33" s="881"/>
      <c r="DE33" s="799" t="e">
        <f>IF(DE30&gt;DE24,DE30,DE24)</f>
        <v>#REF!</v>
      </c>
      <c r="DF33" s="881"/>
      <c r="DG33" s="799" t="e">
        <f>DG24</f>
        <v>#REF!</v>
      </c>
      <c r="DI33" s="902" t="e">
        <f>IF(DI30&gt;DI24,DI30,DI24)</f>
        <v>#REF!</v>
      </c>
      <c r="DJ33" s="903"/>
      <c r="DK33" s="902" t="e">
        <f>DK24</f>
        <v>#REF!</v>
      </c>
      <c r="DL33" s="903"/>
      <c r="DM33" s="902" t="e">
        <f>IF(DM30&gt;DM24,DM30,DM24)</f>
        <v>#REF!</v>
      </c>
      <c r="DN33" s="903"/>
      <c r="DO33" s="902" t="e">
        <f>DO24</f>
        <v>#REF!</v>
      </c>
      <c r="DQ33" s="799" t="e">
        <f>IF(DQ30&gt;DQ24,DQ30,DQ24)</f>
        <v>#REF!</v>
      </c>
      <c r="DR33" s="881"/>
      <c r="DS33" s="799" t="e">
        <f>DS24</f>
        <v>#REF!</v>
      </c>
      <c r="DT33" s="881"/>
      <c r="DU33" s="799" t="e">
        <f>IF(DU30&gt;DU24,DU30,DU24)</f>
        <v>#REF!</v>
      </c>
      <c r="DV33" s="881"/>
      <c r="DW33" s="799" t="e">
        <f>DW24</f>
        <v>#REF!</v>
      </c>
      <c r="DY33" s="902" t="e">
        <f>IF(DY30&gt;DY24,DY30,DY24)</f>
        <v>#REF!</v>
      </c>
      <c r="DZ33" s="903"/>
      <c r="EA33" s="902" t="e">
        <f>EA24</f>
        <v>#REF!</v>
      </c>
      <c r="EB33" s="903"/>
      <c r="EC33" s="902" t="e">
        <f>IF(EC30&gt;EC24,EC30,EC24)</f>
        <v>#REF!</v>
      </c>
      <c r="ED33" s="903"/>
      <c r="EE33" s="902" t="e">
        <f>EE24</f>
        <v>#REF!</v>
      </c>
      <c r="EG33" s="799" t="e">
        <f>IF(EG30&gt;EG24,EG30,EG24)</f>
        <v>#REF!</v>
      </c>
      <c r="EH33" s="881"/>
      <c r="EI33" s="799" t="e">
        <f>EI24</f>
        <v>#REF!</v>
      </c>
      <c r="EJ33" s="881"/>
      <c r="EK33" s="799" t="e">
        <f>IF(EK30&gt;EK24,EK30,EK24)</f>
        <v>#REF!</v>
      </c>
      <c r="EL33" s="881"/>
      <c r="EM33" s="799" t="e">
        <f>EM24</f>
        <v>#REF!</v>
      </c>
    </row>
    <row r="34" spans="1:143">
      <c r="A34" t="s">
        <v>503</v>
      </c>
      <c r="C34" s="2081" t="e">
        <f>IF('Data Entry - SOF'!C75-C33&lt;0,0,'Data Entry - SOF'!C75-C33)</f>
        <v>#REF!</v>
      </c>
      <c r="D34" s="2085"/>
      <c r="E34" s="2081" t="e">
        <f>IF('Data Entry - SOF'!C75-E33&lt;0,0,'Data Entry - SOF'!C75-E33)</f>
        <v>#REF!</v>
      </c>
      <c r="F34" s="2085"/>
      <c r="G34" s="2081" t="e">
        <f>IF('Data Entry - SOF'!C75-G33&lt;0,0,'Data Entry - SOF'!C75-G33)</f>
        <v>#REF!</v>
      </c>
      <c r="H34" s="2085"/>
      <c r="I34" s="2384" t="e">
        <f>IF('Data Entry - SOF'!C75-I33&lt;0,0,'Data Entry - SOF'!C75-I33)</f>
        <v>#REF!</v>
      </c>
      <c r="K34" s="1553" t="e">
        <f>IF('Data Entry - SOF'!#REF!-K33&lt;0,0,'Data Entry - SOF'!#REF!-K33)</f>
        <v>#REF!</v>
      </c>
      <c r="L34" s="1554"/>
      <c r="M34" s="1553" t="e">
        <f>IF('Data Entry - SOF'!#REF!-M33&lt;0,0,'Data Entry - SOF'!#REF!-M33)</f>
        <v>#REF!</v>
      </c>
      <c r="N34" s="1554"/>
      <c r="O34" s="1553" t="e">
        <f>IF('Data Entry - SOF'!#REF!-O33&lt;0,0,'Data Entry - SOF'!#REF!-O33)</f>
        <v>#REF!</v>
      </c>
      <c r="P34" s="1554"/>
      <c r="Q34" s="1621" t="e">
        <f>IF('Data Entry - SOF'!#REF!-Q33&lt;0,0,'Data Entry - SOF'!#REF!-Q33)</f>
        <v>#REF!</v>
      </c>
      <c r="S34" s="684" t="e">
        <f>IF('Data Entry - SOF'!E75-S33&lt;0,0,'Data Entry - SOF'!E75-S33)</f>
        <v>#DIV/0!</v>
      </c>
      <c r="T34" s="685"/>
      <c r="U34" s="684">
        <f>IF('Data Entry - SOF'!E75-U33&lt;0,0,'Data Entry - SOF'!E75-U33)</f>
        <v>0</v>
      </c>
      <c r="V34" s="685"/>
      <c r="W34" s="684" t="e">
        <f>IF('Data Entry - SOF'!E75-W33&lt;0,0,'Data Entry - SOF'!E75-W33)</f>
        <v>#DIV/0!</v>
      </c>
      <c r="X34" s="685"/>
      <c r="Y34" s="1627">
        <f>IF('Data Entry - SOF'!E75-Y33&lt;0,0,'Data Entry - SOF'!E75-Y33)</f>
        <v>0</v>
      </c>
      <c r="AA34" s="1825" t="e">
        <f>IF('Data Entry - SOF'!E85-AA33&lt;0,0,'Data Entry - SOF'!E85-AA33)</f>
        <v>#DIV/0!</v>
      </c>
      <c r="AB34" s="1826"/>
      <c r="AC34" s="1825">
        <f>IF('Data Entry - SOF'!E85-AC33&lt;0,0,'Data Entry - SOF'!E85-AC33)</f>
        <v>0</v>
      </c>
      <c r="AD34" s="1826"/>
      <c r="AE34" s="1825" t="e">
        <f>IF('Data Entry - SOF'!E85-AE33&lt;0,0,'Data Entry - SOF'!E85-AE33)</f>
        <v>#DIV/0!</v>
      </c>
      <c r="AF34" s="1826"/>
      <c r="AG34" s="1827">
        <f>IF('Data Entry - SOF'!E85-AG33&lt;0,0,'Data Entry - SOF'!E85-AG33)</f>
        <v>0</v>
      </c>
      <c r="AI34" s="855" t="e">
        <f>IF('Data Entry - SOF'!EK75-AI33&lt;0,0,'Data Entry - SOF'!K75-AI33)</f>
        <v>#DIV/0!</v>
      </c>
      <c r="AJ34" s="856"/>
      <c r="AK34" s="855" t="e">
        <f>IF('Data Entry - SOF'!K75-AK33&lt;0,0,'Data Entry - SOF'!K75-AK33)</f>
        <v>#DIV/0!</v>
      </c>
      <c r="AL34" s="856"/>
      <c r="AM34" s="855" t="e">
        <f>IF('Data Entry - SOF'!K75-AM33&lt;0,0,'Data Entry - SOF'!K75-AM33)</f>
        <v>#DIV/0!</v>
      </c>
      <c r="AN34" s="856"/>
      <c r="AO34" s="1646" t="e">
        <f>IF('Data Entry - SOF'!K75-AO33&lt;0,0,'Data Entry - SOF'!K75-AO33)</f>
        <v>#DIV/0!</v>
      </c>
      <c r="AQ34" s="1880" t="e">
        <f>IF('Data Entry - SOF'!M75-AQ33&lt;0,0,'Data Entry - SOF'!M75-AQ33)</f>
        <v>#DIV/0!</v>
      </c>
      <c r="AR34" s="1881"/>
      <c r="AS34" s="1880" t="e">
        <f>IF('Data Entry - SOF'!M75-AS33&lt;0,0,'Data Entry - SOF'!M75-AS33)</f>
        <v>#DIV/0!</v>
      </c>
      <c r="AT34" s="1881"/>
      <c r="AU34" s="1880" t="e">
        <f>IF('Data Entry - SOF'!M75-AU33&lt;0,0,'Data Entry - SOF'!M75-AU33)</f>
        <v>#DIV/0!</v>
      </c>
      <c r="AV34" s="1881"/>
      <c r="AW34" s="1882" t="e">
        <f>IF('Data Entry - SOF'!M75-AW33&lt;0,0,'Data Entry - SOF'!M75-AW33)</f>
        <v>#DIV/0!</v>
      </c>
      <c r="AY34" s="1515" t="e">
        <f>IF('Data Entry - SOF'!O75-AY33&lt;0,0,'Data Entry - SOF'!O75-AY33)</f>
        <v>#DIV/0!</v>
      </c>
      <c r="AZ34" s="1516"/>
      <c r="BA34" s="1515" t="e">
        <f>IF('Data Entry - SOF'!O75-BA33&lt;0,0,'Data Entry - SOF'!O75-BA33)</f>
        <v>#DIV/0!</v>
      </c>
      <c r="BB34" s="1516"/>
      <c r="BC34" s="1515" t="e">
        <f>IF('Data Entry - SOF'!O75-BC33&lt;0,0,'Data Entry - SOF'!O75-BC33)</f>
        <v>#DIV/0!</v>
      </c>
      <c r="BD34" s="1516"/>
      <c r="BE34" s="1657" t="e">
        <f>IF('Data Entry - SOF'!O75-BE33&lt;0,0,'Data Entry - SOF'!O75-BE33)</f>
        <v>#DIV/0!</v>
      </c>
      <c r="BG34" s="1914" t="e">
        <f>IF('Data Entry - SOF'!Q75-BG33&lt;0,0,'Data Entry - SOF'!Q75-BG33)</f>
        <v>#DIV/0!</v>
      </c>
      <c r="BH34" s="1915"/>
      <c r="BI34" s="1914" t="e">
        <f>IF('Data Entry - SOF'!Q75-BI33&lt;0,0,'Data Entry - SOF'!Q75-BI33)</f>
        <v>#DIV/0!</v>
      </c>
      <c r="BJ34" s="1915"/>
      <c r="BK34" s="1914" t="e">
        <f>IF('Data Entry - SOF'!Q75-BK33&lt;0,0,'Data Entry - SOF'!Q75-BK33)</f>
        <v>#DIV/0!</v>
      </c>
      <c r="BL34" s="1915"/>
      <c r="BM34" s="1916" t="e">
        <f>IF('Data Entry - SOF'!Q75-BM33&lt;0,0,'Data Entry - SOF'!Q75-BM33)</f>
        <v>#DIV/0!</v>
      </c>
      <c r="BO34" s="2676" t="e">
        <f>IF('Data Entry - SOF'!E75-BO33&lt;0,0,'Data Entry - SOF'!E75-BO33)</f>
        <v>#REF!</v>
      </c>
      <c r="BP34" s="2676" t="e">
        <f>IF('Data Entry - SOF'!E75-BP33&lt;0,0,'Data Entry - SOF'!E75-BP33)</f>
        <v>#REF!</v>
      </c>
      <c r="BQ34" s="2676" t="e">
        <f>IF('Data Entry - SOF'!E75-BQ33&lt;0,0,'Data Entry - SOF'!E75-BQ33)</f>
        <v>#REF!</v>
      </c>
      <c r="BR34" s="2676" t="e">
        <f>IF('Data Entry - SOF'!E75-BR33&lt;0,0,'Data Entry - SOF'!E75-BR33)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26" t="e">
        <f>IF('Data Entry - SOF'!#REF!-CK33&lt;0,0,'Data Entry - SOF'!#REF!-CK33)</f>
        <v>#REF!</v>
      </c>
      <c r="CL34" s="927"/>
      <c r="CM34" s="926" t="e">
        <f>IF('Data Entry - SOF'!#REF!-CM33&lt;0,0,'Data Entry - SOF'!#REF!-CM33)</f>
        <v>#REF!</v>
      </c>
      <c r="CN34" s="927"/>
      <c r="CO34" s="926" t="e">
        <f>IF('Data Entry - SOF'!#REF!-CO33&lt;0,0,'Data Entry - SOF'!#REF!-CO33)</f>
        <v>#REF!</v>
      </c>
      <c r="CP34" s="927"/>
      <c r="CQ34" s="926" t="e">
        <f>IF('Data Entry - SOF'!#REF!-CQ33&lt;0,0,'Data Entry - SOF'!#REF!-CQ33)</f>
        <v>#REF!</v>
      </c>
      <c r="CS34" s="902" t="e">
        <f>IF('Data Entry - SOF'!#REF!-CS33&lt;0,0,'Data Entry - SOF'!#REF!-CS33)</f>
        <v>#REF!</v>
      </c>
      <c r="CT34" s="903"/>
      <c r="CU34" s="902" t="e">
        <f>IF('Data Entry - SOF'!#REF!-CU33&lt;0,0,'Data Entry - SOF'!#REF!-CU33)</f>
        <v>#REF!</v>
      </c>
      <c r="CV34" s="903"/>
      <c r="CW34" s="902" t="e">
        <f>IF('Data Entry - SOF'!#REF!-CW33&lt;0,0,'Data Entry - SOF'!#REF!-CW33)</f>
        <v>#REF!</v>
      </c>
      <c r="CX34" s="903"/>
      <c r="CY34" s="902" t="e">
        <f>IF('Data Entry - SOF'!#REF!-CY33&lt;0,0,'Data Entry - SOF'!#REF!-CY33)</f>
        <v>#REF!</v>
      </c>
      <c r="DA34" s="799" t="e">
        <f>IF('Data Entry - SOF'!#REF!-DA33&lt;0,0,'Data Entry - SOF'!#REF!-DA33)</f>
        <v>#REF!</v>
      </c>
      <c r="DB34" s="881"/>
      <c r="DC34" s="799" t="e">
        <f>IF('Data Entry - SOF'!#REF!-DC33&lt;0,0,'Data Entry - SOF'!#REF!-DC33)</f>
        <v>#REF!</v>
      </c>
      <c r="DD34" s="881"/>
      <c r="DE34" s="799" t="e">
        <f>IF('Data Entry - SOF'!#REF!-DE33&lt;0,0,'Data Entry - SOF'!#REF!-DE33)</f>
        <v>#REF!</v>
      </c>
      <c r="DF34" s="881"/>
      <c r="DG34" s="799" t="e">
        <f>IF('Data Entry - SOF'!#REF!-DG33&lt;0,0,'Data Entry - SOF'!#REF!-DG33)</f>
        <v>#REF!</v>
      </c>
      <c r="DI34" s="902" t="e">
        <f>IF('Data Entry - SOF'!C75-DI33&lt;0,0,'Data Entry - SOF'!C75-DI33)</f>
        <v>#REF!</v>
      </c>
      <c r="DJ34" s="903"/>
      <c r="DK34" s="902" t="e">
        <f>IF('Data Entry - SOF'!C75-DK33&lt;0,0,'Data Entry - SOF'!C75-DK33)</f>
        <v>#REF!</v>
      </c>
      <c r="DL34" s="903"/>
      <c r="DM34" s="902" t="e">
        <f>IF('Data Entry - SOF'!C75-DM33&lt;0,0,'Data Entry - SOF'!C75-DM33)</f>
        <v>#REF!</v>
      </c>
      <c r="DN34" s="903"/>
      <c r="DO34" s="902" t="e">
        <f>IF('Data Entry - SOF'!C75-DO33&lt;0,0,'Data Entry - SOF'!C75-DO33)</f>
        <v>#REF!</v>
      </c>
      <c r="DQ34" s="799" t="e">
        <f>IF('Data Entry - SOF'!C75-DQ33&lt;0,0,'Data Entry - SOF'!C75-DQ33)</f>
        <v>#REF!</v>
      </c>
      <c r="DR34" s="881"/>
      <c r="DS34" s="799" t="e">
        <f>IF('Data Entry - SOF'!C75-DS33&lt;0,0,'Data Entry - SOF'!C75-DS33)</f>
        <v>#REF!</v>
      </c>
      <c r="DT34" s="881"/>
      <c r="DU34" s="799" t="e">
        <f>IF('Data Entry - SOF'!C75-DU33&lt;0,0,'Data Entry - SOF'!C75-DU33)</f>
        <v>#REF!</v>
      </c>
      <c r="DV34" s="881"/>
      <c r="DW34" s="799" t="e">
        <f>IF('Data Entry - SOF'!C75-DW33&lt;0,0,'Data Entry - SOF'!C75-DW33)</f>
        <v>#REF!</v>
      </c>
      <c r="DY34" s="902" t="e">
        <f>IF('Data Entry - SOF'!#REF!-DY33&lt;0,0,'Data Entry - SOF'!#REF!-DY33)</f>
        <v>#REF!</v>
      </c>
      <c r="DZ34" s="903"/>
      <c r="EA34" s="902" t="e">
        <f>IF('Data Entry - SOF'!#REF!-EA33&lt;0,0,'Data Entry - SOF'!#REF!-EA33)</f>
        <v>#REF!</v>
      </c>
      <c r="EB34" s="903"/>
      <c r="EC34" s="902" t="e">
        <f>IF('Data Entry - SOF'!#REF!-EC33&lt;0,0,'Data Entry - SOF'!#REF!-EC33)</f>
        <v>#REF!</v>
      </c>
      <c r="ED34" s="903"/>
      <c r="EE34" s="902" t="e">
        <f>IF('Data Entry - SOF'!#REF!-EE33&lt;0,0,'Data Entry - SOF'!#REF!-EE33)</f>
        <v>#REF!</v>
      </c>
      <c r="EG34" s="799" t="e">
        <f>IF('Data Entry - SOF'!E75-EG33&lt;0,0,'Data Entry - SOF'!E75-EG33)</f>
        <v>#REF!</v>
      </c>
      <c r="EH34" s="881"/>
      <c r="EI34" s="799" t="e">
        <f>IF('Data Entry - SOF'!E75-EI33&lt;0,0,'Data Entry - SOF'!E75-EI33)</f>
        <v>#REF!</v>
      </c>
      <c r="EJ34" s="881"/>
      <c r="EK34" s="799" t="e">
        <f>IF('Data Entry - SOF'!E75-EK33&lt;0,0,'Data Entry - SOF'!E75-EK33)</f>
        <v>#REF!</v>
      </c>
      <c r="EL34" s="881"/>
      <c r="EM34" s="799" t="e">
        <f>IF('Data Entry - SOF'!E75-EM33&lt;0,0,'Data Entry - SOF'!E75-EM33)</f>
        <v>#REF!</v>
      </c>
    </row>
    <row r="35" spans="1:143">
      <c r="A35" t="s">
        <v>2093</v>
      </c>
      <c r="C35" s="2362" t="e">
        <f>C34/'Data Entry - SOF'!C75</f>
        <v>#REF!</v>
      </c>
      <c r="D35" s="2363"/>
      <c r="E35" s="2362" t="e">
        <f>E34/'Data Entry - SOF'!C75</f>
        <v>#REF!</v>
      </c>
      <c r="F35" s="2363"/>
      <c r="G35" s="2362" t="e">
        <f>G34/'Data Entry - SOF'!C75</f>
        <v>#REF!</v>
      </c>
      <c r="H35" s="2363"/>
      <c r="I35" s="2387" t="e">
        <f>I34/'Data Entry - SOF'!C75</f>
        <v>#REF!</v>
      </c>
      <c r="K35" s="1552" t="e">
        <f>K34/'Data Entry - SOF'!#REF!</f>
        <v>#REF!</v>
      </c>
      <c r="L35" s="305"/>
      <c r="M35" s="1552" t="e">
        <f>M34/'Data Entry - SOF'!#REF!</f>
        <v>#REF!</v>
      </c>
      <c r="N35" s="305"/>
      <c r="O35" s="1552" t="e">
        <f>O34/'Data Entry - SOF'!#REF!</f>
        <v>#REF!</v>
      </c>
      <c r="P35" s="305"/>
      <c r="Q35" s="1620" t="e">
        <f>Q34/'Data Entry - SOF'!#REF!</f>
        <v>#REF!</v>
      </c>
      <c r="S35" s="690" t="e">
        <f>S34/'Data Entry - SOF'!E75</f>
        <v>#DIV/0!</v>
      </c>
      <c r="T35" s="691"/>
      <c r="U35" s="690" t="e">
        <f>U34/'Data Entry - SOF'!E75</f>
        <v>#DIV/0!</v>
      </c>
      <c r="V35" s="691"/>
      <c r="W35" s="690" t="e">
        <f>W34/'Data Entry - SOF'!E75</f>
        <v>#DIV/0!</v>
      </c>
      <c r="X35" s="691"/>
      <c r="Y35" s="1630" t="e">
        <f>Y34/'Data Entry - SOF'!E75</f>
        <v>#DIV/0!</v>
      </c>
      <c r="AA35" s="1834" t="e">
        <f>AA34/'Data Entry - SOF'!E85</f>
        <v>#DIV/0!</v>
      </c>
      <c r="AB35" s="1835"/>
      <c r="AC35" s="1834" t="e">
        <f>AC34/'Data Entry - SOF'!E85</f>
        <v>#DIV/0!</v>
      </c>
      <c r="AD35" s="1835"/>
      <c r="AE35" s="1834" t="e">
        <f>AE34/'Data Entry - SOF'!E85</f>
        <v>#DIV/0!</v>
      </c>
      <c r="AF35" s="1835"/>
      <c r="AG35" s="1836" t="e">
        <f>AG34/'Data Entry - SOF'!E85</f>
        <v>#DIV/0!</v>
      </c>
      <c r="AI35" s="861" t="e">
        <f>AI34/'Data Entry - SOF'!K75</f>
        <v>#DIV/0!</v>
      </c>
      <c r="AJ35" s="862"/>
      <c r="AK35" s="861" t="e">
        <f>AK34/'Data Entry - SOF'!K75</f>
        <v>#DIV/0!</v>
      </c>
      <c r="AL35" s="862"/>
      <c r="AM35" s="861" t="e">
        <f>AM34/'Data Entry - SOF'!K75</f>
        <v>#DIV/0!</v>
      </c>
      <c r="AN35" s="862"/>
      <c r="AO35" s="1649" t="e">
        <f>AO34/'Data Entry - SOF'!K75</f>
        <v>#DIV/0!</v>
      </c>
      <c r="AQ35" s="1889" t="e">
        <f>AQ34/'Data Entry - SOF'!M75</f>
        <v>#DIV/0!</v>
      </c>
      <c r="AR35" s="1890"/>
      <c r="AS35" s="1889" t="e">
        <f>AS34/'Data Entry - SOF'!M75</f>
        <v>#DIV/0!</v>
      </c>
      <c r="AT35" s="1890"/>
      <c r="AU35" s="1889" t="e">
        <f>AU34/'Data Entry - SOF'!M75</f>
        <v>#DIV/0!</v>
      </c>
      <c r="AV35" s="1890"/>
      <c r="AW35" s="1891" t="e">
        <f>AW34/'Data Entry - SOF'!M75</f>
        <v>#DIV/0!</v>
      </c>
      <c r="AY35" s="1507" t="e">
        <f>AY34/'Data Entry - SOF'!O75</f>
        <v>#DIV/0!</v>
      </c>
      <c r="AZ35" s="1508"/>
      <c r="BA35" s="1507" t="e">
        <f>BA34/'Data Entry - SOF'!O75</f>
        <v>#DIV/0!</v>
      </c>
      <c r="BB35" s="1508"/>
      <c r="BC35" s="1507" t="e">
        <f>BC34/'Data Entry - SOF'!O75</f>
        <v>#DIV/0!</v>
      </c>
      <c r="BD35" s="1508"/>
      <c r="BE35" s="1662" t="e">
        <f>BE34/'Data Entry - SOF'!O75</f>
        <v>#DIV/0!</v>
      </c>
      <c r="BG35" s="1926" t="e">
        <f>BG34/'Data Entry - SOF'!Q75</f>
        <v>#DIV/0!</v>
      </c>
      <c r="BH35" s="1927"/>
      <c r="BI35" s="1926" t="e">
        <f>BI34/'Data Entry - SOF'!Q75</f>
        <v>#DIV/0!</v>
      </c>
      <c r="BJ35" s="1927"/>
      <c r="BK35" s="1926" t="e">
        <f>BK34/'Data Entry - SOF'!Q75</f>
        <v>#DIV/0!</v>
      </c>
      <c r="BL35" s="1927"/>
      <c r="BM35" s="1928" t="e">
        <f>BM34/'Data Entry - SOF'!Q75</f>
        <v>#DIV/0!</v>
      </c>
      <c r="BO35" s="2679" t="e">
        <f>BO34/'Data Entry - SOF'!E75</f>
        <v>#REF!</v>
      </c>
      <c r="BP35" s="2679" t="e">
        <f>BP34/'Data Entry - SOF'!E75</f>
        <v>#REF!</v>
      </c>
      <c r="BQ35" s="2679" t="e">
        <f>BQ34/'Data Entry - SOF'!E75</f>
        <v>#REF!</v>
      </c>
      <c r="BR35" s="2679" t="e">
        <f>BR34/'Data Entry - SOF'!E75</f>
        <v>#REF!</v>
      </c>
      <c r="CC35" s="352" t="e">
        <f>CC34/'Data Entry - SOF'!#REF!</f>
        <v>#REF!</v>
      </c>
      <c r="CD35" s="353"/>
      <c r="CE35" s="352" t="e">
        <f>CE34/'Data Entry - SOF'!#REF!</f>
        <v>#REF!</v>
      </c>
      <c r="CF35" s="353"/>
      <c r="CG35" s="352" t="e">
        <f>CG34/'Data Entry - SOF'!#REF!</f>
        <v>#REF!</v>
      </c>
      <c r="CH35" s="353"/>
      <c r="CI35" s="352" t="e">
        <f>CI34/'Data Entry - SOF'!#REF!</f>
        <v>#REF!</v>
      </c>
      <c r="CK35" s="933" t="e">
        <f>CK34/'Data Entry - SOF'!#REF!</f>
        <v>#REF!</v>
      </c>
      <c r="CL35" s="934"/>
      <c r="CM35" s="933" t="e">
        <f>CM34/'Data Entry - SOF'!#REF!</f>
        <v>#REF!</v>
      </c>
      <c r="CN35" s="934"/>
      <c r="CO35" s="933" t="e">
        <f>CO34/'Data Entry - SOF'!#REF!</f>
        <v>#REF!</v>
      </c>
      <c r="CP35" s="934"/>
      <c r="CQ35" s="933" t="e">
        <f>CQ34/'Data Entry - SOF'!#REF!</f>
        <v>#REF!</v>
      </c>
      <c r="CS35" s="909" t="e">
        <f>CS34/'Data Entry - SOF'!#REF!</f>
        <v>#REF!</v>
      </c>
      <c r="CT35" s="910"/>
      <c r="CU35" s="909" t="e">
        <f>CU34/'Data Entry - SOF'!#REF!</f>
        <v>#REF!</v>
      </c>
      <c r="CV35" s="910"/>
      <c r="CW35" s="909" t="e">
        <f>CW34/'Data Entry - SOF'!#REF!</f>
        <v>#REF!</v>
      </c>
      <c r="CX35" s="910"/>
      <c r="CY35" s="909" t="e">
        <f>CY34/'Data Entry - SOF'!#REF!</f>
        <v>#REF!</v>
      </c>
      <c r="DA35" s="887" t="e">
        <f>DA34/'Data Entry - SOF'!#REF!</f>
        <v>#REF!</v>
      </c>
      <c r="DB35" s="888"/>
      <c r="DC35" s="887" t="e">
        <f>DC34/'Data Entry - SOF'!#REF!</f>
        <v>#REF!</v>
      </c>
      <c r="DD35" s="888"/>
      <c r="DE35" s="887" t="e">
        <f>DE34/'Data Entry - SOF'!#REF!</f>
        <v>#REF!</v>
      </c>
      <c r="DF35" s="888"/>
      <c r="DG35" s="887" t="e">
        <f>DG34/'Data Entry - SOF'!#REF!</f>
        <v>#REF!</v>
      </c>
      <c r="DI35" s="909" t="e">
        <f>DI34/'Data Entry - SOF'!C75</f>
        <v>#REF!</v>
      </c>
      <c r="DJ35" s="910"/>
      <c r="DK35" s="909" t="e">
        <f>DK34/'Data Entry - SOF'!C75</f>
        <v>#REF!</v>
      </c>
      <c r="DL35" s="910"/>
      <c r="DM35" s="909" t="e">
        <f>DM34/'Data Entry - SOF'!C75</f>
        <v>#REF!</v>
      </c>
      <c r="DN35" s="910"/>
      <c r="DO35" s="909" t="e">
        <f>DO34/'Data Entry - SOF'!C75</f>
        <v>#REF!</v>
      </c>
      <c r="DQ35" s="887" t="e">
        <f>DQ34/'Data Entry - SOF'!C75</f>
        <v>#REF!</v>
      </c>
      <c r="DR35" s="888"/>
      <c r="DS35" s="887" t="e">
        <f>DS34/'Data Entry - SOF'!C75</f>
        <v>#REF!</v>
      </c>
      <c r="DT35" s="888"/>
      <c r="DU35" s="887" t="e">
        <f>DU34/'Data Entry - SOF'!C75</f>
        <v>#REF!</v>
      </c>
      <c r="DV35" s="888"/>
      <c r="DW35" s="887" t="e">
        <f>DW34/'Data Entry - SOF'!C75</f>
        <v>#REF!</v>
      </c>
      <c r="DY35" s="909" t="e">
        <f>DY34/'Data Entry - SOF'!#REF!</f>
        <v>#REF!</v>
      </c>
      <c r="DZ35" s="910"/>
      <c r="EA35" s="909" t="e">
        <f>EA34/'Data Entry - SOF'!#REF!</f>
        <v>#REF!</v>
      </c>
      <c r="EB35" s="910"/>
      <c r="EC35" s="909" t="e">
        <f>EC34/'Data Entry - SOF'!#REF!</f>
        <v>#REF!</v>
      </c>
      <c r="ED35" s="910"/>
      <c r="EE35" s="909" t="e">
        <f>EE34/'Data Entry - SOF'!#REF!</f>
        <v>#REF!</v>
      </c>
      <c r="EG35" s="887" t="e">
        <f>EG34/'Data Entry - SOF'!E75</f>
        <v>#REF!</v>
      </c>
      <c r="EH35" s="888"/>
      <c r="EI35" s="887" t="e">
        <f>EI34/'Data Entry - SOF'!E75</f>
        <v>#REF!</v>
      </c>
      <c r="EJ35" s="888"/>
      <c r="EK35" s="887" t="e">
        <f>EK34/'Data Entry - SOF'!E75</f>
        <v>#REF!</v>
      </c>
      <c r="EL35" s="888"/>
      <c r="EM35" s="887" t="e">
        <f>EM34/'Data Entry - SOF'!E75</f>
        <v>#REF!</v>
      </c>
    </row>
    <row r="36" spans="1:143">
      <c r="A36" t="s">
        <v>185</v>
      </c>
      <c r="C36" s="2083" t="e">
        <f>C33/'Ch41 Calc Data'!K17</f>
        <v>#REF!</v>
      </c>
      <c r="D36" s="2057"/>
      <c r="E36" s="2083" t="e">
        <f>E33/'Ch41 Calc Data'!K17</f>
        <v>#REF!</v>
      </c>
      <c r="F36" s="2057"/>
      <c r="G36" s="2083" t="e">
        <f>G33/'Ch41 Calc Data'!K17</f>
        <v>#REF!</v>
      </c>
      <c r="H36" s="2057"/>
      <c r="I36" s="2388" t="e">
        <f>I33/'Ch41 Calc Data'!K17</f>
        <v>#REF!</v>
      </c>
      <c r="K36" s="1553" t="e">
        <f>K33/'Ch41 Calc Data'!L17</f>
        <v>#REF!</v>
      </c>
      <c r="L36" s="1554"/>
      <c r="M36" s="1553" t="e">
        <f>M33/'Ch41 Calc Data'!L17</f>
        <v>#REF!</v>
      </c>
      <c r="N36" s="1554"/>
      <c r="O36" s="1553" t="e">
        <f>O33/'Ch41 Calc Data'!L17</f>
        <v>#REF!</v>
      </c>
      <c r="P36" s="1554"/>
      <c r="Q36" s="1621" t="e">
        <f>Q33/'Ch41 Calc Data'!L17</f>
        <v>#REF!</v>
      </c>
      <c r="S36" s="692" t="e">
        <f>S33/'Ch41 Calc Data'!M17</f>
        <v>#DIV/0!</v>
      </c>
      <c r="T36" s="680"/>
      <c r="U36" s="692" t="e">
        <f>U33/'Ch41 Calc Data'!M17</f>
        <v>#DIV/0!</v>
      </c>
      <c r="V36" s="680"/>
      <c r="W36" s="692" t="e">
        <f>W33/'Ch41 Calc Data'!M17</f>
        <v>#DIV/0!</v>
      </c>
      <c r="X36" s="680"/>
      <c r="Y36" s="1631" t="e">
        <f>Y33/'Ch41 Calc Data'!M17</f>
        <v>#DIV/0!</v>
      </c>
      <c r="AA36" s="1837" t="e">
        <f>AA33/'Ch41 Calc Data'!N17</f>
        <v>#DIV/0!</v>
      </c>
      <c r="AB36" s="1838"/>
      <c r="AC36" s="1837" t="e">
        <f>AC33/'Ch41 Calc Data'!N17</f>
        <v>#DIV/0!</v>
      </c>
      <c r="AD36" s="1838"/>
      <c r="AE36" s="1837" t="e">
        <f>AE33/'Ch41 Calc Data'!N17</f>
        <v>#DIV/0!</v>
      </c>
      <c r="AF36" s="1838"/>
      <c r="AG36" s="1839" t="e">
        <f>AG33/'Ch41 Calc Data'!N17</f>
        <v>#DIV/0!</v>
      </c>
      <c r="AI36" s="863" t="e">
        <f>AI33/'Ch41 Calc Data'!O17</f>
        <v>#DIV/0!</v>
      </c>
      <c r="AJ36" s="864"/>
      <c r="AK36" s="863" t="e">
        <f>AK33/'Ch41 Calc Data'!O17</f>
        <v>#DIV/0!</v>
      </c>
      <c r="AL36" s="864"/>
      <c r="AM36" s="863" t="e">
        <f>AM33/'Ch41 Calc Data'!O17</f>
        <v>#DIV/0!</v>
      </c>
      <c r="AN36" s="864"/>
      <c r="AO36" s="1650" t="e">
        <f>AO33/'Ch41 Calc Data'!O17</f>
        <v>#DIV/0!</v>
      </c>
      <c r="AQ36" s="1892" t="e">
        <f>AQ33/'Ch41 Calc Data'!P17</f>
        <v>#DIV/0!</v>
      </c>
      <c r="AR36" s="1893"/>
      <c r="AS36" s="1892" t="e">
        <f>AS33/'Ch41 Calc Data'!P17</f>
        <v>#DIV/0!</v>
      </c>
      <c r="AT36" s="1893"/>
      <c r="AU36" s="1892" t="e">
        <f>AU33/'Ch41 Calc Data'!P17</f>
        <v>#DIV/0!</v>
      </c>
      <c r="AV36" s="1893"/>
      <c r="AW36" s="1894" t="e">
        <f>AW33/'Ch41 Calc Data'!P17</f>
        <v>#DIV/0!</v>
      </c>
      <c r="AY36" s="1515" t="e">
        <f>AY33/'Ch41 Calc Data'!Q17</f>
        <v>#DIV/0!</v>
      </c>
      <c r="AZ36" s="1516"/>
      <c r="BA36" s="1515" t="e">
        <f>BA33/'Ch41 Calc Data'!Q17</f>
        <v>#DIV/0!</v>
      </c>
      <c r="BB36" s="1516"/>
      <c r="BC36" s="1515" t="e">
        <f>BC33/'Ch41 Calc Data'!Q17</f>
        <v>#DIV/0!</v>
      </c>
      <c r="BD36" s="1516"/>
      <c r="BE36" s="1657" t="e">
        <f>BE33/'Ch41 Calc Data'!Q17</f>
        <v>#DIV/0!</v>
      </c>
      <c r="BG36" s="1914" t="e">
        <f>BG33/'Ch41 Calc Data'!R17</f>
        <v>#DIV/0!</v>
      </c>
      <c r="BH36" s="1915"/>
      <c r="BI36" s="1914" t="e">
        <f>BI33/'Ch41 Calc Data'!R17</f>
        <v>#DIV/0!</v>
      </c>
      <c r="BJ36" s="1915"/>
      <c r="BK36" s="1914" t="e">
        <f>BK33/'Ch41 Calc Data'!R17</f>
        <v>#DIV/0!</v>
      </c>
      <c r="BL36" s="1915"/>
      <c r="BM36" s="1916" t="e">
        <f>BM33/'Ch41 Calc Data'!R17</f>
        <v>#DIV/0!</v>
      </c>
      <c r="BO36" s="2472" t="e">
        <f>BO33/'Ch41 Calc Data'!M20</f>
        <v>#REF!</v>
      </c>
      <c r="BP36" s="2472" t="e">
        <f>BP33/'Ch41 Calc Data'!M20</f>
        <v>#REF!</v>
      </c>
      <c r="BQ36" s="2472" t="e">
        <f>BQ33/'Ch41 Calc Data'!M20</f>
        <v>#REF!</v>
      </c>
      <c r="BR36" s="2472"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35" t="e">
        <f>CK33/'Ch41 Calc Data'!AB17</f>
        <v>#REF!</v>
      </c>
      <c r="CL36" s="936"/>
      <c r="CM36" s="935" t="e">
        <f>CM33/'Ch41 Calc Data'!AB17</f>
        <v>#REF!</v>
      </c>
      <c r="CN36" s="936"/>
      <c r="CO36" s="935" t="e">
        <f>CO33/'Ch41 Calc Data'!AB17</f>
        <v>#REF!</v>
      </c>
      <c r="CP36" s="936"/>
      <c r="CQ36" s="935" t="e">
        <f>CQ33/'Ch41 Calc Data'!AB17</f>
        <v>#REF!</v>
      </c>
      <c r="CS36" s="911" t="e">
        <f>CS33/'Ch41 Calc Data'!AC17</f>
        <v>#REF!</v>
      </c>
      <c r="CT36" s="912"/>
      <c r="CU36" s="911" t="e">
        <f>CU33/'Ch41 Calc Data'!AC17</f>
        <v>#REF!</v>
      </c>
      <c r="CV36" s="912"/>
      <c r="CW36" s="911" t="e">
        <f>CW33/'Ch41 Calc Data'!AC17</f>
        <v>#REF!</v>
      </c>
      <c r="CX36" s="912"/>
      <c r="CY36" s="911" t="e">
        <f>CY33/'Ch41 Calc Data'!AC17</f>
        <v>#REF!</v>
      </c>
      <c r="DA36" s="800" t="e">
        <f>DA33/'Ch41 Calc Data'!AD17</f>
        <v>#REF!</v>
      </c>
      <c r="DB36" s="889"/>
      <c r="DC36" s="800" t="e">
        <f>DC33/'Ch41 Calc Data'!AD17</f>
        <v>#REF!</v>
      </c>
      <c r="DD36" s="889"/>
      <c r="DE36" s="800" t="e">
        <f>DE33/'Ch41 Calc Data'!AD17</f>
        <v>#REF!</v>
      </c>
      <c r="DF36" s="889"/>
      <c r="DG36" s="800" t="e">
        <f>DG33/'Ch41 Calc Data'!AD17</f>
        <v>#REF!</v>
      </c>
      <c r="DI36" s="911" t="e">
        <f>DI33/'Ch41 Calc Data'!AE17</f>
        <v>#REF!</v>
      </c>
      <c r="DJ36" s="912"/>
      <c r="DK36" s="911" t="e">
        <f>DK33/'Ch41 Calc Data'!AE17</f>
        <v>#REF!</v>
      </c>
      <c r="DL36" s="912"/>
      <c r="DM36" s="911" t="e">
        <f>DM33/'Ch41 Calc Data'!AE17</f>
        <v>#REF!</v>
      </c>
      <c r="DN36" s="912"/>
      <c r="DO36" s="911" t="e">
        <f>DO33/'Ch41 Calc Data'!AE17</f>
        <v>#REF!</v>
      </c>
      <c r="DQ36" s="800" t="e">
        <f>DQ33/'Ch41 Calc Data'!AF17</f>
        <v>#REF!</v>
      </c>
      <c r="DR36" s="889"/>
      <c r="DS36" s="800" t="e">
        <f>DS33/'Ch41 Calc Data'!AF17</f>
        <v>#REF!</v>
      </c>
      <c r="DT36" s="889"/>
      <c r="DU36" s="800" t="e">
        <f>DU33/'Ch41 Calc Data'!AF17</f>
        <v>#REF!</v>
      </c>
      <c r="DV36" s="889"/>
      <c r="DW36" s="800" t="e">
        <f>DW33/'Ch41 Calc Data'!AF17</f>
        <v>#REF!</v>
      </c>
      <c r="DY36" s="911" t="e">
        <f>DY33/'Ch41 Calc Data'!AG17</f>
        <v>#REF!</v>
      </c>
      <c r="DZ36" s="912"/>
      <c r="EA36" s="911" t="e">
        <f>EA33/'Ch41 Calc Data'!AG17</f>
        <v>#REF!</v>
      </c>
      <c r="EB36" s="912"/>
      <c r="EC36" s="911" t="e">
        <f>EC33/'Ch41 Calc Data'!AG17</f>
        <v>#REF!</v>
      </c>
      <c r="ED36" s="912"/>
      <c r="EE36" s="911" t="e">
        <f>EE33/'Ch41 Calc Data'!AG17</f>
        <v>#REF!</v>
      </c>
      <c r="EG36" s="800" t="e">
        <f>EG33/'Ch41 Calc Data'!AH17</f>
        <v>#REF!</v>
      </c>
      <c r="EH36" s="889"/>
      <c r="EI36" s="800" t="e">
        <f>EI33/'Ch41 Calc Data'!AH17</f>
        <v>#REF!</v>
      </c>
      <c r="EJ36" s="889"/>
      <c r="EK36" s="800" t="e">
        <f>EK33/'Ch41 Calc Data'!AH17</f>
        <v>#REF!</v>
      </c>
      <c r="EL36" s="889"/>
      <c r="EM36" s="800" t="e">
        <f>EM33/'Ch41 Calc Data'!AH17</f>
        <v>#REF!</v>
      </c>
    </row>
    <row r="37" spans="1:143">
      <c r="I37" s="2070"/>
      <c r="K37" s="1554"/>
      <c r="L37" s="1554"/>
      <c r="M37" s="1554"/>
      <c r="N37" s="1554"/>
      <c r="O37" s="1554"/>
      <c r="P37" s="1554"/>
      <c r="Q37" s="1622"/>
      <c r="Y37" s="1093"/>
      <c r="AG37" s="1818"/>
      <c r="AO37" s="1642"/>
      <c r="AW37" s="1873"/>
      <c r="AY37" s="1516"/>
      <c r="AZ37" s="1516"/>
      <c r="BA37" s="1516"/>
      <c r="BB37" s="1516"/>
      <c r="BC37" s="1516"/>
      <c r="BD37" s="1516"/>
      <c r="BE37" s="1660"/>
      <c r="BG37" s="1915"/>
      <c r="BH37" s="1915"/>
      <c r="BI37" s="1915"/>
      <c r="BJ37" s="1915"/>
      <c r="BK37" s="1915"/>
      <c r="BL37" s="1915"/>
      <c r="BM37" s="1923"/>
      <c r="BO37" s="1472"/>
      <c r="BP37" s="1472"/>
      <c r="BQ37" s="1472"/>
      <c r="BR37" s="1472"/>
    </row>
    <row r="38" spans="1:143" ht="15.75">
      <c r="A38" s="30" t="s">
        <v>2094</v>
      </c>
      <c r="I38" s="2070"/>
      <c r="K38" s="1554"/>
      <c r="L38" s="1554"/>
      <c r="M38" s="1554"/>
      <c r="N38" s="1554"/>
      <c r="O38" s="1554"/>
      <c r="P38" s="1554"/>
      <c r="Q38" s="1622"/>
      <c r="Y38" s="1093"/>
      <c r="AG38" s="1818"/>
      <c r="AO38" s="1642"/>
      <c r="AW38" s="1873"/>
      <c r="AY38" s="1516"/>
      <c r="AZ38" s="1516"/>
      <c r="BA38" s="1516"/>
      <c r="BB38" s="1516"/>
      <c r="BC38" s="1516"/>
      <c r="BD38" s="1516"/>
      <c r="BE38" s="1660"/>
      <c r="BG38" s="1915"/>
      <c r="BH38" s="1915"/>
      <c r="BI38" s="1915"/>
      <c r="BJ38" s="1915"/>
      <c r="BK38" s="1915"/>
      <c r="BL38" s="1915"/>
      <c r="BM38" s="1923"/>
      <c r="BO38" s="1472"/>
      <c r="BP38" s="1472"/>
      <c r="BQ38" s="1472"/>
      <c r="BR38" s="1472"/>
    </row>
    <row r="39" spans="1:143">
      <c r="A39" t="s">
        <v>917</v>
      </c>
      <c r="C39" s="2083" t="e">
        <f>'Calc Data'!C30</f>
        <v>#REF!</v>
      </c>
      <c r="D39" s="2057"/>
      <c r="E39" s="2083" t="e">
        <f>C39</f>
        <v>#REF!</v>
      </c>
      <c r="F39" s="2057"/>
      <c r="G39" s="2083"/>
      <c r="H39" s="2057"/>
      <c r="I39" s="2388"/>
      <c r="K39" s="1553" t="e">
        <f>'Calc Data'!D30</f>
        <v>#REF!</v>
      </c>
      <c r="L39" s="1554"/>
      <c r="M39" s="1553" t="e">
        <f>K39</f>
        <v>#REF!</v>
      </c>
      <c r="N39" s="1554"/>
      <c r="O39" s="1553"/>
      <c r="P39" s="1554"/>
      <c r="Q39" s="1621"/>
      <c r="S39" s="692">
        <f>'Calc Data'!E30</f>
        <v>0</v>
      </c>
      <c r="T39" s="680"/>
      <c r="U39" s="692">
        <f>S39</f>
        <v>0</v>
      </c>
      <c r="V39" s="680"/>
      <c r="W39" s="692"/>
      <c r="X39" s="680"/>
      <c r="Y39" s="1631"/>
      <c r="AA39" s="1837">
        <f>'Calc Data'!F30</f>
        <v>0</v>
      </c>
      <c r="AB39" s="1838"/>
      <c r="AC39" s="1837">
        <f>AA39</f>
        <v>0</v>
      </c>
      <c r="AD39" s="1838"/>
      <c r="AE39" s="1837"/>
      <c r="AF39" s="1838"/>
      <c r="AG39" s="1839"/>
      <c r="AI39" s="863">
        <f>'Calc Data'!G30</f>
        <v>0</v>
      </c>
      <c r="AJ39" s="864"/>
      <c r="AK39" s="863">
        <f>AI39</f>
        <v>0</v>
      </c>
      <c r="AL39" s="864"/>
      <c r="AM39" s="863"/>
      <c r="AN39" s="864"/>
      <c r="AO39" s="1650"/>
      <c r="AQ39" s="1892">
        <f>'Calc Data'!H30</f>
        <v>0</v>
      </c>
      <c r="AR39" s="1893"/>
      <c r="AS39" s="1892">
        <f>AQ39</f>
        <v>0</v>
      </c>
      <c r="AT39" s="1893"/>
      <c r="AU39" s="1892"/>
      <c r="AV39" s="1893"/>
      <c r="AW39" s="1894"/>
      <c r="AY39" s="1515">
        <f>'Calc Data'!I30</f>
        <v>0</v>
      </c>
      <c r="AZ39" s="1516"/>
      <c r="BA39" s="1515">
        <f>AY39</f>
        <v>0</v>
      </c>
      <c r="BB39" s="1516"/>
      <c r="BC39" s="1515"/>
      <c r="BD39" s="1516"/>
      <c r="BE39" s="1657"/>
      <c r="BG39" s="1914">
        <f>'Calc Data'!J30</f>
        <v>0</v>
      </c>
      <c r="BH39" s="1915"/>
      <c r="BI39" s="1914">
        <f>BG39</f>
        <v>0</v>
      </c>
      <c r="BJ39" s="1915"/>
      <c r="BK39" s="1914"/>
      <c r="BL39" s="1915"/>
      <c r="BM39" s="1916"/>
      <c r="BO39" s="2472">
        <f>'Calc Data'!X32</f>
        <v>0</v>
      </c>
      <c r="BP39" s="2472">
        <f>BO39</f>
        <v>0</v>
      </c>
      <c r="BQ39" s="2472"/>
      <c r="BR39" s="2472"/>
      <c r="CC39" s="354" t="e">
        <f>'Calc Data'!#REF!</f>
        <v>#REF!</v>
      </c>
      <c r="CD39" s="355"/>
      <c r="CE39" s="354" t="e">
        <f>CC39</f>
        <v>#REF!</v>
      </c>
      <c r="CF39" s="355"/>
      <c r="CG39" s="354"/>
      <c r="CH39" s="355"/>
      <c r="CI39" s="354"/>
      <c r="CK39" s="935" t="e">
        <f>'Calc Data'!#REF!</f>
        <v>#REF!</v>
      </c>
      <c r="CL39" s="936"/>
      <c r="CM39" s="935" t="e">
        <f>CK39</f>
        <v>#REF!</v>
      </c>
      <c r="CN39" s="936"/>
      <c r="CO39" s="935"/>
      <c r="CP39" s="936"/>
      <c r="CQ39" s="935"/>
      <c r="CS39" s="911" t="e">
        <f>'Calc Data'!#REF!</f>
        <v>#REF!</v>
      </c>
      <c r="CT39" s="912"/>
      <c r="CU39" s="911" t="e">
        <f>CS39</f>
        <v>#REF!</v>
      </c>
      <c r="CV39" s="912"/>
      <c r="CW39" s="911"/>
      <c r="CX39" s="912"/>
      <c r="CY39" s="911"/>
      <c r="DA39" s="800" t="e">
        <f>'Calc Data'!C30</f>
        <v>#REF!</v>
      </c>
      <c r="DB39" s="889"/>
      <c r="DC39" s="800" t="e">
        <f>DA39</f>
        <v>#REF!</v>
      </c>
      <c r="DD39" s="889"/>
      <c r="DE39" s="800"/>
      <c r="DF39" s="889"/>
      <c r="DG39" s="800"/>
      <c r="DI39" s="911" t="e">
        <f>'Calc Data'!C30</f>
        <v>#REF!</v>
      </c>
      <c r="DJ39" s="912"/>
      <c r="DK39" s="911" t="e">
        <f>DI39</f>
        <v>#REF!</v>
      </c>
      <c r="DL39" s="912"/>
      <c r="DM39" s="911"/>
      <c r="DN39" s="912"/>
      <c r="DO39" s="911"/>
      <c r="DQ39" s="800" t="e">
        <f>'Calc Data'!C30</f>
        <v>#REF!</v>
      </c>
      <c r="DR39" s="889"/>
      <c r="DS39" s="800" t="e">
        <f>DQ39</f>
        <v>#REF!</v>
      </c>
      <c r="DT39" s="889"/>
      <c r="DU39" s="800"/>
      <c r="DV39" s="889"/>
      <c r="DW39" s="800"/>
      <c r="DY39" s="911" t="e">
        <f>'Calc Data'!D30</f>
        <v>#REF!</v>
      </c>
      <c r="DZ39" s="912"/>
      <c r="EA39" s="911" t="e">
        <f>DY39</f>
        <v>#REF!</v>
      </c>
      <c r="EB39" s="912"/>
      <c r="EC39" s="911"/>
      <c r="ED39" s="912"/>
      <c r="EE39" s="911"/>
      <c r="EG39" s="800">
        <f>'Calc Data'!E30</f>
        <v>0</v>
      </c>
      <c r="EH39" s="889"/>
      <c r="EI39" s="800">
        <f>EG39</f>
        <v>0</v>
      </c>
      <c r="EJ39" s="889"/>
      <c r="EK39" s="800"/>
      <c r="EL39" s="889"/>
      <c r="EM39" s="800"/>
    </row>
    <row r="40" spans="1:143">
      <c r="A40" t="s">
        <v>729</v>
      </c>
      <c r="C40" s="2083"/>
      <c r="D40" s="2057"/>
      <c r="E40" s="2083"/>
      <c r="F40" s="2057"/>
      <c r="G40" s="2083" t="e">
        <f>'Calc Data'!C37</f>
        <v>#REF!</v>
      </c>
      <c r="H40" s="2057"/>
      <c r="I40" s="2388" t="e">
        <f>G40</f>
        <v>#REF!</v>
      </c>
      <c r="K40" s="1553"/>
      <c r="L40" s="1554"/>
      <c r="M40" s="1553"/>
      <c r="N40" s="1554"/>
      <c r="O40" s="1553" t="e">
        <f>'Calc Data'!D37</f>
        <v>#REF!</v>
      </c>
      <c r="P40" s="1554"/>
      <c r="Q40" s="1621" t="e">
        <f>O40</f>
        <v>#REF!</v>
      </c>
      <c r="S40" s="692"/>
      <c r="T40" s="680"/>
      <c r="U40" s="692"/>
      <c r="V40" s="680"/>
      <c r="W40" s="692">
        <f>'Calc Data'!E37</f>
        <v>0</v>
      </c>
      <c r="X40" s="680"/>
      <c r="Y40" s="1631">
        <f>W40</f>
        <v>0</v>
      </c>
      <c r="AA40" s="1837"/>
      <c r="AB40" s="1838"/>
      <c r="AC40" s="1837"/>
      <c r="AD40" s="1838"/>
      <c r="AE40" s="1837">
        <f>'Calc Data'!F37</f>
        <v>0</v>
      </c>
      <c r="AF40" s="1838"/>
      <c r="AG40" s="1839">
        <f>AE40</f>
        <v>0</v>
      </c>
      <c r="AI40" s="863"/>
      <c r="AJ40" s="864"/>
      <c r="AK40" s="863"/>
      <c r="AL40" s="864"/>
      <c r="AM40" s="863">
        <f>'Calc Data'!G37</f>
        <v>0</v>
      </c>
      <c r="AN40" s="864"/>
      <c r="AO40" s="1650">
        <f>AM40</f>
        <v>0</v>
      </c>
      <c r="AQ40" s="1892"/>
      <c r="AR40" s="1893"/>
      <c r="AS40" s="1892"/>
      <c r="AT40" s="1893"/>
      <c r="AU40" s="1892">
        <f>'Calc Data'!H37</f>
        <v>0</v>
      </c>
      <c r="AV40" s="1893"/>
      <c r="AW40" s="1894">
        <f>AU40</f>
        <v>0</v>
      </c>
      <c r="AY40" s="1515"/>
      <c r="AZ40" s="1516"/>
      <c r="BA40" s="1515"/>
      <c r="BB40" s="1516"/>
      <c r="BC40" s="1515">
        <f>'Calc Data'!I37</f>
        <v>0</v>
      </c>
      <c r="BD40" s="1516"/>
      <c r="BE40" s="1657">
        <f>BC40</f>
        <v>0</v>
      </c>
      <c r="BG40" s="1914"/>
      <c r="BH40" s="1915"/>
      <c r="BI40" s="1914"/>
      <c r="BJ40" s="1915"/>
      <c r="BK40" s="1914">
        <f>'Calc Data'!J37</f>
        <v>0</v>
      </c>
      <c r="BL40" s="1915"/>
      <c r="BM40" s="1916">
        <f>BK40</f>
        <v>0</v>
      </c>
      <c r="BO40" s="2472"/>
      <c r="BP40" s="2472"/>
      <c r="BQ40" s="2698">
        <f>'Calc Data'!X31</f>
        <v>0</v>
      </c>
      <c r="BR40" s="2472">
        <f>BQ40</f>
        <v>0</v>
      </c>
      <c r="CC40" s="354"/>
      <c r="CD40" s="355"/>
      <c r="CE40" s="354"/>
      <c r="CF40" s="355"/>
      <c r="CG40" s="354" t="e">
        <f>'Calc Data'!#REF!</f>
        <v>#REF!</v>
      </c>
      <c r="CH40" s="355"/>
      <c r="CI40" s="354" t="e">
        <f>CG40</f>
        <v>#REF!</v>
      </c>
      <c r="CK40" s="935"/>
      <c r="CL40" s="936"/>
      <c r="CM40" s="935"/>
      <c r="CN40" s="936"/>
      <c r="CO40" s="935" t="e">
        <f>'Calc Data'!#REF!</f>
        <v>#REF!</v>
      </c>
      <c r="CP40" s="936"/>
      <c r="CQ40" s="935" t="e">
        <f>CO40</f>
        <v>#REF!</v>
      </c>
      <c r="CS40" s="911"/>
      <c r="CT40" s="912"/>
      <c r="CU40" s="911"/>
      <c r="CV40" s="912"/>
      <c r="CW40" s="911" t="e">
        <f>'Calc Data'!#REF!</f>
        <v>#REF!</v>
      </c>
      <c r="CX40" s="912"/>
      <c r="CY40" s="911" t="e">
        <f>CW40</f>
        <v>#REF!</v>
      </c>
      <c r="DA40" s="800"/>
      <c r="DB40" s="889"/>
      <c r="DC40" s="800"/>
      <c r="DD40" s="889"/>
      <c r="DE40" s="800" t="e">
        <f>'Calc Data'!C37</f>
        <v>#REF!</v>
      </c>
      <c r="DF40" s="889"/>
      <c r="DG40" s="800" t="e">
        <f>DE40</f>
        <v>#REF!</v>
      </c>
      <c r="DI40" s="911"/>
      <c r="DJ40" s="912"/>
      <c r="DK40" s="911"/>
      <c r="DL40" s="912"/>
      <c r="DM40" s="911" t="e">
        <f>'Calc Data'!C37</f>
        <v>#REF!</v>
      </c>
      <c r="DN40" s="912"/>
      <c r="DO40" s="911" t="e">
        <f>DM40</f>
        <v>#REF!</v>
      </c>
      <c r="DQ40" s="800"/>
      <c r="DR40" s="889"/>
      <c r="DS40" s="800"/>
      <c r="DT40" s="889"/>
      <c r="DU40" s="800" t="e">
        <f>'Calc Data'!D37</f>
        <v>#REF!</v>
      </c>
      <c r="DV40" s="889"/>
      <c r="DW40" s="800" t="e">
        <f>DU40</f>
        <v>#REF!</v>
      </c>
      <c r="DY40" s="911"/>
      <c r="DZ40" s="912"/>
      <c r="EA40" s="911"/>
      <c r="EB40" s="912"/>
      <c r="EC40" s="911" t="e">
        <f>'Calc Data'!D37</f>
        <v>#REF!</v>
      </c>
      <c r="ED40" s="912"/>
      <c r="EE40" s="911" t="e">
        <f>EC40</f>
        <v>#REF!</v>
      </c>
      <c r="EG40" s="800"/>
      <c r="EH40" s="889"/>
      <c r="EI40" s="800"/>
      <c r="EJ40" s="889"/>
      <c r="EK40" s="800">
        <f>'Calc Data'!E37</f>
        <v>0</v>
      </c>
      <c r="EL40" s="889"/>
      <c r="EM40" s="800">
        <f>EK40</f>
        <v>0</v>
      </c>
    </row>
    <row r="41" spans="1:143">
      <c r="A41" t="s">
        <v>1178</v>
      </c>
      <c r="C41" s="2083" t="e">
        <f>C39</f>
        <v>#REF!</v>
      </c>
      <c r="D41" s="2057"/>
      <c r="E41" s="2083" t="e">
        <f>E39</f>
        <v>#REF!</v>
      </c>
      <c r="F41" s="2057"/>
      <c r="G41" s="2083" t="e">
        <f>G40</f>
        <v>#REF!</v>
      </c>
      <c r="H41" s="2057"/>
      <c r="I41" s="2388" t="e">
        <f>I40</f>
        <v>#REF!</v>
      </c>
      <c r="K41" s="1553" t="e">
        <f>K39</f>
        <v>#REF!</v>
      </c>
      <c r="L41" s="1554"/>
      <c r="M41" s="1553" t="e">
        <f>M39</f>
        <v>#REF!</v>
      </c>
      <c r="N41" s="1554"/>
      <c r="O41" s="1553" t="e">
        <f>O40</f>
        <v>#REF!</v>
      </c>
      <c r="P41" s="1554"/>
      <c r="Q41" s="1621" t="e">
        <f>Q40</f>
        <v>#REF!</v>
      </c>
      <c r="S41" s="692">
        <f>S39</f>
        <v>0</v>
      </c>
      <c r="T41" s="680"/>
      <c r="U41" s="692">
        <f>U39</f>
        <v>0</v>
      </c>
      <c r="V41" s="680"/>
      <c r="W41" s="692">
        <f>W40</f>
        <v>0</v>
      </c>
      <c r="X41" s="680"/>
      <c r="Y41" s="1631">
        <f>Y40</f>
        <v>0</v>
      </c>
      <c r="AA41" s="1837">
        <f>AA39</f>
        <v>0</v>
      </c>
      <c r="AB41" s="1838"/>
      <c r="AC41" s="1837">
        <f>AC39</f>
        <v>0</v>
      </c>
      <c r="AD41" s="1838"/>
      <c r="AE41" s="1837">
        <f>AE40</f>
        <v>0</v>
      </c>
      <c r="AF41" s="1838"/>
      <c r="AG41" s="1839">
        <f>AG40</f>
        <v>0</v>
      </c>
      <c r="AI41" s="863">
        <f>AI39</f>
        <v>0</v>
      </c>
      <c r="AJ41" s="864"/>
      <c r="AK41" s="863">
        <f>AK39</f>
        <v>0</v>
      </c>
      <c r="AL41" s="864"/>
      <c r="AM41" s="863">
        <f>AM40</f>
        <v>0</v>
      </c>
      <c r="AN41" s="864"/>
      <c r="AO41" s="1650">
        <f>AO40</f>
        <v>0</v>
      </c>
      <c r="AQ41" s="1892">
        <f>AQ39</f>
        <v>0</v>
      </c>
      <c r="AR41" s="1893"/>
      <c r="AS41" s="1892">
        <f>AS39</f>
        <v>0</v>
      </c>
      <c r="AT41" s="1893"/>
      <c r="AU41" s="1892">
        <f>AU40</f>
        <v>0</v>
      </c>
      <c r="AV41" s="1893"/>
      <c r="AW41" s="1894">
        <f>AW40</f>
        <v>0</v>
      </c>
      <c r="AY41" s="1515">
        <f>AY39</f>
        <v>0</v>
      </c>
      <c r="AZ41" s="1516"/>
      <c r="BA41" s="1515">
        <f>BA39</f>
        <v>0</v>
      </c>
      <c r="BB41" s="1516"/>
      <c r="BC41" s="1515">
        <f>BC40</f>
        <v>0</v>
      </c>
      <c r="BD41" s="1516"/>
      <c r="BE41" s="1657">
        <f>BE40</f>
        <v>0</v>
      </c>
      <c r="BG41" s="1914">
        <f>BG39</f>
        <v>0</v>
      </c>
      <c r="BH41" s="1915"/>
      <c r="BI41" s="1914">
        <f>BI39</f>
        <v>0</v>
      </c>
      <c r="BJ41" s="1915"/>
      <c r="BK41" s="1914">
        <f>BK40</f>
        <v>0</v>
      </c>
      <c r="BL41" s="1915"/>
      <c r="BM41" s="1916">
        <f>BM40</f>
        <v>0</v>
      </c>
      <c r="BO41" s="2472">
        <f>BO39</f>
        <v>0</v>
      </c>
      <c r="BP41" s="2472">
        <f>BP39</f>
        <v>0</v>
      </c>
      <c r="BQ41" s="2472">
        <f>BQ40</f>
        <v>0</v>
      </c>
      <c r="BR41" s="2472">
        <f>BR40</f>
        <v>0</v>
      </c>
      <c r="CC41" s="354" t="e">
        <f>CC39</f>
        <v>#REF!</v>
      </c>
      <c r="CD41" s="355"/>
      <c r="CE41" s="354" t="e">
        <f>CE39</f>
        <v>#REF!</v>
      </c>
      <c r="CF41" s="355"/>
      <c r="CG41" s="354" t="e">
        <f>CG40</f>
        <v>#REF!</v>
      </c>
      <c r="CH41" s="355"/>
      <c r="CI41" s="354" t="e">
        <f>CI40</f>
        <v>#REF!</v>
      </c>
      <c r="CK41" s="935" t="e">
        <f>CK39</f>
        <v>#REF!</v>
      </c>
      <c r="CL41" s="936"/>
      <c r="CM41" s="935" t="e">
        <f>CM39</f>
        <v>#REF!</v>
      </c>
      <c r="CN41" s="936"/>
      <c r="CO41" s="935" t="e">
        <f>CO40</f>
        <v>#REF!</v>
      </c>
      <c r="CP41" s="936"/>
      <c r="CQ41" s="935" t="e">
        <f>CQ40</f>
        <v>#REF!</v>
      </c>
      <c r="CS41" s="911" t="e">
        <f>CS39</f>
        <v>#REF!</v>
      </c>
      <c r="CT41" s="912"/>
      <c r="CU41" s="911" t="e">
        <f>CU39</f>
        <v>#REF!</v>
      </c>
      <c r="CV41" s="912"/>
      <c r="CW41" s="911" t="e">
        <f>CW40</f>
        <v>#REF!</v>
      </c>
      <c r="CX41" s="912"/>
      <c r="CY41" s="911" t="e">
        <f>CY40</f>
        <v>#REF!</v>
      </c>
      <c r="DA41" s="800" t="e">
        <f>DA39</f>
        <v>#REF!</v>
      </c>
      <c r="DB41" s="889"/>
      <c r="DC41" s="800" t="e">
        <f>DC39</f>
        <v>#REF!</v>
      </c>
      <c r="DD41" s="889"/>
      <c r="DE41" s="800" t="e">
        <f>DE40</f>
        <v>#REF!</v>
      </c>
      <c r="DF41" s="889"/>
      <c r="DG41" s="800" t="e">
        <f>DG40</f>
        <v>#REF!</v>
      </c>
      <c r="DI41" s="911" t="e">
        <f>DI39</f>
        <v>#REF!</v>
      </c>
      <c r="DJ41" s="912"/>
      <c r="DK41" s="911" t="e">
        <f>DK39</f>
        <v>#REF!</v>
      </c>
      <c r="DL41" s="912"/>
      <c r="DM41" s="911" t="e">
        <f>DM40</f>
        <v>#REF!</v>
      </c>
      <c r="DN41" s="912"/>
      <c r="DO41" s="911" t="e">
        <f>DO40</f>
        <v>#REF!</v>
      </c>
      <c r="DQ41" s="800" t="e">
        <f>DQ39</f>
        <v>#REF!</v>
      </c>
      <c r="DR41" s="889"/>
      <c r="DS41" s="800" t="e">
        <f>DS39</f>
        <v>#REF!</v>
      </c>
      <c r="DT41" s="889"/>
      <c r="DU41" s="800" t="e">
        <f>DU40</f>
        <v>#REF!</v>
      </c>
      <c r="DV41" s="889"/>
      <c r="DW41" s="800" t="e">
        <f>DW40</f>
        <v>#REF!</v>
      </c>
      <c r="DY41" s="911" t="e">
        <f>DY39</f>
        <v>#REF!</v>
      </c>
      <c r="DZ41" s="912"/>
      <c r="EA41" s="911" t="e">
        <f>EA39</f>
        <v>#REF!</v>
      </c>
      <c r="EB41" s="912"/>
      <c r="EC41" s="911" t="e">
        <f>EC40</f>
        <v>#REF!</v>
      </c>
      <c r="ED41" s="912"/>
      <c r="EE41" s="911" t="e">
        <f>EE40</f>
        <v>#REF!</v>
      </c>
      <c r="EG41" s="800">
        <f>EG39</f>
        <v>0</v>
      </c>
      <c r="EH41" s="889"/>
      <c r="EI41" s="800">
        <f>EI39</f>
        <v>0</v>
      </c>
      <c r="EJ41" s="889"/>
      <c r="EK41" s="800">
        <f>EK40</f>
        <v>0</v>
      </c>
      <c r="EL41" s="889"/>
      <c r="EM41" s="800">
        <f>EM40</f>
        <v>0</v>
      </c>
    </row>
    <row r="42" spans="1:143">
      <c r="A42" t="s">
        <v>2095</v>
      </c>
      <c r="C42" s="2081" t="e">
        <f>C35*C41</f>
        <v>#REF!</v>
      </c>
      <c r="D42" s="2085"/>
      <c r="E42" s="2081" t="e">
        <f>E35*E41</f>
        <v>#REF!</v>
      </c>
      <c r="F42" s="2085"/>
      <c r="G42" s="2081" t="e">
        <f>IF(G40&lt;1,0,G35*G41)</f>
        <v>#REF!</v>
      </c>
      <c r="H42" s="2085"/>
      <c r="I42" s="2384" t="e">
        <f>IF(I40&lt;1,0,I35*I41)</f>
        <v>#REF!</v>
      </c>
      <c r="K42" s="1553" t="e">
        <f>K35*K41</f>
        <v>#REF!</v>
      </c>
      <c r="L42" s="1554"/>
      <c r="M42" s="1553" t="e">
        <f>M35*M41</f>
        <v>#REF!</v>
      </c>
      <c r="N42" s="1554"/>
      <c r="O42" s="1553" t="e">
        <f>IF(O40&lt;1,0,O35*O41)</f>
        <v>#REF!</v>
      </c>
      <c r="P42" s="1554"/>
      <c r="Q42" s="1621" t="e">
        <f>IF(Q40&lt;1,0,Q35*Q41)</f>
        <v>#REF!</v>
      </c>
      <c r="S42" s="684" t="e">
        <f>S35*S41</f>
        <v>#DIV/0!</v>
      </c>
      <c r="T42" s="685"/>
      <c r="U42" s="684" t="e">
        <f>U35*U41</f>
        <v>#DIV/0!</v>
      </c>
      <c r="V42" s="685"/>
      <c r="W42" s="684">
        <f>IF(W40&lt;1,0,W35*W41)</f>
        <v>0</v>
      </c>
      <c r="X42" s="685"/>
      <c r="Y42" s="1627">
        <f>IF(Y40&lt;1,0,Y35*Y41)</f>
        <v>0</v>
      </c>
      <c r="AA42" s="1825" t="e">
        <f>AA35*AA41</f>
        <v>#DIV/0!</v>
      </c>
      <c r="AB42" s="1826"/>
      <c r="AC42" s="1825" t="e">
        <f>AC35*AC41</f>
        <v>#DIV/0!</v>
      </c>
      <c r="AD42" s="1826"/>
      <c r="AE42" s="1825">
        <f>IF(AE40&lt;1,0,AE35*AE41)</f>
        <v>0</v>
      </c>
      <c r="AF42" s="1826"/>
      <c r="AG42" s="1827">
        <f>IF(AG40&lt;1,0,AG35*AG41)</f>
        <v>0</v>
      </c>
      <c r="AI42" s="855" t="e">
        <f>AI35*AI41</f>
        <v>#DIV/0!</v>
      </c>
      <c r="AJ42" s="856"/>
      <c r="AK42" s="855" t="e">
        <f>AK35*AK41</f>
        <v>#DIV/0!</v>
      </c>
      <c r="AL42" s="856"/>
      <c r="AM42" s="855">
        <f>IF(AM40&lt;1,0,AM35*AM41)</f>
        <v>0</v>
      </c>
      <c r="AN42" s="856"/>
      <c r="AO42" s="1646">
        <f>IF(AO40&lt;1,0,AO35*AO41)</f>
        <v>0</v>
      </c>
      <c r="AQ42" s="1880" t="e">
        <f>AQ35*AQ41</f>
        <v>#DIV/0!</v>
      </c>
      <c r="AR42" s="1881"/>
      <c r="AS42" s="1880" t="e">
        <f>AS35*AS41</f>
        <v>#DIV/0!</v>
      </c>
      <c r="AT42" s="1881"/>
      <c r="AU42" s="1880">
        <f>IF(AU40&lt;1,0,AU35*AU41)</f>
        <v>0</v>
      </c>
      <c r="AV42" s="1881"/>
      <c r="AW42" s="1882">
        <f>IF(AW40&lt;1,0,AW35*AW41)</f>
        <v>0</v>
      </c>
      <c r="AY42" s="1515" t="e">
        <f>AY35*AY41</f>
        <v>#DIV/0!</v>
      </c>
      <c r="AZ42" s="1516"/>
      <c r="BA42" s="1515" t="e">
        <f>BA35*BA41</f>
        <v>#DIV/0!</v>
      </c>
      <c r="BB42" s="1516"/>
      <c r="BC42" s="1515">
        <f>IF(BC40&lt;1,0,BC35*BC41)</f>
        <v>0</v>
      </c>
      <c r="BD42" s="1516"/>
      <c r="BE42" s="1657">
        <f>IF(BE40&lt;1,0,BE35*BE41)</f>
        <v>0</v>
      </c>
      <c r="BG42" s="1914" t="e">
        <f>BG35*BG41</f>
        <v>#DIV/0!</v>
      </c>
      <c r="BH42" s="1915"/>
      <c r="BI42" s="1914" t="e">
        <f>BI35*BI41</f>
        <v>#DIV/0!</v>
      </c>
      <c r="BJ42" s="1915"/>
      <c r="BK42" s="1914">
        <f>IF(BK40&lt;1,0,BK35*BK41)</f>
        <v>0</v>
      </c>
      <c r="BL42" s="1915"/>
      <c r="BM42" s="1916">
        <f>IF(BM40&lt;1,0,BM35*BM41)</f>
        <v>0</v>
      </c>
      <c r="BO42" s="2676" t="e">
        <f>BO35*BO41</f>
        <v>#REF!</v>
      </c>
      <c r="BP42" s="2676" t="e">
        <f>BP35*BP41</f>
        <v>#REF!</v>
      </c>
      <c r="BQ42" s="2676">
        <f>IF(BQ40&lt;1,0,BQ35*BQ41)</f>
        <v>0</v>
      </c>
      <c r="BR42" s="2676">
        <f>IF(BR40&lt;1,0,BR35*BR41)</f>
        <v>0</v>
      </c>
      <c r="CC42" s="346" t="e">
        <f>CC35*CC41</f>
        <v>#REF!</v>
      </c>
      <c r="CD42" s="347"/>
      <c r="CE42" s="346" t="e">
        <f>CE35*CE41</f>
        <v>#REF!</v>
      </c>
      <c r="CF42" s="347"/>
      <c r="CG42" s="346" t="e">
        <f>IF(CG40&lt;1,0,CG35*CG41)</f>
        <v>#REF!</v>
      </c>
      <c r="CH42" s="347"/>
      <c r="CI42" s="346" t="e">
        <f>IF(CI40&lt;1,0,CI35*CI41)</f>
        <v>#REF!</v>
      </c>
      <c r="CK42" s="926" t="e">
        <f>CK35*CK41</f>
        <v>#REF!</v>
      </c>
      <c r="CL42" s="927"/>
      <c r="CM42" s="926" t="e">
        <f>CM35*CM41</f>
        <v>#REF!</v>
      </c>
      <c r="CN42" s="927"/>
      <c r="CO42" s="926" t="e">
        <f>IF(CO40&lt;1,0,CO35*CO41)</f>
        <v>#REF!</v>
      </c>
      <c r="CP42" s="927"/>
      <c r="CQ42" s="926" t="e">
        <f>IF(CQ40&lt;1,0,CQ35*CQ41)</f>
        <v>#REF!</v>
      </c>
      <c r="CS42" s="902" t="e">
        <f>CS35*CS41</f>
        <v>#REF!</v>
      </c>
      <c r="CT42" s="903"/>
      <c r="CU42" s="902" t="e">
        <f>CU35*CU41</f>
        <v>#REF!</v>
      </c>
      <c r="CV42" s="903"/>
      <c r="CW42" s="902" t="e">
        <f>IF(CW40&lt;1,0,CW35*CW41)</f>
        <v>#REF!</v>
      </c>
      <c r="CX42" s="903"/>
      <c r="CY42" s="902" t="e">
        <f>IF(CY40&lt;1,0,CY35*CY41)</f>
        <v>#REF!</v>
      </c>
      <c r="DA42" s="799" t="e">
        <f>DA35*DA41</f>
        <v>#REF!</v>
      </c>
      <c r="DB42" s="881"/>
      <c r="DC42" s="799" t="e">
        <f>DC35*DC41</f>
        <v>#REF!</v>
      </c>
      <c r="DD42" s="881"/>
      <c r="DE42" s="799" t="e">
        <f>IF(DE40&lt;1,0,DE35*DE41)</f>
        <v>#REF!</v>
      </c>
      <c r="DF42" s="881"/>
      <c r="DG42" s="799" t="e">
        <f>IF(DG40&lt;1,0,DG35*DG41)</f>
        <v>#REF!</v>
      </c>
      <c r="DI42" s="902" t="e">
        <f>DI35*DI41</f>
        <v>#REF!</v>
      </c>
      <c r="DJ42" s="903"/>
      <c r="DK42" s="902" t="e">
        <f>DK35*DK41</f>
        <v>#REF!</v>
      </c>
      <c r="DL42" s="903"/>
      <c r="DM42" s="902" t="e">
        <f>IF(DM40&lt;1,0,DM35*DM41)</f>
        <v>#REF!</v>
      </c>
      <c r="DN42" s="903"/>
      <c r="DO42" s="902" t="e">
        <f>IF(DO40&lt;1,0,DO35*DO41)</f>
        <v>#REF!</v>
      </c>
      <c r="DQ42" s="799" t="e">
        <f>DQ35*DQ41</f>
        <v>#REF!</v>
      </c>
      <c r="DR42" s="881"/>
      <c r="DS42" s="799" t="e">
        <f>DS35*DS41</f>
        <v>#REF!</v>
      </c>
      <c r="DT42" s="881"/>
      <c r="DU42" s="799" t="e">
        <f>IF(DU40&lt;1,0,DU35*DU41)</f>
        <v>#REF!</v>
      </c>
      <c r="DV42" s="881"/>
      <c r="DW42" s="799" t="e">
        <f>IF(DW40&lt;1,0,DW35*DW41)</f>
        <v>#REF!</v>
      </c>
      <c r="DY42" s="902" t="e">
        <f>DY35*DY41</f>
        <v>#REF!</v>
      </c>
      <c r="DZ42" s="903"/>
      <c r="EA42" s="902" t="e">
        <f>EA35*EA41</f>
        <v>#REF!</v>
      </c>
      <c r="EB42" s="903"/>
      <c r="EC42" s="902" t="e">
        <f>IF(EC40&lt;1,0,EC35*EC41)</f>
        <v>#REF!</v>
      </c>
      <c r="ED42" s="903"/>
      <c r="EE42" s="902" t="e">
        <f>IF(EE40&lt;1,0,EE35*EE41)</f>
        <v>#REF!</v>
      </c>
      <c r="EG42" s="799" t="e">
        <f>EG35*EG41</f>
        <v>#REF!</v>
      </c>
      <c r="EH42" s="881"/>
      <c r="EI42" s="799" t="e">
        <f>EI35*EI41</f>
        <v>#REF!</v>
      </c>
      <c r="EJ42" s="881"/>
      <c r="EK42" s="799">
        <f>IF(EK40&lt;1,0,EK35*EK41)</f>
        <v>0</v>
      </c>
      <c r="EL42" s="881"/>
      <c r="EM42" s="799">
        <f>IF(EM40&lt;1,0,EM35*EM41)</f>
        <v>0</v>
      </c>
    </row>
    <row r="43" spans="1:143">
      <c r="A43" s="71" t="s">
        <v>1011</v>
      </c>
      <c r="C43" s="2359" t="e">
        <f>C34/IF(C36&lt;Assumptions!G92,Assumptions!G92,C36)</f>
        <v>#REF!</v>
      </c>
      <c r="D43" s="2060"/>
      <c r="E43" s="2359" t="e">
        <f>E34/E36</f>
        <v>#REF!</v>
      </c>
      <c r="F43" s="2060"/>
      <c r="G43" s="2359" t="e">
        <f>IF(G42=0,0,G34/G36)</f>
        <v>#REF!</v>
      </c>
      <c r="H43" s="2060"/>
      <c r="I43" s="2385" t="e">
        <f>IF(I42=0,0,I34/I36)</f>
        <v>#REF!</v>
      </c>
      <c r="K43" s="1552" t="e">
        <f>K34/IF(K36&lt;Assumptions!G103,Assumptions!G103,K36)</f>
        <v>#REF!</v>
      </c>
      <c r="L43" s="305"/>
      <c r="M43" s="1552" t="e">
        <f>M34/M36</f>
        <v>#REF!</v>
      </c>
      <c r="N43" s="305"/>
      <c r="O43" s="1552" t="e">
        <f>IF(O42=0,0,O34/O36)</f>
        <v>#REF!</v>
      </c>
      <c r="P43" s="305"/>
      <c r="Q43" s="1620" t="e">
        <f>IF(Q42=0,0,Q34/Q36)</f>
        <v>#REF!</v>
      </c>
      <c r="S43" s="686" t="e">
        <f>S34/IF(S36&lt;Assumptions!G112,Assumptions!G112,S36)</f>
        <v>#DIV/0!</v>
      </c>
      <c r="T43" s="687"/>
      <c r="U43" s="686" t="e">
        <f>U34/U36</f>
        <v>#DIV/0!</v>
      </c>
      <c r="V43" s="687"/>
      <c r="W43" s="686">
        <f>IF(W42=0,0,W34/W36)</f>
        <v>0</v>
      </c>
      <c r="X43" s="687"/>
      <c r="Y43" s="1628">
        <f>IF(Y42=0,0,Y34/Y36)</f>
        <v>0</v>
      </c>
      <c r="AA43" s="1828" t="e">
        <f>AA34/IF(AA36&lt;Assumptions!G121,Assumptions!G121,AA36)</f>
        <v>#DIV/0!</v>
      </c>
      <c r="AB43" s="1829"/>
      <c r="AC43" s="1828" t="e">
        <f>AC34/AC36</f>
        <v>#DIV/0!</v>
      </c>
      <c r="AD43" s="1829"/>
      <c r="AE43" s="1828">
        <f>IF(AE42=0,0,AE34/AE36)</f>
        <v>0</v>
      </c>
      <c r="AF43" s="1829"/>
      <c r="AG43" s="1830">
        <f>IF(AG42=0,0,AG34/AG36)</f>
        <v>0</v>
      </c>
      <c r="AI43" s="857" t="e">
        <f>AI34/IF(AI36&lt;Assumptions!G130,Assumptions!G130,AI36)</f>
        <v>#DIV/0!</v>
      </c>
      <c r="AJ43" s="858"/>
      <c r="AK43" s="857" t="e">
        <f>AK34/AK36</f>
        <v>#DIV/0!</v>
      </c>
      <c r="AL43" s="858"/>
      <c r="AM43" s="857">
        <f>IF(AM42=0,0,AM34/AM36)</f>
        <v>0</v>
      </c>
      <c r="AN43" s="858"/>
      <c r="AO43" s="1647">
        <f>IF(AO42=0,0,AO34/AO36)</f>
        <v>0</v>
      </c>
      <c r="AQ43" s="1883" t="e">
        <f>AQ34/IF(AQ36&lt;Assumptions!G139,Assumptions!G139,AQ36)</f>
        <v>#DIV/0!</v>
      </c>
      <c r="AR43" s="1884"/>
      <c r="AS43" s="1883" t="e">
        <f>AS34/AS36</f>
        <v>#DIV/0!</v>
      </c>
      <c r="AT43" s="1884"/>
      <c r="AU43" s="1883">
        <f>IF(AU42=0,0,AU34/AU36)</f>
        <v>0</v>
      </c>
      <c r="AV43" s="1884"/>
      <c r="AW43" s="1885">
        <f>IF(AW42=0,0,AW34/AW36)</f>
        <v>0</v>
      </c>
      <c r="AY43" s="1515" t="e">
        <f>AY34/IF(AY36&lt;Assumptions!G148,Assumptions!G148,AY36)</f>
        <v>#DIV/0!</v>
      </c>
      <c r="AZ43" s="1516"/>
      <c r="BA43" s="1515" t="e">
        <f>BA34/BA36</f>
        <v>#DIV/0!</v>
      </c>
      <c r="BB43" s="1516"/>
      <c r="BC43" s="1515">
        <f>IF(BC42=0,0,BC34/BC36)</f>
        <v>0</v>
      </c>
      <c r="BD43" s="1516"/>
      <c r="BE43" s="1657">
        <f>IF(BE42=0,0,BE34/BE36)</f>
        <v>0</v>
      </c>
      <c r="BG43" s="1914" t="e">
        <f>BG34/IF(BG36&lt;Assumptions!G157,Assumptions!G157,BG36)</f>
        <v>#DIV/0!</v>
      </c>
      <c r="BH43" s="1915"/>
      <c r="BI43" s="1914" t="e">
        <f>BI34/BI36</f>
        <v>#DIV/0!</v>
      </c>
      <c r="BJ43" s="1915"/>
      <c r="BK43" s="1914">
        <f>IF(BK42=0,0,BK34/BK36)</f>
        <v>0</v>
      </c>
      <c r="BL43" s="1915"/>
      <c r="BM43" s="1916">
        <f>IF(BM42=0,0,BM34/BM36)</f>
        <v>0</v>
      </c>
      <c r="BO43" s="2468" t="e">
        <f>BO34/IF(BO36&lt;Assumptions!G121,Assumptions!G121,BO36)</f>
        <v>#REF!</v>
      </c>
      <c r="BP43" s="2468" t="e">
        <f>BP34/BP36</f>
        <v>#REF!</v>
      </c>
      <c r="BQ43" s="2468">
        <f>IF(BQ42=0,0,BQ34/BQ36)</f>
        <v>0</v>
      </c>
      <c r="BR43" s="2468">
        <f>IF(BR42=0,0,BR34/BR36)</f>
        <v>0</v>
      </c>
      <c r="CC43" s="348" t="e">
        <f>CC34/IF(CC36&lt;Assumptions!G30,Assumptions!G30,CC36)</f>
        <v>#REF!</v>
      </c>
      <c r="CD43" s="349"/>
      <c r="CE43" s="348" t="e">
        <f>CE34/CE36</f>
        <v>#REF!</v>
      </c>
      <c r="CF43" s="349"/>
      <c r="CG43" s="348" t="e">
        <f>IF(CG42=0,0,CG34/CG36)</f>
        <v>#REF!</v>
      </c>
      <c r="CH43" s="349"/>
      <c r="CI43" s="348" t="e">
        <f>IF(CI42=0,0,CI34/CI36)</f>
        <v>#REF!</v>
      </c>
      <c r="CK43" s="928" t="e">
        <f>CK34/IF(CK36&lt;Assumptions!G40,Assumptions!G40,CK36)</f>
        <v>#REF!</v>
      </c>
      <c r="CL43" s="929"/>
      <c r="CM43" s="928" t="e">
        <f>CM34/CM36</f>
        <v>#REF!</v>
      </c>
      <c r="CN43" s="929"/>
      <c r="CO43" s="928" t="e">
        <f>IF(CO42=0,0,CO34/CO36)</f>
        <v>#REF!</v>
      </c>
      <c r="CP43" s="929"/>
      <c r="CQ43" s="928" t="e">
        <f>IF(CQ42=0,0,CQ34/CQ36)</f>
        <v>#REF!</v>
      </c>
      <c r="CS43" s="904" t="e">
        <f>CS34/IF(CS36&lt;Assumptions!G30,Assumptions!G30,CS36)</f>
        <v>#REF!</v>
      </c>
      <c r="CT43" s="905"/>
      <c r="CU43" s="904" t="e">
        <f>CU34/CU36</f>
        <v>#REF!</v>
      </c>
      <c r="CV43" s="905"/>
      <c r="CW43" s="904" t="e">
        <f>IF(CW42=0,0,CW34/CW36)</f>
        <v>#REF!</v>
      </c>
      <c r="CX43" s="905"/>
      <c r="CY43" s="904" t="e">
        <f>IF(CY42=0,0,CY34/CY36)</f>
        <v>#REF!</v>
      </c>
      <c r="DA43" s="882" t="e">
        <f>DA34/IF(DA36&lt;Assumptions!G30,Assumptions!G30,DA36)</f>
        <v>#REF!</v>
      </c>
      <c r="DB43" s="883"/>
      <c r="DC43" s="882" t="e">
        <f>DC34/DC36</f>
        <v>#REF!</v>
      </c>
      <c r="DD43" s="883"/>
      <c r="DE43" s="882" t="e">
        <f>IF(DE42=0,0,DE34/DE36)</f>
        <v>#REF!</v>
      </c>
      <c r="DF43" s="883"/>
      <c r="DG43" s="882" t="e">
        <f>IF(DG42=0,0,DG34/DG36)</f>
        <v>#REF!</v>
      </c>
      <c r="DI43" s="904" t="e">
        <f>DI34/IF(DI36&lt;Assumptions!G30,Assumptions!G30,DI36)</f>
        <v>#REF!</v>
      </c>
      <c r="DJ43" s="905"/>
      <c r="DK43" s="904" t="e">
        <f>DK34/DK36</f>
        <v>#REF!</v>
      </c>
      <c r="DL43" s="905"/>
      <c r="DM43" s="904" t="e">
        <f>IF(DM42=0,0,DM34/DM36)</f>
        <v>#REF!</v>
      </c>
      <c r="DN43" s="905"/>
      <c r="DO43" s="904" t="e">
        <f>IF(DO42=0,0,DO34/DO36)</f>
        <v>#REF!</v>
      </c>
      <c r="DQ43" s="882" t="e">
        <f>DQ34/IF(DQ36&lt;Assumptions!G30,Assumptions!G30,DQ36)</f>
        <v>#REF!</v>
      </c>
      <c r="DR43" s="883"/>
      <c r="DS43" s="882" t="e">
        <f>DS34/DS36</f>
        <v>#REF!</v>
      </c>
      <c r="DT43" s="883"/>
      <c r="DU43" s="882" t="e">
        <f>IF(DU42=0,0,DU34/DU36)</f>
        <v>#REF!</v>
      </c>
      <c r="DV43" s="883"/>
      <c r="DW43" s="882" t="e">
        <f>IF(DW42=0,0,DW34/DW36)</f>
        <v>#REF!</v>
      </c>
      <c r="DY43" s="904" t="e">
        <f>DY34/IF(DY36&lt;Assumptions!G30,Assumptions!G30,DY36)</f>
        <v>#REF!</v>
      </c>
      <c r="DZ43" s="905"/>
      <c r="EA43" s="904" t="e">
        <f>EA34/EA36</f>
        <v>#REF!</v>
      </c>
      <c r="EB43" s="905"/>
      <c r="EC43" s="904" t="e">
        <f>IF(EC42=0,0,EC34/EC36)</f>
        <v>#REF!</v>
      </c>
      <c r="ED43" s="905"/>
      <c r="EE43" s="904" t="e">
        <f>IF(EE42=0,0,EE34/EE36)</f>
        <v>#REF!</v>
      </c>
      <c r="EG43" s="882" t="e">
        <f>EG34/IF(EG36&lt;Assumptions!G30,Assumptions!G30,EG36)</f>
        <v>#REF!</v>
      </c>
      <c r="EH43" s="883"/>
      <c r="EI43" s="882" t="e">
        <f>EI34/EI36</f>
        <v>#REF!</v>
      </c>
      <c r="EJ43" s="883"/>
      <c r="EK43" s="882">
        <f>IF(EK42=0,0,EK34/EK36)</f>
        <v>0</v>
      </c>
      <c r="EL43" s="883"/>
      <c r="EM43" s="882">
        <f>IF(EM42=0,0,EM34/EM36)</f>
        <v>0</v>
      </c>
    </row>
    <row r="44" spans="1:143">
      <c r="A44" s="67" t="s">
        <v>1555</v>
      </c>
      <c r="C44" s="2365" t="e">
        <f>IF(C43=0,0,IF(C42/C43&lt;3147,3147,C42/C43))</f>
        <v>#REF!</v>
      </c>
      <c r="D44" s="2366"/>
      <c r="E44" s="2365" t="e">
        <f>IF(E43=0,0,IF(E42/E43&lt;3147,3147,E42/E43))</f>
        <v>#REF!</v>
      </c>
      <c r="F44" s="2366"/>
      <c r="G44" s="2365" t="e">
        <f>IF(G43=0,0,IF(G42/G43&lt;71.62,71.62,G42/G43))</f>
        <v>#REF!</v>
      </c>
      <c r="H44" s="2366"/>
      <c r="I44" s="2389" t="e">
        <f>IF(I43=0,0,IF(I42/I43&lt;71.62,71.62,I42/I43))</f>
        <v>#REF!</v>
      </c>
      <c r="K44" s="1552" t="e">
        <f>IF(K43=0,0,IF(K42/K43&lt;3392,3392,K42/K43))</f>
        <v>#REF!</v>
      </c>
      <c r="L44" s="305"/>
      <c r="M44" s="1552" t="e">
        <f>IF(M43=0,0,IF(M42/M43&lt;3392,3392,M42/M43))</f>
        <v>#REF!</v>
      </c>
      <c r="N44" s="305"/>
      <c r="O44" s="1552" t="e">
        <f>IF(O43=0,0,IF(O42/O43&lt;84.777,84.777,O42/O43))</f>
        <v>#REF!</v>
      </c>
      <c r="P44" s="305"/>
      <c r="Q44" s="1620" t="e">
        <f>IF(Q43=0,0,IF(Q42/Q43&lt;84.777,84.777,Q42/Q43))</f>
        <v>#REF!</v>
      </c>
      <c r="S44" s="693" t="e">
        <f>IF(S43=0,0,IF(S42/S43&lt;3618,3618,S42/S43))</f>
        <v>#DIV/0!</v>
      </c>
      <c r="T44" s="694"/>
      <c r="U44" s="693" t="e">
        <f>IF(U43=0,0,IF(U42/U43&lt;3618,3618,U42/U43))</f>
        <v>#DIV/0!</v>
      </c>
      <c r="V44" s="694"/>
      <c r="W44" s="693">
        <f>IF(W43=0,0,IF(W42/W43&lt;84.777,84.777,W42/W43))</f>
        <v>0</v>
      </c>
      <c r="X44" s="694"/>
      <c r="Y44" s="1632">
        <f>IF(Y43=0,0,IF(Y42/Y43&lt;84.777,84.777,Y42/Y43))</f>
        <v>0</v>
      </c>
      <c r="AA44" s="1840" t="e">
        <f>IF(AA43=0,0,IF(AA42/AA43&lt;3618,3618,AA42/AA43))</f>
        <v>#DIV/0!</v>
      </c>
      <c r="AB44" s="1841"/>
      <c r="AC44" s="1840" t="e">
        <f>IF(AC43=0,0,IF(AC42/AC43&lt;3618,3618,AC42/AC43))</f>
        <v>#DIV/0!</v>
      </c>
      <c r="AD44" s="1841"/>
      <c r="AE44" s="1840">
        <f>IF(AE43=0,0,IF(AE42/AE43&lt;84.777,84.777,AE42/AE43))</f>
        <v>0</v>
      </c>
      <c r="AF44" s="1841"/>
      <c r="AG44" s="1842">
        <f>IF(AG43=0,0,IF(AG42/AG43&lt;84.777,84.777,AG42/AG43))</f>
        <v>0</v>
      </c>
      <c r="AI44" s="865" t="e">
        <f>IF(AI43=0,0,IF(AI42/AI43&lt;3618,3618,AI42/AI43))</f>
        <v>#DIV/0!</v>
      </c>
      <c r="AJ44" s="866"/>
      <c r="AK44" s="865" t="e">
        <f>IF(AK43=0,0,IF(AK42/AK43&lt;3618,3618,AK42/AK43))</f>
        <v>#DIV/0!</v>
      </c>
      <c r="AL44" s="866"/>
      <c r="AM44" s="865">
        <f>IF(AM43=0,0,IF(AM42/AM43&lt;84.777,84.777,AM42/AM43))</f>
        <v>0</v>
      </c>
      <c r="AN44" s="866"/>
      <c r="AO44" s="1651">
        <f>IF(AO43=0,0,IF(AO42/AO43&lt;84.777,84.777,AO42/AO43))</f>
        <v>0</v>
      </c>
      <c r="AQ44" s="1895" t="e">
        <f>IF(AQ43=0,0,IF(AQ42/AQ43&lt;3618,3618,AQ42/AQ43))</f>
        <v>#DIV/0!</v>
      </c>
      <c r="AR44" s="1896"/>
      <c r="AS44" s="1895" t="e">
        <f>IF(AS43=0,0,IF(AS42/AS43&lt;3618,3618,AS42/AS43))</f>
        <v>#DIV/0!</v>
      </c>
      <c r="AT44" s="1896"/>
      <c r="AU44" s="1895">
        <f>IF(AU43=0,0,IF(AU42/AU43&lt;84.777,84.777,AU42/AU43))</f>
        <v>0</v>
      </c>
      <c r="AV44" s="1896"/>
      <c r="AW44" s="1897">
        <f>IF(AW43=0,0,IF(AW42/AW43&lt;84.777,84.777,AW42/AW43))</f>
        <v>0</v>
      </c>
      <c r="AY44" s="1507" t="e">
        <f>IF(AY43=0,0,IF(AY42/AY43&lt;3618,3618,AY42/AY43))</f>
        <v>#DIV/0!</v>
      </c>
      <c r="AZ44" s="1508"/>
      <c r="BA44" s="1507" t="e">
        <f>IF(BA43=0,0,IF(BA42/BA43&lt;3618,3618,BA42/BA43))</f>
        <v>#DIV/0!</v>
      </c>
      <c r="BB44" s="1508"/>
      <c r="BC44" s="1507">
        <f>IF(BC43=0,0,IF(BC42/BC43&lt;84.777,84.777,BC42/BC43))</f>
        <v>0</v>
      </c>
      <c r="BD44" s="1508"/>
      <c r="BE44" s="1662">
        <f>IF(BE43=0,0,IF(BE42/BE43&lt;84.777,84.777,BE42/BE43))</f>
        <v>0</v>
      </c>
      <c r="BG44" s="1926" t="e">
        <f>IF(BG43=0,0,IF(BG42/BG43&lt;3618,3618,BG42/BG43))</f>
        <v>#DIV/0!</v>
      </c>
      <c r="BH44" s="1927"/>
      <c r="BI44" s="1926" t="e">
        <f>IF(BI43=0,0,IF(BI42/BI43&lt;3618,3618,BI42/BI43))</f>
        <v>#DIV/0!</v>
      </c>
      <c r="BJ44" s="1927"/>
      <c r="BK44" s="1926">
        <f>IF(BK43=0,0,IF(BK42/BK43&lt;84.777,84.777,BK42/BK43))</f>
        <v>0</v>
      </c>
      <c r="BL44" s="1927"/>
      <c r="BM44" s="1928">
        <f>IF(BM43=0,0,IF(BM42/BM43&lt;84.777,84.777,BM42/BM43))</f>
        <v>0</v>
      </c>
      <c r="BO44" s="2680" t="e">
        <f>IF(BO43=0,0,IF(BO42/BO43&lt;3618,3618,BO42/BO43))</f>
        <v>#REF!</v>
      </c>
      <c r="BP44" s="2680" t="e">
        <f>IF(BP43=0,0,IF(BP42/BP43&lt;3618,3618,BP42/BP43))</f>
        <v>#REF!</v>
      </c>
      <c r="BQ44" s="2680">
        <f>IF(BQ43=0,0,IF(BQ42/BQ43&lt;84.777,84.777,BQ42/BQ43))</f>
        <v>0</v>
      </c>
      <c r="BR44" s="2680">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37" t="e">
        <f>IF(CK43=0,0,IF(CK42/CK43&lt;2780,2780,CK42/CK43))</f>
        <v>#REF!</v>
      </c>
      <c r="CL44" s="938"/>
      <c r="CM44" s="937" t="e">
        <f>IF(CM43=0,0,IF(CM42/CM43&lt;2780,2780,CM42/CM43))</f>
        <v>#REF!</v>
      </c>
      <c r="CN44" s="938"/>
      <c r="CO44" s="937" t="e">
        <f>IF(CO43=0,0,IF(CO42/CO43&lt;35.57,35.57,CO42/CO43))</f>
        <v>#REF!</v>
      </c>
      <c r="CP44" s="938"/>
      <c r="CQ44" s="937" t="e">
        <f>IF(CQ43=0,0,IF(CQ42/CQ43&lt;35.57,35.57,CQ42/CQ43))</f>
        <v>#REF!</v>
      </c>
      <c r="CS44" s="913" t="e">
        <f>IF(CS43=0,0,IF(CS42/CS43&lt;2780,2780,CS42/CS43))</f>
        <v>#REF!</v>
      </c>
      <c r="CT44" s="914"/>
      <c r="CU44" s="913" t="e">
        <f>IF(CU43=0,0,IF(CU42/CU43&lt;2780,2780,CU42/CU43))</f>
        <v>#REF!</v>
      </c>
      <c r="CV44" s="914"/>
      <c r="CW44" s="913" t="e">
        <f>IF(CW43=0,0,IF(CW42/CW43&lt;35.57,35.57,CW42/CW43))</f>
        <v>#REF!</v>
      </c>
      <c r="CX44" s="914"/>
      <c r="CY44" s="913" t="e">
        <f>IF(CY43=0,0,IF(CY42/CY43&lt;35.57,35.57,CY42/CY43))</f>
        <v>#REF!</v>
      </c>
      <c r="DA44" s="890" t="e">
        <f>IF(DA43=0,0,IF(DA42/DA43&lt;2780,2780,DA42/DA43))</f>
        <v>#REF!</v>
      </c>
      <c r="DB44" s="891"/>
      <c r="DC44" s="890" t="e">
        <f>IF(DC43=0,0,IF(DC42/DC43&lt;2780,2780,DC42/DC43))</f>
        <v>#REF!</v>
      </c>
      <c r="DD44" s="891"/>
      <c r="DE44" s="890" t="e">
        <f>IF(DE43=0,0,IF(DE42/DE43&lt;35.57,35.57,DE42/DE43))</f>
        <v>#REF!</v>
      </c>
      <c r="DF44" s="891"/>
      <c r="DG44" s="890" t="e">
        <f>IF(DG43=0,0,IF(DG42/DG43&lt;35.57,35.57,DG42/DG43))</f>
        <v>#REF!</v>
      </c>
      <c r="DI44" s="913" t="e">
        <f>IF(DI43=0,0,IF(DI42/DI43&lt;2780,2780,DI42/DI43))</f>
        <v>#REF!</v>
      </c>
      <c r="DJ44" s="914"/>
      <c r="DK44" s="913" t="e">
        <f>IF(DK43=0,0,IF(DK42/DK43&lt;2780,2780,DK42/DK43))</f>
        <v>#REF!</v>
      </c>
      <c r="DL44" s="914"/>
      <c r="DM44" s="913" t="e">
        <f>IF(DM43=0,0,IF(DM42/DM43&lt;35.57,35.57,DM42/DM43))</f>
        <v>#REF!</v>
      </c>
      <c r="DN44" s="914"/>
      <c r="DO44" s="913" t="e">
        <f>IF(DO43=0,0,IF(DO42/DO43&lt;35.57,35.57,DO42/DO43))</f>
        <v>#REF!</v>
      </c>
      <c r="DQ44" s="890" t="e">
        <f>IF(DQ43=0,0,IF(DQ42/DQ43&lt;2780,2780,DQ42/DQ43))</f>
        <v>#REF!</v>
      </c>
      <c r="DR44" s="891"/>
      <c r="DS44" s="890" t="e">
        <f>IF(DS43=0,0,IF(DS42/DS43&lt;2780,2780,DS42/DS43))</f>
        <v>#REF!</v>
      </c>
      <c r="DT44" s="891"/>
      <c r="DU44" s="890" t="e">
        <f>IF(DU43=0,0,IF(DU42/DU43&lt;35.57,35.57,DU42/DU43))</f>
        <v>#REF!</v>
      </c>
      <c r="DV44" s="891"/>
      <c r="DW44" s="890" t="e">
        <f>IF(DW43=0,0,IF(DW42/DW43&lt;35.57,35.57,DW42/DW43))</f>
        <v>#REF!</v>
      </c>
      <c r="DY44" s="913" t="e">
        <f>IF(DY43=0,0,IF(DY42/DY43&lt;2780,2780,DY42/DY43))</f>
        <v>#REF!</v>
      </c>
      <c r="DZ44" s="914"/>
      <c r="EA44" s="913" t="e">
        <f>IF(EA43=0,0,IF(EA42/EA43&lt;2780,2780,EA42/EA43))</f>
        <v>#REF!</v>
      </c>
      <c r="EB44" s="914"/>
      <c r="EC44" s="913" t="e">
        <f>IF(EC43=0,0,IF(EC42/EC43&lt;35.57,35.57,EC42/EC43))</f>
        <v>#REF!</v>
      </c>
      <c r="ED44" s="914"/>
      <c r="EE44" s="913" t="e">
        <f>IF(EE43=0,0,IF(EE42/EE43&lt;35.57,35.57,EE42/EE43))</f>
        <v>#REF!</v>
      </c>
      <c r="EG44" s="890" t="e">
        <f>IF(EG43=0,0,IF(EG42/EG43&lt;2780,2780,EG42/EG43))</f>
        <v>#REF!</v>
      </c>
      <c r="EH44" s="891"/>
      <c r="EI44" s="890" t="e">
        <f>IF(EI43=0,0,IF(EI42/EI43&lt;2780,2780,EI42/EI43))</f>
        <v>#REF!</v>
      </c>
      <c r="EJ44" s="891"/>
      <c r="EK44" s="890">
        <f>IF(EK43=0,0,IF(EK42/EK43&lt;35.57,35.57,EK42/EK43))</f>
        <v>0</v>
      </c>
      <c r="EL44" s="891"/>
      <c r="EM44" s="890">
        <f>IF(EM43=0,0,IF(EM42/EM43&lt;35.57,35.57,EM42/EM43))</f>
        <v>0</v>
      </c>
    </row>
    <row r="45" spans="1:143">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385" t="e">
        <f>G45</f>
        <v>#REF!</v>
      </c>
      <c r="K45" s="1552" t="e">
        <f>IF(OR('Data Entry - SOF'!#REF!=0,K44=0),0,IF('Data Entry - SOF'!#REF!&gt;K44,(K44*'Data Entry - SOF'!#REF!)/K44,('Data Entry - SOF'!#REF!*'Data Entry - SOF'!#REF!)/K44))</f>
        <v>#REF!</v>
      </c>
      <c r="L45" s="305"/>
      <c r="M45" s="1552" t="e">
        <f>K45</f>
        <v>#REF!</v>
      </c>
      <c r="N45" s="305"/>
      <c r="O45" s="1552" t="e">
        <f>IF(OR('Data Entry - SOF'!#REF!=0,O44=0),0,IF('Data Entry - SOF'!#REF!&gt;O44,(O44*'Data Entry - SOF'!#REF!)/O44,('Data Entry - SOF'!#REF!*'Data Entry - SOF'!#REF!)/O44))</f>
        <v>#REF!</v>
      </c>
      <c r="P45" s="305"/>
      <c r="Q45" s="1620" t="e">
        <f>O45</f>
        <v>#REF!</v>
      </c>
      <c r="S45" s="686" t="e">
        <f>IF(OR('Data Entry - SOF'!E140=0,S44=0),0,IF('Data Entry - SOF'!E140&gt;S44,(S44*'Data Entry - SOF'!E139)/S44,('Data Entry - SOF'!E140*'Data Entry - SOF'!E139)/S44))</f>
        <v>#DIV/0!</v>
      </c>
      <c r="T45" s="687"/>
      <c r="U45" s="686" t="e">
        <f>S45</f>
        <v>#DIV/0!</v>
      </c>
      <c r="V45" s="687"/>
      <c r="W45" s="686">
        <f>IF(OR('Data Entry - SOF'!E140=0,W44=0),0,IF('Data Entry - SOF'!E140&gt;W44,(W44*'Data Entry - SOF'!E139)/W44,('Data Entry - SOF'!E140*'Data Entry - SOF'!E139)/W44))</f>
        <v>0</v>
      </c>
      <c r="X45" s="687"/>
      <c r="Y45" s="1628">
        <f>W45</f>
        <v>0</v>
      </c>
      <c r="AA45" s="1828" t="e">
        <f>IF(OR('Data Entry - SOF'!K140=0,AA44=0),0,IF('Data Entry - SOF'!K140&gt;AA44,(AA44*'Data Entry - SOF'!K139)/AA44,('Data Entry - SOF'!K140*'Data Entry - SOF'!K139)/AA44))</f>
        <v>#DIV/0!</v>
      </c>
      <c r="AB45" s="1829"/>
      <c r="AC45" s="1828" t="e">
        <f>AA45</f>
        <v>#DIV/0!</v>
      </c>
      <c r="AD45" s="1829"/>
      <c r="AE45" s="1828">
        <f>IF(OR('Data Entry - SOF'!K140=0,AE44=0),0,IF('Data Entry - SOF'!K140&gt;AE44,(AE44*'Data Entry - SOF'!K139)/AE44,('Data Entry - SOF'!K140*'Data Entry - SOF'!K139)/AE44))</f>
        <v>0</v>
      </c>
      <c r="AF45" s="1829"/>
      <c r="AG45" s="1830">
        <f>AE45</f>
        <v>0</v>
      </c>
      <c r="AI45" s="857" t="e">
        <f>IF(OR('Data Entry - SOF'!M140=0,AI44=0),0,IF('Data Entry - SOF'!M140&gt;AI44,(AI44*'Data Entry - SOF'!M139)/AI44,('Data Entry - SOF'!M140*'Data Entry - SOF'!M139)/AI44))</f>
        <v>#DIV/0!</v>
      </c>
      <c r="AJ45" s="858"/>
      <c r="AK45" s="857" t="e">
        <f>AI45</f>
        <v>#DIV/0!</v>
      </c>
      <c r="AL45" s="858"/>
      <c r="AM45" s="857">
        <f>IF(OR('Data Entry - SOF'!M140=0,AM44=0),0,IF('Data Entry - SOF'!M140&gt;AM44,(AM44*'Data Entry - SOF'!M139)/AM44,('Data Entry - SOF'!M140*'Data Entry - SOF'!M139)/AM44))</f>
        <v>0</v>
      </c>
      <c r="AN45" s="858"/>
      <c r="AO45" s="1647">
        <f>AM45</f>
        <v>0</v>
      </c>
      <c r="AQ45" s="1883" t="e">
        <f>IF(OR('Data Entry - SOF'!O140=0,AQ44=0),0,IF('Data Entry - SOF'!O140&gt;AQ44,(AQ44*'Data Entry - SOF'!O139)/AQ44,('Data Entry - SOF'!O140*'Data Entry - SOF'!O139)/AQ44))</f>
        <v>#DIV/0!</v>
      </c>
      <c r="AR45" s="1884"/>
      <c r="AS45" s="1883" t="e">
        <f>AQ45</f>
        <v>#DIV/0!</v>
      </c>
      <c r="AT45" s="1884"/>
      <c r="AU45" s="1883">
        <f>IF(OR('Data Entry - SOF'!O140=0,AU44=0),0,IF('Data Entry - SOF'!O140&gt;AU44,(AU44*'Data Entry - SOF'!O139)/AU44,('Data Entry - SOF'!O140*'Data Entry - SOF'!O139)/AU44))</f>
        <v>0</v>
      </c>
      <c r="AV45" s="1884"/>
      <c r="AW45" s="1885">
        <f>AU45</f>
        <v>0</v>
      </c>
      <c r="AY45" s="1507" t="e">
        <f>IF(OR('Data Entry - SOF'!Q140=0,AY44=0),0,IF('Data Entry - SOF'!Q140&gt;AY44,(AY44*'Data Entry - SOF'!Q139)/AY44,('Data Entry - SOF'!Q140*'Data Entry - SOF'!Q139)/AY44))</f>
        <v>#DIV/0!</v>
      </c>
      <c r="AZ45" s="1508"/>
      <c r="BA45" s="1507" t="e">
        <f>AY45</f>
        <v>#DIV/0!</v>
      </c>
      <c r="BB45" s="1508"/>
      <c r="BC45" s="1507">
        <f>IF(OR('Data Entry - SOF'!Q140=0,BC44=0),0,IF('Data Entry - SOF'!Q140&gt;BC44,(BC44*'Data Entry - SOF'!Q139)/BC44,('Data Entry - SOF'!Q140*'Data Entry - SOF'!Q139)/BC44))</f>
        <v>0</v>
      </c>
      <c r="BD45" s="1508"/>
      <c r="BE45" s="1662">
        <f>BC45</f>
        <v>0</v>
      </c>
      <c r="BG45" s="1926" t="e">
        <f>IF(OR('Data Entry - SOF'!S140=0,BG44=0),0,IF('Data Entry - SOF'!S140&gt;BG44,(BG44*'Data Entry - SOF'!S139)/BG44,('Data Entry - SOF'!S140*'Data Entry - SOF'!S139)/BG44))</f>
        <v>#DIV/0!</v>
      </c>
      <c r="BH45" s="1927"/>
      <c r="BI45" s="1926" t="e">
        <f>BG45</f>
        <v>#DIV/0!</v>
      </c>
      <c r="BJ45" s="1927"/>
      <c r="BK45" s="1926">
        <f>IF(OR('Data Entry - SOF'!S140=0,BK44=0),0,IF('Data Entry - SOF'!S140&gt;BK44,(BK44*'Data Entry - SOF'!S139)/BK44,('Data Entry - SOF'!S140*'Data Entry - SOF'!S139)/BK44))</f>
        <v>0</v>
      </c>
      <c r="BL45" s="1927"/>
      <c r="BM45" s="1928">
        <f>BK45</f>
        <v>0</v>
      </c>
      <c r="BO45" s="2468" t="e">
        <f>IF(OR('Data Entry - SOF'!E140=0,BO44=0),0,IF('Data Entry - SOF'!E140&gt;BO44,(BO44*'Data Entry - SOF'!E139)/BO44,('Data Entry - SOF'!E140*'Data Entry - SOF'!E139)/BO44))</f>
        <v>#REF!</v>
      </c>
      <c r="BP45" s="2468" t="e">
        <f>BO45</f>
        <v>#REF!</v>
      </c>
      <c r="BQ45" s="2468">
        <f>IF(OR('Data Entry - SOF'!E140=0,BQ44=0),0,IF('Data Entry - SOF'!E140&gt;BQ44,(BQ44*'Data Entry - SOF'!E139)/BQ44,('Data Entry - SOF'!E140*'Data Entry - SOF'!E139)/BQ44))</f>
        <v>0</v>
      </c>
      <c r="BR45" s="2468"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28" t="e">
        <f>IF(OR('Data Entry - SOF'!#REF!=0,CK44=0),0,IF('Data Entry - SOF'!#REF!&gt;CK44,(CK44*'Data Entry - SOF'!#REF!)/CK44,('Data Entry - SOF'!#REF!*'Data Entry - SOF'!#REF!)/CK44))</f>
        <v>#REF!</v>
      </c>
      <c r="CL45" s="929"/>
      <c r="CM45" s="928" t="e">
        <f>CK45</f>
        <v>#REF!</v>
      </c>
      <c r="CN45" s="929"/>
      <c r="CO45" s="928" t="e">
        <f>IF(OR('Data Entry - SOF'!#REF!=0,CO44=0),0,IF('Data Entry - SOF'!#REF!&gt;CO44,(CO44*'Data Entry - SOF'!#REF!)/CO44,('Data Entry - SOF'!#REF!*'Data Entry - SOF'!#REF!)/CO44))</f>
        <v>#REF!</v>
      </c>
      <c r="CP45" s="929"/>
      <c r="CQ45" s="928" t="e">
        <f>CO45</f>
        <v>#REF!</v>
      </c>
      <c r="CS45" s="904" t="e">
        <f>IF(OR('Data Entry - SOF'!#REF!=0,CS44=0),0,IF('Data Entry - SOF'!#REF!&gt;CS44,(CS44*'Data Entry - SOF'!#REF!)/CS44,('Data Entry - SOF'!#REF!*'Data Entry - SOF'!#REF!)/CS44))</f>
        <v>#REF!</v>
      </c>
      <c r="CT45" s="905"/>
      <c r="CU45" s="904" t="e">
        <f>CS45</f>
        <v>#REF!</v>
      </c>
      <c r="CV45" s="905"/>
      <c r="CW45" s="904" t="e">
        <f>IF(OR('Data Entry - SOF'!#REF!=0,CW44=0),0,IF('Data Entry - SOF'!#REF!&gt;CW44,(CW44*'Data Entry - SOF'!#REF!)/CW44,('Data Entry - SOF'!#REF!*'Data Entry - SOF'!#REF!)/CW44))</f>
        <v>#REF!</v>
      </c>
      <c r="CX45" s="905"/>
      <c r="CY45" s="904" t="e">
        <f>CW45</f>
        <v>#REF!</v>
      </c>
      <c r="DA45" s="882" t="e">
        <f>IF(OR('Data Entry - SOF'!#REF!=0,DA44=0),0,IF('Data Entry - SOF'!#REF!&gt;DA44,(DA44*'Data Entry - SOF'!#REF!)/DA44,('Data Entry - SOF'!#REF!*'Data Entry - SOF'!#REF!)/DA44))</f>
        <v>#REF!</v>
      </c>
      <c r="DB45" s="883"/>
      <c r="DC45" s="882" t="e">
        <f>DA45</f>
        <v>#REF!</v>
      </c>
      <c r="DD45" s="883"/>
      <c r="DE45" s="882" t="e">
        <f>IF(OR('Data Entry - SOF'!#REF!=0,DE44=0),0,IF('Data Entry - SOF'!#REF!&gt;DE44,(DE44*'Data Entry - SOF'!#REF!)/DE44,('Data Entry - SOF'!#REF!*'Data Entry - SOF'!#REF!)/DE44))</f>
        <v>#REF!</v>
      </c>
      <c r="DF45" s="883"/>
      <c r="DG45" s="882" t="e">
        <f>DE45</f>
        <v>#REF!</v>
      </c>
      <c r="DI45" s="904" t="e">
        <f>IF(OR('Data Entry - SOF'!C140=0,DI44=0),0,IF('Data Entry - SOF'!C140&gt;DI44,(DI44*'Data Entry - SOF'!C139)/DI44,('Data Entry - SOF'!C140*'Data Entry - SOF'!C139)/DI44))</f>
        <v>#REF!</v>
      </c>
      <c r="DJ45" s="905"/>
      <c r="DK45" s="904" t="e">
        <f>DI45</f>
        <v>#REF!</v>
      </c>
      <c r="DL45" s="905"/>
      <c r="DM45" s="904" t="e">
        <f>IF(OR('Data Entry - SOF'!C140=0,DM44=0),0,IF('Data Entry - SOF'!C140&gt;DM44,(DM44*'Data Entry - SOF'!C139)/DM44,('Data Entry - SOF'!C140*'Data Entry - SOF'!C139)/DM44))</f>
        <v>#REF!</v>
      </c>
      <c r="DN45" s="905"/>
      <c r="DO45" s="904" t="e">
        <f>DM45</f>
        <v>#REF!</v>
      </c>
      <c r="DQ45" s="882" t="e">
        <f>IF(OR('Data Entry - SOF'!C140=0,DQ44=0),0,IF('Data Entry - SOF'!C140&gt;DQ44,(DQ44*'Data Entry - SOF'!C139)/DQ44,('Data Entry - SOF'!C140*'Data Entry - SOF'!C139)/DQ44))</f>
        <v>#REF!</v>
      </c>
      <c r="DR45" s="883"/>
      <c r="DS45" s="882" t="e">
        <f>DQ45</f>
        <v>#REF!</v>
      </c>
      <c r="DT45" s="883"/>
      <c r="DU45" s="882" t="e">
        <f>IF(OR('Data Entry - SOF'!C140=0,DU44=0),0,IF('Data Entry - SOF'!C140&gt;DU44,(DU44*'Data Entry - SOF'!C139)/DU44,('Data Entry - SOF'!C140*'Data Entry - SOF'!C139)/DU44))</f>
        <v>#REF!</v>
      </c>
      <c r="DV45" s="883"/>
      <c r="DW45" s="882" t="e">
        <f>DU45</f>
        <v>#REF!</v>
      </c>
      <c r="DY45" s="904" t="e">
        <f>IF(OR('Data Entry - SOF'!#REF!=0,DY44=0),0,IF('Data Entry - SOF'!#REF!&gt;DY44,(DY44*'Data Entry - SOF'!#REF!)/DY44,('Data Entry - SOF'!#REF!*'Data Entry - SOF'!#REF!)/DY44))</f>
        <v>#REF!</v>
      </c>
      <c r="DZ45" s="905"/>
      <c r="EA45" s="904" t="e">
        <f>DY45</f>
        <v>#REF!</v>
      </c>
      <c r="EB45" s="905"/>
      <c r="EC45" s="904" t="e">
        <f>IF(OR('Data Entry - SOF'!#REF!=0,EC44=0),0,IF('Data Entry - SOF'!#REF!&gt;EC44,(EC44*'Data Entry - SOF'!#REF!)/EC44,('Data Entry - SOF'!#REF!*'Data Entry - SOF'!#REF!)/EC44))</f>
        <v>#REF!</v>
      </c>
      <c r="ED45" s="905"/>
      <c r="EE45" s="904" t="e">
        <f>EC45</f>
        <v>#REF!</v>
      </c>
      <c r="EG45" s="882" t="e">
        <f>IF(OR('Data Entry - SOF'!E140=0,EG44=0),0,IF('Data Entry - SOF'!E140&gt;EG44,(EG44*'Data Entry - SOF'!E139)/EG44,('Data Entry - SOF'!E140*'Data Entry - SOF'!E139)/EG44))</f>
        <v>#REF!</v>
      </c>
      <c r="EH45" s="883"/>
      <c r="EI45" s="882" t="e">
        <f>EG45</f>
        <v>#REF!</v>
      </c>
      <c r="EJ45" s="883"/>
      <c r="EK45" s="882">
        <f>IF(OR('Data Entry - SOF'!E140=0,EK44=0),0,IF('Data Entry - SOF'!E140&gt;EK44,(EK44*'Data Entry - SOF'!E139)/EK44,('Data Entry - SOF'!E140*'Data Entry - SOF'!E139)/EK44))</f>
        <v>0</v>
      </c>
      <c r="EL45" s="883"/>
      <c r="EM45" s="882">
        <f>EK45</f>
        <v>0</v>
      </c>
    </row>
    <row r="46" spans="1:143">
      <c r="A46" s="67" t="s">
        <v>1301</v>
      </c>
      <c r="C46" s="2390">
        <v>0</v>
      </c>
      <c r="D46" s="2060"/>
      <c r="E46" s="2390">
        <v>0</v>
      </c>
      <c r="F46" s="2060"/>
      <c r="G46" s="2390">
        <v>0</v>
      </c>
      <c r="H46" s="2060"/>
      <c r="I46" s="2391">
        <v>0</v>
      </c>
      <c r="K46" s="1552">
        <v>0</v>
      </c>
      <c r="L46" s="305"/>
      <c r="M46" s="1552">
        <v>0</v>
      </c>
      <c r="N46" s="305"/>
      <c r="O46" s="1552">
        <v>0</v>
      </c>
      <c r="P46" s="305"/>
      <c r="Q46" s="1620">
        <v>0</v>
      </c>
      <c r="S46" s="151">
        <v>0</v>
      </c>
      <c r="T46" s="687"/>
      <c r="U46" s="151">
        <v>0</v>
      </c>
      <c r="V46" s="687"/>
      <c r="W46" s="151">
        <v>0</v>
      </c>
      <c r="X46" s="687"/>
      <c r="Y46" s="1615">
        <v>0</v>
      </c>
      <c r="AA46" s="1843">
        <v>0</v>
      </c>
      <c r="AB46" s="1829"/>
      <c r="AC46" s="1843">
        <v>0</v>
      </c>
      <c r="AD46" s="1829"/>
      <c r="AE46" s="1843">
        <v>0</v>
      </c>
      <c r="AF46" s="1829"/>
      <c r="AG46" s="1844">
        <v>0</v>
      </c>
      <c r="AI46" s="151">
        <v>0</v>
      </c>
      <c r="AJ46" s="858"/>
      <c r="AK46" s="151">
        <v>0</v>
      </c>
      <c r="AL46" s="858"/>
      <c r="AM46" s="151">
        <v>0</v>
      </c>
      <c r="AN46" s="858"/>
      <c r="AO46" s="1615">
        <v>0</v>
      </c>
      <c r="AQ46" s="1898">
        <v>0</v>
      </c>
      <c r="AR46" s="1884"/>
      <c r="AS46" s="1898">
        <v>0</v>
      </c>
      <c r="AT46" s="1884"/>
      <c r="AU46" s="1898">
        <v>0</v>
      </c>
      <c r="AV46" s="1884"/>
      <c r="AW46" s="1899">
        <v>0</v>
      </c>
      <c r="AY46" s="1507">
        <v>0</v>
      </c>
      <c r="AZ46" s="1508"/>
      <c r="BA46" s="1507">
        <v>0</v>
      </c>
      <c r="BB46" s="1508"/>
      <c r="BC46" s="1507">
        <v>0</v>
      </c>
      <c r="BD46" s="1508"/>
      <c r="BE46" s="1662">
        <v>0</v>
      </c>
      <c r="BG46" s="1926">
        <v>0</v>
      </c>
      <c r="BH46" s="1927"/>
      <c r="BI46" s="1926">
        <v>0</v>
      </c>
      <c r="BJ46" s="1927"/>
      <c r="BK46" s="1926">
        <v>0</v>
      </c>
      <c r="BL46" s="1927"/>
      <c r="BM46" s="1928">
        <v>0</v>
      </c>
      <c r="BO46" s="2468">
        <v>0</v>
      </c>
      <c r="BP46" s="2468">
        <v>0</v>
      </c>
      <c r="BQ46" s="2468">
        <v>0</v>
      </c>
      <c r="BR46" s="2468">
        <v>0</v>
      </c>
      <c r="CC46" s="348">
        <v>0</v>
      </c>
      <c r="CD46" s="349"/>
      <c r="CE46" s="348">
        <v>0</v>
      </c>
      <c r="CF46" s="349"/>
      <c r="CG46" s="348">
        <v>0</v>
      </c>
      <c r="CH46" s="349"/>
      <c r="CI46" s="348">
        <v>0</v>
      </c>
      <c r="CK46" s="928">
        <v>0</v>
      </c>
      <c r="CL46" s="929"/>
      <c r="CM46" s="928">
        <v>0</v>
      </c>
      <c r="CN46" s="929"/>
      <c r="CO46" s="928">
        <v>0</v>
      </c>
      <c r="CP46" s="929"/>
      <c r="CQ46" s="928">
        <v>0</v>
      </c>
      <c r="CS46" s="904">
        <v>0</v>
      </c>
      <c r="CT46" s="905"/>
      <c r="CU46" s="904">
        <v>0</v>
      </c>
      <c r="CV46" s="905"/>
      <c r="CW46" s="904">
        <v>0</v>
      </c>
      <c r="CX46" s="905"/>
      <c r="CY46" s="904">
        <v>0</v>
      </c>
      <c r="DA46" s="882">
        <v>0</v>
      </c>
      <c r="DB46" s="883"/>
      <c r="DC46" s="882">
        <v>0</v>
      </c>
      <c r="DD46" s="883"/>
      <c r="DE46" s="882">
        <v>0</v>
      </c>
      <c r="DF46" s="883"/>
      <c r="DG46" s="882">
        <v>0</v>
      </c>
      <c r="DI46" s="904">
        <v>0</v>
      </c>
      <c r="DJ46" s="905"/>
      <c r="DK46" s="904">
        <v>0</v>
      </c>
      <c r="DL46" s="905"/>
      <c r="DM46" s="904">
        <v>0</v>
      </c>
      <c r="DN46" s="905"/>
      <c r="DO46" s="904">
        <v>0</v>
      </c>
      <c r="DQ46" s="882">
        <v>0</v>
      </c>
      <c r="DR46" s="883"/>
      <c r="DS46" s="882">
        <v>0</v>
      </c>
      <c r="DT46" s="883"/>
      <c r="DU46" s="882">
        <v>0</v>
      </c>
      <c r="DV46" s="883"/>
      <c r="DW46" s="882">
        <v>0</v>
      </c>
      <c r="DY46" s="904">
        <v>0</v>
      </c>
      <c r="DZ46" s="905"/>
      <c r="EA46" s="904">
        <v>0</v>
      </c>
      <c r="EB46" s="905"/>
      <c r="EC46" s="904">
        <v>0</v>
      </c>
      <c r="ED46" s="905"/>
      <c r="EE46" s="904">
        <v>0</v>
      </c>
      <c r="EG46" s="882">
        <v>0</v>
      </c>
      <c r="EH46" s="883"/>
      <c r="EI46" s="882">
        <v>0</v>
      </c>
      <c r="EJ46" s="883"/>
      <c r="EK46" s="882">
        <v>0</v>
      </c>
      <c r="EL46" s="883"/>
      <c r="EM46" s="882">
        <v>0</v>
      </c>
    </row>
    <row r="47" spans="1:143">
      <c r="A47" s="35" t="s">
        <v>1737</v>
      </c>
      <c r="C47" s="2359" t="e">
        <f>IF(C43-C45-C46&lt;0,0,C43-C45-C46)</f>
        <v>#REF!</v>
      </c>
      <c r="D47" s="2060"/>
      <c r="E47" s="2359" t="e">
        <f>IF(E43-E45-E46&lt;0,0,E43-E45-E46)</f>
        <v>#REF!</v>
      </c>
      <c r="F47" s="2060"/>
      <c r="G47" s="2359" t="e">
        <f>IF(G43-G45-G46&lt;0,0,G43-G45-G46)</f>
        <v>#REF!</v>
      </c>
      <c r="H47" s="2060"/>
      <c r="I47" s="2385" t="e">
        <f>IF(I43-I45-I46&lt;0,0,I43-I45-I46)</f>
        <v>#REF!</v>
      </c>
      <c r="K47" s="1552" t="e">
        <f>IF(K43-K45-K46&lt;0,0,K43-K45-K46)</f>
        <v>#REF!</v>
      </c>
      <c r="L47" s="305"/>
      <c r="M47" s="1552" t="e">
        <f>IF(M43-M45-M46&lt;0,0,M43-M45-M46)</f>
        <v>#REF!</v>
      </c>
      <c r="N47" s="305"/>
      <c r="O47" s="1552" t="e">
        <f>IF(O43-O45-O46&lt;0,0,O43-O45-O46)</f>
        <v>#REF!</v>
      </c>
      <c r="P47" s="305"/>
      <c r="Q47" s="1620" t="e">
        <f>IF(Q43-Q45-Q46&lt;0,0,Q43-Q45-Q46)</f>
        <v>#REF!</v>
      </c>
      <c r="S47" s="686" t="e">
        <f>IF(S43-S45-S46&lt;0,0,S43-S45-S46)</f>
        <v>#DIV/0!</v>
      </c>
      <c r="T47" s="687"/>
      <c r="U47" s="686" t="e">
        <f>IF(U43-U45-U46&lt;0,0,U43-U45-U46)</f>
        <v>#DIV/0!</v>
      </c>
      <c r="V47" s="687"/>
      <c r="W47" s="686">
        <f>IF(W43-W45-W46&lt;0,0,W43-W45-W46)</f>
        <v>0</v>
      </c>
      <c r="X47" s="687"/>
      <c r="Y47" s="1628">
        <f>IF(Y43-Y45-Y46&lt;0,0,Y43-Y45-Y46)</f>
        <v>0</v>
      </c>
      <c r="AA47" s="1828" t="e">
        <f>IF(AA43-AA45-AA46&lt;0,0,AA43-AA45-AA46)</f>
        <v>#DIV/0!</v>
      </c>
      <c r="AB47" s="1829"/>
      <c r="AC47" s="1828" t="e">
        <f>IF(AC43-AC45-AC46&lt;0,0,AC43-AC45-AC46)</f>
        <v>#DIV/0!</v>
      </c>
      <c r="AD47" s="1829"/>
      <c r="AE47" s="1828">
        <f>IF(AE43-AE45-AE46&lt;0,0,AE43-AE45-AE46)</f>
        <v>0</v>
      </c>
      <c r="AF47" s="1829"/>
      <c r="AG47" s="1830">
        <f>IF(AG43-AG45-AG46&lt;0,0,AG43-AG45-AG46)</f>
        <v>0</v>
      </c>
      <c r="AI47" s="857" t="e">
        <f>IF(AI43-AI45-AI46&lt;0,0,AI43-AI45-AI46)</f>
        <v>#DIV/0!</v>
      </c>
      <c r="AJ47" s="858"/>
      <c r="AK47" s="857" t="e">
        <f>IF(AK43-AK45-AK46&lt;0,0,AK43-AK45-AK46)</f>
        <v>#DIV/0!</v>
      </c>
      <c r="AL47" s="858"/>
      <c r="AM47" s="857">
        <f>IF(AM43-AM45-AM46&lt;0,0,AM43-AM45-AM46)</f>
        <v>0</v>
      </c>
      <c r="AN47" s="858"/>
      <c r="AO47" s="1647">
        <f>IF(AO43-AO45-AO46&lt;0,0,AO43-AO45-AO46)</f>
        <v>0</v>
      </c>
      <c r="AQ47" s="1883" t="e">
        <f>IF(AQ43-AQ45-AQ46&lt;0,0,AQ43-AQ45-AQ46)</f>
        <v>#DIV/0!</v>
      </c>
      <c r="AR47" s="1884"/>
      <c r="AS47" s="1883" t="e">
        <f>IF(AS43-AS45-AS46&lt;0,0,AS43-AS45-AS46)</f>
        <v>#DIV/0!</v>
      </c>
      <c r="AT47" s="1884"/>
      <c r="AU47" s="1883">
        <f>IF(AU43-AU45-AU46&lt;0,0,AU43-AU45-AU46)</f>
        <v>0</v>
      </c>
      <c r="AV47" s="1884"/>
      <c r="AW47" s="1885">
        <f>IF(AW43-AW45-AW46&lt;0,0,AW43-AW45-AW46)</f>
        <v>0</v>
      </c>
      <c r="AY47" s="1507" t="e">
        <f>IF(AY43-AY45-AY46&lt;0,0,AY43-AY45-AY46)</f>
        <v>#DIV/0!</v>
      </c>
      <c r="AZ47" s="1508"/>
      <c r="BA47" s="1507" t="e">
        <f>IF(BA43-BA45-BA46&lt;0,0,BA43-BA45-BA46)</f>
        <v>#DIV/0!</v>
      </c>
      <c r="BB47" s="1508"/>
      <c r="BC47" s="1507">
        <f>IF(BC43-BC45-BC46&lt;0,0,BC43-BC45-BC46)</f>
        <v>0</v>
      </c>
      <c r="BD47" s="1508"/>
      <c r="BE47" s="1662">
        <f>IF(BE43-BE45-BE46&lt;0,0,BE43-BE45-BE46)</f>
        <v>0</v>
      </c>
      <c r="BG47" s="1926" t="e">
        <f>IF(BG43-BG45-BG46&lt;0,0,BG43-BG45-BG46)</f>
        <v>#DIV/0!</v>
      </c>
      <c r="BH47" s="1927"/>
      <c r="BI47" s="1926" t="e">
        <f>IF(BI43-BI45-BI46&lt;0,0,BI43-BI45-BI46)</f>
        <v>#DIV/0!</v>
      </c>
      <c r="BJ47" s="1927"/>
      <c r="BK47" s="1926">
        <f>IF(BK43-BK45-BK46&lt;0,0,BK43-BK45-BK46)</f>
        <v>0</v>
      </c>
      <c r="BL47" s="1927"/>
      <c r="BM47" s="1928">
        <f>IF(BM43-BM45-BM46&lt;0,0,BM43-BM45-BM46)</f>
        <v>0</v>
      </c>
      <c r="BO47" s="2468" t="e">
        <f>IF(BO43-BO45-BO46&lt;0,0,BO43-BO45-BO46)</f>
        <v>#REF!</v>
      </c>
      <c r="BP47" s="2468" t="e">
        <f>IF(BP43-BP45-BP46&lt;0,0,BP43-BP45-BP46)</f>
        <v>#REF!</v>
      </c>
      <c r="BQ47" s="2468">
        <f>IF(BQ43-BQ45-BQ46&lt;0,0,BQ43-BQ45-BQ46)</f>
        <v>0</v>
      </c>
      <c r="BR47" s="2468"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28" t="e">
        <f>IF(CK43-CK45-CK46&lt;0,0,CK43-CK45-CK46)</f>
        <v>#REF!</v>
      </c>
      <c r="CL47" s="929"/>
      <c r="CM47" s="928" t="e">
        <f>IF(CM43-CM45-CM46&lt;0,0,CM43-CM45-CM46)</f>
        <v>#REF!</v>
      </c>
      <c r="CN47" s="929"/>
      <c r="CO47" s="928" t="e">
        <f>IF(CO43-CO45-CO46&lt;0,0,CO43-CO45-CO46)</f>
        <v>#REF!</v>
      </c>
      <c r="CP47" s="929"/>
      <c r="CQ47" s="928" t="e">
        <f>IF(CQ43-CQ45-CQ46&lt;0,0,CQ43-CQ45-CQ46)</f>
        <v>#REF!</v>
      </c>
      <c r="CS47" s="904" t="e">
        <f>IF(CS43-CS45-CS46&lt;0,0,CS43-CS45-CS46)</f>
        <v>#REF!</v>
      </c>
      <c r="CT47" s="905"/>
      <c r="CU47" s="904" t="e">
        <f>IF(CU43-CU45-CU46&lt;0,0,CU43-CU45-CU46)</f>
        <v>#REF!</v>
      </c>
      <c r="CV47" s="905"/>
      <c r="CW47" s="904" t="e">
        <f>IF(CW43-CW45-CW46&lt;0,0,CW43-CW45-CW46)</f>
        <v>#REF!</v>
      </c>
      <c r="CX47" s="905"/>
      <c r="CY47" s="904" t="e">
        <f>IF(CY43-CY45-CY46&lt;0,0,CY43-CY45-CY46)</f>
        <v>#REF!</v>
      </c>
      <c r="DA47" s="882" t="e">
        <f>IF(DA43-DA45-DA46&lt;0,0,DA43-DA45-DA46)</f>
        <v>#REF!</v>
      </c>
      <c r="DB47" s="883"/>
      <c r="DC47" s="882" t="e">
        <f>IF(DC43-DC45-DC46&lt;0,0,DC43-DC45-DC46)</f>
        <v>#REF!</v>
      </c>
      <c r="DD47" s="883"/>
      <c r="DE47" s="882" t="e">
        <f>IF(DE43-DE45-DE46&lt;0,0,DE43-DE45-DE46)</f>
        <v>#REF!</v>
      </c>
      <c r="DF47" s="883"/>
      <c r="DG47" s="882" t="e">
        <f>IF(DG43-DG45-DG46&lt;0,0,DG43-DG45-DG46)</f>
        <v>#REF!</v>
      </c>
      <c r="DI47" s="904" t="e">
        <f>IF(DI43-DI45-DI46&lt;0,0,DI43-DI45-DI46)</f>
        <v>#REF!</v>
      </c>
      <c r="DJ47" s="905"/>
      <c r="DK47" s="904" t="e">
        <f>IF(DK43-DK45-DK46&lt;0,0,DK43-DK45-DK46)</f>
        <v>#REF!</v>
      </c>
      <c r="DL47" s="905"/>
      <c r="DM47" s="904" t="e">
        <f>IF(DM43-DM45-DM46&lt;0,0,DM43-DM45-DM46)</f>
        <v>#REF!</v>
      </c>
      <c r="DN47" s="905"/>
      <c r="DO47" s="904" t="e">
        <f>IF(DO43-DO45-DO46&lt;0,0,DO43-DO45-DO46)</f>
        <v>#REF!</v>
      </c>
      <c r="DQ47" s="882" t="e">
        <f>IF(DQ43-DQ45-DQ46&lt;0,0,DQ43-DQ45-DQ46)</f>
        <v>#REF!</v>
      </c>
      <c r="DR47" s="883"/>
      <c r="DS47" s="882" t="e">
        <f>IF(DS43-DS45-DS46&lt;0,0,DS43-DS45-DS46)</f>
        <v>#REF!</v>
      </c>
      <c r="DT47" s="883"/>
      <c r="DU47" s="882" t="e">
        <f>IF(DU43-DU45-DU46&lt;0,0,DU43-DU45-DU46)</f>
        <v>#REF!</v>
      </c>
      <c r="DV47" s="883"/>
      <c r="DW47" s="882" t="e">
        <f>IF(DW43-DW45-DW46&lt;0,0,DW43-DW45-DW46)</f>
        <v>#REF!</v>
      </c>
      <c r="DY47" s="904" t="e">
        <f>IF(DY43-DY45-DY46&lt;0,0,DY43-DY45-DY46)</f>
        <v>#REF!</v>
      </c>
      <c r="DZ47" s="905"/>
      <c r="EA47" s="904" t="e">
        <f>IF(EA43-EA45-EA46&lt;0,0,EA43-EA45-EA46)</f>
        <v>#REF!</v>
      </c>
      <c r="EB47" s="905"/>
      <c r="EC47" s="904" t="e">
        <f>IF(EC43-EC45-EC46&lt;0,0,EC43-EC45-EC46)</f>
        <v>#REF!</v>
      </c>
      <c r="ED47" s="905"/>
      <c r="EE47" s="904" t="e">
        <f>IF(EE43-EE45-EE46&lt;0,0,EE43-EE45-EE46)</f>
        <v>#REF!</v>
      </c>
      <c r="EG47" s="882" t="e">
        <f>IF(EG43-EG45-EG46&lt;0,0,EG43-EG45-EG46)</f>
        <v>#REF!</v>
      </c>
      <c r="EH47" s="883"/>
      <c r="EI47" s="882" t="e">
        <f>IF(EI43-EI45-EI46&lt;0,0,EI43-EI45-EI46)</f>
        <v>#REF!</v>
      </c>
      <c r="EJ47" s="883"/>
      <c r="EK47" s="882">
        <f>IF(EK43-EK45-EK46&lt;0,0,EK43-EK45-EK46)</f>
        <v>0</v>
      </c>
      <c r="EL47" s="883"/>
      <c r="EM47" s="882">
        <f>IF(EM43-EM45-EM46&lt;0,0,EM43-EM45-EM46)</f>
        <v>0</v>
      </c>
    </row>
    <row r="48" spans="1:143">
      <c r="A48" s="67" t="s">
        <v>2591</v>
      </c>
      <c r="C48" s="2083" t="e">
        <f>IF(C47=0,0,C47*C44)</f>
        <v>#REF!</v>
      </c>
      <c r="D48" s="2057"/>
      <c r="E48" s="2083" t="e">
        <f>IF(E47=0,0,E47*E44)</f>
        <v>#REF!</v>
      </c>
      <c r="F48" s="2057"/>
      <c r="G48" s="2083" t="e">
        <f>IF(G47=0,0,G47*G44)</f>
        <v>#REF!</v>
      </c>
      <c r="H48" s="2057"/>
      <c r="I48" s="2388" t="e">
        <f>IF(I47=0,0,I47*I44)</f>
        <v>#REF!</v>
      </c>
      <c r="K48" s="1550" t="e">
        <f>IF(K47=0,0,K47*K44)</f>
        <v>#REF!</v>
      </c>
      <c r="L48" s="1551"/>
      <c r="M48" s="1550" t="e">
        <f>IF(M47=0,0,M47*M44)</f>
        <v>#REF!</v>
      </c>
      <c r="N48" s="1551"/>
      <c r="O48" s="1550" t="e">
        <f>IF(O47=0,0,O47*O44)</f>
        <v>#REF!</v>
      </c>
      <c r="P48" s="1551"/>
      <c r="Q48" s="1619" t="e">
        <f>IF(Q47=0,0,Q47*Q44)</f>
        <v>#REF!</v>
      </c>
      <c r="S48" s="692" t="e">
        <f>IF(S47=0,0,S47*S44)</f>
        <v>#DIV/0!</v>
      </c>
      <c r="T48" s="680"/>
      <c r="U48" s="692" t="e">
        <f>IF(U47=0,0,U47*U44)</f>
        <v>#DIV/0!</v>
      </c>
      <c r="V48" s="680"/>
      <c r="W48" s="692">
        <f>IF(W47=0,0,W47*W44)</f>
        <v>0</v>
      </c>
      <c r="X48" s="680"/>
      <c r="Y48" s="1631">
        <f>IF(Y47=0,0,Y47*Y44)</f>
        <v>0</v>
      </c>
      <c r="AA48" s="1837" t="e">
        <f>IF(AA47=0,0,AA47*AA44)</f>
        <v>#DIV/0!</v>
      </c>
      <c r="AB48" s="1838"/>
      <c r="AC48" s="1837" t="e">
        <f>IF(AC47=0,0,AC47*AC44)</f>
        <v>#DIV/0!</v>
      </c>
      <c r="AD48" s="1838"/>
      <c r="AE48" s="1837">
        <f>IF(AE47=0,0,AE47*AE44)</f>
        <v>0</v>
      </c>
      <c r="AF48" s="1838"/>
      <c r="AG48" s="1839">
        <f>IF(AG47=0,0,AG47*AG44)</f>
        <v>0</v>
      </c>
      <c r="AI48" s="863" t="e">
        <f>IF(AI47=0,0,AI47*AI44)</f>
        <v>#DIV/0!</v>
      </c>
      <c r="AJ48" s="864"/>
      <c r="AK48" s="863" t="e">
        <f>IF(AK47=0,0,AK47*AK44)</f>
        <v>#DIV/0!</v>
      </c>
      <c r="AL48" s="864"/>
      <c r="AM48" s="863">
        <f>IF(AM47=0,0,AM47*AM44)</f>
        <v>0</v>
      </c>
      <c r="AN48" s="864"/>
      <c r="AO48" s="1650">
        <f>IF(AO47=0,0,AO47*AO44)</f>
        <v>0</v>
      </c>
      <c r="AQ48" s="1892" t="e">
        <f>IF(AQ47=0,0,AQ47*AQ44)</f>
        <v>#DIV/0!</v>
      </c>
      <c r="AR48" s="1893"/>
      <c r="AS48" s="1892" t="e">
        <f>IF(AS47=0,0,AS47*AS44)</f>
        <v>#DIV/0!</v>
      </c>
      <c r="AT48" s="1893"/>
      <c r="AU48" s="1892">
        <f>IF(AU47=0,0,AU47*AU44)</f>
        <v>0</v>
      </c>
      <c r="AV48" s="1893"/>
      <c r="AW48" s="1894">
        <f>IF(AW47=0,0,AW47*AW44)</f>
        <v>0</v>
      </c>
      <c r="AY48" s="1490" t="e">
        <f>IF(AY47=0,0,AY47*AY44)</f>
        <v>#DIV/0!</v>
      </c>
      <c r="BA48" s="1490" t="e">
        <f>IF(BA47=0,0,BA47*BA44)</f>
        <v>#DIV/0!</v>
      </c>
      <c r="BC48" s="1490">
        <f>IF(BC47=0,0,BC47*BC44)</f>
        <v>0</v>
      </c>
      <c r="BE48" s="1663">
        <f>IF(BE47=0,0,BE47*BE44)</f>
        <v>0</v>
      </c>
      <c r="BG48" s="1929" t="e">
        <f>IF(BG47=0,0,BG47*BG44)</f>
        <v>#DIV/0!</v>
      </c>
      <c r="BI48" s="1929" t="e">
        <f>IF(BI47=0,0,BI47*BI44)</f>
        <v>#DIV/0!</v>
      </c>
      <c r="BK48" s="1929">
        <f>IF(BK47=0,0,BK47*BK44)</f>
        <v>0</v>
      </c>
      <c r="BM48" s="1930">
        <f>IF(BM47=0,0,BM47*BM44)</f>
        <v>0</v>
      </c>
      <c r="BO48" s="2472" t="e">
        <f>IF(BO47=0,0,BO47*BO44)</f>
        <v>#REF!</v>
      </c>
      <c r="BP48" s="2472" t="e">
        <f>IF(BP47=0,0,BP47*BP44)</f>
        <v>#REF!</v>
      </c>
      <c r="BQ48" s="2472">
        <f>IF(BQ47=0,0,BQ47*BQ44)</f>
        <v>0</v>
      </c>
      <c r="BR48" s="2472" t="e">
        <f>IF(BR47=0,0,BR47*BR44)</f>
        <v>#REF!</v>
      </c>
      <c r="CC48" s="354" t="e">
        <f>IF(CC47=0,0,CC47*CC44)</f>
        <v>#REF!</v>
      </c>
      <c r="CD48" s="355"/>
      <c r="CE48" s="354" t="e">
        <f>IF(CE47=0,0,CE47*CE44)</f>
        <v>#REF!</v>
      </c>
      <c r="CF48" s="355"/>
      <c r="CG48" s="354" t="e">
        <f>IF(CG47=0,0,CG47*CG44)</f>
        <v>#REF!</v>
      </c>
      <c r="CH48" s="355"/>
      <c r="CI48" s="354" t="e">
        <f>IF(CI47=0,0,CI47*CI44)</f>
        <v>#REF!</v>
      </c>
      <c r="CK48" s="935" t="e">
        <f>IF(CK47=0,0,CK47*CK44)</f>
        <v>#REF!</v>
      </c>
      <c r="CL48" s="936"/>
      <c r="CM48" s="935" t="e">
        <f>IF(CM47=0,0,CM47*CM44)</f>
        <v>#REF!</v>
      </c>
      <c r="CN48" s="936"/>
      <c r="CO48" s="935" t="e">
        <f>IF(CO47=0,0,CO47*CO44)</f>
        <v>#REF!</v>
      </c>
      <c r="CP48" s="936"/>
      <c r="CQ48" s="935" t="e">
        <f>IF(CQ47=0,0,CQ47*CQ44)</f>
        <v>#REF!</v>
      </c>
      <c r="CS48" s="911" t="e">
        <f>IF(CS47=0,0,CS47*CS44)</f>
        <v>#REF!</v>
      </c>
      <c r="CT48" s="912"/>
      <c r="CU48" s="911" t="e">
        <f>IF(CU47=0,0,CU47*CU44)</f>
        <v>#REF!</v>
      </c>
      <c r="CV48" s="912"/>
      <c r="CW48" s="911" t="e">
        <f>IF(CW47=0,0,CW47*CW44)</f>
        <v>#REF!</v>
      </c>
      <c r="CX48" s="912"/>
      <c r="CY48" s="911" t="e">
        <f>IF(CY47=0,0,CY47*CY44)</f>
        <v>#REF!</v>
      </c>
      <c r="DA48" s="800" t="e">
        <f>IF(DA47=0,0,DA47*DA44)</f>
        <v>#REF!</v>
      </c>
      <c r="DB48" s="889"/>
      <c r="DC48" s="800" t="e">
        <f>IF(DC47=0,0,DC47*DC44)</f>
        <v>#REF!</v>
      </c>
      <c r="DD48" s="889"/>
      <c r="DE48" s="800" t="e">
        <f>IF(DE47=0,0,DE47*DE44)</f>
        <v>#REF!</v>
      </c>
      <c r="DF48" s="889"/>
      <c r="DG48" s="800" t="e">
        <f>IF(DG47=0,0,DG47*DG44)</f>
        <v>#REF!</v>
      </c>
      <c r="DI48" s="911" t="e">
        <f>IF(DI47=0,0,DI47*DI44)</f>
        <v>#REF!</v>
      </c>
      <c r="DJ48" s="912"/>
      <c r="DK48" s="911" t="e">
        <f>IF(DK47=0,0,DK47*DK44)</f>
        <v>#REF!</v>
      </c>
      <c r="DL48" s="912"/>
      <c r="DM48" s="911" t="e">
        <f>IF(DM47=0,0,DM47*DM44)</f>
        <v>#REF!</v>
      </c>
      <c r="DN48" s="912"/>
      <c r="DO48" s="911" t="e">
        <f>IF(DO47=0,0,DO47*DO44)</f>
        <v>#REF!</v>
      </c>
      <c r="DQ48" s="800" t="e">
        <f>IF(DQ47=0,0,DQ47*DQ44)</f>
        <v>#REF!</v>
      </c>
      <c r="DR48" s="889"/>
      <c r="DS48" s="800" t="e">
        <f>IF(DS47=0,0,DS47*DS44)</f>
        <v>#REF!</v>
      </c>
      <c r="DT48" s="889"/>
      <c r="DU48" s="800" t="e">
        <f>IF(DU47=0,0,DU47*DU44)</f>
        <v>#REF!</v>
      </c>
      <c r="DV48" s="889"/>
      <c r="DW48" s="800" t="e">
        <f>IF(DW47=0,0,DW47*DW44)</f>
        <v>#REF!</v>
      </c>
      <c r="DY48" s="911" t="e">
        <f>IF(DY47=0,0,DY47*DY44)</f>
        <v>#REF!</v>
      </c>
      <c r="DZ48" s="912"/>
      <c r="EA48" s="911" t="e">
        <f>IF(EA47=0,0,EA47*EA44)</f>
        <v>#REF!</v>
      </c>
      <c r="EB48" s="912"/>
      <c r="EC48" s="911" t="e">
        <f>IF(EC47=0,0,EC47*EC44)</f>
        <v>#REF!</v>
      </c>
      <c r="ED48" s="912"/>
      <c r="EE48" s="911" t="e">
        <f>IF(EE47=0,0,EE47*EE44)</f>
        <v>#REF!</v>
      </c>
      <c r="EG48" s="800" t="e">
        <f>IF(EG47=0,0,EG47*EG44)</f>
        <v>#REF!</v>
      </c>
      <c r="EH48" s="889"/>
      <c r="EI48" s="800" t="e">
        <f>IF(EI47=0,0,EI47*EI44)</f>
        <v>#REF!</v>
      </c>
      <c r="EJ48" s="889"/>
      <c r="EK48" s="800">
        <f>IF(EK47=0,0,EK47*EK44)</f>
        <v>0</v>
      </c>
      <c r="EL48" s="889"/>
      <c r="EM48" s="800">
        <f>IF(EM47=0,0,EM47*EM44)</f>
        <v>0</v>
      </c>
    </row>
    <row r="49" spans="1:143">
      <c r="A49" s="67"/>
      <c r="I49" s="2070"/>
      <c r="K49" s="1551"/>
      <c r="L49" s="1551"/>
      <c r="M49" s="1551"/>
      <c r="N49" s="1551"/>
      <c r="O49" s="1551"/>
      <c r="P49" s="1551"/>
      <c r="Q49" s="1624"/>
      <c r="Y49" s="1093"/>
      <c r="AG49" s="1818"/>
      <c r="AO49" s="1642"/>
      <c r="AW49" s="1873"/>
      <c r="BE49" s="1612"/>
      <c r="BM49" s="1909"/>
      <c r="BO49" s="1472"/>
      <c r="BP49" s="1472"/>
      <c r="BQ49" s="1472"/>
      <c r="BR49" s="1472"/>
    </row>
    <row r="50" spans="1:143">
      <c r="A50" s="20" t="s">
        <v>294</v>
      </c>
      <c r="I50" s="2070"/>
      <c r="K50" s="1551"/>
      <c r="L50" s="1551"/>
      <c r="M50" s="1551"/>
      <c r="N50" s="1551"/>
      <c r="O50" s="1551"/>
      <c r="P50" s="1551"/>
      <c r="Q50" s="1624"/>
      <c r="Y50" s="1093"/>
      <c r="AG50" s="1818"/>
      <c r="AO50" s="1642"/>
      <c r="AW50" s="1873"/>
      <c r="BE50" s="1612"/>
      <c r="BM50" s="1909"/>
      <c r="BO50" s="1472"/>
      <c r="BP50" s="1472"/>
      <c r="BQ50" s="1472"/>
      <c r="BR50" s="1472"/>
    </row>
    <row r="51" spans="1:143">
      <c r="A51" s="67" t="s">
        <v>186</v>
      </c>
      <c r="C51" s="2368" t="e">
        <f>IF(C91&gt;C92,C92,C91)</f>
        <v>#REF!</v>
      </c>
      <c r="D51" s="2057"/>
      <c r="E51" s="2368">
        <v>0</v>
      </c>
      <c r="F51" s="2057"/>
      <c r="G51" s="2368" t="e">
        <f>IF(G91&gt;G92,G92,G91)</f>
        <v>#REF!</v>
      </c>
      <c r="H51" s="2057"/>
      <c r="I51" s="2369">
        <v>0</v>
      </c>
      <c r="K51" s="1550" t="e">
        <f>IF(K91&gt;K92,K92,K91)</f>
        <v>#REF!</v>
      </c>
      <c r="L51" s="1551"/>
      <c r="M51" s="1550">
        <v>0</v>
      </c>
      <c r="N51" s="1551"/>
      <c r="O51" s="1550" t="e">
        <f>IF(O91&gt;O92,O92,O91)</f>
        <v>#REF!</v>
      </c>
      <c r="P51" s="1551"/>
      <c r="Q51" s="1619">
        <v>0</v>
      </c>
      <c r="S51" s="695" t="e">
        <f>IF(S91&gt;S92,S92,S91)</f>
        <v>#DIV/0!</v>
      </c>
      <c r="T51" s="680"/>
      <c r="U51" s="695">
        <v>0</v>
      </c>
      <c r="V51" s="680"/>
      <c r="W51" s="695">
        <f>IF(W91&gt;W92,W92,W91)</f>
        <v>0</v>
      </c>
      <c r="X51" s="680"/>
      <c r="Y51" s="1097">
        <v>0</v>
      </c>
      <c r="AA51" s="1845" t="e">
        <f>IF(AA91&gt;AA92,AA92,AA91)</f>
        <v>#DIV/0!</v>
      </c>
      <c r="AB51" s="1838"/>
      <c r="AC51" s="1845">
        <v>0</v>
      </c>
      <c r="AD51" s="1838"/>
      <c r="AE51" s="1845">
        <f>IF(AE91&gt;AE92,AE92,AE91)</f>
        <v>0</v>
      </c>
      <c r="AF51" s="1838"/>
      <c r="AG51" s="1846">
        <v>0</v>
      </c>
      <c r="AI51" s="867" t="e">
        <f>IF(AI91&gt;AI92,AI92,AI91)</f>
        <v>#DIV/0!</v>
      </c>
      <c r="AJ51" s="864"/>
      <c r="AK51" s="867">
        <v>0</v>
      </c>
      <c r="AL51" s="864"/>
      <c r="AM51" s="867">
        <f>IF(AM91&gt;AM92,AM92,AM91)</f>
        <v>0</v>
      </c>
      <c r="AN51" s="864"/>
      <c r="AO51" s="1652">
        <v>0</v>
      </c>
      <c r="AQ51" s="1900" t="e">
        <f>IF(AQ91&gt;AQ92,AQ92,AQ91)</f>
        <v>#DIV/0!</v>
      </c>
      <c r="AR51" s="1893"/>
      <c r="AS51" s="1900">
        <v>0</v>
      </c>
      <c r="AT51" s="1893"/>
      <c r="AU51" s="1900">
        <f>IF(AU91&gt;AU92,AU92,AU91)</f>
        <v>0</v>
      </c>
      <c r="AV51" s="1893"/>
      <c r="AW51" s="1901">
        <v>0</v>
      </c>
      <c r="AY51" s="1515" t="e">
        <f>IF(AY91&gt;AY92,AY92,AY91)</f>
        <v>#DIV/0!</v>
      </c>
      <c r="AZ51" s="1516"/>
      <c r="BA51" s="1515">
        <v>0</v>
      </c>
      <c r="BB51" s="1516"/>
      <c r="BC51" s="1515">
        <f>IF(BC91&gt;BC92,BC92,BC91)</f>
        <v>0</v>
      </c>
      <c r="BD51" s="1516"/>
      <c r="BE51" s="1657">
        <v>0</v>
      </c>
      <c r="BG51" s="1914" t="e">
        <f>IF(BG91&gt;BG92,BG92,BG91)</f>
        <v>#DIV/0!</v>
      </c>
      <c r="BH51" s="1915"/>
      <c r="BI51" s="1914">
        <v>0</v>
      </c>
      <c r="BJ51" s="1915"/>
      <c r="BK51" s="1914">
        <f>IF(BK91&gt;BK92,BK92,BK91)</f>
        <v>0</v>
      </c>
      <c r="BL51" s="1915"/>
      <c r="BM51" s="1916">
        <v>0</v>
      </c>
      <c r="BO51" s="2681" t="e">
        <f>IF(BO91&gt;BO92,BO92,BO91)</f>
        <v>#REF!</v>
      </c>
      <c r="BP51" s="2681">
        <v>0</v>
      </c>
      <c r="BQ51" s="2681">
        <f>IF(BQ91&gt;BQ92,BQ92,BQ91)</f>
        <v>0</v>
      </c>
      <c r="BR51" s="2681">
        <v>0</v>
      </c>
      <c r="CC51" s="357" t="e">
        <f>IF(CC91&gt;CC92,CC92,CC91)</f>
        <v>#REF!</v>
      </c>
      <c r="CD51" s="355"/>
      <c r="CE51" s="357">
        <v>0</v>
      </c>
      <c r="CF51" s="355"/>
      <c r="CG51" s="357" t="e">
        <f>IF(CG91&gt;CG92,CG92,CG91)</f>
        <v>#REF!</v>
      </c>
      <c r="CH51" s="355"/>
      <c r="CI51" s="357">
        <v>0</v>
      </c>
      <c r="CK51" s="939" t="e">
        <f>IF(CK91&gt;CK92,CK92,CK91)</f>
        <v>#REF!</v>
      </c>
      <c r="CL51" s="936"/>
      <c r="CM51" s="939">
        <v>0</v>
      </c>
      <c r="CN51" s="936"/>
      <c r="CO51" s="939" t="e">
        <f>IF(CO91&gt;CO92,CO92,CO91)</f>
        <v>#REF!</v>
      </c>
      <c r="CP51" s="936"/>
      <c r="CQ51" s="939">
        <v>0</v>
      </c>
      <c r="CS51" s="915" t="e">
        <f>IF(CS91&gt;CS92,CS92,CS91)</f>
        <v>#REF!</v>
      </c>
      <c r="CT51" s="912"/>
      <c r="CU51" s="915">
        <v>0</v>
      </c>
      <c r="CV51" s="912"/>
      <c r="CW51" s="915" t="e">
        <f>IF(CW91&gt;CW92,CW92,CW91)</f>
        <v>#REF!</v>
      </c>
      <c r="CX51" s="912"/>
      <c r="CY51" s="915">
        <v>0</v>
      </c>
      <c r="DA51" s="892" t="e">
        <f>IF(DA91&gt;DA92,DA92,DA91)</f>
        <v>#REF!</v>
      </c>
      <c r="DB51" s="889"/>
      <c r="DC51" s="892">
        <v>0</v>
      </c>
      <c r="DD51" s="889"/>
      <c r="DE51" s="892" t="e">
        <f>IF(DE91&gt;DE92,DE92,DE91)</f>
        <v>#REF!</v>
      </c>
      <c r="DF51" s="889"/>
      <c r="DG51" s="892">
        <v>0</v>
      </c>
      <c r="DI51" s="915" t="e">
        <f>IF(DI91&gt;DI92,DI92,DI91)</f>
        <v>#REF!</v>
      </c>
      <c r="DJ51" s="912"/>
      <c r="DK51" s="915">
        <v>0</v>
      </c>
      <c r="DL51" s="912"/>
      <c r="DM51" s="915" t="e">
        <f>IF(DM91&gt;DM92,DM92,DM91)</f>
        <v>#REF!</v>
      </c>
      <c r="DN51" s="912"/>
      <c r="DO51" s="915">
        <v>0</v>
      </c>
      <c r="DQ51" s="892" t="e">
        <f>IF(DQ91&gt;DQ92,DQ92,DQ91)</f>
        <v>#REF!</v>
      </c>
      <c r="DR51" s="889"/>
      <c r="DS51" s="892">
        <v>0</v>
      </c>
      <c r="DT51" s="889"/>
      <c r="DU51" s="892" t="e">
        <f>IF(DU91&gt;DU92,DU92,DU91)</f>
        <v>#REF!</v>
      </c>
      <c r="DV51" s="889"/>
      <c r="DW51" s="892">
        <v>0</v>
      </c>
      <c r="DY51" s="915" t="e">
        <f>IF(DY91&gt;DY92,DY92,DY91)</f>
        <v>#REF!</v>
      </c>
      <c r="DZ51" s="912"/>
      <c r="EA51" s="915">
        <v>0</v>
      </c>
      <c r="EB51" s="912"/>
      <c r="EC51" s="915" t="e">
        <f>IF(EC91&gt;EC92,EC92,EC91)</f>
        <v>#REF!</v>
      </c>
      <c r="ED51" s="912"/>
      <c r="EE51" s="915">
        <v>0</v>
      </c>
      <c r="EG51" s="892" t="e">
        <f>IF(EG91&gt;EG92,EG92,EG91)</f>
        <v>#REF!</v>
      </c>
      <c r="EH51" s="889"/>
      <c r="EI51" s="892">
        <v>0</v>
      </c>
      <c r="EJ51" s="889"/>
      <c r="EK51" s="892">
        <f>IF(EK91&gt;EK92,EK92,EK91)</f>
        <v>0</v>
      </c>
      <c r="EL51" s="889"/>
      <c r="EM51" s="892">
        <v>0</v>
      </c>
    </row>
    <row r="52" spans="1:143">
      <c r="A52" s="67" t="s">
        <v>1453</v>
      </c>
      <c r="C52" s="2368" t="e">
        <f>'Data Entry - SOF'!C136*(C48/'Data Entry - SOF'!C93)</f>
        <v>#REF!</v>
      </c>
      <c r="D52" s="2057"/>
      <c r="E52" s="2368">
        <f>IF('Data Entry - SOF'!C137&gt;E94,E94,'Data Entry - SOF'!C137)</f>
        <v>0</v>
      </c>
      <c r="F52" s="2057"/>
      <c r="G52" s="2368" t="e">
        <f>'Data Entry - SOF'!C136*(G48/'Data Entry - SOF'!C93)</f>
        <v>#REF!</v>
      </c>
      <c r="H52" s="2057"/>
      <c r="I52" s="2369">
        <f>IF('Data Entry - SOF'!C137&gt;I94,I94,'Data Entry - SOF'!C137)</f>
        <v>0</v>
      </c>
      <c r="K52" s="1550" t="e">
        <f>'Data Entry - SOF'!#REF!*(K48/'Data Entry - SOF'!#REF!)</f>
        <v>#REF!</v>
      </c>
      <c r="L52" s="1551"/>
      <c r="M52" s="1550" t="e">
        <f>IF('Data Entry - SOF'!#REF!&gt;M94,M94,'Data Entry - SOF'!#REF!)</f>
        <v>#REF!</v>
      </c>
      <c r="N52" s="1551"/>
      <c r="O52" s="1550" t="e">
        <f>'Data Entry - SOF'!#REF!*(O48/'Data Entry - SOF'!#REF!)</f>
        <v>#REF!</v>
      </c>
      <c r="P52" s="1551"/>
      <c r="Q52" s="1619" t="e">
        <f>IF('Data Entry - SOF'!#REF!&gt;Q94,Q94,'Data Entry - SOF'!#REF!)</f>
        <v>#REF!</v>
      </c>
      <c r="S52" s="695" t="e">
        <f>'Data Entry - SOF'!E136*(S48/'Data Entry - SOF'!E93)</f>
        <v>#DIV/0!</v>
      </c>
      <c r="T52" s="680"/>
      <c r="U52" s="695">
        <f>IF('Data Entry - SOF'!E137&gt;U94,U94,'Data Entry - SOF'!E137)</f>
        <v>0</v>
      </c>
      <c r="V52" s="680"/>
      <c r="W52" s="695" t="e">
        <f>'Data Entry - SOF'!E136*(W48/'Data Entry - SOF'!E93)</f>
        <v>#DIV/0!</v>
      </c>
      <c r="X52" s="680"/>
      <c r="Y52" s="1097">
        <f>IF('Data Entry - SOF'!E137&gt;Y94,Y94,'Data Entry - SOF'!E137)</f>
        <v>0</v>
      </c>
      <c r="AA52" s="1845" t="e">
        <f>'Data Entry - SOF'!K136*(AA48/'Data Entry - SOF'!K93)</f>
        <v>#DIV/0!</v>
      </c>
      <c r="AB52" s="1838"/>
      <c r="AC52" s="1845">
        <f>IF('Data Entry - SOF'!K137&gt;AC94,AC94,'Data Entry - SOF'!K137)</f>
        <v>0</v>
      </c>
      <c r="AD52" s="1838"/>
      <c r="AE52" s="1845" t="e">
        <f>'Data Entry - SOF'!K136*(AE48/'Data Entry - SOF'!K93)</f>
        <v>#DIV/0!</v>
      </c>
      <c r="AF52" s="1838"/>
      <c r="AG52" s="1846">
        <f>IF('Data Entry - SOF'!K137&gt;AG94,AG94,'Data Entry - SOF'!K137)</f>
        <v>0</v>
      </c>
      <c r="AI52" s="867" t="e">
        <f>'Data Entry - SOF'!M136*(AI48/'Data Entry - SOF'!M93)</f>
        <v>#DIV/0!</v>
      </c>
      <c r="AJ52" s="864"/>
      <c r="AK52" s="867">
        <f>IF('Data Entry - SOF'!M137&gt;AK94,AK94,'Data Entry - SOF'!M137)</f>
        <v>0</v>
      </c>
      <c r="AL52" s="864"/>
      <c r="AM52" s="867" t="e">
        <f>'Data Entry - SOF'!M136*(AM48/'Data Entry - SOF'!M93)</f>
        <v>#DIV/0!</v>
      </c>
      <c r="AN52" s="864"/>
      <c r="AO52" s="1652">
        <f>IF('Data Entry - SOF'!M137&gt;AO94,AO94,'Data Entry - SOF'!M137)</f>
        <v>0</v>
      </c>
      <c r="AQ52" s="1900" t="e">
        <f>'Data Entry - SOF'!O136*(AQ48/'Data Entry - SOF'!O93)</f>
        <v>#DIV/0!</v>
      </c>
      <c r="AR52" s="1893"/>
      <c r="AS52" s="1900">
        <f>IF('Data Entry - SOF'!O137&gt;AS94,AS94,'Data Entry - SOF'!O137)</f>
        <v>0</v>
      </c>
      <c r="AT52" s="1893"/>
      <c r="AU52" s="1900" t="e">
        <f>'Data Entry - SOF'!O136*(AU48/'Data Entry - SOF'!O93)</f>
        <v>#DIV/0!</v>
      </c>
      <c r="AV52" s="1893"/>
      <c r="AW52" s="1901">
        <f>IF('Data Entry - SOF'!O137&gt;AW94,AW94,'Data Entry - SOF'!O137)</f>
        <v>0</v>
      </c>
      <c r="AY52" s="1515" t="e">
        <f>'Data Entry - SOF'!Q136*(AY48/'Data Entry - SOF'!Q93)</f>
        <v>#DIV/0!</v>
      </c>
      <c r="AZ52" s="1516"/>
      <c r="BA52" s="1515">
        <f>IF('Data Entry - SOF'!Q137&gt;BA94,BA94,'Data Entry - SOF'!Q137)</f>
        <v>0</v>
      </c>
      <c r="BB52" s="1516"/>
      <c r="BC52" s="1515" t="e">
        <f>'Data Entry - SOF'!Q136*(BC48/'Data Entry - SOF'!Q93)</f>
        <v>#DIV/0!</v>
      </c>
      <c r="BD52" s="1516"/>
      <c r="BE52" s="1657">
        <f>IF('Data Entry - SOF'!Q137&gt;BE94,BE94,'Data Entry - SOF'!Q137)</f>
        <v>0</v>
      </c>
      <c r="BG52" s="1914" t="e">
        <f>'Data Entry - SOF'!S136*(BG48/'Data Entry - SOF'!S93)</f>
        <v>#DIV/0!</v>
      </c>
      <c r="BH52" s="1915"/>
      <c r="BI52" s="1914">
        <f>IF('Data Entry - SOF'!S137&gt;BI94,BI94,'Data Entry - SOF'!S137)</f>
        <v>0</v>
      </c>
      <c r="BJ52" s="1915"/>
      <c r="BK52" s="1914" t="e">
        <f>'Data Entry - SOF'!S136*(BK48/'Data Entry - SOF'!S93)</f>
        <v>#DIV/0!</v>
      </c>
      <c r="BL52" s="1915"/>
      <c r="BM52" s="1916">
        <f>IF('Data Entry - SOF'!S137&gt;BM94,BM94,'Data Entry - SOF'!S137)</f>
        <v>0</v>
      </c>
      <c r="BO52" s="2681" t="e">
        <f>'Data Entry - SOF'!E136*(BO48/'Data Entry - SOF'!E93)</f>
        <v>#REF!</v>
      </c>
      <c r="BP52" s="2681" t="e">
        <f>IF('Data Entry - SOF'!E137&gt;BP94,BP94,'Data Entry - SOF'!E137)</f>
        <v>#REF!</v>
      </c>
      <c r="BQ52" s="2681" t="e">
        <f>'Data Entry - SOF'!E136*(BQ48/'Data Entry - SOF'!E93)</f>
        <v>#DIV/0!</v>
      </c>
      <c r="BR52" s="2699">
        <f>IF('Data Entry - SOF'!E137&gt;BR94,BR94,'Data Entry - SOF'!E137)</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39" t="e">
        <f>'Data Entry - SOF'!#REF!*(CK42/'Data Entry - SOF'!#REF!)</f>
        <v>#REF!</v>
      </c>
      <c r="CL52" s="936"/>
      <c r="CM52" s="939" t="e">
        <f>IF('Data Entry - SOF'!#REF!&gt;CM94,CM94,'Data Entry - SOF'!#REF!)</f>
        <v>#REF!</v>
      </c>
      <c r="CN52" s="936"/>
      <c r="CO52" s="939" t="e">
        <f>'Data Entry - SOF'!#REF!*(CO42/'Data Entry - SOF'!#REF!)</f>
        <v>#REF!</v>
      </c>
      <c r="CP52" s="936"/>
      <c r="CQ52" s="939" t="e">
        <f>IF('Data Entry - SOF'!#REF!&gt;CQ94,CQ94,'Data Entry - SOF'!#REF!)</f>
        <v>#REF!</v>
      </c>
      <c r="CS52" s="915" t="e">
        <f>'Data Entry - SOF'!#REF!*(CS42/'Data Entry - SOF'!#REF!)</f>
        <v>#REF!</v>
      </c>
      <c r="CT52" s="912"/>
      <c r="CU52" s="915" t="e">
        <f>IF('Data Entry - SOF'!#REF!&gt;CU94,CU94,'Data Entry - SOF'!#REF!)</f>
        <v>#REF!</v>
      </c>
      <c r="CV52" s="912"/>
      <c r="CW52" s="915" t="e">
        <f>'Data Entry - SOF'!#REF!*(CW42/'Data Entry - SOF'!#REF!)</f>
        <v>#REF!</v>
      </c>
      <c r="CX52" s="912"/>
      <c r="CY52" s="915" t="e">
        <f>IF('Data Entry - SOF'!#REF!&gt;CY94,CY94,'Data Entry - SOF'!#REF!)</f>
        <v>#REF!</v>
      </c>
      <c r="DA52" s="892" t="e">
        <f>'Data Entry - SOF'!#REF!*(DA42/'Data Entry - SOF'!#REF!)</f>
        <v>#REF!</v>
      </c>
      <c r="DB52" s="889"/>
      <c r="DC52" s="892" t="e">
        <f>IF('Data Entry - SOF'!#REF!&gt;DC94,DC94,'Data Entry - SOF'!#REF!)</f>
        <v>#REF!</v>
      </c>
      <c r="DD52" s="889"/>
      <c r="DE52" s="892" t="e">
        <f>'Data Entry - SOF'!#REF!*(DE42/'Data Entry - SOF'!#REF!)</f>
        <v>#REF!</v>
      </c>
      <c r="DF52" s="889"/>
      <c r="DG52" s="892" t="e">
        <f>IF('Data Entry - SOF'!#REF!&gt;DG94,DG94,'Data Entry - SOF'!#REF!)</f>
        <v>#REF!</v>
      </c>
      <c r="DI52" s="915" t="e">
        <f>'Data Entry - SOF'!C136*(DI48/'Data Entry - SOF'!C93)</f>
        <v>#REF!</v>
      </c>
      <c r="DJ52" s="912"/>
      <c r="DK52" s="915">
        <f>IF('Data Entry - SOF'!C137&gt;DK94,DK94,'Data Entry - SOF'!C137)</f>
        <v>0</v>
      </c>
      <c r="DL52" s="912"/>
      <c r="DM52" s="915" t="e">
        <f>'Data Entry - SOF'!C136*(DM48/'Data Entry - SOF'!C93)</f>
        <v>#REF!</v>
      </c>
      <c r="DN52" s="912"/>
      <c r="DO52" s="915">
        <f>IF('Data Entry - SOF'!C137&gt;DO94,DO94,'Data Entry - SOF'!C137)</f>
        <v>0</v>
      </c>
      <c r="DQ52" s="892" t="e">
        <f>'Data Entry - SOF'!C136*(DQ48/'Data Entry - SOF'!C93)</f>
        <v>#REF!</v>
      </c>
      <c r="DR52" s="889"/>
      <c r="DS52" s="892">
        <f>IF('Data Entry - SOF'!C137&gt;DS94,DS94,'Data Entry - SOF'!C137)</f>
        <v>0</v>
      </c>
      <c r="DT52" s="889"/>
      <c r="DU52" s="892" t="e">
        <f>'Data Entry - SOF'!C136*(DU48/'Data Entry - SOF'!C93)</f>
        <v>#REF!</v>
      </c>
      <c r="DV52" s="889"/>
      <c r="DW52" s="892">
        <f>IF('Data Entry - SOF'!C137&gt;DW94,DW94,'Data Entry - SOF'!C137)</f>
        <v>0</v>
      </c>
      <c r="DY52" s="915" t="e">
        <f>'Data Entry - SOF'!#REF!*(DY48/'Data Entry - SOF'!#REF!)</f>
        <v>#REF!</v>
      </c>
      <c r="DZ52" s="912"/>
      <c r="EA52" s="915" t="e">
        <f>IF('Data Entry - SOF'!#REF!&gt;EA94,EA94,'Data Entry - SOF'!#REF!)</f>
        <v>#REF!</v>
      </c>
      <c r="EB52" s="912"/>
      <c r="EC52" s="915" t="e">
        <f>'Data Entry - SOF'!#REF!*(EC48/'Data Entry - SOF'!#REF!)</f>
        <v>#REF!</v>
      </c>
      <c r="ED52" s="912"/>
      <c r="EE52" s="915" t="e">
        <f>IF('Data Entry - SOF'!#REF!&gt;EE94,EE94,'Data Entry - SOF'!#REF!)</f>
        <v>#REF!</v>
      </c>
      <c r="EG52" s="892" t="e">
        <f>'Data Entry - SOF'!E136*(EG48/'Data Entry - SOF'!E93)</f>
        <v>#REF!</v>
      </c>
      <c r="EH52" s="889"/>
      <c r="EI52" s="892">
        <f>IF('Data Entry - SOF'!E137&gt;EI94,EI94,'Data Entry - SOF'!E137)</f>
        <v>0</v>
      </c>
      <c r="EJ52" s="889"/>
      <c r="EK52" s="892" t="e">
        <f>'Data Entry - SOF'!E136*(EK48/'Data Entry - SOF'!E93)</f>
        <v>#DIV/0!</v>
      </c>
      <c r="EL52" s="889"/>
      <c r="EM52" s="892">
        <f>IF('Data Entry - SOF'!E137&gt;EM94,EM94,'Data Entry - SOF'!E137)</f>
        <v>0</v>
      </c>
    </row>
    <row r="53" spans="1:143">
      <c r="A53" s="67"/>
      <c r="C53" s="2057"/>
      <c r="D53" s="2057"/>
      <c r="E53" s="2057"/>
      <c r="F53" s="2057"/>
      <c r="G53" s="2057"/>
      <c r="H53" s="2057"/>
      <c r="I53" s="2370"/>
      <c r="K53" s="1551"/>
      <c r="L53" s="1551"/>
      <c r="M53" s="1551"/>
      <c r="N53" s="1551"/>
      <c r="O53" s="1551"/>
      <c r="P53" s="1551"/>
      <c r="Q53" s="1624"/>
      <c r="S53" s="680"/>
      <c r="T53" s="680"/>
      <c r="U53" s="680"/>
      <c r="V53" s="680"/>
      <c r="W53" s="680"/>
      <c r="X53" s="680"/>
      <c r="Y53" s="1098"/>
      <c r="AA53" s="1838"/>
      <c r="AB53" s="1838"/>
      <c r="AC53" s="1838"/>
      <c r="AD53" s="1838"/>
      <c r="AE53" s="1838"/>
      <c r="AF53" s="1838"/>
      <c r="AG53" s="1847"/>
      <c r="AI53" s="864"/>
      <c r="AJ53" s="864"/>
      <c r="AK53" s="864"/>
      <c r="AL53" s="864"/>
      <c r="AM53" s="864"/>
      <c r="AN53" s="864"/>
      <c r="AO53" s="1653"/>
      <c r="AQ53" s="1893"/>
      <c r="AR53" s="1893"/>
      <c r="AS53" s="1893"/>
      <c r="AT53" s="1893"/>
      <c r="AU53" s="1893"/>
      <c r="AV53" s="1893"/>
      <c r="AW53" s="1902"/>
      <c r="AY53" s="1516"/>
      <c r="AZ53" s="1516"/>
      <c r="BA53" s="1516"/>
      <c r="BB53" s="1516"/>
      <c r="BC53" s="1516"/>
      <c r="BD53" s="1516"/>
      <c r="BE53" s="1660"/>
      <c r="BG53" s="1915"/>
      <c r="BH53" s="1915"/>
      <c r="BI53" s="1915"/>
      <c r="BJ53" s="1915"/>
      <c r="BK53" s="1915"/>
      <c r="BL53" s="1915"/>
      <c r="BM53" s="1923"/>
      <c r="BO53" s="1512"/>
      <c r="BP53" s="1512"/>
      <c r="BQ53" s="1512"/>
      <c r="BR53" s="1512"/>
      <c r="CC53" s="355"/>
      <c r="CD53" s="355"/>
      <c r="CE53" s="355"/>
      <c r="CF53" s="355"/>
      <c r="CG53" s="355"/>
      <c r="CH53" s="355"/>
      <c r="CI53" s="355"/>
      <c r="CK53" s="936"/>
      <c r="CL53" s="936"/>
      <c r="CM53" s="936"/>
      <c r="CN53" s="936"/>
      <c r="CO53" s="936"/>
      <c r="CP53" s="936"/>
      <c r="CQ53" s="936"/>
      <c r="CS53" s="912"/>
      <c r="CT53" s="912"/>
      <c r="CU53" s="912"/>
      <c r="CV53" s="912"/>
      <c r="CW53" s="912"/>
      <c r="CX53" s="912"/>
      <c r="CY53" s="912"/>
      <c r="DA53" s="889"/>
      <c r="DB53" s="889"/>
      <c r="DC53" s="889"/>
      <c r="DD53" s="889"/>
      <c r="DE53" s="889"/>
      <c r="DF53" s="889"/>
      <c r="DG53" s="889"/>
      <c r="DI53" s="912"/>
      <c r="DJ53" s="912"/>
      <c r="DK53" s="912"/>
      <c r="DL53" s="912"/>
      <c r="DM53" s="912"/>
      <c r="DN53" s="912"/>
      <c r="DO53" s="912"/>
      <c r="DQ53" s="889"/>
      <c r="DR53" s="889"/>
      <c r="DS53" s="889"/>
      <c r="DT53" s="889"/>
      <c r="DU53" s="889"/>
      <c r="DV53" s="889"/>
      <c r="DW53" s="889"/>
      <c r="DY53" s="912"/>
      <c r="DZ53" s="912"/>
      <c r="EA53" s="912"/>
      <c r="EB53" s="912"/>
      <c r="EC53" s="912"/>
      <c r="ED53" s="912"/>
      <c r="EE53" s="912"/>
      <c r="EG53" s="889"/>
      <c r="EH53" s="889"/>
      <c r="EI53" s="889"/>
      <c r="EJ53" s="889"/>
      <c r="EK53" s="889"/>
      <c r="EL53" s="889"/>
      <c r="EM53" s="889"/>
    </row>
    <row r="54" spans="1:143"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56" t="e">
        <f>IF(K48-K51-K52&lt;0,0,K48-K51-K52)</f>
        <v>#REF!</v>
      </c>
      <c r="L54" s="1551"/>
      <c r="M54" s="1556" t="e">
        <f>IF(M48-M51-M52&lt;0,0,M48-M51-M52)</f>
        <v>#REF!</v>
      </c>
      <c r="N54" s="1551"/>
      <c r="O54" s="1556" t="e">
        <f>IF(O48-O51-O52&lt;0,0,O48-O51-O52)</f>
        <v>#REF!</v>
      </c>
      <c r="P54" s="1551"/>
      <c r="Q54" s="1625" t="e">
        <f>IF(Q48-Q51-Q52&lt;0,0,Q48-Q51-Q52)</f>
        <v>#REF!</v>
      </c>
      <c r="S54" s="696" t="e">
        <f>IF(S48-S51-S52&lt;0,0,S48-S51-S52)</f>
        <v>#DIV/0!</v>
      </c>
      <c r="T54" s="680"/>
      <c r="U54" s="696" t="e">
        <f>IF(U48-U51-U52&lt;0,0,U48-U51-U52)</f>
        <v>#DIV/0!</v>
      </c>
      <c r="V54" s="680"/>
      <c r="W54" s="696" t="e">
        <f>IF(W48-W51-W52&lt;0,0,W48-W51-W52)</f>
        <v>#DIV/0!</v>
      </c>
      <c r="X54" s="680"/>
      <c r="Y54" s="1099">
        <f>IF(Y48-Y51-Y52&lt;0,0,Y48-Y51-Y52)</f>
        <v>0</v>
      </c>
      <c r="AA54" s="1848" t="e">
        <f>IF(AA48-AA51-AA52&lt;0,0,AA48-AA51-AA52)</f>
        <v>#DIV/0!</v>
      </c>
      <c r="AB54" s="1838"/>
      <c r="AC54" s="1848" t="e">
        <f>IF(AC48-AC51-AC52&lt;0,0,AC48-AC51-AC52)</f>
        <v>#DIV/0!</v>
      </c>
      <c r="AD54" s="1838"/>
      <c r="AE54" s="1848" t="e">
        <f>IF(AE48-AE51-AE52&lt;0,0,AE48-AE51-AE52)</f>
        <v>#DIV/0!</v>
      </c>
      <c r="AF54" s="1838"/>
      <c r="AG54" s="1849">
        <f>IF(AG48-AG51-AG52&lt;0,0,AG48-AG51-AG52)</f>
        <v>0</v>
      </c>
      <c r="AI54" s="868" t="e">
        <f>IF(AI48-AI51-AI52&lt;0,0,AI48-AI51-AI52)</f>
        <v>#DIV/0!</v>
      </c>
      <c r="AJ54" s="864"/>
      <c r="AK54" s="868" t="e">
        <f>IF(AK48-AK51-AK52&lt;0,0,AK48-AK51-AK52)</f>
        <v>#DIV/0!</v>
      </c>
      <c r="AL54" s="864"/>
      <c r="AM54" s="868" t="e">
        <f>IF(AM48-AM51-AM52&lt;0,0,AM48-AM51-AM52)</f>
        <v>#DIV/0!</v>
      </c>
      <c r="AN54" s="864"/>
      <c r="AO54" s="1654">
        <f>IF(AO48-AO51-AO52&lt;0,0,AO48-AO51-AO52)</f>
        <v>0</v>
      </c>
      <c r="AQ54" s="1903" t="e">
        <f>IF(AQ48-AQ51-AQ52&lt;0,0,AQ48-AQ51-AQ52)</f>
        <v>#DIV/0!</v>
      </c>
      <c r="AR54" s="1893"/>
      <c r="AS54" s="1903" t="e">
        <f>IF(AS48-AS51-AS52&lt;0,0,AS48-AS51-AS52)</f>
        <v>#DIV/0!</v>
      </c>
      <c r="AT54" s="1893"/>
      <c r="AU54" s="1903" t="e">
        <f>IF(AU48-AU51-AU52&lt;0,0,AU48-AU51-AU52)</f>
        <v>#DIV/0!</v>
      </c>
      <c r="AV54" s="1893"/>
      <c r="AW54" s="1904">
        <f>IF(AW48-AW51-AW52&lt;0,0,AW48-AW51-AW52)</f>
        <v>0</v>
      </c>
      <c r="AY54" s="1546" t="e">
        <f>IF(AY48-AY51-AY52&lt;0,0,AY48-AY51-AY52)</f>
        <v>#DIV/0!</v>
      </c>
      <c r="AZ54" s="1516"/>
      <c r="BA54" s="1546" t="e">
        <f>IF(BA48-BA51-BA52&lt;0,0,BA48-BA51-BA52)</f>
        <v>#DIV/0!</v>
      </c>
      <c r="BB54" s="1516"/>
      <c r="BC54" s="1546" t="e">
        <f>IF(BC48-BC51-BC52&lt;0,0,BC48-BC51-BC52)</f>
        <v>#DIV/0!</v>
      </c>
      <c r="BD54" s="1516"/>
      <c r="BE54" s="1664">
        <f>IF(BE48-BE51-BE52&lt;0,0,BE48-BE51-BE52)</f>
        <v>0</v>
      </c>
      <c r="BG54" s="1931" t="e">
        <f>IF(BG48-BG51-BG52&lt;0,0,BG48-BG51-BG52)</f>
        <v>#DIV/0!</v>
      </c>
      <c r="BH54" s="1915"/>
      <c r="BI54" s="1931" t="e">
        <f>IF(BI48-BI51-BI52&lt;0,0,BI48-BI51-BI52)</f>
        <v>#DIV/0!</v>
      </c>
      <c r="BJ54" s="1915"/>
      <c r="BK54" s="1931" t="e">
        <f>IF(BK48-BK51-BK52&lt;0,0,BK48-BK51-BK52)</f>
        <v>#DIV/0!</v>
      </c>
      <c r="BL54" s="1915"/>
      <c r="BM54" s="1932">
        <f>IF(BM48-BM51-BM52&lt;0,0,BM48-BM51-BM52)</f>
        <v>0</v>
      </c>
      <c r="BO54" s="2682" t="e">
        <f>IF(BO48-BO51-BO52&lt;0,0,BO48-BO51-BO52)</f>
        <v>#REF!</v>
      </c>
      <c r="BP54" s="2682" t="e">
        <f>IF(BP48-BP51-BP52&lt;0,0,BP48-BP51-BP52)</f>
        <v>#REF!</v>
      </c>
      <c r="BQ54" s="2682" t="e">
        <f>IF(BQ48-BQ51-BQ52&lt;0,0,BQ48-BQ51-BQ52)</f>
        <v>#DIV/0!</v>
      </c>
      <c r="BR54" s="2682"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40" t="e">
        <f>IF(CK48-CK51-CK52&lt;0,0,CK48-CK51-CK52)</f>
        <v>#REF!</v>
      </c>
      <c r="CL54" s="936"/>
      <c r="CM54" s="940" t="e">
        <f>IF(CM48-CM51-CM52&lt;0,0,CM48-CM51-CM52)</f>
        <v>#REF!</v>
      </c>
      <c r="CN54" s="936"/>
      <c r="CO54" s="940" t="e">
        <f>IF(CO48-CO51-CO52&lt;0,0,CO48-CO51-CO52)</f>
        <v>#REF!</v>
      </c>
      <c r="CP54" s="936"/>
      <c r="CQ54" s="940" t="e">
        <f>IF(CQ48-CQ51-CQ52&lt;0,0,CQ48-CQ51-CQ52)</f>
        <v>#REF!</v>
      </c>
      <c r="CS54" s="916" t="e">
        <f>IF(CS48-CS51-CS52&lt;0,0,CS48-CS51-CS52)</f>
        <v>#REF!</v>
      </c>
      <c r="CT54" s="912"/>
      <c r="CU54" s="916" t="e">
        <f>IF(CU48-CU51-CU52&lt;0,0,CU48-CU51-CU52)</f>
        <v>#REF!</v>
      </c>
      <c r="CV54" s="912"/>
      <c r="CW54" s="916" t="e">
        <f>IF(CW48-CW51-CW52&lt;0,0,CW48-CW51-CW52)</f>
        <v>#REF!</v>
      </c>
      <c r="CX54" s="912"/>
      <c r="CY54" s="916" t="e">
        <f>IF(CY48-CY51-CY52&lt;0,0,CY48-CY51-CY52)</f>
        <v>#REF!</v>
      </c>
      <c r="DA54" s="893" t="e">
        <f>IF(DA48-DA51-DA52&lt;0,0,DA48-DA51-DA52)</f>
        <v>#REF!</v>
      </c>
      <c r="DB54" s="889"/>
      <c r="DC54" s="893" t="e">
        <f>IF(DC48-DC51-DC52&lt;0,0,DC48-DC51-DC52)</f>
        <v>#REF!</v>
      </c>
      <c r="DD54" s="889"/>
      <c r="DE54" s="893" t="e">
        <f>IF(DE48-DE51-DE52&lt;0,0,DE48-DE51-DE52)</f>
        <v>#REF!</v>
      </c>
      <c r="DF54" s="889"/>
      <c r="DG54" s="893" t="e">
        <f>IF(DG48-DG51-DG52&lt;0,0,DG48-DG51-DG52)</f>
        <v>#REF!</v>
      </c>
      <c r="DI54" s="916" t="e">
        <f>IF(DI48-DI51-DI52&lt;0,0,DI48-DI51-DI52)</f>
        <v>#REF!</v>
      </c>
      <c r="DJ54" s="912"/>
      <c r="DK54" s="916" t="e">
        <f>IF(DK48-DK51-DK52&lt;0,0,DK48-DK51-DK52)</f>
        <v>#REF!</v>
      </c>
      <c r="DL54" s="912"/>
      <c r="DM54" s="916" t="e">
        <f>IF(DM48-DM51-DM52&lt;0,0,DM48-DM51-DM52)</f>
        <v>#REF!</v>
      </c>
      <c r="DN54" s="912"/>
      <c r="DO54" s="916" t="e">
        <f>IF(DO48-DO51-DO52&lt;0,0,DO48-DO51-DO52)</f>
        <v>#REF!</v>
      </c>
      <c r="DQ54" s="893" t="e">
        <f>IF(DQ48-DQ51-DQ52&lt;0,0,DQ48-DQ51-DQ52)</f>
        <v>#REF!</v>
      </c>
      <c r="DR54" s="889"/>
      <c r="DS54" s="893" t="e">
        <f>IF(DS48-DS51-DS52&lt;0,0,DS48-DS51-DS52)</f>
        <v>#REF!</v>
      </c>
      <c r="DT54" s="889"/>
      <c r="DU54" s="893" t="e">
        <f>IF(DU48-DU51-DU52&lt;0,0,DU48-DU51-DU52)</f>
        <v>#REF!</v>
      </c>
      <c r="DV54" s="889"/>
      <c r="DW54" s="893" t="e">
        <f>IF(DW48-DW51-DW52&lt;0,0,DW48-DW51-DW52)</f>
        <v>#REF!</v>
      </c>
      <c r="DY54" s="916" t="e">
        <f>IF(DY48-DY51-DY52&lt;0,0,DY48-DY51-DY52)</f>
        <v>#REF!</v>
      </c>
      <c r="DZ54" s="912"/>
      <c r="EA54" s="916" t="e">
        <f>IF(EA48-EA51-EA52&lt;0,0,EA48-EA51-EA52)</f>
        <v>#REF!</v>
      </c>
      <c r="EB54" s="912"/>
      <c r="EC54" s="916" t="e">
        <f>IF(EC48-EC51-EC52&lt;0,0,EC48-EC51-EC52)</f>
        <v>#REF!</v>
      </c>
      <c r="ED54" s="912"/>
      <c r="EE54" s="916" t="e">
        <f>IF(EE48-EE51-EE52&lt;0,0,EE48-EE51-EE52)</f>
        <v>#REF!</v>
      </c>
      <c r="EG54" s="893" t="e">
        <f>IF(EG48-EG51-EG52&lt;0,0,EG48-EG51-EG52)</f>
        <v>#REF!</v>
      </c>
      <c r="EH54" s="889"/>
      <c r="EI54" s="893" t="e">
        <f>IF(EI48-EI51-EI52&lt;0,0,EI48-EI51-EI52)</f>
        <v>#REF!</v>
      </c>
      <c r="EJ54" s="889"/>
      <c r="EK54" s="893" t="e">
        <f>IF(EK48-EK51-EK52&lt;0,0,EK48-EK51-EK52)</f>
        <v>#DIV/0!</v>
      </c>
      <c r="EL54" s="889"/>
      <c r="EM54" s="893">
        <f>IF(EM48-EM51-EM52&lt;0,0,EM48-EM51-EM52)</f>
        <v>0</v>
      </c>
    </row>
    <row r="55" spans="1:143" ht="13.5" thickTop="1">
      <c r="A55" s="20" t="s">
        <v>542</v>
      </c>
      <c r="C55" s="2057" t="e">
        <f>IF(C47=0,0,C54/C47)</f>
        <v>#REF!</v>
      </c>
      <c r="D55" s="2057"/>
      <c r="E55" s="2057" t="e">
        <f>IF(E47=0,0,E54/E47)</f>
        <v>#REF!</v>
      </c>
      <c r="F55" s="2057"/>
      <c r="G55" s="2057" t="e">
        <f>IF(G47=0,0,G54/G47)</f>
        <v>#REF!</v>
      </c>
      <c r="H55" s="2057"/>
      <c r="I55" s="2370" t="e">
        <f>IF(I47=0,0,I54/I47)</f>
        <v>#REF!</v>
      </c>
      <c r="K55" s="1551" t="e">
        <f>IF(K47=0,0,K54/K47)</f>
        <v>#REF!</v>
      </c>
      <c r="L55" s="1551"/>
      <c r="M55" s="1551" t="e">
        <f>IF(M47=0,0,M54/M47)</f>
        <v>#REF!</v>
      </c>
      <c r="N55" s="1551"/>
      <c r="O55" s="1551" t="e">
        <f>IF(O47=0,0,O54/O47)</f>
        <v>#REF!</v>
      </c>
      <c r="P55" s="1551"/>
      <c r="Q55" s="1624" t="e">
        <f>IF(Q47=0,0,Q54/Q47)</f>
        <v>#REF!</v>
      </c>
      <c r="S55" s="680" t="e">
        <f>IF(S47=0,0,S54/S47)</f>
        <v>#DIV/0!</v>
      </c>
      <c r="T55" s="680"/>
      <c r="U55" s="680" t="e">
        <f>IF(U47=0,0,U54/U47)</f>
        <v>#DIV/0!</v>
      </c>
      <c r="V55" s="680"/>
      <c r="W55" s="680">
        <f>IF(W47=0,0,W54/W47)</f>
        <v>0</v>
      </c>
      <c r="X55" s="680"/>
      <c r="Y55" s="1098">
        <f>IF(Y47=0,0,Y54/Y47)</f>
        <v>0</v>
      </c>
      <c r="AA55" s="1838" t="e">
        <f>IF(AA47=0,0,AA54/AA47)</f>
        <v>#DIV/0!</v>
      </c>
      <c r="AB55" s="1838"/>
      <c r="AC55" s="1838" t="e">
        <f>IF(AC47=0,0,AC54/AC47)</f>
        <v>#DIV/0!</v>
      </c>
      <c r="AD55" s="1838"/>
      <c r="AE55" s="1838">
        <f>IF(AE47=0,0,AE54/AE47)</f>
        <v>0</v>
      </c>
      <c r="AF55" s="1838"/>
      <c r="AG55" s="1847">
        <f>IF(AG47=0,0,AG54/AG47)</f>
        <v>0</v>
      </c>
      <c r="AI55" s="864" t="e">
        <f>IF(AI47=0,0,AI54/AI47)</f>
        <v>#DIV/0!</v>
      </c>
      <c r="AJ55" s="864"/>
      <c r="AK55" s="864" t="e">
        <f>IF(AK47=0,0,AK54/AK47)</f>
        <v>#DIV/0!</v>
      </c>
      <c r="AL55" s="864"/>
      <c r="AM55" s="864">
        <f>IF(AM47=0,0,AM54/AM47)</f>
        <v>0</v>
      </c>
      <c r="AN55" s="864"/>
      <c r="AO55" s="1653">
        <f>IF(AO47=0,0,AO54/AO47)</f>
        <v>0</v>
      </c>
      <c r="AQ55" s="1893" t="e">
        <f>IF(AQ47=0,0,AQ54/AQ47)</f>
        <v>#DIV/0!</v>
      </c>
      <c r="AR55" s="1893"/>
      <c r="AS55" s="1893" t="e">
        <f>IF(AS47=0,0,AS54/AS47)</f>
        <v>#DIV/0!</v>
      </c>
      <c r="AT55" s="1893"/>
      <c r="AU55" s="1893">
        <f>IF(AU47=0,0,AU54/AU47)</f>
        <v>0</v>
      </c>
      <c r="AV55" s="1893"/>
      <c r="AW55" s="1902">
        <f>IF(AW47=0,0,AW54/AW47)</f>
        <v>0</v>
      </c>
      <c r="AY55" s="1516" t="e">
        <f>IF(AY47=0,0,AY54/AY47)</f>
        <v>#DIV/0!</v>
      </c>
      <c r="AZ55" s="1516"/>
      <c r="BA55" s="1516" t="e">
        <f>IF(BA47=0,0,BA54/BA47)</f>
        <v>#DIV/0!</v>
      </c>
      <c r="BB55" s="1516"/>
      <c r="BC55" s="1516">
        <f>IF(BC47=0,0,BC54/BC47)</f>
        <v>0</v>
      </c>
      <c r="BD55" s="1516"/>
      <c r="BE55" s="1660">
        <f>IF(BE47=0,0,BE54/BE47)</f>
        <v>0</v>
      </c>
      <c r="BG55" s="1915" t="e">
        <f>IF(BG47=0,0,BG54/BG47)</f>
        <v>#DIV/0!</v>
      </c>
      <c r="BH55" s="1915"/>
      <c r="BI55" s="1915" t="e">
        <f>IF(BI47=0,0,BI54/BI47)</f>
        <v>#DIV/0!</v>
      </c>
      <c r="BJ55" s="1915"/>
      <c r="BK55" s="1915">
        <f>IF(BK47=0,0,BK54/BK47)</f>
        <v>0</v>
      </c>
      <c r="BL55" s="1915"/>
      <c r="BM55" s="1923">
        <f>IF(BM47=0,0,BM54/BM47)</f>
        <v>0</v>
      </c>
      <c r="BO55" s="1512" t="e">
        <f>IF(BO47=0,0,BO54/BO47)</f>
        <v>#REF!</v>
      </c>
      <c r="BP55" s="1512" t="e">
        <f>IF(BP47=0,0,BP54/BP47)</f>
        <v>#REF!</v>
      </c>
      <c r="BQ55" s="1422"/>
      <c r="BR55" s="1422"/>
      <c r="CC55" s="355" t="e">
        <f>IF(CC47=0,0,CC54/CC47)</f>
        <v>#REF!</v>
      </c>
      <c r="CD55" s="355"/>
      <c r="CE55" s="355" t="e">
        <f>IF(CE47=0,0,CE54/CE47)</f>
        <v>#REF!</v>
      </c>
      <c r="CF55" s="355"/>
      <c r="CG55" s="355" t="e">
        <f>IF(CG47=0,0,CG54/CG47)</f>
        <v>#REF!</v>
      </c>
      <c r="CH55" s="355"/>
      <c r="CI55" s="355" t="e">
        <f>IF(CI47=0,0,CI54/CI47)</f>
        <v>#REF!</v>
      </c>
      <c r="CK55" s="936" t="e">
        <f>IF(CK47=0,0,CK54/CK47)</f>
        <v>#REF!</v>
      </c>
      <c r="CL55" s="936"/>
      <c r="CM55" s="936" t="e">
        <f>IF(CM47=0,0,CM54/CM47)</f>
        <v>#REF!</v>
      </c>
      <c r="CN55" s="936"/>
      <c r="CO55" s="936" t="e">
        <f>IF(CO47=0,0,CO54/CO47)</f>
        <v>#REF!</v>
      </c>
      <c r="CP55" s="936"/>
      <c r="CQ55" s="936" t="e">
        <f>IF(CQ47=0,0,CQ54/CQ47)</f>
        <v>#REF!</v>
      </c>
      <c r="CS55" s="912" t="e">
        <f>IF(CS47=0,0,CS54/CS47)</f>
        <v>#REF!</v>
      </c>
      <c r="CT55" s="912"/>
      <c r="CU55" s="912" t="e">
        <f>IF(CU47=0,0,CU54/CU47)</f>
        <v>#REF!</v>
      </c>
      <c r="CV55" s="912"/>
      <c r="CW55" s="912" t="e">
        <f>IF(CW47=0,0,CW54/CW47)</f>
        <v>#REF!</v>
      </c>
      <c r="CX55" s="912"/>
      <c r="CY55" s="912" t="e">
        <f>IF(CY47=0,0,CY54/CY47)</f>
        <v>#REF!</v>
      </c>
      <c r="DA55" s="889" t="e">
        <f>IF(DA47=0,0,DA54/DA47)</f>
        <v>#REF!</v>
      </c>
      <c r="DB55" s="889"/>
      <c r="DC55" s="889" t="e">
        <f>IF(DC47=0,0,DC54/DC47)</f>
        <v>#REF!</v>
      </c>
      <c r="DD55" s="889"/>
      <c r="DE55" s="889" t="e">
        <f>IF(DE47=0,0,DE54/DE47)</f>
        <v>#REF!</v>
      </c>
      <c r="DF55" s="889"/>
      <c r="DG55" s="889" t="e">
        <f>IF(DG47=0,0,DG54/DG47)</f>
        <v>#REF!</v>
      </c>
      <c r="DI55" s="912" t="e">
        <f>IF(DI47=0,0,DI54/DI47)</f>
        <v>#REF!</v>
      </c>
      <c r="DJ55" s="912"/>
      <c r="DK55" s="912" t="e">
        <f>IF(DK47=0,0,DK54/DK47)</f>
        <v>#REF!</v>
      </c>
      <c r="DL55" s="912"/>
      <c r="DM55" s="912" t="e">
        <f>IF(DM47=0,0,DM54/DM47)</f>
        <v>#REF!</v>
      </c>
      <c r="DN55" s="912"/>
      <c r="DO55" s="912" t="e">
        <f>IF(DO47=0,0,DO54/DO47)</f>
        <v>#REF!</v>
      </c>
      <c r="DQ55" s="889" t="e">
        <f>IF(DQ47=0,0,DQ54/DQ47)</f>
        <v>#REF!</v>
      </c>
      <c r="DR55" s="889"/>
      <c r="DS55" s="889" t="e">
        <f>IF(DS47=0,0,DS54/DS47)</f>
        <v>#REF!</v>
      </c>
      <c r="DT55" s="889"/>
      <c r="DU55" s="889" t="e">
        <f>IF(DU47=0,0,DU54/DU47)</f>
        <v>#REF!</v>
      </c>
      <c r="DV55" s="889"/>
      <c r="DW55" s="889" t="e">
        <f>IF(DW47=0,0,DW54/DW47)</f>
        <v>#REF!</v>
      </c>
      <c r="DY55" s="912" t="e">
        <f>IF(DY47=0,0,DY54/DY47)</f>
        <v>#REF!</v>
      </c>
      <c r="DZ55" s="912"/>
      <c r="EA55" s="912" t="e">
        <f>IF(EA47=0,0,EA54/EA47)</f>
        <v>#REF!</v>
      </c>
      <c r="EB55" s="912"/>
      <c r="EC55" s="912" t="e">
        <f>IF(EC47=0,0,EC54/EC47)</f>
        <v>#REF!</v>
      </c>
      <c r="ED55" s="912"/>
      <c r="EE55" s="912" t="e">
        <f>IF(EE47=0,0,EE54/EE47)</f>
        <v>#REF!</v>
      </c>
      <c r="EG55" s="889" t="e">
        <f>IF(EG47=0,0,EG54/EG47)</f>
        <v>#REF!</v>
      </c>
      <c r="EH55" s="889"/>
      <c r="EI55" s="889" t="e">
        <f>IF(EI47=0,0,EI54/EI47)</f>
        <v>#REF!</v>
      </c>
      <c r="EJ55" s="889"/>
      <c r="EK55" s="889">
        <f>IF(EK47=0,0,EK54/EK47)</f>
        <v>0</v>
      </c>
      <c r="EL55" s="889"/>
      <c r="EM55" s="889">
        <f>IF(EM47=0,0,EM54/EM47)</f>
        <v>0</v>
      </c>
    </row>
    <row r="56" spans="1:143">
      <c r="I56" s="2070"/>
      <c r="K56" s="1551"/>
      <c r="L56" s="1551"/>
      <c r="M56" s="1551"/>
      <c r="N56" s="1551"/>
      <c r="O56" s="1551"/>
      <c r="P56" s="1551"/>
      <c r="Q56" s="1624"/>
      <c r="Y56" s="1093"/>
      <c r="AG56" s="1818"/>
      <c r="AO56" s="1642"/>
      <c r="AW56" s="1873"/>
      <c r="AY56" s="1516"/>
      <c r="AZ56" s="1516"/>
      <c r="BA56" s="1516"/>
      <c r="BB56" s="1516"/>
      <c r="BC56" s="1516"/>
      <c r="BD56" s="1516"/>
      <c r="BE56" s="1660"/>
      <c r="BG56" s="1915"/>
      <c r="BH56" s="1915"/>
      <c r="BI56" s="1915"/>
      <c r="BJ56" s="1915"/>
      <c r="BK56" s="1915"/>
      <c r="BL56" s="1915"/>
      <c r="BM56" s="1923"/>
      <c r="BO56" s="1472"/>
      <c r="BP56" s="1472"/>
      <c r="BQ56" s="1422"/>
      <c r="BR56" s="1422"/>
    </row>
    <row r="57" spans="1:143">
      <c r="A57" s="64" t="s">
        <v>1139</v>
      </c>
      <c r="C57" s="2373" t="e">
        <f>#REF!</f>
        <v>#REF!</v>
      </c>
      <c r="G57" s="2374" t="e">
        <f>#REF!</f>
        <v>#REF!</v>
      </c>
      <c r="I57" s="2070"/>
      <c r="K57" s="1557" t="e">
        <f>'Report-Recapture1718'!G65</f>
        <v>#REF!</v>
      </c>
      <c r="L57" s="1551"/>
      <c r="M57" s="1551"/>
      <c r="N57" s="1551"/>
      <c r="O57" s="1557" t="e">
        <f>'Report-Recapture1718'!G141</f>
        <v>#REF!</v>
      </c>
      <c r="P57" s="1551"/>
      <c r="Q57" s="1624"/>
      <c r="S57" s="697" t="str">
        <f>'Report-Recapture1819'!G65</f>
        <v>Y</v>
      </c>
      <c r="W57" s="698" t="str">
        <f>'Report-Recapture1819'!G141</f>
        <v>Y</v>
      </c>
      <c r="Y57" s="1093"/>
      <c r="AA57" s="1850" t="str">
        <f>'Report-Recapture1920'!G65</f>
        <v>Y</v>
      </c>
      <c r="AE57" s="1851" t="str">
        <f>'Report-Recapture1920'!G141</f>
        <v>Y</v>
      </c>
      <c r="AG57" s="1818"/>
      <c r="AI57" s="869" t="str">
        <f>'Report-Recapture2021'!G65</f>
        <v>Y</v>
      </c>
      <c r="AM57" s="870" t="str">
        <f>'Report-Recapture2021'!G141</f>
        <v>Y</v>
      </c>
      <c r="AO57" s="1642"/>
      <c r="AQ57" s="1905" t="str">
        <f>'Report-Recapture2122'!G65</f>
        <v>Y</v>
      </c>
      <c r="AU57" s="1906" t="str">
        <f>'Report-Recapture2122'!G141</f>
        <v>Y</v>
      </c>
      <c r="AW57" s="1873"/>
      <c r="AY57" s="1520" t="str">
        <f>'Report-Recapture2223'!G65</f>
        <v>Y</v>
      </c>
      <c r="AZ57" s="1516"/>
      <c r="BA57" s="1516"/>
      <c r="BB57" s="1516"/>
      <c r="BC57" s="1520" t="str">
        <f>'Report-Recapture2223'!G141</f>
        <v>Y</v>
      </c>
      <c r="BD57" s="1516"/>
      <c r="BE57" s="1660"/>
      <c r="BG57" s="1924" t="str">
        <f>'Report-Recapture2324'!G65</f>
        <v>Y</v>
      </c>
      <c r="BH57" s="1915"/>
      <c r="BI57" s="1915"/>
      <c r="BJ57" s="1915"/>
      <c r="BK57" s="1924" t="str">
        <f>'Report-Recapture2324'!G141</f>
        <v>Y</v>
      </c>
      <c r="BL57" s="1915"/>
      <c r="BM57" s="1923"/>
      <c r="BO57" s="2683" t="str">
        <f>S57</f>
        <v>Y</v>
      </c>
      <c r="BP57" s="1472"/>
      <c r="BQ57" s="2683" t="str">
        <f>W57</f>
        <v>Y</v>
      </c>
      <c r="BR57" s="1422"/>
      <c r="CC57" s="876" t="e">
        <f>#REF!</f>
        <v>#REF!</v>
      </c>
      <c r="CG57" s="877" t="e">
        <f>#REF!</f>
        <v>#REF!</v>
      </c>
      <c r="CK57" s="941" t="e">
        <f>#REF!</f>
        <v>#REF!</v>
      </c>
      <c r="CO57" s="942" t="e">
        <f>#REF!</f>
        <v>#REF!</v>
      </c>
      <c r="CS57" s="917" t="e">
        <f>#REF!</f>
        <v>#REF!</v>
      </c>
      <c r="CW57" s="918" t="e">
        <f>#REF!</f>
        <v>#REF!</v>
      </c>
      <c r="DA57" s="894" t="e">
        <f>#REF!</f>
        <v>#REF!</v>
      </c>
      <c r="DE57" s="895" t="e">
        <f>#REF!</f>
        <v>#REF!</v>
      </c>
      <c r="DI57" s="917" t="e">
        <f>#REF!</f>
        <v>#REF!</v>
      </c>
      <c r="DM57" s="918" t="e">
        <f>#REF!</f>
        <v>#REF!</v>
      </c>
      <c r="DQ57" s="894" t="e">
        <f>#REF!</f>
        <v>#REF!</v>
      </c>
      <c r="DU57" s="895" t="e">
        <f>#REF!</f>
        <v>#REF!</v>
      </c>
      <c r="DY57" s="917" t="e">
        <f>'Report-Recapture1718'!G65</f>
        <v>#REF!</v>
      </c>
      <c r="EC57" s="918" t="e">
        <f>'Report-Recapture1718'!G141</f>
        <v>#REF!</v>
      </c>
      <c r="EG57" s="894" t="str">
        <f>'Report-Recapture1819'!G65</f>
        <v>Y</v>
      </c>
      <c r="EK57" s="895" t="str">
        <f>'Report-Recapture1819'!G141</f>
        <v>Y</v>
      </c>
    </row>
    <row r="58" spans="1:143">
      <c r="A58" s="35" t="s">
        <v>1140</v>
      </c>
      <c r="I58" s="2070"/>
      <c r="K58" s="1551"/>
      <c r="L58" s="1551"/>
      <c r="M58" s="1551"/>
      <c r="N58" s="1551"/>
      <c r="O58" s="1551"/>
      <c r="P58" s="1551"/>
      <c r="Q58" s="1624"/>
      <c r="Y58" s="1093"/>
      <c r="AG58" s="1818"/>
      <c r="AO58" s="1642"/>
      <c r="AW58" s="1873"/>
      <c r="AY58" s="1516"/>
      <c r="AZ58" s="1516"/>
      <c r="BA58" s="1516"/>
      <c r="BB58" s="1516"/>
      <c r="BC58" s="1516"/>
      <c r="BD58" s="1516"/>
      <c r="BE58" s="1660"/>
      <c r="BG58" s="1915"/>
      <c r="BH58" s="1915"/>
      <c r="BI58" s="1915"/>
      <c r="BJ58" s="1915"/>
      <c r="BK58" s="1915"/>
      <c r="BL58" s="1915"/>
      <c r="BM58" s="1923"/>
      <c r="BO58" s="1422"/>
      <c r="BP58" s="1422"/>
      <c r="BQ58" s="1422"/>
      <c r="BR58" s="1422"/>
    </row>
    <row r="59" spans="1:143">
      <c r="A59" s="82"/>
      <c r="C59" s="2375" t="s">
        <v>1086</v>
      </c>
      <c r="I59" s="2070"/>
      <c r="K59" s="1551" t="s">
        <v>1086</v>
      </c>
      <c r="L59" s="1551"/>
      <c r="M59" s="1551"/>
      <c r="N59" s="1551"/>
      <c r="O59" s="1551"/>
      <c r="P59" s="1551"/>
      <c r="Q59" s="1624"/>
      <c r="S59" s="699" t="s">
        <v>1086</v>
      </c>
      <c r="Y59" s="1093"/>
      <c r="AA59" s="1852" t="s">
        <v>1086</v>
      </c>
      <c r="AG59" s="1818"/>
      <c r="AI59" s="871" t="s">
        <v>1086</v>
      </c>
      <c r="AO59" s="1642"/>
      <c r="AQ59" s="1907" t="s">
        <v>1086</v>
      </c>
      <c r="AW59" s="1873"/>
      <c r="AY59" s="1516" t="s">
        <v>1086</v>
      </c>
      <c r="AZ59" s="1516"/>
      <c r="BA59" s="1516"/>
      <c r="BB59" s="1516"/>
      <c r="BC59" s="1516"/>
      <c r="BD59" s="1516"/>
      <c r="BE59" s="1660"/>
      <c r="BG59" s="1915" t="s">
        <v>1086</v>
      </c>
      <c r="BH59" s="1915"/>
      <c r="BI59" s="1915"/>
      <c r="BJ59" s="1915"/>
      <c r="BK59" s="1915"/>
      <c r="BL59" s="1915"/>
      <c r="BM59" s="1923"/>
      <c r="BO59" s="1422"/>
      <c r="BP59" s="1422"/>
      <c r="BQ59" s="1422"/>
      <c r="BR59" s="1422"/>
      <c r="CC59" s="361" t="s">
        <v>1086</v>
      </c>
      <c r="CK59" s="943" t="s">
        <v>1086</v>
      </c>
      <c r="CS59" s="919" t="s">
        <v>1086</v>
      </c>
      <c r="DA59" s="896" t="s">
        <v>1086</v>
      </c>
      <c r="DI59" s="919" t="s">
        <v>1086</v>
      </c>
      <c r="DQ59" s="896" t="s">
        <v>1086</v>
      </c>
      <c r="DY59" s="919" t="s">
        <v>1086</v>
      </c>
      <c r="EG59" s="896" t="s">
        <v>1086</v>
      </c>
    </row>
    <row r="60" spans="1:143">
      <c r="A60" s="82"/>
      <c r="C60" s="2375" t="s">
        <v>1087</v>
      </c>
      <c r="I60" s="2070"/>
      <c r="K60" s="1551" t="s">
        <v>1087</v>
      </c>
      <c r="L60" s="1551"/>
      <c r="M60" s="1551"/>
      <c r="N60" s="1551"/>
      <c r="O60" s="1551"/>
      <c r="P60" s="1551"/>
      <c r="Q60" s="1624"/>
      <c r="S60" s="699" t="s">
        <v>1087</v>
      </c>
      <c r="Y60" s="1093"/>
      <c r="AA60" s="1852" t="s">
        <v>1087</v>
      </c>
      <c r="AG60" s="1818"/>
      <c r="AI60" s="871" t="s">
        <v>1087</v>
      </c>
      <c r="AO60" s="1642"/>
      <c r="AQ60" s="1907" t="s">
        <v>1087</v>
      </c>
      <c r="AW60" s="1873"/>
      <c r="AY60" s="1516" t="s">
        <v>1087</v>
      </c>
      <c r="AZ60" s="1516"/>
      <c r="BA60" s="1516"/>
      <c r="BB60" s="1516"/>
      <c r="BC60" s="1516"/>
      <c r="BD60" s="1516"/>
      <c r="BE60" s="1660"/>
      <c r="BG60" s="1915" t="s">
        <v>1087</v>
      </c>
      <c r="BH60" s="1915"/>
      <c r="BI60" s="1915"/>
      <c r="BJ60" s="1915"/>
      <c r="BK60" s="1915"/>
      <c r="BL60" s="1915"/>
      <c r="BM60" s="1923"/>
      <c r="BO60" s="1422"/>
      <c r="BP60" s="1422"/>
      <c r="BQ60" s="1422"/>
      <c r="BR60" s="1422"/>
      <c r="CC60" s="361" t="s">
        <v>1087</v>
      </c>
      <c r="CK60" s="943" t="s">
        <v>1087</v>
      </c>
      <c r="CS60" s="919" t="s">
        <v>1087</v>
      </c>
      <c r="DA60" s="896" t="s">
        <v>1087</v>
      </c>
      <c r="DI60" s="919" t="s">
        <v>1087</v>
      </c>
      <c r="DQ60" s="896" t="s">
        <v>1087</v>
      </c>
      <c r="DY60" s="919" t="s">
        <v>1087</v>
      </c>
      <c r="EG60" s="896" t="s">
        <v>1087</v>
      </c>
    </row>
    <row r="61" spans="1:143">
      <c r="A61" s="82"/>
      <c r="I61" s="2070"/>
      <c r="K61" s="1551"/>
      <c r="L61" s="1551"/>
      <c r="M61" s="1551"/>
      <c r="N61" s="1551"/>
      <c r="O61" s="1551"/>
      <c r="P61" s="1551"/>
      <c r="Q61" s="1624"/>
      <c r="Y61" s="1093"/>
      <c r="AG61" s="1818"/>
      <c r="AO61" s="1642"/>
      <c r="AW61" s="1873"/>
      <c r="AY61" s="1516"/>
      <c r="AZ61" s="1516"/>
      <c r="BA61" s="1516"/>
      <c r="BB61" s="1516"/>
      <c r="BC61" s="1516"/>
      <c r="BD61" s="1516"/>
      <c r="BE61" s="1660"/>
      <c r="BG61" s="1915"/>
      <c r="BH61" s="1915"/>
      <c r="BI61" s="1915"/>
      <c r="BJ61" s="1915"/>
      <c r="BK61" s="1915"/>
      <c r="BL61" s="1915"/>
      <c r="BM61" s="1923"/>
      <c r="BO61" s="1422"/>
      <c r="BP61" s="1422"/>
      <c r="BQ61" s="1422"/>
      <c r="BR61" s="1422"/>
    </row>
    <row r="62" spans="1:143">
      <c r="A62" s="71"/>
      <c r="B62" s="35"/>
      <c r="C62" s="3087"/>
      <c r="D62" s="3087"/>
      <c r="E62" s="3087"/>
      <c r="F62" s="3087"/>
      <c r="G62" s="3087"/>
      <c r="H62" s="3087"/>
      <c r="I62" s="3088"/>
      <c r="J62" s="72" t="s">
        <v>8914</v>
      </c>
      <c r="K62" s="1812" t="s">
        <v>6969</v>
      </c>
      <c r="L62" s="1551"/>
      <c r="M62" s="1551"/>
      <c r="N62" s="1551"/>
      <c r="O62" s="1551"/>
      <c r="P62" s="1551"/>
      <c r="Q62" s="1624"/>
      <c r="S62" s="1812" t="s">
        <v>6969</v>
      </c>
      <c r="Y62" s="1093"/>
      <c r="AA62" s="1812" t="s">
        <v>6969</v>
      </c>
      <c r="AG62" s="1818"/>
      <c r="AI62" s="1812" t="s">
        <v>6969</v>
      </c>
      <c r="AO62" s="1642"/>
      <c r="AQ62" s="1812" t="s">
        <v>6969</v>
      </c>
      <c r="AW62" s="1873"/>
      <c r="AY62" s="1812" t="s">
        <v>6969</v>
      </c>
      <c r="AZ62" s="1516"/>
      <c r="BA62" s="1516"/>
      <c r="BB62" s="1516"/>
      <c r="BC62" s="1516"/>
      <c r="BD62" s="1516"/>
      <c r="BE62" s="1660"/>
      <c r="BG62" s="1812" t="s">
        <v>6969</v>
      </c>
      <c r="BH62" s="1915"/>
      <c r="BI62" s="1915"/>
      <c r="BJ62" s="1915"/>
      <c r="BK62" s="1915"/>
      <c r="BL62" s="1915"/>
      <c r="BM62" s="1923"/>
      <c r="BO62" s="1422"/>
      <c r="BP62" s="1422"/>
      <c r="BQ62" s="1422"/>
      <c r="BR62" s="1422"/>
    </row>
    <row r="63" spans="1:143">
      <c r="A63" s="71"/>
      <c r="B63" s="35"/>
      <c r="C63" s="3089" t="s">
        <v>3830</v>
      </c>
      <c r="D63" s="3089"/>
      <c r="E63" s="3089"/>
      <c r="F63" s="3089"/>
      <c r="G63" s="3089"/>
      <c r="H63" s="3089"/>
      <c r="I63" s="3090"/>
      <c r="J63" s="72" t="s">
        <v>8915</v>
      </c>
      <c r="K63" s="1551" t="s">
        <v>3830</v>
      </c>
      <c r="L63" s="1551"/>
      <c r="M63" s="1551"/>
      <c r="N63" s="1551"/>
      <c r="O63" s="1551"/>
      <c r="P63" s="1551"/>
      <c r="Q63" s="1624"/>
      <c r="S63" s="825" t="s">
        <v>3830</v>
      </c>
      <c r="T63" s="825"/>
      <c r="U63" s="825"/>
      <c r="V63" s="825"/>
      <c r="W63" s="825"/>
      <c r="X63" s="825"/>
      <c r="Y63" s="1633"/>
      <c r="AA63" s="1853" t="s">
        <v>3830</v>
      </c>
      <c r="AB63" s="1853"/>
      <c r="AC63" s="1853"/>
      <c r="AD63" s="1853"/>
      <c r="AE63" s="1853"/>
      <c r="AF63" s="1853"/>
      <c r="AG63" s="1854"/>
      <c r="AI63" s="851" t="s">
        <v>3830</v>
      </c>
      <c r="AO63" s="1642"/>
      <c r="AQ63" s="1872" t="s">
        <v>3830</v>
      </c>
      <c r="AW63" s="1873"/>
      <c r="AY63" s="1516" t="s">
        <v>3830</v>
      </c>
      <c r="AZ63" s="1516"/>
      <c r="BA63" s="1516"/>
      <c r="BB63" s="1516"/>
      <c r="BC63" s="1516"/>
      <c r="BD63" s="1516"/>
      <c r="BE63" s="1660"/>
      <c r="BG63" s="1915" t="s">
        <v>3830</v>
      </c>
      <c r="BH63" s="1915"/>
      <c r="BI63" s="1915"/>
      <c r="BJ63" s="1915"/>
      <c r="BK63" s="1915"/>
      <c r="BL63" s="1915"/>
      <c r="BM63" s="1923"/>
      <c r="BO63" s="1472" t="s">
        <v>3830</v>
      </c>
      <c r="BP63" s="1422"/>
      <c r="BQ63" s="1422"/>
      <c r="BR63" s="1422"/>
    </row>
    <row r="64" spans="1:143">
      <c r="A64" s="71"/>
      <c r="C64" s="2394" t="e">
        <f>IF(C30&gt;C24,C30,C24)</f>
        <v>#REF!</v>
      </c>
      <c r="D64" s="2392"/>
      <c r="E64" s="2394" t="e">
        <f>E24</f>
        <v>#REF!</v>
      </c>
      <c r="F64" s="2392"/>
      <c r="G64" s="2394" t="e">
        <f>IF(G30&gt;G24,G30,G24)</f>
        <v>#REF!</v>
      </c>
      <c r="H64" s="2392"/>
      <c r="I64" s="2395" t="e">
        <f>I24</f>
        <v>#REF!</v>
      </c>
      <c r="K64" s="1550" t="e">
        <f>IF(K30&gt;K24,K30,K24)</f>
        <v>#REF!</v>
      </c>
      <c r="L64" s="1551"/>
      <c r="M64" s="1550" t="e">
        <f>M24</f>
        <v>#REF!</v>
      </c>
      <c r="N64" s="1551"/>
      <c r="O64" s="1550" t="e">
        <f>IF(O30&gt;O24,O30,O24)</f>
        <v>#REF!</v>
      </c>
      <c r="P64" s="1551"/>
      <c r="Q64" s="1619" t="e">
        <f>Q24</f>
        <v>#REF!</v>
      </c>
      <c r="S64" s="822" t="e">
        <f>IF(S30&gt;S24,S30,S24)</f>
        <v>#DIV/0!</v>
      </c>
      <c r="T64" s="825"/>
      <c r="U64" s="822">
        <f>U24</f>
        <v>0</v>
      </c>
      <c r="V64" s="825"/>
      <c r="W64" s="822" t="e">
        <f>IF(W30&gt;W24,W30,W24)</f>
        <v>#DIV/0!</v>
      </c>
      <c r="X64" s="825"/>
      <c r="Y64" s="1634">
        <f>Y24</f>
        <v>0</v>
      </c>
      <c r="AA64" s="1855" t="e">
        <f>IF(AA30&gt;AA24,AA30,AA24)</f>
        <v>#DIV/0!</v>
      </c>
      <c r="AB64" s="1853"/>
      <c r="AC64" s="1855">
        <f>AC24</f>
        <v>0</v>
      </c>
      <c r="AD64" s="1853"/>
      <c r="AE64" s="1855" t="e">
        <f>IF(AE30&gt;AE24,AE30,AE24)</f>
        <v>#DIV/0!</v>
      </c>
      <c r="AF64" s="1853"/>
      <c r="AG64" s="1856">
        <f>AG24</f>
        <v>0</v>
      </c>
      <c r="AI64" s="855" t="e">
        <f>IF(AI30&gt;AI24,AI30,AI24)</f>
        <v>#DIV/0!</v>
      </c>
      <c r="AK64" s="855" t="e">
        <f>AK24</f>
        <v>#DIV/0!</v>
      </c>
      <c r="AM64" s="855" t="e">
        <f>IF(AM30&gt;AM24,AM30,AM24)</f>
        <v>#DIV/0!</v>
      </c>
      <c r="AO64" s="1646" t="e">
        <f>AO24</f>
        <v>#DIV/0!</v>
      </c>
      <c r="AQ64" s="1880" t="e">
        <f>IF(AQ30&gt;AQ24,AQ30,AQ24)</f>
        <v>#DIV/0!</v>
      </c>
      <c r="AS64" s="1880" t="e">
        <f>AS24</f>
        <v>#DIV/0!</v>
      </c>
      <c r="AU64" s="1880" t="e">
        <f>IF(AU30&gt;AU24,AU30,AU24)</f>
        <v>#DIV/0!</v>
      </c>
      <c r="AW64" s="1882" t="e">
        <f>AW24</f>
        <v>#DIV/0!</v>
      </c>
      <c r="AY64" s="1515" t="e">
        <f>IF(AY30&gt;AY24,AY30,AY24)</f>
        <v>#DIV/0!</v>
      </c>
      <c r="AZ64" s="1516"/>
      <c r="BA64" s="1515" t="e">
        <f>BA24</f>
        <v>#DIV/0!</v>
      </c>
      <c r="BB64" s="1516"/>
      <c r="BC64" s="1515" t="e">
        <f>IF(BC30&gt;BC24,BC30,BC24)</f>
        <v>#DIV/0!</v>
      </c>
      <c r="BD64" s="1516"/>
      <c r="BE64" s="1657" t="e">
        <f>BE24</f>
        <v>#DIV/0!</v>
      </c>
      <c r="BG64" s="1914" t="e">
        <f>IF(BG30&gt;BG24,BG30,BG24)</f>
        <v>#DIV/0!</v>
      </c>
      <c r="BH64" s="1915"/>
      <c r="BI64" s="1914" t="e">
        <f>BI24</f>
        <v>#DIV/0!</v>
      </c>
      <c r="BJ64" s="1915"/>
      <c r="BK64" s="1914" t="e">
        <f>IF(BK30&gt;BK24,BK30,BK24)</f>
        <v>#DIV/0!</v>
      </c>
      <c r="BL64" s="1915"/>
      <c r="BM64" s="1916" t="e">
        <f>BM24</f>
        <v>#DIV/0!</v>
      </c>
      <c r="BO64" s="2676" t="e">
        <f>IF(BO30&gt;BO24,BO30,BO24)</f>
        <v>#REF!</v>
      </c>
      <c r="BP64" s="2676" t="e">
        <f>BO64</f>
        <v>#REF!</v>
      </c>
      <c r="BQ64" s="2676" t="e">
        <f>IF(BQ30&gt;BQ24,BQ30,BQ24)</f>
        <v>#REF!</v>
      </c>
      <c r="BR64" s="2676" t="e">
        <f>BR24</f>
        <v>#REF!</v>
      </c>
    </row>
    <row r="65" spans="1:143">
      <c r="A65" s="71"/>
      <c r="C65" s="2394" t="e">
        <f>IF('Data Entry - SOF'!C75-C64&lt;0,0,'Data Entry - SOF'!C75-C64)</f>
        <v>#REF!</v>
      </c>
      <c r="D65" s="2392"/>
      <c r="E65" s="2394" t="e">
        <f>IF('Data Entry - SOF'!C75-E64&lt;0,0,'Data Entry - SOF'!C75-E64)</f>
        <v>#REF!</v>
      </c>
      <c r="F65" s="2392"/>
      <c r="G65" s="2394" t="e">
        <f>IF('Data Entry - SOF'!C75-G64&lt;0,0,'Data Entry - SOF'!C75-G64)</f>
        <v>#REF!</v>
      </c>
      <c r="H65" s="2392"/>
      <c r="I65" s="2395" t="e">
        <f>IF('Data Entry - SOF'!C75-I64&lt;0,0,'Data Entry - SOF'!C75-I64)</f>
        <v>#REF!</v>
      </c>
      <c r="K65" s="1550" t="e">
        <f>IF('Data Entry - SOF'!#REF!-K64&lt;0,0,'Data Entry - SOF'!#REF!-K64)</f>
        <v>#REF!</v>
      </c>
      <c r="L65" s="1551"/>
      <c r="M65" s="1550" t="e">
        <f>IF('Data Entry - SOF'!#REF!-M64&lt;0,0,'Data Entry - SOF'!#REF!-M64)</f>
        <v>#REF!</v>
      </c>
      <c r="N65" s="1551"/>
      <c r="O65" s="1550" t="e">
        <f>IF('Data Entry - SOF'!#REF!-O64&lt;0,0,'Data Entry - SOF'!#REF!-O64)</f>
        <v>#REF!</v>
      </c>
      <c r="P65" s="1551"/>
      <c r="Q65" s="1619" t="e">
        <f>IF('Data Entry - SOF'!#REF!-Q64&lt;0,0,'Data Entry - SOF'!#REF!-Q64)</f>
        <v>#REF!</v>
      </c>
      <c r="S65" s="822" t="e">
        <f>IF('Data Entry - SOF'!E75-S64&lt;0,0,'Data Entry - SOF'!E75-S64)</f>
        <v>#DIV/0!</v>
      </c>
      <c r="T65" s="825"/>
      <c r="U65" s="822">
        <f>IF('Data Entry - SOF'!E75-U64&lt;0,0,'Data Entry - SOF'!E75-U64)</f>
        <v>0</v>
      </c>
      <c r="V65" s="825"/>
      <c r="W65" s="822" t="e">
        <f>IF('Data Entry - SOF'!E75-W64&lt;0,0,'Data Entry - SOF'!E75-W64)</f>
        <v>#DIV/0!</v>
      </c>
      <c r="X65" s="825"/>
      <c r="Y65" s="1634">
        <f>IF('Data Entry - SOF'!E75-Y64&lt;0,0,'Data Entry - SOF'!E75-Y64)</f>
        <v>0</v>
      </c>
      <c r="AA65" s="1855" t="e">
        <f>IF('Data Entry - SOF'!E85-AA64&lt;0,0,'Data Entry - SOF'!E85-AA64)</f>
        <v>#DIV/0!</v>
      </c>
      <c r="AB65" s="1853"/>
      <c r="AC65" s="1855">
        <f>IF('Data Entry - SOF'!E85-AC64&lt;0,0,'Data Entry - SOF'!E85-AC64)</f>
        <v>0</v>
      </c>
      <c r="AD65" s="1853"/>
      <c r="AE65" s="1855" t="e">
        <f>IF('Data Entry - SOF'!E85-AE64&lt;0,0,'Data Entry - SOF'!E85-AE64)</f>
        <v>#DIV/0!</v>
      </c>
      <c r="AF65" s="1853"/>
      <c r="AG65" s="1856">
        <f>IF('Data Entry - SOF'!E85-AG64&lt;0,0,'Data Entry - SOF'!E85-AG64)</f>
        <v>0</v>
      </c>
      <c r="AI65" s="855" t="e">
        <f>IF('Data Entry - SOF'!K75-AI64&lt;0,0,'Data Entry - SOF'!K75-AI64)</f>
        <v>#DIV/0!</v>
      </c>
      <c r="AK65" s="855" t="e">
        <f>IF('Data Entry - SOF'!K75-AK64&lt;0,0,'Data Entry - SOF'!K75-AK64)</f>
        <v>#DIV/0!</v>
      </c>
      <c r="AM65" s="855" t="e">
        <f>IF('Data Entry - SOF'!K75-AM64&lt;0,0,'Data Entry - SOF'!K75-AM64)</f>
        <v>#DIV/0!</v>
      </c>
      <c r="AO65" s="1646" t="e">
        <f>IF('Data Entry - SOF'!K75-AO64&lt;0,0,'Data Entry - SOF'!K75-AO64)</f>
        <v>#DIV/0!</v>
      </c>
      <c r="AQ65" s="1880" t="e">
        <f>IF('Data Entry - SOF'!M75-AQ64&lt;0,0,'Data Entry - SOF'!M75-AQ64)</f>
        <v>#DIV/0!</v>
      </c>
      <c r="AS65" s="1880" t="e">
        <f>IF('Data Entry - SOF'!M75-AS64&lt;0,0,'Data Entry - SOF'!M75-AS64)</f>
        <v>#DIV/0!</v>
      </c>
      <c r="AU65" s="1880" t="e">
        <f>IF('Data Entry - SOF'!M75-AU64&lt;0,0,'Data Entry - SOF'!M75-AU64)</f>
        <v>#DIV/0!</v>
      </c>
      <c r="AW65" s="1882" t="e">
        <f>IF('Data Entry - SOF'!M75-AW64&lt;0,0,'Data Entry - SOF'!M75-AW64)</f>
        <v>#DIV/0!</v>
      </c>
      <c r="AY65" s="1515" t="e">
        <f>IF('Data Entry - SOF'!O75-AY64&lt;0,0,'Data Entry - SOF'!O75-AY64)</f>
        <v>#DIV/0!</v>
      </c>
      <c r="AZ65" s="1516"/>
      <c r="BA65" s="1515" t="e">
        <f>IF('Data Entry - SOF'!O75-BA64&lt;0,0,'Data Entry - SOF'!O75-BA64)</f>
        <v>#DIV/0!</v>
      </c>
      <c r="BB65" s="1516"/>
      <c r="BC65" s="1515" t="e">
        <f>IF('Data Entry - SOF'!O75-BC64&lt;0,0,'Data Entry - SOF'!O75-BC64)</f>
        <v>#DIV/0!</v>
      </c>
      <c r="BD65" s="1516"/>
      <c r="BE65" s="1657" t="e">
        <f>IF('Data Entry - SOF'!O75-BE64&lt;0,0,'Data Entry - SOF'!O75-BE64)</f>
        <v>#DIV/0!</v>
      </c>
      <c r="BG65" s="1914" t="e">
        <f>IF('Data Entry - SOF'!Q75-BG64&lt;0,0,'Data Entry - SOF'!Q75-BG64)</f>
        <v>#DIV/0!</v>
      </c>
      <c r="BH65" s="1915"/>
      <c r="BI65" s="1914" t="e">
        <f>IF('Data Entry - SOF'!Q75-BI64&lt;0,0,'Data Entry - SOF'!Q75-BI64)</f>
        <v>#DIV/0!</v>
      </c>
      <c r="BJ65" s="1915"/>
      <c r="BK65" s="1914" t="e">
        <f>IF('Data Entry - SOF'!Q75-BK64&lt;0,0,'Data Entry - SOF'!Q75-BK64)</f>
        <v>#DIV/0!</v>
      </c>
      <c r="BL65" s="1915"/>
      <c r="BM65" s="1916" t="e">
        <f>IF('Data Entry - SOF'!Q75-BM64&lt;0,0,'Data Entry - SOF'!Q75-BM64)</f>
        <v>#DIV/0!</v>
      </c>
      <c r="BO65" s="2676" t="e">
        <f>IF('Data Entry - SOF'!E75-BO64&lt;0,0,'Data Entry - SOF'!E75-BO64)</f>
        <v>#REF!</v>
      </c>
      <c r="BP65" s="2676" t="e">
        <f>IF('Data Entry - SOF'!E75-BP64&lt;0,0,'Data Entry - SOF'!E75-BP64)</f>
        <v>#REF!</v>
      </c>
      <c r="BQ65" s="2676" t="e">
        <f>IF('Data Entry - SOF'!E75-BQ64&lt;0,0,'Data Entry - SOF'!E75-BQ64)</f>
        <v>#REF!</v>
      </c>
      <c r="BR65" s="2676" t="e">
        <f>IF('Data Entry - SOF'!E75-BR64&lt;0,0,'Data Entry - SOF'!E75-BR64)</f>
        <v>#REF!</v>
      </c>
    </row>
    <row r="66" spans="1:143">
      <c r="A66" s="71"/>
      <c r="C66" s="2396" t="e">
        <f>C65/'Data Entry - SOF'!C75</f>
        <v>#REF!</v>
      </c>
      <c r="D66" s="2392"/>
      <c r="E66" s="2396" t="e">
        <f>E65/'Data Entry - SOF'!C75</f>
        <v>#REF!</v>
      </c>
      <c r="F66" s="2392"/>
      <c r="G66" s="2396" t="e">
        <f>G65/'Data Entry - SOF'!C75</f>
        <v>#REF!</v>
      </c>
      <c r="H66" s="2392"/>
      <c r="I66" s="2397" t="e">
        <f>I65/'Data Entry - SOF'!C75</f>
        <v>#REF!</v>
      </c>
      <c r="K66" s="1552" t="e">
        <f>K65/'Data Entry - SOF'!#REF!</f>
        <v>#REF!</v>
      </c>
      <c r="L66" s="305"/>
      <c r="M66" s="1552" t="e">
        <f>M65/'Data Entry - SOF'!#REF!</f>
        <v>#REF!</v>
      </c>
      <c r="N66" s="305"/>
      <c r="O66" s="1552" t="e">
        <f>O65/'Data Entry - SOF'!#REF!</f>
        <v>#REF!</v>
      </c>
      <c r="P66" s="305"/>
      <c r="Q66" s="1620" t="e">
        <f>Q65/'Data Entry - SOF'!#REF!</f>
        <v>#REF!</v>
      </c>
      <c r="S66" s="828" t="e">
        <f>S65/'Data Entry - SOF'!E75</f>
        <v>#DIV/0!</v>
      </c>
      <c r="T66" s="825"/>
      <c r="U66" s="828" t="e">
        <f>U65/'Data Entry - SOF'!E75</f>
        <v>#DIV/0!</v>
      </c>
      <c r="V66" s="825"/>
      <c r="W66" s="828" t="e">
        <f>W65/'Data Entry - SOF'!E75</f>
        <v>#DIV/0!</v>
      </c>
      <c r="X66" s="825"/>
      <c r="Y66" s="1635" t="e">
        <f>Y65/'Data Entry - SOF'!E75</f>
        <v>#DIV/0!</v>
      </c>
      <c r="AA66" s="1857" t="e">
        <f>AA65/'Data Entry - SOF'!E85</f>
        <v>#DIV/0!</v>
      </c>
      <c r="AB66" s="1853"/>
      <c r="AC66" s="1857" t="e">
        <f>AC65/'Data Entry - SOF'!E85</f>
        <v>#DIV/0!</v>
      </c>
      <c r="AD66" s="1853"/>
      <c r="AE66" s="1857" t="e">
        <f>AE65/'Data Entry - SOF'!E85</f>
        <v>#DIV/0!</v>
      </c>
      <c r="AF66" s="1853"/>
      <c r="AG66" s="1858" t="e">
        <f>AG65/'Data Entry - SOF'!E85</f>
        <v>#DIV/0!</v>
      </c>
      <c r="AI66" s="861" t="e">
        <f>AI65/'Data Entry - SOF'!K75</f>
        <v>#DIV/0!</v>
      </c>
      <c r="AK66" s="861" t="e">
        <f>AK65/'Data Entry - SOF'!K75</f>
        <v>#DIV/0!</v>
      </c>
      <c r="AM66" s="861" t="e">
        <f>AM65/'Data Entry - SOF'!K75</f>
        <v>#DIV/0!</v>
      </c>
      <c r="AO66" s="1649" t="e">
        <f>AO65/'Data Entry - SOF'!K75</f>
        <v>#DIV/0!</v>
      </c>
      <c r="AQ66" s="1889" t="e">
        <f>AQ65/'Data Entry - SOF'!M75</f>
        <v>#DIV/0!</v>
      </c>
      <c r="AS66" s="1889" t="e">
        <f>AS65/'Data Entry - SOF'!M75</f>
        <v>#DIV/0!</v>
      </c>
      <c r="AU66" s="1889" t="e">
        <f>AU65/'Data Entry - SOF'!M75</f>
        <v>#DIV/0!</v>
      </c>
      <c r="AW66" s="1891" t="e">
        <f>AW65/'Data Entry - SOF'!M75</f>
        <v>#DIV/0!</v>
      </c>
      <c r="AY66" s="1527" t="e">
        <f>AY65/'Data Entry - SOF'!O75</f>
        <v>#DIV/0!</v>
      </c>
      <c r="AZ66" s="1528"/>
      <c r="BA66" s="1527" t="e">
        <f>BA65/'Data Entry - SOF'!O75</f>
        <v>#DIV/0!</v>
      </c>
      <c r="BB66" s="1528"/>
      <c r="BC66" s="1527" t="e">
        <f>BC65/'Data Entry - SOF'!O75</f>
        <v>#DIV/0!</v>
      </c>
      <c r="BD66" s="1528"/>
      <c r="BE66" s="1658" t="e">
        <f>BE65/'Data Entry - SOF'!O75</f>
        <v>#DIV/0!</v>
      </c>
      <c r="BG66" s="1917" t="e">
        <f>BG65/'Data Entry - SOF'!Q75</f>
        <v>#DIV/0!</v>
      </c>
      <c r="BH66" s="1918"/>
      <c r="BI66" s="1917" t="e">
        <f>BI65/'Data Entry - SOF'!Q75</f>
        <v>#DIV/0!</v>
      </c>
      <c r="BJ66" s="1918"/>
      <c r="BK66" s="1917" t="e">
        <f>BK65/'Data Entry - SOF'!Q75</f>
        <v>#DIV/0!</v>
      </c>
      <c r="BL66" s="1918"/>
      <c r="BM66" s="1919" t="e">
        <f>BM65/'Data Entry - SOF'!Q75</f>
        <v>#DIV/0!</v>
      </c>
      <c r="BO66" s="2679" t="e">
        <f>BO65/'Data Entry - SOF'!E75</f>
        <v>#REF!</v>
      </c>
      <c r="BP66" s="2679" t="e">
        <f>BP65/'Data Entry - SOF'!E75</f>
        <v>#REF!</v>
      </c>
      <c r="BQ66" s="2679" t="e">
        <f>BQ65/'Data Entry - SOF'!E75</f>
        <v>#REF!</v>
      </c>
      <c r="BR66" s="2679" t="e">
        <f>BR65/'Data Entry - SOF'!E75</f>
        <v>#REF!</v>
      </c>
    </row>
    <row r="67" spans="1:143">
      <c r="A67" s="71"/>
      <c r="C67" s="2182" t="e">
        <f>C64/'Ch41 Calc Data'!K17</f>
        <v>#REF!</v>
      </c>
      <c r="D67" s="2392"/>
      <c r="E67" s="2182" t="e">
        <f>E64/'Ch41 Calc Data'!K17</f>
        <v>#REF!</v>
      </c>
      <c r="F67" s="2392"/>
      <c r="G67" s="2182" t="e">
        <f>G64/'Ch41 Calc Data'!K17</f>
        <v>#REF!</v>
      </c>
      <c r="H67" s="2392"/>
      <c r="I67" s="2398" t="e">
        <f>I64/'Ch41 Calc Data'!K17</f>
        <v>#REF!</v>
      </c>
      <c r="K67" s="1553" t="e">
        <f>K64/'Ch41 Calc Data'!L17</f>
        <v>#REF!</v>
      </c>
      <c r="L67" s="1554"/>
      <c r="M67" s="1553" t="e">
        <f>M64/'Ch41 Calc Data'!L17</f>
        <v>#REF!</v>
      </c>
      <c r="N67" s="1554"/>
      <c r="O67" s="1553" t="e">
        <f>O64/'Ch41 Calc Data'!L17</f>
        <v>#REF!</v>
      </c>
      <c r="P67" s="1554"/>
      <c r="Q67" s="1621" t="e">
        <f>Q64/'Ch41 Calc Data'!L17</f>
        <v>#REF!</v>
      </c>
      <c r="S67" s="821" t="e">
        <f>S64/'Ch41 Calc Data'!M17</f>
        <v>#DIV/0!</v>
      </c>
      <c r="T67" s="825"/>
      <c r="U67" s="821" t="e">
        <f>U64/'Ch41 Calc Data'!M17</f>
        <v>#DIV/0!</v>
      </c>
      <c r="V67" s="825"/>
      <c r="W67" s="821" t="e">
        <f>W64/'Ch41 Calc Data'!M17</f>
        <v>#DIV/0!</v>
      </c>
      <c r="X67" s="825"/>
      <c r="Y67" s="1636" t="e">
        <f>Y64/'Ch41 Calc Data'!M17</f>
        <v>#DIV/0!</v>
      </c>
      <c r="AA67" s="1859" t="e">
        <f>AA64/'Ch41 Calc Data'!N17</f>
        <v>#DIV/0!</v>
      </c>
      <c r="AB67" s="1853"/>
      <c r="AC67" s="1859" t="e">
        <f>AC64/'Ch41 Calc Data'!N17</f>
        <v>#DIV/0!</v>
      </c>
      <c r="AD67" s="1853"/>
      <c r="AE67" s="1859" t="e">
        <f>AE64/'Ch41 Calc Data'!N17</f>
        <v>#DIV/0!</v>
      </c>
      <c r="AF67" s="1853"/>
      <c r="AG67" s="1860" t="e">
        <f>AG64/'Ch41 Calc Data'!N17</f>
        <v>#DIV/0!</v>
      </c>
      <c r="AI67" s="863" t="e">
        <f>AI64/'Ch41 Calc Data'!O17</f>
        <v>#DIV/0!</v>
      </c>
      <c r="AK67" s="863" t="e">
        <f>AK64/'Ch41 Calc Data'!O17</f>
        <v>#DIV/0!</v>
      </c>
      <c r="AM67" s="863" t="e">
        <f>AM64/'Ch41 Calc Data'!O17</f>
        <v>#DIV/0!</v>
      </c>
      <c r="AO67" s="1650" t="e">
        <f>AO64/'Ch41 Calc Data'!O17</f>
        <v>#DIV/0!</v>
      </c>
      <c r="AQ67" s="1892" t="e">
        <f>AQ64/'Ch41 Calc Data'!P17</f>
        <v>#DIV/0!</v>
      </c>
      <c r="AS67" s="1892" t="e">
        <f>AS64/'Ch41 Calc Data'!P17</f>
        <v>#DIV/0!</v>
      </c>
      <c r="AU67" s="1892" t="e">
        <f>AU64/'Ch41 Calc Data'!P17</f>
        <v>#DIV/0!</v>
      </c>
      <c r="AW67" s="1894" t="e">
        <f>AW64/'Ch41 Calc Data'!P17</f>
        <v>#DIV/0!</v>
      </c>
      <c r="AY67" s="1515" t="e">
        <f>AY64/'Ch41 Calc Data'!Q17</f>
        <v>#DIV/0!</v>
      </c>
      <c r="AZ67" s="1516"/>
      <c r="BA67" s="1515" t="e">
        <f>BA64/'Ch41 Calc Data'!Q17</f>
        <v>#DIV/0!</v>
      </c>
      <c r="BB67" s="1516"/>
      <c r="BC67" s="1515" t="e">
        <f>BC64/'Ch41 Calc Data'!Q17</f>
        <v>#DIV/0!</v>
      </c>
      <c r="BD67" s="1516"/>
      <c r="BE67" s="1657" t="e">
        <f>BE64/'Ch41 Calc Data'!Q17</f>
        <v>#DIV/0!</v>
      </c>
      <c r="BG67" s="1914" t="e">
        <f>BG64/'Ch41 Calc Data'!R17</f>
        <v>#DIV/0!</v>
      </c>
      <c r="BH67" s="1915"/>
      <c r="BI67" s="1914" t="e">
        <f>BI64/'Ch41 Calc Data'!R17</f>
        <v>#DIV/0!</v>
      </c>
      <c r="BJ67" s="1915"/>
      <c r="BK67" s="1914" t="e">
        <f>BK64/'Ch41 Calc Data'!R17</f>
        <v>#DIV/0!</v>
      </c>
      <c r="BL67" s="1915"/>
      <c r="BM67" s="1916" t="e">
        <f>BM64/'Ch41 Calc Data'!R17</f>
        <v>#DIV/0!</v>
      </c>
      <c r="BO67" s="2472" t="e">
        <f>BO64/'Ch41 Calc Data'!M20</f>
        <v>#REF!</v>
      </c>
      <c r="BP67" s="2472" t="e">
        <f>BP64/'Ch41 Calc Data'!M20</f>
        <v>#REF!</v>
      </c>
      <c r="BQ67" s="2472" t="e">
        <f>BQ64/'Ch41 Calc Data'!M20</f>
        <v>#REF!</v>
      </c>
      <c r="BR67" s="2472" t="e">
        <f>BR64/'Ch41 Calc Data'!M20</f>
        <v>#REF!</v>
      </c>
    </row>
    <row r="68" spans="1:143">
      <c r="A68" s="71"/>
      <c r="C68" s="2392"/>
      <c r="D68" s="2399"/>
      <c r="E68" s="2392"/>
      <c r="F68" s="2399"/>
      <c r="G68" s="2392"/>
      <c r="H68" s="2399"/>
      <c r="I68" s="2393"/>
      <c r="K68" s="1554"/>
      <c r="L68" s="1554"/>
      <c r="M68" s="1554"/>
      <c r="N68" s="1554"/>
      <c r="O68" s="1554"/>
      <c r="P68" s="1554"/>
      <c r="Q68" s="1622"/>
      <c r="S68" s="825"/>
      <c r="T68" s="829"/>
      <c r="U68" s="825"/>
      <c r="V68" s="829"/>
      <c r="W68" s="825"/>
      <c r="X68" s="829"/>
      <c r="Y68" s="1633"/>
      <c r="AA68" s="1853"/>
      <c r="AB68" s="1861"/>
      <c r="AC68" s="1853"/>
      <c r="AD68" s="1861"/>
      <c r="AE68" s="1853"/>
      <c r="AF68" s="1861"/>
      <c r="AG68" s="1854"/>
      <c r="AJ68" s="852"/>
      <c r="AL68" s="852"/>
      <c r="AN68" s="852"/>
      <c r="AO68" s="1642"/>
      <c r="AR68" s="1874"/>
      <c r="AT68" s="1874"/>
      <c r="AV68" s="1874"/>
      <c r="AW68" s="1873"/>
      <c r="AY68" s="1516"/>
      <c r="AZ68" s="1516"/>
      <c r="BA68" s="1516"/>
      <c r="BB68" s="1516"/>
      <c r="BC68" s="1516"/>
      <c r="BD68" s="1516"/>
      <c r="BE68" s="1660"/>
      <c r="BG68" s="1915"/>
      <c r="BH68" s="1915"/>
      <c r="BI68" s="1915"/>
      <c r="BJ68" s="1915"/>
      <c r="BK68" s="1915"/>
      <c r="BL68" s="1915"/>
      <c r="BM68" s="1923"/>
      <c r="BO68" s="1472"/>
      <c r="BP68" s="1472"/>
      <c r="BQ68" s="1472"/>
      <c r="BR68" s="1472"/>
      <c r="CC68" s="343"/>
      <c r="CD68" s="343"/>
      <c r="CE68" s="343"/>
      <c r="CF68" s="343"/>
      <c r="CG68" s="343"/>
      <c r="CH68" s="343"/>
      <c r="CI68" s="343"/>
      <c r="CK68" s="923"/>
      <c r="CL68" s="923"/>
      <c r="CM68" s="923"/>
      <c r="CN68" s="923"/>
      <c r="CO68" s="923"/>
      <c r="CP68" s="923"/>
      <c r="CQ68" s="923"/>
      <c r="CS68" s="899"/>
      <c r="CT68" s="899"/>
      <c r="CU68" s="899"/>
      <c r="CV68" s="899"/>
      <c r="CW68" s="899"/>
      <c r="CX68" s="899"/>
      <c r="CY68" s="899"/>
      <c r="DA68" s="878"/>
      <c r="DB68" s="878"/>
      <c r="DC68" s="878"/>
      <c r="DD68" s="878"/>
      <c r="DE68" s="878"/>
      <c r="DF68" s="878"/>
      <c r="DG68" s="878"/>
      <c r="DI68" s="899"/>
      <c r="DJ68" s="899"/>
      <c r="DK68" s="899"/>
      <c r="DL68" s="899"/>
      <c r="DM68" s="899"/>
      <c r="DN68" s="899"/>
      <c r="DO68" s="899"/>
      <c r="DQ68" s="878"/>
      <c r="DR68" s="878"/>
      <c r="DS68" s="878"/>
      <c r="DT68" s="878"/>
      <c r="DU68" s="878"/>
      <c r="DV68" s="878"/>
      <c r="DW68" s="878"/>
      <c r="DY68" s="899"/>
      <c r="DZ68" s="899"/>
      <c r="EA68" s="899"/>
      <c r="EB68" s="899"/>
      <c r="EC68" s="899"/>
      <c r="ED68" s="899"/>
      <c r="EE68" s="899"/>
      <c r="EG68" s="878"/>
      <c r="EH68" s="878"/>
      <c r="EI68" s="878"/>
      <c r="EJ68" s="878"/>
      <c r="EK68" s="878"/>
      <c r="EL68" s="878"/>
      <c r="EM68" s="878"/>
    </row>
    <row r="69" spans="1:143">
      <c r="A69" s="71"/>
      <c r="C69" s="2392"/>
      <c r="D69" s="2185"/>
      <c r="E69" s="2392"/>
      <c r="F69" s="2185"/>
      <c r="G69" s="2392"/>
      <c r="H69" s="2185"/>
      <c r="I69" s="2393"/>
      <c r="K69" s="1554"/>
      <c r="L69" s="1554"/>
      <c r="M69" s="1554"/>
      <c r="N69" s="1554"/>
      <c r="O69" s="1554"/>
      <c r="P69" s="1554"/>
      <c r="Q69" s="1622"/>
      <c r="S69" s="825"/>
      <c r="T69" s="820"/>
      <c r="U69" s="825"/>
      <c r="V69" s="820"/>
      <c r="W69" s="825"/>
      <c r="X69" s="820"/>
      <c r="Y69" s="1633"/>
      <c r="AA69" s="1853"/>
      <c r="AB69" s="1862"/>
      <c r="AC69" s="1853"/>
      <c r="AD69" s="1862"/>
      <c r="AE69" s="1853"/>
      <c r="AF69" s="1862"/>
      <c r="AG69" s="1854"/>
      <c r="AJ69" s="864"/>
      <c r="AL69" s="864"/>
      <c r="AN69" s="864"/>
      <c r="AO69" s="1642"/>
      <c r="AR69" s="1893"/>
      <c r="AT69" s="1893"/>
      <c r="AV69" s="1893"/>
      <c r="AW69" s="1873"/>
      <c r="AY69" s="1516"/>
      <c r="AZ69" s="1516"/>
      <c r="BA69" s="1516"/>
      <c r="BB69" s="1516"/>
      <c r="BC69" s="1516"/>
      <c r="BD69" s="1516"/>
      <c r="BE69" s="1660"/>
      <c r="BG69" s="1915"/>
      <c r="BH69" s="1915"/>
      <c r="BI69" s="1915"/>
      <c r="BJ69" s="1915"/>
      <c r="BK69" s="1915"/>
      <c r="BL69" s="1915"/>
      <c r="BM69" s="1923"/>
      <c r="BO69" s="1472"/>
      <c r="BP69" s="1472"/>
      <c r="BQ69" s="1472"/>
      <c r="BR69" s="1472"/>
      <c r="CC69" s="355"/>
      <c r="CD69" s="355"/>
      <c r="CE69" s="355"/>
      <c r="CF69" s="355"/>
      <c r="CG69" s="355"/>
      <c r="CH69" s="355"/>
      <c r="CI69" s="355"/>
      <c r="CK69" s="936"/>
      <c r="CL69" s="936"/>
      <c r="CM69" s="936"/>
      <c r="CN69" s="936"/>
      <c r="CO69" s="936"/>
      <c r="CP69" s="936"/>
      <c r="CQ69" s="936"/>
      <c r="CS69" s="912"/>
      <c r="CT69" s="912"/>
      <c r="CU69" s="912"/>
      <c r="CV69" s="912"/>
      <c r="CW69" s="912"/>
      <c r="CX69" s="912"/>
      <c r="CY69" s="912"/>
      <c r="DA69" s="889"/>
      <c r="DB69" s="889"/>
      <c r="DC69" s="889"/>
      <c r="DD69" s="889"/>
      <c r="DE69" s="889"/>
      <c r="DF69" s="889"/>
      <c r="DG69" s="889"/>
      <c r="DI69" s="912"/>
      <c r="DJ69" s="912"/>
      <c r="DK69" s="912"/>
      <c r="DL69" s="912"/>
      <c r="DM69" s="912"/>
      <c r="DN69" s="912"/>
      <c r="DO69" s="912"/>
      <c r="DQ69" s="889"/>
      <c r="DR69" s="889"/>
      <c r="DS69" s="889"/>
      <c r="DT69" s="889"/>
      <c r="DU69" s="889"/>
      <c r="DV69" s="889"/>
      <c r="DW69" s="889"/>
      <c r="DY69" s="912"/>
      <c r="DZ69" s="912"/>
      <c r="EA69" s="912"/>
      <c r="EB69" s="912"/>
      <c r="EC69" s="912"/>
      <c r="ED69" s="912"/>
      <c r="EE69" s="912"/>
      <c r="EG69" s="889"/>
      <c r="EH69" s="889"/>
      <c r="EI69" s="889"/>
      <c r="EJ69" s="889"/>
      <c r="EK69" s="889"/>
      <c r="EL69" s="889"/>
      <c r="EM69" s="889"/>
    </row>
    <row r="70" spans="1:143">
      <c r="A70" s="71"/>
      <c r="C70" s="2182" t="e">
        <f>'Calc Data'!AC32</f>
        <v>#REF!</v>
      </c>
      <c r="D70" s="2185"/>
      <c r="E70" s="2182" t="e">
        <f>C70</f>
        <v>#REF!</v>
      </c>
      <c r="F70" s="2185"/>
      <c r="G70" s="2182"/>
      <c r="H70" s="2185"/>
      <c r="I70" s="2398"/>
      <c r="K70" s="1553" t="e">
        <f>'Calc Data'!#REF!</f>
        <v>#REF!</v>
      </c>
      <c r="L70" s="1554"/>
      <c r="M70" s="1553" t="e">
        <f>K70</f>
        <v>#REF!</v>
      </c>
      <c r="N70" s="1554"/>
      <c r="O70" s="1553"/>
      <c r="P70" s="1554"/>
      <c r="Q70" s="1621"/>
      <c r="S70" s="821">
        <f>'Calc Data'!AG32</f>
        <v>0</v>
      </c>
      <c r="T70" s="820"/>
      <c r="U70" s="821">
        <f>S70</f>
        <v>0</v>
      </c>
      <c r="V70" s="820"/>
      <c r="W70" s="821"/>
      <c r="X70" s="820"/>
      <c r="Y70" s="1636"/>
      <c r="AA70" s="1859">
        <f>'Calc Data'!AK32</f>
        <v>0</v>
      </c>
      <c r="AB70" s="1862"/>
      <c r="AC70" s="1859">
        <f>AA70</f>
        <v>0</v>
      </c>
      <c r="AD70" s="1862"/>
      <c r="AE70" s="1859"/>
      <c r="AF70" s="1862"/>
      <c r="AG70" s="1860"/>
      <c r="AI70" s="863">
        <f>'Calc Data'!AO32</f>
        <v>0</v>
      </c>
      <c r="AJ70" s="864"/>
      <c r="AK70" s="863">
        <f>AI70</f>
        <v>0</v>
      </c>
      <c r="AL70" s="864"/>
      <c r="AM70" s="863"/>
      <c r="AN70" s="864"/>
      <c r="AO70" s="1650"/>
      <c r="AQ70" s="1892">
        <f>'Calc Data'!AT32</f>
        <v>0</v>
      </c>
      <c r="AR70" s="1893"/>
      <c r="AS70" s="1892">
        <f>AQ70</f>
        <v>0</v>
      </c>
      <c r="AT70" s="1893"/>
      <c r="AU70" s="1892"/>
      <c r="AV70" s="1893"/>
      <c r="AW70" s="1894"/>
      <c r="AY70" s="1515">
        <f>'Calc Data'!AY32</f>
        <v>0</v>
      </c>
      <c r="AZ70" s="1516"/>
      <c r="BA70" s="1515">
        <f>AY70</f>
        <v>0</v>
      </c>
      <c r="BB70" s="1516"/>
      <c r="BC70" s="1515"/>
      <c r="BD70" s="1516"/>
      <c r="BE70" s="1657"/>
      <c r="BG70" s="1914">
        <f>'Calc Data'!BD32</f>
        <v>0</v>
      </c>
      <c r="BH70" s="1915"/>
      <c r="BI70" s="1914">
        <f>BG70</f>
        <v>0</v>
      </c>
      <c r="BJ70" s="1915"/>
      <c r="BK70" s="1914"/>
      <c r="BL70" s="1915"/>
      <c r="BM70" s="1916"/>
      <c r="BO70" s="2472">
        <f>'Calc Data'!X32</f>
        <v>0</v>
      </c>
      <c r="BP70" s="2472">
        <f>BO70</f>
        <v>0</v>
      </c>
      <c r="BQ70" s="2472"/>
      <c r="BR70" s="2472"/>
      <c r="CC70" s="355"/>
      <c r="CD70" s="355"/>
      <c r="CE70" s="355"/>
      <c r="CF70" s="355"/>
      <c r="CG70" s="355"/>
      <c r="CH70" s="355"/>
      <c r="CI70" s="355"/>
      <c r="CK70" s="936"/>
      <c r="CL70" s="936"/>
      <c r="CM70" s="936"/>
      <c r="CN70" s="936"/>
      <c r="CO70" s="936"/>
      <c r="CP70" s="936"/>
      <c r="CQ70" s="936"/>
      <c r="CS70" s="912"/>
      <c r="CT70" s="912"/>
      <c r="CU70" s="912"/>
      <c r="CV70" s="912"/>
      <c r="CW70" s="912"/>
      <c r="CX70" s="912"/>
      <c r="CY70" s="912"/>
      <c r="DA70" s="889"/>
      <c r="DB70" s="889"/>
      <c r="DC70" s="889"/>
      <c r="DD70" s="889"/>
      <c r="DE70" s="889"/>
      <c r="DF70" s="889"/>
      <c r="DG70" s="889"/>
      <c r="DI70" s="912"/>
      <c r="DJ70" s="912"/>
      <c r="DK70" s="912"/>
      <c r="DL70" s="912"/>
      <c r="DM70" s="912"/>
      <c r="DN70" s="912"/>
      <c r="DO70" s="912"/>
      <c r="DQ70" s="889"/>
      <c r="DR70" s="889"/>
      <c r="DS70" s="889"/>
      <c r="DT70" s="889"/>
      <c r="DU70" s="889"/>
      <c r="DV70" s="889"/>
      <c r="DW70" s="889"/>
      <c r="DY70" s="912"/>
      <c r="DZ70" s="912"/>
      <c r="EA70" s="912"/>
      <c r="EB70" s="912"/>
      <c r="EC70" s="912"/>
      <c r="ED70" s="912"/>
      <c r="EE70" s="912"/>
      <c r="EG70" s="889"/>
      <c r="EH70" s="889"/>
      <c r="EI70" s="889"/>
      <c r="EJ70" s="889"/>
      <c r="EK70" s="889"/>
      <c r="EL70" s="889"/>
      <c r="EM70" s="889"/>
    </row>
    <row r="71" spans="1:143">
      <c r="A71" s="71"/>
      <c r="C71" s="2182"/>
      <c r="D71" s="2185"/>
      <c r="E71" s="2182"/>
      <c r="F71" s="2185"/>
      <c r="G71" s="2182" t="e">
        <f>'Calc Data'!AC31</f>
        <v>#REF!</v>
      </c>
      <c r="H71" s="2185"/>
      <c r="I71" s="2398" t="e">
        <f>G71</f>
        <v>#REF!</v>
      </c>
      <c r="K71" s="1553"/>
      <c r="L71" s="1554"/>
      <c r="M71" s="1553"/>
      <c r="N71" s="1554"/>
      <c r="O71" s="1553" t="e">
        <f>'Calc Data'!#REF!</f>
        <v>#REF!</v>
      </c>
      <c r="P71" s="1554"/>
      <c r="Q71" s="1621" t="e">
        <f>O71</f>
        <v>#REF!</v>
      </c>
      <c r="S71" s="821"/>
      <c r="T71" s="820"/>
      <c r="U71" s="821"/>
      <c r="V71" s="820"/>
      <c r="W71" s="821">
        <f>'Calc Data'!AG31</f>
        <v>0</v>
      </c>
      <c r="X71" s="820"/>
      <c r="Y71" s="1636">
        <f>W71</f>
        <v>0</v>
      </c>
      <c r="AA71" s="1859"/>
      <c r="AB71" s="1862"/>
      <c r="AC71" s="1859"/>
      <c r="AD71" s="1862"/>
      <c r="AE71" s="1859">
        <f>'Calc Data'!AK31</f>
        <v>0</v>
      </c>
      <c r="AF71" s="1862"/>
      <c r="AG71" s="1860">
        <f>AE71</f>
        <v>0</v>
      </c>
      <c r="AI71" s="863"/>
      <c r="AJ71" s="864"/>
      <c r="AK71" s="863"/>
      <c r="AL71" s="864"/>
      <c r="AM71" s="863">
        <f>'Calc Data'!AO31</f>
        <v>0</v>
      </c>
      <c r="AN71" s="864"/>
      <c r="AO71" s="1650">
        <f>AM71</f>
        <v>0</v>
      </c>
      <c r="AQ71" s="1892"/>
      <c r="AR71" s="1893"/>
      <c r="AS71" s="1892"/>
      <c r="AT71" s="1893"/>
      <c r="AU71" s="1892">
        <f>'Calc Data'!AT31</f>
        <v>0</v>
      </c>
      <c r="AV71" s="1893"/>
      <c r="AW71" s="1894">
        <f>AU71</f>
        <v>0</v>
      </c>
      <c r="AY71" s="1515"/>
      <c r="AZ71" s="1516"/>
      <c r="BA71" s="1515"/>
      <c r="BB71" s="1516"/>
      <c r="BC71" s="1515">
        <f>'Calc Data'!AY31</f>
        <v>0</v>
      </c>
      <c r="BD71" s="1516"/>
      <c r="BE71" s="1657">
        <f>BC71</f>
        <v>0</v>
      </c>
      <c r="BG71" s="1914"/>
      <c r="BH71" s="1915"/>
      <c r="BI71" s="1914"/>
      <c r="BJ71" s="1915"/>
      <c r="BK71" s="1914">
        <f>'Calc Data'!BD31</f>
        <v>0</v>
      </c>
      <c r="BL71" s="1915"/>
      <c r="BM71" s="1916">
        <f>BK71</f>
        <v>0</v>
      </c>
      <c r="BO71" s="2472"/>
      <c r="BP71" s="2472"/>
      <c r="BQ71" s="1512">
        <f>'Calc Data'!X31</f>
        <v>0</v>
      </c>
      <c r="BR71" s="2472">
        <f>BQ71</f>
        <v>0</v>
      </c>
      <c r="CC71" s="355"/>
      <c r="CD71" s="355"/>
      <c r="CE71" s="355"/>
      <c r="CF71" s="355"/>
      <c r="CG71" s="355"/>
      <c r="CH71" s="355"/>
      <c r="CI71" s="355"/>
      <c r="CK71" s="936"/>
      <c r="CL71" s="936"/>
      <c r="CM71" s="936"/>
      <c r="CN71" s="936"/>
      <c r="CO71" s="936"/>
      <c r="CP71" s="936"/>
      <c r="CQ71" s="936"/>
      <c r="CS71" s="912"/>
      <c r="CT71" s="912"/>
      <c r="CU71" s="912"/>
      <c r="CV71" s="912"/>
      <c r="CW71" s="912"/>
      <c r="CX71" s="912"/>
      <c r="CY71" s="912"/>
      <c r="DA71" s="889"/>
      <c r="DB71" s="889"/>
      <c r="DC71" s="889"/>
      <c r="DD71" s="889"/>
      <c r="DE71" s="889"/>
      <c r="DF71" s="889"/>
      <c r="DG71" s="889"/>
      <c r="DI71" s="912"/>
      <c r="DJ71" s="912"/>
      <c r="DK71" s="912"/>
      <c r="DL71" s="912"/>
      <c r="DM71" s="912"/>
      <c r="DN71" s="912"/>
      <c r="DO71" s="912"/>
      <c r="DQ71" s="889"/>
      <c r="DR71" s="889"/>
      <c r="DS71" s="889"/>
      <c r="DT71" s="889"/>
      <c r="DU71" s="889"/>
      <c r="DV71" s="889"/>
      <c r="DW71" s="889"/>
      <c r="DY71" s="912"/>
      <c r="DZ71" s="912"/>
      <c r="EA71" s="912"/>
      <c r="EB71" s="912"/>
      <c r="EC71" s="912"/>
      <c r="ED71" s="912"/>
      <c r="EE71" s="912"/>
      <c r="EG71" s="889"/>
      <c r="EH71" s="889"/>
      <c r="EI71" s="889"/>
      <c r="EJ71" s="889"/>
      <c r="EK71" s="889"/>
      <c r="EL71" s="889"/>
      <c r="EM71" s="889"/>
    </row>
    <row r="72" spans="1:143">
      <c r="A72" s="71"/>
      <c r="C72" s="2182" t="e">
        <f>C70</f>
        <v>#REF!</v>
      </c>
      <c r="D72" s="2185"/>
      <c r="E72" s="2182" t="e">
        <f>E70</f>
        <v>#REF!</v>
      </c>
      <c r="F72" s="2185"/>
      <c r="G72" s="2182" t="e">
        <f>G71</f>
        <v>#REF!</v>
      </c>
      <c r="H72" s="2185"/>
      <c r="I72" s="2398" t="e">
        <f>I71</f>
        <v>#REF!</v>
      </c>
      <c r="K72" s="1553" t="e">
        <f>K70</f>
        <v>#REF!</v>
      </c>
      <c r="L72" s="1554"/>
      <c r="M72" s="1553" t="e">
        <f>M70</f>
        <v>#REF!</v>
      </c>
      <c r="N72" s="1554"/>
      <c r="O72" s="1553" t="e">
        <f>O71</f>
        <v>#REF!</v>
      </c>
      <c r="P72" s="1554"/>
      <c r="Q72" s="1621" t="e">
        <f>Q71</f>
        <v>#REF!</v>
      </c>
      <c r="S72" s="821">
        <f>S70</f>
        <v>0</v>
      </c>
      <c r="T72" s="820"/>
      <c r="U72" s="821">
        <f>U70</f>
        <v>0</v>
      </c>
      <c r="V72" s="820"/>
      <c r="W72" s="821">
        <f>W71</f>
        <v>0</v>
      </c>
      <c r="X72" s="820"/>
      <c r="Y72" s="1636">
        <f>Y71</f>
        <v>0</v>
      </c>
      <c r="AA72" s="1859">
        <f>AA70</f>
        <v>0</v>
      </c>
      <c r="AB72" s="1862"/>
      <c r="AC72" s="1859">
        <f>AC70</f>
        <v>0</v>
      </c>
      <c r="AD72" s="1862"/>
      <c r="AE72" s="1859">
        <f>AE71</f>
        <v>0</v>
      </c>
      <c r="AF72" s="1862"/>
      <c r="AG72" s="1860">
        <f>AG71</f>
        <v>0</v>
      </c>
      <c r="AI72" s="863">
        <f>AI70</f>
        <v>0</v>
      </c>
      <c r="AJ72" s="864"/>
      <c r="AK72" s="863">
        <f>AK70</f>
        <v>0</v>
      </c>
      <c r="AL72" s="864"/>
      <c r="AM72" s="863">
        <f>AM71</f>
        <v>0</v>
      </c>
      <c r="AN72" s="864"/>
      <c r="AO72" s="1650">
        <f>AO71</f>
        <v>0</v>
      </c>
      <c r="AQ72" s="1892">
        <f>AQ70</f>
        <v>0</v>
      </c>
      <c r="AR72" s="1893"/>
      <c r="AS72" s="1892">
        <f>AS70</f>
        <v>0</v>
      </c>
      <c r="AT72" s="1893"/>
      <c r="AU72" s="1892">
        <f>AU71</f>
        <v>0</v>
      </c>
      <c r="AV72" s="1893"/>
      <c r="AW72" s="1894">
        <f>AW71</f>
        <v>0</v>
      </c>
      <c r="AY72" s="1515">
        <f>AY70</f>
        <v>0</v>
      </c>
      <c r="AZ72" s="1516"/>
      <c r="BA72" s="1515">
        <f>BA70</f>
        <v>0</v>
      </c>
      <c r="BB72" s="1516"/>
      <c r="BC72" s="1515">
        <f>BC71</f>
        <v>0</v>
      </c>
      <c r="BD72" s="1516"/>
      <c r="BE72" s="1657">
        <f>BE71</f>
        <v>0</v>
      </c>
      <c r="BG72" s="1914">
        <f>BG70</f>
        <v>0</v>
      </c>
      <c r="BH72" s="1915"/>
      <c r="BI72" s="1914">
        <f>BI70</f>
        <v>0</v>
      </c>
      <c r="BJ72" s="1915"/>
      <c r="BK72" s="1914">
        <f>BK71</f>
        <v>0</v>
      </c>
      <c r="BL72" s="1915"/>
      <c r="BM72" s="1916">
        <f>BM71</f>
        <v>0</v>
      </c>
      <c r="BO72" s="2472">
        <f>BO70</f>
        <v>0</v>
      </c>
      <c r="BP72" s="2472">
        <f>BP70</f>
        <v>0</v>
      </c>
      <c r="BQ72" s="2472">
        <f>BQ71</f>
        <v>0</v>
      </c>
      <c r="BR72" s="2472">
        <f>BR71</f>
        <v>0</v>
      </c>
      <c r="CC72" s="355"/>
      <c r="CD72" s="355"/>
      <c r="CE72" s="355"/>
      <c r="CF72" s="355"/>
      <c r="CG72" s="355"/>
      <c r="CH72" s="355"/>
      <c r="CI72" s="355"/>
      <c r="CK72" s="936"/>
      <c r="CL72" s="936"/>
      <c r="CM72" s="936"/>
      <c r="CN72" s="936"/>
      <c r="CO72" s="936"/>
      <c r="CP72" s="936"/>
      <c r="CQ72" s="936"/>
      <c r="CS72" s="912"/>
      <c r="CT72" s="912"/>
      <c r="CU72" s="912"/>
      <c r="CV72" s="912"/>
      <c r="CW72" s="912"/>
      <c r="CX72" s="912"/>
      <c r="CY72" s="912"/>
      <c r="DA72" s="889"/>
      <c r="DB72" s="889"/>
      <c r="DC72" s="889"/>
      <c r="DD72" s="889"/>
      <c r="DE72" s="889"/>
      <c r="DF72" s="889"/>
      <c r="DG72" s="889"/>
      <c r="DI72" s="912"/>
      <c r="DJ72" s="912"/>
      <c r="DK72" s="912"/>
      <c r="DL72" s="912"/>
      <c r="DM72" s="912"/>
      <c r="DN72" s="912"/>
      <c r="DO72" s="912"/>
      <c r="DQ72" s="889"/>
      <c r="DR72" s="889"/>
      <c r="DS72" s="889"/>
      <c r="DT72" s="889"/>
      <c r="DU72" s="889"/>
      <c r="DV72" s="889"/>
      <c r="DW72" s="889"/>
      <c r="DY72" s="912"/>
      <c r="DZ72" s="912"/>
      <c r="EA72" s="912"/>
      <c r="EB72" s="912"/>
      <c r="EC72" s="912"/>
      <c r="ED72" s="912"/>
      <c r="EE72" s="912"/>
      <c r="EG72" s="889"/>
      <c r="EH72" s="889"/>
      <c r="EI72" s="889"/>
      <c r="EJ72" s="889"/>
      <c r="EK72" s="889"/>
      <c r="EL72" s="889"/>
      <c r="EM72" s="889"/>
    </row>
    <row r="73" spans="1:143">
      <c r="A73" s="71"/>
      <c r="C73" s="2394" t="e">
        <f>C66*C72</f>
        <v>#REF!</v>
      </c>
      <c r="D73" s="2185"/>
      <c r="E73" s="2394" t="e">
        <f>E66*E72</f>
        <v>#REF!</v>
      </c>
      <c r="F73" s="2185"/>
      <c r="G73" s="2394" t="e">
        <f>IF(G71&lt;1,0,G66*G72)</f>
        <v>#REF!</v>
      </c>
      <c r="H73" s="2185"/>
      <c r="I73" s="2395" t="e">
        <f>IF(I71&lt;1,0,I66*I72)</f>
        <v>#REF!</v>
      </c>
      <c r="K73" s="1553" t="e">
        <f>K66*K72</f>
        <v>#REF!</v>
      </c>
      <c r="L73" s="1554"/>
      <c r="M73" s="1553" t="e">
        <f>M66*M72</f>
        <v>#REF!</v>
      </c>
      <c r="N73" s="1554"/>
      <c r="O73" s="1553" t="e">
        <f>IF(O71&lt;1,0,O66*O72)</f>
        <v>#REF!</v>
      </c>
      <c r="P73" s="1554"/>
      <c r="Q73" s="1621" t="e">
        <f>IF(Q71&lt;1,0,Q66*Q72)</f>
        <v>#REF!</v>
      </c>
      <c r="S73" s="822" t="e">
        <f>S66*S72</f>
        <v>#DIV/0!</v>
      </c>
      <c r="T73" s="820"/>
      <c r="U73" s="822" t="e">
        <f>U66*U72</f>
        <v>#DIV/0!</v>
      </c>
      <c r="V73" s="820"/>
      <c r="W73" s="822">
        <f>IF(W71&lt;1,0,W66*W72)</f>
        <v>0</v>
      </c>
      <c r="X73" s="820"/>
      <c r="Y73" s="1634">
        <f>IF(Y71&lt;1,0,Y66*Y72)</f>
        <v>0</v>
      </c>
      <c r="AA73" s="1855" t="e">
        <f>AA66*AA72</f>
        <v>#DIV/0!</v>
      </c>
      <c r="AB73" s="1862"/>
      <c r="AC73" s="1855" t="e">
        <f>AC66*AC72</f>
        <v>#DIV/0!</v>
      </c>
      <c r="AD73" s="1862"/>
      <c r="AE73" s="1855">
        <f>IF(AE71&lt;1,0,AE66*AE72)</f>
        <v>0</v>
      </c>
      <c r="AF73" s="1862"/>
      <c r="AG73" s="1856">
        <f>IF(AG71&lt;1,0,AG66*AG72)</f>
        <v>0</v>
      </c>
      <c r="AI73" s="855" t="e">
        <f>AI66*AI72</f>
        <v>#DIV/0!</v>
      </c>
      <c r="AJ73" s="864"/>
      <c r="AK73" s="855" t="e">
        <f>AK66*AK72</f>
        <v>#DIV/0!</v>
      </c>
      <c r="AL73" s="864"/>
      <c r="AM73" s="855">
        <f>IF(AM71&lt;1,0,AM66*AM72)</f>
        <v>0</v>
      </c>
      <c r="AN73" s="864"/>
      <c r="AO73" s="1646">
        <f>IF(AO71&lt;1,0,AO66*AO72)</f>
        <v>0</v>
      </c>
      <c r="AQ73" s="1880" t="e">
        <f>AQ66*AQ72</f>
        <v>#DIV/0!</v>
      </c>
      <c r="AR73" s="1893"/>
      <c r="AS73" s="1880" t="e">
        <f>AS66*AS72</f>
        <v>#DIV/0!</v>
      </c>
      <c r="AT73" s="1893"/>
      <c r="AU73" s="1880">
        <f>IF(AU71&lt;1,0,AU66*AU72)</f>
        <v>0</v>
      </c>
      <c r="AV73" s="1893"/>
      <c r="AW73" s="1882">
        <f>IF(AW71&lt;1,0,AW66*AW72)</f>
        <v>0</v>
      </c>
      <c r="AY73" s="1515" t="e">
        <f>AY66*AY72</f>
        <v>#DIV/0!</v>
      </c>
      <c r="AZ73" s="1516"/>
      <c r="BA73" s="1515" t="e">
        <f>BA66*BA72</f>
        <v>#DIV/0!</v>
      </c>
      <c r="BB73" s="1516"/>
      <c r="BC73" s="1515">
        <f>IF(BC71&lt;1,0,BC66*BC72)</f>
        <v>0</v>
      </c>
      <c r="BD73" s="1516"/>
      <c r="BE73" s="1657">
        <f>IF(BE71&lt;1,0,BE66*BE72)</f>
        <v>0</v>
      </c>
      <c r="BG73" s="1914" t="e">
        <f>BG66*BG72</f>
        <v>#DIV/0!</v>
      </c>
      <c r="BH73" s="1915"/>
      <c r="BI73" s="1914" t="e">
        <f>BI66*BI72</f>
        <v>#DIV/0!</v>
      </c>
      <c r="BJ73" s="1915"/>
      <c r="BK73" s="1914">
        <f>IF(BK71&lt;1,0,BK66*BK72)</f>
        <v>0</v>
      </c>
      <c r="BL73" s="1915"/>
      <c r="BM73" s="1916">
        <f>IF(BM71&lt;1,0,BM66*BM72)</f>
        <v>0</v>
      </c>
      <c r="BO73" s="2676" t="e">
        <f>BO66*BO72</f>
        <v>#REF!</v>
      </c>
      <c r="BP73" s="2676" t="e">
        <f>BP66*BP72</f>
        <v>#REF!</v>
      </c>
      <c r="BQ73" s="2676">
        <f>IF(BQ71&lt;1,0,BQ66*BQ72)</f>
        <v>0</v>
      </c>
      <c r="BR73" s="2676">
        <f>IF(BR71&lt;1,0,BR66*BR72)</f>
        <v>0</v>
      </c>
      <c r="CC73" s="355"/>
      <c r="CD73" s="355"/>
      <c r="CE73" s="355"/>
      <c r="CF73" s="355"/>
      <c r="CG73" s="355"/>
      <c r="CH73" s="355"/>
      <c r="CI73" s="355"/>
      <c r="CK73" s="936"/>
      <c r="CL73" s="936"/>
      <c r="CM73" s="936"/>
      <c r="CN73" s="936"/>
      <c r="CO73" s="936"/>
      <c r="CP73" s="936"/>
      <c r="CQ73" s="936"/>
      <c r="CS73" s="912"/>
      <c r="CT73" s="912"/>
      <c r="CU73" s="912"/>
      <c r="CV73" s="912"/>
      <c r="CW73" s="912"/>
      <c r="CX73" s="912"/>
      <c r="CY73" s="912"/>
      <c r="DA73" s="889"/>
      <c r="DB73" s="889"/>
      <c r="DC73" s="889"/>
      <c r="DD73" s="889"/>
      <c r="DE73" s="889"/>
      <c r="DF73" s="889"/>
      <c r="DG73" s="889"/>
      <c r="DI73" s="912"/>
      <c r="DJ73" s="912"/>
      <c r="DK73" s="912"/>
      <c r="DL73" s="912"/>
      <c r="DM73" s="912"/>
      <c r="DN73" s="912"/>
      <c r="DO73" s="912"/>
      <c r="DQ73" s="889"/>
      <c r="DR73" s="889"/>
      <c r="DS73" s="889"/>
      <c r="DT73" s="889"/>
      <c r="DU73" s="889"/>
      <c r="DV73" s="889"/>
      <c r="DW73" s="889"/>
      <c r="DY73" s="912"/>
      <c r="DZ73" s="912"/>
      <c r="EA73" s="912"/>
      <c r="EB73" s="912"/>
      <c r="EC73" s="912"/>
      <c r="ED73" s="912"/>
      <c r="EE73" s="912"/>
      <c r="EG73" s="889"/>
      <c r="EH73" s="889"/>
      <c r="EI73" s="889"/>
      <c r="EJ73" s="889"/>
      <c r="EK73" s="889"/>
      <c r="EL73" s="889"/>
      <c r="EM73" s="889"/>
    </row>
    <row r="74" spans="1:143">
      <c r="A74" s="71"/>
      <c r="C74" s="2141" t="e">
        <f>C65/IF(C67&lt;Assumptions!G92,Assumptions!G92,C67)</f>
        <v>#REF!</v>
      </c>
      <c r="D74" s="2185"/>
      <c r="E74" s="2141" t="e">
        <f>E65/E67</f>
        <v>#REF!</v>
      </c>
      <c r="F74" s="2185"/>
      <c r="G74" s="2141" t="e">
        <f>IF(G73=0,0,G65/G67)</f>
        <v>#REF!</v>
      </c>
      <c r="H74" s="2185"/>
      <c r="I74" s="2400" t="e">
        <f>IF(I73=0,0,I65/I67)</f>
        <v>#REF!</v>
      </c>
      <c r="K74" s="1552" t="e">
        <f>K65/IF(K67&lt;Assumptions!G103,Assumptions!G103,K67)</f>
        <v>#REF!</v>
      </c>
      <c r="L74" s="305"/>
      <c r="M74" s="1552" t="e">
        <f>M65/M67</f>
        <v>#REF!</v>
      </c>
      <c r="N74" s="305"/>
      <c r="O74" s="1552" t="e">
        <f>IF(O73=0,0,O65/O67)</f>
        <v>#REF!</v>
      </c>
      <c r="P74" s="305"/>
      <c r="Q74" s="1620" t="e">
        <f>IF(Q73=0,0,Q65/Q67)</f>
        <v>#REF!</v>
      </c>
      <c r="S74" s="823" t="e">
        <f>S65/IF(S67&lt;Assumptions!G112,Assumptions!G112,S67)</f>
        <v>#DIV/0!</v>
      </c>
      <c r="T74" s="820"/>
      <c r="U74" s="823" t="e">
        <f>U65/U67</f>
        <v>#DIV/0!</v>
      </c>
      <c r="V74" s="820"/>
      <c r="W74" s="823">
        <f>IF(W73=0,0,W65/W67)</f>
        <v>0</v>
      </c>
      <c r="X74" s="820"/>
      <c r="Y74" s="1637">
        <f>IF(Y73=0,0,Y65/Y67)</f>
        <v>0</v>
      </c>
      <c r="AA74" s="1863" t="e">
        <f>AA65/IF(AA67&lt;Assumptions!G121,Assumptions!G121,AA67)</f>
        <v>#DIV/0!</v>
      </c>
      <c r="AB74" s="1862"/>
      <c r="AC74" s="1863" t="e">
        <f>AC65/AC67</f>
        <v>#DIV/0!</v>
      </c>
      <c r="AD74" s="1862"/>
      <c r="AE74" s="1863">
        <f>IF(AE73=0,0,AE65/AE67)</f>
        <v>0</v>
      </c>
      <c r="AF74" s="1862"/>
      <c r="AG74" s="1864">
        <f>IF(AG73=0,0,AG65/AG67)</f>
        <v>0</v>
      </c>
      <c r="AI74" s="857" t="e">
        <f>AI65/IF(AI67&lt;Assumptions!G130,Assumptions!G130,AI67)</f>
        <v>#DIV/0!</v>
      </c>
      <c r="AJ74" s="864"/>
      <c r="AK74" s="857" t="e">
        <f>AK65/AK67</f>
        <v>#DIV/0!</v>
      </c>
      <c r="AL74" s="864"/>
      <c r="AM74" s="857">
        <f>IF(AM73=0,0,AM65/AM67)</f>
        <v>0</v>
      </c>
      <c r="AN74" s="864"/>
      <c r="AO74" s="1647">
        <f>IF(AO73=0,0,AO65/AO67)</f>
        <v>0</v>
      </c>
      <c r="AQ74" s="1883" t="e">
        <f>AQ65/IF(AQ67&lt;Assumptions!G139,Assumptions!G139,AQ67)</f>
        <v>#DIV/0!</v>
      </c>
      <c r="AR74" s="1893"/>
      <c r="AS74" s="1883" t="e">
        <f>AS65/AS67</f>
        <v>#DIV/0!</v>
      </c>
      <c r="AT74" s="1893"/>
      <c r="AU74" s="1883">
        <f>IF(AU73=0,0,AU65/AU67)</f>
        <v>0</v>
      </c>
      <c r="AV74" s="1893"/>
      <c r="AW74" s="1885">
        <f>IF(AW73=0,0,AW65/AW67)</f>
        <v>0</v>
      </c>
      <c r="AY74" s="1507" t="e">
        <f>AY65/IF(AY67&lt;Assumptions!G148,Assumptions!G148,AY67)</f>
        <v>#DIV/0!</v>
      </c>
      <c r="AZ74" s="1508"/>
      <c r="BA74" s="1507" t="e">
        <f>BA65/BA67</f>
        <v>#DIV/0!</v>
      </c>
      <c r="BB74" s="1508"/>
      <c r="BC74" s="1507">
        <f>IF(BC73=0,0,BC65/BC67)</f>
        <v>0</v>
      </c>
      <c r="BD74" s="1508"/>
      <c r="BE74" s="1662">
        <f>IF(BE73=0,0,BE65/BE67)</f>
        <v>0</v>
      </c>
      <c r="BG74" s="1926" t="e">
        <f>BG65/IF(BG67&lt;Assumptions!G157,Assumptions!G157,BG67)</f>
        <v>#DIV/0!</v>
      </c>
      <c r="BH74" s="1927"/>
      <c r="BI74" s="1926" t="e">
        <f>BI65/BI67</f>
        <v>#DIV/0!</v>
      </c>
      <c r="BJ74" s="1927"/>
      <c r="BK74" s="1926">
        <f>IF(BK73=0,0,BK65/BK67)</f>
        <v>0</v>
      </c>
      <c r="BL74" s="1927"/>
      <c r="BM74" s="1928">
        <f>IF(BM73=0,0,BM65/BM67)</f>
        <v>0</v>
      </c>
      <c r="BO74" s="2468" t="e">
        <f>BO65/IF(BO36&lt;Assumptions!G121,Assumptions!G121,BO67)</f>
        <v>#REF!</v>
      </c>
      <c r="BP74" s="2468" t="e">
        <f>BP65/BP67</f>
        <v>#REF!</v>
      </c>
      <c r="BQ74" s="2468">
        <f>IF(BQ73=0,0,BQ65/BQ67)</f>
        <v>0</v>
      </c>
      <c r="BR74" s="2468">
        <f>IF(BR73=0,0,BR65/BR67)</f>
        <v>0</v>
      </c>
      <c r="CC74" s="355"/>
      <c r="CD74" s="355"/>
      <c r="CE74" s="355"/>
      <c r="CF74" s="355"/>
      <c r="CG74" s="355"/>
      <c r="CH74" s="355"/>
      <c r="CI74" s="355"/>
      <c r="CK74" s="936"/>
      <c r="CL74" s="936"/>
      <c r="CM74" s="936"/>
      <c r="CN74" s="936"/>
      <c r="CO74" s="936"/>
      <c r="CP74" s="936"/>
      <c r="CQ74" s="936"/>
      <c r="CS74" s="912"/>
      <c r="CT74" s="912"/>
      <c r="CU74" s="912"/>
      <c r="CV74" s="912"/>
      <c r="CW74" s="912"/>
      <c r="CX74" s="912"/>
      <c r="CY74" s="912"/>
      <c r="DA74" s="889"/>
      <c r="DB74" s="889"/>
      <c r="DC74" s="889"/>
      <c r="DD74" s="889"/>
      <c r="DE74" s="889"/>
      <c r="DF74" s="889"/>
      <c r="DG74" s="889"/>
      <c r="DI74" s="912"/>
      <c r="DJ74" s="912"/>
      <c r="DK74" s="912"/>
      <c r="DL74" s="912"/>
      <c r="DM74" s="912"/>
      <c r="DN74" s="912"/>
      <c r="DO74" s="912"/>
      <c r="DQ74" s="889"/>
      <c r="DR74" s="889"/>
      <c r="DS74" s="889"/>
      <c r="DT74" s="889"/>
      <c r="DU74" s="889"/>
      <c r="DV74" s="889"/>
      <c r="DW74" s="889"/>
      <c r="DY74" s="912"/>
      <c r="DZ74" s="912"/>
      <c r="EA74" s="912"/>
      <c r="EB74" s="912"/>
      <c r="EC74" s="912"/>
      <c r="ED74" s="912"/>
      <c r="EE74" s="912"/>
      <c r="EG74" s="889"/>
      <c r="EH74" s="889"/>
      <c r="EI74" s="889"/>
      <c r="EJ74" s="889"/>
      <c r="EK74" s="889"/>
      <c r="EL74" s="889"/>
      <c r="EM74" s="889"/>
    </row>
    <row r="75" spans="1:143">
      <c r="A75" s="71"/>
      <c r="C75" s="2401" t="e">
        <f>IF(C74=0,0,IF(C73/C74&lt;3147,3147,C73/C74))</f>
        <v>#REF!</v>
      </c>
      <c r="D75" s="2185"/>
      <c r="E75" s="2401" t="e">
        <f>IF(E74=0,0,IF(E73/E74&lt;3147,3147,E73/E74))</f>
        <v>#REF!</v>
      </c>
      <c r="F75" s="2185"/>
      <c r="G75" s="2401" t="e">
        <f>IF(G74=0,0,IF(G73/G74&lt;71.62,71.62,G73/G74))</f>
        <v>#REF!</v>
      </c>
      <c r="H75" s="2185"/>
      <c r="I75" s="2402" t="e">
        <f>IF(I74=0,0,IF(I73/I74&lt;71.62,71.62,I73/I74))</f>
        <v>#REF!</v>
      </c>
      <c r="K75" s="1552" t="e">
        <f>IF(K74=0,0,IF(K73/K74&lt;3392,3392,K73/K74))</f>
        <v>#REF!</v>
      </c>
      <c r="L75" s="305"/>
      <c r="M75" s="1552" t="e">
        <f>IF(M74=0,0,IF(M73/M74&lt;3392,3392,M73/M74))</f>
        <v>#REF!</v>
      </c>
      <c r="N75" s="305"/>
      <c r="O75" s="1552" t="e">
        <f>IF(O74=0,0,IF(O73/O74&lt;84.777,84.777,O73/O74))</f>
        <v>#REF!</v>
      </c>
      <c r="P75" s="305"/>
      <c r="Q75" s="1620" t="e">
        <f>IF(Q74=0,0,IF(Q73/Q74&lt;84.777,84.777,Q73/Q74))</f>
        <v>#REF!</v>
      </c>
      <c r="S75" s="824" t="e">
        <f>IF(S74=0,0,IF(S73/S74&lt;3618,3618,S73/S74))</f>
        <v>#DIV/0!</v>
      </c>
      <c r="T75" s="820"/>
      <c r="U75" s="824" t="e">
        <f>IF(U74=0,0,IF(U73/U74&lt;3618,3618,U73/U74))</f>
        <v>#DIV/0!</v>
      </c>
      <c r="V75" s="820"/>
      <c r="W75" s="824">
        <f>IF(W74=0,0,IF(W73/W74&lt;84.777,84.777,W73/W74))</f>
        <v>0</v>
      </c>
      <c r="X75" s="820"/>
      <c r="Y75" s="1638">
        <f>IF(Y74=0,0,IF(Y73/Y74&lt;84.777,84.777,Y73/Y74))</f>
        <v>0</v>
      </c>
      <c r="AA75" s="1865" t="e">
        <f>IF(AA74=0,0,IF(AA73/AA74&lt;3618,3618,AA73/AA74))</f>
        <v>#DIV/0!</v>
      </c>
      <c r="AB75" s="1862"/>
      <c r="AC75" s="1865" t="e">
        <f>IF(AC74=0,0,IF(AC73/AC74&lt;3618,3618,AC73/AC74))</f>
        <v>#DIV/0!</v>
      </c>
      <c r="AD75" s="1862"/>
      <c r="AE75" s="1865">
        <f>IF(AE74=0,0,IF(AE73/AE74&lt;84.777,84.777,AE73/AE74))</f>
        <v>0</v>
      </c>
      <c r="AF75" s="1862"/>
      <c r="AG75" s="1866">
        <f>IF(AG74=0,0,IF(AG73/AG74&lt;84.777,84.777,AG73/AG74))</f>
        <v>0</v>
      </c>
      <c r="AI75" s="865" t="e">
        <f>IF(AI74=0,0,IF(AI73/AI74&lt;3618,3618,AI73/AI74))</f>
        <v>#DIV/0!</v>
      </c>
      <c r="AJ75" s="864"/>
      <c r="AK75" s="865" t="e">
        <f>IF(AK74=0,0,IF(AK73/AK74&lt;3618,3618,AK73/AK74))</f>
        <v>#DIV/0!</v>
      </c>
      <c r="AL75" s="864"/>
      <c r="AM75" s="865">
        <f>IF(AM74=0,0,IF(AM73/AM74&lt;84.777,84.777,AM73/AM74))</f>
        <v>0</v>
      </c>
      <c r="AN75" s="864"/>
      <c r="AO75" s="1651">
        <f>IF(AO74=0,0,IF(AO73/AO74&lt;84.777,84.777,AO73/AO74))</f>
        <v>0</v>
      </c>
      <c r="AQ75" s="1895" t="e">
        <f>IF(AQ74=0,0,IF(AQ73/AQ74&lt;3618,3618,AQ73/AQ74))</f>
        <v>#DIV/0!</v>
      </c>
      <c r="AR75" s="1893"/>
      <c r="AS75" s="1895" t="e">
        <f>IF(AS74=0,0,IF(AS73/AS74&lt;3618,3618,AS73/AS74))</f>
        <v>#DIV/0!</v>
      </c>
      <c r="AT75" s="1893"/>
      <c r="AU75" s="1895">
        <f>IF(AU74=0,0,IF(AU73/AU74&lt;84.777,84.777,AU73/AU74))</f>
        <v>0</v>
      </c>
      <c r="AV75" s="1893"/>
      <c r="AW75" s="1897">
        <f>IF(AW74=0,0,IF(AW73/AW74&lt;84.777,84.777,AW73/AW74))</f>
        <v>0</v>
      </c>
      <c r="AY75" s="1507" t="e">
        <f>IF(AY74=0,0,IF(AY73/AY74&lt;3618,3618,AY73/AY74))</f>
        <v>#DIV/0!</v>
      </c>
      <c r="AZ75" s="1508"/>
      <c r="BA75" s="1507" t="e">
        <f>IF(BA74=0,0,IF(BA73/BA74&lt;3618,3618,BA73/BA74))</f>
        <v>#DIV/0!</v>
      </c>
      <c r="BB75" s="1508"/>
      <c r="BC75" s="1507">
        <f>IF(BC74=0,0,IF(BC73/BC74&lt;84.777,84.777,BC73/BC74))</f>
        <v>0</v>
      </c>
      <c r="BD75" s="1508"/>
      <c r="BE75" s="1662">
        <f>IF(BE74=0,0,IF(BE73/BE74&lt;84.777,84.777,BE73/BE74))</f>
        <v>0</v>
      </c>
      <c r="BG75" s="1926" t="e">
        <f>IF(BG74=0,0,IF(BG73/BG74&lt;3618,3618,BG73/BG74))</f>
        <v>#DIV/0!</v>
      </c>
      <c r="BH75" s="1927"/>
      <c r="BI75" s="1926" t="e">
        <f>IF(BI74=0,0,IF(BI73/BI74&lt;3618,3618,BI73/BI74))</f>
        <v>#DIV/0!</v>
      </c>
      <c r="BJ75" s="1927"/>
      <c r="BK75" s="1926">
        <f>IF(BK74=0,0,IF(BK73/BK74&lt;84.777,84.777,BK73/BK74))</f>
        <v>0</v>
      </c>
      <c r="BL75" s="1927"/>
      <c r="BM75" s="1928">
        <f>IF(BM74=0,0,IF(BM73/BM74&lt;84.777,84.777,BM73/BM74))</f>
        <v>0</v>
      </c>
      <c r="BO75" s="2680" t="e">
        <f>IF(BO74=0,0,IF(BO73/BO74&lt;3618,3618,BO73/BO74))</f>
        <v>#REF!</v>
      </c>
      <c r="BP75" s="2680" t="e">
        <f>IF(BP74=0,0,IF(BP73/BP74&lt;3392,3392,BP73/BP74))</f>
        <v>#REF!</v>
      </c>
      <c r="BQ75" s="2680">
        <f>IF(BQ74=0,0,IF(BQ73/BQ74&lt;84.777,84.777,BQ73/BQ74))</f>
        <v>0</v>
      </c>
      <c r="BR75" s="2680">
        <f>IF(BR74=0,0,IF(BR73/BR74&lt;84.777,84.777,BR73/BR74))</f>
        <v>0</v>
      </c>
      <c r="CC75" s="355"/>
      <c r="CD75" s="355"/>
      <c r="CE75" s="355"/>
      <c r="CF75" s="355"/>
      <c r="CG75" s="355"/>
      <c r="CH75" s="355"/>
      <c r="CI75" s="355"/>
      <c r="CK75" s="936"/>
      <c r="CL75" s="936"/>
      <c r="CM75" s="936"/>
      <c r="CN75" s="936"/>
      <c r="CO75" s="936"/>
      <c r="CP75" s="936"/>
      <c r="CQ75" s="936"/>
      <c r="CS75" s="912"/>
      <c r="CT75" s="912"/>
      <c r="CU75" s="912"/>
      <c r="CV75" s="912"/>
      <c r="CW75" s="912"/>
      <c r="CX75" s="912"/>
      <c r="CY75" s="912"/>
      <c r="DA75" s="889"/>
      <c r="DB75" s="889"/>
      <c r="DC75" s="889"/>
      <c r="DD75" s="889"/>
      <c r="DE75" s="889"/>
      <c r="DF75" s="889"/>
      <c r="DG75" s="889"/>
      <c r="DI75" s="912"/>
      <c r="DJ75" s="912"/>
      <c r="DK75" s="912"/>
      <c r="DL75" s="912"/>
      <c r="DM75" s="912"/>
      <c r="DN75" s="912"/>
      <c r="DO75" s="912"/>
      <c r="DQ75" s="889"/>
      <c r="DR75" s="889"/>
      <c r="DS75" s="889"/>
      <c r="DT75" s="889"/>
      <c r="DU75" s="889"/>
      <c r="DV75" s="889"/>
      <c r="DW75" s="889"/>
      <c r="DY75" s="912"/>
      <c r="DZ75" s="912"/>
      <c r="EA75" s="912"/>
      <c r="EB75" s="912"/>
      <c r="EC75" s="912"/>
      <c r="ED75" s="912"/>
      <c r="EE75" s="912"/>
      <c r="EG75" s="889"/>
      <c r="EH75" s="889"/>
      <c r="EI75" s="889"/>
      <c r="EJ75" s="889"/>
      <c r="EK75" s="889"/>
      <c r="EL75" s="889"/>
      <c r="EM75" s="889"/>
    </row>
    <row r="76" spans="1:143">
      <c r="A76" s="71"/>
      <c r="C76" s="2141" t="e">
        <f>IF(OR('Data Entry - SOF'!C140=0,C75=0),0,IF('Data Entry - SOF'!C140&gt;C75,(C75*'Data Entry - SOF'!C139)/C75,('Data Entry - SOF'!C140*'Data Entry - SOF'!C139)/C75))</f>
        <v>#REF!</v>
      </c>
      <c r="D76" s="2185"/>
      <c r="E76" s="2141" t="e">
        <f>C76</f>
        <v>#REF!</v>
      </c>
      <c r="F76" s="2185"/>
      <c r="G76" s="2141" t="e">
        <f>IF(OR('Data Entry - SOF'!C140=0,G75=0),0,IF('Data Entry - SOF'!C140&gt;G75,(G75*'Data Entry - SOF'!C139)/G75,('Data Entry - SOF'!C140*'Data Entry - SOF'!C139)/G75))</f>
        <v>#REF!</v>
      </c>
      <c r="H76" s="2185"/>
      <c r="I76" s="2400" t="e">
        <f>G76</f>
        <v>#REF!</v>
      </c>
      <c r="K76" s="1552" t="e">
        <f>IF(OR('Data Entry - SOF'!#REF!=0,K75=0),0,IF('Data Entry - SOF'!#REF!&gt;K75,(K75*'Data Entry - SOF'!#REF!)/K75,('Data Entry - SOF'!#REF!*'Data Entry - SOF'!#REF!)/K75))</f>
        <v>#REF!</v>
      </c>
      <c r="L76" s="305"/>
      <c r="M76" s="1552" t="e">
        <f>K76</f>
        <v>#REF!</v>
      </c>
      <c r="N76" s="305"/>
      <c r="O76" s="1552" t="e">
        <f>IF(OR('Data Entry - SOF'!#REF!=0,O75=0),0,IF('Data Entry - SOF'!#REF!&gt;O75,(O75*'Data Entry - SOF'!#REF!)/O75,('Data Entry - SOF'!#REF!*'Data Entry - SOF'!#REF!)/O75))</f>
        <v>#REF!</v>
      </c>
      <c r="P76" s="305"/>
      <c r="Q76" s="1620" t="e">
        <f>O76</f>
        <v>#REF!</v>
      </c>
      <c r="S76" s="823" t="e">
        <f>IF(OR('Data Entry - SOF'!E140=0,S75=0),0,IF('Data Entry - SOF'!E140&gt;S75,(S75*'Data Entry - SOF'!E139)/S75,('Data Entry - SOF'!E140*'Data Entry - SOF'!E139)/S75))</f>
        <v>#DIV/0!</v>
      </c>
      <c r="T76" s="820"/>
      <c r="U76" s="823" t="e">
        <f>S76</f>
        <v>#DIV/0!</v>
      </c>
      <c r="V76" s="820"/>
      <c r="W76" s="823">
        <f>IF(OR('Data Entry - SOF'!E140=0,W75=0),0,IF('Data Entry - SOF'!E140&gt;W75,(W75*'Data Entry - SOF'!E139)/W75,('Data Entry - SOF'!E140*'Data Entry - SOF'!E139)/W75))</f>
        <v>0</v>
      </c>
      <c r="X76" s="820"/>
      <c r="Y76" s="1637">
        <f>W76</f>
        <v>0</v>
      </c>
      <c r="AA76" s="1863" t="e">
        <f>IF(OR('Data Entry - SOF'!K140=0,AA75=0),0,IF('Data Entry - SOF'!K140&gt;AA75,(AA75*'Data Entry - SOF'!K139)/AA75,('Data Entry - SOF'!K140*'Data Entry - SOF'!K139)/AA75))</f>
        <v>#DIV/0!</v>
      </c>
      <c r="AB76" s="1862"/>
      <c r="AC76" s="1863" t="e">
        <f>AA76</f>
        <v>#DIV/0!</v>
      </c>
      <c r="AD76" s="1862"/>
      <c r="AE76" s="1863">
        <f>IF(OR('Data Entry - SOF'!K140=0,AE75=0),0,IF('Data Entry - SOF'!K140&gt;AE75,(AE75*'Data Entry - SOF'!K139)/AE75,('Data Entry - SOF'!K140*'Data Entry - SOF'!K139)/AE75))</f>
        <v>0</v>
      </c>
      <c r="AF76" s="1862"/>
      <c r="AG76" s="1864">
        <f>AE76</f>
        <v>0</v>
      </c>
      <c r="AI76" s="857" t="e">
        <f>IF(OR('Data Entry - SOF'!M140=0,AI75=0),0,IF('Data Entry - SOF'!M140&gt;AI75,(AI75*'Data Entry - SOF'!M139)/AI75,('Data Entry - SOF'!M140*'Data Entry - SOF'!M139)/AI75))</f>
        <v>#DIV/0!</v>
      </c>
      <c r="AJ76" s="864"/>
      <c r="AK76" s="857" t="e">
        <f>AI76</f>
        <v>#DIV/0!</v>
      </c>
      <c r="AL76" s="864"/>
      <c r="AM76" s="857">
        <f>IF(OR('Data Entry - SOF'!M140=0,AM75=0),0,IF('Data Entry - SOF'!M140&gt;AM75,(AM75*'Data Entry - SOF'!M139)/AM75,('Data Entry - SOF'!M140*'Data Entry - SOF'!M139)/AM75))</f>
        <v>0</v>
      </c>
      <c r="AN76" s="864"/>
      <c r="AO76" s="1647">
        <f>AM76</f>
        <v>0</v>
      </c>
      <c r="AQ76" s="1883" t="e">
        <f>IF(OR('Data Entry - SOF'!O140=0,AQ75=0),0,IF('Data Entry - SOF'!O140&gt;AQ75,(AQ75*'Data Entry - SOF'!O139)/AQ75,('Data Entry - SOF'!O140*'Data Entry - SOF'!O139)/AQ75))</f>
        <v>#DIV/0!</v>
      </c>
      <c r="AR76" s="1893"/>
      <c r="AS76" s="1883" t="e">
        <f>AQ76</f>
        <v>#DIV/0!</v>
      </c>
      <c r="AT76" s="1893"/>
      <c r="AU76" s="1883">
        <f>IF(OR('Data Entry - SOF'!O140=0,AU75=0),0,IF('Data Entry - SOF'!O140&gt;AU75,(AU75*'Data Entry - SOF'!O139)/AU75,('Data Entry - SOF'!O140*'Data Entry - SOF'!O139)/AU75))</f>
        <v>0</v>
      </c>
      <c r="AV76" s="1893"/>
      <c r="AW76" s="1885">
        <f>AU76</f>
        <v>0</v>
      </c>
      <c r="AY76" s="1507" t="e">
        <f>IF(OR('Data Entry - SOF'!Q140=0,AY75=0),0,IF('Data Entry - SOF'!Q140&gt;AY75,(AY75*'Data Entry - SOF'!Q139)/AY75,('Data Entry - SOF'!Q140*'Data Entry - SOF'!Q139)/AY75))</f>
        <v>#DIV/0!</v>
      </c>
      <c r="AZ76" s="1508"/>
      <c r="BA76" s="1507" t="e">
        <f>AY76</f>
        <v>#DIV/0!</v>
      </c>
      <c r="BB76" s="1508"/>
      <c r="BC76" s="1507">
        <f>IF(OR('Data Entry - SOF'!Q140=0,BC75=0),0,IF('Data Entry - SOF'!Q140&gt;BC75,(BC75*'Data Entry - SOF'!Q139)/BC75,('Data Entry - SOF'!Q140*'Data Entry - SOF'!Q139)/BC75))</f>
        <v>0</v>
      </c>
      <c r="BD76" s="1508"/>
      <c r="BE76" s="1662">
        <f>BC76</f>
        <v>0</v>
      </c>
      <c r="BG76" s="1926" t="e">
        <f>IF(OR('Data Entry - SOF'!S140=0,BG75=0),0,IF('Data Entry - SOF'!S140&gt;BG75,(BG75*'Data Entry - SOF'!S139)/BG75,('Data Entry - SOF'!S140*'Data Entry - SOF'!S139)/BG75))</f>
        <v>#DIV/0!</v>
      </c>
      <c r="BH76" s="1927"/>
      <c r="BI76" s="1926" t="e">
        <f>BG76</f>
        <v>#DIV/0!</v>
      </c>
      <c r="BJ76" s="1927"/>
      <c r="BK76" s="1926">
        <f>IF(OR('Data Entry - SOF'!S140=0,BK75=0),0,IF('Data Entry - SOF'!S140&gt;BK75,(BK75*'Data Entry - SOF'!S139)/BK75,('Data Entry - SOF'!S140*'Data Entry - SOF'!S139)/BK75))</f>
        <v>0</v>
      </c>
      <c r="BL76" s="1927"/>
      <c r="BM76" s="1928">
        <f>BK76</f>
        <v>0</v>
      </c>
      <c r="BO76" s="2468" t="e">
        <f>IF(OR('Data Entry - SOF'!E140=0,BO75=0),0,IF('Data Entry - SOF'!E140&gt;BO75,(BO75*'Data Entry - SOF'!E139)/BO75,('Data Entry - SOF'!E140*'Data Entry - SOF'!E139)/BO75))</f>
        <v>#REF!</v>
      </c>
      <c r="BP76" s="2468" t="e">
        <f>BO76</f>
        <v>#REF!</v>
      </c>
      <c r="BQ76" s="2468">
        <f>IF(OR('Data Entry - SOF'!E140=0,BQ75=0),0,IF('Data Entry - SOF'!E140&gt;BQ75,(BQ75*'Data Entry - SOF'!E139)/BQ75,('Data Entry - SOF'!E140*'Data Entry - SOF'!E139)/BQ75))</f>
        <v>0</v>
      </c>
      <c r="BR76" s="2468" t="e">
        <f>BP76</f>
        <v>#REF!</v>
      </c>
      <c r="CC76" s="355"/>
      <c r="CD76" s="355"/>
      <c r="CE76" s="355"/>
      <c r="CF76" s="355"/>
      <c r="CG76" s="355"/>
      <c r="CH76" s="355"/>
      <c r="CI76" s="355"/>
      <c r="CK76" s="936"/>
      <c r="CL76" s="936"/>
      <c r="CM76" s="936"/>
      <c r="CN76" s="936"/>
      <c r="CO76" s="936"/>
      <c r="CP76" s="936"/>
      <c r="CQ76" s="936"/>
      <c r="CS76" s="912"/>
      <c r="CT76" s="912"/>
      <c r="CU76" s="912"/>
      <c r="CV76" s="912"/>
      <c r="CW76" s="912"/>
      <c r="CX76" s="912"/>
      <c r="CY76" s="912"/>
      <c r="DA76" s="889"/>
      <c r="DB76" s="889"/>
      <c r="DC76" s="889"/>
      <c r="DD76" s="889"/>
      <c r="DE76" s="889"/>
      <c r="DF76" s="889"/>
      <c r="DG76" s="889"/>
      <c r="DI76" s="912"/>
      <c r="DJ76" s="912"/>
      <c r="DK76" s="912"/>
      <c r="DL76" s="912"/>
      <c r="DM76" s="912"/>
      <c r="DN76" s="912"/>
      <c r="DO76" s="912"/>
      <c r="DQ76" s="889"/>
      <c r="DR76" s="889"/>
      <c r="DS76" s="889"/>
      <c r="DT76" s="889"/>
      <c r="DU76" s="889"/>
      <c r="DV76" s="889"/>
      <c r="DW76" s="889"/>
      <c r="DY76" s="912"/>
      <c r="DZ76" s="912"/>
      <c r="EA76" s="912"/>
      <c r="EB76" s="912"/>
      <c r="EC76" s="912"/>
      <c r="ED76" s="912"/>
      <c r="EE76" s="912"/>
      <c r="EG76" s="889"/>
      <c r="EH76" s="889"/>
      <c r="EI76" s="889"/>
      <c r="EJ76" s="889"/>
      <c r="EK76" s="889"/>
      <c r="EL76" s="889"/>
      <c r="EM76" s="889"/>
    </row>
    <row r="77" spans="1:143">
      <c r="A77" s="71"/>
      <c r="C77" s="2390">
        <v>0</v>
      </c>
      <c r="D77" s="2185"/>
      <c r="E77" s="2390">
        <v>0</v>
      </c>
      <c r="F77" s="2185"/>
      <c r="G77" s="2390">
        <v>0</v>
      </c>
      <c r="H77" s="2185"/>
      <c r="I77" s="2391">
        <v>0</v>
      </c>
      <c r="K77" s="1552">
        <v>0</v>
      </c>
      <c r="L77" s="305"/>
      <c r="M77" s="1552">
        <v>0</v>
      </c>
      <c r="N77" s="305"/>
      <c r="O77" s="1552">
        <v>0</v>
      </c>
      <c r="P77" s="305"/>
      <c r="Q77" s="1620">
        <v>0</v>
      </c>
      <c r="S77" s="151">
        <v>0</v>
      </c>
      <c r="T77" s="820"/>
      <c r="U77" s="151">
        <v>0</v>
      </c>
      <c r="V77" s="820"/>
      <c r="W77" s="151">
        <v>0</v>
      </c>
      <c r="X77" s="820"/>
      <c r="Y77" s="1615">
        <v>0</v>
      </c>
      <c r="AA77" s="1843">
        <v>0</v>
      </c>
      <c r="AB77" s="1862"/>
      <c r="AC77" s="1843">
        <v>0</v>
      </c>
      <c r="AD77" s="1862"/>
      <c r="AE77" s="1843">
        <v>0</v>
      </c>
      <c r="AF77" s="1862"/>
      <c r="AG77" s="1844">
        <v>0</v>
      </c>
      <c r="AI77" s="151">
        <v>0</v>
      </c>
      <c r="AJ77" s="864"/>
      <c r="AK77" s="151">
        <v>0</v>
      </c>
      <c r="AL77" s="864"/>
      <c r="AM77" s="151">
        <v>0</v>
      </c>
      <c r="AN77" s="864"/>
      <c r="AO77" s="1615">
        <v>0</v>
      </c>
      <c r="AQ77" s="1898">
        <v>0</v>
      </c>
      <c r="AR77" s="1893"/>
      <c r="AS77" s="1898">
        <v>0</v>
      </c>
      <c r="AT77" s="1893"/>
      <c r="AU77" s="1898">
        <v>0</v>
      </c>
      <c r="AV77" s="1893"/>
      <c r="AW77" s="1899">
        <v>0</v>
      </c>
      <c r="AY77" s="1507">
        <v>0</v>
      </c>
      <c r="AZ77" s="1508"/>
      <c r="BA77" s="1507">
        <v>0</v>
      </c>
      <c r="BB77" s="1508"/>
      <c r="BC77" s="1507">
        <v>0</v>
      </c>
      <c r="BD77" s="1508"/>
      <c r="BE77" s="1662">
        <v>0</v>
      </c>
      <c r="BG77" s="1926">
        <v>0</v>
      </c>
      <c r="BH77" s="1927"/>
      <c r="BI77" s="1926">
        <v>0</v>
      </c>
      <c r="BJ77" s="1927"/>
      <c r="BK77" s="1926">
        <v>0</v>
      </c>
      <c r="BL77" s="1927"/>
      <c r="BM77" s="1928">
        <v>0</v>
      </c>
      <c r="BO77" s="2468">
        <v>0</v>
      </c>
      <c r="BP77" s="2468">
        <v>0</v>
      </c>
      <c r="BQ77" s="2468">
        <v>0</v>
      </c>
      <c r="BR77" s="2468">
        <v>0</v>
      </c>
      <c r="CC77" s="355"/>
      <c r="CD77" s="355"/>
      <c r="CE77" s="355"/>
      <c r="CF77" s="355"/>
      <c r="CG77" s="355"/>
      <c r="CH77" s="355"/>
      <c r="CI77" s="355"/>
      <c r="CK77" s="936"/>
      <c r="CL77" s="936"/>
      <c r="CM77" s="936"/>
      <c r="CN77" s="936"/>
      <c r="CO77" s="936"/>
      <c r="CP77" s="936"/>
      <c r="CQ77" s="936"/>
      <c r="CS77" s="912"/>
      <c r="CT77" s="912"/>
      <c r="CU77" s="912"/>
      <c r="CV77" s="912"/>
      <c r="CW77" s="912"/>
      <c r="CX77" s="912"/>
      <c r="CY77" s="912"/>
      <c r="DA77" s="889"/>
      <c r="DB77" s="889"/>
      <c r="DC77" s="889"/>
      <c r="DD77" s="889"/>
      <c r="DE77" s="889"/>
      <c r="DF77" s="889"/>
      <c r="DG77" s="889"/>
      <c r="DI77" s="912"/>
      <c r="DJ77" s="912"/>
      <c r="DK77" s="912"/>
      <c r="DL77" s="912"/>
      <c r="DM77" s="912"/>
      <c r="DN77" s="912"/>
      <c r="DO77" s="912"/>
      <c r="DQ77" s="889"/>
      <c r="DR77" s="889"/>
      <c r="DS77" s="889"/>
      <c r="DT77" s="889"/>
      <c r="DU77" s="889"/>
      <c r="DV77" s="889"/>
      <c r="DW77" s="889"/>
      <c r="DY77" s="912"/>
      <c r="DZ77" s="912"/>
      <c r="EA77" s="912"/>
      <c r="EB77" s="912"/>
      <c r="EC77" s="912"/>
      <c r="ED77" s="912"/>
      <c r="EE77" s="912"/>
      <c r="EG77" s="889"/>
      <c r="EH77" s="889"/>
      <c r="EI77" s="889"/>
      <c r="EJ77" s="889"/>
      <c r="EK77" s="889"/>
      <c r="EL77" s="889"/>
      <c r="EM77" s="889"/>
    </row>
    <row r="78" spans="1:143">
      <c r="A78" s="71"/>
      <c r="C78" s="2141" t="e">
        <f>IF(C74-C76-C77&lt;0,0,C74-C76-C77)</f>
        <v>#REF!</v>
      </c>
      <c r="D78" s="2185"/>
      <c r="E78" s="2141" t="e">
        <f>IF(E74-E76-E77&lt;0,0,E74-E76-E77)</f>
        <v>#REF!</v>
      </c>
      <c r="F78" s="2185"/>
      <c r="G78" s="2141" t="e">
        <f>IF(G74-G76-G77&lt;0,0,G74-G76-G77)</f>
        <v>#REF!</v>
      </c>
      <c r="H78" s="2185"/>
      <c r="I78" s="2400" t="e">
        <f>IF(I74-I76-I77&lt;0,0,I74-I76-I77)</f>
        <v>#REF!</v>
      </c>
      <c r="K78" s="1552" t="e">
        <f>IF(K74-K76-K77&lt;0,0,K74-K76-K77)</f>
        <v>#REF!</v>
      </c>
      <c r="L78" s="305"/>
      <c r="M78" s="1552" t="e">
        <f>IF(M74-M76-M77&lt;0,0,M74-M76-M77)</f>
        <v>#REF!</v>
      </c>
      <c r="N78" s="305"/>
      <c r="O78" s="1552" t="e">
        <f>IF(O74-O76-O77&lt;0,0,O74-O76-O77)</f>
        <v>#REF!</v>
      </c>
      <c r="P78" s="305"/>
      <c r="Q78" s="1620" t="e">
        <f>IF(Q74-Q76-Q77&lt;0,0,Q74-Q76-Q77)</f>
        <v>#REF!</v>
      </c>
      <c r="S78" s="823" t="e">
        <f>IF(S74-S76-S77&lt;0,0,S74-S76-S77)</f>
        <v>#DIV/0!</v>
      </c>
      <c r="T78" s="820"/>
      <c r="U78" s="823" t="e">
        <f>IF(U74-U76-U77&lt;0,0,U74-U76-U77)</f>
        <v>#DIV/0!</v>
      </c>
      <c r="V78" s="820"/>
      <c r="W78" s="823">
        <f>IF(W74-W76-W77&lt;0,0,W74-W76-W77)</f>
        <v>0</v>
      </c>
      <c r="X78" s="820"/>
      <c r="Y78" s="1637">
        <f>IF(Y74-Y76-Y77&lt;0,0,Y74-Y76-Y77)</f>
        <v>0</v>
      </c>
      <c r="AA78" s="1863" t="e">
        <f>IF(AA74-AA76-AA77&lt;0,0,AA74-AA76-AA77)</f>
        <v>#DIV/0!</v>
      </c>
      <c r="AB78" s="1862"/>
      <c r="AC78" s="1863" t="e">
        <f>IF(AC74-AC76-AC77&lt;0,0,AC74-AC76-AC77)</f>
        <v>#DIV/0!</v>
      </c>
      <c r="AD78" s="1862"/>
      <c r="AE78" s="1863">
        <f>IF(AE74-AE76-AE77&lt;0,0,AE74-AE76-AE77)</f>
        <v>0</v>
      </c>
      <c r="AF78" s="1862"/>
      <c r="AG78" s="1864">
        <f>IF(AG74-AG76-AG77&lt;0,0,AG74-AG76-AG77)</f>
        <v>0</v>
      </c>
      <c r="AI78" s="857" t="e">
        <f>IF(AI74-AI76-AI77&lt;0,0,AI74-AI76-AI77)</f>
        <v>#DIV/0!</v>
      </c>
      <c r="AJ78" s="864"/>
      <c r="AK78" s="857" t="e">
        <f>IF(AK74-AK76-AK77&lt;0,0,AK74-AK76-AK77)</f>
        <v>#DIV/0!</v>
      </c>
      <c r="AL78" s="864"/>
      <c r="AM78" s="857">
        <f>IF(AM74-AM76-AM77&lt;0,0,AM74-AM76-AM77)</f>
        <v>0</v>
      </c>
      <c r="AN78" s="864"/>
      <c r="AO78" s="1647">
        <f>IF(AO74-AO76-AO77&lt;0,0,AO74-AO76-AO77)</f>
        <v>0</v>
      </c>
      <c r="AQ78" s="1883" t="e">
        <f>IF(AQ74-AQ76-AQ77&lt;0,0,AQ74-AQ76-AQ77)</f>
        <v>#DIV/0!</v>
      </c>
      <c r="AR78" s="1893"/>
      <c r="AS78" s="1883" t="e">
        <f>IF(AS74-AS76-AS77&lt;0,0,AS74-AS76-AS77)</f>
        <v>#DIV/0!</v>
      </c>
      <c r="AT78" s="1893"/>
      <c r="AU78" s="1883">
        <f>IF(AU74-AU76-AU77&lt;0,0,AU74-AU76-AU77)</f>
        <v>0</v>
      </c>
      <c r="AV78" s="1893"/>
      <c r="AW78" s="1885">
        <f>IF(AW74-AW76-AW77&lt;0,0,AW74-AW76-AW77)</f>
        <v>0</v>
      </c>
      <c r="AY78" s="1507" t="e">
        <f>IF(AY74-AY76-AY77&lt;0,0,AY74-AY76-AY77)</f>
        <v>#DIV/0!</v>
      </c>
      <c r="AZ78" s="1508"/>
      <c r="BA78" s="1507" t="e">
        <f>IF(BA74-BA76-BA77&lt;0,0,BA74-BA76-BA77)</f>
        <v>#DIV/0!</v>
      </c>
      <c r="BB78" s="1508"/>
      <c r="BC78" s="1507">
        <f>IF(BC74-BC76-BC77&lt;0,0,BC74-BC76-BC77)</f>
        <v>0</v>
      </c>
      <c r="BD78" s="1508"/>
      <c r="BE78" s="1662">
        <f>IF(BE74-BE76-BE77&lt;0,0,BE74-BE76-BE77)</f>
        <v>0</v>
      </c>
      <c r="BG78" s="1926" t="e">
        <f>IF(BG74-BG76-BG77&lt;0,0,BG74-BG76-BG77)</f>
        <v>#DIV/0!</v>
      </c>
      <c r="BH78" s="1927"/>
      <c r="BI78" s="1926" t="e">
        <f>IF(BI74-BI76-BI77&lt;0,0,BI74-BI76-BI77)</f>
        <v>#DIV/0!</v>
      </c>
      <c r="BJ78" s="1927"/>
      <c r="BK78" s="1926">
        <f>IF(BK74-BK76-BK77&lt;0,0,BK74-BK76-BK77)</f>
        <v>0</v>
      </c>
      <c r="BL78" s="1927"/>
      <c r="BM78" s="1928">
        <f>IF(BM74-BM76-BM77&lt;0,0,BM74-BM76-BM77)</f>
        <v>0</v>
      </c>
      <c r="BO78" s="2468" t="e">
        <f>IF(BO74-BO76-BO77&lt;0,0,BO74-BO76-BO77)</f>
        <v>#REF!</v>
      </c>
      <c r="BP78" s="2468" t="e">
        <f>IF(BP74-BP76-BP77&lt;0,0,BP74-BP76-BP77)</f>
        <v>#REF!</v>
      </c>
      <c r="BQ78" s="2468">
        <f>IF(BQ74-BQ76-BQ77&lt;0,0,BQ74-BQ76-BQ77)</f>
        <v>0</v>
      </c>
      <c r="BR78" s="2468" t="e">
        <f>IF(BR74-BR76-BR77&lt;0,0,BR74-BR76-BR77)</f>
        <v>#REF!</v>
      </c>
      <c r="CC78" s="355"/>
      <c r="CD78" s="355"/>
      <c r="CE78" s="355"/>
      <c r="CF78" s="355"/>
      <c r="CG78" s="355"/>
      <c r="CH78" s="355"/>
      <c r="CI78" s="355"/>
      <c r="CK78" s="936"/>
      <c r="CL78" s="936"/>
      <c r="CM78" s="936"/>
      <c r="CN78" s="936"/>
      <c r="CO78" s="936"/>
      <c r="CP78" s="936"/>
      <c r="CQ78" s="936"/>
      <c r="CS78" s="912"/>
      <c r="CT78" s="912"/>
      <c r="CU78" s="912"/>
      <c r="CV78" s="912"/>
      <c r="CW78" s="912"/>
      <c r="CX78" s="912"/>
      <c r="CY78" s="912"/>
      <c r="DA78" s="889"/>
      <c r="DB78" s="889"/>
      <c r="DC78" s="889"/>
      <c r="DD78" s="889"/>
      <c r="DE78" s="889"/>
      <c r="DF78" s="889"/>
      <c r="DG78" s="889"/>
      <c r="DI78" s="912"/>
      <c r="DJ78" s="912"/>
      <c r="DK78" s="912"/>
      <c r="DL78" s="912"/>
      <c r="DM78" s="912"/>
      <c r="DN78" s="912"/>
      <c r="DO78" s="912"/>
      <c r="DQ78" s="889"/>
      <c r="DR78" s="889"/>
      <c r="DS78" s="889"/>
      <c r="DT78" s="889"/>
      <c r="DU78" s="889"/>
      <c r="DV78" s="889"/>
      <c r="DW78" s="889"/>
      <c r="DY78" s="912"/>
      <c r="DZ78" s="912"/>
      <c r="EA78" s="912"/>
      <c r="EB78" s="912"/>
      <c r="EC78" s="912"/>
      <c r="ED78" s="912"/>
      <c r="EE78" s="912"/>
      <c r="EG78" s="889"/>
      <c r="EH78" s="889"/>
      <c r="EI78" s="889"/>
      <c r="EJ78" s="889"/>
      <c r="EK78" s="889"/>
      <c r="EL78" s="889"/>
      <c r="EM78" s="889"/>
    </row>
    <row r="79" spans="1:143">
      <c r="A79" s="71"/>
      <c r="C79" s="2182" t="e">
        <f>IF(C78=0,0,C78*C75)</f>
        <v>#REF!</v>
      </c>
      <c r="D79" s="2185"/>
      <c r="E79" s="2182" t="e">
        <f>IF(E78=0,0,E78*E75)</f>
        <v>#REF!</v>
      </c>
      <c r="F79" s="2185"/>
      <c r="G79" s="2182" t="e">
        <f>IF(G78=0,0,G78*G75)</f>
        <v>#REF!</v>
      </c>
      <c r="H79" s="2185"/>
      <c r="I79" s="2398" t="e">
        <f>IF(I78=0,0,I78*I75)</f>
        <v>#REF!</v>
      </c>
      <c r="K79" s="1553" t="e">
        <f>IF(K78=0,0,K78*K75)</f>
        <v>#REF!</v>
      </c>
      <c r="L79" s="1554"/>
      <c r="M79" s="1553" t="e">
        <f>IF(M78=0,0,M78*M75)</f>
        <v>#REF!</v>
      </c>
      <c r="N79" s="1554"/>
      <c r="O79" s="1553" t="e">
        <f>IF(O78=0,0,O78*O75)</f>
        <v>#REF!</v>
      </c>
      <c r="P79" s="1554"/>
      <c r="Q79" s="1621" t="e">
        <f>IF(Q78=0,0,Q78*Q75)</f>
        <v>#REF!</v>
      </c>
      <c r="S79" s="821" t="e">
        <f>IF(S78=0,0,S78*S75)</f>
        <v>#DIV/0!</v>
      </c>
      <c r="T79" s="820"/>
      <c r="U79" s="821" t="e">
        <f>IF(U78=0,0,U78*U75)</f>
        <v>#DIV/0!</v>
      </c>
      <c r="V79" s="820"/>
      <c r="W79" s="821">
        <f>IF(W78=0,0,W78*W75)</f>
        <v>0</v>
      </c>
      <c r="X79" s="820"/>
      <c r="Y79" s="1636">
        <f>IF(Y78=0,0,Y78*Y75)</f>
        <v>0</v>
      </c>
      <c r="AA79" s="1859" t="e">
        <f>IF(AA78=0,0,AA78*AA75)</f>
        <v>#DIV/0!</v>
      </c>
      <c r="AB79" s="1862"/>
      <c r="AC79" s="1859" t="e">
        <f>IF(AC78=0,0,AC78*AC75)</f>
        <v>#DIV/0!</v>
      </c>
      <c r="AD79" s="1862"/>
      <c r="AE79" s="1859">
        <f>IF(AE78=0,0,AE78*AE75)</f>
        <v>0</v>
      </c>
      <c r="AF79" s="1862"/>
      <c r="AG79" s="1860">
        <f>IF(AG78=0,0,AG78*AG75)</f>
        <v>0</v>
      </c>
      <c r="AI79" s="863" t="e">
        <f>IF(AI78=0,0,AI78*AI75)</f>
        <v>#DIV/0!</v>
      </c>
      <c r="AJ79" s="864"/>
      <c r="AK79" s="863" t="e">
        <f>IF(AK78=0,0,AK78*AK75)</f>
        <v>#DIV/0!</v>
      </c>
      <c r="AL79" s="864"/>
      <c r="AM79" s="863">
        <f>IF(AM78=0,0,AM78*AM75)</f>
        <v>0</v>
      </c>
      <c r="AN79" s="864"/>
      <c r="AO79" s="1650">
        <f>IF(AO78=0,0,AO78*AO75)</f>
        <v>0</v>
      </c>
      <c r="AQ79" s="1892" t="e">
        <f>IF(AQ78=0,0,AQ78*AQ75)</f>
        <v>#DIV/0!</v>
      </c>
      <c r="AR79" s="1893"/>
      <c r="AS79" s="1892" t="e">
        <f>IF(AS78=0,0,AS78*AS75)</f>
        <v>#DIV/0!</v>
      </c>
      <c r="AT79" s="1893"/>
      <c r="AU79" s="1892">
        <f>IF(AU78=0,0,AU78*AU75)</f>
        <v>0</v>
      </c>
      <c r="AV79" s="1893"/>
      <c r="AW79" s="1894">
        <f>IF(AW78=0,0,AW78*AW75)</f>
        <v>0</v>
      </c>
      <c r="AY79" s="1515" t="e">
        <f>IF(AY78=0,0,AY78*AY75)</f>
        <v>#DIV/0!</v>
      </c>
      <c r="AZ79" s="1516"/>
      <c r="BA79" s="1515" t="e">
        <f>IF(BA78=0,0,BA78*BA75)</f>
        <v>#DIV/0!</v>
      </c>
      <c r="BB79" s="1516"/>
      <c r="BC79" s="1515">
        <f>IF(BC78=0,0,BC78*BC75)</f>
        <v>0</v>
      </c>
      <c r="BD79" s="1516"/>
      <c r="BE79" s="1657">
        <f>IF(BE78=0,0,BE78*BE75)</f>
        <v>0</v>
      </c>
      <c r="BG79" s="1914" t="e">
        <f>IF(BG78=0,0,BG78*BG75)</f>
        <v>#DIV/0!</v>
      </c>
      <c r="BH79" s="1915"/>
      <c r="BI79" s="1914" t="e">
        <f>IF(BI78=0,0,BI78*BI75)</f>
        <v>#DIV/0!</v>
      </c>
      <c r="BJ79" s="1915"/>
      <c r="BK79" s="1914">
        <f>IF(BK78=0,0,BK78*BK75)</f>
        <v>0</v>
      </c>
      <c r="BL79" s="1915"/>
      <c r="BM79" s="1916">
        <f>IF(BM78=0,0,BM78*BM75)</f>
        <v>0</v>
      </c>
      <c r="BO79" s="2472" t="e">
        <f>IF(BO78=0,0,BO78*BO75)</f>
        <v>#REF!</v>
      </c>
      <c r="BP79" s="2472" t="e">
        <f>IF(BP78=0,0,BP78*BP75)</f>
        <v>#REF!</v>
      </c>
      <c r="BQ79" s="2472">
        <f>IF(BQ78=0,0,BQ78*BQ75)</f>
        <v>0</v>
      </c>
      <c r="BR79" s="2472" t="e">
        <f>IF(BR78=0,0,BR78*BR75)</f>
        <v>#REF!</v>
      </c>
      <c r="CC79" s="355"/>
      <c r="CD79" s="355"/>
      <c r="CE79" s="355"/>
      <c r="CF79" s="355"/>
      <c r="CG79" s="355"/>
      <c r="CH79" s="355"/>
      <c r="CI79" s="355"/>
      <c r="CK79" s="936"/>
      <c r="CL79" s="936"/>
      <c r="CM79" s="936"/>
      <c r="CN79" s="936"/>
      <c r="CO79" s="936"/>
      <c r="CP79" s="936"/>
      <c r="CQ79" s="936"/>
      <c r="CS79" s="912"/>
      <c r="CT79" s="912"/>
      <c r="CU79" s="912"/>
      <c r="CV79" s="912"/>
      <c r="CW79" s="912"/>
      <c r="CX79" s="912"/>
      <c r="CY79" s="912"/>
      <c r="DA79" s="889"/>
      <c r="DB79" s="889"/>
      <c r="DC79" s="889"/>
      <c r="DD79" s="889"/>
      <c r="DE79" s="889"/>
      <c r="DF79" s="889"/>
      <c r="DG79" s="889"/>
      <c r="DI79" s="912"/>
      <c r="DJ79" s="912"/>
      <c r="DK79" s="912"/>
      <c r="DL79" s="912"/>
      <c r="DM79" s="912"/>
      <c r="DN79" s="912"/>
      <c r="DO79" s="912"/>
      <c r="DQ79" s="889"/>
      <c r="DR79" s="889"/>
      <c r="DS79" s="889"/>
      <c r="DT79" s="889"/>
      <c r="DU79" s="889"/>
      <c r="DV79" s="889"/>
      <c r="DW79" s="889"/>
      <c r="DY79" s="912"/>
      <c r="DZ79" s="912"/>
      <c r="EA79" s="912"/>
      <c r="EB79" s="912"/>
      <c r="EC79" s="912"/>
      <c r="ED79" s="912"/>
      <c r="EE79" s="912"/>
      <c r="EG79" s="889"/>
      <c r="EH79" s="889"/>
      <c r="EI79" s="889"/>
      <c r="EJ79" s="889"/>
      <c r="EK79" s="889"/>
      <c r="EL79" s="889"/>
      <c r="EM79" s="889"/>
    </row>
    <row r="80" spans="1:143">
      <c r="A80" s="71"/>
      <c r="C80" s="2392"/>
      <c r="D80" s="2185"/>
      <c r="E80" s="2392"/>
      <c r="F80" s="2185"/>
      <c r="G80" s="2392"/>
      <c r="H80" s="2185"/>
      <c r="I80" s="2393"/>
      <c r="K80" s="1554"/>
      <c r="L80" s="1554"/>
      <c r="M80" s="1554"/>
      <c r="N80" s="1554"/>
      <c r="O80" s="1554"/>
      <c r="P80" s="1554"/>
      <c r="Q80" s="1622"/>
      <c r="S80" s="825"/>
      <c r="T80" s="820"/>
      <c r="U80" s="825"/>
      <c r="V80" s="820"/>
      <c r="W80" s="825"/>
      <c r="X80" s="820"/>
      <c r="Y80" s="1633"/>
      <c r="AA80" s="1853"/>
      <c r="AB80" s="1862"/>
      <c r="AC80" s="1853"/>
      <c r="AD80" s="1862"/>
      <c r="AE80" s="1853"/>
      <c r="AF80" s="1862"/>
      <c r="AG80" s="1854"/>
      <c r="AJ80" s="864"/>
      <c r="AL80" s="864"/>
      <c r="AN80" s="864"/>
      <c r="AO80" s="1642"/>
      <c r="AR80" s="1893"/>
      <c r="AT80" s="1893"/>
      <c r="AV80" s="1893"/>
      <c r="AW80" s="1873"/>
      <c r="AY80" s="1516"/>
      <c r="AZ80" s="1516"/>
      <c r="BA80" s="1516"/>
      <c r="BB80" s="1516"/>
      <c r="BC80" s="1516"/>
      <c r="BD80" s="1516"/>
      <c r="BE80" s="1660"/>
      <c r="BG80" s="1915"/>
      <c r="BH80" s="1915"/>
      <c r="BI80" s="1915"/>
      <c r="BJ80" s="1915"/>
      <c r="BK80" s="1915"/>
      <c r="BL80" s="1915"/>
      <c r="BM80" s="1923"/>
      <c r="BO80" s="1472"/>
      <c r="BP80" s="1472"/>
      <c r="BQ80" s="1472"/>
      <c r="BR80" s="1472"/>
      <c r="CC80" s="355"/>
      <c r="CD80" s="355"/>
      <c r="CE80" s="355"/>
      <c r="CF80" s="355"/>
      <c r="CG80" s="355"/>
      <c r="CH80" s="355"/>
      <c r="CI80" s="355"/>
      <c r="CK80" s="936"/>
      <c r="CL80" s="936"/>
      <c r="CM80" s="936"/>
      <c r="CN80" s="936"/>
      <c r="CO80" s="936"/>
      <c r="CP80" s="936"/>
      <c r="CQ80" s="936"/>
      <c r="CS80" s="912"/>
      <c r="CT80" s="912"/>
      <c r="CU80" s="912"/>
      <c r="CV80" s="912"/>
      <c r="CW80" s="912"/>
      <c r="CX80" s="912"/>
      <c r="CY80" s="912"/>
      <c r="DA80" s="889"/>
      <c r="DB80" s="889"/>
      <c r="DC80" s="889"/>
      <c r="DD80" s="889"/>
      <c r="DE80" s="889"/>
      <c r="DF80" s="889"/>
      <c r="DG80" s="889"/>
      <c r="DI80" s="912"/>
      <c r="DJ80" s="912"/>
      <c r="DK80" s="912"/>
      <c r="DL80" s="912"/>
      <c r="DM80" s="912"/>
      <c r="DN80" s="912"/>
      <c r="DO80" s="912"/>
      <c r="DQ80" s="889"/>
      <c r="DR80" s="889"/>
      <c r="DS80" s="889"/>
      <c r="DT80" s="889"/>
      <c r="DU80" s="889"/>
      <c r="DV80" s="889"/>
      <c r="DW80" s="889"/>
      <c r="DY80" s="912"/>
      <c r="DZ80" s="912"/>
      <c r="EA80" s="912"/>
      <c r="EB80" s="912"/>
      <c r="EC80" s="912"/>
      <c r="ED80" s="912"/>
      <c r="EE80" s="912"/>
      <c r="EG80" s="889"/>
      <c r="EH80" s="889"/>
      <c r="EI80" s="889"/>
      <c r="EJ80" s="889"/>
      <c r="EK80" s="889"/>
      <c r="EL80" s="889"/>
      <c r="EM80" s="889"/>
    </row>
    <row r="81" spans="1:143">
      <c r="A81" s="71"/>
      <c r="C81" s="2392"/>
      <c r="D81" s="2185"/>
      <c r="E81" s="2392"/>
      <c r="F81" s="2185"/>
      <c r="G81" s="2392"/>
      <c r="H81" s="2185"/>
      <c r="I81" s="2393"/>
      <c r="K81" s="1554"/>
      <c r="L81" s="1554"/>
      <c r="M81" s="1554"/>
      <c r="N81" s="1554"/>
      <c r="O81" s="1554"/>
      <c r="P81" s="1554"/>
      <c r="Q81" s="1622"/>
      <c r="S81" s="825"/>
      <c r="T81" s="820"/>
      <c r="U81" s="825"/>
      <c r="V81" s="820"/>
      <c r="W81" s="825"/>
      <c r="X81" s="820"/>
      <c r="Y81" s="1633"/>
      <c r="AA81" s="1853"/>
      <c r="AB81" s="1862"/>
      <c r="AC81" s="1853"/>
      <c r="AD81" s="1862"/>
      <c r="AE81" s="1853"/>
      <c r="AF81" s="1862"/>
      <c r="AG81" s="1854"/>
      <c r="AJ81" s="864"/>
      <c r="AL81" s="864"/>
      <c r="AN81" s="864"/>
      <c r="AO81" s="1642"/>
      <c r="AR81" s="1893"/>
      <c r="AT81" s="1893"/>
      <c r="AV81" s="1893"/>
      <c r="AW81" s="1873"/>
      <c r="AY81" s="1516"/>
      <c r="AZ81" s="1516"/>
      <c r="BA81" s="1516"/>
      <c r="BB81" s="1516"/>
      <c r="BC81" s="1516"/>
      <c r="BD81" s="1516"/>
      <c r="BE81" s="1660"/>
      <c r="BG81" s="1915"/>
      <c r="BH81" s="1915"/>
      <c r="BI81" s="1915"/>
      <c r="BJ81" s="1915"/>
      <c r="BK81" s="1915"/>
      <c r="BL81" s="1915"/>
      <c r="BM81" s="1923"/>
      <c r="BO81" s="1472"/>
      <c r="BP81" s="1472"/>
      <c r="BQ81" s="1472"/>
      <c r="BR81" s="1472"/>
      <c r="CC81" s="355"/>
      <c r="CD81" s="355"/>
      <c r="CE81" s="355"/>
      <c r="CF81" s="355"/>
      <c r="CG81" s="355"/>
      <c r="CH81" s="355"/>
      <c r="CI81" s="355"/>
      <c r="CK81" s="936"/>
      <c r="CL81" s="936"/>
      <c r="CM81" s="936"/>
      <c r="CN81" s="936"/>
      <c r="CO81" s="936"/>
      <c r="CP81" s="936"/>
      <c r="CQ81" s="936"/>
      <c r="CS81" s="912"/>
      <c r="CT81" s="912"/>
      <c r="CU81" s="912"/>
      <c r="CV81" s="912"/>
      <c r="CW81" s="912"/>
      <c r="CX81" s="912"/>
      <c r="CY81" s="912"/>
      <c r="DA81" s="889"/>
      <c r="DB81" s="889"/>
      <c r="DC81" s="889"/>
      <c r="DD81" s="889"/>
      <c r="DE81" s="889"/>
      <c r="DF81" s="889"/>
      <c r="DG81" s="889"/>
      <c r="DI81" s="912"/>
      <c r="DJ81" s="912"/>
      <c r="DK81" s="912"/>
      <c r="DL81" s="912"/>
      <c r="DM81" s="912"/>
      <c r="DN81" s="912"/>
      <c r="DO81" s="912"/>
      <c r="DQ81" s="889"/>
      <c r="DR81" s="889"/>
      <c r="DS81" s="889"/>
      <c r="DT81" s="889"/>
      <c r="DU81" s="889"/>
      <c r="DV81" s="889"/>
      <c r="DW81" s="889"/>
      <c r="DY81" s="912"/>
      <c r="DZ81" s="912"/>
      <c r="EA81" s="912"/>
      <c r="EB81" s="912"/>
      <c r="EC81" s="912"/>
      <c r="ED81" s="912"/>
      <c r="EE81" s="912"/>
      <c r="EG81" s="889"/>
      <c r="EH81" s="889"/>
      <c r="EI81" s="889"/>
      <c r="EJ81" s="889"/>
      <c r="EK81" s="889"/>
      <c r="EL81" s="889"/>
      <c r="EM81" s="889"/>
    </row>
    <row r="82" spans="1:143">
      <c r="A82" s="71"/>
      <c r="C82" s="2194" t="e">
        <f>IF(C98&gt;C99,C99,C98)</f>
        <v>#REF!</v>
      </c>
      <c r="D82" s="2185"/>
      <c r="E82" s="2194">
        <v>0</v>
      </c>
      <c r="F82" s="2185"/>
      <c r="G82" s="2194" t="e">
        <f>IF(G98&gt;G99,G99,G98)</f>
        <v>#REF!</v>
      </c>
      <c r="H82" s="2185"/>
      <c r="I82" s="2403">
        <v>0</v>
      </c>
      <c r="K82" s="1553" t="e">
        <f>IF(K98&gt;K99,K99,K98)</f>
        <v>#REF!</v>
      </c>
      <c r="L82" s="1554"/>
      <c r="M82" s="1553">
        <v>0</v>
      </c>
      <c r="N82" s="1554"/>
      <c r="O82" s="1553" t="e">
        <f>IF(O98&gt;O99,O99,O98)</f>
        <v>#REF!</v>
      </c>
      <c r="P82" s="1554"/>
      <c r="Q82" s="1621">
        <v>0</v>
      </c>
      <c r="S82" s="826" t="e">
        <f>IF(S98&gt;S99,S99,S98)</f>
        <v>#DIV/0!</v>
      </c>
      <c r="T82" s="820"/>
      <c r="U82" s="826">
        <v>0</v>
      </c>
      <c r="V82" s="820"/>
      <c r="W82" s="826">
        <f>IF(W98&gt;W99,W99,W98)</f>
        <v>0</v>
      </c>
      <c r="X82" s="820"/>
      <c r="Y82" s="1639">
        <v>0</v>
      </c>
      <c r="AA82" s="1867" t="e">
        <f>IF(AA98&gt;AA99,AA99,AA98)</f>
        <v>#DIV/0!</v>
      </c>
      <c r="AB82" s="1862"/>
      <c r="AC82" s="1867">
        <v>0</v>
      </c>
      <c r="AD82" s="1862"/>
      <c r="AE82" s="1867">
        <f>IF(AE98&gt;AE99,AE99,AE98)</f>
        <v>0</v>
      </c>
      <c r="AF82" s="1862"/>
      <c r="AG82" s="1868">
        <v>0</v>
      </c>
      <c r="AI82" s="867" t="e">
        <f>IF(AI98&gt;AI99,AI99,AI98)</f>
        <v>#DIV/0!</v>
      </c>
      <c r="AJ82" s="864"/>
      <c r="AK82" s="867">
        <v>0</v>
      </c>
      <c r="AL82" s="864"/>
      <c r="AM82" s="867">
        <f>IF(AM98&gt;AM99,AM99,AM98)</f>
        <v>0</v>
      </c>
      <c r="AN82" s="864"/>
      <c r="AO82" s="1652">
        <v>0</v>
      </c>
      <c r="AQ82" s="1900" t="e">
        <f>IF(AQ98&gt;AQ99,AQ99,AQ98)</f>
        <v>#DIV/0!</v>
      </c>
      <c r="AR82" s="1893"/>
      <c r="AS82" s="1900">
        <v>0</v>
      </c>
      <c r="AT82" s="1893"/>
      <c r="AU82" s="1900">
        <f>IF(AU98&gt;AU99,AU99,AU98)</f>
        <v>0</v>
      </c>
      <c r="AV82" s="1893"/>
      <c r="AW82" s="1901">
        <v>0</v>
      </c>
      <c r="AY82" s="1515" t="e">
        <f>IF(AY98&gt;AY99,AY99,AY98)</f>
        <v>#DIV/0!</v>
      </c>
      <c r="AZ82" s="1516"/>
      <c r="BA82" s="1515">
        <v>0</v>
      </c>
      <c r="BB82" s="1516"/>
      <c r="BC82" s="1515">
        <f>IF(BC98&gt;BC99,BC99,BC98)</f>
        <v>0</v>
      </c>
      <c r="BD82" s="1516"/>
      <c r="BE82" s="1657">
        <v>0</v>
      </c>
      <c r="BG82" s="1914" t="e">
        <f>IF(BG98&gt;BG99,BG99,BG98)</f>
        <v>#DIV/0!</v>
      </c>
      <c r="BH82" s="1915"/>
      <c r="BI82" s="1914">
        <v>0</v>
      </c>
      <c r="BJ82" s="1915"/>
      <c r="BK82" s="1914">
        <f>IF(BK98&gt;BK99,BK99,BK98)</f>
        <v>0</v>
      </c>
      <c r="BL82" s="1915"/>
      <c r="BM82" s="1916">
        <v>0</v>
      </c>
      <c r="BO82" s="2681" t="e">
        <f>IF(BO98&gt;BO99,BO99,BO98)</f>
        <v>#REF!</v>
      </c>
      <c r="BP82" s="2681">
        <v>0</v>
      </c>
      <c r="BQ82" s="2681">
        <f>IF(BQ98&gt;BQ99,BQ99,BQ98)</f>
        <v>0</v>
      </c>
      <c r="BR82" s="2681">
        <v>0</v>
      </c>
      <c r="CC82" s="355"/>
      <c r="CD82" s="355"/>
      <c r="CE82" s="355"/>
      <c r="CF82" s="355"/>
      <c r="CG82" s="355"/>
      <c r="CH82" s="355"/>
      <c r="CI82" s="355"/>
      <c r="CK82" s="936"/>
      <c r="CL82" s="936"/>
      <c r="CM82" s="936"/>
      <c r="CN82" s="936"/>
      <c r="CO82" s="936"/>
      <c r="CP82" s="936"/>
      <c r="CQ82" s="936"/>
      <c r="CS82" s="912"/>
      <c r="CT82" s="912"/>
      <c r="CU82" s="912"/>
      <c r="CV82" s="912"/>
      <c r="CW82" s="912"/>
      <c r="CX82" s="912"/>
      <c r="CY82" s="912"/>
      <c r="DA82" s="889"/>
      <c r="DB82" s="889"/>
      <c r="DC82" s="889"/>
      <c r="DD82" s="889"/>
      <c r="DE82" s="889"/>
      <c r="DF82" s="889"/>
      <c r="DG82" s="889"/>
      <c r="DI82" s="912"/>
      <c r="DJ82" s="912"/>
      <c r="DK82" s="912"/>
      <c r="DL82" s="912"/>
      <c r="DM82" s="912"/>
      <c r="DN82" s="912"/>
      <c r="DO82" s="912"/>
      <c r="DQ82" s="889"/>
      <c r="DR82" s="889"/>
      <c r="DS82" s="889"/>
      <c r="DT82" s="889"/>
      <c r="DU82" s="889"/>
      <c r="DV82" s="889"/>
      <c r="DW82" s="889"/>
      <c r="DY82" s="912"/>
      <c r="DZ82" s="912"/>
      <c r="EA82" s="912"/>
      <c r="EB82" s="912"/>
      <c r="EC82" s="912"/>
      <c r="ED82" s="912"/>
      <c r="EE82" s="912"/>
      <c r="EG82" s="889"/>
      <c r="EH82" s="889"/>
      <c r="EI82" s="889"/>
      <c r="EJ82" s="889"/>
      <c r="EK82" s="889"/>
      <c r="EL82" s="889"/>
      <c r="EM82" s="889"/>
    </row>
    <row r="83" spans="1:143">
      <c r="A83" s="71"/>
      <c r="C83" s="2194" t="e">
        <f>'Data Entry - SOF'!C136*(C79/'Data Entry - SOF'!C93)</f>
        <v>#REF!</v>
      </c>
      <c r="D83" s="2185"/>
      <c r="E83" s="2194">
        <f>IF('Data Entry - SOF'!C137&gt;E101,E101,'Data Entry - SOF'!C137)</f>
        <v>0</v>
      </c>
      <c r="F83" s="2185"/>
      <c r="G83" s="2194" t="e">
        <f>'Data Entry - SOF'!C136*(G79/'Data Entry - SOF'!C93)</f>
        <v>#REF!</v>
      </c>
      <c r="H83" s="2185"/>
      <c r="I83" s="2403">
        <f>IF('Data Entry - SOF'!C137&gt;I101,I101,'Data Entry - SOF'!C137)</f>
        <v>0</v>
      </c>
      <c r="K83" s="1553" t="e">
        <f>'Data Entry - SOF'!#REF!*(K79/'Data Entry - SOF'!#REF!)</f>
        <v>#REF!</v>
      </c>
      <c r="L83" s="1554"/>
      <c r="M83" s="1553" t="e">
        <f>IF('Data Entry - SOF'!#REF!&gt;M101,M101,'Data Entry - SOF'!#REF!)</f>
        <v>#REF!</v>
      </c>
      <c r="N83" s="1554"/>
      <c r="O83" s="1553" t="e">
        <f>'Data Entry - SOF'!#REF!*(O79/'Data Entry - SOF'!#REF!)</f>
        <v>#REF!</v>
      </c>
      <c r="P83" s="1554"/>
      <c r="Q83" s="1621" t="e">
        <f>IF('Data Entry - SOF'!#REF!&gt;Q101,Q101,'Data Entry - SOF'!#REF!)</f>
        <v>#REF!</v>
      </c>
      <c r="S83" s="826" t="e">
        <f>'Data Entry - SOF'!E136*(S79/'Data Entry - SOF'!E93)</f>
        <v>#DIV/0!</v>
      </c>
      <c r="T83" s="820"/>
      <c r="U83" s="826">
        <f>IF('Data Entry - SOF'!E137&gt;U101,U101,'Data Entry - SOF'!E137)</f>
        <v>0</v>
      </c>
      <c r="V83" s="820"/>
      <c r="W83" s="826" t="e">
        <f>'Data Entry - SOF'!E136*(W79/'Data Entry - SOF'!E93)</f>
        <v>#DIV/0!</v>
      </c>
      <c r="X83" s="820"/>
      <c r="Y83" s="1639">
        <f>IF('Data Entry - SOF'!E137&gt;Y101,Y101,'Data Entry - SOF'!E137)</f>
        <v>0</v>
      </c>
      <c r="AA83" s="1867" t="e">
        <f>'Data Entry - SOF'!K136*(AA79/'Data Entry - SOF'!K93)</f>
        <v>#DIV/0!</v>
      </c>
      <c r="AB83" s="1862"/>
      <c r="AC83" s="1867">
        <f>IF('Data Entry - SOF'!K137&gt;AC101,AC101,'Data Entry - SOF'!K137)</f>
        <v>0</v>
      </c>
      <c r="AD83" s="1862"/>
      <c r="AE83" s="1867" t="e">
        <f>'Data Entry - SOF'!K136*(AE79/'Data Entry - SOF'!K93)</f>
        <v>#DIV/0!</v>
      </c>
      <c r="AF83" s="1862"/>
      <c r="AG83" s="1868">
        <f>IF('Data Entry - SOF'!K137&gt;AG101,AG101,'Data Entry - SOF'!K137)</f>
        <v>0</v>
      </c>
      <c r="AI83" s="867" t="e">
        <f>'Data Entry - SOF'!M136*(AI79/'Data Entry - SOF'!M93)</f>
        <v>#DIV/0!</v>
      </c>
      <c r="AJ83" s="864"/>
      <c r="AK83" s="867">
        <f>IF('Data Entry - SOF'!M137&gt;AK101,AK101,'Data Entry - SOF'!M137)</f>
        <v>0</v>
      </c>
      <c r="AL83" s="864"/>
      <c r="AM83" s="867" t="e">
        <f>'Data Entry - SOF'!M136*(AM79/'Data Entry - SOF'!M93)</f>
        <v>#DIV/0!</v>
      </c>
      <c r="AN83" s="864"/>
      <c r="AO83" s="1652">
        <f>IF('Data Entry - SOF'!M137&gt;AO101,AO101,'Data Entry - SOF'!M137)</f>
        <v>0</v>
      </c>
      <c r="AQ83" s="1900" t="e">
        <f>'Data Entry - SOF'!O136*(AQ79/'Data Entry - SOF'!O93)</f>
        <v>#DIV/0!</v>
      </c>
      <c r="AR83" s="1893"/>
      <c r="AS83" s="1900">
        <f>IF('Data Entry - SOF'!O137&gt;AS101,AS101,'Data Entry - SOF'!O137)</f>
        <v>0</v>
      </c>
      <c r="AT83" s="1893"/>
      <c r="AU83" s="1900" t="e">
        <f>'Data Entry - SOF'!O136*(AU79/'Data Entry - SOF'!O93)</f>
        <v>#DIV/0!</v>
      </c>
      <c r="AV83" s="1893"/>
      <c r="AW83" s="1901">
        <f>IF('Data Entry - SOF'!O137&gt;AW101,AW101,'Data Entry - SOF'!O137)</f>
        <v>0</v>
      </c>
      <c r="AY83" s="1515" t="e">
        <f>'Data Entry - SOF'!Q136*(AY79/'Data Entry - SOF'!Q93)</f>
        <v>#DIV/0!</v>
      </c>
      <c r="AZ83" s="1516"/>
      <c r="BA83" s="1515">
        <f>IF('Data Entry - SOF'!Q137&gt;BA101,BA101,'Data Entry - SOF'!Q137)</f>
        <v>0</v>
      </c>
      <c r="BB83" s="1516"/>
      <c r="BC83" s="1515" t="e">
        <f>'Data Entry - SOF'!Q136*(BC79/'Data Entry - SOF'!Q93)</f>
        <v>#DIV/0!</v>
      </c>
      <c r="BD83" s="1516"/>
      <c r="BE83" s="1657">
        <f>IF('Data Entry - SOF'!Q137&gt;BE101,BE101,'Data Entry - SOF'!Q137)</f>
        <v>0</v>
      </c>
      <c r="BG83" s="1914" t="e">
        <f>'Data Entry - SOF'!S136*(BG79/'Data Entry - SOF'!S93)</f>
        <v>#DIV/0!</v>
      </c>
      <c r="BH83" s="1915"/>
      <c r="BI83" s="1914">
        <f>IF('Data Entry - SOF'!S137&gt;BI101,BI101,'Data Entry - SOF'!S137)</f>
        <v>0</v>
      </c>
      <c r="BJ83" s="1915"/>
      <c r="BK83" s="1914" t="e">
        <f>'Data Entry - SOF'!S136*(BK79/'Data Entry - SOF'!S93)</f>
        <v>#DIV/0!</v>
      </c>
      <c r="BL83" s="1915"/>
      <c r="BM83" s="1916">
        <f>IF('Data Entry - SOF'!S137&gt;BM101,BM101,'Data Entry - SOF'!S137)</f>
        <v>0</v>
      </c>
      <c r="BO83" s="2681" t="e">
        <f>'Data Entry - SOF'!E136*(BO79/'Data Entry - SOF'!E93)</f>
        <v>#REF!</v>
      </c>
      <c r="BP83" s="2681">
        <f>IF('Data Entry - SOF'!E137&gt;BP101,BP101,'Data Entry - SOF'!E137)</f>
        <v>0</v>
      </c>
      <c r="BQ83" s="2681" t="e">
        <f>'Data Entry - SOF'!E136*(BQ79/'Data Entry - SOF'!E93)</f>
        <v>#DIV/0!</v>
      </c>
      <c r="BR83" s="2684">
        <f>IF('Data Entry - SOF'!E137&gt;BR101,BR101,'Data Entry - SOF'!E137)</f>
        <v>0</v>
      </c>
      <c r="CC83" s="355"/>
      <c r="CD83" s="355"/>
      <c r="CE83" s="355"/>
      <c r="CF83" s="355"/>
      <c r="CG83" s="355"/>
      <c r="CH83" s="355"/>
      <c r="CI83" s="355"/>
      <c r="CK83" s="936"/>
      <c r="CL83" s="936"/>
      <c r="CM83" s="936"/>
      <c r="CN83" s="936"/>
      <c r="CO83" s="936"/>
      <c r="CP83" s="936"/>
      <c r="CQ83" s="936"/>
      <c r="CS83" s="912"/>
      <c r="CT83" s="912"/>
      <c r="CU83" s="912"/>
      <c r="CV83" s="912"/>
      <c r="CW83" s="912"/>
      <c r="CX83" s="912"/>
      <c r="CY83" s="912"/>
      <c r="DA83" s="889"/>
      <c r="DB83" s="889"/>
      <c r="DC83" s="889"/>
      <c r="DD83" s="889"/>
      <c r="DE83" s="889"/>
      <c r="DF83" s="889"/>
      <c r="DG83" s="889"/>
      <c r="DI83" s="912"/>
      <c r="DJ83" s="912"/>
      <c r="DK83" s="912"/>
      <c r="DL83" s="912"/>
      <c r="DM83" s="912"/>
      <c r="DN83" s="912"/>
      <c r="DO83" s="912"/>
      <c r="DQ83" s="889"/>
      <c r="DR83" s="889"/>
      <c r="DS83" s="889"/>
      <c r="DT83" s="889"/>
      <c r="DU83" s="889"/>
      <c r="DV83" s="889"/>
      <c r="DW83" s="889"/>
      <c r="DY83" s="912"/>
      <c r="DZ83" s="912"/>
      <c r="EA83" s="912"/>
      <c r="EB83" s="912"/>
      <c r="EC83" s="912"/>
      <c r="ED83" s="912"/>
      <c r="EE83" s="912"/>
      <c r="EG83" s="889"/>
      <c r="EH83" s="889"/>
      <c r="EI83" s="889"/>
      <c r="EJ83" s="889"/>
      <c r="EK83" s="889"/>
      <c r="EL83" s="889"/>
      <c r="EM83" s="889"/>
    </row>
    <row r="84" spans="1:143">
      <c r="A84" s="71"/>
      <c r="B84" s="37" t="s">
        <v>6161</v>
      </c>
      <c r="C84" s="2185"/>
      <c r="D84" s="2185"/>
      <c r="E84" s="2185"/>
      <c r="F84" s="2185"/>
      <c r="G84" s="2185"/>
      <c r="H84" s="2185"/>
      <c r="I84" s="2379"/>
      <c r="K84" s="1554"/>
      <c r="L84" s="1554"/>
      <c r="M84" s="1554"/>
      <c r="N84" s="1554"/>
      <c r="O84" s="1554"/>
      <c r="P84" s="1554"/>
      <c r="Q84" s="1622"/>
      <c r="S84" s="820"/>
      <c r="T84" s="820"/>
      <c r="U84" s="820"/>
      <c r="V84" s="820"/>
      <c r="W84" s="820"/>
      <c r="X84" s="820"/>
      <c r="Y84" s="1640"/>
      <c r="AA84" s="1862"/>
      <c r="AB84" s="1862"/>
      <c r="AC84" s="1862"/>
      <c r="AD84" s="1862"/>
      <c r="AE84" s="1862"/>
      <c r="AF84" s="1862"/>
      <c r="AG84" s="1869"/>
      <c r="AI84" s="864"/>
      <c r="AJ84" s="864"/>
      <c r="AK84" s="864"/>
      <c r="AL84" s="864"/>
      <c r="AM84" s="864"/>
      <c r="AN84" s="864"/>
      <c r="AO84" s="1653"/>
      <c r="AQ84" s="1893"/>
      <c r="AR84" s="1893"/>
      <c r="AS84" s="1893"/>
      <c r="AT84" s="1893"/>
      <c r="AU84" s="1893"/>
      <c r="AV84" s="1893"/>
      <c r="AW84" s="1902"/>
      <c r="AY84" s="1516"/>
      <c r="AZ84" s="1516"/>
      <c r="BA84" s="1516"/>
      <c r="BB84" s="1516"/>
      <c r="BC84" s="1516"/>
      <c r="BD84" s="1516"/>
      <c r="BE84" s="1660"/>
      <c r="BG84" s="1915"/>
      <c r="BH84" s="1915"/>
      <c r="BI84" s="1915"/>
      <c r="BJ84" s="1915"/>
      <c r="BK84" s="1915"/>
      <c r="BL84" s="1915"/>
      <c r="BM84" s="1923"/>
      <c r="BO84" s="1512"/>
      <c r="BP84" s="1512"/>
      <c r="BQ84" s="1512"/>
      <c r="BR84" s="1512"/>
      <c r="CC84" s="355"/>
      <c r="CD84" s="355"/>
      <c r="CE84" s="355"/>
      <c r="CF84" s="355"/>
      <c r="CG84" s="355"/>
      <c r="CH84" s="355"/>
      <c r="CI84" s="355"/>
      <c r="CK84" s="936"/>
      <c r="CL84" s="936"/>
      <c r="CM84" s="936"/>
      <c r="CN84" s="936"/>
      <c r="CO84" s="936"/>
      <c r="CP84" s="936"/>
      <c r="CQ84" s="936"/>
      <c r="CS84" s="912"/>
      <c r="CT84" s="912"/>
      <c r="CU84" s="912"/>
      <c r="CV84" s="912"/>
      <c r="CW84" s="912"/>
      <c r="CX84" s="912"/>
      <c r="CY84" s="912"/>
      <c r="DA84" s="889"/>
      <c r="DB84" s="889"/>
      <c r="DC84" s="889"/>
      <c r="DD84" s="889"/>
      <c r="DE84" s="889"/>
      <c r="DF84" s="889"/>
      <c r="DG84" s="889"/>
      <c r="DI84" s="912"/>
      <c r="DJ84" s="912"/>
      <c r="DK84" s="912"/>
      <c r="DL84" s="912"/>
      <c r="DM84" s="912"/>
      <c r="DN84" s="912"/>
      <c r="DO84" s="912"/>
      <c r="DQ84" s="889"/>
      <c r="DR84" s="889"/>
      <c r="DS84" s="889"/>
      <c r="DT84" s="889"/>
      <c r="DU84" s="889"/>
      <c r="DV84" s="889"/>
      <c r="DW84" s="889"/>
      <c r="DY84" s="912"/>
      <c r="DZ84" s="912"/>
      <c r="EA84" s="912"/>
      <c r="EB84" s="912"/>
      <c r="EC84" s="912"/>
      <c r="ED84" s="912"/>
      <c r="EE84" s="912"/>
      <c r="EG84" s="889"/>
      <c r="EH84" s="889"/>
      <c r="EI84" s="889"/>
      <c r="EJ84" s="889"/>
      <c r="EK84" s="889"/>
      <c r="EL84" s="889"/>
      <c r="EM84" s="889"/>
    </row>
    <row r="85" spans="1:143" ht="13.5" thickBot="1">
      <c r="A85" s="71"/>
      <c r="B85" s="37" t="s">
        <v>8918</v>
      </c>
      <c r="C85" s="2404" t="e">
        <f>IF(C79-C82-C83&lt;0,0,C79-C82-C83)</f>
        <v>#REF!</v>
      </c>
      <c r="D85" s="2185"/>
      <c r="E85" s="2404" t="e">
        <f>IF(E79-E82-E83&lt;0,0,E79-E82-E83)</f>
        <v>#REF!</v>
      </c>
      <c r="F85" s="2185"/>
      <c r="G85" s="2404" t="e">
        <f>IF(G79-G82-G83&lt;0,0,G79-G82-G83)</f>
        <v>#REF!</v>
      </c>
      <c r="H85" s="2185"/>
      <c r="I85" s="2405" t="e">
        <f>IF(I79-I82-I83&lt;0,0,I79-I82-I83)</f>
        <v>#REF!</v>
      </c>
      <c r="J85" s="91" t="e">
        <f>S85+W85</f>
        <v>#DIV/0!</v>
      </c>
      <c r="K85" s="1558" t="e">
        <f>IF(K79-K82-K83&lt;0,0,K79-K82-K83)</f>
        <v>#REF!</v>
      </c>
      <c r="L85" s="1554"/>
      <c r="M85" s="1558" t="e">
        <f>IF(M79-M82-M83&lt;0,0,M79-M82-M83)</f>
        <v>#REF!</v>
      </c>
      <c r="N85" s="1554"/>
      <c r="O85" s="1558" t="e">
        <f>IF(O79-O82-O83&lt;0,0,O79-O82-O83)</f>
        <v>#REF!</v>
      </c>
      <c r="P85" s="1554"/>
      <c r="Q85" s="1626" t="e">
        <f>IF(Q79-Q82-Q83&lt;0,0,Q79-Q82-Q83)</f>
        <v>#REF!</v>
      </c>
      <c r="S85" s="827" t="e">
        <f>IF(S79-S82-S83&lt;0,0,S79-S82-S83)</f>
        <v>#DIV/0!</v>
      </c>
      <c r="T85" s="820"/>
      <c r="U85" s="827" t="e">
        <f>IF(U79-U82-U83&lt;0,0,U79-U82-U83)</f>
        <v>#DIV/0!</v>
      </c>
      <c r="V85" s="820"/>
      <c r="W85" s="827" t="e">
        <f>IF(W79-W82-W83&lt;0,0,W79-W82-W83)</f>
        <v>#DIV/0!</v>
      </c>
      <c r="X85" s="820"/>
      <c r="Y85" s="1641">
        <f>IF(Y79-Y82-Y83&lt;0,0,Y79-Y82-Y83)</f>
        <v>0</v>
      </c>
      <c r="AA85" s="1870" t="e">
        <f>IF(AA79-AA82-AA83&lt;0,0,AA79-AA82-AA83)</f>
        <v>#DIV/0!</v>
      </c>
      <c r="AB85" s="1862"/>
      <c r="AC85" s="1870" t="e">
        <f>IF(AC79-AC82-AC83&lt;0,0,AC79-AC82-AC83)</f>
        <v>#DIV/0!</v>
      </c>
      <c r="AD85" s="1862"/>
      <c r="AE85" s="1870" t="e">
        <f>IF(AE79-AE82-AE83&lt;0,0,AE79-AE82-AE83)</f>
        <v>#DIV/0!</v>
      </c>
      <c r="AF85" s="1862"/>
      <c r="AG85" s="1871">
        <f>IF(AG79-AG82-AG83&lt;0,0,AG79-AG82-AG83)</f>
        <v>0</v>
      </c>
      <c r="AI85" s="868" t="e">
        <f>IF(AI79-AI82-AI83&lt;0,0,AI79-AI82-AI83)</f>
        <v>#DIV/0!</v>
      </c>
      <c r="AJ85" s="864"/>
      <c r="AK85" s="868" t="e">
        <f>IF(AK79-AK82-AK83&lt;0,0,AK79-AK82-AK83)</f>
        <v>#DIV/0!</v>
      </c>
      <c r="AL85" s="864"/>
      <c r="AM85" s="868" t="e">
        <f>IF(AM79-AM82-AM83&lt;0,0,AM79-AM82-AM83)</f>
        <v>#DIV/0!</v>
      </c>
      <c r="AN85" s="864"/>
      <c r="AO85" s="1654">
        <f>IF(AO79-AO82-AO83&lt;0,0,AO79-AO82-AO83)</f>
        <v>0</v>
      </c>
      <c r="AQ85" s="1903" t="e">
        <f>IF(AQ79-AQ82-AQ83&lt;0,0,AQ79-AQ82-AQ83)</f>
        <v>#DIV/0!</v>
      </c>
      <c r="AR85" s="1893"/>
      <c r="AS85" s="1903" t="e">
        <f>IF(AS79-AS82-AS83&lt;0,0,AS79-AS82-AS83)</f>
        <v>#DIV/0!</v>
      </c>
      <c r="AT85" s="1893"/>
      <c r="AU85" s="1903" t="e">
        <f>IF(AU79-AU82-AU83&lt;0,0,AU79-AU82-AU83)</f>
        <v>#DIV/0!</v>
      </c>
      <c r="AV85" s="1893"/>
      <c r="AW85" s="1904">
        <f>IF(AW79-AW82-AW83&lt;0,0,AW79-AW82-AW83)</f>
        <v>0</v>
      </c>
      <c r="AY85" s="1546" t="e">
        <f>IF(AY79-AY82-AY83&lt;0,0,AY79-AY82-AY83)</f>
        <v>#DIV/0!</v>
      </c>
      <c r="AZ85" s="1516"/>
      <c r="BA85" s="1546" t="e">
        <f>IF(BA79-BA82-BA83&lt;0,0,BA79-BA82-BA83)</f>
        <v>#DIV/0!</v>
      </c>
      <c r="BB85" s="1516"/>
      <c r="BC85" s="1546" t="e">
        <f>IF(BC79-BC82-BC83&lt;0,0,BC79-BC82-BC83)</f>
        <v>#DIV/0!</v>
      </c>
      <c r="BD85" s="1516"/>
      <c r="BE85" s="1664">
        <f>IF(BE79-BE82-BE83&lt;0,0,BE79-BE82-BE83)</f>
        <v>0</v>
      </c>
      <c r="BG85" s="1931" t="e">
        <f>IF(BG79-BG82-BG83&lt;0,0,BG79-BG82-BG83)</f>
        <v>#DIV/0!</v>
      </c>
      <c r="BH85" s="1915"/>
      <c r="BI85" s="1931" t="e">
        <f>IF(BI79-BI82-BI83&lt;0,0,BI79-BI82-BI83)</f>
        <v>#DIV/0!</v>
      </c>
      <c r="BJ85" s="1915"/>
      <c r="BK85" s="1931" t="e">
        <f>IF(BK79-BK82-BK83&lt;0,0,BK79-BK82-BK83)</f>
        <v>#DIV/0!</v>
      </c>
      <c r="BL85" s="1915"/>
      <c r="BM85" s="1932">
        <f>IF(BM79-BM82-BM83&lt;0,0,BM79-BM82-BM83)</f>
        <v>0</v>
      </c>
      <c r="BO85" s="2682" t="e">
        <f>IF(BO79-BO82-BO83&lt;0,0,BO79-BO82-BO83)</f>
        <v>#REF!</v>
      </c>
      <c r="BP85" s="2682" t="e">
        <f>IF(BP79-BP82-BP83&lt;0,0,BP79-BP82-BP83)</f>
        <v>#REF!</v>
      </c>
      <c r="BQ85" s="2682" t="e">
        <f>IF(BQ79-BQ82-BQ83&lt;0,0,BQ79-BQ82-BQ83)</f>
        <v>#DIV/0!</v>
      </c>
      <c r="BR85" s="2682" t="e">
        <f>IF(BR79-BR82-BR83&lt;0,0,BR79-BR82-BR83)</f>
        <v>#REF!</v>
      </c>
      <c r="CC85" s="355"/>
      <c r="CD85" s="355"/>
      <c r="CE85" s="355"/>
      <c r="CF85" s="355"/>
      <c r="CG85" s="355"/>
      <c r="CH85" s="355"/>
      <c r="CI85" s="355"/>
      <c r="CK85" s="936"/>
      <c r="CL85" s="936"/>
      <c r="CM85" s="936"/>
      <c r="CN85" s="936"/>
      <c r="CO85" s="936"/>
      <c r="CP85" s="936"/>
      <c r="CQ85" s="936"/>
      <c r="CS85" s="912"/>
      <c r="CT85" s="912"/>
      <c r="CU85" s="912"/>
      <c r="CV85" s="912"/>
      <c r="CW85" s="912"/>
      <c r="CX85" s="912"/>
      <c r="CY85" s="912"/>
      <c r="DA85" s="889"/>
      <c r="DB85" s="889"/>
      <c r="DC85" s="889"/>
      <c r="DD85" s="889"/>
      <c r="DE85" s="889"/>
      <c r="DF85" s="889"/>
      <c r="DG85" s="889"/>
      <c r="DI85" s="912"/>
      <c r="DJ85" s="912"/>
      <c r="DK85" s="912"/>
      <c r="DL85" s="912"/>
      <c r="DM85" s="912"/>
      <c r="DN85" s="912"/>
      <c r="DO85" s="912"/>
      <c r="DQ85" s="889"/>
      <c r="DR85" s="889"/>
      <c r="DS85" s="889"/>
      <c r="DT85" s="889"/>
      <c r="DU85" s="889"/>
      <c r="DV85" s="889"/>
      <c r="DW85" s="889"/>
      <c r="DY85" s="912"/>
      <c r="DZ85" s="912"/>
      <c r="EA85" s="912"/>
      <c r="EB85" s="912"/>
      <c r="EC85" s="912"/>
      <c r="ED85" s="912"/>
      <c r="EE85" s="912"/>
      <c r="EG85" s="889"/>
      <c r="EH85" s="889"/>
      <c r="EI85" s="889"/>
      <c r="EJ85" s="889"/>
      <c r="EK85" s="889"/>
      <c r="EL85" s="889"/>
      <c r="EM85" s="889"/>
    </row>
    <row r="86" spans="1:143" ht="13.5" thickTop="1">
      <c r="A86" s="71"/>
      <c r="B86" s="37" t="s">
        <v>8919</v>
      </c>
      <c r="C86" s="2185" t="e">
        <f>IF(C78=0,0,C85/C78)</f>
        <v>#REF!</v>
      </c>
      <c r="D86" s="2185"/>
      <c r="E86" s="2185" t="e">
        <f>IF(E78=0,0,E85/E78)</f>
        <v>#REF!</v>
      </c>
      <c r="F86" s="2185"/>
      <c r="G86" s="2185" t="e">
        <f>IF(G78=0,0,G85/G78)</f>
        <v>#REF!</v>
      </c>
      <c r="H86" s="2185"/>
      <c r="I86" s="2379" t="e">
        <f>IF(I78=0,0,I85/I78)</f>
        <v>#REF!</v>
      </c>
      <c r="J86" s="91" t="e">
        <f>'Option Costs'!S85+'Option Costs'!W85</f>
        <v>#DIV/0!</v>
      </c>
      <c r="K86" s="1554" t="e">
        <f>IF(K78=0,0,K85/K78)</f>
        <v>#REF!</v>
      </c>
      <c r="L86" s="1554"/>
      <c r="M86" s="1554" t="e">
        <f>IF(M78=0,0,M85/M78)</f>
        <v>#REF!</v>
      </c>
      <c r="N86" s="1554"/>
      <c r="O86" s="1554" t="e">
        <f>IF(O78=0,0,O85/O78)</f>
        <v>#REF!</v>
      </c>
      <c r="P86" s="1554"/>
      <c r="Q86" s="1622" t="e">
        <f>IF(Q78=0,0,Q85/Q78)</f>
        <v>#REF!</v>
      </c>
      <c r="S86" s="820" t="e">
        <f>IF(S78=0,0,S85/S78)</f>
        <v>#DIV/0!</v>
      </c>
      <c r="T86" s="820"/>
      <c r="U86" s="820" t="e">
        <f>IF(U78=0,0,U85/U78)</f>
        <v>#DIV/0!</v>
      </c>
      <c r="V86" s="820"/>
      <c r="W86" s="820">
        <f>IF(W78=0,0,W85/W78)</f>
        <v>0</v>
      </c>
      <c r="X86" s="820"/>
      <c r="Y86" s="1640">
        <f>IF(Y78=0,0,Y85/Y78)</f>
        <v>0</v>
      </c>
      <c r="AA86" s="1862" t="e">
        <f>IF(AA78=0,0,AA85/AA78)</f>
        <v>#DIV/0!</v>
      </c>
      <c r="AB86" s="1862"/>
      <c r="AC86" s="1862" t="e">
        <f>IF(AC78=0,0,AC85/AC78)</f>
        <v>#DIV/0!</v>
      </c>
      <c r="AD86" s="1862"/>
      <c r="AE86" s="1862">
        <f>IF(AE78=0,0,AE85/AE78)</f>
        <v>0</v>
      </c>
      <c r="AF86" s="1862"/>
      <c r="AG86" s="1869">
        <f>IF(AG78=0,0,AG85/AG78)</f>
        <v>0</v>
      </c>
      <c r="AI86" s="864" t="e">
        <f>IF(AI78=0,0,AI85/AI78)</f>
        <v>#DIV/0!</v>
      </c>
      <c r="AJ86" s="864"/>
      <c r="AK86" s="864" t="e">
        <f>IF(AK78=0,0,AK85/AK78)</f>
        <v>#DIV/0!</v>
      </c>
      <c r="AL86" s="864"/>
      <c r="AM86" s="864">
        <f>IF(AM78=0,0,AM85/AM78)</f>
        <v>0</v>
      </c>
      <c r="AN86" s="864"/>
      <c r="AO86" s="1653">
        <f>IF(AO78=0,0,AO85/AO78)</f>
        <v>0</v>
      </c>
      <c r="AQ86" s="1893" t="e">
        <f>IF(AQ78=0,0,AQ85/AQ78)</f>
        <v>#DIV/0!</v>
      </c>
      <c r="AR86" s="1893"/>
      <c r="AS86" s="1893" t="e">
        <f>IF(AS78=0,0,AS85/AS78)</f>
        <v>#DIV/0!</v>
      </c>
      <c r="AT86" s="1893"/>
      <c r="AU86" s="1893">
        <f>IF(AU78=0,0,AU85/AU78)</f>
        <v>0</v>
      </c>
      <c r="AV86" s="1893"/>
      <c r="AW86" s="1902">
        <f>IF(AW78=0,0,AW85/AW78)</f>
        <v>0</v>
      </c>
      <c r="AY86" s="1516" t="e">
        <f>IF(AY78=0,0,AY85/AY78)</f>
        <v>#DIV/0!</v>
      </c>
      <c r="AZ86" s="1516"/>
      <c r="BA86" s="1516" t="e">
        <f>IF(BA78=0,0,BA85/BA78)</f>
        <v>#DIV/0!</v>
      </c>
      <c r="BB86" s="1516"/>
      <c r="BC86" s="1516">
        <f>IF(BC78=0,0,BC85/BC78)</f>
        <v>0</v>
      </c>
      <c r="BD86" s="1516"/>
      <c r="BE86" s="1660">
        <f>IF(BE78=0,0,BE85/BE78)</f>
        <v>0</v>
      </c>
      <c r="BG86" s="1915" t="e">
        <f>IF(BG78=0,0,BG85/BG78)</f>
        <v>#DIV/0!</v>
      </c>
      <c r="BH86" s="1915"/>
      <c r="BI86" s="1915" t="e">
        <f>IF(BI78=0,0,BI85/BI78)</f>
        <v>#DIV/0!</v>
      </c>
      <c r="BJ86" s="1915"/>
      <c r="BK86" s="1915">
        <f>IF(BK78=0,0,BK85/BK78)</f>
        <v>0</v>
      </c>
      <c r="BL86" s="1915"/>
      <c r="BM86" s="1923">
        <f>IF(BM78=0,0,BM85/BM78)</f>
        <v>0</v>
      </c>
      <c r="BO86" s="1512" t="e">
        <f>IF(BO78=0,0,BO85/BO78)</f>
        <v>#REF!</v>
      </c>
      <c r="BP86" s="1512" t="e">
        <f>IF(BP78=0,0,BP85/BP78)</f>
        <v>#REF!</v>
      </c>
      <c r="BQ86" s="1422"/>
      <c r="BR86" s="1422"/>
      <c r="CC86" s="355"/>
      <c r="CD86" s="355"/>
      <c r="CE86" s="355"/>
      <c r="CF86" s="355"/>
      <c r="CG86" s="355"/>
      <c r="CH86" s="355"/>
      <c r="CI86" s="355"/>
      <c r="CK86" s="936"/>
      <c r="CL86" s="936"/>
      <c r="CM86" s="936"/>
      <c r="CN86" s="936"/>
      <c r="CO86" s="936"/>
      <c r="CP86" s="936"/>
      <c r="CQ86" s="936"/>
      <c r="CS86" s="912"/>
      <c r="CT86" s="912"/>
      <c r="CU86" s="912"/>
      <c r="CV86" s="912"/>
      <c r="CW86" s="912"/>
      <c r="CX86" s="912"/>
      <c r="CY86" s="912"/>
      <c r="DA86" s="889"/>
      <c r="DB86" s="889"/>
      <c r="DC86" s="889"/>
      <c r="DD86" s="889"/>
      <c r="DE86" s="889"/>
      <c r="DF86" s="889"/>
      <c r="DG86" s="889"/>
      <c r="DI86" s="912"/>
      <c r="DJ86" s="912"/>
      <c r="DK86" s="912"/>
      <c r="DL86" s="912"/>
      <c r="DM86" s="912"/>
      <c r="DN86" s="912"/>
      <c r="DO86" s="912"/>
      <c r="DQ86" s="889"/>
      <c r="DR86" s="889"/>
      <c r="DS86" s="889"/>
      <c r="DT86" s="889"/>
      <c r="DU86" s="889"/>
      <c r="DV86" s="889"/>
      <c r="DW86" s="889"/>
      <c r="DY86" s="912"/>
      <c r="DZ86" s="912"/>
      <c r="EA86" s="912"/>
      <c r="EB86" s="912"/>
      <c r="EC86" s="912"/>
      <c r="ED86" s="912"/>
      <c r="EE86" s="912"/>
      <c r="EG86" s="889"/>
      <c r="EH86" s="889"/>
      <c r="EI86" s="889"/>
      <c r="EJ86" s="889"/>
      <c r="EK86" s="889"/>
      <c r="EL86" s="889"/>
      <c r="EM86" s="889"/>
    </row>
    <row r="87" spans="1:143">
      <c r="A87" s="71"/>
      <c r="B87" s="37" t="s">
        <v>8917</v>
      </c>
      <c r="C87" s="2057"/>
      <c r="D87" s="2057"/>
      <c r="E87" s="2057"/>
      <c r="F87" s="2057"/>
      <c r="G87" s="2057"/>
      <c r="H87" s="2057"/>
      <c r="I87" s="2370"/>
      <c r="J87" s="91" t="e">
        <f>IF(J85-J86&lt;=0,0,J85-J86)</f>
        <v>#DIV/0!</v>
      </c>
      <c r="K87" s="1554">
        <v>218312640</v>
      </c>
      <c r="L87" s="1554"/>
      <c r="M87" s="1554"/>
      <c r="N87" s="1554"/>
      <c r="O87" s="1554"/>
      <c r="P87" s="1554"/>
      <c r="Q87" s="1622"/>
      <c r="S87" s="680"/>
      <c r="T87" s="680"/>
      <c r="U87" s="680"/>
      <c r="V87" s="680"/>
      <c r="W87" s="680"/>
      <c r="X87" s="680"/>
      <c r="Y87" s="1098"/>
      <c r="AA87" s="1838"/>
      <c r="AB87" s="1838"/>
      <c r="AC87" s="1838"/>
      <c r="AD87" s="1838"/>
      <c r="AE87" s="1838"/>
      <c r="AF87" s="1838"/>
      <c r="AG87" s="1847"/>
      <c r="AI87" s="864"/>
      <c r="AJ87" s="864"/>
      <c r="AK87" s="864"/>
      <c r="AL87" s="864"/>
      <c r="AM87" s="864"/>
      <c r="AN87" s="864"/>
      <c r="AO87" s="1653"/>
      <c r="AQ87" s="1893"/>
      <c r="AR87" s="1893"/>
      <c r="AS87" s="1893"/>
      <c r="AT87" s="1893"/>
      <c r="AU87" s="1893"/>
      <c r="AV87" s="1893"/>
      <c r="AW87" s="1902"/>
      <c r="AY87" s="1516"/>
      <c r="AZ87" s="1516"/>
      <c r="BA87" s="1516"/>
      <c r="BB87" s="1516"/>
      <c r="BC87" s="1516"/>
      <c r="BD87" s="1516"/>
      <c r="BE87" s="1660"/>
      <c r="BG87" s="1915"/>
      <c r="BH87" s="1915"/>
      <c r="BI87" s="1915"/>
      <c r="BJ87" s="1915"/>
      <c r="BK87" s="1915"/>
      <c r="BL87" s="1915"/>
      <c r="BM87" s="1923"/>
      <c r="BO87" s="1472"/>
      <c r="BP87" s="1472"/>
      <c r="BQ87" s="1422"/>
      <c r="BR87" s="1422"/>
      <c r="CC87" s="355"/>
      <c r="CD87" s="355"/>
      <c r="CE87" s="355"/>
      <c r="CF87" s="355"/>
      <c r="CG87" s="355"/>
      <c r="CH87" s="355"/>
      <c r="CI87" s="355"/>
      <c r="CK87" s="936"/>
      <c r="CL87" s="936"/>
      <c r="CM87" s="936"/>
      <c r="CN87" s="936"/>
      <c r="CO87" s="936"/>
      <c r="CP87" s="936"/>
      <c r="CQ87" s="936"/>
      <c r="CS87" s="912"/>
      <c r="CT87" s="912"/>
      <c r="CU87" s="912"/>
      <c r="CV87" s="912"/>
      <c r="CW87" s="912"/>
      <c r="CX87" s="912"/>
      <c r="CY87" s="912"/>
      <c r="DA87" s="889"/>
      <c r="DB87" s="889"/>
      <c r="DC87" s="889"/>
      <c r="DD87" s="889"/>
      <c r="DE87" s="889"/>
      <c r="DF87" s="889"/>
      <c r="DG87" s="889"/>
      <c r="DI87" s="912"/>
      <c r="DJ87" s="912"/>
      <c r="DK87" s="912"/>
      <c r="DL87" s="912"/>
      <c r="DM87" s="912"/>
      <c r="DN87" s="912"/>
      <c r="DO87" s="912"/>
      <c r="DQ87" s="889"/>
      <c r="DR87" s="889"/>
      <c r="DS87" s="889"/>
      <c r="DT87" s="889"/>
      <c r="DU87" s="889"/>
      <c r="DV87" s="889"/>
      <c r="DW87" s="889"/>
      <c r="DY87" s="912"/>
      <c r="DZ87" s="912"/>
      <c r="EA87" s="912"/>
      <c r="EB87" s="912"/>
      <c r="EC87" s="912"/>
      <c r="ED87" s="912"/>
      <c r="EE87" s="912"/>
      <c r="EG87" s="889"/>
      <c r="EH87" s="889"/>
      <c r="EI87" s="889"/>
      <c r="EJ87" s="889"/>
      <c r="EK87" s="889"/>
      <c r="EL87" s="889"/>
      <c r="EM87" s="889"/>
    </row>
    <row r="88" spans="1:143">
      <c r="A88" s="71"/>
      <c r="C88" s="2057"/>
      <c r="D88" s="2057"/>
      <c r="E88" s="2057"/>
      <c r="F88" s="2057"/>
      <c r="G88" s="2057"/>
      <c r="H88" s="2057"/>
      <c r="I88" s="2370"/>
      <c r="K88" s="1554"/>
      <c r="L88" s="1554"/>
      <c r="M88" s="1554"/>
      <c r="N88" s="1554"/>
      <c r="O88" s="1554"/>
      <c r="P88" s="1554"/>
      <c r="Q88" s="1622"/>
      <c r="S88" s="680" t="e">
        <f>S85+W85</f>
        <v>#DIV/0!</v>
      </c>
      <c r="T88" s="680"/>
      <c r="U88" s="680">
        <v>286904.78457126033</v>
      </c>
      <c r="V88" s="680"/>
      <c r="W88" s="680" t="e">
        <f>S88-U88</f>
        <v>#DIV/0!</v>
      </c>
      <c r="X88" s="680"/>
      <c r="Y88" s="1098"/>
      <c r="AA88" s="1838"/>
      <c r="AB88" s="1838"/>
      <c r="AC88" s="1838"/>
      <c r="AD88" s="1838"/>
      <c r="AE88" s="1838"/>
      <c r="AF88" s="1838"/>
      <c r="AG88" s="1847"/>
      <c r="AI88" s="864"/>
      <c r="AJ88" s="864"/>
      <c r="AK88" s="864"/>
      <c r="AL88" s="864"/>
      <c r="AM88" s="864"/>
      <c r="AN88" s="864"/>
      <c r="AO88" s="1653"/>
      <c r="AQ88" s="1893"/>
      <c r="AR88" s="1893"/>
      <c r="AS88" s="1893"/>
      <c r="AT88" s="1893"/>
      <c r="AU88" s="1893"/>
      <c r="AV88" s="1893"/>
      <c r="AW88" s="1902"/>
      <c r="AY88" s="1516"/>
      <c r="AZ88" s="1516"/>
      <c r="BA88" s="1516"/>
      <c r="BB88" s="1516"/>
      <c r="BC88" s="1516"/>
      <c r="BD88" s="1516"/>
      <c r="BE88" s="1660"/>
      <c r="BG88" s="1915"/>
      <c r="BH88" s="1915"/>
      <c r="BI88" s="1915"/>
      <c r="BJ88" s="1915"/>
      <c r="BK88" s="1915"/>
      <c r="BL88" s="1915"/>
      <c r="BM88" s="1923"/>
      <c r="BO88" s="2685" t="str">
        <f>BO57</f>
        <v>Y</v>
      </c>
      <c r="BP88" s="1472"/>
      <c r="BQ88" s="2685" t="str">
        <f>BQ57</f>
        <v>Y</v>
      </c>
      <c r="BR88" s="1422"/>
      <c r="CC88" s="355"/>
      <c r="CD88" s="355"/>
      <c r="CE88" s="355"/>
      <c r="CF88" s="355"/>
      <c r="CG88" s="355"/>
      <c r="CH88" s="355"/>
      <c r="CI88" s="355"/>
      <c r="CK88" s="936"/>
      <c r="CL88" s="936"/>
      <c r="CM88" s="936"/>
      <c r="CN88" s="936"/>
      <c r="CO88" s="936"/>
      <c r="CP88" s="936"/>
      <c r="CQ88" s="936"/>
      <c r="CS88" s="912"/>
      <c r="CT88" s="912"/>
      <c r="CU88" s="912"/>
      <c r="CV88" s="912"/>
      <c r="CW88" s="912"/>
      <c r="CX88" s="912"/>
      <c r="CY88" s="912"/>
      <c r="DA88" s="889"/>
      <c r="DB88" s="889"/>
      <c r="DC88" s="889"/>
      <c r="DD88" s="889"/>
      <c r="DE88" s="889"/>
      <c r="DF88" s="889"/>
      <c r="DG88" s="889"/>
      <c r="DI88" s="912"/>
      <c r="DJ88" s="912"/>
      <c r="DK88" s="912"/>
      <c r="DL88" s="912"/>
      <c r="DM88" s="912"/>
      <c r="DN88" s="912"/>
      <c r="DO88" s="912"/>
      <c r="DQ88" s="889"/>
      <c r="DR88" s="889"/>
      <c r="DS88" s="889"/>
      <c r="DT88" s="889"/>
      <c r="DU88" s="889"/>
      <c r="DV88" s="889"/>
      <c r="DW88" s="889"/>
      <c r="DY88" s="912"/>
      <c r="DZ88" s="912"/>
      <c r="EA88" s="912"/>
      <c r="EB88" s="912"/>
      <c r="EC88" s="912"/>
      <c r="ED88" s="912"/>
      <c r="EE88" s="912"/>
      <c r="EG88" s="889"/>
      <c r="EH88" s="889"/>
      <c r="EI88" s="889"/>
      <c r="EJ88" s="889"/>
      <c r="EK88" s="889"/>
      <c r="EL88" s="889"/>
      <c r="EM88" s="889"/>
    </row>
    <row r="89" spans="1:143">
      <c r="I89" s="2070"/>
      <c r="Q89" s="1616"/>
      <c r="Y89" s="1093"/>
      <c r="AG89" s="1818"/>
      <c r="AO89" s="1642"/>
      <c r="AW89" s="1873"/>
      <c r="BE89" s="1612"/>
      <c r="BM89" s="1909"/>
      <c r="BO89" s="1422"/>
      <c r="BP89" s="1422"/>
      <c r="BQ89" s="1422"/>
      <c r="BR89" s="1422"/>
    </row>
    <row r="90" spans="1:143">
      <c r="I90" s="2070"/>
      <c r="Q90" s="1616"/>
      <c r="Y90" s="1093"/>
      <c r="AG90" s="1818"/>
      <c r="AO90" s="1642"/>
      <c r="AW90" s="1873"/>
      <c r="BE90" s="1612"/>
      <c r="BM90" s="1909"/>
      <c r="BO90" s="1422"/>
      <c r="BP90" s="1422"/>
      <c r="BQ90" s="1422"/>
      <c r="BR90" s="1422"/>
    </row>
    <row r="91" spans="1:143">
      <c r="B91" s="37" t="s">
        <v>6162</v>
      </c>
      <c r="C91" s="2057" t="e">
        <f>C48*0.04</f>
        <v>#REF!</v>
      </c>
      <c r="D91" s="2057"/>
      <c r="E91" s="2057" t="e">
        <f>E48*0.05</f>
        <v>#REF!</v>
      </c>
      <c r="F91" s="2057"/>
      <c r="G91" s="2057" t="e">
        <f>G48*0.04</f>
        <v>#REF!</v>
      </c>
      <c r="H91" s="2057"/>
      <c r="I91" s="2370" t="e">
        <f>I48*0.05</f>
        <v>#REF!</v>
      </c>
      <c r="K91" s="35" t="e">
        <f>K48*0.04</f>
        <v>#REF!</v>
      </c>
      <c r="M91" s="35" t="e">
        <f>M48*0.05</f>
        <v>#REF!</v>
      </c>
      <c r="O91" s="35" t="e">
        <f>O48*0.04</f>
        <v>#REF!</v>
      </c>
      <c r="Q91" s="1616" t="e">
        <f>Q48*0.05</f>
        <v>#REF!</v>
      </c>
      <c r="S91" s="680" t="e">
        <f>S48*0.04</f>
        <v>#DIV/0!</v>
      </c>
      <c r="T91" s="680"/>
      <c r="U91" s="680" t="e">
        <f>U48*0.05</f>
        <v>#DIV/0!</v>
      </c>
      <c r="V91" s="680"/>
      <c r="W91" s="680">
        <f>W48*0.04</f>
        <v>0</v>
      </c>
      <c r="X91" s="680"/>
      <c r="Y91" s="1098">
        <f>Y48*0.05</f>
        <v>0</v>
      </c>
      <c r="AA91" s="1838" t="e">
        <f>AA48*0.04</f>
        <v>#DIV/0!</v>
      </c>
      <c r="AB91" s="1838"/>
      <c r="AC91" s="1838" t="e">
        <f>AC48*0.05</f>
        <v>#DIV/0!</v>
      </c>
      <c r="AD91" s="1838"/>
      <c r="AE91" s="1838">
        <f>AE48*0.04</f>
        <v>0</v>
      </c>
      <c r="AF91" s="1838"/>
      <c r="AG91" s="1847">
        <f>AG48*0.05</f>
        <v>0</v>
      </c>
      <c r="AI91" s="864" t="e">
        <f>AI48*0.04</f>
        <v>#DIV/0!</v>
      </c>
      <c r="AJ91" s="864"/>
      <c r="AK91" s="864" t="e">
        <f>AK48*0.05</f>
        <v>#DIV/0!</v>
      </c>
      <c r="AL91" s="864"/>
      <c r="AM91" s="864">
        <f>AM48*0.04</f>
        <v>0</v>
      </c>
      <c r="AN91" s="864"/>
      <c r="AO91" s="1653">
        <f>AO48*0.05</f>
        <v>0</v>
      </c>
      <c r="AQ91" s="1893" t="e">
        <f>AQ48*0.04</f>
        <v>#DIV/0!</v>
      </c>
      <c r="AR91" s="1893"/>
      <c r="AS91" s="1893" t="e">
        <f>AS48*0.05</f>
        <v>#DIV/0!</v>
      </c>
      <c r="AT91" s="1893"/>
      <c r="AU91" s="1893">
        <f>AU48*0.04</f>
        <v>0</v>
      </c>
      <c r="AV91" s="1893"/>
      <c r="AW91" s="1902">
        <f>AW48*0.05</f>
        <v>0</v>
      </c>
      <c r="AY91" s="1516" t="e">
        <f>AY48*0.04</f>
        <v>#DIV/0!</v>
      </c>
      <c r="AZ91" s="1516"/>
      <c r="BA91" s="1516" t="e">
        <f>BA48*0.05</f>
        <v>#DIV/0!</v>
      </c>
      <c r="BB91" s="1516"/>
      <c r="BC91" s="1516">
        <f>BC48*0.04</f>
        <v>0</v>
      </c>
      <c r="BD91" s="1516"/>
      <c r="BE91" s="1660">
        <f>BE48*0.05</f>
        <v>0</v>
      </c>
      <c r="BG91" s="1915" t="e">
        <f>BG48*0.04</f>
        <v>#DIV/0!</v>
      </c>
      <c r="BH91" s="1915"/>
      <c r="BI91" s="1915" t="e">
        <f>BI48*0.05</f>
        <v>#DIV/0!</v>
      </c>
      <c r="BJ91" s="1915"/>
      <c r="BK91" s="1915">
        <f>BK48*0.04</f>
        <v>0</v>
      </c>
      <c r="BL91" s="1915"/>
      <c r="BM91" s="1923">
        <f>BM48*0.05</f>
        <v>0</v>
      </c>
      <c r="BO91" s="1512" t="e">
        <f>BO48*0.04</f>
        <v>#REF!</v>
      </c>
      <c r="BP91" s="1512" t="e">
        <f>BP48*0.05</f>
        <v>#REF!</v>
      </c>
      <c r="BQ91" s="1512">
        <f>BQ48*0.04</f>
        <v>0</v>
      </c>
      <c r="BR91" s="1512" t="e">
        <f>BR48*0.05</f>
        <v>#REF!</v>
      </c>
      <c r="CC91" s="355" t="e">
        <f>CC42*0.04</f>
        <v>#REF!</v>
      </c>
      <c r="CD91" s="355"/>
      <c r="CE91" s="355" t="e">
        <f>CE42*0.05</f>
        <v>#REF!</v>
      </c>
      <c r="CF91" s="355"/>
      <c r="CG91" s="355" t="e">
        <f>CG42*0.04</f>
        <v>#REF!</v>
      </c>
      <c r="CH91" s="355"/>
      <c r="CI91" s="355" t="e">
        <f>CI42*0.05</f>
        <v>#REF!</v>
      </c>
      <c r="CK91" s="936" t="e">
        <f>CK42*0.04</f>
        <v>#REF!</v>
      </c>
      <c r="CL91" s="936"/>
      <c r="CM91" s="936" t="e">
        <f>CM42*0.05</f>
        <v>#REF!</v>
      </c>
      <c r="CN91" s="936"/>
      <c r="CO91" s="936" t="e">
        <f>CO42*0.04</f>
        <v>#REF!</v>
      </c>
      <c r="CP91" s="936"/>
      <c r="CQ91" s="936" t="e">
        <f>CQ42*0.05</f>
        <v>#REF!</v>
      </c>
      <c r="CS91" s="912" t="e">
        <f>CS42*0.04</f>
        <v>#REF!</v>
      </c>
      <c r="CT91" s="912"/>
      <c r="CU91" s="912" t="e">
        <f>CU42*0.05</f>
        <v>#REF!</v>
      </c>
      <c r="CV91" s="912"/>
      <c r="CW91" s="912" t="e">
        <f>CW42*0.04</f>
        <v>#REF!</v>
      </c>
      <c r="CX91" s="912"/>
      <c r="CY91" s="912" t="e">
        <f>CY42*0.05</f>
        <v>#REF!</v>
      </c>
      <c r="DA91" s="889" t="e">
        <f>DA42*0.04</f>
        <v>#REF!</v>
      </c>
      <c r="DB91" s="889"/>
      <c r="DC91" s="889" t="e">
        <f>DC42*0.05</f>
        <v>#REF!</v>
      </c>
      <c r="DD91" s="889"/>
      <c r="DE91" s="889" t="e">
        <f>DE42*0.04</f>
        <v>#REF!</v>
      </c>
      <c r="DF91" s="889"/>
      <c r="DG91" s="889" t="e">
        <f>DG42*0.05</f>
        <v>#REF!</v>
      </c>
      <c r="DI91" s="912" t="e">
        <f>DI48*0.04</f>
        <v>#REF!</v>
      </c>
      <c r="DJ91" s="912"/>
      <c r="DK91" s="912" t="e">
        <f>DK48*0.05</f>
        <v>#REF!</v>
      </c>
      <c r="DL91" s="912"/>
      <c r="DM91" s="912" t="e">
        <f>DM48*0.04</f>
        <v>#REF!</v>
      </c>
      <c r="DN91" s="912"/>
      <c r="DO91" s="912" t="e">
        <f>DO48*0.05</f>
        <v>#REF!</v>
      </c>
      <c r="DQ91" s="889" t="e">
        <f>DQ48*0.04</f>
        <v>#REF!</v>
      </c>
      <c r="DR91" s="889"/>
      <c r="DS91" s="889" t="e">
        <f>DS48*0.05</f>
        <v>#REF!</v>
      </c>
      <c r="DT91" s="889"/>
      <c r="DU91" s="889" t="e">
        <f>DU48*0.04</f>
        <v>#REF!</v>
      </c>
      <c r="DV91" s="889"/>
      <c r="DW91" s="889" t="e">
        <f>DW48*0.05</f>
        <v>#REF!</v>
      </c>
      <c r="DY91" s="912" t="e">
        <f>DY48*0.04</f>
        <v>#REF!</v>
      </c>
      <c r="DZ91" s="912"/>
      <c r="EA91" s="912" t="e">
        <f>EA48*0.05</f>
        <v>#REF!</v>
      </c>
      <c r="EB91" s="912"/>
      <c r="EC91" s="912" t="e">
        <f>EC48*0.04</f>
        <v>#REF!</v>
      </c>
      <c r="ED91" s="912"/>
      <c r="EE91" s="912" t="e">
        <f>EE48*0.05</f>
        <v>#REF!</v>
      </c>
      <c r="EG91" s="889" t="e">
        <f>EG48*0.04</f>
        <v>#REF!</v>
      </c>
      <c r="EH91" s="889"/>
      <c r="EI91" s="889" t="e">
        <f>EI48*0.05</f>
        <v>#REF!</v>
      </c>
      <c r="EJ91" s="889"/>
      <c r="EK91" s="889">
        <f>EK48*0.04</f>
        <v>0</v>
      </c>
      <c r="EL91" s="889"/>
      <c r="EM91" s="889">
        <f>EM48*0.05</f>
        <v>0</v>
      </c>
    </row>
    <row r="92" spans="1:143">
      <c r="B92" s="37" t="s">
        <v>8918</v>
      </c>
      <c r="C92" s="2057" t="e">
        <f>C43*80</f>
        <v>#REF!</v>
      </c>
      <c r="D92" s="2057"/>
      <c r="E92" s="2057" t="e">
        <f>'Ch41 Calc Data'!K17*100</f>
        <v>#REF!</v>
      </c>
      <c r="F92" s="2057"/>
      <c r="G92" s="2057" t="e">
        <f>G43*80</f>
        <v>#REF!</v>
      </c>
      <c r="H92" s="2057"/>
      <c r="I92" s="2370">
        <f>'Ch41 Calc Data'!L10*100</f>
        <v>0</v>
      </c>
      <c r="J92" s="91" t="e">
        <f>AA85+AE85</f>
        <v>#DIV/0!</v>
      </c>
      <c r="K92" s="35" t="e">
        <f>K43*80</f>
        <v>#REF!</v>
      </c>
      <c r="M92" s="35" t="e">
        <f>'Ch41 Calc Data'!L17*100</f>
        <v>#REF!</v>
      </c>
      <c r="O92" s="35" t="e">
        <f>O43*80</f>
        <v>#REF!</v>
      </c>
      <c r="Q92" s="1616" t="e">
        <f>'Ch41 Calc Data'!L17*100</f>
        <v>#REF!</v>
      </c>
      <c r="S92" s="680" t="e">
        <f>S43*80</f>
        <v>#DIV/0!</v>
      </c>
      <c r="T92" s="680"/>
      <c r="U92" s="680">
        <f>'Ch41 Calc Data'!M17*100</f>
        <v>0</v>
      </c>
      <c r="V92" s="680"/>
      <c r="W92" s="680">
        <f>W43*80</f>
        <v>0</v>
      </c>
      <c r="X92" s="680"/>
      <c r="Y92" s="1098">
        <f>'Ch41 Calc Data'!M17*100</f>
        <v>0</v>
      </c>
      <c r="AA92" s="1838" t="e">
        <f>AA43*80</f>
        <v>#DIV/0!</v>
      </c>
      <c r="AB92" s="1838"/>
      <c r="AC92" s="1838">
        <f>'Ch41 Calc Data'!N17*100</f>
        <v>0</v>
      </c>
      <c r="AD92" s="1838"/>
      <c r="AE92" s="1838">
        <f>AE43*80</f>
        <v>0</v>
      </c>
      <c r="AF92" s="1838"/>
      <c r="AG92" s="1847">
        <f>'Ch41 Calc Data'!N17*100</f>
        <v>0</v>
      </c>
      <c r="AI92" s="864" t="e">
        <f>AI43*80</f>
        <v>#DIV/0!</v>
      </c>
      <c r="AJ92" s="864"/>
      <c r="AK92" s="864" t="e">
        <f>'Ch41 Calc Data'!O17*100</f>
        <v>#DIV/0!</v>
      </c>
      <c r="AL92" s="864"/>
      <c r="AM92" s="864">
        <f>AM43*80</f>
        <v>0</v>
      </c>
      <c r="AN92" s="864"/>
      <c r="AO92" s="1653" t="e">
        <f>'Ch41 Calc Data'!O17*100</f>
        <v>#DIV/0!</v>
      </c>
      <c r="AQ92" s="1893" t="e">
        <f>AQ43*80</f>
        <v>#DIV/0!</v>
      </c>
      <c r="AR92" s="1893"/>
      <c r="AS92" s="1893" t="e">
        <f>'Ch41 Calc Data'!P17*100</f>
        <v>#DIV/0!</v>
      </c>
      <c r="AT92" s="1893"/>
      <c r="AU92" s="1893">
        <f>AU43*80</f>
        <v>0</v>
      </c>
      <c r="AV92" s="1893"/>
      <c r="AW92" s="1902" t="e">
        <f>'Ch41 Calc Data'!P17*100</f>
        <v>#DIV/0!</v>
      </c>
      <c r="AY92" s="1516" t="e">
        <f>AY43*80</f>
        <v>#DIV/0!</v>
      </c>
      <c r="AZ92" s="1516"/>
      <c r="BA92" s="1516" t="e">
        <f>'Ch41 Calc Data'!Q17*100</f>
        <v>#DIV/0!</v>
      </c>
      <c r="BB92" s="1516"/>
      <c r="BC92" s="1516">
        <f>BC43*80</f>
        <v>0</v>
      </c>
      <c r="BD92" s="1516"/>
      <c r="BE92" s="1660" t="e">
        <f>'Ch41 Calc Data'!Q17*100</f>
        <v>#DIV/0!</v>
      </c>
      <c r="BG92" s="1915" t="e">
        <f>BG43*80</f>
        <v>#DIV/0!</v>
      </c>
      <c r="BH92" s="1915"/>
      <c r="BI92" s="1915" t="e">
        <f>'Ch41 Calc Data'!R17*100</f>
        <v>#DIV/0!</v>
      </c>
      <c r="BJ92" s="1915"/>
      <c r="BK92" s="1915">
        <f>BK43*80</f>
        <v>0</v>
      </c>
      <c r="BL92" s="1915"/>
      <c r="BM92" s="1923" t="e">
        <f>'Ch41 Calc Data'!R17*100</f>
        <v>#DIV/0!</v>
      </c>
      <c r="BO92" s="1512" t="e">
        <f>BO43*80</f>
        <v>#REF!</v>
      </c>
      <c r="BP92" s="1512" t="e">
        <f>'Ch41 Calc Data'!M20*100</f>
        <v>#REF!</v>
      </c>
      <c r="BQ92" s="1512">
        <f>BQ43*80</f>
        <v>0</v>
      </c>
      <c r="BR92" s="1512" t="e">
        <f>'Ch41 Calc Data'!M20*100</f>
        <v>#REF!</v>
      </c>
      <c r="CC92" s="355" t="e">
        <f>CC43*80</f>
        <v>#REF!</v>
      </c>
      <c r="CD92" s="355"/>
      <c r="CE92" s="355">
        <f>'Ch41 Calc Data'!AA10*100</f>
        <v>0</v>
      </c>
      <c r="CF92" s="355"/>
      <c r="CG92" s="355" t="e">
        <f>CG43*80</f>
        <v>#REF!</v>
      </c>
      <c r="CH92" s="355"/>
      <c r="CI92" s="355">
        <f>'Ch41 Calc Data'!AA10*100</f>
        <v>0</v>
      </c>
      <c r="CK92" s="936" t="e">
        <f>CK43*80</f>
        <v>#REF!</v>
      </c>
      <c r="CL92" s="936"/>
      <c r="CM92" s="936">
        <f>'Ch41 Calc Data'!AB10*100</f>
        <v>0</v>
      </c>
      <c r="CN92" s="936"/>
      <c r="CO92" s="936" t="e">
        <f>CO43*80</f>
        <v>#REF!</v>
      </c>
      <c r="CP92" s="936"/>
      <c r="CQ92" s="936">
        <f>'Ch41 Calc Data'!AB10*100</f>
        <v>0</v>
      </c>
      <c r="CS92" s="912" t="e">
        <f>CS43*80</f>
        <v>#REF!</v>
      </c>
      <c r="CT92" s="912"/>
      <c r="CU92" s="912">
        <f>'Ch41 Calc Data'!AC10*100</f>
        <v>0</v>
      </c>
      <c r="CV92" s="912"/>
      <c r="CW92" s="912" t="e">
        <f>CW43*80</f>
        <v>#REF!</v>
      </c>
      <c r="CX92" s="912"/>
      <c r="CY92" s="912">
        <f>'Ch41 Calc Data'!AC10*100</f>
        <v>0</v>
      </c>
      <c r="DA92" s="889" t="e">
        <f>DA43*80</f>
        <v>#REF!</v>
      </c>
      <c r="DB92" s="889"/>
      <c r="DC92" s="889">
        <f>'Ch41 Calc Data'!AD10*100</f>
        <v>0</v>
      </c>
      <c r="DD92" s="889"/>
      <c r="DE92" s="889" t="e">
        <f>DE43*80</f>
        <v>#REF!</v>
      </c>
      <c r="DF92" s="889"/>
      <c r="DG92" s="889">
        <f>'Ch41 Calc Data'!AD10*100</f>
        <v>0</v>
      </c>
      <c r="DI92" s="912" t="e">
        <f>DI43*80</f>
        <v>#REF!</v>
      </c>
      <c r="DJ92" s="912"/>
      <c r="DK92" s="912">
        <f>'Ch41 Calc Data'!AE10*100</f>
        <v>0</v>
      </c>
      <c r="DL92" s="912"/>
      <c r="DM92" s="912" t="e">
        <f>DM43*80</f>
        <v>#REF!</v>
      </c>
      <c r="DN92" s="912"/>
      <c r="DO92" s="912">
        <f>'Ch41 Calc Data'!AE10*100</f>
        <v>0</v>
      </c>
      <c r="DQ92" s="889" t="e">
        <f>DQ43*80</f>
        <v>#REF!</v>
      </c>
      <c r="DR92" s="889"/>
      <c r="DS92" s="889">
        <f>'Ch41 Calc Data'!AF10*100</f>
        <v>0</v>
      </c>
      <c r="DT92" s="889"/>
      <c r="DU92" s="889" t="e">
        <f>DU43*80</f>
        <v>#REF!</v>
      </c>
      <c r="DV92" s="889"/>
      <c r="DW92" s="889">
        <f>'Ch41 Calc Data'!AF10*100</f>
        <v>0</v>
      </c>
      <c r="DY92" s="912" t="e">
        <f>DY43*80</f>
        <v>#REF!</v>
      </c>
      <c r="DZ92" s="912"/>
      <c r="EA92" s="912">
        <f>'Ch41 Calc Data'!AG10*100</f>
        <v>0</v>
      </c>
      <c r="EB92" s="912"/>
      <c r="EC92" s="912" t="e">
        <f>EC43*80</f>
        <v>#REF!</v>
      </c>
      <c r="ED92" s="912"/>
      <c r="EE92" s="912">
        <f>'Ch41 Calc Data'!AG10*100</f>
        <v>0</v>
      </c>
      <c r="EG92" s="889" t="e">
        <f>EG43*80</f>
        <v>#REF!</v>
      </c>
      <c r="EH92" s="889"/>
      <c r="EI92" s="889">
        <f>'Ch41 Calc Data'!AH10*100</f>
        <v>0</v>
      </c>
      <c r="EJ92" s="889"/>
      <c r="EK92" s="889">
        <f>EK43*80</f>
        <v>0</v>
      </c>
      <c r="EL92" s="889"/>
      <c r="EM92" s="889">
        <f>'Ch41 Calc Data'!AH10*100</f>
        <v>0</v>
      </c>
    </row>
    <row r="93" spans="1:143">
      <c r="B93" s="37" t="s">
        <v>8919</v>
      </c>
      <c r="I93" s="2070"/>
      <c r="J93" s="91" t="e">
        <f>'Option Costs'!AA85+'Option Costs'!AE85</f>
        <v>#DIV/0!</v>
      </c>
      <c r="Q93" s="1616"/>
      <c r="Y93" s="1093"/>
      <c r="AG93" s="1818"/>
      <c r="AO93" s="1642"/>
      <c r="AW93" s="1873"/>
      <c r="AY93" s="1516"/>
      <c r="AZ93" s="1516"/>
      <c r="BA93" s="1516"/>
      <c r="BB93" s="1516"/>
      <c r="BC93" s="1516"/>
      <c r="BD93" s="1516"/>
      <c r="BE93" s="1660"/>
      <c r="BG93" s="1915"/>
      <c r="BH93" s="1915"/>
      <c r="BI93" s="1915"/>
      <c r="BJ93" s="1915"/>
      <c r="BK93" s="1915"/>
      <c r="BL93" s="1915"/>
      <c r="BM93" s="1923"/>
      <c r="BO93" s="1472"/>
      <c r="BP93" s="1472"/>
      <c r="BQ93" s="1422"/>
      <c r="BR93" s="1422"/>
    </row>
    <row r="94" spans="1:143">
      <c r="B94" s="37" t="s">
        <v>8917</v>
      </c>
      <c r="E94" s="2058">
        <f>IF('Data Entry - SOF'!C137=0,0,'Data Entry - SOF'!C136*(E48/'Data Entry - SOF'!C93))</f>
        <v>0</v>
      </c>
      <c r="I94" s="2070">
        <f>IF('Data Entry - SOF'!C137=0,0,IF(I41=0,0,'Data Entry - SOF'!C136*('Option Costs-Transition'!I48/'Data Entry - SOF'!C93)))</f>
        <v>0</v>
      </c>
      <c r="J94" s="91" t="e">
        <f>IF(J92-J93&lt;=0,0,J92-J93)</f>
        <v>#DIV/0!</v>
      </c>
      <c r="M94" s="35" t="e">
        <f>IF('Data Entry - SOF'!#REF!=0,0,'Data Entry - SOF'!#REF!*(M48/'Data Entry - SOF'!#REF!))</f>
        <v>#REF!</v>
      </c>
      <c r="Q94" s="1616" t="e">
        <f>IF('Data Entry - SOF'!#REF!=0,0,IF(Q41=0,0,'Data Entry - SOF'!#REF!*(Q48/'Data Entry - SOF'!#REF!)))</f>
        <v>#REF!</v>
      </c>
      <c r="U94" s="679">
        <f>IF('Data Entry - SOF'!E137=0,0,'Data Entry - SOF'!E136*(U48/'Data Entry - SOF'!E93))</f>
        <v>0</v>
      </c>
      <c r="Y94" s="1093">
        <f>IF('Data Entry - SOF'!E137=0,0,IF(Y41=0,0,'Data Entry - SOF'!E136*(Y48/'Data Entry - SOF'!E93)))</f>
        <v>0</v>
      </c>
      <c r="AC94" s="1817">
        <f>IF('Data Entry - SOF'!K137=0,0,'Data Entry - SOF'!K136*(AC48/'Data Entry - SOF'!K93))</f>
        <v>0</v>
      </c>
      <c r="AG94" s="1818">
        <f>IF('Data Entry - SOF'!K137=0,0,IF(AG41=0,0,'Data Entry - SOF'!K136*(AG48/'Data Entry - SOF'!K93)))</f>
        <v>0</v>
      </c>
      <c r="AK94" s="851">
        <f>IF('Data Entry - SOF'!M137=0,0,'Data Entry - SOF'!M136*(AK48/'Data Entry - SOF'!M93))</f>
        <v>0</v>
      </c>
      <c r="AO94" s="1642">
        <f>IF('Data Entry - SOF'!M137=0,0,IF(AO41=0,0,'Data Entry - SOF'!M136*(AO48/'Data Entry - SOF'!M93)))</f>
        <v>0</v>
      </c>
      <c r="AS94" s="1872">
        <f>IF('Data Entry - SOF'!O137=0,0,'Data Entry - SOF'!O136*(AS48/'Data Entry - SOF'!O93))</f>
        <v>0</v>
      </c>
      <c r="AW94" s="1873">
        <f>IF('Data Entry - SOF'!O137=0,0,IF(AW41=0,0,'Data Entry - SOF'!O136*(AW48/'Data Entry - SOF'!O93)))</f>
        <v>0</v>
      </c>
      <c r="AY94" s="1516"/>
      <c r="AZ94" s="1516"/>
      <c r="BA94" s="1516">
        <f>IF('Data Entry - SOF'!Q137=0,0,'Data Entry - SOF'!Q136*(BA48/'Data Entry - SOF'!Q93))</f>
        <v>0</v>
      </c>
      <c r="BB94" s="1516"/>
      <c r="BC94" s="1516"/>
      <c r="BD94" s="1516"/>
      <c r="BE94" s="1660">
        <f>IF('Data Entry - SOF'!Q137=0,0,IF(BE41=0,0,'Data Entry - SOF'!Q136*(BE48/'Data Entry - SOF'!Q93)))</f>
        <v>0</v>
      </c>
      <c r="BG94" s="1915"/>
      <c r="BH94" s="1915"/>
      <c r="BI94" s="1915">
        <f>IF('Data Entry - SOF'!S137=0,0,'Data Entry - SOF'!S136*(BI48/'Data Entry - SOF'!S93))</f>
        <v>0</v>
      </c>
      <c r="BJ94" s="1915"/>
      <c r="BK94" s="1915"/>
      <c r="BL94" s="1915"/>
      <c r="BM94" s="1923">
        <f>IF('Data Entry - SOF'!S137=0,0,IF(BM41=0,0,'Data Entry - SOF'!S136*(BM48/'Data Entry - SOF'!S93)))</f>
        <v>0</v>
      </c>
      <c r="BO94" s="1472"/>
      <c r="BP94" s="1472" t="e">
        <f>IF('Data Entry - SOF'!#REF!=0,0,'Data Entry - SOF'!#REF!*(BP42/BP41))</f>
        <v>#REF!</v>
      </c>
      <c r="BQ94" s="1422"/>
      <c r="BR94" s="1512">
        <f>IF('Data Entry - SOF'!E137=0,0,IF(BR41=0,0,'Data Entry - SOF'!E136*(BR48/'Data Entry - SOF'!E93)))</f>
        <v>0</v>
      </c>
      <c r="CE94" s="334" t="e">
        <f>IF('Data Entry - SOF'!#REF!=0,0,'Data Entry - SOF'!#REF!*('Option Costs-Transition'!CE42/'Option Costs-Transition'!CE41))</f>
        <v>#REF!</v>
      </c>
      <c r="CI94" s="334" t="e">
        <f>IF('Data Entry - SOF'!#REF!=0,0,IF(CI41=0,0,'Data Entry - SOF'!#REF!*('Option Costs-Transition'!CI42/'Option Costs-Transition'!CI41)))</f>
        <v>#REF!</v>
      </c>
      <c r="CM94" s="921" t="e">
        <f>IF('Data Entry - SOF'!#REF!=0,0,'Data Entry - SOF'!#REF!*('Option Costs-Transition'!CM42/'Option Costs-Transition'!CM41))</f>
        <v>#REF!</v>
      </c>
      <c r="CQ94" s="921" t="e">
        <f>IF('Data Entry - SOF'!#REF!=0,0,IF(CQ41=0,0,'Data Entry - SOF'!#REF!*('Option Costs-Transition'!CQ42/'Option Costs-Transition'!CQ41)))</f>
        <v>#REF!</v>
      </c>
      <c r="CU94" s="897" t="e">
        <f>IF('Data Entry - SOF'!#REF!=0,0,'Data Entry - SOF'!#REF!*('Option Costs-Transition'!CU42/'Option Costs-Transition'!CU41))</f>
        <v>#REF!</v>
      </c>
      <c r="CY94" s="897" t="e">
        <f>IF('Data Entry - SOF'!#REF!=0,0,IF(CY41=0,0,'Data Entry - SOF'!#REF!*('Option Costs-Transition'!CY42/'Option Costs-Transition'!CY41)))</f>
        <v>#REF!</v>
      </c>
      <c r="DC94" s="788" t="e">
        <f>IF('Data Entry - SOF'!#REF!=0,0,'Data Entry - SOF'!#REF!*('Option Costs-Transition'!DC42/'Option Costs-Transition'!DC41))</f>
        <v>#REF!</v>
      </c>
      <c r="DG94" s="788" t="e">
        <f>IF('Data Entry - SOF'!#REF!=0,0,IF(DG41=0,0,'Data Entry - SOF'!#REF!*('Option Costs-Transition'!DG42/'Option Costs-Transition'!DG41)))</f>
        <v>#REF!</v>
      </c>
      <c r="DK94" s="897">
        <f>IF('Data Entry - SOF'!C137=0,0,'Data Entry - SOF'!C136*('Option Costs-Transition'!DK48/'Option Costs-Transition'!DK41))</f>
        <v>0</v>
      </c>
      <c r="DO94" s="897">
        <f>IF('Data Entry - SOF'!C137=0,0,IF(DO41=0,0,'Data Entry - SOF'!C136*('Option Costs-Transition'!DO48/'Option Costs-Transition'!DO41)))</f>
        <v>0</v>
      </c>
      <c r="DS94" s="788">
        <f>IF('Data Entry - SOF'!C137=0,0,'Data Entry - SOF'!C136*('Option Costs-Transition'!DS48/'Option Costs-Transition'!DS41))</f>
        <v>0</v>
      </c>
      <c r="DW94" s="788">
        <f>IF('Data Entry - SOF'!C137=0,0,IF(DW41=0,0,'Data Entry - SOF'!C136*('Option Costs-Transition'!DW48/'Option Costs-Transition'!DW41)))</f>
        <v>0</v>
      </c>
      <c r="EA94" s="897" t="e">
        <f>IF('Data Entry - SOF'!#REF!=0,0,'Data Entry - SOF'!#REF!*('Option Costs-Transition'!EA48/'Option Costs-Transition'!EA41))</f>
        <v>#REF!</v>
      </c>
      <c r="EE94" s="897" t="e">
        <f>IF('Data Entry - SOF'!#REF!=0,0,IF(EE41=0,0,'Data Entry - SOF'!#REF!*('Option Costs-Transition'!EE48/'Option Costs-Transition'!EE41)))</f>
        <v>#REF!</v>
      </c>
      <c r="EI94" s="788">
        <f>IF('Data Entry - SOF'!E137=0,0,'Data Entry - SOF'!E136*('Option Costs-Transition'!EI48/'Option Costs-Transition'!EI41))</f>
        <v>0</v>
      </c>
      <c r="EM94" s="788">
        <f>IF('Data Entry - SOF'!E137=0,0,IF(EM41=0,0,'Data Entry - SOF'!E136*('Option Costs-Transition'!EM48/'Option Costs-Transition'!EM41)))</f>
        <v>0</v>
      </c>
    </row>
    <row r="95" spans="1:143">
      <c r="I95" s="2070"/>
      <c r="Q95" s="1616"/>
      <c r="Y95" s="1093"/>
      <c r="AG95" s="1818"/>
      <c r="AO95" s="1642"/>
      <c r="AW95" s="1873"/>
      <c r="AY95" s="1516"/>
      <c r="AZ95" s="1516"/>
      <c r="BA95" s="1516"/>
      <c r="BB95" s="1516"/>
      <c r="BC95" s="1516"/>
      <c r="BD95" s="1516"/>
      <c r="BE95" s="1660"/>
      <c r="BG95" s="1915"/>
      <c r="BH95" s="1915"/>
      <c r="BI95" s="1915"/>
      <c r="BJ95" s="1915"/>
      <c r="BK95" s="1915"/>
      <c r="BL95" s="1915"/>
      <c r="BM95" s="1923"/>
      <c r="BO95" s="1422"/>
      <c r="BP95" s="1422"/>
      <c r="BQ95" s="1422"/>
      <c r="BR95" s="1422"/>
    </row>
    <row r="96" spans="1:143">
      <c r="I96" s="2070"/>
      <c r="Q96" s="1616"/>
      <c r="Y96" s="1093"/>
      <c r="AG96" s="1818"/>
      <c r="AO96" s="1642"/>
      <c r="AW96" s="1873"/>
      <c r="AY96" s="1516"/>
      <c r="AZ96" s="1516"/>
      <c r="BA96" s="1516"/>
      <c r="BB96" s="1516"/>
      <c r="BC96" s="1516"/>
      <c r="BD96" s="1516"/>
      <c r="BE96" s="1660"/>
      <c r="BG96" s="1915"/>
      <c r="BH96" s="1915"/>
      <c r="BI96" s="1915"/>
      <c r="BJ96" s="1915"/>
      <c r="BK96" s="1915"/>
      <c r="BL96" s="1915"/>
      <c r="BM96" s="1923"/>
      <c r="BO96" s="1422"/>
      <c r="BP96" s="1422"/>
      <c r="BQ96" s="1422"/>
      <c r="BR96" s="1422"/>
    </row>
    <row r="97" spans="2:70">
      <c r="B97" s="37" t="s">
        <v>6163</v>
      </c>
      <c r="C97" s="2392" t="s">
        <v>3830</v>
      </c>
      <c r="D97" s="2392"/>
      <c r="E97" s="2392"/>
      <c r="F97" s="2392"/>
      <c r="G97" s="2392"/>
      <c r="H97" s="2392"/>
      <c r="I97" s="2393"/>
      <c r="K97" s="35" t="s">
        <v>3830</v>
      </c>
      <c r="Q97" s="1616"/>
      <c r="S97" s="743" t="s">
        <v>3830</v>
      </c>
      <c r="T97" s="743"/>
      <c r="U97" s="743"/>
      <c r="V97" s="743"/>
      <c r="W97" s="743"/>
      <c r="X97" s="743"/>
      <c r="Y97" s="1091"/>
      <c r="AA97" s="1853" t="s">
        <v>3830</v>
      </c>
      <c r="AB97" s="1853"/>
      <c r="AC97" s="1853"/>
      <c r="AD97" s="1853"/>
      <c r="AE97" s="1853"/>
      <c r="AF97" s="1853"/>
      <c r="AG97" s="1854"/>
      <c r="AH97" s="779"/>
      <c r="AI97" s="779" t="s">
        <v>3830</v>
      </c>
      <c r="AJ97" s="779"/>
      <c r="AK97" s="779"/>
      <c r="AL97" s="779"/>
      <c r="AM97" s="779"/>
      <c r="AN97" s="779"/>
      <c r="AO97" s="1655"/>
      <c r="AQ97" s="1872" t="s">
        <v>3830</v>
      </c>
      <c r="AW97" s="1873"/>
      <c r="AY97" s="1516" t="s">
        <v>3830</v>
      </c>
      <c r="AZ97" s="1516"/>
      <c r="BA97" s="1516"/>
      <c r="BB97" s="1516"/>
      <c r="BC97" s="1516"/>
      <c r="BD97" s="1516"/>
      <c r="BE97" s="1660"/>
      <c r="BG97" s="1915" t="s">
        <v>3830</v>
      </c>
      <c r="BH97" s="1915"/>
      <c r="BI97" s="1915"/>
      <c r="BJ97" s="1915"/>
      <c r="BK97" s="1915"/>
      <c r="BL97" s="1915"/>
      <c r="BM97" s="1923"/>
      <c r="BO97" s="1422" t="s">
        <v>3830</v>
      </c>
      <c r="BP97" s="1422"/>
      <c r="BQ97" s="1422"/>
      <c r="BR97" s="1422"/>
    </row>
    <row r="98" spans="2:70">
      <c r="B98" s="37" t="s">
        <v>8918</v>
      </c>
      <c r="C98" s="2185" t="e">
        <f>C79*0.04</f>
        <v>#REF!</v>
      </c>
      <c r="D98" s="2392"/>
      <c r="E98" s="2185" t="e">
        <f>E79*0.05</f>
        <v>#REF!</v>
      </c>
      <c r="F98" s="2392"/>
      <c r="G98" s="2185" t="e">
        <f>G79*0.04</f>
        <v>#REF!</v>
      </c>
      <c r="H98" s="2392"/>
      <c r="I98" s="2379" t="e">
        <f>I79*0.05</f>
        <v>#REF!</v>
      </c>
      <c r="J98" s="91" t="e">
        <f>AI85+AM85</f>
        <v>#DIV/0!</v>
      </c>
      <c r="K98" s="35" t="e">
        <f>K79*0.04</f>
        <v>#REF!</v>
      </c>
      <c r="M98" s="35" t="e">
        <f>M79*0.05</f>
        <v>#REF!</v>
      </c>
      <c r="O98" s="35" t="e">
        <f>O79*0.04</f>
        <v>#REF!</v>
      </c>
      <c r="Q98" s="1616" t="e">
        <f>Q79*0.05</f>
        <v>#REF!</v>
      </c>
      <c r="S98" s="744" t="e">
        <f>S79*0.04</f>
        <v>#DIV/0!</v>
      </c>
      <c r="T98" s="743"/>
      <c r="U98" s="744" t="e">
        <f>U79*0.05</f>
        <v>#DIV/0!</v>
      </c>
      <c r="V98" s="743"/>
      <c r="W98" s="744">
        <f>W79*0.04</f>
        <v>0</v>
      </c>
      <c r="X98" s="743"/>
      <c r="Y98" s="1092">
        <f>Y79*0.05</f>
        <v>0</v>
      </c>
      <c r="AA98" s="1862" t="e">
        <f>AA79*0.04</f>
        <v>#DIV/0!</v>
      </c>
      <c r="AB98" s="1853"/>
      <c r="AC98" s="1862" t="e">
        <f>AC79*0.05</f>
        <v>#DIV/0!</v>
      </c>
      <c r="AD98" s="1853"/>
      <c r="AE98" s="1862">
        <f>AE79*0.04</f>
        <v>0</v>
      </c>
      <c r="AF98" s="1853"/>
      <c r="AG98" s="1869">
        <f>AG79*0.05</f>
        <v>0</v>
      </c>
      <c r="AH98" s="779"/>
      <c r="AI98" s="873" t="e">
        <f>AI79*0.04</f>
        <v>#DIV/0!</v>
      </c>
      <c r="AJ98" s="779"/>
      <c r="AK98" s="873" t="e">
        <f>AK79*0.05</f>
        <v>#DIV/0!</v>
      </c>
      <c r="AL98" s="779"/>
      <c r="AM98" s="873">
        <f>AM79*0.04</f>
        <v>0</v>
      </c>
      <c r="AN98" s="779"/>
      <c r="AO98" s="1656">
        <f>AO79*0.05</f>
        <v>0</v>
      </c>
      <c r="AQ98" s="1893" t="e">
        <f>AQ79*0.04</f>
        <v>#DIV/0!</v>
      </c>
      <c r="AS98" s="1893" t="e">
        <f>AS79*0.05</f>
        <v>#DIV/0!</v>
      </c>
      <c r="AU98" s="1893">
        <f>AU79*0.04</f>
        <v>0</v>
      </c>
      <c r="AW98" s="1902">
        <f>AW79*0.05</f>
        <v>0</v>
      </c>
      <c r="AY98" s="1516" t="e">
        <f>AY79*0.04</f>
        <v>#DIV/0!</v>
      </c>
      <c r="AZ98" s="1516"/>
      <c r="BA98" s="1516" t="e">
        <f>BA79*0.05</f>
        <v>#DIV/0!</v>
      </c>
      <c r="BB98" s="1516"/>
      <c r="BC98" s="1516">
        <f>BC79*0.04</f>
        <v>0</v>
      </c>
      <c r="BD98" s="1516"/>
      <c r="BE98" s="1660">
        <f>BE79*0.05</f>
        <v>0</v>
      </c>
      <c r="BG98" s="1915" t="e">
        <f>BG79*0.04</f>
        <v>#DIV/0!</v>
      </c>
      <c r="BH98" s="1915"/>
      <c r="BI98" s="1915" t="e">
        <f>BI79*0.05</f>
        <v>#DIV/0!</v>
      </c>
      <c r="BJ98" s="1915"/>
      <c r="BK98" s="1915">
        <f>BK79*0.04</f>
        <v>0</v>
      </c>
      <c r="BL98" s="1915"/>
      <c r="BM98" s="1923">
        <f>BM79*0.05</f>
        <v>0</v>
      </c>
      <c r="BO98" s="1512" t="e">
        <f>BO79*0.04</f>
        <v>#REF!</v>
      </c>
      <c r="BP98" s="1512" t="e">
        <f>BP79*0.05</f>
        <v>#REF!</v>
      </c>
      <c r="BQ98" s="1512">
        <f>BQ79*0.04</f>
        <v>0</v>
      </c>
      <c r="BR98" s="1512" t="e">
        <f>BR79*0.05</f>
        <v>#REF!</v>
      </c>
    </row>
    <row r="99" spans="2:70">
      <c r="B99" s="37" t="s">
        <v>8919</v>
      </c>
      <c r="C99" s="2185" t="e">
        <f>C74*80</f>
        <v>#REF!</v>
      </c>
      <c r="D99" s="2392"/>
      <c r="E99" s="2185" t="e">
        <f>'Ch41 Calc Data'!K17*100</f>
        <v>#REF!</v>
      </c>
      <c r="F99" s="2392"/>
      <c r="G99" s="2185" t="e">
        <f>G74*80</f>
        <v>#REF!</v>
      </c>
      <c r="H99" s="2392"/>
      <c r="I99" s="2379" t="e">
        <f>'Ch41 Calc Data'!K17*100</f>
        <v>#REF!</v>
      </c>
      <c r="J99" s="91" t="e">
        <f>'Option Costs'!AI85+'Option Costs'!AM85</f>
        <v>#DIV/0!</v>
      </c>
      <c r="K99" s="35" t="e">
        <f>K74*80</f>
        <v>#REF!</v>
      </c>
      <c r="M99" s="35" t="e">
        <f>'Ch41 Calc Data'!L17*100</f>
        <v>#REF!</v>
      </c>
      <c r="O99" s="35" t="e">
        <f>O74*80</f>
        <v>#REF!</v>
      </c>
      <c r="Q99" s="1616" t="e">
        <f>'Ch41 Calc Data'!L17*100</f>
        <v>#REF!</v>
      </c>
      <c r="S99" s="744" t="e">
        <f>S74*80</f>
        <v>#DIV/0!</v>
      </c>
      <c r="T99" s="743"/>
      <c r="U99" s="744">
        <f>'Ch41 Calc Data'!M17*100</f>
        <v>0</v>
      </c>
      <c r="V99" s="743"/>
      <c r="W99" s="744">
        <f>W74*80</f>
        <v>0</v>
      </c>
      <c r="X99" s="743"/>
      <c r="Y99" s="1092">
        <f>'Ch41 Calc Data'!M17*100</f>
        <v>0</v>
      </c>
      <c r="AA99" s="1862" t="e">
        <f>AA74*80</f>
        <v>#DIV/0!</v>
      </c>
      <c r="AB99" s="1853"/>
      <c r="AC99" s="1862">
        <f>'Ch41 Calc Data'!N17*100</f>
        <v>0</v>
      </c>
      <c r="AD99" s="1853"/>
      <c r="AE99" s="1862">
        <f>AE74*80</f>
        <v>0</v>
      </c>
      <c r="AF99" s="1853"/>
      <c r="AG99" s="1869">
        <f>'Ch41 Calc Data'!N17*100</f>
        <v>0</v>
      </c>
      <c r="AH99" s="779"/>
      <c r="AI99" s="873" t="e">
        <f>AI74*80</f>
        <v>#DIV/0!</v>
      </c>
      <c r="AJ99" s="779"/>
      <c r="AK99" s="873" t="e">
        <f>'Ch41 Calc Data'!O17*100</f>
        <v>#DIV/0!</v>
      </c>
      <c r="AL99" s="779"/>
      <c r="AM99" s="873">
        <f>AM74*80</f>
        <v>0</v>
      </c>
      <c r="AN99" s="779"/>
      <c r="AO99" s="1656" t="e">
        <f>'Ch41 Calc Data'!O17*100</f>
        <v>#DIV/0!</v>
      </c>
      <c r="AQ99" s="1893" t="e">
        <f>AQ74*80</f>
        <v>#DIV/0!</v>
      </c>
      <c r="AS99" s="1893" t="e">
        <f>'Ch41 Calc Data'!P17*100</f>
        <v>#DIV/0!</v>
      </c>
      <c r="AU99" s="1893">
        <f>AU74*80</f>
        <v>0</v>
      </c>
      <c r="AW99" s="1902" t="e">
        <f>'Ch41 Calc Data'!P17*100</f>
        <v>#DIV/0!</v>
      </c>
      <c r="AY99" s="1516" t="e">
        <f>AY74*80</f>
        <v>#DIV/0!</v>
      </c>
      <c r="AZ99" s="1516"/>
      <c r="BA99" s="1516" t="e">
        <f>'Ch41 Calc Data'!Q17*100</f>
        <v>#DIV/0!</v>
      </c>
      <c r="BB99" s="1516"/>
      <c r="BC99" s="1516">
        <f>BC74*80</f>
        <v>0</v>
      </c>
      <c r="BD99" s="1516"/>
      <c r="BE99" s="1660" t="e">
        <f>'Ch41 Calc Data'!Q17*100</f>
        <v>#DIV/0!</v>
      </c>
      <c r="BG99" s="1915" t="e">
        <f>BG74*80</f>
        <v>#DIV/0!</v>
      </c>
      <c r="BH99" s="1915"/>
      <c r="BI99" s="1915" t="e">
        <f>'Ch41 Calc Data'!R17*100</f>
        <v>#DIV/0!</v>
      </c>
      <c r="BJ99" s="1915"/>
      <c r="BK99" s="1915">
        <f>BK74*80</f>
        <v>0</v>
      </c>
      <c r="BL99" s="1915"/>
      <c r="BM99" s="1923" t="e">
        <f>'Ch41 Calc Data'!R17*100</f>
        <v>#DIV/0!</v>
      </c>
      <c r="BO99" s="1512" t="e">
        <f>BO43*80</f>
        <v>#REF!</v>
      </c>
      <c r="BP99" s="1512" t="e">
        <f>'Ch41 Calc Data'!M20*100</f>
        <v>#REF!</v>
      </c>
      <c r="BQ99" s="1512">
        <f>BQ43*80</f>
        <v>0</v>
      </c>
      <c r="BR99" s="1512" t="e">
        <f>'Ch41 Calc Data'!M20*100</f>
        <v>#REF!</v>
      </c>
    </row>
    <row r="100" spans="2:70">
      <c r="B100" s="37" t="s">
        <v>8917</v>
      </c>
      <c r="C100" s="2392"/>
      <c r="D100" s="2392"/>
      <c r="E100" s="2392"/>
      <c r="F100" s="2392"/>
      <c r="G100" s="2392"/>
      <c r="H100" s="2392"/>
      <c r="I100" s="2393"/>
      <c r="J100" s="91" t="e">
        <f>IF(J98-J99&lt;=0,0,J98-J99)</f>
        <v>#DIV/0!</v>
      </c>
      <c r="Q100" s="1616"/>
      <c r="S100" s="743"/>
      <c r="T100" s="743"/>
      <c r="U100" s="743"/>
      <c r="V100" s="743"/>
      <c r="W100" s="743"/>
      <c r="X100" s="743"/>
      <c r="Y100" s="1091"/>
      <c r="AA100" s="1853"/>
      <c r="AB100" s="1853"/>
      <c r="AC100" s="1853"/>
      <c r="AD100" s="1853"/>
      <c r="AE100" s="1853"/>
      <c r="AF100" s="1853"/>
      <c r="AG100" s="1854"/>
      <c r="AH100" s="779"/>
      <c r="AI100" s="779"/>
      <c r="AJ100" s="779"/>
      <c r="AK100" s="779"/>
      <c r="AL100" s="779"/>
      <c r="AM100" s="779"/>
      <c r="AN100" s="779"/>
      <c r="AO100" s="1655"/>
      <c r="AW100" s="1873"/>
      <c r="AY100" s="1516"/>
      <c r="AZ100" s="1516"/>
      <c r="BA100" s="1516"/>
      <c r="BB100" s="1516"/>
      <c r="BC100" s="1516"/>
      <c r="BD100" s="1516"/>
      <c r="BE100" s="1660"/>
      <c r="BG100" s="1915"/>
      <c r="BH100" s="1915"/>
      <c r="BI100" s="1915"/>
      <c r="BJ100" s="1915"/>
      <c r="BK100" s="1915"/>
      <c r="BL100" s="1915"/>
      <c r="BM100" s="1923"/>
      <c r="BO100" s="1472"/>
      <c r="BP100" s="1472"/>
      <c r="BQ100" s="1422"/>
      <c r="BR100" s="1422"/>
    </row>
    <row r="101" spans="2:70">
      <c r="C101" s="2392"/>
      <c r="D101" s="2392"/>
      <c r="E101" s="2392">
        <f>IF('Data Entry - SOF'!C137=0,0,'Data Entry - SOF'!C136*(E79/'Data Entry - SOF'!C93))</f>
        <v>0</v>
      </c>
      <c r="F101" s="2392"/>
      <c r="G101" s="2392"/>
      <c r="H101" s="2392"/>
      <c r="I101" s="2393">
        <f>IF('Data Entry - SOF'!C137=0,0,IF(I72=0,0,'Data Entry - SOF'!C136*(I79/'Data Entry - SOF'!C93)))</f>
        <v>0</v>
      </c>
      <c r="M101" s="35" t="e">
        <f>IF('Data Entry - SOF'!#REF!=0,0,'Data Entry - SOF'!#REF!*(M79/'Data Entry - SOF'!#REF!))</f>
        <v>#REF!</v>
      </c>
      <c r="Q101" s="1616" t="e">
        <f>IF('Data Entry - SOF'!#REF!=0,0,IF(Q72=0,0,'Data Entry - SOF'!#REF!*(Q79/'Data Entry - SOF'!#REF!)))</f>
        <v>#REF!</v>
      </c>
      <c r="S101" s="743"/>
      <c r="T101" s="743"/>
      <c r="U101" s="743">
        <f>IF('Data Entry - SOF'!E137=0,0,'Data Entry - SOF'!E136*(U79/'Data Entry - SOF'!E93))</f>
        <v>0</v>
      </c>
      <c r="V101" s="743"/>
      <c r="W101" s="743"/>
      <c r="X101" s="743"/>
      <c r="Y101" s="1091">
        <f>IF('Data Entry - SOF'!E137=0,0,IF(Y72=0,0,'Data Entry - SOF'!E136*(Y79/'Data Entry - SOF'!E93)))</f>
        <v>0</v>
      </c>
      <c r="AA101" s="1853"/>
      <c r="AB101" s="1853"/>
      <c r="AC101" s="1853">
        <f>IF('Data Entry - SOF'!K137=0,0,'Data Entry - SOF'!K136*(AC79/'Data Entry - SOF'!K93))</f>
        <v>0</v>
      </c>
      <c r="AD101" s="1853"/>
      <c r="AE101" s="1853"/>
      <c r="AF101" s="1853"/>
      <c r="AG101" s="1854">
        <f>IF('Data Entry - SOF'!K137=0,0,IF(AG72=0,0,'Data Entry - SOF'!K136*(AG79/'Data Entry - SOF'!K93)))</f>
        <v>0</v>
      </c>
      <c r="AH101" s="779"/>
      <c r="AI101" s="779"/>
      <c r="AJ101" s="779"/>
      <c r="AK101" s="779">
        <f>IF('Data Entry - SOF'!M137=0,0,'Data Entry - SOF'!M136*(AK79/'Data Entry - SOF'!M93))</f>
        <v>0</v>
      </c>
      <c r="AL101" s="779"/>
      <c r="AM101" s="779"/>
      <c r="AN101" s="779"/>
      <c r="AO101" s="1655">
        <f>IF('Data Entry - SOF'!M137=0,0,IF(AO72=0,0,'Data Entry - SOF'!M136*(AO79/'Data Entry - SOF'!M93)))</f>
        <v>0</v>
      </c>
      <c r="AS101" s="1872">
        <f>IF('Data Entry - SOF'!O137=0,0,'Data Entry - SOF'!O136*(AS79/'Data Entry - SOF'!O93))</f>
        <v>0</v>
      </c>
      <c r="AW101" s="1873">
        <f>IF('Data Entry - SOF'!O137=0,0,IF(AW72=0,0,'Data Entry - SOF'!O136*(AW79/'Data Entry - SOF'!O93)))</f>
        <v>0</v>
      </c>
      <c r="AY101" s="1516"/>
      <c r="AZ101" s="1516"/>
      <c r="BA101" s="1516">
        <f>IF('Data Entry - SOF'!Q137=0,0,'Data Entry - SOF'!Q136*(BA79/'Data Entry - SOF'!Q93))</f>
        <v>0</v>
      </c>
      <c r="BB101" s="1516"/>
      <c r="BC101" s="1516"/>
      <c r="BD101" s="1516"/>
      <c r="BE101" s="1660">
        <f>IF('Data Entry - SOF'!Q137=0,0,IF(BE72=0,0,'Data Entry - SOF'!Q136*(BE79/'Data Entry - SOF'!Q93)))</f>
        <v>0</v>
      </c>
      <c r="BG101" s="1915"/>
      <c r="BH101" s="1915"/>
      <c r="BI101" s="1915">
        <f>IF('Data Entry - SOF'!S137=0,0,'Data Entry - SOF'!S136*(BI79/'Data Entry - SOF'!S93))</f>
        <v>0</v>
      </c>
      <c r="BJ101" s="1915"/>
      <c r="BK101" s="1915"/>
      <c r="BL101" s="1915"/>
      <c r="BM101" s="1923">
        <f>IF('Data Entry - SOF'!S137=0,0,IF(BM72=0,0,'Data Entry - SOF'!S136*(BM79/'Data Entry - SOF'!S93)))</f>
        <v>0</v>
      </c>
      <c r="BO101" s="1472"/>
      <c r="BP101" s="1472">
        <f>IF('Data Entry - SOF'!E137=0,0,'Data Entry - SOF'!E136*(BP42/BP41))</f>
        <v>0</v>
      </c>
      <c r="BQ101" s="1422"/>
      <c r="BR101" s="1422">
        <f>IF('Data Entry - SOF'!E137=0,0,IF(BR72=0,0,'Data Entry - SOF'!E136*(BR79/'Data Entry - SOF'!E93)))</f>
        <v>0</v>
      </c>
    </row>
    <row r="102" spans="2:70">
      <c r="I102" s="2070"/>
      <c r="Q102" s="1616"/>
      <c r="Y102" s="1093"/>
      <c r="AG102" s="1818"/>
      <c r="AO102" s="1642"/>
      <c r="AW102" s="1873"/>
      <c r="AY102" s="1516"/>
      <c r="AZ102" s="1516"/>
      <c r="BA102" s="1516"/>
      <c r="BB102" s="1516"/>
      <c r="BC102" s="1516"/>
      <c r="BD102" s="1516"/>
      <c r="BE102" s="1660"/>
      <c r="BG102" s="1915"/>
      <c r="BH102" s="1915"/>
      <c r="BI102" s="1915"/>
      <c r="BJ102" s="1915"/>
      <c r="BK102" s="1915"/>
      <c r="BL102" s="1915"/>
      <c r="BM102" s="1923"/>
      <c r="BO102" s="1422"/>
      <c r="BP102" s="1422"/>
      <c r="BQ102" s="1422"/>
      <c r="BR102" s="1422"/>
    </row>
    <row r="103" spans="2:70">
      <c r="B103" s="37" t="s">
        <v>6922</v>
      </c>
      <c r="I103" s="2070"/>
      <c r="Q103" s="1616"/>
      <c r="Y103" s="1093"/>
      <c r="AG103" s="1818"/>
      <c r="AO103" s="1642"/>
      <c r="AW103" s="1873"/>
      <c r="AY103" s="1516"/>
      <c r="AZ103" s="1516"/>
      <c r="BA103" s="1516"/>
      <c r="BB103" s="1516"/>
      <c r="BC103" s="1516"/>
      <c r="BD103" s="1516"/>
      <c r="BE103" s="1660"/>
      <c r="BG103" s="1915"/>
      <c r="BH103" s="1915"/>
      <c r="BI103" s="1915"/>
      <c r="BJ103" s="1915"/>
      <c r="BK103" s="1915"/>
      <c r="BL103" s="1915"/>
      <c r="BM103" s="1923"/>
      <c r="BO103" s="1422"/>
      <c r="BP103" s="1422"/>
      <c r="BQ103" s="1422"/>
      <c r="BR103" s="1422"/>
    </row>
    <row r="104" spans="2:70">
      <c r="B104" s="37" t="s">
        <v>8918</v>
      </c>
      <c r="J104" s="91" t="e">
        <f>AQ85+AU85</f>
        <v>#DIV/0!</v>
      </c>
    </row>
    <row r="105" spans="2:70">
      <c r="B105" s="37" t="s">
        <v>8919</v>
      </c>
      <c r="J105" s="91" t="e">
        <f>'Option Costs'!AQ85+'Option Costs'!AU85</f>
        <v>#DIV/0!</v>
      </c>
    </row>
    <row r="106" spans="2:70">
      <c r="B106" s="37" t="s">
        <v>8917</v>
      </c>
      <c r="J106" s="91" t="e">
        <f>IF(J104-J105&lt;=0,0,J104-J105)</f>
        <v>#DIV/0!</v>
      </c>
    </row>
    <row r="109" spans="2:70" hidden="1">
      <c r="K109" s="35" t="e">
        <f>K66*'Notice Calc1920'!G44</f>
        <v>#REF!</v>
      </c>
    </row>
    <row r="110" spans="2:70" hidden="1">
      <c r="K110" s="35" t="e">
        <f>K74</f>
        <v>#REF!</v>
      </c>
    </row>
    <row r="111" spans="2:70" hidden="1">
      <c r="K111" s="35" t="e">
        <f>IF(K110=0,0,IF(K109/K110&lt;3147,3147,K109/K110))</f>
        <v>#REF!</v>
      </c>
    </row>
    <row r="112" spans="2:70" hidden="1">
      <c r="K112" s="35" t="e">
        <f>IF(OR('Data Entry - SOF'!#REF!=0,K111=0),0,IF('Data Entry - SOF'!#REF!&gt;K111,(K111*'Data Entry - SOF'!#REF!)/K111,('Data Entry - SOF'!#REF!*'Data Entry - SOF'!#REF!)/K111))</f>
        <v>#REF!</v>
      </c>
    </row>
    <row r="113" spans="2:11" hidden="1">
      <c r="K113" s="35" t="e">
        <f>IF(OR('Data Entry - SOF'!#REF!=0,K111=0),0,IF(K111&lt;=0,0,'Report-SOF1718'!D51/K111))</f>
        <v>#REF!</v>
      </c>
    </row>
    <row r="114" spans="2:11" hidden="1">
      <c r="K114" s="35" t="e">
        <f>IF(K110-K112-K113&lt;0,0,K110-K112-K113)</f>
        <v>#REF!</v>
      </c>
    </row>
    <row r="115" spans="2:11" hidden="1">
      <c r="K115" s="35" t="e">
        <f>IF(K114=0,0,K114*K111)</f>
        <v>#REF!</v>
      </c>
    </row>
    <row r="116" spans="2:11" hidden="1"/>
    <row r="117" spans="2:11" hidden="1">
      <c r="K117" s="35" t="e">
        <f>IF(K126&gt;K127,K127,K126)</f>
        <v>#REF!</v>
      </c>
    </row>
    <row r="118" spans="2:11" hidden="1">
      <c r="K118" s="35" t="e">
        <f>'Data Entry - SOF'!#REF!*(K109/'Data Entry - SOF'!#REF!)</f>
        <v>#REF!</v>
      </c>
    </row>
    <row r="119" spans="2:11" hidden="1"/>
    <row r="120" spans="2:11" hidden="1">
      <c r="K120" s="35" t="e">
        <f>IF(K115-K117-K118&lt;0,0,K115-K117-K118)</f>
        <v>#REF!</v>
      </c>
    </row>
    <row r="121" spans="2:11" hidden="1"/>
    <row r="122" spans="2:11">
      <c r="B122" s="37" t="s">
        <v>6978</v>
      </c>
    </row>
    <row r="123" spans="2:11">
      <c r="B123" s="37" t="s">
        <v>8918</v>
      </c>
      <c r="J123" s="91" t="e">
        <f>AY85+BC85</f>
        <v>#DIV/0!</v>
      </c>
    </row>
    <row r="124" spans="2:11">
      <c r="B124" s="37" t="s">
        <v>8919</v>
      </c>
      <c r="J124" s="91" t="e">
        <f>'Option Costs'!AY85+'Option Costs'!BC85</f>
        <v>#DIV/0!</v>
      </c>
    </row>
    <row r="125" spans="2:11" hidden="1">
      <c r="B125" s="37" t="s">
        <v>8917</v>
      </c>
      <c r="J125" s="91" t="e">
        <f>IF(J123-J124&lt;=0,0,J123-J124)</f>
        <v>#DIV/0!</v>
      </c>
    </row>
    <row r="126" spans="2:11" hidden="1">
      <c r="K126" s="35" t="e">
        <f>K115*0.04</f>
        <v>#REF!</v>
      </c>
    </row>
    <row r="127" spans="2:11" hidden="1">
      <c r="K127" s="35" t="e">
        <f>K110*80</f>
        <v>#REF!</v>
      </c>
    </row>
    <row r="128" spans="2:11" hidden="1"/>
    <row r="129" spans="2:10">
      <c r="B129" s="37" t="s">
        <v>8917</v>
      </c>
      <c r="J129" s="91" t="e">
        <f>IF(J123-J124&lt;=0,0,J123-J124)</f>
        <v>#DIV/0!</v>
      </c>
    </row>
    <row r="131" spans="2:10">
      <c r="B131" s="37" t="s">
        <v>8160</v>
      </c>
    </row>
    <row r="132" spans="2:10">
      <c r="B132" s="37" t="s">
        <v>8918</v>
      </c>
      <c r="J132" s="91" t="e">
        <f>BG85+BK85</f>
        <v>#DIV/0!</v>
      </c>
    </row>
    <row r="133" spans="2:10">
      <c r="B133" s="37" t="s">
        <v>8919</v>
      </c>
      <c r="J133" s="91" t="e">
        <f>'Option Costs'!BG85+'Option Costs'!BK85</f>
        <v>#DIV/0!</v>
      </c>
    </row>
    <row r="134" spans="2:10">
      <c r="B134" s="37" t="s">
        <v>8917</v>
      </c>
      <c r="J134" s="91" t="e">
        <f>IF(J132-J133&lt;=0,0,J132-J133)</f>
        <v>#DIV/0!</v>
      </c>
    </row>
    <row r="138" spans="2:10">
      <c r="J138" s="91"/>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42578125" customWidth="1"/>
    <col min="3" max="3" width="12.85546875" style="399" customWidth="1"/>
    <col min="4" max="4" width="29.5703125" customWidth="1"/>
    <col min="5" max="5" width="23.42578125" customWidth="1"/>
  </cols>
  <sheetData>
    <row r="1" spans="1:5">
      <c r="A1" s="380" t="s">
        <v>2993</v>
      </c>
      <c r="B1" s="380"/>
      <c r="E1" s="754">
        <f>'Data Entry - SOF'!Q1</f>
        <v>0</v>
      </c>
    </row>
    <row r="2" spans="1:5">
      <c r="A2" s="380" t="s">
        <v>2994</v>
      </c>
      <c r="B2" s="380"/>
      <c r="E2" s="72">
        <f>'Data Entry - SOF'!Q2</f>
        <v>0</v>
      </c>
    </row>
    <row r="3" spans="1:5">
      <c r="A3" s="64"/>
      <c r="B3" s="64"/>
      <c r="E3" s="58">
        <f>'Data Entry - SOF'!Q3</f>
        <v>0</v>
      </c>
    </row>
    <row r="4" spans="1:5" ht="15.75">
      <c r="A4" s="381" t="s">
        <v>7004</v>
      </c>
      <c r="B4" s="381"/>
    </row>
    <row r="5" spans="1:5" ht="15.75">
      <c r="A5" s="383">
        <f>'Data Entry - SOF'!B1</f>
        <v>0</v>
      </c>
      <c r="B5" s="383"/>
    </row>
    <row r="6" spans="1:5" ht="15.75">
      <c r="A6" s="381">
        <f>'Data Entry - SOF'!B2</f>
        <v>0</v>
      </c>
      <c r="B6" s="381"/>
    </row>
    <row r="8" spans="1:5" ht="18">
      <c r="A8" s="529"/>
      <c r="B8" s="530"/>
      <c r="C8" s="531"/>
      <c r="D8" s="532" t="s">
        <v>2797</v>
      </c>
      <c r="E8" s="532" t="s">
        <v>2798</v>
      </c>
    </row>
    <row r="9" spans="1:5" ht="18">
      <c r="A9" s="526"/>
      <c r="B9" s="537" t="s">
        <v>2796</v>
      </c>
      <c r="C9" s="566" t="s">
        <v>2782</v>
      </c>
      <c r="D9" s="533" t="s">
        <v>2783</v>
      </c>
      <c r="E9" s="533" t="s">
        <v>2797</v>
      </c>
    </row>
    <row r="10" spans="1:5" ht="15">
      <c r="A10" s="385" t="s">
        <v>2186</v>
      </c>
      <c r="B10" s="386" t="s">
        <v>2784</v>
      </c>
      <c r="C10" s="401">
        <f>Weights!N10</f>
        <v>5</v>
      </c>
      <c r="D10" s="387">
        <f>'Data Entry - SOF'!Q23</f>
        <v>0</v>
      </c>
      <c r="E10" s="391">
        <f>D10*C10</f>
        <v>0</v>
      </c>
    </row>
    <row r="11" spans="1:5" ht="15">
      <c r="A11" s="385" t="s">
        <v>2187</v>
      </c>
      <c r="B11" s="386" t="s">
        <v>2785</v>
      </c>
      <c r="C11" s="401">
        <f>Weights!N11</f>
        <v>3</v>
      </c>
      <c r="D11" s="387">
        <f>'Data Entry - SOF'!Q24</f>
        <v>0</v>
      </c>
      <c r="E11" s="391">
        <f t="shared" ref="E11:E19" si="0">D11*C11</f>
        <v>0</v>
      </c>
    </row>
    <row r="12" spans="1:5" ht="15">
      <c r="A12" s="385" t="s">
        <v>2188</v>
      </c>
      <c r="B12" s="386" t="s">
        <v>2786</v>
      </c>
      <c r="C12" s="401">
        <f>Weights!N12</f>
        <v>5</v>
      </c>
      <c r="D12" s="387">
        <f>'Data Entry - SOF'!Q25</f>
        <v>0</v>
      </c>
      <c r="E12" s="391">
        <f t="shared" si="0"/>
        <v>0</v>
      </c>
    </row>
    <row r="13" spans="1:5" ht="15">
      <c r="A13" s="385" t="s">
        <v>909</v>
      </c>
      <c r="B13" s="386" t="s">
        <v>2787</v>
      </c>
      <c r="C13" s="401">
        <f>Weights!N13</f>
        <v>3</v>
      </c>
      <c r="D13" s="387">
        <f>'Data Entry - SOF'!Q26</f>
        <v>0</v>
      </c>
      <c r="E13" s="391">
        <f t="shared" si="0"/>
        <v>0</v>
      </c>
    </row>
    <row r="14" spans="1:5" ht="15">
      <c r="A14" s="418"/>
      <c r="B14" s="402" t="s">
        <v>2788</v>
      </c>
      <c r="C14" s="397"/>
      <c r="D14" s="403"/>
      <c r="E14" s="406"/>
    </row>
    <row r="15" spans="1:5" ht="15">
      <c r="A15" s="551" t="s">
        <v>910</v>
      </c>
      <c r="B15" s="404" t="s">
        <v>2789</v>
      </c>
      <c r="C15" s="398">
        <f>Weights!N14</f>
        <v>3</v>
      </c>
      <c r="D15" s="405">
        <f>'Data Entry - SOF'!Q27</f>
        <v>0</v>
      </c>
      <c r="E15" s="405">
        <f t="shared" si="0"/>
        <v>0</v>
      </c>
    </row>
    <row r="16" spans="1:5" ht="15">
      <c r="A16" s="385" t="s">
        <v>912</v>
      </c>
      <c r="B16" s="386" t="s">
        <v>2790</v>
      </c>
      <c r="C16" s="401">
        <f>Weights!N15</f>
        <v>2.7</v>
      </c>
      <c r="D16" s="391">
        <f>'Data Entry - SOF'!Q28</f>
        <v>0</v>
      </c>
      <c r="E16" s="391">
        <f t="shared" si="0"/>
        <v>0</v>
      </c>
    </row>
    <row r="17" spans="1:5" ht="15">
      <c r="A17" s="385" t="s">
        <v>913</v>
      </c>
      <c r="B17" s="386" t="s">
        <v>2791</v>
      </c>
      <c r="C17" s="401">
        <f>Weights!N16</f>
        <v>2.2999999999999998</v>
      </c>
      <c r="D17" s="391">
        <f>'Data Entry - SOF'!Q29</f>
        <v>0</v>
      </c>
      <c r="E17" s="391">
        <f t="shared" si="0"/>
        <v>0</v>
      </c>
    </row>
    <row r="18" spans="1:5" ht="15">
      <c r="A18" s="385" t="s">
        <v>914</v>
      </c>
      <c r="B18" s="386" t="s">
        <v>2792</v>
      </c>
      <c r="C18" s="401">
        <f>Weights!N17</f>
        <v>2.8</v>
      </c>
      <c r="D18" s="391">
        <f>'Data Entry - SOF'!Q30</f>
        <v>0</v>
      </c>
      <c r="E18" s="391">
        <f t="shared" si="0"/>
        <v>0</v>
      </c>
    </row>
    <row r="19" spans="1:5" ht="15">
      <c r="A19" s="385" t="s">
        <v>118</v>
      </c>
      <c r="B19" s="386" t="s">
        <v>2793</v>
      </c>
      <c r="C19" s="401">
        <f>Weights!N19</f>
        <v>4</v>
      </c>
      <c r="D19" s="391">
        <f>'Data Entry - SOF'!Q32</f>
        <v>0</v>
      </c>
      <c r="E19" s="391">
        <f t="shared" si="0"/>
        <v>0</v>
      </c>
    </row>
    <row r="20" spans="1:5" ht="15.75">
      <c r="A20" s="385" t="s">
        <v>119</v>
      </c>
      <c r="B20" s="386" t="s">
        <v>2799</v>
      </c>
      <c r="C20" s="401" t="s">
        <v>1775</v>
      </c>
      <c r="D20" s="391">
        <f>'Calc Data'!I8</f>
        <v>0</v>
      </c>
      <c r="E20" s="401" t="s">
        <v>1775</v>
      </c>
    </row>
    <row r="21" spans="1:5" ht="15">
      <c r="A21" s="385" t="s">
        <v>120</v>
      </c>
      <c r="B21" s="386" t="s">
        <v>2794</v>
      </c>
      <c r="C21" s="401" t="s">
        <v>1775</v>
      </c>
      <c r="D21" s="401" t="s">
        <v>1775</v>
      </c>
      <c r="E21" s="391">
        <f>SUM(E10:E19)</f>
        <v>0</v>
      </c>
    </row>
    <row r="22" spans="1:5" ht="15">
      <c r="A22" s="385" t="s">
        <v>121</v>
      </c>
      <c r="B22" s="386" t="s">
        <v>2795</v>
      </c>
      <c r="C22" s="401">
        <f>Weights!N18</f>
        <v>1.7</v>
      </c>
      <c r="D22" s="391">
        <f>'Data Entry - SOF'!Q31</f>
        <v>0</v>
      </c>
      <c r="E22" s="401" t="s">
        <v>1775</v>
      </c>
    </row>
    <row r="23" spans="1:5" ht="15">
      <c r="A23" s="385" t="s">
        <v>1513</v>
      </c>
      <c r="B23" s="386" t="s">
        <v>538</v>
      </c>
      <c r="C23" s="401">
        <f>Weights!N21</f>
        <v>1.1000000000000001</v>
      </c>
      <c r="D23" s="391">
        <f>'Data Entry - SOF'!Q34</f>
        <v>0</v>
      </c>
      <c r="E23" s="401" t="s">
        <v>1775</v>
      </c>
    </row>
    <row r="24" spans="1:5" s="382" customFormat="1" ht="15.75">
      <c r="C24" s="477" t="s">
        <v>2978</v>
      </c>
      <c r="D24" s="1433" t="s">
        <v>7053</v>
      </c>
    </row>
    <row r="25" spans="1:5" s="382" customFormat="1" ht="15">
      <c r="C25" s="475"/>
      <c r="D25"/>
    </row>
    <row r="27" spans="1:5" ht="15">
      <c r="A27" s="407" t="s">
        <v>3113</v>
      </c>
    </row>
  </sheetData>
  <hyperlinks>
    <hyperlink ref="D24" location="'Report-SOF2223'!A1" display="'Report-SOF2223'!A1"/>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85546875" customWidth="1"/>
    <col min="2" max="2" width="83.140625" customWidth="1"/>
    <col min="3" max="3" width="24" customWidth="1"/>
  </cols>
  <sheetData>
    <row r="1" spans="1:3">
      <c r="A1" s="380" t="s">
        <v>2993</v>
      </c>
      <c r="C1" s="754" t="str">
        <f>'Report-SpEd1920'!E1</f>
        <v>Release 10</v>
      </c>
    </row>
    <row r="2" spans="1:3">
      <c r="A2" s="380" t="s">
        <v>2994</v>
      </c>
      <c r="C2" s="72">
        <f>'Report-SpEd1920'!E2</f>
        <v>43724</v>
      </c>
    </row>
    <row r="3" spans="1:3">
      <c r="A3" s="64"/>
      <c r="C3" s="58">
        <f>'Report-SpEd1920'!E3</f>
        <v>0</v>
      </c>
    </row>
    <row r="4" spans="1:3" ht="15.75">
      <c r="A4" s="381" t="s">
        <v>7005</v>
      </c>
    </row>
    <row r="5" spans="1:3" ht="15.75">
      <c r="A5" s="383">
        <f>'Data Entry - SOF'!B1</f>
        <v>0</v>
      </c>
    </row>
    <row r="6" spans="1:3" ht="15.75">
      <c r="A6" s="381">
        <f>'Data Entry - SOF'!B2</f>
        <v>0</v>
      </c>
    </row>
    <row r="7" spans="1:3" ht="15.75">
      <c r="A7" s="381"/>
    </row>
    <row r="9" spans="1:3" ht="18">
      <c r="A9" s="534"/>
      <c r="B9" s="535"/>
      <c r="C9" s="532" t="s">
        <v>2715</v>
      </c>
    </row>
    <row r="10" spans="1:3" ht="18">
      <c r="A10" s="557" t="s">
        <v>2800</v>
      </c>
      <c r="B10" s="537"/>
      <c r="C10" s="533" t="s">
        <v>2805</v>
      </c>
    </row>
    <row r="11" spans="1:3" ht="15">
      <c r="A11" s="400" t="s">
        <v>2186</v>
      </c>
      <c r="B11" s="386" t="s">
        <v>7006</v>
      </c>
      <c r="C11" s="390">
        <f>'Data Entry - SOF'!Q93</f>
        <v>0</v>
      </c>
    </row>
    <row r="12" spans="1:3" ht="15">
      <c r="A12" s="400" t="s">
        <v>2187</v>
      </c>
      <c r="B12" s="386" t="s">
        <v>7007</v>
      </c>
      <c r="C12" s="390">
        <f>'IFA-OldLaw'!AC79</f>
        <v>0</v>
      </c>
    </row>
    <row r="13" spans="1:3" ht="15">
      <c r="A13" s="400" t="s">
        <v>2188</v>
      </c>
      <c r="B13" s="386" t="s">
        <v>7008</v>
      </c>
      <c r="C13" s="496" t="s">
        <v>3028</v>
      </c>
    </row>
    <row r="14" spans="1:3" ht="15.75">
      <c r="A14" s="400" t="s">
        <v>909</v>
      </c>
      <c r="B14" s="384" t="s">
        <v>7009</v>
      </c>
      <c r="C14" s="395">
        <f>'Calc Data'!I47</f>
        <v>0</v>
      </c>
    </row>
    <row r="15" spans="1:3" ht="15">
      <c r="A15" s="400" t="s">
        <v>910</v>
      </c>
      <c r="B15" s="386" t="s">
        <v>6981</v>
      </c>
      <c r="C15" s="408">
        <f>'Data Entry - SOF'!Q92</f>
        <v>1.17</v>
      </c>
    </row>
    <row r="16" spans="1:3" ht="15">
      <c r="A16" s="400" t="s">
        <v>912</v>
      </c>
      <c r="B16" s="386" t="s">
        <v>2801</v>
      </c>
      <c r="C16" s="390">
        <f>'Calc Data'!I29</f>
        <v>0</v>
      </c>
    </row>
    <row r="17" spans="1:3" ht="15">
      <c r="A17" s="400" t="s">
        <v>913</v>
      </c>
      <c r="B17" s="386" t="s">
        <v>2724</v>
      </c>
      <c r="C17" s="408">
        <f>'Data Entry - SOF'!C161</f>
        <v>0</v>
      </c>
    </row>
    <row r="18" spans="1:3" ht="15">
      <c r="A18" s="400" t="s">
        <v>914</v>
      </c>
      <c r="B18" s="386" t="s">
        <v>2809</v>
      </c>
      <c r="C18" s="390">
        <f>'Calc Data'!AY32</f>
        <v>0</v>
      </c>
    </row>
    <row r="19" spans="1:3" ht="15">
      <c r="A19" s="400" t="s">
        <v>118</v>
      </c>
      <c r="B19" s="386" t="s">
        <v>2802</v>
      </c>
      <c r="C19" s="408" t="e">
        <f>'Calc Data'!I35</f>
        <v>#DIV/0!</v>
      </c>
    </row>
    <row r="20" spans="1:3" ht="15">
      <c r="A20" s="400" t="s">
        <v>119</v>
      </c>
      <c r="B20" s="386" t="s">
        <v>2803</v>
      </c>
      <c r="C20" s="390">
        <f>'Calc Data'!I34</f>
        <v>0</v>
      </c>
    </row>
    <row r="21" spans="1:3" ht="15">
      <c r="A21" s="400" t="s">
        <v>120</v>
      </c>
      <c r="B21" s="386" t="s">
        <v>2804</v>
      </c>
      <c r="C21" s="390">
        <f>'Calc Data'!AY31</f>
        <v>0</v>
      </c>
    </row>
    <row r="22" spans="1:3" ht="15">
      <c r="A22" s="400" t="s">
        <v>121</v>
      </c>
      <c r="B22" s="386" t="s">
        <v>2808</v>
      </c>
      <c r="C22" s="408" t="e">
        <f>'Calc Data'!I38</f>
        <v>#DIV/0!</v>
      </c>
    </row>
    <row r="23" spans="1:3" s="382" customFormat="1" ht="15.75">
      <c r="B23" s="477" t="s">
        <v>2978</v>
      </c>
      <c r="C23" s="1433" t="s">
        <v>7053</v>
      </c>
    </row>
    <row r="26" spans="1:3" ht="15.75">
      <c r="B26" s="325" t="s">
        <v>3030</v>
      </c>
    </row>
    <row r="27" spans="1:3" ht="15.75">
      <c r="B27" s="325" t="s">
        <v>3029</v>
      </c>
    </row>
  </sheetData>
  <hyperlinks>
    <hyperlink ref="C23" location="'Report-SOF2223'!A1" display="'Report-SOF2223'!A1"/>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5703125" customWidth="1"/>
    <col min="4" max="4" width="23" customWidth="1"/>
  </cols>
  <sheetData>
    <row r="1" spans="1:4">
      <c r="A1" s="380" t="s">
        <v>2993</v>
      </c>
      <c r="D1" s="754" t="str">
        <f>'Report-M&amp;O1920'!C1</f>
        <v>Release 10</v>
      </c>
    </row>
    <row r="2" spans="1:4">
      <c r="A2" s="380" t="s">
        <v>2994</v>
      </c>
      <c r="D2" s="72">
        <f>'Report-M&amp;O1920'!C2</f>
        <v>43724</v>
      </c>
    </row>
    <row r="3" spans="1:4">
      <c r="A3" s="64"/>
      <c r="D3" s="58">
        <f>'Report-M&amp;O1920'!C3</f>
        <v>0</v>
      </c>
    </row>
    <row r="4" spans="1:4" ht="15.75">
      <c r="A4" s="381" t="s">
        <v>7010</v>
      </c>
    </row>
    <row r="5" spans="1:4" ht="15.75">
      <c r="A5" s="383">
        <f>'Data Entry - SOF'!B1</f>
        <v>0</v>
      </c>
    </row>
    <row r="6" spans="1:4" ht="15.75">
      <c r="A6" s="381">
        <f>'Data Entry - SOF'!B2</f>
        <v>0</v>
      </c>
    </row>
    <row r="9" spans="1:4" ht="18">
      <c r="A9" s="266"/>
      <c r="B9" s="409" t="s">
        <v>939</v>
      </c>
      <c r="C9" s="410">
        <f>'Data Entry - SOF'!Q156</f>
        <v>0</v>
      </c>
      <c r="D9" s="266"/>
    </row>
    <row r="10" spans="1:4" ht="18">
      <c r="A10" s="266"/>
      <c r="B10" s="409" t="s">
        <v>2810</v>
      </c>
      <c r="C10" s="409" t="str">
        <f>'Data Entry - SOF'!Q221</f>
        <v>No</v>
      </c>
      <c r="D10" s="266"/>
    </row>
    <row r="11" spans="1:4" ht="18">
      <c r="A11" s="266"/>
      <c r="B11" s="409" t="s">
        <v>2811</v>
      </c>
      <c r="C11" s="409" t="str">
        <f>'Data Entry - SOF'!Q222</f>
        <v>No</v>
      </c>
      <c r="D11" s="266"/>
    </row>
    <row r="12" spans="1:4" ht="18">
      <c r="A12" s="266"/>
      <c r="B12" s="409"/>
      <c r="C12" s="409"/>
      <c r="D12" s="266"/>
    </row>
    <row r="13" spans="1:4" ht="18">
      <c r="A13" s="529"/>
      <c r="B13" s="524"/>
      <c r="C13" s="525"/>
      <c r="D13" s="532" t="s">
        <v>2818</v>
      </c>
    </row>
    <row r="14" spans="1:4" ht="18">
      <c r="A14" s="552" t="s">
        <v>2812</v>
      </c>
      <c r="B14" s="537"/>
      <c r="C14" s="528"/>
      <c r="D14" s="533" t="s">
        <v>2805</v>
      </c>
    </row>
    <row r="15" spans="1:4" ht="15">
      <c r="A15" s="385" t="s">
        <v>2186</v>
      </c>
      <c r="B15" s="386" t="s">
        <v>2813</v>
      </c>
      <c r="C15" s="386"/>
      <c r="D15" s="390">
        <f>'Calc Data'!AY19</f>
        <v>5140</v>
      </c>
    </row>
    <row r="16" spans="1:4" ht="15">
      <c r="A16" s="385" t="s">
        <v>2187</v>
      </c>
      <c r="B16" s="386" t="s">
        <v>2814</v>
      </c>
      <c r="C16" s="386"/>
      <c r="D16" s="390">
        <f>'Calc Data'!AY20</f>
        <v>1491</v>
      </c>
    </row>
    <row r="17" spans="1:4" ht="15">
      <c r="A17" s="385" t="s">
        <v>2188</v>
      </c>
      <c r="B17" s="386" t="s">
        <v>2815</v>
      </c>
      <c r="C17" s="386"/>
      <c r="D17" s="411" t="str">
        <f>'Calc Data'!I49</f>
        <v>N/A</v>
      </c>
    </row>
    <row r="18" spans="1:4" ht="15">
      <c r="A18" s="385" t="s">
        <v>909</v>
      </c>
      <c r="B18" s="386" t="s">
        <v>2816</v>
      </c>
      <c r="C18" s="386"/>
      <c r="D18" s="483" t="str">
        <f>'Calc Data'!I50</f>
        <v>N/A</v>
      </c>
    </row>
    <row r="19" spans="1:4" ht="15">
      <c r="A19" s="385" t="s">
        <v>910</v>
      </c>
      <c r="B19" s="386" t="s">
        <v>2817</v>
      </c>
      <c r="C19" s="386"/>
      <c r="D19" s="390">
        <f>'Calc Data'!AY23</f>
        <v>2386</v>
      </c>
    </row>
    <row r="20" spans="1:4" s="382" customFormat="1" ht="15.75">
      <c r="B20" s="477" t="s">
        <v>2978</v>
      </c>
      <c r="D20" s="1433" t="s">
        <v>7053</v>
      </c>
    </row>
  </sheetData>
  <hyperlinks>
    <hyperlink ref="D20" location="'Report-SOF2223'!A1" display="'Report-SOF2223'!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2578125" customWidth="1"/>
    <col min="2" max="2" width="19.85546875" customWidth="1"/>
    <col min="3" max="3" width="24.42578125" customWidth="1"/>
    <col min="4" max="4" width="26.5703125" customWidth="1"/>
  </cols>
  <sheetData>
    <row r="1" spans="1:4">
      <c r="A1" s="380" t="s">
        <v>2993</v>
      </c>
      <c r="D1" s="754" t="str">
        <f>'Report-AA1920'!D1</f>
        <v>Release 10</v>
      </c>
    </row>
    <row r="2" spans="1:4">
      <c r="A2" s="380" t="s">
        <v>2994</v>
      </c>
      <c r="D2" s="72">
        <f>'Report-AA1920'!D2</f>
        <v>43724</v>
      </c>
    </row>
    <row r="3" spans="1:4">
      <c r="A3" s="64"/>
      <c r="D3" s="58">
        <f>'Report-AA1920'!D3</f>
        <v>0</v>
      </c>
    </row>
    <row r="4" spans="1:4" ht="15.75">
      <c r="A4" s="381" t="s">
        <v>7011</v>
      </c>
    </row>
    <row r="5" spans="1:4" ht="15.75">
      <c r="A5" s="383">
        <f>'Data Entry - SOF'!B1</f>
        <v>0</v>
      </c>
    </row>
    <row r="6" spans="1:4" ht="15.75">
      <c r="A6" s="381">
        <f>'Data Entry - SOF'!B2</f>
        <v>0</v>
      </c>
    </row>
    <row r="8" spans="1:4" ht="18">
      <c r="A8" s="539"/>
      <c r="B8" s="540"/>
      <c r="C8" s="532" t="s">
        <v>2829</v>
      </c>
      <c r="D8" s="541"/>
    </row>
    <row r="9" spans="1:4" ht="18">
      <c r="A9" s="533" t="s">
        <v>2819</v>
      </c>
      <c r="B9" s="542" t="s">
        <v>2782</v>
      </c>
      <c r="C9" s="533" t="s">
        <v>2830</v>
      </c>
      <c r="D9" s="537" t="s">
        <v>2820</v>
      </c>
    </row>
    <row r="10" spans="1:4" s="382" customFormat="1" ht="15.75">
      <c r="A10" s="596" t="s">
        <v>2821</v>
      </c>
      <c r="B10" s="543"/>
      <c r="C10" s="543"/>
      <c r="D10" s="544"/>
    </row>
    <row r="11" spans="1:4" s="382" customFormat="1" ht="15">
      <c r="A11" s="386" t="s">
        <v>2823</v>
      </c>
      <c r="B11" s="389">
        <f>Weights!N4</f>
        <v>1</v>
      </c>
      <c r="C11" s="391">
        <f>'Calc Data'!I10</f>
        <v>0</v>
      </c>
      <c r="D11" s="390">
        <f>'SOF2223-SB1'!H20</f>
        <v>0</v>
      </c>
    </row>
    <row r="12" spans="1:4" s="382" customFormat="1" ht="15.75">
      <c r="A12" s="596" t="s">
        <v>2822</v>
      </c>
      <c r="B12" s="543"/>
      <c r="C12" s="543"/>
      <c r="D12" s="544"/>
    </row>
    <row r="13" spans="1:4" s="382" customFormat="1" ht="15">
      <c r="A13" s="386" t="s">
        <v>2710</v>
      </c>
      <c r="B13" s="411" t="s">
        <v>1775</v>
      </c>
      <c r="C13" s="391">
        <f>'Calc Data'!I8</f>
        <v>0</v>
      </c>
      <c r="D13" s="390">
        <f>'SOF2223-SB1'!H21</f>
        <v>0</v>
      </c>
    </row>
    <row r="14" spans="1:4" s="382" customFormat="1" ht="15">
      <c r="A14" s="386" t="s">
        <v>2824</v>
      </c>
      <c r="B14" s="414">
        <f>Weights!N21</f>
        <v>1.1000000000000001</v>
      </c>
      <c r="C14" s="391">
        <f>'Data Entry - SOF'!Q34</f>
        <v>0</v>
      </c>
      <c r="D14" s="390">
        <f>'SOF2223-SB1'!H23</f>
        <v>0</v>
      </c>
    </row>
    <row r="15" spans="1:4" s="382" customFormat="1" ht="15">
      <c r="A15" s="386" t="s">
        <v>2825</v>
      </c>
      <c r="B15" s="414">
        <f>Weights!N19</f>
        <v>4</v>
      </c>
      <c r="C15" s="391">
        <f>'Data Entry - SOF'!Q32</f>
        <v>0</v>
      </c>
      <c r="D15" s="390">
        <f>'SOF2223-SB1'!H24</f>
        <v>0</v>
      </c>
    </row>
    <row r="16" spans="1:4" s="382" customFormat="1" ht="15">
      <c r="A16" s="386" t="s">
        <v>2792</v>
      </c>
      <c r="B16" s="414">
        <f>Weights!N17</f>
        <v>2.8</v>
      </c>
      <c r="C16" s="391">
        <f>'Data Entry - SOF'!Q30</f>
        <v>0</v>
      </c>
      <c r="D16" s="390">
        <f>'SOF2223-SB1'!H25</f>
        <v>0</v>
      </c>
    </row>
    <row r="17" spans="1:4" s="382" customFormat="1" ht="15">
      <c r="A17" s="386" t="s">
        <v>2795</v>
      </c>
      <c r="B17" s="414">
        <f>Weights!N18</f>
        <v>1.7</v>
      </c>
      <c r="C17" s="391">
        <f>'Data Entry - SOF'!Q31</f>
        <v>0</v>
      </c>
      <c r="D17" s="390">
        <f>'SOF2223-SB1'!H26</f>
        <v>0</v>
      </c>
    </row>
    <row r="18" spans="1:4" s="382" customFormat="1" ht="15">
      <c r="A18" s="402" t="s">
        <v>2826</v>
      </c>
      <c r="B18" s="402"/>
      <c r="C18" s="402"/>
      <c r="D18" s="413"/>
    </row>
    <row r="19" spans="1:4" s="382" customFormat="1" ht="15">
      <c r="A19" s="404" t="s">
        <v>2827</v>
      </c>
      <c r="B19" s="416" t="s">
        <v>1775</v>
      </c>
      <c r="C19" s="416" t="s">
        <v>1775</v>
      </c>
      <c r="D19" s="415">
        <f>'SOF2223-SB1'!H27</f>
        <v>0</v>
      </c>
    </row>
    <row r="20" spans="1:4" s="382" customFormat="1" ht="15">
      <c r="A20" s="386" t="s">
        <v>2828</v>
      </c>
      <c r="B20" s="411" t="s">
        <v>1775</v>
      </c>
      <c r="C20" s="411" t="s">
        <v>1775</v>
      </c>
      <c r="D20" s="390">
        <f>'SOF2223-SB1'!H131</f>
        <v>0</v>
      </c>
    </row>
    <row r="21" spans="1:4" s="382" customFormat="1" ht="15.75">
      <c r="A21" s="596" t="s">
        <v>2831</v>
      </c>
      <c r="B21" s="543"/>
      <c r="C21" s="543"/>
      <c r="D21" s="544"/>
    </row>
    <row r="22" spans="1:4" ht="15">
      <c r="A22" s="386" t="s">
        <v>2832</v>
      </c>
      <c r="B22" s="417">
        <f>Weights!N23</f>
        <v>1.35</v>
      </c>
      <c r="C22" s="391">
        <f>'Data Entry - SOF'!Q35</f>
        <v>0</v>
      </c>
      <c r="D22" s="390">
        <f>'SOF2223-SB1'!H28</f>
        <v>0</v>
      </c>
    </row>
    <row r="23" spans="1:4" ht="15">
      <c r="A23" s="386" t="s">
        <v>2833</v>
      </c>
      <c r="B23" s="390">
        <f>Weights!N24</f>
        <v>50</v>
      </c>
      <c r="C23" s="391">
        <f>'Data Entry - SOF'!Q37</f>
        <v>0</v>
      </c>
      <c r="D23" s="390">
        <f>'SOF2223-SB1'!H29</f>
        <v>0</v>
      </c>
    </row>
    <row r="24" spans="1:4" ht="15">
      <c r="A24" s="386" t="s">
        <v>2834</v>
      </c>
      <c r="B24" s="411" t="s">
        <v>1775</v>
      </c>
      <c r="C24" s="411" t="s">
        <v>1775</v>
      </c>
      <c r="D24" s="390">
        <f>'SOF2223-SB1'!H132</f>
        <v>0</v>
      </c>
    </row>
    <row r="25" spans="1:4" s="382" customFormat="1" ht="15.75">
      <c r="A25" s="596" t="s">
        <v>2835</v>
      </c>
      <c r="B25" s="543"/>
      <c r="C25" s="543"/>
      <c r="D25" s="544"/>
    </row>
    <row r="26" spans="1:4" ht="15">
      <c r="A26" s="386" t="s">
        <v>2836</v>
      </c>
      <c r="B26" s="417">
        <f>Weights!N28</f>
        <v>0.12</v>
      </c>
      <c r="C26" s="391">
        <f>'Data Entry - SOF'!Q60</f>
        <v>0</v>
      </c>
      <c r="D26" s="390">
        <f>'SOF2223-SB1'!H32</f>
        <v>0</v>
      </c>
    </row>
    <row r="27" spans="1:4" ht="15">
      <c r="A27" s="386" t="s">
        <v>2837</v>
      </c>
      <c r="B27" s="411" t="s">
        <v>1775</v>
      </c>
      <c r="C27" s="411" t="s">
        <v>1775</v>
      </c>
      <c r="D27" s="390">
        <f>'SOF2223-SB1'!H33</f>
        <v>0</v>
      </c>
    </row>
    <row r="28" spans="1:4" ht="15">
      <c r="A28" s="386" t="s">
        <v>2838</v>
      </c>
      <c r="B28" s="411" t="s">
        <v>1775</v>
      </c>
      <c r="C28" s="411" t="s">
        <v>1775</v>
      </c>
      <c r="D28" s="390">
        <f>'SOF2223-SB1'!H133</f>
        <v>0</v>
      </c>
    </row>
    <row r="29" spans="1:4" s="382" customFormat="1" ht="15.75">
      <c r="A29" s="596" t="s">
        <v>2839</v>
      </c>
      <c r="B29" s="543"/>
      <c r="C29" s="543"/>
      <c r="D29" s="544"/>
    </row>
    <row r="30" spans="1:4" ht="15">
      <c r="A30" s="386" t="s">
        <v>2840</v>
      </c>
      <c r="B30" s="417">
        <f>Weights!N30</f>
        <v>0.2</v>
      </c>
      <c r="C30" s="391">
        <f>'Data Entry - SOF'!Q41</f>
        <v>0</v>
      </c>
      <c r="D30" s="390">
        <f>'SOF2223-SB1'!H34</f>
        <v>0</v>
      </c>
    </row>
    <row r="31" spans="1:4" ht="15">
      <c r="A31" s="386" t="s">
        <v>3040</v>
      </c>
      <c r="B31" s="417">
        <f>Weights!N31</f>
        <v>2.41</v>
      </c>
      <c r="C31" s="391">
        <f>'Data Entry - SOF'!Q49</f>
        <v>0</v>
      </c>
      <c r="D31" s="390">
        <f>'SOF2223-SB1'!H35</f>
        <v>0</v>
      </c>
    </row>
    <row r="32" spans="1:4" ht="15">
      <c r="A32" s="386" t="s">
        <v>3041</v>
      </c>
      <c r="B32" s="411" t="s">
        <v>1775</v>
      </c>
      <c r="C32" s="411" t="s">
        <v>1775</v>
      </c>
      <c r="D32" s="390">
        <f>'SOF2223-SB1'!H134</f>
        <v>0</v>
      </c>
    </row>
    <row r="33" spans="1:4" s="382" customFormat="1" ht="15.75">
      <c r="A33" s="596" t="s">
        <v>2841</v>
      </c>
      <c r="B33" s="543"/>
      <c r="C33" s="543"/>
      <c r="D33" s="544"/>
    </row>
    <row r="34" spans="1:4" s="382" customFormat="1" ht="15">
      <c r="A34" s="386" t="s">
        <v>2435</v>
      </c>
      <c r="B34" s="390">
        <f>Weights!N33</f>
        <v>275</v>
      </c>
      <c r="C34" s="391">
        <f>'Data Entry - SOF'!Q21</f>
        <v>0</v>
      </c>
      <c r="D34" s="390">
        <f>'SOF2223-SB1'!H39</f>
        <v>0</v>
      </c>
    </row>
    <row r="35" spans="1:4" s="382" customFormat="1" ht="15.75">
      <c r="A35" s="596" t="s">
        <v>2844</v>
      </c>
      <c r="B35" s="543"/>
      <c r="C35" s="543"/>
      <c r="D35" s="544"/>
    </row>
    <row r="36" spans="1:4" s="382" customFormat="1" ht="15">
      <c r="A36" s="386" t="s">
        <v>2842</v>
      </c>
      <c r="B36" s="417">
        <f>Weights!N26</f>
        <v>0.1</v>
      </c>
      <c r="C36" s="391">
        <f>'Data Entry - SOF'!Q51</f>
        <v>0</v>
      </c>
      <c r="D36" s="390">
        <f>'SOF2223-SB1'!H38</f>
        <v>0</v>
      </c>
    </row>
    <row r="37" spans="1:4" s="382" customFormat="1" ht="15.75">
      <c r="A37" s="596" t="s">
        <v>2843</v>
      </c>
      <c r="B37" s="543"/>
      <c r="C37" s="543"/>
      <c r="D37" s="544"/>
    </row>
    <row r="38" spans="1:4" s="382" customFormat="1" ht="15">
      <c r="A38" s="386" t="s">
        <v>2845</v>
      </c>
      <c r="B38" s="417">
        <f>Weights!N37</f>
        <v>0.1</v>
      </c>
      <c r="C38" s="391">
        <f>'Data Entry - SOF'!Q61</f>
        <v>0</v>
      </c>
      <c r="D38" s="390">
        <f>'SOF2223-SB1'!H40</f>
        <v>0</v>
      </c>
    </row>
    <row r="39" spans="1:4" s="382" customFormat="1" ht="15.75">
      <c r="C39" s="477" t="s">
        <v>2979</v>
      </c>
      <c r="D39" s="1306" t="s">
        <v>6873</v>
      </c>
    </row>
    <row r="41" spans="1:4" ht="15">
      <c r="D41" s="382"/>
    </row>
    <row r="42" spans="1:4" s="382" customFormat="1" ht="15.75">
      <c r="A42" s="325" t="s">
        <v>3116</v>
      </c>
    </row>
    <row r="43" spans="1:4" s="382" customFormat="1" ht="15.75">
      <c r="A43" s="325" t="s">
        <v>4032</v>
      </c>
    </row>
    <row r="44" spans="1:4" s="382" customFormat="1" ht="15.75">
      <c r="A44" s="325"/>
    </row>
    <row r="45" spans="1:4" s="382" customFormat="1" ht="15"/>
    <row r="46" spans="1:4" s="382" customFormat="1" ht="15">
      <c r="D46"/>
    </row>
  </sheetData>
  <hyperlinks>
    <hyperlink ref="D39"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85546875" customWidth="1"/>
    <col min="2" max="2" width="62.5703125" customWidth="1"/>
    <col min="3" max="3" width="5.140625" customWidth="1"/>
    <col min="4" max="4" width="25.5703125" customWidth="1"/>
  </cols>
  <sheetData>
    <row r="1" spans="1:4">
      <c r="A1" s="380" t="s">
        <v>2993</v>
      </c>
      <c r="C1" s="380"/>
      <c r="D1" s="754" t="str">
        <f>'Report-T1Detail1920'!D1</f>
        <v>Release 10</v>
      </c>
    </row>
    <row r="2" spans="1:4">
      <c r="A2" s="380" t="s">
        <v>2994</v>
      </c>
      <c r="C2" s="380"/>
      <c r="D2" s="72">
        <f>'Report-T1Detail1920'!D2</f>
        <v>43724</v>
      </c>
    </row>
    <row r="3" spans="1:4">
      <c r="A3" s="64"/>
      <c r="C3" s="64"/>
      <c r="D3" s="58">
        <f>'Report-T1Detail1920'!D3</f>
        <v>0</v>
      </c>
    </row>
    <row r="4" spans="1:4" ht="15.75">
      <c r="A4" s="381" t="s">
        <v>7012</v>
      </c>
      <c r="C4" s="381"/>
    </row>
    <row r="5" spans="1:4" ht="15.75">
      <c r="A5" s="383">
        <f>'Data Entry - SOF'!B1</f>
        <v>0</v>
      </c>
      <c r="C5" s="383"/>
    </row>
    <row r="6" spans="1:4" ht="15.75">
      <c r="A6" s="381">
        <f>'Data Entry - SOF'!B2</f>
        <v>0</v>
      </c>
      <c r="C6" s="381"/>
    </row>
    <row r="9" spans="1:4" ht="18">
      <c r="A9" s="545" t="s">
        <v>2846</v>
      </c>
      <c r="B9" s="548"/>
      <c r="C9" s="545"/>
      <c r="D9" s="546" t="s">
        <v>2847</v>
      </c>
    </row>
    <row r="10" spans="1:4" s="382" customFormat="1" ht="15">
      <c r="A10" s="385" t="s">
        <v>2186</v>
      </c>
      <c r="B10" s="386" t="s">
        <v>3114</v>
      </c>
      <c r="C10" s="386"/>
      <c r="D10" s="391" t="e">
        <f>'Calc Data'!I25</f>
        <v>#DIV/0!</v>
      </c>
    </row>
    <row r="11" spans="1:4" s="382" customFormat="1" ht="18">
      <c r="A11" s="596" t="s">
        <v>2848</v>
      </c>
      <c r="B11" s="583"/>
      <c r="C11" s="547"/>
      <c r="D11" s="544"/>
    </row>
    <row r="12" spans="1:4" s="382" customFormat="1" ht="15">
      <c r="A12" s="385" t="s">
        <v>2187</v>
      </c>
      <c r="B12" s="386" t="s">
        <v>3107</v>
      </c>
      <c r="C12" s="386"/>
      <c r="D12" s="390">
        <f>'Calc Data'!I34</f>
        <v>0</v>
      </c>
    </row>
    <row r="13" spans="1:4" s="382" customFormat="1" ht="15">
      <c r="A13" s="385" t="s">
        <v>2188</v>
      </c>
      <c r="B13" s="386" t="s">
        <v>7013</v>
      </c>
      <c r="C13" s="386"/>
      <c r="D13" s="389" t="e">
        <f>'Calc Data'!I35</f>
        <v>#DIV/0!</v>
      </c>
    </row>
    <row r="14" spans="1:4" s="382" customFormat="1" ht="15">
      <c r="A14" s="385" t="s">
        <v>3117</v>
      </c>
      <c r="B14" s="386" t="str">
        <f>CONCATENATE("Level 1 Entitlement @ $",Assumptions!G146,"")</f>
        <v>Level 1 Entitlement @ $135.92</v>
      </c>
      <c r="C14" s="386"/>
      <c r="D14" s="390" t="e">
        <f>'SOF2223-SB1'!H135</f>
        <v>#DIV/0!</v>
      </c>
    </row>
    <row r="15" spans="1:4" s="382" customFormat="1" ht="15">
      <c r="A15" s="385" t="s">
        <v>910</v>
      </c>
      <c r="B15" s="386" t="s">
        <v>7014</v>
      </c>
      <c r="C15" s="386"/>
      <c r="D15" s="390" t="e">
        <f>'Calc Data'!I42*-1</f>
        <v>#DIV/0!</v>
      </c>
    </row>
    <row r="16" spans="1:4" s="382" customFormat="1" ht="15">
      <c r="A16" s="385" t="s">
        <v>912</v>
      </c>
      <c r="B16" s="386" t="str">
        <f>CONCATENATE("GYA ($",Assumptions!G146," * WADA * DTR_1 * 100) - LR")</f>
        <v>GYA ($135.92 * WADA * DTR_1 * 100) - LR</v>
      </c>
      <c r="C16" s="386"/>
      <c r="D16" s="390" t="e">
        <f>'SOF2223-SB1'!H51</f>
        <v>#DIV/0!</v>
      </c>
    </row>
    <row r="17" spans="1:4" s="382" customFormat="1" ht="18">
      <c r="A17" s="596" t="s">
        <v>2850</v>
      </c>
      <c r="B17" s="583"/>
      <c r="C17" s="547"/>
      <c r="D17" s="544"/>
    </row>
    <row r="18" spans="1:4" s="382" customFormat="1" ht="15">
      <c r="A18" s="385" t="s">
        <v>913</v>
      </c>
      <c r="B18" s="386" t="s">
        <v>3108</v>
      </c>
      <c r="C18" s="386"/>
      <c r="D18" s="390">
        <f>'Calc Data'!AY31</f>
        <v>0</v>
      </c>
    </row>
    <row r="19" spans="1:4" s="382" customFormat="1" ht="15">
      <c r="A19" s="385" t="s">
        <v>914</v>
      </c>
      <c r="B19" s="386" t="s">
        <v>7015</v>
      </c>
      <c r="C19" s="386"/>
      <c r="D19" s="389" t="e">
        <f>'Calc Data'!AY29</f>
        <v>#DIV/0!</v>
      </c>
    </row>
    <row r="20" spans="1:4" s="382" customFormat="1" ht="15">
      <c r="A20" s="385" t="s">
        <v>118</v>
      </c>
      <c r="B20" s="386" t="str">
        <f>CONCATENATE("Level 2 Entitlement @ $",Assumptions!G147,"")</f>
        <v>Level 2 Entitlement @ $31.95</v>
      </c>
      <c r="C20" s="386"/>
      <c r="D20" s="390" t="e">
        <f>'SOF2223-SB1'!H136</f>
        <v>#DIV/0!</v>
      </c>
    </row>
    <row r="21" spans="1:4" s="382" customFormat="1" ht="15">
      <c r="A21" s="385" t="s">
        <v>119</v>
      </c>
      <c r="B21" s="386" t="s">
        <v>7016</v>
      </c>
      <c r="C21" s="386"/>
      <c r="D21" s="390" t="e">
        <f>'Calc Data'!AY33*-1</f>
        <v>#DIV/0!</v>
      </c>
    </row>
    <row r="22" spans="1:4" s="382" customFormat="1" ht="15">
      <c r="A22" s="385" t="s">
        <v>120</v>
      </c>
      <c r="B22" s="386" t="str">
        <f>CONCATENATE("GYA ($",Assumptions!G147," * WADA * DTR_1 * 100) - LR")</f>
        <v>GYA ($31.95 * WADA * DTR_1 * 100) - LR</v>
      </c>
      <c r="C22" s="386"/>
      <c r="D22" s="390" t="e">
        <f>'SOF2223-SB1'!H52</f>
        <v>#DIV/0!</v>
      </c>
    </row>
    <row r="23" spans="1:4" s="382" customFormat="1" ht="15.75">
      <c r="A23" s="385" t="s">
        <v>121</v>
      </c>
      <c r="B23" s="384" t="s">
        <v>3109</v>
      </c>
      <c r="C23" s="384"/>
      <c r="D23" s="395" t="e">
        <f>'SOF2223-SB1'!H53</f>
        <v>#DIV/0!</v>
      </c>
    </row>
    <row r="24" spans="1:4" s="382" customFormat="1" ht="15.75">
      <c r="B24" s="477" t="s">
        <v>2978</v>
      </c>
      <c r="D24" s="1433" t="s">
        <v>7053</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223'!A1" display="'Report-SOF2223'!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42578125" customWidth="1"/>
    <col min="2" max="2" width="74" customWidth="1"/>
    <col min="3" max="3" width="25.5703125" customWidth="1"/>
  </cols>
  <sheetData>
    <row r="1" spans="1:3">
      <c r="A1" s="380" t="s">
        <v>2993</v>
      </c>
      <c r="C1" s="754" t="str">
        <f>'Report-T2Detail1920'!D1</f>
        <v>Release 10</v>
      </c>
    </row>
    <row r="2" spans="1:3">
      <c r="A2" s="380" t="s">
        <v>2994</v>
      </c>
      <c r="C2" s="72">
        <f>'Report-T2Detail1920'!D2</f>
        <v>43724</v>
      </c>
    </row>
    <row r="3" spans="1:3">
      <c r="A3" s="64"/>
      <c r="C3" s="58">
        <f>'Report-T2Detail1920'!D3</f>
        <v>0</v>
      </c>
    </row>
    <row r="4" spans="1:3" ht="15.75">
      <c r="A4" s="381" t="s">
        <v>7017</v>
      </c>
    </row>
    <row r="5" spans="1:3" ht="15.75">
      <c r="A5" s="383">
        <f>'Data Entry - SOF'!B1</f>
        <v>0</v>
      </c>
    </row>
    <row r="6" spans="1:3" ht="15.75">
      <c r="A6" s="381">
        <f>'Data Entry - SOF'!B2</f>
        <v>0</v>
      </c>
    </row>
    <row r="9" spans="1:3" s="266" customFormat="1" ht="18">
      <c r="A9" s="556" t="s">
        <v>1982</v>
      </c>
      <c r="B9" s="553"/>
      <c r="C9" s="546" t="s">
        <v>1273</v>
      </c>
    </row>
    <row r="10" spans="1:3" s="382" customFormat="1" ht="15.75">
      <c r="A10" s="596" t="s">
        <v>2852</v>
      </c>
      <c r="B10" s="543"/>
      <c r="C10" s="544"/>
    </row>
    <row r="11" spans="1:3" s="382" customFormat="1" ht="15">
      <c r="A11" s="385" t="s">
        <v>2186</v>
      </c>
      <c r="B11" s="386" t="s">
        <v>2356</v>
      </c>
      <c r="C11" s="392" t="e">
        <f>ASATR!L8</f>
        <v>#N/A</v>
      </c>
    </row>
    <row r="12" spans="1:3" s="382" customFormat="1" ht="15">
      <c r="A12" s="385" t="s">
        <v>2187</v>
      </c>
      <c r="B12" s="386" t="s">
        <v>7018</v>
      </c>
      <c r="C12" s="391" t="e">
        <f>'Calc Data'!I25</f>
        <v>#DIV/0!</v>
      </c>
    </row>
    <row r="13" spans="1:3" s="382" customFormat="1" ht="15">
      <c r="A13" s="385" t="s">
        <v>2188</v>
      </c>
      <c r="B13" s="386" t="s">
        <v>7019</v>
      </c>
      <c r="C13" s="390" t="e">
        <f>ASATR!L50</f>
        <v>#N/A</v>
      </c>
    </row>
    <row r="14" spans="1:3" s="382" customFormat="1" ht="15">
      <c r="A14" s="385" t="s">
        <v>909</v>
      </c>
      <c r="B14" s="386" t="str">
        <f>CONCATENATE("2022-23 Minimum Increase (Line 2 * $120 * ",Weights!N7,")")</f>
        <v>2022-23 Minimum Increase (Line 2 * $120 * 0.9263)</v>
      </c>
      <c r="C14" s="390" t="e">
        <f>ASATR!L51</f>
        <v>#DIV/0!</v>
      </c>
    </row>
    <row r="15" spans="1:3" s="382" customFormat="1" ht="15">
      <c r="A15" s="385" t="s">
        <v>910</v>
      </c>
      <c r="B15" s="386" t="s">
        <v>2853</v>
      </c>
      <c r="C15" s="390">
        <f>ASATR!L13</f>
        <v>0</v>
      </c>
    </row>
    <row r="16" spans="1:3" s="382" customFormat="1" ht="15">
      <c r="A16" s="385" t="s">
        <v>912</v>
      </c>
      <c r="B16" s="386" t="s">
        <v>7020</v>
      </c>
      <c r="C16" s="390" t="e">
        <f>ASATR!L14</f>
        <v>#N/A</v>
      </c>
    </row>
    <row r="17" spans="1:4" s="382" customFormat="1" ht="15">
      <c r="A17" s="549"/>
      <c r="B17" s="543"/>
      <c r="C17" s="544"/>
    </row>
    <row r="18" spans="1:4" s="382" customFormat="1" ht="15">
      <c r="A18" s="385" t="s">
        <v>913</v>
      </c>
      <c r="B18" s="386" t="s">
        <v>2856</v>
      </c>
      <c r="C18" s="390">
        <f>ASATR!L15</f>
        <v>0</v>
      </c>
    </row>
    <row r="19" spans="1:4" s="382" customFormat="1" ht="15">
      <c r="A19" s="385" t="s">
        <v>914</v>
      </c>
      <c r="B19" s="386" t="s">
        <v>2857</v>
      </c>
      <c r="C19" s="390">
        <f>ASATR!L16</f>
        <v>0</v>
      </c>
    </row>
    <row r="20" spans="1:4" s="382" customFormat="1" ht="15">
      <c r="A20" s="385" t="s">
        <v>118</v>
      </c>
      <c r="B20" s="386" t="str">
        <f>CONCATENATE("2008-09 Educator Salary Increase ($23.63 * 2008-09 WADA * ",Weights!N7,")")</f>
        <v>2008-09 Educator Salary Increase ($23.63 * 2008-09 WADA * 0.9263)</v>
      </c>
      <c r="C20" s="390">
        <f>ASATR!L18</f>
        <v>0</v>
      </c>
    </row>
    <row r="21" spans="1:4" s="382" customFormat="1" ht="15.75">
      <c r="A21" s="385" t="s">
        <v>119</v>
      </c>
      <c r="B21" s="384" t="s">
        <v>7021</v>
      </c>
      <c r="C21" s="390" t="e">
        <f>ASATR!L20</f>
        <v>#N/A</v>
      </c>
    </row>
    <row r="22" spans="1:4" s="382" customFormat="1" ht="15">
      <c r="A22" s="549"/>
      <c r="B22" s="543"/>
      <c r="C22" s="544"/>
    </row>
    <row r="23" spans="1:4" s="382" customFormat="1" ht="15">
      <c r="A23" s="385" t="s">
        <v>120</v>
      </c>
      <c r="B23" s="386" t="s">
        <v>7022</v>
      </c>
      <c r="C23" s="390" t="e">
        <f>ASATR!L37</f>
        <v>#DIV/0!</v>
      </c>
    </row>
    <row r="24" spans="1:4" s="382" customFormat="1" ht="15">
      <c r="A24" s="385" t="s">
        <v>121</v>
      </c>
      <c r="B24" s="386" t="s">
        <v>7023</v>
      </c>
      <c r="C24" s="390">
        <f>ASATR!L38</f>
        <v>0</v>
      </c>
    </row>
    <row r="25" spans="1:4" s="382" customFormat="1" ht="15">
      <c r="A25" s="385" t="s">
        <v>1513</v>
      </c>
      <c r="B25" s="719" t="s">
        <v>7067</v>
      </c>
      <c r="C25" s="390" t="e">
        <f>ASATR!L39</f>
        <v>#DIV/0!</v>
      </c>
    </row>
    <row r="26" spans="1:4" s="382" customFormat="1" ht="15">
      <c r="A26" s="385" t="s">
        <v>6</v>
      </c>
      <c r="B26" s="386" t="s">
        <v>7024</v>
      </c>
      <c r="C26" s="390" t="e">
        <f>ASATR!L40</f>
        <v>#DIV/0!</v>
      </c>
    </row>
    <row r="27" spans="1:4" s="382" customFormat="1" ht="15">
      <c r="A27" s="549"/>
      <c r="B27" s="543"/>
      <c r="C27" s="555"/>
    </row>
    <row r="28" spans="1:4" s="382" customFormat="1" ht="15.75">
      <c r="A28" s="418" t="s">
        <v>2232</v>
      </c>
      <c r="B28" s="402" t="s">
        <v>3026</v>
      </c>
      <c r="C28" s="395" t="e">
        <f>ASATR!L42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7025</v>
      </c>
      <c r="C31" s="390" t="e">
        <f>ASATR!L45</f>
        <v>#DIV/0!</v>
      </c>
    </row>
    <row r="32" spans="1:4" s="382" customFormat="1" ht="15">
      <c r="A32" s="400" t="s">
        <v>2722</v>
      </c>
      <c r="B32" s="386" t="s">
        <v>7026</v>
      </c>
      <c r="C32" s="390" t="e">
        <f>ASATR!L46</f>
        <v>#DIV/0!</v>
      </c>
    </row>
    <row r="33" spans="2:3" s="382" customFormat="1" ht="15.75">
      <c r="B33" s="477" t="s">
        <v>2991</v>
      </c>
      <c r="C33" s="1433" t="s">
        <v>7053</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382" customFormat="1" ht="15">
      <c r="A1" s="380" t="s">
        <v>2993</v>
      </c>
      <c r="D1" s="754" t="str">
        <f>'Report-ASATR1920'!C1</f>
        <v>Release 10</v>
      </c>
    </row>
    <row r="2" spans="1:4" s="382" customFormat="1" ht="15">
      <c r="A2" s="380" t="s">
        <v>2994</v>
      </c>
      <c r="D2" s="72">
        <f>'Report-ASATR1920'!C2</f>
        <v>43724</v>
      </c>
    </row>
    <row r="3" spans="1:4" s="382" customFormat="1" ht="15.75">
      <c r="A3" s="381"/>
      <c r="D3" s="58">
        <f>'Report-ASATR1920'!C3</f>
        <v>0</v>
      </c>
    </row>
    <row r="4" spans="1:4" s="382" customFormat="1" ht="15.75">
      <c r="A4" s="381" t="s">
        <v>7027</v>
      </c>
    </row>
    <row r="5" spans="1:4" s="382" customFormat="1" ht="15.75">
      <c r="A5" s="383">
        <f>'Data Entry - SOF'!B1</f>
        <v>0</v>
      </c>
    </row>
    <row r="6" spans="1:4" s="382" customFormat="1" ht="15.75">
      <c r="A6" s="381">
        <f>'Data Entry - SOF'!B2</f>
        <v>0</v>
      </c>
    </row>
    <row r="7" spans="1:4" s="382" customFormat="1" ht="15.75">
      <c r="A7" s="381"/>
    </row>
    <row r="8" spans="1:4" s="382" customFormat="1" ht="15"/>
    <row r="9" spans="1:4" s="266" customFormat="1" ht="18">
      <c r="A9" s="523"/>
      <c r="B9" s="524"/>
      <c r="C9" s="525"/>
      <c r="D9" s="532" t="s">
        <v>2818</v>
      </c>
    </row>
    <row r="10" spans="1:4" s="479" customFormat="1" ht="18">
      <c r="A10" s="557" t="s">
        <v>2990</v>
      </c>
      <c r="B10" s="527"/>
      <c r="C10" s="528"/>
      <c r="D10" s="537" t="s">
        <v>2805</v>
      </c>
    </row>
    <row r="11" spans="1:4" s="382" customFormat="1" ht="15">
      <c r="A11" s="385" t="s">
        <v>2186</v>
      </c>
      <c r="B11" s="386" t="s">
        <v>2981</v>
      </c>
      <c r="C11" s="386"/>
      <c r="D11" s="495">
        <f>'Data Entry - SOF'!Q120</f>
        <v>0</v>
      </c>
    </row>
    <row r="12" spans="1:4" s="382" customFormat="1" ht="15.75">
      <c r="A12" s="385" t="s">
        <v>2187</v>
      </c>
      <c r="B12" s="386" t="s">
        <v>7028</v>
      </c>
      <c r="C12" s="386"/>
      <c r="D12" s="495">
        <f>'HH2223-Calcs'!D26</f>
        <v>0</v>
      </c>
    </row>
    <row r="13" spans="1:4" s="382" customFormat="1" ht="15">
      <c r="A13" s="385" t="s">
        <v>2188</v>
      </c>
      <c r="B13" s="386" t="s">
        <v>3104</v>
      </c>
      <c r="C13" s="386"/>
      <c r="D13" s="495">
        <v>0</v>
      </c>
    </row>
    <row r="14" spans="1:4" s="382" customFormat="1" ht="15.75">
      <c r="A14" s="385" t="s">
        <v>909</v>
      </c>
      <c r="B14" s="719" t="s">
        <v>7059</v>
      </c>
      <c r="C14" s="386"/>
      <c r="D14" s="395">
        <v>0</v>
      </c>
    </row>
    <row r="15" spans="1:4" s="382" customFormat="1" ht="15">
      <c r="A15" s="385" t="s">
        <v>910</v>
      </c>
      <c r="B15" s="386" t="s">
        <v>758</v>
      </c>
      <c r="C15" s="386"/>
      <c r="D15" s="390">
        <f>'Data Entry - SOF'!Q121</f>
        <v>0</v>
      </c>
    </row>
    <row r="16" spans="1:4" s="382" customFormat="1" ht="15">
      <c r="A16" s="385" t="s">
        <v>912</v>
      </c>
      <c r="B16" s="386" t="s">
        <v>2983</v>
      </c>
      <c r="C16" s="386"/>
      <c r="D16" s="495">
        <f>'Data Entry - SOF'!Q123</f>
        <v>0</v>
      </c>
    </row>
    <row r="17" spans="1:5" s="382" customFormat="1" ht="15">
      <c r="A17" s="385" t="s">
        <v>913</v>
      </c>
      <c r="B17" s="386" t="s">
        <v>3205</v>
      </c>
      <c r="C17" s="386"/>
      <c r="D17" s="495">
        <f>'Data Entry - SOF'!Q142</f>
        <v>0</v>
      </c>
    </row>
    <row r="18" spans="1:5" s="382" customFormat="1" ht="15">
      <c r="A18" s="385" t="s">
        <v>914</v>
      </c>
      <c r="B18" s="386" t="s">
        <v>2436</v>
      </c>
      <c r="C18" s="386"/>
      <c r="D18" s="390">
        <f>'SOF2223-SB1'!H64</f>
        <v>0</v>
      </c>
    </row>
    <row r="19" spans="1:5" s="382" customFormat="1" ht="15">
      <c r="A19" s="385" t="s">
        <v>118</v>
      </c>
      <c r="B19" s="386" t="s">
        <v>2986</v>
      </c>
      <c r="C19" s="386"/>
      <c r="D19" s="495">
        <v>0</v>
      </c>
    </row>
    <row r="20" spans="1:5" s="382" customFormat="1" ht="15">
      <c r="A20" s="385" t="s">
        <v>119</v>
      </c>
      <c r="B20" s="386" t="s">
        <v>2987</v>
      </c>
      <c r="C20" s="386"/>
      <c r="D20" s="495">
        <f>'Data Entry - SOF'!Q125</f>
        <v>0</v>
      </c>
    </row>
    <row r="21" spans="1:5" s="382" customFormat="1" ht="15">
      <c r="A21" s="385" t="s">
        <v>120</v>
      </c>
      <c r="B21" s="386" t="s">
        <v>2988</v>
      </c>
      <c r="C21" s="386"/>
      <c r="D21" s="390" t="e">
        <f>'SOF2223-SB1'!H66</f>
        <v>#DIV/0!</v>
      </c>
    </row>
    <row r="22" spans="1:5" s="382" customFormat="1" ht="15">
      <c r="A22" s="385" t="s">
        <v>121</v>
      </c>
      <c r="B22" s="386" t="s">
        <v>2989</v>
      </c>
      <c r="C22" s="386"/>
      <c r="D22" s="390" t="e">
        <f>'SOF2223-SB1'!H65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row>
    <row r="26" spans="1:5" s="382" customFormat="1" ht="15.75">
      <c r="A26" s="385" t="s">
        <v>2233</v>
      </c>
      <c r="B26" s="384" t="s">
        <v>3027</v>
      </c>
      <c r="C26" s="386"/>
      <c r="D26" s="395" t="e">
        <f>SUM(D11:D25)</f>
        <v>#DIV/0!</v>
      </c>
    </row>
    <row r="27" spans="1:5" s="382" customFormat="1" ht="15.75">
      <c r="A27" s="394"/>
      <c r="B27" s="477" t="s">
        <v>2978</v>
      </c>
      <c r="D27" s="1433" t="s">
        <v>7053</v>
      </c>
    </row>
    <row r="28" spans="1:5" s="382" customFormat="1" ht="15">
      <c r="A28" s="394"/>
    </row>
    <row r="29" spans="1:5" s="382" customFormat="1" ht="15">
      <c r="A29" s="394"/>
    </row>
    <row r="30" spans="1:5" s="382" customFormat="1" ht="15.7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2578125" customWidth="1"/>
    <col min="2" max="2" width="78.42578125" customWidth="1"/>
    <col min="3" max="3" width="4.5703125" customWidth="1"/>
    <col min="4" max="4" width="22.5703125" customWidth="1"/>
  </cols>
  <sheetData>
    <row r="1" spans="1:4">
      <c r="A1" s="380" t="s">
        <v>2993</v>
      </c>
      <c r="D1" s="141" t="str">
        <f>'Report-Other1920'!D1</f>
        <v>Release 10</v>
      </c>
    </row>
    <row r="2" spans="1:4">
      <c r="A2" s="380" t="s">
        <v>2994</v>
      </c>
      <c r="D2" s="72">
        <f>'Report-Other1920'!D2</f>
        <v>43724</v>
      </c>
    </row>
    <row r="3" spans="1:4">
      <c r="A3" s="64"/>
      <c r="D3" s="58">
        <f>'Report-Other1920'!D3</f>
        <v>0</v>
      </c>
    </row>
    <row r="4" spans="1:4" ht="15.75">
      <c r="A4" s="381" t="s">
        <v>7029</v>
      </c>
    </row>
    <row r="5" spans="1:4" ht="15.75">
      <c r="A5" s="383">
        <f>'Data Entry - SOF'!B1</f>
        <v>0</v>
      </c>
    </row>
    <row r="6" spans="1:4" ht="15.75">
      <c r="A6" s="381">
        <f>'Data Entry - SOF'!B2</f>
        <v>0</v>
      </c>
    </row>
    <row r="9" spans="1:4" s="266" customFormat="1" ht="18">
      <c r="A9" s="564" t="s">
        <v>3110</v>
      </c>
      <c r="B9" s="558"/>
      <c r="C9" s="559"/>
      <c r="D9" s="524"/>
    </row>
    <row r="10" spans="1:4" s="382" customFormat="1" ht="18">
      <c r="A10" s="562" t="s">
        <v>2866</v>
      </c>
      <c r="B10" s="560"/>
      <c r="C10" s="561"/>
      <c r="D10" s="537" t="s">
        <v>2867</v>
      </c>
    </row>
    <row r="11" spans="1:4" s="382" customFormat="1" ht="15">
      <c r="A11" s="385" t="s">
        <v>2186</v>
      </c>
      <c r="B11" s="386" t="s">
        <v>3987</v>
      </c>
      <c r="C11" s="386"/>
      <c r="D11" s="390">
        <f>'Data Entry - SOF'!M101</f>
        <v>0</v>
      </c>
    </row>
    <row r="12" spans="1:4" s="382" customFormat="1" ht="15">
      <c r="A12" s="385" t="s">
        <v>2187</v>
      </c>
      <c r="B12" s="386" t="s">
        <v>7030</v>
      </c>
      <c r="C12" s="386"/>
      <c r="D12" s="390">
        <f>'Report-EDA2021'!D26</f>
        <v>0</v>
      </c>
    </row>
    <row r="13" spans="1:4" s="382" customFormat="1" ht="15">
      <c r="A13" s="385" t="s">
        <v>2188</v>
      </c>
      <c r="B13" s="386" t="s">
        <v>7031</v>
      </c>
      <c r="C13" s="386"/>
      <c r="D13" s="390">
        <f>'Report-IFA2021'!D20</f>
        <v>0</v>
      </c>
    </row>
    <row r="14" spans="1:4" s="382" customFormat="1" ht="15">
      <c r="A14" s="385" t="s">
        <v>909</v>
      </c>
      <c r="B14" s="386" t="s">
        <v>7032</v>
      </c>
      <c r="C14" s="386"/>
      <c r="D14" s="390">
        <f>IF(D11-D12-D13&lt;0,0,D11-D12-D13)</f>
        <v>0</v>
      </c>
    </row>
    <row r="15" spans="1:4" s="382" customFormat="1" ht="15">
      <c r="A15" s="385" t="s">
        <v>910</v>
      </c>
      <c r="B15" s="386" t="s">
        <v>7033</v>
      </c>
      <c r="C15" s="386"/>
      <c r="D15" s="390">
        <f>'Data Entry - SOF'!Q118</f>
        <v>0</v>
      </c>
    </row>
    <row r="16" spans="1:4" s="382" customFormat="1" ht="15">
      <c r="A16" s="385" t="s">
        <v>912</v>
      </c>
      <c r="B16" s="386" t="s">
        <v>7034</v>
      </c>
      <c r="C16" s="386"/>
      <c r="D16" s="478">
        <f>'Report-IFA2223'!D37</f>
        <v>0</v>
      </c>
    </row>
    <row r="17" spans="1:4" s="382" customFormat="1" ht="15">
      <c r="A17" s="385" t="s">
        <v>913</v>
      </c>
      <c r="B17" s="386" t="s">
        <v>7035</v>
      </c>
      <c r="C17" s="386"/>
      <c r="D17" s="391">
        <f>'Data Entry - SOF'!Q19</f>
        <v>0</v>
      </c>
    </row>
    <row r="18" spans="1:4" s="382" customFormat="1" ht="15">
      <c r="A18" s="385" t="s">
        <v>914</v>
      </c>
      <c r="B18" s="386" t="s">
        <v>7036</v>
      </c>
      <c r="C18" s="386"/>
      <c r="D18" s="390">
        <f>'Data Entry - SOF'!Q76</f>
        <v>0</v>
      </c>
    </row>
    <row r="19" spans="1:4" s="382" customFormat="1" ht="15">
      <c r="A19" s="385" t="s">
        <v>118</v>
      </c>
      <c r="B19" s="386" t="s">
        <v>6619</v>
      </c>
      <c r="C19" s="386"/>
      <c r="D19" s="390">
        <f>'Data Entry - SOF'!G76</f>
        <v>0</v>
      </c>
    </row>
    <row r="20" spans="1:4" s="382" customFormat="1" ht="15.75">
      <c r="A20" s="596" t="s">
        <v>2868</v>
      </c>
      <c r="B20" s="543"/>
      <c r="C20" s="544"/>
      <c r="D20" s="563"/>
    </row>
    <row r="21" spans="1:4" s="382" customFormat="1" ht="15">
      <c r="A21" s="418" t="s">
        <v>119</v>
      </c>
      <c r="B21" s="402" t="s">
        <v>7037</v>
      </c>
      <c r="C21" s="402"/>
      <c r="D21" s="848">
        <f>'Existing Debt-OldLaw'!Q47</f>
        <v>0</v>
      </c>
    </row>
    <row r="22" spans="1:4" s="382" customFormat="1" ht="15">
      <c r="A22" s="396"/>
      <c r="B22" s="404" t="s">
        <v>2869</v>
      </c>
      <c r="C22" s="404"/>
      <c r="D22" s="849"/>
    </row>
    <row r="23" spans="1:4" s="382" customFormat="1" ht="15">
      <c r="A23" s="385" t="s">
        <v>120</v>
      </c>
      <c r="B23" s="386" t="str">
        <f>CONCATENATE("2022-23 Rate Needed for All Eligible Debt ((Line 5 - Line 6) / ",Weights!N50," / Line 7 / 100)")</f>
        <v>2022-23 Rate Needed for All Eligible Debt ((Line 5 - Line 6) / 37 / Line 7 / 100)</v>
      </c>
      <c r="C23" s="386"/>
      <c r="D23" s="850">
        <f>'Existing Debt-OldLaw'!Q51</f>
        <v>0</v>
      </c>
    </row>
    <row r="24" spans="1:4" s="382" customFormat="1" ht="15">
      <c r="A24" s="385" t="s">
        <v>121</v>
      </c>
      <c r="B24" s="386" t="s">
        <v>7038</v>
      </c>
      <c r="C24" s="386"/>
      <c r="D24" s="850">
        <f>'Existing Debt-OldLaw'!Q55</f>
        <v>0</v>
      </c>
    </row>
    <row r="25" spans="1:4" s="382" customFormat="1" ht="15">
      <c r="A25" s="385" t="s">
        <v>1513</v>
      </c>
      <c r="B25" s="386" t="str">
        <f>CONCATENATE("State/Local Share of EDA ($",Weights!N50," * Line 7 * Line 12 * 100)")</f>
        <v>State/Local Share of EDA ($37 * Line 7 * Line 12 * 100)</v>
      </c>
      <c r="C25" s="386"/>
      <c r="D25" s="478">
        <f>'Existing Debt-OldLaw'!Q59</f>
        <v>0</v>
      </c>
    </row>
    <row r="26" spans="1:4" s="382" customFormat="1" ht="15">
      <c r="A26" s="385" t="s">
        <v>6</v>
      </c>
      <c r="B26" s="386" t="s">
        <v>2870</v>
      </c>
      <c r="C26" s="386"/>
      <c r="D26" s="478">
        <f>'Existing Debt-OldLaw'!Q61</f>
        <v>0</v>
      </c>
    </row>
    <row r="27" spans="1:4" s="382" customFormat="1" ht="15">
      <c r="A27" s="385" t="s">
        <v>2232</v>
      </c>
      <c r="B27" s="386" t="s">
        <v>2871</v>
      </c>
      <c r="C27" s="386"/>
      <c r="D27" s="478">
        <f>'Existing Debt-OldLaw'!Q70</f>
        <v>0</v>
      </c>
    </row>
    <row r="28" spans="1:4" s="382" customFormat="1" ht="15.75">
      <c r="A28" s="385" t="s">
        <v>2233</v>
      </c>
      <c r="B28" s="384" t="s">
        <v>2872</v>
      </c>
      <c r="C28" s="386"/>
      <c r="D28" s="395">
        <f>'Existing Debt-OldLaw'!Q74</f>
        <v>0</v>
      </c>
    </row>
    <row r="29" spans="1:4" s="382" customFormat="1" ht="15.75">
      <c r="B29" s="477" t="s">
        <v>2978</v>
      </c>
      <c r="D29" s="1433" t="s">
        <v>7053</v>
      </c>
    </row>
    <row r="30" spans="1:4" s="382" customFormat="1" ht="15"/>
    <row r="31" spans="1:4" s="382" customFormat="1" ht="15"/>
    <row r="32" spans="1:4" s="382" customFormat="1" ht="15.75">
      <c r="B32" s="325" t="s">
        <v>2939</v>
      </c>
    </row>
    <row r="33" spans="2:4" s="382" customFormat="1" ht="15.75">
      <c r="B33" s="325" t="s">
        <v>3115</v>
      </c>
    </row>
    <row r="34" spans="2:4" s="382" customFormat="1" ht="15.75">
      <c r="B34" s="565" t="s">
        <v>3112</v>
      </c>
    </row>
    <row r="35" spans="2:4" s="382" customFormat="1" ht="15.75">
      <c r="B35" s="565"/>
    </row>
    <row r="36" spans="2:4" s="382" customFormat="1" ht="15.75">
      <c r="B36" s="325" t="s">
        <v>8266</v>
      </c>
    </row>
    <row r="37" spans="2:4" s="382" customFormat="1" ht="15.75">
      <c r="B37" s="565" t="s">
        <v>8267</v>
      </c>
    </row>
    <row r="38" spans="2:4" s="382" customFormat="1" ht="15.75">
      <c r="B38" s="565" t="s">
        <v>8268</v>
      </c>
    </row>
    <row r="39" spans="2:4" s="382" customFormat="1" ht="15.75">
      <c r="B39" s="325" t="s">
        <v>8269</v>
      </c>
    </row>
    <row r="40" spans="2:4" s="382" customFormat="1" ht="15.75">
      <c r="B40" s="325"/>
    </row>
    <row r="41" spans="2:4" s="382" customFormat="1" ht="15.75">
      <c r="B41" s="100" t="s">
        <v>7039</v>
      </c>
      <c r="D41" s="833">
        <f>IF(ISNA('DE1'!G65),0,'DE1'!G65)</f>
        <v>0</v>
      </c>
    </row>
    <row r="42" spans="2:4" ht="15.75">
      <c r="B42" s="325"/>
      <c r="C42" s="382"/>
      <c r="D42" s="382"/>
    </row>
    <row r="43" spans="2:4" ht="15.75">
      <c r="B43" s="325" t="s">
        <v>6367</v>
      </c>
      <c r="C43" s="382"/>
      <c r="D43" s="382"/>
    </row>
    <row r="44" spans="2:4" ht="15.75">
      <c r="B44" s="565" t="s">
        <v>6918</v>
      </c>
      <c r="C44" s="382"/>
      <c r="D44" s="382"/>
    </row>
    <row r="45" spans="2:4" ht="15.75">
      <c r="B45" s="325" t="s">
        <v>8265</v>
      </c>
    </row>
  </sheetData>
  <hyperlinks>
    <hyperlink ref="D29"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5703125" customWidth="1"/>
    <col min="4" max="5" width="22.5703125" customWidth="1"/>
  </cols>
  <sheetData>
    <row r="1" spans="1:5">
      <c r="A1" s="380" t="s">
        <v>2992</v>
      </c>
      <c r="E1" s="754" t="str">
        <f>'Report-EDA1920'!D1</f>
        <v>Release 10</v>
      </c>
    </row>
    <row r="2" spans="1:5">
      <c r="A2" s="380" t="s">
        <v>2865</v>
      </c>
      <c r="E2" s="72">
        <f>'Report-EDA1920'!D2</f>
        <v>43724</v>
      </c>
    </row>
    <row r="3" spans="1:5">
      <c r="A3" s="64"/>
      <c r="E3" s="58">
        <f>'Report-EDA1920'!D3</f>
        <v>0</v>
      </c>
    </row>
    <row r="4" spans="1:5" ht="15.75">
      <c r="A4" s="381" t="s">
        <v>7040</v>
      </c>
    </row>
    <row r="5" spans="1:5" ht="15.75">
      <c r="A5" s="383">
        <f>'Data Entry - SOF'!B1</f>
        <v>0</v>
      </c>
    </row>
    <row r="6" spans="1:5" ht="15.75">
      <c r="A6" s="381">
        <f>'Data Entry - SOF'!B2</f>
        <v>0</v>
      </c>
    </row>
    <row r="9" spans="1:5" s="266" customFormat="1" ht="18">
      <c r="A9" s="564" t="s">
        <v>3111</v>
      </c>
      <c r="B9" s="558"/>
      <c r="C9" s="558"/>
      <c r="D9" s="532" t="s">
        <v>2964</v>
      </c>
      <c r="E9" s="593" t="s">
        <v>2964</v>
      </c>
    </row>
    <row r="10" spans="1:5" s="382" customFormat="1" ht="18">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'IFA-OldLaw'!AB58</f>
        <v>400</v>
      </c>
      <c r="E12" s="391">
        <f>D12</f>
        <v>400</v>
      </c>
    </row>
    <row r="13" spans="1:5" s="382" customFormat="1" ht="15">
      <c r="A13" s="385" t="s">
        <v>2188</v>
      </c>
      <c r="B13" s="386" t="s">
        <v>7036</v>
      </c>
      <c r="C13" s="386"/>
      <c r="D13" s="390">
        <f>'Report-EDA2223'!D18</f>
        <v>0</v>
      </c>
      <c r="E13" s="390">
        <f>D13</f>
        <v>0</v>
      </c>
    </row>
    <row r="14" spans="1:5" s="382" customFormat="1" ht="15">
      <c r="A14" s="385" t="s">
        <v>909</v>
      </c>
      <c r="B14" s="386" t="s">
        <v>2967</v>
      </c>
      <c r="C14" s="386"/>
      <c r="D14" s="390">
        <f>'IFA-OldLaw'!AB65</f>
        <v>0</v>
      </c>
      <c r="E14" s="390">
        <f>'IFA-OldLaw'!AC65</f>
        <v>0</v>
      </c>
    </row>
    <row r="15" spans="1:5" s="382" customFormat="1" ht="15">
      <c r="A15" s="385" t="s">
        <v>910</v>
      </c>
      <c r="B15" s="386" t="s">
        <v>2968</v>
      </c>
      <c r="C15" s="386"/>
      <c r="D15" s="469">
        <f>'IFA-OldLaw'!AB67</f>
        <v>0</v>
      </c>
      <c r="E15" s="469">
        <f>'IFA-OldLaw'!AC67</f>
        <v>0</v>
      </c>
    </row>
    <row r="16" spans="1:5" s="382" customFormat="1" ht="15">
      <c r="A16" s="385" t="s">
        <v>912</v>
      </c>
      <c r="B16" s="386" t="s">
        <v>2969</v>
      </c>
      <c r="C16" s="386"/>
      <c r="D16" s="469">
        <f>'IFA-OldLaw'!AB69</f>
        <v>0</v>
      </c>
      <c r="E16" s="469">
        <f>'IFA-OldLaw'!AC69</f>
        <v>0</v>
      </c>
    </row>
    <row r="17" spans="1:5" s="382" customFormat="1" ht="15">
      <c r="A17" s="385" t="s">
        <v>913</v>
      </c>
      <c r="B17" s="386" t="str">
        <f>CONCATENATE("State's Share of $",Weights!K49," per ADA Yield")</f>
        <v>State's Share of $35 per ADA Yield</v>
      </c>
      <c r="C17" s="386"/>
      <c r="D17" s="390">
        <f>'IFA-OldLaw'!AB71</f>
        <v>35</v>
      </c>
      <c r="E17" s="390">
        <f>'IFA-OldLaw'!AC71</f>
        <v>35</v>
      </c>
    </row>
    <row r="18" spans="1:5" s="382" customFormat="1" ht="15">
      <c r="A18" s="385" t="s">
        <v>914</v>
      </c>
      <c r="B18" s="386" t="s">
        <v>2970</v>
      </c>
      <c r="C18" s="386"/>
      <c r="D18" s="470">
        <f>'IFA-OldLaw'!AB73</f>
        <v>1</v>
      </c>
      <c r="E18" s="470">
        <f>'IFA-OldLaw'!AC73</f>
        <v>1</v>
      </c>
    </row>
    <row r="19" spans="1:5" s="382" customFormat="1" ht="15">
      <c r="A19" s="385" t="s">
        <v>118</v>
      </c>
      <c r="B19" s="386" t="s">
        <v>2971</v>
      </c>
      <c r="C19" s="386"/>
      <c r="D19" s="390">
        <f>'IFA-OldLaw'!AB75</f>
        <v>0</v>
      </c>
      <c r="E19" s="390">
        <f>'IFA-OldLaw'!AC75</f>
        <v>0</v>
      </c>
    </row>
    <row r="20" spans="1:5" s="382" customFormat="1" ht="15">
      <c r="A20" s="385" t="s">
        <v>119</v>
      </c>
      <c r="B20" s="386" t="s">
        <v>2972</v>
      </c>
      <c r="C20" s="386"/>
      <c r="D20" s="390">
        <f>'IFA-OldLaw'!AB79</f>
        <v>0</v>
      </c>
      <c r="E20" s="390">
        <f>'IFA-OldLaw'!AC79</f>
        <v>0</v>
      </c>
    </row>
    <row r="21" spans="1:5" s="382" customFormat="1" ht="15.75">
      <c r="A21" s="385" t="s">
        <v>120</v>
      </c>
      <c r="B21" s="384" t="s">
        <v>2973</v>
      </c>
      <c r="C21" s="386"/>
      <c r="D21" s="390">
        <f>'IFA-OldLaw'!AB86</f>
        <v>0</v>
      </c>
      <c r="E21" s="390">
        <f>'IFA-OldLaw'!AC86</f>
        <v>0</v>
      </c>
    </row>
    <row r="22" spans="1:5" s="382" customFormat="1" ht="15.75">
      <c r="B22" s="477" t="s">
        <v>2978</v>
      </c>
      <c r="D22" s="1433" t="s">
        <v>7053</v>
      </c>
    </row>
    <row r="23" spans="1:5" s="382" customFormat="1" ht="15"/>
    <row r="24" spans="1:5" s="382" customFormat="1" ht="15.75">
      <c r="B24" s="325" t="s">
        <v>2939</v>
      </c>
    </row>
    <row r="25" spans="1:5" s="382" customFormat="1" ht="15.75">
      <c r="B25" s="325" t="s">
        <v>8270</v>
      </c>
    </row>
    <row r="26" spans="1:5" s="382" customFormat="1" ht="15.75">
      <c r="B26" s="325" t="s">
        <v>8271</v>
      </c>
    </row>
    <row r="27" spans="1:5" s="382" customFormat="1" ht="15.75">
      <c r="B27" s="565" t="s">
        <v>8272</v>
      </c>
    </row>
    <row r="28" spans="1:5" s="382" customFormat="1" ht="15"/>
    <row r="29" spans="1:5" s="382" customFormat="1" ht="15.75">
      <c r="B29" s="325" t="s">
        <v>8273</v>
      </c>
    </row>
    <row r="30" spans="1:5" s="382" customFormat="1" ht="15.75">
      <c r="B30" s="565" t="s">
        <v>8274</v>
      </c>
    </row>
    <row r="31" spans="1:5" s="382" customFormat="1" ht="15.75">
      <c r="B31" s="325" t="s">
        <v>8275</v>
      </c>
    </row>
    <row r="32" spans="1:5" s="382" customFormat="1" ht="15.75">
      <c r="B32" s="100" t="s">
        <v>7039</v>
      </c>
      <c r="E32" s="833">
        <f>IF(ISNA('DE1'!G65),0,'DE1'!G65)</f>
        <v>0</v>
      </c>
    </row>
    <row r="33" spans="2:5" s="382" customFormat="1" ht="15.75">
      <c r="B33" s="325"/>
    </row>
    <row r="34" spans="2:5" s="382" customFormat="1" ht="15"/>
    <row r="35" spans="2:5" s="382" customFormat="1" ht="15.75">
      <c r="D35" s="482" t="s">
        <v>1718</v>
      </c>
      <c r="E35" s="482" t="s">
        <v>1719</v>
      </c>
    </row>
    <row r="36" spans="2:5" s="382" customFormat="1" ht="15.75">
      <c r="D36" s="482" t="s">
        <v>3044</v>
      </c>
      <c r="E36" s="482" t="s">
        <v>3044</v>
      </c>
    </row>
    <row r="37" spans="2:5" s="382" customFormat="1" ht="15.75">
      <c r="B37" s="1955" t="s">
        <v>2451</v>
      </c>
      <c r="C37" s="325"/>
      <c r="D37" s="1989">
        <f>IFA_Limits!N55</f>
        <v>0</v>
      </c>
      <c r="E37" s="1989">
        <f>IFA_Limits!N56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223'!A1" display="'Report-SOF2223'!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0" t="s">
        <v>3118</v>
      </c>
      <c r="E1" s="754" t="str">
        <f>'Report-IFA1920'!E1</f>
        <v>Release 10</v>
      </c>
    </row>
    <row r="2" spans="1:5">
      <c r="A2" s="380" t="s">
        <v>3119</v>
      </c>
      <c r="E2" s="72">
        <f>'Report-IFA1920'!E2</f>
        <v>43724</v>
      </c>
    </row>
    <row r="3" spans="1:5">
      <c r="A3" s="64"/>
      <c r="E3" s="58">
        <f>'Report-IFA1920'!E3</f>
        <v>0</v>
      </c>
    </row>
    <row r="4" spans="1:5" ht="15.75">
      <c r="A4" s="381" t="s">
        <v>7041</v>
      </c>
    </row>
    <row r="5" spans="1:5" ht="15.75">
      <c r="A5" s="383">
        <f>'Data Entry - SOF'!B1</f>
        <v>0</v>
      </c>
    </row>
    <row r="6" spans="1:5" ht="15.75">
      <c r="A6" s="381">
        <f>'Data Entry - SOF'!B2</f>
        <v>0</v>
      </c>
    </row>
    <row r="8" spans="1:5" ht="18">
      <c r="A8" s="591" t="s">
        <v>3121</v>
      </c>
      <c r="B8" s="535"/>
      <c r="C8" s="532" t="s">
        <v>2080</v>
      </c>
      <c r="D8" s="592"/>
      <c r="E8" s="593" t="s">
        <v>3123</v>
      </c>
    </row>
    <row r="9" spans="1:5" ht="18">
      <c r="A9" s="552" t="s">
        <v>3120</v>
      </c>
      <c r="B9" s="594"/>
      <c r="C9" s="533" t="s">
        <v>3122</v>
      </c>
      <c r="D9" s="595"/>
      <c r="E9" s="537" t="s">
        <v>3124</v>
      </c>
    </row>
    <row r="10" spans="1:5" ht="15.75">
      <c r="A10" s="596" t="s">
        <v>3129</v>
      </c>
      <c r="B10" s="597"/>
      <c r="C10" s="597"/>
      <c r="D10" s="597"/>
      <c r="E10" s="598"/>
    </row>
    <row r="11" spans="1:5" ht="15">
      <c r="A11" s="385" t="s">
        <v>2186</v>
      </c>
      <c r="B11" s="386" t="s">
        <v>3125</v>
      </c>
      <c r="C11" s="388">
        <f>'Data Entry - SOF'!Q129</f>
        <v>0</v>
      </c>
      <c r="D11" s="386"/>
      <c r="E11" s="388" t="e">
        <f>'Report-SOF2223'!D56</f>
        <v>#DIV/0!</v>
      </c>
    </row>
    <row r="12" spans="1:5" ht="15">
      <c r="A12" s="385" t="s">
        <v>2187</v>
      </c>
      <c r="B12" s="386" t="s">
        <v>3126</v>
      </c>
      <c r="C12" s="388">
        <f>'Data Entry - SOF'!Q130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8">
      <c r="A15" s="382"/>
      <c r="B15" s="599" t="s">
        <v>3130</v>
      </c>
      <c r="C15" s="492"/>
      <c r="D15" s="492"/>
      <c r="E15" s="602" t="e">
        <f>E13-C13</f>
        <v>#DIV/0!</v>
      </c>
    </row>
    <row r="16" spans="1:5" ht="15.75">
      <c r="A16" s="382"/>
      <c r="C16" s="477" t="s">
        <v>2978</v>
      </c>
      <c r="D16" s="382"/>
      <c r="E16" s="1433" t="s">
        <v>7053</v>
      </c>
    </row>
    <row r="17" spans="1:5" ht="15.75">
      <c r="A17" s="382"/>
      <c r="C17" s="477"/>
      <c r="D17" s="382"/>
      <c r="E17" s="382"/>
    </row>
    <row r="18" spans="1:5" ht="15">
      <c r="A18" s="382"/>
      <c r="B18" s="382"/>
      <c r="C18" s="382"/>
      <c r="D18" s="382"/>
      <c r="E18" s="382"/>
    </row>
    <row r="19" spans="1:5" ht="15.75">
      <c r="A19" s="382"/>
      <c r="B19" s="325" t="s">
        <v>3128</v>
      </c>
      <c r="C19" s="382"/>
      <c r="D19" s="382"/>
      <c r="E19" s="382"/>
    </row>
    <row r="20" spans="1:5" ht="15.75">
      <c r="A20" s="382"/>
      <c r="B20" s="325" t="s">
        <v>3133</v>
      </c>
      <c r="C20" s="382"/>
      <c r="D20" s="382"/>
      <c r="E20" s="382"/>
    </row>
    <row r="21" spans="1:5" ht="15.75">
      <c r="A21" s="382"/>
      <c r="B21" s="325" t="s">
        <v>3134</v>
      </c>
      <c r="C21" s="382"/>
      <c r="D21" s="382"/>
    </row>
    <row r="22" spans="1:5" ht="15.75">
      <c r="A22" s="382"/>
      <c r="B22" s="325" t="s">
        <v>3135</v>
      </c>
    </row>
    <row r="23" spans="1:5" ht="15.75">
      <c r="A23" s="382"/>
      <c r="B23" s="325"/>
    </row>
    <row r="24" spans="1:5" ht="15.75">
      <c r="A24" s="382"/>
      <c r="B24" s="325" t="s">
        <v>3131</v>
      </c>
    </row>
    <row r="25" spans="1:5" ht="15.7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4"/>
  <sheetViews>
    <sheetView topLeftCell="A23" workbookViewId="0">
      <selection activeCell="K39" sqref="K39"/>
    </sheetView>
  </sheetViews>
  <sheetFormatPr defaultRowHeight="12.75"/>
  <cols>
    <col min="1" max="1" width="4.5703125" customWidth="1"/>
    <col min="2" max="2" width="9.5703125" customWidth="1"/>
    <col min="4" max="4" width="11.140625" customWidth="1"/>
    <col min="5" max="5" width="15.85546875" customWidth="1"/>
    <col min="6" max="6" width="24.140625" customWidth="1"/>
    <col min="7" max="8" width="20.5703125" style="2091" hidden="1" customWidth="1"/>
    <col min="9" max="10" width="20.5703125" style="874" customWidth="1"/>
    <col min="11" max="12" width="20.5703125" style="1114" customWidth="1"/>
    <col min="13" max="14" width="20.5703125" style="1120" customWidth="1"/>
    <col min="15" max="16" width="20.5703125" style="1420" customWidth="1"/>
    <col min="17" max="18" width="20.5703125" style="1674" customWidth="1"/>
    <col min="19" max="20" width="20.5703125" style="1761" customWidth="1"/>
  </cols>
  <sheetData>
    <row r="1" spans="1:20" ht="13.5" thickTop="1">
      <c r="A1" s="20" t="s">
        <v>66</v>
      </c>
      <c r="D1" s="60">
        <f>'Data Entry - SOF'!B1</f>
        <v>0</v>
      </c>
      <c r="H1" s="3324"/>
      <c r="I1" s="3734"/>
      <c r="J1" s="3735"/>
      <c r="K1" s="3371"/>
      <c r="L1" s="3372"/>
      <c r="M1" s="3807"/>
      <c r="N1" s="3808"/>
      <c r="O1" s="3844"/>
      <c r="P1" s="3845"/>
      <c r="Q1" s="3882"/>
      <c r="R1" s="3883"/>
      <c r="S1" s="3916"/>
      <c r="T1" s="3917"/>
    </row>
    <row r="2" spans="1:20">
      <c r="A2" s="20" t="s">
        <v>1439</v>
      </c>
      <c r="D2" s="61">
        <f>'Data Entry - SOF'!B2</f>
        <v>0</v>
      </c>
      <c r="H2" s="3324"/>
      <c r="I2" s="3736"/>
      <c r="J2" s="1090"/>
      <c r="K2" s="3373"/>
      <c r="L2" s="1116"/>
      <c r="M2" s="3809"/>
      <c r="N2" s="1121"/>
      <c r="O2" s="1685"/>
      <c r="P2" s="1669"/>
      <c r="Q2" s="3884"/>
      <c r="R2" s="1675"/>
      <c r="S2" s="3918"/>
      <c r="T2" s="3723"/>
    </row>
    <row r="3" spans="1:20">
      <c r="A3" s="20" t="s">
        <v>143</v>
      </c>
      <c r="D3" s="63">
        <f ca="1">'Data Entry - SOF'!B3</f>
        <v>43726.623322453706</v>
      </c>
      <c r="H3" s="3324"/>
      <c r="I3" s="3736"/>
      <c r="J3" s="1090"/>
      <c r="K3" s="3373"/>
      <c r="L3" s="1116"/>
      <c r="M3" s="3809"/>
      <c r="N3" s="1122"/>
      <c r="O3" s="1685"/>
      <c r="P3" s="1670"/>
      <c r="Q3" s="3884"/>
      <c r="R3" s="1676"/>
      <c r="S3" s="3918"/>
      <c r="T3" s="3724"/>
    </row>
    <row r="4" spans="1:20">
      <c r="H4" s="3324"/>
      <c r="I4" s="3736"/>
      <c r="J4" s="1090"/>
      <c r="K4" s="3373"/>
      <c r="L4" s="1116"/>
      <c r="M4" s="3809"/>
      <c r="N4" s="1123"/>
      <c r="O4" s="1685"/>
      <c r="P4" s="1671"/>
      <c r="Q4" s="3884"/>
      <c r="R4" s="1677"/>
      <c r="S4" s="3918"/>
      <c r="T4" s="3725"/>
    </row>
    <row r="5" spans="1:20" ht="15.75">
      <c r="A5" s="30" t="s">
        <v>6932</v>
      </c>
      <c r="H5" s="3324"/>
      <c r="I5" s="3736"/>
      <c r="J5" s="1090"/>
      <c r="K5" s="3373"/>
      <c r="L5" s="1116"/>
      <c r="M5" s="3809"/>
      <c r="N5" s="1123"/>
      <c r="O5" s="1685"/>
      <c r="P5" s="1671"/>
      <c r="Q5" s="3884"/>
      <c r="R5" s="1677"/>
      <c r="S5" s="3918"/>
      <c r="T5" s="3725"/>
    </row>
    <row r="6" spans="1:20" ht="15.75">
      <c r="D6" s="100"/>
      <c r="H6" s="3324"/>
      <c r="I6" s="3736"/>
      <c r="J6" s="1090"/>
      <c r="K6" s="3373"/>
      <c r="L6" s="1116"/>
      <c r="M6" s="3809"/>
      <c r="N6" s="1123"/>
      <c r="O6" s="1685"/>
      <c r="P6" s="1671"/>
      <c r="Q6" s="3884"/>
      <c r="R6" s="1677"/>
      <c r="S6" s="3918"/>
      <c r="T6" s="3725"/>
    </row>
    <row r="7" spans="1:20" ht="15.75">
      <c r="C7" s="30"/>
      <c r="D7" s="71" t="s">
        <v>965</v>
      </c>
      <c r="H7" s="3324"/>
      <c r="I7" s="3736"/>
      <c r="J7" s="1090"/>
      <c r="K7" s="3373"/>
      <c r="L7" s="1116"/>
      <c r="M7" s="3809"/>
      <c r="N7" s="1123"/>
      <c r="O7" s="1685"/>
      <c r="P7" s="1671"/>
      <c r="Q7" s="3884"/>
      <c r="R7" s="1677"/>
      <c r="S7" s="3918"/>
      <c r="T7" s="3725"/>
    </row>
    <row r="8" spans="1:20" ht="15.75">
      <c r="A8" s="35" t="s">
        <v>256</v>
      </c>
      <c r="C8" s="30"/>
      <c r="H8" s="3324"/>
      <c r="I8" s="3736"/>
      <c r="J8" s="1090"/>
      <c r="K8" s="3373"/>
      <c r="L8" s="1116"/>
      <c r="M8" s="3809"/>
      <c r="N8" s="1123"/>
      <c r="O8" s="1685"/>
      <c r="P8" s="1671"/>
      <c r="Q8" s="3884"/>
      <c r="R8" s="1677"/>
      <c r="S8" s="3918"/>
      <c r="T8" s="3725"/>
    </row>
    <row r="9" spans="1:20" ht="15.75">
      <c r="C9" s="30"/>
      <c r="H9" s="3324"/>
      <c r="I9" s="3736"/>
      <c r="J9" s="1090"/>
      <c r="K9" s="3373"/>
      <c r="L9" s="1116"/>
      <c r="M9" s="3809"/>
      <c r="N9" s="1123"/>
      <c r="O9" s="1685"/>
      <c r="P9" s="1671"/>
      <c r="Q9" s="3884"/>
      <c r="R9" s="1677"/>
      <c r="S9" s="3918"/>
      <c r="T9" s="3725"/>
    </row>
    <row r="10" spans="1:20" ht="15">
      <c r="B10" t="s">
        <v>106</v>
      </c>
      <c r="C10" s="36" t="s">
        <v>970</v>
      </c>
      <c r="H10" s="3324"/>
      <c r="I10" s="3736"/>
      <c r="J10" s="1090"/>
      <c r="K10" s="3373"/>
      <c r="L10" s="1116"/>
      <c r="M10" s="3809"/>
      <c r="N10" s="1123"/>
      <c r="O10" s="1685"/>
      <c r="P10" s="1671"/>
      <c r="Q10" s="3884"/>
      <c r="R10" s="1677"/>
      <c r="S10" s="3918"/>
      <c r="T10" s="3725"/>
    </row>
    <row r="11" spans="1:20" ht="15">
      <c r="B11" s="37" t="s">
        <v>915</v>
      </c>
      <c r="C11" s="36" t="s">
        <v>1177</v>
      </c>
      <c r="H11" s="3324"/>
      <c r="I11" s="3736"/>
      <c r="J11" s="1090"/>
      <c r="K11" s="3373"/>
      <c r="L11" s="1116"/>
      <c r="M11" s="3809"/>
      <c r="N11" s="1123"/>
      <c r="O11" s="1685"/>
      <c r="P11" s="1671"/>
      <c r="Q11" s="3884"/>
      <c r="R11" s="1677"/>
      <c r="S11" s="3918"/>
      <c r="T11" s="3725"/>
    </row>
    <row r="12" spans="1:20" ht="15">
      <c r="B12" s="37" t="s">
        <v>257</v>
      </c>
      <c r="C12" s="36" t="s">
        <v>2598</v>
      </c>
      <c r="H12" s="3324"/>
      <c r="I12" s="3736"/>
      <c r="J12" s="1090"/>
      <c r="K12" s="3373"/>
      <c r="L12" s="1116"/>
      <c r="M12" s="3809"/>
      <c r="N12" s="1123"/>
      <c r="O12" s="1685"/>
      <c r="P12" s="1671"/>
      <c r="Q12" s="3884"/>
      <c r="R12" s="1677"/>
      <c r="S12" s="3918"/>
      <c r="T12" s="3725"/>
    </row>
    <row r="13" spans="1:20" ht="15">
      <c r="B13" s="37" t="s">
        <v>916</v>
      </c>
      <c r="C13" s="36" t="s">
        <v>1546</v>
      </c>
      <c r="H13" s="3324"/>
      <c r="I13" s="3736"/>
      <c r="J13" s="1090"/>
      <c r="K13" s="3373"/>
      <c r="L13" s="1116"/>
      <c r="M13" s="3809"/>
      <c r="N13" s="1123"/>
      <c r="O13" s="1685"/>
      <c r="P13" s="1671"/>
      <c r="Q13" s="3884"/>
      <c r="R13" s="1677"/>
      <c r="S13" s="3918"/>
      <c r="T13" s="3725"/>
    </row>
    <row r="14" spans="1:20" ht="15" hidden="1">
      <c r="B14" s="37"/>
      <c r="C14" s="36"/>
      <c r="H14" s="3324"/>
      <c r="I14" s="3736"/>
      <c r="J14" s="1090"/>
      <c r="K14" s="3373"/>
      <c r="L14" s="1116"/>
      <c r="M14" s="3809"/>
      <c r="N14" s="1123"/>
      <c r="O14" s="1685"/>
      <c r="P14" s="1671"/>
      <c r="Q14" s="3884"/>
      <c r="R14" s="1677"/>
      <c r="S14" s="3918"/>
      <c r="T14" s="3725"/>
    </row>
    <row r="15" spans="1:20" s="102" customFormat="1" ht="25.35" hidden="1" customHeight="1" thickTop="1">
      <c r="A15" s="107" t="s">
        <v>145</v>
      </c>
      <c r="B15" s="112"/>
      <c r="C15" s="113"/>
      <c r="D15" s="114"/>
      <c r="E15" s="114"/>
      <c r="F15" s="114"/>
      <c r="G15" s="2092"/>
      <c r="H15" s="3733"/>
      <c r="I15" s="3737"/>
      <c r="J15" s="1127"/>
      <c r="K15" s="3779"/>
      <c r="L15" s="1118"/>
      <c r="M15" s="3810"/>
      <c r="N15" s="1125"/>
      <c r="O15" s="3846"/>
      <c r="P15" s="1673"/>
      <c r="Q15" s="3885"/>
      <c r="R15" s="1679"/>
      <c r="S15" s="3919"/>
      <c r="T15" s="3726"/>
    </row>
    <row r="16" spans="1:20" s="102" customFormat="1" ht="25.35" hidden="1" customHeight="1">
      <c r="A16" s="109" t="s">
        <v>1876</v>
      </c>
      <c r="B16" s="103"/>
      <c r="C16" s="104"/>
      <c r="D16" s="105"/>
      <c r="E16" s="105"/>
      <c r="F16" s="105"/>
      <c r="G16" s="2092"/>
      <c r="H16" s="3733"/>
      <c r="I16" s="3737"/>
      <c r="J16" s="1127"/>
      <c r="K16" s="3779"/>
      <c r="L16" s="1118"/>
      <c r="M16" s="3810"/>
      <c r="N16" s="1125"/>
      <c r="O16" s="3846"/>
      <c r="P16" s="1673"/>
      <c r="Q16" s="3885"/>
      <c r="R16" s="1679"/>
      <c r="S16" s="3919"/>
      <c r="T16" s="3726"/>
    </row>
    <row r="17" spans="1:30" s="102" customFormat="1" ht="25.35" hidden="1" customHeight="1">
      <c r="A17" s="109" t="s">
        <v>18</v>
      </c>
      <c r="B17" s="103"/>
      <c r="C17" s="104"/>
      <c r="D17" s="105"/>
      <c r="E17" s="105"/>
      <c r="F17" s="105"/>
      <c r="G17" s="2092"/>
      <c r="H17" s="3733"/>
      <c r="I17" s="3737"/>
      <c r="J17" s="1127"/>
      <c r="K17" s="3779"/>
      <c r="L17" s="1118"/>
      <c r="M17" s="3810"/>
      <c r="N17" s="1125"/>
      <c r="O17" s="3846"/>
      <c r="P17" s="1673"/>
      <c r="Q17" s="3885"/>
      <c r="R17" s="1679"/>
      <c r="S17" s="3919"/>
      <c r="T17" s="3726"/>
    </row>
    <row r="18" spans="1:30" s="102" customFormat="1" ht="25.35" hidden="1" customHeight="1">
      <c r="A18" s="109" t="s">
        <v>2088</v>
      </c>
      <c r="B18" s="103"/>
      <c r="C18" s="104"/>
      <c r="D18" s="105"/>
      <c r="E18" s="105"/>
      <c r="F18" s="105"/>
      <c r="G18" s="2092"/>
      <c r="H18" s="3733"/>
      <c r="I18" s="3737"/>
      <c r="J18" s="1127"/>
      <c r="K18" s="3779"/>
      <c r="L18" s="1118"/>
      <c r="M18" s="3810"/>
      <c r="N18" s="1125"/>
      <c r="O18" s="3846"/>
      <c r="P18" s="1673"/>
      <c r="Q18" s="3885"/>
      <c r="R18" s="1679"/>
      <c r="S18" s="3919"/>
      <c r="T18" s="3726"/>
    </row>
    <row r="19" spans="1:30" s="102" customFormat="1" ht="25.35" hidden="1" customHeight="1" thickBot="1">
      <c r="A19" s="115"/>
      <c r="B19" s="116"/>
      <c r="C19" s="117"/>
      <c r="D19" s="118"/>
      <c r="E19" s="118"/>
      <c r="F19" s="118"/>
      <c r="G19" s="2092"/>
      <c r="H19" s="3733"/>
      <c r="I19" s="3737"/>
      <c r="J19" s="1127"/>
      <c r="K19" s="3779"/>
      <c r="L19" s="1118"/>
      <c r="M19" s="3810"/>
      <c r="N19" s="1125"/>
      <c r="O19" s="3846"/>
      <c r="P19" s="1673"/>
      <c r="Q19" s="3885"/>
      <c r="R19" s="1679"/>
      <c r="S19" s="3919"/>
      <c r="T19" s="3726"/>
    </row>
    <row r="20" spans="1:30" ht="15.75" thickBot="1">
      <c r="A20" s="38"/>
      <c r="B20" s="39"/>
      <c r="C20" s="40"/>
      <c r="D20" s="38"/>
      <c r="E20" s="38"/>
      <c r="F20" s="38"/>
      <c r="G20" s="2093" t="s">
        <v>3892</v>
      </c>
      <c r="H20" s="3324"/>
      <c r="I20" s="3758" t="s">
        <v>3892</v>
      </c>
      <c r="J20" s="1090"/>
      <c r="K20" s="3373"/>
      <c r="L20" s="3780"/>
      <c r="M20" s="3811" t="s">
        <v>3892</v>
      </c>
      <c r="N20" s="1123"/>
      <c r="O20" s="3847"/>
      <c r="P20" s="1671"/>
      <c r="Q20" s="3886" t="s">
        <v>3892</v>
      </c>
      <c r="R20" s="1677"/>
      <c r="S20" s="3920"/>
      <c r="T20" s="3725"/>
    </row>
    <row r="21" spans="1:30" ht="13.5" thickTop="1">
      <c r="G21" s="2071" t="s">
        <v>3853</v>
      </c>
      <c r="H21" s="3751" t="s">
        <v>3854</v>
      </c>
      <c r="I21" s="3759" t="s">
        <v>3853</v>
      </c>
      <c r="J21" s="3760" t="s">
        <v>3854</v>
      </c>
      <c r="K21" s="3781" t="s">
        <v>3853</v>
      </c>
      <c r="L21" s="3782" t="s">
        <v>3854</v>
      </c>
      <c r="M21" s="3812" t="s">
        <v>3853</v>
      </c>
      <c r="N21" s="3813" t="s">
        <v>3854</v>
      </c>
      <c r="O21" s="3848" t="s">
        <v>3853</v>
      </c>
      <c r="P21" s="3849" t="s">
        <v>3854</v>
      </c>
      <c r="Q21" s="3887" t="s">
        <v>3853</v>
      </c>
      <c r="R21" s="3888" t="s">
        <v>3854</v>
      </c>
      <c r="S21" s="3921" t="s">
        <v>3853</v>
      </c>
      <c r="T21" s="3922" t="s">
        <v>3854</v>
      </c>
      <c r="U21" s="204"/>
      <c r="V21" s="204"/>
      <c r="W21" s="204"/>
      <c r="X21" s="204"/>
      <c r="Y21" s="204"/>
      <c r="Z21" s="204"/>
      <c r="AA21" s="204"/>
      <c r="AB21" s="204"/>
      <c r="AC21" s="204"/>
      <c r="AD21" s="204"/>
    </row>
    <row r="22" spans="1:30" ht="15.75">
      <c r="A22" s="34" t="s">
        <v>814</v>
      </c>
      <c r="B22" s="23"/>
      <c r="C22" s="9"/>
      <c r="D22" s="23"/>
      <c r="E22" s="23"/>
      <c r="F22" s="9"/>
      <c r="G22" s="2094" t="s">
        <v>3138</v>
      </c>
      <c r="H22" s="3325" t="s">
        <v>3138</v>
      </c>
      <c r="I22" s="3738" t="s">
        <v>3225</v>
      </c>
      <c r="J22" s="3739" t="s">
        <v>3225</v>
      </c>
      <c r="K22" s="3783" t="s">
        <v>3284</v>
      </c>
      <c r="L22" s="3629" t="s">
        <v>3284</v>
      </c>
      <c r="M22" s="3814" t="s">
        <v>3922</v>
      </c>
      <c r="N22" s="3815" t="s">
        <v>3922</v>
      </c>
      <c r="O22" s="3850" t="s">
        <v>6374</v>
      </c>
      <c r="P22" s="3851" t="s">
        <v>6374</v>
      </c>
      <c r="Q22" s="3889" t="s">
        <v>6939</v>
      </c>
      <c r="R22" s="3330" t="str">
        <f>Q22</f>
        <v>2022-23</v>
      </c>
      <c r="S22" s="3923" t="s">
        <v>8157</v>
      </c>
      <c r="T22" s="3727" t="str">
        <f>S22</f>
        <v>2023-24</v>
      </c>
    </row>
    <row r="23" spans="1:30">
      <c r="A23" s="31"/>
      <c r="G23" s="2094" t="s">
        <v>2077</v>
      </c>
      <c r="H23" s="3325" t="s">
        <v>2077</v>
      </c>
      <c r="I23" s="3740" t="s">
        <v>2077</v>
      </c>
      <c r="J23" s="3741" t="s">
        <v>2077</v>
      </c>
      <c r="K23" s="1792" t="s">
        <v>2077</v>
      </c>
      <c r="L23" s="3630" t="s">
        <v>2077</v>
      </c>
      <c r="M23" s="3816" t="s">
        <v>2077</v>
      </c>
      <c r="N23" s="3817" t="s">
        <v>2077</v>
      </c>
      <c r="O23" s="3852" t="s">
        <v>2077</v>
      </c>
      <c r="P23" s="3853" t="s">
        <v>2077</v>
      </c>
      <c r="Q23" s="3890" t="s">
        <v>2077</v>
      </c>
      <c r="R23" s="1680" t="s">
        <v>2077</v>
      </c>
      <c r="S23" s="3924" t="s">
        <v>2077</v>
      </c>
      <c r="T23" s="3728" t="s">
        <v>2077</v>
      </c>
    </row>
    <row r="24" spans="1:30">
      <c r="A24" s="41" t="s">
        <v>2186</v>
      </c>
      <c r="B24" t="s">
        <v>8648</v>
      </c>
      <c r="G24" s="2095">
        <f>'Data Entry - SOF'!C169</f>
        <v>0</v>
      </c>
      <c r="H24" s="3752">
        <f>G24</f>
        <v>0</v>
      </c>
      <c r="I24" s="3761">
        <f>'Data Entry - SOF'!E169</f>
        <v>0</v>
      </c>
      <c r="J24" s="3762">
        <f>I24</f>
        <v>0</v>
      </c>
      <c r="K24" s="3784">
        <f>'Data Entry - SOF'!E101</f>
        <v>0</v>
      </c>
      <c r="L24" s="3785">
        <f>K24</f>
        <v>0</v>
      </c>
      <c r="M24" s="3818">
        <f>K24</f>
        <v>0</v>
      </c>
      <c r="N24" s="3819">
        <f>M24</f>
        <v>0</v>
      </c>
      <c r="O24" s="3854">
        <f>'Data Entry - SOF'!M101</f>
        <v>0</v>
      </c>
      <c r="P24" s="3855">
        <f>O24</f>
        <v>0</v>
      </c>
      <c r="Q24" s="3891">
        <f>O24</f>
        <v>0</v>
      </c>
      <c r="R24" s="3892">
        <f>Q24</f>
        <v>0</v>
      </c>
      <c r="S24" s="3925">
        <f>'Data Entry - SOF'!Q101</f>
        <v>0</v>
      </c>
      <c r="T24" s="3926">
        <f>S24</f>
        <v>0</v>
      </c>
    </row>
    <row r="25" spans="1:30">
      <c r="A25" s="41"/>
      <c r="B25" s="71"/>
      <c r="G25" s="2096"/>
      <c r="H25" s="3326"/>
      <c r="I25" s="3742"/>
      <c r="J25" s="3743"/>
      <c r="K25" s="3786"/>
      <c r="L25" s="3787"/>
      <c r="M25" s="3820"/>
      <c r="N25" s="3821"/>
      <c r="O25" s="3856"/>
      <c r="P25" s="3857"/>
      <c r="Q25" s="3893"/>
      <c r="R25" s="1681"/>
      <c r="S25" s="3927"/>
      <c r="T25" s="3729"/>
    </row>
    <row r="26" spans="1:30">
      <c r="A26" s="41" t="s">
        <v>2187</v>
      </c>
      <c r="B26" t="s">
        <v>3345</v>
      </c>
      <c r="G26" s="2097">
        <f>'Data Entry - SOF'!C170</f>
        <v>0</v>
      </c>
      <c r="H26" s="3753">
        <f>G26</f>
        <v>0</v>
      </c>
      <c r="I26" s="3763">
        <f>'Data Entry - SOF'!E170</f>
        <v>0</v>
      </c>
      <c r="J26" s="3764">
        <f>I26</f>
        <v>0</v>
      </c>
      <c r="K26" s="3788">
        <f>I61</f>
        <v>0</v>
      </c>
      <c r="L26" s="3789">
        <f>K26</f>
        <v>0</v>
      </c>
      <c r="M26" s="3822">
        <f>K26</f>
        <v>0</v>
      </c>
      <c r="N26" s="3823">
        <f>M26</f>
        <v>0</v>
      </c>
      <c r="O26" s="3858">
        <f>M61</f>
        <v>0</v>
      </c>
      <c r="P26" s="3859">
        <f>O26</f>
        <v>0</v>
      </c>
      <c r="Q26" s="3894">
        <f>O26</f>
        <v>0</v>
      </c>
      <c r="R26" s="3895">
        <f>Q26</f>
        <v>0</v>
      </c>
      <c r="S26" s="3928">
        <f>Q61</f>
        <v>0</v>
      </c>
      <c r="T26" s="3929">
        <f>S26</f>
        <v>0</v>
      </c>
    </row>
    <row r="27" spans="1:30">
      <c r="A27" s="31"/>
      <c r="B27" s="71"/>
      <c r="G27" s="2096"/>
      <c r="H27" s="3326"/>
      <c r="I27" s="3742"/>
      <c r="J27" s="3743"/>
      <c r="K27" s="3786"/>
      <c r="L27" s="3787"/>
      <c r="M27" s="3820"/>
      <c r="N27" s="3821"/>
      <c r="O27" s="3856"/>
      <c r="P27" s="3857"/>
      <c r="Q27" s="3893"/>
      <c r="R27" s="1681"/>
      <c r="S27" s="3927"/>
      <c r="T27" s="3729"/>
    </row>
    <row r="28" spans="1:30">
      <c r="A28" s="41" t="s">
        <v>2188</v>
      </c>
      <c r="B28" t="s">
        <v>3346</v>
      </c>
      <c r="G28" s="2097">
        <f>'Data Entry - SOF'!C171</f>
        <v>0</v>
      </c>
      <c r="H28" s="3753">
        <f>G28</f>
        <v>0</v>
      </c>
      <c r="I28" s="3763">
        <f>'Data Entry - SOF'!E171</f>
        <v>0</v>
      </c>
      <c r="J28" s="3764">
        <f>I28</f>
        <v>0</v>
      </c>
      <c r="K28" s="3788">
        <f>'IFA-HB3'!L79</f>
        <v>0</v>
      </c>
      <c r="L28" s="3789">
        <f>K28</f>
        <v>0</v>
      </c>
      <c r="M28" s="3822">
        <f>K28</f>
        <v>0</v>
      </c>
      <c r="N28" s="3823">
        <f>M28</f>
        <v>0</v>
      </c>
      <c r="O28" s="3860">
        <f>'IFA-HB3'!Q79</f>
        <v>0</v>
      </c>
      <c r="P28" s="3859">
        <f>O28</f>
        <v>0</v>
      </c>
      <c r="Q28" s="3896">
        <f>O28</f>
        <v>0</v>
      </c>
      <c r="R28" s="3895">
        <f>Q28</f>
        <v>0</v>
      </c>
      <c r="S28" s="3930">
        <f>'IFA-HB3'!W79</f>
        <v>0</v>
      </c>
      <c r="T28" s="3929">
        <f>S28</f>
        <v>0</v>
      </c>
    </row>
    <row r="29" spans="1:30">
      <c r="A29" s="41"/>
      <c r="B29" s="71"/>
      <c r="G29" s="2096"/>
      <c r="H29" s="3326"/>
      <c r="I29" s="3742"/>
      <c r="J29" s="3743"/>
      <c r="K29" s="3786"/>
      <c r="L29" s="3787"/>
      <c r="M29" s="3820"/>
      <c r="N29" s="3821"/>
      <c r="O29" s="3856"/>
      <c r="P29" s="3857"/>
      <c r="Q29" s="3893"/>
      <c r="R29" s="1681"/>
      <c r="S29" s="3927"/>
      <c r="T29" s="3729"/>
    </row>
    <row r="30" spans="1:30">
      <c r="A30" s="41" t="s">
        <v>909</v>
      </c>
      <c r="B30" t="s">
        <v>298</v>
      </c>
      <c r="G30" s="2098">
        <f t="shared" ref="G30:T30" si="0">IF(G24-G26-G28&lt;0,0,G24-G26-G28)</f>
        <v>0</v>
      </c>
      <c r="H30" s="3754">
        <f t="shared" si="0"/>
        <v>0</v>
      </c>
      <c r="I30" s="3765">
        <f t="shared" si="0"/>
        <v>0</v>
      </c>
      <c r="J30" s="3766">
        <f t="shared" si="0"/>
        <v>0</v>
      </c>
      <c r="K30" s="3790">
        <f t="shared" si="0"/>
        <v>0</v>
      </c>
      <c r="L30" s="3791">
        <f t="shared" si="0"/>
        <v>0</v>
      </c>
      <c r="M30" s="3824">
        <f t="shared" si="0"/>
        <v>0</v>
      </c>
      <c r="N30" s="3825">
        <f t="shared" si="0"/>
        <v>0</v>
      </c>
      <c r="O30" s="3861">
        <f t="shared" si="0"/>
        <v>0</v>
      </c>
      <c r="P30" s="3862">
        <f t="shared" si="0"/>
        <v>0</v>
      </c>
      <c r="Q30" s="3897">
        <f t="shared" si="0"/>
        <v>0</v>
      </c>
      <c r="R30" s="3898">
        <f t="shared" si="0"/>
        <v>0</v>
      </c>
      <c r="S30" s="3931">
        <f t="shared" si="0"/>
        <v>0</v>
      </c>
      <c r="T30" s="3932">
        <f t="shared" si="0"/>
        <v>0</v>
      </c>
    </row>
    <row r="31" spans="1:30">
      <c r="A31" s="41"/>
      <c r="B31" t="s">
        <v>901</v>
      </c>
      <c r="G31" s="2096"/>
      <c r="H31" s="3326"/>
      <c r="I31" s="3742"/>
      <c r="J31" s="3743"/>
      <c r="K31" s="3786"/>
      <c r="L31" s="3787"/>
      <c r="M31" s="3820"/>
      <c r="N31" s="3821"/>
      <c r="O31" s="3856"/>
      <c r="P31" s="3857"/>
      <c r="Q31" s="3893"/>
      <c r="R31" s="1681"/>
      <c r="S31" s="3927"/>
      <c r="T31" s="3729"/>
    </row>
    <row r="32" spans="1:30">
      <c r="A32" s="41"/>
      <c r="G32" s="2096"/>
      <c r="H32" s="3326"/>
      <c r="I32" s="3742"/>
      <c r="J32" s="3743"/>
      <c r="K32" s="3786"/>
      <c r="L32" s="3787"/>
      <c r="M32" s="3820"/>
      <c r="N32" s="3821"/>
      <c r="O32" s="3856"/>
      <c r="P32" s="3857"/>
      <c r="Q32" s="3893"/>
      <c r="R32" s="1681"/>
      <c r="S32" s="3927"/>
      <c r="T32" s="3729"/>
    </row>
    <row r="33" spans="1:20">
      <c r="A33" s="41" t="s">
        <v>910</v>
      </c>
      <c r="B33" s="83" t="s">
        <v>17</v>
      </c>
      <c r="G33" s="2097">
        <f>'Data Entry - SOF'!C118</f>
        <v>0</v>
      </c>
      <c r="H33" s="3753">
        <f>G33</f>
        <v>0</v>
      </c>
      <c r="I33" s="3767">
        <f>'Data Entry - SOF'!E118</f>
        <v>0</v>
      </c>
      <c r="J33" s="3768">
        <f>'Data Entry - SOF'!E118</f>
        <v>0</v>
      </c>
      <c r="K33" s="3792">
        <f>'Data Entry - SOF'!K118</f>
        <v>0</v>
      </c>
      <c r="L33" s="3793">
        <f>K33</f>
        <v>0</v>
      </c>
      <c r="M33" s="3826">
        <f>'Data Entry - SOF'!M118</f>
        <v>0</v>
      </c>
      <c r="N33" s="3827">
        <f>M33</f>
        <v>0</v>
      </c>
      <c r="O33" s="3863">
        <f>'Data Entry - SOF'!O118</f>
        <v>0</v>
      </c>
      <c r="P33" s="3864">
        <f>O33</f>
        <v>0</v>
      </c>
      <c r="Q33" s="3899">
        <f>'Data Entry - SOF'!Q118</f>
        <v>0</v>
      </c>
      <c r="R33" s="3900">
        <f>Q33</f>
        <v>0</v>
      </c>
      <c r="S33" s="3933">
        <f>'Data Entry - SOF'!S118</f>
        <v>0</v>
      </c>
      <c r="T33" s="3934">
        <f>S33</f>
        <v>0</v>
      </c>
    </row>
    <row r="34" spans="1:20">
      <c r="A34" s="31"/>
      <c r="B34" s="83" t="s">
        <v>1890</v>
      </c>
      <c r="G34" s="2096"/>
      <c r="H34" s="3326"/>
      <c r="I34" s="3742"/>
      <c r="J34" s="3743"/>
      <c r="K34" s="3786"/>
      <c r="L34" s="3787"/>
      <c r="M34" s="3820"/>
      <c r="N34" s="3821"/>
      <c r="O34" s="3856"/>
      <c r="P34" s="3857"/>
      <c r="Q34" s="3893"/>
      <c r="R34" s="1681"/>
      <c r="S34" s="3927"/>
      <c r="T34" s="3729"/>
    </row>
    <row r="35" spans="1:20">
      <c r="A35" s="41" t="s">
        <v>912</v>
      </c>
      <c r="B35" t="s">
        <v>6937</v>
      </c>
      <c r="G35" s="2097" t="e">
        <f>#REF!</f>
        <v>#REF!</v>
      </c>
      <c r="H35" s="3753" t="e">
        <f>G35</f>
        <v>#REF!</v>
      </c>
      <c r="I35" s="4379">
        <f>IFA_Limits!F55</f>
        <v>0</v>
      </c>
      <c r="J35" s="3768">
        <f>I35</f>
        <v>0</v>
      </c>
      <c r="K35" s="3792">
        <f>IFA_Limits!H55</f>
        <v>0</v>
      </c>
      <c r="L35" s="3793">
        <f>K35</f>
        <v>0</v>
      </c>
      <c r="M35" s="3826">
        <f>IFA_Limits!J55</f>
        <v>0</v>
      </c>
      <c r="N35" s="3827">
        <f>M35</f>
        <v>0</v>
      </c>
      <c r="O35" s="3863">
        <f>IFA_Limits!L55</f>
        <v>0</v>
      </c>
      <c r="P35" s="3864">
        <f>O35</f>
        <v>0</v>
      </c>
      <c r="Q35" s="3899">
        <f>IFA_Limits!N55</f>
        <v>0</v>
      </c>
      <c r="R35" s="3900">
        <f>Q35</f>
        <v>0</v>
      </c>
      <c r="S35" s="3933">
        <f>IFA_Limits!P55</f>
        <v>0</v>
      </c>
      <c r="T35" s="3934">
        <f>S35</f>
        <v>0</v>
      </c>
    </row>
    <row r="36" spans="1:20">
      <c r="A36" s="41"/>
      <c r="G36" s="2096"/>
      <c r="H36" s="3326"/>
      <c r="I36" s="3742"/>
      <c r="J36" s="3743"/>
      <c r="K36" s="3786"/>
      <c r="L36" s="3787"/>
      <c r="M36" s="3820"/>
      <c r="N36" s="3821"/>
      <c r="O36" s="3856"/>
      <c r="P36" s="3857"/>
      <c r="Q36" s="3893"/>
      <c r="R36" s="1681"/>
      <c r="S36" s="3927"/>
      <c r="T36" s="3729"/>
    </row>
    <row r="37" spans="1:20">
      <c r="A37" s="41" t="s">
        <v>913</v>
      </c>
      <c r="B37" t="s">
        <v>2008</v>
      </c>
      <c r="G37" s="2099">
        <f>'Data Entry - SOF'!C19</f>
        <v>0</v>
      </c>
      <c r="H37" s="3755">
        <f>G37</f>
        <v>0</v>
      </c>
      <c r="I37" s="3769">
        <f>'Data Entry - SOF'!E19</f>
        <v>0</v>
      </c>
      <c r="J37" s="3770">
        <f>'Data Entry - SOF'!E19</f>
        <v>0</v>
      </c>
      <c r="K37" s="3794">
        <f>'Data Entry - SOF'!K19</f>
        <v>0</v>
      </c>
      <c r="L37" s="3795">
        <f>K37</f>
        <v>0</v>
      </c>
      <c r="M37" s="3828">
        <f>'Data Entry - SOF'!M19</f>
        <v>0</v>
      </c>
      <c r="N37" s="3829">
        <f>M37</f>
        <v>0</v>
      </c>
      <c r="O37" s="3865">
        <f>'Data Entry - SOF'!O19</f>
        <v>0</v>
      </c>
      <c r="P37" s="3866">
        <f>O37</f>
        <v>0</v>
      </c>
      <c r="Q37" s="3901">
        <f>'Data Entry - SOF'!Q19</f>
        <v>0</v>
      </c>
      <c r="R37" s="3902">
        <f>Q37</f>
        <v>0</v>
      </c>
      <c r="S37" s="3935">
        <f>'Data Entry - SOF'!S19</f>
        <v>0</v>
      </c>
      <c r="T37" s="3936">
        <f>S37</f>
        <v>0</v>
      </c>
    </row>
    <row r="38" spans="1:20">
      <c r="A38" s="31"/>
      <c r="H38" s="3324"/>
      <c r="I38" s="3744"/>
      <c r="J38" s="1090"/>
      <c r="K38" s="3652"/>
      <c r="L38" s="1116"/>
      <c r="M38" s="3830"/>
      <c r="N38" s="1123"/>
      <c r="O38" s="3867"/>
      <c r="P38" s="1671"/>
      <c r="Q38" s="3903"/>
      <c r="R38" s="1677"/>
      <c r="S38" s="3937"/>
      <c r="T38" s="3725"/>
    </row>
    <row r="39" spans="1:20">
      <c r="A39" s="41" t="s">
        <v>914</v>
      </c>
      <c r="B39" t="s">
        <v>6603</v>
      </c>
      <c r="G39" s="2097">
        <f>'Data Entry - SOF'!C168</f>
        <v>0</v>
      </c>
      <c r="H39" s="3753">
        <f>G39</f>
        <v>0</v>
      </c>
      <c r="I39" s="3767">
        <f>'Data Entry - SOF'!E168</f>
        <v>0</v>
      </c>
      <c r="J39" s="3768">
        <f>I39</f>
        <v>0</v>
      </c>
      <c r="K39" s="3792">
        <f>'Data Entry - SOF'!E76</f>
        <v>0</v>
      </c>
      <c r="L39" s="3793" t="e">
        <f>'DE1'!F54</f>
        <v>#N/A</v>
      </c>
      <c r="M39" s="3826">
        <f>K39</f>
        <v>0</v>
      </c>
      <c r="N39" s="3827" t="e">
        <f>L39</f>
        <v>#N/A</v>
      </c>
      <c r="O39" s="3868">
        <f>'Data Entry - SOF'!M79</f>
        <v>0</v>
      </c>
      <c r="P39" s="3864">
        <f>'Data Entry - SOF'!M80</f>
        <v>0</v>
      </c>
      <c r="Q39" s="3904">
        <f>O39</f>
        <v>0</v>
      </c>
      <c r="R39" s="3900">
        <f>P39</f>
        <v>0</v>
      </c>
      <c r="S39" s="3938">
        <f>'Data Entry - SOF'!Q79</f>
        <v>0</v>
      </c>
      <c r="T39" s="3934">
        <f>'Data Entry - SOF'!Q80</f>
        <v>0</v>
      </c>
    </row>
    <row r="40" spans="1:20">
      <c r="A40" s="41"/>
      <c r="G40" s="2096"/>
      <c r="H40" s="3326"/>
      <c r="I40" s="3742"/>
      <c r="J40" s="3743"/>
      <c r="K40" s="3786"/>
      <c r="L40" s="3787"/>
      <c r="M40" s="3820"/>
      <c r="N40" s="3821"/>
      <c r="O40" s="3856"/>
      <c r="P40" s="3857"/>
      <c r="Q40" s="3893"/>
      <c r="R40" s="1681"/>
      <c r="S40" s="4380"/>
      <c r="T40" s="3729"/>
    </row>
    <row r="41" spans="1:20">
      <c r="A41" s="41" t="s">
        <v>118</v>
      </c>
      <c r="B41" t="s">
        <v>9224</v>
      </c>
      <c r="G41" s="2097">
        <f>'Data Entry - SOF'!C76</f>
        <v>0</v>
      </c>
      <c r="H41" s="3753">
        <f>'Data Entry - SOF'!C78</f>
        <v>0</v>
      </c>
      <c r="I41" s="3767">
        <f>'Data Entry - SOF'!E76</f>
        <v>0</v>
      </c>
      <c r="J41" s="3768">
        <f>'Data Entry - SOF'!E78</f>
        <v>0</v>
      </c>
      <c r="K41" s="3792">
        <f>'Data Entry - SOF'!K79</f>
        <v>0</v>
      </c>
      <c r="L41" s="3793">
        <f>'Data Entry - SOF'!K80</f>
        <v>0</v>
      </c>
      <c r="M41" s="3826">
        <f>'Data Entry - SOF'!M79</f>
        <v>0</v>
      </c>
      <c r="N41" s="3827">
        <f>'Data Entry - SOF'!M80</f>
        <v>0</v>
      </c>
      <c r="O41" s="3863">
        <f>'Data Entry - SOF'!O79</f>
        <v>0</v>
      </c>
      <c r="P41" s="3864">
        <f>'Data Entry - SOF'!O80</f>
        <v>0</v>
      </c>
      <c r="Q41" s="3899">
        <f>'Data Entry - SOF'!Q79</f>
        <v>0</v>
      </c>
      <c r="R41" s="3900">
        <f>'Data Entry - SOF'!Q80</f>
        <v>0</v>
      </c>
      <c r="S41" s="3933">
        <f>'Data Entry - SOF'!S79</f>
        <v>0</v>
      </c>
      <c r="T41" s="3934">
        <f>'Data Entry - SOF'!S80</f>
        <v>0</v>
      </c>
    </row>
    <row r="42" spans="1:20">
      <c r="A42" s="31"/>
      <c r="H42" s="3324"/>
      <c r="I42" s="3744"/>
      <c r="J42" s="1090"/>
      <c r="K42" s="3652"/>
      <c r="L42" s="1116"/>
      <c r="M42" s="3830"/>
      <c r="N42" s="1123"/>
      <c r="O42" s="3867"/>
      <c r="P42" s="1671"/>
      <c r="Q42" s="3903"/>
      <c r="R42" s="1677"/>
      <c r="S42" s="3937"/>
      <c r="T42" s="3725"/>
    </row>
    <row r="43" spans="1:20" ht="15.75">
      <c r="A43" s="32" t="s">
        <v>908</v>
      </c>
      <c r="H43" s="3324"/>
      <c r="I43" s="3744"/>
      <c r="J43" s="1090"/>
      <c r="K43" s="3652"/>
      <c r="L43" s="1116"/>
      <c r="M43" s="3830"/>
      <c r="N43" s="1123"/>
      <c r="O43" s="3867"/>
      <c r="P43" s="1671"/>
      <c r="Q43" s="3903"/>
      <c r="R43" s="1677"/>
      <c r="S43" s="3937"/>
      <c r="T43" s="3725"/>
    </row>
    <row r="44" spans="1:20">
      <c r="A44" s="31"/>
      <c r="H44" s="3324"/>
      <c r="I44" s="3744"/>
      <c r="J44" s="1090"/>
      <c r="K44" s="3652"/>
      <c r="L44" s="1116"/>
      <c r="M44" s="3830"/>
      <c r="N44" s="1123"/>
      <c r="O44" s="3867"/>
      <c r="P44" s="1671"/>
      <c r="Q44" s="3903"/>
      <c r="R44" s="1677"/>
      <c r="S44" s="3937"/>
      <c r="T44" s="3725"/>
    </row>
    <row r="45" spans="1:20" ht="15.75">
      <c r="A45" s="33" t="s">
        <v>105</v>
      </c>
      <c r="B45" s="23"/>
      <c r="C45" s="23"/>
      <c r="D45" s="9"/>
      <c r="H45" s="3324"/>
      <c r="I45" s="3744"/>
      <c r="J45" s="1090"/>
      <c r="K45" s="3652"/>
      <c r="L45" s="1116"/>
      <c r="M45" s="3830"/>
      <c r="N45" s="1123"/>
      <c r="O45" s="3867"/>
      <c r="P45" s="1671"/>
      <c r="Q45" s="3903"/>
      <c r="R45" s="1677"/>
      <c r="S45" s="3937"/>
      <c r="T45" s="3725"/>
    </row>
    <row r="46" spans="1:20" ht="15.75">
      <c r="A46" s="32"/>
      <c r="H46" s="3324"/>
      <c r="I46" s="3744"/>
      <c r="J46" s="1090"/>
      <c r="K46" s="3652"/>
      <c r="L46" s="1116"/>
      <c r="M46" s="3830"/>
      <c r="N46" s="1123"/>
      <c r="O46" s="3867"/>
      <c r="P46" s="1671"/>
      <c r="Q46" s="3903"/>
      <c r="R46" s="1677"/>
      <c r="S46" s="3937"/>
      <c r="T46" s="3725"/>
    </row>
    <row r="47" spans="1:20">
      <c r="A47" s="51" t="s">
        <v>119</v>
      </c>
      <c r="B47" t="s">
        <v>2061</v>
      </c>
      <c r="G47" s="2100" t="e">
        <f>IF('Data Entry - SOF'!C118&lt;='IFA-OldLaw'!H65,0,IF(G24&lt;G26,(G24*100)/G39,((G26+G30)/(G39/100))))</f>
        <v>#REF!</v>
      </c>
      <c r="H47" s="3756" t="e">
        <f>IF('Data Entry - SOF'!C118&lt;='IFA-OldLaw'!I65,0,IF(H24&lt;H26,(H24*100)/H39,((H26+H30)/(H39/100))))</f>
        <v>#REF!</v>
      </c>
      <c r="I47" s="3771">
        <f>IF('Data Entry - SOF'!E118&lt;='IFA-OldLaw'!L65,0,IF(I24&lt;I26,(I24*100)/I39,((I26+I30)/(I39/100))))</f>
        <v>0</v>
      </c>
      <c r="J47" s="3772">
        <f>IF('Data Entry - SOF'!E118&lt;='IFA-OldLaw'!N65,0,IF(J24&lt;J26,(J24*100)/J39,((J26+J30)/(J39/100))))</f>
        <v>0</v>
      </c>
      <c r="K47" s="3796">
        <f>IF('Data Entry - SOF'!K118&lt;='IFA-HB3'!N65,0,IF(K24&lt;K26,(K24*100)/K39,((K26+K30)/(K39/100))))</f>
        <v>0</v>
      </c>
      <c r="L47" s="3797">
        <f>IF('Data Entry - SOF'!K118&lt;='IFA-HB3'!O65,0,IF(L24&lt;L26,(L24*100)/L39,((L26+L30)/(L39/100))))</f>
        <v>0</v>
      </c>
      <c r="M47" s="3831">
        <f>IF('Data Entry - SOF'!M118&lt;='IFA-HB3'!Q65,0,IF(M24&lt;M26,(M24*100)/M39,((M26+M30)/(M39/100))))</f>
        <v>0</v>
      </c>
      <c r="N47" s="3832">
        <f>IF('Data Entry - SOF'!M118&lt;='IFA-HB3'!R65,0,IF(N24&lt;N26,(N24*100)/N39,((N26+N30)/(N39/100))))</f>
        <v>0</v>
      </c>
      <c r="O47" s="3869">
        <f>IF('Data Entry - SOF'!O118&lt;='IFA-HB3'!T65,0,IF(O24&lt;O26,(O24*100)/O39,((O26+O30)/(O39/100))))</f>
        <v>0</v>
      </c>
      <c r="P47" s="3870">
        <f>IF('Data Entry - SOF'!O118&lt;='IFA-HB3'!U65,0,IF(P24&lt;P26,(P24*100)/P39,((P26+P30)/(P39/100))))</f>
        <v>0</v>
      </c>
      <c r="Q47" s="3905">
        <f>IF('Data Entry - SOF'!Q118&lt;='IFA-HB3'!W65,0,IF(Q24&lt;Q26,(Q24*100)/Q39,((Q26+Q30)/(Q39/100))))</f>
        <v>0</v>
      </c>
      <c r="R47" s="3906">
        <f>IF('Data Entry - SOF'!Q118&lt;='IFA-HB3'!X65,0,IF(R24&lt;R26,(R24*100)/R39,((R26+R30)/(R39/100))))</f>
        <v>0</v>
      </c>
      <c r="S47" s="3939">
        <f>IF('Data Entry - SOF'!S118&lt;='IFA-HB3'!Z65,0,IF(S24&lt;S26,(S24*100)/S39,((S26+S30)/(S39/100))))</f>
        <v>0</v>
      </c>
      <c r="T47" s="3940">
        <f>IF('Data Entry - SOF'!S118&lt;='IFA-HB3'!AA65,0,IF(T24&lt;T26,(T24*100)/T39,((T26+T30)/(T39/100))))</f>
        <v>0</v>
      </c>
    </row>
    <row r="48" spans="1:20">
      <c r="A48" s="51"/>
      <c r="B48" t="s">
        <v>2308</v>
      </c>
      <c r="G48" s="2101"/>
      <c r="H48" s="3327"/>
      <c r="I48" s="3745"/>
      <c r="J48" s="3746"/>
      <c r="K48" s="3798"/>
      <c r="L48" s="3799"/>
      <c r="M48" s="3833"/>
      <c r="N48" s="3834"/>
      <c r="O48" s="3871"/>
      <c r="P48" s="3872"/>
      <c r="Q48" s="3907"/>
      <c r="R48" s="1682"/>
      <c r="S48" s="3941"/>
      <c r="T48" s="3730"/>
    </row>
    <row r="49" spans="1:20">
      <c r="A49" s="51"/>
      <c r="B49" t="s">
        <v>3347</v>
      </c>
      <c r="G49" s="2101"/>
      <c r="H49" s="3327"/>
      <c r="I49" s="3745"/>
      <c r="J49" s="3746"/>
      <c r="K49" s="3798"/>
      <c r="L49" s="3799"/>
      <c r="M49" s="3833"/>
      <c r="N49" s="3834"/>
      <c r="O49" s="3871"/>
      <c r="P49" s="3872"/>
      <c r="Q49" s="3907"/>
      <c r="R49" s="1682"/>
      <c r="S49" s="3941"/>
      <c r="T49" s="3730"/>
    </row>
    <row r="50" spans="1:20" ht="15.75">
      <c r="A50" s="32"/>
      <c r="G50" s="2101"/>
      <c r="H50" s="3327"/>
      <c r="I50" s="3745"/>
      <c r="J50" s="3746"/>
      <c r="K50" s="3798"/>
      <c r="L50" s="3799"/>
      <c r="M50" s="3833"/>
      <c r="N50" s="3834"/>
      <c r="O50" s="3871"/>
      <c r="P50" s="3872"/>
      <c r="Q50" s="3907"/>
      <c r="R50" s="1682"/>
      <c r="S50" s="3941"/>
      <c r="T50" s="3730"/>
    </row>
    <row r="51" spans="1:20">
      <c r="A51" s="41" t="s">
        <v>120</v>
      </c>
      <c r="B51" t="s">
        <v>2547</v>
      </c>
      <c r="G51" s="2102" t="e">
        <f>IF(G33&lt;=G35,0,((G33-G35)/Weights!H50/G37/100))</f>
        <v>#REF!</v>
      </c>
      <c r="H51" s="3757" t="e">
        <f>IF(H33&lt;=H35,0,((H33-H35)/Weights!H50/H37/100))</f>
        <v>#REF!</v>
      </c>
      <c r="I51" s="3773">
        <f>IF(I33&lt;=I35,0,((I33-I35)/Weights!J50/I37/100))</f>
        <v>0</v>
      </c>
      <c r="J51" s="3774">
        <f>IF(J33&lt;=J35,0,((J33-J35)/Weights!J50/J37/100))</f>
        <v>0</v>
      </c>
      <c r="K51" s="3800">
        <f>IF(K33&lt;=K35,0,((K33-K35)/'Weights-HB3'!G152/K37/100))</f>
        <v>0</v>
      </c>
      <c r="L51" s="3801">
        <f>IF(L33&lt;=L35,0,((L33-L35)/'Weights-HB3'!G152/L37/100))</f>
        <v>0</v>
      </c>
      <c r="M51" s="3835">
        <f>IF(M33&lt;=M35,0,((M33-M35)/'Weights-HB3'!H152/M37/100))</f>
        <v>0</v>
      </c>
      <c r="N51" s="3836">
        <f>IF(N33&lt;=N35,0,((N33-N35)/'Weights-HB3'!H152/N37/100))</f>
        <v>0</v>
      </c>
      <c r="O51" s="3873">
        <f>IF(O33&lt;=O35,0,((O33-O35)/'Weights-HB3'!I152/O37/100))</f>
        <v>0</v>
      </c>
      <c r="P51" s="3874">
        <f>IF(P33&lt;=P35,0,((P33-P35)/'Weights-HB3'!I152/P37/100))</f>
        <v>0</v>
      </c>
      <c r="Q51" s="3908">
        <f>IF(Q33&lt;=Q35,0,((Q33-Q35)/'Weights-HB3'!J152/Q37/100))</f>
        <v>0</v>
      </c>
      <c r="R51" s="3909">
        <f>IF(R33&lt;=R35,0,((R33-R35)/'Weights-HB3'!J152/R37/100))</f>
        <v>0</v>
      </c>
      <c r="S51" s="3942">
        <f>IF(S33&lt;=S35,0,((S33-S35)/'Weights-HB3'!K152/S37/100))</f>
        <v>0</v>
      </c>
      <c r="T51" s="3943">
        <f>IF(T33&lt;=T35,0,((T33-T35)/'Weights-HB3'!K152/T37/100))</f>
        <v>0</v>
      </c>
    </row>
    <row r="52" spans="1:20">
      <c r="A52" s="41"/>
      <c r="B52" t="s">
        <v>747</v>
      </c>
      <c r="G52" s="2101"/>
      <c r="H52" s="3327"/>
      <c r="I52" s="3745"/>
      <c r="J52" s="3746"/>
      <c r="K52" s="3798"/>
      <c r="L52" s="3799"/>
      <c r="M52" s="3833"/>
      <c r="N52" s="3834"/>
      <c r="O52" s="3871"/>
      <c r="P52" s="3872"/>
      <c r="Q52" s="3907"/>
      <c r="R52" s="1682"/>
      <c r="S52" s="3941"/>
      <c r="T52" s="3730"/>
    </row>
    <row r="53" spans="1:20">
      <c r="A53" s="41"/>
      <c r="B53" t="s">
        <v>6936</v>
      </c>
      <c r="G53" s="2101"/>
      <c r="H53" s="3327"/>
      <c r="I53" s="3745"/>
      <c r="J53" s="3746"/>
      <c r="K53" s="3798"/>
      <c r="L53" s="3799"/>
      <c r="M53" s="3833"/>
      <c r="N53" s="3834"/>
      <c r="O53" s="3871"/>
      <c r="P53" s="3872"/>
      <c r="Q53" s="3907"/>
      <c r="R53" s="1682"/>
      <c r="S53" s="3941"/>
      <c r="T53" s="3730"/>
    </row>
    <row r="54" spans="1:20">
      <c r="A54" s="31"/>
      <c r="B54" s="1128" t="s">
        <v>6934</v>
      </c>
      <c r="G54" s="2101"/>
      <c r="H54" s="3327"/>
      <c r="I54" s="3745"/>
      <c r="J54" s="3746"/>
      <c r="K54" s="3798"/>
      <c r="L54" s="3799"/>
      <c r="M54" s="3833"/>
      <c r="N54" s="3834"/>
      <c r="O54" s="3871"/>
      <c r="P54" s="3872"/>
      <c r="Q54" s="3907"/>
      <c r="R54" s="1682"/>
      <c r="S54" s="3941"/>
      <c r="T54" s="3730"/>
    </row>
    <row r="55" spans="1:20">
      <c r="A55" s="41" t="s">
        <v>121</v>
      </c>
      <c r="B55" s="49" t="s">
        <v>727</v>
      </c>
      <c r="G55" s="2102" t="e">
        <f t="shared" ref="G55:T55" si="1">IF(MIN(G47,G51)&gt;0.29,0.29,MIN(G47,G51))</f>
        <v>#REF!</v>
      </c>
      <c r="H55" s="3757" t="e">
        <f t="shared" si="1"/>
        <v>#REF!</v>
      </c>
      <c r="I55" s="3773">
        <f t="shared" si="1"/>
        <v>0</v>
      </c>
      <c r="J55" s="3774">
        <f t="shared" si="1"/>
        <v>0</v>
      </c>
      <c r="K55" s="3800">
        <f t="shared" si="1"/>
        <v>0</v>
      </c>
      <c r="L55" s="3801">
        <f t="shared" si="1"/>
        <v>0</v>
      </c>
      <c r="M55" s="3835">
        <f t="shared" si="1"/>
        <v>0</v>
      </c>
      <c r="N55" s="3836">
        <f t="shared" si="1"/>
        <v>0</v>
      </c>
      <c r="O55" s="3873">
        <f t="shared" si="1"/>
        <v>0</v>
      </c>
      <c r="P55" s="3874">
        <f t="shared" si="1"/>
        <v>0</v>
      </c>
      <c r="Q55" s="3908">
        <f t="shared" si="1"/>
        <v>0</v>
      </c>
      <c r="R55" s="3909">
        <f t="shared" si="1"/>
        <v>0</v>
      </c>
      <c r="S55" s="3942">
        <f t="shared" si="1"/>
        <v>0</v>
      </c>
      <c r="T55" s="3943">
        <f t="shared" si="1"/>
        <v>0</v>
      </c>
    </row>
    <row r="56" spans="1:20">
      <c r="A56" s="31"/>
      <c r="G56" s="2103"/>
      <c r="H56" s="3328"/>
      <c r="I56" s="3747"/>
      <c r="J56" s="3748"/>
      <c r="K56" s="3659"/>
      <c r="L56" s="1119"/>
      <c r="M56" s="3837"/>
      <c r="N56" s="3838"/>
      <c r="O56" s="3875"/>
      <c r="P56" s="3876"/>
      <c r="Q56" s="3910"/>
      <c r="R56" s="1683"/>
      <c r="S56" s="3944"/>
      <c r="T56" s="3731"/>
    </row>
    <row r="57" spans="1:20" ht="15.75">
      <c r="A57" s="33" t="s">
        <v>911</v>
      </c>
      <c r="B57" s="23"/>
      <c r="C57" s="9"/>
      <c r="D57" s="9"/>
      <c r="G57" s="2103"/>
      <c r="H57" s="3328"/>
      <c r="I57" s="3747"/>
      <c r="J57" s="3748"/>
      <c r="K57" s="3659"/>
      <c r="L57" s="1119"/>
      <c r="M57" s="3837"/>
      <c r="N57" s="3838"/>
      <c r="O57" s="3875"/>
      <c r="P57" s="3876"/>
      <c r="Q57" s="3910"/>
      <c r="R57" s="1683"/>
      <c r="S57" s="3944"/>
      <c r="T57" s="3731"/>
    </row>
    <row r="58" spans="1:20">
      <c r="A58" s="31"/>
      <c r="G58" s="2103"/>
      <c r="H58" s="3328"/>
      <c r="I58" s="3747"/>
      <c r="J58" s="3748"/>
      <c r="K58" s="3659"/>
      <c r="L58" s="1119"/>
      <c r="M58" s="3837"/>
      <c r="N58" s="3838"/>
      <c r="O58" s="3875"/>
      <c r="P58" s="3876"/>
      <c r="Q58" s="3910"/>
      <c r="R58" s="1683"/>
      <c r="S58" s="3944"/>
      <c r="T58" s="3731"/>
    </row>
    <row r="59" spans="1:20">
      <c r="A59" s="41" t="s">
        <v>1513</v>
      </c>
      <c r="B59" s="73" t="s">
        <v>6933</v>
      </c>
      <c r="G59" s="2097" t="e">
        <f>G37*G55*Weights!H50*100</f>
        <v>#REF!</v>
      </c>
      <c r="H59" s="3753" t="e">
        <f>H37*H55*Weights!H50*100</f>
        <v>#REF!</v>
      </c>
      <c r="I59" s="3775">
        <f>I37*I55*Weights!J50*100</f>
        <v>0</v>
      </c>
      <c r="J59" s="3776">
        <f>J37*J55*Weights!J50*100</f>
        <v>0</v>
      </c>
      <c r="K59" s="3802">
        <f>K37*K55*'Weights-HB3'!G152*100</f>
        <v>0</v>
      </c>
      <c r="L59" s="3803">
        <f>L37*L55*'Weights-HB3'!G152*100</f>
        <v>0</v>
      </c>
      <c r="M59" s="3839">
        <f>M37*M55*'Weights-HB3'!H152*100</f>
        <v>0</v>
      </c>
      <c r="N59" s="3840">
        <f>N37*N55*'Weights-HB3'!H152*100</f>
        <v>0</v>
      </c>
      <c r="O59" s="3877">
        <f>O37*O55*'Weights-HB3'!I152*100</f>
        <v>0</v>
      </c>
      <c r="P59" s="3878">
        <f>P37*P55*'Weights-HB3'!I152*100</f>
        <v>0</v>
      </c>
      <c r="Q59" s="3911">
        <f>Q37*Q55*'Weights-HB3'!J152*100</f>
        <v>0</v>
      </c>
      <c r="R59" s="3912">
        <f>R37*R55*'Weights-HB3'!J152*100</f>
        <v>0</v>
      </c>
      <c r="S59" s="3945">
        <f>S37*S55*'Weights-HB3'!K152*100</f>
        <v>0</v>
      </c>
      <c r="T59" s="3946">
        <f>T37*T55*'Weights-HB3'!K152*100</f>
        <v>0</v>
      </c>
    </row>
    <row r="60" spans="1:20">
      <c r="A60" s="41"/>
      <c r="B60" s="1128" t="s">
        <v>6934</v>
      </c>
      <c r="G60" s="2103"/>
      <c r="H60" s="2103"/>
      <c r="I60" s="3747"/>
      <c r="J60" s="3748"/>
      <c r="K60" s="3659"/>
      <c r="L60" s="1119"/>
      <c r="M60" s="3837"/>
      <c r="N60" s="3838"/>
      <c r="O60" s="3875"/>
      <c r="P60" s="3876"/>
      <c r="Q60" s="3910"/>
      <c r="R60" s="1683"/>
      <c r="S60" s="3944"/>
      <c r="T60" s="3731"/>
    </row>
    <row r="61" spans="1:20">
      <c r="A61" s="41" t="s">
        <v>6</v>
      </c>
      <c r="B61" s="73" t="s">
        <v>1893</v>
      </c>
      <c r="G61" s="2097" t="e">
        <f t="shared" ref="G61:T61" si="2">G55*(G41/100)</f>
        <v>#REF!</v>
      </c>
      <c r="H61" s="3753" t="e">
        <f t="shared" si="2"/>
        <v>#REF!</v>
      </c>
      <c r="I61" s="3775">
        <f t="shared" si="2"/>
        <v>0</v>
      </c>
      <c r="J61" s="3776">
        <f t="shared" si="2"/>
        <v>0</v>
      </c>
      <c r="K61" s="3802">
        <f t="shared" si="2"/>
        <v>0</v>
      </c>
      <c r="L61" s="3803">
        <f t="shared" si="2"/>
        <v>0</v>
      </c>
      <c r="M61" s="3839">
        <f t="shared" si="2"/>
        <v>0</v>
      </c>
      <c r="N61" s="3840">
        <f t="shared" si="2"/>
        <v>0</v>
      </c>
      <c r="O61" s="3877">
        <f t="shared" si="2"/>
        <v>0</v>
      </c>
      <c r="P61" s="3878">
        <f t="shared" si="2"/>
        <v>0</v>
      </c>
      <c r="Q61" s="3911">
        <f t="shared" si="2"/>
        <v>0</v>
      </c>
      <c r="R61" s="3912">
        <f t="shared" si="2"/>
        <v>0</v>
      </c>
      <c r="S61" s="3945">
        <f t="shared" si="2"/>
        <v>0</v>
      </c>
      <c r="T61" s="3946">
        <f t="shared" si="2"/>
        <v>0</v>
      </c>
    </row>
    <row r="62" spans="1:20">
      <c r="A62" s="41"/>
      <c r="B62" s="71" t="s">
        <v>1892</v>
      </c>
      <c r="H62" s="3324"/>
      <c r="I62" s="3744"/>
      <c r="J62" s="1090"/>
      <c r="K62" s="3652"/>
      <c r="L62" s="1116"/>
      <c r="M62" s="3830"/>
      <c r="N62" s="1123"/>
      <c r="O62" s="3867"/>
      <c r="P62" s="1671"/>
      <c r="Q62" s="3903"/>
      <c r="R62" s="1677"/>
      <c r="S62" s="3937"/>
      <c r="T62" s="3725"/>
    </row>
    <row r="63" spans="1:20">
      <c r="A63" s="41"/>
      <c r="B63" s="71" t="s">
        <v>1891</v>
      </c>
      <c r="H63" s="3324"/>
      <c r="I63" s="3744"/>
      <c r="J63" s="1090"/>
      <c r="K63" s="3652"/>
      <c r="L63" s="1116"/>
      <c r="M63" s="3830"/>
      <c r="N63" s="1123"/>
      <c r="O63" s="3867"/>
      <c r="P63" s="1671"/>
      <c r="Q63" s="3903"/>
      <c r="R63" s="1677"/>
      <c r="S63" s="3937"/>
      <c r="T63" s="3725"/>
    </row>
    <row r="64" spans="1:20">
      <c r="A64" s="41"/>
      <c r="B64" s="71"/>
      <c r="H64" s="3324"/>
      <c r="I64" s="3744"/>
      <c r="J64" s="1090"/>
      <c r="K64" s="3652"/>
      <c r="L64" s="1116"/>
      <c r="M64" s="3830"/>
      <c r="N64" s="1123"/>
      <c r="O64" s="3867"/>
      <c r="P64" s="1671"/>
      <c r="Q64" s="3903"/>
      <c r="R64" s="1677"/>
      <c r="S64" s="3937"/>
      <c r="T64" s="3725"/>
    </row>
    <row r="65" spans="1:20" ht="16.5" hidden="1" thickBot="1">
      <c r="A65" s="41"/>
      <c r="B65" s="79" t="s">
        <v>1795</v>
      </c>
      <c r="C65" s="80"/>
      <c r="D65" s="80"/>
      <c r="E65" s="80"/>
      <c r="F65" s="81"/>
      <c r="H65" s="3324"/>
      <c r="I65" s="3744"/>
      <c r="J65" s="1090"/>
      <c r="K65" s="3652"/>
      <c r="L65" s="1116"/>
      <c r="M65" s="3830"/>
      <c r="N65" s="1123"/>
      <c r="O65" s="3867"/>
      <c r="P65" s="1671"/>
      <c r="Q65" s="3903"/>
      <c r="R65" s="1677"/>
      <c r="S65" s="3937"/>
      <c r="T65" s="3725"/>
    </row>
    <row r="66" spans="1:20" hidden="1">
      <c r="A66" s="41"/>
      <c r="B66" s="71"/>
      <c r="H66" s="3324"/>
      <c r="I66" s="3744"/>
      <c r="J66" s="1090"/>
      <c r="K66" s="3652"/>
      <c r="L66" s="1116"/>
      <c r="M66" s="3830"/>
      <c r="N66" s="1123"/>
      <c r="O66" s="3867"/>
      <c r="P66" s="1671"/>
      <c r="Q66" s="3903"/>
      <c r="R66" s="1677"/>
      <c r="S66" s="3937"/>
      <c r="T66" s="3725"/>
    </row>
    <row r="67" spans="1:20" hidden="1">
      <c r="A67" s="41"/>
      <c r="B67" s="68"/>
      <c r="H67" s="3324"/>
      <c r="I67" s="3744"/>
      <c r="J67" s="1090"/>
      <c r="K67" s="3652"/>
      <c r="L67" s="1116"/>
      <c r="M67" s="3830"/>
      <c r="N67" s="1123"/>
      <c r="O67" s="3867"/>
      <c r="P67" s="1671"/>
      <c r="Q67" s="3903"/>
      <c r="R67" s="1677"/>
      <c r="S67" s="3937"/>
      <c r="T67" s="3725"/>
    </row>
    <row r="68" spans="1:20" hidden="1">
      <c r="A68" s="41"/>
      <c r="B68" s="68"/>
      <c r="H68" s="3324"/>
      <c r="I68" s="3744"/>
      <c r="J68" s="1090"/>
      <c r="K68" s="3652"/>
      <c r="L68" s="1116"/>
      <c r="M68" s="3830"/>
      <c r="N68" s="1123"/>
      <c r="O68" s="3867"/>
      <c r="P68" s="1671"/>
      <c r="Q68" s="3903"/>
      <c r="R68" s="1677"/>
      <c r="S68" s="3937"/>
      <c r="T68" s="3725"/>
    </row>
    <row r="69" spans="1:20">
      <c r="A69" s="31"/>
      <c r="H69" s="3324"/>
      <c r="I69" s="3744"/>
      <c r="J69" s="1090"/>
      <c r="K69" s="3652"/>
      <c r="L69" s="1116"/>
      <c r="M69" s="3830"/>
      <c r="N69" s="1123"/>
      <c r="O69" s="3867"/>
      <c r="P69" s="1671"/>
      <c r="Q69" s="3903"/>
      <c r="R69" s="1677"/>
      <c r="S69" s="3937"/>
      <c r="T69" s="3725"/>
    </row>
    <row r="70" spans="1:20">
      <c r="A70" s="41" t="s">
        <v>2232</v>
      </c>
      <c r="B70" s="73" t="s">
        <v>2276</v>
      </c>
      <c r="G70" s="2097" t="e">
        <f t="shared" ref="G70:T70" si="3">IF(G61&gt;=G59,0,G59-G61)</f>
        <v>#REF!</v>
      </c>
      <c r="H70" s="3753" t="e">
        <f t="shared" si="3"/>
        <v>#REF!</v>
      </c>
      <c r="I70" s="3775">
        <f t="shared" si="3"/>
        <v>0</v>
      </c>
      <c r="J70" s="3776">
        <f t="shared" si="3"/>
        <v>0</v>
      </c>
      <c r="K70" s="3802">
        <f t="shared" si="3"/>
        <v>0</v>
      </c>
      <c r="L70" s="3803">
        <f t="shared" si="3"/>
        <v>0</v>
      </c>
      <c r="M70" s="3839">
        <f t="shared" si="3"/>
        <v>0</v>
      </c>
      <c r="N70" s="3840">
        <f t="shared" si="3"/>
        <v>0</v>
      </c>
      <c r="O70" s="3877">
        <f t="shared" si="3"/>
        <v>0</v>
      </c>
      <c r="P70" s="3878">
        <f t="shared" si="3"/>
        <v>0</v>
      </c>
      <c r="Q70" s="3911">
        <f t="shared" si="3"/>
        <v>0</v>
      </c>
      <c r="R70" s="3912">
        <f t="shared" si="3"/>
        <v>0</v>
      </c>
      <c r="S70" s="3945">
        <f t="shared" si="3"/>
        <v>0</v>
      </c>
      <c r="T70" s="3946">
        <f t="shared" si="3"/>
        <v>0</v>
      </c>
    </row>
    <row r="71" spans="1:20">
      <c r="A71" s="41"/>
      <c r="B71" s="73"/>
      <c r="G71" s="2103"/>
      <c r="H71" s="3328"/>
      <c r="I71" s="3747"/>
      <c r="J71" s="3748"/>
      <c r="K71" s="3659"/>
      <c r="L71" s="1119"/>
      <c r="M71" s="3837"/>
      <c r="N71" s="3838"/>
      <c r="O71" s="3875"/>
      <c r="P71" s="3876"/>
      <c r="Q71" s="3910"/>
      <c r="R71" s="1683"/>
      <c r="S71" s="3944"/>
      <c r="T71" s="3731"/>
    </row>
    <row r="72" spans="1:20">
      <c r="A72" s="41"/>
      <c r="B72" s="73"/>
      <c r="G72" s="2103"/>
      <c r="H72" s="3328"/>
      <c r="I72" s="3747"/>
      <c r="J72" s="3748"/>
      <c r="K72" s="3659"/>
      <c r="L72" s="1119"/>
      <c r="M72" s="3837"/>
      <c r="N72" s="3838"/>
      <c r="O72" s="3875"/>
      <c r="P72" s="3876"/>
      <c r="Q72" s="3910"/>
      <c r="R72" s="1683"/>
      <c r="S72" s="3944"/>
      <c r="T72" s="3731"/>
    </row>
    <row r="73" spans="1:20">
      <c r="A73" s="31"/>
      <c r="G73" s="2104" t="e">
        <f>IF(G74&lt;G70,"See Line 16 Note"," ")</f>
        <v>#REF!</v>
      </c>
      <c r="H73" s="3329"/>
      <c r="I73" s="3749" t="str">
        <f t="shared" ref="I73:T73" si="4">IF(I74&lt;I70,"See Line 16 Note"," ")</f>
        <v xml:space="preserve"> </v>
      </c>
      <c r="J73" s="3750" t="str">
        <f t="shared" si="4"/>
        <v xml:space="preserve"> </v>
      </c>
      <c r="K73" s="3804" t="str">
        <f t="shared" si="4"/>
        <v xml:space="preserve"> </v>
      </c>
      <c r="L73" s="3805" t="str">
        <f t="shared" si="4"/>
        <v xml:space="preserve"> </v>
      </c>
      <c r="M73" s="3841" t="str">
        <f t="shared" si="4"/>
        <v xml:space="preserve"> </v>
      </c>
      <c r="N73" s="3842" t="str">
        <f t="shared" si="4"/>
        <v xml:space="preserve"> </v>
      </c>
      <c r="O73" s="3879" t="str">
        <f t="shared" si="4"/>
        <v xml:space="preserve"> </v>
      </c>
      <c r="P73" s="3880" t="str">
        <f t="shared" si="4"/>
        <v xml:space="preserve"> </v>
      </c>
      <c r="Q73" s="3913" t="str">
        <f t="shared" si="4"/>
        <v xml:space="preserve"> </v>
      </c>
      <c r="R73" s="1684" t="str">
        <f t="shared" si="4"/>
        <v xml:space="preserve"> </v>
      </c>
      <c r="S73" s="3947" t="str">
        <f t="shared" si="4"/>
        <v xml:space="preserve"> </v>
      </c>
      <c r="T73" s="3732" t="str">
        <f t="shared" si="4"/>
        <v xml:space="preserve"> </v>
      </c>
    </row>
    <row r="74" spans="1:20" ht="13.5" thickBot="1">
      <c r="A74" s="41" t="s">
        <v>2233</v>
      </c>
      <c r="B74" s="73" t="s">
        <v>1889</v>
      </c>
      <c r="G74" s="2098" t="e">
        <f>IF(G70=0,0,IF('Data Entry - SOF'!C101+'Data Entry - SOF'!C102&gt;G61,G70,IF('Data Entry - SOF'!C101+'Data Entry - SOF'!C102&lt;0,0,('Data Entry - SOF'!C101+'Data Entry - SOF'!C102)/G61*G70)))</f>
        <v>#REF!</v>
      </c>
      <c r="H74" s="3754" t="e">
        <f>IF(H70=0,0,IF(#REF!+'Data Entry - SOF'!C102&gt;H61,H70,IF(#REF!+'Data Entry - SOF'!C102&lt;0,0,(#REF!+'Data Entry - SOF'!C102)/H61*H70)))</f>
        <v>#REF!</v>
      </c>
      <c r="I74" s="3777">
        <f>IF(I70=0,0,IF('Data Entry - SOF'!E101+'Data Entry - SOF'!E102&gt;I61,I70,IF('Data Entry - SOF'!E101+'Data Entry - SOF'!E102&lt;0,0,('Data Entry - SOF'!E101+'Data Entry - SOF'!E102)/I61*I70)))</f>
        <v>0</v>
      </c>
      <c r="J74" s="3778">
        <f>IF(J70=0,0,IF('Data Entry - SOF'!E101+'Data Entry - SOF'!E102&gt;J61,J70,IF('Data Entry - SOF'!E101+'Data Entry - SOF'!E102&lt;0,0,('Data Entry - SOF'!E101+'Data Entry - SOF'!E102)/J61*J70)))</f>
        <v>0</v>
      </c>
      <c r="K74" s="3806">
        <f>IF(K70=0,0,IF('Data Entry - SOF'!K101+'Data Entry - SOF'!K102&gt;K61,K70,IF('Data Entry - SOF'!K101+'Data Entry - SOF'!K102&lt;0,0,('Data Entry - SOF'!K101+'Data Entry - SOF'!K102)/K61*K70)))</f>
        <v>0</v>
      </c>
      <c r="L74" s="3806">
        <f>IF(L70=0,0,IF('Data Entry - SOF'!K101+'Data Entry - SOF'!K102&gt;L61,L70,IF('Data Entry - SOF'!K101+'Data Entry - SOF'!K102&lt;0,0,('Data Entry - SOF'!K101+'Data Entry - SOF'!K102)/L61*L70)))</f>
        <v>0</v>
      </c>
      <c r="M74" s="3843">
        <f>IF(M70=0,0,IF('Data Entry - SOF'!M101+'Data Entry - SOF'!M102&gt;M61,M70,IF('Data Entry - SOF'!M101+'Data Entry - SOF'!M102&lt;0,0,('Data Entry - SOF'!M101+'Data Entry - SOF'!M102)/M61*M70)))</f>
        <v>0</v>
      </c>
      <c r="N74" s="3843">
        <f>IF(N70=0,0,IF('Data Entry - SOF'!M101+'Data Entry - SOF'!M102&gt;N61,N70,IF('Data Entry - SOF'!M101+'Data Entry - SOF'!M102&lt;0,0,('Data Entry - SOF'!M101+'Data Entry - SOF'!M102)/N61*N70)))</f>
        <v>0</v>
      </c>
      <c r="O74" s="3881">
        <f>IF(O70=0,0,IF('Data Entry - SOF'!O101+'Data Entry - SOF'!O102&gt;O61,O70,IF('Data Entry - SOF'!O101+'Data Entry - SOF'!O102&lt;0,0,('Data Entry - SOF'!O101+'Data Entry - SOF'!O102)/O61*O70)))</f>
        <v>0</v>
      </c>
      <c r="P74" s="3881">
        <f>IF(P70=0,0,IF('Data Entry - SOF'!O101+'Data Entry - SOF'!O102&gt;P61,P70,IF('Data Entry - SOF'!O101+'Data Entry - SOF'!O102&lt;0,0,('Data Entry - SOF'!O101+'Data Entry - SOF'!O102)/P61*P70)))</f>
        <v>0</v>
      </c>
      <c r="Q74" s="3914">
        <f>IF(Q70=0,0,IF('Data Entry - SOF'!Q101+'Data Entry - SOF'!Q102&gt;Q61,Q70,IF('Data Entry - SOF'!Q101+'Data Entry - SOF'!Q102&lt;0,0,('Data Entry - SOF'!Q101+'Data Entry - SOF'!Q102)/Q61*Q70)))</f>
        <v>0</v>
      </c>
      <c r="R74" s="3914">
        <f>IF(R70=0,0,IF('Data Entry - SOF'!Q101+'Data Entry - SOF'!Q102&gt;R61,R70,IF('Data Entry - SOF'!Q101+'Data Entry - SOF'!Q102&lt;0,0,('Data Entry - SOF'!Q101+'Data Entry - SOF'!Q102)/R61*R70)))</f>
        <v>0</v>
      </c>
      <c r="S74" s="3948">
        <f>IF(S70=0,0,IF('Data Entry - SOF'!S101+'Data Entry - SOF'!S102&gt;S61,S70,IF('Data Entry - SOF'!S101+'Data Entry - SOF'!S102&lt;0,0,('Data Entry - SOF'!S101+'Data Entry - SOF'!S102)/S61*S70)))</f>
        <v>0</v>
      </c>
      <c r="T74" s="3948">
        <f>IF(T70=0,0,IF('Data Entry - SOF'!S101+'Data Entry - SOF'!S102&gt;T61,T70,IF('Data Entry - SOF'!S101+'Data Entry - SOF'!S102&lt;0,0,('Data Entry - SOF'!S101+'Data Entry - SOF'!S102)/T61*T70)))</f>
        <v>0</v>
      </c>
    </row>
    <row r="75" spans="1:20" ht="13.5" thickTop="1">
      <c r="A75" s="31"/>
      <c r="B75" s="71" t="s">
        <v>8651</v>
      </c>
    </row>
    <row r="76" spans="1:20">
      <c r="A76" s="31"/>
      <c r="B76" s="69" t="s">
        <v>8652</v>
      </c>
    </row>
    <row r="77" spans="1:20">
      <c r="A77" s="31"/>
      <c r="B77" s="69" t="s">
        <v>6935</v>
      </c>
    </row>
    <row r="78" spans="1:20">
      <c r="A78" s="31"/>
      <c r="B78" s="35"/>
    </row>
    <row r="80" spans="1:20">
      <c r="B80" s="83" t="s">
        <v>2354</v>
      </c>
    </row>
    <row r="81" spans="2:6">
      <c r="B81" s="83" t="s">
        <v>8650</v>
      </c>
    </row>
    <row r="82" spans="2:6">
      <c r="B82" s="83" t="s">
        <v>3348</v>
      </c>
    </row>
    <row r="83" spans="2:6">
      <c r="B83" s="83" t="s">
        <v>3349</v>
      </c>
    </row>
    <row r="84" spans="2:6" hidden="1">
      <c r="B84" s="83" t="s">
        <v>922</v>
      </c>
    </row>
    <row r="85" spans="2:6" hidden="1">
      <c r="B85" s="83" t="s">
        <v>841</v>
      </c>
    </row>
    <row r="86" spans="2:6" hidden="1">
      <c r="B86" s="83" t="s">
        <v>1561</v>
      </c>
    </row>
    <row r="87" spans="2:6" hidden="1">
      <c r="B87" s="83" t="s">
        <v>1950</v>
      </c>
    </row>
    <row r="88" spans="2:6">
      <c r="B88" s="83" t="s">
        <v>3350</v>
      </c>
    </row>
    <row r="89" spans="2:6">
      <c r="B89" s="83"/>
    </row>
    <row r="90" spans="2:6" hidden="1">
      <c r="C90" s="74" t="s">
        <v>2109</v>
      </c>
      <c r="D90" s="71"/>
      <c r="E90" s="71"/>
      <c r="F90" s="71"/>
    </row>
    <row r="91" spans="2:6" hidden="1">
      <c r="C91" s="74" t="s">
        <v>1524</v>
      </c>
      <c r="D91" s="71"/>
      <c r="E91" s="71"/>
      <c r="F91" s="71"/>
    </row>
    <row r="92" spans="2:6" hidden="1">
      <c r="C92" s="74" t="s">
        <v>1137</v>
      </c>
      <c r="D92" s="71"/>
      <c r="E92" s="71"/>
      <c r="F92" s="71"/>
    </row>
    <row r="93" spans="2:6" hidden="1">
      <c r="C93" s="74" t="s">
        <v>1007</v>
      </c>
      <c r="D93" s="71"/>
      <c r="E93" s="71"/>
      <c r="F93" s="71"/>
    </row>
    <row r="94" spans="2:6" hidden="1">
      <c r="C94" s="74" t="s">
        <v>1008</v>
      </c>
      <c r="D94" s="71"/>
      <c r="E94" s="71"/>
      <c r="F94" s="71"/>
    </row>
    <row r="95" spans="2:6" hidden="1">
      <c r="C95" s="75" t="s">
        <v>1774</v>
      </c>
      <c r="D95" s="76"/>
      <c r="E95" s="76"/>
      <c r="F95" s="76"/>
    </row>
    <row r="96" spans="2:6" hidden="1"/>
    <row r="97" spans="1:20" hidden="1"/>
    <row r="98" spans="1:20" s="102" customFormat="1" ht="25.35" hidden="1" customHeight="1" thickTop="1">
      <c r="A98" s="107" t="s">
        <v>1803</v>
      </c>
      <c r="B98" s="108"/>
      <c r="C98" s="108"/>
      <c r="D98" s="108"/>
      <c r="E98" s="108"/>
      <c r="F98" s="108"/>
      <c r="G98" s="2092"/>
      <c r="H98" s="2092"/>
      <c r="I98" s="1126"/>
      <c r="J98" s="1126"/>
      <c r="K98" s="1117"/>
      <c r="L98" s="1117"/>
      <c r="M98" s="1124"/>
      <c r="N98" s="1124"/>
      <c r="O98" s="1672"/>
      <c r="P98" s="1672"/>
      <c r="Q98" s="1678"/>
      <c r="R98" s="1678"/>
      <c r="S98" s="1762"/>
      <c r="T98" s="1762"/>
    </row>
    <row r="99" spans="1:20" s="102" customFormat="1" ht="25.35" hidden="1" customHeight="1">
      <c r="A99" s="109" t="s">
        <v>2397</v>
      </c>
      <c r="B99" s="106"/>
      <c r="C99" s="106"/>
      <c r="D99" s="106"/>
      <c r="E99" s="106"/>
      <c r="F99" s="106"/>
      <c r="G99" s="2092"/>
      <c r="H99" s="2092"/>
      <c r="I99" s="1126"/>
      <c r="J99" s="1126"/>
      <c r="K99" s="1117"/>
      <c r="L99" s="1117"/>
      <c r="M99" s="1124"/>
      <c r="N99" s="1124"/>
      <c r="O99" s="1672"/>
      <c r="P99" s="1672"/>
      <c r="Q99" s="1678"/>
      <c r="R99" s="1678"/>
      <c r="S99" s="1762"/>
      <c r="T99" s="1762"/>
    </row>
    <row r="100" spans="1:20" ht="13.5" hidden="1" thickBot="1">
      <c r="A100" s="110"/>
      <c r="B100" s="111"/>
      <c r="C100" s="111"/>
      <c r="D100" s="111"/>
      <c r="E100" s="111"/>
      <c r="F100" s="111"/>
    </row>
    <row r="101" spans="1:20" hidden="1"/>
    <row r="102" spans="1:20" hidden="1">
      <c r="A102" s="73" t="s">
        <v>1794</v>
      </c>
    </row>
    <row r="103" spans="1:20" hidden="1">
      <c r="A103" s="73" t="s">
        <v>345</v>
      </c>
    </row>
    <row r="104" spans="1:20" hidden="1"/>
    <row r="105" spans="1:20" hidden="1">
      <c r="A105" s="71" t="s">
        <v>1487</v>
      </c>
    </row>
    <row r="106" spans="1:20" hidden="1">
      <c r="A106" s="41" t="s">
        <v>2186</v>
      </c>
      <c r="B106" t="s">
        <v>871</v>
      </c>
    </row>
    <row r="107" spans="1:20" hidden="1">
      <c r="A107" s="41"/>
    </row>
    <row r="108" spans="1:20" hidden="1">
      <c r="A108" s="41" t="s">
        <v>2187</v>
      </c>
      <c r="B108" t="s">
        <v>1304</v>
      </c>
    </row>
    <row r="109" spans="1:20" hidden="1">
      <c r="A109" s="31"/>
    </row>
    <row r="110" spans="1:20" hidden="1">
      <c r="A110" s="41" t="s">
        <v>2188</v>
      </c>
      <c r="B110" t="s">
        <v>1305</v>
      </c>
    </row>
    <row r="111" spans="1:20" hidden="1">
      <c r="A111" s="41"/>
    </row>
    <row r="112" spans="1:20" hidden="1">
      <c r="A112" s="41" t="s">
        <v>909</v>
      </c>
      <c r="B112" t="s">
        <v>869</v>
      </c>
    </row>
    <row r="113" spans="1:4" hidden="1">
      <c r="A113" s="41"/>
      <c r="B113" t="s">
        <v>901</v>
      </c>
    </row>
    <row r="114" spans="1:4" hidden="1">
      <c r="A114" s="41"/>
    </row>
    <row r="115" spans="1:4" hidden="1">
      <c r="A115" s="41" t="s">
        <v>910</v>
      </c>
      <c r="B115" s="83" t="s">
        <v>1073</v>
      </c>
    </row>
    <row r="116" spans="1:4" hidden="1">
      <c r="A116" s="31"/>
      <c r="B116" s="83" t="s">
        <v>765</v>
      </c>
    </row>
    <row r="117" spans="1:4" hidden="1">
      <c r="A117" s="41" t="s">
        <v>912</v>
      </c>
      <c r="B117" t="s">
        <v>1074</v>
      </c>
    </row>
    <row r="118" spans="1:4" hidden="1">
      <c r="A118" s="41"/>
    </row>
    <row r="119" spans="1:4" hidden="1">
      <c r="A119" s="41" t="s">
        <v>913</v>
      </c>
      <c r="B119" t="s">
        <v>1075</v>
      </c>
    </row>
    <row r="120" spans="1:4" hidden="1">
      <c r="A120" s="31"/>
    </row>
    <row r="121" spans="1:4" hidden="1">
      <c r="A121" s="41" t="s">
        <v>914</v>
      </c>
      <c r="B121" t="s">
        <v>1076</v>
      </c>
    </row>
    <row r="122" spans="1:4" hidden="1">
      <c r="A122" s="41"/>
    </row>
    <row r="123" spans="1:4" hidden="1">
      <c r="A123" s="41" t="s">
        <v>118</v>
      </c>
      <c r="B123" t="s">
        <v>2290</v>
      </c>
    </row>
    <row r="124" spans="1:4" hidden="1">
      <c r="A124" s="31"/>
    </row>
    <row r="125" spans="1:4" ht="15.75" hidden="1">
      <c r="A125" s="32" t="s">
        <v>908</v>
      </c>
    </row>
    <row r="126" spans="1:4" hidden="1">
      <c r="A126" s="31"/>
    </row>
    <row r="127" spans="1:4" ht="15.75" hidden="1">
      <c r="A127" s="33" t="s">
        <v>105</v>
      </c>
      <c r="B127" s="23"/>
      <c r="C127" s="23"/>
      <c r="D127" s="9"/>
    </row>
    <row r="128" spans="1:4" ht="15.75" hidden="1">
      <c r="A128" s="32"/>
    </row>
    <row r="129" spans="1:4" hidden="1">
      <c r="A129" s="51" t="s">
        <v>119</v>
      </c>
      <c r="B129" t="s">
        <v>870</v>
      </c>
    </row>
    <row r="130" spans="1:4" hidden="1">
      <c r="A130" s="51"/>
      <c r="B130" t="s">
        <v>2308</v>
      </c>
    </row>
    <row r="131" spans="1:4" hidden="1">
      <c r="A131" s="51"/>
      <c r="B131" t="s">
        <v>1214</v>
      </c>
    </row>
    <row r="132" spans="1:4" ht="15.75" hidden="1">
      <c r="A132" s="32"/>
    </row>
    <row r="133" spans="1:4" hidden="1">
      <c r="A133" s="41" t="s">
        <v>120</v>
      </c>
      <c r="B133" t="s">
        <v>2661</v>
      </c>
    </row>
    <row r="134" spans="1:4" hidden="1">
      <c r="A134" s="41"/>
      <c r="B134" t="s">
        <v>747</v>
      </c>
    </row>
    <row r="135" spans="1:4" hidden="1">
      <c r="A135" s="41"/>
      <c r="B135" t="s">
        <v>29</v>
      </c>
    </row>
    <row r="136" spans="1:4" hidden="1">
      <c r="A136" s="31"/>
    </row>
    <row r="137" spans="1:4" hidden="1">
      <c r="A137" s="41" t="s">
        <v>121</v>
      </c>
      <c r="B137" s="49" t="s">
        <v>541</v>
      </c>
    </row>
    <row r="138" spans="1:4" hidden="1">
      <c r="A138" s="31"/>
    </row>
    <row r="139" spans="1:4" ht="15.75" hidden="1">
      <c r="A139" s="33" t="s">
        <v>911</v>
      </c>
      <c r="B139" s="23"/>
      <c r="C139" s="9"/>
      <c r="D139" s="9"/>
    </row>
    <row r="140" spans="1:4" hidden="1">
      <c r="A140" s="31"/>
    </row>
    <row r="141" spans="1:4" hidden="1">
      <c r="A141" s="41" t="s">
        <v>1513</v>
      </c>
      <c r="B141" s="73" t="s">
        <v>1537</v>
      </c>
    </row>
    <row r="142" spans="1:4" hidden="1">
      <c r="A142" s="41"/>
      <c r="B142" s="71"/>
    </row>
    <row r="143" spans="1:4" hidden="1">
      <c r="A143" s="41" t="s">
        <v>6</v>
      </c>
      <c r="B143" s="73" t="s">
        <v>2294</v>
      </c>
    </row>
    <row r="144" spans="1:4" hidden="1">
      <c r="A144" s="41"/>
      <c r="B144" s="71" t="s">
        <v>142</v>
      </c>
    </row>
    <row r="145" spans="1:6" hidden="1">
      <c r="A145" s="41"/>
      <c r="B145" s="71" t="s">
        <v>2632</v>
      </c>
    </row>
    <row r="146" spans="1:6" hidden="1">
      <c r="A146" s="41"/>
      <c r="B146" s="71"/>
    </row>
    <row r="147" spans="1:6" ht="16.5" hidden="1" thickBot="1">
      <c r="A147" s="41"/>
      <c r="B147" s="79" t="s">
        <v>1795</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2232</v>
      </c>
      <c r="B152" s="73" t="s">
        <v>2276</v>
      </c>
    </row>
    <row r="153" spans="1:6" hidden="1">
      <c r="A153" s="31"/>
    </row>
    <row r="154" spans="1:6" hidden="1">
      <c r="A154" s="41" t="s">
        <v>2233</v>
      </c>
      <c r="B154" s="73" t="s">
        <v>2304</v>
      </c>
    </row>
    <row r="155" spans="1:6" hidden="1">
      <c r="A155" s="31"/>
      <c r="B155" s="73" t="s">
        <v>504</v>
      </c>
    </row>
    <row r="156" spans="1:6" hidden="1">
      <c r="A156" s="31"/>
      <c r="B156" s="71" t="s">
        <v>98</v>
      </c>
    </row>
    <row r="157" spans="1:6" hidden="1">
      <c r="A157" s="31"/>
      <c r="B157" s="71" t="s">
        <v>1176</v>
      </c>
    </row>
    <row r="158" spans="1:6" hidden="1"/>
    <row r="159" spans="1:6" hidden="1"/>
    <row r="160" spans="1:6" hidden="1">
      <c r="B160" s="83" t="s">
        <v>7</v>
      </c>
    </row>
    <row r="161" spans="2:2" hidden="1">
      <c r="B161" s="83" t="s">
        <v>1240</v>
      </c>
    </row>
    <row r="162" spans="2:2" hidden="1">
      <c r="B162" s="83" t="s">
        <v>8</v>
      </c>
    </row>
    <row r="163" spans="2:2" hidden="1">
      <c r="B163" s="83" t="s">
        <v>1380</v>
      </c>
    </row>
    <row r="164" spans="2:2" hidden="1">
      <c r="B164" s="83" t="s">
        <v>922</v>
      </c>
    </row>
    <row r="165" spans="2:2" hidden="1">
      <c r="B165" s="83" t="s">
        <v>841</v>
      </c>
    </row>
    <row r="166" spans="2:2" hidden="1">
      <c r="B166" s="83" t="s">
        <v>1561</v>
      </c>
    </row>
    <row r="167" spans="2:2" hidden="1">
      <c r="B167" s="83" t="s">
        <v>1950</v>
      </c>
    </row>
    <row r="168" spans="2:2" hidden="1">
      <c r="B168" s="83"/>
    </row>
    <row r="169" spans="2:2" hidden="1">
      <c r="B169" s="35" t="s">
        <v>1802</v>
      </c>
    </row>
    <row r="170" spans="2:2" hidden="1">
      <c r="B170" s="35" t="s">
        <v>1872</v>
      </c>
    </row>
    <row r="171" spans="2:2" hidden="1">
      <c r="B171" s="35" t="s">
        <v>117</v>
      </c>
    </row>
    <row r="172" spans="2:2" hidden="1">
      <c r="B172" s="35" t="s">
        <v>1857</v>
      </c>
    </row>
    <row r="173" spans="2:2" hidden="1"/>
    <row r="174" spans="2:2" hidden="1"/>
  </sheetData>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703125" customWidth="1"/>
    <col min="2" max="2" width="36.42578125" customWidth="1"/>
    <col min="3" max="3" width="12.85546875" style="399" customWidth="1"/>
    <col min="4" max="4" width="29.5703125" customWidth="1"/>
    <col min="5" max="5" width="23.42578125" customWidth="1"/>
  </cols>
  <sheetData>
    <row r="1" spans="1:5">
      <c r="A1" s="380" t="s">
        <v>2993</v>
      </c>
      <c r="B1" s="380"/>
      <c r="E1" s="754" t="e">
        <f>'Data Entry - SOF'!#REF!</f>
        <v>#REF!</v>
      </c>
    </row>
    <row r="2" spans="1:5">
      <c r="A2" s="380" t="s">
        <v>2994</v>
      </c>
      <c r="B2" s="380"/>
      <c r="E2" s="72" t="e">
        <f>'Data Entry - SOF'!#REF!</f>
        <v>#REF!</v>
      </c>
    </row>
    <row r="3" spans="1:5">
      <c r="A3" s="64"/>
      <c r="B3" s="64"/>
      <c r="E3" s="58">
        <f>'Data Entry - SOF'!S3</f>
        <v>0</v>
      </c>
    </row>
    <row r="4" spans="1:5" ht="15.75">
      <c r="A4" s="381" t="s">
        <v>8222</v>
      </c>
      <c r="B4" s="381"/>
    </row>
    <row r="5" spans="1:5" ht="15.75">
      <c r="A5" s="383">
        <f>'Data Entry - SOF'!B1</f>
        <v>0</v>
      </c>
      <c r="B5" s="383"/>
    </row>
    <row r="6" spans="1:5" ht="15.75">
      <c r="A6" s="381">
        <f>'Data Entry - SOF'!B2</f>
        <v>0</v>
      </c>
      <c r="B6" s="381"/>
    </row>
    <row r="8" spans="1:5" ht="18">
      <c r="A8" s="529"/>
      <c r="B8" s="530"/>
      <c r="C8" s="531"/>
      <c r="D8" s="532" t="s">
        <v>2797</v>
      </c>
      <c r="E8" s="532" t="s">
        <v>2798</v>
      </c>
    </row>
    <row r="9" spans="1:5" ht="18">
      <c r="A9" s="526"/>
      <c r="B9" s="537" t="s">
        <v>2796</v>
      </c>
      <c r="C9" s="566" t="s">
        <v>2782</v>
      </c>
      <c r="D9" s="533" t="s">
        <v>2783</v>
      </c>
      <c r="E9" s="533" t="s">
        <v>2797</v>
      </c>
    </row>
    <row r="10" spans="1:5" ht="15">
      <c r="A10" s="385" t="s">
        <v>2186</v>
      </c>
      <c r="B10" s="386" t="s">
        <v>2784</v>
      </c>
      <c r="C10" s="401">
        <f>Weights!O10</f>
        <v>5</v>
      </c>
      <c r="D10" s="387">
        <f>'Data Entry - SOF'!S23</f>
        <v>0</v>
      </c>
      <c r="E10" s="391">
        <f>D10*C10</f>
        <v>0</v>
      </c>
    </row>
    <row r="11" spans="1:5" ht="15">
      <c r="A11" s="385" t="s">
        <v>2187</v>
      </c>
      <c r="B11" s="386" t="s">
        <v>2785</v>
      </c>
      <c r="C11" s="401">
        <f>Weights!O11</f>
        <v>3</v>
      </c>
      <c r="D11" s="387">
        <f>'Data Entry - SOF'!S24</f>
        <v>0</v>
      </c>
      <c r="E11" s="391">
        <f t="shared" ref="E11:E19" si="0">D11*C11</f>
        <v>0</v>
      </c>
    </row>
    <row r="12" spans="1:5" ht="15">
      <c r="A12" s="385" t="s">
        <v>2188</v>
      </c>
      <c r="B12" s="386" t="s">
        <v>2786</v>
      </c>
      <c r="C12" s="401">
        <f>Weights!O12</f>
        <v>5</v>
      </c>
      <c r="D12" s="387">
        <f>'Data Entry - SOF'!S25</f>
        <v>0</v>
      </c>
      <c r="E12" s="391">
        <f t="shared" si="0"/>
        <v>0</v>
      </c>
    </row>
    <row r="13" spans="1:5" ht="15">
      <c r="A13" s="385" t="s">
        <v>909</v>
      </c>
      <c r="B13" s="386" t="s">
        <v>2787</v>
      </c>
      <c r="C13" s="401">
        <f>Weights!O13</f>
        <v>3</v>
      </c>
      <c r="D13" s="387">
        <f>'Data Entry - SOF'!S26</f>
        <v>0</v>
      </c>
      <c r="E13" s="391">
        <f t="shared" si="0"/>
        <v>0</v>
      </c>
    </row>
    <row r="14" spans="1:5" ht="15">
      <c r="A14" s="418"/>
      <c r="B14" s="402" t="s">
        <v>2788</v>
      </c>
      <c r="C14" s="397"/>
      <c r="D14" s="403"/>
      <c r="E14" s="406"/>
    </row>
    <row r="15" spans="1:5" ht="15">
      <c r="A15" s="551" t="s">
        <v>910</v>
      </c>
      <c r="B15" s="404" t="s">
        <v>2789</v>
      </c>
      <c r="C15" s="398">
        <f>Weights!O14</f>
        <v>3</v>
      </c>
      <c r="D15" s="405">
        <f>'Data Entry - SOF'!S27</f>
        <v>0</v>
      </c>
      <c r="E15" s="405">
        <f t="shared" si="0"/>
        <v>0</v>
      </c>
    </row>
    <row r="16" spans="1:5" ht="15">
      <c r="A16" s="385" t="s">
        <v>912</v>
      </c>
      <c r="B16" s="386" t="s">
        <v>2790</v>
      </c>
      <c r="C16" s="401">
        <f>Weights!O15</f>
        <v>2.7</v>
      </c>
      <c r="D16" s="391">
        <f>'Data Entry - SOF'!S28</f>
        <v>0</v>
      </c>
      <c r="E16" s="391">
        <f t="shared" si="0"/>
        <v>0</v>
      </c>
    </row>
    <row r="17" spans="1:5" ht="15">
      <c r="A17" s="385" t="s">
        <v>913</v>
      </c>
      <c r="B17" s="386" t="s">
        <v>2791</v>
      </c>
      <c r="C17" s="401">
        <f>Weights!O16</f>
        <v>2.2999999999999998</v>
      </c>
      <c r="D17" s="391">
        <f>'Data Entry - SOF'!S29</f>
        <v>0</v>
      </c>
      <c r="E17" s="391">
        <f t="shared" si="0"/>
        <v>0</v>
      </c>
    </row>
    <row r="18" spans="1:5" ht="15">
      <c r="A18" s="385" t="s">
        <v>914</v>
      </c>
      <c r="B18" s="386" t="s">
        <v>2792</v>
      </c>
      <c r="C18" s="401">
        <f>Weights!O17</f>
        <v>2.8</v>
      </c>
      <c r="D18" s="391">
        <f>'Data Entry - SOF'!S30</f>
        <v>0</v>
      </c>
      <c r="E18" s="391">
        <f t="shared" si="0"/>
        <v>0</v>
      </c>
    </row>
    <row r="19" spans="1:5" ht="15">
      <c r="A19" s="385" t="s">
        <v>118</v>
      </c>
      <c r="B19" s="386" t="s">
        <v>2793</v>
      </c>
      <c r="C19" s="401">
        <f>Weights!O19</f>
        <v>4</v>
      </c>
      <c r="D19" s="391">
        <f>'Data Entry - SOF'!S32</f>
        <v>0</v>
      </c>
      <c r="E19" s="391">
        <f t="shared" si="0"/>
        <v>0</v>
      </c>
    </row>
    <row r="20" spans="1:5" ht="15.75">
      <c r="A20" s="385" t="s">
        <v>119</v>
      </c>
      <c r="B20" s="386" t="s">
        <v>2799</v>
      </c>
      <c r="C20" s="401" t="s">
        <v>1775</v>
      </c>
      <c r="D20" s="391">
        <f>'Calc Data'!I8</f>
        <v>0</v>
      </c>
      <c r="E20" s="401" t="s">
        <v>1775</v>
      </c>
    </row>
    <row r="21" spans="1:5" ht="15">
      <c r="A21" s="385" t="s">
        <v>120</v>
      </c>
      <c r="B21" s="386" t="s">
        <v>2794</v>
      </c>
      <c r="C21" s="401" t="s">
        <v>1775</v>
      </c>
      <c r="D21" s="401" t="s">
        <v>1775</v>
      </c>
      <c r="E21" s="391">
        <f>SUM(E10:E19)</f>
        <v>0</v>
      </c>
    </row>
    <row r="22" spans="1:5" ht="15">
      <c r="A22" s="385" t="s">
        <v>121</v>
      </c>
      <c r="B22" s="386" t="s">
        <v>2795</v>
      </c>
      <c r="C22" s="401">
        <f>Weights!O18</f>
        <v>1.7</v>
      </c>
      <c r="D22" s="391">
        <f>'Data Entry - SOF'!S31</f>
        <v>0</v>
      </c>
      <c r="E22" s="401" t="s">
        <v>1775</v>
      </c>
    </row>
    <row r="23" spans="1:5" ht="15">
      <c r="A23" s="385" t="s">
        <v>1513</v>
      </c>
      <c r="B23" s="386" t="s">
        <v>538</v>
      </c>
      <c r="C23" s="401">
        <f>Weights!O21</f>
        <v>1.1000000000000001</v>
      </c>
      <c r="D23" s="391">
        <f>'Data Entry - SOF'!S34</f>
        <v>0</v>
      </c>
      <c r="E23" s="401" t="s">
        <v>1775</v>
      </c>
    </row>
    <row r="24" spans="1:5" s="382" customFormat="1" ht="15.75">
      <c r="C24" s="477" t="s">
        <v>2978</v>
      </c>
      <c r="D24" s="1433" t="s">
        <v>8223</v>
      </c>
    </row>
    <row r="25" spans="1:5" s="382" customFormat="1" ht="15">
      <c r="C25" s="475"/>
      <c r="D25"/>
    </row>
    <row r="27" spans="1:5" ht="15">
      <c r="A27" s="407" t="s">
        <v>3113</v>
      </c>
    </row>
  </sheetData>
  <hyperlinks>
    <hyperlink ref="D24" location="'Report-SOF2324'!A1" display="'Report-SOF2324'!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85546875" customWidth="1"/>
    <col min="2" max="2" width="83.140625" customWidth="1"/>
    <col min="3" max="3" width="24" customWidth="1"/>
  </cols>
  <sheetData>
    <row r="1" spans="1:3">
      <c r="A1" s="380" t="s">
        <v>2993</v>
      </c>
      <c r="C1" s="754" t="str">
        <f>'Report-SpEd1920'!E1</f>
        <v>Release 10</v>
      </c>
    </row>
    <row r="2" spans="1:3">
      <c r="A2" s="380" t="s">
        <v>2994</v>
      </c>
      <c r="C2" s="72">
        <f>'Report-SpEd1920'!E2</f>
        <v>43724</v>
      </c>
    </row>
    <row r="3" spans="1:3">
      <c r="A3" s="64"/>
      <c r="C3" s="58">
        <f>'Report-SpEd1920'!E3</f>
        <v>0</v>
      </c>
    </row>
    <row r="4" spans="1:3" ht="15.75">
      <c r="A4" s="381" t="s">
        <v>8217</v>
      </c>
    </row>
    <row r="5" spans="1:3" ht="15.75">
      <c r="A5" s="383">
        <f>'Data Entry - SOF'!B1</f>
        <v>0</v>
      </c>
    </row>
    <row r="6" spans="1:3" ht="15.75">
      <c r="A6" s="381">
        <f>'Data Entry - SOF'!B2</f>
        <v>0</v>
      </c>
    </row>
    <row r="7" spans="1:3" ht="15.75">
      <c r="A7" s="381"/>
    </row>
    <row r="9" spans="1:3" ht="18">
      <c r="A9" s="534"/>
      <c r="B9" s="535"/>
      <c r="C9" s="532" t="s">
        <v>2715</v>
      </c>
    </row>
    <row r="10" spans="1:3" ht="18">
      <c r="A10" s="557" t="s">
        <v>2800</v>
      </c>
      <c r="B10" s="537"/>
      <c r="C10" s="533" t="s">
        <v>2805</v>
      </c>
    </row>
    <row r="11" spans="1:3" ht="15">
      <c r="A11" s="400" t="s">
        <v>2186</v>
      </c>
      <c r="B11" s="386" t="s">
        <v>8218</v>
      </c>
      <c r="C11" s="390">
        <f>'Data Entry - SOF'!S93</f>
        <v>0</v>
      </c>
    </row>
    <row r="12" spans="1:3" ht="15">
      <c r="A12" s="400" t="s">
        <v>2187</v>
      </c>
      <c r="B12" s="386" t="s">
        <v>8219</v>
      </c>
      <c r="C12" s="390">
        <f>'IFA-OldLaw'!AG79</f>
        <v>0</v>
      </c>
    </row>
    <row r="13" spans="1:3" ht="15">
      <c r="A13" s="400" t="s">
        <v>2188</v>
      </c>
      <c r="B13" s="386" t="s">
        <v>8220</v>
      </c>
      <c r="C13" s="496" t="s">
        <v>3028</v>
      </c>
    </row>
    <row r="14" spans="1:3" ht="15.75">
      <c r="A14" s="400" t="s">
        <v>909</v>
      </c>
      <c r="B14" s="384" t="s">
        <v>8221</v>
      </c>
      <c r="C14" s="395">
        <f>'Calc Data'!J47</f>
        <v>0</v>
      </c>
    </row>
    <row r="15" spans="1:3" ht="15">
      <c r="A15" s="400" t="s">
        <v>910</v>
      </c>
      <c r="B15" s="386" t="s">
        <v>8189</v>
      </c>
      <c r="C15" s="408">
        <f>'Data Entry - SOF'!S92</f>
        <v>1.17</v>
      </c>
    </row>
    <row r="16" spans="1:3" ht="15">
      <c r="A16" s="400" t="s">
        <v>912</v>
      </c>
      <c r="B16" s="386" t="s">
        <v>2801</v>
      </c>
      <c r="C16" s="390">
        <f>'Calc Data'!J29</f>
        <v>0</v>
      </c>
    </row>
    <row r="17" spans="1:3" ht="15">
      <c r="A17" s="400" t="s">
        <v>913</v>
      </c>
      <c r="B17" s="386" t="s">
        <v>2724</v>
      </c>
      <c r="C17" s="408">
        <f>'Data Entry - SOF'!C161</f>
        <v>0</v>
      </c>
    </row>
    <row r="18" spans="1:3" ht="15">
      <c r="A18" s="400" t="s">
        <v>914</v>
      </c>
      <c r="B18" s="386" t="s">
        <v>2809</v>
      </c>
      <c r="C18" s="390">
        <f>'Calc Data'!BD32</f>
        <v>0</v>
      </c>
    </row>
    <row r="19" spans="1:3" ht="15">
      <c r="A19" s="400" t="s">
        <v>118</v>
      </c>
      <c r="B19" s="386" t="s">
        <v>2802</v>
      </c>
      <c r="C19" s="408" t="e">
        <f>'Calc Data'!J35</f>
        <v>#DIV/0!</v>
      </c>
    </row>
    <row r="20" spans="1:3" ht="15">
      <c r="A20" s="400" t="s">
        <v>119</v>
      </c>
      <c r="B20" s="386" t="s">
        <v>2803</v>
      </c>
      <c r="C20" s="390">
        <f>'Calc Data'!J34</f>
        <v>0</v>
      </c>
    </row>
    <row r="21" spans="1:3" ht="15">
      <c r="A21" s="400" t="s">
        <v>120</v>
      </c>
      <c r="B21" s="386" t="s">
        <v>2804</v>
      </c>
      <c r="C21" s="390">
        <f>'Calc Data'!BD31</f>
        <v>0</v>
      </c>
    </row>
    <row r="22" spans="1:3" ht="15">
      <c r="A22" s="400" t="s">
        <v>121</v>
      </c>
      <c r="B22" s="386" t="s">
        <v>2808</v>
      </c>
      <c r="C22" s="408" t="e">
        <f>'Calc Data'!J38</f>
        <v>#DIV/0!</v>
      </c>
    </row>
    <row r="23" spans="1:3" s="382" customFormat="1" ht="15.75">
      <c r="B23" s="477" t="s">
        <v>2978</v>
      </c>
      <c r="C23" s="1433" t="s">
        <v>8223</v>
      </c>
    </row>
    <row r="26" spans="1:3" ht="15.75">
      <c r="B26" s="325" t="s">
        <v>3030</v>
      </c>
    </row>
    <row r="27" spans="1:3" ht="15.75">
      <c r="B27" s="325" t="s">
        <v>3029</v>
      </c>
    </row>
  </sheetData>
  <hyperlinks>
    <hyperlink ref="C23" location="'Report-SOF2324'!A1" display="'Report-SOF2324'!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85546875" customWidth="1"/>
    <col min="3" max="3" width="5.5703125" customWidth="1"/>
    <col min="4" max="4" width="23" customWidth="1"/>
  </cols>
  <sheetData>
    <row r="1" spans="1:4">
      <c r="A1" s="380" t="s">
        <v>2993</v>
      </c>
      <c r="D1" s="754" t="str">
        <f>'Report-M&amp;O1920'!C1</f>
        <v>Release 10</v>
      </c>
    </row>
    <row r="2" spans="1:4">
      <c r="A2" s="380" t="s">
        <v>2994</v>
      </c>
      <c r="D2" s="72">
        <f>'Report-M&amp;O1920'!C2</f>
        <v>43724</v>
      </c>
    </row>
    <row r="3" spans="1:4">
      <c r="A3" s="64"/>
      <c r="D3" s="58">
        <f>'Report-M&amp;O1920'!C3</f>
        <v>0</v>
      </c>
    </row>
    <row r="4" spans="1:4" ht="15.75">
      <c r="A4" s="381" t="s">
        <v>8216</v>
      </c>
    </row>
    <row r="5" spans="1:4" ht="15.75">
      <c r="A5" s="383">
        <f>'Data Entry - SOF'!B1</f>
        <v>0</v>
      </c>
    </row>
    <row r="6" spans="1:4" ht="15.75">
      <c r="A6" s="381">
        <f>'Data Entry - SOF'!B2</f>
        <v>0</v>
      </c>
    </row>
    <row r="9" spans="1:4" ht="18">
      <c r="A9" s="266"/>
      <c r="B9" s="409" t="s">
        <v>939</v>
      </c>
      <c r="C9" s="410">
        <f>'Data Entry - SOF'!S156</f>
        <v>0</v>
      </c>
      <c r="D9" s="266"/>
    </row>
    <row r="10" spans="1:4" ht="18">
      <c r="A10" s="266"/>
      <c r="B10" s="409" t="s">
        <v>2810</v>
      </c>
      <c r="C10" s="409" t="str">
        <f>'Data Entry - SOF'!S221</f>
        <v>yes</v>
      </c>
      <c r="D10" s="266"/>
    </row>
    <row r="11" spans="1:4" ht="18">
      <c r="A11" s="266"/>
      <c r="B11" s="409" t="s">
        <v>2811</v>
      </c>
      <c r="C11" s="409" t="str">
        <f>'Data Entry - SOF'!S222</f>
        <v>yes</v>
      </c>
      <c r="D11" s="266"/>
    </row>
    <row r="12" spans="1:4" ht="18">
      <c r="A12" s="266"/>
      <c r="B12" s="409"/>
      <c r="C12" s="409"/>
      <c r="D12" s="266"/>
    </row>
    <row r="13" spans="1:4" ht="18">
      <c r="A13" s="529"/>
      <c r="B13" s="524"/>
      <c r="C13" s="525"/>
      <c r="D13" s="532" t="s">
        <v>2818</v>
      </c>
    </row>
    <row r="14" spans="1:4" ht="18">
      <c r="A14" s="552" t="s">
        <v>2812</v>
      </c>
      <c r="B14" s="537"/>
      <c r="C14" s="528"/>
      <c r="D14" s="533" t="s">
        <v>2805</v>
      </c>
    </row>
    <row r="15" spans="1:4" ht="15">
      <c r="A15" s="385" t="s">
        <v>2186</v>
      </c>
      <c r="B15" s="386" t="s">
        <v>2813</v>
      </c>
      <c r="C15" s="386"/>
      <c r="D15" s="390">
        <f>'Calc Data'!BD19</f>
        <v>5140</v>
      </c>
    </row>
    <row r="16" spans="1:4" ht="15">
      <c r="A16" s="385" t="s">
        <v>2187</v>
      </c>
      <c r="B16" s="386" t="s">
        <v>2814</v>
      </c>
      <c r="C16" s="386"/>
      <c r="D16" s="390">
        <f>'Calc Data'!BD20</f>
        <v>1491</v>
      </c>
    </row>
    <row r="17" spans="1:4" ht="15">
      <c r="A17" s="385" t="s">
        <v>2188</v>
      </c>
      <c r="B17" s="386" t="s">
        <v>2815</v>
      </c>
      <c r="C17" s="386"/>
      <c r="D17" s="411" t="str">
        <f>'Calc Data'!I49</f>
        <v>N/A</v>
      </c>
    </row>
    <row r="18" spans="1:4" ht="15">
      <c r="A18" s="385" t="s">
        <v>909</v>
      </c>
      <c r="B18" s="386" t="s">
        <v>2816</v>
      </c>
      <c r="C18" s="386"/>
      <c r="D18" s="483" t="str">
        <f>'Calc Data'!I50</f>
        <v>N/A</v>
      </c>
    </row>
    <row r="19" spans="1:4" ht="15">
      <c r="A19" s="385" t="s">
        <v>910</v>
      </c>
      <c r="B19" s="386" t="s">
        <v>2817</v>
      </c>
      <c r="C19" s="386"/>
      <c r="D19" s="390">
        <f>'Calc Data'!BD23</f>
        <v>2445</v>
      </c>
    </row>
    <row r="20" spans="1:4" s="382" customFormat="1" ht="15.75">
      <c r="B20" s="477" t="s">
        <v>2978</v>
      </c>
      <c r="D20" s="1433" t="s">
        <v>8223</v>
      </c>
    </row>
  </sheetData>
  <hyperlinks>
    <hyperlink ref="D20" location="'Report-SOF2324'!A1" display="'Report-SOF2324'!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2578125" customWidth="1"/>
    <col min="2" max="2" width="19.85546875" customWidth="1"/>
    <col min="3" max="3" width="24.42578125" customWidth="1"/>
    <col min="4" max="4" width="26.5703125" customWidth="1"/>
  </cols>
  <sheetData>
    <row r="1" spans="1:4">
      <c r="A1" s="380" t="s">
        <v>2993</v>
      </c>
      <c r="D1" s="754" t="str">
        <f>'Report-AA1920'!D1</f>
        <v>Release 10</v>
      </c>
    </row>
    <row r="2" spans="1:4">
      <c r="A2" s="380" t="s">
        <v>2994</v>
      </c>
      <c r="D2" s="72">
        <f>'Report-AA1920'!D2</f>
        <v>43724</v>
      </c>
    </row>
    <row r="3" spans="1:4">
      <c r="A3" s="64"/>
      <c r="D3" s="58">
        <f>'Report-AA1920'!D3</f>
        <v>0</v>
      </c>
    </row>
    <row r="4" spans="1:4" ht="15.75">
      <c r="A4" s="381" t="s">
        <v>8215</v>
      </c>
    </row>
    <row r="5" spans="1:4" ht="15.75">
      <c r="A5" s="383">
        <f>'Data Entry - SOF'!B1</f>
        <v>0</v>
      </c>
    </row>
    <row r="6" spans="1:4" ht="15.75">
      <c r="A6" s="381">
        <f>'Data Entry - SOF'!B2</f>
        <v>0</v>
      </c>
    </row>
    <row r="8" spans="1:4" ht="18">
      <c r="A8" s="539"/>
      <c r="B8" s="540"/>
      <c r="C8" s="532" t="s">
        <v>2829</v>
      </c>
      <c r="D8" s="541"/>
    </row>
    <row r="9" spans="1:4" ht="18">
      <c r="A9" s="533" t="s">
        <v>2819</v>
      </c>
      <c r="B9" s="542" t="s">
        <v>2782</v>
      </c>
      <c r="C9" s="533" t="s">
        <v>2830</v>
      </c>
      <c r="D9" s="537" t="s">
        <v>2820</v>
      </c>
    </row>
    <row r="10" spans="1:4" s="382" customFormat="1" ht="15.75">
      <c r="A10" s="596" t="s">
        <v>2821</v>
      </c>
      <c r="B10" s="543"/>
      <c r="C10" s="543"/>
      <c r="D10" s="544"/>
    </row>
    <row r="11" spans="1:4" s="382" customFormat="1" ht="15">
      <c r="A11" s="386" t="s">
        <v>2823</v>
      </c>
      <c r="B11" s="389">
        <f>Weights!O4</f>
        <v>1</v>
      </c>
      <c r="C11" s="391">
        <f>'Calc Data'!J10</f>
        <v>0</v>
      </c>
      <c r="D11" s="390">
        <f>'SOF2324-SB1'!H20</f>
        <v>0</v>
      </c>
    </row>
    <row r="12" spans="1:4" s="382" customFormat="1" ht="15.75">
      <c r="A12" s="596" t="s">
        <v>2822</v>
      </c>
      <c r="B12" s="543"/>
      <c r="C12" s="543"/>
      <c r="D12" s="544"/>
    </row>
    <row r="13" spans="1:4" s="382" customFormat="1" ht="15">
      <c r="A13" s="386" t="s">
        <v>2710</v>
      </c>
      <c r="B13" s="411" t="s">
        <v>1775</v>
      </c>
      <c r="C13" s="391">
        <f>'Calc Data'!J8</f>
        <v>0</v>
      </c>
      <c r="D13" s="390">
        <f>'SOF2324-SB1'!H21</f>
        <v>0</v>
      </c>
    </row>
    <row r="14" spans="1:4" s="382" customFormat="1" ht="15">
      <c r="A14" s="386" t="s">
        <v>2824</v>
      </c>
      <c r="B14" s="414">
        <f>Weights!O21</f>
        <v>1.1000000000000001</v>
      </c>
      <c r="C14" s="391">
        <f>'Data Entry - SOF'!S34</f>
        <v>0</v>
      </c>
      <c r="D14" s="390">
        <f>'SOF2324-SB1'!H23</f>
        <v>0</v>
      </c>
    </row>
    <row r="15" spans="1:4" s="382" customFormat="1" ht="15">
      <c r="A15" s="386" t="s">
        <v>2825</v>
      </c>
      <c r="B15" s="414">
        <f>Weights!O19</f>
        <v>4</v>
      </c>
      <c r="C15" s="391">
        <f>'Data Entry - SOF'!S32</f>
        <v>0</v>
      </c>
      <c r="D15" s="390">
        <f>'SOF2324-SB1'!H24</f>
        <v>0</v>
      </c>
    </row>
    <row r="16" spans="1:4" s="382" customFormat="1" ht="15">
      <c r="A16" s="386" t="s">
        <v>2792</v>
      </c>
      <c r="B16" s="414">
        <f>Weights!O17</f>
        <v>2.8</v>
      </c>
      <c r="C16" s="391">
        <f>'Data Entry - SOF'!S30</f>
        <v>0</v>
      </c>
      <c r="D16" s="390">
        <f>'SOF2324-SB1'!H25</f>
        <v>0</v>
      </c>
    </row>
    <row r="17" spans="1:4" s="382" customFormat="1" ht="15">
      <c r="A17" s="386" t="s">
        <v>2795</v>
      </c>
      <c r="B17" s="414">
        <f>Weights!O18</f>
        <v>1.7</v>
      </c>
      <c r="C17" s="391">
        <f>'Data Entry - SOF'!S31</f>
        <v>0</v>
      </c>
      <c r="D17" s="390">
        <f>'SOF2324-SB1'!H26</f>
        <v>0</v>
      </c>
    </row>
    <row r="18" spans="1:4" s="382" customFormat="1" ht="15">
      <c r="A18" s="402" t="s">
        <v>2826</v>
      </c>
      <c r="B18" s="402"/>
      <c r="C18" s="402"/>
      <c r="D18" s="413"/>
    </row>
    <row r="19" spans="1:4" s="382" customFormat="1" ht="15">
      <c r="A19" s="404" t="s">
        <v>2827</v>
      </c>
      <c r="B19" s="416" t="s">
        <v>1775</v>
      </c>
      <c r="C19" s="416" t="s">
        <v>1775</v>
      </c>
      <c r="D19" s="415">
        <f>'SOF2324-SB1'!H27</f>
        <v>0</v>
      </c>
    </row>
    <row r="20" spans="1:4" s="382" customFormat="1" ht="15">
      <c r="A20" s="386" t="s">
        <v>2828</v>
      </c>
      <c r="B20" s="411" t="s">
        <v>1775</v>
      </c>
      <c r="C20" s="411" t="s">
        <v>1775</v>
      </c>
      <c r="D20" s="390">
        <f>'SOF2324-SB1'!H131</f>
        <v>0</v>
      </c>
    </row>
    <row r="21" spans="1:4" s="382" customFormat="1" ht="15.75">
      <c r="A21" s="596" t="s">
        <v>2831</v>
      </c>
      <c r="B21" s="543"/>
      <c r="C21" s="543"/>
      <c r="D21" s="544"/>
    </row>
    <row r="22" spans="1:4" ht="15">
      <c r="A22" s="386" t="s">
        <v>2832</v>
      </c>
      <c r="B22" s="417">
        <f>Weights!O23</f>
        <v>1.35</v>
      </c>
      <c r="C22" s="391">
        <f>'Data Entry - SOF'!S35</f>
        <v>0</v>
      </c>
      <c r="D22" s="390">
        <f>'SOF2324-SB1'!H28</f>
        <v>0</v>
      </c>
    </row>
    <row r="23" spans="1:4" ht="15">
      <c r="A23" s="386" t="s">
        <v>2833</v>
      </c>
      <c r="B23" s="390">
        <f>Weights!O24</f>
        <v>50</v>
      </c>
      <c r="C23" s="391">
        <f>'Data Entry - SOF'!S37</f>
        <v>0</v>
      </c>
      <c r="D23" s="390">
        <f>'SOF2324-SB1'!H29</f>
        <v>0</v>
      </c>
    </row>
    <row r="24" spans="1:4" ht="15">
      <c r="A24" s="386" t="s">
        <v>2834</v>
      </c>
      <c r="B24" s="411" t="s">
        <v>1775</v>
      </c>
      <c r="C24" s="411" t="s">
        <v>1775</v>
      </c>
      <c r="D24" s="390">
        <f>'SOF2324-SB1'!H132</f>
        <v>0</v>
      </c>
    </row>
    <row r="25" spans="1:4" s="382" customFormat="1" ht="15.75">
      <c r="A25" s="596" t="s">
        <v>2835</v>
      </c>
      <c r="B25" s="543"/>
      <c r="C25" s="543"/>
      <c r="D25" s="544"/>
    </row>
    <row r="26" spans="1:4" ht="15">
      <c r="A26" s="386" t="s">
        <v>2836</v>
      </c>
      <c r="B26" s="417">
        <f>Weights!O28</f>
        <v>0.12</v>
      </c>
      <c r="C26" s="391">
        <f>'Data Entry - SOF'!S60</f>
        <v>0</v>
      </c>
      <c r="D26" s="390">
        <f>'SOF2324-SB1'!H32</f>
        <v>0</v>
      </c>
    </row>
    <row r="27" spans="1:4" ht="15">
      <c r="A27" s="386" t="s">
        <v>2837</v>
      </c>
      <c r="B27" s="411" t="s">
        <v>1775</v>
      </c>
      <c r="C27" s="411" t="s">
        <v>1775</v>
      </c>
      <c r="D27" s="390">
        <f>'SOF2324-SB1'!H33</f>
        <v>0</v>
      </c>
    </row>
    <row r="28" spans="1:4" ht="15">
      <c r="A28" s="386" t="s">
        <v>2838</v>
      </c>
      <c r="B28" s="411" t="s">
        <v>1775</v>
      </c>
      <c r="C28" s="411" t="s">
        <v>1775</v>
      </c>
      <c r="D28" s="390">
        <f>'SOF2324-SB1'!H133</f>
        <v>0</v>
      </c>
    </row>
    <row r="29" spans="1:4" s="382" customFormat="1" ht="15.75">
      <c r="A29" s="596" t="s">
        <v>2839</v>
      </c>
      <c r="B29" s="543"/>
      <c r="C29" s="543"/>
      <c r="D29" s="544"/>
    </row>
    <row r="30" spans="1:4" ht="15">
      <c r="A30" s="386" t="s">
        <v>2840</v>
      </c>
      <c r="B30" s="417">
        <f>Weights!O30</f>
        <v>0.2</v>
      </c>
      <c r="C30" s="391">
        <f>'Data Entry - SOF'!S41</f>
        <v>0</v>
      </c>
      <c r="D30" s="390">
        <f>'SOF2324-SB1'!H34</f>
        <v>0</v>
      </c>
    </row>
    <row r="31" spans="1:4" ht="15">
      <c r="A31" s="386" t="s">
        <v>3040</v>
      </c>
      <c r="B31" s="417">
        <f>Weights!O31</f>
        <v>2.41</v>
      </c>
      <c r="C31" s="391">
        <f>'Data Entry - SOF'!S49</f>
        <v>0</v>
      </c>
      <c r="D31" s="390">
        <f>'SOF2324-SB1'!H35</f>
        <v>0</v>
      </c>
    </row>
    <row r="32" spans="1:4" ht="15">
      <c r="A32" s="386" t="s">
        <v>3041</v>
      </c>
      <c r="B32" s="411" t="s">
        <v>1775</v>
      </c>
      <c r="C32" s="411" t="s">
        <v>1775</v>
      </c>
      <c r="D32" s="390">
        <f>'SOF2324-SB1'!H134</f>
        <v>0</v>
      </c>
    </row>
    <row r="33" spans="1:4" s="382" customFormat="1" ht="15.75">
      <c r="A33" s="596" t="s">
        <v>2841</v>
      </c>
      <c r="B33" s="543"/>
      <c r="C33" s="543"/>
      <c r="D33" s="544"/>
    </row>
    <row r="34" spans="1:4" s="382" customFormat="1" ht="15">
      <c r="A34" s="386" t="s">
        <v>2435</v>
      </c>
      <c r="B34" s="390">
        <f>Weights!O33</f>
        <v>275</v>
      </c>
      <c r="C34" s="391">
        <f>'Data Entry - SOF'!S21</f>
        <v>0</v>
      </c>
      <c r="D34" s="390">
        <f>'SOF2324-SB1'!H39</f>
        <v>0</v>
      </c>
    </row>
    <row r="35" spans="1:4" s="382" customFormat="1" ht="15.75">
      <c r="A35" s="596" t="s">
        <v>2844</v>
      </c>
      <c r="B35" s="543"/>
      <c r="C35" s="543"/>
      <c r="D35" s="544"/>
    </row>
    <row r="36" spans="1:4" s="382" customFormat="1" ht="15">
      <c r="A36" s="386" t="s">
        <v>2842</v>
      </c>
      <c r="B36" s="417">
        <f>Weights!O26</f>
        <v>0.1</v>
      </c>
      <c r="C36" s="391">
        <f>'Data Entry - SOF'!S51</f>
        <v>0</v>
      </c>
      <c r="D36" s="390">
        <f>'SOF2324-SB1'!H38</f>
        <v>0</v>
      </c>
    </row>
    <row r="37" spans="1:4" s="382" customFormat="1" ht="15.75">
      <c r="A37" s="596" t="s">
        <v>2843</v>
      </c>
      <c r="B37" s="543"/>
      <c r="C37" s="543"/>
      <c r="D37" s="544"/>
    </row>
    <row r="38" spans="1:4" s="382" customFormat="1" ht="15">
      <c r="A38" s="386" t="s">
        <v>2845</v>
      </c>
      <c r="B38" s="417">
        <f>Weights!O37</f>
        <v>0.1</v>
      </c>
      <c r="C38" s="391">
        <f>'Data Entry - SOF'!S61</f>
        <v>0</v>
      </c>
      <c r="D38" s="390">
        <f>'SOF2324-SB1'!H40</f>
        <v>0</v>
      </c>
    </row>
    <row r="39" spans="1:4" s="382" customFormat="1" ht="15.75">
      <c r="C39" s="477" t="s">
        <v>2979</v>
      </c>
      <c r="D39" s="1433" t="s">
        <v>8223</v>
      </c>
    </row>
    <row r="40" spans="1:4" ht="15">
      <c r="D40" s="382"/>
    </row>
    <row r="41" spans="1:4" ht="15">
      <c r="D41" s="382"/>
    </row>
    <row r="42" spans="1:4" s="382" customFormat="1" ht="15.75">
      <c r="A42" s="325" t="s">
        <v>3116</v>
      </c>
    </row>
    <row r="43" spans="1:4" s="382" customFormat="1" ht="15.75">
      <c r="A43" s="325" t="s">
        <v>4032</v>
      </c>
    </row>
    <row r="44" spans="1:4" s="382" customFormat="1" ht="15.75">
      <c r="A44" s="325"/>
    </row>
    <row r="45" spans="1:4" s="382" customFormat="1" ht="15">
      <c r="D45"/>
    </row>
    <row r="46" spans="1:4" s="382" customFormat="1" ht="15">
      <c r="D46"/>
    </row>
  </sheetData>
  <hyperlinks>
    <hyperlink ref="D39" location="'Report-SOF2324'!A1" display="'Report-SOF2324'!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85546875" customWidth="1"/>
    <col min="2" max="2" width="62.5703125" customWidth="1"/>
    <col min="3" max="3" width="5.140625" customWidth="1"/>
    <col min="4" max="4" width="25.5703125" customWidth="1"/>
  </cols>
  <sheetData>
    <row r="1" spans="1:4">
      <c r="A1" s="380" t="s">
        <v>2993</v>
      </c>
      <c r="C1" s="380"/>
      <c r="D1" s="754" t="str">
        <f>'Report-T1Detail1920'!D1</f>
        <v>Release 10</v>
      </c>
    </row>
    <row r="2" spans="1:4">
      <c r="A2" s="380" t="s">
        <v>2994</v>
      </c>
      <c r="C2" s="380"/>
      <c r="D2" s="72">
        <f>'Report-T1Detail1920'!D2</f>
        <v>43724</v>
      </c>
    </row>
    <row r="3" spans="1:4">
      <c r="A3" s="64"/>
      <c r="C3" s="64"/>
      <c r="D3" s="58">
        <f>'Report-T1Detail1920'!D3</f>
        <v>0</v>
      </c>
    </row>
    <row r="4" spans="1:4" ht="15.75">
      <c r="A4" s="381" t="s">
        <v>8210</v>
      </c>
      <c r="C4" s="381"/>
    </row>
    <row r="5" spans="1:4" ht="15.75">
      <c r="A5" s="383">
        <f>'Data Entry - SOF'!B1</f>
        <v>0</v>
      </c>
      <c r="C5" s="383"/>
    </row>
    <row r="6" spans="1:4" ht="15.75">
      <c r="A6" s="381">
        <f>'Data Entry - SOF'!B2</f>
        <v>0</v>
      </c>
      <c r="C6" s="381"/>
    </row>
    <row r="9" spans="1:4" ht="18">
      <c r="A9" s="545" t="s">
        <v>2846</v>
      </c>
      <c r="B9" s="548"/>
      <c r="C9" s="545"/>
      <c r="D9" s="546" t="s">
        <v>2847</v>
      </c>
    </row>
    <row r="10" spans="1:4" s="382" customFormat="1" ht="15">
      <c r="A10" s="385" t="s">
        <v>2186</v>
      </c>
      <c r="B10" s="386" t="s">
        <v>3114</v>
      </c>
      <c r="C10" s="386"/>
      <c r="D10" s="391" t="e">
        <f>'Calc Data'!J25</f>
        <v>#DIV/0!</v>
      </c>
    </row>
    <row r="11" spans="1:4" s="382" customFormat="1" ht="18">
      <c r="A11" s="596" t="s">
        <v>2848</v>
      </c>
      <c r="B11" s="583"/>
      <c r="C11" s="547"/>
      <c r="D11" s="544"/>
    </row>
    <row r="12" spans="1:4" s="382" customFormat="1" ht="15">
      <c r="A12" s="385" t="s">
        <v>2187</v>
      </c>
      <c r="B12" s="386" t="s">
        <v>3107</v>
      </c>
      <c r="C12" s="386"/>
      <c r="D12" s="390">
        <f>'Calc Data'!J34</f>
        <v>0</v>
      </c>
    </row>
    <row r="13" spans="1:4" s="382" customFormat="1" ht="15">
      <c r="A13" s="385" t="s">
        <v>2188</v>
      </c>
      <c r="B13" s="386" t="s">
        <v>8211</v>
      </c>
      <c r="C13" s="386"/>
      <c r="D13" s="389" t="e">
        <f>'Calc Data'!J35</f>
        <v>#DIV/0!</v>
      </c>
    </row>
    <row r="14" spans="1:4" s="382" customFormat="1" ht="15">
      <c r="A14" s="385" t="s">
        <v>3117</v>
      </c>
      <c r="B14" s="386" t="str">
        <f>CONCATENATE("Level 1 Entitlement @ $",Assumptions!G155,"")</f>
        <v>Level 1 Entitlement @ $135.92</v>
      </c>
      <c r="C14" s="386"/>
      <c r="D14" s="390" t="e">
        <f>'SOF2324-SB1'!H135</f>
        <v>#DIV/0!</v>
      </c>
    </row>
    <row r="15" spans="1:4" s="382" customFormat="1" ht="15">
      <c r="A15" s="385" t="s">
        <v>910</v>
      </c>
      <c r="B15" s="386" t="s">
        <v>8212</v>
      </c>
      <c r="C15" s="386"/>
      <c r="D15" s="390" t="e">
        <f>'Calc Data'!J42*-1</f>
        <v>#DIV/0!</v>
      </c>
    </row>
    <row r="16" spans="1:4" s="382" customFormat="1" ht="15">
      <c r="A16" s="385" t="s">
        <v>912</v>
      </c>
      <c r="B16" s="386" t="str">
        <f>CONCATENATE("GYA ($",Assumptions!G155," * WADA * DTR_1 * 100) - LR")</f>
        <v>GYA ($135.92 * WADA * DTR_1 * 100) - LR</v>
      </c>
      <c r="C16" s="386"/>
      <c r="D16" s="390" t="e">
        <f>'SOF2324-SB1'!H51</f>
        <v>#DIV/0!</v>
      </c>
    </row>
    <row r="17" spans="1:4" s="382" customFormat="1" ht="18">
      <c r="A17" s="596" t="s">
        <v>2850</v>
      </c>
      <c r="B17" s="583"/>
      <c r="C17" s="547"/>
      <c r="D17" s="544"/>
    </row>
    <row r="18" spans="1:4" s="382" customFormat="1" ht="15">
      <c r="A18" s="385" t="s">
        <v>913</v>
      </c>
      <c r="B18" s="386" t="s">
        <v>3108</v>
      </c>
      <c r="C18" s="386"/>
      <c r="D18" s="390">
        <f>'Calc Data'!BD31</f>
        <v>0</v>
      </c>
    </row>
    <row r="19" spans="1:4" s="382" customFormat="1" ht="15">
      <c r="A19" s="385" t="s">
        <v>914</v>
      </c>
      <c r="B19" s="386" t="s">
        <v>8213</v>
      </c>
      <c r="C19" s="386"/>
      <c r="D19" s="389" t="e">
        <f>'Calc Data'!BD29</f>
        <v>#DIV/0!</v>
      </c>
    </row>
    <row r="20" spans="1:4" s="382" customFormat="1" ht="15">
      <c r="A20" s="385" t="s">
        <v>118</v>
      </c>
      <c r="B20" s="386" t="str">
        <f>CONCATENATE("Level 2 Entitlement @ $",Assumptions!G156,"")</f>
        <v>Level 2 Entitlement @ $31.95</v>
      </c>
      <c r="C20" s="386"/>
      <c r="D20" s="390" t="e">
        <f>'SOF2324-SB1'!H136</f>
        <v>#DIV/0!</v>
      </c>
    </row>
    <row r="21" spans="1:4" s="382" customFormat="1" ht="15">
      <c r="A21" s="385" t="s">
        <v>119</v>
      </c>
      <c r="B21" s="386" t="s">
        <v>8214</v>
      </c>
      <c r="C21" s="386"/>
      <c r="D21" s="390" t="e">
        <f>'Calc Data'!BD33*-1</f>
        <v>#DIV/0!</v>
      </c>
    </row>
    <row r="22" spans="1:4" s="382" customFormat="1" ht="15">
      <c r="A22" s="385" t="s">
        <v>120</v>
      </c>
      <c r="B22" s="386" t="str">
        <f>CONCATENATE("GYA ($",Assumptions!G156," * WADA * DTR_1 * 100) - LR")</f>
        <v>GYA ($31.95 * WADA * DTR_1 * 100) - LR</v>
      </c>
      <c r="C22" s="386"/>
      <c r="D22" s="390" t="e">
        <f>'SOF2324-SB1'!H52</f>
        <v>#DIV/0!</v>
      </c>
    </row>
    <row r="23" spans="1:4" s="382" customFormat="1" ht="15.75">
      <c r="A23" s="385" t="s">
        <v>121</v>
      </c>
      <c r="B23" s="384" t="s">
        <v>3109</v>
      </c>
      <c r="C23" s="384"/>
      <c r="D23" s="395" t="e">
        <f>'SOF2324-SB1'!H53</f>
        <v>#DIV/0!</v>
      </c>
    </row>
    <row r="24" spans="1:4" s="382" customFormat="1" ht="15.75">
      <c r="B24" s="477" t="s">
        <v>2978</v>
      </c>
      <c r="D24" s="1433" t="s">
        <v>8223</v>
      </c>
    </row>
    <row r="25" spans="1:4" s="382" customFormat="1" ht="15"/>
    <row r="26" spans="1:4" s="382" customFormat="1" ht="15"/>
    <row r="27" spans="1:4" s="382" customFormat="1" ht="15"/>
    <row r="28" spans="1:4" s="382" customFormat="1" ht="15"/>
    <row r="29" spans="1:4" s="382" customFormat="1" ht="15"/>
    <row r="30" spans="1:4" s="382" customFormat="1" ht="15">
      <c r="D30"/>
    </row>
    <row r="31" spans="1:4" s="382" customFormat="1" ht="15">
      <c r="D31"/>
    </row>
  </sheetData>
  <hyperlinks>
    <hyperlink ref="D24" location="'Report-SOF2324'!A1" display="'Report-SOF2324'!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42578125" customWidth="1"/>
    <col min="2" max="2" width="74" customWidth="1"/>
    <col min="3" max="3" width="25.5703125" customWidth="1"/>
  </cols>
  <sheetData>
    <row r="1" spans="1:3">
      <c r="A1" s="380" t="s">
        <v>2993</v>
      </c>
      <c r="C1" s="754" t="str">
        <f>'Report-T2Detail1920'!D1</f>
        <v>Release 10</v>
      </c>
    </row>
    <row r="2" spans="1:3">
      <c r="A2" s="380" t="s">
        <v>2994</v>
      </c>
      <c r="C2" s="72">
        <f>'Report-T2Detail1920'!D2</f>
        <v>43724</v>
      </c>
    </row>
    <row r="3" spans="1:3">
      <c r="A3" s="64"/>
      <c r="C3" s="58">
        <f>'Report-T2Detail1920'!D3</f>
        <v>0</v>
      </c>
    </row>
    <row r="4" spans="1:3" ht="15.75">
      <c r="A4" s="381" t="s">
        <v>8199</v>
      </c>
    </row>
    <row r="5" spans="1:3" ht="15.75">
      <c r="A5" s="383">
        <f>'Data Entry - SOF'!B1</f>
        <v>0</v>
      </c>
    </row>
    <row r="6" spans="1:3" ht="15.75">
      <c r="A6" s="381">
        <f>'Data Entry - SOF'!B2</f>
        <v>0</v>
      </c>
    </row>
    <row r="9" spans="1:3" s="266" customFormat="1" ht="18">
      <c r="A9" s="556" t="s">
        <v>1982</v>
      </c>
      <c r="B9" s="553"/>
      <c r="C9" s="546" t="s">
        <v>1273</v>
      </c>
    </row>
    <row r="10" spans="1:3" s="382" customFormat="1" ht="15.75">
      <c r="A10" s="596" t="s">
        <v>2852</v>
      </c>
      <c r="B10" s="543"/>
      <c r="C10" s="544"/>
    </row>
    <row r="11" spans="1:3" s="382" customFormat="1" ht="15">
      <c r="A11" s="385" t="s">
        <v>2186</v>
      </c>
      <c r="B11" s="386" t="s">
        <v>2356</v>
      </c>
      <c r="C11" s="392" t="e">
        <f>ASATR!L8</f>
        <v>#N/A</v>
      </c>
    </row>
    <row r="12" spans="1:3" s="382" customFormat="1" ht="15">
      <c r="A12" s="385" t="s">
        <v>2187</v>
      </c>
      <c r="B12" s="386" t="s">
        <v>8200</v>
      </c>
      <c r="C12" s="391" t="e">
        <f>'Calc Data'!J25</f>
        <v>#DIV/0!</v>
      </c>
    </row>
    <row r="13" spans="1:3" s="382" customFormat="1" ht="15">
      <c r="A13" s="385" t="s">
        <v>2188</v>
      </c>
      <c r="B13" s="386" t="s">
        <v>8201</v>
      </c>
      <c r="C13" s="390" t="e">
        <f>ASATR!M50</f>
        <v>#N/A</v>
      </c>
    </row>
    <row r="14" spans="1:3" s="382" customFormat="1" ht="15">
      <c r="A14" s="385" t="s">
        <v>909</v>
      </c>
      <c r="B14" s="386" t="str">
        <f>CONCATENATE("2023-24 Minimum Increase (Line 2 * $120 * ",Weights!N7,")")</f>
        <v>2023-24 Minimum Increase (Line 2 * $120 * 0.9263)</v>
      </c>
      <c r="C14" s="390" t="e">
        <f>ASATR!M51</f>
        <v>#DIV/0!</v>
      </c>
    </row>
    <row r="15" spans="1:3" s="382" customFormat="1" ht="15">
      <c r="A15" s="385" t="s">
        <v>910</v>
      </c>
      <c r="B15" s="386" t="s">
        <v>2853</v>
      </c>
      <c r="C15" s="390">
        <f>ASATR!L13</f>
        <v>0</v>
      </c>
    </row>
    <row r="16" spans="1:3" s="382" customFormat="1" ht="15">
      <c r="A16" s="385" t="s">
        <v>912</v>
      </c>
      <c r="B16" s="386" t="s">
        <v>8202</v>
      </c>
      <c r="C16" s="390" t="e">
        <f>ASATR!M14</f>
        <v>#N/A</v>
      </c>
    </row>
    <row r="17" spans="1:4" s="382" customFormat="1" ht="15">
      <c r="A17" s="549"/>
      <c r="B17" s="543"/>
      <c r="C17" s="544"/>
    </row>
    <row r="18" spans="1:4" s="382" customFormat="1" ht="15">
      <c r="A18" s="385" t="s">
        <v>913</v>
      </c>
      <c r="B18" s="386" t="s">
        <v>2856</v>
      </c>
      <c r="C18" s="390">
        <f>ASATR!M15</f>
        <v>0</v>
      </c>
    </row>
    <row r="19" spans="1:4" s="382" customFormat="1" ht="15">
      <c r="A19" s="385" t="s">
        <v>914</v>
      </c>
      <c r="B19" s="386" t="s">
        <v>2857</v>
      </c>
      <c r="C19" s="390">
        <f>ASATR!M16</f>
        <v>0</v>
      </c>
    </row>
    <row r="20" spans="1:4" s="382" customFormat="1" ht="15">
      <c r="A20" s="385" t="s">
        <v>118</v>
      </c>
      <c r="B20" s="386" t="str">
        <f>CONCATENATE("2008-09 Educator Salary Increase ($23.63 * 2008-09 WADA * ",Weights!N7,")")</f>
        <v>2008-09 Educator Salary Increase ($23.63 * 2008-09 WADA * 0.9263)</v>
      </c>
      <c r="C20" s="390">
        <f>ASATR!M18</f>
        <v>0</v>
      </c>
    </row>
    <row r="21" spans="1:4" s="382" customFormat="1" ht="15.75">
      <c r="A21" s="385" t="s">
        <v>119</v>
      </c>
      <c r="B21" s="384" t="s">
        <v>8203</v>
      </c>
      <c r="C21" s="390" t="e">
        <f>ASATR!M20</f>
        <v>#N/A</v>
      </c>
    </row>
    <row r="22" spans="1:4" s="382" customFormat="1" ht="15">
      <c r="A22" s="549"/>
      <c r="B22" s="543"/>
      <c r="C22" s="544"/>
    </row>
    <row r="23" spans="1:4" s="382" customFormat="1" ht="15">
      <c r="A23" s="385" t="s">
        <v>120</v>
      </c>
      <c r="B23" s="386" t="s">
        <v>8204</v>
      </c>
      <c r="C23" s="390" t="e">
        <f>ASATR!M37</f>
        <v>#DIV/0!</v>
      </c>
    </row>
    <row r="24" spans="1:4" s="382" customFormat="1" ht="15">
      <c r="A24" s="385" t="s">
        <v>121</v>
      </c>
      <c r="B24" s="386" t="s">
        <v>8205</v>
      </c>
      <c r="C24" s="390">
        <f>ASATR!M38</f>
        <v>0</v>
      </c>
    </row>
    <row r="25" spans="1:4" s="382" customFormat="1" ht="15">
      <c r="A25" s="385" t="s">
        <v>1513</v>
      </c>
      <c r="B25" s="719" t="s">
        <v>8206</v>
      </c>
      <c r="C25" s="390" t="e">
        <f>ASATR!M39</f>
        <v>#DIV/0!</v>
      </c>
    </row>
    <row r="26" spans="1:4" s="382" customFormat="1" ht="15">
      <c r="A26" s="385" t="s">
        <v>6</v>
      </c>
      <c r="B26" s="386" t="s">
        <v>8207</v>
      </c>
      <c r="C26" s="390" t="e">
        <f>ASATR!M40</f>
        <v>#DIV/0!</v>
      </c>
    </row>
    <row r="27" spans="1:4" s="382" customFormat="1" ht="15">
      <c r="A27" s="549"/>
      <c r="B27" s="543"/>
      <c r="C27" s="555"/>
    </row>
    <row r="28" spans="1:4" s="382" customFormat="1" ht="15.75">
      <c r="A28" s="418" t="s">
        <v>2232</v>
      </c>
      <c r="B28" s="402" t="s">
        <v>3026</v>
      </c>
      <c r="C28" s="395" t="e">
        <f>ASATR!M42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8208</v>
      </c>
      <c r="C31" s="390" t="e">
        <f>ASATR!M45</f>
        <v>#DIV/0!</v>
      </c>
    </row>
    <row r="32" spans="1:4" s="382" customFormat="1" ht="15">
      <c r="A32" s="400" t="s">
        <v>2722</v>
      </c>
      <c r="B32" s="386" t="s">
        <v>8209</v>
      </c>
      <c r="C32" s="390" t="e">
        <f>ASATR!M46</f>
        <v>#DIV/0!</v>
      </c>
    </row>
    <row r="33" spans="2:3" s="382" customFormat="1" ht="15.75">
      <c r="B33" s="477" t="s">
        <v>2991</v>
      </c>
      <c r="C33" s="1433" t="s">
        <v>8223</v>
      </c>
    </row>
    <row r="34" spans="2:3" s="382" customFormat="1" ht="15"/>
    <row r="35" spans="2:3" s="382" customFormat="1" ht="15"/>
    <row r="36" spans="2:3" s="382" customFormat="1" ht="15">
      <c r="C36"/>
    </row>
    <row r="37" spans="2:3" s="382" customFormat="1" ht="15">
      <c r="C37"/>
    </row>
    <row r="38" spans="2:3" s="382"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382" customFormat="1" ht="15">
      <c r="A1" s="380" t="s">
        <v>2993</v>
      </c>
      <c r="D1" s="754" t="str">
        <f>'Report-ASATR1920'!C1</f>
        <v>Release 10</v>
      </c>
    </row>
    <row r="2" spans="1:4" s="382" customFormat="1" ht="15">
      <c r="A2" s="380" t="s">
        <v>2994</v>
      </c>
      <c r="D2" s="72">
        <f>'Report-ASATR1920'!C2</f>
        <v>43724</v>
      </c>
    </row>
    <row r="3" spans="1:4" s="382" customFormat="1" ht="15.75">
      <c r="A3" s="381"/>
      <c r="D3" s="58">
        <f>'Report-ASATR1920'!C3</f>
        <v>0</v>
      </c>
    </row>
    <row r="4" spans="1:4" s="382" customFormat="1" ht="15.75">
      <c r="A4" s="381" t="s">
        <v>8198</v>
      </c>
    </row>
    <row r="5" spans="1:4" s="382" customFormat="1" ht="15.75">
      <c r="A5" s="383">
        <f>'Data Entry - SOF'!B1</f>
        <v>0</v>
      </c>
    </row>
    <row r="6" spans="1:4" s="382" customFormat="1" ht="15.75">
      <c r="A6" s="381">
        <f>'Data Entry - SOF'!B2</f>
        <v>0</v>
      </c>
    </row>
    <row r="7" spans="1:4" s="382" customFormat="1" ht="15.75">
      <c r="A7" s="381"/>
    </row>
    <row r="8" spans="1:4" s="382" customFormat="1" ht="15"/>
    <row r="9" spans="1:4" s="266" customFormat="1" ht="18">
      <c r="A9" s="523"/>
      <c r="B9" s="524"/>
      <c r="C9" s="525"/>
      <c r="D9" s="532" t="s">
        <v>2818</v>
      </c>
    </row>
    <row r="10" spans="1:4" s="479" customFormat="1" ht="18">
      <c r="A10" s="557" t="s">
        <v>2990</v>
      </c>
      <c r="B10" s="527"/>
      <c r="C10" s="528"/>
      <c r="D10" s="537" t="s">
        <v>2805</v>
      </c>
    </row>
    <row r="11" spans="1:4" s="382" customFormat="1" ht="15">
      <c r="A11" s="385" t="s">
        <v>2186</v>
      </c>
      <c r="B11" s="386" t="s">
        <v>2981</v>
      </c>
      <c r="C11" s="386"/>
      <c r="D11" s="495">
        <f>'Data Entry - SOF'!S120</f>
        <v>0</v>
      </c>
    </row>
    <row r="12" spans="1:4" s="382" customFormat="1" ht="15.75">
      <c r="A12" s="385" t="s">
        <v>2187</v>
      </c>
      <c r="B12" s="386" t="s">
        <v>7028</v>
      </c>
      <c r="C12" s="386"/>
      <c r="D12" s="495">
        <f>'HH2324-Calcs'!D26</f>
        <v>0</v>
      </c>
    </row>
    <row r="13" spans="1:4" s="382" customFormat="1" ht="15">
      <c r="A13" s="385" t="s">
        <v>2188</v>
      </c>
      <c r="B13" s="386" t="s">
        <v>3104</v>
      </c>
      <c r="C13" s="386"/>
      <c r="D13" s="495">
        <v>0</v>
      </c>
    </row>
    <row r="14" spans="1:4" s="382" customFormat="1" ht="15.75">
      <c r="A14" s="385" t="s">
        <v>909</v>
      </c>
      <c r="B14" s="1789" t="s">
        <v>7059</v>
      </c>
      <c r="C14" s="386"/>
      <c r="D14" s="395">
        <v>0</v>
      </c>
    </row>
    <row r="15" spans="1:4" s="382" customFormat="1" ht="15">
      <c r="A15" s="385" t="s">
        <v>910</v>
      </c>
      <c r="B15" s="386" t="s">
        <v>758</v>
      </c>
      <c r="C15" s="386"/>
      <c r="D15" s="390">
        <f>'Data Entry - SOF'!S121</f>
        <v>0</v>
      </c>
    </row>
    <row r="16" spans="1:4" s="382" customFormat="1" ht="15">
      <c r="A16" s="385" t="s">
        <v>912</v>
      </c>
      <c r="B16" s="386" t="s">
        <v>2983</v>
      </c>
      <c r="C16" s="386"/>
      <c r="D16" s="495">
        <f>'Data Entry - SOF'!S123</f>
        <v>0</v>
      </c>
    </row>
    <row r="17" spans="1:5" s="382" customFormat="1" ht="15">
      <c r="A17" s="385" t="s">
        <v>913</v>
      </c>
      <c r="B17" s="386" t="s">
        <v>3205</v>
      </c>
      <c r="C17" s="386"/>
      <c r="D17" s="495">
        <f>'Data Entry - SOF'!S142</f>
        <v>0</v>
      </c>
    </row>
    <row r="18" spans="1:5" s="382" customFormat="1" ht="15">
      <c r="A18" s="385" t="s">
        <v>914</v>
      </c>
      <c r="B18" s="386" t="s">
        <v>2436</v>
      </c>
      <c r="C18" s="386"/>
      <c r="D18" s="390">
        <f>'SOF2324-SB1'!H64</f>
        <v>0</v>
      </c>
    </row>
    <row r="19" spans="1:5" s="382" customFormat="1" ht="15">
      <c r="A19" s="385" t="s">
        <v>118</v>
      </c>
      <c r="B19" s="386" t="s">
        <v>2986</v>
      </c>
      <c r="C19" s="386"/>
      <c r="D19" s="495">
        <v>0</v>
      </c>
    </row>
    <row r="20" spans="1:5" s="382" customFormat="1" ht="15">
      <c r="A20" s="385" t="s">
        <v>119</v>
      </c>
      <c r="B20" s="386" t="s">
        <v>2987</v>
      </c>
      <c r="C20" s="386"/>
      <c r="D20" s="495">
        <f>'Data Entry - SOF'!S125</f>
        <v>0</v>
      </c>
    </row>
    <row r="21" spans="1:5" s="382" customFormat="1" ht="15">
      <c r="A21" s="385" t="s">
        <v>120</v>
      </c>
      <c r="B21" s="386" t="s">
        <v>2988</v>
      </c>
      <c r="C21" s="386"/>
      <c r="D21" s="390" t="e">
        <f>'SOF2324-SB1'!H66</f>
        <v>#DIV/0!</v>
      </c>
    </row>
    <row r="22" spans="1:5" s="382" customFormat="1" ht="15">
      <c r="A22" s="385" t="s">
        <v>121</v>
      </c>
      <c r="B22" s="386" t="s">
        <v>2989</v>
      </c>
      <c r="C22" s="386"/>
      <c r="D22" s="390" t="e">
        <f>'SOF2324-SB1'!H65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row>
    <row r="26" spans="1:5" s="382" customFormat="1" ht="15.75">
      <c r="A26" s="385" t="s">
        <v>2233</v>
      </c>
      <c r="B26" s="384" t="s">
        <v>3027</v>
      </c>
      <c r="C26" s="386"/>
      <c r="D26" s="395" t="e">
        <f>SUM(D11:D25)</f>
        <v>#DIV/0!</v>
      </c>
    </row>
    <row r="27" spans="1:5" s="382" customFormat="1" ht="15.75">
      <c r="A27" s="394"/>
      <c r="B27" s="477" t="s">
        <v>2978</v>
      </c>
      <c r="D27" s="1433" t="s">
        <v>8223</v>
      </c>
    </row>
    <row r="28" spans="1:5" s="382" customFormat="1" ht="15">
      <c r="A28" s="394"/>
    </row>
    <row r="29" spans="1:5" s="382" customFormat="1" ht="15">
      <c r="A29" s="394"/>
    </row>
    <row r="30" spans="1:5" s="382" customFormat="1" ht="15.7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c r="D46"/>
    </row>
    <row r="47" spans="1:4" s="382"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2578125" customWidth="1"/>
    <col min="2" max="2" width="78.42578125" customWidth="1"/>
    <col min="3" max="3" width="4.5703125" customWidth="1"/>
    <col min="4" max="4" width="22.5703125" customWidth="1"/>
  </cols>
  <sheetData>
    <row r="1" spans="1:4">
      <c r="A1" s="380" t="s">
        <v>2993</v>
      </c>
      <c r="D1" s="141" t="str">
        <f>'Report-Other1920'!D1</f>
        <v>Release 10</v>
      </c>
    </row>
    <row r="2" spans="1:4">
      <c r="A2" s="380" t="s">
        <v>2994</v>
      </c>
      <c r="D2" s="72">
        <f>'Report-Other1920'!D2</f>
        <v>43724</v>
      </c>
    </row>
    <row r="3" spans="1:4">
      <c r="A3" s="64"/>
      <c r="D3" s="58">
        <f>'Report-Other1920'!D3</f>
        <v>0</v>
      </c>
    </row>
    <row r="4" spans="1:4" ht="15.75">
      <c r="A4" s="381" t="s">
        <v>8178</v>
      </c>
    </row>
    <row r="5" spans="1:4" ht="15.75">
      <c r="A5" s="383">
        <f>'Data Entry - SOF'!B1</f>
        <v>0</v>
      </c>
    </row>
    <row r="6" spans="1:4" ht="15.75">
      <c r="A6" s="381">
        <f>'Data Entry - SOF'!B2</f>
        <v>0</v>
      </c>
    </row>
    <row r="9" spans="1:4" s="266" customFormat="1" ht="18">
      <c r="A9" s="564" t="s">
        <v>3110</v>
      </c>
      <c r="B9" s="558"/>
      <c r="C9" s="559"/>
      <c r="D9" s="524"/>
    </row>
    <row r="10" spans="1:4" s="382" customFormat="1" ht="18">
      <c r="A10" s="562" t="s">
        <v>2866</v>
      </c>
      <c r="B10" s="560"/>
      <c r="C10" s="561"/>
      <c r="D10" s="537" t="s">
        <v>2867</v>
      </c>
    </row>
    <row r="11" spans="1:4" s="382" customFormat="1" ht="15">
      <c r="A11" s="385" t="s">
        <v>2186</v>
      </c>
      <c r="B11" s="386" t="s">
        <v>6982</v>
      </c>
      <c r="C11" s="386"/>
      <c r="D11" s="390">
        <f>'Data Entry - SOF'!Q101</f>
        <v>0</v>
      </c>
    </row>
    <row r="12" spans="1:4" s="382" customFormat="1" ht="15">
      <c r="A12" s="385" t="s">
        <v>2187</v>
      </c>
      <c r="B12" s="386" t="s">
        <v>8179</v>
      </c>
      <c r="C12" s="386"/>
      <c r="D12" s="390">
        <f>'Report-EDA2223'!D26</f>
        <v>0</v>
      </c>
    </row>
    <row r="13" spans="1:4" s="382" customFormat="1" ht="15">
      <c r="A13" s="385" t="s">
        <v>2188</v>
      </c>
      <c r="B13" s="386" t="s">
        <v>8180</v>
      </c>
      <c r="C13" s="386"/>
      <c r="D13" s="390">
        <f>'Report-IFA2223'!D20</f>
        <v>0</v>
      </c>
    </row>
    <row r="14" spans="1:4" s="382" customFormat="1" ht="15">
      <c r="A14" s="385" t="s">
        <v>909</v>
      </c>
      <c r="B14" s="386" t="s">
        <v>8181</v>
      </c>
      <c r="C14" s="386"/>
      <c r="D14" s="390">
        <f>IF(D11-D12-D13&lt;0,0,D11-D12-D13)</f>
        <v>0</v>
      </c>
    </row>
    <row r="15" spans="1:4" s="382" customFormat="1" ht="15">
      <c r="A15" s="385" t="s">
        <v>910</v>
      </c>
      <c r="B15" s="386" t="s">
        <v>8182</v>
      </c>
      <c r="C15" s="386"/>
      <c r="D15" s="390">
        <f>'Data Entry - SOF'!S118</f>
        <v>0</v>
      </c>
    </row>
    <row r="16" spans="1:4" s="382" customFormat="1" ht="15">
      <c r="A16" s="385" t="s">
        <v>912</v>
      </c>
      <c r="B16" s="386" t="s">
        <v>8183</v>
      </c>
      <c r="C16" s="386"/>
      <c r="D16" s="478">
        <f>'Report-IFA2324'!D37</f>
        <v>0</v>
      </c>
    </row>
    <row r="17" spans="1:4" s="382" customFormat="1" ht="15">
      <c r="A17" s="385" t="s">
        <v>913</v>
      </c>
      <c r="B17" s="386" t="s">
        <v>8184</v>
      </c>
      <c r="C17" s="386"/>
      <c r="D17" s="391">
        <f>'Data Entry - SOF'!S19</f>
        <v>0</v>
      </c>
    </row>
    <row r="18" spans="1:4" s="382" customFormat="1" ht="15">
      <c r="A18" s="385" t="s">
        <v>914</v>
      </c>
      <c r="B18" s="386" t="s">
        <v>8177</v>
      </c>
      <c r="C18" s="386"/>
      <c r="D18" s="390">
        <f>'Data Entry - SOF'!S76</f>
        <v>0</v>
      </c>
    </row>
    <row r="19" spans="1:4" s="382" customFormat="1" ht="15">
      <c r="A19" s="385" t="s">
        <v>118</v>
      </c>
      <c r="B19" s="386" t="s">
        <v>7036</v>
      </c>
      <c r="C19" s="386"/>
      <c r="D19" s="390">
        <f>'Data Entry - SOF'!Q76</f>
        <v>0</v>
      </c>
    </row>
    <row r="20" spans="1:4" s="382" customFormat="1" ht="15.75">
      <c r="A20" s="596" t="s">
        <v>2868</v>
      </c>
      <c r="B20" s="543"/>
      <c r="C20" s="544"/>
      <c r="D20" s="563"/>
    </row>
    <row r="21" spans="1:4" s="382" customFormat="1" ht="15">
      <c r="A21" s="418" t="s">
        <v>119</v>
      </c>
      <c r="B21" s="402" t="s">
        <v>8185</v>
      </c>
      <c r="C21" s="402"/>
      <c r="D21" s="848">
        <f>'Existing Debt-OldLaw'!S47</f>
        <v>0</v>
      </c>
    </row>
    <row r="22" spans="1:4" s="382" customFormat="1" ht="15">
      <c r="A22" s="396"/>
      <c r="B22" s="404" t="s">
        <v>2869</v>
      </c>
      <c r="C22" s="404"/>
      <c r="D22" s="849"/>
    </row>
    <row r="23" spans="1:4" s="382" customFormat="1" ht="15">
      <c r="A23" s="385" t="s">
        <v>120</v>
      </c>
      <c r="B23" s="386" t="str">
        <f>CONCATENATE("2023-24 Rate Needed for All Eligible Debt ((Line 5 - Line 6) / ",Weights!O50," / Line 7 / 100)")</f>
        <v>2023-24 Rate Needed for All Eligible Debt ((Line 5 - Line 6) / 37 / Line 7 / 100)</v>
      </c>
      <c r="C23" s="386"/>
      <c r="D23" s="850">
        <f>'Existing Debt-OldLaw'!S51</f>
        <v>0</v>
      </c>
    </row>
    <row r="24" spans="1:4" s="382" customFormat="1" ht="15">
      <c r="A24" s="385" t="s">
        <v>121</v>
      </c>
      <c r="B24" s="386" t="s">
        <v>8186</v>
      </c>
      <c r="C24" s="386"/>
      <c r="D24" s="850">
        <f>'Existing Debt-OldLaw'!S55</f>
        <v>0</v>
      </c>
    </row>
    <row r="25" spans="1:4" s="382" customFormat="1" ht="15">
      <c r="A25" s="385" t="s">
        <v>1513</v>
      </c>
      <c r="B25" s="386" t="str">
        <f>CONCATENATE("State/Local Share of EDA ($",Weights!O50," * Line 7 * Line 12 * 100)")</f>
        <v>State/Local Share of EDA ($37 * Line 7 * Line 12 * 100)</v>
      </c>
      <c r="C25" s="386"/>
      <c r="D25" s="478">
        <f>'Existing Debt-OldLaw'!S59</f>
        <v>0</v>
      </c>
    </row>
    <row r="26" spans="1:4" s="382" customFormat="1" ht="15">
      <c r="A26" s="385" t="s">
        <v>6</v>
      </c>
      <c r="B26" s="386" t="s">
        <v>2870</v>
      </c>
      <c r="C26" s="386"/>
      <c r="D26" s="478">
        <f>'Existing Debt-OldLaw'!S61</f>
        <v>0</v>
      </c>
    </row>
    <row r="27" spans="1:4" s="382" customFormat="1" ht="15">
      <c r="A27" s="385" t="s">
        <v>2232</v>
      </c>
      <c r="B27" s="386" t="s">
        <v>2871</v>
      </c>
      <c r="C27" s="386"/>
      <c r="D27" s="478">
        <f>'Existing Debt-OldLaw'!S70</f>
        <v>0</v>
      </c>
    </row>
    <row r="28" spans="1:4" s="382" customFormat="1" ht="15.75">
      <c r="A28" s="385" t="s">
        <v>2233</v>
      </c>
      <c r="B28" s="384" t="s">
        <v>2872</v>
      </c>
      <c r="C28" s="386"/>
      <c r="D28" s="395">
        <f>'Existing Debt-OldLaw'!S74</f>
        <v>0</v>
      </c>
    </row>
    <row r="29" spans="1:4" s="382" customFormat="1" ht="15.75">
      <c r="B29" s="477" t="s">
        <v>2978</v>
      </c>
      <c r="D29" s="1433" t="s">
        <v>8223</v>
      </c>
    </row>
    <row r="30" spans="1:4" s="382" customFormat="1" ht="15"/>
    <row r="31" spans="1:4" s="382" customFormat="1" ht="15"/>
    <row r="32" spans="1:4" s="382" customFormat="1" ht="15.75">
      <c r="B32" s="325" t="s">
        <v>2939</v>
      </c>
    </row>
    <row r="33" spans="2:4" s="382" customFormat="1" ht="15.75">
      <c r="B33" s="325" t="s">
        <v>3115</v>
      </c>
    </row>
    <row r="34" spans="2:4" s="382" customFormat="1" ht="15.75">
      <c r="B34" s="565" t="s">
        <v>3112</v>
      </c>
    </row>
    <row r="35" spans="2:4" s="382" customFormat="1" ht="15.75">
      <c r="B35" s="565"/>
    </row>
    <row r="36" spans="2:4" s="382" customFormat="1" ht="15.75">
      <c r="B36" s="325" t="s">
        <v>8266</v>
      </c>
    </row>
    <row r="37" spans="2:4" s="382" customFormat="1" ht="15.75">
      <c r="B37" s="565" t="s">
        <v>8267</v>
      </c>
    </row>
    <row r="38" spans="2:4" s="382" customFormat="1" ht="15.75">
      <c r="B38" s="565" t="s">
        <v>8268</v>
      </c>
    </row>
    <row r="39" spans="2:4" s="382" customFormat="1" ht="15.75">
      <c r="B39" s="325" t="s">
        <v>8269</v>
      </c>
    </row>
    <row r="40" spans="2:4" s="382" customFormat="1" ht="15.75">
      <c r="B40" s="325"/>
    </row>
    <row r="41" spans="2:4" s="382" customFormat="1" ht="15.75">
      <c r="B41" s="100" t="s">
        <v>8276</v>
      </c>
      <c r="D41" s="833">
        <f>IF(ISNA('DE1'!H65),0,'DE1'!H65)</f>
        <v>0</v>
      </c>
    </row>
    <row r="42" spans="2:4" ht="15.75">
      <c r="B42" s="325"/>
      <c r="C42" s="382"/>
      <c r="D42" s="382"/>
    </row>
    <row r="43" spans="2:4" ht="15.75">
      <c r="B43" s="325" t="s">
        <v>6367</v>
      </c>
      <c r="C43" s="382"/>
      <c r="D43" s="382"/>
    </row>
    <row r="44" spans="2:4" ht="15.75">
      <c r="B44" s="565" t="s">
        <v>8277</v>
      </c>
      <c r="C44" s="382"/>
    </row>
    <row r="45" spans="2:4" ht="15.75">
      <c r="B45" s="325" t="s">
        <v>8265</v>
      </c>
    </row>
  </sheetData>
  <hyperlinks>
    <hyperlink ref="D29"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2578125" customWidth="1"/>
    <col min="2" max="2" width="61.85546875" customWidth="1"/>
    <col min="3" max="3" width="5.5703125" customWidth="1"/>
    <col min="4" max="5" width="22.5703125" customWidth="1"/>
  </cols>
  <sheetData>
    <row r="1" spans="1:5">
      <c r="A1" s="380" t="s">
        <v>2992</v>
      </c>
      <c r="E1" s="754" t="str">
        <f>'Report-EDA1920'!D1</f>
        <v>Release 10</v>
      </c>
    </row>
    <row r="2" spans="1:5">
      <c r="A2" s="380" t="s">
        <v>2865</v>
      </c>
      <c r="E2" s="72">
        <f>'Report-EDA1920'!D2</f>
        <v>43724</v>
      </c>
    </row>
    <row r="3" spans="1:5">
      <c r="A3" s="64"/>
      <c r="E3" s="58">
        <f>'Report-EDA1920'!D3</f>
        <v>0</v>
      </c>
    </row>
    <row r="4" spans="1:5" ht="15.75">
      <c r="A4" s="381" t="s">
        <v>8176</v>
      </c>
    </row>
    <row r="5" spans="1:5" ht="15.75">
      <c r="A5" s="383">
        <f>'Data Entry - SOF'!B1</f>
        <v>0</v>
      </c>
    </row>
    <row r="6" spans="1:5" ht="15.75">
      <c r="A6" s="381">
        <f>'Data Entry - SOF'!B2</f>
        <v>0</v>
      </c>
    </row>
    <row r="9" spans="1:5" s="266" customFormat="1" ht="18">
      <c r="A9" s="564" t="s">
        <v>3111</v>
      </c>
      <c r="B9" s="558"/>
      <c r="C9" s="558"/>
      <c r="D9" s="532" t="s">
        <v>2964</v>
      </c>
      <c r="E9" s="593" t="s">
        <v>2964</v>
      </c>
    </row>
    <row r="10" spans="1:5" s="382" customFormat="1" ht="18">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'IFA-OldLaw'!AF58</f>
        <v>400</v>
      </c>
      <c r="E12" s="391">
        <f>D12</f>
        <v>400</v>
      </c>
    </row>
    <row r="13" spans="1:5" s="382" customFormat="1" ht="15">
      <c r="A13" s="385" t="s">
        <v>2188</v>
      </c>
      <c r="B13" s="386" t="s">
        <v>8177</v>
      </c>
      <c r="C13" s="386"/>
      <c r="D13" s="390">
        <f>'Report-EDA2324'!D18</f>
        <v>0</v>
      </c>
      <c r="E13" s="390">
        <f>D13</f>
        <v>0</v>
      </c>
    </row>
    <row r="14" spans="1:5" s="382" customFormat="1" ht="15">
      <c r="A14" s="385" t="s">
        <v>909</v>
      </c>
      <c r="B14" s="386" t="s">
        <v>2967</v>
      </c>
      <c r="C14" s="386"/>
      <c r="D14" s="390">
        <f>'IFA-OldLaw'!AF65</f>
        <v>0</v>
      </c>
      <c r="E14" s="390">
        <f>'IFA-OldLaw'!AG65</f>
        <v>0</v>
      </c>
    </row>
    <row r="15" spans="1:5" s="382" customFormat="1" ht="15">
      <c r="A15" s="385" t="s">
        <v>910</v>
      </c>
      <c r="B15" s="386" t="s">
        <v>2968</v>
      </c>
      <c r="C15" s="386"/>
      <c r="D15" s="469">
        <f>'IFA-OldLaw'!AF67</f>
        <v>0</v>
      </c>
      <c r="E15" s="469">
        <f>'IFA-OldLaw'!AG67</f>
        <v>0</v>
      </c>
    </row>
    <row r="16" spans="1:5" s="382" customFormat="1" ht="15">
      <c r="A16" s="385" t="s">
        <v>912</v>
      </c>
      <c r="B16" s="386" t="s">
        <v>2969</v>
      </c>
      <c r="C16" s="386"/>
      <c r="D16" s="469">
        <f>'IFA-OldLaw'!AF69</f>
        <v>0</v>
      </c>
      <c r="E16" s="469">
        <f>'IFA-OldLaw'!AG69</f>
        <v>0</v>
      </c>
    </row>
    <row r="17" spans="1:5" s="382" customFormat="1" ht="15">
      <c r="A17" s="385" t="s">
        <v>913</v>
      </c>
      <c r="B17" s="386" t="str">
        <f>CONCATENATE("State's Share of $",Weights!O49," per ADA Yield")</f>
        <v>State's Share of $35 per ADA Yield</v>
      </c>
      <c r="C17" s="386"/>
      <c r="D17" s="390">
        <f>'IFA-OldLaw'!AF71</f>
        <v>35</v>
      </c>
      <c r="E17" s="390">
        <f>'IFA-OldLaw'!AG71</f>
        <v>35</v>
      </c>
    </row>
    <row r="18" spans="1:5" s="382" customFormat="1" ht="15">
      <c r="A18" s="385" t="s">
        <v>914</v>
      </c>
      <c r="B18" s="386" t="s">
        <v>2970</v>
      </c>
      <c r="C18" s="386"/>
      <c r="D18" s="470">
        <f>'IFA-OldLaw'!AF73</f>
        <v>1</v>
      </c>
      <c r="E18" s="470">
        <f>'IFA-OldLaw'!AG73</f>
        <v>1</v>
      </c>
    </row>
    <row r="19" spans="1:5" s="382" customFormat="1" ht="15">
      <c r="A19" s="385" t="s">
        <v>118</v>
      </c>
      <c r="B19" s="386" t="s">
        <v>2971</v>
      </c>
      <c r="C19" s="386"/>
      <c r="D19" s="390">
        <f>'IFA-OldLaw'!AF75</f>
        <v>0</v>
      </c>
      <c r="E19" s="390">
        <f>'IFA-OldLaw'!AG75</f>
        <v>0</v>
      </c>
    </row>
    <row r="20" spans="1:5" s="382" customFormat="1" ht="15">
      <c r="A20" s="385" t="s">
        <v>119</v>
      </c>
      <c r="B20" s="386" t="s">
        <v>2972</v>
      </c>
      <c r="C20" s="386"/>
      <c r="D20" s="390">
        <f>'IFA-OldLaw'!AF79</f>
        <v>0</v>
      </c>
      <c r="E20" s="390">
        <f>'IFA-OldLaw'!AG79</f>
        <v>0</v>
      </c>
    </row>
    <row r="21" spans="1:5" s="382" customFormat="1" ht="15.75">
      <c r="A21" s="385" t="s">
        <v>120</v>
      </c>
      <c r="B21" s="384" t="s">
        <v>2973</v>
      </c>
      <c r="C21" s="386"/>
      <c r="D21" s="390">
        <f>'IFA-OldLaw'!AF86</f>
        <v>0</v>
      </c>
      <c r="E21" s="390">
        <f>'IFA-OldLaw'!AG86</f>
        <v>0</v>
      </c>
    </row>
    <row r="22" spans="1:5" s="382" customFormat="1" ht="15.75">
      <c r="B22" s="477" t="s">
        <v>2978</v>
      </c>
      <c r="D22" s="1433" t="s">
        <v>8223</v>
      </c>
    </row>
    <row r="23" spans="1:5" s="382" customFormat="1" ht="15"/>
    <row r="24" spans="1:5" s="382" customFormat="1" ht="15.75">
      <c r="B24" s="325" t="s">
        <v>2939</v>
      </c>
    </row>
    <row r="25" spans="1:5" s="382" customFormat="1" ht="15.75">
      <c r="B25" s="325" t="s">
        <v>8270</v>
      </c>
    </row>
    <row r="26" spans="1:5" s="382" customFormat="1" ht="15.75">
      <c r="B26" s="325" t="s">
        <v>8271</v>
      </c>
    </row>
    <row r="27" spans="1:5" s="382" customFormat="1" ht="15.75">
      <c r="B27" s="565" t="s">
        <v>8272</v>
      </c>
    </row>
    <row r="28" spans="1:5" s="382" customFormat="1" ht="15"/>
    <row r="29" spans="1:5" s="382" customFormat="1" ht="15.75">
      <c r="B29" s="325" t="s">
        <v>8273</v>
      </c>
    </row>
    <row r="30" spans="1:5" s="382" customFormat="1" ht="15.75">
      <c r="B30" s="565" t="s">
        <v>8274</v>
      </c>
    </row>
    <row r="31" spans="1:5" s="382" customFormat="1" ht="15.75">
      <c r="B31" s="325" t="s">
        <v>8275</v>
      </c>
    </row>
    <row r="32" spans="1:5" s="382" customFormat="1" ht="15.75">
      <c r="B32" s="100" t="s">
        <v>8276</v>
      </c>
      <c r="E32" s="833">
        <f>IF(ISNA('DE1'!H65),0,'DE1'!H65)</f>
        <v>0</v>
      </c>
    </row>
    <row r="33" spans="2:5" s="382" customFormat="1" ht="15.75">
      <c r="B33" s="325"/>
    </row>
    <row r="34" spans="2:5" s="382" customFormat="1" ht="15"/>
    <row r="35" spans="2:5" s="382" customFormat="1" ht="15.75">
      <c r="D35" s="482" t="s">
        <v>1718</v>
      </c>
      <c r="E35" s="482" t="s">
        <v>1719</v>
      </c>
    </row>
    <row r="36" spans="2:5" s="382" customFormat="1" ht="15.75">
      <c r="D36" s="482" t="s">
        <v>3044</v>
      </c>
      <c r="E36" s="482" t="s">
        <v>3044</v>
      </c>
    </row>
    <row r="37" spans="2:5" s="382" customFormat="1" ht="15.75">
      <c r="B37" s="1955" t="s">
        <v>2451</v>
      </c>
      <c r="C37" s="325"/>
      <c r="D37" s="1989">
        <f>IFA_Limits!P55</f>
        <v>0</v>
      </c>
      <c r="E37" s="1989">
        <f>IFA_Limits!P56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c r="D50"/>
    </row>
    <row r="51" spans="4:4" s="382" customFormat="1" ht="15">
      <c r="D51"/>
    </row>
  </sheetData>
  <hyperlinks>
    <hyperlink ref="D22"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0" t="s">
        <v>3118</v>
      </c>
      <c r="E1" s="754" t="str">
        <f>'Report-IFA1920'!E1</f>
        <v>Release 10</v>
      </c>
    </row>
    <row r="2" spans="1:5">
      <c r="A2" s="380" t="s">
        <v>3119</v>
      </c>
      <c r="E2" s="72">
        <f>'Report-IFA1920'!E2</f>
        <v>43724</v>
      </c>
    </row>
    <row r="3" spans="1:5">
      <c r="A3" s="64"/>
      <c r="E3" s="58">
        <f>'Report-IFA1920'!E3</f>
        <v>0</v>
      </c>
    </row>
    <row r="4" spans="1:5" ht="15.75">
      <c r="A4" s="381" t="s">
        <v>8197</v>
      </c>
    </row>
    <row r="5" spans="1:5" ht="15.75">
      <c r="A5" s="383">
        <f>'Data Entry - SOF'!B1</f>
        <v>0</v>
      </c>
    </row>
    <row r="6" spans="1:5" ht="15.75">
      <c r="A6" s="381">
        <f>'Data Entry - SOF'!B2</f>
        <v>0</v>
      </c>
    </row>
    <row r="8" spans="1:5" ht="18">
      <c r="A8" s="591" t="s">
        <v>3121</v>
      </c>
      <c r="B8" s="535"/>
      <c r="C8" s="532" t="s">
        <v>2080</v>
      </c>
      <c r="D8" s="592"/>
      <c r="E8" s="593" t="s">
        <v>3123</v>
      </c>
    </row>
    <row r="9" spans="1:5" ht="18">
      <c r="A9" s="552" t="s">
        <v>3120</v>
      </c>
      <c r="B9" s="594"/>
      <c r="C9" s="533" t="s">
        <v>3122</v>
      </c>
      <c r="D9" s="595"/>
      <c r="E9" s="537" t="s">
        <v>3124</v>
      </c>
    </row>
    <row r="10" spans="1:5" ht="15.75">
      <c r="A10" s="596" t="s">
        <v>3129</v>
      </c>
      <c r="B10" s="597"/>
      <c r="C10" s="597"/>
      <c r="D10" s="597"/>
      <c r="E10" s="598"/>
    </row>
    <row r="11" spans="1:5" ht="15">
      <c r="A11" s="385" t="s">
        <v>2186</v>
      </c>
      <c r="B11" s="386" t="s">
        <v>3125</v>
      </c>
      <c r="C11" s="388">
        <f>'Data Entry - SOF'!S129</f>
        <v>0</v>
      </c>
      <c r="D11" s="386"/>
      <c r="E11" s="388" t="e">
        <f>'Report-SOF2324'!D56</f>
        <v>#DIV/0!</v>
      </c>
    </row>
    <row r="12" spans="1:5" ht="15">
      <c r="A12" s="385" t="s">
        <v>2187</v>
      </c>
      <c r="B12" s="386" t="s">
        <v>3126</v>
      </c>
      <c r="C12" s="388">
        <f>'Data Entry - SOF'!S130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8">
      <c r="A15" s="382"/>
      <c r="B15" s="599" t="s">
        <v>3130</v>
      </c>
      <c r="C15" s="492"/>
      <c r="D15" s="492"/>
      <c r="E15" s="602" t="e">
        <f>E13-C13</f>
        <v>#DIV/0!</v>
      </c>
    </row>
    <row r="16" spans="1:5" ht="15.75">
      <c r="A16" s="382"/>
      <c r="C16" s="477" t="s">
        <v>2978</v>
      </c>
      <c r="D16" s="382"/>
      <c r="E16" s="1433" t="s">
        <v>8223</v>
      </c>
    </row>
    <row r="17" spans="1:5" ht="15.75">
      <c r="A17" s="382"/>
      <c r="C17" s="477"/>
      <c r="D17" s="382"/>
      <c r="E17" s="382"/>
    </row>
    <row r="18" spans="1:5" ht="15">
      <c r="A18" s="382"/>
      <c r="B18" s="382"/>
      <c r="C18" s="382"/>
      <c r="D18" s="382"/>
      <c r="E18" s="382"/>
    </row>
    <row r="19" spans="1:5" ht="15.75">
      <c r="A19" s="382"/>
      <c r="B19" s="325" t="s">
        <v>3128</v>
      </c>
      <c r="C19" s="382"/>
      <c r="D19" s="382"/>
      <c r="E19" s="382"/>
    </row>
    <row r="20" spans="1:5" ht="15.75">
      <c r="A20" s="382"/>
      <c r="B20" s="325" t="s">
        <v>3133</v>
      </c>
      <c r="C20" s="382"/>
      <c r="D20" s="382"/>
    </row>
    <row r="21" spans="1:5" ht="15.75">
      <c r="A21" s="382"/>
      <c r="B21" s="325" t="s">
        <v>3134</v>
      </c>
      <c r="C21" s="382"/>
      <c r="D21" s="382"/>
    </row>
    <row r="22" spans="1:5" ht="15.75">
      <c r="A22" s="382"/>
      <c r="B22" s="325" t="s">
        <v>3135</v>
      </c>
    </row>
    <row r="23" spans="1:5" ht="15.75">
      <c r="A23" s="382"/>
      <c r="B23" s="325"/>
    </row>
    <row r="24" spans="1:5" ht="15.75">
      <c r="A24" s="382"/>
      <c r="B24" s="325" t="s">
        <v>3131</v>
      </c>
    </row>
    <row r="25" spans="1:5" ht="15.7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56"/>
  <sheetViews>
    <sheetView workbookViewId="0"/>
  </sheetViews>
  <sheetFormatPr defaultRowHeight="12.75"/>
  <cols>
    <col min="1" max="1" width="25.42578125" customWidth="1"/>
    <col min="2" max="2" width="19.5703125" style="91" hidden="1" customWidth="1"/>
    <col min="3" max="3" width="6.42578125" hidden="1" customWidth="1"/>
    <col min="4" max="4" width="20.5703125" hidden="1" customWidth="1"/>
    <col min="5" max="5" width="6.5703125" hidden="1" customWidth="1"/>
    <col min="6" max="6" width="20.5703125" customWidth="1"/>
    <col min="7" max="7" width="6.5703125" customWidth="1"/>
    <col min="8" max="8" width="20.5703125" customWidth="1"/>
    <col min="9" max="9" width="6.5703125" customWidth="1"/>
    <col min="10" max="10" width="20.5703125" customWidth="1"/>
    <col min="11" max="11" width="6.5703125" customWidth="1"/>
    <col min="12" max="12" width="20.5703125" customWidth="1"/>
    <col min="13" max="13" width="6.5703125" customWidth="1"/>
    <col min="14" max="14" width="20.5703125" customWidth="1"/>
    <col min="15" max="15" width="6.5703125" customWidth="1"/>
    <col min="16" max="16" width="20.5703125" customWidth="1"/>
    <col min="17" max="17" width="6.5703125" customWidth="1"/>
  </cols>
  <sheetData>
    <row r="1" spans="1:17" ht="15.75">
      <c r="A1" s="35">
        <f>'DE1'!C2</f>
        <v>0</v>
      </c>
      <c r="F1" s="2019" t="s">
        <v>5748</v>
      </c>
    </row>
    <row r="2" spans="1:17" ht="15.75">
      <c r="A2" s="966">
        <f>'Data Entry - SOF'!B1</f>
        <v>0</v>
      </c>
      <c r="F2" s="2021" t="s">
        <v>9207</v>
      </c>
    </row>
    <row r="3" spans="1:17" ht="15.75">
      <c r="A3" s="966"/>
      <c r="F3" s="2019" t="s">
        <v>5749</v>
      </c>
    </row>
    <row r="4" spans="1:17" ht="15.75">
      <c r="A4" s="966"/>
      <c r="F4" s="2019" t="s">
        <v>5750</v>
      </c>
    </row>
    <row r="5" spans="1:17" ht="15.75">
      <c r="A5" s="966"/>
      <c r="F5" s="2019" t="s">
        <v>5751</v>
      </c>
    </row>
    <row r="6" spans="1:17" ht="15.75">
      <c r="A6" s="966"/>
      <c r="F6" s="2019" t="s">
        <v>6168</v>
      </c>
    </row>
    <row r="7" spans="1:17">
      <c r="A7" s="966"/>
    </row>
    <row r="8" spans="1:17">
      <c r="B8" s="46" t="s">
        <v>5743</v>
      </c>
      <c r="C8" s="798">
        <f>COUNTIF(IFAData_TEA_1718!B2:M2364,A1)</f>
        <v>3744</v>
      </c>
    </row>
    <row r="9" spans="1:17">
      <c r="B9"/>
      <c r="C9" s="91"/>
      <c r="D9" s="1108" t="s">
        <v>3144</v>
      </c>
      <c r="E9" s="1103"/>
      <c r="F9" s="295" t="s">
        <v>3225</v>
      </c>
      <c r="G9" s="1101"/>
      <c r="H9" s="1364" t="s">
        <v>3284</v>
      </c>
      <c r="I9" s="1365"/>
      <c r="J9" s="1111" t="s">
        <v>3922</v>
      </c>
      <c r="K9" s="968"/>
      <c r="L9" s="1749" t="s">
        <v>6374</v>
      </c>
      <c r="M9" s="1750"/>
      <c r="N9" s="1360" t="s">
        <v>6939</v>
      </c>
      <c r="O9" s="1361"/>
      <c r="P9" s="1753" t="s">
        <v>8157</v>
      </c>
      <c r="Q9" s="1754"/>
    </row>
    <row r="10" spans="1:17">
      <c r="B10" s="54" t="s">
        <v>5744</v>
      </c>
      <c r="D10" s="1109" t="s">
        <v>3124</v>
      </c>
      <c r="E10" s="1104" t="s">
        <v>4051</v>
      </c>
      <c r="F10" s="1110" t="s">
        <v>3124</v>
      </c>
      <c r="G10" s="1102" t="s">
        <v>4051</v>
      </c>
      <c r="H10" s="1366" t="s">
        <v>3124</v>
      </c>
      <c r="I10" s="1367" t="s">
        <v>4051</v>
      </c>
      <c r="J10" s="1112" t="s">
        <v>3124</v>
      </c>
      <c r="K10" s="969" t="s">
        <v>4051</v>
      </c>
      <c r="L10" s="1751" t="s">
        <v>3124</v>
      </c>
      <c r="M10" s="1752" t="s">
        <v>4051</v>
      </c>
      <c r="N10" s="1362" t="s">
        <v>3124</v>
      </c>
      <c r="O10" s="1363" t="s">
        <v>4051</v>
      </c>
      <c r="P10" s="1755" t="s">
        <v>3124</v>
      </c>
      <c r="Q10" s="1756" t="s">
        <v>4051</v>
      </c>
    </row>
    <row r="11" spans="1:17" ht="15">
      <c r="A11" s="72" t="s">
        <v>5745</v>
      </c>
      <c r="B11" s="965" t="e">
        <f>MATCH(A$1,IFAData_TEA_1718!B$2:B$2355,0)</f>
        <v>#N/A</v>
      </c>
      <c r="D11" s="2936" t="e">
        <f>IF(B11&lt;B$11+C$8,INDEX(IFAData_TEA_1718!B$2:M$2564,B11,11),0)</f>
        <v>#N/A</v>
      </c>
      <c r="E11" s="2937" t="e">
        <f>IF(B11&lt;B$11+C$8,INDEX(IFAData_TEA_1718!B$2:M$2564,B11,12),0)</f>
        <v>#N/A</v>
      </c>
      <c r="F11" s="973" t="e">
        <f>IFA_Limits1819!H11</f>
        <v>#N/A</v>
      </c>
      <c r="G11" s="2901" t="e">
        <f>IFA_Limits1819!I11</f>
        <v>#N/A</v>
      </c>
      <c r="H11" s="218" t="e">
        <f t="shared" ref="H11:K11" si="0">F11</f>
        <v>#N/A</v>
      </c>
      <c r="I11" s="218" t="e">
        <f t="shared" si="0"/>
        <v>#N/A</v>
      </c>
      <c r="J11" s="218" t="e">
        <f t="shared" si="0"/>
        <v>#N/A</v>
      </c>
      <c r="K11" s="218" t="e">
        <f t="shared" si="0"/>
        <v>#N/A</v>
      </c>
      <c r="L11" s="218" t="e">
        <f t="shared" ref="L11:L54" si="1">J11</f>
        <v>#N/A</v>
      </c>
      <c r="M11" s="218" t="e">
        <f t="shared" ref="M11:M54" si="2">K11</f>
        <v>#N/A</v>
      </c>
      <c r="N11" s="218" t="e">
        <f t="shared" ref="N11:N54" si="3">L11</f>
        <v>#N/A</v>
      </c>
      <c r="O11" s="218" t="e">
        <f t="shared" ref="O11:O54" si="4">M11</f>
        <v>#N/A</v>
      </c>
      <c r="P11" s="218" t="e">
        <f t="shared" ref="P11:P54" si="5">N11</f>
        <v>#N/A</v>
      </c>
      <c r="Q11" s="218" t="e">
        <f t="shared" ref="Q11:Q54" si="6">O11</f>
        <v>#N/A</v>
      </c>
    </row>
    <row r="12" spans="1:17">
      <c r="A12" s="72" t="s">
        <v>5745</v>
      </c>
      <c r="B12" s="52" t="e">
        <f>B11+1</f>
        <v>#N/A</v>
      </c>
      <c r="D12" s="2936" t="e">
        <f>IF(B12&lt;B$11+C$8,INDEX(IFAData_TEA_1718!B$2:M$2564,B12,11),0)</f>
        <v>#N/A</v>
      </c>
      <c r="E12" s="2937" t="e">
        <f>IF(B12&lt;B$11+C$8,INDEX(IFAData_TEA_1718!B$2:M$2564,B12,12),0)</f>
        <v>#N/A</v>
      </c>
      <c r="F12" s="973" t="e">
        <f>IFA_Limits1819!H12</f>
        <v>#N/A</v>
      </c>
      <c r="G12" s="2901" t="e">
        <f>IFA_Limits1819!I12</f>
        <v>#N/A</v>
      </c>
      <c r="H12" s="218" t="e">
        <f t="shared" ref="H12:H54" si="7">F12</f>
        <v>#N/A</v>
      </c>
      <c r="I12" s="218" t="e">
        <f t="shared" ref="I12:I54" si="8">G12</f>
        <v>#N/A</v>
      </c>
      <c r="J12" s="218" t="e">
        <f t="shared" ref="J12:J54" si="9">H12</f>
        <v>#N/A</v>
      </c>
      <c r="K12" s="218" t="e">
        <f t="shared" ref="K12:K54" si="10">I12</f>
        <v>#N/A</v>
      </c>
      <c r="L12" s="218" t="e">
        <f t="shared" si="1"/>
        <v>#N/A</v>
      </c>
      <c r="M12" s="218" t="e">
        <f t="shared" si="2"/>
        <v>#N/A</v>
      </c>
      <c r="N12" s="218" t="e">
        <f t="shared" si="3"/>
        <v>#N/A</v>
      </c>
      <c r="O12" s="218" t="e">
        <f t="shared" si="4"/>
        <v>#N/A</v>
      </c>
      <c r="P12" s="218" t="e">
        <f t="shared" si="5"/>
        <v>#N/A</v>
      </c>
      <c r="Q12" s="218" t="e">
        <f t="shared" si="6"/>
        <v>#N/A</v>
      </c>
    </row>
    <row r="13" spans="1:17">
      <c r="A13" s="72" t="s">
        <v>5745</v>
      </c>
      <c r="B13" s="52" t="e">
        <f t="shared" ref="B13:B48" si="11">B12+1</f>
        <v>#N/A</v>
      </c>
      <c r="D13" s="2936" t="e">
        <f>IF(B13&lt;B$11+C$8,INDEX(IFAData_TEA_1718!B$2:M$2564,B13,11),0)</f>
        <v>#N/A</v>
      </c>
      <c r="E13" s="2937" t="e">
        <f>IF(B13&lt;B$11+C$8,INDEX(IFAData_TEA_1718!B$2:M$2564,B13,12),0)</f>
        <v>#N/A</v>
      </c>
      <c r="F13" s="973" t="e">
        <f>IFA_Limits1819!H13</f>
        <v>#N/A</v>
      </c>
      <c r="G13" s="2901" t="e">
        <f>IFA_Limits1819!I13</f>
        <v>#N/A</v>
      </c>
      <c r="H13" s="218" t="e">
        <f t="shared" si="7"/>
        <v>#N/A</v>
      </c>
      <c r="I13" s="218" t="e">
        <f t="shared" si="8"/>
        <v>#N/A</v>
      </c>
      <c r="J13" s="218" t="e">
        <f t="shared" si="9"/>
        <v>#N/A</v>
      </c>
      <c r="K13" s="218" t="e">
        <f t="shared" si="10"/>
        <v>#N/A</v>
      </c>
      <c r="L13" s="218" t="e">
        <f t="shared" si="1"/>
        <v>#N/A</v>
      </c>
      <c r="M13" s="218" t="e">
        <f t="shared" si="2"/>
        <v>#N/A</v>
      </c>
      <c r="N13" s="218" t="e">
        <f t="shared" si="3"/>
        <v>#N/A</v>
      </c>
      <c r="O13" s="218" t="e">
        <f t="shared" si="4"/>
        <v>#N/A</v>
      </c>
      <c r="P13" s="218" t="e">
        <f t="shared" si="5"/>
        <v>#N/A</v>
      </c>
      <c r="Q13" s="218" t="e">
        <f t="shared" si="6"/>
        <v>#N/A</v>
      </c>
    </row>
    <row r="14" spans="1:17">
      <c r="A14" s="72" t="s">
        <v>5745</v>
      </c>
      <c r="B14" s="52" t="e">
        <f t="shared" si="11"/>
        <v>#N/A</v>
      </c>
      <c r="D14" s="2936" t="e">
        <f>IF(B14&lt;B$11+C$8,INDEX(IFAData_TEA_1718!B$2:M$2564,B14,11),0)</f>
        <v>#N/A</v>
      </c>
      <c r="E14" s="2937" t="e">
        <f>IF(B14&lt;B$11+C$8,INDEX(IFAData_TEA_1718!B$2:M$2564,B14,12),0)</f>
        <v>#N/A</v>
      </c>
      <c r="F14" s="973" t="e">
        <f>IFA_Limits1819!H14</f>
        <v>#N/A</v>
      </c>
      <c r="G14" s="2901" t="e">
        <f>IFA_Limits1819!I14</f>
        <v>#N/A</v>
      </c>
      <c r="H14" s="218" t="e">
        <f t="shared" si="7"/>
        <v>#N/A</v>
      </c>
      <c r="I14" s="218" t="e">
        <f t="shared" si="8"/>
        <v>#N/A</v>
      </c>
      <c r="J14" s="218" t="e">
        <f t="shared" si="9"/>
        <v>#N/A</v>
      </c>
      <c r="K14" s="218" t="e">
        <f t="shared" si="10"/>
        <v>#N/A</v>
      </c>
      <c r="L14" s="218" t="e">
        <f t="shared" si="1"/>
        <v>#N/A</v>
      </c>
      <c r="M14" s="218" t="e">
        <f t="shared" si="2"/>
        <v>#N/A</v>
      </c>
      <c r="N14" s="218" t="e">
        <f t="shared" si="3"/>
        <v>#N/A</v>
      </c>
      <c r="O14" s="218" t="e">
        <f t="shared" si="4"/>
        <v>#N/A</v>
      </c>
      <c r="P14" s="218" t="e">
        <f t="shared" si="5"/>
        <v>#N/A</v>
      </c>
      <c r="Q14" s="218" t="e">
        <f t="shared" si="6"/>
        <v>#N/A</v>
      </c>
    </row>
    <row r="15" spans="1:17">
      <c r="A15" s="72" t="s">
        <v>5745</v>
      </c>
      <c r="B15" s="52" t="e">
        <f t="shared" si="11"/>
        <v>#N/A</v>
      </c>
      <c r="D15" s="2936" t="e">
        <f>IF(B15&lt;B$11+C$8,INDEX(IFAData_TEA_1718!B$2:M$2564,B15,11),0)</f>
        <v>#N/A</v>
      </c>
      <c r="E15" s="2937" t="e">
        <f>IF(B15&lt;B$11+C$8,INDEX(IFAData_TEA_1718!B$2:M$2564,B15,12),0)</f>
        <v>#N/A</v>
      </c>
      <c r="F15" s="973" t="e">
        <f>IFA_Limits1819!H15</f>
        <v>#N/A</v>
      </c>
      <c r="G15" s="2901" t="e">
        <f>IFA_Limits1819!I15</f>
        <v>#N/A</v>
      </c>
      <c r="H15" s="218" t="e">
        <f t="shared" si="7"/>
        <v>#N/A</v>
      </c>
      <c r="I15" s="218" t="e">
        <f t="shared" si="8"/>
        <v>#N/A</v>
      </c>
      <c r="J15" s="218" t="e">
        <f t="shared" si="9"/>
        <v>#N/A</v>
      </c>
      <c r="K15" s="218" t="e">
        <f t="shared" si="10"/>
        <v>#N/A</v>
      </c>
      <c r="L15" s="218" t="e">
        <f t="shared" si="1"/>
        <v>#N/A</v>
      </c>
      <c r="M15" s="218" t="e">
        <f t="shared" si="2"/>
        <v>#N/A</v>
      </c>
      <c r="N15" s="218" t="e">
        <f t="shared" si="3"/>
        <v>#N/A</v>
      </c>
      <c r="O15" s="218" t="e">
        <f t="shared" si="4"/>
        <v>#N/A</v>
      </c>
      <c r="P15" s="218" t="e">
        <f t="shared" si="5"/>
        <v>#N/A</v>
      </c>
      <c r="Q15" s="218" t="e">
        <f t="shared" si="6"/>
        <v>#N/A</v>
      </c>
    </row>
    <row r="16" spans="1:17">
      <c r="A16" s="72" t="s">
        <v>5745</v>
      </c>
      <c r="B16" s="52" t="e">
        <f t="shared" si="11"/>
        <v>#N/A</v>
      </c>
      <c r="D16" s="2936" t="e">
        <f>IF(B16&lt;B$11+C$8,INDEX(IFAData_TEA_1718!B$2:M$2564,B16,11),0)</f>
        <v>#N/A</v>
      </c>
      <c r="E16" s="2937" t="e">
        <f>IF(B16&lt;B$11+C$8,INDEX(IFAData_TEA_1718!B$2:M$2564,B16,12),0)</f>
        <v>#N/A</v>
      </c>
      <c r="F16" s="973" t="e">
        <f>IFA_Limits1819!H16</f>
        <v>#N/A</v>
      </c>
      <c r="G16" s="2901" t="e">
        <f>IFA_Limits1819!I16</f>
        <v>#N/A</v>
      </c>
      <c r="H16" s="218" t="e">
        <f t="shared" si="7"/>
        <v>#N/A</v>
      </c>
      <c r="I16" s="218" t="e">
        <f t="shared" si="8"/>
        <v>#N/A</v>
      </c>
      <c r="J16" s="218" t="e">
        <f t="shared" si="9"/>
        <v>#N/A</v>
      </c>
      <c r="K16" s="218" t="e">
        <f t="shared" si="10"/>
        <v>#N/A</v>
      </c>
      <c r="L16" s="218" t="e">
        <f t="shared" si="1"/>
        <v>#N/A</v>
      </c>
      <c r="M16" s="218" t="e">
        <f t="shared" si="2"/>
        <v>#N/A</v>
      </c>
      <c r="N16" s="218" t="e">
        <f t="shared" si="3"/>
        <v>#N/A</v>
      </c>
      <c r="O16" s="218" t="e">
        <f t="shared" si="4"/>
        <v>#N/A</v>
      </c>
      <c r="P16" s="218" t="e">
        <f t="shared" si="5"/>
        <v>#N/A</v>
      </c>
      <c r="Q16" s="218" t="e">
        <f t="shared" si="6"/>
        <v>#N/A</v>
      </c>
    </row>
    <row r="17" spans="1:17">
      <c r="A17" s="72" t="s">
        <v>5745</v>
      </c>
      <c r="B17" s="52" t="e">
        <f t="shared" si="11"/>
        <v>#N/A</v>
      </c>
      <c r="D17" s="2936" t="e">
        <f>IF(B17&lt;B$11+C$8,INDEX(IFAData_TEA_1718!B$2:M$2564,B17,11),0)</f>
        <v>#N/A</v>
      </c>
      <c r="E17" s="2937" t="e">
        <f>IF(B17&lt;B$11+C$8,INDEX(IFAData_TEA_1718!B$2:M$2564,B17,12),0)</f>
        <v>#N/A</v>
      </c>
      <c r="F17" s="973" t="e">
        <f>IFA_Limits1819!H17</f>
        <v>#N/A</v>
      </c>
      <c r="G17" s="2901" t="e">
        <f>IFA_Limits1819!I17</f>
        <v>#N/A</v>
      </c>
      <c r="H17" s="218" t="e">
        <f t="shared" si="7"/>
        <v>#N/A</v>
      </c>
      <c r="I17" s="218" t="e">
        <f t="shared" si="8"/>
        <v>#N/A</v>
      </c>
      <c r="J17" s="218" t="e">
        <f t="shared" si="9"/>
        <v>#N/A</v>
      </c>
      <c r="K17" s="218" t="e">
        <f t="shared" si="10"/>
        <v>#N/A</v>
      </c>
      <c r="L17" s="218" t="e">
        <f t="shared" si="1"/>
        <v>#N/A</v>
      </c>
      <c r="M17" s="218" t="e">
        <f t="shared" si="2"/>
        <v>#N/A</v>
      </c>
      <c r="N17" s="218" t="e">
        <f t="shared" si="3"/>
        <v>#N/A</v>
      </c>
      <c r="O17" s="218" t="e">
        <f t="shared" si="4"/>
        <v>#N/A</v>
      </c>
      <c r="P17" s="218" t="e">
        <f t="shared" si="5"/>
        <v>#N/A</v>
      </c>
      <c r="Q17" s="218" t="e">
        <f t="shared" si="6"/>
        <v>#N/A</v>
      </c>
    </row>
    <row r="18" spans="1:17">
      <c r="A18" s="72" t="s">
        <v>5745</v>
      </c>
      <c r="B18" s="52" t="e">
        <f t="shared" si="11"/>
        <v>#N/A</v>
      </c>
      <c r="D18" s="2936" t="e">
        <f>IF(B18&lt;B$11+C$8,INDEX(IFAData_TEA_1718!B$2:M$2564,B18,11),0)</f>
        <v>#N/A</v>
      </c>
      <c r="E18" s="2937" t="e">
        <f>IF(B18&lt;B$11+C$8,INDEX(IFAData_TEA_1718!B$2:M$2564,B18,12),0)</f>
        <v>#N/A</v>
      </c>
      <c r="F18" s="973" t="e">
        <f>IFA_Limits1819!H18</f>
        <v>#N/A</v>
      </c>
      <c r="G18" s="2901" t="e">
        <f>IFA_Limits1819!I18</f>
        <v>#N/A</v>
      </c>
      <c r="H18" s="218" t="e">
        <f t="shared" si="7"/>
        <v>#N/A</v>
      </c>
      <c r="I18" s="218" t="e">
        <f t="shared" si="8"/>
        <v>#N/A</v>
      </c>
      <c r="J18" s="218" t="e">
        <f t="shared" si="9"/>
        <v>#N/A</v>
      </c>
      <c r="K18" s="218" t="e">
        <f t="shared" si="10"/>
        <v>#N/A</v>
      </c>
      <c r="L18" s="218" t="e">
        <f t="shared" si="1"/>
        <v>#N/A</v>
      </c>
      <c r="M18" s="218" t="e">
        <f t="shared" si="2"/>
        <v>#N/A</v>
      </c>
      <c r="N18" s="218" t="e">
        <f t="shared" si="3"/>
        <v>#N/A</v>
      </c>
      <c r="O18" s="218" t="e">
        <f t="shared" si="4"/>
        <v>#N/A</v>
      </c>
      <c r="P18" s="218" t="e">
        <f t="shared" si="5"/>
        <v>#N/A</v>
      </c>
      <c r="Q18" s="218" t="e">
        <f t="shared" si="6"/>
        <v>#N/A</v>
      </c>
    </row>
    <row r="19" spans="1:17">
      <c r="A19" s="72" t="s">
        <v>5745</v>
      </c>
      <c r="B19" s="52" t="e">
        <f t="shared" si="11"/>
        <v>#N/A</v>
      </c>
      <c r="D19" s="2936" t="e">
        <f>IF(B19&lt;B$11+C$8,INDEX(IFAData_TEA_1718!B$2:M$2564,B19,11),0)</f>
        <v>#N/A</v>
      </c>
      <c r="E19" s="2937" t="e">
        <f>IF(B19&lt;B$11+C$8,INDEX(IFAData_TEA_1718!B$2:M$2564,B19,12),0)</f>
        <v>#N/A</v>
      </c>
      <c r="F19" s="973" t="e">
        <f>IFA_Limits1819!H19</f>
        <v>#N/A</v>
      </c>
      <c r="G19" s="2901" t="e">
        <f>IFA_Limits1819!I19</f>
        <v>#N/A</v>
      </c>
      <c r="H19" s="218" t="e">
        <f t="shared" si="7"/>
        <v>#N/A</v>
      </c>
      <c r="I19" s="218" t="e">
        <f t="shared" si="8"/>
        <v>#N/A</v>
      </c>
      <c r="J19" s="218" t="e">
        <f t="shared" si="9"/>
        <v>#N/A</v>
      </c>
      <c r="K19" s="218" t="e">
        <f t="shared" si="10"/>
        <v>#N/A</v>
      </c>
      <c r="L19" s="218" t="e">
        <f t="shared" si="1"/>
        <v>#N/A</v>
      </c>
      <c r="M19" s="218" t="e">
        <f t="shared" si="2"/>
        <v>#N/A</v>
      </c>
      <c r="N19" s="218" t="e">
        <f t="shared" si="3"/>
        <v>#N/A</v>
      </c>
      <c r="O19" s="218" t="e">
        <f t="shared" si="4"/>
        <v>#N/A</v>
      </c>
      <c r="P19" s="218" t="e">
        <f t="shared" si="5"/>
        <v>#N/A</v>
      </c>
      <c r="Q19" s="218" t="e">
        <f t="shared" si="6"/>
        <v>#N/A</v>
      </c>
    </row>
    <row r="20" spans="1:17">
      <c r="A20" s="72" t="s">
        <v>5745</v>
      </c>
      <c r="B20" s="52" t="e">
        <f t="shared" si="11"/>
        <v>#N/A</v>
      </c>
      <c r="D20" s="2936" t="e">
        <f>IF(B20&lt;B$11+C$8,INDEX(IFAData_TEA_1718!B$2:M$2564,B20,11),0)</f>
        <v>#N/A</v>
      </c>
      <c r="E20" s="2937" t="e">
        <f>IF(B20&lt;B$11+C$8,INDEX(IFAData_TEA_1718!B$2:M$2564,B20,12),0)</f>
        <v>#N/A</v>
      </c>
      <c r="F20" s="973" t="e">
        <f>IFA_Limits1819!H20</f>
        <v>#N/A</v>
      </c>
      <c r="G20" s="2901" t="e">
        <f>IFA_Limits1819!I20</f>
        <v>#N/A</v>
      </c>
      <c r="H20" s="218" t="e">
        <f t="shared" si="7"/>
        <v>#N/A</v>
      </c>
      <c r="I20" s="218" t="e">
        <f t="shared" si="8"/>
        <v>#N/A</v>
      </c>
      <c r="J20" s="218" t="e">
        <f t="shared" si="9"/>
        <v>#N/A</v>
      </c>
      <c r="K20" s="218" t="e">
        <f t="shared" si="10"/>
        <v>#N/A</v>
      </c>
      <c r="L20" s="218" t="e">
        <f t="shared" si="1"/>
        <v>#N/A</v>
      </c>
      <c r="M20" s="218" t="e">
        <f t="shared" si="2"/>
        <v>#N/A</v>
      </c>
      <c r="N20" s="218" t="e">
        <f t="shared" si="3"/>
        <v>#N/A</v>
      </c>
      <c r="O20" s="218" t="e">
        <f t="shared" si="4"/>
        <v>#N/A</v>
      </c>
      <c r="P20" s="218" t="e">
        <f t="shared" si="5"/>
        <v>#N/A</v>
      </c>
      <c r="Q20" s="218" t="e">
        <f t="shared" si="6"/>
        <v>#N/A</v>
      </c>
    </row>
    <row r="21" spans="1:17">
      <c r="A21" s="72" t="s">
        <v>5745</v>
      </c>
      <c r="B21" s="52" t="e">
        <f t="shared" si="11"/>
        <v>#N/A</v>
      </c>
      <c r="D21" s="2936" t="e">
        <f>IF(B21&lt;B$11+C$8,INDEX(IFAData_TEA_1718!B$2:M$2564,B21,11),0)</f>
        <v>#N/A</v>
      </c>
      <c r="E21" s="2937" t="e">
        <f>IF(B21&lt;B$11+C$8,INDEX(IFAData_TEA_1718!B$2:M$2564,B21,12),0)</f>
        <v>#N/A</v>
      </c>
      <c r="F21" s="973" t="e">
        <f>IFA_Limits1819!H21</f>
        <v>#N/A</v>
      </c>
      <c r="G21" s="2901" t="e">
        <f>IFA_Limits1819!I21</f>
        <v>#N/A</v>
      </c>
      <c r="H21" s="218" t="e">
        <f t="shared" si="7"/>
        <v>#N/A</v>
      </c>
      <c r="I21" s="218" t="e">
        <f t="shared" si="8"/>
        <v>#N/A</v>
      </c>
      <c r="J21" s="218" t="e">
        <f t="shared" si="9"/>
        <v>#N/A</v>
      </c>
      <c r="K21" s="218" t="e">
        <f t="shared" si="10"/>
        <v>#N/A</v>
      </c>
      <c r="L21" s="218" t="e">
        <f t="shared" si="1"/>
        <v>#N/A</v>
      </c>
      <c r="M21" s="218" t="e">
        <f t="shared" si="2"/>
        <v>#N/A</v>
      </c>
      <c r="N21" s="218" t="e">
        <f t="shared" si="3"/>
        <v>#N/A</v>
      </c>
      <c r="O21" s="218" t="e">
        <f t="shared" si="4"/>
        <v>#N/A</v>
      </c>
      <c r="P21" s="218" t="e">
        <f t="shared" si="5"/>
        <v>#N/A</v>
      </c>
      <c r="Q21" s="218" t="e">
        <f t="shared" si="6"/>
        <v>#N/A</v>
      </c>
    </row>
    <row r="22" spans="1:17">
      <c r="A22" s="72" t="s">
        <v>5745</v>
      </c>
      <c r="B22" s="52" t="e">
        <f t="shared" si="11"/>
        <v>#N/A</v>
      </c>
      <c r="D22" s="2936" t="e">
        <f>IF(B22&lt;B$11+C$8,INDEX(IFAData_TEA_1718!B$2:M$2564,B22,11),0)</f>
        <v>#N/A</v>
      </c>
      <c r="E22" s="2937" t="e">
        <f>IF(B22&lt;B$11+C$8,INDEX(IFAData_TEA_1718!B$2:M$2564,B22,12),0)</f>
        <v>#N/A</v>
      </c>
      <c r="F22" s="973" t="e">
        <f>IFA_Limits1819!H22</f>
        <v>#N/A</v>
      </c>
      <c r="G22" s="2901" t="e">
        <f>IFA_Limits1819!I22</f>
        <v>#N/A</v>
      </c>
      <c r="H22" s="218" t="e">
        <f t="shared" si="7"/>
        <v>#N/A</v>
      </c>
      <c r="I22" s="218" t="e">
        <f t="shared" si="8"/>
        <v>#N/A</v>
      </c>
      <c r="J22" s="218" t="e">
        <f t="shared" si="9"/>
        <v>#N/A</v>
      </c>
      <c r="K22" s="218" t="e">
        <f t="shared" si="10"/>
        <v>#N/A</v>
      </c>
      <c r="L22" s="218" t="e">
        <f t="shared" si="1"/>
        <v>#N/A</v>
      </c>
      <c r="M22" s="218" t="e">
        <f t="shared" si="2"/>
        <v>#N/A</v>
      </c>
      <c r="N22" s="218" t="e">
        <f t="shared" si="3"/>
        <v>#N/A</v>
      </c>
      <c r="O22" s="218" t="e">
        <f t="shared" si="4"/>
        <v>#N/A</v>
      </c>
      <c r="P22" s="218" t="e">
        <f t="shared" si="5"/>
        <v>#N/A</v>
      </c>
      <c r="Q22" s="218" t="e">
        <f t="shared" si="6"/>
        <v>#N/A</v>
      </c>
    </row>
    <row r="23" spans="1:17">
      <c r="A23" s="72" t="s">
        <v>5745</v>
      </c>
      <c r="B23" s="52" t="e">
        <f t="shared" si="11"/>
        <v>#N/A</v>
      </c>
      <c r="D23" s="2936" t="e">
        <f>IF(B23&lt;B$11+C$8,INDEX(IFAData_TEA_1718!B$2:M$2564,B23,11),0)</f>
        <v>#N/A</v>
      </c>
      <c r="E23" s="2937" t="e">
        <f>IF(B23&lt;B$11+C$8,INDEX(IFAData_TEA_1718!B$2:M$2564,B23,12),0)</f>
        <v>#N/A</v>
      </c>
      <c r="F23" s="973" t="e">
        <f>IFA_Limits1819!H23</f>
        <v>#N/A</v>
      </c>
      <c r="G23" s="2901" t="e">
        <f>IFA_Limits1819!I23</f>
        <v>#N/A</v>
      </c>
      <c r="H23" s="218" t="e">
        <f t="shared" si="7"/>
        <v>#N/A</v>
      </c>
      <c r="I23" s="218" t="e">
        <f t="shared" si="8"/>
        <v>#N/A</v>
      </c>
      <c r="J23" s="218" t="e">
        <f t="shared" si="9"/>
        <v>#N/A</v>
      </c>
      <c r="K23" s="218" t="e">
        <f t="shared" si="10"/>
        <v>#N/A</v>
      </c>
      <c r="L23" s="218" t="e">
        <f t="shared" si="1"/>
        <v>#N/A</v>
      </c>
      <c r="M23" s="218" t="e">
        <f t="shared" si="2"/>
        <v>#N/A</v>
      </c>
      <c r="N23" s="218" t="e">
        <f t="shared" si="3"/>
        <v>#N/A</v>
      </c>
      <c r="O23" s="218" t="e">
        <f t="shared" si="4"/>
        <v>#N/A</v>
      </c>
      <c r="P23" s="218" t="e">
        <f t="shared" si="5"/>
        <v>#N/A</v>
      </c>
      <c r="Q23" s="218" t="e">
        <f t="shared" si="6"/>
        <v>#N/A</v>
      </c>
    </row>
    <row r="24" spans="1:17">
      <c r="A24" s="72" t="s">
        <v>5745</v>
      </c>
      <c r="B24" s="52" t="e">
        <f t="shared" si="11"/>
        <v>#N/A</v>
      </c>
      <c r="D24" s="2936" t="e">
        <f>IF(B24&lt;B$11+C$8,INDEX(IFAData_TEA_1718!B$2:M$2564,B24,11),0)</f>
        <v>#N/A</v>
      </c>
      <c r="E24" s="2937" t="e">
        <f>IF(B24&lt;B$11+C$8,INDEX(IFAData_TEA_1718!B$2:M$2564,B24,12),0)</f>
        <v>#N/A</v>
      </c>
      <c r="F24" s="973" t="e">
        <f>IFA_Limits1819!H24</f>
        <v>#N/A</v>
      </c>
      <c r="G24" s="2901" t="e">
        <f>IFA_Limits1819!I24</f>
        <v>#N/A</v>
      </c>
      <c r="H24" s="218" t="e">
        <f t="shared" si="7"/>
        <v>#N/A</v>
      </c>
      <c r="I24" s="218" t="e">
        <f t="shared" si="8"/>
        <v>#N/A</v>
      </c>
      <c r="J24" s="218" t="e">
        <f t="shared" si="9"/>
        <v>#N/A</v>
      </c>
      <c r="K24" s="218" t="e">
        <f t="shared" si="10"/>
        <v>#N/A</v>
      </c>
      <c r="L24" s="218" t="e">
        <f t="shared" si="1"/>
        <v>#N/A</v>
      </c>
      <c r="M24" s="218" t="e">
        <f t="shared" si="2"/>
        <v>#N/A</v>
      </c>
      <c r="N24" s="218" t="e">
        <f t="shared" si="3"/>
        <v>#N/A</v>
      </c>
      <c r="O24" s="218" t="e">
        <f t="shared" si="4"/>
        <v>#N/A</v>
      </c>
      <c r="P24" s="218" t="e">
        <f t="shared" si="5"/>
        <v>#N/A</v>
      </c>
      <c r="Q24" s="218" t="e">
        <f t="shared" si="6"/>
        <v>#N/A</v>
      </c>
    </row>
    <row r="25" spans="1:17">
      <c r="A25" s="72" t="s">
        <v>5745</v>
      </c>
      <c r="B25" s="52" t="e">
        <f t="shared" si="11"/>
        <v>#N/A</v>
      </c>
      <c r="D25" s="2936" t="e">
        <f>IF(B25&lt;B$11+C$8,INDEX(IFAData_TEA_1718!B$2:M$2564,B25,11),0)</f>
        <v>#N/A</v>
      </c>
      <c r="E25" s="2937" t="e">
        <f>IF(B25&lt;B$11+C$8,INDEX(IFAData_TEA_1718!B$2:M$2564,B25,12),0)</f>
        <v>#N/A</v>
      </c>
      <c r="F25" s="973" t="e">
        <f>IFA_Limits1819!H25</f>
        <v>#N/A</v>
      </c>
      <c r="G25" s="2901" t="e">
        <f>IFA_Limits1819!I25</f>
        <v>#N/A</v>
      </c>
      <c r="H25" s="218" t="e">
        <f t="shared" si="7"/>
        <v>#N/A</v>
      </c>
      <c r="I25" s="218" t="e">
        <f t="shared" si="8"/>
        <v>#N/A</v>
      </c>
      <c r="J25" s="218" t="e">
        <f t="shared" si="9"/>
        <v>#N/A</v>
      </c>
      <c r="K25" s="218" t="e">
        <f t="shared" si="10"/>
        <v>#N/A</v>
      </c>
      <c r="L25" s="218" t="e">
        <f t="shared" si="1"/>
        <v>#N/A</v>
      </c>
      <c r="M25" s="218" t="e">
        <f t="shared" si="2"/>
        <v>#N/A</v>
      </c>
      <c r="N25" s="218" t="e">
        <f t="shared" si="3"/>
        <v>#N/A</v>
      </c>
      <c r="O25" s="218" t="e">
        <f t="shared" si="4"/>
        <v>#N/A</v>
      </c>
      <c r="P25" s="218" t="e">
        <f t="shared" si="5"/>
        <v>#N/A</v>
      </c>
      <c r="Q25" s="218" t="e">
        <f t="shared" si="6"/>
        <v>#N/A</v>
      </c>
    </row>
    <row r="26" spans="1:17">
      <c r="A26" s="72" t="s">
        <v>5745</v>
      </c>
      <c r="B26" s="52" t="e">
        <f t="shared" si="11"/>
        <v>#N/A</v>
      </c>
      <c r="D26" s="2936" t="e">
        <f>IF(B26&lt;B$11+C$8,INDEX(IFAData_TEA_1718!B$2:M$2564,B26,11),0)</f>
        <v>#N/A</v>
      </c>
      <c r="E26" s="2937" t="e">
        <f>IF(B26&lt;B$11+C$8,INDEX(IFAData_TEA_1718!B$2:M$2564,B26,12),0)</f>
        <v>#N/A</v>
      </c>
      <c r="F26" s="973" t="e">
        <f>IFA_Limits1819!H26</f>
        <v>#N/A</v>
      </c>
      <c r="G26" s="2901" t="e">
        <f>IFA_Limits1819!I26</f>
        <v>#N/A</v>
      </c>
      <c r="H26" s="218" t="e">
        <f t="shared" si="7"/>
        <v>#N/A</v>
      </c>
      <c r="I26" s="218" t="e">
        <f t="shared" si="8"/>
        <v>#N/A</v>
      </c>
      <c r="J26" s="218" t="e">
        <f t="shared" si="9"/>
        <v>#N/A</v>
      </c>
      <c r="K26" s="218" t="e">
        <f t="shared" si="10"/>
        <v>#N/A</v>
      </c>
      <c r="L26" s="218" t="e">
        <f t="shared" si="1"/>
        <v>#N/A</v>
      </c>
      <c r="M26" s="218" t="e">
        <f t="shared" si="2"/>
        <v>#N/A</v>
      </c>
      <c r="N26" s="218" t="e">
        <f t="shared" si="3"/>
        <v>#N/A</v>
      </c>
      <c r="O26" s="218" t="e">
        <f t="shared" si="4"/>
        <v>#N/A</v>
      </c>
      <c r="P26" s="218" t="e">
        <f t="shared" si="5"/>
        <v>#N/A</v>
      </c>
      <c r="Q26" s="218" t="e">
        <f t="shared" si="6"/>
        <v>#N/A</v>
      </c>
    </row>
    <row r="27" spans="1:17">
      <c r="A27" s="72" t="s">
        <v>5745</v>
      </c>
      <c r="B27" s="52" t="e">
        <f t="shared" si="11"/>
        <v>#N/A</v>
      </c>
      <c r="D27" s="2936" t="e">
        <f>IF(B27&lt;B$11+C$8,INDEX(IFAData_TEA_1718!B$2:M$2564,B27,11),0)</f>
        <v>#N/A</v>
      </c>
      <c r="E27" s="2937" t="e">
        <f>IF(B27&lt;B$11+C$8,INDEX(IFAData_TEA_1718!B$2:M$2564,B27,12),0)</f>
        <v>#N/A</v>
      </c>
      <c r="F27" s="973" t="e">
        <f>IFA_Limits1819!H27</f>
        <v>#N/A</v>
      </c>
      <c r="G27" s="2901" t="e">
        <f>IFA_Limits1819!I27</f>
        <v>#N/A</v>
      </c>
      <c r="H27" s="218" t="e">
        <f t="shared" si="7"/>
        <v>#N/A</v>
      </c>
      <c r="I27" s="218" t="e">
        <f t="shared" si="8"/>
        <v>#N/A</v>
      </c>
      <c r="J27" s="218" t="e">
        <f t="shared" si="9"/>
        <v>#N/A</v>
      </c>
      <c r="K27" s="218" t="e">
        <f t="shared" si="10"/>
        <v>#N/A</v>
      </c>
      <c r="L27" s="218" t="e">
        <f t="shared" si="1"/>
        <v>#N/A</v>
      </c>
      <c r="M27" s="218" t="e">
        <f t="shared" si="2"/>
        <v>#N/A</v>
      </c>
      <c r="N27" s="218" t="e">
        <f t="shared" si="3"/>
        <v>#N/A</v>
      </c>
      <c r="O27" s="218" t="e">
        <f t="shared" si="4"/>
        <v>#N/A</v>
      </c>
      <c r="P27" s="218" t="e">
        <f t="shared" si="5"/>
        <v>#N/A</v>
      </c>
      <c r="Q27" s="218" t="e">
        <f t="shared" si="6"/>
        <v>#N/A</v>
      </c>
    </row>
    <row r="28" spans="1:17">
      <c r="A28" s="72" t="s">
        <v>5745</v>
      </c>
      <c r="B28" s="52" t="e">
        <f t="shared" si="11"/>
        <v>#N/A</v>
      </c>
      <c r="D28" s="2936" t="e">
        <f>IF(B28&lt;B$11+C$8,INDEX(IFAData_TEA_1718!B$2:M$2564,B28,11),0)</f>
        <v>#N/A</v>
      </c>
      <c r="E28" s="2937" t="e">
        <f>IF(B28&lt;B$11+C$8,INDEX(IFAData_TEA_1718!B$2:M$2564,B28,12),0)</f>
        <v>#N/A</v>
      </c>
      <c r="F28" s="973" t="e">
        <f>IFA_Limits1819!H28</f>
        <v>#N/A</v>
      </c>
      <c r="G28" s="2901" t="e">
        <f>IFA_Limits1819!I28</f>
        <v>#N/A</v>
      </c>
      <c r="H28" s="218" t="e">
        <f t="shared" si="7"/>
        <v>#N/A</v>
      </c>
      <c r="I28" s="218" t="e">
        <f t="shared" si="8"/>
        <v>#N/A</v>
      </c>
      <c r="J28" s="218" t="e">
        <f t="shared" si="9"/>
        <v>#N/A</v>
      </c>
      <c r="K28" s="218" t="e">
        <f t="shared" si="10"/>
        <v>#N/A</v>
      </c>
      <c r="L28" s="218" t="e">
        <f t="shared" si="1"/>
        <v>#N/A</v>
      </c>
      <c r="M28" s="218" t="e">
        <f t="shared" si="2"/>
        <v>#N/A</v>
      </c>
      <c r="N28" s="218" t="e">
        <f t="shared" si="3"/>
        <v>#N/A</v>
      </c>
      <c r="O28" s="218" t="e">
        <f t="shared" si="4"/>
        <v>#N/A</v>
      </c>
      <c r="P28" s="218" t="e">
        <f t="shared" si="5"/>
        <v>#N/A</v>
      </c>
      <c r="Q28" s="218" t="e">
        <f t="shared" si="6"/>
        <v>#N/A</v>
      </c>
    </row>
    <row r="29" spans="1:17">
      <c r="A29" s="72" t="s">
        <v>5745</v>
      </c>
      <c r="B29" s="52" t="e">
        <f t="shared" si="11"/>
        <v>#N/A</v>
      </c>
      <c r="D29" s="2936" t="e">
        <f>IF(B29&lt;B$11+C$8,INDEX(IFAData_TEA_1718!B$2:M$2564,B29,11),0)</f>
        <v>#N/A</v>
      </c>
      <c r="E29" s="2937" t="e">
        <f>IF(B29&lt;B$11+C$8,INDEX(IFAData_TEA_1718!B$2:M$2564,B29,12),0)</f>
        <v>#N/A</v>
      </c>
      <c r="F29" s="973" t="e">
        <f>IFA_Limits1819!H29</f>
        <v>#N/A</v>
      </c>
      <c r="G29" s="2901" t="e">
        <f>IFA_Limits1819!I29</f>
        <v>#N/A</v>
      </c>
      <c r="H29" s="218" t="e">
        <f t="shared" si="7"/>
        <v>#N/A</v>
      </c>
      <c r="I29" s="218" t="e">
        <f t="shared" si="8"/>
        <v>#N/A</v>
      </c>
      <c r="J29" s="218" t="e">
        <f t="shared" si="9"/>
        <v>#N/A</v>
      </c>
      <c r="K29" s="218" t="e">
        <f t="shared" si="10"/>
        <v>#N/A</v>
      </c>
      <c r="L29" s="218" t="e">
        <f t="shared" si="1"/>
        <v>#N/A</v>
      </c>
      <c r="M29" s="218" t="e">
        <f t="shared" si="2"/>
        <v>#N/A</v>
      </c>
      <c r="N29" s="218" t="e">
        <f t="shared" si="3"/>
        <v>#N/A</v>
      </c>
      <c r="O29" s="218" t="e">
        <f t="shared" si="4"/>
        <v>#N/A</v>
      </c>
      <c r="P29" s="218" t="e">
        <f t="shared" si="5"/>
        <v>#N/A</v>
      </c>
      <c r="Q29" s="218" t="e">
        <f t="shared" si="6"/>
        <v>#N/A</v>
      </c>
    </row>
    <row r="30" spans="1:17">
      <c r="A30" s="72" t="s">
        <v>5745</v>
      </c>
      <c r="B30" s="52" t="e">
        <f t="shared" si="11"/>
        <v>#N/A</v>
      </c>
      <c r="D30" s="2936" t="e">
        <f>IF(B30&lt;B$11+C$8,INDEX(IFAData_TEA_1718!B$2:M$2564,B30,11),0)</f>
        <v>#N/A</v>
      </c>
      <c r="E30" s="2937" t="e">
        <f>IF(B30&lt;B$11+C$8,INDEX(IFAData_TEA_1718!B$2:M$2564,B30,12),0)</f>
        <v>#N/A</v>
      </c>
      <c r="F30" s="973" t="e">
        <f>IFA_Limits1819!H30</f>
        <v>#N/A</v>
      </c>
      <c r="G30" s="2901" t="e">
        <f>IFA_Limits1819!I30</f>
        <v>#N/A</v>
      </c>
      <c r="H30" s="218" t="e">
        <f t="shared" si="7"/>
        <v>#N/A</v>
      </c>
      <c r="I30" s="218" t="e">
        <f t="shared" si="8"/>
        <v>#N/A</v>
      </c>
      <c r="J30" s="218" t="e">
        <f t="shared" si="9"/>
        <v>#N/A</v>
      </c>
      <c r="K30" s="218" t="e">
        <f t="shared" si="10"/>
        <v>#N/A</v>
      </c>
      <c r="L30" s="218" t="e">
        <f t="shared" si="1"/>
        <v>#N/A</v>
      </c>
      <c r="M30" s="218" t="e">
        <f t="shared" si="2"/>
        <v>#N/A</v>
      </c>
      <c r="N30" s="218" t="e">
        <f t="shared" si="3"/>
        <v>#N/A</v>
      </c>
      <c r="O30" s="218" t="e">
        <f t="shared" si="4"/>
        <v>#N/A</v>
      </c>
      <c r="P30" s="218" t="e">
        <f t="shared" si="5"/>
        <v>#N/A</v>
      </c>
      <c r="Q30" s="218" t="e">
        <f t="shared" si="6"/>
        <v>#N/A</v>
      </c>
    </row>
    <row r="31" spans="1:17">
      <c r="A31" s="72" t="s">
        <v>5745</v>
      </c>
      <c r="B31" s="52" t="e">
        <f t="shared" si="11"/>
        <v>#N/A</v>
      </c>
      <c r="D31" s="2936" t="e">
        <f>IF(B31&lt;B$11+C$8,INDEX(IFAData_TEA_1718!B$2:M$2564,B31,11),0)</f>
        <v>#N/A</v>
      </c>
      <c r="E31" s="2937" t="e">
        <f>IF(B31&lt;B$11+C$8,INDEX(IFAData_TEA_1718!B$2:M$2564,B31,12),0)</f>
        <v>#N/A</v>
      </c>
      <c r="F31" s="973" t="e">
        <f>IFA_Limits1819!H31</f>
        <v>#N/A</v>
      </c>
      <c r="G31" s="2901" t="e">
        <f>IFA_Limits1819!I31</f>
        <v>#N/A</v>
      </c>
      <c r="H31" s="218" t="e">
        <f t="shared" si="7"/>
        <v>#N/A</v>
      </c>
      <c r="I31" s="218" t="e">
        <f t="shared" si="8"/>
        <v>#N/A</v>
      </c>
      <c r="J31" s="218" t="e">
        <f t="shared" si="9"/>
        <v>#N/A</v>
      </c>
      <c r="K31" s="218" t="e">
        <f t="shared" si="10"/>
        <v>#N/A</v>
      </c>
      <c r="L31" s="218" t="e">
        <f t="shared" si="1"/>
        <v>#N/A</v>
      </c>
      <c r="M31" s="218" t="e">
        <f t="shared" si="2"/>
        <v>#N/A</v>
      </c>
      <c r="N31" s="218" t="e">
        <f t="shared" si="3"/>
        <v>#N/A</v>
      </c>
      <c r="O31" s="218" t="e">
        <f t="shared" si="4"/>
        <v>#N/A</v>
      </c>
      <c r="P31" s="218" t="e">
        <f t="shared" si="5"/>
        <v>#N/A</v>
      </c>
      <c r="Q31" s="218" t="e">
        <f t="shared" si="6"/>
        <v>#N/A</v>
      </c>
    </row>
    <row r="32" spans="1:17">
      <c r="A32" s="72" t="s">
        <v>5745</v>
      </c>
      <c r="B32" s="52" t="e">
        <f t="shared" si="11"/>
        <v>#N/A</v>
      </c>
      <c r="D32" s="2936" t="e">
        <f>IF(B32&lt;B$11+C$8,INDEX(IFAData_TEA_1718!B$2:M$2564,B32,11),0)</f>
        <v>#N/A</v>
      </c>
      <c r="E32" s="2937" t="e">
        <f>IF(B32&lt;B$11+C$8,INDEX(IFAData_TEA_1718!B$2:M$2564,B32,12),0)</f>
        <v>#N/A</v>
      </c>
      <c r="F32" s="973" t="e">
        <f>IFA_Limits1819!H32</f>
        <v>#N/A</v>
      </c>
      <c r="G32" s="2901" t="e">
        <f>IFA_Limits1819!I32</f>
        <v>#N/A</v>
      </c>
      <c r="H32" s="218" t="e">
        <f t="shared" si="7"/>
        <v>#N/A</v>
      </c>
      <c r="I32" s="218" t="e">
        <f t="shared" si="8"/>
        <v>#N/A</v>
      </c>
      <c r="J32" s="218" t="e">
        <f t="shared" si="9"/>
        <v>#N/A</v>
      </c>
      <c r="K32" s="218" t="e">
        <f t="shared" si="10"/>
        <v>#N/A</v>
      </c>
      <c r="L32" s="218" t="e">
        <f t="shared" si="1"/>
        <v>#N/A</v>
      </c>
      <c r="M32" s="218" t="e">
        <f t="shared" si="2"/>
        <v>#N/A</v>
      </c>
      <c r="N32" s="218" t="e">
        <f t="shared" si="3"/>
        <v>#N/A</v>
      </c>
      <c r="O32" s="218" t="e">
        <f t="shared" si="4"/>
        <v>#N/A</v>
      </c>
      <c r="P32" s="218" t="e">
        <f t="shared" si="5"/>
        <v>#N/A</v>
      </c>
      <c r="Q32" s="218" t="e">
        <f t="shared" si="6"/>
        <v>#N/A</v>
      </c>
    </row>
    <row r="33" spans="1:17">
      <c r="A33" s="72" t="s">
        <v>5745</v>
      </c>
      <c r="B33" s="52" t="e">
        <f t="shared" si="11"/>
        <v>#N/A</v>
      </c>
      <c r="D33" s="2936" t="e">
        <f>IF(B33&lt;B$11+C$8,INDEX(IFAData_TEA_1718!B$2:M$2564,B33,11),0)</f>
        <v>#N/A</v>
      </c>
      <c r="E33" s="2937" t="e">
        <f>IF(B33&lt;B$11+C$8,INDEX(IFAData_TEA_1718!B$2:M$2564,B33,12),0)</f>
        <v>#N/A</v>
      </c>
      <c r="F33" s="973" t="e">
        <f>IFA_Limits1819!H33</f>
        <v>#N/A</v>
      </c>
      <c r="G33" s="2901" t="e">
        <f>IFA_Limits1819!I33</f>
        <v>#N/A</v>
      </c>
      <c r="H33" s="218" t="e">
        <f t="shared" si="7"/>
        <v>#N/A</v>
      </c>
      <c r="I33" s="218" t="e">
        <f t="shared" si="8"/>
        <v>#N/A</v>
      </c>
      <c r="J33" s="218" t="e">
        <f t="shared" si="9"/>
        <v>#N/A</v>
      </c>
      <c r="K33" s="218" t="e">
        <f t="shared" si="10"/>
        <v>#N/A</v>
      </c>
      <c r="L33" s="218" t="e">
        <f t="shared" si="1"/>
        <v>#N/A</v>
      </c>
      <c r="M33" s="218" t="e">
        <f t="shared" si="2"/>
        <v>#N/A</v>
      </c>
      <c r="N33" s="218" t="e">
        <f t="shared" si="3"/>
        <v>#N/A</v>
      </c>
      <c r="O33" s="218" t="e">
        <f t="shared" si="4"/>
        <v>#N/A</v>
      </c>
      <c r="P33" s="218" t="e">
        <f t="shared" si="5"/>
        <v>#N/A</v>
      </c>
      <c r="Q33" s="218" t="e">
        <f t="shared" si="6"/>
        <v>#N/A</v>
      </c>
    </row>
    <row r="34" spans="1:17">
      <c r="A34" s="72" t="s">
        <v>5745</v>
      </c>
      <c r="B34" s="52" t="e">
        <f t="shared" si="11"/>
        <v>#N/A</v>
      </c>
      <c r="D34" s="2936" t="e">
        <f>IF(B34&lt;B$11+C$8,INDEX(IFAData_TEA_1718!B$2:M$2564,B34,11),0)</f>
        <v>#N/A</v>
      </c>
      <c r="E34" s="2937" t="e">
        <f>IF(B34&lt;B$11+C$8,INDEX(IFAData_TEA_1718!B$2:M$2564,B34,12),0)</f>
        <v>#N/A</v>
      </c>
      <c r="F34" s="973" t="e">
        <f>IFA_Limits1819!H34</f>
        <v>#N/A</v>
      </c>
      <c r="G34" s="2901" t="e">
        <f>IFA_Limits1819!I34</f>
        <v>#N/A</v>
      </c>
      <c r="H34" s="218" t="e">
        <f t="shared" si="7"/>
        <v>#N/A</v>
      </c>
      <c r="I34" s="218" t="e">
        <f t="shared" si="8"/>
        <v>#N/A</v>
      </c>
      <c r="J34" s="218" t="e">
        <f t="shared" si="9"/>
        <v>#N/A</v>
      </c>
      <c r="K34" s="218" t="e">
        <f t="shared" si="10"/>
        <v>#N/A</v>
      </c>
      <c r="L34" s="218" t="e">
        <f t="shared" si="1"/>
        <v>#N/A</v>
      </c>
      <c r="M34" s="218" t="e">
        <f t="shared" si="2"/>
        <v>#N/A</v>
      </c>
      <c r="N34" s="218" t="e">
        <f t="shared" si="3"/>
        <v>#N/A</v>
      </c>
      <c r="O34" s="218" t="e">
        <f t="shared" si="4"/>
        <v>#N/A</v>
      </c>
      <c r="P34" s="218" t="e">
        <f t="shared" si="5"/>
        <v>#N/A</v>
      </c>
      <c r="Q34" s="218" t="e">
        <f t="shared" si="6"/>
        <v>#N/A</v>
      </c>
    </row>
    <row r="35" spans="1:17">
      <c r="A35" s="72" t="s">
        <v>5745</v>
      </c>
      <c r="B35" s="52" t="e">
        <f t="shared" si="11"/>
        <v>#N/A</v>
      </c>
      <c r="D35" s="2936" t="e">
        <f>IF(B35&lt;B$11+C$8,INDEX(IFAData_TEA_1718!B$2:M$2564,B35,11),0)</f>
        <v>#N/A</v>
      </c>
      <c r="E35" s="2937" t="e">
        <f>IF(B35&lt;B$11+C$8,INDEX(IFAData_TEA_1718!B$2:M$2564,B35,12),0)</f>
        <v>#N/A</v>
      </c>
      <c r="F35" s="973" t="e">
        <f>IFA_Limits1819!H35</f>
        <v>#N/A</v>
      </c>
      <c r="G35" s="2901" t="e">
        <f>IFA_Limits1819!I35</f>
        <v>#N/A</v>
      </c>
      <c r="H35" s="218" t="e">
        <f t="shared" si="7"/>
        <v>#N/A</v>
      </c>
      <c r="I35" s="218" t="e">
        <f t="shared" si="8"/>
        <v>#N/A</v>
      </c>
      <c r="J35" s="218" t="e">
        <f t="shared" si="9"/>
        <v>#N/A</v>
      </c>
      <c r="K35" s="218" t="e">
        <f t="shared" si="10"/>
        <v>#N/A</v>
      </c>
      <c r="L35" s="218" t="e">
        <f t="shared" si="1"/>
        <v>#N/A</v>
      </c>
      <c r="M35" s="218" t="e">
        <f t="shared" si="2"/>
        <v>#N/A</v>
      </c>
      <c r="N35" s="218" t="e">
        <f t="shared" si="3"/>
        <v>#N/A</v>
      </c>
      <c r="O35" s="218" t="e">
        <f t="shared" si="4"/>
        <v>#N/A</v>
      </c>
      <c r="P35" s="218" t="e">
        <f t="shared" si="5"/>
        <v>#N/A</v>
      </c>
      <c r="Q35" s="218" t="e">
        <f t="shared" si="6"/>
        <v>#N/A</v>
      </c>
    </row>
    <row r="36" spans="1:17">
      <c r="A36" s="72" t="s">
        <v>5745</v>
      </c>
      <c r="B36" s="52" t="e">
        <f t="shared" si="11"/>
        <v>#N/A</v>
      </c>
      <c r="D36" s="2936" t="e">
        <f>IF(B36&lt;B$11+C$8,INDEX(IFAData_TEA_1718!B$2:M$2564,B36,11),0)</f>
        <v>#N/A</v>
      </c>
      <c r="E36" s="2937" t="e">
        <f>IF(B36&lt;B$11+C$8,INDEX(IFAData_TEA_1718!B$2:M$2564,B36,12),0)</f>
        <v>#N/A</v>
      </c>
      <c r="F36" s="973" t="e">
        <f>IFA_Limits1819!H36</f>
        <v>#N/A</v>
      </c>
      <c r="G36" s="2901" t="e">
        <f>IFA_Limits1819!I36</f>
        <v>#N/A</v>
      </c>
      <c r="H36" s="218" t="e">
        <f t="shared" si="7"/>
        <v>#N/A</v>
      </c>
      <c r="I36" s="218" t="e">
        <f t="shared" si="8"/>
        <v>#N/A</v>
      </c>
      <c r="J36" s="218" t="e">
        <f t="shared" si="9"/>
        <v>#N/A</v>
      </c>
      <c r="K36" s="218" t="e">
        <f t="shared" si="10"/>
        <v>#N/A</v>
      </c>
      <c r="L36" s="218" t="e">
        <f t="shared" si="1"/>
        <v>#N/A</v>
      </c>
      <c r="M36" s="218" t="e">
        <f t="shared" si="2"/>
        <v>#N/A</v>
      </c>
      <c r="N36" s="218" t="e">
        <f t="shared" si="3"/>
        <v>#N/A</v>
      </c>
      <c r="O36" s="218" t="e">
        <f t="shared" si="4"/>
        <v>#N/A</v>
      </c>
      <c r="P36" s="218" t="e">
        <f t="shared" si="5"/>
        <v>#N/A</v>
      </c>
      <c r="Q36" s="218" t="e">
        <f t="shared" si="6"/>
        <v>#N/A</v>
      </c>
    </row>
    <row r="37" spans="1:17">
      <c r="A37" s="72" t="s">
        <v>5745</v>
      </c>
      <c r="B37" s="52" t="e">
        <f t="shared" si="11"/>
        <v>#N/A</v>
      </c>
      <c r="D37" s="2936" t="e">
        <f>IF(B37&lt;B$11+C$8,INDEX(IFAData_TEA_1718!B$2:M$2564,B37,11),0)</f>
        <v>#N/A</v>
      </c>
      <c r="E37" s="2937" t="e">
        <f>IF(B37&lt;B$11+C$8,INDEX(IFAData_TEA_1718!B$2:M$2564,B37,12),0)</f>
        <v>#N/A</v>
      </c>
      <c r="F37" s="973" t="e">
        <f>IFA_Limits1819!H37</f>
        <v>#N/A</v>
      </c>
      <c r="G37" s="2901" t="e">
        <f>IFA_Limits1819!I37</f>
        <v>#N/A</v>
      </c>
      <c r="H37" s="218" t="e">
        <f t="shared" si="7"/>
        <v>#N/A</v>
      </c>
      <c r="I37" s="218" t="e">
        <f t="shared" si="8"/>
        <v>#N/A</v>
      </c>
      <c r="J37" s="218" t="e">
        <f t="shared" si="9"/>
        <v>#N/A</v>
      </c>
      <c r="K37" s="218" t="e">
        <f t="shared" si="10"/>
        <v>#N/A</v>
      </c>
      <c r="L37" s="218" t="e">
        <f t="shared" si="1"/>
        <v>#N/A</v>
      </c>
      <c r="M37" s="218" t="e">
        <f t="shared" si="2"/>
        <v>#N/A</v>
      </c>
      <c r="N37" s="218" t="e">
        <f t="shared" si="3"/>
        <v>#N/A</v>
      </c>
      <c r="O37" s="218" t="e">
        <f t="shared" si="4"/>
        <v>#N/A</v>
      </c>
      <c r="P37" s="218" t="e">
        <f t="shared" si="5"/>
        <v>#N/A</v>
      </c>
      <c r="Q37" s="218" t="e">
        <f t="shared" si="6"/>
        <v>#N/A</v>
      </c>
    </row>
    <row r="38" spans="1:17">
      <c r="A38" s="72" t="s">
        <v>5745</v>
      </c>
      <c r="B38" s="52" t="e">
        <f t="shared" si="11"/>
        <v>#N/A</v>
      </c>
      <c r="D38" s="2936" t="e">
        <f>IF(B38&lt;B$11+C$8,INDEX(IFAData_TEA_1718!B$2:M$2564,B38,11),0)</f>
        <v>#N/A</v>
      </c>
      <c r="E38" s="2937" t="e">
        <f>IF(B38&lt;B$11+C$8,INDEX(IFAData_TEA_1718!B$2:M$2564,B38,12),0)</f>
        <v>#N/A</v>
      </c>
      <c r="F38" s="973" t="e">
        <f>IFA_Limits1819!H38</f>
        <v>#N/A</v>
      </c>
      <c r="G38" s="2901" t="e">
        <f>IFA_Limits1819!I38</f>
        <v>#N/A</v>
      </c>
      <c r="H38" s="218" t="e">
        <f t="shared" si="7"/>
        <v>#N/A</v>
      </c>
      <c r="I38" s="218" t="e">
        <f t="shared" si="8"/>
        <v>#N/A</v>
      </c>
      <c r="J38" s="218" t="e">
        <f t="shared" si="9"/>
        <v>#N/A</v>
      </c>
      <c r="K38" s="218" t="e">
        <f t="shared" si="10"/>
        <v>#N/A</v>
      </c>
      <c r="L38" s="218" t="e">
        <f t="shared" si="1"/>
        <v>#N/A</v>
      </c>
      <c r="M38" s="218" t="e">
        <f t="shared" si="2"/>
        <v>#N/A</v>
      </c>
      <c r="N38" s="218" t="e">
        <f t="shared" si="3"/>
        <v>#N/A</v>
      </c>
      <c r="O38" s="218" t="e">
        <f t="shared" si="4"/>
        <v>#N/A</v>
      </c>
      <c r="P38" s="218" t="e">
        <f t="shared" si="5"/>
        <v>#N/A</v>
      </c>
      <c r="Q38" s="218" t="e">
        <f t="shared" si="6"/>
        <v>#N/A</v>
      </c>
    </row>
    <row r="39" spans="1:17">
      <c r="A39" s="72" t="s">
        <v>5745</v>
      </c>
      <c r="B39" s="52" t="e">
        <f t="shared" si="11"/>
        <v>#N/A</v>
      </c>
      <c r="D39" s="2936" t="e">
        <f>IF(B39&lt;B$11+C$8,INDEX(IFAData_TEA_1718!B$2:M$2564,B39,11),0)</f>
        <v>#N/A</v>
      </c>
      <c r="E39" s="2937" t="e">
        <f>IF(B39&lt;B$11+C$8,INDEX(IFAData_TEA_1718!B$2:M$2564,B39,12),0)</f>
        <v>#N/A</v>
      </c>
      <c r="F39" s="973" t="e">
        <f>IFA_Limits1819!H39</f>
        <v>#N/A</v>
      </c>
      <c r="G39" s="2901" t="e">
        <f>IFA_Limits1819!I39</f>
        <v>#N/A</v>
      </c>
      <c r="H39" s="218" t="e">
        <f t="shared" si="7"/>
        <v>#N/A</v>
      </c>
      <c r="I39" s="218" t="e">
        <f t="shared" si="8"/>
        <v>#N/A</v>
      </c>
      <c r="J39" s="218" t="e">
        <f t="shared" si="9"/>
        <v>#N/A</v>
      </c>
      <c r="K39" s="218" t="e">
        <f t="shared" si="10"/>
        <v>#N/A</v>
      </c>
      <c r="L39" s="218" t="e">
        <f t="shared" si="1"/>
        <v>#N/A</v>
      </c>
      <c r="M39" s="218" t="e">
        <f t="shared" si="2"/>
        <v>#N/A</v>
      </c>
      <c r="N39" s="218" t="e">
        <f t="shared" si="3"/>
        <v>#N/A</v>
      </c>
      <c r="O39" s="218" t="e">
        <f t="shared" si="4"/>
        <v>#N/A</v>
      </c>
      <c r="P39" s="218" t="e">
        <f t="shared" si="5"/>
        <v>#N/A</v>
      </c>
      <c r="Q39" s="218" t="e">
        <f t="shared" si="6"/>
        <v>#N/A</v>
      </c>
    </row>
    <row r="40" spans="1:17">
      <c r="A40" s="72" t="s">
        <v>5745</v>
      </c>
      <c r="B40" s="52" t="e">
        <f t="shared" si="11"/>
        <v>#N/A</v>
      </c>
      <c r="D40" s="2936" t="e">
        <f>IF(B40&lt;B$11+C$8,INDEX(IFAData_TEA_1718!B$2:M$2564,B40,11),0)</f>
        <v>#N/A</v>
      </c>
      <c r="E40" s="2937" t="e">
        <f>IF(B40&lt;B$11+C$8,INDEX(IFAData_TEA_1718!B$2:M$2564,B40,12),0)</f>
        <v>#N/A</v>
      </c>
      <c r="F40" s="973" t="e">
        <f>IFA_Limits1819!H40</f>
        <v>#N/A</v>
      </c>
      <c r="G40" s="2901" t="e">
        <f>IFA_Limits1819!I40</f>
        <v>#N/A</v>
      </c>
      <c r="H40" s="218" t="e">
        <f t="shared" si="7"/>
        <v>#N/A</v>
      </c>
      <c r="I40" s="218" t="e">
        <f t="shared" si="8"/>
        <v>#N/A</v>
      </c>
      <c r="J40" s="218" t="e">
        <f t="shared" si="9"/>
        <v>#N/A</v>
      </c>
      <c r="K40" s="218" t="e">
        <f t="shared" si="10"/>
        <v>#N/A</v>
      </c>
      <c r="L40" s="218" t="e">
        <f t="shared" si="1"/>
        <v>#N/A</v>
      </c>
      <c r="M40" s="218" t="e">
        <f t="shared" si="2"/>
        <v>#N/A</v>
      </c>
      <c r="N40" s="218" t="e">
        <f t="shared" si="3"/>
        <v>#N/A</v>
      </c>
      <c r="O40" s="218" t="e">
        <f t="shared" si="4"/>
        <v>#N/A</v>
      </c>
      <c r="P40" s="218" t="e">
        <f t="shared" si="5"/>
        <v>#N/A</v>
      </c>
      <c r="Q40" s="218" t="e">
        <f t="shared" si="6"/>
        <v>#N/A</v>
      </c>
    </row>
    <row r="41" spans="1:17">
      <c r="A41" s="72" t="s">
        <v>5745</v>
      </c>
      <c r="B41" s="52" t="e">
        <f t="shared" si="11"/>
        <v>#N/A</v>
      </c>
      <c r="D41" s="2936" t="e">
        <f>IF(B41&lt;B$11+C$8,INDEX(IFAData_TEA_1718!B$2:M$2564,B41,11),0)</f>
        <v>#N/A</v>
      </c>
      <c r="E41" s="2937" t="e">
        <f>IF(B41&lt;B$11+C$8,INDEX(IFAData_TEA_1718!B$2:M$2564,B41,12),0)</f>
        <v>#N/A</v>
      </c>
      <c r="F41" s="973" t="e">
        <f>IFA_Limits1819!H41</f>
        <v>#N/A</v>
      </c>
      <c r="G41" s="2901" t="e">
        <f>IFA_Limits1819!I41</f>
        <v>#N/A</v>
      </c>
      <c r="H41" s="218" t="e">
        <f t="shared" si="7"/>
        <v>#N/A</v>
      </c>
      <c r="I41" s="218" t="e">
        <f t="shared" si="8"/>
        <v>#N/A</v>
      </c>
      <c r="J41" s="218" t="e">
        <f t="shared" si="9"/>
        <v>#N/A</v>
      </c>
      <c r="K41" s="218" t="e">
        <f t="shared" si="10"/>
        <v>#N/A</v>
      </c>
      <c r="L41" s="218" t="e">
        <f t="shared" si="1"/>
        <v>#N/A</v>
      </c>
      <c r="M41" s="218" t="e">
        <f t="shared" si="2"/>
        <v>#N/A</v>
      </c>
      <c r="N41" s="218" t="e">
        <f t="shared" si="3"/>
        <v>#N/A</v>
      </c>
      <c r="O41" s="218" t="e">
        <f t="shared" si="4"/>
        <v>#N/A</v>
      </c>
      <c r="P41" s="218" t="e">
        <f t="shared" si="5"/>
        <v>#N/A</v>
      </c>
      <c r="Q41" s="218" t="e">
        <f t="shared" si="6"/>
        <v>#N/A</v>
      </c>
    </row>
    <row r="42" spans="1:17">
      <c r="A42" s="72" t="s">
        <v>5745</v>
      </c>
      <c r="B42" s="52" t="e">
        <f t="shared" si="11"/>
        <v>#N/A</v>
      </c>
      <c r="D42" s="2936" t="e">
        <f>IF(B42&lt;B$11+C$8,INDEX(IFAData_TEA_1718!B$2:M$2564,B42,11),0)</f>
        <v>#N/A</v>
      </c>
      <c r="E42" s="2937" t="e">
        <f>IF(B42&lt;B$11+C$8,INDEX(IFAData_TEA_1718!B$2:M$2564,B42,12),0)</f>
        <v>#N/A</v>
      </c>
      <c r="F42" s="973" t="e">
        <f>IFA_Limits1819!H42</f>
        <v>#N/A</v>
      </c>
      <c r="G42" s="2901" t="e">
        <f>IFA_Limits1819!I42</f>
        <v>#N/A</v>
      </c>
      <c r="H42" s="218" t="e">
        <f t="shared" si="7"/>
        <v>#N/A</v>
      </c>
      <c r="I42" s="218" t="e">
        <f t="shared" si="8"/>
        <v>#N/A</v>
      </c>
      <c r="J42" s="218" t="e">
        <f t="shared" si="9"/>
        <v>#N/A</v>
      </c>
      <c r="K42" s="218" t="e">
        <f t="shared" si="10"/>
        <v>#N/A</v>
      </c>
      <c r="L42" s="218" t="e">
        <f t="shared" si="1"/>
        <v>#N/A</v>
      </c>
      <c r="M42" s="218" t="e">
        <f t="shared" si="2"/>
        <v>#N/A</v>
      </c>
      <c r="N42" s="218" t="e">
        <f t="shared" si="3"/>
        <v>#N/A</v>
      </c>
      <c r="O42" s="218" t="e">
        <f t="shared" si="4"/>
        <v>#N/A</v>
      </c>
      <c r="P42" s="218" t="e">
        <f t="shared" si="5"/>
        <v>#N/A</v>
      </c>
      <c r="Q42" s="218" t="e">
        <f t="shared" si="6"/>
        <v>#N/A</v>
      </c>
    </row>
    <row r="43" spans="1:17">
      <c r="A43" s="72" t="s">
        <v>5745</v>
      </c>
      <c r="B43" s="52" t="e">
        <f t="shared" si="11"/>
        <v>#N/A</v>
      </c>
      <c r="D43" s="2936" t="e">
        <f>IF(B43&lt;B$11+C$8,INDEX(IFAData_TEA_1718!B$2:M$2564,B43,11),0)</f>
        <v>#N/A</v>
      </c>
      <c r="E43" s="2937" t="e">
        <f>IF(B43&lt;B$11+C$8,INDEX(IFAData_TEA_1718!B$2:M$2564,B43,12),0)</f>
        <v>#N/A</v>
      </c>
      <c r="F43" s="973" t="e">
        <f>IFA_Limits1819!H43</f>
        <v>#N/A</v>
      </c>
      <c r="G43" s="2901" t="e">
        <f>IFA_Limits1819!I43</f>
        <v>#N/A</v>
      </c>
      <c r="H43" s="218" t="e">
        <f t="shared" si="7"/>
        <v>#N/A</v>
      </c>
      <c r="I43" s="218" t="e">
        <f t="shared" si="8"/>
        <v>#N/A</v>
      </c>
      <c r="J43" s="218" t="e">
        <f t="shared" si="9"/>
        <v>#N/A</v>
      </c>
      <c r="K43" s="218" t="e">
        <f t="shared" si="10"/>
        <v>#N/A</v>
      </c>
      <c r="L43" s="218" t="e">
        <f t="shared" si="1"/>
        <v>#N/A</v>
      </c>
      <c r="M43" s="218" t="e">
        <f t="shared" si="2"/>
        <v>#N/A</v>
      </c>
      <c r="N43" s="218" t="e">
        <f t="shared" si="3"/>
        <v>#N/A</v>
      </c>
      <c r="O43" s="218" t="e">
        <f t="shared" si="4"/>
        <v>#N/A</v>
      </c>
      <c r="P43" s="218" t="e">
        <f t="shared" si="5"/>
        <v>#N/A</v>
      </c>
      <c r="Q43" s="218" t="e">
        <f t="shared" si="6"/>
        <v>#N/A</v>
      </c>
    </row>
    <row r="44" spans="1:17">
      <c r="A44" s="72" t="s">
        <v>5745</v>
      </c>
      <c r="B44" s="52" t="e">
        <f t="shared" si="11"/>
        <v>#N/A</v>
      </c>
      <c r="D44" s="2936" t="e">
        <f>IF(B44&lt;B$11+C$8,INDEX(IFAData_TEA_1718!B$2:M$2564,B44,11),0)</f>
        <v>#N/A</v>
      </c>
      <c r="E44" s="2937" t="e">
        <f>IF(B44&lt;B$11+C$8,INDEX(IFAData_TEA_1718!B$2:M$2564,B44,12),0)</f>
        <v>#N/A</v>
      </c>
      <c r="F44" s="973" t="e">
        <f>IFA_Limits1819!H44</f>
        <v>#N/A</v>
      </c>
      <c r="G44" s="2901" t="e">
        <f>IFA_Limits1819!I44</f>
        <v>#N/A</v>
      </c>
      <c r="H44" s="218" t="e">
        <f t="shared" si="7"/>
        <v>#N/A</v>
      </c>
      <c r="I44" s="218" t="e">
        <f t="shared" si="8"/>
        <v>#N/A</v>
      </c>
      <c r="J44" s="218" t="e">
        <f t="shared" si="9"/>
        <v>#N/A</v>
      </c>
      <c r="K44" s="218" t="e">
        <f t="shared" si="10"/>
        <v>#N/A</v>
      </c>
      <c r="L44" s="218" t="e">
        <f t="shared" si="1"/>
        <v>#N/A</v>
      </c>
      <c r="M44" s="218" t="e">
        <f t="shared" si="2"/>
        <v>#N/A</v>
      </c>
      <c r="N44" s="218" t="e">
        <f t="shared" si="3"/>
        <v>#N/A</v>
      </c>
      <c r="O44" s="218" t="e">
        <f t="shared" si="4"/>
        <v>#N/A</v>
      </c>
      <c r="P44" s="218" t="e">
        <f t="shared" si="5"/>
        <v>#N/A</v>
      </c>
      <c r="Q44" s="218" t="e">
        <f t="shared" si="6"/>
        <v>#N/A</v>
      </c>
    </row>
    <row r="45" spans="1:17">
      <c r="A45" s="72" t="s">
        <v>5745</v>
      </c>
      <c r="B45" s="52" t="e">
        <f t="shared" si="11"/>
        <v>#N/A</v>
      </c>
      <c r="D45" s="2936" t="e">
        <f>IF(B45&lt;B$11+C$8,INDEX(IFAData_TEA_1718!B$2:M$2564,B45,11),0)</f>
        <v>#N/A</v>
      </c>
      <c r="E45" s="2937" t="e">
        <f>IF(B45&lt;B$11+C$8,INDEX(IFAData_TEA_1718!B$2:M$2564,B45,12),0)</f>
        <v>#N/A</v>
      </c>
      <c r="F45" s="973" t="e">
        <f>IFA_Limits1819!H45</f>
        <v>#N/A</v>
      </c>
      <c r="G45" s="2901" t="e">
        <f>IFA_Limits1819!I45</f>
        <v>#N/A</v>
      </c>
      <c r="H45" s="218" t="e">
        <f t="shared" si="7"/>
        <v>#N/A</v>
      </c>
      <c r="I45" s="218" t="e">
        <f t="shared" si="8"/>
        <v>#N/A</v>
      </c>
      <c r="J45" s="218" t="e">
        <f t="shared" si="9"/>
        <v>#N/A</v>
      </c>
      <c r="K45" s="218" t="e">
        <f t="shared" si="10"/>
        <v>#N/A</v>
      </c>
      <c r="L45" s="218" t="e">
        <f t="shared" si="1"/>
        <v>#N/A</v>
      </c>
      <c r="M45" s="218" t="e">
        <f t="shared" si="2"/>
        <v>#N/A</v>
      </c>
      <c r="N45" s="218" t="e">
        <f t="shared" si="3"/>
        <v>#N/A</v>
      </c>
      <c r="O45" s="218" t="e">
        <f t="shared" si="4"/>
        <v>#N/A</v>
      </c>
      <c r="P45" s="218" t="e">
        <f t="shared" si="5"/>
        <v>#N/A</v>
      </c>
      <c r="Q45" s="218" t="e">
        <f t="shared" si="6"/>
        <v>#N/A</v>
      </c>
    </row>
    <row r="46" spans="1:17">
      <c r="A46" s="72" t="s">
        <v>5745</v>
      </c>
      <c r="B46" s="52" t="e">
        <f t="shared" si="11"/>
        <v>#N/A</v>
      </c>
      <c r="D46" s="2936" t="e">
        <f>IF(B46&lt;B$11+C$8,INDEX(IFAData_TEA_1718!B$2:M$2564,B46,11),0)</f>
        <v>#N/A</v>
      </c>
      <c r="E46" s="2937" t="e">
        <f>IF(B46&lt;B$11+C$8,INDEX(IFAData_TEA_1718!B$2:M$2564,B46,12),0)</f>
        <v>#N/A</v>
      </c>
      <c r="F46" s="973" t="e">
        <f>IFA_Limits1819!H46</f>
        <v>#N/A</v>
      </c>
      <c r="G46" s="2901" t="e">
        <f>IFA_Limits1819!I46</f>
        <v>#N/A</v>
      </c>
      <c r="H46" s="218" t="e">
        <f t="shared" si="7"/>
        <v>#N/A</v>
      </c>
      <c r="I46" s="218" t="e">
        <f t="shared" si="8"/>
        <v>#N/A</v>
      </c>
      <c r="J46" s="218" t="e">
        <f t="shared" si="9"/>
        <v>#N/A</v>
      </c>
      <c r="K46" s="218" t="e">
        <f t="shared" si="10"/>
        <v>#N/A</v>
      </c>
      <c r="L46" s="218" t="e">
        <f t="shared" si="1"/>
        <v>#N/A</v>
      </c>
      <c r="M46" s="218" t="e">
        <f t="shared" si="2"/>
        <v>#N/A</v>
      </c>
      <c r="N46" s="218" t="e">
        <f t="shared" si="3"/>
        <v>#N/A</v>
      </c>
      <c r="O46" s="218" t="e">
        <f t="shared" si="4"/>
        <v>#N/A</v>
      </c>
      <c r="P46" s="218" t="e">
        <f t="shared" si="5"/>
        <v>#N/A</v>
      </c>
      <c r="Q46" s="218" t="e">
        <f t="shared" si="6"/>
        <v>#N/A</v>
      </c>
    </row>
    <row r="47" spans="1:17">
      <c r="A47" s="72" t="s">
        <v>5745</v>
      </c>
      <c r="B47" s="52" t="e">
        <f t="shared" si="11"/>
        <v>#N/A</v>
      </c>
      <c r="D47" s="2936" t="e">
        <f>IF(B47&lt;B$11+C$8,INDEX(IFAData_TEA_1718!B$2:M$2564,B47,11),0)</f>
        <v>#N/A</v>
      </c>
      <c r="E47" s="2937" t="e">
        <f>IF(B47&lt;B$11+C$8,INDEX(IFAData_TEA_1718!B$2:M$2564,B47,12),0)</f>
        <v>#N/A</v>
      </c>
      <c r="F47" s="973" t="e">
        <f>IFA_Limits1819!H47</f>
        <v>#N/A</v>
      </c>
      <c r="G47" s="2901" t="e">
        <f>IFA_Limits1819!I47</f>
        <v>#N/A</v>
      </c>
      <c r="H47" s="218" t="e">
        <f t="shared" si="7"/>
        <v>#N/A</v>
      </c>
      <c r="I47" s="218" t="e">
        <f t="shared" si="8"/>
        <v>#N/A</v>
      </c>
      <c r="J47" s="218" t="e">
        <f t="shared" si="9"/>
        <v>#N/A</v>
      </c>
      <c r="K47" s="218" t="e">
        <f t="shared" si="10"/>
        <v>#N/A</v>
      </c>
      <c r="L47" s="218" t="e">
        <f t="shared" si="1"/>
        <v>#N/A</v>
      </c>
      <c r="M47" s="218" t="e">
        <f t="shared" si="2"/>
        <v>#N/A</v>
      </c>
      <c r="N47" s="218" t="e">
        <f t="shared" si="3"/>
        <v>#N/A</v>
      </c>
      <c r="O47" s="218" t="e">
        <f t="shared" si="4"/>
        <v>#N/A</v>
      </c>
      <c r="P47" s="218" t="e">
        <f t="shared" si="5"/>
        <v>#N/A</v>
      </c>
      <c r="Q47" s="218" t="e">
        <f t="shared" si="6"/>
        <v>#N/A</v>
      </c>
    </row>
    <row r="48" spans="1:17">
      <c r="A48" s="72" t="s">
        <v>5745</v>
      </c>
      <c r="B48" s="52" t="e">
        <f t="shared" si="11"/>
        <v>#N/A</v>
      </c>
      <c r="D48" s="2936" t="e">
        <f>IF(B48&lt;B$11+C$8,INDEX(IFAData_TEA_1718!B$2:M$2564,B48,11),0)</f>
        <v>#N/A</v>
      </c>
      <c r="E48" s="2937" t="e">
        <f>IF(B48&lt;B$11+C$8,INDEX(IFAData_TEA_1718!B$2:M$2564,B48,12),0)</f>
        <v>#N/A</v>
      </c>
      <c r="F48" s="973" t="e">
        <f>IFA_Limits1819!H48</f>
        <v>#N/A</v>
      </c>
      <c r="G48" s="2901" t="e">
        <f>IFA_Limits1819!I48</f>
        <v>#N/A</v>
      </c>
      <c r="H48" s="218" t="e">
        <f t="shared" si="7"/>
        <v>#N/A</v>
      </c>
      <c r="I48" s="218" t="e">
        <f t="shared" si="8"/>
        <v>#N/A</v>
      </c>
      <c r="J48" s="218" t="e">
        <f t="shared" si="9"/>
        <v>#N/A</v>
      </c>
      <c r="K48" s="218" t="e">
        <f t="shared" si="10"/>
        <v>#N/A</v>
      </c>
      <c r="L48" s="218" t="e">
        <f t="shared" si="1"/>
        <v>#N/A</v>
      </c>
      <c r="M48" s="218" t="e">
        <f t="shared" si="2"/>
        <v>#N/A</v>
      </c>
      <c r="N48" s="218" t="e">
        <f t="shared" si="3"/>
        <v>#N/A</v>
      </c>
      <c r="O48" s="218" t="e">
        <f t="shared" si="4"/>
        <v>#N/A</v>
      </c>
      <c r="P48" s="218" t="e">
        <f t="shared" si="5"/>
        <v>#N/A</v>
      </c>
      <c r="Q48" s="218" t="e">
        <f t="shared" si="6"/>
        <v>#N/A</v>
      </c>
    </row>
    <row r="49" spans="1:17">
      <c r="A49" s="72" t="s">
        <v>5745</v>
      </c>
      <c r="B49" s="52" t="e">
        <f t="shared" ref="B49:B54" si="12">B48+1</f>
        <v>#N/A</v>
      </c>
      <c r="D49" s="2936" t="e">
        <f>IF(B49&lt;B$11+C$8,INDEX(IFAData_TEA_1718!B$2:M$2564,B49,11),0)</f>
        <v>#N/A</v>
      </c>
      <c r="E49" s="2937" t="e">
        <f>IF(B49&lt;B$11+C$8,INDEX(IFAData_TEA_1718!B$2:M$2564,B49,12),0)</f>
        <v>#N/A</v>
      </c>
      <c r="F49" s="973" t="e">
        <f>IFA_Limits1819!H49</f>
        <v>#N/A</v>
      </c>
      <c r="G49" s="2901" t="e">
        <f>IFA_Limits1819!I49</f>
        <v>#N/A</v>
      </c>
      <c r="H49" s="218" t="e">
        <f t="shared" si="7"/>
        <v>#N/A</v>
      </c>
      <c r="I49" s="218" t="e">
        <f t="shared" si="8"/>
        <v>#N/A</v>
      </c>
      <c r="J49" s="218" t="e">
        <f t="shared" si="9"/>
        <v>#N/A</v>
      </c>
      <c r="K49" s="218" t="e">
        <f t="shared" si="10"/>
        <v>#N/A</v>
      </c>
      <c r="L49" s="218" t="e">
        <f t="shared" si="1"/>
        <v>#N/A</v>
      </c>
      <c r="M49" s="218" t="e">
        <f t="shared" si="2"/>
        <v>#N/A</v>
      </c>
      <c r="N49" s="218" t="e">
        <f t="shared" si="3"/>
        <v>#N/A</v>
      </c>
      <c r="O49" s="218" t="e">
        <f t="shared" si="4"/>
        <v>#N/A</v>
      </c>
      <c r="P49" s="218" t="e">
        <f t="shared" si="5"/>
        <v>#N/A</v>
      </c>
      <c r="Q49" s="218" t="e">
        <f t="shared" si="6"/>
        <v>#N/A</v>
      </c>
    </row>
    <row r="50" spans="1:17">
      <c r="A50" s="72" t="s">
        <v>5745</v>
      </c>
      <c r="B50" s="52" t="e">
        <f t="shared" si="12"/>
        <v>#N/A</v>
      </c>
      <c r="D50" s="2936" t="e">
        <f>IF(B50&lt;B$11+C$8,INDEX(IFAData_TEA_1718!B$2:M$2564,B50,11),0)</f>
        <v>#N/A</v>
      </c>
      <c r="E50" s="2937" t="e">
        <f>IF(B50&lt;B$11+C$8,INDEX(IFAData_TEA_1718!B$2:M$2564,B50,12),0)</f>
        <v>#N/A</v>
      </c>
      <c r="F50" s="973" t="e">
        <f>IFA_Limits1819!H50</f>
        <v>#N/A</v>
      </c>
      <c r="G50" s="2901" t="e">
        <f>IFA_Limits1819!I50</f>
        <v>#N/A</v>
      </c>
      <c r="H50" s="218" t="e">
        <f t="shared" si="7"/>
        <v>#N/A</v>
      </c>
      <c r="I50" s="218" t="e">
        <f t="shared" si="8"/>
        <v>#N/A</v>
      </c>
      <c r="J50" s="218" t="e">
        <f t="shared" si="9"/>
        <v>#N/A</v>
      </c>
      <c r="K50" s="218" t="e">
        <f t="shared" si="10"/>
        <v>#N/A</v>
      </c>
      <c r="L50" s="218" t="e">
        <f t="shared" si="1"/>
        <v>#N/A</v>
      </c>
      <c r="M50" s="218" t="e">
        <f t="shared" si="2"/>
        <v>#N/A</v>
      </c>
      <c r="N50" s="218" t="e">
        <f t="shared" si="3"/>
        <v>#N/A</v>
      </c>
      <c r="O50" s="218" t="e">
        <f t="shared" si="4"/>
        <v>#N/A</v>
      </c>
      <c r="P50" s="218" t="e">
        <f t="shared" si="5"/>
        <v>#N/A</v>
      </c>
      <c r="Q50" s="218" t="e">
        <f t="shared" si="6"/>
        <v>#N/A</v>
      </c>
    </row>
    <row r="51" spans="1:17">
      <c r="A51" s="72" t="s">
        <v>5745</v>
      </c>
      <c r="B51" s="52" t="e">
        <f t="shared" si="12"/>
        <v>#N/A</v>
      </c>
      <c r="D51" s="2936" t="e">
        <f>IF(B51&lt;B$11+C$8,INDEX(IFAData_TEA_1718!B$2:M$2564,B51,11),0)</f>
        <v>#N/A</v>
      </c>
      <c r="E51" s="2937" t="e">
        <f>IF(B51&lt;B$11+C$8,INDEX(IFAData_TEA_1718!B$2:M$2564,B51,12),0)</f>
        <v>#N/A</v>
      </c>
      <c r="F51" s="973" t="e">
        <f>IFA_Limits1819!H51</f>
        <v>#N/A</v>
      </c>
      <c r="G51" s="2901" t="e">
        <f>IFA_Limits1819!I51</f>
        <v>#N/A</v>
      </c>
      <c r="H51" s="218" t="e">
        <f t="shared" si="7"/>
        <v>#N/A</v>
      </c>
      <c r="I51" s="218" t="e">
        <f t="shared" si="8"/>
        <v>#N/A</v>
      </c>
      <c r="J51" s="218" t="e">
        <f t="shared" si="9"/>
        <v>#N/A</v>
      </c>
      <c r="K51" s="218" t="e">
        <f t="shared" si="10"/>
        <v>#N/A</v>
      </c>
      <c r="L51" s="218" t="e">
        <f t="shared" si="1"/>
        <v>#N/A</v>
      </c>
      <c r="M51" s="218" t="e">
        <f t="shared" si="2"/>
        <v>#N/A</v>
      </c>
      <c r="N51" s="218" t="e">
        <f t="shared" si="3"/>
        <v>#N/A</v>
      </c>
      <c r="O51" s="218" t="e">
        <f t="shared" si="4"/>
        <v>#N/A</v>
      </c>
      <c r="P51" s="218" t="e">
        <f t="shared" si="5"/>
        <v>#N/A</v>
      </c>
      <c r="Q51" s="218" t="e">
        <f t="shared" si="6"/>
        <v>#N/A</v>
      </c>
    </row>
    <row r="52" spans="1:17">
      <c r="A52" s="72" t="s">
        <v>5745</v>
      </c>
      <c r="B52" s="52" t="e">
        <f t="shared" si="12"/>
        <v>#N/A</v>
      </c>
      <c r="D52" s="2936" t="e">
        <f>IF(B52&lt;B$11+C$8,INDEX(IFAData_TEA_1718!B$2:M$2564,B52,11),0)</f>
        <v>#N/A</v>
      </c>
      <c r="E52" s="2937" t="e">
        <f>IF(B52&lt;B$11+C$8,INDEX(IFAData_TEA_1718!B$2:M$2564,B52,12),0)</f>
        <v>#N/A</v>
      </c>
      <c r="F52" s="973" t="e">
        <f>IFA_Limits1819!H52</f>
        <v>#N/A</v>
      </c>
      <c r="G52" s="2901" t="e">
        <f>IFA_Limits1819!I52</f>
        <v>#N/A</v>
      </c>
      <c r="H52" s="218" t="e">
        <f t="shared" si="7"/>
        <v>#N/A</v>
      </c>
      <c r="I52" s="218" t="e">
        <f t="shared" si="8"/>
        <v>#N/A</v>
      </c>
      <c r="J52" s="218" t="e">
        <f t="shared" si="9"/>
        <v>#N/A</v>
      </c>
      <c r="K52" s="218" t="e">
        <f t="shared" si="10"/>
        <v>#N/A</v>
      </c>
      <c r="L52" s="218" t="e">
        <f t="shared" si="1"/>
        <v>#N/A</v>
      </c>
      <c r="M52" s="218" t="e">
        <f t="shared" si="2"/>
        <v>#N/A</v>
      </c>
      <c r="N52" s="218" t="e">
        <f t="shared" si="3"/>
        <v>#N/A</v>
      </c>
      <c r="O52" s="218" t="e">
        <f t="shared" si="4"/>
        <v>#N/A</v>
      </c>
      <c r="P52" s="218" t="e">
        <f t="shared" si="5"/>
        <v>#N/A</v>
      </c>
      <c r="Q52" s="218" t="e">
        <f t="shared" si="6"/>
        <v>#N/A</v>
      </c>
    </row>
    <row r="53" spans="1:17">
      <c r="A53" s="72" t="s">
        <v>5745</v>
      </c>
      <c r="B53" s="52" t="e">
        <f t="shared" si="12"/>
        <v>#N/A</v>
      </c>
      <c r="D53" s="2936" t="e">
        <f>IF(B53&lt;B$11+C$8,INDEX(IFAData_TEA_1718!B$2:M$2564,B53,11),0)</f>
        <v>#N/A</v>
      </c>
      <c r="E53" s="2937" t="e">
        <f>IF(B53&lt;B$11+C$8,INDEX(IFAData_TEA_1718!B$2:M$2564,B53,12),0)</f>
        <v>#N/A</v>
      </c>
      <c r="F53" s="973" t="e">
        <f>IFA_Limits1819!H53</f>
        <v>#N/A</v>
      </c>
      <c r="G53" s="2901" t="e">
        <f>IFA_Limits1819!I53</f>
        <v>#N/A</v>
      </c>
      <c r="H53" s="218" t="e">
        <f t="shared" si="7"/>
        <v>#N/A</v>
      </c>
      <c r="I53" s="218" t="e">
        <f t="shared" si="8"/>
        <v>#N/A</v>
      </c>
      <c r="J53" s="218" t="e">
        <f t="shared" si="9"/>
        <v>#N/A</v>
      </c>
      <c r="K53" s="218" t="e">
        <f t="shared" si="10"/>
        <v>#N/A</v>
      </c>
      <c r="L53" s="218" t="e">
        <f t="shared" si="1"/>
        <v>#N/A</v>
      </c>
      <c r="M53" s="218" t="e">
        <f t="shared" si="2"/>
        <v>#N/A</v>
      </c>
      <c r="N53" s="218" t="e">
        <f t="shared" si="3"/>
        <v>#N/A</v>
      </c>
      <c r="O53" s="218" t="e">
        <f t="shared" si="4"/>
        <v>#N/A</v>
      </c>
      <c r="P53" s="218" t="e">
        <f t="shared" si="5"/>
        <v>#N/A</v>
      </c>
      <c r="Q53" s="218" t="e">
        <f t="shared" si="6"/>
        <v>#N/A</v>
      </c>
    </row>
    <row r="54" spans="1:17">
      <c r="A54" s="72" t="s">
        <v>5745</v>
      </c>
      <c r="B54" s="52" t="e">
        <f t="shared" si="12"/>
        <v>#N/A</v>
      </c>
      <c r="D54" s="2936" t="e">
        <f>IF(B54&lt;B$11+C$8,INDEX(IFAData_TEA_1718!B$2:M$2564,B54,11),0)</f>
        <v>#N/A</v>
      </c>
      <c r="E54" s="2937" t="e">
        <f>IF(B54&lt;B$11+C$8,INDEX(IFAData_TEA_1718!B$2:M$2564,B54,12),0)</f>
        <v>#N/A</v>
      </c>
      <c r="F54" s="973" t="e">
        <f>IFA_Limits1819!H54</f>
        <v>#N/A</v>
      </c>
      <c r="G54" s="2901" t="e">
        <f>IFA_Limits1819!I54</f>
        <v>#N/A</v>
      </c>
      <c r="H54" s="218" t="e">
        <f t="shared" si="7"/>
        <v>#N/A</v>
      </c>
      <c r="I54" s="218" t="e">
        <f t="shared" si="8"/>
        <v>#N/A</v>
      </c>
      <c r="J54" s="218" t="e">
        <f t="shared" si="9"/>
        <v>#N/A</v>
      </c>
      <c r="K54" s="218" t="e">
        <f t="shared" si="10"/>
        <v>#N/A</v>
      </c>
      <c r="L54" s="218" t="e">
        <f t="shared" si="1"/>
        <v>#N/A</v>
      </c>
      <c r="M54" s="218" t="e">
        <f t="shared" si="2"/>
        <v>#N/A</v>
      </c>
      <c r="N54" s="218" t="e">
        <f t="shared" si="3"/>
        <v>#N/A</v>
      </c>
      <c r="O54" s="218" t="e">
        <f t="shared" si="4"/>
        <v>#N/A</v>
      </c>
      <c r="P54" s="218" t="e">
        <f t="shared" si="5"/>
        <v>#N/A</v>
      </c>
      <c r="Q54" s="218" t="e">
        <f t="shared" si="6"/>
        <v>#N/A</v>
      </c>
    </row>
    <row r="55" spans="1:17">
      <c r="A55" s="967" t="s">
        <v>5747</v>
      </c>
      <c r="B55" s="372"/>
      <c r="C55" s="372"/>
      <c r="D55" s="2022">
        <f>SUMIF($E11:$E54,"599",D11:D54)</f>
        <v>0</v>
      </c>
      <c r="F55" s="2023">
        <f>SUMIF($G11:$G54,"599",F11:F54)</f>
        <v>0</v>
      </c>
      <c r="H55" s="977">
        <f>SUMIF($I11:$I54,"599",H11:H54)</f>
        <v>0</v>
      </c>
      <c r="J55" s="978">
        <f>SUMIF($K11:$K54,"599",J11:J54)</f>
        <v>0</v>
      </c>
      <c r="L55" s="1759">
        <f>SUMIF($M11:$M54,"599",L11:L54)</f>
        <v>0</v>
      </c>
      <c r="N55" s="974">
        <f>SUMIF($O11:$O54,"599",N11:N54)</f>
        <v>0</v>
      </c>
      <c r="P55" s="1757">
        <f>SUMIF($Q11:$Q54,"599",P11:P54)</f>
        <v>0</v>
      </c>
    </row>
    <row r="56" spans="1:17">
      <c r="A56" s="967" t="s">
        <v>5746</v>
      </c>
      <c r="D56" s="170">
        <f>SUMIF($E11:$E54,"199",D11:D54)</f>
        <v>0</v>
      </c>
      <c r="F56" s="971">
        <f>SUMIF($G11:$G54,"199",F11:F54)</f>
        <v>0</v>
      </c>
      <c r="H56" s="972">
        <f>SUMIF($I11:$I54,"199",H11:H54)</f>
        <v>0</v>
      </c>
      <c r="J56" s="379">
        <f>SUMIF($K11:$K54,"199",J11:J54)</f>
        <v>0</v>
      </c>
      <c r="L56" s="1760">
        <f>SUMIF($M11:$M54,"199",L11:L54)</f>
        <v>0</v>
      </c>
      <c r="N56" s="970">
        <f>SUMIF($O11:$O54,"199",N11:N54)</f>
        <v>0</v>
      </c>
      <c r="P56" s="1758">
        <f>SUMIF($Q11:$Q54,"199",P11:P54)</f>
        <v>0</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703125" customWidth="1"/>
    <col min="3" max="3" width="19.42578125" customWidth="1"/>
    <col min="4" max="5" width="19.42578125" style="91" customWidth="1"/>
    <col min="6" max="6" width="19.42578125" customWidth="1"/>
    <col min="7" max="7" width="19.42578125" style="91" customWidth="1"/>
    <col min="8" max="9" width="19.42578125" customWidth="1"/>
    <col min="10" max="10" width="19.42578125" style="91" customWidth="1"/>
    <col min="11" max="11" width="19.42578125" style="490" customWidth="1"/>
    <col min="12" max="12" width="19.42578125" customWidth="1"/>
    <col min="13" max="13" width="19.42578125" style="91" customWidth="1"/>
    <col min="14" max="14" width="19.42578125" style="490" customWidth="1"/>
    <col min="15" max="20" width="19.42578125" customWidth="1"/>
    <col min="21" max="21" width="14.5703125" customWidth="1"/>
    <col min="22" max="22" width="19.42578125" customWidth="1"/>
    <col min="23" max="23" width="15.85546875" customWidth="1"/>
  </cols>
  <sheetData>
    <row r="1" spans="1:22">
      <c r="B1" s="197" t="s">
        <v>3919</v>
      </c>
      <c r="C1" s="197" t="s">
        <v>6368</v>
      </c>
      <c r="D1" s="197" t="s">
        <v>3920</v>
      </c>
      <c r="F1" s="197" t="s">
        <v>6368</v>
      </c>
      <c r="G1" s="197" t="s">
        <v>3920</v>
      </c>
      <c r="H1" s="35"/>
      <c r="I1" s="197" t="s">
        <v>6368</v>
      </c>
      <c r="J1" s="197" t="s">
        <v>3920</v>
      </c>
      <c r="K1"/>
      <c r="L1" s="197" t="s">
        <v>6368</v>
      </c>
      <c r="M1" s="197" t="s">
        <v>3920</v>
      </c>
      <c r="N1"/>
      <c r="O1" s="197" t="s">
        <v>6368</v>
      </c>
      <c r="P1" s="197" t="s">
        <v>3920</v>
      </c>
      <c r="Q1" s="35"/>
      <c r="R1" s="197" t="s">
        <v>6368</v>
      </c>
      <c r="S1" s="197" t="s">
        <v>3920</v>
      </c>
      <c r="T1" s="35"/>
      <c r="U1" s="197" t="s">
        <v>6368</v>
      </c>
      <c r="V1" s="197" t="s">
        <v>3920</v>
      </c>
    </row>
    <row r="2" spans="1:22">
      <c r="B2" s="197" t="s">
        <v>3144</v>
      </c>
      <c r="C2" s="197" t="s">
        <v>6369</v>
      </c>
      <c r="D2" s="197" t="s">
        <v>3144</v>
      </c>
      <c r="E2" s="197" t="s">
        <v>3919</v>
      </c>
      <c r="F2" s="197" t="s">
        <v>6369</v>
      </c>
      <c r="G2" s="197" t="s">
        <v>3225</v>
      </c>
      <c r="H2" s="197" t="s">
        <v>3919</v>
      </c>
      <c r="I2" s="197" t="s">
        <v>6369</v>
      </c>
      <c r="J2" s="197" t="s">
        <v>3284</v>
      </c>
      <c r="K2" s="630" t="s">
        <v>3919</v>
      </c>
      <c r="L2" s="197" t="s">
        <v>6369</v>
      </c>
      <c r="M2" s="197" t="s">
        <v>3922</v>
      </c>
      <c r="N2" s="630" t="s">
        <v>3919</v>
      </c>
      <c r="O2" s="197" t="s">
        <v>6369</v>
      </c>
      <c r="P2" s="197" t="s">
        <v>6374</v>
      </c>
      <c r="Q2" s="197" t="s">
        <v>3919</v>
      </c>
      <c r="R2" s="197" t="s">
        <v>6369</v>
      </c>
      <c r="S2" s="197" t="s">
        <v>6939</v>
      </c>
      <c r="T2" s="197" t="s">
        <v>3919</v>
      </c>
      <c r="U2" s="197" t="s">
        <v>6369</v>
      </c>
      <c r="V2" s="197" t="s">
        <v>8157</v>
      </c>
    </row>
    <row r="3" spans="1:22">
      <c r="B3" s="197" t="s">
        <v>8263</v>
      </c>
      <c r="C3" s="197" t="s">
        <v>6370</v>
      </c>
      <c r="D3" s="197" t="s">
        <v>3921</v>
      </c>
      <c r="E3" s="197" t="s">
        <v>3225</v>
      </c>
      <c r="F3" s="197" t="s">
        <v>6371</v>
      </c>
      <c r="G3" s="197" t="s">
        <v>3921</v>
      </c>
      <c r="H3" s="197" t="s">
        <v>3284</v>
      </c>
      <c r="I3" s="197" t="s">
        <v>6372</v>
      </c>
      <c r="J3" s="197" t="s">
        <v>3921</v>
      </c>
      <c r="K3" s="630" t="s">
        <v>3922</v>
      </c>
      <c r="L3" s="197" t="s">
        <v>6373</v>
      </c>
      <c r="M3" s="197" t="s">
        <v>3921</v>
      </c>
      <c r="N3" s="630" t="s">
        <v>6374</v>
      </c>
      <c r="O3" s="197" t="s">
        <v>6938</v>
      </c>
      <c r="P3" s="197" t="s">
        <v>3921</v>
      </c>
      <c r="Q3" s="197" t="s">
        <v>6939</v>
      </c>
      <c r="R3" s="197" t="s">
        <v>7069</v>
      </c>
      <c r="S3" s="197" t="s">
        <v>3921</v>
      </c>
      <c r="T3" s="197" t="s">
        <v>8157</v>
      </c>
      <c r="U3" s="197" t="s">
        <v>8264</v>
      </c>
      <c r="V3" s="197" t="s">
        <v>3921</v>
      </c>
    </row>
    <row r="4" spans="1:22" ht="15.75">
      <c r="A4" s="382" t="s">
        <v>197</v>
      </c>
      <c r="B4" s="91">
        <v>2202445</v>
      </c>
      <c r="C4" s="944">
        <f>IF(A4='Data Entry - SOF'!B$2,'Report-SOF1718'!D$102,0)</f>
        <v>0</v>
      </c>
      <c r="D4" s="1037">
        <f>IF(A4='Data Entry - SOF'!B$2,'Data Entry - SOF'!#REF!,0)</f>
        <v>0</v>
      </c>
      <c r="E4" s="91">
        <f t="shared" ref="E4:E67" si="0">IF(B4+C4-D4&lt;=0,0,B4+C4-D4)</f>
        <v>2202445</v>
      </c>
      <c r="F4" s="944">
        <f>IF(A4='Data Entry - SOF'!B$2,'Report-SOF1819'!D$102,0)</f>
        <v>0</v>
      </c>
      <c r="G4" s="1037">
        <f>IF(A4='Data Entry - SOF'!B$2,'Data Entry - SOF'!E$102,0)</f>
        <v>0</v>
      </c>
      <c r="H4" s="1038">
        <f>IF(E4+F4-G4&lt;=0,0,E4+F4-G4)</f>
        <v>2202445</v>
      </c>
      <c r="I4" s="944">
        <f>IF(A4='Data Entry - SOF'!B$2,'Report-SOF1920-HB3'!D$102,0)</f>
        <v>0</v>
      </c>
      <c r="J4" s="1037">
        <f>IF(A4='Data Entry - SOF'!B$2,'Data Entry - SOF'!G$102,0)</f>
        <v>0</v>
      </c>
      <c r="K4" s="717">
        <f>IF(H4+I4-J4&lt;=0,0,H4+I4-J4)</f>
        <v>2202445</v>
      </c>
      <c r="L4" s="944">
        <f>IF(A4='Data Entry - SOF'!B$2,'Report-SOF2021'!D$99,0)</f>
        <v>0</v>
      </c>
      <c r="M4" s="723">
        <f>IF(A4='Data Entry - SOF'!B$2,'Data Entry - SOF'!M$102,0)</f>
        <v>0</v>
      </c>
      <c r="N4" s="717">
        <f>IF(K4+L4-M4&lt;=0,0,K4+L4-M4)</f>
        <v>2202445</v>
      </c>
      <c r="O4" s="944">
        <f>IF(A4='Data Entry - SOF'!B$2,'Report-SOF2122'!D$91,0)</f>
        <v>0</v>
      </c>
      <c r="P4" s="723">
        <f>IF(A4='Data Entry - SOF'!B$2,'Data Entry - SOF'!O$102,0)</f>
        <v>0</v>
      </c>
      <c r="Q4" s="601">
        <f t="shared" ref="Q4:Q67" si="1">IF(N4+O4-P4&lt;=0,0,N4+O4-P4)</f>
        <v>2202445</v>
      </c>
      <c r="R4" s="944">
        <f>IF(A4='Data Entry - SOF'!B$2,'Report-SOF2223'!D$91,0)</f>
        <v>0</v>
      </c>
      <c r="S4" s="723">
        <f>IF(A4='Data Entry - SOF'!B$2,'Data Entry - SOF'!Q$102,0)</f>
        <v>0</v>
      </c>
      <c r="T4" s="601">
        <f>IF(P4+Q4-S4&lt;=0,0,P4+Q4-S4)</f>
        <v>2202445</v>
      </c>
      <c r="U4" s="944">
        <f>IF(A4='Data Entry - SOF'!B$2,'Report-SOF2324'!D$91,0)</f>
        <v>0</v>
      </c>
      <c r="V4" s="723">
        <f>IF(A4='Data Entry - SOF'!B$2,'Data Entry - SOF'!S$102,0)</f>
        <v>0</v>
      </c>
    </row>
    <row r="5" spans="1:22" ht="15.75">
      <c r="A5" s="382" t="s">
        <v>1954</v>
      </c>
      <c r="B5" s="91">
        <v>2328348</v>
      </c>
      <c r="C5" s="944">
        <f>IF(A5='Data Entry - SOF'!B$2,'Report-SOF1718'!D$102,0)</f>
        <v>0</v>
      </c>
      <c r="D5" s="1037">
        <f>IF(A5='Data Entry - SOF'!B$2,'Data Entry - SOF'!#REF!,0)</f>
        <v>0</v>
      </c>
      <c r="E5" s="91">
        <f t="shared" si="0"/>
        <v>2328348</v>
      </c>
      <c r="F5" s="944">
        <f>IF(A5='Data Entry - SOF'!B$2,'Report-SOF1819'!D$102,0)</f>
        <v>0</v>
      </c>
      <c r="G5" s="1037">
        <f>IF(A5='Data Entry - SOF'!B$2,'Data Entry - SOF'!E$102,0)</f>
        <v>0</v>
      </c>
      <c r="H5" s="1038">
        <f t="shared" ref="H5:H68" si="2">IF(E5+F5-G5&lt;=0,0,E5+F5-G5)</f>
        <v>2328348</v>
      </c>
      <c r="I5" s="944">
        <f>IF(A5='Data Entry - SOF'!B$2,'Report-SOF1920-HB3'!D$102,0)</f>
        <v>0</v>
      </c>
      <c r="J5" s="1037">
        <f>IF(A5='Data Entry - SOF'!B$2,'Data Entry - SOF'!G$102,0)</f>
        <v>0</v>
      </c>
      <c r="K5" s="717">
        <f t="shared" ref="K5:K68" si="3">IF(H5+I5-J5&lt;=0,0,H5+I5-J5)</f>
        <v>2328348</v>
      </c>
      <c r="L5" s="944">
        <f>IF(A5='Data Entry - SOF'!B$2,'Report-SOF2021'!D$99,0)</f>
        <v>0</v>
      </c>
      <c r="M5" s="723">
        <f>IF(A5='Data Entry - SOF'!B$2,'Data Entry - SOF'!M$102,0)</f>
        <v>0</v>
      </c>
      <c r="N5" s="717">
        <f t="shared" ref="N5:N68" si="4">IF(K5+L5-M5&lt;=0,0,K5+L5-M5)</f>
        <v>2328348</v>
      </c>
      <c r="O5" s="944">
        <f>IF(A5='Data Entry - SOF'!B$2,'Report-SOF2122'!D$91,0)</f>
        <v>0</v>
      </c>
      <c r="P5" s="723">
        <f>IF(A5='Data Entry - SOF'!B$2,'Data Entry - SOF'!O$102,0)</f>
        <v>0</v>
      </c>
      <c r="Q5" s="601">
        <f t="shared" si="1"/>
        <v>2328348</v>
      </c>
      <c r="R5" s="944">
        <f>IF(A5='Data Entry - SOF'!B$2,'Report-SOF2223'!D$91,0)</f>
        <v>0</v>
      </c>
      <c r="S5" s="723">
        <f>IF(A5='Data Entry - SOF'!B$2,'Data Entry - SOF'!Q$102,0)</f>
        <v>0</v>
      </c>
      <c r="T5" s="601">
        <f t="shared" ref="T5:T68" si="5">IF(P5+Q5-S5&lt;=0,0,P5+Q5-S5)</f>
        <v>2328348</v>
      </c>
      <c r="U5" s="944">
        <f>IF(A5='Data Entry - SOF'!B$2,'Report-SOF2324'!D$91,0)</f>
        <v>0</v>
      </c>
      <c r="V5" s="723">
        <f>IF(A5='Data Entry - SOF'!B$2,'Data Entry - SOF'!S$102,0)</f>
        <v>0</v>
      </c>
    </row>
    <row r="6" spans="1:22" ht="15.75">
      <c r="A6" s="382" t="s">
        <v>14</v>
      </c>
      <c r="B6" s="91">
        <v>2736400</v>
      </c>
      <c r="C6" s="944">
        <f>IF(A6='Data Entry - SOF'!B$2,'Report-SOF1718'!D$102,0)</f>
        <v>0</v>
      </c>
      <c r="D6" s="1037">
        <f>IF(A6='Data Entry - SOF'!B$2,'Data Entry - SOF'!#REF!,0)</f>
        <v>0</v>
      </c>
      <c r="E6" s="91">
        <f t="shared" si="0"/>
        <v>2736400</v>
      </c>
      <c r="F6" s="944">
        <f>IF(A6='Data Entry - SOF'!B$2,'Report-SOF1819'!D$102,0)</f>
        <v>0</v>
      </c>
      <c r="G6" s="1037">
        <f>IF(A6='Data Entry - SOF'!B$2,'Data Entry - SOF'!E$102,0)</f>
        <v>0</v>
      </c>
      <c r="H6" s="1038">
        <f t="shared" si="2"/>
        <v>2736400</v>
      </c>
      <c r="I6" s="944">
        <f>IF(A6='Data Entry - SOF'!B$2,'Report-SOF1920-HB3'!D$102,0)</f>
        <v>0</v>
      </c>
      <c r="J6" s="1037">
        <f>IF(A6='Data Entry - SOF'!B$2,'Data Entry - SOF'!G$102,0)</f>
        <v>0</v>
      </c>
      <c r="K6" s="717">
        <f t="shared" si="3"/>
        <v>2736400</v>
      </c>
      <c r="L6" s="944">
        <f>IF(A6='Data Entry - SOF'!B$2,'Report-SOF2021'!D$99,0)</f>
        <v>0</v>
      </c>
      <c r="M6" s="723">
        <f>IF(A6='Data Entry - SOF'!B$2,'Data Entry - SOF'!M$102,0)</f>
        <v>0</v>
      </c>
      <c r="N6" s="717">
        <f t="shared" si="4"/>
        <v>2736400</v>
      </c>
      <c r="O6" s="944">
        <f>IF(A6='Data Entry - SOF'!B$2,'Report-SOF2122'!D$91,0)</f>
        <v>0</v>
      </c>
      <c r="P6" s="723">
        <f>IF(A6='Data Entry - SOF'!B$2,'Data Entry - SOF'!O$102,0)</f>
        <v>0</v>
      </c>
      <c r="Q6" s="601">
        <f t="shared" si="1"/>
        <v>2736400</v>
      </c>
      <c r="R6" s="944">
        <f>IF(A6='Data Entry - SOF'!B$2,'Report-SOF2223'!D$91,0)</f>
        <v>0</v>
      </c>
      <c r="S6" s="723">
        <f>IF(A6='Data Entry - SOF'!B$2,'Data Entry - SOF'!Q$102,0)</f>
        <v>0</v>
      </c>
      <c r="T6" s="601">
        <f t="shared" si="5"/>
        <v>2736400</v>
      </c>
      <c r="U6" s="944">
        <f>IF(A6='Data Entry - SOF'!B$2,'Report-SOF2324'!D$91,0)</f>
        <v>0</v>
      </c>
      <c r="V6" s="723">
        <f>IF(A6='Data Entry - SOF'!B$2,'Data Entry - SOF'!S$102,0)</f>
        <v>0</v>
      </c>
    </row>
    <row r="7" spans="1:22" ht="15.75">
      <c r="A7" s="382" t="s">
        <v>15</v>
      </c>
      <c r="B7" s="91">
        <v>1326200</v>
      </c>
      <c r="C7" s="944">
        <f>IF(A7='Data Entry - SOF'!B$2,'Report-SOF1718'!D$102,0)</f>
        <v>0</v>
      </c>
      <c r="D7" s="1037">
        <f>IF(A7='Data Entry - SOF'!B$2,'Data Entry - SOF'!#REF!,0)</f>
        <v>0</v>
      </c>
      <c r="E7" s="91">
        <f t="shared" si="0"/>
        <v>1326200</v>
      </c>
      <c r="F7" s="944">
        <f>IF(A7='Data Entry - SOF'!B$2,'Report-SOF1819'!D$102,0)</f>
        <v>0</v>
      </c>
      <c r="G7" s="1037">
        <f>IF(A7='Data Entry - SOF'!B$2,'Data Entry - SOF'!E$102,0)</f>
        <v>0</v>
      </c>
      <c r="H7" s="1038">
        <f t="shared" si="2"/>
        <v>1326200</v>
      </c>
      <c r="I7" s="944">
        <f>IF(A7='Data Entry - SOF'!B$2,'Report-SOF1920-HB3'!D$102,0)</f>
        <v>0</v>
      </c>
      <c r="J7" s="1037">
        <f>IF(A7='Data Entry - SOF'!B$2,'Data Entry - SOF'!G$102,0)</f>
        <v>0</v>
      </c>
      <c r="K7" s="717">
        <f t="shared" si="3"/>
        <v>1326200</v>
      </c>
      <c r="L7" s="944">
        <f>IF(A7='Data Entry - SOF'!B$2,'Report-SOF2021'!D$99,0)</f>
        <v>0</v>
      </c>
      <c r="M7" s="723">
        <f>IF(A7='Data Entry - SOF'!B$2,'Data Entry - SOF'!M$102,0)</f>
        <v>0</v>
      </c>
      <c r="N7" s="717">
        <f t="shared" si="4"/>
        <v>1326200</v>
      </c>
      <c r="O7" s="944">
        <f>IF(A7='Data Entry - SOF'!B$2,'Report-SOF2122'!D$91,0)</f>
        <v>0</v>
      </c>
      <c r="P7" s="723">
        <f>IF(A7='Data Entry - SOF'!B$2,'Data Entry - SOF'!O$102,0)</f>
        <v>0</v>
      </c>
      <c r="Q7" s="601">
        <f t="shared" si="1"/>
        <v>1326200</v>
      </c>
      <c r="R7" s="944">
        <f>IF(A7='Data Entry - SOF'!B$2,'Report-SOF2223'!D$91,0)</f>
        <v>0</v>
      </c>
      <c r="S7" s="723">
        <f>IF(A7='Data Entry - SOF'!B$2,'Data Entry - SOF'!Q$102,0)</f>
        <v>0</v>
      </c>
      <c r="T7" s="601">
        <f t="shared" si="5"/>
        <v>1326200</v>
      </c>
      <c r="U7" s="944">
        <f>IF(A7='Data Entry - SOF'!B$2,'Report-SOF2324'!D$91,0)</f>
        <v>0</v>
      </c>
      <c r="V7" s="723">
        <f>IF(A7='Data Entry - SOF'!B$2,'Data Entry - SOF'!S$102,0)</f>
        <v>0</v>
      </c>
    </row>
    <row r="8" spans="1:22" ht="15.75">
      <c r="A8" s="382" t="s">
        <v>16</v>
      </c>
      <c r="B8" s="91">
        <v>10862444</v>
      </c>
      <c r="C8" s="944">
        <f>IF(A8='Data Entry - SOF'!B$2,'Report-SOF1718'!D$102,0)</f>
        <v>0</v>
      </c>
      <c r="D8" s="1037">
        <f>IF(A8='Data Entry - SOF'!B$2,'Data Entry - SOF'!#REF!,0)</f>
        <v>0</v>
      </c>
      <c r="E8" s="91">
        <f t="shared" si="0"/>
        <v>10862444</v>
      </c>
      <c r="F8" s="944">
        <f>IF(A8='Data Entry - SOF'!B$2,'Report-SOF1819'!D$102,0)</f>
        <v>0</v>
      </c>
      <c r="G8" s="1037">
        <f>IF(A8='Data Entry - SOF'!B$2,'Data Entry - SOF'!E$102,0)</f>
        <v>0</v>
      </c>
      <c r="H8" s="1038">
        <f t="shared" si="2"/>
        <v>10862444</v>
      </c>
      <c r="I8" s="944">
        <f>IF(A8='Data Entry - SOF'!B$2,'Report-SOF1920-HB3'!D$102,0)</f>
        <v>0</v>
      </c>
      <c r="J8" s="1037">
        <f>IF(A8='Data Entry - SOF'!B$2,'Data Entry - SOF'!G$102,0)</f>
        <v>0</v>
      </c>
      <c r="K8" s="717">
        <f t="shared" si="3"/>
        <v>10862444</v>
      </c>
      <c r="L8" s="944">
        <f>IF(A8='Data Entry - SOF'!B$2,'Report-SOF2021'!D$99,0)</f>
        <v>0</v>
      </c>
      <c r="M8" s="723">
        <f>IF(A8='Data Entry - SOF'!B$2,'Data Entry - SOF'!M$102,0)</f>
        <v>0</v>
      </c>
      <c r="N8" s="717">
        <f t="shared" si="4"/>
        <v>10862444</v>
      </c>
      <c r="O8" s="944">
        <f>IF(A8='Data Entry - SOF'!B$2,'Report-SOF2122'!D$91,0)</f>
        <v>0</v>
      </c>
      <c r="P8" s="723">
        <f>IF(A8='Data Entry - SOF'!B$2,'Data Entry - SOF'!O$102,0)</f>
        <v>0</v>
      </c>
      <c r="Q8" s="601">
        <f t="shared" si="1"/>
        <v>10862444</v>
      </c>
      <c r="R8" s="944">
        <f>IF(A8='Data Entry - SOF'!B$2,'Report-SOF2223'!D$91,0)</f>
        <v>0</v>
      </c>
      <c r="S8" s="723">
        <f>IF(A8='Data Entry - SOF'!B$2,'Data Entry - SOF'!Q$102,0)</f>
        <v>0</v>
      </c>
      <c r="T8" s="601">
        <f t="shared" si="5"/>
        <v>10862444</v>
      </c>
      <c r="U8" s="944">
        <f>IF(A8='Data Entry - SOF'!B$2,'Report-SOF2324'!D$91,0)</f>
        <v>0</v>
      </c>
      <c r="V8" s="723">
        <f>IF(A8='Data Entry - SOF'!B$2,'Data Entry - SOF'!S$102,0)</f>
        <v>0</v>
      </c>
    </row>
    <row r="9" spans="1:22" ht="15.75">
      <c r="A9" s="382" t="s">
        <v>1098</v>
      </c>
      <c r="B9" s="91">
        <v>2553708</v>
      </c>
      <c r="C9" s="944">
        <f>IF(A9='Data Entry - SOF'!B$2,'Report-SOF1718'!D$102,0)</f>
        <v>0</v>
      </c>
      <c r="D9" s="1037">
        <f>IF(A9='Data Entry - SOF'!B$2,'Data Entry - SOF'!#REF!,0)</f>
        <v>0</v>
      </c>
      <c r="E9" s="91">
        <f t="shared" si="0"/>
        <v>2553708</v>
      </c>
      <c r="F9" s="944">
        <f>IF(A9='Data Entry - SOF'!B$2,'Report-SOF1819'!D$102,0)</f>
        <v>0</v>
      </c>
      <c r="G9" s="1037">
        <f>IF(A9='Data Entry - SOF'!B$2,'Data Entry - SOF'!E$102,0)</f>
        <v>0</v>
      </c>
      <c r="H9" s="1038">
        <f t="shared" si="2"/>
        <v>2553708</v>
      </c>
      <c r="I9" s="944">
        <f>IF(A9='Data Entry - SOF'!B$2,'Report-SOF1920-HB3'!D$102,0)</f>
        <v>0</v>
      </c>
      <c r="J9" s="1037">
        <f>IF(A9='Data Entry - SOF'!B$2,'Data Entry - SOF'!G$102,0)</f>
        <v>0</v>
      </c>
      <c r="K9" s="717">
        <f t="shared" si="3"/>
        <v>2553708</v>
      </c>
      <c r="L9" s="944">
        <f>IF(A9='Data Entry - SOF'!B$2,'Report-SOF2021'!D$99,0)</f>
        <v>0</v>
      </c>
      <c r="M9" s="723">
        <f>IF(A9='Data Entry - SOF'!B$2,'Data Entry - SOF'!M$102,0)</f>
        <v>0</v>
      </c>
      <c r="N9" s="717">
        <f t="shared" si="4"/>
        <v>2553708</v>
      </c>
      <c r="O9" s="944">
        <f>IF(A9='Data Entry - SOF'!B$2,'Report-SOF2122'!D$91,0)</f>
        <v>0</v>
      </c>
      <c r="P9" s="723">
        <f>IF(A9='Data Entry - SOF'!B$2,'Data Entry - SOF'!O$102,0)</f>
        <v>0</v>
      </c>
      <c r="Q9" s="601">
        <f t="shared" si="1"/>
        <v>2553708</v>
      </c>
      <c r="R9" s="944">
        <f>IF(A9='Data Entry - SOF'!B$2,'Report-SOF2223'!D$91,0)</f>
        <v>0</v>
      </c>
      <c r="S9" s="723">
        <f>IF(A9='Data Entry - SOF'!B$2,'Data Entry - SOF'!Q$102,0)</f>
        <v>0</v>
      </c>
      <c r="T9" s="601">
        <f t="shared" si="5"/>
        <v>2553708</v>
      </c>
      <c r="U9" s="944">
        <f>IF(A9='Data Entry - SOF'!B$2,'Report-SOF2324'!D$91,0)</f>
        <v>0</v>
      </c>
      <c r="V9" s="723">
        <f>IF(A9='Data Entry - SOF'!B$2,'Data Entry - SOF'!S$102,0)</f>
        <v>0</v>
      </c>
    </row>
    <row r="10" spans="1:22" ht="15.75">
      <c r="A10" s="382" t="s">
        <v>1099</v>
      </c>
      <c r="B10" s="91">
        <v>407629</v>
      </c>
      <c r="C10" s="944">
        <f>IF(A10='Data Entry - SOF'!B$2,'Report-SOF1718'!D$102,0)</f>
        <v>0</v>
      </c>
      <c r="D10" s="1037">
        <f>IF(A10='Data Entry - SOF'!B$2,'Data Entry - SOF'!#REF!,0)</f>
        <v>0</v>
      </c>
      <c r="E10" s="91">
        <f t="shared" si="0"/>
        <v>407629</v>
      </c>
      <c r="F10" s="944">
        <f>IF(A10='Data Entry - SOF'!B$2,'Report-SOF1819'!D$102,0)</f>
        <v>0</v>
      </c>
      <c r="G10" s="1037">
        <f>IF(A10='Data Entry - SOF'!B$2,'Data Entry - SOF'!E$102,0)</f>
        <v>0</v>
      </c>
      <c r="H10" s="1038">
        <f t="shared" si="2"/>
        <v>407629</v>
      </c>
      <c r="I10" s="944">
        <f>IF(A10='Data Entry - SOF'!B$2,'Report-SOF1920-HB3'!D$102,0)</f>
        <v>0</v>
      </c>
      <c r="J10" s="1037">
        <f>IF(A10='Data Entry - SOF'!B$2,'Data Entry - SOF'!G$102,0)</f>
        <v>0</v>
      </c>
      <c r="K10" s="717">
        <f t="shared" si="3"/>
        <v>407629</v>
      </c>
      <c r="L10" s="944">
        <f>IF(A10='Data Entry - SOF'!B$2,'Report-SOF2021'!D$99,0)</f>
        <v>0</v>
      </c>
      <c r="M10" s="723">
        <f>IF(A10='Data Entry - SOF'!B$2,'Data Entry - SOF'!M$102,0)</f>
        <v>0</v>
      </c>
      <c r="N10" s="717">
        <f t="shared" si="4"/>
        <v>407629</v>
      </c>
      <c r="O10" s="944">
        <f>IF(A10='Data Entry - SOF'!B$2,'Report-SOF2122'!D$91,0)</f>
        <v>0</v>
      </c>
      <c r="P10" s="723">
        <f>IF(A10='Data Entry - SOF'!B$2,'Data Entry - SOF'!O$102,0)</f>
        <v>0</v>
      </c>
      <c r="Q10" s="601">
        <f t="shared" si="1"/>
        <v>407629</v>
      </c>
      <c r="R10" s="944">
        <f>IF(A10='Data Entry - SOF'!B$2,'Report-SOF2223'!D$91,0)</f>
        <v>0</v>
      </c>
      <c r="S10" s="723">
        <f>IF(A10='Data Entry - SOF'!B$2,'Data Entry - SOF'!Q$102,0)</f>
        <v>0</v>
      </c>
      <c r="T10" s="601">
        <f t="shared" si="5"/>
        <v>407629</v>
      </c>
      <c r="U10" s="944">
        <f>IF(A10='Data Entry - SOF'!B$2,'Report-SOF2324'!D$91,0)</f>
        <v>0</v>
      </c>
      <c r="V10" s="723">
        <f>IF(A10='Data Entry - SOF'!B$2,'Data Entry - SOF'!S$102,0)</f>
        <v>0</v>
      </c>
    </row>
    <row r="11" spans="1:22" ht="15.75">
      <c r="A11" s="382" t="s">
        <v>1841</v>
      </c>
      <c r="B11" s="91">
        <v>52404031</v>
      </c>
      <c r="C11" s="944">
        <f>IF(A11='Data Entry - SOF'!B$2,'Report-SOF1718'!D$102,0)</f>
        <v>0</v>
      </c>
      <c r="D11" s="1037">
        <f>IF(A11='Data Entry - SOF'!B$2,'Data Entry - SOF'!#REF!,0)</f>
        <v>0</v>
      </c>
      <c r="E11" s="91">
        <f t="shared" si="0"/>
        <v>52404031</v>
      </c>
      <c r="F11" s="944">
        <f>IF(A11='Data Entry - SOF'!B$2,'Report-SOF1819'!D$102,0)</f>
        <v>0</v>
      </c>
      <c r="G11" s="1037">
        <f>IF(A11='Data Entry - SOF'!B$2,'Data Entry - SOF'!E$102,0)</f>
        <v>0</v>
      </c>
      <c r="H11" s="1038">
        <f t="shared" si="2"/>
        <v>52404031</v>
      </c>
      <c r="I11" s="944">
        <f>IF(A11='Data Entry - SOF'!B$2,'Report-SOF1920-HB3'!D$102,0)</f>
        <v>0</v>
      </c>
      <c r="J11" s="1037">
        <f>IF(A11='Data Entry - SOF'!B$2,'Data Entry - SOF'!G$102,0)</f>
        <v>0</v>
      </c>
      <c r="K11" s="717">
        <f t="shared" si="3"/>
        <v>52404031</v>
      </c>
      <c r="L11" s="944">
        <f>IF(A11='Data Entry - SOF'!B$2,'Report-SOF2021'!D$99,0)</f>
        <v>0</v>
      </c>
      <c r="M11" s="723">
        <f>IF(A11='Data Entry - SOF'!B$2,'Data Entry - SOF'!M$102,0)</f>
        <v>0</v>
      </c>
      <c r="N11" s="717">
        <f t="shared" si="4"/>
        <v>52404031</v>
      </c>
      <c r="O11" s="944">
        <f>IF(A11='Data Entry - SOF'!B$2,'Report-SOF2122'!D$91,0)</f>
        <v>0</v>
      </c>
      <c r="P11" s="723">
        <f>IF(A11='Data Entry - SOF'!B$2,'Data Entry - SOF'!O$102,0)</f>
        <v>0</v>
      </c>
      <c r="Q11" s="601">
        <f t="shared" si="1"/>
        <v>52404031</v>
      </c>
      <c r="R11" s="944">
        <f>IF(A11='Data Entry - SOF'!B$2,'Report-SOF2223'!D$91,0)</f>
        <v>0</v>
      </c>
      <c r="S11" s="723">
        <f>IF(A11='Data Entry - SOF'!B$2,'Data Entry - SOF'!Q$102,0)</f>
        <v>0</v>
      </c>
      <c r="T11" s="601">
        <f t="shared" si="5"/>
        <v>52404031</v>
      </c>
      <c r="U11" s="944">
        <f>IF(A11='Data Entry - SOF'!B$2,'Report-SOF2324'!D$91,0)</f>
        <v>0</v>
      </c>
      <c r="V11" s="723">
        <f>IF(A11='Data Entry - SOF'!B$2,'Data Entry - SOF'!S$102,0)</f>
        <v>0</v>
      </c>
    </row>
    <row r="12" spans="1:22" ht="15.75">
      <c r="A12" s="382" t="s">
        <v>676</v>
      </c>
      <c r="B12" s="91">
        <v>276996</v>
      </c>
      <c r="C12" s="944">
        <f>IF(A12='Data Entry - SOF'!B$2,'Report-SOF1718'!D$102,0)</f>
        <v>0</v>
      </c>
      <c r="D12" s="1037">
        <f>IF(A12='Data Entry - SOF'!B$2,'Data Entry - SOF'!#REF!,0)</f>
        <v>0</v>
      </c>
      <c r="E12" s="91">
        <f t="shared" si="0"/>
        <v>276996</v>
      </c>
      <c r="F12" s="944">
        <f>IF(A12='Data Entry - SOF'!B$2,'Report-SOF1819'!D$102,0)</f>
        <v>0</v>
      </c>
      <c r="G12" s="1037">
        <f>IF(A12='Data Entry - SOF'!B$2,'Data Entry - SOF'!E$102,0)</f>
        <v>0</v>
      </c>
      <c r="H12" s="1038">
        <f t="shared" si="2"/>
        <v>276996</v>
      </c>
      <c r="I12" s="944">
        <f>IF(A12='Data Entry - SOF'!B$2,'Report-SOF1920-HB3'!D$102,0)</f>
        <v>0</v>
      </c>
      <c r="J12" s="1037">
        <f>IF(A12='Data Entry - SOF'!B$2,'Data Entry - SOF'!G$102,0)</f>
        <v>0</v>
      </c>
      <c r="K12" s="717">
        <f t="shared" si="3"/>
        <v>276996</v>
      </c>
      <c r="L12" s="944">
        <f>IF(A12='Data Entry - SOF'!B$2,'Report-SOF2021'!D$99,0)</f>
        <v>0</v>
      </c>
      <c r="M12" s="723">
        <f>IF(A12='Data Entry - SOF'!B$2,'Data Entry - SOF'!M$102,0)</f>
        <v>0</v>
      </c>
      <c r="N12" s="717">
        <f t="shared" si="4"/>
        <v>276996</v>
      </c>
      <c r="O12" s="944">
        <f>IF(A12='Data Entry - SOF'!B$2,'Report-SOF2122'!D$91,0)</f>
        <v>0</v>
      </c>
      <c r="P12" s="723">
        <f>IF(A12='Data Entry - SOF'!B$2,'Data Entry - SOF'!O$102,0)</f>
        <v>0</v>
      </c>
      <c r="Q12" s="601">
        <f t="shared" si="1"/>
        <v>276996</v>
      </c>
      <c r="R12" s="944">
        <f>IF(A12='Data Entry - SOF'!B$2,'Report-SOF2223'!D$91,0)</f>
        <v>0</v>
      </c>
      <c r="S12" s="723">
        <f>IF(A12='Data Entry - SOF'!B$2,'Data Entry - SOF'!Q$102,0)</f>
        <v>0</v>
      </c>
      <c r="T12" s="601">
        <f t="shared" si="5"/>
        <v>276996</v>
      </c>
      <c r="U12" s="944">
        <f>IF(A12='Data Entry - SOF'!B$2,'Report-SOF2324'!D$91,0)</f>
        <v>0</v>
      </c>
      <c r="V12" s="723">
        <f>IF(A12='Data Entry - SOF'!B$2,'Data Entry - SOF'!S$102,0)</f>
        <v>0</v>
      </c>
    </row>
    <row r="13" spans="1:22" ht="15.75">
      <c r="A13" s="382" t="s">
        <v>1452</v>
      </c>
      <c r="B13" s="91">
        <v>10296776</v>
      </c>
      <c r="C13" s="944">
        <f>IF(A13='Data Entry - SOF'!B$2,'Report-SOF1718'!D$102,0)</f>
        <v>0</v>
      </c>
      <c r="D13" s="1037">
        <f>IF(A13='Data Entry - SOF'!B$2,'Data Entry - SOF'!#REF!,0)</f>
        <v>0</v>
      </c>
      <c r="E13" s="91">
        <f t="shared" si="0"/>
        <v>10296776</v>
      </c>
      <c r="F13" s="944">
        <f>IF(A13='Data Entry - SOF'!B$2,'Report-SOF1819'!D$102,0)</f>
        <v>0</v>
      </c>
      <c r="G13" s="1037">
        <f>IF(A13='Data Entry - SOF'!B$2,'Data Entry - SOF'!E$102,0)</f>
        <v>0</v>
      </c>
      <c r="H13" s="1038">
        <f t="shared" si="2"/>
        <v>10296776</v>
      </c>
      <c r="I13" s="944">
        <f>IF(A13='Data Entry - SOF'!B$2,'Report-SOF1920-HB3'!D$102,0)</f>
        <v>0</v>
      </c>
      <c r="J13" s="1037">
        <f>IF(A13='Data Entry - SOF'!B$2,'Data Entry - SOF'!G$102,0)</f>
        <v>0</v>
      </c>
      <c r="K13" s="717">
        <f t="shared" si="3"/>
        <v>10296776</v>
      </c>
      <c r="L13" s="944">
        <f>IF(A13='Data Entry - SOF'!B$2,'Report-SOF2021'!D$99,0)</f>
        <v>0</v>
      </c>
      <c r="M13" s="723">
        <f>IF(A13='Data Entry - SOF'!B$2,'Data Entry - SOF'!M$102,0)</f>
        <v>0</v>
      </c>
      <c r="N13" s="717">
        <f t="shared" si="4"/>
        <v>10296776</v>
      </c>
      <c r="O13" s="944">
        <f>IF(A13='Data Entry - SOF'!B$2,'Report-SOF2122'!D$91,0)</f>
        <v>0</v>
      </c>
      <c r="P13" s="723">
        <f>IF(A13='Data Entry - SOF'!B$2,'Data Entry - SOF'!O$102,0)</f>
        <v>0</v>
      </c>
      <c r="Q13" s="601">
        <f t="shared" si="1"/>
        <v>10296776</v>
      </c>
      <c r="R13" s="944">
        <f>IF(A13='Data Entry - SOF'!B$2,'Report-SOF2223'!D$91,0)</f>
        <v>0</v>
      </c>
      <c r="S13" s="723">
        <f>IF(A13='Data Entry - SOF'!B$2,'Data Entry - SOF'!Q$102,0)</f>
        <v>0</v>
      </c>
      <c r="T13" s="601">
        <f t="shared" si="5"/>
        <v>10296776</v>
      </c>
      <c r="U13" s="944">
        <f>IF(A13='Data Entry - SOF'!B$2,'Report-SOF2324'!D$91,0)</f>
        <v>0</v>
      </c>
      <c r="V13" s="723">
        <f>IF(A13='Data Entry - SOF'!B$2,'Data Entry - SOF'!S$102,0)</f>
        <v>0</v>
      </c>
    </row>
    <row r="14" spans="1:22" ht="15.75">
      <c r="A14" s="382" t="s">
        <v>1118</v>
      </c>
      <c r="B14" s="91">
        <v>742193</v>
      </c>
      <c r="C14" s="944">
        <f>IF(A14='Data Entry - SOF'!B$2,'Report-SOF1718'!D$102,0)</f>
        <v>0</v>
      </c>
      <c r="D14" s="1037">
        <f>IF(A14='Data Entry - SOF'!B$2,'Data Entry - SOF'!#REF!,0)</f>
        <v>0</v>
      </c>
      <c r="E14" s="91">
        <f t="shared" si="0"/>
        <v>742193</v>
      </c>
      <c r="F14" s="944">
        <f>IF(A14='Data Entry - SOF'!B$2,'Report-SOF1819'!D$102,0)</f>
        <v>0</v>
      </c>
      <c r="G14" s="1037">
        <f>IF(A14='Data Entry - SOF'!B$2,'Data Entry - SOF'!E$102,0)</f>
        <v>0</v>
      </c>
      <c r="H14" s="1038">
        <f t="shared" si="2"/>
        <v>742193</v>
      </c>
      <c r="I14" s="944">
        <f>IF(A14='Data Entry - SOF'!B$2,'Report-SOF1920-HB3'!D$102,0)</f>
        <v>0</v>
      </c>
      <c r="J14" s="1037">
        <f>IF(A14='Data Entry - SOF'!B$2,'Data Entry - SOF'!G$102,0)</f>
        <v>0</v>
      </c>
      <c r="K14" s="717">
        <f t="shared" si="3"/>
        <v>742193</v>
      </c>
      <c r="L14" s="944">
        <f>IF(A14='Data Entry - SOF'!B$2,'Report-SOF2021'!D$99,0)</f>
        <v>0</v>
      </c>
      <c r="M14" s="723">
        <f>IF(A14='Data Entry - SOF'!B$2,'Data Entry - SOF'!M$102,0)</f>
        <v>0</v>
      </c>
      <c r="N14" s="717">
        <f t="shared" si="4"/>
        <v>742193</v>
      </c>
      <c r="O14" s="944">
        <f>IF(A14='Data Entry - SOF'!B$2,'Report-SOF2122'!D$91,0)</f>
        <v>0</v>
      </c>
      <c r="P14" s="723">
        <f>IF(A14='Data Entry - SOF'!B$2,'Data Entry - SOF'!O$102,0)</f>
        <v>0</v>
      </c>
      <c r="Q14" s="601">
        <f t="shared" si="1"/>
        <v>742193</v>
      </c>
      <c r="R14" s="944">
        <f>IF(A14='Data Entry - SOF'!B$2,'Report-SOF2223'!D$91,0)</f>
        <v>0</v>
      </c>
      <c r="S14" s="723">
        <f>IF(A14='Data Entry - SOF'!B$2,'Data Entry - SOF'!Q$102,0)</f>
        <v>0</v>
      </c>
      <c r="T14" s="601">
        <f t="shared" si="5"/>
        <v>742193</v>
      </c>
      <c r="U14" s="944">
        <f>IF(A14='Data Entry - SOF'!B$2,'Report-SOF2324'!D$91,0)</f>
        <v>0</v>
      </c>
      <c r="V14" s="723">
        <f>IF(A14='Data Entry - SOF'!B$2,'Data Entry - SOF'!S$102,0)</f>
        <v>0</v>
      </c>
    </row>
    <row r="15" spans="1:22" ht="15.75">
      <c r="A15" s="382" t="s">
        <v>337</v>
      </c>
      <c r="B15" s="91">
        <v>0</v>
      </c>
      <c r="C15" s="944">
        <f>IF(A15='Data Entry - SOF'!B$2,'Report-SOF1718'!D$102,0)</f>
        <v>0</v>
      </c>
      <c r="D15" s="1037">
        <f>IF(A15='Data Entry - SOF'!B$2,'Data Entry - SOF'!#REF!,0)</f>
        <v>0</v>
      </c>
      <c r="E15" s="91">
        <f t="shared" si="0"/>
        <v>0</v>
      </c>
      <c r="F15" s="944">
        <f>IF(A15='Data Entry - SOF'!B$2,'Report-SOF1819'!D$102,0)</f>
        <v>0</v>
      </c>
      <c r="G15" s="1037">
        <f>IF(A15='Data Entry - SOF'!B$2,'Data Entry - SOF'!E$102,0)</f>
        <v>0</v>
      </c>
      <c r="H15" s="1038">
        <f t="shared" si="2"/>
        <v>0</v>
      </c>
      <c r="I15" s="944">
        <f>IF(A15='Data Entry - SOF'!B$2,'Report-SOF1920-HB3'!D$102,0)</f>
        <v>0</v>
      </c>
      <c r="J15" s="1037">
        <f>IF(A15='Data Entry - SOF'!B$2,'Data Entry - SOF'!G$102,0)</f>
        <v>0</v>
      </c>
      <c r="K15" s="717">
        <f t="shared" si="3"/>
        <v>0</v>
      </c>
      <c r="L15" s="944">
        <f>IF(A15='Data Entry - SOF'!B$2,'Report-SOF2021'!D$99,0)</f>
        <v>0</v>
      </c>
      <c r="M15" s="723">
        <f>IF(A15='Data Entry - SOF'!B$2,'Data Entry - SOF'!M$102,0)</f>
        <v>0</v>
      </c>
      <c r="N15" s="717">
        <f t="shared" si="4"/>
        <v>0</v>
      </c>
      <c r="O15" s="944">
        <f>IF(A15='Data Entry - SOF'!B$2,'Report-SOF2122'!D$91,0)</f>
        <v>0</v>
      </c>
      <c r="P15" s="723">
        <f>IF(A15='Data Entry - SOF'!B$2,'Data Entry - SOF'!O$102,0)</f>
        <v>0</v>
      </c>
      <c r="Q15" s="601">
        <f t="shared" si="1"/>
        <v>0</v>
      </c>
      <c r="R15" s="944">
        <f>IF(A15='Data Entry - SOF'!B$2,'Report-SOF2223'!D$91,0)</f>
        <v>0</v>
      </c>
      <c r="S15" s="723">
        <f>IF(A15='Data Entry - SOF'!B$2,'Data Entry - SOF'!Q$102,0)</f>
        <v>0</v>
      </c>
      <c r="T15" s="601">
        <f t="shared" si="5"/>
        <v>0</v>
      </c>
      <c r="U15" s="944">
        <f>IF(A15='Data Entry - SOF'!B$2,'Report-SOF2324'!D$91,0)</f>
        <v>0</v>
      </c>
      <c r="V15" s="723">
        <f>IF(A15='Data Entry - SOF'!B$2,'Data Entry - SOF'!S$102,0)</f>
        <v>0</v>
      </c>
    </row>
    <row r="16" spans="1:22" ht="15.75">
      <c r="A16" s="382" t="s">
        <v>338</v>
      </c>
      <c r="B16" s="91">
        <v>718065</v>
      </c>
      <c r="C16" s="944">
        <f>IF(A16='Data Entry - SOF'!B$2,'Report-SOF1718'!D$102,0)</f>
        <v>0</v>
      </c>
      <c r="D16" s="1037">
        <f>IF(A16='Data Entry - SOF'!B$2,'Data Entry - SOF'!#REF!,0)</f>
        <v>0</v>
      </c>
      <c r="E16" s="91">
        <f t="shared" si="0"/>
        <v>718065</v>
      </c>
      <c r="F16" s="944">
        <f>IF(A16='Data Entry - SOF'!B$2,'Report-SOF1819'!D$102,0)</f>
        <v>0</v>
      </c>
      <c r="G16" s="1037">
        <f>IF(A16='Data Entry - SOF'!B$2,'Data Entry - SOF'!E$102,0)</f>
        <v>0</v>
      </c>
      <c r="H16" s="1038">
        <f t="shared" si="2"/>
        <v>718065</v>
      </c>
      <c r="I16" s="944">
        <f>IF(A16='Data Entry - SOF'!B$2,'Report-SOF1920-HB3'!D$102,0)</f>
        <v>0</v>
      </c>
      <c r="J16" s="1037">
        <f>IF(A16='Data Entry - SOF'!B$2,'Data Entry - SOF'!G$102,0)</f>
        <v>0</v>
      </c>
      <c r="K16" s="717">
        <f t="shared" si="3"/>
        <v>718065</v>
      </c>
      <c r="L16" s="944">
        <f>IF(A16='Data Entry - SOF'!B$2,'Report-SOF2021'!D$99,0)</f>
        <v>0</v>
      </c>
      <c r="M16" s="723">
        <f>IF(A16='Data Entry - SOF'!B$2,'Data Entry - SOF'!M$102,0)</f>
        <v>0</v>
      </c>
      <c r="N16" s="717">
        <f t="shared" si="4"/>
        <v>718065</v>
      </c>
      <c r="O16" s="944">
        <f>IF(A16='Data Entry - SOF'!B$2,'Report-SOF2122'!D$91,0)</f>
        <v>0</v>
      </c>
      <c r="P16" s="723">
        <f>IF(A16='Data Entry - SOF'!B$2,'Data Entry - SOF'!O$102,0)</f>
        <v>0</v>
      </c>
      <c r="Q16" s="601">
        <f t="shared" si="1"/>
        <v>718065</v>
      </c>
      <c r="R16" s="944">
        <f>IF(A16='Data Entry - SOF'!B$2,'Report-SOF2223'!D$91,0)</f>
        <v>0</v>
      </c>
      <c r="S16" s="723">
        <f>IF(A16='Data Entry - SOF'!B$2,'Data Entry - SOF'!Q$102,0)</f>
        <v>0</v>
      </c>
      <c r="T16" s="601">
        <f t="shared" si="5"/>
        <v>718065</v>
      </c>
      <c r="U16" s="944">
        <f>IF(A16='Data Entry - SOF'!B$2,'Report-SOF2324'!D$91,0)</f>
        <v>0</v>
      </c>
      <c r="V16" s="723">
        <f>IF(A16='Data Entry - SOF'!B$2,'Data Entry - SOF'!S$102,0)</f>
        <v>0</v>
      </c>
    </row>
    <row r="17" spans="1:22" ht="15.75">
      <c r="A17" s="382" t="s">
        <v>339</v>
      </c>
      <c r="B17" s="91">
        <v>1294780</v>
      </c>
      <c r="C17" s="944">
        <f>IF(A17='Data Entry - SOF'!B$2,'Report-SOF1718'!D$102,0)</f>
        <v>0</v>
      </c>
      <c r="D17" s="1037">
        <f>IF(A17='Data Entry - SOF'!B$2,'Data Entry - SOF'!#REF!,0)</f>
        <v>0</v>
      </c>
      <c r="E17" s="91">
        <f t="shared" si="0"/>
        <v>1294780</v>
      </c>
      <c r="F17" s="944">
        <f>IF(A17='Data Entry - SOF'!B$2,'Report-SOF1819'!D$102,0)</f>
        <v>0</v>
      </c>
      <c r="G17" s="1037">
        <f>IF(A17='Data Entry - SOF'!B$2,'Data Entry - SOF'!E$102,0)</f>
        <v>0</v>
      </c>
      <c r="H17" s="1038">
        <f t="shared" si="2"/>
        <v>1294780</v>
      </c>
      <c r="I17" s="944">
        <f>IF(A17='Data Entry - SOF'!B$2,'Report-SOF1920-HB3'!D$102,0)</f>
        <v>0</v>
      </c>
      <c r="J17" s="1037">
        <f>IF(A17='Data Entry - SOF'!B$2,'Data Entry - SOF'!G$102,0)</f>
        <v>0</v>
      </c>
      <c r="K17" s="717">
        <f t="shared" si="3"/>
        <v>1294780</v>
      </c>
      <c r="L17" s="944">
        <f>IF(A17='Data Entry - SOF'!B$2,'Report-SOF2021'!D$99,0)</f>
        <v>0</v>
      </c>
      <c r="M17" s="723">
        <f>IF(A17='Data Entry - SOF'!B$2,'Data Entry - SOF'!M$102,0)</f>
        <v>0</v>
      </c>
      <c r="N17" s="717">
        <f t="shared" si="4"/>
        <v>1294780</v>
      </c>
      <c r="O17" s="944">
        <f>IF(A17='Data Entry - SOF'!B$2,'Report-SOF2122'!D$91,0)</f>
        <v>0</v>
      </c>
      <c r="P17" s="723">
        <f>IF(A17='Data Entry - SOF'!B$2,'Data Entry - SOF'!O$102,0)</f>
        <v>0</v>
      </c>
      <c r="Q17" s="601">
        <f t="shared" si="1"/>
        <v>1294780</v>
      </c>
      <c r="R17" s="944">
        <f>IF(A17='Data Entry - SOF'!B$2,'Report-SOF2223'!D$91,0)</f>
        <v>0</v>
      </c>
      <c r="S17" s="723">
        <f>IF(A17='Data Entry - SOF'!B$2,'Data Entry - SOF'!Q$102,0)</f>
        <v>0</v>
      </c>
      <c r="T17" s="601">
        <f t="shared" si="5"/>
        <v>1294780</v>
      </c>
      <c r="U17" s="944">
        <f>IF(A17='Data Entry - SOF'!B$2,'Report-SOF2324'!D$91,0)</f>
        <v>0</v>
      </c>
      <c r="V17" s="723">
        <f>IF(A17='Data Entry - SOF'!B$2,'Data Entry - SOF'!S$102,0)</f>
        <v>0</v>
      </c>
    </row>
    <row r="18" spans="1:22" ht="15.75">
      <c r="A18" s="382" t="s">
        <v>2479</v>
      </c>
      <c r="B18" s="91">
        <v>24116104</v>
      </c>
      <c r="C18" s="944">
        <f>IF(A18='Data Entry - SOF'!B$2,'Report-SOF1718'!D$102,0)</f>
        <v>0</v>
      </c>
      <c r="D18" s="1037">
        <f>IF(A18='Data Entry - SOF'!B$2,'Data Entry - SOF'!#REF!,0)</f>
        <v>0</v>
      </c>
      <c r="E18" s="91">
        <f t="shared" si="0"/>
        <v>24116104</v>
      </c>
      <c r="F18" s="944">
        <f>IF(A18='Data Entry - SOF'!B$2,'Report-SOF1819'!D$102,0)</f>
        <v>0</v>
      </c>
      <c r="G18" s="1037">
        <f>IF(A18='Data Entry - SOF'!B$2,'Data Entry - SOF'!E$102,0)</f>
        <v>0</v>
      </c>
      <c r="H18" s="1038">
        <f t="shared" si="2"/>
        <v>24116104</v>
      </c>
      <c r="I18" s="944">
        <f>IF(A18='Data Entry - SOF'!B$2,'Report-SOF1920-HB3'!D$102,0)</f>
        <v>0</v>
      </c>
      <c r="J18" s="1037">
        <f>IF(A18='Data Entry - SOF'!B$2,'Data Entry - SOF'!G$102,0)</f>
        <v>0</v>
      </c>
      <c r="K18" s="717">
        <f t="shared" si="3"/>
        <v>24116104</v>
      </c>
      <c r="L18" s="944">
        <f>IF(A18='Data Entry - SOF'!B$2,'Report-SOF2021'!D$99,0)</f>
        <v>0</v>
      </c>
      <c r="M18" s="723">
        <f>IF(A18='Data Entry - SOF'!B$2,'Data Entry - SOF'!M$102,0)</f>
        <v>0</v>
      </c>
      <c r="N18" s="717">
        <f t="shared" si="4"/>
        <v>24116104</v>
      </c>
      <c r="O18" s="944">
        <f>IF(A18='Data Entry - SOF'!B$2,'Report-SOF2122'!D$91,0)</f>
        <v>0</v>
      </c>
      <c r="P18" s="723">
        <f>IF(A18='Data Entry - SOF'!B$2,'Data Entry - SOF'!O$102,0)</f>
        <v>0</v>
      </c>
      <c r="Q18" s="601">
        <f t="shared" si="1"/>
        <v>24116104</v>
      </c>
      <c r="R18" s="944">
        <f>IF(A18='Data Entry - SOF'!B$2,'Report-SOF2223'!D$91,0)</f>
        <v>0</v>
      </c>
      <c r="S18" s="723">
        <f>IF(A18='Data Entry - SOF'!B$2,'Data Entry - SOF'!Q$102,0)</f>
        <v>0</v>
      </c>
      <c r="T18" s="601">
        <f t="shared" si="5"/>
        <v>24116104</v>
      </c>
      <c r="U18" s="944">
        <f>IF(A18='Data Entry - SOF'!B$2,'Report-SOF2324'!D$91,0)</f>
        <v>0</v>
      </c>
      <c r="V18" s="723">
        <f>IF(A18='Data Entry - SOF'!B$2,'Data Entry - SOF'!S$102,0)</f>
        <v>0</v>
      </c>
    </row>
    <row r="19" spans="1:22" ht="15.75">
      <c r="A19" s="382" t="s">
        <v>2480</v>
      </c>
      <c r="B19" s="91">
        <v>6569573</v>
      </c>
      <c r="C19" s="944">
        <f>IF(A19='Data Entry - SOF'!B$2,'Report-SOF1718'!D$102,0)</f>
        <v>0</v>
      </c>
      <c r="D19" s="1037">
        <f>IF(A19='Data Entry - SOF'!B$2,'Data Entry - SOF'!#REF!,0)</f>
        <v>0</v>
      </c>
      <c r="E19" s="91">
        <f t="shared" si="0"/>
        <v>6569573</v>
      </c>
      <c r="F19" s="944">
        <f>IF(A19='Data Entry - SOF'!B$2,'Report-SOF1819'!D$102,0)</f>
        <v>0</v>
      </c>
      <c r="G19" s="1037">
        <f>IF(A19='Data Entry - SOF'!B$2,'Data Entry - SOF'!E$102,0)</f>
        <v>0</v>
      </c>
      <c r="H19" s="1038">
        <f t="shared" si="2"/>
        <v>6569573</v>
      </c>
      <c r="I19" s="944">
        <f>IF(A19='Data Entry - SOF'!B$2,'Report-SOF1920-HB3'!D$102,0)</f>
        <v>0</v>
      </c>
      <c r="J19" s="1037">
        <f>IF(A19='Data Entry - SOF'!B$2,'Data Entry - SOF'!G$102,0)</f>
        <v>0</v>
      </c>
      <c r="K19" s="717">
        <f t="shared" si="3"/>
        <v>6569573</v>
      </c>
      <c r="L19" s="944">
        <f>IF(A19='Data Entry - SOF'!B$2,'Report-SOF2021'!D$99,0)</f>
        <v>0</v>
      </c>
      <c r="M19" s="723">
        <f>IF(A19='Data Entry - SOF'!B$2,'Data Entry - SOF'!M$102,0)</f>
        <v>0</v>
      </c>
      <c r="N19" s="717">
        <f t="shared" si="4"/>
        <v>6569573</v>
      </c>
      <c r="O19" s="944">
        <f>IF(A19='Data Entry - SOF'!B$2,'Report-SOF2122'!D$91,0)</f>
        <v>0</v>
      </c>
      <c r="P19" s="723">
        <f>IF(A19='Data Entry - SOF'!B$2,'Data Entry - SOF'!O$102,0)</f>
        <v>0</v>
      </c>
      <c r="Q19" s="601">
        <f t="shared" si="1"/>
        <v>6569573</v>
      </c>
      <c r="R19" s="944">
        <f>IF(A19='Data Entry - SOF'!B$2,'Report-SOF2223'!D$91,0)</f>
        <v>0</v>
      </c>
      <c r="S19" s="723">
        <f>IF(A19='Data Entry - SOF'!B$2,'Data Entry - SOF'!Q$102,0)</f>
        <v>0</v>
      </c>
      <c r="T19" s="601">
        <f t="shared" si="5"/>
        <v>6569573</v>
      </c>
      <c r="U19" s="944">
        <f>IF(A19='Data Entry - SOF'!B$2,'Report-SOF2324'!D$91,0)</f>
        <v>0</v>
      </c>
      <c r="V19" s="723">
        <f>IF(A19='Data Entry - SOF'!B$2,'Data Entry - SOF'!S$102,0)</f>
        <v>0</v>
      </c>
    </row>
    <row r="20" spans="1:22" ht="15.75">
      <c r="A20" s="382" t="s">
        <v>2481</v>
      </c>
      <c r="B20" s="91">
        <v>5713130</v>
      </c>
      <c r="C20" s="944">
        <f>IF(A20='Data Entry - SOF'!B$2,'Report-SOF1718'!D$102,0)</f>
        <v>0</v>
      </c>
      <c r="D20" s="1037">
        <f>IF(A20='Data Entry - SOF'!B$2,'Data Entry - SOF'!#REF!,0)</f>
        <v>0</v>
      </c>
      <c r="E20" s="91">
        <f t="shared" si="0"/>
        <v>5713130</v>
      </c>
      <c r="F20" s="944">
        <f>IF(A20='Data Entry - SOF'!B$2,'Report-SOF1819'!D$102,0)</f>
        <v>0</v>
      </c>
      <c r="G20" s="1037">
        <f>IF(A20='Data Entry - SOF'!B$2,'Data Entry - SOF'!E$102,0)</f>
        <v>0</v>
      </c>
      <c r="H20" s="1038">
        <f t="shared" si="2"/>
        <v>5713130</v>
      </c>
      <c r="I20" s="944">
        <f>IF(A20='Data Entry - SOF'!B$2,'Report-SOF1920-HB3'!D$102,0)</f>
        <v>0</v>
      </c>
      <c r="J20" s="1037">
        <f>IF(A20='Data Entry - SOF'!B$2,'Data Entry - SOF'!G$102,0)</f>
        <v>0</v>
      </c>
      <c r="K20" s="717">
        <f t="shared" si="3"/>
        <v>5713130</v>
      </c>
      <c r="L20" s="944">
        <f>IF(A20='Data Entry - SOF'!B$2,'Report-SOF2021'!D$99,0)</f>
        <v>0</v>
      </c>
      <c r="M20" s="723">
        <f>IF(A20='Data Entry - SOF'!B$2,'Data Entry - SOF'!M$102,0)</f>
        <v>0</v>
      </c>
      <c r="N20" s="717">
        <f t="shared" si="4"/>
        <v>5713130</v>
      </c>
      <c r="O20" s="944">
        <f>IF(A20='Data Entry - SOF'!B$2,'Report-SOF2122'!D$91,0)</f>
        <v>0</v>
      </c>
      <c r="P20" s="723">
        <f>IF(A20='Data Entry - SOF'!B$2,'Data Entry - SOF'!O$102,0)</f>
        <v>0</v>
      </c>
      <c r="Q20" s="601">
        <f t="shared" si="1"/>
        <v>5713130</v>
      </c>
      <c r="R20" s="944">
        <f>IF(A20='Data Entry - SOF'!B$2,'Report-SOF2223'!D$91,0)</f>
        <v>0</v>
      </c>
      <c r="S20" s="723">
        <f>IF(A20='Data Entry - SOF'!B$2,'Data Entry - SOF'!Q$102,0)</f>
        <v>0</v>
      </c>
      <c r="T20" s="601">
        <f t="shared" si="5"/>
        <v>5713130</v>
      </c>
      <c r="U20" s="944">
        <f>IF(A20='Data Entry - SOF'!B$2,'Report-SOF2324'!D$91,0)</f>
        <v>0</v>
      </c>
      <c r="V20" s="723">
        <f>IF(A20='Data Entry - SOF'!B$2,'Data Entry - SOF'!S$102,0)</f>
        <v>0</v>
      </c>
    </row>
    <row r="21" spans="1:22" ht="15.75">
      <c r="A21" s="382" t="s">
        <v>1945</v>
      </c>
      <c r="B21" s="91">
        <v>1184641</v>
      </c>
      <c r="C21" s="944">
        <f>IF(A21='Data Entry - SOF'!B$2,'Report-SOF1718'!D$102,0)</f>
        <v>0</v>
      </c>
      <c r="D21" s="1037">
        <f>IF(A21='Data Entry - SOF'!B$2,'Data Entry - SOF'!#REF!,0)</f>
        <v>0</v>
      </c>
      <c r="E21" s="91">
        <f t="shared" si="0"/>
        <v>1184641</v>
      </c>
      <c r="F21" s="944">
        <f>IF(A21='Data Entry - SOF'!B$2,'Report-SOF1819'!D$102,0)</f>
        <v>0</v>
      </c>
      <c r="G21" s="1037">
        <f>IF(A21='Data Entry - SOF'!B$2,'Data Entry - SOF'!E$102,0)</f>
        <v>0</v>
      </c>
      <c r="H21" s="1038">
        <f t="shared" si="2"/>
        <v>1184641</v>
      </c>
      <c r="I21" s="944">
        <f>IF(A21='Data Entry - SOF'!B$2,'Report-SOF1920-HB3'!D$102,0)</f>
        <v>0</v>
      </c>
      <c r="J21" s="1037">
        <f>IF(A21='Data Entry - SOF'!B$2,'Data Entry - SOF'!G$102,0)</f>
        <v>0</v>
      </c>
      <c r="K21" s="717">
        <f t="shared" si="3"/>
        <v>1184641</v>
      </c>
      <c r="L21" s="944">
        <f>IF(A21='Data Entry - SOF'!B$2,'Report-SOF2021'!D$99,0)</f>
        <v>0</v>
      </c>
      <c r="M21" s="723">
        <f>IF(A21='Data Entry - SOF'!B$2,'Data Entry - SOF'!M$102,0)</f>
        <v>0</v>
      </c>
      <c r="N21" s="717">
        <f t="shared" si="4"/>
        <v>1184641</v>
      </c>
      <c r="O21" s="944">
        <f>IF(A21='Data Entry - SOF'!B$2,'Report-SOF2122'!D$91,0)</f>
        <v>0</v>
      </c>
      <c r="P21" s="723">
        <f>IF(A21='Data Entry - SOF'!B$2,'Data Entry - SOF'!O$102,0)</f>
        <v>0</v>
      </c>
      <c r="Q21" s="601">
        <f t="shared" si="1"/>
        <v>1184641</v>
      </c>
      <c r="R21" s="944">
        <f>IF(A21='Data Entry - SOF'!B$2,'Report-SOF2223'!D$91,0)</f>
        <v>0</v>
      </c>
      <c r="S21" s="723">
        <f>IF(A21='Data Entry - SOF'!B$2,'Data Entry - SOF'!Q$102,0)</f>
        <v>0</v>
      </c>
      <c r="T21" s="601">
        <f t="shared" si="5"/>
        <v>1184641</v>
      </c>
      <c r="U21" s="944">
        <f>IF(A21='Data Entry - SOF'!B$2,'Report-SOF2324'!D$91,0)</f>
        <v>0</v>
      </c>
      <c r="V21" s="723">
        <f>IF(A21='Data Entry - SOF'!B$2,'Data Entry - SOF'!S$102,0)</f>
        <v>0</v>
      </c>
    </row>
    <row r="22" spans="1:22" ht="15.75">
      <c r="A22" s="382" t="s">
        <v>2483</v>
      </c>
      <c r="B22" s="91">
        <v>1552941</v>
      </c>
      <c r="C22" s="944">
        <f>IF(A22='Data Entry - SOF'!B$2,'Report-SOF1718'!D$102,0)</f>
        <v>0</v>
      </c>
      <c r="D22" s="1037">
        <f>IF(A22='Data Entry - SOF'!B$2,'Data Entry - SOF'!#REF!,0)</f>
        <v>0</v>
      </c>
      <c r="E22" s="91">
        <f t="shared" si="0"/>
        <v>1552941</v>
      </c>
      <c r="F22" s="944">
        <f>IF(A22='Data Entry - SOF'!B$2,'Report-SOF1819'!D$102,0)</f>
        <v>0</v>
      </c>
      <c r="G22" s="1037">
        <f>IF(A22='Data Entry - SOF'!B$2,'Data Entry - SOF'!E$102,0)</f>
        <v>0</v>
      </c>
      <c r="H22" s="1038">
        <f t="shared" si="2"/>
        <v>1552941</v>
      </c>
      <c r="I22" s="944">
        <f>IF(A22='Data Entry - SOF'!B$2,'Report-SOF1920-HB3'!D$102,0)</f>
        <v>0</v>
      </c>
      <c r="J22" s="1037">
        <f>IF(A22='Data Entry - SOF'!B$2,'Data Entry - SOF'!G$102,0)</f>
        <v>0</v>
      </c>
      <c r="K22" s="717">
        <f t="shared" si="3"/>
        <v>1552941</v>
      </c>
      <c r="L22" s="944">
        <f>IF(A22='Data Entry - SOF'!B$2,'Report-SOF2021'!D$99,0)</f>
        <v>0</v>
      </c>
      <c r="M22" s="723">
        <f>IF(A22='Data Entry - SOF'!B$2,'Data Entry - SOF'!M$102,0)</f>
        <v>0</v>
      </c>
      <c r="N22" s="717">
        <f t="shared" si="4"/>
        <v>1552941</v>
      </c>
      <c r="O22" s="944">
        <f>IF(A22='Data Entry - SOF'!B$2,'Report-SOF2122'!D$91,0)</f>
        <v>0</v>
      </c>
      <c r="P22" s="723">
        <f>IF(A22='Data Entry - SOF'!B$2,'Data Entry - SOF'!O$102,0)</f>
        <v>0</v>
      </c>
      <c r="Q22" s="601">
        <f t="shared" si="1"/>
        <v>1552941</v>
      </c>
      <c r="R22" s="944">
        <f>IF(A22='Data Entry - SOF'!B$2,'Report-SOF2223'!D$91,0)</f>
        <v>0</v>
      </c>
      <c r="S22" s="723">
        <f>IF(A22='Data Entry - SOF'!B$2,'Data Entry - SOF'!Q$102,0)</f>
        <v>0</v>
      </c>
      <c r="T22" s="601">
        <f t="shared" si="5"/>
        <v>1552941</v>
      </c>
      <c r="U22" s="944">
        <f>IF(A22='Data Entry - SOF'!B$2,'Report-SOF2324'!D$91,0)</f>
        <v>0</v>
      </c>
      <c r="V22" s="723">
        <f>IF(A22='Data Entry - SOF'!B$2,'Data Entry - SOF'!S$102,0)</f>
        <v>0</v>
      </c>
    </row>
    <row r="23" spans="1:22" ht="15.75">
      <c r="A23" s="382" t="s">
        <v>708</v>
      </c>
      <c r="B23" s="91">
        <v>2656916</v>
      </c>
      <c r="C23" s="944">
        <f>IF(A23='Data Entry - SOF'!B$2,'Report-SOF1718'!D$102,0)</f>
        <v>0</v>
      </c>
      <c r="D23" s="1037">
        <f>IF(A23='Data Entry - SOF'!B$2,'Data Entry - SOF'!#REF!,0)</f>
        <v>0</v>
      </c>
      <c r="E23" s="91">
        <f t="shared" si="0"/>
        <v>2656916</v>
      </c>
      <c r="F23" s="944">
        <f>IF(A23='Data Entry - SOF'!B$2,'Report-SOF1819'!D$102,0)</f>
        <v>0</v>
      </c>
      <c r="G23" s="1037">
        <f>IF(A23='Data Entry - SOF'!B$2,'Data Entry - SOF'!E$102,0)</f>
        <v>0</v>
      </c>
      <c r="H23" s="1038">
        <f t="shared" si="2"/>
        <v>2656916</v>
      </c>
      <c r="I23" s="944">
        <f>IF(A23='Data Entry - SOF'!B$2,'Report-SOF1920-HB3'!D$102,0)</f>
        <v>0</v>
      </c>
      <c r="J23" s="1037">
        <f>IF(A23='Data Entry - SOF'!B$2,'Data Entry - SOF'!G$102,0)</f>
        <v>0</v>
      </c>
      <c r="K23" s="717">
        <f t="shared" si="3"/>
        <v>2656916</v>
      </c>
      <c r="L23" s="944">
        <f>IF(A23='Data Entry - SOF'!B$2,'Report-SOF2021'!D$99,0)</f>
        <v>0</v>
      </c>
      <c r="M23" s="723">
        <f>IF(A23='Data Entry - SOF'!B$2,'Data Entry - SOF'!M$102,0)</f>
        <v>0</v>
      </c>
      <c r="N23" s="717">
        <f t="shared" si="4"/>
        <v>2656916</v>
      </c>
      <c r="O23" s="944">
        <f>IF(A23='Data Entry - SOF'!B$2,'Report-SOF2122'!D$91,0)</f>
        <v>0</v>
      </c>
      <c r="P23" s="723">
        <f>IF(A23='Data Entry - SOF'!B$2,'Data Entry - SOF'!O$102,0)</f>
        <v>0</v>
      </c>
      <c r="Q23" s="601">
        <f t="shared" si="1"/>
        <v>2656916</v>
      </c>
      <c r="R23" s="944">
        <f>IF(A23='Data Entry - SOF'!B$2,'Report-SOF2223'!D$91,0)</f>
        <v>0</v>
      </c>
      <c r="S23" s="723">
        <f>IF(A23='Data Entry - SOF'!B$2,'Data Entry - SOF'!Q$102,0)</f>
        <v>0</v>
      </c>
      <c r="T23" s="601">
        <f t="shared" si="5"/>
        <v>2656916</v>
      </c>
      <c r="U23" s="944">
        <f>IF(A23='Data Entry - SOF'!B$2,'Report-SOF2324'!D$91,0)</f>
        <v>0</v>
      </c>
      <c r="V23" s="723">
        <f>IF(A23='Data Entry - SOF'!B$2,'Data Entry - SOF'!S$102,0)</f>
        <v>0</v>
      </c>
    </row>
    <row r="24" spans="1:22" ht="15.75">
      <c r="A24" s="382" t="s">
        <v>2484</v>
      </c>
      <c r="B24" s="91">
        <v>8413824</v>
      </c>
      <c r="C24" s="944">
        <f>IF(A24='Data Entry - SOF'!B$2,'Report-SOF1718'!D$102,0)</f>
        <v>0</v>
      </c>
      <c r="D24" s="1037">
        <f>IF(A24='Data Entry - SOF'!B$2,'Data Entry - SOF'!#REF!,0)</f>
        <v>0</v>
      </c>
      <c r="E24" s="91">
        <f t="shared" si="0"/>
        <v>8413824</v>
      </c>
      <c r="F24" s="944">
        <f>IF(A24='Data Entry - SOF'!B$2,'Report-SOF1819'!D$102,0)</f>
        <v>0</v>
      </c>
      <c r="G24" s="1037">
        <f>IF(A24='Data Entry - SOF'!B$2,'Data Entry - SOF'!E$102,0)</f>
        <v>0</v>
      </c>
      <c r="H24" s="1038">
        <f t="shared" si="2"/>
        <v>8413824</v>
      </c>
      <c r="I24" s="944">
        <f>IF(A24='Data Entry - SOF'!B$2,'Report-SOF1920-HB3'!D$102,0)</f>
        <v>0</v>
      </c>
      <c r="J24" s="1037">
        <f>IF(A24='Data Entry - SOF'!B$2,'Data Entry - SOF'!G$102,0)</f>
        <v>0</v>
      </c>
      <c r="K24" s="717">
        <f t="shared" si="3"/>
        <v>8413824</v>
      </c>
      <c r="L24" s="944">
        <f>IF(A24='Data Entry - SOF'!B$2,'Report-SOF2021'!D$99,0)</f>
        <v>0</v>
      </c>
      <c r="M24" s="723">
        <f>IF(A24='Data Entry - SOF'!B$2,'Data Entry - SOF'!M$102,0)</f>
        <v>0</v>
      </c>
      <c r="N24" s="717">
        <f t="shared" si="4"/>
        <v>8413824</v>
      </c>
      <c r="O24" s="944">
        <f>IF(A24='Data Entry - SOF'!B$2,'Report-SOF2122'!D$91,0)</f>
        <v>0</v>
      </c>
      <c r="P24" s="723">
        <f>IF(A24='Data Entry - SOF'!B$2,'Data Entry - SOF'!O$102,0)</f>
        <v>0</v>
      </c>
      <c r="Q24" s="601">
        <f t="shared" si="1"/>
        <v>8413824</v>
      </c>
      <c r="R24" s="944">
        <f>IF(A24='Data Entry - SOF'!B$2,'Report-SOF2223'!D$91,0)</f>
        <v>0</v>
      </c>
      <c r="S24" s="723">
        <f>IF(A24='Data Entry - SOF'!B$2,'Data Entry - SOF'!Q$102,0)</f>
        <v>0</v>
      </c>
      <c r="T24" s="601">
        <f t="shared" si="5"/>
        <v>8413824</v>
      </c>
      <c r="U24" s="944">
        <f>IF(A24='Data Entry - SOF'!B$2,'Report-SOF2324'!D$91,0)</f>
        <v>0</v>
      </c>
      <c r="V24" s="723">
        <f>IF(A24='Data Entry - SOF'!B$2,'Data Entry - SOF'!S$102,0)</f>
        <v>0</v>
      </c>
    </row>
    <row r="25" spans="1:22" ht="15.75">
      <c r="A25" s="382" t="s">
        <v>2090</v>
      </c>
      <c r="B25" s="91">
        <v>2474433</v>
      </c>
      <c r="C25" s="944">
        <f>IF(A25='Data Entry - SOF'!B$2,'Report-SOF1718'!D$102,0)</f>
        <v>0</v>
      </c>
      <c r="D25" s="1037">
        <f>IF(A25='Data Entry - SOF'!B$2,'Data Entry - SOF'!#REF!,0)</f>
        <v>0</v>
      </c>
      <c r="E25" s="91">
        <f t="shared" si="0"/>
        <v>2474433</v>
      </c>
      <c r="F25" s="944">
        <f>IF(A25='Data Entry - SOF'!B$2,'Report-SOF1819'!D$102,0)</f>
        <v>0</v>
      </c>
      <c r="G25" s="1037">
        <f>IF(A25='Data Entry - SOF'!B$2,'Data Entry - SOF'!E$102,0)</f>
        <v>0</v>
      </c>
      <c r="H25" s="1038">
        <f t="shared" si="2"/>
        <v>2474433</v>
      </c>
      <c r="I25" s="944">
        <f>IF(A25='Data Entry - SOF'!B$2,'Report-SOF1920-HB3'!D$102,0)</f>
        <v>0</v>
      </c>
      <c r="J25" s="1037">
        <f>IF(A25='Data Entry - SOF'!B$2,'Data Entry - SOF'!G$102,0)</f>
        <v>0</v>
      </c>
      <c r="K25" s="717">
        <f t="shared" si="3"/>
        <v>2474433</v>
      </c>
      <c r="L25" s="944">
        <f>IF(A25='Data Entry - SOF'!B$2,'Report-SOF2021'!D$99,0)</f>
        <v>0</v>
      </c>
      <c r="M25" s="723">
        <f>IF(A25='Data Entry - SOF'!B$2,'Data Entry - SOF'!M$102,0)</f>
        <v>0</v>
      </c>
      <c r="N25" s="717">
        <f t="shared" si="4"/>
        <v>2474433</v>
      </c>
      <c r="O25" s="944">
        <f>IF(A25='Data Entry - SOF'!B$2,'Report-SOF2122'!D$91,0)</f>
        <v>0</v>
      </c>
      <c r="P25" s="723">
        <f>IF(A25='Data Entry - SOF'!B$2,'Data Entry - SOF'!O$102,0)</f>
        <v>0</v>
      </c>
      <c r="Q25" s="601">
        <f t="shared" si="1"/>
        <v>2474433</v>
      </c>
      <c r="R25" s="944">
        <f>IF(A25='Data Entry - SOF'!B$2,'Report-SOF2223'!D$91,0)</f>
        <v>0</v>
      </c>
      <c r="S25" s="723">
        <f>IF(A25='Data Entry - SOF'!B$2,'Data Entry - SOF'!Q$102,0)</f>
        <v>0</v>
      </c>
      <c r="T25" s="601">
        <f t="shared" si="5"/>
        <v>2474433</v>
      </c>
      <c r="U25" s="944">
        <f>IF(A25='Data Entry - SOF'!B$2,'Report-SOF2324'!D$91,0)</f>
        <v>0</v>
      </c>
      <c r="V25" s="723">
        <f>IF(A25='Data Entry - SOF'!B$2,'Data Entry - SOF'!S$102,0)</f>
        <v>0</v>
      </c>
    </row>
    <row r="26" spans="1:22" ht="15.75">
      <c r="A26" s="382" t="s">
        <v>213</v>
      </c>
      <c r="B26" s="91">
        <v>35781938</v>
      </c>
      <c r="C26" s="944">
        <f>IF(A26='Data Entry - SOF'!B$2,'Report-SOF1718'!D$102,0)</f>
        <v>0</v>
      </c>
      <c r="D26" s="1037">
        <f>IF(A26='Data Entry - SOF'!B$2,'Data Entry - SOF'!#REF!,0)</f>
        <v>0</v>
      </c>
      <c r="E26" s="91">
        <f t="shared" si="0"/>
        <v>35781938</v>
      </c>
      <c r="F26" s="944">
        <f>IF(A26='Data Entry - SOF'!B$2,'Report-SOF1819'!D$102,0)</f>
        <v>0</v>
      </c>
      <c r="G26" s="1037">
        <f>IF(A26='Data Entry - SOF'!B$2,'Data Entry - SOF'!E$102,0)</f>
        <v>0</v>
      </c>
      <c r="H26" s="1038">
        <f t="shared" si="2"/>
        <v>35781938</v>
      </c>
      <c r="I26" s="944">
        <f>IF(A26='Data Entry - SOF'!B$2,'Report-SOF1920-HB3'!D$102,0)</f>
        <v>0</v>
      </c>
      <c r="J26" s="1037">
        <f>IF(A26='Data Entry - SOF'!B$2,'Data Entry - SOF'!G$102,0)</f>
        <v>0</v>
      </c>
      <c r="K26" s="717">
        <f t="shared" si="3"/>
        <v>35781938</v>
      </c>
      <c r="L26" s="944">
        <f>IF(A26='Data Entry - SOF'!B$2,'Report-SOF2021'!D$99,0)</f>
        <v>0</v>
      </c>
      <c r="M26" s="723">
        <f>IF(A26='Data Entry - SOF'!B$2,'Data Entry - SOF'!M$102,0)</f>
        <v>0</v>
      </c>
      <c r="N26" s="717">
        <f t="shared" si="4"/>
        <v>35781938</v>
      </c>
      <c r="O26" s="944">
        <f>IF(A26='Data Entry - SOF'!B$2,'Report-SOF2122'!D$91,0)</f>
        <v>0</v>
      </c>
      <c r="P26" s="723">
        <f>IF(A26='Data Entry - SOF'!B$2,'Data Entry - SOF'!O$102,0)</f>
        <v>0</v>
      </c>
      <c r="Q26" s="601">
        <f t="shared" si="1"/>
        <v>35781938</v>
      </c>
      <c r="R26" s="944">
        <f>IF(A26='Data Entry - SOF'!B$2,'Report-SOF2223'!D$91,0)</f>
        <v>0</v>
      </c>
      <c r="S26" s="723">
        <f>IF(A26='Data Entry - SOF'!B$2,'Data Entry - SOF'!Q$102,0)</f>
        <v>0</v>
      </c>
      <c r="T26" s="601">
        <f t="shared" si="5"/>
        <v>35781938</v>
      </c>
      <c r="U26" s="944">
        <f>IF(A26='Data Entry - SOF'!B$2,'Report-SOF2324'!D$91,0)</f>
        <v>0</v>
      </c>
      <c r="V26" s="723">
        <f>IF(A26='Data Entry - SOF'!B$2,'Data Entry - SOF'!S$102,0)</f>
        <v>0</v>
      </c>
    </row>
    <row r="27" spans="1:22" ht="15.75">
      <c r="A27" s="382" t="s">
        <v>2133</v>
      </c>
      <c r="B27" s="91">
        <v>996537</v>
      </c>
      <c r="C27" s="944">
        <f>IF(A27='Data Entry - SOF'!B$2,'Report-SOF1718'!D$102,0)</f>
        <v>0</v>
      </c>
      <c r="D27" s="1037">
        <f>IF(A27='Data Entry - SOF'!B$2,'Data Entry - SOF'!#REF!,0)</f>
        <v>0</v>
      </c>
      <c r="E27" s="91">
        <f t="shared" si="0"/>
        <v>996537</v>
      </c>
      <c r="F27" s="944">
        <f>IF(A27='Data Entry - SOF'!B$2,'Report-SOF1819'!D$102,0)</f>
        <v>0</v>
      </c>
      <c r="G27" s="1037">
        <f>IF(A27='Data Entry - SOF'!B$2,'Data Entry - SOF'!E$102,0)</f>
        <v>0</v>
      </c>
      <c r="H27" s="1038">
        <f t="shared" si="2"/>
        <v>996537</v>
      </c>
      <c r="I27" s="944">
        <f>IF(A27='Data Entry - SOF'!B$2,'Report-SOF1920-HB3'!D$102,0)</f>
        <v>0</v>
      </c>
      <c r="J27" s="1037">
        <f>IF(A27='Data Entry - SOF'!B$2,'Data Entry - SOF'!G$102,0)</f>
        <v>0</v>
      </c>
      <c r="K27" s="717">
        <f t="shared" si="3"/>
        <v>996537</v>
      </c>
      <c r="L27" s="944">
        <f>IF(A27='Data Entry - SOF'!B$2,'Report-SOF2021'!D$99,0)</f>
        <v>0</v>
      </c>
      <c r="M27" s="723">
        <f>IF(A27='Data Entry - SOF'!B$2,'Data Entry - SOF'!M$102,0)</f>
        <v>0</v>
      </c>
      <c r="N27" s="717">
        <f t="shared" si="4"/>
        <v>996537</v>
      </c>
      <c r="O27" s="944">
        <f>IF(A27='Data Entry - SOF'!B$2,'Report-SOF2122'!D$91,0)</f>
        <v>0</v>
      </c>
      <c r="P27" s="723">
        <f>IF(A27='Data Entry - SOF'!B$2,'Data Entry - SOF'!O$102,0)</f>
        <v>0</v>
      </c>
      <c r="Q27" s="601">
        <f t="shared" si="1"/>
        <v>996537</v>
      </c>
      <c r="R27" s="944">
        <f>IF(A27='Data Entry - SOF'!B$2,'Report-SOF2223'!D$91,0)</f>
        <v>0</v>
      </c>
      <c r="S27" s="723">
        <f>IF(A27='Data Entry - SOF'!B$2,'Data Entry - SOF'!Q$102,0)</f>
        <v>0</v>
      </c>
      <c r="T27" s="601">
        <f t="shared" si="5"/>
        <v>996537</v>
      </c>
      <c r="U27" s="944">
        <f>IF(A27='Data Entry - SOF'!B$2,'Report-SOF2324'!D$91,0)</f>
        <v>0</v>
      </c>
      <c r="V27" s="723">
        <f>IF(A27='Data Entry - SOF'!B$2,'Data Entry - SOF'!S$102,0)</f>
        <v>0</v>
      </c>
    </row>
    <row r="28" spans="1:22" ht="15.75">
      <c r="A28" s="382" t="s">
        <v>2485</v>
      </c>
      <c r="B28" s="91">
        <v>9881219</v>
      </c>
      <c r="C28" s="944">
        <f>IF(A28='Data Entry - SOF'!B$2,'Report-SOF1718'!D$102,0)</f>
        <v>0</v>
      </c>
      <c r="D28" s="1037">
        <f>IF(A28='Data Entry - SOF'!B$2,'Data Entry - SOF'!#REF!,0)</f>
        <v>0</v>
      </c>
      <c r="E28" s="91">
        <f t="shared" si="0"/>
        <v>9881219</v>
      </c>
      <c r="F28" s="944">
        <f>IF(A28='Data Entry - SOF'!B$2,'Report-SOF1819'!D$102,0)</f>
        <v>0</v>
      </c>
      <c r="G28" s="1037">
        <f>IF(A28='Data Entry - SOF'!B$2,'Data Entry - SOF'!E$102,0)</f>
        <v>0</v>
      </c>
      <c r="H28" s="1038">
        <f t="shared" si="2"/>
        <v>9881219</v>
      </c>
      <c r="I28" s="944">
        <f>IF(A28='Data Entry - SOF'!B$2,'Report-SOF1920-HB3'!D$102,0)</f>
        <v>0</v>
      </c>
      <c r="J28" s="1037">
        <f>IF(A28='Data Entry - SOF'!B$2,'Data Entry - SOF'!G$102,0)</f>
        <v>0</v>
      </c>
      <c r="K28" s="717">
        <f t="shared" si="3"/>
        <v>9881219</v>
      </c>
      <c r="L28" s="944">
        <f>IF(A28='Data Entry - SOF'!B$2,'Report-SOF2021'!D$99,0)</f>
        <v>0</v>
      </c>
      <c r="M28" s="723">
        <f>IF(A28='Data Entry - SOF'!B$2,'Data Entry - SOF'!M$102,0)</f>
        <v>0</v>
      </c>
      <c r="N28" s="717">
        <f t="shared" si="4"/>
        <v>9881219</v>
      </c>
      <c r="O28" s="944">
        <f>IF(A28='Data Entry - SOF'!B$2,'Report-SOF2122'!D$91,0)</f>
        <v>0</v>
      </c>
      <c r="P28" s="723">
        <f>IF(A28='Data Entry - SOF'!B$2,'Data Entry - SOF'!O$102,0)</f>
        <v>0</v>
      </c>
      <c r="Q28" s="601">
        <f t="shared" si="1"/>
        <v>9881219</v>
      </c>
      <c r="R28" s="944">
        <f>IF(A28='Data Entry - SOF'!B$2,'Report-SOF2223'!D$91,0)</f>
        <v>0</v>
      </c>
      <c r="S28" s="723">
        <f>IF(A28='Data Entry - SOF'!B$2,'Data Entry - SOF'!Q$102,0)</f>
        <v>0</v>
      </c>
      <c r="T28" s="601">
        <f t="shared" si="5"/>
        <v>9881219</v>
      </c>
      <c r="U28" s="944">
        <f>IF(A28='Data Entry - SOF'!B$2,'Report-SOF2324'!D$91,0)</f>
        <v>0</v>
      </c>
      <c r="V28" s="723">
        <f>IF(A28='Data Entry - SOF'!B$2,'Data Entry - SOF'!S$102,0)</f>
        <v>0</v>
      </c>
    </row>
    <row r="29" spans="1:22" ht="15.75">
      <c r="A29" s="382" t="s">
        <v>685</v>
      </c>
      <c r="B29" s="91">
        <v>7288705</v>
      </c>
      <c r="C29" s="944">
        <f>IF(A29='Data Entry - SOF'!B$2,'Report-SOF1718'!D$102,0)</f>
        <v>0</v>
      </c>
      <c r="D29" s="1037">
        <f>IF(A29='Data Entry - SOF'!B$2,'Data Entry - SOF'!#REF!,0)</f>
        <v>0</v>
      </c>
      <c r="E29" s="91">
        <f t="shared" si="0"/>
        <v>7288705</v>
      </c>
      <c r="F29" s="944">
        <f>IF(A29='Data Entry - SOF'!B$2,'Report-SOF1819'!D$102,0)</f>
        <v>0</v>
      </c>
      <c r="G29" s="1037">
        <f>IF(A29='Data Entry - SOF'!B$2,'Data Entry - SOF'!E$102,0)</f>
        <v>0</v>
      </c>
      <c r="H29" s="1038">
        <f t="shared" si="2"/>
        <v>7288705</v>
      </c>
      <c r="I29" s="944">
        <f>IF(A29='Data Entry - SOF'!B$2,'Report-SOF1920-HB3'!D$102,0)</f>
        <v>0</v>
      </c>
      <c r="J29" s="1037">
        <f>IF(A29='Data Entry - SOF'!B$2,'Data Entry - SOF'!G$102,0)</f>
        <v>0</v>
      </c>
      <c r="K29" s="717">
        <f t="shared" si="3"/>
        <v>7288705</v>
      </c>
      <c r="L29" s="944">
        <f>IF(A29='Data Entry - SOF'!B$2,'Report-SOF2021'!D$99,0)</f>
        <v>0</v>
      </c>
      <c r="M29" s="723">
        <f>IF(A29='Data Entry - SOF'!B$2,'Data Entry - SOF'!M$102,0)</f>
        <v>0</v>
      </c>
      <c r="N29" s="717">
        <f t="shared" si="4"/>
        <v>7288705</v>
      </c>
      <c r="O29" s="944">
        <f>IF(A29='Data Entry - SOF'!B$2,'Report-SOF2122'!D$91,0)</f>
        <v>0</v>
      </c>
      <c r="P29" s="723">
        <f>IF(A29='Data Entry - SOF'!B$2,'Data Entry - SOF'!O$102,0)</f>
        <v>0</v>
      </c>
      <c r="Q29" s="601">
        <f t="shared" si="1"/>
        <v>7288705</v>
      </c>
      <c r="R29" s="944">
        <f>IF(A29='Data Entry - SOF'!B$2,'Report-SOF2223'!D$91,0)</f>
        <v>0</v>
      </c>
      <c r="S29" s="723">
        <f>IF(A29='Data Entry - SOF'!B$2,'Data Entry - SOF'!Q$102,0)</f>
        <v>0</v>
      </c>
      <c r="T29" s="601">
        <f t="shared" si="5"/>
        <v>7288705</v>
      </c>
      <c r="U29" s="944">
        <f>IF(A29='Data Entry - SOF'!B$2,'Report-SOF2324'!D$91,0)</f>
        <v>0</v>
      </c>
      <c r="V29" s="723">
        <f>IF(A29='Data Entry - SOF'!B$2,'Data Entry - SOF'!S$102,0)</f>
        <v>0</v>
      </c>
    </row>
    <row r="30" spans="1:22" ht="15.75">
      <c r="A30" s="382" t="s">
        <v>686</v>
      </c>
      <c r="B30" s="91">
        <v>6191078</v>
      </c>
      <c r="C30" s="944">
        <f>IF(A30='Data Entry - SOF'!B$2,'Report-SOF1718'!D$102,0)</f>
        <v>0</v>
      </c>
      <c r="D30" s="1037">
        <f>IF(A30='Data Entry - SOF'!B$2,'Data Entry - SOF'!#REF!,0)</f>
        <v>0</v>
      </c>
      <c r="E30" s="91">
        <f t="shared" si="0"/>
        <v>6191078</v>
      </c>
      <c r="F30" s="944">
        <f>IF(A30='Data Entry - SOF'!B$2,'Report-SOF1819'!D$102,0)</f>
        <v>0</v>
      </c>
      <c r="G30" s="1037">
        <f>IF(A30='Data Entry - SOF'!B$2,'Data Entry - SOF'!E$102,0)</f>
        <v>0</v>
      </c>
      <c r="H30" s="1038">
        <f t="shared" si="2"/>
        <v>6191078</v>
      </c>
      <c r="I30" s="944">
        <f>IF(A30='Data Entry - SOF'!B$2,'Report-SOF1920-HB3'!D$102,0)</f>
        <v>0</v>
      </c>
      <c r="J30" s="1037">
        <f>IF(A30='Data Entry - SOF'!B$2,'Data Entry - SOF'!G$102,0)</f>
        <v>0</v>
      </c>
      <c r="K30" s="717">
        <f t="shared" si="3"/>
        <v>6191078</v>
      </c>
      <c r="L30" s="944">
        <f>IF(A30='Data Entry - SOF'!B$2,'Report-SOF2021'!D$99,0)</f>
        <v>0</v>
      </c>
      <c r="M30" s="723">
        <f>IF(A30='Data Entry - SOF'!B$2,'Data Entry - SOF'!M$102,0)</f>
        <v>0</v>
      </c>
      <c r="N30" s="717">
        <f t="shared" si="4"/>
        <v>6191078</v>
      </c>
      <c r="O30" s="944">
        <f>IF(A30='Data Entry - SOF'!B$2,'Report-SOF2122'!D$91,0)</f>
        <v>0</v>
      </c>
      <c r="P30" s="723">
        <f>IF(A30='Data Entry - SOF'!B$2,'Data Entry - SOF'!O$102,0)</f>
        <v>0</v>
      </c>
      <c r="Q30" s="601">
        <f t="shared" si="1"/>
        <v>6191078</v>
      </c>
      <c r="R30" s="944">
        <f>IF(A30='Data Entry - SOF'!B$2,'Report-SOF2223'!D$91,0)</f>
        <v>0</v>
      </c>
      <c r="S30" s="723">
        <f>IF(A30='Data Entry - SOF'!B$2,'Data Entry - SOF'!Q$102,0)</f>
        <v>0</v>
      </c>
      <c r="T30" s="601">
        <f t="shared" si="5"/>
        <v>6191078</v>
      </c>
      <c r="U30" s="944">
        <f>IF(A30='Data Entry - SOF'!B$2,'Report-SOF2324'!D$91,0)</f>
        <v>0</v>
      </c>
      <c r="V30" s="723">
        <f>IF(A30='Data Entry - SOF'!B$2,'Data Entry - SOF'!S$102,0)</f>
        <v>0</v>
      </c>
    </row>
    <row r="31" spans="1:22" ht="15.75">
      <c r="A31" s="382" t="s">
        <v>687</v>
      </c>
      <c r="B31" s="91">
        <v>3897582</v>
      </c>
      <c r="C31" s="944">
        <f>IF(A31='Data Entry - SOF'!B$2,'Report-SOF1718'!D$102,0)</f>
        <v>0</v>
      </c>
      <c r="D31" s="1037">
        <f>IF(A31='Data Entry - SOF'!B$2,'Data Entry - SOF'!#REF!,0)</f>
        <v>0</v>
      </c>
      <c r="E31" s="91">
        <f t="shared" si="0"/>
        <v>3897582</v>
      </c>
      <c r="F31" s="944">
        <f>IF(A31='Data Entry - SOF'!B$2,'Report-SOF1819'!D$102,0)</f>
        <v>0</v>
      </c>
      <c r="G31" s="1037">
        <f>IF(A31='Data Entry - SOF'!B$2,'Data Entry - SOF'!E$102,0)</f>
        <v>0</v>
      </c>
      <c r="H31" s="1038">
        <f t="shared" si="2"/>
        <v>3897582</v>
      </c>
      <c r="I31" s="944">
        <f>IF(A31='Data Entry - SOF'!B$2,'Report-SOF1920-HB3'!D$102,0)</f>
        <v>0</v>
      </c>
      <c r="J31" s="1037">
        <f>IF(A31='Data Entry - SOF'!B$2,'Data Entry - SOF'!G$102,0)</f>
        <v>0</v>
      </c>
      <c r="K31" s="717">
        <f t="shared" si="3"/>
        <v>3897582</v>
      </c>
      <c r="L31" s="944">
        <f>IF(A31='Data Entry - SOF'!B$2,'Report-SOF2021'!D$99,0)</f>
        <v>0</v>
      </c>
      <c r="M31" s="723">
        <f>IF(A31='Data Entry - SOF'!B$2,'Data Entry - SOF'!M$102,0)</f>
        <v>0</v>
      </c>
      <c r="N31" s="717">
        <f t="shared" si="4"/>
        <v>3897582</v>
      </c>
      <c r="O31" s="944">
        <f>IF(A31='Data Entry - SOF'!B$2,'Report-SOF2122'!D$91,0)</f>
        <v>0</v>
      </c>
      <c r="P31" s="723">
        <f>IF(A31='Data Entry - SOF'!B$2,'Data Entry - SOF'!O$102,0)</f>
        <v>0</v>
      </c>
      <c r="Q31" s="601">
        <f t="shared" si="1"/>
        <v>3897582</v>
      </c>
      <c r="R31" s="944">
        <f>IF(A31='Data Entry - SOF'!B$2,'Report-SOF2223'!D$91,0)</f>
        <v>0</v>
      </c>
      <c r="S31" s="723">
        <f>IF(A31='Data Entry - SOF'!B$2,'Data Entry - SOF'!Q$102,0)</f>
        <v>0</v>
      </c>
      <c r="T31" s="601">
        <f t="shared" si="5"/>
        <v>3897582</v>
      </c>
      <c r="U31" s="944">
        <f>IF(A31='Data Entry - SOF'!B$2,'Report-SOF2324'!D$91,0)</f>
        <v>0</v>
      </c>
      <c r="V31" s="723">
        <f>IF(A31='Data Entry - SOF'!B$2,'Data Entry - SOF'!S$102,0)</f>
        <v>0</v>
      </c>
    </row>
    <row r="32" spans="1:22" ht="15.75">
      <c r="A32" s="382" t="s">
        <v>188</v>
      </c>
      <c r="B32" s="91">
        <v>799906</v>
      </c>
      <c r="C32" s="944">
        <f>IF(A32='Data Entry - SOF'!B$2,'Report-SOF1718'!D$102,0)</f>
        <v>0</v>
      </c>
      <c r="D32" s="1037">
        <f>IF(A32='Data Entry - SOF'!B$2,'Data Entry - SOF'!#REF!,0)</f>
        <v>0</v>
      </c>
      <c r="E32" s="91">
        <f t="shared" si="0"/>
        <v>799906</v>
      </c>
      <c r="F32" s="944">
        <f>IF(A32='Data Entry - SOF'!B$2,'Report-SOF1819'!D$102,0)</f>
        <v>0</v>
      </c>
      <c r="G32" s="1037">
        <f>IF(A32='Data Entry - SOF'!B$2,'Data Entry - SOF'!E$102,0)</f>
        <v>0</v>
      </c>
      <c r="H32" s="1038">
        <f t="shared" si="2"/>
        <v>799906</v>
      </c>
      <c r="I32" s="944">
        <f>IF(A32='Data Entry - SOF'!B$2,'Report-SOF1920-HB3'!D$102,0)</f>
        <v>0</v>
      </c>
      <c r="J32" s="1037">
        <f>IF(A32='Data Entry - SOF'!B$2,'Data Entry - SOF'!G$102,0)</f>
        <v>0</v>
      </c>
      <c r="K32" s="717">
        <f t="shared" si="3"/>
        <v>799906</v>
      </c>
      <c r="L32" s="944">
        <f>IF(A32='Data Entry - SOF'!B$2,'Report-SOF2021'!D$99,0)</f>
        <v>0</v>
      </c>
      <c r="M32" s="723">
        <f>IF(A32='Data Entry - SOF'!B$2,'Data Entry - SOF'!M$102,0)</f>
        <v>0</v>
      </c>
      <c r="N32" s="717">
        <f t="shared" si="4"/>
        <v>799906</v>
      </c>
      <c r="O32" s="944">
        <f>IF(A32='Data Entry - SOF'!B$2,'Report-SOF2122'!D$91,0)</f>
        <v>0</v>
      </c>
      <c r="P32" s="723">
        <f>IF(A32='Data Entry - SOF'!B$2,'Data Entry - SOF'!O$102,0)</f>
        <v>0</v>
      </c>
      <c r="Q32" s="601">
        <f t="shared" si="1"/>
        <v>799906</v>
      </c>
      <c r="R32" s="944">
        <f>IF(A32='Data Entry - SOF'!B$2,'Report-SOF2223'!D$91,0)</f>
        <v>0</v>
      </c>
      <c r="S32" s="723">
        <f>IF(A32='Data Entry - SOF'!B$2,'Data Entry - SOF'!Q$102,0)</f>
        <v>0</v>
      </c>
      <c r="T32" s="601">
        <f t="shared" si="5"/>
        <v>799906</v>
      </c>
      <c r="U32" s="944">
        <f>IF(A32='Data Entry - SOF'!B$2,'Report-SOF2324'!D$91,0)</f>
        <v>0</v>
      </c>
      <c r="V32" s="723">
        <f>IF(A32='Data Entry - SOF'!B$2,'Data Entry - SOF'!S$102,0)</f>
        <v>0</v>
      </c>
    </row>
    <row r="33" spans="1:22" ht="15.75">
      <c r="A33" s="382" t="s">
        <v>1946</v>
      </c>
      <c r="B33" s="91">
        <v>8915135.4354951791</v>
      </c>
      <c r="C33" s="944">
        <f>IF(A33='Data Entry - SOF'!B$2,'Report-SOF1718'!D$102,0)</f>
        <v>0</v>
      </c>
      <c r="D33" s="1037">
        <f>IF(A33='Data Entry - SOF'!B$2,'Data Entry - SOF'!#REF!,0)</f>
        <v>0</v>
      </c>
      <c r="E33" s="91">
        <f t="shared" si="0"/>
        <v>8915135.4354951791</v>
      </c>
      <c r="F33" s="944">
        <f>IF(A33='Data Entry - SOF'!B$2,'Report-SOF1819'!D$102,0)</f>
        <v>0</v>
      </c>
      <c r="G33" s="1037">
        <f>IF(A33='Data Entry - SOF'!B$2,'Data Entry - SOF'!E$102,0)</f>
        <v>0</v>
      </c>
      <c r="H33" s="1038">
        <f t="shared" si="2"/>
        <v>8915135.4354951791</v>
      </c>
      <c r="I33" s="944">
        <f>IF(A33='Data Entry - SOF'!B$2,'Report-SOF1920-HB3'!D$102,0)</f>
        <v>0</v>
      </c>
      <c r="J33" s="1037">
        <f>IF(A33='Data Entry - SOF'!B$2,'Data Entry - SOF'!G$102,0)</f>
        <v>0</v>
      </c>
      <c r="K33" s="717">
        <f t="shared" si="3"/>
        <v>8915135.4354951791</v>
      </c>
      <c r="L33" s="944">
        <f>IF(A33='Data Entry - SOF'!B$2,'Report-SOF2021'!D$99,0)</f>
        <v>0</v>
      </c>
      <c r="M33" s="723">
        <f>IF(A33='Data Entry - SOF'!B$2,'Data Entry - SOF'!M$102,0)</f>
        <v>0</v>
      </c>
      <c r="N33" s="717">
        <f t="shared" si="4"/>
        <v>8915135.4354951791</v>
      </c>
      <c r="O33" s="944">
        <f>IF(A33='Data Entry - SOF'!B$2,'Report-SOF2122'!D$91,0)</f>
        <v>0</v>
      </c>
      <c r="P33" s="723">
        <f>IF(A33='Data Entry - SOF'!B$2,'Data Entry - SOF'!O$102,0)</f>
        <v>0</v>
      </c>
      <c r="Q33" s="601">
        <f t="shared" si="1"/>
        <v>8915135.4354951791</v>
      </c>
      <c r="R33" s="944">
        <f>IF(A33='Data Entry - SOF'!B$2,'Report-SOF2223'!D$91,0)</f>
        <v>0</v>
      </c>
      <c r="S33" s="723">
        <f>IF(A33='Data Entry - SOF'!B$2,'Data Entry - SOF'!Q$102,0)</f>
        <v>0</v>
      </c>
      <c r="T33" s="601">
        <f t="shared" si="5"/>
        <v>8915135.4354951791</v>
      </c>
      <c r="U33" s="944">
        <f>IF(A33='Data Entry - SOF'!B$2,'Report-SOF2324'!D$91,0)</f>
        <v>0</v>
      </c>
      <c r="V33" s="723">
        <f>IF(A33='Data Entry - SOF'!B$2,'Data Entry - SOF'!S$102,0)</f>
        <v>0</v>
      </c>
    </row>
    <row r="34" spans="1:22" ht="15.75">
      <c r="A34" s="382" t="s">
        <v>1683</v>
      </c>
      <c r="B34" s="91">
        <v>42159848</v>
      </c>
      <c r="C34" s="944">
        <f>IF(A34='Data Entry - SOF'!B$2,'Report-SOF1718'!D$102,0)</f>
        <v>0</v>
      </c>
      <c r="D34" s="1037">
        <f>IF(A34='Data Entry - SOF'!B$2,'Data Entry - SOF'!#REF!,0)</f>
        <v>0</v>
      </c>
      <c r="E34" s="91">
        <f t="shared" si="0"/>
        <v>42159848</v>
      </c>
      <c r="F34" s="944">
        <f>IF(A34='Data Entry - SOF'!B$2,'Report-SOF1819'!D$102,0)</f>
        <v>0</v>
      </c>
      <c r="G34" s="1037">
        <f>IF(A34='Data Entry - SOF'!B$2,'Data Entry - SOF'!E$102,0)</f>
        <v>0</v>
      </c>
      <c r="H34" s="1038">
        <f t="shared" si="2"/>
        <v>42159848</v>
      </c>
      <c r="I34" s="944">
        <f>IF(A34='Data Entry - SOF'!B$2,'Report-SOF1920-HB3'!D$102,0)</f>
        <v>0</v>
      </c>
      <c r="J34" s="1037">
        <f>IF(A34='Data Entry - SOF'!B$2,'Data Entry - SOF'!G$102,0)</f>
        <v>0</v>
      </c>
      <c r="K34" s="717">
        <f t="shared" si="3"/>
        <v>42159848</v>
      </c>
      <c r="L34" s="944">
        <f>IF(A34='Data Entry - SOF'!B$2,'Report-SOF2021'!D$99,0)</f>
        <v>0</v>
      </c>
      <c r="M34" s="723">
        <f>IF(A34='Data Entry - SOF'!B$2,'Data Entry - SOF'!M$102,0)</f>
        <v>0</v>
      </c>
      <c r="N34" s="717">
        <f t="shared" si="4"/>
        <v>42159848</v>
      </c>
      <c r="O34" s="944">
        <f>IF(A34='Data Entry - SOF'!B$2,'Report-SOF2122'!D$91,0)</f>
        <v>0</v>
      </c>
      <c r="P34" s="723">
        <f>IF(A34='Data Entry - SOF'!B$2,'Data Entry - SOF'!O$102,0)</f>
        <v>0</v>
      </c>
      <c r="Q34" s="601">
        <f t="shared" si="1"/>
        <v>42159848</v>
      </c>
      <c r="R34" s="944">
        <f>IF(A34='Data Entry - SOF'!B$2,'Report-SOF2223'!D$91,0)</f>
        <v>0</v>
      </c>
      <c r="S34" s="723">
        <f>IF(A34='Data Entry - SOF'!B$2,'Data Entry - SOF'!Q$102,0)</f>
        <v>0</v>
      </c>
      <c r="T34" s="601">
        <f t="shared" si="5"/>
        <v>42159848</v>
      </c>
      <c r="U34" s="944">
        <f>IF(A34='Data Entry - SOF'!B$2,'Report-SOF2324'!D$91,0)</f>
        <v>0</v>
      </c>
      <c r="V34" s="723">
        <f>IF(A34='Data Entry - SOF'!B$2,'Data Entry - SOF'!S$102,0)</f>
        <v>0</v>
      </c>
    </row>
    <row r="35" spans="1:22" ht="15.75">
      <c r="A35" s="382" t="s">
        <v>773</v>
      </c>
      <c r="B35" s="91">
        <v>13614859</v>
      </c>
      <c r="C35" s="944">
        <f>IF(A35='Data Entry - SOF'!B$2,'Report-SOF1718'!D$102,0)</f>
        <v>0</v>
      </c>
      <c r="D35" s="1037">
        <f>IF(A35='Data Entry - SOF'!B$2,'Data Entry - SOF'!#REF!,0)</f>
        <v>0</v>
      </c>
      <c r="E35" s="91">
        <f t="shared" si="0"/>
        <v>13614859</v>
      </c>
      <c r="F35" s="944">
        <f>IF(A35='Data Entry - SOF'!B$2,'Report-SOF1819'!D$102,0)</f>
        <v>0</v>
      </c>
      <c r="G35" s="1037">
        <f>IF(A35='Data Entry - SOF'!B$2,'Data Entry - SOF'!E$102,0)</f>
        <v>0</v>
      </c>
      <c r="H35" s="1038">
        <f t="shared" si="2"/>
        <v>13614859</v>
      </c>
      <c r="I35" s="944">
        <f>IF(A35='Data Entry - SOF'!B$2,'Report-SOF1920-HB3'!D$102,0)</f>
        <v>0</v>
      </c>
      <c r="J35" s="1037">
        <f>IF(A35='Data Entry - SOF'!B$2,'Data Entry - SOF'!G$102,0)</f>
        <v>0</v>
      </c>
      <c r="K35" s="717">
        <f t="shared" si="3"/>
        <v>13614859</v>
      </c>
      <c r="L35" s="944">
        <f>IF(A35='Data Entry - SOF'!B$2,'Report-SOF2021'!D$99,0)</f>
        <v>0</v>
      </c>
      <c r="M35" s="723">
        <f>IF(A35='Data Entry - SOF'!B$2,'Data Entry - SOF'!M$102,0)</f>
        <v>0</v>
      </c>
      <c r="N35" s="717">
        <f t="shared" si="4"/>
        <v>13614859</v>
      </c>
      <c r="O35" s="944">
        <f>IF(A35='Data Entry - SOF'!B$2,'Report-SOF2122'!D$91,0)</f>
        <v>0</v>
      </c>
      <c r="P35" s="723">
        <f>IF(A35='Data Entry - SOF'!B$2,'Data Entry - SOF'!O$102,0)</f>
        <v>0</v>
      </c>
      <c r="Q35" s="601">
        <f t="shared" si="1"/>
        <v>13614859</v>
      </c>
      <c r="R35" s="944">
        <f>IF(A35='Data Entry - SOF'!B$2,'Report-SOF2223'!D$91,0)</f>
        <v>0</v>
      </c>
      <c r="S35" s="723">
        <f>IF(A35='Data Entry - SOF'!B$2,'Data Entry - SOF'!Q$102,0)</f>
        <v>0</v>
      </c>
      <c r="T35" s="601">
        <f t="shared" si="5"/>
        <v>13614859</v>
      </c>
      <c r="U35" s="944">
        <f>IF(A35='Data Entry - SOF'!B$2,'Report-SOF2324'!D$91,0)</f>
        <v>0</v>
      </c>
      <c r="V35" s="723">
        <f>IF(A35='Data Entry - SOF'!B$2,'Data Entry - SOF'!S$102,0)</f>
        <v>0</v>
      </c>
    </row>
    <row r="36" spans="1:22" ht="15.75">
      <c r="A36" s="382" t="s">
        <v>2366</v>
      </c>
      <c r="B36" s="91">
        <v>5619046</v>
      </c>
      <c r="C36" s="944">
        <f>IF(A36='Data Entry - SOF'!B$2,'Report-SOF1718'!D$102,0)</f>
        <v>0</v>
      </c>
      <c r="D36" s="1037">
        <f>IF(A36='Data Entry - SOF'!B$2,'Data Entry - SOF'!#REF!,0)</f>
        <v>0</v>
      </c>
      <c r="E36" s="91">
        <f t="shared" si="0"/>
        <v>5619046</v>
      </c>
      <c r="F36" s="944">
        <f>IF(A36='Data Entry - SOF'!B$2,'Report-SOF1819'!D$102,0)</f>
        <v>0</v>
      </c>
      <c r="G36" s="1037">
        <f>IF(A36='Data Entry - SOF'!B$2,'Data Entry - SOF'!E$102,0)</f>
        <v>0</v>
      </c>
      <c r="H36" s="1038">
        <f t="shared" si="2"/>
        <v>5619046</v>
      </c>
      <c r="I36" s="944">
        <f>IF(A36='Data Entry - SOF'!B$2,'Report-SOF1920-HB3'!D$102,0)</f>
        <v>0</v>
      </c>
      <c r="J36" s="1037">
        <f>IF(A36='Data Entry - SOF'!B$2,'Data Entry - SOF'!G$102,0)</f>
        <v>0</v>
      </c>
      <c r="K36" s="717">
        <f t="shared" si="3"/>
        <v>5619046</v>
      </c>
      <c r="L36" s="944">
        <f>IF(A36='Data Entry - SOF'!B$2,'Report-SOF2021'!D$99,0)</f>
        <v>0</v>
      </c>
      <c r="M36" s="723">
        <f>IF(A36='Data Entry - SOF'!B$2,'Data Entry - SOF'!M$102,0)</f>
        <v>0</v>
      </c>
      <c r="N36" s="717">
        <f t="shared" si="4"/>
        <v>5619046</v>
      </c>
      <c r="O36" s="944">
        <f>IF(A36='Data Entry - SOF'!B$2,'Report-SOF2122'!D$91,0)</f>
        <v>0</v>
      </c>
      <c r="P36" s="723">
        <f>IF(A36='Data Entry - SOF'!B$2,'Data Entry - SOF'!O$102,0)</f>
        <v>0</v>
      </c>
      <c r="Q36" s="601">
        <f t="shared" si="1"/>
        <v>5619046</v>
      </c>
      <c r="R36" s="944">
        <f>IF(A36='Data Entry - SOF'!B$2,'Report-SOF2223'!D$91,0)</f>
        <v>0</v>
      </c>
      <c r="S36" s="723">
        <f>IF(A36='Data Entry - SOF'!B$2,'Data Entry - SOF'!Q$102,0)</f>
        <v>0</v>
      </c>
      <c r="T36" s="601">
        <f t="shared" si="5"/>
        <v>5619046</v>
      </c>
      <c r="U36" s="944">
        <f>IF(A36='Data Entry - SOF'!B$2,'Report-SOF2324'!D$91,0)</f>
        <v>0</v>
      </c>
      <c r="V36" s="723">
        <f>IF(A36='Data Entry - SOF'!B$2,'Data Entry - SOF'!S$102,0)</f>
        <v>0</v>
      </c>
    </row>
    <row r="37" spans="1:22" ht="15.75">
      <c r="A37" s="382" t="s">
        <v>2134</v>
      </c>
      <c r="B37" s="91">
        <v>991038</v>
      </c>
      <c r="C37" s="944">
        <f>IF(A37='Data Entry - SOF'!B$2,'Report-SOF1718'!D$102,0)</f>
        <v>0</v>
      </c>
      <c r="D37" s="1037">
        <f>IF(A37='Data Entry - SOF'!B$2,'Data Entry - SOF'!#REF!,0)</f>
        <v>0</v>
      </c>
      <c r="E37" s="91">
        <f t="shared" si="0"/>
        <v>991038</v>
      </c>
      <c r="F37" s="944">
        <f>IF(A37='Data Entry - SOF'!B$2,'Report-SOF1819'!D$102,0)</f>
        <v>0</v>
      </c>
      <c r="G37" s="1037">
        <f>IF(A37='Data Entry - SOF'!B$2,'Data Entry - SOF'!E$102,0)</f>
        <v>0</v>
      </c>
      <c r="H37" s="1038">
        <f t="shared" si="2"/>
        <v>991038</v>
      </c>
      <c r="I37" s="944">
        <f>IF(A37='Data Entry - SOF'!B$2,'Report-SOF1920-HB3'!D$102,0)</f>
        <v>0</v>
      </c>
      <c r="J37" s="1037">
        <f>IF(A37='Data Entry - SOF'!B$2,'Data Entry - SOF'!G$102,0)</f>
        <v>0</v>
      </c>
      <c r="K37" s="717">
        <f t="shared" si="3"/>
        <v>991038</v>
      </c>
      <c r="L37" s="944">
        <f>IF(A37='Data Entry - SOF'!B$2,'Report-SOF2021'!D$99,0)</f>
        <v>0</v>
      </c>
      <c r="M37" s="723">
        <f>IF(A37='Data Entry - SOF'!B$2,'Data Entry - SOF'!M$102,0)</f>
        <v>0</v>
      </c>
      <c r="N37" s="717">
        <f t="shared" si="4"/>
        <v>991038</v>
      </c>
      <c r="O37" s="944">
        <f>IF(A37='Data Entry - SOF'!B$2,'Report-SOF2122'!D$91,0)</f>
        <v>0</v>
      </c>
      <c r="P37" s="723">
        <f>IF(A37='Data Entry - SOF'!B$2,'Data Entry - SOF'!O$102,0)</f>
        <v>0</v>
      </c>
      <c r="Q37" s="601">
        <f t="shared" si="1"/>
        <v>991038</v>
      </c>
      <c r="R37" s="944">
        <f>IF(A37='Data Entry - SOF'!B$2,'Report-SOF2223'!D$91,0)</f>
        <v>0</v>
      </c>
      <c r="S37" s="723">
        <f>IF(A37='Data Entry - SOF'!B$2,'Data Entry - SOF'!Q$102,0)</f>
        <v>0</v>
      </c>
      <c r="T37" s="601">
        <f t="shared" si="5"/>
        <v>991038</v>
      </c>
      <c r="U37" s="944">
        <f>IF(A37='Data Entry - SOF'!B$2,'Report-SOF2324'!D$91,0)</f>
        <v>0</v>
      </c>
      <c r="V37" s="723">
        <f>IF(A37='Data Entry - SOF'!B$2,'Data Entry - SOF'!S$102,0)</f>
        <v>0</v>
      </c>
    </row>
    <row r="38" spans="1:22" ht="15.75">
      <c r="A38" s="382" t="s">
        <v>452</v>
      </c>
      <c r="B38" s="91">
        <v>3569673</v>
      </c>
      <c r="C38" s="944">
        <f>IF(A38='Data Entry - SOF'!B$2,'Report-SOF1718'!D$102,0)</f>
        <v>0</v>
      </c>
      <c r="D38" s="1037">
        <f>IF(A38='Data Entry - SOF'!B$2,'Data Entry - SOF'!#REF!,0)</f>
        <v>0</v>
      </c>
      <c r="E38" s="91">
        <f t="shared" si="0"/>
        <v>3569673</v>
      </c>
      <c r="F38" s="944">
        <f>IF(A38='Data Entry - SOF'!B$2,'Report-SOF1819'!D$102,0)</f>
        <v>0</v>
      </c>
      <c r="G38" s="1037">
        <f>IF(A38='Data Entry - SOF'!B$2,'Data Entry - SOF'!E$102,0)</f>
        <v>0</v>
      </c>
      <c r="H38" s="1038">
        <f t="shared" si="2"/>
        <v>3569673</v>
      </c>
      <c r="I38" s="944">
        <f>IF(A38='Data Entry - SOF'!B$2,'Report-SOF1920-HB3'!D$102,0)</f>
        <v>0</v>
      </c>
      <c r="J38" s="1037">
        <f>IF(A38='Data Entry - SOF'!B$2,'Data Entry - SOF'!G$102,0)</f>
        <v>0</v>
      </c>
      <c r="K38" s="717">
        <f t="shared" si="3"/>
        <v>3569673</v>
      </c>
      <c r="L38" s="944">
        <f>IF(A38='Data Entry - SOF'!B$2,'Report-SOF2021'!D$99,0)</f>
        <v>0</v>
      </c>
      <c r="M38" s="723">
        <f>IF(A38='Data Entry - SOF'!B$2,'Data Entry - SOF'!M$102,0)</f>
        <v>0</v>
      </c>
      <c r="N38" s="717">
        <f t="shared" si="4"/>
        <v>3569673</v>
      </c>
      <c r="O38" s="944">
        <f>IF(A38='Data Entry - SOF'!B$2,'Report-SOF2122'!D$91,0)</f>
        <v>0</v>
      </c>
      <c r="P38" s="723">
        <f>IF(A38='Data Entry - SOF'!B$2,'Data Entry - SOF'!O$102,0)</f>
        <v>0</v>
      </c>
      <c r="Q38" s="601">
        <f t="shared" si="1"/>
        <v>3569673</v>
      </c>
      <c r="R38" s="944">
        <f>IF(A38='Data Entry - SOF'!B$2,'Report-SOF2223'!D$91,0)</f>
        <v>0</v>
      </c>
      <c r="S38" s="723">
        <f>IF(A38='Data Entry - SOF'!B$2,'Data Entry - SOF'!Q$102,0)</f>
        <v>0</v>
      </c>
      <c r="T38" s="601">
        <f t="shared" si="5"/>
        <v>3569673</v>
      </c>
      <c r="U38" s="944">
        <f>IF(A38='Data Entry - SOF'!B$2,'Report-SOF2324'!D$91,0)</f>
        <v>0</v>
      </c>
      <c r="V38" s="723">
        <f>IF(A38='Data Entry - SOF'!B$2,'Data Entry - SOF'!S$102,0)</f>
        <v>0</v>
      </c>
    </row>
    <row r="39" spans="1:22" ht="15.75">
      <c r="A39" s="382" t="s">
        <v>2367</v>
      </c>
      <c r="B39" s="91">
        <v>3884826</v>
      </c>
      <c r="C39" s="944">
        <f>IF(A39='Data Entry - SOF'!B$2,'Report-SOF1718'!D$102,0)</f>
        <v>0</v>
      </c>
      <c r="D39" s="1037">
        <f>IF(A39='Data Entry - SOF'!B$2,'Data Entry - SOF'!#REF!,0)</f>
        <v>0</v>
      </c>
      <c r="E39" s="91">
        <f t="shared" si="0"/>
        <v>3884826</v>
      </c>
      <c r="F39" s="944">
        <f>IF(A39='Data Entry - SOF'!B$2,'Report-SOF1819'!D$102,0)</f>
        <v>0</v>
      </c>
      <c r="G39" s="1037">
        <f>IF(A39='Data Entry - SOF'!B$2,'Data Entry - SOF'!E$102,0)</f>
        <v>0</v>
      </c>
      <c r="H39" s="1038">
        <f t="shared" si="2"/>
        <v>3884826</v>
      </c>
      <c r="I39" s="944">
        <f>IF(A39='Data Entry - SOF'!B$2,'Report-SOF1920-HB3'!D$102,0)</f>
        <v>0</v>
      </c>
      <c r="J39" s="1037">
        <f>IF(A39='Data Entry - SOF'!B$2,'Data Entry - SOF'!G$102,0)</f>
        <v>0</v>
      </c>
      <c r="K39" s="717">
        <f t="shared" si="3"/>
        <v>3884826</v>
      </c>
      <c r="L39" s="944">
        <f>IF(A39='Data Entry - SOF'!B$2,'Report-SOF2021'!D$99,0)</f>
        <v>0</v>
      </c>
      <c r="M39" s="723">
        <f>IF(A39='Data Entry - SOF'!B$2,'Data Entry - SOF'!M$102,0)</f>
        <v>0</v>
      </c>
      <c r="N39" s="717">
        <f t="shared" si="4"/>
        <v>3884826</v>
      </c>
      <c r="O39" s="944">
        <f>IF(A39='Data Entry - SOF'!B$2,'Report-SOF2122'!D$91,0)</f>
        <v>0</v>
      </c>
      <c r="P39" s="723">
        <f>IF(A39='Data Entry - SOF'!B$2,'Data Entry - SOF'!O$102,0)</f>
        <v>0</v>
      </c>
      <c r="Q39" s="601">
        <f t="shared" si="1"/>
        <v>3884826</v>
      </c>
      <c r="R39" s="944">
        <f>IF(A39='Data Entry - SOF'!B$2,'Report-SOF2223'!D$91,0)</f>
        <v>0</v>
      </c>
      <c r="S39" s="723">
        <f>IF(A39='Data Entry - SOF'!B$2,'Data Entry - SOF'!Q$102,0)</f>
        <v>0</v>
      </c>
      <c r="T39" s="601">
        <f t="shared" si="5"/>
        <v>3884826</v>
      </c>
      <c r="U39" s="944">
        <f>IF(A39='Data Entry - SOF'!B$2,'Report-SOF2324'!D$91,0)</f>
        <v>0</v>
      </c>
      <c r="V39" s="723">
        <f>IF(A39='Data Entry - SOF'!B$2,'Data Entry - SOF'!S$102,0)</f>
        <v>0</v>
      </c>
    </row>
    <row r="40" spans="1:22" ht="15.75">
      <c r="A40" s="382" t="s">
        <v>2651</v>
      </c>
      <c r="B40" s="91">
        <v>6755380.9114896702</v>
      </c>
      <c r="C40" s="944">
        <f>IF(A40='Data Entry - SOF'!B$2,'Report-SOF1718'!D$102,0)</f>
        <v>0</v>
      </c>
      <c r="D40" s="1037">
        <f>IF(A40='Data Entry - SOF'!B$2,'Data Entry - SOF'!#REF!,0)</f>
        <v>0</v>
      </c>
      <c r="E40" s="91">
        <f t="shared" si="0"/>
        <v>6755380.9114896702</v>
      </c>
      <c r="F40" s="944">
        <f>IF(A40='Data Entry - SOF'!B$2,'Report-SOF1819'!D$102,0)</f>
        <v>0</v>
      </c>
      <c r="G40" s="1037">
        <f>IF(A40='Data Entry - SOF'!B$2,'Data Entry - SOF'!E$102,0)</f>
        <v>0</v>
      </c>
      <c r="H40" s="1038">
        <f t="shared" si="2"/>
        <v>6755380.9114896702</v>
      </c>
      <c r="I40" s="944">
        <f>IF(A40='Data Entry - SOF'!B$2,'Report-SOF1920-HB3'!D$102,0)</f>
        <v>0</v>
      </c>
      <c r="J40" s="1037">
        <f>IF(A40='Data Entry - SOF'!B$2,'Data Entry - SOF'!G$102,0)</f>
        <v>0</v>
      </c>
      <c r="K40" s="717">
        <f t="shared" si="3"/>
        <v>6755380.9114896702</v>
      </c>
      <c r="L40" s="944">
        <f>IF(A40='Data Entry - SOF'!B$2,'Report-SOF2021'!D$99,0)</f>
        <v>0</v>
      </c>
      <c r="M40" s="723">
        <f>IF(A40='Data Entry - SOF'!B$2,'Data Entry - SOF'!M$102,0)</f>
        <v>0</v>
      </c>
      <c r="N40" s="717">
        <f t="shared" si="4"/>
        <v>6755380.9114896702</v>
      </c>
      <c r="O40" s="944">
        <f>IF(A40='Data Entry - SOF'!B$2,'Report-SOF2122'!D$91,0)</f>
        <v>0</v>
      </c>
      <c r="P40" s="723">
        <f>IF(A40='Data Entry - SOF'!B$2,'Data Entry - SOF'!O$102,0)</f>
        <v>0</v>
      </c>
      <c r="Q40" s="601">
        <f t="shared" si="1"/>
        <v>6755380.9114896702</v>
      </c>
      <c r="R40" s="944">
        <f>IF(A40='Data Entry - SOF'!B$2,'Report-SOF2223'!D$91,0)</f>
        <v>0</v>
      </c>
      <c r="S40" s="723">
        <f>IF(A40='Data Entry - SOF'!B$2,'Data Entry - SOF'!Q$102,0)</f>
        <v>0</v>
      </c>
      <c r="T40" s="601">
        <f t="shared" si="5"/>
        <v>6755380.9114896702</v>
      </c>
      <c r="U40" s="944">
        <f>IF(A40='Data Entry - SOF'!B$2,'Report-SOF2324'!D$91,0)</f>
        <v>0</v>
      </c>
      <c r="V40" s="723">
        <f>IF(A40='Data Entry - SOF'!B$2,'Data Entry - SOF'!S$102,0)</f>
        <v>0</v>
      </c>
    </row>
    <row r="41" spans="1:22" ht="15.75">
      <c r="A41" s="382" t="s">
        <v>2652</v>
      </c>
      <c r="B41" s="91">
        <v>7241572</v>
      </c>
      <c r="C41" s="944">
        <f>IF(A41='Data Entry - SOF'!B$2,'Report-SOF1718'!D$102,0)</f>
        <v>0</v>
      </c>
      <c r="D41" s="1037">
        <f>IF(A41='Data Entry - SOF'!B$2,'Data Entry - SOF'!#REF!,0)</f>
        <v>0</v>
      </c>
      <c r="E41" s="91">
        <f t="shared" si="0"/>
        <v>7241572</v>
      </c>
      <c r="F41" s="944">
        <f>IF(A41='Data Entry - SOF'!B$2,'Report-SOF1819'!D$102,0)</f>
        <v>0</v>
      </c>
      <c r="G41" s="1037">
        <f>IF(A41='Data Entry - SOF'!B$2,'Data Entry - SOF'!E$102,0)</f>
        <v>0</v>
      </c>
      <c r="H41" s="1038">
        <f t="shared" si="2"/>
        <v>7241572</v>
      </c>
      <c r="I41" s="944">
        <f>IF(A41='Data Entry - SOF'!B$2,'Report-SOF1920-HB3'!D$102,0)</f>
        <v>0</v>
      </c>
      <c r="J41" s="1037">
        <f>IF(A41='Data Entry - SOF'!B$2,'Data Entry - SOF'!G$102,0)</f>
        <v>0</v>
      </c>
      <c r="K41" s="717">
        <f t="shared" si="3"/>
        <v>7241572</v>
      </c>
      <c r="L41" s="944">
        <f>IF(A41='Data Entry - SOF'!B$2,'Report-SOF2021'!D$99,0)</f>
        <v>0</v>
      </c>
      <c r="M41" s="723">
        <f>IF(A41='Data Entry - SOF'!B$2,'Data Entry - SOF'!M$102,0)</f>
        <v>0</v>
      </c>
      <c r="N41" s="717">
        <f t="shared" si="4"/>
        <v>7241572</v>
      </c>
      <c r="O41" s="944">
        <f>IF(A41='Data Entry - SOF'!B$2,'Report-SOF2122'!D$91,0)</f>
        <v>0</v>
      </c>
      <c r="P41" s="723">
        <f>IF(A41='Data Entry - SOF'!B$2,'Data Entry - SOF'!O$102,0)</f>
        <v>0</v>
      </c>
      <c r="Q41" s="601">
        <f t="shared" si="1"/>
        <v>7241572</v>
      </c>
      <c r="R41" s="944">
        <f>IF(A41='Data Entry - SOF'!B$2,'Report-SOF2223'!D$91,0)</f>
        <v>0</v>
      </c>
      <c r="S41" s="723">
        <f>IF(A41='Data Entry - SOF'!B$2,'Data Entry - SOF'!Q$102,0)</f>
        <v>0</v>
      </c>
      <c r="T41" s="601">
        <f t="shared" si="5"/>
        <v>7241572</v>
      </c>
      <c r="U41" s="944">
        <f>IF(A41='Data Entry - SOF'!B$2,'Report-SOF2324'!D$91,0)</f>
        <v>0</v>
      </c>
      <c r="V41" s="723">
        <f>IF(A41='Data Entry - SOF'!B$2,'Data Entry - SOF'!S$102,0)</f>
        <v>0</v>
      </c>
    </row>
    <row r="42" spans="1:22" ht="15.75">
      <c r="A42" s="382" t="s">
        <v>1149</v>
      </c>
      <c r="B42" s="91">
        <v>2642547</v>
      </c>
      <c r="C42" s="944">
        <f>IF(A42='Data Entry - SOF'!B$2,'Report-SOF1718'!D$102,0)</f>
        <v>0</v>
      </c>
      <c r="D42" s="1037">
        <f>IF(A42='Data Entry - SOF'!B$2,'Data Entry - SOF'!#REF!,0)</f>
        <v>0</v>
      </c>
      <c r="E42" s="91">
        <f t="shared" si="0"/>
        <v>2642547</v>
      </c>
      <c r="F42" s="944">
        <f>IF(A42='Data Entry - SOF'!B$2,'Report-SOF1819'!D$102,0)</f>
        <v>0</v>
      </c>
      <c r="G42" s="1037">
        <f>IF(A42='Data Entry - SOF'!B$2,'Data Entry - SOF'!E$102,0)</f>
        <v>0</v>
      </c>
      <c r="H42" s="1038">
        <f t="shared" si="2"/>
        <v>2642547</v>
      </c>
      <c r="I42" s="944">
        <f>IF(A42='Data Entry - SOF'!B$2,'Report-SOF1920-HB3'!D$102,0)</f>
        <v>0</v>
      </c>
      <c r="J42" s="1037">
        <f>IF(A42='Data Entry - SOF'!B$2,'Data Entry - SOF'!G$102,0)</f>
        <v>0</v>
      </c>
      <c r="K42" s="717">
        <f t="shared" si="3"/>
        <v>2642547</v>
      </c>
      <c r="L42" s="944">
        <f>IF(A42='Data Entry - SOF'!B$2,'Report-SOF2021'!D$99,0)</f>
        <v>0</v>
      </c>
      <c r="M42" s="723">
        <f>IF(A42='Data Entry - SOF'!B$2,'Data Entry - SOF'!M$102,0)</f>
        <v>0</v>
      </c>
      <c r="N42" s="717">
        <f t="shared" si="4"/>
        <v>2642547</v>
      </c>
      <c r="O42" s="944">
        <f>IF(A42='Data Entry - SOF'!B$2,'Report-SOF2122'!D$91,0)</f>
        <v>0</v>
      </c>
      <c r="P42" s="723">
        <f>IF(A42='Data Entry - SOF'!B$2,'Data Entry - SOF'!O$102,0)</f>
        <v>0</v>
      </c>
      <c r="Q42" s="601">
        <f t="shared" si="1"/>
        <v>2642547</v>
      </c>
      <c r="R42" s="944">
        <f>IF(A42='Data Entry - SOF'!B$2,'Report-SOF2223'!D$91,0)</f>
        <v>0</v>
      </c>
      <c r="S42" s="723">
        <f>IF(A42='Data Entry - SOF'!B$2,'Data Entry - SOF'!Q$102,0)</f>
        <v>0</v>
      </c>
      <c r="T42" s="601">
        <f t="shared" si="5"/>
        <v>2642547</v>
      </c>
      <c r="U42" s="944">
        <f>IF(A42='Data Entry - SOF'!B$2,'Report-SOF2324'!D$91,0)</f>
        <v>0</v>
      </c>
      <c r="V42" s="723">
        <f>IF(A42='Data Entry - SOF'!B$2,'Data Entry - SOF'!S$102,0)</f>
        <v>0</v>
      </c>
    </row>
    <row r="43" spans="1:22" ht="15.75">
      <c r="A43" s="382" t="s">
        <v>2135</v>
      </c>
      <c r="B43" s="91">
        <v>5660074</v>
      </c>
      <c r="C43" s="944">
        <f>IF(A43='Data Entry - SOF'!B$2,'Report-SOF1718'!D$102,0)</f>
        <v>0</v>
      </c>
      <c r="D43" s="1037">
        <f>IF(A43='Data Entry - SOF'!B$2,'Data Entry - SOF'!#REF!,0)</f>
        <v>0</v>
      </c>
      <c r="E43" s="91">
        <f t="shared" si="0"/>
        <v>5660074</v>
      </c>
      <c r="F43" s="944">
        <f>IF(A43='Data Entry - SOF'!B$2,'Report-SOF1819'!D$102,0)</f>
        <v>0</v>
      </c>
      <c r="G43" s="1037">
        <f>IF(A43='Data Entry - SOF'!B$2,'Data Entry - SOF'!E$102,0)</f>
        <v>0</v>
      </c>
      <c r="H43" s="1038">
        <f t="shared" si="2"/>
        <v>5660074</v>
      </c>
      <c r="I43" s="944">
        <f>IF(A43='Data Entry - SOF'!B$2,'Report-SOF1920-HB3'!D$102,0)</f>
        <v>0</v>
      </c>
      <c r="J43" s="1037">
        <f>IF(A43='Data Entry - SOF'!B$2,'Data Entry - SOF'!G$102,0)</f>
        <v>0</v>
      </c>
      <c r="K43" s="717">
        <f t="shared" si="3"/>
        <v>5660074</v>
      </c>
      <c r="L43" s="944">
        <f>IF(A43='Data Entry - SOF'!B$2,'Report-SOF2021'!D$99,0)</f>
        <v>0</v>
      </c>
      <c r="M43" s="723">
        <f>IF(A43='Data Entry - SOF'!B$2,'Data Entry - SOF'!M$102,0)</f>
        <v>0</v>
      </c>
      <c r="N43" s="717">
        <f t="shared" si="4"/>
        <v>5660074</v>
      </c>
      <c r="O43" s="944">
        <f>IF(A43='Data Entry - SOF'!B$2,'Report-SOF2122'!D$91,0)</f>
        <v>0</v>
      </c>
      <c r="P43" s="723">
        <f>IF(A43='Data Entry - SOF'!B$2,'Data Entry - SOF'!O$102,0)</f>
        <v>0</v>
      </c>
      <c r="Q43" s="601">
        <f t="shared" si="1"/>
        <v>5660074</v>
      </c>
      <c r="R43" s="944">
        <f>IF(A43='Data Entry - SOF'!B$2,'Report-SOF2223'!D$91,0)</f>
        <v>0</v>
      </c>
      <c r="S43" s="723">
        <f>IF(A43='Data Entry - SOF'!B$2,'Data Entry - SOF'!Q$102,0)</f>
        <v>0</v>
      </c>
      <c r="T43" s="601">
        <f t="shared" si="5"/>
        <v>5660074</v>
      </c>
      <c r="U43" s="944">
        <f>IF(A43='Data Entry - SOF'!B$2,'Report-SOF2324'!D$91,0)</f>
        <v>0</v>
      </c>
      <c r="V43" s="723">
        <f>IF(A43='Data Entry - SOF'!B$2,'Data Entry - SOF'!S$102,0)</f>
        <v>0</v>
      </c>
    </row>
    <row r="44" spans="1:22" ht="15.75">
      <c r="A44" s="382" t="s">
        <v>1682</v>
      </c>
      <c r="B44" s="91">
        <v>400539</v>
      </c>
      <c r="C44" s="944">
        <f>IF(A44='Data Entry - SOF'!B$2,'Report-SOF1718'!D$102,0)</f>
        <v>0</v>
      </c>
      <c r="D44" s="1037">
        <f>IF(A44='Data Entry - SOF'!B$2,'Data Entry - SOF'!#REF!,0)</f>
        <v>0</v>
      </c>
      <c r="E44" s="91">
        <f t="shared" si="0"/>
        <v>400539</v>
      </c>
      <c r="F44" s="944">
        <f>IF(A44='Data Entry - SOF'!B$2,'Report-SOF1819'!D$102,0)</f>
        <v>0</v>
      </c>
      <c r="G44" s="1037">
        <f>IF(A44='Data Entry - SOF'!B$2,'Data Entry - SOF'!E$102,0)</f>
        <v>0</v>
      </c>
      <c r="H44" s="1038">
        <f t="shared" si="2"/>
        <v>400539</v>
      </c>
      <c r="I44" s="944">
        <f>IF(A44='Data Entry - SOF'!B$2,'Report-SOF1920-HB3'!D$102,0)</f>
        <v>0</v>
      </c>
      <c r="J44" s="1037">
        <f>IF(A44='Data Entry - SOF'!B$2,'Data Entry - SOF'!G$102,0)</f>
        <v>0</v>
      </c>
      <c r="K44" s="717">
        <f t="shared" si="3"/>
        <v>400539</v>
      </c>
      <c r="L44" s="944">
        <f>IF(A44='Data Entry - SOF'!B$2,'Report-SOF2021'!D$99,0)</f>
        <v>0</v>
      </c>
      <c r="M44" s="723">
        <f>IF(A44='Data Entry - SOF'!B$2,'Data Entry - SOF'!M$102,0)</f>
        <v>0</v>
      </c>
      <c r="N44" s="717">
        <f t="shared" si="4"/>
        <v>400539</v>
      </c>
      <c r="O44" s="944">
        <f>IF(A44='Data Entry - SOF'!B$2,'Report-SOF2122'!D$91,0)</f>
        <v>0</v>
      </c>
      <c r="P44" s="723">
        <f>IF(A44='Data Entry - SOF'!B$2,'Data Entry - SOF'!O$102,0)</f>
        <v>0</v>
      </c>
      <c r="Q44" s="601">
        <f t="shared" si="1"/>
        <v>400539</v>
      </c>
      <c r="R44" s="944">
        <f>IF(A44='Data Entry - SOF'!B$2,'Report-SOF2223'!D$91,0)</f>
        <v>0</v>
      </c>
      <c r="S44" s="723">
        <f>IF(A44='Data Entry - SOF'!B$2,'Data Entry - SOF'!Q$102,0)</f>
        <v>0</v>
      </c>
      <c r="T44" s="601">
        <f t="shared" si="5"/>
        <v>400539</v>
      </c>
      <c r="U44" s="944">
        <f>IF(A44='Data Entry - SOF'!B$2,'Report-SOF2324'!D$91,0)</f>
        <v>0</v>
      </c>
      <c r="V44" s="723">
        <f>IF(A44='Data Entry - SOF'!B$2,'Data Entry - SOF'!S$102,0)</f>
        <v>0</v>
      </c>
    </row>
    <row r="45" spans="1:22" ht="15.75">
      <c r="A45" s="382" t="s">
        <v>1685</v>
      </c>
      <c r="B45" s="91">
        <v>29782486</v>
      </c>
      <c r="C45" s="944">
        <f>IF(A45='Data Entry - SOF'!B$2,'Report-SOF1718'!D$102,0)</f>
        <v>0</v>
      </c>
      <c r="D45" s="1037">
        <f>IF(A45='Data Entry - SOF'!B$2,'Data Entry - SOF'!#REF!,0)</f>
        <v>0</v>
      </c>
      <c r="E45" s="91">
        <f t="shared" si="0"/>
        <v>29782486</v>
      </c>
      <c r="F45" s="944">
        <f>IF(A45='Data Entry - SOF'!B$2,'Report-SOF1819'!D$102,0)</f>
        <v>0</v>
      </c>
      <c r="G45" s="1037">
        <f>IF(A45='Data Entry - SOF'!B$2,'Data Entry - SOF'!E$102,0)</f>
        <v>0</v>
      </c>
      <c r="H45" s="1038">
        <f t="shared" si="2"/>
        <v>29782486</v>
      </c>
      <c r="I45" s="944">
        <f>IF(A45='Data Entry - SOF'!B$2,'Report-SOF1920-HB3'!D$102,0)</f>
        <v>0</v>
      </c>
      <c r="J45" s="1037">
        <f>IF(A45='Data Entry - SOF'!B$2,'Data Entry - SOF'!G$102,0)</f>
        <v>0</v>
      </c>
      <c r="K45" s="717">
        <f t="shared" si="3"/>
        <v>29782486</v>
      </c>
      <c r="L45" s="944">
        <f>IF(A45='Data Entry - SOF'!B$2,'Report-SOF2021'!D$99,0)</f>
        <v>0</v>
      </c>
      <c r="M45" s="723">
        <f>IF(A45='Data Entry - SOF'!B$2,'Data Entry - SOF'!M$102,0)</f>
        <v>0</v>
      </c>
      <c r="N45" s="717">
        <f t="shared" si="4"/>
        <v>29782486</v>
      </c>
      <c r="O45" s="944">
        <f>IF(A45='Data Entry - SOF'!B$2,'Report-SOF2122'!D$91,0)</f>
        <v>0</v>
      </c>
      <c r="P45" s="723">
        <f>IF(A45='Data Entry - SOF'!B$2,'Data Entry - SOF'!O$102,0)</f>
        <v>0</v>
      </c>
      <c r="Q45" s="601">
        <f t="shared" si="1"/>
        <v>29782486</v>
      </c>
      <c r="R45" s="944">
        <f>IF(A45='Data Entry - SOF'!B$2,'Report-SOF2223'!D$91,0)</f>
        <v>0</v>
      </c>
      <c r="S45" s="723">
        <f>IF(A45='Data Entry - SOF'!B$2,'Data Entry - SOF'!Q$102,0)</f>
        <v>0</v>
      </c>
      <c r="T45" s="601">
        <f t="shared" si="5"/>
        <v>29782486</v>
      </c>
      <c r="U45" s="944">
        <f>IF(A45='Data Entry - SOF'!B$2,'Report-SOF2324'!D$91,0)</f>
        <v>0</v>
      </c>
      <c r="V45" s="723">
        <f>IF(A45='Data Entry - SOF'!B$2,'Data Entry - SOF'!S$102,0)</f>
        <v>0</v>
      </c>
    </row>
    <row r="46" spans="1:22" ht="15.75">
      <c r="A46" s="382" t="s">
        <v>170</v>
      </c>
      <c r="B46" s="91">
        <v>682057</v>
      </c>
      <c r="C46" s="944">
        <f>IF(A46='Data Entry - SOF'!B$2,'Report-SOF1718'!D$102,0)</f>
        <v>0</v>
      </c>
      <c r="D46" s="1037">
        <f>IF(A46='Data Entry - SOF'!B$2,'Data Entry - SOF'!#REF!,0)</f>
        <v>0</v>
      </c>
      <c r="E46" s="91">
        <f t="shared" si="0"/>
        <v>682057</v>
      </c>
      <c r="F46" s="944">
        <f>IF(A46='Data Entry - SOF'!B$2,'Report-SOF1819'!D$102,0)</f>
        <v>0</v>
      </c>
      <c r="G46" s="1037">
        <f>IF(A46='Data Entry - SOF'!B$2,'Data Entry - SOF'!E$102,0)</f>
        <v>0</v>
      </c>
      <c r="H46" s="1038">
        <f t="shared" si="2"/>
        <v>682057</v>
      </c>
      <c r="I46" s="944">
        <f>IF(A46='Data Entry - SOF'!B$2,'Report-SOF1920-HB3'!D$102,0)</f>
        <v>0</v>
      </c>
      <c r="J46" s="1037">
        <f>IF(A46='Data Entry - SOF'!B$2,'Data Entry - SOF'!G$102,0)</f>
        <v>0</v>
      </c>
      <c r="K46" s="717">
        <f t="shared" si="3"/>
        <v>682057</v>
      </c>
      <c r="L46" s="944">
        <f>IF(A46='Data Entry - SOF'!B$2,'Report-SOF2021'!D$99,0)</f>
        <v>0</v>
      </c>
      <c r="M46" s="723">
        <f>IF(A46='Data Entry - SOF'!B$2,'Data Entry - SOF'!M$102,0)</f>
        <v>0</v>
      </c>
      <c r="N46" s="717">
        <f t="shared" si="4"/>
        <v>682057</v>
      </c>
      <c r="O46" s="944">
        <f>IF(A46='Data Entry - SOF'!B$2,'Report-SOF2122'!D$91,0)</f>
        <v>0</v>
      </c>
      <c r="P46" s="723">
        <f>IF(A46='Data Entry - SOF'!B$2,'Data Entry - SOF'!O$102,0)</f>
        <v>0</v>
      </c>
      <c r="Q46" s="601">
        <f t="shared" si="1"/>
        <v>682057</v>
      </c>
      <c r="R46" s="944">
        <f>IF(A46='Data Entry - SOF'!B$2,'Report-SOF2223'!D$91,0)</f>
        <v>0</v>
      </c>
      <c r="S46" s="723">
        <f>IF(A46='Data Entry - SOF'!B$2,'Data Entry - SOF'!Q$102,0)</f>
        <v>0</v>
      </c>
      <c r="T46" s="601">
        <f t="shared" si="5"/>
        <v>682057</v>
      </c>
      <c r="U46" s="944">
        <f>IF(A46='Data Entry - SOF'!B$2,'Report-SOF2324'!D$91,0)</f>
        <v>0</v>
      </c>
      <c r="V46" s="723">
        <f>IF(A46='Data Entry - SOF'!B$2,'Data Entry - SOF'!S$102,0)</f>
        <v>0</v>
      </c>
    </row>
    <row r="47" spans="1:22" ht="15.75">
      <c r="A47" s="382" t="s">
        <v>53</v>
      </c>
      <c r="B47" s="91">
        <v>26827828</v>
      </c>
      <c r="C47" s="944">
        <f>IF(A47='Data Entry - SOF'!B$2,'Report-SOF1718'!D$102,0)</f>
        <v>0</v>
      </c>
      <c r="D47" s="1037">
        <f>IF(A47='Data Entry - SOF'!B$2,'Data Entry - SOF'!#REF!,0)</f>
        <v>0</v>
      </c>
      <c r="E47" s="91">
        <f t="shared" si="0"/>
        <v>26827828</v>
      </c>
      <c r="F47" s="944">
        <f>IF(A47='Data Entry - SOF'!B$2,'Report-SOF1819'!D$102,0)</f>
        <v>0</v>
      </c>
      <c r="G47" s="1037">
        <f>IF(A47='Data Entry - SOF'!B$2,'Data Entry - SOF'!E$102,0)</f>
        <v>0</v>
      </c>
      <c r="H47" s="1038">
        <f t="shared" si="2"/>
        <v>26827828</v>
      </c>
      <c r="I47" s="944">
        <f>IF(A47='Data Entry - SOF'!B$2,'Report-SOF1920-HB3'!D$102,0)</f>
        <v>0</v>
      </c>
      <c r="J47" s="1037">
        <f>IF(A47='Data Entry - SOF'!B$2,'Data Entry - SOF'!G$102,0)</f>
        <v>0</v>
      </c>
      <c r="K47" s="717">
        <f t="shared" si="3"/>
        <v>26827828</v>
      </c>
      <c r="L47" s="944">
        <f>IF(A47='Data Entry - SOF'!B$2,'Report-SOF2021'!D$99,0)</f>
        <v>0</v>
      </c>
      <c r="M47" s="723">
        <f>IF(A47='Data Entry - SOF'!B$2,'Data Entry - SOF'!M$102,0)</f>
        <v>0</v>
      </c>
      <c r="N47" s="717">
        <f t="shared" si="4"/>
        <v>26827828</v>
      </c>
      <c r="O47" s="944">
        <f>IF(A47='Data Entry - SOF'!B$2,'Report-SOF2122'!D$91,0)</f>
        <v>0</v>
      </c>
      <c r="P47" s="723">
        <f>IF(A47='Data Entry - SOF'!B$2,'Data Entry - SOF'!O$102,0)</f>
        <v>0</v>
      </c>
      <c r="Q47" s="601">
        <f t="shared" si="1"/>
        <v>26827828</v>
      </c>
      <c r="R47" s="944">
        <f>IF(A47='Data Entry - SOF'!B$2,'Report-SOF2223'!D$91,0)</f>
        <v>0</v>
      </c>
      <c r="S47" s="723">
        <f>IF(A47='Data Entry - SOF'!B$2,'Data Entry - SOF'!Q$102,0)</f>
        <v>0</v>
      </c>
      <c r="T47" s="601">
        <f t="shared" si="5"/>
        <v>26827828</v>
      </c>
      <c r="U47" s="944">
        <f>IF(A47='Data Entry - SOF'!B$2,'Report-SOF2324'!D$91,0)</f>
        <v>0</v>
      </c>
      <c r="V47" s="723">
        <f>IF(A47='Data Entry - SOF'!B$2,'Data Entry - SOF'!S$102,0)</f>
        <v>0</v>
      </c>
    </row>
    <row r="48" spans="1:22" ht="15.75">
      <c r="A48" s="382" t="s">
        <v>166</v>
      </c>
      <c r="B48" s="91">
        <v>2310356</v>
      </c>
      <c r="C48" s="944">
        <f>IF(A48='Data Entry - SOF'!B$2,'Report-SOF1718'!D$102,0)</f>
        <v>0</v>
      </c>
      <c r="D48" s="1037">
        <f>IF(A48='Data Entry - SOF'!B$2,'Data Entry - SOF'!#REF!,0)</f>
        <v>0</v>
      </c>
      <c r="E48" s="91">
        <f t="shared" si="0"/>
        <v>2310356</v>
      </c>
      <c r="F48" s="944">
        <f>IF(A48='Data Entry - SOF'!B$2,'Report-SOF1819'!D$102,0)</f>
        <v>0</v>
      </c>
      <c r="G48" s="1037">
        <f>IF(A48='Data Entry - SOF'!B$2,'Data Entry - SOF'!E$102,0)</f>
        <v>0</v>
      </c>
      <c r="H48" s="1038">
        <f t="shared" si="2"/>
        <v>2310356</v>
      </c>
      <c r="I48" s="944">
        <f>IF(A48='Data Entry - SOF'!B$2,'Report-SOF1920-HB3'!D$102,0)</f>
        <v>0</v>
      </c>
      <c r="J48" s="1037">
        <f>IF(A48='Data Entry - SOF'!B$2,'Data Entry - SOF'!G$102,0)</f>
        <v>0</v>
      </c>
      <c r="K48" s="717">
        <f t="shared" si="3"/>
        <v>2310356</v>
      </c>
      <c r="L48" s="944">
        <f>IF(A48='Data Entry - SOF'!B$2,'Report-SOF2021'!D$99,0)</f>
        <v>0</v>
      </c>
      <c r="M48" s="723">
        <f>IF(A48='Data Entry - SOF'!B$2,'Data Entry - SOF'!M$102,0)</f>
        <v>0</v>
      </c>
      <c r="N48" s="717">
        <f t="shared" si="4"/>
        <v>2310356</v>
      </c>
      <c r="O48" s="944">
        <f>IF(A48='Data Entry - SOF'!B$2,'Report-SOF2122'!D$91,0)</f>
        <v>0</v>
      </c>
      <c r="P48" s="723">
        <f>IF(A48='Data Entry - SOF'!B$2,'Data Entry - SOF'!O$102,0)</f>
        <v>0</v>
      </c>
      <c r="Q48" s="601">
        <f t="shared" si="1"/>
        <v>2310356</v>
      </c>
      <c r="R48" s="944">
        <f>IF(A48='Data Entry - SOF'!B$2,'Report-SOF2223'!D$91,0)</f>
        <v>0</v>
      </c>
      <c r="S48" s="723">
        <f>IF(A48='Data Entry - SOF'!B$2,'Data Entry - SOF'!Q$102,0)</f>
        <v>0</v>
      </c>
      <c r="T48" s="601">
        <f t="shared" si="5"/>
        <v>2310356</v>
      </c>
      <c r="U48" s="944">
        <f>IF(A48='Data Entry - SOF'!B$2,'Report-SOF2324'!D$91,0)</f>
        <v>0</v>
      </c>
      <c r="V48" s="723">
        <f>IF(A48='Data Entry - SOF'!B$2,'Data Entry - SOF'!S$102,0)</f>
        <v>0</v>
      </c>
    </row>
    <row r="49" spans="1:22" ht="15.75">
      <c r="A49" s="382" t="s">
        <v>1312</v>
      </c>
      <c r="B49" s="91">
        <v>5585846</v>
      </c>
      <c r="C49" s="944">
        <f>IF(A49='Data Entry - SOF'!B$2,'Report-SOF1718'!D$102,0)</f>
        <v>0</v>
      </c>
      <c r="D49" s="1037">
        <f>IF(A49='Data Entry - SOF'!B$2,'Data Entry - SOF'!#REF!,0)</f>
        <v>0</v>
      </c>
      <c r="E49" s="91">
        <f t="shared" si="0"/>
        <v>5585846</v>
      </c>
      <c r="F49" s="944">
        <f>IF(A49='Data Entry - SOF'!B$2,'Report-SOF1819'!D$102,0)</f>
        <v>0</v>
      </c>
      <c r="G49" s="1037">
        <f>IF(A49='Data Entry - SOF'!B$2,'Data Entry - SOF'!E$102,0)</f>
        <v>0</v>
      </c>
      <c r="H49" s="1038">
        <f t="shared" si="2"/>
        <v>5585846</v>
      </c>
      <c r="I49" s="944">
        <f>IF(A49='Data Entry - SOF'!B$2,'Report-SOF1920-HB3'!D$102,0)</f>
        <v>0</v>
      </c>
      <c r="J49" s="1037">
        <f>IF(A49='Data Entry - SOF'!B$2,'Data Entry - SOF'!G$102,0)</f>
        <v>0</v>
      </c>
      <c r="K49" s="717">
        <f t="shared" si="3"/>
        <v>5585846</v>
      </c>
      <c r="L49" s="944">
        <f>IF(A49='Data Entry - SOF'!B$2,'Report-SOF2021'!D$99,0)</f>
        <v>0</v>
      </c>
      <c r="M49" s="723">
        <f>IF(A49='Data Entry - SOF'!B$2,'Data Entry - SOF'!M$102,0)</f>
        <v>0</v>
      </c>
      <c r="N49" s="717">
        <f t="shared" si="4"/>
        <v>5585846</v>
      </c>
      <c r="O49" s="944">
        <f>IF(A49='Data Entry - SOF'!B$2,'Report-SOF2122'!D$91,0)</f>
        <v>0</v>
      </c>
      <c r="P49" s="723">
        <f>IF(A49='Data Entry - SOF'!B$2,'Data Entry - SOF'!O$102,0)</f>
        <v>0</v>
      </c>
      <c r="Q49" s="601">
        <f t="shared" si="1"/>
        <v>5585846</v>
      </c>
      <c r="R49" s="944">
        <f>IF(A49='Data Entry - SOF'!B$2,'Report-SOF2223'!D$91,0)</f>
        <v>0</v>
      </c>
      <c r="S49" s="723">
        <f>IF(A49='Data Entry - SOF'!B$2,'Data Entry - SOF'!Q$102,0)</f>
        <v>0</v>
      </c>
      <c r="T49" s="601">
        <f t="shared" si="5"/>
        <v>5585846</v>
      </c>
      <c r="U49" s="944">
        <f>IF(A49='Data Entry - SOF'!B$2,'Report-SOF2324'!D$91,0)</f>
        <v>0</v>
      </c>
      <c r="V49" s="723">
        <f>IF(A49='Data Entry - SOF'!B$2,'Data Entry - SOF'!S$102,0)</f>
        <v>0</v>
      </c>
    </row>
    <row r="50" spans="1:22" ht="15.75">
      <c r="A50" s="382" t="s">
        <v>1514</v>
      </c>
      <c r="B50" s="91">
        <v>36434675</v>
      </c>
      <c r="C50" s="944">
        <f>IF(A50='Data Entry - SOF'!B$2,'Report-SOF1718'!D$102,0)</f>
        <v>0</v>
      </c>
      <c r="D50" s="1037">
        <f>IF(A50='Data Entry - SOF'!B$2,'Data Entry - SOF'!#REF!,0)</f>
        <v>0</v>
      </c>
      <c r="E50" s="91">
        <f t="shared" si="0"/>
        <v>36434675</v>
      </c>
      <c r="F50" s="944">
        <f>IF(A50='Data Entry - SOF'!B$2,'Report-SOF1819'!D$102,0)</f>
        <v>0</v>
      </c>
      <c r="G50" s="1037">
        <f>IF(A50='Data Entry - SOF'!B$2,'Data Entry - SOF'!E$102,0)</f>
        <v>0</v>
      </c>
      <c r="H50" s="1038">
        <f t="shared" si="2"/>
        <v>36434675</v>
      </c>
      <c r="I50" s="944">
        <f>IF(A50='Data Entry - SOF'!B$2,'Report-SOF1920-HB3'!D$102,0)</f>
        <v>0</v>
      </c>
      <c r="J50" s="1037">
        <f>IF(A50='Data Entry - SOF'!B$2,'Data Entry - SOF'!G$102,0)</f>
        <v>0</v>
      </c>
      <c r="K50" s="717">
        <f t="shared" si="3"/>
        <v>36434675</v>
      </c>
      <c r="L50" s="944">
        <f>IF(A50='Data Entry - SOF'!B$2,'Report-SOF2021'!D$99,0)</f>
        <v>0</v>
      </c>
      <c r="M50" s="723">
        <f>IF(A50='Data Entry - SOF'!B$2,'Data Entry - SOF'!M$102,0)</f>
        <v>0</v>
      </c>
      <c r="N50" s="717">
        <f t="shared" si="4"/>
        <v>36434675</v>
      </c>
      <c r="O50" s="944">
        <f>IF(A50='Data Entry - SOF'!B$2,'Report-SOF2122'!D$91,0)</f>
        <v>0</v>
      </c>
      <c r="P50" s="723">
        <f>IF(A50='Data Entry - SOF'!B$2,'Data Entry - SOF'!O$102,0)</f>
        <v>0</v>
      </c>
      <c r="Q50" s="601">
        <f t="shared" si="1"/>
        <v>36434675</v>
      </c>
      <c r="R50" s="944">
        <f>IF(A50='Data Entry - SOF'!B$2,'Report-SOF2223'!D$91,0)</f>
        <v>0</v>
      </c>
      <c r="S50" s="723">
        <f>IF(A50='Data Entry - SOF'!B$2,'Data Entry - SOF'!Q$102,0)</f>
        <v>0</v>
      </c>
      <c r="T50" s="601">
        <f t="shared" si="5"/>
        <v>36434675</v>
      </c>
      <c r="U50" s="944">
        <f>IF(A50='Data Entry - SOF'!B$2,'Report-SOF2324'!D$91,0)</f>
        <v>0</v>
      </c>
      <c r="V50" s="723">
        <f>IF(A50='Data Entry - SOF'!B$2,'Data Entry - SOF'!S$102,0)</f>
        <v>0</v>
      </c>
    </row>
    <row r="51" spans="1:22" ht="15.75">
      <c r="A51" s="382" t="s">
        <v>1519</v>
      </c>
      <c r="B51" s="91">
        <v>2551620</v>
      </c>
      <c r="C51" s="944">
        <f>IF(A51='Data Entry - SOF'!B$2,'Report-SOF1718'!D$102,0)</f>
        <v>0</v>
      </c>
      <c r="D51" s="1037">
        <f>IF(A51='Data Entry - SOF'!B$2,'Data Entry - SOF'!#REF!,0)</f>
        <v>0</v>
      </c>
      <c r="E51" s="91">
        <f t="shared" si="0"/>
        <v>2551620</v>
      </c>
      <c r="F51" s="944">
        <f>IF(A51='Data Entry - SOF'!B$2,'Report-SOF1819'!D$102,0)</f>
        <v>0</v>
      </c>
      <c r="G51" s="1037">
        <f>IF(A51='Data Entry - SOF'!B$2,'Data Entry - SOF'!E$102,0)</f>
        <v>0</v>
      </c>
      <c r="H51" s="1038">
        <f t="shared" si="2"/>
        <v>2551620</v>
      </c>
      <c r="I51" s="944">
        <f>IF(A51='Data Entry - SOF'!B$2,'Report-SOF1920-HB3'!D$102,0)</f>
        <v>0</v>
      </c>
      <c r="J51" s="1037">
        <f>IF(A51='Data Entry - SOF'!B$2,'Data Entry - SOF'!G$102,0)</f>
        <v>0</v>
      </c>
      <c r="K51" s="717">
        <f t="shared" si="3"/>
        <v>2551620</v>
      </c>
      <c r="L51" s="944">
        <f>IF(A51='Data Entry - SOF'!B$2,'Report-SOF2021'!D$99,0)</f>
        <v>0</v>
      </c>
      <c r="M51" s="723">
        <f>IF(A51='Data Entry - SOF'!B$2,'Data Entry - SOF'!M$102,0)</f>
        <v>0</v>
      </c>
      <c r="N51" s="717">
        <f t="shared" si="4"/>
        <v>2551620</v>
      </c>
      <c r="O51" s="944">
        <f>IF(A51='Data Entry - SOF'!B$2,'Report-SOF2122'!D$91,0)</f>
        <v>0</v>
      </c>
      <c r="P51" s="723">
        <f>IF(A51='Data Entry - SOF'!B$2,'Data Entry - SOF'!O$102,0)</f>
        <v>0</v>
      </c>
      <c r="Q51" s="601">
        <f t="shared" si="1"/>
        <v>2551620</v>
      </c>
      <c r="R51" s="944">
        <f>IF(A51='Data Entry - SOF'!B$2,'Report-SOF2223'!D$91,0)</f>
        <v>0</v>
      </c>
      <c r="S51" s="723">
        <f>IF(A51='Data Entry - SOF'!B$2,'Data Entry - SOF'!Q$102,0)</f>
        <v>0</v>
      </c>
      <c r="T51" s="601">
        <f t="shared" si="5"/>
        <v>2551620</v>
      </c>
      <c r="U51" s="944">
        <f>IF(A51='Data Entry - SOF'!B$2,'Report-SOF2324'!D$91,0)</f>
        <v>0</v>
      </c>
      <c r="V51" s="723">
        <f>IF(A51='Data Entry - SOF'!B$2,'Data Entry - SOF'!S$102,0)</f>
        <v>0</v>
      </c>
    </row>
    <row r="52" spans="1:22" ht="15.75">
      <c r="A52" s="382" t="s">
        <v>423</v>
      </c>
      <c r="B52" s="91">
        <v>61567016</v>
      </c>
      <c r="C52" s="944">
        <f>IF(A52='Data Entry - SOF'!B$2,'Report-SOF1718'!D$102,0)</f>
        <v>0</v>
      </c>
      <c r="D52" s="1037">
        <f>IF(A52='Data Entry - SOF'!B$2,'Data Entry - SOF'!#REF!,0)</f>
        <v>0</v>
      </c>
      <c r="E52" s="91">
        <f t="shared" si="0"/>
        <v>61567016</v>
      </c>
      <c r="F52" s="944">
        <f>IF(A52='Data Entry - SOF'!B$2,'Report-SOF1819'!D$102,0)</f>
        <v>0</v>
      </c>
      <c r="G52" s="1037">
        <f>IF(A52='Data Entry - SOF'!B$2,'Data Entry - SOF'!E$102,0)</f>
        <v>0</v>
      </c>
      <c r="H52" s="1038">
        <f t="shared" si="2"/>
        <v>61567016</v>
      </c>
      <c r="I52" s="944">
        <f>IF(A52='Data Entry - SOF'!B$2,'Report-SOF1920-HB3'!D$102,0)</f>
        <v>0</v>
      </c>
      <c r="J52" s="1037">
        <f>IF(A52='Data Entry - SOF'!B$2,'Data Entry - SOF'!G$102,0)</f>
        <v>0</v>
      </c>
      <c r="K52" s="717">
        <f t="shared" si="3"/>
        <v>61567016</v>
      </c>
      <c r="L52" s="944">
        <f>IF(A52='Data Entry - SOF'!B$2,'Report-SOF2021'!D$99,0)</f>
        <v>0</v>
      </c>
      <c r="M52" s="723">
        <f>IF(A52='Data Entry - SOF'!B$2,'Data Entry - SOF'!M$102,0)</f>
        <v>0</v>
      </c>
      <c r="N52" s="717">
        <f t="shared" si="4"/>
        <v>61567016</v>
      </c>
      <c r="O52" s="944">
        <f>IF(A52='Data Entry - SOF'!B$2,'Report-SOF2122'!D$91,0)</f>
        <v>0</v>
      </c>
      <c r="P52" s="723">
        <f>IF(A52='Data Entry - SOF'!B$2,'Data Entry - SOF'!O$102,0)</f>
        <v>0</v>
      </c>
      <c r="Q52" s="601">
        <f t="shared" si="1"/>
        <v>61567016</v>
      </c>
      <c r="R52" s="944">
        <f>IF(A52='Data Entry - SOF'!B$2,'Report-SOF2223'!D$91,0)</f>
        <v>0</v>
      </c>
      <c r="S52" s="723">
        <f>IF(A52='Data Entry - SOF'!B$2,'Data Entry - SOF'!Q$102,0)</f>
        <v>0</v>
      </c>
      <c r="T52" s="601">
        <f t="shared" si="5"/>
        <v>61567016</v>
      </c>
      <c r="U52" s="944">
        <f>IF(A52='Data Entry - SOF'!B$2,'Report-SOF2324'!D$91,0)</f>
        <v>0</v>
      </c>
      <c r="V52" s="723">
        <f>IF(A52='Data Entry - SOF'!B$2,'Data Entry - SOF'!S$102,0)</f>
        <v>0</v>
      </c>
    </row>
    <row r="53" spans="1:22" ht="15.75">
      <c r="A53" s="382" t="s">
        <v>1859</v>
      </c>
      <c r="B53" s="91">
        <v>9533572</v>
      </c>
      <c r="C53" s="944">
        <f>IF(A53='Data Entry - SOF'!B$2,'Report-SOF1718'!D$102,0)</f>
        <v>0</v>
      </c>
      <c r="D53" s="1037">
        <f>IF(A53='Data Entry - SOF'!B$2,'Data Entry - SOF'!#REF!,0)</f>
        <v>0</v>
      </c>
      <c r="E53" s="91">
        <f t="shared" si="0"/>
        <v>9533572</v>
      </c>
      <c r="F53" s="944">
        <f>IF(A53='Data Entry - SOF'!B$2,'Report-SOF1819'!D$102,0)</f>
        <v>0</v>
      </c>
      <c r="G53" s="1037">
        <f>IF(A53='Data Entry - SOF'!B$2,'Data Entry - SOF'!E$102,0)</f>
        <v>0</v>
      </c>
      <c r="H53" s="1038">
        <f t="shared" si="2"/>
        <v>9533572</v>
      </c>
      <c r="I53" s="944">
        <f>IF(A53='Data Entry - SOF'!B$2,'Report-SOF1920-HB3'!D$102,0)</f>
        <v>0</v>
      </c>
      <c r="J53" s="1037">
        <f>IF(A53='Data Entry - SOF'!B$2,'Data Entry - SOF'!G$102,0)</f>
        <v>0</v>
      </c>
      <c r="K53" s="717">
        <f t="shared" si="3"/>
        <v>9533572</v>
      </c>
      <c r="L53" s="944">
        <f>IF(A53='Data Entry - SOF'!B$2,'Report-SOF2021'!D$99,0)</f>
        <v>0</v>
      </c>
      <c r="M53" s="723">
        <f>IF(A53='Data Entry - SOF'!B$2,'Data Entry - SOF'!M$102,0)</f>
        <v>0</v>
      </c>
      <c r="N53" s="717">
        <f t="shared" si="4"/>
        <v>9533572</v>
      </c>
      <c r="O53" s="944">
        <f>IF(A53='Data Entry - SOF'!B$2,'Report-SOF2122'!D$91,0)</f>
        <v>0</v>
      </c>
      <c r="P53" s="723">
        <f>IF(A53='Data Entry - SOF'!B$2,'Data Entry - SOF'!O$102,0)</f>
        <v>0</v>
      </c>
      <c r="Q53" s="601">
        <f t="shared" si="1"/>
        <v>9533572</v>
      </c>
      <c r="R53" s="944">
        <f>IF(A53='Data Entry - SOF'!B$2,'Report-SOF2223'!D$91,0)</f>
        <v>0</v>
      </c>
      <c r="S53" s="723">
        <f>IF(A53='Data Entry - SOF'!B$2,'Data Entry - SOF'!Q$102,0)</f>
        <v>0</v>
      </c>
      <c r="T53" s="601">
        <f t="shared" si="5"/>
        <v>9533572</v>
      </c>
      <c r="U53" s="944">
        <f>IF(A53='Data Entry - SOF'!B$2,'Report-SOF2324'!D$91,0)</f>
        <v>0</v>
      </c>
      <c r="V53" s="723">
        <f>IF(A53='Data Entry - SOF'!B$2,'Data Entry - SOF'!S$102,0)</f>
        <v>0</v>
      </c>
    </row>
    <row r="54" spans="1:22" ht="15.75">
      <c r="A54" s="382" t="s">
        <v>771</v>
      </c>
      <c r="B54" s="91">
        <v>7939233</v>
      </c>
      <c r="C54" s="944">
        <f>IF(A54='Data Entry - SOF'!B$2,'Report-SOF1718'!D$102,0)</f>
        <v>0</v>
      </c>
      <c r="D54" s="1037">
        <f>IF(A54='Data Entry - SOF'!B$2,'Data Entry - SOF'!#REF!,0)</f>
        <v>0</v>
      </c>
      <c r="E54" s="91">
        <f t="shared" si="0"/>
        <v>7939233</v>
      </c>
      <c r="F54" s="944">
        <f>IF(A54='Data Entry - SOF'!B$2,'Report-SOF1819'!D$102,0)</f>
        <v>0</v>
      </c>
      <c r="G54" s="1037">
        <f>IF(A54='Data Entry - SOF'!B$2,'Data Entry - SOF'!E$102,0)</f>
        <v>0</v>
      </c>
      <c r="H54" s="1038">
        <f t="shared" si="2"/>
        <v>7939233</v>
      </c>
      <c r="I54" s="944">
        <f>IF(A54='Data Entry - SOF'!B$2,'Report-SOF1920-HB3'!D$102,0)</f>
        <v>0</v>
      </c>
      <c r="J54" s="1037">
        <f>IF(A54='Data Entry - SOF'!B$2,'Data Entry - SOF'!G$102,0)</f>
        <v>0</v>
      </c>
      <c r="K54" s="717">
        <f t="shared" si="3"/>
        <v>7939233</v>
      </c>
      <c r="L54" s="944">
        <f>IF(A54='Data Entry - SOF'!B$2,'Report-SOF2021'!D$99,0)</f>
        <v>0</v>
      </c>
      <c r="M54" s="723">
        <f>IF(A54='Data Entry - SOF'!B$2,'Data Entry - SOF'!M$102,0)</f>
        <v>0</v>
      </c>
      <c r="N54" s="717">
        <f t="shared" si="4"/>
        <v>7939233</v>
      </c>
      <c r="O54" s="944">
        <f>IF(A54='Data Entry - SOF'!B$2,'Report-SOF2122'!D$91,0)</f>
        <v>0</v>
      </c>
      <c r="P54" s="723">
        <f>IF(A54='Data Entry - SOF'!B$2,'Data Entry - SOF'!O$102,0)</f>
        <v>0</v>
      </c>
      <c r="Q54" s="601">
        <f t="shared" si="1"/>
        <v>7939233</v>
      </c>
      <c r="R54" s="944">
        <f>IF(A54='Data Entry - SOF'!B$2,'Report-SOF2223'!D$91,0)</f>
        <v>0</v>
      </c>
      <c r="S54" s="723">
        <f>IF(A54='Data Entry - SOF'!B$2,'Data Entry - SOF'!Q$102,0)</f>
        <v>0</v>
      </c>
      <c r="T54" s="601">
        <f t="shared" si="5"/>
        <v>7939233</v>
      </c>
      <c r="U54" s="944">
        <f>IF(A54='Data Entry - SOF'!B$2,'Report-SOF2324'!D$91,0)</f>
        <v>0</v>
      </c>
      <c r="V54" s="723">
        <f>IF(A54='Data Entry - SOF'!B$2,'Data Entry - SOF'!S$102,0)</f>
        <v>0</v>
      </c>
    </row>
    <row r="55" spans="1:22" ht="15.75">
      <c r="A55" s="382" t="s">
        <v>1314</v>
      </c>
      <c r="B55" s="91">
        <v>103500663</v>
      </c>
      <c r="C55" s="944">
        <f>IF(A55='Data Entry - SOF'!B$2,'Report-SOF1718'!D$102,0)</f>
        <v>0</v>
      </c>
      <c r="D55" s="1037">
        <f>IF(A55='Data Entry - SOF'!B$2,'Data Entry - SOF'!#REF!,0)</f>
        <v>0</v>
      </c>
      <c r="E55" s="91">
        <f t="shared" si="0"/>
        <v>103500663</v>
      </c>
      <c r="F55" s="944">
        <f>IF(A55='Data Entry - SOF'!B$2,'Report-SOF1819'!D$102,0)</f>
        <v>0</v>
      </c>
      <c r="G55" s="1037">
        <f>IF(A55='Data Entry - SOF'!B$2,'Data Entry - SOF'!E$102,0)</f>
        <v>0</v>
      </c>
      <c r="H55" s="1038">
        <f t="shared" si="2"/>
        <v>103500663</v>
      </c>
      <c r="I55" s="944">
        <f>IF(A55='Data Entry - SOF'!B$2,'Report-SOF1920-HB3'!D$102,0)</f>
        <v>0</v>
      </c>
      <c r="J55" s="1037">
        <f>IF(A55='Data Entry - SOF'!B$2,'Data Entry - SOF'!G$102,0)</f>
        <v>0</v>
      </c>
      <c r="K55" s="717">
        <f t="shared" si="3"/>
        <v>103500663</v>
      </c>
      <c r="L55" s="944">
        <f>IF(A55='Data Entry - SOF'!B$2,'Report-SOF2021'!D$99,0)</f>
        <v>0</v>
      </c>
      <c r="M55" s="723">
        <f>IF(A55='Data Entry - SOF'!B$2,'Data Entry - SOF'!M$102,0)</f>
        <v>0</v>
      </c>
      <c r="N55" s="717">
        <f t="shared" si="4"/>
        <v>103500663</v>
      </c>
      <c r="O55" s="944">
        <f>IF(A55='Data Entry - SOF'!B$2,'Report-SOF2122'!D$91,0)</f>
        <v>0</v>
      </c>
      <c r="P55" s="723">
        <f>IF(A55='Data Entry - SOF'!B$2,'Data Entry - SOF'!O$102,0)</f>
        <v>0</v>
      </c>
      <c r="Q55" s="601">
        <f t="shared" si="1"/>
        <v>103500663</v>
      </c>
      <c r="R55" s="944">
        <f>IF(A55='Data Entry - SOF'!B$2,'Report-SOF2223'!D$91,0)</f>
        <v>0</v>
      </c>
      <c r="S55" s="723">
        <f>IF(A55='Data Entry - SOF'!B$2,'Data Entry - SOF'!Q$102,0)</f>
        <v>0</v>
      </c>
      <c r="T55" s="601">
        <f t="shared" si="5"/>
        <v>103500663</v>
      </c>
      <c r="U55" s="944">
        <f>IF(A55='Data Entry - SOF'!B$2,'Report-SOF2324'!D$91,0)</f>
        <v>0</v>
      </c>
      <c r="V55" s="723">
        <f>IF(A55='Data Entry - SOF'!B$2,'Data Entry - SOF'!S$102,0)</f>
        <v>0</v>
      </c>
    </row>
    <row r="56" spans="1:22" ht="15.75">
      <c r="A56" s="382" t="s">
        <v>1506</v>
      </c>
      <c r="B56" s="91">
        <v>16916072</v>
      </c>
      <c r="C56" s="944">
        <f>IF(A56='Data Entry - SOF'!B$2,'Report-SOF1718'!D$102,0)</f>
        <v>0</v>
      </c>
      <c r="D56" s="1037">
        <f>IF(A56='Data Entry - SOF'!B$2,'Data Entry - SOF'!#REF!,0)</f>
        <v>0</v>
      </c>
      <c r="E56" s="91">
        <f t="shared" si="0"/>
        <v>16916072</v>
      </c>
      <c r="F56" s="944">
        <f>IF(A56='Data Entry - SOF'!B$2,'Report-SOF1819'!D$102,0)</f>
        <v>0</v>
      </c>
      <c r="G56" s="1037">
        <f>IF(A56='Data Entry - SOF'!B$2,'Data Entry - SOF'!E$102,0)</f>
        <v>0</v>
      </c>
      <c r="H56" s="1038">
        <f t="shared" si="2"/>
        <v>16916072</v>
      </c>
      <c r="I56" s="944">
        <f>IF(A56='Data Entry - SOF'!B$2,'Report-SOF1920-HB3'!D$102,0)</f>
        <v>0</v>
      </c>
      <c r="J56" s="1037">
        <f>IF(A56='Data Entry - SOF'!B$2,'Data Entry - SOF'!G$102,0)</f>
        <v>0</v>
      </c>
      <c r="K56" s="717">
        <f t="shared" si="3"/>
        <v>16916072</v>
      </c>
      <c r="L56" s="944">
        <f>IF(A56='Data Entry - SOF'!B$2,'Report-SOF2021'!D$99,0)</f>
        <v>0</v>
      </c>
      <c r="M56" s="723">
        <f>IF(A56='Data Entry - SOF'!B$2,'Data Entry - SOF'!M$102,0)</f>
        <v>0</v>
      </c>
      <c r="N56" s="717">
        <f t="shared" si="4"/>
        <v>16916072</v>
      </c>
      <c r="O56" s="944">
        <f>IF(A56='Data Entry - SOF'!B$2,'Report-SOF2122'!D$91,0)</f>
        <v>0</v>
      </c>
      <c r="P56" s="723">
        <f>IF(A56='Data Entry - SOF'!B$2,'Data Entry - SOF'!O$102,0)</f>
        <v>0</v>
      </c>
      <c r="Q56" s="601">
        <f t="shared" si="1"/>
        <v>16916072</v>
      </c>
      <c r="R56" s="944">
        <f>IF(A56='Data Entry - SOF'!B$2,'Report-SOF2223'!D$91,0)</f>
        <v>0</v>
      </c>
      <c r="S56" s="723">
        <f>IF(A56='Data Entry - SOF'!B$2,'Data Entry - SOF'!Q$102,0)</f>
        <v>0</v>
      </c>
      <c r="T56" s="601">
        <f t="shared" si="5"/>
        <v>16916072</v>
      </c>
      <c r="U56" s="944">
        <f>IF(A56='Data Entry - SOF'!B$2,'Report-SOF2324'!D$91,0)</f>
        <v>0</v>
      </c>
      <c r="V56" s="723">
        <f>IF(A56='Data Entry - SOF'!B$2,'Data Entry - SOF'!S$102,0)</f>
        <v>0</v>
      </c>
    </row>
    <row r="57" spans="1:22" ht="15.75">
      <c r="A57" s="382" t="s">
        <v>1152</v>
      </c>
      <c r="B57" s="91">
        <v>1815028</v>
      </c>
      <c r="C57" s="944">
        <f>IF(A57='Data Entry - SOF'!B$2,'Report-SOF1718'!D$102,0)</f>
        <v>0</v>
      </c>
      <c r="D57" s="1037">
        <f>IF(A57='Data Entry - SOF'!B$2,'Data Entry - SOF'!#REF!,0)</f>
        <v>0</v>
      </c>
      <c r="E57" s="91">
        <f t="shared" si="0"/>
        <v>1815028</v>
      </c>
      <c r="F57" s="944">
        <f>IF(A57='Data Entry - SOF'!B$2,'Report-SOF1819'!D$102,0)</f>
        <v>0</v>
      </c>
      <c r="G57" s="1037">
        <f>IF(A57='Data Entry - SOF'!B$2,'Data Entry - SOF'!E$102,0)</f>
        <v>0</v>
      </c>
      <c r="H57" s="1038">
        <f t="shared" si="2"/>
        <v>1815028</v>
      </c>
      <c r="I57" s="944">
        <f>IF(A57='Data Entry - SOF'!B$2,'Report-SOF1920-HB3'!D$102,0)</f>
        <v>0</v>
      </c>
      <c r="J57" s="1037">
        <f>IF(A57='Data Entry - SOF'!B$2,'Data Entry - SOF'!G$102,0)</f>
        <v>0</v>
      </c>
      <c r="K57" s="717">
        <f t="shared" si="3"/>
        <v>1815028</v>
      </c>
      <c r="L57" s="944">
        <f>IF(A57='Data Entry - SOF'!B$2,'Report-SOF2021'!D$99,0)</f>
        <v>0</v>
      </c>
      <c r="M57" s="723">
        <f>IF(A57='Data Entry - SOF'!B$2,'Data Entry - SOF'!M$102,0)</f>
        <v>0</v>
      </c>
      <c r="N57" s="717">
        <f t="shared" si="4"/>
        <v>1815028</v>
      </c>
      <c r="O57" s="944">
        <f>IF(A57='Data Entry - SOF'!B$2,'Report-SOF2122'!D$91,0)</f>
        <v>0</v>
      </c>
      <c r="P57" s="723">
        <f>IF(A57='Data Entry - SOF'!B$2,'Data Entry - SOF'!O$102,0)</f>
        <v>0</v>
      </c>
      <c r="Q57" s="601">
        <f t="shared" si="1"/>
        <v>1815028</v>
      </c>
      <c r="R57" s="944">
        <f>IF(A57='Data Entry - SOF'!B$2,'Report-SOF2223'!D$91,0)</f>
        <v>0</v>
      </c>
      <c r="S57" s="723">
        <f>IF(A57='Data Entry - SOF'!B$2,'Data Entry - SOF'!Q$102,0)</f>
        <v>0</v>
      </c>
      <c r="T57" s="601">
        <f t="shared" si="5"/>
        <v>1815028</v>
      </c>
      <c r="U57" s="944">
        <f>IF(A57='Data Entry - SOF'!B$2,'Report-SOF2324'!D$91,0)</f>
        <v>0</v>
      </c>
      <c r="V57" s="723">
        <f>IF(A57='Data Entry - SOF'!B$2,'Data Entry - SOF'!S$102,0)</f>
        <v>0</v>
      </c>
    </row>
    <row r="58" spans="1:22" ht="15.75">
      <c r="A58" s="382" t="s">
        <v>1407</v>
      </c>
      <c r="B58" s="91">
        <v>708170727</v>
      </c>
      <c r="C58" s="944">
        <f>IF(A58='Data Entry - SOF'!B$2,'Report-SOF1718'!D$102,0)</f>
        <v>0</v>
      </c>
      <c r="D58" s="1037">
        <f>IF(A58='Data Entry - SOF'!B$2,'Data Entry - SOF'!#REF!,0)</f>
        <v>0</v>
      </c>
      <c r="E58" s="91">
        <f t="shared" si="0"/>
        <v>708170727</v>
      </c>
      <c r="F58" s="944">
        <f>IF(A58='Data Entry - SOF'!B$2,'Report-SOF1819'!D$102,0)</f>
        <v>0</v>
      </c>
      <c r="G58" s="1037">
        <f>IF(A58='Data Entry - SOF'!B$2,'Data Entry - SOF'!E$102,0)</f>
        <v>0</v>
      </c>
      <c r="H58" s="1038">
        <f t="shared" si="2"/>
        <v>708170727</v>
      </c>
      <c r="I58" s="944">
        <f>IF(A58='Data Entry - SOF'!B$2,'Report-SOF1920-HB3'!D$102,0)</f>
        <v>0</v>
      </c>
      <c r="J58" s="1037">
        <f>IF(A58='Data Entry - SOF'!B$2,'Data Entry - SOF'!G$102,0)</f>
        <v>0</v>
      </c>
      <c r="K58" s="717">
        <f t="shared" si="3"/>
        <v>708170727</v>
      </c>
      <c r="L58" s="944">
        <f>IF(A58='Data Entry - SOF'!B$2,'Report-SOF2021'!D$99,0)</f>
        <v>0</v>
      </c>
      <c r="M58" s="723">
        <f>IF(A58='Data Entry - SOF'!B$2,'Data Entry - SOF'!M$102,0)</f>
        <v>0</v>
      </c>
      <c r="N58" s="717">
        <f t="shared" si="4"/>
        <v>708170727</v>
      </c>
      <c r="O58" s="944">
        <f>IF(A58='Data Entry - SOF'!B$2,'Report-SOF2122'!D$91,0)</f>
        <v>0</v>
      </c>
      <c r="P58" s="723">
        <f>IF(A58='Data Entry - SOF'!B$2,'Data Entry - SOF'!O$102,0)</f>
        <v>0</v>
      </c>
      <c r="Q58" s="601">
        <f t="shared" si="1"/>
        <v>708170727</v>
      </c>
      <c r="R58" s="944">
        <f>IF(A58='Data Entry - SOF'!B$2,'Report-SOF2223'!D$91,0)</f>
        <v>0</v>
      </c>
      <c r="S58" s="723">
        <f>IF(A58='Data Entry - SOF'!B$2,'Data Entry - SOF'!Q$102,0)</f>
        <v>0</v>
      </c>
      <c r="T58" s="601">
        <f t="shared" si="5"/>
        <v>708170727</v>
      </c>
      <c r="U58" s="944">
        <f>IF(A58='Data Entry - SOF'!B$2,'Report-SOF2324'!D$91,0)</f>
        <v>0</v>
      </c>
      <c r="V58" s="723">
        <f>IF(A58='Data Entry - SOF'!B$2,'Data Entry - SOF'!S$102,0)</f>
        <v>0</v>
      </c>
    </row>
    <row r="59" spans="1:22" ht="15.75">
      <c r="A59" s="382" t="s">
        <v>768</v>
      </c>
      <c r="B59" s="91">
        <v>26956046</v>
      </c>
      <c r="C59" s="944">
        <f>IF(A59='Data Entry - SOF'!B$2,'Report-SOF1718'!D$102,0)</f>
        <v>0</v>
      </c>
      <c r="D59" s="1037">
        <f>IF(A59='Data Entry - SOF'!B$2,'Data Entry - SOF'!#REF!,0)</f>
        <v>0</v>
      </c>
      <c r="E59" s="91">
        <f t="shared" si="0"/>
        <v>26956046</v>
      </c>
      <c r="F59" s="944">
        <f>IF(A59='Data Entry - SOF'!B$2,'Report-SOF1819'!D$102,0)</f>
        <v>0</v>
      </c>
      <c r="G59" s="1037">
        <f>IF(A59='Data Entry - SOF'!B$2,'Data Entry - SOF'!E$102,0)</f>
        <v>0</v>
      </c>
      <c r="H59" s="1038">
        <f t="shared" si="2"/>
        <v>26956046</v>
      </c>
      <c r="I59" s="944">
        <f>IF(A59='Data Entry - SOF'!B$2,'Report-SOF1920-HB3'!D$102,0)</f>
        <v>0</v>
      </c>
      <c r="J59" s="1037">
        <f>IF(A59='Data Entry - SOF'!B$2,'Data Entry - SOF'!G$102,0)</f>
        <v>0</v>
      </c>
      <c r="K59" s="717">
        <f t="shared" si="3"/>
        <v>26956046</v>
      </c>
      <c r="L59" s="944">
        <f>IF(A59='Data Entry - SOF'!B$2,'Report-SOF2021'!D$99,0)</f>
        <v>0</v>
      </c>
      <c r="M59" s="723">
        <f>IF(A59='Data Entry - SOF'!B$2,'Data Entry - SOF'!M$102,0)</f>
        <v>0</v>
      </c>
      <c r="N59" s="717">
        <f t="shared" si="4"/>
        <v>26956046</v>
      </c>
      <c r="O59" s="944">
        <f>IF(A59='Data Entry - SOF'!B$2,'Report-SOF2122'!D$91,0)</f>
        <v>0</v>
      </c>
      <c r="P59" s="723">
        <f>IF(A59='Data Entry - SOF'!B$2,'Data Entry - SOF'!O$102,0)</f>
        <v>0</v>
      </c>
      <c r="Q59" s="601">
        <f t="shared" si="1"/>
        <v>26956046</v>
      </c>
      <c r="R59" s="944">
        <f>IF(A59='Data Entry - SOF'!B$2,'Report-SOF2223'!D$91,0)</f>
        <v>0</v>
      </c>
      <c r="S59" s="723">
        <f>IF(A59='Data Entry - SOF'!B$2,'Data Entry - SOF'!Q$102,0)</f>
        <v>0</v>
      </c>
      <c r="T59" s="601">
        <f t="shared" si="5"/>
        <v>26956046</v>
      </c>
      <c r="U59" s="944">
        <f>IF(A59='Data Entry - SOF'!B$2,'Report-SOF2324'!D$91,0)</f>
        <v>0</v>
      </c>
      <c r="V59" s="723">
        <f>IF(A59='Data Entry - SOF'!B$2,'Data Entry - SOF'!S$102,0)</f>
        <v>0</v>
      </c>
    </row>
    <row r="60" spans="1:22" ht="15.75">
      <c r="A60" s="382" t="s">
        <v>709</v>
      </c>
      <c r="B60" s="91">
        <v>34482413</v>
      </c>
      <c r="C60" s="944">
        <f>IF(A60='Data Entry - SOF'!B$2,'Report-SOF1718'!D$102,0)</f>
        <v>0</v>
      </c>
      <c r="D60" s="1037">
        <f>IF(A60='Data Entry - SOF'!B$2,'Data Entry - SOF'!#REF!,0)</f>
        <v>0</v>
      </c>
      <c r="E60" s="91">
        <f t="shared" si="0"/>
        <v>34482413</v>
      </c>
      <c r="F60" s="944">
        <f>IF(A60='Data Entry - SOF'!B$2,'Report-SOF1819'!D$102,0)</f>
        <v>0</v>
      </c>
      <c r="G60" s="1037">
        <f>IF(A60='Data Entry - SOF'!B$2,'Data Entry - SOF'!E$102,0)</f>
        <v>0</v>
      </c>
      <c r="H60" s="1038">
        <f t="shared" si="2"/>
        <v>34482413</v>
      </c>
      <c r="I60" s="944">
        <f>IF(A60='Data Entry - SOF'!B$2,'Report-SOF1920-HB3'!D$102,0)</f>
        <v>0</v>
      </c>
      <c r="J60" s="1037">
        <f>IF(A60='Data Entry - SOF'!B$2,'Data Entry - SOF'!G$102,0)</f>
        <v>0</v>
      </c>
      <c r="K60" s="717">
        <f t="shared" si="3"/>
        <v>34482413</v>
      </c>
      <c r="L60" s="944">
        <f>IF(A60='Data Entry - SOF'!B$2,'Report-SOF2021'!D$99,0)</f>
        <v>0</v>
      </c>
      <c r="M60" s="723">
        <f>IF(A60='Data Entry - SOF'!B$2,'Data Entry - SOF'!M$102,0)</f>
        <v>0</v>
      </c>
      <c r="N60" s="717">
        <f t="shared" si="4"/>
        <v>34482413</v>
      </c>
      <c r="O60" s="944">
        <f>IF(A60='Data Entry - SOF'!B$2,'Report-SOF2122'!D$91,0)</f>
        <v>0</v>
      </c>
      <c r="P60" s="723">
        <f>IF(A60='Data Entry - SOF'!B$2,'Data Entry - SOF'!O$102,0)</f>
        <v>0</v>
      </c>
      <c r="Q60" s="601">
        <f t="shared" si="1"/>
        <v>34482413</v>
      </c>
      <c r="R60" s="944">
        <f>IF(A60='Data Entry - SOF'!B$2,'Report-SOF2223'!D$91,0)</f>
        <v>0</v>
      </c>
      <c r="S60" s="723">
        <f>IF(A60='Data Entry - SOF'!B$2,'Data Entry - SOF'!Q$102,0)</f>
        <v>0</v>
      </c>
      <c r="T60" s="601">
        <f t="shared" si="5"/>
        <v>34482413</v>
      </c>
      <c r="U60" s="944">
        <f>IF(A60='Data Entry - SOF'!B$2,'Report-SOF2324'!D$91,0)</f>
        <v>0</v>
      </c>
      <c r="V60" s="723">
        <f>IF(A60='Data Entry - SOF'!B$2,'Data Entry - SOF'!S$102,0)</f>
        <v>0</v>
      </c>
    </row>
    <row r="61" spans="1:22" ht="15.75">
      <c r="A61" s="382" t="s">
        <v>1409</v>
      </c>
      <c r="B61" s="91">
        <v>606099237</v>
      </c>
      <c r="C61" s="944">
        <f>IF(A61='Data Entry - SOF'!B$2,'Report-SOF1718'!D$102,0)</f>
        <v>0</v>
      </c>
      <c r="D61" s="1037">
        <f>IF(A61='Data Entry - SOF'!B$2,'Data Entry - SOF'!#REF!,0)</f>
        <v>0</v>
      </c>
      <c r="E61" s="91">
        <f t="shared" si="0"/>
        <v>606099237</v>
      </c>
      <c r="F61" s="944">
        <f>IF(A61='Data Entry - SOF'!B$2,'Report-SOF1819'!D$102,0)</f>
        <v>0</v>
      </c>
      <c r="G61" s="1037">
        <f>IF(A61='Data Entry - SOF'!B$2,'Data Entry - SOF'!E$102,0)</f>
        <v>0</v>
      </c>
      <c r="H61" s="1038">
        <f t="shared" si="2"/>
        <v>606099237</v>
      </c>
      <c r="I61" s="944">
        <f>IF(A61='Data Entry - SOF'!B$2,'Report-SOF1920-HB3'!D$102,0)</f>
        <v>0</v>
      </c>
      <c r="J61" s="1037">
        <f>IF(A61='Data Entry - SOF'!B$2,'Data Entry - SOF'!G$102,0)</f>
        <v>0</v>
      </c>
      <c r="K61" s="717">
        <f t="shared" si="3"/>
        <v>606099237</v>
      </c>
      <c r="L61" s="944">
        <f>IF(A61='Data Entry - SOF'!B$2,'Report-SOF2021'!D$99,0)</f>
        <v>0</v>
      </c>
      <c r="M61" s="723">
        <f>IF(A61='Data Entry - SOF'!B$2,'Data Entry - SOF'!M$102,0)</f>
        <v>0</v>
      </c>
      <c r="N61" s="717">
        <f t="shared" si="4"/>
        <v>606099237</v>
      </c>
      <c r="O61" s="944">
        <f>IF(A61='Data Entry - SOF'!B$2,'Report-SOF2122'!D$91,0)</f>
        <v>0</v>
      </c>
      <c r="P61" s="723">
        <f>IF(A61='Data Entry - SOF'!B$2,'Data Entry - SOF'!O$102,0)</f>
        <v>0</v>
      </c>
      <c r="Q61" s="601">
        <f t="shared" si="1"/>
        <v>606099237</v>
      </c>
      <c r="R61" s="944">
        <f>IF(A61='Data Entry - SOF'!B$2,'Report-SOF2223'!D$91,0)</f>
        <v>0</v>
      </c>
      <c r="S61" s="723">
        <f>IF(A61='Data Entry - SOF'!B$2,'Data Entry - SOF'!Q$102,0)</f>
        <v>0</v>
      </c>
      <c r="T61" s="601">
        <f t="shared" si="5"/>
        <v>606099237</v>
      </c>
      <c r="U61" s="944">
        <f>IF(A61='Data Entry - SOF'!B$2,'Report-SOF2324'!D$91,0)</f>
        <v>0</v>
      </c>
      <c r="V61" s="723">
        <f>IF(A61='Data Entry - SOF'!B$2,'Data Entry - SOF'!S$102,0)</f>
        <v>0</v>
      </c>
    </row>
    <row r="62" spans="1:22" ht="15.75">
      <c r="A62" s="382" t="s">
        <v>46</v>
      </c>
      <c r="B62" s="91">
        <v>83579004</v>
      </c>
      <c r="C62" s="944">
        <f>IF(A62='Data Entry - SOF'!B$2,'Report-SOF1718'!D$102,0)</f>
        <v>0</v>
      </c>
      <c r="D62" s="1037">
        <f>IF(A62='Data Entry - SOF'!B$2,'Data Entry - SOF'!#REF!,0)</f>
        <v>0</v>
      </c>
      <c r="E62" s="91">
        <f t="shared" si="0"/>
        <v>83579004</v>
      </c>
      <c r="F62" s="944">
        <f>IF(A62='Data Entry - SOF'!B$2,'Report-SOF1819'!D$102,0)</f>
        <v>0</v>
      </c>
      <c r="G62" s="1037">
        <f>IF(A62='Data Entry - SOF'!B$2,'Data Entry - SOF'!E$102,0)</f>
        <v>0</v>
      </c>
      <c r="H62" s="1038">
        <f t="shared" si="2"/>
        <v>83579004</v>
      </c>
      <c r="I62" s="944">
        <f>IF(A62='Data Entry - SOF'!B$2,'Report-SOF1920-HB3'!D$102,0)</f>
        <v>0</v>
      </c>
      <c r="J62" s="1037">
        <f>IF(A62='Data Entry - SOF'!B$2,'Data Entry - SOF'!G$102,0)</f>
        <v>0</v>
      </c>
      <c r="K62" s="717">
        <f t="shared" si="3"/>
        <v>83579004</v>
      </c>
      <c r="L62" s="944">
        <f>IF(A62='Data Entry - SOF'!B$2,'Report-SOF2021'!D$99,0)</f>
        <v>0</v>
      </c>
      <c r="M62" s="723">
        <f>IF(A62='Data Entry - SOF'!B$2,'Data Entry - SOF'!M$102,0)</f>
        <v>0</v>
      </c>
      <c r="N62" s="717">
        <f t="shared" si="4"/>
        <v>83579004</v>
      </c>
      <c r="O62" s="944">
        <f>IF(A62='Data Entry - SOF'!B$2,'Report-SOF2122'!D$91,0)</f>
        <v>0</v>
      </c>
      <c r="P62" s="723">
        <f>IF(A62='Data Entry - SOF'!B$2,'Data Entry - SOF'!O$102,0)</f>
        <v>0</v>
      </c>
      <c r="Q62" s="601">
        <f t="shared" si="1"/>
        <v>83579004</v>
      </c>
      <c r="R62" s="944">
        <f>IF(A62='Data Entry - SOF'!B$2,'Report-SOF2223'!D$91,0)</f>
        <v>0</v>
      </c>
      <c r="S62" s="723">
        <f>IF(A62='Data Entry - SOF'!B$2,'Data Entry - SOF'!Q$102,0)</f>
        <v>0</v>
      </c>
      <c r="T62" s="601">
        <f t="shared" si="5"/>
        <v>83579004</v>
      </c>
      <c r="U62" s="944">
        <f>IF(A62='Data Entry - SOF'!B$2,'Report-SOF2324'!D$91,0)</f>
        <v>0</v>
      </c>
      <c r="V62" s="723">
        <f>IF(A62='Data Entry - SOF'!B$2,'Data Entry - SOF'!S$102,0)</f>
        <v>0</v>
      </c>
    </row>
    <row r="63" spans="1:22" ht="15.75">
      <c r="A63" s="382" t="s">
        <v>1507</v>
      </c>
      <c r="B63" s="91">
        <v>15394370</v>
      </c>
      <c r="C63" s="944">
        <f>IF(A63='Data Entry - SOF'!B$2,'Report-SOF1718'!D$102,0)</f>
        <v>0</v>
      </c>
      <c r="D63" s="1037">
        <f>IF(A63='Data Entry - SOF'!B$2,'Data Entry - SOF'!#REF!,0)</f>
        <v>0</v>
      </c>
      <c r="E63" s="91">
        <f t="shared" si="0"/>
        <v>15394370</v>
      </c>
      <c r="F63" s="944">
        <f>IF(A63='Data Entry - SOF'!B$2,'Report-SOF1819'!D$102,0)</f>
        <v>0</v>
      </c>
      <c r="G63" s="1037">
        <f>IF(A63='Data Entry - SOF'!B$2,'Data Entry - SOF'!E$102,0)</f>
        <v>0</v>
      </c>
      <c r="H63" s="1038">
        <f t="shared" si="2"/>
        <v>15394370</v>
      </c>
      <c r="I63" s="944">
        <f>IF(A63='Data Entry - SOF'!B$2,'Report-SOF1920-HB3'!D$102,0)</f>
        <v>0</v>
      </c>
      <c r="J63" s="1037">
        <f>IF(A63='Data Entry - SOF'!B$2,'Data Entry - SOF'!G$102,0)</f>
        <v>0</v>
      </c>
      <c r="K63" s="717">
        <f t="shared" si="3"/>
        <v>15394370</v>
      </c>
      <c r="L63" s="944">
        <f>IF(A63='Data Entry - SOF'!B$2,'Report-SOF2021'!D$99,0)</f>
        <v>0</v>
      </c>
      <c r="M63" s="723">
        <f>IF(A63='Data Entry - SOF'!B$2,'Data Entry - SOF'!M$102,0)</f>
        <v>0</v>
      </c>
      <c r="N63" s="717">
        <f t="shared" si="4"/>
        <v>15394370</v>
      </c>
      <c r="O63" s="944">
        <f>IF(A63='Data Entry - SOF'!B$2,'Report-SOF2122'!D$91,0)</f>
        <v>0</v>
      </c>
      <c r="P63" s="723">
        <f>IF(A63='Data Entry - SOF'!B$2,'Data Entry - SOF'!O$102,0)</f>
        <v>0</v>
      </c>
      <c r="Q63" s="601">
        <f t="shared" si="1"/>
        <v>15394370</v>
      </c>
      <c r="R63" s="944">
        <f>IF(A63='Data Entry - SOF'!B$2,'Report-SOF2223'!D$91,0)</f>
        <v>0</v>
      </c>
      <c r="S63" s="723">
        <f>IF(A63='Data Entry - SOF'!B$2,'Data Entry - SOF'!Q$102,0)</f>
        <v>0</v>
      </c>
      <c r="T63" s="601">
        <f t="shared" si="5"/>
        <v>15394370</v>
      </c>
      <c r="U63" s="944">
        <f>IF(A63='Data Entry - SOF'!B$2,'Report-SOF2324'!D$91,0)</f>
        <v>0</v>
      </c>
      <c r="V63" s="723">
        <f>IF(A63='Data Entry - SOF'!B$2,'Data Entry - SOF'!S$102,0)</f>
        <v>0</v>
      </c>
    </row>
    <row r="64" spans="1:22" ht="15.75">
      <c r="A64" s="382" t="s">
        <v>1210</v>
      </c>
      <c r="B64" s="91">
        <v>4188062</v>
      </c>
      <c r="C64" s="944">
        <f>IF(A64='Data Entry - SOF'!B$2,'Report-SOF1718'!D$102,0)</f>
        <v>0</v>
      </c>
      <c r="D64" s="1037">
        <f>IF(A64='Data Entry - SOF'!B$2,'Data Entry - SOF'!#REF!,0)</f>
        <v>0</v>
      </c>
      <c r="E64" s="91">
        <f t="shared" si="0"/>
        <v>4188062</v>
      </c>
      <c r="F64" s="944">
        <f>IF(A64='Data Entry - SOF'!B$2,'Report-SOF1819'!D$102,0)</f>
        <v>0</v>
      </c>
      <c r="G64" s="1037">
        <f>IF(A64='Data Entry - SOF'!B$2,'Data Entry - SOF'!E$102,0)</f>
        <v>0</v>
      </c>
      <c r="H64" s="1038">
        <f t="shared" si="2"/>
        <v>4188062</v>
      </c>
      <c r="I64" s="944">
        <f>IF(A64='Data Entry - SOF'!B$2,'Report-SOF1920-HB3'!D$102,0)</f>
        <v>0</v>
      </c>
      <c r="J64" s="1037">
        <f>IF(A64='Data Entry - SOF'!B$2,'Data Entry - SOF'!G$102,0)</f>
        <v>0</v>
      </c>
      <c r="K64" s="717">
        <f t="shared" si="3"/>
        <v>4188062</v>
      </c>
      <c r="L64" s="944">
        <f>IF(A64='Data Entry - SOF'!B$2,'Report-SOF2021'!D$99,0)</f>
        <v>0</v>
      </c>
      <c r="M64" s="723">
        <f>IF(A64='Data Entry - SOF'!B$2,'Data Entry - SOF'!M$102,0)</f>
        <v>0</v>
      </c>
      <c r="N64" s="717">
        <f t="shared" si="4"/>
        <v>4188062</v>
      </c>
      <c r="O64" s="944">
        <f>IF(A64='Data Entry - SOF'!B$2,'Report-SOF2122'!D$91,0)</f>
        <v>0</v>
      </c>
      <c r="P64" s="723">
        <f>IF(A64='Data Entry - SOF'!B$2,'Data Entry - SOF'!O$102,0)</f>
        <v>0</v>
      </c>
      <c r="Q64" s="601">
        <f t="shared" si="1"/>
        <v>4188062</v>
      </c>
      <c r="R64" s="944">
        <f>IF(A64='Data Entry - SOF'!B$2,'Report-SOF2223'!D$91,0)</f>
        <v>0</v>
      </c>
      <c r="S64" s="723">
        <f>IF(A64='Data Entry - SOF'!B$2,'Data Entry - SOF'!Q$102,0)</f>
        <v>0</v>
      </c>
      <c r="T64" s="601">
        <f t="shared" si="5"/>
        <v>4188062</v>
      </c>
      <c r="U64" s="944">
        <f>IF(A64='Data Entry - SOF'!B$2,'Report-SOF2324'!D$91,0)</f>
        <v>0</v>
      </c>
      <c r="V64" s="723">
        <f>IF(A64='Data Entry - SOF'!B$2,'Data Entry - SOF'!S$102,0)</f>
        <v>0</v>
      </c>
    </row>
    <row r="65" spans="1:22" ht="15.75">
      <c r="A65" s="382" t="s">
        <v>874</v>
      </c>
      <c r="B65" s="91">
        <v>6316726</v>
      </c>
      <c r="C65" s="944">
        <f>IF(A65='Data Entry - SOF'!B$2,'Report-SOF1718'!D$102,0)</f>
        <v>0</v>
      </c>
      <c r="D65" s="1037">
        <f>IF(A65='Data Entry - SOF'!B$2,'Data Entry - SOF'!#REF!,0)</f>
        <v>0</v>
      </c>
      <c r="E65" s="91">
        <f t="shared" si="0"/>
        <v>6316726</v>
      </c>
      <c r="F65" s="944">
        <f>IF(A65='Data Entry - SOF'!B$2,'Report-SOF1819'!D$102,0)</f>
        <v>0</v>
      </c>
      <c r="G65" s="1037">
        <f>IF(A65='Data Entry - SOF'!B$2,'Data Entry - SOF'!E$102,0)</f>
        <v>0</v>
      </c>
      <c r="H65" s="1038">
        <f t="shared" si="2"/>
        <v>6316726</v>
      </c>
      <c r="I65" s="944">
        <f>IF(A65='Data Entry - SOF'!B$2,'Report-SOF1920-HB3'!D$102,0)</f>
        <v>0</v>
      </c>
      <c r="J65" s="1037">
        <f>IF(A65='Data Entry - SOF'!B$2,'Data Entry - SOF'!G$102,0)</f>
        <v>0</v>
      </c>
      <c r="K65" s="717">
        <f t="shared" si="3"/>
        <v>6316726</v>
      </c>
      <c r="L65" s="944">
        <f>IF(A65='Data Entry - SOF'!B$2,'Report-SOF2021'!D$99,0)</f>
        <v>0</v>
      </c>
      <c r="M65" s="723">
        <f>IF(A65='Data Entry - SOF'!B$2,'Data Entry - SOF'!M$102,0)</f>
        <v>0</v>
      </c>
      <c r="N65" s="717">
        <f t="shared" si="4"/>
        <v>6316726</v>
      </c>
      <c r="O65" s="944">
        <f>IF(A65='Data Entry - SOF'!B$2,'Report-SOF2122'!D$91,0)</f>
        <v>0</v>
      </c>
      <c r="P65" s="723">
        <f>IF(A65='Data Entry - SOF'!B$2,'Data Entry - SOF'!O$102,0)</f>
        <v>0</v>
      </c>
      <c r="Q65" s="601">
        <f t="shared" si="1"/>
        <v>6316726</v>
      </c>
      <c r="R65" s="944">
        <f>IF(A65='Data Entry - SOF'!B$2,'Report-SOF2223'!D$91,0)</f>
        <v>0</v>
      </c>
      <c r="S65" s="723">
        <f>IF(A65='Data Entry - SOF'!B$2,'Data Entry - SOF'!Q$102,0)</f>
        <v>0</v>
      </c>
      <c r="T65" s="601">
        <f t="shared" si="5"/>
        <v>6316726</v>
      </c>
      <c r="U65" s="944">
        <f>IF(A65='Data Entry - SOF'!B$2,'Report-SOF2324'!D$91,0)</f>
        <v>0</v>
      </c>
      <c r="V65" s="723">
        <f>IF(A65='Data Entry - SOF'!B$2,'Data Entry - SOF'!S$102,0)</f>
        <v>0</v>
      </c>
    </row>
    <row r="66" spans="1:22" ht="15.75">
      <c r="A66" s="382" t="s">
        <v>1211</v>
      </c>
      <c r="B66" s="91">
        <v>24096321</v>
      </c>
      <c r="C66" s="944">
        <f>IF(A66='Data Entry - SOF'!B$2,'Report-SOF1718'!D$102,0)</f>
        <v>0</v>
      </c>
      <c r="D66" s="1037">
        <f>IF(A66='Data Entry - SOF'!B$2,'Data Entry - SOF'!#REF!,0)</f>
        <v>0</v>
      </c>
      <c r="E66" s="91">
        <f t="shared" si="0"/>
        <v>24096321</v>
      </c>
      <c r="F66" s="944">
        <f>IF(A66='Data Entry - SOF'!B$2,'Report-SOF1819'!D$102,0)</f>
        <v>0</v>
      </c>
      <c r="G66" s="1037">
        <f>IF(A66='Data Entry - SOF'!B$2,'Data Entry - SOF'!E$102,0)</f>
        <v>0</v>
      </c>
      <c r="H66" s="1038">
        <f t="shared" si="2"/>
        <v>24096321</v>
      </c>
      <c r="I66" s="944">
        <f>IF(A66='Data Entry - SOF'!B$2,'Report-SOF1920-HB3'!D$102,0)</f>
        <v>0</v>
      </c>
      <c r="J66" s="1037">
        <f>IF(A66='Data Entry - SOF'!B$2,'Data Entry - SOF'!G$102,0)</f>
        <v>0</v>
      </c>
      <c r="K66" s="717">
        <f t="shared" si="3"/>
        <v>24096321</v>
      </c>
      <c r="L66" s="944">
        <f>IF(A66='Data Entry - SOF'!B$2,'Report-SOF2021'!D$99,0)</f>
        <v>0</v>
      </c>
      <c r="M66" s="723">
        <f>IF(A66='Data Entry - SOF'!B$2,'Data Entry - SOF'!M$102,0)</f>
        <v>0</v>
      </c>
      <c r="N66" s="717">
        <f t="shared" si="4"/>
        <v>24096321</v>
      </c>
      <c r="O66" s="944">
        <f>IF(A66='Data Entry - SOF'!B$2,'Report-SOF2122'!D$91,0)</f>
        <v>0</v>
      </c>
      <c r="P66" s="723">
        <f>IF(A66='Data Entry - SOF'!B$2,'Data Entry - SOF'!O$102,0)</f>
        <v>0</v>
      </c>
      <c r="Q66" s="601">
        <f t="shared" si="1"/>
        <v>24096321</v>
      </c>
      <c r="R66" s="944">
        <f>IF(A66='Data Entry - SOF'!B$2,'Report-SOF2223'!D$91,0)</f>
        <v>0</v>
      </c>
      <c r="S66" s="723">
        <f>IF(A66='Data Entry - SOF'!B$2,'Data Entry - SOF'!Q$102,0)</f>
        <v>0</v>
      </c>
      <c r="T66" s="601">
        <f t="shared" si="5"/>
        <v>24096321</v>
      </c>
      <c r="U66" s="944">
        <f>IF(A66='Data Entry - SOF'!B$2,'Report-SOF2324'!D$91,0)</f>
        <v>0</v>
      </c>
      <c r="V66" s="723">
        <f>IF(A66='Data Entry - SOF'!B$2,'Data Entry - SOF'!S$102,0)</f>
        <v>0</v>
      </c>
    </row>
    <row r="67" spans="1:22" ht="15.75">
      <c r="A67" s="382" t="s">
        <v>575</v>
      </c>
      <c r="B67" s="91">
        <v>7573077</v>
      </c>
      <c r="C67" s="944">
        <f>IF(A67='Data Entry - SOF'!B$2,'Report-SOF1718'!D$102,0)</f>
        <v>0</v>
      </c>
      <c r="D67" s="1037">
        <f>IF(A67='Data Entry - SOF'!B$2,'Data Entry - SOF'!#REF!,0)</f>
        <v>0</v>
      </c>
      <c r="E67" s="91">
        <f t="shared" si="0"/>
        <v>7573077</v>
      </c>
      <c r="F67" s="944">
        <f>IF(A67='Data Entry - SOF'!B$2,'Report-SOF1819'!D$102,0)</f>
        <v>0</v>
      </c>
      <c r="G67" s="1037">
        <f>IF(A67='Data Entry - SOF'!B$2,'Data Entry - SOF'!E$102,0)</f>
        <v>0</v>
      </c>
      <c r="H67" s="1038">
        <f t="shared" si="2"/>
        <v>7573077</v>
      </c>
      <c r="I67" s="944">
        <f>IF(A67='Data Entry - SOF'!B$2,'Report-SOF1920-HB3'!D$102,0)</f>
        <v>0</v>
      </c>
      <c r="J67" s="1037">
        <f>IF(A67='Data Entry - SOF'!B$2,'Data Entry - SOF'!G$102,0)</f>
        <v>0</v>
      </c>
      <c r="K67" s="717">
        <f t="shared" si="3"/>
        <v>7573077</v>
      </c>
      <c r="L67" s="944">
        <f>IF(A67='Data Entry - SOF'!B$2,'Report-SOF2021'!D$99,0)</f>
        <v>0</v>
      </c>
      <c r="M67" s="723">
        <f>IF(A67='Data Entry - SOF'!B$2,'Data Entry - SOF'!M$102,0)</f>
        <v>0</v>
      </c>
      <c r="N67" s="717">
        <f t="shared" si="4"/>
        <v>7573077</v>
      </c>
      <c r="O67" s="944">
        <f>IF(A67='Data Entry - SOF'!B$2,'Report-SOF2122'!D$91,0)</f>
        <v>0</v>
      </c>
      <c r="P67" s="723">
        <f>IF(A67='Data Entry - SOF'!B$2,'Data Entry - SOF'!O$102,0)</f>
        <v>0</v>
      </c>
      <c r="Q67" s="601">
        <f t="shared" si="1"/>
        <v>7573077</v>
      </c>
      <c r="R67" s="944">
        <f>IF(A67='Data Entry - SOF'!B$2,'Report-SOF2223'!D$91,0)</f>
        <v>0</v>
      </c>
      <c r="S67" s="723">
        <f>IF(A67='Data Entry - SOF'!B$2,'Data Entry - SOF'!Q$102,0)</f>
        <v>0</v>
      </c>
      <c r="T67" s="601">
        <f t="shared" si="5"/>
        <v>7573077</v>
      </c>
      <c r="U67" s="944">
        <f>IF(A67='Data Entry - SOF'!B$2,'Report-SOF2324'!D$91,0)</f>
        <v>0</v>
      </c>
      <c r="V67" s="723">
        <f>IF(A67='Data Entry - SOF'!B$2,'Data Entry - SOF'!S$102,0)</f>
        <v>0</v>
      </c>
    </row>
    <row r="68" spans="1:22" ht="15.75">
      <c r="A68" s="382" t="s">
        <v>1212</v>
      </c>
      <c r="B68" s="91">
        <v>1519821</v>
      </c>
      <c r="C68" s="944">
        <f>IF(A68='Data Entry - SOF'!B$2,'Report-SOF1718'!D$102,0)</f>
        <v>0</v>
      </c>
      <c r="D68" s="1037">
        <f>IF(A68='Data Entry - SOF'!B$2,'Data Entry - SOF'!#REF!,0)</f>
        <v>0</v>
      </c>
      <c r="E68" s="91">
        <f t="shared" ref="E68:E131" si="6">IF(B68+C68-D68&lt;=0,0,B68+C68-D68)</f>
        <v>1519821</v>
      </c>
      <c r="F68" s="944">
        <f>IF(A68='Data Entry - SOF'!B$2,'Report-SOF1819'!D$102,0)</f>
        <v>0</v>
      </c>
      <c r="G68" s="1037">
        <f>IF(A68='Data Entry - SOF'!B$2,'Data Entry - SOF'!E$102,0)</f>
        <v>0</v>
      </c>
      <c r="H68" s="1038">
        <f t="shared" si="2"/>
        <v>1519821</v>
      </c>
      <c r="I68" s="944">
        <f>IF(A68='Data Entry - SOF'!B$2,'Report-SOF1920-HB3'!D$102,0)</f>
        <v>0</v>
      </c>
      <c r="J68" s="1037">
        <f>IF(A68='Data Entry - SOF'!B$2,'Data Entry - SOF'!G$102,0)</f>
        <v>0</v>
      </c>
      <c r="K68" s="717">
        <f t="shared" si="3"/>
        <v>1519821</v>
      </c>
      <c r="L68" s="944">
        <f>IF(A68='Data Entry - SOF'!B$2,'Report-SOF2021'!D$99,0)</f>
        <v>0</v>
      </c>
      <c r="M68" s="723">
        <f>IF(A68='Data Entry - SOF'!B$2,'Data Entry - SOF'!M$102,0)</f>
        <v>0</v>
      </c>
      <c r="N68" s="717">
        <f t="shared" si="4"/>
        <v>1519821</v>
      </c>
      <c r="O68" s="944">
        <f>IF(A68='Data Entry - SOF'!B$2,'Report-SOF2122'!D$91,0)</f>
        <v>0</v>
      </c>
      <c r="P68" s="723">
        <f>IF(A68='Data Entry - SOF'!B$2,'Data Entry - SOF'!O$102,0)</f>
        <v>0</v>
      </c>
      <c r="Q68" s="601">
        <f t="shared" ref="Q68:Q131" si="7">IF(N68+O68-P68&lt;=0,0,N68+O68-P68)</f>
        <v>1519821</v>
      </c>
      <c r="R68" s="944">
        <f>IF(A68='Data Entry - SOF'!B$2,'Report-SOF2223'!D$91,0)</f>
        <v>0</v>
      </c>
      <c r="S68" s="723">
        <f>IF(A68='Data Entry - SOF'!B$2,'Data Entry - SOF'!Q$102,0)</f>
        <v>0</v>
      </c>
      <c r="T68" s="601">
        <f t="shared" si="5"/>
        <v>1519821</v>
      </c>
      <c r="U68" s="944">
        <f>IF(A68='Data Entry - SOF'!B$2,'Report-SOF2324'!D$91,0)</f>
        <v>0</v>
      </c>
      <c r="V68" s="723">
        <f>IF(A68='Data Entry - SOF'!B$2,'Data Entry - SOF'!S$102,0)</f>
        <v>0</v>
      </c>
    </row>
    <row r="69" spans="1:22" ht="15.75">
      <c r="A69" s="382" t="s">
        <v>1113</v>
      </c>
      <c r="B69" s="91">
        <v>206648</v>
      </c>
      <c r="C69" s="944">
        <f>IF(A69='Data Entry - SOF'!B$2,'Report-SOF1718'!D$102,0)</f>
        <v>0</v>
      </c>
      <c r="D69" s="1037">
        <f>IF(A69='Data Entry - SOF'!B$2,'Data Entry - SOF'!#REF!,0)</f>
        <v>0</v>
      </c>
      <c r="E69" s="91">
        <f t="shared" si="6"/>
        <v>206648</v>
      </c>
      <c r="F69" s="944">
        <f>IF(A69='Data Entry - SOF'!B$2,'Report-SOF1819'!D$102,0)</f>
        <v>0</v>
      </c>
      <c r="G69" s="1037">
        <f>IF(A69='Data Entry - SOF'!B$2,'Data Entry - SOF'!E$102,0)</f>
        <v>0</v>
      </c>
      <c r="H69" s="1038">
        <f t="shared" ref="H69:H132" si="8">IF(E69+F69-G69&lt;=0,0,E69+F69-G69)</f>
        <v>206648</v>
      </c>
      <c r="I69" s="944">
        <f>IF(A69='Data Entry - SOF'!B$2,'Report-SOF1920-HB3'!D$102,0)</f>
        <v>0</v>
      </c>
      <c r="J69" s="1037">
        <f>IF(A69='Data Entry - SOF'!B$2,'Data Entry - SOF'!G$102,0)</f>
        <v>0</v>
      </c>
      <c r="K69" s="717">
        <f t="shared" ref="K69:K132" si="9">IF(H69+I69-J69&lt;=0,0,H69+I69-J69)</f>
        <v>206648</v>
      </c>
      <c r="L69" s="944">
        <f>IF(A69='Data Entry - SOF'!B$2,'Report-SOF2021'!D$99,0)</f>
        <v>0</v>
      </c>
      <c r="M69" s="723">
        <f>IF(A69='Data Entry - SOF'!B$2,'Data Entry - SOF'!M$102,0)</f>
        <v>0</v>
      </c>
      <c r="N69" s="717">
        <f t="shared" ref="N69:N132" si="10">IF(K69+L69-M69&lt;=0,0,K69+L69-M69)</f>
        <v>206648</v>
      </c>
      <c r="O69" s="944">
        <f>IF(A69='Data Entry - SOF'!B$2,'Report-SOF2122'!D$91,0)</f>
        <v>0</v>
      </c>
      <c r="P69" s="723">
        <f>IF(A69='Data Entry - SOF'!B$2,'Data Entry - SOF'!O$102,0)</f>
        <v>0</v>
      </c>
      <c r="Q69" s="601">
        <f t="shared" si="7"/>
        <v>206648</v>
      </c>
      <c r="R69" s="944">
        <f>IF(A69='Data Entry - SOF'!B$2,'Report-SOF2223'!D$91,0)</f>
        <v>0</v>
      </c>
      <c r="S69" s="723">
        <f>IF(A69='Data Entry - SOF'!B$2,'Data Entry - SOF'!Q$102,0)</f>
        <v>0</v>
      </c>
      <c r="T69" s="601">
        <f t="shared" ref="T69:T132" si="11">IF(P69+Q69-S69&lt;=0,0,P69+Q69-S69)</f>
        <v>206648</v>
      </c>
      <c r="U69" s="944">
        <f>IF(A69='Data Entry - SOF'!B$2,'Report-SOF2324'!D$91,0)</f>
        <v>0</v>
      </c>
      <c r="V69" s="723">
        <f>IF(A69='Data Entry - SOF'!B$2,'Data Entry - SOF'!S$102,0)</f>
        <v>0</v>
      </c>
    </row>
    <row r="70" spans="1:22" ht="15.75">
      <c r="A70" s="382" t="s">
        <v>1114</v>
      </c>
      <c r="B70" s="91">
        <v>2293930</v>
      </c>
      <c r="C70" s="944">
        <f>IF(A70='Data Entry - SOF'!B$2,'Report-SOF1718'!D$102,0)</f>
        <v>0</v>
      </c>
      <c r="D70" s="1037">
        <f>IF(A70='Data Entry - SOF'!B$2,'Data Entry - SOF'!#REF!,0)</f>
        <v>0</v>
      </c>
      <c r="E70" s="91">
        <f t="shared" si="6"/>
        <v>2293930</v>
      </c>
      <c r="F70" s="944">
        <f>IF(A70='Data Entry - SOF'!B$2,'Report-SOF1819'!D$102,0)</f>
        <v>0</v>
      </c>
      <c r="G70" s="1037">
        <f>IF(A70='Data Entry - SOF'!B$2,'Data Entry - SOF'!E$102,0)</f>
        <v>0</v>
      </c>
      <c r="H70" s="1038">
        <f t="shared" si="8"/>
        <v>2293930</v>
      </c>
      <c r="I70" s="944">
        <f>IF(A70='Data Entry - SOF'!B$2,'Report-SOF1920-HB3'!D$102,0)</f>
        <v>0</v>
      </c>
      <c r="J70" s="1037">
        <f>IF(A70='Data Entry - SOF'!B$2,'Data Entry - SOF'!G$102,0)</f>
        <v>0</v>
      </c>
      <c r="K70" s="717">
        <f t="shared" si="9"/>
        <v>2293930</v>
      </c>
      <c r="L70" s="944">
        <f>IF(A70='Data Entry - SOF'!B$2,'Report-SOF2021'!D$99,0)</f>
        <v>0</v>
      </c>
      <c r="M70" s="723">
        <f>IF(A70='Data Entry - SOF'!B$2,'Data Entry - SOF'!M$102,0)</f>
        <v>0</v>
      </c>
      <c r="N70" s="717">
        <f t="shared" si="10"/>
        <v>2293930</v>
      </c>
      <c r="O70" s="944">
        <f>IF(A70='Data Entry - SOF'!B$2,'Report-SOF2122'!D$91,0)</f>
        <v>0</v>
      </c>
      <c r="P70" s="723">
        <f>IF(A70='Data Entry - SOF'!B$2,'Data Entry - SOF'!O$102,0)</f>
        <v>0</v>
      </c>
      <c r="Q70" s="601">
        <f t="shared" si="7"/>
        <v>2293930</v>
      </c>
      <c r="R70" s="944">
        <f>IF(A70='Data Entry - SOF'!B$2,'Report-SOF2223'!D$91,0)</f>
        <v>0</v>
      </c>
      <c r="S70" s="723">
        <f>IF(A70='Data Entry - SOF'!B$2,'Data Entry - SOF'!Q$102,0)</f>
        <v>0</v>
      </c>
      <c r="T70" s="601">
        <f t="shared" si="11"/>
        <v>2293930</v>
      </c>
      <c r="U70" s="944">
        <f>IF(A70='Data Entry - SOF'!B$2,'Report-SOF2324'!D$91,0)</f>
        <v>0</v>
      </c>
      <c r="V70" s="723">
        <f>IF(A70='Data Entry - SOF'!B$2,'Data Entry - SOF'!S$102,0)</f>
        <v>0</v>
      </c>
    </row>
    <row r="71" spans="1:22" ht="15.75">
      <c r="A71" s="382" t="s">
        <v>1901</v>
      </c>
      <c r="B71" s="91">
        <v>66560</v>
      </c>
      <c r="C71" s="944">
        <f>IF(A71='Data Entry - SOF'!B$2,'Report-SOF1718'!D$102,0)</f>
        <v>0</v>
      </c>
      <c r="D71" s="1037">
        <f>IF(A71='Data Entry - SOF'!B$2,'Data Entry - SOF'!#REF!,0)</f>
        <v>0</v>
      </c>
      <c r="E71" s="91">
        <f t="shared" si="6"/>
        <v>66560</v>
      </c>
      <c r="F71" s="944">
        <f>IF(A71='Data Entry - SOF'!B$2,'Report-SOF1819'!D$102,0)</f>
        <v>0</v>
      </c>
      <c r="G71" s="1037">
        <f>IF(A71='Data Entry - SOF'!B$2,'Data Entry - SOF'!E$102,0)</f>
        <v>0</v>
      </c>
      <c r="H71" s="1038">
        <f t="shared" si="8"/>
        <v>66560</v>
      </c>
      <c r="I71" s="944">
        <f>IF(A71='Data Entry - SOF'!B$2,'Report-SOF1920-HB3'!D$102,0)</f>
        <v>0</v>
      </c>
      <c r="J71" s="1037">
        <f>IF(A71='Data Entry - SOF'!B$2,'Data Entry - SOF'!G$102,0)</f>
        <v>0</v>
      </c>
      <c r="K71" s="717">
        <f t="shared" si="9"/>
        <v>66560</v>
      </c>
      <c r="L71" s="944">
        <f>IF(A71='Data Entry - SOF'!B$2,'Report-SOF2021'!D$99,0)</f>
        <v>0</v>
      </c>
      <c r="M71" s="723">
        <f>IF(A71='Data Entry - SOF'!B$2,'Data Entry - SOF'!M$102,0)</f>
        <v>0</v>
      </c>
      <c r="N71" s="717">
        <f t="shared" si="10"/>
        <v>66560</v>
      </c>
      <c r="O71" s="944">
        <f>IF(A71='Data Entry - SOF'!B$2,'Report-SOF2122'!D$91,0)</f>
        <v>0</v>
      </c>
      <c r="P71" s="723">
        <f>IF(A71='Data Entry - SOF'!B$2,'Data Entry - SOF'!O$102,0)</f>
        <v>0</v>
      </c>
      <c r="Q71" s="601">
        <f t="shared" si="7"/>
        <v>66560</v>
      </c>
      <c r="R71" s="944">
        <f>IF(A71='Data Entry - SOF'!B$2,'Report-SOF2223'!D$91,0)</f>
        <v>0</v>
      </c>
      <c r="S71" s="723">
        <f>IF(A71='Data Entry - SOF'!B$2,'Data Entry - SOF'!Q$102,0)</f>
        <v>0</v>
      </c>
      <c r="T71" s="601">
        <f t="shared" si="11"/>
        <v>66560</v>
      </c>
      <c r="U71" s="944">
        <f>IF(A71='Data Entry - SOF'!B$2,'Report-SOF2324'!D$91,0)</f>
        <v>0</v>
      </c>
      <c r="V71" s="723">
        <f>IF(A71='Data Entry - SOF'!B$2,'Data Entry - SOF'!S$102,0)</f>
        <v>0</v>
      </c>
    </row>
    <row r="72" spans="1:22" ht="15.75">
      <c r="A72" s="382" t="s">
        <v>1645</v>
      </c>
      <c r="B72" s="91">
        <v>1362750</v>
      </c>
      <c r="C72" s="944">
        <f>IF(A72='Data Entry - SOF'!B$2,'Report-SOF1718'!D$102,0)</f>
        <v>0</v>
      </c>
      <c r="D72" s="1037">
        <f>IF(A72='Data Entry - SOF'!B$2,'Data Entry - SOF'!#REF!,0)</f>
        <v>0</v>
      </c>
      <c r="E72" s="91">
        <f t="shared" si="6"/>
        <v>1362750</v>
      </c>
      <c r="F72" s="944">
        <f>IF(A72='Data Entry - SOF'!B$2,'Report-SOF1819'!D$102,0)</f>
        <v>0</v>
      </c>
      <c r="G72" s="1037">
        <f>IF(A72='Data Entry - SOF'!B$2,'Data Entry - SOF'!E$102,0)</f>
        <v>0</v>
      </c>
      <c r="H72" s="1038">
        <f t="shared" si="8"/>
        <v>1362750</v>
      </c>
      <c r="I72" s="944">
        <f>IF(A72='Data Entry - SOF'!B$2,'Report-SOF1920-HB3'!D$102,0)</f>
        <v>0</v>
      </c>
      <c r="J72" s="1037">
        <f>IF(A72='Data Entry - SOF'!B$2,'Data Entry - SOF'!G$102,0)</f>
        <v>0</v>
      </c>
      <c r="K72" s="717">
        <f t="shared" si="9"/>
        <v>1362750</v>
      </c>
      <c r="L72" s="944">
        <f>IF(A72='Data Entry - SOF'!B$2,'Report-SOF2021'!D$99,0)</f>
        <v>0</v>
      </c>
      <c r="M72" s="723">
        <f>IF(A72='Data Entry - SOF'!B$2,'Data Entry - SOF'!M$102,0)</f>
        <v>0</v>
      </c>
      <c r="N72" s="717">
        <f t="shared" si="10"/>
        <v>1362750</v>
      </c>
      <c r="O72" s="944">
        <f>IF(A72='Data Entry - SOF'!B$2,'Report-SOF2122'!D$91,0)</f>
        <v>0</v>
      </c>
      <c r="P72" s="723">
        <f>IF(A72='Data Entry - SOF'!B$2,'Data Entry - SOF'!O$102,0)</f>
        <v>0</v>
      </c>
      <c r="Q72" s="601">
        <f t="shared" si="7"/>
        <v>1362750</v>
      </c>
      <c r="R72" s="944">
        <f>IF(A72='Data Entry - SOF'!B$2,'Report-SOF2223'!D$91,0)</f>
        <v>0</v>
      </c>
      <c r="S72" s="723">
        <f>IF(A72='Data Entry - SOF'!B$2,'Data Entry - SOF'!Q$102,0)</f>
        <v>0</v>
      </c>
      <c r="T72" s="601">
        <f t="shared" si="11"/>
        <v>1362750</v>
      </c>
      <c r="U72" s="944">
        <f>IF(A72='Data Entry - SOF'!B$2,'Report-SOF2324'!D$91,0)</f>
        <v>0</v>
      </c>
      <c r="V72" s="723">
        <f>IF(A72='Data Entry - SOF'!B$2,'Data Entry - SOF'!S$102,0)</f>
        <v>0</v>
      </c>
    </row>
    <row r="73" spans="1:22" ht="15.75">
      <c r="A73" s="382" t="s">
        <v>1646</v>
      </c>
      <c r="B73" s="91">
        <v>687815</v>
      </c>
      <c r="C73" s="944">
        <f>IF(A73='Data Entry - SOF'!B$2,'Report-SOF1718'!D$102,0)</f>
        <v>0</v>
      </c>
      <c r="D73" s="1037">
        <f>IF(A73='Data Entry - SOF'!B$2,'Data Entry - SOF'!#REF!,0)</f>
        <v>0</v>
      </c>
      <c r="E73" s="91">
        <f t="shared" si="6"/>
        <v>687815</v>
      </c>
      <c r="F73" s="944">
        <f>IF(A73='Data Entry - SOF'!B$2,'Report-SOF1819'!D$102,0)</f>
        <v>0</v>
      </c>
      <c r="G73" s="1037">
        <f>IF(A73='Data Entry - SOF'!B$2,'Data Entry - SOF'!E$102,0)</f>
        <v>0</v>
      </c>
      <c r="H73" s="1038">
        <f t="shared" si="8"/>
        <v>687815</v>
      </c>
      <c r="I73" s="944">
        <f>IF(A73='Data Entry - SOF'!B$2,'Report-SOF1920-HB3'!D$102,0)</f>
        <v>0</v>
      </c>
      <c r="J73" s="1037">
        <f>IF(A73='Data Entry - SOF'!B$2,'Data Entry - SOF'!G$102,0)</f>
        <v>0</v>
      </c>
      <c r="K73" s="717">
        <f t="shared" si="9"/>
        <v>687815</v>
      </c>
      <c r="L73" s="944">
        <f>IF(A73='Data Entry - SOF'!B$2,'Report-SOF2021'!D$99,0)</f>
        <v>0</v>
      </c>
      <c r="M73" s="723">
        <f>IF(A73='Data Entry - SOF'!B$2,'Data Entry - SOF'!M$102,0)</f>
        <v>0</v>
      </c>
      <c r="N73" s="717">
        <f t="shared" si="10"/>
        <v>687815</v>
      </c>
      <c r="O73" s="944">
        <f>IF(A73='Data Entry - SOF'!B$2,'Report-SOF2122'!D$91,0)</f>
        <v>0</v>
      </c>
      <c r="P73" s="723">
        <f>IF(A73='Data Entry - SOF'!B$2,'Data Entry - SOF'!O$102,0)</f>
        <v>0</v>
      </c>
      <c r="Q73" s="601">
        <f t="shared" si="7"/>
        <v>687815</v>
      </c>
      <c r="R73" s="944">
        <f>IF(A73='Data Entry - SOF'!B$2,'Report-SOF2223'!D$91,0)</f>
        <v>0</v>
      </c>
      <c r="S73" s="723">
        <f>IF(A73='Data Entry - SOF'!B$2,'Data Entry - SOF'!Q$102,0)</f>
        <v>0</v>
      </c>
      <c r="T73" s="601">
        <f t="shared" si="11"/>
        <v>687815</v>
      </c>
      <c r="U73" s="944">
        <f>IF(A73='Data Entry - SOF'!B$2,'Report-SOF2324'!D$91,0)</f>
        <v>0</v>
      </c>
      <c r="V73" s="723">
        <f>IF(A73='Data Entry - SOF'!B$2,'Data Entry - SOF'!S$102,0)</f>
        <v>0</v>
      </c>
    </row>
    <row r="74" spans="1:22" ht="15.75">
      <c r="A74" s="382" t="s">
        <v>1647</v>
      </c>
      <c r="B74" s="91">
        <v>312695</v>
      </c>
      <c r="C74" s="944">
        <f>IF(A74='Data Entry - SOF'!B$2,'Report-SOF1718'!D$102,0)</f>
        <v>0</v>
      </c>
      <c r="D74" s="1037">
        <f>IF(A74='Data Entry - SOF'!B$2,'Data Entry - SOF'!#REF!,0)</f>
        <v>0</v>
      </c>
      <c r="E74" s="91">
        <f t="shared" si="6"/>
        <v>312695</v>
      </c>
      <c r="F74" s="944">
        <f>IF(A74='Data Entry - SOF'!B$2,'Report-SOF1819'!D$102,0)</f>
        <v>0</v>
      </c>
      <c r="G74" s="1037">
        <f>IF(A74='Data Entry - SOF'!B$2,'Data Entry - SOF'!E$102,0)</f>
        <v>0</v>
      </c>
      <c r="H74" s="1038">
        <f t="shared" si="8"/>
        <v>312695</v>
      </c>
      <c r="I74" s="944">
        <f>IF(A74='Data Entry - SOF'!B$2,'Report-SOF1920-HB3'!D$102,0)</f>
        <v>0</v>
      </c>
      <c r="J74" s="1037">
        <f>IF(A74='Data Entry - SOF'!B$2,'Data Entry - SOF'!G$102,0)</f>
        <v>0</v>
      </c>
      <c r="K74" s="717">
        <f t="shared" si="9"/>
        <v>312695</v>
      </c>
      <c r="L74" s="944">
        <f>IF(A74='Data Entry - SOF'!B$2,'Report-SOF2021'!D$99,0)</f>
        <v>0</v>
      </c>
      <c r="M74" s="723">
        <f>IF(A74='Data Entry - SOF'!B$2,'Data Entry - SOF'!M$102,0)</f>
        <v>0</v>
      </c>
      <c r="N74" s="717">
        <f t="shared" si="10"/>
        <v>312695</v>
      </c>
      <c r="O74" s="944">
        <f>IF(A74='Data Entry - SOF'!B$2,'Report-SOF2122'!D$91,0)</f>
        <v>0</v>
      </c>
      <c r="P74" s="723">
        <f>IF(A74='Data Entry - SOF'!B$2,'Data Entry - SOF'!O$102,0)</f>
        <v>0</v>
      </c>
      <c r="Q74" s="601">
        <f t="shared" si="7"/>
        <v>312695</v>
      </c>
      <c r="R74" s="944">
        <f>IF(A74='Data Entry - SOF'!B$2,'Report-SOF2223'!D$91,0)</f>
        <v>0</v>
      </c>
      <c r="S74" s="723">
        <f>IF(A74='Data Entry - SOF'!B$2,'Data Entry - SOF'!Q$102,0)</f>
        <v>0</v>
      </c>
      <c r="T74" s="601">
        <f t="shared" si="11"/>
        <v>312695</v>
      </c>
      <c r="U74" s="944">
        <f>IF(A74='Data Entry - SOF'!B$2,'Report-SOF2324'!D$91,0)</f>
        <v>0</v>
      </c>
      <c r="V74" s="723">
        <f>IF(A74='Data Entry - SOF'!B$2,'Data Entry - SOF'!S$102,0)</f>
        <v>0</v>
      </c>
    </row>
    <row r="75" spans="1:22" ht="15.75">
      <c r="A75" s="382" t="s">
        <v>885</v>
      </c>
      <c r="B75" s="91">
        <v>536241</v>
      </c>
      <c r="C75" s="944">
        <f>IF(A75='Data Entry - SOF'!B$2,'Report-SOF1718'!D$102,0)</f>
        <v>0</v>
      </c>
      <c r="D75" s="1037">
        <f>IF(A75='Data Entry - SOF'!B$2,'Data Entry - SOF'!#REF!,0)</f>
        <v>0</v>
      </c>
      <c r="E75" s="91">
        <f t="shared" si="6"/>
        <v>536241</v>
      </c>
      <c r="F75" s="944">
        <f>IF(A75='Data Entry - SOF'!B$2,'Report-SOF1819'!D$102,0)</f>
        <v>0</v>
      </c>
      <c r="G75" s="1037">
        <f>IF(A75='Data Entry - SOF'!B$2,'Data Entry - SOF'!E$102,0)</f>
        <v>0</v>
      </c>
      <c r="H75" s="1038">
        <f t="shared" si="8"/>
        <v>536241</v>
      </c>
      <c r="I75" s="944">
        <f>IF(A75='Data Entry - SOF'!B$2,'Report-SOF1920-HB3'!D$102,0)</f>
        <v>0</v>
      </c>
      <c r="J75" s="1037">
        <f>IF(A75='Data Entry - SOF'!B$2,'Data Entry - SOF'!G$102,0)</f>
        <v>0</v>
      </c>
      <c r="K75" s="717">
        <f t="shared" si="9"/>
        <v>536241</v>
      </c>
      <c r="L75" s="944">
        <f>IF(A75='Data Entry - SOF'!B$2,'Report-SOF2021'!D$99,0)</f>
        <v>0</v>
      </c>
      <c r="M75" s="723">
        <f>IF(A75='Data Entry - SOF'!B$2,'Data Entry - SOF'!M$102,0)</f>
        <v>0</v>
      </c>
      <c r="N75" s="717">
        <f t="shared" si="10"/>
        <v>536241</v>
      </c>
      <c r="O75" s="944">
        <f>IF(A75='Data Entry - SOF'!B$2,'Report-SOF2122'!D$91,0)</f>
        <v>0</v>
      </c>
      <c r="P75" s="723">
        <f>IF(A75='Data Entry - SOF'!B$2,'Data Entry - SOF'!O$102,0)</f>
        <v>0</v>
      </c>
      <c r="Q75" s="601">
        <f t="shared" si="7"/>
        <v>536241</v>
      </c>
      <c r="R75" s="944">
        <f>IF(A75='Data Entry - SOF'!B$2,'Report-SOF2223'!D$91,0)</f>
        <v>0</v>
      </c>
      <c r="S75" s="723">
        <f>IF(A75='Data Entry - SOF'!B$2,'Data Entry - SOF'!Q$102,0)</f>
        <v>0</v>
      </c>
      <c r="T75" s="601">
        <f t="shared" si="11"/>
        <v>536241</v>
      </c>
      <c r="U75" s="944">
        <f>IF(A75='Data Entry - SOF'!B$2,'Report-SOF2324'!D$91,0)</f>
        <v>0</v>
      </c>
      <c r="V75" s="723">
        <f>IF(A75='Data Entry - SOF'!B$2,'Data Entry - SOF'!S$102,0)</f>
        <v>0</v>
      </c>
    </row>
    <row r="76" spans="1:22" ht="15.75">
      <c r="A76" s="382" t="s">
        <v>710</v>
      </c>
      <c r="B76" s="91">
        <v>681396</v>
      </c>
      <c r="C76" s="944">
        <f>IF(A76='Data Entry - SOF'!B$2,'Report-SOF1718'!D$102,0)</f>
        <v>0</v>
      </c>
      <c r="D76" s="1037">
        <f>IF(A76='Data Entry - SOF'!B$2,'Data Entry - SOF'!#REF!,0)</f>
        <v>0</v>
      </c>
      <c r="E76" s="91">
        <f t="shared" si="6"/>
        <v>681396</v>
      </c>
      <c r="F76" s="944">
        <f>IF(A76='Data Entry - SOF'!B$2,'Report-SOF1819'!D$102,0)</f>
        <v>0</v>
      </c>
      <c r="G76" s="1037">
        <f>IF(A76='Data Entry - SOF'!B$2,'Data Entry - SOF'!E$102,0)</f>
        <v>0</v>
      </c>
      <c r="H76" s="1038">
        <f t="shared" si="8"/>
        <v>681396</v>
      </c>
      <c r="I76" s="944">
        <f>IF(A76='Data Entry - SOF'!B$2,'Report-SOF1920-HB3'!D$102,0)</f>
        <v>0</v>
      </c>
      <c r="J76" s="1037">
        <f>IF(A76='Data Entry - SOF'!B$2,'Data Entry - SOF'!G$102,0)</f>
        <v>0</v>
      </c>
      <c r="K76" s="717">
        <f t="shared" si="9"/>
        <v>681396</v>
      </c>
      <c r="L76" s="944">
        <f>IF(A76='Data Entry - SOF'!B$2,'Report-SOF2021'!D$99,0)</f>
        <v>0</v>
      </c>
      <c r="M76" s="723">
        <f>IF(A76='Data Entry - SOF'!B$2,'Data Entry - SOF'!M$102,0)</f>
        <v>0</v>
      </c>
      <c r="N76" s="717">
        <f t="shared" si="10"/>
        <v>681396</v>
      </c>
      <c r="O76" s="944">
        <f>IF(A76='Data Entry - SOF'!B$2,'Report-SOF2122'!D$91,0)</f>
        <v>0</v>
      </c>
      <c r="P76" s="723">
        <f>IF(A76='Data Entry - SOF'!B$2,'Data Entry - SOF'!O$102,0)</f>
        <v>0</v>
      </c>
      <c r="Q76" s="601">
        <f t="shared" si="7"/>
        <v>681396</v>
      </c>
      <c r="R76" s="944">
        <f>IF(A76='Data Entry - SOF'!B$2,'Report-SOF2223'!D$91,0)</f>
        <v>0</v>
      </c>
      <c r="S76" s="723">
        <f>IF(A76='Data Entry - SOF'!B$2,'Data Entry - SOF'!Q$102,0)</f>
        <v>0</v>
      </c>
      <c r="T76" s="601">
        <f t="shared" si="11"/>
        <v>681396</v>
      </c>
      <c r="U76" s="944">
        <f>IF(A76='Data Entry - SOF'!B$2,'Report-SOF2324'!D$91,0)</f>
        <v>0</v>
      </c>
      <c r="V76" s="723">
        <f>IF(A76='Data Entry - SOF'!B$2,'Data Entry - SOF'!S$102,0)</f>
        <v>0</v>
      </c>
    </row>
    <row r="77" spans="1:22" ht="15.75">
      <c r="A77" s="382" t="s">
        <v>2136</v>
      </c>
      <c r="B77" s="91">
        <v>299654</v>
      </c>
      <c r="C77" s="944">
        <f>IF(A77='Data Entry - SOF'!B$2,'Report-SOF1718'!D$102,0)</f>
        <v>0</v>
      </c>
      <c r="D77" s="1037">
        <f>IF(A77='Data Entry - SOF'!B$2,'Data Entry - SOF'!#REF!,0)</f>
        <v>0</v>
      </c>
      <c r="E77" s="91">
        <f t="shared" si="6"/>
        <v>299654</v>
      </c>
      <c r="F77" s="944">
        <f>IF(A77='Data Entry - SOF'!B$2,'Report-SOF1819'!D$102,0)</f>
        <v>0</v>
      </c>
      <c r="G77" s="1037">
        <f>IF(A77='Data Entry - SOF'!B$2,'Data Entry - SOF'!E$102,0)</f>
        <v>0</v>
      </c>
      <c r="H77" s="1038">
        <f t="shared" si="8"/>
        <v>299654</v>
      </c>
      <c r="I77" s="944">
        <f>IF(A77='Data Entry - SOF'!B$2,'Report-SOF1920-HB3'!D$102,0)</f>
        <v>0</v>
      </c>
      <c r="J77" s="1037">
        <f>IF(A77='Data Entry - SOF'!B$2,'Data Entry - SOF'!G$102,0)</f>
        <v>0</v>
      </c>
      <c r="K77" s="717">
        <f t="shared" si="9"/>
        <v>299654</v>
      </c>
      <c r="L77" s="944">
        <f>IF(A77='Data Entry - SOF'!B$2,'Report-SOF2021'!D$99,0)</f>
        <v>0</v>
      </c>
      <c r="M77" s="723">
        <f>IF(A77='Data Entry - SOF'!B$2,'Data Entry - SOF'!M$102,0)</f>
        <v>0</v>
      </c>
      <c r="N77" s="717">
        <f t="shared" si="10"/>
        <v>299654</v>
      </c>
      <c r="O77" s="944">
        <f>IF(A77='Data Entry - SOF'!B$2,'Report-SOF2122'!D$91,0)</f>
        <v>0</v>
      </c>
      <c r="P77" s="723">
        <f>IF(A77='Data Entry - SOF'!B$2,'Data Entry - SOF'!O$102,0)</f>
        <v>0</v>
      </c>
      <c r="Q77" s="601">
        <f t="shared" si="7"/>
        <v>299654</v>
      </c>
      <c r="R77" s="944">
        <f>IF(A77='Data Entry - SOF'!B$2,'Report-SOF2223'!D$91,0)</f>
        <v>0</v>
      </c>
      <c r="S77" s="723">
        <f>IF(A77='Data Entry - SOF'!B$2,'Data Entry - SOF'!Q$102,0)</f>
        <v>0</v>
      </c>
      <c r="T77" s="601">
        <f t="shared" si="11"/>
        <v>299654</v>
      </c>
      <c r="U77" s="944">
        <f>IF(A77='Data Entry - SOF'!B$2,'Report-SOF2324'!D$91,0)</f>
        <v>0</v>
      </c>
      <c r="V77" s="723">
        <f>IF(A77='Data Entry - SOF'!B$2,'Data Entry - SOF'!S$102,0)</f>
        <v>0</v>
      </c>
    </row>
    <row r="78" spans="1:22" ht="15.75">
      <c r="A78" s="382" t="s">
        <v>2638</v>
      </c>
      <c r="B78" s="91">
        <v>2903012</v>
      </c>
      <c r="C78" s="944">
        <f>IF(A78='Data Entry - SOF'!B$2,'Report-SOF1718'!D$102,0)</f>
        <v>0</v>
      </c>
      <c r="D78" s="1037">
        <f>IF(A78='Data Entry - SOF'!B$2,'Data Entry - SOF'!#REF!,0)</f>
        <v>0</v>
      </c>
      <c r="E78" s="91">
        <f t="shared" si="6"/>
        <v>2903012</v>
      </c>
      <c r="F78" s="944">
        <f>IF(A78='Data Entry - SOF'!B$2,'Report-SOF1819'!D$102,0)</f>
        <v>0</v>
      </c>
      <c r="G78" s="1037">
        <f>IF(A78='Data Entry - SOF'!B$2,'Data Entry - SOF'!E$102,0)</f>
        <v>0</v>
      </c>
      <c r="H78" s="1038">
        <f t="shared" si="8"/>
        <v>2903012</v>
      </c>
      <c r="I78" s="944">
        <f>IF(A78='Data Entry - SOF'!B$2,'Report-SOF1920-HB3'!D$102,0)</f>
        <v>0</v>
      </c>
      <c r="J78" s="1037">
        <f>IF(A78='Data Entry - SOF'!B$2,'Data Entry - SOF'!G$102,0)</f>
        <v>0</v>
      </c>
      <c r="K78" s="717">
        <f t="shared" si="9"/>
        <v>2903012</v>
      </c>
      <c r="L78" s="944">
        <f>IF(A78='Data Entry - SOF'!B$2,'Report-SOF2021'!D$99,0)</f>
        <v>0</v>
      </c>
      <c r="M78" s="723">
        <f>IF(A78='Data Entry - SOF'!B$2,'Data Entry - SOF'!M$102,0)</f>
        <v>0</v>
      </c>
      <c r="N78" s="717">
        <f t="shared" si="10"/>
        <v>2903012</v>
      </c>
      <c r="O78" s="944">
        <f>IF(A78='Data Entry - SOF'!B$2,'Report-SOF2122'!D$91,0)</f>
        <v>0</v>
      </c>
      <c r="P78" s="723">
        <f>IF(A78='Data Entry - SOF'!B$2,'Data Entry - SOF'!O$102,0)</f>
        <v>0</v>
      </c>
      <c r="Q78" s="601">
        <f t="shared" si="7"/>
        <v>2903012</v>
      </c>
      <c r="R78" s="944">
        <f>IF(A78='Data Entry - SOF'!B$2,'Report-SOF2223'!D$91,0)</f>
        <v>0</v>
      </c>
      <c r="S78" s="723">
        <f>IF(A78='Data Entry - SOF'!B$2,'Data Entry - SOF'!Q$102,0)</f>
        <v>0</v>
      </c>
      <c r="T78" s="601">
        <f t="shared" si="11"/>
        <v>2903012</v>
      </c>
      <c r="U78" s="944">
        <f>IF(A78='Data Entry - SOF'!B$2,'Report-SOF2324'!D$91,0)</f>
        <v>0</v>
      </c>
      <c r="V78" s="723">
        <f>IF(A78='Data Entry - SOF'!B$2,'Data Entry - SOF'!S$102,0)</f>
        <v>0</v>
      </c>
    </row>
    <row r="79" spans="1:22" ht="15.75">
      <c r="A79" s="382" t="s">
        <v>1096</v>
      </c>
      <c r="B79" s="91">
        <v>1059973</v>
      </c>
      <c r="C79" s="944">
        <f>IF(A79='Data Entry - SOF'!B$2,'Report-SOF1718'!D$102,0)</f>
        <v>0</v>
      </c>
      <c r="D79" s="1037">
        <f>IF(A79='Data Entry - SOF'!B$2,'Data Entry - SOF'!#REF!,0)</f>
        <v>0</v>
      </c>
      <c r="E79" s="91">
        <f t="shared" si="6"/>
        <v>1059973</v>
      </c>
      <c r="F79" s="944">
        <f>IF(A79='Data Entry - SOF'!B$2,'Report-SOF1819'!D$102,0)</f>
        <v>0</v>
      </c>
      <c r="G79" s="1037">
        <f>IF(A79='Data Entry - SOF'!B$2,'Data Entry - SOF'!E$102,0)</f>
        <v>0</v>
      </c>
      <c r="H79" s="1038">
        <f t="shared" si="8"/>
        <v>1059973</v>
      </c>
      <c r="I79" s="944">
        <f>IF(A79='Data Entry - SOF'!B$2,'Report-SOF1920-HB3'!D$102,0)</f>
        <v>0</v>
      </c>
      <c r="J79" s="1037">
        <f>IF(A79='Data Entry - SOF'!B$2,'Data Entry - SOF'!G$102,0)</f>
        <v>0</v>
      </c>
      <c r="K79" s="717">
        <f t="shared" si="9"/>
        <v>1059973</v>
      </c>
      <c r="L79" s="944">
        <f>IF(A79='Data Entry - SOF'!B$2,'Report-SOF2021'!D$99,0)</f>
        <v>0</v>
      </c>
      <c r="M79" s="723">
        <f>IF(A79='Data Entry - SOF'!B$2,'Data Entry - SOF'!M$102,0)</f>
        <v>0</v>
      </c>
      <c r="N79" s="717">
        <f t="shared" si="10"/>
        <v>1059973</v>
      </c>
      <c r="O79" s="944">
        <f>IF(A79='Data Entry - SOF'!B$2,'Report-SOF2122'!D$91,0)</f>
        <v>0</v>
      </c>
      <c r="P79" s="723">
        <f>IF(A79='Data Entry - SOF'!B$2,'Data Entry - SOF'!O$102,0)</f>
        <v>0</v>
      </c>
      <c r="Q79" s="601">
        <f t="shared" si="7"/>
        <v>1059973</v>
      </c>
      <c r="R79" s="944">
        <f>IF(A79='Data Entry - SOF'!B$2,'Report-SOF2223'!D$91,0)</f>
        <v>0</v>
      </c>
      <c r="S79" s="723">
        <f>IF(A79='Data Entry - SOF'!B$2,'Data Entry - SOF'!Q$102,0)</f>
        <v>0</v>
      </c>
      <c r="T79" s="601">
        <f t="shared" si="11"/>
        <v>1059973</v>
      </c>
      <c r="U79" s="944">
        <f>IF(A79='Data Entry - SOF'!B$2,'Report-SOF2324'!D$91,0)</f>
        <v>0</v>
      </c>
      <c r="V79" s="723">
        <f>IF(A79='Data Entry - SOF'!B$2,'Data Entry - SOF'!S$102,0)</f>
        <v>0</v>
      </c>
    </row>
    <row r="80" spans="1:22" ht="15.75">
      <c r="A80" s="382" t="s">
        <v>1097</v>
      </c>
      <c r="B80" s="91">
        <v>23830383</v>
      </c>
      <c r="C80" s="944">
        <f>IF(A80='Data Entry - SOF'!B$2,'Report-SOF1718'!D$102,0)</f>
        <v>0</v>
      </c>
      <c r="D80" s="1037">
        <f>IF(A80='Data Entry - SOF'!B$2,'Data Entry - SOF'!#REF!,0)</f>
        <v>0</v>
      </c>
      <c r="E80" s="91">
        <f t="shared" si="6"/>
        <v>23830383</v>
      </c>
      <c r="F80" s="944">
        <f>IF(A80='Data Entry - SOF'!B$2,'Report-SOF1819'!D$102,0)</f>
        <v>0</v>
      </c>
      <c r="G80" s="1037">
        <f>IF(A80='Data Entry - SOF'!B$2,'Data Entry - SOF'!E$102,0)</f>
        <v>0</v>
      </c>
      <c r="H80" s="1038">
        <f t="shared" si="8"/>
        <v>23830383</v>
      </c>
      <c r="I80" s="944">
        <f>IF(A80='Data Entry - SOF'!B$2,'Report-SOF1920-HB3'!D$102,0)</f>
        <v>0</v>
      </c>
      <c r="J80" s="1037">
        <f>IF(A80='Data Entry - SOF'!B$2,'Data Entry - SOF'!G$102,0)</f>
        <v>0</v>
      </c>
      <c r="K80" s="717">
        <f t="shared" si="9"/>
        <v>23830383</v>
      </c>
      <c r="L80" s="944">
        <f>IF(A80='Data Entry - SOF'!B$2,'Report-SOF2021'!D$99,0)</f>
        <v>0</v>
      </c>
      <c r="M80" s="723">
        <f>IF(A80='Data Entry - SOF'!B$2,'Data Entry - SOF'!M$102,0)</f>
        <v>0</v>
      </c>
      <c r="N80" s="717">
        <f t="shared" si="10"/>
        <v>23830383</v>
      </c>
      <c r="O80" s="944">
        <f>IF(A80='Data Entry - SOF'!B$2,'Report-SOF2122'!D$91,0)</f>
        <v>0</v>
      </c>
      <c r="P80" s="723">
        <f>IF(A80='Data Entry - SOF'!B$2,'Data Entry - SOF'!O$102,0)</f>
        <v>0</v>
      </c>
      <c r="Q80" s="601">
        <f t="shared" si="7"/>
        <v>23830383</v>
      </c>
      <c r="R80" s="944">
        <f>IF(A80='Data Entry - SOF'!B$2,'Report-SOF2223'!D$91,0)</f>
        <v>0</v>
      </c>
      <c r="S80" s="723">
        <f>IF(A80='Data Entry - SOF'!B$2,'Data Entry - SOF'!Q$102,0)</f>
        <v>0</v>
      </c>
      <c r="T80" s="601">
        <f t="shared" si="11"/>
        <v>23830383</v>
      </c>
      <c r="U80" s="944">
        <f>IF(A80='Data Entry - SOF'!B$2,'Report-SOF2324'!D$91,0)</f>
        <v>0</v>
      </c>
      <c r="V80" s="723">
        <f>IF(A80='Data Entry - SOF'!B$2,'Data Entry - SOF'!S$102,0)</f>
        <v>0</v>
      </c>
    </row>
    <row r="81" spans="1:22" ht="15.75">
      <c r="A81" s="382" t="s">
        <v>1124</v>
      </c>
      <c r="B81" s="91">
        <v>6488465</v>
      </c>
      <c r="C81" s="944">
        <f>IF(A81='Data Entry - SOF'!B$2,'Report-SOF1718'!D$102,0)</f>
        <v>0</v>
      </c>
      <c r="D81" s="1037">
        <f>IF(A81='Data Entry - SOF'!B$2,'Data Entry - SOF'!#REF!,0)</f>
        <v>0</v>
      </c>
      <c r="E81" s="91">
        <f t="shared" si="6"/>
        <v>6488465</v>
      </c>
      <c r="F81" s="944">
        <f>IF(A81='Data Entry - SOF'!B$2,'Report-SOF1819'!D$102,0)</f>
        <v>0</v>
      </c>
      <c r="G81" s="1037">
        <f>IF(A81='Data Entry - SOF'!B$2,'Data Entry - SOF'!E$102,0)</f>
        <v>0</v>
      </c>
      <c r="H81" s="1038">
        <f t="shared" si="8"/>
        <v>6488465</v>
      </c>
      <c r="I81" s="944">
        <f>IF(A81='Data Entry - SOF'!B$2,'Report-SOF1920-HB3'!D$102,0)</f>
        <v>0</v>
      </c>
      <c r="J81" s="1037">
        <f>IF(A81='Data Entry - SOF'!B$2,'Data Entry - SOF'!G$102,0)</f>
        <v>0</v>
      </c>
      <c r="K81" s="717">
        <f t="shared" si="9"/>
        <v>6488465</v>
      </c>
      <c r="L81" s="944">
        <f>IF(A81='Data Entry - SOF'!B$2,'Report-SOF2021'!D$99,0)</f>
        <v>0</v>
      </c>
      <c r="M81" s="723">
        <f>IF(A81='Data Entry - SOF'!B$2,'Data Entry - SOF'!M$102,0)</f>
        <v>0</v>
      </c>
      <c r="N81" s="717">
        <f t="shared" si="10"/>
        <v>6488465</v>
      </c>
      <c r="O81" s="944">
        <f>IF(A81='Data Entry - SOF'!B$2,'Report-SOF2122'!D$91,0)</f>
        <v>0</v>
      </c>
      <c r="P81" s="723">
        <f>IF(A81='Data Entry - SOF'!B$2,'Data Entry - SOF'!O$102,0)</f>
        <v>0</v>
      </c>
      <c r="Q81" s="601">
        <f t="shared" si="7"/>
        <v>6488465</v>
      </c>
      <c r="R81" s="944">
        <f>IF(A81='Data Entry - SOF'!B$2,'Report-SOF2223'!D$91,0)</f>
        <v>0</v>
      </c>
      <c r="S81" s="723">
        <f>IF(A81='Data Entry - SOF'!B$2,'Data Entry - SOF'!Q$102,0)</f>
        <v>0</v>
      </c>
      <c r="T81" s="601">
        <f t="shared" si="11"/>
        <v>6488465</v>
      </c>
      <c r="U81" s="944">
        <f>IF(A81='Data Entry - SOF'!B$2,'Report-SOF2324'!D$91,0)</f>
        <v>0</v>
      </c>
      <c r="V81" s="723">
        <f>IF(A81='Data Entry - SOF'!B$2,'Data Entry - SOF'!S$102,0)</f>
        <v>0</v>
      </c>
    </row>
    <row r="82" spans="1:22" ht="15.75">
      <c r="A82" s="382" t="s">
        <v>2137</v>
      </c>
      <c r="B82" s="91">
        <v>357355</v>
      </c>
      <c r="C82" s="944">
        <f>IF(A82='Data Entry - SOF'!B$2,'Report-SOF1718'!D$102,0)</f>
        <v>0</v>
      </c>
      <c r="D82" s="1037">
        <f>IF(A82='Data Entry - SOF'!B$2,'Data Entry - SOF'!#REF!,0)</f>
        <v>0</v>
      </c>
      <c r="E82" s="91">
        <f t="shared" si="6"/>
        <v>357355</v>
      </c>
      <c r="F82" s="944">
        <f>IF(A82='Data Entry - SOF'!B$2,'Report-SOF1819'!D$102,0)</f>
        <v>0</v>
      </c>
      <c r="G82" s="1037">
        <f>IF(A82='Data Entry - SOF'!B$2,'Data Entry - SOF'!E$102,0)</f>
        <v>0</v>
      </c>
      <c r="H82" s="1038">
        <f t="shared" si="8"/>
        <v>357355</v>
      </c>
      <c r="I82" s="944">
        <f>IF(A82='Data Entry - SOF'!B$2,'Report-SOF1920-HB3'!D$102,0)</f>
        <v>0</v>
      </c>
      <c r="J82" s="1037">
        <f>IF(A82='Data Entry - SOF'!B$2,'Data Entry - SOF'!G$102,0)</f>
        <v>0</v>
      </c>
      <c r="K82" s="717">
        <f t="shared" si="9"/>
        <v>357355</v>
      </c>
      <c r="L82" s="944">
        <f>IF(A82='Data Entry - SOF'!B$2,'Report-SOF2021'!D$99,0)</f>
        <v>0</v>
      </c>
      <c r="M82" s="723">
        <f>IF(A82='Data Entry - SOF'!B$2,'Data Entry - SOF'!M$102,0)</f>
        <v>0</v>
      </c>
      <c r="N82" s="717">
        <f t="shared" si="10"/>
        <v>357355</v>
      </c>
      <c r="O82" s="944">
        <f>IF(A82='Data Entry - SOF'!B$2,'Report-SOF2122'!D$91,0)</f>
        <v>0</v>
      </c>
      <c r="P82" s="723">
        <f>IF(A82='Data Entry - SOF'!B$2,'Data Entry - SOF'!O$102,0)</f>
        <v>0</v>
      </c>
      <c r="Q82" s="601">
        <f t="shared" si="7"/>
        <v>357355</v>
      </c>
      <c r="R82" s="944">
        <f>IF(A82='Data Entry - SOF'!B$2,'Report-SOF2223'!D$91,0)</f>
        <v>0</v>
      </c>
      <c r="S82" s="723">
        <f>IF(A82='Data Entry - SOF'!B$2,'Data Entry - SOF'!Q$102,0)</f>
        <v>0</v>
      </c>
      <c r="T82" s="601">
        <f t="shared" si="11"/>
        <v>357355</v>
      </c>
      <c r="U82" s="944">
        <f>IF(A82='Data Entry - SOF'!B$2,'Report-SOF2324'!D$91,0)</f>
        <v>0</v>
      </c>
      <c r="V82" s="723">
        <f>IF(A82='Data Entry - SOF'!B$2,'Data Entry - SOF'!S$102,0)</f>
        <v>0</v>
      </c>
    </row>
    <row r="83" spans="1:22" ht="15.75">
      <c r="A83" s="382" t="s">
        <v>984</v>
      </c>
      <c r="B83" s="91">
        <v>88380</v>
      </c>
      <c r="C83" s="944">
        <f>IF(A83='Data Entry - SOF'!B$2,'Report-SOF1718'!D$102,0)</f>
        <v>0</v>
      </c>
      <c r="D83" s="1037">
        <f>IF(A83='Data Entry - SOF'!B$2,'Data Entry - SOF'!#REF!,0)</f>
        <v>0</v>
      </c>
      <c r="E83" s="91">
        <f t="shared" si="6"/>
        <v>88380</v>
      </c>
      <c r="F83" s="944">
        <f>IF(A83='Data Entry - SOF'!B$2,'Report-SOF1819'!D$102,0)</f>
        <v>0</v>
      </c>
      <c r="G83" s="1037">
        <f>IF(A83='Data Entry - SOF'!B$2,'Data Entry - SOF'!E$102,0)</f>
        <v>0</v>
      </c>
      <c r="H83" s="1038">
        <f t="shared" si="8"/>
        <v>88380</v>
      </c>
      <c r="I83" s="944">
        <f>IF(A83='Data Entry - SOF'!B$2,'Report-SOF1920-HB3'!D$102,0)</f>
        <v>0</v>
      </c>
      <c r="J83" s="1037">
        <f>IF(A83='Data Entry - SOF'!B$2,'Data Entry - SOF'!G$102,0)</f>
        <v>0</v>
      </c>
      <c r="K83" s="717">
        <f t="shared" si="9"/>
        <v>88380</v>
      </c>
      <c r="L83" s="944">
        <f>IF(A83='Data Entry - SOF'!B$2,'Report-SOF2021'!D$99,0)</f>
        <v>0</v>
      </c>
      <c r="M83" s="723">
        <f>IF(A83='Data Entry - SOF'!B$2,'Data Entry - SOF'!M$102,0)</f>
        <v>0</v>
      </c>
      <c r="N83" s="717">
        <f t="shared" si="10"/>
        <v>88380</v>
      </c>
      <c r="O83" s="944">
        <f>IF(A83='Data Entry - SOF'!B$2,'Report-SOF2122'!D$91,0)</f>
        <v>0</v>
      </c>
      <c r="P83" s="723">
        <f>IF(A83='Data Entry - SOF'!B$2,'Data Entry - SOF'!O$102,0)</f>
        <v>0</v>
      </c>
      <c r="Q83" s="601">
        <f t="shared" si="7"/>
        <v>88380</v>
      </c>
      <c r="R83" s="944">
        <f>IF(A83='Data Entry - SOF'!B$2,'Report-SOF2223'!D$91,0)</f>
        <v>0</v>
      </c>
      <c r="S83" s="723">
        <f>IF(A83='Data Entry - SOF'!B$2,'Data Entry - SOF'!Q$102,0)</f>
        <v>0</v>
      </c>
      <c r="T83" s="601">
        <f t="shared" si="11"/>
        <v>88380</v>
      </c>
      <c r="U83" s="944">
        <f>IF(A83='Data Entry - SOF'!B$2,'Report-SOF2324'!D$91,0)</f>
        <v>0</v>
      </c>
      <c r="V83" s="723">
        <f>IF(A83='Data Entry - SOF'!B$2,'Data Entry - SOF'!S$102,0)</f>
        <v>0</v>
      </c>
    </row>
    <row r="84" spans="1:22" ht="15.75">
      <c r="A84" s="382" t="s">
        <v>842</v>
      </c>
      <c r="B84" s="91">
        <v>920858</v>
      </c>
      <c r="C84" s="944">
        <f>IF(A84='Data Entry - SOF'!B$2,'Report-SOF1718'!D$102,0)</f>
        <v>0</v>
      </c>
      <c r="D84" s="1037">
        <f>IF(A84='Data Entry - SOF'!B$2,'Data Entry - SOF'!#REF!,0)</f>
        <v>0</v>
      </c>
      <c r="E84" s="91">
        <f t="shared" si="6"/>
        <v>920858</v>
      </c>
      <c r="F84" s="944">
        <f>IF(A84='Data Entry - SOF'!B$2,'Report-SOF1819'!D$102,0)</f>
        <v>0</v>
      </c>
      <c r="G84" s="1037">
        <f>IF(A84='Data Entry - SOF'!B$2,'Data Entry - SOF'!E$102,0)</f>
        <v>0</v>
      </c>
      <c r="H84" s="1038">
        <f t="shared" si="8"/>
        <v>920858</v>
      </c>
      <c r="I84" s="944">
        <f>IF(A84='Data Entry - SOF'!B$2,'Report-SOF1920-HB3'!D$102,0)</f>
        <v>0</v>
      </c>
      <c r="J84" s="1037">
        <f>IF(A84='Data Entry - SOF'!B$2,'Data Entry - SOF'!G$102,0)</f>
        <v>0</v>
      </c>
      <c r="K84" s="717">
        <f t="shared" si="9"/>
        <v>920858</v>
      </c>
      <c r="L84" s="944">
        <f>IF(A84='Data Entry - SOF'!B$2,'Report-SOF2021'!D$99,0)</f>
        <v>0</v>
      </c>
      <c r="M84" s="723">
        <f>IF(A84='Data Entry - SOF'!B$2,'Data Entry - SOF'!M$102,0)</f>
        <v>0</v>
      </c>
      <c r="N84" s="717">
        <f t="shared" si="10"/>
        <v>920858</v>
      </c>
      <c r="O84" s="944">
        <f>IF(A84='Data Entry - SOF'!B$2,'Report-SOF2122'!D$91,0)</f>
        <v>0</v>
      </c>
      <c r="P84" s="723">
        <f>IF(A84='Data Entry - SOF'!B$2,'Data Entry - SOF'!O$102,0)</f>
        <v>0</v>
      </c>
      <c r="Q84" s="601">
        <f t="shared" si="7"/>
        <v>920858</v>
      </c>
      <c r="R84" s="944">
        <f>IF(A84='Data Entry - SOF'!B$2,'Report-SOF2223'!D$91,0)</f>
        <v>0</v>
      </c>
      <c r="S84" s="723">
        <f>IF(A84='Data Entry - SOF'!B$2,'Data Entry - SOF'!Q$102,0)</f>
        <v>0</v>
      </c>
      <c r="T84" s="601">
        <f t="shared" si="11"/>
        <v>920858</v>
      </c>
      <c r="U84" s="944">
        <f>IF(A84='Data Entry - SOF'!B$2,'Report-SOF2324'!D$91,0)</f>
        <v>0</v>
      </c>
      <c r="V84" s="723">
        <f>IF(A84='Data Entry - SOF'!B$2,'Data Entry - SOF'!S$102,0)</f>
        <v>0</v>
      </c>
    </row>
    <row r="85" spans="1:22" ht="15.75">
      <c r="A85" s="382" t="s">
        <v>1125</v>
      </c>
      <c r="B85" s="91">
        <v>15589091</v>
      </c>
      <c r="C85" s="944">
        <f>IF(A85='Data Entry - SOF'!B$2,'Report-SOF1718'!D$102,0)</f>
        <v>0</v>
      </c>
      <c r="D85" s="1037">
        <f>IF(A85='Data Entry - SOF'!B$2,'Data Entry - SOF'!#REF!,0)</f>
        <v>0</v>
      </c>
      <c r="E85" s="91">
        <f t="shared" si="6"/>
        <v>15589091</v>
      </c>
      <c r="F85" s="944">
        <f>IF(A85='Data Entry - SOF'!B$2,'Report-SOF1819'!D$102,0)</f>
        <v>0</v>
      </c>
      <c r="G85" s="1037">
        <f>IF(A85='Data Entry - SOF'!B$2,'Data Entry - SOF'!E$102,0)</f>
        <v>0</v>
      </c>
      <c r="H85" s="1038">
        <f t="shared" si="8"/>
        <v>15589091</v>
      </c>
      <c r="I85" s="944">
        <f>IF(A85='Data Entry - SOF'!B$2,'Report-SOF1920-HB3'!D$102,0)</f>
        <v>0</v>
      </c>
      <c r="J85" s="1037">
        <f>IF(A85='Data Entry - SOF'!B$2,'Data Entry - SOF'!G$102,0)</f>
        <v>0</v>
      </c>
      <c r="K85" s="717">
        <f t="shared" si="9"/>
        <v>15589091</v>
      </c>
      <c r="L85" s="944">
        <f>IF(A85='Data Entry - SOF'!B$2,'Report-SOF2021'!D$99,0)</f>
        <v>0</v>
      </c>
      <c r="M85" s="723">
        <f>IF(A85='Data Entry - SOF'!B$2,'Data Entry - SOF'!M$102,0)</f>
        <v>0</v>
      </c>
      <c r="N85" s="717">
        <f t="shared" si="10"/>
        <v>15589091</v>
      </c>
      <c r="O85" s="944">
        <f>IF(A85='Data Entry - SOF'!B$2,'Report-SOF2122'!D$91,0)</f>
        <v>0</v>
      </c>
      <c r="P85" s="723">
        <f>IF(A85='Data Entry - SOF'!B$2,'Data Entry - SOF'!O$102,0)</f>
        <v>0</v>
      </c>
      <c r="Q85" s="601">
        <f t="shared" si="7"/>
        <v>15589091</v>
      </c>
      <c r="R85" s="944">
        <f>IF(A85='Data Entry - SOF'!B$2,'Report-SOF2223'!D$91,0)</f>
        <v>0</v>
      </c>
      <c r="S85" s="723">
        <f>IF(A85='Data Entry - SOF'!B$2,'Data Entry - SOF'!Q$102,0)</f>
        <v>0</v>
      </c>
      <c r="T85" s="601">
        <f t="shared" si="11"/>
        <v>15589091</v>
      </c>
      <c r="U85" s="944">
        <f>IF(A85='Data Entry - SOF'!B$2,'Report-SOF2324'!D$91,0)</f>
        <v>0</v>
      </c>
      <c r="V85" s="723">
        <f>IF(A85='Data Entry - SOF'!B$2,'Data Entry - SOF'!S$102,0)</f>
        <v>0</v>
      </c>
    </row>
    <row r="86" spans="1:22" ht="15.75">
      <c r="A86" s="382" t="s">
        <v>1126</v>
      </c>
      <c r="B86" s="91">
        <v>105234</v>
      </c>
      <c r="C86" s="944">
        <f>IF(A86='Data Entry - SOF'!B$2,'Report-SOF1718'!D$102,0)</f>
        <v>0</v>
      </c>
      <c r="D86" s="1037">
        <f>IF(A86='Data Entry - SOF'!B$2,'Data Entry - SOF'!#REF!,0)</f>
        <v>0</v>
      </c>
      <c r="E86" s="91">
        <f t="shared" si="6"/>
        <v>105234</v>
      </c>
      <c r="F86" s="944">
        <f>IF(A86='Data Entry - SOF'!B$2,'Report-SOF1819'!D$102,0)</f>
        <v>0</v>
      </c>
      <c r="G86" s="1037">
        <f>IF(A86='Data Entry - SOF'!B$2,'Data Entry - SOF'!E$102,0)</f>
        <v>0</v>
      </c>
      <c r="H86" s="1038">
        <f t="shared" si="8"/>
        <v>105234</v>
      </c>
      <c r="I86" s="944">
        <f>IF(A86='Data Entry - SOF'!B$2,'Report-SOF1920-HB3'!D$102,0)</f>
        <v>0</v>
      </c>
      <c r="J86" s="1037">
        <f>IF(A86='Data Entry - SOF'!B$2,'Data Entry - SOF'!G$102,0)</f>
        <v>0</v>
      </c>
      <c r="K86" s="717">
        <f t="shared" si="9"/>
        <v>105234</v>
      </c>
      <c r="L86" s="944">
        <f>IF(A86='Data Entry - SOF'!B$2,'Report-SOF2021'!D$99,0)</f>
        <v>0</v>
      </c>
      <c r="M86" s="723">
        <f>IF(A86='Data Entry - SOF'!B$2,'Data Entry - SOF'!M$102,0)</f>
        <v>0</v>
      </c>
      <c r="N86" s="717">
        <f t="shared" si="10"/>
        <v>105234</v>
      </c>
      <c r="O86" s="944">
        <f>IF(A86='Data Entry - SOF'!B$2,'Report-SOF2122'!D$91,0)</f>
        <v>0</v>
      </c>
      <c r="P86" s="723">
        <f>IF(A86='Data Entry - SOF'!B$2,'Data Entry - SOF'!O$102,0)</f>
        <v>0</v>
      </c>
      <c r="Q86" s="601">
        <f t="shared" si="7"/>
        <v>105234</v>
      </c>
      <c r="R86" s="944">
        <f>IF(A86='Data Entry - SOF'!B$2,'Report-SOF2223'!D$91,0)</f>
        <v>0</v>
      </c>
      <c r="S86" s="723">
        <f>IF(A86='Data Entry - SOF'!B$2,'Data Entry - SOF'!Q$102,0)</f>
        <v>0</v>
      </c>
      <c r="T86" s="601">
        <f t="shared" si="11"/>
        <v>105234</v>
      </c>
      <c r="U86" s="944">
        <f>IF(A86='Data Entry - SOF'!B$2,'Report-SOF2324'!D$91,0)</f>
        <v>0</v>
      </c>
      <c r="V86" s="723">
        <f>IF(A86='Data Entry - SOF'!B$2,'Data Entry - SOF'!S$102,0)</f>
        <v>0</v>
      </c>
    </row>
    <row r="87" spans="1:22" ht="15.75">
      <c r="A87" s="382" t="s">
        <v>843</v>
      </c>
      <c r="B87" s="91">
        <v>305691</v>
      </c>
      <c r="C87" s="944">
        <f>IF(A87='Data Entry - SOF'!B$2,'Report-SOF1718'!D$102,0)</f>
        <v>0</v>
      </c>
      <c r="D87" s="1037">
        <f>IF(A87='Data Entry - SOF'!B$2,'Data Entry - SOF'!#REF!,0)</f>
        <v>0</v>
      </c>
      <c r="E87" s="91">
        <f t="shared" si="6"/>
        <v>305691</v>
      </c>
      <c r="F87" s="944">
        <f>IF(A87='Data Entry - SOF'!B$2,'Report-SOF1819'!D$102,0)</f>
        <v>0</v>
      </c>
      <c r="G87" s="1037">
        <f>IF(A87='Data Entry - SOF'!B$2,'Data Entry - SOF'!E$102,0)</f>
        <v>0</v>
      </c>
      <c r="H87" s="1038">
        <f t="shared" si="8"/>
        <v>305691</v>
      </c>
      <c r="I87" s="944">
        <f>IF(A87='Data Entry - SOF'!B$2,'Report-SOF1920-HB3'!D$102,0)</f>
        <v>0</v>
      </c>
      <c r="J87" s="1037">
        <f>IF(A87='Data Entry - SOF'!B$2,'Data Entry - SOF'!G$102,0)</f>
        <v>0</v>
      </c>
      <c r="K87" s="717">
        <f t="shared" si="9"/>
        <v>305691</v>
      </c>
      <c r="L87" s="944">
        <f>IF(A87='Data Entry - SOF'!B$2,'Report-SOF2021'!D$99,0)</f>
        <v>0</v>
      </c>
      <c r="M87" s="723">
        <f>IF(A87='Data Entry - SOF'!B$2,'Data Entry - SOF'!M$102,0)</f>
        <v>0</v>
      </c>
      <c r="N87" s="717">
        <f t="shared" si="10"/>
        <v>305691</v>
      </c>
      <c r="O87" s="944">
        <f>IF(A87='Data Entry - SOF'!B$2,'Report-SOF2122'!D$91,0)</f>
        <v>0</v>
      </c>
      <c r="P87" s="723">
        <f>IF(A87='Data Entry - SOF'!B$2,'Data Entry - SOF'!O$102,0)</f>
        <v>0</v>
      </c>
      <c r="Q87" s="601">
        <f t="shared" si="7"/>
        <v>305691</v>
      </c>
      <c r="R87" s="944">
        <f>IF(A87='Data Entry - SOF'!B$2,'Report-SOF2223'!D$91,0)</f>
        <v>0</v>
      </c>
      <c r="S87" s="723">
        <f>IF(A87='Data Entry - SOF'!B$2,'Data Entry - SOF'!Q$102,0)</f>
        <v>0</v>
      </c>
      <c r="T87" s="601">
        <f t="shared" si="11"/>
        <v>305691</v>
      </c>
      <c r="U87" s="944">
        <f>IF(A87='Data Entry - SOF'!B$2,'Report-SOF2324'!D$91,0)</f>
        <v>0</v>
      </c>
      <c r="V87" s="723">
        <f>IF(A87='Data Entry - SOF'!B$2,'Data Entry - SOF'!S$102,0)</f>
        <v>0</v>
      </c>
    </row>
    <row r="88" spans="1:22" ht="15.75">
      <c r="A88" s="382" t="s">
        <v>179</v>
      </c>
      <c r="B88" s="91">
        <v>120953779</v>
      </c>
      <c r="C88" s="944">
        <f>IF(A88='Data Entry - SOF'!B$2,'Report-SOF1718'!D$102,0)</f>
        <v>0</v>
      </c>
      <c r="D88" s="1037">
        <f>IF(A88='Data Entry - SOF'!B$2,'Data Entry - SOF'!#REF!,0)</f>
        <v>0</v>
      </c>
      <c r="E88" s="91">
        <f t="shared" si="6"/>
        <v>120953779</v>
      </c>
      <c r="F88" s="944">
        <f>IF(A88='Data Entry - SOF'!B$2,'Report-SOF1819'!D$102,0)</f>
        <v>0</v>
      </c>
      <c r="G88" s="1037">
        <f>IF(A88='Data Entry - SOF'!B$2,'Data Entry - SOF'!E$102,0)</f>
        <v>0</v>
      </c>
      <c r="H88" s="1038">
        <f t="shared" si="8"/>
        <v>120953779</v>
      </c>
      <c r="I88" s="944">
        <f>IF(A88='Data Entry - SOF'!B$2,'Report-SOF1920-HB3'!D$102,0)</f>
        <v>0</v>
      </c>
      <c r="J88" s="1037">
        <f>IF(A88='Data Entry - SOF'!B$2,'Data Entry - SOF'!G$102,0)</f>
        <v>0</v>
      </c>
      <c r="K88" s="717">
        <f t="shared" si="9"/>
        <v>120953779</v>
      </c>
      <c r="L88" s="944">
        <f>IF(A88='Data Entry - SOF'!B$2,'Report-SOF2021'!D$99,0)</f>
        <v>0</v>
      </c>
      <c r="M88" s="723">
        <f>IF(A88='Data Entry - SOF'!B$2,'Data Entry - SOF'!M$102,0)</f>
        <v>0</v>
      </c>
      <c r="N88" s="717">
        <f t="shared" si="10"/>
        <v>120953779</v>
      </c>
      <c r="O88" s="944">
        <f>IF(A88='Data Entry - SOF'!B$2,'Report-SOF2122'!D$91,0)</f>
        <v>0</v>
      </c>
      <c r="P88" s="723">
        <f>IF(A88='Data Entry - SOF'!B$2,'Data Entry - SOF'!O$102,0)</f>
        <v>0</v>
      </c>
      <c r="Q88" s="601">
        <f t="shared" si="7"/>
        <v>120953779</v>
      </c>
      <c r="R88" s="944">
        <f>IF(A88='Data Entry - SOF'!B$2,'Report-SOF2223'!D$91,0)</f>
        <v>0</v>
      </c>
      <c r="S88" s="723">
        <f>IF(A88='Data Entry - SOF'!B$2,'Data Entry - SOF'!Q$102,0)</f>
        <v>0</v>
      </c>
      <c r="T88" s="601">
        <f t="shared" si="11"/>
        <v>120953779</v>
      </c>
      <c r="U88" s="944">
        <f>IF(A88='Data Entry - SOF'!B$2,'Report-SOF2324'!D$91,0)</f>
        <v>0</v>
      </c>
      <c r="V88" s="723">
        <f>IF(A88='Data Entry - SOF'!B$2,'Data Entry - SOF'!S$102,0)</f>
        <v>0</v>
      </c>
    </row>
    <row r="89" spans="1:22" ht="15.75">
      <c r="A89" s="382" t="s">
        <v>919</v>
      </c>
      <c r="B89" s="91">
        <v>48048169</v>
      </c>
      <c r="C89" s="944">
        <f>IF(A89='Data Entry - SOF'!B$2,'Report-SOF1718'!D$102,0)</f>
        <v>0</v>
      </c>
      <c r="D89" s="1037">
        <f>IF(A89='Data Entry - SOF'!B$2,'Data Entry - SOF'!#REF!,0)</f>
        <v>0</v>
      </c>
      <c r="E89" s="91">
        <f t="shared" si="6"/>
        <v>48048169</v>
      </c>
      <c r="F89" s="944">
        <f>IF(A89='Data Entry - SOF'!B$2,'Report-SOF1819'!D$102,0)</f>
        <v>0</v>
      </c>
      <c r="G89" s="1037">
        <f>IF(A89='Data Entry - SOF'!B$2,'Data Entry - SOF'!E$102,0)</f>
        <v>0</v>
      </c>
      <c r="H89" s="1038">
        <f t="shared" si="8"/>
        <v>48048169</v>
      </c>
      <c r="I89" s="944">
        <f>IF(A89='Data Entry - SOF'!B$2,'Report-SOF1920-HB3'!D$102,0)</f>
        <v>0</v>
      </c>
      <c r="J89" s="1037">
        <f>IF(A89='Data Entry - SOF'!B$2,'Data Entry - SOF'!G$102,0)</f>
        <v>0</v>
      </c>
      <c r="K89" s="717">
        <f t="shared" si="9"/>
        <v>48048169</v>
      </c>
      <c r="L89" s="944">
        <f>IF(A89='Data Entry - SOF'!B$2,'Report-SOF2021'!D$99,0)</f>
        <v>0</v>
      </c>
      <c r="M89" s="723">
        <f>IF(A89='Data Entry - SOF'!B$2,'Data Entry - SOF'!M$102,0)</f>
        <v>0</v>
      </c>
      <c r="N89" s="717">
        <f t="shared" si="10"/>
        <v>48048169</v>
      </c>
      <c r="O89" s="944">
        <f>IF(A89='Data Entry - SOF'!B$2,'Report-SOF2122'!D$91,0)</f>
        <v>0</v>
      </c>
      <c r="P89" s="723">
        <f>IF(A89='Data Entry - SOF'!B$2,'Data Entry - SOF'!O$102,0)</f>
        <v>0</v>
      </c>
      <c r="Q89" s="601">
        <f t="shared" si="7"/>
        <v>48048169</v>
      </c>
      <c r="R89" s="944">
        <f>IF(A89='Data Entry - SOF'!B$2,'Report-SOF2223'!D$91,0)</f>
        <v>0</v>
      </c>
      <c r="S89" s="723">
        <f>IF(A89='Data Entry - SOF'!B$2,'Data Entry - SOF'!Q$102,0)</f>
        <v>0</v>
      </c>
      <c r="T89" s="601">
        <f t="shared" si="11"/>
        <v>48048169</v>
      </c>
      <c r="U89" s="944">
        <f>IF(A89='Data Entry - SOF'!B$2,'Report-SOF2324'!D$91,0)</f>
        <v>0</v>
      </c>
      <c r="V89" s="723">
        <f>IF(A89='Data Entry - SOF'!B$2,'Data Entry - SOF'!S$102,0)</f>
        <v>0</v>
      </c>
    </row>
    <row r="90" spans="1:22" ht="15.75">
      <c r="A90" s="382" t="s">
        <v>711</v>
      </c>
      <c r="B90" s="91">
        <v>1304995</v>
      </c>
      <c r="C90" s="944">
        <f>IF(A90='Data Entry - SOF'!B$2,'Report-SOF1718'!D$102,0)</f>
        <v>0</v>
      </c>
      <c r="D90" s="1037">
        <f>IF(A90='Data Entry - SOF'!B$2,'Data Entry - SOF'!#REF!,0)</f>
        <v>0</v>
      </c>
      <c r="E90" s="91">
        <f t="shared" si="6"/>
        <v>1304995</v>
      </c>
      <c r="F90" s="944">
        <f>IF(A90='Data Entry - SOF'!B$2,'Report-SOF1819'!D$102,0)</f>
        <v>0</v>
      </c>
      <c r="G90" s="1037">
        <f>IF(A90='Data Entry - SOF'!B$2,'Data Entry - SOF'!E$102,0)</f>
        <v>0</v>
      </c>
      <c r="H90" s="1038">
        <f t="shared" si="8"/>
        <v>1304995</v>
      </c>
      <c r="I90" s="944">
        <f>IF(A90='Data Entry - SOF'!B$2,'Report-SOF1920-HB3'!D$102,0)</f>
        <v>0</v>
      </c>
      <c r="J90" s="1037">
        <f>IF(A90='Data Entry - SOF'!B$2,'Data Entry - SOF'!G$102,0)</f>
        <v>0</v>
      </c>
      <c r="K90" s="717">
        <f t="shared" si="9"/>
        <v>1304995</v>
      </c>
      <c r="L90" s="944">
        <f>IF(A90='Data Entry - SOF'!B$2,'Report-SOF2021'!D$99,0)</f>
        <v>0</v>
      </c>
      <c r="M90" s="723">
        <f>IF(A90='Data Entry - SOF'!B$2,'Data Entry - SOF'!M$102,0)</f>
        <v>0</v>
      </c>
      <c r="N90" s="717">
        <f t="shared" si="10"/>
        <v>1304995</v>
      </c>
      <c r="O90" s="944">
        <f>IF(A90='Data Entry - SOF'!B$2,'Report-SOF2122'!D$91,0)</f>
        <v>0</v>
      </c>
      <c r="P90" s="723">
        <f>IF(A90='Data Entry - SOF'!B$2,'Data Entry - SOF'!O$102,0)</f>
        <v>0</v>
      </c>
      <c r="Q90" s="601">
        <f t="shared" si="7"/>
        <v>1304995</v>
      </c>
      <c r="R90" s="944">
        <f>IF(A90='Data Entry - SOF'!B$2,'Report-SOF2223'!D$91,0)</f>
        <v>0</v>
      </c>
      <c r="S90" s="723">
        <f>IF(A90='Data Entry - SOF'!B$2,'Data Entry - SOF'!Q$102,0)</f>
        <v>0</v>
      </c>
      <c r="T90" s="601">
        <f t="shared" si="11"/>
        <v>1304995</v>
      </c>
      <c r="U90" s="944">
        <f>IF(A90='Data Entry - SOF'!B$2,'Report-SOF2324'!D$91,0)</f>
        <v>0</v>
      </c>
      <c r="V90" s="723">
        <f>IF(A90='Data Entry - SOF'!B$2,'Data Entry - SOF'!S$102,0)</f>
        <v>0</v>
      </c>
    </row>
    <row r="91" spans="1:22" ht="15.75">
      <c r="A91" s="382" t="s">
        <v>1157</v>
      </c>
      <c r="B91" s="91">
        <v>91752506.197067097</v>
      </c>
      <c r="C91" s="944">
        <f>IF(A91='Data Entry - SOF'!B$2,'Report-SOF1718'!D$102,0)</f>
        <v>0</v>
      </c>
      <c r="D91" s="1037">
        <f>IF(A91='Data Entry - SOF'!B$2,'Data Entry - SOF'!#REF!,0)</f>
        <v>0</v>
      </c>
      <c r="E91" s="91">
        <f t="shared" si="6"/>
        <v>91752506.197067097</v>
      </c>
      <c r="F91" s="944">
        <f>IF(A91='Data Entry - SOF'!B$2,'Report-SOF1819'!D$102,0)</f>
        <v>0</v>
      </c>
      <c r="G91" s="1037">
        <f>IF(A91='Data Entry - SOF'!B$2,'Data Entry - SOF'!E$102,0)</f>
        <v>0</v>
      </c>
      <c r="H91" s="1038">
        <f t="shared" si="8"/>
        <v>91752506.197067097</v>
      </c>
      <c r="I91" s="944">
        <f>IF(A91='Data Entry - SOF'!B$2,'Report-SOF1920-HB3'!D$102,0)</f>
        <v>0</v>
      </c>
      <c r="J91" s="1037">
        <f>IF(A91='Data Entry - SOF'!B$2,'Data Entry - SOF'!G$102,0)</f>
        <v>0</v>
      </c>
      <c r="K91" s="717">
        <f t="shared" si="9"/>
        <v>91752506.197067097</v>
      </c>
      <c r="L91" s="944">
        <f>IF(A91='Data Entry - SOF'!B$2,'Report-SOF2021'!D$99,0)</f>
        <v>0</v>
      </c>
      <c r="M91" s="723">
        <f>IF(A91='Data Entry - SOF'!B$2,'Data Entry - SOF'!M$102,0)</f>
        <v>0</v>
      </c>
      <c r="N91" s="717">
        <f t="shared" si="10"/>
        <v>91752506.197067097</v>
      </c>
      <c r="O91" s="944">
        <f>IF(A91='Data Entry - SOF'!B$2,'Report-SOF2122'!D$91,0)</f>
        <v>0</v>
      </c>
      <c r="P91" s="723">
        <f>IF(A91='Data Entry - SOF'!B$2,'Data Entry - SOF'!O$102,0)</f>
        <v>0</v>
      </c>
      <c r="Q91" s="601">
        <f t="shared" si="7"/>
        <v>91752506.197067097</v>
      </c>
      <c r="R91" s="944">
        <f>IF(A91='Data Entry - SOF'!B$2,'Report-SOF2223'!D$91,0)</f>
        <v>0</v>
      </c>
      <c r="S91" s="723">
        <f>IF(A91='Data Entry - SOF'!B$2,'Data Entry - SOF'!Q$102,0)</f>
        <v>0</v>
      </c>
      <c r="T91" s="601">
        <f t="shared" si="11"/>
        <v>91752506.197067097</v>
      </c>
      <c r="U91" s="944">
        <f>IF(A91='Data Entry - SOF'!B$2,'Report-SOF2324'!D$91,0)</f>
        <v>0</v>
      </c>
      <c r="V91" s="723">
        <f>IF(A91='Data Entry - SOF'!B$2,'Data Entry - SOF'!S$102,0)</f>
        <v>0</v>
      </c>
    </row>
    <row r="92" spans="1:22" ht="15.75">
      <c r="A92" s="382" t="s">
        <v>1158</v>
      </c>
      <c r="B92" s="91">
        <v>25542462.924231801</v>
      </c>
      <c r="C92" s="944">
        <f>IF(A92='Data Entry - SOF'!B$2,'Report-SOF1718'!D$102,0)</f>
        <v>0</v>
      </c>
      <c r="D92" s="1037">
        <f>IF(A92='Data Entry - SOF'!B$2,'Data Entry - SOF'!#REF!,0)</f>
        <v>0</v>
      </c>
      <c r="E92" s="91">
        <f t="shared" si="6"/>
        <v>25542462.924231801</v>
      </c>
      <c r="F92" s="944">
        <f>IF(A92='Data Entry - SOF'!B$2,'Report-SOF1819'!D$102,0)</f>
        <v>0</v>
      </c>
      <c r="G92" s="1037">
        <f>IF(A92='Data Entry - SOF'!B$2,'Data Entry - SOF'!E$102,0)</f>
        <v>0</v>
      </c>
      <c r="H92" s="1038">
        <f t="shared" si="8"/>
        <v>25542462.924231801</v>
      </c>
      <c r="I92" s="944">
        <f>IF(A92='Data Entry - SOF'!B$2,'Report-SOF1920-HB3'!D$102,0)</f>
        <v>0</v>
      </c>
      <c r="J92" s="1037">
        <f>IF(A92='Data Entry - SOF'!B$2,'Data Entry - SOF'!G$102,0)</f>
        <v>0</v>
      </c>
      <c r="K92" s="717">
        <f t="shared" si="9"/>
        <v>25542462.924231801</v>
      </c>
      <c r="L92" s="944">
        <f>IF(A92='Data Entry - SOF'!B$2,'Report-SOF2021'!D$99,0)</f>
        <v>0</v>
      </c>
      <c r="M92" s="723">
        <f>IF(A92='Data Entry - SOF'!B$2,'Data Entry - SOF'!M$102,0)</f>
        <v>0</v>
      </c>
      <c r="N92" s="717">
        <f t="shared" si="10"/>
        <v>25542462.924231801</v>
      </c>
      <c r="O92" s="944">
        <f>IF(A92='Data Entry - SOF'!B$2,'Report-SOF2122'!D$91,0)</f>
        <v>0</v>
      </c>
      <c r="P92" s="723">
        <f>IF(A92='Data Entry - SOF'!B$2,'Data Entry - SOF'!O$102,0)</f>
        <v>0</v>
      </c>
      <c r="Q92" s="601">
        <f t="shared" si="7"/>
        <v>25542462.924231801</v>
      </c>
      <c r="R92" s="944">
        <f>IF(A92='Data Entry - SOF'!B$2,'Report-SOF2223'!D$91,0)</f>
        <v>0</v>
      </c>
      <c r="S92" s="723">
        <f>IF(A92='Data Entry - SOF'!B$2,'Data Entry - SOF'!Q$102,0)</f>
        <v>0</v>
      </c>
      <c r="T92" s="601">
        <f t="shared" si="11"/>
        <v>25542462.924231801</v>
      </c>
      <c r="U92" s="944">
        <f>IF(A92='Data Entry - SOF'!B$2,'Report-SOF2324'!D$91,0)</f>
        <v>0</v>
      </c>
      <c r="V92" s="723">
        <f>IF(A92='Data Entry - SOF'!B$2,'Data Entry - SOF'!S$102,0)</f>
        <v>0</v>
      </c>
    </row>
    <row r="93" spans="1:22" ht="15.75">
      <c r="A93" s="382" t="s">
        <v>1435</v>
      </c>
      <c r="B93" s="91">
        <v>10495162</v>
      </c>
      <c r="C93" s="944">
        <f>IF(A93='Data Entry - SOF'!B$2,'Report-SOF1718'!D$102,0)</f>
        <v>0</v>
      </c>
      <c r="D93" s="1037">
        <f>IF(A93='Data Entry - SOF'!B$2,'Data Entry - SOF'!#REF!,0)</f>
        <v>0</v>
      </c>
      <c r="E93" s="91">
        <f t="shared" si="6"/>
        <v>10495162</v>
      </c>
      <c r="F93" s="944">
        <f>IF(A93='Data Entry - SOF'!B$2,'Report-SOF1819'!D$102,0)</f>
        <v>0</v>
      </c>
      <c r="G93" s="1037">
        <f>IF(A93='Data Entry - SOF'!B$2,'Data Entry - SOF'!E$102,0)</f>
        <v>0</v>
      </c>
      <c r="H93" s="1038">
        <f t="shared" si="8"/>
        <v>10495162</v>
      </c>
      <c r="I93" s="944">
        <f>IF(A93='Data Entry - SOF'!B$2,'Report-SOF1920-HB3'!D$102,0)</f>
        <v>0</v>
      </c>
      <c r="J93" s="1037">
        <f>IF(A93='Data Entry - SOF'!B$2,'Data Entry - SOF'!G$102,0)</f>
        <v>0</v>
      </c>
      <c r="K93" s="717">
        <f t="shared" si="9"/>
        <v>10495162</v>
      </c>
      <c r="L93" s="944">
        <f>IF(A93='Data Entry - SOF'!B$2,'Report-SOF2021'!D$99,0)</f>
        <v>0</v>
      </c>
      <c r="M93" s="723">
        <f>IF(A93='Data Entry - SOF'!B$2,'Data Entry - SOF'!M$102,0)</f>
        <v>0</v>
      </c>
      <c r="N93" s="717">
        <f t="shared" si="10"/>
        <v>10495162</v>
      </c>
      <c r="O93" s="944">
        <f>IF(A93='Data Entry - SOF'!B$2,'Report-SOF2122'!D$91,0)</f>
        <v>0</v>
      </c>
      <c r="P93" s="723">
        <f>IF(A93='Data Entry - SOF'!B$2,'Data Entry - SOF'!O$102,0)</f>
        <v>0</v>
      </c>
      <c r="Q93" s="601">
        <f t="shared" si="7"/>
        <v>10495162</v>
      </c>
      <c r="R93" s="944">
        <f>IF(A93='Data Entry - SOF'!B$2,'Report-SOF2223'!D$91,0)</f>
        <v>0</v>
      </c>
      <c r="S93" s="723">
        <f>IF(A93='Data Entry - SOF'!B$2,'Data Entry - SOF'!Q$102,0)</f>
        <v>0</v>
      </c>
      <c r="T93" s="601">
        <f t="shared" si="11"/>
        <v>10495162</v>
      </c>
      <c r="U93" s="944">
        <f>IF(A93='Data Entry - SOF'!B$2,'Report-SOF2324'!D$91,0)</f>
        <v>0</v>
      </c>
      <c r="V93" s="723">
        <f>IF(A93='Data Entry - SOF'!B$2,'Data Entry - SOF'!S$102,0)</f>
        <v>0</v>
      </c>
    </row>
    <row r="94" spans="1:22" ht="15.75">
      <c r="A94" s="382" t="s">
        <v>207</v>
      </c>
      <c r="B94" s="91">
        <v>123160211</v>
      </c>
      <c r="C94" s="944">
        <f>IF(A94='Data Entry - SOF'!B$2,'Report-SOF1718'!D$102,0)</f>
        <v>0</v>
      </c>
      <c r="D94" s="1037">
        <f>IF(A94='Data Entry - SOF'!B$2,'Data Entry - SOF'!#REF!,0)</f>
        <v>0</v>
      </c>
      <c r="E94" s="91">
        <f t="shared" si="6"/>
        <v>123160211</v>
      </c>
      <c r="F94" s="944">
        <f>IF(A94='Data Entry - SOF'!B$2,'Report-SOF1819'!D$102,0)</f>
        <v>0</v>
      </c>
      <c r="G94" s="1037">
        <f>IF(A94='Data Entry - SOF'!B$2,'Data Entry - SOF'!E$102,0)</f>
        <v>0</v>
      </c>
      <c r="H94" s="1038">
        <f t="shared" si="8"/>
        <v>123160211</v>
      </c>
      <c r="I94" s="944">
        <f>IF(A94='Data Entry - SOF'!B$2,'Report-SOF1920-HB3'!D$102,0)</f>
        <v>0</v>
      </c>
      <c r="J94" s="1037">
        <f>IF(A94='Data Entry - SOF'!B$2,'Data Entry - SOF'!G$102,0)</f>
        <v>0</v>
      </c>
      <c r="K94" s="717">
        <f t="shared" si="9"/>
        <v>123160211</v>
      </c>
      <c r="L94" s="944">
        <f>IF(A94='Data Entry - SOF'!B$2,'Report-SOF2021'!D$99,0)</f>
        <v>0</v>
      </c>
      <c r="M94" s="723">
        <f>IF(A94='Data Entry - SOF'!B$2,'Data Entry - SOF'!M$102,0)</f>
        <v>0</v>
      </c>
      <c r="N94" s="717">
        <f t="shared" si="10"/>
        <v>123160211</v>
      </c>
      <c r="O94" s="944">
        <f>IF(A94='Data Entry - SOF'!B$2,'Report-SOF2122'!D$91,0)</f>
        <v>0</v>
      </c>
      <c r="P94" s="723">
        <f>IF(A94='Data Entry - SOF'!B$2,'Data Entry - SOF'!O$102,0)</f>
        <v>0</v>
      </c>
      <c r="Q94" s="601">
        <f t="shared" si="7"/>
        <v>123160211</v>
      </c>
      <c r="R94" s="944">
        <f>IF(A94='Data Entry - SOF'!B$2,'Report-SOF2223'!D$91,0)</f>
        <v>0</v>
      </c>
      <c r="S94" s="723">
        <f>IF(A94='Data Entry - SOF'!B$2,'Data Entry - SOF'!Q$102,0)</f>
        <v>0</v>
      </c>
      <c r="T94" s="601">
        <f t="shared" si="11"/>
        <v>123160211</v>
      </c>
      <c r="U94" s="944">
        <f>IF(A94='Data Entry - SOF'!B$2,'Report-SOF2324'!D$91,0)</f>
        <v>0</v>
      </c>
      <c r="V94" s="723">
        <f>IF(A94='Data Entry - SOF'!B$2,'Data Entry - SOF'!S$102,0)</f>
        <v>0</v>
      </c>
    </row>
    <row r="95" spans="1:22" ht="15.75">
      <c r="A95" s="382" t="s">
        <v>1159</v>
      </c>
      <c r="B95" s="91">
        <v>308247</v>
      </c>
      <c r="C95" s="944">
        <f>IF(A95='Data Entry - SOF'!B$2,'Report-SOF1718'!D$102,0)</f>
        <v>0</v>
      </c>
      <c r="D95" s="1037">
        <f>IF(A95='Data Entry - SOF'!B$2,'Data Entry - SOF'!#REF!,0)</f>
        <v>0</v>
      </c>
      <c r="E95" s="91">
        <f t="shared" si="6"/>
        <v>308247</v>
      </c>
      <c r="F95" s="944">
        <f>IF(A95='Data Entry - SOF'!B$2,'Report-SOF1819'!D$102,0)</f>
        <v>0</v>
      </c>
      <c r="G95" s="1037">
        <f>IF(A95='Data Entry - SOF'!B$2,'Data Entry - SOF'!E$102,0)</f>
        <v>0</v>
      </c>
      <c r="H95" s="1038">
        <f t="shared" si="8"/>
        <v>308247</v>
      </c>
      <c r="I95" s="944">
        <f>IF(A95='Data Entry - SOF'!B$2,'Report-SOF1920-HB3'!D$102,0)</f>
        <v>0</v>
      </c>
      <c r="J95" s="1037">
        <f>IF(A95='Data Entry - SOF'!B$2,'Data Entry - SOF'!G$102,0)</f>
        <v>0</v>
      </c>
      <c r="K95" s="717">
        <f t="shared" si="9"/>
        <v>308247</v>
      </c>
      <c r="L95" s="944">
        <f>IF(A95='Data Entry - SOF'!B$2,'Report-SOF2021'!D$99,0)</f>
        <v>0</v>
      </c>
      <c r="M95" s="723">
        <f>IF(A95='Data Entry - SOF'!B$2,'Data Entry - SOF'!M$102,0)</f>
        <v>0</v>
      </c>
      <c r="N95" s="717">
        <f t="shared" si="10"/>
        <v>308247</v>
      </c>
      <c r="O95" s="944">
        <f>IF(A95='Data Entry - SOF'!B$2,'Report-SOF2122'!D$91,0)</f>
        <v>0</v>
      </c>
      <c r="P95" s="723">
        <f>IF(A95='Data Entry - SOF'!B$2,'Data Entry - SOF'!O$102,0)</f>
        <v>0</v>
      </c>
      <c r="Q95" s="601">
        <f t="shared" si="7"/>
        <v>308247</v>
      </c>
      <c r="R95" s="944">
        <f>IF(A95='Data Entry - SOF'!B$2,'Report-SOF2223'!D$91,0)</f>
        <v>0</v>
      </c>
      <c r="S95" s="723">
        <f>IF(A95='Data Entry - SOF'!B$2,'Data Entry - SOF'!Q$102,0)</f>
        <v>0</v>
      </c>
      <c r="T95" s="601">
        <f t="shared" si="11"/>
        <v>308247</v>
      </c>
      <c r="U95" s="944">
        <f>IF(A95='Data Entry - SOF'!B$2,'Report-SOF2324'!D$91,0)</f>
        <v>0</v>
      </c>
      <c r="V95" s="723">
        <f>IF(A95='Data Entry - SOF'!B$2,'Data Entry - SOF'!S$102,0)</f>
        <v>0</v>
      </c>
    </row>
    <row r="96" spans="1:22" ht="15.75">
      <c r="A96" s="382" t="s">
        <v>578</v>
      </c>
      <c r="B96" s="91">
        <v>148933238</v>
      </c>
      <c r="C96" s="944">
        <f>IF(A96='Data Entry - SOF'!B$2,'Report-SOF1718'!D$102,0)</f>
        <v>0</v>
      </c>
      <c r="D96" s="1037">
        <f>IF(A96='Data Entry - SOF'!B$2,'Data Entry - SOF'!#REF!,0)</f>
        <v>0</v>
      </c>
      <c r="E96" s="91">
        <f t="shared" si="6"/>
        <v>148933238</v>
      </c>
      <c r="F96" s="944">
        <f>IF(A96='Data Entry - SOF'!B$2,'Report-SOF1819'!D$102,0)</f>
        <v>0</v>
      </c>
      <c r="G96" s="1037">
        <f>IF(A96='Data Entry - SOF'!B$2,'Data Entry - SOF'!E$102,0)</f>
        <v>0</v>
      </c>
      <c r="H96" s="1038">
        <f t="shared" si="8"/>
        <v>148933238</v>
      </c>
      <c r="I96" s="944">
        <f>IF(A96='Data Entry - SOF'!B$2,'Report-SOF1920-HB3'!D$102,0)</f>
        <v>0</v>
      </c>
      <c r="J96" s="1037">
        <f>IF(A96='Data Entry - SOF'!B$2,'Data Entry - SOF'!G$102,0)</f>
        <v>0</v>
      </c>
      <c r="K96" s="717">
        <f t="shared" si="9"/>
        <v>148933238</v>
      </c>
      <c r="L96" s="944">
        <f>IF(A96='Data Entry - SOF'!B$2,'Report-SOF2021'!D$99,0)</f>
        <v>0</v>
      </c>
      <c r="M96" s="723">
        <f>IF(A96='Data Entry - SOF'!B$2,'Data Entry - SOF'!M$102,0)</f>
        <v>0</v>
      </c>
      <c r="N96" s="717">
        <f t="shared" si="10"/>
        <v>148933238</v>
      </c>
      <c r="O96" s="944">
        <f>IF(A96='Data Entry - SOF'!B$2,'Report-SOF2122'!D$91,0)</f>
        <v>0</v>
      </c>
      <c r="P96" s="723">
        <f>IF(A96='Data Entry - SOF'!B$2,'Data Entry - SOF'!O$102,0)</f>
        <v>0</v>
      </c>
      <c r="Q96" s="601">
        <f t="shared" si="7"/>
        <v>148933238</v>
      </c>
      <c r="R96" s="944">
        <f>IF(A96='Data Entry - SOF'!B$2,'Report-SOF2223'!D$91,0)</f>
        <v>0</v>
      </c>
      <c r="S96" s="723">
        <f>IF(A96='Data Entry - SOF'!B$2,'Data Entry - SOF'!Q$102,0)</f>
        <v>0</v>
      </c>
      <c r="T96" s="601">
        <f t="shared" si="11"/>
        <v>148933238</v>
      </c>
      <c r="U96" s="944">
        <f>IF(A96='Data Entry - SOF'!B$2,'Report-SOF2324'!D$91,0)</f>
        <v>0</v>
      </c>
      <c r="V96" s="723">
        <f>IF(A96='Data Entry - SOF'!B$2,'Data Entry - SOF'!S$102,0)</f>
        <v>0</v>
      </c>
    </row>
    <row r="97" spans="1:22" ht="15.75">
      <c r="A97" s="382" t="s">
        <v>882</v>
      </c>
      <c r="B97" s="91">
        <v>73808046</v>
      </c>
      <c r="C97" s="944">
        <f>IF(A97='Data Entry - SOF'!B$2,'Report-SOF1718'!D$102,0)</f>
        <v>0</v>
      </c>
      <c r="D97" s="1037">
        <f>IF(A97='Data Entry - SOF'!B$2,'Data Entry - SOF'!#REF!,0)</f>
        <v>0</v>
      </c>
      <c r="E97" s="91">
        <f t="shared" si="6"/>
        <v>73808046</v>
      </c>
      <c r="F97" s="944">
        <f>IF(A97='Data Entry - SOF'!B$2,'Report-SOF1819'!D$102,0)</f>
        <v>0</v>
      </c>
      <c r="G97" s="1037">
        <f>IF(A97='Data Entry - SOF'!B$2,'Data Entry - SOF'!E$102,0)</f>
        <v>0</v>
      </c>
      <c r="H97" s="1038">
        <f t="shared" si="8"/>
        <v>73808046</v>
      </c>
      <c r="I97" s="944">
        <f>IF(A97='Data Entry - SOF'!B$2,'Report-SOF1920-HB3'!D$102,0)</f>
        <v>0</v>
      </c>
      <c r="J97" s="1037">
        <f>IF(A97='Data Entry - SOF'!B$2,'Data Entry - SOF'!G$102,0)</f>
        <v>0</v>
      </c>
      <c r="K97" s="717">
        <f t="shared" si="9"/>
        <v>73808046</v>
      </c>
      <c r="L97" s="944">
        <f>IF(A97='Data Entry - SOF'!B$2,'Report-SOF2021'!D$99,0)</f>
        <v>0</v>
      </c>
      <c r="M97" s="723">
        <f>IF(A97='Data Entry - SOF'!B$2,'Data Entry - SOF'!M$102,0)</f>
        <v>0</v>
      </c>
      <c r="N97" s="717">
        <f t="shared" si="10"/>
        <v>73808046</v>
      </c>
      <c r="O97" s="944">
        <f>IF(A97='Data Entry - SOF'!B$2,'Report-SOF2122'!D$91,0)</f>
        <v>0</v>
      </c>
      <c r="P97" s="723">
        <f>IF(A97='Data Entry - SOF'!B$2,'Data Entry - SOF'!O$102,0)</f>
        <v>0</v>
      </c>
      <c r="Q97" s="601">
        <f t="shared" si="7"/>
        <v>73808046</v>
      </c>
      <c r="R97" s="944">
        <f>IF(A97='Data Entry - SOF'!B$2,'Report-SOF2223'!D$91,0)</f>
        <v>0</v>
      </c>
      <c r="S97" s="723">
        <f>IF(A97='Data Entry - SOF'!B$2,'Data Entry - SOF'!Q$102,0)</f>
        <v>0</v>
      </c>
      <c r="T97" s="601">
        <f t="shared" si="11"/>
        <v>73808046</v>
      </c>
      <c r="U97" s="944">
        <f>IF(A97='Data Entry - SOF'!B$2,'Report-SOF2324'!D$91,0)</f>
        <v>0</v>
      </c>
      <c r="V97" s="723">
        <f>IF(A97='Data Entry - SOF'!B$2,'Data Entry - SOF'!S$102,0)</f>
        <v>0</v>
      </c>
    </row>
    <row r="98" spans="1:22" ht="15.75">
      <c r="A98" s="382" t="s">
        <v>2549</v>
      </c>
      <c r="B98" s="91">
        <v>475158</v>
      </c>
      <c r="C98" s="944">
        <f>IF(A98='Data Entry - SOF'!B$2,'Report-SOF1718'!D$102,0)</f>
        <v>0</v>
      </c>
      <c r="D98" s="1037">
        <f>IF(A98='Data Entry - SOF'!B$2,'Data Entry - SOF'!#REF!,0)</f>
        <v>0</v>
      </c>
      <c r="E98" s="91">
        <f t="shared" si="6"/>
        <v>475158</v>
      </c>
      <c r="F98" s="944">
        <f>IF(A98='Data Entry - SOF'!B$2,'Report-SOF1819'!D$102,0)</f>
        <v>0</v>
      </c>
      <c r="G98" s="1037">
        <f>IF(A98='Data Entry - SOF'!B$2,'Data Entry - SOF'!E$102,0)</f>
        <v>0</v>
      </c>
      <c r="H98" s="1038">
        <f t="shared" si="8"/>
        <v>475158</v>
      </c>
      <c r="I98" s="944">
        <f>IF(A98='Data Entry - SOF'!B$2,'Report-SOF1920-HB3'!D$102,0)</f>
        <v>0</v>
      </c>
      <c r="J98" s="1037">
        <f>IF(A98='Data Entry - SOF'!B$2,'Data Entry - SOF'!G$102,0)</f>
        <v>0</v>
      </c>
      <c r="K98" s="717">
        <f t="shared" si="9"/>
        <v>475158</v>
      </c>
      <c r="L98" s="944">
        <f>IF(A98='Data Entry - SOF'!B$2,'Report-SOF2021'!D$99,0)</f>
        <v>0</v>
      </c>
      <c r="M98" s="723">
        <f>IF(A98='Data Entry - SOF'!B$2,'Data Entry - SOF'!M$102,0)</f>
        <v>0</v>
      </c>
      <c r="N98" s="717">
        <f t="shared" si="10"/>
        <v>475158</v>
      </c>
      <c r="O98" s="944">
        <f>IF(A98='Data Entry - SOF'!B$2,'Report-SOF2122'!D$91,0)</f>
        <v>0</v>
      </c>
      <c r="P98" s="723">
        <f>IF(A98='Data Entry - SOF'!B$2,'Data Entry - SOF'!O$102,0)</f>
        <v>0</v>
      </c>
      <c r="Q98" s="601">
        <f t="shared" si="7"/>
        <v>475158</v>
      </c>
      <c r="R98" s="944">
        <f>IF(A98='Data Entry - SOF'!B$2,'Report-SOF2223'!D$91,0)</f>
        <v>0</v>
      </c>
      <c r="S98" s="723">
        <f>IF(A98='Data Entry - SOF'!B$2,'Data Entry - SOF'!Q$102,0)</f>
        <v>0</v>
      </c>
      <c r="T98" s="601">
        <f t="shared" si="11"/>
        <v>475158</v>
      </c>
      <c r="U98" s="944">
        <f>IF(A98='Data Entry - SOF'!B$2,'Report-SOF2324'!D$91,0)</f>
        <v>0</v>
      </c>
      <c r="V98" s="723">
        <f>IF(A98='Data Entry - SOF'!B$2,'Data Entry - SOF'!S$102,0)</f>
        <v>0</v>
      </c>
    </row>
    <row r="99" spans="1:22" ht="15.75">
      <c r="A99" s="382" t="s">
        <v>400</v>
      </c>
      <c r="B99" s="91">
        <v>1765215</v>
      </c>
      <c r="C99" s="944">
        <f>IF(A99='Data Entry - SOF'!B$2,'Report-SOF1718'!D$102,0)</f>
        <v>0</v>
      </c>
      <c r="D99" s="1037">
        <f>IF(A99='Data Entry - SOF'!B$2,'Data Entry - SOF'!#REF!,0)</f>
        <v>0</v>
      </c>
      <c r="E99" s="91">
        <f t="shared" si="6"/>
        <v>1765215</v>
      </c>
      <c r="F99" s="944">
        <f>IF(A99='Data Entry - SOF'!B$2,'Report-SOF1819'!D$102,0)</f>
        <v>0</v>
      </c>
      <c r="G99" s="1037">
        <f>IF(A99='Data Entry - SOF'!B$2,'Data Entry - SOF'!E$102,0)</f>
        <v>0</v>
      </c>
      <c r="H99" s="1038">
        <f t="shared" si="8"/>
        <v>1765215</v>
      </c>
      <c r="I99" s="944">
        <f>IF(A99='Data Entry - SOF'!B$2,'Report-SOF1920-HB3'!D$102,0)</f>
        <v>0</v>
      </c>
      <c r="J99" s="1037">
        <f>IF(A99='Data Entry - SOF'!B$2,'Data Entry - SOF'!G$102,0)</f>
        <v>0</v>
      </c>
      <c r="K99" s="717">
        <f t="shared" si="9"/>
        <v>1765215</v>
      </c>
      <c r="L99" s="944">
        <f>IF(A99='Data Entry - SOF'!B$2,'Report-SOF2021'!D$99,0)</f>
        <v>0</v>
      </c>
      <c r="M99" s="723">
        <f>IF(A99='Data Entry - SOF'!B$2,'Data Entry - SOF'!M$102,0)</f>
        <v>0</v>
      </c>
      <c r="N99" s="717">
        <f t="shared" si="10"/>
        <v>1765215</v>
      </c>
      <c r="O99" s="944">
        <f>IF(A99='Data Entry - SOF'!B$2,'Report-SOF2122'!D$91,0)</f>
        <v>0</v>
      </c>
      <c r="P99" s="723">
        <f>IF(A99='Data Entry - SOF'!B$2,'Data Entry - SOF'!O$102,0)</f>
        <v>0</v>
      </c>
      <c r="Q99" s="601">
        <f t="shared" si="7"/>
        <v>1765215</v>
      </c>
      <c r="R99" s="944">
        <f>IF(A99='Data Entry - SOF'!B$2,'Report-SOF2223'!D$91,0)</f>
        <v>0</v>
      </c>
      <c r="S99" s="723">
        <f>IF(A99='Data Entry - SOF'!B$2,'Data Entry - SOF'!Q$102,0)</f>
        <v>0</v>
      </c>
      <c r="T99" s="601">
        <f t="shared" si="11"/>
        <v>1765215</v>
      </c>
      <c r="U99" s="944">
        <f>IF(A99='Data Entry - SOF'!B$2,'Report-SOF2324'!D$91,0)</f>
        <v>0</v>
      </c>
      <c r="V99" s="723">
        <f>IF(A99='Data Entry - SOF'!B$2,'Data Entry - SOF'!S$102,0)</f>
        <v>0</v>
      </c>
    </row>
    <row r="100" spans="1:22" ht="15.75">
      <c r="A100" s="382" t="s">
        <v>401</v>
      </c>
      <c r="B100" s="91">
        <v>606770</v>
      </c>
      <c r="C100" s="944">
        <f>IF(A100='Data Entry - SOF'!B$2,'Report-SOF1718'!D$102,0)</f>
        <v>0</v>
      </c>
      <c r="D100" s="1037">
        <f>IF(A100='Data Entry - SOF'!B$2,'Data Entry - SOF'!#REF!,0)</f>
        <v>0</v>
      </c>
      <c r="E100" s="91">
        <f t="shared" si="6"/>
        <v>606770</v>
      </c>
      <c r="F100" s="944">
        <f>IF(A100='Data Entry - SOF'!B$2,'Report-SOF1819'!D$102,0)</f>
        <v>0</v>
      </c>
      <c r="G100" s="1037">
        <f>IF(A100='Data Entry - SOF'!B$2,'Data Entry - SOF'!E$102,0)</f>
        <v>0</v>
      </c>
      <c r="H100" s="1038">
        <f t="shared" si="8"/>
        <v>606770</v>
      </c>
      <c r="I100" s="944">
        <f>IF(A100='Data Entry - SOF'!B$2,'Report-SOF1920-HB3'!D$102,0)</f>
        <v>0</v>
      </c>
      <c r="J100" s="1037">
        <f>IF(A100='Data Entry - SOF'!B$2,'Data Entry - SOF'!G$102,0)</f>
        <v>0</v>
      </c>
      <c r="K100" s="717">
        <f t="shared" si="9"/>
        <v>606770</v>
      </c>
      <c r="L100" s="944">
        <f>IF(A100='Data Entry - SOF'!B$2,'Report-SOF2021'!D$99,0)</f>
        <v>0</v>
      </c>
      <c r="M100" s="723">
        <f>IF(A100='Data Entry - SOF'!B$2,'Data Entry - SOF'!M$102,0)</f>
        <v>0</v>
      </c>
      <c r="N100" s="717">
        <f t="shared" si="10"/>
        <v>606770</v>
      </c>
      <c r="O100" s="944">
        <f>IF(A100='Data Entry - SOF'!B$2,'Report-SOF2122'!D$91,0)</f>
        <v>0</v>
      </c>
      <c r="P100" s="723">
        <f>IF(A100='Data Entry - SOF'!B$2,'Data Entry - SOF'!O$102,0)</f>
        <v>0</v>
      </c>
      <c r="Q100" s="601">
        <f t="shared" si="7"/>
        <v>606770</v>
      </c>
      <c r="R100" s="944">
        <f>IF(A100='Data Entry - SOF'!B$2,'Report-SOF2223'!D$91,0)</f>
        <v>0</v>
      </c>
      <c r="S100" s="723">
        <f>IF(A100='Data Entry - SOF'!B$2,'Data Entry - SOF'!Q$102,0)</f>
        <v>0</v>
      </c>
      <c r="T100" s="601">
        <f t="shared" si="11"/>
        <v>606770</v>
      </c>
      <c r="U100" s="944">
        <f>IF(A100='Data Entry - SOF'!B$2,'Report-SOF2324'!D$91,0)</f>
        <v>0</v>
      </c>
      <c r="V100" s="723">
        <f>IF(A100='Data Entry - SOF'!B$2,'Data Entry - SOF'!S$102,0)</f>
        <v>0</v>
      </c>
    </row>
    <row r="101" spans="1:22" ht="15.75">
      <c r="A101" s="382" t="s">
        <v>402</v>
      </c>
      <c r="B101" s="91">
        <v>34333</v>
      </c>
      <c r="C101" s="944">
        <f>IF(A101='Data Entry - SOF'!B$2,'Report-SOF1718'!D$102,0)</f>
        <v>0</v>
      </c>
      <c r="D101" s="1037">
        <f>IF(A101='Data Entry - SOF'!B$2,'Data Entry - SOF'!#REF!,0)</f>
        <v>0</v>
      </c>
      <c r="E101" s="91">
        <f t="shared" si="6"/>
        <v>34333</v>
      </c>
      <c r="F101" s="944">
        <f>IF(A101='Data Entry - SOF'!B$2,'Report-SOF1819'!D$102,0)</f>
        <v>0</v>
      </c>
      <c r="G101" s="1037">
        <f>IF(A101='Data Entry - SOF'!B$2,'Data Entry - SOF'!E$102,0)</f>
        <v>0</v>
      </c>
      <c r="H101" s="1038">
        <f t="shared" si="8"/>
        <v>34333</v>
      </c>
      <c r="I101" s="944">
        <f>IF(A101='Data Entry - SOF'!B$2,'Report-SOF1920-HB3'!D$102,0)</f>
        <v>0</v>
      </c>
      <c r="J101" s="1037">
        <f>IF(A101='Data Entry - SOF'!B$2,'Data Entry - SOF'!G$102,0)</f>
        <v>0</v>
      </c>
      <c r="K101" s="717">
        <f t="shared" si="9"/>
        <v>34333</v>
      </c>
      <c r="L101" s="944">
        <f>IF(A101='Data Entry - SOF'!B$2,'Report-SOF2021'!D$99,0)</f>
        <v>0</v>
      </c>
      <c r="M101" s="723">
        <f>IF(A101='Data Entry - SOF'!B$2,'Data Entry - SOF'!M$102,0)</f>
        <v>0</v>
      </c>
      <c r="N101" s="717">
        <f t="shared" si="10"/>
        <v>34333</v>
      </c>
      <c r="O101" s="944">
        <f>IF(A101='Data Entry - SOF'!B$2,'Report-SOF2122'!D$91,0)</f>
        <v>0</v>
      </c>
      <c r="P101" s="723">
        <f>IF(A101='Data Entry - SOF'!B$2,'Data Entry - SOF'!O$102,0)</f>
        <v>0</v>
      </c>
      <c r="Q101" s="601">
        <f t="shared" si="7"/>
        <v>34333</v>
      </c>
      <c r="R101" s="944">
        <f>IF(A101='Data Entry - SOF'!B$2,'Report-SOF2223'!D$91,0)</f>
        <v>0</v>
      </c>
      <c r="S101" s="723">
        <f>IF(A101='Data Entry - SOF'!B$2,'Data Entry - SOF'!Q$102,0)</f>
        <v>0</v>
      </c>
      <c r="T101" s="601">
        <f t="shared" si="11"/>
        <v>34333</v>
      </c>
      <c r="U101" s="944">
        <f>IF(A101='Data Entry - SOF'!B$2,'Report-SOF2324'!D$91,0)</f>
        <v>0</v>
      </c>
      <c r="V101" s="723">
        <f>IF(A101='Data Entry - SOF'!B$2,'Data Entry - SOF'!S$102,0)</f>
        <v>0</v>
      </c>
    </row>
    <row r="102" spans="1:22" ht="15.75">
      <c r="A102" s="382" t="s">
        <v>403</v>
      </c>
      <c r="B102" s="91">
        <v>5096314</v>
      </c>
      <c r="C102" s="944">
        <f>IF(A102='Data Entry - SOF'!B$2,'Report-SOF1718'!D$102,0)</f>
        <v>0</v>
      </c>
      <c r="D102" s="1037">
        <f>IF(A102='Data Entry - SOF'!B$2,'Data Entry - SOF'!#REF!,0)</f>
        <v>0</v>
      </c>
      <c r="E102" s="91">
        <f t="shared" si="6"/>
        <v>5096314</v>
      </c>
      <c r="F102" s="944">
        <f>IF(A102='Data Entry - SOF'!B$2,'Report-SOF1819'!D$102,0)</f>
        <v>0</v>
      </c>
      <c r="G102" s="1037">
        <f>IF(A102='Data Entry - SOF'!B$2,'Data Entry - SOF'!E$102,0)</f>
        <v>0</v>
      </c>
      <c r="H102" s="1038">
        <f t="shared" si="8"/>
        <v>5096314</v>
      </c>
      <c r="I102" s="944">
        <f>IF(A102='Data Entry - SOF'!B$2,'Report-SOF1920-HB3'!D$102,0)</f>
        <v>0</v>
      </c>
      <c r="J102" s="1037">
        <f>IF(A102='Data Entry - SOF'!B$2,'Data Entry - SOF'!G$102,0)</f>
        <v>0</v>
      </c>
      <c r="K102" s="717">
        <f t="shared" si="9"/>
        <v>5096314</v>
      </c>
      <c r="L102" s="944">
        <f>IF(A102='Data Entry - SOF'!B$2,'Report-SOF2021'!D$99,0)</f>
        <v>0</v>
      </c>
      <c r="M102" s="723">
        <f>IF(A102='Data Entry - SOF'!B$2,'Data Entry - SOF'!M$102,0)</f>
        <v>0</v>
      </c>
      <c r="N102" s="717">
        <f t="shared" si="10"/>
        <v>5096314</v>
      </c>
      <c r="O102" s="944">
        <f>IF(A102='Data Entry - SOF'!B$2,'Report-SOF2122'!D$91,0)</f>
        <v>0</v>
      </c>
      <c r="P102" s="723">
        <f>IF(A102='Data Entry - SOF'!B$2,'Data Entry - SOF'!O$102,0)</f>
        <v>0</v>
      </c>
      <c r="Q102" s="601">
        <f t="shared" si="7"/>
        <v>5096314</v>
      </c>
      <c r="R102" s="944">
        <f>IF(A102='Data Entry - SOF'!B$2,'Report-SOF2223'!D$91,0)</f>
        <v>0</v>
      </c>
      <c r="S102" s="723">
        <f>IF(A102='Data Entry - SOF'!B$2,'Data Entry - SOF'!Q$102,0)</f>
        <v>0</v>
      </c>
      <c r="T102" s="601">
        <f t="shared" si="11"/>
        <v>5096314</v>
      </c>
      <c r="U102" s="944">
        <f>IF(A102='Data Entry - SOF'!B$2,'Report-SOF2324'!D$91,0)</f>
        <v>0</v>
      </c>
      <c r="V102" s="723">
        <f>IF(A102='Data Entry - SOF'!B$2,'Data Entry - SOF'!S$102,0)</f>
        <v>0</v>
      </c>
    </row>
    <row r="103" spans="1:22" ht="15.75">
      <c r="A103" s="382" t="s">
        <v>669</v>
      </c>
      <c r="B103" s="91">
        <v>15631031</v>
      </c>
      <c r="C103" s="944">
        <f>IF(A103='Data Entry - SOF'!B$2,'Report-SOF1718'!D$102,0)</f>
        <v>0</v>
      </c>
      <c r="D103" s="1037">
        <f>IF(A103='Data Entry - SOF'!B$2,'Data Entry - SOF'!#REF!,0)</f>
        <v>0</v>
      </c>
      <c r="E103" s="91">
        <f t="shared" si="6"/>
        <v>15631031</v>
      </c>
      <c r="F103" s="944">
        <f>IF(A103='Data Entry - SOF'!B$2,'Report-SOF1819'!D$102,0)</f>
        <v>0</v>
      </c>
      <c r="G103" s="1037">
        <f>IF(A103='Data Entry - SOF'!B$2,'Data Entry - SOF'!E$102,0)</f>
        <v>0</v>
      </c>
      <c r="H103" s="1038">
        <f t="shared" si="8"/>
        <v>15631031</v>
      </c>
      <c r="I103" s="944">
        <f>IF(A103='Data Entry - SOF'!B$2,'Report-SOF1920-HB3'!D$102,0)</f>
        <v>0</v>
      </c>
      <c r="J103" s="1037">
        <f>IF(A103='Data Entry - SOF'!B$2,'Data Entry - SOF'!G$102,0)</f>
        <v>0</v>
      </c>
      <c r="K103" s="717">
        <f t="shared" si="9"/>
        <v>15631031</v>
      </c>
      <c r="L103" s="944">
        <f>IF(A103='Data Entry - SOF'!B$2,'Report-SOF2021'!D$99,0)</f>
        <v>0</v>
      </c>
      <c r="M103" s="723">
        <f>IF(A103='Data Entry - SOF'!B$2,'Data Entry - SOF'!M$102,0)</f>
        <v>0</v>
      </c>
      <c r="N103" s="717">
        <f t="shared" si="10"/>
        <v>15631031</v>
      </c>
      <c r="O103" s="944">
        <f>IF(A103='Data Entry - SOF'!B$2,'Report-SOF2122'!D$91,0)</f>
        <v>0</v>
      </c>
      <c r="P103" s="723">
        <f>IF(A103='Data Entry - SOF'!B$2,'Data Entry - SOF'!O$102,0)</f>
        <v>0</v>
      </c>
      <c r="Q103" s="601">
        <f t="shared" si="7"/>
        <v>15631031</v>
      </c>
      <c r="R103" s="944">
        <f>IF(A103='Data Entry - SOF'!B$2,'Report-SOF2223'!D$91,0)</f>
        <v>0</v>
      </c>
      <c r="S103" s="723">
        <f>IF(A103='Data Entry - SOF'!B$2,'Data Entry - SOF'!Q$102,0)</f>
        <v>0</v>
      </c>
      <c r="T103" s="601">
        <f t="shared" si="11"/>
        <v>15631031</v>
      </c>
      <c r="U103" s="944">
        <f>IF(A103='Data Entry - SOF'!B$2,'Report-SOF2324'!D$91,0)</f>
        <v>0</v>
      </c>
      <c r="V103" s="723">
        <f>IF(A103='Data Entry - SOF'!B$2,'Data Entry - SOF'!S$102,0)</f>
        <v>0</v>
      </c>
    </row>
    <row r="104" spans="1:22" ht="15.75">
      <c r="A104" s="382" t="s">
        <v>670</v>
      </c>
      <c r="B104" s="91">
        <v>1974658</v>
      </c>
      <c r="C104" s="944">
        <f>IF(A104='Data Entry - SOF'!B$2,'Report-SOF1718'!D$102,0)</f>
        <v>0</v>
      </c>
      <c r="D104" s="1037">
        <f>IF(A104='Data Entry - SOF'!B$2,'Data Entry - SOF'!#REF!,0)</f>
        <v>0</v>
      </c>
      <c r="E104" s="91">
        <f t="shared" si="6"/>
        <v>1974658</v>
      </c>
      <c r="F104" s="944">
        <f>IF(A104='Data Entry - SOF'!B$2,'Report-SOF1819'!D$102,0)</f>
        <v>0</v>
      </c>
      <c r="G104" s="1037">
        <f>IF(A104='Data Entry - SOF'!B$2,'Data Entry - SOF'!E$102,0)</f>
        <v>0</v>
      </c>
      <c r="H104" s="1038">
        <f t="shared" si="8"/>
        <v>1974658</v>
      </c>
      <c r="I104" s="944">
        <f>IF(A104='Data Entry - SOF'!B$2,'Report-SOF1920-HB3'!D$102,0)</f>
        <v>0</v>
      </c>
      <c r="J104" s="1037">
        <f>IF(A104='Data Entry - SOF'!B$2,'Data Entry - SOF'!G$102,0)</f>
        <v>0</v>
      </c>
      <c r="K104" s="717">
        <f t="shared" si="9"/>
        <v>1974658</v>
      </c>
      <c r="L104" s="944">
        <f>IF(A104='Data Entry - SOF'!B$2,'Report-SOF2021'!D$99,0)</f>
        <v>0</v>
      </c>
      <c r="M104" s="723">
        <f>IF(A104='Data Entry - SOF'!B$2,'Data Entry - SOF'!M$102,0)</f>
        <v>0</v>
      </c>
      <c r="N104" s="717">
        <f t="shared" si="10"/>
        <v>1974658</v>
      </c>
      <c r="O104" s="944">
        <f>IF(A104='Data Entry - SOF'!B$2,'Report-SOF2122'!D$91,0)</f>
        <v>0</v>
      </c>
      <c r="P104" s="723">
        <f>IF(A104='Data Entry - SOF'!B$2,'Data Entry - SOF'!O$102,0)</f>
        <v>0</v>
      </c>
      <c r="Q104" s="601">
        <f t="shared" si="7"/>
        <v>1974658</v>
      </c>
      <c r="R104" s="944">
        <f>IF(A104='Data Entry - SOF'!B$2,'Report-SOF2223'!D$91,0)</f>
        <v>0</v>
      </c>
      <c r="S104" s="723">
        <f>IF(A104='Data Entry - SOF'!B$2,'Data Entry - SOF'!Q$102,0)</f>
        <v>0</v>
      </c>
      <c r="T104" s="601">
        <f t="shared" si="11"/>
        <v>1974658</v>
      </c>
      <c r="U104" s="944">
        <f>IF(A104='Data Entry - SOF'!B$2,'Report-SOF2324'!D$91,0)</f>
        <v>0</v>
      </c>
      <c r="V104" s="723">
        <f>IF(A104='Data Entry - SOF'!B$2,'Data Entry - SOF'!S$102,0)</f>
        <v>0</v>
      </c>
    </row>
    <row r="105" spans="1:22" ht="15.75">
      <c r="A105" s="382" t="s">
        <v>671</v>
      </c>
      <c r="B105" s="91">
        <v>10399274</v>
      </c>
      <c r="C105" s="944">
        <f>IF(A105='Data Entry - SOF'!B$2,'Report-SOF1718'!D$102,0)</f>
        <v>0</v>
      </c>
      <c r="D105" s="1037">
        <f>IF(A105='Data Entry - SOF'!B$2,'Data Entry - SOF'!#REF!,0)</f>
        <v>0</v>
      </c>
      <c r="E105" s="91">
        <f t="shared" si="6"/>
        <v>10399274</v>
      </c>
      <c r="F105" s="944">
        <f>IF(A105='Data Entry - SOF'!B$2,'Report-SOF1819'!D$102,0)</f>
        <v>0</v>
      </c>
      <c r="G105" s="1037">
        <f>IF(A105='Data Entry - SOF'!B$2,'Data Entry - SOF'!E$102,0)</f>
        <v>0</v>
      </c>
      <c r="H105" s="1038">
        <f t="shared" si="8"/>
        <v>10399274</v>
      </c>
      <c r="I105" s="944">
        <f>IF(A105='Data Entry - SOF'!B$2,'Report-SOF1920-HB3'!D$102,0)</f>
        <v>0</v>
      </c>
      <c r="J105" s="1037">
        <f>IF(A105='Data Entry - SOF'!B$2,'Data Entry - SOF'!G$102,0)</f>
        <v>0</v>
      </c>
      <c r="K105" s="717">
        <f t="shared" si="9"/>
        <v>10399274</v>
      </c>
      <c r="L105" s="944">
        <f>IF(A105='Data Entry - SOF'!B$2,'Report-SOF2021'!D$99,0)</f>
        <v>0</v>
      </c>
      <c r="M105" s="723">
        <f>IF(A105='Data Entry - SOF'!B$2,'Data Entry - SOF'!M$102,0)</f>
        <v>0</v>
      </c>
      <c r="N105" s="717">
        <f t="shared" si="10"/>
        <v>10399274</v>
      </c>
      <c r="O105" s="944">
        <f>IF(A105='Data Entry - SOF'!B$2,'Report-SOF2122'!D$91,0)</f>
        <v>0</v>
      </c>
      <c r="P105" s="723">
        <f>IF(A105='Data Entry - SOF'!B$2,'Data Entry - SOF'!O$102,0)</f>
        <v>0</v>
      </c>
      <c r="Q105" s="601">
        <f t="shared" si="7"/>
        <v>10399274</v>
      </c>
      <c r="R105" s="944">
        <f>IF(A105='Data Entry - SOF'!B$2,'Report-SOF2223'!D$91,0)</f>
        <v>0</v>
      </c>
      <c r="S105" s="723">
        <f>IF(A105='Data Entry - SOF'!B$2,'Data Entry - SOF'!Q$102,0)</f>
        <v>0</v>
      </c>
      <c r="T105" s="601">
        <f t="shared" si="11"/>
        <v>10399274</v>
      </c>
      <c r="U105" s="944">
        <f>IF(A105='Data Entry - SOF'!B$2,'Report-SOF2324'!D$91,0)</f>
        <v>0</v>
      </c>
      <c r="V105" s="723">
        <f>IF(A105='Data Entry - SOF'!B$2,'Data Entry - SOF'!S$102,0)</f>
        <v>0</v>
      </c>
    </row>
    <row r="106" spans="1:22" ht="15.75">
      <c r="A106" s="382" t="s">
        <v>876</v>
      </c>
      <c r="B106" s="91">
        <v>312553</v>
      </c>
      <c r="C106" s="944">
        <f>IF(A106='Data Entry - SOF'!B$2,'Report-SOF1718'!D$102,0)</f>
        <v>0</v>
      </c>
      <c r="D106" s="1037">
        <f>IF(A106='Data Entry - SOF'!B$2,'Data Entry - SOF'!#REF!,0)</f>
        <v>0</v>
      </c>
      <c r="E106" s="91">
        <f t="shared" si="6"/>
        <v>312553</v>
      </c>
      <c r="F106" s="944">
        <f>IF(A106='Data Entry - SOF'!B$2,'Report-SOF1819'!D$102,0)</f>
        <v>0</v>
      </c>
      <c r="G106" s="1037">
        <f>IF(A106='Data Entry - SOF'!B$2,'Data Entry - SOF'!E$102,0)</f>
        <v>0</v>
      </c>
      <c r="H106" s="1038">
        <f t="shared" si="8"/>
        <v>312553</v>
      </c>
      <c r="I106" s="944">
        <f>IF(A106='Data Entry - SOF'!B$2,'Report-SOF1920-HB3'!D$102,0)</f>
        <v>0</v>
      </c>
      <c r="J106" s="1037">
        <f>IF(A106='Data Entry - SOF'!B$2,'Data Entry - SOF'!G$102,0)</f>
        <v>0</v>
      </c>
      <c r="K106" s="717">
        <f t="shared" si="9"/>
        <v>312553</v>
      </c>
      <c r="L106" s="944">
        <f>IF(A106='Data Entry - SOF'!B$2,'Report-SOF2021'!D$99,0)</f>
        <v>0</v>
      </c>
      <c r="M106" s="723">
        <f>IF(A106='Data Entry - SOF'!B$2,'Data Entry - SOF'!M$102,0)</f>
        <v>0</v>
      </c>
      <c r="N106" s="717">
        <f t="shared" si="10"/>
        <v>312553</v>
      </c>
      <c r="O106" s="944">
        <f>IF(A106='Data Entry - SOF'!B$2,'Report-SOF2122'!D$91,0)</f>
        <v>0</v>
      </c>
      <c r="P106" s="723">
        <f>IF(A106='Data Entry - SOF'!B$2,'Data Entry - SOF'!O$102,0)</f>
        <v>0</v>
      </c>
      <c r="Q106" s="601">
        <f t="shared" si="7"/>
        <v>312553</v>
      </c>
      <c r="R106" s="944">
        <f>IF(A106='Data Entry - SOF'!B$2,'Report-SOF2223'!D$91,0)</f>
        <v>0</v>
      </c>
      <c r="S106" s="723">
        <f>IF(A106='Data Entry - SOF'!B$2,'Data Entry - SOF'!Q$102,0)</f>
        <v>0</v>
      </c>
      <c r="T106" s="601">
        <f t="shared" si="11"/>
        <v>312553</v>
      </c>
      <c r="U106" s="944">
        <f>IF(A106='Data Entry - SOF'!B$2,'Report-SOF2324'!D$91,0)</f>
        <v>0</v>
      </c>
      <c r="V106" s="723">
        <f>IF(A106='Data Entry - SOF'!B$2,'Data Entry - SOF'!S$102,0)</f>
        <v>0</v>
      </c>
    </row>
    <row r="107" spans="1:22" ht="15.75">
      <c r="A107" s="382" t="s">
        <v>2528</v>
      </c>
      <c r="B107" s="91">
        <v>1516469</v>
      </c>
      <c r="C107" s="944">
        <f>IF(A107='Data Entry - SOF'!B$2,'Report-SOF1718'!D$102,0)</f>
        <v>0</v>
      </c>
      <c r="D107" s="1037">
        <f>IF(A107='Data Entry - SOF'!B$2,'Data Entry - SOF'!#REF!,0)</f>
        <v>0</v>
      </c>
      <c r="E107" s="91">
        <f t="shared" si="6"/>
        <v>1516469</v>
      </c>
      <c r="F107" s="944">
        <f>IF(A107='Data Entry - SOF'!B$2,'Report-SOF1819'!D$102,0)</f>
        <v>0</v>
      </c>
      <c r="G107" s="1037">
        <f>IF(A107='Data Entry - SOF'!B$2,'Data Entry - SOF'!E$102,0)</f>
        <v>0</v>
      </c>
      <c r="H107" s="1038">
        <f t="shared" si="8"/>
        <v>1516469</v>
      </c>
      <c r="I107" s="944">
        <f>IF(A107='Data Entry - SOF'!B$2,'Report-SOF1920-HB3'!D$102,0)</f>
        <v>0</v>
      </c>
      <c r="J107" s="1037">
        <f>IF(A107='Data Entry - SOF'!B$2,'Data Entry - SOF'!G$102,0)</f>
        <v>0</v>
      </c>
      <c r="K107" s="717">
        <f t="shared" si="9"/>
        <v>1516469</v>
      </c>
      <c r="L107" s="944">
        <f>IF(A107='Data Entry - SOF'!B$2,'Report-SOF2021'!D$99,0)</f>
        <v>0</v>
      </c>
      <c r="M107" s="723">
        <f>IF(A107='Data Entry - SOF'!B$2,'Data Entry - SOF'!M$102,0)</f>
        <v>0</v>
      </c>
      <c r="N107" s="717">
        <f t="shared" si="10"/>
        <v>1516469</v>
      </c>
      <c r="O107" s="944">
        <f>IF(A107='Data Entry - SOF'!B$2,'Report-SOF2122'!D$91,0)</f>
        <v>0</v>
      </c>
      <c r="P107" s="723">
        <f>IF(A107='Data Entry - SOF'!B$2,'Data Entry - SOF'!O$102,0)</f>
        <v>0</v>
      </c>
      <c r="Q107" s="601">
        <f t="shared" si="7"/>
        <v>1516469</v>
      </c>
      <c r="R107" s="944">
        <f>IF(A107='Data Entry - SOF'!B$2,'Report-SOF2223'!D$91,0)</f>
        <v>0</v>
      </c>
      <c r="S107" s="723">
        <f>IF(A107='Data Entry - SOF'!B$2,'Data Entry - SOF'!Q$102,0)</f>
        <v>0</v>
      </c>
      <c r="T107" s="601">
        <f t="shared" si="11"/>
        <v>1516469</v>
      </c>
      <c r="U107" s="944">
        <f>IF(A107='Data Entry - SOF'!B$2,'Report-SOF2324'!D$91,0)</f>
        <v>0</v>
      </c>
      <c r="V107" s="723">
        <f>IF(A107='Data Entry - SOF'!B$2,'Data Entry - SOF'!S$102,0)</f>
        <v>0</v>
      </c>
    </row>
    <row r="108" spans="1:22" ht="15.75">
      <c r="A108" s="382" t="s">
        <v>1187</v>
      </c>
      <c r="B108" s="91">
        <v>456143</v>
      </c>
      <c r="C108" s="944">
        <f>IF(A108='Data Entry - SOF'!B$2,'Report-SOF1718'!D$102,0)</f>
        <v>0</v>
      </c>
      <c r="D108" s="1037">
        <f>IF(A108='Data Entry - SOF'!B$2,'Data Entry - SOF'!#REF!,0)</f>
        <v>0</v>
      </c>
      <c r="E108" s="91">
        <f t="shared" si="6"/>
        <v>456143</v>
      </c>
      <c r="F108" s="944">
        <f>IF(A108='Data Entry - SOF'!B$2,'Report-SOF1819'!D$102,0)</f>
        <v>0</v>
      </c>
      <c r="G108" s="1037">
        <f>IF(A108='Data Entry - SOF'!B$2,'Data Entry - SOF'!E$102,0)</f>
        <v>0</v>
      </c>
      <c r="H108" s="1038">
        <f t="shared" si="8"/>
        <v>456143</v>
      </c>
      <c r="I108" s="944">
        <f>IF(A108='Data Entry - SOF'!B$2,'Report-SOF1920-HB3'!D$102,0)</f>
        <v>0</v>
      </c>
      <c r="J108" s="1037">
        <f>IF(A108='Data Entry - SOF'!B$2,'Data Entry - SOF'!G$102,0)</f>
        <v>0</v>
      </c>
      <c r="K108" s="717">
        <f t="shared" si="9"/>
        <v>456143</v>
      </c>
      <c r="L108" s="944">
        <f>IF(A108='Data Entry - SOF'!B$2,'Report-SOF2021'!D$99,0)</f>
        <v>0</v>
      </c>
      <c r="M108" s="723">
        <f>IF(A108='Data Entry - SOF'!B$2,'Data Entry - SOF'!M$102,0)</f>
        <v>0</v>
      </c>
      <c r="N108" s="717">
        <f t="shared" si="10"/>
        <v>456143</v>
      </c>
      <c r="O108" s="944">
        <f>IF(A108='Data Entry - SOF'!B$2,'Report-SOF2122'!D$91,0)</f>
        <v>0</v>
      </c>
      <c r="P108" s="723">
        <f>IF(A108='Data Entry - SOF'!B$2,'Data Entry - SOF'!O$102,0)</f>
        <v>0</v>
      </c>
      <c r="Q108" s="601">
        <f t="shared" si="7"/>
        <v>456143</v>
      </c>
      <c r="R108" s="944">
        <f>IF(A108='Data Entry - SOF'!B$2,'Report-SOF2223'!D$91,0)</f>
        <v>0</v>
      </c>
      <c r="S108" s="723">
        <f>IF(A108='Data Entry - SOF'!B$2,'Data Entry - SOF'!Q$102,0)</f>
        <v>0</v>
      </c>
      <c r="T108" s="601">
        <f t="shared" si="11"/>
        <v>456143</v>
      </c>
      <c r="U108" s="944">
        <f>IF(A108='Data Entry - SOF'!B$2,'Report-SOF2324'!D$91,0)</f>
        <v>0</v>
      </c>
      <c r="V108" s="723">
        <f>IF(A108='Data Entry - SOF'!B$2,'Data Entry - SOF'!S$102,0)</f>
        <v>0</v>
      </c>
    </row>
    <row r="109" spans="1:22" ht="15.75">
      <c r="A109" s="382" t="s">
        <v>712</v>
      </c>
      <c r="B109" s="91">
        <v>804747</v>
      </c>
      <c r="C109" s="944">
        <f>IF(A109='Data Entry - SOF'!B$2,'Report-SOF1718'!D$102,0)</f>
        <v>0</v>
      </c>
      <c r="D109" s="1037">
        <f>IF(A109='Data Entry - SOF'!B$2,'Data Entry - SOF'!#REF!,0)</f>
        <v>0</v>
      </c>
      <c r="E109" s="91">
        <f t="shared" si="6"/>
        <v>804747</v>
      </c>
      <c r="F109" s="944">
        <f>IF(A109='Data Entry - SOF'!B$2,'Report-SOF1819'!D$102,0)</f>
        <v>0</v>
      </c>
      <c r="G109" s="1037">
        <f>IF(A109='Data Entry - SOF'!B$2,'Data Entry - SOF'!E$102,0)</f>
        <v>0</v>
      </c>
      <c r="H109" s="1038">
        <f t="shared" si="8"/>
        <v>804747</v>
      </c>
      <c r="I109" s="944">
        <f>IF(A109='Data Entry - SOF'!B$2,'Report-SOF1920-HB3'!D$102,0)</f>
        <v>0</v>
      </c>
      <c r="J109" s="1037">
        <f>IF(A109='Data Entry - SOF'!B$2,'Data Entry - SOF'!G$102,0)</f>
        <v>0</v>
      </c>
      <c r="K109" s="717">
        <f t="shared" si="9"/>
        <v>804747</v>
      </c>
      <c r="L109" s="944">
        <f>IF(A109='Data Entry - SOF'!B$2,'Report-SOF2021'!D$99,0)</f>
        <v>0</v>
      </c>
      <c r="M109" s="723">
        <f>IF(A109='Data Entry - SOF'!B$2,'Data Entry - SOF'!M$102,0)</f>
        <v>0</v>
      </c>
      <c r="N109" s="717">
        <f t="shared" si="10"/>
        <v>804747</v>
      </c>
      <c r="O109" s="944">
        <f>IF(A109='Data Entry - SOF'!B$2,'Report-SOF2122'!D$91,0)</f>
        <v>0</v>
      </c>
      <c r="P109" s="723">
        <f>IF(A109='Data Entry - SOF'!B$2,'Data Entry - SOF'!O$102,0)</f>
        <v>0</v>
      </c>
      <c r="Q109" s="601">
        <f t="shared" si="7"/>
        <v>804747</v>
      </c>
      <c r="R109" s="944">
        <f>IF(A109='Data Entry - SOF'!B$2,'Report-SOF2223'!D$91,0)</f>
        <v>0</v>
      </c>
      <c r="S109" s="723">
        <f>IF(A109='Data Entry - SOF'!B$2,'Data Entry - SOF'!Q$102,0)</f>
        <v>0</v>
      </c>
      <c r="T109" s="601">
        <f t="shared" si="11"/>
        <v>804747</v>
      </c>
      <c r="U109" s="944">
        <f>IF(A109='Data Entry - SOF'!B$2,'Report-SOF2324'!D$91,0)</f>
        <v>0</v>
      </c>
      <c r="V109" s="723">
        <f>IF(A109='Data Entry - SOF'!B$2,'Data Entry - SOF'!S$102,0)</f>
        <v>0</v>
      </c>
    </row>
    <row r="110" spans="1:22" ht="15.75">
      <c r="A110" s="382" t="s">
        <v>769</v>
      </c>
      <c r="B110" s="91">
        <v>1073925</v>
      </c>
      <c r="C110" s="944">
        <f>IF(A110='Data Entry - SOF'!B$2,'Report-SOF1718'!D$102,0)</f>
        <v>0</v>
      </c>
      <c r="D110" s="1037">
        <f>IF(A110='Data Entry - SOF'!B$2,'Data Entry - SOF'!#REF!,0)</f>
        <v>0</v>
      </c>
      <c r="E110" s="91">
        <f t="shared" si="6"/>
        <v>1073925</v>
      </c>
      <c r="F110" s="944">
        <f>IF(A110='Data Entry - SOF'!B$2,'Report-SOF1819'!D$102,0)</f>
        <v>0</v>
      </c>
      <c r="G110" s="1037">
        <f>IF(A110='Data Entry - SOF'!B$2,'Data Entry - SOF'!E$102,0)</f>
        <v>0</v>
      </c>
      <c r="H110" s="1038">
        <f t="shared" si="8"/>
        <v>1073925</v>
      </c>
      <c r="I110" s="944">
        <f>IF(A110='Data Entry - SOF'!B$2,'Report-SOF1920-HB3'!D$102,0)</f>
        <v>0</v>
      </c>
      <c r="J110" s="1037">
        <f>IF(A110='Data Entry - SOF'!B$2,'Data Entry - SOF'!G$102,0)</f>
        <v>0</v>
      </c>
      <c r="K110" s="717">
        <f t="shared" si="9"/>
        <v>1073925</v>
      </c>
      <c r="L110" s="944">
        <f>IF(A110='Data Entry - SOF'!B$2,'Report-SOF2021'!D$99,0)</f>
        <v>0</v>
      </c>
      <c r="M110" s="723">
        <f>IF(A110='Data Entry - SOF'!B$2,'Data Entry - SOF'!M$102,0)</f>
        <v>0</v>
      </c>
      <c r="N110" s="717">
        <f t="shared" si="10"/>
        <v>1073925</v>
      </c>
      <c r="O110" s="944">
        <f>IF(A110='Data Entry - SOF'!B$2,'Report-SOF2122'!D$91,0)</f>
        <v>0</v>
      </c>
      <c r="P110" s="723">
        <f>IF(A110='Data Entry - SOF'!B$2,'Data Entry - SOF'!O$102,0)</f>
        <v>0</v>
      </c>
      <c r="Q110" s="601">
        <f t="shared" si="7"/>
        <v>1073925</v>
      </c>
      <c r="R110" s="944">
        <f>IF(A110='Data Entry - SOF'!B$2,'Report-SOF2223'!D$91,0)</f>
        <v>0</v>
      </c>
      <c r="S110" s="723">
        <f>IF(A110='Data Entry - SOF'!B$2,'Data Entry - SOF'!Q$102,0)</f>
        <v>0</v>
      </c>
      <c r="T110" s="601">
        <f t="shared" si="11"/>
        <v>1073925</v>
      </c>
      <c r="U110" s="944">
        <f>IF(A110='Data Entry - SOF'!B$2,'Report-SOF2324'!D$91,0)</f>
        <v>0</v>
      </c>
      <c r="V110" s="723">
        <f>IF(A110='Data Entry - SOF'!B$2,'Data Entry - SOF'!S$102,0)</f>
        <v>0</v>
      </c>
    </row>
    <row r="111" spans="1:22" ht="15.75">
      <c r="A111" s="382" t="s">
        <v>672</v>
      </c>
      <c r="B111" s="91">
        <v>7037292</v>
      </c>
      <c r="C111" s="944">
        <f>IF(A111='Data Entry - SOF'!B$2,'Report-SOF1718'!D$102,0)</f>
        <v>0</v>
      </c>
      <c r="D111" s="1037">
        <f>IF(A111='Data Entry - SOF'!B$2,'Data Entry - SOF'!#REF!,0)</f>
        <v>0</v>
      </c>
      <c r="E111" s="91">
        <f t="shared" si="6"/>
        <v>7037292</v>
      </c>
      <c r="F111" s="944">
        <f>IF(A111='Data Entry - SOF'!B$2,'Report-SOF1819'!D$102,0)</f>
        <v>0</v>
      </c>
      <c r="G111" s="1037">
        <f>IF(A111='Data Entry - SOF'!B$2,'Data Entry - SOF'!E$102,0)</f>
        <v>0</v>
      </c>
      <c r="H111" s="1038">
        <f t="shared" si="8"/>
        <v>7037292</v>
      </c>
      <c r="I111" s="944">
        <f>IF(A111='Data Entry - SOF'!B$2,'Report-SOF1920-HB3'!D$102,0)</f>
        <v>0</v>
      </c>
      <c r="J111" s="1037">
        <f>IF(A111='Data Entry - SOF'!B$2,'Data Entry - SOF'!G$102,0)</f>
        <v>0</v>
      </c>
      <c r="K111" s="717">
        <f t="shared" si="9"/>
        <v>7037292</v>
      </c>
      <c r="L111" s="944">
        <f>IF(A111='Data Entry - SOF'!B$2,'Report-SOF2021'!D$99,0)</f>
        <v>0</v>
      </c>
      <c r="M111" s="723">
        <f>IF(A111='Data Entry - SOF'!B$2,'Data Entry - SOF'!M$102,0)</f>
        <v>0</v>
      </c>
      <c r="N111" s="717">
        <f t="shared" si="10"/>
        <v>7037292</v>
      </c>
      <c r="O111" s="944">
        <f>IF(A111='Data Entry - SOF'!B$2,'Report-SOF2122'!D$91,0)</f>
        <v>0</v>
      </c>
      <c r="P111" s="723">
        <f>IF(A111='Data Entry - SOF'!B$2,'Data Entry - SOF'!O$102,0)</f>
        <v>0</v>
      </c>
      <c r="Q111" s="601">
        <f t="shared" si="7"/>
        <v>7037292</v>
      </c>
      <c r="R111" s="944">
        <f>IF(A111='Data Entry - SOF'!B$2,'Report-SOF2223'!D$91,0)</f>
        <v>0</v>
      </c>
      <c r="S111" s="723">
        <f>IF(A111='Data Entry - SOF'!B$2,'Data Entry - SOF'!Q$102,0)</f>
        <v>0</v>
      </c>
      <c r="T111" s="601">
        <f t="shared" si="11"/>
        <v>7037292</v>
      </c>
      <c r="U111" s="944">
        <f>IF(A111='Data Entry - SOF'!B$2,'Report-SOF2324'!D$91,0)</f>
        <v>0</v>
      </c>
      <c r="V111" s="723">
        <f>IF(A111='Data Entry - SOF'!B$2,'Data Entry - SOF'!S$102,0)</f>
        <v>0</v>
      </c>
    </row>
    <row r="112" spans="1:22" ht="15.75">
      <c r="A112" s="382" t="s">
        <v>673</v>
      </c>
      <c r="B112" s="91">
        <v>3083352</v>
      </c>
      <c r="C112" s="944">
        <f>IF(A112='Data Entry - SOF'!B$2,'Report-SOF1718'!D$102,0)</f>
        <v>0</v>
      </c>
      <c r="D112" s="1037">
        <f>IF(A112='Data Entry - SOF'!B$2,'Data Entry - SOF'!#REF!,0)</f>
        <v>0</v>
      </c>
      <c r="E112" s="91">
        <f t="shared" si="6"/>
        <v>3083352</v>
      </c>
      <c r="F112" s="944">
        <f>IF(A112='Data Entry - SOF'!B$2,'Report-SOF1819'!D$102,0)</f>
        <v>0</v>
      </c>
      <c r="G112" s="1037">
        <f>IF(A112='Data Entry - SOF'!B$2,'Data Entry - SOF'!E$102,0)</f>
        <v>0</v>
      </c>
      <c r="H112" s="1038">
        <f t="shared" si="8"/>
        <v>3083352</v>
      </c>
      <c r="I112" s="944">
        <f>IF(A112='Data Entry - SOF'!B$2,'Report-SOF1920-HB3'!D$102,0)</f>
        <v>0</v>
      </c>
      <c r="J112" s="1037">
        <f>IF(A112='Data Entry - SOF'!B$2,'Data Entry - SOF'!G$102,0)</f>
        <v>0</v>
      </c>
      <c r="K112" s="717">
        <f t="shared" si="9"/>
        <v>3083352</v>
      </c>
      <c r="L112" s="944">
        <f>IF(A112='Data Entry - SOF'!B$2,'Report-SOF2021'!D$99,0)</f>
        <v>0</v>
      </c>
      <c r="M112" s="723">
        <f>IF(A112='Data Entry - SOF'!B$2,'Data Entry - SOF'!M$102,0)</f>
        <v>0</v>
      </c>
      <c r="N112" s="717">
        <f t="shared" si="10"/>
        <v>3083352</v>
      </c>
      <c r="O112" s="944">
        <f>IF(A112='Data Entry - SOF'!B$2,'Report-SOF2122'!D$91,0)</f>
        <v>0</v>
      </c>
      <c r="P112" s="723">
        <f>IF(A112='Data Entry - SOF'!B$2,'Data Entry - SOF'!O$102,0)</f>
        <v>0</v>
      </c>
      <c r="Q112" s="601">
        <f t="shared" si="7"/>
        <v>3083352</v>
      </c>
      <c r="R112" s="944">
        <f>IF(A112='Data Entry - SOF'!B$2,'Report-SOF2223'!D$91,0)</f>
        <v>0</v>
      </c>
      <c r="S112" s="723">
        <f>IF(A112='Data Entry - SOF'!B$2,'Data Entry - SOF'!Q$102,0)</f>
        <v>0</v>
      </c>
      <c r="T112" s="601">
        <f t="shared" si="11"/>
        <v>3083352</v>
      </c>
      <c r="U112" s="944">
        <f>IF(A112='Data Entry - SOF'!B$2,'Report-SOF2324'!D$91,0)</f>
        <v>0</v>
      </c>
      <c r="V112" s="723">
        <f>IF(A112='Data Entry - SOF'!B$2,'Data Entry - SOF'!S$102,0)</f>
        <v>0</v>
      </c>
    </row>
    <row r="113" spans="1:22" ht="15.75">
      <c r="A113" s="382" t="s">
        <v>674</v>
      </c>
      <c r="B113" s="91">
        <v>3385130</v>
      </c>
      <c r="C113" s="944">
        <f>IF(A113='Data Entry - SOF'!B$2,'Report-SOF1718'!D$102,0)</f>
        <v>0</v>
      </c>
      <c r="D113" s="1037">
        <f>IF(A113='Data Entry - SOF'!B$2,'Data Entry - SOF'!#REF!,0)</f>
        <v>0</v>
      </c>
      <c r="E113" s="91">
        <f t="shared" si="6"/>
        <v>3385130</v>
      </c>
      <c r="F113" s="944">
        <f>IF(A113='Data Entry - SOF'!B$2,'Report-SOF1819'!D$102,0)</f>
        <v>0</v>
      </c>
      <c r="G113" s="1037">
        <f>IF(A113='Data Entry - SOF'!B$2,'Data Entry - SOF'!E$102,0)</f>
        <v>0</v>
      </c>
      <c r="H113" s="1038">
        <f t="shared" si="8"/>
        <v>3385130</v>
      </c>
      <c r="I113" s="944">
        <f>IF(A113='Data Entry - SOF'!B$2,'Report-SOF1920-HB3'!D$102,0)</f>
        <v>0</v>
      </c>
      <c r="J113" s="1037">
        <f>IF(A113='Data Entry - SOF'!B$2,'Data Entry - SOF'!G$102,0)</f>
        <v>0</v>
      </c>
      <c r="K113" s="717">
        <f t="shared" si="9"/>
        <v>3385130</v>
      </c>
      <c r="L113" s="944">
        <f>IF(A113='Data Entry - SOF'!B$2,'Report-SOF2021'!D$99,0)</f>
        <v>0</v>
      </c>
      <c r="M113" s="723">
        <f>IF(A113='Data Entry - SOF'!B$2,'Data Entry - SOF'!M$102,0)</f>
        <v>0</v>
      </c>
      <c r="N113" s="717">
        <f t="shared" si="10"/>
        <v>3385130</v>
      </c>
      <c r="O113" s="944">
        <f>IF(A113='Data Entry - SOF'!B$2,'Report-SOF2122'!D$91,0)</f>
        <v>0</v>
      </c>
      <c r="P113" s="723">
        <f>IF(A113='Data Entry - SOF'!B$2,'Data Entry - SOF'!O$102,0)</f>
        <v>0</v>
      </c>
      <c r="Q113" s="601">
        <f t="shared" si="7"/>
        <v>3385130</v>
      </c>
      <c r="R113" s="944">
        <f>IF(A113='Data Entry - SOF'!B$2,'Report-SOF2223'!D$91,0)</f>
        <v>0</v>
      </c>
      <c r="S113" s="723">
        <f>IF(A113='Data Entry - SOF'!B$2,'Data Entry - SOF'!Q$102,0)</f>
        <v>0</v>
      </c>
      <c r="T113" s="601">
        <f t="shared" si="11"/>
        <v>3385130</v>
      </c>
      <c r="U113" s="944">
        <f>IF(A113='Data Entry - SOF'!B$2,'Report-SOF2324'!D$91,0)</f>
        <v>0</v>
      </c>
      <c r="V113" s="723">
        <f>IF(A113='Data Entry - SOF'!B$2,'Data Entry - SOF'!S$102,0)</f>
        <v>0</v>
      </c>
    </row>
    <row r="114" spans="1:22" ht="15.75">
      <c r="A114" s="382" t="s">
        <v>1885</v>
      </c>
      <c r="B114" s="91">
        <v>26831505</v>
      </c>
      <c r="C114" s="944">
        <f>IF(A114='Data Entry - SOF'!B$2,'Report-SOF1718'!D$102,0)</f>
        <v>0</v>
      </c>
      <c r="D114" s="1037">
        <f>IF(A114='Data Entry - SOF'!B$2,'Data Entry - SOF'!#REF!,0)</f>
        <v>0</v>
      </c>
      <c r="E114" s="91">
        <f t="shared" si="6"/>
        <v>26831505</v>
      </c>
      <c r="F114" s="944">
        <f>IF(A114='Data Entry - SOF'!B$2,'Report-SOF1819'!D$102,0)</f>
        <v>0</v>
      </c>
      <c r="G114" s="1037">
        <f>IF(A114='Data Entry - SOF'!B$2,'Data Entry - SOF'!E$102,0)</f>
        <v>0</v>
      </c>
      <c r="H114" s="1038">
        <f t="shared" si="8"/>
        <v>26831505</v>
      </c>
      <c r="I114" s="944">
        <f>IF(A114='Data Entry - SOF'!B$2,'Report-SOF1920-HB3'!D$102,0)</f>
        <v>0</v>
      </c>
      <c r="J114" s="1037">
        <f>IF(A114='Data Entry - SOF'!B$2,'Data Entry - SOF'!G$102,0)</f>
        <v>0</v>
      </c>
      <c r="K114" s="717">
        <f t="shared" si="9"/>
        <v>26831505</v>
      </c>
      <c r="L114" s="944">
        <f>IF(A114='Data Entry - SOF'!B$2,'Report-SOF2021'!D$99,0)</f>
        <v>0</v>
      </c>
      <c r="M114" s="723">
        <f>IF(A114='Data Entry - SOF'!B$2,'Data Entry - SOF'!M$102,0)</f>
        <v>0</v>
      </c>
      <c r="N114" s="717">
        <f t="shared" si="10"/>
        <v>26831505</v>
      </c>
      <c r="O114" s="944">
        <f>IF(A114='Data Entry - SOF'!B$2,'Report-SOF2122'!D$91,0)</f>
        <v>0</v>
      </c>
      <c r="P114" s="723">
        <f>IF(A114='Data Entry - SOF'!B$2,'Data Entry - SOF'!O$102,0)</f>
        <v>0</v>
      </c>
      <c r="Q114" s="601">
        <f t="shared" si="7"/>
        <v>26831505</v>
      </c>
      <c r="R114" s="944">
        <f>IF(A114='Data Entry - SOF'!B$2,'Report-SOF2223'!D$91,0)</f>
        <v>0</v>
      </c>
      <c r="S114" s="723">
        <f>IF(A114='Data Entry - SOF'!B$2,'Data Entry - SOF'!Q$102,0)</f>
        <v>0</v>
      </c>
      <c r="T114" s="601">
        <f t="shared" si="11"/>
        <v>26831505</v>
      </c>
      <c r="U114" s="944">
        <f>IF(A114='Data Entry - SOF'!B$2,'Report-SOF2324'!D$91,0)</f>
        <v>0</v>
      </c>
      <c r="V114" s="723">
        <f>IF(A114='Data Entry - SOF'!B$2,'Data Entry - SOF'!S$102,0)</f>
        <v>0</v>
      </c>
    </row>
    <row r="115" spans="1:22" ht="15.75">
      <c r="A115" s="382" t="s">
        <v>348</v>
      </c>
      <c r="B115" s="91">
        <v>46722984</v>
      </c>
      <c r="C115" s="944">
        <f>IF(A115='Data Entry - SOF'!B$2,'Report-SOF1718'!D$102,0)</f>
        <v>0</v>
      </c>
      <c r="D115" s="1037">
        <f>IF(A115='Data Entry - SOF'!B$2,'Data Entry - SOF'!#REF!,0)</f>
        <v>0</v>
      </c>
      <c r="E115" s="91">
        <f t="shared" si="6"/>
        <v>46722984</v>
      </c>
      <c r="F115" s="944">
        <f>IF(A115='Data Entry - SOF'!B$2,'Report-SOF1819'!D$102,0)</f>
        <v>0</v>
      </c>
      <c r="G115" s="1037">
        <f>IF(A115='Data Entry - SOF'!B$2,'Data Entry - SOF'!E$102,0)</f>
        <v>0</v>
      </c>
      <c r="H115" s="1038">
        <f t="shared" si="8"/>
        <v>46722984</v>
      </c>
      <c r="I115" s="944">
        <f>IF(A115='Data Entry - SOF'!B$2,'Report-SOF1920-HB3'!D$102,0)</f>
        <v>0</v>
      </c>
      <c r="J115" s="1037">
        <f>IF(A115='Data Entry - SOF'!B$2,'Data Entry - SOF'!G$102,0)</f>
        <v>0</v>
      </c>
      <c r="K115" s="717">
        <f t="shared" si="9"/>
        <v>46722984</v>
      </c>
      <c r="L115" s="944">
        <f>IF(A115='Data Entry - SOF'!B$2,'Report-SOF2021'!D$99,0)</f>
        <v>0</v>
      </c>
      <c r="M115" s="723">
        <f>IF(A115='Data Entry - SOF'!B$2,'Data Entry - SOF'!M$102,0)</f>
        <v>0</v>
      </c>
      <c r="N115" s="717">
        <f t="shared" si="10"/>
        <v>46722984</v>
      </c>
      <c r="O115" s="944">
        <f>IF(A115='Data Entry - SOF'!B$2,'Report-SOF2122'!D$91,0)</f>
        <v>0</v>
      </c>
      <c r="P115" s="723">
        <f>IF(A115='Data Entry - SOF'!B$2,'Data Entry - SOF'!O$102,0)</f>
        <v>0</v>
      </c>
      <c r="Q115" s="601">
        <f t="shared" si="7"/>
        <v>46722984</v>
      </c>
      <c r="R115" s="944">
        <f>IF(A115='Data Entry - SOF'!B$2,'Report-SOF2223'!D$91,0)</f>
        <v>0</v>
      </c>
      <c r="S115" s="723">
        <f>IF(A115='Data Entry - SOF'!B$2,'Data Entry - SOF'!Q$102,0)</f>
        <v>0</v>
      </c>
      <c r="T115" s="601">
        <f t="shared" si="11"/>
        <v>46722984</v>
      </c>
      <c r="U115" s="944">
        <f>IF(A115='Data Entry - SOF'!B$2,'Report-SOF2324'!D$91,0)</f>
        <v>0</v>
      </c>
      <c r="V115" s="723">
        <f>IF(A115='Data Entry - SOF'!B$2,'Data Entry - SOF'!S$102,0)</f>
        <v>0</v>
      </c>
    </row>
    <row r="116" spans="1:22" ht="15.75">
      <c r="A116" s="382" t="s">
        <v>456</v>
      </c>
      <c r="B116" s="91">
        <v>8458656</v>
      </c>
      <c r="C116" s="944">
        <f>IF(A116='Data Entry - SOF'!B$2,'Report-SOF1718'!D$102,0)</f>
        <v>0</v>
      </c>
      <c r="D116" s="1037">
        <f>IF(A116='Data Entry - SOF'!B$2,'Data Entry - SOF'!#REF!,0)</f>
        <v>0</v>
      </c>
      <c r="E116" s="91">
        <f t="shared" si="6"/>
        <v>8458656</v>
      </c>
      <c r="F116" s="944">
        <f>IF(A116='Data Entry - SOF'!B$2,'Report-SOF1819'!D$102,0)</f>
        <v>0</v>
      </c>
      <c r="G116" s="1037">
        <f>IF(A116='Data Entry - SOF'!B$2,'Data Entry - SOF'!E$102,0)</f>
        <v>0</v>
      </c>
      <c r="H116" s="1038">
        <f t="shared" si="8"/>
        <v>8458656</v>
      </c>
      <c r="I116" s="944">
        <f>IF(A116='Data Entry - SOF'!B$2,'Report-SOF1920-HB3'!D$102,0)</f>
        <v>0</v>
      </c>
      <c r="J116" s="1037">
        <f>IF(A116='Data Entry - SOF'!B$2,'Data Entry - SOF'!G$102,0)</f>
        <v>0</v>
      </c>
      <c r="K116" s="717">
        <f t="shared" si="9"/>
        <v>8458656</v>
      </c>
      <c r="L116" s="944">
        <f>IF(A116='Data Entry - SOF'!B$2,'Report-SOF2021'!D$99,0)</f>
        <v>0</v>
      </c>
      <c r="M116" s="723">
        <f>IF(A116='Data Entry - SOF'!B$2,'Data Entry - SOF'!M$102,0)</f>
        <v>0</v>
      </c>
      <c r="N116" s="717">
        <f t="shared" si="10"/>
        <v>8458656</v>
      </c>
      <c r="O116" s="944">
        <f>IF(A116='Data Entry - SOF'!B$2,'Report-SOF2122'!D$91,0)</f>
        <v>0</v>
      </c>
      <c r="P116" s="723">
        <f>IF(A116='Data Entry - SOF'!B$2,'Data Entry - SOF'!O$102,0)</f>
        <v>0</v>
      </c>
      <c r="Q116" s="601">
        <f t="shared" si="7"/>
        <v>8458656</v>
      </c>
      <c r="R116" s="944">
        <f>IF(A116='Data Entry - SOF'!B$2,'Report-SOF2223'!D$91,0)</f>
        <v>0</v>
      </c>
      <c r="S116" s="723">
        <f>IF(A116='Data Entry - SOF'!B$2,'Data Entry - SOF'!Q$102,0)</f>
        <v>0</v>
      </c>
      <c r="T116" s="601">
        <f t="shared" si="11"/>
        <v>8458656</v>
      </c>
      <c r="U116" s="944">
        <f>IF(A116='Data Entry - SOF'!B$2,'Report-SOF2324'!D$91,0)</f>
        <v>0</v>
      </c>
      <c r="V116" s="723">
        <f>IF(A116='Data Entry - SOF'!B$2,'Data Entry - SOF'!S$102,0)</f>
        <v>0</v>
      </c>
    </row>
    <row r="117" spans="1:22" ht="15.75">
      <c r="A117" s="382" t="s">
        <v>1154</v>
      </c>
      <c r="B117" s="91">
        <v>1230192</v>
      </c>
      <c r="C117" s="944">
        <f>IF(A117='Data Entry - SOF'!B$2,'Report-SOF1718'!D$102,0)</f>
        <v>0</v>
      </c>
      <c r="D117" s="1037">
        <f>IF(A117='Data Entry - SOF'!B$2,'Data Entry - SOF'!#REF!,0)</f>
        <v>0</v>
      </c>
      <c r="E117" s="91">
        <f t="shared" si="6"/>
        <v>1230192</v>
      </c>
      <c r="F117" s="944">
        <f>IF(A117='Data Entry - SOF'!B$2,'Report-SOF1819'!D$102,0)</f>
        <v>0</v>
      </c>
      <c r="G117" s="1037">
        <f>IF(A117='Data Entry - SOF'!B$2,'Data Entry - SOF'!E$102,0)</f>
        <v>0</v>
      </c>
      <c r="H117" s="1038">
        <f t="shared" si="8"/>
        <v>1230192</v>
      </c>
      <c r="I117" s="944">
        <f>IF(A117='Data Entry - SOF'!B$2,'Report-SOF1920-HB3'!D$102,0)</f>
        <v>0</v>
      </c>
      <c r="J117" s="1037">
        <f>IF(A117='Data Entry - SOF'!B$2,'Data Entry - SOF'!G$102,0)</f>
        <v>0</v>
      </c>
      <c r="K117" s="717">
        <f t="shared" si="9"/>
        <v>1230192</v>
      </c>
      <c r="L117" s="944">
        <f>IF(A117='Data Entry - SOF'!B$2,'Report-SOF2021'!D$99,0)</f>
        <v>0</v>
      </c>
      <c r="M117" s="723">
        <f>IF(A117='Data Entry - SOF'!B$2,'Data Entry - SOF'!M$102,0)</f>
        <v>0</v>
      </c>
      <c r="N117" s="717">
        <f t="shared" si="10"/>
        <v>1230192</v>
      </c>
      <c r="O117" s="944">
        <f>IF(A117='Data Entry - SOF'!B$2,'Report-SOF2122'!D$91,0)</f>
        <v>0</v>
      </c>
      <c r="P117" s="723">
        <f>IF(A117='Data Entry - SOF'!B$2,'Data Entry - SOF'!O$102,0)</f>
        <v>0</v>
      </c>
      <c r="Q117" s="601">
        <f t="shared" si="7"/>
        <v>1230192</v>
      </c>
      <c r="R117" s="944">
        <f>IF(A117='Data Entry - SOF'!B$2,'Report-SOF2223'!D$91,0)</f>
        <v>0</v>
      </c>
      <c r="S117" s="723">
        <f>IF(A117='Data Entry - SOF'!B$2,'Data Entry - SOF'!Q$102,0)</f>
        <v>0</v>
      </c>
      <c r="T117" s="601">
        <f t="shared" si="11"/>
        <v>1230192</v>
      </c>
      <c r="U117" s="944">
        <f>IF(A117='Data Entry - SOF'!B$2,'Report-SOF2324'!D$91,0)</f>
        <v>0</v>
      </c>
      <c r="V117" s="723">
        <f>IF(A117='Data Entry - SOF'!B$2,'Data Entry - SOF'!S$102,0)</f>
        <v>0</v>
      </c>
    </row>
    <row r="118" spans="1:22" ht="15.75">
      <c r="A118" s="382" t="s">
        <v>2306</v>
      </c>
      <c r="B118" s="91">
        <v>442633.23911678902</v>
      </c>
      <c r="C118" s="944">
        <f>IF(A118='Data Entry - SOF'!B$2,'Report-SOF1718'!D$102,0)</f>
        <v>0</v>
      </c>
      <c r="D118" s="1037">
        <f>IF(A118='Data Entry - SOF'!B$2,'Data Entry - SOF'!#REF!,0)</f>
        <v>0</v>
      </c>
      <c r="E118" s="91">
        <f t="shared" si="6"/>
        <v>442633.23911678902</v>
      </c>
      <c r="F118" s="944">
        <f>IF(A118='Data Entry - SOF'!B$2,'Report-SOF1819'!D$102,0)</f>
        <v>0</v>
      </c>
      <c r="G118" s="1037">
        <f>IF(A118='Data Entry - SOF'!B$2,'Data Entry - SOF'!E$102,0)</f>
        <v>0</v>
      </c>
      <c r="H118" s="1038">
        <f t="shared" si="8"/>
        <v>442633.23911678902</v>
      </c>
      <c r="I118" s="944">
        <f>IF(A118='Data Entry - SOF'!B$2,'Report-SOF1920-HB3'!D$102,0)</f>
        <v>0</v>
      </c>
      <c r="J118" s="1037">
        <f>IF(A118='Data Entry - SOF'!B$2,'Data Entry - SOF'!G$102,0)</f>
        <v>0</v>
      </c>
      <c r="K118" s="717">
        <f t="shared" si="9"/>
        <v>442633.23911678902</v>
      </c>
      <c r="L118" s="944">
        <f>IF(A118='Data Entry - SOF'!B$2,'Report-SOF2021'!D$99,0)</f>
        <v>0</v>
      </c>
      <c r="M118" s="723">
        <f>IF(A118='Data Entry - SOF'!B$2,'Data Entry - SOF'!M$102,0)</f>
        <v>0</v>
      </c>
      <c r="N118" s="717">
        <f t="shared" si="10"/>
        <v>442633.23911678902</v>
      </c>
      <c r="O118" s="944">
        <f>IF(A118='Data Entry - SOF'!B$2,'Report-SOF2122'!D$91,0)</f>
        <v>0</v>
      </c>
      <c r="P118" s="723">
        <f>IF(A118='Data Entry - SOF'!B$2,'Data Entry - SOF'!O$102,0)</f>
        <v>0</v>
      </c>
      <c r="Q118" s="601">
        <f t="shared" si="7"/>
        <v>442633.23911678902</v>
      </c>
      <c r="R118" s="944">
        <f>IF(A118='Data Entry - SOF'!B$2,'Report-SOF2223'!D$91,0)</f>
        <v>0</v>
      </c>
      <c r="S118" s="723">
        <f>IF(A118='Data Entry - SOF'!B$2,'Data Entry - SOF'!Q$102,0)</f>
        <v>0</v>
      </c>
      <c r="T118" s="601">
        <f t="shared" si="11"/>
        <v>442633.23911678902</v>
      </c>
      <c r="U118" s="944">
        <f>IF(A118='Data Entry - SOF'!B$2,'Report-SOF2324'!D$91,0)</f>
        <v>0</v>
      </c>
      <c r="V118" s="723">
        <f>IF(A118='Data Entry - SOF'!B$2,'Data Entry - SOF'!S$102,0)</f>
        <v>0</v>
      </c>
    </row>
    <row r="119" spans="1:22" ht="15.75">
      <c r="A119" s="382" t="s">
        <v>1359</v>
      </c>
      <c r="B119" s="91">
        <v>51549641</v>
      </c>
      <c r="C119" s="944">
        <f>IF(A119='Data Entry - SOF'!B$2,'Report-SOF1718'!D$102,0)</f>
        <v>0</v>
      </c>
      <c r="D119" s="1037">
        <f>IF(A119='Data Entry - SOF'!B$2,'Data Entry - SOF'!#REF!,0)</f>
        <v>0</v>
      </c>
      <c r="E119" s="91">
        <f t="shared" si="6"/>
        <v>51549641</v>
      </c>
      <c r="F119" s="944">
        <f>IF(A119='Data Entry - SOF'!B$2,'Report-SOF1819'!D$102,0)</f>
        <v>0</v>
      </c>
      <c r="G119" s="1037">
        <f>IF(A119='Data Entry - SOF'!B$2,'Data Entry - SOF'!E$102,0)</f>
        <v>0</v>
      </c>
      <c r="H119" s="1038">
        <f t="shared" si="8"/>
        <v>51549641</v>
      </c>
      <c r="I119" s="944">
        <f>IF(A119='Data Entry - SOF'!B$2,'Report-SOF1920-HB3'!D$102,0)</f>
        <v>0</v>
      </c>
      <c r="J119" s="1037">
        <f>IF(A119='Data Entry - SOF'!B$2,'Data Entry - SOF'!G$102,0)</f>
        <v>0</v>
      </c>
      <c r="K119" s="717">
        <f t="shared" si="9"/>
        <v>51549641</v>
      </c>
      <c r="L119" s="944">
        <f>IF(A119='Data Entry - SOF'!B$2,'Report-SOF2021'!D$99,0)</f>
        <v>0</v>
      </c>
      <c r="M119" s="723">
        <f>IF(A119='Data Entry - SOF'!B$2,'Data Entry - SOF'!M$102,0)</f>
        <v>0</v>
      </c>
      <c r="N119" s="717">
        <f t="shared" si="10"/>
        <v>51549641</v>
      </c>
      <c r="O119" s="944">
        <f>IF(A119='Data Entry - SOF'!B$2,'Report-SOF2122'!D$91,0)</f>
        <v>0</v>
      </c>
      <c r="P119" s="723">
        <f>IF(A119='Data Entry - SOF'!B$2,'Data Entry - SOF'!O$102,0)</f>
        <v>0</v>
      </c>
      <c r="Q119" s="601">
        <f t="shared" si="7"/>
        <v>51549641</v>
      </c>
      <c r="R119" s="944">
        <f>IF(A119='Data Entry - SOF'!B$2,'Report-SOF2223'!D$91,0)</f>
        <v>0</v>
      </c>
      <c r="S119" s="723">
        <f>IF(A119='Data Entry - SOF'!B$2,'Data Entry - SOF'!Q$102,0)</f>
        <v>0</v>
      </c>
      <c r="T119" s="601">
        <f t="shared" si="11"/>
        <v>51549641</v>
      </c>
      <c r="U119" s="944">
        <f>IF(A119='Data Entry - SOF'!B$2,'Report-SOF2324'!D$91,0)</f>
        <v>0</v>
      </c>
      <c r="V119" s="723">
        <f>IF(A119='Data Entry - SOF'!B$2,'Data Entry - SOF'!S$102,0)</f>
        <v>0</v>
      </c>
    </row>
    <row r="120" spans="1:22" ht="15.75">
      <c r="A120" s="382" t="s">
        <v>2341</v>
      </c>
      <c r="B120" s="91">
        <v>541979</v>
      </c>
      <c r="C120" s="944">
        <f>IF(A120='Data Entry - SOF'!B$2,'Report-SOF1718'!D$102,0)</f>
        <v>0</v>
      </c>
      <c r="D120" s="1037">
        <f>IF(A120='Data Entry - SOF'!B$2,'Data Entry - SOF'!#REF!,0)</f>
        <v>0</v>
      </c>
      <c r="E120" s="91">
        <f t="shared" si="6"/>
        <v>541979</v>
      </c>
      <c r="F120" s="944">
        <f>IF(A120='Data Entry - SOF'!B$2,'Report-SOF1819'!D$102,0)</f>
        <v>0</v>
      </c>
      <c r="G120" s="1037">
        <f>IF(A120='Data Entry - SOF'!B$2,'Data Entry - SOF'!E$102,0)</f>
        <v>0</v>
      </c>
      <c r="H120" s="1038">
        <f t="shared" si="8"/>
        <v>541979</v>
      </c>
      <c r="I120" s="944">
        <f>IF(A120='Data Entry - SOF'!B$2,'Report-SOF1920-HB3'!D$102,0)</f>
        <v>0</v>
      </c>
      <c r="J120" s="1037">
        <f>IF(A120='Data Entry - SOF'!B$2,'Data Entry - SOF'!G$102,0)</f>
        <v>0</v>
      </c>
      <c r="K120" s="717">
        <f t="shared" si="9"/>
        <v>541979</v>
      </c>
      <c r="L120" s="944">
        <f>IF(A120='Data Entry - SOF'!B$2,'Report-SOF2021'!D$99,0)</f>
        <v>0</v>
      </c>
      <c r="M120" s="723">
        <f>IF(A120='Data Entry - SOF'!B$2,'Data Entry - SOF'!M$102,0)</f>
        <v>0</v>
      </c>
      <c r="N120" s="717">
        <f t="shared" si="10"/>
        <v>541979</v>
      </c>
      <c r="O120" s="944">
        <f>IF(A120='Data Entry - SOF'!B$2,'Report-SOF2122'!D$91,0)</f>
        <v>0</v>
      </c>
      <c r="P120" s="723">
        <f>IF(A120='Data Entry - SOF'!B$2,'Data Entry - SOF'!O$102,0)</f>
        <v>0</v>
      </c>
      <c r="Q120" s="601">
        <f t="shared" si="7"/>
        <v>541979</v>
      </c>
      <c r="R120" s="944">
        <f>IF(A120='Data Entry - SOF'!B$2,'Report-SOF2223'!D$91,0)</f>
        <v>0</v>
      </c>
      <c r="S120" s="723">
        <f>IF(A120='Data Entry - SOF'!B$2,'Data Entry - SOF'!Q$102,0)</f>
        <v>0</v>
      </c>
      <c r="T120" s="601">
        <f t="shared" si="11"/>
        <v>541979</v>
      </c>
      <c r="U120" s="944">
        <f>IF(A120='Data Entry - SOF'!B$2,'Report-SOF2324'!D$91,0)</f>
        <v>0</v>
      </c>
      <c r="V120" s="723">
        <f>IF(A120='Data Entry - SOF'!B$2,'Data Entry - SOF'!S$102,0)</f>
        <v>0</v>
      </c>
    </row>
    <row r="121" spans="1:22" ht="15.75">
      <c r="A121" s="382" t="s">
        <v>713</v>
      </c>
      <c r="B121" s="91">
        <v>9485334</v>
      </c>
      <c r="C121" s="944">
        <f>IF(A121='Data Entry - SOF'!B$2,'Report-SOF1718'!D$102,0)</f>
        <v>0</v>
      </c>
      <c r="D121" s="1037">
        <f>IF(A121='Data Entry - SOF'!B$2,'Data Entry - SOF'!#REF!,0)</f>
        <v>0</v>
      </c>
      <c r="E121" s="91">
        <f t="shared" si="6"/>
        <v>9485334</v>
      </c>
      <c r="F121" s="944">
        <f>IF(A121='Data Entry - SOF'!B$2,'Report-SOF1819'!D$102,0)</f>
        <v>0</v>
      </c>
      <c r="G121" s="1037">
        <f>IF(A121='Data Entry - SOF'!B$2,'Data Entry - SOF'!E$102,0)</f>
        <v>0</v>
      </c>
      <c r="H121" s="1038">
        <f t="shared" si="8"/>
        <v>9485334</v>
      </c>
      <c r="I121" s="944">
        <f>IF(A121='Data Entry - SOF'!B$2,'Report-SOF1920-HB3'!D$102,0)</f>
        <v>0</v>
      </c>
      <c r="J121" s="1037">
        <f>IF(A121='Data Entry - SOF'!B$2,'Data Entry - SOF'!G$102,0)</f>
        <v>0</v>
      </c>
      <c r="K121" s="717">
        <f t="shared" si="9"/>
        <v>9485334</v>
      </c>
      <c r="L121" s="944">
        <f>IF(A121='Data Entry - SOF'!B$2,'Report-SOF2021'!D$99,0)</f>
        <v>0</v>
      </c>
      <c r="M121" s="723">
        <f>IF(A121='Data Entry - SOF'!B$2,'Data Entry - SOF'!M$102,0)</f>
        <v>0</v>
      </c>
      <c r="N121" s="717">
        <f t="shared" si="10"/>
        <v>9485334</v>
      </c>
      <c r="O121" s="944">
        <f>IF(A121='Data Entry - SOF'!B$2,'Report-SOF2122'!D$91,0)</f>
        <v>0</v>
      </c>
      <c r="P121" s="723">
        <f>IF(A121='Data Entry - SOF'!B$2,'Data Entry - SOF'!O$102,0)</f>
        <v>0</v>
      </c>
      <c r="Q121" s="601">
        <f t="shared" si="7"/>
        <v>9485334</v>
      </c>
      <c r="R121" s="944">
        <f>IF(A121='Data Entry - SOF'!B$2,'Report-SOF2223'!D$91,0)</f>
        <v>0</v>
      </c>
      <c r="S121" s="723">
        <f>IF(A121='Data Entry - SOF'!B$2,'Data Entry - SOF'!Q$102,0)</f>
        <v>0</v>
      </c>
      <c r="T121" s="601">
        <f t="shared" si="11"/>
        <v>9485334</v>
      </c>
      <c r="U121" s="944">
        <f>IF(A121='Data Entry - SOF'!B$2,'Report-SOF2324'!D$91,0)</f>
        <v>0</v>
      </c>
      <c r="V121" s="723">
        <f>IF(A121='Data Entry - SOF'!B$2,'Data Entry - SOF'!S$102,0)</f>
        <v>0</v>
      </c>
    </row>
    <row r="122" spans="1:22" ht="15.75">
      <c r="A122" s="382" t="s">
        <v>148</v>
      </c>
      <c r="B122" s="91">
        <v>2025196</v>
      </c>
      <c r="C122" s="944">
        <f>IF(A122='Data Entry - SOF'!B$2,'Report-SOF1718'!D$102,0)</f>
        <v>0</v>
      </c>
      <c r="D122" s="1037">
        <f>IF(A122='Data Entry - SOF'!B$2,'Data Entry - SOF'!#REF!,0)</f>
        <v>0</v>
      </c>
      <c r="E122" s="91">
        <f t="shared" si="6"/>
        <v>2025196</v>
      </c>
      <c r="F122" s="944">
        <f>IF(A122='Data Entry - SOF'!B$2,'Report-SOF1819'!D$102,0)</f>
        <v>0</v>
      </c>
      <c r="G122" s="1037">
        <f>IF(A122='Data Entry - SOF'!B$2,'Data Entry - SOF'!E$102,0)</f>
        <v>0</v>
      </c>
      <c r="H122" s="1038">
        <f t="shared" si="8"/>
        <v>2025196</v>
      </c>
      <c r="I122" s="944">
        <f>IF(A122='Data Entry - SOF'!B$2,'Report-SOF1920-HB3'!D$102,0)</f>
        <v>0</v>
      </c>
      <c r="J122" s="1037">
        <f>IF(A122='Data Entry - SOF'!B$2,'Data Entry - SOF'!G$102,0)</f>
        <v>0</v>
      </c>
      <c r="K122" s="717">
        <f t="shared" si="9"/>
        <v>2025196</v>
      </c>
      <c r="L122" s="944">
        <f>IF(A122='Data Entry - SOF'!B$2,'Report-SOF2021'!D$99,0)</f>
        <v>0</v>
      </c>
      <c r="M122" s="723">
        <f>IF(A122='Data Entry - SOF'!B$2,'Data Entry - SOF'!M$102,0)</f>
        <v>0</v>
      </c>
      <c r="N122" s="717">
        <f t="shared" si="10"/>
        <v>2025196</v>
      </c>
      <c r="O122" s="944">
        <f>IF(A122='Data Entry - SOF'!B$2,'Report-SOF2122'!D$91,0)</f>
        <v>0</v>
      </c>
      <c r="P122" s="723">
        <f>IF(A122='Data Entry - SOF'!B$2,'Data Entry - SOF'!O$102,0)</f>
        <v>0</v>
      </c>
      <c r="Q122" s="601">
        <f t="shared" si="7"/>
        <v>2025196</v>
      </c>
      <c r="R122" s="944">
        <f>IF(A122='Data Entry - SOF'!B$2,'Report-SOF2223'!D$91,0)</f>
        <v>0</v>
      </c>
      <c r="S122" s="723">
        <f>IF(A122='Data Entry - SOF'!B$2,'Data Entry - SOF'!Q$102,0)</f>
        <v>0</v>
      </c>
      <c r="T122" s="601">
        <f t="shared" si="11"/>
        <v>2025196</v>
      </c>
      <c r="U122" s="944">
        <f>IF(A122='Data Entry - SOF'!B$2,'Report-SOF2324'!D$91,0)</f>
        <v>0</v>
      </c>
      <c r="V122" s="723">
        <f>IF(A122='Data Entry - SOF'!B$2,'Data Entry - SOF'!S$102,0)</f>
        <v>0</v>
      </c>
    </row>
    <row r="123" spans="1:22" ht="15.75">
      <c r="A123" s="382" t="s">
        <v>1829</v>
      </c>
      <c r="B123" s="91">
        <v>2964355</v>
      </c>
      <c r="C123" s="944">
        <f>IF(A123='Data Entry - SOF'!B$2,'Report-SOF1718'!D$102,0)</f>
        <v>0</v>
      </c>
      <c r="D123" s="1037">
        <f>IF(A123='Data Entry - SOF'!B$2,'Data Entry - SOF'!#REF!,0)</f>
        <v>0</v>
      </c>
      <c r="E123" s="91">
        <f t="shared" si="6"/>
        <v>2964355</v>
      </c>
      <c r="F123" s="944">
        <f>IF(A123='Data Entry - SOF'!B$2,'Report-SOF1819'!D$102,0)</f>
        <v>0</v>
      </c>
      <c r="G123" s="1037">
        <f>IF(A123='Data Entry - SOF'!B$2,'Data Entry - SOF'!E$102,0)</f>
        <v>0</v>
      </c>
      <c r="H123" s="1038">
        <f t="shared" si="8"/>
        <v>2964355</v>
      </c>
      <c r="I123" s="944">
        <f>IF(A123='Data Entry - SOF'!B$2,'Report-SOF1920-HB3'!D$102,0)</f>
        <v>0</v>
      </c>
      <c r="J123" s="1037">
        <f>IF(A123='Data Entry - SOF'!B$2,'Data Entry - SOF'!G$102,0)</f>
        <v>0</v>
      </c>
      <c r="K123" s="717">
        <f t="shared" si="9"/>
        <v>2964355</v>
      </c>
      <c r="L123" s="944">
        <f>IF(A123='Data Entry - SOF'!B$2,'Report-SOF2021'!D$99,0)</f>
        <v>0</v>
      </c>
      <c r="M123" s="723">
        <f>IF(A123='Data Entry - SOF'!B$2,'Data Entry - SOF'!M$102,0)</f>
        <v>0</v>
      </c>
      <c r="N123" s="717">
        <f t="shared" si="10"/>
        <v>2964355</v>
      </c>
      <c r="O123" s="944">
        <f>IF(A123='Data Entry - SOF'!B$2,'Report-SOF2122'!D$91,0)</f>
        <v>0</v>
      </c>
      <c r="P123" s="723">
        <f>IF(A123='Data Entry - SOF'!B$2,'Data Entry - SOF'!O$102,0)</f>
        <v>0</v>
      </c>
      <c r="Q123" s="601">
        <f t="shared" si="7"/>
        <v>2964355</v>
      </c>
      <c r="R123" s="944">
        <f>IF(A123='Data Entry - SOF'!B$2,'Report-SOF2223'!D$91,0)</f>
        <v>0</v>
      </c>
      <c r="S123" s="723">
        <f>IF(A123='Data Entry - SOF'!B$2,'Data Entry - SOF'!Q$102,0)</f>
        <v>0</v>
      </c>
      <c r="T123" s="601">
        <f t="shared" si="11"/>
        <v>2964355</v>
      </c>
      <c r="U123" s="944">
        <f>IF(A123='Data Entry - SOF'!B$2,'Report-SOF2324'!D$91,0)</f>
        <v>0</v>
      </c>
      <c r="V123" s="723">
        <f>IF(A123='Data Entry - SOF'!B$2,'Data Entry - SOF'!S$102,0)</f>
        <v>0</v>
      </c>
    </row>
    <row r="124" spans="1:22" ht="15.75">
      <c r="A124" s="382" t="s">
        <v>881</v>
      </c>
      <c r="B124" s="91">
        <v>0</v>
      </c>
      <c r="C124" s="944">
        <f>IF(A124='Data Entry - SOF'!B$2,'Report-SOF1718'!D$102,0)</f>
        <v>0</v>
      </c>
      <c r="D124" s="1037">
        <f>IF(A124='Data Entry - SOF'!B$2,'Data Entry - SOF'!#REF!,0)</f>
        <v>0</v>
      </c>
      <c r="E124" s="91">
        <f t="shared" si="6"/>
        <v>0</v>
      </c>
      <c r="F124" s="944">
        <f>IF(A124='Data Entry - SOF'!B$2,'Report-SOF1819'!D$102,0)</f>
        <v>0</v>
      </c>
      <c r="G124" s="1037">
        <f>IF(A124='Data Entry - SOF'!B$2,'Data Entry - SOF'!E$102,0)</f>
        <v>0</v>
      </c>
      <c r="H124" s="1038">
        <f t="shared" si="8"/>
        <v>0</v>
      </c>
      <c r="I124" s="944">
        <f>IF(A124='Data Entry - SOF'!B$2,'Report-SOF1920-HB3'!D$102,0)</f>
        <v>0</v>
      </c>
      <c r="J124" s="1037">
        <f>IF(A124='Data Entry - SOF'!B$2,'Data Entry - SOF'!G$102,0)</f>
        <v>0</v>
      </c>
      <c r="K124" s="717">
        <f t="shared" si="9"/>
        <v>0</v>
      </c>
      <c r="L124" s="944">
        <f>IF(A124='Data Entry - SOF'!B$2,'Report-SOF2021'!D$99,0)</f>
        <v>0</v>
      </c>
      <c r="M124" s="723">
        <f>IF(A124='Data Entry - SOF'!B$2,'Data Entry - SOF'!M$102,0)</f>
        <v>0</v>
      </c>
      <c r="N124" s="717">
        <f t="shared" si="10"/>
        <v>0</v>
      </c>
      <c r="O124" s="944">
        <f>IF(A124='Data Entry - SOF'!B$2,'Report-SOF2122'!D$91,0)</f>
        <v>0</v>
      </c>
      <c r="P124" s="723">
        <f>IF(A124='Data Entry - SOF'!B$2,'Data Entry - SOF'!O$102,0)</f>
        <v>0</v>
      </c>
      <c r="Q124" s="601">
        <f t="shared" si="7"/>
        <v>0</v>
      </c>
      <c r="R124" s="944">
        <f>IF(A124='Data Entry - SOF'!B$2,'Report-SOF2223'!D$91,0)</f>
        <v>0</v>
      </c>
      <c r="S124" s="723">
        <f>IF(A124='Data Entry - SOF'!B$2,'Data Entry - SOF'!Q$102,0)</f>
        <v>0</v>
      </c>
      <c r="T124" s="601">
        <f t="shared" si="11"/>
        <v>0</v>
      </c>
      <c r="U124" s="944">
        <f>IF(A124='Data Entry - SOF'!B$2,'Report-SOF2324'!D$91,0)</f>
        <v>0</v>
      </c>
      <c r="V124" s="723">
        <f>IF(A124='Data Entry - SOF'!B$2,'Data Entry - SOF'!S$102,0)</f>
        <v>0</v>
      </c>
    </row>
    <row r="125" spans="1:22" ht="15.75">
      <c r="A125" s="382" t="s">
        <v>1860</v>
      </c>
      <c r="B125" s="91">
        <v>7924379</v>
      </c>
      <c r="C125" s="944">
        <f>IF(A125='Data Entry - SOF'!B$2,'Report-SOF1718'!D$102,0)</f>
        <v>0</v>
      </c>
      <c r="D125" s="1037">
        <f>IF(A125='Data Entry - SOF'!B$2,'Data Entry - SOF'!#REF!,0)</f>
        <v>0</v>
      </c>
      <c r="E125" s="91">
        <f t="shared" si="6"/>
        <v>7924379</v>
      </c>
      <c r="F125" s="944">
        <f>IF(A125='Data Entry - SOF'!B$2,'Report-SOF1819'!D$102,0)</f>
        <v>0</v>
      </c>
      <c r="G125" s="1037">
        <f>IF(A125='Data Entry - SOF'!B$2,'Data Entry - SOF'!E$102,0)</f>
        <v>0</v>
      </c>
      <c r="H125" s="1038">
        <f t="shared" si="8"/>
        <v>7924379</v>
      </c>
      <c r="I125" s="944">
        <f>IF(A125='Data Entry - SOF'!B$2,'Report-SOF1920-HB3'!D$102,0)</f>
        <v>0</v>
      </c>
      <c r="J125" s="1037">
        <f>IF(A125='Data Entry - SOF'!B$2,'Data Entry - SOF'!G$102,0)</f>
        <v>0</v>
      </c>
      <c r="K125" s="717">
        <f t="shared" si="9"/>
        <v>7924379</v>
      </c>
      <c r="L125" s="944">
        <f>IF(A125='Data Entry - SOF'!B$2,'Report-SOF2021'!D$99,0)</f>
        <v>0</v>
      </c>
      <c r="M125" s="723">
        <f>IF(A125='Data Entry - SOF'!B$2,'Data Entry - SOF'!M$102,0)</f>
        <v>0</v>
      </c>
      <c r="N125" s="717">
        <f t="shared" si="10"/>
        <v>7924379</v>
      </c>
      <c r="O125" s="944">
        <f>IF(A125='Data Entry - SOF'!B$2,'Report-SOF2122'!D$91,0)</f>
        <v>0</v>
      </c>
      <c r="P125" s="723">
        <f>IF(A125='Data Entry - SOF'!B$2,'Data Entry - SOF'!O$102,0)</f>
        <v>0</v>
      </c>
      <c r="Q125" s="601">
        <f t="shared" si="7"/>
        <v>7924379</v>
      </c>
      <c r="R125" s="944">
        <f>IF(A125='Data Entry - SOF'!B$2,'Report-SOF2223'!D$91,0)</f>
        <v>0</v>
      </c>
      <c r="S125" s="723">
        <f>IF(A125='Data Entry - SOF'!B$2,'Data Entry - SOF'!Q$102,0)</f>
        <v>0</v>
      </c>
      <c r="T125" s="601">
        <f t="shared" si="11"/>
        <v>7924379</v>
      </c>
      <c r="U125" s="944">
        <f>IF(A125='Data Entry - SOF'!B$2,'Report-SOF2324'!D$91,0)</f>
        <v>0</v>
      </c>
      <c r="V125" s="723">
        <f>IF(A125='Data Entry - SOF'!B$2,'Data Entry - SOF'!S$102,0)</f>
        <v>0</v>
      </c>
    </row>
    <row r="126" spans="1:22" ht="15.75">
      <c r="A126" s="382" t="s">
        <v>57</v>
      </c>
      <c r="B126" s="91">
        <v>67807</v>
      </c>
      <c r="C126" s="944">
        <f>IF(A126='Data Entry - SOF'!B$2,'Report-SOF1718'!D$102,0)</f>
        <v>0</v>
      </c>
      <c r="D126" s="1037">
        <f>IF(A126='Data Entry - SOF'!B$2,'Data Entry - SOF'!#REF!,0)</f>
        <v>0</v>
      </c>
      <c r="E126" s="91">
        <f t="shared" si="6"/>
        <v>67807</v>
      </c>
      <c r="F126" s="944">
        <f>IF(A126='Data Entry - SOF'!B$2,'Report-SOF1819'!D$102,0)</f>
        <v>0</v>
      </c>
      <c r="G126" s="1037">
        <f>IF(A126='Data Entry - SOF'!B$2,'Data Entry - SOF'!E$102,0)</f>
        <v>0</v>
      </c>
      <c r="H126" s="1038">
        <f t="shared" si="8"/>
        <v>67807</v>
      </c>
      <c r="I126" s="944">
        <f>IF(A126='Data Entry - SOF'!B$2,'Report-SOF1920-HB3'!D$102,0)</f>
        <v>0</v>
      </c>
      <c r="J126" s="1037">
        <f>IF(A126='Data Entry - SOF'!B$2,'Data Entry - SOF'!G$102,0)</f>
        <v>0</v>
      </c>
      <c r="K126" s="717">
        <f t="shared" si="9"/>
        <v>67807</v>
      </c>
      <c r="L126" s="944">
        <f>IF(A126='Data Entry - SOF'!B$2,'Report-SOF2021'!D$99,0)</f>
        <v>0</v>
      </c>
      <c r="M126" s="723">
        <f>IF(A126='Data Entry - SOF'!B$2,'Data Entry - SOF'!M$102,0)</f>
        <v>0</v>
      </c>
      <c r="N126" s="717">
        <f t="shared" si="10"/>
        <v>67807</v>
      </c>
      <c r="O126" s="944">
        <f>IF(A126='Data Entry - SOF'!B$2,'Report-SOF2122'!D$91,0)</f>
        <v>0</v>
      </c>
      <c r="P126" s="723">
        <f>IF(A126='Data Entry - SOF'!B$2,'Data Entry - SOF'!O$102,0)</f>
        <v>0</v>
      </c>
      <c r="Q126" s="601">
        <f t="shared" si="7"/>
        <v>67807</v>
      </c>
      <c r="R126" s="944">
        <f>IF(A126='Data Entry - SOF'!B$2,'Report-SOF2223'!D$91,0)</f>
        <v>0</v>
      </c>
      <c r="S126" s="723">
        <f>IF(A126='Data Entry - SOF'!B$2,'Data Entry - SOF'!Q$102,0)</f>
        <v>0</v>
      </c>
      <c r="T126" s="601">
        <f t="shared" si="11"/>
        <v>67807</v>
      </c>
      <c r="U126" s="944">
        <f>IF(A126='Data Entry - SOF'!B$2,'Report-SOF2324'!D$91,0)</f>
        <v>0</v>
      </c>
      <c r="V126" s="723">
        <f>IF(A126='Data Entry - SOF'!B$2,'Data Entry - SOF'!S$102,0)</f>
        <v>0</v>
      </c>
    </row>
    <row r="127" spans="1:22" ht="15.75">
      <c r="A127" s="382" t="s">
        <v>2283</v>
      </c>
      <c r="B127" s="91">
        <v>0</v>
      </c>
      <c r="C127" s="944">
        <f>IF(A127='Data Entry - SOF'!B$2,'Report-SOF1718'!D$102,0)</f>
        <v>0</v>
      </c>
      <c r="D127" s="1037">
        <f>IF(A127='Data Entry - SOF'!B$2,'Data Entry - SOF'!#REF!,0)</f>
        <v>0</v>
      </c>
      <c r="E127" s="91">
        <f t="shared" si="6"/>
        <v>0</v>
      </c>
      <c r="F127" s="944">
        <f>IF(A127='Data Entry - SOF'!B$2,'Report-SOF1819'!D$102,0)</f>
        <v>0</v>
      </c>
      <c r="G127" s="1037">
        <f>IF(A127='Data Entry - SOF'!B$2,'Data Entry - SOF'!E$102,0)</f>
        <v>0</v>
      </c>
      <c r="H127" s="1038">
        <f t="shared" si="8"/>
        <v>0</v>
      </c>
      <c r="I127" s="944">
        <f>IF(A127='Data Entry - SOF'!B$2,'Report-SOF1920-HB3'!D$102,0)</f>
        <v>0</v>
      </c>
      <c r="J127" s="1037">
        <f>IF(A127='Data Entry - SOF'!B$2,'Data Entry - SOF'!G$102,0)</f>
        <v>0</v>
      </c>
      <c r="K127" s="717">
        <f t="shared" si="9"/>
        <v>0</v>
      </c>
      <c r="L127" s="944">
        <f>IF(A127='Data Entry - SOF'!B$2,'Report-SOF2021'!D$99,0)</f>
        <v>0</v>
      </c>
      <c r="M127" s="723">
        <f>IF(A127='Data Entry - SOF'!B$2,'Data Entry - SOF'!M$102,0)</f>
        <v>0</v>
      </c>
      <c r="N127" s="717">
        <f t="shared" si="10"/>
        <v>0</v>
      </c>
      <c r="O127" s="944">
        <f>IF(A127='Data Entry - SOF'!B$2,'Report-SOF2122'!D$91,0)</f>
        <v>0</v>
      </c>
      <c r="P127" s="723">
        <f>IF(A127='Data Entry - SOF'!B$2,'Data Entry - SOF'!O$102,0)</f>
        <v>0</v>
      </c>
      <c r="Q127" s="601">
        <f t="shared" si="7"/>
        <v>0</v>
      </c>
      <c r="R127" s="944">
        <f>IF(A127='Data Entry - SOF'!B$2,'Report-SOF2223'!D$91,0)</f>
        <v>0</v>
      </c>
      <c r="S127" s="723">
        <f>IF(A127='Data Entry - SOF'!B$2,'Data Entry - SOF'!Q$102,0)</f>
        <v>0</v>
      </c>
      <c r="T127" s="601">
        <f t="shared" si="11"/>
        <v>0</v>
      </c>
      <c r="U127" s="944">
        <f>IF(A127='Data Entry - SOF'!B$2,'Report-SOF2324'!D$91,0)</f>
        <v>0</v>
      </c>
      <c r="V127" s="723">
        <f>IF(A127='Data Entry - SOF'!B$2,'Data Entry - SOF'!S$102,0)</f>
        <v>0</v>
      </c>
    </row>
    <row r="128" spans="1:22" ht="15.75">
      <c r="A128" s="382" t="s">
        <v>1679</v>
      </c>
      <c r="B128" s="91">
        <v>28168579</v>
      </c>
      <c r="C128" s="944">
        <f>IF(A128='Data Entry - SOF'!B$2,'Report-SOF1718'!D$102,0)</f>
        <v>0</v>
      </c>
      <c r="D128" s="1037">
        <f>IF(A128='Data Entry - SOF'!B$2,'Data Entry - SOF'!#REF!,0)</f>
        <v>0</v>
      </c>
      <c r="E128" s="91">
        <f t="shared" si="6"/>
        <v>28168579</v>
      </c>
      <c r="F128" s="944">
        <f>IF(A128='Data Entry - SOF'!B$2,'Report-SOF1819'!D$102,0)</f>
        <v>0</v>
      </c>
      <c r="G128" s="1037">
        <f>IF(A128='Data Entry - SOF'!B$2,'Data Entry - SOF'!E$102,0)</f>
        <v>0</v>
      </c>
      <c r="H128" s="1038">
        <f t="shared" si="8"/>
        <v>28168579</v>
      </c>
      <c r="I128" s="944">
        <f>IF(A128='Data Entry - SOF'!B$2,'Report-SOF1920-HB3'!D$102,0)</f>
        <v>0</v>
      </c>
      <c r="J128" s="1037">
        <f>IF(A128='Data Entry - SOF'!B$2,'Data Entry - SOF'!G$102,0)</f>
        <v>0</v>
      </c>
      <c r="K128" s="717">
        <f t="shared" si="9"/>
        <v>28168579</v>
      </c>
      <c r="L128" s="944">
        <f>IF(A128='Data Entry - SOF'!B$2,'Report-SOF2021'!D$99,0)</f>
        <v>0</v>
      </c>
      <c r="M128" s="723">
        <f>IF(A128='Data Entry - SOF'!B$2,'Data Entry - SOF'!M$102,0)</f>
        <v>0</v>
      </c>
      <c r="N128" s="717">
        <f t="shared" si="10"/>
        <v>28168579</v>
      </c>
      <c r="O128" s="944">
        <f>IF(A128='Data Entry - SOF'!B$2,'Report-SOF2122'!D$91,0)</f>
        <v>0</v>
      </c>
      <c r="P128" s="723">
        <f>IF(A128='Data Entry - SOF'!B$2,'Data Entry - SOF'!O$102,0)</f>
        <v>0</v>
      </c>
      <c r="Q128" s="601">
        <f t="shared" si="7"/>
        <v>28168579</v>
      </c>
      <c r="R128" s="944">
        <f>IF(A128='Data Entry - SOF'!B$2,'Report-SOF2223'!D$91,0)</f>
        <v>0</v>
      </c>
      <c r="S128" s="723">
        <f>IF(A128='Data Entry - SOF'!B$2,'Data Entry - SOF'!Q$102,0)</f>
        <v>0</v>
      </c>
      <c r="T128" s="601">
        <f t="shared" si="11"/>
        <v>28168579</v>
      </c>
      <c r="U128" s="944">
        <f>IF(A128='Data Entry - SOF'!B$2,'Report-SOF2324'!D$91,0)</f>
        <v>0</v>
      </c>
      <c r="V128" s="723">
        <f>IF(A128='Data Entry - SOF'!B$2,'Data Entry - SOF'!S$102,0)</f>
        <v>0</v>
      </c>
    </row>
    <row r="129" spans="1:22" ht="15.75">
      <c r="A129" s="382" t="s">
        <v>714</v>
      </c>
      <c r="B129" s="91">
        <v>348638</v>
      </c>
      <c r="C129" s="944">
        <f>IF(A129='Data Entry - SOF'!B$2,'Report-SOF1718'!D$102,0)</f>
        <v>0</v>
      </c>
      <c r="D129" s="1037">
        <f>IF(A129='Data Entry - SOF'!B$2,'Data Entry - SOF'!#REF!,0)</f>
        <v>0</v>
      </c>
      <c r="E129" s="91">
        <f t="shared" si="6"/>
        <v>348638</v>
      </c>
      <c r="F129" s="944">
        <f>IF(A129='Data Entry - SOF'!B$2,'Report-SOF1819'!D$102,0)</f>
        <v>0</v>
      </c>
      <c r="G129" s="1037">
        <f>IF(A129='Data Entry - SOF'!B$2,'Data Entry - SOF'!E$102,0)</f>
        <v>0</v>
      </c>
      <c r="H129" s="1038">
        <f t="shared" si="8"/>
        <v>348638</v>
      </c>
      <c r="I129" s="944">
        <f>IF(A129='Data Entry - SOF'!B$2,'Report-SOF1920-HB3'!D$102,0)</f>
        <v>0</v>
      </c>
      <c r="J129" s="1037">
        <f>IF(A129='Data Entry - SOF'!B$2,'Data Entry - SOF'!G$102,0)</f>
        <v>0</v>
      </c>
      <c r="K129" s="717">
        <f t="shared" si="9"/>
        <v>348638</v>
      </c>
      <c r="L129" s="944">
        <f>IF(A129='Data Entry - SOF'!B$2,'Report-SOF2021'!D$99,0)</f>
        <v>0</v>
      </c>
      <c r="M129" s="723">
        <f>IF(A129='Data Entry - SOF'!B$2,'Data Entry - SOF'!M$102,0)</f>
        <v>0</v>
      </c>
      <c r="N129" s="717">
        <f t="shared" si="10"/>
        <v>348638</v>
      </c>
      <c r="O129" s="944">
        <f>IF(A129='Data Entry - SOF'!B$2,'Report-SOF2122'!D$91,0)</f>
        <v>0</v>
      </c>
      <c r="P129" s="723">
        <f>IF(A129='Data Entry - SOF'!B$2,'Data Entry - SOF'!O$102,0)</f>
        <v>0</v>
      </c>
      <c r="Q129" s="601">
        <f t="shared" si="7"/>
        <v>348638</v>
      </c>
      <c r="R129" s="944">
        <f>IF(A129='Data Entry - SOF'!B$2,'Report-SOF2223'!D$91,0)</f>
        <v>0</v>
      </c>
      <c r="S129" s="723">
        <f>IF(A129='Data Entry - SOF'!B$2,'Data Entry - SOF'!Q$102,0)</f>
        <v>0</v>
      </c>
      <c r="T129" s="601">
        <f t="shared" si="11"/>
        <v>348638</v>
      </c>
      <c r="U129" s="944">
        <f>IF(A129='Data Entry - SOF'!B$2,'Report-SOF2324'!D$91,0)</f>
        <v>0</v>
      </c>
      <c r="V129" s="723">
        <f>IF(A129='Data Entry - SOF'!B$2,'Data Entry - SOF'!S$102,0)</f>
        <v>0</v>
      </c>
    </row>
    <row r="130" spans="1:22" ht="15.75">
      <c r="A130" s="382" t="s">
        <v>1315</v>
      </c>
      <c r="B130" s="91">
        <v>1253342</v>
      </c>
      <c r="C130" s="944">
        <f>IF(A130='Data Entry - SOF'!B$2,'Report-SOF1718'!D$102,0)</f>
        <v>0</v>
      </c>
      <c r="D130" s="1037">
        <f>IF(A130='Data Entry - SOF'!B$2,'Data Entry - SOF'!#REF!,0)</f>
        <v>0</v>
      </c>
      <c r="E130" s="91">
        <f t="shared" si="6"/>
        <v>1253342</v>
      </c>
      <c r="F130" s="944">
        <f>IF(A130='Data Entry - SOF'!B$2,'Report-SOF1819'!D$102,0)</f>
        <v>0</v>
      </c>
      <c r="G130" s="1037">
        <f>IF(A130='Data Entry - SOF'!B$2,'Data Entry - SOF'!E$102,0)</f>
        <v>0</v>
      </c>
      <c r="H130" s="1038">
        <f t="shared" si="8"/>
        <v>1253342</v>
      </c>
      <c r="I130" s="944">
        <f>IF(A130='Data Entry - SOF'!B$2,'Report-SOF1920-HB3'!D$102,0)</f>
        <v>0</v>
      </c>
      <c r="J130" s="1037">
        <f>IF(A130='Data Entry - SOF'!B$2,'Data Entry - SOF'!G$102,0)</f>
        <v>0</v>
      </c>
      <c r="K130" s="717">
        <f t="shared" si="9"/>
        <v>1253342</v>
      </c>
      <c r="L130" s="944">
        <f>IF(A130='Data Entry - SOF'!B$2,'Report-SOF2021'!D$99,0)</f>
        <v>0</v>
      </c>
      <c r="M130" s="723">
        <f>IF(A130='Data Entry - SOF'!B$2,'Data Entry - SOF'!M$102,0)</f>
        <v>0</v>
      </c>
      <c r="N130" s="717">
        <f t="shared" si="10"/>
        <v>1253342</v>
      </c>
      <c r="O130" s="944">
        <f>IF(A130='Data Entry - SOF'!B$2,'Report-SOF2122'!D$91,0)</f>
        <v>0</v>
      </c>
      <c r="P130" s="723">
        <f>IF(A130='Data Entry - SOF'!B$2,'Data Entry - SOF'!O$102,0)</f>
        <v>0</v>
      </c>
      <c r="Q130" s="601">
        <f t="shared" si="7"/>
        <v>1253342</v>
      </c>
      <c r="R130" s="944">
        <f>IF(A130='Data Entry - SOF'!B$2,'Report-SOF2223'!D$91,0)</f>
        <v>0</v>
      </c>
      <c r="S130" s="723">
        <f>IF(A130='Data Entry - SOF'!B$2,'Data Entry - SOF'!Q$102,0)</f>
        <v>0</v>
      </c>
      <c r="T130" s="601">
        <f t="shared" si="11"/>
        <v>1253342</v>
      </c>
      <c r="U130" s="944">
        <f>IF(A130='Data Entry - SOF'!B$2,'Report-SOF2324'!D$91,0)</f>
        <v>0</v>
      </c>
      <c r="V130" s="723">
        <f>IF(A130='Data Entry - SOF'!B$2,'Data Entry - SOF'!S$102,0)</f>
        <v>0</v>
      </c>
    </row>
    <row r="131" spans="1:22" ht="15.75">
      <c r="A131" s="382" t="s">
        <v>715</v>
      </c>
      <c r="B131" s="91">
        <v>658473</v>
      </c>
      <c r="C131" s="944">
        <f>IF(A131='Data Entry - SOF'!B$2,'Report-SOF1718'!D$102,0)</f>
        <v>0</v>
      </c>
      <c r="D131" s="1037">
        <f>IF(A131='Data Entry - SOF'!B$2,'Data Entry - SOF'!#REF!,0)</f>
        <v>0</v>
      </c>
      <c r="E131" s="91">
        <f t="shared" si="6"/>
        <v>658473</v>
      </c>
      <c r="F131" s="944">
        <f>IF(A131='Data Entry - SOF'!B$2,'Report-SOF1819'!D$102,0)</f>
        <v>0</v>
      </c>
      <c r="G131" s="1037">
        <f>IF(A131='Data Entry - SOF'!B$2,'Data Entry - SOF'!E$102,0)</f>
        <v>0</v>
      </c>
      <c r="H131" s="1038">
        <f t="shared" si="8"/>
        <v>658473</v>
      </c>
      <c r="I131" s="944">
        <f>IF(A131='Data Entry - SOF'!B$2,'Report-SOF1920-HB3'!D$102,0)</f>
        <v>0</v>
      </c>
      <c r="J131" s="1037">
        <f>IF(A131='Data Entry - SOF'!B$2,'Data Entry - SOF'!G$102,0)</f>
        <v>0</v>
      </c>
      <c r="K131" s="717">
        <f t="shared" si="9"/>
        <v>658473</v>
      </c>
      <c r="L131" s="944">
        <f>IF(A131='Data Entry - SOF'!B$2,'Report-SOF2021'!D$99,0)</f>
        <v>0</v>
      </c>
      <c r="M131" s="723">
        <f>IF(A131='Data Entry - SOF'!B$2,'Data Entry - SOF'!M$102,0)</f>
        <v>0</v>
      </c>
      <c r="N131" s="717">
        <f t="shared" si="10"/>
        <v>658473</v>
      </c>
      <c r="O131" s="944">
        <f>IF(A131='Data Entry - SOF'!B$2,'Report-SOF2122'!D$91,0)</f>
        <v>0</v>
      </c>
      <c r="P131" s="723">
        <f>IF(A131='Data Entry - SOF'!B$2,'Data Entry - SOF'!O$102,0)</f>
        <v>0</v>
      </c>
      <c r="Q131" s="601">
        <f t="shared" si="7"/>
        <v>658473</v>
      </c>
      <c r="R131" s="944">
        <f>IF(A131='Data Entry - SOF'!B$2,'Report-SOF2223'!D$91,0)</f>
        <v>0</v>
      </c>
      <c r="S131" s="723">
        <f>IF(A131='Data Entry - SOF'!B$2,'Data Entry - SOF'!Q$102,0)</f>
        <v>0</v>
      </c>
      <c r="T131" s="601">
        <f t="shared" si="11"/>
        <v>658473</v>
      </c>
      <c r="U131" s="944">
        <f>IF(A131='Data Entry - SOF'!B$2,'Report-SOF2324'!D$91,0)</f>
        <v>0</v>
      </c>
      <c r="V131" s="723">
        <f>IF(A131='Data Entry - SOF'!B$2,'Data Entry - SOF'!S$102,0)</f>
        <v>0</v>
      </c>
    </row>
    <row r="132" spans="1:22" ht="15.75">
      <c r="A132" s="382" t="s">
        <v>492</v>
      </c>
      <c r="B132" s="91">
        <v>100004</v>
      </c>
      <c r="C132" s="944">
        <f>IF(A132='Data Entry - SOF'!B$2,'Report-SOF1718'!D$102,0)</f>
        <v>0</v>
      </c>
      <c r="D132" s="1037">
        <f>IF(A132='Data Entry - SOF'!B$2,'Data Entry - SOF'!#REF!,0)</f>
        <v>0</v>
      </c>
      <c r="E132" s="91">
        <f t="shared" ref="E132:E195" si="12">IF(B132+C132-D132&lt;=0,0,B132+C132-D132)</f>
        <v>100004</v>
      </c>
      <c r="F132" s="944">
        <f>IF(A132='Data Entry - SOF'!B$2,'Report-SOF1819'!D$102,0)</f>
        <v>0</v>
      </c>
      <c r="G132" s="1037">
        <f>IF(A132='Data Entry - SOF'!B$2,'Data Entry - SOF'!E$102,0)</f>
        <v>0</v>
      </c>
      <c r="H132" s="1038">
        <f t="shared" si="8"/>
        <v>100004</v>
      </c>
      <c r="I132" s="944">
        <f>IF(A132='Data Entry - SOF'!B$2,'Report-SOF1920-HB3'!D$102,0)</f>
        <v>0</v>
      </c>
      <c r="J132" s="1037">
        <f>IF(A132='Data Entry - SOF'!B$2,'Data Entry - SOF'!G$102,0)</f>
        <v>0</v>
      </c>
      <c r="K132" s="717">
        <f t="shared" si="9"/>
        <v>100004</v>
      </c>
      <c r="L132" s="944">
        <f>IF(A132='Data Entry - SOF'!B$2,'Report-SOF2021'!D$99,0)</f>
        <v>0</v>
      </c>
      <c r="M132" s="723">
        <f>IF(A132='Data Entry - SOF'!B$2,'Data Entry - SOF'!M$102,0)</f>
        <v>0</v>
      </c>
      <c r="N132" s="717">
        <f t="shared" si="10"/>
        <v>100004</v>
      </c>
      <c r="O132" s="944">
        <f>IF(A132='Data Entry - SOF'!B$2,'Report-SOF2122'!D$91,0)</f>
        <v>0</v>
      </c>
      <c r="P132" s="723">
        <f>IF(A132='Data Entry - SOF'!B$2,'Data Entry - SOF'!O$102,0)</f>
        <v>0</v>
      </c>
      <c r="Q132" s="601">
        <f t="shared" ref="Q132:Q195" si="13">IF(N132+O132-P132&lt;=0,0,N132+O132-P132)</f>
        <v>100004</v>
      </c>
      <c r="R132" s="944">
        <f>IF(A132='Data Entry - SOF'!B$2,'Report-SOF2223'!D$91,0)</f>
        <v>0</v>
      </c>
      <c r="S132" s="723">
        <f>IF(A132='Data Entry - SOF'!B$2,'Data Entry - SOF'!Q$102,0)</f>
        <v>0</v>
      </c>
      <c r="T132" s="601">
        <f t="shared" si="11"/>
        <v>100004</v>
      </c>
      <c r="U132" s="944">
        <f>IF(A132='Data Entry - SOF'!B$2,'Report-SOF2324'!D$91,0)</f>
        <v>0</v>
      </c>
      <c r="V132" s="723">
        <f>IF(A132='Data Entry - SOF'!B$2,'Data Entry - SOF'!S$102,0)</f>
        <v>0</v>
      </c>
    </row>
    <row r="133" spans="1:22" ht="15.75">
      <c r="A133" s="382" t="s">
        <v>933</v>
      </c>
      <c r="B133" s="91">
        <v>5122714</v>
      </c>
      <c r="C133" s="944">
        <f>IF(A133='Data Entry - SOF'!B$2,'Report-SOF1718'!D$102,0)</f>
        <v>0</v>
      </c>
      <c r="D133" s="1037">
        <f>IF(A133='Data Entry - SOF'!B$2,'Data Entry - SOF'!#REF!,0)</f>
        <v>0</v>
      </c>
      <c r="E133" s="91">
        <f t="shared" si="12"/>
        <v>5122714</v>
      </c>
      <c r="F133" s="944">
        <f>IF(A133='Data Entry - SOF'!B$2,'Report-SOF1819'!D$102,0)</f>
        <v>0</v>
      </c>
      <c r="G133" s="1037">
        <f>IF(A133='Data Entry - SOF'!B$2,'Data Entry - SOF'!E$102,0)</f>
        <v>0</v>
      </c>
      <c r="H133" s="1038">
        <f t="shared" ref="H133:H196" si="14">IF(E133+F133-G133&lt;=0,0,E133+F133-G133)</f>
        <v>5122714</v>
      </c>
      <c r="I133" s="944">
        <f>IF(A133='Data Entry - SOF'!B$2,'Report-SOF1920-HB3'!D$102,0)</f>
        <v>0</v>
      </c>
      <c r="J133" s="1037">
        <f>IF(A133='Data Entry - SOF'!B$2,'Data Entry - SOF'!G$102,0)</f>
        <v>0</v>
      </c>
      <c r="K133" s="717">
        <f t="shared" ref="K133:K196" si="15">IF(H133+I133-J133&lt;=0,0,H133+I133-J133)</f>
        <v>5122714</v>
      </c>
      <c r="L133" s="944">
        <f>IF(A133='Data Entry - SOF'!B$2,'Report-SOF2021'!D$99,0)</f>
        <v>0</v>
      </c>
      <c r="M133" s="723">
        <f>IF(A133='Data Entry - SOF'!B$2,'Data Entry - SOF'!M$102,0)</f>
        <v>0</v>
      </c>
      <c r="N133" s="717">
        <f t="shared" ref="N133:N196" si="16">IF(K133+L133-M133&lt;=0,0,K133+L133-M133)</f>
        <v>5122714</v>
      </c>
      <c r="O133" s="944">
        <f>IF(A133='Data Entry - SOF'!B$2,'Report-SOF2122'!D$91,0)</f>
        <v>0</v>
      </c>
      <c r="P133" s="723">
        <f>IF(A133='Data Entry - SOF'!B$2,'Data Entry - SOF'!O$102,0)</f>
        <v>0</v>
      </c>
      <c r="Q133" s="601">
        <f t="shared" si="13"/>
        <v>5122714</v>
      </c>
      <c r="R133" s="944">
        <f>IF(A133='Data Entry - SOF'!B$2,'Report-SOF2223'!D$91,0)</f>
        <v>0</v>
      </c>
      <c r="S133" s="723">
        <f>IF(A133='Data Entry - SOF'!B$2,'Data Entry - SOF'!Q$102,0)</f>
        <v>0</v>
      </c>
      <c r="T133" s="601">
        <f t="shared" ref="T133:T196" si="17">IF(P133+Q133-S133&lt;=0,0,P133+Q133-S133)</f>
        <v>5122714</v>
      </c>
      <c r="U133" s="944">
        <f>IF(A133='Data Entry - SOF'!B$2,'Report-SOF2324'!D$91,0)</f>
        <v>0</v>
      </c>
      <c r="V133" s="723">
        <f>IF(A133='Data Entry - SOF'!B$2,'Data Entry - SOF'!S$102,0)</f>
        <v>0</v>
      </c>
    </row>
    <row r="134" spans="1:22" ht="15.75">
      <c r="A134" s="382" t="s">
        <v>934</v>
      </c>
      <c r="B134" s="91">
        <v>5432439</v>
      </c>
      <c r="C134" s="944">
        <f>IF(A134='Data Entry - SOF'!B$2,'Report-SOF1718'!D$102,0)</f>
        <v>0</v>
      </c>
      <c r="D134" s="1037">
        <f>IF(A134='Data Entry - SOF'!B$2,'Data Entry - SOF'!#REF!,0)</f>
        <v>0</v>
      </c>
      <c r="E134" s="91">
        <f t="shared" si="12"/>
        <v>5432439</v>
      </c>
      <c r="F134" s="944">
        <f>IF(A134='Data Entry - SOF'!B$2,'Report-SOF1819'!D$102,0)</f>
        <v>0</v>
      </c>
      <c r="G134" s="1037">
        <f>IF(A134='Data Entry - SOF'!B$2,'Data Entry - SOF'!E$102,0)</f>
        <v>0</v>
      </c>
      <c r="H134" s="1038">
        <f t="shared" si="14"/>
        <v>5432439</v>
      </c>
      <c r="I134" s="944">
        <f>IF(A134='Data Entry - SOF'!B$2,'Report-SOF1920-HB3'!D$102,0)</f>
        <v>0</v>
      </c>
      <c r="J134" s="1037">
        <f>IF(A134='Data Entry - SOF'!B$2,'Data Entry - SOF'!G$102,0)</f>
        <v>0</v>
      </c>
      <c r="K134" s="717">
        <f t="shared" si="15"/>
        <v>5432439</v>
      </c>
      <c r="L134" s="944">
        <f>IF(A134='Data Entry - SOF'!B$2,'Report-SOF2021'!D$99,0)</f>
        <v>0</v>
      </c>
      <c r="M134" s="723">
        <f>IF(A134='Data Entry - SOF'!B$2,'Data Entry - SOF'!M$102,0)</f>
        <v>0</v>
      </c>
      <c r="N134" s="717">
        <f t="shared" si="16"/>
        <v>5432439</v>
      </c>
      <c r="O134" s="944">
        <f>IF(A134='Data Entry - SOF'!B$2,'Report-SOF2122'!D$91,0)</f>
        <v>0</v>
      </c>
      <c r="P134" s="723">
        <f>IF(A134='Data Entry - SOF'!B$2,'Data Entry - SOF'!O$102,0)</f>
        <v>0</v>
      </c>
      <c r="Q134" s="601">
        <f t="shared" si="13"/>
        <v>5432439</v>
      </c>
      <c r="R134" s="944">
        <f>IF(A134='Data Entry - SOF'!B$2,'Report-SOF2223'!D$91,0)</f>
        <v>0</v>
      </c>
      <c r="S134" s="723">
        <f>IF(A134='Data Entry - SOF'!B$2,'Data Entry - SOF'!Q$102,0)</f>
        <v>0</v>
      </c>
      <c r="T134" s="601">
        <f t="shared" si="17"/>
        <v>5432439</v>
      </c>
      <c r="U134" s="944">
        <f>IF(A134='Data Entry - SOF'!B$2,'Report-SOF2324'!D$91,0)</f>
        <v>0</v>
      </c>
      <c r="V134" s="723">
        <f>IF(A134='Data Entry - SOF'!B$2,'Data Entry - SOF'!S$102,0)</f>
        <v>0</v>
      </c>
    </row>
    <row r="135" spans="1:22" ht="15.75">
      <c r="A135" s="382" t="s">
        <v>776</v>
      </c>
      <c r="B135" s="91">
        <v>29687733.2505631</v>
      </c>
      <c r="C135" s="944">
        <f>IF(A135='Data Entry - SOF'!B$2,'Report-SOF1718'!D$102,0)</f>
        <v>0</v>
      </c>
      <c r="D135" s="1037">
        <f>IF(A135='Data Entry - SOF'!B$2,'Data Entry - SOF'!#REF!,0)</f>
        <v>0</v>
      </c>
      <c r="E135" s="91">
        <f t="shared" si="12"/>
        <v>29687733.2505631</v>
      </c>
      <c r="F135" s="944">
        <f>IF(A135='Data Entry - SOF'!B$2,'Report-SOF1819'!D$102,0)</f>
        <v>0</v>
      </c>
      <c r="G135" s="1037">
        <f>IF(A135='Data Entry - SOF'!B$2,'Data Entry - SOF'!E$102,0)</f>
        <v>0</v>
      </c>
      <c r="H135" s="1038">
        <f t="shared" si="14"/>
        <v>29687733.2505631</v>
      </c>
      <c r="I135" s="944">
        <f>IF(A135='Data Entry - SOF'!B$2,'Report-SOF1920-HB3'!D$102,0)</f>
        <v>0</v>
      </c>
      <c r="J135" s="1037">
        <f>IF(A135='Data Entry - SOF'!B$2,'Data Entry - SOF'!G$102,0)</f>
        <v>0</v>
      </c>
      <c r="K135" s="717">
        <f t="shared" si="15"/>
        <v>29687733.2505631</v>
      </c>
      <c r="L135" s="944">
        <f>IF(A135='Data Entry - SOF'!B$2,'Report-SOF2021'!D$99,0)</f>
        <v>0</v>
      </c>
      <c r="M135" s="723">
        <f>IF(A135='Data Entry - SOF'!B$2,'Data Entry - SOF'!M$102,0)</f>
        <v>0</v>
      </c>
      <c r="N135" s="717">
        <f t="shared" si="16"/>
        <v>29687733.2505631</v>
      </c>
      <c r="O135" s="944">
        <f>IF(A135='Data Entry - SOF'!B$2,'Report-SOF2122'!D$91,0)</f>
        <v>0</v>
      </c>
      <c r="P135" s="723">
        <f>IF(A135='Data Entry - SOF'!B$2,'Data Entry - SOF'!O$102,0)</f>
        <v>0</v>
      </c>
      <c r="Q135" s="601">
        <f t="shared" si="13"/>
        <v>29687733.2505631</v>
      </c>
      <c r="R135" s="944">
        <f>IF(A135='Data Entry - SOF'!B$2,'Report-SOF2223'!D$91,0)</f>
        <v>0</v>
      </c>
      <c r="S135" s="723">
        <f>IF(A135='Data Entry - SOF'!B$2,'Data Entry - SOF'!Q$102,0)</f>
        <v>0</v>
      </c>
      <c r="T135" s="601">
        <f t="shared" si="17"/>
        <v>29687733.2505631</v>
      </c>
      <c r="U135" s="944">
        <f>IF(A135='Data Entry - SOF'!B$2,'Report-SOF2324'!D$91,0)</f>
        <v>0</v>
      </c>
      <c r="V135" s="723">
        <f>IF(A135='Data Entry - SOF'!B$2,'Data Entry - SOF'!S$102,0)</f>
        <v>0</v>
      </c>
    </row>
    <row r="136" spans="1:22" ht="15.75">
      <c r="A136" s="382" t="s">
        <v>1806</v>
      </c>
      <c r="B136" s="91">
        <v>8870934.1707763504</v>
      </c>
      <c r="C136" s="944">
        <f>IF(A136='Data Entry - SOF'!B$2,'Report-SOF1718'!D$102,0)</f>
        <v>0</v>
      </c>
      <c r="D136" s="1037">
        <f>IF(A136='Data Entry - SOF'!B$2,'Data Entry - SOF'!#REF!,0)</f>
        <v>0</v>
      </c>
      <c r="E136" s="91">
        <f t="shared" si="12"/>
        <v>8870934.1707763504</v>
      </c>
      <c r="F136" s="944">
        <f>IF(A136='Data Entry - SOF'!B$2,'Report-SOF1819'!D$102,0)</f>
        <v>0</v>
      </c>
      <c r="G136" s="1037">
        <f>IF(A136='Data Entry - SOF'!B$2,'Data Entry - SOF'!E$102,0)</f>
        <v>0</v>
      </c>
      <c r="H136" s="1038">
        <f t="shared" si="14"/>
        <v>8870934.1707763504</v>
      </c>
      <c r="I136" s="944">
        <f>IF(A136='Data Entry - SOF'!B$2,'Report-SOF1920-HB3'!D$102,0)</f>
        <v>0</v>
      </c>
      <c r="J136" s="1037">
        <f>IF(A136='Data Entry - SOF'!B$2,'Data Entry - SOF'!G$102,0)</f>
        <v>0</v>
      </c>
      <c r="K136" s="717">
        <f t="shared" si="15"/>
        <v>8870934.1707763504</v>
      </c>
      <c r="L136" s="944">
        <f>IF(A136='Data Entry - SOF'!B$2,'Report-SOF2021'!D$99,0)</f>
        <v>0</v>
      </c>
      <c r="M136" s="723">
        <f>IF(A136='Data Entry - SOF'!B$2,'Data Entry - SOF'!M$102,0)</f>
        <v>0</v>
      </c>
      <c r="N136" s="717">
        <f t="shared" si="16"/>
        <v>8870934.1707763504</v>
      </c>
      <c r="O136" s="944">
        <f>IF(A136='Data Entry - SOF'!B$2,'Report-SOF2122'!D$91,0)</f>
        <v>0</v>
      </c>
      <c r="P136" s="723">
        <f>IF(A136='Data Entry - SOF'!B$2,'Data Entry - SOF'!O$102,0)</f>
        <v>0</v>
      </c>
      <c r="Q136" s="601">
        <f t="shared" si="13"/>
        <v>8870934.1707763504</v>
      </c>
      <c r="R136" s="944">
        <f>IF(A136='Data Entry - SOF'!B$2,'Report-SOF2223'!D$91,0)</f>
        <v>0</v>
      </c>
      <c r="S136" s="723">
        <f>IF(A136='Data Entry - SOF'!B$2,'Data Entry - SOF'!Q$102,0)</f>
        <v>0</v>
      </c>
      <c r="T136" s="601">
        <f t="shared" si="17"/>
        <v>8870934.1707763504</v>
      </c>
      <c r="U136" s="944">
        <f>IF(A136='Data Entry - SOF'!B$2,'Report-SOF2324'!D$91,0)</f>
        <v>0</v>
      </c>
      <c r="V136" s="723">
        <f>IF(A136='Data Entry - SOF'!B$2,'Data Entry - SOF'!S$102,0)</f>
        <v>0</v>
      </c>
    </row>
    <row r="137" spans="1:22" ht="15.75">
      <c r="A137" s="382" t="s">
        <v>1725</v>
      </c>
      <c r="B137" s="91">
        <v>2811759</v>
      </c>
      <c r="C137" s="944">
        <f>IF(A137='Data Entry - SOF'!B$2,'Report-SOF1718'!D$102,0)</f>
        <v>0</v>
      </c>
      <c r="D137" s="1037">
        <f>IF(A137='Data Entry - SOF'!B$2,'Data Entry - SOF'!#REF!,0)</f>
        <v>0</v>
      </c>
      <c r="E137" s="91">
        <f t="shared" si="12"/>
        <v>2811759</v>
      </c>
      <c r="F137" s="944">
        <f>IF(A137='Data Entry - SOF'!B$2,'Report-SOF1819'!D$102,0)</f>
        <v>0</v>
      </c>
      <c r="G137" s="1037">
        <f>IF(A137='Data Entry - SOF'!B$2,'Data Entry - SOF'!E$102,0)</f>
        <v>0</v>
      </c>
      <c r="H137" s="1038">
        <f t="shared" si="14"/>
        <v>2811759</v>
      </c>
      <c r="I137" s="944">
        <f>IF(A137='Data Entry - SOF'!B$2,'Report-SOF1920-HB3'!D$102,0)</f>
        <v>0</v>
      </c>
      <c r="J137" s="1037">
        <f>IF(A137='Data Entry - SOF'!B$2,'Data Entry - SOF'!G$102,0)</f>
        <v>0</v>
      </c>
      <c r="K137" s="717">
        <f t="shared" si="15"/>
        <v>2811759</v>
      </c>
      <c r="L137" s="944">
        <f>IF(A137='Data Entry - SOF'!B$2,'Report-SOF2021'!D$99,0)</f>
        <v>0</v>
      </c>
      <c r="M137" s="723">
        <f>IF(A137='Data Entry - SOF'!B$2,'Data Entry - SOF'!M$102,0)</f>
        <v>0</v>
      </c>
      <c r="N137" s="717">
        <f t="shared" si="16"/>
        <v>2811759</v>
      </c>
      <c r="O137" s="944">
        <f>IF(A137='Data Entry - SOF'!B$2,'Report-SOF2122'!D$91,0)</f>
        <v>0</v>
      </c>
      <c r="P137" s="723">
        <f>IF(A137='Data Entry - SOF'!B$2,'Data Entry - SOF'!O$102,0)</f>
        <v>0</v>
      </c>
      <c r="Q137" s="601">
        <f t="shared" si="13"/>
        <v>2811759</v>
      </c>
      <c r="R137" s="944">
        <f>IF(A137='Data Entry - SOF'!B$2,'Report-SOF2223'!D$91,0)</f>
        <v>0</v>
      </c>
      <c r="S137" s="723">
        <f>IF(A137='Data Entry - SOF'!B$2,'Data Entry - SOF'!Q$102,0)</f>
        <v>0</v>
      </c>
      <c r="T137" s="601">
        <f t="shared" si="17"/>
        <v>2811759</v>
      </c>
      <c r="U137" s="944">
        <f>IF(A137='Data Entry - SOF'!B$2,'Report-SOF2324'!D$91,0)</f>
        <v>0</v>
      </c>
      <c r="V137" s="723">
        <f>IF(A137='Data Entry - SOF'!B$2,'Data Entry - SOF'!S$102,0)</f>
        <v>0</v>
      </c>
    </row>
    <row r="138" spans="1:22" ht="15.75">
      <c r="A138" s="382" t="s">
        <v>1726</v>
      </c>
      <c r="B138" s="91">
        <v>307651</v>
      </c>
      <c r="C138" s="944">
        <f>IF(A138='Data Entry - SOF'!B$2,'Report-SOF1718'!D$102,0)</f>
        <v>0</v>
      </c>
      <c r="D138" s="1037">
        <f>IF(A138='Data Entry - SOF'!B$2,'Data Entry - SOF'!#REF!,0)</f>
        <v>0</v>
      </c>
      <c r="E138" s="91">
        <f t="shared" si="12"/>
        <v>307651</v>
      </c>
      <c r="F138" s="944">
        <f>IF(A138='Data Entry - SOF'!B$2,'Report-SOF1819'!D$102,0)</f>
        <v>0</v>
      </c>
      <c r="G138" s="1037">
        <f>IF(A138='Data Entry - SOF'!B$2,'Data Entry - SOF'!E$102,0)</f>
        <v>0</v>
      </c>
      <c r="H138" s="1038">
        <f t="shared" si="14"/>
        <v>307651</v>
      </c>
      <c r="I138" s="944">
        <f>IF(A138='Data Entry - SOF'!B$2,'Report-SOF1920-HB3'!D$102,0)</f>
        <v>0</v>
      </c>
      <c r="J138" s="1037">
        <f>IF(A138='Data Entry - SOF'!B$2,'Data Entry - SOF'!G$102,0)</f>
        <v>0</v>
      </c>
      <c r="K138" s="717">
        <f t="shared" si="15"/>
        <v>307651</v>
      </c>
      <c r="L138" s="944">
        <f>IF(A138='Data Entry - SOF'!B$2,'Report-SOF2021'!D$99,0)</f>
        <v>0</v>
      </c>
      <c r="M138" s="723">
        <f>IF(A138='Data Entry - SOF'!B$2,'Data Entry - SOF'!M$102,0)</f>
        <v>0</v>
      </c>
      <c r="N138" s="717">
        <f t="shared" si="16"/>
        <v>307651</v>
      </c>
      <c r="O138" s="944">
        <f>IF(A138='Data Entry - SOF'!B$2,'Report-SOF2122'!D$91,0)</f>
        <v>0</v>
      </c>
      <c r="P138" s="723">
        <f>IF(A138='Data Entry - SOF'!B$2,'Data Entry - SOF'!O$102,0)</f>
        <v>0</v>
      </c>
      <c r="Q138" s="601">
        <f t="shared" si="13"/>
        <v>307651</v>
      </c>
      <c r="R138" s="944">
        <f>IF(A138='Data Entry - SOF'!B$2,'Report-SOF2223'!D$91,0)</f>
        <v>0</v>
      </c>
      <c r="S138" s="723">
        <f>IF(A138='Data Entry - SOF'!B$2,'Data Entry - SOF'!Q$102,0)</f>
        <v>0</v>
      </c>
      <c r="T138" s="601">
        <f t="shared" si="17"/>
        <v>307651</v>
      </c>
      <c r="U138" s="944">
        <f>IF(A138='Data Entry - SOF'!B$2,'Report-SOF2324'!D$91,0)</f>
        <v>0</v>
      </c>
      <c r="V138" s="723">
        <f>IF(A138='Data Entry - SOF'!B$2,'Data Entry - SOF'!S$102,0)</f>
        <v>0</v>
      </c>
    </row>
    <row r="139" spans="1:22" ht="15.75">
      <c r="A139" s="382" t="s">
        <v>743</v>
      </c>
      <c r="B139" s="91">
        <v>2731839</v>
      </c>
      <c r="C139" s="944">
        <f>IF(A139='Data Entry - SOF'!B$2,'Report-SOF1718'!D$102,0)</f>
        <v>0</v>
      </c>
      <c r="D139" s="1037">
        <f>IF(A139='Data Entry - SOF'!B$2,'Data Entry - SOF'!#REF!,0)</f>
        <v>0</v>
      </c>
      <c r="E139" s="91">
        <f t="shared" si="12"/>
        <v>2731839</v>
      </c>
      <c r="F139" s="944">
        <f>IF(A139='Data Entry - SOF'!B$2,'Report-SOF1819'!D$102,0)</f>
        <v>0</v>
      </c>
      <c r="G139" s="1037">
        <f>IF(A139='Data Entry - SOF'!B$2,'Data Entry - SOF'!E$102,0)</f>
        <v>0</v>
      </c>
      <c r="H139" s="1038">
        <f t="shared" si="14"/>
        <v>2731839</v>
      </c>
      <c r="I139" s="944">
        <f>IF(A139='Data Entry - SOF'!B$2,'Report-SOF1920-HB3'!D$102,0)</f>
        <v>0</v>
      </c>
      <c r="J139" s="1037">
        <f>IF(A139='Data Entry - SOF'!B$2,'Data Entry - SOF'!G$102,0)</f>
        <v>0</v>
      </c>
      <c r="K139" s="717">
        <f t="shared" si="15"/>
        <v>2731839</v>
      </c>
      <c r="L139" s="944">
        <f>IF(A139='Data Entry - SOF'!B$2,'Report-SOF2021'!D$99,0)</f>
        <v>0</v>
      </c>
      <c r="M139" s="723">
        <f>IF(A139='Data Entry - SOF'!B$2,'Data Entry - SOF'!M$102,0)</f>
        <v>0</v>
      </c>
      <c r="N139" s="717">
        <f t="shared" si="16"/>
        <v>2731839</v>
      </c>
      <c r="O139" s="944">
        <f>IF(A139='Data Entry - SOF'!B$2,'Report-SOF2122'!D$91,0)</f>
        <v>0</v>
      </c>
      <c r="P139" s="723">
        <f>IF(A139='Data Entry - SOF'!B$2,'Data Entry - SOF'!O$102,0)</f>
        <v>0</v>
      </c>
      <c r="Q139" s="601">
        <f t="shared" si="13"/>
        <v>2731839</v>
      </c>
      <c r="R139" s="944">
        <f>IF(A139='Data Entry - SOF'!B$2,'Report-SOF2223'!D$91,0)</f>
        <v>0</v>
      </c>
      <c r="S139" s="723">
        <f>IF(A139='Data Entry - SOF'!B$2,'Data Entry - SOF'!Q$102,0)</f>
        <v>0</v>
      </c>
      <c r="T139" s="601">
        <f t="shared" si="17"/>
        <v>2731839</v>
      </c>
      <c r="U139" s="944">
        <f>IF(A139='Data Entry - SOF'!B$2,'Report-SOF2324'!D$91,0)</f>
        <v>0</v>
      </c>
      <c r="V139" s="723">
        <f>IF(A139='Data Entry - SOF'!B$2,'Data Entry - SOF'!S$102,0)</f>
        <v>0</v>
      </c>
    </row>
    <row r="140" spans="1:22" ht="15.75">
      <c r="A140" s="382" t="s">
        <v>744</v>
      </c>
      <c r="B140" s="91">
        <v>698181</v>
      </c>
      <c r="C140" s="944">
        <f>IF(A140='Data Entry - SOF'!B$2,'Report-SOF1718'!D$102,0)</f>
        <v>0</v>
      </c>
      <c r="D140" s="1037">
        <f>IF(A140='Data Entry - SOF'!B$2,'Data Entry - SOF'!#REF!,0)</f>
        <v>0</v>
      </c>
      <c r="E140" s="91">
        <f t="shared" si="12"/>
        <v>698181</v>
      </c>
      <c r="F140" s="944">
        <f>IF(A140='Data Entry - SOF'!B$2,'Report-SOF1819'!D$102,0)</f>
        <v>0</v>
      </c>
      <c r="G140" s="1037">
        <f>IF(A140='Data Entry - SOF'!B$2,'Data Entry - SOF'!E$102,0)</f>
        <v>0</v>
      </c>
      <c r="H140" s="1038">
        <f t="shared" si="14"/>
        <v>698181</v>
      </c>
      <c r="I140" s="944">
        <f>IF(A140='Data Entry - SOF'!B$2,'Report-SOF1920-HB3'!D$102,0)</f>
        <v>0</v>
      </c>
      <c r="J140" s="1037">
        <f>IF(A140='Data Entry - SOF'!B$2,'Data Entry - SOF'!G$102,0)</f>
        <v>0</v>
      </c>
      <c r="K140" s="717">
        <f t="shared" si="15"/>
        <v>698181</v>
      </c>
      <c r="L140" s="944">
        <f>IF(A140='Data Entry - SOF'!B$2,'Report-SOF2021'!D$99,0)</f>
        <v>0</v>
      </c>
      <c r="M140" s="723">
        <f>IF(A140='Data Entry - SOF'!B$2,'Data Entry - SOF'!M$102,0)</f>
        <v>0</v>
      </c>
      <c r="N140" s="717">
        <f t="shared" si="16"/>
        <v>698181</v>
      </c>
      <c r="O140" s="944">
        <f>IF(A140='Data Entry - SOF'!B$2,'Report-SOF2122'!D$91,0)</f>
        <v>0</v>
      </c>
      <c r="P140" s="723">
        <f>IF(A140='Data Entry - SOF'!B$2,'Data Entry - SOF'!O$102,0)</f>
        <v>0</v>
      </c>
      <c r="Q140" s="601">
        <f t="shared" si="13"/>
        <v>698181</v>
      </c>
      <c r="R140" s="944">
        <f>IF(A140='Data Entry - SOF'!B$2,'Report-SOF2223'!D$91,0)</f>
        <v>0</v>
      </c>
      <c r="S140" s="723">
        <f>IF(A140='Data Entry - SOF'!B$2,'Data Entry - SOF'!Q$102,0)</f>
        <v>0</v>
      </c>
      <c r="T140" s="601">
        <f t="shared" si="17"/>
        <v>698181</v>
      </c>
      <c r="U140" s="944">
        <f>IF(A140='Data Entry - SOF'!B$2,'Report-SOF2324'!D$91,0)</f>
        <v>0</v>
      </c>
      <c r="V140" s="723">
        <f>IF(A140='Data Entry - SOF'!B$2,'Data Entry - SOF'!S$102,0)</f>
        <v>0</v>
      </c>
    </row>
    <row r="141" spans="1:22" ht="15.75">
      <c r="A141" s="382" t="s">
        <v>1875</v>
      </c>
      <c r="B141" s="91">
        <v>99702</v>
      </c>
      <c r="C141" s="944">
        <f>IF(A141='Data Entry - SOF'!B$2,'Report-SOF1718'!D$102,0)</f>
        <v>0</v>
      </c>
      <c r="D141" s="1037">
        <f>IF(A141='Data Entry - SOF'!B$2,'Data Entry - SOF'!#REF!,0)</f>
        <v>0</v>
      </c>
      <c r="E141" s="91">
        <f t="shared" si="12"/>
        <v>99702</v>
      </c>
      <c r="F141" s="944">
        <f>IF(A141='Data Entry - SOF'!B$2,'Report-SOF1819'!D$102,0)</f>
        <v>0</v>
      </c>
      <c r="G141" s="1037">
        <f>IF(A141='Data Entry - SOF'!B$2,'Data Entry - SOF'!E$102,0)</f>
        <v>0</v>
      </c>
      <c r="H141" s="1038">
        <f t="shared" si="14"/>
        <v>99702</v>
      </c>
      <c r="I141" s="944">
        <f>IF(A141='Data Entry - SOF'!B$2,'Report-SOF1920-HB3'!D$102,0)</f>
        <v>0</v>
      </c>
      <c r="J141" s="1037">
        <f>IF(A141='Data Entry - SOF'!B$2,'Data Entry - SOF'!G$102,0)</f>
        <v>0</v>
      </c>
      <c r="K141" s="717">
        <f t="shared" si="15"/>
        <v>99702</v>
      </c>
      <c r="L141" s="944">
        <f>IF(A141='Data Entry - SOF'!B$2,'Report-SOF2021'!D$99,0)</f>
        <v>0</v>
      </c>
      <c r="M141" s="723">
        <f>IF(A141='Data Entry - SOF'!B$2,'Data Entry - SOF'!M$102,0)</f>
        <v>0</v>
      </c>
      <c r="N141" s="717">
        <f t="shared" si="16"/>
        <v>99702</v>
      </c>
      <c r="O141" s="944">
        <f>IF(A141='Data Entry - SOF'!B$2,'Report-SOF2122'!D$91,0)</f>
        <v>0</v>
      </c>
      <c r="P141" s="723">
        <f>IF(A141='Data Entry - SOF'!B$2,'Data Entry - SOF'!O$102,0)</f>
        <v>0</v>
      </c>
      <c r="Q141" s="601">
        <f t="shared" si="13"/>
        <v>99702</v>
      </c>
      <c r="R141" s="944">
        <f>IF(A141='Data Entry - SOF'!B$2,'Report-SOF2223'!D$91,0)</f>
        <v>0</v>
      </c>
      <c r="S141" s="723">
        <f>IF(A141='Data Entry - SOF'!B$2,'Data Entry - SOF'!Q$102,0)</f>
        <v>0</v>
      </c>
      <c r="T141" s="601">
        <f t="shared" si="17"/>
        <v>99702</v>
      </c>
      <c r="U141" s="944">
        <f>IF(A141='Data Entry - SOF'!B$2,'Report-SOF2324'!D$91,0)</f>
        <v>0</v>
      </c>
      <c r="V141" s="723">
        <f>IF(A141='Data Entry - SOF'!B$2,'Data Entry - SOF'!S$102,0)</f>
        <v>0</v>
      </c>
    </row>
    <row r="142" spans="1:22" ht="15.75">
      <c r="A142" s="382" t="s">
        <v>745</v>
      </c>
      <c r="B142" s="91">
        <v>2344450</v>
      </c>
      <c r="C142" s="944">
        <f>IF(A142='Data Entry - SOF'!B$2,'Report-SOF1718'!D$102,0)</f>
        <v>0</v>
      </c>
      <c r="D142" s="1037">
        <f>IF(A142='Data Entry - SOF'!B$2,'Data Entry - SOF'!#REF!,0)</f>
        <v>0</v>
      </c>
      <c r="E142" s="91">
        <f t="shared" si="12"/>
        <v>2344450</v>
      </c>
      <c r="F142" s="944">
        <f>IF(A142='Data Entry - SOF'!B$2,'Report-SOF1819'!D$102,0)</f>
        <v>0</v>
      </c>
      <c r="G142" s="1037">
        <f>IF(A142='Data Entry - SOF'!B$2,'Data Entry - SOF'!E$102,0)</f>
        <v>0</v>
      </c>
      <c r="H142" s="1038">
        <f t="shared" si="14"/>
        <v>2344450</v>
      </c>
      <c r="I142" s="944">
        <f>IF(A142='Data Entry - SOF'!B$2,'Report-SOF1920-HB3'!D$102,0)</f>
        <v>0</v>
      </c>
      <c r="J142" s="1037">
        <f>IF(A142='Data Entry - SOF'!B$2,'Data Entry - SOF'!G$102,0)</f>
        <v>0</v>
      </c>
      <c r="K142" s="717">
        <f t="shared" si="15"/>
        <v>2344450</v>
      </c>
      <c r="L142" s="944">
        <f>IF(A142='Data Entry - SOF'!B$2,'Report-SOF2021'!D$99,0)</f>
        <v>0</v>
      </c>
      <c r="M142" s="723">
        <f>IF(A142='Data Entry - SOF'!B$2,'Data Entry - SOF'!M$102,0)</f>
        <v>0</v>
      </c>
      <c r="N142" s="717">
        <f t="shared" si="16"/>
        <v>2344450</v>
      </c>
      <c r="O142" s="944">
        <f>IF(A142='Data Entry - SOF'!B$2,'Report-SOF2122'!D$91,0)</f>
        <v>0</v>
      </c>
      <c r="P142" s="723">
        <f>IF(A142='Data Entry - SOF'!B$2,'Data Entry - SOF'!O$102,0)</f>
        <v>0</v>
      </c>
      <c r="Q142" s="601">
        <f t="shared" si="13"/>
        <v>2344450</v>
      </c>
      <c r="R142" s="944">
        <f>IF(A142='Data Entry - SOF'!B$2,'Report-SOF2223'!D$91,0)</f>
        <v>0</v>
      </c>
      <c r="S142" s="723">
        <f>IF(A142='Data Entry - SOF'!B$2,'Data Entry - SOF'!Q$102,0)</f>
        <v>0</v>
      </c>
      <c r="T142" s="601">
        <f t="shared" si="17"/>
        <v>2344450</v>
      </c>
      <c r="U142" s="944">
        <f>IF(A142='Data Entry - SOF'!B$2,'Report-SOF2324'!D$91,0)</f>
        <v>0</v>
      </c>
      <c r="V142" s="723">
        <f>IF(A142='Data Entry - SOF'!B$2,'Data Entry - SOF'!S$102,0)</f>
        <v>0</v>
      </c>
    </row>
    <row r="143" spans="1:22" ht="15.75">
      <c r="A143" s="382" t="s">
        <v>1952</v>
      </c>
      <c r="B143" s="91">
        <v>261466</v>
      </c>
      <c r="C143" s="944">
        <f>IF(A143='Data Entry - SOF'!B$2,'Report-SOF1718'!D$102,0)</f>
        <v>0</v>
      </c>
      <c r="D143" s="1037">
        <f>IF(A143='Data Entry - SOF'!B$2,'Data Entry - SOF'!#REF!,0)</f>
        <v>0</v>
      </c>
      <c r="E143" s="91">
        <f t="shared" si="12"/>
        <v>261466</v>
      </c>
      <c r="F143" s="944">
        <f>IF(A143='Data Entry - SOF'!B$2,'Report-SOF1819'!D$102,0)</f>
        <v>0</v>
      </c>
      <c r="G143" s="1037">
        <f>IF(A143='Data Entry - SOF'!B$2,'Data Entry - SOF'!E$102,0)</f>
        <v>0</v>
      </c>
      <c r="H143" s="1038">
        <f t="shared" si="14"/>
        <v>261466</v>
      </c>
      <c r="I143" s="944">
        <f>IF(A143='Data Entry - SOF'!B$2,'Report-SOF1920-HB3'!D$102,0)</f>
        <v>0</v>
      </c>
      <c r="J143" s="1037">
        <f>IF(A143='Data Entry - SOF'!B$2,'Data Entry - SOF'!G$102,0)</f>
        <v>0</v>
      </c>
      <c r="K143" s="717">
        <f t="shared" si="15"/>
        <v>261466</v>
      </c>
      <c r="L143" s="944">
        <f>IF(A143='Data Entry - SOF'!B$2,'Report-SOF2021'!D$99,0)</f>
        <v>0</v>
      </c>
      <c r="M143" s="723">
        <f>IF(A143='Data Entry - SOF'!B$2,'Data Entry - SOF'!M$102,0)</f>
        <v>0</v>
      </c>
      <c r="N143" s="717">
        <f t="shared" si="16"/>
        <v>261466</v>
      </c>
      <c r="O143" s="944">
        <f>IF(A143='Data Entry - SOF'!B$2,'Report-SOF2122'!D$91,0)</f>
        <v>0</v>
      </c>
      <c r="P143" s="723">
        <f>IF(A143='Data Entry - SOF'!B$2,'Data Entry - SOF'!O$102,0)</f>
        <v>0</v>
      </c>
      <c r="Q143" s="601">
        <f t="shared" si="13"/>
        <v>261466</v>
      </c>
      <c r="R143" s="944">
        <f>IF(A143='Data Entry - SOF'!B$2,'Report-SOF2223'!D$91,0)</f>
        <v>0</v>
      </c>
      <c r="S143" s="723">
        <f>IF(A143='Data Entry - SOF'!B$2,'Data Entry - SOF'!Q$102,0)</f>
        <v>0</v>
      </c>
      <c r="T143" s="601">
        <f t="shared" si="17"/>
        <v>261466</v>
      </c>
      <c r="U143" s="944">
        <f>IF(A143='Data Entry - SOF'!B$2,'Report-SOF2324'!D$91,0)</f>
        <v>0</v>
      </c>
      <c r="V143" s="723">
        <f>IF(A143='Data Entry - SOF'!B$2,'Data Entry - SOF'!S$102,0)</f>
        <v>0</v>
      </c>
    </row>
    <row r="144" spans="1:22" ht="15.75">
      <c r="A144" s="382" t="s">
        <v>1953</v>
      </c>
      <c r="B144" s="91">
        <v>8936958</v>
      </c>
      <c r="C144" s="944">
        <f>IF(A144='Data Entry - SOF'!B$2,'Report-SOF1718'!D$102,0)</f>
        <v>0</v>
      </c>
      <c r="D144" s="1037">
        <f>IF(A144='Data Entry - SOF'!B$2,'Data Entry - SOF'!#REF!,0)</f>
        <v>0</v>
      </c>
      <c r="E144" s="91">
        <f t="shared" si="12"/>
        <v>8936958</v>
      </c>
      <c r="F144" s="944">
        <f>IF(A144='Data Entry - SOF'!B$2,'Report-SOF1819'!D$102,0)</f>
        <v>0</v>
      </c>
      <c r="G144" s="1037">
        <f>IF(A144='Data Entry - SOF'!B$2,'Data Entry - SOF'!E$102,0)</f>
        <v>0</v>
      </c>
      <c r="H144" s="1038">
        <f t="shared" si="14"/>
        <v>8936958</v>
      </c>
      <c r="I144" s="944">
        <f>IF(A144='Data Entry - SOF'!B$2,'Report-SOF1920-HB3'!D$102,0)</f>
        <v>0</v>
      </c>
      <c r="J144" s="1037">
        <f>IF(A144='Data Entry - SOF'!B$2,'Data Entry - SOF'!G$102,0)</f>
        <v>0</v>
      </c>
      <c r="K144" s="717">
        <f t="shared" si="15"/>
        <v>8936958</v>
      </c>
      <c r="L144" s="944">
        <f>IF(A144='Data Entry - SOF'!B$2,'Report-SOF2021'!D$99,0)</f>
        <v>0</v>
      </c>
      <c r="M144" s="723">
        <f>IF(A144='Data Entry - SOF'!B$2,'Data Entry - SOF'!M$102,0)</f>
        <v>0</v>
      </c>
      <c r="N144" s="717">
        <f t="shared" si="16"/>
        <v>8936958</v>
      </c>
      <c r="O144" s="944">
        <f>IF(A144='Data Entry - SOF'!B$2,'Report-SOF2122'!D$91,0)</f>
        <v>0</v>
      </c>
      <c r="P144" s="723">
        <f>IF(A144='Data Entry - SOF'!B$2,'Data Entry - SOF'!O$102,0)</f>
        <v>0</v>
      </c>
      <c r="Q144" s="601">
        <f t="shared" si="13"/>
        <v>8936958</v>
      </c>
      <c r="R144" s="944">
        <f>IF(A144='Data Entry - SOF'!B$2,'Report-SOF2223'!D$91,0)</f>
        <v>0</v>
      </c>
      <c r="S144" s="723">
        <f>IF(A144='Data Entry - SOF'!B$2,'Data Entry - SOF'!Q$102,0)</f>
        <v>0</v>
      </c>
      <c r="T144" s="601">
        <f t="shared" si="17"/>
        <v>8936958</v>
      </c>
      <c r="U144" s="944">
        <f>IF(A144='Data Entry - SOF'!B$2,'Report-SOF2324'!D$91,0)</f>
        <v>0</v>
      </c>
      <c r="V144" s="723">
        <f>IF(A144='Data Entry - SOF'!B$2,'Data Entry - SOF'!S$102,0)</f>
        <v>0</v>
      </c>
    </row>
    <row r="145" spans="1:22" ht="15.75">
      <c r="A145" s="382" t="s">
        <v>2431</v>
      </c>
      <c r="B145" s="91">
        <v>836960</v>
      </c>
      <c r="C145" s="944">
        <f>IF(A145='Data Entry - SOF'!B$2,'Report-SOF1718'!D$102,0)</f>
        <v>0</v>
      </c>
      <c r="D145" s="1037">
        <f>IF(A145='Data Entry - SOF'!B$2,'Data Entry - SOF'!#REF!,0)</f>
        <v>0</v>
      </c>
      <c r="E145" s="91">
        <f t="shared" si="12"/>
        <v>836960</v>
      </c>
      <c r="F145" s="944">
        <f>IF(A145='Data Entry - SOF'!B$2,'Report-SOF1819'!D$102,0)</f>
        <v>0</v>
      </c>
      <c r="G145" s="1037">
        <f>IF(A145='Data Entry - SOF'!B$2,'Data Entry - SOF'!E$102,0)</f>
        <v>0</v>
      </c>
      <c r="H145" s="1038">
        <f t="shared" si="14"/>
        <v>836960</v>
      </c>
      <c r="I145" s="944">
        <f>IF(A145='Data Entry - SOF'!B$2,'Report-SOF1920-HB3'!D$102,0)</f>
        <v>0</v>
      </c>
      <c r="J145" s="1037">
        <f>IF(A145='Data Entry - SOF'!B$2,'Data Entry - SOF'!G$102,0)</f>
        <v>0</v>
      </c>
      <c r="K145" s="717">
        <f t="shared" si="15"/>
        <v>836960</v>
      </c>
      <c r="L145" s="944">
        <f>IF(A145='Data Entry - SOF'!B$2,'Report-SOF2021'!D$99,0)</f>
        <v>0</v>
      </c>
      <c r="M145" s="723">
        <f>IF(A145='Data Entry - SOF'!B$2,'Data Entry - SOF'!M$102,0)</f>
        <v>0</v>
      </c>
      <c r="N145" s="717">
        <f t="shared" si="16"/>
        <v>836960</v>
      </c>
      <c r="O145" s="944">
        <f>IF(A145='Data Entry - SOF'!B$2,'Report-SOF2122'!D$91,0)</f>
        <v>0</v>
      </c>
      <c r="P145" s="723">
        <f>IF(A145='Data Entry - SOF'!B$2,'Data Entry - SOF'!O$102,0)</f>
        <v>0</v>
      </c>
      <c r="Q145" s="601">
        <f t="shared" si="13"/>
        <v>836960</v>
      </c>
      <c r="R145" s="944">
        <f>IF(A145='Data Entry - SOF'!B$2,'Report-SOF2223'!D$91,0)</f>
        <v>0</v>
      </c>
      <c r="S145" s="723">
        <f>IF(A145='Data Entry - SOF'!B$2,'Data Entry - SOF'!Q$102,0)</f>
        <v>0</v>
      </c>
      <c r="T145" s="601">
        <f t="shared" si="17"/>
        <v>836960</v>
      </c>
      <c r="U145" s="944">
        <f>IF(A145='Data Entry - SOF'!B$2,'Report-SOF2324'!D$91,0)</f>
        <v>0</v>
      </c>
      <c r="V145" s="723">
        <f>IF(A145='Data Entry - SOF'!B$2,'Data Entry - SOF'!S$102,0)</f>
        <v>0</v>
      </c>
    </row>
    <row r="146" spans="1:22" ht="15.75">
      <c r="A146" s="382" t="s">
        <v>2539</v>
      </c>
      <c r="B146" s="91">
        <v>859837</v>
      </c>
      <c r="C146" s="944">
        <f>IF(A146='Data Entry - SOF'!B$2,'Report-SOF1718'!D$102,0)</f>
        <v>0</v>
      </c>
      <c r="D146" s="1037">
        <f>IF(A146='Data Entry - SOF'!B$2,'Data Entry - SOF'!#REF!,0)</f>
        <v>0</v>
      </c>
      <c r="E146" s="91">
        <f t="shared" si="12"/>
        <v>859837</v>
      </c>
      <c r="F146" s="944">
        <f>IF(A146='Data Entry - SOF'!B$2,'Report-SOF1819'!D$102,0)</f>
        <v>0</v>
      </c>
      <c r="G146" s="1037">
        <f>IF(A146='Data Entry - SOF'!B$2,'Data Entry - SOF'!E$102,0)</f>
        <v>0</v>
      </c>
      <c r="H146" s="1038">
        <f t="shared" si="14"/>
        <v>859837</v>
      </c>
      <c r="I146" s="944">
        <f>IF(A146='Data Entry - SOF'!B$2,'Report-SOF1920-HB3'!D$102,0)</f>
        <v>0</v>
      </c>
      <c r="J146" s="1037">
        <f>IF(A146='Data Entry - SOF'!B$2,'Data Entry - SOF'!G$102,0)</f>
        <v>0</v>
      </c>
      <c r="K146" s="717">
        <f t="shared" si="15"/>
        <v>859837</v>
      </c>
      <c r="L146" s="944">
        <f>IF(A146='Data Entry - SOF'!B$2,'Report-SOF2021'!D$99,0)</f>
        <v>0</v>
      </c>
      <c r="M146" s="723">
        <f>IF(A146='Data Entry - SOF'!B$2,'Data Entry - SOF'!M$102,0)</f>
        <v>0</v>
      </c>
      <c r="N146" s="717">
        <f t="shared" si="16"/>
        <v>859837</v>
      </c>
      <c r="O146" s="944">
        <f>IF(A146='Data Entry - SOF'!B$2,'Report-SOF2122'!D$91,0)</f>
        <v>0</v>
      </c>
      <c r="P146" s="723">
        <f>IF(A146='Data Entry - SOF'!B$2,'Data Entry - SOF'!O$102,0)</f>
        <v>0</v>
      </c>
      <c r="Q146" s="601">
        <f t="shared" si="13"/>
        <v>859837</v>
      </c>
      <c r="R146" s="944">
        <f>IF(A146='Data Entry - SOF'!B$2,'Report-SOF2223'!D$91,0)</f>
        <v>0</v>
      </c>
      <c r="S146" s="723">
        <f>IF(A146='Data Entry - SOF'!B$2,'Data Entry - SOF'!Q$102,0)</f>
        <v>0</v>
      </c>
      <c r="T146" s="601">
        <f t="shared" si="17"/>
        <v>859837</v>
      </c>
      <c r="U146" s="944">
        <f>IF(A146='Data Entry - SOF'!B$2,'Report-SOF2324'!D$91,0)</f>
        <v>0</v>
      </c>
      <c r="V146" s="723">
        <f>IF(A146='Data Entry - SOF'!B$2,'Data Entry - SOF'!S$102,0)</f>
        <v>0</v>
      </c>
    </row>
    <row r="147" spans="1:22" ht="15.75">
      <c r="A147" s="382" t="s">
        <v>1640</v>
      </c>
      <c r="B147" s="91">
        <v>5933526</v>
      </c>
      <c r="C147" s="944">
        <f>IF(A147='Data Entry - SOF'!B$2,'Report-SOF1718'!D$102,0)</f>
        <v>0</v>
      </c>
      <c r="D147" s="1037">
        <f>IF(A147='Data Entry - SOF'!B$2,'Data Entry - SOF'!#REF!,0)</f>
        <v>0</v>
      </c>
      <c r="E147" s="91">
        <f t="shared" si="12"/>
        <v>5933526</v>
      </c>
      <c r="F147" s="944">
        <f>IF(A147='Data Entry - SOF'!B$2,'Report-SOF1819'!D$102,0)</f>
        <v>0</v>
      </c>
      <c r="G147" s="1037">
        <f>IF(A147='Data Entry - SOF'!B$2,'Data Entry - SOF'!E$102,0)</f>
        <v>0</v>
      </c>
      <c r="H147" s="1038">
        <f t="shared" si="14"/>
        <v>5933526</v>
      </c>
      <c r="I147" s="944">
        <f>IF(A147='Data Entry - SOF'!B$2,'Report-SOF1920-HB3'!D$102,0)</f>
        <v>0</v>
      </c>
      <c r="J147" s="1037">
        <f>IF(A147='Data Entry - SOF'!B$2,'Data Entry - SOF'!G$102,0)</f>
        <v>0</v>
      </c>
      <c r="K147" s="717">
        <f t="shared" si="15"/>
        <v>5933526</v>
      </c>
      <c r="L147" s="944">
        <f>IF(A147='Data Entry - SOF'!B$2,'Report-SOF2021'!D$99,0)</f>
        <v>0</v>
      </c>
      <c r="M147" s="723">
        <f>IF(A147='Data Entry - SOF'!B$2,'Data Entry - SOF'!M$102,0)</f>
        <v>0</v>
      </c>
      <c r="N147" s="717">
        <f t="shared" si="16"/>
        <v>5933526</v>
      </c>
      <c r="O147" s="944">
        <f>IF(A147='Data Entry - SOF'!B$2,'Report-SOF2122'!D$91,0)</f>
        <v>0</v>
      </c>
      <c r="P147" s="723">
        <f>IF(A147='Data Entry - SOF'!B$2,'Data Entry - SOF'!O$102,0)</f>
        <v>0</v>
      </c>
      <c r="Q147" s="601">
        <f t="shared" si="13"/>
        <v>5933526</v>
      </c>
      <c r="R147" s="944">
        <f>IF(A147='Data Entry - SOF'!B$2,'Report-SOF2223'!D$91,0)</f>
        <v>0</v>
      </c>
      <c r="S147" s="723">
        <f>IF(A147='Data Entry - SOF'!B$2,'Data Entry - SOF'!Q$102,0)</f>
        <v>0</v>
      </c>
      <c r="T147" s="601">
        <f t="shared" si="17"/>
        <v>5933526</v>
      </c>
      <c r="U147" s="944">
        <f>IF(A147='Data Entry - SOF'!B$2,'Report-SOF2324'!D$91,0)</f>
        <v>0</v>
      </c>
      <c r="V147" s="723">
        <f>IF(A147='Data Entry - SOF'!B$2,'Data Entry - SOF'!S$102,0)</f>
        <v>0</v>
      </c>
    </row>
    <row r="148" spans="1:22" ht="15.75">
      <c r="A148" s="382" t="s">
        <v>2432</v>
      </c>
      <c r="B148" s="91">
        <v>98718829</v>
      </c>
      <c r="C148" s="944">
        <f>IF(A148='Data Entry - SOF'!B$2,'Report-SOF1718'!D$102,0)</f>
        <v>0</v>
      </c>
      <c r="D148" s="1037">
        <f>IF(A148='Data Entry - SOF'!B$2,'Data Entry - SOF'!#REF!,0)</f>
        <v>0</v>
      </c>
      <c r="E148" s="91">
        <f t="shared" si="12"/>
        <v>98718829</v>
      </c>
      <c r="F148" s="944">
        <f>IF(A148='Data Entry - SOF'!B$2,'Report-SOF1819'!D$102,0)</f>
        <v>0</v>
      </c>
      <c r="G148" s="1037">
        <f>IF(A148='Data Entry - SOF'!B$2,'Data Entry - SOF'!E$102,0)</f>
        <v>0</v>
      </c>
      <c r="H148" s="1038">
        <f t="shared" si="14"/>
        <v>98718829</v>
      </c>
      <c r="I148" s="944">
        <f>IF(A148='Data Entry - SOF'!B$2,'Report-SOF1920-HB3'!D$102,0)</f>
        <v>0</v>
      </c>
      <c r="J148" s="1037">
        <f>IF(A148='Data Entry - SOF'!B$2,'Data Entry - SOF'!G$102,0)</f>
        <v>0</v>
      </c>
      <c r="K148" s="717">
        <f t="shared" si="15"/>
        <v>98718829</v>
      </c>
      <c r="L148" s="944">
        <f>IF(A148='Data Entry - SOF'!B$2,'Report-SOF2021'!D$99,0)</f>
        <v>0</v>
      </c>
      <c r="M148" s="723">
        <f>IF(A148='Data Entry - SOF'!B$2,'Data Entry - SOF'!M$102,0)</f>
        <v>0</v>
      </c>
      <c r="N148" s="717">
        <f t="shared" si="16"/>
        <v>98718829</v>
      </c>
      <c r="O148" s="944">
        <f>IF(A148='Data Entry - SOF'!B$2,'Report-SOF2122'!D$91,0)</f>
        <v>0</v>
      </c>
      <c r="P148" s="723">
        <f>IF(A148='Data Entry - SOF'!B$2,'Data Entry - SOF'!O$102,0)</f>
        <v>0</v>
      </c>
      <c r="Q148" s="601">
        <f t="shared" si="13"/>
        <v>98718829</v>
      </c>
      <c r="R148" s="944">
        <f>IF(A148='Data Entry - SOF'!B$2,'Report-SOF2223'!D$91,0)</f>
        <v>0</v>
      </c>
      <c r="S148" s="723">
        <f>IF(A148='Data Entry - SOF'!B$2,'Data Entry - SOF'!Q$102,0)</f>
        <v>0</v>
      </c>
      <c r="T148" s="601">
        <f t="shared" si="17"/>
        <v>98718829</v>
      </c>
      <c r="U148" s="944">
        <f>IF(A148='Data Entry - SOF'!B$2,'Report-SOF2324'!D$91,0)</f>
        <v>0</v>
      </c>
      <c r="V148" s="723">
        <f>IF(A148='Data Entry - SOF'!B$2,'Data Entry - SOF'!S$102,0)</f>
        <v>0</v>
      </c>
    </row>
    <row r="149" spans="1:22" ht="15.75">
      <c r="A149" s="382" t="s">
        <v>285</v>
      </c>
      <c r="B149" s="91">
        <v>2897919</v>
      </c>
      <c r="C149" s="944">
        <f>IF(A149='Data Entry - SOF'!B$2,'Report-SOF1718'!D$102,0)</f>
        <v>0</v>
      </c>
      <c r="D149" s="1037">
        <f>IF(A149='Data Entry - SOF'!B$2,'Data Entry - SOF'!#REF!,0)</f>
        <v>0</v>
      </c>
      <c r="E149" s="91">
        <f t="shared" si="12"/>
        <v>2897919</v>
      </c>
      <c r="F149" s="944">
        <f>IF(A149='Data Entry - SOF'!B$2,'Report-SOF1819'!D$102,0)</f>
        <v>0</v>
      </c>
      <c r="G149" s="1037">
        <f>IF(A149='Data Entry - SOF'!B$2,'Data Entry - SOF'!E$102,0)</f>
        <v>0</v>
      </c>
      <c r="H149" s="1038">
        <f t="shared" si="14"/>
        <v>2897919</v>
      </c>
      <c r="I149" s="944">
        <f>IF(A149='Data Entry - SOF'!B$2,'Report-SOF1920-HB3'!D$102,0)</f>
        <v>0</v>
      </c>
      <c r="J149" s="1037">
        <f>IF(A149='Data Entry - SOF'!B$2,'Data Entry - SOF'!G$102,0)</f>
        <v>0</v>
      </c>
      <c r="K149" s="717">
        <f t="shared" si="15"/>
        <v>2897919</v>
      </c>
      <c r="L149" s="944">
        <f>IF(A149='Data Entry - SOF'!B$2,'Report-SOF2021'!D$99,0)</f>
        <v>0</v>
      </c>
      <c r="M149" s="723">
        <f>IF(A149='Data Entry - SOF'!B$2,'Data Entry - SOF'!M$102,0)</f>
        <v>0</v>
      </c>
      <c r="N149" s="717">
        <f t="shared" si="16"/>
        <v>2897919</v>
      </c>
      <c r="O149" s="944">
        <f>IF(A149='Data Entry - SOF'!B$2,'Report-SOF2122'!D$91,0)</f>
        <v>0</v>
      </c>
      <c r="P149" s="723">
        <f>IF(A149='Data Entry - SOF'!B$2,'Data Entry - SOF'!O$102,0)</f>
        <v>0</v>
      </c>
      <c r="Q149" s="601">
        <f t="shared" si="13"/>
        <v>2897919</v>
      </c>
      <c r="R149" s="944">
        <f>IF(A149='Data Entry - SOF'!B$2,'Report-SOF2223'!D$91,0)</f>
        <v>0</v>
      </c>
      <c r="S149" s="723">
        <f>IF(A149='Data Entry - SOF'!B$2,'Data Entry - SOF'!Q$102,0)</f>
        <v>0</v>
      </c>
      <c r="T149" s="601">
        <f t="shared" si="17"/>
        <v>2897919</v>
      </c>
      <c r="U149" s="944">
        <f>IF(A149='Data Entry - SOF'!B$2,'Report-SOF2324'!D$91,0)</f>
        <v>0</v>
      </c>
      <c r="V149" s="723">
        <f>IF(A149='Data Entry - SOF'!B$2,'Data Entry - SOF'!S$102,0)</f>
        <v>0</v>
      </c>
    </row>
    <row r="150" spans="1:22" ht="15.75">
      <c r="A150" s="382" t="s">
        <v>1469</v>
      </c>
      <c r="B150" s="91">
        <v>1079584</v>
      </c>
      <c r="C150" s="944">
        <f>IF(A150='Data Entry - SOF'!B$2,'Report-SOF1718'!D$102,0)</f>
        <v>0</v>
      </c>
      <c r="D150" s="1037">
        <f>IF(A150='Data Entry - SOF'!B$2,'Data Entry - SOF'!#REF!,0)</f>
        <v>0</v>
      </c>
      <c r="E150" s="91">
        <f t="shared" si="12"/>
        <v>1079584</v>
      </c>
      <c r="F150" s="944">
        <f>IF(A150='Data Entry - SOF'!B$2,'Report-SOF1819'!D$102,0)</f>
        <v>0</v>
      </c>
      <c r="G150" s="1037">
        <f>IF(A150='Data Entry - SOF'!B$2,'Data Entry - SOF'!E$102,0)</f>
        <v>0</v>
      </c>
      <c r="H150" s="1038">
        <f t="shared" si="14"/>
        <v>1079584</v>
      </c>
      <c r="I150" s="944">
        <f>IF(A150='Data Entry - SOF'!B$2,'Report-SOF1920-HB3'!D$102,0)</f>
        <v>0</v>
      </c>
      <c r="J150" s="1037">
        <f>IF(A150='Data Entry - SOF'!B$2,'Data Entry - SOF'!G$102,0)</f>
        <v>0</v>
      </c>
      <c r="K150" s="717">
        <f t="shared" si="15"/>
        <v>1079584</v>
      </c>
      <c r="L150" s="944">
        <f>IF(A150='Data Entry - SOF'!B$2,'Report-SOF2021'!D$99,0)</f>
        <v>0</v>
      </c>
      <c r="M150" s="723">
        <f>IF(A150='Data Entry - SOF'!B$2,'Data Entry - SOF'!M$102,0)</f>
        <v>0</v>
      </c>
      <c r="N150" s="717">
        <f t="shared" si="16"/>
        <v>1079584</v>
      </c>
      <c r="O150" s="944">
        <f>IF(A150='Data Entry - SOF'!B$2,'Report-SOF2122'!D$91,0)</f>
        <v>0</v>
      </c>
      <c r="P150" s="723">
        <f>IF(A150='Data Entry - SOF'!B$2,'Data Entry - SOF'!O$102,0)</f>
        <v>0</v>
      </c>
      <c r="Q150" s="601">
        <f t="shared" si="13"/>
        <v>1079584</v>
      </c>
      <c r="R150" s="944">
        <f>IF(A150='Data Entry - SOF'!B$2,'Report-SOF2223'!D$91,0)</f>
        <v>0</v>
      </c>
      <c r="S150" s="723">
        <f>IF(A150='Data Entry - SOF'!B$2,'Data Entry - SOF'!Q$102,0)</f>
        <v>0</v>
      </c>
      <c r="T150" s="601">
        <f t="shared" si="17"/>
        <v>1079584</v>
      </c>
      <c r="U150" s="944">
        <f>IF(A150='Data Entry - SOF'!B$2,'Report-SOF2324'!D$91,0)</f>
        <v>0</v>
      </c>
      <c r="V150" s="723">
        <f>IF(A150='Data Entry - SOF'!B$2,'Data Entry - SOF'!S$102,0)</f>
        <v>0</v>
      </c>
    </row>
    <row r="151" spans="1:22" ht="15.75">
      <c r="A151" s="382" t="s">
        <v>43</v>
      </c>
      <c r="B151" s="91">
        <v>8662629</v>
      </c>
      <c r="C151" s="944">
        <f>IF(A151='Data Entry - SOF'!B$2,'Report-SOF1718'!D$102,0)</f>
        <v>0</v>
      </c>
      <c r="D151" s="1037">
        <f>IF(A151='Data Entry - SOF'!B$2,'Data Entry - SOF'!#REF!,0)</f>
        <v>0</v>
      </c>
      <c r="E151" s="91">
        <f t="shared" si="12"/>
        <v>8662629</v>
      </c>
      <c r="F151" s="944">
        <f>IF(A151='Data Entry - SOF'!B$2,'Report-SOF1819'!D$102,0)</f>
        <v>0</v>
      </c>
      <c r="G151" s="1037">
        <f>IF(A151='Data Entry - SOF'!B$2,'Data Entry - SOF'!E$102,0)</f>
        <v>0</v>
      </c>
      <c r="H151" s="1038">
        <f t="shared" si="14"/>
        <v>8662629</v>
      </c>
      <c r="I151" s="944">
        <f>IF(A151='Data Entry - SOF'!B$2,'Report-SOF1920-HB3'!D$102,0)</f>
        <v>0</v>
      </c>
      <c r="J151" s="1037">
        <f>IF(A151='Data Entry - SOF'!B$2,'Data Entry - SOF'!G$102,0)</f>
        <v>0</v>
      </c>
      <c r="K151" s="717">
        <f t="shared" si="15"/>
        <v>8662629</v>
      </c>
      <c r="L151" s="944">
        <f>IF(A151='Data Entry - SOF'!B$2,'Report-SOF2021'!D$99,0)</f>
        <v>0</v>
      </c>
      <c r="M151" s="723">
        <f>IF(A151='Data Entry - SOF'!B$2,'Data Entry - SOF'!M$102,0)</f>
        <v>0</v>
      </c>
      <c r="N151" s="717">
        <f t="shared" si="16"/>
        <v>8662629</v>
      </c>
      <c r="O151" s="944">
        <f>IF(A151='Data Entry - SOF'!B$2,'Report-SOF2122'!D$91,0)</f>
        <v>0</v>
      </c>
      <c r="P151" s="723">
        <f>IF(A151='Data Entry - SOF'!B$2,'Data Entry - SOF'!O$102,0)</f>
        <v>0</v>
      </c>
      <c r="Q151" s="601">
        <f t="shared" si="13"/>
        <v>8662629</v>
      </c>
      <c r="R151" s="944">
        <f>IF(A151='Data Entry - SOF'!B$2,'Report-SOF2223'!D$91,0)</f>
        <v>0</v>
      </c>
      <c r="S151" s="723">
        <f>IF(A151='Data Entry - SOF'!B$2,'Data Entry - SOF'!Q$102,0)</f>
        <v>0</v>
      </c>
      <c r="T151" s="601">
        <f t="shared" si="17"/>
        <v>8662629</v>
      </c>
      <c r="U151" s="944">
        <f>IF(A151='Data Entry - SOF'!B$2,'Report-SOF2324'!D$91,0)</f>
        <v>0</v>
      </c>
      <c r="V151" s="723">
        <f>IF(A151='Data Entry - SOF'!B$2,'Data Entry - SOF'!S$102,0)</f>
        <v>0</v>
      </c>
    </row>
    <row r="152" spans="1:22" ht="15.75">
      <c r="A152" s="382" t="s">
        <v>1311</v>
      </c>
      <c r="B152" s="91">
        <v>1141688</v>
      </c>
      <c r="C152" s="944">
        <f>IF(A152='Data Entry - SOF'!B$2,'Report-SOF1718'!D$102,0)</f>
        <v>0</v>
      </c>
      <c r="D152" s="1037">
        <f>IF(A152='Data Entry - SOF'!B$2,'Data Entry - SOF'!#REF!,0)</f>
        <v>0</v>
      </c>
      <c r="E152" s="91">
        <f t="shared" si="12"/>
        <v>1141688</v>
      </c>
      <c r="F152" s="944">
        <f>IF(A152='Data Entry - SOF'!B$2,'Report-SOF1819'!D$102,0)</f>
        <v>0</v>
      </c>
      <c r="G152" s="1037">
        <f>IF(A152='Data Entry - SOF'!B$2,'Data Entry - SOF'!E$102,0)</f>
        <v>0</v>
      </c>
      <c r="H152" s="1038">
        <f t="shared" si="14"/>
        <v>1141688</v>
      </c>
      <c r="I152" s="944">
        <f>IF(A152='Data Entry - SOF'!B$2,'Report-SOF1920-HB3'!D$102,0)</f>
        <v>0</v>
      </c>
      <c r="J152" s="1037">
        <f>IF(A152='Data Entry - SOF'!B$2,'Data Entry - SOF'!G$102,0)</f>
        <v>0</v>
      </c>
      <c r="K152" s="717">
        <f t="shared" si="15"/>
        <v>1141688</v>
      </c>
      <c r="L152" s="944">
        <f>IF(A152='Data Entry - SOF'!B$2,'Report-SOF2021'!D$99,0)</f>
        <v>0</v>
      </c>
      <c r="M152" s="723">
        <f>IF(A152='Data Entry - SOF'!B$2,'Data Entry - SOF'!M$102,0)</f>
        <v>0</v>
      </c>
      <c r="N152" s="717">
        <f t="shared" si="16"/>
        <v>1141688</v>
      </c>
      <c r="O152" s="944">
        <f>IF(A152='Data Entry - SOF'!B$2,'Report-SOF2122'!D$91,0)</f>
        <v>0</v>
      </c>
      <c r="P152" s="723">
        <f>IF(A152='Data Entry - SOF'!B$2,'Data Entry - SOF'!O$102,0)</f>
        <v>0</v>
      </c>
      <c r="Q152" s="601">
        <f t="shared" si="13"/>
        <v>1141688</v>
      </c>
      <c r="R152" s="944">
        <f>IF(A152='Data Entry - SOF'!B$2,'Report-SOF2223'!D$91,0)</f>
        <v>0</v>
      </c>
      <c r="S152" s="723">
        <f>IF(A152='Data Entry - SOF'!B$2,'Data Entry - SOF'!Q$102,0)</f>
        <v>0</v>
      </c>
      <c r="T152" s="601">
        <f t="shared" si="17"/>
        <v>1141688</v>
      </c>
      <c r="U152" s="944">
        <f>IF(A152='Data Entry - SOF'!B$2,'Report-SOF2324'!D$91,0)</f>
        <v>0</v>
      </c>
      <c r="V152" s="723">
        <f>IF(A152='Data Entry - SOF'!B$2,'Data Entry - SOF'!S$102,0)</f>
        <v>0</v>
      </c>
    </row>
    <row r="153" spans="1:22" ht="15.75">
      <c r="A153" s="382" t="s">
        <v>2542</v>
      </c>
      <c r="B153" s="91">
        <v>475217</v>
      </c>
      <c r="C153" s="944">
        <f>IF(A153='Data Entry - SOF'!B$2,'Report-SOF1718'!D$102,0)</f>
        <v>0</v>
      </c>
      <c r="D153" s="1037">
        <f>IF(A153='Data Entry - SOF'!B$2,'Data Entry - SOF'!#REF!,0)</f>
        <v>0</v>
      </c>
      <c r="E153" s="91">
        <f t="shared" si="12"/>
        <v>475217</v>
      </c>
      <c r="F153" s="944">
        <f>IF(A153='Data Entry - SOF'!B$2,'Report-SOF1819'!D$102,0)</f>
        <v>0</v>
      </c>
      <c r="G153" s="1037">
        <f>IF(A153='Data Entry - SOF'!B$2,'Data Entry - SOF'!E$102,0)</f>
        <v>0</v>
      </c>
      <c r="H153" s="1038">
        <f t="shared" si="14"/>
        <v>475217</v>
      </c>
      <c r="I153" s="944">
        <f>IF(A153='Data Entry - SOF'!B$2,'Report-SOF1920-HB3'!D$102,0)</f>
        <v>0</v>
      </c>
      <c r="J153" s="1037">
        <f>IF(A153='Data Entry - SOF'!B$2,'Data Entry - SOF'!G$102,0)</f>
        <v>0</v>
      </c>
      <c r="K153" s="717">
        <f t="shared" si="15"/>
        <v>475217</v>
      </c>
      <c r="L153" s="944">
        <f>IF(A153='Data Entry - SOF'!B$2,'Report-SOF2021'!D$99,0)</f>
        <v>0</v>
      </c>
      <c r="M153" s="723">
        <f>IF(A153='Data Entry - SOF'!B$2,'Data Entry - SOF'!M$102,0)</f>
        <v>0</v>
      </c>
      <c r="N153" s="717">
        <f t="shared" si="16"/>
        <v>475217</v>
      </c>
      <c r="O153" s="944">
        <f>IF(A153='Data Entry - SOF'!B$2,'Report-SOF2122'!D$91,0)</f>
        <v>0</v>
      </c>
      <c r="P153" s="723">
        <f>IF(A153='Data Entry - SOF'!B$2,'Data Entry - SOF'!O$102,0)</f>
        <v>0</v>
      </c>
      <c r="Q153" s="601">
        <f t="shared" si="13"/>
        <v>475217</v>
      </c>
      <c r="R153" s="944">
        <f>IF(A153='Data Entry - SOF'!B$2,'Report-SOF2223'!D$91,0)</f>
        <v>0</v>
      </c>
      <c r="S153" s="723">
        <f>IF(A153='Data Entry - SOF'!B$2,'Data Entry - SOF'!Q$102,0)</f>
        <v>0</v>
      </c>
      <c r="T153" s="601">
        <f t="shared" si="17"/>
        <v>475217</v>
      </c>
      <c r="U153" s="944">
        <f>IF(A153='Data Entry - SOF'!B$2,'Report-SOF2324'!D$91,0)</f>
        <v>0</v>
      </c>
      <c r="V153" s="723">
        <f>IF(A153='Data Entry - SOF'!B$2,'Data Entry - SOF'!S$102,0)</f>
        <v>0</v>
      </c>
    </row>
    <row r="154" spans="1:22" ht="15.75">
      <c r="A154" s="382" t="s">
        <v>1470</v>
      </c>
      <c r="B154" s="91">
        <v>1931053</v>
      </c>
      <c r="C154" s="944">
        <f>IF(A154='Data Entry - SOF'!B$2,'Report-SOF1718'!D$102,0)</f>
        <v>0</v>
      </c>
      <c r="D154" s="1037">
        <f>IF(A154='Data Entry - SOF'!B$2,'Data Entry - SOF'!#REF!,0)</f>
        <v>0</v>
      </c>
      <c r="E154" s="91">
        <f t="shared" si="12"/>
        <v>1931053</v>
      </c>
      <c r="F154" s="944">
        <f>IF(A154='Data Entry - SOF'!B$2,'Report-SOF1819'!D$102,0)</f>
        <v>0</v>
      </c>
      <c r="G154" s="1037">
        <f>IF(A154='Data Entry - SOF'!B$2,'Data Entry - SOF'!E$102,0)</f>
        <v>0</v>
      </c>
      <c r="H154" s="1038">
        <f t="shared" si="14"/>
        <v>1931053</v>
      </c>
      <c r="I154" s="944">
        <f>IF(A154='Data Entry - SOF'!B$2,'Report-SOF1920-HB3'!D$102,0)</f>
        <v>0</v>
      </c>
      <c r="J154" s="1037">
        <f>IF(A154='Data Entry - SOF'!B$2,'Data Entry - SOF'!G$102,0)</f>
        <v>0</v>
      </c>
      <c r="K154" s="717">
        <f t="shared" si="15"/>
        <v>1931053</v>
      </c>
      <c r="L154" s="944">
        <f>IF(A154='Data Entry - SOF'!B$2,'Report-SOF2021'!D$99,0)</f>
        <v>0</v>
      </c>
      <c r="M154" s="723">
        <f>IF(A154='Data Entry - SOF'!B$2,'Data Entry - SOF'!M$102,0)</f>
        <v>0</v>
      </c>
      <c r="N154" s="717">
        <f t="shared" si="16"/>
        <v>1931053</v>
      </c>
      <c r="O154" s="944">
        <f>IF(A154='Data Entry - SOF'!B$2,'Report-SOF2122'!D$91,0)</f>
        <v>0</v>
      </c>
      <c r="P154" s="723">
        <f>IF(A154='Data Entry - SOF'!B$2,'Data Entry - SOF'!O$102,0)</f>
        <v>0</v>
      </c>
      <c r="Q154" s="601">
        <f t="shared" si="13"/>
        <v>1931053</v>
      </c>
      <c r="R154" s="944">
        <f>IF(A154='Data Entry - SOF'!B$2,'Report-SOF2223'!D$91,0)</f>
        <v>0</v>
      </c>
      <c r="S154" s="723">
        <f>IF(A154='Data Entry - SOF'!B$2,'Data Entry - SOF'!Q$102,0)</f>
        <v>0</v>
      </c>
      <c r="T154" s="601">
        <f t="shared" si="17"/>
        <v>1931053</v>
      </c>
      <c r="U154" s="944">
        <f>IF(A154='Data Entry - SOF'!B$2,'Report-SOF2324'!D$91,0)</f>
        <v>0</v>
      </c>
      <c r="V154" s="723">
        <f>IF(A154='Data Entry - SOF'!B$2,'Data Entry - SOF'!S$102,0)</f>
        <v>0</v>
      </c>
    </row>
    <row r="155" spans="1:22" ht="15.75">
      <c r="A155" s="382" t="s">
        <v>71</v>
      </c>
      <c r="B155" s="91">
        <v>2956350</v>
      </c>
      <c r="C155" s="944">
        <f>IF(A155='Data Entry - SOF'!B$2,'Report-SOF1718'!D$102,0)</f>
        <v>0</v>
      </c>
      <c r="D155" s="1037">
        <f>IF(A155='Data Entry - SOF'!B$2,'Data Entry - SOF'!#REF!,0)</f>
        <v>0</v>
      </c>
      <c r="E155" s="91">
        <f t="shared" si="12"/>
        <v>2956350</v>
      </c>
      <c r="F155" s="944">
        <f>IF(A155='Data Entry - SOF'!B$2,'Report-SOF1819'!D$102,0)</f>
        <v>0</v>
      </c>
      <c r="G155" s="1037">
        <f>IF(A155='Data Entry - SOF'!B$2,'Data Entry - SOF'!E$102,0)</f>
        <v>0</v>
      </c>
      <c r="H155" s="1038">
        <f t="shared" si="14"/>
        <v>2956350</v>
      </c>
      <c r="I155" s="944">
        <f>IF(A155='Data Entry - SOF'!B$2,'Report-SOF1920-HB3'!D$102,0)</f>
        <v>0</v>
      </c>
      <c r="J155" s="1037">
        <f>IF(A155='Data Entry - SOF'!B$2,'Data Entry - SOF'!G$102,0)</f>
        <v>0</v>
      </c>
      <c r="K155" s="717">
        <f t="shared" si="15"/>
        <v>2956350</v>
      </c>
      <c r="L155" s="944">
        <f>IF(A155='Data Entry - SOF'!B$2,'Report-SOF2021'!D$99,0)</f>
        <v>0</v>
      </c>
      <c r="M155" s="723">
        <f>IF(A155='Data Entry - SOF'!B$2,'Data Entry - SOF'!M$102,0)</f>
        <v>0</v>
      </c>
      <c r="N155" s="717">
        <f t="shared" si="16"/>
        <v>2956350</v>
      </c>
      <c r="O155" s="944">
        <f>IF(A155='Data Entry - SOF'!B$2,'Report-SOF2122'!D$91,0)</f>
        <v>0</v>
      </c>
      <c r="P155" s="723">
        <f>IF(A155='Data Entry - SOF'!B$2,'Data Entry - SOF'!O$102,0)</f>
        <v>0</v>
      </c>
      <c r="Q155" s="601">
        <f t="shared" si="13"/>
        <v>2956350</v>
      </c>
      <c r="R155" s="944">
        <f>IF(A155='Data Entry - SOF'!B$2,'Report-SOF2223'!D$91,0)</f>
        <v>0</v>
      </c>
      <c r="S155" s="723">
        <f>IF(A155='Data Entry - SOF'!B$2,'Data Entry - SOF'!Q$102,0)</f>
        <v>0</v>
      </c>
      <c r="T155" s="601">
        <f t="shared" si="17"/>
        <v>2956350</v>
      </c>
      <c r="U155" s="944">
        <f>IF(A155='Data Entry - SOF'!B$2,'Report-SOF2324'!D$91,0)</f>
        <v>0</v>
      </c>
      <c r="V155" s="723">
        <f>IF(A155='Data Entry - SOF'!B$2,'Data Entry - SOF'!S$102,0)</f>
        <v>0</v>
      </c>
    </row>
    <row r="156" spans="1:22" ht="15.75">
      <c r="A156" s="382" t="s">
        <v>2167</v>
      </c>
      <c r="B156" s="91">
        <v>2928943</v>
      </c>
      <c r="C156" s="944">
        <f>IF(A156='Data Entry - SOF'!B$2,'Report-SOF1718'!D$102,0)</f>
        <v>0</v>
      </c>
      <c r="D156" s="1037">
        <f>IF(A156='Data Entry - SOF'!B$2,'Data Entry - SOF'!#REF!,0)</f>
        <v>0</v>
      </c>
      <c r="E156" s="91">
        <f t="shared" si="12"/>
        <v>2928943</v>
      </c>
      <c r="F156" s="944">
        <f>IF(A156='Data Entry - SOF'!B$2,'Report-SOF1819'!D$102,0)</f>
        <v>0</v>
      </c>
      <c r="G156" s="1037">
        <f>IF(A156='Data Entry - SOF'!B$2,'Data Entry - SOF'!E$102,0)</f>
        <v>0</v>
      </c>
      <c r="H156" s="1038">
        <f t="shared" si="14"/>
        <v>2928943</v>
      </c>
      <c r="I156" s="944">
        <f>IF(A156='Data Entry - SOF'!B$2,'Report-SOF1920-HB3'!D$102,0)</f>
        <v>0</v>
      </c>
      <c r="J156" s="1037">
        <f>IF(A156='Data Entry - SOF'!B$2,'Data Entry - SOF'!G$102,0)</f>
        <v>0</v>
      </c>
      <c r="K156" s="717">
        <f t="shared" si="15"/>
        <v>2928943</v>
      </c>
      <c r="L156" s="944">
        <f>IF(A156='Data Entry - SOF'!B$2,'Report-SOF2021'!D$99,0)</f>
        <v>0</v>
      </c>
      <c r="M156" s="723">
        <f>IF(A156='Data Entry - SOF'!B$2,'Data Entry - SOF'!M$102,0)</f>
        <v>0</v>
      </c>
      <c r="N156" s="717">
        <f t="shared" si="16"/>
        <v>2928943</v>
      </c>
      <c r="O156" s="944">
        <f>IF(A156='Data Entry - SOF'!B$2,'Report-SOF2122'!D$91,0)</f>
        <v>0</v>
      </c>
      <c r="P156" s="723">
        <f>IF(A156='Data Entry - SOF'!B$2,'Data Entry - SOF'!O$102,0)</f>
        <v>0</v>
      </c>
      <c r="Q156" s="601">
        <f t="shared" si="13"/>
        <v>2928943</v>
      </c>
      <c r="R156" s="944">
        <f>IF(A156='Data Entry - SOF'!B$2,'Report-SOF2223'!D$91,0)</f>
        <v>0</v>
      </c>
      <c r="S156" s="723">
        <f>IF(A156='Data Entry - SOF'!B$2,'Data Entry - SOF'!Q$102,0)</f>
        <v>0</v>
      </c>
      <c r="T156" s="601">
        <f t="shared" si="17"/>
        <v>2928943</v>
      </c>
      <c r="U156" s="944">
        <f>IF(A156='Data Entry - SOF'!B$2,'Report-SOF2324'!D$91,0)</f>
        <v>0</v>
      </c>
      <c r="V156" s="723">
        <f>IF(A156='Data Entry - SOF'!B$2,'Data Entry - SOF'!S$102,0)</f>
        <v>0</v>
      </c>
    </row>
    <row r="157" spans="1:22" ht="15.75">
      <c r="A157" s="382" t="s">
        <v>716</v>
      </c>
      <c r="B157" s="91">
        <v>1051873</v>
      </c>
      <c r="C157" s="944">
        <f>IF(A157='Data Entry - SOF'!B$2,'Report-SOF1718'!D$102,0)</f>
        <v>0</v>
      </c>
      <c r="D157" s="1037">
        <f>IF(A157='Data Entry - SOF'!B$2,'Data Entry - SOF'!#REF!,0)</f>
        <v>0</v>
      </c>
      <c r="E157" s="91">
        <f t="shared" si="12"/>
        <v>1051873</v>
      </c>
      <c r="F157" s="944">
        <f>IF(A157='Data Entry - SOF'!B$2,'Report-SOF1819'!D$102,0)</f>
        <v>0</v>
      </c>
      <c r="G157" s="1037">
        <f>IF(A157='Data Entry - SOF'!B$2,'Data Entry - SOF'!E$102,0)</f>
        <v>0</v>
      </c>
      <c r="H157" s="1038">
        <f t="shared" si="14"/>
        <v>1051873</v>
      </c>
      <c r="I157" s="944">
        <f>IF(A157='Data Entry - SOF'!B$2,'Report-SOF1920-HB3'!D$102,0)</f>
        <v>0</v>
      </c>
      <c r="J157" s="1037">
        <f>IF(A157='Data Entry - SOF'!B$2,'Data Entry - SOF'!G$102,0)</f>
        <v>0</v>
      </c>
      <c r="K157" s="717">
        <f t="shared" si="15"/>
        <v>1051873</v>
      </c>
      <c r="L157" s="944">
        <f>IF(A157='Data Entry - SOF'!B$2,'Report-SOF2021'!D$99,0)</f>
        <v>0</v>
      </c>
      <c r="M157" s="723">
        <f>IF(A157='Data Entry - SOF'!B$2,'Data Entry - SOF'!M$102,0)</f>
        <v>0</v>
      </c>
      <c r="N157" s="717">
        <f t="shared" si="16"/>
        <v>1051873</v>
      </c>
      <c r="O157" s="944">
        <f>IF(A157='Data Entry - SOF'!B$2,'Report-SOF2122'!D$91,0)</f>
        <v>0</v>
      </c>
      <c r="P157" s="723">
        <f>IF(A157='Data Entry - SOF'!B$2,'Data Entry - SOF'!O$102,0)</f>
        <v>0</v>
      </c>
      <c r="Q157" s="601">
        <f t="shared" si="13"/>
        <v>1051873</v>
      </c>
      <c r="R157" s="944">
        <f>IF(A157='Data Entry - SOF'!B$2,'Report-SOF2223'!D$91,0)</f>
        <v>0</v>
      </c>
      <c r="S157" s="723">
        <f>IF(A157='Data Entry - SOF'!B$2,'Data Entry - SOF'!Q$102,0)</f>
        <v>0</v>
      </c>
      <c r="T157" s="601">
        <f t="shared" si="17"/>
        <v>1051873</v>
      </c>
      <c r="U157" s="944">
        <f>IF(A157='Data Entry - SOF'!B$2,'Report-SOF2324'!D$91,0)</f>
        <v>0</v>
      </c>
      <c r="V157" s="723">
        <f>IF(A157='Data Entry - SOF'!B$2,'Data Entry - SOF'!S$102,0)</f>
        <v>0</v>
      </c>
    </row>
    <row r="158" spans="1:22" ht="15.75">
      <c r="A158" s="382" t="s">
        <v>2168</v>
      </c>
      <c r="B158" s="91">
        <v>1122744</v>
      </c>
      <c r="C158" s="944">
        <f>IF(A158='Data Entry - SOF'!B$2,'Report-SOF1718'!D$102,0)</f>
        <v>0</v>
      </c>
      <c r="D158" s="1037">
        <f>IF(A158='Data Entry - SOF'!B$2,'Data Entry - SOF'!#REF!,0)</f>
        <v>0</v>
      </c>
      <c r="E158" s="91">
        <f t="shared" si="12"/>
        <v>1122744</v>
      </c>
      <c r="F158" s="944">
        <f>IF(A158='Data Entry - SOF'!B$2,'Report-SOF1819'!D$102,0)</f>
        <v>0</v>
      </c>
      <c r="G158" s="1037">
        <f>IF(A158='Data Entry - SOF'!B$2,'Data Entry - SOF'!E$102,0)</f>
        <v>0</v>
      </c>
      <c r="H158" s="1038">
        <f t="shared" si="14"/>
        <v>1122744</v>
      </c>
      <c r="I158" s="944">
        <f>IF(A158='Data Entry - SOF'!B$2,'Report-SOF1920-HB3'!D$102,0)</f>
        <v>0</v>
      </c>
      <c r="J158" s="1037">
        <f>IF(A158='Data Entry - SOF'!B$2,'Data Entry - SOF'!G$102,0)</f>
        <v>0</v>
      </c>
      <c r="K158" s="717">
        <f t="shared" si="15"/>
        <v>1122744</v>
      </c>
      <c r="L158" s="944">
        <f>IF(A158='Data Entry - SOF'!B$2,'Report-SOF2021'!D$99,0)</f>
        <v>0</v>
      </c>
      <c r="M158" s="723">
        <f>IF(A158='Data Entry - SOF'!B$2,'Data Entry - SOF'!M$102,0)</f>
        <v>0</v>
      </c>
      <c r="N158" s="717">
        <f t="shared" si="16"/>
        <v>1122744</v>
      </c>
      <c r="O158" s="944">
        <f>IF(A158='Data Entry - SOF'!B$2,'Report-SOF2122'!D$91,0)</f>
        <v>0</v>
      </c>
      <c r="P158" s="723">
        <f>IF(A158='Data Entry - SOF'!B$2,'Data Entry - SOF'!O$102,0)</f>
        <v>0</v>
      </c>
      <c r="Q158" s="601">
        <f t="shared" si="13"/>
        <v>1122744</v>
      </c>
      <c r="R158" s="944">
        <f>IF(A158='Data Entry - SOF'!B$2,'Report-SOF2223'!D$91,0)</f>
        <v>0</v>
      </c>
      <c r="S158" s="723">
        <f>IF(A158='Data Entry - SOF'!B$2,'Data Entry - SOF'!Q$102,0)</f>
        <v>0</v>
      </c>
      <c r="T158" s="601">
        <f t="shared" si="17"/>
        <v>1122744</v>
      </c>
      <c r="U158" s="944">
        <f>IF(A158='Data Entry - SOF'!B$2,'Report-SOF2324'!D$91,0)</f>
        <v>0</v>
      </c>
      <c r="V158" s="723">
        <f>IF(A158='Data Entry - SOF'!B$2,'Data Entry - SOF'!S$102,0)</f>
        <v>0</v>
      </c>
    </row>
    <row r="159" spans="1:22" ht="15.75">
      <c r="A159" s="382" t="s">
        <v>1670</v>
      </c>
      <c r="B159" s="91">
        <v>2109758</v>
      </c>
      <c r="C159" s="944">
        <f>IF(A159='Data Entry - SOF'!B$2,'Report-SOF1718'!D$102,0)</f>
        <v>0</v>
      </c>
      <c r="D159" s="1037">
        <f>IF(A159='Data Entry - SOF'!B$2,'Data Entry - SOF'!#REF!,0)</f>
        <v>0</v>
      </c>
      <c r="E159" s="91">
        <f t="shared" si="12"/>
        <v>2109758</v>
      </c>
      <c r="F159" s="944">
        <f>IF(A159='Data Entry - SOF'!B$2,'Report-SOF1819'!D$102,0)</f>
        <v>0</v>
      </c>
      <c r="G159" s="1037">
        <f>IF(A159='Data Entry - SOF'!B$2,'Data Entry - SOF'!E$102,0)</f>
        <v>0</v>
      </c>
      <c r="H159" s="1038">
        <f t="shared" si="14"/>
        <v>2109758</v>
      </c>
      <c r="I159" s="944">
        <f>IF(A159='Data Entry - SOF'!B$2,'Report-SOF1920-HB3'!D$102,0)</f>
        <v>0</v>
      </c>
      <c r="J159" s="1037">
        <f>IF(A159='Data Entry - SOF'!B$2,'Data Entry - SOF'!G$102,0)</f>
        <v>0</v>
      </c>
      <c r="K159" s="717">
        <f t="shared" si="15"/>
        <v>2109758</v>
      </c>
      <c r="L159" s="944">
        <f>IF(A159='Data Entry - SOF'!B$2,'Report-SOF2021'!D$99,0)</f>
        <v>0</v>
      </c>
      <c r="M159" s="723">
        <f>IF(A159='Data Entry - SOF'!B$2,'Data Entry - SOF'!M$102,0)</f>
        <v>0</v>
      </c>
      <c r="N159" s="717">
        <f t="shared" si="16"/>
        <v>2109758</v>
      </c>
      <c r="O159" s="944">
        <f>IF(A159='Data Entry - SOF'!B$2,'Report-SOF2122'!D$91,0)</f>
        <v>0</v>
      </c>
      <c r="P159" s="723">
        <f>IF(A159='Data Entry - SOF'!B$2,'Data Entry - SOF'!O$102,0)</f>
        <v>0</v>
      </c>
      <c r="Q159" s="601">
        <f t="shared" si="13"/>
        <v>2109758</v>
      </c>
      <c r="R159" s="944">
        <f>IF(A159='Data Entry - SOF'!B$2,'Report-SOF2223'!D$91,0)</f>
        <v>0</v>
      </c>
      <c r="S159" s="723">
        <f>IF(A159='Data Entry - SOF'!B$2,'Data Entry - SOF'!Q$102,0)</f>
        <v>0</v>
      </c>
      <c r="T159" s="601">
        <f t="shared" si="17"/>
        <v>2109758</v>
      </c>
      <c r="U159" s="944">
        <f>IF(A159='Data Entry - SOF'!B$2,'Report-SOF2324'!D$91,0)</f>
        <v>0</v>
      </c>
      <c r="V159" s="723">
        <f>IF(A159='Data Entry - SOF'!B$2,'Data Entry - SOF'!S$102,0)</f>
        <v>0</v>
      </c>
    </row>
    <row r="160" spans="1:22" ht="15.75">
      <c r="A160" s="382" t="s">
        <v>1671</v>
      </c>
      <c r="B160" s="91">
        <v>1952266</v>
      </c>
      <c r="C160" s="944">
        <f>IF(A160='Data Entry - SOF'!B$2,'Report-SOF1718'!D$102,0)</f>
        <v>0</v>
      </c>
      <c r="D160" s="1037">
        <f>IF(A160='Data Entry - SOF'!B$2,'Data Entry - SOF'!#REF!,0)</f>
        <v>0</v>
      </c>
      <c r="E160" s="91">
        <f t="shared" si="12"/>
        <v>1952266</v>
      </c>
      <c r="F160" s="944">
        <f>IF(A160='Data Entry - SOF'!B$2,'Report-SOF1819'!D$102,0)</f>
        <v>0</v>
      </c>
      <c r="G160" s="1037">
        <f>IF(A160='Data Entry - SOF'!B$2,'Data Entry - SOF'!E$102,0)</f>
        <v>0</v>
      </c>
      <c r="H160" s="1038">
        <f t="shared" si="14"/>
        <v>1952266</v>
      </c>
      <c r="I160" s="944">
        <f>IF(A160='Data Entry - SOF'!B$2,'Report-SOF1920-HB3'!D$102,0)</f>
        <v>0</v>
      </c>
      <c r="J160" s="1037">
        <f>IF(A160='Data Entry - SOF'!B$2,'Data Entry - SOF'!G$102,0)</f>
        <v>0</v>
      </c>
      <c r="K160" s="717">
        <f t="shared" si="15"/>
        <v>1952266</v>
      </c>
      <c r="L160" s="944">
        <f>IF(A160='Data Entry - SOF'!B$2,'Report-SOF2021'!D$99,0)</f>
        <v>0</v>
      </c>
      <c r="M160" s="723">
        <f>IF(A160='Data Entry - SOF'!B$2,'Data Entry - SOF'!M$102,0)</f>
        <v>0</v>
      </c>
      <c r="N160" s="717">
        <f t="shared" si="16"/>
        <v>1952266</v>
      </c>
      <c r="O160" s="944">
        <f>IF(A160='Data Entry - SOF'!B$2,'Report-SOF2122'!D$91,0)</f>
        <v>0</v>
      </c>
      <c r="P160" s="723">
        <f>IF(A160='Data Entry - SOF'!B$2,'Data Entry - SOF'!O$102,0)</f>
        <v>0</v>
      </c>
      <c r="Q160" s="601">
        <f t="shared" si="13"/>
        <v>1952266</v>
      </c>
      <c r="R160" s="944">
        <f>IF(A160='Data Entry - SOF'!B$2,'Report-SOF2223'!D$91,0)</f>
        <v>0</v>
      </c>
      <c r="S160" s="723">
        <f>IF(A160='Data Entry - SOF'!B$2,'Data Entry - SOF'!Q$102,0)</f>
        <v>0</v>
      </c>
      <c r="T160" s="601">
        <f t="shared" si="17"/>
        <v>1952266</v>
      </c>
      <c r="U160" s="944">
        <f>IF(A160='Data Entry - SOF'!B$2,'Report-SOF2324'!D$91,0)</f>
        <v>0</v>
      </c>
      <c r="V160" s="723">
        <f>IF(A160='Data Entry - SOF'!B$2,'Data Entry - SOF'!S$102,0)</f>
        <v>0</v>
      </c>
    </row>
    <row r="161" spans="1:22" ht="15.75">
      <c r="A161" s="382" t="s">
        <v>795</v>
      </c>
      <c r="B161" s="91">
        <v>9120528</v>
      </c>
      <c r="C161" s="944">
        <f>IF(A161='Data Entry - SOF'!B$2,'Report-SOF1718'!D$102,0)</f>
        <v>0</v>
      </c>
      <c r="D161" s="1037">
        <f>IF(A161='Data Entry - SOF'!B$2,'Data Entry - SOF'!#REF!,0)</f>
        <v>0</v>
      </c>
      <c r="E161" s="91">
        <f t="shared" si="12"/>
        <v>9120528</v>
      </c>
      <c r="F161" s="944">
        <f>IF(A161='Data Entry - SOF'!B$2,'Report-SOF1819'!D$102,0)</f>
        <v>0</v>
      </c>
      <c r="G161" s="1037">
        <f>IF(A161='Data Entry - SOF'!B$2,'Data Entry - SOF'!E$102,0)</f>
        <v>0</v>
      </c>
      <c r="H161" s="1038">
        <f t="shared" si="14"/>
        <v>9120528</v>
      </c>
      <c r="I161" s="944">
        <f>IF(A161='Data Entry - SOF'!B$2,'Report-SOF1920-HB3'!D$102,0)</f>
        <v>0</v>
      </c>
      <c r="J161" s="1037">
        <f>IF(A161='Data Entry - SOF'!B$2,'Data Entry - SOF'!G$102,0)</f>
        <v>0</v>
      </c>
      <c r="K161" s="717">
        <f t="shared" si="15"/>
        <v>9120528</v>
      </c>
      <c r="L161" s="944">
        <f>IF(A161='Data Entry - SOF'!B$2,'Report-SOF2021'!D$99,0)</f>
        <v>0</v>
      </c>
      <c r="M161" s="723">
        <f>IF(A161='Data Entry - SOF'!B$2,'Data Entry - SOF'!M$102,0)</f>
        <v>0</v>
      </c>
      <c r="N161" s="717">
        <f t="shared" si="16"/>
        <v>9120528</v>
      </c>
      <c r="O161" s="944">
        <f>IF(A161='Data Entry - SOF'!B$2,'Report-SOF2122'!D$91,0)</f>
        <v>0</v>
      </c>
      <c r="P161" s="723">
        <f>IF(A161='Data Entry - SOF'!B$2,'Data Entry - SOF'!O$102,0)</f>
        <v>0</v>
      </c>
      <c r="Q161" s="601">
        <f t="shared" si="13"/>
        <v>9120528</v>
      </c>
      <c r="R161" s="944">
        <f>IF(A161='Data Entry - SOF'!B$2,'Report-SOF2223'!D$91,0)</f>
        <v>0</v>
      </c>
      <c r="S161" s="723">
        <f>IF(A161='Data Entry - SOF'!B$2,'Data Entry - SOF'!Q$102,0)</f>
        <v>0</v>
      </c>
      <c r="T161" s="601">
        <f t="shared" si="17"/>
        <v>9120528</v>
      </c>
      <c r="U161" s="944">
        <f>IF(A161='Data Entry - SOF'!B$2,'Report-SOF2324'!D$91,0)</f>
        <v>0</v>
      </c>
      <c r="V161" s="723">
        <f>IF(A161='Data Entry - SOF'!B$2,'Data Entry - SOF'!S$102,0)</f>
        <v>0</v>
      </c>
    </row>
    <row r="162" spans="1:22" ht="15.75">
      <c r="A162" s="382" t="s">
        <v>796</v>
      </c>
      <c r="B162" s="91">
        <v>457517</v>
      </c>
      <c r="C162" s="944">
        <f>IF(A162='Data Entry - SOF'!B$2,'Report-SOF1718'!D$102,0)</f>
        <v>0</v>
      </c>
      <c r="D162" s="1037">
        <f>IF(A162='Data Entry - SOF'!B$2,'Data Entry - SOF'!#REF!,0)</f>
        <v>0</v>
      </c>
      <c r="E162" s="91">
        <f t="shared" si="12"/>
        <v>457517</v>
      </c>
      <c r="F162" s="944">
        <f>IF(A162='Data Entry - SOF'!B$2,'Report-SOF1819'!D$102,0)</f>
        <v>0</v>
      </c>
      <c r="G162" s="1037">
        <f>IF(A162='Data Entry - SOF'!B$2,'Data Entry - SOF'!E$102,0)</f>
        <v>0</v>
      </c>
      <c r="H162" s="1038">
        <f t="shared" si="14"/>
        <v>457517</v>
      </c>
      <c r="I162" s="944">
        <f>IF(A162='Data Entry - SOF'!B$2,'Report-SOF1920-HB3'!D$102,0)</f>
        <v>0</v>
      </c>
      <c r="J162" s="1037">
        <f>IF(A162='Data Entry - SOF'!B$2,'Data Entry - SOF'!G$102,0)</f>
        <v>0</v>
      </c>
      <c r="K162" s="717">
        <f t="shared" si="15"/>
        <v>457517</v>
      </c>
      <c r="L162" s="944">
        <f>IF(A162='Data Entry - SOF'!B$2,'Report-SOF2021'!D$99,0)</f>
        <v>0</v>
      </c>
      <c r="M162" s="723">
        <f>IF(A162='Data Entry - SOF'!B$2,'Data Entry - SOF'!M$102,0)</f>
        <v>0</v>
      </c>
      <c r="N162" s="717">
        <f t="shared" si="16"/>
        <v>457517</v>
      </c>
      <c r="O162" s="944">
        <f>IF(A162='Data Entry - SOF'!B$2,'Report-SOF2122'!D$91,0)</f>
        <v>0</v>
      </c>
      <c r="P162" s="723">
        <f>IF(A162='Data Entry - SOF'!B$2,'Data Entry - SOF'!O$102,0)</f>
        <v>0</v>
      </c>
      <c r="Q162" s="601">
        <f t="shared" si="13"/>
        <v>457517</v>
      </c>
      <c r="R162" s="944">
        <f>IF(A162='Data Entry - SOF'!B$2,'Report-SOF2223'!D$91,0)</f>
        <v>0</v>
      </c>
      <c r="S162" s="723">
        <f>IF(A162='Data Entry - SOF'!B$2,'Data Entry - SOF'!Q$102,0)</f>
        <v>0</v>
      </c>
      <c r="T162" s="601">
        <f t="shared" si="17"/>
        <v>457517</v>
      </c>
      <c r="U162" s="944">
        <f>IF(A162='Data Entry - SOF'!B$2,'Report-SOF2324'!D$91,0)</f>
        <v>0</v>
      </c>
      <c r="V162" s="723">
        <f>IF(A162='Data Entry - SOF'!B$2,'Data Entry - SOF'!S$102,0)</f>
        <v>0</v>
      </c>
    </row>
    <row r="163" spans="1:22" ht="15.75">
      <c r="A163" s="382" t="s">
        <v>815</v>
      </c>
      <c r="B163" s="91">
        <v>13543374</v>
      </c>
      <c r="C163" s="944">
        <f>IF(A163='Data Entry - SOF'!B$2,'Report-SOF1718'!D$102,0)</f>
        <v>0</v>
      </c>
      <c r="D163" s="1037">
        <f>IF(A163='Data Entry - SOF'!B$2,'Data Entry - SOF'!#REF!,0)</f>
        <v>0</v>
      </c>
      <c r="E163" s="91">
        <f t="shared" si="12"/>
        <v>13543374</v>
      </c>
      <c r="F163" s="944">
        <f>IF(A163='Data Entry - SOF'!B$2,'Report-SOF1819'!D$102,0)</f>
        <v>0</v>
      </c>
      <c r="G163" s="1037">
        <f>IF(A163='Data Entry - SOF'!B$2,'Data Entry - SOF'!E$102,0)</f>
        <v>0</v>
      </c>
      <c r="H163" s="1038">
        <f t="shared" si="14"/>
        <v>13543374</v>
      </c>
      <c r="I163" s="944">
        <f>IF(A163='Data Entry - SOF'!B$2,'Report-SOF1920-HB3'!D$102,0)</f>
        <v>0</v>
      </c>
      <c r="J163" s="1037">
        <f>IF(A163='Data Entry - SOF'!B$2,'Data Entry - SOF'!G$102,0)</f>
        <v>0</v>
      </c>
      <c r="K163" s="717">
        <f t="shared" si="15"/>
        <v>13543374</v>
      </c>
      <c r="L163" s="944">
        <f>IF(A163='Data Entry - SOF'!B$2,'Report-SOF2021'!D$99,0)</f>
        <v>0</v>
      </c>
      <c r="M163" s="723">
        <f>IF(A163='Data Entry - SOF'!B$2,'Data Entry - SOF'!M$102,0)</f>
        <v>0</v>
      </c>
      <c r="N163" s="717">
        <f t="shared" si="16"/>
        <v>13543374</v>
      </c>
      <c r="O163" s="944">
        <f>IF(A163='Data Entry - SOF'!B$2,'Report-SOF2122'!D$91,0)</f>
        <v>0</v>
      </c>
      <c r="P163" s="723">
        <f>IF(A163='Data Entry - SOF'!B$2,'Data Entry - SOF'!O$102,0)</f>
        <v>0</v>
      </c>
      <c r="Q163" s="601">
        <f t="shared" si="13"/>
        <v>13543374</v>
      </c>
      <c r="R163" s="944">
        <f>IF(A163='Data Entry - SOF'!B$2,'Report-SOF2223'!D$91,0)</f>
        <v>0</v>
      </c>
      <c r="S163" s="723">
        <f>IF(A163='Data Entry - SOF'!B$2,'Data Entry - SOF'!Q$102,0)</f>
        <v>0</v>
      </c>
      <c r="T163" s="601">
        <f t="shared" si="17"/>
        <v>13543374</v>
      </c>
      <c r="U163" s="944">
        <f>IF(A163='Data Entry - SOF'!B$2,'Report-SOF2324'!D$91,0)</f>
        <v>0</v>
      </c>
      <c r="V163" s="723">
        <f>IF(A163='Data Entry - SOF'!B$2,'Data Entry - SOF'!S$102,0)</f>
        <v>0</v>
      </c>
    </row>
    <row r="164" spans="1:22" ht="15.75">
      <c r="A164" s="382" t="s">
        <v>577</v>
      </c>
      <c r="B164" s="91">
        <v>556852</v>
      </c>
      <c r="C164" s="944">
        <f>IF(A164='Data Entry - SOF'!B$2,'Report-SOF1718'!D$102,0)</f>
        <v>0</v>
      </c>
      <c r="D164" s="1037">
        <f>IF(A164='Data Entry - SOF'!B$2,'Data Entry - SOF'!#REF!,0)</f>
        <v>0</v>
      </c>
      <c r="E164" s="91">
        <f t="shared" si="12"/>
        <v>556852</v>
      </c>
      <c r="F164" s="944">
        <f>IF(A164='Data Entry - SOF'!B$2,'Report-SOF1819'!D$102,0)</f>
        <v>0</v>
      </c>
      <c r="G164" s="1037">
        <f>IF(A164='Data Entry - SOF'!B$2,'Data Entry - SOF'!E$102,0)</f>
        <v>0</v>
      </c>
      <c r="H164" s="1038">
        <f t="shared" si="14"/>
        <v>556852</v>
      </c>
      <c r="I164" s="944">
        <f>IF(A164='Data Entry - SOF'!B$2,'Report-SOF1920-HB3'!D$102,0)</f>
        <v>0</v>
      </c>
      <c r="J164" s="1037">
        <f>IF(A164='Data Entry - SOF'!B$2,'Data Entry - SOF'!G$102,0)</f>
        <v>0</v>
      </c>
      <c r="K164" s="717">
        <f t="shared" si="15"/>
        <v>556852</v>
      </c>
      <c r="L164" s="944">
        <f>IF(A164='Data Entry - SOF'!B$2,'Report-SOF2021'!D$99,0)</f>
        <v>0</v>
      </c>
      <c r="M164" s="723">
        <f>IF(A164='Data Entry - SOF'!B$2,'Data Entry - SOF'!M$102,0)</f>
        <v>0</v>
      </c>
      <c r="N164" s="717">
        <f t="shared" si="16"/>
        <v>556852</v>
      </c>
      <c r="O164" s="944">
        <f>IF(A164='Data Entry - SOF'!B$2,'Report-SOF2122'!D$91,0)</f>
        <v>0</v>
      </c>
      <c r="P164" s="723">
        <f>IF(A164='Data Entry - SOF'!B$2,'Data Entry - SOF'!O$102,0)</f>
        <v>0</v>
      </c>
      <c r="Q164" s="601">
        <f t="shared" si="13"/>
        <v>556852</v>
      </c>
      <c r="R164" s="944">
        <f>IF(A164='Data Entry - SOF'!B$2,'Report-SOF2223'!D$91,0)</f>
        <v>0</v>
      </c>
      <c r="S164" s="723">
        <f>IF(A164='Data Entry - SOF'!B$2,'Data Entry - SOF'!Q$102,0)</f>
        <v>0</v>
      </c>
      <c r="T164" s="601">
        <f t="shared" si="17"/>
        <v>556852</v>
      </c>
      <c r="U164" s="944">
        <f>IF(A164='Data Entry - SOF'!B$2,'Report-SOF2324'!D$91,0)</f>
        <v>0</v>
      </c>
      <c r="V164" s="723">
        <f>IF(A164='Data Entry - SOF'!B$2,'Data Entry - SOF'!S$102,0)</f>
        <v>0</v>
      </c>
    </row>
    <row r="165" spans="1:22" ht="15.75">
      <c r="A165" s="382" t="s">
        <v>2368</v>
      </c>
      <c r="B165" s="91">
        <v>475019</v>
      </c>
      <c r="C165" s="944">
        <f>IF(A165='Data Entry - SOF'!B$2,'Report-SOF1718'!D$102,0)</f>
        <v>0</v>
      </c>
      <c r="D165" s="1037">
        <f>IF(A165='Data Entry - SOF'!B$2,'Data Entry - SOF'!#REF!,0)</f>
        <v>0</v>
      </c>
      <c r="E165" s="91">
        <f t="shared" si="12"/>
        <v>475019</v>
      </c>
      <c r="F165" s="944">
        <f>IF(A165='Data Entry - SOF'!B$2,'Report-SOF1819'!D$102,0)</f>
        <v>0</v>
      </c>
      <c r="G165" s="1037">
        <f>IF(A165='Data Entry - SOF'!B$2,'Data Entry - SOF'!E$102,0)</f>
        <v>0</v>
      </c>
      <c r="H165" s="1038">
        <f t="shared" si="14"/>
        <v>475019</v>
      </c>
      <c r="I165" s="944">
        <f>IF(A165='Data Entry - SOF'!B$2,'Report-SOF1920-HB3'!D$102,0)</f>
        <v>0</v>
      </c>
      <c r="J165" s="1037">
        <f>IF(A165='Data Entry - SOF'!B$2,'Data Entry - SOF'!G$102,0)</f>
        <v>0</v>
      </c>
      <c r="K165" s="717">
        <f t="shared" si="15"/>
        <v>475019</v>
      </c>
      <c r="L165" s="944">
        <f>IF(A165='Data Entry - SOF'!B$2,'Report-SOF2021'!D$99,0)</f>
        <v>0</v>
      </c>
      <c r="M165" s="723">
        <f>IF(A165='Data Entry - SOF'!B$2,'Data Entry - SOF'!M$102,0)</f>
        <v>0</v>
      </c>
      <c r="N165" s="717">
        <f t="shared" si="16"/>
        <v>475019</v>
      </c>
      <c r="O165" s="944">
        <f>IF(A165='Data Entry - SOF'!B$2,'Report-SOF2122'!D$91,0)</f>
        <v>0</v>
      </c>
      <c r="P165" s="723">
        <f>IF(A165='Data Entry - SOF'!B$2,'Data Entry - SOF'!O$102,0)</f>
        <v>0</v>
      </c>
      <c r="Q165" s="601">
        <f t="shared" si="13"/>
        <v>475019</v>
      </c>
      <c r="R165" s="944">
        <f>IF(A165='Data Entry - SOF'!B$2,'Report-SOF2223'!D$91,0)</f>
        <v>0</v>
      </c>
      <c r="S165" s="723">
        <f>IF(A165='Data Entry - SOF'!B$2,'Data Entry - SOF'!Q$102,0)</f>
        <v>0</v>
      </c>
      <c r="T165" s="601">
        <f t="shared" si="17"/>
        <v>475019</v>
      </c>
      <c r="U165" s="944">
        <f>IF(A165='Data Entry - SOF'!B$2,'Report-SOF2324'!D$91,0)</f>
        <v>0</v>
      </c>
      <c r="V165" s="723">
        <f>IF(A165='Data Entry - SOF'!B$2,'Data Entry - SOF'!S$102,0)</f>
        <v>0</v>
      </c>
    </row>
    <row r="166" spans="1:22" ht="15.75">
      <c r="A166" s="382" t="s">
        <v>816</v>
      </c>
      <c r="B166" s="91">
        <v>1284027</v>
      </c>
      <c r="C166" s="944">
        <f>IF(A166='Data Entry - SOF'!B$2,'Report-SOF1718'!D$102,0)</f>
        <v>0</v>
      </c>
      <c r="D166" s="1037">
        <f>IF(A166='Data Entry - SOF'!B$2,'Data Entry - SOF'!#REF!,0)</f>
        <v>0</v>
      </c>
      <c r="E166" s="91">
        <f t="shared" si="12"/>
        <v>1284027</v>
      </c>
      <c r="F166" s="944">
        <f>IF(A166='Data Entry - SOF'!B$2,'Report-SOF1819'!D$102,0)</f>
        <v>0</v>
      </c>
      <c r="G166" s="1037">
        <f>IF(A166='Data Entry - SOF'!B$2,'Data Entry - SOF'!E$102,0)</f>
        <v>0</v>
      </c>
      <c r="H166" s="1038">
        <f t="shared" si="14"/>
        <v>1284027</v>
      </c>
      <c r="I166" s="944">
        <f>IF(A166='Data Entry - SOF'!B$2,'Report-SOF1920-HB3'!D$102,0)</f>
        <v>0</v>
      </c>
      <c r="J166" s="1037">
        <f>IF(A166='Data Entry - SOF'!B$2,'Data Entry - SOF'!G$102,0)</f>
        <v>0</v>
      </c>
      <c r="K166" s="717">
        <f t="shared" si="15"/>
        <v>1284027</v>
      </c>
      <c r="L166" s="944">
        <f>IF(A166='Data Entry - SOF'!B$2,'Report-SOF2021'!D$99,0)</f>
        <v>0</v>
      </c>
      <c r="M166" s="723">
        <f>IF(A166='Data Entry - SOF'!B$2,'Data Entry - SOF'!M$102,0)</f>
        <v>0</v>
      </c>
      <c r="N166" s="717">
        <f t="shared" si="16"/>
        <v>1284027</v>
      </c>
      <c r="O166" s="944">
        <f>IF(A166='Data Entry - SOF'!B$2,'Report-SOF2122'!D$91,0)</f>
        <v>0</v>
      </c>
      <c r="P166" s="723">
        <f>IF(A166='Data Entry - SOF'!B$2,'Data Entry - SOF'!O$102,0)</f>
        <v>0</v>
      </c>
      <c r="Q166" s="601">
        <f t="shared" si="13"/>
        <v>1284027</v>
      </c>
      <c r="R166" s="944">
        <f>IF(A166='Data Entry - SOF'!B$2,'Report-SOF2223'!D$91,0)</f>
        <v>0</v>
      </c>
      <c r="S166" s="723">
        <f>IF(A166='Data Entry - SOF'!B$2,'Data Entry - SOF'!Q$102,0)</f>
        <v>0</v>
      </c>
      <c r="T166" s="601">
        <f t="shared" si="17"/>
        <v>1284027</v>
      </c>
      <c r="U166" s="944">
        <f>IF(A166='Data Entry - SOF'!B$2,'Report-SOF2324'!D$91,0)</f>
        <v>0</v>
      </c>
      <c r="V166" s="723">
        <f>IF(A166='Data Entry - SOF'!B$2,'Data Entry - SOF'!S$102,0)</f>
        <v>0</v>
      </c>
    </row>
    <row r="167" spans="1:22" ht="15.75">
      <c r="A167" s="382" t="s">
        <v>584</v>
      </c>
      <c r="B167" s="91">
        <v>353847575</v>
      </c>
      <c r="C167" s="944">
        <f>IF(A167='Data Entry - SOF'!B$2,'Report-SOF1718'!D$102,0)</f>
        <v>0</v>
      </c>
      <c r="D167" s="1037">
        <f>IF(A167='Data Entry - SOF'!B$2,'Data Entry - SOF'!#REF!,0)</f>
        <v>0</v>
      </c>
      <c r="E167" s="91">
        <f t="shared" si="12"/>
        <v>353847575</v>
      </c>
      <c r="F167" s="944">
        <f>IF(A167='Data Entry - SOF'!B$2,'Report-SOF1819'!D$102,0)</f>
        <v>0</v>
      </c>
      <c r="G167" s="1037">
        <f>IF(A167='Data Entry - SOF'!B$2,'Data Entry - SOF'!E$102,0)</f>
        <v>0</v>
      </c>
      <c r="H167" s="1038">
        <f t="shared" si="14"/>
        <v>353847575</v>
      </c>
      <c r="I167" s="944">
        <f>IF(A167='Data Entry - SOF'!B$2,'Report-SOF1920-HB3'!D$102,0)</f>
        <v>0</v>
      </c>
      <c r="J167" s="1037">
        <f>IF(A167='Data Entry - SOF'!B$2,'Data Entry - SOF'!G$102,0)</f>
        <v>0</v>
      </c>
      <c r="K167" s="717">
        <f t="shared" si="15"/>
        <v>353847575</v>
      </c>
      <c r="L167" s="944">
        <f>IF(A167='Data Entry - SOF'!B$2,'Report-SOF2021'!D$99,0)</f>
        <v>0</v>
      </c>
      <c r="M167" s="723">
        <f>IF(A167='Data Entry - SOF'!B$2,'Data Entry - SOF'!M$102,0)</f>
        <v>0</v>
      </c>
      <c r="N167" s="717">
        <f t="shared" si="16"/>
        <v>353847575</v>
      </c>
      <c r="O167" s="944">
        <f>IF(A167='Data Entry - SOF'!B$2,'Report-SOF2122'!D$91,0)</f>
        <v>0</v>
      </c>
      <c r="P167" s="723">
        <f>IF(A167='Data Entry - SOF'!B$2,'Data Entry - SOF'!O$102,0)</f>
        <v>0</v>
      </c>
      <c r="Q167" s="601">
        <f t="shared" si="13"/>
        <v>353847575</v>
      </c>
      <c r="R167" s="944">
        <f>IF(A167='Data Entry - SOF'!B$2,'Report-SOF2223'!D$91,0)</f>
        <v>0</v>
      </c>
      <c r="S167" s="723">
        <f>IF(A167='Data Entry - SOF'!B$2,'Data Entry - SOF'!Q$102,0)</f>
        <v>0</v>
      </c>
      <c r="T167" s="601">
        <f t="shared" si="17"/>
        <v>353847575</v>
      </c>
      <c r="U167" s="944">
        <f>IF(A167='Data Entry - SOF'!B$2,'Report-SOF2324'!D$91,0)</f>
        <v>0</v>
      </c>
      <c r="V167" s="723">
        <f>IF(A167='Data Entry - SOF'!B$2,'Data Entry - SOF'!S$102,0)</f>
        <v>0</v>
      </c>
    </row>
    <row r="168" spans="1:22" ht="15.75">
      <c r="A168" s="382" t="s">
        <v>1641</v>
      </c>
      <c r="B168" s="91">
        <v>14355948</v>
      </c>
      <c r="C168" s="944">
        <f>IF(A168='Data Entry - SOF'!B$2,'Report-SOF1718'!D$102,0)</f>
        <v>0</v>
      </c>
      <c r="D168" s="1037">
        <f>IF(A168='Data Entry - SOF'!B$2,'Data Entry - SOF'!#REF!,0)</f>
        <v>0</v>
      </c>
      <c r="E168" s="91">
        <f t="shared" si="12"/>
        <v>14355948</v>
      </c>
      <c r="F168" s="944">
        <f>IF(A168='Data Entry - SOF'!B$2,'Report-SOF1819'!D$102,0)</f>
        <v>0</v>
      </c>
      <c r="G168" s="1037">
        <f>IF(A168='Data Entry - SOF'!B$2,'Data Entry - SOF'!E$102,0)</f>
        <v>0</v>
      </c>
      <c r="H168" s="1038">
        <f t="shared" si="14"/>
        <v>14355948</v>
      </c>
      <c r="I168" s="944">
        <f>IF(A168='Data Entry - SOF'!B$2,'Report-SOF1920-HB3'!D$102,0)</f>
        <v>0</v>
      </c>
      <c r="J168" s="1037">
        <f>IF(A168='Data Entry - SOF'!B$2,'Data Entry - SOF'!G$102,0)</f>
        <v>0</v>
      </c>
      <c r="K168" s="717">
        <f t="shared" si="15"/>
        <v>14355948</v>
      </c>
      <c r="L168" s="944">
        <f>IF(A168='Data Entry - SOF'!B$2,'Report-SOF2021'!D$99,0)</f>
        <v>0</v>
      </c>
      <c r="M168" s="723">
        <f>IF(A168='Data Entry - SOF'!B$2,'Data Entry - SOF'!M$102,0)</f>
        <v>0</v>
      </c>
      <c r="N168" s="717">
        <f t="shared" si="16"/>
        <v>14355948</v>
      </c>
      <c r="O168" s="944">
        <f>IF(A168='Data Entry - SOF'!B$2,'Report-SOF2122'!D$91,0)</f>
        <v>0</v>
      </c>
      <c r="P168" s="723">
        <f>IF(A168='Data Entry - SOF'!B$2,'Data Entry - SOF'!O$102,0)</f>
        <v>0</v>
      </c>
      <c r="Q168" s="601">
        <f t="shared" si="13"/>
        <v>14355948</v>
      </c>
      <c r="R168" s="944">
        <f>IF(A168='Data Entry - SOF'!B$2,'Report-SOF2223'!D$91,0)</f>
        <v>0</v>
      </c>
      <c r="S168" s="723">
        <f>IF(A168='Data Entry - SOF'!B$2,'Data Entry - SOF'!Q$102,0)</f>
        <v>0</v>
      </c>
      <c r="T168" s="601">
        <f t="shared" si="17"/>
        <v>14355948</v>
      </c>
      <c r="U168" s="944">
        <f>IF(A168='Data Entry - SOF'!B$2,'Report-SOF2324'!D$91,0)</f>
        <v>0</v>
      </c>
      <c r="V168" s="723">
        <f>IF(A168='Data Entry - SOF'!B$2,'Data Entry - SOF'!S$102,0)</f>
        <v>0</v>
      </c>
    </row>
    <row r="169" spans="1:22" ht="15.75">
      <c r="A169" s="382" t="s">
        <v>2502</v>
      </c>
      <c r="B169" s="91">
        <v>26585336</v>
      </c>
      <c r="C169" s="944">
        <f>IF(A169='Data Entry - SOF'!B$2,'Report-SOF1718'!D$102,0)</f>
        <v>0</v>
      </c>
      <c r="D169" s="1037">
        <f>IF(A169='Data Entry - SOF'!B$2,'Data Entry - SOF'!#REF!,0)</f>
        <v>0</v>
      </c>
      <c r="E169" s="91">
        <f t="shared" si="12"/>
        <v>26585336</v>
      </c>
      <c r="F169" s="944">
        <f>IF(A169='Data Entry - SOF'!B$2,'Report-SOF1819'!D$102,0)</f>
        <v>0</v>
      </c>
      <c r="G169" s="1037">
        <f>IF(A169='Data Entry - SOF'!B$2,'Data Entry - SOF'!E$102,0)</f>
        <v>0</v>
      </c>
      <c r="H169" s="1038">
        <f t="shared" si="14"/>
        <v>26585336</v>
      </c>
      <c r="I169" s="944">
        <f>IF(A169='Data Entry - SOF'!B$2,'Report-SOF1920-HB3'!D$102,0)</f>
        <v>0</v>
      </c>
      <c r="J169" s="1037">
        <f>IF(A169='Data Entry - SOF'!B$2,'Data Entry - SOF'!G$102,0)</f>
        <v>0</v>
      </c>
      <c r="K169" s="717">
        <f t="shared" si="15"/>
        <v>26585336</v>
      </c>
      <c r="L169" s="944">
        <f>IF(A169='Data Entry - SOF'!B$2,'Report-SOF2021'!D$99,0)</f>
        <v>0</v>
      </c>
      <c r="M169" s="723">
        <f>IF(A169='Data Entry - SOF'!B$2,'Data Entry - SOF'!M$102,0)</f>
        <v>0</v>
      </c>
      <c r="N169" s="717">
        <f t="shared" si="16"/>
        <v>26585336</v>
      </c>
      <c r="O169" s="944">
        <f>IF(A169='Data Entry - SOF'!B$2,'Report-SOF2122'!D$91,0)</f>
        <v>0</v>
      </c>
      <c r="P169" s="723">
        <f>IF(A169='Data Entry - SOF'!B$2,'Data Entry - SOF'!O$102,0)</f>
        <v>0</v>
      </c>
      <c r="Q169" s="601">
        <f t="shared" si="13"/>
        <v>26585336</v>
      </c>
      <c r="R169" s="944">
        <f>IF(A169='Data Entry - SOF'!B$2,'Report-SOF2223'!D$91,0)</f>
        <v>0</v>
      </c>
      <c r="S169" s="723">
        <f>IF(A169='Data Entry - SOF'!B$2,'Data Entry - SOF'!Q$102,0)</f>
        <v>0</v>
      </c>
      <c r="T169" s="601">
        <f t="shared" si="17"/>
        <v>26585336</v>
      </c>
      <c r="U169" s="944">
        <f>IF(A169='Data Entry - SOF'!B$2,'Report-SOF2324'!D$91,0)</f>
        <v>0</v>
      </c>
      <c r="V169" s="723">
        <f>IF(A169='Data Entry - SOF'!B$2,'Data Entry - SOF'!S$102,0)</f>
        <v>0</v>
      </c>
    </row>
    <row r="170" spans="1:22" ht="15.75">
      <c r="A170" s="382" t="s">
        <v>1687</v>
      </c>
      <c r="B170" s="91">
        <v>3827088</v>
      </c>
      <c r="C170" s="944">
        <f>IF(A170='Data Entry - SOF'!B$2,'Report-SOF1718'!D$102,0)</f>
        <v>0</v>
      </c>
      <c r="D170" s="1037">
        <f>IF(A170='Data Entry - SOF'!B$2,'Data Entry - SOF'!#REF!,0)</f>
        <v>0</v>
      </c>
      <c r="E170" s="91">
        <f t="shared" si="12"/>
        <v>3827088</v>
      </c>
      <c r="F170" s="944">
        <f>IF(A170='Data Entry - SOF'!B$2,'Report-SOF1819'!D$102,0)</f>
        <v>0</v>
      </c>
      <c r="G170" s="1037">
        <f>IF(A170='Data Entry - SOF'!B$2,'Data Entry - SOF'!E$102,0)</f>
        <v>0</v>
      </c>
      <c r="H170" s="1038">
        <f t="shared" si="14"/>
        <v>3827088</v>
      </c>
      <c r="I170" s="944">
        <f>IF(A170='Data Entry - SOF'!B$2,'Report-SOF1920-HB3'!D$102,0)</f>
        <v>0</v>
      </c>
      <c r="J170" s="1037">
        <f>IF(A170='Data Entry - SOF'!B$2,'Data Entry - SOF'!G$102,0)</f>
        <v>0</v>
      </c>
      <c r="K170" s="717">
        <f t="shared" si="15"/>
        <v>3827088</v>
      </c>
      <c r="L170" s="944">
        <f>IF(A170='Data Entry - SOF'!B$2,'Report-SOF2021'!D$99,0)</f>
        <v>0</v>
      </c>
      <c r="M170" s="723">
        <f>IF(A170='Data Entry - SOF'!B$2,'Data Entry - SOF'!M$102,0)</f>
        <v>0</v>
      </c>
      <c r="N170" s="717">
        <f t="shared" si="16"/>
        <v>3827088</v>
      </c>
      <c r="O170" s="944">
        <f>IF(A170='Data Entry - SOF'!B$2,'Report-SOF2122'!D$91,0)</f>
        <v>0</v>
      </c>
      <c r="P170" s="723">
        <f>IF(A170='Data Entry - SOF'!B$2,'Data Entry - SOF'!O$102,0)</f>
        <v>0</v>
      </c>
      <c r="Q170" s="601">
        <f t="shared" si="13"/>
        <v>3827088</v>
      </c>
      <c r="R170" s="944">
        <f>IF(A170='Data Entry - SOF'!B$2,'Report-SOF2223'!D$91,0)</f>
        <v>0</v>
      </c>
      <c r="S170" s="723">
        <f>IF(A170='Data Entry - SOF'!B$2,'Data Entry - SOF'!Q$102,0)</f>
        <v>0</v>
      </c>
      <c r="T170" s="601">
        <f t="shared" si="17"/>
        <v>3827088</v>
      </c>
      <c r="U170" s="944">
        <f>IF(A170='Data Entry - SOF'!B$2,'Report-SOF2324'!D$91,0)</f>
        <v>0</v>
      </c>
      <c r="V170" s="723">
        <f>IF(A170='Data Entry - SOF'!B$2,'Data Entry - SOF'!S$102,0)</f>
        <v>0</v>
      </c>
    </row>
    <row r="171" spans="1:22" ht="15.75">
      <c r="A171" s="382" t="s">
        <v>1425</v>
      </c>
      <c r="B171" s="91">
        <v>620520436</v>
      </c>
      <c r="C171" s="944">
        <f>IF(A171='Data Entry - SOF'!B$2,'Report-SOF1718'!D$102,0)</f>
        <v>0</v>
      </c>
      <c r="D171" s="1037">
        <f>IF(A171='Data Entry - SOF'!B$2,'Data Entry - SOF'!#REF!,0)</f>
        <v>0</v>
      </c>
      <c r="E171" s="91">
        <f t="shared" si="12"/>
        <v>620520436</v>
      </c>
      <c r="F171" s="944">
        <f>IF(A171='Data Entry - SOF'!B$2,'Report-SOF1819'!D$102,0)</f>
        <v>0</v>
      </c>
      <c r="G171" s="1037">
        <f>IF(A171='Data Entry - SOF'!B$2,'Data Entry - SOF'!E$102,0)</f>
        <v>0</v>
      </c>
      <c r="H171" s="1038">
        <f t="shared" si="14"/>
        <v>620520436</v>
      </c>
      <c r="I171" s="944">
        <f>IF(A171='Data Entry - SOF'!B$2,'Report-SOF1920-HB3'!D$102,0)</f>
        <v>0</v>
      </c>
      <c r="J171" s="1037">
        <f>IF(A171='Data Entry - SOF'!B$2,'Data Entry - SOF'!G$102,0)</f>
        <v>0</v>
      </c>
      <c r="K171" s="717">
        <f t="shared" si="15"/>
        <v>620520436</v>
      </c>
      <c r="L171" s="944">
        <f>IF(A171='Data Entry - SOF'!B$2,'Report-SOF2021'!D$99,0)</f>
        <v>0</v>
      </c>
      <c r="M171" s="723">
        <f>IF(A171='Data Entry - SOF'!B$2,'Data Entry - SOF'!M$102,0)</f>
        <v>0</v>
      </c>
      <c r="N171" s="717">
        <f t="shared" si="16"/>
        <v>620520436</v>
      </c>
      <c r="O171" s="944">
        <f>IF(A171='Data Entry - SOF'!B$2,'Report-SOF2122'!D$91,0)</f>
        <v>0</v>
      </c>
      <c r="P171" s="723">
        <f>IF(A171='Data Entry - SOF'!B$2,'Data Entry - SOF'!O$102,0)</f>
        <v>0</v>
      </c>
      <c r="Q171" s="601">
        <f t="shared" si="13"/>
        <v>620520436</v>
      </c>
      <c r="R171" s="944">
        <f>IF(A171='Data Entry - SOF'!B$2,'Report-SOF2223'!D$91,0)</f>
        <v>0</v>
      </c>
      <c r="S171" s="723">
        <f>IF(A171='Data Entry - SOF'!B$2,'Data Entry - SOF'!Q$102,0)</f>
        <v>0</v>
      </c>
      <c r="T171" s="601">
        <f t="shared" si="17"/>
        <v>620520436</v>
      </c>
      <c r="U171" s="944">
        <f>IF(A171='Data Entry - SOF'!B$2,'Report-SOF2324'!D$91,0)</f>
        <v>0</v>
      </c>
      <c r="V171" s="723">
        <f>IF(A171='Data Entry - SOF'!B$2,'Data Entry - SOF'!S$102,0)</f>
        <v>0</v>
      </c>
    </row>
    <row r="172" spans="1:22" ht="15.75">
      <c r="A172" s="382" t="s">
        <v>2530</v>
      </c>
      <c r="B172" s="91">
        <v>425083550</v>
      </c>
      <c r="C172" s="944">
        <f>IF(A172='Data Entry - SOF'!B$2,'Report-SOF1718'!D$102,0)</f>
        <v>0</v>
      </c>
      <c r="D172" s="1037">
        <f>IF(A172='Data Entry - SOF'!B$2,'Data Entry - SOF'!#REF!,0)</f>
        <v>0</v>
      </c>
      <c r="E172" s="91">
        <f t="shared" si="12"/>
        <v>425083550</v>
      </c>
      <c r="F172" s="944">
        <f>IF(A172='Data Entry - SOF'!B$2,'Report-SOF1819'!D$102,0)</f>
        <v>0</v>
      </c>
      <c r="G172" s="1037">
        <f>IF(A172='Data Entry - SOF'!B$2,'Data Entry - SOF'!E$102,0)</f>
        <v>0</v>
      </c>
      <c r="H172" s="1038">
        <f t="shared" si="14"/>
        <v>425083550</v>
      </c>
      <c r="I172" s="944">
        <f>IF(A172='Data Entry - SOF'!B$2,'Report-SOF1920-HB3'!D$102,0)</f>
        <v>0</v>
      </c>
      <c r="J172" s="1037">
        <f>IF(A172='Data Entry - SOF'!B$2,'Data Entry - SOF'!G$102,0)</f>
        <v>0</v>
      </c>
      <c r="K172" s="717">
        <f t="shared" si="15"/>
        <v>425083550</v>
      </c>
      <c r="L172" s="944">
        <f>IF(A172='Data Entry - SOF'!B$2,'Report-SOF2021'!D$99,0)</f>
        <v>0</v>
      </c>
      <c r="M172" s="723">
        <f>IF(A172='Data Entry - SOF'!B$2,'Data Entry - SOF'!M$102,0)</f>
        <v>0</v>
      </c>
      <c r="N172" s="717">
        <f t="shared" si="16"/>
        <v>425083550</v>
      </c>
      <c r="O172" s="944">
        <f>IF(A172='Data Entry - SOF'!B$2,'Report-SOF2122'!D$91,0)</f>
        <v>0</v>
      </c>
      <c r="P172" s="723">
        <f>IF(A172='Data Entry - SOF'!B$2,'Data Entry - SOF'!O$102,0)</f>
        <v>0</v>
      </c>
      <c r="Q172" s="601">
        <f t="shared" si="13"/>
        <v>425083550</v>
      </c>
      <c r="R172" s="944">
        <f>IF(A172='Data Entry - SOF'!B$2,'Report-SOF2223'!D$91,0)</f>
        <v>0</v>
      </c>
      <c r="S172" s="723">
        <f>IF(A172='Data Entry - SOF'!B$2,'Data Entry - SOF'!Q$102,0)</f>
        <v>0</v>
      </c>
      <c r="T172" s="601">
        <f t="shared" si="17"/>
        <v>425083550</v>
      </c>
      <c r="U172" s="944">
        <f>IF(A172='Data Entry - SOF'!B$2,'Report-SOF2324'!D$91,0)</f>
        <v>0</v>
      </c>
      <c r="V172" s="723">
        <f>IF(A172='Data Entry - SOF'!B$2,'Data Entry - SOF'!S$102,0)</f>
        <v>0</v>
      </c>
    </row>
    <row r="173" spans="1:22" ht="15.75">
      <c r="A173" s="382" t="s">
        <v>649</v>
      </c>
      <c r="B173" s="91">
        <v>18783358</v>
      </c>
      <c r="C173" s="944">
        <f>IF(A173='Data Entry - SOF'!B$2,'Report-SOF1718'!D$102,0)</f>
        <v>0</v>
      </c>
      <c r="D173" s="1037">
        <f>IF(A173='Data Entry - SOF'!B$2,'Data Entry - SOF'!#REF!,0)</f>
        <v>0</v>
      </c>
      <c r="E173" s="91">
        <f t="shared" si="12"/>
        <v>18783358</v>
      </c>
      <c r="F173" s="944">
        <f>IF(A173='Data Entry - SOF'!B$2,'Report-SOF1819'!D$102,0)</f>
        <v>0</v>
      </c>
      <c r="G173" s="1037">
        <f>IF(A173='Data Entry - SOF'!B$2,'Data Entry - SOF'!E$102,0)</f>
        <v>0</v>
      </c>
      <c r="H173" s="1038">
        <f t="shared" si="14"/>
        <v>18783358</v>
      </c>
      <c r="I173" s="944">
        <f>IF(A173='Data Entry - SOF'!B$2,'Report-SOF1920-HB3'!D$102,0)</f>
        <v>0</v>
      </c>
      <c r="J173" s="1037">
        <f>IF(A173='Data Entry - SOF'!B$2,'Data Entry - SOF'!G$102,0)</f>
        <v>0</v>
      </c>
      <c r="K173" s="717">
        <f t="shared" si="15"/>
        <v>18783358</v>
      </c>
      <c r="L173" s="944">
        <f>IF(A173='Data Entry - SOF'!B$2,'Report-SOF2021'!D$99,0)</f>
        <v>0</v>
      </c>
      <c r="M173" s="723">
        <f>IF(A173='Data Entry - SOF'!B$2,'Data Entry - SOF'!M$102,0)</f>
        <v>0</v>
      </c>
      <c r="N173" s="717">
        <f t="shared" si="16"/>
        <v>18783358</v>
      </c>
      <c r="O173" s="944">
        <f>IF(A173='Data Entry - SOF'!B$2,'Report-SOF2122'!D$91,0)</f>
        <v>0</v>
      </c>
      <c r="P173" s="723">
        <f>IF(A173='Data Entry - SOF'!B$2,'Data Entry - SOF'!O$102,0)</f>
        <v>0</v>
      </c>
      <c r="Q173" s="601">
        <f t="shared" si="13"/>
        <v>18783358</v>
      </c>
      <c r="R173" s="944">
        <f>IF(A173='Data Entry - SOF'!B$2,'Report-SOF2223'!D$91,0)</f>
        <v>0</v>
      </c>
      <c r="S173" s="723">
        <f>IF(A173='Data Entry - SOF'!B$2,'Data Entry - SOF'!Q$102,0)</f>
        <v>0</v>
      </c>
      <c r="T173" s="601">
        <f t="shared" si="17"/>
        <v>18783358</v>
      </c>
      <c r="U173" s="944">
        <f>IF(A173='Data Entry - SOF'!B$2,'Report-SOF2324'!D$91,0)</f>
        <v>0</v>
      </c>
      <c r="V173" s="723">
        <f>IF(A173='Data Entry - SOF'!B$2,'Data Entry - SOF'!S$102,0)</f>
        <v>0</v>
      </c>
    </row>
    <row r="174" spans="1:22" ht="15.75">
      <c r="A174" s="382" t="s">
        <v>650</v>
      </c>
      <c r="B174" s="91">
        <v>661064563</v>
      </c>
      <c r="C174" s="944">
        <f>IF(A174='Data Entry - SOF'!B$2,'Report-SOF1718'!D$102,0)</f>
        <v>0</v>
      </c>
      <c r="D174" s="1037">
        <f>IF(A174='Data Entry - SOF'!B$2,'Data Entry - SOF'!#REF!,0)</f>
        <v>0</v>
      </c>
      <c r="E174" s="91">
        <f t="shared" si="12"/>
        <v>661064563</v>
      </c>
      <c r="F174" s="944">
        <f>IF(A174='Data Entry - SOF'!B$2,'Report-SOF1819'!D$102,0)</f>
        <v>0</v>
      </c>
      <c r="G174" s="1037">
        <f>IF(A174='Data Entry - SOF'!B$2,'Data Entry - SOF'!E$102,0)</f>
        <v>0</v>
      </c>
      <c r="H174" s="1038">
        <f t="shared" si="14"/>
        <v>661064563</v>
      </c>
      <c r="I174" s="944">
        <f>IF(A174='Data Entry - SOF'!B$2,'Report-SOF1920-HB3'!D$102,0)</f>
        <v>0</v>
      </c>
      <c r="J174" s="1037">
        <f>IF(A174='Data Entry - SOF'!B$2,'Data Entry - SOF'!G$102,0)</f>
        <v>0</v>
      </c>
      <c r="K174" s="717">
        <f t="shared" si="15"/>
        <v>661064563</v>
      </c>
      <c r="L174" s="944">
        <f>IF(A174='Data Entry - SOF'!B$2,'Report-SOF2021'!D$99,0)</f>
        <v>0</v>
      </c>
      <c r="M174" s="723">
        <f>IF(A174='Data Entry - SOF'!B$2,'Data Entry - SOF'!M$102,0)</f>
        <v>0</v>
      </c>
      <c r="N174" s="717">
        <f t="shared" si="16"/>
        <v>661064563</v>
      </c>
      <c r="O174" s="944">
        <f>IF(A174='Data Entry - SOF'!B$2,'Report-SOF2122'!D$91,0)</f>
        <v>0</v>
      </c>
      <c r="P174" s="723">
        <f>IF(A174='Data Entry - SOF'!B$2,'Data Entry - SOF'!O$102,0)</f>
        <v>0</v>
      </c>
      <c r="Q174" s="601">
        <f t="shared" si="13"/>
        <v>661064563</v>
      </c>
      <c r="R174" s="944">
        <f>IF(A174='Data Entry - SOF'!B$2,'Report-SOF2223'!D$91,0)</f>
        <v>0</v>
      </c>
      <c r="S174" s="723">
        <f>IF(A174='Data Entry - SOF'!B$2,'Data Entry - SOF'!Q$102,0)</f>
        <v>0</v>
      </c>
      <c r="T174" s="601">
        <f t="shared" si="17"/>
        <v>661064563</v>
      </c>
      <c r="U174" s="944">
        <f>IF(A174='Data Entry - SOF'!B$2,'Report-SOF2324'!D$91,0)</f>
        <v>0</v>
      </c>
      <c r="V174" s="723">
        <f>IF(A174='Data Entry - SOF'!B$2,'Data Entry - SOF'!S$102,0)</f>
        <v>0</v>
      </c>
    </row>
    <row r="175" spans="1:22" ht="15.75">
      <c r="A175" s="382" t="s">
        <v>218</v>
      </c>
      <c r="B175" s="91">
        <v>8072464</v>
      </c>
      <c r="C175" s="944">
        <f>IF(A175='Data Entry - SOF'!B$2,'Report-SOF1718'!D$102,0)</f>
        <v>0</v>
      </c>
      <c r="D175" s="1037">
        <f>IF(A175='Data Entry - SOF'!B$2,'Data Entry - SOF'!#REF!,0)</f>
        <v>0</v>
      </c>
      <c r="E175" s="91">
        <f t="shared" si="12"/>
        <v>8072464</v>
      </c>
      <c r="F175" s="944">
        <f>IF(A175='Data Entry - SOF'!B$2,'Report-SOF1819'!D$102,0)</f>
        <v>0</v>
      </c>
      <c r="G175" s="1037">
        <f>IF(A175='Data Entry - SOF'!B$2,'Data Entry - SOF'!E$102,0)</f>
        <v>0</v>
      </c>
      <c r="H175" s="1038">
        <f t="shared" si="14"/>
        <v>8072464</v>
      </c>
      <c r="I175" s="944">
        <f>IF(A175='Data Entry - SOF'!B$2,'Report-SOF1920-HB3'!D$102,0)</f>
        <v>0</v>
      </c>
      <c r="J175" s="1037">
        <f>IF(A175='Data Entry - SOF'!B$2,'Data Entry - SOF'!G$102,0)</f>
        <v>0</v>
      </c>
      <c r="K175" s="717">
        <f t="shared" si="15"/>
        <v>8072464</v>
      </c>
      <c r="L175" s="944">
        <f>IF(A175='Data Entry - SOF'!B$2,'Report-SOF2021'!D$99,0)</f>
        <v>0</v>
      </c>
      <c r="M175" s="723">
        <f>IF(A175='Data Entry - SOF'!B$2,'Data Entry - SOF'!M$102,0)</f>
        <v>0</v>
      </c>
      <c r="N175" s="717">
        <f t="shared" si="16"/>
        <v>8072464</v>
      </c>
      <c r="O175" s="944">
        <f>IF(A175='Data Entry - SOF'!B$2,'Report-SOF2122'!D$91,0)</f>
        <v>0</v>
      </c>
      <c r="P175" s="723">
        <f>IF(A175='Data Entry - SOF'!B$2,'Data Entry - SOF'!O$102,0)</f>
        <v>0</v>
      </c>
      <c r="Q175" s="601">
        <f t="shared" si="13"/>
        <v>8072464</v>
      </c>
      <c r="R175" s="944">
        <f>IF(A175='Data Entry - SOF'!B$2,'Report-SOF2223'!D$91,0)</f>
        <v>0</v>
      </c>
      <c r="S175" s="723">
        <f>IF(A175='Data Entry - SOF'!B$2,'Data Entry - SOF'!Q$102,0)</f>
        <v>0</v>
      </c>
      <c r="T175" s="601">
        <f t="shared" si="17"/>
        <v>8072464</v>
      </c>
      <c r="U175" s="944">
        <f>IF(A175='Data Entry - SOF'!B$2,'Report-SOF2324'!D$91,0)</f>
        <v>0</v>
      </c>
      <c r="V175" s="723">
        <f>IF(A175='Data Entry - SOF'!B$2,'Data Entry - SOF'!S$102,0)</f>
        <v>0</v>
      </c>
    </row>
    <row r="176" spans="1:22" ht="15.75">
      <c r="A176" s="382" t="s">
        <v>1583</v>
      </c>
      <c r="B176" s="91">
        <v>98238827</v>
      </c>
      <c r="C176" s="944">
        <f>IF(A176='Data Entry - SOF'!B$2,'Report-SOF1718'!D$102,0)</f>
        <v>0</v>
      </c>
      <c r="D176" s="1037">
        <f>IF(A176='Data Entry - SOF'!B$2,'Data Entry - SOF'!#REF!,0)</f>
        <v>0</v>
      </c>
      <c r="E176" s="91">
        <f t="shared" si="12"/>
        <v>98238827</v>
      </c>
      <c r="F176" s="944">
        <f>IF(A176='Data Entry - SOF'!B$2,'Report-SOF1819'!D$102,0)</f>
        <v>0</v>
      </c>
      <c r="G176" s="1037">
        <f>IF(A176='Data Entry - SOF'!B$2,'Data Entry - SOF'!E$102,0)</f>
        <v>0</v>
      </c>
      <c r="H176" s="1038">
        <f t="shared" si="14"/>
        <v>98238827</v>
      </c>
      <c r="I176" s="944">
        <f>IF(A176='Data Entry - SOF'!B$2,'Report-SOF1920-HB3'!D$102,0)</f>
        <v>0</v>
      </c>
      <c r="J176" s="1037">
        <f>IF(A176='Data Entry - SOF'!B$2,'Data Entry - SOF'!G$102,0)</f>
        <v>0</v>
      </c>
      <c r="K176" s="717">
        <f t="shared" si="15"/>
        <v>98238827</v>
      </c>
      <c r="L176" s="944">
        <f>IF(A176='Data Entry - SOF'!B$2,'Report-SOF2021'!D$99,0)</f>
        <v>0</v>
      </c>
      <c r="M176" s="723">
        <f>IF(A176='Data Entry - SOF'!B$2,'Data Entry - SOF'!M$102,0)</f>
        <v>0</v>
      </c>
      <c r="N176" s="717">
        <f t="shared" si="16"/>
        <v>98238827</v>
      </c>
      <c r="O176" s="944">
        <f>IF(A176='Data Entry - SOF'!B$2,'Report-SOF2122'!D$91,0)</f>
        <v>0</v>
      </c>
      <c r="P176" s="723">
        <f>IF(A176='Data Entry - SOF'!B$2,'Data Entry - SOF'!O$102,0)</f>
        <v>0</v>
      </c>
      <c r="Q176" s="601">
        <f t="shared" si="13"/>
        <v>98238827</v>
      </c>
      <c r="R176" s="944">
        <f>IF(A176='Data Entry - SOF'!B$2,'Report-SOF2223'!D$91,0)</f>
        <v>0</v>
      </c>
      <c r="S176" s="723">
        <f>IF(A176='Data Entry - SOF'!B$2,'Data Entry - SOF'!Q$102,0)</f>
        <v>0</v>
      </c>
      <c r="T176" s="601">
        <f t="shared" si="17"/>
        <v>98238827</v>
      </c>
      <c r="U176" s="944">
        <f>IF(A176='Data Entry - SOF'!B$2,'Report-SOF2324'!D$91,0)</f>
        <v>0</v>
      </c>
      <c r="V176" s="723">
        <f>IF(A176='Data Entry - SOF'!B$2,'Data Entry - SOF'!S$102,0)</f>
        <v>0</v>
      </c>
    </row>
    <row r="177" spans="1:22" ht="15.75">
      <c r="A177" s="382" t="s">
        <v>1184</v>
      </c>
      <c r="B177" s="91">
        <v>106041452</v>
      </c>
      <c r="C177" s="944">
        <f>IF(A177='Data Entry - SOF'!B$2,'Report-SOF1718'!D$102,0)</f>
        <v>0</v>
      </c>
      <c r="D177" s="1037">
        <f>IF(A177='Data Entry - SOF'!B$2,'Data Entry - SOF'!#REF!,0)</f>
        <v>0</v>
      </c>
      <c r="E177" s="91">
        <f t="shared" si="12"/>
        <v>106041452</v>
      </c>
      <c r="F177" s="944">
        <f>IF(A177='Data Entry - SOF'!B$2,'Report-SOF1819'!D$102,0)</f>
        <v>0</v>
      </c>
      <c r="G177" s="1037">
        <f>IF(A177='Data Entry - SOF'!B$2,'Data Entry - SOF'!E$102,0)</f>
        <v>0</v>
      </c>
      <c r="H177" s="1038">
        <f t="shared" si="14"/>
        <v>106041452</v>
      </c>
      <c r="I177" s="944">
        <f>IF(A177='Data Entry - SOF'!B$2,'Report-SOF1920-HB3'!D$102,0)</f>
        <v>0</v>
      </c>
      <c r="J177" s="1037">
        <f>IF(A177='Data Entry - SOF'!B$2,'Data Entry - SOF'!G$102,0)</f>
        <v>0</v>
      </c>
      <c r="K177" s="717">
        <f t="shared" si="15"/>
        <v>106041452</v>
      </c>
      <c r="L177" s="944">
        <f>IF(A177='Data Entry - SOF'!B$2,'Report-SOF2021'!D$99,0)</f>
        <v>0</v>
      </c>
      <c r="M177" s="723">
        <f>IF(A177='Data Entry - SOF'!B$2,'Data Entry - SOF'!M$102,0)</f>
        <v>0</v>
      </c>
      <c r="N177" s="717">
        <f t="shared" si="16"/>
        <v>106041452</v>
      </c>
      <c r="O177" s="944">
        <f>IF(A177='Data Entry - SOF'!B$2,'Report-SOF2122'!D$91,0)</f>
        <v>0</v>
      </c>
      <c r="P177" s="723">
        <f>IF(A177='Data Entry - SOF'!B$2,'Data Entry - SOF'!O$102,0)</f>
        <v>0</v>
      </c>
      <c r="Q177" s="601">
        <f t="shared" si="13"/>
        <v>106041452</v>
      </c>
      <c r="R177" s="944">
        <f>IF(A177='Data Entry - SOF'!B$2,'Report-SOF2223'!D$91,0)</f>
        <v>0</v>
      </c>
      <c r="S177" s="723">
        <f>IF(A177='Data Entry - SOF'!B$2,'Data Entry - SOF'!Q$102,0)</f>
        <v>0</v>
      </c>
      <c r="T177" s="601">
        <f t="shared" si="17"/>
        <v>106041452</v>
      </c>
      <c r="U177" s="944">
        <f>IF(A177='Data Entry - SOF'!B$2,'Report-SOF2324'!D$91,0)</f>
        <v>0</v>
      </c>
      <c r="V177" s="723">
        <f>IF(A177='Data Entry - SOF'!B$2,'Data Entry - SOF'!S$102,0)</f>
        <v>0</v>
      </c>
    </row>
    <row r="178" spans="1:22" ht="15.75">
      <c r="A178" s="382" t="s">
        <v>878</v>
      </c>
      <c r="B178" s="91">
        <v>1920884</v>
      </c>
      <c r="C178" s="944">
        <f>IF(A178='Data Entry - SOF'!B$2,'Report-SOF1718'!D$102,0)</f>
        <v>0</v>
      </c>
      <c r="D178" s="1037">
        <f>IF(A178='Data Entry - SOF'!B$2,'Data Entry - SOF'!#REF!,0)</f>
        <v>0</v>
      </c>
      <c r="E178" s="91">
        <f t="shared" si="12"/>
        <v>1920884</v>
      </c>
      <c r="F178" s="944">
        <f>IF(A178='Data Entry - SOF'!B$2,'Report-SOF1819'!D$102,0)</f>
        <v>0</v>
      </c>
      <c r="G178" s="1037">
        <f>IF(A178='Data Entry - SOF'!B$2,'Data Entry - SOF'!E$102,0)</f>
        <v>0</v>
      </c>
      <c r="H178" s="1038">
        <f t="shared" si="14"/>
        <v>1920884</v>
      </c>
      <c r="I178" s="944">
        <f>IF(A178='Data Entry - SOF'!B$2,'Report-SOF1920-HB3'!D$102,0)</f>
        <v>0</v>
      </c>
      <c r="J178" s="1037">
        <f>IF(A178='Data Entry - SOF'!B$2,'Data Entry - SOF'!G$102,0)</f>
        <v>0</v>
      </c>
      <c r="K178" s="717">
        <f t="shared" si="15"/>
        <v>1920884</v>
      </c>
      <c r="L178" s="944">
        <f>IF(A178='Data Entry - SOF'!B$2,'Report-SOF2021'!D$99,0)</f>
        <v>0</v>
      </c>
      <c r="M178" s="723">
        <f>IF(A178='Data Entry - SOF'!B$2,'Data Entry - SOF'!M$102,0)</f>
        <v>0</v>
      </c>
      <c r="N178" s="717">
        <f t="shared" si="16"/>
        <v>1920884</v>
      </c>
      <c r="O178" s="944">
        <f>IF(A178='Data Entry - SOF'!B$2,'Report-SOF2122'!D$91,0)</f>
        <v>0</v>
      </c>
      <c r="P178" s="723">
        <f>IF(A178='Data Entry - SOF'!B$2,'Data Entry - SOF'!O$102,0)</f>
        <v>0</v>
      </c>
      <c r="Q178" s="601">
        <f t="shared" si="13"/>
        <v>1920884</v>
      </c>
      <c r="R178" s="944">
        <f>IF(A178='Data Entry - SOF'!B$2,'Report-SOF2223'!D$91,0)</f>
        <v>0</v>
      </c>
      <c r="S178" s="723">
        <f>IF(A178='Data Entry - SOF'!B$2,'Data Entry - SOF'!Q$102,0)</f>
        <v>0</v>
      </c>
      <c r="T178" s="601">
        <f t="shared" si="17"/>
        <v>1920884</v>
      </c>
      <c r="U178" s="944">
        <f>IF(A178='Data Entry - SOF'!B$2,'Report-SOF2324'!D$91,0)</f>
        <v>0</v>
      </c>
      <c r="V178" s="723">
        <f>IF(A178='Data Entry - SOF'!B$2,'Data Entry - SOF'!S$102,0)</f>
        <v>0</v>
      </c>
    </row>
    <row r="179" spans="1:22" ht="15.75">
      <c r="A179" s="382" t="s">
        <v>1438</v>
      </c>
      <c r="B179" s="91">
        <v>10817485</v>
      </c>
      <c r="C179" s="944">
        <f>IF(A179='Data Entry - SOF'!B$2,'Report-SOF1718'!D$102,0)</f>
        <v>0</v>
      </c>
      <c r="D179" s="1037">
        <f>IF(A179='Data Entry - SOF'!B$2,'Data Entry - SOF'!#REF!,0)</f>
        <v>0</v>
      </c>
      <c r="E179" s="91">
        <f t="shared" si="12"/>
        <v>10817485</v>
      </c>
      <c r="F179" s="944">
        <f>IF(A179='Data Entry - SOF'!B$2,'Report-SOF1819'!D$102,0)</f>
        <v>0</v>
      </c>
      <c r="G179" s="1037">
        <f>IF(A179='Data Entry - SOF'!B$2,'Data Entry - SOF'!E$102,0)</f>
        <v>0</v>
      </c>
      <c r="H179" s="1038">
        <f t="shared" si="14"/>
        <v>10817485</v>
      </c>
      <c r="I179" s="944">
        <f>IF(A179='Data Entry - SOF'!B$2,'Report-SOF1920-HB3'!D$102,0)</f>
        <v>0</v>
      </c>
      <c r="J179" s="1037">
        <f>IF(A179='Data Entry - SOF'!B$2,'Data Entry - SOF'!G$102,0)</f>
        <v>0</v>
      </c>
      <c r="K179" s="717">
        <f t="shared" si="15"/>
        <v>10817485</v>
      </c>
      <c r="L179" s="944">
        <f>IF(A179='Data Entry - SOF'!B$2,'Report-SOF2021'!D$99,0)</f>
        <v>0</v>
      </c>
      <c r="M179" s="723">
        <f>IF(A179='Data Entry - SOF'!B$2,'Data Entry - SOF'!M$102,0)</f>
        <v>0</v>
      </c>
      <c r="N179" s="717">
        <f t="shared" si="16"/>
        <v>10817485</v>
      </c>
      <c r="O179" s="944">
        <f>IF(A179='Data Entry - SOF'!B$2,'Report-SOF2122'!D$91,0)</f>
        <v>0</v>
      </c>
      <c r="P179" s="723">
        <f>IF(A179='Data Entry - SOF'!B$2,'Data Entry - SOF'!O$102,0)</f>
        <v>0</v>
      </c>
      <c r="Q179" s="601">
        <f t="shared" si="13"/>
        <v>10817485</v>
      </c>
      <c r="R179" s="944">
        <f>IF(A179='Data Entry - SOF'!B$2,'Report-SOF2223'!D$91,0)</f>
        <v>0</v>
      </c>
      <c r="S179" s="723">
        <f>IF(A179='Data Entry - SOF'!B$2,'Data Entry - SOF'!Q$102,0)</f>
        <v>0</v>
      </c>
      <c r="T179" s="601">
        <f t="shared" si="17"/>
        <v>10817485</v>
      </c>
      <c r="U179" s="944">
        <f>IF(A179='Data Entry - SOF'!B$2,'Report-SOF2324'!D$91,0)</f>
        <v>0</v>
      </c>
      <c r="V179" s="723">
        <f>IF(A179='Data Entry - SOF'!B$2,'Data Entry - SOF'!S$102,0)</f>
        <v>0</v>
      </c>
    </row>
    <row r="180" spans="1:22" ht="15.75">
      <c r="A180" s="382" t="s">
        <v>253</v>
      </c>
      <c r="B180" s="91">
        <v>66765577</v>
      </c>
      <c r="C180" s="944">
        <f>IF(A180='Data Entry - SOF'!B$2,'Report-SOF1718'!D$102,0)</f>
        <v>0</v>
      </c>
      <c r="D180" s="1037">
        <f>IF(A180='Data Entry - SOF'!B$2,'Data Entry - SOF'!#REF!,0)</f>
        <v>0</v>
      </c>
      <c r="E180" s="91">
        <f t="shared" si="12"/>
        <v>66765577</v>
      </c>
      <c r="F180" s="944">
        <f>IF(A180='Data Entry - SOF'!B$2,'Report-SOF1819'!D$102,0)</f>
        <v>0</v>
      </c>
      <c r="G180" s="1037">
        <f>IF(A180='Data Entry - SOF'!B$2,'Data Entry - SOF'!E$102,0)</f>
        <v>0</v>
      </c>
      <c r="H180" s="1038">
        <f t="shared" si="14"/>
        <v>66765577</v>
      </c>
      <c r="I180" s="944">
        <f>IF(A180='Data Entry - SOF'!B$2,'Report-SOF1920-HB3'!D$102,0)</f>
        <v>0</v>
      </c>
      <c r="J180" s="1037">
        <f>IF(A180='Data Entry - SOF'!B$2,'Data Entry - SOF'!G$102,0)</f>
        <v>0</v>
      </c>
      <c r="K180" s="717">
        <f t="shared" si="15"/>
        <v>66765577</v>
      </c>
      <c r="L180" s="944">
        <f>IF(A180='Data Entry - SOF'!B$2,'Report-SOF2021'!D$99,0)</f>
        <v>0</v>
      </c>
      <c r="M180" s="723">
        <f>IF(A180='Data Entry - SOF'!B$2,'Data Entry - SOF'!M$102,0)</f>
        <v>0</v>
      </c>
      <c r="N180" s="717">
        <f t="shared" si="16"/>
        <v>66765577</v>
      </c>
      <c r="O180" s="944">
        <f>IF(A180='Data Entry - SOF'!B$2,'Report-SOF2122'!D$91,0)</f>
        <v>0</v>
      </c>
      <c r="P180" s="723">
        <f>IF(A180='Data Entry - SOF'!B$2,'Data Entry - SOF'!O$102,0)</f>
        <v>0</v>
      </c>
      <c r="Q180" s="601">
        <f t="shared" si="13"/>
        <v>66765577</v>
      </c>
      <c r="R180" s="944">
        <f>IF(A180='Data Entry - SOF'!B$2,'Report-SOF2223'!D$91,0)</f>
        <v>0</v>
      </c>
      <c r="S180" s="723">
        <f>IF(A180='Data Entry - SOF'!B$2,'Data Entry - SOF'!Q$102,0)</f>
        <v>0</v>
      </c>
      <c r="T180" s="601">
        <f t="shared" si="17"/>
        <v>66765577</v>
      </c>
      <c r="U180" s="944">
        <f>IF(A180='Data Entry - SOF'!B$2,'Report-SOF2324'!D$91,0)</f>
        <v>0</v>
      </c>
      <c r="V180" s="723">
        <f>IF(A180='Data Entry - SOF'!B$2,'Data Entry - SOF'!S$102,0)</f>
        <v>0</v>
      </c>
    </row>
    <row r="181" spans="1:22" ht="15.75">
      <c r="A181" s="382" t="s">
        <v>254</v>
      </c>
      <c r="B181" s="91">
        <v>928594</v>
      </c>
      <c r="C181" s="944">
        <f>IF(A181='Data Entry - SOF'!B$2,'Report-SOF1718'!D$102,0)</f>
        <v>0</v>
      </c>
      <c r="D181" s="1037">
        <f>IF(A181='Data Entry - SOF'!B$2,'Data Entry - SOF'!#REF!,0)</f>
        <v>0</v>
      </c>
      <c r="E181" s="91">
        <f t="shared" si="12"/>
        <v>928594</v>
      </c>
      <c r="F181" s="944">
        <f>IF(A181='Data Entry - SOF'!B$2,'Report-SOF1819'!D$102,0)</f>
        <v>0</v>
      </c>
      <c r="G181" s="1037">
        <f>IF(A181='Data Entry - SOF'!B$2,'Data Entry - SOF'!E$102,0)</f>
        <v>0</v>
      </c>
      <c r="H181" s="1038">
        <f t="shared" si="14"/>
        <v>928594</v>
      </c>
      <c r="I181" s="944">
        <f>IF(A181='Data Entry - SOF'!B$2,'Report-SOF1920-HB3'!D$102,0)</f>
        <v>0</v>
      </c>
      <c r="J181" s="1037">
        <f>IF(A181='Data Entry - SOF'!B$2,'Data Entry - SOF'!G$102,0)</f>
        <v>0</v>
      </c>
      <c r="K181" s="717">
        <f t="shared" si="15"/>
        <v>928594</v>
      </c>
      <c r="L181" s="944">
        <f>IF(A181='Data Entry - SOF'!B$2,'Report-SOF2021'!D$99,0)</f>
        <v>0</v>
      </c>
      <c r="M181" s="723">
        <f>IF(A181='Data Entry - SOF'!B$2,'Data Entry - SOF'!M$102,0)</f>
        <v>0</v>
      </c>
      <c r="N181" s="717">
        <f t="shared" si="16"/>
        <v>928594</v>
      </c>
      <c r="O181" s="944">
        <f>IF(A181='Data Entry - SOF'!B$2,'Report-SOF2122'!D$91,0)</f>
        <v>0</v>
      </c>
      <c r="P181" s="723">
        <f>IF(A181='Data Entry - SOF'!B$2,'Data Entry - SOF'!O$102,0)</f>
        <v>0</v>
      </c>
      <c r="Q181" s="601">
        <f t="shared" si="13"/>
        <v>928594</v>
      </c>
      <c r="R181" s="944">
        <f>IF(A181='Data Entry - SOF'!B$2,'Report-SOF2223'!D$91,0)</f>
        <v>0</v>
      </c>
      <c r="S181" s="723">
        <f>IF(A181='Data Entry - SOF'!B$2,'Data Entry - SOF'!Q$102,0)</f>
        <v>0</v>
      </c>
      <c r="T181" s="601">
        <f t="shared" si="17"/>
        <v>928594</v>
      </c>
      <c r="U181" s="944">
        <f>IF(A181='Data Entry - SOF'!B$2,'Report-SOF2324'!D$91,0)</f>
        <v>0</v>
      </c>
      <c r="V181" s="723">
        <f>IF(A181='Data Entry - SOF'!B$2,'Data Entry - SOF'!S$102,0)</f>
        <v>0</v>
      </c>
    </row>
    <row r="182" spans="1:22" ht="15.75">
      <c r="A182" s="382" t="s">
        <v>1436</v>
      </c>
      <c r="B182" s="91">
        <v>5977143</v>
      </c>
      <c r="C182" s="944">
        <f>IF(A182='Data Entry - SOF'!B$2,'Report-SOF1718'!D$102,0)</f>
        <v>0</v>
      </c>
      <c r="D182" s="1037">
        <f>IF(A182='Data Entry - SOF'!B$2,'Data Entry - SOF'!#REF!,0)</f>
        <v>0</v>
      </c>
      <c r="E182" s="91">
        <f t="shared" si="12"/>
        <v>5977143</v>
      </c>
      <c r="F182" s="944">
        <f>IF(A182='Data Entry - SOF'!B$2,'Report-SOF1819'!D$102,0)</f>
        <v>0</v>
      </c>
      <c r="G182" s="1037">
        <f>IF(A182='Data Entry - SOF'!B$2,'Data Entry - SOF'!E$102,0)</f>
        <v>0</v>
      </c>
      <c r="H182" s="1038">
        <f t="shared" si="14"/>
        <v>5977143</v>
      </c>
      <c r="I182" s="944">
        <f>IF(A182='Data Entry - SOF'!B$2,'Report-SOF1920-HB3'!D$102,0)</f>
        <v>0</v>
      </c>
      <c r="J182" s="1037">
        <f>IF(A182='Data Entry - SOF'!B$2,'Data Entry - SOF'!G$102,0)</f>
        <v>0</v>
      </c>
      <c r="K182" s="717">
        <f t="shared" si="15"/>
        <v>5977143</v>
      </c>
      <c r="L182" s="944">
        <f>IF(A182='Data Entry - SOF'!B$2,'Report-SOF2021'!D$99,0)</f>
        <v>0</v>
      </c>
      <c r="M182" s="723">
        <f>IF(A182='Data Entry - SOF'!B$2,'Data Entry - SOF'!M$102,0)</f>
        <v>0</v>
      </c>
      <c r="N182" s="717">
        <f t="shared" si="16"/>
        <v>5977143</v>
      </c>
      <c r="O182" s="944">
        <f>IF(A182='Data Entry - SOF'!B$2,'Report-SOF2122'!D$91,0)</f>
        <v>0</v>
      </c>
      <c r="P182" s="723">
        <f>IF(A182='Data Entry - SOF'!B$2,'Data Entry - SOF'!O$102,0)</f>
        <v>0</v>
      </c>
      <c r="Q182" s="601">
        <f t="shared" si="13"/>
        <v>5977143</v>
      </c>
      <c r="R182" s="944">
        <f>IF(A182='Data Entry - SOF'!B$2,'Report-SOF2223'!D$91,0)</f>
        <v>0</v>
      </c>
      <c r="S182" s="723">
        <f>IF(A182='Data Entry - SOF'!B$2,'Data Entry - SOF'!Q$102,0)</f>
        <v>0</v>
      </c>
      <c r="T182" s="601">
        <f t="shared" si="17"/>
        <v>5977143</v>
      </c>
      <c r="U182" s="944">
        <f>IF(A182='Data Entry - SOF'!B$2,'Report-SOF2324'!D$91,0)</f>
        <v>0</v>
      </c>
      <c r="V182" s="723">
        <f>IF(A182='Data Entry - SOF'!B$2,'Data Entry - SOF'!S$102,0)</f>
        <v>0</v>
      </c>
    </row>
    <row r="183" spans="1:22" ht="15.75">
      <c r="A183" s="382" t="s">
        <v>589</v>
      </c>
      <c r="B183" s="91">
        <v>11218860</v>
      </c>
      <c r="C183" s="944">
        <f>IF(A183='Data Entry - SOF'!B$2,'Report-SOF1718'!D$102,0)</f>
        <v>0</v>
      </c>
      <c r="D183" s="1037">
        <f>IF(A183='Data Entry - SOF'!B$2,'Data Entry - SOF'!#REF!,0)</f>
        <v>0</v>
      </c>
      <c r="E183" s="91">
        <f t="shared" si="12"/>
        <v>11218860</v>
      </c>
      <c r="F183" s="944">
        <f>IF(A183='Data Entry - SOF'!B$2,'Report-SOF1819'!D$102,0)</f>
        <v>0</v>
      </c>
      <c r="G183" s="1037">
        <f>IF(A183='Data Entry - SOF'!B$2,'Data Entry - SOF'!E$102,0)</f>
        <v>0</v>
      </c>
      <c r="H183" s="1038">
        <f t="shared" si="14"/>
        <v>11218860</v>
      </c>
      <c r="I183" s="944">
        <f>IF(A183='Data Entry - SOF'!B$2,'Report-SOF1920-HB3'!D$102,0)</f>
        <v>0</v>
      </c>
      <c r="J183" s="1037">
        <f>IF(A183='Data Entry - SOF'!B$2,'Data Entry - SOF'!G$102,0)</f>
        <v>0</v>
      </c>
      <c r="K183" s="717">
        <f t="shared" si="15"/>
        <v>11218860</v>
      </c>
      <c r="L183" s="944">
        <f>IF(A183='Data Entry - SOF'!B$2,'Report-SOF2021'!D$99,0)</f>
        <v>0</v>
      </c>
      <c r="M183" s="723">
        <f>IF(A183='Data Entry - SOF'!B$2,'Data Entry - SOF'!M$102,0)</f>
        <v>0</v>
      </c>
      <c r="N183" s="717">
        <f t="shared" si="16"/>
        <v>11218860</v>
      </c>
      <c r="O183" s="944">
        <f>IF(A183='Data Entry - SOF'!B$2,'Report-SOF2122'!D$91,0)</f>
        <v>0</v>
      </c>
      <c r="P183" s="723">
        <f>IF(A183='Data Entry - SOF'!B$2,'Data Entry - SOF'!O$102,0)</f>
        <v>0</v>
      </c>
      <c r="Q183" s="601">
        <f t="shared" si="13"/>
        <v>11218860</v>
      </c>
      <c r="R183" s="944">
        <f>IF(A183='Data Entry - SOF'!B$2,'Report-SOF2223'!D$91,0)</f>
        <v>0</v>
      </c>
      <c r="S183" s="723">
        <f>IF(A183='Data Entry - SOF'!B$2,'Data Entry - SOF'!Q$102,0)</f>
        <v>0</v>
      </c>
      <c r="T183" s="601">
        <f t="shared" si="17"/>
        <v>11218860</v>
      </c>
      <c r="U183" s="944">
        <f>IF(A183='Data Entry - SOF'!B$2,'Report-SOF2324'!D$91,0)</f>
        <v>0</v>
      </c>
      <c r="V183" s="723">
        <f>IF(A183='Data Entry - SOF'!B$2,'Data Entry - SOF'!S$102,0)</f>
        <v>0</v>
      </c>
    </row>
    <row r="184" spans="1:22" ht="15.75">
      <c r="A184" s="382" t="s">
        <v>27</v>
      </c>
      <c r="B184" s="91">
        <v>5071105</v>
      </c>
      <c r="C184" s="944">
        <f>IF(A184='Data Entry - SOF'!B$2,'Report-SOF1718'!D$102,0)</f>
        <v>0</v>
      </c>
      <c r="D184" s="1037">
        <f>IF(A184='Data Entry - SOF'!B$2,'Data Entry - SOF'!#REF!,0)</f>
        <v>0</v>
      </c>
      <c r="E184" s="91">
        <f t="shared" si="12"/>
        <v>5071105</v>
      </c>
      <c r="F184" s="944">
        <f>IF(A184='Data Entry - SOF'!B$2,'Report-SOF1819'!D$102,0)</f>
        <v>0</v>
      </c>
      <c r="G184" s="1037">
        <f>IF(A184='Data Entry - SOF'!B$2,'Data Entry - SOF'!E$102,0)</f>
        <v>0</v>
      </c>
      <c r="H184" s="1038">
        <f t="shared" si="14"/>
        <v>5071105</v>
      </c>
      <c r="I184" s="944">
        <f>IF(A184='Data Entry - SOF'!B$2,'Report-SOF1920-HB3'!D$102,0)</f>
        <v>0</v>
      </c>
      <c r="J184" s="1037">
        <f>IF(A184='Data Entry - SOF'!B$2,'Data Entry - SOF'!G$102,0)</f>
        <v>0</v>
      </c>
      <c r="K184" s="717">
        <f t="shared" si="15"/>
        <v>5071105</v>
      </c>
      <c r="L184" s="944">
        <f>IF(A184='Data Entry - SOF'!B$2,'Report-SOF2021'!D$99,0)</f>
        <v>0</v>
      </c>
      <c r="M184" s="723">
        <f>IF(A184='Data Entry - SOF'!B$2,'Data Entry - SOF'!M$102,0)</f>
        <v>0</v>
      </c>
      <c r="N184" s="717">
        <f t="shared" si="16"/>
        <v>5071105</v>
      </c>
      <c r="O184" s="944">
        <f>IF(A184='Data Entry - SOF'!B$2,'Report-SOF2122'!D$91,0)</f>
        <v>0</v>
      </c>
      <c r="P184" s="723">
        <f>IF(A184='Data Entry - SOF'!B$2,'Data Entry - SOF'!O$102,0)</f>
        <v>0</v>
      </c>
      <c r="Q184" s="601">
        <f t="shared" si="13"/>
        <v>5071105</v>
      </c>
      <c r="R184" s="944">
        <f>IF(A184='Data Entry - SOF'!B$2,'Report-SOF2223'!D$91,0)</f>
        <v>0</v>
      </c>
      <c r="S184" s="723">
        <f>IF(A184='Data Entry - SOF'!B$2,'Data Entry - SOF'!Q$102,0)</f>
        <v>0</v>
      </c>
      <c r="T184" s="601">
        <f t="shared" si="17"/>
        <v>5071105</v>
      </c>
      <c r="U184" s="944">
        <f>IF(A184='Data Entry - SOF'!B$2,'Report-SOF2324'!D$91,0)</f>
        <v>0</v>
      </c>
      <c r="V184" s="723">
        <f>IF(A184='Data Entry - SOF'!B$2,'Data Entry - SOF'!S$102,0)</f>
        <v>0</v>
      </c>
    </row>
    <row r="185" spans="1:22" ht="15.75">
      <c r="A185" s="382" t="s">
        <v>28</v>
      </c>
      <c r="B185" s="91">
        <v>68103849</v>
      </c>
      <c r="C185" s="944">
        <f>IF(A185='Data Entry - SOF'!B$2,'Report-SOF1718'!D$102,0)</f>
        <v>0</v>
      </c>
      <c r="D185" s="1037">
        <f>IF(A185='Data Entry - SOF'!B$2,'Data Entry - SOF'!#REF!,0)</f>
        <v>0</v>
      </c>
      <c r="E185" s="91">
        <f t="shared" si="12"/>
        <v>68103849</v>
      </c>
      <c r="F185" s="944">
        <f>IF(A185='Data Entry - SOF'!B$2,'Report-SOF1819'!D$102,0)</f>
        <v>0</v>
      </c>
      <c r="G185" s="1037">
        <f>IF(A185='Data Entry - SOF'!B$2,'Data Entry - SOF'!E$102,0)</f>
        <v>0</v>
      </c>
      <c r="H185" s="1038">
        <f t="shared" si="14"/>
        <v>68103849</v>
      </c>
      <c r="I185" s="944">
        <f>IF(A185='Data Entry - SOF'!B$2,'Report-SOF1920-HB3'!D$102,0)</f>
        <v>0</v>
      </c>
      <c r="J185" s="1037">
        <f>IF(A185='Data Entry - SOF'!B$2,'Data Entry - SOF'!G$102,0)</f>
        <v>0</v>
      </c>
      <c r="K185" s="717">
        <f t="shared" si="15"/>
        <v>68103849</v>
      </c>
      <c r="L185" s="944">
        <f>IF(A185='Data Entry - SOF'!B$2,'Report-SOF2021'!D$99,0)</f>
        <v>0</v>
      </c>
      <c r="M185" s="723">
        <f>IF(A185='Data Entry - SOF'!B$2,'Data Entry - SOF'!M$102,0)</f>
        <v>0</v>
      </c>
      <c r="N185" s="717">
        <f t="shared" si="16"/>
        <v>68103849</v>
      </c>
      <c r="O185" s="944">
        <f>IF(A185='Data Entry - SOF'!B$2,'Report-SOF2122'!D$91,0)</f>
        <v>0</v>
      </c>
      <c r="P185" s="723">
        <f>IF(A185='Data Entry - SOF'!B$2,'Data Entry - SOF'!O$102,0)</f>
        <v>0</v>
      </c>
      <c r="Q185" s="601">
        <f t="shared" si="13"/>
        <v>68103849</v>
      </c>
      <c r="R185" s="944">
        <f>IF(A185='Data Entry - SOF'!B$2,'Report-SOF2223'!D$91,0)</f>
        <v>0</v>
      </c>
      <c r="S185" s="723">
        <f>IF(A185='Data Entry - SOF'!B$2,'Data Entry - SOF'!Q$102,0)</f>
        <v>0</v>
      </c>
      <c r="T185" s="601">
        <f t="shared" si="17"/>
        <v>68103849</v>
      </c>
      <c r="U185" s="944">
        <f>IF(A185='Data Entry - SOF'!B$2,'Report-SOF2324'!D$91,0)</f>
        <v>0</v>
      </c>
      <c r="V185" s="723">
        <f>IF(A185='Data Entry - SOF'!B$2,'Data Entry - SOF'!S$102,0)</f>
        <v>0</v>
      </c>
    </row>
    <row r="186" spans="1:22" ht="15.75">
      <c r="A186" s="382" t="s">
        <v>1265</v>
      </c>
      <c r="B186" s="91">
        <v>209683453</v>
      </c>
      <c r="C186" s="944">
        <f>IF(A186='Data Entry - SOF'!B$2,'Report-SOF1718'!D$102,0)</f>
        <v>0</v>
      </c>
      <c r="D186" s="1037">
        <f>IF(A186='Data Entry - SOF'!B$2,'Data Entry - SOF'!#REF!,0)</f>
        <v>0</v>
      </c>
      <c r="E186" s="91">
        <f t="shared" si="12"/>
        <v>209683453</v>
      </c>
      <c r="F186" s="944">
        <f>IF(A186='Data Entry - SOF'!B$2,'Report-SOF1819'!D$102,0)</f>
        <v>0</v>
      </c>
      <c r="G186" s="1037">
        <f>IF(A186='Data Entry - SOF'!B$2,'Data Entry - SOF'!E$102,0)</f>
        <v>0</v>
      </c>
      <c r="H186" s="1038">
        <f t="shared" si="14"/>
        <v>209683453</v>
      </c>
      <c r="I186" s="944">
        <f>IF(A186='Data Entry - SOF'!B$2,'Report-SOF1920-HB3'!D$102,0)</f>
        <v>0</v>
      </c>
      <c r="J186" s="1037">
        <f>IF(A186='Data Entry - SOF'!B$2,'Data Entry - SOF'!G$102,0)</f>
        <v>0</v>
      </c>
      <c r="K186" s="717">
        <f t="shared" si="15"/>
        <v>209683453</v>
      </c>
      <c r="L186" s="944">
        <f>IF(A186='Data Entry - SOF'!B$2,'Report-SOF2021'!D$99,0)</f>
        <v>0</v>
      </c>
      <c r="M186" s="723">
        <f>IF(A186='Data Entry - SOF'!B$2,'Data Entry - SOF'!M$102,0)</f>
        <v>0</v>
      </c>
      <c r="N186" s="717">
        <f t="shared" si="16"/>
        <v>209683453</v>
      </c>
      <c r="O186" s="944">
        <f>IF(A186='Data Entry - SOF'!B$2,'Report-SOF2122'!D$91,0)</f>
        <v>0</v>
      </c>
      <c r="P186" s="723">
        <f>IF(A186='Data Entry - SOF'!B$2,'Data Entry - SOF'!O$102,0)</f>
        <v>0</v>
      </c>
      <c r="Q186" s="601">
        <f t="shared" si="13"/>
        <v>209683453</v>
      </c>
      <c r="R186" s="944">
        <f>IF(A186='Data Entry - SOF'!B$2,'Report-SOF2223'!D$91,0)</f>
        <v>0</v>
      </c>
      <c r="S186" s="723">
        <f>IF(A186='Data Entry - SOF'!B$2,'Data Entry - SOF'!Q$102,0)</f>
        <v>0</v>
      </c>
      <c r="T186" s="601">
        <f t="shared" si="17"/>
        <v>209683453</v>
      </c>
      <c r="U186" s="944">
        <f>IF(A186='Data Entry - SOF'!B$2,'Report-SOF2324'!D$91,0)</f>
        <v>0</v>
      </c>
      <c r="V186" s="723">
        <f>IF(A186='Data Entry - SOF'!B$2,'Data Entry - SOF'!S$102,0)</f>
        <v>0</v>
      </c>
    </row>
    <row r="187" spans="1:22" ht="15.75">
      <c r="A187" s="382" t="s">
        <v>2315</v>
      </c>
      <c r="B187" s="91">
        <v>2034037</v>
      </c>
      <c r="C187" s="944">
        <f>IF(A187='Data Entry - SOF'!B$2,'Report-SOF1718'!D$102,0)</f>
        <v>0</v>
      </c>
      <c r="D187" s="1037">
        <f>IF(A187='Data Entry - SOF'!B$2,'Data Entry - SOF'!#REF!,0)</f>
        <v>0</v>
      </c>
      <c r="E187" s="91">
        <f t="shared" si="12"/>
        <v>2034037</v>
      </c>
      <c r="F187" s="944">
        <f>IF(A187='Data Entry - SOF'!B$2,'Report-SOF1819'!D$102,0)</f>
        <v>0</v>
      </c>
      <c r="G187" s="1037">
        <f>IF(A187='Data Entry - SOF'!B$2,'Data Entry - SOF'!E$102,0)</f>
        <v>0</v>
      </c>
      <c r="H187" s="1038">
        <f t="shared" si="14"/>
        <v>2034037</v>
      </c>
      <c r="I187" s="944">
        <f>IF(A187='Data Entry - SOF'!B$2,'Report-SOF1920-HB3'!D$102,0)</f>
        <v>0</v>
      </c>
      <c r="J187" s="1037">
        <f>IF(A187='Data Entry - SOF'!B$2,'Data Entry - SOF'!G$102,0)</f>
        <v>0</v>
      </c>
      <c r="K187" s="717">
        <f t="shared" si="15"/>
        <v>2034037</v>
      </c>
      <c r="L187" s="944">
        <f>IF(A187='Data Entry - SOF'!B$2,'Report-SOF2021'!D$99,0)</f>
        <v>0</v>
      </c>
      <c r="M187" s="723">
        <f>IF(A187='Data Entry - SOF'!B$2,'Data Entry - SOF'!M$102,0)</f>
        <v>0</v>
      </c>
      <c r="N187" s="717">
        <f t="shared" si="16"/>
        <v>2034037</v>
      </c>
      <c r="O187" s="944">
        <f>IF(A187='Data Entry - SOF'!B$2,'Report-SOF2122'!D$91,0)</f>
        <v>0</v>
      </c>
      <c r="P187" s="723">
        <f>IF(A187='Data Entry - SOF'!B$2,'Data Entry - SOF'!O$102,0)</f>
        <v>0</v>
      </c>
      <c r="Q187" s="601">
        <f t="shared" si="13"/>
        <v>2034037</v>
      </c>
      <c r="R187" s="944">
        <f>IF(A187='Data Entry - SOF'!B$2,'Report-SOF2223'!D$91,0)</f>
        <v>0</v>
      </c>
      <c r="S187" s="723">
        <f>IF(A187='Data Entry - SOF'!B$2,'Data Entry - SOF'!Q$102,0)</f>
        <v>0</v>
      </c>
      <c r="T187" s="601">
        <f t="shared" si="17"/>
        <v>2034037</v>
      </c>
      <c r="U187" s="944">
        <f>IF(A187='Data Entry - SOF'!B$2,'Report-SOF2324'!D$91,0)</f>
        <v>0</v>
      </c>
      <c r="V187" s="723">
        <f>IF(A187='Data Entry - SOF'!B$2,'Data Entry - SOF'!S$102,0)</f>
        <v>0</v>
      </c>
    </row>
    <row r="188" spans="1:22" ht="15.75">
      <c r="A188" s="382" t="s">
        <v>2409</v>
      </c>
      <c r="B188" s="91">
        <v>1034927</v>
      </c>
      <c r="C188" s="944">
        <f>IF(A188='Data Entry - SOF'!B$2,'Report-SOF1718'!D$102,0)</f>
        <v>0</v>
      </c>
      <c r="D188" s="1037">
        <f>IF(A188='Data Entry - SOF'!B$2,'Data Entry - SOF'!#REF!,0)</f>
        <v>0</v>
      </c>
      <c r="E188" s="91">
        <f t="shared" si="12"/>
        <v>1034927</v>
      </c>
      <c r="F188" s="944">
        <f>IF(A188='Data Entry - SOF'!B$2,'Report-SOF1819'!D$102,0)</f>
        <v>0</v>
      </c>
      <c r="G188" s="1037">
        <f>IF(A188='Data Entry - SOF'!B$2,'Data Entry - SOF'!E$102,0)</f>
        <v>0</v>
      </c>
      <c r="H188" s="1038">
        <f t="shared" si="14"/>
        <v>1034927</v>
      </c>
      <c r="I188" s="944">
        <f>IF(A188='Data Entry - SOF'!B$2,'Report-SOF1920-HB3'!D$102,0)</f>
        <v>0</v>
      </c>
      <c r="J188" s="1037">
        <f>IF(A188='Data Entry - SOF'!B$2,'Data Entry - SOF'!G$102,0)</f>
        <v>0</v>
      </c>
      <c r="K188" s="717">
        <f t="shared" si="15"/>
        <v>1034927</v>
      </c>
      <c r="L188" s="944">
        <f>IF(A188='Data Entry - SOF'!B$2,'Report-SOF2021'!D$99,0)</f>
        <v>0</v>
      </c>
      <c r="M188" s="723">
        <f>IF(A188='Data Entry - SOF'!B$2,'Data Entry - SOF'!M$102,0)</f>
        <v>0</v>
      </c>
      <c r="N188" s="717">
        <f t="shared" si="16"/>
        <v>1034927</v>
      </c>
      <c r="O188" s="944">
        <f>IF(A188='Data Entry - SOF'!B$2,'Report-SOF2122'!D$91,0)</f>
        <v>0</v>
      </c>
      <c r="P188" s="723">
        <f>IF(A188='Data Entry - SOF'!B$2,'Data Entry - SOF'!O$102,0)</f>
        <v>0</v>
      </c>
      <c r="Q188" s="601">
        <f t="shared" si="13"/>
        <v>1034927</v>
      </c>
      <c r="R188" s="944">
        <f>IF(A188='Data Entry - SOF'!B$2,'Report-SOF2223'!D$91,0)</f>
        <v>0</v>
      </c>
      <c r="S188" s="723">
        <f>IF(A188='Data Entry - SOF'!B$2,'Data Entry - SOF'!Q$102,0)</f>
        <v>0</v>
      </c>
      <c r="T188" s="601">
        <f t="shared" si="17"/>
        <v>1034927</v>
      </c>
      <c r="U188" s="944">
        <f>IF(A188='Data Entry - SOF'!B$2,'Report-SOF2324'!D$91,0)</f>
        <v>0</v>
      </c>
      <c r="V188" s="723">
        <f>IF(A188='Data Entry - SOF'!B$2,'Data Entry - SOF'!S$102,0)</f>
        <v>0</v>
      </c>
    </row>
    <row r="189" spans="1:22" ht="15.75">
      <c r="A189" s="382" t="s">
        <v>2342</v>
      </c>
      <c r="B189" s="91">
        <v>262397</v>
      </c>
      <c r="C189" s="944">
        <f>IF(A189='Data Entry - SOF'!B$2,'Report-SOF1718'!D$102,0)</f>
        <v>0</v>
      </c>
      <c r="D189" s="1037">
        <f>IF(A189='Data Entry - SOF'!B$2,'Data Entry - SOF'!#REF!,0)</f>
        <v>0</v>
      </c>
      <c r="E189" s="91">
        <f t="shared" si="12"/>
        <v>262397</v>
      </c>
      <c r="F189" s="944">
        <f>IF(A189='Data Entry - SOF'!B$2,'Report-SOF1819'!D$102,0)</f>
        <v>0</v>
      </c>
      <c r="G189" s="1037">
        <f>IF(A189='Data Entry - SOF'!B$2,'Data Entry - SOF'!E$102,0)</f>
        <v>0</v>
      </c>
      <c r="H189" s="1038">
        <f t="shared" si="14"/>
        <v>262397</v>
      </c>
      <c r="I189" s="944">
        <f>IF(A189='Data Entry - SOF'!B$2,'Report-SOF1920-HB3'!D$102,0)</f>
        <v>0</v>
      </c>
      <c r="J189" s="1037">
        <f>IF(A189='Data Entry - SOF'!B$2,'Data Entry - SOF'!G$102,0)</f>
        <v>0</v>
      </c>
      <c r="K189" s="717">
        <f t="shared" si="15"/>
        <v>262397</v>
      </c>
      <c r="L189" s="944">
        <f>IF(A189='Data Entry - SOF'!B$2,'Report-SOF2021'!D$99,0)</f>
        <v>0</v>
      </c>
      <c r="M189" s="723">
        <f>IF(A189='Data Entry - SOF'!B$2,'Data Entry - SOF'!M$102,0)</f>
        <v>0</v>
      </c>
      <c r="N189" s="717">
        <f t="shared" si="16"/>
        <v>262397</v>
      </c>
      <c r="O189" s="944">
        <f>IF(A189='Data Entry - SOF'!B$2,'Report-SOF2122'!D$91,0)</f>
        <v>0</v>
      </c>
      <c r="P189" s="723">
        <f>IF(A189='Data Entry - SOF'!B$2,'Data Entry - SOF'!O$102,0)</f>
        <v>0</v>
      </c>
      <c r="Q189" s="601">
        <f t="shared" si="13"/>
        <v>262397</v>
      </c>
      <c r="R189" s="944">
        <f>IF(A189='Data Entry - SOF'!B$2,'Report-SOF2223'!D$91,0)</f>
        <v>0</v>
      </c>
      <c r="S189" s="723">
        <f>IF(A189='Data Entry - SOF'!B$2,'Data Entry - SOF'!Q$102,0)</f>
        <v>0</v>
      </c>
      <c r="T189" s="601">
        <f t="shared" si="17"/>
        <v>262397</v>
      </c>
      <c r="U189" s="944">
        <f>IF(A189='Data Entry - SOF'!B$2,'Report-SOF2324'!D$91,0)</f>
        <v>0</v>
      </c>
      <c r="V189" s="723">
        <f>IF(A189='Data Entry - SOF'!B$2,'Data Entry - SOF'!S$102,0)</f>
        <v>0</v>
      </c>
    </row>
    <row r="190" spans="1:22" ht="15.75">
      <c r="A190" s="382" t="s">
        <v>2316</v>
      </c>
      <c r="B190" s="91">
        <v>156698</v>
      </c>
      <c r="C190" s="944">
        <f>IF(A190='Data Entry - SOF'!B$2,'Report-SOF1718'!D$102,0)</f>
        <v>0</v>
      </c>
      <c r="D190" s="1037">
        <f>IF(A190='Data Entry - SOF'!B$2,'Data Entry - SOF'!#REF!,0)</f>
        <v>0</v>
      </c>
      <c r="E190" s="91">
        <f t="shared" si="12"/>
        <v>156698</v>
      </c>
      <c r="F190" s="944">
        <f>IF(A190='Data Entry - SOF'!B$2,'Report-SOF1819'!D$102,0)</f>
        <v>0</v>
      </c>
      <c r="G190" s="1037">
        <f>IF(A190='Data Entry - SOF'!B$2,'Data Entry - SOF'!E$102,0)</f>
        <v>0</v>
      </c>
      <c r="H190" s="1038">
        <f t="shared" si="14"/>
        <v>156698</v>
      </c>
      <c r="I190" s="944">
        <f>IF(A190='Data Entry - SOF'!B$2,'Report-SOF1920-HB3'!D$102,0)</f>
        <v>0</v>
      </c>
      <c r="J190" s="1037">
        <f>IF(A190='Data Entry - SOF'!B$2,'Data Entry - SOF'!G$102,0)</f>
        <v>0</v>
      </c>
      <c r="K190" s="717">
        <f t="shared" si="15"/>
        <v>156698</v>
      </c>
      <c r="L190" s="944">
        <f>IF(A190='Data Entry - SOF'!B$2,'Report-SOF2021'!D$99,0)</f>
        <v>0</v>
      </c>
      <c r="M190" s="723">
        <f>IF(A190='Data Entry - SOF'!B$2,'Data Entry - SOF'!M$102,0)</f>
        <v>0</v>
      </c>
      <c r="N190" s="717">
        <f t="shared" si="16"/>
        <v>156698</v>
      </c>
      <c r="O190" s="944">
        <f>IF(A190='Data Entry - SOF'!B$2,'Report-SOF2122'!D$91,0)</f>
        <v>0</v>
      </c>
      <c r="P190" s="723">
        <f>IF(A190='Data Entry - SOF'!B$2,'Data Entry - SOF'!O$102,0)</f>
        <v>0</v>
      </c>
      <c r="Q190" s="601">
        <f t="shared" si="13"/>
        <v>156698</v>
      </c>
      <c r="R190" s="944">
        <f>IF(A190='Data Entry - SOF'!B$2,'Report-SOF2223'!D$91,0)</f>
        <v>0</v>
      </c>
      <c r="S190" s="723">
        <f>IF(A190='Data Entry - SOF'!B$2,'Data Entry - SOF'!Q$102,0)</f>
        <v>0</v>
      </c>
      <c r="T190" s="601">
        <f t="shared" si="17"/>
        <v>156698</v>
      </c>
      <c r="U190" s="944">
        <f>IF(A190='Data Entry - SOF'!B$2,'Report-SOF2324'!D$91,0)</f>
        <v>0</v>
      </c>
      <c r="V190" s="723">
        <f>IF(A190='Data Entry - SOF'!B$2,'Data Entry - SOF'!S$102,0)</f>
        <v>0</v>
      </c>
    </row>
    <row r="191" spans="1:22" ht="15.75">
      <c r="A191" s="382" t="s">
        <v>2317</v>
      </c>
      <c r="B191" s="91">
        <v>944226</v>
      </c>
      <c r="C191" s="944">
        <f>IF(A191='Data Entry - SOF'!B$2,'Report-SOF1718'!D$102,0)</f>
        <v>0</v>
      </c>
      <c r="D191" s="1037">
        <f>IF(A191='Data Entry - SOF'!B$2,'Data Entry - SOF'!#REF!,0)</f>
        <v>0</v>
      </c>
      <c r="E191" s="91">
        <f t="shared" si="12"/>
        <v>944226</v>
      </c>
      <c r="F191" s="944">
        <f>IF(A191='Data Entry - SOF'!B$2,'Report-SOF1819'!D$102,0)</f>
        <v>0</v>
      </c>
      <c r="G191" s="1037">
        <f>IF(A191='Data Entry - SOF'!B$2,'Data Entry - SOF'!E$102,0)</f>
        <v>0</v>
      </c>
      <c r="H191" s="1038">
        <f t="shared" si="14"/>
        <v>944226</v>
      </c>
      <c r="I191" s="944">
        <f>IF(A191='Data Entry - SOF'!B$2,'Report-SOF1920-HB3'!D$102,0)</f>
        <v>0</v>
      </c>
      <c r="J191" s="1037">
        <f>IF(A191='Data Entry - SOF'!B$2,'Data Entry - SOF'!G$102,0)</f>
        <v>0</v>
      </c>
      <c r="K191" s="717">
        <f t="shared" si="15"/>
        <v>944226</v>
      </c>
      <c r="L191" s="944">
        <f>IF(A191='Data Entry - SOF'!B$2,'Report-SOF2021'!D$99,0)</f>
        <v>0</v>
      </c>
      <c r="M191" s="723">
        <f>IF(A191='Data Entry - SOF'!B$2,'Data Entry - SOF'!M$102,0)</f>
        <v>0</v>
      </c>
      <c r="N191" s="717">
        <f t="shared" si="16"/>
        <v>944226</v>
      </c>
      <c r="O191" s="944">
        <f>IF(A191='Data Entry - SOF'!B$2,'Report-SOF2122'!D$91,0)</f>
        <v>0</v>
      </c>
      <c r="P191" s="723">
        <f>IF(A191='Data Entry - SOF'!B$2,'Data Entry - SOF'!O$102,0)</f>
        <v>0</v>
      </c>
      <c r="Q191" s="601">
        <f t="shared" si="13"/>
        <v>944226</v>
      </c>
      <c r="R191" s="944">
        <f>IF(A191='Data Entry - SOF'!B$2,'Report-SOF2223'!D$91,0)</f>
        <v>0</v>
      </c>
      <c r="S191" s="723">
        <f>IF(A191='Data Entry - SOF'!B$2,'Data Entry - SOF'!Q$102,0)</f>
        <v>0</v>
      </c>
      <c r="T191" s="601">
        <f t="shared" si="17"/>
        <v>944226</v>
      </c>
      <c r="U191" s="944">
        <f>IF(A191='Data Entry - SOF'!B$2,'Report-SOF2324'!D$91,0)</f>
        <v>0</v>
      </c>
      <c r="V191" s="723">
        <f>IF(A191='Data Entry - SOF'!B$2,'Data Entry - SOF'!S$102,0)</f>
        <v>0</v>
      </c>
    </row>
    <row r="192" spans="1:22" ht="15.75">
      <c r="A192" s="382" t="s">
        <v>300</v>
      </c>
      <c r="B192" s="91">
        <v>815322</v>
      </c>
      <c r="C192" s="944">
        <f>IF(A192='Data Entry - SOF'!B$2,'Report-SOF1718'!D$102,0)</f>
        <v>0</v>
      </c>
      <c r="D192" s="1037">
        <f>IF(A192='Data Entry - SOF'!B$2,'Data Entry - SOF'!#REF!,0)</f>
        <v>0</v>
      </c>
      <c r="E192" s="91">
        <f t="shared" si="12"/>
        <v>815322</v>
      </c>
      <c r="F192" s="944">
        <f>IF(A192='Data Entry - SOF'!B$2,'Report-SOF1819'!D$102,0)</f>
        <v>0</v>
      </c>
      <c r="G192" s="1037">
        <f>IF(A192='Data Entry - SOF'!B$2,'Data Entry - SOF'!E$102,0)</f>
        <v>0</v>
      </c>
      <c r="H192" s="1038">
        <f t="shared" si="14"/>
        <v>815322</v>
      </c>
      <c r="I192" s="944">
        <f>IF(A192='Data Entry - SOF'!B$2,'Report-SOF1920-HB3'!D$102,0)</f>
        <v>0</v>
      </c>
      <c r="J192" s="1037">
        <f>IF(A192='Data Entry - SOF'!B$2,'Data Entry - SOF'!G$102,0)</f>
        <v>0</v>
      </c>
      <c r="K192" s="717">
        <f t="shared" si="15"/>
        <v>815322</v>
      </c>
      <c r="L192" s="944">
        <f>IF(A192='Data Entry - SOF'!B$2,'Report-SOF2021'!D$99,0)</f>
        <v>0</v>
      </c>
      <c r="M192" s="723">
        <f>IF(A192='Data Entry - SOF'!B$2,'Data Entry - SOF'!M$102,0)</f>
        <v>0</v>
      </c>
      <c r="N192" s="717">
        <f t="shared" si="16"/>
        <v>815322</v>
      </c>
      <c r="O192" s="944">
        <f>IF(A192='Data Entry - SOF'!B$2,'Report-SOF2122'!D$91,0)</f>
        <v>0</v>
      </c>
      <c r="P192" s="723">
        <f>IF(A192='Data Entry - SOF'!B$2,'Data Entry - SOF'!O$102,0)</f>
        <v>0</v>
      </c>
      <c r="Q192" s="601">
        <f t="shared" si="13"/>
        <v>815322</v>
      </c>
      <c r="R192" s="944">
        <f>IF(A192='Data Entry - SOF'!B$2,'Report-SOF2223'!D$91,0)</f>
        <v>0</v>
      </c>
      <c r="S192" s="723">
        <f>IF(A192='Data Entry - SOF'!B$2,'Data Entry - SOF'!Q$102,0)</f>
        <v>0</v>
      </c>
      <c r="T192" s="601">
        <f t="shared" si="17"/>
        <v>815322</v>
      </c>
      <c r="U192" s="944">
        <f>IF(A192='Data Entry - SOF'!B$2,'Report-SOF2324'!D$91,0)</f>
        <v>0</v>
      </c>
      <c r="V192" s="723">
        <f>IF(A192='Data Entry - SOF'!B$2,'Data Entry - SOF'!S$102,0)</f>
        <v>0</v>
      </c>
    </row>
    <row r="193" spans="1:22" ht="15.75">
      <c r="A193" s="382" t="s">
        <v>1427</v>
      </c>
      <c r="B193" s="91">
        <v>7029867</v>
      </c>
      <c r="C193" s="944">
        <f>IF(A193='Data Entry - SOF'!B$2,'Report-SOF1718'!D$102,0)</f>
        <v>0</v>
      </c>
      <c r="D193" s="1037">
        <f>IF(A193='Data Entry - SOF'!B$2,'Data Entry - SOF'!#REF!,0)</f>
        <v>0</v>
      </c>
      <c r="E193" s="91">
        <f t="shared" si="12"/>
        <v>7029867</v>
      </c>
      <c r="F193" s="944">
        <f>IF(A193='Data Entry - SOF'!B$2,'Report-SOF1819'!D$102,0)</f>
        <v>0</v>
      </c>
      <c r="G193" s="1037">
        <f>IF(A193='Data Entry - SOF'!B$2,'Data Entry - SOF'!E$102,0)</f>
        <v>0</v>
      </c>
      <c r="H193" s="1038">
        <f t="shared" si="14"/>
        <v>7029867</v>
      </c>
      <c r="I193" s="944">
        <f>IF(A193='Data Entry - SOF'!B$2,'Report-SOF1920-HB3'!D$102,0)</f>
        <v>0</v>
      </c>
      <c r="J193" s="1037">
        <f>IF(A193='Data Entry - SOF'!B$2,'Data Entry - SOF'!G$102,0)</f>
        <v>0</v>
      </c>
      <c r="K193" s="717">
        <f t="shared" si="15"/>
        <v>7029867</v>
      </c>
      <c r="L193" s="944">
        <f>IF(A193='Data Entry - SOF'!B$2,'Report-SOF2021'!D$99,0)</f>
        <v>0</v>
      </c>
      <c r="M193" s="723">
        <f>IF(A193='Data Entry - SOF'!B$2,'Data Entry - SOF'!M$102,0)</f>
        <v>0</v>
      </c>
      <c r="N193" s="717">
        <f t="shared" si="16"/>
        <v>7029867</v>
      </c>
      <c r="O193" s="944">
        <f>IF(A193='Data Entry - SOF'!B$2,'Report-SOF2122'!D$91,0)</f>
        <v>0</v>
      </c>
      <c r="P193" s="723">
        <f>IF(A193='Data Entry - SOF'!B$2,'Data Entry - SOF'!O$102,0)</f>
        <v>0</v>
      </c>
      <c r="Q193" s="601">
        <f t="shared" si="13"/>
        <v>7029867</v>
      </c>
      <c r="R193" s="944">
        <f>IF(A193='Data Entry - SOF'!B$2,'Report-SOF2223'!D$91,0)</f>
        <v>0</v>
      </c>
      <c r="S193" s="723">
        <f>IF(A193='Data Entry - SOF'!B$2,'Data Entry - SOF'!Q$102,0)</f>
        <v>0</v>
      </c>
      <c r="T193" s="601">
        <f t="shared" si="17"/>
        <v>7029867</v>
      </c>
      <c r="U193" s="944">
        <f>IF(A193='Data Entry - SOF'!B$2,'Report-SOF2324'!D$91,0)</f>
        <v>0</v>
      </c>
      <c r="V193" s="723">
        <f>IF(A193='Data Entry - SOF'!B$2,'Data Entry - SOF'!S$102,0)</f>
        <v>0</v>
      </c>
    </row>
    <row r="194" spans="1:22" ht="15.75">
      <c r="A194" s="382" t="s">
        <v>301</v>
      </c>
      <c r="B194" s="91">
        <v>9791670</v>
      </c>
      <c r="C194" s="944">
        <f>IF(A194='Data Entry - SOF'!B$2,'Report-SOF1718'!D$102,0)</f>
        <v>0</v>
      </c>
      <c r="D194" s="1037">
        <f>IF(A194='Data Entry - SOF'!B$2,'Data Entry - SOF'!#REF!,0)</f>
        <v>0</v>
      </c>
      <c r="E194" s="91">
        <f t="shared" si="12"/>
        <v>9791670</v>
      </c>
      <c r="F194" s="944">
        <f>IF(A194='Data Entry - SOF'!B$2,'Report-SOF1819'!D$102,0)</f>
        <v>0</v>
      </c>
      <c r="G194" s="1037">
        <f>IF(A194='Data Entry - SOF'!B$2,'Data Entry - SOF'!E$102,0)</f>
        <v>0</v>
      </c>
      <c r="H194" s="1038">
        <f t="shared" si="14"/>
        <v>9791670</v>
      </c>
      <c r="I194" s="944">
        <f>IF(A194='Data Entry - SOF'!B$2,'Report-SOF1920-HB3'!D$102,0)</f>
        <v>0</v>
      </c>
      <c r="J194" s="1037">
        <f>IF(A194='Data Entry - SOF'!B$2,'Data Entry - SOF'!G$102,0)</f>
        <v>0</v>
      </c>
      <c r="K194" s="717">
        <f t="shared" si="15"/>
        <v>9791670</v>
      </c>
      <c r="L194" s="944">
        <f>IF(A194='Data Entry - SOF'!B$2,'Report-SOF2021'!D$99,0)</f>
        <v>0</v>
      </c>
      <c r="M194" s="723">
        <f>IF(A194='Data Entry - SOF'!B$2,'Data Entry - SOF'!M$102,0)</f>
        <v>0</v>
      </c>
      <c r="N194" s="717">
        <f t="shared" si="16"/>
        <v>9791670</v>
      </c>
      <c r="O194" s="944">
        <f>IF(A194='Data Entry - SOF'!B$2,'Report-SOF2122'!D$91,0)</f>
        <v>0</v>
      </c>
      <c r="P194" s="723">
        <f>IF(A194='Data Entry - SOF'!B$2,'Data Entry - SOF'!O$102,0)</f>
        <v>0</v>
      </c>
      <c r="Q194" s="601">
        <f t="shared" si="13"/>
        <v>9791670</v>
      </c>
      <c r="R194" s="944">
        <f>IF(A194='Data Entry - SOF'!B$2,'Report-SOF2223'!D$91,0)</f>
        <v>0</v>
      </c>
      <c r="S194" s="723">
        <f>IF(A194='Data Entry - SOF'!B$2,'Data Entry - SOF'!Q$102,0)</f>
        <v>0</v>
      </c>
      <c r="T194" s="601">
        <f t="shared" si="17"/>
        <v>9791670</v>
      </c>
      <c r="U194" s="944">
        <f>IF(A194='Data Entry - SOF'!B$2,'Report-SOF2324'!D$91,0)</f>
        <v>0</v>
      </c>
      <c r="V194" s="723">
        <f>IF(A194='Data Entry - SOF'!B$2,'Data Entry - SOF'!S$102,0)</f>
        <v>0</v>
      </c>
    </row>
    <row r="195" spans="1:22" ht="15.75">
      <c r="A195" s="382" t="s">
        <v>2503</v>
      </c>
      <c r="B195" s="91">
        <v>1729937</v>
      </c>
      <c r="C195" s="944">
        <f>IF(A195='Data Entry - SOF'!B$2,'Report-SOF1718'!D$102,0)</f>
        <v>0</v>
      </c>
      <c r="D195" s="1037">
        <f>IF(A195='Data Entry - SOF'!B$2,'Data Entry - SOF'!#REF!,0)</f>
        <v>0</v>
      </c>
      <c r="E195" s="91">
        <f t="shared" si="12"/>
        <v>1729937</v>
      </c>
      <c r="F195" s="944">
        <f>IF(A195='Data Entry - SOF'!B$2,'Report-SOF1819'!D$102,0)</f>
        <v>0</v>
      </c>
      <c r="G195" s="1037">
        <f>IF(A195='Data Entry - SOF'!B$2,'Data Entry - SOF'!E$102,0)</f>
        <v>0</v>
      </c>
      <c r="H195" s="1038">
        <f t="shared" si="14"/>
        <v>1729937</v>
      </c>
      <c r="I195" s="944">
        <f>IF(A195='Data Entry - SOF'!B$2,'Report-SOF1920-HB3'!D$102,0)</f>
        <v>0</v>
      </c>
      <c r="J195" s="1037">
        <f>IF(A195='Data Entry - SOF'!B$2,'Data Entry - SOF'!G$102,0)</f>
        <v>0</v>
      </c>
      <c r="K195" s="717">
        <f t="shared" si="15"/>
        <v>1729937</v>
      </c>
      <c r="L195" s="944">
        <f>IF(A195='Data Entry - SOF'!B$2,'Report-SOF2021'!D$99,0)</f>
        <v>0</v>
      </c>
      <c r="M195" s="723">
        <f>IF(A195='Data Entry - SOF'!B$2,'Data Entry - SOF'!M$102,0)</f>
        <v>0</v>
      </c>
      <c r="N195" s="717">
        <f t="shared" si="16"/>
        <v>1729937</v>
      </c>
      <c r="O195" s="944">
        <f>IF(A195='Data Entry - SOF'!B$2,'Report-SOF2122'!D$91,0)</f>
        <v>0</v>
      </c>
      <c r="P195" s="723">
        <f>IF(A195='Data Entry - SOF'!B$2,'Data Entry - SOF'!O$102,0)</f>
        <v>0</v>
      </c>
      <c r="Q195" s="601">
        <f t="shared" si="13"/>
        <v>1729937</v>
      </c>
      <c r="R195" s="944">
        <f>IF(A195='Data Entry - SOF'!B$2,'Report-SOF2223'!D$91,0)</f>
        <v>0</v>
      </c>
      <c r="S195" s="723">
        <f>IF(A195='Data Entry - SOF'!B$2,'Data Entry - SOF'!Q$102,0)</f>
        <v>0</v>
      </c>
      <c r="T195" s="601">
        <f t="shared" si="17"/>
        <v>1729937</v>
      </c>
      <c r="U195" s="944">
        <f>IF(A195='Data Entry - SOF'!B$2,'Report-SOF2324'!D$91,0)</f>
        <v>0</v>
      </c>
      <c r="V195" s="723">
        <f>IF(A195='Data Entry - SOF'!B$2,'Data Entry - SOF'!S$102,0)</f>
        <v>0</v>
      </c>
    </row>
    <row r="196" spans="1:22" ht="15.75">
      <c r="A196" s="382" t="s">
        <v>302</v>
      </c>
      <c r="B196" s="91">
        <v>7408683</v>
      </c>
      <c r="C196" s="944">
        <f>IF(A196='Data Entry - SOF'!B$2,'Report-SOF1718'!D$102,0)</f>
        <v>0</v>
      </c>
      <c r="D196" s="1037">
        <f>IF(A196='Data Entry - SOF'!B$2,'Data Entry - SOF'!#REF!,0)</f>
        <v>0</v>
      </c>
      <c r="E196" s="91">
        <f t="shared" ref="E196:E259" si="18">IF(B196+C196-D196&lt;=0,0,B196+C196-D196)</f>
        <v>7408683</v>
      </c>
      <c r="F196" s="944">
        <f>IF(A196='Data Entry - SOF'!B$2,'Report-SOF1819'!D$102,0)</f>
        <v>0</v>
      </c>
      <c r="G196" s="1037">
        <f>IF(A196='Data Entry - SOF'!B$2,'Data Entry - SOF'!E$102,0)</f>
        <v>0</v>
      </c>
      <c r="H196" s="1038">
        <f t="shared" si="14"/>
        <v>7408683</v>
      </c>
      <c r="I196" s="944">
        <f>IF(A196='Data Entry - SOF'!B$2,'Report-SOF1920-HB3'!D$102,0)</f>
        <v>0</v>
      </c>
      <c r="J196" s="1037">
        <f>IF(A196='Data Entry - SOF'!B$2,'Data Entry - SOF'!G$102,0)</f>
        <v>0</v>
      </c>
      <c r="K196" s="717">
        <f t="shared" si="15"/>
        <v>7408683</v>
      </c>
      <c r="L196" s="944">
        <f>IF(A196='Data Entry - SOF'!B$2,'Report-SOF2021'!D$99,0)</f>
        <v>0</v>
      </c>
      <c r="M196" s="723">
        <f>IF(A196='Data Entry - SOF'!B$2,'Data Entry - SOF'!M$102,0)</f>
        <v>0</v>
      </c>
      <c r="N196" s="717">
        <f t="shared" si="16"/>
        <v>7408683</v>
      </c>
      <c r="O196" s="944">
        <f>IF(A196='Data Entry - SOF'!B$2,'Report-SOF2122'!D$91,0)</f>
        <v>0</v>
      </c>
      <c r="P196" s="723">
        <f>IF(A196='Data Entry - SOF'!B$2,'Data Entry - SOF'!O$102,0)</f>
        <v>0</v>
      </c>
      <c r="Q196" s="601">
        <f t="shared" ref="Q196:Q259" si="19">IF(N196+O196-P196&lt;=0,0,N196+O196-P196)</f>
        <v>7408683</v>
      </c>
      <c r="R196" s="944">
        <f>IF(A196='Data Entry - SOF'!B$2,'Report-SOF2223'!D$91,0)</f>
        <v>0</v>
      </c>
      <c r="S196" s="723">
        <f>IF(A196='Data Entry - SOF'!B$2,'Data Entry - SOF'!Q$102,0)</f>
        <v>0</v>
      </c>
      <c r="T196" s="601">
        <f t="shared" si="17"/>
        <v>7408683</v>
      </c>
      <c r="U196" s="944">
        <f>IF(A196='Data Entry - SOF'!B$2,'Report-SOF2324'!D$91,0)</f>
        <v>0</v>
      </c>
      <c r="V196" s="723">
        <f>IF(A196='Data Entry - SOF'!B$2,'Data Entry - SOF'!S$102,0)</f>
        <v>0</v>
      </c>
    </row>
    <row r="197" spans="1:22" ht="15.75">
      <c r="A197" s="382" t="s">
        <v>303</v>
      </c>
      <c r="B197" s="91">
        <v>2574014</v>
      </c>
      <c r="C197" s="944">
        <f>IF(A197='Data Entry - SOF'!B$2,'Report-SOF1718'!D$102,0)</f>
        <v>0</v>
      </c>
      <c r="D197" s="1037">
        <f>IF(A197='Data Entry - SOF'!B$2,'Data Entry - SOF'!#REF!,0)</f>
        <v>0</v>
      </c>
      <c r="E197" s="91">
        <f t="shared" si="18"/>
        <v>2574014</v>
      </c>
      <c r="F197" s="944">
        <f>IF(A197='Data Entry - SOF'!B$2,'Report-SOF1819'!D$102,0)</f>
        <v>0</v>
      </c>
      <c r="G197" s="1037">
        <f>IF(A197='Data Entry - SOF'!B$2,'Data Entry - SOF'!E$102,0)</f>
        <v>0</v>
      </c>
      <c r="H197" s="1038">
        <f t="shared" ref="H197:H260" si="20">IF(E197+F197-G197&lt;=0,0,E197+F197-G197)</f>
        <v>2574014</v>
      </c>
      <c r="I197" s="944">
        <f>IF(A197='Data Entry - SOF'!B$2,'Report-SOF1920-HB3'!D$102,0)</f>
        <v>0</v>
      </c>
      <c r="J197" s="1037">
        <f>IF(A197='Data Entry - SOF'!B$2,'Data Entry - SOF'!G$102,0)</f>
        <v>0</v>
      </c>
      <c r="K197" s="717">
        <f t="shared" ref="K197:K260" si="21">IF(H197+I197-J197&lt;=0,0,H197+I197-J197)</f>
        <v>2574014</v>
      </c>
      <c r="L197" s="944">
        <f>IF(A197='Data Entry - SOF'!B$2,'Report-SOF2021'!D$99,0)</f>
        <v>0</v>
      </c>
      <c r="M197" s="723">
        <f>IF(A197='Data Entry - SOF'!B$2,'Data Entry - SOF'!M$102,0)</f>
        <v>0</v>
      </c>
      <c r="N197" s="717">
        <f t="shared" ref="N197:N260" si="22">IF(K197+L197-M197&lt;=0,0,K197+L197-M197)</f>
        <v>2574014</v>
      </c>
      <c r="O197" s="944">
        <f>IF(A197='Data Entry - SOF'!B$2,'Report-SOF2122'!D$91,0)</f>
        <v>0</v>
      </c>
      <c r="P197" s="723">
        <f>IF(A197='Data Entry - SOF'!B$2,'Data Entry - SOF'!O$102,0)</f>
        <v>0</v>
      </c>
      <c r="Q197" s="601">
        <f t="shared" si="19"/>
        <v>2574014</v>
      </c>
      <c r="R197" s="944">
        <f>IF(A197='Data Entry - SOF'!B$2,'Report-SOF2223'!D$91,0)</f>
        <v>0</v>
      </c>
      <c r="S197" s="723">
        <f>IF(A197='Data Entry - SOF'!B$2,'Data Entry - SOF'!Q$102,0)</f>
        <v>0</v>
      </c>
      <c r="T197" s="601">
        <f t="shared" ref="T197:T260" si="23">IF(P197+Q197-S197&lt;=0,0,P197+Q197-S197)</f>
        <v>2574014</v>
      </c>
      <c r="U197" s="944">
        <f>IF(A197='Data Entry - SOF'!B$2,'Report-SOF2324'!D$91,0)</f>
        <v>0</v>
      </c>
      <c r="V197" s="723">
        <f>IF(A197='Data Entry - SOF'!B$2,'Data Entry - SOF'!S$102,0)</f>
        <v>0</v>
      </c>
    </row>
    <row r="198" spans="1:22" ht="15.75">
      <c r="A198" s="382" t="s">
        <v>304</v>
      </c>
      <c r="B198" s="91">
        <v>3339563.2262086798</v>
      </c>
      <c r="C198" s="944">
        <f>IF(A198='Data Entry - SOF'!B$2,'Report-SOF1718'!D$102,0)</f>
        <v>0</v>
      </c>
      <c r="D198" s="1037">
        <f>IF(A198='Data Entry - SOF'!B$2,'Data Entry - SOF'!#REF!,0)</f>
        <v>0</v>
      </c>
      <c r="E198" s="91">
        <f t="shared" si="18"/>
        <v>3339563.2262086798</v>
      </c>
      <c r="F198" s="944">
        <f>IF(A198='Data Entry - SOF'!B$2,'Report-SOF1819'!D$102,0)</f>
        <v>0</v>
      </c>
      <c r="G198" s="1037">
        <f>IF(A198='Data Entry - SOF'!B$2,'Data Entry - SOF'!E$102,0)</f>
        <v>0</v>
      </c>
      <c r="H198" s="1038">
        <f t="shared" si="20"/>
        <v>3339563.2262086798</v>
      </c>
      <c r="I198" s="944">
        <f>IF(A198='Data Entry - SOF'!B$2,'Report-SOF1920-HB3'!D$102,0)</f>
        <v>0</v>
      </c>
      <c r="J198" s="1037">
        <f>IF(A198='Data Entry - SOF'!B$2,'Data Entry - SOF'!G$102,0)</f>
        <v>0</v>
      </c>
      <c r="K198" s="717">
        <f t="shared" si="21"/>
        <v>3339563.2262086798</v>
      </c>
      <c r="L198" s="944">
        <f>IF(A198='Data Entry - SOF'!B$2,'Report-SOF2021'!D$99,0)</f>
        <v>0</v>
      </c>
      <c r="M198" s="723">
        <f>IF(A198='Data Entry - SOF'!B$2,'Data Entry - SOF'!M$102,0)</f>
        <v>0</v>
      </c>
      <c r="N198" s="717">
        <f t="shared" si="22"/>
        <v>3339563.2262086798</v>
      </c>
      <c r="O198" s="944">
        <f>IF(A198='Data Entry - SOF'!B$2,'Report-SOF2122'!D$91,0)</f>
        <v>0</v>
      </c>
      <c r="P198" s="723">
        <f>IF(A198='Data Entry - SOF'!B$2,'Data Entry - SOF'!O$102,0)</f>
        <v>0</v>
      </c>
      <c r="Q198" s="601">
        <f t="shared" si="19"/>
        <v>3339563.2262086798</v>
      </c>
      <c r="R198" s="944">
        <f>IF(A198='Data Entry - SOF'!B$2,'Report-SOF2223'!D$91,0)</f>
        <v>0</v>
      </c>
      <c r="S198" s="723">
        <f>IF(A198='Data Entry - SOF'!B$2,'Data Entry - SOF'!Q$102,0)</f>
        <v>0</v>
      </c>
      <c r="T198" s="601">
        <f t="shared" si="23"/>
        <v>3339563.2262086798</v>
      </c>
      <c r="U198" s="944">
        <f>IF(A198='Data Entry - SOF'!B$2,'Report-SOF2324'!D$91,0)</f>
        <v>0</v>
      </c>
      <c r="V198" s="723">
        <f>IF(A198='Data Entry - SOF'!B$2,'Data Entry - SOF'!S$102,0)</f>
        <v>0</v>
      </c>
    </row>
    <row r="199" spans="1:22" ht="15.75">
      <c r="A199" s="382" t="s">
        <v>1743</v>
      </c>
      <c r="B199" s="91">
        <v>213924</v>
      </c>
      <c r="C199" s="944">
        <f>IF(A199='Data Entry - SOF'!B$2,'Report-SOF1718'!D$102,0)</f>
        <v>0</v>
      </c>
      <c r="D199" s="1037">
        <f>IF(A199='Data Entry - SOF'!B$2,'Data Entry - SOF'!#REF!,0)</f>
        <v>0</v>
      </c>
      <c r="E199" s="91">
        <f t="shared" si="18"/>
        <v>213924</v>
      </c>
      <c r="F199" s="944">
        <f>IF(A199='Data Entry - SOF'!B$2,'Report-SOF1819'!D$102,0)</f>
        <v>0</v>
      </c>
      <c r="G199" s="1037">
        <f>IF(A199='Data Entry - SOF'!B$2,'Data Entry - SOF'!E$102,0)</f>
        <v>0</v>
      </c>
      <c r="H199" s="1038">
        <f t="shared" si="20"/>
        <v>213924</v>
      </c>
      <c r="I199" s="944">
        <f>IF(A199='Data Entry - SOF'!B$2,'Report-SOF1920-HB3'!D$102,0)</f>
        <v>0</v>
      </c>
      <c r="J199" s="1037">
        <f>IF(A199='Data Entry - SOF'!B$2,'Data Entry - SOF'!G$102,0)</f>
        <v>0</v>
      </c>
      <c r="K199" s="717">
        <f t="shared" si="21"/>
        <v>213924</v>
      </c>
      <c r="L199" s="944">
        <f>IF(A199='Data Entry - SOF'!B$2,'Report-SOF2021'!D$99,0)</f>
        <v>0</v>
      </c>
      <c r="M199" s="723">
        <f>IF(A199='Data Entry - SOF'!B$2,'Data Entry - SOF'!M$102,0)</f>
        <v>0</v>
      </c>
      <c r="N199" s="717">
        <f t="shared" si="22"/>
        <v>213924</v>
      </c>
      <c r="O199" s="944">
        <f>IF(A199='Data Entry - SOF'!B$2,'Report-SOF2122'!D$91,0)</f>
        <v>0</v>
      </c>
      <c r="P199" s="723">
        <f>IF(A199='Data Entry - SOF'!B$2,'Data Entry - SOF'!O$102,0)</f>
        <v>0</v>
      </c>
      <c r="Q199" s="601">
        <f t="shared" si="19"/>
        <v>213924</v>
      </c>
      <c r="R199" s="944">
        <f>IF(A199='Data Entry - SOF'!B$2,'Report-SOF2223'!D$91,0)</f>
        <v>0</v>
      </c>
      <c r="S199" s="723">
        <f>IF(A199='Data Entry - SOF'!B$2,'Data Entry - SOF'!Q$102,0)</f>
        <v>0</v>
      </c>
      <c r="T199" s="601">
        <f t="shared" si="23"/>
        <v>213924</v>
      </c>
      <c r="U199" s="944">
        <f>IF(A199='Data Entry - SOF'!B$2,'Report-SOF2324'!D$91,0)</f>
        <v>0</v>
      </c>
      <c r="V199" s="723">
        <f>IF(A199='Data Entry - SOF'!B$2,'Data Entry - SOF'!S$102,0)</f>
        <v>0</v>
      </c>
    </row>
    <row r="200" spans="1:22" ht="15.75">
      <c r="A200" s="382" t="s">
        <v>1744</v>
      </c>
      <c r="B200" s="91">
        <v>463146</v>
      </c>
      <c r="C200" s="944">
        <f>IF(A200='Data Entry - SOF'!B$2,'Report-SOF1718'!D$102,0)</f>
        <v>0</v>
      </c>
      <c r="D200" s="1037">
        <f>IF(A200='Data Entry - SOF'!B$2,'Data Entry - SOF'!#REF!,0)</f>
        <v>0</v>
      </c>
      <c r="E200" s="91">
        <f t="shared" si="18"/>
        <v>463146</v>
      </c>
      <c r="F200" s="944">
        <f>IF(A200='Data Entry - SOF'!B$2,'Report-SOF1819'!D$102,0)</f>
        <v>0</v>
      </c>
      <c r="G200" s="1037">
        <f>IF(A200='Data Entry - SOF'!B$2,'Data Entry - SOF'!E$102,0)</f>
        <v>0</v>
      </c>
      <c r="H200" s="1038">
        <f t="shared" si="20"/>
        <v>463146</v>
      </c>
      <c r="I200" s="944">
        <f>IF(A200='Data Entry - SOF'!B$2,'Report-SOF1920-HB3'!D$102,0)</f>
        <v>0</v>
      </c>
      <c r="J200" s="1037">
        <f>IF(A200='Data Entry - SOF'!B$2,'Data Entry - SOF'!G$102,0)</f>
        <v>0</v>
      </c>
      <c r="K200" s="717">
        <f t="shared" si="21"/>
        <v>463146</v>
      </c>
      <c r="L200" s="944">
        <f>IF(A200='Data Entry - SOF'!B$2,'Report-SOF2021'!D$99,0)</f>
        <v>0</v>
      </c>
      <c r="M200" s="723">
        <f>IF(A200='Data Entry - SOF'!B$2,'Data Entry - SOF'!M$102,0)</f>
        <v>0</v>
      </c>
      <c r="N200" s="717">
        <f t="shared" si="22"/>
        <v>463146</v>
      </c>
      <c r="O200" s="944">
        <f>IF(A200='Data Entry - SOF'!B$2,'Report-SOF2122'!D$91,0)</f>
        <v>0</v>
      </c>
      <c r="P200" s="723">
        <f>IF(A200='Data Entry - SOF'!B$2,'Data Entry - SOF'!O$102,0)</f>
        <v>0</v>
      </c>
      <c r="Q200" s="601">
        <f t="shared" si="19"/>
        <v>463146</v>
      </c>
      <c r="R200" s="944">
        <f>IF(A200='Data Entry - SOF'!B$2,'Report-SOF2223'!D$91,0)</f>
        <v>0</v>
      </c>
      <c r="S200" s="723">
        <f>IF(A200='Data Entry - SOF'!B$2,'Data Entry - SOF'!Q$102,0)</f>
        <v>0</v>
      </c>
      <c r="T200" s="601">
        <f t="shared" si="23"/>
        <v>463146</v>
      </c>
      <c r="U200" s="944">
        <f>IF(A200='Data Entry - SOF'!B$2,'Report-SOF2324'!D$91,0)</f>
        <v>0</v>
      </c>
      <c r="V200" s="723">
        <f>IF(A200='Data Entry - SOF'!B$2,'Data Entry - SOF'!S$102,0)</f>
        <v>0</v>
      </c>
    </row>
    <row r="201" spans="1:22" ht="15.75">
      <c r="A201" s="382" t="s">
        <v>1316</v>
      </c>
      <c r="B201" s="91">
        <v>400216</v>
      </c>
      <c r="C201" s="944">
        <f>IF(A201='Data Entry - SOF'!B$2,'Report-SOF1718'!D$102,0)</f>
        <v>0</v>
      </c>
      <c r="D201" s="1037">
        <f>IF(A201='Data Entry - SOF'!B$2,'Data Entry - SOF'!#REF!,0)</f>
        <v>0</v>
      </c>
      <c r="E201" s="91">
        <f t="shared" si="18"/>
        <v>400216</v>
      </c>
      <c r="F201" s="944">
        <f>IF(A201='Data Entry - SOF'!B$2,'Report-SOF1819'!D$102,0)</f>
        <v>0</v>
      </c>
      <c r="G201" s="1037">
        <f>IF(A201='Data Entry - SOF'!B$2,'Data Entry - SOF'!E$102,0)</f>
        <v>0</v>
      </c>
      <c r="H201" s="1038">
        <f t="shared" si="20"/>
        <v>400216</v>
      </c>
      <c r="I201" s="944">
        <f>IF(A201='Data Entry - SOF'!B$2,'Report-SOF1920-HB3'!D$102,0)</f>
        <v>0</v>
      </c>
      <c r="J201" s="1037">
        <f>IF(A201='Data Entry - SOF'!B$2,'Data Entry - SOF'!G$102,0)</f>
        <v>0</v>
      </c>
      <c r="K201" s="717">
        <f t="shared" si="21"/>
        <v>400216</v>
      </c>
      <c r="L201" s="944">
        <f>IF(A201='Data Entry - SOF'!B$2,'Report-SOF2021'!D$99,0)</f>
        <v>0</v>
      </c>
      <c r="M201" s="723">
        <f>IF(A201='Data Entry - SOF'!B$2,'Data Entry - SOF'!M$102,0)</f>
        <v>0</v>
      </c>
      <c r="N201" s="717">
        <f t="shared" si="22"/>
        <v>400216</v>
      </c>
      <c r="O201" s="944">
        <f>IF(A201='Data Entry - SOF'!B$2,'Report-SOF2122'!D$91,0)</f>
        <v>0</v>
      </c>
      <c r="P201" s="723">
        <f>IF(A201='Data Entry - SOF'!B$2,'Data Entry - SOF'!O$102,0)</f>
        <v>0</v>
      </c>
      <c r="Q201" s="601">
        <f t="shared" si="19"/>
        <v>400216</v>
      </c>
      <c r="R201" s="944">
        <f>IF(A201='Data Entry - SOF'!B$2,'Report-SOF2223'!D$91,0)</f>
        <v>0</v>
      </c>
      <c r="S201" s="723">
        <f>IF(A201='Data Entry - SOF'!B$2,'Data Entry - SOF'!Q$102,0)</f>
        <v>0</v>
      </c>
      <c r="T201" s="601">
        <f t="shared" si="23"/>
        <v>400216</v>
      </c>
      <c r="U201" s="944">
        <f>IF(A201='Data Entry - SOF'!B$2,'Report-SOF2324'!D$91,0)</f>
        <v>0</v>
      </c>
      <c r="V201" s="723">
        <f>IF(A201='Data Entry - SOF'!B$2,'Data Entry - SOF'!S$102,0)</f>
        <v>0</v>
      </c>
    </row>
    <row r="202" spans="1:22" ht="15.75">
      <c r="A202" s="382" t="s">
        <v>1107</v>
      </c>
      <c r="B202" s="91">
        <v>4186219</v>
      </c>
      <c r="C202" s="944">
        <f>IF(A202='Data Entry - SOF'!B$2,'Report-SOF1718'!D$102,0)</f>
        <v>0</v>
      </c>
      <c r="D202" s="1037">
        <f>IF(A202='Data Entry - SOF'!B$2,'Data Entry - SOF'!#REF!,0)</f>
        <v>0</v>
      </c>
      <c r="E202" s="91">
        <f t="shared" si="18"/>
        <v>4186219</v>
      </c>
      <c r="F202" s="944">
        <f>IF(A202='Data Entry - SOF'!B$2,'Report-SOF1819'!D$102,0)</f>
        <v>0</v>
      </c>
      <c r="G202" s="1037">
        <f>IF(A202='Data Entry - SOF'!B$2,'Data Entry - SOF'!E$102,0)</f>
        <v>0</v>
      </c>
      <c r="H202" s="1038">
        <f t="shared" si="20"/>
        <v>4186219</v>
      </c>
      <c r="I202" s="944">
        <f>IF(A202='Data Entry - SOF'!B$2,'Report-SOF1920-HB3'!D$102,0)</f>
        <v>0</v>
      </c>
      <c r="J202" s="1037">
        <f>IF(A202='Data Entry - SOF'!B$2,'Data Entry - SOF'!G$102,0)</f>
        <v>0</v>
      </c>
      <c r="K202" s="717">
        <f t="shared" si="21"/>
        <v>4186219</v>
      </c>
      <c r="L202" s="944">
        <f>IF(A202='Data Entry - SOF'!B$2,'Report-SOF2021'!D$99,0)</f>
        <v>0</v>
      </c>
      <c r="M202" s="723">
        <f>IF(A202='Data Entry - SOF'!B$2,'Data Entry - SOF'!M$102,0)</f>
        <v>0</v>
      </c>
      <c r="N202" s="717">
        <f t="shared" si="22"/>
        <v>4186219</v>
      </c>
      <c r="O202" s="944">
        <f>IF(A202='Data Entry - SOF'!B$2,'Report-SOF2122'!D$91,0)</f>
        <v>0</v>
      </c>
      <c r="P202" s="723">
        <f>IF(A202='Data Entry - SOF'!B$2,'Data Entry - SOF'!O$102,0)</f>
        <v>0</v>
      </c>
      <c r="Q202" s="601">
        <f t="shared" si="19"/>
        <v>4186219</v>
      </c>
      <c r="R202" s="944">
        <f>IF(A202='Data Entry - SOF'!B$2,'Report-SOF2223'!D$91,0)</f>
        <v>0</v>
      </c>
      <c r="S202" s="723">
        <f>IF(A202='Data Entry - SOF'!B$2,'Data Entry - SOF'!Q$102,0)</f>
        <v>0</v>
      </c>
      <c r="T202" s="601">
        <f t="shared" si="23"/>
        <v>4186219</v>
      </c>
      <c r="U202" s="944">
        <f>IF(A202='Data Entry - SOF'!B$2,'Report-SOF2324'!D$91,0)</f>
        <v>0</v>
      </c>
      <c r="V202" s="723">
        <f>IF(A202='Data Entry - SOF'!B$2,'Data Entry - SOF'!S$102,0)</f>
        <v>0</v>
      </c>
    </row>
    <row r="203" spans="1:22" ht="15.75">
      <c r="A203" s="382" t="s">
        <v>2148</v>
      </c>
      <c r="B203" s="91">
        <v>278208</v>
      </c>
      <c r="C203" s="944">
        <f>IF(A203='Data Entry - SOF'!B$2,'Report-SOF1718'!D$102,0)</f>
        <v>0</v>
      </c>
      <c r="D203" s="1037">
        <f>IF(A203='Data Entry - SOF'!B$2,'Data Entry - SOF'!#REF!,0)</f>
        <v>0</v>
      </c>
      <c r="E203" s="91">
        <f t="shared" si="18"/>
        <v>278208</v>
      </c>
      <c r="F203" s="944">
        <f>IF(A203='Data Entry - SOF'!B$2,'Report-SOF1819'!D$102,0)</f>
        <v>0</v>
      </c>
      <c r="G203" s="1037">
        <f>IF(A203='Data Entry - SOF'!B$2,'Data Entry - SOF'!E$102,0)</f>
        <v>0</v>
      </c>
      <c r="H203" s="1038">
        <f t="shared" si="20"/>
        <v>278208</v>
      </c>
      <c r="I203" s="944">
        <f>IF(A203='Data Entry - SOF'!B$2,'Report-SOF1920-HB3'!D$102,0)</f>
        <v>0</v>
      </c>
      <c r="J203" s="1037">
        <f>IF(A203='Data Entry - SOF'!B$2,'Data Entry - SOF'!G$102,0)</f>
        <v>0</v>
      </c>
      <c r="K203" s="717">
        <f t="shared" si="21"/>
        <v>278208</v>
      </c>
      <c r="L203" s="944">
        <f>IF(A203='Data Entry - SOF'!B$2,'Report-SOF2021'!D$99,0)</f>
        <v>0</v>
      </c>
      <c r="M203" s="723">
        <f>IF(A203='Data Entry - SOF'!B$2,'Data Entry - SOF'!M$102,0)</f>
        <v>0</v>
      </c>
      <c r="N203" s="717">
        <f t="shared" si="22"/>
        <v>278208</v>
      </c>
      <c r="O203" s="944">
        <f>IF(A203='Data Entry - SOF'!B$2,'Report-SOF2122'!D$91,0)</f>
        <v>0</v>
      </c>
      <c r="P203" s="723">
        <f>IF(A203='Data Entry - SOF'!B$2,'Data Entry - SOF'!O$102,0)</f>
        <v>0</v>
      </c>
      <c r="Q203" s="601">
        <f t="shared" si="19"/>
        <v>278208</v>
      </c>
      <c r="R203" s="944">
        <f>IF(A203='Data Entry - SOF'!B$2,'Report-SOF2223'!D$91,0)</f>
        <v>0</v>
      </c>
      <c r="S203" s="723">
        <f>IF(A203='Data Entry - SOF'!B$2,'Data Entry - SOF'!Q$102,0)</f>
        <v>0</v>
      </c>
      <c r="T203" s="601">
        <f t="shared" si="23"/>
        <v>278208</v>
      </c>
      <c r="U203" s="944">
        <f>IF(A203='Data Entry - SOF'!B$2,'Report-SOF2324'!D$91,0)</f>
        <v>0</v>
      </c>
      <c r="V203" s="723">
        <f>IF(A203='Data Entry - SOF'!B$2,'Data Entry - SOF'!S$102,0)</f>
        <v>0</v>
      </c>
    </row>
    <row r="204" spans="1:22" ht="15.75">
      <c r="A204" s="382" t="s">
        <v>1108</v>
      </c>
      <c r="B204" s="91">
        <v>555311</v>
      </c>
      <c r="C204" s="944">
        <f>IF(A204='Data Entry - SOF'!B$2,'Report-SOF1718'!D$102,0)</f>
        <v>0</v>
      </c>
      <c r="D204" s="1037">
        <f>IF(A204='Data Entry - SOF'!B$2,'Data Entry - SOF'!#REF!,0)</f>
        <v>0</v>
      </c>
      <c r="E204" s="91">
        <f t="shared" si="18"/>
        <v>555311</v>
      </c>
      <c r="F204" s="944">
        <f>IF(A204='Data Entry - SOF'!B$2,'Report-SOF1819'!D$102,0)</f>
        <v>0</v>
      </c>
      <c r="G204" s="1037">
        <f>IF(A204='Data Entry - SOF'!B$2,'Data Entry - SOF'!E$102,0)</f>
        <v>0</v>
      </c>
      <c r="H204" s="1038">
        <f t="shared" si="20"/>
        <v>555311</v>
      </c>
      <c r="I204" s="944">
        <f>IF(A204='Data Entry - SOF'!B$2,'Report-SOF1920-HB3'!D$102,0)</f>
        <v>0</v>
      </c>
      <c r="J204" s="1037">
        <f>IF(A204='Data Entry - SOF'!B$2,'Data Entry - SOF'!G$102,0)</f>
        <v>0</v>
      </c>
      <c r="K204" s="717">
        <f t="shared" si="21"/>
        <v>555311</v>
      </c>
      <c r="L204" s="944">
        <f>IF(A204='Data Entry - SOF'!B$2,'Report-SOF2021'!D$99,0)</f>
        <v>0</v>
      </c>
      <c r="M204" s="723">
        <f>IF(A204='Data Entry - SOF'!B$2,'Data Entry - SOF'!M$102,0)</f>
        <v>0</v>
      </c>
      <c r="N204" s="717">
        <f t="shared" si="22"/>
        <v>555311</v>
      </c>
      <c r="O204" s="944">
        <f>IF(A204='Data Entry - SOF'!B$2,'Report-SOF2122'!D$91,0)</f>
        <v>0</v>
      </c>
      <c r="P204" s="723">
        <f>IF(A204='Data Entry - SOF'!B$2,'Data Entry - SOF'!O$102,0)</f>
        <v>0</v>
      </c>
      <c r="Q204" s="601">
        <f t="shared" si="19"/>
        <v>555311</v>
      </c>
      <c r="R204" s="944">
        <f>IF(A204='Data Entry - SOF'!B$2,'Report-SOF2223'!D$91,0)</f>
        <v>0</v>
      </c>
      <c r="S204" s="723">
        <f>IF(A204='Data Entry - SOF'!B$2,'Data Entry - SOF'!Q$102,0)</f>
        <v>0</v>
      </c>
      <c r="T204" s="601">
        <f t="shared" si="23"/>
        <v>555311</v>
      </c>
      <c r="U204" s="944">
        <f>IF(A204='Data Entry - SOF'!B$2,'Report-SOF2324'!D$91,0)</f>
        <v>0</v>
      </c>
      <c r="V204" s="723">
        <f>IF(A204='Data Entry - SOF'!B$2,'Data Entry - SOF'!S$102,0)</f>
        <v>0</v>
      </c>
    </row>
    <row r="205" spans="1:22" ht="15.75">
      <c r="A205" s="382" t="s">
        <v>2398</v>
      </c>
      <c r="B205" s="91">
        <v>5212286</v>
      </c>
      <c r="C205" s="944">
        <f>IF(A205='Data Entry - SOF'!B$2,'Report-SOF1718'!D$102,0)</f>
        <v>0</v>
      </c>
      <c r="D205" s="1037">
        <f>IF(A205='Data Entry - SOF'!B$2,'Data Entry - SOF'!#REF!,0)</f>
        <v>0</v>
      </c>
      <c r="E205" s="91">
        <f t="shared" si="18"/>
        <v>5212286</v>
      </c>
      <c r="F205" s="944">
        <f>IF(A205='Data Entry - SOF'!B$2,'Report-SOF1819'!D$102,0)</f>
        <v>0</v>
      </c>
      <c r="G205" s="1037">
        <f>IF(A205='Data Entry - SOF'!B$2,'Data Entry - SOF'!E$102,0)</f>
        <v>0</v>
      </c>
      <c r="H205" s="1038">
        <f t="shared" si="20"/>
        <v>5212286</v>
      </c>
      <c r="I205" s="944">
        <f>IF(A205='Data Entry - SOF'!B$2,'Report-SOF1920-HB3'!D$102,0)</f>
        <v>0</v>
      </c>
      <c r="J205" s="1037">
        <f>IF(A205='Data Entry - SOF'!B$2,'Data Entry - SOF'!G$102,0)</f>
        <v>0</v>
      </c>
      <c r="K205" s="717">
        <f t="shared" si="21"/>
        <v>5212286</v>
      </c>
      <c r="L205" s="944">
        <f>IF(A205='Data Entry - SOF'!B$2,'Report-SOF2021'!D$99,0)</f>
        <v>0</v>
      </c>
      <c r="M205" s="723">
        <f>IF(A205='Data Entry - SOF'!B$2,'Data Entry - SOF'!M$102,0)</f>
        <v>0</v>
      </c>
      <c r="N205" s="717">
        <f t="shared" si="22"/>
        <v>5212286</v>
      </c>
      <c r="O205" s="944">
        <f>IF(A205='Data Entry - SOF'!B$2,'Report-SOF2122'!D$91,0)</f>
        <v>0</v>
      </c>
      <c r="P205" s="723">
        <f>IF(A205='Data Entry - SOF'!B$2,'Data Entry - SOF'!O$102,0)</f>
        <v>0</v>
      </c>
      <c r="Q205" s="601">
        <f t="shared" si="19"/>
        <v>5212286</v>
      </c>
      <c r="R205" s="944">
        <f>IF(A205='Data Entry - SOF'!B$2,'Report-SOF2223'!D$91,0)</f>
        <v>0</v>
      </c>
      <c r="S205" s="723">
        <f>IF(A205='Data Entry - SOF'!B$2,'Data Entry - SOF'!Q$102,0)</f>
        <v>0</v>
      </c>
      <c r="T205" s="601">
        <f t="shared" si="23"/>
        <v>5212286</v>
      </c>
      <c r="U205" s="944">
        <f>IF(A205='Data Entry - SOF'!B$2,'Report-SOF2324'!D$91,0)</f>
        <v>0</v>
      </c>
      <c r="V205" s="723">
        <f>IF(A205='Data Entry - SOF'!B$2,'Data Entry - SOF'!S$102,0)</f>
        <v>0</v>
      </c>
    </row>
    <row r="206" spans="1:22" ht="15.75">
      <c r="A206" s="382" t="s">
        <v>1109</v>
      </c>
      <c r="B206" s="91">
        <v>888114</v>
      </c>
      <c r="C206" s="944">
        <f>IF(A206='Data Entry - SOF'!B$2,'Report-SOF1718'!D$102,0)</f>
        <v>0</v>
      </c>
      <c r="D206" s="1037">
        <f>IF(A206='Data Entry - SOF'!B$2,'Data Entry - SOF'!#REF!,0)</f>
        <v>0</v>
      </c>
      <c r="E206" s="91">
        <f t="shared" si="18"/>
        <v>888114</v>
      </c>
      <c r="F206" s="944">
        <f>IF(A206='Data Entry - SOF'!B$2,'Report-SOF1819'!D$102,0)</f>
        <v>0</v>
      </c>
      <c r="G206" s="1037">
        <f>IF(A206='Data Entry - SOF'!B$2,'Data Entry - SOF'!E$102,0)</f>
        <v>0</v>
      </c>
      <c r="H206" s="1038">
        <f t="shared" si="20"/>
        <v>888114</v>
      </c>
      <c r="I206" s="944">
        <f>IF(A206='Data Entry - SOF'!B$2,'Report-SOF1920-HB3'!D$102,0)</f>
        <v>0</v>
      </c>
      <c r="J206" s="1037">
        <f>IF(A206='Data Entry - SOF'!B$2,'Data Entry - SOF'!G$102,0)</f>
        <v>0</v>
      </c>
      <c r="K206" s="717">
        <f t="shared" si="21"/>
        <v>888114</v>
      </c>
      <c r="L206" s="944">
        <f>IF(A206='Data Entry - SOF'!B$2,'Report-SOF2021'!D$99,0)</f>
        <v>0</v>
      </c>
      <c r="M206" s="723">
        <f>IF(A206='Data Entry - SOF'!B$2,'Data Entry - SOF'!M$102,0)</f>
        <v>0</v>
      </c>
      <c r="N206" s="717">
        <f t="shared" si="22"/>
        <v>888114</v>
      </c>
      <c r="O206" s="944">
        <f>IF(A206='Data Entry - SOF'!B$2,'Report-SOF2122'!D$91,0)</f>
        <v>0</v>
      </c>
      <c r="P206" s="723">
        <f>IF(A206='Data Entry - SOF'!B$2,'Data Entry - SOF'!O$102,0)</f>
        <v>0</v>
      </c>
      <c r="Q206" s="601">
        <f t="shared" si="19"/>
        <v>888114</v>
      </c>
      <c r="R206" s="944">
        <f>IF(A206='Data Entry - SOF'!B$2,'Report-SOF2223'!D$91,0)</f>
        <v>0</v>
      </c>
      <c r="S206" s="723">
        <f>IF(A206='Data Entry - SOF'!B$2,'Data Entry - SOF'!Q$102,0)</f>
        <v>0</v>
      </c>
      <c r="T206" s="601">
        <f t="shared" si="23"/>
        <v>888114</v>
      </c>
      <c r="U206" s="944">
        <f>IF(A206='Data Entry - SOF'!B$2,'Report-SOF2324'!D$91,0)</f>
        <v>0</v>
      </c>
      <c r="V206" s="723">
        <f>IF(A206='Data Entry - SOF'!B$2,'Data Entry - SOF'!S$102,0)</f>
        <v>0</v>
      </c>
    </row>
    <row r="207" spans="1:22" ht="15.75">
      <c r="A207" s="382" t="s">
        <v>681</v>
      </c>
      <c r="B207" s="91">
        <v>23549885</v>
      </c>
      <c r="C207" s="944">
        <f>IF(A207='Data Entry - SOF'!B$2,'Report-SOF1718'!D$102,0)</f>
        <v>0</v>
      </c>
      <c r="D207" s="1037">
        <f>IF(A207='Data Entry - SOF'!B$2,'Data Entry - SOF'!#REF!,0)</f>
        <v>0</v>
      </c>
      <c r="E207" s="91">
        <f t="shared" si="18"/>
        <v>23549885</v>
      </c>
      <c r="F207" s="944">
        <f>IF(A207='Data Entry - SOF'!B$2,'Report-SOF1819'!D$102,0)</f>
        <v>0</v>
      </c>
      <c r="G207" s="1037">
        <f>IF(A207='Data Entry - SOF'!B$2,'Data Entry - SOF'!E$102,0)</f>
        <v>0</v>
      </c>
      <c r="H207" s="1038">
        <f t="shared" si="20"/>
        <v>23549885</v>
      </c>
      <c r="I207" s="944">
        <f>IF(A207='Data Entry - SOF'!B$2,'Report-SOF1920-HB3'!D$102,0)</f>
        <v>0</v>
      </c>
      <c r="J207" s="1037">
        <f>IF(A207='Data Entry - SOF'!B$2,'Data Entry - SOF'!G$102,0)</f>
        <v>0</v>
      </c>
      <c r="K207" s="717">
        <f t="shared" si="21"/>
        <v>23549885</v>
      </c>
      <c r="L207" s="944">
        <f>IF(A207='Data Entry - SOF'!B$2,'Report-SOF2021'!D$99,0)</f>
        <v>0</v>
      </c>
      <c r="M207" s="723">
        <f>IF(A207='Data Entry - SOF'!B$2,'Data Entry - SOF'!M$102,0)</f>
        <v>0</v>
      </c>
      <c r="N207" s="717">
        <f t="shared" si="22"/>
        <v>23549885</v>
      </c>
      <c r="O207" s="944">
        <f>IF(A207='Data Entry - SOF'!B$2,'Report-SOF2122'!D$91,0)</f>
        <v>0</v>
      </c>
      <c r="P207" s="723">
        <f>IF(A207='Data Entry - SOF'!B$2,'Data Entry - SOF'!O$102,0)</f>
        <v>0</v>
      </c>
      <c r="Q207" s="601">
        <f t="shared" si="19"/>
        <v>23549885</v>
      </c>
      <c r="R207" s="944">
        <f>IF(A207='Data Entry - SOF'!B$2,'Report-SOF2223'!D$91,0)</f>
        <v>0</v>
      </c>
      <c r="S207" s="723">
        <f>IF(A207='Data Entry - SOF'!B$2,'Data Entry - SOF'!Q$102,0)</f>
        <v>0</v>
      </c>
      <c r="T207" s="601">
        <f t="shared" si="23"/>
        <v>23549885</v>
      </c>
      <c r="U207" s="944">
        <f>IF(A207='Data Entry - SOF'!B$2,'Report-SOF2324'!D$91,0)</f>
        <v>0</v>
      </c>
      <c r="V207" s="723">
        <f>IF(A207='Data Entry - SOF'!B$2,'Data Entry - SOF'!S$102,0)</f>
        <v>0</v>
      </c>
    </row>
    <row r="208" spans="1:22" ht="15.75">
      <c r="A208" s="382" t="s">
        <v>682</v>
      </c>
      <c r="B208" s="91">
        <v>24694582</v>
      </c>
      <c r="C208" s="944">
        <f>IF(A208='Data Entry - SOF'!B$2,'Report-SOF1718'!D$102,0)</f>
        <v>0</v>
      </c>
      <c r="D208" s="1037">
        <f>IF(A208='Data Entry - SOF'!B$2,'Data Entry - SOF'!#REF!,0)</f>
        <v>0</v>
      </c>
      <c r="E208" s="91">
        <f t="shared" si="18"/>
        <v>24694582</v>
      </c>
      <c r="F208" s="944">
        <f>IF(A208='Data Entry - SOF'!B$2,'Report-SOF1819'!D$102,0)</f>
        <v>0</v>
      </c>
      <c r="G208" s="1037">
        <f>IF(A208='Data Entry - SOF'!B$2,'Data Entry - SOF'!E$102,0)</f>
        <v>0</v>
      </c>
      <c r="H208" s="1038">
        <f t="shared" si="20"/>
        <v>24694582</v>
      </c>
      <c r="I208" s="944">
        <f>IF(A208='Data Entry - SOF'!B$2,'Report-SOF1920-HB3'!D$102,0)</f>
        <v>0</v>
      </c>
      <c r="J208" s="1037">
        <f>IF(A208='Data Entry - SOF'!B$2,'Data Entry - SOF'!G$102,0)</f>
        <v>0</v>
      </c>
      <c r="K208" s="717">
        <f t="shared" si="21"/>
        <v>24694582</v>
      </c>
      <c r="L208" s="944">
        <f>IF(A208='Data Entry - SOF'!B$2,'Report-SOF2021'!D$99,0)</f>
        <v>0</v>
      </c>
      <c r="M208" s="723">
        <f>IF(A208='Data Entry - SOF'!B$2,'Data Entry - SOF'!M$102,0)</f>
        <v>0</v>
      </c>
      <c r="N208" s="717">
        <f t="shared" si="22"/>
        <v>24694582</v>
      </c>
      <c r="O208" s="944">
        <f>IF(A208='Data Entry - SOF'!B$2,'Report-SOF2122'!D$91,0)</f>
        <v>0</v>
      </c>
      <c r="P208" s="723">
        <f>IF(A208='Data Entry - SOF'!B$2,'Data Entry - SOF'!O$102,0)</f>
        <v>0</v>
      </c>
      <c r="Q208" s="601">
        <f t="shared" si="19"/>
        <v>24694582</v>
      </c>
      <c r="R208" s="944">
        <f>IF(A208='Data Entry - SOF'!B$2,'Report-SOF2223'!D$91,0)</f>
        <v>0</v>
      </c>
      <c r="S208" s="723">
        <f>IF(A208='Data Entry - SOF'!B$2,'Data Entry - SOF'!Q$102,0)</f>
        <v>0</v>
      </c>
      <c r="T208" s="601">
        <f t="shared" si="23"/>
        <v>24694582</v>
      </c>
      <c r="U208" s="944">
        <f>IF(A208='Data Entry - SOF'!B$2,'Report-SOF2324'!D$91,0)</f>
        <v>0</v>
      </c>
      <c r="V208" s="723">
        <f>IF(A208='Data Entry - SOF'!B$2,'Data Entry - SOF'!S$102,0)</f>
        <v>0</v>
      </c>
    </row>
    <row r="209" spans="1:22" ht="15.75">
      <c r="A209" s="382" t="s">
        <v>683</v>
      </c>
      <c r="B209" s="91">
        <v>675081</v>
      </c>
      <c r="C209" s="944">
        <f>IF(A209='Data Entry - SOF'!B$2,'Report-SOF1718'!D$102,0)</f>
        <v>0</v>
      </c>
      <c r="D209" s="1037">
        <f>IF(A209='Data Entry - SOF'!B$2,'Data Entry - SOF'!#REF!,0)</f>
        <v>0</v>
      </c>
      <c r="E209" s="91">
        <f t="shared" si="18"/>
        <v>675081</v>
      </c>
      <c r="F209" s="944">
        <f>IF(A209='Data Entry - SOF'!B$2,'Report-SOF1819'!D$102,0)</f>
        <v>0</v>
      </c>
      <c r="G209" s="1037">
        <f>IF(A209='Data Entry - SOF'!B$2,'Data Entry - SOF'!E$102,0)</f>
        <v>0</v>
      </c>
      <c r="H209" s="1038">
        <f t="shared" si="20"/>
        <v>675081</v>
      </c>
      <c r="I209" s="944">
        <f>IF(A209='Data Entry - SOF'!B$2,'Report-SOF1920-HB3'!D$102,0)</f>
        <v>0</v>
      </c>
      <c r="J209" s="1037">
        <f>IF(A209='Data Entry - SOF'!B$2,'Data Entry - SOF'!G$102,0)</f>
        <v>0</v>
      </c>
      <c r="K209" s="717">
        <f t="shared" si="21"/>
        <v>675081</v>
      </c>
      <c r="L209" s="944">
        <f>IF(A209='Data Entry - SOF'!B$2,'Report-SOF2021'!D$99,0)</f>
        <v>0</v>
      </c>
      <c r="M209" s="723">
        <f>IF(A209='Data Entry - SOF'!B$2,'Data Entry - SOF'!M$102,0)</f>
        <v>0</v>
      </c>
      <c r="N209" s="717">
        <f t="shared" si="22"/>
        <v>675081</v>
      </c>
      <c r="O209" s="944">
        <f>IF(A209='Data Entry - SOF'!B$2,'Report-SOF2122'!D$91,0)</f>
        <v>0</v>
      </c>
      <c r="P209" s="723">
        <f>IF(A209='Data Entry - SOF'!B$2,'Data Entry - SOF'!O$102,0)</f>
        <v>0</v>
      </c>
      <c r="Q209" s="601">
        <f t="shared" si="19"/>
        <v>675081</v>
      </c>
      <c r="R209" s="944">
        <f>IF(A209='Data Entry - SOF'!B$2,'Report-SOF2223'!D$91,0)</f>
        <v>0</v>
      </c>
      <c r="S209" s="723">
        <f>IF(A209='Data Entry - SOF'!B$2,'Data Entry - SOF'!Q$102,0)</f>
        <v>0</v>
      </c>
      <c r="T209" s="601">
        <f t="shared" si="23"/>
        <v>675081</v>
      </c>
      <c r="U209" s="944">
        <f>IF(A209='Data Entry - SOF'!B$2,'Report-SOF2324'!D$91,0)</f>
        <v>0</v>
      </c>
      <c r="V209" s="723">
        <f>IF(A209='Data Entry - SOF'!B$2,'Data Entry - SOF'!S$102,0)</f>
        <v>0</v>
      </c>
    </row>
    <row r="210" spans="1:22" ht="15.75">
      <c r="A210" s="382" t="s">
        <v>684</v>
      </c>
      <c r="B210" s="91">
        <v>1109145</v>
      </c>
      <c r="C210" s="944">
        <f>IF(A210='Data Entry - SOF'!B$2,'Report-SOF1718'!D$102,0)</f>
        <v>0</v>
      </c>
      <c r="D210" s="1037">
        <f>IF(A210='Data Entry - SOF'!B$2,'Data Entry - SOF'!#REF!,0)</f>
        <v>0</v>
      </c>
      <c r="E210" s="91">
        <f t="shared" si="18"/>
        <v>1109145</v>
      </c>
      <c r="F210" s="944">
        <f>IF(A210='Data Entry - SOF'!B$2,'Report-SOF1819'!D$102,0)</f>
        <v>0</v>
      </c>
      <c r="G210" s="1037">
        <f>IF(A210='Data Entry - SOF'!B$2,'Data Entry - SOF'!E$102,0)</f>
        <v>0</v>
      </c>
      <c r="H210" s="1038">
        <f t="shared" si="20"/>
        <v>1109145</v>
      </c>
      <c r="I210" s="944">
        <f>IF(A210='Data Entry - SOF'!B$2,'Report-SOF1920-HB3'!D$102,0)</f>
        <v>0</v>
      </c>
      <c r="J210" s="1037">
        <f>IF(A210='Data Entry - SOF'!B$2,'Data Entry - SOF'!G$102,0)</f>
        <v>0</v>
      </c>
      <c r="K210" s="717">
        <f t="shared" si="21"/>
        <v>1109145</v>
      </c>
      <c r="L210" s="944">
        <f>IF(A210='Data Entry - SOF'!B$2,'Report-SOF2021'!D$99,0)</f>
        <v>0</v>
      </c>
      <c r="M210" s="723">
        <f>IF(A210='Data Entry - SOF'!B$2,'Data Entry - SOF'!M$102,0)</f>
        <v>0</v>
      </c>
      <c r="N210" s="717">
        <f t="shared" si="22"/>
        <v>1109145</v>
      </c>
      <c r="O210" s="944">
        <f>IF(A210='Data Entry - SOF'!B$2,'Report-SOF2122'!D$91,0)</f>
        <v>0</v>
      </c>
      <c r="P210" s="723">
        <f>IF(A210='Data Entry - SOF'!B$2,'Data Entry - SOF'!O$102,0)</f>
        <v>0</v>
      </c>
      <c r="Q210" s="601">
        <f t="shared" si="19"/>
        <v>1109145</v>
      </c>
      <c r="R210" s="944">
        <f>IF(A210='Data Entry - SOF'!B$2,'Report-SOF2223'!D$91,0)</f>
        <v>0</v>
      </c>
      <c r="S210" s="723">
        <f>IF(A210='Data Entry - SOF'!B$2,'Data Entry - SOF'!Q$102,0)</f>
        <v>0</v>
      </c>
      <c r="T210" s="601">
        <f t="shared" si="23"/>
        <v>1109145</v>
      </c>
      <c r="U210" s="944">
        <f>IF(A210='Data Entry - SOF'!B$2,'Report-SOF2324'!D$91,0)</f>
        <v>0</v>
      </c>
      <c r="V210" s="723">
        <f>IF(A210='Data Entry - SOF'!B$2,'Data Entry - SOF'!S$102,0)</f>
        <v>0</v>
      </c>
    </row>
    <row r="211" spans="1:22" ht="15.75">
      <c r="A211" s="382" t="s">
        <v>392</v>
      </c>
      <c r="B211" s="91">
        <v>915186</v>
      </c>
      <c r="C211" s="944">
        <f>IF(A211='Data Entry - SOF'!B$2,'Report-SOF1718'!D$102,0)</f>
        <v>0</v>
      </c>
      <c r="D211" s="1037">
        <f>IF(A211='Data Entry - SOF'!B$2,'Data Entry - SOF'!#REF!,0)</f>
        <v>0</v>
      </c>
      <c r="E211" s="91">
        <f t="shared" si="18"/>
        <v>915186</v>
      </c>
      <c r="F211" s="944">
        <f>IF(A211='Data Entry - SOF'!B$2,'Report-SOF1819'!D$102,0)</f>
        <v>0</v>
      </c>
      <c r="G211" s="1037">
        <f>IF(A211='Data Entry - SOF'!B$2,'Data Entry - SOF'!E$102,0)</f>
        <v>0</v>
      </c>
      <c r="H211" s="1038">
        <f t="shared" si="20"/>
        <v>915186</v>
      </c>
      <c r="I211" s="944">
        <f>IF(A211='Data Entry - SOF'!B$2,'Report-SOF1920-HB3'!D$102,0)</f>
        <v>0</v>
      </c>
      <c r="J211" s="1037">
        <f>IF(A211='Data Entry - SOF'!B$2,'Data Entry - SOF'!G$102,0)</f>
        <v>0</v>
      </c>
      <c r="K211" s="717">
        <f t="shared" si="21"/>
        <v>915186</v>
      </c>
      <c r="L211" s="944">
        <f>IF(A211='Data Entry - SOF'!B$2,'Report-SOF2021'!D$99,0)</f>
        <v>0</v>
      </c>
      <c r="M211" s="723">
        <f>IF(A211='Data Entry - SOF'!B$2,'Data Entry - SOF'!M$102,0)</f>
        <v>0</v>
      </c>
      <c r="N211" s="717">
        <f t="shared" si="22"/>
        <v>915186</v>
      </c>
      <c r="O211" s="944">
        <f>IF(A211='Data Entry - SOF'!B$2,'Report-SOF2122'!D$91,0)</f>
        <v>0</v>
      </c>
      <c r="P211" s="723">
        <f>IF(A211='Data Entry - SOF'!B$2,'Data Entry - SOF'!O$102,0)</f>
        <v>0</v>
      </c>
      <c r="Q211" s="601">
        <f t="shared" si="19"/>
        <v>915186</v>
      </c>
      <c r="R211" s="944">
        <f>IF(A211='Data Entry - SOF'!B$2,'Report-SOF2223'!D$91,0)</f>
        <v>0</v>
      </c>
      <c r="S211" s="723">
        <f>IF(A211='Data Entry - SOF'!B$2,'Data Entry - SOF'!Q$102,0)</f>
        <v>0</v>
      </c>
      <c r="T211" s="601">
        <f t="shared" si="23"/>
        <v>915186</v>
      </c>
      <c r="U211" s="944">
        <f>IF(A211='Data Entry - SOF'!B$2,'Report-SOF2324'!D$91,0)</f>
        <v>0</v>
      </c>
      <c r="V211" s="723">
        <f>IF(A211='Data Entry - SOF'!B$2,'Data Entry - SOF'!S$102,0)</f>
        <v>0</v>
      </c>
    </row>
    <row r="212" spans="1:22" ht="15.75">
      <c r="A212" s="382" t="s">
        <v>2559</v>
      </c>
      <c r="B212" s="91">
        <v>13150189.080075299</v>
      </c>
      <c r="C212" s="944">
        <f>IF(A212='Data Entry - SOF'!B$2,'Report-SOF1718'!D$102,0)</f>
        <v>0</v>
      </c>
      <c r="D212" s="1037">
        <f>IF(A212='Data Entry - SOF'!B$2,'Data Entry - SOF'!#REF!,0)</f>
        <v>0</v>
      </c>
      <c r="E212" s="91">
        <f t="shared" si="18"/>
        <v>13150189.080075299</v>
      </c>
      <c r="F212" s="944">
        <f>IF(A212='Data Entry - SOF'!B$2,'Report-SOF1819'!D$102,0)</f>
        <v>0</v>
      </c>
      <c r="G212" s="1037">
        <f>IF(A212='Data Entry - SOF'!B$2,'Data Entry - SOF'!E$102,0)</f>
        <v>0</v>
      </c>
      <c r="H212" s="1038">
        <f t="shared" si="20"/>
        <v>13150189.080075299</v>
      </c>
      <c r="I212" s="944">
        <f>IF(A212='Data Entry - SOF'!B$2,'Report-SOF1920-HB3'!D$102,0)</f>
        <v>0</v>
      </c>
      <c r="J212" s="1037">
        <f>IF(A212='Data Entry - SOF'!B$2,'Data Entry - SOF'!G$102,0)</f>
        <v>0</v>
      </c>
      <c r="K212" s="717">
        <f t="shared" si="21"/>
        <v>13150189.080075299</v>
      </c>
      <c r="L212" s="944">
        <f>IF(A212='Data Entry - SOF'!B$2,'Report-SOF2021'!D$99,0)</f>
        <v>0</v>
      </c>
      <c r="M212" s="723">
        <f>IF(A212='Data Entry - SOF'!B$2,'Data Entry - SOF'!M$102,0)</f>
        <v>0</v>
      </c>
      <c r="N212" s="717">
        <f t="shared" si="22"/>
        <v>13150189.080075299</v>
      </c>
      <c r="O212" s="944">
        <f>IF(A212='Data Entry - SOF'!B$2,'Report-SOF2122'!D$91,0)</f>
        <v>0</v>
      </c>
      <c r="P212" s="723">
        <f>IF(A212='Data Entry - SOF'!B$2,'Data Entry - SOF'!O$102,0)</f>
        <v>0</v>
      </c>
      <c r="Q212" s="601">
        <f t="shared" si="19"/>
        <v>13150189.080075299</v>
      </c>
      <c r="R212" s="944">
        <f>IF(A212='Data Entry - SOF'!B$2,'Report-SOF2223'!D$91,0)</f>
        <v>0</v>
      </c>
      <c r="S212" s="723">
        <f>IF(A212='Data Entry - SOF'!B$2,'Data Entry - SOF'!Q$102,0)</f>
        <v>0</v>
      </c>
      <c r="T212" s="601">
        <f t="shared" si="23"/>
        <v>13150189.080075299</v>
      </c>
      <c r="U212" s="944">
        <f>IF(A212='Data Entry - SOF'!B$2,'Report-SOF2324'!D$91,0)</f>
        <v>0</v>
      </c>
      <c r="V212" s="723">
        <f>IF(A212='Data Entry - SOF'!B$2,'Data Entry - SOF'!S$102,0)</f>
        <v>0</v>
      </c>
    </row>
    <row r="213" spans="1:22" ht="15.75">
      <c r="A213" s="382" t="s">
        <v>2560</v>
      </c>
      <c r="B213" s="91">
        <v>9975173</v>
      </c>
      <c r="C213" s="944">
        <f>IF(A213='Data Entry - SOF'!B$2,'Report-SOF1718'!D$102,0)</f>
        <v>0</v>
      </c>
      <c r="D213" s="1037">
        <f>IF(A213='Data Entry - SOF'!B$2,'Data Entry - SOF'!#REF!,0)</f>
        <v>0</v>
      </c>
      <c r="E213" s="91">
        <f t="shared" si="18"/>
        <v>9975173</v>
      </c>
      <c r="F213" s="944">
        <f>IF(A213='Data Entry - SOF'!B$2,'Report-SOF1819'!D$102,0)</f>
        <v>0</v>
      </c>
      <c r="G213" s="1037">
        <f>IF(A213='Data Entry - SOF'!B$2,'Data Entry - SOF'!E$102,0)</f>
        <v>0</v>
      </c>
      <c r="H213" s="1038">
        <f t="shared" si="20"/>
        <v>9975173</v>
      </c>
      <c r="I213" s="944">
        <f>IF(A213='Data Entry - SOF'!B$2,'Report-SOF1920-HB3'!D$102,0)</f>
        <v>0</v>
      </c>
      <c r="J213" s="1037">
        <f>IF(A213='Data Entry - SOF'!B$2,'Data Entry - SOF'!G$102,0)</f>
        <v>0</v>
      </c>
      <c r="K213" s="717">
        <f t="shared" si="21"/>
        <v>9975173</v>
      </c>
      <c r="L213" s="944">
        <f>IF(A213='Data Entry - SOF'!B$2,'Report-SOF2021'!D$99,0)</f>
        <v>0</v>
      </c>
      <c r="M213" s="723">
        <f>IF(A213='Data Entry - SOF'!B$2,'Data Entry - SOF'!M$102,0)</f>
        <v>0</v>
      </c>
      <c r="N213" s="717">
        <f t="shared" si="22"/>
        <v>9975173</v>
      </c>
      <c r="O213" s="944">
        <f>IF(A213='Data Entry - SOF'!B$2,'Report-SOF2122'!D$91,0)</f>
        <v>0</v>
      </c>
      <c r="P213" s="723">
        <f>IF(A213='Data Entry - SOF'!B$2,'Data Entry - SOF'!O$102,0)</f>
        <v>0</v>
      </c>
      <c r="Q213" s="601">
        <f t="shared" si="19"/>
        <v>9975173</v>
      </c>
      <c r="R213" s="944">
        <f>IF(A213='Data Entry - SOF'!B$2,'Report-SOF2223'!D$91,0)</f>
        <v>0</v>
      </c>
      <c r="S213" s="723">
        <f>IF(A213='Data Entry - SOF'!B$2,'Data Entry - SOF'!Q$102,0)</f>
        <v>0</v>
      </c>
      <c r="T213" s="601">
        <f t="shared" si="23"/>
        <v>9975173</v>
      </c>
      <c r="U213" s="944">
        <f>IF(A213='Data Entry - SOF'!B$2,'Report-SOF2324'!D$91,0)</f>
        <v>0</v>
      </c>
      <c r="V213" s="723">
        <f>IF(A213='Data Entry - SOF'!B$2,'Data Entry - SOF'!S$102,0)</f>
        <v>0</v>
      </c>
    </row>
    <row r="214" spans="1:22" ht="15.75">
      <c r="A214" s="382" t="s">
        <v>2561</v>
      </c>
      <c r="B214" s="91">
        <v>1546814</v>
      </c>
      <c r="C214" s="944">
        <f>IF(A214='Data Entry - SOF'!B$2,'Report-SOF1718'!D$102,0)</f>
        <v>0</v>
      </c>
      <c r="D214" s="1037">
        <f>IF(A214='Data Entry - SOF'!B$2,'Data Entry - SOF'!#REF!,0)</f>
        <v>0</v>
      </c>
      <c r="E214" s="91">
        <f t="shared" si="18"/>
        <v>1546814</v>
      </c>
      <c r="F214" s="944">
        <f>IF(A214='Data Entry - SOF'!B$2,'Report-SOF1819'!D$102,0)</f>
        <v>0</v>
      </c>
      <c r="G214" s="1037">
        <f>IF(A214='Data Entry - SOF'!B$2,'Data Entry - SOF'!E$102,0)</f>
        <v>0</v>
      </c>
      <c r="H214" s="1038">
        <f t="shared" si="20"/>
        <v>1546814</v>
      </c>
      <c r="I214" s="944">
        <f>IF(A214='Data Entry - SOF'!B$2,'Report-SOF1920-HB3'!D$102,0)</f>
        <v>0</v>
      </c>
      <c r="J214" s="1037">
        <f>IF(A214='Data Entry - SOF'!B$2,'Data Entry - SOF'!G$102,0)</f>
        <v>0</v>
      </c>
      <c r="K214" s="717">
        <f t="shared" si="21"/>
        <v>1546814</v>
      </c>
      <c r="L214" s="944">
        <f>IF(A214='Data Entry - SOF'!B$2,'Report-SOF2021'!D$99,0)</f>
        <v>0</v>
      </c>
      <c r="M214" s="723">
        <f>IF(A214='Data Entry - SOF'!B$2,'Data Entry - SOF'!M$102,0)</f>
        <v>0</v>
      </c>
      <c r="N214" s="717">
        <f t="shared" si="22"/>
        <v>1546814</v>
      </c>
      <c r="O214" s="944">
        <f>IF(A214='Data Entry - SOF'!B$2,'Report-SOF2122'!D$91,0)</f>
        <v>0</v>
      </c>
      <c r="P214" s="723">
        <f>IF(A214='Data Entry - SOF'!B$2,'Data Entry - SOF'!O$102,0)</f>
        <v>0</v>
      </c>
      <c r="Q214" s="601">
        <f t="shared" si="19"/>
        <v>1546814</v>
      </c>
      <c r="R214" s="944">
        <f>IF(A214='Data Entry - SOF'!B$2,'Report-SOF2223'!D$91,0)</f>
        <v>0</v>
      </c>
      <c r="S214" s="723">
        <f>IF(A214='Data Entry - SOF'!B$2,'Data Entry - SOF'!Q$102,0)</f>
        <v>0</v>
      </c>
      <c r="T214" s="601">
        <f t="shared" si="23"/>
        <v>1546814</v>
      </c>
      <c r="U214" s="944">
        <f>IF(A214='Data Entry - SOF'!B$2,'Report-SOF2324'!D$91,0)</f>
        <v>0</v>
      </c>
      <c r="V214" s="723">
        <f>IF(A214='Data Entry - SOF'!B$2,'Data Entry - SOF'!S$102,0)</f>
        <v>0</v>
      </c>
    </row>
    <row r="215" spans="1:22" ht="15.75">
      <c r="A215" s="382" t="s">
        <v>1642</v>
      </c>
      <c r="B215" s="91">
        <v>303460921</v>
      </c>
      <c r="C215" s="944">
        <f>IF(A215='Data Entry - SOF'!B$2,'Report-SOF1718'!D$102,0)</f>
        <v>0</v>
      </c>
      <c r="D215" s="1037">
        <f>IF(A215='Data Entry - SOF'!B$2,'Data Entry - SOF'!#REF!,0)</f>
        <v>0</v>
      </c>
      <c r="E215" s="91">
        <f t="shared" si="18"/>
        <v>303460921</v>
      </c>
      <c r="F215" s="944">
        <f>IF(A215='Data Entry - SOF'!B$2,'Report-SOF1819'!D$102,0)</f>
        <v>0</v>
      </c>
      <c r="G215" s="1037">
        <f>IF(A215='Data Entry - SOF'!B$2,'Data Entry - SOF'!E$102,0)</f>
        <v>0</v>
      </c>
      <c r="H215" s="1038">
        <f t="shared" si="20"/>
        <v>303460921</v>
      </c>
      <c r="I215" s="944">
        <f>IF(A215='Data Entry - SOF'!B$2,'Report-SOF1920-HB3'!D$102,0)</f>
        <v>0</v>
      </c>
      <c r="J215" s="1037">
        <f>IF(A215='Data Entry - SOF'!B$2,'Data Entry - SOF'!G$102,0)</f>
        <v>0</v>
      </c>
      <c r="K215" s="717">
        <f t="shared" si="21"/>
        <v>303460921</v>
      </c>
      <c r="L215" s="944">
        <f>IF(A215='Data Entry - SOF'!B$2,'Report-SOF2021'!D$99,0)</f>
        <v>0</v>
      </c>
      <c r="M215" s="723">
        <f>IF(A215='Data Entry - SOF'!B$2,'Data Entry - SOF'!M$102,0)</f>
        <v>0</v>
      </c>
      <c r="N215" s="717">
        <f t="shared" si="22"/>
        <v>303460921</v>
      </c>
      <c r="O215" s="944">
        <f>IF(A215='Data Entry - SOF'!B$2,'Report-SOF2122'!D$91,0)</f>
        <v>0</v>
      </c>
      <c r="P215" s="723">
        <f>IF(A215='Data Entry - SOF'!B$2,'Data Entry - SOF'!O$102,0)</f>
        <v>0</v>
      </c>
      <c r="Q215" s="601">
        <f t="shared" si="19"/>
        <v>303460921</v>
      </c>
      <c r="R215" s="944">
        <f>IF(A215='Data Entry - SOF'!B$2,'Report-SOF2223'!D$91,0)</f>
        <v>0</v>
      </c>
      <c r="S215" s="723">
        <f>IF(A215='Data Entry - SOF'!B$2,'Data Entry - SOF'!Q$102,0)</f>
        <v>0</v>
      </c>
      <c r="T215" s="601">
        <f t="shared" si="23"/>
        <v>303460921</v>
      </c>
      <c r="U215" s="944">
        <f>IF(A215='Data Entry - SOF'!B$2,'Report-SOF2324'!D$91,0)</f>
        <v>0</v>
      </c>
      <c r="V215" s="723">
        <f>IF(A215='Data Entry - SOF'!B$2,'Data Entry - SOF'!S$102,0)</f>
        <v>0</v>
      </c>
    </row>
    <row r="216" spans="1:22" ht="15.75">
      <c r="A216" s="382" t="s">
        <v>385</v>
      </c>
      <c r="B216" s="91">
        <v>81607507</v>
      </c>
      <c r="C216" s="944">
        <f>IF(A216='Data Entry - SOF'!B$2,'Report-SOF1718'!D$102,0)</f>
        <v>0</v>
      </c>
      <c r="D216" s="1037">
        <f>IF(A216='Data Entry - SOF'!B$2,'Data Entry - SOF'!#REF!,0)</f>
        <v>0</v>
      </c>
      <c r="E216" s="91">
        <f t="shared" si="18"/>
        <v>81607507</v>
      </c>
      <c r="F216" s="944">
        <f>IF(A216='Data Entry - SOF'!B$2,'Report-SOF1819'!D$102,0)</f>
        <v>0</v>
      </c>
      <c r="G216" s="1037">
        <f>IF(A216='Data Entry - SOF'!B$2,'Data Entry - SOF'!E$102,0)</f>
        <v>0</v>
      </c>
      <c r="H216" s="1038">
        <f t="shared" si="20"/>
        <v>81607507</v>
      </c>
      <c r="I216" s="944">
        <f>IF(A216='Data Entry - SOF'!B$2,'Report-SOF1920-HB3'!D$102,0)</f>
        <v>0</v>
      </c>
      <c r="J216" s="1037">
        <f>IF(A216='Data Entry - SOF'!B$2,'Data Entry - SOF'!G$102,0)</f>
        <v>0</v>
      </c>
      <c r="K216" s="717">
        <f t="shared" si="21"/>
        <v>81607507</v>
      </c>
      <c r="L216" s="944">
        <f>IF(A216='Data Entry - SOF'!B$2,'Report-SOF2021'!D$99,0)</f>
        <v>0</v>
      </c>
      <c r="M216" s="723">
        <f>IF(A216='Data Entry - SOF'!B$2,'Data Entry - SOF'!M$102,0)</f>
        <v>0</v>
      </c>
      <c r="N216" s="717">
        <f t="shared" si="22"/>
        <v>81607507</v>
      </c>
      <c r="O216" s="944">
        <f>IF(A216='Data Entry - SOF'!B$2,'Report-SOF2122'!D$91,0)</f>
        <v>0</v>
      </c>
      <c r="P216" s="723">
        <f>IF(A216='Data Entry - SOF'!B$2,'Data Entry - SOF'!O$102,0)</f>
        <v>0</v>
      </c>
      <c r="Q216" s="601">
        <f t="shared" si="19"/>
        <v>81607507</v>
      </c>
      <c r="R216" s="944">
        <f>IF(A216='Data Entry - SOF'!B$2,'Report-SOF2223'!D$91,0)</f>
        <v>0</v>
      </c>
      <c r="S216" s="723">
        <f>IF(A216='Data Entry - SOF'!B$2,'Data Entry - SOF'!Q$102,0)</f>
        <v>0</v>
      </c>
      <c r="T216" s="601">
        <f t="shared" si="23"/>
        <v>81607507</v>
      </c>
      <c r="U216" s="944">
        <f>IF(A216='Data Entry - SOF'!B$2,'Report-SOF2324'!D$91,0)</f>
        <v>0</v>
      </c>
      <c r="V216" s="723">
        <f>IF(A216='Data Entry - SOF'!B$2,'Data Entry - SOF'!S$102,0)</f>
        <v>0</v>
      </c>
    </row>
    <row r="217" spans="1:22" ht="15.75">
      <c r="A217" s="382" t="s">
        <v>386</v>
      </c>
      <c r="B217" s="91">
        <v>1167889863</v>
      </c>
      <c r="C217" s="944">
        <f>IF(A217='Data Entry - SOF'!B$2,'Report-SOF1718'!D$102,0)</f>
        <v>0</v>
      </c>
      <c r="D217" s="1037">
        <f>IF(A217='Data Entry - SOF'!B$2,'Data Entry - SOF'!#REF!,0)</f>
        <v>0</v>
      </c>
      <c r="E217" s="91">
        <f t="shared" si="18"/>
        <v>1167889863</v>
      </c>
      <c r="F217" s="944">
        <f>IF(A217='Data Entry - SOF'!B$2,'Report-SOF1819'!D$102,0)</f>
        <v>0</v>
      </c>
      <c r="G217" s="1037">
        <f>IF(A217='Data Entry - SOF'!B$2,'Data Entry - SOF'!E$102,0)</f>
        <v>0</v>
      </c>
      <c r="H217" s="1038">
        <f t="shared" si="20"/>
        <v>1167889863</v>
      </c>
      <c r="I217" s="944">
        <f>IF(A217='Data Entry - SOF'!B$2,'Report-SOF1920-HB3'!D$102,0)</f>
        <v>0</v>
      </c>
      <c r="J217" s="1037">
        <f>IF(A217='Data Entry - SOF'!B$2,'Data Entry - SOF'!G$102,0)</f>
        <v>0</v>
      </c>
      <c r="K217" s="717">
        <f t="shared" si="21"/>
        <v>1167889863</v>
      </c>
      <c r="L217" s="944">
        <f>IF(A217='Data Entry - SOF'!B$2,'Report-SOF2021'!D$99,0)</f>
        <v>0</v>
      </c>
      <c r="M217" s="723">
        <f>IF(A217='Data Entry - SOF'!B$2,'Data Entry - SOF'!M$102,0)</f>
        <v>0</v>
      </c>
      <c r="N217" s="717">
        <f t="shared" si="22"/>
        <v>1167889863</v>
      </c>
      <c r="O217" s="944">
        <f>IF(A217='Data Entry - SOF'!B$2,'Report-SOF2122'!D$91,0)</f>
        <v>0</v>
      </c>
      <c r="P217" s="723">
        <f>IF(A217='Data Entry - SOF'!B$2,'Data Entry - SOF'!O$102,0)</f>
        <v>0</v>
      </c>
      <c r="Q217" s="601">
        <f t="shared" si="19"/>
        <v>1167889863</v>
      </c>
      <c r="R217" s="944">
        <f>IF(A217='Data Entry - SOF'!B$2,'Report-SOF2223'!D$91,0)</f>
        <v>0</v>
      </c>
      <c r="S217" s="723">
        <f>IF(A217='Data Entry - SOF'!B$2,'Data Entry - SOF'!Q$102,0)</f>
        <v>0</v>
      </c>
      <c r="T217" s="601">
        <f t="shared" si="23"/>
        <v>1167889863</v>
      </c>
      <c r="U217" s="944">
        <f>IF(A217='Data Entry - SOF'!B$2,'Report-SOF2324'!D$91,0)</f>
        <v>0</v>
      </c>
      <c r="V217" s="723">
        <f>IF(A217='Data Entry - SOF'!B$2,'Data Entry - SOF'!S$102,0)</f>
        <v>0</v>
      </c>
    </row>
    <row r="218" spans="1:22" ht="15.75">
      <c r="A218" s="382" t="s">
        <v>387</v>
      </c>
      <c r="B218" s="91">
        <v>41230711</v>
      </c>
      <c r="C218" s="944">
        <f>IF(A218='Data Entry - SOF'!B$2,'Report-SOF1718'!D$102,0)</f>
        <v>0</v>
      </c>
      <c r="D218" s="1037">
        <f>IF(A218='Data Entry - SOF'!B$2,'Data Entry - SOF'!#REF!,0)</f>
        <v>0</v>
      </c>
      <c r="E218" s="91">
        <f t="shared" si="18"/>
        <v>41230711</v>
      </c>
      <c r="F218" s="944">
        <f>IF(A218='Data Entry - SOF'!B$2,'Report-SOF1819'!D$102,0)</f>
        <v>0</v>
      </c>
      <c r="G218" s="1037">
        <f>IF(A218='Data Entry - SOF'!B$2,'Data Entry - SOF'!E$102,0)</f>
        <v>0</v>
      </c>
      <c r="H218" s="1038">
        <f t="shared" si="20"/>
        <v>41230711</v>
      </c>
      <c r="I218" s="944">
        <f>IF(A218='Data Entry - SOF'!B$2,'Report-SOF1920-HB3'!D$102,0)</f>
        <v>0</v>
      </c>
      <c r="J218" s="1037">
        <f>IF(A218='Data Entry - SOF'!B$2,'Data Entry - SOF'!G$102,0)</f>
        <v>0</v>
      </c>
      <c r="K218" s="717">
        <f t="shared" si="21"/>
        <v>41230711</v>
      </c>
      <c r="L218" s="944">
        <f>IF(A218='Data Entry - SOF'!B$2,'Report-SOF2021'!D$99,0)</f>
        <v>0</v>
      </c>
      <c r="M218" s="723">
        <f>IF(A218='Data Entry - SOF'!B$2,'Data Entry - SOF'!M$102,0)</f>
        <v>0</v>
      </c>
      <c r="N218" s="717">
        <f t="shared" si="22"/>
        <v>41230711</v>
      </c>
      <c r="O218" s="944">
        <f>IF(A218='Data Entry - SOF'!B$2,'Report-SOF2122'!D$91,0)</f>
        <v>0</v>
      </c>
      <c r="P218" s="723">
        <f>IF(A218='Data Entry - SOF'!B$2,'Data Entry - SOF'!O$102,0)</f>
        <v>0</v>
      </c>
      <c r="Q218" s="601">
        <f t="shared" si="19"/>
        <v>41230711</v>
      </c>
      <c r="R218" s="944">
        <f>IF(A218='Data Entry - SOF'!B$2,'Report-SOF2223'!D$91,0)</f>
        <v>0</v>
      </c>
      <c r="S218" s="723">
        <f>IF(A218='Data Entry - SOF'!B$2,'Data Entry - SOF'!Q$102,0)</f>
        <v>0</v>
      </c>
      <c r="T218" s="601">
        <f t="shared" si="23"/>
        <v>41230711</v>
      </c>
      <c r="U218" s="944">
        <f>IF(A218='Data Entry - SOF'!B$2,'Report-SOF2324'!D$91,0)</f>
        <v>0</v>
      </c>
      <c r="V218" s="723">
        <f>IF(A218='Data Entry - SOF'!B$2,'Data Entry - SOF'!S$102,0)</f>
        <v>0</v>
      </c>
    </row>
    <row r="219" spans="1:22" ht="15.75">
      <c r="A219" s="382" t="s">
        <v>388</v>
      </c>
      <c r="B219" s="91">
        <v>89780671</v>
      </c>
      <c r="C219" s="944">
        <f>IF(A219='Data Entry - SOF'!B$2,'Report-SOF1718'!D$102,0)</f>
        <v>0</v>
      </c>
      <c r="D219" s="1037">
        <f>IF(A219='Data Entry - SOF'!B$2,'Data Entry - SOF'!#REF!,0)</f>
        <v>0</v>
      </c>
      <c r="E219" s="91">
        <f t="shared" si="18"/>
        <v>89780671</v>
      </c>
      <c r="F219" s="944">
        <f>IF(A219='Data Entry - SOF'!B$2,'Report-SOF1819'!D$102,0)</f>
        <v>0</v>
      </c>
      <c r="G219" s="1037">
        <f>IF(A219='Data Entry - SOF'!B$2,'Data Entry - SOF'!E$102,0)</f>
        <v>0</v>
      </c>
      <c r="H219" s="1038">
        <f t="shared" si="20"/>
        <v>89780671</v>
      </c>
      <c r="I219" s="944">
        <f>IF(A219='Data Entry - SOF'!B$2,'Report-SOF1920-HB3'!D$102,0)</f>
        <v>0</v>
      </c>
      <c r="J219" s="1037">
        <f>IF(A219='Data Entry - SOF'!B$2,'Data Entry - SOF'!G$102,0)</f>
        <v>0</v>
      </c>
      <c r="K219" s="717">
        <f t="shared" si="21"/>
        <v>89780671</v>
      </c>
      <c r="L219" s="944">
        <f>IF(A219='Data Entry - SOF'!B$2,'Report-SOF2021'!D$99,0)</f>
        <v>0</v>
      </c>
      <c r="M219" s="723">
        <f>IF(A219='Data Entry - SOF'!B$2,'Data Entry - SOF'!M$102,0)</f>
        <v>0</v>
      </c>
      <c r="N219" s="717">
        <f t="shared" si="22"/>
        <v>89780671</v>
      </c>
      <c r="O219" s="944">
        <f>IF(A219='Data Entry - SOF'!B$2,'Report-SOF2122'!D$91,0)</f>
        <v>0</v>
      </c>
      <c r="P219" s="723">
        <f>IF(A219='Data Entry - SOF'!B$2,'Data Entry - SOF'!O$102,0)</f>
        <v>0</v>
      </c>
      <c r="Q219" s="601">
        <f t="shared" si="19"/>
        <v>89780671</v>
      </c>
      <c r="R219" s="944">
        <f>IF(A219='Data Entry - SOF'!B$2,'Report-SOF2223'!D$91,0)</f>
        <v>0</v>
      </c>
      <c r="S219" s="723">
        <f>IF(A219='Data Entry - SOF'!B$2,'Data Entry - SOF'!Q$102,0)</f>
        <v>0</v>
      </c>
      <c r="T219" s="601">
        <f t="shared" si="23"/>
        <v>89780671</v>
      </c>
      <c r="U219" s="944">
        <f>IF(A219='Data Entry - SOF'!B$2,'Report-SOF2324'!D$91,0)</f>
        <v>0</v>
      </c>
      <c r="V219" s="723">
        <f>IF(A219='Data Entry - SOF'!B$2,'Data Entry - SOF'!S$102,0)</f>
        <v>0</v>
      </c>
    </row>
    <row r="220" spans="1:22" ht="15.75">
      <c r="A220" s="382" t="s">
        <v>2578</v>
      </c>
      <c r="B220" s="91">
        <v>152877859</v>
      </c>
      <c r="C220" s="944">
        <f>IF(A220='Data Entry - SOF'!B$2,'Report-SOF1718'!D$102,0)</f>
        <v>0</v>
      </c>
      <c r="D220" s="1037">
        <f>IF(A220='Data Entry - SOF'!B$2,'Data Entry - SOF'!#REF!,0)</f>
        <v>0</v>
      </c>
      <c r="E220" s="91">
        <f t="shared" si="18"/>
        <v>152877859</v>
      </c>
      <c r="F220" s="944">
        <f>IF(A220='Data Entry - SOF'!B$2,'Report-SOF1819'!D$102,0)</f>
        <v>0</v>
      </c>
      <c r="G220" s="1037">
        <f>IF(A220='Data Entry - SOF'!B$2,'Data Entry - SOF'!E$102,0)</f>
        <v>0</v>
      </c>
      <c r="H220" s="1038">
        <f t="shared" si="20"/>
        <v>152877859</v>
      </c>
      <c r="I220" s="944">
        <f>IF(A220='Data Entry - SOF'!B$2,'Report-SOF1920-HB3'!D$102,0)</f>
        <v>0</v>
      </c>
      <c r="J220" s="1037">
        <f>IF(A220='Data Entry - SOF'!B$2,'Data Entry - SOF'!G$102,0)</f>
        <v>0</v>
      </c>
      <c r="K220" s="717">
        <f t="shared" si="21"/>
        <v>152877859</v>
      </c>
      <c r="L220" s="944">
        <f>IF(A220='Data Entry - SOF'!B$2,'Report-SOF2021'!D$99,0)</f>
        <v>0</v>
      </c>
      <c r="M220" s="723">
        <f>IF(A220='Data Entry - SOF'!B$2,'Data Entry - SOF'!M$102,0)</f>
        <v>0</v>
      </c>
      <c r="N220" s="717">
        <f t="shared" si="22"/>
        <v>152877859</v>
      </c>
      <c r="O220" s="944">
        <f>IF(A220='Data Entry - SOF'!B$2,'Report-SOF2122'!D$91,0)</f>
        <v>0</v>
      </c>
      <c r="P220" s="723">
        <f>IF(A220='Data Entry - SOF'!B$2,'Data Entry - SOF'!O$102,0)</f>
        <v>0</v>
      </c>
      <c r="Q220" s="601">
        <f t="shared" si="19"/>
        <v>152877859</v>
      </c>
      <c r="R220" s="944">
        <f>IF(A220='Data Entry - SOF'!B$2,'Report-SOF2223'!D$91,0)</f>
        <v>0</v>
      </c>
      <c r="S220" s="723">
        <f>IF(A220='Data Entry - SOF'!B$2,'Data Entry - SOF'!Q$102,0)</f>
        <v>0</v>
      </c>
      <c r="T220" s="601">
        <f t="shared" si="23"/>
        <v>152877859</v>
      </c>
      <c r="U220" s="944">
        <f>IF(A220='Data Entry - SOF'!B$2,'Report-SOF2324'!D$91,0)</f>
        <v>0</v>
      </c>
      <c r="V220" s="723">
        <f>IF(A220='Data Entry - SOF'!B$2,'Data Entry - SOF'!S$102,0)</f>
        <v>0</v>
      </c>
    </row>
    <row r="221" spans="1:22" ht="15.75">
      <c r="A221" s="382" t="s">
        <v>666</v>
      </c>
      <c r="B221" s="91">
        <v>81324070</v>
      </c>
      <c r="C221" s="944">
        <f>IF(A221='Data Entry - SOF'!B$2,'Report-SOF1718'!D$102,0)</f>
        <v>0</v>
      </c>
      <c r="D221" s="1037">
        <f>IF(A221='Data Entry - SOF'!B$2,'Data Entry - SOF'!#REF!,0)</f>
        <v>0</v>
      </c>
      <c r="E221" s="91">
        <f t="shared" si="18"/>
        <v>81324070</v>
      </c>
      <c r="F221" s="944">
        <f>IF(A221='Data Entry - SOF'!B$2,'Report-SOF1819'!D$102,0)</f>
        <v>0</v>
      </c>
      <c r="G221" s="1037">
        <f>IF(A221='Data Entry - SOF'!B$2,'Data Entry - SOF'!E$102,0)</f>
        <v>0</v>
      </c>
      <c r="H221" s="1038">
        <f t="shared" si="20"/>
        <v>81324070</v>
      </c>
      <c r="I221" s="944">
        <f>IF(A221='Data Entry - SOF'!B$2,'Report-SOF1920-HB3'!D$102,0)</f>
        <v>0</v>
      </c>
      <c r="J221" s="1037">
        <f>IF(A221='Data Entry - SOF'!B$2,'Data Entry - SOF'!G$102,0)</f>
        <v>0</v>
      </c>
      <c r="K221" s="717">
        <f t="shared" si="21"/>
        <v>81324070</v>
      </c>
      <c r="L221" s="944">
        <f>IF(A221='Data Entry - SOF'!B$2,'Report-SOF2021'!D$99,0)</f>
        <v>0</v>
      </c>
      <c r="M221" s="723">
        <f>IF(A221='Data Entry - SOF'!B$2,'Data Entry - SOF'!M$102,0)</f>
        <v>0</v>
      </c>
      <c r="N221" s="717">
        <f t="shared" si="22"/>
        <v>81324070</v>
      </c>
      <c r="O221" s="944">
        <f>IF(A221='Data Entry - SOF'!B$2,'Report-SOF2122'!D$91,0)</f>
        <v>0</v>
      </c>
      <c r="P221" s="723">
        <f>IF(A221='Data Entry - SOF'!B$2,'Data Entry - SOF'!O$102,0)</f>
        <v>0</v>
      </c>
      <c r="Q221" s="601">
        <f t="shared" si="19"/>
        <v>81324070</v>
      </c>
      <c r="R221" s="944">
        <f>IF(A221='Data Entry - SOF'!B$2,'Report-SOF2223'!D$91,0)</f>
        <v>0</v>
      </c>
      <c r="S221" s="723">
        <f>IF(A221='Data Entry - SOF'!B$2,'Data Entry - SOF'!Q$102,0)</f>
        <v>0</v>
      </c>
      <c r="T221" s="601">
        <f t="shared" si="23"/>
        <v>81324070</v>
      </c>
      <c r="U221" s="944">
        <f>IF(A221='Data Entry - SOF'!B$2,'Report-SOF2324'!D$91,0)</f>
        <v>0</v>
      </c>
      <c r="V221" s="723">
        <f>IF(A221='Data Entry - SOF'!B$2,'Data Entry - SOF'!S$102,0)</f>
        <v>0</v>
      </c>
    </row>
    <row r="222" spans="1:22" ht="15.75">
      <c r="A222" s="382" t="s">
        <v>533</v>
      </c>
      <c r="B222" s="91">
        <v>86268203</v>
      </c>
      <c r="C222" s="944">
        <f>IF(A222='Data Entry - SOF'!B$2,'Report-SOF1718'!D$102,0)</f>
        <v>0</v>
      </c>
      <c r="D222" s="1037">
        <f>IF(A222='Data Entry - SOF'!B$2,'Data Entry - SOF'!#REF!,0)</f>
        <v>0</v>
      </c>
      <c r="E222" s="91">
        <f t="shared" si="18"/>
        <v>86268203</v>
      </c>
      <c r="F222" s="944">
        <f>IF(A222='Data Entry - SOF'!B$2,'Report-SOF1819'!D$102,0)</f>
        <v>0</v>
      </c>
      <c r="G222" s="1037">
        <f>IF(A222='Data Entry - SOF'!B$2,'Data Entry - SOF'!E$102,0)</f>
        <v>0</v>
      </c>
      <c r="H222" s="1038">
        <f t="shared" si="20"/>
        <v>86268203</v>
      </c>
      <c r="I222" s="944">
        <f>IF(A222='Data Entry - SOF'!B$2,'Report-SOF1920-HB3'!D$102,0)</f>
        <v>0</v>
      </c>
      <c r="J222" s="1037">
        <f>IF(A222='Data Entry - SOF'!B$2,'Data Entry - SOF'!G$102,0)</f>
        <v>0</v>
      </c>
      <c r="K222" s="717">
        <f t="shared" si="21"/>
        <v>86268203</v>
      </c>
      <c r="L222" s="944">
        <f>IF(A222='Data Entry - SOF'!B$2,'Report-SOF2021'!D$99,0)</f>
        <v>0</v>
      </c>
      <c r="M222" s="723">
        <f>IF(A222='Data Entry - SOF'!B$2,'Data Entry - SOF'!M$102,0)</f>
        <v>0</v>
      </c>
      <c r="N222" s="717">
        <f t="shared" si="22"/>
        <v>86268203</v>
      </c>
      <c r="O222" s="944">
        <f>IF(A222='Data Entry - SOF'!B$2,'Report-SOF2122'!D$91,0)</f>
        <v>0</v>
      </c>
      <c r="P222" s="723">
        <f>IF(A222='Data Entry - SOF'!B$2,'Data Entry - SOF'!O$102,0)</f>
        <v>0</v>
      </c>
      <c r="Q222" s="601">
        <f t="shared" si="19"/>
        <v>86268203</v>
      </c>
      <c r="R222" s="944">
        <f>IF(A222='Data Entry - SOF'!B$2,'Report-SOF2223'!D$91,0)</f>
        <v>0</v>
      </c>
      <c r="S222" s="723">
        <f>IF(A222='Data Entry - SOF'!B$2,'Data Entry - SOF'!Q$102,0)</f>
        <v>0</v>
      </c>
      <c r="T222" s="601">
        <f t="shared" si="23"/>
        <v>86268203</v>
      </c>
      <c r="U222" s="944">
        <f>IF(A222='Data Entry - SOF'!B$2,'Report-SOF2324'!D$91,0)</f>
        <v>0</v>
      </c>
      <c r="V222" s="723">
        <f>IF(A222='Data Entry - SOF'!B$2,'Data Entry - SOF'!S$102,0)</f>
        <v>0</v>
      </c>
    </row>
    <row r="223" spans="1:22" ht="15.75">
      <c r="A223" s="382" t="s">
        <v>41</v>
      </c>
      <c r="B223" s="91">
        <v>70892788</v>
      </c>
      <c r="C223" s="944">
        <f>IF(A223='Data Entry - SOF'!B$2,'Report-SOF1718'!D$102,0)</f>
        <v>0</v>
      </c>
      <c r="D223" s="1037">
        <f>IF(A223='Data Entry - SOF'!B$2,'Data Entry - SOF'!#REF!,0)</f>
        <v>0</v>
      </c>
      <c r="E223" s="91">
        <f t="shared" si="18"/>
        <v>70892788</v>
      </c>
      <c r="F223" s="944">
        <f>IF(A223='Data Entry - SOF'!B$2,'Report-SOF1819'!D$102,0)</f>
        <v>0</v>
      </c>
      <c r="G223" s="1037">
        <f>IF(A223='Data Entry - SOF'!B$2,'Data Entry - SOF'!E$102,0)</f>
        <v>0</v>
      </c>
      <c r="H223" s="1038">
        <f t="shared" si="20"/>
        <v>70892788</v>
      </c>
      <c r="I223" s="944">
        <f>IF(A223='Data Entry - SOF'!B$2,'Report-SOF1920-HB3'!D$102,0)</f>
        <v>0</v>
      </c>
      <c r="J223" s="1037">
        <f>IF(A223='Data Entry - SOF'!B$2,'Data Entry - SOF'!G$102,0)</f>
        <v>0</v>
      </c>
      <c r="K223" s="717">
        <f t="shared" si="21"/>
        <v>70892788</v>
      </c>
      <c r="L223" s="944">
        <f>IF(A223='Data Entry - SOF'!B$2,'Report-SOF2021'!D$99,0)</f>
        <v>0</v>
      </c>
      <c r="M223" s="723">
        <f>IF(A223='Data Entry - SOF'!B$2,'Data Entry - SOF'!M$102,0)</f>
        <v>0</v>
      </c>
      <c r="N223" s="717">
        <f t="shared" si="22"/>
        <v>70892788</v>
      </c>
      <c r="O223" s="944">
        <f>IF(A223='Data Entry - SOF'!B$2,'Report-SOF2122'!D$91,0)</f>
        <v>0</v>
      </c>
      <c r="P223" s="723">
        <f>IF(A223='Data Entry - SOF'!B$2,'Data Entry - SOF'!O$102,0)</f>
        <v>0</v>
      </c>
      <c r="Q223" s="601">
        <f t="shared" si="19"/>
        <v>70892788</v>
      </c>
      <c r="R223" s="944">
        <f>IF(A223='Data Entry - SOF'!B$2,'Report-SOF2223'!D$91,0)</f>
        <v>0</v>
      </c>
      <c r="S223" s="723">
        <f>IF(A223='Data Entry - SOF'!B$2,'Data Entry - SOF'!Q$102,0)</f>
        <v>0</v>
      </c>
      <c r="T223" s="601">
        <f t="shared" si="23"/>
        <v>70892788</v>
      </c>
      <c r="U223" s="944">
        <f>IF(A223='Data Entry - SOF'!B$2,'Report-SOF2324'!D$91,0)</f>
        <v>0</v>
      </c>
      <c r="V223" s="723">
        <f>IF(A223='Data Entry - SOF'!B$2,'Data Entry - SOF'!S$102,0)</f>
        <v>0</v>
      </c>
    </row>
    <row r="224" spans="1:22" ht="15.75">
      <c r="A224" s="382" t="s">
        <v>1790</v>
      </c>
      <c r="B224" s="91">
        <v>47428464</v>
      </c>
      <c r="C224" s="944">
        <f>IF(A224='Data Entry - SOF'!B$2,'Report-SOF1718'!D$102,0)</f>
        <v>0</v>
      </c>
      <c r="D224" s="1037">
        <f>IF(A224='Data Entry - SOF'!B$2,'Data Entry - SOF'!#REF!,0)</f>
        <v>0</v>
      </c>
      <c r="E224" s="91">
        <f t="shared" si="18"/>
        <v>47428464</v>
      </c>
      <c r="F224" s="944">
        <f>IF(A224='Data Entry - SOF'!B$2,'Report-SOF1819'!D$102,0)</f>
        <v>0</v>
      </c>
      <c r="G224" s="1037">
        <f>IF(A224='Data Entry - SOF'!B$2,'Data Entry - SOF'!E$102,0)</f>
        <v>0</v>
      </c>
      <c r="H224" s="1038">
        <f t="shared" si="20"/>
        <v>47428464</v>
      </c>
      <c r="I224" s="944">
        <f>IF(A224='Data Entry - SOF'!B$2,'Report-SOF1920-HB3'!D$102,0)</f>
        <v>0</v>
      </c>
      <c r="J224" s="1037">
        <f>IF(A224='Data Entry - SOF'!B$2,'Data Entry - SOF'!G$102,0)</f>
        <v>0</v>
      </c>
      <c r="K224" s="717">
        <f t="shared" si="21"/>
        <v>47428464</v>
      </c>
      <c r="L224" s="944">
        <f>IF(A224='Data Entry - SOF'!B$2,'Report-SOF2021'!D$99,0)</f>
        <v>0</v>
      </c>
      <c r="M224" s="723">
        <f>IF(A224='Data Entry - SOF'!B$2,'Data Entry - SOF'!M$102,0)</f>
        <v>0</v>
      </c>
      <c r="N224" s="717">
        <f t="shared" si="22"/>
        <v>47428464</v>
      </c>
      <c r="O224" s="944">
        <f>IF(A224='Data Entry - SOF'!B$2,'Report-SOF2122'!D$91,0)</f>
        <v>0</v>
      </c>
      <c r="P224" s="723">
        <f>IF(A224='Data Entry - SOF'!B$2,'Data Entry - SOF'!O$102,0)</f>
        <v>0</v>
      </c>
      <c r="Q224" s="601">
        <f t="shared" si="19"/>
        <v>47428464</v>
      </c>
      <c r="R224" s="944">
        <f>IF(A224='Data Entry - SOF'!B$2,'Report-SOF2223'!D$91,0)</f>
        <v>0</v>
      </c>
      <c r="S224" s="723">
        <f>IF(A224='Data Entry - SOF'!B$2,'Data Entry - SOF'!Q$102,0)</f>
        <v>0</v>
      </c>
      <c r="T224" s="601">
        <f t="shared" si="23"/>
        <v>47428464</v>
      </c>
      <c r="U224" s="944">
        <f>IF(A224='Data Entry - SOF'!B$2,'Report-SOF2324'!D$91,0)</f>
        <v>0</v>
      </c>
      <c r="V224" s="723">
        <f>IF(A224='Data Entry - SOF'!B$2,'Data Entry - SOF'!S$102,0)</f>
        <v>0</v>
      </c>
    </row>
    <row r="225" spans="1:22" ht="15.75">
      <c r="A225" s="382" t="s">
        <v>2533</v>
      </c>
      <c r="B225" s="91">
        <v>80711878</v>
      </c>
      <c r="C225" s="944">
        <f>IF(A225='Data Entry - SOF'!B$2,'Report-SOF1718'!D$102,0)</f>
        <v>0</v>
      </c>
      <c r="D225" s="1037">
        <f>IF(A225='Data Entry - SOF'!B$2,'Data Entry - SOF'!#REF!,0)</f>
        <v>0</v>
      </c>
      <c r="E225" s="91">
        <f t="shared" si="18"/>
        <v>80711878</v>
      </c>
      <c r="F225" s="944">
        <f>IF(A225='Data Entry - SOF'!B$2,'Report-SOF1819'!D$102,0)</f>
        <v>0</v>
      </c>
      <c r="G225" s="1037">
        <f>IF(A225='Data Entry - SOF'!B$2,'Data Entry - SOF'!E$102,0)</f>
        <v>0</v>
      </c>
      <c r="H225" s="1038">
        <f t="shared" si="20"/>
        <v>80711878</v>
      </c>
      <c r="I225" s="944">
        <f>IF(A225='Data Entry - SOF'!B$2,'Report-SOF1920-HB3'!D$102,0)</f>
        <v>0</v>
      </c>
      <c r="J225" s="1037">
        <f>IF(A225='Data Entry - SOF'!B$2,'Data Entry - SOF'!G$102,0)</f>
        <v>0</v>
      </c>
      <c r="K225" s="717">
        <f t="shared" si="21"/>
        <v>80711878</v>
      </c>
      <c r="L225" s="944">
        <f>IF(A225='Data Entry - SOF'!B$2,'Report-SOF2021'!D$99,0)</f>
        <v>0</v>
      </c>
      <c r="M225" s="723">
        <f>IF(A225='Data Entry - SOF'!B$2,'Data Entry - SOF'!M$102,0)</f>
        <v>0</v>
      </c>
      <c r="N225" s="717">
        <f t="shared" si="22"/>
        <v>80711878</v>
      </c>
      <c r="O225" s="944">
        <f>IF(A225='Data Entry - SOF'!B$2,'Report-SOF2122'!D$91,0)</f>
        <v>0</v>
      </c>
      <c r="P225" s="723">
        <f>IF(A225='Data Entry - SOF'!B$2,'Data Entry - SOF'!O$102,0)</f>
        <v>0</v>
      </c>
      <c r="Q225" s="601">
        <f t="shared" si="19"/>
        <v>80711878</v>
      </c>
      <c r="R225" s="944">
        <f>IF(A225='Data Entry - SOF'!B$2,'Report-SOF2223'!D$91,0)</f>
        <v>0</v>
      </c>
      <c r="S225" s="723">
        <f>IF(A225='Data Entry - SOF'!B$2,'Data Entry - SOF'!Q$102,0)</f>
        <v>0</v>
      </c>
      <c r="T225" s="601">
        <f t="shared" si="23"/>
        <v>80711878</v>
      </c>
      <c r="U225" s="944">
        <f>IF(A225='Data Entry - SOF'!B$2,'Report-SOF2324'!D$91,0)</f>
        <v>0</v>
      </c>
      <c r="V225" s="723">
        <f>IF(A225='Data Entry - SOF'!B$2,'Data Entry - SOF'!S$102,0)</f>
        <v>0</v>
      </c>
    </row>
    <row r="226" spans="1:22" ht="15.75">
      <c r="A226" s="382" t="s">
        <v>1791</v>
      </c>
      <c r="B226" s="91">
        <v>247235526</v>
      </c>
      <c r="C226" s="944">
        <f>IF(A226='Data Entry - SOF'!B$2,'Report-SOF1718'!D$102,0)</f>
        <v>0</v>
      </c>
      <c r="D226" s="1037">
        <f>IF(A226='Data Entry - SOF'!B$2,'Data Entry - SOF'!#REF!,0)</f>
        <v>0</v>
      </c>
      <c r="E226" s="91">
        <f t="shared" si="18"/>
        <v>247235526</v>
      </c>
      <c r="F226" s="944">
        <f>IF(A226='Data Entry - SOF'!B$2,'Report-SOF1819'!D$102,0)</f>
        <v>0</v>
      </c>
      <c r="G226" s="1037">
        <f>IF(A226='Data Entry - SOF'!B$2,'Data Entry - SOF'!E$102,0)</f>
        <v>0</v>
      </c>
      <c r="H226" s="1038">
        <f t="shared" si="20"/>
        <v>247235526</v>
      </c>
      <c r="I226" s="944">
        <f>IF(A226='Data Entry - SOF'!B$2,'Report-SOF1920-HB3'!D$102,0)</f>
        <v>0</v>
      </c>
      <c r="J226" s="1037">
        <f>IF(A226='Data Entry - SOF'!B$2,'Data Entry - SOF'!G$102,0)</f>
        <v>0</v>
      </c>
      <c r="K226" s="717">
        <f t="shared" si="21"/>
        <v>247235526</v>
      </c>
      <c r="L226" s="944">
        <f>IF(A226='Data Entry - SOF'!B$2,'Report-SOF2021'!D$99,0)</f>
        <v>0</v>
      </c>
      <c r="M226" s="723">
        <f>IF(A226='Data Entry - SOF'!B$2,'Data Entry - SOF'!M$102,0)</f>
        <v>0</v>
      </c>
      <c r="N226" s="717">
        <f t="shared" si="22"/>
        <v>247235526</v>
      </c>
      <c r="O226" s="944">
        <f>IF(A226='Data Entry - SOF'!B$2,'Report-SOF2122'!D$91,0)</f>
        <v>0</v>
      </c>
      <c r="P226" s="723">
        <f>IF(A226='Data Entry - SOF'!B$2,'Data Entry - SOF'!O$102,0)</f>
        <v>0</v>
      </c>
      <c r="Q226" s="601">
        <f t="shared" si="19"/>
        <v>247235526</v>
      </c>
      <c r="R226" s="944">
        <f>IF(A226='Data Entry - SOF'!B$2,'Report-SOF2223'!D$91,0)</f>
        <v>0</v>
      </c>
      <c r="S226" s="723">
        <f>IF(A226='Data Entry - SOF'!B$2,'Data Entry - SOF'!Q$102,0)</f>
        <v>0</v>
      </c>
      <c r="T226" s="601">
        <f t="shared" si="23"/>
        <v>247235526</v>
      </c>
      <c r="U226" s="944">
        <f>IF(A226='Data Entry - SOF'!B$2,'Report-SOF2324'!D$91,0)</f>
        <v>0</v>
      </c>
      <c r="V226" s="723">
        <f>IF(A226='Data Entry - SOF'!B$2,'Data Entry - SOF'!S$102,0)</f>
        <v>0</v>
      </c>
    </row>
    <row r="227" spans="1:22" ht="15.75">
      <c r="A227" s="382" t="s">
        <v>2688</v>
      </c>
      <c r="B227" s="91">
        <v>22659186</v>
      </c>
      <c r="C227" s="944">
        <f>IF(A227='Data Entry - SOF'!B$2,'Report-SOF1718'!D$102,0)</f>
        <v>0</v>
      </c>
      <c r="D227" s="1037">
        <f>IF(A227='Data Entry - SOF'!B$2,'Data Entry - SOF'!#REF!,0)</f>
        <v>0</v>
      </c>
      <c r="E227" s="91">
        <f t="shared" si="18"/>
        <v>22659186</v>
      </c>
      <c r="F227" s="944">
        <f>IF(A227='Data Entry - SOF'!B$2,'Report-SOF1819'!D$102,0)</f>
        <v>0</v>
      </c>
      <c r="G227" s="1037">
        <f>IF(A227='Data Entry - SOF'!B$2,'Data Entry - SOF'!E$102,0)</f>
        <v>0</v>
      </c>
      <c r="H227" s="1038">
        <f t="shared" si="20"/>
        <v>22659186</v>
      </c>
      <c r="I227" s="944">
        <f>IF(A227='Data Entry - SOF'!B$2,'Report-SOF1920-HB3'!D$102,0)</f>
        <v>0</v>
      </c>
      <c r="J227" s="1037">
        <f>IF(A227='Data Entry - SOF'!B$2,'Data Entry - SOF'!G$102,0)</f>
        <v>0</v>
      </c>
      <c r="K227" s="717">
        <f t="shared" si="21"/>
        <v>22659186</v>
      </c>
      <c r="L227" s="944">
        <f>IF(A227='Data Entry - SOF'!B$2,'Report-SOF2021'!D$99,0)</f>
        <v>0</v>
      </c>
      <c r="M227" s="723">
        <f>IF(A227='Data Entry - SOF'!B$2,'Data Entry - SOF'!M$102,0)</f>
        <v>0</v>
      </c>
      <c r="N227" s="717">
        <f t="shared" si="22"/>
        <v>22659186</v>
      </c>
      <c r="O227" s="944">
        <f>IF(A227='Data Entry - SOF'!B$2,'Report-SOF2122'!D$91,0)</f>
        <v>0</v>
      </c>
      <c r="P227" s="723">
        <f>IF(A227='Data Entry - SOF'!B$2,'Data Entry - SOF'!O$102,0)</f>
        <v>0</v>
      </c>
      <c r="Q227" s="601">
        <f t="shared" si="19"/>
        <v>22659186</v>
      </c>
      <c r="R227" s="944">
        <f>IF(A227='Data Entry - SOF'!B$2,'Report-SOF2223'!D$91,0)</f>
        <v>0</v>
      </c>
      <c r="S227" s="723">
        <f>IF(A227='Data Entry - SOF'!B$2,'Data Entry - SOF'!Q$102,0)</f>
        <v>0</v>
      </c>
      <c r="T227" s="601">
        <f t="shared" si="23"/>
        <v>22659186</v>
      </c>
      <c r="U227" s="944">
        <f>IF(A227='Data Entry - SOF'!B$2,'Report-SOF2324'!D$91,0)</f>
        <v>0</v>
      </c>
      <c r="V227" s="723">
        <f>IF(A227='Data Entry - SOF'!B$2,'Data Entry - SOF'!S$102,0)</f>
        <v>0</v>
      </c>
    </row>
    <row r="228" spans="1:22" ht="15.75">
      <c r="A228" s="382" t="s">
        <v>249</v>
      </c>
      <c r="B228" s="91">
        <v>126664253</v>
      </c>
      <c r="C228" s="944">
        <f>IF(A228='Data Entry - SOF'!B$2,'Report-SOF1718'!D$102,0)</f>
        <v>0</v>
      </c>
      <c r="D228" s="1037">
        <f>IF(A228='Data Entry - SOF'!B$2,'Data Entry - SOF'!#REF!,0)</f>
        <v>0</v>
      </c>
      <c r="E228" s="91">
        <f t="shared" si="18"/>
        <v>126664253</v>
      </c>
      <c r="F228" s="944">
        <f>IF(A228='Data Entry - SOF'!B$2,'Report-SOF1819'!D$102,0)</f>
        <v>0</v>
      </c>
      <c r="G228" s="1037">
        <f>IF(A228='Data Entry - SOF'!B$2,'Data Entry - SOF'!E$102,0)</f>
        <v>0</v>
      </c>
      <c r="H228" s="1038">
        <f t="shared" si="20"/>
        <v>126664253</v>
      </c>
      <c r="I228" s="944">
        <f>IF(A228='Data Entry - SOF'!B$2,'Report-SOF1920-HB3'!D$102,0)</f>
        <v>0</v>
      </c>
      <c r="J228" s="1037">
        <f>IF(A228='Data Entry - SOF'!B$2,'Data Entry - SOF'!G$102,0)</f>
        <v>0</v>
      </c>
      <c r="K228" s="717">
        <f t="shared" si="21"/>
        <v>126664253</v>
      </c>
      <c r="L228" s="944">
        <f>IF(A228='Data Entry - SOF'!B$2,'Report-SOF2021'!D$99,0)</f>
        <v>0</v>
      </c>
      <c r="M228" s="723">
        <f>IF(A228='Data Entry - SOF'!B$2,'Data Entry - SOF'!M$102,0)</f>
        <v>0</v>
      </c>
      <c r="N228" s="717">
        <f t="shared" si="22"/>
        <v>126664253</v>
      </c>
      <c r="O228" s="944">
        <f>IF(A228='Data Entry - SOF'!B$2,'Report-SOF2122'!D$91,0)</f>
        <v>0</v>
      </c>
      <c r="P228" s="723">
        <f>IF(A228='Data Entry - SOF'!B$2,'Data Entry - SOF'!O$102,0)</f>
        <v>0</v>
      </c>
      <c r="Q228" s="601">
        <f t="shared" si="19"/>
        <v>126664253</v>
      </c>
      <c r="R228" s="944">
        <f>IF(A228='Data Entry - SOF'!B$2,'Report-SOF2223'!D$91,0)</f>
        <v>0</v>
      </c>
      <c r="S228" s="723">
        <f>IF(A228='Data Entry - SOF'!B$2,'Data Entry - SOF'!Q$102,0)</f>
        <v>0</v>
      </c>
      <c r="T228" s="601">
        <f t="shared" si="23"/>
        <v>126664253</v>
      </c>
      <c r="U228" s="944">
        <f>IF(A228='Data Entry - SOF'!B$2,'Report-SOF2324'!D$91,0)</f>
        <v>0</v>
      </c>
      <c r="V228" s="723">
        <f>IF(A228='Data Entry - SOF'!B$2,'Data Entry - SOF'!S$102,0)</f>
        <v>0</v>
      </c>
    </row>
    <row r="229" spans="1:22" ht="15.75">
      <c r="A229" s="382" t="s">
        <v>250</v>
      </c>
      <c r="B229" s="91">
        <v>2276000</v>
      </c>
      <c r="C229" s="944">
        <f>IF(A229='Data Entry - SOF'!B$2,'Report-SOF1718'!D$102,0)</f>
        <v>0</v>
      </c>
      <c r="D229" s="1037">
        <f>IF(A229='Data Entry - SOF'!B$2,'Data Entry - SOF'!#REF!,0)</f>
        <v>0</v>
      </c>
      <c r="E229" s="91">
        <f t="shared" si="18"/>
        <v>2276000</v>
      </c>
      <c r="F229" s="944">
        <f>IF(A229='Data Entry - SOF'!B$2,'Report-SOF1819'!D$102,0)</f>
        <v>0</v>
      </c>
      <c r="G229" s="1037">
        <f>IF(A229='Data Entry - SOF'!B$2,'Data Entry - SOF'!E$102,0)</f>
        <v>0</v>
      </c>
      <c r="H229" s="1038">
        <f t="shared" si="20"/>
        <v>2276000</v>
      </c>
      <c r="I229" s="944">
        <f>IF(A229='Data Entry - SOF'!B$2,'Report-SOF1920-HB3'!D$102,0)</f>
        <v>0</v>
      </c>
      <c r="J229" s="1037">
        <f>IF(A229='Data Entry - SOF'!B$2,'Data Entry - SOF'!G$102,0)</f>
        <v>0</v>
      </c>
      <c r="K229" s="717">
        <f t="shared" si="21"/>
        <v>2276000</v>
      </c>
      <c r="L229" s="944">
        <f>IF(A229='Data Entry - SOF'!B$2,'Report-SOF2021'!D$99,0)</f>
        <v>0</v>
      </c>
      <c r="M229" s="723">
        <f>IF(A229='Data Entry - SOF'!B$2,'Data Entry - SOF'!M$102,0)</f>
        <v>0</v>
      </c>
      <c r="N229" s="717">
        <f t="shared" si="22"/>
        <v>2276000</v>
      </c>
      <c r="O229" s="944">
        <f>IF(A229='Data Entry - SOF'!B$2,'Report-SOF2122'!D$91,0)</f>
        <v>0</v>
      </c>
      <c r="P229" s="723">
        <f>IF(A229='Data Entry - SOF'!B$2,'Data Entry - SOF'!O$102,0)</f>
        <v>0</v>
      </c>
      <c r="Q229" s="601">
        <f t="shared" si="19"/>
        <v>2276000</v>
      </c>
      <c r="R229" s="944">
        <f>IF(A229='Data Entry - SOF'!B$2,'Report-SOF2223'!D$91,0)</f>
        <v>0</v>
      </c>
      <c r="S229" s="723">
        <f>IF(A229='Data Entry - SOF'!B$2,'Data Entry - SOF'!Q$102,0)</f>
        <v>0</v>
      </c>
      <c r="T229" s="601">
        <f t="shared" si="23"/>
        <v>2276000</v>
      </c>
      <c r="U229" s="944">
        <f>IF(A229='Data Entry - SOF'!B$2,'Report-SOF2324'!D$91,0)</f>
        <v>0</v>
      </c>
      <c r="V229" s="723">
        <f>IF(A229='Data Entry - SOF'!B$2,'Data Entry - SOF'!S$102,0)</f>
        <v>0</v>
      </c>
    </row>
    <row r="230" spans="1:22" ht="15.75">
      <c r="A230" s="382" t="s">
        <v>251</v>
      </c>
      <c r="B230" s="91">
        <v>9909262</v>
      </c>
      <c r="C230" s="944">
        <f>IF(A230='Data Entry - SOF'!B$2,'Report-SOF1718'!D$102,0)</f>
        <v>0</v>
      </c>
      <c r="D230" s="1037">
        <f>IF(A230='Data Entry - SOF'!B$2,'Data Entry - SOF'!#REF!,0)</f>
        <v>0</v>
      </c>
      <c r="E230" s="91">
        <f t="shared" si="18"/>
        <v>9909262</v>
      </c>
      <c r="F230" s="944">
        <f>IF(A230='Data Entry - SOF'!B$2,'Report-SOF1819'!D$102,0)</f>
        <v>0</v>
      </c>
      <c r="G230" s="1037">
        <f>IF(A230='Data Entry - SOF'!B$2,'Data Entry - SOF'!E$102,0)</f>
        <v>0</v>
      </c>
      <c r="H230" s="1038">
        <f t="shared" si="20"/>
        <v>9909262</v>
      </c>
      <c r="I230" s="944">
        <f>IF(A230='Data Entry - SOF'!B$2,'Report-SOF1920-HB3'!D$102,0)</f>
        <v>0</v>
      </c>
      <c r="J230" s="1037">
        <f>IF(A230='Data Entry - SOF'!B$2,'Data Entry - SOF'!G$102,0)</f>
        <v>0</v>
      </c>
      <c r="K230" s="717">
        <f t="shared" si="21"/>
        <v>9909262</v>
      </c>
      <c r="L230" s="944">
        <f>IF(A230='Data Entry - SOF'!B$2,'Report-SOF2021'!D$99,0)</f>
        <v>0</v>
      </c>
      <c r="M230" s="723">
        <f>IF(A230='Data Entry - SOF'!B$2,'Data Entry - SOF'!M$102,0)</f>
        <v>0</v>
      </c>
      <c r="N230" s="717">
        <f t="shared" si="22"/>
        <v>9909262</v>
      </c>
      <c r="O230" s="944">
        <f>IF(A230='Data Entry - SOF'!B$2,'Report-SOF2122'!D$91,0)</f>
        <v>0</v>
      </c>
      <c r="P230" s="723">
        <f>IF(A230='Data Entry - SOF'!B$2,'Data Entry - SOF'!O$102,0)</f>
        <v>0</v>
      </c>
      <c r="Q230" s="601">
        <f t="shared" si="19"/>
        <v>9909262</v>
      </c>
      <c r="R230" s="944">
        <f>IF(A230='Data Entry - SOF'!B$2,'Report-SOF2223'!D$91,0)</f>
        <v>0</v>
      </c>
      <c r="S230" s="723">
        <f>IF(A230='Data Entry - SOF'!B$2,'Data Entry - SOF'!Q$102,0)</f>
        <v>0</v>
      </c>
      <c r="T230" s="601">
        <f t="shared" si="23"/>
        <v>9909262</v>
      </c>
      <c r="U230" s="944">
        <f>IF(A230='Data Entry - SOF'!B$2,'Report-SOF2324'!D$91,0)</f>
        <v>0</v>
      </c>
      <c r="V230" s="723">
        <f>IF(A230='Data Entry - SOF'!B$2,'Data Entry - SOF'!S$102,0)</f>
        <v>0</v>
      </c>
    </row>
    <row r="231" spans="1:22" ht="15.75">
      <c r="A231" s="382" t="s">
        <v>252</v>
      </c>
      <c r="B231" s="91">
        <v>3191736</v>
      </c>
      <c r="C231" s="944">
        <f>IF(A231='Data Entry - SOF'!B$2,'Report-SOF1718'!D$102,0)</f>
        <v>0</v>
      </c>
      <c r="D231" s="1037">
        <f>IF(A231='Data Entry - SOF'!B$2,'Data Entry - SOF'!#REF!,0)</f>
        <v>0</v>
      </c>
      <c r="E231" s="91">
        <f t="shared" si="18"/>
        <v>3191736</v>
      </c>
      <c r="F231" s="944">
        <f>IF(A231='Data Entry - SOF'!B$2,'Report-SOF1819'!D$102,0)</f>
        <v>0</v>
      </c>
      <c r="G231" s="1037">
        <f>IF(A231='Data Entry - SOF'!B$2,'Data Entry - SOF'!E$102,0)</f>
        <v>0</v>
      </c>
      <c r="H231" s="1038">
        <f t="shared" si="20"/>
        <v>3191736</v>
      </c>
      <c r="I231" s="944">
        <f>IF(A231='Data Entry - SOF'!B$2,'Report-SOF1920-HB3'!D$102,0)</f>
        <v>0</v>
      </c>
      <c r="J231" s="1037">
        <f>IF(A231='Data Entry - SOF'!B$2,'Data Entry - SOF'!G$102,0)</f>
        <v>0</v>
      </c>
      <c r="K231" s="717">
        <f t="shared" si="21"/>
        <v>3191736</v>
      </c>
      <c r="L231" s="944">
        <f>IF(A231='Data Entry - SOF'!B$2,'Report-SOF2021'!D$99,0)</f>
        <v>0</v>
      </c>
      <c r="M231" s="723">
        <f>IF(A231='Data Entry - SOF'!B$2,'Data Entry - SOF'!M$102,0)</f>
        <v>0</v>
      </c>
      <c r="N231" s="717">
        <f t="shared" si="22"/>
        <v>3191736</v>
      </c>
      <c r="O231" s="944">
        <f>IF(A231='Data Entry - SOF'!B$2,'Report-SOF2122'!D$91,0)</f>
        <v>0</v>
      </c>
      <c r="P231" s="723">
        <f>IF(A231='Data Entry - SOF'!B$2,'Data Entry - SOF'!O$102,0)</f>
        <v>0</v>
      </c>
      <c r="Q231" s="601">
        <f t="shared" si="19"/>
        <v>3191736</v>
      </c>
      <c r="R231" s="944">
        <f>IF(A231='Data Entry - SOF'!B$2,'Report-SOF2223'!D$91,0)</f>
        <v>0</v>
      </c>
      <c r="S231" s="723">
        <f>IF(A231='Data Entry - SOF'!B$2,'Data Entry - SOF'!Q$102,0)</f>
        <v>0</v>
      </c>
      <c r="T231" s="601">
        <f t="shared" si="23"/>
        <v>3191736</v>
      </c>
      <c r="U231" s="944">
        <f>IF(A231='Data Entry - SOF'!B$2,'Report-SOF2324'!D$91,0)</f>
        <v>0</v>
      </c>
      <c r="V231" s="723">
        <f>IF(A231='Data Entry - SOF'!B$2,'Data Entry - SOF'!S$102,0)</f>
        <v>0</v>
      </c>
    </row>
    <row r="232" spans="1:22" ht="15.75">
      <c r="A232" s="382" t="s">
        <v>374</v>
      </c>
      <c r="B232" s="91">
        <v>7904826.7167584496</v>
      </c>
      <c r="C232" s="944">
        <f>IF(A232='Data Entry - SOF'!B$2,'Report-SOF1718'!D$102,0)</f>
        <v>0</v>
      </c>
      <c r="D232" s="1037">
        <f>IF(A232='Data Entry - SOF'!B$2,'Data Entry - SOF'!#REF!,0)</f>
        <v>0</v>
      </c>
      <c r="E232" s="91">
        <f t="shared" si="18"/>
        <v>7904826.7167584496</v>
      </c>
      <c r="F232" s="944">
        <f>IF(A232='Data Entry - SOF'!B$2,'Report-SOF1819'!D$102,0)</f>
        <v>0</v>
      </c>
      <c r="G232" s="1037">
        <f>IF(A232='Data Entry - SOF'!B$2,'Data Entry - SOF'!E$102,0)</f>
        <v>0</v>
      </c>
      <c r="H232" s="1038">
        <f t="shared" si="20"/>
        <v>7904826.7167584496</v>
      </c>
      <c r="I232" s="944">
        <f>IF(A232='Data Entry - SOF'!B$2,'Report-SOF1920-HB3'!D$102,0)</f>
        <v>0</v>
      </c>
      <c r="J232" s="1037">
        <f>IF(A232='Data Entry - SOF'!B$2,'Data Entry - SOF'!G$102,0)</f>
        <v>0</v>
      </c>
      <c r="K232" s="717">
        <f t="shared" si="21"/>
        <v>7904826.7167584496</v>
      </c>
      <c r="L232" s="944">
        <f>IF(A232='Data Entry - SOF'!B$2,'Report-SOF2021'!D$99,0)</f>
        <v>0</v>
      </c>
      <c r="M232" s="723">
        <f>IF(A232='Data Entry - SOF'!B$2,'Data Entry - SOF'!M$102,0)</f>
        <v>0</v>
      </c>
      <c r="N232" s="717">
        <f t="shared" si="22"/>
        <v>7904826.7167584496</v>
      </c>
      <c r="O232" s="944">
        <f>IF(A232='Data Entry - SOF'!B$2,'Report-SOF2122'!D$91,0)</f>
        <v>0</v>
      </c>
      <c r="P232" s="723">
        <f>IF(A232='Data Entry - SOF'!B$2,'Data Entry - SOF'!O$102,0)</f>
        <v>0</v>
      </c>
      <c r="Q232" s="601">
        <f t="shared" si="19"/>
        <v>7904826.7167584496</v>
      </c>
      <c r="R232" s="944">
        <f>IF(A232='Data Entry - SOF'!B$2,'Report-SOF2223'!D$91,0)</f>
        <v>0</v>
      </c>
      <c r="S232" s="723">
        <f>IF(A232='Data Entry - SOF'!B$2,'Data Entry - SOF'!Q$102,0)</f>
        <v>0</v>
      </c>
      <c r="T232" s="601">
        <f t="shared" si="23"/>
        <v>7904826.7167584496</v>
      </c>
      <c r="U232" s="944">
        <f>IF(A232='Data Entry - SOF'!B$2,'Report-SOF2324'!D$91,0)</f>
        <v>0</v>
      </c>
      <c r="V232" s="723">
        <f>IF(A232='Data Entry - SOF'!B$2,'Data Entry - SOF'!S$102,0)</f>
        <v>0</v>
      </c>
    </row>
    <row r="233" spans="1:22" ht="15.75">
      <c r="A233" s="382" t="s">
        <v>1864</v>
      </c>
      <c r="B233" s="91">
        <v>4304673</v>
      </c>
      <c r="C233" s="944">
        <f>IF(A233='Data Entry - SOF'!B$2,'Report-SOF1718'!D$102,0)</f>
        <v>0</v>
      </c>
      <c r="D233" s="1037">
        <f>IF(A233='Data Entry - SOF'!B$2,'Data Entry - SOF'!#REF!,0)</f>
        <v>0</v>
      </c>
      <c r="E233" s="91">
        <f t="shared" si="18"/>
        <v>4304673</v>
      </c>
      <c r="F233" s="944">
        <f>IF(A233='Data Entry - SOF'!B$2,'Report-SOF1819'!D$102,0)</f>
        <v>0</v>
      </c>
      <c r="G233" s="1037">
        <f>IF(A233='Data Entry - SOF'!B$2,'Data Entry - SOF'!E$102,0)</f>
        <v>0</v>
      </c>
      <c r="H233" s="1038">
        <f t="shared" si="20"/>
        <v>4304673</v>
      </c>
      <c r="I233" s="944">
        <f>IF(A233='Data Entry - SOF'!B$2,'Report-SOF1920-HB3'!D$102,0)</f>
        <v>0</v>
      </c>
      <c r="J233" s="1037">
        <f>IF(A233='Data Entry - SOF'!B$2,'Data Entry - SOF'!G$102,0)</f>
        <v>0</v>
      </c>
      <c r="K233" s="717">
        <f t="shared" si="21"/>
        <v>4304673</v>
      </c>
      <c r="L233" s="944">
        <f>IF(A233='Data Entry - SOF'!B$2,'Report-SOF2021'!D$99,0)</f>
        <v>0</v>
      </c>
      <c r="M233" s="723">
        <f>IF(A233='Data Entry - SOF'!B$2,'Data Entry - SOF'!M$102,0)</f>
        <v>0</v>
      </c>
      <c r="N233" s="717">
        <f t="shared" si="22"/>
        <v>4304673</v>
      </c>
      <c r="O233" s="944">
        <f>IF(A233='Data Entry - SOF'!B$2,'Report-SOF2122'!D$91,0)</f>
        <v>0</v>
      </c>
      <c r="P233" s="723">
        <f>IF(A233='Data Entry - SOF'!B$2,'Data Entry - SOF'!O$102,0)</f>
        <v>0</v>
      </c>
      <c r="Q233" s="601">
        <f t="shared" si="19"/>
        <v>4304673</v>
      </c>
      <c r="R233" s="944">
        <f>IF(A233='Data Entry - SOF'!B$2,'Report-SOF2223'!D$91,0)</f>
        <v>0</v>
      </c>
      <c r="S233" s="723">
        <f>IF(A233='Data Entry - SOF'!B$2,'Data Entry - SOF'!Q$102,0)</f>
        <v>0</v>
      </c>
      <c r="T233" s="601">
        <f t="shared" si="23"/>
        <v>4304673</v>
      </c>
      <c r="U233" s="944">
        <f>IF(A233='Data Entry - SOF'!B$2,'Report-SOF2324'!D$91,0)</f>
        <v>0</v>
      </c>
      <c r="V233" s="723">
        <f>IF(A233='Data Entry - SOF'!B$2,'Data Entry - SOF'!S$102,0)</f>
        <v>0</v>
      </c>
    </row>
    <row r="234" spans="1:22" ht="15.75">
      <c r="A234" s="382" t="s">
        <v>1068</v>
      </c>
      <c r="B234" s="91">
        <v>54469</v>
      </c>
      <c r="C234" s="944">
        <f>IF(A234='Data Entry - SOF'!B$2,'Report-SOF1718'!D$102,0)</f>
        <v>0</v>
      </c>
      <c r="D234" s="1037">
        <f>IF(A234='Data Entry - SOF'!B$2,'Data Entry - SOF'!#REF!,0)</f>
        <v>0</v>
      </c>
      <c r="E234" s="91">
        <f t="shared" si="18"/>
        <v>54469</v>
      </c>
      <c r="F234" s="944">
        <f>IF(A234='Data Entry - SOF'!B$2,'Report-SOF1819'!D$102,0)</f>
        <v>0</v>
      </c>
      <c r="G234" s="1037">
        <f>IF(A234='Data Entry - SOF'!B$2,'Data Entry - SOF'!E$102,0)</f>
        <v>0</v>
      </c>
      <c r="H234" s="1038">
        <f t="shared" si="20"/>
        <v>54469</v>
      </c>
      <c r="I234" s="944">
        <f>IF(A234='Data Entry - SOF'!B$2,'Report-SOF1920-HB3'!D$102,0)</f>
        <v>0</v>
      </c>
      <c r="J234" s="1037">
        <f>IF(A234='Data Entry - SOF'!B$2,'Data Entry - SOF'!G$102,0)</f>
        <v>0</v>
      </c>
      <c r="K234" s="717">
        <f t="shared" si="21"/>
        <v>54469</v>
      </c>
      <c r="L234" s="944">
        <f>IF(A234='Data Entry - SOF'!B$2,'Report-SOF2021'!D$99,0)</f>
        <v>0</v>
      </c>
      <c r="M234" s="723">
        <f>IF(A234='Data Entry - SOF'!B$2,'Data Entry - SOF'!M$102,0)</f>
        <v>0</v>
      </c>
      <c r="N234" s="717">
        <f t="shared" si="22"/>
        <v>54469</v>
      </c>
      <c r="O234" s="944">
        <f>IF(A234='Data Entry - SOF'!B$2,'Report-SOF2122'!D$91,0)</f>
        <v>0</v>
      </c>
      <c r="P234" s="723">
        <f>IF(A234='Data Entry - SOF'!B$2,'Data Entry - SOF'!O$102,0)</f>
        <v>0</v>
      </c>
      <c r="Q234" s="601">
        <f t="shared" si="19"/>
        <v>54469</v>
      </c>
      <c r="R234" s="944">
        <f>IF(A234='Data Entry - SOF'!B$2,'Report-SOF2223'!D$91,0)</f>
        <v>0</v>
      </c>
      <c r="S234" s="723">
        <f>IF(A234='Data Entry - SOF'!B$2,'Data Entry - SOF'!Q$102,0)</f>
        <v>0</v>
      </c>
      <c r="T234" s="601">
        <f t="shared" si="23"/>
        <v>54469</v>
      </c>
      <c r="U234" s="944">
        <f>IF(A234='Data Entry - SOF'!B$2,'Report-SOF2324'!D$91,0)</f>
        <v>0</v>
      </c>
      <c r="V234" s="723">
        <f>IF(A234='Data Entry - SOF'!B$2,'Data Entry - SOF'!S$102,0)</f>
        <v>0</v>
      </c>
    </row>
    <row r="235" spans="1:22" ht="15.75">
      <c r="A235" s="382" t="s">
        <v>1069</v>
      </c>
      <c r="B235" s="91">
        <v>1046362</v>
      </c>
      <c r="C235" s="944">
        <f>IF(A235='Data Entry - SOF'!B$2,'Report-SOF1718'!D$102,0)</f>
        <v>0</v>
      </c>
      <c r="D235" s="1037">
        <f>IF(A235='Data Entry - SOF'!B$2,'Data Entry - SOF'!#REF!,0)</f>
        <v>0</v>
      </c>
      <c r="E235" s="91">
        <f t="shared" si="18"/>
        <v>1046362</v>
      </c>
      <c r="F235" s="944">
        <f>IF(A235='Data Entry - SOF'!B$2,'Report-SOF1819'!D$102,0)</f>
        <v>0</v>
      </c>
      <c r="G235" s="1037">
        <f>IF(A235='Data Entry - SOF'!B$2,'Data Entry - SOF'!E$102,0)</f>
        <v>0</v>
      </c>
      <c r="H235" s="1038">
        <f t="shared" si="20"/>
        <v>1046362</v>
      </c>
      <c r="I235" s="944">
        <f>IF(A235='Data Entry - SOF'!B$2,'Report-SOF1920-HB3'!D$102,0)</f>
        <v>0</v>
      </c>
      <c r="J235" s="1037">
        <f>IF(A235='Data Entry - SOF'!B$2,'Data Entry - SOF'!G$102,0)</f>
        <v>0</v>
      </c>
      <c r="K235" s="717">
        <f t="shared" si="21"/>
        <v>1046362</v>
      </c>
      <c r="L235" s="944">
        <f>IF(A235='Data Entry - SOF'!B$2,'Report-SOF2021'!D$99,0)</f>
        <v>0</v>
      </c>
      <c r="M235" s="723">
        <f>IF(A235='Data Entry - SOF'!B$2,'Data Entry - SOF'!M$102,0)</f>
        <v>0</v>
      </c>
      <c r="N235" s="717">
        <f t="shared" si="22"/>
        <v>1046362</v>
      </c>
      <c r="O235" s="944">
        <f>IF(A235='Data Entry - SOF'!B$2,'Report-SOF2122'!D$91,0)</f>
        <v>0</v>
      </c>
      <c r="P235" s="723">
        <f>IF(A235='Data Entry - SOF'!B$2,'Data Entry - SOF'!O$102,0)</f>
        <v>0</v>
      </c>
      <c r="Q235" s="601">
        <f t="shared" si="19"/>
        <v>1046362</v>
      </c>
      <c r="R235" s="944">
        <f>IF(A235='Data Entry - SOF'!B$2,'Report-SOF2223'!D$91,0)</f>
        <v>0</v>
      </c>
      <c r="S235" s="723">
        <f>IF(A235='Data Entry - SOF'!B$2,'Data Entry - SOF'!Q$102,0)</f>
        <v>0</v>
      </c>
      <c r="T235" s="601">
        <f t="shared" si="23"/>
        <v>1046362</v>
      </c>
      <c r="U235" s="944">
        <f>IF(A235='Data Entry - SOF'!B$2,'Report-SOF2324'!D$91,0)</f>
        <v>0</v>
      </c>
      <c r="V235" s="723">
        <f>IF(A235='Data Entry - SOF'!B$2,'Data Entry - SOF'!S$102,0)</f>
        <v>0</v>
      </c>
    </row>
    <row r="236" spans="1:22" ht="15.75">
      <c r="A236" s="382" t="s">
        <v>640</v>
      </c>
      <c r="B236" s="91">
        <v>197692</v>
      </c>
      <c r="C236" s="944">
        <f>IF(A236='Data Entry - SOF'!B$2,'Report-SOF1718'!D$102,0)</f>
        <v>0</v>
      </c>
      <c r="D236" s="1037">
        <f>IF(A236='Data Entry - SOF'!B$2,'Data Entry - SOF'!#REF!,0)</f>
        <v>0</v>
      </c>
      <c r="E236" s="91">
        <f t="shared" si="18"/>
        <v>197692</v>
      </c>
      <c r="F236" s="944">
        <f>IF(A236='Data Entry - SOF'!B$2,'Report-SOF1819'!D$102,0)</f>
        <v>0</v>
      </c>
      <c r="G236" s="1037">
        <f>IF(A236='Data Entry - SOF'!B$2,'Data Entry - SOF'!E$102,0)</f>
        <v>0</v>
      </c>
      <c r="H236" s="1038">
        <f t="shared" si="20"/>
        <v>197692</v>
      </c>
      <c r="I236" s="944">
        <f>IF(A236='Data Entry - SOF'!B$2,'Report-SOF1920-HB3'!D$102,0)</f>
        <v>0</v>
      </c>
      <c r="J236" s="1037">
        <f>IF(A236='Data Entry - SOF'!B$2,'Data Entry - SOF'!G$102,0)</f>
        <v>0</v>
      </c>
      <c r="K236" s="717">
        <f t="shared" si="21"/>
        <v>197692</v>
      </c>
      <c r="L236" s="944">
        <f>IF(A236='Data Entry - SOF'!B$2,'Report-SOF2021'!D$99,0)</f>
        <v>0</v>
      </c>
      <c r="M236" s="723">
        <f>IF(A236='Data Entry - SOF'!B$2,'Data Entry - SOF'!M$102,0)</f>
        <v>0</v>
      </c>
      <c r="N236" s="717">
        <f t="shared" si="22"/>
        <v>197692</v>
      </c>
      <c r="O236" s="944">
        <f>IF(A236='Data Entry - SOF'!B$2,'Report-SOF2122'!D$91,0)</f>
        <v>0</v>
      </c>
      <c r="P236" s="723">
        <f>IF(A236='Data Entry - SOF'!B$2,'Data Entry - SOF'!O$102,0)</f>
        <v>0</v>
      </c>
      <c r="Q236" s="601">
        <f t="shared" si="19"/>
        <v>197692</v>
      </c>
      <c r="R236" s="944">
        <f>IF(A236='Data Entry - SOF'!B$2,'Report-SOF2223'!D$91,0)</f>
        <v>0</v>
      </c>
      <c r="S236" s="723">
        <f>IF(A236='Data Entry - SOF'!B$2,'Data Entry - SOF'!Q$102,0)</f>
        <v>0</v>
      </c>
      <c r="T236" s="601">
        <f t="shared" si="23"/>
        <v>197692</v>
      </c>
      <c r="U236" s="944">
        <f>IF(A236='Data Entry - SOF'!B$2,'Report-SOF2324'!D$91,0)</f>
        <v>0</v>
      </c>
      <c r="V236" s="723">
        <f>IF(A236='Data Entry - SOF'!B$2,'Data Entry - SOF'!S$102,0)</f>
        <v>0</v>
      </c>
    </row>
    <row r="237" spans="1:22" ht="15.75">
      <c r="A237" s="382" t="s">
        <v>1070</v>
      </c>
      <c r="B237" s="91">
        <v>474346731</v>
      </c>
      <c r="C237" s="944">
        <f>IF(A237='Data Entry - SOF'!B$2,'Report-SOF1718'!D$102,0)</f>
        <v>0</v>
      </c>
      <c r="D237" s="1037">
        <f>IF(A237='Data Entry - SOF'!B$2,'Data Entry - SOF'!#REF!,0)</f>
        <v>0</v>
      </c>
      <c r="E237" s="91">
        <f t="shared" si="18"/>
        <v>474346731</v>
      </c>
      <c r="F237" s="944">
        <f>IF(A237='Data Entry - SOF'!B$2,'Report-SOF1819'!D$102,0)</f>
        <v>0</v>
      </c>
      <c r="G237" s="1037">
        <f>IF(A237='Data Entry - SOF'!B$2,'Data Entry - SOF'!E$102,0)</f>
        <v>0</v>
      </c>
      <c r="H237" s="1038">
        <f t="shared" si="20"/>
        <v>474346731</v>
      </c>
      <c r="I237" s="944">
        <f>IF(A237='Data Entry - SOF'!B$2,'Report-SOF1920-HB3'!D$102,0)</f>
        <v>0</v>
      </c>
      <c r="J237" s="1037">
        <f>IF(A237='Data Entry - SOF'!B$2,'Data Entry - SOF'!G$102,0)</f>
        <v>0</v>
      </c>
      <c r="K237" s="717">
        <f t="shared" si="21"/>
        <v>474346731</v>
      </c>
      <c r="L237" s="944">
        <f>IF(A237='Data Entry - SOF'!B$2,'Report-SOF2021'!D$99,0)</f>
        <v>0</v>
      </c>
      <c r="M237" s="723">
        <f>IF(A237='Data Entry - SOF'!B$2,'Data Entry - SOF'!M$102,0)</f>
        <v>0</v>
      </c>
      <c r="N237" s="717">
        <f t="shared" si="22"/>
        <v>474346731</v>
      </c>
      <c r="O237" s="944">
        <f>IF(A237='Data Entry - SOF'!B$2,'Report-SOF2122'!D$91,0)</f>
        <v>0</v>
      </c>
      <c r="P237" s="723">
        <f>IF(A237='Data Entry - SOF'!B$2,'Data Entry - SOF'!O$102,0)</f>
        <v>0</v>
      </c>
      <c r="Q237" s="601">
        <f t="shared" si="19"/>
        <v>474346731</v>
      </c>
      <c r="R237" s="944">
        <f>IF(A237='Data Entry - SOF'!B$2,'Report-SOF2223'!D$91,0)</f>
        <v>0</v>
      </c>
      <c r="S237" s="723">
        <f>IF(A237='Data Entry - SOF'!B$2,'Data Entry - SOF'!Q$102,0)</f>
        <v>0</v>
      </c>
      <c r="T237" s="601">
        <f t="shared" si="23"/>
        <v>474346731</v>
      </c>
      <c r="U237" s="944">
        <f>IF(A237='Data Entry - SOF'!B$2,'Report-SOF2324'!D$91,0)</f>
        <v>0</v>
      </c>
      <c r="V237" s="723">
        <f>IF(A237='Data Entry - SOF'!B$2,'Data Entry - SOF'!S$102,0)</f>
        <v>0</v>
      </c>
    </row>
    <row r="238" spans="1:22" ht="15.75">
      <c r="A238" s="382" t="s">
        <v>1770</v>
      </c>
      <c r="B238" s="91">
        <v>801254750</v>
      </c>
      <c r="C238" s="944">
        <f>IF(A238='Data Entry - SOF'!B$2,'Report-SOF1718'!D$102,0)</f>
        <v>0</v>
      </c>
      <c r="D238" s="1037">
        <f>IF(A238='Data Entry - SOF'!B$2,'Data Entry - SOF'!#REF!,0)</f>
        <v>0</v>
      </c>
      <c r="E238" s="91">
        <f t="shared" si="18"/>
        <v>801254750</v>
      </c>
      <c r="F238" s="944">
        <f>IF(A238='Data Entry - SOF'!B$2,'Report-SOF1819'!D$102,0)</f>
        <v>0</v>
      </c>
      <c r="G238" s="1037">
        <f>IF(A238='Data Entry - SOF'!B$2,'Data Entry - SOF'!E$102,0)</f>
        <v>0</v>
      </c>
      <c r="H238" s="1038">
        <f t="shared" si="20"/>
        <v>801254750</v>
      </c>
      <c r="I238" s="944">
        <f>IF(A238='Data Entry - SOF'!B$2,'Report-SOF1920-HB3'!D$102,0)</f>
        <v>0</v>
      </c>
      <c r="J238" s="1037">
        <f>IF(A238='Data Entry - SOF'!B$2,'Data Entry - SOF'!G$102,0)</f>
        <v>0</v>
      </c>
      <c r="K238" s="717">
        <f t="shared" si="21"/>
        <v>801254750</v>
      </c>
      <c r="L238" s="944">
        <f>IF(A238='Data Entry - SOF'!B$2,'Report-SOF2021'!D$99,0)</f>
        <v>0</v>
      </c>
      <c r="M238" s="723">
        <f>IF(A238='Data Entry - SOF'!B$2,'Data Entry - SOF'!M$102,0)</f>
        <v>0</v>
      </c>
      <c r="N238" s="717">
        <f t="shared" si="22"/>
        <v>801254750</v>
      </c>
      <c r="O238" s="944">
        <f>IF(A238='Data Entry - SOF'!B$2,'Report-SOF2122'!D$91,0)</f>
        <v>0</v>
      </c>
      <c r="P238" s="723">
        <f>IF(A238='Data Entry - SOF'!B$2,'Data Entry - SOF'!O$102,0)</f>
        <v>0</v>
      </c>
      <c r="Q238" s="601">
        <f t="shared" si="19"/>
        <v>801254750</v>
      </c>
      <c r="R238" s="944">
        <f>IF(A238='Data Entry - SOF'!B$2,'Report-SOF2223'!D$91,0)</f>
        <v>0</v>
      </c>
      <c r="S238" s="723">
        <f>IF(A238='Data Entry - SOF'!B$2,'Data Entry - SOF'!Q$102,0)</f>
        <v>0</v>
      </c>
      <c r="T238" s="601">
        <f t="shared" si="23"/>
        <v>801254750</v>
      </c>
      <c r="U238" s="944">
        <f>IF(A238='Data Entry - SOF'!B$2,'Report-SOF2324'!D$91,0)</f>
        <v>0</v>
      </c>
      <c r="V238" s="723">
        <f>IF(A238='Data Entry - SOF'!B$2,'Data Entry - SOF'!S$102,0)</f>
        <v>0</v>
      </c>
    </row>
    <row r="239" spans="1:22" ht="15.75">
      <c r="A239" s="382" t="s">
        <v>212</v>
      </c>
      <c r="B239" s="91">
        <v>6481845</v>
      </c>
      <c r="C239" s="944">
        <f>IF(A239='Data Entry - SOF'!B$2,'Report-SOF1718'!D$102,0)</f>
        <v>0</v>
      </c>
      <c r="D239" s="1037">
        <f>IF(A239='Data Entry - SOF'!B$2,'Data Entry - SOF'!#REF!,0)</f>
        <v>0</v>
      </c>
      <c r="E239" s="91">
        <f t="shared" si="18"/>
        <v>6481845</v>
      </c>
      <c r="F239" s="944">
        <f>IF(A239='Data Entry - SOF'!B$2,'Report-SOF1819'!D$102,0)</f>
        <v>0</v>
      </c>
      <c r="G239" s="1037">
        <f>IF(A239='Data Entry - SOF'!B$2,'Data Entry - SOF'!E$102,0)</f>
        <v>0</v>
      </c>
      <c r="H239" s="1038">
        <f t="shared" si="20"/>
        <v>6481845</v>
      </c>
      <c r="I239" s="944">
        <f>IF(A239='Data Entry - SOF'!B$2,'Report-SOF1920-HB3'!D$102,0)</f>
        <v>0</v>
      </c>
      <c r="J239" s="1037">
        <f>IF(A239='Data Entry - SOF'!B$2,'Data Entry - SOF'!G$102,0)</f>
        <v>0</v>
      </c>
      <c r="K239" s="717">
        <f t="shared" si="21"/>
        <v>6481845</v>
      </c>
      <c r="L239" s="944">
        <f>IF(A239='Data Entry - SOF'!B$2,'Report-SOF2021'!D$99,0)</f>
        <v>0</v>
      </c>
      <c r="M239" s="723">
        <f>IF(A239='Data Entry - SOF'!B$2,'Data Entry - SOF'!M$102,0)</f>
        <v>0</v>
      </c>
      <c r="N239" s="717">
        <f t="shared" si="22"/>
        <v>6481845</v>
      </c>
      <c r="O239" s="944">
        <f>IF(A239='Data Entry - SOF'!B$2,'Report-SOF2122'!D$91,0)</f>
        <v>0</v>
      </c>
      <c r="P239" s="723">
        <f>IF(A239='Data Entry - SOF'!B$2,'Data Entry - SOF'!O$102,0)</f>
        <v>0</v>
      </c>
      <c r="Q239" s="601">
        <f t="shared" si="19"/>
        <v>6481845</v>
      </c>
      <c r="R239" s="944">
        <f>IF(A239='Data Entry - SOF'!B$2,'Report-SOF2223'!D$91,0)</f>
        <v>0</v>
      </c>
      <c r="S239" s="723">
        <f>IF(A239='Data Entry - SOF'!B$2,'Data Entry - SOF'!Q$102,0)</f>
        <v>0</v>
      </c>
      <c r="T239" s="601">
        <f t="shared" si="23"/>
        <v>6481845</v>
      </c>
      <c r="U239" s="944">
        <f>IF(A239='Data Entry - SOF'!B$2,'Report-SOF2324'!D$91,0)</f>
        <v>0</v>
      </c>
      <c r="V239" s="723">
        <f>IF(A239='Data Entry - SOF'!B$2,'Data Entry - SOF'!S$102,0)</f>
        <v>0</v>
      </c>
    </row>
    <row r="240" spans="1:22" ht="15.75">
      <c r="A240" s="382" t="s">
        <v>717</v>
      </c>
      <c r="B240" s="91">
        <v>16331141</v>
      </c>
      <c r="C240" s="944">
        <f>IF(A240='Data Entry - SOF'!B$2,'Report-SOF1718'!D$102,0)</f>
        <v>0</v>
      </c>
      <c r="D240" s="1037">
        <f>IF(A240='Data Entry - SOF'!B$2,'Data Entry - SOF'!#REF!,0)</f>
        <v>0</v>
      </c>
      <c r="E240" s="91">
        <f t="shared" si="18"/>
        <v>16331141</v>
      </c>
      <c r="F240" s="944">
        <f>IF(A240='Data Entry - SOF'!B$2,'Report-SOF1819'!D$102,0)</f>
        <v>0</v>
      </c>
      <c r="G240" s="1037">
        <f>IF(A240='Data Entry - SOF'!B$2,'Data Entry - SOF'!E$102,0)</f>
        <v>0</v>
      </c>
      <c r="H240" s="1038">
        <f t="shared" si="20"/>
        <v>16331141</v>
      </c>
      <c r="I240" s="944">
        <f>IF(A240='Data Entry - SOF'!B$2,'Report-SOF1920-HB3'!D$102,0)</f>
        <v>0</v>
      </c>
      <c r="J240" s="1037">
        <f>IF(A240='Data Entry - SOF'!B$2,'Data Entry - SOF'!G$102,0)</f>
        <v>0</v>
      </c>
      <c r="K240" s="717">
        <f t="shared" si="21"/>
        <v>16331141</v>
      </c>
      <c r="L240" s="944">
        <f>IF(A240='Data Entry - SOF'!B$2,'Report-SOF2021'!D$99,0)</f>
        <v>0</v>
      </c>
      <c r="M240" s="723">
        <f>IF(A240='Data Entry - SOF'!B$2,'Data Entry - SOF'!M$102,0)</f>
        <v>0</v>
      </c>
      <c r="N240" s="717">
        <f t="shared" si="22"/>
        <v>16331141</v>
      </c>
      <c r="O240" s="944">
        <f>IF(A240='Data Entry - SOF'!B$2,'Report-SOF2122'!D$91,0)</f>
        <v>0</v>
      </c>
      <c r="P240" s="723">
        <f>IF(A240='Data Entry - SOF'!B$2,'Data Entry - SOF'!O$102,0)</f>
        <v>0</v>
      </c>
      <c r="Q240" s="601">
        <f t="shared" si="19"/>
        <v>16331141</v>
      </c>
      <c r="R240" s="944">
        <f>IF(A240='Data Entry - SOF'!B$2,'Report-SOF2223'!D$91,0)</f>
        <v>0</v>
      </c>
      <c r="S240" s="723">
        <f>IF(A240='Data Entry - SOF'!B$2,'Data Entry - SOF'!Q$102,0)</f>
        <v>0</v>
      </c>
      <c r="T240" s="601">
        <f t="shared" si="23"/>
        <v>16331141</v>
      </c>
      <c r="U240" s="944">
        <f>IF(A240='Data Entry - SOF'!B$2,'Report-SOF2324'!D$91,0)</f>
        <v>0</v>
      </c>
      <c r="V240" s="723">
        <f>IF(A240='Data Entry - SOF'!B$2,'Data Entry - SOF'!S$102,0)</f>
        <v>0</v>
      </c>
    </row>
    <row r="241" spans="1:22" ht="15.75">
      <c r="A241" s="382" t="s">
        <v>214</v>
      </c>
      <c r="B241" s="91">
        <v>19720260</v>
      </c>
      <c r="C241" s="944">
        <f>IF(A241='Data Entry - SOF'!B$2,'Report-SOF1718'!D$102,0)</f>
        <v>0</v>
      </c>
      <c r="D241" s="1037">
        <f>IF(A241='Data Entry - SOF'!B$2,'Data Entry - SOF'!#REF!,0)</f>
        <v>0</v>
      </c>
      <c r="E241" s="91">
        <f t="shared" si="18"/>
        <v>19720260</v>
      </c>
      <c r="F241" s="944">
        <f>IF(A241='Data Entry - SOF'!B$2,'Report-SOF1819'!D$102,0)</f>
        <v>0</v>
      </c>
      <c r="G241" s="1037">
        <f>IF(A241='Data Entry - SOF'!B$2,'Data Entry - SOF'!E$102,0)</f>
        <v>0</v>
      </c>
      <c r="H241" s="1038">
        <f t="shared" si="20"/>
        <v>19720260</v>
      </c>
      <c r="I241" s="944">
        <f>IF(A241='Data Entry - SOF'!B$2,'Report-SOF1920-HB3'!D$102,0)</f>
        <v>0</v>
      </c>
      <c r="J241" s="1037">
        <f>IF(A241='Data Entry - SOF'!B$2,'Data Entry - SOF'!G$102,0)</f>
        <v>0</v>
      </c>
      <c r="K241" s="717">
        <f t="shared" si="21"/>
        <v>19720260</v>
      </c>
      <c r="L241" s="944">
        <f>IF(A241='Data Entry - SOF'!B$2,'Report-SOF2021'!D$99,0)</f>
        <v>0</v>
      </c>
      <c r="M241" s="723">
        <f>IF(A241='Data Entry - SOF'!B$2,'Data Entry - SOF'!M$102,0)</f>
        <v>0</v>
      </c>
      <c r="N241" s="717">
        <f t="shared" si="22"/>
        <v>19720260</v>
      </c>
      <c r="O241" s="944">
        <f>IF(A241='Data Entry - SOF'!B$2,'Report-SOF2122'!D$91,0)</f>
        <v>0</v>
      </c>
      <c r="P241" s="723">
        <f>IF(A241='Data Entry - SOF'!B$2,'Data Entry - SOF'!O$102,0)</f>
        <v>0</v>
      </c>
      <c r="Q241" s="601">
        <f t="shared" si="19"/>
        <v>19720260</v>
      </c>
      <c r="R241" s="944">
        <f>IF(A241='Data Entry - SOF'!B$2,'Report-SOF2223'!D$91,0)</f>
        <v>0</v>
      </c>
      <c r="S241" s="723">
        <f>IF(A241='Data Entry - SOF'!B$2,'Data Entry - SOF'!Q$102,0)</f>
        <v>0</v>
      </c>
      <c r="T241" s="601">
        <f t="shared" si="23"/>
        <v>19720260</v>
      </c>
      <c r="U241" s="944">
        <f>IF(A241='Data Entry - SOF'!B$2,'Report-SOF2324'!D$91,0)</f>
        <v>0</v>
      </c>
      <c r="V241" s="723">
        <f>IF(A241='Data Entry - SOF'!B$2,'Data Entry - SOF'!S$102,0)</f>
        <v>0</v>
      </c>
    </row>
    <row r="242" spans="1:22" ht="15.75">
      <c r="A242" s="382" t="s">
        <v>1680</v>
      </c>
      <c r="B242" s="91">
        <v>16409877</v>
      </c>
      <c r="C242" s="944">
        <f>IF(A242='Data Entry - SOF'!B$2,'Report-SOF1718'!D$102,0)</f>
        <v>0</v>
      </c>
      <c r="D242" s="1037">
        <f>IF(A242='Data Entry - SOF'!B$2,'Data Entry - SOF'!#REF!,0)</f>
        <v>0</v>
      </c>
      <c r="E242" s="91">
        <f t="shared" si="18"/>
        <v>16409877</v>
      </c>
      <c r="F242" s="944">
        <f>IF(A242='Data Entry - SOF'!B$2,'Report-SOF1819'!D$102,0)</f>
        <v>0</v>
      </c>
      <c r="G242" s="1037">
        <f>IF(A242='Data Entry - SOF'!B$2,'Data Entry - SOF'!E$102,0)</f>
        <v>0</v>
      </c>
      <c r="H242" s="1038">
        <f t="shared" si="20"/>
        <v>16409877</v>
      </c>
      <c r="I242" s="944">
        <f>IF(A242='Data Entry - SOF'!B$2,'Report-SOF1920-HB3'!D$102,0)</f>
        <v>0</v>
      </c>
      <c r="J242" s="1037">
        <f>IF(A242='Data Entry - SOF'!B$2,'Data Entry - SOF'!G$102,0)</f>
        <v>0</v>
      </c>
      <c r="K242" s="717">
        <f t="shared" si="21"/>
        <v>16409877</v>
      </c>
      <c r="L242" s="944">
        <f>IF(A242='Data Entry - SOF'!B$2,'Report-SOF2021'!D$99,0)</f>
        <v>0</v>
      </c>
      <c r="M242" s="723">
        <f>IF(A242='Data Entry - SOF'!B$2,'Data Entry - SOF'!M$102,0)</f>
        <v>0</v>
      </c>
      <c r="N242" s="717">
        <f t="shared" si="22"/>
        <v>16409877</v>
      </c>
      <c r="O242" s="944">
        <f>IF(A242='Data Entry - SOF'!B$2,'Report-SOF2122'!D$91,0)</f>
        <v>0</v>
      </c>
      <c r="P242" s="723">
        <f>IF(A242='Data Entry - SOF'!B$2,'Data Entry - SOF'!O$102,0)</f>
        <v>0</v>
      </c>
      <c r="Q242" s="601">
        <f t="shared" si="19"/>
        <v>16409877</v>
      </c>
      <c r="R242" s="944">
        <f>IF(A242='Data Entry - SOF'!B$2,'Report-SOF2223'!D$91,0)</f>
        <v>0</v>
      </c>
      <c r="S242" s="723">
        <f>IF(A242='Data Entry - SOF'!B$2,'Data Entry - SOF'!Q$102,0)</f>
        <v>0</v>
      </c>
      <c r="T242" s="601">
        <f t="shared" si="23"/>
        <v>16409877</v>
      </c>
      <c r="U242" s="944">
        <f>IF(A242='Data Entry - SOF'!B$2,'Report-SOF2324'!D$91,0)</f>
        <v>0</v>
      </c>
      <c r="V242" s="723">
        <f>IF(A242='Data Entry - SOF'!B$2,'Data Entry - SOF'!S$102,0)</f>
        <v>0</v>
      </c>
    </row>
    <row r="243" spans="1:22" ht="15.75">
      <c r="A243" s="382" t="s">
        <v>490</v>
      </c>
      <c r="B243" s="91">
        <v>7128769</v>
      </c>
      <c r="C243" s="944">
        <f>IF(A243='Data Entry - SOF'!B$2,'Report-SOF1718'!D$102,0)</f>
        <v>0</v>
      </c>
      <c r="D243" s="1037">
        <f>IF(A243='Data Entry - SOF'!B$2,'Data Entry - SOF'!#REF!,0)</f>
        <v>0</v>
      </c>
      <c r="E243" s="91">
        <f t="shared" si="18"/>
        <v>7128769</v>
      </c>
      <c r="F243" s="944">
        <f>IF(A243='Data Entry - SOF'!B$2,'Report-SOF1819'!D$102,0)</f>
        <v>0</v>
      </c>
      <c r="G243" s="1037">
        <f>IF(A243='Data Entry - SOF'!B$2,'Data Entry - SOF'!E$102,0)</f>
        <v>0</v>
      </c>
      <c r="H243" s="1038">
        <f t="shared" si="20"/>
        <v>7128769</v>
      </c>
      <c r="I243" s="944">
        <f>IF(A243='Data Entry - SOF'!B$2,'Report-SOF1920-HB3'!D$102,0)</f>
        <v>0</v>
      </c>
      <c r="J243" s="1037">
        <f>IF(A243='Data Entry - SOF'!B$2,'Data Entry - SOF'!G$102,0)</f>
        <v>0</v>
      </c>
      <c r="K243" s="717">
        <f t="shared" si="21"/>
        <v>7128769</v>
      </c>
      <c r="L243" s="944">
        <f>IF(A243='Data Entry - SOF'!B$2,'Report-SOF2021'!D$99,0)</f>
        <v>0</v>
      </c>
      <c r="M243" s="723">
        <f>IF(A243='Data Entry - SOF'!B$2,'Data Entry - SOF'!M$102,0)</f>
        <v>0</v>
      </c>
      <c r="N243" s="717">
        <f t="shared" si="22"/>
        <v>7128769</v>
      </c>
      <c r="O243" s="944">
        <f>IF(A243='Data Entry - SOF'!B$2,'Report-SOF2122'!D$91,0)</f>
        <v>0</v>
      </c>
      <c r="P243" s="723">
        <f>IF(A243='Data Entry - SOF'!B$2,'Data Entry - SOF'!O$102,0)</f>
        <v>0</v>
      </c>
      <c r="Q243" s="601">
        <f t="shared" si="19"/>
        <v>7128769</v>
      </c>
      <c r="R243" s="944">
        <f>IF(A243='Data Entry - SOF'!B$2,'Report-SOF2223'!D$91,0)</f>
        <v>0</v>
      </c>
      <c r="S243" s="723">
        <f>IF(A243='Data Entry - SOF'!B$2,'Data Entry - SOF'!Q$102,0)</f>
        <v>0</v>
      </c>
      <c r="T243" s="601">
        <f t="shared" si="23"/>
        <v>7128769</v>
      </c>
      <c r="U243" s="944">
        <f>IF(A243='Data Entry - SOF'!B$2,'Report-SOF2324'!D$91,0)</f>
        <v>0</v>
      </c>
      <c r="V243" s="723">
        <f>IF(A243='Data Entry - SOF'!B$2,'Data Entry - SOF'!S$102,0)</f>
        <v>0</v>
      </c>
    </row>
    <row r="244" spans="1:22" ht="15.75">
      <c r="A244" s="382" t="s">
        <v>1838</v>
      </c>
      <c r="B244" s="91">
        <v>49601630</v>
      </c>
      <c r="C244" s="944">
        <f>IF(A244='Data Entry - SOF'!B$2,'Report-SOF1718'!D$102,0)</f>
        <v>0</v>
      </c>
      <c r="D244" s="1037">
        <f>IF(A244='Data Entry - SOF'!B$2,'Data Entry - SOF'!#REF!,0)</f>
        <v>0</v>
      </c>
      <c r="E244" s="91">
        <f t="shared" si="18"/>
        <v>49601630</v>
      </c>
      <c r="F244" s="944">
        <f>IF(A244='Data Entry - SOF'!B$2,'Report-SOF1819'!D$102,0)</f>
        <v>0</v>
      </c>
      <c r="G244" s="1037">
        <f>IF(A244='Data Entry - SOF'!B$2,'Data Entry - SOF'!E$102,0)</f>
        <v>0</v>
      </c>
      <c r="H244" s="1038">
        <f t="shared" si="20"/>
        <v>49601630</v>
      </c>
      <c r="I244" s="944">
        <f>IF(A244='Data Entry - SOF'!B$2,'Report-SOF1920-HB3'!D$102,0)</f>
        <v>0</v>
      </c>
      <c r="J244" s="1037">
        <f>IF(A244='Data Entry - SOF'!B$2,'Data Entry - SOF'!G$102,0)</f>
        <v>0</v>
      </c>
      <c r="K244" s="717">
        <f t="shared" si="21"/>
        <v>49601630</v>
      </c>
      <c r="L244" s="944">
        <f>IF(A244='Data Entry - SOF'!B$2,'Report-SOF2021'!D$99,0)</f>
        <v>0</v>
      </c>
      <c r="M244" s="723">
        <f>IF(A244='Data Entry - SOF'!B$2,'Data Entry - SOF'!M$102,0)</f>
        <v>0</v>
      </c>
      <c r="N244" s="717">
        <f t="shared" si="22"/>
        <v>49601630</v>
      </c>
      <c r="O244" s="944">
        <f>IF(A244='Data Entry - SOF'!B$2,'Report-SOF2122'!D$91,0)</f>
        <v>0</v>
      </c>
      <c r="P244" s="723">
        <f>IF(A244='Data Entry - SOF'!B$2,'Data Entry - SOF'!O$102,0)</f>
        <v>0</v>
      </c>
      <c r="Q244" s="601">
        <f t="shared" si="19"/>
        <v>49601630</v>
      </c>
      <c r="R244" s="944">
        <f>IF(A244='Data Entry - SOF'!B$2,'Report-SOF2223'!D$91,0)</f>
        <v>0</v>
      </c>
      <c r="S244" s="723">
        <f>IF(A244='Data Entry - SOF'!B$2,'Data Entry - SOF'!Q$102,0)</f>
        <v>0</v>
      </c>
      <c r="T244" s="601">
        <f t="shared" si="23"/>
        <v>49601630</v>
      </c>
      <c r="U244" s="944">
        <f>IF(A244='Data Entry - SOF'!B$2,'Report-SOF2324'!D$91,0)</f>
        <v>0</v>
      </c>
      <c r="V244" s="723">
        <f>IF(A244='Data Entry - SOF'!B$2,'Data Entry - SOF'!S$102,0)</f>
        <v>0</v>
      </c>
    </row>
    <row r="245" spans="1:22" ht="15.75">
      <c r="A245" s="382" t="s">
        <v>1410</v>
      </c>
      <c r="B245" s="91">
        <v>339071224</v>
      </c>
      <c r="C245" s="944">
        <f>IF(A245='Data Entry - SOF'!B$2,'Report-SOF1718'!D$102,0)</f>
        <v>0</v>
      </c>
      <c r="D245" s="1037">
        <f>IF(A245='Data Entry - SOF'!B$2,'Data Entry - SOF'!#REF!,0)</f>
        <v>0</v>
      </c>
      <c r="E245" s="91">
        <f t="shared" si="18"/>
        <v>339071224</v>
      </c>
      <c r="F245" s="944">
        <f>IF(A245='Data Entry - SOF'!B$2,'Report-SOF1819'!D$102,0)</f>
        <v>0</v>
      </c>
      <c r="G245" s="1037">
        <f>IF(A245='Data Entry - SOF'!B$2,'Data Entry - SOF'!E$102,0)</f>
        <v>0</v>
      </c>
      <c r="H245" s="1038">
        <f t="shared" si="20"/>
        <v>339071224</v>
      </c>
      <c r="I245" s="944">
        <f>IF(A245='Data Entry - SOF'!B$2,'Report-SOF1920-HB3'!D$102,0)</f>
        <v>0</v>
      </c>
      <c r="J245" s="1037">
        <f>IF(A245='Data Entry - SOF'!B$2,'Data Entry - SOF'!G$102,0)</f>
        <v>0</v>
      </c>
      <c r="K245" s="717">
        <f t="shared" si="21"/>
        <v>339071224</v>
      </c>
      <c r="L245" s="944">
        <f>IF(A245='Data Entry - SOF'!B$2,'Report-SOF2021'!D$99,0)</f>
        <v>0</v>
      </c>
      <c r="M245" s="723">
        <f>IF(A245='Data Entry - SOF'!B$2,'Data Entry - SOF'!M$102,0)</f>
        <v>0</v>
      </c>
      <c r="N245" s="717">
        <f t="shared" si="22"/>
        <v>339071224</v>
      </c>
      <c r="O245" s="944">
        <f>IF(A245='Data Entry - SOF'!B$2,'Report-SOF2122'!D$91,0)</f>
        <v>0</v>
      </c>
      <c r="P245" s="723">
        <f>IF(A245='Data Entry - SOF'!B$2,'Data Entry - SOF'!O$102,0)</f>
        <v>0</v>
      </c>
      <c r="Q245" s="601">
        <f t="shared" si="19"/>
        <v>339071224</v>
      </c>
      <c r="R245" s="944">
        <f>IF(A245='Data Entry - SOF'!B$2,'Report-SOF2223'!D$91,0)</f>
        <v>0</v>
      </c>
      <c r="S245" s="723">
        <f>IF(A245='Data Entry - SOF'!B$2,'Data Entry - SOF'!Q$102,0)</f>
        <v>0</v>
      </c>
      <c r="T245" s="601">
        <f t="shared" si="23"/>
        <v>339071224</v>
      </c>
      <c r="U245" s="944">
        <f>IF(A245='Data Entry - SOF'!B$2,'Report-SOF2324'!D$91,0)</f>
        <v>0</v>
      </c>
      <c r="V245" s="723">
        <f>IF(A245='Data Entry - SOF'!B$2,'Data Entry - SOF'!S$102,0)</f>
        <v>0</v>
      </c>
    </row>
    <row r="246" spans="1:22" ht="15.75">
      <c r="A246" s="382" t="s">
        <v>61</v>
      </c>
      <c r="B246" s="91">
        <v>42605094</v>
      </c>
      <c r="C246" s="944">
        <f>IF(A246='Data Entry - SOF'!B$2,'Report-SOF1718'!D$102,0)</f>
        <v>0</v>
      </c>
      <c r="D246" s="1037">
        <f>IF(A246='Data Entry - SOF'!B$2,'Data Entry - SOF'!#REF!,0)</f>
        <v>0</v>
      </c>
      <c r="E246" s="91">
        <f t="shared" si="18"/>
        <v>42605094</v>
      </c>
      <c r="F246" s="944">
        <f>IF(A246='Data Entry - SOF'!B$2,'Report-SOF1819'!D$102,0)</f>
        <v>0</v>
      </c>
      <c r="G246" s="1037">
        <f>IF(A246='Data Entry - SOF'!B$2,'Data Entry - SOF'!E$102,0)</f>
        <v>0</v>
      </c>
      <c r="H246" s="1038">
        <f t="shared" si="20"/>
        <v>42605094</v>
      </c>
      <c r="I246" s="944">
        <f>IF(A246='Data Entry - SOF'!B$2,'Report-SOF1920-HB3'!D$102,0)</f>
        <v>0</v>
      </c>
      <c r="J246" s="1037">
        <f>IF(A246='Data Entry - SOF'!B$2,'Data Entry - SOF'!G$102,0)</f>
        <v>0</v>
      </c>
      <c r="K246" s="717">
        <f t="shared" si="21"/>
        <v>42605094</v>
      </c>
      <c r="L246" s="944">
        <f>IF(A246='Data Entry - SOF'!B$2,'Report-SOF2021'!D$99,0)</f>
        <v>0</v>
      </c>
      <c r="M246" s="723">
        <f>IF(A246='Data Entry - SOF'!B$2,'Data Entry - SOF'!M$102,0)</f>
        <v>0</v>
      </c>
      <c r="N246" s="717">
        <f t="shared" si="22"/>
        <v>42605094</v>
      </c>
      <c r="O246" s="944">
        <f>IF(A246='Data Entry - SOF'!B$2,'Report-SOF2122'!D$91,0)</f>
        <v>0</v>
      </c>
      <c r="P246" s="723">
        <f>IF(A246='Data Entry - SOF'!B$2,'Data Entry - SOF'!O$102,0)</f>
        <v>0</v>
      </c>
      <c r="Q246" s="601">
        <f t="shared" si="19"/>
        <v>42605094</v>
      </c>
      <c r="R246" s="944">
        <f>IF(A246='Data Entry - SOF'!B$2,'Report-SOF2223'!D$91,0)</f>
        <v>0</v>
      </c>
      <c r="S246" s="723">
        <f>IF(A246='Data Entry - SOF'!B$2,'Data Entry - SOF'!Q$102,0)</f>
        <v>0</v>
      </c>
      <c r="T246" s="601">
        <f t="shared" si="23"/>
        <v>42605094</v>
      </c>
      <c r="U246" s="944">
        <f>IF(A246='Data Entry - SOF'!B$2,'Report-SOF2324'!D$91,0)</f>
        <v>0</v>
      </c>
      <c r="V246" s="723">
        <f>IF(A246='Data Entry - SOF'!B$2,'Data Entry - SOF'!S$102,0)</f>
        <v>0</v>
      </c>
    </row>
    <row r="247" spans="1:22" ht="15.75">
      <c r="A247" s="382" t="s">
        <v>641</v>
      </c>
      <c r="B247" s="91">
        <v>65962459</v>
      </c>
      <c r="C247" s="944">
        <f>IF(A247='Data Entry - SOF'!B$2,'Report-SOF1718'!D$102,0)</f>
        <v>0</v>
      </c>
      <c r="D247" s="1037">
        <f>IF(A247='Data Entry - SOF'!B$2,'Data Entry - SOF'!#REF!,0)</f>
        <v>0</v>
      </c>
      <c r="E247" s="91">
        <f t="shared" si="18"/>
        <v>65962459</v>
      </c>
      <c r="F247" s="944">
        <f>IF(A247='Data Entry - SOF'!B$2,'Report-SOF1819'!D$102,0)</f>
        <v>0</v>
      </c>
      <c r="G247" s="1037">
        <f>IF(A247='Data Entry - SOF'!B$2,'Data Entry - SOF'!E$102,0)</f>
        <v>0</v>
      </c>
      <c r="H247" s="1038">
        <f t="shared" si="20"/>
        <v>65962459</v>
      </c>
      <c r="I247" s="944">
        <f>IF(A247='Data Entry - SOF'!B$2,'Report-SOF1920-HB3'!D$102,0)</f>
        <v>0</v>
      </c>
      <c r="J247" s="1037">
        <f>IF(A247='Data Entry - SOF'!B$2,'Data Entry - SOF'!G$102,0)</f>
        <v>0</v>
      </c>
      <c r="K247" s="717">
        <f t="shared" si="21"/>
        <v>65962459</v>
      </c>
      <c r="L247" s="944">
        <f>IF(A247='Data Entry - SOF'!B$2,'Report-SOF2021'!D$99,0)</f>
        <v>0</v>
      </c>
      <c r="M247" s="723">
        <f>IF(A247='Data Entry - SOF'!B$2,'Data Entry - SOF'!M$102,0)</f>
        <v>0</v>
      </c>
      <c r="N247" s="717">
        <f t="shared" si="22"/>
        <v>65962459</v>
      </c>
      <c r="O247" s="944">
        <f>IF(A247='Data Entry - SOF'!B$2,'Report-SOF2122'!D$91,0)</f>
        <v>0</v>
      </c>
      <c r="P247" s="723">
        <f>IF(A247='Data Entry - SOF'!B$2,'Data Entry - SOF'!O$102,0)</f>
        <v>0</v>
      </c>
      <c r="Q247" s="601">
        <f t="shared" si="19"/>
        <v>65962459</v>
      </c>
      <c r="R247" s="944">
        <f>IF(A247='Data Entry - SOF'!B$2,'Report-SOF2223'!D$91,0)</f>
        <v>0</v>
      </c>
      <c r="S247" s="723">
        <f>IF(A247='Data Entry - SOF'!B$2,'Data Entry - SOF'!Q$102,0)</f>
        <v>0</v>
      </c>
      <c r="T247" s="601">
        <f t="shared" si="23"/>
        <v>65962459</v>
      </c>
      <c r="U247" s="944">
        <f>IF(A247='Data Entry - SOF'!B$2,'Report-SOF2324'!D$91,0)</f>
        <v>0</v>
      </c>
      <c r="V247" s="723">
        <f>IF(A247='Data Entry - SOF'!B$2,'Data Entry - SOF'!S$102,0)</f>
        <v>0</v>
      </c>
    </row>
    <row r="248" spans="1:22" ht="15.75">
      <c r="A248" s="382" t="s">
        <v>2504</v>
      </c>
      <c r="B248" s="91">
        <v>49492377.206691697</v>
      </c>
      <c r="C248" s="944">
        <f>IF(A248='Data Entry - SOF'!B$2,'Report-SOF1718'!D$102,0)</f>
        <v>0</v>
      </c>
      <c r="D248" s="1037">
        <f>IF(A248='Data Entry - SOF'!B$2,'Data Entry - SOF'!#REF!,0)</f>
        <v>0</v>
      </c>
      <c r="E248" s="91">
        <f t="shared" si="18"/>
        <v>49492377.206691697</v>
      </c>
      <c r="F248" s="944">
        <f>IF(A248='Data Entry - SOF'!B$2,'Report-SOF1819'!D$102,0)</f>
        <v>0</v>
      </c>
      <c r="G248" s="1037">
        <f>IF(A248='Data Entry - SOF'!B$2,'Data Entry - SOF'!E$102,0)</f>
        <v>0</v>
      </c>
      <c r="H248" s="1038">
        <f t="shared" si="20"/>
        <v>49492377.206691697</v>
      </c>
      <c r="I248" s="944">
        <f>IF(A248='Data Entry - SOF'!B$2,'Report-SOF1920-HB3'!D$102,0)</f>
        <v>0</v>
      </c>
      <c r="J248" s="1037">
        <f>IF(A248='Data Entry - SOF'!B$2,'Data Entry - SOF'!G$102,0)</f>
        <v>0</v>
      </c>
      <c r="K248" s="717">
        <f t="shared" si="21"/>
        <v>49492377.206691697</v>
      </c>
      <c r="L248" s="944">
        <f>IF(A248='Data Entry - SOF'!B$2,'Report-SOF2021'!D$99,0)</f>
        <v>0</v>
      </c>
      <c r="M248" s="723">
        <f>IF(A248='Data Entry - SOF'!B$2,'Data Entry - SOF'!M$102,0)</f>
        <v>0</v>
      </c>
      <c r="N248" s="717">
        <f t="shared" si="22"/>
        <v>49492377.206691697</v>
      </c>
      <c r="O248" s="944">
        <f>IF(A248='Data Entry - SOF'!B$2,'Report-SOF2122'!D$91,0)</f>
        <v>0</v>
      </c>
      <c r="P248" s="723">
        <f>IF(A248='Data Entry - SOF'!B$2,'Data Entry - SOF'!O$102,0)</f>
        <v>0</v>
      </c>
      <c r="Q248" s="601">
        <f t="shared" si="19"/>
        <v>49492377.206691697</v>
      </c>
      <c r="R248" s="944">
        <f>IF(A248='Data Entry - SOF'!B$2,'Report-SOF2223'!D$91,0)</f>
        <v>0</v>
      </c>
      <c r="S248" s="723">
        <f>IF(A248='Data Entry - SOF'!B$2,'Data Entry - SOF'!Q$102,0)</f>
        <v>0</v>
      </c>
      <c r="T248" s="601">
        <f t="shared" si="23"/>
        <v>49492377.206691697</v>
      </c>
      <c r="U248" s="944">
        <f>IF(A248='Data Entry - SOF'!B$2,'Report-SOF2324'!D$91,0)</f>
        <v>0</v>
      </c>
      <c r="V248" s="723">
        <f>IF(A248='Data Entry - SOF'!B$2,'Data Entry - SOF'!S$102,0)</f>
        <v>0</v>
      </c>
    </row>
    <row r="249" spans="1:22" ht="15.75">
      <c r="A249" s="382" t="s">
        <v>1839</v>
      </c>
      <c r="B249" s="91">
        <v>8269028.64806988</v>
      </c>
      <c r="C249" s="944">
        <f>IF(A249='Data Entry - SOF'!B$2,'Report-SOF1718'!D$102,0)</f>
        <v>0</v>
      </c>
      <c r="D249" s="1037">
        <f>IF(A249='Data Entry - SOF'!B$2,'Data Entry - SOF'!#REF!,0)</f>
        <v>0</v>
      </c>
      <c r="E249" s="91">
        <f t="shared" si="18"/>
        <v>8269028.64806988</v>
      </c>
      <c r="F249" s="944">
        <f>IF(A249='Data Entry - SOF'!B$2,'Report-SOF1819'!D$102,0)</f>
        <v>0</v>
      </c>
      <c r="G249" s="1037">
        <f>IF(A249='Data Entry - SOF'!B$2,'Data Entry - SOF'!E$102,0)</f>
        <v>0</v>
      </c>
      <c r="H249" s="1038">
        <f t="shared" si="20"/>
        <v>8269028.64806988</v>
      </c>
      <c r="I249" s="944">
        <f>IF(A249='Data Entry - SOF'!B$2,'Report-SOF1920-HB3'!D$102,0)</f>
        <v>0</v>
      </c>
      <c r="J249" s="1037">
        <f>IF(A249='Data Entry - SOF'!B$2,'Data Entry - SOF'!G$102,0)</f>
        <v>0</v>
      </c>
      <c r="K249" s="717">
        <f t="shared" si="21"/>
        <v>8269028.64806988</v>
      </c>
      <c r="L249" s="944">
        <f>IF(A249='Data Entry - SOF'!B$2,'Report-SOF2021'!D$99,0)</f>
        <v>0</v>
      </c>
      <c r="M249" s="723">
        <f>IF(A249='Data Entry - SOF'!B$2,'Data Entry - SOF'!M$102,0)</f>
        <v>0</v>
      </c>
      <c r="N249" s="717">
        <f t="shared" si="22"/>
        <v>8269028.64806988</v>
      </c>
      <c r="O249" s="944">
        <f>IF(A249='Data Entry - SOF'!B$2,'Report-SOF2122'!D$91,0)</f>
        <v>0</v>
      </c>
      <c r="P249" s="723">
        <f>IF(A249='Data Entry - SOF'!B$2,'Data Entry - SOF'!O$102,0)</f>
        <v>0</v>
      </c>
      <c r="Q249" s="601">
        <f t="shared" si="19"/>
        <v>8269028.64806988</v>
      </c>
      <c r="R249" s="944">
        <f>IF(A249='Data Entry - SOF'!B$2,'Report-SOF2223'!D$91,0)</f>
        <v>0</v>
      </c>
      <c r="S249" s="723">
        <f>IF(A249='Data Entry - SOF'!B$2,'Data Entry - SOF'!Q$102,0)</f>
        <v>0</v>
      </c>
      <c r="T249" s="601">
        <f t="shared" si="23"/>
        <v>8269028.64806988</v>
      </c>
      <c r="U249" s="944">
        <f>IF(A249='Data Entry - SOF'!B$2,'Report-SOF2324'!D$91,0)</f>
        <v>0</v>
      </c>
      <c r="V249" s="723">
        <f>IF(A249='Data Entry - SOF'!B$2,'Data Entry - SOF'!S$102,0)</f>
        <v>0</v>
      </c>
    </row>
    <row r="250" spans="1:22" ht="15.75">
      <c r="A250" s="382" t="s">
        <v>1185</v>
      </c>
      <c r="B250" s="91">
        <v>22772946</v>
      </c>
      <c r="C250" s="944">
        <f>IF(A250='Data Entry - SOF'!B$2,'Report-SOF1718'!D$102,0)</f>
        <v>0</v>
      </c>
      <c r="D250" s="1037">
        <f>IF(A250='Data Entry - SOF'!B$2,'Data Entry - SOF'!#REF!,0)</f>
        <v>0</v>
      </c>
      <c r="E250" s="91">
        <f t="shared" si="18"/>
        <v>22772946</v>
      </c>
      <c r="F250" s="944">
        <f>IF(A250='Data Entry - SOF'!B$2,'Report-SOF1819'!D$102,0)</f>
        <v>0</v>
      </c>
      <c r="G250" s="1037">
        <f>IF(A250='Data Entry - SOF'!B$2,'Data Entry - SOF'!E$102,0)</f>
        <v>0</v>
      </c>
      <c r="H250" s="1038">
        <f t="shared" si="20"/>
        <v>22772946</v>
      </c>
      <c r="I250" s="944">
        <f>IF(A250='Data Entry - SOF'!B$2,'Report-SOF1920-HB3'!D$102,0)</f>
        <v>0</v>
      </c>
      <c r="J250" s="1037">
        <f>IF(A250='Data Entry - SOF'!B$2,'Data Entry - SOF'!G$102,0)</f>
        <v>0</v>
      </c>
      <c r="K250" s="717">
        <f t="shared" si="21"/>
        <v>22772946</v>
      </c>
      <c r="L250" s="944">
        <f>IF(A250='Data Entry - SOF'!B$2,'Report-SOF2021'!D$99,0)</f>
        <v>0</v>
      </c>
      <c r="M250" s="723">
        <f>IF(A250='Data Entry - SOF'!B$2,'Data Entry - SOF'!M$102,0)</f>
        <v>0</v>
      </c>
      <c r="N250" s="717">
        <f t="shared" si="22"/>
        <v>22772946</v>
      </c>
      <c r="O250" s="944">
        <f>IF(A250='Data Entry - SOF'!B$2,'Report-SOF2122'!D$91,0)</f>
        <v>0</v>
      </c>
      <c r="P250" s="723">
        <f>IF(A250='Data Entry - SOF'!B$2,'Data Entry - SOF'!O$102,0)</f>
        <v>0</v>
      </c>
      <c r="Q250" s="601">
        <f t="shared" si="19"/>
        <v>22772946</v>
      </c>
      <c r="R250" s="944">
        <f>IF(A250='Data Entry - SOF'!B$2,'Report-SOF2223'!D$91,0)</f>
        <v>0</v>
      </c>
      <c r="S250" s="723">
        <f>IF(A250='Data Entry - SOF'!B$2,'Data Entry - SOF'!Q$102,0)</f>
        <v>0</v>
      </c>
      <c r="T250" s="601">
        <f t="shared" si="23"/>
        <v>22772946</v>
      </c>
      <c r="U250" s="944">
        <f>IF(A250='Data Entry - SOF'!B$2,'Report-SOF2324'!D$91,0)</f>
        <v>0</v>
      </c>
      <c r="V250" s="723">
        <f>IF(A250='Data Entry - SOF'!B$2,'Data Entry - SOF'!S$102,0)</f>
        <v>0</v>
      </c>
    </row>
    <row r="251" spans="1:22" ht="15.75">
      <c r="A251" s="382" t="s">
        <v>1840</v>
      </c>
      <c r="B251" s="91">
        <v>20295405.325246401</v>
      </c>
      <c r="C251" s="944">
        <f>IF(A251='Data Entry - SOF'!B$2,'Report-SOF1718'!D$102,0)</f>
        <v>0</v>
      </c>
      <c r="D251" s="1037">
        <f>IF(A251='Data Entry - SOF'!B$2,'Data Entry - SOF'!#REF!,0)</f>
        <v>0</v>
      </c>
      <c r="E251" s="91">
        <f t="shared" si="18"/>
        <v>20295405.325246401</v>
      </c>
      <c r="F251" s="944">
        <f>IF(A251='Data Entry - SOF'!B$2,'Report-SOF1819'!D$102,0)</f>
        <v>0</v>
      </c>
      <c r="G251" s="1037">
        <f>IF(A251='Data Entry - SOF'!B$2,'Data Entry - SOF'!E$102,0)</f>
        <v>0</v>
      </c>
      <c r="H251" s="1038">
        <f t="shared" si="20"/>
        <v>20295405.325246401</v>
      </c>
      <c r="I251" s="944">
        <f>IF(A251='Data Entry - SOF'!B$2,'Report-SOF1920-HB3'!D$102,0)</f>
        <v>0</v>
      </c>
      <c r="J251" s="1037">
        <f>IF(A251='Data Entry - SOF'!B$2,'Data Entry - SOF'!G$102,0)</f>
        <v>0</v>
      </c>
      <c r="K251" s="717">
        <f t="shared" si="21"/>
        <v>20295405.325246401</v>
      </c>
      <c r="L251" s="944">
        <f>IF(A251='Data Entry - SOF'!B$2,'Report-SOF2021'!D$99,0)</f>
        <v>0</v>
      </c>
      <c r="M251" s="723">
        <f>IF(A251='Data Entry - SOF'!B$2,'Data Entry - SOF'!M$102,0)</f>
        <v>0</v>
      </c>
      <c r="N251" s="717">
        <f t="shared" si="22"/>
        <v>20295405.325246401</v>
      </c>
      <c r="O251" s="944">
        <f>IF(A251='Data Entry - SOF'!B$2,'Report-SOF2122'!D$91,0)</f>
        <v>0</v>
      </c>
      <c r="P251" s="723">
        <f>IF(A251='Data Entry - SOF'!B$2,'Data Entry - SOF'!O$102,0)</f>
        <v>0</v>
      </c>
      <c r="Q251" s="601">
        <f t="shared" si="19"/>
        <v>20295405.325246401</v>
      </c>
      <c r="R251" s="944">
        <f>IF(A251='Data Entry - SOF'!B$2,'Report-SOF2223'!D$91,0)</f>
        <v>0</v>
      </c>
      <c r="S251" s="723">
        <f>IF(A251='Data Entry - SOF'!B$2,'Data Entry - SOF'!Q$102,0)</f>
        <v>0</v>
      </c>
      <c r="T251" s="601">
        <f t="shared" si="23"/>
        <v>20295405.325246401</v>
      </c>
      <c r="U251" s="944">
        <f>IF(A251='Data Entry - SOF'!B$2,'Report-SOF2324'!D$91,0)</f>
        <v>0</v>
      </c>
      <c r="V251" s="723">
        <f>IF(A251='Data Entry - SOF'!B$2,'Data Entry - SOF'!S$102,0)</f>
        <v>0</v>
      </c>
    </row>
    <row r="252" spans="1:22" ht="15.75">
      <c r="A252" s="382" t="s">
        <v>698</v>
      </c>
      <c r="B252" s="91">
        <v>5633576.7360419799</v>
      </c>
      <c r="C252" s="944">
        <f>IF(A252='Data Entry - SOF'!B$2,'Report-SOF1718'!D$102,0)</f>
        <v>0</v>
      </c>
      <c r="D252" s="1037">
        <f>IF(A252='Data Entry - SOF'!B$2,'Data Entry - SOF'!#REF!,0)</f>
        <v>0</v>
      </c>
      <c r="E252" s="91">
        <f t="shared" si="18"/>
        <v>5633576.7360419799</v>
      </c>
      <c r="F252" s="944">
        <f>IF(A252='Data Entry - SOF'!B$2,'Report-SOF1819'!D$102,0)</f>
        <v>0</v>
      </c>
      <c r="G252" s="1037">
        <f>IF(A252='Data Entry - SOF'!B$2,'Data Entry - SOF'!E$102,0)</f>
        <v>0</v>
      </c>
      <c r="H252" s="1038">
        <f t="shared" si="20"/>
        <v>5633576.7360419799</v>
      </c>
      <c r="I252" s="944">
        <f>IF(A252='Data Entry - SOF'!B$2,'Report-SOF1920-HB3'!D$102,0)</f>
        <v>0</v>
      </c>
      <c r="J252" s="1037">
        <f>IF(A252='Data Entry - SOF'!B$2,'Data Entry - SOF'!G$102,0)</f>
        <v>0</v>
      </c>
      <c r="K252" s="717">
        <f t="shared" si="21"/>
        <v>5633576.7360419799</v>
      </c>
      <c r="L252" s="944">
        <f>IF(A252='Data Entry - SOF'!B$2,'Report-SOF2021'!D$99,0)</f>
        <v>0</v>
      </c>
      <c r="M252" s="723">
        <f>IF(A252='Data Entry - SOF'!B$2,'Data Entry - SOF'!M$102,0)</f>
        <v>0</v>
      </c>
      <c r="N252" s="717">
        <f t="shared" si="22"/>
        <v>5633576.7360419799</v>
      </c>
      <c r="O252" s="944">
        <f>IF(A252='Data Entry - SOF'!B$2,'Report-SOF2122'!D$91,0)</f>
        <v>0</v>
      </c>
      <c r="P252" s="723">
        <f>IF(A252='Data Entry - SOF'!B$2,'Data Entry - SOF'!O$102,0)</f>
        <v>0</v>
      </c>
      <c r="Q252" s="601">
        <f t="shared" si="19"/>
        <v>5633576.7360419799</v>
      </c>
      <c r="R252" s="944">
        <f>IF(A252='Data Entry - SOF'!B$2,'Report-SOF2223'!D$91,0)</f>
        <v>0</v>
      </c>
      <c r="S252" s="723">
        <f>IF(A252='Data Entry - SOF'!B$2,'Data Entry - SOF'!Q$102,0)</f>
        <v>0</v>
      </c>
      <c r="T252" s="601">
        <f t="shared" si="23"/>
        <v>5633576.7360419799</v>
      </c>
      <c r="U252" s="944">
        <f>IF(A252='Data Entry - SOF'!B$2,'Report-SOF2324'!D$91,0)</f>
        <v>0</v>
      </c>
      <c r="V252" s="723">
        <f>IF(A252='Data Entry - SOF'!B$2,'Data Entry - SOF'!S$102,0)</f>
        <v>0</v>
      </c>
    </row>
    <row r="253" spans="1:22" ht="15.75">
      <c r="A253" s="382" t="s">
        <v>299</v>
      </c>
      <c r="B253" s="91">
        <v>1507686</v>
      </c>
      <c r="C253" s="944">
        <f>IF(A253='Data Entry - SOF'!B$2,'Report-SOF1718'!D$102,0)</f>
        <v>0</v>
      </c>
      <c r="D253" s="1037">
        <f>IF(A253='Data Entry - SOF'!B$2,'Data Entry - SOF'!#REF!,0)</f>
        <v>0</v>
      </c>
      <c r="E253" s="91">
        <f t="shared" si="18"/>
        <v>1507686</v>
      </c>
      <c r="F253" s="944">
        <f>IF(A253='Data Entry - SOF'!B$2,'Report-SOF1819'!D$102,0)</f>
        <v>0</v>
      </c>
      <c r="G253" s="1037">
        <f>IF(A253='Data Entry - SOF'!B$2,'Data Entry - SOF'!E$102,0)</f>
        <v>0</v>
      </c>
      <c r="H253" s="1038">
        <f t="shared" si="20"/>
        <v>1507686</v>
      </c>
      <c r="I253" s="944">
        <f>IF(A253='Data Entry - SOF'!B$2,'Report-SOF1920-HB3'!D$102,0)</f>
        <v>0</v>
      </c>
      <c r="J253" s="1037">
        <f>IF(A253='Data Entry - SOF'!B$2,'Data Entry - SOF'!G$102,0)</f>
        <v>0</v>
      </c>
      <c r="K253" s="717">
        <f t="shared" si="21"/>
        <v>1507686</v>
      </c>
      <c r="L253" s="944">
        <f>IF(A253='Data Entry - SOF'!B$2,'Report-SOF2021'!D$99,0)</f>
        <v>0</v>
      </c>
      <c r="M253" s="723">
        <f>IF(A253='Data Entry - SOF'!B$2,'Data Entry - SOF'!M$102,0)</f>
        <v>0</v>
      </c>
      <c r="N253" s="717">
        <f t="shared" si="22"/>
        <v>1507686</v>
      </c>
      <c r="O253" s="944">
        <f>IF(A253='Data Entry - SOF'!B$2,'Report-SOF2122'!D$91,0)</f>
        <v>0</v>
      </c>
      <c r="P253" s="723">
        <f>IF(A253='Data Entry - SOF'!B$2,'Data Entry - SOF'!O$102,0)</f>
        <v>0</v>
      </c>
      <c r="Q253" s="601">
        <f t="shared" si="19"/>
        <v>1507686</v>
      </c>
      <c r="R253" s="944">
        <f>IF(A253='Data Entry - SOF'!B$2,'Report-SOF2223'!D$91,0)</f>
        <v>0</v>
      </c>
      <c r="S253" s="723">
        <f>IF(A253='Data Entry - SOF'!B$2,'Data Entry - SOF'!Q$102,0)</f>
        <v>0</v>
      </c>
      <c r="T253" s="601">
        <f t="shared" si="23"/>
        <v>1507686</v>
      </c>
      <c r="U253" s="944">
        <f>IF(A253='Data Entry - SOF'!B$2,'Report-SOF2324'!D$91,0)</f>
        <v>0</v>
      </c>
      <c r="V253" s="723">
        <f>IF(A253='Data Entry - SOF'!B$2,'Data Entry - SOF'!S$102,0)</f>
        <v>0</v>
      </c>
    </row>
    <row r="254" spans="1:22" ht="15.75">
      <c r="A254" s="382" t="s">
        <v>175</v>
      </c>
      <c r="B254" s="91">
        <v>5079336</v>
      </c>
      <c r="C254" s="944">
        <f>IF(A254='Data Entry - SOF'!B$2,'Report-SOF1718'!D$102,0)</f>
        <v>0</v>
      </c>
      <c r="D254" s="1037">
        <f>IF(A254='Data Entry - SOF'!B$2,'Data Entry - SOF'!#REF!,0)</f>
        <v>0</v>
      </c>
      <c r="E254" s="91">
        <f t="shared" si="18"/>
        <v>5079336</v>
      </c>
      <c r="F254" s="944">
        <f>IF(A254='Data Entry - SOF'!B$2,'Report-SOF1819'!D$102,0)</f>
        <v>0</v>
      </c>
      <c r="G254" s="1037">
        <f>IF(A254='Data Entry - SOF'!B$2,'Data Entry - SOF'!E$102,0)</f>
        <v>0</v>
      </c>
      <c r="H254" s="1038">
        <f t="shared" si="20"/>
        <v>5079336</v>
      </c>
      <c r="I254" s="944">
        <f>IF(A254='Data Entry - SOF'!B$2,'Report-SOF1920-HB3'!D$102,0)</f>
        <v>0</v>
      </c>
      <c r="J254" s="1037">
        <f>IF(A254='Data Entry - SOF'!B$2,'Data Entry - SOF'!G$102,0)</f>
        <v>0</v>
      </c>
      <c r="K254" s="717">
        <f t="shared" si="21"/>
        <v>5079336</v>
      </c>
      <c r="L254" s="944">
        <f>IF(A254='Data Entry - SOF'!B$2,'Report-SOF2021'!D$99,0)</f>
        <v>0</v>
      </c>
      <c r="M254" s="723">
        <f>IF(A254='Data Entry - SOF'!B$2,'Data Entry - SOF'!M$102,0)</f>
        <v>0</v>
      </c>
      <c r="N254" s="717">
        <f t="shared" si="22"/>
        <v>5079336</v>
      </c>
      <c r="O254" s="944">
        <f>IF(A254='Data Entry - SOF'!B$2,'Report-SOF2122'!D$91,0)</f>
        <v>0</v>
      </c>
      <c r="P254" s="723">
        <f>IF(A254='Data Entry - SOF'!B$2,'Data Entry - SOF'!O$102,0)</f>
        <v>0</v>
      </c>
      <c r="Q254" s="601">
        <f t="shared" si="19"/>
        <v>5079336</v>
      </c>
      <c r="R254" s="944">
        <f>IF(A254='Data Entry - SOF'!B$2,'Report-SOF2223'!D$91,0)</f>
        <v>0</v>
      </c>
      <c r="S254" s="723">
        <f>IF(A254='Data Entry - SOF'!B$2,'Data Entry - SOF'!Q$102,0)</f>
        <v>0</v>
      </c>
      <c r="T254" s="601">
        <f t="shared" si="23"/>
        <v>5079336</v>
      </c>
      <c r="U254" s="944">
        <f>IF(A254='Data Entry - SOF'!B$2,'Report-SOF2324'!D$91,0)</f>
        <v>0</v>
      </c>
      <c r="V254" s="723">
        <f>IF(A254='Data Entry - SOF'!B$2,'Data Entry - SOF'!S$102,0)</f>
        <v>0</v>
      </c>
    </row>
    <row r="255" spans="1:22" ht="15.75">
      <c r="A255" s="382" t="s">
        <v>176</v>
      </c>
      <c r="B255" s="91">
        <v>868021</v>
      </c>
      <c r="C255" s="944">
        <f>IF(A255='Data Entry - SOF'!B$2,'Report-SOF1718'!D$102,0)</f>
        <v>0</v>
      </c>
      <c r="D255" s="1037">
        <f>IF(A255='Data Entry - SOF'!B$2,'Data Entry - SOF'!#REF!,0)</f>
        <v>0</v>
      </c>
      <c r="E255" s="91">
        <f t="shared" si="18"/>
        <v>868021</v>
      </c>
      <c r="F255" s="944">
        <f>IF(A255='Data Entry - SOF'!B$2,'Report-SOF1819'!D$102,0)</f>
        <v>0</v>
      </c>
      <c r="G255" s="1037">
        <f>IF(A255='Data Entry - SOF'!B$2,'Data Entry - SOF'!E$102,0)</f>
        <v>0</v>
      </c>
      <c r="H255" s="1038">
        <f t="shared" si="20"/>
        <v>868021</v>
      </c>
      <c r="I255" s="944">
        <f>IF(A255='Data Entry - SOF'!B$2,'Report-SOF1920-HB3'!D$102,0)</f>
        <v>0</v>
      </c>
      <c r="J255" s="1037">
        <f>IF(A255='Data Entry - SOF'!B$2,'Data Entry - SOF'!G$102,0)</f>
        <v>0</v>
      </c>
      <c r="K255" s="717">
        <f t="shared" si="21"/>
        <v>868021</v>
      </c>
      <c r="L255" s="944">
        <f>IF(A255='Data Entry - SOF'!B$2,'Report-SOF2021'!D$99,0)</f>
        <v>0</v>
      </c>
      <c r="M255" s="723">
        <f>IF(A255='Data Entry - SOF'!B$2,'Data Entry - SOF'!M$102,0)</f>
        <v>0</v>
      </c>
      <c r="N255" s="717">
        <f t="shared" si="22"/>
        <v>868021</v>
      </c>
      <c r="O255" s="944">
        <f>IF(A255='Data Entry - SOF'!B$2,'Report-SOF2122'!D$91,0)</f>
        <v>0</v>
      </c>
      <c r="P255" s="723">
        <f>IF(A255='Data Entry - SOF'!B$2,'Data Entry - SOF'!O$102,0)</f>
        <v>0</v>
      </c>
      <c r="Q255" s="601">
        <f t="shared" si="19"/>
        <v>868021</v>
      </c>
      <c r="R255" s="944">
        <f>IF(A255='Data Entry - SOF'!B$2,'Report-SOF2223'!D$91,0)</f>
        <v>0</v>
      </c>
      <c r="S255" s="723">
        <f>IF(A255='Data Entry - SOF'!B$2,'Data Entry - SOF'!Q$102,0)</f>
        <v>0</v>
      </c>
      <c r="T255" s="601">
        <f t="shared" si="23"/>
        <v>868021</v>
      </c>
      <c r="U255" s="944">
        <f>IF(A255='Data Entry - SOF'!B$2,'Report-SOF2324'!D$91,0)</f>
        <v>0</v>
      </c>
      <c r="V255" s="723">
        <f>IF(A255='Data Entry - SOF'!B$2,'Data Entry - SOF'!S$102,0)</f>
        <v>0</v>
      </c>
    </row>
    <row r="256" spans="1:22" ht="15.75">
      <c r="A256" s="382" t="s">
        <v>718</v>
      </c>
      <c r="B256" s="91">
        <v>40348838.4279112</v>
      </c>
      <c r="C256" s="944">
        <f>IF(A256='Data Entry - SOF'!B$2,'Report-SOF1718'!D$102,0)</f>
        <v>0</v>
      </c>
      <c r="D256" s="1037">
        <f>IF(A256='Data Entry - SOF'!B$2,'Data Entry - SOF'!#REF!,0)</f>
        <v>0</v>
      </c>
      <c r="E256" s="91">
        <f t="shared" si="18"/>
        <v>40348838.4279112</v>
      </c>
      <c r="F256" s="944">
        <f>IF(A256='Data Entry - SOF'!B$2,'Report-SOF1819'!D$102,0)</f>
        <v>0</v>
      </c>
      <c r="G256" s="1037">
        <f>IF(A256='Data Entry - SOF'!B$2,'Data Entry - SOF'!E$102,0)</f>
        <v>0</v>
      </c>
      <c r="H256" s="1038">
        <f t="shared" si="20"/>
        <v>40348838.4279112</v>
      </c>
      <c r="I256" s="944">
        <f>IF(A256='Data Entry - SOF'!B$2,'Report-SOF1920-HB3'!D$102,0)</f>
        <v>0</v>
      </c>
      <c r="J256" s="1037">
        <f>IF(A256='Data Entry - SOF'!B$2,'Data Entry - SOF'!G$102,0)</f>
        <v>0</v>
      </c>
      <c r="K256" s="717">
        <f t="shared" si="21"/>
        <v>40348838.4279112</v>
      </c>
      <c r="L256" s="944">
        <f>IF(A256='Data Entry - SOF'!B$2,'Report-SOF2021'!D$99,0)</f>
        <v>0</v>
      </c>
      <c r="M256" s="723">
        <f>IF(A256='Data Entry - SOF'!B$2,'Data Entry - SOF'!M$102,0)</f>
        <v>0</v>
      </c>
      <c r="N256" s="717">
        <f t="shared" si="22"/>
        <v>40348838.4279112</v>
      </c>
      <c r="O256" s="944">
        <f>IF(A256='Data Entry - SOF'!B$2,'Report-SOF2122'!D$91,0)</f>
        <v>0</v>
      </c>
      <c r="P256" s="723">
        <f>IF(A256='Data Entry - SOF'!B$2,'Data Entry - SOF'!O$102,0)</f>
        <v>0</v>
      </c>
      <c r="Q256" s="601">
        <f t="shared" si="19"/>
        <v>40348838.4279112</v>
      </c>
      <c r="R256" s="944">
        <f>IF(A256='Data Entry - SOF'!B$2,'Report-SOF2223'!D$91,0)</f>
        <v>0</v>
      </c>
      <c r="S256" s="723">
        <f>IF(A256='Data Entry - SOF'!B$2,'Data Entry - SOF'!Q$102,0)</f>
        <v>0</v>
      </c>
      <c r="T256" s="601">
        <f t="shared" si="23"/>
        <v>40348838.4279112</v>
      </c>
      <c r="U256" s="944">
        <f>IF(A256='Data Entry - SOF'!B$2,'Report-SOF2324'!D$91,0)</f>
        <v>0</v>
      </c>
      <c r="V256" s="723">
        <f>IF(A256='Data Entry - SOF'!B$2,'Data Entry - SOF'!S$102,0)</f>
        <v>0</v>
      </c>
    </row>
    <row r="257" spans="1:22" ht="15.75">
      <c r="A257" s="382" t="s">
        <v>2629</v>
      </c>
      <c r="B257" s="91">
        <v>822448</v>
      </c>
      <c r="C257" s="944">
        <f>IF(A257='Data Entry - SOF'!B$2,'Report-SOF1718'!D$102,0)</f>
        <v>0</v>
      </c>
      <c r="D257" s="1037">
        <f>IF(A257='Data Entry - SOF'!B$2,'Data Entry - SOF'!#REF!,0)</f>
        <v>0</v>
      </c>
      <c r="E257" s="91">
        <f t="shared" si="18"/>
        <v>822448</v>
      </c>
      <c r="F257" s="944">
        <f>IF(A257='Data Entry - SOF'!B$2,'Report-SOF1819'!D$102,0)</f>
        <v>0</v>
      </c>
      <c r="G257" s="1037">
        <f>IF(A257='Data Entry - SOF'!B$2,'Data Entry - SOF'!E$102,0)</f>
        <v>0</v>
      </c>
      <c r="H257" s="1038">
        <f t="shared" si="20"/>
        <v>822448</v>
      </c>
      <c r="I257" s="944">
        <f>IF(A257='Data Entry - SOF'!B$2,'Report-SOF1920-HB3'!D$102,0)</f>
        <v>0</v>
      </c>
      <c r="J257" s="1037">
        <f>IF(A257='Data Entry - SOF'!B$2,'Data Entry - SOF'!G$102,0)</f>
        <v>0</v>
      </c>
      <c r="K257" s="717">
        <f t="shared" si="21"/>
        <v>822448</v>
      </c>
      <c r="L257" s="944">
        <f>IF(A257='Data Entry - SOF'!B$2,'Report-SOF2021'!D$99,0)</f>
        <v>0</v>
      </c>
      <c r="M257" s="723">
        <f>IF(A257='Data Entry - SOF'!B$2,'Data Entry - SOF'!M$102,0)</f>
        <v>0</v>
      </c>
      <c r="N257" s="717">
        <f t="shared" si="22"/>
        <v>822448</v>
      </c>
      <c r="O257" s="944">
        <f>IF(A257='Data Entry - SOF'!B$2,'Report-SOF2122'!D$91,0)</f>
        <v>0</v>
      </c>
      <c r="P257" s="723">
        <f>IF(A257='Data Entry - SOF'!B$2,'Data Entry - SOF'!O$102,0)</f>
        <v>0</v>
      </c>
      <c r="Q257" s="601">
        <f t="shared" si="19"/>
        <v>822448</v>
      </c>
      <c r="R257" s="944">
        <f>IF(A257='Data Entry - SOF'!B$2,'Report-SOF2223'!D$91,0)</f>
        <v>0</v>
      </c>
      <c r="S257" s="723">
        <f>IF(A257='Data Entry - SOF'!B$2,'Data Entry - SOF'!Q$102,0)</f>
        <v>0</v>
      </c>
      <c r="T257" s="601">
        <f t="shared" si="23"/>
        <v>822448</v>
      </c>
      <c r="U257" s="944">
        <f>IF(A257='Data Entry - SOF'!B$2,'Report-SOF2324'!D$91,0)</f>
        <v>0</v>
      </c>
      <c r="V257" s="723">
        <f>IF(A257='Data Entry - SOF'!B$2,'Data Entry - SOF'!S$102,0)</f>
        <v>0</v>
      </c>
    </row>
    <row r="258" spans="1:22" ht="15.75">
      <c r="A258" s="382" t="s">
        <v>1556</v>
      </c>
      <c r="B258" s="91">
        <v>314227</v>
      </c>
      <c r="C258" s="944">
        <f>IF(A258='Data Entry - SOF'!B$2,'Report-SOF1718'!D$102,0)</f>
        <v>0</v>
      </c>
      <c r="D258" s="1037">
        <f>IF(A258='Data Entry - SOF'!B$2,'Data Entry - SOF'!#REF!,0)</f>
        <v>0</v>
      </c>
      <c r="E258" s="91">
        <f t="shared" si="18"/>
        <v>314227</v>
      </c>
      <c r="F258" s="944">
        <f>IF(A258='Data Entry - SOF'!B$2,'Report-SOF1819'!D$102,0)</f>
        <v>0</v>
      </c>
      <c r="G258" s="1037">
        <f>IF(A258='Data Entry - SOF'!B$2,'Data Entry - SOF'!E$102,0)</f>
        <v>0</v>
      </c>
      <c r="H258" s="1038">
        <f t="shared" si="20"/>
        <v>314227</v>
      </c>
      <c r="I258" s="944">
        <f>IF(A258='Data Entry - SOF'!B$2,'Report-SOF1920-HB3'!D$102,0)</f>
        <v>0</v>
      </c>
      <c r="J258" s="1037">
        <f>IF(A258='Data Entry - SOF'!B$2,'Data Entry - SOF'!G$102,0)</f>
        <v>0</v>
      </c>
      <c r="K258" s="717">
        <f t="shared" si="21"/>
        <v>314227</v>
      </c>
      <c r="L258" s="944">
        <f>IF(A258='Data Entry - SOF'!B$2,'Report-SOF2021'!D$99,0)</f>
        <v>0</v>
      </c>
      <c r="M258" s="723">
        <f>IF(A258='Data Entry - SOF'!B$2,'Data Entry - SOF'!M$102,0)</f>
        <v>0</v>
      </c>
      <c r="N258" s="717">
        <f t="shared" si="22"/>
        <v>314227</v>
      </c>
      <c r="O258" s="944">
        <f>IF(A258='Data Entry - SOF'!B$2,'Report-SOF2122'!D$91,0)</f>
        <v>0</v>
      </c>
      <c r="P258" s="723">
        <f>IF(A258='Data Entry - SOF'!B$2,'Data Entry - SOF'!O$102,0)</f>
        <v>0</v>
      </c>
      <c r="Q258" s="601">
        <f t="shared" si="19"/>
        <v>314227</v>
      </c>
      <c r="R258" s="944">
        <f>IF(A258='Data Entry - SOF'!B$2,'Report-SOF2223'!D$91,0)</f>
        <v>0</v>
      </c>
      <c r="S258" s="723">
        <f>IF(A258='Data Entry - SOF'!B$2,'Data Entry - SOF'!Q$102,0)</f>
        <v>0</v>
      </c>
      <c r="T258" s="601">
        <f t="shared" si="23"/>
        <v>314227</v>
      </c>
      <c r="U258" s="944">
        <f>IF(A258='Data Entry - SOF'!B$2,'Report-SOF2324'!D$91,0)</f>
        <v>0</v>
      </c>
      <c r="V258" s="723">
        <f>IF(A258='Data Entry - SOF'!B$2,'Data Entry - SOF'!S$102,0)</f>
        <v>0</v>
      </c>
    </row>
    <row r="259" spans="1:22" ht="15.75">
      <c r="A259" s="382" t="s">
        <v>2630</v>
      </c>
      <c r="B259" s="91">
        <v>261907</v>
      </c>
      <c r="C259" s="944">
        <f>IF(A259='Data Entry - SOF'!B$2,'Report-SOF1718'!D$102,0)</f>
        <v>0</v>
      </c>
      <c r="D259" s="1037">
        <f>IF(A259='Data Entry - SOF'!B$2,'Data Entry - SOF'!#REF!,0)</f>
        <v>0</v>
      </c>
      <c r="E259" s="91">
        <f t="shared" si="18"/>
        <v>261907</v>
      </c>
      <c r="F259" s="944">
        <f>IF(A259='Data Entry - SOF'!B$2,'Report-SOF1819'!D$102,0)</f>
        <v>0</v>
      </c>
      <c r="G259" s="1037">
        <f>IF(A259='Data Entry - SOF'!B$2,'Data Entry - SOF'!E$102,0)</f>
        <v>0</v>
      </c>
      <c r="H259" s="1038">
        <f t="shared" si="20"/>
        <v>261907</v>
      </c>
      <c r="I259" s="944">
        <f>IF(A259='Data Entry - SOF'!B$2,'Report-SOF1920-HB3'!D$102,0)</f>
        <v>0</v>
      </c>
      <c r="J259" s="1037">
        <f>IF(A259='Data Entry - SOF'!B$2,'Data Entry - SOF'!G$102,0)</f>
        <v>0</v>
      </c>
      <c r="K259" s="717">
        <f t="shared" si="21"/>
        <v>261907</v>
      </c>
      <c r="L259" s="944">
        <f>IF(A259='Data Entry - SOF'!B$2,'Report-SOF2021'!D$99,0)</f>
        <v>0</v>
      </c>
      <c r="M259" s="723">
        <f>IF(A259='Data Entry - SOF'!B$2,'Data Entry - SOF'!M$102,0)</f>
        <v>0</v>
      </c>
      <c r="N259" s="717">
        <f t="shared" si="22"/>
        <v>261907</v>
      </c>
      <c r="O259" s="944">
        <f>IF(A259='Data Entry - SOF'!B$2,'Report-SOF2122'!D$91,0)</f>
        <v>0</v>
      </c>
      <c r="P259" s="723">
        <f>IF(A259='Data Entry - SOF'!B$2,'Data Entry - SOF'!O$102,0)</f>
        <v>0</v>
      </c>
      <c r="Q259" s="601">
        <f t="shared" si="19"/>
        <v>261907</v>
      </c>
      <c r="R259" s="944">
        <f>IF(A259='Data Entry - SOF'!B$2,'Report-SOF2223'!D$91,0)</f>
        <v>0</v>
      </c>
      <c r="S259" s="723">
        <f>IF(A259='Data Entry - SOF'!B$2,'Data Entry - SOF'!Q$102,0)</f>
        <v>0</v>
      </c>
      <c r="T259" s="601">
        <f t="shared" si="23"/>
        <v>261907</v>
      </c>
      <c r="U259" s="944">
        <f>IF(A259='Data Entry - SOF'!B$2,'Report-SOF2324'!D$91,0)</f>
        <v>0</v>
      </c>
      <c r="V259" s="723">
        <f>IF(A259='Data Entry - SOF'!B$2,'Data Entry - SOF'!S$102,0)</f>
        <v>0</v>
      </c>
    </row>
    <row r="260" spans="1:22" ht="15.75">
      <c r="A260" s="382" t="s">
        <v>2631</v>
      </c>
      <c r="B260" s="91">
        <v>4479622</v>
      </c>
      <c r="C260" s="944">
        <f>IF(A260='Data Entry - SOF'!B$2,'Report-SOF1718'!D$102,0)</f>
        <v>0</v>
      </c>
      <c r="D260" s="1037">
        <f>IF(A260='Data Entry - SOF'!B$2,'Data Entry - SOF'!#REF!,0)</f>
        <v>0</v>
      </c>
      <c r="E260" s="91">
        <f t="shared" ref="E260:E323" si="24">IF(B260+C260-D260&lt;=0,0,B260+C260-D260)</f>
        <v>4479622</v>
      </c>
      <c r="F260" s="944">
        <f>IF(A260='Data Entry - SOF'!B$2,'Report-SOF1819'!D$102,0)</f>
        <v>0</v>
      </c>
      <c r="G260" s="1037">
        <f>IF(A260='Data Entry - SOF'!B$2,'Data Entry - SOF'!E$102,0)</f>
        <v>0</v>
      </c>
      <c r="H260" s="1038">
        <f t="shared" si="20"/>
        <v>4479622</v>
      </c>
      <c r="I260" s="944">
        <f>IF(A260='Data Entry - SOF'!B$2,'Report-SOF1920-HB3'!D$102,0)</f>
        <v>0</v>
      </c>
      <c r="J260" s="1037">
        <f>IF(A260='Data Entry - SOF'!B$2,'Data Entry - SOF'!G$102,0)</f>
        <v>0</v>
      </c>
      <c r="K260" s="717">
        <f t="shared" si="21"/>
        <v>4479622</v>
      </c>
      <c r="L260" s="944">
        <f>IF(A260='Data Entry - SOF'!B$2,'Report-SOF2021'!D$99,0)</f>
        <v>0</v>
      </c>
      <c r="M260" s="723">
        <f>IF(A260='Data Entry - SOF'!B$2,'Data Entry - SOF'!M$102,0)</f>
        <v>0</v>
      </c>
      <c r="N260" s="717">
        <f t="shared" si="22"/>
        <v>4479622</v>
      </c>
      <c r="O260" s="944">
        <f>IF(A260='Data Entry - SOF'!B$2,'Report-SOF2122'!D$91,0)</f>
        <v>0</v>
      </c>
      <c r="P260" s="723">
        <f>IF(A260='Data Entry - SOF'!B$2,'Data Entry - SOF'!O$102,0)</f>
        <v>0</v>
      </c>
      <c r="Q260" s="601">
        <f t="shared" ref="Q260:Q323" si="25">IF(N260+O260-P260&lt;=0,0,N260+O260-P260)</f>
        <v>4479622</v>
      </c>
      <c r="R260" s="944">
        <f>IF(A260='Data Entry - SOF'!B$2,'Report-SOF2223'!D$91,0)</f>
        <v>0</v>
      </c>
      <c r="S260" s="723">
        <f>IF(A260='Data Entry - SOF'!B$2,'Data Entry - SOF'!Q$102,0)</f>
        <v>0</v>
      </c>
      <c r="T260" s="601">
        <f t="shared" si="23"/>
        <v>4479622</v>
      </c>
      <c r="U260" s="944">
        <f>IF(A260='Data Entry - SOF'!B$2,'Report-SOF2324'!D$91,0)</f>
        <v>0</v>
      </c>
      <c r="V260" s="723">
        <f>IF(A260='Data Entry - SOF'!B$2,'Data Entry - SOF'!S$102,0)</f>
        <v>0</v>
      </c>
    </row>
    <row r="261" spans="1:22" ht="15.75">
      <c r="A261" s="382" t="s">
        <v>719</v>
      </c>
      <c r="B261" s="91">
        <v>1897876</v>
      </c>
      <c r="C261" s="944">
        <f>IF(A261='Data Entry - SOF'!B$2,'Report-SOF1718'!D$102,0)</f>
        <v>0</v>
      </c>
      <c r="D261" s="1037">
        <f>IF(A261='Data Entry - SOF'!B$2,'Data Entry - SOF'!#REF!,0)</f>
        <v>0</v>
      </c>
      <c r="E261" s="91">
        <f t="shared" si="24"/>
        <v>1897876</v>
      </c>
      <c r="F261" s="944">
        <f>IF(A261='Data Entry - SOF'!B$2,'Report-SOF1819'!D$102,0)</f>
        <v>0</v>
      </c>
      <c r="G261" s="1037">
        <f>IF(A261='Data Entry - SOF'!B$2,'Data Entry - SOF'!E$102,0)</f>
        <v>0</v>
      </c>
      <c r="H261" s="1038">
        <f t="shared" ref="H261:H324" si="26">IF(E261+F261-G261&lt;=0,0,E261+F261-G261)</f>
        <v>1897876</v>
      </c>
      <c r="I261" s="944">
        <f>IF(A261='Data Entry - SOF'!B$2,'Report-SOF1920-HB3'!D$102,0)</f>
        <v>0</v>
      </c>
      <c r="J261" s="1037">
        <f>IF(A261='Data Entry - SOF'!B$2,'Data Entry - SOF'!G$102,0)</f>
        <v>0</v>
      </c>
      <c r="K261" s="717">
        <f t="shared" ref="K261:K324" si="27">IF(H261+I261-J261&lt;=0,0,H261+I261-J261)</f>
        <v>1897876</v>
      </c>
      <c r="L261" s="944">
        <f>IF(A261='Data Entry - SOF'!B$2,'Report-SOF2021'!D$99,0)</f>
        <v>0</v>
      </c>
      <c r="M261" s="723">
        <f>IF(A261='Data Entry - SOF'!B$2,'Data Entry - SOF'!M$102,0)</f>
        <v>0</v>
      </c>
      <c r="N261" s="717">
        <f t="shared" ref="N261:N324" si="28">IF(K261+L261-M261&lt;=0,0,K261+L261-M261)</f>
        <v>1897876</v>
      </c>
      <c r="O261" s="944">
        <f>IF(A261='Data Entry - SOF'!B$2,'Report-SOF2122'!D$91,0)</f>
        <v>0</v>
      </c>
      <c r="P261" s="723">
        <f>IF(A261='Data Entry - SOF'!B$2,'Data Entry - SOF'!O$102,0)</f>
        <v>0</v>
      </c>
      <c r="Q261" s="601">
        <f t="shared" si="25"/>
        <v>1897876</v>
      </c>
      <c r="R261" s="944">
        <f>IF(A261='Data Entry - SOF'!B$2,'Report-SOF2223'!D$91,0)</f>
        <v>0</v>
      </c>
      <c r="S261" s="723">
        <f>IF(A261='Data Entry - SOF'!B$2,'Data Entry - SOF'!Q$102,0)</f>
        <v>0</v>
      </c>
      <c r="T261" s="601">
        <f t="shared" ref="T261:T324" si="29">IF(P261+Q261-S261&lt;=0,0,P261+Q261-S261)</f>
        <v>1897876</v>
      </c>
      <c r="U261" s="944">
        <f>IF(A261='Data Entry - SOF'!B$2,'Report-SOF2324'!D$91,0)</f>
        <v>0</v>
      </c>
      <c r="V261" s="723">
        <f>IF(A261='Data Entry - SOF'!B$2,'Data Entry - SOF'!S$102,0)</f>
        <v>0</v>
      </c>
    </row>
    <row r="262" spans="1:22" ht="15.75">
      <c r="A262" s="382" t="s">
        <v>678</v>
      </c>
      <c r="B262" s="91">
        <v>12995739</v>
      </c>
      <c r="C262" s="944">
        <f>IF(A262='Data Entry - SOF'!B$2,'Report-SOF1718'!D$102,0)</f>
        <v>0</v>
      </c>
      <c r="D262" s="1037">
        <f>IF(A262='Data Entry - SOF'!B$2,'Data Entry - SOF'!#REF!,0)</f>
        <v>0</v>
      </c>
      <c r="E262" s="91">
        <f t="shared" si="24"/>
        <v>12995739</v>
      </c>
      <c r="F262" s="944">
        <f>IF(A262='Data Entry - SOF'!B$2,'Report-SOF1819'!D$102,0)</f>
        <v>0</v>
      </c>
      <c r="G262" s="1037">
        <f>IF(A262='Data Entry - SOF'!B$2,'Data Entry - SOF'!E$102,0)</f>
        <v>0</v>
      </c>
      <c r="H262" s="1038">
        <f t="shared" si="26"/>
        <v>12995739</v>
      </c>
      <c r="I262" s="944">
        <f>IF(A262='Data Entry - SOF'!B$2,'Report-SOF1920-HB3'!D$102,0)</f>
        <v>0</v>
      </c>
      <c r="J262" s="1037">
        <f>IF(A262='Data Entry - SOF'!B$2,'Data Entry - SOF'!G$102,0)</f>
        <v>0</v>
      </c>
      <c r="K262" s="717">
        <f t="shared" si="27"/>
        <v>12995739</v>
      </c>
      <c r="L262" s="944">
        <f>IF(A262='Data Entry - SOF'!B$2,'Report-SOF2021'!D$99,0)</f>
        <v>0</v>
      </c>
      <c r="M262" s="723">
        <f>IF(A262='Data Entry - SOF'!B$2,'Data Entry - SOF'!M$102,0)</f>
        <v>0</v>
      </c>
      <c r="N262" s="717">
        <f t="shared" si="28"/>
        <v>12995739</v>
      </c>
      <c r="O262" s="944">
        <f>IF(A262='Data Entry - SOF'!B$2,'Report-SOF2122'!D$91,0)</f>
        <v>0</v>
      </c>
      <c r="P262" s="723">
        <f>IF(A262='Data Entry - SOF'!B$2,'Data Entry - SOF'!O$102,0)</f>
        <v>0</v>
      </c>
      <c r="Q262" s="601">
        <f t="shared" si="25"/>
        <v>12995739</v>
      </c>
      <c r="R262" s="944">
        <f>IF(A262='Data Entry - SOF'!B$2,'Report-SOF2223'!D$91,0)</f>
        <v>0</v>
      </c>
      <c r="S262" s="723">
        <f>IF(A262='Data Entry - SOF'!B$2,'Data Entry - SOF'!Q$102,0)</f>
        <v>0</v>
      </c>
      <c r="T262" s="601">
        <f t="shared" si="29"/>
        <v>12995739</v>
      </c>
      <c r="U262" s="944">
        <f>IF(A262='Data Entry - SOF'!B$2,'Report-SOF2324'!D$91,0)</f>
        <v>0</v>
      </c>
      <c r="V262" s="723">
        <f>IF(A262='Data Entry - SOF'!B$2,'Data Entry - SOF'!S$102,0)</f>
        <v>0</v>
      </c>
    </row>
    <row r="263" spans="1:22" ht="15.75">
      <c r="A263" s="382" t="s">
        <v>2149</v>
      </c>
      <c r="B263" s="91">
        <v>2021164</v>
      </c>
      <c r="C263" s="944">
        <f>IF(A263='Data Entry - SOF'!B$2,'Report-SOF1718'!D$102,0)</f>
        <v>0</v>
      </c>
      <c r="D263" s="1037">
        <f>IF(A263='Data Entry - SOF'!B$2,'Data Entry - SOF'!#REF!,0)</f>
        <v>0</v>
      </c>
      <c r="E263" s="91">
        <f t="shared" si="24"/>
        <v>2021164</v>
      </c>
      <c r="F263" s="944">
        <f>IF(A263='Data Entry - SOF'!B$2,'Report-SOF1819'!D$102,0)</f>
        <v>0</v>
      </c>
      <c r="G263" s="1037">
        <f>IF(A263='Data Entry - SOF'!B$2,'Data Entry - SOF'!E$102,0)</f>
        <v>0</v>
      </c>
      <c r="H263" s="1038">
        <f t="shared" si="26"/>
        <v>2021164</v>
      </c>
      <c r="I263" s="944">
        <f>IF(A263='Data Entry - SOF'!B$2,'Report-SOF1920-HB3'!D$102,0)</f>
        <v>0</v>
      </c>
      <c r="J263" s="1037">
        <f>IF(A263='Data Entry - SOF'!B$2,'Data Entry - SOF'!G$102,0)</f>
        <v>0</v>
      </c>
      <c r="K263" s="717">
        <f t="shared" si="27"/>
        <v>2021164</v>
      </c>
      <c r="L263" s="944">
        <f>IF(A263='Data Entry - SOF'!B$2,'Report-SOF2021'!D$99,0)</f>
        <v>0</v>
      </c>
      <c r="M263" s="723">
        <f>IF(A263='Data Entry - SOF'!B$2,'Data Entry - SOF'!M$102,0)</f>
        <v>0</v>
      </c>
      <c r="N263" s="717">
        <f t="shared" si="28"/>
        <v>2021164</v>
      </c>
      <c r="O263" s="944">
        <f>IF(A263='Data Entry - SOF'!B$2,'Report-SOF2122'!D$91,0)</f>
        <v>0</v>
      </c>
      <c r="P263" s="723">
        <f>IF(A263='Data Entry - SOF'!B$2,'Data Entry - SOF'!O$102,0)</f>
        <v>0</v>
      </c>
      <c r="Q263" s="601">
        <f t="shared" si="25"/>
        <v>2021164</v>
      </c>
      <c r="R263" s="944">
        <f>IF(A263='Data Entry - SOF'!B$2,'Report-SOF2223'!D$91,0)</f>
        <v>0</v>
      </c>
      <c r="S263" s="723">
        <f>IF(A263='Data Entry - SOF'!B$2,'Data Entry - SOF'!Q$102,0)</f>
        <v>0</v>
      </c>
      <c r="T263" s="601">
        <f t="shared" si="29"/>
        <v>2021164</v>
      </c>
      <c r="U263" s="944">
        <f>IF(A263='Data Entry - SOF'!B$2,'Report-SOF2324'!D$91,0)</f>
        <v>0</v>
      </c>
      <c r="V263" s="723">
        <f>IF(A263='Data Entry - SOF'!B$2,'Data Entry - SOF'!S$102,0)</f>
        <v>0</v>
      </c>
    </row>
    <row r="264" spans="1:22" ht="15.75">
      <c r="A264" s="382" t="s">
        <v>2297</v>
      </c>
      <c r="B264" s="91">
        <v>1935397</v>
      </c>
      <c r="C264" s="944">
        <f>IF(A264='Data Entry - SOF'!B$2,'Report-SOF1718'!D$102,0)</f>
        <v>0</v>
      </c>
      <c r="D264" s="1037">
        <f>IF(A264='Data Entry - SOF'!B$2,'Data Entry - SOF'!#REF!,0)</f>
        <v>0</v>
      </c>
      <c r="E264" s="91">
        <f t="shared" si="24"/>
        <v>1935397</v>
      </c>
      <c r="F264" s="944">
        <f>IF(A264='Data Entry - SOF'!B$2,'Report-SOF1819'!D$102,0)</f>
        <v>0</v>
      </c>
      <c r="G264" s="1037">
        <f>IF(A264='Data Entry - SOF'!B$2,'Data Entry - SOF'!E$102,0)</f>
        <v>0</v>
      </c>
      <c r="H264" s="1038">
        <f t="shared" si="26"/>
        <v>1935397</v>
      </c>
      <c r="I264" s="944">
        <f>IF(A264='Data Entry - SOF'!B$2,'Report-SOF1920-HB3'!D$102,0)</f>
        <v>0</v>
      </c>
      <c r="J264" s="1037">
        <f>IF(A264='Data Entry - SOF'!B$2,'Data Entry - SOF'!G$102,0)</f>
        <v>0</v>
      </c>
      <c r="K264" s="717">
        <f t="shared" si="27"/>
        <v>1935397</v>
      </c>
      <c r="L264" s="944">
        <f>IF(A264='Data Entry - SOF'!B$2,'Report-SOF2021'!D$99,0)</f>
        <v>0</v>
      </c>
      <c r="M264" s="723">
        <f>IF(A264='Data Entry - SOF'!B$2,'Data Entry - SOF'!M$102,0)</f>
        <v>0</v>
      </c>
      <c r="N264" s="717">
        <f t="shared" si="28"/>
        <v>1935397</v>
      </c>
      <c r="O264" s="944">
        <f>IF(A264='Data Entry - SOF'!B$2,'Report-SOF2122'!D$91,0)</f>
        <v>0</v>
      </c>
      <c r="P264" s="723">
        <f>IF(A264='Data Entry - SOF'!B$2,'Data Entry - SOF'!O$102,0)</f>
        <v>0</v>
      </c>
      <c r="Q264" s="601">
        <f t="shared" si="25"/>
        <v>1935397</v>
      </c>
      <c r="R264" s="944">
        <f>IF(A264='Data Entry - SOF'!B$2,'Report-SOF2223'!D$91,0)</f>
        <v>0</v>
      </c>
      <c r="S264" s="723">
        <f>IF(A264='Data Entry - SOF'!B$2,'Data Entry - SOF'!Q$102,0)</f>
        <v>0</v>
      </c>
      <c r="T264" s="601">
        <f t="shared" si="29"/>
        <v>1935397</v>
      </c>
      <c r="U264" s="944">
        <f>IF(A264='Data Entry - SOF'!B$2,'Report-SOF2324'!D$91,0)</f>
        <v>0</v>
      </c>
      <c r="V264" s="723">
        <f>IF(A264='Data Entry - SOF'!B$2,'Data Entry - SOF'!S$102,0)</f>
        <v>0</v>
      </c>
    </row>
    <row r="265" spans="1:22" ht="15.75">
      <c r="A265" s="382" t="s">
        <v>1788</v>
      </c>
      <c r="B265" s="91">
        <v>1335883</v>
      </c>
      <c r="C265" s="944">
        <f>IF(A265='Data Entry - SOF'!B$2,'Report-SOF1718'!D$102,0)</f>
        <v>0</v>
      </c>
      <c r="D265" s="1037">
        <f>IF(A265='Data Entry - SOF'!B$2,'Data Entry - SOF'!#REF!,0)</f>
        <v>0</v>
      </c>
      <c r="E265" s="91">
        <f t="shared" si="24"/>
        <v>1335883</v>
      </c>
      <c r="F265" s="944">
        <f>IF(A265='Data Entry - SOF'!B$2,'Report-SOF1819'!D$102,0)</f>
        <v>0</v>
      </c>
      <c r="G265" s="1037">
        <f>IF(A265='Data Entry - SOF'!B$2,'Data Entry - SOF'!E$102,0)</f>
        <v>0</v>
      </c>
      <c r="H265" s="1038">
        <f t="shared" si="26"/>
        <v>1335883</v>
      </c>
      <c r="I265" s="944">
        <f>IF(A265='Data Entry - SOF'!B$2,'Report-SOF1920-HB3'!D$102,0)</f>
        <v>0</v>
      </c>
      <c r="J265" s="1037">
        <f>IF(A265='Data Entry - SOF'!B$2,'Data Entry - SOF'!G$102,0)</f>
        <v>0</v>
      </c>
      <c r="K265" s="717">
        <f t="shared" si="27"/>
        <v>1335883</v>
      </c>
      <c r="L265" s="944">
        <f>IF(A265='Data Entry - SOF'!B$2,'Report-SOF2021'!D$99,0)</f>
        <v>0</v>
      </c>
      <c r="M265" s="723">
        <f>IF(A265='Data Entry - SOF'!B$2,'Data Entry - SOF'!M$102,0)</f>
        <v>0</v>
      </c>
      <c r="N265" s="717">
        <f t="shared" si="28"/>
        <v>1335883</v>
      </c>
      <c r="O265" s="944">
        <f>IF(A265='Data Entry - SOF'!B$2,'Report-SOF2122'!D$91,0)</f>
        <v>0</v>
      </c>
      <c r="P265" s="723">
        <f>IF(A265='Data Entry - SOF'!B$2,'Data Entry - SOF'!O$102,0)</f>
        <v>0</v>
      </c>
      <c r="Q265" s="601">
        <f t="shared" si="25"/>
        <v>1335883</v>
      </c>
      <c r="R265" s="944">
        <f>IF(A265='Data Entry - SOF'!B$2,'Report-SOF2223'!D$91,0)</f>
        <v>0</v>
      </c>
      <c r="S265" s="723">
        <f>IF(A265='Data Entry - SOF'!B$2,'Data Entry - SOF'!Q$102,0)</f>
        <v>0</v>
      </c>
      <c r="T265" s="601">
        <f t="shared" si="29"/>
        <v>1335883</v>
      </c>
      <c r="U265" s="944">
        <f>IF(A265='Data Entry - SOF'!B$2,'Report-SOF2324'!D$91,0)</f>
        <v>0</v>
      </c>
      <c r="V265" s="723">
        <f>IF(A265='Data Entry - SOF'!B$2,'Data Entry - SOF'!S$102,0)</f>
        <v>0</v>
      </c>
    </row>
    <row r="266" spans="1:22" ht="15.75">
      <c r="A266" s="382" t="s">
        <v>616</v>
      </c>
      <c r="B266" s="91">
        <v>622782</v>
      </c>
      <c r="C266" s="944">
        <f>IF(A266='Data Entry - SOF'!B$2,'Report-SOF1718'!D$102,0)</f>
        <v>0</v>
      </c>
      <c r="D266" s="1037">
        <f>IF(A266='Data Entry - SOF'!B$2,'Data Entry - SOF'!#REF!,0)</f>
        <v>0</v>
      </c>
      <c r="E266" s="91">
        <f t="shared" si="24"/>
        <v>622782</v>
      </c>
      <c r="F266" s="944">
        <f>IF(A266='Data Entry - SOF'!B$2,'Report-SOF1819'!D$102,0)</f>
        <v>0</v>
      </c>
      <c r="G266" s="1037">
        <f>IF(A266='Data Entry - SOF'!B$2,'Data Entry - SOF'!E$102,0)</f>
        <v>0</v>
      </c>
      <c r="H266" s="1038">
        <f t="shared" si="26"/>
        <v>622782</v>
      </c>
      <c r="I266" s="944">
        <f>IF(A266='Data Entry - SOF'!B$2,'Report-SOF1920-HB3'!D$102,0)</f>
        <v>0</v>
      </c>
      <c r="J266" s="1037">
        <f>IF(A266='Data Entry - SOF'!B$2,'Data Entry - SOF'!G$102,0)</f>
        <v>0</v>
      </c>
      <c r="K266" s="717">
        <f t="shared" si="27"/>
        <v>622782</v>
      </c>
      <c r="L266" s="944">
        <f>IF(A266='Data Entry - SOF'!B$2,'Report-SOF2021'!D$99,0)</f>
        <v>0</v>
      </c>
      <c r="M266" s="723">
        <f>IF(A266='Data Entry - SOF'!B$2,'Data Entry - SOF'!M$102,0)</f>
        <v>0</v>
      </c>
      <c r="N266" s="717">
        <f t="shared" si="28"/>
        <v>622782</v>
      </c>
      <c r="O266" s="944">
        <f>IF(A266='Data Entry - SOF'!B$2,'Report-SOF2122'!D$91,0)</f>
        <v>0</v>
      </c>
      <c r="P266" s="723">
        <f>IF(A266='Data Entry - SOF'!B$2,'Data Entry - SOF'!O$102,0)</f>
        <v>0</v>
      </c>
      <c r="Q266" s="601">
        <f t="shared" si="25"/>
        <v>622782</v>
      </c>
      <c r="R266" s="944">
        <f>IF(A266='Data Entry - SOF'!B$2,'Report-SOF2223'!D$91,0)</f>
        <v>0</v>
      </c>
      <c r="S266" s="723">
        <f>IF(A266='Data Entry - SOF'!B$2,'Data Entry - SOF'!Q$102,0)</f>
        <v>0</v>
      </c>
      <c r="T266" s="601">
        <f t="shared" si="29"/>
        <v>622782</v>
      </c>
      <c r="U266" s="944">
        <f>IF(A266='Data Entry - SOF'!B$2,'Report-SOF2324'!D$91,0)</f>
        <v>0</v>
      </c>
      <c r="V266" s="723">
        <f>IF(A266='Data Entry - SOF'!B$2,'Data Entry - SOF'!S$102,0)</f>
        <v>0</v>
      </c>
    </row>
    <row r="267" spans="1:22" ht="15.75">
      <c r="A267" s="382" t="s">
        <v>918</v>
      </c>
      <c r="B267" s="91">
        <v>392995</v>
      </c>
      <c r="C267" s="944">
        <f>IF(A267='Data Entry - SOF'!B$2,'Report-SOF1718'!D$102,0)</f>
        <v>0</v>
      </c>
      <c r="D267" s="1037">
        <f>IF(A267='Data Entry - SOF'!B$2,'Data Entry - SOF'!#REF!,0)</f>
        <v>0</v>
      </c>
      <c r="E267" s="91">
        <f t="shared" si="24"/>
        <v>392995</v>
      </c>
      <c r="F267" s="944">
        <f>IF(A267='Data Entry - SOF'!B$2,'Report-SOF1819'!D$102,0)</f>
        <v>0</v>
      </c>
      <c r="G267" s="1037">
        <f>IF(A267='Data Entry - SOF'!B$2,'Data Entry - SOF'!E$102,0)</f>
        <v>0</v>
      </c>
      <c r="H267" s="1038">
        <f t="shared" si="26"/>
        <v>392995</v>
      </c>
      <c r="I267" s="944">
        <f>IF(A267='Data Entry - SOF'!B$2,'Report-SOF1920-HB3'!D$102,0)</f>
        <v>0</v>
      </c>
      <c r="J267" s="1037">
        <f>IF(A267='Data Entry - SOF'!B$2,'Data Entry - SOF'!G$102,0)</f>
        <v>0</v>
      </c>
      <c r="K267" s="717">
        <f t="shared" si="27"/>
        <v>392995</v>
      </c>
      <c r="L267" s="944">
        <f>IF(A267='Data Entry - SOF'!B$2,'Report-SOF2021'!D$99,0)</f>
        <v>0</v>
      </c>
      <c r="M267" s="723">
        <f>IF(A267='Data Entry - SOF'!B$2,'Data Entry - SOF'!M$102,0)</f>
        <v>0</v>
      </c>
      <c r="N267" s="717">
        <f t="shared" si="28"/>
        <v>392995</v>
      </c>
      <c r="O267" s="944">
        <f>IF(A267='Data Entry - SOF'!B$2,'Report-SOF2122'!D$91,0)</f>
        <v>0</v>
      </c>
      <c r="P267" s="723">
        <f>IF(A267='Data Entry - SOF'!B$2,'Data Entry - SOF'!O$102,0)</f>
        <v>0</v>
      </c>
      <c r="Q267" s="601">
        <f t="shared" si="25"/>
        <v>392995</v>
      </c>
      <c r="R267" s="944">
        <f>IF(A267='Data Entry - SOF'!B$2,'Report-SOF2223'!D$91,0)</f>
        <v>0</v>
      </c>
      <c r="S267" s="723">
        <f>IF(A267='Data Entry - SOF'!B$2,'Data Entry - SOF'!Q$102,0)</f>
        <v>0</v>
      </c>
      <c r="T267" s="601">
        <f t="shared" si="29"/>
        <v>392995</v>
      </c>
      <c r="U267" s="944">
        <f>IF(A267='Data Entry - SOF'!B$2,'Report-SOF2324'!D$91,0)</f>
        <v>0</v>
      </c>
      <c r="V267" s="723">
        <f>IF(A267='Data Entry - SOF'!B$2,'Data Entry - SOF'!S$102,0)</f>
        <v>0</v>
      </c>
    </row>
    <row r="268" spans="1:22" ht="15.75">
      <c r="A268" s="382" t="s">
        <v>2132</v>
      </c>
      <c r="B268" s="91">
        <v>87479356</v>
      </c>
      <c r="C268" s="944">
        <f>IF(A268='Data Entry - SOF'!B$2,'Report-SOF1718'!D$102,0)</f>
        <v>0</v>
      </c>
      <c r="D268" s="1037">
        <f>IF(A268='Data Entry - SOF'!B$2,'Data Entry - SOF'!#REF!,0)</f>
        <v>0</v>
      </c>
      <c r="E268" s="91">
        <f t="shared" si="24"/>
        <v>87479356</v>
      </c>
      <c r="F268" s="944">
        <f>IF(A268='Data Entry - SOF'!B$2,'Report-SOF1819'!D$102,0)</f>
        <v>0</v>
      </c>
      <c r="G268" s="1037">
        <f>IF(A268='Data Entry - SOF'!B$2,'Data Entry - SOF'!E$102,0)</f>
        <v>0</v>
      </c>
      <c r="H268" s="1038">
        <f t="shared" si="26"/>
        <v>87479356</v>
      </c>
      <c r="I268" s="944">
        <f>IF(A268='Data Entry - SOF'!B$2,'Report-SOF1920-HB3'!D$102,0)</f>
        <v>0</v>
      </c>
      <c r="J268" s="1037">
        <f>IF(A268='Data Entry - SOF'!B$2,'Data Entry - SOF'!G$102,0)</f>
        <v>0</v>
      </c>
      <c r="K268" s="717">
        <f t="shared" si="27"/>
        <v>87479356</v>
      </c>
      <c r="L268" s="944">
        <f>IF(A268='Data Entry - SOF'!B$2,'Report-SOF2021'!D$99,0)</f>
        <v>0</v>
      </c>
      <c r="M268" s="723">
        <f>IF(A268='Data Entry - SOF'!B$2,'Data Entry - SOF'!M$102,0)</f>
        <v>0</v>
      </c>
      <c r="N268" s="717">
        <f t="shared" si="28"/>
        <v>87479356</v>
      </c>
      <c r="O268" s="944">
        <f>IF(A268='Data Entry - SOF'!B$2,'Report-SOF2122'!D$91,0)</f>
        <v>0</v>
      </c>
      <c r="P268" s="723">
        <f>IF(A268='Data Entry - SOF'!B$2,'Data Entry - SOF'!O$102,0)</f>
        <v>0</v>
      </c>
      <c r="Q268" s="601">
        <f t="shared" si="25"/>
        <v>87479356</v>
      </c>
      <c r="R268" s="944">
        <f>IF(A268='Data Entry - SOF'!B$2,'Report-SOF2223'!D$91,0)</f>
        <v>0</v>
      </c>
      <c r="S268" s="723">
        <f>IF(A268='Data Entry - SOF'!B$2,'Data Entry - SOF'!Q$102,0)</f>
        <v>0</v>
      </c>
      <c r="T268" s="601">
        <f t="shared" si="29"/>
        <v>87479356</v>
      </c>
      <c r="U268" s="944">
        <f>IF(A268='Data Entry - SOF'!B$2,'Report-SOF2324'!D$91,0)</f>
        <v>0</v>
      </c>
      <c r="V268" s="723">
        <f>IF(A268='Data Entry - SOF'!B$2,'Data Entry - SOF'!S$102,0)</f>
        <v>0</v>
      </c>
    </row>
    <row r="269" spans="1:22" ht="15.75">
      <c r="A269" s="382" t="s">
        <v>2581</v>
      </c>
      <c r="B269" s="91">
        <v>3282320.1788123199</v>
      </c>
      <c r="C269" s="944">
        <f>IF(A269='Data Entry - SOF'!B$2,'Report-SOF1718'!D$102,0)</f>
        <v>0</v>
      </c>
      <c r="D269" s="1037">
        <f>IF(A269='Data Entry - SOF'!B$2,'Data Entry - SOF'!#REF!,0)</f>
        <v>0</v>
      </c>
      <c r="E269" s="91">
        <f t="shared" si="24"/>
        <v>3282320.1788123199</v>
      </c>
      <c r="F269" s="944">
        <f>IF(A269='Data Entry - SOF'!B$2,'Report-SOF1819'!D$102,0)</f>
        <v>0</v>
      </c>
      <c r="G269" s="1037">
        <f>IF(A269='Data Entry - SOF'!B$2,'Data Entry - SOF'!E$102,0)</f>
        <v>0</v>
      </c>
      <c r="H269" s="1038">
        <f t="shared" si="26"/>
        <v>3282320.1788123199</v>
      </c>
      <c r="I269" s="944">
        <f>IF(A269='Data Entry - SOF'!B$2,'Report-SOF1920-HB3'!D$102,0)</f>
        <v>0</v>
      </c>
      <c r="J269" s="1037">
        <f>IF(A269='Data Entry - SOF'!B$2,'Data Entry - SOF'!G$102,0)</f>
        <v>0</v>
      </c>
      <c r="K269" s="717">
        <f t="shared" si="27"/>
        <v>3282320.1788123199</v>
      </c>
      <c r="L269" s="944">
        <f>IF(A269='Data Entry - SOF'!B$2,'Report-SOF2021'!D$99,0)</f>
        <v>0</v>
      </c>
      <c r="M269" s="723">
        <f>IF(A269='Data Entry - SOF'!B$2,'Data Entry - SOF'!M$102,0)</f>
        <v>0</v>
      </c>
      <c r="N269" s="717">
        <f t="shared" si="28"/>
        <v>3282320.1788123199</v>
      </c>
      <c r="O269" s="944">
        <f>IF(A269='Data Entry - SOF'!B$2,'Report-SOF2122'!D$91,0)</f>
        <v>0</v>
      </c>
      <c r="P269" s="723">
        <f>IF(A269='Data Entry - SOF'!B$2,'Data Entry - SOF'!O$102,0)</f>
        <v>0</v>
      </c>
      <c r="Q269" s="601">
        <f t="shared" si="25"/>
        <v>3282320.1788123199</v>
      </c>
      <c r="R269" s="944">
        <f>IF(A269='Data Entry - SOF'!B$2,'Report-SOF2223'!D$91,0)</f>
        <v>0</v>
      </c>
      <c r="S269" s="723">
        <f>IF(A269='Data Entry - SOF'!B$2,'Data Entry - SOF'!Q$102,0)</f>
        <v>0</v>
      </c>
      <c r="T269" s="601">
        <f t="shared" si="29"/>
        <v>3282320.1788123199</v>
      </c>
      <c r="U269" s="944">
        <f>IF(A269='Data Entry - SOF'!B$2,'Report-SOF2324'!D$91,0)</f>
        <v>0</v>
      </c>
      <c r="V269" s="723">
        <f>IF(A269='Data Entry - SOF'!B$2,'Data Entry - SOF'!S$102,0)</f>
        <v>0</v>
      </c>
    </row>
    <row r="270" spans="1:22" ht="15.75">
      <c r="A270" s="382" t="s">
        <v>2393</v>
      </c>
      <c r="B270" s="91">
        <v>1273555</v>
      </c>
      <c r="C270" s="944">
        <f>IF(A270='Data Entry - SOF'!B$2,'Report-SOF1718'!D$102,0)</f>
        <v>0</v>
      </c>
      <c r="D270" s="1037">
        <f>IF(A270='Data Entry - SOF'!B$2,'Data Entry - SOF'!#REF!,0)</f>
        <v>0</v>
      </c>
      <c r="E270" s="91">
        <f t="shared" si="24"/>
        <v>1273555</v>
      </c>
      <c r="F270" s="944">
        <f>IF(A270='Data Entry - SOF'!B$2,'Report-SOF1819'!D$102,0)</f>
        <v>0</v>
      </c>
      <c r="G270" s="1037">
        <f>IF(A270='Data Entry - SOF'!B$2,'Data Entry - SOF'!E$102,0)</f>
        <v>0</v>
      </c>
      <c r="H270" s="1038">
        <f t="shared" si="26"/>
        <v>1273555</v>
      </c>
      <c r="I270" s="944">
        <f>IF(A270='Data Entry - SOF'!B$2,'Report-SOF1920-HB3'!D$102,0)</f>
        <v>0</v>
      </c>
      <c r="J270" s="1037">
        <f>IF(A270='Data Entry - SOF'!B$2,'Data Entry - SOF'!G$102,0)</f>
        <v>0</v>
      </c>
      <c r="K270" s="717">
        <f t="shared" si="27"/>
        <v>1273555</v>
      </c>
      <c r="L270" s="944">
        <f>IF(A270='Data Entry - SOF'!B$2,'Report-SOF2021'!D$99,0)</f>
        <v>0</v>
      </c>
      <c r="M270" s="723">
        <f>IF(A270='Data Entry - SOF'!B$2,'Data Entry - SOF'!M$102,0)</f>
        <v>0</v>
      </c>
      <c r="N270" s="717">
        <f t="shared" si="28"/>
        <v>1273555</v>
      </c>
      <c r="O270" s="944">
        <f>IF(A270='Data Entry - SOF'!B$2,'Report-SOF2122'!D$91,0)</f>
        <v>0</v>
      </c>
      <c r="P270" s="723">
        <f>IF(A270='Data Entry - SOF'!B$2,'Data Entry - SOF'!O$102,0)</f>
        <v>0</v>
      </c>
      <c r="Q270" s="601">
        <f t="shared" si="25"/>
        <v>1273555</v>
      </c>
      <c r="R270" s="944">
        <f>IF(A270='Data Entry - SOF'!B$2,'Report-SOF2223'!D$91,0)</f>
        <v>0</v>
      </c>
      <c r="S270" s="723">
        <f>IF(A270='Data Entry - SOF'!B$2,'Data Entry - SOF'!Q$102,0)</f>
        <v>0</v>
      </c>
      <c r="T270" s="601">
        <f t="shared" si="29"/>
        <v>1273555</v>
      </c>
      <c r="U270" s="944">
        <f>IF(A270='Data Entry - SOF'!B$2,'Report-SOF2324'!D$91,0)</f>
        <v>0</v>
      </c>
      <c r="V270" s="723">
        <f>IF(A270='Data Entry - SOF'!B$2,'Data Entry - SOF'!S$102,0)</f>
        <v>0</v>
      </c>
    </row>
    <row r="271" spans="1:22" ht="15.75">
      <c r="A271" s="382" t="s">
        <v>246</v>
      </c>
      <c r="B271" s="91">
        <v>160320</v>
      </c>
      <c r="C271" s="944">
        <f>IF(A271='Data Entry - SOF'!B$2,'Report-SOF1718'!D$102,0)</f>
        <v>0</v>
      </c>
      <c r="D271" s="1037">
        <f>IF(A271='Data Entry - SOF'!B$2,'Data Entry - SOF'!#REF!,0)</f>
        <v>0</v>
      </c>
      <c r="E271" s="91">
        <f t="shared" si="24"/>
        <v>160320</v>
      </c>
      <c r="F271" s="944">
        <f>IF(A271='Data Entry - SOF'!B$2,'Report-SOF1819'!D$102,0)</f>
        <v>0</v>
      </c>
      <c r="G271" s="1037">
        <f>IF(A271='Data Entry - SOF'!B$2,'Data Entry - SOF'!E$102,0)</f>
        <v>0</v>
      </c>
      <c r="H271" s="1038">
        <f t="shared" si="26"/>
        <v>160320</v>
      </c>
      <c r="I271" s="944">
        <f>IF(A271='Data Entry - SOF'!B$2,'Report-SOF1920-HB3'!D$102,0)</f>
        <v>0</v>
      </c>
      <c r="J271" s="1037">
        <f>IF(A271='Data Entry - SOF'!B$2,'Data Entry - SOF'!G$102,0)</f>
        <v>0</v>
      </c>
      <c r="K271" s="717">
        <f t="shared" si="27"/>
        <v>160320</v>
      </c>
      <c r="L271" s="944">
        <f>IF(A271='Data Entry - SOF'!B$2,'Report-SOF2021'!D$99,0)</f>
        <v>0</v>
      </c>
      <c r="M271" s="723">
        <f>IF(A271='Data Entry - SOF'!B$2,'Data Entry - SOF'!M$102,0)</f>
        <v>0</v>
      </c>
      <c r="N271" s="717">
        <f t="shared" si="28"/>
        <v>160320</v>
      </c>
      <c r="O271" s="944">
        <f>IF(A271='Data Entry - SOF'!B$2,'Report-SOF2122'!D$91,0)</f>
        <v>0</v>
      </c>
      <c r="P271" s="723">
        <f>IF(A271='Data Entry - SOF'!B$2,'Data Entry - SOF'!O$102,0)</f>
        <v>0</v>
      </c>
      <c r="Q271" s="601">
        <f t="shared" si="25"/>
        <v>160320</v>
      </c>
      <c r="R271" s="944">
        <f>IF(A271='Data Entry - SOF'!B$2,'Report-SOF2223'!D$91,0)</f>
        <v>0</v>
      </c>
      <c r="S271" s="723">
        <f>IF(A271='Data Entry - SOF'!B$2,'Data Entry - SOF'!Q$102,0)</f>
        <v>0</v>
      </c>
      <c r="T271" s="601">
        <f t="shared" si="29"/>
        <v>160320</v>
      </c>
      <c r="U271" s="944">
        <f>IF(A271='Data Entry - SOF'!B$2,'Report-SOF2324'!D$91,0)</f>
        <v>0</v>
      </c>
      <c r="V271" s="723">
        <f>IF(A271='Data Entry - SOF'!B$2,'Data Entry - SOF'!S$102,0)</f>
        <v>0</v>
      </c>
    </row>
    <row r="272" spans="1:22" ht="15.75">
      <c r="A272" s="382" t="s">
        <v>1405</v>
      </c>
      <c r="B272" s="91">
        <v>51770565</v>
      </c>
      <c r="C272" s="944">
        <f>IF(A272='Data Entry - SOF'!B$2,'Report-SOF1718'!D$102,0)</f>
        <v>0</v>
      </c>
      <c r="D272" s="1037">
        <f>IF(A272='Data Entry - SOF'!B$2,'Data Entry - SOF'!#REF!,0)</f>
        <v>0</v>
      </c>
      <c r="E272" s="91">
        <f t="shared" si="24"/>
        <v>51770565</v>
      </c>
      <c r="F272" s="944">
        <f>IF(A272='Data Entry - SOF'!B$2,'Report-SOF1819'!D$102,0)</f>
        <v>0</v>
      </c>
      <c r="G272" s="1037">
        <f>IF(A272='Data Entry - SOF'!B$2,'Data Entry - SOF'!E$102,0)</f>
        <v>0</v>
      </c>
      <c r="H272" s="1038">
        <f t="shared" si="26"/>
        <v>51770565</v>
      </c>
      <c r="I272" s="944">
        <f>IF(A272='Data Entry - SOF'!B$2,'Report-SOF1920-HB3'!D$102,0)</f>
        <v>0</v>
      </c>
      <c r="J272" s="1037">
        <f>IF(A272='Data Entry - SOF'!B$2,'Data Entry - SOF'!G$102,0)</f>
        <v>0</v>
      </c>
      <c r="K272" s="717">
        <f t="shared" si="27"/>
        <v>51770565</v>
      </c>
      <c r="L272" s="944">
        <f>IF(A272='Data Entry - SOF'!B$2,'Report-SOF2021'!D$99,0)</f>
        <v>0</v>
      </c>
      <c r="M272" s="723">
        <f>IF(A272='Data Entry - SOF'!B$2,'Data Entry - SOF'!M$102,0)</f>
        <v>0</v>
      </c>
      <c r="N272" s="717">
        <f t="shared" si="28"/>
        <v>51770565</v>
      </c>
      <c r="O272" s="944">
        <f>IF(A272='Data Entry - SOF'!B$2,'Report-SOF2122'!D$91,0)</f>
        <v>0</v>
      </c>
      <c r="P272" s="723">
        <f>IF(A272='Data Entry - SOF'!B$2,'Data Entry - SOF'!O$102,0)</f>
        <v>0</v>
      </c>
      <c r="Q272" s="601">
        <f t="shared" si="25"/>
        <v>51770565</v>
      </c>
      <c r="R272" s="944">
        <f>IF(A272='Data Entry - SOF'!B$2,'Report-SOF2223'!D$91,0)</f>
        <v>0</v>
      </c>
      <c r="S272" s="723">
        <f>IF(A272='Data Entry - SOF'!B$2,'Data Entry - SOF'!Q$102,0)</f>
        <v>0</v>
      </c>
      <c r="T272" s="601">
        <f t="shared" si="29"/>
        <v>51770565</v>
      </c>
      <c r="U272" s="944">
        <f>IF(A272='Data Entry - SOF'!B$2,'Report-SOF2324'!D$91,0)</f>
        <v>0</v>
      </c>
      <c r="V272" s="723">
        <f>IF(A272='Data Entry - SOF'!B$2,'Data Entry - SOF'!S$102,0)</f>
        <v>0</v>
      </c>
    </row>
    <row r="273" spans="1:22" ht="15.75">
      <c r="A273" s="382" t="s">
        <v>1406</v>
      </c>
      <c r="B273" s="91">
        <v>3598135</v>
      </c>
      <c r="C273" s="944">
        <f>IF(A273='Data Entry - SOF'!B$2,'Report-SOF1718'!D$102,0)</f>
        <v>0</v>
      </c>
      <c r="D273" s="1037">
        <f>IF(A273='Data Entry - SOF'!B$2,'Data Entry - SOF'!#REF!,0)</f>
        <v>0</v>
      </c>
      <c r="E273" s="91">
        <f t="shared" si="24"/>
        <v>3598135</v>
      </c>
      <c r="F273" s="944">
        <f>IF(A273='Data Entry - SOF'!B$2,'Report-SOF1819'!D$102,0)</f>
        <v>0</v>
      </c>
      <c r="G273" s="1037">
        <f>IF(A273='Data Entry - SOF'!B$2,'Data Entry - SOF'!E$102,0)</f>
        <v>0</v>
      </c>
      <c r="H273" s="1038">
        <f t="shared" si="26"/>
        <v>3598135</v>
      </c>
      <c r="I273" s="944">
        <f>IF(A273='Data Entry - SOF'!B$2,'Report-SOF1920-HB3'!D$102,0)</f>
        <v>0</v>
      </c>
      <c r="J273" s="1037">
        <f>IF(A273='Data Entry - SOF'!B$2,'Data Entry - SOF'!G$102,0)</f>
        <v>0</v>
      </c>
      <c r="K273" s="717">
        <f t="shared" si="27"/>
        <v>3598135</v>
      </c>
      <c r="L273" s="944">
        <f>IF(A273='Data Entry - SOF'!B$2,'Report-SOF2021'!D$99,0)</f>
        <v>0</v>
      </c>
      <c r="M273" s="723">
        <f>IF(A273='Data Entry - SOF'!B$2,'Data Entry - SOF'!M$102,0)</f>
        <v>0</v>
      </c>
      <c r="N273" s="717">
        <f t="shared" si="28"/>
        <v>3598135</v>
      </c>
      <c r="O273" s="944">
        <f>IF(A273='Data Entry - SOF'!B$2,'Report-SOF2122'!D$91,0)</f>
        <v>0</v>
      </c>
      <c r="P273" s="723">
        <f>IF(A273='Data Entry - SOF'!B$2,'Data Entry - SOF'!O$102,0)</f>
        <v>0</v>
      </c>
      <c r="Q273" s="601">
        <f t="shared" si="25"/>
        <v>3598135</v>
      </c>
      <c r="R273" s="944">
        <f>IF(A273='Data Entry - SOF'!B$2,'Report-SOF2223'!D$91,0)</f>
        <v>0</v>
      </c>
      <c r="S273" s="723">
        <f>IF(A273='Data Entry - SOF'!B$2,'Data Entry - SOF'!Q$102,0)</f>
        <v>0</v>
      </c>
      <c r="T273" s="601">
        <f t="shared" si="29"/>
        <v>3598135</v>
      </c>
      <c r="U273" s="944">
        <f>IF(A273='Data Entry - SOF'!B$2,'Report-SOF2324'!D$91,0)</f>
        <v>0</v>
      </c>
      <c r="V273" s="723">
        <f>IF(A273='Data Entry - SOF'!B$2,'Data Entry - SOF'!S$102,0)</f>
        <v>0</v>
      </c>
    </row>
    <row r="274" spans="1:22" ht="15.75">
      <c r="A274" s="382" t="s">
        <v>720</v>
      </c>
      <c r="B274" s="91">
        <v>1763435</v>
      </c>
      <c r="C274" s="944">
        <f>IF(A274='Data Entry - SOF'!B$2,'Report-SOF1718'!D$102,0)</f>
        <v>0</v>
      </c>
      <c r="D274" s="1037">
        <f>IF(A274='Data Entry - SOF'!B$2,'Data Entry - SOF'!#REF!,0)</f>
        <v>0</v>
      </c>
      <c r="E274" s="91">
        <f t="shared" si="24"/>
        <v>1763435</v>
      </c>
      <c r="F274" s="944">
        <f>IF(A274='Data Entry - SOF'!B$2,'Report-SOF1819'!D$102,0)</f>
        <v>0</v>
      </c>
      <c r="G274" s="1037">
        <f>IF(A274='Data Entry - SOF'!B$2,'Data Entry - SOF'!E$102,0)</f>
        <v>0</v>
      </c>
      <c r="H274" s="1038">
        <f t="shared" si="26"/>
        <v>1763435</v>
      </c>
      <c r="I274" s="944">
        <f>IF(A274='Data Entry - SOF'!B$2,'Report-SOF1920-HB3'!D$102,0)</f>
        <v>0</v>
      </c>
      <c r="J274" s="1037">
        <f>IF(A274='Data Entry - SOF'!B$2,'Data Entry - SOF'!G$102,0)</f>
        <v>0</v>
      </c>
      <c r="K274" s="717">
        <f t="shared" si="27"/>
        <v>1763435</v>
      </c>
      <c r="L274" s="944">
        <f>IF(A274='Data Entry - SOF'!B$2,'Report-SOF2021'!D$99,0)</f>
        <v>0</v>
      </c>
      <c r="M274" s="723">
        <f>IF(A274='Data Entry - SOF'!B$2,'Data Entry - SOF'!M$102,0)</f>
        <v>0</v>
      </c>
      <c r="N274" s="717">
        <f t="shared" si="28"/>
        <v>1763435</v>
      </c>
      <c r="O274" s="944">
        <f>IF(A274='Data Entry - SOF'!B$2,'Report-SOF2122'!D$91,0)</f>
        <v>0</v>
      </c>
      <c r="P274" s="723">
        <f>IF(A274='Data Entry - SOF'!B$2,'Data Entry - SOF'!O$102,0)</f>
        <v>0</v>
      </c>
      <c r="Q274" s="601">
        <f t="shared" si="25"/>
        <v>1763435</v>
      </c>
      <c r="R274" s="944">
        <f>IF(A274='Data Entry - SOF'!B$2,'Report-SOF2223'!D$91,0)</f>
        <v>0</v>
      </c>
      <c r="S274" s="723">
        <f>IF(A274='Data Entry - SOF'!B$2,'Data Entry - SOF'!Q$102,0)</f>
        <v>0</v>
      </c>
      <c r="T274" s="601">
        <f t="shared" si="29"/>
        <v>1763435</v>
      </c>
      <c r="U274" s="944">
        <f>IF(A274='Data Entry - SOF'!B$2,'Report-SOF2324'!D$91,0)</f>
        <v>0</v>
      </c>
      <c r="V274" s="723">
        <f>IF(A274='Data Entry - SOF'!B$2,'Data Entry - SOF'!S$102,0)</f>
        <v>0</v>
      </c>
    </row>
    <row r="275" spans="1:22" ht="15.75">
      <c r="A275" s="382" t="s">
        <v>1401</v>
      </c>
      <c r="B275" s="91">
        <v>118906233</v>
      </c>
      <c r="C275" s="944">
        <f>IF(A275='Data Entry - SOF'!B$2,'Report-SOF1718'!D$102,0)</f>
        <v>0</v>
      </c>
      <c r="D275" s="1037">
        <f>IF(A275='Data Entry - SOF'!B$2,'Data Entry - SOF'!#REF!,0)</f>
        <v>0</v>
      </c>
      <c r="E275" s="91">
        <f t="shared" si="24"/>
        <v>118906233</v>
      </c>
      <c r="F275" s="944">
        <f>IF(A275='Data Entry - SOF'!B$2,'Report-SOF1819'!D$102,0)</f>
        <v>0</v>
      </c>
      <c r="G275" s="1037">
        <f>IF(A275='Data Entry - SOF'!B$2,'Data Entry - SOF'!E$102,0)</f>
        <v>0</v>
      </c>
      <c r="H275" s="1038">
        <f t="shared" si="26"/>
        <v>118906233</v>
      </c>
      <c r="I275" s="944">
        <f>IF(A275='Data Entry - SOF'!B$2,'Report-SOF1920-HB3'!D$102,0)</f>
        <v>0</v>
      </c>
      <c r="J275" s="1037">
        <f>IF(A275='Data Entry - SOF'!B$2,'Data Entry - SOF'!G$102,0)</f>
        <v>0</v>
      </c>
      <c r="K275" s="717">
        <f t="shared" si="27"/>
        <v>118906233</v>
      </c>
      <c r="L275" s="944">
        <f>IF(A275='Data Entry - SOF'!B$2,'Report-SOF2021'!D$99,0)</f>
        <v>0</v>
      </c>
      <c r="M275" s="723">
        <f>IF(A275='Data Entry - SOF'!B$2,'Data Entry - SOF'!M$102,0)</f>
        <v>0</v>
      </c>
      <c r="N275" s="717">
        <f t="shared" si="28"/>
        <v>118906233</v>
      </c>
      <c r="O275" s="944">
        <f>IF(A275='Data Entry - SOF'!B$2,'Report-SOF2122'!D$91,0)</f>
        <v>0</v>
      </c>
      <c r="P275" s="723">
        <f>IF(A275='Data Entry - SOF'!B$2,'Data Entry - SOF'!O$102,0)</f>
        <v>0</v>
      </c>
      <c r="Q275" s="601">
        <f t="shared" si="25"/>
        <v>118906233</v>
      </c>
      <c r="R275" s="944">
        <f>IF(A275='Data Entry - SOF'!B$2,'Report-SOF2223'!D$91,0)</f>
        <v>0</v>
      </c>
      <c r="S275" s="723">
        <f>IF(A275='Data Entry - SOF'!B$2,'Data Entry - SOF'!Q$102,0)</f>
        <v>0</v>
      </c>
      <c r="T275" s="601">
        <f t="shared" si="29"/>
        <v>118906233</v>
      </c>
      <c r="U275" s="944">
        <f>IF(A275='Data Entry - SOF'!B$2,'Report-SOF2324'!D$91,0)</f>
        <v>0</v>
      </c>
      <c r="V275" s="723">
        <f>IF(A275='Data Entry - SOF'!B$2,'Data Entry - SOF'!S$102,0)</f>
        <v>0</v>
      </c>
    </row>
    <row r="276" spans="1:22" ht="15.75">
      <c r="A276" s="382" t="s">
        <v>932</v>
      </c>
      <c r="B276" s="91">
        <v>881220</v>
      </c>
      <c r="C276" s="944">
        <f>IF(A276='Data Entry - SOF'!B$2,'Report-SOF1718'!D$102,0)</f>
        <v>0</v>
      </c>
      <c r="D276" s="1037">
        <f>IF(A276='Data Entry - SOF'!B$2,'Data Entry - SOF'!#REF!,0)</f>
        <v>0</v>
      </c>
      <c r="E276" s="91">
        <f t="shared" si="24"/>
        <v>881220</v>
      </c>
      <c r="F276" s="944">
        <f>IF(A276='Data Entry - SOF'!B$2,'Report-SOF1819'!D$102,0)</f>
        <v>0</v>
      </c>
      <c r="G276" s="1037">
        <f>IF(A276='Data Entry - SOF'!B$2,'Data Entry - SOF'!E$102,0)</f>
        <v>0</v>
      </c>
      <c r="H276" s="1038">
        <f t="shared" si="26"/>
        <v>881220</v>
      </c>
      <c r="I276" s="944">
        <f>IF(A276='Data Entry - SOF'!B$2,'Report-SOF1920-HB3'!D$102,0)</f>
        <v>0</v>
      </c>
      <c r="J276" s="1037">
        <f>IF(A276='Data Entry - SOF'!B$2,'Data Entry - SOF'!G$102,0)</f>
        <v>0</v>
      </c>
      <c r="K276" s="717">
        <f t="shared" si="27"/>
        <v>881220</v>
      </c>
      <c r="L276" s="944">
        <f>IF(A276='Data Entry - SOF'!B$2,'Report-SOF2021'!D$99,0)</f>
        <v>0</v>
      </c>
      <c r="M276" s="723">
        <f>IF(A276='Data Entry - SOF'!B$2,'Data Entry - SOF'!M$102,0)</f>
        <v>0</v>
      </c>
      <c r="N276" s="717">
        <f t="shared" si="28"/>
        <v>881220</v>
      </c>
      <c r="O276" s="944">
        <f>IF(A276='Data Entry - SOF'!B$2,'Report-SOF2122'!D$91,0)</f>
        <v>0</v>
      </c>
      <c r="P276" s="723">
        <f>IF(A276='Data Entry - SOF'!B$2,'Data Entry - SOF'!O$102,0)</f>
        <v>0</v>
      </c>
      <c r="Q276" s="601">
        <f t="shared" si="25"/>
        <v>881220</v>
      </c>
      <c r="R276" s="944">
        <f>IF(A276='Data Entry - SOF'!B$2,'Report-SOF2223'!D$91,0)</f>
        <v>0</v>
      </c>
      <c r="S276" s="723">
        <f>IF(A276='Data Entry - SOF'!B$2,'Data Entry - SOF'!Q$102,0)</f>
        <v>0</v>
      </c>
      <c r="T276" s="601">
        <f t="shared" si="29"/>
        <v>881220</v>
      </c>
      <c r="U276" s="944">
        <f>IF(A276='Data Entry - SOF'!B$2,'Report-SOF2324'!D$91,0)</f>
        <v>0</v>
      </c>
      <c r="V276" s="723">
        <f>IF(A276='Data Entry - SOF'!B$2,'Data Entry - SOF'!S$102,0)</f>
        <v>0</v>
      </c>
    </row>
    <row r="277" spans="1:22" ht="15.75">
      <c r="A277" s="382" t="s">
        <v>247</v>
      </c>
      <c r="B277" s="91">
        <v>2851943</v>
      </c>
      <c r="C277" s="944">
        <f>IF(A277='Data Entry - SOF'!B$2,'Report-SOF1718'!D$102,0)</f>
        <v>0</v>
      </c>
      <c r="D277" s="1037">
        <f>IF(A277='Data Entry - SOF'!B$2,'Data Entry - SOF'!#REF!,0)</f>
        <v>0</v>
      </c>
      <c r="E277" s="91">
        <f t="shared" si="24"/>
        <v>2851943</v>
      </c>
      <c r="F277" s="944">
        <f>IF(A277='Data Entry - SOF'!B$2,'Report-SOF1819'!D$102,0)</f>
        <v>0</v>
      </c>
      <c r="G277" s="1037">
        <f>IF(A277='Data Entry - SOF'!B$2,'Data Entry - SOF'!E$102,0)</f>
        <v>0</v>
      </c>
      <c r="H277" s="1038">
        <f t="shared" si="26"/>
        <v>2851943</v>
      </c>
      <c r="I277" s="944">
        <f>IF(A277='Data Entry - SOF'!B$2,'Report-SOF1920-HB3'!D$102,0)</f>
        <v>0</v>
      </c>
      <c r="J277" s="1037">
        <f>IF(A277='Data Entry - SOF'!B$2,'Data Entry - SOF'!G$102,0)</f>
        <v>0</v>
      </c>
      <c r="K277" s="717">
        <f t="shared" si="27"/>
        <v>2851943</v>
      </c>
      <c r="L277" s="944">
        <f>IF(A277='Data Entry - SOF'!B$2,'Report-SOF2021'!D$99,0)</f>
        <v>0</v>
      </c>
      <c r="M277" s="723">
        <f>IF(A277='Data Entry - SOF'!B$2,'Data Entry - SOF'!M$102,0)</f>
        <v>0</v>
      </c>
      <c r="N277" s="717">
        <f t="shared" si="28"/>
        <v>2851943</v>
      </c>
      <c r="O277" s="944">
        <f>IF(A277='Data Entry - SOF'!B$2,'Report-SOF2122'!D$91,0)</f>
        <v>0</v>
      </c>
      <c r="P277" s="723">
        <f>IF(A277='Data Entry - SOF'!B$2,'Data Entry - SOF'!O$102,0)</f>
        <v>0</v>
      </c>
      <c r="Q277" s="601">
        <f t="shared" si="25"/>
        <v>2851943</v>
      </c>
      <c r="R277" s="944">
        <f>IF(A277='Data Entry - SOF'!B$2,'Report-SOF2223'!D$91,0)</f>
        <v>0</v>
      </c>
      <c r="S277" s="723">
        <f>IF(A277='Data Entry - SOF'!B$2,'Data Entry - SOF'!Q$102,0)</f>
        <v>0</v>
      </c>
      <c r="T277" s="601">
        <f t="shared" si="29"/>
        <v>2851943</v>
      </c>
      <c r="U277" s="944">
        <f>IF(A277='Data Entry - SOF'!B$2,'Report-SOF2324'!D$91,0)</f>
        <v>0</v>
      </c>
      <c r="V277" s="723">
        <f>IF(A277='Data Entry - SOF'!B$2,'Data Entry - SOF'!S$102,0)</f>
        <v>0</v>
      </c>
    </row>
    <row r="278" spans="1:22" ht="15.75">
      <c r="A278" s="382" t="s">
        <v>2084</v>
      </c>
      <c r="B278" s="91">
        <v>14463640</v>
      </c>
      <c r="C278" s="944">
        <f>IF(A278='Data Entry - SOF'!B$2,'Report-SOF1718'!D$102,0)</f>
        <v>0</v>
      </c>
      <c r="D278" s="1037">
        <f>IF(A278='Data Entry - SOF'!B$2,'Data Entry - SOF'!#REF!,0)</f>
        <v>0</v>
      </c>
      <c r="E278" s="91">
        <f t="shared" si="24"/>
        <v>14463640</v>
      </c>
      <c r="F278" s="944">
        <f>IF(A278='Data Entry - SOF'!B$2,'Report-SOF1819'!D$102,0)</f>
        <v>0</v>
      </c>
      <c r="G278" s="1037">
        <f>IF(A278='Data Entry - SOF'!B$2,'Data Entry - SOF'!E$102,0)</f>
        <v>0</v>
      </c>
      <c r="H278" s="1038">
        <f t="shared" si="26"/>
        <v>14463640</v>
      </c>
      <c r="I278" s="944">
        <f>IF(A278='Data Entry - SOF'!B$2,'Report-SOF1920-HB3'!D$102,0)</f>
        <v>0</v>
      </c>
      <c r="J278" s="1037">
        <f>IF(A278='Data Entry - SOF'!B$2,'Data Entry - SOF'!G$102,0)</f>
        <v>0</v>
      </c>
      <c r="K278" s="717">
        <f t="shared" si="27"/>
        <v>14463640</v>
      </c>
      <c r="L278" s="944">
        <f>IF(A278='Data Entry - SOF'!B$2,'Report-SOF2021'!D$99,0)</f>
        <v>0</v>
      </c>
      <c r="M278" s="723">
        <f>IF(A278='Data Entry - SOF'!B$2,'Data Entry - SOF'!M$102,0)</f>
        <v>0</v>
      </c>
      <c r="N278" s="717">
        <f t="shared" si="28"/>
        <v>14463640</v>
      </c>
      <c r="O278" s="944">
        <f>IF(A278='Data Entry - SOF'!B$2,'Report-SOF2122'!D$91,0)</f>
        <v>0</v>
      </c>
      <c r="P278" s="723">
        <f>IF(A278='Data Entry - SOF'!B$2,'Data Entry - SOF'!O$102,0)</f>
        <v>0</v>
      </c>
      <c r="Q278" s="601">
        <f t="shared" si="25"/>
        <v>14463640</v>
      </c>
      <c r="R278" s="944">
        <f>IF(A278='Data Entry - SOF'!B$2,'Report-SOF2223'!D$91,0)</f>
        <v>0</v>
      </c>
      <c r="S278" s="723">
        <f>IF(A278='Data Entry - SOF'!B$2,'Data Entry - SOF'!Q$102,0)</f>
        <v>0</v>
      </c>
      <c r="T278" s="601">
        <f t="shared" si="29"/>
        <v>14463640</v>
      </c>
      <c r="U278" s="944">
        <f>IF(A278='Data Entry - SOF'!B$2,'Report-SOF2324'!D$91,0)</f>
        <v>0</v>
      </c>
      <c r="V278" s="723">
        <f>IF(A278='Data Entry - SOF'!B$2,'Data Entry - SOF'!S$102,0)</f>
        <v>0</v>
      </c>
    </row>
    <row r="279" spans="1:22" ht="15.75">
      <c r="A279" s="382" t="s">
        <v>343</v>
      </c>
      <c r="B279" s="91">
        <v>52371633</v>
      </c>
      <c r="C279" s="944">
        <f>IF(A279='Data Entry - SOF'!B$2,'Report-SOF1718'!D$102,0)</f>
        <v>0</v>
      </c>
      <c r="D279" s="1037">
        <f>IF(A279='Data Entry - SOF'!B$2,'Data Entry - SOF'!#REF!,0)</f>
        <v>0</v>
      </c>
      <c r="E279" s="91">
        <f t="shared" si="24"/>
        <v>52371633</v>
      </c>
      <c r="F279" s="944">
        <f>IF(A279='Data Entry - SOF'!B$2,'Report-SOF1819'!D$102,0)</f>
        <v>0</v>
      </c>
      <c r="G279" s="1037">
        <f>IF(A279='Data Entry - SOF'!B$2,'Data Entry - SOF'!E$102,0)</f>
        <v>0</v>
      </c>
      <c r="H279" s="1038">
        <f t="shared" si="26"/>
        <v>52371633</v>
      </c>
      <c r="I279" s="944">
        <f>IF(A279='Data Entry - SOF'!B$2,'Report-SOF1920-HB3'!D$102,0)</f>
        <v>0</v>
      </c>
      <c r="J279" s="1037">
        <f>IF(A279='Data Entry - SOF'!B$2,'Data Entry - SOF'!G$102,0)</f>
        <v>0</v>
      </c>
      <c r="K279" s="717">
        <f t="shared" si="27"/>
        <v>52371633</v>
      </c>
      <c r="L279" s="944">
        <f>IF(A279='Data Entry - SOF'!B$2,'Report-SOF2021'!D$99,0)</f>
        <v>0</v>
      </c>
      <c r="M279" s="723">
        <f>IF(A279='Data Entry - SOF'!B$2,'Data Entry - SOF'!M$102,0)</f>
        <v>0</v>
      </c>
      <c r="N279" s="717">
        <f t="shared" si="28"/>
        <v>52371633</v>
      </c>
      <c r="O279" s="944">
        <f>IF(A279='Data Entry - SOF'!B$2,'Report-SOF2122'!D$91,0)</f>
        <v>0</v>
      </c>
      <c r="P279" s="723">
        <f>IF(A279='Data Entry - SOF'!B$2,'Data Entry - SOF'!O$102,0)</f>
        <v>0</v>
      </c>
      <c r="Q279" s="601">
        <f t="shared" si="25"/>
        <v>52371633</v>
      </c>
      <c r="R279" s="944">
        <f>IF(A279='Data Entry - SOF'!B$2,'Report-SOF2223'!D$91,0)</f>
        <v>0</v>
      </c>
      <c r="S279" s="723">
        <f>IF(A279='Data Entry - SOF'!B$2,'Data Entry - SOF'!Q$102,0)</f>
        <v>0</v>
      </c>
      <c r="T279" s="601">
        <f t="shared" si="29"/>
        <v>52371633</v>
      </c>
      <c r="U279" s="944">
        <f>IF(A279='Data Entry - SOF'!B$2,'Report-SOF2324'!D$91,0)</f>
        <v>0</v>
      </c>
      <c r="V279" s="723">
        <f>IF(A279='Data Entry - SOF'!B$2,'Data Entry - SOF'!S$102,0)</f>
        <v>0</v>
      </c>
    </row>
    <row r="280" spans="1:22" ht="15.75">
      <c r="A280" s="382" t="s">
        <v>721</v>
      </c>
      <c r="B280" s="91">
        <v>2541327</v>
      </c>
      <c r="C280" s="944">
        <f>IF(A280='Data Entry - SOF'!B$2,'Report-SOF1718'!D$102,0)</f>
        <v>0</v>
      </c>
      <c r="D280" s="1037">
        <f>IF(A280='Data Entry - SOF'!B$2,'Data Entry - SOF'!#REF!,0)</f>
        <v>0</v>
      </c>
      <c r="E280" s="91">
        <f t="shared" si="24"/>
        <v>2541327</v>
      </c>
      <c r="F280" s="944">
        <f>IF(A280='Data Entry - SOF'!B$2,'Report-SOF1819'!D$102,0)</f>
        <v>0</v>
      </c>
      <c r="G280" s="1037">
        <f>IF(A280='Data Entry - SOF'!B$2,'Data Entry - SOF'!E$102,0)</f>
        <v>0</v>
      </c>
      <c r="H280" s="1038">
        <f t="shared" si="26"/>
        <v>2541327</v>
      </c>
      <c r="I280" s="944">
        <f>IF(A280='Data Entry - SOF'!B$2,'Report-SOF1920-HB3'!D$102,0)</f>
        <v>0</v>
      </c>
      <c r="J280" s="1037">
        <f>IF(A280='Data Entry - SOF'!B$2,'Data Entry - SOF'!G$102,0)</f>
        <v>0</v>
      </c>
      <c r="K280" s="717">
        <f t="shared" si="27"/>
        <v>2541327</v>
      </c>
      <c r="L280" s="944">
        <f>IF(A280='Data Entry - SOF'!B$2,'Report-SOF2021'!D$99,0)</f>
        <v>0</v>
      </c>
      <c r="M280" s="723">
        <f>IF(A280='Data Entry - SOF'!B$2,'Data Entry - SOF'!M$102,0)</f>
        <v>0</v>
      </c>
      <c r="N280" s="717">
        <f t="shared" si="28"/>
        <v>2541327</v>
      </c>
      <c r="O280" s="944">
        <f>IF(A280='Data Entry - SOF'!B$2,'Report-SOF2122'!D$91,0)</f>
        <v>0</v>
      </c>
      <c r="P280" s="723">
        <f>IF(A280='Data Entry - SOF'!B$2,'Data Entry - SOF'!O$102,0)</f>
        <v>0</v>
      </c>
      <c r="Q280" s="601">
        <f t="shared" si="25"/>
        <v>2541327</v>
      </c>
      <c r="R280" s="944">
        <f>IF(A280='Data Entry - SOF'!B$2,'Report-SOF2223'!D$91,0)</f>
        <v>0</v>
      </c>
      <c r="S280" s="723">
        <f>IF(A280='Data Entry - SOF'!B$2,'Data Entry - SOF'!Q$102,0)</f>
        <v>0</v>
      </c>
      <c r="T280" s="601">
        <f t="shared" si="29"/>
        <v>2541327</v>
      </c>
      <c r="U280" s="944">
        <f>IF(A280='Data Entry - SOF'!B$2,'Report-SOF2324'!D$91,0)</f>
        <v>0</v>
      </c>
      <c r="V280" s="723">
        <f>IF(A280='Data Entry - SOF'!B$2,'Data Entry - SOF'!S$102,0)</f>
        <v>0</v>
      </c>
    </row>
    <row r="281" spans="1:22" ht="15.75">
      <c r="A281" s="382" t="s">
        <v>576</v>
      </c>
      <c r="B281" s="91">
        <v>8998651</v>
      </c>
      <c r="C281" s="944">
        <f>IF(A281='Data Entry - SOF'!B$2,'Report-SOF1718'!D$102,0)</f>
        <v>0</v>
      </c>
      <c r="D281" s="1037">
        <f>IF(A281='Data Entry - SOF'!B$2,'Data Entry - SOF'!#REF!,0)</f>
        <v>0</v>
      </c>
      <c r="E281" s="91">
        <f t="shared" si="24"/>
        <v>8998651</v>
      </c>
      <c r="F281" s="944">
        <f>IF(A281='Data Entry - SOF'!B$2,'Report-SOF1819'!D$102,0)</f>
        <v>0</v>
      </c>
      <c r="G281" s="1037">
        <f>IF(A281='Data Entry - SOF'!B$2,'Data Entry - SOF'!E$102,0)</f>
        <v>0</v>
      </c>
      <c r="H281" s="1038">
        <f t="shared" si="26"/>
        <v>8998651</v>
      </c>
      <c r="I281" s="944">
        <f>IF(A281='Data Entry - SOF'!B$2,'Report-SOF1920-HB3'!D$102,0)</f>
        <v>0</v>
      </c>
      <c r="J281" s="1037">
        <f>IF(A281='Data Entry - SOF'!B$2,'Data Entry - SOF'!G$102,0)</f>
        <v>0</v>
      </c>
      <c r="K281" s="717">
        <f t="shared" si="27"/>
        <v>8998651</v>
      </c>
      <c r="L281" s="944">
        <f>IF(A281='Data Entry - SOF'!B$2,'Report-SOF2021'!D$99,0)</f>
        <v>0</v>
      </c>
      <c r="M281" s="723">
        <f>IF(A281='Data Entry - SOF'!B$2,'Data Entry - SOF'!M$102,0)</f>
        <v>0</v>
      </c>
      <c r="N281" s="717">
        <f t="shared" si="28"/>
        <v>8998651</v>
      </c>
      <c r="O281" s="944">
        <f>IF(A281='Data Entry - SOF'!B$2,'Report-SOF2122'!D$91,0)</f>
        <v>0</v>
      </c>
      <c r="P281" s="723">
        <f>IF(A281='Data Entry - SOF'!B$2,'Data Entry - SOF'!O$102,0)</f>
        <v>0</v>
      </c>
      <c r="Q281" s="601">
        <f t="shared" si="25"/>
        <v>8998651</v>
      </c>
      <c r="R281" s="944">
        <f>IF(A281='Data Entry - SOF'!B$2,'Report-SOF2223'!D$91,0)</f>
        <v>0</v>
      </c>
      <c r="S281" s="723">
        <f>IF(A281='Data Entry - SOF'!B$2,'Data Entry - SOF'!Q$102,0)</f>
        <v>0</v>
      </c>
      <c r="T281" s="601">
        <f t="shared" si="29"/>
        <v>8998651</v>
      </c>
      <c r="U281" s="944">
        <f>IF(A281='Data Entry - SOF'!B$2,'Report-SOF2324'!D$91,0)</f>
        <v>0</v>
      </c>
      <c r="V281" s="723">
        <f>IF(A281='Data Entry - SOF'!B$2,'Data Entry - SOF'!S$102,0)</f>
        <v>0</v>
      </c>
    </row>
    <row r="282" spans="1:22" ht="15.75">
      <c r="A282" s="382" t="s">
        <v>2413</v>
      </c>
      <c r="B282" s="91">
        <v>75128922</v>
      </c>
      <c r="C282" s="944">
        <f>IF(A282='Data Entry - SOF'!B$2,'Report-SOF1718'!D$102,0)</f>
        <v>0</v>
      </c>
      <c r="D282" s="1037">
        <f>IF(A282='Data Entry - SOF'!B$2,'Data Entry - SOF'!#REF!,0)</f>
        <v>0</v>
      </c>
      <c r="E282" s="91">
        <f t="shared" si="24"/>
        <v>75128922</v>
      </c>
      <c r="F282" s="944">
        <f>IF(A282='Data Entry - SOF'!B$2,'Report-SOF1819'!D$102,0)</f>
        <v>0</v>
      </c>
      <c r="G282" s="1037">
        <f>IF(A282='Data Entry - SOF'!B$2,'Data Entry - SOF'!E$102,0)</f>
        <v>0</v>
      </c>
      <c r="H282" s="1038">
        <f t="shared" si="26"/>
        <v>75128922</v>
      </c>
      <c r="I282" s="944">
        <f>IF(A282='Data Entry - SOF'!B$2,'Report-SOF1920-HB3'!D$102,0)</f>
        <v>0</v>
      </c>
      <c r="J282" s="1037">
        <f>IF(A282='Data Entry - SOF'!B$2,'Data Entry - SOF'!G$102,0)</f>
        <v>0</v>
      </c>
      <c r="K282" s="717">
        <f t="shared" si="27"/>
        <v>75128922</v>
      </c>
      <c r="L282" s="944">
        <f>IF(A282='Data Entry - SOF'!B$2,'Report-SOF2021'!D$99,0)</f>
        <v>0</v>
      </c>
      <c r="M282" s="723">
        <f>IF(A282='Data Entry - SOF'!B$2,'Data Entry - SOF'!M$102,0)</f>
        <v>0</v>
      </c>
      <c r="N282" s="717">
        <f t="shared" si="28"/>
        <v>75128922</v>
      </c>
      <c r="O282" s="944">
        <f>IF(A282='Data Entry - SOF'!B$2,'Report-SOF2122'!D$91,0)</f>
        <v>0</v>
      </c>
      <c r="P282" s="723">
        <f>IF(A282='Data Entry - SOF'!B$2,'Data Entry - SOF'!O$102,0)</f>
        <v>0</v>
      </c>
      <c r="Q282" s="601">
        <f t="shared" si="25"/>
        <v>75128922</v>
      </c>
      <c r="R282" s="944">
        <f>IF(A282='Data Entry - SOF'!B$2,'Report-SOF2223'!D$91,0)</f>
        <v>0</v>
      </c>
      <c r="S282" s="723">
        <f>IF(A282='Data Entry - SOF'!B$2,'Data Entry - SOF'!Q$102,0)</f>
        <v>0</v>
      </c>
      <c r="T282" s="601">
        <f t="shared" si="29"/>
        <v>75128922</v>
      </c>
      <c r="U282" s="944">
        <f>IF(A282='Data Entry - SOF'!B$2,'Report-SOF2324'!D$91,0)</f>
        <v>0</v>
      </c>
      <c r="V282" s="723">
        <f>IF(A282='Data Entry - SOF'!B$2,'Data Entry - SOF'!S$102,0)</f>
        <v>0</v>
      </c>
    </row>
    <row r="283" spans="1:22" ht="15.75">
      <c r="A283" s="382" t="s">
        <v>775</v>
      </c>
      <c r="B283" s="91">
        <v>1588977</v>
      </c>
      <c r="C283" s="944">
        <f>IF(A283='Data Entry - SOF'!B$2,'Report-SOF1718'!D$102,0)</f>
        <v>0</v>
      </c>
      <c r="D283" s="1037">
        <f>IF(A283='Data Entry - SOF'!B$2,'Data Entry - SOF'!#REF!,0)</f>
        <v>0</v>
      </c>
      <c r="E283" s="91">
        <f t="shared" si="24"/>
        <v>1588977</v>
      </c>
      <c r="F283" s="944">
        <f>IF(A283='Data Entry - SOF'!B$2,'Report-SOF1819'!D$102,0)</f>
        <v>0</v>
      </c>
      <c r="G283" s="1037">
        <f>IF(A283='Data Entry - SOF'!B$2,'Data Entry - SOF'!E$102,0)</f>
        <v>0</v>
      </c>
      <c r="H283" s="1038">
        <f t="shared" si="26"/>
        <v>1588977</v>
      </c>
      <c r="I283" s="944">
        <f>IF(A283='Data Entry - SOF'!B$2,'Report-SOF1920-HB3'!D$102,0)</f>
        <v>0</v>
      </c>
      <c r="J283" s="1037">
        <f>IF(A283='Data Entry - SOF'!B$2,'Data Entry - SOF'!G$102,0)</f>
        <v>0</v>
      </c>
      <c r="K283" s="717">
        <f t="shared" si="27"/>
        <v>1588977</v>
      </c>
      <c r="L283" s="944">
        <f>IF(A283='Data Entry - SOF'!B$2,'Report-SOF2021'!D$99,0)</f>
        <v>0</v>
      </c>
      <c r="M283" s="723">
        <f>IF(A283='Data Entry - SOF'!B$2,'Data Entry - SOF'!M$102,0)</f>
        <v>0</v>
      </c>
      <c r="N283" s="717">
        <f t="shared" si="28"/>
        <v>1588977</v>
      </c>
      <c r="O283" s="944">
        <f>IF(A283='Data Entry - SOF'!B$2,'Report-SOF2122'!D$91,0)</f>
        <v>0</v>
      </c>
      <c r="P283" s="723">
        <f>IF(A283='Data Entry - SOF'!B$2,'Data Entry - SOF'!O$102,0)</f>
        <v>0</v>
      </c>
      <c r="Q283" s="601">
        <f t="shared" si="25"/>
        <v>1588977</v>
      </c>
      <c r="R283" s="944">
        <f>IF(A283='Data Entry - SOF'!B$2,'Report-SOF2223'!D$91,0)</f>
        <v>0</v>
      </c>
      <c r="S283" s="723">
        <f>IF(A283='Data Entry - SOF'!B$2,'Data Entry - SOF'!Q$102,0)</f>
        <v>0</v>
      </c>
      <c r="T283" s="601">
        <f t="shared" si="29"/>
        <v>1588977</v>
      </c>
      <c r="U283" s="944">
        <f>IF(A283='Data Entry - SOF'!B$2,'Report-SOF2324'!D$91,0)</f>
        <v>0</v>
      </c>
      <c r="V283" s="723">
        <f>IF(A283='Data Entry - SOF'!B$2,'Data Entry - SOF'!S$102,0)</f>
        <v>0</v>
      </c>
    </row>
    <row r="284" spans="1:22" ht="15.75">
      <c r="A284" s="382" t="s">
        <v>184</v>
      </c>
      <c r="B284" s="91">
        <v>387745</v>
      </c>
      <c r="C284" s="944">
        <f>IF(A284='Data Entry - SOF'!B$2,'Report-SOF1718'!D$102,0)</f>
        <v>0</v>
      </c>
      <c r="D284" s="1037">
        <f>IF(A284='Data Entry - SOF'!B$2,'Data Entry - SOF'!#REF!,0)</f>
        <v>0</v>
      </c>
      <c r="E284" s="91">
        <f t="shared" si="24"/>
        <v>387745</v>
      </c>
      <c r="F284" s="944">
        <f>IF(A284='Data Entry - SOF'!B$2,'Report-SOF1819'!D$102,0)</f>
        <v>0</v>
      </c>
      <c r="G284" s="1037">
        <f>IF(A284='Data Entry - SOF'!B$2,'Data Entry - SOF'!E$102,0)</f>
        <v>0</v>
      </c>
      <c r="H284" s="1038">
        <f t="shared" si="26"/>
        <v>387745</v>
      </c>
      <c r="I284" s="944">
        <f>IF(A284='Data Entry - SOF'!B$2,'Report-SOF1920-HB3'!D$102,0)</f>
        <v>0</v>
      </c>
      <c r="J284" s="1037">
        <f>IF(A284='Data Entry - SOF'!B$2,'Data Entry - SOF'!G$102,0)</f>
        <v>0</v>
      </c>
      <c r="K284" s="717">
        <f t="shared" si="27"/>
        <v>387745</v>
      </c>
      <c r="L284" s="944">
        <f>IF(A284='Data Entry - SOF'!B$2,'Report-SOF2021'!D$99,0)</f>
        <v>0</v>
      </c>
      <c r="M284" s="723">
        <f>IF(A284='Data Entry - SOF'!B$2,'Data Entry - SOF'!M$102,0)</f>
        <v>0</v>
      </c>
      <c r="N284" s="717">
        <f t="shared" si="28"/>
        <v>387745</v>
      </c>
      <c r="O284" s="944">
        <f>IF(A284='Data Entry - SOF'!B$2,'Report-SOF2122'!D$91,0)</f>
        <v>0</v>
      </c>
      <c r="P284" s="723">
        <f>IF(A284='Data Entry - SOF'!B$2,'Data Entry - SOF'!O$102,0)</f>
        <v>0</v>
      </c>
      <c r="Q284" s="601">
        <f t="shared" si="25"/>
        <v>387745</v>
      </c>
      <c r="R284" s="944">
        <f>IF(A284='Data Entry - SOF'!B$2,'Report-SOF2223'!D$91,0)</f>
        <v>0</v>
      </c>
      <c r="S284" s="723">
        <f>IF(A284='Data Entry - SOF'!B$2,'Data Entry - SOF'!Q$102,0)</f>
        <v>0</v>
      </c>
      <c r="T284" s="601">
        <f t="shared" si="29"/>
        <v>387745</v>
      </c>
      <c r="U284" s="944">
        <f>IF(A284='Data Entry - SOF'!B$2,'Report-SOF2324'!D$91,0)</f>
        <v>0</v>
      </c>
      <c r="V284" s="723">
        <f>IF(A284='Data Entry - SOF'!B$2,'Data Entry - SOF'!S$102,0)</f>
        <v>0</v>
      </c>
    </row>
    <row r="285" spans="1:22" ht="15.75">
      <c r="A285" s="382" t="s">
        <v>1186</v>
      </c>
      <c r="B285" s="91">
        <v>40691848</v>
      </c>
      <c r="C285" s="944">
        <f>IF(A285='Data Entry - SOF'!B$2,'Report-SOF1718'!D$102,0)</f>
        <v>0</v>
      </c>
      <c r="D285" s="1037">
        <f>IF(A285='Data Entry - SOF'!B$2,'Data Entry - SOF'!#REF!,0)</f>
        <v>0</v>
      </c>
      <c r="E285" s="91">
        <f t="shared" si="24"/>
        <v>40691848</v>
      </c>
      <c r="F285" s="944">
        <f>IF(A285='Data Entry - SOF'!B$2,'Report-SOF1819'!D$102,0)</f>
        <v>0</v>
      </c>
      <c r="G285" s="1037">
        <f>IF(A285='Data Entry - SOF'!B$2,'Data Entry - SOF'!E$102,0)</f>
        <v>0</v>
      </c>
      <c r="H285" s="1038">
        <f t="shared" si="26"/>
        <v>40691848</v>
      </c>
      <c r="I285" s="944">
        <f>IF(A285='Data Entry - SOF'!B$2,'Report-SOF1920-HB3'!D$102,0)</f>
        <v>0</v>
      </c>
      <c r="J285" s="1037">
        <f>IF(A285='Data Entry - SOF'!B$2,'Data Entry - SOF'!G$102,0)</f>
        <v>0</v>
      </c>
      <c r="K285" s="717">
        <f t="shared" si="27"/>
        <v>40691848</v>
      </c>
      <c r="L285" s="944">
        <f>IF(A285='Data Entry - SOF'!B$2,'Report-SOF2021'!D$99,0)</f>
        <v>0</v>
      </c>
      <c r="M285" s="723">
        <f>IF(A285='Data Entry - SOF'!B$2,'Data Entry - SOF'!M$102,0)</f>
        <v>0</v>
      </c>
      <c r="N285" s="717">
        <f t="shared" si="28"/>
        <v>40691848</v>
      </c>
      <c r="O285" s="944">
        <f>IF(A285='Data Entry - SOF'!B$2,'Report-SOF2122'!D$91,0)</f>
        <v>0</v>
      </c>
      <c r="P285" s="723">
        <f>IF(A285='Data Entry - SOF'!B$2,'Data Entry - SOF'!O$102,0)</f>
        <v>0</v>
      </c>
      <c r="Q285" s="601">
        <f t="shared" si="25"/>
        <v>40691848</v>
      </c>
      <c r="R285" s="944">
        <f>IF(A285='Data Entry - SOF'!B$2,'Report-SOF2223'!D$91,0)</f>
        <v>0</v>
      </c>
      <c r="S285" s="723">
        <f>IF(A285='Data Entry - SOF'!B$2,'Data Entry - SOF'!Q$102,0)</f>
        <v>0</v>
      </c>
      <c r="T285" s="601">
        <f t="shared" si="29"/>
        <v>40691848</v>
      </c>
      <c r="U285" s="944">
        <f>IF(A285='Data Entry - SOF'!B$2,'Report-SOF2324'!D$91,0)</f>
        <v>0</v>
      </c>
      <c r="V285" s="723">
        <f>IF(A285='Data Entry - SOF'!B$2,'Data Entry - SOF'!S$102,0)</f>
        <v>0</v>
      </c>
    </row>
    <row r="286" spans="1:22" ht="15.75">
      <c r="A286" s="382" t="s">
        <v>2098</v>
      </c>
      <c r="B286" s="91">
        <v>1918868</v>
      </c>
      <c r="C286" s="944">
        <f>IF(A286='Data Entry - SOF'!B$2,'Report-SOF1718'!D$102,0)</f>
        <v>0</v>
      </c>
      <c r="D286" s="1037">
        <f>IF(A286='Data Entry - SOF'!B$2,'Data Entry - SOF'!#REF!,0)</f>
        <v>0</v>
      </c>
      <c r="E286" s="91">
        <f t="shared" si="24"/>
        <v>1918868</v>
      </c>
      <c r="F286" s="944">
        <f>IF(A286='Data Entry - SOF'!B$2,'Report-SOF1819'!D$102,0)</f>
        <v>0</v>
      </c>
      <c r="G286" s="1037">
        <f>IF(A286='Data Entry - SOF'!B$2,'Data Entry - SOF'!E$102,0)</f>
        <v>0</v>
      </c>
      <c r="H286" s="1038">
        <f t="shared" si="26"/>
        <v>1918868</v>
      </c>
      <c r="I286" s="944">
        <f>IF(A286='Data Entry - SOF'!B$2,'Report-SOF1920-HB3'!D$102,0)</f>
        <v>0</v>
      </c>
      <c r="J286" s="1037">
        <f>IF(A286='Data Entry - SOF'!B$2,'Data Entry - SOF'!G$102,0)</f>
        <v>0</v>
      </c>
      <c r="K286" s="717">
        <f t="shared" si="27"/>
        <v>1918868</v>
      </c>
      <c r="L286" s="944">
        <f>IF(A286='Data Entry - SOF'!B$2,'Report-SOF2021'!D$99,0)</f>
        <v>0</v>
      </c>
      <c r="M286" s="723">
        <f>IF(A286='Data Entry - SOF'!B$2,'Data Entry - SOF'!M$102,0)</f>
        <v>0</v>
      </c>
      <c r="N286" s="717">
        <f t="shared" si="28"/>
        <v>1918868</v>
      </c>
      <c r="O286" s="944">
        <f>IF(A286='Data Entry - SOF'!B$2,'Report-SOF2122'!D$91,0)</f>
        <v>0</v>
      </c>
      <c r="P286" s="723">
        <f>IF(A286='Data Entry - SOF'!B$2,'Data Entry - SOF'!O$102,0)</f>
        <v>0</v>
      </c>
      <c r="Q286" s="601">
        <f t="shared" si="25"/>
        <v>1918868</v>
      </c>
      <c r="R286" s="944">
        <f>IF(A286='Data Entry - SOF'!B$2,'Report-SOF2223'!D$91,0)</f>
        <v>0</v>
      </c>
      <c r="S286" s="723">
        <f>IF(A286='Data Entry - SOF'!B$2,'Data Entry - SOF'!Q$102,0)</f>
        <v>0</v>
      </c>
      <c r="T286" s="601">
        <f t="shared" si="29"/>
        <v>1918868</v>
      </c>
      <c r="U286" s="944">
        <f>IF(A286='Data Entry - SOF'!B$2,'Report-SOF2324'!D$91,0)</f>
        <v>0</v>
      </c>
      <c r="V286" s="723">
        <f>IF(A286='Data Entry - SOF'!B$2,'Data Entry - SOF'!S$102,0)</f>
        <v>0</v>
      </c>
    </row>
    <row r="287" spans="1:22" ht="15.75">
      <c r="A287" s="382" t="s">
        <v>1888</v>
      </c>
      <c r="B287" s="91">
        <v>14508942</v>
      </c>
      <c r="C287" s="944">
        <f>IF(A287='Data Entry - SOF'!B$2,'Report-SOF1718'!D$102,0)</f>
        <v>0</v>
      </c>
      <c r="D287" s="1037">
        <f>IF(A287='Data Entry - SOF'!B$2,'Data Entry - SOF'!#REF!,0)</f>
        <v>0</v>
      </c>
      <c r="E287" s="91">
        <f t="shared" si="24"/>
        <v>14508942</v>
      </c>
      <c r="F287" s="944">
        <f>IF(A287='Data Entry - SOF'!B$2,'Report-SOF1819'!D$102,0)</f>
        <v>0</v>
      </c>
      <c r="G287" s="1037">
        <f>IF(A287='Data Entry - SOF'!B$2,'Data Entry - SOF'!E$102,0)</f>
        <v>0</v>
      </c>
      <c r="H287" s="1038">
        <f t="shared" si="26"/>
        <v>14508942</v>
      </c>
      <c r="I287" s="944">
        <f>IF(A287='Data Entry - SOF'!B$2,'Report-SOF1920-HB3'!D$102,0)</f>
        <v>0</v>
      </c>
      <c r="J287" s="1037">
        <f>IF(A287='Data Entry - SOF'!B$2,'Data Entry - SOF'!G$102,0)</f>
        <v>0</v>
      </c>
      <c r="K287" s="717">
        <f t="shared" si="27"/>
        <v>14508942</v>
      </c>
      <c r="L287" s="944">
        <f>IF(A287='Data Entry - SOF'!B$2,'Report-SOF2021'!D$99,0)</f>
        <v>0</v>
      </c>
      <c r="M287" s="723">
        <f>IF(A287='Data Entry - SOF'!B$2,'Data Entry - SOF'!M$102,0)</f>
        <v>0</v>
      </c>
      <c r="N287" s="717">
        <f t="shared" si="28"/>
        <v>14508942</v>
      </c>
      <c r="O287" s="944">
        <f>IF(A287='Data Entry - SOF'!B$2,'Report-SOF2122'!D$91,0)</f>
        <v>0</v>
      </c>
      <c r="P287" s="723">
        <f>IF(A287='Data Entry - SOF'!B$2,'Data Entry - SOF'!O$102,0)</f>
        <v>0</v>
      </c>
      <c r="Q287" s="601">
        <f t="shared" si="25"/>
        <v>14508942</v>
      </c>
      <c r="R287" s="944">
        <f>IF(A287='Data Entry - SOF'!B$2,'Report-SOF2223'!D$91,0)</f>
        <v>0</v>
      </c>
      <c r="S287" s="723">
        <f>IF(A287='Data Entry - SOF'!B$2,'Data Entry - SOF'!Q$102,0)</f>
        <v>0</v>
      </c>
      <c r="T287" s="601">
        <f t="shared" si="29"/>
        <v>14508942</v>
      </c>
      <c r="U287" s="944">
        <f>IF(A287='Data Entry - SOF'!B$2,'Report-SOF2324'!D$91,0)</f>
        <v>0</v>
      </c>
      <c r="V287" s="723">
        <f>IF(A287='Data Entry - SOF'!B$2,'Data Entry - SOF'!S$102,0)</f>
        <v>0</v>
      </c>
    </row>
    <row r="288" spans="1:22" ht="15.75">
      <c r="A288" s="382" t="s">
        <v>1517</v>
      </c>
      <c r="B288" s="91">
        <v>536477</v>
      </c>
      <c r="C288" s="944">
        <f>IF(A288='Data Entry - SOF'!B$2,'Report-SOF1718'!D$102,0)</f>
        <v>0</v>
      </c>
      <c r="D288" s="1037">
        <f>IF(A288='Data Entry - SOF'!B$2,'Data Entry - SOF'!#REF!,0)</f>
        <v>0</v>
      </c>
      <c r="E288" s="91">
        <f t="shared" si="24"/>
        <v>536477</v>
      </c>
      <c r="F288" s="944">
        <f>IF(A288='Data Entry - SOF'!B$2,'Report-SOF1819'!D$102,0)</f>
        <v>0</v>
      </c>
      <c r="G288" s="1037">
        <f>IF(A288='Data Entry - SOF'!B$2,'Data Entry - SOF'!E$102,0)</f>
        <v>0</v>
      </c>
      <c r="H288" s="1038">
        <f t="shared" si="26"/>
        <v>536477</v>
      </c>
      <c r="I288" s="944">
        <f>IF(A288='Data Entry - SOF'!B$2,'Report-SOF1920-HB3'!D$102,0)</f>
        <v>0</v>
      </c>
      <c r="J288" s="1037">
        <f>IF(A288='Data Entry - SOF'!B$2,'Data Entry - SOF'!G$102,0)</f>
        <v>0</v>
      </c>
      <c r="K288" s="717">
        <f t="shared" si="27"/>
        <v>536477</v>
      </c>
      <c r="L288" s="944">
        <f>IF(A288='Data Entry - SOF'!B$2,'Report-SOF2021'!D$99,0)</f>
        <v>0</v>
      </c>
      <c r="M288" s="723">
        <f>IF(A288='Data Entry - SOF'!B$2,'Data Entry - SOF'!M$102,0)</f>
        <v>0</v>
      </c>
      <c r="N288" s="717">
        <f t="shared" si="28"/>
        <v>536477</v>
      </c>
      <c r="O288" s="944">
        <f>IF(A288='Data Entry - SOF'!B$2,'Report-SOF2122'!D$91,0)</f>
        <v>0</v>
      </c>
      <c r="P288" s="723">
        <f>IF(A288='Data Entry - SOF'!B$2,'Data Entry - SOF'!O$102,0)</f>
        <v>0</v>
      </c>
      <c r="Q288" s="601">
        <f t="shared" si="25"/>
        <v>536477</v>
      </c>
      <c r="R288" s="944">
        <f>IF(A288='Data Entry - SOF'!B$2,'Report-SOF2223'!D$91,0)</f>
        <v>0</v>
      </c>
      <c r="S288" s="723">
        <f>IF(A288='Data Entry - SOF'!B$2,'Data Entry - SOF'!Q$102,0)</f>
        <v>0</v>
      </c>
      <c r="T288" s="601">
        <f t="shared" si="29"/>
        <v>536477</v>
      </c>
      <c r="U288" s="944">
        <f>IF(A288='Data Entry - SOF'!B$2,'Report-SOF2324'!D$91,0)</f>
        <v>0</v>
      </c>
      <c r="V288" s="723">
        <f>IF(A288='Data Entry - SOF'!B$2,'Data Entry - SOF'!S$102,0)</f>
        <v>0</v>
      </c>
    </row>
    <row r="289" spans="1:22" ht="15.75">
      <c r="A289" s="382" t="s">
        <v>1151</v>
      </c>
      <c r="B289" s="91">
        <v>55863911</v>
      </c>
      <c r="C289" s="944">
        <f>IF(A289='Data Entry - SOF'!B$2,'Report-SOF1718'!D$102,0)</f>
        <v>0</v>
      </c>
      <c r="D289" s="1037">
        <f>IF(A289='Data Entry - SOF'!B$2,'Data Entry - SOF'!#REF!,0)</f>
        <v>0</v>
      </c>
      <c r="E289" s="91">
        <f t="shared" si="24"/>
        <v>55863911</v>
      </c>
      <c r="F289" s="944">
        <f>IF(A289='Data Entry - SOF'!B$2,'Report-SOF1819'!D$102,0)</f>
        <v>0</v>
      </c>
      <c r="G289" s="1037">
        <f>IF(A289='Data Entry - SOF'!B$2,'Data Entry - SOF'!E$102,0)</f>
        <v>0</v>
      </c>
      <c r="H289" s="1038">
        <f t="shared" si="26"/>
        <v>55863911</v>
      </c>
      <c r="I289" s="944">
        <f>IF(A289='Data Entry - SOF'!B$2,'Report-SOF1920-HB3'!D$102,0)</f>
        <v>0</v>
      </c>
      <c r="J289" s="1037">
        <f>IF(A289='Data Entry - SOF'!B$2,'Data Entry - SOF'!G$102,0)</f>
        <v>0</v>
      </c>
      <c r="K289" s="717">
        <f t="shared" si="27"/>
        <v>55863911</v>
      </c>
      <c r="L289" s="944">
        <f>IF(A289='Data Entry - SOF'!B$2,'Report-SOF2021'!D$99,0)</f>
        <v>0</v>
      </c>
      <c r="M289" s="723">
        <f>IF(A289='Data Entry - SOF'!B$2,'Data Entry - SOF'!M$102,0)</f>
        <v>0</v>
      </c>
      <c r="N289" s="717">
        <f t="shared" si="28"/>
        <v>55863911</v>
      </c>
      <c r="O289" s="944">
        <f>IF(A289='Data Entry - SOF'!B$2,'Report-SOF2122'!D$91,0)</f>
        <v>0</v>
      </c>
      <c r="P289" s="723">
        <f>IF(A289='Data Entry - SOF'!B$2,'Data Entry - SOF'!O$102,0)</f>
        <v>0</v>
      </c>
      <c r="Q289" s="601">
        <f t="shared" si="25"/>
        <v>55863911</v>
      </c>
      <c r="R289" s="944">
        <f>IF(A289='Data Entry - SOF'!B$2,'Report-SOF2223'!D$91,0)</f>
        <v>0</v>
      </c>
      <c r="S289" s="723">
        <f>IF(A289='Data Entry - SOF'!B$2,'Data Entry - SOF'!Q$102,0)</f>
        <v>0</v>
      </c>
      <c r="T289" s="601">
        <f t="shared" si="29"/>
        <v>55863911</v>
      </c>
      <c r="U289" s="944">
        <f>IF(A289='Data Entry - SOF'!B$2,'Report-SOF2324'!D$91,0)</f>
        <v>0</v>
      </c>
      <c r="V289" s="723">
        <f>IF(A289='Data Entry - SOF'!B$2,'Data Entry - SOF'!S$102,0)</f>
        <v>0</v>
      </c>
    </row>
    <row r="290" spans="1:22" ht="15.75">
      <c r="A290" s="382" t="s">
        <v>2414</v>
      </c>
      <c r="B290" s="91">
        <v>284331</v>
      </c>
      <c r="C290" s="944">
        <f>IF(A290='Data Entry - SOF'!B$2,'Report-SOF1718'!D$102,0)</f>
        <v>0</v>
      </c>
      <c r="D290" s="1037">
        <f>IF(A290='Data Entry - SOF'!B$2,'Data Entry - SOF'!#REF!,0)</f>
        <v>0</v>
      </c>
      <c r="E290" s="91">
        <f t="shared" si="24"/>
        <v>284331</v>
      </c>
      <c r="F290" s="944">
        <f>IF(A290='Data Entry - SOF'!B$2,'Report-SOF1819'!D$102,0)</f>
        <v>0</v>
      </c>
      <c r="G290" s="1037">
        <f>IF(A290='Data Entry - SOF'!B$2,'Data Entry - SOF'!E$102,0)</f>
        <v>0</v>
      </c>
      <c r="H290" s="1038">
        <f t="shared" si="26"/>
        <v>284331</v>
      </c>
      <c r="I290" s="944">
        <f>IF(A290='Data Entry - SOF'!B$2,'Report-SOF1920-HB3'!D$102,0)</f>
        <v>0</v>
      </c>
      <c r="J290" s="1037">
        <f>IF(A290='Data Entry - SOF'!B$2,'Data Entry - SOF'!G$102,0)</f>
        <v>0</v>
      </c>
      <c r="K290" s="717">
        <f t="shared" si="27"/>
        <v>284331</v>
      </c>
      <c r="L290" s="944">
        <f>IF(A290='Data Entry - SOF'!B$2,'Report-SOF2021'!D$99,0)</f>
        <v>0</v>
      </c>
      <c r="M290" s="723">
        <f>IF(A290='Data Entry - SOF'!B$2,'Data Entry - SOF'!M$102,0)</f>
        <v>0</v>
      </c>
      <c r="N290" s="717">
        <f t="shared" si="28"/>
        <v>284331</v>
      </c>
      <c r="O290" s="944">
        <f>IF(A290='Data Entry - SOF'!B$2,'Report-SOF2122'!D$91,0)</f>
        <v>0</v>
      </c>
      <c r="P290" s="723">
        <f>IF(A290='Data Entry - SOF'!B$2,'Data Entry - SOF'!O$102,0)</f>
        <v>0</v>
      </c>
      <c r="Q290" s="601">
        <f t="shared" si="25"/>
        <v>284331</v>
      </c>
      <c r="R290" s="944">
        <f>IF(A290='Data Entry - SOF'!B$2,'Report-SOF2223'!D$91,0)</f>
        <v>0</v>
      </c>
      <c r="S290" s="723">
        <f>IF(A290='Data Entry - SOF'!B$2,'Data Entry - SOF'!Q$102,0)</f>
        <v>0</v>
      </c>
      <c r="T290" s="601">
        <f t="shared" si="29"/>
        <v>284331</v>
      </c>
      <c r="U290" s="944">
        <f>IF(A290='Data Entry - SOF'!B$2,'Report-SOF2324'!D$91,0)</f>
        <v>0</v>
      </c>
      <c r="V290" s="723">
        <f>IF(A290='Data Entry - SOF'!B$2,'Data Entry - SOF'!S$102,0)</f>
        <v>0</v>
      </c>
    </row>
    <row r="291" spans="1:22" ht="15.75">
      <c r="A291" s="382" t="s">
        <v>2415</v>
      </c>
      <c r="B291" s="91">
        <v>841206</v>
      </c>
      <c r="C291" s="944">
        <f>IF(A291='Data Entry - SOF'!B$2,'Report-SOF1718'!D$102,0)</f>
        <v>0</v>
      </c>
      <c r="D291" s="1037">
        <f>IF(A291='Data Entry - SOF'!B$2,'Data Entry - SOF'!#REF!,0)</f>
        <v>0</v>
      </c>
      <c r="E291" s="91">
        <f t="shared" si="24"/>
        <v>841206</v>
      </c>
      <c r="F291" s="944">
        <f>IF(A291='Data Entry - SOF'!B$2,'Report-SOF1819'!D$102,0)</f>
        <v>0</v>
      </c>
      <c r="G291" s="1037">
        <f>IF(A291='Data Entry - SOF'!B$2,'Data Entry - SOF'!E$102,0)</f>
        <v>0</v>
      </c>
      <c r="H291" s="1038">
        <f t="shared" si="26"/>
        <v>841206</v>
      </c>
      <c r="I291" s="944">
        <f>IF(A291='Data Entry - SOF'!B$2,'Report-SOF1920-HB3'!D$102,0)</f>
        <v>0</v>
      </c>
      <c r="J291" s="1037">
        <f>IF(A291='Data Entry - SOF'!B$2,'Data Entry - SOF'!G$102,0)</f>
        <v>0</v>
      </c>
      <c r="K291" s="717">
        <f t="shared" si="27"/>
        <v>841206</v>
      </c>
      <c r="L291" s="944">
        <f>IF(A291='Data Entry - SOF'!B$2,'Report-SOF2021'!D$99,0)</f>
        <v>0</v>
      </c>
      <c r="M291" s="723">
        <f>IF(A291='Data Entry - SOF'!B$2,'Data Entry - SOF'!M$102,0)</f>
        <v>0</v>
      </c>
      <c r="N291" s="717">
        <f t="shared" si="28"/>
        <v>841206</v>
      </c>
      <c r="O291" s="944">
        <f>IF(A291='Data Entry - SOF'!B$2,'Report-SOF2122'!D$91,0)</f>
        <v>0</v>
      </c>
      <c r="P291" s="723">
        <f>IF(A291='Data Entry - SOF'!B$2,'Data Entry - SOF'!O$102,0)</f>
        <v>0</v>
      </c>
      <c r="Q291" s="601">
        <f t="shared" si="25"/>
        <v>841206</v>
      </c>
      <c r="R291" s="944">
        <f>IF(A291='Data Entry - SOF'!B$2,'Report-SOF2223'!D$91,0)</f>
        <v>0</v>
      </c>
      <c r="S291" s="723">
        <f>IF(A291='Data Entry - SOF'!B$2,'Data Entry - SOF'!Q$102,0)</f>
        <v>0</v>
      </c>
      <c r="T291" s="601">
        <f t="shared" si="29"/>
        <v>841206</v>
      </c>
      <c r="U291" s="944">
        <f>IF(A291='Data Entry - SOF'!B$2,'Report-SOF2324'!D$91,0)</f>
        <v>0</v>
      </c>
      <c r="V291" s="723">
        <f>IF(A291='Data Entry - SOF'!B$2,'Data Entry - SOF'!S$102,0)</f>
        <v>0</v>
      </c>
    </row>
    <row r="292" spans="1:22" ht="15.75">
      <c r="A292" s="382" t="s">
        <v>1511</v>
      </c>
      <c r="B292" s="91">
        <v>9039575</v>
      </c>
      <c r="C292" s="944">
        <f>IF(A292='Data Entry - SOF'!B$2,'Report-SOF1718'!D$102,0)</f>
        <v>0</v>
      </c>
      <c r="D292" s="1037">
        <f>IF(A292='Data Entry - SOF'!B$2,'Data Entry - SOF'!#REF!,0)</f>
        <v>0</v>
      </c>
      <c r="E292" s="91">
        <f t="shared" si="24"/>
        <v>9039575</v>
      </c>
      <c r="F292" s="944">
        <f>IF(A292='Data Entry - SOF'!B$2,'Report-SOF1819'!D$102,0)</f>
        <v>0</v>
      </c>
      <c r="G292" s="1037">
        <f>IF(A292='Data Entry - SOF'!B$2,'Data Entry - SOF'!E$102,0)</f>
        <v>0</v>
      </c>
      <c r="H292" s="1038">
        <f t="shared" si="26"/>
        <v>9039575</v>
      </c>
      <c r="I292" s="944">
        <f>IF(A292='Data Entry - SOF'!B$2,'Report-SOF1920-HB3'!D$102,0)</f>
        <v>0</v>
      </c>
      <c r="J292" s="1037">
        <f>IF(A292='Data Entry - SOF'!B$2,'Data Entry - SOF'!G$102,0)</f>
        <v>0</v>
      </c>
      <c r="K292" s="717">
        <f t="shared" si="27"/>
        <v>9039575</v>
      </c>
      <c r="L292" s="944">
        <f>IF(A292='Data Entry - SOF'!B$2,'Report-SOF2021'!D$99,0)</f>
        <v>0</v>
      </c>
      <c r="M292" s="723">
        <f>IF(A292='Data Entry - SOF'!B$2,'Data Entry - SOF'!M$102,0)</f>
        <v>0</v>
      </c>
      <c r="N292" s="717">
        <f t="shared" si="28"/>
        <v>9039575</v>
      </c>
      <c r="O292" s="944">
        <f>IF(A292='Data Entry - SOF'!B$2,'Report-SOF2122'!D$91,0)</f>
        <v>0</v>
      </c>
      <c r="P292" s="723">
        <f>IF(A292='Data Entry - SOF'!B$2,'Data Entry - SOF'!O$102,0)</f>
        <v>0</v>
      </c>
      <c r="Q292" s="601">
        <f t="shared" si="25"/>
        <v>9039575</v>
      </c>
      <c r="R292" s="944">
        <f>IF(A292='Data Entry - SOF'!B$2,'Report-SOF2223'!D$91,0)</f>
        <v>0</v>
      </c>
      <c r="S292" s="723">
        <f>IF(A292='Data Entry - SOF'!B$2,'Data Entry - SOF'!Q$102,0)</f>
        <v>0</v>
      </c>
      <c r="T292" s="601">
        <f t="shared" si="29"/>
        <v>9039575</v>
      </c>
      <c r="U292" s="944">
        <f>IF(A292='Data Entry - SOF'!B$2,'Report-SOF2324'!D$91,0)</f>
        <v>0</v>
      </c>
      <c r="V292" s="723">
        <f>IF(A292='Data Entry - SOF'!B$2,'Data Entry - SOF'!S$102,0)</f>
        <v>0</v>
      </c>
    </row>
    <row r="293" spans="1:22" ht="15.75">
      <c r="A293" s="382" t="s">
        <v>1830</v>
      </c>
      <c r="B293" s="91">
        <v>903883</v>
      </c>
      <c r="C293" s="944">
        <f>IF(A293='Data Entry - SOF'!B$2,'Report-SOF1718'!D$102,0)</f>
        <v>0</v>
      </c>
      <c r="D293" s="1037">
        <f>IF(A293='Data Entry - SOF'!B$2,'Data Entry - SOF'!#REF!,0)</f>
        <v>0</v>
      </c>
      <c r="E293" s="91">
        <f t="shared" si="24"/>
        <v>903883</v>
      </c>
      <c r="F293" s="944">
        <f>IF(A293='Data Entry - SOF'!B$2,'Report-SOF1819'!D$102,0)</f>
        <v>0</v>
      </c>
      <c r="G293" s="1037">
        <f>IF(A293='Data Entry - SOF'!B$2,'Data Entry - SOF'!E$102,0)</f>
        <v>0</v>
      </c>
      <c r="H293" s="1038">
        <f t="shared" si="26"/>
        <v>903883</v>
      </c>
      <c r="I293" s="944">
        <f>IF(A293='Data Entry - SOF'!B$2,'Report-SOF1920-HB3'!D$102,0)</f>
        <v>0</v>
      </c>
      <c r="J293" s="1037">
        <f>IF(A293='Data Entry - SOF'!B$2,'Data Entry - SOF'!G$102,0)</f>
        <v>0</v>
      </c>
      <c r="K293" s="717">
        <f t="shared" si="27"/>
        <v>903883</v>
      </c>
      <c r="L293" s="944">
        <f>IF(A293='Data Entry - SOF'!B$2,'Report-SOF2021'!D$99,0)</f>
        <v>0</v>
      </c>
      <c r="M293" s="723">
        <f>IF(A293='Data Entry - SOF'!B$2,'Data Entry - SOF'!M$102,0)</f>
        <v>0</v>
      </c>
      <c r="N293" s="717">
        <f t="shared" si="28"/>
        <v>903883</v>
      </c>
      <c r="O293" s="944">
        <f>IF(A293='Data Entry - SOF'!B$2,'Report-SOF2122'!D$91,0)</f>
        <v>0</v>
      </c>
      <c r="P293" s="723">
        <f>IF(A293='Data Entry - SOF'!B$2,'Data Entry - SOF'!O$102,0)</f>
        <v>0</v>
      </c>
      <c r="Q293" s="601">
        <f t="shared" si="25"/>
        <v>903883</v>
      </c>
      <c r="R293" s="944">
        <f>IF(A293='Data Entry - SOF'!B$2,'Report-SOF2223'!D$91,0)</f>
        <v>0</v>
      </c>
      <c r="S293" s="723">
        <f>IF(A293='Data Entry - SOF'!B$2,'Data Entry - SOF'!Q$102,0)</f>
        <v>0</v>
      </c>
      <c r="T293" s="601">
        <f t="shared" si="29"/>
        <v>903883</v>
      </c>
      <c r="U293" s="944">
        <f>IF(A293='Data Entry - SOF'!B$2,'Report-SOF2324'!D$91,0)</f>
        <v>0</v>
      </c>
      <c r="V293" s="723">
        <f>IF(A293='Data Entry - SOF'!B$2,'Data Entry - SOF'!S$102,0)</f>
        <v>0</v>
      </c>
    </row>
    <row r="294" spans="1:22" ht="15.75">
      <c r="A294" s="382" t="s">
        <v>1831</v>
      </c>
      <c r="B294" s="91">
        <v>971060</v>
      </c>
      <c r="C294" s="944">
        <f>IF(A294='Data Entry - SOF'!B$2,'Report-SOF1718'!D$102,0)</f>
        <v>0</v>
      </c>
      <c r="D294" s="1037">
        <f>IF(A294='Data Entry - SOF'!B$2,'Data Entry - SOF'!#REF!,0)</f>
        <v>0</v>
      </c>
      <c r="E294" s="91">
        <f t="shared" si="24"/>
        <v>971060</v>
      </c>
      <c r="F294" s="944">
        <f>IF(A294='Data Entry - SOF'!B$2,'Report-SOF1819'!D$102,0)</f>
        <v>0</v>
      </c>
      <c r="G294" s="1037">
        <f>IF(A294='Data Entry - SOF'!B$2,'Data Entry - SOF'!E$102,0)</f>
        <v>0</v>
      </c>
      <c r="H294" s="1038">
        <f t="shared" si="26"/>
        <v>971060</v>
      </c>
      <c r="I294" s="944">
        <f>IF(A294='Data Entry - SOF'!B$2,'Report-SOF1920-HB3'!D$102,0)</f>
        <v>0</v>
      </c>
      <c r="J294" s="1037">
        <f>IF(A294='Data Entry - SOF'!B$2,'Data Entry - SOF'!G$102,0)</f>
        <v>0</v>
      </c>
      <c r="K294" s="717">
        <f t="shared" si="27"/>
        <v>971060</v>
      </c>
      <c r="L294" s="944">
        <f>IF(A294='Data Entry - SOF'!B$2,'Report-SOF2021'!D$99,0)</f>
        <v>0</v>
      </c>
      <c r="M294" s="723">
        <f>IF(A294='Data Entry - SOF'!B$2,'Data Entry - SOF'!M$102,0)</f>
        <v>0</v>
      </c>
      <c r="N294" s="717">
        <f t="shared" si="28"/>
        <v>971060</v>
      </c>
      <c r="O294" s="944">
        <f>IF(A294='Data Entry - SOF'!B$2,'Report-SOF2122'!D$91,0)</f>
        <v>0</v>
      </c>
      <c r="P294" s="723">
        <f>IF(A294='Data Entry - SOF'!B$2,'Data Entry - SOF'!O$102,0)</f>
        <v>0</v>
      </c>
      <c r="Q294" s="601">
        <f t="shared" si="25"/>
        <v>971060</v>
      </c>
      <c r="R294" s="944">
        <f>IF(A294='Data Entry - SOF'!B$2,'Report-SOF2223'!D$91,0)</f>
        <v>0</v>
      </c>
      <c r="S294" s="723">
        <f>IF(A294='Data Entry - SOF'!B$2,'Data Entry - SOF'!Q$102,0)</f>
        <v>0</v>
      </c>
      <c r="T294" s="601">
        <f t="shared" si="29"/>
        <v>971060</v>
      </c>
      <c r="U294" s="944">
        <f>IF(A294='Data Entry - SOF'!B$2,'Report-SOF2324'!D$91,0)</f>
        <v>0</v>
      </c>
      <c r="V294" s="723">
        <f>IF(A294='Data Entry - SOF'!B$2,'Data Entry - SOF'!S$102,0)</f>
        <v>0</v>
      </c>
    </row>
    <row r="295" spans="1:22" ht="15.75">
      <c r="A295" s="382" t="s">
        <v>1232</v>
      </c>
      <c r="B295" s="91">
        <v>795007</v>
      </c>
      <c r="C295" s="944">
        <f>IF(A295='Data Entry - SOF'!B$2,'Report-SOF1718'!D$102,0)</f>
        <v>0</v>
      </c>
      <c r="D295" s="1037">
        <f>IF(A295='Data Entry - SOF'!B$2,'Data Entry - SOF'!#REF!,0)</f>
        <v>0</v>
      </c>
      <c r="E295" s="91">
        <f t="shared" si="24"/>
        <v>795007</v>
      </c>
      <c r="F295" s="944">
        <f>IF(A295='Data Entry - SOF'!B$2,'Report-SOF1819'!D$102,0)</f>
        <v>0</v>
      </c>
      <c r="G295" s="1037">
        <f>IF(A295='Data Entry - SOF'!B$2,'Data Entry - SOF'!E$102,0)</f>
        <v>0</v>
      </c>
      <c r="H295" s="1038">
        <f t="shared" si="26"/>
        <v>795007</v>
      </c>
      <c r="I295" s="944">
        <f>IF(A295='Data Entry - SOF'!B$2,'Report-SOF1920-HB3'!D$102,0)</f>
        <v>0</v>
      </c>
      <c r="J295" s="1037">
        <f>IF(A295='Data Entry - SOF'!B$2,'Data Entry - SOF'!G$102,0)</f>
        <v>0</v>
      </c>
      <c r="K295" s="717">
        <f t="shared" si="27"/>
        <v>795007</v>
      </c>
      <c r="L295" s="944">
        <f>IF(A295='Data Entry - SOF'!B$2,'Report-SOF2021'!D$99,0)</f>
        <v>0</v>
      </c>
      <c r="M295" s="723">
        <f>IF(A295='Data Entry - SOF'!B$2,'Data Entry - SOF'!M$102,0)</f>
        <v>0</v>
      </c>
      <c r="N295" s="717">
        <f t="shared" si="28"/>
        <v>795007</v>
      </c>
      <c r="O295" s="944">
        <f>IF(A295='Data Entry - SOF'!B$2,'Report-SOF2122'!D$91,0)</f>
        <v>0</v>
      </c>
      <c r="P295" s="723">
        <f>IF(A295='Data Entry - SOF'!B$2,'Data Entry - SOF'!O$102,0)</f>
        <v>0</v>
      </c>
      <c r="Q295" s="601">
        <f t="shared" si="25"/>
        <v>795007</v>
      </c>
      <c r="R295" s="944">
        <f>IF(A295='Data Entry - SOF'!B$2,'Report-SOF2223'!D$91,0)</f>
        <v>0</v>
      </c>
      <c r="S295" s="723">
        <f>IF(A295='Data Entry - SOF'!B$2,'Data Entry - SOF'!Q$102,0)</f>
        <v>0</v>
      </c>
      <c r="T295" s="601">
        <f t="shared" si="29"/>
        <v>795007</v>
      </c>
      <c r="U295" s="944">
        <f>IF(A295='Data Entry - SOF'!B$2,'Report-SOF2324'!D$91,0)</f>
        <v>0</v>
      </c>
      <c r="V295" s="723">
        <f>IF(A295='Data Entry - SOF'!B$2,'Data Entry - SOF'!S$102,0)</f>
        <v>0</v>
      </c>
    </row>
    <row r="296" spans="1:22" ht="15.75">
      <c r="A296" s="382" t="s">
        <v>1832</v>
      </c>
      <c r="B296" s="91">
        <v>604221</v>
      </c>
      <c r="C296" s="944">
        <f>IF(A296='Data Entry - SOF'!B$2,'Report-SOF1718'!D$102,0)</f>
        <v>0</v>
      </c>
      <c r="D296" s="1037">
        <f>IF(A296='Data Entry - SOF'!B$2,'Data Entry - SOF'!#REF!,0)</f>
        <v>0</v>
      </c>
      <c r="E296" s="91">
        <f t="shared" si="24"/>
        <v>604221</v>
      </c>
      <c r="F296" s="944">
        <f>IF(A296='Data Entry - SOF'!B$2,'Report-SOF1819'!D$102,0)</f>
        <v>0</v>
      </c>
      <c r="G296" s="1037">
        <f>IF(A296='Data Entry - SOF'!B$2,'Data Entry - SOF'!E$102,0)</f>
        <v>0</v>
      </c>
      <c r="H296" s="1038">
        <f t="shared" si="26"/>
        <v>604221</v>
      </c>
      <c r="I296" s="944">
        <f>IF(A296='Data Entry - SOF'!B$2,'Report-SOF1920-HB3'!D$102,0)</f>
        <v>0</v>
      </c>
      <c r="J296" s="1037">
        <f>IF(A296='Data Entry - SOF'!B$2,'Data Entry - SOF'!G$102,0)</f>
        <v>0</v>
      </c>
      <c r="K296" s="717">
        <f t="shared" si="27"/>
        <v>604221</v>
      </c>
      <c r="L296" s="944">
        <f>IF(A296='Data Entry - SOF'!B$2,'Report-SOF2021'!D$99,0)</f>
        <v>0</v>
      </c>
      <c r="M296" s="723">
        <f>IF(A296='Data Entry - SOF'!B$2,'Data Entry - SOF'!M$102,0)</f>
        <v>0</v>
      </c>
      <c r="N296" s="717">
        <f t="shared" si="28"/>
        <v>604221</v>
      </c>
      <c r="O296" s="944">
        <f>IF(A296='Data Entry - SOF'!B$2,'Report-SOF2122'!D$91,0)</f>
        <v>0</v>
      </c>
      <c r="P296" s="723">
        <f>IF(A296='Data Entry - SOF'!B$2,'Data Entry - SOF'!O$102,0)</f>
        <v>0</v>
      </c>
      <c r="Q296" s="601">
        <f t="shared" si="25"/>
        <v>604221</v>
      </c>
      <c r="R296" s="944">
        <f>IF(A296='Data Entry - SOF'!B$2,'Report-SOF2223'!D$91,0)</f>
        <v>0</v>
      </c>
      <c r="S296" s="723">
        <f>IF(A296='Data Entry - SOF'!B$2,'Data Entry - SOF'!Q$102,0)</f>
        <v>0</v>
      </c>
      <c r="T296" s="601">
        <f t="shared" si="29"/>
        <v>604221</v>
      </c>
      <c r="U296" s="944">
        <f>IF(A296='Data Entry - SOF'!B$2,'Report-SOF2324'!D$91,0)</f>
        <v>0</v>
      </c>
      <c r="V296" s="723">
        <f>IF(A296='Data Entry - SOF'!B$2,'Data Entry - SOF'!S$102,0)</f>
        <v>0</v>
      </c>
    </row>
    <row r="297" spans="1:22" ht="15.75">
      <c r="A297" s="382" t="s">
        <v>201</v>
      </c>
      <c r="B297" s="91">
        <v>773545</v>
      </c>
      <c r="C297" s="944">
        <f>IF(A297='Data Entry - SOF'!B$2,'Report-SOF1718'!D$102,0)</f>
        <v>0</v>
      </c>
      <c r="D297" s="1037">
        <f>IF(A297='Data Entry - SOF'!B$2,'Data Entry - SOF'!#REF!,0)</f>
        <v>0</v>
      </c>
      <c r="E297" s="91">
        <f t="shared" si="24"/>
        <v>773545</v>
      </c>
      <c r="F297" s="944">
        <f>IF(A297='Data Entry - SOF'!B$2,'Report-SOF1819'!D$102,0)</f>
        <v>0</v>
      </c>
      <c r="G297" s="1037">
        <f>IF(A297='Data Entry - SOF'!B$2,'Data Entry - SOF'!E$102,0)</f>
        <v>0</v>
      </c>
      <c r="H297" s="1038">
        <f t="shared" si="26"/>
        <v>773545</v>
      </c>
      <c r="I297" s="944">
        <f>IF(A297='Data Entry - SOF'!B$2,'Report-SOF1920-HB3'!D$102,0)</f>
        <v>0</v>
      </c>
      <c r="J297" s="1037">
        <f>IF(A297='Data Entry - SOF'!B$2,'Data Entry - SOF'!G$102,0)</f>
        <v>0</v>
      </c>
      <c r="K297" s="717">
        <f t="shared" si="27"/>
        <v>773545</v>
      </c>
      <c r="L297" s="944">
        <f>IF(A297='Data Entry - SOF'!B$2,'Report-SOF2021'!D$99,0)</f>
        <v>0</v>
      </c>
      <c r="M297" s="723">
        <f>IF(A297='Data Entry - SOF'!B$2,'Data Entry - SOF'!M$102,0)</f>
        <v>0</v>
      </c>
      <c r="N297" s="717">
        <f t="shared" si="28"/>
        <v>773545</v>
      </c>
      <c r="O297" s="944">
        <f>IF(A297='Data Entry - SOF'!B$2,'Report-SOF2122'!D$91,0)</f>
        <v>0</v>
      </c>
      <c r="P297" s="723">
        <f>IF(A297='Data Entry - SOF'!B$2,'Data Entry - SOF'!O$102,0)</f>
        <v>0</v>
      </c>
      <c r="Q297" s="601">
        <f t="shared" si="25"/>
        <v>773545</v>
      </c>
      <c r="R297" s="944">
        <f>IF(A297='Data Entry - SOF'!B$2,'Report-SOF2223'!D$91,0)</f>
        <v>0</v>
      </c>
      <c r="S297" s="723">
        <f>IF(A297='Data Entry - SOF'!B$2,'Data Entry - SOF'!Q$102,0)</f>
        <v>0</v>
      </c>
      <c r="T297" s="601">
        <f t="shared" si="29"/>
        <v>773545</v>
      </c>
      <c r="U297" s="944">
        <f>IF(A297='Data Entry - SOF'!B$2,'Report-SOF2324'!D$91,0)</f>
        <v>0</v>
      </c>
      <c r="V297" s="723">
        <f>IF(A297='Data Entry - SOF'!B$2,'Data Entry - SOF'!S$102,0)</f>
        <v>0</v>
      </c>
    </row>
    <row r="298" spans="1:22" ht="15.75">
      <c r="A298" s="382" t="s">
        <v>1834</v>
      </c>
      <c r="B298" s="91">
        <v>6125</v>
      </c>
      <c r="C298" s="944">
        <f>IF(A298='Data Entry - SOF'!B$2,'Report-SOF1718'!D$102,0)</f>
        <v>0</v>
      </c>
      <c r="D298" s="1037">
        <f>IF(A298='Data Entry - SOF'!B$2,'Data Entry - SOF'!#REF!,0)</f>
        <v>0</v>
      </c>
      <c r="E298" s="91">
        <f t="shared" si="24"/>
        <v>6125</v>
      </c>
      <c r="F298" s="944">
        <f>IF(A298='Data Entry - SOF'!B$2,'Report-SOF1819'!D$102,0)</f>
        <v>0</v>
      </c>
      <c r="G298" s="1037">
        <f>IF(A298='Data Entry - SOF'!B$2,'Data Entry - SOF'!E$102,0)</f>
        <v>0</v>
      </c>
      <c r="H298" s="1038">
        <f t="shared" si="26"/>
        <v>6125</v>
      </c>
      <c r="I298" s="944">
        <f>IF(A298='Data Entry - SOF'!B$2,'Report-SOF1920-HB3'!D$102,0)</f>
        <v>0</v>
      </c>
      <c r="J298" s="1037">
        <f>IF(A298='Data Entry - SOF'!B$2,'Data Entry - SOF'!G$102,0)</f>
        <v>0</v>
      </c>
      <c r="K298" s="717">
        <f t="shared" si="27"/>
        <v>6125</v>
      </c>
      <c r="L298" s="944">
        <f>IF(A298='Data Entry - SOF'!B$2,'Report-SOF2021'!D$99,0)</f>
        <v>0</v>
      </c>
      <c r="M298" s="723">
        <f>IF(A298='Data Entry - SOF'!B$2,'Data Entry - SOF'!M$102,0)</f>
        <v>0</v>
      </c>
      <c r="N298" s="717">
        <f t="shared" si="28"/>
        <v>6125</v>
      </c>
      <c r="O298" s="944">
        <f>IF(A298='Data Entry - SOF'!B$2,'Report-SOF2122'!D$91,0)</f>
        <v>0</v>
      </c>
      <c r="P298" s="723">
        <f>IF(A298='Data Entry - SOF'!B$2,'Data Entry - SOF'!O$102,0)</f>
        <v>0</v>
      </c>
      <c r="Q298" s="601">
        <f t="shared" si="25"/>
        <v>6125</v>
      </c>
      <c r="R298" s="944">
        <f>IF(A298='Data Entry - SOF'!B$2,'Report-SOF2223'!D$91,0)</f>
        <v>0</v>
      </c>
      <c r="S298" s="723">
        <f>IF(A298='Data Entry - SOF'!B$2,'Data Entry - SOF'!Q$102,0)</f>
        <v>0</v>
      </c>
      <c r="T298" s="601">
        <f t="shared" si="29"/>
        <v>6125</v>
      </c>
      <c r="U298" s="944">
        <f>IF(A298='Data Entry - SOF'!B$2,'Report-SOF2324'!D$91,0)</f>
        <v>0</v>
      </c>
      <c r="V298" s="723">
        <f>IF(A298='Data Entry - SOF'!B$2,'Data Entry - SOF'!S$102,0)</f>
        <v>0</v>
      </c>
    </row>
    <row r="299" spans="1:22" ht="15.75">
      <c r="A299" s="382" t="s">
        <v>1842</v>
      </c>
      <c r="B299" s="91">
        <v>21395</v>
      </c>
      <c r="C299" s="944">
        <f>IF(A299='Data Entry - SOF'!B$2,'Report-SOF1718'!D$102,0)</f>
        <v>0</v>
      </c>
      <c r="D299" s="1037">
        <f>IF(A299='Data Entry - SOF'!B$2,'Data Entry - SOF'!#REF!,0)</f>
        <v>0</v>
      </c>
      <c r="E299" s="91">
        <f t="shared" si="24"/>
        <v>21395</v>
      </c>
      <c r="F299" s="944">
        <f>IF(A299='Data Entry - SOF'!B$2,'Report-SOF1819'!D$102,0)</f>
        <v>0</v>
      </c>
      <c r="G299" s="1037">
        <f>IF(A299='Data Entry - SOF'!B$2,'Data Entry - SOF'!E$102,0)</f>
        <v>0</v>
      </c>
      <c r="H299" s="1038">
        <f t="shared" si="26"/>
        <v>21395</v>
      </c>
      <c r="I299" s="944">
        <f>IF(A299='Data Entry - SOF'!B$2,'Report-SOF1920-HB3'!D$102,0)</f>
        <v>0</v>
      </c>
      <c r="J299" s="1037">
        <f>IF(A299='Data Entry - SOF'!B$2,'Data Entry - SOF'!G$102,0)</f>
        <v>0</v>
      </c>
      <c r="K299" s="717">
        <f t="shared" si="27"/>
        <v>21395</v>
      </c>
      <c r="L299" s="944">
        <f>IF(A299='Data Entry - SOF'!B$2,'Report-SOF2021'!D$99,0)</f>
        <v>0</v>
      </c>
      <c r="M299" s="723">
        <f>IF(A299='Data Entry - SOF'!B$2,'Data Entry - SOF'!M$102,0)</f>
        <v>0</v>
      </c>
      <c r="N299" s="717">
        <f t="shared" si="28"/>
        <v>21395</v>
      </c>
      <c r="O299" s="944">
        <f>IF(A299='Data Entry - SOF'!B$2,'Report-SOF2122'!D$91,0)</f>
        <v>0</v>
      </c>
      <c r="P299" s="723">
        <f>IF(A299='Data Entry - SOF'!B$2,'Data Entry - SOF'!O$102,0)</f>
        <v>0</v>
      </c>
      <c r="Q299" s="601">
        <f t="shared" si="25"/>
        <v>21395</v>
      </c>
      <c r="R299" s="944">
        <f>IF(A299='Data Entry - SOF'!B$2,'Report-SOF2223'!D$91,0)</f>
        <v>0</v>
      </c>
      <c r="S299" s="723">
        <f>IF(A299='Data Entry - SOF'!B$2,'Data Entry - SOF'!Q$102,0)</f>
        <v>0</v>
      </c>
      <c r="T299" s="601">
        <f t="shared" si="29"/>
        <v>21395</v>
      </c>
      <c r="U299" s="944">
        <f>IF(A299='Data Entry - SOF'!B$2,'Report-SOF2324'!D$91,0)</f>
        <v>0</v>
      </c>
      <c r="V299" s="723">
        <f>IF(A299='Data Entry - SOF'!B$2,'Data Entry - SOF'!S$102,0)</f>
        <v>0</v>
      </c>
    </row>
    <row r="300" spans="1:22" ht="15.75">
      <c r="A300" s="382" t="s">
        <v>202</v>
      </c>
      <c r="B300" s="91">
        <v>218425</v>
      </c>
      <c r="C300" s="944">
        <f>IF(A300='Data Entry - SOF'!B$2,'Report-SOF1718'!D$102,0)</f>
        <v>0</v>
      </c>
      <c r="D300" s="1037">
        <f>IF(A300='Data Entry - SOF'!B$2,'Data Entry - SOF'!#REF!,0)</f>
        <v>0</v>
      </c>
      <c r="E300" s="91">
        <f t="shared" si="24"/>
        <v>218425</v>
      </c>
      <c r="F300" s="944">
        <f>IF(A300='Data Entry - SOF'!B$2,'Report-SOF1819'!D$102,0)</f>
        <v>0</v>
      </c>
      <c r="G300" s="1037">
        <f>IF(A300='Data Entry - SOF'!B$2,'Data Entry - SOF'!E$102,0)</f>
        <v>0</v>
      </c>
      <c r="H300" s="1038">
        <f t="shared" si="26"/>
        <v>218425</v>
      </c>
      <c r="I300" s="944">
        <f>IF(A300='Data Entry - SOF'!B$2,'Report-SOF1920-HB3'!D$102,0)</f>
        <v>0</v>
      </c>
      <c r="J300" s="1037">
        <f>IF(A300='Data Entry - SOF'!B$2,'Data Entry - SOF'!G$102,0)</f>
        <v>0</v>
      </c>
      <c r="K300" s="717">
        <f t="shared" si="27"/>
        <v>218425</v>
      </c>
      <c r="L300" s="944">
        <f>IF(A300='Data Entry - SOF'!B$2,'Report-SOF2021'!D$99,0)</f>
        <v>0</v>
      </c>
      <c r="M300" s="723">
        <f>IF(A300='Data Entry - SOF'!B$2,'Data Entry - SOF'!M$102,0)</f>
        <v>0</v>
      </c>
      <c r="N300" s="717">
        <f t="shared" si="28"/>
        <v>218425</v>
      </c>
      <c r="O300" s="944">
        <f>IF(A300='Data Entry - SOF'!B$2,'Report-SOF2122'!D$91,0)</f>
        <v>0</v>
      </c>
      <c r="P300" s="723">
        <f>IF(A300='Data Entry - SOF'!B$2,'Data Entry - SOF'!O$102,0)</f>
        <v>0</v>
      </c>
      <c r="Q300" s="601">
        <f t="shared" si="25"/>
        <v>218425</v>
      </c>
      <c r="R300" s="944">
        <f>IF(A300='Data Entry - SOF'!B$2,'Report-SOF2223'!D$91,0)</f>
        <v>0</v>
      </c>
      <c r="S300" s="723">
        <f>IF(A300='Data Entry - SOF'!B$2,'Data Entry - SOF'!Q$102,0)</f>
        <v>0</v>
      </c>
      <c r="T300" s="601">
        <f t="shared" si="29"/>
        <v>218425</v>
      </c>
      <c r="U300" s="944">
        <f>IF(A300='Data Entry - SOF'!B$2,'Report-SOF2324'!D$91,0)</f>
        <v>0</v>
      </c>
      <c r="V300" s="723">
        <f>IF(A300='Data Entry - SOF'!B$2,'Data Entry - SOF'!S$102,0)</f>
        <v>0</v>
      </c>
    </row>
    <row r="301" spans="1:22" ht="15.75">
      <c r="A301" s="382" t="s">
        <v>203</v>
      </c>
      <c r="B301" s="91">
        <v>5834933</v>
      </c>
      <c r="C301" s="944">
        <f>IF(A301='Data Entry - SOF'!B$2,'Report-SOF1718'!D$102,0)</f>
        <v>0</v>
      </c>
      <c r="D301" s="1037">
        <f>IF(A301='Data Entry - SOF'!B$2,'Data Entry - SOF'!#REF!,0)</f>
        <v>0</v>
      </c>
      <c r="E301" s="91">
        <f t="shared" si="24"/>
        <v>5834933</v>
      </c>
      <c r="F301" s="944">
        <f>IF(A301='Data Entry - SOF'!B$2,'Report-SOF1819'!D$102,0)</f>
        <v>0</v>
      </c>
      <c r="G301" s="1037">
        <f>IF(A301='Data Entry - SOF'!B$2,'Data Entry - SOF'!E$102,0)</f>
        <v>0</v>
      </c>
      <c r="H301" s="1038">
        <f t="shared" si="26"/>
        <v>5834933</v>
      </c>
      <c r="I301" s="944">
        <f>IF(A301='Data Entry - SOF'!B$2,'Report-SOF1920-HB3'!D$102,0)</f>
        <v>0</v>
      </c>
      <c r="J301" s="1037">
        <f>IF(A301='Data Entry - SOF'!B$2,'Data Entry - SOF'!G$102,0)</f>
        <v>0</v>
      </c>
      <c r="K301" s="717">
        <f t="shared" si="27"/>
        <v>5834933</v>
      </c>
      <c r="L301" s="944">
        <f>IF(A301='Data Entry - SOF'!B$2,'Report-SOF2021'!D$99,0)</f>
        <v>0</v>
      </c>
      <c r="M301" s="723">
        <f>IF(A301='Data Entry - SOF'!B$2,'Data Entry - SOF'!M$102,0)</f>
        <v>0</v>
      </c>
      <c r="N301" s="717">
        <f t="shared" si="28"/>
        <v>5834933</v>
      </c>
      <c r="O301" s="944">
        <f>IF(A301='Data Entry - SOF'!B$2,'Report-SOF2122'!D$91,0)</f>
        <v>0</v>
      </c>
      <c r="P301" s="723">
        <f>IF(A301='Data Entry - SOF'!B$2,'Data Entry - SOF'!O$102,0)</f>
        <v>0</v>
      </c>
      <c r="Q301" s="601">
        <f t="shared" si="25"/>
        <v>5834933</v>
      </c>
      <c r="R301" s="944">
        <f>IF(A301='Data Entry - SOF'!B$2,'Report-SOF2223'!D$91,0)</f>
        <v>0</v>
      </c>
      <c r="S301" s="723">
        <f>IF(A301='Data Entry - SOF'!B$2,'Data Entry - SOF'!Q$102,0)</f>
        <v>0</v>
      </c>
      <c r="T301" s="601">
        <f t="shared" si="29"/>
        <v>5834933</v>
      </c>
      <c r="U301" s="944">
        <f>IF(A301='Data Entry - SOF'!B$2,'Report-SOF2324'!D$91,0)</f>
        <v>0</v>
      </c>
      <c r="V301" s="723">
        <f>IF(A301='Data Entry - SOF'!B$2,'Data Entry - SOF'!S$102,0)</f>
        <v>0</v>
      </c>
    </row>
    <row r="302" spans="1:22" ht="15.75">
      <c r="A302" s="382" t="s">
        <v>1233</v>
      </c>
      <c r="B302" s="91">
        <v>293092</v>
      </c>
      <c r="C302" s="944">
        <f>IF(A302='Data Entry - SOF'!B$2,'Report-SOF1718'!D$102,0)</f>
        <v>0</v>
      </c>
      <c r="D302" s="1037">
        <f>IF(A302='Data Entry - SOF'!B$2,'Data Entry - SOF'!#REF!,0)</f>
        <v>0</v>
      </c>
      <c r="E302" s="91">
        <f t="shared" si="24"/>
        <v>293092</v>
      </c>
      <c r="F302" s="944">
        <f>IF(A302='Data Entry - SOF'!B$2,'Report-SOF1819'!D$102,0)</f>
        <v>0</v>
      </c>
      <c r="G302" s="1037">
        <f>IF(A302='Data Entry - SOF'!B$2,'Data Entry - SOF'!E$102,0)</f>
        <v>0</v>
      </c>
      <c r="H302" s="1038">
        <f t="shared" si="26"/>
        <v>293092</v>
      </c>
      <c r="I302" s="944">
        <f>IF(A302='Data Entry - SOF'!B$2,'Report-SOF1920-HB3'!D$102,0)</f>
        <v>0</v>
      </c>
      <c r="J302" s="1037">
        <f>IF(A302='Data Entry - SOF'!B$2,'Data Entry - SOF'!G$102,0)</f>
        <v>0</v>
      </c>
      <c r="K302" s="717">
        <f t="shared" si="27"/>
        <v>293092</v>
      </c>
      <c r="L302" s="944">
        <f>IF(A302='Data Entry - SOF'!B$2,'Report-SOF2021'!D$99,0)</f>
        <v>0</v>
      </c>
      <c r="M302" s="723">
        <f>IF(A302='Data Entry - SOF'!B$2,'Data Entry - SOF'!M$102,0)</f>
        <v>0</v>
      </c>
      <c r="N302" s="717">
        <f t="shared" si="28"/>
        <v>293092</v>
      </c>
      <c r="O302" s="944">
        <f>IF(A302='Data Entry - SOF'!B$2,'Report-SOF2122'!D$91,0)</f>
        <v>0</v>
      </c>
      <c r="P302" s="723">
        <f>IF(A302='Data Entry - SOF'!B$2,'Data Entry - SOF'!O$102,0)</f>
        <v>0</v>
      </c>
      <c r="Q302" s="601">
        <f t="shared" si="25"/>
        <v>293092</v>
      </c>
      <c r="R302" s="944">
        <f>IF(A302='Data Entry - SOF'!B$2,'Report-SOF2223'!D$91,0)</f>
        <v>0</v>
      </c>
      <c r="S302" s="723">
        <f>IF(A302='Data Entry - SOF'!B$2,'Data Entry - SOF'!Q$102,0)</f>
        <v>0</v>
      </c>
      <c r="T302" s="601">
        <f t="shared" si="29"/>
        <v>293092</v>
      </c>
      <c r="U302" s="944">
        <f>IF(A302='Data Entry - SOF'!B$2,'Report-SOF2324'!D$91,0)</f>
        <v>0</v>
      </c>
      <c r="V302" s="723">
        <f>IF(A302='Data Entry - SOF'!B$2,'Data Entry - SOF'!S$102,0)</f>
        <v>0</v>
      </c>
    </row>
    <row r="303" spans="1:22" ht="15.75">
      <c r="A303" s="382" t="s">
        <v>722</v>
      </c>
      <c r="B303" s="91">
        <v>241000</v>
      </c>
      <c r="C303" s="944">
        <f>IF(A303='Data Entry - SOF'!B$2,'Report-SOF1718'!D$102,0)</f>
        <v>0</v>
      </c>
      <c r="D303" s="1037">
        <f>IF(A303='Data Entry - SOF'!B$2,'Data Entry - SOF'!#REF!,0)</f>
        <v>0</v>
      </c>
      <c r="E303" s="91">
        <f t="shared" si="24"/>
        <v>241000</v>
      </c>
      <c r="F303" s="944">
        <f>IF(A303='Data Entry - SOF'!B$2,'Report-SOF1819'!D$102,0)</f>
        <v>0</v>
      </c>
      <c r="G303" s="1037">
        <f>IF(A303='Data Entry - SOF'!B$2,'Data Entry - SOF'!E$102,0)</f>
        <v>0</v>
      </c>
      <c r="H303" s="1038">
        <f t="shared" si="26"/>
        <v>241000</v>
      </c>
      <c r="I303" s="944">
        <f>IF(A303='Data Entry - SOF'!B$2,'Report-SOF1920-HB3'!D$102,0)</f>
        <v>0</v>
      </c>
      <c r="J303" s="1037">
        <f>IF(A303='Data Entry - SOF'!B$2,'Data Entry - SOF'!G$102,0)</f>
        <v>0</v>
      </c>
      <c r="K303" s="717">
        <f t="shared" si="27"/>
        <v>241000</v>
      </c>
      <c r="L303" s="944">
        <f>IF(A303='Data Entry - SOF'!B$2,'Report-SOF2021'!D$99,0)</f>
        <v>0</v>
      </c>
      <c r="M303" s="723">
        <f>IF(A303='Data Entry - SOF'!B$2,'Data Entry - SOF'!M$102,0)</f>
        <v>0</v>
      </c>
      <c r="N303" s="717">
        <f t="shared" si="28"/>
        <v>241000</v>
      </c>
      <c r="O303" s="944">
        <f>IF(A303='Data Entry - SOF'!B$2,'Report-SOF2122'!D$91,0)</f>
        <v>0</v>
      </c>
      <c r="P303" s="723">
        <f>IF(A303='Data Entry - SOF'!B$2,'Data Entry - SOF'!O$102,0)</f>
        <v>0</v>
      </c>
      <c r="Q303" s="601">
        <f t="shared" si="25"/>
        <v>241000</v>
      </c>
      <c r="R303" s="944">
        <f>IF(A303='Data Entry - SOF'!B$2,'Report-SOF2223'!D$91,0)</f>
        <v>0</v>
      </c>
      <c r="S303" s="723">
        <f>IF(A303='Data Entry - SOF'!B$2,'Data Entry - SOF'!Q$102,0)</f>
        <v>0</v>
      </c>
      <c r="T303" s="601">
        <f t="shared" si="29"/>
        <v>241000</v>
      </c>
      <c r="U303" s="944">
        <f>IF(A303='Data Entry - SOF'!B$2,'Report-SOF2324'!D$91,0)</f>
        <v>0</v>
      </c>
      <c r="V303" s="723">
        <f>IF(A303='Data Entry - SOF'!B$2,'Data Entry - SOF'!S$102,0)</f>
        <v>0</v>
      </c>
    </row>
    <row r="304" spans="1:22" ht="15.75">
      <c r="A304" s="382" t="s">
        <v>204</v>
      </c>
      <c r="B304" s="91">
        <v>1436947</v>
      </c>
      <c r="C304" s="944">
        <f>IF(A304='Data Entry - SOF'!B$2,'Report-SOF1718'!D$102,0)</f>
        <v>0</v>
      </c>
      <c r="D304" s="1037">
        <f>IF(A304='Data Entry - SOF'!B$2,'Data Entry - SOF'!#REF!,0)</f>
        <v>0</v>
      </c>
      <c r="E304" s="91">
        <f t="shared" si="24"/>
        <v>1436947</v>
      </c>
      <c r="F304" s="944">
        <f>IF(A304='Data Entry - SOF'!B$2,'Report-SOF1819'!D$102,0)</f>
        <v>0</v>
      </c>
      <c r="G304" s="1037">
        <f>IF(A304='Data Entry - SOF'!B$2,'Data Entry - SOF'!E$102,0)</f>
        <v>0</v>
      </c>
      <c r="H304" s="1038">
        <f t="shared" si="26"/>
        <v>1436947</v>
      </c>
      <c r="I304" s="944">
        <f>IF(A304='Data Entry - SOF'!B$2,'Report-SOF1920-HB3'!D$102,0)</f>
        <v>0</v>
      </c>
      <c r="J304" s="1037">
        <f>IF(A304='Data Entry - SOF'!B$2,'Data Entry - SOF'!G$102,0)</f>
        <v>0</v>
      </c>
      <c r="K304" s="717">
        <f t="shared" si="27"/>
        <v>1436947</v>
      </c>
      <c r="L304" s="944">
        <f>IF(A304='Data Entry - SOF'!B$2,'Report-SOF2021'!D$99,0)</f>
        <v>0</v>
      </c>
      <c r="M304" s="723">
        <f>IF(A304='Data Entry - SOF'!B$2,'Data Entry - SOF'!M$102,0)</f>
        <v>0</v>
      </c>
      <c r="N304" s="717">
        <f t="shared" si="28"/>
        <v>1436947</v>
      </c>
      <c r="O304" s="944">
        <f>IF(A304='Data Entry - SOF'!B$2,'Report-SOF2122'!D$91,0)</f>
        <v>0</v>
      </c>
      <c r="P304" s="723">
        <f>IF(A304='Data Entry - SOF'!B$2,'Data Entry - SOF'!O$102,0)</f>
        <v>0</v>
      </c>
      <c r="Q304" s="601">
        <f t="shared" si="25"/>
        <v>1436947</v>
      </c>
      <c r="R304" s="944">
        <f>IF(A304='Data Entry - SOF'!B$2,'Report-SOF2223'!D$91,0)</f>
        <v>0</v>
      </c>
      <c r="S304" s="723">
        <f>IF(A304='Data Entry - SOF'!B$2,'Data Entry - SOF'!Q$102,0)</f>
        <v>0</v>
      </c>
      <c r="T304" s="601">
        <f t="shared" si="29"/>
        <v>1436947</v>
      </c>
      <c r="U304" s="944">
        <f>IF(A304='Data Entry - SOF'!B$2,'Report-SOF2324'!D$91,0)</f>
        <v>0</v>
      </c>
      <c r="V304" s="723">
        <f>IF(A304='Data Entry - SOF'!B$2,'Data Entry - SOF'!S$102,0)</f>
        <v>0</v>
      </c>
    </row>
    <row r="305" spans="1:22" ht="15.75">
      <c r="A305" s="382" t="s">
        <v>205</v>
      </c>
      <c r="B305" s="91">
        <v>1187739</v>
      </c>
      <c r="C305" s="944">
        <f>IF(A305='Data Entry - SOF'!B$2,'Report-SOF1718'!D$102,0)</f>
        <v>0</v>
      </c>
      <c r="D305" s="1037">
        <f>IF(A305='Data Entry - SOF'!B$2,'Data Entry - SOF'!#REF!,0)</f>
        <v>0</v>
      </c>
      <c r="E305" s="91">
        <f t="shared" si="24"/>
        <v>1187739</v>
      </c>
      <c r="F305" s="944">
        <f>IF(A305='Data Entry - SOF'!B$2,'Report-SOF1819'!D$102,0)</f>
        <v>0</v>
      </c>
      <c r="G305" s="1037">
        <f>IF(A305='Data Entry - SOF'!B$2,'Data Entry - SOF'!E$102,0)</f>
        <v>0</v>
      </c>
      <c r="H305" s="1038">
        <f t="shared" si="26"/>
        <v>1187739</v>
      </c>
      <c r="I305" s="944">
        <f>IF(A305='Data Entry - SOF'!B$2,'Report-SOF1920-HB3'!D$102,0)</f>
        <v>0</v>
      </c>
      <c r="J305" s="1037">
        <f>IF(A305='Data Entry - SOF'!B$2,'Data Entry - SOF'!G$102,0)</f>
        <v>0</v>
      </c>
      <c r="K305" s="717">
        <f t="shared" si="27"/>
        <v>1187739</v>
      </c>
      <c r="L305" s="944">
        <f>IF(A305='Data Entry - SOF'!B$2,'Report-SOF2021'!D$99,0)</f>
        <v>0</v>
      </c>
      <c r="M305" s="723">
        <f>IF(A305='Data Entry - SOF'!B$2,'Data Entry - SOF'!M$102,0)</f>
        <v>0</v>
      </c>
      <c r="N305" s="717">
        <f t="shared" si="28"/>
        <v>1187739</v>
      </c>
      <c r="O305" s="944">
        <f>IF(A305='Data Entry - SOF'!B$2,'Report-SOF2122'!D$91,0)</f>
        <v>0</v>
      </c>
      <c r="P305" s="723">
        <f>IF(A305='Data Entry - SOF'!B$2,'Data Entry - SOF'!O$102,0)</f>
        <v>0</v>
      </c>
      <c r="Q305" s="601">
        <f t="shared" si="25"/>
        <v>1187739</v>
      </c>
      <c r="R305" s="944">
        <f>IF(A305='Data Entry - SOF'!B$2,'Report-SOF2223'!D$91,0)</f>
        <v>0</v>
      </c>
      <c r="S305" s="723">
        <f>IF(A305='Data Entry - SOF'!B$2,'Data Entry - SOF'!Q$102,0)</f>
        <v>0</v>
      </c>
      <c r="T305" s="601">
        <f t="shared" si="29"/>
        <v>1187739</v>
      </c>
      <c r="U305" s="944">
        <f>IF(A305='Data Entry - SOF'!B$2,'Report-SOF2324'!D$91,0)</f>
        <v>0</v>
      </c>
      <c r="V305" s="723">
        <f>IF(A305='Data Entry - SOF'!B$2,'Data Entry - SOF'!S$102,0)</f>
        <v>0</v>
      </c>
    </row>
    <row r="306" spans="1:22" ht="15.75">
      <c r="A306" s="382" t="s">
        <v>1741</v>
      </c>
      <c r="B306" s="91">
        <v>1026773</v>
      </c>
      <c r="C306" s="944">
        <f>IF(A306='Data Entry - SOF'!B$2,'Report-SOF1718'!D$102,0)</f>
        <v>0</v>
      </c>
      <c r="D306" s="1037">
        <f>IF(A306='Data Entry - SOF'!B$2,'Data Entry - SOF'!#REF!,0)</f>
        <v>0</v>
      </c>
      <c r="E306" s="91">
        <f t="shared" si="24"/>
        <v>1026773</v>
      </c>
      <c r="F306" s="944">
        <f>IF(A306='Data Entry - SOF'!B$2,'Report-SOF1819'!D$102,0)</f>
        <v>0</v>
      </c>
      <c r="G306" s="1037">
        <f>IF(A306='Data Entry - SOF'!B$2,'Data Entry - SOF'!E$102,0)</f>
        <v>0</v>
      </c>
      <c r="H306" s="1038">
        <f t="shared" si="26"/>
        <v>1026773</v>
      </c>
      <c r="I306" s="944">
        <f>IF(A306='Data Entry - SOF'!B$2,'Report-SOF1920-HB3'!D$102,0)</f>
        <v>0</v>
      </c>
      <c r="J306" s="1037">
        <f>IF(A306='Data Entry - SOF'!B$2,'Data Entry - SOF'!G$102,0)</f>
        <v>0</v>
      </c>
      <c r="K306" s="717">
        <f t="shared" si="27"/>
        <v>1026773</v>
      </c>
      <c r="L306" s="944">
        <f>IF(A306='Data Entry - SOF'!B$2,'Report-SOF2021'!D$99,0)</f>
        <v>0</v>
      </c>
      <c r="M306" s="723">
        <f>IF(A306='Data Entry - SOF'!B$2,'Data Entry - SOF'!M$102,0)</f>
        <v>0</v>
      </c>
      <c r="N306" s="717">
        <f t="shared" si="28"/>
        <v>1026773</v>
      </c>
      <c r="O306" s="944">
        <f>IF(A306='Data Entry - SOF'!B$2,'Report-SOF2122'!D$91,0)</f>
        <v>0</v>
      </c>
      <c r="P306" s="723">
        <f>IF(A306='Data Entry - SOF'!B$2,'Data Entry - SOF'!O$102,0)</f>
        <v>0</v>
      </c>
      <c r="Q306" s="601">
        <f t="shared" si="25"/>
        <v>1026773</v>
      </c>
      <c r="R306" s="944">
        <f>IF(A306='Data Entry - SOF'!B$2,'Report-SOF2223'!D$91,0)</f>
        <v>0</v>
      </c>
      <c r="S306" s="723">
        <f>IF(A306='Data Entry - SOF'!B$2,'Data Entry - SOF'!Q$102,0)</f>
        <v>0</v>
      </c>
      <c r="T306" s="601">
        <f t="shared" si="29"/>
        <v>1026773</v>
      </c>
      <c r="U306" s="944">
        <f>IF(A306='Data Entry - SOF'!B$2,'Report-SOF2324'!D$91,0)</f>
        <v>0</v>
      </c>
      <c r="V306" s="723">
        <f>IF(A306='Data Entry - SOF'!B$2,'Data Entry - SOF'!S$102,0)</f>
        <v>0</v>
      </c>
    </row>
    <row r="307" spans="1:22" ht="15.75">
      <c r="A307" s="382" t="s">
        <v>1742</v>
      </c>
      <c r="B307" s="91">
        <v>1182214</v>
      </c>
      <c r="C307" s="944">
        <f>IF(A307='Data Entry - SOF'!B$2,'Report-SOF1718'!D$102,0)</f>
        <v>0</v>
      </c>
      <c r="D307" s="1037">
        <f>IF(A307='Data Entry - SOF'!B$2,'Data Entry - SOF'!#REF!,0)</f>
        <v>0</v>
      </c>
      <c r="E307" s="91">
        <f t="shared" si="24"/>
        <v>1182214</v>
      </c>
      <c r="F307" s="944">
        <f>IF(A307='Data Entry - SOF'!B$2,'Report-SOF1819'!D$102,0)</f>
        <v>0</v>
      </c>
      <c r="G307" s="1037">
        <f>IF(A307='Data Entry - SOF'!B$2,'Data Entry - SOF'!E$102,0)</f>
        <v>0</v>
      </c>
      <c r="H307" s="1038">
        <f t="shared" si="26"/>
        <v>1182214</v>
      </c>
      <c r="I307" s="944">
        <f>IF(A307='Data Entry - SOF'!B$2,'Report-SOF1920-HB3'!D$102,0)</f>
        <v>0</v>
      </c>
      <c r="J307" s="1037">
        <f>IF(A307='Data Entry - SOF'!B$2,'Data Entry - SOF'!G$102,0)</f>
        <v>0</v>
      </c>
      <c r="K307" s="717">
        <f t="shared" si="27"/>
        <v>1182214</v>
      </c>
      <c r="L307" s="944">
        <f>IF(A307='Data Entry - SOF'!B$2,'Report-SOF2021'!D$99,0)</f>
        <v>0</v>
      </c>
      <c r="M307" s="723">
        <f>IF(A307='Data Entry - SOF'!B$2,'Data Entry - SOF'!M$102,0)</f>
        <v>0</v>
      </c>
      <c r="N307" s="717">
        <f t="shared" si="28"/>
        <v>1182214</v>
      </c>
      <c r="O307" s="944">
        <f>IF(A307='Data Entry - SOF'!B$2,'Report-SOF2122'!D$91,0)</f>
        <v>0</v>
      </c>
      <c r="P307" s="723">
        <f>IF(A307='Data Entry - SOF'!B$2,'Data Entry - SOF'!O$102,0)</f>
        <v>0</v>
      </c>
      <c r="Q307" s="601">
        <f t="shared" si="25"/>
        <v>1182214</v>
      </c>
      <c r="R307" s="944">
        <f>IF(A307='Data Entry - SOF'!B$2,'Report-SOF2223'!D$91,0)</f>
        <v>0</v>
      </c>
      <c r="S307" s="723">
        <f>IF(A307='Data Entry - SOF'!B$2,'Data Entry - SOF'!Q$102,0)</f>
        <v>0</v>
      </c>
      <c r="T307" s="601">
        <f t="shared" si="29"/>
        <v>1182214</v>
      </c>
      <c r="U307" s="944">
        <f>IF(A307='Data Entry - SOF'!B$2,'Report-SOF2324'!D$91,0)</f>
        <v>0</v>
      </c>
      <c r="V307" s="723">
        <f>IF(A307='Data Entry - SOF'!B$2,'Data Entry - SOF'!S$102,0)</f>
        <v>0</v>
      </c>
    </row>
    <row r="308" spans="1:22" ht="15.75">
      <c r="A308" s="382" t="s">
        <v>1234</v>
      </c>
      <c r="B308" s="91">
        <v>796974</v>
      </c>
      <c r="C308" s="944">
        <f>IF(A308='Data Entry - SOF'!B$2,'Report-SOF1718'!D$102,0)</f>
        <v>0</v>
      </c>
      <c r="D308" s="1037">
        <f>IF(A308='Data Entry - SOF'!B$2,'Data Entry - SOF'!#REF!,0)</f>
        <v>0</v>
      </c>
      <c r="E308" s="91">
        <f t="shared" si="24"/>
        <v>796974</v>
      </c>
      <c r="F308" s="944">
        <f>IF(A308='Data Entry - SOF'!B$2,'Report-SOF1819'!D$102,0)</f>
        <v>0</v>
      </c>
      <c r="G308" s="1037">
        <f>IF(A308='Data Entry - SOF'!B$2,'Data Entry - SOF'!E$102,0)</f>
        <v>0</v>
      </c>
      <c r="H308" s="1038">
        <f t="shared" si="26"/>
        <v>796974</v>
      </c>
      <c r="I308" s="944">
        <f>IF(A308='Data Entry - SOF'!B$2,'Report-SOF1920-HB3'!D$102,0)</f>
        <v>0</v>
      </c>
      <c r="J308" s="1037">
        <f>IF(A308='Data Entry - SOF'!B$2,'Data Entry - SOF'!G$102,0)</f>
        <v>0</v>
      </c>
      <c r="K308" s="717">
        <f t="shared" si="27"/>
        <v>796974</v>
      </c>
      <c r="L308" s="944">
        <f>IF(A308='Data Entry - SOF'!B$2,'Report-SOF2021'!D$99,0)</f>
        <v>0</v>
      </c>
      <c r="M308" s="723">
        <f>IF(A308='Data Entry - SOF'!B$2,'Data Entry - SOF'!M$102,0)</f>
        <v>0</v>
      </c>
      <c r="N308" s="717">
        <f t="shared" si="28"/>
        <v>796974</v>
      </c>
      <c r="O308" s="944">
        <f>IF(A308='Data Entry - SOF'!B$2,'Report-SOF2122'!D$91,0)</f>
        <v>0</v>
      </c>
      <c r="P308" s="723">
        <f>IF(A308='Data Entry - SOF'!B$2,'Data Entry - SOF'!O$102,0)</f>
        <v>0</v>
      </c>
      <c r="Q308" s="601">
        <f t="shared" si="25"/>
        <v>796974</v>
      </c>
      <c r="R308" s="944">
        <f>IF(A308='Data Entry - SOF'!B$2,'Report-SOF2223'!D$91,0)</f>
        <v>0</v>
      </c>
      <c r="S308" s="723">
        <f>IF(A308='Data Entry - SOF'!B$2,'Data Entry - SOF'!Q$102,0)</f>
        <v>0</v>
      </c>
      <c r="T308" s="601">
        <f t="shared" si="29"/>
        <v>796974</v>
      </c>
      <c r="U308" s="944">
        <f>IF(A308='Data Entry - SOF'!B$2,'Report-SOF2324'!D$91,0)</f>
        <v>0</v>
      </c>
      <c r="V308" s="723">
        <f>IF(A308='Data Entry - SOF'!B$2,'Data Entry - SOF'!S$102,0)</f>
        <v>0</v>
      </c>
    </row>
    <row r="309" spans="1:22" ht="15.75">
      <c r="A309" s="382" t="s">
        <v>2571</v>
      </c>
      <c r="B309" s="91">
        <v>5727415</v>
      </c>
      <c r="C309" s="944">
        <f>IF(A309='Data Entry - SOF'!B$2,'Report-SOF1718'!D$102,0)</f>
        <v>0</v>
      </c>
      <c r="D309" s="1037">
        <f>IF(A309='Data Entry - SOF'!B$2,'Data Entry - SOF'!#REF!,0)</f>
        <v>0</v>
      </c>
      <c r="E309" s="91">
        <f t="shared" si="24"/>
        <v>5727415</v>
      </c>
      <c r="F309" s="944">
        <f>IF(A309='Data Entry - SOF'!B$2,'Report-SOF1819'!D$102,0)</f>
        <v>0</v>
      </c>
      <c r="G309" s="1037">
        <f>IF(A309='Data Entry - SOF'!B$2,'Data Entry - SOF'!E$102,0)</f>
        <v>0</v>
      </c>
      <c r="H309" s="1038">
        <f t="shared" si="26"/>
        <v>5727415</v>
      </c>
      <c r="I309" s="944">
        <f>IF(A309='Data Entry - SOF'!B$2,'Report-SOF1920-HB3'!D$102,0)</f>
        <v>0</v>
      </c>
      <c r="J309" s="1037">
        <f>IF(A309='Data Entry - SOF'!B$2,'Data Entry - SOF'!G$102,0)</f>
        <v>0</v>
      </c>
      <c r="K309" s="717">
        <f t="shared" si="27"/>
        <v>5727415</v>
      </c>
      <c r="L309" s="944">
        <f>IF(A309='Data Entry - SOF'!B$2,'Report-SOF2021'!D$99,0)</f>
        <v>0</v>
      </c>
      <c r="M309" s="723">
        <f>IF(A309='Data Entry - SOF'!B$2,'Data Entry - SOF'!M$102,0)</f>
        <v>0</v>
      </c>
      <c r="N309" s="717">
        <f t="shared" si="28"/>
        <v>5727415</v>
      </c>
      <c r="O309" s="944">
        <f>IF(A309='Data Entry - SOF'!B$2,'Report-SOF2122'!D$91,0)</f>
        <v>0</v>
      </c>
      <c r="P309" s="723">
        <f>IF(A309='Data Entry - SOF'!B$2,'Data Entry - SOF'!O$102,0)</f>
        <v>0</v>
      </c>
      <c r="Q309" s="601">
        <f t="shared" si="25"/>
        <v>5727415</v>
      </c>
      <c r="R309" s="944">
        <f>IF(A309='Data Entry - SOF'!B$2,'Report-SOF2223'!D$91,0)</f>
        <v>0</v>
      </c>
      <c r="S309" s="723">
        <f>IF(A309='Data Entry - SOF'!B$2,'Data Entry - SOF'!Q$102,0)</f>
        <v>0</v>
      </c>
      <c r="T309" s="601">
        <f t="shared" si="29"/>
        <v>5727415</v>
      </c>
      <c r="U309" s="944">
        <f>IF(A309='Data Entry - SOF'!B$2,'Report-SOF2324'!D$91,0)</f>
        <v>0</v>
      </c>
      <c r="V309" s="723">
        <f>IF(A309='Data Entry - SOF'!B$2,'Data Entry - SOF'!S$102,0)</f>
        <v>0</v>
      </c>
    </row>
    <row r="310" spans="1:22" ht="15.75">
      <c r="A310" s="382" t="s">
        <v>1697</v>
      </c>
      <c r="B310" s="91">
        <v>4356960</v>
      </c>
      <c r="C310" s="944">
        <f>IF(A310='Data Entry - SOF'!B$2,'Report-SOF1718'!D$102,0)</f>
        <v>0</v>
      </c>
      <c r="D310" s="1037">
        <f>IF(A310='Data Entry - SOF'!B$2,'Data Entry - SOF'!#REF!,0)</f>
        <v>0</v>
      </c>
      <c r="E310" s="91">
        <f t="shared" si="24"/>
        <v>4356960</v>
      </c>
      <c r="F310" s="944">
        <f>IF(A310='Data Entry - SOF'!B$2,'Report-SOF1819'!D$102,0)</f>
        <v>0</v>
      </c>
      <c r="G310" s="1037">
        <f>IF(A310='Data Entry - SOF'!B$2,'Data Entry - SOF'!E$102,0)</f>
        <v>0</v>
      </c>
      <c r="H310" s="1038">
        <f t="shared" si="26"/>
        <v>4356960</v>
      </c>
      <c r="I310" s="944">
        <f>IF(A310='Data Entry - SOF'!B$2,'Report-SOF1920-HB3'!D$102,0)</f>
        <v>0</v>
      </c>
      <c r="J310" s="1037">
        <f>IF(A310='Data Entry - SOF'!B$2,'Data Entry - SOF'!G$102,0)</f>
        <v>0</v>
      </c>
      <c r="K310" s="717">
        <f t="shared" si="27"/>
        <v>4356960</v>
      </c>
      <c r="L310" s="944">
        <f>IF(A310='Data Entry - SOF'!B$2,'Report-SOF2021'!D$99,0)</f>
        <v>0</v>
      </c>
      <c r="M310" s="723">
        <f>IF(A310='Data Entry - SOF'!B$2,'Data Entry - SOF'!M$102,0)</f>
        <v>0</v>
      </c>
      <c r="N310" s="717">
        <f t="shared" si="28"/>
        <v>4356960</v>
      </c>
      <c r="O310" s="944">
        <f>IF(A310='Data Entry - SOF'!B$2,'Report-SOF2122'!D$91,0)</f>
        <v>0</v>
      </c>
      <c r="P310" s="723">
        <f>IF(A310='Data Entry - SOF'!B$2,'Data Entry - SOF'!O$102,0)</f>
        <v>0</v>
      </c>
      <c r="Q310" s="601">
        <f t="shared" si="25"/>
        <v>4356960</v>
      </c>
      <c r="R310" s="944">
        <f>IF(A310='Data Entry - SOF'!B$2,'Report-SOF2223'!D$91,0)</f>
        <v>0</v>
      </c>
      <c r="S310" s="723">
        <f>IF(A310='Data Entry - SOF'!B$2,'Data Entry - SOF'!Q$102,0)</f>
        <v>0</v>
      </c>
      <c r="T310" s="601">
        <f t="shared" si="29"/>
        <v>4356960</v>
      </c>
      <c r="U310" s="944">
        <f>IF(A310='Data Entry - SOF'!B$2,'Report-SOF2324'!D$91,0)</f>
        <v>0</v>
      </c>
      <c r="V310" s="723">
        <f>IF(A310='Data Entry - SOF'!B$2,'Data Entry - SOF'!S$102,0)</f>
        <v>0</v>
      </c>
    </row>
    <row r="311" spans="1:22" ht="15.75">
      <c r="A311" s="382" t="s">
        <v>1698</v>
      </c>
      <c r="B311" s="91">
        <v>4655137</v>
      </c>
      <c r="C311" s="944">
        <f>IF(A311='Data Entry - SOF'!B$2,'Report-SOF1718'!D$102,0)</f>
        <v>0</v>
      </c>
      <c r="D311" s="1037">
        <f>IF(A311='Data Entry - SOF'!B$2,'Data Entry - SOF'!#REF!,0)</f>
        <v>0</v>
      </c>
      <c r="E311" s="91">
        <f t="shared" si="24"/>
        <v>4655137</v>
      </c>
      <c r="F311" s="944">
        <f>IF(A311='Data Entry - SOF'!B$2,'Report-SOF1819'!D$102,0)</f>
        <v>0</v>
      </c>
      <c r="G311" s="1037">
        <f>IF(A311='Data Entry - SOF'!B$2,'Data Entry - SOF'!E$102,0)</f>
        <v>0</v>
      </c>
      <c r="H311" s="1038">
        <f t="shared" si="26"/>
        <v>4655137</v>
      </c>
      <c r="I311" s="944">
        <f>IF(A311='Data Entry - SOF'!B$2,'Report-SOF1920-HB3'!D$102,0)</f>
        <v>0</v>
      </c>
      <c r="J311" s="1037">
        <f>IF(A311='Data Entry - SOF'!B$2,'Data Entry - SOF'!G$102,0)</f>
        <v>0</v>
      </c>
      <c r="K311" s="717">
        <f t="shared" si="27"/>
        <v>4655137</v>
      </c>
      <c r="L311" s="944">
        <f>IF(A311='Data Entry - SOF'!B$2,'Report-SOF2021'!D$99,0)</f>
        <v>0</v>
      </c>
      <c r="M311" s="723">
        <f>IF(A311='Data Entry - SOF'!B$2,'Data Entry - SOF'!M$102,0)</f>
        <v>0</v>
      </c>
      <c r="N311" s="717">
        <f t="shared" si="28"/>
        <v>4655137</v>
      </c>
      <c r="O311" s="944">
        <f>IF(A311='Data Entry - SOF'!B$2,'Report-SOF2122'!D$91,0)</f>
        <v>0</v>
      </c>
      <c r="P311" s="723">
        <f>IF(A311='Data Entry - SOF'!B$2,'Data Entry - SOF'!O$102,0)</f>
        <v>0</v>
      </c>
      <c r="Q311" s="601">
        <f t="shared" si="25"/>
        <v>4655137</v>
      </c>
      <c r="R311" s="944">
        <f>IF(A311='Data Entry - SOF'!B$2,'Report-SOF2223'!D$91,0)</f>
        <v>0</v>
      </c>
      <c r="S311" s="723">
        <f>IF(A311='Data Entry - SOF'!B$2,'Data Entry - SOF'!Q$102,0)</f>
        <v>0</v>
      </c>
      <c r="T311" s="601">
        <f t="shared" si="29"/>
        <v>4655137</v>
      </c>
      <c r="U311" s="944">
        <f>IF(A311='Data Entry - SOF'!B$2,'Report-SOF2324'!D$91,0)</f>
        <v>0</v>
      </c>
      <c r="V311" s="723">
        <f>IF(A311='Data Entry - SOF'!B$2,'Data Entry - SOF'!S$102,0)</f>
        <v>0</v>
      </c>
    </row>
    <row r="312" spans="1:22" ht="15.75">
      <c r="A312" s="382" t="s">
        <v>921</v>
      </c>
      <c r="B312" s="91">
        <v>1614896.2208513301</v>
      </c>
      <c r="C312" s="944">
        <f>IF(A312='Data Entry - SOF'!B$2,'Report-SOF1718'!D$102,0)</f>
        <v>0</v>
      </c>
      <c r="D312" s="1037">
        <f>IF(A312='Data Entry - SOF'!B$2,'Data Entry - SOF'!#REF!,0)</f>
        <v>0</v>
      </c>
      <c r="E312" s="91">
        <f t="shared" si="24"/>
        <v>1614896.2208513301</v>
      </c>
      <c r="F312" s="944">
        <f>IF(A312='Data Entry - SOF'!B$2,'Report-SOF1819'!D$102,0)</f>
        <v>0</v>
      </c>
      <c r="G312" s="1037">
        <f>IF(A312='Data Entry - SOF'!B$2,'Data Entry - SOF'!E$102,0)</f>
        <v>0</v>
      </c>
      <c r="H312" s="1038">
        <f t="shared" si="26"/>
        <v>1614896.2208513301</v>
      </c>
      <c r="I312" s="944">
        <f>IF(A312='Data Entry - SOF'!B$2,'Report-SOF1920-HB3'!D$102,0)</f>
        <v>0</v>
      </c>
      <c r="J312" s="1037">
        <f>IF(A312='Data Entry - SOF'!B$2,'Data Entry - SOF'!G$102,0)</f>
        <v>0</v>
      </c>
      <c r="K312" s="717">
        <f t="shared" si="27"/>
        <v>1614896.2208513301</v>
      </c>
      <c r="L312" s="944">
        <f>IF(A312='Data Entry - SOF'!B$2,'Report-SOF2021'!D$99,0)</f>
        <v>0</v>
      </c>
      <c r="M312" s="723">
        <f>IF(A312='Data Entry - SOF'!B$2,'Data Entry - SOF'!M$102,0)</f>
        <v>0</v>
      </c>
      <c r="N312" s="717">
        <f t="shared" si="28"/>
        <v>1614896.2208513301</v>
      </c>
      <c r="O312" s="944">
        <f>IF(A312='Data Entry - SOF'!B$2,'Report-SOF2122'!D$91,0)</f>
        <v>0</v>
      </c>
      <c r="P312" s="723">
        <f>IF(A312='Data Entry - SOF'!B$2,'Data Entry - SOF'!O$102,0)</f>
        <v>0</v>
      </c>
      <c r="Q312" s="601">
        <f t="shared" si="25"/>
        <v>1614896.2208513301</v>
      </c>
      <c r="R312" s="944">
        <f>IF(A312='Data Entry - SOF'!B$2,'Report-SOF2223'!D$91,0)</f>
        <v>0</v>
      </c>
      <c r="S312" s="723">
        <f>IF(A312='Data Entry - SOF'!B$2,'Data Entry - SOF'!Q$102,0)</f>
        <v>0</v>
      </c>
      <c r="T312" s="601">
        <f t="shared" si="29"/>
        <v>1614896.2208513301</v>
      </c>
      <c r="U312" s="944">
        <f>IF(A312='Data Entry - SOF'!B$2,'Report-SOF2324'!D$91,0)</f>
        <v>0</v>
      </c>
      <c r="V312" s="723">
        <f>IF(A312='Data Entry - SOF'!B$2,'Data Entry - SOF'!S$102,0)</f>
        <v>0</v>
      </c>
    </row>
    <row r="313" spans="1:22" ht="15.75">
      <c r="A313" s="382" t="s">
        <v>65</v>
      </c>
      <c r="B313" s="91">
        <v>3378874</v>
      </c>
      <c r="C313" s="944">
        <f>IF(A313='Data Entry - SOF'!B$2,'Report-SOF1718'!D$102,0)</f>
        <v>0</v>
      </c>
      <c r="D313" s="1037">
        <f>IF(A313='Data Entry - SOF'!B$2,'Data Entry - SOF'!#REF!,0)</f>
        <v>0</v>
      </c>
      <c r="E313" s="91">
        <f t="shared" si="24"/>
        <v>3378874</v>
      </c>
      <c r="F313" s="944">
        <f>IF(A313='Data Entry - SOF'!B$2,'Report-SOF1819'!D$102,0)</f>
        <v>0</v>
      </c>
      <c r="G313" s="1037">
        <f>IF(A313='Data Entry - SOF'!B$2,'Data Entry - SOF'!E$102,0)</f>
        <v>0</v>
      </c>
      <c r="H313" s="1038">
        <f t="shared" si="26"/>
        <v>3378874</v>
      </c>
      <c r="I313" s="944">
        <f>IF(A313='Data Entry - SOF'!B$2,'Report-SOF1920-HB3'!D$102,0)</f>
        <v>0</v>
      </c>
      <c r="J313" s="1037">
        <f>IF(A313='Data Entry - SOF'!B$2,'Data Entry - SOF'!G$102,0)</f>
        <v>0</v>
      </c>
      <c r="K313" s="717">
        <f t="shared" si="27"/>
        <v>3378874</v>
      </c>
      <c r="L313" s="944">
        <f>IF(A313='Data Entry - SOF'!B$2,'Report-SOF2021'!D$99,0)</f>
        <v>0</v>
      </c>
      <c r="M313" s="723">
        <f>IF(A313='Data Entry - SOF'!B$2,'Data Entry - SOF'!M$102,0)</f>
        <v>0</v>
      </c>
      <c r="N313" s="717">
        <f t="shared" si="28"/>
        <v>3378874</v>
      </c>
      <c r="O313" s="944">
        <f>IF(A313='Data Entry - SOF'!B$2,'Report-SOF2122'!D$91,0)</f>
        <v>0</v>
      </c>
      <c r="P313" s="723">
        <f>IF(A313='Data Entry - SOF'!B$2,'Data Entry - SOF'!O$102,0)</f>
        <v>0</v>
      </c>
      <c r="Q313" s="601">
        <f t="shared" si="25"/>
        <v>3378874</v>
      </c>
      <c r="R313" s="944">
        <f>IF(A313='Data Entry - SOF'!B$2,'Report-SOF2223'!D$91,0)</f>
        <v>0</v>
      </c>
      <c r="S313" s="723">
        <f>IF(A313='Data Entry - SOF'!B$2,'Data Entry - SOF'!Q$102,0)</f>
        <v>0</v>
      </c>
      <c r="T313" s="601">
        <f t="shared" si="29"/>
        <v>3378874</v>
      </c>
      <c r="U313" s="944">
        <f>IF(A313='Data Entry - SOF'!B$2,'Report-SOF2324'!D$91,0)</f>
        <v>0</v>
      </c>
      <c r="V313" s="723">
        <f>IF(A313='Data Entry - SOF'!B$2,'Data Entry - SOF'!S$102,0)</f>
        <v>0</v>
      </c>
    </row>
    <row r="314" spans="1:22" ht="15.75">
      <c r="A314" s="382" t="s">
        <v>754</v>
      </c>
      <c r="B314" s="91">
        <v>762876</v>
      </c>
      <c r="C314" s="944">
        <f>IF(A314='Data Entry - SOF'!B$2,'Report-SOF1718'!D$102,0)</f>
        <v>0</v>
      </c>
      <c r="D314" s="1037">
        <f>IF(A314='Data Entry - SOF'!B$2,'Data Entry - SOF'!#REF!,0)</f>
        <v>0</v>
      </c>
      <c r="E314" s="91">
        <f t="shared" si="24"/>
        <v>762876</v>
      </c>
      <c r="F314" s="944">
        <f>IF(A314='Data Entry - SOF'!B$2,'Report-SOF1819'!D$102,0)</f>
        <v>0</v>
      </c>
      <c r="G314" s="1037">
        <f>IF(A314='Data Entry - SOF'!B$2,'Data Entry - SOF'!E$102,0)</f>
        <v>0</v>
      </c>
      <c r="H314" s="1038">
        <f t="shared" si="26"/>
        <v>762876</v>
      </c>
      <c r="I314" s="944">
        <f>IF(A314='Data Entry - SOF'!B$2,'Report-SOF1920-HB3'!D$102,0)</f>
        <v>0</v>
      </c>
      <c r="J314" s="1037">
        <f>IF(A314='Data Entry - SOF'!B$2,'Data Entry - SOF'!G$102,0)</f>
        <v>0</v>
      </c>
      <c r="K314" s="717">
        <f t="shared" si="27"/>
        <v>762876</v>
      </c>
      <c r="L314" s="944">
        <f>IF(A314='Data Entry - SOF'!B$2,'Report-SOF2021'!D$99,0)</f>
        <v>0</v>
      </c>
      <c r="M314" s="723">
        <f>IF(A314='Data Entry - SOF'!B$2,'Data Entry - SOF'!M$102,0)</f>
        <v>0</v>
      </c>
      <c r="N314" s="717">
        <f t="shared" si="28"/>
        <v>762876</v>
      </c>
      <c r="O314" s="944">
        <f>IF(A314='Data Entry - SOF'!B$2,'Report-SOF2122'!D$91,0)</f>
        <v>0</v>
      </c>
      <c r="P314" s="723">
        <f>IF(A314='Data Entry - SOF'!B$2,'Data Entry - SOF'!O$102,0)</f>
        <v>0</v>
      </c>
      <c r="Q314" s="601">
        <f t="shared" si="25"/>
        <v>762876</v>
      </c>
      <c r="R314" s="944">
        <f>IF(A314='Data Entry - SOF'!B$2,'Report-SOF2223'!D$91,0)</f>
        <v>0</v>
      </c>
      <c r="S314" s="723">
        <f>IF(A314='Data Entry - SOF'!B$2,'Data Entry - SOF'!Q$102,0)</f>
        <v>0</v>
      </c>
      <c r="T314" s="601">
        <f t="shared" si="29"/>
        <v>762876</v>
      </c>
      <c r="U314" s="944">
        <f>IF(A314='Data Entry - SOF'!B$2,'Report-SOF2324'!D$91,0)</f>
        <v>0</v>
      </c>
      <c r="V314" s="723">
        <f>IF(A314='Data Entry - SOF'!B$2,'Data Entry - SOF'!S$102,0)</f>
        <v>0</v>
      </c>
    </row>
    <row r="315" spans="1:22" ht="15.75">
      <c r="A315" s="382" t="s">
        <v>2505</v>
      </c>
      <c r="B315" s="91">
        <v>1042356</v>
      </c>
      <c r="C315" s="944">
        <f>IF(A315='Data Entry - SOF'!B$2,'Report-SOF1718'!D$102,0)</f>
        <v>0</v>
      </c>
      <c r="D315" s="1037">
        <f>IF(A315='Data Entry - SOF'!B$2,'Data Entry - SOF'!#REF!,0)</f>
        <v>0</v>
      </c>
      <c r="E315" s="91">
        <f t="shared" si="24"/>
        <v>1042356</v>
      </c>
      <c r="F315" s="944">
        <f>IF(A315='Data Entry - SOF'!B$2,'Report-SOF1819'!D$102,0)</f>
        <v>0</v>
      </c>
      <c r="G315" s="1037">
        <f>IF(A315='Data Entry - SOF'!B$2,'Data Entry - SOF'!E$102,0)</f>
        <v>0</v>
      </c>
      <c r="H315" s="1038">
        <f t="shared" si="26"/>
        <v>1042356</v>
      </c>
      <c r="I315" s="944">
        <f>IF(A315='Data Entry - SOF'!B$2,'Report-SOF1920-HB3'!D$102,0)</f>
        <v>0</v>
      </c>
      <c r="J315" s="1037">
        <f>IF(A315='Data Entry - SOF'!B$2,'Data Entry - SOF'!G$102,0)</f>
        <v>0</v>
      </c>
      <c r="K315" s="717">
        <f t="shared" si="27"/>
        <v>1042356</v>
      </c>
      <c r="L315" s="944">
        <f>IF(A315='Data Entry - SOF'!B$2,'Report-SOF2021'!D$99,0)</f>
        <v>0</v>
      </c>
      <c r="M315" s="723">
        <f>IF(A315='Data Entry - SOF'!B$2,'Data Entry - SOF'!M$102,0)</f>
        <v>0</v>
      </c>
      <c r="N315" s="717">
        <f t="shared" si="28"/>
        <v>1042356</v>
      </c>
      <c r="O315" s="944">
        <f>IF(A315='Data Entry - SOF'!B$2,'Report-SOF2122'!D$91,0)</f>
        <v>0</v>
      </c>
      <c r="P315" s="723">
        <f>IF(A315='Data Entry - SOF'!B$2,'Data Entry - SOF'!O$102,0)</f>
        <v>0</v>
      </c>
      <c r="Q315" s="601">
        <f t="shared" si="25"/>
        <v>1042356</v>
      </c>
      <c r="R315" s="944">
        <f>IF(A315='Data Entry - SOF'!B$2,'Report-SOF2223'!D$91,0)</f>
        <v>0</v>
      </c>
      <c r="S315" s="723">
        <f>IF(A315='Data Entry - SOF'!B$2,'Data Entry - SOF'!Q$102,0)</f>
        <v>0</v>
      </c>
      <c r="T315" s="601">
        <f t="shared" si="29"/>
        <v>1042356</v>
      </c>
      <c r="U315" s="944">
        <f>IF(A315='Data Entry - SOF'!B$2,'Report-SOF2324'!D$91,0)</f>
        <v>0</v>
      </c>
      <c r="V315" s="723">
        <f>IF(A315='Data Entry - SOF'!B$2,'Data Entry - SOF'!S$102,0)</f>
        <v>0</v>
      </c>
    </row>
    <row r="316" spans="1:22" ht="15.75">
      <c r="A316" s="382" t="s">
        <v>627</v>
      </c>
      <c r="B316" s="91">
        <v>4931981</v>
      </c>
      <c r="C316" s="944">
        <f>IF(A316='Data Entry - SOF'!B$2,'Report-SOF1718'!D$102,0)</f>
        <v>0</v>
      </c>
      <c r="D316" s="1037">
        <f>IF(A316='Data Entry - SOF'!B$2,'Data Entry - SOF'!#REF!,0)</f>
        <v>0</v>
      </c>
      <c r="E316" s="91">
        <f t="shared" si="24"/>
        <v>4931981</v>
      </c>
      <c r="F316" s="944">
        <f>IF(A316='Data Entry - SOF'!B$2,'Report-SOF1819'!D$102,0)</f>
        <v>0</v>
      </c>
      <c r="G316" s="1037">
        <f>IF(A316='Data Entry - SOF'!B$2,'Data Entry - SOF'!E$102,0)</f>
        <v>0</v>
      </c>
      <c r="H316" s="1038">
        <f t="shared" si="26"/>
        <v>4931981</v>
      </c>
      <c r="I316" s="944">
        <f>IF(A316='Data Entry - SOF'!B$2,'Report-SOF1920-HB3'!D$102,0)</f>
        <v>0</v>
      </c>
      <c r="J316" s="1037">
        <f>IF(A316='Data Entry - SOF'!B$2,'Data Entry - SOF'!G$102,0)</f>
        <v>0</v>
      </c>
      <c r="K316" s="717">
        <f t="shared" si="27"/>
        <v>4931981</v>
      </c>
      <c r="L316" s="944">
        <f>IF(A316='Data Entry - SOF'!B$2,'Report-SOF2021'!D$99,0)</f>
        <v>0</v>
      </c>
      <c r="M316" s="723">
        <f>IF(A316='Data Entry - SOF'!B$2,'Data Entry - SOF'!M$102,0)</f>
        <v>0</v>
      </c>
      <c r="N316" s="717">
        <f t="shared" si="28"/>
        <v>4931981</v>
      </c>
      <c r="O316" s="944">
        <f>IF(A316='Data Entry - SOF'!B$2,'Report-SOF2122'!D$91,0)</f>
        <v>0</v>
      </c>
      <c r="P316" s="723">
        <f>IF(A316='Data Entry - SOF'!B$2,'Data Entry - SOF'!O$102,0)</f>
        <v>0</v>
      </c>
      <c r="Q316" s="601">
        <f t="shared" si="25"/>
        <v>4931981</v>
      </c>
      <c r="R316" s="944">
        <f>IF(A316='Data Entry - SOF'!B$2,'Report-SOF2223'!D$91,0)</f>
        <v>0</v>
      </c>
      <c r="S316" s="723">
        <f>IF(A316='Data Entry - SOF'!B$2,'Data Entry - SOF'!Q$102,0)</f>
        <v>0</v>
      </c>
      <c r="T316" s="601">
        <f t="shared" si="29"/>
        <v>4931981</v>
      </c>
      <c r="U316" s="944">
        <f>IF(A316='Data Entry - SOF'!B$2,'Report-SOF2324'!D$91,0)</f>
        <v>0</v>
      </c>
      <c r="V316" s="723">
        <f>IF(A316='Data Entry - SOF'!B$2,'Data Entry - SOF'!S$102,0)</f>
        <v>0</v>
      </c>
    </row>
    <row r="317" spans="1:22" ht="15.75">
      <c r="A317" s="382" t="s">
        <v>628</v>
      </c>
      <c r="B317" s="91">
        <v>898319</v>
      </c>
      <c r="C317" s="944">
        <f>IF(A317='Data Entry - SOF'!B$2,'Report-SOF1718'!D$102,0)</f>
        <v>0</v>
      </c>
      <c r="D317" s="1037">
        <f>IF(A317='Data Entry - SOF'!B$2,'Data Entry - SOF'!#REF!,0)</f>
        <v>0</v>
      </c>
      <c r="E317" s="91">
        <f t="shared" si="24"/>
        <v>898319</v>
      </c>
      <c r="F317" s="944">
        <f>IF(A317='Data Entry - SOF'!B$2,'Report-SOF1819'!D$102,0)</f>
        <v>0</v>
      </c>
      <c r="G317" s="1037">
        <f>IF(A317='Data Entry - SOF'!B$2,'Data Entry - SOF'!E$102,0)</f>
        <v>0</v>
      </c>
      <c r="H317" s="1038">
        <f t="shared" si="26"/>
        <v>898319</v>
      </c>
      <c r="I317" s="944">
        <f>IF(A317='Data Entry - SOF'!B$2,'Report-SOF1920-HB3'!D$102,0)</f>
        <v>0</v>
      </c>
      <c r="J317" s="1037">
        <f>IF(A317='Data Entry - SOF'!B$2,'Data Entry - SOF'!G$102,0)</f>
        <v>0</v>
      </c>
      <c r="K317" s="717">
        <f t="shared" si="27"/>
        <v>898319</v>
      </c>
      <c r="L317" s="944">
        <f>IF(A317='Data Entry - SOF'!B$2,'Report-SOF2021'!D$99,0)</f>
        <v>0</v>
      </c>
      <c r="M317" s="723">
        <f>IF(A317='Data Entry - SOF'!B$2,'Data Entry - SOF'!M$102,0)</f>
        <v>0</v>
      </c>
      <c r="N317" s="717">
        <f t="shared" si="28"/>
        <v>898319</v>
      </c>
      <c r="O317" s="944">
        <f>IF(A317='Data Entry - SOF'!B$2,'Report-SOF2122'!D$91,0)</f>
        <v>0</v>
      </c>
      <c r="P317" s="723">
        <f>IF(A317='Data Entry - SOF'!B$2,'Data Entry - SOF'!O$102,0)</f>
        <v>0</v>
      </c>
      <c r="Q317" s="601">
        <f t="shared" si="25"/>
        <v>898319</v>
      </c>
      <c r="R317" s="944">
        <f>IF(A317='Data Entry - SOF'!B$2,'Report-SOF2223'!D$91,0)</f>
        <v>0</v>
      </c>
      <c r="S317" s="723">
        <f>IF(A317='Data Entry - SOF'!B$2,'Data Entry - SOF'!Q$102,0)</f>
        <v>0</v>
      </c>
      <c r="T317" s="601">
        <f t="shared" si="29"/>
        <v>898319</v>
      </c>
      <c r="U317" s="944">
        <f>IF(A317='Data Entry - SOF'!B$2,'Report-SOF2324'!D$91,0)</f>
        <v>0</v>
      </c>
      <c r="V317" s="723">
        <f>IF(A317='Data Entry - SOF'!B$2,'Data Entry - SOF'!S$102,0)</f>
        <v>0</v>
      </c>
    </row>
    <row r="318" spans="1:22" ht="15.75">
      <c r="A318" s="382" t="s">
        <v>629</v>
      </c>
      <c r="B318" s="91">
        <v>1700577</v>
      </c>
      <c r="C318" s="944">
        <f>IF(A318='Data Entry - SOF'!B$2,'Report-SOF1718'!D$102,0)</f>
        <v>0</v>
      </c>
      <c r="D318" s="1037">
        <f>IF(A318='Data Entry - SOF'!B$2,'Data Entry - SOF'!#REF!,0)</f>
        <v>0</v>
      </c>
      <c r="E318" s="91">
        <f t="shared" si="24"/>
        <v>1700577</v>
      </c>
      <c r="F318" s="944">
        <f>IF(A318='Data Entry - SOF'!B$2,'Report-SOF1819'!D$102,0)</f>
        <v>0</v>
      </c>
      <c r="G318" s="1037">
        <f>IF(A318='Data Entry - SOF'!B$2,'Data Entry - SOF'!E$102,0)</f>
        <v>0</v>
      </c>
      <c r="H318" s="1038">
        <f t="shared" si="26"/>
        <v>1700577</v>
      </c>
      <c r="I318" s="944">
        <f>IF(A318='Data Entry - SOF'!B$2,'Report-SOF1920-HB3'!D$102,0)</f>
        <v>0</v>
      </c>
      <c r="J318" s="1037">
        <f>IF(A318='Data Entry - SOF'!B$2,'Data Entry - SOF'!G$102,0)</f>
        <v>0</v>
      </c>
      <c r="K318" s="717">
        <f t="shared" si="27"/>
        <v>1700577</v>
      </c>
      <c r="L318" s="944">
        <f>IF(A318='Data Entry - SOF'!B$2,'Report-SOF2021'!D$99,0)</f>
        <v>0</v>
      </c>
      <c r="M318" s="723">
        <f>IF(A318='Data Entry - SOF'!B$2,'Data Entry - SOF'!M$102,0)</f>
        <v>0</v>
      </c>
      <c r="N318" s="717">
        <f t="shared" si="28"/>
        <v>1700577</v>
      </c>
      <c r="O318" s="944">
        <f>IF(A318='Data Entry - SOF'!B$2,'Report-SOF2122'!D$91,0)</f>
        <v>0</v>
      </c>
      <c r="P318" s="723">
        <f>IF(A318='Data Entry - SOF'!B$2,'Data Entry - SOF'!O$102,0)</f>
        <v>0</v>
      </c>
      <c r="Q318" s="601">
        <f t="shared" si="25"/>
        <v>1700577</v>
      </c>
      <c r="R318" s="944">
        <f>IF(A318='Data Entry - SOF'!B$2,'Report-SOF2223'!D$91,0)</f>
        <v>0</v>
      </c>
      <c r="S318" s="723">
        <f>IF(A318='Data Entry - SOF'!B$2,'Data Entry - SOF'!Q$102,0)</f>
        <v>0</v>
      </c>
      <c r="T318" s="601">
        <f t="shared" si="29"/>
        <v>1700577</v>
      </c>
      <c r="U318" s="944">
        <f>IF(A318='Data Entry - SOF'!B$2,'Report-SOF2324'!D$91,0)</f>
        <v>0</v>
      </c>
      <c r="V318" s="723">
        <f>IF(A318='Data Entry - SOF'!B$2,'Data Entry - SOF'!S$102,0)</f>
        <v>0</v>
      </c>
    </row>
    <row r="319" spans="1:22" ht="15.75">
      <c r="A319" s="382" t="s">
        <v>630</v>
      </c>
      <c r="B319" s="91">
        <v>246725792</v>
      </c>
      <c r="C319" s="944">
        <f>IF(A319='Data Entry - SOF'!B$2,'Report-SOF1718'!D$102,0)</f>
        <v>0</v>
      </c>
      <c r="D319" s="1037">
        <f>IF(A319='Data Entry - SOF'!B$2,'Data Entry - SOF'!#REF!,0)</f>
        <v>0</v>
      </c>
      <c r="E319" s="91">
        <f t="shared" si="24"/>
        <v>246725792</v>
      </c>
      <c r="F319" s="944">
        <f>IF(A319='Data Entry - SOF'!B$2,'Report-SOF1819'!D$102,0)</f>
        <v>0</v>
      </c>
      <c r="G319" s="1037">
        <f>IF(A319='Data Entry - SOF'!B$2,'Data Entry - SOF'!E$102,0)</f>
        <v>0</v>
      </c>
      <c r="H319" s="1038">
        <f t="shared" si="26"/>
        <v>246725792</v>
      </c>
      <c r="I319" s="944">
        <f>IF(A319='Data Entry - SOF'!B$2,'Report-SOF1920-HB3'!D$102,0)</f>
        <v>0</v>
      </c>
      <c r="J319" s="1037">
        <f>IF(A319='Data Entry - SOF'!B$2,'Data Entry - SOF'!G$102,0)</f>
        <v>0</v>
      </c>
      <c r="K319" s="717">
        <f t="shared" si="27"/>
        <v>246725792</v>
      </c>
      <c r="L319" s="944">
        <f>IF(A319='Data Entry - SOF'!B$2,'Report-SOF2021'!D$99,0)</f>
        <v>0</v>
      </c>
      <c r="M319" s="723">
        <f>IF(A319='Data Entry - SOF'!B$2,'Data Entry - SOF'!M$102,0)</f>
        <v>0</v>
      </c>
      <c r="N319" s="717">
        <f t="shared" si="28"/>
        <v>246725792</v>
      </c>
      <c r="O319" s="944">
        <f>IF(A319='Data Entry - SOF'!B$2,'Report-SOF2122'!D$91,0)</f>
        <v>0</v>
      </c>
      <c r="P319" s="723">
        <f>IF(A319='Data Entry - SOF'!B$2,'Data Entry - SOF'!O$102,0)</f>
        <v>0</v>
      </c>
      <c r="Q319" s="601">
        <f t="shared" si="25"/>
        <v>246725792</v>
      </c>
      <c r="R319" s="944">
        <f>IF(A319='Data Entry - SOF'!B$2,'Report-SOF2223'!D$91,0)</f>
        <v>0</v>
      </c>
      <c r="S319" s="723">
        <f>IF(A319='Data Entry - SOF'!B$2,'Data Entry - SOF'!Q$102,0)</f>
        <v>0</v>
      </c>
      <c r="T319" s="601">
        <f t="shared" si="29"/>
        <v>246725792</v>
      </c>
      <c r="U319" s="944">
        <f>IF(A319='Data Entry - SOF'!B$2,'Report-SOF2324'!D$91,0)</f>
        <v>0</v>
      </c>
      <c r="V319" s="723">
        <f>IF(A319='Data Entry - SOF'!B$2,'Data Entry - SOF'!S$102,0)</f>
        <v>0</v>
      </c>
    </row>
    <row r="320" spans="1:22" ht="15.75">
      <c r="A320" s="382" t="s">
        <v>2541</v>
      </c>
      <c r="B320" s="91">
        <v>14538395</v>
      </c>
      <c r="C320" s="944">
        <f>IF(A320='Data Entry - SOF'!B$2,'Report-SOF1718'!D$102,0)</f>
        <v>0</v>
      </c>
      <c r="D320" s="1037">
        <f>IF(A320='Data Entry - SOF'!B$2,'Data Entry - SOF'!#REF!,0)</f>
        <v>0</v>
      </c>
      <c r="E320" s="91">
        <f t="shared" si="24"/>
        <v>14538395</v>
      </c>
      <c r="F320" s="944">
        <f>IF(A320='Data Entry - SOF'!B$2,'Report-SOF1819'!D$102,0)</f>
        <v>0</v>
      </c>
      <c r="G320" s="1037">
        <f>IF(A320='Data Entry - SOF'!B$2,'Data Entry - SOF'!E$102,0)</f>
        <v>0</v>
      </c>
      <c r="H320" s="1038">
        <f t="shared" si="26"/>
        <v>14538395</v>
      </c>
      <c r="I320" s="944">
        <f>IF(A320='Data Entry - SOF'!B$2,'Report-SOF1920-HB3'!D$102,0)</f>
        <v>0</v>
      </c>
      <c r="J320" s="1037">
        <f>IF(A320='Data Entry - SOF'!B$2,'Data Entry - SOF'!G$102,0)</f>
        <v>0</v>
      </c>
      <c r="K320" s="717">
        <f t="shared" si="27"/>
        <v>14538395</v>
      </c>
      <c r="L320" s="944">
        <f>IF(A320='Data Entry - SOF'!B$2,'Report-SOF2021'!D$99,0)</f>
        <v>0</v>
      </c>
      <c r="M320" s="723">
        <f>IF(A320='Data Entry - SOF'!B$2,'Data Entry - SOF'!M$102,0)</f>
        <v>0</v>
      </c>
      <c r="N320" s="717">
        <f t="shared" si="28"/>
        <v>14538395</v>
      </c>
      <c r="O320" s="944">
        <f>IF(A320='Data Entry - SOF'!B$2,'Report-SOF2122'!D$91,0)</f>
        <v>0</v>
      </c>
      <c r="P320" s="723">
        <f>IF(A320='Data Entry - SOF'!B$2,'Data Entry - SOF'!O$102,0)</f>
        <v>0</v>
      </c>
      <c r="Q320" s="601">
        <f t="shared" si="25"/>
        <v>14538395</v>
      </c>
      <c r="R320" s="944">
        <f>IF(A320='Data Entry - SOF'!B$2,'Report-SOF2223'!D$91,0)</f>
        <v>0</v>
      </c>
      <c r="S320" s="723">
        <f>IF(A320='Data Entry - SOF'!B$2,'Data Entry - SOF'!Q$102,0)</f>
        <v>0</v>
      </c>
      <c r="T320" s="601">
        <f t="shared" si="29"/>
        <v>14538395</v>
      </c>
      <c r="U320" s="944">
        <f>IF(A320='Data Entry - SOF'!B$2,'Report-SOF2324'!D$91,0)</f>
        <v>0</v>
      </c>
      <c r="V320" s="723">
        <f>IF(A320='Data Entry - SOF'!B$2,'Data Entry - SOF'!S$102,0)</f>
        <v>0</v>
      </c>
    </row>
    <row r="321" spans="1:22" ht="15.75">
      <c r="A321" s="382" t="s">
        <v>1422</v>
      </c>
      <c r="B321" s="91">
        <v>411879127</v>
      </c>
      <c r="C321" s="944">
        <f>IF(A321='Data Entry - SOF'!B$2,'Report-SOF1718'!D$102,0)</f>
        <v>0</v>
      </c>
      <c r="D321" s="1037">
        <f>IF(A321='Data Entry - SOF'!B$2,'Data Entry - SOF'!#REF!,0)</f>
        <v>0</v>
      </c>
      <c r="E321" s="91">
        <f t="shared" si="24"/>
        <v>411879127</v>
      </c>
      <c r="F321" s="944">
        <f>IF(A321='Data Entry - SOF'!B$2,'Report-SOF1819'!D$102,0)</f>
        <v>0</v>
      </c>
      <c r="G321" s="1037">
        <f>IF(A321='Data Entry - SOF'!B$2,'Data Entry - SOF'!E$102,0)</f>
        <v>0</v>
      </c>
      <c r="H321" s="1038">
        <f t="shared" si="26"/>
        <v>411879127</v>
      </c>
      <c r="I321" s="944">
        <f>IF(A321='Data Entry - SOF'!B$2,'Report-SOF1920-HB3'!D$102,0)</f>
        <v>0</v>
      </c>
      <c r="J321" s="1037">
        <f>IF(A321='Data Entry - SOF'!B$2,'Data Entry - SOF'!G$102,0)</f>
        <v>0</v>
      </c>
      <c r="K321" s="717">
        <f t="shared" si="27"/>
        <v>411879127</v>
      </c>
      <c r="L321" s="944">
        <f>IF(A321='Data Entry - SOF'!B$2,'Report-SOF2021'!D$99,0)</f>
        <v>0</v>
      </c>
      <c r="M321" s="723">
        <f>IF(A321='Data Entry - SOF'!B$2,'Data Entry - SOF'!M$102,0)</f>
        <v>0</v>
      </c>
      <c r="N321" s="717">
        <f t="shared" si="28"/>
        <v>411879127</v>
      </c>
      <c r="O321" s="944">
        <f>IF(A321='Data Entry - SOF'!B$2,'Report-SOF2122'!D$91,0)</f>
        <v>0</v>
      </c>
      <c r="P321" s="723">
        <f>IF(A321='Data Entry - SOF'!B$2,'Data Entry - SOF'!O$102,0)</f>
        <v>0</v>
      </c>
      <c r="Q321" s="601">
        <f t="shared" si="25"/>
        <v>411879127</v>
      </c>
      <c r="R321" s="944">
        <f>IF(A321='Data Entry - SOF'!B$2,'Report-SOF2223'!D$91,0)</f>
        <v>0</v>
      </c>
      <c r="S321" s="723">
        <f>IF(A321='Data Entry - SOF'!B$2,'Data Entry - SOF'!Q$102,0)</f>
        <v>0</v>
      </c>
      <c r="T321" s="601">
        <f t="shared" si="29"/>
        <v>411879127</v>
      </c>
      <c r="U321" s="944">
        <f>IF(A321='Data Entry - SOF'!B$2,'Report-SOF2324'!D$91,0)</f>
        <v>0</v>
      </c>
      <c r="V321" s="723">
        <f>IF(A321='Data Entry - SOF'!B$2,'Data Entry - SOF'!S$102,0)</f>
        <v>0</v>
      </c>
    </row>
    <row r="322" spans="1:22" ht="15.75">
      <c r="A322" s="382" t="s">
        <v>2318</v>
      </c>
      <c r="B322" s="91">
        <v>22777686</v>
      </c>
      <c r="C322" s="944">
        <f>IF(A322='Data Entry - SOF'!B$2,'Report-SOF1718'!D$102,0)</f>
        <v>0</v>
      </c>
      <c r="D322" s="1037">
        <f>IF(A322='Data Entry - SOF'!B$2,'Data Entry - SOF'!#REF!,0)</f>
        <v>0</v>
      </c>
      <c r="E322" s="91">
        <f t="shared" si="24"/>
        <v>22777686</v>
      </c>
      <c r="F322" s="944">
        <f>IF(A322='Data Entry - SOF'!B$2,'Report-SOF1819'!D$102,0)</f>
        <v>0</v>
      </c>
      <c r="G322" s="1037">
        <f>IF(A322='Data Entry - SOF'!B$2,'Data Entry - SOF'!E$102,0)</f>
        <v>0</v>
      </c>
      <c r="H322" s="1038">
        <f t="shared" si="26"/>
        <v>22777686</v>
      </c>
      <c r="I322" s="944">
        <f>IF(A322='Data Entry - SOF'!B$2,'Report-SOF1920-HB3'!D$102,0)</f>
        <v>0</v>
      </c>
      <c r="J322" s="1037">
        <f>IF(A322='Data Entry - SOF'!B$2,'Data Entry - SOF'!G$102,0)</f>
        <v>0</v>
      </c>
      <c r="K322" s="717">
        <f t="shared" si="27"/>
        <v>22777686</v>
      </c>
      <c r="L322" s="944">
        <f>IF(A322='Data Entry - SOF'!B$2,'Report-SOF2021'!D$99,0)</f>
        <v>0</v>
      </c>
      <c r="M322" s="723">
        <f>IF(A322='Data Entry - SOF'!B$2,'Data Entry - SOF'!M$102,0)</f>
        <v>0</v>
      </c>
      <c r="N322" s="717">
        <f t="shared" si="28"/>
        <v>22777686</v>
      </c>
      <c r="O322" s="944">
        <f>IF(A322='Data Entry - SOF'!B$2,'Report-SOF2122'!D$91,0)</f>
        <v>0</v>
      </c>
      <c r="P322" s="723">
        <f>IF(A322='Data Entry - SOF'!B$2,'Data Entry - SOF'!O$102,0)</f>
        <v>0</v>
      </c>
      <c r="Q322" s="601">
        <f t="shared" si="25"/>
        <v>22777686</v>
      </c>
      <c r="R322" s="944">
        <f>IF(A322='Data Entry - SOF'!B$2,'Report-SOF2223'!D$91,0)</f>
        <v>0</v>
      </c>
      <c r="S322" s="723">
        <f>IF(A322='Data Entry - SOF'!B$2,'Data Entry - SOF'!Q$102,0)</f>
        <v>0</v>
      </c>
      <c r="T322" s="601">
        <f t="shared" si="29"/>
        <v>22777686</v>
      </c>
      <c r="U322" s="944">
        <f>IF(A322='Data Entry - SOF'!B$2,'Report-SOF2324'!D$91,0)</f>
        <v>0</v>
      </c>
      <c r="V322" s="723">
        <f>IF(A322='Data Entry - SOF'!B$2,'Data Entry - SOF'!S$102,0)</f>
        <v>0</v>
      </c>
    </row>
    <row r="323" spans="1:22" ht="15.75">
      <c r="A323" s="382" t="s">
        <v>2013</v>
      </c>
      <c r="B323" s="91">
        <v>11886006</v>
      </c>
      <c r="C323" s="944">
        <f>IF(A323='Data Entry - SOF'!B$2,'Report-SOF1718'!D$102,0)</f>
        <v>0</v>
      </c>
      <c r="D323" s="1037">
        <f>IF(A323='Data Entry - SOF'!B$2,'Data Entry - SOF'!#REF!,0)</f>
        <v>0</v>
      </c>
      <c r="E323" s="91">
        <f t="shared" si="24"/>
        <v>11886006</v>
      </c>
      <c r="F323" s="944">
        <f>IF(A323='Data Entry - SOF'!B$2,'Report-SOF1819'!D$102,0)</f>
        <v>0</v>
      </c>
      <c r="G323" s="1037">
        <f>IF(A323='Data Entry - SOF'!B$2,'Data Entry - SOF'!E$102,0)</f>
        <v>0</v>
      </c>
      <c r="H323" s="1038">
        <f t="shared" si="26"/>
        <v>11886006</v>
      </c>
      <c r="I323" s="944">
        <f>IF(A323='Data Entry - SOF'!B$2,'Report-SOF1920-HB3'!D$102,0)</f>
        <v>0</v>
      </c>
      <c r="J323" s="1037">
        <f>IF(A323='Data Entry - SOF'!B$2,'Data Entry - SOF'!G$102,0)</f>
        <v>0</v>
      </c>
      <c r="K323" s="717">
        <f t="shared" si="27"/>
        <v>11886006</v>
      </c>
      <c r="L323" s="944">
        <f>IF(A323='Data Entry - SOF'!B$2,'Report-SOF2021'!D$99,0)</f>
        <v>0</v>
      </c>
      <c r="M323" s="723">
        <f>IF(A323='Data Entry - SOF'!B$2,'Data Entry - SOF'!M$102,0)</f>
        <v>0</v>
      </c>
      <c r="N323" s="717">
        <f t="shared" si="28"/>
        <v>11886006</v>
      </c>
      <c r="O323" s="944">
        <f>IF(A323='Data Entry - SOF'!B$2,'Report-SOF2122'!D$91,0)</f>
        <v>0</v>
      </c>
      <c r="P323" s="723">
        <f>IF(A323='Data Entry - SOF'!B$2,'Data Entry - SOF'!O$102,0)</f>
        <v>0</v>
      </c>
      <c r="Q323" s="601">
        <f t="shared" si="25"/>
        <v>11886006</v>
      </c>
      <c r="R323" s="944">
        <f>IF(A323='Data Entry - SOF'!B$2,'Report-SOF2223'!D$91,0)</f>
        <v>0</v>
      </c>
      <c r="S323" s="723">
        <f>IF(A323='Data Entry - SOF'!B$2,'Data Entry - SOF'!Q$102,0)</f>
        <v>0</v>
      </c>
      <c r="T323" s="601">
        <f t="shared" si="29"/>
        <v>11886006</v>
      </c>
      <c r="U323" s="944">
        <f>IF(A323='Data Entry - SOF'!B$2,'Report-SOF2324'!D$91,0)</f>
        <v>0</v>
      </c>
      <c r="V323" s="723">
        <f>IF(A323='Data Entry - SOF'!B$2,'Data Entry - SOF'!S$102,0)</f>
        <v>0</v>
      </c>
    </row>
    <row r="324" spans="1:22" ht="15.75">
      <c r="A324" s="382" t="s">
        <v>1303</v>
      </c>
      <c r="B324" s="91">
        <v>33483211</v>
      </c>
      <c r="C324" s="944">
        <f>IF(A324='Data Entry - SOF'!B$2,'Report-SOF1718'!D$102,0)</f>
        <v>0</v>
      </c>
      <c r="D324" s="1037">
        <f>IF(A324='Data Entry - SOF'!B$2,'Data Entry - SOF'!#REF!,0)</f>
        <v>0</v>
      </c>
      <c r="E324" s="91">
        <f t="shared" ref="E324:E387" si="30">IF(B324+C324-D324&lt;=0,0,B324+C324-D324)</f>
        <v>33483211</v>
      </c>
      <c r="F324" s="944">
        <f>IF(A324='Data Entry - SOF'!B$2,'Report-SOF1819'!D$102,0)</f>
        <v>0</v>
      </c>
      <c r="G324" s="1037">
        <f>IF(A324='Data Entry - SOF'!B$2,'Data Entry - SOF'!E$102,0)</f>
        <v>0</v>
      </c>
      <c r="H324" s="1038">
        <f t="shared" si="26"/>
        <v>33483211</v>
      </c>
      <c r="I324" s="944">
        <f>IF(A324='Data Entry - SOF'!B$2,'Report-SOF1920-HB3'!D$102,0)</f>
        <v>0</v>
      </c>
      <c r="J324" s="1037">
        <f>IF(A324='Data Entry - SOF'!B$2,'Data Entry - SOF'!G$102,0)</f>
        <v>0</v>
      </c>
      <c r="K324" s="717">
        <f t="shared" si="27"/>
        <v>33483211</v>
      </c>
      <c r="L324" s="944">
        <f>IF(A324='Data Entry - SOF'!B$2,'Report-SOF2021'!D$99,0)</f>
        <v>0</v>
      </c>
      <c r="M324" s="723">
        <f>IF(A324='Data Entry - SOF'!B$2,'Data Entry - SOF'!M$102,0)</f>
        <v>0</v>
      </c>
      <c r="N324" s="717">
        <f t="shared" si="28"/>
        <v>33483211</v>
      </c>
      <c r="O324" s="944">
        <f>IF(A324='Data Entry - SOF'!B$2,'Report-SOF2122'!D$91,0)</f>
        <v>0</v>
      </c>
      <c r="P324" s="723">
        <f>IF(A324='Data Entry - SOF'!B$2,'Data Entry - SOF'!O$102,0)</f>
        <v>0</v>
      </c>
      <c r="Q324" s="601">
        <f t="shared" ref="Q324:Q387" si="31">IF(N324+O324-P324&lt;=0,0,N324+O324-P324)</f>
        <v>33483211</v>
      </c>
      <c r="R324" s="944">
        <f>IF(A324='Data Entry - SOF'!B$2,'Report-SOF2223'!D$91,0)</f>
        <v>0</v>
      </c>
      <c r="S324" s="723">
        <f>IF(A324='Data Entry - SOF'!B$2,'Data Entry - SOF'!Q$102,0)</f>
        <v>0</v>
      </c>
      <c r="T324" s="601">
        <f t="shared" si="29"/>
        <v>33483211</v>
      </c>
      <c r="U324" s="944">
        <f>IF(A324='Data Entry - SOF'!B$2,'Report-SOF2324'!D$91,0)</f>
        <v>0</v>
      </c>
      <c r="V324" s="723">
        <f>IF(A324='Data Entry - SOF'!B$2,'Data Entry - SOF'!S$102,0)</f>
        <v>0</v>
      </c>
    </row>
    <row r="325" spans="1:22" ht="15.75">
      <c r="A325" s="382" t="s">
        <v>1919</v>
      </c>
      <c r="B325" s="91">
        <v>36088335</v>
      </c>
      <c r="C325" s="944">
        <f>IF(A325='Data Entry - SOF'!B$2,'Report-SOF1718'!D$102,0)</f>
        <v>0</v>
      </c>
      <c r="D325" s="1037">
        <f>IF(A325='Data Entry - SOF'!B$2,'Data Entry - SOF'!#REF!,0)</f>
        <v>0</v>
      </c>
      <c r="E325" s="91">
        <f t="shared" si="30"/>
        <v>36088335</v>
      </c>
      <c r="F325" s="944">
        <f>IF(A325='Data Entry - SOF'!B$2,'Report-SOF1819'!D$102,0)</f>
        <v>0</v>
      </c>
      <c r="G325" s="1037">
        <f>IF(A325='Data Entry - SOF'!B$2,'Data Entry - SOF'!E$102,0)</f>
        <v>0</v>
      </c>
      <c r="H325" s="1038">
        <f t="shared" ref="H325:H388" si="32">IF(E325+F325-G325&lt;=0,0,E325+F325-G325)</f>
        <v>36088335</v>
      </c>
      <c r="I325" s="944">
        <f>IF(A325='Data Entry - SOF'!B$2,'Report-SOF1920-HB3'!D$102,0)</f>
        <v>0</v>
      </c>
      <c r="J325" s="1037">
        <f>IF(A325='Data Entry - SOF'!B$2,'Data Entry - SOF'!G$102,0)</f>
        <v>0</v>
      </c>
      <c r="K325" s="717">
        <f t="shared" ref="K325:K388" si="33">IF(H325+I325-J325&lt;=0,0,H325+I325-J325)</f>
        <v>36088335</v>
      </c>
      <c r="L325" s="944">
        <f>IF(A325='Data Entry - SOF'!B$2,'Report-SOF2021'!D$99,0)</f>
        <v>0</v>
      </c>
      <c r="M325" s="723">
        <f>IF(A325='Data Entry - SOF'!B$2,'Data Entry - SOF'!M$102,0)</f>
        <v>0</v>
      </c>
      <c r="N325" s="717">
        <f t="shared" ref="N325:N388" si="34">IF(K325+L325-M325&lt;=0,0,K325+L325-M325)</f>
        <v>36088335</v>
      </c>
      <c r="O325" s="944">
        <f>IF(A325='Data Entry - SOF'!B$2,'Report-SOF2122'!D$91,0)</f>
        <v>0</v>
      </c>
      <c r="P325" s="723">
        <f>IF(A325='Data Entry - SOF'!B$2,'Data Entry - SOF'!O$102,0)</f>
        <v>0</v>
      </c>
      <c r="Q325" s="601">
        <f t="shared" si="31"/>
        <v>36088335</v>
      </c>
      <c r="R325" s="944">
        <f>IF(A325='Data Entry - SOF'!B$2,'Report-SOF2223'!D$91,0)</f>
        <v>0</v>
      </c>
      <c r="S325" s="723">
        <f>IF(A325='Data Entry - SOF'!B$2,'Data Entry - SOF'!Q$102,0)</f>
        <v>0</v>
      </c>
      <c r="T325" s="601">
        <f t="shared" ref="T325:T388" si="35">IF(P325+Q325-S325&lt;=0,0,P325+Q325-S325)</f>
        <v>36088335</v>
      </c>
      <c r="U325" s="944">
        <f>IF(A325='Data Entry - SOF'!B$2,'Report-SOF2324'!D$91,0)</f>
        <v>0</v>
      </c>
      <c r="V325" s="723">
        <f>IF(A325='Data Entry - SOF'!B$2,'Data Entry - SOF'!S$102,0)</f>
        <v>0</v>
      </c>
    </row>
    <row r="326" spans="1:22" ht="15.75">
      <c r="A326" s="382" t="s">
        <v>1924</v>
      </c>
      <c r="B326" s="91">
        <v>1228403</v>
      </c>
      <c r="C326" s="944">
        <f>IF(A326='Data Entry - SOF'!B$2,'Report-SOF1718'!D$102,0)</f>
        <v>0</v>
      </c>
      <c r="D326" s="1037">
        <f>IF(A326='Data Entry - SOF'!B$2,'Data Entry - SOF'!#REF!,0)</f>
        <v>0</v>
      </c>
      <c r="E326" s="91">
        <f t="shared" si="30"/>
        <v>1228403</v>
      </c>
      <c r="F326" s="944">
        <f>IF(A326='Data Entry - SOF'!B$2,'Report-SOF1819'!D$102,0)</f>
        <v>0</v>
      </c>
      <c r="G326" s="1037">
        <f>IF(A326='Data Entry - SOF'!B$2,'Data Entry - SOF'!E$102,0)</f>
        <v>0</v>
      </c>
      <c r="H326" s="1038">
        <f t="shared" si="32"/>
        <v>1228403</v>
      </c>
      <c r="I326" s="944">
        <f>IF(A326='Data Entry - SOF'!B$2,'Report-SOF1920-HB3'!D$102,0)</f>
        <v>0</v>
      </c>
      <c r="J326" s="1037">
        <f>IF(A326='Data Entry - SOF'!B$2,'Data Entry - SOF'!G$102,0)</f>
        <v>0</v>
      </c>
      <c r="K326" s="717">
        <f t="shared" si="33"/>
        <v>1228403</v>
      </c>
      <c r="L326" s="944">
        <f>IF(A326='Data Entry - SOF'!B$2,'Report-SOF2021'!D$99,0)</f>
        <v>0</v>
      </c>
      <c r="M326" s="723">
        <f>IF(A326='Data Entry - SOF'!B$2,'Data Entry - SOF'!M$102,0)</f>
        <v>0</v>
      </c>
      <c r="N326" s="717">
        <f t="shared" si="34"/>
        <v>1228403</v>
      </c>
      <c r="O326" s="944">
        <f>IF(A326='Data Entry - SOF'!B$2,'Report-SOF2122'!D$91,0)</f>
        <v>0</v>
      </c>
      <c r="P326" s="723">
        <f>IF(A326='Data Entry - SOF'!B$2,'Data Entry - SOF'!O$102,0)</f>
        <v>0</v>
      </c>
      <c r="Q326" s="601">
        <f t="shared" si="31"/>
        <v>1228403</v>
      </c>
      <c r="R326" s="944">
        <f>IF(A326='Data Entry - SOF'!B$2,'Report-SOF2223'!D$91,0)</f>
        <v>0</v>
      </c>
      <c r="S326" s="723">
        <f>IF(A326='Data Entry - SOF'!B$2,'Data Entry - SOF'!Q$102,0)</f>
        <v>0</v>
      </c>
      <c r="T326" s="601">
        <f t="shared" si="35"/>
        <v>1228403</v>
      </c>
      <c r="U326" s="944">
        <f>IF(A326='Data Entry - SOF'!B$2,'Report-SOF2324'!D$91,0)</f>
        <v>0</v>
      </c>
      <c r="V326" s="723">
        <f>IF(A326='Data Entry - SOF'!B$2,'Data Entry - SOF'!S$102,0)</f>
        <v>0</v>
      </c>
    </row>
    <row r="327" spans="1:22" ht="15.75">
      <c r="A327" s="382" t="s">
        <v>1925</v>
      </c>
      <c r="B327" s="91">
        <v>5600241</v>
      </c>
      <c r="C327" s="944">
        <f>IF(A327='Data Entry - SOF'!B$2,'Report-SOF1718'!D$102,0)</f>
        <v>0</v>
      </c>
      <c r="D327" s="1037">
        <f>IF(A327='Data Entry - SOF'!B$2,'Data Entry - SOF'!#REF!,0)</f>
        <v>0</v>
      </c>
      <c r="E327" s="91">
        <f t="shared" si="30"/>
        <v>5600241</v>
      </c>
      <c r="F327" s="944">
        <f>IF(A327='Data Entry - SOF'!B$2,'Report-SOF1819'!D$102,0)</f>
        <v>0</v>
      </c>
      <c r="G327" s="1037">
        <f>IF(A327='Data Entry - SOF'!B$2,'Data Entry - SOF'!E$102,0)</f>
        <v>0</v>
      </c>
      <c r="H327" s="1038">
        <f t="shared" si="32"/>
        <v>5600241</v>
      </c>
      <c r="I327" s="944">
        <f>IF(A327='Data Entry - SOF'!B$2,'Report-SOF1920-HB3'!D$102,0)</f>
        <v>0</v>
      </c>
      <c r="J327" s="1037">
        <f>IF(A327='Data Entry - SOF'!B$2,'Data Entry - SOF'!G$102,0)</f>
        <v>0</v>
      </c>
      <c r="K327" s="717">
        <f t="shared" si="33"/>
        <v>5600241</v>
      </c>
      <c r="L327" s="944">
        <f>IF(A327='Data Entry - SOF'!B$2,'Report-SOF2021'!D$99,0)</f>
        <v>0</v>
      </c>
      <c r="M327" s="723">
        <f>IF(A327='Data Entry - SOF'!B$2,'Data Entry - SOF'!M$102,0)</f>
        <v>0</v>
      </c>
      <c r="N327" s="717">
        <f t="shared" si="34"/>
        <v>5600241</v>
      </c>
      <c r="O327" s="944">
        <f>IF(A327='Data Entry - SOF'!B$2,'Report-SOF2122'!D$91,0)</f>
        <v>0</v>
      </c>
      <c r="P327" s="723">
        <f>IF(A327='Data Entry - SOF'!B$2,'Data Entry - SOF'!O$102,0)</f>
        <v>0</v>
      </c>
      <c r="Q327" s="601">
        <f t="shared" si="31"/>
        <v>5600241</v>
      </c>
      <c r="R327" s="944">
        <f>IF(A327='Data Entry - SOF'!B$2,'Report-SOF2223'!D$91,0)</f>
        <v>0</v>
      </c>
      <c r="S327" s="723">
        <f>IF(A327='Data Entry - SOF'!B$2,'Data Entry - SOF'!Q$102,0)</f>
        <v>0</v>
      </c>
      <c r="T327" s="601">
        <f t="shared" si="35"/>
        <v>5600241</v>
      </c>
      <c r="U327" s="944">
        <f>IF(A327='Data Entry - SOF'!B$2,'Report-SOF2324'!D$91,0)</f>
        <v>0</v>
      </c>
      <c r="V327" s="723">
        <f>IF(A327='Data Entry - SOF'!B$2,'Data Entry - SOF'!S$102,0)</f>
        <v>0</v>
      </c>
    </row>
    <row r="328" spans="1:22" ht="15.75">
      <c r="A328" s="382" t="s">
        <v>1235</v>
      </c>
      <c r="B328" s="91">
        <v>23103806</v>
      </c>
      <c r="C328" s="944">
        <f>IF(A328='Data Entry - SOF'!B$2,'Report-SOF1718'!D$102,0)</f>
        <v>0</v>
      </c>
      <c r="D328" s="1037">
        <f>IF(A328='Data Entry - SOF'!B$2,'Data Entry - SOF'!#REF!,0)</f>
        <v>0</v>
      </c>
      <c r="E328" s="91">
        <f t="shared" si="30"/>
        <v>23103806</v>
      </c>
      <c r="F328" s="944">
        <f>IF(A328='Data Entry - SOF'!B$2,'Report-SOF1819'!D$102,0)</f>
        <v>0</v>
      </c>
      <c r="G328" s="1037">
        <f>IF(A328='Data Entry - SOF'!B$2,'Data Entry - SOF'!E$102,0)</f>
        <v>0</v>
      </c>
      <c r="H328" s="1038">
        <f t="shared" si="32"/>
        <v>23103806</v>
      </c>
      <c r="I328" s="944">
        <f>IF(A328='Data Entry - SOF'!B$2,'Report-SOF1920-HB3'!D$102,0)</f>
        <v>0</v>
      </c>
      <c r="J328" s="1037">
        <f>IF(A328='Data Entry - SOF'!B$2,'Data Entry - SOF'!G$102,0)</f>
        <v>0</v>
      </c>
      <c r="K328" s="717">
        <f t="shared" si="33"/>
        <v>23103806</v>
      </c>
      <c r="L328" s="944">
        <f>IF(A328='Data Entry - SOF'!B$2,'Report-SOF2021'!D$99,0)</f>
        <v>0</v>
      </c>
      <c r="M328" s="723">
        <f>IF(A328='Data Entry - SOF'!B$2,'Data Entry - SOF'!M$102,0)</f>
        <v>0</v>
      </c>
      <c r="N328" s="717">
        <f t="shared" si="34"/>
        <v>23103806</v>
      </c>
      <c r="O328" s="944">
        <f>IF(A328='Data Entry - SOF'!B$2,'Report-SOF2122'!D$91,0)</f>
        <v>0</v>
      </c>
      <c r="P328" s="723">
        <f>IF(A328='Data Entry - SOF'!B$2,'Data Entry - SOF'!O$102,0)</f>
        <v>0</v>
      </c>
      <c r="Q328" s="601">
        <f t="shared" si="31"/>
        <v>23103806</v>
      </c>
      <c r="R328" s="944">
        <f>IF(A328='Data Entry - SOF'!B$2,'Report-SOF2223'!D$91,0)</f>
        <v>0</v>
      </c>
      <c r="S328" s="723">
        <f>IF(A328='Data Entry - SOF'!B$2,'Data Entry - SOF'!Q$102,0)</f>
        <v>0</v>
      </c>
      <c r="T328" s="601">
        <f t="shared" si="35"/>
        <v>23103806</v>
      </c>
      <c r="U328" s="944">
        <f>IF(A328='Data Entry - SOF'!B$2,'Report-SOF2324'!D$91,0)</f>
        <v>0</v>
      </c>
      <c r="V328" s="723">
        <f>IF(A328='Data Entry - SOF'!B$2,'Data Entry - SOF'!S$102,0)</f>
        <v>0</v>
      </c>
    </row>
    <row r="329" spans="1:22" ht="15.75">
      <c r="A329" s="382" t="s">
        <v>2506</v>
      </c>
      <c r="B329" s="91">
        <v>13315517</v>
      </c>
      <c r="C329" s="944">
        <f>IF(A329='Data Entry - SOF'!B$2,'Report-SOF1718'!D$102,0)</f>
        <v>0</v>
      </c>
      <c r="D329" s="1037">
        <f>IF(A329='Data Entry - SOF'!B$2,'Data Entry - SOF'!#REF!,0)</f>
        <v>0</v>
      </c>
      <c r="E329" s="91">
        <f t="shared" si="30"/>
        <v>13315517</v>
      </c>
      <c r="F329" s="944">
        <f>IF(A329='Data Entry - SOF'!B$2,'Report-SOF1819'!D$102,0)</f>
        <v>0</v>
      </c>
      <c r="G329" s="1037">
        <f>IF(A329='Data Entry - SOF'!B$2,'Data Entry - SOF'!E$102,0)</f>
        <v>0</v>
      </c>
      <c r="H329" s="1038">
        <f t="shared" si="32"/>
        <v>13315517</v>
      </c>
      <c r="I329" s="944">
        <f>IF(A329='Data Entry - SOF'!B$2,'Report-SOF1920-HB3'!D$102,0)</f>
        <v>0</v>
      </c>
      <c r="J329" s="1037">
        <f>IF(A329='Data Entry - SOF'!B$2,'Data Entry - SOF'!G$102,0)</f>
        <v>0</v>
      </c>
      <c r="K329" s="717">
        <f t="shared" si="33"/>
        <v>13315517</v>
      </c>
      <c r="L329" s="944">
        <f>IF(A329='Data Entry - SOF'!B$2,'Report-SOF2021'!D$99,0)</f>
        <v>0</v>
      </c>
      <c r="M329" s="723">
        <f>IF(A329='Data Entry - SOF'!B$2,'Data Entry - SOF'!M$102,0)</f>
        <v>0</v>
      </c>
      <c r="N329" s="717">
        <f t="shared" si="34"/>
        <v>13315517</v>
      </c>
      <c r="O329" s="944">
        <f>IF(A329='Data Entry - SOF'!B$2,'Report-SOF2122'!D$91,0)</f>
        <v>0</v>
      </c>
      <c r="P329" s="723">
        <f>IF(A329='Data Entry - SOF'!B$2,'Data Entry - SOF'!O$102,0)</f>
        <v>0</v>
      </c>
      <c r="Q329" s="601">
        <f t="shared" si="31"/>
        <v>13315517</v>
      </c>
      <c r="R329" s="944">
        <f>IF(A329='Data Entry - SOF'!B$2,'Report-SOF2223'!D$91,0)</f>
        <v>0</v>
      </c>
      <c r="S329" s="723">
        <f>IF(A329='Data Entry - SOF'!B$2,'Data Entry - SOF'!Q$102,0)</f>
        <v>0</v>
      </c>
      <c r="T329" s="601">
        <f t="shared" si="35"/>
        <v>13315517</v>
      </c>
      <c r="U329" s="944">
        <f>IF(A329='Data Entry - SOF'!B$2,'Report-SOF2324'!D$91,0)</f>
        <v>0</v>
      </c>
      <c r="V329" s="723">
        <f>IF(A329='Data Entry - SOF'!B$2,'Data Entry - SOF'!S$102,0)</f>
        <v>0</v>
      </c>
    </row>
    <row r="330" spans="1:22" ht="15.75">
      <c r="A330" s="382" t="s">
        <v>1926</v>
      </c>
      <c r="B330" s="91">
        <v>3068701</v>
      </c>
      <c r="C330" s="944">
        <f>IF(A330='Data Entry - SOF'!B$2,'Report-SOF1718'!D$102,0)</f>
        <v>0</v>
      </c>
      <c r="D330" s="1037">
        <f>IF(A330='Data Entry - SOF'!B$2,'Data Entry - SOF'!#REF!,0)</f>
        <v>0</v>
      </c>
      <c r="E330" s="91">
        <f t="shared" si="30"/>
        <v>3068701</v>
      </c>
      <c r="F330" s="944">
        <f>IF(A330='Data Entry - SOF'!B$2,'Report-SOF1819'!D$102,0)</f>
        <v>0</v>
      </c>
      <c r="G330" s="1037">
        <f>IF(A330='Data Entry - SOF'!B$2,'Data Entry - SOF'!E$102,0)</f>
        <v>0</v>
      </c>
      <c r="H330" s="1038">
        <f t="shared" si="32"/>
        <v>3068701</v>
      </c>
      <c r="I330" s="944">
        <f>IF(A330='Data Entry - SOF'!B$2,'Report-SOF1920-HB3'!D$102,0)</f>
        <v>0</v>
      </c>
      <c r="J330" s="1037">
        <f>IF(A330='Data Entry - SOF'!B$2,'Data Entry - SOF'!G$102,0)</f>
        <v>0</v>
      </c>
      <c r="K330" s="717">
        <f t="shared" si="33"/>
        <v>3068701</v>
      </c>
      <c r="L330" s="944">
        <f>IF(A330='Data Entry - SOF'!B$2,'Report-SOF2021'!D$99,0)</f>
        <v>0</v>
      </c>
      <c r="M330" s="723">
        <f>IF(A330='Data Entry - SOF'!B$2,'Data Entry - SOF'!M$102,0)</f>
        <v>0</v>
      </c>
      <c r="N330" s="717">
        <f t="shared" si="34"/>
        <v>3068701</v>
      </c>
      <c r="O330" s="944">
        <f>IF(A330='Data Entry - SOF'!B$2,'Report-SOF2122'!D$91,0)</f>
        <v>0</v>
      </c>
      <c r="P330" s="723">
        <f>IF(A330='Data Entry - SOF'!B$2,'Data Entry - SOF'!O$102,0)</f>
        <v>0</v>
      </c>
      <c r="Q330" s="601">
        <f t="shared" si="31"/>
        <v>3068701</v>
      </c>
      <c r="R330" s="944">
        <f>IF(A330='Data Entry - SOF'!B$2,'Report-SOF2223'!D$91,0)</f>
        <v>0</v>
      </c>
      <c r="S330" s="723">
        <f>IF(A330='Data Entry - SOF'!B$2,'Data Entry - SOF'!Q$102,0)</f>
        <v>0</v>
      </c>
      <c r="T330" s="601">
        <f t="shared" si="35"/>
        <v>3068701</v>
      </c>
      <c r="U330" s="944">
        <f>IF(A330='Data Entry - SOF'!B$2,'Report-SOF2324'!D$91,0)</f>
        <v>0</v>
      </c>
      <c r="V330" s="723">
        <f>IF(A330='Data Entry - SOF'!B$2,'Data Entry - SOF'!S$102,0)</f>
        <v>0</v>
      </c>
    </row>
    <row r="331" spans="1:22" ht="15.75">
      <c r="A331" s="382" t="s">
        <v>2110</v>
      </c>
      <c r="B331" s="91">
        <v>4694475</v>
      </c>
      <c r="C331" s="944">
        <f>IF(A331='Data Entry - SOF'!B$2,'Report-SOF1718'!D$102,0)</f>
        <v>0</v>
      </c>
      <c r="D331" s="1037">
        <f>IF(A331='Data Entry - SOF'!B$2,'Data Entry - SOF'!#REF!,0)</f>
        <v>0</v>
      </c>
      <c r="E331" s="91">
        <f t="shared" si="30"/>
        <v>4694475</v>
      </c>
      <c r="F331" s="944">
        <f>IF(A331='Data Entry - SOF'!B$2,'Report-SOF1819'!D$102,0)</f>
        <v>0</v>
      </c>
      <c r="G331" s="1037">
        <f>IF(A331='Data Entry - SOF'!B$2,'Data Entry - SOF'!E$102,0)</f>
        <v>0</v>
      </c>
      <c r="H331" s="1038">
        <f t="shared" si="32"/>
        <v>4694475</v>
      </c>
      <c r="I331" s="944">
        <f>IF(A331='Data Entry - SOF'!B$2,'Report-SOF1920-HB3'!D$102,0)</f>
        <v>0</v>
      </c>
      <c r="J331" s="1037">
        <f>IF(A331='Data Entry - SOF'!B$2,'Data Entry - SOF'!G$102,0)</f>
        <v>0</v>
      </c>
      <c r="K331" s="717">
        <f t="shared" si="33"/>
        <v>4694475</v>
      </c>
      <c r="L331" s="944">
        <f>IF(A331='Data Entry - SOF'!B$2,'Report-SOF2021'!D$99,0)</f>
        <v>0</v>
      </c>
      <c r="M331" s="723">
        <f>IF(A331='Data Entry - SOF'!B$2,'Data Entry - SOF'!M$102,0)</f>
        <v>0</v>
      </c>
      <c r="N331" s="717">
        <f t="shared" si="34"/>
        <v>4694475</v>
      </c>
      <c r="O331" s="944">
        <f>IF(A331='Data Entry - SOF'!B$2,'Report-SOF2122'!D$91,0)</f>
        <v>0</v>
      </c>
      <c r="P331" s="723">
        <f>IF(A331='Data Entry - SOF'!B$2,'Data Entry - SOF'!O$102,0)</f>
        <v>0</v>
      </c>
      <c r="Q331" s="601">
        <f t="shared" si="31"/>
        <v>4694475</v>
      </c>
      <c r="R331" s="944">
        <f>IF(A331='Data Entry - SOF'!B$2,'Report-SOF2223'!D$91,0)</f>
        <v>0</v>
      </c>
      <c r="S331" s="723">
        <f>IF(A331='Data Entry - SOF'!B$2,'Data Entry - SOF'!Q$102,0)</f>
        <v>0</v>
      </c>
      <c r="T331" s="601">
        <f t="shared" si="35"/>
        <v>4694475</v>
      </c>
      <c r="U331" s="944">
        <f>IF(A331='Data Entry - SOF'!B$2,'Report-SOF2324'!D$91,0)</f>
        <v>0</v>
      </c>
      <c r="V331" s="723">
        <f>IF(A331='Data Entry - SOF'!B$2,'Data Entry - SOF'!S$102,0)</f>
        <v>0</v>
      </c>
    </row>
    <row r="332" spans="1:22" ht="15.75">
      <c r="A332" s="382" t="s">
        <v>2175</v>
      </c>
      <c r="B332" s="91">
        <v>112688980</v>
      </c>
      <c r="C332" s="944">
        <f>IF(A332='Data Entry - SOF'!B$2,'Report-SOF1718'!D$102,0)</f>
        <v>0</v>
      </c>
      <c r="D332" s="1037">
        <f>IF(A332='Data Entry - SOF'!B$2,'Data Entry - SOF'!#REF!,0)</f>
        <v>0</v>
      </c>
      <c r="E332" s="91">
        <f t="shared" si="30"/>
        <v>112688980</v>
      </c>
      <c r="F332" s="944">
        <f>IF(A332='Data Entry - SOF'!B$2,'Report-SOF1819'!D$102,0)</f>
        <v>0</v>
      </c>
      <c r="G332" s="1037">
        <f>IF(A332='Data Entry - SOF'!B$2,'Data Entry - SOF'!E$102,0)</f>
        <v>0</v>
      </c>
      <c r="H332" s="1038">
        <f t="shared" si="32"/>
        <v>112688980</v>
      </c>
      <c r="I332" s="944">
        <f>IF(A332='Data Entry - SOF'!B$2,'Report-SOF1920-HB3'!D$102,0)</f>
        <v>0</v>
      </c>
      <c r="J332" s="1037">
        <f>IF(A332='Data Entry - SOF'!B$2,'Data Entry - SOF'!G$102,0)</f>
        <v>0</v>
      </c>
      <c r="K332" s="717">
        <f t="shared" si="33"/>
        <v>112688980</v>
      </c>
      <c r="L332" s="944">
        <f>IF(A332='Data Entry - SOF'!B$2,'Report-SOF2021'!D$99,0)</f>
        <v>0</v>
      </c>
      <c r="M332" s="723">
        <f>IF(A332='Data Entry - SOF'!B$2,'Data Entry - SOF'!M$102,0)</f>
        <v>0</v>
      </c>
      <c r="N332" s="717">
        <f t="shared" si="34"/>
        <v>112688980</v>
      </c>
      <c r="O332" s="944">
        <f>IF(A332='Data Entry - SOF'!B$2,'Report-SOF2122'!D$91,0)</f>
        <v>0</v>
      </c>
      <c r="P332" s="723">
        <f>IF(A332='Data Entry - SOF'!B$2,'Data Entry - SOF'!O$102,0)</f>
        <v>0</v>
      </c>
      <c r="Q332" s="601">
        <f t="shared" si="31"/>
        <v>112688980</v>
      </c>
      <c r="R332" s="944">
        <f>IF(A332='Data Entry - SOF'!B$2,'Report-SOF2223'!D$91,0)</f>
        <v>0</v>
      </c>
      <c r="S332" s="723">
        <f>IF(A332='Data Entry - SOF'!B$2,'Data Entry - SOF'!Q$102,0)</f>
        <v>0</v>
      </c>
      <c r="T332" s="601">
        <f t="shared" si="35"/>
        <v>112688980</v>
      </c>
      <c r="U332" s="944">
        <f>IF(A332='Data Entry - SOF'!B$2,'Report-SOF2324'!D$91,0)</f>
        <v>0</v>
      </c>
      <c r="V332" s="723">
        <f>IF(A332='Data Entry - SOF'!B$2,'Data Entry - SOF'!S$102,0)</f>
        <v>0</v>
      </c>
    </row>
    <row r="333" spans="1:22" ht="15.75">
      <c r="A333" s="382" t="s">
        <v>1993</v>
      </c>
      <c r="B333" s="91">
        <v>85362032</v>
      </c>
      <c r="C333" s="944">
        <f>IF(A333='Data Entry - SOF'!B$2,'Report-SOF1718'!D$102,0)</f>
        <v>0</v>
      </c>
      <c r="D333" s="1037">
        <f>IF(A333='Data Entry - SOF'!B$2,'Data Entry - SOF'!#REF!,0)</f>
        <v>0</v>
      </c>
      <c r="E333" s="91">
        <f t="shared" si="30"/>
        <v>85362032</v>
      </c>
      <c r="F333" s="944">
        <f>IF(A333='Data Entry - SOF'!B$2,'Report-SOF1819'!D$102,0)</f>
        <v>0</v>
      </c>
      <c r="G333" s="1037">
        <f>IF(A333='Data Entry - SOF'!B$2,'Data Entry - SOF'!E$102,0)</f>
        <v>0</v>
      </c>
      <c r="H333" s="1038">
        <f t="shared" si="32"/>
        <v>85362032</v>
      </c>
      <c r="I333" s="944">
        <f>IF(A333='Data Entry - SOF'!B$2,'Report-SOF1920-HB3'!D$102,0)</f>
        <v>0</v>
      </c>
      <c r="J333" s="1037">
        <f>IF(A333='Data Entry - SOF'!B$2,'Data Entry - SOF'!G$102,0)</f>
        <v>0</v>
      </c>
      <c r="K333" s="717">
        <f t="shared" si="33"/>
        <v>85362032</v>
      </c>
      <c r="L333" s="944">
        <f>IF(A333='Data Entry - SOF'!B$2,'Report-SOF2021'!D$99,0)</f>
        <v>0</v>
      </c>
      <c r="M333" s="723">
        <f>IF(A333='Data Entry - SOF'!B$2,'Data Entry - SOF'!M$102,0)</f>
        <v>0</v>
      </c>
      <c r="N333" s="717">
        <f t="shared" si="34"/>
        <v>85362032</v>
      </c>
      <c r="O333" s="944">
        <f>IF(A333='Data Entry - SOF'!B$2,'Report-SOF2122'!D$91,0)</f>
        <v>0</v>
      </c>
      <c r="P333" s="723">
        <f>IF(A333='Data Entry - SOF'!B$2,'Data Entry - SOF'!O$102,0)</f>
        <v>0</v>
      </c>
      <c r="Q333" s="601">
        <f t="shared" si="31"/>
        <v>85362032</v>
      </c>
      <c r="R333" s="944">
        <f>IF(A333='Data Entry - SOF'!B$2,'Report-SOF2223'!D$91,0)</f>
        <v>0</v>
      </c>
      <c r="S333" s="723">
        <f>IF(A333='Data Entry - SOF'!B$2,'Data Entry - SOF'!Q$102,0)</f>
        <v>0</v>
      </c>
      <c r="T333" s="601">
        <f t="shared" si="35"/>
        <v>85362032</v>
      </c>
      <c r="U333" s="944">
        <f>IF(A333='Data Entry - SOF'!B$2,'Report-SOF2324'!D$91,0)</f>
        <v>0</v>
      </c>
      <c r="V333" s="723">
        <f>IF(A333='Data Entry - SOF'!B$2,'Data Entry - SOF'!S$102,0)</f>
        <v>0</v>
      </c>
    </row>
    <row r="334" spans="1:22" ht="15.75">
      <c r="A334" s="382" t="s">
        <v>2231</v>
      </c>
      <c r="B334" s="91">
        <v>39487324</v>
      </c>
      <c r="C334" s="944">
        <f>IF(A334='Data Entry - SOF'!B$2,'Report-SOF1718'!D$102,0)</f>
        <v>0</v>
      </c>
      <c r="D334" s="1037">
        <f>IF(A334='Data Entry - SOF'!B$2,'Data Entry - SOF'!#REF!,0)</f>
        <v>0</v>
      </c>
      <c r="E334" s="91">
        <f t="shared" si="30"/>
        <v>39487324</v>
      </c>
      <c r="F334" s="944">
        <f>IF(A334='Data Entry - SOF'!B$2,'Report-SOF1819'!D$102,0)</f>
        <v>0</v>
      </c>
      <c r="G334" s="1037">
        <f>IF(A334='Data Entry - SOF'!B$2,'Data Entry - SOF'!E$102,0)</f>
        <v>0</v>
      </c>
      <c r="H334" s="1038">
        <f t="shared" si="32"/>
        <v>39487324</v>
      </c>
      <c r="I334" s="944">
        <f>IF(A334='Data Entry - SOF'!B$2,'Report-SOF1920-HB3'!D$102,0)</f>
        <v>0</v>
      </c>
      <c r="J334" s="1037">
        <f>IF(A334='Data Entry - SOF'!B$2,'Data Entry - SOF'!G$102,0)</f>
        <v>0</v>
      </c>
      <c r="K334" s="717">
        <f t="shared" si="33"/>
        <v>39487324</v>
      </c>
      <c r="L334" s="944">
        <f>IF(A334='Data Entry - SOF'!B$2,'Report-SOF2021'!D$99,0)</f>
        <v>0</v>
      </c>
      <c r="M334" s="723">
        <f>IF(A334='Data Entry - SOF'!B$2,'Data Entry - SOF'!M$102,0)</f>
        <v>0</v>
      </c>
      <c r="N334" s="717">
        <f t="shared" si="34"/>
        <v>39487324</v>
      </c>
      <c r="O334" s="944">
        <f>IF(A334='Data Entry - SOF'!B$2,'Report-SOF2122'!D$91,0)</f>
        <v>0</v>
      </c>
      <c r="P334" s="723">
        <f>IF(A334='Data Entry - SOF'!B$2,'Data Entry - SOF'!O$102,0)</f>
        <v>0</v>
      </c>
      <c r="Q334" s="601">
        <f t="shared" si="31"/>
        <v>39487324</v>
      </c>
      <c r="R334" s="944">
        <f>IF(A334='Data Entry - SOF'!B$2,'Report-SOF2223'!D$91,0)</f>
        <v>0</v>
      </c>
      <c r="S334" s="723">
        <f>IF(A334='Data Entry - SOF'!B$2,'Data Entry - SOF'!Q$102,0)</f>
        <v>0</v>
      </c>
      <c r="T334" s="601">
        <f t="shared" si="35"/>
        <v>39487324</v>
      </c>
      <c r="U334" s="944">
        <f>IF(A334='Data Entry - SOF'!B$2,'Report-SOF2324'!D$91,0)</f>
        <v>0</v>
      </c>
      <c r="V334" s="723">
        <f>IF(A334='Data Entry - SOF'!B$2,'Data Entry - SOF'!S$102,0)</f>
        <v>0</v>
      </c>
    </row>
    <row r="335" spans="1:22" ht="15.75">
      <c r="A335" s="382" t="s">
        <v>1866</v>
      </c>
      <c r="B335" s="91">
        <v>2260489</v>
      </c>
      <c r="C335" s="944">
        <f>IF(A335='Data Entry - SOF'!B$2,'Report-SOF1718'!D$102,0)</f>
        <v>0</v>
      </c>
      <c r="D335" s="1037">
        <f>IF(A335='Data Entry - SOF'!B$2,'Data Entry - SOF'!#REF!,0)</f>
        <v>0</v>
      </c>
      <c r="E335" s="91">
        <f t="shared" si="30"/>
        <v>2260489</v>
      </c>
      <c r="F335" s="944">
        <f>IF(A335='Data Entry - SOF'!B$2,'Report-SOF1819'!D$102,0)</f>
        <v>0</v>
      </c>
      <c r="G335" s="1037">
        <f>IF(A335='Data Entry - SOF'!B$2,'Data Entry - SOF'!E$102,0)</f>
        <v>0</v>
      </c>
      <c r="H335" s="1038">
        <f t="shared" si="32"/>
        <v>2260489</v>
      </c>
      <c r="I335" s="944">
        <f>IF(A335='Data Entry - SOF'!B$2,'Report-SOF1920-HB3'!D$102,0)</f>
        <v>0</v>
      </c>
      <c r="J335" s="1037">
        <f>IF(A335='Data Entry - SOF'!B$2,'Data Entry - SOF'!G$102,0)</f>
        <v>0</v>
      </c>
      <c r="K335" s="717">
        <f t="shared" si="33"/>
        <v>2260489</v>
      </c>
      <c r="L335" s="944">
        <f>IF(A335='Data Entry - SOF'!B$2,'Report-SOF2021'!D$99,0)</f>
        <v>0</v>
      </c>
      <c r="M335" s="723">
        <f>IF(A335='Data Entry - SOF'!B$2,'Data Entry - SOF'!M$102,0)</f>
        <v>0</v>
      </c>
      <c r="N335" s="717">
        <f t="shared" si="34"/>
        <v>2260489</v>
      </c>
      <c r="O335" s="944">
        <f>IF(A335='Data Entry - SOF'!B$2,'Report-SOF2122'!D$91,0)</f>
        <v>0</v>
      </c>
      <c r="P335" s="723">
        <f>IF(A335='Data Entry - SOF'!B$2,'Data Entry - SOF'!O$102,0)</f>
        <v>0</v>
      </c>
      <c r="Q335" s="601">
        <f t="shared" si="31"/>
        <v>2260489</v>
      </c>
      <c r="R335" s="944">
        <f>IF(A335='Data Entry - SOF'!B$2,'Report-SOF2223'!D$91,0)</f>
        <v>0</v>
      </c>
      <c r="S335" s="723">
        <f>IF(A335='Data Entry - SOF'!B$2,'Data Entry - SOF'!Q$102,0)</f>
        <v>0</v>
      </c>
      <c r="T335" s="601">
        <f t="shared" si="35"/>
        <v>2260489</v>
      </c>
      <c r="U335" s="944">
        <f>IF(A335='Data Entry - SOF'!B$2,'Report-SOF2324'!D$91,0)</f>
        <v>0</v>
      </c>
      <c r="V335" s="723">
        <f>IF(A335='Data Entry - SOF'!B$2,'Data Entry - SOF'!S$102,0)</f>
        <v>0</v>
      </c>
    </row>
    <row r="336" spans="1:22" ht="15.75">
      <c r="A336" s="382" t="s">
        <v>762</v>
      </c>
      <c r="B336" s="91">
        <v>90571878</v>
      </c>
      <c r="C336" s="944">
        <f>IF(A336='Data Entry - SOF'!B$2,'Report-SOF1718'!D$102,0)</f>
        <v>0</v>
      </c>
      <c r="D336" s="1037">
        <f>IF(A336='Data Entry - SOF'!B$2,'Data Entry - SOF'!#REF!,0)</f>
        <v>0</v>
      </c>
      <c r="E336" s="91">
        <f t="shared" si="30"/>
        <v>90571878</v>
      </c>
      <c r="F336" s="944">
        <f>IF(A336='Data Entry - SOF'!B$2,'Report-SOF1819'!D$102,0)</f>
        <v>0</v>
      </c>
      <c r="G336" s="1037">
        <f>IF(A336='Data Entry - SOF'!B$2,'Data Entry - SOF'!E$102,0)</f>
        <v>0</v>
      </c>
      <c r="H336" s="1038">
        <f t="shared" si="32"/>
        <v>90571878</v>
      </c>
      <c r="I336" s="944">
        <f>IF(A336='Data Entry - SOF'!B$2,'Report-SOF1920-HB3'!D$102,0)</f>
        <v>0</v>
      </c>
      <c r="J336" s="1037">
        <f>IF(A336='Data Entry - SOF'!B$2,'Data Entry - SOF'!G$102,0)</f>
        <v>0</v>
      </c>
      <c r="K336" s="717">
        <f t="shared" si="33"/>
        <v>90571878</v>
      </c>
      <c r="L336" s="944">
        <f>IF(A336='Data Entry - SOF'!B$2,'Report-SOF2021'!D$99,0)</f>
        <v>0</v>
      </c>
      <c r="M336" s="723">
        <f>IF(A336='Data Entry - SOF'!B$2,'Data Entry - SOF'!M$102,0)</f>
        <v>0</v>
      </c>
      <c r="N336" s="717">
        <f t="shared" si="34"/>
        <v>90571878</v>
      </c>
      <c r="O336" s="944">
        <f>IF(A336='Data Entry - SOF'!B$2,'Report-SOF2122'!D$91,0)</f>
        <v>0</v>
      </c>
      <c r="P336" s="723">
        <f>IF(A336='Data Entry - SOF'!B$2,'Data Entry - SOF'!O$102,0)</f>
        <v>0</v>
      </c>
      <c r="Q336" s="601">
        <f t="shared" si="31"/>
        <v>90571878</v>
      </c>
      <c r="R336" s="944">
        <f>IF(A336='Data Entry - SOF'!B$2,'Report-SOF2223'!D$91,0)</f>
        <v>0</v>
      </c>
      <c r="S336" s="723">
        <f>IF(A336='Data Entry - SOF'!B$2,'Data Entry - SOF'!Q$102,0)</f>
        <v>0</v>
      </c>
      <c r="T336" s="601">
        <f t="shared" si="35"/>
        <v>90571878</v>
      </c>
      <c r="U336" s="944">
        <f>IF(A336='Data Entry - SOF'!B$2,'Report-SOF2324'!D$91,0)</f>
        <v>0</v>
      </c>
      <c r="V336" s="723">
        <f>IF(A336='Data Entry - SOF'!B$2,'Data Entry - SOF'!S$102,0)</f>
        <v>0</v>
      </c>
    </row>
    <row r="337" spans="1:22" ht="15.75">
      <c r="A337" s="382" t="s">
        <v>2458</v>
      </c>
      <c r="B337" s="91">
        <v>15825566</v>
      </c>
      <c r="C337" s="944">
        <f>IF(A337='Data Entry - SOF'!B$2,'Report-SOF1718'!D$102,0)</f>
        <v>0</v>
      </c>
      <c r="D337" s="1037">
        <f>IF(A337='Data Entry - SOF'!B$2,'Data Entry - SOF'!#REF!,0)</f>
        <v>0</v>
      </c>
      <c r="E337" s="91">
        <f t="shared" si="30"/>
        <v>15825566</v>
      </c>
      <c r="F337" s="944">
        <f>IF(A337='Data Entry - SOF'!B$2,'Report-SOF1819'!D$102,0)</f>
        <v>0</v>
      </c>
      <c r="G337" s="1037">
        <f>IF(A337='Data Entry - SOF'!B$2,'Data Entry - SOF'!E$102,0)</f>
        <v>0</v>
      </c>
      <c r="H337" s="1038">
        <f t="shared" si="32"/>
        <v>15825566</v>
      </c>
      <c r="I337" s="944">
        <f>IF(A337='Data Entry - SOF'!B$2,'Report-SOF1920-HB3'!D$102,0)</f>
        <v>0</v>
      </c>
      <c r="J337" s="1037">
        <f>IF(A337='Data Entry - SOF'!B$2,'Data Entry - SOF'!G$102,0)</f>
        <v>0</v>
      </c>
      <c r="K337" s="717">
        <f t="shared" si="33"/>
        <v>15825566</v>
      </c>
      <c r="L337" s="944">
        <f>IF(A337='Data Entry - SOF'!B$2,'Report-SOF2021'!D$99,0)</f>
        <v>0</v>
      </c>
      <c r="M337" s="723">
        <f>IF(A337='Data Entry - SOF'!B$2,'Data Entry - SOF'!M$102,0)</f>
        <v>0</v>
      </c>
      <c r="N337" s="717">
        <f t="shared" si="34"/>
        <v>15825566</v>
      </c>
      <c r="O337" s="944">
        <f>IF(A337='Data Entry - SOF'!B$2,'Report-SOF2122'!D$91,0)</f>
        <v>0</v>
      </c>
      <c r="P337" s="723">
        <f>IF(A337='Data Entry - SOF'!B$2,'Data Entry - SOF'!O$102,0)</f>
        <v>0</v>
      </c>
      <c r="Q337" s="601">
        <f t="shared" si="31"/>
        <v>15825566</v>
      </c>
      <c r="R337" s="944">
        <f>IF(A337='Data Entry - SOF'!B$2,'Report-SOF2223'!D$91,0)</f>
        <v>0</v>
      </c>
      <c r="S337" s="723">
        <f>IF(A337='Data Entry - SOF'!B$2,'Data Entry - SOF'!Q$102,0)</f>
        <v>0</v>
      </c>
      <c r="T337" s="601">
        <f t="shared" si="35"/>
        <v>15825566</v>
      </c>
      <c r="U337" s="944">
        <f>IF(A337='Data Entry - SOF'!B$2,'Report-SOF2324'!D$91,0)</f>
        <v>0</v>
      </c>
      <c r="V337" s="723">
        <f>IF(A337='Data Entry - SOF'!B$2,'Data Entry - SOF'!S$102,0)</f>
        <v>0</v>
      </c>
    </row>
    <row r="338" spans="1:22" ht="15.75">
      <c r="A338" s="382" t="s">
        <v>491</v>
      </c>
      <c r="B338" s="91">
        <v>15300114</v>
      </c>
      <c r="C338" s="944">
        <f>IF(A338='Data Entry - SOF'!B$2,'Report-SOF1718'!D$102,0)</f>
        <v>0</v>
      </c>
      <c r="D338" s="1037">
        <f>IF(A338='Data Entry - SOF'!B$2,'Data Entry - SOF'!#REF!,0)</f>
        <v>0</v>
      </c>
      <c r="E338" s="91">
        <f t="shared" si="30"/>
        <v>15300114</v>
      </c>
      <c r="F338" s="944">
        <f>IF(A338='Data Entry - SOF'!B$2,'Report-SOF1819'!D$102,0)</f>
        <v>0</v>
      </c>
      <c r="G338" s="1037">
        <f>IF(A338='Data Entry - SOF'!B$2,'Data Entry - SOF'!E$102,0)</f>
        <v>0</v>
      </c>
      <c r="H338" s="1038">
        <f t="shared" si="32"/>
        <v>15300114</v>
      </c>
      <c r="I338" s="944">
        <f>IF(A338='Data Entry - SOF'!B$2,'Report-SOF1920-HB3'!D$102,0)</f>
        <v>0</v>
      </c>
      <c r="J338" s="1037">
        <f>IF(A338='Data Entry - SOF'!B$2,'Data Entry - SOF'!G$102,0)</f>
        <v>0</v>
      </c>
      <c r="K338" s="717">
        <f t="shared" si="33"/>
        <v>15300114</v>
      </c>
      <c r="L338" s="944">
        <f>IF(A338='Data Entry - SOF'!B$2,'Report-SOF2021'!D$99,0)</f>
        <v>0</v>
      </c>
      <c r="M338" s="723">
        <f>IF(A338='Data Entry - SOF'!B$2,'Data Entry - SOF'!M$102,0)</f>
        <v>0</v>
      </c>
      <c r="N338" s="717">
        <f t="shared" si="34"/>
        <v>15300114</v>
      </c>
      <c r="O338" s="944">
        <f>IF(A338='Data Entry - SOF'!B$2,'Report-SOF2122'!D$91,0)</f>
        <v>0</v>
      </c>
      <c r="P338" s="723">
        <f>IF(A338='Data Entry - SOF'!B$2,'Data Entry - SOF'!O$102,0)</f>
        <v>0</v>
      </c>
      <c r="Q338" s="601">
        <f t="shared" si="31"/>
        <v>15300114</v>
      </c>
      <c r="R338" s="944">
        <f>IF(A338='Data Entry - SOF'!B$2,'Report-SOF2223'!D$91,0)</f>
        <v>0</v>
      </c>
      <c r="S338" s="723">
        <f>IF(A338='Data Entry - SOF'!B$2,'Data Entry - SOF'!Q$102,0)</f>
        <v>0</v>
      </c>
      <c r="T338" s="601">
        <f t="shared" si="35"/>
        <v>15300114</v>
      </c>
      <c r="U338" s="944">
        <f>IF(A338='Data Entry - SOF'!B$2,'Report-SOF2324'!D$91,0)</f>
        <v>0</v>
      </c>
      <c r="V338" s="723">
        <f>IF(A338='Data Entry - SOF'!B$2,'Data Entry - SOF'!S$102,0)</f>
        <v>0</v>
      </c>
    </row>
    <row r="339" spans="1:22" ht="15.75">
      <c r="A339" s="382" t="s">
        <v>2459</v>
      </c>
      <c r="B339" s="91">
        <v>298781298</v>
      </c>
      <c r="C339" s="944">
        <f>IF(A339='Data Entry - SOF'!B$2,'Report-SOF1718'!D$102,0)</f>
        <v>0</v>
      </c>
      <c r="D339" s="1037">
        <f>IF(A339='Data Entry - SOF'!B$2,'Data Entry - SOF'!#REF!,0)</f>
        <v>0</v>
      </c>
      <c r="E339" s="91">
        <f t="shared" si="30"/>
        <v>298781298</v>
      </c>
      <c r="F339" s="944">
        <f>IF(A339='Data Entry - SOF'!B$2,'Report-SOF1819'!D$102,0)</f>
        <v>0</v>
      </c>
      <c r="G339" s="1037">
        <f>IF(A339='Data Entry - SOF'!B$2,'Data Entry - SOF'!E$102,0)</f>
        <v>0</v>
      </c>
      <c r="H339" s="1038">
        <f t="shared" si="32"/>
        <v>298781298</v>
      </c>
      <c r="I339" s="944">
        <f>IF(A339='Data Entry - SOF'!B$2,'Report-SOF1920-HB3'!D$102,0)</f>
        <v>0</v>
      </c>
      <c r="J339" s="1037">
        <f>IF(A339='Data Entry - SOF'!B$2,'Data Entry - SOF'!G$102,0)</f>
        <v>0</v>
      </c>
      <c r="K339" s="717">
        <f t="shared" si="33"/>
        <v>298781298</v>
      </c>
      <c r="L339" s="944">
        <f>IF(A339='Data Entry - SOF'!B$2,'Report-SOF2021'!D$99,0)</f>
        <v>0</v>
      </c>
      <c r="M339" s="723">
        <f>IF(A339='Data Entry - SOF'!B$2,'Data Entry - SOF'!M$102,0)</f>
        <v>0</v>
      </c>
      <c r="N339" s="717">
        <f t="shared" si="34"/>
        <v>298781298</v>
      </c>
      <c r="O339" s="944">
        <f>IF(A339='Data Entry - SOF'!B$2,'Report-SOF2122'!D$91,0)</f>
        <v>0</v>
      </c>
      <c r="P339" s="723">
        <f>IF(A339='Data Entry - SOF'!B$2,'Data Entry - SOF'!O$102,0)</f>
        <v>0</v>
      </c>
      <c r="Q339" s="601">
        <f t="shared" si="31"/>
        <v>298781298</v>
      </c>
      <c r="R339" s="944">
        <f>IF(A339='Data Entry - SOF'!B$2,'Report-SOF2223'!D$91,0)</f>
        <v>0</v>
      </c>
      <c r="S339" s="723">
        <f>IF(A339='Data Entry - SOF'!B$2,'Data Entry - SOF'!Q$102,0)</f>
        <v>0</v>
      </c>
      <c r="T339" s="601">
        <f t="shared" si="35"/>
        <v>298781298</v>
      </c>
      <c r="U339" s="944">
        <f>IF(A339='Data Entry - SOF'!B$2,'Report-SOF2324'!D$91,0)</f>
        <v>0</v>
      </c>
      <c r="V339" s="723">
        <f>IF(A339='Data Entry - SOF'!B$2,'Data Entry - SOF'!S$102,0)</f>
        <v>0</v>
      </c>
    </row>
    <row r="340" spans="1:22" ht="15.75">
      <c r="A340" s="382" t="s">
        <v>1424</v>
      </c>
      <c r="B340" s="91">
        <v>27829807</v>
      </c>
      <c r="C340" s="944">
        <f>IF(A340='Data Entry - SOF'!B$2,'Report-SOF1718'!D$102,0)</f>
        <v>0</v>
      </c>
      <c r="D340" s="1037">
        <f>IF(A340='Data Entry - SOF'!B$2,'Data Entry - SOF'!#REF!,0)</f>
        <v>0</v>
      </c>
      <c r="E340" s="91">
        <f t="shared" si="30"/>
        <v>27829807</v>
      </c>
      <c r="F340" s="944">
        <f>IF(A340='Data Entry - SOF'!B$2,'Report-SOF1819'!D$102,0)</f>
        <v>0</v>
      </c>
      <c r="G340" s="1037">
        <f>IF(A340='Data Entry - SOF'!B$2,'Data Entry - SOF'!E$102,0)</f>
        <v>0</v>
      </c>
      <c r="H340" s="1038">
        <f t="shared" si="32"/>
        <v>27829807</v>
      </c>
      <c r="I340" s="944">
        <f>IF(A340='Data Entry - SOF'!B$2,'Report-SOF1920-HB3'!D$102,0)</f>
        <v>0</v>
      </c>
      <c r="J340" s="1037">
        <f>IF(A340='Data Entry - SOF'!B$2,'Data Entry - SOF'!G$102,0)</f>
        <v>0</v>
      </c>
      <c r="K340" s="717">
        <f t="shared" si="33"/>
        <v>27829807</v>
      </c>
      <c r="L340" s="944">
        <f>IF(A340='Data Entry - SOF'!B$2,'Report-SOF2021'!D$99,0)</f>
        <v>0</v>
      </c>
      <c r="M340" s="723">
        <f>IF(A340='Data Entry - SOF'!B$2,'Data Entry - SOF'!M$102,0)</f>
        <v>0</v>
      </c>
      <c r="N340" s="717">
        <f t="shared" si="34"/>
        <v>27829807</v>
      </c>
      <c r="O340" s="944">
        <f>IF(A340='Data Entry - SOF'!B$2,'Report-SOF2122'!D$91,0)</f>
        <v>0</v>
      </c>
      <c r="P340" s="723">
        <f>IF(A340='Data Entry - SOF'!B$2,'Data Entry - SOF'!O$102,0)</f>
        <v>0</v>
      </c>
      <c r="Q340" s="601">
        <f t="shared" si="31"/>
        <v>27829807</v>
      </c>
      <c r="R340" s="944">
        <f>IF(A340='Data Entry - SOF'!B$2,'Report-SOF2223'!D$91,0)</f>
        <v>0</v>
      </c>
      <c r="S340" s="723">
        <f>IF(A340='Data Entry - SOF'!B$2,'Data Entry - SOF'!Q$102,0)</f>
        <v>0</v>
      </c>
      <c r="T340" s="601">
        <f t="shared" si="35"/>
        <v>27829807</v>
      </c>
      <c r="U340" s="944">
        <f>IF(A340='Data Entry - SOF'!B$2,'Report-SOF2324'!D$91,0)</f>
        <v>0</v>
      </c>
      <c r="V340" s="723">
        <f>IF(A340='Data Entry - SOF'!B$2,'Data Entry - SOF'!S$102,0)</f>
        <v>0</v>
      </c>
    </row>
    <row r="341" spans="1:22" ht="15.75">
      <c r="A341" s="382" t="s">
        <v>1668</v>
      </c>
      <c r="B341" s="91">
        <v>10646562</v>
      </c>
      <c r="C341" s="944">
        <f>IF(A341='Data Entry - SOF'!B$2,'Report-SOF1718'!D$102,0)</f>
        <v>0</v>
      </c>
      <c r="D341" s="1037">
        <f>IF(A341='Data Entry - SOF'!B$2,'Data Entry - SOF'!#REF!,0)</f>
        <v>0</v>
      </c>
      <c r="E341" s="91">
        <f t="shared" si="30"/>
        <v>10646562</v>
      </c>
      <c r="F341" s="944">
        <f>IF(A341='Data Entry - SOF'!B$2,'Report-SOF1819'!D$102,0)</f>
        <v>0</v>
      </c>
      <c r="G341" s="1037">
        <f>IF(A341='Data Entry - SOF'!B$2,'Data Entry - SOF'!E$102,0)</f>
        <v>0</v>
      </c>
      <c r="H341" s="1038">
        <f t="shared" si="32"/>
        <v>10646562</v>
      </c>
      <c r="I341" s="944">
        <f>IF(A341='Data Entry - SOF'!B$2,'Report-SOF1920-HB3'!D$102,0)</f>
        <v>0</v>
      </c>
      <c r="J341" s="1037">
        <f>IF(A341='Data Entry - SOF'!B$2,'Data Entry - SOF'!G$102,0)</f>
        <v>0</v>
      </c>
      <c r="K341" s="717">
        <f t="shared" si="33"/>
        <v>10646562</v>
      </c>
      <c r="L341" s="944">
        <f>IF(A341='Data Entry - SOF'!B$2,'Report-SOF2021'!D$99,0)</f>
        <v>0</v>
      </c>
      <c r="M341" s="723">
        <f>IF(A341='Data Entry - SOF'!B$2,'Data Entry - SOF'!M$102,0)</f>
        <v>0</v>
      </c>
      <c r="N341" s="717">
        <f t="shared" si="34"/>
        <v>10646562</v>
      </c>
      <c r="O341" s="944">
        <f>IF(A341='Data Entry - SOF'!B$2,'Report-SOF2122'!D$91,0)</f>
        <v>0</v>
      </c>
      <c r="P341" s="723">
        <f>IF(A341='Data Entry - SOF'!B$2,'Data Entry - SOF'!O$102,0)</f>
        <v>0</v>
      </c>
      <c r="Q341" s="601">
        <f t="shared" si="31"/>
        <v>10646562</v>
      </c>
      <c r="R341" s="944">
        <f>IF(A341='Data Entry - SOF'!B$2,'Report-SOF2223'!D$91,0)</f>
        <v>0</v>
      </c>
      <c r="S341" s="723">
        <f>IF(A341='Data Entry - SOF'!B$2,'Data Entry - SOF'!Q$102,0)</f>
        <v>0</v>
      </c>
      <c r="T341" s="601">
        <f t="shared" si="35"/>
        <v>10646562</v>
      </c>
      <c r="U341" s="944">
        <f>IF(A341='Data Entry - SOF'!B$2,'Report-SOF2324'!D$91,0)</f>
        <v>0</v>
      </c>
      <c r="V341" s="723">
        <f>IF(A341='Data Entry - SOF'!B$2,'Data Entry - SOF'!S$102,0)</f>
        <v>0</v>
      </c>
    </row>
    <row r="342" spans="1:22" ht="15.75">
      <c r="A342" s="382" t="s">
        <v>1669</v>
      </c>
      <c r="B342" s="91">
        <v>590354</v>
      </c>
      <c r="C342" s="944">
        <f>IF(A342='Data Entry - SOF'!B$2,'Report-SOF1718'!D$102,0)</f>
        <v>0</v>
      </c>
      <c r="D342" s="1037">
        <f>IF(A342='Data Entry - SOF'!B$2,'Data Entry - SOF'!#REF!,0)</f>
        <v>0</v>
      </c>
      <c r="E342" s="91">
        <f t="shared" si="30"/>
        <v>590354</v>
      </c>
      <c r="F342" s="944">
        <f>IF(A342='Data Entry - SOF'!B$2,'Report-SOF1819'!D$102,0)</f>
        <v>0</v>
      </c>
      <c r="G342" s="1037">
        <f>IF(A342='Data Entry - SOF'!B$2,'Data Entry - SOF'!E$102,0)</f>
        <v>0</v>
      </c>
      <c r="H342" s="1038">
        <f t="shared" si="32"/>
        <v>590354</v>
      </c>
      <c r="I342" s="944">
        <f>IF(A342='Data Entry - SOF'!B$2,'Report-SOF1920-HB3'!D$102,0)</f>
        <v>0</v>
      </c>
      <c r="J342" s="1037">
        <f>IF(A342='Data Entry - SOF'!B$2,'Data Entry - SOF'!G$102,0)</f>
        <v>0</v>
      </c>
      <c r="K342" s="717">
        <f t="shared" si="33"/>
        <v>590354</v>
      </c>
      <c r="L342" s="944">
        <f>IF(A342='Data Entry - SOF'!B$2,'Report-SOF2021'!D$99,0)</f>
        <v>0</v>
      </c>
      <c r="M342" s="723">
        <f>IF(A342='Data Entry - SOF'!B$2,'Data Entry - SOF'!M$102,0)</f>
        <v>0</v>
      </c>
      <c r="N342" s="717">
        <f t="shared" si="34"/>
        <v>590354</v>
      </c>
      <c r="O342" s="944">
        <f>IF(A342='Data Entry - SOF'!B$2,'Report-SOF2122'!D$91,0)</f>
        <v>0</v>
      </c>
      <c r="P342" s="723">
        <f>IF(A342='Data Entry - SOF'!B$2,'Data Entry - SOF'!O$102,0)</f>
        <v>0</v>
      </c>
      <c r="Q342" s="601">
        <f t="shared" si="31"/>
        <v>590354</v>
      </c>
      <c r="R342" s="944">
        <f>IF(A342='Data Entry - SOF'!B$2,'Report-SOF2223'!D$91,0)</f>
        <v>0</v>
      </c>
      <c r="S342" s="723">
        <f>IF(A342='Data Entry - SOF'!B$2,'Data Entry - SOF'!Q$102,0)</f>
        <v>0</v>
      </c>
      <c r="T342" s="601">
        <f t="shared" si="35"/>
        <v>590354</v>
      </c>
      <c r="U342" s="944">
        <f>IF(A342='Data Entry - SOF'!B$2,'Report-SOF2324'!D$91,0)</f>
        <v>0</v>
      </c>
      <c r="V342" s="723">
        <f>IF(A342='Data Entry - SOF'!B$2,'Data Entry - SOF'!S$102,0)</f>
        <v>0</v>
      </c>
    </row>
    <row r="343" spans="1:22" ht="15.75">
      <c r="A343" s="382" t="s">
        <v>1873</v>
      </c>
      <c r="B343" s="91">
        <v>210076</v>
      </c>
      <c r="C343" s="944">
        <f>IF(A343='Data Entry - SOF'!B$2,'Report-SOF1718'!D$102,0)</f>
        <v>0</v>
      </c>
      <c r="D343" s="1037">
        <f>IF(A343='Data Entry - SOF'!B$2,'Data Entry - SOF'!#REF!,0)</f>
        <v>0</v>
      </c>
      <c r="E343" s="91">
        <f t="shared" si="30"/>
        <v>210076</v>
      </c>
      <c r="F343" s="944">
        <f>IF(A343='Data Entry - SOF'!B$2,'Report-SOF1819'!D$102,0)</f>
        <v>0</v>
      </c>
      <c r="G343" s="1037">
        <f>IF(A343='Data Entry - SOF'!B$2,'Data Entry - SOF'!E$102,0)</f>
        <v>0</v>
      </c>
      <c r="H343" s="1038">
        <f t="shared" si="32"/>
        <v>210076</v>
      </c>
      <c r="I343" s="944">
        <f>IF(A343='Data Entry - SOF'!B$2,'Report-SOF1920-HB3'!D$102,0)</f>
        <v>0</v>
      </c>
      <c r="J343" s="1037">
        <f>IF(A343='Data Entry - SOF'!B$2,'Data Entry - SOF'!G$102,0)</f>
        <v>0</v>
      </c>
      <c r="K343" s="717">
        <f t="shared" si="33"/>
        <v>210076</v>
      </c>
      <c r="L343" s="944">
        <f>IF(A343='Data Entry - SOF'!B$2,'Report-SOF2021'!D$99,0)</f>
        <v>0</v>
      </c>
      <c r="M343" s="723">
        <f>IF(A343='Data Entry - SOF'!B$2,'Data Entry - SOF'!M$102,0)</f>
        <v>0</v>
      </c>
      <c r="N343" s="717">
        <f t="shared" si="34"/>
        <v>210076</v>
      </c>
      <c r="O343" s="944">
        <f>IF(A343='Data Entry - SOF'!B$2,'Report-SOF2122'!D$91,0)</f>
        <v>0</v>
      </c>
      <c r="P343" s="723">
        <f>IF(A343='Data Entry - SOF'!B$2,'Data Entry - SOF'!O$102,0)</f>
        <v>0</v>
      </c>
      <c r="Q343" s="601">
        <f t="shared" si="31"/>
        <v>210076</v>
      </c>
      <c r="R343" s="944">
        <f>IF(A343='Data Entry - SOF'!B$2,'Report-SOF2223'!D$91,0)</f>
        <v>0</v>
      </c>
      <c r="S343" s="723">
        <f>IF(A343='Data Entry - SOF'!B$2,'Data Entry - SOF'!Q$102,0)</f>
        <v>0</v>
      </c>
      <c r="T343" s="601">
        <f t="shared" si="35"/>
        <v>210076</v>
      </c>
      <c r="U343" s="944">
        <f>IF(A343='Data Entry - SOF'!B$2,'Report-SOF2324'!D$91,0)</f>
        <v>0</v>
      </c>
      <c r="V343" s="723">
        <f>IF(A343='Data Entry - SOF'!B$2,'Data Entry - SOF'!S$102,0)</f>
        <v>0</v>
      </c>
    </row>
    <row r="344" spans="1:22" ht="15.75">
      <c r="A344" s="382" t="s">
        <v>1451</v>
      </c>
      <c r="B344" s="91">
        <v>18400983</v>
      </c>
      <c r="C344" s="944">
        <f>IF(A344='Data Entry - SOF'!B$2,'Report-SOF1718'!D$102,0)</f>
        <v>0</v>
      </c>
      <c r="D344" s="1037">
        <f>IF(A344='Data Entry - SOF'!B$2,'Data Entry - SOF'!#REF!,0)</f>
        <v>0</v>
      </c>
      <c r="E344" s="91">
        <f t="shared" si="30"/>
        <v>18400983</v>
      </c>
      <c r="F344" s="944">
        <f>IF(A344='Data Entry - SOF'!B$2,'Report-SOF1819'!D$102,0)</f>
        <v>0</v>
      </c>
      <c r="G344" s="1037">
        <f>IF(A344='Data Entry - SOF'!B$2,'Data Entry - SOF'!E$102,0)</f>
        <v>0</v>
      </c>
      <c r="H344" s="1038">
        <f t="shared" si="32"/>
        <v>18400983</v>
      </c>
      <c r="I344" s="944">
        <f>IF(A344='Data Entry - SOF'!B$2,'Report-SOF1920-HB3'!D$102,0)</f>
        <v>0</v>
      </c>
      <c r="J344" s="1037">
        <f>IF(A344='Data Entry - SOF'!B$2,'Data Entry - SOF'!G$102,0)</f>
        <v>0</v>
      </c>
      <c r="K344" s="717">
        <f t="shared" si="33"/>
        <v>18400983</v>
      </c>
      <c r="L344" s="944">
        <f>IF(A344='Data Entry - SOF'!B$2,'Report-SOF2021'!D$99,0)</f>
        <v>0</v>
      </c>
      <c r="M344" s="723">
        <f>IF(A344='Data Entry - SOF'!B$2,'Data Entry - SOF'!M$102,0)</f>
        <v>0</v>
      </c>
      <c r="N344" s="717">
        <f t="shared" si="34"/>
        <v>18400983</v>
      </c>
      <c r="O344" s="944">
        <f>IF(A344='Data Entry - SOF'!B$2,'Report-SOF2122'!D$91,0)</f>
        <v>0</v>
      </c>
      <c r="P344" s="723">
        <f>IF(A344='Data Entry - SOF'!B$2,'Data Entry - SOF'!O$102,0)</f>
        <v>0</v>
      </c>
      <c r="Q344" s="601">
        <f t="shared" si="31"/>
        <v>18400983</v>
      </c>
      <c r="R344" s="944">
        <f>IF(A344='Data Entry - SOF'!B$2,'Report-SOF2223'!D$91,0)</f>
        <v>0</v>
      </c>
      <c r="S344" s="723">
        <f>IF(A344='Data Entry - SOF'!B$2,'Data Entry - SOF'!Q$102,0)</f>
        <v>0</v>
      </c>
      <c r="T344" s="601">
        <f t="shared" si="35"/>
        <v>18400983</v>
      </c>
      <c r="U344" s="944">
        <f>IF(A344='Data Entry - SOF'!B$2,'Report-SOF2324'!D$91,0)</f>
        <v>0</v>
      </c>
      <c r="V344" s="723">
        <f>IF(A344='Data Entry - SOF'!B$2,'Data Entry - SOF'!S$102,0)</f>
        <v>0</v>
      </c>
    </row>
    <row r="345" spans="1:22" ht="15.75">
      <c r="A345" s="382" t="s">
        <v>2160</v>
      </c>
      <c r="B345" s="91">
        <v>1112076</v>
      </c>
      <c r="C345" s="944">
        <f>IF(A345='Data Entry - SOF'!B$2,'Report-SOF1718'!D$102,0)</f>
        <v>0</v>
      </c>
      <c r="D345" s="1037">
        <f>IF(A345='Data Entry - SOF'!B$2,'Data Entry - SOF'!#REF!,0)</f>
        <v>0</v>
      </c>
      <c r="E345" s="91">
        <f t="shared" si="30"/>
        <v>1112076</v>
      </c>
      <c r="F345" s="944">
        <f>IF(A345='Data Entry - SOF'!B$2,'Report-SOF1819'!D$102,0)</f>
        <v>0</v>
      </c>
      <c r="G345" s="1037">
        <f>IF(A345='Data Entry - SOF'!B$2,'Data Entry - SOF'!E$102,0)</f>
        <v>0</v>
      </c>
      <c r="H345" s="1038">
        <f t="shared" si="32"/>
        <v>1112076</v>
      </c>
      <c r="I345" s="944">
        <f>IF(A345='Data Entry - SOF'!B$2,'Report-SOF1920-HB3'!D$102,0)</f>
        <v>0</v>
      </c>
      <c r="J345" s="1037">
        <f>IF(A345='Data Entry - SOF'!B$2,'Data Entry - SOF'!G$102,0)</f>
        <v>0</v>
      </c>
      <c r="K345" s="717">
        <f t="shared" si="33"/>
        <v>1112076</v>
      </c>
      <c r="L345" s="944">
        <f>IF(A345='Data Entry - SOF'!B$2,'Report-SOF2021'!D$99,0)</f>
        <v>0</v>
      </c>
      <c r="M345" s="723">
        <f>IF(A345='Data Entry - SOF'!B$2,'Data Entry - SOF'!M$102,0)</f>
        <v>0</v>
      </c>
      <c r="N345" s="717">
        <f t="shared" si="34"/>
        <v>1112076</v>
      </c>
      <c r="O345" s="944">
        <f>IF(A345='Data Entry - SOF'!B$2,'Report-SOF2122'!D$91,0)</f>
        <v>0</v>
      </c>
      <c r="P345" s="723">
        <f>IF(A345='Data Entry - SOF'!B$2,'Data Entry - SOF'!O$102,0)</f>
        <v>0</v>
      </c>
      <c r="Q345" s="601">
        <f t="shared" si="31"/>
        <v>1112076</v>
      </c>
      <c r="R345" s="944">
        <f>IF(A345='Data Entry - SOF'!B$2,'Report-SOF2223'!D$91,0)</f>
        <v>0</v>
      </c>
      <c r="S345" s="723">
        <f>IF(A345='Data Entry - SOF'!B$2,'Data Entry - SOF'!Q$102,0)</f>
        <v>0</v>
      </c>
      <c r="T345" s="601">
        <f t="shared" si="35"/>
        <v>1112076</v>
      </c>
      <c r="U345" s="944">
        <f>IF(A345='Data Entry - SOF'!B$2,'Report-SOF2324'!D$91,0)</f>
        <v>0</v>
      </c>
      <c r="V345" s="723">
        <f>IF(A345='Data Entry - SOF'!B$2,'Data Entry - SOF'!S$102,0)</f>
        <v>0</v>
      </c>
    </row>
    <row r="346" spans="1:22" ht="15.75">
      <c r="A346" s="382" t="s">
        <v>2161</v>
      </c>
      <c r="B346" s="91">
        <v>19814583</v>
      </c>
      <c r="C346" s="944">
        <f>IF(A346='Data Entry - SOF'!B$2,'Report-SOF1718'!D$102,0)</f>
        <v>0</v>
      </c>
      <c r="D346" s="1037">
        <f>IF(A346='Data Entry - SOF'!B$2,'Data Entry - SOF'!#REF!,0)</f>
        <v>0</v>
      </c>
      <c r="E346" s="91">
        <f t="shared" si="30"/>
        <v>19814583</v>
      </c>
      <c r="F346" s="944">
        <f>IF(A346='Data Entry - SOF'!B$2,'Report-SOF1819'!D$102,0)</f>
        <v>0</v>
      </c>
      <c r="G346" s="1037">
        <f>IF(A346='Data Entry - SOF'!B$2,'Data Entry - SOF'!E$102,0)</f>
        <v>0</v>
      </c>
      <c r="H346" s="1038">
        <f t="shared" si="32"/>
        <v>19814583</v>
      </c>
      <c r="I346" s="944">
        <f>IF(A346='Data Entry - SOF'!B$2,'Report-SOF1920-HB3'!D$102,0)</f>
        <v>0</v>
      </c>
      <c r="J346" s="1037">
        <f>IF(A346='Data Entry - SOF'!B$2,'Data Entry - SOF'!G$102,0)</f>
        <v>0</v>
      </c>
      <c r="K346" s="717">
        <f t="shared" si="33"/>
        <v>19814583</v>
      </c>
      <c r="L346" s="944">
        <f>IF(A346='Data Entry - SOF'!B$2,'Report-SOF2021'!D$99,0)</f>
        <v>0</v>
      </c>
      <c r="M346" s="723">
        <f>IF(A346='Data Entry - SOF'!B$2,'Data Entry - SOF'!M$102,0)</f>
        <v>0</v>
      </c>
      <c r="N346" s="717">
        <f t="shared" si="34"/>
        <v>19814583</v>
      </c>
      <c r="O346" s="944">
        <f>IF(A346='Data Entry - SOF'!B$2,'Report-SOF2122'!D$91,0)</f>
        <v>0</v>
      </c>
      <c r="P346" s="723">
        <f>IF(A346='Data Entry - SOF'!B$2,'Data Entry - SOF'!O$102,0)</f>
        <v>0</v>
      </c>
      <c r="Q346" s="601">
        <f t="shared" si="31"/>
        <v>19814583</v>
      </c>
      <c r="R346" s="944">
        <f>IF(A346='Data Entry - SOF'!B$2,'Report-SOF2223'!D$91,0)</f>
        <v>0</v>
      </c>
      <c r="S346" s="723">
        <f>IF(A346='Data Entry - SOF'!B$2,'Data Entry - SOF'!Q$102,0)</f>
        <v>0</v>
      </c>
      <c r="T346" s="601">
        <f t="shared" si="35"/>
        <v>19814583</v>
      </c>
      <c r="U346" s="944">
        <f>IF(A346='Data Entry - SOF'!B$2,'Report-SOF2324'!D$91,0)</f>
        <v>0</v>
      </c>
      <c r="V346" s="723">
        <f>IF(A346='Data Entry - SOF'!B$2,'Data Entry - SOF'!S$102,0)</f>
        <v>0</v>
      </c>
    </row>
    <row r="347" spans="1:22" ht="15.75">
      <c r="A347" s="382" t="s">
        <v>2437</v>
      </c>
      <c r="B347" s="91">
        <v>9830652</v>
      </c>
      <c r="C347" s="944">
        <f>IF(A347='Data Entry - SOF'!B$2,'Report-SOF1718'!D$102,0)</f>
        <v>0</v>
      </c>
      <c r="D347" s="1037">
        <f>IF(A347='Data Entry - SOF'!B$2,'Data Entry - SOF'!#REF!,0)</f>
        <v>0</v>
      </c>
      <c r="E347" s="91">
        <f t="shared" si="30"/>
        <v>9830652</v>
      </c>
      <c r="F347" s="944">
        <f>IF(A347='Data Entry - SOF'!B$2,'Report-SOF1819'!D$102,0)</f>
        <v>0</v>
      </c>
      <c r="G347" s="1037">
        <f>IF(A347='Data Entry - SOF'!B$2,'Data Entry - SOF'!E$102,0)</f>
        <v>0</v>
      </c>
      <c r="H347" s="1038">
        <f t="shared" si="32"/>
        <v>9830652</v>
      </c>
      <c r="I347" s="944">
        <f>IF(A347='Data Entry - SOF'!B$2,'Report-SOF1920-HB3'!D$102,0)</f>
        <v>0</v>
      </c>
      <c r="J347" s="1037">
        <f>IF(A347='Data Entry - SOF'!B$2,'Data Entry - SOF'!G$102,0)</f>
        <v>0</v>
      </c>
      <c r="K347" s="717">
        <f t="shared" si="33"/>
        <v>9830652</v>
      </c>
      <c r="L347" s="944">
        <f>IF(A347='Data Entry - SOF'!B$2,'Report-SOF2021'!D$99,0)</f>
        <v>0</v>
      </c>
      <c r="M347" s="723">
        <f>IF(A347='Data Entry - SOF'!B$2,'Data Entry - SOF'!M$102,0)</f>
        <v>0</v>
      </c>
      <c r="N347" s="717">
        <f t="shared" si="34"/>
        <v>9830652</v>
      </c>
      <c r="O347" s="944">
        <f>IF(A347='Data Entry - SOF'!B$2,'Report-SOF2122'!D$91,0)</f>
        <v>0</v>
      </c>
      <c r="P347" s="723">
        <f>IF(A347='Data Entry - SOF'!B$2,'Data Entry - SOF'!O$102,0)</f>
        <v>0</v>
      </c>
      <c r="Q347" s="601">
        <f t="shared" si="31"/>
        <v>9830652</v>
      </c>
      <c r="R347" s="944">
        <f>IF(A347='Data Entry - SOF'!B$2,'Report-SOF2223'!D$91,0)</f>
        <v>0</v>
      </c>
      <c r="S347" s="723">
        <f>IF(A347='Data Entry - SOF'!B$2,'Data Entry - SOF'!Q$102,0)</f>
        <v>0</v>
      </c>
      <c r="T347" s="601">
        <f t="shared" si="35"/>
        <v>9830652</v>
      </c>
      <c r="U347" s="944">
        <f>IF(A347='Data Entry - SOF'!B$2,'Report-SOF2324'!D$91,0)</f>
        <v>0</v>
      </c>
      <c r="V347" s="723">
        <f>IF(A347='Data Entry - SOF'!B$2,'Data Entry - SOF'!S$102,0)</f>
        <v>0</v>
      </c>
    </row>
    <row r="348" spans="1:22" ht="15.75">
      <c r="A348" s="382" t="s">
        <v>906</v>
      </c>
      <c r="B348" s="91">
        <v>21976887.209994301</v>
      </c>
      <c r="C348" s="944">
        <f>IF(A348='Data Entry - SOF'!B$2,'Report-SOF1718'!D$102,0)</f>
        <v>0</v>
      </c>
      <c r="D348" s="1037">
        <f>IF(A348='Data Entry - SOF'!B$2,'Data Entry - SOF'!#REF!,0)</f>
        <v>0</v>
      </c>
      <c r="E348" s="91">
        <f t="shared" si="30"/>
        <v>21976887.209994301</v>
      </c>
      <c r="F348" s="944">
        <f>IF(A348='Data Entry - SOF'!B$2,'Report-SOF1819'!D$102,0)</f>
        <v>0</v>
      </c>
      <c r="G348" s="1037">
        <f>IF(A348='Data Entry - SOF'!B$2,'Data Entry - SOF'!E$102,0)</f>
        <v>0</v>
      </c>
      <c r="H348" s="1038">
        <f t="shared" si="32"/>
        <v>21976887.209994301</v>
      </c>
      <c r="I348" s="944">
        <f>IF(A348='Data Entry - SOF'!B$2,'Report-SOF1920-HB3'!D$102,0)</f>
        <v>0</v>
      </c>
      <c r="J348" s="1037">
        <f>IF(A348='Data Entry - SOF'!B$2,'Data Entry - SOF'!G$102,0)</f>
        <v>0</v>
      </c>
      <c r="K348" s="717">
        <f t="shared" si="33"/>
        <v>21976887.209994301</v>
      </c>
      <c r="L348" s="944">
        <f>IF(A348='Data Entry - SOF'!B$2,'Report-SOF2021'!D$99,0)</f>
        <v>0</v>
      </c>
      <c r="M348" s="723">
        <f>IF(A348='Data Entry - SOF'!B$2,'Data Entry - SOF'!M$102,0)</f>
        <v>0</v>
      </c>
      <c r="N348" s="717">
        <f t="shared" si="34"/>
        <v>21976887.209994301</v>
      </c>
      <c r="O348" s="944">
        <f>IF(A348='Data Entry - SOF'!B$2,'Report-SOF2122'!D$91,0)</f>
        <v>0</v>
      </c>
      <c r="P348" s="723">
        <f>IF(A348='Data Entry - SOF'!B$2,'Data Entry - SOF'!O$102,0)</f>
        <v>0</v>
      </c>
      <c r="Q348" s="601">
        <f t="shared" si="31"/>
        <v>21976887.209994301</v>
      </c>
      <c r="R348" s="944">
        <f>IF(A348='Data Entry - SOF'!B$2,'Report-SOF2223'!D$91,0)</f>
        <v>0</v>
      </c>
      <c r="S348" s="723">
        <f>IF(A348='Data Entry - SOF'!B$2,'Data Entry - SOF'!Q$102,0)</f>
        <v>0</v>
      </c>
      <c r="T348" s="601">
        <f t="shared" si="35"/>
        <v>21976887.209994301</v>
      </c>
      <c r="U348" s="944">
        <f>IF(A348='Data Entry - SOF'!B$2,'Report-SOF2324'!D$91,0)</f>
        <v>0</v>
      </c>
      <c r="V348" s="723">
        <f>IF(A348='Data Entry - SOF'!B$2,'Data Entry - SOF'!S$102,0)</f>
        <v>0</v>
      </c>
    </row>
    <row r="349" spans="1:22" ht="15.75">
      <c r="A349" s="382" t="s">
        <v>2438</v>
      </c>
      <c r="B349" s="91">
        <v>18142891.005196799</v>
      </c>
      <c r="C349" s="944">
        <f>IF(A349='Data Entry - SOF'!B$2,'Report-SOF1718'!D$102,0)</f>
        <v>0</v>
      </c>
      <c r="D349" s="1037">
        <f>IF(A349='Data Entry - SOF'!B$2,'Data Entry - SOF'!#REF!,0)</f>
        <v>0</v>
      </c>
      <c r="E349" s="91">
        <f t="shared" si="30"/>
        <v>18142891.005196799</v>
      </c>
      <c r="F349" s="944">
        <f>IF(A349='Data Entry - SOF'!B$2,'Report-SOF1819'!D$102,0)</f>
        <v>0</v>
      </c>
      <c r="G349" s="1037">
        <f>IF(A349='Data Entry - SOF'!B$2,'Data Entry - SOF'!E$102,0)</f>
        <v>0</v>
      </c>
      <c r="H349" s="1038">
        <f t="shared" si="32"/>
        <v>18142891.005196799</v>
      </c>
      <c r="I349" s="944">
        <f>IF(A349='Data Entry - SOF'!B$2,'Report-SOF1920-HB3'!D$102,0)</f>
        <v>0</v>
      </c>
      <c r="J349" s="1037">
        <f>IF(A349='Data Entry - SOF'!B$2,'Data Entry - SOF'!G$102,0)</f>
        <v>0</v>
      </c>
      <c r="K349" s="717">
        <f t="shared" si="33"/>
        <v>18142891.005196799</v>
      </c>
      <c r="L349" s="944">
        <f>IF(A349='Data Entry - SOF'!B$2,'Report-SOF2021'!D$99,0)</f>
        <v>0</v>
      </c>
      <c r="M349" s="723">
        <f>IF(A349='Data Entry - SOF'!B$2,'Data Entry - SOF'!M$102,0)</f>
        <v>0</v>
      </c>
      <c r="N349" s="717">
        <f t="shared" si="34"/>
        <v>18142891.005196799</v>
      </c>
      <c r="O349" s="944">
        <f>IF(A349='Data Entry - SOF'!B$2,'Report-SOF2122'!D$91,0)</f>
        <v>0</v>
      </c>
      <c r="P349" s="723">
        <f>IF(A349='Data Entry - SOF'!B$2,'Data Entry - SOF'!O$102,0)</f>
        <v>0</v>
      </c>
      <c r="Q349" s="601">
        <f t="shared" si="31"/>
        <v>18142891.005196799</v>
      </c>
      <c r="R349" s="944">
        <f>IF(A349='Data Entry - SOF'!B$2,'Report-SOF2223'!D$91,0)</f>
        <v>0</v>
      </c>
      <c r="S349" s="723">
        <f>IF(A349='Data Entry - SOF'!B$2,'Data Entry - SOF'!Q$102,0)</f>
        <v>0</v>
      </c>
      <c r="T349" s="601">
        <f t="shared" si="35"/>
        <v>18142891.005196799</v>
      </c>
      <c r="U349" s="944">
        <f>IF(A349='Data Entry - SOF'!B$2,'Report-SOF2324'!D$91,0)</f>
        <v>0</v>
      </c>
      <c r="V349" s="723">
        <f>IF(A349='Data Entry - SOF'!B$2,'Data Entry - SOF'!S$102,0)</f>
        <v>0</v>
      </c>
    </row>
    <row r="350" spans="1:22" ht="15.75">
      <c r="A350" s="382" t="s">
        <v>2439</v>
      </c>
      <c r="B350" s="91">
        <v>2630373</v>
      </c>
      <c r="C350" s="944">
        <f>IF(A350='Data Entry - SOF'!B$2,'Report-SOF1718'!D$102,0)</f>
        <v>0</v>
      </c>
      <c r="D350" s="1037">
        <f>IF(A350='Data Entry - SOF'!B$2,'Data Entry - SOF'!#REF!,0)</f>
        <v>0</v>
      </c>
      <c r="E350" s="91">
        <f t="shared" si="30"/>
        <v>2630373</v>
      </c>
      <c r="F350" s="944">
        <f>IF(A350='Data Entry - SOF'!B$2,'Report-SOF1819'!D$102,0)</f>
        <v>0</v>
      </c>
      <c r="G350" s="1037">
        <f>IF(A350='Data Entry - SOF'!B$2,'Data Entry - SOF'!E$102,0)</f>
        <v>0</v>
      </c>
      <c r="H350" s="1038">
        <f t="shared" si="32"/>
        <v>2630373</v>
      </c>
      <c r="I350" s="944">
        <f>IF(A350='Data Entry - SOF'!B$2,'Report-SOF1920-HB3'!D$102,0)</f>
        <v>0</v>
      </c>
      <c r="J350" s="1037">
        <f>IF(A350='Data Entry - SOF'!B$2,'Data Entry - SOF'!G$102,0)</f>
        <v>0</v>
      </c>
      <c r="K350" s="717">
        <f t="shared" si="33"/>
        <v>2630373</v>
      </c>
      <c r="L350" s="944">
        <f>IF(A350='Data Entry - SOF'!B$2,'Report-SOF2021'!D$99,0)</f>
        <v>0</v>
      </c>
      <c r="M350" s="723">
        <f>IF(A350='Data Entry - SOF'!B$2,'Data Entry - SOF'!M$102,0)</f>
        <v>0</v>
      </c>
      <c r="N350" s="717">
        <f t="shared" si="34"/>
        <v>2630373</v>
      </c>
      <c r="O350" s="944">
        <f>IF(A350='Data Entry - SOF'!B$2,'Report-SOF2122'!D$91,0)</f>
        <v>0</v>
      </c>
      <c r="P350" s="723">
        <f>IF(A350='Data Entry - SOF'!B$2,'Data Entry - SOF'!O$102,0)</f>
        <v>0</v>
      </c>
      <c r="Q350" s="601">
        <f t="shared" si="31"/>
        <v>2630373</v>
      </c>
      <c r="R350" s="944">
        <f>IF(A350='Data Entry - SOF'!B$2,'Report-SOF2223'!D$91,0)</f>
        <v>0</v>
      </c>
      <c r="S350" s="723">
        <f>IF(A350='Data Entry - SOF'!B$2,'Data Entry - SOF'!Q$102,0)</f>
        <v>0</v>
      </c>
      <c r="T350" s="601">
        <f t="shared" si="35"/>
        <v>2630373</v>
      </c>
      <c r="U350" s="944">
        <f>IF(A350='Data Entry - SOF'!B$2,'Report-SOF2324'!D$91,0)</f>
        <v>0</v>
      </c>
      <c r="V350" s="723">
        <f>IF(A350='Data Entry - SOF'!B$2,'Data Entry - SOF'!S$102,0)</f>
        <v>0</v>
      </c>
    </row>
    <row r="351" spans="1:22" ht="15.75">
      <c r="A351" s="382" t="s">
        <v>1852</v>
      </c>
      <c r="B351" s="91">
        <v>4054414</v>
      </c>
      <c r="C351" s="944">
        <f>IF(A351='Data Entry - SOF'!B$2,'Report-SOF1718'!D$102,0)</f>
        <v>0</v>
      </c>
      <c r="D351" s="1037">
        <f>IF(A351='Data Entry - SOF'!B$2,'Data Entry - SOF'!#REF!,0)</f>
        <v>0</v>
      </c>
      <c r="E351" s="91">
        <f t="shared" si="30"/>
        <v>4054414</v>
      </c>
      <c r="F351" s="944">
        <f>IF(A351='Data Entry - SOF'!B$2,'Report-SOF1819'!D$102,0)</f>
        <v>0</v>
      </c>
      <c r="G351" s="1037">
        <f>IF(A351='Data Entry - SOF'!B$2,'Data Entry - SOF'!E$102,0)</f>
        <v>0</v>
      </c>
      <c r="H351" s="1038">
        <f t="shared" si="32"/>
        <v>4054414</v>
      </c>
      <c r="I351" s="944">
        <f>IF(A351='Data Entry - SOF'!B$2,'Report-SOF1920-HB3'!D$102,0)</f>
        <v>0</v>
      </c>
      <c r="J351" s="1037">
        <f>IF(A351='Data Entry - SOF'!B$2,'Data Entry - SOF'!G$102,0)</f>
        <v>0</v>
      </c>
      <c r="K351" s="717">
        <f t="shared" si="33"/>
        <v>4054414</v>
      </c>
      <c r="L351" s="944">
        <f>IF(A351='Data Entry - SOF'!B$2,'Report-SOF2021'!D$99,0)</f>
        <v>0</v>
      </c>
      <c r="M351" s="723">
        <f>IF(A351='Data Entry - SOF'!B$2,'Data Entry - SOF'!M$102,0)</f>
        <v>0</v>
      </c>
      <c r="N351" s="717">
        <f t="shared" si="34"/>
        <v>4054414</v>
      </c>
      <c r="O351" s="944">
        <f>IF(A351='Data Entry - SOF'!B$2,'Report-SOF2122'!D$91,0)</f>
        <v>0</v>
      </c>
      <c r="P351" s="723">
        <f>IF(A351='Data Entry - SOF'!B$2,'Data Entry - SOF'!O$102,0)</f>
        <v>0</v>
      </c>
      <c r="Q351" s="601">
        <f t="shared" si="31"/>
        <v>4054414</v>
      </c>
      <c r="R351" s="944">
        <f>IF(A351='Data Entry - SOF'!B$2,'Report-SOF2223'!D$91,0)</f>
        <v>0</v>
      </c>
      <c r="S351" s="723">
        <f>IF(A351='Data Entry - SOF'!B$2,'Data Entry - SOF'!Q$102,0)</f>
        <v>0</v>
      </c>
      <c r="T351" s="601">
        <f t="shared" si="35"/>
        <v>4054414</v>
      </c>
      <c r="U351" s="944">
        <f>IF(A351='Data Entry - SOF'!B$2,'Report-SOF2324'!D$91,0)</f>
        <v>0</v>
      </c>
      <c r="V351" s="723">
        <f>IF(A351='Data Entry - SOF'!B$2,'Data Entry - SOF'!S$102,0)</f>
        <v>0</v>
      </c>
    </row>
    <row r="352" spans="1:22" ht="15.75">
      <c r="A352" s="382" t="s">
        <v>1853</v>
      </c>
      <c r="B352" s="91">
        <v>1786521</v>
      </c>
      <c r="C352" s="944">
        <f>IF(A352='Data Entry - SOF'!B$2,'Report-SOF1718'!D$102,0)</f>
        <v>0</v>
      </c>
      <c r="D352" s="1037">
        <f>IF(A352='Data Entry - SOF'!B$2,'Data Entry - SOF'!#REF!,0)</f>
        <v>0</v>
      </c>
      <c r="E352" s="91">
        <f t="shared" si="30"/>
        <v>1786521</v>
      </c>
      <c r="F352" s="944">
        <f>IF(A352='Data Entry - SOF'!B$2,'Report-SOF1819'!D$102,0)</f>
        <v>0</v>
      </c>
      <c r="G352" s="1037">
        <f>IF(A352='Data Entry - SOF'!B$2,'Data Entry - SOF'!E$102,0)</f>
        <v>0</v>
      </c>
      <c r="H352" s="1038">
        <f t="shared" si="32"/>
        <v>1786521</v>
      </c>
      <c r="I352" s="944">
        <f>IF(A352='Data Entry - SOF'!B$2,'Report-SOF1920-HB3'!D$102,0)</f>
        <v>0</v>
      </c>
      <c r="J352" s="1037">
        <f>IF(A352='Data Entry - SOF'!B$2,'Data Entry - SOF'!G$102,0)</f>
        <v>0</v>
      </c>
      <c r="K352" s="717">
        <f t="shared" si="33"/>
        <v>1786521</v>
      </c>
      <c r="L352" s="944">
        <f>IF(A352='Data Entry - SOF'!B$2,'Report-SOF2021'!D$99,0)</f>
        <v>0</v>
      </c>
      <c r="M352" s="723">
        <f>IF(A352='Data Entry - SOF'!B$2,'Data Entry - SOF'!M$102,0)</f>
        <v>0</v>
      </c>
      <c r="N352" s="717">
        <f t="shared" si="34"/>
        <v>1786521</v>
      </c>
      <c r="O352" s="944">
        <f>IF(A352='Data Entry - SOF'!B$2,'Report-SOF2122'!D$91,0)</f>
        <v>0</v>
      </c>
      <c r="P352" s="723">
        <f>IF(A352='Data Entry - SOF'!B$2,'Data Entry - SOF'!O$102,0)</f>
        <v>0</v>
      </c>
      <c r="Q352" s="601">
        <f t="shared" si="31"/>
        <v>1786521</v>
      </c>
      <c r="R352" s="944">
        <f>IF(A352='Data Entry - SOF'!B$2,'Report-SOF2223'!D$91,0)</f>
        <v>0</v>
      </c>
      <c r="S352" s="723">
        <f>IF(A352='Data Entry - SOF'!B$2,'Data Entry - SOF'!Q$102,0)</f>
        <v>0</v>
      </c>
      <c r="T352" s="601">
        <f t="shared" si="35"/>
        <v>1786521</v>
      </c>
      <c r="U352" s="944">
        <f>IF(A352='Data Entry - SOF'!B$2,'Report-SOF2324'!D$91,0)</f>
        <v>0</v>
      </c>
      <c r="V352" s="723">
        <f>IF(A352='Data Entry - SOF'!B$2,'Data Entry - SOF'!S$102,0)</f>
        <v>0</v>
      </c>
    </row>
    <row r="353" spans="1:22" ht="15.75">
      <c r="A353" s="382" t="s">
        <v>2021</v>
      </c>
      <c r="B353" s="91">
        <v>14673256</v>
      </c>
      <c r="C353" s="944">
        <f>IF(A353='Data Entry - SOF'!B$2,'Report-SOF1718'!D$102,0)</f>
        <v>0</v>
      </c>
      <c r="D353" s="1037">
        <f>IF(A353='Data Entry - SOF'!B$2,'Data Entry - SOF'!#REF!,0)</f>
        <v>0</v>
      </c>
      <c r="E353" s="91">
        <f t="shared" si="30"/>
        <v>14673256</v>
      </c>
      <c r="F353" s="944">
        <f>IF(A353='Data Entry - SOF'!B$2,'Report-SOF1819'!D$102,0)</f>
        <v>0</v>
      </c>
      <c r="G353" s="1037">
        <f>IF(A353='Data Entry - SOF'!B$2,'Data Entry - SOF'!E$102,0)</f>
        <v>0</v>
      </c>
      <c r="H353" s="1038">
        <f t="shared" si="32"/>
        <v>14673256</v>
      </c>
      <c r="I353" s="944">
        <f>IF(A353='Data Entry - SOF'!B$2,'Report-SOF1920-HB3'!D$102,0)</f>
        <v>0</v>
      </c>
      <c r="J353" s="1037">
        <f>IF(A353='Data Entry - SOF'!B$2,'Data Entry - SOF'!G$102,0)</f>
        <v>0</v>
      </c>
      <c r="K353" s="717">
        <f t="shared" si="33"/>
        <v>14673256</v>
      </c>
      <c r="L353" s="944">
        <f>IF(A353='Data Entry - SOF'!B$2,'Report-SOF2021'!D$99,0)</f>
        <v>0</v>
      </c>
      <c r="M353" s="723">
        <f>IF(A353='Data Entry - SOF'!B$2,'Data Entry - SOF'!M$102,0)</f>
        <v>0</v>
      </c>
      <c r="N353" s="717">
        <f t="shared" si="34"/>
        <v>14673256</v>
      </c>
      <c r="O353" s="944">
        <f>IF(A353='Data Entry - SOF'!B$2,'Report-SOF2122'!D$91,0)</f>
        <v>0</v>
      </c>
      <c r="P353" s="723">
        <f>IF(A353='Data Entry - SOF'!B$2,'Data Entry - SOF'!O$102,0)</f>
        <v>0</v>
      </c>
      <c r="Q353" s="601">
        <f t="shared" si="31"/>
        <v>14673256</v>
      </c>
      <c r="R353" s="944">
        <f>IF(A353='Data Entry - SOF'!B$2,'Report-SOF2223'!D$91,0)</f>
        <v>0</v>
      </c>
      <c r="S353" s="723">
        <f>IF(A353='Data Entry - SOF'!B$2,'Data Entry - SOF'!Q$102,0)</f>
        <v>0</v>
      </c>
      <c r="T353" s="601">
        <f t="shared" si="35"/>
        <v>14673256</v>
      </c>
      <c r="U353" s="944">
        <f>IF(A353='Data Entry - SOF'!B$2,'Report-SOF2324'!D$91,0)</f>
        <v>0</v>
      </c>
      <c r="V353" s="723">
        <f>IF(A353='Data Entry - SOF'!B$2,'Data Entry - SOF'!S$102,0)</f>
        <v>0</v>
      </c>
    </row>
    <row r="354" spans="1:22" ht="15.75">
      <c r="A354" s="382" t="s">
        <v>2033</v>
      </c>
      <c r="B354" s="91">
        <v>2521957</v>
      </c>
      <c r="C354" s="944">
        <f>IF(A354='Data Entry - SOF'!B$2,'Report-SOF1718'!D$102,0)</f>
        <v>0</v>
      </c>
      <c r="D354" s="1037">
        <f>IF(A354='Data Entry - SOF'!B$2,'Data Entry - SOF'!#REF!,0)</f>
        <v>0</v>
      </c>
      <c r="E354" s="91">
        <f t="shared" si="30"/>
        <v>2521957</v>
      </c>
      <c r="F354" s="944">
        <f>IF(A354='Data Entry - SOF'!B$2,'Report-SOF1819'!D$102,0)</f>
        <v>0</v>
      </c>
      <c r="G354" s="1037">
        <f>IF(A354='Data Entry - SOF'!B$2,'Data Entry - SOF'!E$102,0)</f>
        <v>0</v>
      </c>
      <c r="H354" s="1038">
        <f t="shared" si="32"/>
        <v>2521957</v>
      </c>
      <c r="I354" s="944">
        <f>IF(A354='Data Entry - SOF'!B$2,'Report-SOF1920-HB3'!D$102,0)</f>
        <v>0</v>
      </c>
      <c r="J354" s="1037">
        <f>IF(A354='Data Entry - SOF'!B$2,'Data Entry - SOF'!G$102,0)</f>
        <v>0</v>
      </c>
      <c r="K354" s="717">
        <f t="shared" si="33"/>
        <v>2521957</v>
      </c>
      <c r="L354" s="944">
        <f>IF(A354='Data Entry - SOF'!B$2,'Report-SOF2021'!D$99,0)</f>
        <v>0</v>
      </c>
      <c r="M354" s="723">
        <f>IF(A354='Data Entry - SOF'!B$2,'Data Entry - SOF'!M$102,0)</f>
        <v>0</v>
      </c>
      <c r="N354" s="717">
        <f t="shared" si="34"/>
        <v>2521957</v>
      </c>
      <c r="O354" s="944">
        <f>IF(A354='Data Entry - SOF'!B$2,'Report-SOF2122'!D$91,0)</f>
        <v>0</v>
      </c>
      <c r="P354" s="723">
        <f>IF(A354='Data Entry - SOF'!B$2,'Data Entry - SOF'!O$102,0)</f>
        <v>0</v>
      </c>
      <c r="Q354" s="601">
        <f t="shared" si="31"/>
        <v>2521957</v>
      </c>
      <c r="R354" s="944">
        <f>IF(A354='Data Entry - SOF'!B$2,'Report-SOF2223'!D$91,0)</f>
        <v>0</v>
      </c>
      <c r="S354" s="723">
        <f>IF(A354='Data Entry - SOF'!B$2,'Data Entry - SOF'!Q$102,0)</f>
        <v>0</v>
      </c>
      <c r="T354" s="601">
        <f t="shared" si="35"/>
        <v>2521957</v>
      </c>
      <c r="U354" s="944">
        <f>IF(A354='Data Entry - SOF'!B$2,'Report-SOF2324'!D$91,0)</f>
        <v>0</v>
      </c>
      <c r="V354" s="723">
        <f>IF(A354='Data Entry - SOF'!B$2,'Data Entry - SOF'!S$102,0)</f>
        <v>0</v>
      </c>
    </row>
    <row r="355" spans="1:22" ht="15.75">
      <c r="A355" s="382" t="s">
        <v>1684</v>
      </c>
      <c r="B355" s="91">
        <v>2365520</v>
      </c>
      <c r="C355" s="944">
        <f>IF(A355='Data Entry - SOF'!B$2,'Report-SOF1718'!D$102,0)</f>
        <v>0</v>
      </c>
      <c r="D355" s="1037">
        <f>IF(A355='Data Entry - SOF'!B$2,'Data Entry - SOF'!#REF!,0)</f>
        <v>0</v>
      </c>
      <c r="E355" s="91">
        <f t="shared" si="30"/>
        <v>2365520</v>
      </c>
      <c r="F355" s="944">
        <f>IF(A355='Data Entry - SOF'!B$2,'Report-SOF1819'!D$102,0)</f>
        <v>0</v>
      </c>
      <c r="G355" s="1037">
        <f>IF(A355='Data Entry - SOF'!B$2,'Data Entry - SOF'!E$102,0)</f>
        <v>0</v>
      </c>
      <c r="H355" s="1038">
        <f t="shared" si="32"/>
        <v>2365520</v>
      </c>
      <c r="I355" s="944">
        <f>IF(A355='Data Entry - SOF'!B$2,'Report-SOF1920-HB3'!D$102,0)</f>
        <v>0</v>
      </c>
      <c r="J355" s="1037">
        <f>IF(A355='Data Entry - SOF'!B$2,'Data Entry - SOF'!G$102,0)</f>
        <v>0</v>
      </c>
      <c r="K355" s="717">
        <f t="shared" si="33"/>
        <v>2365520</v>
      </c>
      <c r="L355" s="944">
        <f>IF(A355='Data Entry - SOF'!B$2,'Report-SOF2021'!D$99,0)</f>
        <v>0</v>
      </c>
      <c r="M355" s="723">
        <f>IF(A355='Data Entry - SOF'!B$2,'Data Entry - SOF'!M$102,0)</f>
        <v>0</v>
      </c>
      <c r="N355" s="717">
        <f t="shared" si="34"/>
        <v>2365520</v>
      </c>
      <c r="O355" s="944">
        <f>IF(A355='Data Entry - SOF'!B$2,'Report-SOF2122'!D$91,0)</f>
        <v>0</v>
      </c>
      <c r="P355" s="723">
        <f>IF(A355='Data Entry - SOF'!B$2,'Data Entry - SOF'!O$102,0)</f>
        <v>0</v>
      </c>
      <c r="Q355" s="601">
        <f t="shared" si="31"/>
        <v>2365520</v>
      </c>
      <c r="R355" s="944">
        <f>IF(A355='Data Entry - SOF'!B$2,'Report-SOF2223'!D$91,0)</f>
        <v>0</v>
      </c>
      <c r="S355" s="723">
        <f>IF(A355='Data Entry - SOF'!B$2,'Data Entry - SOF'!Q$102,0)</f>
        <v>0</v>
      </c>
      <c r="T355" s="601">
        <f t="shared" si="35"/>
        <v>2365520</v>
      </c>
      <c r="U355" s="944">
        <f>IF(A355='Data Entry - SOF'!B$2,'Report-SOF2324'!D$91,0)</f>
        <v>0</v>
      </c>
      <c r="V355" s="723">
        <f>IF(A355='Data Entry - SOF'!B$2,'Data Entry - SOF'!S$102,0)</f>
        <v>0</v>
      </c>
    </row>
    <row r="356" spans="1:22" ht="15.75">
      <c r="A356" s="382" t="s">
        <v>981</v>
      </c>
      <c r="B356" s="91">
        <v>940140</v>
      </c>
      <c r="C356" s="944">
        <f>IF(A356='Data Entry - SOF'!B$2,'Report-SOF1718'!D$102,0)</f>
        <v>0</v>
      </c>
      <c r="D356" s="1037">
        <f>IF(A356='Data Entry - SOF'!B$2,'Data Entry - SOF'!#REF!,0)</f>
        <v>0</v>
      </c>
      <c r="E356" s="91">
        <f t="shared" si="30"/>
        <v>940140</v>
      </c>
      <c r="F356" s="944">
        <f>IF(A356='Data Entry - SOF'!B$2,'Report-SOF1819'!D$102,0)</f>
        <v>0</v>
      </c>
      <c r="G356" s="1037">
        <f>IF(A356='Data Entry - SOF'!B$2,'Data Entry - SOF'!E$102,0)</f>
        <v>0</v>
      </c>
      <c r="H356" s="1038">
        <f t="shared" si="32"/>
        <v>940140</v>
      </c>
      <c r="I356" s="944">
        <f>IF(A356='Data Entry - SOF'!B$2,'Report-SOF1920-HB3'!D$102,0)</f>
        <v>0</v>
      </c>
      <c r="J356" s="1037">
        <f>IF(A356='Data Entry - SOF'!B$2,'Data Entry - SOF'!G$102,0)</f>
        <v>0</v>
      </c>
      <c r="K356" s="717">
        <f t="shared" si="33"/>
        <v>940140</v>
      </c>
      <c r="L356" s="944">
        <f>IF(A356='Data Entry - SOF'!B$2,'Report-SOF2021'!D$99,0)</f>
        <v>0</v>
      </c>
      <c r="M356" s="723">
        <f>IF(A356='Data Entry - SOF'!B$2,'Data Entry - SOF'!M$102,0)</f>
        <v>0</v>
      </c>
      <c r="N356" s="717">
        <f t="shared" si="34"/>
        <v>940140</v>
      </c>
      <c r="O356" s="944">
        <f>IF(A356='Data Entry - SOF'!B$2,'Report-SOF2122'!D$91,0)</f>
        <v>0</v>
      </c>
      <c r="P356" s="723">
        <f>IF(A356='Data Entry - SOF'!B$2,'Data Entry - SOF'!O$102,0)</f>
        <v>0</v>
      </c>
      <c r="Q356" s="601">
        <f t="shared" si="31"/>
        <v>940140</v>
      </c>
      <c r="R356" s="944">
        <f>IF(A356='Data Entry - SOF'!B$2,'Report-SOF2223'!D$91,0)</f>
        <v>0</v>
      </c>
      <c r="S356" s="723">
        <f>IF(A356='Data Entry - SOF'!B$2,'Data Entry - SOF'!Q$102,0)</f>
        <v>0</v>
      </c>
      <c r="T356" s="601">
        <f t="shared" si="35"/>
        <v>940140</v>
      </c>
      <c r="U356" s="944">
        <f>IF(A356='Data Entry - SOF'!B$2,'Report-SOF2324'!D$91,0)</f>
        <v>0</v>
      </c>
      <c r="V356" s="723">
        <f>IF(A356='Data Entry - SOF'!B$2,'Data Entry - SOF'!S$102,0)</f>
        <v>0</v>
      </c>
    </row>
    <row r="357" spans="1:22" ht="15.75">
      <c r="A357" s="382" t="s">
        <v>982</v>
      </c>
      <c r="B357" s="91">
        <v>16575130</v>
      </c>
      <c r="C357" s="944">
        <f>IF(A357='Data Entry - SOF'!B$2,'Report-SOF1718'!D$102,0)</f>
        <v>0</v>
      </c>
      <c r="D357" s="1037">
        <f>IF(A357='Data Entry - SOF'!B$2,'Data Entry - SOF'!#REF!,0)</f>
        <v>0</v>
      </c>
      <c r="E357" s="91">
        <f t="shared" si="30"/>
        <v>16575130</v>
      </c>
      <c r="F357" s="944">
        <f>IF(A357='Data Entry - SOF'!B$2,'Report-SOF1819'!D$102,0)</f>
        <v>0</v>
      </c>
      <c r="G357" s="1037">
        <f>IF(A357='Data Entry - SOF'!B$2,'Data Entry - SOF'!E$102,0)</f>
        <v>0</v>
      </c>
      <c r="H357" s="1038">
        <f t="shared" si="32"/>
        <v>16575130</v>
      </c>
      <c r="I357" s="944">
        <f>IF(A357='Data Entry - SOF'!B$2,'Report-SOF1920-HB3'!D$102,0)</f>
        <v>0</v>
      </c>
      <c r="J357" s="1037">
        <f>IF(A357='Data Entry - SOF'!B$2,'Data Entry - SOF'!G$102,0)</f>
        <v>0</v>
      </c>
      <c r="K357" s="717">
        <f t="shared" si="33"/>
        <v>16575130</v>
      </c>
      <c r="L357" s="944">
        <f>IF(A357='Data Entry - SOF'!B$2,'Report-SOF2021'!D$99,0)</f>
        <v>0</v>
      </c>
      <c r="M357" s="723">
        <f>IF(A357='Data Entry - SOF'!B$2,'Data Entry - SOF'!M$102,0)</f>
        <v>0</v>
      </c>
      <c r="N357" s="717">
        <f t="shared" si="34"/>
        <v>16575130</v>
      </c>
      <c r="O357" s="944">
        <f>IF(A357='Data Entry - SOF'!B$2,'Report-SOF2122'!D$91,0)</f>
        <v>0</v>
      </c>
      <c r="P357" s="723">
        <f>IF(A357='Data Entry - SOF'!B$2,'Data Entry - SOF'!O$102,0)</f>
        <v>0</v>
      </c>
      <c r="Q357" s="601">
        <f t="shared" si="31"/>
        <v>16575130</v>
      </c>
      <c r="R357" s="944">
        <f>IF(A357='Data Entry - SOF'!B$2,'Report-SOF2223'!D$91,0)</f>
        <v>0</v>
      </c>
      <c r="S357" s="723">
        <f>IF(A357='Data Entry - SOF'!B$2,'Data Entry - SOF'!Q$102,0)</f>
        <v>0</v>
      </c>
      <c r="T357" s="601">
        <f t="shared" si="35"/>
        <v>16575130</v>
      </c>
      <c r="U357" s="944">
        <f>IF(A357='Data Entry - SOF'!B$2,'Report-SOF2324'!D$91,0)</f>
        <v>0</v>
      </c>
      <c r="V357" s="723">
        <f>IF(A357='Data Entry - SOF'!B$2,'Data Entry - SOF'!S$102,0)</f>
        <v>0</v>
      </c>
    </row>
    <row r="358" spans="1:22" ht="15.75">
      <c r="A358" s="382" t="s">
        <v>1115</v>
      </c>
      <c r="B358" s="91">
        <v>2252596</v>
      </c>
      <c r="C358" s="944">
        <f>IF(A358='Data Entry - SOF'!B$2,'Report-SOF1718'!D$102,0)</f>
        <v>0</v>
      </c>
      <c r="D358" s="1037">
        <f>IF(A358='Data Entry - SOF'!B$2,'Data Entry - SOF'!#REF!,0)</f>
        <v>0</v>
      </c>
      <c r="E358" s="91">
        <f t="shared" si="30"/>
        <v>2252596</v>
      </c>
      <c r="F358" s="944">
        <f>IF(A358='Data Entry - SOF'!B$2,'Report-SOF1819'!D$102,0)</f>
        <v>0</v>
      </c>
      <c r="G358" s="1037">
        <f>IF(A358='Data Entry - SOF'!B$2,'Data Entry - SOF'!E$102,0)</f>
        <v>0</v>
      </c>
      <c r="H358" s="1038">
        <f t="shared" si="32"/>
        <v>2252596</v>
      </c>
      <c r="I358" s="944">
        <f>IF(A358='Data Entry - SOF'!B$2,'Report-SOF1920-HB3'!D$102,0)</f>
        <v>0</v>
      </c>
      <c r="J358" s="1037">
        <f>IF(A358='Data Entry - SOF'!B$2,'Data Entry - SOF'!G$102,0)</f>
        <v>0</v>
      </c>
      <c r="K358" s="717">
        <f t="shared" si="33"/>
        <v>2252596</v>
      </c>
      <c r="L358" s="944">
        <f>IF(A358='Data Entry - SOF'!B$2,'Report-SOF2021'!D$99,0)</f>
        <v>0</v>
      </c>
      <c r="M358" s="723">
        <f>IF(A358='Data Entry - SOF'!B$2,'Data Entry - SOF'!M$102,0)</f>
        <v>0</v>
      </c>
      <c r="N358" s="717">
        <f t="shared" si="34"/>
        <v>2252596</v>
      </c>
      <c r="O358" s="944">
        <f>IF(A358='Data Entry - SOF'!B$2,'Report-SOF2122'!D$91,0)</f>
        <v>0</v>
      </c>
      <c r="P358" s="723">
        <f>IF(A358='Data Entry - SOF'!B$2,'Data Entry - SOF'!O$102,0)</f>
        <v>0</v>
      </c>
      <c r="Q358" s="601">
        <f t="shared" si="31"/>
        <v>2252596</v>
      </c>
      <c r="R358" s="944">
        <f>IF(A358='Data Entry - SOF'!B$2,'Report-SOF2223'!D$91,0)</f>
        <v>0</v>
      </c>
      <c r="S358" s="723">
        <f>IF(A358='Data Entry - SOF'!B$2,'Data Entry - SOF'!Q$102,0)</f>
        <v>0</v>
      </c>
      <c r="T358" s="601">
        <f t="shared" si="35"/>
        <v>2252596</v>
      </c>
      <c r="U358" s="944">
        <f>IF(A358='Data Entry - SOF'!B$2,'Report-SOF2324'!D$91,0)</f>
        <v>0</v>
      </c>
      <c r="V358" s="723">
        <f>IF(A358='Data Entry - SOF'!B$2,'Data Entry - SOF'!S$102,0)</f>
        <v>0</v>
      </c>
    </row>
    <row r="359" spans="1:22" ht="15.75">
      <c r="A359" s="382" t="s">
        <v>793</v>
      </c>
      <c r="B359" s="91">
        <v>38587951</v>
      </c>
      <c r="C359" s="944">
        <f>IF(A359='Data Entry - SOF'!B$2,'Report-SOF1718'!D$102,0)</f>
        <v>0</v>
      </c>
      <c r="D359" s="1037">
        <f>IF(A359='Data Entry - SOF'!B$2,'Data Entry - SOF'!#REF!,0)</f>
        <v>0</v>
      </c>
      <c r="E359" s="91">
        <f t="shared" si="30"/>
        <v>38587951</v>
      </c>
      <c r="F359" s="944">
        <f>IF(A359='Data Entry - SOF'!B$2,'Report-SOF1819'!D$102,0)</f>
        <v>0</v>
      </c>
      <c r="G359" s="1037">
        <f>IF(A359='Data Entry - SOF'!B$2,'Data Entry - SOF'!E$102,0)</f>
        <v>0</v>
      </c>
      <c r="H359" s="1038">
        <f t="shared" si="32"/>
        <v>38587951</v>
      </c>
      <c r="I359" s="944">
        <f>IF(A359='Data Entry - SOF'!B$2,'Report-SOF1920-HB3'!D$102,0)</f>
        <v>0</v>
      </c>
      <c r="J359" s="1037">
        <f>IF(A359='Data Entry - SOF'!B$2,'Data Entry - SOF'!G$102,0)</f>
        <v>0</v>
      </c>
      <c r="K359" s="717">
        <f t="shared" si="33"/>
        <v>38587951</v>
      </c>
      <c r="L359" s="944">
        <f>IF(A359='Data Entry - SOF'!B$2,'Report-SOF2021'!D$99,0)</f>
        <v>0</v>
      </c>
      <c r="M359" s="723">
        <f>IF(A359='Data Entry - SOF'!B$2,'Data Entry - SOF'!M$102,0)</f>
        <v>0</v>
      </c>
      <c r="N359" s="717">
        <f t="shared" si="34"/>
        <v>38587951</v>
      </c>
      <c r="O359" s="944">
        <f>IF(A359='Data Entry - SOF'!B$2,'Report-SOF2122'!D$91,0)</f>
        <v>0</v>
      </c>
      <c r="P359" s="723">
        <f>IF(A359='Data Entry - SOF'!B$2,'Data Entry - SOF'!O$102,0)</f>
        <v>0</v>
      </c>
      <c r="Q359" s="601">
        <f t="shared" si="31"/>
        <v>38587951</v>
      </c>
      <c r="R359" s="944">
        <f>IF(A359='Data Entry - SOF'!B$2,'Report-SOF2223'!D$91,0)</f>
        <v>0</v>
      </c>
      <c r="S359" s="723">
        <f>IF(A359='Data Entry - SOF'!B$2,'Data Entry - SOF'!Q$102,0)</f>
        <v>0</v>
      </c>
      <c r="T359" s="601">
        <f t="shared" si="35"/>
        <v>38587951</v>
      </c>
      <c r="U359" s="944">
        <f>IF(A359='Data Entry - SOF'!B$2,'Report-SOF2324'!D$91,0)</f>
        <v>0</v>
      </c>
      <c r="V359" s="723">
        <f>IF(A359='Data Entry - SOF'!B$2,'Data Entry - SOF'!S$102,0)</f>
        <v>0</v>
      </c>
    </row>
    <row r="360" spans="1:22" ht="15.75">
      <c r="A360" s="382" t="s">
        <v>794</v>
      </c>
      <c r="B360" s="91">
        <v>2724853</v>
      </c>
      <c r="C360" s="944">
        <f>IF(A360='Data Entry - SOF'!B$2,'Report-SOF1718'!D$102,0)</f>
        <v>0</v>
      </c>
      <c r="D360" s="1037">
        <f>IF(A360='Data Entry - SOF'!B$2,'Data Entry - SOF'!#REF!,0)</f>
        <v>0</v>
      </c>
      <c r="E360" s="91">
        <f t="shared" si="30"/>
        <v>2724853</v>
      </c>
      <c r="F360" s="944">
        <f>IF(A360='Data Entry - SOF'!B$2,'Report-SOF1819'!D$102,0)</f>
        <v>0</v>
      </c>
      <c r="G360" s="1037">
        <f>IF(A360='Data Entry - SOF'!B$2,'Data Entry - SOF'!E$102,0)</f>
        <v>0</v>
      </c>
      <c r="H360" s="1038">
        <f t="shared" si="32"/>
        <v>2724853</v>
      </c>
      <c r="I360" s="944">
        <f>IF(A360='Data Entry - SOF'!B$2,'Report-SOF1920-HB3'!D$102,0)</f>
        <v>0</v>
      </c>
      <c r="J360" s="1037">
        <f>IF(A360='Data Entry - SOF'!B$2,'Data Entry - SOF'!G$102,0)</f>
        <v>0</v>
      </c>
      <c r="K360" s="717">
        <f t="shared" si="33"/>
        <v>2724853</v>
      </c>
      <c r="L360" s="944">
        <f>IF(A360='Data Entry - SOF'!B$2,'Report-SOF2021'!D$99,0)</f>
        <v>0</v>
      </c>
      <c r="M360" s="723">
        <f>IF(A360='Data Entry - SOF'!B$2,'Data Entry - SOF'!M$102,0)</f>
        <v>0</v>
      </c>
      <c r="N360" s="717">
        <f t="shared" si="34"/>
        <v>2724853</v>
      </c>
      <c r="O360" s="944">
        <f>IF(A360='Data Entry - SOF'!B$2,'Report-SOF2122'!D$91,0)</f>
        <v>0</v>
      </c>
      <c r="P360" s="723">
        <f>IF(A360='Data Entry - SOF'!B$2,'Data Entry - SOF'!O$102,0)</f>
        <v>0</v>
      </c>
      <c r="Q360" s="601">
        <f t="shared" si="31"/>
        <v>2724853</v>
      </c>
      <c r="R360" s="944">
        <f>IF(A360='Data Entry - SOF'!B$2,'Report-SOF2223'!D$91,0)</f>
        <v>0</v>
      </c>
      <c r="S360" s="723">
        <f>IF(A360='Data Entry - SOF'!B$2,'Data Entry - SOF'!Q$102,0)</f>
        <v>0</v>
      </c>
      <c r="T360" s="601">
        <f t="shared" si="35"/>
        <v>2724853</v>
      </c>
      <c r="U360" s="944">
        <f>IF(A360='Data Entry - SOF'!B$2,'Report-SOF2324'!D$91,0)</f>
        <v>0</v>
      </c>
      <c r="V360" s="723">
        <f>IF(A360='Data Entry - SOF'!B$2,'Data Entry - SOF'!S$102,0)</f>
        <v>0</v>
      </c>
    </row>
    <row r="361" spans="1:22" ht="15.75">
      <c r="A361" s="382" t="s">
        <v>1236</v>
      </c>
      <c r="B361" s="91">
        <v>5826356</v>
      </c>
      <c r="C361" s="944">
        <f>IF(A361='Data Entry - SOF'!B$2,'Report-SOF1718'!D$102,0)</f>
        <v>0</v>
      </c>
      <c r="D361" s="1037">
        <f>IF(A361='Data Entry - SOF'!B$2,'Data Entry - SOF'!#REF!,0)</f>
        <v>0</v>
      </c>
      <c r="E361" s="91">
        <f t="shared" si="30"/>
        <v>5826356</v>
      </c>
      <c r="F361" s="944">
        <f>IF(A361='Data Entry - SOF'!B$2,'Report-SOF1819'!D$102,0)</f>
        <v>0</v>
      </c>
      <c r="G361" s="1037">
        <f>IF(A361='Data Entry - SOF'!B$2,'Data Entry - SOF'!E$102,0)</f>
        <v>0</v>
      </c>
      <c r="H361" s="1038">
        <f t="shared" si="32"/>
        <v>5826356</v>
      </c>
      <c r="I361" s="944">
        <f>IF(A361='Data Entry - SOF'!B$2,'Report-SOF1920-HB3'!D$102,0)</f>
        <v>0</v>
      </c>
      <c r="J361" s="1037">
        <f>IF(A361='Data Entry - SOF'!B$2,'Data Entry - SOF'!G$102,0)</f>
        <v>0</v>
      </c>
      <c r="K361" s="717">
        <f t="shared" si="33"/>
        <v>5826356</v>
      </c>
      <c r="L361" s="944">
        <f>IF(A361='Data Entry - SOF'!B$2,'Report-SOF2021'!D$99,0)</f>
        <v>0</v>
      </c>
      <c r="M361" s="723">
        <f>IF(A361='Data Entry - SOF'!B$2,'Data Entry - SOF'!M$102,0)</f>
        <v>0</v>
      </c>
      <c r="N361" s="717">
        <f t="shared" si="34"/>
        <v>5826356</v>
      </c>
      <c r="O361" s="944">
        <f>IF(A361='Data Entry - SOF'!B$2,'Report-SOF2122'!D$91,0)</f>
        <v>0</v>
      </c>
      <c r="P361" s="723">
        <f>IF(A361='Data Entry - SOF'!B$2,'Data Entry - SOF'!O$102,0)</f>
        <v>0</v>
      </c>
      <c r="Q361" s="601">
        <f t="shared" si="31"/>
        <v>5826356</v>
      </c>
      <c r="R361" s="944">
        <f>IF(A361='Data Entry - SOF'!B$2,'Report-SOF2223'!D$91,0)</f>
        <v>0</v>
      </c>
      <c r="S361" s="723">
        <f>IF(A361='Data Entry - SOF'!B$2,'Data Entry - SOF'!Q$102,0)</f>
        <v>0</v>
      </c>
      <c r="T361" s="601">
        <f t="shared" si="35"/>
        <v>5826356</v>
      </c>
      <c r="U361" s="944">
        <f>IF(A361='Data Entry - SOF'!B$2,'Report-SOF2324'!D$91,0)</f>
        <v>0</v>
      </c>
      <c r="V361" s="723">
        <f>IF(A361='Data Entry - SOF'!B$2,'Data Entry - SOF'!S$102,0)</f>
        <v>0</v>
      </c>
    </row>
    <row r="362" spans="1:22" ht="15.75">
      <c r="A362" s="382" t="s">
        <v>1237</v>
      </c>
      <c r="B362" s="91">
        <v>7475568</v>
      </c>
      <c r="C362" s="944">
        <f>IF(A362='Data Entry - SOF'!B$2,'Report-SOF1718'!D$102,0)</f>
        <v>0</v>
      </c>
      <c r="D362" s="1037">
        <f>IF(A362='Data Entry - SOF'!B$2,'Data Entry - SOF'!#REF!,0)</f>
        <v>0</v>
      </c>
      <c r="E362" s="91">
        <f t="shared" si="30"/>
        <v>7475568</v>
      </c>
      <c r="F362" s="944">
        <f>IF(A362='Data Entry - SOF'!B$2,'Report-SOF1819'!D$102,0)</f>
        <v>0</v>
      </c>
      <c r="G362" s="1037">
        <f>IF(A362='Data Entry - SOF'!B$2,'Data Entry - SOF'!E$102,0)</f>
        <v>0</v>
      </c>
      <c r="H362" s="1038">
        <f t="shared" si="32"/>
        <v>7475568</v>
      </c>
      <c r="I362" s="944">
        <f>IF(A362='Data Entry - SOF'!B$2,'Report-SOF1920-HB3'!D$102,0)</f>
        <v>0</v>
      </c>
      <c r="J362" s="1037">
        <f>IF(A362='Data Entry - SOF'!B$2,'Data Entry - SOF'!G$102,0)</f>
        <v>0</v>
      </c>
      <c r="K362" s="717">
        <f t="shared" si="33"/>
        <v>7475568</v>
      </c>
      <c r="L362" s="944">
        <f>IF(A362='Data Entry - SOF'!B$2,'Report-SOF2021'!D$99,0)</f>
        <v>0</v>
      </c>
      <c r="M362" s="723">
        <f>IF(A362='Data Entry - SOF'!B$2,'Data Entry - SOF'!M$102,0)</f>
        <v>0</v>
      </c>
      <c r="N362" s="717">
        <f t="shared" si="34"/>
        <v>7475568</v>
      </c>
      <c r="O362" s="944">
        <f>IF(A362='Data Entry - SOF'!B$2,'Report-SOF2122'!D$91,0)</f>
        <v>0</v>
      </c>
      <c r="P362" s="723">
        <f>IF(A362='Data Entry - SOF'!B$2,'Data Entry - SOF'!O$102,0)</f>
        <v>0</v>
      </c>
      <c r="Q362" s="601">
        <f t="shared" si="31"/>
        <v>7475568</v>
      </c>
      <c r="R362" s="944">
        <f>IF(A362='Data Entry - SOF'!B$2,'Report-SOF2223'!D$91,0)</f>
        <v>0</v>
      </c>
      <c r="S362" s="723">
        <f>IF(A362='Data Entry - SOF'!B$2,'Data Entry - SOF'!Q$102,0)</f>
        <v>0</v>
      </c>
      <c r="T362" s="601">
        <f t="shared" si="35"/>
        <v>7475568</v>
      </c>
      <c r="U362" s="944">
        <f>IF(A362='Data Entry - SOF'!B$2,'Report-SOF2324'!D$91,0)</f>
        <v>0</v>
      </c>
      <c r="V362" s="723">
        <f>IF(A362='Data Entry - SOF'!B$2,'Data Entry - SOF'!S$102,0)</f>
        <v>0</v>
      </c>
    </row>
    <row r="363" spans="1:22" ht="15.75">
      <c r="A363" s="382" t="s">
        <v>1463</v>
      </c>
      <c r="B363" s="91">
        <v>1601891</v>
      </c>
      <c r="C363" s="944">
        <f>IF(A363='Data Entry - SOF'!B$2,'Report-SOF1718'!D$102,0)</f>
        <v>0</v>
      </c>
      <c r="D363" s="1037">
        <f>IF(A363='Data Entry - SOF'!B$2,'Data Entry - SOF'!#REF!,0)</f>
        <v>0</v>
      </c>
      <c r="E363" s="91">
        <f t="shared" si="30"/>
        <v>1601891</v>
      </c>
      <c r="F363" s="944">
        <f>IF(A363='Data Entry - SOF'!B$2,'Report-SOF1819'!D$102,0)</f>
        <v>0</v>
      </c>
      <c r="G363" s="1037">
        <f>IF(A363='Data Entry - SOF'!B$2,'Data Entry - SOF'!E$102,0)</f>
        <v>0</v>
      </c>
      <c r="H363" s="1038">
        <f t="shared" si="32"/>
        <v>1601891</v>
      </c>
      <c r="I363" s="944">
        <f>IF(A363='Data Entry - SOF'!B$2,'Report-SOF1920-HB3'!D$102,0)</f>
        <v>0</v>
      </c>
      <c r="J363" s="1037">
        <f>IF(A363='Data Entry - SOF'!B$2,'Data Entry - SOF'!G$102,0)</f>
        <v>0</v>
      </c>
      <c r="K363" s="717">
        <f t="shared" si="33"/>
        <v>1601891</v>
      </c>
      <c r="L363" s="944">
        <f>IF(A363='Data Entry - SOF'!B$2,'Report-SOF2021'!D$99,0)</f>
        <v>0</v>
      </c>
      <c r="M363" s="723">
        <f>IF(A363='Data Entry - SOF'!B$2,'Data Entry - SOF'!M$102,0)</f>
        <v>0</v>
      </c>
      <c r="N363" s="717">
        <f t="shared" si="34"/>
        <v>1601891</v>
      </c>
      <c r="O363" s="944">
        <f>IF(A363='Data Entry - SOF'!B$2,'Report-SOF2122'!D$91,0)</f>
        <v>0</v>
      </c>
      <c r="P363" s="723">
        <f>IF(A363='Data Entry - SOF'!B$2,'Data Entry - SOF'!O$102,0)</f>
        <v>0</v>
      </c>
      <c r="Q363" s="601">
        <f t="shared" si="31"/>
        <v>1601891</v>
      </c>
      <c r="R363" s="944">
        <f>IF(A363='Data Entry - SOF'!B$2,'Report-SOF2223'!D$91,0)</f>
        <v>0</v>
      </c>
      <c r="S363" s="723">
        <f>IF(A363='Data Entry - SOF'!B$2,'Data Entry - SOF'!Q$102,0)</f>
        <v>0</v>
      </c>
      <c r="T363" s="601">
        <f t="shared" si="35"/>
        <v>1601891</v>
      </c>
      <c r="U363" s="944">
        <f>IF(A363='Data Entry - SOF'!B$2,'Report-SOF2324'!D$91,0)</f>
        <v>0</v>
      </c>
      <c r="V363" s="723">
        <f>IF(A363='Data Entry - SOF'!B$2,'Data Entry - SOF'!S$102,0)</f>
        <v>0</v>
      </c>
    </row>
    <row r="364" spans="1:22" ht="15.75">
      <c r="A364" s="382" t="s">
        <v>215</v>
      </c>
      <c r="B364" s="91">
        <v>4192864</v>
      </c>
      <c r="C364" s="944">
        <f>IF(A364='Data Entry - SOF'!B$2,'Report-SOF1718'!D$102,0)</f>
        <v>0</v>
      </c>
      <c r="D364" s="1037">
        <f>IF(A364='Data Entry - SOF'!B$2,'Data Entry - SOF'!#REF!,0)</f>
        <v>0</v>
      </c>
      <c r="E364" s="91">
        <f t="shared" si="30"/>
        <v>4192864</v>
      </c>
      <c r="F364" s="944">
        <f>IF(A364='Data Entry - SOF'!B$2,'Report-SOF1819'!D$102,0)</f>
        <v>0</v>
      </c>
      <c r="G364" s="1037">
        <f>IF(A364='Data Entry - SOF'!B$2,'Data Entry - SOF'!E$102,0)</f>
        <v>0</v>
      </c>
      <c r="H364" s="1038">
        <f t="shared" si="32"/>
        <v>4192864</v>
      </c>
      <c r="I364" s="944">
        <f>IF(A364='Data Entry - SOF'!B$2,'Report-SOF1920-HB3'!D$102,0)</f>
        <v>0</v>
      </c>
      <c r="J364" s="1037">
        <f>IF(A364='Data Entry - SOF'!B$2,'Data Entry - SOF'!G$102,0)</f>
        <v>0</v>
      </c>
      <c r="K364" s="717">
        <f t="shared" si="33"/>
        <v>4192864</v>
      </c>
      <c r="L364" s="944">
        <f>IF(A364='Data Entry - SOF'!B$2,'Report-SOF2021'!D$99,0)</f>
        <v>0</v>
      </c>
      <c r="M364" s="723">
        <f>IF(A364='Data Entry - SOF'!B$2,'Data Entry - SOF'!M$102,0)</f>
        <v>0</v>
      </c>
      <c r="N364" s="717">
        <f t="shared" si="34"/>
        <v>4192864</v>
      </c>
      <c r="O364" s="944">
        <f>IF(A364='Data Entry - SOF'!B$2,'Report-SOF2122'!D$91,0)</f>
        <v>0</v>
      </c>
      <c r="P364" s="723">
        <f>IF(A364='Data Entry - SOF'!B$2,'Data Entry - SOF'!O$102,0)</f>
        <v>0</v>
      </c>
      <c r="Q364" s="601">
        <f t="shared" si="31"/>
        <v>4192864</v>
      </c>
      <c r="R364" s="944">
        <f>IF(A364='Data Entry - SOF'!B$2,'Report-SOF2223'!D$91,0)</f>
        <v>0</v>
      </c>
      <c r="S364" s="723">
        <f>IF(A364='Data Entry - SOF'!B$2,'Data Entry - SOF'!Q$102,0)</f>
        <v>0</v>
      </c>
      <c r="T364" s="601">
        <f t="shared" si="35"/>
        <v>4192864</v>
      </c>
      <c r="U364" s="944">
        <f>IF(A364='Data Entry - SOF'!B$2,'Report-SOF2324'!D$91,0)</f>
        <v>0</v>
      </c>
      <c r="V364" s="723">
        <f>IF(A364='Data Entry - SOF'!B$2,'Data Entry - SOF'!S$102,0)</f>
        <v>0</v>
      </c>
    </row>
    <row r="365" spans="1:22" ht="15.75">
      <c r="A365" s="382" t="s">
        <v>2582</v>
      </c>
      <c r="B365" s="91">
        <v>3821004</v>
      </c>
      <c r="C365" s="944">
        <f>IF(A365='Data Entry - SOF'!B$2,'Report-SOF1718'!D$102,0)</f>
        <v>0</v>
      </c>
      <c r="D365" s="1037">
        <f>IF(A365='Data Entry - SOF'!B$2,'Data Entry - SOF'!#REF!,0)</f>
        <v>0</v>
      </c>
      <c r="E365" s="91">
        <f t="shared" si="30"/>
        <v>3821004</v>
      </c>
      <c r="F365" s="944">
        <f>IF(A365='Data Entry - SOF'!B$2,'Report-SOF1819'!D$102,0)</f>
        <v>0</v>
      </c>
      <c r="G365" s="1037">
        <f>IF(A365='Data Entry - SOF'!B$2,'Data Entry - SOF'!E$102,0)</f>
        <v>0</v>
      </c>
      <c r="H365" s="1038">
        <f t="shared" si="32"/>
        <v>3821004</v>
      </c>
      <c r="I365" s="944">
        <f>IF(A365='Data Entry - SOF'!B$2,'Report-SOF1920-HB3'!D$102,0)</f>
        <v>0</v>
      </c>
      <c r="J365" s="1037">
        <f>IF(A365='Data Entry - SOF'!B$2,'Data Entry - SOF'!G$102,0)</f>
        <v>0</v>
      </c>
      <c r="K365" s="717">
        <f t="shared" si="33"/>
        <v>3821004</v>
      </c>
      <c r="L365" s="944">
        <f>IF(A365='Data Entry - SOF'!B$2,'Report-SOF2021'!D$99,0)</f>
        <v>0</v>
      </c>
      <c r="M365" s="723">
        <f>IF(A365='Data Entry - SOF'!B$2,'Data Entry - SOF'!M$102,0)</f>
        <v>0</v>
      </c>
      <c r="N365" s="717">
        <f t="shared" si="34"/>
        <v>3821004</v>
      </c>
      <c r="O365" s="944">
        <f>IF(A365='Data Entry - SOF'!B$2,'Report-SOF2122'!D$91,0)</f>
        <v>0</v>
      </c>
      <c r="P365" s="723">
        <f>IF(A365='Data Entry - SOF'!B$2,'Data Entry - SOF'!O$102,0)</f>
        <v>0</v>
      </c>
      <c r="Q365" s="601">
        <f t="shared" si="31"/>
        <v>3821004</v>
      </c>
      <c r="R365" s="944">
        <f>IF(A365='Data Entry - SOF'!B$2,'Report-SOF2223'!D$91,0)</f>
        <v>0</v>
      </c>
      <c r="S365" s="723">
        <f>IF(A365='Data Entry - SOF'!B$2,'Data Entry - SOF'!Q$102,0)</f>
        <v>0</v>
      </c>
      <c r="T365" s="601">
        <f t="shared" si="35"/>
        <v>3821004</v>
      </c>
      <c r="U365" s="944">
        <f>IF(A365='Data Entry - SOF'!B$2,'Report-SOF2324'!D$91,0)</f>
        <v>0</v>
      </c>
      <c r="V365" s="723">
        <f>IF(A365='Data Entry - SOF'!B$2,'Data Entry - SOF'!S$102,0)</f>
        <v>0</v>
      </c>
    </row>
    <row r="366" spans="1:22" ht="15.75">
      <c r="A366" s="382" t="s">
        <v>1308</v>
      </c>
      <c r="B366" s="91">
        <v>3415235</v>
      </c>
      <c r="C366" s="944">
        <f>IF(A366='Data Entry - SOF'!B$2,'Report-SOF1718'!D$102,0)</f>
        <v>0</v>
      </c>
      <c r="D366" s="1037">
        <f>IF(A366='Data Entry - SOF'!B$2,'Data Entry - SOF'!#REF!,0)</f>
        <v>0</v>
      </c>
      <c r="E366" s="91">
        <f t="shared" si="30"/>
        <v>3415235</v>
      </c>
      <c r="F366" s="944">
        <f>IF(A366='Data Entry - SOF'!B$2,'Report-SOF1819'!D$102,0)</f>
        <v>0</v>
      </c>
      <c r="G366" s="1037">
        <f>IF(A366='Data Entry - SOF'!B$2,'Data Entry - SOF'!E$102,0)</f>
        <v>0</v>
      </c>
      <c r="H366" s="1038">
        <f t="shared" si="32"/>
        <v>3415235</v>
      </c>
      <c r="I366" s="944">
        <f>IF(A366='Data Entry - SOF'!B$2,'Report-SOF1920-HB3'!D$102,0)</f>
        <v>0</v>
      </c>
      <c r="J366" s="1037">
        <f>IF(A366='Data Entry - SOF'!B$2,'Data Entry - SOF'!G$102,0)</f>
        <v>0</v>
      </c>
      <c r="K366" s="717">
        <f t="shared" si="33"/>
        <v>3415235</v>
      </c>
      <c r="L366" s="944">
        <f>IF(A366='Data Entry - SOF'!B$2,'Report-SOF2021'!D$99,0)</f>
        <v>0</v>
      </c>
      <c r="M366" s="723">
        <f>IF(A366='Data Entry - SOF'!B$2,'Data Entry - SOF'!M$102,0)</f>
        <v>0</v>
      </c>
      <c r="N366" s="717">
        <f t="shared" si="34"/>
        <v>3415235</v>
      </c>
      <c r="O366" s="944">
        <f>IF(A366='Data Entry - SOF'!B$2,'Report-SOF2122'!D$91,0)</f>
        <v>0</v>
      </c>
      <c r="P366" s="723">
        <f>IF(A366='Data Entry - SOF'!B$2,'Data Entry - SOF'!O$102,0)</f>
        <v>0</v>
      </c>
      <c r="Q366" s="601">
        <f t="shared" si="31"/>
        <v>3415235</v>
      </c>
      <c r="R366" s="944">
        <f>IF(A366='Data Entry - SOF'!B$2,'Report-SOF2223'!D$91,0)</f>
        <v>0</v>
      </c>
      <c r="S366" s="723">
        <f>IF(A366='Data Entry - SOF'!B$2,'Data Entry - SOF'!Q$102,0)</f>
        <v>0</v>
      </c>
      <c r="T366" s="601">
        <f t="shared" si="35"/>
        <v>3415235</v>
      </c>
      <c r="U366" s="944">
        <f>IF(A366='Data Entry - SOF'!B$2,'Report-SOF2324'!D$91,0)</f>
        <v>0</v>
      </c>
      <c r="V366" s="723">
        <f>IF(A366='Data Entry - SOF'!B$2,'Data Entry - SOF'!S$102,0)</f>
        <v>0</v>
      </c>
    </row>
    <row r="367" spans="1:22" ht="15.75">
      <c r="A367" s="382" t="s">
        <v>1286</v>
      </c>
      <c r="B367" s="91">
        <v>1210944</v>
      </c>
      <c r="C367" s="944">
        <f>IF(A367='Data Entry - SOF'!B$2,'Report-SOF1718'!D$102,0)</f>
        <v>0</v>
      </c>
      <c r="D367" s="1037">
        <f>IF(A367='Data Entry - SOF'!B$2,'Data Entry - SOF'!#REF!,0)</f>
        <v>0</v>
      </c>
      <c r="E367" s="91">
        <f t="shared" si="30"/>
        <v>1210944</v>
      </c>
      <c r="F367" s="944">
        <f>IF(A367='Data Entry - SOF'!B$2,'Report-SOF1819'!D$102,0)</f>
        <v>0</v>
      </c>
      <c r="G367" s="1037">
        <f>IF(A367='Data Entry - SOF'!B$2,'Data Entry - SOF'!E$102,0)</f>
        <v>0</v>
      </c>
      <c r="H367" s="1038">
        <f t="shared" si="32"/>
        <v>1210944</v>
      </c>
      <c r="I367" s="944">
        <f>IF(A367='Data Entry - SOF'!B$2,'Report-SOF1920-HB3'!D$102,0)</f>
        <v>0</v>
      </c>
      <c r="J367" s="1037">
        <f>IF(A367='Data Entry - SOF'!B$2,'Data Entry - SOF'!G$102,0)</f>
        <v>0</v>
      </c>
      <c r="K367" s="717">
        <f t="shared" si="33"/>
        <v>1210944</v>
      </c>
      <c r="L367" s="944">
        <f>IF(A367='Data Entry - SOF'!B$2,'Report-SOF2021'!D$99,0)</f>
        <v>0</v>
      </c>
      <c r="M367" s="723">
        <f>IF(A367='Data Entry - SOF'!B$2,'Data Entry - SOF'!M$102,0)</f>
        <v>0</v>
      </c>
      <c r="N367" s="717">
        <f t="shared" si="34"/>
        <v>1210944</v>
      </c>
      <c r="O367" s="944">
        <f>IF(A367='Data Entry - SOF'!B$2,'Report-SOF2122'!D$91,0)</f>
        <v>0</v>
      </c>
      <c r="P367" s="723">
        <f>IF(A367='Data Entry - SOF'!B$2,'Data Entry - SOF'!O$102,0)</f>
        <v>0</v>
      </c>
      <c r="Q367" s="601">
        <f t="shared" si="31"/>
        <v>1210944</v>
      </c>
      <c r="R367" s="944">
        <f>IF(A367='Data Entry - SOF'!B$2,'Report-SOF2223'!D$91,0)</f>
        <v>0</v>
      </c>
      <c r="S367" s="723">
        <f>IF(A367='Data Entry - SOF'!B$2,'Data Entry - SOF'!Q$102,0)</f>
        <v>0</v>
      </c>
      <c r="T367" s="601">
        <f t="shared" si="35"/>
        <v>1210944</v>
      </c>
      <c r="U367" s="944">
        <f>IF(A367='Data Entry - SOF'!B$2,'Report-SOF2324'!D$91,0)</f>
        <v>0</v>
      </c>
      <c r="V367" s="723">
        <f>IF(A367='Data Entry - SOF'!B$2,'Data Entry - SOF'!S$102,0)</f>
        <v>0</v>
      </c>
    </row>
    <row r="368" spans="1:22" ht="15.75">
      <c r="A368" s="382" t="s">
        <v>1287</v>
      </c>
      <c r="B368" s="91">
        <v>3714645</v>
      </c>
      <c r="C368" s="944">
        <f>IF(A368='Data Entry - SOF'!B$2,'Report-SOF1718'!D$102,0)</f>
        <v>0</v>
      </c>
      <c r="D368" s="1037">
        <f>IF(A368='Data Entry - SOF'!B$2,'Data Entry - SOF'!#REF!,0)</f>
        <v>0</v>
      </c>
      <c r="E368" s="91">
        <f t="shared" si="30"/>
        <v>3714645</v>
      </c>
      <c r="F368" s="944">
        <f>IF(A368='Data Entry - SOF'!B$2,'Report-SOF1819'!D$102,0)</f>
        <v>0</v>
      </c>
      <c r="G368" s="1037">
        <f>IF(A368='Data Entry - SOF'!B$2,'Data Entry - SOF'!E$102,0)</f>
        <v>0</v>
      </c>
      <c r="H368" s="1038">
        <f t="shared" si="32"/>
        <v>3714645</v>
      </c>
      <c r="I368" s="944">
        <f>IF(A368='Data Entry - SOF'!B$2,'Report-SOF1920-HB3'!D$102,0)</f>
        <v>0</v>
      </c>
      <c r="J368" s="1037">
        <f>IF(A368='Data Entry - SOF'!B$2,'Data Entry - SOF'!G$102,0)</f>
        <v>0</v>
      </c>
      <c r="K368" s="717">
        <f t="shared" si="33"/>
        <v>3714645</v>
      </c>
      <c r="L368" s="944">
        <f>IF(A368='Data Entry - SOF'!B$2,'Report-SOF2021'!D$99,0)</f>
        <v>0</v>
      </c>
      <c r="M368" s="723">
        <f>IF(A368='Data Entry - SOF'!B$2,'Data Entry - SOF'!M$102,0)</f>
        <v>0</v>
      </c>
      <c r="N368" s="717">
        <f t="shared" si="34"/>
        <v>3714645</v>
      </c>
      <c r="O368" s="944">
        <f>IF(A368='Data Entry - SOF'!B$2,'Report-SOF2122'!D$91,0)</f>
        <v>0</v>
      </c>
      <c r="P368" s="723">
        <f>IF(A368='Data Entry - SOF'!B$2,'Data Entry - SOF'!O$102,0)</f>
        <v>0</v>
      </c>
      <c r="Q368" s="601">
        <f t="shared" si="31"/>
        <v>3714645</v>
      </c>
      <c r="R368" s="944">
        <f>IF(A368='Data Entry - SOF'!B$2,'Report-SOF2223'!D$91,0)</f>
        <v>0</v>
      </c>
      <c r="S368" s="723">
        <f>IF(A368='Data Entry - SOF'!B$2,'Data Entry - SOF'!Q$102,0)</f>
        <v>0</v>
      </c>
      <c r="T368" s="601">
        <f t="shared" si="35"/>
        <v>3714645</v>
      </c>
      <c r="U368" s="944">
        <f>IF(A368='Data Entry - SOF'!B$2,'Report-SOF2324'!D$91,0)</f>
        <v>0</v>
      </c>
      <c r="V368" s="723">
        <f>IF(A368='Data Entry - SOF'!B$2,'Data Entry - SOF'!S$102,0)</f>
        <v>0</v>
      </c>
    </row>
    <row r="369" spans="1:22" ht="15.75">
      <c r="A369" s="382" t="s">
        <v>1288</v>
      </c>
      <c r="B369" s="91">
        <v>15931233</v>
      </c>
      <c r="C369" s="944">
        <f>IF(A369='Data Entry - SOF'!B$2,'Report-SOF1718'!D$102,0)</f>
        <v>0</v>
      </c>
      <c r="D369" s="1037">
        <f>IF(A369='Data Entry - SOF'!B$2,'Data Entry - SOF'!#REF!,0)</f>
        <v>0</v>
      </c>
      <c r="E369" s="91">
        <f t="shared" si="30"/>
        <v>15931233</v>
      </c>
      <c r="F369" s="944">
        <f>IF(A369='Data Entry - SOF'!B$2,'Report-SOF1819'!D$102,0)</f>
        <v>0</v>
      </c>
      <c r="G369" s="1037">
        <f>IF(A369='Data Entry - SOF'!B$2,'Data Entry - SOF'!E$102,0)</f>
        <v>0</v>
      </c>
      <c r="H369" s="1038">
        <f t="shared" si="32"/>
        <v>15931233</v>
      </c>
      <c r="I369" s="944">
        <f>IF(A369='Data Entry - SOF'!B$2,'Report-SOF1920-HB3'!D$102,0)</f>
        <v>0</v>
      </c>
      <c r="J369" s="1037">
        <f>IF(A369='Data Entry - SOF'!B$2,'Data Entry - SOF'!G$102,0)</f>
        <v>0</v>
      </c>
      <c r="K369" s="717">
        <f t="shared" si="33"/>
        <v>15931233</v>
      </c>
      <c r="L369" s="944">
        <f>IF(A369='Data Entry - SOF'!B$2,'Report-SOF2021'!D$99,0)</f>
        <v>0</v>
      </c>
      <c r="M369" s="723">
        <f>IF(A369='Data Entry - SOF'!B$2,'Data Entry - SOF'!M$102,0)</f>
        <v>0</v>
      </c>
      <c r="N369" s="717">
        <f t="shared" si="34"/>
        <v>15931233</v>
      </c>
      <c r="O369" s="944">
        <f>IF(A369='Data Entry - SOF'!B$2,'Report-SOF2122'!D$91,0)</f>
        <v>0</v>
      </c>
      <c r="P369" s="723">
        <f>IF(A369='Data Entry - SOF'!B$2,'Data Entry - SOF'!O$102,0)</f>
        <v>0</v>
      </c>
      <c r="Q369" s="601">
        <f t="shared" si="31"/>
        <v>15931233</v>
      </c>
      <c r="R369" s="944">
        <f>IF(A369='Data Entry - SOF'!B$2,'Report-SOF2223'!D$91,0)</f>
        <v>0</v>
      </c>
      <c r="S369" s="723">
        <f>IF(A369='Data Entry - SOF'!B$2,'Data Entry - SOF'!Q$102,0)</f>
        <v>0</v>
      </c>
      <c r="T369" s="601">
        <f t="shared" si="35"/>
        <v>15931233</v>
      </c>
      <c r="U369" s="944">
        <f>IF(A369='Data Entry - SOF'!B$2,'Report-SOF2324'!D$91,0)</f>
        <v>0</v>
      </c>
      <c r="V369" s="723">
        <f>IF(A369='Data Entry - SOF'!B$2,'Data Entry - SOF'!S$102,0)</f>
        <v>0</v>
      </c>
    </row>
    <row r="370" spans="1:22" ht="15.75">
      <c r="A370" s="382" t="s">
        <v>457</v>
      </c>
      <c r="B370" s="91">
        <v>117447376</v>
      </c>
      <c r="C370" s="944">
        <f>IF(A370='Data Entry - SOF'!B$2,'Report-SOF1718'!D$102,0)</f>
        <v>0</v>
      </c>
      <c r="D370" s="1037">
        <f>IF(A370='Data Entry - SOF'!B$2,'Data Entry - SOF'!#REF!,0)</f>
        <v>0</v>
      </c>
      <c r="E370" s="91">
        <f t="shared" si="30"/>
        <v>117447376</v>
      </c>
      <c r="F370" s="944">
        <f>IF(A370='Data Entry - SOF'!B$2,'Report-SOF1819'!D$102,0)</f>
        <v>0</v>
      </c>
      <c r="G370" s="1037">
        <f>IF(A370='Data Entry - SOF'!B$2,'Data Entry - SOF'!E$102,0)</f>
        <v>0</v>
      </c>
      <c r="H370" s="1038">
        <f t="shared" si="32"/>
        <v>117447376</v>
      </c>
      <c r="I370" s="944">
        <f>IF(A370='Data Entry - SOF'!B$2,'Report-SOF1920-HB3'!D$102,0)</f>
        <v>0</v>
      </c>
      <c r="J370" s="1037">
        <f>IF(A370='Data Entry - SOF'!B$2,'Data Entry - SOF'!G$102,0)</f>
        <v>0</v>
      </c>
      <c r="K370" s="717">
        <f t="shared" si="33"/>
        <v>117447376</v>
      </c>
      <c r="L370" s="944">
        <f>IF(A370='Data Entry - SOF'!B$2,'Report-SOF2021'!D$99,0)</f>
        <v>0</v>
      </c>
      <c r="M370" s="723">
        <f>IF(A370='Data Entry - SOF'!B$2,'Data Entry - SOF'!M$102,0)</f>
        <v>0</v>
      </c>
      <c r="N370" s="717">
        <f t="shared" si="34"/>
        <v>117447376</v>
      </c>
      <c r="O370" s="944">
        <f>IF(A370='Data Entry - SOF'!B$2,'Report-SOF2122'!D$91,0)</f>
        <v>0</v>
      </c>
      <c r="P370" s="723">
        <f>IF(A370='Data Entry - SOF'!B$2,'Data Entry - SOF'!O$102,0)</f>
        <v>0</v>
      </c>
      <c r="Q370" s="601">
        <f t="shared" si="31"/>
        <v>117447376</v>
      </c>
      <c r="R370" s="944">
        <f>IF(A370='Data Entry - SOF'!B$2,'Report-SOF2223'!D$91,0)</f>
        <v>0</v>
      </c>
      <c r="S370" s="723">
        <f>IF(A370='Data Entry - SOF'!B$2,'Data Entry - SOF'!Q$102,0)</f>
        <v>0</v>
      </c>
      <c r="T370" s="601">
        <f t="shared" si="35"/>
        <v>117447376</v>
      </c>
      <c r="U370" s="944">
        <f>IF(A370='Data Entry - SOF'!B$2,'Report-SOF2324'!D$91,0)</f>
        <v>0</v>
      </c>
      <c r="V370" s="723">
        <f>IF(A370='Data Entry - SOF'!B$2,'Data Entry - SOF'!S$102,0)</f>
        <v>0</v>
      </c>
    </row>
    <row r="371" spans="1:22" ht="15.75">
      <c r="A371" s="382" t="s">
        <v>2189</v>
      </c>
      <c r="B371" s="91">
        <v>18260649</v>
      </c>
      <c r="C371" s="944">
        <f>IF(A371='Data Entry - SOF'!B$2,'Report-SOF1718'!D$102,0)</f>
        <v>0</v>
      </c>
      <c r="D371" s="1037">
        <f>IF(A371='Data Entry - SOF'!B$2,'Data Entry - SOF'!#REF!,0)</f>
        <v>0</v>
      </c>
      <c r="E371" s="91">
        <f t="shared" si="30"/>
        <v>18260649</v>
      </c>
      <c r="F371" s="944">
        <f>IF(A371='Data Entry - SOF'!B$2,'Report-SOF1819'!D$102,0)</f>
        <v>0</v>
      </c>
      <c r="G371" s="1037">
        <f>IF(A371='Data Entry - SOF'!B$2,'Data Entry - SOF'!E$102,0)</f>
        <v>0</v>
      </c>
      <c r="H371" s="1038">
        <f t="shared" si="32"/>
        <v>18260649</v>
      </c>
      <c r="I371" s="944">
        <f>IF(A371='Data Entry - SOF'!B$2,'Report-SOF1920-HB3'!D$102,0)</f>
        <v>0</v>
      </c>
      <c r="J371" s="1037">
        <f>IF(A371='Data Entry - SOF'!B$2,'Data Entry - SOF'!G$102,0)</f>
        <v>0</v>
      </c>
      <c r="K371" s="717">
        <f t="shared" si="33"/>
        <v>18260649</v>
      </c>
      <c r="L371" s="944">
        <f>IF(A371='Data Entry - SOF'!B$2,'Report-SOF2021'!D$99,0)</f>
        <v>0</v>
      </c>
      <c r="M371" s="723">
        <f>IF(A371='Data Entry - SOF'!B$2,'Data Entry - SOF'!M$102,0)</f>
        <v>0</v>
      </c>
      <c r="N371" s="717">
        <f t="shared" si="34"/>
        <v>18260649</v>
      </c>
      <c r="O371" s="944">
        <f>IF(A371='Data Entry - SOF'!B$2,'Report-SOF2122'!D$91,0)</f>
        <v>0</v>
      </c>
      <c r="P371" s="723">
        <f>IF(A371='Data Entry - SOF'!B$2,'Data Entry - SOF'!O$102,0)</f>
        <v>0</v>
      </c>
      <c r="Q371" s="601">
        <f t="shared" si="31"/>
        <v>18260649</v>
      </c>
      <c r="R371" s="944">
        <f>IF(A371='Data Entry - SOF'!B$2,'Report-SOF2223'!D$91,0)</f>
        <v>0</v>
      </c>
      <c r="S371" s="723">
        <f>IF(A371='Data Entry - SOF'!B$2,'Data Entry - SOF'!Q$102,0)</f>
        <v>0</v>
      </c>
      <c r="T371" s="601">
        <f t="shared" si="35"/>
        <v>18260649</v>
      </c>
      <c r="U371" s="944">
        <f>IF(A371='Data Entry - SOF'!B$2,'Report-SOF2324'!D$91,0)</f>
        <v>0</v>
      </c>
      <c r="V371" s="723">
        <f>IF(A371='Data Entry - SOF'!B$2,'Data Entry - SOF'!S$102,0)</f>
        <v>0</v>
      </c>
    </row>
    <row r="372" spans="1:22" ht="15.75">
      <c r="A372" s="382" t="s">
        <v>2639</v>
      </c>
      <c r="B372" s="91">
        <v>3105188</v>
      </c>
      <c r="C372" s="944">
        <f>IF(A372='Data Entry - SOF'!B$2,'Report-SOF1718'!D$102,0)</f>
        <v>0</v>
      </c>
      <c r="D372" s="1037">
        <f>IF(A372='Data Entry - SOF'!B$2,'Data Entry - SOF'!#REF!,0)</f>
        <v>0</v>
      </c>
      <c r="E372" s="91">
        <f t="shared" si="30"/>
        <v>3105188</v>
      </c>
      <c r="F372" s="944">
        <f>IF(A372='Data Entry - SOF'!B$2,'Report-SOF1819'!D$102,0)</f>
        <v>0</v>
      </c>
      <c r="G372" s="1037">
        <f>IF(A372='Data Entry - SOF'!B$2,'Data Entry - SOF'!E$102,0)</f>
        <v>0</v>
      </c>
      <c r="H372" s="1038">
        <f t="shared" si="32"/>
        <v>3105188</v>
      </c>
      <c r="I372" s="944">
        <f>IF(A372='Data Entry - SOF'!B$2,'Report-SOF1920-HB3'!D$102,0)</f>
        <v>0</v>
      </c>
      <c r="J372" s="1037">
        <f>IF(A372='Data Entry - SOF'!B$2,'Data Entry - SOF'!G$102,0)</f>
        <v>0</v>
      </c>
      <c r="K372" s="717">
        <f t="shared" si="33"/>
        <v>3105188</v>
      </c>
      <c r="L372" s="944">
        <f>IF(A372='Data Entry - SOF'!B$2,'Report-SOF2021'!D$99,0)</f>
        <v>0</v>
      </c>
      <c r="M372" s="723">
        <f>IF(A372='Data Entry - SOF'!B$2,'Data Entry - SOF'!M$102,0)</f>
        <v>0</v>
      </c>
      <c r="N372" s="717">
        <f t="shared" si="34"/>
        <v>3105188</v>
      </c>
      <c r="O372" s="944">
        <f>IF(A372='Data Entry - SOF'!B$2,'Report-SOF2122'!D$91,0)</f>
        <v>0</v>
      </c>
      <c r="P372" s="723">
        <f>IF(A372='Data Entry - SOF'!B$2,'Data Entry - SOF'!O$102,0)</f>
        <v>0</v>
      </c>
      <c r="Q372" s="601">
        <f t="shared" si="31"/>
        <v>3105188</v>
      </c>
      <c r="R372" s="944">
        <f>IF(A372='Data Entry - SOF'!B$2,'Report-SOF2223'!D$91,0)</f>
        <v>0</v>
      </c>
      <c r="S372" s="723">
        <f>IF(A372='Data Entry - SOF'!B$2,'Data Entry - SOF'!Q$102,0)</f>
        <v>0</v>
      </c>
      <c r="T372" s="601">
        <f t="shared" si="35"/>
        <v>3105188</v>
      </c>
      <c r="U372" s="944">
        <f>IF(A372='Data Entry - SOF'!B$2,'Report-SOF2324'!D$91,0)</f>
        <v>0</v>
      </c>
      <c r="V372" s="723">
        <f>IF(A372='Data Entry - SOF'!B$2,'Data Entry - SOF'!S$102,0)</f>
        <v>0</v>
      </c>
    </row>
    <row r="373" spans="1:22" ht="15.75">
      <c r="A373" s="382" t="s">
        <v>1509</v>
      </c>
      <c r="B373" s="91">
        <v>2576529</v>
      </c>
      <c r="C373" s="944">
        <f>IF(A373='Data Entry - SOF'!B$2,'Report-SOF1718'!D$102,0)</f>
        <v>0</v>
      </c>
      <c r="D373" s="1037">
        <f>IF(A373='Data Entry - SOF'!B$2,'Data Entry - SOF'!#REF!,0)</f>
        <v>0</v>
      </c>
      <c r="E373" s="91">
        <f t="shared" si="30"/>
        <v>2576529</v>
      </c>
      <c r="F373" s="944">
        <f>IF(A373='Data Entry - SOF'!B$2,'Report-SOF1819'!D$102,0)</f>
        <v>0</v>
      </c>
      <c r="G373" s="1037">
        <f>IF(A373='Data Entry - SOF'!B$2,'Data Entry - SOF'!E$102,0)</f>
        <v>0</v>
      </c>
      <c r="H373" s="1038">
        <f t="shared" si="32"/>
        <v>2576529</v>
      </c>
      <c r="I373" s="944">
        <f>IF(A373='Data Entry - SOF'!B$2,'Report-SOF1920-HB3'!D$102,0)</f>
        <v>0</v>
      </c>
      <c r="J373" s="1037">
        <f>IF(A373='Data Entry - SOF'!B$2,'Data Entry - SOF'!G$102,0)</f>
        <v>0</v>
      </c>
      <c r="K373" s="717">
        <f t="shared" si="33"/>
        <v>2576529</v>
      </c>
      <c r="L373" s="944">
        <f>IF(A373='Data Entry - SOF'!B$2,'Report-SOF2021'!D$99,0)</f>
        <v>0</v>
      </c>
      <c r="M373" s="723">
        <f>IF(A373='Data Entry - SOF'!B$2,'Data Entry - SOF'!M$102,0)</f>
        <v>0</v>
      </c>
      <c r="N373" s="717">
        <f t="shared" si="34"/>
        <v>2576529</v>
      </c>
      <c r="O373" s="944">
        <f>IF(A373='Data Entry - SOF'!B$2,'Report-SOF2122'!D$91,0)</f>
        <v>0</v>
      </c>
      <c r="P373" s="723">
        <f>IF(A373='Data Entry - SOF'!B$2,'Data Entry - SOF'!O$102,0)</f>
        <v>0</v>
      </c>
      <c r="Q373" s="601">
        <f t="shared" si="31"/>
        <v>2576529</v>
      </c>
      <c r="R373" s="944">
        <f>IF(A373='Data Entry - SOF'!B$2,'Report-SOF2223'!D$91,0)</f>
        <v>0</v>
      </c>
      <c r="S373" s="723">
        <f>IF(A373='Data Entry - SOF'!B$2,'Data Entry - SOF'!Q$102,0)</f>
        <v>0</v>
      </c>
      <c r="T373" s="601">
        <f t="shared" si="35"/>
        <v>2576529</v>
      </c>
      <c r="U373" s="944">
        <f>IF(A373='Data Entry - SOF'!B$2,'Report-SOF2324'!D$91,0)</f>
        <v>0</v>
      </c>
      <c r="V373" s="723">
        <f>IF(A373='Data Entry - SOF'!B$2,'Data Entry - SOF'!S$102,0)</f>
        <v>0</v>
      </c>
    </row>
    <row r="374" spans="1:22" ht="15.75">
      <c r="A374" s="382" t="s">
        <v>2640</v>
      </c>
      <c r="B374" s="91">
        <v>2021621</v>
      </c>
      <c r="C374" s="944">
        <f>IF(A374='Data Entry - SOF'!B$2,'Report-SOF1718'!D$102,0)</f>
        <v>0</v>
      </c>
      <c r="D374" s="1037">
        <f>IF(A374='Data Entry - SOF'!B$2,'Data Entry - SOF'!#REF!,0)</f>
        <v>0</v>
      </c>
      <c r="E374" s="91">
        <f t="shared" si="30"/>
        <v>2021621</v>
      </c>
      <c r="F374" s="944">
        <f>IF(A374='Data Entry - SOF'!B$2,'Report-SOF1819'!D$102,0)</f>
        <v>0</v>
      </c>
      <c r="G374" s="1037">
        <f>IF(A374='Data Entry - SOF'!B$2,'Data Entry - SOF'!E$102,0)</f>
        <v>0</v>
      </c>
      <c r="H374" s="1038">
        <f t="shared" si="32"/>
        <v>2021621</v>
      </c>
      <c r="I374" s="944">
        <f>IF(A374='Data Entry - SOF'!B$2,'Report-SOF1920-HB3'!D$102,0)</f>
        <v>0</v>
      </c>
      <c r="J374" s="1037">
        <f>IF(A374='Data Entry - SOF'!B$2,'Data Entry - SOF'!G$102,0)</f>
        <v>0</v>
      </c>
      <c r="K374" s="717">
        <f t="shared" si="33"/>
        <v>2021621</v>
      </c>
      <c r="L374" s="944">
        <f>IF(A374='Data Entry - SOF'!B$2,'Report-SOF2021'!D$99,0)</f>
        <v>0</v>
      </c>
      <c r="M374" s="723">
        <f>IF(A374='Data Entry - SOF'!B$2,'Data Entry - SOF'!M$102,0)</f>
        <v>0</v>
      </c>
      <c r="N374" s="717">
        <f t="shared" si="34"/>
        <v>2021621</v>
      </c>
      <c r="O374" s="944">
        <f>IF(A374='Data Entry - SOF'!B$2,'Report-SOF2122'!D$91,0)</f>
        <v>0</v>
      </c>
      <c r="P374" s="723">
        <f>IF(A374='Data Entry - SOF'!B$2,'Data Entry - SOF'!O$102,0)</f>
        <v>0</v>
      </c>
      <c r="Q374" s="601">
        <f t="shared" si="31"/>
        <v>2021621</v>
      </c>
      <c r="R374" s="944">
        <f>IF(A374='Data Entry - SOF'!B$2,'Report-SOF2223'!D$91,0)</f>
        <v>0</v>
      </c>
      <c r="S374" s="723">
        <f>IF(A374='Data Entry - SOF'!B$2,'Data Entry - SOF'!Q$102,0)</f>
        <v>0</v>
      </c>
      <c r="T374" s="601">
        <f t="shared" si="35"/>
        <v>2021621</v>
      </c>
      <c r="U374" s="944">
        <f>IF(A374='Data Entry - SOF'!B$2,'Report-SOF2324'!D$91,0)</f>
        <v>0</v>
      </c>
      <c r="V374" s="723">
        <f>IF(A374='Data Entry - SOF'!B$2,'Data Entry - SOF'!S$102,0)</f>
        <v>0</v>
      </c>
    </row>
    <row r="375" spans="1:22" ht="15.75">
      <c r="A375" s="382" t="s">
        <v>2641</v>
      </c>
      <c r="B375" s="91">
        <v>14645363</v>
      </c>
      <c r="C375" s="944">
        <f>IF(A375='Data Entry - SOF'!B$2,'Report-SOF1718'!D$102,0)</f>
        <v>0</v>
      </c>
      <c r="D375" s="1037">
        <f>IF(A375='Data Entry - SOF'!B$2,'Data Entry - SOF'!#REF!,0)</f>
        <v>0</v>
      </c>
      <c r="E375" s="91">
        <f t="shared" si="30"/>
        <v>14645363</v>
      </c>
      <c r="F375" s="944">
        <f>IF(A375='Data Entry - SOF'!B$2,'Report-SOF1819'!D$102,0)</f>
        <v>0</v>
      </c>
      <c r="G375" s="1037">
        <f>IF(A375='Data Entry - SOF'!B$2,'Data Entry - SOF'!E$102,0)</f>
        <v>0</v>
      </c>
      <c r="H375" s="1038">
        <f t="shared" si="32"/>
        <v>14645363</v>
      </c>
      <c r="I375" s="944">
        <f>IF(A375='Data Entry - SOF'!B$2,'Report-SOF1920-HB3'!D$102,0)</f>
        <v>0</v>
      </c>
      <c r="J375" s="1037">
        <f>IF(A375='Data Entry - SOF'!B$2,'Data Entry - SOF'!G$102,0)</f>
        <v>0</v>
      </c>
      <c r="K375" s="717">
        <f t="shared" si="33"/>
        <v>14645363</v>
      </c>
      <c r="L375" s="944">
        <f>IF(A375='Data Entry - SOF'!B$2,'Report-SOF2021'!D$99,0)</f>
        <v>0</v>
      </c>
      <c r="M375" s="723">
        <f>IF(A375='Data Entry - SOF'!B$2,'Data Entry - SOF'!M$102,0)</f>
        <v>0</v>
      </c>
      <c r="N375" s="717">
        <f t="shared" si="34"/>
        <v>14645363</v>
      </c>
      <c r="O375" s="944">
        <f>IF(A375='Data Entry - SOF'!B$2,'Report-SOF2122'!D$91,0)</f>
        <v>0</v>
      </c>
      <c r="P375" s="723">
        <f>IF(A375='Data Entry - SOF'!B$2,'Data Entry - SOF'!O$102,0)</f>
        <v>0</v>
      </c>
      <c r="Q375" s="601">
        <f t="shared" si="31"/>
        <v>14645363</v>
      </c>
      <c r="R375" s="944">
        <f>IF(A375='Data Entry - SOF'!B$2,'Report-SOF2223'!D$91,0)</f>
        <v>0</v>
      </c>
      <c r="S375" s="723">
        <f>IF(A375='Data Entry - SOF'!B$2,'Data Entry - SOF'!Q$102,0)</f>
        <v>0</v>
      </c>
      <c r="T375" s="601">
        <f t="shared" si="35"/>
        <v>14645363</v>
      </c>
      <c r="U375" s="944">
        <f>IF(A375='Data Entry - SOF'!B$2,'Report-SOF2324'!D$91,0)</f>
        <v>0</v>
      </c>
      <c r="V375" s="723">
        <f>IF(A375='Data Entry - SOF'!B$2,'Data Entry - SOF'!S$102,0)</f>
        <v>0</v>
      </c>
    </row>
    <row r="376" spans="1:22" ht="15.75">
      <c r="A376" s="382" t="s">
        <v>2642</v>
      </c>
      <c r="B376" s="91">
        <v>4810870</v>
      </c>
      <c r="C376" s="944">
        <f>IF(A376='Data Entry - SOF'!B$2,'Report-SOF1718'!D$102,0)</f>
        <v>0</v>
      </c>
      <c r="D376" s="1037">
        <f>IF(A376='Data Entry - SOF'!B$2,'Data Entry - SOF'!#REF!,0)</f>
        <v>0</v>
      </c>
      <c r="E376" s="91">
        <f t="shared" si="30"/>
        <v>4810870</v>
      </c>
      <c r="F376" s="944">
        <f>IF(A376='Data Entry - SOF'!B$2,'Report-SOF1819'!D$102,0)</f>
        <v>0</v>
      </c>
      <c r="G376" s="1037">
        <f>IF(A376='Data Entry - SOF'!B$2,'Data Entry - SOF'!E$102,0)</f>
        <v>0</v>
      </c>
      <c r="H376" s="1038">
        <f t="shared" si="32"/>
        <v>4810870</v>
      </c>
      <c r="I376" s="944">
        <f>IF(A376='Data Entry - SOF'!B$2,'Report-SOF1920-HB3'!D$102,0)</f>
        <v>0</v>
      </c>
      <c r="J376" s="1037">
        <f>IF(A376='Data Entry - SOF'!B$2,'Data Entry - SOF'!G$102,0)</f>
        <v>0</v>
      </c>
      <c r="K376" s="717">
        <f t="shared" si="33"/>
        <v>4810870</v>
      </c>
      <c r="L376" s="944">
        <f>IF(A376='Data Entry - SOF'!B$2,'Report-SOF2021'!D$99,0)</f>
        <v>0</v>
      </c>
      <c r="M376" s="723">
        <f>IF(A376='Data Entry - SOF'!B$2,'Data Entry - SOF'!M$102,0)</f>
        <v>0</v>
      </c>
      <c r="N376" s="717">
        <f t="shared" si="34"/>
        <v>4810870</v>
      </c>
      <c r="O376" s="944">
        <f>IF(A376='Data Entry - SOF'!B$2,'Report-SOF2122'!D$91,0)</f>
        <v>0</v>
      </c>
      <c r="P376" s="723">
        <f>IF(A376='Data Entry - SOF'!B$2,'Data Entry - SOF'!O$102,0)</f>
        <v>0</v>
      </c>
      <c r="Q376" s="601">
        <f t="shared" si="31"/>
        <v>4810870</v>
      </c>
      <c r="R376" s="944">
        <f>IF(A376='Data Entry - SOF'!B$2,'Report-SOF2223'!D$91,0)</f>
        <v>0</v>
      </c>
      <c r="S376" s="723">
        <f>IF(A376='Data Entry - SOF'!B$2,'Data Entry - SOF'!Q$102,0)</f>
        <v>0</v>
      </c>
      <c r="T376" s="601">
        <f t="shared" si="35"/>
        <v>4810870</v>
      </c>
      <c r="U376" s="944">
        <f>IF(A376='Data Entry - SOF'!B$2,'Report-SOF2324'!D$91,0)</f>
        <v>0</v>
      </c>
      <c r="V376" s="723">
        <f>IF(A376='Data Entry - SOF'!B$2,'Data Entry - SOF'!S$102,0)</f>
        <v>0</v>
      </c>
    </row>
    <row r="377" spans="1:22" ht="15.75">
      <c r="A377" s="382" t="s">
        <v>2643</v>
      </c>
      <c r="B377" s="91">
        <v>12647626</v>
      </c>
      <c r="C377" s="944">
        <f>IF(A377='Data Entry - SOF'!B$2,'Report-SOF1718'!D$102,0)</f>
        <v>0</v>
      </c>
      <c r="D377" s="1037">
        <f>IF(A377='Data Entry - SOF'!B$2,'Data Entry - SOF'!#REF!,0)</f>
        <v>0</v>
      </c>
      <c r="E377" s="91">
        <f t="shared" si="30"/>
        <v>12647626</v>
      </c>
      <c r="F377" s="944">
        <f>IF(A377='Data Entry - SOF'!B$2,'Report-SOF1819'!D$102,0)</f>
        <v>0</v>
      </c>
      <c r="G377" s="1037">
        <f>IF(A377='Data Entry - SOF'!B$2,'Data Entry - SOF'!E$102,0)</f>
        <v>0</v>
      </c>
      <c r="H377" s="1038">
        <f t="shared" si="32"/>
        <v>12647626</v>
      </c>
      <c r="I377" s="944">
        <f>IF(A377='Data Entry - SOF'!B$2,'Report-SOF1920-HB3'!D$102,0)</f>
        <v>0</v>
      </c>
      <c r="J377" s="1037">
        <f>IF(A377='Data Entry - SOF'!B$2,'Data Entry - SOF'!G$102,0)</f>
        <v>0</v>
      </c>
      <c r="K377" s="717">
        <f t="shared" si="33"/>
        <v>12647626</v>
      </c>
      <c r="L377" s="944">
        <f>IF(A377='Data Entry - SOF'!B$2,'Report-SOF2021'!D$99,0)</f>
        <v>0</v>
      </c>
      <c r="M377" s="723">
        <f>IF(A377='Data Entry - SOF'!B$2,'Data Entry - SOF'!M$102,0)</f>
        <v>0</v>
      </c>
      <c r="N377" s="717">
        <f t="shared" si="34"/>
        <v>12647626</v>
      </c>
      <c r="O377" s="944">
        <f>IF(A377='Data Entry - SOF'!B$2,'Report-SOF2122'!D$91,0)</f>
        <v>0</v>
      </c>
      <c r="P377" s="723">
        <f>IF(A377='Data Entry - SOF'!B$2,'Data Entry - SOF'!O$102,0)</f>
        <v>0</v>
      </c>
      <c r="Q377" s="601">
        <f t="shared" si="31"/>
        <v>12647626</v>
      </c>
      <c r="R377" s="944">
        <f>IF(A377='Data Entry - SOF'!B$2,'Report-SOF2223'!D$91,0)</f>
        <v>0</v>
      </c>
      <c r="S377" s="723">
        <f>IF(A377='Data Entry - SOF'!B$2,'Data Entry - SOF'!Q$102,0)</f>
        <v>0</v>
      </c>
      <c r="T377" s="601">
        <f t="shared" si="35"/>
        <v>12647626</v>
      </c>
      <c r="U377" s="944">
        <f>IF(A377='Data Entry - SOF'!B$2,'Report-SOF2324'!D$91,0)</f>
        <v>0</v>
      </c>
      <c r="V377" s="723">
        <f>IF(A377='Data Entry - SOF'!B$2,'Data Entry - SOF'!S$102,0)</f>
        <v>0</v>
      </c>
    </row>
    <row r="378" spans="1:22" ht="15.75">
      <c r="A378" s="382" t="s">
        <v>2142</v>
      </c>
      <c r="B378" s="91">
        <v>719496</v>
      </c>
      <c r="C378" s="944">
        <f>IF(A378='Data Entry - SOF'!B$2,'Report-SOF1718'!D$102,0)</f>
        <v>0</v>
      </c>
      <c r="D378" s="1037">
        <f>IF(A378='Data Entry - SOF'!B$2,'Data Entry - SOF'!#REF!,0)</f>
        <v>0</v>
      </c>
      <c r="E378" s="91">
        <f t="shared" si="30"/>
        <v>719496</v>
      </c>
      <c r="F378" s="944">
        <f>IF(A378='Data Entry - SOF'!B$2,'Report-SOF1819'!D$102,0)</f>
        <v>0</v>
      </c>
      <c r="G378" s="1037">
        <f>IF(A378='Data Entry - SOF'!B$2,'Data Entry - SOF'!E$102,0)</f>
        <v>0</v>
      </c>
      <c r="H378" s="1038">
        <f t="shared" si="32"/>
        <v>719496</v>
      </c>
      <c r="I378" s="944">
        <f>IF(A378='Data Entry - SOF'!B$2,'Report-SOF1920-HB3'!D$102,0)</f>
        <v>0</v>
      </c>
      <c r="J378" s="1037">
        <f>IF(A378='Data Entry - SOF'!B$2,'Data Entry - SOF'!G$102,0)</f>
        <v>0</v>
      </c>
      <c r="K378" s="717">
        <f t="shared" si="33"/>
        <v>719496</v>
      </c>
      <c r="L378" s="944">
        <f>IF(A378='Data Entry - SOF'!B$2,'Report-SOF2021'!D$99,0)</f>
        <v>0</v>
      </c>
      <c r="M378" s="723">
        <f>IF(A378='Data Entry - SOF'!B$2,'Data Entry - SOF'!M$102,0)</f>
        <v>0</v>
      </c>
      <c r="N378" s="717">
        <f t="shared" si="34"/>
        <v>719496</v>
      </c>
      <c r="O378" s="944">
        <f>IF(A378='Data Entry - SOF'!B$2,'Report-SOF2122'!D$91,0)</f>
        <v>0</v>
      </c>
      <c r="P378" s="723">
        <f>IF(A378='Data Entry - SOF'!B$2,'Data Entry - SOF'!O$102,0)</f>
        <v>0</v>
      </c>
      <c r="Q378" s="601">
        <f t="shared" si="31"/>
        <v>719496</v>
      </c>
      <c r="R378" s="944">
        <f>IF(A378='Data Entry - SOF'!B$2,'Report-SOF2223'!D$91,0)</f>
        <v>0</v>
      </c>
      <c r="S378" s="723">
        <f>IF(A378='Data Entry - SOF'!B$2,'Data Entry - SOF'!Q$102,0)</f>
        <v>0</v>
      </c>
      <c r="T378" s="601">
        <f t="shared" si="35"/>
        <v>719496</v>
      </c>
      <c r="U378" s="944">
        <f>IF(A378='Data Entry - SOF'!B$2,'Report-SOF2324'!D$91,0)</f>
        <v>0</v>
      </c>
      <c r="V378" s="723">
        <f>IF(A378='Data Entry - SOF'!B$2,'Data Entry - SOF'!S$102,0)</f>
        <v>0</v>
      </c>
    </row>
    <row r="379" spans="1:22" ht="15.75">
      <c r="A379" s="382" t="s">
        <v>495</v>
      </c>
      <c r="B379" s="91">
        <v>34030960</v>
      </c>
      <c r="C379" s="944">
        <f>IF(A379='Data Entry - SOF'!B$2,'Report-SOF1718'!D$102,0)</f>
        <v>0</v>
      </c>
      <c r="D379" s="1037">
        <f>IF(A379='Data Entry - SOF'!B$2,'Data Entry - SOF'!#REF!,0)</f>
        <v>0</v>
      </c>
      <c r="E379" s="91">
        <f t="shared" si="30"/>
        <v>34030960</v>
      </c>
      <c r="F379" s="944">
        <f>IF(A379='Data Entry - SOF'!B$2,'Report-SOF1819'!D$102,0)</f>
        <v>0</v>
      </c>
      <c r="G379" s="1037">
        <f>IF(A379='Data Entry - SOF'!B$2,'Data Entry - SOF'!E$102,0)</f>
        <v>0</v>
      </c>
      <c r="H379" s="1038">
        <f t="shared" si="32"/>
        <v>34030960</v>
      </c>
      <c r="I379" s="944">
        <f>IF(A379='Data Entry - SOF'!B$2,'Report-SOF1920-HB3'!D$102,0)</f>
        <v>0</v>
      </c>
      <c r="J379" s="1037">
        <f>IF(A379='Data Entry - SOF'!B$2,'Data Entry - SOF'!G$102,0)</f>
        <v>0</v>
      </c>
      <c r="K379" s="717">
        <f t="shared" si="33"/>
        <v>34030960</v>
      </c>
      <c r="L379" s="944">
        <f>IF(A379='Data Entry - SOF'!B$2,'Report-SOF2021'!D$99,0)</f>
        <v>0</v>
      </c>
      <c r="M379" s="723">
        <f>IF(A379='Data Entry - SOF'!B$2,'Data Entry - SOF'!M$102,0)</f>
        <v>0</v>
      </c>
      <c r="N379" s="717">
        <f t="shared" si="34"/>
        <v>34030960</v>
      </c>
      <c r="O379" s="944">
        <f>IF(A379='Data Entry - SOF'!B$2,'Report-SOF2122'!D$91,0)</f>
        <v>0</v>
      </c>
      <c r="P379" s="723">
        <f>IF(A379='Data Entry - SOF'!B$2,'Data Entry - SOF'!O$102,0)</f>
        <v>0</v>
      </c>
      <c r="Q379" s="601">
        <f t="shared" si="31"/>
        <v>34030960</v>
      </c>
      <c r="R379" s="944">
        <f>IF(A379='Data Entry - SOF'!B$2,'Report-SOF2223'!D$91,0)</f>
        <v>0</v>
      </c>
      <c r="S379" s="723">
        <f>IF(A379='Data Entry - SOF'!B$2,'Data Entry - SOF'!Q$102,0)</f>
        <v>0</v>
      </c>
      <c r="T379" s="601">
        <f t="shared" si="35"/>
        <v>34030960</v>
      </c>
      <c r="U379" s="944">
        <f>IF(A379='Data Entry - SOF'!B$2,'Report-SOF2324'!D$91,0)</f>
        <v>0</v>
      </c>
      <c r="V379" s="723">
        <f>IF(A379='Data Entry - SOF'!B$2,'Data Entry - SOF'!S$102,0)</f>
        <v>0</v>
      </c>
    </row>
    <row r="380" spans="1:22" ht="15.75">
      <c r="A380" s="382" t="s">
        <v>493</v>
      </c>
      <c r="B380" s="91">
        <v>61661019</v>
      </c>
      <c r="C380" s="944">
        <f>IF(A380='Data Entry - SOF'!B$2,'Report-SOF1718'!D$102,0)</f>
        <v>0</v>
      </c>
      <c r="D380" s="1037">
        <f>IF(A380='Data Entry - SOF'!B$2,'Data Entry - SOF'!#REF!,0)</f>
        <v>0</v>
      </c>
      <c r="E380" s="91">
        <f t="shared" si="30"/>
        <v>61661019</v>
      </c>
      <c r="F380" s="944">
        <f>IF(A380='Data Entry - SOF'!B$2,'Report-SOF1819'!D$102,0)</f>
        <v>0</v>
      </c>
      <c r="G380" s="1037">
        <f>IF(A380='Data Entry - SOF'!B$2,'Data Entry - SOF'!E$102,0)</f>
        <v>0</v>
      </c>
      <c r="H380" s="1038">
        <f t="shared" si="32"/>
        <v>61661019</v>
      </c>
      <c r="I380" s="944">
        <f>IF(A380='Data Entry - SOF'!B$2,'Report-SOF1920-HB3'!D$102,0)</f>
        <v>0</v>
      </c>
      <c r="J380" s="1037">
        <f>IF(A380='Data Entry - SOF'!B$2,'Data Entry - SOF'!G$102,0)</f>
        <v>0</v>
      </c>
      <c r="K380" s="717">
        <f t="shared" si="33"/>
        <v>61661019</v>
      </c>
      <c r="L380" s="944">
        <f>IF(A380='Data Entry - SOF'!B$2,'Report-SOF2021'!D$99,0)</f>
        <v>0</v>
      </c>
      <c r="M380" s="723">
        <f>IF(A380='Data Entry - SOF'!B$2,'Data Entry - SOF'!M$102,0)</f>
        <v>0</v>
      </c>
      <c r="N380" s="717">
        <f t="shared" si="34"/>
        <v>61661019</v>
      </c>
      <c r="O380" s="944">
        <f>IF(A380='Data Entry - SOF'!B$2,'Report-SOF2122'!D$91,0)</f>
        <v>0</v>
      </c>
      <c r="P380" s="723">
        <f>IF(A380='Data Entry - SOF'!B$2,'Data Entry - SOF'!O$102,0)</f>
        <v>0</v>
      </c>
      <c r="Q380" s="601">
        <f t="shared" si="31"/>
        <v>61661019</v>
      </c>
      <c r="R380" s="944">
        <f>IF(A380='Data Entry - SOF'!B$2,'Report-SOF2223'!D$91,0)</f>
        <v>0</v>
      </c>
      <c r="S380" s="723">
        <f>IF(A380='Data Entry - SOF'!B$2,'Data Entry - SOF'!Q$102,0)</f>
        <v>0</v>
      </c>
      <c r="T380" s="601">
        <f t="shared" si="35"/>
        <v>61661019</v>
      </c>
      <c r="U380" s="944">
        <f>IF(A380='Data Entry - SOF'!B$2,'Report-SOF2324'!D$91,0)</f>
        <v>0</v>
      </c>
      <c r="V380" s="723">
        <f>IF(A380='Data Entry - SOF'!B$2,'Data Entry - SOF'!S$102,0)</f>
        <v>0</v>
      </c>
    </row>
    <row r="381" spans="1:22" ht="15.75">
      <c r="A381" s="382" t="s">
        <v>2143</v>
      </c>
      <c r="B381" s="91">
        <v>9674366</v>
      </c>
      <c r="C381" s="944">
        <f>IF(A381='Data Entry - SOF'!B$2,'Report-SOF1718'!D$102,0)</f>
        <v>0</v>
      </c>
      <c r="D381" s="1037">
        <f>IF(A381='Data Entry - SOF'!B$2,'Data Entry - SOF'!#REF!,0)</f>
        <v>0</v>
      </c>
      <c r="E381" s="91">
        <f t="shared" si="30"/>
        <v>9674366</v>
      </c>
      <c r="F381" s="944">
        <f>IF(A381='Data Entry - SOF'!B$2,'Report-SOF1819'!D$102,0)</f>
        <v>0</v>
      </c>
      <c r="G381" s="1037">
        <f>IF(A381='Data Entry - SOF'!B$2,'Data Entry - SOF'!E$102,0)</f>
        <v>0</v>
      </c>
      <c r="H381" s="1038">
        <f t="shared" si="32"/>
        <v>9674366</v>
      </c>
      <c r="I381" s="944">
        <f>IF(A381='Data Entry - SOF'!B$2,'Report-SOF1920-HB3'!D$102,0)</f>
        <v>0</v>
      </c>
      <c r="J381" s="1037">
        <f>IF(A381='Data Entry - SOF'!B$2,'Data Entry - SOF'!G$102,0)</f>
        <v>0</v>
      </c>
      <c r="K381" s="717">
        <f t="shared" si="33"/>
        <v>9674366</v>
      </c>
      <c r="L381" s="944">
        <f>IF(A381='Data Entry - SOF'!B$2,'Report-SOF2021'!D$99,0)</f>
        <v>0</v>
      </c>
      <c r="M381" s="723">
        <f>IF(A381='Data Entry - SOF'!B$2,'Data Entry - SOF'!M$102,0)</f>
        <v>0</v>
      </c>
      <c r="N381" s="717">
        <f t="shared" si="34"/>
        <v>9674366</v>
      </c>
      <c r="O381" s="944">
        <f>IF(A381='Data Entry - SOF'!B$2,'Report-SOF2122'!D$91,0)</f>
        <v>0</v>
      </c>
      <c r="P381" s="723">
        <f>IF(A381='Data Entry - SOF'!B$2,'Data Entry - SOF'!O$102,0)</f>
        <v>0</v>
      </c>
      <c r="Q381" s="601">
        <f t="shared" si="31"/>
        <v>9674366</v>
      </c>
      <c r="R381" s="944">
        <f>IF(A381='Data Entry - SOF'!B$2,'Report-SOF2223'!D$91,0)</f>
        <v>0</v>
      </c>
      <c r="S381" s="723">
        <f>IF(A381='Data Entry - SOF'!B$2,'Data Entry - SOF'!Q$102,0)</f>
        <v>0</v>
      </c>
      <c r="T381" s="601">
        <f t="shared" si="35"/>
        <v>9674366</v>
      </c>
      <c r="U381" s="944">
        <f>IF(A381='Data Entry - SOF'!B$2,'Report-SOF2324'!D$91,0)</f>
        <v>0</v>
      </c>
      <c r="V381" s="723">
        <f>IF(A381='Data Entry - SOF'!B$2,'Data Entry - SOF'!S$102,0)</f>
        <v>0</v>
      </c>
    </row>
    <row r="382" spans="1:22" ht="15.75">
      <c r="A382" s="382" t="s">
        <v>349</v>
      </c>
      <c r="B382" s="91">
        <v>8406533</v>
      </c>
      <c r="C382" s="944">
        <f>IF(A382='Data Entry - SOF'!B$2,'Report-SOF1718'!D$102,0)</f>
        <v>0</v>
      </c>
      <c r="D382" s="1037">
        <f>IF(A382='Data Entry - SOF'!B$2,'Data Entry - SOF'!#REF!,0)</f>
        <v>0</v>
      </c>
      <c r="E382" s="91">
        <f t="shared" si="30"/>
        <v>8406533</v>
      </c>
      <c r="F382" s="944">
        <f>IF(A382='Data Entry - SOF'!B$2,'Report-SOF1819'!D$102,0)</f>
        <v>0</v>
      </c>
      <c r="G382" s="1037">
        <f>IF(A382='Data Entry - SOF'!B$2,'Data Entry - SOF'!E$102,0)</f>
        <v>0</v>
      </c>
      <c r="H382" s="1038">
        <f t="shared" si="32"/>
        <v>8406533</v>
      </c>
      <c r="I382" s="944">
        <f>IF(A382='Data Entry - SOF'!B$2,'Report-SOF1920-HB3'!D$102,0)</f>
        <v>0</v>
      </c>
      <c r="J382" s="1037">
        <f>IF(A382='Data Entry - SOF'!B$2,'Data Entry - SOF'!G$102,0)</f>
        <v>0</v>
      </c>
      <c r="K382" s="717">
        <f t="shared" si="33"/>
        <v>8406533</v>
      </c>
      <c r="L382" s="944">
        <f>IF(A382='Data Entry - SOF'!B$2,'Report-SOF2021'!D$99,0)</f>
        <v>0</v>
      </c>
      <c r="M382" s="723">
        <f>IF(A382='Data Entry - SOF'!B$2,'Data Entry - SOF'!M$102,0)</f>
        <v>0</v>
      </c>
      <c r="N382" s="717">
        <f t="shared" si="34"/>
        <v>8406533</v>
      </c>
      <c r="O382" s="944">
        <f>IF(A382='Data Entry - SOF'!B$2,'Report-SOF2122'!D$91,0)</f>
        <v>0</v>
      </c>
      <c r="P382" s="723">
        <f>IF(A382='Data Entry - SOF'!B$2,'Data Entry - SOF'!O$102,0)</f>
        <v>0</v>
      </c>
      <c r="Q382" s="601">
        <f t="shared" si="31"/>
        <v>8406533</v>
      </c>
      <c r="R382" s="944">
        <f>IF(A382='Data Entry - SOF'!B$2,'Report-SOF2223'!D$91,0)</f>
        <v>0</v>
      </c>
      <c r="S382" s="723">
        <f>IF(A382='Data Entry - SOF'!B$2,'Data Entry - SOF'!Q$102,0)</f>
        <v>0</v>
      </c>
      <c r="T382" s="601">
        <f t="shared" si="35"/>
        <v>8406533</v>
      </c>
      <c r="U382" s="944">
        <f>IF(A382='Data Entry - SOF'!B$2,'Report-SOF2324'!D$91,0)</f>
        <v>0</v>
      </c>
      <c r="V382" s="723">
        <f>IF(A382='Data Entry - SOF'!B$2,'Data Entry - SOF'!S$102,0)</f>
        <v>0</v>
      </c>
    </row>
    <row r="383" spans="1:22" ht="15.75">
      <c r="A383" s="382" t="s">
        <v>2144</v>
      </c>
      <c r="B383" s="91">
        <v>15042264.361899</v>
      </c>
      <c r="C383" s="944">
        <f>IF(A383='Data Entry - SOF'!B$2,'Report-SOF1718'!D$102,0)</f>
        <v>0</v>
      </c>
      <c r="D383" s="1037">
        <f>IF(A383='Data Entry - SOF'!B$2,'Data Entry - SOF'!#REF!,0)</f>
        <v>0</v>
      </c>
      <c r="E383" s="91">
        <f t="shared" si="30"/>
        <v>15042264.361899</v>
      </c>
      <c r="F383" s="944">
        <f>IF(A383='Data Entry - SOF'!B$2,'Report-SOF1819'!D$102,0)</f>
        <v>0</v>
      </c>
      <c r="G383" s="1037">
        <f>IF(A383='Data Entry - SOF'!B$2,'Data Entry - SOF'!E$102,0)</f>
        <v>0</v>
      </c>
      <c r="H383" s="1038">
        <f t="shared" si="32"/>
        <v>15042264.361899</v>
      </c>
      <c r="I383" s="944">
        <f>IF(A383='Data Entry - SOF'!B$2,'Report-SOF1920-HB3'!D$102,0)</f>
        <v>0</v>
      </c>
      <c r="J383" s="1037">
        <f>IF(A383='Data Entry - SOF'!B$2,'Data Entry - SOF'!G$102,0)</f>
        <v>0</v>
      </c>
      <c r="K383" s="717">
        <f t="shared" si="33"/>
        <v>15042264.361899</v>
      </c>
      <c r="L383" s="944">
        <f>IF(A383='Data Entry - SOF'!B$2,'Report-SOF2021'!D$99,0)</f>
        <v>0</v>
      </c>
      <c r="M383" s="723">
        <f>IF(A383='Data Entry - SOF'!B$2,'Data Entry - SOF'!M$102,0)</f>
        <v>0</v>
      </c>
      <c r="N383" s="717">
        <f t="shared" si="34"/>
        <v>15042264.361899</v>
      </c>
      <c r="O383" s="944">
        <f>IF(A383='Data Entry - SOF'!B$2,'Report-SOF2122'!D$91,0)</f>
        <v>0</v>
      </c>
      <c r="P383" s="723">
        <f>IF(A383='Data Entry - SOF'!B$2,'Data Entry - SOF'!O$102,0)</f>
        <v>0</v>
      </c>
      <c r="Q383" s="601">
        <f t="shared" si="31"/>
        <v>15042264.361899</v>
      </c>
      <c r="R383" s="944">
        <f>IF(A383='Data Entry - SOF'!B$2,'Report-SOF2223'!D$91,0)</f>
        <v>0</v>
      </c>
      <c r="S383" s="723">
        <f>IF(A383='Data Entry - SOF'!B$2,'Data Entry - SOF'!Q$102,0)</f>
        <v>0</v>
      </c>
      <c r="T383" s="601">
        <f t="shared" si="35"/>
        <v>15042264.361899</v>
      </c>
      <c r="U383" s="944">
        <f>IF(A383='Data Entry - SOF'!B$2,'Report-SOF2324'!D$91,0)</f>
        <v>0</v>
      </c>
      <c r="V383" s="723">
        <f>IF(A383='Data Entry - SOF'!B$2,'Data Entry - SOF'!S$102,0)</f>
        <v>0</v>
      </c>
    </row>
    <row r="384" spans="1:22" ht="15.75">
      <c r="A384" s="382" t="s">
        <v>2145</v>
      </c>
      <c r="B384" s="91">
        <v>571846</v>
      </c>
      <c r="C384" s="944">
        <f>IF(A384='Data Entry - SOF'!B$2,'Report-SOF1718'!D$102,0)</f>
        <v>0</v>
      </c>
      <c r="D384" s="1037">
        <f>IF(A384='Data Entry - SOF'!B$2,'Data Entry - SOF'!#REF!,0)</f>
        <v>0</v>
      </c>
      <c r="E384" s="91">
        <f t="shared" si="30"/>
        <v>571846</v>
      </c>
      <c r="F384" s="944">
        <f>IF(A384='Data Entry - SOF'!B$2,'Report-SOF1819'!D$102,0)</f>
        <v>0</v>
      </c>
      <c r="G384" s="1037">
        <f>IF(A384='Data Entry - SOF'!B$2,'Data Entry - SOF'!E$102,0)</f>
        <v>0</v>
      </c>
      <c r="H384" s="1038">
        <f t="shared" si="32"/>
        <v>571846</v>
      </c>
      <c r="I384" s="944">
        <f>IF(A384='Data Entry - SOF'!B$2,'Report-SOF1920-HB3'!D$102,0)</f>
        <v>0</v>
      </c>
      <c r="J384" s="1037">
        <f>IF(A384='Data Entry - SOF'!B$2,'Data Entry - SOF'!G$102,0)</f>
        <v>0</v>
      </c>
      <c r="K384" s="717">
        <f t="shared" si="33"/>
        <v>571846</v>
      </c>
      <c r="L384" s="944">
        <f>IF(A384='Data Entry - SOF'!B$2,'Report-SOF2021'!D$99,0)</f>
        <v>0</v>
      </c>
      <c r="M384" s="723">
        <f>IF(A384='Data Entry - SOF'!B$2,'Data Entry - SOF'!M$102,0)</f>
        <v>0</v>
      </c>
      <c r="N384" s="717">
        <f t="shared" si="34"/>
        <v>571846</v>
      </c>
      <c r="O384" s="944">
        <f>IF(A384='Data Entry - SOF'!B$2,'Report-SOF2122'!D$91,0)</f>
        <v>0</v>
      </c>
      <c r="P384" s="723">
        <f>IF(A384='Data Entry - SOF'!B$2,'Data Entry - SOF'!O$102,0)</f>
        <v>0</v>
      </c>
      <c r="Q384" s="601">
        <f t="shared" si="31"/>
        <v>571846</v>
      </c>
      <c r="R384" s="944">
        <f>IF(A384='Data Entry - SOF'!B$2,'Report-SOF2223'!D$91,0)</f>
        <v>0</v>
      </c>
      <c r="S384" s="723">
        <f>IF(A384='Data Entry - SOF'!B$2,'Data Entry - SOF'!Q$102,0)</f>
        <v>0</v>
      </c>
      <c r="T384" s="601">
        <f t="shared" si="35"/>
        <v>571846</v>
      </c>
      <c r="U384" s="944">
        <f>IF(A384='Data Entry - SOF'!B$2,'Report-SOF2324'!D$91,0)</f>
        <v>0</v>
      </c>
      <c r="V384" s="723">
        <f>IF(A384='Data Entry - SOF'!B$2,'Data Entry - SOF'!S$102,0)</f>
        <v>0</v>
      </c>
    </row>
    <row r="385" spans="1:22" ht="15.75">
      <c r="A385" s="382" t="s">
        <v>505</v>
      </c>
      <c r="B385" s="91">
        <v>1229980</v>
      </c>
      <c r="C385" s="944">
        <f>IF(A385='Data Entry - SOF'!B$2,'Report-SOF1718'!D$102,0)</f>
        <v>0</v>
      </c>
      <c r="D385" s="1037">
        <f>IF(A385='Data Entry - SOF'!B$2,'Data Entry - SOF'!#REF!,0)</f>
        <v>0</v>
      </c>
      <c r="E385" s="91">
        <f t="shared" si="30"/>
        <v>1229980</v>
      </c>
      <c r="F385" s="944">
        <f>IF(A385='Data Entry - SOF'!B$2,'Report-SOF1819'!D$102,0)</f>
        <v>0</v>
      </c>
      <c r="G385" s="1037">
        <f>IF(A385='Data Entry - SOF'!B$2,'Data Entry - SOF'!E$102,0)</f>
        <v>0</v>
      </c>
      <c r="H385" s="1038">
        <f t="shared" si="32"/>
        <v>1229980</v>
      </c>
      <c r="I385" s="944">
        <f>IF(A385='Data Entry - SOF'!B$2,'Report-SOF1920-HB3'!D$102,0)</f>
        <v>0</v>
      </c>
      <c r="J385" s="1037">
        <f>IF(A385='Data Entry - SOF'!B$2,'Data Entry - SOF'!G$102,0)</f>
        <v>0</v>
      </c>
      <c r="K385" s="717">
        <f t="shared" si="33"/>
        <v>1229980</v>
      </c>
      <c r="L385" s="944">
        <f>IF(A385='Data Entry - SOF'!B$2,'Report-SOF2021'!D$99,0)</f>
        <v>0</v>
      </c>
      <c r="M385" s="723">
        <f>IF(A385='Data Entry - SOF'!B$2,'Data Entry - SOF'!M$102,0)</f>
        <v>0</v>
      </c>
      <c r="N385" s="717">
        <f t="shared" si="34"/>
        <v>1229980</v>
      </c>
      <c r="O385" s="944">
        <f>IF(A385='Data Entry - SOF'!B$2,'Report-SOF2122'!D$91,0)</f>
        <v>0</v>
      </c>
      <c r="P385" s="723">
        <f>IF(A385='Data Entry - SOF'!B$2,'Data Entry - SOF'!O$102,0)</f>
        <v>0</v>
      </c>
      <c r="Q385" s="601">
        <f t="shared" si="31"/>
        <v>1229980</v>
      </c>
      <c r="R385" s="944">
        <f>IF(A385='Data Entry - SOF'!B$2,'Report-SOF2223'!D$91,0)</f>
        <v>0</v>
      </c>
      <c r="S385" s="723">
        <f>IF(A385='Data Entry - SOF'!B$2,'Data Entry - SOF'!Q$102,0)</f>
        <v>0</v>
      </c>
      <c r="T385" s="601">
        <f t="shared" si="35"/>
        <v>1229980</v>
      </c>
      <c r="U385" s="944">
        <f>IF(A385='Data Entry - SOF'!B$2,'Report-SOF2324'!D$91,0)</f>
        <v>0</v>
      </c>
      <c r="V385" s="723">
        <f>IF(A385='Data Entry - SOF'!B$2,'Data Entry - SOF'!S$102,0)</f>
        <v>0</v>
      </c>
    </row>
    <row r="386" spans="1:22" ht="15.75">
      <c r="A386" s="382" t="s">
        <v>1955</v>
      </c>
      <c r="B386" s="91">
        <v>495736</v>
      </c>
      <c r="C386" s="944">
        <f>IF(A386='Data Entry - SOF'!B$2,'Report-SOF1718'!D$102,0)</f>
        <v>0</v>
      </c>
      <c r="D386" s="1037">
        <f>IF(A386='Data Entry - SOF'!B$2,'Data Entry - SOF'!#REF!,0)</f>
        <v>0</v>
      </c>
      <c r="E386" s="91">
        <f t="shared" si="30"/>
        <v>495736</v>
      </c>
      <c r="F386" s="944">
        <f>IF(A386='Data Entry - SOF'!B$2,'Report-SOF1819'!D$102,0)</f>
        <v>0</v>
      </c>
      <c r="G386" s="1037">
        <f>IF(A386='Data Entry - SOF'!B$2,'Data Entry - SOF'!E$102,0)</f>
        <v>0</v>
      </c>
      <c r="H386" s="1038">
        <f t="shared" si="32"/>
        <v>495736</v>
      </c>
      <c r="I386" s="944">
        <f>IF(A386='Data Entry - SOF'!B$2,'Report-SOF1920-HB3'!D$102,0)</f>
        <v>0</v>
      </c>
      <c r="J386" s="1037">
        <f>IF(A386='Data Entry - SOF'!B$2,'Data Entry - SOF'!G$102,0)</f>
        <v>0</v>
      </c>
      <c r="K386" s="717">
        <f t="shared" si="33"/>
        <v>495736</v>
      </c>
      <c r="L386" s="944">
        <f>IF(A386='Data Entry - SOF'!B$2,'Report-SOF2021'!D$99,0)</f>
        <v>0</v>
      </c>
      <c r="M386" s="723">
        <f>IF(A386='Data Entry - SOF'!B$2,'Data Entry - SOF'!M$102,0)</f>
        <v>0</v>
      </c>
      <c r="N386" s="717">
        <f t="shared" si="34"/>
        <v>495736</v>
      </c>
      <c r="O386" s="944">
        <f>IF(A386='Data Entry - SOF'!B$2,'Report-SOF2122'!D$91,0)</f>
        <v>0</v>
      </c>
      <c r="P386" s="723">
        <f>IF(A386='Data Entry - SOF'!B$2,'Data Entry - SOF'!O$102,0)</f>
        <v>0</v>
      </c>
      <c r="Q386" s="601">
        <f t="shared" si="31"/>
        <v>495736</v>
      </c>
      <c r="R386" s="944">
        <f>IF(A386='Data Entry - SOF'!B$2,'Report-SOF2223'!D$91,0)</f>
        <v>0</v>
      </c>
      <c r="S386" s="723">
        <f>IF(A386='Data Entry - SOF'!B$2,'Data Entry - SOF'!Q$102,0)</f>
        <v>0</v>
      </c>
      <c r="T386" s="601">
        <f t="shared" si="35"/>
        <v>495736</v>
      </c>
      <c r="U386" s="944">
        <f>IF(A386='Data Entry - SOF'!B$2,'Report-SOF2324'!D$91,0)</f>
        <v>0</v>
      </c>
      <c r="V386" s="723">
        <f>IF(A386='Data Entry - SOF'!B$2,'Data Entry - SOF'!S$102,0)</f>
        <v>0</v>
      </c>
    </row>
    <row r="387" spans="1:22" ht="15.75">
      <c r="A387" s="382" t="s">
        <v>2072</v>
      </c>
      <c r="B387" s="91">
        <v>6477425</v>
      </c>
      <c r="C387" s="944">
        <f>IF(A387='Data Entry - SOF'!B$2,'Report-SOF1718'!D$102,0)</f>
        <v>0</v>
      </c>
      <c r="D387" s="1037">
        <f>IF(A387='Data Entry - SOF'!B$2,'Data Entry - SOF'!#REF!,0)</f>
        <v>0</v>
      </c>
      <c r="E387" s="91">
        <f t="shared" si="30"/>
        <v>6477425</v>
      </c>
      <c r="F387" s="944">
        <f>IF(A387='Data Entry - SOF'!B$2,'Report-SOF1819'!D$102,0)</f>
        <v>0</v>
      </c>
      <c r="G387" s="1037">
        <f>IF(A387='Data Entry - SOF'!B$2,'Data Entry - SOF'!E$102,0)</f>
        <v>0</v>
      </c>
      <c r="H387" s="1038">
        <f t="shared" si="32"/>
        <v>6477425</v>
      </c>
      <c r="I387" s="944">
        <f>IF(A387='Data Entry - SOF'!B$2,'Report-SOF1920-HB3'!D$102,0)</f>
        <v>0</v>
      </c>
      <c r="J387" s="1037">
        <f>IF(A387='Data Entry - SOF'!B$2,'Data Entry - SOF'!G$102,0)</f>
        <v>0</v>
      </c>
      <c r="K387" s="717">
        <f t="shared" si="33"/>
        <v>6477425</v>
      </c>
      <c r="L387" s="944">
        <f>IF(A387='Data Entry - SOF'!B$2,'Report-SOF2021'!D$99,0)</f>
        <v>0</v>
      </c>
      <c r="M387" s="723">
        <f>IF(A387='Data Entry - SOF'!B$2,'Data Entry - SOF'!M$102,0)</f>
        <v>0</v>
      </c>
      <c r="N387" s="717">
        <f t="shared" si="34"/>
        <v>6477425</v>
      </c>
      <c r="O387" s="944">
        <f>IF(A387='Data Entry - SOF'!B$2,'Report-SOF2122'!D$91,0)</f>
        <v>0</v>
      </c>
      <c r="P387" s="723">
        <f>IF(A387='Data Entry - SOF'!B$2,'Data Entry - SOF'!O$102,0)</f>
        <v>0</v>
      </c>
      <c r="Q387" s="601">
        <f t="shared" si="31"/>
        <v>6477425</v>
      </c>
      <c r="R387" s="944">
        <f>IF(A387='Data Entry - SOF'!B$2,'Report-SOF2223'!D$91,0)</f>
        <v>0</v>
      </c>
      <c r="S387" s="723">
        <f>IF(A387='Data Entry - SOF'!B$2,'Data Entry - SOF'!Q$102,0)</f>
        <v>0</v>
      </c>
      <c r="T387" s="601">
        <f t="shared" si="35"/>
        <v>6477425</v>
      </c>
      <c r="U387" s="944">
        <f>IF(A387='Data Entry - SOF'!B$2,'Report-SOF2324'!D$91,0)</f>
        <v>0</v>
      </c>
      <c r="V387" s="723">
        <f>IF(A387='Data Entry - SOF'!B$2,'Data Entry - SOF'!S$102,0)</f>
        <v>0</v>
      </c>
    </row>
    <row r="388" spans="1:22" ht="15.75">
      <c r="A388" s="382" t="s">
        <v>2073</v>
      </c>
      <c r="B388" s="91">
        <v>874000</v>
      </c>
      <c r="C388" s="944">
        <f>IF(A388='Data Entry - SOF'!B$2,'Report-SOF1718'!D$102,0)</f>
        <v>0</v>
      </c>
      <c r="D388" s="1037">
        <f>IF(A388='Data Entry - SOF'!B$2,'Data Entry - SOF'!#REF!,0)</f>
        <v>0</v>
      </c>
      <c r="E388" s="91">
        <f t="shared" ref="E388:E451" si="36">IF(B388+C388-D388&lt;=0,0,B388+C388-D388)</f>
        <v>874000</v>
      </c>
      <c r="F388" s="944">
        <f>IF(A388='Data Entry - SOF'!B$2,'Report-SOF1819'!D$102,0)</f>
        <v>0</v>
      </c>
      <c r="G388" s="1037">
        <f>IF(A388='Data Entry - SOF'!B$2,'Data Entry - SOF'!E$102,0)</f>
        <v>0</v>
      </c>
      <c r="H388" s="1038">
        <f t="shared" si="32"/>
        <v>874000</v>
      </c>
      <c r="I388" s="944">
        <f>IF(A388='Data Entry - SOF'!B$2,'Report-SOF1920-HB3'!D$102,0)</f>
        <v>0</v>
      </c>
      <c r="J388" s="1037">
        <f>IF(A388='Data Entry - SOF'!B$2,'Data Entry - SOF'!G$102,0)</f>
        <v>0</v>
      </c>
      <c r="K388" s="717">
        <f t="shared" si="33"/>
        <v>874000</v>
      </c>
      <c r="L388" s="944">
        <f>IF(A388='Data Entry - SOF'!B$2,'Report-SOF2021'!D$99,0)</f>
        <v>0</v>
      </c>
      <c r="M388" s="723">
        <f>IF(A388='Data Entry - SOF'!B$2,'Data Entry - SOF'!M$102,0)</f>
        <v>0</v>
      </c>
      <c r="N388" s="717">
        <f t="shared" si="34"/>
        <v>874000</v>
      </c>
      <c r="O388" s="944">
        <f>IF(A388='Data Entry - SOF'!B$2,'Report-SOF2122'!D$91,0)</f>
        <v>0</v>
      </c>
      <c r="P388" s="723">
        <f>IF(A388='Data Entry - SOF'!B$2,'Data Entry - SOF'!O$102,0)</f>
        <v>0</v>
      </c>
      <c r="Q388" s="601">
        <f t="shared" ref="Q388:Q451" si="37">IF(N388+O388-P388&lt;=0,0,N388+O388-P388)</f>
        <v>874000</v>
      </c>
      <c r="R388" s="944">
        <f>IF(A388='Data Entry - SOF'!B$2,'Report-SOF2223'!D$91,0)</f>
        <v>0</v>
      </c>
      <c r="S388" s="723">
        <f>IF(A388='Data Entry - SOF'!B$2,'Data Entry - SOF'!Q$102,0)</f>
        <v>0</v>
      </c>
      <c r="T388" s="601">
        <f t="shared" si="35"/>
        <v>874000</v>
      </c>
      <c r="U388" s="944">
        <f>IF(A388='Data Entry - SOF'!B$2,'Report-SOF2324'!D$91,0)</f>
        <v>0</v>
      </c>
      <c r="V388" s="723">
        <f>IF(A388='Data Entry - SOF'!B$2,'Data Entry - SOF'!S$102,0)</f>
        <v>0</v>
      </c>
    </row>
    <row r="389" spans="1:22" ht="15.75">
      <c r="A389" s="382" t="s">
        <v>146</v>
      </c>
      <c r="B389" s="91">
        <v>858072</v>
      </c>
      <c r="C389" s="944">
        <f>IF(A389='Data Entry - SOF'!B$2,'Report-SOF1718'!D$102,0)</f>
        <v>0</v>
      </c>
      <c r="D389" s="1037">
        <f>IF(A389='Data Entry - SOF'!B$2,'Data Entry - SOF'!#REF!,0)</f>
        <v>0</v>
      </c>
      <c r="E389" s="91">
        <f t="shared" si="36"/>
        <v>858072</v>
      </c>
      <c r="F389" s="944">
        <f>IF(A389='Data Entry - SOF'!B$2,'Report-SOF1819'!D$102,0)</f>
        <v>0</v>
      </c>
      <c r="G389" s="1037">
        <f>IF(A389='Data Entry - SOF'!B$2,'Data Entry - SOF'!E$102,0)</f>
        <v>0</v>
      </c>
      <c r="H389" s="1038">
        <f t="shared" ref="H389:H452" si="38">IF(E389+F389-G389&lt;=0,0,E389+F389-G389)</f>
        <v>858072</v>
      </c>
      <c r="I389" s="944">
        <f>IF(A389='Data Entry - SOF'!B$2,'Report-SOF1920-HB3'!D$102,0)</f>
        <v>0</v>
      </c>
      <c r="J389" s="1037">
        <f>IF(A389='Data Entry - SOF'!B$2,'Data Entry - SOF'!G$102,0)</f>
        <v>0</v>
      </c>
      <c r="K389" s="717">
        <f t="shared" ref="K389:K452" si="39">IF(H389+I389-J389&lt;=0,0,H389+I389-J389)</f>
        <v>858072</v>
      </c>
      <c r="L389" s="944">
        <f>IF(A389='Data Entry - SOF'!B$2,'Report-SOF2021'!D$99,0)</f>
        <v>0</v>
      </c>
      <c r="M389" s="723">
        <f>IF(A389='Data Entry - SOF'!B$2,'Data Entry - SOF'!M$102,0)</f>
        <v>0</v>
      </c>
      <c r="N389" s="717">
        <f t="shared" ref="N389:N452" si="40">IF(K389+L389-M389&lt;=0,0,K389+L389-M389)</f>
        <v>858072</v>
      </c>
      <c r="O389" s="944">
        <f>IF(A389='Data Entry - SOF'!B$2,'Report-SOF2122'!D$91,0)</f>
        <v>0</v>
      </c>
      <c r="P389" s="723">
        <f>IF(A389='Data Entry - SOF'!B$2,'Data Entry - SOF'!O$102,0)</f>
        <v>0</v>
      </c>
      <c r="Q389" s="601">
        <f t="shared" si="37"/>
        <v>858072</v>
      </c>
      <c r="R389" s="944">
        <f>IF(A389='Data Entry - SOF'!B$2,'Report-SOF2223'!D$91,0)</f>
        <v>0</v>
      </c>
      <c r="S389" s="723">
        <f>IF(A389='Data Entry - SOF'!B$2,'Data Entry - SOF'!Q$102,0)</f>
        <v>0</v>
      </c>
      <c r="T389" s="601">
        <f t="shared" ref="T389:T452" si="41">IF(P389+Q389-S389&lt;=0,0,P389+Q389-S389)</f>
        <v>858072</v>
      </c>
      <c r="U389" s="944">
        <f>IF(A389='Data Entry - SOF'!B$2,'Report-SOF2324'!D$91,0)</f>
        <v>0</v>
      </c>
      <c r="V389" s="723">
        <f>IF(A389='Data Entry - SOF'!B$2,'Data Entry - SOF'!S$102,0)</f>
        <v>0</v>
      </c>
    </row>
    <row r="390" spans="1:22" ht="15.75">
      <c r="A390" s="382" t="s">
        <v>147</v>
      </c>
      <c r="B390" s="91">
        <v>1752915</v>
      </c>
      <c r="C390" s="944">
        <f>IF(A390='Data Entry - SOF'!B$2,'Report-SOF1718'!D$102,0)</f>
        <v>0</v>
      </c>
      <c r="D390" s="1037">
        <f>IF(A390='Data Entry - SOF'!B$2,'Data Entry - SOF'!#REF!,0)</f>
        <v>0</v>
      </c>
      <c r="E390" s="91">
        <f t="shared" si="36"/>
        <v>1752915</v>
      </c>
      <c r="F390" s="944">
        <f>IF(A390='Data Entry - SOF'!B$2,'Report-SOF1819'!D$102,0)</f>
        <v>0</v>
      </c>
      <c r="G390" s="1037">
        <f>IF(A390='Data Entry - SOF'!B$2,'Data Entry - SOF'!E$102,0)</f>
        <v>0</v>
      </c>
      <c r="H390" s="1038">
        <f t="shared" si="38"/>
        <v>1752915</v>
      </c>
      <c r="I390" s="944">
        <f>IF(A390='Data Entry - SOF'!B$2,'Report-SOF1920-HB3'!D$102,0)</f>
        <v>0</v>
      </c>
      <c r="J390" s="1037">
        <f>IF(A390='Data Entry - SOF'!B$2,'Data Entry - SOF'!G$102,0)</f>
        <v>0</v>
      </c>
      <c r="K390" s="717">
        <f t="shared" si="39"/>
        <v>1752915</v>
      </c>
      <c r="L390" s="944">
        <f>IF(A390='Data Entry - SOF'!B$2,'Report-SOF2021'!D$99,0)</f>
        <v>0</v>
      </c>
      <c r="M390" s="723">
        <f>IF(A390='Data Entry - SOF'!B$2,'Data Entry - SOF'!M$102,0)</f>
        <v>0</v>
      </c>
      <c r="N390" s="717">
        <f t="shared" si="40"/>
        <v>1752915</v>
      </c>
      <c r="O390" s="944">
        <f>IF(A390='Data Entry - SOF'!B$2,'Report-SOF2122'!D$91,0)</f>
        <v>0</v>
      </c>
      <c r="P390" s="723">
        <f>IF(A390='Data Entry - SOF'!B$2,'Data Entry - SOF'!O$102,0)</f>
        <v>0</v>
      </c>
      <c r="Q390" s="601">
        <f t="shared" si="37"/>
        <v>1752915</v>
      </c>
      <c r="R390" s="944">
        <f>IF(A390='Data Entry - SOF'!B$2,'Report-SOF2223'!D$91,0)</f>
        <v>0</v>
      </c>
      <c r="S390" s="723">
        <f>IF(A390='Data Entry - SOF'!B$2,'Data Entry - SOF'!Q$102,0)</f>
        <v>0</v>
      </c>
      <c r="T390" s="601">
        <f t="shared" si="41"/>
        <v>1752915</v>
      </c>
      <c r="U390" s="944">
        <f>IF(A390='Data Entry - SOF'!B$2,'Report-SOF2324'!D$91,0)</f>
        <v>0</v>
      </c>
      <c r="V390" s="723">
        <f>IF(A390='Data Entry - SOF'!B$2,'Data Entry - SOF'!S$102,0)</f>
        <v>0</v>
      </c>
    </row>
    <row r="391" spans="1:22" ht="15.75">
      <c r="A391" s="382" t="s">
        <v>2507</v>
      </c>
      <c r="B391" s="91">
        <v>1112717</v>
      </c>
      <c r="C391" s="944">
        <f>IF(A391='Data Entry - SOF'!B$2,'Report-SOF1718'!D$102,0)</f>
        <v>0</v>
      </c>
      <c r="D391" s="1037">
        <f>IF(A391='Data Entry - SOF'!B$2,'Data Entry - SOF'!#REF!,0)</f>
        <v>0</v>
      </c>
      <c r="E391" s="91">
        <f t="shared" si="36"/>
        <v>1112717</v>
      </c>
      <c r="F391" s="944">
        <f>IF(A391='Data Entry - SOF'!B$2,'Report-SOF1819'!D$102,0)</f>
        <v>0</v>
      </c>
      <c r="G391" s="1037">
        <f>IF(A391='Data Entry - SOF'!B$2,'Data Entry - SOF'!E$102,0)</f>
        <v>0</v>
      </c>
      <c r="H391" s="1038">
        <f t="shared" si="38"/>
        <v>1112717</v>
      </c>
      <c r="I391" s="944">
        <f>IF(A391='Data Entry - SOF'!B$2,'Report-SOF1920-HB3'!D$102,0)</f>
        <v>0</v>
      </c>
      <c r="J391" s="1037">
        <f>IF(A391='Data Entry - SOF'!B$2,'Data Entry - SOF'!G$102,0)</f>
        <v>0</v>
      </c>
      <c r="K391" s="717">
        <f t="shared" si="39"/>
        <v>1112717</v>
      </c>
      <c r="L391" s="944">
        <f>IF(A391='Data Entry - SOF'!B$2,'Report-SOF2021'!D$99,0)</f>
        <v>0</v>
      </c>
      <c r="M391" s="723">
        <f>IF(A391='Data Entry - SOF'!B$2,'Data Entry - SOF'!M$102,0)</f>
        <v>0</v>
      </c>
      <c r="N391" s="717">
        <f t="shared" si="40"/>
        <v>1112717</v>
      </c>
      <c r="O391" s="944">
        <f>IF(A391='Data Entry - SOF'!B$2,'Report-SOF2122'!D$91,0)</f>
        <v>0</v>
      </c>
      <c r="P391" s="723">
        <f>IF(A391='Data Entry - SOF'!B$2,'Data Entry - SOF'!O$102,0)</f>
        <v>0</v>
      </c>
      <c r="Q391" s="601">
        <f t="shared" si="37"/>
        <v>1112717</v>
      </c>
      <c r="R391" s="944">
        <f>IF(A391='Data Entry - SOF'!B$2,'Report-SOF2223'!D$91,0)</f>
        <v>0</v>
      </c>
      <c r="S391" s="723">
        <f>IF(A391='Data Entry - SOF'!B$2,'Data Entry - SOF'!Q$102,0)</f>
        <v>0</v>
      </c>
      <c r="T391" s="601">
        <f t="shared" si="41"/>
        <v>1112717</v>
      </c>
      <c r="U391" s="944">
        <f>IF(A391='Data Entry - SOF'!B$2,'Report-SOF2324'!D$91,0)</f>
        <v>0</v>
      </c>
      <c r="V391" s="723">
        <f>IF(A391='Data Entry - SOF'!B$2,'Data Entry - SOF'!S$102,0)</f>
        <v>0</v>
      </c>
    </row>
    <row r="392" spans="1:22" ht="15.75">
      <c r="A392" s="382" t="s">
        <v>2344</v>
      </c>
      <c r="B392" s="91">
        <v>4072549</v>
      </c>
      <c r="C392" s="944">
        <f>IF(A392='Data Entry - SOF'!B$2,'Report-SOF1718'!D$102,0)</f>
        <v>0</v>
      </c>
      <c r="D392" s="1037">
        <f>IF(A392='Data Entry - SOF'!B$2,'Data Entry - SOF'!#REF!,0)</f>
        <v>0</v>
      </c>
      <c r="E392" s="91">
        <f t="shared" si="36"/>
        <v>4072549</v>
      </c>
      <c r="F392" s="944">
        <f>IF(A392='Data Entry - SOF'!B$2,'Report-SOF1819'!D$102,0)</f>
        <v>0</v>
      </c>
      <c r="G392" s="1037">
        <f>IF(A392='Data Entry - SOF'!B$2,'Data Entry - SOF'!E$102,0)</f>
        <v>0</v>
      </c>
      <c r="H392" s="1038">
        <f t="shared" si="38"/>
        <v>4072549</v>
      </c>
      <c r="I392" s="944">
        <f>IF(A392='Data Entry - SOF'!B$2,'Report-SOF1920-HB3'!D$102,0)</f>
        <v>0</v>
      </c>
      <c r="J392" s="1037">
        <f>IF(A392='Data Entry - SOF'!B$2,'Data Entry - SOF'!G$102,0)</f>
        <v>0</v>
      </c>
      <c r="K392" s="717">
        <f t="shared" si="39"/>
        <v>4072549</v>
      </c>
      <c r="L392" s="944">
        <f>IF(A392='Data Entry - SOF'!B$2,'Report-SOF2021'!D$99,0)</f>
        <v>0</v>
      </c>
      <c r="M392" s="723">
        <f>IF(A392='Data Entry - SOF'!B$2,'Data Entry - SOF'!M$102,0)</f>
        <v>0</v>
      </c>
      <c r="N392" s="717">
        <f t="shared" si="40"/>
        <v>4072549</v>
      </c>
      <c r="O392" s="944">
        <f>IF(A392='Data Entry - SOF'!B$2,'Report-SOF2122'!D$91,0)</f>
        <v>0</v>
      </c>
      <c r="P392" s="723">
        <f>IF(A392='Data Entry - SOF'!B$2,'Data Entry - SOF'!O$102,0)</f>
        <v>0</v>
      </c>
      <c r="Q392" s="601">
        <f t="shared" si="37"/>
        <v>4072549</v>
      </c>
      <c r="R392" s="944">
        <f>IF(A392='Data Entry - SOF'!B$2,'Report-SOF2223'!D$91,0)</f>
        <v>0</v>
      </c>
      <c r="S392" s="723">
        <f>IF(A392='Data Entry - SOF'!B$2,'Data Entry - SOF'!Q$102,0)</f>
        <v>0</v>
      </c>
      <c r="T392" s="601">
        <f t="shared" si="41"/>
        <v>4072549</v>
      </c>
      <c r="U392" s="944">
        <f>IF(A392='Data Entry - SOF'!B$2,'Report-SOF2324'!D$91,0)</f>
        <v>0</v>
      </c>
      <c r="V392" s="723">
        <f>IF(A392='Data Entry - SOF'!B$2,'Data Entry - SOF'!S$102,0)</f>
        <v>0</v>
      </c>
    </row>
    <row r="393" spans="1:22" ht="15.75">
      <c r="A393" s="382" t="s">
        <v>1120</v>
      </c>
      <c r="B393" s="91">
        <v>3602183</v>
      </c>
      <c r="C393" s="944">
        <f>IF(A393='Data Entry - SOF'!B$2,'Report-SOF1718'!D$102,0)</f>
        <v>0</v>
      </c>
      <c r="D393" s="1037">
        <f>IF(A393='Data Entry - SOF'!B$2,'Data Entry - SOF'!#REF!,0)</f>
        <v>0</v>
      </c>
      <c r="E393" s="91">
        <f t="shared" si="36"/>
        <v>3602183</v>
      </c>
      <c r="F393" s="944">
        <f>IF(A393='Data Entry - SOF'!B$2,'Report-SOF1819'!D$102,0)</f>
        <v>0</v>
      </c>
      <c r="G393" s="1037">
        <f>IF(A393='Data Entry - SOF'!B$2,'Data Entry - SOF'!E$102,0)</f>
        <v>0</v>
      </c>
      <c r="H393" s="1038">
        <f t="shared" si="38"/>
        <v>3602183</v>
      </c>
      <c r="I393" s="944">
        <f>IF(A393='Data Entry - SOF'!B$2,'Report-SOF1920-HB3'!D$102,0)</f>
        <v>0</v>
      </c>
      <c r="J393" s="1037">
        <f>IF(A393='Data Entry - SOF'!B$2,'Data Entry - SOF'!G$102,0)</f>
        <v>0</v>
      </c>
      <c r="K393" s="717">
        <f t="shared" si="39"/>
        <v>3602183</v>
      </c>
      <c r="L393" s="944">
        <f>IF(A393='Data Entry - SOF'!B$2,'Report-SOF2021'!D$99,0)</f>
        <v>0</v>
      </c>
      <c r="M393" s="723">
        <f>IF(A393='Data Entry - SOF'!B$2,'Data Entry - SOF'!M$102,0)</f>
        <v>0</v>
      </c>
      <c r="N393" s="717">
        <f t="shared" si="40"/>
        <v>3602183</v>
      </c>
      <c r="O393" s="944">
        <f>IF(A393='Data Entry - SOF'!B$2,'Report-SOF2122'!D$91,0)</f>
        <v>0</v>
      </c>
      <c r="P393" s="723">
        <f>IF(A393='Data Entry - SOF'!B$2,'Data Entry - SOF'!O$102,0)</f>
        <v>0</v>
      </c>
      <c r="Q393" s="601">
        <f t="shared" si="37"/>
        <v>3602183</v>
      </c>
      <c r="R393" s="944">
        <f>IF(A393='Data Entry - SOF'!B$2,'Report-SOF2223'!D$91,0)</f>
        <v>0</v>
      </c>
      <c r="S393" s="723">
        <f>IF(A393='Data Entry - SOF'!B$2,'Data Entry - SOF'!Q$102,0)</f>
        <v>0</v>
      </c>
      <c r="T393" s="601">
        <f t="shared" si="41"/>
        <v>3602183</v>
      </c>
      <c r="U393" s="944">
        <f>IF(A393='Data Entry - SOF'!B$2,'Report-SOF2324'!D$91,0)</f>
        <v>0</v>
      </c>
      <c r="V393" s="723">
        <f>IF(A393='Data Entry - SOF'!B$2,'Data Entry - SOF'!S$102,0)</f>
        <v>0</v>
      </c>
    </row>
    <row r="394" spans="1:22" ht="15.75">
      <c r="A394" s="382" t="s">
        <v>1121</v>
      </c>
      <c r="B394" s="91">
        <v>7232026</v>
      </c>
      <c r="C394" s="944">
        <f>IF(A394='Data Entry - SOF'!B$2,'Report-SOF1718'!D$102,0)</f>
        <v>0</v>
      </c>
      <c r="D394" s="1037">
        <f>IF(A394='Data Entry - SOF'!B$2,'Data Entry - SOF'!#REF!,0)</f>
        <v>0</v>
      </c>
      <c r="E394" s="91">
        <f t="shared" si="36"/>
        <v>7232026</v>
      </c>
      <c r="F394" s="944">
        <f>IF(A394='Data Entry - SOF'!B$2,'Report-SOF1819'!D$102,0)</f>
        <v>0</v>
      </c>
      <c r="G394" s="1037">
        <f>IF(A394='Data Entry - SOF'!B$2,'Data Entry - SOF'!E$102,0)</f>
        <v>0</v>
      </c>
      <c r="H394" s="1038">
        <f t="shared" si="38"/>
        <v>7232026</v>
      </c>
      <c r="I394" s="944">
        <f>IF(A394='Data Entry - SOF'!B$2,'Report-SOF1920-HB3'!D$102,0)</f>
        <v>0</v>
      </c>
      <c r="J394" s="1037">
        <f>IF(A394='Data Entry - SOF'!B$2,'Data Entry - SOF'!G$102,0)</f>
        <v>0</v>
      </c>
      <c r="K394" s="717">
        <f t="shared" si="39"/>
        <v>7232026</v>
      </c>
      <c r="L394" s="944">
        <f>IF(A394='Data Entry - SOF'!B$2,'Report-SOF2021'!D$99,0)</f>
        <v>0</v>
      </c>
      <c r="M394" s="723">
        <f>IF(A394='Data Entry - SOF'!B$2,'Data Entry - SOF'!M$102,0)</f>
        <v>0</v>
      </c>
      <c r="N394" s="717">
        <f t="shared" si="40"/>
        <v>7232026</v>
      </c>
      <c r="O394" s="944">
        <f>IF(A394='Data Entry - SOF'!B$2,'Report-SOF2122'!D$91,0)</f>
        <v>0</v>
      </c>
      <c r="P394" s="723">
        <f>IF(A394='Data Entry - SOF'!B$2,'Data Entry - SOF'!O$102,0)</f>
        <v>0</v>
      </c>
      <c r="Q394" s="601">
        <f t="shared" si="37"/>
        <v>7232026</v>
      </c>
      <c r="R394" s="944">
        <f>IF(A394='Data Entry - SOF'!B$2,'Report-SOF2223'!D$91,0)</f>
        <v>0</v>
      </c>
      <c r="S394" s="723">
        <f>IF(A394='Data Entry - SOF'!B$2,'Data Entry - SOF'!Q$102,0)</f>
        <v>0</v>
      </c>
      <c r="T394" s="601">
        <f t="shared" si="41"/>
        <v>7232026</v>
      </c>
      <c r="U394" s="944">
        <f>IF(A394='Data Entry - SOF'!B$2,'Report-SOF2324'!D$91,0)</f>
        <v>0</v>
      </c>
      <c r="V394" s="723">
        <f>IF(A394='Data Entry - SOF'!B$2,'Data Entry - SOF'!S$102,0)</f>
        <v>0</v>
      </c>
    </row>
    <row r="395" spans="1:22" ht="15.75">
      <c r="A395" s="382" t="s">
        <v>2106</v>
      </c>
      <c r="B395" s="91">
        <v>2817378</v>
      </c>
      <c r="C395" s="944">
        <f>IF(A395='Data Entry - SOF'!B$2,'Report-SOF1718'!D$102,0)</f>
        <v>0</v>
      </c>
      <c r="D395" s="1037">
        <f>IF(A395='Data Entry - SOF'!B$2,'Data Entry - SOF'!#REF!,0)</f>
        <v>0</v>
      </c>
      <c r="E395" s="91">
        <f t="shared" si="36"/>
        <v>2817378</v>
      </c>
      <c r="F395" s="944">
        <f>IF(A395='Data Entry - SOF'!B$2,'Report-SOF1819'!D$102,0)</f>
        <v>0</v>
      </c>
      <c r="G395" s="1037">
        <f>IF(A395='Data Entry - SOF'!B$2,'Data Entry - SOF'!E$102,0)</f>
        <v>0</v>
      </c>
      <c r="H395" s="1038">
        <f t="shared" si="38"/>
        <v>2817378</v>
      </c>
      <c r="I395" s="944">
        <f>IF(A395='Data Entry - SOF'!B$2,'Report-SOF1920-HB3'!D$102,0)</f>
        <v>0</v>
      </c>
      <c r="J395" s="1037">
        <f>IF(A395='Data Entry - SOF'!B$2,'Data Entry - SOF'!G$102,0)</f>
        <v>0</v>
      </c>
      <c r="K395" s="717">
        <f t="shared" si="39"/>
        <v>2817378</v>
      </c>
      <c r="L395" s="944">
        <f>IF(A395='Data Entry - SOF'!B$2,'Report-SOF2021'!D$99,0)</f>
        <v>0</v>
      </c>
      <c r="M395" s="723">
        <f>IF(A395='Data Entry - SOF'!B$2,'Data Entry - SOF'!M$102,0)</f>
        <v>0</v>
      </c>
      <c r="N395" s="717">
        <f t="shared" si="40"/>
        <v>2817378</v>
      </c>
      <c r="O395" s="944">
        <f>IF(A395='Data Entry - SOF'!B$2,'Report-SOF2122'!D$91,0)</f>
        <v>0</v>
      </c>
      <c r="P395" s="723">
        <f>IF(A395='Data Entry - SOF'!B$2,'Data Entry - SOF'!O$102,0)</f>
        <v>0</v>
      </c>
      <c r="Q395" s="601">
        <f t="shared" si="37"/>
        <v>2817378</v>
      </c>
      <c r="R395" s="944">
        <f>IF(A395='Data Entry - SOF'!B$2,'Report-SOF2223'!D$91,0)</f>
        <v>0</v>
      </c>
      <c r="S395" s="723">
        <f>IF(A395='Data Entry - SOF'!B$2,'Data Entry - SOF'!Q$102,0)</f>
        <v>0</v>
      </c>
      <c r="T395" s="601">
        <f t="shared" si="41"/>
        <v>2817378</v>
      </c>
      <c r="U395" s="944">
        <f>IF(A395='Data Entry - SOF'!B$2,'Report-SOF2324'!D$91,0)</f>
        <v>0</v>
      </c>
      <c r="V395" s="723">
        <f>IF(A395='Data Entry - SOF'!B$2,'Data Entry - SOF'!S$102,0)</f>
        <v>0</v>
      </c>
    </row>
    <row r="396" spans="1:22" ht="15.75">
      <c r="A396" s="382" t="s">
        <v>2107</v>
      </c>
      <c r="B396" s="91">
        <v>2499986</v>
      </c>
      <c r="C396" s="944">
        <f>IF(A396='Data Entry - SOF'!B$2,'Report-SOF1718'!D$102,0)</f>
        <v>0</v>
      </c>
      <c r="D396" s="1037">
        <f>IF(A396='Data Entry - SOF'!B$2,'Data Entry - SOF'!#REF!,0)</f>
        <v>0</v>
      </c>
      <c r="E396" s="91">
        <f t="shared" si="36"/>
        <v>2499986</v>
      </c>
      <c r="F396" s="944">
        <f>IF(A396='Data Entry - SOF'!B$2,'Report-SOF1819'!D$102,0)</f>
        <v>0</v>
      </c>
      <c r="G396" s="1037">
        <f>IF(A396='Data Entry - SOF'!B$2,'Data Entry - SOF'!E$102,0)</f>
        <v>0</v>
      </c>
      <c r="H396" s="1038">
        <f t="shared" si="38"/>
        <v>2499986</v>
      </c>
      <c r="I396" s="944">
        <f>IF(A396='Data Entry - SOF'!B$2,'Report-SOF1920-HB3'!D$102,0)</f>
        <v>0</v>
      </c>
      <c r="J396" s="1037">
        <f>IF(A396='Data Entry - SOF'!B$2,'Data Entry - SOF'!G$102,0)</f>
        <v>0</v>
      </c>
      <c r="K396" s="717">
        <f t="shared" si="39"/>
        <v>2499986</v>
      </c>
      <c r="L396" s="944">
        <f>IF(A396='Data Entry - SOF'!B$2,'Report-SOF2021'!D$99,0)</f>
        <v>0</v>
      </c>
      <c r="M396" s="723">
        <f>IF(A396='Data Entry - SOF'!B$2,'Data Entry - SOF'!M$102,0)</f>
        <v>0</v>
      </c>
      <c r="N396" s="717">
        <f t="shared" si="40"/>
        <v>2499986</v>
      </c>
      <c r="O396" s="944">
        <f>IF(A396='Data Entry - SOF'!B$2,'Report-SOF2122'!D$91,0)</f>
        <v>0</v>
      </c>
      <c r="P396" s="723">
        <f>IF(A396='Data Entry - SOF'!B$2,'Data Entry - SOF'!O$102,0)</f>
        <v>0</v>
      </c>
      <c r="Q396" s="601">
        <f t="shared" si="37"/>
        <v>2499986</v>
      </c>
      <c r="R396" s="944">
        <f>IF(A396='Data Entry - SOF'!B$2,'Report-SOF2223'!D$91,0)</f>
        <v>0</v>
      </c>
      <c r="S396" s="723">
        <f>IF(A396='Data Entry - SOF'!B$2,'Data Entry - SOF'!Q$102,0)</f>
        <v>0</v>
      </c>
      <c r="T396" s="601">
        <f t="shared" si="41"/>
        <v>2499986</v>
      </c>
      <c r="U396" s="944">
        <f>IF(A396='Data Entry - SOF'!B$2,'Report-SOF2324'!D$91,0)</f>
        <v>0</v>
      </c>
      <c r="V396" s="723">
        <f>IF(A396='Data Entry - SOF'!B$2,'Data Entry - SOF'!S$102,0)</f>
        <v>0</v>
      </c>
    </row>
    <row r="397" spans="1:22" ht="15.75">
      <c r="A397" s="382" t="s">
        <v>1020</v>
      </c>
      <c r="B397" s="91">
        <v>2132897</v>
      </c>
      <c r="C397" s="944">
        <f>IF(A397='Data Entry - SOF'!B$2,'Report-SOF1718'!D$102,0)</f>
        <v>0</v>
      </c>
      <c r="D397" s="1037">
        <f>IF(A397='Data Entry - SOF'!B$2,'Data Entry - SOF'!#REF!,0)</f>
        <v>0</v>
      </c>
      <c r="E397" s="91">
        <f t="shared" si="36"/>
        <v>2132897</v>
      </c>
      <c r="F397" s="944">
        <f>IF(A397='Data Entry - SOF'!B$2,'Report-SOF1819'!D$102,0)</f>
        <v>0</v>
      </c>
      <c r="G397" s="1037">
        <f>IF(A397='Data Entry - SOF'!B$2,'Data Entry - SOF'!E$102,0)</f>
        <v>0</v>
      </c>
      <c r="H397" s="1038">
        <f t="shared" si="38"/>
        <v>2132897</v>
      </c>
      <c r="I397" s="944">
        <f>IF(A397='Data Entry - SOF'!B$2,'Report-SOF1920-HB3'!D$102,0)</f>
        <v>0</v>
      </c>
      <c r="J397" s="1037">
        <f>IF(A397='Data Entry - SOF'!B$2,'Data Entry - SOF'!G$102,0)</f>
        <v>0</v>
      </c>
      <c r="K397" s="717">
        <f t="shared" si="39"/>
        <v>2132897</v>
      </c>
      <c r="L397" s="944">
        <f>IF(A397='Data Entry - SOF'!B$2,'Report-SOF2021'!D$99,0)</f>
        <v>0</v>
      </c>
      <c r="M397" s="723">
        <f>IF(A397='Data Entry - SOF'!B$2,'Data Entry - SOF'!M$102,0)</f>
        <v>0</v>
      </c>
      <c r="N397" s="717">
        <f t="shared" si="40"/>
        <v>2132897</v>
      </c>
      <c r="O397" s="944">
        <f>IF(A397='Data Entry - SOF'!B$2,'Report-SOF2122'!D$91,0)</f>
        <v>0</v>
      </c>
      <c r="P397" s="723">
        <f>IF(A397='Data Entry - SOF'!B$2,'Data Entry - SOF'!O$102,0)</f>
        <v>0</v>
      </c>
      <c r="Q397" s="601">
        <f t="shared" si="37"/>
        <v>2132897</v>
      </c>
      <c r="R397" s="944">
        <f>IF(A397='Data Entry - SOF'!B$2,'Report-SOF2223'!D$91,0)</f>
        <v>0</v>
      </c>
      <c r="S397" s="723">
        <f>IF(A397='Data Entry - SOF'!B$2,'Data Entry - SOF'!Q$102,0)</f>
        <v>0</v>
      </c>
      <c r="T397" s="601">
        <f t="shared" si="41"/>
        <v>2132897</v>
      </c>
      <c r="U397" s="944">
        <f>IF(A397='Data Entry - SOF'!B$2,'Report-SOF2324'!D$91,0)</f>
        <v>0</v>
      </c>
      <c r="V397" s="723">
        <f>IF(A397='Data Entry - SOF'!B$2,'Data Entry - SOF'!S$102,0)</f>
        <v>0</v>
      </c>
    </row>
    <row r="398" spans="1:22" ht="15.75">
      <c r="A398" s="382" t="s">
        <v>1148</v>
      </c>
      <c r="B398" s="91">
        <v>6725329</v>
      </c>
      <c r="C398" s="944">
        <f>IF(A398='Data Entry - SOF'!B$2,'Report-SOF1718'!D$102,0)</f>
        <v>0</v>
      </c>
      <c r="D398" s="1037">
        <f>IF(A398='Data Entry - SOF'!B$2,'Data Entry - SOF'!#REF!,0)</f>
        <v>0</v>
      </c>
      <c r="E398" s="91">
        <f t="shared" si="36"/>
        <v>6725329</v>
      </c>
      <c r="F398" s="944">
        <f>IF(A398='Data Entry - SOF'!B$2,'Report-SOF1819'!D$102,0)</f>
        <v>0</v>
      </c>
      <c r="G398" s="1037">
        <f>IF(A398='Data Entry - SOF'!B$2,'Data Entry - SOF'!E$102,0)</f>
        <v>0</v>
      </c>
      <c r="H398" s="1038">
        <f t="shared" si="38"/>
        <v>6725329</v>
      </c>
      <c r="I398" s="944">
        <f>IF(A398='Data Entry - SOF'!B$2,'Report-SOF1920-HB3'!D$102,0)</f>
        <v>0</v>
      </c>
      <c r="J398" s="1037">
        <f>IF(A398='Data Entry - SOF'!B$2,'Data Entry - SOF'!G$102,0)</f>
        <v>0</v>
      </c>
      <c r="K398" s="717">
        <f t="shared" si="39"/>
        <v>6725329</v>
      </c>
      <c r="L398" s="944">
        <f>IF(A398='Data Entry - SOF'!B$2,'Report-SOF2021'!D$99,0)</f>
        <v>0</v>
      </c>
      <c r="M398" s="723">
        <f>IF(A398='Data Entry - SOF'!B$2,'Data Entry - SOF'!M$102,0)</f>
        <v>0</v>
      </c>
      <c r="N398" s="717">
        <f t="shared" si="40"/>
        <v>6725329</v>
      </c>
      <c r="O398" s="944">
        <f>IF(A398='Data Entry - SOF'!B$2,'Report-SOF2122'!D$91,0)</f>
        <v>0</v>
      </c>
      <c r="P398" s="723">
        <f>IF(A398='Data Entry - SOF'!B$2,'Data Entry - SOF'!O$102,0)</f>
        <v>0</v>
      </c>
      <c r="Q398" s="601">
        <f t="shared" si="37"/>
        <v>6725329</v>
      </c>
      <c r="R398" s="944">
        <f>IF(A398='Data Entry - SOF'!B$2,'Report-SOF2223'!D$91,0)</f>
        <v>0</v>
      </c>
      <c r="S398" s="723">
        <f>IF(A398='Data Entry - SOF'!B$2,'Data Entry - SOF'!Q$102,0)</f>
        <v>0</v>
      </c>
      <c r="T398" s="601">
        <f t="shared" si="41"/>
        <v>6725329</v>
      </c>
      <c r="U398" s="944">
        <f>IF(A398='Data Entry - SOF'!B$2,'Report-SOF2324'!D$91,0)</f>
        <v>0</v>
      </c>
      <c r="V398" s="723">
        <f>IF(A398='Data Entry - SOF'!B$2,'Data Entry - SOF'!S$102,0)</f>
        <v>0</v>
      </c>
    </row>
    <row r="399" spans="1:22" ht="15.75">
      <c r="A399" s="382" t="s">
        <v>381</v>
      </c>
      <c r="B399" s="91">
        <v>10273793</v>
      </c>
      <c r="C399" s="944">
        <f>IF(A399='Data Entry - SOF'!B$2,'Report-SOF1718'!D$102,0)</f>
        <v>0</v>
      </c>
      <c r="D399" s="1037">
        <f>IF(A399='Data Entry - SOF'!B$2,'Data Entry - SOF'!#REF!,0)</f>
        <v>0</v>
      </c>
      <c r="E399" s="91">
        <f t="shared" si="36"/>
        <v>10273793</v>
      </c>
      <c r="F399" s="944">
        <f>IF(A399='Data Entry - SOF'!B$2,'Report-SOF1819'!D$102,0)</f>
        <v>0</v>
      </c>
      <c r="G399" s="1037">
        <f>IF(A399='Data Entry - SOF'!B$2,'Data Entry - SOF'!E$102,0)</f>
        <v>0</v>
      </c>
      <c r="H399" s="1038">
        <f t="shared" si="38"/>
        <v>10273793</v>
      </c>
      <c r="I399" s="944">
        <f>IF(A399='Data Entry - SOF'!B$2,'Report-SOF1920-HB3'!D$102,0)</f>
        <v>0</v>
      </c>
      <c r="J399" s="1037">
        <f>IF(A399='Data Entry - SOF'!B$2,'Data Entry - SOF'!G$102,0)</f>
        <v>0</v>
      </c>
      <c r="K399" s="717">
        <f t="shared" si="39"/>
        <v>10273793</v>
      </c>
      <c r="L399" s="944">
        <f>IF(A399='Data Entry - SOF'!B$2,'Report-SOF2021'!D$99,0)</f>
        <v>0</v>
      </c>
      <c r="M399" s="723">
        <f>IF(A399='Data Entry - SOF'!B$2,'Data Entry - SOF'!M$102,0)</f>
        <v>0</v>
      </c>
      <c r="N399" s="717">
        <f t="shared" si="40"/>
        <v>10273793</v>
      </c>
      <c r="O399" s="944">
        <f>IF(A399='Data Entry - SOF'!B$2,'Report-SOF2122'!D$91,0)</f>
        <v>0</v>
      </c>
      <c r="P399" s="723">
        <f>IF(A399='Data Entry - SOF'!B$2,'Data Entry - SOF'!O$102,0)</f>
        <v>0</v>
      </c>
      <c r="Q399" s="601">
        <f t="shared" si="37"/>
        <v>10273793</v>
      </c>
      <c r="R399" s="944">
        <f>IF(A399='Data Entry - SOF'!B$2,'Report-SOF2223'!D$91,0)</f>
        <v>0</v>
      </c>
      <c r="S399" s="723">
        <f>IF(A399='Data Entry - SOF'!B$2,'Data Entry - SOF'!Q$102,0)</f>
        <v>0</v>
      </c>
      <c r="T399" s="601">
        <f t="shared" si="41"/>
        <v>10273793</v>
      </c>
      <c r="U399" s="944">
        <f>IF(A399='Data Entry - SOF'!B$2,'Report-SOF2324'!D$91,0)</f>
        <v>0</v>
      </c>
      <c r="V399" s="723">
        <f>IF(A399='Data Entry - SOF'!B$2,'Data Entry - SOF'!S$102,0)</f>
        <v>0</v>
      </c>
    </row>
    <row r="400" spans="1:22" ht="15.75">
      <c r="A400" s="382" t="s">
        <v>2285</v>
      </c>
      <c r="B400" s="91">
        <v>3251153</v>
      </c>
      <c r="C400" s="944">
        <f>IF(A400='Data Entry - SOF'!B$2,'Report-SOF1718'!D$102,0)</f>
        <v>0</v>
      </c>
      <c r="D400" s="1037">
        <f>IF(A400='Data Entry - SOF'!B$2,'Data Entry - SOF'!#REF!,0)</f>
        <v>0</v>
      </c>
      <c r="E400" s="91">
        <f t="shared" si="36"/>
        <v>3251153</v>
      </c>
      <c r="F400" s="944">
        <f>IF(A400='Data Entry - SOF'!B$2,'Report-SOF1819'!D$102,0)</f>
        <v>0</v>
      </c>
      <c r="G400" s="1037">
        <f>IF(A400='Data Entry - SOF'!B$2,'Data Entry - SOF'!E$102,0)</f>
        <v>0</v>
      </c>
      <c r="H400" s="1038">
        <f t="shared" si="38"/>
        <v>3251153</v>
      </c>
      <c r="I400" s="944">
        <f>IF(A400='Data Entry - SOF'!B$2,'Report-SOF1920-HB3'!D$102,0)</f>
        <v>0</v>
      </c>
      <c r="J400" s="1037">
        <f>IF(A400='Data Entry - SOF'!B$2,'Data Entry - SOF'!G$102,0)</f>
        <v>0</v>
      </c>
      <c r="K400" s="717">
        <f t="shared" si="39"/>
        <v>3251153</v>
      </c>
      <c r="L400" s="944">
        <f>IF(A400='Data Entry - SOF'!B$2,'Report-SOF2021'!D$99,0)</f>
        <v>0</v>
      </c>
      <c r="M400" s="723">
        <f>IF(A400='Data Entry - SOF'!B$2,'Data Entry - SOF'!M$102,0)</f>
        <v>0</v>
      </c>
      <c r="N400" s="717">
        <f t="shared" si="40"/>
        <v>3251153</v>
      </c>
      <c r="O400" s="944">
        <f>IF(A400='Data Entry - SOF'!B$2,'Report-SOF2122'!D$91,0)</f>
        <v>0</v>
      </c>
      <c r="P400" s="723">
        <f>IF(A400='Data Entry - SOF'!B$2,'Data Entry - SOF'!O$102,0)</f>
        <v>0</v>
      </c>
      <c r="Q400" s="601">
        <f t="shared" si="37"/>
        <v>3251153</v>
      </c>
      <c r="R400" s="944">
        <f>IF(A400='Data Entry - SOF'!B$2,'Report-SOF2223'!D$91,0)</f>
        <v>0</v>
      </c>
      <c r="S400" s="723">
        <f>IF(A400='Data Entry - SOF'!B$2,'Data Entry - SOF'!Q$102,0)</f>
        <v>0</v>
      </c>
      <c r="T400" s="601">
        <f t="shared" si="41"/>
        <v>3251153</v>
      </c>
      <c r="U400" s="944">
        <f>IF(A400='Data Entry - SOF'!B$2,'Report-SOF2324'!D$91,0)</f>
        <v>0</v>
      </c>
      <c r="V400" s="723">
        <f>IF(A400='Data Entry - SOF'!B$2,'Data Entry - SOF'!S$102,0)</f>
        <v>0</v>
      </c>
    </row>
    <row r="401" spans="1:22" ht="15.75">
      <c r="A401" s="382" t="s">
        <v>1179</v>
      </c>
      <c r="B401" s="91">
        <v>2972890</v>
      </c>
      <c r="C401" s="944">
        <f>IF(A401='Data Entry - SOF'!B$2,'Report-SOF1718'!D$102,0)</f>
        <v>0</v>
      </c>
      <c r="D401" s="1037">
        <f>IF(A401='Data Entry - SOF'!B$2,'Data Entry - SOF'!#REF!,0)</f>
        <v>0</v>
      </c>
      <c r="E401" s="91">
        <f t="shared" si="36"/>
        <v>2972890</v>
      </c>
      <c r="F401" s="944">
        <f>IF(A401='Data Entry - SOF'!B$2,'Report-SOF1819'!D$102,0)</f>
        <v>0</v>
      </c>
      <c r="G401" s="1037">
        <f>IF(A401='Data Entry - SOF'!B$2,'Data Entry - SOF'!E$102,0)</f>
        <v>0</v>
      </c>
      <c r="H401" s="1038">
        <f t="shared" si="38"/>
        <v>2972890</v>
      </c>
      <c r="I401" s="944">
        <f>IF(A401='Data Entry - SOF'!B$2,'Report-SOF1920-HB3'!D$102,0)</f>
        <v>0</v>
      </c>
      <c r="J401" s="1037">
        <f>IF(A401='Data Entry - SOF'!B$2,'Data Entry - SOF'!G$102,0)</f>
        <v>0</v>
      </c>
      <c r="K401" s="717">
        <f t="shared" si="39"/>
        <v>2972890</v>
      </c>
      <c r="L401" s="944">
        <f>IF(A401='Data Entry - SOF'!B$2,'Report-SOF2021'!D$99,0)</f>
        <v>0</v>
      </c>
      <c r="M401" s="723">
        <f>IF(A401='Data Entry - SOF'!B$2,'Data Entry - SOF'!M$102,0)</f>
        <v>0</v>
      </c>
      <c r="N401" s="717">
        <f t="shared" si="40"/>
        <v>2972890</v>
      </c>
      <c r="O401" s="944">
        <f>IF(A401='Data Entry - SOF'!B$2,'Report-SOF2122'!D$91,0)</f>
        <v>0</v>
      </c>
      <c r="P401" s="723">
        <f>IF(A401='Data Entry - SOF'!B$2,'Data Entry - SOF'!O$102,0)</f>
        <v>0</v>
      </c>
      <c r="Q401" s="601">
        <f t="shared" si="37"/>
        <v>2972890</v>
      </c>
      <c r="R401" s="944">
        <f>IF(A401='Data Entry - SOF'!B$2,'Report-SOF2223'!D$91,0)</f>
        <v>0</v>
      </c>
      <c r="S401" s="723">
        <f>IF(A401='Data Entry - SOF'!B$2,'Data Entry - SOF'!Q$102,0)</f>
        <v>0</v>
      </c>
      <c r="T401" s="601">
        <f t="shared" si="41"/>
        <v>2972890</v>
      </c>
      <c r="U401" s="944">
        <f>IF(A401='Data Entry - SOF'!B$2,'Report-SOF2324'!D$91,0)</f>
        <v>0</v>
      </c>
      <c r="V401" s="723">
        <f>IF(A401='Data Entry - SOF'!B$2,'Data Entry - SOF'!S$102,0)</f>
        <v>0</v>
      </c>
    </row>
    <row r="402" spans="1:22" ht="15.75">
      <c r="A402" s="382" t="s">
        <v>585</v>
      </c>
      <c r="B402" s="91">
        <v>282285256</v>
      </c>
      <c r="C402" s="944">
        <f>IF(A402='Data Entry - SOF'!B$2,'Report-SOF1718'!D$102,0)</f>
        <v>0</v>
      </c>
      <c r="D402" s="1037">
        <f>IF(A402='Data Entry - SOF'!B$2,'Data Entry - SOF'!#REF!,0)</f>
        <v>0</v>
      </c>
      <c r="E402" s="91">
        <f t="shared" si="36"/>
        <v>282285256</v>
      </c>
      <c r="F402" s="944">
        <f>IF(A402='Data Entry - SOF'!B$2,'Report-SOF1819'!D$102,0)</f>
        <v>0</v>
      </c>
      <c r="G402" s="1037">
        <f>IF(A402='Data Entry - SOF'!B$2,'Data Entry - SOF'!E$102,0)</f>
        <v>0</v>
      </c>
      <c r="H402" s="1038">
        <f t="shared" si="38"/>
        <v>282285256</v>
      </c>
      <c r="I402" s="944">
        <f>IF(A402='Data Entry - SOF'!B$2,'Report-SOF1920-HB3'!D$102,0)</f>
        <v>0</v>
      </c>
      <c r="J402" s="1037">
        <f>IF(A402='Data Entry - SOF'!B$2,'Data Entry - SOF'!G$102,0)</f>
        <v>0</v>
      </c>
      <c r="K402" s="717">
        <f t="shared" si="39"/>
        <v>282285256</v>
      </c>
      <c r="L402" s="944">
        <f>IF(A402='Data Entry - SOF'!B$2,'Report-SOF2021'!D$99,0)</f>
        <v>0</v>
      </c>
      <c r="M402" s="723">
        <f>IF(A402='Data Entry - SOF'!B$2,'Data Entry - SOF'!M$102,0)</f>
        <v>0</v>
      </c>
      <c r="N402" s="717">
        <f t="shared" si="40"/>
        <v>282285256</v>
      </c>
      <c r="O402" s="944">
        <f>IF(A402='Data Entry - SOF'!B$2,'Report-SOF2122'!D$91,0)</f>
        <v>0</v>
      </c>
      <c r="P402" s="723">
        <f>IF(A402='Data Entry - SOF'!B$2,'Data Entry - SOF'!O$102,0)</f>
        <v>0</v>
      </c>
      <c r="Q402" s="601">
        <f t="shared" si="37"/>
        <v>282285256</v>
      </c>
      <c r="R402" s="944">
        <f>IF(A402='Data Entry - SOF'!B$2,'Report-SOF2223'!D$91,0)</f>
        <v>0</v>
      </c>
      <c r="S402" s="723">
        <f>IF(A402='Data Entry - SOF'!B$2,'Data Entry - SOF'!Q$102,0)</f>
        <v>0</v>
      </c>
      <c r="T402" s="601">
        <f t="shared" si="41"/>
        <v>282285256</v>
      </c>
      <c r="U402" s="944">
        <f>IF(A402='Data Entry - SOF'!B$2,'Report-SOF2324'!D$91,0)</f>
        <v>0</v>
      </c>
      <c r="V402" s="723">
        <f>IF(A402='Data Entry - SOF'!B$2,'Data Entry - SOF'!S$102,0)</f>
        <v>0</v>
      </c>
    </row>
    <row r="403" spans="1:22" ht="15.75">
      <c r="A403" s="382" t="s">
        <v>194</v>
      </c>
      <c r="B403" s="91">
        <v>114403747</v>
      </c>
      <c r="C403" s="944">
        <f>IF(A403='Data Entry - SOF'!B$2,'Report-SOF1718'!D$102,0)</f>
        <v>0</v>
      </c>
      <c r="D403" s="1037">
        <f>IF(A403='Data Entry - SOF'!B$2,'Data Entry - SOF'!#REF!,0)</f>
        <v>0</v>
      </c>
      <c r="E403" s="91">
        <f t="shared" si="36"/>
        <v>114403747</v>
      </c>
      <c r="F403" s="944">
        <f>IF(A403='Data Entry - SOF'!B$2,'Report-SOF1819'!D$102,0)</f>
        <v>0</v>
      </c>
      <c r="G403" s="1037">
        <f>IF(A403='Data Entry - SOF'!B$2,'Data Entry - SOF'!E$102,0)</f>
        <v>0</v>
      </c>
      <c r="H403" s="1038">
        <f t="shared" si="38"/>
        <v>114403747</v>
      </c>
      <c r="I403" s="944">
        <f>IF(A403='Data Entry - SOF'!B$2,'Report-SOF1920-HB3'!D$102,0)</f>
        <v>0</v>
      </c>
      <c r="J403" s="1037">
        <f>IF(A403='Data Entry - SOF'!B$2,'Data Entry - SOF'!G$102,0)</f>
        <v>0</v>
      </c>
      <c r="K403" s="717">
        <f t="shared" si="39"/>
        <v>114403747</v>
      </c>
      <c r="L403" s="944">
        <f>IF(A403='Data Entry - SOF'!B$2,'Report-SOF2021'!D$99,0)</f>
        <v>0</v>
      </c>
      <c r="M403" s="723">
        <f>IF(A403='Data Entry - SOF'!B$2,'Data Entry - SOF'!M$102,0)</f>
        <v>0</v>
      </c>
      <c r="N403" s="717">
        <f t="shared" si="40"/>
        <v>114403747</v>
      </c>
      <c r="O403" s="944">
        <f>IF(A403='Data Entry - SOF'!B$2,'Report-SOF2122'!D$91,0)</f>
        <v>0</v>
      </c>
      <c r="P403" s="723">
        <f>IF(A403='Data Entry - SOF'!B$2,'Data Entry - SOF'!O$102,0)</f>
        <v>0</v>
      </c>
      <c r="Q403" s="601">
        <f t="shared" si="37"/>
        <v>114403747</v>
      </c>
      <c r="R403" s="944">
        <f>IF(A403='Data Entry - SOF'!B$2,'Report-SOF2223'!D$91,0)</f>
        <v>0</v>
      </c>
      <c r="S403" s="723">
        <f>IF(A403='Data Entry - SOF'!B$2,'Data Entry - SOF'!Q$102,0)</f>
        <v>0</v>
      </c>
      <c r="T403" s="601">
        <f t="shared" si="41"/>
        <v>114403747</v>
      </c>
      <c r="U403" s="944">
        <f>IF(A403='Data Entry - SOF'!B$2,'Report-SOF2324'!D$91,0)</f>
        <v>0</v>
      </c>
      <c r="V403" s="723">
        <f>IF(A403='Data Entry - SOF'!B$2,'Data Entry - SOF'!S$102,0)</f>
        <v>0</v>
      </c>
    </row>
    <row r="404" spans="1:22" ht="15.75">
      <c r="A404" s="382" t="s">
        <v>2313</v>
      </c>
      <c r="B404" s="91">
        <v>36122513</v>
      </c>
      <c r="C404" s="944">
        <f>IF(A404='Data Entry - SOF'!B$2,'Report-SOF1718'!D$102,0)</f>
        <v>0</v>
      </c>
      <c r="D404" s="1037">
        <f>IF(A404='Data Entry - SOF'!B$2,'Data Entry - SOF'!#REF!,0)</f>
        <v>0</v>
      </c>
      <c r="E404" s="91">
        <f t="shared" si="36"/>
        <v>36122513</v>
      </c>
      <c r="F404" s="944">
        <f>IF(A404='Data Entry - SOF'!B$2,'Report-SOF1819'!D$102,0)</f>
        <v>0</v>
      </c>
      <c r="G404" s="1037">
        <f>IF(A404='Data Entry - SOF'!B$2,'Data Entry - SOF'!E$102,0)</f>
        <v>0</v>
      </c>
      <c r="H404" s="1038">
        <f t="shared" si="38"/>
        <v>36122513</v>
      </c>
      <c r="I404" s="944">
        <f>IF(A404='Data Entry - SOF'!B$2,'Report-SOF1920-HB3'!D$102,0)</f>
        <v>0</v>
      </c>
      <c r="J404" s="1037">
        <f>IF(A404='Data Entry - SOF'!B$2,'Data Entry - SOF'!G$102,0)</f>
        <v>0</v>
      </c>
      <c r="K404" s="717">
        <f t="shared" si="39"/>
        <v>36122513</v>
      </c>
      <c r="L404" s="944">
        <f>IF(A404='Data Entry - SOF'!B$2,'Report-SOF2021'!D$99,0)</f>
        <v>0</v>
      </c>
      <c r="M404" s="723">
        <f>IF(A404='Data Entry - SOF'!B$2,'Data Entry - SOF'!M$102,0)</f>
        <v>0</v>
      </c>
      <c r="N404" s="717">
        <f t="shared" si="40"/>
        <v>36122513</v>
      </c>
      <c r="O404" s="944">
        <f>IF(A404='Data Entry - SOF'!B$2,'Report-SOF2122'!D$91,0)</f>
        <v>0</v>
      </c>
      <c r="P404" s="723">
        <f>IF(A404='Data Entry - SOF'!B$2,'Data Entry - SOF'!O$102,0)</f>
        <v>0</v>
      </c>
      <c r="Q404" s="601">
        <f t="shared" si="37"/>
        <v>36122513</v>
      </c>
      <c r="R404" s="944">
        <f>IF(A404='Data Entry - SOF'!B$2,'Report-SOF2223'!D$91,0)</f>
        <v>0</v>
      </c>
      <c r="S404" s="723">
        <f>IF(A404='Data Entry - SOF'!B$2,'Data Entry - SOF'!Q$102,0)</f>
        <v>0</v>
      </c>
      <c r="T404" s="601">
        <f t="shared" si="41"/>
        <v>36122513</v>
      </c>
      <c r="U404" s="944">
        <f>IF(A404='Data Entry - SOF'!B$2,'Report-SOF2324'!D$91,0)</f>
        <v>0</v>
      </c>
      <c r="V404" s="723">
        <f>IF(A404='Data Entry - SOF'!B$2,'Data Entry - SOF'!S$102,0)</f>
        <v>0</v>
      </c>
    </row>
    <row r="405" spans="1:22" ht="15.75">
      <c r="A405" s="382" t="s">
        <v>2404</v>
      </c>
      <c r="B405" s="91">
        <v>28807040</v>
      </c>
      <c r="C405" s="944">
        <f>IF(A405='Data Entry - SOF'!B$2,'Report-SOF1718'!D$102,0)</f>
        <v>0</v>
      </c>
      <c r="D405" s="1037">
        <f>IF(A405='Data Entry - SOF'!B$2,'Data Entry - SOF'!#REF!,0)</f>
        <v>0</v>
      </c>
      <c r="E405" s="91">
        <f t="shared" si="36"/>
        <v>28807040</v>
      </c>
      <c r="F405" s="944">
        <f>IF(A405='Data Entry - SOF'!B$2,'Report-SOF1819'!D$102,0)</f>
        <v>0</v>
      </c>
      <c r="G405" s="1037">
        <f>IF(A405='Data Entry - SOF'!B$2,'Data Entry - SOF'!E$102,0)</f>
        <v>0</v>
      </c>
      <c r="H405" s="1038">
        <f t="shared" si="38"/>
        <v>28807040</v>
      </c>
      <c r="I405" s="944">
        <f>IF(A405='Data Entry - SOF'!B$2,'Report-SOF1920-HB3'!D$102,0)</f>
        <v>0</v>
      </c>
      <c r="J405" s="1037">
        <f>IF(A405='Data Entry - SOF'!B$2,'Data Entry - SOF'!G$102,0)</f>
        <v>0</v>
      </c>
      <c r="K405" s="717">
        <f t="shared" si="39"/>
        <v>28807040</v>
      </c>
      <c r="L405" s="944">
        <f>IF(A405='Data Entry - SOF'!B$2,'Report-SOF2021'!D$99,0)</f>
        <v>0</v>
      </c>
      <c r="M405" s="723">
        <f>IF(A405='Data Entry - SOF'!B$2,'Data Entry - SOF'!M$102,0)</f>
        <v>0</v>
      </c>
      <c r="N405" s="717">
        <f t="shared" si="40"/>
        <v>28807040</v>
      </c>
      <c r="O405" s="944">
        <f>IF(A405='Data Entry - SOF'!B$2,'Report-SOF2122'!D$91,0)</f>
        <v>0</v>
      </c>
      <c r="P405" s="723">
        <f>IF(A405='Data Entry - SOF'!B$2,'Data Entry - SOF'!O$102,0)</f>
        <v>0</v>
      </c>
      <c r="Q405" s="601">
        <f t="shared" si="37"/>
        <v>28807040</v>
      </c>
      <c r="R405" s="944">
        <f>IF(A405='Data Entry - SOF'!B$2,'Report-SOF2223'!D$91,0)</f>
        <v>0</v>
      </c>
      <c r="S405" s="723">
        <f>IF(A405='Data Entry - SOF'!B$2,'Data Entry - SOF'!Q$102,0)</f>
        <v>0</v>
      </c>
      <c r="T405" s="601">
        <f t="shared" si="41"/>
        <v>28807040</v>
      </c>
      <c r="U405" s="944">
        <f>IF(A405='Data Entry - SOF'!B$2,'Report-SOF2324'!D$91,0)</f>
        <v>0</v>
      </c>
      <c r="V405" s="723">
        <f>IF(A405='Data Entry - SOF'!B$2,'Data Entry - SOF'!S$102,0)</f>
        <v>0</v>
      </c>
    </row>
    <row r="406" spans="1:22" ht="15.75">
      <c r="A406" s="382" t="s">
        <v>2314</v>
      </c>
      <c r="B406" s="91">
        <v>589464886</v>
      </c>
      <c r="C406" s="944">
        <f>IF(A406='Data Entry - SOF'!B$2,'Report-SOF1718'!D$102,0)</f>
        <v>0</v>
      </c>
      <c r="D406" s="1037">
        <f>IF(A406='Data Entry - SOF'!B$2,'Data Entry - SOF'!#REF!,0)</f>
        <v>0</v>
      </c>
      <c r="E406" s="91">
        <f t="shared" si="36"/>
        <v>589464886</v>
      </c>
      <c r="F406" s="944">
        <f>IF(A406='Data Entry - SOF'!B$2,'Report-SOF1819'!D$102,0)</f>
        <v>0</v>
      </c>
      <c r="G406" s="1037">
        <f>IF(A406='Data Entry - SOF'!B$2,'Data Entry - SOF'!E$102,0)</f>
        <v>0</v>
      </c>
      <c r="H406" s="1038">
        <f t="shared" si="38"/>
        <v>589464886</v>
      </c>
      <c r="I406" s="944">
        <f>IF(A406='Data Entry - SOF'!B$2,'Report-SOF1920-HB3'!D$102,0)</f>
        <v>0</v>
      </c>
      <c r="J406" s="1037">
        <f>IF(A406='Data Entry - SOF'!B$2,'Data Entry - SOF'!G$102,0)</f>
        <v>0</v>
      </c>
      <c r="K406" s="717">
        <f t="shared" si="39"/>
        <v>589464886</v>
      </c>
      <c r="L406" s="944">
        <f>IF(A406='Data Entry - SOF'!B$2,'Report-SOF2021'!D$99,0)</f>
        <v>0</v>
      </c>
      <c r="M406" s="723">
        <f>IF(A406='Data Entry - SOF'!B$2,'Data Entry - SOF'!M$102,0)</f>
        <v>0</v>
      </c>
      <c r="N406" s="717">
        <f t="shared" si="40"/>
        <v>589464886</v>
      </c>
      <c r="O406" s="944">
        <f>IF(A406='Data Entry - SOF'!B$2,'Report-SOF2122'!D$91,0)</f>
        <v>0</v>
      </c>
      <c r="P406" s="723">
        <f>IF(A406='Data Entry - SOF'!B$2,'Data Entry - SOF'!O$102,0)</f>
        <v>0</v>
      </c>
      <c r="Q406" s="601">
        <f t="shared" si="37"/>
        <v>589464886</v>
      </c>
      <c r="R406" s="944">
        <f>IF(A406='Data Entry - SOF'!B$2,'Report-SOF2223'!D$91,0)</f>
        <v>0</v>
      </c>
      <c r="S406" s="723">
        <f>IF(A406='Data Entry - SOF'!B$2,'Data Entry - SOF'!Q$102,0)</f>
        <v>0</v>
      </c>
      <c r="T406" s="601">
        <f t="shared" si="41"/>
        <v>589464886</v>
      </c>
      <c r="U406" s="944">
        <f>IF(A406='Data Entry - SOF'!B$2,'Report-SOF2324'!D$91,0)</f>
        <v>0</v>
      </c>
      <c r="V406" s="723">
        <f>IF(A406='Data Entry - SOF'!B$2,'Data Entry - SOF'!S$102,0)</f>
        <v>0</v>
      </c>
    </row>
    <row r="407" spans="1:22" ht="15.75">
      <c r="A407" s="382" t="s">
        <v>2166</v>
      </c>
      <c r="B407" s="91">
        <v>140031286</v>
      </c>
      <c r="C407" s="944">
        <f>IF(A407='Data Entry - SOF'!B$2,'Report-SOF1718'!D$102,0)</f>
        <v>0</v>
      </c>
      <c r="D407" s="1037">
        <f>IF(A407='Data Entry - SOF'!B$2,'Data Entry - SOF'!#REF!,0)</f>
        <v>0</v>
      </c>
      <c r="E407" s="91">
        <f t="shared" si="36"/>
        <v>140031286</v>
      </c>
      <c r="F407" s="944">
        <f>IF(A407='Data Entry - SOF'!B$2,'Report-SOF1819'!D$102,0)</f>
        <v>0</v>
      </c>
      <c r="G407" s="1037">
        <f>IF(A407='Data Entry - SOF'!B$2,'Data Entry - SOF'!E$102,0)</f>
        <v>0</v>
      </c>
      <c r="H407" s="1038">
        <f t="shared" si="38"/>
        <v>140031286</v>
      </c>
      <c r="I407" s="944">
        <f>IF(A407='Data Entry - SOF'!B$2,'Report-SOF1920-HB3'!D$102,0)</f>
        <v>0</v>
      </c>
      <c r="J407" s="1037">
        <f>IF(A407='Data Entry - SOF'!B$2,'Data Entry - SOF'!G$102,0)</f>
        <v>0</v>
      </c>
      <c r="K407" s="717">
        <f t="shared" si="39"/>
        <v>140031286</v>
      </c>
      <c r="L407" s="944">
        <f>IF(A407='Data Entry - SOF'!B$2,'Report-SOF2021'!D$99,0)</f>
        <v>0</v>
      </c>
      <c r="M407" s="723">
        <f>IF(A407='Data Entry - SOF'!B$2,'Data Entry - SOF'!M$102,0)</f>
        <v>0</v>
      </c>
      <c r="N407" s="717">
        <f t="shared" si="40"/>
        <v>140031286</v>
      </c>
      <c r="O407" s="944">
        <f>IF(A407='Data Entry - SOF'!B$2,'Report-SOF2122'!D$91,0)</f>
        <v>0</v>
      </c>
      <c r="P407" s="723">
        <f>IF(A407='Data Entry - SOF'!B$2,'Data Entry - SOF'!O$102,0)</f>
        <v>0</v>
      </c>
      <c r="Q407" s="601">
        <f t="shared" si="37"/>
        <v>140031286</v>
      </c>
      <c r="R407" s="944">
        <f>IF(A407='Data Entry - SOF'!B$2,'Report-SOF2223'!D$91,0)</f>
        <v>0</v>
      </c>
      <c r="S407" s="723">
        <f>IF(A407='Data Entry - SOF'!B$2,'Data Entry - SOF'!Q$102,0)</f>
        <v>0</v>
      </c>
      <c r="T407" s="601">
        <f t="shared" si="41"/>
        <v>140031286</v>
      </c>
      <c r="U407" s="944">
        <f>IF(A407='Data Entry - SOF'!B$2,'Report-SOF2324'!D$91,0)</f>
        <v>0</v>
      </c>
      <c r="V407" s="723">
        <f>IF(A407='Data Entry - SOF'!B$2,'Data Entry - SOF'!S$102,0)</f>
        <v>0</v>
      </c>
    </row>
    <row r="408" spans="1:22" ht="15.75">
      <c r="A408" s="382" t="s">
        <v>1428</v>
      </c>
      <c r="B408" s="91">
        <v>97886215</v>
      </c>
      <c r="C408" s="944">
        <f>IF(A408='Data Entry - SOF'!B$2,'Report-SOF1718'!D$102,0)</f>
        <v>0</v>
      </c>
      <c r="D408" s="1037">
        <f>IF(A408='Data Entry - SOF'!B$2,'Data Entry - SOF'!#REF!,0)</f>
        <v>0</v>
      </c>
      <c r="E408" s="91">
        <f t="shared" si="36"/>
        <v>97886215</v>
      </c>
      <c r="F408" s="944">
        <f>IF(A408='Data Entry - SOF'!B$2,'Report-SOF1819'!D$102,0)</f>
        <v>0</v>
      </c>
      <c r="G408" s="1037">
        <f>IF(A408='Data Entry - SOF'!B$2,'Data Entry - SOF'!E$102,0)</f>
        <v>0</v>
      </c>
      <c r="H408" s="1038">
        <f t="shared" si="38"/>
        <v>97886215</v>
      </c>
      <c r="I408" s="944">
        <f>IF(A408='Data Entry - SOF'!B$2,'Report-SOF1920-HB3'!D$102,0)</f>
        <v>0</v>
      </c>
      <c r="J408" s="1037">
        <f>IF(A408='Data Entry - SOF'!B$2,'Data Entry - SOF'!G$102,0)</f>
        <v>0</v>
      </c>
      <c r="K408" s="717">
        <f t="shared" si="39"/>
        <v>97886215</v>
      </c>
      <c r="L408" s="944">
        <f>IF(A408='Data Entry - SOF'!B$2,'Report-SOF2021'!D$99,0)</f>
        <v>0</v>
      </c>
      <c r="M408" s="723">
        <f>IF(A408='Data Entry - SOF'!B$2,'Data Entry - SOF'!M$102,0)</f>
        <v>0</v>
      </c>
      <c r="N408" s="717">
        <f t="shared" si="40"/>
        <v>97886215</v>
      </c>
      <c r="O408" s="944">
        <f>IF(A408='Data Entry - SOF'!B$2,'Report-SOF2122'!D$91,0)</f>
        <v>0</v>
      </c>
      <c r="P408" s="723">
        <f>IF(A408='Data Entry - SOF'!B$2,'Data Entry - SOF'!O$102,0)</f>
        <v>0</v>
      </c>
      <c r="Q408" s="601">
        <f t="shared" si="37"/>
        <v>97886215</v>
      </c>
      <c r="R408" s="944">
        <f>IF(A408='Data Entry - SOF'!B$2,'Report-SOF2223'!D$91,0)</f>
        <v>0</v>
      </c>
      <c r="S408" s="723">
        <f>IF(A408='Data Entry - SOF'!B$2,'Data Entry - SOF'!Q$102,0)</f>
        <v>0</v>
      </c>
      <c r="T408" s="601">
        <f t="shared" si="41"/>
        <v>97886215</v>
      </c>
      <c r="U408" s="944">
        <f>IF(A408='Data Entry - SOF'!B$2,'Report-SOF2324'!D$91,0)</f>
        <v>0</v>
      </c>
      <c r="V408" s="723">
        <f>IF(A408='Data Entry - SOF'!B$2,'Data Entry - SOF'!S$102,0)</f>
        <v>0</v>
      </c>
    </row>
    <row r="409" spans="1:22" ht="15.75">
      <c r="A409" s="382" t="s">
        <v>2020</v>
      </c>
      <c r="B409" s="91">
        <v>114554445</v>
      </c>
      <c r="C409" s="944">
        <f>IF(A409='Data Entry - SOF'!B$2,'Report-SOF1718'!D$102,0)</f>
        <v>0</v>
      </c>
      <c r="D409" s="1037">
        <f>IF(A409='Data Entry - SOF'!B$2,'Data Entry - SOF'!#REF!,0)</f>
        <v>0</v>
      </c>
      <c r="E409" s="91">
        <f t="shared" si="36"/>
        <v>114554445</v>
      </c>
      <c r="F409" s="944">
        <f>IF(A409='Data Entry - SOF'!B$2,'Report-SOF1819'!D$102,0)</f>
        <v>0</v>
      </c>
      <c r="G409" s="1037">
        <f>IF(A409='Data Entry - SOF'!B$2,'Data Entry - SOF'!E$102,0)</f>
        <v>0</v>
      </c>
      <c r="H409" s="1038">
        <f t="shared" si="38"/>
        <v>114554445</v>
      </c>
      <c r="I409" s="944">
        <f>IF(A409='Data Entry - SOF'!B$2,'Report-SOF1920-HB3'!D$102,0)</f>
        <v>0</v>
      </c>
      <c r="J409" s="1037">
        <f>IF(A409='Data Entry - SOF'!B$2,'Data Entry - SOF'!G$102,0)</f>
        <v>0</v>
      </c>
      <c r="K409" s="717">
        <f t="shared" si="39"/>
        <v>114554445</v>
      </c>
      <c r="L409" s="944">
        <f>IF(A409='Data Entry - SOF'!B$2,'Report-SOF2021'!D$99,0)</f>
        <v>0</v>
      </c>
      <c r="M409" s="723">
        <f>IF(A409='Data Entry - SOF'!B$2,'Data Entry - SOF'!M$102,0)</f>
        <v>0</v>
      </c>
      <c r="N409" s="717">
        <f t="shared" si="40"/>
        <v>114554445</v>
      </c>
      <c r="O409" s="944">
        <f>IF(A409='Data Entry - SOF'!B$2,'Report-SOF2122'!D$91,0)</f>
        <v>0</v>
      </c>
      <c r="P409" s="723">
        <f>IF(A409='Data Entry - SOF'!B$2,'Data Entry - SOF'!O$102,0)</f>
        <v>0</v>
      </c>
      <c r="Q409" s="601">
        <f t="shared" si="37"/>
        <v>114554445</v>
      </c>
      <c r="R409" s="944">
        <f>IF(A409='Data Entry - SOF'!B$2,'Report-SOF2223'!D$91,0)</f>
        <v>0</v>
      </c>
      <c r="S409" s="723">
        <f>IF(A409='Data Entry - SOF'!B$2,'Data Entry - SOF'!Q$102,0)</f>
        <v>0</v>
      </c>
      <c r="T409" s="601">
        <f t="shared" si="41"/>
        <v>114554445</v>
      </c>
      <c r="U409" s="944">
        <f>IF(A409='Data Entry - SOF'!B$2,'Report-SOF2324'!D$91,0)</f>
        <v>0</v>
      </c>
      <c r="V409" s="723">
        <f>IF(A409='Data Entry - SOF'!B$2,'Data Entry - SOF'!S$102,0)</f>
        <v>0</v>
      </c>
    </row>
    <row r="410" spans="1:22" ht="15.75">
      <c r="A410" s="382" t="s">
        <v>2552</v>
      </c>
      <c r="B410" s="91">
        <v>1386769100</v>
      </c>
      <c r="C410" s="944">
        <f>IF(A410='Data Entry - SOF'!B$2,'Report-SOF1718'!D$102,0)</f>
        <v>0</v>
      </c>
      <c r="D410" s="1037">
        <f>IF(A410='Data Entry - SOF'!B$2,'Data Entry - SOF'!#REF!,0)</f>
        <v>0</v>
      </c>
      <c r="E410" s="91">
        <f t="shared" si="36"/>
        <v>1386769100</v>
      </c>
      <c r="F410" s="944">
        <f>IF(A410='Data Entry - SOF'!B$2,'Report-SOF1819'!D$102,0)</f>
        <v>0</v>
      </c>
      <c r="G410" s="1037">
        <f>IF(A410='Data Entry - SOF'!B$2,'Data Entry - SOF'!E$102,0)</f>
        <v>0</v>
      </c>
      <c r="H410" s="1038">
        <f t="shared" si="38"/>
        <v>1386769100</v>
      </c>
      <c r="I410" s="944">
        <f>IF(A410='Data Entry - SOF'!B$2,'Report-SOF1920-HB3'!D$102,0)</f>
        <v>0</v>
      </c>
      <c r="J410" s="1037">
        <f>IF(A410='Data Entry - SOF'!B$2,'Data Entry - SOF'!G$102,0)</f>
        <v>0</v>
      </c>
      <c r="K410" s="717">
        <f t="shared" si="39"/>
        <v>1386769100</v>
      </c>
      <c r="L410" s="944">
        <f>IF(A410='Data Entry - SOF'!B$2,'Report-SOF2021'!D$99,0)</f>
        <v>0</v>
      </c>
      <c r="M410" s="723">
        <f>IF(A410='Data Entry - SOF'!B$2,'Data Entry - SOF'!M$102,0)</f>
        <v>0</v>
      </c>
      <c r="N410" s="717">
        <f t="shared" si="40"/>
        <v>1386769100</v>
      </c>
      <c r="O410" s="944">
        <f>IF(A410='Data Entry - SOF'!B$2,'Report-SOF2122'!D$91,0)</f>
        <v>0</v>
      </c>
      <c r="P410" s="723">
        <f>IF(A410='Data Entry - SOF'!B$2,'Data Entry - SOF'!O$102,0)</f>
        <v>0</v>
      </c>
      <c r="Q410" s="601">
        <f t="shared" si="37"/>
        <v>1386769100</v>
      </c>
      <c r="R410" s="944">
        <f>IF(A410='Data Entry - SOF'!B$2,'Report-SOF2223'!D$91,0)</f>
        <v>0</v>
      </c>
      <c r="S410" s="723">
        <f>IF(A410='Data Entry - SOF'!B$2,'Data Entry - SOF'!Q$102,0)</f>
        <v>0</v>
      </c>
      <c r="T410" s="601">
        <f t="shared" si="41"/>
        <v>1386769100</v>
      </c>
      <c r="U410" s="944">
        <f>IF(A410='Data Entry - SOF'!B$2,'Report-SOF2324'!D$91,0)</f>
        <v>0</v>
      </c>
      <c r="V410" s="723">
        <f>IF(A410='Data Entry - SOF'!B$2,'Data Entry - SOF'!S$102,0)</f>
        <v>0</v>
      </c>
    </row>
    <row r="411" spans="1:22" ht="15.75">
      <c r="A411" s="382" t="s">
        <v>1117</v>
      </c>
      <c r="B411" s="91">
        <v>214525362</v>
      </c>
      <c r="C411" s="944">
        <f>IF(A411='Data Entry - SOF'!B$2,'Report-SOF1718'!D$102,0)</f>
        <v>0</v>
      </c>
      <c r="D411" s="1037">
        <f>IF(A411='Data Entry - SOF'!B$2,'Data Entry - SOF'!#REF!,0)</f>
        <v>0</v>
      </c>
      <c r="E411" s="91">
        <f t="shared" si="36"/>
        <v>214525362</v>
      </c>
      <c r="F411" s="944">
        <f>IF(A411='Data Entry - SOF'!B$2,'Report-SOF1819'!D$102,0)</f>
        <v>0</v>
      </c>
      <c r="G411" s="1037">
        <f>IF(A411='Data Entry - SOF'!B$2,'Data Entry - SOF'!E$102,0)</f>
        <v>0</v>
      </c>
      <c r="H411" s="1038">
        <f t="shared" si="38"/>
        <v>214525362</v>
      </c>
      <c r="I411" s="944">
        <f>IF(A411='Data Entry - SOF'!B$2,'Report-SOF1920-HB3'!D$102,0)</f>
        <v>0</v>
      </c>
      <c r="J411" s="1037">
        <f>IF(A411='Data Entry - SOF'!B$2,'Data Entry - SOF'!G$102,0)</f>
        <v>0</v>
      </c>
      <c r="K411" s="717">
        <f t="shared" si="39"/>
        <v>214525362</v>
      </c>
      <c r="L411" s="944">
        <f>IF(A411='Data Entry - SOF'!B$2,'Report-SOF2021'!D$99,0)</f>
        <v>0</v>
      </c>
      <c r="M411" s="723">
        <f>IF(A411='Data Entry - SOF'!B$2,'Data Entry - SOF'!M$102,0)</f>
        <v>0</v>
      </c>
      <c r="N411" s="717">
        <f t="shared" si="40"/>
        <v>214525362</v>
      </c>
      <c r="O411" s="944">
        <f>IF(A411='Data Entry - SOF'!B$2,'Report-SOF2122'!D$91,0)</f>
        <v>0</v>
      </c>
      <c r="P411" s="723">
        <f>IF(A411='Data Entry - SOF'!B$2,'Data Entry - SOF'!O$102,0)</f>
        <v>0</v>
      </c>
      <c r="Q411" s="601">
        <f t="shared" si="37"/>
        <v>214525362</v>
      </c>
      <c r="R411" s="944">
        <f>IF(A411='Data Entry - SOF'!B$2,'Report-SOF2223'!D$91,0)</f>
        <v>0</v>
      </c>
      <c r="S411" s="723">
        <f>IF(A411='Data Entry - SOF'!B$2,'Data Entry - SOF'!Q$102,0)</f>
        <v>0</v>
      </c>
      <c r="T411" s="601">
        <f t="shared" si="41"/>
        <v>214525362</v>
      </c>
      <c r="U411" s="944">
        <f>IF(A411='Data Entry - SOF'!B$2,'Report-SOF2324'!D$91,0)</f>
        <v>0</v>
      </c>
      <c r="V411" s="723">
        <f>IF(A411='Data Entry - SOF'!B$2,'Data Entry - SOF'!S$102,0)</f>
        <v>0</v>
      </c>
    </row>
    <row r="412" spans="1:22" ht="15.75">
      <c r="A412" s="382" t="s">
        <v>48</v>
      </c>
      <c r="B412" s="91">
        <v>885572574</v>
      </c>
      <c r="C412" s="944">
        <f>IF(A412='Data Entry - SOF'!B$2,'Report-SOF1718'!D$102,0)</f>
        <v>0</v>
      </c>
      <c r="D412" s="1037">
        <f>IF(A412='Data Entry - SOF'!B$2,'Data Entry - SOF'!#REF!,0)</f>
        <v>0</v>
      </c>
      <c r="E412" s="91">
        <f t="shared" si="36"/>
        <v>885572574</v>
      </c>
      <c r="F412" s="944">
        <f>IF(A412='Data Entry - SOF'!B$2,'Report-SOF1819'!D$102,0)</f>
        <v>0</v>
      </c>
      <c r="G412" s="1037">
        <f>IF(A412='Data Entry - SOF'!B$2,'Data Entry - SOF'!E$102,0)</f>
        <v>0</v>
      </c>
      <c r="H412" s="1038">
        <f t="shared" si="38"/>
        <v>885572574</v>
      </c>
      <c r="I412" s="944">
        <f>IF(A412='Data Entry - SOF'!B$2,'Report-SOF1920-HB3'!D$102,0)</f>
        <v>0</v>
      </c>
      <c r="J412" s="1037">
        <f>IF(A412='Data Entry - SOF'!B$2,'Data Entry - SOF'!G$102,0)</f>
        <v>0</v>
      </c>
      <c r="K412" s="717">
        <f t="shared" si="39"/>
        <v>885572574</v>
      </c>
      <c r="L412" s="944">
        <f>IF(A412='Data Entry - SOF'!B$2,'Report-SOF2021'!D$99,0)</f>
        <v>0</v>
      </c>
      <c r="M412" s="723">
        <f>IF(A412='Data Entry - SOF'!B$2,'Data Entry - SOF'!M$102,0)</f>
        <v>0</v>
      </c>
      <c r="N412" s="717">
        <f t="shared" si="40"/>
        <v>885572574</v>
      </c>
      <c r="O412" s="944">
        <f>IF(A412='Data Entry - SOF'!B$2,'Report-SOF2122'!D$91,0)</f>
        <v>0</v>
      </c>
      <c r="P412" s="723">
        <f>IF(A412='Data Entry - SOF'!B$2,'Data Entry - SOF'!O$102,0)</f>
        <v>0</v>
      </c>
      <c r="Q412" s="601">
        <f t="shared" si="37"/>
        <v>885572574</v>
      </c>
      <c r="R412" s="944">
        <f>IF(A412='Data Entry - SOF'!B$2,'Report-SOF2223'!D$91,0)</f>
        <v>0</v>
      </c>
      <c r="S412" s="723">
        <f>IF(A412='Data Entry - SOF'!B$2,'Data Entry - SOF'!Q$102,0)</f>
        <v>0</v>
      </c>
      <c r="T412" s="601">
        <f t="shared" si="41"/>
        <v>885572574</v>
      </c>
      <c r="U412" s="944">
        <f>IF(A412='Data Entry - SOF'!B$2,'Report-SOF2324'!D$91,0)</f>
        <v>0</v>
      </c>
      <c r="V412" s="723">
        <f>IF(A412='Data Entry - SOF'!B$2,'Data Entry - SOF'!S$102,0)</f>
        <v>0</v>
      </c>
    </row>
    <row r="413" spans="1:22" ht="15.75">
      <c r="A413" s="382" t="s">
        <v>55</v>
      </c>
      <c r="B413" s="91">
        <v>230351204</v>
      </c>
      <c r="C413" s="944">
        <f>IF(A413='Data Entry - SOF'!B$2,'Report-SOF1718'!D$102,0)</f>
        <v>0</v>
      </c>
      <c r="D413" s="1037">
        <f>IF(A413='Data Entry - SOF'!B$2,'Data Entry - SOF'!#REF!,0)</f>
        <v>0</v>
      </c>
      <c r="E413" s="91">
        <f t="shared" si="36"/>
        <v>230351204</v>
      </c>
      <c r="F413" s="944">
        <f>IF(A413='Data Entry - SOF'!B$2,'Report-SOF1819'!D$102,0)</f>
        <v>0</v>
      </c>
      <c r="G413" s="1037">
        <f>IF(A413='Data Entry - SOF'!B$2,'Data Entry - SOF'!E$102,0)</f>
        <v>0</v>
      </c>
      <c r="H413" s="1038">
        <f t="shared" si="38"/>
        <v>230351204</v>
      </c>
      <c r="I413" s="944">
        <f>IF(A413='Data Entry - SOF'!B$2,'Report-SOF1920-HB3'!D$102,0)</f>
        <v>0</v>
      </c>
      <c r="J413" s="1037">
        <f>IF(A413='Data Entry - SOF'!B$2,'Data Entry - SOF'!G$102,0)</f>
        <v>0</v>
      </c>
      <c r="K413" s="717">
        <f t="shared" si="39"/>
        <v>230351204</v>
      </c>
      <c r="L413" s="944">
        <f>IF(A413='Data Entry - SOF'!B$2,'Report-SOF2021'!D$99,0)</f>
        <v>0</v>
      </c>
      <c r="M413" s="723">
        <f>IF(A413='Data Entry - SOF'!B$2,'Data Entry - SOF'!M$102,0)</f>
        <v>0</v>
      </c>
      <c r="N413" s="717">
        <f t="shared" si="40"/>
        <v>230351204</v>
      </c>
      <c r="O413" s="944">
        <f>IF(A413='Data Entry - SOF'!B$2,'Report-SOF2122'!D$91,0)</f>
        <v>0</v>
      </c>
      <c r="P413" s="723">
        <f>IF(A413='Data Entry - SOF'!B$2,'Data Entry - SOF'!O$102,0)</f>
        <v>0</v>
      </c>
      <c r="Q413" s="601">
        <f t="shared" si="37"/>
        <v>230351204</v>
      </c>
      <c r="R413" s="944">
        <f>IF(A413='Data Entry - SOF'!B$2,'Report-SOF2223'!D$91,0)</f>
        <v>0</v>
      </c>
      <c r="S413" s="723">
        <f>IF(A413='Data Entry - SOF'!B$2,'Data Entry - SOF'!Q$102,0)</f>
        <v>0</v>
      </c>
      <c r="T413" s="601">
        <f t="shared" si="41"/>
        <v>230351204</v>
      </c>
      <c r="U413" s="944">
        <f>IF(A413='Data Entry - SOF'!B$2,'Report-SOF2324'!D$91,0)</f>
        <v>0</v>
      </c>
      <c r="V413" s="723">
        <f>IF(A413='Data Entry - SOF'!B$2,'Data Entry - SOF'!S$102,0)</f>
        <v>0</v>
      </c>
    </row>
    <row r="414" spans="1:22" ht="15.75">
      <c r="A414" s="382" t="s">
        <v>2553</v>
      </c>
      <c r="B414" s="91">
        <v>169360670</v>
      </c>
      <c r="C414" s="944">
        <f>IF(A414='Data Entry - SOF'!B$2,'Report-SOF1718'!D$102,0)</f>
        <v>0</v>
      </c>
      <c r="D414" s="1037">
        <f>IF(A414='Data Entry - SOF'!B$2,'Data Entry - SOF'!#REF!,0)</f>
        <v>0</v>
      </c>
      <c r="E414" s="91">
        <f t="shared" si="36"/>
        <v>169360670</v>
      </c>
      <c r="F414" s="944">
        <f>IF(A414='Data Entry - SOF'!B$2,'Report-SOF1819'!D$102,0)</f>
        <v>0</v>
      </c>
      <c r="G414" s="1037">
        <f>IF(A414='Data Entry - SOF'!B$2,'Data Entry - SOF'!E$102,0)</f>
        <v>0</v>
      </c>
      <c r="H414" s="1038">
        <f t="shared" si="38"/>
        <v>169360670</v>
      </c>
      <c r="I414" s="944">
        <f>IF(A414='Data Entry - SOF'!B$2,'Report-SOF1920-HB3'!D$102,0)</f>
        <v>0</v>
      </c>
      <c r="J414" s="1037">
        <f>IF(A414='Data Entry - SOF'!B$2,'Data Entry - SOF'!G$102,0)</f>
        <v>0</v>
      </c>
      <c r="K414" s="717">
        <f t="shared" si="39"/>
        <v>169360670</v>
      </c>
      <c r="L414" s="944">
        <f>IF(A414='Data Entry - SOF'!B$2,'Report-SOF2021'!D$99,0)</f>
        <v>0</v>
      </c>
      <c r="M414" s="723">
        <f>IF(A414='Data Entry - SOF'!B$2,'Data Entry - SOF'!M$102,0)</f>
        <v>0</v>
      </c>
      <c r="N414" s="717">
        <f t="shared" si="40"/>
        <v>169360670</v>
      </c>
      <c r="O414" s="944">
        <f>IF(A414='Data Entry - SOF'!B$2,'Report-SOF2122'!D$91,0)</f>
        <v>0</v>
      </c>
      <c r="P414" s="723">
        <f>IF(A414='Data Entry - SOF'!B$2,'Data Entry - SOF'!O$102,0)</f>
        <v>0</v>
      </c>
      <c r="Q414" s="601">
        <f t="shared" si="37"/>
        <v>169360670</v>
      </c>
      <c r="R414" s="944">
        <f>IF(A414='Data Entry - SOF'!B$2,'Report-SOF2223'!D$91,0)</f>
        <v>0</v>
      </c>
      <c r="S414" s="723">
        <f>IF(A414='Data Entry - SOF'!B$2,'Data Entry - SOF'!Q$102,0)</f>
        <v>0</v>
      </c>
      <c r="T414" s="601">
        <f t="shared" si="41"/>
        <v>169360670</v>
      </c>
      <c r="U414" s="944">
        <f>IF(A414='Data Entry - SOF'!B$2,'Report-SOF2324'!D$91,0)</f>
        <v>0</v>
      </c>
      <c r="V414" s="723">
        <f>IF(A414='Data Entry - SOF'!B$2,'Data Entry - SOF'!S$102,0)</f>
        <v>0</v>
      </c>
    </row>
    <row r="415" spans="1:22" ht="15.75">
      <c r="A415" s="382" t="s">
        <v>206</v>
      </c>
      <c r="B415" s="91">
        <v>156861198</v>
      </c>
      <c r="C415" s="944">
        <f>IF(A415='Data Entry - SOF'!B$2,'Report-SOF1718'!D$102,0)</f>
        <v>0</v>
      </c>
      <c r="D415" s="1037">
        <f>IF(A415='Data Entry - SOF'!B$2,'Data Entry - SOF'!#REF!,0)</f>
        <v>0</v>
      </c>
      <c r="E415" s="91">
        <f t="shared" si="36"/>
        <v>156861198</v>
      </c>
      <c r="F415" s="944">
        <f>IF(A415='Data Entry - SOF'!B$2,'Report-SOF1819'!D$102,0)</f>
        <v>0</v>
      </c>
      <c r="G415" s="1037">
        <f>IF(A415='Data Entry - SOF'!B$2,'Data Entry - SOF'!E$102,0)</f>
        <v>0</v>
      </c>
      <c r="H415" s="1038">
        <f t="shared" si="38"/>
        <v>156861198</v>
      </c>
      <c r="I415" s="944">
        <f>IF(A415='Data Entry - SOF'!B$2,'Report-SOF1920-HB3'!D$102,0)</f>
        <v>0</v>
      </c>
      <c r="J415" s="1037">
        <f>IF(A415='Data Entry - SOF'!B$2,'Data Entry - SOF'!G$102,0)</f>
        <v>0</v>
      </c>
      <c r="K415" s="717">
        <f t="shared" si="39"/>
        <v>156861198</v>
      </c>
      <c r="L415" s="944">
        <f>IF(A415='Data Entry - SOF'!B$2,'Report-SOF2021'!D$99,0)</f>
        <v>0</v>
      </c>
      <c r="M415" s="723">
        <f>IF(A415='Data Entry - SOF'!B$2,'Data Entry - SOF'!M$102,0)</f>
        <v>0</v>
      </c>
      <c r="N415" s="717">
        <f t="shared" si="40"/>
        <v>156861198</v>
      </c>
      <c r="O415" s="944">
        <f>IF(A415='Data Entry - SOF'!B$2,'Report-SOF2122'!D$91,0)</f>
        <v>0</v>
      </c>
      <c r="P415" s="723">
        <f>IF(A415='Data Entry - SOF'!B$2,'Data Entry - SOF'!O$102,0)</f>
        <v>0</v>
      </c>
      <c r="Q415" s="601">
        <f t="shared" si="37"/>
        <v>156861198</v>
      </c>
      <c r="R415" s="944">
        <f>IF(A415='Data Entry - SOF'!B$2,'Report-SOF2223'!D$91,0)</f>
        <v>0</v>
      </c>
      <c r="S415" s="723">
        <f>IF(A415='Data Entry - SOF'!B$2,'Data Entry - SOF'!Q$102,0)</f>
        <v>0</v>
      </c>
      <c r="T415" s="601">
        <f t="shared" si="41"/>
        <v>156861198</v>
      </c>
      <c r="U415" s="944">
        <f>IF(A415='Data Entry - SOF'!B$2,'Report-SOF2324'!D$91,0)</f>
        <v>0</v>
      </c>
      <c r="V415" s="723">
        <f>IF(A415='Data Entry - SOF'!B$2,'Data Entry - SOF'!S$102,0)</f>
        <v>0</v>
      </c>
    </row>
    <row r="416" spans="1:22" ht="15.75">
      <c r="A416" s="382" t="s">
        <v>668</v>
      </c>
      <c r="B416" s="91">
        <v>305729135</v>
      </c>
      <c r="C416" s="944">
        <f>IF(A416='Data Entry - SOF'!B$2,'Report-SOF1718'!D$102,0)</f>
        <v>0</v>
      </c>
      <c r="D416" s="1037">
        <f>IF(A416='Data Entry - SOF'!B$2,'Data Entry - SOF'!#REF!,0)</f>
        <v>0</v>
      </c>
      <c r="E416" s="91">
        <f t="shared" si="36"/>
        <v>305729135</v>
      </c>
      <c r="F416" s="944">
        <f>IF(A416='Data Entry - SOF'!B$2,'Report-SOF1819'!D$102,0)</f>
        <v>0</v>
      </c>
      <c r="G416" s="1037">
        <f>IF(A416='Data Entry - SOF'!B$2,'Data Entry - SOF'!E$102,0)</f>
        <v>0</v>
      </c>
      <c r="H416" s="1038">
        <f t="shared" si="38"/>
        <v>305729135</v>
      </c>
      <c r="I416" s="944">
        <f>IF(A416='Data Entry - SOF'!B$2,'Report-SOF1920-HB3'!D$102,0)</f>
        <v>0</v>
      </c>
      <c r="J416" s="1037">
        <f>IF(A416='Data Entry - SOF'!B$2,'Data Entry - SOF'!G$102,0)</f>
        <v>0</v>
      </c>
      <c r="K416" s="717">
        <f t="shared" si="39"/>
        <v>305729135</v>
      </c>
      <c r="L416" s="944">
        <f>IF(A416='Data Entry - SOF'!B$2,'Report-SOF2021'!D$99,0)</f>
        <v>0</v>
      </c>
      <c r="M416" s="723">
        <f>IF(A416='Data Entry - SOF'!B$2,'Data Entry - SOF'!M$102,0)</f>
        <v>0</v>
      </c>
      <c r="N416" s="717">
        <f t="shared" si="40"/>
        <v>305729135</v>
      </c>
      <c r="O416" s="944">
        <f>IF(A416='Data Entry - SOF'!B$2,'Report-SOF2122'!D$91,0)</f>
        <v>0</v>
      </c>
      <c r="P416" s="723">
        <f>IF(A416='Data Entry - SOF'!B$2,'Data Entry - SOF'!O$102,0)</f>
        <v>0</v>
      </c>
      <c r="Q416" s="601">
        <f t="shared" si="37"/>
        <v>305729135</v>
      </c>
      <c r="R416" s="944">
        <f>IF(A416='Data Entry - SOF'!B$2,'Report-SOF2223'!D$91,0)</f>
        <v>0</v>
      </c>
      <c r="S416" s="723">
        <f>IF(A416='Data Entry - SOF'!B$2,'Data Entry - SOF'!Q$102,0)</f>
        <v>0</v>
      </c>
      <c r="T416" s="601">
        <f t="shared" si="41"/>
        <v>305729135</v>
      </c>
      <c r="U416" s="944">
        <f>IF(A416='Data Entry - SOF'!B$2,'Report-SOF2324'!D$91,0)</f>
        <v>0</v>
      </c>
      <c r="V416" s="723">
        <f>IF(A416='Data Entry - SOF'!B$2,'Data Entry - SOF'!S$102,0)</f>
        <v>0</v>
      </c>
    </row>
    <row r="417" spans="1:22" ht="15.75">
      <c r="A417" s="382" t="s">
        <v>811</v>
      </c>
      <c r="B417" s="91">
        <v>429053549.67047602</v>
      </c>
      <c r="C417" s="944">
        <f>IF(A417='Data Entry - SOF'!B$2,'Report-SOF1718'!D$102,0)</f>
        <v>0</v>
      </c>
      <c r="D417" s="1037">
        <f>IF(A417='Data Entry - SOF'!B$2,'Data Entry - SOF'!#REF!,0)</f>
        <v>0</v>
      </c>
      <c r="E417" s="91">
        <f t="shared" si="36"/>
        <v>429053549.67047602</v>
      </c>
      <c r="F417" s="944">
        <f>IF(A417='Data Entry - SOF'!B$2,'Report-SOF1819'!D$102,0)</f>
        <v>0</v>
      </c>
      <c r="G417" s="1037">
        <f>IF(A417='Data Entry - SOF'!B$2,'Data Entry - SOF'!E$102,0)</f>
        <v>0</v>
      </c>
      <c r="H417" s="1038">
        <f t="shared" si="38"/>
        <v>429053549.67047602</v>
      </c>
      <c r="I417" s="944">
        <f>IF(A417='Data Entry - SOF'!B$2,'Report-SOF1920-HB3'!D$102,0)</f>
        <v>0</v>
      </c>
      <c r="J417" s="1037">
        <f>IF(A417='Data Entry - SOF'!B$2,'Data Entry - SOF'!G$102,0)</f>
        <v>0</v>
      </c>
      <c r="K417" s="717">
        <f t="shared" si="39"/>
        <v>429053549.67047602</v>
      </c>
      <c r="L417" s="944">
        <f>IF(A417='Data Entry - SOF'!B$2,'Report-SOF2021'!D$99,0)</f>
        <v>0</v>
      </c>
      <c r="M417" s="723">
        <f>IF(A417='Data Entry - SOF'!B$2,'Data Entry - SOF'!M$102,0)</f>
        <v>0</v>
      </c>
      <c r="N417" s="717">
        <f t="shared" si="40"/>
        <v>429053549.67047602</v>
      </c>
      <c r="O417" s="944">
        <f>IF(A417='Data Entry - SOF'!B$2,'Report-SOF2122'!D$91,0)</f>
        <v>0</v>
      </c>
      <c r="P417" s="723">
        <f>IF(A417='Data Entry - SOF'!B$2,'Data Entry - SOF'!O$102,0)</f>
        <v>0</v>
      </c>
      <c r="Q417" s="601">
        <f t="shared" si="37"/>
        <v>429053549.67047602</v>
      </c>
      <c r="R417" s="944">
        <f>IF(A417='Data Entry - SOF'!B$2,'Report-SOF2223'!D$91,0)</f>
        <v>0</v>
      </c>
      <c r="S417" s="723">
        <f>IF(A417='Data Entry - SOF'!B$2,'Data Entry - SOF'!Q$102,0)</f>
        <v>0</v>
      </c>
      <c r="T417" s="601">
        <f t="shared" si="41"/>
        <v>429053549.67047602</v>
      </c>
      <c r="U417" s="944">
        <f>IF(A417='Data Entry - SOF'!B$2,'Report-SOF2324'!D$91,0)</f>
        <v>0</v>
      </c>
      <c r="V417" s="723">
        <f>IF(A417='Data Entry - SOF'!B$2,'Data Entry - SOF'!S$102,0)</f>
        <v>0</v>
      </c>
    </row>
    <row r="418" spans="1:22" ht="15.75">
      <c r="A418" s="382" t="s">
        <v>1947</v>
      </c>
      <c r="B418" s="91">
        <v>153060840.015214</v>
      </c>
      <c r="C418" s="944">
        <f>IF(A418='Data Entry - SOF'!B$2,'Report-SOF1718'!D$102,0)</f>
        <v>0</v>
      </c>
      <c r="D418" s="1037">
        <f>IF(A418='Data Entry - SOF'!B$2,'Data Entry - SOF'!#REF!,0)</f>
        <v>0</v>
      </c>
      <c r="E418" s="91">
        <f t="shared" si="36"/>
        <v>153060840.015214</v>
      </c>
      <c r="F418" s="944">
        <f>IF(A418='Data Entry - SOF'!B$2,'Report-SOF1819'!D$102,0)</f>
        <v>0</v>
      </c>
      <c r="G418" s="1037">
        <f>IF(A418='Data Entry - SOF'!B$2,'Data Entry - SOF'!E$102,0)</f>
        <v>0</v>
      </c>
      <c r="H418" s="1038">
        <f t="shared" si="38"/>
        <v>153060840.015214</v>
      </c>
      <c r="I418" s="944">
        <f>IF(A418='Data Entry - SOF'!B$2,'Report-SOF1920-HB3'!D$102,0)</f>
        <v>0</v>
      </c>
      <c r="J418" s="1037">
        <f>IF(A418='Data Entry - SOF'!B$2,'Data Entry - SOF'!G$102,0)</f>
        <v>0</v>
      </c>
      <c r="K418" s="717">
        <f t="shared" si="39"/>
        <v>153060840.015214</v>
      </c>
      <c r="L418" s="944">
        <f>IF(A418='Data Entry - SOF'!B$2,'Report-SOF2021'!D$99,0)</f>
        <v>0</v>
      </c>
      <c r="M418" s="723">
        <f>IF(A418='Data Entry - SOF'!B$2,'Data Entry - SOF'!M$102,0)</f>
        <v>0</v>
      </c>
      <c r="N418" s="717">
        <f t="shared" si="40"/>
        <v>153060840.015214</v>
      </c>
      <c r="O418" s="944">
        <f>IF(A418='Data Entry - SOF'!B$2,'Report-SOF2122'!D$91,0)</f>
        <v>0</v>
      </c>
      <c r="P418" s="723">
        <f>IF(A418='Data Entry - SOF'!B$2,'Data Entry - SOF'!O$102,0)</f>
        <v>0</v>
      </c>
      <c r="Q418" s="601">
        <f t="shared" si="37"/>
        <v>153060840.015214</v>
      </c>
      <c r="R418" s="944">
        <f>IF(A418='Data Entry - SOF'!B$2,'Report-SOF2223'!D$91,0)</f>
        <v>0</v>
      </c>
      <c r="S418" s="723">
        <f>IF(A418='Data Entry - SOF'!B$2,'Data Entry - SOF'!Q$102,0)</f>
        <v>0</v>
      </c>
      <c r="T418" s="601">
        <f t="shared" si="41"/>
        <v>153060840.015214</v>
      </c>
      <c r="U418" s="944">
        <f>IF(A418='Data Entry - SOF'!B$2,'Report-SOF2324'!D$91,0)</f>
        <v>0</v>
      </c>
      <c r="V418" s="723">
        <f>IF(A418='Data Entry - SOF'!B$2,'Data Entry - SOF'!S$102,0)</f>
        <v>0</v>
      </c>
    </row>
    <row r="419" spans="1:22" ht="15.75">
      <c r="A419" s="382" t="s">
        <v>1948</v>
      </c>
      <c r="B419" s="91">
        <v>93220918</v>
      </c>
      <c r="C419" s="944">
        <f>IF(A419='Data Entry - SOF'!B$2,'Report-SOF1718'!D$102,0)</f>
        <v>0</v>
      </c>
      <c r="D419" s="1037">
        <f>IF(A419='Data Entry - SOF'!B$2,'Data Entry - SOF'!#REF!,0)</f>
        <v>0</v>
      </c>
      <c r="E419" s="91">
        <f t="shared" si="36"/>
        <v>93220918</v>
      </c>
      <c r="F419" s="944">
        <f>IF(A419='Data Entry - SOF'!B$2,'Report-SOF1819'!D$102,0)</f>
        <v>0</v>
      </c>
      <c r="G419" s="1037">
        <f>IF(A419='Data Entry - SOF'!B$2,'Data Entry - SOF'!E$102,0)</f>
        <v>0</v>
      </c>
      <c r="H419" s="1038">
        <f t="shared" si="38"/>
        <v>93220918</v>
      </c>
      <c r="I419" s="944">
        <f>IF(A419='Data Entry - SOF'!B$2,'Report-SOF1920-HB3'!D$102,0)</f>
        <v>0</v>
      </c>
      <c r="J419" s="1037">
        <f>IF(A419='Data Entry - SOF'!B$2,'Data Entry - SOF'!G$102,0)</f>
        <v>0</v>
      </c>
      <c r="K419" s="717">
        <f t="shared" si="39"/>
        <v>93220918</v>
      </c>
      <c r="L419" s="944">
        <f>IF(A419='Data Entry - SOF'!B$2,'Report-SOF2021'!D$99,0)</f>
        <v>0</v>
      </c>
      <c r="M419" s="723">
        <f>IF(A419='Data Entry - SOF'!B$2,'Data Entry - SOF'!M$102,0)</f>
        <v>0</v>
      </c>
      <c r="N419" s="717">
        <f t="shared" si="40"/>
        <v>93220918</v>
      </c>
      <c r="O419" s="944">
        <f>IF(A419='Data Entry - SOF'!B$2,'Report-SOF2122'!D$91,0)</f>
        <v>0</v>
      </c>
      <c r="P419" s="723">
        <f>IF(A419='Data Entry - SOF'!B$2,'Data Entry - SOF'!O$102,0)</f>
        <v>0</v>
      </c>
      <c r="Q419" s="601">
        <f t="shared" si="37"/>
        <v>93220918</v>
      </c>
      <c r="R419" s="944">
        <f>IF(A419='Data Entry - SOF'!B$2,'Report-SOF2223'!D$91,0)</f>
        <v>0</v>
      </c>
      <c r="S419" s="723">
        <f>IF(A419='Data Entry - SOF'!B$2,'Data Entry - SOF'!Q$102,0)</f>
        <v>0</v>
      </c>
      <c r="T419" s="601">
        <f t="shared" si="41"/>
        <v>93220918</v>
      </c>
      <c r="U419" s="944">
        <f>IF(A419='Data Entry - SOF'!B$2,'Report-SOF2324'!D$91,0)</f>
        <v>0</v>
      </c>
      <c r="V419" s="723">
        <f>IF(A419='Data Entry - SOF'!B$2,'Data Entry - SOF'!S$102,0)</f>
        <v>0</v>
      </c>
    </row>
    <row r="420" spans="1:22" ht="15.75">
      <c r="A420" s="382" t="s">
        <v>867</v>
      </c>
      <c r="B420" s="91">
        <v>18471061</v>
      </c>
      <c r="C420" s="944">
        <f>IF(A420='Data Entry - SOF'!B$2,'Report-SOF1718'!D$102,0)</f>
        <v>0</v>
      </c>
      <c r="D420" s="1037">
        <f>IF(A420='Data Entry - SOF'!B$2,'Data Entry - SOF'!#REF!,0)</f>
        <v>0</v>
      </c>
      <c r="E420" s="91">
        <f t="shared" si="36"/>
        <v>18471061</v>
      </c>
      <c r="F420" s="944">
        <f>IF(A420='Data Entry - SOF'!B$2,'Report-SOF1819'!D$102,0)</f>
        <v>0</v>
      </c>
      <c r="G420" s="1037">
        <f>IF(A420='Data Entry - SOF'!B$2,'Data Entry - SOF'!E$102,0)</f>
        <v>0</v>
      </c>
      <c r="H420" s="1038">
        <f t="shared" si="38"/>
        <v>18471061</v>
      </c>
      <c r="I420" s="944">
        <f>IF(A420='Data Entry - SOF'!B$2,'Report-SOF1920-HB3'!D$102,0)</f>
        <v>0</v>
      </c>
      <c r="J420" s="1037">
        <f>IF(A420='Data Entry - SOF'!B$2,'Data Entry - SOF'!G$102,0)</f>
        <v>0</v>
      </c>
      <c r="K420" s="717">
        <f t="shared" si="39"/>
        <v>18471061</v>
      </c>
      <c r="L420" s="944">
        <f>IF(A420='Data Entry - SOF'!B$2,'Report-SOF2021'!D$99,0)</f>
        <v>0</v>
      </c>
      <c r="M420" s="723">
        <f>IF(A420='Data Entry - SOF'!B$2,'Data Entry - SOF'!M$102,0)</f>
        <v>0</v>
      </c>
      <c r="N420" s="717">
        <f t="shared" si="40"/>
        <v>18471061</v>
      </c>
      <c r="O420" s="944">
        <f>IF(A420='Data Entry - SOF'!B$2,'Report-SOF2122'!D$91,0)</f>
        <v>0</v>
      </c>
      <c r="P420" s="723">
        <f>IF(A420='Data Entry - SOF'!B$2,'Data Entry - SOF'!O$102,0)</f>
        <v>0</v>
      </c>
      <c r="Q420" s="601">
        <f t="shared" si="37"/>
        <v>18471061</v>
      </c>
      <c r="R420" s="944">
        <f>IF(A420='Data Entry - SOF'!B$2,'Report-SOF2223'!D$91,0)</f>
        <v>0</v>
      </c>
      <c r="S420" s="723">
        <f>IF(A420='Data Entry - SOF'!B$2,'Data Entry - SOF'!Q$102,0)</f>
        <v>0</v>
      </c>
      <c r="T420" s="601">
        <f t="shared" si="41"/>
        <v>18471061</v>
      </c>
      <c r="U420" s="944">
        <f>IF(A420='Data Entry - SOF'!B$2,'Report-SOF2324'!D$91,0)</f>
        <v>0</v>
      </c>
      <c r="V420" s="723">
        <f>IF(A420='Data Entry - SOF'!B$2,'Data Entry - SOF'!S$102,0)</f>
        <v>0</v>
      </c>
    </row>
    <row r="421" spans="1:22" ht="15.75">
      <c r="A421" s="382" t="s">
        <v>1949</v>
      </c>
      <c r="B421" s="91">
        <v>424166</v>
      </c>
      <c r="C421" s="944">
        <f>IF(A421='Data Entry - SOF'!B$2,'Report-SOF1718'!D$102,0)</f>
        <v>0</v>
      </c>
      <c r="D421" s="1037">
        <f>IF(A421='Data Entry - SOF'!B$2,'Data Entry - SOF'!#REF!,0)</f>
        <v>0</v>
      </c>
      <c r="E421" s="91">
        <f t="shared" si="36"/>
        <v>424166</v>
      </c>
      <c r="F421" s="944">
        <f>IF(A421='Data Entry - SOF'!B$2,'Report-SOF1819'!D$102,0)</f>
        <v>0</v>
      </c>
      <c r="G421" s="1037">
        <f>IF(A421='Data Entry - SOF'!B$2,'Data Entry - SOF'!E$102,0)</f>
        <v>0</v>
      </c>
      <c r="H421" s="1038">
        <f t="shared" si="38"/>
        <v>424166</v>
      </c>
      <c r="I421" s="944">
        <f>IF(A421='Data Entry - SOF'!B$2,'Report-SOF1920-HB3'!D$102,0)</f>
        <v>0</v>
      </c>
      <c r="J421" s="1037">
        <f>IF(A421='Data Entry - SOF'!B$2,'Data Entry - SOF'!G$102,0)</f>
        <v>0</v>
      </c>
      <c r="K421" s="717">
        <f t="shared" si="39"/>
        <v>424166</v>
      </c>
      <c r="L421" s="944">
        <f>IF(A421='Data Entry - SOF'!B$2,'Report-SOF2021'!D$99,0)</f>
        <v>0</v>
      </c>
      <c r="M421" s="723">
        <f>IF(A421='Data Entry - SOF'!B$2,'Data Entry - SOF'!M$102,0)</f>
        <v>0</v>
      </c>
      <c r="N421" s="717">
        <f t="shared" si="40"/>
        <v>424166</v>
      </c>
      <c r="O421" s="944">
        <f>IF(A421='Data Entry - SOF'!B$2,'Report-SOF2122'!D$91,0)</f>
        <v>0</v>
      </c>
      <c r="P421" s="723">
        <f>IF(A421='Data Entry - SOF'!B$2,'Data Entry - SOF'!O$102,0)</f>
        <v>0</v>
      </c>
      <c r="Q421" s="601">
        <f t="shared" si="37"/>
        <v>424166</v>
      </c>
      <c r="R421" s="944">
        <f>IF(A421='Data Entry - SOF'!B$2,'Report-SOF2223'!D$91,0)</f>
        <v>0</v>
      </c>
      <c r="S421" s="723">
        <f>IF(A421='Data Entry - SOF'!B$2,'Data Entry - SOF'!Q$102,0)</f>
        <v>0</v>
      </c>
      <c r="T421" s="601">
        <f t="shared" si="41"/>
        <v>424166</v>
      </c>
      <c r="U421" s="944">
        <f>IF(A421='Data Entry - SOF'!B$2,'Report-SOF2324'!D$91,0)</f>
        <v>0</v>
      </c>
      <c r="V421" s="723">
        <f>IF(A421='Data Entry - SOF'!B$2,'Data Entry - SOF'!S$102,0)</f>
        <v>0</v>
      </c>
    </row>
    <row r="422" spans="1:22" ht="15.75">
      <c r="A422" s="382" t="s">
        <v>1500</v>
      </c>
      <c r="B422" s="91">
        <v>19827928</v>
      </c>
      <c r="C422" s="944">
        <f>IF(A422='Data Entry - SOF'!B$2,'Report-SOF1718'!D$102,0)</f>
        <v>0</v>
      </c>
      <c r="D422" s="1037">
        <f>IF(A422='Data Entry - SOF'!B$2,'Data Entry - SOF'!#REF!,0)</f>
        <v>0</v>
      </c>
      <c r="E422" s="91">
        <f t="shared" si="36"/>
        <v>19827928</v>
      </c>
      <c r="F422" s="944">
        <f>IF(A422='Data Entry - SOF'!B$2,'Report-SOF1819'!D$102,0)</f>
        <v>0</v>
      </c>
      <c r="G422" s="1037">
        <f>IF(A422='Data Entry - SOF'!B$2,'Data Entry - SOF'!E$102,0)</f>
        <v>0</v>
      </c>
      <c r="H422" s="1038">
        <f t="shared" si="38"/>
        <v>19827928</v>
      </c>
      <c r="I422" s="944">
        <f>IF(A422='Data Entry - SOF'!B$2,'Report-SOF1920-HB3'!D$102,0)</f>
        <v>0</v>
      </c>
      <c r="J422" s="1037">
        <f>IF(A422='Data Entry - SOF'!B$2,'Data Entry - SOF'!G$102,0)</f>
        <v>0</v>
      </c>
      <c r="K422" s="717">
        <f t="shared" si="39"/>
        <v>19827928</v>
      </c>
      <c r="L422" s="944">
        <f>IF(A422='Data Entry - SOF'!B$2,'Report-SOF2021'!D$99,0)</f>
        <v>0</v>
      </c>
      <c r="M422" s="723">
        <f>IF(A422='Data Entry - SOF'!B$2,'Data Entry - SOF'!M$102,0)</f>
        <v>0</v>
      </c>
      <c r="N422" s="717">
        <f t="shared" si="40"/>
        <v>19827928</v>
      </c>
      <c r="O422" s="944">
        <f>IF(A422='Data Entry - SOF'!B$2,'Report-SOF2122'!D$91,0)</f>
        <v>0</v>
      </c>
      <c r="P422" s="723">
        <f>IF(A422='Data Entry - SOF'!B$2,'Data Entry - SOF'!O$102,0)</f>
        <v>0</v>
      </c>
      <c r="Q422" s="601">
        <f t="shared" si="37"/>
        <v>19827928</v>
      </c>
      <c r="R422" s="944">
        <f>IF(A422='Data Entry - SOF'!B$2,'Report-SOF2223'!D$91,0)</f>
        <v>0</v>
      </c>
      <c r="S422" s="723">
        <f>IF(A422='Data Entry - SOF'!B$2,'Data Entry - SOF'!Q$102,0)</f>
        <v>0</v>
      </c>
      <c r="T422" s="601">
        <f t="shared" si="41"/>
        <v>19827928</v>
      </c>
      <c r="U422" s="944">
        <f>IF(A422='Data Entry - SOF'!B$2,'Report-SOF2324'!D$91,0)</f>
        <v>0</v>
      </c>
      <c r="V422" s="723">
        <f>IF(A422='Data Entry - SOF'!B$2,'Data Entry - SOF'!S$102,0)</f>
        <v>0</v>
      </c>
    </row>
    <row r="423" spans="1:22" ht="15.75">
      <c r="A423" s="382" t="s">
        <v>1501</v>
      </c>
      <c r="B423" s="91">
        <v>5620088</v>
      </c>
      <c r="C423" s="944">
        <f>IF(A423='Data Entry - SOF'!B$2,'Report-SOF1718'!D$102,0)</f>
        <v>0</v>
      </c>
      <c r="D423" s="1037">
        <f>IF(A423='Data Entry - SOF'!B$2,'Data Entry - SOF'!#REF!,0)</f>
        <v>0</v>
      </c>
      <c r="E423" s="91">
        <f t="shared" si="36"/>
        <v>5620088</v>
      </c>
      <c r="F423" s="944">
        <f>IF(A423='Data Entry - SOF'!B$2,'Report-SOF1819'!D$102,0)</f>
        <v>0</v>
      </c>
      <c r="G423" s="1037">
        <f>IF(A423='Data Entry - SOF'!B$2,'Data Entry - SOF'!E$102,0)</f>
        <v>0</v>
      </c>
      <c r="H423" s="1038">
        <f t="shared" si="38"/>
        <v>5620088</v>
      </c>
      <c r="I423" s="944">
        <f>IF(A423='Data Entry - SOF'!B$2,'Report-SOF1920-HB3'!D$102,0)</f>
        <v>0</v>
      </c>
      <c r="J423" s="1037">
        <f>IF(A423='Data Entry - SOF'!B$2,'Data Entry - SOF'!G$102,0)</f>
        <v>0</v>
      </c>
      <c r="K423" s="717">
        <f t="shared" si="39"/>
        <v>5620088</v>
      </c>
      <c r="L423" s="944">
        <f>IF(A423='Data Entry - SOF'!B$2,'Report-SOF2021'!D$99,0)</f>
        <v>0</v>
      </c>
      <c r="M423" s="723">
        <f>IF(A423='Data Entry - SOF'!B$2,'Data Entry - SOF'!M$102,0)</f>
        <v>0</v>
      </c>
      <c r="N423" s="717">
        <f t="shared" si="40"/>
        <v>5620088</v>
      </c>
      <c r="O423" s="944">
        <f>IF(A423='Data Entry - SOF'!B$2,'Report-SOF2122'!D$91,0)</f>
        <v>0</v>
      </c>
      <c r="P423" s="723">
        <f>IF(A423='Data Entry - SOF'!B$2,'Data Entry - SOF'!O$102,0)</f>
        <v>0</v>
      </c>
      <c r="Q423" s="601">
        <f t="shared" si="37"/>
        <v>5620088</v>
      </c>
      <c r="R423" s="944">
        <f>IF(A423='Data Entry - SOF'!B$2,'Report-SOF2223'!D$91,0)</f>
        <v>0</v>
      </c>
      <c r="S423" s="723">
        <f>IF(A423='Data Entry - SOF'!B$2,'Data Entry - SOF'!Q$102,0)</f>
        <v>0</v>
      </c>
      <c r="T423" s="601">
        <f t="shared" si="41"/>
        <v>5620088</v>
      </c>
      <c r="U423" s="944">
        <f>IF(A423='Data Entry - SOF'!B$2,'Report-SOF2324'!D$91,0)</f>
        <v>0</v>
      </c>
      <c r="V423" s="723">
        <f>IF(A423='Data Entry - SOF'!B$2,'Data Entry - SOF'!S$102,0)</f>
        <v>0</v>
      </c>
    </row>
    <row r="424" spans="1:22" ht="15.75">
      <c r="A424" s="382" t="s">
        <v>1502</v>
      </c>
      <c r="B424" s="91">
        <v>46747834</v>
      </c>
      <c r="C424" s="944">
        <f>IF(A424='Data Entry - SOF'!B$2,'Report-SOF1718'!D$102,0)</f>
        <v>0</v>
      </c>
      <c r="D424" s="1037">
        <f>IF(A424='Data Entry - SOF'!B$2,'Data Entry - SOF'!#REF!,0)</f>
        <v>0</v>
      </c>
      <c r="E424" s="91">
        <f t="shared" si="36"/>
        <v>46747834</v>
      </c>
      <c r="F424" s="944">
        <f>IF(A424='Data Entry - SOF'!B$2,'Report-SOF1819'!D$102,0)</f>
        <v>0</v>
      </c>
      <c r="G424" s="1037">
        <f>IF(A424='Data Entry - SOF'!B$2,'Data Entry - SOF'!E$102,0)</f>
        <v>0</v>
      </c>
      <c r="H424" s="1038">
        <f t="shared" si="38"/>
        <v>46747834</v>
      </c>
      <c r="I424" s="944">
        <f>IF(A424='Data Entry - SOF'!B$2,'Report-SOF1920-HB3'!D$102,0)</f>
        <v>0</v>
      </c>
      <c r="J424" s="1037">
        <f>IF(A424='Data Entry - SOF'!B$2,'Data Entry - SOF'!G$102,0)</f>
        <v>0</v>
      </c>
      <c r="K424" s="717">
        <f t="shared" si="39"/>
        <v>46747834</v>
      </c>
      <c r="L424" s="944">
        <f>IF(A424='Data Entry - SOF'!B$2,'Report-SOF2021'!D$99,0)</f>
        <v>0</v>
      </c>
      <c r="M424" s="723">
        <f>IF(A424='Data Entry - SOF'!B$2,'Data Entry - SOF'!M$102,0)</f>
        <v>0</v>
      </c>
      <c r="N424" s="717">
        <f t="shared" si="40"/>
        <v>46747834</v>
      </c>
      <c r="O424" s="944">
        <f>IF(A424='Data Entry - SOF'!B$2,'Report-SOF2122'!D$91,0)</f>
        <v>0</v>
      </c>
      <c r="P424" s="723">
        <f>IF(A424='Data Entry - SOF'!B$2,'Data Entry - SOF'!O$102,0)</f>
        <v>0</v>
      </c>
      <c r="Q424" s="601">
        <f t="shared" si="37"/>
        <v>46747834</v>
      </c>
      <c r="R424" s="944">
        <f>IF(A424='Data Entry - SOF'!B$2,'Report-SOF2223'!D$91,0)</f>
        <v>0</v>
      </c>
      <c r="S424" s="723">
        <f>IF(A424='Data Entry - SOF'!B$2,'Data Entry - SOF'!Q$102,0)</f>
        <v>0</v>
      </c>
      <c r="T424" s="601">
        <f t="shared" si="41"/>
        <v>46747834</v>
      </c>
      <c r="U424" s="944">
        <f>IF(A424='Data Entry - SOF'!B$2,'Report-SOF2324'!D$91,0)</f>
        <v>0</v>
      </c>
      <c r="V424" s="723">
        <f>IF(A424='Data Entry - SOF'!B$2,'Data Entry - SOF'!S$102,0)</f>
        <v>0</v>
      </c>
    </row>
    <row r="425" spans="1:22" ht="15.75">
      <c r="A425" s="382" t="s">
        <v>1568</v>
      </c>
      <c r="B425" s="91">
        <v>502760</v>
      </c>
      <c r="C425" s="944">
        <f>IF(A425='Data Entry - SOF'!B$2,'Report-SOF1718'!D$102,0)</f>
        <v>0</v>
      </c>
      <c r="D425" s="1037">
        <f>IF(A425='Data Entry - SOF'!B$2,'Data Entry - SOF'!#REF!,0)</f>
        <v>0</v>
      </c>
      <c r="E425" s="91">
        <f t="shared" si="36"/>
        <v>502760</v>
      </c>
      <c r="F425" s="944">
        <f>IF(A425='Data Entry - SOF'!B$2,'Report-SOF1819'!D$102,0)</f>
        <v>0</v>
      </c>
      <c r="G425" s="1037">
        <f>IF(A425='Data Entry - SOF'!B$2,'Data Entry - SOF'!E$102,0)</f>
        <v>0</v>
      </c>
      <c r="H425" s="1038">
        <f t="shared" si="38"/>
        <v>502760</v>
      </c>
      <c r="I425" s="944">
        <f>IF(A425='Data Entry - SOF'!B$2,'Report-SOF1920-HB3'!D$102,0)</f>
        <v>0</v>
      </c>
      <c r="J425" s="1037">
        <f>IF(A425='Data Entry - SOF'!B$2,'Data Entry - SOF'!G$102,0)</f>
        <v>0</v>
      </c>
      <c r="K425" s="717">
        <f t="shared" si="39"/>
        <v>502760</v>
      </c>
      <c r="L425" s="944">
        <f>IF(A425='Data Entry - SOF'!B$2,'Report-SOF2021'!D$99,0)</f>
        <v>0</v>
      </c>
      <c r="M425" s="723">
        <f>IF(A425='Data Entry - SOF'!B$2,'Data Entry - SOF'!M$102,0)</f>
        <v>0</v>
      </c>
      <c r="N425" s="717">
        <f t="shared" si="40"/>
        <v>502760</v>
      </c>
      <c r="O425" s="944">
        <f>IF(A425='Data Entry - SOF'!B$2,'Report-SOF2122'!D$91,0)</f>
        <v>0</v>
      </c>
      <c r="P425" s="723">
        <f>IF(A425='Data Entry - SOF'!B$2,'Data Entry - SOF'!O$102,0)</f>
        <v>0</v>
      </c>
      <c r="Q425" s="601">
        <f t="shared" si="37"/>
        <v>502760</v>
      </c>
      <c r="R425" s="944">
        <f>IF(A425='Data Entry - SOF'!B$2,'Report-SOF2223'!D$91,0)</f>
        <v>0</v>
      </c>
      <c r="S425" s="723">
        <f>IF(A425='Data Entry - SOF'!B$2,'Data Entry - SOF'!Q$102,0)</f>
        <v>0</v>
      </c>
      <c r="T425" s="601">
        <f t="shared" si="41"/>
        <v>502760</v>
      </c>
      <c r="U425" s="944">
        <f>IF(A425='Data Entry - SOF'!B$2,'Report-SOF2324'!D$91,0)</f>
        <v>0</v>
      </c>
      <c r="V425" s="723">
        <f>IF(A425='Data Entry - SOF'!B$2,'Data Entry - SOF'!S$102,0)</f>
        <v>0</v>
      </c>
    </row>
    <row r="426" spans="1:22" ht="15.75">
      <c r="A426" s="382" t="s">
        <v>1569</v>
      </c>
      <c r="B426" s="91">
        <v>4568519</v>
      </c>
      <c r="C426" s="944">
        <f>IF(A426='Data Entry - SOF'!B$2,'Report-SOF1718'!D$102,0)</f>
        <v>0</v>
      </c>
      <c r="D426" s="1037">
        <f>IF(A426='Data Entry - SOF'!B$2,'Data Entry - SOF'!#REF!,0)</f>
        <v>0</v>
      </c>
      <c r="E426" s="91">
        <f t="shared" si="36"/>
        <v>4568519</v>
      </c>
      <c r="F426" s="944">
        <f>IF(A426='Data Entry - SOF'!B$2,'Report-SOF1819'!D$102,0)</f>
        <v>0</v>
      </c>
      <c r="G426" s="1037">
        <f>IF(A426='Data Entry - SOF'!B$2,'Data Entry - SOF'!E$102,0)</f>
        <v>0</v>
      </c>
      <c r="H426" s="1038">
        <f t="shared" si="38"/>
        <v>4568519</v>
      </c>
      <c r="I426" s="944">
        <f>IF(A426='Data Entry - SOF'!B$2,'Report-SOF1920-HB3'!D$102,0)</f>
        <v>0</v>
      </c>
      <c r="J426" s="1037">
        <f>IF(A426='Data Entry - SOF'!B$2,'Data Entry - SOF'!G$102,0)</f>
        <v>0</v>
      </c>
      <c r="K426" s="717">
        <f t="shared" si="39"/>
        <v>4568519</v>
      </c>
      <c r="L426" s="944">
        <f>IF(A426='Data Entry - SOF'!B$2,'Report-SOF2021'!D$99,0)</f>
        <v>0</v>
      </c>
      <c r="M426" s="723">
        <f>IF(A426='Data Entry - SOF'!B$2,'Data Entry - SOF'!M$102,0)</f>
        <v>0</v>
      </c>
      <c r="N426" s="717">
        <f t="shared" si="40"/>
        <v>4568519</v>
      </c>
      <c r="O426" s="944">
        <f>IF(A426='Data Entry - SOF'!B$2,'Report-SOF2122'!D$91,0)</f>
        <v>0</v>
      </c>
      <c r="P426" s="723">
        <f>IF(A426='Data Entry - SOF'!B$2,'Data Entry - SOF'!O$102,0)</f>
        <v>0</v>
      </c>
      <c r="Q426" s="601">
        <f t="shared" si="37"/>
        <v>4568519</v>
      </c>
      <c r="R426" s="944">
        <f>IF(A426='Data Entry - SOF'!B$2,'Report-SOF2223'!D$91,0)</f>
        <v>0</v>
      </c>
      <c r="S426" s="723">
        <f>IF(A426='Data Entry - SOF'!B$2,'Data Entry - SOF'!Q$102,0)</f>
        <v>0</v>
      </c>
      <c r="T426" s="601">
        <f t="shared" si="41"/>
        <v>4568519</v>
      </c>
      <c r="U426" s="944">
        <f>IF(A426='Data Entry - SOF'!B$2,'Report-SOF2324'!D$91,0)</f>
        <v>0</v>
      </c>
      <c r="V426" s="723">
        <f>IF(A426='Data Entry - SOF'!B$2,'Data Entry - SOF'!S$102,0)</f>
        <v>0</v>
      </c>
    </row>
    <row r="427" spans="1:22" ht="15.75">
      <c r="A427" s="382" t="s">
        <v>497</v>
      </c>
      <c r="B427" s="91">
        <v>2562100.3845385602</v>
      </c>
      <c r="C427" s="944">
        <f>IF(A427='Data Entry - SOF'!B$2,'Report-SOF1718'!D$102,0)</f>
        <v>0</v>
      </c>
      <c r="D427" s="1037">
        <f>IF(A427='Data Entry - SOF'!B$2,'Data Entry - SOF'!#REF!,0)</f>
        <v>0</v>
      </c>
      <c r="E427" s="91">
        <f t="shared" si="36"/>
        <v>2562100.3845385602</v>
      </c>
      <c r="F427" s="944">
        <f>IF(A427='Data Entry - SOF'!B$2,'Report-SOF1819'!D$102,0)</f>
        <v>0</v>
      </c>
      <c r="G427" s="1037">
        <f>IF(A427='Data Entry - SOF'!B$2,'Data Entry - SOF'!E$102,0)</f>
        <v>0</v>
      </c>
      <c r="H427" s="1038">
        <f t="shared" si="38"/>
        <v>2562100.3845385602</v>
      </c>
      <c r="I427" s="944">
        <f>IF(A427='Data Entry - SOF'!B$2,'Report-SOF1920-HB3'!D$102,0)</f>
        <v>0</v>
      </c>
      <c r="J427" s="1037">
        <f>IF(A427='Data Entry - SOF'!B$2,'Data Entry - SOF'!G$102,0)</f>
        <v>0</v>
      </c>
      <c r="K427" s="717">
        <f t="shared" si="39"/>
        <v>2562100.3845385602</v>
      </c>
      <c r="L427" s="944">
        <f>IF(A427='Data Entry - SOF'!B$2,'Report-SOF2021'!D$99,0)</f>
        <v>0</v>
      </c>
      <c r="M427" s="723">
        <f>IF(A427='Data Entry - SOF'!B$2,'Data Entry - SOF'!M$102,0)</f>
        <v>0</v>
      </c>
      <c r="N427" s="717">
        <f t="shared" si="40"/>
        <v>2562100.3845385602</v>
      </c>
      <c r="O427" s="944">
        <f>IF(A427='Data Entry - SOF'!B$2,'Report-SOF2122'!D$91,0)</f>
        <v>0</v>
      </c>
      <c r="P427" s="723">
        <f>IF(A427='Data Entry - SOF'!B$2,'Data Entry - SOF'!O$102,0)</f>
        <v>0</v>
      </c>
      <c r="Q427" s="601">
        <f t="shared" si="37"/>
        <v>2562100.3845385602</v>
      </c>
      <c r="R427" s="944">
        <f>IF(A427='Data Entry - SOF'!B$2,'Report-SOF2223'!D$91,0)</f>
        <v>0</v>
      </c>
      <c r="S427" s="723">
        <f>IF(A427='Data Entry - SOF'!B$2,'Data Entry - SOF'!Q$102,0)</f>
        <v>0</v>
      </c>
      <c r="T427" s="601">
        <f t="shared" si="41"/>
        <v>2562100.3845385602</v>
      </c>
      <c r="U427" s="944">
        <f>IF(A427='Data Entry - SOF'!B$2,'Report-SOF2324'!D$91,0)</f>
        <v>0</v>
      </c>
      <c r="V427" s="723">
        <f>IF(A427='Data Entry - SOF'!B$2,'Data Entry - SOF'!S$102,0)</f>
        <v>0</v>
      </c>
    </row>
    <row r="428" spans="1:22" ht="15.75">
      <c r="A428" s="382" t="s">
        <v>465</v>
      </c>
      <c r="B428" s="91">
        <v>1821847</v>
      </c>
      <c r="C428" s="944">
        <f>IF(A428='Data Entry - SOF'!B$2,'Report-SOF1718'!D$102,0)</f>
        <v>0</v>
      </c>
      <c r="D428" s="1037">
        <f>IF(A428='Data Entry - SOF'!B$2,'Data Entry - SOF'!#REF!,0)</f>
        <v>0</v>
      </c>
      <c r="E428" s="91">
        <f t="shared" si="36"/>
        <v>1821847</v>
      </c>
      <c r="F428" s="944">
        <f>IF(A428='Data Entry - SOF'!B$2,'Report-SOF1819'!D$102,0)</f>
        <v>0</v>
      </c>
      <c r="G428" s="1037">
        <f>IF(A428='Data Entry - SOF'!B$2,'Data Entry - SOF'!E$102,0)</f>
        <v>0</v>
      </c>
      <c r="H428" s="1038">
        <f t="shared" si="38"/>
        <v>1821847</v>
      </c>
      <c r="I428" s="944">
        <f>IF(A428='Data Entry - SOF'!B$2,'Report-SOF1920-HB3'!D$102,0)</f>
        <v>0</v>
      </c>
      <c r="J428" s="1037">
        <f>IF(A428='Data Entry - SOF'!B$2,'Data Entry - SOF'!G$102,0)</f>
        <v>0</v>
      </c>
      <c r="K428" s="717">
        <f t="shared" si="39"/>
        <v>1821847</v>
      </c>
      <c r="L428" s="944">
        <f>IF(A428='Data Entry - SOF'!B$2,'Report-SOF2021'!D$99,0)</f>
        <v>0</v>
      </c>
      <c r="M428" s="723">
        <f>IF(A428='Data Entry - SOF'!B$2,'Data Entry - SOF'!M$102,0)</f>
        <v>0</v>
      </c>
      <c r="N428" s="717">
        <f t="shared" si="40"/>
        <v>1821847</v>
      </c>
      <c r="O428" s="944">
        <f>IF(A428='Data Entry - SOF'!B$2,'Report-SOF2122'!D$91,0)</f>
        <v>0</v>
      </c>
      <c r="P428" s="723">
        <f>IF(A428='Data Entry - SOF'!B$2,'Data Entry - SOF'!O$102,0)</f>
        <v>0</v>
      </c>
      <c r="Q428" s="601">
        <f t="shared" si="37"/>
        <v>1821847</v>
      </c>
      <c r="R428" s="944">
        <f>IF(A428='Data Entry - SOF'!B$2,'Report-SOF2223'!D$91,0)</f>
        <v>0</v>
      </c>
      <c r="S428" s="723">
        <f>IF(A428='Data Entry - SOF'!B$2,'Data Entry - SOF'!Q$102,0)</f>
        <v>0</v>
      </c>
      <c r="T428" s="601">
        <f t="shared" si="41"/>
        <v>1821847</v>
      </c>
      <c r="U428" s="944">
        <f>IF(A428='Data Entry - SOF'!B$2,'Report-SOF2324'!D$91,0)</f>
        <v>0</v>
      </c>
      <c r="V428" s="723">
        <f>IF(A428='Data Entry - SOF'!B$2,'Data Entry - SOF'!S$102,0)</f>
        <v>0</v>
      </c>
    </row>
    <row r="429" spans="1:22" ht="15.75">
      <c r="A429" s="382" t="s">
        <v>466</v>
      </c>
      <c r="B429" s="91">
        <v>1147848</v>
      </c>
      <c r="C429" s="944">
        <f>IF(A429='Data Entry - SOF'!B$2,'Report-SOF1718'!D$102,0)</f>
        <v>0</v>
      </c>
      <c r="D429" s="1037">
        <f>IF(A429='Data Entry - SOF'!B$2,'Data Entry - SOF'!#REF!,0)</f>
        <v>0</v>
      </c>
      <c r="E429" s="91">
        <f t="shared" si="36"/>
        <v>1147848</v>
      </c>
      <c r="F429" s="944">
        <f>IF(A429='Data Entry - SOF'!B$2,'Report-SOF1819'!D$102,0)</f>
        <v>0</v>
      </c>
      <c r="G429" s="1037">
        <f>IF(A429='Data Entry - SOF'!B$2,'Data Entry - SOF'!E$102,0)</f>
        <v>0</v>
      </c>
      <c r="H429" s="1038">
        <f t="shared" si="38"/>
        <v>1147848</v>
      </c>
      <c r="I429" s="944">
        <f>IF(A429='Data Entry - SOF'!B$2,'Report-SOF1920-HB3'!D$102,0)</f>
        <v>0</v>
      </c>
      <c r="J429" s="1037">
        <f>IF(A429='Data Entry - SOF'!B$2,'Data Entry - SOF'!G$102,0)</f>
        <v>0</v>
      </c>
      <c r="K429" s="717">
        <f t="shared" si="39"/>
        <v>1147848</v>
      </c>
      <c r="L429" s="944">
        <f>IF(A429='Data Entry - SOF'!B$2,'Report-SOF2021'!D$99,0)</f>
        <v>0</v>
      </c>
      <c r="M429" s="723">
        <f>IF(A429='Data Entry - SOF'!B$2,'Data Entry - SOF'!M$102,0)</f>
        <v>0</v>
      </c>
      <c r="N429" s="717">
        <f t="shared" si="40"/>
        <v>1147848</v>
      </c>
      <c r="O429" s="944">
        <f>IF(A429='Data Entry - SOF'!B$2,'Report-SOF2122'!D$91,0)</f>
        <v>0</v>
      </c>
      <c r="P429" s="723">
        <f>IF(A429='Data Entry - SOF'!B$2,'Data Entry - SOF'!O$102,0)</f>
        <v>0</v>
      </c>
      <c r="Q429" s="601">
        <f t="shared" si="37"/>
        <v>1147848</v>
      </c>
      <c r="R429" s="944">
        <f>IF(A429='Data Entry - SOF'!B$2,'Report-SOF2223'!D$91,0)</f>
        <v>0</v>
      </c>
      <c r="S429" s="723">
        <f>IF(A429='Data Entry - SOF'!B$2,'Data Entry - SOF'!Q$102,0)</f>
        <v>0</v>
      </c>
      <c r="T429" s="601">
        <f t="shared" si="41"/>
        <v>1147848</v>
      </c>
      <c r="U429" s="944">
        <f>IF(A429='Data Entry - SOF'!B$2,'Report-SOF2324'!D$91,0)</f>
        <v>0</v>
      </c>
      <c r="V429" s="723">
        <f>IF(A429='Data Entry - SOF'!B$2,'Data Entry - SOF'!S$102,0)</f>
        <v>0</v>
      </c>
    </row>
    <row r="430" spans="1:22" ht="15.75">
      <c r="A430" s="382" t="s">
        <v>467</v>
      </c>
      <c r="B430" s="91">
        <v>299826</v>
      </c>
      <c r="C430" s="944">
        <f>IF(A430='Data Entry - SOF'!B$2,'Report-SOF1718'!D$102,0)</f>
        <v>0</v>
      </c>
      <c r="D430" s="1037">
        <f>IF(A430='Data Entry - SOF'!B$2,'Data Entry - SOF'!#REF!,0)</f>
        <v>0</v>
      </c>
      <c r="E430" s="91">
        <f t="shared" si="36"/>
        <v>299826</v>
      </c>
      <c r="F430" s="944">
        <f>IF(A430='Data Entry - SOF'!B$2,'Report-SOF1819'!D$102,0)</f>
        <v>0</v>
      </c>
      <c r="G430" s="1037">
        <f>IF(A430='Data Entry - SOF'!B$2,'Data Entry - SOF'!E$102,0)</f>
        <v>0</v>
      </c>
      <c r="H430" s="1038">
        <f t="shared" si="38"/>
        <v>299826</v>
      </c>
      <c r="I430" s="944">
        <f>IF(A430='Data Entry - SOF'!B$2,'Report-SOF1920-HB3'!D$102,0)</f>
        <v>0</v>
      </c>
      <c r="J430" s="1037">
        <f>IF(A430='Data Entry - SOF'!B$2,'Data Entry - SOF'!G$102,0)</f>
        <v>0</v>
      </c>
      <c r="K430" s="717">
        <f t="shared" si="39"/>
        <v>299826</v>
      </c>
      <c r="L430" s="944">
        <f>IF(A430='Data Entry - SOF'!B$2,'Report-SOF2021'!D$99,0)</f>
        <v>0</v>
      </c>
      <c r="M430" s="723">
        <f>IF(A430='Data Entry - SOF'!B$2,'Data Entry - SOF'!M$102,0)</f>
        <v>0</v>
      </c>
      <c r="N430" s="717">
        <f t="shared" si="40"/>
        <v>299826</v>
      </c>
      <c r="O430" s="944">
        <f>IF(A430='Data Entry - SOF'!B$2,'Report-SOF2122'!D$91,0)</f>
        <v>0</v>
      </c>
      <c r="P430" s="723">
        <f>IF(A430='Data Entry - SOF'!B$2,'Data Entry - SOF'!O$102,0)</f>
        <v>0</v>
      </c>
      <c r="Q430" s="601">
        <f t="shared" si="37"/>
        <v>299826</v>
      </c>
      <c r="R430" s="944">
        <f>IF(A430='Data Entry - SOF'!B$2,'Report-SOF2223'!D$91,0)</f>
        <v>0</v>
      </c>
      <c r="S430" s="723">
        <f>IF(A430='Data Entry - SOF'!B$2,'Data Entry - SOF'!Q$102,0)</f>
        <v>0</v>
      </c>
      <c r="T430" s="601">
        <f t="shared" si="41"/>
        <v>299826</v>
      </c>
      <c r="U430" s="944">
        <f>IF(A430='Data Entry - SOF'!B$2,'Report-SOF2324'!D$91,0)</f>
        <v>0</v>
      </c>
      <c r="V430" s="723">
        <f>IF(A430='Data Entry - SOF'!B$2,'Data Entry - SOF'!S$102,0)</f>
        <v>0</v>
      </c>
    </row>
    <row r="431" spans="1:22" ht="15.75">
      <c r="A431" s="382" t="s">
        <v>468</v>
      </c>
      <c r="B431" s="91">
        <v>1913426</v>
      </c>
      <c r="C431" s="944">
        <f>IF(A431='Data Entry - SOF'!B$2,'Report-SOF1718'!D$102,0)</f>
        <v>0</v>
      </c>
      <c r="D431" s="1037">
        <f>IF(A431='Data Entry - SOF'!B$2,'Data Entry - SOF'!#REF!,0)</f>
        <v>0</v>
      </c>
      <c r="E431" s="91">
        <f t="shared" si="36"/>
        <v>1913426</v>
      </c>
      <c r="F431" s="944">
        <f>IF(A431='Data Entry - SOF'!B$2,'Report-SOF1819'!D$102,0)</f>
        <v>0</v>
      </c>
      <c r="G431" s="1037">
        <f>IF(A431='Data Entry - SOF'!B$2,'Data Entry - SOF'!E$102,0)</f>
        <v>0</v>
      </c>
      <c r="H431" s="1038">
        <f t="shared" si="38"/>
        <v>1913426</v>
      </c>
      <c r="I431" s="944">
        <f>IF(A431='Data Entry - SOF'!B$2,'Report-SOF1920-HB3'!D$102,0)</f>
        <v>0</v>
      </c>
      <c r="J431" s="1037">
        <f>IF(A431='Data Entry - SOF'!B$2,'Data Entry - SOF'!G$102,0)</f>
        <v>0</v>
      </c>
      <c r="K431" s="717">
        <f t="shared" si="39"/>
        <v>1913426</v>
      </c>
      <c r="L431" s="944">
        <f>IF(A431='Data Entry - SOF'!B$2,'Report-SOF2021'!D$99,0)</f>
        <v>0</v>
      </c>
      <c r="M431" s="723">
        <f>IF(A431='Data Entry - SOF'!B$2,'Data Entry - SOF'!M$102,0)</f>
        <v>0</v>
      </c>
      <c r="N431" s="717">
        <f t="shared" si="40"/>
        <v>1913426</v>
      </c>
      <c r="O431" s="944">
        <f>IF(A431='Data Entry - SOF'!B$2,'Report-SOF2122'!D$91,0)</f>
        <v>0</v>
      </c>
      <c r="P431" s="723">
        <f>IF(A431='Data Entry - SOF'!B$2,'Data Entry - SOF'!O$102,0)</f>
        <v>0</v>
      </c>
      <c r="Q431" s="601">
        <f t="shared" si="37"/>
        <v>1913426</v>
      </c>
      <c r="R431" s="944">
        <f>IF(A431='Data Entry - SOF'!B$2,'Report-SOF2223'!D$91,0)</f>
        <v>0</v>
      </c>
      <c r="S431" s="723">
        <f>IF(A431='Data Entry - SOF'!B$2,'Data Entry - SOF'!Q$102,0)</f>
        <v>0</v>
      </c>
      <c r="T431" s="601">
        <f t="shared" si="41"/>
        <v>1913426</v>
      </c>
      <c r="U431" s="944">
        <f>IF(A431='Data Entry - SOF'!B$2,'Report-SOF2324'!D$91,0)</f>
        <v>0</v>
      </c>
      <c r="V431" s="723">
        <f>IF(A431='Data Entry - SOF'!B$2,'Data Entry - SOF'!S$102,0)</f>
        <v>0</v>
      </c>
    </row>
    <row r="432" spans="1:22" ht="15.75">
      <c r="A432" s="382" t="s">
        <v>1141</v>
      </c>
      <c r="B432" s="91">
        <v>92661981</v>
      </c>
      <c r="C432" s="944">
        <f>IF(A432='Data Entry - SOF'!B$2,'Report-SOF1718'!D$102,0)</f>
        <v>0</v>
      </c>
      <c r="D432" s="1037">
        <f>IF(A432='Data Entry - SOF'!B$2,'Data Entry - SOF'!#REF!,0)</f>
        <v>0</v>
      </c>
      <c r="E432" s="91">
        <f t="shared" si="36"/>
        <v>92661981</v>
      </c>
      <c r="F432" s="944">
        <f>IF(A432='Data Entry - SOF'!B$2,'Report-SOF1819'!D$102,0)</f>
        <v>0</v>
      </c>
      <c r="G432" s="1037">
        <f>IF(A432='Data Entry - SOF'!B$2,'Data Entry - SOF'!E$102,0)</f>
        <v>0</v>
      </c>
      <c r="H432" s="1038">
        <f t="shared" si="38"/>
        <v>92661981</v>
      </c>
      <c r="I432" s="944">
        <f>IF(A432='Data Entry - SOF'!B$2,'Report-SOF1920-HB3'!D$102,0)</f>
        <v>0</v>
      </c>
      <c r="J432" s="1037">
        <f>IF(A432='Data Entry - SOF'!B$2,'Data Entry - SOF'!G$102,0)</f>
        <v>0</v>
      </c>
      <c r="K432" s="717">
        <f t="shared" si="39"/>
        <v>92661981</v>
      </c>
      <c r="L432" s="944">
        <f>IF(A432='Data Entry - SOF'!B$2,'Report-SOF2021'!D$99,0)</f>
        <v>0</v>
      </c>
      <c r="M432" s="723">
        <f>IF(A432='Data Entry - SOF'!B$2,'Data Entry - SOF'!M$102,0)</f>
        <v>0</v>
      </c>
      <c r="N432" s="717">
        <f t="shared" si="40"/>
        <v>92661981</v>
      </c>
      <c r="O432" s="944">
        <f>IF(A432='Data Entry - SOF'!B$2,'Report-SOF2122'!D$91,0)</f>
        <v>0</v>
      </c>
      <c r="P432" s="723">
        <f>IF(A432='Data Entry - SOF'!B$2,'Data Entry - SOF'!O$102,0)</f>
        <v>0</v>
      </c>
      <c r="Q432" s="601">
        <f t="shared" si="37"/>
        <v>92661981</v>
      </c>
      <c r="R432" s="944">
        <f>IF(A432='Data Entry - SOF'!B$2,'Report-SOF2223'!D$91,0)</f>
        <v>0</v>
      </c>
      <c r="S432" s="723">
        <f>IF(A432='Data Entry - SOF'!B$2,'Data Entry - SOF'!Q$102,0)</f>
        <v>0</v>
      </c>
      <c r="T432" s="601">
        <f t="shared" si="41"/>
        <v>92661981</v>
      </c>
      <c r="U432" s="944">
        <f>IF(A432='Data Entry - SOF'!B$2,'Report-SOF2324'!D$91,0)</f>
        <v>0</v>
      </c>
      <c r="V432" s="723">
        <f>IF(A432='Data Entry - SOF'!B$2,'Data Entry - SOF'!S$102,0)</f>
        <v>0</v>
      </c>
    </row>
    <row r="433" spans="1:22" ht="15.75">
      <c r="A433" s="382" t="s">
        <v>1488</v>
      </c>
      <c r="B433" s="91">
        <v>103310185.24707299</v>
      </c>
      <c r="C433" s="944">
        <f>IF(A433='Data Entry - SOF'!B$2,'Report-SOF1718'!D$102,0)</f>
        <v>0</v>
      </c>
      <c r="D433" s="1037">
        <f>IF(A433='Data Entry - SOF'!B$2,'Data Entry - SOF'!#REF!,0)</f>
        <v>0</v>
      </c>
      <c r="E433" s="91">
        <f t="shared" si="36"/>
        <v>103310185.24707299</v>
      </c>
      <c r="F433" s="944">
        <f>IF(A433='Data Entry - SOF'!B$2,'Report-SOF1819'!D$102,0)</f>
        <v>0</v>
      </c>
      <c r="G433" s="1037">
        <f>IF(A433='Data Entry - SOF'!B$2,'Data Entry - SOF'!E$102,0)</f>
        <v>0</v>
      </c>
      <c r="H433" s="1038">
        <f t="shared" si="38"/>
        <v>103310185.24707299</v>
      </c>
      <c r="I433" s="944">
        <f>IF(A433='Data Entry - SOF'!B$2,'Report-SOF1920-HB3'!D$102,0)</f>
        <v>0</v>
      </c>
      <c r="J433" s="1037">
        <f>IF(A433='Data Entry - SOF'!B$2,'Data Entry - SOF'!G$102,0)</f>
        <v>0</v>
      </c>
      <c r="K433" s="717">
        <f t="shared" si="39"/>
        <v>103310185.24707299</v>
      </c>
      <c r="L433" s="944">
        <f>IF(A433='Data Entry - SOF'!B$2,'Report-SOF2021'!D$99,0)</f>
        <v>0</v>
      </c>
      <c r="M433" s="723">
        <f>IF(A433='Data Entry - SOF'!B$2,'Data Entry - SOF'!M$102,0)</f>
        <v>0</v>
      </c>
      <c r="N433" s="717">
        <f t="shared" si="40"/>
        <v>103310185.24707299</v>
      </c>
      <c r="O433" s="944">
        <f>IF(A433='Data Entry - SOF'!B$2,'Report-SOF2122'!D$91,0)</f>
        <v>0</v>
      </c>
      <c r="P433" s="723">
        <f>IF(A433='Data Entry - SOF'!B$2,'Data Entry - SOF'!O$102,0)</f>
        <v>0</v>
      </c>
      <c r="Q433" s="601">
        <f t="shared" si="37"/>
        <v>103310185.24707299</v>
      </c>
      <c r="R433" s="944">
        <f>IF(A433='Data Entry - SOF'!B$2,'Report-SOF2223'!D$91,0)</f>
        <v>0</v>
      </c>
      <c r="S433" s="723">
        <f>IF(A433='Data Entry - SOF'!B$2,'Data Entry - SOF'!Q$102,0)</f>
        <v>0</v>
      </c>
      <c r="T433" s="601">
        <f t="shared" si="41"/>
        <v>103310185.24707299</v>
      </c>
      <c r="U433" s="944">
        <f>IF(A433='Data Entry - SOF'!B$2,'Report-SOF2324'!D$91,0)</f>
        <v>0</v>
      </c>
      <c r="V433" s="723">
        <f>IF(A433='Data Entry - SOF'!B$2,'Data Entry - SOF'!S$102,0)</f>
        <v>0</v>
      </c>
    </row>
    <row r="434" spans="1:22" ht="15.75">
      <c r="A434" s="382" t="s">
        <v>1292</v>
      </c>
      <c r="B434" s="91">
        <v>26889075</v>
      </c>
      <c r="C434" s="944">
        <f>IF(A434='Data Entry - SOF'!B$2,'Report-SOF1718'!D$102,0)</f>
        <v>0</v>
      </c>
      <c r="D434" s="1037">
        <f>IF(A434='Data Entry - SOF'!B$2,'Data Entry - SOF'!#REF!,0)</f>
        <v>0</v>
      </c>
      <c r="E434" s="91">
        <f t="shared" si="36"/>
        <v>26889075</v>
      </c>
      <c r="F434" s="944">
        <f>IF(A434='Data Entry - SOF'!B$2,'Report-SOF1819'!D$102,0)</f>
        <v>0</v>
      </c>
      <c r="G434" s="1037">
        <f>IF(A434='Data Entry - SOF'!B$2,'Data Entry - SOF'!E$102,0)</f>
        <v>0</v>
      </c>
      <c r="H434" s="1038">
        <f t="shared" si="38"/>
        <v>26889075</v>
      </c>
      <c r="I434" s="944">
        <f>IF(A434='Data Entry - SOF'!B$2,'Report-SOF1920-HB3'!D$102,0)</f>
        <v>0</v>
      </c>
      <c r="J434" s="1037">
        <f>IF(A434='Data Entry - SOF'!B$2,'Data Entry - SOF'!G$102,0)</f>
        <v>0</v>
      </c>
      <c r="K434" s="717">
        <f t="shared" si="39"/>
        <v>26889075</v>
      </c>
      <c r="L434" s="944">
        <f>IF(A434='Data Entry - SOF'!B$2,'Report-SOF2021'!D$99,0)</f>
        <v>0</v>
      </c>
      <c r="M434" s="723">
        <f>IF(A434='Data Entry - SOF'!B$2,'Data Entry - SOF'!M$102,0)</f>
        <v>0</v>
      </c>
      <c r="N434" s="717">
        <f t="shared" si="40"/>
        <v>26889075</v>
      </c>
      <c r="O434" s="944">
        <f>IF(A434='Data Entry - SOF'!B$2,'Report-SOF2122'!D$91,0)</f>
        <v>0</v>
      </c>
      <c r="P434" s="723">
        <f>IF(A434='Data Entry - SOF'!B$2,'Data Entry - SOF'!O$102,0)</f>
        <v>0</v>
      </c>
      <c r="Q434" s="601">
        <f t="shared" si="37"/>
        <v>26889075</v>
      </c>
      <c r="R434" s="944">
        <f>IF(A434='Data Entry - SOF'!B$2,'Report-SOF2223'!D$91,0)</f>
        <v>0</v>
      </c>
      <c r="S434" s="723">
        <f>IF(A434='Data Entry - SOF'!B$2,'Data Entry - SOF'!Q$102,0)</f>
        <v>0</v>
      </c>
      <c r="T434" s="601">
        <f t="shared" si="41"/>
        <v>26889075</v>
      </c>
      <c r="U434" s="944">
        <f>IF(A434='Data Entry - SOF'!B$2,'Report-SOF2324'!D$91,0)</f>
        <v>0</v>
      </c>
      <c r="V434" s="723">
        <f>IF(A434='Data Entry - SOF'!B$2,'Data Entry - SOF'!S$102,0)</f>
        <v>0</v>
      </c>
    </row>
    <row r="435" spans="1:22" ht="15.75">
      <c r="A435" s="382" t="s">
        <v>1863</v>
      </c>
      <c r="B435" s="91">
        <v>94060783</v>
      </c>
      <c r="C435" s="944">
        <f>IF(A435='Data Entry - SOF'!B$2,'Report-SOF1718'!D$102,0)</f>
        <v>0</v>
      </c>
      <c r="D435" s="1037">
        <f>IF(A435='Data Entry - SOF'!B$2,'Data Entry - SOF'!#REF!,0)</f>
        <v>0</v>
      </c>
      <c r="E435" s="91">
        <f t="shared" si="36"/>
        <v>94060783</v>
      </c>
      <c r="F435" s="944">
        <f>IF(A435='Data Entry - SOF'!B$2,'Report-SOF1819'!D$102,0)</f>
        <v>0</v>
      </c>
      <c r="G435" s="1037">
        <f>IF(A435='Data Entry - SOF'!B$2,'Data Entry - SOF'!E$102,0)</f>
        <v>0</v>
      </c>
      <c r="H435" s="1038">
        <f t="shared" si="38"/>
        <v>94060783</v>
      </c>
      <c r="I435" s="944">
        <f>IF(A435='Data Entry - SOF'!B$2,'Report-SOF1920-HB3'!D$102,0)</f>
        <v>0</v>
      </c>
      <c r="J435" s="1037">
        <f>IF(A435='Data Entry - SOF'!B$2,'Data Entry - SOF'!G$102,0)</f>
        <v>0</v>
      </c>
      <c r="K435" s="717">
        <f t="shared" si="39"/>
        <v>94060783</v>
      </c>
      <c r="L435" s="944">
        <f>IF(A435='Data Entry - SOF'!B$2,'Report-SOF2021'!D$99,0)</f>
        <v>0</v>
      </c>
      <c r="M435" s="723">
        <f>IF(A435='Data Entry - SOF'!B$2,'Data Entry - SOF'!M$102,0)</f>
        <v>0</v>
      </c>
      <c r="N435" s="717">
        <f t="shared" si="40"/>
        <v>94060783</v>
      </c>
      <c r="O435" s="944">
        <f>IF(A435='Data Entry - SOF'!B$2,'Report-SOF2122'!D$91,0)</f>
        <v>0</v>
      </c>
      <c r="P435" s="723">
        <f>IF(A435='Data Entry - SOF'!B$2,'Data Entry - SOF'!O$102,0)</f>
        <v>0</v>
      </c>
      <c r="Q435" s="601">
        <f t="shared" si="37"/>
        <v>94060783</v>
      </c>
      <c r="R435" s="944">
        <f>IF(A435='Data Entry - SOF'!B$2,'Report-SOF2223'!D$91,0)</f>
        <v>0</v>
      </c>
      <c r="S435" s="723">
        <f>IF(A435='Data Entry - SOF'!B$2,'Data Entry - SOF'!Q$102,0)</f>
        <v>0</v>
      </c>
      <c r="T435" s="601">
        <f t="shared" si="41"/>
        <v>94060783</v>
      </c>
      <c r="U435" s="944">
        <f>IF(A435='Data Entry - SOF'!B$2,'Report-SOF2324'!D$91,0)</f>
        <v>0</v>
      </c>
      <c r="V435" s="723">
        <f>IF(A435='Data Entry - SOF'!B$2,'Data Entry - SOF'!S$102,0)</f>
        <v>0</v>
      </c>
    </row>
    <row r="436" spans="1:22" ht="15.75">
      <c r="A436" s="382" t="s">
        <v>1703</v>
      </c>
      <c r="B436" s="91">
        <v>60537685</v>
      </c>
      <c r="C436" s="944">
        <f>IF(A436='Data Entry - SOF'!B$2,'Report-SOF1718'!D$102,0)</f>
        <v>0</v>
      </c>
      <c r="D436" s="1037">
        <f>IF(A436='Data Entry - SOF'!B$2,'Data Entry - SOF'!#REF!,0)</f>
        <v>0</v>
      </c>
      <c r="E436" s="91">
        <f t="shared" si="36"/>
        <v>60537685</v>
      </c>
      <c r="F436" s="944">
        <f>IF(A436='Data Entry - SOF'!B$2,'Report-SOF1819'!D$102,0)</f>
        <v>0</v>
      </c>
      <c r="G436" s="1037">
        <f>IF(A436='Data Entry - SOF'!B$2,'Data Entry - SOF'!E$102,0)</f>
        <v>0</v>
      </c>
      <c r="H436" s="1038">
        <f t="shared" si="38"/>
        <v>60537685</v>
      </c>
      <c r="I436" s="944">
        <f>IF(A436='Data Entry - SOF'!B$2,'Report-SOF1920-HB3'!D$102,0)</f>
        <v>0</v>
      </c>
      <c r="J436" s="1037">
        <f>IF(A436='Data Entry - SOF'!B$2,'Data Entry - SOF'!G$102,0)</f>
        <v>0</v>
      </c>
      <c r="K436" s="717">
        <f t="shared" si="39"/>
        <v>60537685</v>
      </c>
      <c r="L436" s="944">
        <f>IF(A436='Data Entry - SOF'!B$2,'Report-SOF2021'!D$99,0)</f>
        <v>0</v>
      </c>
      <c r="M436" s="723">
        <f>IF(A436='Data Entry - SOF'!B$2,'Data Entry - SOF'!M$102,0)</f>
        <v>0</v>
      </c>
      <c r="N436" s="717">
        <f t="shared" si="40"/>
        <v>60537685</v>
      </c>
      <c r="O436" s="944">
        <f>IF(A436='Data Entry - SOF'!B$2,'Report-SOF2122'!D$91,0)</f>
        <v>0</v>
      </c>
      <c r="P436" s="723">
        <f>IF(A436='Data Entry - SOF'!B$2,'Data Entry - SOF'!O$102,0)</f>
        <v>0</v>
      </c>
      <c r="Q436" s="601">
        <f t="shared" si="37"/>
        <v>60537685</v>
      </c>
      <c r="R436" s="944">
        <f>IF(A436='Data Entry - SOF'!B$2,'Report-SOF2223'!D$91,0)</f>
        <v>0</v>
      </c>
      <c r="S436" s="723">
        <f>IF(A436='Data Entry - SOF'!B$2,'Data Entry - SOF'!Q$102,0)</f>
        <v>0</v>
      </c>
      <c r="T436" s="601">
        <f t="shared" si="41"/>
        <v>60537685</v>
      </c>
      <c r="U436" s="944">
        <f>IF(A436='Data Entry - SOF'!B$2,'Report-SOF2324'!D$91,0)</f>
        <v>0</v>
      </c>
      <c r="V436" s="723">
        <f>IF(A436='Data Entry - SOF'!B$2,'Data Entry - SOF'!S$102,0)</f>
        <v>0</v>
      </c>
    </row>
    <row r="437" spans="1:22" ht="15.75">
      <c r="A437" s="382" t="s">
        <v>1704</v>
      </c>
      <c r="B437" s="91">
        <v>13593926</v>
      </c>
      <c r="C437" s="944">
        <f>IF(A437='Data Entry - SOF'!B$2,'Report-SOF1718'!D$102,0)</f>
        <v>0</v>
      </c>
      <c r="D437" s="1037">
        <f>IF(A437='Data Entry - SOF'!B$2,'Data Entry - SOF'!#REF!,0)</f>
        <v>0</v>
      </c>
      <c r="E437" s="91">
        <f t="shared" si="36"/>
        <v>13593926</v>
      </c>
      <c r="F437" s="944">
        <f>IF(A437='Data Entry - SOF'!B$2,'Report-SOF1819'!D$102,0)</f>
        <v>0</v>
      </c>
      <c r="G437" s="1037">
        <f>IF(A437='Data Entry - SOF'!B$2,'Data Entry - SOF'!E$102,0)</f>
        <v>0</v>
      </c>
      <c r="H437" s="1038">
        <f t="shared" si="38"/>
        <v>13593926</v>
      </c>
      <c r="I437" s="944">
        <f>IF(A437='Data Entry - SOF'!B$2,'Report-SOF1920-HB3'!D$102,0)</f>
        <v>0</v>
      </c>
      <c r="J437" s="1037">
        <f>IF(A437='Data Entry - SOF'!B$2,'Data Entry - SOF'!G$102,0)</f>
        <v>0</v>
      </c>
      <c r="K437" s="717">
        <f t="shared" si="39"/>
        <v>13593926</v>
      </c>
      <c r="L437" s="944">
        <f>IF(A437='Data Entry - SOF'!B$2,'Report-SOF2021'!D$99,0)</f>
        <v>0</v>
      </c>
      <c r="M437" s="723">
        <f>IF(A437='Data Entry - SOF'!B$2,'Data Entry - SOF'!M$102,0)</f>
        <v>0</v>
      </c>
      <c r="N437" s="717">
        <f t="shared" si="40"/>
        <v>13593926</v>
      </c>
      <c r="O437" s="944">
        <f>IF(A437='Data Entry - SOF'!B$2,'Report-SOF2122'!D$91,0)</f>
        <v>0</v>
      </c>
      <c r="P437" s="723">
        <f>IF(A437='Data Entry - SOF'!B$2,'Data Entry - SOF'!O$102,0)</f>
        <v>0</v>
      </c>
      <c r="Q437" s="601">
        <f t="shared" si="37"/>
        <v>13593926</v>
      </c>
      <c r="R437" s="944">
        <f>IF(A437='Data Entry - SOF'!B$2,'Report-SOF2223'!D$91,0)</f>
        <v>0</v>
      </c>
      <c r="S437" s="723">
        <f>IF(A437='Data Entry - SOF'!B$2,'Data Entry - SOF'!Q$102,0)</f>
        <v>0</v>
      </c>
      <c r="T437" s="601">
        <f t="shared" si="41"/>
        <v>13593926</v>
      </c>
      <c r="U437" s="944">
        <f>IF(A437='Data Entry - SOF'!B$2,'Report-SOF2324'!D$91,0)</f>
        <v>0</v>
      </c>
      <c r="V437" s="723">
        <f>IF(A437='Data Entry - SOF'!B$2,'Data Entry - SOF'!S$102,0)</f>
        <v>0</v>
      </c>
    </row>
    <row r="438" spans="1:22" ht="15.75">
      <c r="A438" s="382" t="s">
        <v>2544</v>
      </c>
      <c r="B438" s="91">
        <v>5250936</v>
      </c>
      <c r="C438" s="944">
        <f>IF(A438='Data Entry - SOF'!B$2,'Report-SOF1718'!D$102,0)</f>
        <v>0</v>
      </c>
      <c r="D438" s="1037">
        <f>IF(A438='Data Entry - SOF'!B$2,'Data Entry - SOF'!#REF!,0)</f>
        <v>0</v>
      </c>
      <c r="E438" s="91">
        <f t="shared" si="36"/>
        <v>5250936</v>
      </c>
      <c r="F438" s="944">
        <f>IF(A438='Data Entry - SOF'!B$2,'Report-SOF1819'!D$102,0)</f>
        <v>0</v>
      </c>
      <c r="G438" s="1037">
        <f>IF(A438='Data Entry - SOF'!B$2,'Data Entry - SOF'!E$102,0)</f>
        <v>0</v>
      </c>
      <c r="H438" s="1038">
        <f t="shared" si="38"/>
        <v>5250936</v>
      </c>
      <c r="I438" s="944">
        <f>IF(A438='Data Entry - SOF'!B$2,'Report-SOF1920-HB3'!D$102,0)</f>
        <v>0</v>
      </c>
      <c r="J438" s="1037">
        <f>IF(A438='Data Entry - SOF'!B$2,'Data Entry - SOF'!G$102,0)</f>
        <v>0</v>
      </c>
      <c r="K438" s="717">
        <f t="shared" si="39"/>
        <v>5250936</v>
      </c>
      <c r="L438" s="944">
        <f>IF(A438='Data Entry - SOF'!B$2,'Report-SOF2021'!D$99,0)</f>
        <v>0</v>
      </c>
      <c r="M438" s="723">
        <f>IF(A438='Data Entry - SOF'!B$2,'Data Entry - SOF'!M$102,0)</f>
        <v>0</v>
      </c>
      <c r="N438" s="717">
        <f t="shared" si="40"/>
        <v>5250936</v>
      </c>
      <c r="O438" s="944">
        <f>IF(A438='Data Entry - SOF'!B$2,'Report-SOF2122'!D$91,0)</f>
        <v>0</v>
      </c>
      <c r="P438" s="723">
        <f>IF(A438='Data Entry - SOF'!B$2,'Data Entry - SOF'!O$102,0)</f>
        <v>0</v>
      </c>
      <c r="Q438" s="601">
        <f t="shared" si="37"/>
        <v>5250936</v>
      </c>
      <c r="R438" s="944">
        <f>IF(A438='Data Entry - SOF'!B$2,'Report-SOF2223'!D$91,0)</f>
        <v>0</v>
      </c>
      <c r="S438" s="723">
        <f>IF(A438='Data Entry - SOF'!B$2,'Data Entry - SOF'!Q$102,0)</f>
        <v>0</v>
      </c>
      <c r="T438" s="601">
        <f t="shared" si="41"/>
        <v>5250936</v>
      </c>
      <c r="U438" s="944">
        <f>IF(A438='Data Entry - SOF'!B$2,'Report-SOF2324'!D$91,0)</f>
        <v>0</v>
      </c>
      <c r="V438" s="723">
        <f>IF(A438='Data Entry - SOF'!B$2,'Data Entry - SOF'!S$102,0)</f>
        <v>0</v>
      </c>
    </row>
    <row r="439" spans="1:22" ht="15.75">
      <c r="A439" s="382" t="s">
        <v>2519</v>
      </c>
      <c r="B439" s="91">
        <v>2159769</v>
      </c>
      <c r="C439" s="944">
        <f>IF(A439='Data Entry - SOF'!B$2,'Report-SOF1718'!D$102,0)</f>
        <v>0</v>
      </c>
      <c r="D439" s="1037">
        <f>IF(A439='Data Entry - SOF'!B$2,'Data Entry - SOF'!#REF!,0)</f>
        <v>0</v>
      </c>
      <c r="E439" s="91">
        <f t="shared" si="36"/>
        <v>2159769</v>
      </c>
      <c r="F439" s="944">
        <f>IF(A439='Data Entry - SOF'!B$2,'Report-SOF1819'!D$102,0)</f>
        <v>0</v>
      </c>
      <c r="G439" s="1037">
        <f>IF(A439='Data Entry - SOF'!B$2,'Data Entry - SOF'!E$102,0)</f>
        <v>0</v>
      </c>
      <c r="H439" s="1038">
        <f t="shared" si="38"/>
        <v>2159769</v>
      </c>
      <c r="I439" s="944">
        <f>IF(A439='Data Entry - SOF'!B$2,'Report-SOF1920-HB3'!D$102,0)</f>
        <v>0</v>
      </c>
      <c r="J439" s="1037">
        <f>IF(A439='Data Entry - SOF'!B$2,'Data Entry - SOF'!G$102,0)</f>
        <v>0</v>
      </c>
      <c r="K439" s="717">
        <f t="shared" si="39"/>
        <v>2159769</v>
      </c>
      <c r="L439" s="944">
        <f>IF(A439='Data Entry - SOF'!B$2,'Report-SOF2021'!D$99,0)</f>
        <v>0</v>
      </c>
      <c r="M439" s="723">
        <f>IF(A439='Data Entry - SOF'!B$2,'Data Entry - SOF'!M$102,0)</f>
        <v>0</v>
      </c>
      <c r="N439" s="717">
        <f t="shared" si="40"/>
        <v>2159769</v>
      </c>
      <c r="O439" s="944">
        <f>IF(A439='Data Entry - SOF'!B$2,'Report-SOF2122'!D$91,0)</f>
        <v>0</v>
      </c>
      <c r="P439" s="723">
        <f>IF(A439='Data Entry - SOF'!B$2,'Data Entry - SOF'!O$102,0)</f>
        <v>0</v>
      </c>
      <c r="Q439" s="601">
        <f t="shared" si="37"/>
        <v>2159769</v>
      </c>
      <c r="R439" s="944">
        <f>IF(A439='Data Entry - SOF'!B$2,'Report-SOF2223'!D$91,0)</f>
        <v>0</v>
      </c>
      <c r="S439" s="723">
        <f>IF(A439='Data Entry - SOF'!B$2,'Data Entry - SOF'!Q$102,0)</f>
        <v>0</v>
      </c>
      <c r="T439" s="601">
        <f t="shared" si="41"/>
        <v>2159769</v>
      </c>
      <c r="U439" s="944">
        <f>IF(A439='Data Entry - SOF'!B$2,'Report-SOF2324'!D$91,0)</f>
        <v>0</v>
      </c>
      <c r="V439" s="723">
        <f>IF(A439='Data Entry - SOF'!B$2,'Data Entry - SOF'!S$102,0)</f>
        <v>0</v>
      </c>
    </row>
    <row r="440" spans="1:22" ht="15.75">
      <c r="A440" s="382" t="s">
        <v>2007</v>
      </c>
      <c r="B440" s="91">
        <v>2478260</v>
      </c>
      <c r="C440" s="944">
        <f>IF(A440='Data Entry - SOF'!B$2,'Report-SOF1718'!D$102,0)</f>
        <v>0</v>
      </c>
      <c r="D440" s="1037">
        <f>IF(A440='Data Entry - SOF'!B$2,'Data Entry - SOF'!#REF!,0)</f>
        <v>0</v>
      </c>
      <c r="E440" s="91">
        <f t="shared" si="36"/>
        <v>2478260</v>
      </c>
      <c r="F440" s="944">
        <f>IF(A440='Data Entry - SOF'!B$2,'Report-SOF1819'!D$102,0)</f>
        <v>0</v>
      </c>
      <c r="G440" s="1037">
        <f>IF(A440='Data Entry - SOF'!B$2,'Data Entry - SOF'!E$102,0)</f>
        <v>0</v>
      </c>
      <c r="H440" s="1038">
        <f t="shared" si="38"/>
        <v>2478260</v>
      </c>
      <c r="I440" s="944">
        <f>IF(A440='Data Entry - SOF'!B$2,'Report-SOF1920-HB3'!D$102,0)</f>
        <v>0</v>
      </c>
      <c r="J440" s="1037">
        <f>IF(A440='Data Entry - SOF'!B$2,'Data Entry - SOF'!G$102,0)</f>
        <v>0</v>
      </c>
      <c r="K440" s="717">
        <f t="shared" si="39"/>
        <v>2478260</v>
      </c>
      <c r="L440" s="944">
        <f>IF(A440='Data Entry - SOF'!B$2,'Report-SOF2021'!D$99,0)</f>
        <v>0</v>
      </c>
      <c r="M440" s="723">
        <f>IF(A440='Data Entry - SOF'!B$2,'Data Entry - SOF'!M$102,0)</f>
        <v>0</v>
      </c>
      <c r="N440" s="717">
        <f t="shared" si="40"/>
        <v>2478260</v>
      </c>
      <c r="O440" s="944">
        <f>IF(A440='Data Entry - SOF'!B$2,'Report-SOF2122'!D$91,0)</f>
        <v>0</v>
      </c>
      <c r="P440" s="723">
        <f>IF(A440='Data Entry - SOF'!B$2,'Data Entry - SOF'!O$102,0)</f>
        <v>0</v>
      </c>
      <c r="Q440" s="601">
        <f t="shared" si="37"/>
        <v>2478260</v>
      </c>
      <c r="R440" s="944">
        <f>IF(A440='Data Entry - SOF'!B$2,'Report-SOF2223'!D$91,0)</f>
        <v>0</v>
      </c>
      <c r="S440" s="723">
        <f>IF(A440='Data Entry - SOF'!B$2,'Data Entry - SOF'!Q$102,0)</f>
        <v>0</v>
      </c>
      <c r="T440" s="601">
        <f t="shared" si="41"/>
        <v>2478260</v>
      </c>
      <c r="U440" s="944">
        <f>IF(A440='Data Entry - SOF'!B$2,'Report-SOF2324'!D$91,0)</f>
        <v>0</v>
      </c>
      <c r="V440" s="723">
        <f>IF(A440='Data Entry - SOF'!B$2,'Data Entry - SOF'!S$102,0)</f>
        <v>0</v>
      </c>
    </row>
    <row r="441" spans="1:22" ht="15.75">
      <c r="A441" s="382" t="s">
        <v>63</v>
      </c>
      <c r="B441" s="91">
        <v>11894788</v>
      </c>
      <c r="C441" s="944">
        <f>IF(A441='Data Entry - SOF'!B$2,'Report-SOF1718'!D$102,0)</f>
        <v>0</v>
      </c>
      <c r="D441" s="1037">
        <f>IF(A441='Data Entry - SOF'!B$2,'Data Entry - SOF'!#REF!,0)</f>
        <v>0</v>
      </c>
      <c r="E441" s="91">
        <f t="shared" si="36"/>
        <v>11894788</v>
      </c>
      <c r="F441" s="944">
        <f>IF(A441='Data Entry - SOF'!B$2,'Report-SOF1819'!D$102,0)</f>
        <v>0</v>
      </c>
      <c r="G441" s="1037">
        <f>IF(A441='Data Entry - SOF'!B$2,'Data Entry - SOF'!E$102,0)</f>
        <v>0</v>
      </c>
      <c r="H441" s="1038">
        <f t="shared" si="38"/>
        <v>11894788</v>
      </c>
      <c r="I441" s="944">
        <f>IF(A441='Data Entry - SOF'!B$2,'Report-SOF1920-HB3'!D$102,0)</f>
        <v>0</v>
      </c>
      <c r="J441" s="1037">
        <f>IF(A441='Data Entry - SOF'!B$2,'Data Entry - SOF'!G$102,0)</f>
        <v>0</v>
      </c>
      <c r="K441" s="717">
        <f t="shared" si="39"/>
        <v>11894788</v>
      </c>
      <c r="L441" s="944">
        <f>IF(A441='Data Entry - SOF'!B$2,'Report-SOF2021'!D$99,0)</f>
        <v>0</v>
      </c>
      <c r="M441" s="723">
        <f>IF(A441='Data Entry - SOF'!B$2,'Data Entry - SOF'!M$102,0)</f>
        <v>0</v>
      </c>
      <c r="N441" s="717">
        <f t="shared" si="40"/>
        <v>11894788</v>
      </c>
      <c r="O441" s="944">
        <f>IF(A441='Data Entry - SOF'!B$2,'Report-SOF2122'!D$91,0)</f>
        <v>0</v>
      </c>
      <c r="P441" s="723">
        <f>IF(A441='Data Entry - SOF'!B$2,'Data Entry - SOF'!O$102,0)</f>
        <v>0</v>
      </c>
      <c r="Q441" s="601">
        <f t="shared" si="37"/>
        <v>11894788</v>
      </c>
      <c r="R441" s="944">
        <f>IF(A441='Data Entry - SOF'!B$2,'Report-SOF2223'!D$91,0)</f>
        <v>0</v>
      </c>
      <c r="S441" s="723">
        <f>IF(A441='Data Entry - SOF'!B$2,'Data Entry - SOF'!Q$102,0)</f>
        <v>0</v>
      </c>
      <c r="T441" s="601">
        <f t="shared" si="41"/>
        <v>11894788</v>
      </c>
      <c r="U441" s="944">
        <f>IF(A441='Data Entry - SOF'!B$2,'Report-SOF2324'!D$91,0)</f>
        <v>0</v>
      </c>
      <c r="V441" s="723">
        <f>IF(A441='Data Entry - SOF'!B$2,'Data Entry - SOF'!S$102,0)</f>
        <v>0</v>
      </c>
    </row>
    <row r="442" spans="1:22" ht="15.75">
      <c r="A442" s="382" t="s">
        <v>1518</v>
      </c>
      <c r="B442" s="91">
        <v>603320</v>
      </c>
      <c r="C442" s="944">
        <f>IF(A442='Data Entry - SOF'!B$2,'Report-SOF1718'!D$102,0)</f>
        <v>0</v>
      </c>
      <c r="D442" s="1037">
        <f>IF(A442='Data Entry - SOF'!B$2,'Data Entry - SOF'!#REF!,0)</f>
        <v>0</v>
      </c>
      <c r="E442" s="91">
        <f t="shared" si="36"/>
        <v>603320</v>
      </c>
      <c r="F442" s="944">
        <f>IF(A442='Data Entry - SOF'!B$2,'Report-SOF1819'!D$102,0)</f>
        <v>0</v>
      </c>
      <c r="G442" s="1037">
        <f>IF(A442='Data Entry - SOF'!B$2,'Data Entry - SOF'!E$102,0)</f>
        <v>0</v>
      </c>
      <c r="H442" s="1038">
        <f t="shared" si="38"/>
        <v>603320</v>
      </c>
      <c r="I442" s="944">
        <f>IF(A442='Data Entry - SOF'!B$2,'Report-SOF1920-HB3'!D$102,0)</f>
        <v>0</v>
      </c>
      <c r="J442" s="1037">
        <f>IF(A442='Data Entry - SOF'!B$2,'Data Entry - SOF'!G$102,0)</f>
        <v>0</v>
      </c>
      <c r="K442" s="717">
        <f t="shared" si="39"/>
        <v>603320</v>
      </c>
      <c r="L442" s="944">
        <f>IF(A442='Data Entry - SOF'!B$2,'Report-SOF2021'!D$99,0)</f>
        <v>0</v>
      </c>
      <c r="M442" s="723">
        <f>IF(A442='Data Entry - SOF'!B$2,'Data Entry - SOF'!M$102,0)</f>
        <v>0</v>
      </c>
      <c r="N442" s="717">
        <f t="shared" si="40"/>
        <v>603320</v>
      </c>
      <c r="O442" s="944">
        <f>IF(A442='Data Entry - SOF'!B$2,'Report-SOF2122'!D$91,0)</f>
        <v>0</v>
      </c>
      <c r="P442" s="723">
        <f>IF(A442='Data Entry - SOF'!B$2,'Data Entry - SOF'!O$102,0)</f>
        <v>0</v>
      </c>
      <c r="Q442" s="601">
        <f t="shared" si="37"/>
        <v>603320</v>
      </c>
      <c r="R442" s="944">
        <f>IF(A442='Data Entry - SOF'!B$2,'Report-SOF2223'!D$91,0)</f>
        <v>0</v>
      </c>
      <c r="S442" s="723">
        <f>IF(A442='Data Entry - SOF'!B$2,'Data Entry - SOF'!Q$102,0)</f>
        <v>0</v>
      </c>
      <c r="T442" s="601">
        <f t="shared" si="41"/>
        <v>603320</v>
      </c>
      <c r="U442" s="944">
        <f>IF(A442='Data Entry - SOF'!B$2,'Report-SOF2324'!D$91,0)</f>
        <v>0</v>
      </c>
      <c r="V442" s="723">
        <f>IF(A442='Data Entry - SOF'!B$2,'Data Entry - SOF'!S$102,0)</f>
        <v>0</v>
      </c>
    </row>
    <row r="443" spans="1:22" ht="15.75">
      <c r="A443" s="382" t="s">
        <v>868</v>
      </c>
      <c r="B443" s="91">
        <v>96074</v>
      </c>
      <c r="C443" s="944">
        <f>IF(A443='Data Entry - SOF'!B$2,'Report-SOF1718'!D$102,0)</f>
        <v>0</v>
      </c>
      <c r="D443" s="1037">
        <f>IF(A443='Data Entry - SOF'!B$2,'Data Entry - SOF'!#REF!,0)</f>
        <v>0</v>
      </c>
      <c r="E443" s="91">
        <f t="shared" si="36"/>
        <v>96074</v>
      </c>
      <c r="F443" s="944">
        <f>IF(A443='Data Entry - SOF'!B$2,'Report-SOF1819'!D$102,0)</f>
        <v>0</v>
      </c>
      <c r="G443" s="1037">
        <f>IF(A443='Data Entry - SOF'!B$2,'Data Entry - SOF'!E$102,0)</f>
        <v>0</v>
      </c>
      <c r="H443" s="1038">
        <f t="shared" si="38"/>
        <v>96074</v>
      </c>
      <c r="I443" s="944">
        <f>IF(A443='Data Entry - SOF'!B$2,'Report-SOF1920-HB3'!D$102,0)</f>
        <v>0</v>
      </c>
      <c r="J443" s="1037">
        <f>IF(A443='Data Entry - SOF'!B$2,'Data Entry - SOF'!G$102,0)</f>
        <v>0</v>
      </c>
      <c r="K443" s="717">
        <f t="shared" si="39"/>
        <v>96074</v>
      </c>
      <c r="L443" s="944">
        <f>IF(A443='Data Entry - SOF'!B$2,'Report-SOF2021'!D$99,0)</f>
        <v>0</v>
      </c>
      <c r="M443" s="723">
        <f>IF(A443='Data Entry - SOF'!B$2,'Data Entry - SOF'!M$102,0)</f>
        <v>0</v>
      </c>
      <c r="N443" s="717">
        <f t="shared" si="40"/>
        <v>96074</v>
      </c>
      <c r="O443" s="944">
        <f>IF(A443='Data Entry - SOF'!B$2,'Report-SOF2122'!D$91,0)</f>
        <v>0</v>
      </c>
      <c r="P443" s="723">
        <f>IF(A443='Data Entry - SOF'!B$2,'Data Entry - SOF'!O$102,0)</f>
        <v>0</v>
      </c>
      <c r="Q443" s="601">
        <f t="shared" si="37"/>
        <v>96074</v>
      </c>
      <c r="R443" s="944">
        <f>IF(A443='Data Entry - SOF'!B$2,'Report-SOF2223'!D$91,0)</f>
        <v>0</v>
      </c>
      <c r="S443" s="723">
        <f>IF(A443='Data Entry - SOF'!B$2,'Data Entry - SOF'!Q$102,0)</f>
        <v>0</v>
      </c>
      <c r="T443" s="601">
        <f t="shared" si="41"/>
        <v>96074</v>
      </c>
      <c r="U443" s="944">
        <f>IF(A443='Data Entry - SOF'!B$2,'Report-SOF2324'!D$91,0)</f>
        <v>0</v>
      </c>
      <c r="V443" s="723">
        <f>IF(A443='Data Entry - SOF'!B$2,'Data Entry - SOF'!S$102,0)</f>
        <v>0</v>
      </c>
    </row>
    <row r="444" spans="1:22" ht="15.75">
      <c r="A444" s="382" t="s">
        <v>64</v>
      </c>
      <c r="B444" s="91">
        <v>4231964</v>
      </c>
      <c r="C444" s="944">
        <f>IF(A444='Data Entry - SOF'!B$2,'Report-SOF1718'!D$102,0)</f>
        <v>0</v>
      </c>
      <c r="D444" s="1037">
        <f>IF(A444='Data Entry - SOF'!B$2,'Data Entry - SOF'!#REF!,0)</f>
        <v>0</v>
      </c>
      <c r="E444" s="91">
        <f t="shared" si="36"/>
        <v>4231964</v>
      </c>
      <c r="F444" s="944">
        <f>IF(A444='Data Entry - SOF'!B$2,'Report-SOF1819'!D$102,0)</f>
        <v>0</v>
      </c>
      <c r="G444" s="1037">
        <f>IF(A444='Data Entry - SOF'!B$2,'Data Entry - SOF'!E$102,0)</f>
        <v>0</v>
      </c>
      <c r="H444" s="1038">
        <f t="shared" si="38"/>
        <v>4231964</v>
      </c>
      <c r="I444" s="944">
        <f>IF(A444='Data Entry - SOF'!B$2,'Report-SOF1920-HB3'!D$102,0)</f>
        <v>0</v>
      </c>
      <c r="J444" s="1037">
        <f>IF(A444='Data Entry - SOF'!B$2,'Data Entry - SOF'!G$102,0)</f>
        <v>0</v>
      </c>
      <c r="K444" s="717">
        <f t="shared" si="39"/>
        <v>4231964</v>
      </c>
      <c r="L444" s="944">
        <f>IF(A444='Data Entry - SOF'!B$2,'Report-SOF2021'!D$99,0)</f>
        <v>0</v>
      </c>
      <c r="M444" s="723">
        <f>IF(A444='Data Entry - SOF'!B$2,'Data Entry - SOF'!M$102,0)</f>
        <v>0</v>
      </c>
      <c r="N444" s="717">
        <f t="shared" si="40"/>
        <v>4231964</v>
      </c>
      <c r="O444" s="944">
        <f>IF(A444='Data Entry - SOF'!B$2,'Report-SOF2122'!D$91,0)</f>
        <v>0</v>
      </c>
      <c r="P444" s="723">
        <f>IF(A444='Data Entry - SOF'!B$2,'Data Entry - SOF'!O$102,0)</f>
        <v>0</v>
      </c>
      <c r="Q444" s="601">
        <f t="shared" si="37"/>
        <v>4231964</v>
      </c>
      <c r="R444" s="944">
        <f>IF(A444='Data Entry - SOF'!B$2,'Report-SOF2223'!D$91,0)</f>
        <v>0</v>
      </c>
      <c r="S444" s="723">
        <f>IF(A444='Data Entry - SOF'!B$2,'Data Entry - SOF'!Q$102,0)</f>
        <v>0</v>
      </c>
      <c r="T444" s="601">
        <f t="shared" si="41"/>
        <v>4231964</v>
      </c>
      <c r="U444" s="944">
        <f>IF(A444='Data Entry - SOF'!B$2,'Report-SOF2324'!D$91,0)</f>
        <v>0</v>
      </c>
      <c r="V444" s="723">
        <f>IF(A444='Data Entry - SOF'!B$2,'Data Entry - SOF'!S$102,0)</f>
        <v>0</v>
      </c>
    </row>
    <row r="445" spans="1:22" ht="15.75">
      <c r="A445" s="382" t="s">
        <v>2127</v>
      </c>
      <c r="B445" s="91">
        <v>2565820</v>
      </c>
      <c r="C445" s="944">
        <f>IF(A445='Data Entry - SOF'!B$2,'Report-SOF1718'!D$102,0)</f>
        <v>0</v>
      </c>
      <c r="D445" s="1037">
        <f>IF(A445='Data Entry - SOF'!B$2,'Data Entry - SOF'!#REF!,0)</f>
        <v>0</v>
      </c>
      <c r="E445" s="91">
        <f t="shared" si="36"/>
        <v>2565820</v>
      </c>
      <c r="F445" s="944">
        <f>IF(A445='Data Entry - SOF'!B$2,'Report-SOF1819'!D$102,0)</f>
        <v>0</v>
      </c>
      <c r="G445" s="1037">
        <f>IF(A445='Data Entry - SOF'!B$2,'Data Entry - SOF'!E$102,0)</f>
        <v>0</v>
      </c>
      <c r="H445" s="1038">
        <f t="shared" si="38"/>
        <v>2565820</v>
      </c>
      <c r="I445" s="944">
        <f>IF(A445='Data Entry - SOF'!B$2,'Report-SOF1920-HB3'!D$102,0)</f>
        <v>0</v>
      </c>
      <c r="J445" s="1037">
        <f>IF(A445='Data Entry - SOF'!B$2,'Data Entry - SOF'!G$102,0)</f>
        <v>0</v>
      </c>
      <c r="K445" s="717">
        <f t="shared" si="39"/>
        <v>2565820</v>
      </c>
      <c r="L445" s="944">
        <f>IF(A445='Data Entry - SOF'!B$2,'Report-SOF2021'!D$99,0)</f>
        <v>0</v>
      </c>
      <c r="M445" s="723">
        <f>IF(A445='Data Entry - SOF'!B$2,'Data Entry - SOF'!M$102,0)</f>
        <v>0</v>
      </c>
      <c r="N445" s="717">
        <f t="shared" si="40"/>
        <v>2565820</v>
      </c>
      <c r="O445" s="944">
        <f>IF(A445='Data Entry - SOF'!B$2,'Report-SOF2122'!D$91,0)</f>
        <v>0</v>
      </c>
      <c r="P445" s="723">
        <f>IF(A445='Data Entry - SOF'!B$2,'Data Entry - SOF'!O$102,0)</f>
        <v>0</v>
      </c>
      <c r="Q445" s="601">
        <f t="shared" si="37"/>
        <v>2565820</v>
      </c>
      <c r="R445" s="944">
        <f>IF(A445='Data Entry - SOF'!B$2,'Report-SOF2223'!D$91,0)</f>
        <v>0</v>
      </c>
      <c r="S445" s="723">
        <f>IF(A445='Data Entry - SOF'!B$2,'Data Entry - SOF'!Q$102,0)</f>
        <v>0</v>
      </c>
      <c r="T445" s="601">
        <f t="shared" si="41"/>
        <v>2565820</v>
      </c>
      <c r="U445" s="944">
        <f>IF(A445='Data Entry - SOF'!B$2,'Report-SOF2324'!D$91,0)</f>
        <v>0</v>
      </c>
      <c r="V445" s="723">
        <f>IF(A445='Data Entry - SOF'!B$2,'Data Entry - SOF'!S$102,0)</f>
        <v>0</v>
      </c>
    </row>
    <row r="446" spans="1:22" ht="15.75">
      <c r="A446" s="382" t="s">
        <v>770</v>
      </c>
      <c r="B446" s="91">
        <v>1078868</v>
      </c>
      <c r="C446" s="944">
        <f>IF(A446='Data Entry - SOF'!B$2,'Report-SOF1718'!D$102,0)</f>
        <v>0</v>
      </c>
      <c r="D446" s="1037">
        <f>IF(A446='Data Entry - SOF'!B$2,'Data Entry - SOF'!#REF!,0)</f>
        <v>0</v>
      </c>
      <c r="E446" s="91">
        <f t="shared" si="36"/>
        <v>1078868</v>
      </c>
      <c r="F446" s="944">
        <f>IF(A446='Data Entry - SOF'!B$2,'Report-SOF1819'!D$102,0)</f>
        <v>0</v>
      </c>
      <c r="G446" s="1037">
        <f>IF(A446='Data Entry - SOF'!B$2,'Data Entry - SOF'!E$102,0)</f>
        <v>0</v>
      </c>
      <c r="H446" s="1038">
        <f t="shared" si="38"/>
        <v>1078868</v>
      </c>
      <c r="I446" s="944">
        <f>IF(A446='Data Entry - SOF'!B$2,'Report-SOF1920-HB3'!D$102,0)</f>
        <v>0</v>
      </c>
      <c r="J446" s="1037">
        <f>IF(A446='Data Entry - SOF'!B$2,'Data Entry - SOF'!G$102,0)</f>
        <v>0</v>
      </c>
      <c r="K446" s="717">
        <f t="shared" si="39"/>
        <v>1078868</v>
      </c>
      <c r="L446" s="944">
        <f>IF(A446='Data Entry - SOF'!B$2,'Report-SOF2021'!D$99,0)</f>
        <v>0</v>
      </c>
      <c r="M446" s="723">
        <f>IF(A446='Data Entry - SOF'!B$2,'Data Entry - SOF'!M$102,0)</f>
        <v>0</v>
      </c>
      <c r="N446" s="717">
        <f t="shared" si="40"/>
        <v>1078868</v>
      </c>
      <c r="O446" s="944">
        <f>IF(A446='Data Entry - SOF'!B$2,'Report-SOF2122'!D$91,0)</f>
        <v>0</v>
      </c>
      <c r="P446" s="723">
        <f>IF(A446='Data Entry - SOF'!B$2,'Data Entry - SOF'!O$102,0)</f>
        <v>0</v>
      </c>
      <c r="Q446" s="601">
        <f t="shared" si="37"/>
        <v>1078868</v>
      </c>
      <c r="R446" s="944">
        <f>IF(A446='Data Entry - SOF'!B$2,'Report-SOF2223'!D$91,0)</f>
        <v>0</v>
      </c>
      <c r="S446" s="723">
        <f>IF(A446='Data Entry - SOF'!B$2,'Data Entry - SOF'!Q$102,0)</f>
        <v>0</v>
      </c>
      <c r="T446" s="601">
        <f t="shared" si="41"/>
        <v>1078868</v>
      </c>
      <c r="U446" s="944">
        <f>IF(A446='Data Entry - SOF'!B$2,'Report-SOF2324'!D$91,0)</f>
        <v>0</v>
      </c>
      <c r="V446" s="723">
        <f>IF(A446='Data Entry - SOF'!B$2,'Data Entry - SOF'!S$102,0)</f>
        <v>0</v>
      </c>
    </row>
    <row r="447" spans="1:22" ht="15.75">
      <c r="A447" s="382" t="s">
        <v>772</v>
      </c>
      <c r="B447" s="91">
        <v>2479188</v>
      </c>
      <c r="C447" s="944">
        <f>IF(A447='Data Entry - SOF'!B$2,'Report-SOF1718'!D$102,0)</f>
        <v>0</v>
      </c>
      <c r="D447" s="1037">
        <f>IF(A447='Data Entry - SOF'!B$2,'Data Entry - SOF'!#REF!,0)</f>
        <v>0</v>
      </c>
      <c r="E447" s="91">
        <f t="shared" si="36"/>
        <v>2479188</v>
      </c>
      <c r="F447" s="944">
        <f>IF(A447='Data Entry - SOF'!B$2,'Report-SOF1819'!D$102,0)</f>
        <v>0</v>
      </c>
      <c r="G447" s="1037">
        <f>IF(A447='Data Entry - SOF'!B$2,'Data Entry - SOF'!E$102,0)</f>
        <v>0</v>
      </c>
      <c r="H447" s="1038">
        <f t="shared" si="38"/>
        <v>2479188</v>
      </c>
      <c r="I447" s="944">
        <f>IF(A447='Data Entry - SOF'!B$2,'Report-SOF1920-HB3'!D$102,0)</f>
        <v>0</v>
      </c>
      <c r="J447" s="1037">
        <f>IF(A447='Data Entry - SOF'!B$2,'Data Entry - SOF'!G$102,0)</f>
        <v>0</v>
      </c>
      <c r="K447" s="717">
        <f t="shared" si="39"/>
        <v>2479188</v>
      </c>
      <c r="L447" s="944">
        <f>IF(A447='Data Entry - SOF'!B$2,'Report-SOF2021'!D$99,0)</f>
        <v>0</v>
      </c>
      <c r="M447" s="723">
        <f>IF(A447='Data Entry - SOF'!B$2,'Data Entry - SOF'!M$102,0)</f>
        <v>0</v>
      </c>
      <c r="N447" s="717">
        <f t="shared" si="40"/>
        <v>2479188</v>
      </c>
      <c r="O447" s="944">
        <f>IF(A447='Data Entry - SOF'!B$2,'Report-SOF2122'!D$91,0)</f>
        <v>0</v>
      </c>
      <c r="P447" s="723">
        <f>IF(A447='Data Entry - SOF'!B$2,'Data Entry - SOF'!O$102,0)</f>
        <v>0</v>
      </c>
      <c r="Q447" s="601">
        <f t="shared" si="37"/>
        <v>2479188</v>
      </c>
      <c r="R447" s="944">
        <f>IF(A447='Data Entry - SOF'!B$2,'Report-SOF2223'!D$91,0)</f>
        <v>0</v>
      </c>
      <c r="S447" s="723">
        <f>IF(A447='Data Entry - SOF'!B$2,'Data Entry - SOF'!Q$102,0)</f>
        <v>0</v>
      </c>
      <c r="T447" s="601">
        <f t="shared" si="41"/>
        <v>2479188</v>
      </c>
      <c r="U447" s="944">
        <f>IF(A447='Data Entry - SOF'!B$2,'Report-SOF2324'!D$91,0)</f>
        <v>0</v>
      </c>
      <c r="V447" s="723">
        <f>IF(A447='Data Entry - SOF'!B$2,'Data Entry - SOF'!S$102,0)</f>
        <v>0</v>
      </c>
    </row>
    <row r="448" spans="1:22" ht="15.75">
      <c r="A448" s="382" t="s">
        <v>1865</v>
      </c>
      <c r="B448" s="91">
        <v>3512302</v>
      </c>
      <c r="C448" s="944">
        <f>IF(A448='Data Entry - SOF'!B$2,'Report-SOF1718'!D$102,0)</f>
        <v>0</v>
      </c>
      <c r="D448" s="1037">
        <f>IF(A448='Data Entry - SOF'!B$2,'Data Entry - SOF'!#REF!,0)</f>
        <v>0</v>
      </c>
      <c r="E448" s="91">
        <f t="shared" si="36"/>
        <v>3512302</v>
      </c>
      <c r="F448" s="944">
        <f>IF(A448='Data Entry - SOF'!B$2,'Report-SOF1819'!D$102,0)</f>
        <v>0</v>
      </c>
      <c r="G448" s="1037">
        <f>IF(A448='Data Entry - SOF'!B$2,'Data Entry - SOF'!E$102,0)</f>
        <v>0</v>
      </c>
      <c r="H448" s="1038">
        <f t="shared" si="38"/>
        <v>3512302</v>
      </c>
      <c r="I448" s="944">
        <f>IF(A448='Data Entry - SOF'!B$2,'Report-SOF1920-HB3'!D$102,0)</f>
        <v>0</v>
      </c>
      <c r="J448" s="1037">
        <f>IF(A448='Data Entry - SOF'!B$2,'Data Entry - SOF'!G$102,0)</f>
        <v>0</v>
      </c>
      <c r="K448" s="717">
        <f t="shared" si="39"/>
        <v>3512302</v>
      </c>
      <c r="L448" s="944">
        <f>IF(A448='Data Entry - SOF'!B$2,'Report-SOF2021'!D$99,0)</f>
        <v>0</v>
      </c>
      <c r="M448" s="723">
        <f>IF(A448='Data Entry - SOF'!B$2,'Data Entry - SOF'!M$102,0)</f>
        <v>0</v>
      </c>
      <c r="N448" s="717">
        <f t="shared" si="40"/>
        <v>3512302</v>
      </c>
      <c r="O448" s="944">
        <f>IF(A448='Data Entry - SOF'!B$2,'Report-SOF2122'!D$91,0)</f>
        <v>0</v>
      </c>
      <c r="P448" s="723">
        <f>IF(A448='Data Entry - SOF'!B$2,'Data Entry - SOF'!O$102,0)</f>
        <v>0</v>
      </c>
      <c r="Q448" s="601">
        <f t="shared" si="37"/>
        <v>3512302</v>
      </c>
      <c r="R448" s="944">
        <f>IF(A448='Data Entry - SOF'!B$2,'Report-SOF2223'!D$91,0)</f>
        <v>0</v>
      </c>
      <c r="S448" s="723">
        <f>IF(A448='Data Entry - SOF'!B$2,'Data Entry - SOF'!Q$102,0)</f>
        <v>0</v>
      </c>
      <c r="T448" s="601">
        <f t="shared" si="41"/>
        <v>3512302</v>
      </c>
      <c r="U448" s="944">
        <f>IF(A448='Data Entry - SOF'!B$2,'Report-SOF2324'!D$91,0)</f>
        <v>0</v>
      </c>
      <c r="V448" s="723">
        <f>IF(A448='Data Entry - SOF'!B$2,'Data Entry - SOF'!S$102,0)</f>
        <v>0</v>
      </c>
    </row>
    <row r="449" spans="1:22" ht="15.75">
      <c r="A449" s="382" t="s">
        <v>2529</v>
      </c>
      <c r="B449" s="91">
        <v>34491441</v>
      </c>
      <c r="C449" s="944">
        <f>IF(A449='Data Entry - SOF'!B$2,'Report-SOF1718'!D$102,0)</f>
        <v>0</v>
      </c>
      <c r="D449" s="1037">
        <f>IF(A449='Data Entry - SOF'!B$2,'Data Entry - SOF'!#REF!,0)</f>
        <v>0</v>
      </c>
      <c r="E449" s="91">
        <f t="shared" si="36"/>
        <v>34491441</v>
      </c>
      <c r="F449" s="944">
        <f>IF(A449='Data Entry - SOF'!B$2,'Report-SOF1819'!D$102,0)</f>
        <v>0</v>
      </c>
      <c r="G449" s="1037">
        <f>IF(A449='Data Entry - SOF'!B$2,'Data Entry - SOF'!E$102,0)</f>
        <v>0</v>
      </c>
      <c r="H449" s="1038">
        <f t="shared" si="38"/>
        <v>34491441</v>
      </c>
      <c r="I449" s="944">
        <f>IF(A449='Data Entry - SOF'!B$2,'Report-SOF1920-HB3'!D$102,0)</f>
        <v>0</v>
      </c>
      <c r="J449" s="1037">
        <f>IF(A449='Data Entry - SOF'!B$2,'Data Entry - SOF'!G$102,0)</f>
        <v>0</v>
      </c>
      <c r="K449" s="717">
        <f t="shared" si="39"/>
        <v>34491441</v>
      </c>
      <c r="L449" s="944">
        <f>IF(A449='Data Entry - SOF'!B$2,'Report-SOF2021'!D$99,0)</f>
        <v>0</v>
      </c>
      <c r="M449" s="723">
        <f>IF(A449='Data Entry - SOF'!B$2,'Data Entry - SOF'!M$102,0)</f>
        <v>0</v>
      </c>
      <c r="N449" s="717">
        <f t="shared" si="40"/>
        <v>34491441</v>
      </c>
      <c r="O449" s="944">
        <f>IF(A449='Data Entry - SOF'!B$2,'Report-SOF2122'!D$91,0)</f>
        <v>0</v>
      </c>
      <c r="P449" s="723">
        <f>IF(A449='Data Entry - SOF'!B$2,'Data Entry - SOF'!O$102,0)</f>
        <v>0</v>
      </c>
      <c r="Q449" s="601">
        <f t="shared" si="37"/>
        <v>34491441</v>
      </c>
      <c r="R449" s="944">
        <f>IF(A449='Data Entry - SOF'!B$2,'Report-SOF2223'!D$91,0)</f>
        <v>0</v>
      </c>
      <c r="S449" s="723">
        <f>IF(A449='Data Entry - SOF'!B$2,'Data Entry - SOF'!Q$102,0)</f>
        <v>0</v>
      </c>
      <c r="T449" s="601">
        <f t="shared" si="41"/>
        <v>34491441</v>
      </c>
      <c r="U449" s="944">
        <f>IF(A449='Data Entry - SOF'!B$2,'Report-SOF2324'!D$91,0)</f>
        <v>0</v>
      </c>
      <c r="V449" s="723">
        <f>IF(A449='Data Entry - SOF'!B$2,'Data Entry - SOF'!S$102,0)</f>
        <v>0</v>
      </c>
    </row>
    <row r="450" spans="1:22" ht="15.75">
      <c r="A450" s="382" t="s">
        <v>2532</v>
      </c>
      <c r="B450" s="91">
        <v>2532354</v>
      </c>
      <c r="C450" s="944">
        <f>IF(A450='Data Entry - SOF'!B$2,'Report-SOF1718'!D$102,0)</f>
        <v>0</v>
      </c>
      <c r="D450" s="1037">
        <f>IF(A450='Data Entry - SOF'!B$2,'Data Entry - SOF'!#REF!,0)</f>
        <v>0</v>
      </c>
      <c r="E450" s="91">
        <f t="shared" si="36"/>
        <v>2532354</v>
      </c>
      <c r="F450" s="944">
        <f>IF(A450='Data Entry - SOF'!B$2,'Report-SOF1819'!D$102,0)</f>
        <v>0</v>
      </c>
      <c r="G450" s="1037">
        <f>IF(A450='Data Entry - SOF'!B$2,'Data Entry - SOF'!E$102,0)</f>
        <v>0</v>
      </c>
      <c r="H450" s="1038">
        <f t="shared" si="38"/>
        <v>2532354</v>
      </c>
      <c r="I450" s="944">
        <f>IF(A450='Data Entry - SOF'!B$2,'Report-SOF1920-HB3'!D$102,0)</f>
        <v>0</v>
      </c>
      <c r="J450" s="1037">
        <f>IF(A450='Data Entry - SOF'!B$2,'Data Entry - SOF'!G$102,0)</f>
        <v>0</v>
      </c>
      <c r="K450" s="717">
        <f t="shared" si="39"/>
        <v>2532354</v>
      </c>
      <c r="L450" s="944">
        <f>IF(A450='Data Entry - SOF'!B$2,'Report-SOF2021'!D$99,0)</f>
        <v>0</v>
      </c>
      <c r="M450" s="723">
        <f>IF(A450='Data Entry - SOF'!B$2,'Data Entry - SOF'!M$102,0)</f>
        <v>0</v>
      </c>
      <c r="N450" s="717">
        <f t="shared" si="40"/>
        <v>2532354</v>
      </c>
      <c r="O450" s="944">
        <f>IF(A450='Data Entry - SOF'!B$2,'Report-SOF2122'!D$91,0)</f>
        <v>0</v>
      </c>
      <c r="P450" s="723">
        <f>IF(A450='Data Entry - SOF'!B$2,'Data Entry - SOF'!O$102,0)</f>
        <v>0</v>
      </c>
      <c r="Q450" s="601">
        <f t="shared" si="37"/>
        <v>2532354</v>
      </c>
      <c r="R450" s="944">
        <f>IF(A450='Data Entry - SOF'!B$2,'Report-SOF2223'!D$91,0)</f>
        <v>0</v>
      </c>
      <c r="S450" s="723">
        <f>IF(A450='Data Entry - SOF'!B$2,'Data Entry - SOF'!Q$102,0)</f>
        <v>0</v>
      </c>
      <c r="T450" s="601">
        <f t="shared" si="41"/>
        <v>2532354</v>
      </c>
      <c r="U450" s="944">
        <f>IF(A450='Data Entry - SOF'!B$2,'Report-SOF2324'!D$91,0)</f>
        <v>0</v>
      </c>
      <c r="V450" s="723">
        <f>IF(A450='Data Entry - SOF'!B$2,'Data Entry - SOF'!S$102,0)</f>
        <v>0</v>
      </c>
    </row>
    <row r="451" spans="1:22" ht="15.75">
      <c r="A451" s="382" t="s">
        <v>2538</v>
      </c>
      <c r="B451" s="91">
        <v>1805388</v>
      </c>
      <c r="C451" s="944">
        <f>IF(A451='Data Entry - SOF'!B$2,'Report-SOF1718'!D$102,0)</f>
        <v>0</v>
      </c>
      <c r="D451" s="1037">
        <f>IF(A451='Data Entry - SOF'!B$2,'Data Entry - SOF'!#REF!,0)</f>
        <v>0</v>
      </c>
      <c r="E451" s="91">
        <f t="shared" si="36"/>
        <v>1805388</v>
      </c>
      <c r="F451" s="944">
        <f>IF(A451='Data Entry - SOF'!B$2,'Report-SOF1819'!D$102,0)</f>
        <v>0</v>
      </c>
      <c r="G451" s="1037">
        <f>IF(A451='Data Entry - SOF'!B$2,'Data Entry - SOF'!E$102,0)</f>
        <v>0</v>
      </c>
      <c r="H451" s="1038">
        <f t="shared" si="38"/>
        <v>1805388</v>
      </c>
      <c r="I451" s="944">
        <f>IF(A451='Data Entry - SOF'!B$2,'Report-SOF1920-HB3'!D$102,0)</f>
        <v>0</v>
      </c>
      <c r="J451" s="1037">
        <f>IF(A451='Data Entry - SOF'!B$2,'Data Entry - SOF'!G$102,0)</f>
        <v>0</v>
      </c>
      <c r="K451" s="717">
        <f t="shared" si="39"/>
        <v>1805388</v>
      </c>
      <c r="L451" s="944">
        <f>IF(A451='Data Entry - SOF'!B$2,'Report-SOF2021'!D$99,0)</f>
        <v>0</v>
      </c>
      <c r="M451" s="723">
        <f>IF(A451='Data Entry - SOF'!B$2,'Data Entry - SOF'!M$102,0)</f>
        <v>0</v>
      </c>
      <c r="N451" s="717">
        <f t="shared" si="40"/>
        <v>1805388</v>
      </c>
      <c r="O451" s="944">
        <f>IF(A451='Data Entry - SOF'!B$2,'Report-SOF2122'!D$91,0)</f>
        <v>0</v>
      </c>
      <c r="P451" s="723">
        <f>IF(A451='Data Entry - SOF'!B$2,'Data Entry - SOF'!O$102,0)</f>
        <v>0</v>
      </c>
      <c r="Q451" s="601">
        <f t="shared" si="37"/>
        <v>1805388</v>
      </c>
      <c r="R451" s="944">
        <f>IF(A451='Data Entry - SOF'!B$2,'Report-SOF2223'!D$91,0)</f>
        <v>0</v>
      </c>
      <c r="S451" s="723">
        <f>IF(A451='Data Entry - SOF'!B$2,'Data Entry - SOF'!Q$102,0)</f>
        <v>0</v>
      </c>
      <c r="T451" s="601">
        <f t="shared" si="41"/>
        <v>1805388</v>
      </c>
      <c r="U451" s="944">
        <f>IF(A451='Data Entry - SOF'!B$2,'Report-SOF2324'!D$91,0)</f>
        <v>0</v>
      </c>
      <c r="V451" s="723">
        <f>IF(A451='Data Entry - SOF'!B$2,'Data Entry - SOF'!S$102,0)</f>
        <v>0</v>
      </c>
    </row>
    <row r="452" spans="1:22" ht="15.75">
      <c r="A452" s="382" t="s">
        <v>211</v>
      </c>
      <c r="B452" s="91">
        <v>16766938</v>
      </c>
      <c r="C452" s="944">
        <f>IF(A452='Data Entry - SOF'!B$2,'Report-SOF1718'!D$102,0)</f>
        <v>0</v>
      </c>
      <c r="D452" s="1037">
        <f>IF(A452='Data Entry - SOF'!B$2,'Data Entry - SOF'!#REF!,0)</f>
        <v>0</v>
      </c>
      <c r="E452" s="91">
        <f t="shared" ref="E452:E515" si="42">IF(B452+C452-D452&lt;=0,0,B452+C452-D452)</f>
        <v>16766938</v>
      </c>
      <c r="F452" s="944">
        <f>IF(A452='Data Entry - SOF'!B$2,'Report-SOF1819'!D$102,0)</f>
        <v>0</v>
      </c>
      <c r="G452" s="1037">
        <f>IF(A452='Data Entry - SOF'!B$2,'Data Entry - SOF'!E$102,0)</f>
        <v>0</v>
      </c>
      <c r="H452" s="1038">
        <f t="shared" si="38"/>
        <v>16766938</v>
      </c>
      <c r="I452" s="944">
        <f>IF(A452='Data Entry - SOF'!B$2,'Report-SOF1920-HB3'!D$102,0)</f>
        <v>0</v>
      </c>
      <c r="J452" s="1037">
        <f>IF(A452='Data Entry - SOF'!B$2,'Data Entry - SOF'!G$102,0)</f>
        <v>0</v>
      </c>
      <c r="K452" s="717">
        <f t="shared" si="39"/>
        <v>16766938</v>
      </c>
      <c r="L452" s="944">
        <f>IF(A452='Data Entry - SOF'!B$2,'Report-SOF2021'!D$99,0)</f>
        <v>0</v>
      </c>
      <c r="M452" s="723">
        <f>IF(A452='Data Entry - SOF'!B$2,'Data Entry - SOF'!M$102,0)</f>
        <v>0</v>
      </c>
      <c r="N452" s="717">
        <f t="shared" si="40"/>
        <v>16766938</v>
      </c>
      <c r="O452" s="944">
        <f>IF(A452='Data Entry - SOF'!B$2,'Report-SOF2122'!D$91,0)</f>
        <v>0</v>
      </c>
      <c r="P452" s="723">
        <f>IF(A452='Data Entry - SOF'!B$2,'Data Entry - SOF'!O$102,0)</f>
        <v>0</v>
      </c>
      <c r="Q452" s="601">
        <f t="shared" ref="Q452:Q515" si="43">IF(N452+O452-P452&lt;=0,0,N452+O452-P452)</f>
        <v>16766938</v>
      </c>
      <c r="R452" s="944">
        <f>IF(A452='Data Entry - SOF'!B$2,'Report-SOF2223'!D$91,0)</f>
        <v>0</v>
      </c>
      <c r="S452" s="723">
        <f>IF(A452='Data Entry - SOF'!B$2,'Data Entry - SOF'!Q$102,0)</f>
        <v>0</v>
      </c>
      <c r="T452" s="601">
        <f t="shared" si="41"/>
        <v>16766938</v>
      </c>
      <c r="U452" s="944">
        <f>IF(A452='Data Entry - SOF'!B$2,'Report-SOF2324'!D$91,0)</f>
        <v>0</v>
      </c>
      <c r="V452" s="723">
        <f>IF(A452='Data Entry - SOF'!B$2,'Data Entry - SOF'!S$102,0)</f>
        <v>0</v>
      </c>
    </row>
    <row r="453" spans="1:22" ht="15.75">
      <c r="A453" s="382" t="s">
        <v>1067</v>
      </c>
      <c r="B453" s="91">
        <v>777709</v>
      </c>
      <c r="C453" s="944">
        <f>IF(A453='Data Entry - SOF'!B$2,'Report-SOF1718'!D$102,0)</f>
        <v>0</v>
      </c>
      <c r="D453" s="1037">
        <f>IF(A453='Data Entry - SOF'!B$2,'Data Entry - SOF'!#REF!,0)</f>
        <v>0</v>
      </c>
      <c r="E453" s="91">
        <f t="shared" si="42"/>
        <v>777709</v>
      </c>
      <c r="F453" s="944">
        <f>IF(A453='Data Entry - SOF'!B$2,'Report-SOF1819'!D$102,0)</f>
        <v>0</v>
      </c>
      <c r="G453" s="1037">
        <f>IF(A453='Data Entry - SOF'!B$2,'Data Entry - SOF'!E$102,0)</f>
        <v>0</v>
      </c>
      <c r="H453" s="1038">
        <f t="shared" ref="H453:H516" si="44">IF(E453+F453-G453&lt;=0,0,E453+F453-G453)</f>
        <v>777709</v>
      </c>
      <c r="I453" s="944">
        <f>IF(A453='Data Entry - SOF'!B$2,'Report-SOF1920-HB3'!D$102,0)</f>
        <v>0</v>
      </c>
      <c r="J453" s="1037">
        <f>IF(A453='Data Entry - SOF'!B$2,'Data Entry - SOF'!G$102,0)</f>
        <v>0</v>
      </c>
      <c r="K453" s="717">
        <f t="shared" ref="K453:K516" si="45">IF(H453+I453-J453&lt;=0,0,H453+I453-J453)</f>
        <v>777709</v>
      </c>
      <c r="L453" s="944">
        <f>IF(A453='Data Entry - SOF'!B$2,'Report-SOF2021'!D$99,0)</f>
        <v>0</v>
      </c>
      <c r="M453" s="723">
        <f>IF(A453='Data Entry - SOF'!B$2,'Data Entry - SOF'!M$102,0)</f>
        <v>0</v>
      </c>
      <c r="N453" s="717">
        <f t="shared" ref="N453:N516" si="46">IF(K453+L453-M453&lt;=0,0,K453+L453-M453)</f>
        <v>777709</v>
      </c>
      <c r="O453" s="944">
        <f>IF(A453='Data Entry - SOF'!B$2,'Report-SOF2122'!D$91,0)</f>
        <v>0</v>
      </c>
      <c r="P453" s="723">
        <f>IF(A453='Data Entry - SOF'!B$2,'Data Entry - SOF'!O$102,0)</f>
        <v>0</v>
      </c>
      <c r="Q453" s="601">
        <f t="shared" si="43"/>
        <v>777709</v>
      </c>
      <c r="R453" s="944">
        <f>IF(A453='Data Entry - SOF'!B$2,'Report-SOF2223'!D$91,0)</f>
        <v>0</v>
      </c>
      <c r="S453" s="723">
        <f>IF(A453='Data Entry - SOF'!B$2,'Data Entry - SOF'!Q$102,0)</f>
        <v>0</v>
      </c>
      <c r="T453" s="601">
        <f t="shared" ref="T453:T516" si="47">IF(P453+Q453-S453&lt;=0,0,P453+Q453-S453)</f>
        <v>777709</v>
      </c>
      <c r="U453" s="944">
        <f>IF(A453='Data Entry - SOF'!B$2,'Report-SOF2324'!D$91,0)</f>
        <v>0</v>
      </c>
      <c r="V453" s="723">
        <f>IF(A453='Data Entry - SOF'!B$2,'Data Entry - SOF'!S$102,0)</f>
        <v>0</v>
      </c>
    </row>
    <row r="454" spans="1:22" ht="15.75">
      <c r="A454" s="382" t="s">
        <v>1562</v>
      </c>
      <c r="B454" s="91">
        <v>18963146</v>
      </c>
      <c r="C454" s="944">
        <f>IF(A454='Data Entry - SOF'!B$2,'Report-SOF1718'!D$102,0)</f>
        <v>0</v>
      </c>
      <c r="D454" s="1037">
        <f>IF(A454='Data Entry - SOF'!B$2,'Data Entry - SOF'!#REF!,0)</f>
        <v>0</v>
      </c>
      <c r="E454" s="91">
        <f t="shared" si="42"/>
        <v>18963146</v>
      </c>
      <c r="F454" s="944">
        <f>IF(A454='Data Entry - SOF'!B$2,'Report-SOF1819'!D$102,0)</f>
        <v>0</v>
      </c>
      <c r="G454" s="1037">
        <f>IF(A454='Data Entry - SOF'!B$2,'Data Entry - SOF'!E$102,0)</f>
        <v>0</v>
      </c>
      <c r="H454" s="1038">
        <f t="shared" si="44"/>
        <v>18963146</v>
      </c>
      <c r="I454" s="944">
        <f>IF(A454='Data Entry - SOF'!B$2,'Report-SOF1920-HB3'!D$102,0)</f>
        <v>0</v>
      </c>
      <c r="J454" s="1037">
        <f>IF(A454='Data Entry - SOF'!B$2,'Data Entry - SOF'!G$102,0)</f>
        <v>0</v>
      </c>
      <c r="K454" s="717">
        <f t="shared" si="45"/>
        <v>18963146</v>
      </c>
      <c r="L454" s="944">
        <f>IF(A454='Data Entry - SOF'!B$2,'Report-SOF2021'!D$99,0)</f>
        <v>0</v>
      </c>
      <c r="M454" s="723">
        <f>IF(A454='Data Entry - SOF'!B$2,'Data Entry - SOF'!M$102,0)</f>
        <v>0</v>
      </c>
      <c r="N454" s="717">
        <f t="shared" si="46"/>
        <v>18963146</v>
      </c>
      <c r="O454" s="944">
        <f>IF(A454='Data Entry - SOF'!B$2,'Report-SOF2122'!D$91,0)</f>
        <v>0</v>
      </c>
      <c r="P454" s="723">
        <f>IF(A454='Data Entry - SOF'!B$2,'Data Entry - SOF'!O$102,0)</f>
        <v>0</v>
      </c>
      <c r="Q454" s="601">
        <f t="shared" si="43"/>
        <v>18963146</v>
      </c>
      <c r="R454" s="944">
        <f>IF(A454='Data Entry - SOF'!B$2,'Report-SOF2223'!D$91,0)</f>
        <v>0</v>
      </c>
      <c r="S454" s="723">
        <f>IF(A454='Data Entry - SOF'!B$2,'Data Entry - SOF'!Q$102,0)</f>
        <v>0</v>
      </c>
      <c r="T454" s="601">
        <f t="shared" si="47"/>
        <v>18963146</v>
      </c>
      <c r="U454" s="944">
        <f>IF(A454='Data Entry - SOF'!B$2,'Report-SOF2324'!D$91,0)</f>
        <v>0</v>
      </c>
      <c r="V454" s="723">
        <f>IF(A454='Data Entry - SOF'!B$2,'Data Entry - SOF'!S$102,0)</f>
        <v>0</v>
      </c>
    </row>
    <row r="455" spans="1:22" ht="15.75">
      <c r="A455" s="382" t="s">
        <v>58</v>
      </c>
      <c r="B455" s="91">
        <v>1184608</v>
      </c>
      <c r="C455" s="944">
        <f>IF(A455='Data Entry - SOF'!B$2,'Report-SOF1718'!D$102,0)</f>
        <v>0</v>
      </c>
      <c r="D455" s="1037">
        <f>IF(A455='Data Entry - SOF'!B$2,'Data Entry - SOF'!#REF!,0)</f>
        <v>0</v>
      </c>
      <c r="E455" s="91">
        <f t="shared" si="42"/>
        <v>1184608</v>
      </c>
      <c r="F455" s="944">
        <f>IF(A455='Data Entry - SOF'!B$2,'Report-SOF1819'!D$102,0)</f>
        <v>0</v>
      </c>
      <c r="G455" s="1037">
        <f>IF(A455='Data Entry - SOF'!B$2,'Data Entry - SOF'!E$102,0)</f>
        <v>0</v>
      </c>
      <c r="H455" s="1038">
        <f t="shared" si="44"/>
        <v>1184608</v>
      </c>
      <c r="I455" s="944">
        <f>IF(A455='Data Entry - SOF'!B$2,'Report-SOF1920-HB3'!D$102,0)</f>
        <v>0</v>
      </c>
      <c r="J455" s="1037">
        <f>IF(A455='Data Entry - SOF'!B$2,'Data Entry - SOF'!G$102,0)</f>
        <v>0</v>
      </c>
      <c r="K455" s="717">
        <f t="shared" si="45"/>
        <v>1184608</v>
      </c>
      <c r="L455" s="944">
        <f>IF(A455='Data Entry - SOF'!B$2,'Report-SOF2021'!D$99,0)</f>
        <v>0</v>
      </c>
      <c r="M455" s="723">
        <f>IF(A455='Data Entry - SOF'!B$2,'Data Entry - SOF'!M$102,0)</f>
        <v>0</v>
      </c>
      <c r="N455" s="717">
        <f t="shared" si="46"/>
        <v>1184608</v>
      </c>
      <c r="O455" s="944">
        <f>IF(A455='Data Entry - SOF'!B$2,'Report-SOF2122'!D$91,0)</f>
        <v>0</v>
      </c>
      <c r="P455" s="723">
        <f>IF(A455='Data Entry - SOF'!B$2,'Data Entry - SOF'!O$102,0)</f>
        <v>0</v>
      </c>
      <c r="Q455" s="601">
        <f t="shared" si="43"/>
        <v>1184608</v>
      </c>
      <c r="R455" s="944">
        <f>IF(A455='Data Entry - SOF'!B$2,'Report-SOF2223'!D$91,0)</f>
        <v>0</v>
      </c>
      <c r="S455" s="723">
        <f>IF(A455='Data Entry - SOF'!B$2,'Data Entry - SOF'!Q$102,0)</f>
        <v>0</v>
      </c>
      <c r="T455" s="601">
        <f t="shared" si="47"/>
        <v>1184608</v>
      </c>
      <c r="U455" s="944">
        <f>IF(A455='Data Entry - SOF'!B$2,'Report-SOF2324'!D$91,0)</f>
        <v>0</v>
      </c>
      <c r="V455" s="723">
        <f>IF(A455='Data Entry - SOF'!B$2,'Data Entry - SOF'!S$102,0)</f>
        <v>0</v>
      </c>
    </row>
    <row r="456" spans="1:22" ht="15.75">
      <c r="A456" s="382" t="s">
        <v>723</v>
      </c>
      <c r="B456" s="91">
        <v>0</v>
      </c>
      <c r="C456" s="944">
        <f>IF(A456='Data Entry - SOF'!B$2,'Report-SOF1718'!D$102,0)</f>
        <v>0</v>
      </c>
      <c r="D456" s="1037">
        <f>IF(A456='Data Entry - SOF'!B$2,'Data Entry - SOF'!#REF!,0)</f>
        <v>0</v>
      </c>
      <c r="E456" s="91">
        <f t="shared" si="42"/>
        <v>0</v>
      </c>
      <c r="F456" s="944">
        <f>IF(A456='Data Entry - SOF'!B$2,'Report-SOF1819'!D$102,0)</f>
        <v>0</v>
      </c>
      <c r="G456" s="1037">
        <f>IF(A456='Data Entry - SOF'!B$2,'Data Entry - SOF'!E$102,0)</f>
        <v>0</v>
      </c>
      <c r="H456" s="1038">
        <f t="shared" si="44"/>
        <v>0</v>
      </c>
      <c r="I456" s="944">
        <f>IF(A456='Data Entry - SOF'!B$2,'Report-SOF1920-HB3'!D$102,0)</f>
        <v>0</v>
      </c>
      <c r="J456" s="1037">
        <f>IF(A456='Data Entry - SOF'!B$2,'Data Entry - SOF'!G$102,0)</f>
        <v>0</v>
      </c>
      <c r="K456" s="717">
        <f t="shared" si="45"/>
        <v>0</v>
      </c>
      <c r="L456" s="944">
        <f>IF(A456='Data Entry - SOF'!B$2,'Report-SOF2021'!D$99,0)</f>
        <v>0</v>
      </c>
      <c r="M456" s="723">
        <f>IF(A456='Data Entry - SOF'!B$2,'Data Entry - SOF'!M$102,0)</f>
        <v>0</v>
      </c>
      <c r="N456" s="717">
        <f t="shared" si="46"/>
        <v>0</v>
      </c>
      <c r="O456" s="944">
        <f>IF(A456='Data Entry - SOF'!B$2,'Report-SOF2122'!D$91,0)</f>
        <v>0</v>
      </c>
      <c r="P456" s="723">
        <f>IF(A456='Data Entry - SOF'!B$2,'Data Entry - SOF'!O$102,0)</f>
        <v>0</v>
      </c>
      <c r="Q456" s="601">
        <f t="shared" si="43"/>
        <v>0</v>
      </c>
      <c r="R456" s="944">
        <f>IF(A456='Data Entry - SOF'!B$2,'Report-SOF2223'!D$91,0)</f>
        <v>0</v>
      </c>
      <c r="S456" s="723">
        <f>IF(A456='Data Entry - SOF'!B$2,'Data Entry - SOF'!Q$102,0)</f>
        <v>0</v>
      </c>
      <c r="T456" s="601">
        <f t="shared" si="47"/>
        <v>0</v>
      </c>
      <c r="U456" s="944">
        <f>IF(A456='Data Entry - SOF'!B$2,'Report-SOF2324'!D$91,0)</f>
        <v>0</v>
      </c>
      <c r="V456" s="723">
        <f>IF(A456='Data Entry - SOF'!B$2,'Data Entry - SOF'!S$102,0)</f>
        <v>0</v>
      </c>
    </row>
    <row r="457" spans="1:22" ht="15.75">
      <c r="A457" s="382" t="s">
        <v>60</v>
      </c>
      <c r="B457" s="91">
        <v>502358</v>
      </c>
      <c r="C457" s="944">
        <f>IF(A457='Data Entry - SOF'!B$2,'Report-SOF1718'!D$102,0)</f>
        <v>0</v>
      </c>
      <c r="D457" s="1037">
        <f>IF(A457='Data Entry - SOF'!B$2,'Data Entry - SOF'!#REF!,0)</f>
        <v>0</v>
      </c>
      <c r="E457" s="91">
        <f t="shared" si="42"/>
        <v>502358</v>
      </c>
      <c r="F457" s="944">
        <f>IF(A457='Data Entry - SOF'!B$2,'Report-SOF1819'!D$102,0)</f>
        <v>0</v>
      </c>
      <c r="G457" s="1037">
        <f>IF(A457='Data Entry - SOF'!B$2,'Data Entry - SOF'!E$102,0)</f>
        <v>0</v>
      </c>
      <c r="H457" s="1038">
        <f t="shared" si="44"/>
        <v>502358</v>
      </c>
      <c r="I457" s="944">
        <f>IF(A457='Data Entry - SOF'!B$2,'Report-SOF1920-HB3'!D$102,0)</f>
        <v>0</v>
      </c>
      <c r="J457" s="1037">
        <f>IF(A457='Data Entry - SOF'!B$2,'Data Entry - SOF'!G$102,0)</f>
        <v>0</v>
      </c>
      <c r="K457" s="717">
        <f t="shared" si="45"/>
        <v>502358</v>
      </c>
      <c r="L457" s="944">
        <f>IF(A457='Data Entry - SOF'!B$2,'Report-SOF2021'!D$99,0)</f>
        <v>0</v>
      </c>
      <c r="M457" s="723">
        <f>IF(A457='Data Entry - SOF'!B$2,'Data Entry - SOF'!M$102,0)</f>
        <v>0</v>
      </c>
      <c r="N457" s="717">
        <f t="shared" si="46"/>
        <v>502358</v>
      </c>
      <c r="O457" s="944">
        <f>IF(A457='Data Entry - SOF'!B$2,'Report-SOF2122'!D$91,0)</f>
        <v>0</v>
      </c>
      <c r="P457" s="723">
        <f>IF(A457='Data Entry - SOF'!B$2,'Data Entry - SOF'!O$102,0)</f>
        <v>0</v>
      </c>
      <c r="Q457" s="601">
        <f t="shared" si="43"/>
        <v>502358</v>
      </c>
      <c r="R457" s="944">
        <f>IF(A457='Data Entry - SOF'!B$2,'Report-SOF2223'!D$91,0)</f>
        <v>0</v>
      </c>
      <c r="S457" s="723">
        <f>IF(A457='Data Entry - SOF'!B$2,'Data Entry - SOF'!Q$102,0)</f>
        <v>0</v>
      </c>
      <c r="T457" s="601">
        <f t="shared" si="47"/>
        <v>502358</v>
      </c>
      <c r="U457" s="944">
        <f>IF(A457='Data Entry - SOF'!B$2,'Report-SOF2324'!D$91,0)</f>
        <v>0</v>
      </c>
      <c r="V457" s="723">
        <f>IF(A457='Data Entry - SOF'!B$2,'Data Entry - SOF'!S$102,0)</f>
        <v>0</v>
      </c>
    </row>
    <row r="458" spans="1:22" ht="15.75">
      <c r="A458" s="382" t="s">
        <v>512</v>
      </c>
      <c r="B458" s="91">
        <v>996599</v>
      </c>
      <c r="C458" s="944">
        <f>IF(A458='Data Entry - SOF'!B$2,'Report-SOF1718'!D$102,0)</f>
        <v>0</v>
      </c>
      <c r="D458" s="1037">
        <f>IF(A458='Data Entry - SOF'!B$2,'Data Entry - SOF'!#REF!,0)</f>
        <v>0</v>
      </c>
      <c r="E458" s="91">
        <f t="shared" si="42"/>
        <v>996599</v>
      </c>
      <c r="F458" s="944">
        <f>IF(A458='Data Entry - SOF'!B$2,'Report-SOF1819'!D$102,0)</f>
        <v>0</v>
      </c>
      <c r="G458" s="1037">
        <f>IF(A458='Data Entry - SOF'!B$2,'Data Entry - SOF'!E$102,0)</f>
        <v>0</v>
      </c>
      <c r="H458" s="1038">
        <f t="shared" si="44"/>
        <v>996599</v>
      </c>
      <c r="I458" s="944">
        <f>IF(A458='Data Entry - SOF'!B$2,'Report-SOF1920-HB3'!D$102,0)</f>
        <v>0</v>
      </c>
      <c r="J458" s="1037">
        <f>IF(A458='Data Entry - SOF'!B$2,'Data Entry - SOF'!G$102,0)</f>
        <v>0</v>
      </c>
      <c r="K458" s="717">
        <f t="shared" si="45"/>
        <v>996599</v>
      </c>
      <c r="L458" s="944">
        <f>IF(A458='Data Entry - SOF'!B$2,'Report-SOF2021'!D$99,0)</f>
        <v>0</v>
      </c>
      <c r="M458" s="723">
        <f>IF(A458='Data Entry - SOF'!B$2,'Data Entry - SOF'!M$102,0)</f>
        <v>0</v>
      </c>
      <c r="N458" s="717">
        <f t="shared" si="46"/>
        <v>996599</v>
      </c>
      <c r="O458" s="944">
        <f>IF(A458='Data Entry - SOF'!B$2,'Report-SOF2122'!D$91,0)</f>
        <v>0</v>
      </c>
      <c r="P458" s="723">
        <f>IF(A458='Data Entry - SOF'!B$2,'Data Entry - SOF'!O$102,0)</f>
        <v>0</v>
      </c>
      <c r="Q458" s="601">
        <f t="shared" si="43"/>
        <v>996599</v>
      </c>
      <c r="R458" s="944">
        <f>IF(A458='Data Entry - SOF'!B$2,'Report-SOF2223'!D$91,0)</f>
        <v>0</v>
      </c>
      <c r="S458" s="723">
        <f>IF(A458='Data Entry - SOF'!B$2,'Data Entry - SOF'!Q$102,0)</f>
        <v>0</v>
      </c>
      <c r="T458" s="601">
        <f t="shared" si="47"/>
        <v>996599</v>
      </c>
      <c r="U458" s="944">
        <f>IF(A458='Data Entry - SOF'!B$2,'Report-SOF2324'!D$91,0)</f>
        <v>0</v>
      </c>
      <c r="V458" s="723">
        <f>IF(A458='Data Entry - SOF'!B$2,'Data Entry - SOF'!S$102,0)</f>
        <v>0</v>
      </c>
    </row>
    <row r="459" spans="1:22" ht="15.75">
      <c r="A459" s="382" t="s">
        <v>1522</v>
      </c>
      <c r="B459" s="91">
        <v>1442868</v>
      </c>
      <c r="C459" s="944">
        <f>IF(A459='Data Entry - SOF'!B$2,'Report-SOF1718'!D$102,0)</f>
        <v>0</v>
      </c>
      <c r="D459" s="1037">
        <f>IF(A459='Data Entry - SOF'!B$2,'Data Entry - SOF'!#REF!,0)</f>
        <v>0</v>
      </c>
      <c r="E459" s="91">
        <f t="shared" si="42"/>
        <v>1442868</v>
      </c>
      <c r="F459" s="944">
        <f>IF(A459='Data Entry - SOF'!B$2,'Report-SOF1819'!D$102,0)</f>
        <v>0</v>
      </c>
      <c r="G459" s="1037">
        <f>IF(A459='Data Entry - SOF'!B$2,'Data Entry - SOF'!E$102,0)</f>
        <v>0</v>
      </c>
      <c r="H459" s="1038">
        <f t="shared" si="44"/>
        <v>1442868</v>
      </c>
      <c r="I459" s="944">
        <f>IF(A459='Data Entry - SOF'!B$2,'Report-SOF1920-HB3'!D$102,0)</f>
        <v>0</v>
      </c>
      <c r="J459" s="1037">
        <f>IF(A459='Data Entry - SOF'!B$2,'Data Entry - SOF'!G$102,0)</f>
        <v>0</v>
      </c>
      <c r="K459" s="717">
        <f t="shared" si="45"/>
        <v>1442868</v>
      </c>
      <c r="L459" s="944">
        <f>IF(A459='Data Entry - SOF'!B$2,'Report-SOF2021'!D$99,0)</f>
        <v>0</v>
      </c>
      <c r="M459" s="723">
        <f>IF(A459='Data Entry - SOF'!B$2,'Data Entry - SOF'!M$102,0)</f>
        <v>0</v>
      </c>
      <c r="N459" s="717">
        <f t="shared" si="46"/>
        <v>1442868</v>
      </c>
      <c r="O459" s="944">
        <f>IF(A459='Data Entry - SOF'!B$2,'Report-SOF2122'!D$91,0)</f>
        <v>0</v>
      </c>
      <c r="P459" s="723">
        <f>IF(A459='Data Entry - SOF'!B$2,'Data Entry - SOF'!O$102,0)</f>
        <v>0</v>
      </c>
      <c r="Q459" s="601">
        <f t="shared" si="43"/>
        <v>1442868</v>
      </c>
      <c r="R459" s="944">
        <f>IF(A459='Data Entry - SOF'!B$2,'Report-SOF2223'!D$91,0)</f>
        <v>0</v>
      </c>
      <c r="S459" s="723">
        <f>IF(A459='Data Entry - SOF'!B$2,'Data Entry - SOF'!Q$102,0)</f>
        <v>0</v>
      </c>
      <c r="T459" s="601">
        <f t="shared" si="47"/>
        <v>1442868</v>
      </c>
      <c r="U459" s="944">
        <f>IF(A459='Data Entry - SOF'!B$2,'Report-SOF2324'!D$91,0)</f>
        <v>0</v>
      </c>
      <c r="V459" s="723">
        <f>IF(A459='Data Entry - SOF'!B$2,'Data Entry - SOF'!S$102,0)</f>
        <v>0</v>
      </c>
    </row>
    <row r="460" spans="1:22" ht="15.75">
      <c r="A460" s="382" t="s">
        <v>149</v>
      </c>
      <c r="B460" s="91">
        <v>873069</v>
      </c>
      <c r="C460" s="944">
        <f>IF(A460='Data Entry - SOF'!B$2,'Report-SOF1718'!D$102,0)</f>
        <v>0</v>
      </c>
      <c r="D460" s="1037">
        <f>IF(A460='Data Entry - SOF'!B$2,'Data Entry - SOF'!#REF!,0)</f>
        <v>0</v>
      </c>
      <c r="E460" s="91">
        <f t="shared" si="42"/>
        <v>873069</v>
      </c>
      <c r="F460" s="944">
        <f>IF(A460='Data Entry - SOF'!B$2,'Report-SOF1819'!D$102,0)</f>
        <v>0</v>
      </c>
      <c r="G460" s="1037">
        <f>IF(A460='Data Entry - SOF'!B$2,'Data Entry - SOF'!E$102,0)</f>
        <v>0</v>
      </c>
      <c r="H460" s="1038">
        <f t="shared" si="44"/>
        <v>873069</v>
      </c>
      <c r="I460" s="944">
        <f>IF(A460='Data Entry - SOF'!B$2,'Report-SOF1920-HB3'!D$102,0)</f>
        <v>0</v>
      </c>
      <c r="J460" s="1037">
        <f>IF(A460='Data Entry - SOF'!B$2,'Data Entry - SOF'!G$102,0)</f>
        <v>0</v>
      </c>
      <c r="K460" s="717">
        <f t="shared" si="45"/>
        <v>873069</v>
      </c>
      <c r="L460" s="944">
        <f>IF(A460='Data Entry - SOF'!B$2,'Report-SOF2021'!D$99,0)</f>
        <v>0</v>
      </c>
      <c r="M460" s="723">
        <f>IF(A460='Data Entry - SOF'!B$2,'Data Entry - SOF'!M$102,0)</f>
        <v>0</v>
      </c>
      <c r="N460" s="717">
        <f t="shared" si="46"/>
        <v>873069</v>
      </c>
      <c r="O460" s="944">
        <f>IF(A460='Data Entry - SOF'!B$2,'Report-SOF2122'!D$91,0)</f>
        <v>0</v>
      </c>
      <c r="P460" s="723">
        <f>IF(A460='Data Entry - SOF'!B$2,'Data Entry - SOF'!O$102,0)</f>
        <v>0</v>
      </c>
      <c r="Q460" s="601">
        <f t="shared" si="43"/>
        <v>873069</v>
      </c>
      <c r="R460" s="944">
        <f>IF(A460='Data Entry - SOF'!B$2,'Report-SOF2223'!D$91,0)</f>
        <v>0</v>
      </c>
      <c r="S460" s="723">
        <f>IF(A460='Data Entry - SOF'!B$2,'Data Entry - SOF'!Q$102,0)</f>
        <v>0</v>
      </c>
      <c r="T460" s="601">
        <f t="shared" si="47"/>
        <v>873069</v>
      </c>
      <c r="U460" s="944">
        <f>IF(A460='Data Entry - SOF'!B$2,'Report-SOF2324'!D$91,0)</f>
        <v>0</v>
      </c>
      <c r="V460" s="723">
        <f>IF(A460='Data Entry - SOF'!B$2,'Data Entry - SOF'!S$102,0)</f>
        <v>0</v>
      </c>
    </row>
    <row r="461" spans="1:22" ht="15.75">
      <c r="A461" s="382" t="s">
        <v>2509</v>
      </c>
      <c r="B461" s="91">
        <v>727574</v>
      </c>
      <c r="C461" s="944">
        <f>IF(A461='Data Entry - SOF'!B$2,'Report-SOF1718'!D$102,0)</f>
        <v>0</v>
      </c>
      <c r="D461" s="1037">
        <f>IF(A461='Data Entry - SOF'!B$2,'Data Entry - SOF'!#REF!,0)</f>
        <v>0</v>
      </c>
      <c r="E461" s="91">
        <f t="shared" si="42"/>
        <v>727574</v>
      </c>
      <c r="F461" s="944">
        <f>IF(A461='Data Entry - SOF'!B$2,'Report-SOF1819'!D$102,0)</f>
        <v>0</v>
      </c>
      <c r="G461" s="1037">
        <f>IF(A461='Data Entry - SOF'!B$2,'Data Entry - SOF'!E$102,0)</f>
        <v>0</v>
      </c>
      <c r="H461" s="1038">
        <f t="shared" si="44"/>
        <v>727574</v>
      </c>
      <c r="I461" s="944">
        <f>IF(A461='Data Entry - SOF'!B$2,'Report-SOF1920-HB3'!D$102,0)</f>
        <v>0</v>
      </c>
      <c r="J461" s="1037">
        <f>IF(A461='Data Entry - SOF'!B$2,'Data Entry - SOF'!G$102,0)</f>
        <v>0</v>
      </c>
      <c r="K461" s="717">
        <f t="shared" si="45"/>
        <v>727574</v>
      </c>
      <c r="L461" s="944">
        <f>IF(A461='Data Entry - SOF'!B$2,'Report-SOF2021'!D$99,0)</f>
        <v>0</v>
      </c>
      <c r="M461" s="723">
        <f>IF(A461='Data Entry - SOF'!B$2,'Data Entry - SOF'!M$102,0)</f>
        <v>0</v>
      </c>
      <c r="N461" s="717">
        <f t="shared" si="46"/>
        <v>727574</v>
      </c>
      <c r="O461" s="944">
        <f>IF(A461='Data Entry - SOF'!B$2,'Report-SOF2122'!D$91,0)</f>
        <v>0</v>
      </c>
      <c r="P461" s="723">
        <f>IF(A461='Data Entry - SOF'!B$2,'Data Entry - SOF'!O$102,0)</f>
        <v>0</v>
      </c>
      <c r="Q461" s="601">
        <f t="shared" si="43"/>
        <v>727574</v>
      </c>
      <c r="R461" s="944">
        <f>IF(A461='Data Entry - SOF'!B$2,'Report-SOF2223'!D$91,0)</f>
        <v>0</v>
      </c>
      <c r="S461" s="723">
        <f>IF(A461='Data Entry - SOF'!B$2,'Data Entry - SOF'!Q$102,0)</f>
        <v>0</v>
      </c>
      <c r="T461" s="601">
        <f t="shared" si="47"/>
        <v>727574</v>
      </c>
      <c r="U461" s="944">
        <f>IF(A461='Data Entry - SOF'!B$2,'Report-SOF2324'!D$91,0)</f>
        <v>0</v>
      </c>
      <c r="V461" s="723">
        <f>IF(A461='Data Entry - SOF'!B$2,'Data Entry - SOF'!S$102,0)</f>
        <v>0</v>
      </c>
    </row>
    <row r="462" spans="1:22" ht="15.75">
      <c r="A462" s="382" t="s">
        <v>2402</v>
      </c>
      <c r="B462" s="91">
        <v>803172</v>
      </c>
      <c r="C462" s="944">
        <f>IF(A462='Data Entry - SOF'!B$2,'Report-SOF1718'!D$102,0)</f>
        <v>0</v>
      </c>
      <c r="D462" s="1037">
        <f>IF(A462='Data Entry - SOF'!B$2,'Data Entry - SOF'!#REF!,0)</f>
        <v>0</v>
      </c>
      <c r="E462" s="91">
        <f t="shared" si="42"/>
        <v>803172</v>
      </c>
      <c r="F462" s="944">
        <f>IF(A462='Data Entry - SOF'!B$2,'Report-SOF1819'!D$102,0)</f>
        <v>0</v>
      </c>
      <c r="G462" s="1037">
        <f>IF(A462='Data Entry - SOF'!B$2,'Data Entry - SOF'!E$102,0)</f>
        <v>0</v>
      </c>
      <c r="H462" s="1038">
        <f t="shared" si="44"/>
        <v>803172</v>
      </c>
      <c r="I462" s="944">
        <f>IF(A462='Data Entry - SOF'!B$2,'Report-SOF1920-HB3'!D$102,0)</f>
        <v>0</v>
      </c>
      <c r="J462" s="1037">
        <f>IF(A462='Data Entry - SOF'!B$2,'Data Entry - SOF'!G$102,0)</f>
        <v>0</v>
      </c>
      <c r="K462" s="717">
        <f t="shared" si="45"/>
        <v>803172</v>
      </c>
      <c r="L462" s="944">
        <f>IF(A462='Data Entry - SOF'!B$2,'Report-SOF2021'!D$99,0)</f>
        <v>0</v>
      </c>
      <c r="M462" s="723">
        <f>IF(A462='Data Entry - SOF'!B$2,'Data Entry - SOF'!M$102,0)</f>
        <v>0</v>
      </c>
      <c r="N462" s="717">
        <f t="shared" si="46"/>
        <v>803172</v>
      </c>
      <c r="O462" s="944">
        <f>IF(A462='Data Entry - SOF'!B$2,'Report-SOF2122'!D$91,0)</f>
        <v>0</v>
      </c>
      <c r="P462" s="723">
        <f>IF(A462='Data Entry - SOF'!B$2,'Data Entry - SOF'!O$102,0)</f>
        <v>0</v>
      </c>
      <c r="Q462" s="601">
        <f t="shared" si="43"/>
        <v>803172</v>
      </c>
      <c r="R462" s="944">
        <f>IF(A462='Data Entry - SOF'!B$2,'Report-SOF2223'!D$91,0)</f>
        <v>0</v>
      </c>
      <c r="S462" s="723">
        <f>IF(A462='Data Entry - SOF'!B$2,'Data Entry - SOF'!Q$102,0)</f>
        <v>0</v>
      </c>
      <c r="T462" s="601">
        <f t="shared" si="47"/>
        <v>803172</v>
      </c>
      <c r="U462" s="944">
        <f>IF(A462='Data Entry - SOF'!B$2,'Report-SOF2324'!D$91,0)</f>
        <v>0</v>
      </c>
      <c r="V462" s="723">
        <f>IF(A462='Data Entry - SOF'!B$2,'Data Entry - SOF'!S$102,0)</f>
        <v>0</v>
      </c>
    </row>
    <row r="463" spans="1:22" ht="15.75">
      <c r="A463" s="382" t="s">
        <v>1867</v>
      </c>
      <c r="B463" s="91">
        <v>6595456</v>
      </c>
      <c r="C463" s="944">
        <f>IF(A463='Data Entry - SOF'!B$2,'Report-SOF1718'!D$102,0)</f>
        <v>0</v>
      </c>
      <c r="D463" s="1037">
        <f>IF(A463='Data Entry - SOF'!B$2,'Data Entry - SOF'!#REF!,0)</f>
        <v>0</v>
      </c>
      <c r="E463" s="91">
        <f t="shared" si="42"/>
        <v>6595456</v>
      </c>
      <c r="F463" s="944">
        <f>IF(A463='Data Entry - SOF'!B$2,'Report-SOF1819'!D$102,0)</f>
        <v>0</v>
      </c>
      <c r="G463" s="1037">
        <f>IF(A463='Data Entry - SOF'!B$2,'Data Entry - SOF'!E$102,0)</f>
        <v>0</v>
      </c>
      <c r="H463" s="1038">
        <f t="shared" si="44"/>
        <v>6595456</v>
      </c>
      <c r="I463" s="944">
        <f>IF(A463='Data Entry - SOF'!B$2,'Report-SOF1920-HB3'!D$102,0)</f>
        <v>0</v>
      </c>
      <c r="J463" s="1037">
        <f>IF(A463='Data Entry - SOF'!B$2,'Data Entry - SOF'!G$102,0)</f>
        <v>0</v>
      </c>
      <c r="K463" s="717">
        <f t="shared" si="45"/>
        <v>6595456</v>
      </c>
      <c r="L463" s="944">
        <f>IF(A463='Data Entry - SOF'!B$2,'Report-SOF2021'!D$99,0)</f>
        <v>0</v>
      </c>
      <c r="M463" s="723">
        <f>IF(A463='Data Entry - SOF'!B$2,'Data Entry - SOF'!M$102,0)</f>
        <v>0</v>
      </c>
      <c r="N463" s="717">
        <f t="shared" si="46"/>
        <v>6595456</v>
      </c>
      <c r="O463" s="944">
        <f>IF(A463='Data Entry - SOF'!B$2,'Report-SOF2122'!D$91,0)</f>
        <v>0</v>
      </c>
      <c r="P463" s="723">
        <f>IF(A463='Data Entry - SOF'!B$2,'Data Entry - SOF'!O$102,0)</f>
        <v>0</v>
      </c>
      <c r="Q463" s="601">
        <f t="shared" si="43"/>
        <v>6595456</v>
      </c>
      <c r="R463" s="944">
        <f>IF(A463='Data Entry - SOF'!B$2,'Report-SOF2223'!D$91,0)</f>
        <v>0</v>
      </c>
      <c r="S463" s="723">
        <f>IF(A463='Data Entry - SOF'!B$2,'Data Entry - SOF'!Q$102,0)</f>
        <v>0</v>
      </c>
      <c r="T463" s="601">
        <f t="shared" si="47"/>
        <v>6595456</v>
      </c>
      <c r="U463" s="944">
        <f>IF(A463='Data Entry - SOF'!B$2,'Report-SOF2324'!D$91,0)</f>
        <v>0</v>
      </c>
      <c r="V463" s="723">
        <f>IF(A463='Data Entry - SOF'!B$2,'Data Entry - SOF'!S$102,0)</f>
        <v>0</v>
      </c>
    </row>
    <row r="464" spans="1:22" ht="15.75">
      <c r="A464" s="382" t="s">
        <v>513</v>
      </c>
      <c r="B464" s="91">
        <v>664135</v>
      </c>
      <c r="C464" s="944">
        <f>IF(A464='Data Entry - SOF'!B$2,'Report-SOF1718'!D$102,0)</f>
        <v>0</v>
      </c>
      <c r="D464" s="1037">
        <f>IF(A464='Data Entry - SOF'!B$2,'Data Entry - SOF'!#REF!,0)</f>
        <v>0</v>
      </c>
      <c r="E464" s="91">
        <f t="shared" si="42"/>
        <v>664135</v>
      </c>
      <c r="F464" s="944">
        <f>IF(A464='Data Entry - SOF'!B$2,'Report-SOF1819'!D$102,0)</f>
        <v>0</v>
      </c>
      <c r="G464" s="1037">
        <f>IF(A464='Data Entry - SOF'!B$2,'Data Entry - SOF'!E$102,0)</f>
        <v>0</v>
      </c>
      <c r="H464" s="1038">
        <f t="shared" si="44"/>
        <v>664135</v>
      </c>
      <c r="I464" s="944">
        <f>IF(A464='Data Entry - SOF'!B$2,'Report-SOF1920-HB3'!D$102,0)</f>
        <v>0</v>
      </c>
      <c r="J464" s="1037">
        <f>IF(A464='Data Entry - SOF'!B$2,'Data Entry - SOF'!G$102,0)</f>
        <v>0</v>
      </c>
      <c r="K464" s="717">
        <f t="shared" si="45"/>
        <v>664135</v>
      </c>
      <c r="L464" s="944">
        <f>IF(A464='Data Entry - SOF'!B$2,'Report-SOF2021'!D$99,0)</f>
        <v>0</v>
      </c>
      <c r="M464" s="723">
        <f>IF(A464='Data Entry - SOF'!B$2,'Data Entry - SOF'!M$102,0)</f>
        <v>0</v>
      </c>
      <c r="N464" s="717">
        <f t="shared" si="46"/>
        <v>664135</v>
      </c>
      <c r="O464" s="944">
        <f>IF(A464='Data Entry - SOF'!B$2,'Report-SOF2122'!D$91,0)</f>
        <v>0</v>
      </c>
      <c r="P464" s="723">
        <f>IF(A464='Data Entry - SOF'!B$2,'Data Entry - SOF'!O$102,0)</f>
        <v>0</v>
      </c>
      <c r="Q464" s="601">
        <f t="shared" si="43"/>
        <v>664135</v>
      </c>
      <c r="R464" s="944">
        <f>IF(A464='Data Entry - SOF'!B$2,'Report-SOF2223'!D$91,0)</f>
        <v>0</v>
      </c>
      <c r="S464" s="723">
        <f>IF(A464='Data Entry - SOF'!B$2,'Data Entry - SOF'!Q$102,0)</f>
        <v>0</v>
      </c>
      <c r="T464" s="601">
        <f t="shared" si="47"/>
        <v>664135</v>
      </c>
      <c r="U464" s="944">
        <f>IF(A464='Data Entry - SOF'!B$2,'Report-SOF2324'!D$91,0)</f>
        <v>0</v>
      </c>
      <c r="V464" s="723">
        <f>IF(A464='Data Entry - SOF'!B$2,'Data Entry - SOF'!S$102,0)</f>
        <v>0</v>
      </c>
    </row>
    <row r="465" spans="1:22" ht="15.75">
      <c r="A465" s="382" t="s">
        <v>42</v>
      </c>
      <c r="B465" s="91">
        <v>2202480</v>
      </c>
      <c r="C465" s="944">
        <f>IF(A465='Data Entry - SOF'!B$2,'Report-SOF1718'!D$102,0)</f>
        <v>0</v>
      </c>
      <c r="D465" s="1037">
        <f>IF(A465='Data Entry - SOF'!B$2,'Data Entry - SOF'!#REF!,0)</f>
        <v>0</v>
      </c>
      <c r="E465" s="91">
        <f t="shared" si="42"/>
        <v>2202480</v>
      </c>
      <c r="F465" s="944">
        <f>IF(A465='Data Entry - SOF'!B$2,'Report-SOF1819'!D$102,0)</f>
        <v>0</v>
      </c>
      <c r="G465" s="1037">
        <f>IF(A465='Data Entry - SOF'!B$2,'Data Entry - SOF'!E$102,0)</f>
        <v>0</v>
      </c>
      <c r="H465" s="1038">
        <f t="shared" si="44"/>
        <v>2202480</v>
      </c>
      <c r="I465" s="944">
        <f>IF(A465='Data Entry - SOF'!B$2,'Report-SOF1920-HB3'!D$102,0)</f>
        <v>0</v>
      </c>
      <c r="J465" s="1037">
        <f>IF(A465='Data Entry - SOF'!B$2,'Data Entry - SOF'!G$102,0)</f>
        <v>0</v>
      </c>
      <c r="K465" s="717">
        <f t="shared" si="45"/>
        <v>2202480</v>
      </c>
      <c r="L465" s="944">
        <f>IF(A465='Data Entry - SOF'!B$2,'Report-SOF2021'!D$99,0)</f>
        <v>0</v>
      </c>
      <c r="M465" s="723">
        <f>IF(A465='Data Entry - SOF'!B$2,'Data Entry - SOF'!M$102,0)</f>
        <v>0</v>
      </c>
      <c r="N465" s="717">
        <f t="shared" si="46"/>
        <v>2202480</v>
      </c>
      <c r="O465" s="944">
        <f>IF(A465='Data Entry - SOF'!B$2,'Report-SOF2122'!D$91,0)</f>
        <v>0</v>
      </c>
      <c r="P465" s="723">
        <f>IF(A465='Data Entry - SOF'!B$2,'Data Entry - SOF'!O$102,0)</f>
        <v>0</v>
      </c>
      <c r="Q465" s="601">
        <f t="shared" si="43"/>
        <v>2202480</v>
      </c>
      <c r="R465" s="944">
        <f>IF(A465='Data Entry - SOF'!B$2,'Report-SOF2223'!D$91,0)</f>
        <v>0</v>
      </c>
      <c r="S465" s="723">
        <f>IF(A465='Data Entry - SOF'!B$2,'Data Entry - SOF'!Q$102,0)</f>
        <v>0</v>
      </c>
      <c r="T465" s="601">
        <f t="shared" si="47"/>
        <v>2202480</v>
      </c>
      <c r="U465" s="944">
        <f>IF(A465='Data Entry - SOF'!B$2,'Report-SOF2324'!D$91,0)</f>
        <v>0</v>
      </c>
      <c r="V465" s="723">
        <f>IF(A465='Data Entry - SOF'!B$2,'Data Entry - SOF'!S$102,0)</f>
        <v>0</v>
      </c>
    </row>
    <row r="466" spans="1:22" ht="15.75">
      <c r="A466" s="382" t="s">
        <v>150</v>
      </c>
      <c r="B466" s="91">
        <v>86309</v>
      </c>
      <c r="C466" s="944">
        <f>IF(A466='Data Entry - SOF'!B$2,'Report-SOF1718'!D$102,0)</f>
        <v>0</v>
      </c>
      <c r="D466" s="1037">
        <f>IF(A466='Data Entry - SOF'!B$2,'Data Entry - SOF'!#REF!,0)</f>
        <v>0</v>
      </c>
      <c r="E466" s="91">
        <f t="shared" si="42"/>
        <v>86309</v>
      </c>
      <c r="F466" s="944">
        <f>IF(A466='Data Entry - SOF'!B$2,'Report-SOF1819'!D$102,0)</f>
        <v>0</v>
      </c>
      <c r="G466" s="1037">
        <f>IF(A466='Data Entry - SOF'!B$2,'Data Entry - SOF'!E$102,0)</f>
        <v>0</v>
      </c>
      <c r="H466" s="1038">
        <f t="shared" si="44"/>
        <v>86309</v>
      </c>
      <c r="I466" s="944">
        <f>IF(A466='Data Entry - SOF'!B$2,'Report-SOF1920-HB3'!D$102,0)</f>
        <v>0</v>
      </c>
      <c r="J466" s="1037">
        <f>IF(A466='Data Entry - SOF'!B$2,'Data Entry - SOF'!G$102,0)</f>
        <v>0</v>
      </c>
      <c r="K466" s="717">
        <f t="shared" si="45"/>
        <v>86309</v>
      </c>
      <c r="L466" s="944">
        <f>IF(A466='Data Entry - SOF'!B$2,'Report-SOF2021'!D$99,0)</f>
        <v>0</v>
      </c>
      <c r="M466" s="723">
        <f>IF(A466='Data Entry - SOF'!B$2,'Data Entry - SOF'!M$102,0)</f>
        <v>0</v>
      </c>
      <c r="N466" s="717">
        <f t="shared" si="46"/>
        <v>86309</v>
      </c>
      <c r="O466" s="944">
        <f>IF(A466='Data Entry - SOF'!B$2,'Report-SOF2122'!D$91,0)</f>
        <v>0</v>
      </c>
      <c r="P466" s="723">
        <f>IF(A466='Data Entry - SOF'!B$2,'Data Entry - SOF'!O$102,0)</f>
        <v>0</v>
      </c>
      <c r="Q466" s="601">
        <f t="shared" si="43"/>
        <v>86309</v>
      </c>
      <c r="R466" s="944">
        <f>IF(A466='Data Entry - SOF'!B$2,'Report-SOF2223'!D$91,0)</f>
        <v>0</v>
      </c>
      <c r="S466" s="723">
        <f>IF(A466='Data Entry - SOF'!B$2,'Data Entry - SOF'!Q$102,0)</f>
        <v>0</v>
      </c>
      <c r="T466" s="601">
        <f t="shared" si="47"/>
        <v>86309</v>
      </c>
      <c r="U466" s="944">
        <f>IF(A466='Data Entry - SOF'!B$2,'Report-SOF2324'!D$91,0)</f>
        <v>0</v>
      </c>
      <c r="V466" s="723">
        <f>IF(A466='Data Entry - SOF'!B$2,'Data Entry - SOF'!S$102,0)</f>
        <v>0</v>
      </c>
    </row>
    <row r="467" spans="1:22" ht="15.75">
      <c r="A467" s="382" t="s">
        <v>521</v>
      </c>
      <c r="B467" s="91">
        <v>91221</v>
      </c>
      <c r="C467" s="944">
        <f>IF(A467='Data Entry - SOF'!B$2,'Report-SOF1718'!D$102,0)</f>
        <v>0</v>
      </c>
      <c r="D467" s="1037">
        <f>IF(A467='Data Entry - SOF'!B$2,'Data Entry - SOF'!#REF!,0)</f>
        <v>0</v>
      </c>
      <c r="E467" s="91">
        <f t="shared" si="42"/>
        <v>91221</v>
      </c>
      <c r="F467" s="944">
        <f>IF(A467='Data Entry - SOF'!B$2,'Report-SOF1819'!D$102,0)</f>
        <v>0</v>
      </c>
      <c r="G467" s="1037">
        <f>IF(A467='Data Entry - SOF'!B$2,'Data Entry - SOF'!E$102,0)</f>
        <v>0</v>
      </c>
      <c r="H467" s="1038">
        <f t="shared" si="44"/>
        <v>91221</v>
      </c>
      <c r="I467" s="944">
        <f>IF(A467='Data Entry - SOF'!B$2,'Report-SOF1920-HB3'!D$102,0)</f>
        <v>0</v>
      </c>
      <c r="J467" s="1037">
        <f>IF(A467='Data Entry - SOF'!B$2,'Data Entry - SOF'!G$102,0)</f>
        <v>0</v>
      </c>
      <c r="K467" s="717">
        <f t="shared" si="45"/>
        <v>91221</v>
      </c>
      <c r="L467" s="944">
        <f>IF(A467='Data Entry - SOF'!B$2,'Report-SOF2021'!D$99,0)</f>
        <v>0</v>
      </c>
      <c r="M467" s="723">
        <f>IF(A467='Data Entry - SOF'!B$2,'Data Entry - SOF'!M$102,0)</f>
        <v>0</v>
      </c>
      <c r="N467" s="717">
        <f t="shared" si="46"/>
        <v>91221</v>
      </c>
      <c r="O467" s="944">
        <f>IF(A467='Data Entry - SOF'!B$2,'Report-SOF2122'!D$91,0)</f>
        <v>0</v>
      </c>
      <c r="P467" s="723">
        <f>IF(A467='Data Entry - SOF'!B$2,'Data Entry - SOF'!O$102,0)</f>
        <v>0</v>
      </c>
      <c r="Q467" s="601">
        <f t="shared" si="43"/>
        <v>91221</v>
      </c>
      <c r="R467" s="944">
        <f>IF(A467='Data Entry - SOF'!B$2,'Report-SOF2223'!D$91,0)</f>
        <v>0</v>
      </c>
      <c r="S467" s="723">
        <f>IF(A467='Data Entry - SOF'!B$2,'Data Entry - SOF'!Q$102,0)</f>
        <v>0</v>
      </c>
      <c r="T467" s="601">
        <f t="shared" si="47"/>
        <v>91221</v>
      </c>
      <c r="U467" s="944">
        <f>IF(A467='Data Entry - SOF'!B$2,'Report-SOF2324'!D$91,0)</f>
        <v>0</v>
      </c>
      <c r="V467" s="723">
        <f>IF(A467='Data Entry - SOF'!B$2,'Data Entry - SOF'!S$102,0)</f>
        <v>0</v>
      </c>
    </row>
    <row r="468" spans="1:22" ht="15.75">
      <c r="A468" s="382" t="s">
        <v>1563</v>
      </c>
      <c r="B468" s="91">
        <v>8065605</v>
      </c>
      <c r="C468" s="944">
        <f>IF(A468='Data Entry - SOF'!B$2,'Report-SOF1718'!D$102,0)</f>
        <v>0</v>
      </c>
      <c r="D468" s="1037">
        <f>IF(A468='Data Entry - SOF'!B$2,'Data Entry - SOF'!#REF!,0)</f>
        <v>0</v>
      </c>
      <c r="E468" s="91">
        <f t="shared" si="42"/>
        <v>8065605</v>
      </c>
      <c r="F468" s="944">
        <f>IF(A468='Data Entry - SOF'!B$2,'Report-SOF1819'!D$102,0)</f>
        <v>0</v>
      </c>
      <c r="G468" s="1037">
        <f>IF(A468='Data Entry - SOF'!B$2,'Data Entry - SOF'!E$102,0)</f>
        <v>0</v>
      </c>
      <c r="H468" s="1038">
        <f t="shared" si="44"/>
        <v>8065605</v>
      </c>
      <c r="I468" s="944">
        <f>IF(A468='Data Entry - SOF'!B$2,'Report-SOF1920-HB3'!D$102,0)</f>
        <v>0</v>
      </c>
      <c r="J468" s="1037">
        <f>IF(A468='Data Entry - SOF'!B$2,'Data Entry - SOF'!G$102,0)</f>
        <v>0</v>
      </c>
      <c r="K468" s="717">
        <f t="shared" si="45"/>
        <v>8065605</v>
      </c>
      <c r="L468" s="944">
        <f>IF(A468='Data Entry - SOF'!B$2,'Report-SOF2021'!D$99,0)</f>
        <v>0</v>
      </c>
      <c r="M468" s="723">
        <f>IF(A468='Data Entry - SOF'!B$2,'Data Entry - SOF'!M$102,0)</f>
        <v>0</v>
      </c>
      <c r="N468" s="717">
        <f t="shared" si="46"/>
        <v>8065605</v>
      </c>
      <c r="O468" s="944">
        <f>IF(A468='Data Entry - SOF'!B$2,'Report-SOF2122'!D$91,0)</f>
        <v>0</v>
      </c>
      <c r="P468" s="723">
        <f>IF(A468='Data Entry - SOF'!B$2,'Data Entry - SOF'!O$102,0)</f>
        <v>0</v>
      </c>
      <c r="Q468" s="601">
        <f t="shared" si="43"/>
        <v>8065605</v>
      </c>
      <c r="R468" s="944">
        <f>IF(A468='Data Entry - SOF'!B$2,'Report-SOF2223'!D$91,0)</f>
        <v>0</v>
      </c>
      <c r="S468" s="723">
        <f>IF(A468='Data Entry - SOF'!B$2,'Data Entry - SOF'!Q$102,0)</f>
        <v>0</v>
      </c>
      <c r="T468" s="601">
        <f t="shared" si="47"/>
        <v>8065605</v>
      </c>
      <c r="U468" s="944">
        <f>IF(A468='Data Entry - SOF'!B$2,'Report-SOF2324'!D$91,0)</f>
        <v>0</v>
      </c>
      <c r="V468" s="723">
        <f>IF(A468='Data Entry - SOF'!B$2,'Data Entry - SOF'!S$102,0)</f>
        <v>0</v>
      </c>
    </row>
    <row r="469" spans="1:22" ht="15.75">
      <c r="A469" s="382" t="s">
        <v>522</v>
      </c>
      <c r="B469" s="91">
        <v>773119</v>
      </c>
      <c r="C469" s="944">
        <f>IF(A469='Data Entry - SOF'!B$2,'Report-SOF1718'!D$102,0)</f>
        <v>0</v>
      </c>
      <c r="D469" s="1037">
        <f>IF(A469='Data Entry - SOF'!B$2,'Data Entry - SOF'!#REF!,0)</f>
        <v>0</v>
      </c>
      <c r="E469" s="91">
        <f t="shared" si="42"/>
        <v>773119</v>
      </c>
      <c r="F469" s="944">
        <f>IF(A469='Data Entry - SOF'!B$2,'Report-SOF1819'!D$102,0)</f>
        <v>0</v>
      </c>
      <c r="G469" s="1037">
        <f>IF(A469='Data Entry - SOF'!B$2,'Data Entry - SOF'!E$102,0)</f>
        <v>0</v>
      </c>
      <c r="H469" s="1038">
        <f t="shared" si="44"/>
        <v>773119</v>
      </c>
      <c r="I469" s="944">
        <f>IF(A469='Data Entry - SOF'!B$2,'Report-SOF1920-HB3'!D$102,0)</f>
        <v>0</v>
      </c>
      <c r="J469" s="1037">
        <f>IF(A469='Data Entry - SOF'!B$2,'Data Entry - SOF'!G$102,0)</f>
        <v>0</v>
      </c>
      <c r="K469" s="717">
        <f t="shared" si="45"/>
        <v>773119</v>
      </c>
      <c r="L469" s="944">
        <f>IF(A469='Data Entry - SOF'!B$2,'Report-SOF2021'!D$99,0)</f>
        <v>0</v>
      </c>
      <c r="M469" s="723">
        <f>IF(A469='Data Entry - SOF'!B$2,'Data Entry - SOF'!M$102,0)</f>
        <v>0</v>
      </c>
      <c r="N469" s="717">
        <f t="shared" si="46"/>
        <v>773119</v>
      </c>
      <c r="O469" s="944">
        <f>IF(A469='Data Entry - SOF'!B$2,'Report-SOF2122'!D$91,0)</f>
        <v>0</v>
      </c>
      <c r="P469" s="723">
        <f>IF(A469='Data Entry - SOF'!B$2,'Data Entry - SOF'!O$102,0)</f>
        <v>0</v>
      </c>
      <c r="Q469" s="601">
        <f t="shared" si="43"/>
        <v>773119</v>
      </c>
      <c r="R469" s="944">
        <f>IF(A469='Data Entry - SOF'!B$2,'Report-SOF2223'!D$91,0)</f>
        <v>0</v>
      </c>
      <c r="S469" s="723">
        <f>IF(A469='Data Entry - SOF'!B$2,'Data Entry - SOF'!Q$102,0)</f>
        <v>0</v>
      </c>
      <c r="T469" s="601">
        <f t="shared" si="47"/>
        <v>773119</v>
      </c>
      <c r="U469" s="944">
        <f>IF(A469='Data Entry - SOF'!B$2,'Report-SOF2324'!D$91,0)</f>
        <v>0</v>
      </c>
      <c r="V469" s="723">
        <f>IF(A469='Data Entry - SOF'!B$2,'Data Entry - SOF'!S$102,0)</f>
        <v>0</v>
      </c>
    </row>
    <row r="470" spans="1:22" ht="15.75">
      <c r="A470" s="382" t="s">
        <v>1540</v>
      </c>
      <c r="B470" s="91">
        <v>1261595</v>
      </c>
      <c r="C470" s="944">
        <f>IF(A470='Data Entry - SOF'!B$2,'Report-SOF1718'!D$102,0)</f>
        <v>0</v>
      </c>
      <c r="D470" s="1037">
        <f>IF(A470='Data Entry - SOF'!B$2,'Data Entry - SOF'!#REF!,0)</f>
        <v>0</v>
      </c>
      <c r="E470" s="91">
        <f t="shared" si="42"/>
        <v>1261595</v>
      </c>
      <c r="F470" s="944">
        <f>IF(A470='Data Entry - SOF'!B$2,'Report-SOF1819'!D$102,0)</f>
        <v>0</v>
      </c>
      <c r="G470" s="1037">
        <f>IF(A470='Data Entry - SOF'!B$2,'Data Entry - SOF'!E$102,0)</f>
        <v>0</v>
      </c>
      <c r="H470" s="1038">
        <f t="shared" si="44"/>
        <v>1261595</v>
      </c>
      <c r="I470" s="944">
        <f>IF(A470='Data Entry - SOF'!B$2,'Report-SOF1920-HB3'!D$102,0)</f>
        <v>0</v>
      </c>
      <c r="J470" s="1037">
        <f>IF(A470='Data Entry - SOF'!B$2,'Data Entry - SOF'!G$102,0)</f>
        <v>0</v>
      </c>
      <c r="K470" s="717">
        <f t="shared" si="45"/>
        <v>1261595</v>
      </c>
      <c r="L470" s="944">
        <f>IF(A470='Data Entry - SOF'!B$2,'Report-SOF2021'!D$99,0)</f>
        <v>0</v>
      </c>
      <c r="M470" s="723">
        <f>IF(A470='Data Entry - SOF'!B$2,'Data Entry - SOF'!M$102,0)</f>
        <v>0</v>
      </c>
      <c r="N470" s="717">
        <f t="shared" si="46"/>
        <v>1261595</v>
      </c>
      <c r="O470" s="944">
        <f>IF(A470='Data Entry - SOF'!B$2,'Report-SOF2122'!D$91,0)</f>
        <v>0</v>
      </c>
      <c r="P470" s="723">
        <f>IF(A470='Data Entry - SOF'!B$2,'Data Entry - SOF'!O$102,0)</f>
        <v>0</v>
      </c>
      <c r="Q470" s="601">
        <f t="shared" si="43"/>
        <v>1261595</v>
      </c>
      <c r="R470" s="944">
        <f>IF(A470='Data Entry - SOF'!B$2,'Report-SOF2223'!D$91,0)</f>
        <v>0</v>
      </c>
      <c r="S470" s="723">
        <f>IF(A470='Data Entry - SOF'!B$2,'Data Entry - SOF'!Q$102,0)</f>
        <v>0</v>
      </c>
      <c r="T470" s="601">
        <f t="shared" si="47"/>
        <v>1261595</v>
      </c>
      <c r="U470" s="944">
        <f>IF(A470='Data Entry - SOF'!B$2,'Report-SOF2324'!D$91,0)</f>
        <v>0</v>
      </c>
      <c r="V470" s="723">
        <f>IF(A470='Data Entry - SOF'!B$2,'Data Entry - SOF'!S$102,0)</f>
        <v>0</v>
      </c>
    </row>
    <row r="471" spans="1:22" ht="15.75">
      <c r="A471" s="382" t="s">
        <v>523</v>
      </c>
      <c r="B471" s="91">
        <v>74538</v>
      </c>
      <c r="C471" s="944">
        <f>IF(A471='Data Entry - SOF'!B$2,'Report-SOF1718'!D$102,0)</f>
        <v>0</v>
      </c>
      <c r="D471" s="1037">
        <f>IF(A471='Data Entry - SOF'!B$2,'Data Entry - SOF'!#REF!,0)</f>
        <v>0</v>
      </c>
      <c r="E471" s="91">
        <f t="shared" si="42"/>
        <v>74538</v>
      </c>
      <c r="F471" s="944">
        <f>IF(A471='Data Entry - SOF'!B$2,'Report-SOF1819'!D$102,0)</f>
        <v>0</v>
      </c>
      <c r="G471" s="1037">
        <f>IF(A471='Data Entry - SOF'!B$2,'Data Entry - SOF'!E$102,0)</f>
        <v>0</v>
      </c>
      <c r="H471" s="1038">
        <f t="shared" si="44"/>
        <v>74538</v>
      </c>
      <c r="I471" s="944">
        <f>IF(A471='Data Entry - SOF'!B$2,'Report-SOF1920-HB3'!D$102,0)</f>
        <v>0</v>
      </c>
      <c r="J471" s="1037">
        <f>IF(A471='Data Entry - SOF'!B$2,'Data Entry - SOF'!G$102,0)</f>
        <v>0</v>
      </c>
      <c r="K471" s="717">
        <f t="shared" si="45"/>
        <v>74538</v>
      </c>
      <c r="L471" s="944">
        <f>IF(A471='Data Entry - SOF'!B$2,'Report-SOF2021'!D$99,0)</f>
        <v>0</v>
      </c>
      <c r="M471" s="723">
        <f>IF(A471='Data Entry - SOF'!B$2,'Data Entry - SOF'!M$102,0)</f>
        <v>0</v>
      </c>
      <c r="N471" s="717">
        <f t="shared" si="46"/>
        <v>74538</v>
      </c>
      <c r="O471" s="944">
        <f>IF(A471='Data Entry - SOF'!B$2,'Report-SOF2122'!D$91,0)</f>
        <v>0</v>
      </c>
      <c r="P471" s="723">
        <f>IF(A471='Data Entry - SOF'!B$2,'Data Entry - SOF'!O$102,0)</f>
        <v>0</v>
      </c>
      <c r="Q471" s="601">
        <f t="shared" si="43"/>
        <v>74538</v>
      </c>
      <c r="R471" s="944">
        <f>IF(A471='Data Entry - SOF'!B$2,'Report-SOF2223'!D$91,0)</f>
        <v>0</v>
      </c>
      <c r="S471" s="723">
        <f>IF(A471='Data Entry - SOF'!B$2,'Data Entry - SOF'!Q$102,0)</f>
        <v>0</v>
      </c>
      <c r="T471" s="601">
        <f t="shared" si="47"/>
        <v>74538</v>
      </c>
      <c r="U471" s="944">
        <f>IF(A471='Data Entry - SOF'!B$2,'Report-SOF2324'!D$91,0)</f>
        <v>0</v>
      </c>
      <c r="V471" s="723">
        <f>IF(A471='Data Entry - SOF'!B$2,'Data Entry - SOF'!S$102,0)</f>
        <v>0</v>
      </c>
    </row>
    <row r="472" spans="1:22" ht="15.75">
      <c r="A472" s="382" t="s">
        <v>1564</v>
      </c>
      <c r="B472" s="91">
        <v>1797858</v>
      </c>
      <c r="C472" s="944">
        <f>IF(A472='Data Entry - SOF'!B$2,'Report-SOF1718'!D$102,0)</f>
        <v>0</v>
      </c>
      <c r="D472" s="1037">
        <f>IF(A472='Data Entry - SOF'!B$2,'Data Entry - SOF'!#REF!,0)</f>
        <v>0</v>
      </c>
      <c r="E472" s="91">
        <f t="shared" si="42"/>
        <v>1797858</v>
      </c>
      <c r="F472" s="944">
        <f>IF(A472='Data Entry - SOF'!B$2,'Report-SOF1819'!D$102,0)</f>
        <v>0</v>
      </c>
      <c r="G472" s="1037">
        <f>IF(A472='Data Entry - SOF'!B$2,'Data Entry - SOF'!E$102,0)</f>
        <v>0</v>
      </c>
      <c r="H472" s="1038">
        <f t="shared" si="44"/>
        <v>1797858</v>
      </c>
      <c r="I472" s="944">
        <f>IF(A472='Data Entry - SOF'!B$2,'Report-SOF1920-HB3'!D$102,0)</f>
        <v>0</v>
      </c>
      <c r="J472" s="1037">
        <f>IF(A472='Data Entry - SOF'!B$2,'Data Entry - SOF'!G$102,0)</f>
        <v>0</v>
      </c>
      <c r="K472" s="717">
        <f t="shared" si="45"/>
        <v>1797858</v>
      </c>
      <c r="L472" s="944">
        <f>IF(A472='Data Entry - SOF'!B$2,'Report-SOF2021'!D$99,0)</f>
        <v>0</v>
      </c>
      <c r="M472" s="723">
        <f>IF(A472='Data Entry - SOF'!B$2,'Data Entry - SOF'!M$102,0)</f>
        <v>0</v>
      </c>
      <c r="N472" s="717">
        <f t="shared" si="46"/>
        <v>1797858</v>
      </c>
      <c r="O472" s="944">
        <f>IF(A472='Data Entry - SOF'!B$2,'Report-SOF2122'!D$91,0)</f>
        <v>0</v>
      </c>
      <c r="P472" s="723">
        <f>IF(A472='Data Entry - SOF'!B$2,'Data Entry - SOF'!O$102,0)</f>
        <v>0</v>
      </c>
      <c r="Q472" s="601">
        <f t="shared" si="43"/>
        <v>1797858</v>
      </c>
      <c r="R472" s="944">
        <f>IF(A472='Data Entry - SOF'!B$2,'Report-SOF2223'!D$91,0)</f>
        <v>0</v>
      </c>
      <c r="S472" s="723">
        <f>IF(A472='Data Entry - SOF'!B$2,'Data Entry - SOF'!Q$102,0)</f>
        <v>0</v>
      </c>
      <c r="T472" s="601">
        <f t="shared" si="47"/>
        <v>1797858</v>
      </c>
      <c r="U472" s="944">
        <f>IF(A472='Data Entry - SOF'!B$2,'Report-SOF2324'!D$91,0)</f>
        <v>0</v>
      </c>
      <c r="V472" s="723">
        <f>IF(A472='Data Entry - SOF'!B$2,'Data Entry - SOF'!S$102,0)</f>
        <v>0</v>
      </c>
    </row>
    <row r="473" spans="1:22" ht="15.75">
      <c r="A473" s="382" t="s">
        <v>1565</v>
      </c>
      <c r="B473" s="91">
        <v>25386812</v>
      </c>
      <c r="C473" s="944">
        <f>IF(A473='Data Entry - SOF'!B$2,'Report-SOF1718'!D$102,0)</f>
        <v>0</v>
      </c>
      <c r="D473" s="1037">
        <f>IF(A473='Data Entry - SOF'!B$2,'Data Entry - SOF'!#REF!,0)</f>
        <v>0</v>
      </c>
      <c r="E473" s="91">
        <f t="shared" si="42"/>
        <v>25386812</v>
      </c>
      <c r="F473" s="944">
        <f>IF(A473='Data Entry - SOF'!B$2,'Report-SOF1819'!D$102,0)</f>
        <v>0</v>
      </c>
      <c r="G473" s="1037">
        <f>IF(A473='Data Entry - SOF'!B$2,'Data Entry - SOF'!E$102,0)</f>
        <v>0</v>
      </c>
      <c r="H473" s="1038">
        <f t="shared" si="44"/>
        <v>25386812</v>
      </c>
      <c r="I473" s="944">
        <f>IF(A473='Data Entry - SOF'!B$2,'Report-SOF1920-HB3'!D$102,0)</f>
        <v>0</v>
      </c>
      <c r="J473" s="1037">
        <f>IF(A473='Data Entry - SOF'!B$2,'Data Entry - SOF'!G$102,0)</f>
        <v>0</v>
      </c>
      <c r="K473" s="717">
        <f t="shared" si="45"/>
        <v>25386812</v>
      </c>
      <c r="L473" s="944">
        <f>IF(A473='Data Entry - SOF'!B$2,'Report-SOF2021'!D$99,0)</f>
        <v>0</v>
      </c>
      <c r="M473" s="723">
        <f>IF(A473='Data Entry - SOF'!B$2,'Data Entry - SOF'!M$102,0)</f>
        <v>0</v>
      </c>
      <c r="N473" s="717">
        <f t="shared" si="46"/>
        <v>25386812</v>
      </c>
      <c r="O473" s="944">
        <f>IF(A473='Data Entry - SOF'!B$2,'Report-SOF2122'!D$91,0)</f>
        <v>0</v>
      </c>
      <c r="P473" s="723">
        <f>IF(A473='Data Entry - SOF'!B$2,'Data Entry - SOF'!O$102,0)</f>
        <v>0</v>
      </c>
      <c r="Q473" s="601">
        <f t="shared" si="43"/>
        <v>25386812</v>
      </c>
      <c r="R473" s="944">
        <f>IF(A473='Data Entry - SOF'!B$2,'Report-SOF2223'!D$91,0)</f>
        <v>0</v>
      </c>
      <c r="S473" s="723">
        <f>IF(A473='Data Entry - SOF'!B$2,'Data Entry - SOF'!Q$102,0)</f>
        <v>0</v>
      </c>
      <c r="T473" s="601">
        <f t="shared" si="47"/>
        <v>25386812</v>
      </c>
      <c r="U473" s="944">
        <f>IF(A473='Data Entry - SOF'!B$2,'Report-SOF2324'!D$91,0)</f>
        <v>0</v>
      </c>
      <c r="V473" s="723">
        <f>IF(A473='Data Entry - SOF'!B$2,'Data Entry - SOF'!S$102,0)</f>
        <v>0</v>
      </c>
    </row>
    <row r="474" spans="1:22" ht="15.75">
      <c r="A474" s="382" t="s">
        <v>1241</v>
      </c>
      <c r="B474" s="91">
        <v>1223367</v>
      </c>
      <c r="C474" s="944">
        <f>IF(A474='Data Entry - SOF'!B$2,'Report-SOF1718'!D$102,0)</f>
        <v>0</v>
      </c>
      <c r="D474" s="1037">
        <f>IF(A474='Data Entry - SOF'!B$2,'Data Entry - SOF'!#REF!,0)</f>
        <v>0</v>
      </c>
      <c r="E474" s="91">
        <f t="shared" si="42"/>
        <v>1223367</v>
      </c>
      <c r="F474" s="944">
        <f>IF(A474='Data Entry - SOF'!B$2,'Report-SOF1819'!D$102,0)</f>
        <v>0</v>
      </c>
      <c r="G474" s="1037">
        <f>IF(A474='Data Entry - SOF'!B$2,'Data Entry - SOF'!E$102,0)</f>
        <v>0</v>
      </c>
      <c r="H474" s="1038">
        <f t="shared" si="44"/>
        <v>1223367</v>
      </c>
      <c r="I474" s="944">
        <f>IF(A474='Data Entry - SOF'!B$2,'Report-SOF1920-HB3'!D$102,0)</f>
        <v>0</v>
      </c>
      <c r="J474" s="1037">
        <f>IF(A474='Data Entry - SOF'!B$2,'Data Entry - SOF'!G$102,0)</f>
        <v>0</v>
      </c>
      <c r="K474" s="717">
        <f t="shared" si="45"/>
        <v>1223367</v>
      </c>
      <c r="L474" s="944">
        <f>IF(A474='Data Entry - SOF'!B$2,'Report-SOF2021'!D$99,0)</f>
        <v>0</v>
      </c>
      <c r="M474" s="723">
        <f>IF(A474='Data Entry - SOF'!B$2,'Data Entry - SOF'!M$102,0)</f>
        <v>0</v>
      </c>
      <c r="N474" s="717">
        <f t="shared" si="46"/>
        <v>1223367</v>
      </c>
      <c r="O474" s="944">
        <f>IF(A474='Data Entry - SOF'!B$2,'Report-SOF2122'!D$91,0)</f>
        <v>0</v>
      </c>
      <c r="P474" s="723">
        <f>IF(A474='Data Entry - SOF'!B$2,'Data Entry - SOF'!O$102,0)</f>
        <v>0</v>
      </c>
      <c r="Q474" s="601">
        <f t="shared" si="43"/>
        <v>1223367</v>
      </c>
      <c r="R474" s="944">
        <f>IF(A474='Data Entry - SOF'!B$2,'Report-SOF2223'!D$91,0)</f>
        <v>0</v>
      </c>
      <c r="S474" s="723">
        <f>IF(A474='Data Entry - SOF'!B$2,'Data Entry - SOF'!Q$102,0)</f>
        <v>0</v>
      </c>
      <c r="T474" s="601">
        <f t="shared" si="47"/>
        <v>1223367</v>
      </c>
      <c r="U474" s="944">
        <f>IF(A474='Data Entry - SOF'!B$2,'Report-SOF2324'!D$91,0)</f>
        <v>0</v>
      </c>
      <c r="V474" s="723">
        <f>IF(A474='Data Entry - SOF'!B$2,'Data Entry - SOF'!S$102,0)</f>
        <v>0</v>
      </c>
    </row>
    <row r="475" spans="1:22" ht="15.75">
      <c r="A475" s="382" t="s">
        <v>1843</v>
      </c>
      <c r="B475" s="91">
        <v>1281427</v>
      </c>
      <c r="C475" s="944">
        <f>IF(A475='Data Entry - SOF'!B$2,'Report-SOF1718'!D$102,0)</f>
        <v>0</v>
      </c>
      <c r="D475" s="1037">
        <f>IF(A475='Data Entry - SOF'!B$2,'Data Entry - SOF'!#REF!,0)</f>
        <v>0</v>
      </c>
      <c r="E475" s="91">
        <f t="shared" si="42"/>
        <v>1281427</v>
      </c>
      <c r="F475" s="944">
        <f>IF(A475='Data Entry - SOF'!B$2,'Report-SOF1819'!D$102,0)</f>
        <v>0</v>
      </c>
      <c r="G475" s="1037">
        <f>IF(A475='Data Entry - SOF'!B$2,'Data Entry - SOF'!E$102,0)</f>
        <v>0</v>
      </c>
      <c r="H475" s="1038">
        <f t="shared" si="44"/>
        <v>1281427</v>
      </c>
      <c r="I475" s="944">
        <f>IF(A475='Data Entry - SOF'!B$2,'Report-SOF1920-HB3'!D$102,0)</f>
        <v>0</v>
      </c>
      <c r="J475" s="1037">
        <f>IF(A475='Data Entry - SOF'!B$2,'Data Entry - SOF'!G$102,0)</f>
        <v>0</v>
      </c>
      <c r="K475" s="717">
        <f t="shared" si="45"/>
        <v>1281427</v>
      </c>
      <c r="L475" s="944">
        <f>IF(A475='Data Entry - SOF'!B$2,'Report-SOF2021'!D$99,0)</f>
        <v>0</v>
      </c>
      <c r="M475" s="723">
        <f>IF(A475='Data Entry - SOF'!B$2,'Data Entry - SOF'!M$102,0)</f>
        <v>0</v>
      </c>
      <c r="N475" s="717">
        <f t="shared" si="46"/>
        <v>1281427</v>
      </c>
      <c r="O475" s="944">
        <f>IF(A475='Data Entry - SOF'!B$2,'Report-SOF2122'!D$91,0)</f>
        <v>0</v>
      </c>
      <c r="P475" s="723">
        <f>IF(A475='Data Entry - SOF'!B$2,'Data Entry - SOF'!O$102,0)</f>
        <v>0</v>
      </c>
      <c r="Q475" s="601">
        <f t="shared" si="43"/>
        <v>1281427</v>
      </c>
      <c r="R475" s="944">
        <f>IF(A475='Data Entry - SOF'!B$2,'Report-SOF2223'!D$91,0)</f>
        <v>0</v>
      </c>
      <c r="S475" s="723">
        <f>IF(A475='Data Entry - SOF'!B$2,'Data Entry - SOF'!Q$102,0)</f>
        <v>0</v>
      </c>
      <c r="T475" s="601">
        <f t="shared" si="47"/>
        <v>1281427</v>
      </c>
      <c r="U475" s="944">
        <f>IF(A475='Data Entry - SOF'!B$2,'Report-SOF2324'!D$91,0)</f>
        <v>0</v>
      </c>
      <c r="V475" s="723">
        <f>IF(A475='Data Entry - SOF'!B$2,'Data Entry - SOF'!S$102,0)</f>
        <v>0</v>
      </c>
    </row>
    <row r="476" spans="1:22" ht="15.75">
      <c r="A476" s="382" t="s">
        <v>1242</v>
      </c>
      <c r="B476" s="91">
        <v>9841885</v>
      </c>
      <c r="C476" s="944">
        <f>IF(A476='Data Entry - SOF'!B$2,'Report-SOF1718'!D$102,0)</f>
        <v>0</v>
      </c>
      <c r="D476" s="1037">
        <f>IF(A476='Data Entry - SOF'!B$2,'Data Entry - SOF'!#REF!,0)</f>
        <v>0</v>
      </c>
      <c r="E476" s="91">
        <f t="shared" si="42"/>
        <v>9841885</v>
      </c>
      <c r="F476" s="944">
        <f>IF(A476='Data Entry - SOF'!B$2,'Report-SOF1819'!D$102,0)</f>
        <v>0</v>
      </c>
      <c r="G476" s="1037">
        <f>IF(A476='Data Entry - SOF'!B$2,'Data Entry - SOF'!E$102,0)</f>
        <v>0</v>
      </c>
      <c r="H476" s="1038">
        <f t="shared" si="44"/>
        <v>9841885</v>
      </c>
      <c r="I476" s="944">
        <f>IF(A476='Data Entry - SOF'!B$2,'Report-SOF1920-HB3'!D$102,0)</f>
        <v>0</v>
      </c>
      <c r="J476" s="1037">
        <f>IF(A476='Data Entry - SOF'!B$2,'Data Entry - SOF'!G$102,0)</f>
        <v>0</v>
      </c>
      <c r="K476" s="717">
        <f t="shared" si="45"/>
        <v>9841885</v>
      </c>
      <c r="L476" s="944">
        <f>IF(A476='Data Entry - SOF'!B$2,'Report-SOF2021'!D$99,0)</f>
        <v>0</v>
      </c>
      <c r="M476" s="723">
        <f>IF(A476='Data Entry - SOF'!B$2,'Data Entry - SOF'!M$102,0)</f>
        <v>0</v>
      </c>
      <c r="N476" s="717">
        <f t="shared" si="46"/>
        <v>9841885</v>
      </c>
      <c r="O476" s="944">
        <f>IF(A476='Data Entry - SOF'!B$2,'Report-SOF2122'!D$91,0)</f>
        <v>0</v>
      </c>
      <c r="P476" s="723">
        <f>IF(A476='Data Entry - SOF'!B$2,'Data Entry - SOF'!O$102,0)</f>
        <v>0</v>
      </c>
      <c r="Q476" s="601">
        <f t="shared" si="43"/>
        <v>9841885</v>
      </c>
      <c r="R476" s="944">
        <f>IF(A476='Data Entry - SOF'!B$2,'Report-SOF2223'!D$91,0)</f>
        <v>0</v>
      </c>
      <c r="S476" s="723">
        <f>IF(A476='Data Entry - SOF'!B$2,'Data Entry - SOF'!Q$102,0)</f>
        <v>0</v>
      </c>
      <c r="T476" s="601">
        <f t="shared" si="47"/>
        <v>9841885</v>
      </c>
      <c r="U476" s="944">
        <f>IF(A476='Data Entry - SOF'!B$2,'Report-SOF2324'!D$91,0)</f>
        <v>0</v>
      </c>
      <c r="V476" s="723">
        <f>IF(A476='Data Entry - SOF'!B$2,'Data Entry - SOF'!S$102,0)</f>
        <v>0</v>
      </c>
    </row>
    <row r="477" spans="1:22" ht="15.75">
      <c r="A477" s="382" t="s">
        <v>1243</v>
      </c>
      <c r="B477" s="91">
        <v>604850</v>
      </c>
      <c r="C477" s="944">
        <f>IF(A477='Data Entry - SOF'!B$2,'Report-SOF1718'!D$102,0)</f>
        <v>0</v>
      </c>
      <c r="D477" s="1037">
        <f>IF(A477='Data Entry - SOF'!B$2,'Data Entry - SOF'!#REF!,0)</f>
        <v>0</v>
      </c>
      <c r="E477" s="91">
        <f t="shared" si="42"/>
        <v>604850</v>
      </c>
      <c r="F477" s="944">
        <f>IF(A477='Data Entry - SOF'!B$2,'Report-SOF1819'!D$102,0)</f>
        <v>0</v>
      </c>
      <c r="G477" s="1037">
        <f>IF(A477='Data Entry - SOF'!B$2,'Data Entry - SOF'!E$102,0)</f>
        <v>0</v>
      </c>
      <c r="H477" s="1038">
        <f t="shared" si="44"/>
        <v>604850</v>
      </c>
      <c r="I477" s="944">
        <f>IF(A477='Data Entry - SOF'!B$2,'Report-SOF1920-HB3'!D$102,0)</f>
        <v>0</v>
      </c>
      <c r="J477" s="1037">
        <f>IF(A477='Data Entry - SOF'!B$2,'Data Entry - SOF'!G$102,0)</f>
        <v>0</v>
      </c>
      <c r="K477" s="717">
        <f t="shared" si="45"/>
        <v>604850</v>
      </c>
      <c r="L477" s="944">
        <f>IF(A477='Data Entry - SOF'!B$2,'Report-SOF2021'!D$99,0)</f>
        <v>0</v>
      </c>
      <c r="M477" s="723">
        <f>IF(A477='Data Entry - SOF'!B$2,'Data Entry - SOF'!M$102,0)</f>
        <v>0</v>
      </c>
      <c r="N477" s="717">
        <f t="shared" si="46"/>
        <v>604850</v>
      </c>
      <c r="O477" s="944">
        <f>IF(A477='Data Entry - SOF'!B$2,'Report-SOF2122'!D$91,0)</f>
        <v>0</v>
      </c>
      <c r="P477" s="723">
        <f>IF(A477='Data Entry - SOF'!B$2,'Data Entry - SOF'!O$102,0)</f>
        <v>0</v>
      </c>
      <c r="Q477" s="601">
        <f t="shared" si="43"/>
        <v>604850</v>
      </c>
      <c r="R477" s="944">
        <f>IF(A477='Data Entry - SOF'!B$2,'Report-SOF2223'!D$91,0)</f>
        <v>0</v>
      </c>
      <c r="S477" s="723">
        <f>IF(A477='Data Entry - SOF'!B$2,'Data Entry - SOF'!Q$102,0)</f>
        <v>0</v>
      </c>
      <c r="T477" s="601">
        <f t="shared" si="47"/>
        <v>604850</v>
      </c>
      <c r="U477" s="944">
        <f>IF(A477='Data Entry - SOF'!B$2,'Report-SOF2324'!D$91,0)</f>
        <v>0</v>
      </c>
      <c r="V477" s="723">
        <f>IF(A477='Data Entry - SOF'!B$2,'Data Entry - SOF'!S$102,0)</f>
        <v>0</v>
      </c>
    </row>
    <row r="478" spans="1:22" ht="15.75">
      <c r="A478" s="382" t="s">
        <v>1244</v>
      </c>
      <c r="B478" s="91">
        <v>52854435</v>
      </c>
      <c r="C478" s="944">
        <f>IF(A478='Data Entry - SOF'!B$2,'Report-SOF1718'!D$102,0)</f>
        <v>0</v>
      </c>
      <c r="D478" s="1037">
        <f>IF(A478='Data Entry - SOF'!B$2,'Data Entry - SOF'!#REF!,0)</f>
        <v>0</v>
      </c>
      <c r="E478" s="91">
        <f t="shared" si="42"/>
        <v>52854435</v>
      </c>
      <c r="F478" s="944">
        <f>IF(A478='Data Entry - SOF'!B$2,'Report-SOF1819'!D$102,0)</f>
        <v>0</v>
      </c>
      <c r="G478" s="1037">
        <f>IF(A478='Data Entry - SOF'!B$2,'Data Entry - SOF'!E$102,0)</f>
        <v>0</v>
      </c>
      <c r="H478" s="1038">
        <f t="shared" si="44"/>
        <v>52854435</v>
      </c>
      <c r="I478" s="944">
        <f>IF(A478='Data Entry - SOF'!B$2,'Report-SOF1920-HB3'!D$102,0)</f>
        <v>0</v>
      </c>
      <c r="J478" s="1037">
        <f>IF(A478='Data Entry - SOF'!B$2,'Data Entry - SOF'!G$102,0)</f>
        <v>0</v>
      </c>
      <c r="K478" s="717">
        <f t="shared" si="45"/>
        <v>52854435</v>
      </c>
      <c r="L478" s="944">
        <f>IF(A478='Data Entry - SOF'!B$2,'Report-SOF2021'!D$99,0)</f>
        <v>0</v>
      </c>
      <c r="M478" s="723">
        <f>IF(A478='Data Entry - SOF'!B$2,'Data Entry - SOF'!M$102,0)</f>
        <v>0</v>
      </c>
      <c r="N478" s="717">
        <f t="shared" si="46"/>
        <v>52854435</v>
      </c>
      <c r="O478" s="944">
        <f>IF(A478='Data Entry - SOF'!B$2,'Report-SOF2122'!D$91,0)</f>
        <v>0</v>
      </c>
      <c r="P478" s="723">
        <f>IF(A478='Data Entry - SOF'!B$2,'Data Entry - SOF'!O$102,0)</f>
        <v>0</v>
      </c>
      <c r="Q478" s="601">
        <f t="shared" si="43"/>
        <v>52854435</v>
      </c>
      <c r="R478" s="944">
        <f>IF(A478='Data Entry - SOF'!B$2,'Report-SOF2223'!D$91,0)</f>
        <v>0</v>
      </c>
      <c r="S478" s="723">
        <f>IF(A478='Data Entry - SOF'!B$2,'Data Entry - SOF'!Q$102,0)</f>
        <v>0</v>
      </c>
      <c r="T478" s="601">
        <f t="shared" si="47"/>
        <v>52854435</v>
      </c>
      <c r="U478" s="944">
        <f>IF(A478='Data Entry - SOF'!B$2,'Report-SOF2324'!D$91,0)</f>
        <v>0</v>
      </c>
      <c r="V478" s="723">
        <f>IF(A478='Data Entry - SOF'!B$2,'Data Entry - SOF'!S$102,0)</f>
        <v>0</v>
      </c>
    </row>
    <row r="479" spans="1:22" ht="15.75">
      <c r="A479" s="382" t="s">
        <v>1772</v>
      </c>
      <c r="B479" s="91">
        <v>2586331</v>
      </c>
      <c r="C479" s="944">
        <f>IF(A479='Data Entry - SOF'!B$2,'Report-SOF1718'!D$102,0)</f>
        <v>0</v>
      </c>
      <c r="D479" s="1037">
        <f>IF(A479='Data Entry - SOF'!B$2,'Data Entry - SOF'!#REF!,0)</f>
        <v>0</v>
      </c>
      <c r="E479" s="91">
        <f t="shared" si="42"/>
        <v>2586331</v>
      </c>
      <c r="F479" s="944">
        <f>IF(A479='Data Entry - SOF'!B$2,'Report-SOF1819'!D$102,0)</f>
        <v>0</v>
      </c>
      <c r="G479" s="1037">
        <f>IF(A479='Data Entry - SOF'!B$2,'Data Entry - SOF'!E$102,0)</f>
        <v>0</v>
      </c>
      <c r="H479" s="1038">
        <f t="shared" si="44"/>
        <v>2586331</v>
      </c>
      <c r="I479" s="944">
        <f>IF(A479='Data Entry - SOF'!B$2,'Report-SOF1920-HB3'!D$102,0)</f>
        <v>0</v>
      </c>
      <c r="J479" s="1037">
        <f>IF(A479='Data Entry - SOF'!B$2,'Data Entry - SOF'!G$102,0)</f>
        <v>0</v>
      </c>
      <c r="K479" s="717">
        <f t="shared" si="45"/>
        <v>2586331</v>
      </c>
      <c r="L479" s="944">
        <f>IF(A479='Data Entry - SOF'!B$2,'Report-SOF2021'!D$99,0)</f>
        <v>0</v>
      </c>
      <c r="M479" s="723">
        <f>IF(A479='Data Entry - SOF'!B$2,'Data Entry - SOF'!M$102,0)</f>
        <v>0</v>
      </c>
      <c r="N479" s="717">
        <f t="shared" si="46"/>
        <v>2586331</v>
      </c>
      <c r="O479" s="944">
        <f>IF(A479='Data Entry - SOF'!B$2,'Report-SOF2122'!D$91,0)</f>
        <v>0</v>
      </c>
      <c r="P479" s="723">
        <f>IF(A479='Data Entry - SOF'!B$2,'Data Entry - SOF'!O$102,0)</f>
        <v>0</v>
      </c>
      <c r="Q479" s="601">
        <f t="shared" si="43"/>
        <v>2586331</v>
      </c>
      <c r="R479" s="944">
        <f>IF(A479='Data Entry - SOF'!B$2,'Report-SOF2223'!D$91,0)</f>
        <v>0</v>
      </c>
      <c r="S479" s="723">
        <f>IF(A479='Data Entry - SOF'!B$2,'Data Entry - SOF'!Q$102,0)</f>
        <v>0</v>
      </c>
      <c r="T479" s="601">
        <f t="shared" si="47"/>
        <v>2586331</v>
      </c>
      <c r="U479" s="944">
        <f>IF(A479='Data Entry - SOF'!B$2,'Report-SOF2324'!D$91,0)</f>
        <v>0</v>
      </c>
      <c r="V479" s="723">
        <f>IF(A479='Data Entry - SOF'!B$2,'Data Entry - SOF'!S$102,0)</f>
        <v>0</v>
      </c>
    </row>
    <row r="480" spans="1:22" ht="15.75">
      <c r="A480" s="382" t="s">
        <v>1516</v>
      </c>
      <c r="B480" s="91">
        <v>2847934</v>
      </c>
      <c r="C480" s="944">
        <f>IF(A480='Data Entry - SOF'!B$2,'Report-SOF1718'!D$102,0)</f>
        <v>0</v>
      </c>
      <c r="D480" s="1037">
        <f>IF(A480='Data Entry - SOF'!B$2,'Data Entry - SOF'!#REF!,0)</f>
        <v>0</v>
      </c>
      <c r="E480" s="91">
        <f t="shared" si="42"/>
        <v>2847934</v>
      </c>
      <c r="F480" s="944">
        <f>IF(A480='Data Entry - SOF'!B$2,'Report-SOF1819'!D$102,0)</f>
        <v>0</v>
      </c>
      <c r="G480" s="1037">
        <f>IF(A480='Data Entry - SOF'!B$2,'Data Entry - SOF'!E$102,0)</f>
        <v>0</v>
      </c>
      <c r="H480" s="1038">
        <f t="shared" si="44"/>
        <v>2847934</v>
      </c>
      <c r="I480" s="944">
        <f>IF(A480='Data Entry - SOF'!B$2,'Report-SOF1920-HB3'!D$102,0)</f>
        <v>0</v>
      </c>
      <c r="J480" s="1037">
        <f>IF(A480='Data Entry - SOF'!B$2,'Data Entry - SOF'!G$102,0)</f>
        <v>0</v>
      </c>
      <c r="K480" s="717">
        <f t="shared" si="45"/>
        <v>2847934</v>
      </c>
      <c r="L480" s="944">
        <f>IF(A480='Data Entry - SOF'!B$2,'Report-SOF2021'!D$99,0)</f>
        <v>0</v>
      </c>
      <c r="M480" s="723">
        <f>IF(A480='Data Entry - SOF'!B$2,'Data Entry - SOF'!M$102,0)</f>
        <v>0</v>
      </c>
      <c r="N480" s="717">
        <f t="shared" si="46"/>
        <v>2847934</v>
      </c>
      <c r="O480" s="944">
        <f>IF(A480='Data Entry - SOF'!B$2,'Report-SOF2122'!D$91,0)</f>
        <v>0</v>
      </c>
      <c r="P480" s="723">
        <f>IF(A480='Data Entry - SOF'!B$2,'Data Entry - SOF'!O$102,0)</f>
        <v>0</v>
      </c>
      <c r="Q480" s="601">
        <f t="shared" si="43"/>
        <v>2847934</v>
      </c>
      <c r="R480" s="944">
        <f>IF(A480='Data Entry - SOF'!B$2,'Report-SOF2223'!D$91,0)</f>
        <v>0</v>
      </c>
      <c r="S480" s="723">
        <f>IF(A480='Data Entry - SOF'!B$2,'Data Entry - SOF'!Q$102,0)</f>
        <v>0</v>
      </c>
      <c r="T480" s="601">
        <f t="shared" si="47"/>
        <v>2847934</v>
      </c>
      <c r="U480" s="944">
        <f>IF(A480='Data Entry - SOF'!B$2,'Report-SOF2324'!D$91,0)</f>
        <v>0</v>
      </c>
      <c r="V480" s="723">
        <f>IF(A480='Data Entry - SOF'!B$2,'Data Entry - SOF'!S$102,0)</f>
        <v>0</v>
      </c>
    </row>
    <row r="481" spans="1:22" ht="15.75">
      <c r="A481" s="382" t="s">
        <v>180</v>
      </c>
      <c r="B481" s="91">
        <v>12065379</v>
      </c>
      <c r="C481" s="944">
        <f>IF(A481='Data Entry - SOF'!B$2,'Report-SOF1718'!D$102,0)</f>
        <v>0</v>
      </c>
      <c r="D481" s="1037">
        <f>IF(A481='Data Entry - SOF'!B$2,'Data Entry - SOF'!#REF!,0)</f>
        <v>0</v>
      </c>
      <c r="E481" s="91">
        <f t="shared" si="42"/>
        <v>12065379</v>
      </c>
      <c r="F481" s="944">
        <f>IF(A481='Data Entry - SOF'!B$2,'Report-SOF1819'!D$102,0)</f>
        <v>0</v>
      </c>
      <c r="G481" s="1037">
        <f>IF(A481='Data Entry - SOF'!B$2,'Data Entry - SOF'!E$102,0)</f>
        <v>0</v>
      </c>
      <c r="H481" s="1038">
        <f t="shared" si="44"/>
        <v>12065379</v>
      </c>
      <c r="I481" s="944">
        <f>IF(A481='Data Entry - SOF'!B$2,'Report-SOF1920-HB3'!D$102,0)</f>
        <v>0</v>
      </c>
      <c r="J481" s="1037">
        <f>IF(A481='Data Entry - SOF'!B$2,'Data Entry - SOF'!G$102,0)</f>
        <v>0</v>
      </c>
      <c r="K481" s="717">
        <f t="shared" si="45"/>
        <v>12065379</v>
      </c>
      <c r="L481" s="944">
        <f>IF(A481='Data Entry - SOF'!B$2,'Report-SOF2021'!D$99,0)</f>
        <v>0</v>
      </c>
      <c r="M481" s="723">
        <f>IF(A481='Data Entry - SOF'!B$2,'Data Entry - SOF'!M$102,0)</f>
        <v>0</v>
      </c>
      <c r="N481" s="717">
        <f t="shared" si="46"/>
        <v>12065379</v>
      </c>
      <c r="O481" s="944">
        <f>IF(A481='Data Entry - SOF'!B$2,'Report-SOF2122'!D$91,0)</f>
        <v>0</v>
      </c>
      <c r="P481" s="723">
        <f>IF(A481='Data Entry - SOF'!B$2,'Data Entry - SOF'!O$102,0)</f>
        <v>0</v>
      </c>
      <c r="Q481" s="601">
        <f t="shared" si="43"/>
        <v>12065379</v>
      </c>
      <c r="R481" s="944">
        <f>IF(A481='Data Entry - SOF'!B$2,'Report-SOF2223'!D$91,0)</f>
        <v>0</v>
      </c>
      <c r="S481" s="723">
        <f>IF(A481='Data Entry - SOF'!B$2,'Data Entry - SOF'!Q$102,0)</f>
        <v>0</v>
      </c>
      <c r="T481" s="601">
        <f t="shared" si="47"/>
        <v>12065379</v>
      </c>
      <c r="U481" s="944">
        <f>IF(A481='Data Entry - SOF'!B$2,'Report-SOF2324'!D$91,0)</f>
        <v>0</v>
      </c>
      <c r="V481" s="723">
        <f>IF(A481='Data Entry - SOF'!B$2,'Data Entry - SOF'!S$102,0)</f>
        <v>0</v>
      </c>
    </row>
    <row r="482" spans="1:22" ht="15.75">
      <c r="A482" s="382" t="s">
        <v>1497</v>
      </c>
      <c r="B482" s="91">
        <v>487650</v>
      </c>
      <c r="C482" s="944">
        <f>IF(A482='Data Entry - SOF'!B$2,'Report-SOF1718'!D$102,0)</f>
        <v>0</v>
      </c>
      <c r="D482" s="1037">
        <f>IF(A482='Data Entry - SOF'!B$2,'Data Entry - SOF'!#REF!,0)</f>
        <v>0</v>
      </c>
      <c r="E482" s="91">
        <f t="shared" si="42"/>
        <v>487650</v>
      </c>
      <c r="F482" s="944">
        <f>IF(A482='Data Entry - SOF'!B$2,'Report-SOF1819'!D$102,0)</f>
        <v>0</v>
      </c>
      <c r="G482" s="1037">
        <f>IF(A482='Data Entry - SOF'!B$2,'Data Entry - SOF'!E$102,0)</f>
        <v>0</v>
      </c>
      <c r="H482" s="1038">
        <f t="shared" si="44"/>
        <v>487650</v>
      </c>
      <c r="I482" s="944">
        <f>IF(A482='Data Entry - SOF'!B$2,'Report-SOF1920-HB3'!D$102,0)</f>
        <v>0</v>
      </c>
      <c r="J482" s="1037">
        <f>IF(A482='Data Entry - SOF'!B$2,'Data Entry - SOF'!G$102,0)</f>
        <v>0</v>
      </c>
      <c r="K482" s="717">
        <f t="shared" si="45"/>
        <v>487650</v>
      </c>
      <c r="L482" s="944">
        <f>IF(A482='Data Entry - SOF'!B$2,'Report-SOF2021'!D$99,0)</f>
        <v>0</v>
      </c>
      <c r="M482" s="723">
        <f>IF(A482='Data Entry - SOF'!B$2,'Data Entry - SOF'!M$102,0)</f>
        <v>0</v>
      </c>
      <c r="N482" s="717">
        <f t="shared" si="46"/>
        <v>487650</v>
      </c>
      <c r="O482" s="944">
        <f>IF(A482='Data Entry - SOF'!B$2,'Report-SOF2122'!D$91,0)</f>
        <v>0</v>
      </c>
      <c r="P482" s="723">
        <f>IF(A482='Data Entry - SOF'!B$2,'Data Entry - SOF'!O$102,0)</f>
        <v>0</v>
      </c>
      <c r="Q482" s="601">
        <f t="shared" si="43"/>
        <v>487650</v>
      </c>
      <c r="R482" s="944">
        <f>IF(A482='Data Entry - SOF'!B$2,'Report-SOF2223'!D$91,0)</f>
        <v>0</v>
      </c>
      <c r="S482" s="723">
        <f>IF(A482='Data Entry - SOF'!B$2,'Data Entry - SOF'!Q$102,0)</f>
        <v>0</v>
      </c>
      <c r="T482" s="601">
        <f t="shared" si="47"/>
        <v>487650</v>
      </c>
      <c r="U482" s="944">
        <f>IF(A482='Data Entry - SOF'!B$2,'Report-SOF2324'!D$91,0)</f>
        <v>0</v>
      </c>
      <c r="V482" s="723">
        <f>IF(A482='Data Entry - SOF'!B$2,'Data Entry - SOF'!S$102,0)</f>
        <v>0</v>
      </c>
    </row>
    <row r="483" spans="1:22" ht="15.75">
      <c r="A483" s="382" t="s">
        <v>181</v>
      </c>
      <c r="B483" s="91">
        <v>773120</v>
      </c>
      <c r="C483" s="944">
        <f>IF(A483='Data Entry - SOF'!B$2,'Report-SOF1718'!D$102,0)</f>
        <v>0</v>
      </c>
      <c r="D483" s="1037">
        <f>IF(A483='Data Entry - SOF'!B$2,'Data Entry - SOF'!#REF!,0)</f>
        <v>0</v>
      </c>
      <c r="E483" s="91">
        <f t="shared" si="42"/>
        <v>773120</v>
      </c>
      <c r="F483" s="944">
        <f>IF(A483='Data Entry - SOF'!B$2,'Report-SOF1819'!D$102,0)</f>
        <v>0</v>
      </c>
      <c r="G483" s="1037">
        <f>IF(A483='Data Entry - SOF'!B$2,'Data Entry - SOF'!E$102,0)</f>
        <v>0</v>
      </c>
      <c r="H483" s="1038">
        <f t="shared" si="44"/>
        <v>773120</v>
      </c>
      <c r="I483" s="944">
        <f>IF(A483='Data Entry - SOF'!B$2,'Report-SOF1920-HB3'!D$102,0)</f>
        <v>0</v>
      </c>
      <c r="J483" s="1037">
        <f>IF(A483='Data Entry - SOF'!B$2,'Data Entry - SOF'!G$102,0)</f>
        <v>0</v>
      </c>
      <c r="K483" s="717">
        <f t="shared" si="45"/>
        <v>773120</v>
      </c>
      <c r="L483" s="944">
        <f>IF(A483='Data Entry - SOF'!B$2,'Report-SOF2021'!D$99,0)</f>
        <v>0</v>
      </c>
      <c r="M483" s="723">
        <f>IF(A483='Data Entry - SOF'!B$2,'Data Entry - SOF'!M$102,0)</f>
        <v>0</v>
      </c>
      <c r="N483" s="717">
        <f t="shared" si="46"/>
        <v>773120</v>
      </c>
      <c r="O483" s="944">
        <f>IF(A483='Data Entry - SOF'!B$2,'Report-SOF2122'!D$91,0)</f>
        <v>0</v>
      </c>
      <c r="P483" s="723">
        <f>IF(A483='Data Entry - SOF'!B$2,'Data Entry - SOF'!O$102,0)</f>
        <v>0</v>
      </c>
      <c r="Q483" s="601">
        <f t="shared" si="43"/>
        <v>773120</v>
      </c>
      <c r="R483" s="944">
        <f>IF(A483='Data Entry - SOF'!B$2,'Report-SOF2223'!D$91,0)</f>
        <v>0</v>
      </c>
      <c r="S483" s="723">
        <f>IF(A483='Data Entry - SOF'!B$2,'Data Entry - SOF'!Q$102,0)</f>
        <v>0</v>
      </c>
      <c r="T483" s="601">
        <f t="shared" si="47"/>
        <v>773120</v>
      </c>
      <c r="U483" s="944">
        <f>IF(A483='Data Entry - SOF'!B$2,'Report-SOF2324'!D$91,0)</f>
        <v>0</v>
      </c>
      <c r="V483" s="723">
        <f>IF(A483='Data Entry - SOF'!B$2,'Data Entry - SOF'!S$102,0)</f>
        <v>0</v>
      </c>
    </row>
    <row r="484" spans="1:22" ht="15.75">
      <c r="A484" s="382" t="s">
        <v>1943</v>
      </c>
      <c r="B484" s="91">
        <v>262969</v>
      </c>
      <c r="C484" s="944">
        <f>IF(A484='Data Entry - SOF'!B$2,'Report-SOF1718'!D$102,0)</f>
        <v>0</v>
      </c>
      <c r="D484" s="1037">
        <f>IF(A484='Data Entry - SOF'!B$2,'Data Entry - SOF'!#REF!,0)</f>
        <v>0</v>
      </c>
      <c r="E484" s="91">
        <f t="shared" si="42"/>
        <v>262969</v>
      </c>
      <c r="F484" s="944">
        <f>IF(A484='Data Entry - SOF'!B$2,'Report-SOF1819'!D$102,0)</f>
        <v>0</v>
      </c>
      <c r="G484" s="1037">
        <f>IF(A484='Data Entry - SOF'!B$2,'Data Entry - SOF'!E$102,0)</f>
        <v>0</v>
      </c>
      <c r="H484" s="1038">
        <f t="shared" si="44"/>
        <v>262969</v>
      </c>
      <c r="I484" s="944">
        <f>IF(A484='Data Entry - SOF'!B$2,'Report-SOF1920-HB3'!D$102,0)</f>
        <v>0</v>
      </c>
      <c r="J484" s="1037">
        <f>IF(A484='Data Entry - SOF'!B$2,'Data Entry - SOF'!G$102,0)</f>
        <v>0</v>
      </c>
      <c r="K484" s="717">
        <f t="shared" si="45"/>
        <v>262969</v>
      </c>
      <c r="L484" s="944">
        <f>IF(A484='Data Entry - SOF'!B$2,'Report-SOF2021'!D$99,0)</f>
        <v>0</v>
      </c>
      <c r="M484" s="723">
        <f>IF(A484='Data Entry - SOF'!B$2,'Data Entry - SOF'!M$102,0)</f>
        <v>0</v>
      </c>
      <c r="N484" s="717">
        <f t="shared" si="46"/>
        <v>262969</v>
      </c>
      <c r="O484" s="944">
        <f>IF(A484='Data Entry - SOF'!B$2,'Report-SOF2122'!D$91,0)</f>
        <v>0</v>
      </c>
      <c r="P484" s="723">
        <f>IF(A484='Data Entry - SOF'!B$2,'Data Entry - SOF'!O$102,0)</f>
        <v>0</v>
      </c>
      <c r="Q484" s="601">
        <f t="shared" si="43"/>
        <v>262969</v>
      </c>
      <c r="R484" s="944">
        <f>IF(A484='Data Entry - SOF'!B$2,'Report-SOF2223'!D$91,0)</f>
        <v>0</v>
      </c>
      <c r="S484" s="723">
        <f>IF(A484='Data Entry - SOF'!B$2,'Data Entry - SOF'!Q$102,0)</f>
        <v>0</v>
      </c>
      <c r="T484" s="601">
        <f t="shared" si="47"/>
        <v>262969</v>
      </c>
      <c r="U484" s="944">
        <f>IF(A484='Data Entry - SOF'!B$2,'Report-SOF2324'!D$91,0)</f>
        <v>0</v>
      </c>
      <c r="V484" s="723">
        <f>IF(A484='Data Entry - SOF'!B$2,'Data Entry - SOF'!S$102,0)</f>
        <v>0</v>
      </c>
    </row>
    <row r="485" spans="1:22" ht="15.75">
      <c r="A485" s="382" t="s">
        <v>182</v>
      </c>
      <c r="B485" s="91">
        <v>292341</v>
      </c>
      <c r="C485" s="944">
        <f>IF(A485='Data Entry - SOF'!B$2,'Report-SOF1718'!D$102,0)</f>
        <v>0</v>
      </c>
      <c r="D485" s="1037">
        <f>IF(A485='Data Entry - SOF'!B$2,'Data Entry - SOF'!#REF!,0)</f>
        <v>0</v>
      </c>
      <c r="E485" s="91">
        <f t="shared" si="42"/>
        <v>292341</v>
      </c>
      <c r="F485" s="944">
        <f>IF(A485='Data Entry - SOF'!B$2,'Report-SOF1819'!D$102,0)</f>
        <v>0</v>
      </c>
      <c r="G485" s="1037">
        <f>IF(A485='Data Entry - SOF'!B$2,'Data Entry - SOF'!E$102,0)</f>
        <v>0</v>
      </c>
      <c r="H485" s="1038">
        <f t="shared" si="44"/>
        <v>292341</v>
      </c>
      <c r="I485" s="944">
        <f>IF(A485='Data Entry - SOF'!B$2,'Report-SOF1920-HB3'!D$102,0)</f>
        <v>0</v>
      </c>
      <c r="J485" s="1037">
        <f>IF(A485='Data Entry - SOF'!B$2,'Data Entry - SOF'!G$102,0)</f>
        <v>0</v>
      </c>
      <c r="K485" s="717">
        <f t="shared" si="45"/>
        <v>292341</v>
      </c>
      <c r="L485" s="944">
        <f>IF(A485='Data Entry - SOF'!B$2,'Report-SOF2021'!D$99,0)</f>
        <v>0</v>
      </c>
      <c r="M485" s="723">
        <f>IF(A485='Data Entry - SOF'!B$2,'Data Entry - SOF'!M$102,0)</f>
        <v>0</v>
      </c>
      <c r="N485" s="717">
        <f t="shared" si="46"/>
        <v>292341</v>
      </c>
      <c r="O485" s="944">
        <f>IF(A485='Data Entry - SOF'!B$2,'Report-SOF2122'!D$91,0)</f>
        <v>0</v>
      </c>
      <c r="P485" s="723">
        <f>IF(A485='Data Entry - SOF'!B$2,'Data Entry - SOF'!O$102,0)</f>
        <v>0</v>
      </c>
      <c r="Q485" s="601">
        <f t="shared" si="43"/>
        <v>292341</v>
      </c>
      <c r="R485" s="944">
        <f>IF(A485='Data Entry - SOF'!B$2,'Report-SOF2223'!D$91,0)</f>
        <v>0</v>
      </c>
      <c r="S485" s="723">
        <f>IF(A485='Data Entry - SOF'!B$2,'Data Entry - SOF'!Q$102,0)</f>
        <v>0</v>
      </c>
      <c r="T485" s="601">
        <f t="shared" si="47"/>
        <v>292341</v>
      </c>
      <c r="U485" s="944">
        <f>IF(A485='Data Entry - SOF'!B$2,'Report-SOF2324'!D$91,0)</f>
        <v>0</v>
      </c>
      <c r="V485" s="723">
        <f>IF(A485='Data Entry - SOF'!B$2,'Data Entry - SOF'!S$102,0)</f>
        <v>0</v>
      </c>
    </row>
    <row r="486" spans="1:22" ht="15.75">
      <c r="A486" s="382" t="s">
        <v>183</v>
      </c>
      <c r="B486" s="91">
        <v>299429</v>
      </c>
      <c r="C486" s="944">
        <f>IF(A486='Data Entry - SOF'!B$2,'Report-SOF1718'!D$102,0)</f>
        <v>0</v>
      </c>
      <c r="D486" s="1037">
        <f>IF(A486='Data Entry - SOF'!B$2,'Data Entry - SOF'!#REF!,0)</f>
        <v>0</v>
      </c>
      <c r="E486" s="91">
        <f t="shared" si="42"/>
        <v>299429</v>
      </c>
      <c r="F486" s="944">
        <f>IF(A486='Data Entry - SOF'!B$2,'Report-SOF1819'!D$102,0)</f>
        <v>0</v>
      </c>
      <c r="G486" s="1037">
        <f>IF(A486='Data Entry - SOF'!B$2,'Data Entry - SOF'!E$102,0)</f>
        <v>0</v>
      </c>
      <c r="H486" s="1038">
        <f t="shared" si="44"/>
        <v>299429</v>
      </c>
      <c r="I486" s="944">
        <f>IF(A486='Data Entry - SOF'!B$2,'Report-SOF1920-HB3'!D$102,0)</f>
        <v>0</v>
      </c>
      <c r="J486" s="1037">
        <f>IF(A486='Data Entry - SOF'!B$2,'Data Entry - SOF'!G$102,0)</f>
        <v>0</v>
      </c>
      <c r="K486" s="717">
        <f t="shared" si="45"/>
        <v>299429</v>
      </c>
      <c r="L486" s="944">
        <f>IF(A486='Data Entry - SOF'!B$2,'Report-SOF2021'!D$99,0)</f>
        <v>0</v>
      </c>
      <c r="M486" s="723">
        <f>IF(A486='Data Entry - SOF'!B$2,'Data Entry - SOF'!M$102,0)</f>
        <v>0</v>
      </c>
      <c r="N486" s="717">
        <f t="shared" si="46"/>
        <v>299429</v>
      </c>
      <c r="O486" s="944">
        <f>IF(A486='Data Entry - SOF'!B$2,'Report-SOF2122'!D$91,0)</f>
        <v>0</v>
      </c>
      <c r="P486" s="723">
        <f>IF(A486='Data Entry - SOF'!B$2,'Data Entry - SOF'!O$102,0)</f>
        <v>0</v>
      </c>
      <c r="Q486" s="601">
        <f t="shared" si="43"/>
        <v>299429</v>
      </c>
      <c r="R486" s="944">
        <f>IF(A486='Data Entry - SOF'!B$2,'Report-SOF2223'!D$91,0)</f>
        <v>0</v>
      </c>
      <c r="S486" s="723">
        <f>IF(A486='Data Entry - SOF'!B$2,'Data Entry - SOF'!Q$102,0)</f>
        <v>0</v>
      </c>
      <c r="T486" s="601">
        <f t="shared" si="47"/>
        <v>299429</v>
      </c>
      <c r="U486" s="944">
        <f>IF(A486='Data Entry - SOF'!B$2,'Report-SOF2324'!D$91,0)</f>
        <v>0</v>
      </c>
      <c r="V486" s="723">
        <f>IF(A486='Data Entry - SOF'!B$2,'Data Entry - SOF'!S$102,0)</f>
        <v>0</v>
      </c>
    </row>
    <row r="487" spans="1:22" ht="15.75">
      <c r="A487" s="382" t="s">
        <v>1498</v>
      </c>
      <c r="B487" s="91">
        <v>496115</v>
      </c>
      <c r="C487" s="944">
        <f>IF(A487='Data Entry - SOF'!B$2,'Report-SOF1718'!D$102,0)</f>
        <v>0</v>
      </c>
      <c r="D487" s="1037">
        <f>IF(A487='Data Entry - SOF'!B$2,'Data Entry - SOF'!#REF!,0)</f>
        <v>0</v>
      </c>
      <c r="E487" s="91">
        <f t="shared" si="42"/>
        <v>496115</v>
      </c>
      <c r="F487" s="944">
        <f>IF(A487='Data Entry - SOF'!B$2,'Report-SOF1819'!D$102,0)</f>
        <v>0</v>
      </c>
      <c r="G487" s="1037">
        <f>IF(A487='Data Entry - SOF'!B$2,'Data Entry - SOF'!E$102,0)</f>
        <v>0</v>
      </c>
      <c r="H487" s="1038">
        <f t="shared" si="44"/>
        <v>496115</v>
      </c>
      <c r="I487" s="944">
        <f>IF(A487='Data Entry - SOF'!B$2,'Report-SOF1920-HB3'!D$102,0)</f>
        <v>0</v>
      </c>
      <c r="J487" s="1037">
        <f>IF(A487='Data Entry - SOF'!B$2,'Data Entry - SOF'!G$102,0)</f>
        <v>0</v>
      </c>
      <c r="K487" s="717">
        <f t="shared" si="45"/>
        <v>496115</v>
      </c>
      <c r="L487" s="944">
        <f>IF(A487='Data Entry - SOF'!B$2,'Report-SOF2021'!D$99,0)</f>
        <v>0</v>
      </c>
      <c r="M487" s="723">
        <f>IF(A487='Data Entry - SOF'!B$2,'Data Entry - SOF'!M$102,0)</f>
        <v>0</v>
      </c>
      <c r="N487" s="717">
        <f t="shared" si="46"/>
        <v>496115</v>
      </c>
      <c r="O487" s="944">
        <f>IF(A487='Data Entry - SOF'!B$2,'Report-SOF2122'!D$91,0)</f>
        <v>0</v>
      </c>
      <c r="P487" s="723">
        <f>IF(A487='Data Entry - SOF'!B$2,'Data Entry - SOF'!O$102,0)</f>
        <v>0</v>
      </c>
      <c r="Q487" s="601">
        <f t="shared" si="43"/>
        <v>496115</v>
      </c>
      <c r="R487" s="944">
        <f>IF(A487='Data Entry - SOF'!B$2,'Report-SOF2223'!D$91,0)</f>
        <v>0</v>
      </c>
      <c r="S487" s="723">
        <f>IF(A487='Data Entry - SOF'!B$2,'Data Entry - SOF'!Q$102,0)</f>
        <v>0</v>
      </c>
      <c r="T487" s="601">
        <f t="shared" si="47"/>
        <v>496115</v>
      </c>
      <c r="U487" s="944">
        <f>IF(A487='Data Entry - SOF'!B$2,'Report-SOF2324'!D$91,0)</f>
        <v>0</v>
      </c>
      <c r="V487" s="723">
        <f>IF(A487='Data Entry - SOF'!B$2,'Data Entry - SOF'!S$102,0)</f>
        <v>0</v>
      </c>
    </row>
    <row r="488" spans="1:22" ht="15.75">
      <c r="A488" s="382" t="s">
        <v>1421</v>
      </c>
      <c r="B488" s="91">
        <v>3537055</v>
      </c>
      <c r="C488" s="944">
        <f>IF(A488='Data Entry - SOF'!B$2,'Report-SOF1718'!D$102,0)</f>
        <v>0</v>
      </c>
      <c r="D488" s="1037">
        <f>IF(A488='Data Entry - SOF'!B$2,'Data Entry - SOF'!#REF!,0)</f>
        <v>0</v>
      </c>
      <c r="E488" s="91">
        <f t="shared" si="42"/>
        <v>3537055</v>
      </c>
      <c r="F488" s="944">
        <f>IF(A488='Data Entry - SOF'!B$2,'Report-SOF1819'!D$102,0)</f>
        <v>0</v>
      </c>
      <c r="G488" s="1037">
        <f>IF(A488='Data Entry - SOF'!B$2,'Data Entry - SOF'!E$102,0)</f>
        <v>0</v>
      </c>
      <c r="H488" s="1038">
        <f t="shared" si="44"/>
        <v>3537055</v>
      </c>
      <c r="I488" s="944">
        <f>IF(A488='Data Entry - SOF'!B$2,'Report-SOF1920-HB3'!D$102,0)</f>
        <v>0</v>
      </c>
      <c r="J488" s="1037">
        <f>IF(A488='Data Entry - SOF'!B$2,'Data Entry - SOF'!G$102,0)</f>
        <v>0</v>
      </c>
      <c r="K488" s="717">
        <f t="shared" si="45"/>
        <v>3537055</v>
      </c>
      <c r="L488" s="944">
        <f>IF(A488='Data Entry - SOF'!B$2,'Report-SOF2021'!D$99,0)</f>
        <v>0</v>
      </c>
      <c r="M488" s="723">
        <f>IF(A488='Data Entry - SOF'!B$2,'Data Entry - SOF'!M$102,0)</f>
        <v>0</v>
      </c>
      <c r="N488" s="717">
        <f t="shared" si="46"/>
        <v>3537055</v>
      </c>
      <c r="O488" s="944">
        <f>IF(A488='Data Entry - SOF'!B$2,'Report-SOF2122'!D$91,0)</f>
        <v>0</v>
      </c>
      <c r="P488" s="723">
        <f>IF(A488='Data Entry - SOF'!B$2,'Data Entry - SOF'!O$102,0)</f>
        <v>0</v>
      </c>
      <c r="Q488" s="601">
        <f t="shared" si="43"/>
        <v>3537055</v>
      </c>
      <c r="R488" s="944">
        <f>IF(A488='Data Entry - SOF'!B$2,'Report-SOF2223'!D$91,0)</f>
        <v>0</v>
      </c>
      <c r="S488" s="723">
        <f>IF(A488='Data Entry - SOF'!B$2,'Data Entry - SOF'!Q$102,0)</f>
        <v>0</v>
      </c>
      <c r="T488" s="601">
        <f t="shared" si="47"/>
        <v>3537055</v>
      </c>
      <c r="U488" s="944">
        <f>IF(A488='Data Entry - SOF'!B$2,'Report-SOF2324'!D$91,0)</f>
        <v>0</v>
      </c>
      <c r="V488" s="723">
        <f>IF(A488='Data Entry - SOF'!B$2,'Data Entry - SOF'!S$102,0)</f>
        <v>0</v>
      </c>
    </row>
    <row r="489" spans="1:22" ht="15.75">
      <c r="A489" s="382" t="s">
        <v>1261</v>
      </c>
      <c r="B489" s="91">
        <v>2454193</v>
      </c>
      <c r="C489" s="944">
        <f>IF(A489='Data Entry - SOF'!B$2,'Report-SOF1718'!D$102,0)</f>
        <v>0</v>
      </c>
      <c r="D489" s="1037">
        <f>IF(A489='Data Entry - SOF'!B$2,'Data Entry - SOF'!#REF!,0)</f>
        <v>0</v>
      </c>
      <c r="E489" s="91">
        <f t="shared" si="42"/>
        <v>2454193</v>
      </c>
      <c r="F489" s="944">
        <f>IF(A489='Data Entry - SOF'!B$2,'Report-SOF1819'!D$102,0)</f>
        <v>0</v>
      </c>
      <c r="G489" s="1037">
        <f>IF(A489='Data Entry - SOF'!B$2,'Data Entry - SOF'!E$102,0)</f>
        <v>0</v>
      </c>
      <c r="H489" s="1038">
        <f t="shared" si="44"/>
        <v>2454193</v>
      </c>
      <c r="I489" s="944">
        <f>IF(A489='Data Entry - SOF'!B$2,'Report-SOF1920-HB3'!D$102,0)</f>
        <v>0</v>
      </c>
      <c r="J489" s="1037">
        <f>IF(A489='Data Entry - SOF'!B$2,'Data Entry - SOF'!G$102,0)</f>
        <v>0</v>
      </c>
      <c r="K489" s="717">
        <f t="shared" si="45"/>
        <v>2454193</v>
      </c>
      <c r="L489" s="944">
        <f>IF(A489='Data Entry - SOF'!B$2,'Report-SOF2021'!D$99,0)</f>
        <v>0</v>
      </c>
      <c r="M489" s="723">
        <f>IF(A489='Data Entry - SOF'!B$2,'Data Entry - SOF'!M$102,0)</f>
        <v>0</v>
      </c>
      <c r="N489" s="717">
        <f t="shared" si="46"/>
        <v>2454193</v>
      </c>
      <c r="O489" s="944">
        <f>IF(A489='Data Entry - SOF'!B$2,'Report-SOF2122'!D$91,0)</f>
        <v>0</v>
      </c>
      <c r="P489" s="723">
        <f>IF(A489='Data Entry - SOF'!B$2,'Data Entry - SOF'!O$102,0)</f>
        <v>0</v>
      </c>
      <c r="Q489" s="601">
        <f t="shared" si="43"/>
        <v>2454193</v>
      </c>
      <c r="R489" s="944">
        <f>IF(A489='Data Entry - SOF'!B$2,'Report-SOF2223'!D$91,0)</f>
        <v>0</v>
      </c>
      <c r="S489" s="723">
        <f>IF(A489='Data Entry - SOF'!B$2,'Data Entry - SOF'!Q$102,0)</f>
        <v>0</v>
      </c>
      <c r="T489" s="601">
        <f t="shared" si="47"/>
        <v>2454193</v>
      </c>
      <c r="U489" s="944">
        <f>IF(A489='Data Entry - SOF'!B$2,'Report-SOF2324'!D$91,0)</f>
        <v>0</v>
      </c>
      <c r="V489" s="723">
        <f>IF(A489='Data Entry - SOF'!B$2,'Data Entry - SOF'!S$102,0)</f>
        <v>0</v>
      </c>
    </row>
    <row r="490" spans="1:22" ht="15.75">
      <c r="A490" s="382" t="s">
        <v>978</v>
      </c>
      <c r="B490" s="91">
        <v>2229361</v>
      </c>
      <c r="C490" s="944">
        <f>IF(A490='Data Entry - SOF'!B$2,'Report-SOF1718'!D$102,0)</f>
        <v>0</v>
      </c>
      <c r="D490" s="1037">
        <f>IF(A490='Data Entry - SOF'!B$2,'Data Entry - SOF'!#REF!,0)</f>
        <v>0</v>
      </c>
      <c r="E490" s="91">
        <f t="shared" si="42"/>
        <v>2229361</v>
      </c>
      <c r="F490" s="944">
        <f>IF(A490='Data Entry - SOF'!B$2,'Report-SOF1819'!D$102,0)</f>
        <v>0</v>
      </c>
      <c r="G490" s="1037">
        <f>IF(A490='Data Entry - SOF'!B$2,'Data Entry - SOF'!E$102,0)</f>
        <v>0</v>
      </c>
      <c r="H490" s="1038">
        <f t="shared" si="44"/>
        <v>2229361</v>
      </c>
      <c r="I490" s="944">
        <f>IF(A490='Data Entry - SOF'!B$2,'Report-SOF1920-HB3'!D$102,0)</f>
        <v>0</v>
      </c>
      <c r="J490" s="1037">
        <f>IF(A490='Data Entry - SOF'!B$2,'Data Entry - SOF'!G$102,0)</f>
        <v>0</v>
      </c>
      <c r="K490" s="717">
        <f t="shared" si="45"/>
        <v>2229361</v>
      </c>
      <c r="L490" s="944">
        <f>IF(A490='Data Entry - SOF'!B$2,'Report-SOF2021'!D$99,0)</f>
        <v>0</v>
      </c>
      <c r="M490" s="723">
        <f>IF(A490='Data Entry - SOF'!B$2,'Data Entry - SOF'!M$102,0)</f>
        <v>0</v>
      </c>
      <c r="N490" s="717">
        <f t="shared" si="46"/>
        <v>2229361</v>
      </c>
      <c r="O490" s="944">
        <f>IF(A490='Data Entry - SOF'!B$2,'Report-SOF2122'!D$91,0)</f>
        <v>0</v>
      </c>
      <c r="P490" s="723">
        <f>IF(A490='Data Entry - SOF'!B$2,'Data Entry - SOF'!O$102,0)</f>
        <v>0</v>
      </c>
      <c r="Q490" s="601">
        <f t="shared" si="43"/>
        <v>2229361</v>
      </c>
      <c r="R490" s="944">
        <f>IF(A490='Data Entry - SOF'!B$2,'Report-SOF2223'!D$91,0)</f>
        <v>0</v>
      </c>
      <c r="S490" s="723">
        <f>IF(A490='Data Entry - SOF'!B$2,'Data Entry - SOF'!Q$102,0)</f>
        <v>0</v>
      </c>
      <c r="T490" s="601">
        <f t="shared" si="47"/>
        <v>2229361</v>
      </c>
      <c r="U490" s="944">
        <f>IF(A490='Data Entry - SOF'!B$2,'Report-SOF2324'!D$91,0)</f>
        <v>0</v>
      </c>
      <c r="V490" s="723">
        <f>IF(A490='Data Entry - SOF'!B$2,'Data Entry - SOF'!S$102,0)</f>
        <v>0</v>
      </c>
    </row>
    <row r="491" spans="1:22" ht="15.75">
      <c r="A491" s="382" t="s">
        <v>979</v>
      </c>
      <c r="B491" s="91">
        <v>1428863</v>
      </c>
      <c r="C491" s="944">
        <f>IF(A491='Data Entry - SOF'!B$2,'Report-SOF1718'!D$102,0)</f>
        <v>0</v>
      </c>
      <c r="D491" s="1037">
        <f>IF(A491='Data Entry - SOF'!B$2,'Data Entry - SOF'!#REF!,0)</f>
        <v>0</v>
      </c>
      <c r="E491" s="91">
        <f t="shared" si="42"/>
        <v>1428863</v>
      </c>
      <c r="F491" s="944">
        <f>IF(A491='Data Entry - SOF'!B$2,'Report-SOF1819'!D$102,0)</f>
        <v>0</v>
      </c>
      <c r="G491" s="1037">
        <f>IF(A491='Data Entry - SOF'!B$2,'Data Entry - SOF'!E$102,0)</f>
        <v>0</v>
      </c>
      <c r="H491" s="1038">
        <f t="shared" si="44"/>
        <v>1428863</v>
      </c>
      <c r="I491" s="944">
        <f>IF(A491='Data Entry - SOF'!B$2,'Report-SOF1920-HB3'!D$102,0)</f>
        <v>0</v>
      </c>
      <c r="J491" s="1037">
        <f>IF(A491='Data Entry - SOF'!B$2,'Data Entry - SOF'!G$102,0)</f>
        <v>0</v>
      </c>
      <c r="K491" s="717">
        <f t="shared" si="45"/>
        <v>1428863</v>
      </c>
      <c r="L491" s="944">
        <f>IF(A491='Data Entry - SOF'!B$2,'Report-SOF2021'!D$99,0)</f>
        <v>0</v>
      </c>
      <c r="M491" s="723">
        <f>IF(A491='Data Entry - SOF'!B$2,'Data Entry - SOF'!M$102,0)</f>
        <v>0</v>
      </c>
      <c r="N491" s="717">
        <f t="shared" si="46"/>
        <v>1428863</v>
      </c>
      <c r="O491" s="944">
        <f>IF(A491='Data Entry - SOF'!B$2,'Report-SOF2122'!D$91,0)</f>
        <v>0</v>
      </c>
      <c r="P491" s="723">
        <f>IF(A491='Data Entry - SOF'!B$2,'Data Entry - SOF'!O$102,0)</f>
        <v>0</v>
      </c>
      <c r="Q491" s="601">
        <f t="shared" si="43"/>
        <v>1428863</v>
      </c>
      <c r="R491" s="944">
        <f>IF(A491='Data Entry - SOF'!B$2,'Report-SOF2223'!D$91,0)</f>
        <v>0</v>
      </c>
      <c r="S491" s="723">
        <f>IF(A491='Data Entry - SOF'!B$2,'Data Entry - SOF'!Q$102,0)</f>
        <v>0</v>
      </c>
      <c r="T491" s="601">
        <f t="shared" si="47"/>
        <v>1428863</v>
      </c>
      <c r="U491" s="944">
        <f>IF(A491='Data Entry - SOF'!B$2,'Report-SOF2324'!D$91,0)</f>
        <v>0</v>
      </c>
      <c r="V491" s="723">
        <f>IF(A491='Data Entry - SOF'!B$2,'Data Entry - SOF'!S$102,0)</f>
        <v>0</v>
      </c>
    </row>
    <row r="492" spans="1:22" ht="15.75">
      <c r="A492" s="382" t="s">
        <v>899</v>
      </c>
      <c r="B492" s="91">
        <v>490527</v>
      </c>
      <c r="C492" s="944">
        <f>IF(A492='Data Entry - SOF'!B$2,'Report-SOF1718'!D$102,0)</f>
        <v>0</v>
      </c>
      <c r="D492" s="1037">
        <f>IF(A492='Data Entry - SOF'!B$2,'Data Entry - SOF'!#REF!,0)</f>
        <v>0</v>
      </c>
      <c r="E492" s="91">
        <f t="shared" si="42"/>
        <v>490527</v>
      </c>
      <c r="F492" s="944">
        <f>IF(A492='Data Entry - SOF'!B$2,'Report-SOF1819'!D$102,0)</f>
        <v>0</v>
      </c>
      <c r="G492" s="1037">
        <f>IF(A492='Data Entry - SOF'!B$2,'Data Entry - SOF'!E$102,0)</f>
        <v>0</v>
      </c>
      <c r="H492" s="1038">
        <f t="shared" si="44"/>
        <v>490527</v>
      </c>
      <c r="I492" s="944">
        <f>IF(A492='Data Entry - SOF'!B$2,'Report-SOF1920-HB3'!D$102,0)</f>
        <v>0</v>
      </c>
      <c r="J492" s="1037">
        <f>IF(A492='Data Entry - SOF'!B$2,'Data Entry - SOF'!G$102,0)</f>
        <v>0</v>
      </c>
      <c r="K492" s="717">
        <f t="shared" si="45"/>
        <v>490527</v>
      </c>
      <c r="L492" s="944">
        <f>IF(A492='Data Entry - SOF'!B$2,'Report-SOF2021'!D$99,0)</f>
        <v>0</v>
      </c>
      <c r="M492" s="723">
        <f>IF(A492='Data Entry - SOF'!B$2,'Data Entry - SOF'!M$102,0)</f>
        <v>0</v>
      </c>
      <c r="N492" s="717">
        <f t="shared" si="46"/>
        <v>490527</v>
      </c>
      <c r="O492" s="944">
        <f>IF(A492='Data Entry - SOF'!B$2,'Report-SOF2122'!D$91,0)</f>
        <v>0</v>
      </c>
      <c r="P492" s="723">
        <f>IF(A492='Data Entry - SOF'!B$2,'Data Entry - SOF'!O$102,0)</f>
        <v>0</v>
      </c>
      <c r="Q492" s="601">
        <f t="shared" si="43"/>
        <v>490527</v>
      </c>
      <c r="R492" s="944">
        <f>IF(A492='Data Entry - SOF'!B$2,'Report-SOF2223'!D$91,0)</f>
        <v>0</v>
      </c>
      <c r="S492" s="723">
        <f>IF(A492='Data Entry - SOF'!B$2,'Data Entry - SOF'!Q$102,0)</f>
        <v>0</v>
      </c>
      <c r="T492" s="601">
        <f t="shared" si="47"/>
        <v>490527</v>
      </c>
      <c r="U492" s="944">
        <f>IF(A492='Data Entry - SOF'!B$2,'Report-SOF2324'!D$91,0)</f>
        <v>0</v>
      </c>
      <c r="V492" s="723">
        <f>IF(A492='Data Entry - SOF'!B$2,'Data Entry - SOF'!S$102,0)</f>
        <v>0</v>
      </c>
    </row>
    <row r="493" spans="1:22" ht="15.75">
      <c r="A493" s="382" t="s">
        <v>1797</v>
      </c>
      <c r="B493" s="91">
        <v>16891420</v>
      </c>
      <c r="C493" s="944">
        <f>IF(A493='Data Entry - SOF'!B$2,'Report-SOF1718'!D$102,0)</f>
        <v>0</v>
      </c>
      <c r="D493" s="1037">
        <f>IF(A493='Data Entry - SOF'!B$2,'Data Entry - SOF'!#REF!,0)</f>
        <v>0</v>
      </c>
      <c r="E493" s="91">
        <f t="shared" si="42"/>
        <v>16891420</v>
      </c>
      <c r="F493" s="944">
        <f>IF(A493='Data Entry - SOF'!B$2,'Report-SOF1819'!D$102,0)</f>
        <v>0</v>
      </c>
      <c r="G493" s="1037">
        <f>IF(A493='Data Entry - SOF'!B$2,'Data Entry - SOF'!E$102,0)</f>
        <v>0</v>
      </c>
      <c r="H493" s="1038">
        <f t="shared" si="44"/>
        <v>16891420</v>
      </c>
      <c r="I493" s="944">
        <f>IF(A493='Data Entry - SOF'!B$2,'Report-SOF1920-HB3'!D$102,0)</f>
        <v>0</v>
      </c>
      <c r="J493" s="1037">
        <f>IF(A493='Data Entry - SOF'!B$2,'Data Entry - SOF'!G$102,0)</f>
        <v>0</v>
      </c>
      <c r="K493" s="717">
        <f t="shared" si="45"/>
        <v>16891420</v>
      </c>
      <c r="L493" s="944">
        <f>IF(A493='Data Entry - SOF'!B$2,'Report-SOF2021'!D$99,0)</f>
        <v>0</v>
      </c>
      <c r="M493" s="723">
        <f>IF(A493='Data Entry - SOF'!B$2,'Data Entry - SOF'!M$102,0)</f>
        <v>0</v>
      </c>
      <c r="N493" s="717">
        <f t="shared" si="46"/>
        <v>16891420</v>
      </c>
      <c r="O493" s="944">
        <f>IF(A493='Data Entry - SOF'!B$2,'Report-SOF2122'!D$91,0)</f>
        <v>0</v>
      </c>
      <c r="P493" s="723">
        <f>IF(A493='Data Entry - SOF'!B$2,'Data Entry - SOF'!O$102,0)</f>
        <v>0</v>
      </c>
      <c r="Q493" s="601">
        <f t="shared" si="43"/>
        <v>16891420</v>
      </c>
      <c r="R493" s="944">
        <f>IF(A493='Data Entry - SOF'!B$2,'Report-SOF2223'!D$91,0)</f>
        <v>0</v>
      </c>
      <c r="S493" s="723">
        <f>IF(A493='Data Entry - SOF'!B$2,'Data Entry - SOF'!Q$102,0)</f>
        <v>0</v>
      </c>
      <c r="T493" s="601">
        <f t="shared" si="47"/>
        <v>16891420</v>
      </c>
      <c r="U493" s="944">
        <f>IF(A493='Data Entry - SOF'!B$2,'Report-SOF2324'!D$91,0)</f>
        <v>0</v>
      </c>
      <c r="V493" s="723">
        <f>IF(A493='Data Entry - SOF'!B$2,'Data Entry - SOF'!S$102,0)</f>
        <v>0</v>
      </c>
    </row>
    <row r="494" spans="1:22" ht="15.75">
      <c r="A494" s="382" t="s">
        <v>2677</v>
      </c>
      <c r="B494" s="91">
        <v>6191731</v>
      </c>
      <c r="C494" s="944">
        <f>IF(A494='Data Entry - SOF'!B$2,'Report-SOF1718'!D$102,0)</f>
        <v>0</v>
      </c>
      <c r="D494" s="1037">
        <f>IF(A494='Data Entry - SOF'!B$2,'Data Entry - SOF'!#REF!,0)</f>
        <v>0</v>
      </c>
      <c r="E494" s="91">
        <f t="shared" si="42"/>
        <v>6191731</v>
      </c>
      <c r="F494" s="944">
        <f>IF(A494='Data Entry - SOF'!B$2,'Report-SOF1819'!D$102,0)</f>
        <v>0</v>
      </c>
      <c r="G494" s="1037">
        <f>IF(A494='Data Entry - SOF'!B$2,'Data Entry - SOF'!E$102,0)</f>
        <v>0</v>
      </c>
      <c r="H494" s="1038">
        <f t="shared" si="44"/>
        <v>6191731</v>
      </c>
      <c r="I494" s="944">
        <f>IF(A494='Data Entry - SOF'!B$2,'Report-SOF1920-HB3'!D$102,0)</f>
        <v>0</v>
      </c>
      <c r="J494" s="1037">
        <f>IF(A494='Data Entry - SOF'!B$2,'Data Entry - SOF'!G$102,0)</f>
        <v>0</v>
      </c>
      <c r="K494" s="717">
        <f t="shared" si="45"/>
        <v>6191731</v>
      </c>
      <c r="L494" s="944">
        <f>IF(A494='Data Entry - SOF'!B$2,'Report-SOF2021'!D$99,0)</f>
        <v>0</v>
      </c>
      <c r="M494" s="723">
        <f>IF(A494='Data Entry - SOF'!B$2,'Data Entry - SOF'!M$102,0)</f>
        <v>0</v>
      </c>
      <c r="N494" s="717">
        <f t="shared" si="46"/>
        <v>6191731</v>
      </c>
      <c r="O494" s="944">
        <f>IF(A494='Data Entry - SOF'!B$2,'Report-SOF2122'!D$91,0)</f>
        <v>0</v>
      </c>
      <c r="P494" s="723">
        <f>IF(A494='Data Entry - SOF'!B$2,'Data Entry - SOF'!O$102,0)</f>
        <v>0</v>
      </c>
      <c r="Q494" s="601">
        <f t="shared" si="43"/>
        <v>6191731</v>
      </c>
      <c r="R494" s="944">
        <f>IF(A494='Data Entry - SOF'!B$2,'Report-SOF2223'!D$91,0)</f>
        <v>0</v>
      </c>
      <c r="S494" s="723">
        <f>IF(A494='Data Entry - SOF'!B$2,'Data Entry - SOF'!Q$102,0)</f>
        <v>0</v>
      </c>
      <c r="T494" s="601">
        <f t="shared" si="47"/>
        <v>6191731</v>
      </c>
      <c r="U494" s="944">
        <f>IF(A494='Data Entry - SOF'!B$2,'Report-SOF2324'!D$91,0)</f>
        <v>0</v>
      </c>
      <c r="V494" s="723">
        <f>IF(A494='Data Entry - SOF'!B$2,'Data Entry - SOF'!S$102,0)</f>
        <v>0</v>
      </c>
    </row>
    <row r="495" spans="1:22" ht="15.75">
      <c r="A495" s="382" t="s">
        <v>2678</v>
      </c>
      <c r="B495" s="91">
        <v>15127007.0923272</v>
      </c>
      <c r="C495" s="944">
        <f>IF(A495='Data Entry - SOF'!B$2,'Report-SOF1718'!D$102,0)</f>
        <v>0</v>
      </c>
      <c r="D495" s="1037">
        <f>IF(A495='Data Entry - SOF'!B$2,'Data Entry - SOF'!#REF!,0)</f>
        <v>0</v>
      </c>
      <c r="E495" s="91">
        <f t="shared" si="42"/>
        <v>15127007.0923272</v>
      </c>
      <c r="F495" s="944">
        <f>IF(A495='Data Entry - SOF'!B$2,'Report-SOF1819'!D$102,0)</f>
        <v>0</v>
      </c>
      <c r="G495" s="1037">
        <f>IF(A495='Data Entry - SOF'!B$2,'Data Entry - SOF'!E$102,0)</f>
        <v>0</v>
      </c>
      <c r="H495" s="1038">
        <f t="shared" si="44"/>
        <v>15127007.0923272</v>
      </c>
      <c r="I495" s="944">
        <f>IF(A495='Data Entry - SOF'!B$2,'Report-SOF1920-HB3'!D$102,0)</f>
        <v>0</v>
      </c>
      <c r="J495" s="1037">
        <f>IF(A495='Data Entry - SOF'!B$2,'Data Entry - SOF'!G$102,0)</f>
        <v>0</v>
      </c>
      <c r="K495" s="717">
        <f t="shared" si="45"/>
        <v>15127007.0923272</v>
      </c>
      <c r="L495" s="944">
        <f>IF(A495='Data Entry - SOF'!B$2,'Report-SOF2021'!D$99,0)</f>
        <v>0</v>
      </c>
      <c r="M495" s="723">
        <f>IF(A495='Data Entry - SOF'!B$2,'Data Entry - SOF'!M$102,0)</f>
        <v>0</v>
      </c>
      <c r="N495" s="717">
        <f t="shared" si="46"/>
        <v>15127007.0923272</v>
      </c>
      <c r="O495" s="944">
        <f>IF(A495='Data Entry - SOF'!B$2,'Report-SOF2122'!D$91,0)</f>
        <v>0</v>
      </c>
      <c r="P495" s="723">
        <f>IF(A495='Data Entry - SOF'!B$2,'Data Entry - SOF'!O$102,0)</f>
        <v>0</v>
      </c>
      <c r="Q495" s="601">
        <f t="shared" si="43"/>
        <v>15127007.0923272</v>
      </c>
      <c r="R495" s="944">
        <f>IF(A495='Data Entry - SOF'!B$2,'Report-SOF2223'!D$91,0)</f>
        <v>0</v>
      </c>
      <c r="S495" s="723">
        <f>IF(A495='Data Entry - SOF'!B$2,'Data Entry - SOF'!Q$102,0)</f>
        <v>0</v>
      </c>
      <c r="T495" s="601">
        <f t="shared" si="47"/>
        <v>15127007.0923272</v>
      </c>
      <c r="U495" s="944">
        <f>IF(A495='Data Entry - SOF'!B$2,'Report-SOF2324'!D$91,0)</f>
        <v>0</v>
      </c>
      <c r="V495" s="723">
        <f>IF(A495='Data Entry - SOF'!B$2,'Data Entry - SOF'!S$102,0)</f>
        <v>0</v>
      </c>
    </row>
    <row r="496" spans="1:22" ht="15.75">
      <c r="A496" s="382" t="s">
        <v>1331</v>
      </c>
      <c r="B496" s="91">
        <v>1251565</v>
      </c>
      <c r="C496" s="944">
        <f>IF(A496='Data Entry - SOF'!B$2,'Report-SOF1718'!D$102,0)</f>
        <v>0</v>
      </c>
      <c r="D496" s="1037">
        <f>IF(A496='Data Entry - SOF'!B$2,'Data Entry - SOF'!#REF!,0)</f>
        <v>0</v>
      </c>
      <c r="E496" s="91">
        <f t="shared" si="42"/>
        <v>1251565</v>
      </c>
      <c r="F496" s="944">
        <f>IF(A496='Data Entry - SOF'!B$2,'Report-SOF1819'!D$102,0)</f>
        <v>0</v>
      </c>
      <c r="G496" s="1037">
        <f>IF(A496='Data Entry - SOF'!B$2,'Data Entry - SOF'!E$102,0)</f>
        <v>0</v>
      </c>
      <c r="H496" s="1038">
        <f t="shared" si="44"/>
        <v>1251565</v>
      </c>
      <c r="I496" s="944">
        <f>IF(A496='Data Entry - SOF'!B$2,'Report-SOF1920-HB3'!D$102,0)</f>
        <v>0</v>
      </c>
      <c r="J496" s="1037">
        <f>IF(A496='Data Entry - SOF'!B$2,'Data Entry - SOF'!G$102,0)</f>
        <v>0</v>
      </c>
      <c r="K496" s="717">
        <f t="shared" si="45"/>
        <v>1251565</v>
      </c>
      <c r="L496" s="944">
        <f>IF(A496='Data Entry - SOF'!B$2,'Report-SOF2021'!D$99,0)</f>
        <v>0</v>
      </c>
      <c r="M496" s="723">
        <f>IF(A496='Data Entry - SOF'!B$2,'Data Entry - SOF'!M$102,0)</f>
        <v>0</v>
      </c>
      <c r="N496" s="717">
        <f t="shared" si="46"/>
        <v>1251565</v>
      </c>
      <c r="O496" s="944">
        <f>IF(A496='Data Entry - SOF'!B$2,'Report-SOF2122'!D$91,0)</f>
        <v>0</v>
      </c>
      <c r="P496" s="723">
        <f>IF(A496='Data Entry - SOF'!B$2,'Data Entry - SOF'!O$102,0)</f>
        <v>0</v>
      </c>
      <c r="Q496" s="601">
        <f t="shared" si="43"/>
        <v>1251565</v>
      </c>
      <c r="R496" s="944">
        <f>IF(A496='Data Entry - SOF'!B$2,'Report-SOF2223'!D$91,0)</f>
        <v>0</v>
      </c>
      <c r="S496" s="723">
        <f>IF(A496='Data Entry - SOF'!B$2,'Data Entry - SOF'!Q$102,0)</f>
        <v>0</v>
      </c>
      <c r="T496" s="601">
        <f t="shared" si="47"/>
        <v>1251565</v>
      </c>
      <c r="U496" s="944">
        <f>IF(A496='Data Entry - SOF'!B$2,'Report-SOF2324'!D$91,0)</f>
        <v>0</v>
      </c>
      <c r="V496" s="723">
        <f>IF(A496='Data Entry - SOF'!B$2,'Data Entry - SOF'!S$102,0)</f>
        <v>0</v>
      </c>
    </row>
    <row r="497" spans="1:22" ht="15.75">
      <c r="A497" s="382" t="s">
        <v>2177</v>
      </c>
      <c r="B497" s="91">
        <v>425979</v>
      </c>
      <c r="C497" s="944">
        <f>IF(A497='Data Entry - SOF'!B$2,'Report-SOF1718'!D$102,0)</f>
        <v>0</v>
      </c>
      <c r="D497" s="1037">
        <f>IF(A497='Data Entry - SOF'!B$2,'Data Entry - SOF'!#REF!,0)</f>
        <v>0</v>
      </c>
      <c r="E497" s="91">
        <f t="shared" si="42"/>
        <v>425979</v>
      </c>
      <c r="F497" s="944">
        <f>IF(A497='Data Entry - SOF'!B$2,'Report-SOF1819'!D$102,0)</f>
        <v>0</v>
      </c>
      <c r="G497" s="1037">
        <f>IF(A497='Data Entry - SOF'!B$2,'Data Entry - SOF'!E$102,0)</f>
        <v>0</v>
      </c>
      <c r="H497" s="1038">
        <f t="shared" si="44"/>
        <v>425979</v>
      </c>
      <c r="I497" s="944">
        <f>IF(A497='Data Entry - SOF'!B$2,'Report-SOF1920-HB3'!D$102,0)</f>
        <v>0</v>
      </c>
      <c r="J497" s="1037">
        <f>IF(A497='Data Entry - SOF'!B$2,'Data Entry - SOF'!G$102,0)</f>
        <v>0</v>
      </c>
      <c r="K497" s="717">
        <f t="shared" si="45"/>
        <v>425979</v>
      </c>
      <c r="L497" s="944">
        <f>IF(A497='Data Entry - SOF'!B$2,'Report-SOF2021'!D$99,0)</f>
        <v>0</v>
      </c>
      <c r="M497" s="723">
        <f>IF(A497='Data Entry - SOF'!B$2,'Data Entry - SOF'!M$102,0)</f>
        <v>0</v>
      </c>
      <c r="N497" s="717">
        <f t="shared" si="46"/>
        <v>425979</v>
      </c>
      <c r="O497" s="944">
        <f>IF(A497='Data Entry - SOF'!B$2,'Report-SOF2122'!D$91,0)</f>
        <v>0</v>
      </c>
      <c r="P497" s="723">
        <f>IF(A497='Data Entry - SOF'!B$2,'Data Entry - SOF'!O$102,0)</f>
        <v>0</v>
      </c>
      <c r="Q497" s="601">
        <f t="shared" si="43"/>
        <v>425979</v>
      </c>
      <c r="R497" s="944">
        <f>IF(A497='Data Entry - SOF'!B$2,'Report-SOF2223'!D$91,0)</f>
        <v>0</v>
      </c>
      <c r="S497" s="723">
        <f>IF(A497='Data Entry - SOF'!B$2,'Data Entry - SOF'!Q$102,0)</f>
        <v>0</v>
      </c>
      <c r="T497" s="601">
        <f t="shared" si="47"/>
        <v>425979</v>
      </c>
      <c r="U497" s="944">
        <f>IF(A497='Data Entry - SOF'!B$2,'Report-SOF2324'!D$91,0)</f>
        <v>0</v>
      </c>
      <c r="V497" s="723">
        <f>IF(A497='Data Entry - SOF'!B$2,'Data Entry - SOF'!S$102,0)</f>
        <v>0</v>
      </c>
    </row>
    <row r="498" spans="1:22" ht="15.75">
      <c r="A498" s="382" t="s">
        <v>1111</v>
      </c>
      <c r="B498" s="91">
        <v>237937</v>
      </c>
      <c r="C498" s="944">
        <f>IF(A498='Data Entry - SOF'!B$2,'Report-SOF1718'!D$102,0)</f>
        <v>0</v>
      </c>
      <c r="D498" s="1037">
        <f>IF(A498='Data Entry - SOF'!B$2,'Data Entry - SOF'!#REF!,0)</f>
        <v>0</v>
      </c>
      <c r="E498" s="91">
        <f t="shared" si="42"/>
        <v>237937</v>
      </c>
      <c r="F498" s="944">
        <f>IF(A498='Data Entry - SOF'!B$2,'Report-SOF1819'!D$102,0)</f>
        <v>0</v>
      </c>
      <c r="G498" s="1037">
        <f>IF(A498='Data Entry - SOF'!B$2,'Data Entry - SOF'!E$102,0)</f>
        <v>0</v>
      </c>
      <c r="H498" s="1038">
        <f t="shared" si="44"/>
        <v>237937</v>
      </c>
      <c r="I498" s="944">
        <f>IF(A498='Data Entry - SOF'!B$2,'Report-SOF1920-HB3'!D$102,0)</f>
        <v>0</v>
      </c>
      <c r="J498" s="1037">
        <f>IF(A498='Data Entry - SOF'!B$2,'Data Entry - SOF'!G$102,0)</f>
        <v>0</v>
      </c>
      <c r="K498" s="717">
        <f t="shared" si="45"/>
        <v>237937</v>
      </c>
      <c r="L498" s="944">
        <f>IF(A498='Data Entry - SOF'!B$2,'Report-SOF2021'!D$99,0)</f>
        <v>0</v>
      </c>
      <c r="M498" s="723">
        <f>IF(A498='Data Entry - SOF'!B$2,'Data Entry - SOF'!M$102,0)</f>
        <v>0</v>
      </c>
      <c r="N498" s="717">
        <f t="shared" si="46"/>
        <v>237937</v>
      </c>
      <c r="O498" s="944">
        <f>IF(A498='Data Entry - SOF'!B$2,'Report-SOF2122'!D$91,0)</f>
        <v>0</v>
      </c>
      <c r="P498" s="723">
        <f>IF(A498='Data Entry - SOF'!B$2,'Data Entry - SOF'!O$102,0)</f>
        <v>0</v>
      </c>
      <c r="Q498" s="601">
        <f t="shared" si="43"/>
        <v>237937</v>
      </c>
      <c r="R498" s="944">
        <f>IF(A498='Data Entry - SOF'!B$2,'Report-SOF2223'!D$91,0)</f>
        <v>0</v>
      </c>
      <c r="S498" s="723">
        <f>IF(A498='Data Entry - SOF'!B$2,'Data Entry - SOF'!Q$102,0)</f>
        <v>0</v>
      </c>
      <c r="T498" s="601">
        <f t="shared" si="47"/>
        <v>237937</v>
      </c>
      <c r="U498" s="944">
        <f>IF(A498='Data Entry - SOF'!B$2,'Report-SOF2324'!D$91,0)</f>
        <v>0</v>
      </c>
      <c r="V498" s="723">
        <f>IF(A498='Data Entry - SOF'!B$2,'Data Entry - SOF'!S$102,0)</f>
        <v>0</v>
      </c>
    </row>
    <row r="499" spans="1:22" ht="15.75">
      <c r="A499" s="382" t="s">
        <v>1886</v>
      </c>
      <c r="B499" s="91">
        <v>3927834</v>
      </c>
      <c r="C499" s="944">
        <f>IF(A499='Data Entry - SOF'!B$2,'Report-SOF1718'!D$102,0)</f>
        <v>0</v>
      </c>
      <c r="D499" s="1037">
        <f>IF(A499='Data Entry - SOF'!B$2,'Data Entry - SOF'!#REF!,0)</f>
        <v>0</v>
      </c>
      <c r="E499" s="91">
        <f t="shared" si="42"/>
        <v>3927834</v>
      </c>
      <c r="F499" s="944">
        <f>IF(A499='Data Entry - SOF'!B$2,'Report-SOF1819'!D$102,0)</f>
        <v>0</v>
      </c>
      <c r="G499" s="1037">
        <f>IF(A499='Data Entry - SOF'!B$2,'Data Entry - SOF'!E$102,0)</f>
        <v>0</v>
      </c>
      <c r="H499" s="1038">
        <f t="shared" si="44"/>
        <v>3927834</v>
      </c>
      <c r="I499" s="944">
        <f>IF(A499='Data Entry - SOF'!B$2,'Report-SOF1920-HB3'!D$102,0)</f>
        <v>0</v>
      </c>
      <c r="J499" s="1037">
        <f>IF(A499='Data Entry - SOF'!B$2,'Data Entry - SOF'!G$102,0)</f>
        <v>0</v>
      </c>
      <c r="K499" s="717">
        <f t="shared" si="45"/>
        <v>3927834</v>
      </c>
      <c r="L499" s="944">
        <f>IF(A499='Data Entry - SOF'!B$2,'Report-SOF2021'!D$99,0)</f>
        <v>0</v>
      </c>
      <c r="M499" s="723">
        <f>IF(A499='Data Entry - SOF'!B$2,'Data Entry - SOF'!M$102,0)</f>
        <v>0</v>
      </c>
      <c r="N499" s="717">
        <f t="shared" si="46"/>
        <v>3927834</v>
      </c>
      <c r="O499" s="944">
        <f>IF(A499='Data Entry - SOF'!B$2,'Report-SOF2122'!D$91,0)</f>
        <v>0</v>
      </c>
      <c r="P499" s="723">
        <f>IF(A499='Data Entry - SOF'!B$2,'Data Entry - SOF'!O$102,0)</f>
        <v>0</v>
      </c>
      <c r="Q499" s="601">
        <f t="shared" si="43"/>
        <v>3927834</v>
      </c>
      <c r="R499" s="944">
        <f>IF(A499='Data Entry - SOF'!B$2,'Report-SOF2223'!D$91,0)</f>
        <v>0</v>
      </c>
      <c r="S499" s="723">
        <f>IF(A499='Data Entry - SOF'!B$2,'Data Entry - SOF'!Q$102,0)</f>
        <v>0</v>
      </c>
      <c r="T499" s="601">
        <f t="shared" si="47"/>
        <v>3927834</v>
      </c>
      <c r="U499" s="944">
        <f>IF(A499='Data Entry - SOF'!B$2,'Report-SOF2324'!D$91,0)</f>
        <v>0</v>
      </c>
      <c r="V499" s="723">
        <f>IF(A499='Data Entry - SOF'!B$2,'Data Entry - SOF'!S$102,0)</f>
        <v>0</v>
      </c>
    </row>
    <row r="500" spans="1:22" ht="15.75">
      <c r="A500" s="382" t="s">
        <v>1112</v>
      </c>
      <c r="B500" s="91">
        <v>912128</v>
      </c>
      <c r="C500" s="944">
        <f>IF(A500='Data Entry - SOF'!B$2,'Report-SOF1718'!D$102,0)</f>
        <v>0</v>
      </c>
      <c r="D500" s="1037">
        <f>IF(A500='Data Entry - SOF'!B$2,'Data Entry - SOF'!#REF!,0)</f>
        <v>0</v>
      </c>
      <c r="E500" s="91">
        <f t="shared" si="42"/>
        <v>912128</v>
      </c>
      <c r="F500" s="944">
        <f>IF(A500='Data Entry - SOF'!B$2,'Report-SOF1819'!D$102,0)</f>
        <v>0</v>
      </c>
      <c r="G500" s="1037">
        <f>IF(A500='Data Entry - SOF'!B$2,'Data Entry - SOF'!E$102,0)</f>
        <v>0</v>
      </c>
      <c r="H500" s="1038">
        <f t="shared" si="44"/>
        <v>912128</v>
      </c>
      <c r="I500" s="944">
        <f>IF(A500='Data Entry - SOF'!B$2,'Report-SOF1920-HB3'!D$102,0)</f>
        <v>0</v>
      </c>
      <c r="J500" s="1037">
        <f>IF(A500='Data Entry - SOF'!B$2,'Data Entry - SOF'!G$102,0)</f>
        <v>0</v>
      </c>
      <c r="K500" s="717">
        <f t="shared" si="45"/>
        <v>912128</v>
      </c>
      <c r="L500" s="944">
        <f>IF(A500='Data Entry - SOF'!B$2,'Report-SOF2021'!D$99,0)</f>
        <v>0</v>
      </c>
      <c r="M500" s="723">
        <f>IF(A500='Data Entry - SOF'!B$2,'Data Entry - SOF'!M$102,0)</f>
        <v>0</v>
      </c>
      <c r="N500" s="717">
        <f t="shared" si="46"/>
        <v>912128</v>
      </c>
      <c r="O500" s="944">
        <f>IF(A500='Data Entry - SOF'!B$2,'Report-SOF2122'!D$91,0)</f>
        <v>0</v>
      </c>
      <c r="P500" s="723">
        <f>IF(A500='Data Entry - SOF'!B$2,'Data Entry - SOF'!O$102,0)</f>
        <v>0</v>
      </c>
      <c r="Q500" s="601">
        <f t="shared" si="43"/>
        <v>912128</v>
      </c>
      <c r="R500" s="944">
        <f>IF(A500='Data Entry - SOF'!B$2,'Report-SOF2223'!D$91,0)</f>
        <v>0</v>
      </c>
      <c r="S500" s="723">
        <f>IF(A500='Data Entry - SOF'!B$2,'Data Entry - SOF'!Q$102,0)</f>
        <v>0</v>
      </c>
      <c r="T500" s="601">
        <f t="shared" si="47"/>
        <v>912128</v>
      </c>
      <c r="U500" s="944">
        <f>IF(A500='Data Entry - SOF'!B$2,'Report-SOF2324'!D$91,0)</f>
        <v>0</v>
      </c>
      <c r="V500" s="723">
        <f>IF(A500='Data Entry - SOF'!B$2,'Data Entry - SOF'!S$102,0)</f>
        <v>0</v>
      </c>
    </row>
    <row r="501" spans="1:22" ht="15.75">
      <c r="A501" s="382" t="s">
        <v>1437</v>
      </c>
      <c r="B501" s="91">
        <v>4244730</v>
      </c>
      <c r="C501" s="944">
        <f>IF(A501='Data Entry - SOF'!B$2,'Report-SOF1718'!D$102,0)</f>
        <v>0</v>
      </c>
      <c r="D501" s="1037">
        <f>IF(A501='Data Entry - SOF'!B$2,'Data Entry - SOF'!#REF!,0)</f>
        <v>0</v>
      </c>
      <c r="E501" s="91">
        <f t="shared" si="42"/>
        <v>4244730</v>
      </c>
      <c r="F501" s="944">
        <f>IF(A501='Data Entry - SOF'!B$2,'Report-SOF1819'!D$102,0)</f>
        <v>0</v>
      </c>
      <c r="G501" s="1037">
        <f>IF(A501='Data Entry - SOF'!B$2,'Data Entry - SOF'!E$102,0)</f>
        <v>0</v>
      </c>
      <c r="H501" s="1038">
        <f t="shared" si="44"/>
        <v>4244730</v>
      </c>
      <c r="I501" s="944">
        <f>IF(A501='Data Entry - SOF'!B$2,'Report-SOF1920-HB3'!D$102,0)</f>
        <v>0</v>
      </c>
      <c r="J501" s="1037">
        <f>IF(A501='Data Entry - SOF'!B$2,'Data Entry - SOF'!G$102,0)</f>
        <v>0</v>
      </c>
      <c r="K501" s="717">
        <f t="shared" si="45"/>
        <v>4244730</v>
      </c>
      <c r="L501" s="944">
        <f>IF(A501='Data Entry - SOF'!B$2,'Report-SOF2021'!D$99,0)</f>
        <v>0</v>
      </c>
      <c r="M501" s="723">
        <f>IF(A501='Data Entry - SOF'!B$2,'Data Entry - SOF'!M$102,0)</f>
        <v>0</v>
      </c>
      <c r="N501" s="717">
        <f t="shared" si="46"/>
        <v>4244730</v>
      </c>
      <c r="O501" s="944">
        <f>IF(A501='Data Entry - SOF'!B$2,'Report-SOF2122'!D$91,0)</f>
        <v>0</v>
      </c>
      <c r="P501" s="723">
        <f>IF(A501='Data Entry - SOF'!B$2,'Data Entry - SOF'!O$102,0)</f>
        <v>0</v>
      </c>
      <c r="Q501" s="601">
        <f t="shared" si="43"/>
        <v>4244730</v>
      </c>
      <c r="R501" s="944">
        <f>IF(A501='Data Entry - SOF'!B$2,'Report-SOF2223'!D$91,0)</f>
        <v>0</v>
      </c>
      <c r="S501" s="723">
        <f>IF(A501='Data Entry - SOF'!B$2,'Data Entry - SOF'!Q$102,0)</f>
        <v>0</v>
      </c>
      <c r="T501" s="601">
        <f t="shared" si="47"/>
        <v>4244730</v>
      </c>
      <c r="U501" s="944">
        <f>IF(A501='Data Entry - SOF'!B$2,'Report-SOF2324'!D$91,0)</f>
        <v>0</v>
      </c>
      <c r="V501" s="723">
        <f>IF(A501='Data Entry - SOF'!B$2,'Data Entry - SOF'!S$102,0)</f>
        <v>0</v>
      </c>
    </row>
    <row r="502" spans="1:22" ht="15.75">
      <c r="A502" s="382" t="s">
        <v>1058</v>
      </c>
      <c r="B502" s="91">
        <v>24081788</v>
      </c>
      <c r="C502" s="944">
        <f>IF(A502='Data Entry - SOF'!B$2,'Report-SOF1718'!D$102,0)</f>
        <v>0</v>
      </c>
      <c r="D502" s="1037">
        <f>IF(A502='Data Entry - SOF'!B$2,'Data Entry - SOF'!#REF!,0)</f>
        <v>0</v>
      </c>
      <c r="E502" s="91">
        <f t="shared" si="42"/>
        <v>24081788</v>
      </c>
      <c r="F502" s="944">
        <f>IF(A502='Data Entry - SOF'!B$2,'Report-SOF1819'!D$102,0)</f>
        <v>0</v>
      </c>
      <c r="G502" s="1037">
        <f>IF(A502='Data Entry - SOF'!B$2,'Data Entry - SOF'!E$102,0)</f>
        <v>0</v>
      </c>
      <c r="H502" s="1038">
        <f t="shared" si="44"/>
        <v>24081788</v>
      </c>
      <c r="I502" s="944">
        <f>IF(A502='Data Entry - SOF'!B$2,'Report-SOF1920-HB3'!D$102,0)</f>
        <v>0</v>
      </c>
      <c r="J502" s="1037">
        <f>IF(A502='Data Entry - SOF'!B$2,'Data Entry - SOF'!G$102,0)</f>
        <v>0</v>
      </c>
      <c r="K502" s="717">
        <f t="shared" si="45"/>
        <v>24081788</v>
      </c>
      <c r="L502" s="944">
        <f>IF(A502='Data Entry - SOF'!B$2,'Report-SOF2021'!D$99,0)</f>
        <v>0</v>
      </c>
      <c r="M502" s="723">
        <f>IF(A502='Data Entry - SOF'!B$2,'Data Entry - SOF'!M$102,0)</f>
        <v>0</v>
      </c>
      <c r="N502" s="717">
        <f t="shared" si="46"/>
        <v>24081788</v>
      </c>
      <c r="O502" s="944">
        <f>IF(A502='Data Entry - SOF'!B$2,'Report-SOF2122'!D$91,0)</f>
        <v>0</v>
      </c>
      <c r="P502" s="723">
        <f>IF(A502='Data Entry - SOF'!B$2,'Data Entry - SOF'!O$102,0)</f>
        <v>0</v>
      </c>
      <c r="Q502" s="601">
        <f t="shared" si="43"/>
        <v>24081788</v>
      </c>
      <c r="R502" s="944">
        <f>IF(A502='Data Entry - SOF'!B$2,'Report-SOF2223'!D$91,0)</f>
        <v>0</v>
      </c>
      <c r="S502" s="723">
        <f>IF(A502='Data Entry - SOF'!B$2,'Data Entry - SOF'!Q$102,0)</f>
        <v>0</v>
      </c>
      <c r="T502" s="601">
        <f t="shared" si="47"/>
        <v>24081788</v>
      </c>
      <c r="U502" s="944">
        <f>IF(A502='Data Entry - SOF'!B$2,'Report-SOF2324'!D$91,0)</f>
        <v>0</v>
      </c>
      <c r="V502" s="723">
        <f>IF(A502='Data Entry - SOF'!B$2,'Data Entry - SOF'!S$102,0)</f>
        <v>0</v>
      </c>
    </row>
    <row r="503" spans="1:22" ht="15.75">
      <c r="A503" s="382" t="s">
        <v>1944</v>
      </c>
      <c r="B503" s="91">
        <v>1283034</v>
      </c>
      <c r="C503" s="944">
        <f>IF(A503='Data Entry - SOF'!B$2,'Report-SOF1718'!D$102,0)</f>
        <v>0</v>
      </c>
      <c r="D503" s="1037">
        <f>IF(A503='Data Entry - SOF'!B$2,'Data Entry - SOF'!#REF!,0)</f>
        <v>0</v>
      </c>
      <c r="E503" s="91">
        <f t="shared" si="42"/>
        <v>1283034</v>
      </c>
      <c r="F503" s="944">
        <f>IF(A503='Data Entry - SOF'!B$2,'Report-SOF1819'!D$102,0)</f>
        <v>0</v>
      </c>
      <c r="G503" s="1037">
        <f>IF(A503='Data Entry - SOF'!B$2,'Data Entry - SOF'!E$102,0)</f>
        <v>0</v>
      </c>
      <c r="H503" s="1038">
        <f t="shared" si="44"/>
        <v>1283034</v>
      </c>
      <c r="I503" s="944">
        <f>IF(A503='Data Entry - SOF'!B$2,'Report-SOF1920-HB3'!D$102,0)</f>
        <v>0</v>
      </c>
      <c r="J503" s="1037">
        <f>IF(A503='Data Entry - SOF'!B$2,'Data Entry - SOF'!G$102,0)</f>
        <v>0</v>
      </c>
      <c r="K503" s="717">
        <f t="shared" si="45"/>
        <v>1283034</v>
      </c>
      <c r="L503" s="944">
        <f>IF(A503='Data Entry - SOF'!B$2,'Report-SOF2021'!D$99,0)</f>
        <v>0</v>
      </c>
      <c r="M503" s="723">
        <f>IF(A503='Data Entry - SOF'!B$2,'Data Entry - SOF'!M$102,0)</f>
        <v>0</v>
      </c>
      <c r="N503" s="717">
        <f t="shared" si="46"/>
        <v>1283034</v>
      </c>
      <c r="O503" s="944">
        <f>IF(A503='Data Entry - SOF'!B$2,'Report-SOF2122'!D$91,0)</f>
        <v>0</v>
      </c>
      <c r="P503" s="723">
        <f>IF(A503='Data Entry - SOF'!B$2,'Data Entry - SOF'!O$102,0)</f>
        <v>0</v>
      </c>
      <c r="Q503" s="601">
        <f t="shared" si="43"/>
        <v>1283034</v>
      </c>
      <c r="R503" s="944">
        <f>IF(A503='Data Entry - SOF'!B$2,'Report-SOF2223'!D$91,0)</f>
        <v>0</v>
      </c>
      <c r="S503" s="723">
        <f>IF(A503='Data Entry - SOF'!B$2,'Data Entry - SOF'!Q$102,0)</f>
        <v>0</v>
      </c>
      <c r="T503" s="601">
        <f t="shared" si="47"/>
        <v>1283034</v>
      </c>
      <c r="U503" s="944">
        <f>IF(A503='Data Entry - SOF'!B$2,'Report-SOF2324'!D$91,0)</f>
        <v>0</v>
      </c>
      <c r="V503" s="723">
        <f>IF(A503='Data Entry - SOF'!B$2,'Data Entry - SOF'!S$102,0)</f>
        <v>0</v>
      </c>
    </row>
    <row r="504" spans="1:22" ht="15.75">
      <c r="A504" s="382" t="s">
        <v>1584</v>
      </c>
      <c r="B504" s="91">
        <v>2726315</v>
      </c>
      <c r="C504" s="944">
        <f>IF(A504='Data Entry - SOF'!B$2,'Report-SOF1718'!D$102,0)</f>
        <v>0</v>
      </c>
      <c r="D504" s="1037">
        <f>IF(A504='Data Entry - SOF'!B$2,'Data Entry - SOF'!#REF!,0)</f>
        <v>0</v>
      </c>
      <c r="E504" s="91">
        <f t="shared" si="42"/>
        <v>2726315</v>
      </c>
      <c r="F504" s="944">
        <f>IF(A504='Data Entry - SOF'!B$2,'Report-SOF1819'!D$102,0)</f>
        <v>0</v>
      </c>
      <c r="G504" s="1037">
        <f>IF(A504='Data Entry - SOF'!B$2,'Data Entry - SOF'!E$102,0)</f>
        <v>0</v>
      </c>
      <c r="H504" s="1038">
        <f t="shared" si="44"/>
        <v>2726315</v>
      </c>
      <c r="I504" s="944">
        <f>IF(A504='Data Entry - SOF'!B$2,'Report-SOF1920-HB3'!D$102,0)</f>
        <v>0</v>
      </c>
      <c r="J504" s="1037">
        <f>IF(A504='Data Entry - SOF'!B$2,'Data Entry - SOF'!G$102,0)</f>
        <v>0</v>
      </c>
      <c r="K504" s="717">
        <f t="shared" si="45"/>
        <v>2726315</v>
      </c>
      <c r="L504" s="944">
        <f>IF(A504='Data Entry - SOF'!B$2,'Report-SOF2021'!D$99,0)</f>
        <v>0</v>
      </c>
      <c r="M504" s="723">
        <f>IF(A504='Data Entry - SOF'!B$2,'Data Entry - SOF'!M$102,0)</f>
        <v>0</v>
      </c>
      <c r="N504" s="717">
        <f t="shared" si="46"/>
        <v>2726315</v>
      </c>
      <c r="O504" s="944">
        <f>IF(A504='Data Entry - SOF'!B$2,'Report-SOF2122'!D$91,0)</f>
        <v>0</v>
      </c>
      <c r="P504" s="723">
        <f>IF(A504='Data Entry - SOF'!B$2,'Data Entry - SOF'!O$102,0)</f>
        <v>0</v>
      </c>
      <c r="Q504" s="601">
        <f t="shared" si="43"/>
        <v>2726315</v>
      </c>
      <c r="R504" s="944">
        <f>IF(A504='Data Entry - SOF'!B$2,'Report-SOF2223'!D$91,0)</f>
        <v>0</v>
      </c>
      <c r="S504" s="723">
        <f>IF(A504='Data Entry - SOF'!B$2,'Data Entry - SOF'!Q$102,0)</f>
        <v>0</v>
      </c>
      <c r="T504" s="601">
        <f t="shared" si="47"/>
        <v>2726315</v>
      </c>
      <c r="U504" s="944">
        <f>IF(A504='Data Entry - SOF'!B$2,'Report-SOF2324'!D$91,0)</f>
        <v>0</v>
      </c>
      <c r="V504" s="723">
        <f>IF(A504='Data Entry - SOF'!B$2,'Data Entry - SOF'!S$102,0)</f>
        <v>0</v>
      </c>
    </row>
    <row r="505" spans="1:22" ht="15.75">
      <c r="A505" s="382" t="s">
        <v>245</v>
      </c>
      <c r="B505" s="91">
        <v>631358</v>
      </c>
      <c r="C505" s="944">
        <f>IF(A505='Data Entry - SOF'!B$2,'Report-SOF1718'!D$102,0)</f>
        <v>0</v>
      </c>
      <c r="D505" s="1037">
        <f>IF(A505='Data Entry - SOF'!B$2,'Data Entry - SOF'!#REF!,0)</f>
        <v>0</v>
      </c>
      <c r="E505" s="91">
        <f t="shared" si="42"/>
        <v>631358</v>
      </c>
      <c r="F505" s="944">
        <f>IF(A505='Data Entry - SOF'!B$2,'Report-SOF1819'!D$102,0)</f>
        <v>0</v>
      </c>
      <c r="G505" s="1037">
        <f>IF(A505='Data Entry - SOF'!B$2,'Data Entry - SOF'!E$102,0)</f>
        <v>0</v>
      </c>
      <c r="H505" s="1038">
        <f t="shared" si="44"/>
        <v>631358</v>
      </c>
      <c r="I505" s="944">
        <f>IF(A505='Data Entry - SOF'!B$2,'Report-SOF1920-HB3'!D$102,0)</f>
        <v>0</v>
      </c>
      <c r="J505" s="1037">
        <f>IF(A505='Data Entry - SOF'!B$2,'Data Entry - SOF'!G$102,0)</f>
        <v>0</v>
      </c>
      <c r="K505" s="717">
        <f t="shared" si="45"/>
        <v>631358</v>
      </c>
      <c r="L505" s="944">
        <f>IF(A505='Data Entry - SOF'!B$2,'Report-SOF2021'!D$99,0)</f>
        <v>0</v>
      </c>
      <c r="M505" s="723">
        <f>IF(A505='Data Entry - SOF'!B$2,'Data Entry - SOF'!M$102,0)</f>
        <v>0</v>
      </c>
      <c r="N505" s="717">
        <f t="shared" si="46"/>
        <v>631358</v>
      </c>
      <c r="O505" s="944">
        <f>IF(A505='Data Entry - SOF'!B$2,'Report-SOF2122'!D$91,0)</f>
        <v>0</v>
      </c>
      <c r="P505" s="723">
        <f>IF(A505='Data Entry - SOF'!B$2,'Data Entry - SOF'!O$102,0)</f>
        <v>0</v>
      </c>
      <c r="Q505" s="601">
        <f t="shared" si="43"/>
        <v>631358</v>
      </c>
      <c r="R505" s="944">
        <f>IF(A505='Data Entry - SOF'!B$2,'Report-SOF2223'!D$91,0)</f>
        <v>0</v>
      </c>
      <c r="S505" s="723">
        <f>IF(A505='Data Entry - SOF'!B$2,'Data Entry - SOF'!Q$102,0)</f>
        <v>0</v>
      </c>
      <c r="T505" s="601">
        <f t="shared" si="47"/>
        <v>631358</v>
      </c>
      <c r="U505" s="944">
        <f>IF(A505='Data Entry - SOF'!B$2,'Report-SOF2324'!D$91,0)</f>
        <v>0</v>
      </c>
      <c r="V505" s="723">
        <f>IF(A505='Data Entry - SOF'!B$2,'Data Entry - SOF'!S$102,0)</f>
        <v>0</v>
      </c>
    </row>
    <row r="506" spans="1:22" ht="15.75">
      <c r="A506" s="382" t="s">
        <v>1059</v>
      </c>
      <c r="B506" s="91">
        <v>287240</v>
      </c>
      <c r="C506" s="944">
        <f>IF(A506='Data Entry - SOF'!B$2,'Report-SOF1718'!D$102,0)</f>
        <v>0</v>
      </c>
      <c r="D506" s="1037">
        <f>IF(A506='Data Entry - SOF'!B$2,'Data Entry - SOF'!#REF!,0)</f>
        <v>0</v>
      </c>
      <c r="E506" s="91">
        <f t="shared" si="42"/>
        <v>287240</v>
      </c>
      <c r="F506" s="944">
        <f>IF(A506='Data Entry - SOF'!B$2,'Report-SOF1819'!D$102,0)</f>
        <v>0</v>
      </c>
      <c r="G506" s="1037">
        <f>IF(A506='Data Entry - SOF'!B$2,'Data Entry - SOF'!E$102,0)</f>
        <v>0</v>
      </c>
      <c r="H506" s="1038">
        <f t="shared" si="44"/>
        <v>287240</v>
      </c>
      <c r="I506" s="944">
        <f>IF(A506='Data Entry - SOF'!B$2,'Report-SOF1920-HB3'!D$102,0)</f>
        <v>0</v>
      </c>
      <c r="J506" s="1037">
        <f>IF(A506='Data Entry - SOF'!B$2,'Data Entry - SOF'!G$102,0)</f>
        <v>0</v>
      </c>
      <c r="K506" s="717">
        <f t="shared" si="45"/>
        <v>287240</v>
      </c>
      <c r="L506" s="944">
        <f>IF(A506='Data Entry - SOF'!B$2,'Report-SOF2021'!D$99,0)</f>
        <v>0</v>
      </c>
      <c r="M506" s="723">
        <f>IF(A506='Data Entry - SOF'!B$2,'Data Entry - SOF'!M$102,0)</f>
        <v>0</v>
      </c>
      <c r="N506" s="717">
        <f t="shared" si="46"/>
        <v>287240</v>
      </c>
      <c r="O506" s="944">
        <f>IF(A506='Data Entry - SOF'!B$2,'Report-SOF2122'!D$91,0)</f>
        <v>0</v>
      </c>
      <c r="P506" s="723">
        <f>IF(A506='Data Entry - SOF'!B$2,'Data Entry - SOF'!O$102,0)</f>
        <v>0</v>
      </c>
      <c r="Q506" s="601">
        <f t="shared" si="43"/>
        <v>287240</v>
      </c>
      <c r="R506" s="944">
        <f>IF(A506='Data Entry - SOF'!B$2,'Report-SOF2223'!D$91,0)</f>
        <v>0</v>
      </c>
      <c r="S506" s="723">
        <f>IF(A506='Data Entry - SOF'!B$2,'Data Entry - SOF'!Q$102,0)</f>
        <v>0</v>
      </c>
      <c r="T506" s="601">
        <f t="shared" si="47"/>
        <v>287240</v>
      </c>
      <c r="U506" s="944">
        <f>IF(A506='Data Entry - SOF'!B$2,'Report-SOF2324'!D$91,0)</f>
        <v>0</v>
      </c>
      <c r="V506" s="723">
        <f>IF(A506='Data Entry - SOF'!B$2,'Data Entry - SOF'!S$102,0)</f>
        <v>0</v>
      </c>
    </row>
    <row r="507" spans="1:22" ht="15.75">
      <c r="A507" s="382" t="s">
        <v>875</v>
      </c>
      <c r="B507" s="91">
        <v>2472567</v>
      </c>
      <c r="C507" s="944">
        <f>IF(A507='Data Entry - SOF'!B$2,'Report-SOF1718'!D$102,0)</f>
        <v>0</v>
      </c>
      <c r="D507" s="1037">
        <f>IF(A507='Data Entry - SOF'!B$2,'Data Entry - SOF'!#REF!,0)</f>
        <v>0</v>
      </c>
      <c r="E507" s="91">
        <f t="shared" si="42"/>
        <v>2472567</v>
      </c>
      <c r="F507" s="944">
        <f>IF(A507='Data Entry - SOF'!B$2,'Report-SOF1819'!D$102,0)</f>
        <v>0</v>
      </c>
      <c r="G507" s="1037">
        <f>IF(A507='Data Entry - SOF'!B$2,'Data Entry - SOF'!E$102,0)</f>
        <v>0</v>
      </c>
      <c r="H507" s="1038">
        <f t="shared" si="44"/>
        <v>2472567</v>
      </c>
      <c r="I507" s="944">
        <f>IF(A507='Data Entry - SOF'!B$2,'Report-SOF1920-HB3'!D$102,0)</f>
        <v>0</v>
      </c>
      <c r="J507" s="1037">
        <f>IF(A507='Data Entry - SOF'!B$2,'Data Entry - SOF'!G$102,0)</f>
        <v>0</v>
      </c>
      <c r="K507" s="717">
        <f t="shared" si="45"/>
        <v>2472567</v>
      </c>
      <c r="L507" s="944">
        <f>IF(A507='Data Entry - SOF'!B$2,'Report-SOF2021'!D$99,0)</f>
        <v>0</v>
      </c>
      <c r="M507" s="723">
        <f>IF(A507='Data Entry - SOF'!B$2,'Data Entry - SOF'!M$102,0)</f>
        <v>0</v>
      </c>
      <c r="N507" s="717">
        <f t="shared" si="46"/>
        <v>2472567</v>
      </c>
      <c r="O507" s="944">
        <f>IF(A507='Data Entry - SOF'!B$2,'Report-SOF2122'!D$91,0)</f>
        <v>0</v>
      </c>
      <c r="P507" s="723">
        <f>IF(A507='Data Entry - SOF'!B$2,'Data Entry - SOF'!O$102,0)</f>
        <v>0</v>
      </c>
      <c r="Q507" s="601">
        <f t="shared" si="43"/>
        <v>2472567</v>
      </c>
      <c r="R507" s="944">
        <f>IF(A507='Data Entry - SOF'!B$2,'Report-SOF2223'!D$91,0)</f>
        <v>0</v>
      </c>
      <c r="S507" s="723">
        <f>IF(A507='Data Entry - SOF'!B$2,'Data Entry - SOF'!Q$102,0)</f>
        <v>0</v>
      </c>
      <c r="T507" s="601">
        <f t="shared" si="47"/>
        <v>2472567</v>
      </c>
      <c r="U507" s="944">
        <f>IF(A507='Data Entry - SOF'!B$2,'Report-SOF2324'!D$91,0)</f>
        <v>0</v>
      </c>
      <c r="V507" s="723">
        <f>IF(A507='Data Entry - SOF'!B$2,'Data Entry - SOF'!S$102,0)</f>
        <v>0</v>
      </c>
    </row>
    <row r="508" spans="1:22" ht="15.75">
      <c r="A508" s="382" t="s">
        <v>1844</v>
      </c>
      <c r="B508" s="91">
        <v>158304</v>
      </c>
      <c r="C508" s="944">
        <f>IF(A508='Data Entry - SOF'!B$2,'Report-SOF1718'!D$102,0)</f>
        <v>0</v>
      </c>
      <c r="D508" s="1037">
        <f>IF(A508='Data Entry - SOF'!B$2,'Data Entry - SOF'!#REF!,0)</f>
        <v>0</v>
      </c>
      <c r="E508" s="91">
        <f t="shared" si="42"/>
        <v>158304</v>
      </c>
      <c r="F508" s="944">
        <f>IF(A508='Data Entry - SOF'!B$2,'Report-SOF1819'!D$102,0)</f>
        <v>0</v>
      </c>
      <c r="G508" s="1037">
        <f>IF(A508='Data Entry - SOF'!B$2,'Data Entry - SOF'!E$102,0)</f>
        <v>0</v>
      </c>
      <c r="H508" s="1038">
        <f t="shared" si="44"/>
        <v>158304</v>
      </c>
      <c r="I508" s="944">
        <f>IF(A508='Data Entry - SOF'!B$2,'Report-SOF1920-HB3'!D$102,0)</f>
        <v>0</v>
      </c>
      <c r="J508" s="1037">
        <f>IF(A508='Data Entry - SOF'!B$2,'Data Entry - SOF'!G$102,0)</f>
        <v>0</v>
      </c>
      <c r="K508" s="717">
        <f t="shared" si="45"/>
        <v>158304</v>
      </c>
      <c r="L508" s="944">
        <f>IF(A508='Data Entry - SOF'!B$2,'Report-SOF2021'!D$99,0)</f>
        <v>0</v>
      </c>
      <c r="M508" s="723">
        <f>IF(A508='Data Entry - SOF'!B$2,'Data Entry - SOF'!M$102,0)</f>
        <v>0</v>
      </c>
      <c r="N508" s="717">
        <f t="shared" si="46"/>
        <v>158304</v>
      </c>
      <c r="O508" s="944">
        <f>IF(A508='Data Entry - SOF'!B$2,'Report-SOF2122'!D$91,0)</f>
        <v>0</v>
      </c>
      <c r="P508" s="723">
        <f>IF(A508='Data Entry - SOF'!B$2,'Data Entry - SOF'!O$102,0)</f>
        <v>0</v>
      </c>
      <c r="Q508" s="601">
        <f t="shared" si="43"/>
        <v>158304</v>
      </c>
      <c r="R508" s="944">
        <f>IF(A508='Data Entry - SOF'!B$2,'Report-SOF2223'!D$91,0)</f>
        <v>0</v>
      </c>
      <c r="S508" s="723">
        <f>IF(A508='Data Entry - SOF'!B$2,'Data Entry - SOF'!Q$102,0)</f>
        <v>0</v>
      </c>
      <c r="T508" s="601">
        <f t="shared" si="47"/>
        <v>158304</v>
      </c>
      <c r="U508" s="944">
        <f>IF(A508='Data Entry - SOF'!B$2,'Report-SOF2324'!D$91,0)</f>
        <v>0</v>
      </c>
      <c r="V508" s="723">
        <f>IF(A508='Data Entry - SOF'!B$2,'Data Entry - SOF'!S$102,0)</f>
        <v>0</v>
      </c>
    </row>
    <row r="509" spans="1:22" ht="15.75">
      <c r="A509" s="382" t="s">
        <v>1060</v>
      </c>
      <c r="B509" s="91">
        <v>4999118</v>
      </c>
      <c r="C509" s="944">
        <f>IF(A509='Data Entry - SOF'!B$2,'Report-SOF1718'!D$102,0)</f>
        <v>0</v>
      </c>
      <c r="D509" s="1037">
        <f>IF(A509='Data Entry - SOF'!B$2,'Data Entry - SOF'!#REF!,0)</f>
        <v>0</v>
      </c>
      <c r="E509" s="91">
        <f t="shared" si="42"/>
        <v>4999118</v>
      </c>
      <c r="F509" s="944">
        <f>IF(A509='Data Entry - SOF'!B$2,'Report-SOF1819'!D$102,0)</f>
        <v>0</v>
      </c>
      <c r="G509" s="1037">
        <f>IF(A509='Data Entry - SOF'!B$2,'Data Entry - SOF'!E$102,0)</f>
        <v>0</v>
      </c>
      <c r="H509" s="1038">
        <f t="shared" si="44"/>
        <v>4999118</v>
      </c>
      <c r="I509" s="944">
        <f>IF(A509='Data Entry - SOF'!B$2,'Report-SOF1920-HB3'!D$102,0)</f>
        <v>0</v>
      </c>
      <c r="J509" s="1037">
        <f>IF(A509='Data Entry - SOF'!B$2,'Data Entry - SOF'!G$102,0)</f>
        <v>0</v>
      </c>
      <c r="K509" s="717">
        <f t="shared" si="45"/>
        <v>4999118</v>
      </c>
      <c r="L509" s="944">
        <f>IF(A509='Data Entry - SOF'!B$2,'Report-SOF2021'!D$99,0)</f>
        <v>0</v>
      </c>
      <c r="M509" s="723">
        <f>IF(A509='Data Entry - SOF'!B$2,'Data Entry - SOF'!M$102,0)</f>
        <v>0</v>
      </c>
      <c r="N509" s="717">
        <f t="shared" si="46"/>
        <v>4999118</v>
      </c>
      <c r="O509" s="944">
        <f>IF(A509='Data Entry - SOF'!B$2,'Report-SOF2122'!D$91,0)</f>
        <v>0</v>
      </c>
      <c r="P509" s="723">
        <f>IF(A509='Data Entry - SOF'!B$2,'Data Entry - SOF'!O$102,0)</f>
        <v>0</v>
      </c>
      <c r="Q509" s="601">
        <f t="shared" si="43"/>
        <v>4999118</v>
      </c>
      <c r="R509" s="944">
        <f>IF(A509='Data Entry - SOF'!B$2,'Report-SOF2223'!D$91,0)</f>
        <v>0</v>
      </c>
      <c r="S509" s="723">
        <f>IF(A509='Data Entry - SOF'!B$2,'Data Entry - SOF'!Q$102,0)</f>
        <v>0</v>
      </c>
      <c r="T509" s="601">
        <f t="shared" si="47"/>
        <v>4999118</v>
      </c>
      <c r="U509" s="944">
        <f>IF(A509='Data Entry - SOF'!B$2,'Report-SOF2324'!D$91,0)</f>
        <v>0</v>
      </c>
      <c r="V509" s="723">
        <f>IF(A509='Data Entry - SOF'!B$2,'Data Entry - SOF'!S$102,0)</f>
        <v>0</v>
      </c>
    </row>
    <row r="510" spans="1:22" ht="15.75">
      <c r="A510" s="382" t="s">
        <v>2140</v>
      </c>
      <c r="B510" s="91">
        <v>636114</v>
      </c>
      <c r="C510" s="944">
        <f>IF(A510='Data Entry - SOF'!B$2,'Report-SOF1718'!D$102,0)</f>
        <v>0</v>
      </c>
      <c r="D510" s="1037">
        <f>IF(A510='Data Entry - SOF'!B$2,'Data Entry - SOF'!#REF!,0)</f>
        <v>0</v>
      </c>
      <c r="E510" s="91">
        <f t="shared" si="42"/>
        <v>636114</v>
      </c>
      <c r="F510" s="944">
        <f>IF(A510='Data Entry - SOF'!B$2,'Report-SOF1819'!D$102,0)</f>
        <v>0</v>
      </c>
      <c r="G510" s="1037">
        <f>IF(A510='Data Entry - SOF'!B$2,'Data Entry - SOF'!E$102,0)</f>
        <v>0</v>
      </c>
      <c r="H510" s="1038">
        <f t="shared" si="44"/>
        <v>636114</v>
      </c>
      <c r="I510" s="944">
        <f>IF(A510='Data Entry - SOF'!B$2,'Report-SOF1920-HB3'!D$102,0)</f>
        <v>0</v>
      </c>
      <c r="J510" s="1037">
        <f>IF(A510='Data Entry - SOF'!B$2,'Data Entry - SOF'!G$102,0)</f>
        <v>0</v>
      </c>
      <c r="K510" s="717">
        <f t="shared" si="45"/>
        <v>636114</v>
      </c>
      <c r="L510" s="944">
        <f>IF(A510='Data Entry - SOF'!B$2,'Report-SOF2021'!D$99,0)</f>
        <v>0</v>
      </c>
      <c r="M510" s="723">
        <f>IF(A510='Data Entry - SOF'!B$2,'Data Entry - SOF'!M$102,0)</f>
        <v>0</v>
      </c>
      <c r="N510" s="717">
        <f t="shared" si="46"/>
        <v>636114</v>
      </c>
      <c r="O510" s="944">
        <f>IF(A510='Data Entry - SOF'!B$2,'Report-SOF2122'!D$91,0)</f>
        <v>0</v>
      </c>
      <c r="P510" s="723">
        <f>IF(A510='Data Entry - SOF'!B$2,'Data Entry - SOF'!O$102,0)</f>
        <v>0</v>
      </c>
      <c r="Q510" s="601">
        <f t="shared" si="43"/>
        <v>636114</v>
      </c>
      <c r="R510" s="944">
        <f>IF(A510='Data Entry - SOF'!B$2,'Report-SOF2223'!D$91,0)</f>
        <v>0</v>
      </c>
      <c r="S510" s="723">
        <f>IF(A510='Data Entry - SOF'!B$2,'Data Entry - SOF'!Q$102,0)</f>
        <v>0</v>
      </c>
      <c r="T510" s="601">
        <f t="shared" si="47"/>
        <v>636114</v>
      </c>
      <c r="U510" s="944">
        <f>IF(A510='Data Entry - SOF'!B$2,'Report-SOF2324'!D$91,0)</f>
        <v>0</v>
      </c>
      <c r="V510" s="723">
        <f>IF(A510='Data Entry - SOF'!B$2,'Data Entry - SOF'!S$102,0)</f>
        <v>0</v>
      </c>
    </row>
    <row r="511" spans="1:22" ht="15.75">
      <c r="A511" s="382" t="s">
        <v>2141</v>
      </c>
      <c r="B511" s="91">
        <v>22325388</v>
      </c>
      <c r="C511" s="944">
        <f>IF(A511='Data Entry - SOF'!B$2,'Report-SOF1718'!D$102,0)</f>
        <v>0</v>
      </c>
      <c r="D511" s="1037">
        <f>IF(A511='Data Entry - SOF'!B$2,'Data Entry - SOF'!#REF!,0)</f>
        <v>0</v>
      </c>
      <c r="E511" s="91">
        <f t="shared" si="42"/>
        <v>22325388</v>
      </c>
      <c r="F511" s="944">
        <f>IF(A511='Data Entry - SOF'!B$2,'Report-SOF1819'!D$102,0)</f>
        <v>0</v>
      </c>
      <c r="G511" s="1037">
        <f>IF(A511='Data Entry - SOF'!B$2,'Data Entry - SOF'!E$102,0)</f>
        <v>0</v>
      </c>
      <c r="H511" s="1038">
        <f t="shared" si="44"/>
        <v>22325388</v>
      </c>
      <c r="I511" s="944">
        <f>IF(A511='Data Entry - SOF'!B$2,'Report-SOF1920-HB3'!D$102,0)</f>
        <v>0</v>
      </c>
      <c r="J511" s="1037">
        <f>IF(A511='Data Entry - SOF'!B$2,'Data Entry - SOF'!G$102,0)</f>
        <v>0</v>
      </c>
      <c r="K511" s="717">
        <f t="shared" si="45"/>
        <v>22325388</v>
      </c>
      <c r="L511" s="944">
        <f>IF(A511='Data Entry - SOF'!B$2,'Report-SOF2021'!D$99,0)</f>
        <v>0</v>
      </c>
      <c r="M511" s="723">
        <f>IF(A511='Data Entry - SOF'!B$2,'Data Entry - SOF'!M$102,0)</f>
        <v>0</v>
      </c>
      <c r="N511" s="717">
        <f t="shared" si="46"/>
        <v>22325388</v>
      </c>
      <c r="O511" s="944">
        <f>IF(A511='Data Entry - SOF'!B$2,'Report-SOF2122'!D$91,0)</f>
        <v>0</v>
      </c>
      <c r="P511" s="723">
        <f>IF(A511='Data Entry - SOF'!B$2,'Data Entry - SOF'!O$102,0)</f>
        <v>0</v>
      </c>
      <c r="Q511" s="601">
        <f t="shared" si="43"/>
        <v>22325388</v>
      </c>
      <c r="R511" s="944">
        <f>IF(A511='Data Entry - SOF'!B$2,'Report-SOF2223'!D$91,0)</f>
        <v>0</v>
      </c>
      <c r="S511" s="723">
        <f>IF(A511='Data Entry - SOF'!B$2,'Data Entry - SOF'!Q$102,0)</f>
        <v>0</v>
      </c>
      <c r="T511" s="601">
        <f t="shared" si="47"/>
        <v>22325388</v>
      </c>
      <c r="U511" s="944">
        <f>IF(A511='Data Entry - SOF'!B$2,'Report-SOF2324'!D$91,0)</f>
        <v>0</v>
      </c>
      <c r="V511" s="723">
        <f>IF(A511='Data Entry - SOF'!B$2,'Data Entry - SOF'!S$102,0)</f>
        <v>0</v>
      </c>
    </row>
    <row r="512" spans="1:22" ht="15.75">
      <c r="A512" s="382" t="s">
        <v>1259</v>
      </c>
      <c r="B512" s="91">
        <v>213620</v>
      </c>
      <c r="C512" s="944">
        <f>IF(A512='Data Entry - SOF'!B$2,'Report-SOF1718'!D$102,0)</f>
        <v>0</v>
      </c>
      <c r="D512" s="1037">
        <f>IF(A512='Data Entry - SOF'!B$2,'Data Entry - SOF'!#REF!,0)</f>
        <v>0</v>
      </c>
      <c r="E512" s="91">
        <f t="shared" si="42"/>
        <v>213620</v>
      </c>
      <c r="F512" s="944">
        <f>IF(A512='Data Entry - SOF'!B$2,'Report-SOF1819'!D$102,0)</f>
        <v>0</v>
      </c>
      <c r="G512" s="1037">
        <f>IF(A512='Data Entry - SOF'!B$2,'Data Entry - SOF'!E$102,0)</f>
        <v>0</v>
      </c>
      <c r="H512" s="1038">
        <f t="shared" si="44"/>
        <v>213620</v>
      </c>
      <c r="I512" s="944">
        <f>IF(A512='Data Entry - SOF'!B$2,'Report-SOF1920-HB3'!D$102,0)</f>
        <v>0</v>
      </c>
      <c r="J512" s="1037">
        <f>IF(A512='Data Entry - SOF'!B$2,'Data Entry - SOF'!G$102,0)</f>
        <v>0</v>
      </c>
      <c r="K512" s="717">
        <f t="shared" si="45"/>
        <v>213620</v>
      </c>
      <c r="L512" s="944">
        <f>IF(A512='Data Entry - SOF'!B$2,'Report-SOF2021'!D$99,0)</f>
        <v>0</v>
      </c>
      <c r="M512" s="723">
        <f>IF(A512='Data Entry - SOF'!B$2,'Data Entry - SOF'!M$102,0)</f>
        <v>0</v>
      </c>
      <c r="N512" s="717">
        <f t="shared" si="46"/>
        <v>213620</v>
      </c>
      <c r="O512" s="944">
        <f>IF(A512='Data Entry - SOF'!B$2,'Report-SOF2122'!D$91,0)</f>
        <v>0</v>
      </c>
      <c r="P512" s="723">
        <f>IF(A512='Data Entry - SOF'!B$2,'Data Entry - SOF'!O$102,0)</f>
        <v>0</v>
      </c>
      <c r="Q512" s="601">
        <f t="shared" si="43"/>
        <v>213620</v>
      </c>
      <c r="R512" s="944">
        <f>IF(A512='Data Entry - SOF'!B$2,'Report-SOF2223'!D$91,0)</f>
        <v>0</v>
      </c>
      <c r="S512" s="723">
        <f>IF(A512='Data Entry - SOF'!B$2,'Data Entry - SOF'!Q$102,0)</f>
        <v>0</v>
      </c>
      <c r="T512" s="601">
        <f t="shared" si="47"/>
        <v>213620</v>
      </c>
      <c r="U512" s="944">
        <f>IF(A512='Data Entry - SOF'!B$2,'Report-SOF2324'!D$91,0)</f>
        <v>0</v>
      </c>
      <c r="V512" s="723">
        <f>IF(A512='Data Entry - SOF'!B$2,'Data Entry - SOF'!S$102,0)</f>
        <v>0</v>
      </c>
    </row>
    <row r="513" spans="1:22" ht="15.75">
      <c r="A513" s="382" t="s">
        <v>1260</v>
      </c>
      <c r="B513" s="91">
        <v>21458507</v>
      </c>
      <c r="C513" s="944">
        <f>IF(A513='Data Entry - SOF'!B$2,'Report-SOF1718'!D$102,0)</f>
        <v>0</v>
      </c>
      <c r="D513" s="1037">
        <f>IF(A513='Data Entry - SOF'!B$2,'Data Entry - SOF'!#REF!,0)</f>
        <v>0</v>
      </c>
      <c r="E513" s="91">
        <f t="shared" si="42"/>
        <v>21458507</v>
      </c>
      <c r="F513" s="944">
        <f>IF(A513='Data Entry - SOF'!B$2,'Report-SOF1819'!D$102,0)</f>
        <v>0</v>
      </c>
      <c r="G513" s="1037">
        <f>IF(A513='Data Entry - SOF'!B$2,'Data Entry - SOF'!E$102,0)</f>
        <v>0</v>
      </c>
      <c r="H513" s="1038">
        <f t="shared" si="44"/>
        <v>21458507</v>
      </c>
      <c r="I513" s="944">
        <f>IF(A513='Data Entry - SOF'!B$2,'Report-SOF1920-HB3'!D$102,0)</f>
        <v>0</v>
      </c>
      <c r="J513" s="1037">
        <f>IF(A513='Data Entry - SOF'!B$2,'Data Entry - SOF'!G$102,0)</f>
        <v>0</v>
      </c>
      <c r="K513" s="717">
        <f t="shared" si="45"/>
        <v>21458507</v>
      </c>
      <c r="L513" s="944">
        <f>IF(A513='Data Entry - SOF'!B$2,'Report-SOF2021'!D$99,0)</f>
        <v>0</v>
      </c>
      <c r="M513" s="723">
        <f>IF(A513='Data Entry - SOF'!B$2,'Data Entry - SOF'!M$102,0)</f>
        <v>0</v>
      </c>
      <c r="N513" s="717">
        <f t="shared" si="46"/>
        <v>21458507</v>
      </c>
      <c r="O513" s="944">
        <f>IF(A513='Data Entry - SOF'!B$2,'Report-SOF2122'!D$91,0)</f>
        <v>0</v>
      </c>
      <c r="P513" s="723">
        <f>IF(A513='Data Entry - SOF'!B$2,'Data Entry - SOF'!O$102,0)</f>
        <v>0</v>
      </c>
      <c r="Q513" s="601">
        <f t="shared" si="43"/>
        <v>21458507</v>
      </c>
      <c r="R513" s="944">
        <f>IF(A513='Data Entry - SOF'!B$2,'Report-SOF2223'!D$91,0)</f>
        <v>0</v>
      </c>
      <c r="S513" s="723">
        <f>IF(A513='Data Entry - SOF'!B$2,'Data Entry - SOF'!Q$102,0)</f>
        <v>0</v>
      </c>
      <c r="T513" s="601">
        <f t="shared" si="47"/>
        <v>21458507</v>
      </c>
      <c r="U513" s="944">
        <f>IF(A513='Data Entry - SOF'!B$2,'Report-SOF2324'!D$91,0)</f>
        <v>0</v>
      </c>
      <c r="V513" s="723">
        <f>IF(A513='Data Entry - SOF'!B$2,'Data Entry - SOF'!S$102,0)</f>
        <v>0</v>
      </c>
    </row>
    <row r="514" spans="1:22" ht="15.75">
      <c r="A514" s="382" t="s">
        <v>923</v>
      </c>
      <c r="B514" s="91">
        <v>9237729</v>
      </c>
      <c r="C514" s="944">
        <f>IF(A514='Data Entry - SOF'!B$2,'Report-SOF1718'!D$102,0)</f>
        <v>0</v>
      </c>
      <c r="D514" s="1037">
        <f>IF(A514='Data Entry - SOF'!B$2,'Data Entry - SOF'!#REF!,0)</f>
        <v>0</v>
      </c>
      <c r="E514" s="91">
        <f t="shared" si="42"/>
        <v>9237729</v>
      </c>
      <c r="F514" s="944">
        <f>IF(A514='Data Entry - SOF'!B$2,'Report-SOF1819'!D$102,0)</f>
        <v>0</v>
      </c>
      <c r="G514" s="1037">
        <f>IF(A514='Data Entry - SOF'!B$2,'Data Entry - SOF'!E$102,0)</f>
        <v>0</v>
      </c>
      <c r="H514" s="1038">
        <f t="shared" si="44"/>
        <v>9237729</v>
      </c>
      <c r="I514" s="944">
        <f>IF(A514='Data Entry - SOF'!B$2,'Report-SOF1920-HB3'!D$102,0)</f>
        <v>0</v>
      </c>
      <c r="J514" s="1037">
        <f>IF(A514='Data Entry - SOF'!B$2,'Data Entry - SOF'!G$102,0)</f>
        <v>0</v>
      </c>
      <c r="K514" s="717">
        <f t="shared" si="45"/>
        <v>9237729</v>
      </c>
      <c r="L514" s="944">
        <f>IF(A514='Data Entry - SOF'!B$2,'Report-SOF2021'!D$99,0)</f>
        <v>0</v>
      </c>
      <c r="M514" s="723">
        <f>IF(A514='Data Entry - SOF'!B$2,'Data Entry - SOF'!M$102,0)</f>
        <v>0</v>
      </c>
      <c r="N514" s="717">
        <f t="shared" si="46"/>
        <v>9237729</v>
      </c>
      <c r="O514" s="944">
        <f>IF(A514='Data Entry - SOF'!B$2,'Report-SOF2122'!D$91,0)</f>
        <v>0</v>
      </c>
      <c r="P514" s="723">
        <f>IF(A514='Data Entry - SOF'!B$2,'Data Entry - SOF'!O$102,0)</f>
        <v>0</v>
      </c>
      <c r="Q514" s="601">
        <f t="shared" si="43"/>
        <v>9237729</v>
      </c>
      <c r="R514" s="944">
        <f>IF(A514='Data Entry - SOF'!B$2,'Report-SOF2223'!D$91,0)</f>
        <v>0</v>
      </c>
      <c r="S514" s="723">
        <f>IF(A514='Data Entry - SOF'!B$2,'Data Entry - SOF'!Q$102,0)</f>
        <v>0</v>
      </c>
      <c r="T514" s="601">
        <f t="shared" si="47"/>
        <v>9237729</v>
      </c>
      <c r="U514" s="944">
        <f>IF(A514='Data Entry - SOF'!B$2,'Report-SOF2324'!D$91,0)</f>
        <v>0</v>
      </c>
      <c r="V514" s="723">
        <f>IF(A514='Data Entry - SOF'!B$2,'Data Entry - SOF'!S$102,0)</f>
        <v>0</v>
      </c>
    </row>
    <row r="515" spans="1:22" ht="15.75">
      <c r="A515" s="382" t="s">
        <v>924</v>
      </c>
      <c r="B515" s="91">
        <v>36033961.056783698</v>
      </c>
      <c r="C515" s="944">
        <f>IF(A515='Data Entry - SOF'!B$2,'Report-SOF1718'!D$102,0)</f>
        <v>0</v>
      </c>
      <c r="D515" s="1037">
        <f>IF(A515='Data Entry - SOF'!B$2,'Data Entry - SOF'!#REF!,0)</f>
        <v>0</v>
      </c>
      <c r="E515" s="91">
        <f t="shared" si="42"/>
        <v>36033961.056783698</v>
      </c>
      <c r="F515" s="944">
        <f>IF(A515='Data Entry - SOF'!B$2,'Report-SOF1819'!D$102,0)</f>
        <v>0</v>
      </c>
      <c r="G515" s="1037">
        <f>IF(A515='Data Entry - SOF'!B$2,'Data Entry - SOF'!E$102,0)</f>
        <v>0</v>
      </c>
      <c r="H515" s="1038">
        <f t="shared" si="44"/>
        <v>36033961.056783698</v>
      </c>
      <c r="I515" s="944">
        <f>IF(A515='Data Entry - SOF'!B$2,'Report-SOF1920-HB3'!D$102,0)</f>
        <v>0</v>
      </c>
      <c r="J515" s="1037">
        <f>IF(A515='Data Entry - SOF'!B$2,'Data Entry - SOF'!G$102,0)</f>
        <v>0</v>
      </c>
      <c r="K515" s="717">
        <f t="shared" si="45"/>
        <v>36033961.056783698</v>
      </c>
      <c r="L515" s="944">
        <f>IF(A515='Data Entry - SOF'!B$2,'Report-SOF2021'!D$99,0)</f>
        <v>0</v>
      </c>
      <c r="M515" s="723">
        <f>IF(A515='Data Entry - SOF'!B$2,'Data Entry - SOF'!M$102,0)</f>
        <v>0</v>
      </c>
      <c r="N515" s="717">
        <f t="shared" si="46"/>
        <v>36033961.056783698</v>
      </c>
      <c r="O515" s="944">
        <f>IF(A515='Data Entry - SOF'!B$2,'Report-SOF2122'!D$91,0)</f>
        <v>0</v>
      </c>
      <c r="P515" s="723">
        <f>IF(A515='Data Entry - SOF'!B$2,'Data Entry - SOF'!O$102,0)</f>
        <v>0</v>
      </c>
      <c r="Q515" s="601">
        <f t="shared" si="43"/>
        <v>36033961.056783698</v>
      </c>
      <c r="R515" s="944">
        <f>IF(A515='Data Entry - SOF'!B$2,'Report-SOF2223'!D$91,0)</f>
        <v>0</v>
      </c>
      <c r="S515" s="723">
        <f>IF(A515='Data Entry - SOF'!B$2,'Data Entry - SOF'!Q$102,0)</f>
        <v>0</v>
      </c>
      <c r="T515" s="601">
        <f t="shared" si="47"/>
        <v>36033961.056783698</v>
      </c>
      <c r="U515" s="944">
        <f>IF(A515='Data Entry - SOF'!B$2,'Report-SOF2324'!D$91,0)</f>
        <v>0</v>
      </c>
      <c r="V515" s="723">
        <f>IF(A515='Data Entry - SOF'!B$2,'Data Entry - SOF'!S$102,0)</f>
        <v>0</v>
      </c>
    </row>
    <row r="516" spans="1:22" ht="15.75">
      <c r="A516" s="382" t="s">
        <v>925</v>
      </c>
      <c r="B516" s="91">
        <v>6240890.7166257696</v>
      </c>
      <c r="C516" s="944">
        <f>IF(A516='Data Entry - SOF'!B$2,'Report-SOF1718'!D$102,0)</f>
        <v>0</v>
      </c>
      <c r="D516" s="1037">
        <f>IF(A516='Data Entry - SOF'!B$2,'Data Entry - SOF'!#REF!,0)</f>
        <v>0</v>
      </c>
      <c r="E516" s="91">
        <f t="shared" ref="E516:E579" si="48">IF(B516+C516-D516&lt;=0,0,B516+C516-D516)</f>
        <v>6240890.7166257696</v>
      </c>
      <c r="F516" s="944">
        <f>IF(A516='Data Entry - SOF'!B$2,'Report-SOF1819'!D$102,0)</f>
        <v>0</v>
      </c>
      <c r="G516" s="1037">
        <f>IF(A516='Data Entry - SOF'!B$2,'Data Entry - SOF'!E$102,0)</f>
        <v>0</v>
      </c>
      <c r="H516" s="1038">
        <f t="shared" si="44"/>
        <v>6240890.7166257696</v>
      </c>
      <c r="I516" s="944">
        <f>IF(A516='Data Entry - SOF'!B$2,'Report-SOF1920-HB3'!D$102,0)</f>
        <v>0</v>
      </c>
      <c r="J516" s="1037">
        <f>IF(A516='Data Entry - SOF'!B$2,'Data Entry - SOF'!G$102,0)</f>
        <v>0</v>
      </c>
      <c r="K516" s="717">
        <f t="shared" si="45"/>
        <v>6240890.7166257696</v>
      </c>
      <c r="L516" s="944">
        <f>IF(A516='Data Entry - SOF'!B$2,'Report-SOF2021'!D$99,0)</f>
        <v>0</v>
      </c>
      <c r="M516" s="723">
        <f>IF(A516='Data Entry - SOF'!B$2,'Data Entry - SOF'!M$102,0)</f>
        <v>0</v>
      </c>
      <c r="N516" s="717">
        <f t="shared" si="46"/>
        <v>6240890.7166257696</v>
      </c>
      <c r="O516" s="944">
        <f>IF(A516='Data Entry - SOF'!B$2,'Report-SOF2122'!D$91,0)</f>
        <v>0</v>
      </c>
      <c r="P516" s="723">
        <f>IF(A516='Data Entry - SOF'!B$2,'Data Entry - SOF'!O$102,0)</f>
        <v>0</v>
      </c>
      <c r="Q516" s="601">
        <f t="shared" ref="Q516:Q579" si="49">IF(N516+O516-P516&lt;=0,0,N516+O516-P516)</f>
        <v>6240890.7166257696</v>
      </c>
      <c r="R516" s="944">
        <f>IF(A516='Data Entry - SOF'!B$2,'Report-SOF2223'!D$91,0)</f>
        <v>0</v>
      </c>
      <c r="S516" s="723">
        <f>IF(A516='Data Entry - SOF'!B$2,'Data Entry - SOF'!Q$102,0)</f>
        <v>0</v>
      </c>
      <c r="T516" s="601">
        <f t="shared" si="47"/>
        <v>6240890.7166257696</v>
      </c>
      <c r="U516" s="944">
        <f>IF(A516='Data Entry - SOF'!B$2,'Report-SOF2324'!D$91,0)</f>
        <v>0</v>
      </c>
      <c r="V516" s="723">
        <f>IF(A516='Data Entry - SOF'!B$2,'Data Entry - SOF'!S$102,0)</f>
        <v>0</v>
      </c>
    </row>
    <row r="517" spans="1:22" ht="15.75">
      <c r="A517" s="382" t="s">
        <v>926</v>
      </c>
      <c r="B517" s="91">
        <v>6973883</v>
      </c>
      <c r="C517" s="944">
        <f>IF(A517='Data Entry - SOF'!B$2,'Report-SOF1718'!D$102,0)</f>
        <v>0</v>
      </c>
      <c r="D517" s="1037">
        <f>IF(A517='Data Entry - SOF'!B$2,'Data Entry - SOF'!#REF!,0)</f>
        <v>0</v>
      </c>
      <c r="E517" s="91">
        <f t="shared" si="48"/>
        <v>6973883</v>
      </c>
      <c r="F517" s="944">
        <f>IF(A517='Data Entry - SOF'!B$2,'Report-SOF1819'!D$102,0)</f>
        <v>0</v>
      </c>
      <c r="G517" s="1037">
        <f>IF(A517='Data Entry - SOF'!B$2,'Data Entry - SOF'!E$102,0)</f>
        <v>0</v>
      </c>
      <c r="H517" s="1038">
        <f t="shared" ref="H517:H580" si="50">IF(E517+F517-G517&lt;=0,0,E517+F517-G517)</f>
        <v>6973883</v>
      </c>
      <c r="I517" s="944">
        <f>IF(A517='Data Entry - SOF'!B$2,'Report-SOF1920-HB3'!D$102,0)</f>
        <v>0</v>
      </c>
      <c r="J517" s="1037">
        <f>IF(A517='Data Entry - SOF'!B$2,'Data Entry - SOF'!G$102,0)</f>
        <v>0</v>
      </c>
      <c r="K517" s="717">
        <f t="shared" ref="K517:K580" si="51">IF(H517+I517-J517&lt;=0,0,H517+I517-J517)</f>
        <v>6973883</v>
      </c>
      <c r="L517" s="944">
        <f>IF(A517='Data Entry - SOF'!B$2,'Report-SOF2021'!D$99,0)</f>
        <v>0</v>
      </c>
      <c r="M517" s="723">
        <f>IF(A517='Data Entry - SOF'!B$2,'Data Entry - SOF'!M$102,0)</f>
        <v>0</v>
      </c>
      <c r="N517" s="717">
        <f t="shared" ref="N517:N580" si="52">IF(K517+L517-M517&lt;=0,0,K517+L517-M517)</f>
        <v>6973883</v>
      </c>
      <c r="O517" s="944">
        <f>IF(A517='Data Entry - SOF'!B$2,'Report-SOF2122'!D$91,0)</f>
        <v>0</v>
      </c>
      <c r="P517" s="723">
        <f>IF(A517='Data Entry - SOF'!B$2,'Data Entry - SOF'!O$102,0)</f>
        <v>0</v>
      </c>
      <c r="Q517" s="601">
        <f t="shared" si="49"/>
        <v>6973883</v>
      </c>
      <c r="R517" s="944">
        <f>IF(A517='Data Entry - SOF'!B$2,'Report-SOF2223'!D$91,0)</f>
        <v>0</v>
      </c>
      <c r="S517" s="723">
        <f>IF(A517='Data Entry - SOF'!B$2,'Data Entry - SOF'!Q$102,0)</f>
        <v>0</v>
      </c>
      <c r="T517" s="601">
        <f t="shared" ref="T517:T580" si="53">IF(P517+Q517-S517&lt;=0,0,P517+Q517-S517)</f>
        <v>6973883</v>
      </c>
      <c r="U517" s="944">
        <f>IF(A517='Data Entry - SOF'!B$2,'Report-SOF2324'!D$91,0)</f>
        <v>0</v>
      </c>
      <c r="V517" s="723">
        <f>IF(A517='Data Entry - SOF'!B$2,'Data Entry - SOF'!S$102,0)</f>
        <v>0</v>
      </c>
    </row>
    <row r="518" spans="1:22" ht="15.75">
      <c r="A518" s="382" t="s">
        <v>2577</v>
      </c>
      <c r="B518" s="91">
        <v>4767588</v>
      </c>
      <c r="C518" s="944">
        <f>IF(A518='Data Entry - SOF'!B$2,'Report-SOF1718'!D$102,0)</f>
        <v>0</v>
      </c>
      <c r="D518" s="1037">
        <f>IF(A518='Data Entry - SOF'!B$2,'Data Entry - SOF'!#REF!,0)</f>
        <v>0</v>
      </c>
      <c r="E518" s="91">
        <f t="shared" si="48"/>
        <v>4767588</v>
      </c>
      <c r="F518" s="944">
        <f>IF(A518='Data Entry - SOF'!B$2,'Report-SOF1819'!D$102,0)</f>
        <v>0</v>
      </c>
      <c r="G518" s="1037">
        <f>IF(A518='Data Entry - SOF'!B$2,'Data Entry - SOF'!E$102,0)</f>
        <v>0</v>
      </c>
      <c r="H518" s="1038">
        <f t="shared" si="50"/>
        <v>4767588</v>
      </c>
      <c r="I518" s="944">
        <f>IF(A518='Data Entry - SOF'!B$2,'Report-SOF1920-HB3'!D$102,0)</f>
        <v>0</v>
      </c>
      <c r="J518" s="1037">
        <f>IF(A518='Data Entry - SOF'!B$2,'Data Entry - SOF'!G$102,0)</f>
        <v>0</v>
      </c>
      <c r="K518" s="717">
        <f t="shared" si="51"/>
        <v>4767588</v>
      </c>
      <c r="L518" s="944">
        <f>IF(A518='Data Entry - SOF'!B$2,'Report-SOF2021'!D$99,0)</f>
        <v>0</v>
      </c>
      <c r="M518" s="723">
        <f>IF(A518='Data Entry - SOF'!B$2,'Data Entry - SOF'!M$102,0)</f>
        <v>0</v>
      </c>
      <c r="N518" s="717">
        <f t="shared" si="52"/>
        <v>4767588</v>
      </c>
      <c r="O518" s="944">
        <f>IF(A518='Data Entry - SOF'!B$2,'Report-SOF2122'!D$91,0)</f>
        <v>0</v>
      </c>
      <c r="P518" s="723">
        <f>IF(A518='Data Entry - SOF'!B$2,'Data Entry - SOF'!O$102,0)</f>
        <v>0</v>
      </c>
      <c r="Q518" s="601">
        <f t="shared" si="49"/>
        <v>4767588</v>
      </c>
      <c r="R518" s="944">
        <f>IF(A518='Data Entry - SOF'!B$2,'Report-SOF2223'!D$91,0)</f>
        <v>0</v>
      </c>
      <c r="S518" s="723">
        <f>IF(A518='Data Entry - SOF'!B$2,'Data Entry - SOF'!Q$102,0)</f>
        <v>0</v>
      </c>
      <c r="T518" s="601">
        <f t="shared" si="53"/>
        <v>4767588</v>
      </c>
      <c r="U518" s="944">
        <f>IF(A518='Data Entry - SOF'!B$2,'Report-SOF2324'!D$91,0)</f>
        <v>0</v>
      </c>
      <c r="V518" s="723">
        <f>IF(A518='Data Entry - SOF'!B$2,'Data Entry - SOF'!S$102,0)</f>
        <v>0</v>
      </c>
    </row>
    <row r="519" spans="1:22" ht="15.75">
      <c r="A519" s="382" t="s">
        <v>502</v>
      </c>
      <c r="B519" s="91">
        <v>10942681</v>
      </c>
      <c r="C519" s="944">
        <f>IF(A519='Data Entry - SOF'!B$2,'Report-SOF1718'!D$102,0)</f>
        <v>0</v>
      </c>
      <c r="D519" s="1037">
        <f>IF(A519='Data Entry - SOF'!B$2,'Data Entry - SOF'!#REF!,0)</f>
        <v>0</v>
      </c>
      <c r="E519" s="91">
        <f t="shared" si="48"/>
        <v>10942681</v>
      </c>
      <c r="F519" s="944">
        <f>IF(A519='Data Entry - SOF'!B$2,'Report-SOF1819'!D$102,0)</f>
        <v>0</v>
      </c>
      <c r="G519" s="1037">
        <f>IF(A519='Data Entry - SOF'!B$2,'Data Entry - SOF'!E$102,0)</f>
        <v>0</v>
      </c>
      <c r="H519" s="1038">
        <f t="shared" si="50"/>
        <v>10942681</v>
      </c>
      <c r="I519" s="944">
        <f>IF(A519='Data Entry - SOF'!B$2,'Report-SOF1920-HB3'!D$102,0)</f>
        <v>0</v>
      </c>
      <c r="J519" s="1037">
        <f>IF(A519='Data Entry - SOF'!B$2,'Data Entry - SOF'!G$102,0)</f>
        <v>0</v>
      </c>
      <c r="K519" s="717">
        <f t="shared" si="51"/>
        <v>10942681</v>
      </c>
      <c r="L519" s="944">
        <f>IF(A519='Data Entry - SOF'!B$2,'Report-SOF2021'!D$99,0)</f>
        <v>0</v>
      </c>
      <c r="M519" s="723">
        <f>IF(A519='Data Entry - SOF'!B$2,'Data Entry - SOF'!M$102,0)</f>
        <v>0</v>
      </c>
      <c r="N519" s="717">
        <f t="shared" si="52"/>
        <v>10942681</v>
      </c>
      <c r="O519" s="944">
        <f>IF(A519='Data Entry - SOF'!B$2,'Report-SOF2122'!D$91,0)</f>
        <v>0</v>
      </c>
      <c r="P519" s="723">
        <f>IF(A519='Data Entry - SOF'!B$2,'Data Entry - SOF'!O$102,0)</f>
        <v>0</v>
      </c>
      <c r="Q519" s="601">
        <f t="shared" si="49"/>
        <v>10942681</v>
      </c>
      <c r="R519" s="944">
        <f>IF(A519='Data Entry - SOF'!B$2,'Report-SOF2223'!D$91,0)</f>
        <v>0</v>
      </c>
      <c r="S519" s="723">
        <f>IF(A519='Data Entry - SOF'!B$2,'Data Entry - SOF'!Q$102,0)</f>
        <v>0</v>
      </c>
      <c r="T519" s="601">
        <f t="shared" si="53"/>
        <v>10942681</v>
      </c>
      <c r="U519" s="944">
        <f>IF(A519='Data Entry - SOF'!B$2,'Report-SOF2324'!D$91,0)</f>
        <v>0</v>
      </c>
      <c r="V519" s="723">
        <f>IF(A519='Data Entry - SOF'!B$2,'Data Entry - SOF'!S$102,0)</f>
        <v>0</v>
      </c>
    </row>
    <row r="520" spans="1:22" ht="15.75">
      <c r="A520" s="382" t="s">
        <v>2646</v>
      </c>
      <c r="B520" s="91">
        <v>442767</v>
      </c>
      <c r="C520" s="944">
        <f>IF(A520='Data Entry - SOF'!B$2,'Report-SOF1718'!D$102,0)</f>
        <v>0</v>
      </c>
      <c r="D520" s="1037">
        <f>IF(A520='Data Entry - SOF'!B$2,'Data Entry - SOF'!#REF!,0)</f>
        <v>0</v>
      </c>
      <c r="E520" s="91">
        <f t="shared" si="48"/>
        <v>442767</v>
      </c>
      <c r="F520" s="944">
        <f>IF(A520='Data Entry - SOF'!B$2,'Report-SOF1819'!D$102,0)</f>
        <v>0</v>
      </c>
      <c r="G520" s="1037">
        <f>IF(A520='Data Entry - SOF'!B$2,'Data Entry - SOF'!E$102,0)</f>
        <v>0</v>
      </c>
      <c r="H520" s="1038">
        <f t="shared" si="50"/>
        <v>442767</v>
      </c>
      <c r="I520" s="944">
        <f>IF(A520='Data Entry - SOF'!B$2,'Report-SOF1920-HB3'!D$102,0)</f>
        <v>0</v>
      </c>
      <c r="J520" s="1037">
        <f>IF(A520='Data Entry - SOF'!B$2,'Data Entry - SOF'!G$102,0)</f>
        <v>0</v>
      </c>
      <c r="K520" s="717">
        <f t="shared" si="51"/>
        <v>442767</v>
      </c>
      <c r="L520" s="944">
        <f>IF(A520='Data Entry - SOF'!B$2,'Report-SOF2021'!D$99,0)</f>
        <v>0</v>
      </c>
      <c r="M520" s="723">
        <f>IF(A520='Data Entry - SOF'!B$2,'Data Entry - SOF'!M$102,0)</f>
        <v>0</v>
      </c>
      <c r="N520" s="717">
        <f t="shared" si="52"/>
        <v>442767</v>
      </c>
      <c r="O520" s="944">
        <f>IF(A520='Data Entry - SOF'!B$2,'Report-SOF2122'!D$91,0)</f>
        <v>0</v>
      </c>
      <c r="P520" s="723">
        <f>IF(A520='Data Entry - SOF'!B$2,'Data Entry - SOF'!O$102,0)</f>
        <v>0</v>
      </c>
      <c r="Q520" s="601">
        <f t="shared" si="49"/>
        <v>442767</v>
      </c>
      <c r="R520" s="944">
        <f>IF(A520='Data Entry - SOF'!B$2,'Report-SOF2223'!D$91,0)</f>
        <v>0</v>
      </c>
      <c r="S520" s="723">
        <f>IF(A520='Data Entry - SOF'!B$2,'Data Entry - SOF'!Q$102,0)</f>
        <v>0</v>
      </c>
      <c r="T520" s="601">
        <f t="shared" si="53"/>
        <v>442767</v>
      </c>
      <c r="U520" s="944">
        <f>IF(A520='Data Entry - SOF'!B$2,'Report-SOF2324'!D$91,0)</f>
        <v>0</v>
      </c>
      <c r="V520" s="723">
        <f>IF(A520='Data Entry - SOF'!B$2,'Data Entry - SOF'!S$102,0)</f>
        <v>0</v>
      </c>
    </row>
    <row r="521" spans="1:22" ht="15.75">
      <c r="A521" s="382" t="s">
        <v>883</v>
      </c>
      <c r="B521" s="91">
        <v>3131458</v>
      </c>
      <c r="C521" s="944">
        <f>IF(A521='Data Entry - SOF'!B$2,'Report-SOF1718'!D$102,0)</f>
        <v>0</v>
      </c>
      <c r="D521" s="1037">
        <f>IF(A521='Data Entry - SOF'!B$2,'Data Entry - SOF'!#REF!,0)</f>
        <v>0</v>
      </c>
      <c r="E521" s="91">
        <f t="shared" si="48"/>
        <v>3131458</v>
      </c>
      <c r="F521" s="944">
        <f>IF(A521='Data Entry - SOF'!B$2,'Report-SOF1819'!D$102,0)</f>
        <v>0</v>
      </c>
      <c r="G521" s="1037">
        <f>IF(A521='Data Entry - SOF'!B$2,'Data Entry - SOF'!E$102,0)</f>
        <v>0</v>
      </c>
      <c r="H521" s="1038">
        <f t="shared" si="50"/>
        <v>3131458</v>
      </c>
      <c r="I521" s="944">
        <f>IF(A521='Data Entry - SOF'!B$2,'Report-SOF1920-HB3'!D$102,0)</f>
        <v>0</v>
      </c>
      <c r="J521" s="1037">
        <f>IF(A521='Data Entry - SOF'!B$2,'Data Entry - SOF'!G$102,0)</f>
        <v>0</v>
      </c>
      <c r="K521" s="717">
        <f t="shared" si="51"/>
        <v>3131458</v>
      </c>
      <c r="L521" s="944">
        <f>IF(A521='Data Entry - SOF'!B$2,'Report-SOF2021'!D$99,0)</f>
        <v>0</v>
      </c>
      <c r="M521" s="723">
        <f>IF(A521='Data Entry - SOF'!B$2,'Data Entry - SOF'!M$102,0)</f>
        <v>0</v>
      </c>
      <c r="N521" s="717">
        <f t="shared" si="52"/>
        <v>3131458</v>
      </c>
      <c r="O521" s="944">
        <f>IF(A521='Data Entry - SOF'!B$2,'Report-SOF2122'!D$91,0)</f>
        <v>0</v>
      </c>
      <c r="P521" s="723">
        <f>IF(A521='Data Entry - SOF'!B$2,'Data Entry - SOF'!O$102,0)</f>
        <v>0</v>
      </c>
      <c r="Q521" s="601">
        <f t="shared" si="49"/>
        <v>3131458</v>
      </c>
      <c r="R521" s="944">
        <f>IF(A521='Data Entry - SOF'!B$2,'Report-SOF2223'!D$91,0)</f>
        <v>0</v>
      </c>
      <c r="S521" s="723">
        <f>IF(A521='Data Entry - SOF'!B$2,'Data Entry - SOF'!Q$102,0)</f>
        <v>0</v>
      </c>
      <c r="T521" s="601">
        <f t="shared" si="53"/>
        <v>3131458</v>
      </c>
      <c r="U521" s="944">
        <f>IF(A521='Data Entry - SOF'!B$2,'Report-SOF2324'!D$91,0)</f>
        <v>0</v>
      </c>
      <c r="V521" s="723">
        <f>IF(A521='Data Entry - SOF'!B$2,'Data Entry - SOF'!S$102,0)</f>
        <v>0</v>
      </c>
    </row>
    <row r="522" spans="1:22" ht="15.75">
      <c r="A522" s="382" t="s">
        <v>44</v>
      </c>
      <c r="B522" s="91">
        <v>6941256</v>
      </c>
      <c r="C522" s="944">
        <f>IF(A522='Data Entry - SOF'!B$2,'Report-SOF1718'!D$102,0)</f>
        <v>0</v>
      </c>
      <c r="D522" s="1037">
        <f>IF(A522='Data Entry - SOF'!B$2,'Data Entry - SOF'!#REF!,0)</f>
        <v>0</v>
      </c>
      <c r="E522" s="91">
        <f t="shared" si="48"/>
        <v>6941256</v>
      </c>
      <c r="F522" s="944">
        <f>IF(A522='Data Entry - SOF'!B$2,'Report-SOF1819'!D$102,0)</f>
        <v>0</v>
      </c>
      <c r="G522" s="1037">
        <f>IF(A522='Data Entry - SOF'!B$2,'Data Entry - SOF'!E$102,0)</f>
        <v>0</v>
      </c>
      <c r="H522" s="1038">
        <f t="shared" si="50"/>
        <v>6941256</v>
      </c>
      <c r="I522" s="944">
        <f>IF(A522='Data Entry - SOF'!B$2,'Report-SOF1920-HB3'!D$102,0)</f>
        <v>0</v>
      </c>
      <c r="J522" s="1037">
        <f>IF(A522='Data Entry - SOF'!B$2,'Data Entry - SOF'!G$102,0)</f>
        <v>0</v>
      </c>
      <c r="K522" s="717">
        <f t="shared" si="51"/>
        <v>6941256</v>
      </c>
      <c r="L522" s="944">
        <f>IF(A522='Data Entry - SOF'!B$2,'Report-SOF2021'!D$99,0)</f>
        <v>0</v>
      </c>
      <c r="M522" s="723">
        <f>IF(A522='Data Entry - SOF'!B$2,'Data Entry - SOF'!M$102,0)</f>
        <v>0</v>
      </c>
      <c r="N522" s="717">
        <f t="shared" si="52"/>
        <v>6941256</v>
      </c>
      <c r="O522" s="944">
        <f>IF(A522='Data Entry - SOF'!B$2,'Report-SOF2122'!D$91,0)</f>
        <v>0</v>
      </c>
      <c r="P522" s="723">
        <f>IF(A522='Data Entry - SOF'!B$2,'Data Entry - SOF'!O$102,0)</f>
        <v>0</v>
      </c>
      <c r="Q522" s="601">
        <f t="shared" si="49"/>
        <v>6941256</v>
      </c>
      <c r="R522" s="944">
        <f>IF(A522='Data Entry - SOF'!B$2,'Report-SOF2223'!D$91,0)</f>
        <v>0</v>
      </c>
      <c r="S522" s="723">
        <f>IF(A522='Data Entry - SOF'!B$2,'Data Entry - SOF'!Q$102,0)</f>
        <v>0</v>
      </c>
      <c r="T522" s="601">
        <f t="shared" si="53"/>
        <v>6941256</v>
      </c>
      <c r="U522" s="944">
        <f>IF(A522='Data Entry - SOF'!B$2,'Report-SOF2324'!D$91,0)</f>
        <v>0</v>
      </c>
      <c r="V522" s="723">
        <f>IF(A522='Data Entry - SOF'!B$2,'Data Entry - SOF'!S$102,0)</f>
        <v>0</v>
      </c>
    </row>
    <row r="523" spans="1:22" ht="15.75">
      <c r="A523" s="382" t="s">
        <v>54</v>
      </c>
      <c r="B523" s="91">
        <v>2470056</v>
      </c>
      <c r="C523" s="944">
        <f>IF(A523='Data Entry - SOF'!B$2,'Report-SOF1718'!D$102,0)</f>
        <v>0</v>
      </c>
      <c r="D523" s="1037">
        <f>IF(A523='Data Entry - SOF'!B$2,'Data Entry - SOF'!#REF!,0)</f>
        <v>0</v>
      </c>
      <c r="E523" s="91">
        <f t="shared" si="48"/>
        <v>2470056</v>
      </c>
      <c r="F523" s="944">
        <f>IF(A523='Data Entry - SOF'!B$2,'Report-SOF1819'!D$102,0)</f>
        <v>0</v>
      </c>
      <c r="G523" s="1037">
        <f>IF(A523='Data Entry - SOF'!B$2,'Data Entry - SOF'!E$102,0)</f>
        <v>0</v>
      </c>
      <c r="H523" s="1038">
        <f t="shared" si="50"/>
        <v>2470056</v>
      </c>
      <c r="I523" s="944">
        <f>IF(A523='Data Entry - SOF'!B$2,'Report-SOF1920-HB3'!D$102,0)</f>
        <v>0</v>
      </c>
      <c r="J523" s="1037">
        <f>IF(A523='Data Entry - SOF'!B$2,'Data Entry - SOF'!G$102,0)</f>
        <v>0</v>
      </c>
      <c r="K523" s="717">
        <f t="shared" si="51"/>
        <v>2470056</v>
      </c>
      <c r="L523" s="944">
        <f>IF(A523='Data Entry - SOF'!B$2,'Report-SOF2021'!D$99,0)</f>
        <v>0</v>
      </c>
      <c r="M523" s="723">
        <f>IF(A523='Data Entry - SOF'!B$2,'Data Entry - SOF'!M$102,0)</f>
        <v>0</v>
      </c>
      <c r="N523" s="717">
        <f t="shared" si="52"/>
        <v>2470056</v>
      </c>
      <c r="O523" s="944">
        <f>IF(A523='Data Entry - SOF'!B$2,'Report-SOF2122'!D$91,0)</f>
        <v>0</v>
      </c>
      <c r="P523" s="723">
        <f>IF(A523='Data Entry - SOF'!B$2,'Data Entry - SOF'!O$102,0)</f>
        <v>0</v>
      </c>
      <c r="Q523" s="601">
        <f t="shared" si="49"/>
        <v>2470056</v>
      </c>
      <c r="R523" s="944">
        <f>IF(A523='Data Entry - SOF'!B$2,'Report-SOF2223'!D$91,0)</f>
        <v>0</v>
      </c>
      <c r="S523" s="723">
        <f>IF(A523='Data Entry - SOF'!B$2,'Data Entry - SOF'!Q$102,0)</f>
        <v>0</v>
      </c>
      <c r="T523" s="601">
        <f t="shared" si="53"/>
        <v>2470056</v>
      </c>
      <c r="U523" s="944">
        <f>IF(A523='Data Entry - SOF'!B$2,'Report-SOF2324'!D$91,0)</f>
        <v>0</v>
      </c>
      <c r="V523" s="723">
        <f>IF(A523='Data Entry - SOF'!B$2,'Data Entry - SOF'!S$102,0)</f>
        <v>0</v>
      </c>
    </row>
    <row r="524" spans="1:22" ht="15.75">
      <c r="A524" s="382" t="s">
        <v>2647</v>
      </c>
      <c r="B524" s="91">
        <v>9414350.5845183395</v>
      </c>
      <c r="C524" s="944">
        <f>IF(A524='Data Entry - SOF'!B$2,'Report-SOF1718'!D$102,0)</f>
        <v>0</v>
      </c>
      <c r="D524" s="1037">
        <f>IF(A524='Data Entry - SOF'!B$2,'Data Entry - SOF'!#REF!,0)</f>
        <v>0</v>
      </c>
      <c r="E524" s="91">
        <f t="shared" si="48"/>
        <v>9414350.5845183395</v>
      </c>
      <c r="F524" s="944">
        <f>IF(A524='Data Entry - SOF'!B$2,'Report-SOF1819'!D$102,0)</f>
        <v>0</v>
      </c>
      <c r="G524" s="1037">
        <f>IF(A524='Data Entry - SOF'!B$2,'Data Entry - SOF'!E$102,0)</f>
        <v>0</v>
      </c>
      <c r="H524" s="1038">
        <f t="shared" si="50"/>
        <v>9414350.5845183395</v>
      </c>
      <c r="I524" s="944">
        <f>IF(A524='Data Entry - SOF'!B$2,'Report-SOF1920-HB3'!D$102,0)</f>
        <v>0</v>
      </c>
      <c r="J524" s="1037">
        <f>IF(A524='Data Entry - SOF'!B$2,'Data Entry - SOF'!G$102,0)</f>
        <v>0</v>
      </c>
      <c r="K524" s="717">
        <f t="shared" si="51"/>
        <v>9414350.5845183395</v>
      </c>
      <c r="L524" s="944">
        <f>IF(A524='Data Entry - SOF'!B$2,'Report-SOF2021'!D$99,0)</f>
        <v>0</v>
      </c>
      <c r="M524" s="723">
        <f>IF(A524='Data Entry - SOF'!B$2,'Data Entry - SOF'!M$102,0)</f>
        <v>0</v>
      </c>
      <c r="N524" s="717">
        <f t="shared" si="52"/>
        <v>9414350.5845183395</v>
      </c>
      <c r="O524" s="944">
        <f>IF(A524='Data Entry - SOF'!B$2,'Report-SOF2122'!D$91,0)</f>
        <v>0</v>
      </c>
      <c r="P524" s="723">
        <f>IF(A524='Data Entry - SOF'!B$2,'Data Entry - SOF'!O$102,0)</f>
        <v>0</v>
      </c>
      <c r="Q524" s="601">
        <f t="shared" si="49"/>
        <v>9414350.5845183395</v>
      </c>
      <c r="R524" s="944">
        <f>IF(A524='Data Entry - SOF'!B$2,'Report-SOF2223'!D$91,0)</f>
        <v>0</v>
      </c>
      <c r="S524" s="723">
        <f>IF(A524='Data Entry - SOF'!B$2,'Data Entry - SOF'!Q$102,0)</f>
        <v>0</v>
      </c>
      <c r="T524" s="601">
        <f t="shared" si="53"/>
        <v>9414350.5845183395</v>
      </c>
      <c r="U524" s="944">
        <f>IF(A524='Data Entry - SOF'!B$2,'Report-SOF2324'!D$91,0)</f>
        <v>0</v>
      </c>
      <c r="V524" s="723">
        <f>IF(A524='Data Entry - SOF'!B$2,'Data Entry - SOF'!S$102,0)</f>
        <v>0</v>
      </c>
    </row>
    <row r="525" spans="1:22" ht="15.75">
      <c r="A525" s="382" t="s">
        <v>2648</v>
      </c>
      <c r="B525" s="91">
        <v>1125652</v>
      </c>
      <c r="C525" s="944">
        <f>IF(A525='Data Entry - SOF'!B$2,'Report-SOF1718'!D$102,0)</f>
        <v>0</v>
      </c>
      <c r="D525" s="1037">
        <f>IF(A525='Data Entry - SOF'!B$2,'Data Entry - SOF'!#REF!,0)</f>
        <v>0</v>
      </c>
      <c r="E525" s="91">
        <f t="shared" si="48"/>
        <v>1125652</v>
      </c>
      <c r="F525" s="944">
        <f>IF(A525='Data Entry - SOF'!B$2,'Report-SOF1819'!D$102,0)</f>
        <v>0</v>
      </c>
      <c r="G525" s="1037">
        <f>IF(A525='Data Entry - SOF'!B$2,'Data Entry - SOF'!E$102,0)</f>
        <v>0</v>
      </c>
      <c r="H525" s="1038">
        <f t="shared" si="50"/>
        <v>1125652</v>
      </c>
      <c r="I525" s="944">
        <f>IF(A525='Data Entry - SOF'!B$2,'Report-SOF1920-HB3'!D$102,0)</f>
        <v>0</v>
      </c>
      <c r="J525" s="1037">
        <f>IF(A525='Data Entry - SOF'!B$2,'Data Entry - SOF'!G$102,0)</f>
        <v>0</v>
      </c>
      <c r="K525" s="717">
        <f t="shared" si="51"/>
        <v>1125652</v>
      </c>
      <c r="L525" s="944">
        <f>IF(A525='Data Entry - SOF'!B$2,'Report-SOF2021'!D$99,0)</f>
        <v>0</v>
      </c>
      <c r="M525" s="723">
        <f>IF(A525='Data Entry - SOF'!B$2,'Data Entry - SOF'!M$102,0)</f>
        <v>0</v>
      </c>
      <c r="N525" s="717">
        <f t="shared" si="52"/>
        <v>1125652</v>
      </c>
      <c r="O525" s="944">
        <f>IF(A525='Data Entry - SOF'!B$2,'Report-SOF2122'!D$91,0)</f>
        <v>0</v>
      </c>
      <c r="P525" s="723">
        <f>IF(A525='Data Entry - SOF'!B$2,'Data Entry - SOF'!O$102,0)</f>
        <v>0</v>
      </c>
      <c r="Q525" s="601">
        <f t="shared" si="49"/>
        <v>1125652</v>
      </c>
      <c r="R525" s="944">
        <f>IF(A525='Data Entry - SOF'!B$2,'Report-SOF2223'!D$91,0)</f>
        <v>0</v>
      </c>
      <c r="S525" s="723">
        <f>IF(A525='Data Entry - SOF'!B$2,'Data Entry - SOF'!Q$102,0)</f>
        <v>0</v>
      </c>
      <c r="T525" s="601">
        <f t="shared" si="53"/>
        <v>1125652</v>
      </c>
      <c r="U525" s="944">
        <f>IF(A525='Data Entry - SOF'!B$2,'Report-SOF2324'!D$91,0)</f>
        <v>0</v>
      </c>
      <c r="V525" s="723">
        <f>IF(A525='Data Entry - SOF'!B$2,'Data Entry - SOF'!S$102,0)</f>
        <v>0</v>
      </c>
    </row>
    <row r="526" spans="1:22" ht="15.75">
      <c r="A526" s="382" t="s">
        <v>2649</v>
      </c>
      <c r="B526" s="91">
        <v>238037</v>
      </c>
      <c r="C526" s="944">
        <f>IF(A526='Data Entry - SOF'!B$2,'Report-SOF1718'!D$102,0)</f>
        <v>0</v>
      </c>
      <c r="D526" s="1037">
        <f>IF(A526='Data Entry - SOF'!B$2,'Data Entry - SOF'!#REF!,0)</f>
        <v>0</v>
      </c>
      <c r="E526" s="91">
        <f t="shared" si="48"/>
        <v>238037</v>
      </c>
      <c r="F526" s="944">
        <f>IF(A526='Data Entry - SOF'!B$2,'Report-SOF1819'!D$102,0)</f>
        <v>0</v>
      </c>
      <c r="G526" s="1037">
        <f>IF(A526='Data Entry - SOF'!B$2,'Data Entry - SOF'!E$102,0)</f>
        <v>0</v>
      </c>
      <c r="H526" s="1038">
        <f t="shared" si="50"/>
        <v>238037</v>
      </c>
      <c r="I526" s="944">
        <f>IF(A526='Data Entry - SOF'!B$2,'Report-SOF1920-HB3'!D$102,0)</f>
        <v>0</v>
      </c>
      <c r="J526" s="1037">
        <f>IF(A526='Data Entry - SOF'!B$2,'Data Entry - SOF'!G$102,0)</f>
        <v>0</v>
      </c>
      <c r="K526" s="717">
        <f t="shared" si="51"/>
        <v>238037</v>
      </c>
      <c r="L526" s="944">
        <f>IF(A526='Data Entry - SOF'!B$2,'Report-SOF2021'!D$99,0)</f>
        <v>0</v>
      </c>
      <c r="M526" s="723">
        <f>IF(A526='Data Entry - SOF'!B$2,'Data Entry - SOF'!M$102,0)</f>
        <v>0</v>
      </c>
      <c r="N526" s="717">
        <f t="shared" si="52"/>
        <v>238037</v>
      </c>
      <c r="O526" s="944">
        <f>IF(A526='Data Entry - SOF'!B$2,'Report-SOF2122'!D$91,0)</f>
        <v>0</v>
      </c>
      <c r="P526" s="723">
        <f>IF(A526='Data Entry - SOF'!B$2,'Data Entry - SOF'!O$102,0)</f>
        <v>0</v>
      </c>
      <c r="Q526" s="601">
        <f t="shared" si="49"/>
        <v>238037</v>
      </c>
      <c r="R526" s="944">
        <f>IF(A526='Data Entry - SOF'!B$2,'Report-SOF2223'!D$91,0)</f>
        <v>0</v>
      </c>
      <c r="S526" s="723">
        <f>IF(A526='Data Entry - SOF'!B$2,'Data Entry - SOF'!Q$102,0)</f>
        <v>0</v>
      </c>
      <c r="T526" s="601">
        <f t="shared" si="53"/>
        <v>238037</v>
      </c>
      <c r="U526" s="944">
        <f>IF(A526='Data Entry - SOF'!B$2,'Report-SOF2324'!D$91,0)</f>
        <v>0</v>
      </c>
      <c r="V526" s="723">
        <f>IF(A526='Data Entry - SOF'!B$2,'Data Entry - SOF'!S$102,0)</f>
        <v>0</v>
      </c>
    </row>
    <row r="527" spans="1:22" ht="15.75">
      <c r="A527" s="382" t="s">
        <v>2540</v>
      </c>
      <c r="B527" s="91">
        <v>18663137</v>
      </c>
      <c r="C527" s="944">
        <f>IF(A527='Data Entry - SOF'!B$2,'Report-SOF1718'!D$102,0)</f>
        <v>0</v>
      </c>
      <c r="D527" s="1037">
        <f>IF(A527='Data Entry - SOF'!B$2,'Data Entry - SOF'!#REF!,0)</f>
        <v>0</v>
      </c>
      <c r="E527" s="91">
        <f t="shared" si="48"/>
        <v>18663137</v>
      </c>
      <c r="F527" s="944">
        <f>IF(A527='Data Entry - SOF'!B$2,'Report-SOF1819'!D$102,0)</f>
        <v>0</v>
      </c>
      <c r="G527" s="1037">
        <f>IF(A527='Data Entry - SOF'!B$2,'Data Entry - SOF'!E$102,0)</f>
        <v>0</v>
      </c>
      <c r="H527" s="1038">
        <f t="shared" si="50"/>
        <v>18663137</v>
      </c>
      <c r="I527" s="944">
        <f>IF(A527='Data Entry - SOF'!B$2,'Report-SOF1920-HB3'!D$102,0)</f>
        <v>0</v>
      </c>
      <c r="J527" s="1037">
        <f>IF(A527='Data Entry - SOF'!B$2,'Data Entry - SOF'!G$102,0)</f>
        <v>0</v>
      </c>
      <c r="K527" s="717">
        <f t="shared" si="51"/>
        <v>18663137</v>
      </c>
      <c r="L527" s="944">
        <f>IF(A527='Data Entry - SOF'!B$2,'Report-SOF2021'!D$99,0)</f>
        <v>0</v>
      </c>
      <c r="M527" s="723">
        <f>IF(A527='Data Entry - SOF'!B$2,'Data Entry - SOF'!M$102,0)</f>
        <v>0</v>
      </c>
      <c r="N527" s="717">
        <f t="shared" si="52"/>
        <v>18663137</v>
      </c>
      <c r="O527" s="944">
        <f>IF(A527='Data Entry - SOF'!B$2,'Report-SOF2122'!D$91,0)</f>
        <v>0</v>
      </c>
      <c r="P527" s="723">
        <f>IF(A527='Data Entry - SOF'!B$2,'Data Entry - SOF'!O$102,0)</f>
        <v>0</v>
      </c>
      <c r="Q527" s="601">
        <f t="shared" si="49"/>
        <v>18663137</v>
      </c>
      <c r="R527" s="944">
        <f>IF(A527='Data Entry - SOF'!B$2,'Report-SOF2223'!D$91,0)</f>
        <v>0</v>
      </c>
      <c r="S527" s="723">
        <f>IF(A527='Data Entry - SOF'!B$2,'Data Entry - SOF'!Q$102,0)</f>
        <v>0</v>
      </c>
      <c r="T527" s="601">
        <f t="shared" si="53"/>
        <v>18663137</v>
      </c>
      <c r="U527" s="944">
        <f>IF(A527='Data Entry - SOF'!B$2,'Report-SOF2324'!D$91,0)</f>
        <v>0</v>
      </c>
      <c r="V527" s="723">
        <f>IF(A527='Data Entry - SOF'!B$2,'Data Entry - SOF'!S$102,0)</f>
        <v>0</v>
      </c>
    </row>
    <row r="528" spans="1:22" ht="15.75">
      <c r="A528" s="382" t="s">
        <v>2292</v>
      </c>
      <c r="B528" s="91">
        <v>152961464</v>
      </c>
      <c r="C528" s="944">
        <f>IF(A528='Data Entry - SOF'!B$2,'Report-SOF1718'!D$102,0)</f>
        <v>0</v>
      </c>
      <c r="D528" s="1037">
        <f>IF(A528='Data Entry - SOF'!B$2,'Data Entry - SOF'!#REF!,0)</f>
        <v>0</v>
      </c>
      <c r="E528" s="91">
        <f t="shared" si="48"/>
        <v>152961464</v>
      </c>
      <c r="F528" s="944">
        <f>IF(A528='Data Entry - SOF'!B$2,'Report-SOF1819'!D$102,0)</f>
        <v>0</v>
      </c>
      <c r="G528" s="1037">
        <f>IF(A528='Data Entry - SOF'!B$2,'Data Entry - SOF'!E$102,0)</f>
        <v>0</v>
      </c>
      <c r="H528" s="1038">
        <f t="shared" si="50"/>
        <v>152961464</v>
      </c>
      <c r="I528" s="944">
        <f>IF(A528='Data Entry - SOF'!B$2,'Report-SOF1920-HB3'!D$102,0)</f>
        <v>0</v>
      </c>
      <c r="J528" s="1037">
        <f>IF(A528='Data Entry - SOF'!B$2,'Data Entry - SOF'!G$102,0)</f>
        <v>0</v>
      </c>
      <c r="K528" s="717">
        <f t="shared" si="51"/>
        <v>152961464</v>
      </c>
      <c r="L528" s="944">
        <f>IF(A528='Data Entry - SOF'!B$2,'Report-SOF2021'!D$99,0)</f>
        <v>0</v>
      </c>
      <c r="M528" s="723">
        <f>IF(A528='Data Entry - SOF'!B$2,'Data Entry - SOF'!M$102,0)</f>
        <v>0</v>
      </c>
      <c r="N528" s="717">
        <f t="shared" si="52"/>
        <v>152961464</v>
      </c>
      <c r="O528" s="944">
        <f>IF(A528='Data Entry - SOF'!B$2,'Report-SOF2122'!D$91,0)</f>
        <v>0</v>
      </c>
      <c r="P528" s="723">
        <f>IF(A528='Data Entry - SOF'!B$2,'Data Entry - SOF'!O$102,0)</f>
        <v>0</v>
      </c>
      <c r="Q528" s="601">
        <f t="shared" si="49"/>
        <v>152961464</v>
      </c>
      <c r="R528" s="944">
        <f>IF(A528='Data Entry - SOF'!B$2,'Report-SOF2223'!D$91,0)</f>
        <v>0</v>
      </c>
      <c r="S528" s="723">
        <f>IF(A528='Data Entry - SOF'!B$2,'Data Entry - SOF'!Q$102,0)</f>
        <v>0</v>
      </c>
      <c r="T528" s="601">
        <f t="shared" si="53"/>
        <v>152961464</v>
      </c>
      <c r="U528" s="944">
        <f>IF(A528='Data Entry - SOF'!B$2,'Report-SOF2324'!D$91,0)</f>
        <v>0</v>
      </c>
      <c r="V528" s="723">
        <f>IF(A528='Data Entry - SOF'!B$2,'Data Entry - SOF'!S$102,0)</f>
        <v>0</v>
      </c>
    </row>
    <row r="529" spans="1:22" ht="15.75">
      <c r="A529" s="382" t="s">
        <v>2293</v>
      </c>
      <c r="B529" s="91">
        <v>72307148</v>
      </c>
      <c r="C529" s="944">
        <f>IF(A529='Data Entry - SOF'!B$2,'Report-SOF1718'!D$102,0)</f>
        <v>0</v>
      </c>
      <c r="D529" s="1037">
        <f>IF(A529='Data Entry - SOF'!B$2,'Data Entry - SOF'!#REF!,0)</f>
        <v>0</v>
      </c>
      <c r="E529" s="91">
        <f t="shared" si="48"/>
        <v>72307148</v>
      </c>
      <c r="F529" s="944">
        <f>IF(A529='Data Entry - SOF'!B$2,'Report-SOF1819'!D$102,0)</f>
        <v>0</v>
      </c>
      <c r="G529" s="1037">
        <f>IF(A529='Data Entry - SOF'!B$2,'Data Entry - SOF'!E$102,0)</f>
        <v>0</v>
      </c>
      <c r="H529" s="1038">
        <f t="shared" si="50"/>
        <v>72307148</v>
      </c>
      <c r="I529" s="944">
        <f>IF(A529='Data Entry - SOF'!B$2,'Report-SOF1920-HB3'!D$102,0)</f>
        <v>0</v>
      </c>
      <c r="J529" s="1037">
        <f>IF(A529='Data Entry - SOF'!B$2,'Data Entry - SOF'!G$102,0)</f>
        <v>0</v>
      </c>
      <c r="K529" s="717">
        <f t="shared" si="51"/>
        <v>72307148</v>
      </c>
      <c r="L529" s="944">
        <f>IF(A529='Data Entry - SOF'!B$2,'Report-SOF2021'!D$99,0)</f>
        <v>0</v>
      </c>
      <c r="M529" s="723">
        <f>IF(A529='Data Entry - SOF'!B$2,'Data Entry - SOF'!M$102,0)</f>
        <v>0</v>
      </c>
      <c r="N529" s="717">
        <f t="shared" si="52"/>
        <v>72307148</v>
      </c>
      <c r="O529" s="944">
        <f>IF(A529='Data Entry - SOF'!B$2,'Report-SOF2122'!D$91,0)</f>
        <v>0</v>
      </c>
      <c r="P529" s="723">
        <f>IF(A529='Data Entry - SOF'!B$2,'Data Entry - SOF'!O$102,0)</f>
        <v>0</v>
      </c>
      <c r="Q529" s="601">
        <f t="shared" si="49"/>
        <v>72307148</v>
      </c>
      <c r="R529" s="944">
        <f>IF(A529='Data Entry - SOF'!B$2,'Report-SOF2223'!D$91,0)</f>
        <v>0</v>
      </c>
      <c r="S529" s="723">
        <f>IF(A529='Data Entry - SOF'!B$2,'Data Entry - SOF'!Q$102,0)</f>
        <v>0</v>
      </c>
      <c r="T529" s="601">
        <f t="shared" si="53"/>
        <v>72307148</v>
      </c>
      <c r="U529" s="944">
        <f>IF(A529='Data Entry - SOF'!B$2,'Report-SOF2324'!D$91,0)</f>
        <v>0</v>
      </c>
      <c r="V529" s="723">
        <f>IF(A529='Data Entry - SOF'!B$2,'Data Entry - SOF'!S$102,0)</f>
        <v>0</v>
      </c>
    </row>
    <row r="530" spans="1:22" ht="15.75">
      <c r="A530" s="382" t="s">
        <v>1325</v>
      </c>
      <c r="B530" s="91">
        <v>141832560</v>
      </c>
      <c r="C530" s="944">
        <f>IF(A530='Data Entry - SOF'!B$2,'Report-SOF1718'!D$102,0)</f>
        <v>0</v>
      </c>
      <c r="D530" s="1037">
        <f>IF(A530='Data Entry - SOF'!B$2,'Data Entry - SOF'!#REF!,0)</f>
        <v>0</v>
      </c>
      <c r="E530" s="91">
        <f t="shared" si="48"/>
        <v>141832560</v>
      </c>
      <c r="F530" s="944">
        <f>IF(A530='Data Entry - SOF'!B$2,'Report-SOF1819'!D$102,0)</f>
        <v>0</v>
      </c>
      <c r="G530" s="1037">
        <f>IF(A530='Data Entry - SOF'!B$2,'Data Entry - SOF'!E$102,0)</f>
        <v>0</v>
      </c>
      <c r="H530" s="1038">
        <f t="shared" si="50"/>
        <v>141832560</v>
      </c>
      <c r="I530" s="944">
        <f>IF(A530='Data Entry - SOF'!B$2,'Report-SOF1920-HB3'!D$102,0)</f>
        <v>0</v>
      </c>
      <c r="J530" s="1037">
        <f>IF(A530='Data Entry - SOF'!B$2,'Data Entry - SOF'!G$102,0)</f>
        <v>0</v>
      </c>
      <c r="K530" s="717">
        <f t="shared" si="51"/>
        <v>141832560</v>
      </c>
      <c r="L530" s="944">
        <f>IF(A530='Data Entry - SOF'!B$2,'Report-SOF2021'!D$99,0)</f>
        <v>0</v>
      </c>
      <c r="M530" s="723">
        <f>IF(A530='Data Entry - SOF'!B$2,'Data Entry - SOF'!M$102,0)</f>
        <v>0</v>
      </c>
      <c r="N530" s="717">
        <f t="shared" si="52"/>
        <v>141832560</v>
      </c>
      <c r="O530" s="944">
        <f>IF(A530='Data Entry - SOF'!B$2,'Report-SOF2122'!D$91,0)</f>
        <v>0</v>
      </c>
      <c r="P530" s="723">
        <f>IF(A530='Data Entry - SOF'!B$2,'Data Entry - SOF'!O$102,0)</f>
        <v>0</v>
      </c>
      <c r="Q530" s="601">
        <f t="shared" si="49"/>
        <v>141832560</v>
      </c>
      <c r="R530" s="944">
        <f>IF(A530='Data Entry - SOF'!B$2,'Report-SOF2223'!D$91,0)</f>
        <v>0</v>
      </c>
      <c r="S530" s="723">
        <f>IF(A530='Data Entry - SOF'!B$2,'Data Entry - SOF'!Q$102,0)</f>
        <v>0</v>
      </c>
      <c r="T530" s="601">
        <f t="shared" si="53"/>
        <v>141832560</v>
      </c>
      <c r="U530" s="944">
        <f>IF(A530='Data Entry - SOF'!B$2,'Report-SOF2324'!D$91,0)</f>
        <v>0</v>
      </c>
      <c r="V530" s="723">
        <f>IF(A530='Data Entry - SOF'!B$2,'Data Entry - SOF'!S$102,0)</f>
        <v>0</v>
      </c>
    </row>
    <row r="531" spans="1:22" ht="15.75">
      <c r="A531" s="382" t="s">
        <v>1326</v>
      </c>
      <c r="B531" s="91">
        <v>10609903</v>
      </c>
      <c r="C531" s="944">
        <f>IF(A531='Data Entry - SOF'!B$2,'Report-SOF1718'!D$102,0)</f>
        <v>0</v>
      </c>
      <c r="D531" s="1037">
        <f>IF(A531='Data Entry - SOF'!B$2,'Data Entry - SOF'!#REF!,0)</f>
        <v>0</v>
      </c>
      <c r="E531" s="91">
        <f t="shared" si="48"/>
        <v>10609903</v>
      </c>
      <c r="F531" s="944">
        <f>IF(A531='Data Entry - SOF'!B$2,'Report-SOF1819'!D$102,0)</f>
        <v>0</v>
      </c>
      <c r="G531" s="1037">
        <f>IF(A531='Data Entry - SOF'!B$2,'Data Entry - SOF'!E$102,0)</f>
        <v>0</v>
      </c>
      <c r="H531" s="1038">
        <f t="shared" si="50"/>
        <v>10609903</v>
      </c>
      <c r="I531" s="944">
        <f>IF(A531='Data Entry - SOF'!B$2,'Report-SOF1920-HB3'!D$102,0)</f>
        <v>0</v>
      </c>
      <c r="J531" s="1037">
        <f>IF(A531='Data Entry - SOF'!B$2,'Data Entry - SOF'!G$102,0)</f>
        <v>0</v>
      </c>
      <c r="K531" s="717">
        <f t="shared" si="51"/>
        <v>10609903</v>
      </c>
      <c r="L531" s="944">
        <f>IF(A531='Data Entry - SOF'!B$2,'Report-SOF2021'!D$99,0)</f>
        <v>0</v>
      </c>
      <c r="M531" s="723">
        <f>IF(A531='Data Entry - SOF'!B$2,'Data Entry - SOF'!M$102,0)</f>
        <v>0</v>
      </c>
      <c r="N531" s="717">
        <f t="shared" si="52"/>
        <v>10609903</v>
      </c>
      <c r="O531" s="944">
        <f>IF(A531='Data Entry - SOF'!B$2,'Report-SOF2122'!D$91,0)</f>
        <v>0</v>
      </c>
      <c r="P531" s="723">
        <f>IF(A531='Data Entry - SOF'!B$2,'Data Entry - SOF'!O$102,0)</f>
        <v>0</v>
      </c>
      <c r="Q531" s="601">
        <f t="shared" si="49"/>
        <v>10609903</v>
      </c>
      <c r="R531" s="944">
        <f>IF(A531='Data Entry - SOF'!B$2,'Report-SOF2223'!D$91,0)</f>
        <v>0</v>
      </c>
      <c r="S531" s="723">
        <f>IF(A531='Data Entry - SOF'!B$2,'Data Entry - SOF'!Q$102,0)</f>
        <v>0</v>
      </c>
      <c r="T531" s="601">
        <f t="shared" si="53"/>
        <v>10609903</v>
      </c>
      <c r="U531" s="944">
        <f>IF(A531='Data Entry - SOF'!B$2,'Report-SOF2324'!D$91,0)</f>
        <v>0</v>
      </c>
      <c r="V531" s="723">
        <f>IF(A531='Data Entry - SOF'!B$2,'Data Entry - SOF'!S$102,0)</f>
        <v>0</v>
      </c>
    </row>
    <row r="532" spans="1:22" ht="15.75">
      <c r="A532" s="382" t="s">
        <v>1309</v>
      </c>
      <c r="B532" s="91">
        <v>7808215</v>
      </c>
      <c r="C532" s="944">
        <f>IF(A532='Data Entry - SOF'!B$2,'Report-SOF1718'!D$102,0)</f>
        <v>0</v>
      </c>
      <c r="D532" s="1037">
        <f>IF(A532='Data Entry - SOF'!B$2,'Data Entry - SOF'!#REF!,0)</f>
        <v>0</v>
      </c>
      <c r="E532" s="91">
        <f t="shared" si="48"/>
        <v>7808215</v>
      </c>
      <c r="F532" s="944">
        <f>IF(A532='Data Entry - SOF'!B$2,'Report-SOF1819'!D$102,0)</f>
        <v>0</v>
      </c>
      <c r="G532" s="1037">
        <f>IF(A532='Data Entry - SOF'!B$2,'Data Entry - SOF'!E$102,0)</f>
        <v>0</v>
      </c>
      <c r="H532" s="1038">
        <f t="shared" si="50"/>
        <v>7808215</v>
      </c>
      <c r="I532" s="944">
        <f>IF(A532='Data Entry - SOF'!B$2,'Report-SOF1920-HB3'!D$102,0)</f>
        <v>0</v>
      </c>
      <c r="J532" s="1037">
        <f>IF(A532='Data Entry - SOF'!B$2,'Data Entry - SOF'!G$102,0)</f>
        <v>0</v>
      </c>
      <c r="K532" s="717">
        <f t="shared" si="51"/>
        <v>7808215</v>
      </c>
      <c r="L532" s="944">
        <f>IF(A532='Data Entry - SOF'!B$2,'Report-SOF2021'!D$99,0)</f>
        <v>0</v>
      </c>
      <c r="M532" s="723">
        <f>IF(A532='Data Entry - SOF'!B$2,'Data Entry - SOF'!M$102,0)</f>
        <v>0</v>
      </c>
      <c r="N532" s="717">
        <f t="shared" si="52"/>
        <v>7808215</v>
      </c>
      <c r="O532" s="944">
        <f>IF(A532='Data Entry - SOF'!B$2,'Report-SOF2122'!D$91,0)</f>
        <v>0</v>
      </c>
      <c r="P532" s="723">
        <f>IF(A532='Data Entry - SOF'!B$2,'Data Entry - SOF'!O$102,0)</f>
        <v>0</v>
      </c>
      <c r="Q532" s="601">
        <f t="shared" si="49"/>
        <v>7808215</v>
      </c>
      <c r="R532" s="944">
        <f>IF(A532='Data Entry - SOF'!B$2,'Report-SOF2223'!D$91,0)</f>
        <v>0</v>
      </c>
      <c r="S532" s="723">
        <f>IF(A532='Data Entry - SOF'!B$2,'Data Entry - SOF'!Q$102,0)</f>
        <v>0</v>
      </c>
      <c r="T532" s="601">
        <f t="shared" si="53"/>
        <v>7808215</v>
      </c>
      <c r="U532" s="944">
        <f>IF(A532='Data Entry - SOF'!B$2,'Report-SOF2324'!D$91,0)</f>
        <v>0</v>
      </c>
      <c r="V532" s="723">
        <f>IF(A532='Data Entry - SOF'!B$2,'Data Entry - SOF'!S$102,0)</f>
        <v>0</v>
      </c>
    </row>
    <row r="533" spans="1:22" ht="15.75">
      <c r="A533" s="382" t="s">
        <v>1327</v>
      </c>
      <c r="B533" s="91">
        <v>4629906</v>
      </c>
      <c r="C533" s="944">
        <f>IF(A533='Data Entry - SOF'!B$2,'Report-SOF1718'!D$102,0)</f>
        <v>0</v>
      </c>
      <c r="D533" s="1037">
        <f>IF(A533='Data Entry - SOF'!B$2,'Data Entry - SOF'!#REF!,0)</f>
        <v>0</v>
      </c>
      <c r="E533" s="91">
        <f t="shared" si="48"/>
        <v>4629906</v>
      </c>
      <c r="F533" s="944">
        <f>IF(A533='Data Entry - SOF'!B$2,'Report-SOF1819'!D$102,0)</f>
        <v>0</v>
      </c>
      <c r="G533" s="1037">
        <f>IF(A533='Data Entry - SOF'!B$2,'Data Entry - SOF'!E$102,0)</f>
        <v>0</v>
      </c>
      <c r="H533" s="1038">
        <f t="shared" si="50"/>
        <v>4629906</v>
      </c>
      <c r="I533" s="944">
        <f>IF(A533='Data Entry - SOF'!B$2,'Report-SOF1920-HB3'!D$102,0)</f>
        <v>0</v>
      </c>
      <c r="J533" s="1037">
        <f>IF(A533='Data Entry - SOF'!B$2,'Data Entry - SOF'!G$102,0)</f>
        <v>0</v>
      </c>
      <c r="K533" s="717">
        <f t="shared" si="51"/>
        <v>4629906</v>
      </c>
      <c r="L533" s="944">
        <f>IF(A533='Data Entry - SOF'!B$2,'Report-SOF2021'!D$99,0)</f>
        <v>0</v>
      </c>
      <c r="M533" s="723">
        <f>IF(A533='Data Entry - SOF'!B$2,'Data Entry - SOF'!M$102,0)</f>
        <v>0</v>
      </c>
      <c r="N533" s="717">
        <f t="shared" si="52"/>
        <v>4629906</v>
      </c>
      <c r="O533" s="944">
        <f>IF(A533='Data Entry - SOF'!B$2,'Report-SOF2122'!D$91,0)</f>
        <v>0</v>
      </c>
      <c r="P533" s="723">
        <f>IF(A533='Data Entry - SOF'!B$2,'Data Entry - SOF'!O$102,0)</f>
        <v>0</v>
      </c>
      <c r="Q533" s="601">
        <f t="shared" si="49"/>
        <v>4629906</v>
      </c>
      <c r="R533" s="944">
        <f>IF(A533='Data Entry - SOF'!B$2,'Report-SOF2223'!D$91,0)</f>
        <v>0</v>
      </c>
      <c r="S533" s="723">
        <f>IF(A533='Data Entry - SOF'!B$2,'Data Entry - SOF'!Q$102,0)</f>
        <v>0</v>
      </c>
      <c r="T533" s="601">
        <f t="shared" si="53"/>
        <v>4629906</v>
      </c>
      <c r="U533" s="944">
        <f>IF(A533='Data Entry - SOF'!B$2,'Report-SOF2324'!D$91,0)</f>
        <v>0</v>
      </c>
      <c r="V533" s="723">
        <f>IF(A533='Data Entry - SOF'!B$2,'Data Entry - SOF'!S$102,0)</f>
        <v>0</v>
      </c>
    </row>
    <row r="534" spans="1:22" ht="15.75">
      <c r="A534" s="382" t="s">
        <v>2019</v>
      </c>
      <c r="B534" s="91">
        <v>11354875</v>
      </c>
      <c r="C534" s="944">
        <f>IF(A534='Data Entry - SOF'!B$2,'Report-SOF1718'!D$102,0)</f>
        <v>0</v>
      </c>
      <c r="D534" s="1037">
        <f>IF(A534='Data Entry - SOF'!B$2,'Data Entry - SOF'!#REF!,0)</f>
        <v>0</v>
      </c>
      <c r="E534" s="91">
        <f t="shared" si="48"/>
        <v>11354875</v>
      </c>
      <c r="F534" s="944">
        <f>IF(A534='Data Entry - SOF'!B$2,'Report-SOF1819'!D$102,0)</f>
        <v>0</v>
      </c>
      <c r="G534" s="1037">
        <f>IF(A534='Data Entry - SOF'!B$2,'Data Entry - SOF'!E$102,0)</f>
        <v>0</v>
      </c>
      <c r="H534" s="1038">
        <f t="shared" si="50"/>
        <v>11354875</v>
      </c>
      <c r="I534" s="944">
        <f>IF(A534='Data Entry - SOF'!B$2,'Report-SOF1920-HB3'!D$102,0)</f>
        <v>0</v>
      </c>
      <c r="J534" s="1037">
        <f>IF(A534='Data Entry - SOF'!B$2,'Data Entry - SOF'!G$102,0)</f>
        <v>0</v>
      </c>
      <c r="K534" s="717">
        <f t="shared" si="51"/>
        <v>11354875</v>
      </c>
      <c r="L534" s="944">
        <f>IF(A534='Data Entry - SOF'!B$2,'Report-SOF2021'!D$99,0)</f>
        <v>0</v>
      </c>
      <c r="M534" s="723">
        <f>IF(A534='Data Entry - SOF'!B$2,'Data Entry - SOF'!M$102,0)</f>
        <v>0</v>
      </c>
      <c r="N534" s="717">
        <f t="shared" si="52"/>
        <v>11354875</v>
      </c>
      <c r="O534" s="944">
        <f>IF(A534='Data Entry - SOF'!B$2,'Report-SOF2122'!D$91,0)</f>
        <v>0</v>
      </c>
      <c r="P534" s="723">
        <f>IF(A534='Data Entry - SOF'!B$2,'Data Entry - SOF'!O$102,0)</f>
        <v>0</v>
      </c>
      <c r="Q534" s="601">
        <f t="shared" si="49"/>
        <v>11354875</v>
      </c>
      <c r="R534" s="944">
        <f>IF(A534='Data Entry - SOF'!B$2,'Report-SOF2223'!D$91,0)</f>
        <v>0</v>
      </c>
      <c r="S534" s="723">
        <f>IF(A534='Data Entry - SOF'!B$2,'Data Entry - SOF'!Q$102,0)</f>
        <v>0</v>
      </c>
      <c r="T534" s="601">
        <f t="shared" si="53"/>
        <v>11354875</v>
      </c>
      <c r="U534" s="944">
        <f>IF(A534='Data Entry - SOF'!B$2,'Report-SOF2324'!D$91,0)</f>
        <v>0</v>
      </c>
      <c r="V534" s="723">
        <f>IF(A534='Data Entry - SOF'!B$2,'Data Entry - SOF'!S$102,0)</f>
        <v>0</v>
      </c>
    </row>
    <row r="535" spans="1:22" ht="15.75">
      <c r="A535" s="382" t="s">
        <v>2323</v>
      </c>
      <c r="B535" s="91">
        <v>244487</v>
      </c>
      <c r="C535" s="944">
        <f>IF(A535='Data Entry - SOF'!B$2,'Report-SOF1718'!D$102,0)</f>
        <v>0</v>
      </c>
      <c r="D535" s="1037">
        <f>IF(A535='Data Entry - SOF'!B$2,'Data Entry - SOF'!#REF!,0)</f>
        <v>0</v>
      </c>
      <c r="E535" s="91">
        <f t="shared" si="48"/>
        <v>244487</v>
      </c>
      <c r="F535" s="944">
        <f>IF(A535='Data Entry - SOF'!B$2,'Report-SOF1819'!D$102,0)</f>
        <v>0</v>
      </c>
      <c r="G535" s="1037">
        <f>IF(A535='Data Entry - SOF'!B$2,'Data Entry - SOF'!E$102,0)</f>
        <v>0</v>
      </c>
      <c r="H535" s="1038">
        <f t="shared" si="50"/>
        <v>244487</v>
      </c>
      <c r="I535" s="944">
        <f>IF(A535='Data Entry - SOF'!B$2,'Report-SOF1920-HB3'!D$102,0)</f>
        <v>0</v>
      </c>
      <c r="J535" s="1037">
        <f>IF(A535='Data Entry - SOF'!B$2,'Data Entry - SOF'!G$102,0)</f>
        <v>0</v>
      </c>
      <c r="K535" s="717">
        <f t="shared" si="51"/>
        <v>244487</v>
      </c>
      <c r="L535" s="944">
        <f>IF(A535='Data Entry - SOF'!B$2,'Report-SOF2021'!D$99,0)</f>
        <v>0</v>
      </c>
      <c r="M535" s="723">
        <f>IF(A535='Data Entry - SOF'!B$2,'Data Entry - SOF'!M$102,0)</f>
        <v>0</v>
      </c>
      <c r="N535" s="717">
        <f t="shared" si="52"/>
        <v>244487</v>
      </c>
      <c r="O535" s="944">
        <f>IF(A535='Data Entry - SOF'!B$2,'Report-SOF2122'!D$91,0)</f>
        <v>0</v>
      </c>
      <c r="P535" s="723">
        <f>IF(A535='Data Entry - SOF'!B$2,'Data Entry - SOF'!O$102,0)</f>
        <v>0</v>
      </c>
      <c r="Q535" s="601">
        <f t="shared" si="49"/>
        <v>244487</v>
      </c>
      <c r="R535" s="944">
        <f>IF(A535='Data Entry - SOF'!B$2,'Report-SOF2223'!D$91,0)</f>
        <v>0</v>
      </c>
      <c r="S535" s="723">
        <f>IF(A535='Data Entry - SOF'!B$2,'Data Entry - SOF'!Q$102,0)</f>
        <v>0</v>
      </c>
      <c r="T535" s="601">
        <f t="shared" si="53"/>
        <v>244487</v>
      </c>
      <c r="U535" s="944">
        <f>IF(A535='Data Entry - SOF'!B$2,'Report-SOF2324'!D$91,0)</f>
        <v>0</v>
      </c>
      <c r="V535" s="723">
        <f>IF(A535='Data Entry - SOF'!B$2,'Data Entry - SOF'!S$102,0)</f>
        <v>0</v>
      </c>
    </row>
    <row r="536" spans="1:22" ht="15.75">
      <c r="A536" s="382" t="s">
        <v>1413</v>
      </c>
      <c r="B536" s="91">
        <v>629880</v>
      </c>
      <c r="C536" s="944">
        <f>IF(A536='Data Entry - SOF'!B$2,'Report-SOF1718'!D$102,0)</f>
        <v>0</v>
      </c>
      <c r="D536" s="1037">
        <f>IF(A536='Data Entry - SOF'!B$2,'Data Entry - SOF'!#REF!,0)</f>
        <v>0</v>
      </c>
      <c r="E536" s="91">
        <f t="shared" si="48"/>
        <v>629880</v>
      </c>
      <c r="F536" s="944">
        <f>IF(A536='Data Entry - SOF'!B$2,'Report-SOF1819'!D$102,0)</f>
        <v>0</v>
      </c>
      <c r="G536" s="1037">
        <f>IF(A536='Data Entry - SOF'!B$2,'Data Entry - SOF'!E$102,0)</f>
        <v>0</v>
      </c>
      <c r="H536" s="1038">
        <f t="shared" si="50"/>
        <v>629880</v>
      </c>
      <c r="I536" s="944">
        <f>IF(A536='Data Entry - SOF'!B$2,'Report-SOF1920-HB3'!D$102,0)</f>
        <v>0</v>
      </c>
      <c r="J536" s="1037">
        <f>IF(A536='Data Entry - SOF'!B$2,'Data Entry - SOF'!G$102,0)</f>
        <v>0</v>
      </c>
      <c r="K536" s="717">
        <f t="shared" si="51"/>
        <v>629880</v>
      </c>
      <c r="L536" s="944">
        <f>IF(A536='Data Entry - SOF'!B$2,'Report-SOF2021'!D$99,0)</f>
        <v>0</v>
      </c>
      <c r="M536" s="723">
        <f>IF(A536='Data Entry - SOF'!B$2,'Data Entry - SOF'!M$102,0)</f>
        <v>0</v>
      </c>
      <c r="N536" s="717">
        <f t="shared" si="52"/>
        <v>629880</v>
      </c>
      <c r="O536" s="944">
        <f>IF(A536='Data Entry - SOF'!B$2,'Report-SOF2122'!D$91,0)</f>
        <v>0</v>
      </c>
      <c r="P536" s="723">
        <f>IF(A536='Data Entry - SOF'!B$2,'Data Entry - SOF'!O$102,0)</f>
        <v>0</v>
      </c>
      <c r="Q536" s="601">
        <f t="shared" si="49"/>
        <v>629880</v>
      </c>
      <c r="R536" s="944">
        <f>IF(A536='Data Entry - SOF'!B$2,'Report-SOF2223'!D$91,0)</f>
        <v>0</v>
      </c>
      <c r="S536" s="723">
        <f>IF(A536='Data Entry - SOF'!B$2,'Data Entry - SOF'!Q$102,0)</f>
        <v>0</v>
      </c>
      <c r="T536" s="601">
        <f t="shared" si="53"/>
        <v>629880</v>
      </c>
      <c r="U536" s="944">
        <f>IF(A536='Data Entry - SOF'!B$2,'Report-SOF2324'!D$91,0)</f>
        <v>0</v>
      </c>
      <c r="V536" s="723">
        <f>IF(A536='Data Entry - SOF'!B$2,'Data Entry - SOF'!S$102,0)</f>
        <v>0</v>
      </c>
    </row>
    <row r="537" spans="1:22" ht="15.75">
      <c r="A537" s="382" t="s">
        <v>216</v>
      </c>
      <c r="B537" s="91">
        <v>1273108</v>
      </c>
      <c r="C537" s="944">
        <f>IF(A537='Data Entry - SOF'!B$2,'Report-SOF1718'!D$102,0)</f>
        <v>0</v>
      </c>
      <c r="D537" s="1037">
        <f>IF(A537='Data Entry - SOF'!B$2,'Data Entry - SOF'!#REF!,0)</f>
        <v>0</v>
      </c>
      <c r="E537" s="91">
        <f t="shared" si="48"/>
        <v>1273108</v>
      </c>
      <c r="F537" s="944">
        <f>IF(A537='Data Entry - SOF'!B$2,'Report-SOF1819'!D$102,0)</f>
        <v>0</v>
      </c>
      <c r="G537" s="1037">
        <f>IF(A537='Data Entry - SOF'!B$2,'Data Entry - SOF'!E$102,0)</f>
        <v>0</v>
      </c>
      <c r="H537" s="1038">
        <f t="shared" si="50"/>
        <v>1273108</v>
      </c>
      <c r="I537" s="944">
        <f>IF(A537='Data Entry - SOF'!B$2,'Report-SOF1920-HB3'!D$102,0)</f>
        <v>0</v>
      </c>
      <c r="J537" s="1037">
        <f>IF(A537='Data Entry - SOF'!B$2,'Data Entry - SOF'!G$102,0)</f>
        <v>0</v>
      </c>
      <c r="K537" s="717">
        <f t="shared" si="51"/>
        <v>1273108</v>
      </c>
      <c r="L537" s="944">
        <f>IF(A537='Data Entry - SOF'!B$2,'Report-SOF2021'!D$99,0)</f>
        <v>0</v>
      </c>
      <c r="M537" s="723">
        <f>IF(A537='Data Entry - SOF'!B$2,'Data Entry - SOF'!M$102,0)</f>
        <v>0</v>
      </c>
      <c r="N537" s="717">
        <f t="shared" si="52"/>
        <v>1273108</v>
      </c>
      <c r="O537" s="944">
        <f>IF(A537='Data Entry - SOF'!B$2,'Report-SOF2122'!D$91,0)</f>
        <v>0</v>
      </c>
      <c r="P537" s="723">
        <f>IF(A537='Data Entry - SOF'!B$2,'Data Entry - SOF'!O$102,0)</f>
        <v>0</v>
      </c>
      <c r="Q537" s="601">
        <f t="shared" si="49"/>
        <v>1273108</v>
      </c>
      <c r="R537" s="944">
        <f>IF(A537='Data Entry - SOF'!B$2,'Report-SOF2223'!D$91,0)</f>
        <v>0</v>
      </c>
      <c r="S537" s="723">
        <f>IF(A537='Data Entry - SOF'!B$2,'Data Entry - SOF'!Q$102,0)</f>
        <v>0</v>
      </c>
      <c r="T537" s="601">
        <f t="shared" si="53"/>
        <v>1273108</v>
      </c>
      <c r="U537" s="944">
        <f>IF(A537='Data Entry - SOF'!B$2,'Report-SOF2324'!D$91,0)</f>
        <v>0</v>
      </c>
      <c r="V537" s="723">
        <f>IF(A537='Data Entry - SOF'!B$2,'Data Entry - SOF'!S$102,0)</f>
        <v>0</v>
      </c>
    </row>
    <row r="538" spans="1:22" ht="15.75">
      <c r="A538" s="382" t="s">
        <v>1328</v>
      </c>
      <c r="B538" s="91">
        <v>321389</v>
      </c>
      <c r="C538" s="944">
        <f>IF(A538='Data Entry - SOF'!B$2,'Report-SOF1718'!D$102,0)</f>
        <v>0</v>
      </c>
      <c r="D538" s="1037">
        <f>IF(A538='Data Entry - SOF'!B$2,'Data Entry - SOF'!#REF!,0)</f>
        <v>0</v>
      </c>
      <c r="E538" s="91">
        <f t="shared" si="48"/>
        <v>321389</v>
      </c>
      <c r="F538" s="944">
        <f>IF(A538='Data Entry - SOF'!B$2,'Report-SOF1819'!D$102,0)</f>
        <v>0</v>
      </c>
      <c r="G538" s="1037">
        <f>IF(A538='Data Entry - SOF'!B$2,'Data Entry - SOF'!E$102,0)</f>
        <v>0</v>
      </c>
      <c r="H538" s="1038">
        <f t="shared" si="50"/>
        <v>321389</v>
      </c>
      <c r="I538" s="944">
        <f>IF(A538='Data Entry - SOF'!B$2,'Report-SOF1920-HB3'!D$102,0)</f>
        <v>0</v>
      </c>
      <c r="J538" s="1037">
        <f>IF(A538='Data Entry - SOF'!B$2,'Data Entry - SOF'!G$102,0)</f>
        <v>0</v>
      </c>
      <c r="K538" s="717">
        <f t="shared" si="51"/>
        <v>321389</v>
      </c>
      <c r="L538" s="944">
        <f>IF(A538='Data Entry - SOF'!B$2,'Report-SOF2021'!D$99,0)</f>
        <v>0</v>
      </c>
      <c r="M538" s="723">
        <f>IF(A538='Data Entry - SOF'!B$2,'Data Entry - SOF'!M$102,0)</f>
        <v>0</v>
      </c>
      <c r="N538" s="717">
        <f t="shared" si="52"/>
        <v>321389</v>
      </c>
      <c r="O538" s="944">
        <f>IF(A538='Data Entry - SOF'!B$2,'Report-SOF2122'!D$91,0)</f>
        <v>0</v>
      </c>
      <c r="P538" s="723">
        <f>IF(A538='Data Entry - SOF'!B$2,'Data Entry - SOF'!O$102,0)</f>
        <v>0</v>
      </c>
      <c r="Q538" s="601">
        <f t="shared" si="49"/>
        <v>321389</v>
      </c>
      <c r="R538" s="944">
        <f>IF(A538='Data Entry - SOF'!B$2,'Report-SOF2223'!D$91,0)</f>
        <v>0</v>
      </c>
      <c r="S538" s="723">
        <f>IF(A538='Data Entry - SOF'!B$2,'Data Entry - SOF'!Q$102,0)</f>
        <v>0</v>
      </c>
      <c r="T538" s="601">
        <f t="shared" si="53"/>
        <v>321389</v>
      </c>
      <c r="U538" s="944">
        <f>IF(A538='Data Entry - SOF'!B$2,'Report-SOF2324'!D$91,0)</f>
        <v>0</v>
      </c>
      <c r="V538" s="723">
        <f>IF(A538='Data Entry - SOF'!B$2,'Data Entry - SOF'!S$102,0)</f>
        <v>0</v>
      </c>
    </row>
    <row r="539" spans="1:22" ht="15.75">
      <c r="A539" s="382" t="s">
        <v>195</v>
      </c>
      <c r="B539" s="91">
        <v>24343925</v>
      </c>
      <c r="C539" s="944">
        <f>IF(A539='Data Entry - SOF'!B$2,'Report-SOF1718'!D$102,0)</f>
        <v>0</v>
      </c>
      <c r="D539" s="1037">
        <f>IF(A539='Data Entry - SOF'!B$2,'Data Entry - SOF'!#REF!,0)</f>
        <v>0</v>
      </c>
      <c r="E539" s="91">
        <f t="shared" si="48"/>
        <v>24343925</v>
      </c>
      <c r="F539" s="944">
        <f>IF(A539='Data Entry - SOF'!B$2,'Report-SOF1819'!D$102,0)</f>
        <v>0</v>
      </c>
      <c r="G539" s="1037">
        <f>IF(A539='Data Entry - SOF'!B$2,'Data Entry - SOF'!E$102,0)</f>
        <v>0</v>
      </c>
      <c r="H539" s="1038">
        <f t="shared" si="50"/>
        <v>24343925</v>
      </c>
      <c r="I539" s="944">
        <f>IF(A539='Data Entry - SOF'!B$2,'Report-SOF1920-HB3'!D$102,0)</f>
        <v>0</v>
      </c>
      <c r="J539" s="1037">
        <f>IF(A539='Data Entry - SOF'!B$2,'Data Entry - SOF'!G$102,0)</f>
        <v>0</v>
      </c>
      <c r="K539" s="717">
        <f t="shared" si="51"/>
        <v>24343925</v>
      </c>
      <c r="L539" s="944">
        <f>IF(A539='Data Entry - SOF'!B$2,'Report-SOF2021'!D$99,0)</f>
        <v>0</v>
      </c>
      <c r="M539" s="723">
        <f>IF(A539='Data Entry - SOF'!B$2,'Data Entry - SOF'!M$102,0)</f>
        <v>0</v>
      </c>
      <c r="N539" s="717">
        <f t="shared" si="52"/>
        <v>24343925</v>
      </c>
      <c r="O539" s="944">
        <f>IF(A539='Data Entry - SOF'!B$2,'Report-SOF2122'!D$91,0)</f>
        <v>0</v>
      </c>
      <c r="P539" s="723">
        <f>IF(A539='Data Entry - SOF'!B$2,'Data Entry - SOF'!O$102,0)</f>
        <v>0</v>
      </c>
      <c r="Q539" s="601">
        <f t="shared" si="49"/>
        <v>24343925</v>
      </c>
      <c r="R539" s="944">
        <f>IF(A539='Data Entry - SOF'!B$2,'Report-SOF2223'!D$91,0)</f>
        <v>0</v>
      </c>
      <c r="S539" s="723">
        <f>IF(A539='Data Entry - SOF'!B$2,'Data Entry - SOF'!Q$102,0)</f>
        <v>0</v>
      </c>
      <c r="T539" s="601">
        <f t="shared" si="53"/>
        <v>24343925</v>
      </c>
      <c r="U539" s="944">
        <f>IF(A539='Data Entry - SOF'!B$2,'Report-SOF2324'!D$91,0)</f>
        <v>0</v>
      </c>
      <c r="V539" s="723">
        <f>IF(A539='Data Entry - SOF'!B$2,'Data Entry - SOF'!S$102,0)</f>
        <v>0</v>
      </c>
    </row>
    <row r="540" spans="1:22" ht="15.75">
      <c r="A540" s="382" t="s">
        <v>1884</v>
      </c>
      <c r="B540" s="91">
        <v>90011479</v>
      </c>
      <c r="C540" s="944">
        <f>IF(A540='Data Entry - SOF'!B$2,'Report-SOF1718'!D$102,0)</f>
        <v>0</v>
      </c>
      <c r="D540" s="1037">
        <f>IF(A540='Data Entry - SOF'!B$2,'Data Entry - SOF'!#REF!,0)</f>
        <v>0</v>
      </c>
      <c r="E540" s="91">
        <f t="shared" si="48"/>
        <v>90011479</v>
      </c>
      <c r="F540" s="944">
        <f>IF(A540='Data Entry - SOF'!B$2,'Report-SOF1819'!D$102,0)</f>
        <v>0</v>
      </c>
      <c r="G540" s="1037">
        <f>IF(A540='Data Entry - SOF'!B$2,'Data Entry - SOF'!E$102,0)</f>
        <v>0</v>
      </c>
      <c r="H540" s="1038">
        <f t="shared" si="50"/>
        <v>90011479</v>
      </c>
      <c r="I540" s="944">
        <f>IF(A540='Data Entry - SOF'!B$2,'Report-SOF1920-HB3'!D$102,0)</f>
        <v>0</v>
      </c>
      <c r="J540" s="1037">
        <f>IF(A540='Data Entry - SOF'!B$2,'Data Entry - SOF'!G$102,0)</f>
        <v>0</v>
      </c>
      <c r="K540" s="717">
        <f t="shared" si="51"/>
        <v>90011479</v>
      </c>
      <c r="L540" s="944">
        <f>IF(A540='Data Entry - SOF'!B$2,'Report-SOF2021'!D$99,0)</f>
        <v>0</v>
      </c>
      <c r="M540" s="723">
        <f>IF(A540='Data Entry - SOF'!B$2,'Data Entry - SOF'!M$102,0)</f>
        <v>0</v>
      </c>
      <c r="N540" s="717">
        <f t="shared" si="52"/>
        <v>90011479</v>
      </c>
      <c r="O540" s="944">
        <f>IF(A540='Data Entry - SOF'!B$2,'Report-SOF2122'!D$91,0)</f>
        <v>0</v>
      </c>
      <c r="P540" s="723">
        <f>IF(A540='Data Entry - SOF'!B$2,'Data Entry - SOF'!O$102,0)</f>
        <v>0</v>
      </c>
      <c r="Q540" s="601">
        <f t="shared" si="49"/>
        <v>90011479</v>
      </c>
      <c r="R540" s="944">
        <f>IF(A540='Data Entry - SOF'!B$2,'Report-SOF2223'!D$91,0)</f>
        <v>0</v>
      </c>
      <c r="S540" s="723">
        <f>IF(A540='Data Entry - SOF'!B$2,'Data Entry - SOF'!Q$102,0)</f>
        <v>0</v>
      </c>
      <c r="T540" s="601">
        <f t="shared" si="53"/>
        <v>90011479</v>
      </c>
      <c r="U540" s="944">
        <f>IF(A540='Data Entry - SOF'!B$2,'Report-SOF2324'!D$91,0)</f>
        <v>0</v>
      </c>
      <c r="V540" s="723">
        <f>IF(A540='Data Entry - SOF'!B$2,'Data Entry - SOF'!S$102,0)</f>
        <v>0</v>
      </c>
    </row>
    <row r="541" spans="1:22" ht="15.75">
      <c r="A541" s="382" t="s">
        <v>574</v>
      </c>
      <c r="B541" s="91">
        <v>36854568</v>
      </c>
      <c r="C541" s="944">
        <f>IF(A541='Data Entry - SOF'!B$2,'Report-SOF1718'!D$102,0)</f>
        <v>0</v>
      </c>
      <c r="D541" s="1037">
        <f>IF(A541='Data Entry - SOF'!B$2,'Data Entry - SOF'!#REF!,0)</f>
        <v>0</v>
      </c>
      <c r="E541" s="91">
        <f t="shared" si="48"/>
        <v>36854568</v>
      </c>
      <c r="F541" s="944">
        <f>IF(A541='Data Entry - SOF'!B$2,'Report-SOF1819'!D$102,0)</f>
        <v>0</v>
      </c>
      <c r="G541" s="1037">
        <f>IF(A541='Data Entry - SOF'!B$2,'Data Entry - SOF'!E$102,0)</f>
        <v>0</v>
      </c>
      <c r="H541" s="1038">
        <f t="shared" si="50"/>
        <v>36854568</v>
      </c>
      <c r="I541" s="944">
        <f>IF(A541='Data Entry - SOF'!B$2,'Report-SOF1920-HB3'!D$102,0)</f>
        <v>0</v>
      </c>
      <c r="J541" s="1037">
        <f>IF(A541='Data Entry - SOF'!B$2,'Data Entry - SOF'!G$102,0)</f>
        <v>0</v>
      </c>
      <c r="K541" s="717">
        <f t="shared" si="51"/>
        <v>36854568</v>
      </c>
      <c r="L541" s="944">
        <f>IF(A541='Data Entry - SOF'!B$2,'Report-SOF2021'!D$99,0)</f>
        <v>0</v>
      </c>
      <c r="M541" s="723">
        <f>IF(A541='Data Entry - SOF'!B$2,'Data Entry - SOF'!M$102,0)</f>
        <v>0</v>
      </c>
      <c r="N541" s="717">
        <f t="shared" si="52"/>
        <v>36854568</v>
      </c>
      <c r="O541" s="944">
        <f>IF(A541='Data Entry - SOF'!B$2,'Report-SOF2122'!D$91,0)</f>
        <v>0</v>
      </c>
      <c r="P541" s="723">
        <f>IF(A541='Data Entry - SOF'!B$2,'Data Entry - SOF'!O$102,0)</f>
        <v>0</v>
      </c>
      <c r="Q541" s="601">
        <f t="shared" si="49"/>
        <v>36854568</v>
      </c>
      <c r="R541" s="944">
        <f>IF(A541='Data Entry - SOF'!B$2,'Report-SOF2223'!D$91,0)</f>
        <v>0</v>
      </c>
      <c r="S541" s="723">
        <f>IF(A541='Data Entry - SOF'!B$2,'Data Entry - SOF'!Q$102,0)</f>
        <v>0</v>
      </c>
      <c r="T541" s="601">
        <f t="shared" si="53"/>
        <v>36854568</v>
      </c>
      <c r="U541" s="944">
        <f>IF(A541='Data Entry - SOF'!B$2,'Report-SOF2324'!D$91,0)</f>
        <v>0</v>
      </c>
      <c r="V541" s="723">
        <f>IF(A541='Data Entry - SOF'!B$2,'Data Entry - SOF'!S$102,0)</f>
        <v>0</v>
      </c>
    </row>
    <row r="542" spans="1:22" ht="15.75">
      <c r="A542" s="382" t="s">
        <v>1798</v>
      </c>
      <c r="B542" s="91">
        <v>2743261</v>
      </c>
      <c r="C542" s="944">
        <f>IF(A542='Data Entry - SOF'!B$2,'Report-SOF1718'!D$102,0)</f>
        <v>0</v>
      </c>
      <c r="D542" s="1037">
        <f>IF(A542='Data Entry - SOF'!B$2,'Data Entry - SOF'!#REF!,0)</f>
        <v>0</v>
      </c>
      <c r="E542" s="91">
        <f t="shared" si="48"/>
        <v>2743261</v>
      </c>
      <c r="F542" s="944">
        <f>IF(A542='Data Entry - SOF'!B$2,'Report-SOF1819'!D$102,0)</f>
        <v>0</v>
      </c>
      <c r="G542" s="1037">
        <f>IF(A542='Data Entry - SOF'!B$2,'Data Entry - SOF'!E$102,0)</f>
        <v>0</v>
      </c>
      <c r="H542" s="1038">
        <f t="shared" si="50"/>
        <v>2743261</v>
      </c>
      <c r="I542" s="944">
        <f>IF(A542='Data Entry - SOF'!B$2,'Report-SOF1920-HB3'!D$102,0)</f>
        <v>0</v>
      </c>
      <c r="J542" s="1037">
        <f>IF(A542='Data Entry - SOF'!B$2,'Data Entry - SOF'!G$102,0)</f>
        <v>0</v>
      </c>
      <c r="K542" s="717">
        <f t="shared" si="51"/>
        <v>2743261</v>
      </c>
      <c r="L542" s="944">
        <f>IF(A542='Data Entry - SOF'!B$2,'Report-SOF2021'!D$99,0)</f>
        <v>0</v>
      </c>
      <c r="M542" s="723">
        <f>IF(A542='Data Entry - SOF'!B$2,'Data Entry - SOF'!M$102,0)</f>
        <v>0</v>
      </c>
      <c r="N542" s="717">
        <f t="shared" si="52"/>
        <v>2743261</v>
      </c>
      <c r="O542" s="944">
        <f>IF(A542='Data Entry - SOF'!B$2,'Report-SOF2122'!D$91,0)</f>
        <v>0</v>
      </c>
      <c r="P542" s="723">
        <f>IF(A542='Data Entry - SOF'!B$2,'Data Entry - SOF'!O$102,0)</f>
        <v>0</v>
      </c>
      <c r="Q542" s="601">
        <f t="shared" si="49"/>
        <v>2743261</v>
      </c>
      <c r="R542" s="944">
        <f>IF(A542='Data Entry - SOF'!B$2,'Report-SOF2223'!D$91,0)</f>
        <v>0</v>
      </c>
      <c r="S542" s="723">
        <f>IF(A542='Data Entry - SOF'!B$2,'Data Entry - SOF'!Q$102,0)</f>
        <v>0</v>
      </c>
      <c r="T542" s="601">
        <f t="shared" si="53"/>
        <v>2743261</v>
      </c>
      <c r="U542" s="944">
        <f>IF(A542='Data Entry - SOF'!B$2,'Report-SOF2324'!D$91,0)</f>
        <v>0</v>
      </c>
      <c r="V542" s="723">
        <f>IF(A542='Data Entry - SOF'!B$2,'Data Entry - SOF'!S$102,0)</f>
        <v>0</v>
      </c>
    </row>
    <row r="543" spans="1:22" ht="15.75">
      <c r="A543" s="382" t="s">
        <v>45</v>
      </c>
      <c r="B543" s="91">
        <v>18010899</v>
      </c>
      <c r="C543" s="944">
        <f>IF(A543='Data Entry - SOF'!B$2,'Report-SOF1718'!D$102,0)</f>
        <v>0</v>
      </c>
      <c r="D543" s="1037">
        <f>IF(A543='Data Entry - SOF'!B$2,'Data Entry - SOF'!#REF!,0)</f>
        <v>0</v>
      </c>
      <c r="E543" s="91">
        <f t="shared" si="48"/>
        <v>18010899</v>
      </c>
      <c r="F543" s="944">
        <f>IF(A543='Data Entry - SOF'!B$2,'Report-SOF1819'!D$102,0)</f>
        <v>0</v>
      </c>
      <c r="G543" s="1037">
        <f>IF(A543='Data Entry - SOF'!B$2,'Data Entry - SOF'!E$102,0)</f>
        <v>0</v>
      </c>
      <c r="H543" s="1038">
        <f t="shared" si="50"/>
        <v>18010899</v>
      </c>
      <c r="I543" s="944">
        <f>IF(A543='Data Entry - SOF'!B$2,'Report-SOF1920-HB3'!D$102,0)</f>
        <v>0</v>
      </c>
      <c r="J543" s="1037">
        <f>IF(A543='Data Entry - SOF'!B$2,'Data Entry - SOF'!G$102,0)</f>
        <v>0</v>
      </c>
      <c r="K543" s="717">
        <f t="shared" si="51"/>
        <v>18010899</v>
      </c>
      <c r="L543" s="944">
        <f>IF(A543='Data Entry - SOF'!B$2,'Report-SOF2021'!D$99,0)</f>
        <v>0</v>
      </c>
      <c r="M543" s="723">
        <f>IF(A543='Data Entry - SOF'!B$2,'Data Entry - SOF'!M$102,0)</f>
        <v>0</v>
      </c>
      <c r="N543" s="717">
        <f t="shared" si="52"/>
        <v>18010899</v>
      </c>
      <c r="O543" s="944">
        <f>IF(A543='Data Entry - SOF'!B$2,'Report-SOF2122'!D$91,0)</f>
        <v>0</v>
      </c>
      <c r="P543" s="723">
        <f>IF(A543='Data Entry - SOF'!B$2,'Data Entry - SOF'!O$102,0)</f>
        <v>0</v>
      </c>
      <c r="Q543" s="601">
        <f t="shared" si="49"/>
        <v>18010899</v>
      </c>
      <c r="R543" s="944">
        <f>IF(A543='Data Entry - SOF'!B$2,'Report-SOF2223'!D$91,0)</f>
        <v>0</v>
      </c>
      <c r="S543" s="723">
        <f>IF(A543='Data Entry - SOF'!B$2,'Data Entry - SOF'!Q$102,0)</f>
        <v>0</v>
      </c>
      <c r="T543" s="601">
        <f t="shared" si="53"/>
        <v>18010899</v>
      </c>
      <c r="U543" s="944">
        <f>IF(A543='Data Entry - SOF'!B$2,'Report-SOF2324'!D$91,0)</f>
        <v>0</v>
      </c>
      <c r="V543" s="723">
        <f>IF(A543='Data Entry - SOF'!B$2,'Data Entry - SOF'!S$102,0)</f>
        <v>0</v>
      </c>
    </row>
    <row r="544" spans="1:22" ht="15.75">
      <c r="A544" s="382" t="s">
        <v>1329</v>
      </c>
      <c r="B544" s="91">
        <v>3182068</v>
      </c>
      <c r="C544" s="944">
        <f>IF(A544='Data Entry - SOF'!B$2,'Report-SOF1718'!D$102,0)</f>
        <v>0</v>
      </c>
      <c r="D544" s="1037">
        <f>IF(A544='Data Entry - SOF'!B$2,'Data Entry - SOF'!#REF!,0)</f>
        <v>0</v>
      </c>
      <c r="E544" s="91">
        <f t="shared" si="48"/>
        <v>3182068</v>
      </c>
      <c r="F544" s="944">
        <f>IF(A544='Data Entry - SOF'!B$2,'Report-SOF1819'!D$102,0)</f>
        <v>0</v>
      </c>
      <c r="G544" s="1037">
        <f>IF(A544='Data Entry - SOF'!B$2,'Data Entry - SOF'!E$102,0)</f>
        <v>0</v>
      </c>
      <c r="H544" s="1038">
        <f t="shared" si="50"/>
        <v>3182068</v>
      </c>
      <c r="I544" s="944">
        <f>IF(A544='Data Entry - SOF'!B$2,'Report-SOF1920-HB3'!D$102,0)</f>
        <v>0</v>
      </c>
      <c r="J544" s="1037">
        <f>IF(A544='Data Entry - SOF'!B$2,'Data Entry - SOF'!G$102,0)</f>
        <v>0</v>
      </c>
      <c r="K544" s="717">
        <f t="shared" si="51"/>
        <v>3182068</v>
      </c>
      <c r="L544" s="944">
        <f>IF(A544='Data Entry - SOF'!B$2,'Report-SOF2021'!D$99,0)</f>
        <v>0</v>
      </c>
      <c r="M544" s="723">
        <f>IF(A544='Data Entry - SOF'!B$2,'Data Entry - SOF'!M$102,0)</f>
        <v>0</v>
      </c>
      <c r="N544" s="717">
        <f t="shared" si="52"/>
        <v>3182068</v>
      </c>
      <c r="O544" s="944">
        <f>IF(A544='Data Entry - SOF'!B$2,'Report-SOF2122'!D$91,0)</f>
        <v>0</v>
      </c>
      <c r="P544" s="723">
        <f>IF(A544='Data Entry - SOF'!B$2,'Data Entry - SOF'!O$102,0)</f>
        <v>0</v>
      </c>
      <c r="Q544" s="601">
        <f t="shared" si="49"/>
        <v>3182068</v>
      </c>
      <c r="R544" s="944">
        <f>IF(A544='Data Entry - SOF'!B$2,'Report-SOF2223'!D$91,0)</f>
        <v>0</v>
      </c>
      <c r="S544" s="723">
        <f>IF(A544='Data Entry - SOF'!B$2,'Data Entry - SOF'!Q$102,0)</f>
        <v>0</v>
      </c>
      <c r="T544" s="601">
        <f t="shared" si="53"/>
        <v>3182068</v>
      </c>
      <c r="U544" s="944">
        <f>IF(A544='Data Entry - SOF'!B$2,'Report-SOF2324'!D$91,0)</f>
        <v>0</v>
      </c>
      <c r="V544" s="723">
        <f>IF(A544='Data Entry - SOF'!B$2,'Data Entry - SOF'!S$102,0)</f>
        <v>0</v>
      </c>
    </row>
    <row r="545" spans="1:22" ht="15.75">
      <c r="A545" s="382" t="s">
        <v>2324</v>
      </c>
      <c r="B545" s="91">
        <v>4201674</v>
      </c>
      <c r="C545" s="944">
        <f>IF(A545='Data Entry - SOF'!B$2,'Report-SOF1718'!D$102,0)</f>
        <v>0</v>
      </c>
      <c r="D545" s="1037">
        <f>IF(A545='Data Entry - SOF'!B$2,'Data Entry - SOF'!#REF!,0)</f>
        <v>0</v>
      </c>
      <c r="E545" s="91">
        <f t="shared" si="48"/>
        <v>4201674</v>
      </c>
      <c r="F545" s="944">
        <f>IF(A545='Data Entry - SOF'!B$2,'Report-SOF1819'!D$102,0)</f>
        <v>0</v>
      </c>
      <c r="G545" s="1037">
        <f>IF(A545='Data Entry - SOF'!B$2,'Data Entry - SOF'!E$102,0)</f>
        <v>0</v>
      </c>
      <c r="H545" s="1038">
        <f t="shared" si="50"/>
        <v>4201674</v>
      </c>
      <c r="I545" s="944">
        <f>IF(A545='Data Entry - SOF'!B$2,'Report-SOF1920-HB3'!D$102,0)</f>
        <v>0</v>
      </c>
      <c r="J545" s="1037">
        <f>IF(A545='Data Entry - SOF'!B$2,'Data Entry - SOF'!G$102,0)</f>
        <v>0</v>
      </c>
      <c r="K545" s="717">
        <f t="shared" si="51"/>
        <v>4201674</v>
      </c>
      <c r="L545" s="944">
        <f>IF(A545='Data Entry - SOF'!B$2,'Report-SOF2021'!D$99,0)</f>
        <v>0</v>
      </c>
      <c r="M545" s="723">
        <f>IF(A545='Data Entry - SOF'!B$2,'Data Entry - SOF'!M$102,0)</f>
        <v>0</v>
      </c>
      <c r="N545" s="717">
        <f t="shared" si="52"/>
        <v>4201674</v>
      </c>
      <c r="O545" s="944">
        <f>IF(A545='Data Entry - SOF'!B$2,'Report-SOF2122'!D$91,0)</f>
        <v>0</v>
      </c>
      <c r="P545" s="723">
        <f>IF(A545='Data Entry - SOF'!B$2,'Data Entry - SOF'!O$102,0)</f>
        <v>0</v>
      </c>
      <c r="Q545" s="601">
        <f t="shared" si="49"/>
        <v>4201674</v>
      </c>
      <c r="R545" s="944">
        <f>IF(A545='Data Entry - SOF'!B$2,'Report-SOF2223'!D$91,0)</f>
        <v>0</v>
      </c>
      <c r="S545" s="723">
        <f>IF(A545='Data Entry - SOF'!B$2,'Data Entry - SOF'!Q$102,0)</f>
        <v>0</v>
      </c>
      <c r="T545" s="601">
        <f t="shared" si="53"/>
        <v>4201674</v>
      </c>
      <c r="U545" s="944">
        <f>IF(A545='Data Entry - SOF'!B$2,'Report-SOF2324'!D$91,0)</f>
        <v>0</v>
      </c>
      <c r="V545" s="723">
        <f>IF(A545='Data Entry - SOF'!B$2,'Data Entry - SOF'!S$102,0)</f>
        <v>0</v>
      </c>
    </row>
    <row r="546" spans="1:22" ht="15.75">
      <c r="A546" s="382" t="s">
        <v>255</v>
      </c>
      <c r="B546" s="91">
        <v>2522418</v>
      </c>
      <c r="C546" s="944">
        <f>IF(A546='Data Entry - SOF'!B$2,'Report-SOF1718'!D$102,0)</f>
        <v>0</v>
      </c>
      <c r="D546" s="1037">
        <f>IF(A546='Data Entry - SOF'!B$2,'Data Entry - SOF'!#REF!,0)</f>
        <v>0</v>
      </c>
      <c r="E546" s="91">
        <f t="shared" si="48"/>
        <v>2522418</v>
      </c>
      <c r="F546" s="944">
        <f>IF(A546='Data Entry - SOF'!B$2,'Report-SOF1819'!D$102,0)</f>
        <v>0</v>
      </c>
      <c r="G546" s="1037">
        <f>IF(A546='Data Entry - SOF'!B$2,'Data Entry - SOF'!E$102,0)</f>
        <v>0</v>
      </c>
      <c r="H546" s="1038">
        <f t="shared" si="50"/>
        <v>2522418</v>
      </c>
      <c r="I546" s="944">
        <f>IF(A546='Data Entry - SOF'!B$2,'Report-SOF1920-HB3'!D$102,0)</f>
        <v>0</v>
      </c>
      <c r="J546" s="1037">
        <f>IF(A546='Data Entry - SOF'!B$2,'Data Entry - SOF'!G$102,0)</f>
        <v>0</v>
      </c>
      <c r="K546" s="717">
        <f t="shared" si="51"/>
        <v>2522418</v>
      </c>
      <c r="L546" s="944">
        <f>IF(A546='Data Entry - SOF'!B$2,'Report-SOF2021'!D$99,0)</f>
        <v>0</v>
      </c>
      <c r="M546" s="723">
        <f>IF(A546='Data Entry - SOF'!B$2,'Data Entry - SOF'!M$102,0)</f>
        <v>0</v>
      </c>
      <c r="N546" s="717">
        <f t="shared" si="52"/>
        <v>2522418</v>
      </c>
      <c r="O546" s="944">
        <f>IF(A546='Data Entry - SOF'!B$2,'Report-SOF2122'!D$91,0)</f>
        <v>0</v>
      </c>
      <c r="P546" s="723">
        <f>IF(A546='Data Entry - SOF'!B$2,'Data Entry - SOF'!O$102,0)</f>
        <v>0</v>
      </c>
      <c r="Q546" s="601">
        <f t="shared" si="49"/>
        <v>2522418</v>
      </c>
      <c r="R546" s="944">
        <f>IF(A546='Data Entry - SOF'!B$2,'Report-SOF2223'!D$91,0)</f>
        <v>0</v>
      </c>
      <c r="S546" s="723">
        <f>IF(A546='Data Entry - SOF'!B$2,'Data Entry - SOF'!Q$102,0)</f>
        <v>0</v>
      </c>
      <c r="T546" s="601">
        <f t="shared" si="53"/>
        <v>2522418</v>
      </c>
      <c r="U546" s="944">
        <f>IF(A546='Data Entry - SOF'!B$2,'Report-SOF2324'!D$91,0)</f>
        <v>0</v>
      </c>
      <c r="V546" s="723">
        <f>IF(A546='Data Entry - SOF'!B$2,'Data Entry - SOF'!S$102,0)</f>
        <v>0</v>
      </c>
    </row>
    <row r="547" spans="1:22" ht="15.75">
      <c r="A547" s="382" t="s">
        <v>1263</v>
      </c>
      <c r="B547" s="91">
        <v>13948487</v>
      </c>
      <c r="C547" s="944">
        <f>IF(A547='Data Entry - SOF'!B$2,'Report-SOF1718'!D$102,0)</f>
        <v>0</v>
      </c>
      <c r="D547" s="1037">
        <f>IF(A547='Data Entry - SOF'!B$2,'Data Entry - SOF'!#REF!,0)</f>
        <v>0</v>
      </c>
      <c r="E547" s="91">
        <f t="shared" si="48"/>
        <v>13948487</v>
      </c>
      <c r="F547" s="944">
        <f>IF(A547='Data Entry - SOF'!B$2,'Report-SOF1819'!D$102,0)</f>
        <v>0</v>
      </c>
      <c r="G547" s="1037">
        <f>IF(A547='Data Entry - SOF'!B$2,'Data Entry - SOF'!E$102,0)</f>
        <v>0</v>
      </c>
      <c r="H547" s="1038">
        <f t="shared" si="50"/>
        <v>13948487</v>
      </c>
      <c r="I547" s="944">
        <f>IF(A547='Data Entry - SOF'!B$2,'Report-SOF1920-HB3'!D$102,0)</f>
        <v>0</v>
      </c>
      <c r="J547" s="1037">
        <f>IF(A547='Data Entry - SOF'!B$2,'Data Entry - SOF'!G$102,0)</f>
        <v>0</v>
      </c>
      <c r="K547" s="717">
        <f t="shared" si="51"/>
        <v>13948487</v>
      </c>
      <c r="L547" s="944">
        <f>IF(A547='Data Entry - SOF'!B$2,'Report-SOF2021'!D$99,0)</f>
        <v>0</v>
      </c>
      <c r="M547" s="723">
        <f>IF(A547='Data Entry - SOF'!B$2,'Data Entry - SOF'!M$102,0)</f>
        <v>0</v>
      </c>
      <c r="N547" s="717">
        <f t="shared" si="52"/>
        <v>13948487</v>
      </c>
      <c r="O547" s="944">
        <f>IF(A547='Data Entry - SOF'!B$2,'Report-SOF2122'!D$91,0)</f>
        <v>0</v>
      </c>
      <c r="P547" s="723">
        <f>IF(A547='Data Entry - SOF'!B$2,'Data Entry - SOF'!O$102,0)</f>
        <v>0</v>
      </c>
      <c r="Q547" s="601">
        <f t="shared" si="49"/>
        <v>13948487</v>
      </c>
      <c r="R547" s="944">
        <f>IF(A547='Data Entry - SOF'!B$2,'Report-SOF2223'!D$91,0)</f>
        <v>0</v>
      </c>
      <c r="S547" s="723">
        <f>IF(A547='Data Entry - SOF'!B$2,'Data Entry - SOF'!Q$102,0)</f>
        <v>0</v>
      </c>
      <c r="T547" s="601">
        <f t="shared" si="53"/>
        <v>13948487</v>
      </c>
      <c r="U547" s="944">
        <f>IF(A547='Data Entry - SOF'!B$2,'Report-SOF2324'!D$91,0)</f>
        <v>0</v>
      </c>
      <c r="V547" s="723">
        <f>IF(A547='Data Entry - SOF'!B$2,'Data Entry - SOF'!S$102,0)</f>
        <v>0</v>
      </c>
    </row>
    <row r="548" spans="1:22" ht="15.75">
      <c r="A548" s="382" t="s">
        <v>2097</v>
      </c>
      <c r="B548" s="91">
        <v>1253043</v>
      </c>
      <c r="C548" s="944">
        <f>IF(A548='Data Entry - SOF'!B$2,'Report-SOF1718'!D$102,0)</f>
        <v>0</v>
      </c>
      <c r="D548" s="1037">
        <f>IF(A548='Data Entry - SOF'!B$2,'Data Entry - SOF'!#REF!,0)</f>
        <v>0</v>
      </c>
      <c r="E548" s="91">
        <f t="shared" si="48"/>
        <v>1253043</v>
      </c>
      <c r="F548" s="944">
        <f>IF(A548='Data Entry - SOF'!B$2,'Report-SOF1819'!D$102,0)</f>
        <v>0</v>
      </c>
      <c r="G548" s="1037">
        <f>IF(A548='Data Entry - SOF'!B$2,'Data Entry - SOF'!E$102,0)</f>
        <v>0</v>
      </c>
      <c r="H548" s="1038">
        <f t="shared" si="50"/>
        <v>1253043</v>
      </c>
      <c r="I548" s="944">
        <f>IF(A548='Data Entry - SOF'!B$2,'Report-SOF1920-HB3'!D$102,0)</f>
        <v>0</v>
      </c>
      <c r="J548" s="1037">
        <f>IF(A548='Data Entry - SOF'!B$2,'Data Entry - SOF'!G$102,0)</f>
        <v>0</v>
      </c>
      <c r="K548" s="717">
        <f t="shared" si="51"/>
        <v>1253043</v>
      </c>
      <c r="L548" s="944">
        <f>IF(A548='Data Entry - SOF'!B$2,'Report-SOF2021'!D$99,0)</f>
        <v>0</v>
      </c>
      <c r="M548" s="723">
        <f>IF(A548='Data Entry - SOF'!B$2,'Data Entry - SOF'!M$102,0)</f>
        <v>0</v>
      </c>
      <c r="N548" s="717">
        <f t="shared" si="52"/>
        <v>1253043</v>
      </c>
      <c r="O548" s="944">
        <f>IF(A548='Data Entry - SOF'!B$2,'Report-SOF2122'!D$91,0)</f>
        <v>0</v>
      </c>
      <c r="P548" s="723">
        <f>IF(A548='Data Entry - SOF'!B$2,'Data Entry - SOF'!O$102,0)</f>
        <v>0</v>
      </c>
      <c r="Q548" s="601">
        <f t="shared" si="49"/>
        <v>1253043</v>
      </c>
      <c r="R548" s="944">
        <f>IF(A548='Data Entry - SOF'!B$2,'Report-SOF2223'!D$91,0)</f>
        <v>0</v>
      </c>
      <c r="S548" s="723">
        <f>IF(A548='Data Entry - SOF'!B$2,'Data Entry - SOF'!Q$102,0)</f>
        <v>0</v>
      </c>
      <c r="T548" s="601">
        <f t="shared" si="53"/>
        <v>1253043</v>
      </c>
      <c r="U548" s="944">
        <f>IF(A548='Data Entry - SOF'!B$2,'Report-SOF2324'!D$91,0)</f>
        <v>0</v>
      </c>
      <c r="V548" s="723">
        <f>IF(A548='Data Entry - SOF'!B$2,'Data Entry - SOF'!S$102,0)</f>
        <v>0</v>
      </c>
    </row>
    <row r="549" spans="1:22" ht="15.75">
      <c r="A549" s="382" t="s">
        <v>1330</v>
      </c>
      <c r="B549" s="91">
        <v>1487130</v>
      </c>
      <c r="C549" s="944">
        <f>IF(A549='Data Entry - SOF'!B$2,'Report-SOF1718'!D$102,0)</f>
        <v>0</v>
      </c>
      <c r="D549" s="1037">
        <f>IF(A549='Data Entry - SOF'!B$2,'Data Entry - SOF'!#REF!,0)</f>
        <v>0</v>
      </c>
      <c r="E549" s="91">
        <f t="shared" si="48"/>
        <v>1487130</v>
      </c>
      <c r="F549" s="944">
        <f>IF(A549='Data Entry - SOF'!B$2,'Report-SOF1819'!D$102,0)</f>
        <v>0</v>
      </c>
      <c r="G549" s="1037">
        <f>IF(A549='Data Entry - SOF'!B$2,'Data Entry - SOF'!E$102,0)</f>
        <v>0</v>
      </c>
      <c r="H549" s="1038">
        <f t="shared" si="50"/>
        <v>1487130</v>
      </c>
      <c r="I549" s="944">
        <f>IF(A549='Data Entry - SOF'!B$2,'Report-SOF1920-HB3'!D$102,0)</f>
        <v>0</v>
      </c>
      <c r="J549" s="1037">
        <f>IF(A549='Data Entry - SOF'!B$2,'Data Entry - SOF'!G$102,0)</f>
        <v>0</v>
      </c>
      <c r="K549" s="717">
        <f t="shared" si="51"/>
        <v>1487130</v>
      </c>
      <c r="L549" s="944">
        <f>IF(A549='Data Entry - SOF'!B$2,'Report-SOF2021'!D$99,0)</f>
        <v>0</v>
      </c>
      <c r="M549" s="723">
        <f>IF(A549='Data Entry - SOF'!B$2,'Data Entry - SOF'!M$102,0)</f>
        <v>0</v>
      </c>
      <c r="N549" s="717">
        <f t="shared" si="52"/>
        <v>1487130</v>
      </c>
      <c r="O549" s="944">
        <f>IF(A549='Data Entry - SOF'!B$2,'Report-SOF2122'!D$91,0)</f>
        <v>0</v>
      </c>
      <c r="P549" s="723">
        <f>IF(A549='Data Entry - SOF'!B$2,'Data Entry - SOF'!O$102,0)</f>
        <v>0</v>
      </c>
      <c r="Q549" s="601">
        <f t="shared" si="49"/>
        <v>1487130</v>
      </c>
      <c r="R549" s="944">
        <f>IF(A549='Data Entry - SOF'!B$2,'Report-SOF2223'!D$91,0)</f>
        <v>0</v>
      </c>
      <c r="S549" s="723">
        <f>IF(A549='Data Entry - SOF'!B$2,'Data Entry - SOF'!Q$102,0)</f>
        <v>0</v>
      </c>
      <c r="T549" s="601">
        <f t="shared" si="53"/>
        <v>1487130</v>
      </c>
      <c r="U549" s="944">
        <f>IF(A549='Data Entry - SOF'!B$2,'Report-SOF2324'!D$91,0)</f>
        <v>0</v>
      </c>
      <c r="V549" s="723">
        <f>IF(A549='Data Entry - SOF'!B$2,'Data Entry - SOF'!S$102,0)</f>
        <v>0</v>
      </c>
    </row>
    <row r="550" spans="1:22" ht="15.75">
      <c r="A550" s="382" t="s">
        <v>1862</v>
      </c>
      <c r="B550" s="91">
        <v>894823</v>
      </c>
      <c r="C550" s="944">
        <f>IF(A550='Data Entry - SOF'!B$2,'Report-SOF1718'!D$102,0)</f>
        <v>0</v>
      </c>
      <c r="D550" s="1037">
        <f>IF(A550='Data Entry - SOF'!B$2,'Data Entry - SOF'!#REF!,0)</f>
        <v>0</v>
      </c>
      <c r="E550" s="91">
        <f t="shared" si="48"/>
        <v>894823</v>
      </c>
      <c r="F550" s="944">
        <f>IF(A550='Data Entry - SOF'!B$2,'Report-SOF1819'!D$102,0)</f>
        <v>0</v>
      </c>
      <c r="G550" s="1037">
        <f>IF(A550='Data Entry - SOF'!B$2,'Data Entry - SOF'!E$102,0)</f>
        <v>0</v>
      </c>
      <c r="H550" s="1038">
        <f t="shared" si="50"/>
        <v>894823</v>
      </c>
      <c r="I550" s="944">
        <f>IF(A550='Data Entry - SOF'!B$2,'Report-SOF1920-HB3'!D$102,0)</f>
        <v>0</v>
      </c>
      <c r="J550" s="1037">
        <f>IF(A550='Data Entry - SOF'!B$2,'Data Entry - SOF'!G$102,0)</f>
        <v>0</v>
      </c>
      <c r="K550" s="717">
        <f t="shared" si="51"/>
        <v>894823</v>
      </c>
      <c r="L550" s="944">
        <f>IF(A550='Data Entry - SOF'!B$2,'Report-SOF2021'!D$99,0)</f>
        <v>0</v>
      </c>
      <c r="M550" s="723">
        <f>IF(A550='Data Entry - SOF'!B$2,'Data Entry - SOF'!M$102,0)</f>
        <v>0</v>
      </c>
      <c r="N550" s="717">
        <f t="shared" si="52"/>
        <v>894823</v>
      </c>
      <c r="O550" s="944">
        <f>IF(A550='Data Entry - SOF'!B$2,'Report-SOF2122'!D$91,0)</f>
        <v>0</v>
      </c>
      <c r="P550" s="723">
        <f>IF(A550='Data Entry - SOF'!B$2,'Data Entry - SOF'!O$102,0)</f>
        <v>0</v>
      </c>
      <c r="Q550" s="601">
        <f t="shared" si="49"/>
        <v>894823</v>
      </c>
      <c r="R550" s="944">
        <f>IF(A550='Data Entry - SOF'!B$2,'Report-SOF2223'!D$91,0)</f>
        <v>0</v>
      </c>
      <c r="S550" s="723">
        <f>IF(A550='Data Entry - SOF'!B$2,'Data Entry - SOF'!Q$102,0)</f>
        <v>0</v>
      </c>
      <c r="T550" s="601">
        <f t="shared" si="53"/>
        <v>894823</v>
      </c>
      <c r="U550" s="944">
        <f>IF(A550='Data Entry - SOF'!B$2,'Report-SOF2324'!D$91,0)</f>
        <v>0</v>
      </c>
      <c r="V550" s="723">
        <f>IF(A550='Data Entry - SOF'!B$2,'Data Entry - SOF'!S$102,0)</f>
        <v>0</v>
      </c>
    </row>
    <row r="551" spans="1:22" ht="15.75">
      <c r="A551" s="382" t="s">
        <v>2510</v>
      </c>
      <c r="B551" s="91">
        <v>580247</v>
      </c>
      <c r="C551" s="944">
        <f>IF(A551='Data Entry - SOF'!B$2,'Report-SOF1718'!D$102,0)</f>
        <v>0</v>
      </c>
      <c r="D551" s="1037">
        <f>IF(A551='Data Entry - SOF'!B$2,'Data Entry - SOF'!#REF!,0)</f>
        <v>0</v>
      </c>
      <c r="E551" s="91">
        <f t="shared" si="48"/>
        <v>580247</v>
      </c>
      <c r="F551" s="944">
        <f>IF(A551='Data Entry - SOF'!B$2,'Report-SOF1819'!D$102,0)</f>
        <v>0</v>
      </c>
      <c r="G551" s="1037">
        <f>IF(A551='Data Entry - SOF'!B$2,'Data Entry - SOF'!E$102,0)</f>
        <v>0</v>
      </c>
      <c r="H551" s="1038">
        <f t="shared" si="50"/>
        <v>580247</v>
      </c>
      <c r="I551" s="944">
        <f>IF(A551='Data Entry - SOF'!B$2,'Report-SOF1920-HB3'!D$102,0)</f>
        <v>0</v>
      </c>
      <c r="J551" s="1037">
        <f>IF(A551='Data Entry - SOF'!B$2,'Data Entry - SOF'!G$102,0)</f>
        <v>0</v>
      </c>
      <c r="K551" s="717">
        <f t="shared" si="51"/>
        <v>580247</v>
      </c>
      <c r="L551" s="944">
        <f>IF(A551='Data Entry - SOF'!B$2,'Report-SOF2021'!D$99,0)</f>
        <v>0</v>
      </c>
      <c r="M551" s="723">
        <f>IF(A551='Data Entry - SOF'!B$2,'Data Entry - SOF'!M$102,0)</f>
        <v>0</v>
      </c>
      <c r="N551" s="717">
        <f t="shared" si="52"/>
        <v>580247</v>
      </c>
      <c r="O551" s="944">
        <f>IF(A551='Data Entry - SOF'!B$2,'Report-SOF2122'!D$91,0)</f>
        <v>0</v>
      </c>
      <c r="P551" s="723">
        <f>IF(A551='Data Entry - SOF'!B$2,'Data Entry - SOF'!O$102,0)</f>
        <v>0</v>
      </c>
      <c r="Q551" s="601">
        <f t="shared" si="49"/>
        <v>580247</v>
      </c>
      <c r="R551" s="944">
        <f>IF(A551='Data Entry - SOF'!B$2,'Report-SOF2223'!D$91,0)</f>
        <v>0</v>
      </c>
      <c r="S551" s="723">
        <f>IF(A551='Data Entry - SOF'!B$2,'Data Entry - SOF'!Q$102,0)</f>
        <v>0</v>
      </c>
      <c r="T551" s="601">
        <f t="shared" si="53"/>
        <v>580247</v>
      </c>
      <c r="U551" s="944">
        <f>IF(A551='Data Entry - SOF'!B$2,'Report-SOF2324'!D$91,0)</f>
        <v>0</v>
      </c>
      <c r="V551" s="723">
        <f>IF(A551='Data Entry - SOF'!B$2,'Data Entry - SOF'!S$102,0)</f>
        <v>0</v>
      </c>
    </row>
    <row r="552" spans="1:22" ht="15.75">
      <c r="A552" s="382" t="s">
        <v>259</v>
      </c>
      <c r="B552" s="91">
        <v>1036077</v>
      </c>
      <c r="C552" s="944">
        <f>IF(A552='Data Entry - SOF'!B$2,'Report-SOF1718'!D$102,0)</f>
        <v>0</v>
      </c>
      <c r="D552" s="1037">
        <f>IF(A552='Data Entry - SOF'!B$2,'Data Entry - SOF'!#REF!,0)</f>
        <v>0</v>
      </c>
      <c r="E552" s="91">
        <f t="shared" si="48"/>
        <v>1036077</v>
      </c>
      <c r="F552" s="944">
        <f>IF(A552='Data Entry - SOF'!B$2,'Report-SOF1819'!D$102,0)</f>
        <v>0</v>
      </c>
      <c r="G552" s="1037">
        <f>IF(A552='Data Entry - SOF'!B$2,'Data Entry - SOF'!E$102,0)</f>
        <v>0</v>
      </c>
      <c r="H552" s="1038">
        <f t="shared" si="50"/>
        <v>1036077</v>
      </c>
      <c r="I552" s="944">
        <f>IF(A552='Data Entry - SOF'!B$2,'Report-SOF1920-HB3'!D$102,0)</f>
        <v>0</v>
      </c>
      <c r="J552" s="1037">
        <f>IF(A552='Data Entry - SOF'!B$2,'Data Entry - SOF'!G$102,0)</f>
        <v>0</v>
      </c>
      <c r="K552" s="717">
        <f t="shared" si="51"/>
        <v>1036077</v>
      </c>
      <c r="L552" s="944">
        <f>IF(A552='Data Entry - SOF'!B$2,'Report-SOF2021'!D$99,0)</f>
        <v>0</v>
      </c>
      <c r="M552" s="723">
        <f>IF(A552='Data Entry - SOF'!B$2,'Data Entry - SOF'!M$102,0)</f>
        <v>0</v>
      </c>
      <c r="N552" s="717">
        <f t="shared" si="52"/>
        <v>1036077</v>
      </c>
      <c r="O552" s="944">
        <f>IF(A552='Data Entry - SOF'!B$2,'Report-SOF2122'!D$91,0)</f>
        <v>0</v>
      </c>
      <c r="P552" s="723">
        <f>IF(A552='Data Entry - SOF'!B$2,'Data Entry - SOF'!O$102,0)</f>
        <v>0</v>
      </c>
      <c r="Q552" s="601">
        <f t="shared" si="49"/>
        <v>1036077</v>
      </c>
      <c r="R552" s="944">
        <f>IF(A552='Data Entry - SOF'!B$2,'Report-SOF2223'!D$91,0)</f>
        <v>0</v>
      </c>
      <c r="S552" s="723">
        <f>IF(A552='Data Entry - SOF'!B$2,'Data Entry - SOF'!Q$102,0)</f>
        <v>0</v>
      </c>
      <c r="T552" s="601">
        <f t="shared" si="53"/>
        <v>1036077</v>
      </c>
      <c r="U552" s="944">
        <f>IF(A552='Data Entry - SOF'!B$2,'Report-SOF2324'!D$91,0)</f>
        <v>0</v>
      </c>
      <c r="V552" s="723">
        <f>IF(A552='Data Entry - SOF'!B$2,'Data Entry - SOF'!S$102,0)</f>
        <v>0</v>
      </c>
    </row>
    <row r="553" spans="1:22" ht="15.75">
      <c r="A553" s="382" t="s">
        <v>47</v>
      </c>
      <c r="B553" s="91">
        <v>43101076</v>
      </c>
      <c r="C553" s="944">
        <f>IF(A553='Data Entry - SOF'!B$2,'Report-SOF1718'!D$102,0)</f>
        <v>0</v>
      </c>
      <c r="D553" s="1037">
        <f>IF(A553='Data Entry - SOF'!B$2,'Data Entry - SOF'!#REF!,0)</f>
        <v>0</v>
      </c>
      <c r="E553" s="91">
        <f t="shared" si="48"/>
        <v>43101076</v>
      </c>
      <c r="F553" s="944">
        <f>IF(A553='Data Entry - SOF'!B$2,'Report-SOF1819'!D$102,0)</f>
        <v>0</v>
      </c>
      <c r="G553" s="1037">
        <f>IF(A553='Data Entry - SOF'!B$2,'Data Entry - SOF'!E$102,0)</f>
        <v>0</v>
      </c>
      <c r="H553" s="1038">
        <f t="shared" si="50"/>
        <v>43101076</v>
      </c>
      <c r="I553" s="944">
        <f>IF(A553='Data Entry - SOF'!B$2,'Report-SOF1920-HB3'!D$102,0)</f>
        <v>0</v>
      </c>
      <c r="J553" s="1037">
        <f>IF(A553='Data Entry - SOF'!B$2,'Data Entry - SOF'!G$102,0)</f>
        <v>0</v>
      </c>
      <c r="K553" s="717">
        <f t="shared" si="51"/>
        <v>43101076</v>
      </c>
      <c r="L553" s="944">
        <f>IF(A553='Data Entry - SOF'!B$2,'Report-SOF2021'!D$99,0)</f>
        <v>0</v>
      </c>
      <c r="M553" s="723">
        <f>IF(A553='Data Entry - SOF'!B$2,'Data Entry - SOF'!M$102,0)</f>
        <v>0</v>
      </c>
      <c r="N553" s="717">
        <f t="shared" si="52"/>
        <v>43101076</v>
      </c>
      <c r="O553" s="944">
        <f>IF(A553='Data Entry - SOF'!B$2,'Report-SOF2122'!D$91,0)</f>
        <v>0</v>
      </c>
      <c r="P553" s="723">
        <f>IF(A553='Data Entry - SOF'!B$2,'Data Entry - SOF'!O$102,0)</f>
        <v>0</v>
      </c>
      <c r="Q553" s="601">
        <f t="shared" si="49"/>
        <v>43101076</v>
      </c>
      <c r="R553" s="944">
        <f>IF(A553='Data Entry - SOF'!B$2,'Report-SOF2223'!D$91,0)</f>
        <v>0</v>
      </c>
      <c r="S553" s="723">
        <f>IF(A553='Data Entry - SOF'!B$2,'Data Entry - SOF'!Q$102,0)</f>
        <v>0</v>
      </c>
      <c r="T553" s="601">
        <f t="shared" si="53"/>
        <v>43101076</v>
      </c>
      <c r="U553" s="944">
        <f>IF(A553='Data Entry - SOF'!B$2,'Report-SOF2324'!D$91,0)</f>
        <v>0</v>
      </c>
      <c r="V553" s="723">
        <f>IF(A553='Data Entry - SOF'!B$2,'Data Entry - SOF'!S$102,0)</f>
        <v>0</v>
      </c>
    </row>
    <row r="554" spans="1:22" ht="15.75">
      <c r="A554" s="382" t="s">
        <v>2511</v>
      </c>
      <c r="B554" s="91">
        <v>20721587</v>
      </c>
      <c r="C554" s="944">
        <f>IF(A554='Data Entry - SOF'!B$2,'Report-SOF1718'!D$102,0)</f>
        <v>0</v>
      </c>
      <c r="D554" s="1037">
        <f>IF(A554='Data Entry - SOF'!B$2,'Data Entry - SOF'!#REF!,0)</f>
        <v>0</v>
      </c>
      <c r="E554" s="91">
        <f t="shared" si="48"/>
        <v>20721587</v>
      </c>
      <c r="F554" s="944">
        <f>IF(A554='Data Entry - SOF'!B$2,'Report-SOF1819'!D$102,0)</f>
        <v>0</v>
      </c>
      <c r="G554" s="1037">
        <f>IF(A554='Data Entry - SOF'!B$2,'Data Entry - SOF'!E$102,0)</f>
        <v>0</v>
      </c>
      <c r="H554" s="1038">
        <f t="shared" si="50"/>
        <v>20721587</v>
      </c>
      <c r="I554" s="944">
        <f>IF(A554='Data Entry - SOF'!B$2,'Report-SOF1920-HB3'!D$102,0)</f>
        <v>0</v>
      </c>
      <c r="J554" s="1037">
        <f>IF(A554='Data Entry - SOF'!B$2,'Data Entry - SOF'!G$102,0)</f>
        <v>0</v>
      </c>
      <c r="K554" s="717">
        <f t="shared" si="51"/>
        <v>20721587</v>
      </c>
      <c r="L554" s="944">
        <f>IF(A554='Data Entry - SOF'!B$2,'Report-SOF2021'!D$99,0)</f>
        <v>0</v>
      </c>
      <c r="M554" s="723">
        <f>IF(A554='Data Entry - SOF'!B$2,'Data Entry - SOF'!M$102,0)</f>
        <v>0</v>
      </c>
      <c r="N554" s="717">
        <f t="shared" si="52"/>
        <v>20721587</v>
      </c>
      <c r="O554" s="944">
        <f>IF(A554='Data Entry - SOF'!B$2,'Report-SOF2122'!D$91,0)</f>
        <v>0</v>
      </c>
      <c r="P554" s="723">
        <f>IF(A554='Data Entry - SOF'!B$2,'Data Entry - SOF'!O$102,0)</f>
        <v>0</v>
      </c>
      <c r="Q554" s="601">
        <f t="shared" si="49"/>
        <v>20721587</v>
      </c>
      <c r="R554" s="944">
        <f>IF(A554='Data Entry - SOF'!B$2,'Report-SOF2223'!D$91,0)</f>
        <v>0</v>
      </c>
      <c r="S554" s="723">
        <f>IF(A554='Data Entry - SOF'!B$2,'Data Entry - SOF'!Q$102,0)</f>
        <v>0</v>
      </c>
      <c r="T554" s="601">
        <f t="shared" si="53"/>
        <v>20721587</v>
      </c>
      <c r="U554" s="944">
        <f>IF(A554='Data Entry - SOF'!B$2,'Report-SOF2324'!D$91,0)</f>
        <v>0</v>
      </c>
      <c r="V554" s="723">
        <f>IF(A554='Data Entry - SOF'!B$2,'Data Entry - SOF'!S$102,0)</f>
        <v>0</v>
      </c>
    </row>
    <row r="555" spans="1:22" ht="15.75">
      <c r="A555" s="382" t="s">
        <v>1153</v>
      </c>
      <c r="B555" s="91">
        <v>15418475.389703199</v>
      </c>
      <c r="C555" s="944">
        <f>IF(A555='Data Entry - SOF'!B$2,'Report-SOF1718'!D$102,0)</f>
        <v>0</v>
      </c>
      <c r="D555" s="1037">
        <f>IF(A555='Data Entry - SOF'!B$2,'Data Entry - SOF'!#REF!,0)</f>
        <v>0</v>
      </c>
      <c r="E555" s="91">
        <f t="shared" si="48"/>
        <v>15418475.389703199</v>
      </c>
      <c r="F555" s="944">
        <f>IF(A555='Data Entry - SOF'!B$2,'Report-SOF1819'!D$102,0)</f>
        <v>0</v>
      </c>
      <c r="G555" s="1037">
        <f>IF(A555='Data Entry - SOF'!B$2,'Data Entry - SOF'!E$102,0)</f>
        <v>0</v>
      </c>
      <c r="H555" s="1038">
        <f t="shared" si="50"/>
        <v>15418475.389703199</v>
      </c>
      <c r="I555" s="944">
        <f>IF(A555='Data Entry - SOF'!B$2,'Report-SOF1920-HB3'!D$102,0)</f>
        <v>0</v>
      </c>
      <c r="J555" s="1037">
        <f>IF(A555='Data Entry - SOF'!B$2,'Data Entry - SOF'!G$102,0)</f>
        <v>0</v>
      </c>
      <c r="K555" s="717">
        <f t="shared" si="51"/>
        <v>15418475.389703199</v>
      </c>
      <c r="L555" s="944">
        <f>IF(A555='Data Entry - SOF'!B$2,'Report-SOF2021'!D$99,0)</f>
        <v>0</v>
      </c>
      <c r="M555" s="723">
        <f>IF(A555='Data Entry - SOF'!B$2,'Data Entry - SOF'!M$102,0)</f>
        <v>0</v>
      </c>
      <c r="N555" s="717">
        <f t="shared" si="52"/>
        <v>15418475.389703199</v>
      </c>
      <c r="O555" s="944">
        <f>IF(A555='Data Entry - SOF'!B$2,'Report-SOF2122'!D$91,0)</f>
        <v>0</v>
      </c>
      <c r="P555" s="723">
        <f>IF(A555='Data Entry - SOF'!B$2,'Data Entry - SOF'!O$102,0)</f>
        <v>0</v>
      </c>
      <c r="Q555" s="601">
        <f t="shared" si="49"/>
        <v>15418475.389703199</v>
      </c>
      <c r="R555" s="944">
        <f>IF(A555='Data Entry - SOF'!B$2,'Report-SOF2223'!D$91,0)</f>
        <v>0</v>
      </c>
      <c r="S555" s="723">
        <f>IF(A555='Data Entry - SOF'!B$2,'Data Entry - SOF'!Q$102,0)</f>
        <v>0</v>
      </c>
      <c r="T555" s="601">
        <f t="shared" si="53"/>
        <v>15418475.389703199</v>
      </c>
      <c r="U555" s="944">
        <f>IF(A555='Data Entry - SOF'!B$2,'Report-SOF2324'!D$91,0)</f>
        <v>0</v>
      </c>
      <c r="V555" s="723">
        <f>IF(A555='Data Entry - SOF'!B$2,'Data Entry - SOF'!S$102,0)</f>
        <v>0</v>
      </c>
    </row>
    <row r="556" spans="1:22" ht="15.75">
      <c r="A556" s="382" t="s">
        <v>1686</v>
      </c>
      <c r="B556" s="91">
        <v>20010134.421935599</v>
      </c>
      <c r="C556" s="944">
        <f>IF(A556='Data Entry - SOF'!B$2,'Report-SOF1718'!D$102,0)</f>
        <v>0</v>
      </c>
      <c r="D556" s="1037">
        <f>IF(A556='Data Entry - SOF'!B$2,'Data Entry - SOF'!#REF!,0)</f>
        <v>0</v>
      </c>
      <c r="E556" s="91">
        <f t="shared" si="48"/>
        <v>20010134.421935599</v>
      </c>
      <c r="F556" s="944">
        <f>IF(A556='Data Entry - SOF'!B$2,'Report-SOF1819'!D$102,0)</f>
        <v>0</v>
      </c>
      <c r="G556" s="1037">
        <f>IF(A556='Data Entry - SOF'!B$2,'Data Entry - SOF'!E$102,0)</f>
        <v>0</v>
      </c>
      <c r="H556" s="1038">
        <f t="shared" si="50"/>
        <v>20010134.421935599</v>
      </c>
      <c r="I556" s="944">
        <f>IF(A556='Data Entry - SOF'!B$2,'Report-SOF1920-HB3'!D$102,0)</f>
        <v>0</v>
      </c>
      <c r="J556" s="1037">
        <f>IF(A556='Data Entry - SOF'!B$2,'Data Entry - SOF'!G$102,0)</f>
        <v>0</v>
      </c>
      <c r="K556" s="717">
        <f t="shared" si="51"/>
        <v>20010134.421935599</v>
      </c>
      <c r="L556" s="944">
        <f>IF(A556='Data Entry - SOF'!B$2,'Report-SOF2021'!D$99,0)</f>
        <v>0</v>
      </c>
      <c r="M556" s="723">
        <f>IF(A556='Data Entry - SOF'!B$2,'Data Entry - SOF'!M$102,0)</f>
        <v>0</v>
      </c>
      <c r="N556" s="717">
        <f t="shared" si="52"/>
        <v>20010134.421935599</v>
      </c>
      <c r="O556" s="944">
        <f>IF(A556='Data Entry - SOF'!B$2,'Report-SOF2122'!D$91,0)</f>
        <v>0</v>
      </c>
      <c r="P556" s="723">
        <f>IF(A556='Data Entry - SOF'!B$2,'Data Entry - SOF'!O$102,0)</f>
        <v>0</v>
      </c>
      <c r="Q556" s="601">
        <f t="shared" si="49"/>
        <v>20010134.421935599</v>
      </c>
      <c r="R556" s="944">
        <f>IF(A556='Data Entry - SOF'!B$2,'Report-SOF2223'!D$91,0)</f>
        <v>0</v>
      </c>
      <c r="S556" s="723">
        <f>IF(A556='Data Entry - SOF'!B$2,'Data Entry - SOF'!Q$102,0)</f>
        <v>0</v>
      </c>
      <c r="T556" s="601">
        <f t="shared" si="53"/>
        <v>20010134.421935599</v>
      </c>
      <c r="U556" s="944">
        <f>IF(A556='Data Entry - SOF'!B$2,'Report-SOF2324'!D$91,0)</f>
        <v>0</v>
      </c>
      <c r="V556" s="723">
        <f>IF(A556='Data Entry - SOF'!B$2,'Data Entry - SOF'!S$102,0)</f>
        <v>0</v>
      </c>
    </row>
    <row r="557" spans="1:22" ht="15.75">
      <c r="A557" s="382" t="s">
        <v>2403</v>
      </c>
      <c r="B557" s="91">
        <v>11408848</v>
      </c>
      <c r="C557" s="944">
        <f>IF(A557='Data Entry - SOF'!B$2,'Report-SOF1718'!D$102,0)</f>
        <v>0</v>
      </c>
      <c r="D557" s="1037">
        <f>IF(A557='Data Entry - SOF'!B$2,'Data Entry - SOF'!#REF!,0)</f>
        <v>0</v>
      </c>
      <c r="E557" s="91">
        <f t="shared" si="48"/>
        <v>11408848</v>
      </c>
      <c r="F557" s="944">
        <f>IF(A557='Data Entry - SOF'!B$2,'Report-SOF1819'!D$102,0)</f>
        <v>0</v>
      </c>
      <c r="G557" s="1037">
        <f>IF(A557='Data Entry - SOF'!B$2,'Data Entry - SOF'!E$102,0)</f>
        <v>0</v>
      </c>
      <c r="H557" s="1038">
        <f t="shared" si="50"/>
        <v>11408848</v>
      </c>
      <c r="I557" s="944">
        <f>IF(A557='Data Entry - SOF'!B$2,'Report-SOF1920-HB3'!D$102,0)</f>
        <v>0</v>
      </c>
      <c r="J557" s="1037">
        <f>IF(A557='Data Entry - SOF'!B$2,'Data Entry - SOF'!G$102,0)</f>
        <v>0</v>
      </c>
      <c r="K557" s="717">
        <f t="shared" si="51"/>
        <v>11408848</v>
      </c>
      <c r="L557" s="944">
        <f>IF(A557='Data Entry - SOF'!B$2,'Report-SOF2021'!D$99,0)</f>
        <v>0</v>
      </c>
      <c r="M557" s="723">
        <f>IF(A557='Data Entry - SOF'!B$2,'Data Entry - SOF'!M$102,0)</f>
        <v>0</v>
      </c>
      <c r="N557" s="717">
        <f t="shared" si="52"/>
        <v>11408848</v>
      </c>
      <c r="O557" s="944">
        <f>IF(A557='Data Entry - SOF'!B$2,'Report-SOF2122'!D$91,0)</f>
        <v>0</v>
      </c>
      <c r="P557" s="723">
        <f>IF(A557='Data Entry - SOF'!B$2,'Data Entry - SOF'!O$102,0)</f>
        <v>0</v>
      </c>
      <c r="Q557" s="601">
        <f t="shared" si="49"/>
        <v>11408848</v>
      </c>
      <c r="R557" s="944">
        <f>IF(A557='Data Entry - SOF'!B$2,'Report-SOF2223'!D$91,0)</f>
        <v>0</v>
      </c>
      <c r="S557" s="723">
        <f>IF(A557='Data Entry - SOF'!B$2,'Data Entry - SOF'!Q$102,0)</f>
        <v>0</v>
      </c>
      <c r="T557" s="601">
        <f t="shared" si="53"/>
        <v>11408848</v>
      </c>
      <c r="U557" s="944">
        <f>IF(A557='Data Entry - SOF'!B$2,'Report-SOF2324'!D$91,0)</f>
        <v>0</v>
      </c>
      <c r="V557" s="723">
        <f>IF(A557='Data Entry - SOF'!B$2,'Data Entry - SOF'!S$102,0)</f>
        <v>0</v>
      </c>
    </row>
    <row r="558" spans="1:22" ht="15.75">
      <c r="A558" s="382" t="s">
        <v>1339</v>
      </c>
      <c r="B558" s="91">
        <v>42900348</v>
      </c>
      <c r="C558" s="944">
        <f>IF(A558='Data Entry - SOF'!B$2,'Report-SOF1718'!D$102,0)</f>
        <v>0</v>
      </c>
      <c r="D558" s="1037">
        <f>IF(A558='Data Entry - SOF'!B$2,'Data Entry - SOF'!#REF!,0)</f>
        <v>0</v>
      </c>
      <c r="E558" s="91">
        <f t="shared" si="48"/>
        <v>42900348</v>
      </c>
      <c r="F558" s="944">
        <f>IF(A558='Data Entry - SOF'!B$2,'Report-SOF1819'!D$102,0)</f>
        <v>0</v>
      </c>
      <c r="G558" s="1037">
        <f>IF(A558='Data Entry - SOF'!B$2,'Data Entry - SOF'!E$102,0)</f>
        <v>0</v>
      </c>
      <c r="H558" s="1038">
        <f t="shared" si="50"/>
        <v>42900348</v>
      </c>
      <c r="I558" s="944">
        <f>IF(A558='Data Entry - SOF'!B$2,'Report-SOF1920-HB3'!D$102,0)</f>
        <v>0</v>
      </c>
      <c r="J558" s="1037">
        <f>IF(A558='Data Entry - SOF'!B$2,'Data Entry - SOF'!G$102,0)</f>
        <v>0</v>
      </c>
      <c r="K558" s="717">
        <f t="shared" si="51"/>
        <v>42900348</v>
      </c>
      <c r="L558" s="944">
        <f>IF(A558='Data Entry - SOF'!B$2,'Report-SOF2021'!D$99,0)</f>
        <v>0</v>
      </c>
      <c r="M558" s="723">
        <f>IF(A558='Data Entry - SOF'!B$2,'Data Entry - SOF'!M$102,0)</f>
        <v>0</v>
      </c>
      <c r="N558" s="717">
        <f t="shared" si="52"/>
        <v>42900348</v>
      </c>
      <c r="O558" s="944">
        <f>IF(A558='Data Entry - SOF'!B$2,'Report-SOF2122'!D$91,0)</f>
        <v>0</v>
      </c>
      <c r="P558" s="723">
        <f>IF(A558='Data Entry - SOF'!B$2,'Data Entry - SOF'!O$102,0)</f>
        <v>0</v>
      </c>
      <c r="Q558" s="601">
        <f t="shared" si="49"/>
        <v>42900348</v>
      </c>
      <c r="R558" s="944">
        <f>IF(A558='Data Entry - SOF'!B$2,'Report-SOF2223'!D$91,0)</f>
        <v>0</v>
      </c>
      <c r="S558" s="723">
        <f>IF(A558='Data Entry - SOF'!B$2,'Data Entry - SOF'!Q$102,0)</f>
        <v>0</v>
      </c>
      <c r="T558" s="601">
        <f t="shared" si="53"/>
        <v>42900348</v>
      </c>
      <c r="U558" s="944">
        <f>IF(A558='Data Entry - SOF'!B$2,'Report-SOF2324'!D$91,0)</f>
        <v>0</v>
      </c>
      <c r="V558" s="723">
        <f>IF(A558='Data Entry - SOF'!B$2,'Data Entry - SOF'!S$102,0)</f>
        <v>0</v>
      </c>
    </row>
    <row r="559" spans="1:22" ht="15.75">
      <c r="A559" s="382" t="s">
        <v>49</v>
      </c>
      <c r="B559" s="91">
        <v>3458822</v>
      </c>
      <c r="C559" s="944">
        <f>IF(A559='Data Entry - SOF'!B$2,'Report-SOF1718'!D$102,0)</f>
        <v>0</v>
      </c>
      <c r="D559" s="1037">
        <f>IF(A559='Data Entry - SOF'!B$2,'Data Entry - SOF'!#REF!,0)</f>
        <v>0</v>
      </c>
      <c r="E559" s="91">
        <f t="shared" si="48"/>
        <v>3458822</v>
      </c>
      <c r="F559" s="944">
        <f>IF(A559='Data Entry - SOF'!B$2,'Report-SOF1819'!D$102,0)</f>
        <v>0</v>
      </c>
      <c r="G559" s="1037">
        <f>IF(A559='Data Entry - SOF'!B$2,'Data Entry - SOF'!E$102,0)</f>
        <v>0</v>
      </c>
      <c r="H559" s="1038">
        <f t="shared" si="50"/>
        <v>3458822</v>
      </c>
      <c r="I559" s="944">
        <f>IF(A559='Data Entry - SOF'!B$2,'Report-SOF1920-HB3'!D$102,0)</f>
        <v>0</v>
      </c>
      <c r="J559" s="1037">
        <f>IF(A559='Data Entry - SOF'!B$2,'Data Entry - SOF'!G$102,0)</f>
        <v>0</v>
      </c>
      <c r="K559" s="717">
        <f t="shared" si="51"/>
        <v>3458822</v>
      </c>
      <c r="L559" s="944">
        <f>IF(A559='Data Entry - SOF'!B$2,'Report-SOF2021'!D$99,0)</f>
        <v>0</v>
      </c>
      <c r="M559" s="723">
        <f>IF(A559='Data Entry - SOF'!B$2,'Data Entry - SOF'!M$102,0)</f>
        <v>0</v>
      </c>
      <c r="N559" s="717">
        <f t="shared" si="52"/>
        <v>3458822</v>
      </c>
      <c r="O559" s="944">
        <f>IF(A559='Data Entry - SOF'!B$2,'Report-SOF2122'!D$91,0)</f>
        <v>0</v>
      </c>
      <c r="P559" s="723">
        <f>IF(A559='Data Entry - SOF'!B$2,'Data Entry - SOF'!O$102,0)</f>
        <v>0</v>
      </c>
      <c r="Q559" s="601">
        <f t="shared" si="49"/>
        <v>3458822</v>
      </c>
      <c r="R559" s="944">
        <f>IF(A559='Data Entry - SOF'!B$2,'Report-SOF2223'!D$91,0)</f>
        <v>0</v>
      </c>
      <c r="S559" s="723">
        <f>IF(A559='Data Entry - SOF'!B$2,'Data Entry - SOF'!Q$102,0)</f>
        <v>0</v>
      </c>
      <c r="T559" s="601">
        <f t="shared" si="53"/>
        <v>3458822</v>
      </c>
      <c r="U559" s="944">
        <f>IF(A559='Data Entry - SOF'!B$2,'Report-SOF2324'!D$91,0)</f>
        <v>0</v>
      </c>
      <c r="V559" s="723">
        <f>IF(A559='Data Entry - SOF'!B$2,'Data Entry - SOF'!S$102,0)</f>
        <v>0</v>
      </c>
    </row>
    <row r="560" spans="1:22" ht="15.75">
      <c r="A560" s="382" t="s">
        <v>51</v>
      </c>
      <c r="B560" s="91">
        <v>1807675</v>
      </c>
      <c r="C560" s="944">
        <f>IF(A560='Data Entry - SOF'!B$2,'Report-SOF1718'!D$102,0)</f>
        <v>0</v>
      </c>
      <c r="D560" s="1037">
        <f>IF(A560='Data Entry - SOF'!B$2,'Data Entry - SOF'!#REF!,0)</f>
        <v>0</v>
      </c>
      <c r="E560" s="91">
        <f t="shared" si="48"/>
        <v>1807675</v>
      </c>
      <c r="F560" s="944">
        <f>IF(A560='Data Entry - SOF'!B$2,'Report-SOF1819'!D$102,0)</f>
        <v>0</v>
      </c>
      <c r="G560" s="1037">
        <f>IF(A560='Data Entry - SOF'!B$2,'Data Entry - SOF'!E$102,0)</f>
        <v>0</v>
      </c>
      <c r="H560" s="1038">
        <f t="shared" si="50"/>
        <v>1807675</v>
      </c>
      <c r="I560" s="944">
        <f>IF(A560='Data Entry - SOF'!B$2,'Report-SOF1920-HB3'!D$102,0)</f>
        <v>0</v>
      </c>
      <c r="J560" s="1037">
        <f>IF(A560='Data Entry - SOF'!B$2,'Data Entry - SOF'!G$102,0)</f>
        <v>0</v>
      </c>
      <c r="K560" s="717">
        <f t="shared" si="51"/>
        <v>1807675</v>
      </c>
      <c r="L560" s="944">
        <f>IF(A560='Data Entry - SOF'!B$2,'Report-SOF2021'!D$99,0)</f>
        <v>0</v>
      </c>
      <c r="M560" s="723">
        <f>IF(A560='Data Entry - SOF'!B$2,'Data Entry - SOF'!M$102,0)</f>
        <v>0</v>
      </c>
      <c r="N560" s="717">
        <f t="shared" si="52"/>
        <v>1807675</v>
      </c>
      <c r="O560" s="944">
        <f>IF(A560='Data Entry - SOF'!B$2,'Report-SOF2122'!D$91,0)</f>
        <v>0</v>
      </c>
      <c r="P560" s="723">
        <f>IF(A560='Data Entry - SOF'!B$2,'Data Entry - SOF'!O$102,0)</f>
        <v>0</v>
      </c>
      <c r="Q560" s="601">
        <f t="shared" si="49"/>
        <v>1807675</v>
      </c>
      <c r="R560" s="944">
        <f>IF(A560='Data Entry - SOF'!B$2,'Report-SOF2223'!D$91,0)</f>
        <v>0</v>
      </c>
      <c r="S560" s="723">
        <f>IF(A560='Data Entry - SOF'!B$2,'Data Entry - SOF'!Q$102,0)</f>
        <v>0</v>
      </c>
      <c r="T560" s="601">
        <f t="shared" si="53"/>
        <v>1807675</v>
      </c>
      <c r="U560" s="944">
        <f>IF(A560='Data Entry - SOF'!B$2,'Report-SOF2324'!D$91,0)</f>
        <v>0</v>
      </c>
      <c r="V560" s="723">
        <f>IF(A560='Data Entry - SOF'!B$2,'Data Entry - SOF'!S$102,0)</f>
        <v>0</v>
      </c>
    </row>
    <row r="561" spans="1:22" ht="15.75">
      <c r="A561" s="382" t="s">
        <v>2554</v>
      </c>
      <c r="B561" s="91">
        <v>12572048</v>
      </c>
      <c r="C561" s="944">
        <f>IF(A561='Data Entry - SOF'!B$2,'Report-SOF1718'!D$102,0)</f>
        <v>0</v>
      </c>
      <c r="D561" s="1037">
        <f>IF(A561='Data Entry - SOF'!B$2,'Data Entry - SOF'!#REF!,0)</f>
        <v>0</v>
      </c>
      <c r="E561" s="91">
        <f t="shared" si="48"/>
        <v>12572048</v>
      </c>
      <c r="F561" s="944">
        <f>IF(A561='Data Entry - SOF'!B$2,'Report-SOF1819'!D$102,0)</f>
        <v>0</v>
      </c>
      <c r="G561" s="1037">
        <f>IF(A561='Data Entry - SOF'!B$2,'Data Entry - SOF'!E$102,0)</f>
        <v>0</v>
      </c>
      <c r="H561" s="1038">
        <f t="shared" si="50"/>
        <v>12572048</v>
      </c>
      <c r="I561" s="944">
        <f>IF(A561='Data Entry - SOF'!B$2,'Report-SOF1920-HB3'!D$102,0)</f>
        <v>0</v>
      </c>
      <c r="J561" s="1037">
        <f>IF(A561='Data Entry - SOF'!B$2,'Data Entry - SOF'!G$102,0)</f>
        <v>0</v>
      </c>
      <c r="K561" s="717">
        <f t="shared" si="51"/>
        <v>12572048</v>
      </c>
      <c r="L561" s="944">
        <f>IF(A561='Data Entry - SOF'!B$2,'Report-SOF2021'!D$99,0)</f>
        <v>0</v>
      </c>
      <c r="M561" s="723">
        <f>IF(A561='Data Entry - SOF'!B$2,'Data Entry - SOF'!M$102,0)</f>
        <v>0</v>
      </c>
      <c r="N561" s="717">
        <f t="shared" si="52"/>
        <v>12572048</v>
      </c>
      <c r="O561" s="944">
        <f>IF(A561='Data Entry - SOF'!B$2,'Report-SOF2122'!D$91,0)</f>
        <v>0</v>
      </c>
      <c r="P561" s="723">
        <f>IF(A561='Data Entry - SOF'!B$2,'Data Entry - SOF'!O$102,0)</f>
        <v>0</v>
      </c>
      <c r="Q561" s="601">
        <f t="shared" si="49"/>
        <v>12572048</v>
      </c>
      <c r="R561" s="944">
        <f>IF(A561='Data Entry - SOF'!B$2,'Report-SOF2223'!D$91,0)</f>
        <v>0</v>
      </c>
      <c r="S561" s="723">
        <f>IF(A561='Data Entry - SOF'!B$2,'Data Entry - SOF'!Q$102,0)</f>
        <v>0</v>
      </c>
      <c r="T561" s="601">
        <f t="shared" si="53"/>
        <v>12572048</v>
      </c>
      <c r="U561" s="944">
        <f>IF(A561='Data Entry - SOF'!B$2,'Report-SOF2324'!D$91,0)</f>
        <v>0</v>
      </c>
      <c r="V561" s="723">
        <f>IF(A561='Data Entry - SOF'!B$2,'Data Entry - SOF'!S$102,0)</f>
        <v>0</v>
      </c>
    </row>
    <row r="562" spans="1:22" ht="15.75">
      <c r="A562" s="382" t="s">
        <v>2555</v>
      </c>
      <c r="B562" s="91">
        <v>16409066</v>
      </c>
      <c r="C562" s="944">
        <f>IF(A562='Data Entry - SOF'!B$2,'Report-SOF1718'!D$102,0)</f>
        <v>0</v>
      </c>
      <c r="D562" s="1037">
        <f>IF(A562='Data Entry - SOF'!B$2,'Data Entry - SOF'!#REF!,0)</f>
        <v>0</v>
      </c>
      <c r="E562" s="91">
        <f t="shared" si="48"/>
        <v>16409066</v>
      </c>
      <c r="F562" s="944">
        <f>IF(A562='Data Entry - SOF'!B$2,'Report-SOF1819'!D$102,0)</f>
        <v>0</v>
      </c>
      <c r="G562" s="1037">
        <f>IF(A562='Data Entry - SOF'!B$2,'Data Entry - SOF'!E$102,0)</f>
        <v>0</v>
      </c>
      <c r="H562" s="1038">
        <f t="shared" si="50"/>
        <v>16409066</v>
      </c>
      <c r="I562" s="944">
        <f>IF(A562='Data Entry - SOF'!B$2,'Report-SOF1920-HB3'!D$102,0)</f>
        <v>0</v>
      </c>
      <c r="J562" s="1037">
        <f>IF(A562='Data Entry - SOF'!B$2,'Data Entry - SOF'!G$102,0)</f>
        <v>0</v>
      </c>
      <c r="K562" s="717">
        <f t="shared" si="51"/>
        <v>16409066</v>
      </c>
      <c r="L562" s="944">
        <f>IF(A562='Data Entry - SOF'!B$2,'Report-SOF2021'!D$99,0)</f>
        <v>0</v>
      </c>
      <c r="M562" s="723">
        <f>IF(A562='Data Entry - SOF'!B$2,'Data Entry - SOF'!M$102,0)</f>
        <v>0</v>
      </c>
      <c r="N562" s="717">
        <f t="shared" si="52"/>
        <v>16409066</v>
      </c>
      <c r="O562" s="944">
        <f>IF(A562='Data Entry - SOF'!B$2,'Report-SOF2122'!D$91,0)</f>
        <v>0</v>
      </c>
      <c r="P562" s="723">
        <f>IF(A562='Data Entry - SOF'!B$2,'Data Entry - SOF'!O$102,0)</f>
        <v>0</v>
      </c>
      <c r="Q562" s="601">
        <f t="shared" si="49"/>
        <v>16409066</v>
      </c>
      <c r="R562" s="944">
        <f>IF(A562='Data Entry - SOF'!B$2,'Report-SOF2223'!D$91,0)</f>
        <v>0</v>
      </c>
      <c r="S562" s="723">
        <f>IF(A562='Data Entry - SOF'!B$2,'Data Entry - SOF'!Q$102,0)</f>
        <v>0</v>
      </c>
      <c r="T562" s="601">
        <f t="shared" si="53"/>
        <v>16409066</v>
      </c>
      <c r="U562" s="944">
        <f>IF(A562='Data Entry - SOF'!B$2,'Report-SOF2324'!D$91,0)</f>
        <v>0</v>
      </c>
      <c r="V562" s="723">
        <f>IF(A562='Data Entry - SOF'!B$2,'Data Entry - SOF'!S$102,0)</f>
        <v>0</v>
      </c>
    </row>
    <row r="563" spans="1:22" ht="15.75">
      <c r="A563" s="382" t="s">
        <v>494</v>
      </c>
      <c r="B563" s="91">
        <v>1051284</v>
      </c>
      <c r="C563" s="944">
        <f>IF(A563='Data Entry - SOF'!B$2,'Report-SOF1718'!D$102,0)</f>
        <v>0</v>
      </c>
      <c r="D563" s="1037">
        <f>IF(A563='Data Entry - SOF'!B$2,'Data Entry - SOF'!#REF!,0)</f>
        <v>0</v>
      </c>
      <c r="E563" s="91">
        <f t="shared" si="48"/>
        <v>1051284</v>
      </c>
      <c r="F563" s="944">
        <f>IF(A563='Data Entry - SOF'!B$2,'Report-SOF1819'!D$102,0)</f>
        <v>0</v>
      </c>
      <c r="G563" s="1037">
        <f>IF(A563='Data Entry - SOF'!B$2,'Data Entry - SOF'!E$102,0)</f>
        <v>0</v>
      </c>
      <c r="H563" s="1038">
        <f t="shared" si="50"/>
        <v>1051284</v>
      </c>
      <c r="I563" s="944">
        <f>IF(A563='Data Entry - SOF'!B$2,'Report-SOF1920-HB3'!D$102,0)</f>
        <v>0</v>
      </c>
      <c r="J563" s="1037">
        <f>IF(A563='Data Entry - SOF'!B$2,'Data Entry - SOF'!G$102,0)</f>
        <v>0</v>
      </c>
      <c r="K563" s="717">
        <f t="shared" si="51"/>
        <v>1051284</v>
      </c>
      <c r="L563" s="944">
        <f>IF(A563='Data Entry - SOF'!B$2,'Report-SOF2021'!D$99,0)</f>
        <v>0</v>
      </c>
      <c r="M563" s="723">
        <f>IF(A563='Data Entry - SOF'!B$2,'Data Entry - SOF'!M$102,0)</f>
        <v>0</v>
      </c>
      <c r="N563" s="717">
        <f t="shared" si="52"/>
        <v>1051284</v>
      </c>
      <c r="O563" s="944">
        <f>IF(A563='Data Entry - SOF'!B$2,'Report-SOF2122'!D$91,0)</f>
        <v>0</v>
      </c>
      <c r="P563" s="723">
        <f>IF(A563='Data Entry - SOF'!B$2,'Data Entry - SOF'!O$102,0)</f>
        <v>0</v>
      </c>
      <c r="Q563" s="601">
        <f t="shared" si="49"/>
        <v>1051284</v>
      </c>
      <c r="R563" s="944">
        <f>IF(A563='Data Entry - SOF'!B$2,'Report-SOF2223'!D$91,0)</f>
        <v>0</v>
      </c>
      <c r="S563" s="723">
        <f>IF(A563='Data Entry - SOF'!B$2,'Data Entry - SOF'!Q$102,0)</f>
        <v>0</v>
      </c>
      <c r="T563" s="601">
        <f t="shared" si="53"/>
        <v>1051284</v>
      </c>
      <c r="U563" s="944">
        <f>IF(A563='Data Entry - SOF'!B$2,'Report-SOF2324'!D$91,0)</f>
        <v>0</v>
      </c>
      <c r="V563" s="723">
        <f>IF(A563='Data Entry - SOF'!B$2,'Data Entry - SOF'!S$102,0)</f>
        <v>0</v>
      </c>
    </row>
    <row r="564" spans="1:22" ht="15.75">
      <c r="A564" s="382" t="s">
        <v>2556</v>
      </c>
      <c r="B564" s="91">
        <v>81477649</v>
      </c>
      <c r="C564" s="944">
        <f>IF(A564='Data Entry - SOF'!B$2,'Report-SOF1718'!D$102,0)</f>
        <v>0</v>
      </c>
      <c r="D564" s="1037">
        <f>IF(A564='Data Entry - SOF'!B$2,'Data Entry - SOF'!#REF!,0)</f>
        <v>0</v>
      </c>
      <c r="E564" s="91">
        <f t="shared" si="48"/>
        <v>81477649</v>
      </c>
      <c r="F564" s="944">
        <f>IF(A564='Data Entry - SOF'!B$2,'Report-SOF1819'!D$102,0)</f>
        <v>0</v>
      </c>
      <c r="G564" s="1037">
        <f>IF(A564='Data Entry - SOF'!B$2,'Data Entry - SOF'!E$102,0)</f>
        <v>0</v>
      </c>
      <c r="H564" s="1038">
        <f t="shared" si="50"/>
        <v>81477649</v>
      </c>
      <c r="I564" s="944">
        <f>IF(A564='Data Entry - SOF'!B$2,'Report-SOF1920-HB3'!D$102,0)</f>
        <v>0</v>
      </c>
      <c r="J564" s="1037">
        <f>IF(A564='Data Entry - SOF'!B$2,'Data Entry - SOF'!G$102,0)</f>
        <v>0</v>
      </c>
      <c r="K564" s="717">
        <f t="shared" si="51"/>
        <v>81477649</v>
      </c>
      <c r="L564" s="944">
        <f>IF(A564='Data Entry - SOF'!B$2,'Report-SOF2021'!D$99,0)</f>
        <v>0</v>
      </c>
      <c r="M564" s="723">
        <f>IF(A564='Data Entry - SOF'!B$2,'Data Entry - SOF'!M$102,0)</f>
        <v>0</v>
      </c>
      <c r="N564" s="717">
        <f t="shared" si="52"/>
        <v>81477649</v>
      </c>
      <c r="O564" s="944">
        <f>IF(A564='Data Entry - SOF'!B$2,'Report-SOF2122'!D$91,0)</f>
        <v>0</v>
      </c>
      <c r="P564" s="723">
        <f>IF(A564='Data Entry - SOF'!B$2,'Data Entry - SOF'!O$102,0)</f>
        <v>0</v>
      </c>
      <c r="Q564" s="601">
        <f t="shared" si="49"/>
        <v>81477649</v>
      </c>
      <c r="R564" s="944">
        <f>IF(A564='Data Entry - SOF'!B$2,'Report-SOF2223'!D$91,0)</f>
        <v>0</v>
      </c>
      <c r="S564" s="723">
        <f>IF(A564='Data Entry - SOF'!B$2,'Data Entry - SOF'!Q$102,0)</f>
        <v>0</v>
      </c>
      <c r="T564" s="601">
        <f t="shared" si="53"/>
        <v>81477649</v>
      </c>
      <c r="U564" s="944">
        <f>IF(A564='Data Entry - SOF'!B$2,'Report-SOF2324'!D$91,0)</f>
        <v>0</v>
      </c>
      <c r="V564" s="723">
        <f>IF(A564='Data Entry - SOF'!B$2,'Data Entry - SOF'!S$102,0)</f>
        <v>0</v>
      </c>
    </row>
    <row r="565" spans="1:22" ht="15.75">
      <c r="A565" s="382" t="s">
        <v>1539</v>
      </c>
      <c r="B565" s="91">
        <v>8776882</v>
      </c>
      <c r="C565" s="944">
        <f>IF(A565='Data Entry - SOF'!B$2,'Report-SOF1718'!D$102,0)</f>
        <v>0</v>
      </c>
      <c r="D565" s="1037">
        <f>IF(A565='Data Entry - SOF'!B$2,'Data Entry - SOF'!#REF!,0)</f>
        <v>0</v>
      </c>
      <c r="E565" s="91">
        <f t="shared" si="48"/>
        <v>8776882</v>
      </c>
      <c r="F565" s="944">
        <f>IF(A565='Data Entry - SOF'!B$2,'Report-SOF1819'!D$102,0)</f>
        <v>0</v>
      </c>
      <c r="G565" s="1037">
        <f>IF(A565='Data Entry - SOF'!B$2,'Data Entry - SOF'!E$102,0)</f>
        <v>0</v>
      </c>
      <c r="H565" s="1038">
        <f t="shared" si="50"/>
        <v>8776882</v>
      </c>
      <c r="I565" s="944">
        <f>IF(A565='Data Entry - SOF'!B$2,'Report-SOF1920-HB3'!D$102,0)</f>
        <v>0</v>
      </c>
      <c r="J565" s="1037">
        <f>IF(A565='Data Entry - SOF'!B$2,'Data Entry - SOF'!G$102,0)</f>
        <v>0</v>
      </c>
      <c r="K565" s="717">
        <f t="shared" si="51"/>
        <v>8776882</v>
      </c>
      <c r="L565" s="944">
        <f>IF(A565='Data Entry - SOF'!B$2,'Report-SOF2021'!D$99,0)</f>
        <v>0</v>
      </c>
      <c r="M565" s="723">
        <f>IF(A565='Data Entry - SOF'!B$2,'Data Entry - SOF'!M$102,0)</f>
        <v>0</v>
      </c>
      <c r="N565" s="717">
        <f t="shared" si="52"/>
        <v>8776882</v>
      </c>
      <c r="O565" s="944">
        <f>IF(A565='Data Entry - SOF'!B$2,'Report-SOF2122'!D$91,0)</f>
        <v>0</v>
      </c>
      <c r="P565" s="723">
        <f>IF(A565='Data Entry - SOF'!B$2,'Data Entry - SOF'!O$102,0)</f>
        <v>0</v>
      </c>
      <c r="Q565" s="601">
        <f t="shared" si="49"/>
        <v>8776882</v>
      </c>
      <c r="R565" s="944">
        <f>IF(A565='Data Entry - SOF'!B$2,'Report-SOF2223'!D$91,0)</f>
        <v>0</v>
      </c>
      <c r="S565" s="723">
        <f>IF(A565='Data Entry - SOF'!B$2,'Data Entry - SOF'!Q$102,0)</f>
        <v>0</v>
      </c>
      <c r="T565" s="601">
        <f t="shared" si="53"/>
        <v>8776882</v>
      </c>
      <c r="U565" s="944">
        <f>IF(A565='Data Entry - SOF'!B$2,'Report-SOF2324'!D$91,0)</f>
        <v>0</v>
      </c>
      <c r="V565" s="723">
        <f>IF(A565='Data Entry - SOF'!B$2,'Data Entry - SOF'!S$102,0)</f>
        <v>0</v>
      </c>
    </row>
    <row r="566" spans="1:22" ht="15.75">
      <c r="A566" s="382" t="s">
        <v>2689</v>
      </c>
      <c r="B566" s="91">
        <v>7384783</v>
      </c>
      <c r="C566" s="944">
        <f>IF(A566='Data Entry - SOF'!B$2,'Report-SOF1718'!D$102,0)</f>
        <v>0</v>
      </c>
      <c r="D566" s="1037">
        <f>IF(A566='Data Entry - SOF'!B$2,'Data Entry - SOF'!#REF!,0)</f>
        <v>0</v>
      </c>
      <c r="E566" s="91">
        <f t="shared" si="48"/>
        <v>7384783</v>
      </c>
      <c r="F566" s="944">
        <f>IF(A566='Data Entry - SOF'!B$2,'Report-SOF1819'!D$102,0)</f>
        <v>0</v>
      </c>
      <c r="G566" s="1037">
        <f>IF(A566='Data Entry - SOF'!B$2,'Data Entry - SOF'!E$102,0)</f>
        <v>0</v>
      </c>
      <c r="H566" s="1038">
        <f t="shared" si="50"/>
        <v>7384783</v>
      </c>
      <c r="I566" s="944">
        <f>IF(A566='Data Entry - SOF'!B$2,'Report-SOF1920-HB3'!D$102,0)</f>
        <v>0</v>
      </c>
      <c r="J566" s="1037">
        <f>IF(A566='Data Entry - SOF'!B$2,'Data Entry - SOF'!G$102,0)</f>
        <v>0</v>
      </c>
      <c r="K566" s="717">
        <f t="shared" si="51"/>
        <v>7384783</v>
      </c>
      <c r="L566" s="944">
        <f>IF(A566='Data Entry - SOF'!B$2,'Report-SOF2021'!D$99,0)</f>
        <v>0</v>
      </c>
      <c r="M566" s="723">
        <f>IF(A566='Data Entry - SOF'!B$2,'Data Entry - SOF'!M$102,0)</f>
        <v>0</v>
      </c>
      <c r="N566" s="717">
        <f t="shared" si="52"/>
        <v>7384783</v>
      </c>
      <c r="O566" s="944">
        <f>IF(A566='Data Entry - SOF'!B$2,'Report-SOF2122'!D$91,0)</f>
        <v>0</v>
      </c>
      <c r="P566" s="723">
        <f>IF(A566='Data Entry - SOF'!B$2,'Data Entry - SOF'!O$102,0)</f>
        <v>0</v>
      </c>
      <c r="Q566" s="601">
        <f t="shared" si="49"/>
        <v>7384783</v>
      </c>
      <c r="R566" s="944">
        <f>IF(A566='Data Entry - SOF'!B$2,'Report-SOF2223'!D$91,0)</f>
        <v>0</v>
      </c>
      <c r="S566" s="723">
        <f>IF(A566='Data Entry - SOF'!B$2,'Data Entry - SOF'!Q$102,0)</f>
        <v>0</v>
      </c>
      <c r="T566" s="601">
        <f t="shared" si="53"/>
        <v>7384783</v>
      </c>
      <c r="U566" s="944">
        <f>IF(A566='Data Entry - SOF'!B$2,'Report-SOF2324'!D$91,0)</f>
        <v>0</v>
      </c>
      <c r="V566" s="723">
        <f>IF(A566='Data Entry - SOF'!B$2,'Data Entry - SOF'!S$102,0)</f>
        <v>0</v>
      </c>
    </row>
    <row r="567" spans="1:22" ht="15.75">
      <c r="A567" s="382" t="s">
        <v>2320</v>
      </c>
      <c r="B567" s="91">
        <v>4548365</v>
      </c>
      <c r="C567" s="944">
        <f>IF(A567='Data Entry - SOF'!B$2,'Report-SOF1718'!D$102,0)</f>
        <v>0</v>
      </c>
      <c r="D567" s="1037">
        <f>IF(A567='Data Entry - SOF'!B$2,'Data Entry - SOF'!#REF!,0)</f>
        <v>0</v>
      </c>
      <c r="E567" s="91">
        <f t="shared" si="48"/>
        <v>4548365</v>
      </c>
      <c r="F567" s="944">
        <f>IF(A567='Data Entry - SOF'!B$2,'Report-SOF1819'!D$102,0)</f>
        <v>0</v>
      </c>
      <c r="G567" s="1037">
        <f>IF(A567='Data Entry - SOF'!B$2,'Data Entry - SOF'!E$102,0)</f>
        <v>0</v>
      </c>
      <c r="H567" s="1038">
        <f t="shared" si="50"/>
        <v>4548365</v>
      </c>
      <c r="I567" s="944">
        <f>IF(A567='Data Entry - SOF'!B$2,'Report-SOF1920-HB3'!D$102,0)</f>
        <v>0</v>
      </c>
      <c r="J567" s="1037">
        <f>IF(A567='Data Entry - SOF'!B$2,'Data Entry - SOF'!G$102,0)</f>
        <v>0</v>
      </c>
      <c r="K567" s="717">
        <f t="shared" si="51"/>
        <v>4548365</v>
      </c>
      <c r="L567" s="944">
        <f>IF(A567='Data Entry - SOF'!B$2,'Report-SOF2021'!D$99,0)</f>
        <v>0</v>
      </c>
      <c r="M567" s="723">
        <f>IF(A567='Data Entry - SOF'!B$2,'Data Entry - SOF'!M$102,0)</f>
        <v>0</v>
      </c>
      <c r="N567" s="717">
        <f t="shared" si="52"/>
        <v>4548365</v>
      </c>
      <c r="O567" s="944">
        <f>IF(A567='Data Entry - SOF'!B$2,'Report-SOF2122'!D$91,0)</f>
        <v>0</v>
      </c>
      <c r="P567" s="723">
        <f>IF(A567='Data Entry - SOF'!B$2,'Data Entry - SOF'!O$102,0)</f>
        <v>0</v>
      </c>
      <c r="Q567" s="601">
        <f t="shared" si="49"/>
        <v>4548365</v>
      </c>
      <c r="R567" s="944">
        <f>IF(A567='Data Entry - SOF'!B$2,'Report-SOF2223'!D$91,0)</f>
        <v>0</v>
      </c>
      <c r="S567" s="723">
        <f>IF(A567='Data Entry - SOF'!B$2,'Data Entry - SOF'!Q$102,0)</f>
        <v>0</v>
      </c>
      <c r="T567" s="601">
        <f t="shared" si="53"/>
        <v>4548365</v>
      </c>
      <c r="U567" s="944">
        <f>IF(A567='Data Entry - SOF'!B$2,'Report-SOF2324'!D$91,0)</f>
        <v>0</v>
      </c>
      <c r="V567" s="723">
        <f>IF(A567='Data Entry - SOF'!B$2,'Data Entry - SOF'!S$102,0)</f>
        <v>0</v>
      </c>
    </row>
    <row r="568" spans="1:22" ht="15.75">
      <c r="A568" s="382" t="s">
        <v>1541</v>
      </c>
      <c r="B568" s="91">
        <v>1602583</v>
      </c>
      <c r="C568" s="944">
        <f>IF(A568='Data Entry - SOF'!B$2,'Report-SOF1718'!D$102,0)</f>
        <v>0</v>
      </c>
      <c r="D568" s="1037">
        <f>IF(A568='Data Entry - SOF'!B$2,'Data Entry - SOF'!#REF!,0)</f>
        <v>0</v>
      </c>
      <c r="E568" s="91">
        <f t="shared" si="48"/>
        <v>1602583</v>
      </c>
      <c r="F568" s="944">
        <f>IF(A568='Data Entry - SOF'!B$2,'Report-SOF1819'!D$102,0)</f>
        <v>0</v>
      </c>
      <c r="G568" s="1037">
        <f>IF(A568='Data Entry - SOF'!B$2,'Data Entry - SOF'!E$102,0)</f>
        <v>0</v>
      </c>
      <c r="H568" s="1038">
        <f t="shared" si="50"/>
        <v>1602583</v>
      </c>
      <c r="I568" s="944">
        <f>IF(A568='Data Entry - SOF'!B$2,'Report-SOF1920-HB3'!D$102,0)</f>
        <v>0</v>
      </c>
      <c r="J568" s="1037">
        <f>IF(A568='Data Entry - SOF'!B$2,'Data Entry - SOF'!G$102,0)</f>
        <v>0</v>
      </c>
      <c r="K568" s="717">
        <f t="shared" si="51"/>
        <v>1602583</v>
      </c>
      <c r="L568" s="944">
        <f>IF(A568='Data Entry - SOF'!B$2,'Report-SOF2021'!D$99,0)</f>
        <v>0</v>
      </c>
      <c r="M568" s="723">
        <f>IF(A568='Data Entry - SOF'!B$2,'Data Entry - SOF'!M$102,0)</f>
        <v>0</v>
      </c>
      <c r="N568" s="717">
        <f t="shared" si="52"/>
        <v>1602583</v>
      </c>
      <c r="O568" s="944">
        <f>IF(A568='Data Entry - SOF'!B$2,'Report-SOF2122'!D$91,0)</f>
        <v>0</v>
      </c>
      <c r="P568" s="723">
        <f>IF(A568='Data Entry - SOF'!B$2,'Data Entry - SOF'!O$102,0)</f>
        <v>0</v>
      </c>
      <c r="Q568" s="601">
        <f t="shared" si="49"/>
        <v>1602583</v>
      </c>
      <c r="R568" s="944">
        <f>IF(A568='Data Entry - SOF'!B$2,'Report-SOF2223'!D$91,0)</f>
        <v>0</v>
      </c>
      <c r="S568" s="723">
        <f>IF(A568='Data Entry - SOF'!B$2,'Data Entry - SOF'!Q$102,0)</f>
        <v>0</v>
      </c>
      <c r="T568" s="601">
        <f t="shared" si="53"/>
        <v>1602583</v>
      </c>
      <c r="U568" s="944">
        <f>IF(A568='Data Entry - SOF'!B$2,'Report-SOF2324'!D$91,0)</f>
        <v>0</v>
      </c>
      <c r="V568" s="723">
        <f>IF(A568='Data Entry - SOF'!B$2,'Data Entry - SOF'!S$102,0)</f>
        <v>0</v>
      </c>
    </row>
    <row r="569" spans="1:22" ht="15.75">
      <c r="A569" s="382" t="s">
        <v>2545</v>
      </c>
      <c r="B569" s="91">
        <v>2558252</v>
      </c>
      <c r="C569" s="944">
        <f>IF(A569='Data Entry - SOF'!B$2,'Report-SOF1718'!D$102,0)</f>
        <v>0</v>
      </c>
      <c r="D569" s="1037">
        <f>IF(A569='Data Entry - SOF'!B$2,'Data Entry - SOF'!#REF!,0)</f>
        <v>0</v>
      </c>
      <c r="E569" s="91">
        <f t="shared" si="48"/>
        <v>2558252</v>
      </c>
      <c r="F569" s="944">
        <f>IF(A569='Data Entry - SOF'!B$2,'Report-SOF1819'!D$102,0)</f>
        <v>0</v>
      </c>
      <c r="G569" s="1037">
        <f>IF(A569='Data Entry - SOF'!B$2,'Data Entry - SOF'!E$102,0)</f>
        <v>0</v>
      </c>
      <c r="H569" s="1038">
        <f t="shared" si="50"/>
        <v>2558252</v>
      </c>
      <c r="I569" s="944">
        <f>IF(A569='Data Entry - SOF'!B$2,'Report-SOF1920-HB3'!D$102,0)</f>
        <v>0</v>
      </c>
      <c r="J569" s="1037">
        <f>IF(A569='Data Entry - SOF'!B$2,'Data Entry - SOF'!G$102,0)</f>
        <v>0</v>
      </c>
      <c r="K569" s="717">
        <f t="shared" si="51"/>
        <v>2558252</v>
      </c>
      <c r="L569" s="944">
        <f>IF(A569='Data Entry - SOF'!B$2,'Report-SOF2021'!D$99,0)</f>
        <v>0</v>
      </c>
      <c r="M569" s="723">
        <f>IF(A569='Data Entry - SOF'!B$2,'Data Entry - SOF'!M$102,0)</f>
        <v>0</v>
      </c>
      <c r="N569" s="717">
        <f t="shared" si="52"/>
        <v>2558252</v>
      </c>
      <c r="O569" s="944">
        <f>IF(A569='Data Entry - SOF'!B$2,'Report-SOF2122'!D$91,0)</f>
        <v>0</v>
      </c>
      <c r="P569" s="723">
        <f>IF(A569='Data Entry - SOF'!B$2,'Data Entry - SOF'!O$102,0)</f>
        <v>0</v>
      </c>
      <c r="Q569" s="601">
        <f t="shared" si="49"/>
        <v>2558252</v>
      </c>
      <c r="R569" s="944">
        <f>IF(A569='Data Entry - SOF'!B$2,'Report-SOF2223'!D$91,0)</f>
        <v>0</v>
      </c>
      <c r="S569" s="723">
        <f>IF(A569='Data Entry - SOF'!B$2,'Data Entry - SOF'!Q$102,0)</f>
        <v>0</v>
      </c>
      <c r="T569" s="601">
        <f t="shared" si="53"/>
        <v>2558252</v>
      </c>
      <c r="U569" s="944">
        <f>IF(A569='Data Entry - SOF'!B$2,'Report-SOF2324'!D$91,0)</f>
        <v>0</v>
      </c>
      <c r="V569" s="723">
        <f>IF(A569='Data Entry - SOF'!B$2,'Data Entry - SOF'!S$102,0)</f>
        <v>0</v>
      </c>
    </row>
    <row r="570" spans="1:22" ht="15.75">
      <c r="A570" s="382" t="s">
        <v>2546</v>
      </c>
      <c r="B570" s="91">
        <v>20036726</v>
      </c>
      <c r="C570" s="944">
        <f>IF(A570='Data Entry - SOF'!B$2,'Report-SOF1718'!D$102,0)</f>
        <v>0</v>
      </c>
      <c r="D570" s="1037">
        <f>IF(A570='Data Entry - SOF'!B$2,'Data Entry - SOF'!#REF!,0)</f>
        <v>0</v>
      </c>
      <c r="E570" s="91">
        <f t="shared" si="48"/>
        <v>20036726</v>
      </c>
      <c r="F570" s="944">
        <f>IF(A570='Data Entry - SOF'!B$2,'Report-SOF1819'!D$102,0)</f>
        <v>0</v>
      </c>
      <c r="G570" s="1037">
        <f>IF(A570='Data Entry - SOF'!B$2,'Data Entry - SOF'!E$102,0)</f>
        <v>0</v>
      </c>
      <c r="H570" s="1038">
        <f t="shared" si="50"/>
        <v>20036726</v>
      </c>
      <c r="I570" s="944">
        <f>IF(A570='Data Entry - SOF'!B$2,'Report-SOF1920-HB3'!D$102,0)</f>
        <v>0</v>
      </c>
      <c r="J570" s="1037">
        <f>IF(A570='Data Entry - SOF'!B$2,'Data Entry - SOF'!G$102,0)</f>
        <v>0</v>
      </c>
      <c r="K570" s="717">
        <f t="shared" si="51"/>
        <v>20036726</v>
      </c>
      <c r="L570" s="944">
        <f>IF(A570='Data Entry - SOF'!B$2,'Report-SOF2021'!D$99,0)</f>
        <v>0</v>
      </c>
      <c r="M570" s="723">
        <f>IF(A570='Data Entry - SOF'!B$2,'Data Entry - SOF'!M$102,0)</f>
        <v>0</v>
      </c>
      <c r="N570" s="717">
        <f t="shared" si="52"/>
        <v>20036726</v>
      </c>
      <c r="O570" s="944">
        <f>IF(A570='Data Entry - SOF'!B$2,'Report-SOF2122'!D$91,0)</f>
        <v>0</v>
      </c>
      <c r="P570" s="723">
        <f>IF(A570='Data Entry - SOF'!B$2,'Data Entry - SOF'!O$102,0)</f>
        <v>0</v>
      </c>
      <c r="Q570" s="601">
        <f t="shared" si="49"/>
        <v>20036726</v>
      </c>
      <c r="R570" s="944">
        <f>IF(A570='Data Entry - SOF'!B$2,'Report-SOF2223'!D$91,0)</f>
        <v>0</v>
      </c>
      <c r="S570" s="723">
        <f>IF(A570='Data Entry - SOF'!B$2,'Data Entry - SOF'!Q$102,0)</f>
        <v>0</v>
      </c>
      <c r="T570" s="601">
        <f t="shared" si="53"/>
        <v>20036726</v>
      </c>
      <c r="U570" s="944">
        <f>IF(A570='Data Entry - SOF'!B$2,'Report-SOF2324'!D$91,0)</f>
        <v>0</v>
      </c>
      <c r="V570" s="723">
        <f>IF(A570='Data Entry - SOF'!B$2,'Data Entry - SOF'!S$102,0)</f>
        <v>0</v>
      </c>
    </row>
    <row r="571" spans="1:22" ht="15.75">
      <c r="A571" s="382" t="s">
        <v>487</v>
      </c>
      <c r="B571" s="91">
        <v>4941415</v>
      </c>
      <c r="C571" s="944">
        <f>IF(A571='Data Entry - SOF'!B$2,'Report-SOF1718'!D$102,0)</f>
        <v>0</v>
      </c>
      <c r="D571" s="1037">
        <f>IF(A571='Data Entry - SOF'!B$2,'Data Entry - SOF'!#REF!,0)</f>
        <v>0</v>
      </c>
      <c r="E571" s="91">
        <f t="shared" si="48"/>
        <v>4941415</v>
      </c>
      <c r="F571" s="944">
        <f>IF(A571='Data Entry - SOF'!B$2,'Report-SOF1819'!D$102,0)</f>
        <v>0</v>
      </c>
      <c r="G571" s="1037">
        <f>IF(A571='Data Entry - SOF'!B$2,'Data Entry - SOF'!E$102,0)</f>
        <v>0</v>
      </c>
      <c r="H571" s="1038">
        <f t="shared" si="50"/>
        <v>4941415</v>
      </c>
      <c r="I571" s="944">
        <f>IF(A571='Data Entry - SOF'!B$2,'Report-SOF1920-HB3'!D$102,0)</f>
        <v>0</v>
      </c>
      <c r="J571" s="1037">
        <f>IF(A571='Data Entry - SOF'!B$2,'Data Entry - SOF'!G$102,0)</f>
        <v>0</v>
      </c>
      <c r="K571" s="717">
        <f t="shared" si="51"/>
        <v>4941415</v>
      </c>
      <c r="L571" s="944">
        <f>IF(A571='Data Entry - SOF'!B$2,'Report-SOF2021'!D$99,0)</f>
        <v>0</v>
      </c>
      <c r="M571" s="723">
        <f>IF(A571='Data Entry - SOF'!B$2,'Data Entry - SOF'!M$102,0)</f>
        <v>0</v>
      </c>
      <c r="N571" s="717">
        <f t="shared" si="52"/>
        <v>4941415</v>
      </c>
      <c r="O571" s="944">
        <f>IF(A571='Data Entry - SOF'!B$2,'Report-SOF2122'!D$91,0)</f>
        <v>0</v>
      </c>
      <c r="P571" s="723">
        <f>IF(A571='Data Entry - SOF'!B$2,'Data Entry - SOF'!O$102,0)</f>
        <v>0</v>
      </c>
      <c r="Q571" s="601">
        <f t="shared" si="49"/>
        <v>4941415</v>
      </c>
      <c r="R571" s="944">
        <f>IF(A571='Data Entry - SOF'!B$2,'Report-SOF2223'!D$91,0)</f>
        <v>0</v>
      </c>
      <c r="S571" s="723">
        <f>IF(A571='Data Entry - SOF'!B$2,'Data Entry - SOF'!Q$102,0)</f>
        <v>0</v>
      </c>
      <c r="T571" s="601">
        <f t="shared" si="53"/>
        <v>4941415</v>
      </c>
      <c r="U571" s="944">
        <f>IF(A571='Data Entry - SOF'!B$2,'Report-SOF2324'!D$91,0)</f>
        <v>0</v>
      </c>
      <c r="V571" s="723">
        <f>IF(A571='Data Entry - SOF'!B$2,'Data Entry - SOF'!S$102,0)</f>
        <v>0</v>
      </c>
    </row>
    <row r="572" spans="1:22" ht="15.75">
      <c r="A572" s="382" t="s">
        <v>2278</v>
      </c>
      <c r="B572" s="91">
        <v>52488</v>
      </c>
      <c r="C572" s="944">
        <f>IF(A572='Data Entry - SOF'!B$2,'Report-SOF1718'!D$102,0)</f>
        <v>0</v>
      </c>
      <c r="D572" s="1037">
        <f>IF(A572='Data Entry - SOF'!B$2,'Data Entry - SOF'!#REF!,0)</f>
        <v>0</v>
      </c>
      <c r="E572" s="91">
        <f t="shared" si="48"/>
        <v>52488</v>
      </c>
      <c r="F572" s="944">
        <f>IF(A572='Data Entry - SOF'!B$2,'Report-SOF1819'!D$102,0)</f>
        <v>0</v>
      </c>
      <c r="G572" s="1037">
        <f>IF(A572='Data Entry - SOF'!B$2,'Data Entry - SOF'!E$102,0)</f>
        <v>0</v>
      </c>
      <c r="H572" s="1038">
        <f t="shared" si="50"/>
        <v>52488</v>
      </c>
      <c r="I572" s="944">
        <f>IF(A572='Data Entry - SOF'!B$2,'Report-SOF1920-HB3'!D$102,0)</f>
        <v>0</v>
      </c>
      <c r="J572" s="1037">
        <f>IF(A572='Data Entry - SOF'!B$2,'Data Entry - SOF'!G$102,0)</f>
        <v>0</v>
      </c>
      <c r="K572" s="717">
        <f t="shared" si="51"/>
        <v>52488</v>
      </c>
      <c r="L572" s="944">
        <f>IF(A572='Data Entry - SOF'!B$2,'Report-SOF2021'!D$99,0)</f>
        <v>0</v>
      </c>
      <c r="M572" s="723">
        <f>IF(A572='Data Entry - SOF'!B$2,'Data Entry - SOF'!M$102,0)</f>
        <v>0</v>
      </c>
      <c r="N572" s="717">
        <f t="shared" si="52"/>
        <v>52488</v>
      </c>
      <c r="O572" s="944">
        <f>IF(A572='Data Entry - SOF'!B$2,'Report-SOF2122'!D$91,0)</f>
        <v>0</v>
      </c>
      <c r="P572" s="723">
        <f>IF(A572='Data Entry - SOF'!B$2,'Data Entry - SOF'!O$102,0)</f>
        <v>0</v>
      </c>
      <c r="Q572" s="601">
        <f t="shared" si="49"/>
        <v>52488</v>
      </c>
      <c r="R572" s="944">
        <f>IF(A572='Data Entry - SOF'!B$2,'Report-SOF2223'!D$91,0)</f>
        <v>0</v>
      </c>
      <c r="S572" s="723">
        <f>IF(A572='Data Entry - SOF'!B$2,'Data Entry - SOF'!Q$102,0)</f>
        <v>0</v>
      </c>
      <c r="T572" s="601">
        <f t="shared" si="53"/>
        <v>52488</v>
      </c>
      <c r="U572" s="944">
        <f>IF(A572='Data Entry - SOF'!B$2,'Report-SOF2324'!D$91,0)</f>
        <v>0</v>
      </c>
      <c r="V572" s="723">
        <f>IF(A572='Data Entry - SOF'!B$2,'Data Entry - SOF'!S$102,0)</f>
        <v>0</v>
      </c>
    </row>
    <row r="573" spans="1:22" ht="15.75">
      <c r="A573" s="382" t="s">
        <v>2279</v>
      </c>
      <c r="B573" s="91">
        <v>1985257</v>
      </c>
      <c r="C573" s="944">
        <f>IF(A573='Data Entry - SOF'!B$2,'Report-SOF1718'!D$102,0)</f>
        <v>0</v>
      </c>
      <c r="D573" s="1037">
        <f>IF(A573='Data Entry - SOF'!B$2,'Data Entry - SOF'!#REF!,0)</f>
        <v>0</v>
      </c>
      <c r="E573" s="91">
        <f t="shared" si="48"/>
        <v>1985257</v>
      </c>
      <c r="F573" s="944">
        <f>IF(A573='Data Entry - SOF'!B$2,'Report-SOF1819'!D$102,0)</f>
        <v>0</v>
      </c>
      <c r="G573" s="1037">
        <f>IF(A573='Data Entry - SOF'!B$2,'Data Entry - SOF'!E$102,0)</f>
        <v>0</v>
      </c>
      <c r="H573" s="1038">
        <f t="shared" si="50"/>
        <v>1985257</v>
      </c>
      <c r="I573" s="944">
        <f>IF(A573='Data Entry - SOF'!B$2,'Report-SOF1920-HB3'!D$102,0)</f>
        <v>0</v>
      </c>
      <c r="J573" s="1037">
        <f>IF(A573='Data Entry - SOF'!B$2,'Data Entry - SOF'!G$102,0)</f>
        <v>0</v>
      </c>
      <c r="K573" s="717">
        <f t="shared" si="51"/>
        <v>1985257</v>
      </c>
      <c r="L573" s="944">
        <f>IF(A573='Data Entry - SOF'!B$2,'Report-SOF2021'!D$99,0)</f>
        <v>0</v>
      </c>
      <c r="M573" s="723">
        <f>IF(A573='Data Entry - SOF'!B$2,'Data Entry - SOF'!M$102,0)</f>
        <v>0</v>
      </c>
      <c r="N573" s="717">
        <f t="shared" si="52"/>
        <v>1985257</v>
      </c>
      <c r="O573" s="944">
        <f>IF(A573='Data Entry - SOF'!B$2,'Report-SOF2122'!D$91,0)</f>
        <v>0</v>
      </c>
      <c r="P573" s="723">
        <f>IF(A573='Data Entry - SOF'!B$2,'Data Entry - SOF'!O$102,0)</f>
        <v>0</v>
      </c>
      <c r="Q573" s="601">
        <f t="shared" si="49"/>
        <v>1985257</v>
      </c>
      <c r="R573" s="944">
        <f>IF(A573='Data Entry - SOF'!B$2,'Report-SOF2223'!D$91,0)</f>
        <v>0</v>
      </c>
      <c r="S573" s="723">
        <f>IF(A573='Data Entry - SOF'!B$2,'Data Entry - SOF'!Q$102,0)</f>
        <v>0</v>
      </c>
      <c r="T573" s="601">
        <f t="shared" si="53"/>
        <v>1985257</v>
      </c>
      <c r="U573" s="944">
        <f>IF(A573='Data Entry - SOF'!B$2,'Report-SOF2324'!D$91,0)</f>
        <v>0</v>
      </c>
      <c r="V573" s="723">
        <f>IF(A573='Data Entry - SOF'!B$2,'Data Entry - SOF'!S$102,0)</f>
        <v>0</v>
      </c>
    </row>
    <row r="574" spans="1:22" ht="15.75">
      <c r="A574" s="382" t="s">
        <v>1534</v>
      </c>
      <c r="B574" s="91">
        <v>8610155</v>
      </c>
      <c r="C574" s="944">
        <f>IF(A574='Data Entry - SOF'!B$2,'Report-SOF1718'!D$102,0)</f>
        <v>0</v>
      </c>
      <c r="D574" s="1037">
        <f>IF(A574='Data Entry - SOF'!B$2,'Data Entry - SOF'!#REF!,0)</f>
        <v>0</v>
      </c>
      <c r="E574" s="91">
        <f t="shared" si="48"/>
        <v>8610155</v>
      </c>
      <c r="F574" s="944">
        <f>IF(A574='Data Entry - SOF'!B$2,'Report-SOF1819'!D$102,0)</f>
        <v>0</v>
      </c>
      <c r="G574" s="1037">
        <f>IF(A574='Data Entry - SOF'!B$2,'Data Entry - SOF'!E$102,0)</f>
        <v>0</v>
      </c>
      <c r="H574" s="1038">
        <f t="shared" si="50"/>
        <v>8610155</v>
      </c>
      <c r="I574" s="944">
        <f>IF(A574='Data Entry - SOF'!B$2,'Report-SOF1920-HB3'!D$102,0)</f>
        <v>0</v>
      </c>
      <c r="J574" s="1037">
        <f>IF(A574='Data Entry - SOF'!B$2,'Data Entry - SOF'!G$102,0)</f>
        <v>0</v>
      </c>
      <c r="K574" s="717">
        <f t="shared" si="51"/>
        <v>8610155</v>
      </c>
      <c r="L574" s="944">
        <f>IF(A574='Data Entry - SOF'!B$2,'Report-SOF2021'!D$99,0)</f>
        <v>0</v>
      </c>
      <c r="M574" s="723">
        <f>IF(A574='Data Entry - SOF'!B$2,'Data Entry - SOF'!M$102,0)</f>
        <v>0</v>
      </c>
      <c r="N574" s="717">
        <f t="shared" si="52"/>
        <v>8610155</v>
      </c>
      <c r="O574" s="944">
        <f>IF(A574='Data Entry - SOF'!B$2,'Report-SOF2122'!D$91,0)</f>
        <v>0</v>
      </c>
      <c r="P574" s="723">
        <f>IF(A574='Data Entry - SOF'!B$2,'Data Entry - SOF'!O$102,0)</f>
        <v>0</v>
      </c>
      <c r="Q574" s="601">
        <f t="shared" si="49"/>
        <v>8610155</v>
      </c>
      <c r="R574" s="944">
        <f>IF(A574='Data Entry - SOF'!B$2,'Report-SOF2223'!D$91,0)</f>
        <v>0</v>
      </c>
      <c r="S574" s="723">
        <f>IF(A574='Data Entry - SOF'!B$2,'Data Entry - SOF'!Q$102,0)</f>
        <v>0</v>
      </c>
      <c r="T574" s="601">
        <f t="shared" si="53"/>
        <v>8610155</v>
      </c>
      <c r="U574" s="944">
        <f>IF(A574='Data Entry - SOF'!B$2,'Report-SOF2324'!D$91,0)</f>
        <v>0</v>
      </c>
      <c r="V574" s="723">
        <f>IF(A574='Data Entry - SOF'!B$2,'Data Entry - SOF'!S$102,0)</f>
        <v>0</v>
      </c>
    </row>
    <row r="575" spans="1:22" ht="15.75">
      <c r="A575" s="382" t="s">
        <v>1535</v>
      </c>
      <c r="B575" s="91">
        <v>2275292</v>
      </c>
      <c r="C575" s="944">
        <f>IF(A575='Data Entry - SOF'!B$2,'Report-SOF1718'!D$102,0)</f>
        <v>0</v>
      </c>
      <c r="D575" s="1037">
        <f>IF(A575='Data Entry - SOF'!B$2,'Data Entry - SOF'!#REF!,0)</f>
        <v>0</v>
      </c>
      <c r="E575" s="91">
        <f t="shared" si="48"/>
        <v>2275292</v>
      </c>
      <c r="F575" s="944">
        <f>IF(A575='Data Entry - SOF'!B$2,'Report-SOF1819'!D$102,0)</f>
        <v>0</v>
      </c>
      <c r="G575" s="1037">
        <f>IF(A575='Data Entry - SOF'!B$2,'Data Entry - SOF'!E$102,0)</f>
        <v>0</v>
      </c>
      <c r="H575" s="1038">
        <f t="shared" si="50"/>
        <v>2275292</v>
      </c>
      <c r="I575" s="944">
        <f>IF(A575='Data Entry - SOF'!B$2,'Report-SOF1920-HB3'!D$102,0)</f>
        <v>0</v>
      </c>
      <c r="J575" s="1037">
        <f>IF(A575='Data Entry - SOF'!B$2,'Data Entry - SOF'!G$102,0)</f>
        <v>0</v>
      </c>
      <c r="K575" s="717">
        <f t="shared" si="51"/>
        <v>2275292</v>
      </c>
      <c r="L575" s="944">
        <f>IF(A575='Data Entry - SOF'!B$2,'Report-SOF2021'!D$99,0)</f>
        <v>0</v>
      </c>
      <c r="M575" s="723">
        <f>IF(A575='Data Entry - SOF'!B$2,'Data Entry - SOF'!M$102,0)</f>
        <v>0</v>
      </c>
      <c r="N575" s="717">
        <f t="shared" si="52"/>
        <v>2275292</v>
      </c>
      <c r="O575" s="944">
        <f>IF(A575='Data Entry - SOF'!B$2,'Report-SOF2122'!D$91,0)</f>
        <v>0</v>
      </c>
      <c r="P575" s="723">
        <f>IF(A575='Data Entry - SOF'!B$2,'Data Entry - SOF'!O$102,0)</f>
        <v>0</v>
      </c>
      <c r="Q575" s="601">
        <f t="shared" si="49"/>
        <v>2275292</v>
      </c>
      <c r="R575" s="944">
        <f>IF(A575='Data Entry - SOF'!B$2,'Report-SOF2223'!D$91,0)</f>
        <v>0</v>
      </c>
      <c r="S575" s="723">
        <f>IF(A575='Data Entry - SOF'!B$2,'Data Entry - SOF'!Q$102,0)</f>
        <v>0</v>
      </c>
      <c r="T575" s="601">
        <f t="shared" si="53"/>
        <v>2275292</v>
      </c>
      <c r="U575" s="944">
        <f>IF(A575='Data Entry - SOF'!B$2,'Report-SOF2324'!D$91,0)</f>
        <v>0</v>
      </c>
      <c r="V575" s="723">
        <f>IF(A575='Data Entry - SOF'!B$2,'Data Entry - SOF'!S$102,0)</f>
        <v>0</v>
      </c>
    </row>
    <row r="576" spans="1:22" ht="15.75">
      <c r="A576" s="382" t="s">
        <v>2512</v>
      </c>
      <c r="B576" s="91">
        <v>5732900</v>
      </c>
      <c r="C576" s="944">
        <f>IF(A576='Data Entry - SOF'!B$2,'Report-SOF1718'!D$102,0)</f>
        <v>0</v>
      </c>
      <c r="D576" s="1037">
        <f>IF(A576='Data Entry - SOF'!B$2,'Data Entry - SOF'!#REF!,0)</f>
        <v>0</v>
      </c>
      <c r="E576" s="91">
        <f t="shared" si="48"/>
        <v>5732900</v>
      </c>
      <c r="F576" s="944">
        <f>IF(A576='Data Entry - SOF'!B$2,'Report-SOF1819'!D$102,0)</f>
        <v>0</v>
      </c>
      <c r="G576" s="1037">
        <f>IF(A576='Data Entry - SOF'!B$2,'Data Entry - SOF'!E$102,0)</f>
        <v>0</v>
      </c>
      <c r="H576" s="1038">
        <f t="shared" si="50"/>
        <v>5732900</v>
      </c>
      <c r="I576" s="944">
        <f>IF(A576='Data Entry - SOF'!B$2,'Report-SOF1920-HB3'!D$102,0)</f>
        <v>0</v>
      </c>
      <c r="J576" s="1037">
        <f>IF(A576='Data Entry - SOF'!B$2,'Data Entry - SOF'!G$102,0)</f>
        <v>0</v>
      </c>
      <c r="K576" s="717">
        <f t="shared" si="51"/>
        <v>5732900</v>
      </c>
      <c r="L576" s="944">
        <f>IF(A576='Data Entry - SOF'!B$2,'Report-SOF2021'!D$99,0)</f>
        <v>0</v>
      </c>
      <c r="M576" s="723">
        <f>IF(A576='Data Entry - SOF'!B$2,'Data Entry - SOF'!M$102,0)</f>
        <v>0</v>
      </c>
      <c r="N576" s="717">
        <f t="shared" si="52"/>
        <v>5732900</v>
      </c>
      <c r="O576" s="944">
        <f>IF(A576='Data Entry - SOF'!B$2,'Report-SOF2122'!D$91,0)</f>
        <v>0</v>
      </c>
      <c r="P576" s="723">
        <f>IF(A576='Data Entry - SOF'!B$2,'Data Entry - SOF'!O$102,0)</f>
        <v>0</v>
      </c>
      <c r="Q576" s="601">
        <f t="shared" si="49"/>
        <v>5732900</v>
      </c>
      <c r="R576" s="944">
        <f>IF(A576='Data Entry - SOF'!B$2,'Report-SOF2223'!D$91,0)</f>
        <v>0</v>
      </c>
      <c r="S576" s="723">
        <f>IF(A576='Data Entry - SOF'!B$2,'Data Entry - SOF'!Q$102,0)</f>
        <v>0</v>
      </c>
      <c r="T576" s="601">
        <f t="shared" si="53"/>
        <v>5732900</v>
      </c>
      <c r="U576" s="944">
        <f>IF(A576='Data Entry - SOF'!B$2,'Report-SOF2324'!D$91,0)</f>
        <v>0</v>
      </c>
      <c r="V576" s="723">
        <f>IF(A576='Data Entry - SOF'!B$2,'Data Entry - SOF'!S$102,0)</f>
        <v>0</v>
      </c>
    </row>
    <row r="577" spans="1:22" ht="15.75">
      <c r="A577" s="382" t="s">
        <v>393</v>
      </c>
      <c r="B577" s="91">
        <v>3154911</v>
      </c>
      <c r="C577" s="944">
        <f>IF(A577='Data Entry - SOF'!B$2,'Report-SOF1718'!D$102,0)</f>
        <v>0</v>
      </c>
      <c r="D577" s="1037">
        <f>IF(A577='Data Entry - SOF'!B$2,'Data Entry - SOF'!#REF!,0)</f>
        <v>0</v>
      </c>
      <c r="E577" s="91">
        <f t="shared" si="48"/>
        <v>3154911</v>
      </c>
      <c r="F577" s="944">
        <f>IF(A577='Data Entry - SOF'!B$2,'Report-SOF1819'!D$102,0)</f>
        <v>0</v>
      </c>
      <c r="G577" s="1037">
        <f>IF(A577='Data Entry - SOF'!B$2,'Data Entry - SOF'!E$102,0)</f>
        <v>0</v>
      </c>
      <c r="H577" s="1038">
        <f t="shared" si="50"/>
        <v>3154911</v>
      </c>
      <c r="I577" s="944">
        <f>IF(A577='Data Entry - SOF'!B$2,'Report-SOF1920-HB3'!D$102,0)</f>
        <v>0</v>
      </c>
      <c r="J577" s="1037">
        <f>IF(A577='Data Entry - SOF'!B$2,'Data Entry - SOF'!G$102,0)</f>
        <v>0</v>
      </c>
      <c r="K577" s="717">
        <f t="shared" si="51"/>
        <v>3154911</v>
      </c>
      <c r="L577" s="944">
        <f>IF(A577='Data Entry - SOF'!B$2,'Report-SOF2021'!D$99,0)</f>
        <v>0</v>
      </c>
      <c r="M577" s="723">
        <f>IF(A577='Data Entry - SOF'!B$2,'Data Entry - SOF'!M$102,0)</f>
        <v>0</v>
      </c>
      <c r="N577" s="717">
        <f t="shared" si="52"/>
        <v>3154911</v>
      </c>
      <c r="O577" s="944">
        <f>IF(A577='Data Entry - SOF'!B$2,'Report-SOF2122'!D$91,0)</f>
        <v>0</v>
      </c>
      <c r="P577" s="723">
        <f>IF(A577='Data Entry - SOF'!B$2,'Data Entry - SOF'!O$102,0)</f>
        <v>0</v>
      </c>
      <c r="Q577" s="601">
        <f t="shared" si="49"/>
        <v>3154911</v>
      </c>
      <c r="R577" s="944">
        <f>IF(A577='Data Entry - SOF'!B$2,'Report-SOF2223'!D$91,0)</f>
        <v>0</v>
      </c>
      <c r="S577" s="723">
        <f>IF(A577='Data Entry - SOF'!B$2,'Data Entry - SOF'!Q$102,0)</f>
        <v>0</v>
      </c>
      <c r="T577" s="601">
        <f t="shared" si="53"/>
        <v>3154911</v>
      </c>
      <c r="U577" s="944">
        <f>IF(A577='Data Entry - SOF'!B$2,'Report-SOF2324'!D$91,0)</f>
        <v>0</v>
      </c>
      <c r="V577" s="723">
        <f>IF(A577='Data Entry - SOF'!B$2,'Data Entry - SOF'!S$102,0)</f>
        <v>0</v>
      </c>
    </row>
    <row r="578" spans="1:22" ht="15.75">
      <c r="A578" s="382" t="s">
        <v>394</v>
      </c>
      <c r="B578" s="91">
        <v>908063</v>
      </c>
      <c r="C578" s="944">
        <f>IF(A578='Data Entry - SOF'!B$2,'Report-SOF1718'!D$102,0)</f>
        <v>0</v>
      </c>
      <c r="D578" s="1037">
        <f>IF(A578='Data Entry - SOF'!B$2,'Data Entry - SOF'!#REF!,0)</f>
        <v>0</v>
      </c>
      <c r="E578" s="91">
        <f t="shared" si="48"/>
        <v>908063</v>
      </c>
      <c r="F578" s="944">
        <f>IF(A578='Data Entry - SOF'!B$2,'Report-SOF1819'!D$102,0)</f>
        <v>0</v>
      </c>
      <c r="G578" s="1037">
        <f>IF(A578='Data Entry - SOF'!B$2,'Data Entry - SOF'!E$102,0)</f>
        <v>0</v>
      </c>
      <c r="H578" s="1038">
        <f t="shared" si="50"/>
        <v>908063</v>
      </c>
      <c r="I578" s="944">
        <f>IF(A578='Data Entry - SOF'!B$2,'Report-SOF1920-HB3'!D$102,0)</f>
        <v>0</v>
      </c>
      <c r="J578" s="1037">
        <f>IF(A578='Data Entry - SOF'!B$2,'Data Entry - SOF'!G$102,0)</f>
        <v>0</v>
      </c>
      <c r="K578" s="717">
        <f t="shared" si="51"/>
        <v>908063</v>
      </c>
      <c r="L578" s="944">
        <f>IF(A578='Data Entry - SOF'!B$2,'Report-SOF2021'!D$99,0)</f>
        <v>0</v>
      </c>
      <c r="M578" s="723">
        <f>IF(A578='Data Entry - SOF'!B$2,'Data Entry - SOF'!M$102,0)</f>
        <v>0</v>
      </c>
      <c r="N578" s="717">
        <f t="shared" si="52"/>
        <v>908063</v>
      </c>
      <c r="O578" s="944">
        <f>IF(A578='Data Entry - SOF'!B$2,'Report-SOF2122'!D$91,0)</f>
        <v>0</v>
      </c>
      <c r="P578" s="723">
        <f>IF(A578='Data Entry - SOF'!B$2,'Data Entry - SOF'!O$102,0)</f>
        <v>0</v>
      </c>
      <c r="Q578" s="601">
        <f t="shared" si="49"/>
        <v>908063</v>
      </c>
      <c r="R578" s="944">
        <f>IF(A578='Data Entry - SOF'!B$2,'Report-SOF2223'!D$91,0)</f>
        <v>0</v>
      </c>
      <c r="S578" s="723">
        <f>IF(A578='Data Entry - SOF'!B$2,'Data Entry - SOF'!Q$102,0)</f>
        <v>0</v>
      </c>
      <c r="T578" s="601">
        <f t="shared" si="53"/>
        <v>908063</v>
      </c>
      <c r="U578" s="944">
        <f>IF(A578='Data Entry - SOF'!B$2,'Report-SOF2324'!D$91,0)</f>
        <v>0</v>
      </c>
      <c r="V578" s="723">
        <f>IF(A578='Data Entry - SOF'!B$2,'Data Entry - SOF'!S$102,0)</f>
        <v>0</v>
      </c>
    </row>
    <row r="579" spans="1:22" ht="15.75">
      <c r="A579" s="382" t="s">
        <v>395</v>
      </c>
      <c r="B579" s="91">
        <v>3494209</v>
      </c>
      <c r="C579" s="944">
        <f>IF(A579='Data Entry - SOF'!B$2,'Report-SOF1718'!D$102,0)</f>
        <v>0</v>
      </c>
      <c r="D579" s="1037">
        <f>IF(A579='Data Entry - SOF'!B$2,'Data Entry - SOF'!#REF!,0)</f>
        <v>0</v>
      </c>
      <c r="E579" s="91">
        <f t="shared" si="48"/>
        <v>3494209</v>
      </c>
      <c r="F579" s="944">
        <f>IF(A579='Data Entry - SOF'!B$2,'Report-SOF1819'!D$102,0)</f>
        <v>0</v>
      </c>
      <c r="G579" s="1037">
        <f>IF(A579='Data Entry - SOF'!B$2,'Data Entry - SOF'!E$102,0)</f>
        <v>0</v>
      </c>
      <c r="H579" s="1038">
        <f t="shared" si="50"/>
        <v>3494209</v>
      </c>
      <c r="I579" s="944">
        <f>IF(A579='Data Entry - SOF'!B$2,'Report-SOF1920-HB3'!D$102,0)</f>
        <v>0</v>
      </c>
      <c r="J579" s="1037">
        <f>IF(A579='Data Entry - SOF'!B$2,'Data Entry - SOF'!G$102,0)</f>
        <v>0</v>
      </c>
      <c r="K579" s="717">
        <f t="shared" si="51"/>
        <v>3494209</v>
      </c>
      <c r="L579" s="944">
        <f>IF(A579='Data Entry - SOF'!B$2,'Report-SOF2021'!D$99,0)</f>
        <v>0</v>
      </c>
      <c r="M579" s="723">
        <f>IF(A579='Data Entry - SOF'!B$2,'Data Entry - SOF'!M$102,0)</f>
        <v>0</v>
      </c>
      <c r="N579" s="717">
        <f t="shared" si="52"/>
        <v>3494209</v>
      </c>
      <c r="O579" s="944">
        <f>IF(A579='Data Entry - SOF'!B$2,'Report-SOF2122'!D$91,0)</f>
        <v>0</v>
      </c>
      <c r="P579" s="723">
        <f>IF(A579='Data Entry - SOF'!B$2,'Data Entry - SOF'!O$102,0)</f>
        <v>0</v>
      </c>
      <c r="Q579" s="601">
        <f t="shared" si="49"/>
        <v>3494209</v>
      </c>
      <c r="R579" s="944">
        <f>IF(A579='Data Entry - SOF'!B$2,'Report-SOF2223'!D$91,0)</f>
        <v>0</v>
      </c>
      <c r="S579" s="723">
        <f>IF(A579='Data Entry - SOF'!B$2,'Data Entry - SOF'!Q$102,0)</f>
        <v>0</v>
      </c>
      <c r="T579" s="601">
        <f t="shared" si="53"/>
        <v>3494209</v>
      </c>
      <c r="U579" s="944">
        <f>IF(A579='Data Entry - SOF'!B$2,'Report-SOF2324'!D$91,0)</f>
        <v>0</v>
      </c>
      <c r="V579" s="723">
        <f>IF(A579='Data Entry - SOF'!B$2,'Data Entry - SOF'!S$102,0)</f>
        <v>0</v>
      </c>
    </row>
    <row r="580" spans="1:22" ht="15.75">
      <c r="A580" s="382" t="s">
        <v>2513</v>
      </c>
      <c r="B580" s="91">
        <v>982732</v>
      </c>
      <c r="C580" s="944">
        <f>IF(A580='Data Entry - SOF'!B$2,'Report-SOF1718'!D$102,0)</f>
        <v>0</v>
      </c>
      <c r="D580" s="1037">
        <f>IF(A580='Data Entry - SOF'!B$2,'Data Entry - SOF'!#REF!,0)</f>
        <v>0</v>
      </c>
      <c r="E580" s="91">
        <f t="shared" ref="E580:E643" si="54">IF(B580+C580-D580&lt;=0,0,B580+C580-D580)</f>
        <v>982732</v>
      </c>
      <c r="F580" s="944">
        <f>IF(A580='Data Entry - SOF'!B$2,'Report-SOF1819'!D$102,0)</f>
        <v>0</v>
      </c>
      <c r="G580" s="1037">
        <f>IF(A580='Data Entry - SOF'!B$2,'Data Entry - SOF'!E$102,0)</f>
        <v>0</v>
      </c>
      <c r="H580" s="1038">
        <f t="shared" si="50"/>
        <v>982732</v>
      </c>
      <c r="I580" s="944">
        <f>IF(A580='Data Entry - SOF'!B$2,'Report-SOF1920-HB3'!D$102,0)</f>
        <v>0</v>
      </c>
      <c r="J580" s="1037">
        <f>IF(A580='Data Entry - SOF'!B$2,'Data Entry - SOF'!G$102,0)</f>
        <v>0</v>
      </c>
      <c r="K580" s="717">
        <f t="shared" si="51"/>
        <v>982732</v>
      </c>
      <c r="L580" s="944">
        <f>IF(A580='Data Entry - SOF'!B$2,'Report-SOF2021'!D$99,0)</f>
        <v>0</v>
      </c>
      <c r="M580" s="723">
        <f>IF(A580='Data Entry - SOF'!B$2,'Data Entry - SOF'!M$102,0)</f>
        <v>0</v>
      </c>
      <c r="N580" s="717">
        <f t="shared" si="52"/>
        <v>982732</v>
      </c>
      <c r="O580" s="944">
        <f>IF(A580='Data Entry - SOF'!B$2,'Report-SOF2122'!D$91,0)</f>
        <v>0</v>
      </c>
      <c r="P580" s="723">
        <f>IF(A580='Data Entry - SOF'!B$2,'Data Entry - SOF'!O$102,0)</f>
        <v>0</v>
      </c>
      <c r="Q580" s="601">
        <f t="shared" ref="Q580:Q643" si="55">IF(N580+O580-P580&lt;=0,0,N580+O580-P580)</f>
        <v>982732</v>
      </c>
      <c r="R580" s="944">
        <f>IF(A580='Data Entry - SOF'!B$2,'Report-SOF2223'!D$91,0)</f>
        <v>0</v>
      </c>
      <c r="S580" s="723">
        <f>IF(A580='Data Entry - SOF'!B$2,'Data Entry - SOF'!Q$102,0)</f>
        <v>0</v>
      </c>
      <c r="T580" s="601">
        <f t="shared" si="53"/>
        <v>982732</v>
      </c>
      <c r="U580" s="944">
        <f>IF(A580='Data Entry - SOF'!B$2,'Report-SOF2324'!D$91,0)</f>
        <v>0</v>
      </c>
      <c r="V580" s="723">
        <f>IF(A580='Data Entry - SOF'!B$2,'Data Entry - SOF'!S$102,0)</f>
        <v>0</v>
      </c>
    </row>
    <row r="581" spans="1:22" ht="15.75">
      <c r="A581" s="382" t="s">
        <v>242</v>
      </c>
      <c r="B581" s="91">
        <v>965939</v>
      </c>
      <c r="C581" s="944">
        <f>IF(A581='Data Entry - SOF'!B$2,'Report-SOF1718'!D$102,0)</f>
        <v>0</v>
      </c>
      <c r="D581" s="1037">
        <f>IF(A581='Data Entry - SOF'!B$2,'Data Entry - SOF'!#REF!,0)</f>
        <v>0</v>
      </c>
      <c r="E581" s="91">
        <f t="shared" si="54"/>
        <v>965939</v>
      </c>
      <c r="F581" s="944">
        <f>IF(A581='Data Entry - SOF'!B$2,'Report-SOF1819'!D$102,0)</f>
        <v>0</v>
      </c>
      <c r="G581" s="1037">
        <f>IF(A581='Data Entry - SOF'!B$2,'Data Entry - SOF'!E$102,0)</f>
        <v>0</v>
      </c>
      <c r="H581" s="1038">
        <f t="shared" ref="H581:H644" si="56">IF(E581+F581-G581&lt;=0,0,E581+F581-G581)</f>
        <v>965939</v>
      </c>
      <c r="I581" s="944">
        <f>IF(A581='Data Entry - SOF'!B$2,'Report-SOF1920-HB3'!D$102,0)</f>
        <v>0</v>
      </c>
      <c r="J581" s="1037">
        <f>IF(A581='Data Entry - SOF'!B$2,'Data Entry - SOF'!G$102,0)</f>
        <v>0</v>
      </c>
      <c r="K581" s="717">
        <f t="shared" ref="K581:K644" si="57">IF(H581+I581-J581&lt;=0,0,H581+I581-J581)</f>
        <v>965939</v>
      </c>
      <c r="L581" s="944">
        <f>IF(A581='Data Entry - SOF'!B$2,'Report-SOF2021'!D$99,0)</f>
        <v>0</v>
      </c>
      <c r="M581" s="723">
        <f>IF(A581='Data Entry - SOF'!B$2,'Data Entry - SOF'!M$102,0)</f>
        <v>0</v>
      </c>
      <c r="N581" s="717">
        <f t="shared" ref="N581:N644" si="58">IF(K581+L581-M581&lt;=0,0,K581+L581-M581)</f>
        <v>965939</v>
      </c>
      <c r="O581" s="944">
        <f>IF(A581='Data Entry - SOF'!B$2,'Report-SOF2122'!D$91,0)</f>
        <v>0</v>
      </c>
      <c r="P581" s="723">
        <f>IF(A581='Data Entry - SOF'!B$2,'Data Entry - SOF'!O$102,0)</f>
        <v>0</v>
      </c>
      <c r="Q581" s="601">
        <f t="shared" si="55"/>
        <v>965939</v>
      </c>
      <c r="R581" s="944">
        <f>IF(A581='Data Entry - SOF'!B$2,'Report-SOF2223'!D$91,0)</f>
        <v>0</v>
      </c>
      <c r="S581" s="723">
        <f>IF(A581='Data Entry - SOF'!B$2,'Data Entry - SOF'!Q$102,0)</f>
        <v>0</v>
      </c>
      <c r="T581" s="601">
        <f t="shared" ref="T581:T644" si="59">IF(P581+Q581-S581&lt;=0,0,P581+Q581-S581)</f>
        <v>965939</v>
      </c>
      <c r="U581" s="944">
        <f>IF(A581='Data Entry - SOF'!B$2,'Report-SOF2324'!D$91,0)</f>
        <v>0</v>
      </c>
      <c r="V581" s="723">
        <f>IF(A581='Data Entry - SOF'!B$2,'Data Entry - SOF'!S$102,0)</f>
        <v>0</v>
      </c>
    </row>
    <row r="582" spans="1:22" ht="15.75">
      <c r="A582" s="382" t="s">
        <v>243</v>
      </c>
      <c r="B582" s="91">
        <v>520863</v>
      </c>
      <c r="C582" s="944">
        <f>IF(A582='Data Entry - SOF'!B$2,'Report-SOF1718'!D$102,0)</f>
        <v>0</v>
      </c>
      <c r="D582" s="1037">
        <f>IF(A582='Data Entry - SOF'!B$2,'Data Entry - SOF'!#REF!,0)</f>
        <v>0</v>
      </c>
      <c r="E582" s="91">
        <f t="shared" si="54"/>
        <v>520863</v>
      </c>
      <c r="F582" s="944">
        <f>IF(A582='Data Entry - SOF'!B$2,'Report-SOF1819'!D$102,0)</f>
        <v>0</v>
      </c>
      <c r="G582" s="1037">
        <f>IF(A582='Data Entry - SOF'!B$2,'Data Entry - SOF'!E$102,0)</f>
        <v>0</v>
      </c>
      <c r="H582" s="1038">
        <f t="shared" si="56"/>
        <v>520863</v>
      </c>
      <c r="I582" s="944">
        <f>IF(A582='Data Entry - SOF'!B$2,'Report-SOF1920-HB3'!D$102,0)</f>
        <v>0</v>
      </c>
      <c r="J582" s="1037">
        <f>IF(A582='Data Entry - SOF'!B$2,'Data Entry - SOF'!G$102,0)</f>
        <v>0</v>
      </c>
      <c r="K582" s="717">
        <f t="shared" si="57"/>
        <v>520863</v>
      </c>
      <c r="L582" s="944">
        <f>IF(A582='Data Entry - SOF'!B$2,'Report-SOF2021'!D$99,0)</f>
        <v>0</v>
      </c>
      <c r="M582" s="723">
        <f>IF(A582='Data Entry - SOF'!B$2,'Data Entry - SOF'!M$102,0)</f>
        <v>0</v>
      </c>
      <c r="N582" s="717">
        <f t="shared" si="58"/>
        <v>520863</v>
      </c>
      <c r="O582" s="944">
        <f>IF(A582='Data Entry - SOF'!B$2,'Report-SOF2122'!D$91,0)</f>
        <v>0</v>
      </c>
      <c r="P582" s="723">
        <f>IF(A582='Data Entry - SOF'!B$2,'Data Entry - SOF'!O$102,0)</f>
        <v>0</v>
      </c>
      <c r="Q582" s="601">
        <f t="shared" si="55"/>
        <v>520863</v>
      </c>
      <c r="R582" s="944">
        <f>IF(A582='Data Entry - SOF'!B$2,'Report-SOF2223'!D$91,0)</f>
        <v>0</v>
      </c>
      <c r="S582" s="723">
        <f>IF(A582='Data Entry - SOF'!B$2,'Data Entry - SOF'!Q$102,0)</f>
        <v>0</v>
      </c>
      <c r="T582" s="601">
        <f t="shared" si="59"/>
        <v>520863</v>
      </c>
      <c r="U582" s="944">
        <f>IF(A582='Data Entry - SOF'!B$2,'Report-SOF2324'!D$91,0)</f>
        <v>0</v>
      </c>
      <c r="V582" s="723">
        <f>IF(A582='Data Entry - SOF'!B$2,'Data Entry - SOF'!S$102,0)</f>
        <v>0</v>
      </c>
    </row>
    <row r="583" spans="1:22" ht="15.75">
      <c r="A583" s="382" t="s">
        <v>244</v>
      </c>
      <c r="B583" s="91">
        <v>11542313</v>
      </c>
      <c r="C583" s="944">
        <f>IF(A583='Data Entry - SOF'!B$2,'Report-SOF1718'!D$102,0)</f>
        <v>0</v>
      </c>
      <c r="D583" s="1037">
        <f>IF(A583='Data Entry - SOF'!B$2,'Data Entry - SOF'!#REF!,0)</f>
        <v>0</v>
      </c>
      <c r="E583" s="91">
        <f t="shared" si="54"/>
        <v>11542313</v>
      </c>
      <c r="F583" s="944">
        <f>IF(A583='Data Entry - SOF'!B$2,'Report-SOF1819'!D$102,0)</f>
        <v>0</v>
      </c>
      <c r="G583" s="1037">
        <f>IF(A583='Data Entry - SOF'!B$2,'Data Entry - SOF'!E$102,0)</f>
        <v>0</v>
      </c>
      <c r="H583" s="1038">
        <f t="shared" si="56"/>
        <v>11542313</v>
      </c>
      <c r="I583" s="944">
        <f>IF(A583='Data Entry - SOF'!B$2,'Report-SOF1920-HB3'!D$102,0)</f>
        <v>0</v>
      </c>
      <c r="J583" s="1037">
        <f>IF(A583='Data Entry - SOF'!B$2,'Data Entry - SOF'!G$102,0)</f>
        <v>0</v>
      </c>
      <c r="K583" s="717">
        <f t="shared" si="57"/>
        <v>11542313</v>
      </c>
      <c r="L583" s="944">
        <f>IF(A583='Data Entry - SOF'!B$2,'Report-SOF2021'!D$99,0)</f>
        <v>0</v>
      </c>
      <c r="M583" s="723">
        <f>IF(A583='Data Entry - SOF'!B$2,'Data Entry - SOF'!M$102,0)</f>
        <v>0</v>
      </c>
      <c r="N583" s="717">
        <f t="shared" si="58"/>
        <v>11542313</v>
      </c>
      <c r="O583" s="944">
        <f>IF(A583='Data Entry - SOF'!B$2,'Report-SOF2122'!D$91,0)</f>
        <v>0</v>
      </c>
      <c r="P583" s="723">
        <f>IF(A583='Data Entry - SOF'!B$2,'Data Entry - SOF'!O$102,0)</f>
        <v>0</v>
      </c>
      <c r="Q583" s="601">
        <f t="shared" si="55"/>
        <v>11542313</v>
      </c>
      <c r="R583" s="944">
        <f>IF(A583='Data Entry - SOF'!B$2,'Report-SOF2223'!D$91,0)</f>
        <v>0</v>
      </c>
      <c r="S583" s="723">
        <f>IF(A583='Data Entry - SOF'!B$2,'Data Entry - SOF'!Q$102,0)</f>
        <v>0</v>
      </c>
      <c r="T583" s="601">
        <f t="shared" si="59"/>
        <v>11542313</v>
      </c>
      <c r="U583" s="944">
        <f>IF(A583='Data Entry - SOF'!B$2,'Report-SOF2324'!D$91,0)</f>
        <v>0</v>
      </c>
      <c r="V583" s="723">
        <f>IF(A583='Data Entry - SOF'!B$2,'Data Entry - SOF'!S$102,0)</f>
        <v>0</v>
      </c>
    </row>
    <row r="584" spans="1:22" ht="15.75">
      <c r="A584" s="382" t="s">
        <v>2325</v>
      </c>
      <c r="B584" s="91">
        <v>942114</v>
      </c>
      <c r="C584" s="944">
        <f>IF(A584='Data Entry - SOF'!B$2,'Report-SOF1718'!D$102,0)</f>
        <v>0</v>
      </c>
      <c r="D584" s="1037">
        <f>IF(A584='Data Entry - SOF'!B$2,'Data Entry - SOF'!#REF!,0)</f>
        <v>0</v>
      </c>
      <c r="E584" s="91">
        <f t="shared" si="54"/>
        <v>942114</v>
      </c>
      <c r="F584" s="944">
        <f>IF(A584='Data Entry - SOF'!B$2,'Report-SOF1819'!D$102,0)</f>
        <v>0</v>
      </c>
      <c r="G584" s="1037">
        <f>IF(A584='Data Entry - SOF'!B$2,'Data Entry - SOF'!E$102,0)</f>
        <v>0</v>
      </c>
      <c r="H584" s="1038">
        <f t="shared" si="56"/>
        <v>942114</v>
      </c>
      <c r="I584" s="944">
        <f>IF(A584='Data Entry - SOF'!B$2,'Report-SOF1920-HB3'!D$102,0)</f>
        <v>0</v>
      </c>
      <c r="J584" s="1037">
        <f>IF(A584='Data Entry - SOF'!B$2,'Data Entry - SOF'!G$102,0)</f>
        <v>0</v>
      </c>
      <c r="K584" s="717">
        <f t="shared" si="57"/>
        <v>942114</v>
      </c>
      <c r="L584" s="944">
        <f>IF(A584='Data Entry - SOF'!B$2,'Report-SOF2021'!D$99,0)</f>
        <v>0</v>
      </c>
      <c r="M584" s="723">
        <f>IF(A584='Data Entry - SOF'!B$2,'Data Entry - SOF'!M$102,0)</f>
        <v>0</v>
      </c>
      <c r="N584" s="717">
        <f t="shared" si="58"/>
        <v>942114</v>
      </c>
      <c r="O584" s="944">
        <f>IF(A584='Data Entry - SOF'!B$2,'Report-SOF2122'!D$91,0)</f>
        <v>0</v>
      </c>
      <c r="P584" s="723">
        <f>IF(A584='Data Entry - SOF'!B$2,'Data Entry - SOF'!O$102,0)</f>
        <v>0</v>
      </c>
      <c r="Q584" s="601">
        <f t="shared" si="55"/>
        <v>942114</v>
      </c>
      <c r="R584" s="944">
        <f>IF(A584='Data Entry - SOF'!B$2,'Report-SOF2223'!D$91,0)</f>
        <v>0</v>
      </c>
      <c r="S584" s="723">
        <f>IF(A584='Data Entry - SOF'!B$2,'Data Entry - SOF'!Q$102,0)</f>
        <v>0</v>
      </c>
      <c r="T584" s="601">
        <f t="shared" si="59"/>
        <v>942114</v>
      </c>
      <c r="U584" s="944">
        <f>IF(A584='Data Entry - SOF'!B$2,'Report-SOF2324'!D$91,0)</f>
        <v>0</v>
      </c>
      <c r="V584" s="723">
        <f>IF(A584='Data Entry - SOF'!B$2,'Data Entry - SOF'!S$102,0)</f>
        <v>0</v>
      </c>
    </row>
    <row r="585" spans="1:22" ht="15.75">
      <c r="A585" s="382" t="s">
        <v>2023</v>
      </c>
      <c r="B585" s="91">
        <v>4492276</v>
      </c>
      <c r="C585" s="944">
        <f>IF(A585='Data Entry - SOF'!B$2,'Report-SOF1718'!D$102,0)</f>
        <v>0</v>
      </c>
      <c r="D585" s="1037">
        <f>IF(A585='Data Entry - SOF'!B$2,'Data Entry - SOF'!#REF!,0)</f>
        <v>0</v>
      </c>
      <c r="E585" s="91">
        <f t="shared" si="54"/>
        <v>4492276</v>
      </c>
      <c r="F585" s="944">
        <f>IF(A585='Data Entry - SOF'!B$2,'Report-SOF1819'!D$102,0)</f>
        <v>0</v>
      </c>
      <c r="G585" s="1037">
        <f>IF(A585='Data Entry - SOF'!B$2,'Data Entry - SOF'!E$102,0)</f>
        <v>0</v>
      </c>
      <c r="H585" s="1038">
        <f t="shared" si="56"/>
        <v>4492276</v>
      </c>
      <c r="I585" s="944">
        <f>IF(A585='Data Entry - SOF'!B$2,'Report-SOF1920-HB3'!D$102,0)</f>
        <v>0</v>
      </c>
      <c r="J585" s="1037">
        <f>IF(A585='Data Entry - SOF'!B$2,'Data Entry - SOF'!G$102,0)</f>
        <v>0</v>
      </c>
      <c r="K585" s="717">
        <f t="shared" si="57"/>
        <v>4492276</v>
      </c>
      <c r="L585" s="944">
        <f>IF(A585='Data Entry - SOF'!B$2,'Report-SOF2021'!D$99,0)</f>
        <v>0</v>
      </c>
      <c r="M585" s="723">
        <f>IF(A585='Data Entry - SOF'!B$2,'Data Entry - SOF'!M$102,0)</f>
        <v>0</v>
      </c>
      <c r="N585" s="717">
        <f t="shared" si="58"/>
        <v>4492276</v>
      </c>
      <c r="O585" s="944">
        <f>IF(A585='Data Entry - SOF'!B$2,'Report-SOF2122'!D$91,0)</f>
        <v>0</v>
      </c>
      <c r="P585" s="723">
        <f>IF(A585='Data Entry - SOF'!B$2,'Data Entry - SOF'!O$102,0)</f>
        <v>0</v>
      </c>
      <c r="Q585" s="601">
        <f t="shared" si="55"/>
        <v>4492276</v>
      </c>
      <c r="R585" s="944">
        <f>IF(A585='Data Entry - SOF'!B$2,'Report-SOF2223'!D$91,0)</f>
        <v>0</v>
      </c>
      <c r="S585" s="723">
        <f>IF(A585='Data Entry - SOF'!B$2,'Data Entry - SOF'!Q$102,0)</f>
        <v>0</v>
      </c>
      <c r="T585" s="601">
        <f t="shared" si="59"/>
        <v>4492276</v>
      </c>
      <c r="U585" s="944">
        <f>IF(A585='Data Entry - SOF'!B$2,'Report-SOF2324'!D$91,0)</f>
        <v>0</v>
      </c>
      <c r="V585" s="723">
        <f>IF(A585='Data Entry - SOF'!B$2,'Data Entry - SOF'!S$102,0)</f>
        <v>0</v>
      </c>
    </row>
    <row r="586" spans="1:22" ht="15.75">
      <c r="A586" s="382" t="s">
        <v>2076</v>
      </c>
      <c r="B586" s="91">
        <v>9949425</v>
      </c>
      <c r="C586" s="944">
        <f>IF(A586='Data Entry - SOF'!B$2,'Report-SOF1718'!D$102,0)</f>
        <v>0</v>
      </c>
      <c r="D586" s="1037">
        <f>IF(A586='Data Entry - SOF'!B$2,'Data Entry - SOF'!#REF!,0)</f>
        <v>0</v>
      </c>
      <c r="E586" s="91">
        <f t="shared" si="54"/>
        <v>9949425</v>
      </c>
      <c r="F586" s="944">
        <f>IF(A586='Data Entry - SOF'!B$2,'Report-SOF1819'!D$102,0)</f>
        <v>0</v>
      </c>
      <c r="G586" s="1037">
        <f>IF(A586='Data Entry - SOF'!B$2,'Data Entry - SOF'!E$102,0)</f>
        <v>0</v>
      </c>
      <c r="H586" s="1038">
        <f t="shared" si="56"/>
        <v>9949425</v>
      </c>
      <c r="I586" s="944">
        <f>IF(A586='Data Entry - SOF'!B$2,'Report-SOF1920-HB3'!D$102,0)</f>
        <v>0</v>
      </c>
      <c r="J586" s="1037">
        <f>IF(A586='Data Entry - SOF'!B$2,'Data Entry - SOF'!G$102,0)</f>
        <v>0</v>
      </c>
      <c r="K586" s="717">
        <f t="shared" si="57"/>
        <v>9949425</v>
      </c>
      <c r="L586" s="944">
        <f>IF(A586='Data Entry - SOF'!B$2,'Report-SOF2021'!D$99,0)</f>
        <v>0</v>
      </c>
      <c r="M586" s="723">
        <f>IF(A586='Data Entry - SOF'!B$2,'Data Entry - SOF'!M$102,0)</f>
        <v>0</v>
      </c>
      <c r="N586" s="717">
        <f t="shared" si="58"/>
        <v>9949425</v>
      </c>
      <c r="O586" s="944">
        <f>IF(A586='Data Entry - SOF'!B$2,'Report-SOF2122'!D$91,0)</f>
        <v>0</v>
      </c>
      <c r="P586" s="723">
        <f>IF(A586='Data Entry - SOF'!B$2,'Data Entry - SOF'!O$102,0)</f>
        <v>0</v>
      </c>
      <c r="Q586" s="601">
        <f t="shared" si="55"/>
        <v>9949425</v>
      </c>
      <c r="R586" s="944">
        <f>IF(A586='Data Entry - SOF'!B$2,'Report-SOF2223'!D$91,0)</f>
        <v>0</v>
      </c>
      <c r="S586" s="723">
        <f>IF(A586='Data Entry - SOF'!B$2,'Data Entry - SOF'!Q$102,0)</f>
        <v>0</v>
      </c>
      <c r="T586" s="601">
        <f t="shared" si="59"/>
        <v>9949425</v>
      </c>
      <c r="U586" s="944">
        <f>IF(A586='Data Entry - SOF'!B$2,'Report-SOF2324'!D$91,0)</f>
        <v>0</v>
      </c>
      <c r="V586" s="723">
        <f>IF(A586='Data Entry - SOF'!B$2,'Data Entry - SOF'!S$102,0)</f>
        <v>0</v>
      </c>
    </row>
    <row r="587" spans="1:22" ht="15.75">
      <c r="A587" s="382" t="s">
        <v>2514</v>
      </c>
      <c r="B587" s="91">
        <v>1437243</v>
      </c>
      <c r="C587" s="944">
        <f>IF(A587='Data Entry - SOF'!B$2,'Report-SOF1718'!D$102,0)</f>
        <v>0</v>
      </c>
      <c r="D587" s="1037">
        <f>IF(A587='Data Entry - SOF'!B$2,'Data Entry - SOF'!#REF!,0)</f>
        <v>0</v>
      </c>
      <c r="E587" s="91">
        <f t="shared" si="54"/>
        <v>1437243</v>
      </c>
      <c r="F587" s="944">
        <f>IF(A587='Data Entry - SOF'!B$2,'Report-SOF1819'!D$102,0)</f>
        <v>0</v>
      </c>
      <c r="G587" s="1037">
        <f>IF(A587='Data Entry - SOF'!B$2,'Data Entry - SOF'!E$102,0)</f>
        <v>0</v>
      </c>
      <c r="H587" s="1038">
        <f t="shared" si="56"/>
        <v>1437243</v>
      </c>
      <c r="I587" s="944">
        <f>IF(A587='Data Entry - SOF'!B$2,'Report-SOF1920-HB3'!D$102,0)</f>
        <v>0</v>
      </c>
      <c r="J587" s="1037">
        <f>IF(A587='Data Entry - SOF'!B$2,'Data Entry - SOF'!G$102,0)</f>
        <v>0</v>
      </c>
      <c r="K587" s="717">
        <f t="shared" si="57"/>
        <v>1437243</v>
      </c>
      <c r="L587" s="944">
        <f>IF(A587='Data Entry - SOF'!B$2,'Report-SOF2021'!D$99,0)</f>
        <v>0</v>
      </c>
      <c r="M587" s="723">
        <f>IF(A587='Data Entry - SOF'!B$2,'Data Entry - SOF'!M$102,0)</f>
        <v>0</v>
      </c>
      <c r="N587" s="717">
        <f t="shared" si="58"/>
        <v>1437243</v>
      </c>
      <c r="O587" s="944">
        <f>IF(A587='Data Entry - SOF'!B$2,'Report-SOF2122'!D$91,0)</f>
        <v>0</v>
      </c>
      <c r="P587" s="723">
        <f>IF(A587='Data Entry - SOF'!B$2,'Data Entry - SOF'!O$102,0)</f>
        <v>0</v>
      </c>
      <c r="Q587" s="601">
        <f t="shared" si="55"/>
        <v>1437243</v>
      </c>
      <c r="R587" s="944">
        <f>IF(A587='Data Entry - SOF'!B$2,'Report-SOF2223'!D$91,0)</f>
        <v>0</v>
      </c>
      <c r="S587" s="723">
        <f>IF(A587='Data Entry - SOF'!B$2,'Data Entry - SOF'!Q$102,0)</f>
        <v>0</v>
      </c>
      <c r="T587" s="601">
        <f t="shared" si="59"/>
        <v>1437243</v>
      </c>
      <c r="U587" s="944">
        <f>IF(A587='Data Entry - SOF'!B$2,'Report-SOF2324'!D$91,0)</f>
        <v>0</v>
      </c>
      <c r="V587" s="723">
        <f>IF(A587='Data Entry - SOF'!B$2,'Data Entry - SOF'!S$102,0)</f>
        <v>0</v>
      </c>
    </row>
    <row r="588" spans="1:22" ht="15.75">
      <c r="A588" s="382" t="s">
        <v>1557</v>
      </c>
      <c r="B588" s="91">
        <v>390196</v>
      </c>
      <c r="C588" s="944">
        <f>IF(A588='Data Entry - SOF'!B$2,'Report-SOF1718'!D$102,0)</f>
        <v>0</v>
      </c>
      <c r="D588" s="1037">
        <f>IF(A588='Data Entry - SOF'!B$2,'Data Entry - SOF'!#REF!,0)</f>
        <v>0</v>
      </c>
      <c r="E588" s="91">
        <f t="shared" si="54"/>
        <v>390196</v>
      </c>
      <c r="F588" s="944">
        <f>IF(A588='Data Entry - SOF'!B$2,'Report-SOF1819'!D$102,0)</f>
        <v>0</v>
      </c>
      <c r="G588" s="1037">
        <f>IF(A588='Data Entry - SOF'!B$2,'Data Entry - SOF'!E$102,0)</f>
        <v>0</v>
      </c>
      <c r="H588" s="1038">
        <f t="shared" si="56"/>
        <v>390196</v>
      </c>
      <c r="I588" s="944">
        <f>IF(A588='Data Entry - SOF'!B$2,'Report-SOF1920-HB3'!D$102,0)</f>
        <v>0</v>
      </c>
      <c r="J588" s="1037">
        <f>IF(A588='Data Entry - SOF'!B$2,'Data Entry - SOF'!G$102,0)</f>
        <v>0</v>
      </c>
      <c r="K588" s="717">
        <f t="shared" si="57"/>
        <v>390196</v>
      </c>
      <c r="L588" s="944">
        <f>IF(A588='Data Entry - SOF'!B$2,'Report-SOF2021'!D$99,0)</f>
        <v>0</v>
      </c>
      <c r="M588" s="723">
        <f>IF(A588='Data Entry - SOF'!B$2,'Data Entry - SOF'!M$102,0)</f>
        <v>0</v>
      </c>
      <c r="N588" s="717">
        <f t="shared" si="58"/>
        <v>390196</v>
      </c>
      <c r="O588" s="944">
        <f>IF(A588='Data Entry - SOF'!B$2,'Report-SOF2122'!D$91,0)</f>
        <v>0</v>
      </c>
      <c r="P588" s="723">
        <f>IF(A588='Data Entry - SOF'!B$2,'Data Entry - SOF'!O$102,0)</f>
        <v>0</v>
      </c>
      <c r="Q588" s="601">
        <f t="shared" si="55"/>
        <v>390196</v>
      </c>
      <c r="R588" s="944">
        <f>IF(A588='Data Entry - SOF'!B$2,'Report-SOF2223'!D$91,0)</f>
        <v>0</v>
      </c>
      <c r="S588" s="723">
        <f>IF(A588='Data Entry - SOF'!B$2,'Data Entry - SOF'!Q$102,0)</f>
        <v>0</v>
      </c>
      <c r="T588" s="601">
        <f t="shared" si="59"/>
        <v>390196</v>
      </c>
      <c r="U588" s="944">
        <f>IF(A588='Data Entry - SOF'!B$2,'Report-SOF2324'!D$91,0)</f>
        <v>0</v>
      </c>
      <c r="V588" s="723">
        <f>IF(A588='Data Entry - SOF'!B$2,'Data Entry - SOF'!S$102,0)</f>
        <v>0</v>
      </c>
    </row>
    <row r="589" spans="1:22" ht="15.75">
      <c r="A589" s="382" t="s">
        <v>1558</v>
      </c>
      <c r="B589" s="91">
        <v>864724</v>
      </c>
      <c r="C589" s="944">
        <f>IF(A589='Data Entry - SOF'!B$2,'Report-SOF1718'!D$102,0)</f>
        <v>0</v>
      </c>
      <c r="D589" s="1037">
        <f>IF(A589='Data Entry - SOF'!B$2,'Data Entry - SOF'!#REF!,0)</f>
        <v>0</v>
      </c>
      <c r="E589" s="91">
        <f t="shared" si="54"/>
        <v>864724</v>
      </c>
      <c r="F589" s="944">
        <f>IF(A589='Data Entry - SOF'!B$2,'Report-SOF1819'!D$102,0)</f>
        <v>0</v>
      </c>
      <c r="G589" s="1037">
        <f>IF(A589='Data Entry - SOF'!B$2,'Data Entry - SOF'!E$102,0)</f>
        <v>0</v>
      </c>
      <c r="H589" s="1038">
        <f t="shared" si="56"/>
        <v>864724</v>
      </c>
      <c r="I589" s="944">
        <f>IF(A589='Data Entry - SOF'!B$2,'Report-SOF1920-HB3'!D$102,0)</f>
        <v>0</v>
      </c>
      <c r="J589" s="1037">
        <f>IF(A589='Data Entry - SOF'!B$2,'Data Entry - SOF'!G$102,0)</f>
        <v>0</v>
      </c>
      <c r="K589" s="717">
        <f t="shared" si="57"/>
        <v>864724</v>
      </c>
      <c r="L589" s="944">
        <f>IF(A589='Data Entry - SOF'!B$2,'Report-SOF2021'!D$99,0)</f>
        <v>0</v>
      </c>
      <c r="M589" s="723">
        <f>IF(A589='Data Entry - SOF'!B$2,'Data Entry - SOF'!M$102,0)</f>
        <v>0</v>
      </c>
      <c r="N589" s="717">
        <f t="shared" si="58"/>
        <v>864724</v>
      </c>
      <c r="O589" s="944">
        <f>IF(A589='Data Entry - SOF'!B$2,'Report-SOF2122'!D$91,0)</f>
        <v>0</v>
      </c>
      <c r="P589" s="723">
        <f>IF(A589='Data Entry - SOF'!B$2,'Data Entry - SOF'!O$102,0)</f>
        <v>0</v>
      </c>
      <c r="Q589" s="601">
        <f t="shared" si="55"/>
        <v>864724</v>
      </c>
      <c r="R589" s="944">
        <f>IF(A589='Data Entry - SOF'!B$2,'Report-SOF2223'!D$91,0)</f>
        <v>0</v>
      </c>
      <c r="S589" s="723">
        <f>IF(A589='Data Entry - SOF'!B$2,'Data Entry - SOF'!Q$102,0)</f>
        <v>0</v>
      </c>
      <c r="T589" s="601">
        <f t="shared" si="59"/>
        <v>864724</v>
      </c>
      <c r="U589" s="944">
        <f>IF(A589='Data Entry - SOF'!B$2,'Report-SOF2324'!D$91,0)</f>
        <v>0</v>
      </c>
      <c r="V589" s="723">
        <f>IF(A589='Data Entry - SOF'!B$2,'Data Entry - SOF'!S$102,0)</f>
        <v>0</v>
      </c>
    </row>
    <row r="590" spans="1:22" ht="15.75">
      <c r="A590" s="382" t="s">
        <v>1412</v>
      </c>
      <c r="B590" s="91">
        <v>1079670</v>
      </c>
      <c r="C590" s="944">
        <f>IF(A590='Data Entry - SOF'!B$2,'Report-SOF1718'!D$102,0)</f>
        <v>0</v>
      </c>
      <c r="D590" s="1037">
        <f>IF(A590='Data Entry - SOF'!B$2,'Data Entry - SOF'!#REF!,0)</f>
        <v>0</v>
      </c>
      <c r="E590" s="91">
        <f t="shared" si="54"/>
        <v>1079670</v>
      </c>
      <c r="F590" s="944">
        <f>IF(A590='Data Entry - SOF'!B$2,'Report-SOF1819'!D$102,0)</f>
        <v>0</v>
      </c>
      <c r="G590" s="1037">
        <f>IF(A590='Data Entry - SOF'!B$2,'Data Entry - SOF'!E$102,0)</f>
        <v>0</v>
      </c>
      <c r="H590" s="1038">
        <f t="shared" si="56"/>
        <v>1079670</v>
      </c>
      <c r="I590" s="944">
        <f>IF(A590='Data Entry - SOF'!B$2,'Report-SOF1920-HB3'!D$102,0)</f>
        <v>0</v>
      </c>
      <c r="J590" s="1037">
        <f>IF(A590='Data Entry - SOF'!B$2,'Data Entry - SOF'!G$102,0)</f>
        <v>0</v>
      </c>
      <c r="K590" s="717">
        <f t="shared" si="57"/>
        <v>1079670</v>
      </c>
      <c r="L590" s="944">
        <f>IF(A590='Data Entry - SOF'!B$2,'Report-SOF2021'!D$99,0)</f>
        <v>0</v>
      </c>
      <c r="M590" s="723">
        <f>IF(A590='Data Entry - SOF'!B$2,'Data Entry - SOF'!M$102,0)</f>
        <v>0</v>
      </c>
      <c r="N590" s="717">
        <f t="shared" si="58"/>
        <v>1079670</v>
      </c>
      <c r="O590" s="944">
        <f>IF(A590='Data Entry - SOF'!B$2,'Report-SOF2122'!D$91,0)</f>
        <v>0</v>
      </c>
      <c r="P590" s="723">
        <f>IF(A590='Data Entry - SOF'!B$2,'Data Entry - SOF'!O$102,0)</f>
        <v>0</v>
      </c>
      <c r="Q590" s="601">
        <f t="shared" si="55"/>
        <v>1079670</v>
      </c>
      <c r="R590" s="944">
        <f>IF(A590='Data Entry - SOF'!B$2,'Report-SOF2223'!D$91,0)</f>
        <v>0</v>
      </c>
      <c r="S590" s="723">
        <f>IF(A590='Data Entry - SOF'!B$2,'Data Entry - SOF'!Q$102,0)</f>
        <v>0</v>
      </c>
      <c r="T590" s="601">
        <f t="shared" si="59"/>
        <v>1079670</v>
      </c>
      <c r="U590" s="944">
        <f>IF(A590='Data Entry - SOF'!B$2,'Report-SOF2324'!D$91,0)</f>
        <v>0</v>
      </c>
      <c r="V590" s="723">
        <f>IF(A590='Data Entry - SOF'!B$2,'Data Entry - SOF'!S$102,0)</f>
        <v>0</v>
      </c>
    </row>
    <row r="591" spans="1:22" ht="15.75">
      <c r="A591" s="382" t="s">
        <v>2261</v>
      </c>
      <c r="B591" s="91">
        <v>1301456</v>
      </c>
      <c r="C591" s="944">
        <f>IF(A591='Data Entry - SOF'!B$2,'Report-SOF1718'!D$102,0)</f>
        <v>0</v>
      </c>
      <c r="D591" s="1037">
        <f>IF(A591='Data Entry - SOF'!B$2,'Data Entry - SOF'!#REF!,0)</f>
        <v>0</v>
      </c>
      <c r="E591" s="91">
        <f t="shared" si="54"/>
        <v>1301456</v>
      </c>
      <c r="F591" s="944">
        <f>IF(A591='Data Entry - SOF'!B$2,'Report-SOF1819'!D$102,0)</f>
        <v>0</v>
      </c>
      <c r="G591" s="1037">
        <f>IF(A591='Data Entry - SOF'!B$2,'Data Entry - SOF'!E$102,0)</f>
        <v>0</v>
      </c>
      <c r="H591" s="1038">
        <f t="shared" si="56"/>
        <v>1301456</v>
      </c>
      <c r="I591" s="944">
        <f>IF(A591='Data Entry - SOF'!B$2,'Report-SOF1920-HB3'!D$102,0)</f>
        <v>0</v>
      </c>
      <c r="J591" s="1037">
        <f>IF(A591='Data Entry - SOF'!B$2,'Data Entry - SOF'!G$102,0)</f>
        <v>0</v>
      </c>
      <c r="K591" s="717">
        <f t="shared" si="57"/>
        <v>1301456</v>
      </c>
      <c r="L591" s="944">
        <f>IF(A591='Data Entry - SOF'!B$2,'Report-SOF2021'!D$99,0)</f>
        <v>0</v>
      </c>
      <c r="M591" s="723">
        <f>IF(A591='Data Entry - SOF'!B$2,'Data Entry - SOF'!M$102,0)</f>
        <v>0</v>
      </c>
      <c r="N591" s="717">
        <f t="shared" si="58"/>
        <v>1301456</v>
      </c>
      <c r="O591" s="944">
        <f>IF(A591='Data Entry - SOF'!B$2,'Report-SOF2122'!D$91,0)</f>
        <v>0</v>
      </c>
      <c r="P591" s="723">
        <f>IF(A591='Data Entry - SOF'!B$2,'Data Entry - SOF'!O$102,0)</f>
        <v>0</v>
      </c>
      <c r="Q591" s="601">
        <f t="shared" si="55"/>
        <v>1301456</v>
      </c>
      <c r="R591" s="944">
        <f>IF(A591='Data Entry - SOF'!B$2,'Report-SOF2223'!D$91,0)</f>
        <v>0</v>
      </c>
      <c r="S591" s="723">
        <f>IF(A591='Data Entry - SOF'!B$2,'Data Entry - SOF'!Q$102,0)</f>
        <v>0</v>
      </c>
      <c r="T591" s="601">
        <f t="shared" si="59"/>
        <v>1301456</v>
      </c>
      <c r="U591" s="944">
        <f>IF(A591='Data Entry - SOF'!B$2,'Report-SOF2324'!D$91,0)</f>
        <v>0</v>
      </c>
      <c r="V591" s="723">
        <f>IF(A591='Data Entry - SOF'!B$2,'Data Entry - SOF'!S$102,0)</f>
        <v>0</v>
      </c>
    </row>
    <row r="592" spans="1:22" ht="15.75">
      <c r="A592" s="382" t="s">
        <v>2262</v>
      </c>
      <c r="B592" s="91">
        <v>5513505</v>
      </c>
      <c r="C592" s="944">
        <f>IF(A592='Data Entry - SOF'!B$2,'Report-SOF1718'!D$102,0)</f>
        <v>0</v>
      </c>
      <c r="D592" s="1037">
        <f>IF(A592='Data Entry - SOF'!B$2,'Data Entry - SOF'!#REF!,0)</f>
        <v>0</v>
      </c>
      <c r="E592" s="91">
        <f t="shared" si="54"/>
        <v>5513505</v>
      </c>
      <c r="F592" s="944">
        <f>IF(A592='Data Entry - SOF'!B$2,'Report-SOF1819'!D$102,0)</f>
        <v>0</v>
      </c>
      <c r="G592" s="1037">
        <f>IF(A592='Data Entry - SOF'!B$2,'Data Entry - SOF'!E$102,0)</f>
        <v>0</v>
      </c>
      <c r="H592" s="1038">
        <f t="shared" si="56"/>
        <v>5513505</v>
      </c>
      <c r="I592" s="944">
        <f>IF(A592='Data Entry - SOF'!B$2,'Report-SOF1920-HB3'!D$102,0)</f>
        <v>0</v>
      </c>
      <c r="J592" s="1037">
        <f>IF(A592='Data Entry - SOF'!B$2,'Data Entry - SOF'!G$102,0)</f>
        <v>0</v>
      </c>
      <c r="K592" s="717">
        <f t="shared" si="57"/>
        <v>5513505</v>
      </c>
      <c r="L592" s="944">
        <f>IF(A592='Data Entry - SOF'!B$2,'Report-SOF2021'!D$99,0)</f>
        <v>0</v>
      </c>
      <c r="M592" s="723">
        <f>IF(A592='Data Entry - SOF'!B$2,'Data Entry - SOF'!M$102,0)</f>
        <v>0</v>
      </c>
      <c r="N592" s="717">
        <f t="shared" si="58"/>
        <v>5513505</v>
      </c>
      <c r="O592" s="944">
        <f>IF(A592='Data Entry - SOF'!B$2,'Report-SOF2122'!D$91,0)</f>
        <v>0</v>
      </c>
      <c r="P592" s="723">
        <f>IF(A592='Data Entry - SOF'!B$2,'Data Entry - SOF'!O$102,0)</f>
        <v>0</v>
      </c>
      <c r="Q592" s="601">
        <f t="shared" si="55"/>
        <v>5513505</v>
      </c>
      <c r="R592" s="944">
        <f>IF(A592='Data Entry - SOF'!B$2,'Report-SOF2223'!D$91,0)</f>
        <v>0</v>
      </c>
      <c r="S592" s="723">
        <f>IF(A592='Data Entry - SOF'!B$2,'Data Entry - SOF'!Q$102,0)</f>
        <v>0</v>
      </c>
      <c r="T592" s="601">
        <f t="shared" si="59"/>
        <v>5513505</v>
      </c>
      <c r="U592" s="944">
        <f>IF(A592='Data Entry - SOF'!B$2,'Report-SOF2324'!D$91,0)</f>
        <v>0</v>
      </c>
      <c r="V592" s="723">
        <f>IF(A592='Data Entry - SOF'!B$2,'Data Entry - SOF'!S$102,0)</f>
        <v>0</v>
      </c>
    </row>
    <row r="593" spans="1:22" ht="15.75">
      <c r="A593" s="382" t="s">
        <v>2263</v>
      </c>
      <c r="B593" s="91">
        <v>10560758</v>
      </c>
      <c r="C593" s="944">
        <f>IF(A593='Data Entry - SOF'!B$2,'Report-SOF1718'!D$102,0)</f>
        <v>0</v>
      </c>
      <c r="D593" s="1037">
        <f>IF(A593='Data Entry - SOF'!B$2,'Data Entry - SOF'!#REF!,0)</f>
        <v>0</v>
      </c>
      <c r="E593" s="91">
        <f t="shared" si="54"/>
        <v>10560758</v>
      </c>
      <c r="F593" s="944">
        <f>IF(A593='Data Entry - SOF'!B$2,'Report-SOF1819'!D$102,0)</f>
        <v>0</v>
      </c>
      <c r="G593" s="1037">
        <f>IF(A593='Data Entry - SOF'!B$2,'Data Entry - SOF'!E$102,0)</f>
        <v>0</v>
      </c>
      <c r="H593" s="1038">
        <f t="shared" si="56"/>
        <v>10560758</v>
      </c>
      <c r="I593" s="944">
        <f>IF(A593='Data Entry - SOF'!B$2,'Report-SOF1920-HB3'!D$102,0)</f>
        <v>0</v>
      </c>
      <c r="J593" s="1037">
        <f>IF(A593='Data Entry - SOF'!B$2,'Data Entry - SOF'!G$102,0)</f>
        <v>0</v>
      </c>
      <c r="K593" s="717">
        <f t="shared" si="57"/>
        <v>10560758</v>
      </c>
      <c r="L593" s="944">
        <f>IF(A593='Data Entry - SOF'!B$2,'Report-SOF2021'!D$99,0)</f>
        <v>0</v>
      </c>
      <c r="M593" s="723">
        <f>IF(A593='Data Entry - SOF'!B$2,'Data Entry - SOF'!M$102,0)</f>
        <v>0</v>
      </c>
      <c r="N593" s="717">
        <f t="shared" si="58"/>
        <v>10560758</v>
      </c>
      <c r="O593" s="944">
        <f>IF(A593='Data Entry - SOF'!B$2,'Report-SOF2122'!D$91,0)</f>
        <v>0</v>
      </c>
      <c r="P593" s="723">
        <f>IF(A593='Data Entry - SOF'!B$2,'Data Entry - SOF'!O$102,0)</f>
        <v>0</v>
      </c>
      <c r="Q593" s="601">
        <f t="shared" si="55"/>
        <v>10560758</v>
      </c>
      <c r="R593" s="944">
        <f>IF(A593='Data Entry - SOF'!B$2,'Report-SOF2223'!D$91,0)</f>
        <v>0</v>
      </c>
      <c r="S593" s="723">
        <f>IF(A593='Data Entry - SOF'!B$2,'Data Entry - SOF'!Q$102,0)</f>
        <v>0</v>
      </c>
      <c r="T593" s="601">
        <f t="shared" si="59"/>
        <v>10560758</v>
      </c>
      <c r="U593" s="944">
        <f>IF(A593='Data Entry - SOF'!B$2,'Report-SOF2324'!D$91,0)</f>
        <v>0</v>
      </c>
      <c r="V593" s="723">
        <f>IF(A593='Data Entry - SOF'!B$2,'Data Entry - SOF'!S$102,0)</f>
        <v>0</v>
      </c>
    </row>
    <row r="594" spans="1:22" ht="15.75">
      <c r="A594" s="382" t="s">
        <v>2264</v>
      </c>
      <c r="B594" s="91">
        <v>1710457</v>
      </c>
      <c r="C594" s="944">
        <f>IF(A594='Data Entry - SOF'!B$2,'Report-SOF1718'!D$102,0)</f>
        <v>0</v>
      </c>
      <c r="D594" s="1037">
        <f>IF(A594='Data Entry - SOF'!B$2,'Data Entry - SOF'!#REF!,0)</f>
        <v>0</v>
      </c>
      <c r="E594" s="91">
        <f t="shared" si="54"/>
        <v>1710457</v>
      </c>
      <c r="F594" s="944">
        <f>IF(A594='Data Entry - SOF'!B$2,'Report-SOF1819'!D$102,0)</f>
        <v>0</v>
      </c>
      <c r="G594" s="1037">
        <f>IF(A594='Data Entry - SOF'!B$2,'Data Entry - SOF'!E$102,0)</f>
        <v>0</v>
      </c>
      <c r="H594" s="1038">
        <f t="shared" si="56"/>
        <v>1710457</v>
      </c>
      <c r="I594" s="944">
        <f>IF(A594='Data Entry - SOF'!B$2,'Report-SOF1920-HB3'!D$102,0)</f>
        <v>0</v>
      </c>
      <c r="J594" s="1037">
        <f>IF(A594='Data Entry - SOF'!B$2,'Data Entry - SOF'!G$102,0)</f>
        <v>0</v>
      </c>
      <c r="K594" s="717">
        <f t="shared" si="57"/>
        <v>1710457</v>
      </c>
      <c r="L594" s="944">
        <f>IF(A594='Data Entry - SOF'!B$2,'Report-SOF2021'!D$99,0)</f>
        <v>0</v>
      </c>
      <c r="M594" s="723">
        <f>IF(A594='Data Entry - SOF'!B$2,'Data Entry - SOF'!M$102,0)</f>
        <v>0</v>
      </c>
      <c r="N594" s="717">
        <f t="shared" si="58"/>
        <v>1710457</v>
      </c>
      <c r="O594" s="944">
        <f>IF(A594='Data Entry - SOF'!B$2,'Report-SOF2122'!D$91,0)</f>
        <v>0</v>
      </c>
      <c r="P594" s="723">
        <f>IF(A594='Data Entry - SOF'!B$2,'Data Entry - SOF'!O$102,0)</f>
        <v>0</v>
      </c>
      <c r="Q594" s="601">
        <f t="shared" si="55"/>
        <v>1710457</v>
      </c>
      <c r="R594" s="944">
        <f>IF(A594='Data Entry - SOF'!B$2,'Report-SOF2223'!D$91,0)</f>
        <v>0</v>
      </c>
      <c r="S594" s="723">
        <f>IF(A594='Data Entry - SOF'!B$2,'Data Entry - SOF'!Q$102,0)</f>
        <v>0</v>
      </c>
      <c r="T594" s="601">
        <f t="shared" si="59"/>
        <v>1710457</v>
      </c>
      <c r="U594" s="944">
        <f>IF(A594='Data Entry - SOF'!B$2,'Report-SOF2324'!D$91,0)</f>
        <v>0</v>
      </c>
      <c r="V594" s="723">
        <f>IF(A594='Data Entry - SOF'!B$2,'Data Entry - SOF'!S$102,0)</f>
        <v>0</v>
      </c>
    </row>
    <row r="595" spans="1:22" ht="15.75">
      <c r="A595" s="382" t="s">
        <v>2401</v>
      </c>
      <c r="B595" s="91">
        <v>59298472.038427398</v>
      </c>
      <c r="C595" s="944">
        <f>IF(A595='Data Entry - SOF'!B$2,'Report-SOF1718'!D$102,0)</f>
        <v>0</v>
      </c>
      <c r="D595" s="1037">
        <f>IF(A595='Data Entry - SOF'!B$2,'Data Entry - SOF'!#REF!,0)</f>
        <v>0</v>
      </c>
      <c r="E595" s="91">
        <f t="shared" si="54"/>
        <v>59298472.038427398</v>
      </c>
      <c r="F595" s="944">
        <f>IF(A595='Data Entry - SOF'!B$2,'Report-SOF1819'!D$102,0)</f>
        <v>0</v>
      </c>
      <c r="G595" s="1037">
        <f>IF(A595='Data Entry - SOF'!B$2,'Data Entry - SOF'!E$102,0)</f>
        <v>0</v>
      </c>
      <c r="H595" s="1038">
        <f t="shared" si="56"/>
        <v>59298472.038427398</v>
      </c>
      <c r="I595" s="944">
        <f>IF(A595='Data Entry - SOF'!B$2,'Report-SOF1920-HB3'!D$102,0)</f>
        <v>0</v>
      </c>
      <c r="J595" s="1037">
        <f>IF(A595='Data Entry - SOF'!B$2,'Data Entry - SOF'!G$102,0)</f>
        <v>0</v>
      </c>
      <c r="K595" s="717">
        <f t="shared" si="57"/>
        <v>59298472.038427398</v>
      </c>
      <c r="L595" s="944">
        <f>IF(A595='Data Entry - SOF'!B$2,'Report-SOF2021'!D$99,0)</f>
        <v>0</v>
      </c>
      <c r="M595" s="723">
        <f>IF(A595='Data Entry - SOF'!B$2,'Data Entry - SOF'!M$102,0)</f>
        <v>0</v>
      </c>
      <c r="N595" s="717">
        <f t="shared" si="58"/>
        <v>59298472.038427398</v>
      </c>
      <c r="O595" s="944">
        <f>IF(A595='Data Entry - SOF'!B$2,'Report-SOF2122'!D$91,0)</f>
        <v>0</v>
      </c>
      <c r="P595" s="723">
        <f>IF(A595='Data Entry - SOF'!B$2,'Data Entry - SOF'!O$102,0)</f>
        <v>0</v>
      </c>
      <c r="Q595" s="601">
        <f t="shared" si="55"/>
        <v>59298472.038427398</v>
      </c>
      <c r="R595" s="944">
        <f>IF(A595='Data Entry - SOF'!B$2,'Report-SOF2223'!D$91,0)</f>
        <v>0</v>
      </c>
      <c r="S595" s="723">
        <f>IF(A595='Data Entry - SOF'!B$2,'Data Entry - SOF'!Q$102,0)</f>
        <v>0</v>
      </c>
      <c r="T595" s="601">
        <f t="shared" si="59"/>
        <v>59298472.038427398</v>
      </c>
      <c r="U595" s="944">
        <f>IF(A595='Data Entry - SOF'!B$2,'Report-SOF2324'!D$91,0)</f>
        <v>0</v>
      </c>
      <c r="V595" s="723">
        <f>IF(A595='Data Entry - SOF'!B$2,'Data Entry - SOF'!S$102,0)</f>
        <v>0</v>
      </c>
    </row>
    <row r="596" spans="1:22" ht="15.75">
      <c r="A596" s="382" t="s">
        <v>2265</v>
      </c>
      <c r="B596" s="91">
        <v>8812632</v>
      </c>
      <c r="C596" s="944">
        <f>IF(A596='Data Entry - SOF'!B$2,'Report-SOF1718'!D$102,0)</f>
        <v>0</v>
      </c>
      <c r="D596" s="1037">
        <f>IF(A596='Data Entry - SOF'!B$2,'Data Entry - SOF'!#REF!,0)</f>
        <v>0</v>
      </c>
      <c r="E596" s="91">
        <f t="shared" si="54"/>
        <v>8812632</v>
      </c>
      <c r="F596" s="944">
        <f>IF(A596='Data Entry - SOF'!B$2,'Report-SOF1819'!D$102,0)</f>
        <v>0</v>
      </c>
      <c r="G596" s="1037">
        <f>IF(A596='Data Entry - SOF'!B$2,'Data Entry - SOF'!E$102,0)</f>
        <v>0</v>
      </c>
      <c r="H596" s="1038">
        <f t="shared" si="56"/>
        <v>8812632</v>
      </c>
      <c r="I596" s="944">
        <f>IF(A596='Data Entry - SOF'!B$2,'Report-SOF1920-HB3'!D$102,0)</f>
        <v>0</v>
      </c>
      <c r="J596" s="1037">
        <f>IF(A596='Data Entry - SOF'!B$2,'Data Entry - SOF'!G$102,0)</f>
        <v>0</v>
      </c>
      <c r="K596" s="717">
        <f t="shared" si="57"/>
        <v>8812632</v>
      </c>
      <c r="L596" s="944">
        <f>IF(A596='Data Entry - SOF'!B$2,'Report-SOF2021'!D$99,0)</f>
        <v>0</v>
      </c>
      <c r="M596" s="723">
        <f>IF(A596='Data Entry - SOF'!B$2,'Data Entry - SOF'!M$102,0)</f>
        <v>0</v>
      </c>
      <c r="N596" s="717">
        <f t="shared" si="58"/>
        <v>8812632</v>
      </c>
      <c r="O596" s="944">
        <f>IF(A596='Data Entry - SOF'!B$2,'Report-SOF2122'!D$91,0)</f>
        <v>0</v>
      </c>
      <c r="P596" s="723">
        <f>IF(A596='Data Entry - SOF'!B$2,'Data Entry - SOF'!O$102,0)</f>
        <v>0</v>
      </c>
      <c r="Q596" s="601">
        <f t="shared" si="55"/>
        <v>8812632</v>
      </c>
      <c r="R596" s="944">
        <f>IF(A596='Data Entry - SOF'!B$2,'Report-SOF2223'!D$91,0)</f>
        <v>0</v>
      </c>
      <c r="S596" s="723">
        <f>IF(A596='Data Entry - SOF'!B$2,'Data Entry - SOF'!Q$102,0)</f>
        <v>0</v>
      </c>
      <c r="T596" s="601">
        <f t="shared" si="59"/>
        <v>8812632</v>
      </c>
      <c r="U596" s="944">
        <f>IF(A596='Data Entry - SOF'!B$2,'Report-SOF2324'!D$91,0)</f>
        <v>0</v>
      </c>
      <c r="V596" s="723">
        <f>IF(A596='Data Entry - SOF'!B$2,'Data Entry - SOF'!S$102,0)</f>
        <v>0</v>
      </c>
    </row>
    <row r="597" spans="1:22" ht="15.75">
      <c r="A597" s="382" t="s">
        <v>2266</v>
      </c>
      <c r="B597" s="91">
        <v>3631617</v>
      </c>
      <c r="C597" s="944">
        <f>IF(A597='Data Entry - SOF'!B$2,'Report-SOF1718'!D$102,0)</f>
        <v>0</v>
      </c>
      <c r="D597" s="1037">
        <f>IF(A597='Data Entry - SOF'!B$2,'Data Entry - SOF'!#REF!,0)</f>
        <v>0</v>
      </c>
      <c r="E597" s="91">
        <f t="shared" si="54"/>
        <v>3631617</v>
      </c>
      <c r="F597" s="944">
        <f>IF(A597='Data Entry - SOF'!B$2,'Report-SOF1819'!D$102,0)</f>
        <v>0</v>
      </c>
      <c r="G597" s="1037">
        <f>IF(A597='Data Entry - SOF'!B$2,'Data Entry - SOF'!E$102,0)</f>
        <v>0</v>
      </c>
      <c r="H597" s="1038">
        <f t="shared" si="56"/>
        <v>3631617</v>
      </c>
      <c r="I597" s="944">
        <f>IF(A597='Data Entry - SOF'!B$2,'Report-SOF1920-HB3'!D$102,0)</f>
        <v>0</v>
      </c>
      <c r="J597" s="1037">
        <f>IF(A597='Data Entry - SOF'!B$2,'Data Entry - SOF'!G$102,0)</f>
        <v>0</v>
      </c>
      <c r="K597" s="717">
        <f t="shared" si="57"/>
        <v>3631617</v>
      </c>
      <c r="L597" s="944">
        <f>IF(A597='Data Entry - SOF'!B$2,'Report-SOF2021'!D$99,0)</f>
        <v>0</v>
      </c>
      <c r="M597" s="723">
        <f>IF(A597='Data Entry - SOF'!B$2,'Data Entry - SOF'!M$102,0)</f>
        <v>0</v>
      </c>
      <c r="N597" s="717">
        <f t="shared" si="58"/>
        <v>3631617</v>
      </c>
      <c r="O597" s="944">
        <f>IF(A597='Data Entry - SOF'!B$2,'Report-SOF2122'!D$91,0)</f>
        <v>0</v>
      </c>
      <c r="P597" s="723">
        <f>IF(A597='Data Entry - SOF'!B$2,'Data Entry - SOF'!O$102,0)</f>
        <v>0</v>
      </c>
      <c r="Q597" s="601">
        <f t="shared" si="55"/>
        <v>3631617</v>
      </c>
      <c r="R597" s="944">
        <f>IF(A597='Data Entry - SOF'!B$2,'Report-SOF2223'!D$91,0)</f>
        <v>0</v>
      </c>
      <c r="S597" s="723">
        <f>IF(A597='Data Entry - SOF'!B$2,'Data Entry - SOF'!Q$102,0)</f>
        <v>0</v>
      </c>
      <c r="T597" s="601">
        <f t="shared" si="59"/>
        <v>3631617</v>
      </c>
      <c r="U597" s="944">
        <f>IF(A597='Data Entry - SOF'!B$2,'Report-SOF2324'!D$91,0)</f>
        <v>0</v>
      </c>
      <c r="V597" s="723">
        <f>IF(A597='Data Entry - SOF'!B$2,'Data Entry - SOF'!S$102,0)</f>
        <v>0</v>
      </c>
    </row>
    <row r="598" spans="1:22" ht="15.75">
      <c r="A598" s="382" t="s">
        <v>2267</v>
      </c>
      <c r="B598" s="91">
        <v>6181878.3236906203</v>
      </c>
      <c r="C598" s="944">
        <f>IF(A598='Data Entry - SOF'!B$2,'Report-SOF1718'!D$102,0)</f>
        <v>0</v>
      </c>
      <c r="D598" s="1037">
        <f>IF(A598='Data Entry - SOF'!B$2,'Data Entry - SOF'!#REF!,0)</f>
        <v>0</v>
      </c>
      <c r="E598" s="91">
        <f t="shared" si="54"/>
        <v>6181878.3236906203</v>
      </c>
      <c r="F598" s="944">
        <f>IF(A598='Data Entry - SOF'!B$2,'Report-SOF1819'!D$102,0)</f>
        <v>0</v>
      </c>
      <c r="G598" s="1037">
        <f>IF(A598='Data Entry - SOF'!B$2,'Data Entry - SOF'!E$102,0)</f>
        <v>0</v>
      </c>
      <c r="H598" s="1038">
        <f t="shared" si="56"/>
        <v>6181878.3236906203</v>
      </c>
      <c r="I598" s="944">
        <f>IF(A598='Data Entry - SOF'!B$2,'Report-SOF1920-HB3'!D$102,0)</f>
        <v>0</v>
      </c>
      <c r="J598" s="1037">
        <f>IF(A598='Data Entry - SOF'!B$2,'Data Entry - SOF'!G$102,0)</f>
        <v>0</v>
      </c>
      <c r="K598" s="717">
        <f t="shared" si="57"/>
        <v>6181878.3236906203</v>
      </c>
      <c r="L598" s="944">
        <f>IF(A598='Data Entry - SOF'!B$2,'Report-SOF2021'!D$99,0)</f>
        <v>0</v>
      </c>
      <c r="M598" s="723">
        <f>IF(A598='Data Entry - SOF'!B$2,'Data Entry - SOF'!M$102,0)</f>
        <v>0</v>
      </c>
      <c r="N598" s="717">
        <f t="shared" si="58"/>
        <v>6181878.3236906203</v>
      </c>
      <c r="O598" s="944">
        <f>IF(A598='Data Entry - SOF'!B$2,'Report-SOF2122'!D$91,0)</f>
        <v>0</v>
      </c>
      <c r="P598" s="723">
        <f>IF(A598='Data Entry - SOF'!B$2,'Data Entry - SOF'!O$102,0)</f>
        <v>0</v>
      </c>
      <c r="Q598" s="601">
        <f t="shared" si="55"/>
        <v>6181878.3236906203</v>
      </c>
      <c r="R598" s="944">
        <f>IF(A598='Data Entry - SOF'!B$2,'Report-SOF2223'!D$91,0)</f>
        <v>0</v>
      </c>
      <c r="S598" s="723">
        <f>IF(A598='Data Entry - SOF'!B$2,'Data Entry - SOF'!Q$102,0)</f>
        <v>0</v>
      </c>
      <c r="T598" s="601">
        <f t="shared" si="59"/>
        <v>6181878.3236906203</v>
      </c>
      <c r="U598" s="944">
        <f>IF(A598='Data Entry - SOF'!B$2,'Report-SOF2324'!D$91,0)</f>
        <v>0</v>
      </c>
      <c r="V598" s="723">
        <f>IF(A598='Data Entry - SOF'!B$2,'Data Entry - SOF'!S$102,0)</f>
        <v>0</v>
      </c>
    </row>
    <row r="599" spans="1:22" ht="15.75">
      <c r="A599" s="382" t="s">
        <v>2268</v>
      </c>
      <c r="B599" s="91">
        <v>290798</v>
      </c>
      <c r="C599" s="944">
        <f>IF(A599='Data Entry - SOF'!B$2,'Report-SOF1718'!D$102,0)</f>
        <v>0</v>
      </c>
      <c r="D599" s="1037">
        <f>IF(A599='Data Entry - SOF'!B$2,'Data Entry - SOF'!#REF!,0)</f>
        <v>0</v>
      </c>
      <c r="E599" s="91">
        <f t="shared" si="54"/>
        <v>290798</v>
      </c>
      <c r="F599" s="944">
        <f>IF(A599='Data Entry - SOF'!B$2,'Report-SOF1819'!D$102,0)</f>
        <v>0</v>
      </c>
      <c r="G599" s="1037">
        <f>IF(A599='Data Entry - SOF'!B$2,'Data Entry - SOF'!E$102,0)</f>
        <v>0</v>
      </c>
      <c r="H599" s="1038">
        <f t="shared" si="56"/>
        <v>290798</v>
      </c>
      <c r="I599" s="944">
        <f>IF(A599='Data Entry - SOF'!B$2,'Report-SOF1920-HB3'!D$102,0)</f>
        <v>0</v>
      </c>
      <c r="J599" s="1037">
        <f>IF(A599='Data Entry - SOF'!B$2,'Data Entry - SOF'!G$102,0)</f>
        <v>0</v>
      </c>
      <c r="K599" s="717">
        <f t="shared" si="57"/>
        <v>290798</v>
      </c>
      <c r="L599" s="944">
        <f>IF(A599='Data Entry - SOF'!B$2,'Report-SOF2021'!D$99,0)</f>
        <v>0</v>
      </c>
      <c r="M599" s="723">
        <f>IF(A599='Data Entry - SOF'!B$2,'Data Entry - SOF'!M$102,0)</f>
        <v>0</v>
      </c>
      <c r="N599" s="717">
        <f t="shared" si="58"/>
        <v>290798</v>
      </c>
      <c r="O599" s="944">
        <f>IF(A599='Data Entry - SOF'!B$2,'Report-SOF2122'!D$91,0)</f>
        <v>0</v>
      </c>
      <c r="P599" s="723">
        <f>IF(A599='Data Entry - SOF'!B$2,'Data Entry - SOF'!O$102,0)</f>
        <v>0</v>
      </c>
      <c r="Q599" s="601">
        <f t="shared" si="55"/>
        <v>290798</v>
      </c>
      <c r="R599" s="944">
        <f>IF(A599='Data Entry - SOF'!B$2,'Report-SOF2223'!D$91,0)</f>
        <v>0</v>
      </c>
      <c r="S599" s="723">
        <f>IF(A599='Data Entry - SOF'!B$2,'Data Entry - SOF'!Q$102,0)</f>
        <v>0</v>
      </c>
      <c r="T599" s="601">
        <f t="shared" si="59"/>
        <v>290798</v>
      </c>
      <c r="U599" s="944">
        <f>IF(A599='Data Entry - SOF'!B$2,'Report-SOF2324'!D$91,0)</f>
        <v>0</v>
      </c>
      <c r="V599" s="723">
        <f>IF(A599='Data Entry - SOF'!B$2,'Data Entry - SOF'!S$102,0)</f>
        <v>0</v>
      </c>
    </row>
    <row r="600" spans="1:22" ht="15.75">
      <c r="A600" s="382" t="s">
        <v>2269</v>
      </c>
      <c r="B600" s="91">
        <v>1018575</v>
      </c>
      <c r="C600" s="944">
        <f>IF(A600='Data Entry - SOF'!B$2,'Report-SOF1718'!D$102,0)</f>
        <v>0</v>
      </c>
      <c r="D600" s="1037">
        <f>IF(A600='Data Entry - SOF'!B$2,'Data Entry - SOF'!#REF!,0)</f>
        <v>0</v>
      </c>
      <c r="E600" s="91">
        <f t="shared" si="54"/>
        <v>1018575</v>
      </c>
      <c r="F600" s="944">
        <f>IF(A600='Data Entry - SOF'!B$2,'Report-SOF1819'!D$102,0)</f>
        <v>0</v>
      </c>
      <c r="G600" s="1037">
        <f>IF(A600='Data Entry - SOF'!B$2,'Data Entry - SOF'!E$102,0)</f>
        <v>0</v>
      </c>
      <c r="H600" s="1038">
        <f t="shared" si="56"/>
        <v>1018575</v>
      </c>
      <c r="I600" s="944">
        <f>IF(A600='Data Entry - SOF'!B$2,'Report-SOF1920-HB3'!D$102,0)</f>
        <v>0</v>
      </c>
      <c r="J600" s="1037">
        <f>IF(A600='Data Entry - SOF'!B$2,'Data Entry - SOF'!G$102,0)</f>
        <v>0</v>
      </c>
      <c r="K600" s="717">
        <f t="shared" si="57"/>
        <v>1018575</v>
      </c>
      <c r="L600" s="944">
        <f>IF(A600='Data Entry - SOF'!B$2,'Report-SOF2021'!D$99,0)</f>
        <v>0</v>
      </c>
      <c r="M600" s="723">
        <f>IF(A600='Data Entry - SOF'!B$2,'Data Entry - SOF'!M$102,0)</f>
        <v>0</v>
      </c>
      <c r="N600" s="717">
        <f t="shared" si="58"/>
        <v>1018575</v>
      </c>
      <c r="O600" s="944">
        <f>IF(A600='Data Entry - SOF'!B$2,'Report-SOF2122'!D$91,0)</f>
        <v>0</v>
      </c>
      <c r="P600" s="723">
        <f>IF(A600='Data Entry - SOF'!B$2,'Data Entry - SOF'!O$102,0)</f>
        <v>0</v>
      </c>
      <c r="Q600" s="601">
        <f t="shared" si="55"/>
        <v>1018575</v>
      </c>
      <c r="R600" s="944">
        <f>IF(A600='Data Entry - SOF'!B$2,'Report-SOF2223'!D$91,0)</f>
        <v>0</v>
      </c>
      <c r="S600" s="723">
        <f>IF(A600='Data Entry - SOF'!B$2,'Data Entry - SOF'!Q$102,0)</f>
        <v>0</v>
      </c>
      <c r="T600" s="601">
        <f t="shared" si="59"/>
        <v>1018575</v>
      </c>
      <c r="U600" s="944">
        <f>IF(A600='Data Entry - SOF'!B$2,'Report-SOF2324'!D$91,0)</f>
        <v>0</v>
      </c>
      <c r="V600" s="723">
        <f>IF(A600='Data Entry - SOF'!B$2,'Data Entry - SOF'!S$102,0)</f>
        <v>0</v>
      </c>
    </row>
    <row r="601" spans="1:22" ht="15.75">
      <c r="A601" s="382" t="s">
        <v>2586</v>
      </c>
      <c r="B601" s="91">
        <v>1850164</v>
      </c>
      <c r="C601" s="944">
        <f>IF(A601='Data Entry - SOF'!B$2,'Report-SOF1718'!D$102,0)</f>
        <v>0</v>
      </c>
      <c r="D601" s="1037">
        <f>IF(A601='Data Entry - SOF'!B$2,'Data Entry - SOF'!#REF!,0)</f>
        <v>0</v>
      </c>
      <c r="E601" s="91">
        <f t="shared" si="54"/>
        <v>1850164</v>
      </c>
      <c r="F601" s="944">
        <f>IF(A601='Data Entry - SOF'!B$2,'Report-SOF1819'!D$102,0)</f>
        <v>0</v>
      </c>
      <c r="G601" s="1037">
        <f>IF(A601='Data Entry - SOF'!B$2,'Data Entry - SOF'!E$102,0)</f>
        <v>0</v>
      </c>
      <c r="H601" s="1038">
        <f t="shared" si="56"/>
        <v>1850164</v>
      </c>
      <c r="I601" s="944">
        <f>IF(A601='Data Entry - SOF'!B$2,'Report-SOF1920-HB3'!D$102,0)</f>
        <v>0</v>
      </c>
      <c r="J601" s="1037">
        <f>IF(A601='Data Entry - SOF'!B$2,'Data Entry - SOF'!G$102,0)</f>
        <v>0</v>
      </c>
      <c r="K601" s="717">
        <f t="shared" si="57"/>
        <v>1850164</v>
      </c>
      <c r="L601" s="944">
        <f>IF(A601='Data Entry - SOF'!B$2,'Report-SOF2021'!D$99,0)</f>
        <v>0</v>
      </c>
      <c r="M601" s="723">
        <f>IF(A601='Data Entry - SOF'!B$2,'Data Entry - SOF'!M$102,0)</f>
        <v>0</v>
      </c>
      <c r="N601" s="717">
        <f t="shared" si="58"/>
        <v>1850164</v>
      </c>
      <c r="O601" s="944">
        <f>IF(A601='Data Entry - SOF'!B$2,'Report-SOF2122'!D$91,0)</f>
        <v>0</v>
      </c>
      <c r="P601" s="723">
        <f>IF(A601='Data Entry - SOF'!B$2,'Data Entry - SOF'!O$102,0)</f>
        <v>0</v>
      </c>
      <c r="Q601" s="601">
        <f t="shared" si="55"/>
        <v>1850164</v>
      </c>
      <c r="R601" s="944">
        <f>IF(A601='Data Entry - SOF'!B$2,'Report-SOF2223'!D$91,0)</f>
        <v>0</v>
      </c>
      <c r="S601" s="723">
        <f>IF(A601='Data Entry - SOF'!B$2,'Data Entry - SOF'!Q$102,0)</f>
        <v>0</v>
      </c>
      <c r="T601" s="601">
        <f t="shared" si="59"/>
        <v>1850164</v>
      </c>
      <c r="U601" s="944">
        <f>IF(A601='Data Entry - SOF'!B$2,'Report-SOF2324'!D$91,0)</f>
        <v>0</v>
      </c>
      <c r="V601" s="723">
        <f>IF(A601='Data Entry - SOF'!B$2,'Data Entry - SOF'!S$102,0)</f>
        <v>0</v>
      </c>
    </row>
    <row r="602" spans="1:22" ht="15.75">
      <c r="A602" s="382" t="s">
        <v>2587</v>
      </c>
      <c r="B602" s="91">
        <v>15397615</v>
      </c>
      <c r="C602" s="944">
        <f>IF(A602='Data Entry - SOF'!B$2,'Report-SOF1718'!D$102,0)</f>
        <v>0</v>
      </c>
      <c r="D602" s="1037">
        <f>IF(A602='Data Entry - SOF'!B$2,'Data Entry - SOF'!#REF!,0)</f>
        <v>0</v>
      </c>
      <c r="E602" s="91">
        <f t="shared" si="54"/>
        <v>15397615</v>
      </c>
      <c r="F602" s="944">
        <f>IF(A602='Data Entry - SOF'!B$2,'Report-SOF1819'!D$102,0)</f>
        <v>0</v>
      </c>
      <c r="G602" s="1037">
        <f>IF(A602='Data Entry - SOF'!B$2,'Data Entry - SOF'!E$102,0)</f>
        <v>0</v>
      </c>
      <c r="H602" s="1038">
        <f t="shared" si="56"/>
        <v>15397615</v>
      </c>
      <c r="I602" s="944">
        <f>IF(A602='Data Entry - SOF'!B$2,'Report-SOF1920-HB3'!D$102,0)</f>
        <v>0</v>
      </c>
      <c r="J602" s="1037">
        <f>IF(A602='Data Entry - SOF'!B$2,'Data Entry - SOF'!G$102,0)</f>
        <v>0</v>
      </c>
      <c r="K602" s="717">
        <f t="shared" si="57"/>
        <v>15397615</v>
      </c>
      <c r="L602" s="944">
        <f>IF(A602='Data Entry - SOF'!B$2,'Report-SOF2021'!D$99,0)</f>
        <v>0</v>
      </c>
      <c r="M602" s="723">
        <f>IF(A602='Data Entry - SOF'!B$2,'Data Entry - SOF'!M$102,0)</f>
        <v>0</v>
      </c>
      <c r="N602" s="717">
        <f t="shared" si="58"/>
        <v>15397615</v>
      </c>
      <c r="O602" s="944">
        <f>IF(A602='Data Entry - SOF'!B$2,'Report-SOF2122'!D$91,0)</f>
        <v>0</v>
      </c>
      <c r="P602" s="723">
        <f>IF(A602='Data Entry - SOF'!B$2,'Data Entry - SOF'!O$102,0)</f>
        <v>0</v>
      </c>
      <c r="Q602" s="601">
        <f t="shared" si="55"/>
        <v>15397615</v>
      </c>
      <c r="R602" s="944">
        <f>IF(A602='Data Entry - SOF'!B$2,'Report-SOF2223'!D$91,0)</f>
        <v>0</v>
      </c>
      <c r="S602" s="723">
        <f>IF(A602='Data Entry - SOF'!B$2,'Data Entry - SOF'!Q$102,0)</f>
        <v>0</v>
      </c>
      <c r="T602" s="601">
        <f t="shared" si="59"/>
        <v>15397615</v>
      </c>
      <c r="U602" s="944">
        <f>IF(A602='Data Entry - SOF'!B$2,'Report-SOF2324'!D$91,0)</f>
        <v>0</v>
      </c>
      <c r="V602" s="723">
        <f>IF(A602='Data Entry - SOF'!B$2,'Data Entry - SOF'!S$102,0)</f>
        <v>0</v>
      </c>
    </row>
    <row r="603" spans="1:22" ht="15.75">
      <c r="A603" s="382" t="s">
        <v>2588</v>
      </c>
      <c r="B603" s="91">
        <v>3957773</v>
      </c>
      <c r="C603" s="944">
        <f>IF(A603='Data Entry - SOF'!B$2,'Report-SOF1718'!D$102,0)</f>
        <v>0</v>
      </c>
      <c r="D603" s="1037">
        <f>IF(A603='Data Entry - SOF'!B$2,'Data Entry - SOF'!#REF!,0)</f>
        <v>0</v>
      </c>
      <c r="E603" s="91">
        <f t="shared" si="54"/>
        <v>3957773</v>
      </c>
      <c r="F603" s="944">
        <f>IF(A603='Data Entry - SOF'!B$2,'Report-SOF1819'!D$102,0)</f>
        <v>0</v>
      </c>
      <c r="G603" s="1037">
        <f>IF(A603='Data Entry - SOF'!B$2,'Data Entry - SOF'!E$102,0)</f>
        <v>0</v>
      </c>
      <c r="H603" s="1038">
        <f t="shared" si="56"/>
        <v>3957773</v>
      </c>
      <c r="I603" s="944">
        <f>IF(A603='Data Entry - SOF'!B$2,'Report-SOF1920-HB3'!D$102,0)</f>
        <v>0</v>
      </c>
      <c r="J603" s="1037">
        <f>IF(A603='Data Entry - SOF'!B$2,'Data Entry - SOF'!G$102,0)</f>
        <v>0</v>
      </c>
      <c r="K603" s="717">
        <f t="shared" si="57"/>
        <v>3957773</v>
      </c>
      <c r="L603" s="944">
        <f>IF(A603='Data Entry - SOF'!B$2,'Report-SOF2021'!D$99,0)</f>
        <v>0</v>
      </c>
      <c r="M603" s="723">
        <f>IF(A603='Data Entry - SOF'!B$2,'Data Entry - SOF'!M$102,0)</f>
        <v>0</v>
      </c>
      <c r="N603" s="717">
        <f t="shared" si="58"/>
        <v>3957773</v>
      </c>
      <c r="O603" s="944">
        <f>IF(A603='Data Entry - SOF'!B$2,'Report-SOF2122'!D$91,0)</f>
        <v>0</v>
      </c>
      <c r="P603" s="723">
        <f>IF(A603='Data Entry - SOF'!B$2,'Data Entry - SOF'!O$102,0)</f>
        <v>0</v>
      </c>
      <c r="Q603" s="601">
        <f t="shared" si="55"/>
        <v>3957773</v>
      </c>
      <c r="R603" s="944">
        <f>IF(A603='Data Entry - SOF'!B$2,'Report-SOF2223'!D$91,0)</f>
        <v>0</v>
      </c>
      <c r="S603" s="723">
        <f>IF(A603='Data Entry - SOF'!B$2,'Data Entry - SOF'!Q$102,0)</f>
        <v>0</v>
      </c>
      <c r="T603" s="601">
        <f t="shared" si="59"/>
        <v>3957773</v>
      </c>
      <c r="U603" s="944">
        <f>IF(A603='Data Entry - SOF'!B$2,'Report-SOF2324'!D$91,0)</f>
        <v>0</v>
      </c>
      <c r="V603" s="723">
        <f>IF(A603='Data Entry - SOF'!B$2,'Data Entry - SOF'!S$102,0)</f>
        <v>0</v>
      </c>
    </row>
    <row r="604" spans="1:22" ht="15.75">
      <c r="A604" s="382" t="s">
        <v>2589</v>
      </c>
      <c r="B604" s="91">
        <v>981138</v>
      </c>
      <c r="C604" s="944">
        <f>IF(A604='Data Entry - SOF'!B$2,'Report-SOF1718'!D$102,0)</f>
        <v>0</v>
      </c>
      <c r="D604" s="1037">
        <f>IF(A604='Data Entry - SOF'!B$2,'Data Entry - SOF'!#REF!,0)</f>
        <v>0</v>
      </c>
      <c r="E604" s="91">
        <f t="shared" si="54"/>
        <v>981138</v>
      </c>
      <c r="F604" s="944">
        <f>IF(A604='Data Entry - SOF'!B$2,'Report-SOF1819'!D$102,0)</f>
        <v>0</v>
      </c>
      <c r="G604" s="1037">
        <f>IF(A604='Data Entry - SOF'!B$2,'Data Entry - SOF'!E$102,0)</f>
        <v>0</v>
      </c>
      <c r="H604" s="1038">
        <f t="shared" si="56"/>
        <v>981138</v>
      </c>
      <c r="I604" s="944">
        <f>IF(A604='Data Entry - SOF'!B$2,'Report-SOF1920-HB3'!D$102,0)</f>
        <v>0</v>
      </c>
      <c r="J604" s="1037">
        <f>IF(A604='Data Entry - SOF'!B$2,'Data Entry - SOF'!G$102,0)</f>
        <v>0</v>
      </c>
      <c r="K604" s="717">
        <f t="shared" si="57"/>
        <v>981138</v>
      </c>
      <c r="L604" s="944">
        <f>IF(A604='Data Entry - SOF'!B$2,'Report-SOF2021'!D$99,0)</f>
        <v>0</v>
      </c>
      <c r="M604" s="723">
        <f>IF(A604='Data Entry - SOF'!B$2,'Data Entry - SOF'!M$102,0)</f>
        <v>0</v>
      </c>
      <c r="N604" s="717">
        <f t="shared" si="58"/>
        <v>981138</v>
      </c>
      <c r="O604" s="944">
        <f>IF(A604='Data Entry - SOF'!B$2,'Report-SOF2122'!D$91,0)</f>
        <v>0</v>
      </c>
      <c r="P604" s="723">
        <f>IF(A604='Data Entry - SOF'!B$2,'Data Entry - SOF'!O$102,0)</f>
        <v>0</v>
      </c>
      <c r="Q604" s="601">
        <f t="shared" si="55"/>
        <v>981138</v>
      </c>
      <c r="R604" s="944">
        <f>IF(A604='Data Entry - SOF'!B$2,'Report-SOF2223'!D$91,0)</f>
        <v>0</v>
      </c>
      <c r="S604" s="723">
        <f>IF(A604='Data Entry - SOF'!B$2,'Data Entry - SOF'!Q$102,0)</f>
        <v>0</v>
      </c>
      <c r="T604" s="601">
        <f t="shared" si="59"/>
        <v>981138</v>
      </c>
      <c r="U604" s="944">
        <f>IF(A604='Data Entry - SOF'!B$2,'Report-SOF2324'!D$91,0)</f>
        <v>0</v>
      </c>
      <c r="V604" s="723">
        <f>IF(A604='Data Entry - SOF'!B$2,'Data Entry - SOF'!S$102,0)</f>
        <v>0</v>
      </c>
    </row>
    <row r="605" spans="1:22" ht="15.75">
      <c r="A605" s="382" t="s">
        <v>2590</v>
      </c>
      <c r="B605" s="91">
        <v>5119022</v>
      </c>
      <c r="C605" s="944">
        <f>IF(A605='Data Entry - SOF'!B$2,'Report-SOF1718'!D$102,0)</f>
        <v>0</v>
      </c>
      <c r="D605" s="1037">
        <f>IF(A605='Data Entry - SOF'!B$2,'Data Entry - SOF'!#REF!,0)</f>
        <v>0</v>
      </c>
      <c r="E605" s="91">
        <f t="shared" si="54"/>
        <v>5119022</v>
      </c>
      <c r="F605" s="944">
        <f>IF(A605='Data Entry - SOF'!B$2,'Report-SOF1819'!D$102,0)</f>
        <v>0</v>
      </c>
      <c r="G605" s="1037">
        <f>IF(A605='Data Entry - SOF'!B$2,'Data Entry - SOF'!E$102,0)</f>
        <v>0</v>
      </c>
      <c r="H605" s="1038">
        <f t="shared" si="56"/>
        <v>5119022</v>
      </c>
      <c r="I605" s="944">
        <f>IF(A605='Data Entry - SOF'!B$2,'Report-SOF1920-HB3'!D$102,0)</f>
        <v>0</v>
      </c>
      <c r="J605" s="1037">
        <f>IF(A605='Data Entry - SOF'!B$2,'Data Entry - SOF'!G$102,0)</f>
        <v>0</v>
      </c>
      <c r="K605" s="717">
        <f t="shared" si="57"/>
        <v>5119022</v>
      </c>
      <c r="L605" s="944">
        <f>IF(A605='Data Entry - SOF'!B$2,'Report-SOF2021'!D$99,0)</f>
        <v>0</v>
      </c>
      <c r="M605" s="723">
        <f>IF(A605='Data Entry - SOF'!B$2,'Data Entry - SOF'!M$102,0)</f>
        <v>0</v>
      </c>
      <c r="N605" s="717">
        <f t="shared" si="58"/>
        <v>5119022</v>
      </c>
      <c r="O605" s="944">
        <f>IF(A605='Data Entry - SOF'!B$2,'Report-SOF2122'!D$91,0)</f>
        <v>0</v>
      </c>
      <c r="P605" s="723">
        <f>IF(A605='Data Entry - SOF'!B$2,'Data Entry - SOF'!O$102,0)</f>
        <v>0</v>
      </c>
      <c r="Q605" s="601">
        <f t="shared" si="55"/>
        <v>5119022</v>
      </c>
      <c r="R605" s="944">
        <f>IF(A605='Data Entry - SOF'!B$2,'Report-SOF2223'!D$91,0)</f>
        <v>0</v>
      </c>
      <c r="S605" s="723">
        <f>IF(A605='Data Entry - SOF'!B$2,'Data Entry - SOF'!Q$102,0)</f>
        <v>0</v>
      </c>
      <c r="T605" s="601">
        <f t="shared" si="59"/>
        <v>5119022</v>
      </c>
      <c r="U605" s="944">
        <f>IF(A605='Data Entry - SOF'!B$2,'Report-SOF2324'!D$91,0)</f>
        <v>0</v>
      </c>
      <c r="V605" s="723">
        <f>IF(A605='Data Entry - SOF'!B$2,'Data Entry - SOF'!S$102,0)</f>
        <v>0</v>
      </c>
    </row>
    <row r="606" spans="1:22" ht="15.75">
      <c r="A606" s="382" t="s">
        <v>1381</v>
      </c>
      <c r="B606" s="91">
        <v>4796989</v>
      </c>
      <c r="C606" s="944">
        <f>IF(A606='Data Entry - SOF'!B$2,'Report-SOF1718'!D$102,0)</f>
        <v>0</v>
      </c>
      <c r="D606" s="1037">
        <f>IF(A606='Data Entry - SOF'!B$2,'Data Entry - SOF'!#REF!,0)</f>
        <v>0</v>
      </c>
      <c r="E606" s="91">
        <f t="shared" si="54"/>
        <v>4796989</v>
      </c>
      <c r="F606" s="944">
        <f>IF(A606='Data Entry - SOF'!B$2,'Report-SOF1819'!D$102,0)</f>
        <v>0</v>
      </c>
      <c r="G606" s="1037">
        <f>IF(A606='Data Entry - SOF'!B$2,'Data Entry - SOF'!E$102,0)</f>
        <v>0</v>
      </c>
      <c r="H606" s="1038">
        <f t="shared" si="56"/>
        <v>4796989</v>
      </c>
      <c r="I606" s="944">
        <f>IF(A606='Data Entry - SOF'!B$2,'Report-SOF1920-HB3'!D$102,0)</f>
        <v>0</v>
      </c>
      <c r="J606" s="1037">
        <f>IF(A606='Data Entry - SOF'!B$2,'Data Entry - SOF'!G$102,0)</f>
        <v>0</v>
      </c>
      <c r="K606" s="717">
        <f t="shared" si="57"/>
        <v>4796989</v>
      </c>
      <c r="L606" s="944">
        <f>IF(A606='Data Entry - SOF'!B$2,'Report-SOF2021'!D$99,0)</f>
        <v>0</v>
      </c>
      <c r="M606" s="723">
        <f>IF(A606='Data Entry - SOF'!B$2,'Data Entry - SOF'!M$102,0)</f>
        <v>0</v>
      </c>
      <c r="N606" s="717">
        <f t="shared" si="58"/>
        <v>4796989</v>
      </c>
      <c r="O606" s="944">
        <f>IF(A606='Data Entry - SOF'!B$2,'Report-SOF2122'!D$91,0)</f>
        <v>0</v>
      </c>
      <c r="P606" s="723">
        <f>IF(A606='Data Entry - SOF'!B$2,'Data Entry - SOF'!O$102,0)</f>
        <v>0</v>
      </c>
      <c r="Q606" s="601">
        <f t="shared" si="55"/>
        <v>4796989</v>
      </c>
      <c r="R606" s="944">
        <f>IF(A606='Data Entry - SOF'!B$2,'Report-SOF2223'!D$91,0)</f>
        <v>0</v>
      </c>
      <c r="S606" s="723">
        <f>IF(A606='Data Entry - SOF'!B$2,'Data Entry - SOF'!Q$102,0)</f>
        <v>0</v>
      </c>
      <c r="T606" s="601">
        <f t="shared" si="59"/>
        <v>4796989</v>
      </c>
      <c r="U606" s="944">
        <f>IF(A606='Data Entry - SOF'!B$2,'Report-SOF2324'!D$91,0)</f>
        <v>0</v>
      </c>
      <c r="V606" s="723">
        <f>IF(A606='Data Entry - SOF'!B$2,'Data Entry - SOF'!S$102,0)</f>
        <v>0</v>
      </c>
    </row>
    <row r="607" spans="1:22" ht="15.75">
      <c r="A607" s="382" t="s">
        <v>1382</v>
      </c>
      <c r="B607" s="91">
        <v>9913639</v>
      </c>
      <c r="C607" s="944">
        <f>IF(A607='Data Entry - SOF'!B$2,'Report-SOF1718'!D$102,0)</f>
        <v>0</v>
      </c>
      <c r="D607" s="1037">
        <f>IF(A607='Data Entry - SOF'!B$2,'Data Entry - SOF'!#REF!,0)</f>
        <v>0</v>
      </c>
      <c r="E607" s="91">
        <f t="shared" si="54"/>
        <v>9913639</v>
      </c>
      <c r="F607" s="944">
        <f>IF(A607='Data Entry - SOF'!B$2,'Report-SOF1819'!D$102,0)</f>
        <v>0</v>
      </c>
      <c r="G607" s="1037">
        <f>IF(A607='Data Entry - SOF'!B$2,'Data Entry - SOF'!E$102,0)</f>
        <v>0</v>
      </c>
      <c r="H607" s="1038">
        <f t="shared" si="56"/>
        <v>9913639</v>
      </c>
      <c r="I607" s="944">
        <f>IF(A607='Data Entry - SOF'!B$2,'Report-SOF1920-HB3'!D$102,0)</f>
        <v>0</v>
      </c>
      <c r="J607" s="1037">
        <f>IF(A607='Data Entry - SOF'!B$2,'Data Entry - SOF'!G$102,0)</f>
        <v>0</v>
      </c>
      <c r="K607" s="717">
        <f t="shared" si="57"/>
        <v>9913639</v>
      </c>
      <c r="L607" s="944">
        <f>IF(A607='Data Entry - SOF'!B$2,'Report-SOF2021'!D$99,0)</f>
        <v>0</v>
      </c>
      <c r="M607" s="723">
        <f>IF(A607='Data Entry - SOF'!B$2,'Data Entry - SOF'!M$102,0)</f>
        <v>0</v>
      </c>
      <c r="N607" s="717">
        <f t="shared" si="58"/>
        <v>9913639</v>
      </c>
      <c r="O607" s="944">
        <f>IF(A607='Data Entry - SOF'!B$2,'Report-SOF2122'!D$91,0)</f>
        <v>0</v>
      </c>
      <c r="P607" s="723">
        <f>IF(A607='Data Entry - SOF'!B$2,'Data Entry - SOF'!O$102,0)</f>
        <v>0</v>
      </c>
      <c r="Q607" s="601">
        <f t="shared" si="55"/>
        <v>9913639</v>
      </c>
      <c r="R607" s="944">
        <f>IF(A607='Data Entry - SOF'!B$2,'Report-SOF2223'!D$91,0)</f>
        <v>0</v>
      </c>
      <c r="S607" s="723">
        <f>IF(A607='Data Entry - SOF'!B$2,'Data Entry - SOF'!Q$102,0)</f>
        <v>0</v>
      </c>
      <c r="T607" s="601">
        <f t="shared" si="59"/>
        <v>9913639</v>
      </c>
      <c r="U607" s="944">
        <f>IF(A607='Data Entry - SOF'!B$2,'Report-SOF2324'!D$91,0)</f>
        <v>0</v>
      </c>
      <c r="V607" s="723">
        <f>IF(A607='Data Entry - SOF'!B$2,'Data Entry - SOF'!S$102,0)</f>
        <v>0</v>
      </c>
    </row>
    <row r="608" spans="1:22" ht="15.75">
      <c r="A608" s="382" t="s">
        <v>2426</v>
      </c>
      <c r="B608" s="91">
        <v>2150013</v>
      </c>
      <c r="C608" s="944">
        <f>IF(A608='Data Entry - SOF'!B$2,'Report-SOF1718'!D$102,0)</f>
        <v>0</v>
      </c>
      <c r="D608" s="1037">
        <f>IF(A608='Data Entry - SOF'!B$2,'Data Entry - SOF'!#REF!,0)</f>
        <v>0</v>
      </c>
      <c r="E608" s="91">
        <f t="shared" si="54"/>
        <v>2150013</v>
      </c>
      <c r="F608" s="944">
        <f>IF(A608='Data Entry - SOF'!B$2,'Report-SOF1819'!D$102,0)</f>
        <v>0</v>
      </c>
      <c r="G608" s="1037">
        <f>IF(A608='Data Entry - SOF'!B$2,'Data Entry - SOF'!E$102,0)</f>
        <v>0</v>
      </c>
      <c r="H608" s="1038">
        <f t="shared" si="56"/>
        <v>2150013</v>
      </c>
      <c r="I608" s="944">
        <f>IF(A608='Data Entry - SOF'!B$2,'Report-SOF1920-HB3'!D$102,0)</f>
        <v>0</v>
      </c>
      <c r="J608" s="1037">
        <f>IF(A608='Data Entry - SOF'!B$2,'Data Entry - SOF'!G$102,0)</f>
        <v>0</v>
      </c>
      <c r="K608" s="717">
        <f t="shared" si="57"/>
        <v>2150013</v>
      </c>
      <c r="L608" s="944">
        <f>IF(A608='Data Entry - SOF'!B$2,'Report-SOF2021'!D$99,0)</f>
        <v>0</v>
      </c>
      <c r="M608" s="723">
        <f>IF(A608='Data Entry - SOF'!B$2,'Data Entry - SOF'!M$102,0)</f>
        <v>0</v>
      </c>
      <c r="N608" s="717">
        <f t="shared" si="58"/>
        <v>2150013</v>
      </c>
      <c r="O608" s="944">
        <f>IF(A608='Data Entry - SOF'!B$2,'Report-SOF2122'!D$91,0)</f>
        <v>0</v>
      </c>
      <c r="P608" s="723">
        <f>IF(A608='Data Entry - SOF'!B$2,'Data Entry - SOF'!O$102,0)</f>
        <v>0</v>
      </c>
      <c r="Q608" s="601">
        <f t="shared" si="55"/>
        <v>2150013</v>
      </c>
      <c r="R608" s="944">
        <f>IF(A608='Data Entry - SOF'!B$2,'Report-SOF2223'!D$91,0)</f>
        <v>0</v>
      </c>
      <c r="S608" s="723">
        <f>IF(A608='Data Entry - SOF'!B$2,'Data Entry - SOF'!Q$102,0)</f>
        <v>0</v>
      </c>
      <c r="T608" s="601">
        <f t="shared" si="59"/>
        <v>2150013</v>
      </c>
      <c r="U608" s="944">
        <f>IF(A608='Data Entry - SOF'!B$2,'Report-SOF2324'!D$91,0)</f>
        <v>0</v>
      </c>
      <c r="V608" s="723">
        <f>IF(A608='Data Entry - SOF'!B$2,'Data Entry - SOF'!S$102,0)</f>
        <v>0</v>
      </c>
    </row>
    <row r="609" spans="1:22" ht="15.75">
      <c r="A609" s="382" t="s">
        <v>2111</v>
      </c>
      <c r="B609" s="91">
        <v>10947965</v>
      </c>
      <c r="C609" s="944">
        <f>IF(A609='Data Entry - SOF'!B$2,'Report-SOF1718'!D$102,0)</f>
        <v>0</v>
      </c>
      <c r="D609" s="1037">
        <f>IF(A609='Data Entry - SOF'!B$2,'Data Entry - SOF'!#REF!,0)</f>
        <v>0</v>
      </c>
      <c r="E609" s="91">
        <f t="shared" si="54"/>
        <v>10947965</v>
      </c>
      <c r="F609" s="944">
        <f>IF(A609='Data Entry - SOF'!B$2,'Report-SOF1819'!D$102,0)</f>
        <v>0</v>
      </c>
      <c r="G609" s="1037">
        <f>IF(A609='Data Entry - SOF'!B$2,'Data Entry - SOF'!E$102,0)</f>
        <v>0</v>
      </c>
      <c r="H609" s="1038">
        <f t="shared" si="56"/>
        <v>10947965</v>
      </c>
      <c r="I609" s="944">
        <f>IF(A609='Data Entry - SOF'!B$2,'Report-SOF1920-HB3'!D$102,0)</f>
        <v>0</v>
      </c>
      <c r="J609" s="1037">
        <f>IF(A609='Data Entry - SOF'!B$2,'Data Entry - SOF'!G$102,0)</f>
        <v>0</v>
      </c>
      <c r="K609" s="717">
        <f t="shared" si="57"/>
        <v>10947965</v>
      </c>
      <c r="L609" s="944">
        <f>IF(A609='Data Entry - SOF'!B$2,'Report-SOF2021'!D$99,0)</f>
        <v>0</v>
      </c>
      <c r="M609" s="723">
        <f>IF(A609='Data Entry - SOF'!B$2,'Data Entry - SOF'!M$102,0)</f>
        <v>0</v>
      </c>
      <c r="N609" s="717">
        <f t="shared" si="58"/>
        <v>10947965</v>
      </c>
      <c r="O609" s="944">
        <f>IF(A609='Data Entry - SOF'!B$2,'Report-SOF2122'!D$91,0)</f>
        <v>0</v>
      </c>
      <c r="P609" s="723">
        <f>IF(A609='Data Entry - SOF'!B$2,'Data Entry - SOF'!O$102,0)</f>
        <v>0</v>
      </c>
      <c r="Q609" s="601">
        <f t="shared" si="55"/>
        <v>10947965</v>
      </c>
      <c r="R609" s="944">
        <f>IF(A609='Data Entry - SOF'!B$2,'Report-SOF2223'!D$91,0)</f>
        <v>0</v>
      </c>
      <c r="S609" s="723">
        <f>IF(A609='Data Entry - SOF'!B$2,'Data Entry - SOF'!Q$102,0)</f>
        <v>0</v>
      </c>
      <c r="T609" s="601">
        <f t="shared" si="59"/>
        <v>10947965</v>
      </c>
      <c r="U609" s="944">
        <f>IF(A609='Data Entry - SOF'!B$2,'Report-SOF2324'!D$91,0)</f>
        <v>0</v>
      </c>
      <c r="V609" s="723">
        <f>IF(A609='Data Entry - SOF'!B$2,'Data Entry - SOF'!S$102,0)</f>
        <v>0</v>
      </c>
    </row>
    <row r="610" spans="1:22" ht="15.75">
      <c r="A610" s="382" t="s">
        <v>2633</v>
      </c>
      <c r="B610" s="91">
        <v>11220369</v>
      </c>
      <c r="C610" s="944">
        <f>IF(A610='Data Entry - SOF'!B$2,'Report-SOF1718'!D$102,0)</f>
        <v>0</v>
      </c>
      <c r="D610" s="1037">
        <f>IF(A610='Data Entry - SOF'!B$2,'Data Entry - SOF'!#REF!,0)</f>
        <v>0</v>
      </c>
      <c r="E610" s="91">
        <f t="shared" si="54"/>
        <v>11220369</v>
      </c>
      <c r="F610" s="944">
        <f>IF(A610='Data Entry - SOF'!B$2,'Report-SOF1819'!D$102,0)</f>
        <v>0</v>
      </c>
      <c r="G610" s="1037">
        <f>IF(A610='Data Entry - SOF'!B$2,'Data Entry - SOF'!E$102,0)</f>
        <v>0</v>
      </c>
      <c r="H610" s="1038">
        <f t="shared" si="56"/>
        <v>11220369</v>
      </c>
      <c r="I610" s="944">
        <f>IF(A610='Data Entry - SOF'!B$2,'Report-SOF1920-HB3'!D$102,0)</f>
        <v>0</v>
      </c>
      <c r="J610" s="1037">
        <f>IF(A610='Data Entry - SOF'!B$2,'Data Entry - SOF'!G$102,0)</f>
        <v>0</v>
      </c>
      <c r="K610" s="717">
        <f t="shared" si="57"/>
        <v>11220369</v>
      </c>
      <c r="L610" s="944">
        <f>IF(A610='Data Entry - SOF'!B$2,'Report-SOF2021'!D$99,0)</f>
        <v>0</v>
      </c>
      <c r="M610" s="723">
        <f>IF(A610='Data Entry - SOF'!B$2,'Data Entry - SOF'!M$102,0)</f>
        <v>0</v>
      </c>
      <c r="N610" s="717">
        <f t="shared" si="58"/>
        <v>11220369</v>
      </c>
      <c r="O610" s="944">
        <f>IF(A610='Data Entry - SOF'!B$2,'Report-SOF2122'!D$91,0)</f>
        <v>0</v>
      </c>
      <c r="P610" s="723">
        <f>IF(A610='Data Entry - SOF'!B$2,'Data Entry - SOF'!O$102,0)</f>
        <v>0</v>
      </c>
      <c r="Q610" s="601">
        <f t="shared" si="55"/>
        <v>11220369</v>
      </c>
      <c r="R610" s="944">
        <f>IF(A610='Data Entry - SOF'!B$2,'Report-SOF2223'!D$91,0)</f>
        <v>0</v>
      </c>
      <c r="S610" s="723">
        <f>IF(A610='Data Entry - SOF'!B$2,'Data Entry - SOF'!Q$102,0)</f>
        <v>0</v>
      </c>
      <c r="T610" s="601">
        <f t="shared" si="59"/>
        <v>11220369</v>
      </c>
      <c r="U610" s="944">
        <f>IF(A610='Data Entry - SOF'!B$2,'Report-SOF2324'!D$91,0)</f>
        <v>0</v>
      </c>
      <c r="V610" s="723">
        <f>IF(A610='Data Entry - SOF'!B$2,'Data Entry - SOF'!S$102,0)</f>
        <v>0</v>
      </c>
    </row>
    <row r="611" spans="1:22" ht="15.75">
      <c r="A611" s="382" t="s">
        <v>2408</v>
      </c>
      <c r="B611" s="91">
        <v>16910774</v>
      </c>
      <c r="C611" s="944">
        <f>IF(A611='Data Entry - SOF'!B$2,'Report-SOF1718'!D$102,0)</f>
        <v>0</v>
      </c>
      <c r="D611" s="1037">
        <f>IF(A611='Data Entry - SOF'!B$2,'Data Entry - SOF'!#REF!,0)</f>
        <v>0</v>
      </c>
      <c r="E611" s="91">
        <f t="shared" si="54"/>
        <v>16910774</v>
      </c>
      <c r="F611" s="944">
        <f>IF(A611='Data Entry - SOF'!B$2,'Report-SOF1819'!D$102,0)</f>
        <v>0</v>
      </c>
      <c r="G611" s="1037">
        <f>IF(A611='Data Entry - SOF'!B$2,'Data Entry - SOF'!E$102,0)</f>
        <v>0</v>
      </c>
      <c r="H611" s="1038">
        <f t="shared" si="56"/>
        <v>16910774</v>
      </c>
      <c r="I611" s="944">
        <f>IF(A611='Data Entry - SOF'!B$2,'Report-SOF1920-HB3'!D$102,0)</f>
        <v>0</v>
      </c>
      <c r="J611" s="1037">
        <f>IF(A611='Data Entry - SOF'!B$2,'Data Entry - SOF'!G$102,0)</f>
        <v>0</v>
      </c>
      <c r="K611" s="717">
        <f t="shared" si="57"/>
        <v>16910774</v>
      </c>
      <c r="L611" s="944">
        <f>IF(A611='Data Entry - SOF'!B$2,'Report-SOF2021'!D$99,0)</f>
        <v>0</v>
      </c>
      <c r="M611" s="723">
        <f>IF(A611='Data Entry - SOF'!B$2,'Data Entry - SOF'!M$102,0)</f>
        <v>0</v>
      </c>
      <c r="N611" s="717">
        <f t="shared" si="58"/>
        <v>16910774</v>
      </c>
      <c r="O611" s="944">
        <f>IF(A611='Data Entry - SOF'!B$2,'Report-SOF2122'!D$91,0)</f>
        <v>0</v>
      </c>
      <c r="P611" s="723">
        <f>IF(A611='Data Entry - SOF'!B$2,'Data Entry - SOF'!O$102,0)</f>
        <v>0</v>
      </c>
      <c r="Q611" s="601">
        <f t="shared" si="55"/>
        <v>16910774</v>
      </c>
      <c r="R611" s="944">
        <f>IF(A611='Data Entry - SOF'!B$2,'Report-SOF2223'!D$91,0)</f>
        <v>0</v>
      </c>
      <c r="S611" s="723">
        <f>IF(A611='Data Entry - SOF'!B$2,'Data Entry - SOF'!Q$102,0)</f>
        <v>0</v>
      </c>
      <c r="T611" s="601">
        <f t="shared" si="59"/>
        <v>16910774</v>
      </c>
      <c r="U611" s="944">
        <f>IF(A611='Data Entry - SOF'!B$2,'Report-SOF2324'!D$91,0)</f>
        <v>0</v>
      </c>
      <c r="V611" s="723">
        <f>IF(A611='Data Entry - SOF'!B$2,'Data Entry - SOF'!S$102,0)</f>
        <v>0</v>
      </c>
    </row>
    <row r="612" spans="1:22" ht="15.75">
      <c r="A612" s="382" t="s">
        <v>2112</v>
      </c>
      <c r="B612" s="91">
        <v>5205972</v>
      </c>
      <c r="C612" s="944">
        <f>IF(A612='Data Entry - SOF'!B$2,'Report-SOF1718'!D$102,0)</f>
        <v>0</v>
      </c>
      <c r="D612" s="1037">
        <f>IF(A612='Data Entry - SOF'!B$2,'Data Entry - SOF'!#REF!,0)</f>
        <v>0</v>
      </c>
      <c r="E612" s="91">
        <f t="shared" si="54"/>
        <v>5205972</v>
      </c>
      <c r="F612" s="944">
        <f>IF(A612='Data Entry - SOF'!B$2,'Report-SOF1819'!D$102,0)</f>
        <v>0</v>
      </c>
      <c r="G612" s="1037">
        <f>IF(A612='Data Entry - SOF'!B$2,'Data Entry - SOF'!E$102,0)</f>
        <v>0</v>
      </c>
      <c r="H612" s="1038">
        <f t="shared" si="56"/>
        <v>5205972</v>
      </c>
      <c r="I612" s="944">
        <f>IF(A612='Data Entry - SOF'!B$2,'Report-SOF1920-HB3'!D$102,0)</f>
        <v>0</v>
      </c>
      <c r="J612" s="1037">
        <f>IF(A612='Data Entry - SOF'!B$2,'Data Entry - SOF'!G$102,0)</f>
        <v>0</v>
      </c>
      <c r="K612" s="717">
        <f t="shared" si="57"/>
        <v>5205972</v>
      </c>
      <c r="L612" s="944">
        <f>IF(A612='Data Entry - SOF'!B$2,'Report-SOF2021'!D$99,0)</f>
        <v>0</v>
      </c>
      <c r="M612" s="723">
        <f>IF(A612='Data Entry - SOF'!B$2,'Data Entry - SOF'!M$102,0)</f>
        <v>0</v>
      </c>
      <c r="N612" s="717">
        <f t="shared" si="58"/>
        <v>5205972</v>
      </c>
      <c r="O612" s="944">
        <f>IF(A612='Data Entry - SOF'!B$2,'Report-SOF2122'!D$91,0)</f>
        <v>0</v>
      </c>
      <c r="P612" s="723">
        <f>IF(A612='Data Entry - SOF'!B$2,'Data Entry - SOF'!O$102,0)</f>
        <v>0</v>
      </c>
      <c r="Q612" s="601">
        <f t="shared" si="55"/>
        <v>5205972</v>
      </c>
      <c r="R612" s="944">
        <f>IF(A612='Data Entry - SOF'!B$2,'Report-SOF2223'!D$91,0)</f>
        <v>0</v>
      </c>
      <c r="S612" s="723">
        <f>IF(A612='Data Entry - SOF'!B$2,'Data Entry - SOF'!Q$102,0)</f>
        <v>0</v>
      </c>
      <c r="T612" s="601">
        <f t="shared" si="59"/>
        <v>5205972</v>
      </c>
      <c r="U612" s="944">
        <f>IF(A612='Data Entry - SOF'!B$2,'Report-SOF2324'!D$91,0)</f>
        <v>0</v>
      </c>
      <c r="V612" s="723">
        <f>IF(A612='Data Entry - SOF'!B$2,'Data Entry - SOF'!S$102,0)</f>
        <v>0</v>
      </c>
    </row>
    <row r="613" spans="1:22" ht="15.75">
      <c r="A613" s="382" t="s">
        <v>2515</v>
      </c>
      <c r="B613" s="91">
        <v>3697039</v>
      </c>
      <c r="C613" s="944">
        <f>IF(A613='Data Entry - SOF'!B$2,'Report-SOF1718'!D$102,0)</f>
        <v>0</v>
      </c>
      <c r="D613" s="1037">
        <f>IF(A613='Data Entry - SOF'!B$2,'Data Entry - SOF'!#REF!,0)</f>
        <v>0</v>
      </c>
      <c r="E613" s="91">
        <f t="shared" si="54"/>
        <v>3697039</v>
      </c>
      <c r="F613" s="944">
        <f>IF(A613='Data Entry - SOF'!B$2,'Report-SOF1819'!D$102,0)</f>
        <v>0</v>
      </c>
      <c r="G613" s="1037">
        <f>IF(A613='Data Entry - SOF'!B$2,'Data Entry - SOF'!E$102,0)</f>
        <v>0</v>
      </c>
      <c r="H613" s="1038">
        <f t="shared" si="56"/>
        <v>3697039</v>
      </c>
      <c r="I613" s="944">
        <f>IF(A613='Data Entry - SOF'!B$2,'Report-SOF1920-HB3'!D$102,0)</f>
        <v>0</v>
      </c>
      <c r="J613" s="1037">
        <f>IF(A613='Data Entry - SOF'!B$2,'Data Entry - SOF'!G$102,0)</f>
        <v>0</v>
      </c>
      <c r="K613" s="717">
        <f t="shared" si="57"/>
        <v>3697039</v>
      </c>
      <c r="L613" s="944">
        <f>IF(A613='Data Entry - SOF'!B$2,'Report-SOF2021'!D$99,0)</f>
        <v>0</v>
      </c>
      <c r="M613" s="723">
        <f>IF(A613='Data Entry - SOF'!B$2,'Data Entry - SOF'!M$102,0)</f>
        <v>0</v>
      </c>
      <c r="N613" s="717">
        <f t="shared" si="58"/>
        <v>3697039</v>
      </c>
      <c r="O613" s="944">
        <f>IF(A613='Data Entry - SOF'!B$2,'Report-SOF2122'!D$91,0)</f>
        <v>0</v>
      </c>
      <c r="P613" s="723">
        <f>IF(A613='Data Entry - SOF'!B$2,'Data Entry - SOF'!O$102,0)</f>
        <v>0</v>
      </c>
      <c r="Q613" s="601">
        <f t="shared" si="55"/>
        <v>3697039</v>
      </c>
      <c r="R613" s="944">
        <f>IF(A613='Data Entry - SOF'!B$2,'Report-SOF2223'!D$91,0)</f>
        <v>0</v>
      </c>
      <c r="S613" s="723">
        <f>IF(A613='Data Entry - SOF'!B$2,'Data Entry - SOF'!Q$102,0)</f>
        <v>0</v>
      </c>
      <c r="T613" s="601">
        <f t="shared" si="59"/>
        <v>3697039</v>
      </c>
      <c r="U613" s="944">
        <f>IF(A613='Data Entry - SOF'!B$2,'Report-SOF2324'!D$91,0)</f>
        <v>0</v>
      </c>
      <c r="V613" s="723">
        <f>IF(A613='Data Entry - SOF'!B$2,'Data Entry - SOF'!S$102,0)</f>
        <v>0</v>
      </c>
    </row>
    <row r="614" spans="1:22" ht="15.75">
      <c r="A614" s="382" t="s">
        <v>1116</v>
      </c>
      <c r="B614" s="91">
        <v>3715010</v>
      </c>
      <c r="C614" s="944">
        <f>IF(A614='Data Entry - SOF'!B$2,'Report-SOF1718'!D$102,0)</f>
        <v>0</v>
      </c>
      <c r="D614" s="1037">
        <f>IF(A614='Data Entry - SOF'!B$2,'Data Entry - SOF'!#REF!,0)</f>
        <v>0</v>
      </c>
      <c r="E614" s="91">
        <f t="shared" si="54"/>
        <v>3715010</v>
      </c>
      <c r="F614" s="944">
        <f>IF(A614='Data Entry - SOF'!B$2,'Report-SOF1819'!D$102,0)</f>
        <v>0</v>
      </c>
      <c r="G614" s="1037">
        <f>IF(A614='Data Entry - SOF'!B$2,'Data Entry - SOF'!E$102,0)</f>
        <v>0</v>
      </c>
      <c r="H614" s="1038">
        <f t="shared" si="56"/>
        <v>3715010</v>
      </c>
      <c r="I614" s="944">
        <f>IF(A614='Data Entry - SOF'!B$2,'Report-SOF1920-HB3'!D$102,0)</f>
        <v>0</v>
      </c>
      <c r="J614" s="1037">
        <f>IF(A614='Data Entry - SOF'!B$2,'Data Entry - SOF'!G$102,0)</f>
        <v>0</v>
      </c>
      <c r="K614" s="717">
        <f t="shared" si="57"/>
        <v>3715010</v>
      </c>
      <c r="L614" s="944">
        <f>IF(A614='Data Entry - SOF'!B$2,'Report-SOF2021'!D$99,0)</f>
        <v>0</v>
      </c>
      <c r="M614" s="723">
        <f>IF(A614='Data Entry - SOF'!B$2,'Data Entry - SOF'!M$102,0)</f>
        <v>0</v>
      </c>
      <c r="N614" s="717">
        <f t="shared" si="58"/>
        <v>3715010</v>
      </c>
      <c r="O614" s="944">
        <f>IF(A614='Data Entry - SOF'!B$2,'Report-SOF2122'!D$91,0)</f>
        <v>0</v>
      </c>
      <c r="P614" s="723">
        <f>IF(A614='Data Entry - SOF'!B$2,'Data Entry - SOF'!O$102,0)</f>
        <v>0</v>
      </c>
      <c r="Q614" s="601">
        <f t="shared" si="55"/>
        <v>3715010</v>
      </c>
      <c r="R614" s="944">
        <f>IF(A614='Data Entry - SOF'!B$2,'Report-SOF2223'!D$91,0)</f>
        <v>0</v>
      </c>
      <c r="S614" s="723">
        <f>IF(A614='Data Entry - SOF'!B$2,'Data Entry - SOF'!Q$102,0)</f>
        <v>0</v>
      </c>
      <c r="T614" s="601">
        <f t="shared" si="59"/>
        <v>3715010</v>
      </c>
      <c r="U614" s="944">
        <f>IF(A614='Data Entry - SOF'!B$2,'Report-SOF2324'!D$91,0)</f>
        <v>0</v>
      </c>
      <c r="V614" s="723">
        <f>IF(A614='Data Entry - SOF'!B$2,'Data Entry - SOF'!S$102,0)</f>
        <v>0</v>
      </c>
    </row>
    <row r="615" spans="1:22" ht="15.75">
      <c r="A615" s="382" t="s">
        <v>2113</v>
      </c>
      <c r="B615" s="91">
        <v>13665549</v>
      </c>
      <c r="C615" s="944">
        <f>IF(A615='Data Entry - SOF'!B$2,'Report-SOF1718'!D$102,0)</f>
        <v>0</v>
      </c>
      <c r="D615" s="1037">
        <f>IF(A615='Data Entry - SOF'!B$2,'Data Entry - SOF'!#REF!,0)</f>
        <v>0</v>
      </c>
      <c r="E615" s="91">
        <f t="shared" si="54"/>
        <v>13665549</v>
      </c>
      <c r="F615" s="944">
        <f>IF(A615='Data Entry - SOF'!B$2,'Report-SOF1819'!D$102,0)</f>
        <v>0</v>
      </c>
      <c r="G615" s="1037">
        <f>IF(A615='Data Entry - SOF'!B$2,'Data Entry - SOF'!E$102,0)</f>
        <v>0</v>
      </c>
      <c r="H615" s="1038">
        <f t="shared" si="56"/>
        <v>13665549</v>
      </c>
      <c r="I615" s="944">
        <f>IF(A615='Data Entry - SOF'!B$2,'Report-SOF1920-HB3'!D$102,0)</f>
        <v>0</v>
      </c>
      <c r="J615" s="1037">
        <f>IF(A615='Data Entry - SOF'!B$2,'Data Entry - SOF'!G$102,0)</f>
        <v>0</v>
      </c>
      <c r="K615" s="717">
        <f t="shared" si="57"/>
        <v>13665549</v>
      </c>
      <c r="L615" s="944">
        <f>IF(A615='Data Entry - SOF'!B$2,'Report-SOF2021'!D$99,0)</f>
        <v>0</v>
      </c>
      <c r="M615" s="723">
        <f>IF(A615='Data Entry - SOF'!B$2,'Data Entry - SOF'!M$102,0)</f>
        <v>0</v>
      </c>
      <c r="N615" s="717">
        <f t="shared" si="58"/>
        <v>13665549</v>
      </c>
      <c r="O615" s="944">
        <f>IF(A615='Data Entry - SOF'!B$2,'Report-SOF2122'!D$91,0)</f>
        <v>0</v>
      </c>
      <c r="P615" s="723">
        <f>IF(A615='Data Entry - SOF'!B$2,'Data Entry - SOF'!O$102,0)</f>
        <v>0</v>
      </c>
      <c r="Q615" s="601">
        <f t="shared" si="55"/>
        <v>13665549</v>
      </c>
      <c r="R615" s="944">
        <f>IF(A615='Data Entry - SOF'!B$2,'Report-SOF2223'!D$91,0)</f>
        <v>0</v>
      </c>
      <c r="S615" s="723">
        <f>IF(A615='Data Entry - SOF'!B$2,'Data Entry - SOF'!Q$102,0)</f>
        <v>0</v>
      </c>
      <c r="T615" s="601">
        <f t="shared" si="59"/>
        <v>13665549</v>
      </c>
      <c r="U615" s="944">
        <f>IF(A615='Data Entry - SOF'!B$2,'Report-SOF2324'!D$91,0)</f>
        <v>0</v>
      </c>
      <c r="V615" s="723">
        <f>IF(A615='Data Entry - SOF'!B$2,'Data Entry - SOF'!S$102,0)</f>
        <v>0</v>
      </c>
    </row>
    <row r="616" spans="1:22" ht="15.75">
      <c r="A616" s="382" t="s">
        <v>2114</v>
      </c>
      <c r="B616" s="91">
        <v>3546964</v>
      </c>
      <c r="C616" s="944">
        <f>IF(A616='Data Entry - SOF'!B$2,'Report-SOF1718'!D$102,0)</f>
        <v>0</v>
      </c>
      <c r="D616" s="1037">
        <f>IF(A616='Data Entry - SOF'!B$2,'Data Entry - SOF'!#REF!,0)</f>
        <v>0</v>
      </c>
      <c r="E616" s="91">
        <f t="shared" si="54"/>
        <v>3546964</v>
      </c>
      <c r="F616" s="944">
        <f>IF(A616='Data Entry - SOF'!B$2,'Report-SOF1819'!D$102,0)</f>
        <v>0</v>
      </c>
      <c r="G616" s="1037">
        <f>IF(A616='Data Entry - SOF'!B$2,'Data Entry - SOF'!E$102,0)</f>
        <v>0</v>
      </c>
      <c r="H616" s="1038">
        <f t="shared" si="56"/>
        <v>3546964</v>
      </c>
      <c r="I616" s="944">
        <f>IF(A616='Data Entry - SOF'!B$2,'Report-SOF1920-HB3'!D$102,0)</f>
        <v>0</v>
      </c>
      <c r="J616" s="1037">
        <f>IF(A616='Data Entry - SOF'!B$2,'Data Entry - SOF'!G$102,0)</f>
        <v>0</v>
      </c>
      <c r="K616" s="717">
        <f t="shared" si="57"/>
        <v>3546964</v>
      </c>
      <c r="L616" s="944">
        <f>IF(A616='Data Entry - SOF'!B$2,'Report-SOF2021'!D$99,0)</f>
        <v>0</v>
      </c>
      <c r="M616" s="723">
        <f>IF(A616='Data Entry - SOF'!B$2,'Data Entry - SOF'!M$102,0)</f>
        <v>0</v>
      </c>
      <c r="N616" s="717">
        <f t="shared" si="58"/>
        <v>3546964</v>
      </c>
      <c r="O616" s="944">
        <f>IF(A616='Data Entry - SOF'!B$2,'Report-SOF2122'!D$91,0)</f>
        <v>0</v>
      </c>
      <c r="P616" s="723">
        <f>IF(A616='Data Entry - SOF'!B$2,'Data Entry - SOF'!O$102,0)</f>
        <v>0</v>
      </c>
      <c r="Q616" s="601">
        <f t="shared" si="55"/>
        <v>3546964</v>
      </c>
      <c r="R616" s="944">
        <f>IF(A616='Data Entry - SOF'!B$2,'Report-SOF2223'!D$91,0)</f>
        <v>0</v>
      </c>
      <c r="S616" s="723">
        <f>IF(A616='Data Entry - SOF'!B$2,'Data Entry - SOF'!Q$102,0)</f>
        <v>0</v>
      </c>
      <c r="T616" s="601">
        <f t="shared" si="59"/>
        <v>3546964</v>
      </c>
      <c r="U616" s="944">
        <f>IF(A616='Data Entry - SOF'!B$2,'Report-SOF2324'!D$91,0)</f>
        <v>0</v>
      </c>
      <c r="V616" s="723">
        <f>IF(A616='Data Entry - SOF'!B$2,'Data Entry - SOF'!S$102,0)</f>
        <v>0</v>
      </c>
    </row>
    <row r="617" spans="1:22" ht="15.75">
      <c r="A617" s="382" t="s">
        <v>967</v>
      </c>
      <c r="B617" s="91">
        <v>341732</v>
      </c>
      <c r="C617" s="944">
        <f>IF(A617='Data Entry - SOF'!B$2,'Report-SOF1718'!D$102,0)</f>
        <v>0</v>
      </c>
      <c r="D617" s="1037">
        <f>IF(A617='Data Entry - SOF'!B$2,'Data Entry - SOF'!#REF!,0)</f>
        <v>0</v>
      </c>
      <c r="E617" s="91">
        <f t="shared" si="54"/>
        <v>341732</v>
      </c>
      <c r="F617" s="944">
        <f>IF(A617='Data Entry - SOF'!B$2,'Report-SOF1819'!D$102,0)</f>
        <v>0</v>
      </c>
      <c r="G617" s="1037">
        <f>IF(A617='Data Entry - SOF'!B$2,'Data Entry - SOF'!E$102,0)</f>
        <v>0</v>
      </c>
      <c r="H617" s="1038">
        <f t="shared" si="56"/>
        <v>341732</v>
      </c>
      <c r="I617" s="944">
        <f>IF(A617='Data Entry - SOF'!B$2,'Report-SOF1920-HB3'!D$102,0)</f>
        <v>0</v>
      </c>
      <c r="J617" s="1037">
        <f>IF(A617='Data Entry - SOF'!B$2,'Data Entry - SOF'!G$102,0)</f>
        <v>0</v>
      </c>
      <c r="K617" s="717">
        <f t="shared" si="57"/>
        <v>341732</v>
      </c>
      <c r="L617" s="944">
        <f>IF(A617='Data Entry - SOF'!B$2,'Report-SOF2021'!D$99,0)</f>
        <v>0</v>
      </c>
      <c r="M617" s="723">
        <f>IF(A617='Data Entry - SOF'!B$2,'Data Entry - SOF'!M$102,0)</f>
        <v>0</v>
      </c>
      <c r="N617" s="717">
        <f t="shared" si="58"/>
        <v>341732</v>
      </c>
      <c r="O617" s="944">
        <f>IF(A617='Data Entry - SOF'!B$2,'Report-SOF2122'!D$91,0)</f>
        <v>0</v>
      </c>
      <c r="P617" s="723">
        <f>IF(A617='Data Entry - SOF'!B$2,'Data Entry - SOF'!O$102,0)</f>
        <v>0</v>
      </c>
      <c r="Q617" s="601">
        <f t="shared" si="55"/>
        <v>341732</v>
      </c>
      <c r="R617" s="944">
        <f>IF(A617='Data Entry - SOF'!B$2,'Report-SOF2223'!D$91,0)</f>
        <v>0</v>
      </c>
      <c r="S617" s="723">
        <f>IF(A617='Data Entry - SOF'!B$2,'Data Entry - SOF'!Q$102,0)</f>
        <v>0</v>
      </c>
      <c r="T617" s="601">
        <f t="shared" si="59"/>
        <v>341732</v>
      </c>
      <c r="U617" s="944">
        <f>IF(A617='Data Entry - SOF'!B$2,'Report-SOF2324'!D$91,0)</f>
        <v>0</v>
      </c>
      <c r="V617" s="723">
        <f>IF(A617='Data Entry - SOF'!B$2,'Data Entry - SOF'!S$102,0)</f>
        <v>0</v>
      </c>
    </row>
    <row r="618" spans="1:22" ht="15.75">
      <c r="A618" s="382" t="s">
        <v>1337</v>
      </c>
      <c r="B618" s="91">
        <v>25534631</v>
      </c>
      <c r="C618" s="944">
        <f>IF(A618='Data Entry - SOF'!B$2,'Report-SOF1718'!D$102,0)</f>
        <v>0</v>
      </c>
      <c r="D618" s="1037">
        <f>IF(A618='Data Entry - SOF'!B$2,'Data Entry - SOF'!#REF!,0)</f>
        <v>0</v>
      </c>
      <c r="E618" s="91">
        <f t="shared" si="54"/>
        <v>25534631</v>
      </c>
      <c r="F618" s="944">
        <f>IF(A618='Data Entry - SOF'!B$2,'Report-SOF1819'!D$102,0)</f>
        <v>0</v>
      </c>
      <c r="G618" s="1037">
        <f>IF(A618='Data Entry - SOF'!B$2,'Data Entry - SOF'!E$102,0)</f>
        <v>0</v>
      </c>
      <c r="H618" s="1038">
        <f t="shared" si="56"/>
        <v>25534631</v>
      </c>
      <c r="I618" s="944">
        <f>IF(A618='Data Entry - SOF'!B$2,'Report-SOF1920-HB3'!D$102,0)</f>
        <v>0</v>
      </c>
      <c r="J618" s="1037">
        <f>IF(A618='Data Entry - SOF'!B$2,'Data Entry - SOF'!G$102,0)</f>
        <v>0</v>
      </c>
      <c r="K618" s="717">
        <f t="shared" si="57"/>
        <v>25534631</v>
      </c>
      <c r="L618" s="944">
        <f>IF(A618='Data Entry - SOF'!B$2,'Report-SOF2021'!D$99,0)</f>
        <v>0</v>
      </c>
      <c r="M618" s="723">
        <f>IF(A618='Data Entry - SOF'!B$2,'Data Entry - SOF'!M$102,0)</f>
        <v>0</v>
      </c>
      <c r="N618" s="717">
        <f t="shared" si="58"/>
        <v>25534631</v>
      </c>
      <c r="O618" s="944">
        <f>IF(A618='Data Entry - SOF'!B$2,'Report-SOF2122'!D$91,0)</f>
        <v>0</v>
      </c>
      <c r="P618" s="723">
        <f>IF(A618='Data Entry - SOF'!B$2,'Data Entry - SOF'!O$102,0)</f>
        <v>0</v>
      </c>
      <c r="Q618" s="601">
        <f t="shared" si="55"/>
        <v>25534631</v>
      </c>
      <c r="R618" s="944">
        <f>IF(A618='Data Entry - SOF'!B$2,'Report-SOF2223'!D$91,0)</f>
        <v>0</v>
      </c>
      <c r="S618" s="723">
        <f>IF(A618='Data Entry - SOF'!B$2,'Data Entry - SOF'!Q$102,0)</f>
        <v>0</v>
      </c>
      <c r="T618" s="601">
        <f t="shared" si="59"/>
        <v>25534631</v>
      </c>
      <c r="U618" s="944">
        <f>IF(A618='Data Entry - SOF'!B$2,'Report-SOF2324'!D$91,0)</f>
        <v>0</v>
      </c>
      <c r="V618" s="723">
        <f>IF(A618='Data Entry - SOF'!B$2,'Data Entry - SOF'!S$102,0)</f>
        <v>0</v>
      </c>
    </row>
    <row r="619" spans="1:22" ht="15.75">
      <c r="A619" s="382" t="s">
        <v>1689</v>
      </c>
      <c r="B619" s="91">
        <v>2735134</v>
      </c>
      <c r="C619" s="944">
        <f>IF(A619='Data Entry - SOF'!B$2,'Report-SOF1718'!D$102,0)</f>
        <v>0</v>
      </c>
      <c r="D619" s="1037">
        <f>IF(A619='Data Entry - SOF'!B$2,'Data Entry - SOF'!#REF!,0)</f>
        <v>0</v>
      </c>
      <c r="E619" s="91">
        <f t="shared" si="54"/>
        <v>2735134</v>
      </c>
      <c r="F619" s="944">
        <f>IF(A619='Data Entry - SOF'!B$2,'Report-SOF1819'!D$102,0)</f>
        <v>0</v>
      </c>
      <c r="G619" s="1037">
        <f>IF(A619='Data Entry - SOF'!B$2,'Data Entry - SOF'!E$102,0)</f>
        <v>0</v>
      </c>
      <c r="H619" s="1038">
        <f t="shared" si="56"/>
        <v>2735134</v>
      </c>
      <c r="I619" s="944">
        <f>IF(A619='Data Entry - SOF'!B$2,'Report-SOF1920-HB3'!D$102,0)</f>
        <v>0</v>
      </c>
      <c r="J619" s="1037">
        <f>IF(A619='Data Entry - SOF'!B$2,'Data Entry - SOF'!G$102,0)</f>
        <v>0</v>
      </c>
      <c r="K619" s="717">
        <f t="shared" si="57"/>
        <v>2735134</v>
      </c>
      <c r="L619" s="944">
        <f>IF(A619='Data Entry - SOF'!B$2,'Report-SOF2021'!D$99,0)</f>
        <v>0</v>
      </c>
      <c r="M619" s="723">
        <f>IF(A619='Data Entry - SOF'!B$2,'Data Entry - SOF'!M$102,0)</f>
        <v>0</v>
      </c>
      <c r="N619" s="717">
        <f t="shared" si="58"/>
        <v>2735134</v>
      </c>
      <c r="O619" s="944">
        <f>IF(A619='Data Entry - SOF'!B$2,'Report-SOF2122'!D$91,0)</f>
        <v>0</v>
      </c>
      <c r="P619" s="723">
        <f>IF(A619='Data Entry - SOF'!B$2,'Data Entry - SOF'!O$102,0)</f>
        <v>0</v>
      </c>
      <c r="Q619" s="601">
        <f t="shared" si="55"/>
        <v>2735134</v>
      </c>
      <c r="R619" s="944">
        <f>IF(A619='Data Entry - SOF'!B$2,'Report-SOF2223'!D$91,0)</f>
        <v>0</v>
      </c>
      <c r="S619" s="723">
        <f>IF(A619='Data Entry - SOF'!B$2,'Data Entry - SOF'!Q$102,0)</f>
        <v>0</v>
      </c>
      <c r="T619" s="601">
        <f t="shared" si="59"/>
        <v>2735134</v>
      </c>
      <c r="U619" s="944">
        <f>IF(A619='Data Entry - SOF'!B$2,'Report-SOF2324'!D$91,0)</f>
        <v>0</v>
      </c>
      <c r="V619" s="723">
        <f>IF(A619='Data Entry - SOF'!B$2,'Data Entry - SOF'!S$102,0)</f>
        <v>0</v>
      </c>
    </row>
    <row r="620" spans="1:22" ht="15.75">
      <c r="A620" s="382" t="s">
        <v>1690</v>
      </c>
      <c r="B620" s="91">
        <v>3104080</v>
      </c>
      <c r="C620" s="944">
        <f>IF(A620='Data Entry - SOF'!B$2,'Report-SOF1718'!D$102,0)</f>
        <v>0</v>
      </c>
      <c r="D620" s="1037">
        <f>IF(A620='Data Entry - SOF'!B$2,'Data Entry - SOF'!#REF!,0)</f>
        <v>0</v>
      </c>
      <c r="E620" s="91">
        <f t="shared" si="54"/>
        <v>3104080</v>
      </c>
      <c r="F620" s="944">
        <f>IF(A620='Data Entry - SOF'!B$2,'Report-SOF1819'!D$102,0)</f>
        <v>0</v>
      </c>
      <c r="G620" s="1037">
        <f>IF(A620='Data Entry - SOF'!B$2,'Data Entry - SOF'!E$102,0)</f>
        <v>0</v>
      </c>
      <c r="H620" s="1038">
        <f t="shared" si="56"/>
        <v>3104080</v>
      </c>
      <c r="I620" s="944">
        <f>IF(A620='Data Entry - SOF'!B$2,'Report-SOF1920-HB3'!D$102,0)</f>
        <v>0</v>
      </c>
      <c r="J620" s="1037">
        <f>IF(A620='Data Entry - SOF'!B$2,'Data Entry - SOF'!G$102,0)</f>
        <v>0</v>
      </c>
      <c r="K620" s="717">
        <f t="shared" si="57"/>
        <v>3104080</v>
      </c>
      <c r="L620" s="944">
        <f>IF(A620='Data Entry - SOF'!B$2,'Report-SOF2021'!D$99,0)</f>
        <v>0</v>
      </c>
      <c r="M620" s="723">
        <f>IF(A620='Data Entry - SOF'!B$2,'Data Entry - SOF'!M$102,0)</f>
        <v>0</v>
      </c>
      <c r="N620" s="717">
        <f t="shared" si="58"/>
        <v>3104080</v>
      </c>
      <c r="O620" s="944">
        <f>IF(A620='Data Entry - SOF'!B$2,'Report-SOF2122'!D$91,0)</f>
        <v>0</v>
      </c>
      <c r="P620" s="723">
        <f>IF(A620='Data Entry - SOF'!B$2,'Data Entry - SOF'!O$102,0)</f>
        <v>0</v>
      </c>
      <c r="Q620" s="601">
        <f t="shared" si="55"/>
        <v>3104080</v>
      </c>
      <c r="R620" s="944">
        <f>IF(A620='Data Entry - SOF'!B$2,'Report-SOF2223'!D$91,0)</f>
        <v>0</v>
      </c>
      <c r="S620" s="723">
        <f>IF(A620='Data Entry - SOF'!B$2,'Data Entry - SOF'!Q$102,0)</f>
        <v>0</v>
      </c>
      <c r="T620" s="601">
        <f t="shared" si="59"/>
        <v>3104080</v>
      </c>
      <c r="U620" s="944">
        <f>IF(A620='Data Entry - SOF'!B$2,'Report-SOF2324'!D$91,0)</f>
        <v>0</v>
      </c>
      <c r="V620" s="723">
        <f>IF(A620='Data Entry - SOF'!B$2,'Data Entry - SOF'!S$102,0)</f>
        <v>0</v>
      </c>
    </row>
    <row r="621" spans="1:22" ht="15.75">
      <c r="A621" s="382" t="s">
        <v>2557</v>
      </c>
      <c r="B621" s="91">
        <v>3059262</v>
      </c>
      <c r="C621" s="944">
        <f>IF(A621='Data Entry - SOF'!B$2,'Report-SOF1718'!D$102,0)</f>
        <v>0</v>
      </c>
      <c r="D621" s="1037">
        <f>IF(A621='Data Entry - SOF'!B$2,'Data Entry - SOF'!#REF!,0)</f>
        <v>0</v>
      </c>
      <c r="E621" s="91">
        <f t="shared" si="54"/>
        <v>3059262</v>
      </c>
      <c r="F621" s="944">
        <f>IF(A621='Data Entry - SOF'!B$2,'Report-SOF1819'!D$102,0)</f>
        <v>0</v>
      </c>
      <c r="G621" s="1037">
        <f>IF(A621='Data Entry - SOF'!B$2,'Data Entry - SOF'!E$102,0)</f>
        <v>0</v>
      </c>
      <c r="H621" s="1038">
        <f t="shared" si="56"/>
        <v>3059262</v>
      </c>
      <c r="I621" s="944">
        <f>IF(A621='Data Entry - SOF'!B$2,'Report-SOF1920-HB3'!D$102,0)</f>
        <v>0</v>
      </c>
      <c r="J621" s="1037">
        <f>IF(A621='Data Entry - SOF'!B$2,'Data Entry - SOF'!G$102,0)</f>
        <v>0</v>
      </c>
      <c r="K621" s="717">
        <f t="shared" si="57"/>
        <v>3059262</v>
      </c>
      <c r="L621" s="944">
        <f>IF(A621='Data Entry - SOF'!B$2,'Report-SOF2021'!D$99,0)</f>
        <v>0</v>
      </c>
      <c r="M621" s="723">
        <f>IF(A621='Data Entry - SOF'!B$2,'Data Entry - SOF'!M$102,0)</f>
        <v>0</v>
      </c>
      <c r="N621" s="717">
        <f t="shared" si="58"/>
        <v>3059262</v>
      </c>
      <c r="O621" s="944">
        <f>IF(A621='Data Entry - SOF'!B$2,'Report-SOF2122'!D$91,0)</f>
        <v>0</v>
      </c>
      <c r="P621" s="723">
        <f>IF(A621='Data Entry - SOF'!B$2,'Data Entry - SOF'!O$102,0)</f>
        <v>0</v>
      </c>
      <c r="Q621" s="601">
        <f t="shared" si="55"/>
        <v>3059262</v>
      </c>
      <c r="R621" s="944">
        <f>IF(A621='Data Entry - SOF'!B$2,'Report-SOF2223'!D$91,0)</f>
        <v>0</v>
      </c>
      <c r="S621" s="723">
        <f>IF(A621='Data Entry - SOF'!B$2,'Data Entry - SOF'!Q$102,0)</f>
        <v>0</v>
      </c>
      <c r="T621" s="601">
        <f t="shared" si="59"/>
        <v>3059262</v>
      </c>
      <c r="U621" s="944">
        <f>IF(A621='Data Entry - SOF'!B$2,'Report-SOF2324'!D$91,0)</f>
        <v>0</v>
      </c>
      <c r="V621" s="723">
        <f>IF(A621='Data Entry - SOF'!B$2,'Data Entry - SOF'!S$102,0)</f>
        <v>0</v>
      </c>
    </row>
    <row r="622" spans="1:22" ht="15.75">
      <c r="A622" s="382" t="s">
        <v>2558</v>
      </c>
      <c r="B622" s="91">
        <v>4938683</v>
      </c>
      <c r="C622" s="944">
        <f>IF(A622='Data Entry - SOF'!B$2,'Report-SOF1718'!D$102,0)</f>
        <v>0</v>
      </c>
      <c r="D622" s="1037">
        <f>IF(A622='Data Entry - SOF'!B$2,'Data Entry - SOF'!#REF!,0)</f>
        <v>0</v>
      </c>
      <c r="E622" s="91">
        <f t="shared" si="54"/>
        <v>4938683</v>
      </c>
      <c r="F622" s="944">
        <f>IF(A622='Data Entry - SOF'!B$2,'Report-SOF1819'!D$102,0)</f>
        <v>0</v>
      </c>
      <c r="G622" s="1037">
        <f>IF(A622='Data Entry - SOF'!B$2,'Data Entry - SOF'!E$102,0)</f>
        <v>0</v>
      </c>
      <c r="H622" s="1038">
        <f t="shared" si="56"/>
        <v>4938683</v>
      </c>
      <c r="I622" s="944">
        <f>IF(A622='Data Entry - SOF'!B$2,'Report-SOF1920-HB3'!D$102,0)</f>
        <v>0</v>
      </c>
      <c r="J622" s="1037">
        <f>IF(A622='Data Entry - SOF'!B$2,'Data Entry - SOF'!G$102,0)</f>
        <v>0</v>
      </c>
      <c r="K622" s="717">
        <f t="shared" si="57"/>
        <v>4938683</v>
      </c>
      <c r="L622" s="944">
        <f>IF(A622='Data Entry - SOF'!B$2,'Report-SOF2021'!D$99,0)</f>
        <v>0</v>
      </c>
      <c r="M622" s="723">
        <f>IF(A622='Data Entry - SOF'!B$2,'Data Entry - SOF'!M$102,0)</f>
        <v>0</v>
      </c>
      <c r="N622" s="717">
        <f t="shared" si="58"/>
        <v>4938683</v>
      </c>
      <c r="O622" s="944">
        <f>IF(A622='Data Entry - SOF'!B$2,'Report-SOF2122'!D$91,0)</f>
        <v>0</v>
      </c>
      <c r="P622" s="723">
        <f>IF(A622='Data Entry - SOF'!B$2,'Data Entry - SOF'!O$102,0)</f>
        <v>0</v>
      </c>
      <c r="Q622" s="601">
        <f t="shared" si="55"/>
        <v>4938683</v>
      </c>
      <c r="R622" s="944">
        <f>IF(A622='Data Entry - SOF'!B$2,'Report-SOF2223'!D$91,0)</f>
        <v>0</v>
      </c>
      <c r="S622" s="723">
        <f>IF(A622='Data Entry - SOF'!B$2,'Data Entry - SOF'!Q$102,0)</f>
        <v>0</v>
      </c>
      <c r="T622" s="601">
        <f t="shared" si="59"/>
        <v>4938683</v>
      </c>
      <c r="U622" s="944">
        <f>IF(A622='Data Entry - SOF'!B$2,'Report-SOF2324'!D$91,0)</f>
        <v>0</v>
      </c>
      <c r="V622" s="723">
        <f>IF(A622='Data Entry - SOF'!B$2,'Data Entry - SOF'!S$102,0)</f>
        <v>0</v>
      </c>
    </row>
    <row r="623" spans="1:22" ht="15.75">
      <c r="A623" s="382" t="s">
        <v>2659</v>
      </c>
      <c r="B623" s="91">
        <v>7269283</v>
      </c>
      <c r="C623" s="944">
        <f>IF(A623='Data Entry - SOF'!B$2,'Report-SOF1718'!D$102,0)</f>
        <v>0</v>
      </c>
      <c r="D623" s="1037">
        <f>IF(A623='Data Entry - SOF'!B$2,'Data Entry - SOF'!#REF!,0)</f>
        <v>0</v>
      </c>
      <c r="E623" s="91">
        <f t="shared" si="54"/>
        <v>7269283</v>
      </c>
      <c r="F623" s="944">
        <f>IF(A623='Data Entry - SOF'!B$2,'Report-SOF1819'!D$102,0)</f>
        <v>0</v>
      </c>
      <c r="G623" s="1037">
        <f>IF(A623='Data Entry - SOF'!B$2,'Data Entry - SOF'!E$102,0)</f>
        <v>0</v>
      </c>
      <c r="H623" s="1038">
        <f t="shared" si="56"/>
        <v>7269283</v>
      </c>
      <c r="I623" s="944">
        <f>IF(A623='Data Entry - SOF'!B$2,'Report-SOF1920-HB3'!D$102,0)</f>
        <v>0</v>
      </c>
      <c r="J623" s="1037">
        <f>IF(A623='Data Entry - SOF'!B$2,'Data Entry - SOF'!G$102,0)</f>
        <v>0</v>
      </c>
      <c r="K623" s="717">
        <f t="shared" si="57"/>
        <v>7269283</v>
      </c>
      <c r="L623" s="944">
        <f>IF(A623='Data Entry - SOF'!B$2,'Report-SOF2021'!D$99,0)</f>
        <v>0</v>
      </c>
      <c r="M623" s="723">
        <f>IF(A623='Data Entry - SOF'!B$2,'Data Entry - SOF'!M$102,0)</f>
        <v>0</v>
      </c>
      <c r="N623" s="717">
        <f t="shared" si="58"/>
        <v>7269283</v>
      </c>
      <c r="O623" s="944">
        <f>IF(A623='Data Entry - SOF'!B$2,'Report-SOF2122'!D$91,0)</f>
        <v>0</v>
      </c>
      <c r="P623" s="723">
        <f>IF(A623='Data Entry - SOF'!B$2,'Data Entry - SOF'!O$102,0)</f>
        <v>0</v>
      </c>
      <c r="Q623" s="601">
        <f t="shared" si="55"/>
        <v>7269283</v>
      </c>
      <c r="R623" s="944">
        <f>IF(A623='Data Entry - SOF'!B$2,'Report-SOF2223'!D$91,0)</f>
        <v>0</v>
      </c>
      <c r="S623" s="723">
        <f>IF(A623='Data Entry - SOF'!B$2,'Data Entry - SOF'!Q$102,0)</f>
        <v>0</v>
      </c>
      <c r="T623" s="601">
        <f t="shared" si="59"/>
        <v>7269283</v>
      </c>
      <c r="U623" s="944">
        <f>IF(A623='Data Entry - SOF'!B$2,'Report-SOF2324'!D$91,0)</f>
        <v>0</v>
      </c>
      <c r="V623" s="723">
        <f>IF(A623='Data Entry - SOF'!B$2,'Data Entry - SOF'!S$102,0)</f>
        <v>0</v>
      </c>
    </row>
    <row r="624" spans="1:22" ht="15.75">
      <c r="A624" s="382" t="s">
        <v>837</v>
      </c>
      <c r="B624" s="91">
        <v>11061989</v>
      </c>
      <c r="C624" s="944">
        <f>IF(A624='Data Entry - SOF'!B$2,'Report-SOF1718'!D$102,0)</f>
        <v>0</v>
      </c>
      <c r="D624" s="1037">
        <f>IF(A624='Data Entry - SOF'!B$2,'Data Entry - SOF'!#REF!,0)</f>
        <v>0</v>
      </c>
      <c r="E624" s="91">
        <f t="shared" si="54"/>
        <v>11061989</v>
      </c>
      <c r="F624" s="944">
        <f>IF(A624='Data Entry - SOF'!B$2,'Report-SOF1819'!D$102,0)</f>
        <v>0</v>
      </c>
      <c r="G624" s="1037">
        <f>IF(A624='Data Entry - SOF'!B$2,'Data Entry - SOF'!E$102,0)</f>
        <v>0</v>
      </c>
      <c r="H624" s="1038">
        <f t="shared" si="56"/>
        <v>11061989</v>
      </c>
      <c r="I624" s="944">
        <f>IF(A624='Data Entry - SOF'!B$2,'Report-SOF1920-HB3'!D$102,0)</f>
        <v>0</v>
      </c>
      <c r="J624" s="1037">
        <f>IF(A624='Data Entry - SOF'!B$2,'Data Entry - SOF'!G$102,0)</f>
        <v>0</v>
      </c>
      <c r="K624" s="717">
        <f t="shared" si="57"/>
        <v>11061989</v>
      </c>
      <c r="L624" s="944">
        <f>IF(A624='Data Entry - SOF'!B$2,'Report-SOF2021'!D$99,0)</f>
        <v>0</v>
      </c>
      <c r="M624" s="723">
        <f>IF(A624='Data Entry - SOF'!B$2,'Data Entry - SOF'!M$102,0)</f>
        <v>0</v>
      </c>
      <c r="N624" s="717">
        <f t="shared" si="58"/>
        <v>11061989</v>
      </c>
      <c r="O624" s="944">
        <f>IF(A624='Data Entry - SOF'!B$2,'Report-SOF2122'!D$91,0)</f>
        <v>0</v>
      </c>
      <c r="P624" s="723">
        <f>IF(A624='Data Entry - SOF'!B$2,'Data Entry - SOF'!O$102,0)</f>
        <v>0</v>
      </c>
      <c r="Q624" s="601">
        <f t="shared" si="55"/>
        <v>11061989</v>
      </c>
      <c r="R624" s="944">
        <f>IF(A624='Data Entry - SOF'!B$2,'Report-SOF2223'!D$91,0)</f>
        <v>0</v>
      </c>
      <c r="S624" s="723">
        <f>IF(A624='Data Entry - SOF'!B$2,'Data Entry - SOF'!Q$102,0)</f>
        <v>0</v>
      </c>
      <c r="T624" s="601">
        <f t="shared" si="59"/>
        <v>11061989</v>
      </c>
      <c r="U624" s="944">
        <f>IF(A624='Data Entry - SOF'!B$2,'Report-SOF2324'!D$91,0)</f>
        <v>0</v>
      </c>
      <c r="V624" s="723">
        <f>IF(A624='Data Entry - SOF'!B$2,'Data Entry - SOF'!S$102,0)</f>
        <v>0</v>
      </c>
    </row>
    <row r="625" spans="1:22" ht="15.75">
      <c r="A625" s="382" t="s">
        <v>82</v>
      </c>
      <c r="B625" s="91">
        <v>18631956.291367199</v>
      </c>
      <c r="C625" s="944">
        <f>IF(A625='Data Entry - SOF'!B$2,'Report-SOF1718'!D$102,0)</f>
        <v>0</v>
      </c>
      <c r="D625" s="1037">
        <f>IF(A625='Data Entry - SOF'!B$2,'Data Entry - SOF'!#REF!,0)</f>
        <v>0</v>
      </c>
      <c r="E625" s="91">
        <f t="shared" si="54"/>
        <v>18631956.291367199</v>
      </c>
      <c r="F625" s="944">
        <f>IF(A625='Data Entry - SOF'!B$2,'Report-SOF1819'!D$102,0)</f>
        <v>0</v>
      </c>
      <c r="G625" s="1037">
        <f>IF(A625='Data Entry - SOF'!B$2,'Data Entry - SOF'!E$102,0)</f>
        <v>0</v>
      </c>
      <c r="H625" s="1038">
        <f t="shared" si="56"/>
        <v>18631956.291367199</v>
      </c>
      <c r="I625" s="944">
        <f>IF(A625='Data Entry - SOF'!B$2,'Report-SOF1920-HB3'!D$102,0)</f>
        <v>0</v>
      </c>
      <c r="J625" s="1037">
        <f>IF(A625='Data Entry - SOF'!B$2,'Data Entry - SOF'!G$102,0)</f>
        <v>0</v>
      </c>
      <c r="K625" s="717">
        <f t="shared" si="57"/>
        <v>18631956.291367199</v>
      </c>
      <c r="L625" s="944">
        <f>IF(A625='Data Entry - SOF'!B$2,'Report-SOF2021'!D$99,0)</f>
        <v>0</v>
      </c>
      <c r="M625" s="723">
        <f>IF(A625='Data Entry - SOF'!B$2,'Data Entry - SOF'!M$102,0)</f>
        <v>0</v>
      </c>
      <c r="N625" s="717">
        <f t="shared" si="58"/>
        <v>18631956.291367199</v>
      </c>
      <c r="O625" s="944">
        <f>IF(A625='Data Entry - SOF'!B$2,'Report-SOF2122'!D$91,0)</f>
        <v>0</v>
      </c>
      <c r="P625" s="723">
        <f>IF(A625='Data Entry - SOF'!B$2,'Data Entry - SOF'!O$102,0)</f>
        <v>0</v>
      </c>
      <c r="Q625" s="601">
        <f t="shared" si="55"/>
        <v>18631956.291367199</v>
      </c>
      <c r="R625" s="944">
        <f>IF(A625='Data Entry - SOF'!B$2,'Report-SOF2223'!D$91,0)</f>
        <v>0</v>
      </c>
      <c r="S625" s="723">
        <f>IF(A625='Data Entry - SOF'!B$2,'Data Entry - SOF'!Q$102,0)</f>
        <v>0</v>
      </c>
      <c r="T625" s="601">
        <f t="shared" si="59"/>
        <v>18631956.291367199</v>
      </c>
      <c r="U625" s="944">
        <f>IF(A625='Data Entry - SOF'!B$2,'Report-SOF2324'!D$91,0)</f>
        <v>0</v>
      </c>
      <c r="V625" s="723">
        <f>IF(A625='Data Entry - SOF'!B$2,'Data Entry - SOF'!S$102,0)</f>
        <v>0</v>
      </c>
    </row>
    <row r="626" spans="1:22" ht="15.75">
      <c r="A626" s="382" t="s">
        <v>83</v>
      </c>
      <c r="B626" s="91">
        <v>46180616</v>
      </c>
      <c r="C626" s="944">
        <f>IF(A626='Data Entry - SOF'!B$2,'Report-SOF1718'!D$102,0)</f>
        <v>0</v>
      </c>
      <c r="D626" s="1037">
        <f>IF(A626='Data Entry - SOF'!B$2,'Data Entry - SOF'!#REF!,0)</f>
        <v>0</v>
      </c>
      <c r="E626" s="91">
        <f t="shared" si="54"/>
        <v>46180616</v>
      </c>
      <c r="F626" s="944">
        <f>IF(A626='Data Entry - SOF'!B$2,'Report-SOF1819'!D$102,0)</f>
        <v>0</v>
      </c>
      <c r="G626" s="1037">
        <f>IF(A626='Data Entry - SOF'!B$2,'Data Entry - SOF'!E$102,0)</f>
        <v>0</v>
      </c>
      <c r="H626" s="1038">
        <f t="shared" si="56"/>
        <v>46180616</v>
      </c>
      <c r="I626" s="944">
        <f>IF(A626='Data Entry - SOF'!B$2,'Report-SOF1920-HB3'!D$102,0)</f>
        <v>0</v>
      </c>
      <c r="J626" s="1037">
        <f>IF(A626='Data Entry - SOF'!B$2,'Data Entry - SOF'!G$102,0)</f>
        <v>0</v>
      </c>
      <c r="K626" s="717">
        <f t="shared" si="57"/>
        <v>46180616</v>
      </c>
      <c r="L626" s="944">
        <f>IF(A626='Data Entry - SOF'!B$2,'Report-SOF2021'!D$99,0)</f>
        <v>0</v>
      </c>
      <c r="M626" s="723">
        <f>IF(A626='Data Entry - SOF'!B$2,'Data Entry - SOF'!M$102,0)</f>
        <v>0</v>
      </c>
      <c r="N626" s="717">
        <f t="shared" si="58"/>
        <v>46180616</v>
      </c>
      <c r="O626" s="944">
        <f>IF(A626='Data Entry - SOF'!B$2,'Report-SOF2122'!D$91,0)</f>
        <v>0</v>
      </c>
      <c r="P626" s="723">
        <f>IF(A626='Data Entry - SOF'!B$2,'Data Entry - SOF'!O$102,0)</f>
        <v>0</v>
      </c>
      <c r="Q626" s="601">
        <f t="shared" si="55"/>
        <v>46180616</v>
      </c>
      <c r="R626" s="944">
        <f>IF(A626='Data Entry - SOF'!B$2,'Report-SOF2223'!D$91,0)</f>
        <v>0</v>
      </c>
      <c r="S626" s="723">
        <f>IF(A626='Data Entry - SOF'!B$2,'Data Entry - SOF'!Q$102,0)</f>
        <v>0</v>
      </c>
      <c r="T626" s="601">
        <f t="shared" si="59"/>
        <v>46180616</v>
      </c>
      <c r="U626" s="944">
        <f>IF(A626='Data Entry - SOF'!B$2,'Report-SOF2324'!D$91,0)</f>
        <v>0</v>
      </c>
      <c r="V626" s="723">
        <f>IF(A626='Data Entry - SOF'!B$2,'Data Entry - SOF'!S$102,0)</f>
        <v>0</v>
      </c>
    </row>
    <row r="627" spans="1:22" ht="15.75">
      <c r="A627" s="382" t="s">
        <v>2284</v>
      </c>
      <c r="B627" s="91">
        <v>96351282</v>
      </c>
      <c r="C627" s="944">
        <f>IF(A627='Data Entry - SOF'!B$2,'Report-SOF1718'!D$102,0)</f>
        <v>0</v>
      </c>
      <c r="D627" s="1037">
        <f>IF(A627='Data Entry - SOF'!B$2,'Data Entry - SOF'!#REF!,0)</f>
        <v>0</v>
      </c>
      <c r="E627" s="91">
        <f t="shared" si="54"/>
        <v>96351282</v>
      </c>
      <c r="F627" s="944">
        <f>IF(A627='Data Entry - SOF'!B$2,'Report-SOF1819'!D$102,0)</f>
        <v>0</v>
      </c>
      <c r="G627" s="1037">
        <f>IF(A627='Data Entry - SOF'!B$2,'Data Entry - SOF'!E$102,0)</f>
        <v>0</v>
      </c>
      <c r="H627" s="1038">
        <f t="shared" si="56"/>
        <v>96351282</v>
      </c>
      <c r="I627" s="944">
        <f>IF(A627='Data Entry - SOF'!B$2,'Report-SOF1920-HB3'!D$102,0)</f>
        <v>0</v>
      </c>
      <c r="J627" s="1037">
        <f>IF(A627='Data Entry - SOF'!B$2,'Data Entry - SOF'!G$102,0)</f>
        <v>0</v>
      </c>
      <c r="K627" s="717">
        <f t="shared" si="57"/>
        <v>96351282</v>
      </c>
      <c r="L627" s="944">
        <f>IF(A627='Data Entry - SOF'!B$2,'Report-SOF2021'!D$99,0)</f>
        <v>0</v>
      </c>
      <c r="M627" s="723">
        <f>IF(A627='Data Entry - SOF'!B$2,'Data Entry - SOF'!M$102,0)</f>
        <v>0</v>
      </c>
      <c r="N627" s="717">
        <f t="shared" si="58"/>
        <v>96351282</v>
      </c>
      <c r="O627" s="944">
        <f>IF(A627='Data Entry - SOF'!B$2,'Report-SOF2122'!D$91,0)</f>
        <v>0</v>
      </c>
      <c r="P627" s="723">
        <f>IF(A627='Data Entry - SOF'!B$2,'Data Entry - SOF'!O$102,0)</f>
        <v>0</v>
      </c>
      <c r="Q627" s="601">
        <f t="shared" si="55"/>
        <v>96351282</v>
      </c>
      <c r="R627" s="944">
        <f>IF(A627='Data Entry - SOF'!B$2,'Report-SOF2223'!D$91,0)</f>
        <v>0</v>
      </c>
      <c r="S627" s="723">
        <f>IF(A627='Data Entry - SOF'!B$2,'Data Entry - SOF'!Q$102,0)</f>
        <v>0</v>
      </c>
      <c r="T627" s="601">
        <f t="shared" si="59"/>
        <v>96351282</v>
      </c>
      <c r="U627" s="944">
        <f>IF(A627='Data Entry - SOF'!B$2,'Report-SOF2324'!D$91,0)</f>
        <v>0</v>
      </c>
      <c r="V627" s="723">
        <f>IF(A627='Data Entry - SOF'!B$2,'Data Entry - SOF'!S$102,0)</f>
        <v>0</v>
      </c>
    </row>
    <row r="628" spans="1:22" ht="15.75">
      <c r="A628" s="382" t="s">
        <v>2410</v>
      </c>
      <c r="B628" s="91">
        <v>1561647</v>
      </c>
      <c r="C628" s="944">
        <f>IF(A628='Data Entry - SOF'!B$2,'Report-SOF1718'!D$102,0)</f>
        <v>0</v>
      </c>
      <c r="D628" s="1037">
        <f>IF(A628='Data Entry - SOF'!B$2,'Data Entry - SOF'!#REF!,0)</f>
        <v>0</v>
      </c>
      <c r="E628" s="91">
        <f t="shared" si="54"/>
        <v>1561647</v>
      </c>
      <c r="F628" s="944">
        <f>IF(A628='Data Entry - SOF'!B$2,'Report-SOF1819'!D$102,0)</f>
        <v>0</v>
      </c>
      <c r="G628" s="1037">
        <f>IF(A628='Data Entry - SOF'!B$2,'Data Entry - SOF'!E$102,0)</f>
        <v>0</v>
      </c>
      <c r="H628" s="1038">
        <f t="shared" si="56"/>
        <v>1561647</v>
      </c>
      <c r="I628" s="944">
        <f>IF(A628='Data Entry - SOF'!B$2,'Report-SOF1920-HB3'!D$102,0)</f>
        <v>0</v>
      </c>
      <c r="J628" s="1037">
        <f>IF(A628='Data Entry - SOF'!B$2,'Data Entry - SOF'!G$102,0)</f>
        <v>0</v>
      </c>
      <c r="K628" s="717">
        <f t="shared" si="57"/>
        <v>1561647</v>
      </c>
      <c r="L628" s="944">
        <f>IF(A628='Data Entry - SOF'!B$2,'Report-SOF2021'!D$99,0)</f>
        <v>0</v>
      </c>
      <c r="M628" s="723">
        <f>IF(A628='Data Entry - SOF'!B$2,'Data Entry - SOF'!M$102,0)</f>
        <v>0</v>
      </c>
      <c r="N628" s="717">
        <f t="shared" si="58"/>
        <v>1561647</v>
      </c>
      <c r="O628" s="944">
        <f>IF(A628='Data Entry - SOF'!B$2,'Report-SOF2122'!D$91,0)</f>
        <v>0</v>
      </c>
      <c r="P628" s="723">
        <f>IF(A628='Data Entry - SOF'!B$2,'Data Entry - SOF'!O$102,0)</f>
        <v>0</v>
      </c>
      <c r="Q628" s="601">
        <f t="shared" si="55"/>
        <v>1561647</v>
      </c>
      <c r="R628" s="944">
        <f>IF(A628='Data Entry - SOF'!B$2,'Report-SOF2223'!D$91,0)</f>
        <v>0</v>
      </c>
      <c r="S628" s="723">
        <f>IF(A628='Data Entry - SOF'!B$2,'Data Entry - SOF'!Q$102,0)</f>
        <v>0</v>
      </c>
      <c r="T628" s="601">
        <f t="shared" si="59"/>
        <v>1561647</v>
      </c>
      <c r="U628" s="944">
        <f>IF(A628='Data Entry - SOF'!B$2,'Report-SOF2324'!D$91,0)</f>
        <v>0</v>
      </c>
      <c r="V628" s="723">
        <f>IF(A628='Data Entry - SOF'!B$2,'Data Entry - SOF'!S$102,0)</f>
        <v>0</v>
      </c>
    </row>
    <row r="629" spans="1:22" ht="15.75">
      <c r="A629" s="382" t="s">
        <v>2411</v>
      </c>
      <c r="B629" s="91">
        <v>4081810</v>
      </c>
      <c r="C629" s="944">
        <f>IF(A629='Data Entry - SOF'!B$2,'Report-SOF1718'!D$102,0)</f>
        <v>0</v>
      </c>
      <c r="D629" s="1037">
        <f>IF(A629='Data Entry - SOF'!B$2,'Data Entry - SOF'!#REF!,0)</f>
        <v>0</v>
      </c>
      <c r="E629" s="91">
        <f t="shared" si="54"/>
        <v>4081810</v>
      </c>
      <c r="F629" s="944">
        <f>IF(A629='Data Entry - SOF'!B$2,'Report-SOF1819'!D$102,0)</f>
        <v>0</v>
      </c>
      <c r="G629" s="1037">
        <f>IF(A629='Data Entry - SOF'!B$2,'Data Entry - SOF'!E$102,0)</f>
        <v>0</v>
      </c>
      <c r="H629" s="1038">
        <f t="shared" si="56"/>
        <v>4081810</v>
      </c>
      <c r="I629" s="944">
        <f>IF(A629='Data Entry - SOF'!B$2,'Report-SOF1920-HB3'!D$102,0)</f>
        <v>0</v>
      </c>
      <c r="J629" s="1037">
        <f>IF(A629='Data Entry - SOF'!B$2,'Data Entry - SOF'!G$102,0)</f>
        <v>0</v>
      </c>
      <c r="K629" s="717">
        <f t="shared" si="57"/>
        <v>4081810</v>
      </c>
      <c r="L629" s="944">
        <f>IF(A629='Data Entry - SOF'!B$2,'Report-SOF2021'!D$99,0)</f>
        <v>0</v>
      </c>
      <c r="M629" s="723">
        <f>IF(A629='Data Entry - SOF'!B$2,'Data Entry - SOF'!M$102,0)</f>
        <v>0</v>
      </c>
      <c r="N629" s="717">
        <f t="shared" si="58"/>
        <v>4081810</v>
      </c>
      <c r="O629" s="944">
        <f>IF(A629='Data Entry - SOF'!B$2,'Report-SOF2122'!D$91,0)</f>
        <v>0</v>
      </c>
      <c r="P629" s="723">
        <f>IF(A629='Data Entry - SOF'!B$2,'Data Entry - SOF'!O$102,0)</f>
        <v>0</v>
      </c>
      <c r="Q629" s="601">
        <f t="shared" si="55"/>
        <v>4081810</v>
      </c>
      <c r="R629" s="944">
        <f>IF(A629='Data Entry - SOF'!B$2,'Report-SOF2223'!D$91,0)</f>
        <v>0</v>
      </c>
      <c r="S629" s="723">
        <f>IF(A629='Data Entry - SOF'!B$2,'Data Entry - SOF'!Q$102,0)</f>
        <v>0</v>
      </c>
      <c r="T629" s="601">
        <f t="shared" si="59"/>
        <v>4081810</v>
      </c>
      <c r="U629" s="944">
        <f>IF(A629='Data Entry - SOF'!B$2,'Report-SOF2324'!D$91,0)</f>
        <v>0</v>
      </c>
      <c r="V629" s="723">
        <f>IF(A629='Data Entry - SOF'!B$2,'Data Entry - SOF'!S$102,0)</f>
        <v>0</v>
      </c>
    </row>
    <row r="630" spans="1:22" ht="15.75">
      <c r="A630" s="382" t="s">
        <v>2104</v>
      </c>
      <c r="B630" s="91">
        <v>56269663</v>
      </c>
      <c r="C630" s="944">
        <f>IF(A630='Data Entry - SOF'!B$2,'Report-SOF1718'!D$102,0)</f>
        <v>0</v>
      </c>
      <c r="D630" s="1037">
        <f>IF(A630='Data Entry - SOF'!B$2,'Data Entry - SOF'!#REF!,0)</f>
        <v>0</v>
      </c>
      <c r="E630" s="91">
        <f t="shared" si="54"/>
        <v>56269663</v>
      </c>
      <c r="F630" s="944">
        <f>IF(A630='Data Entry - SOF'!B$2,'Report-SOF1819'!D$102,0)</f>
        <v>0</v>
      </c>
      <c r="G630" s="1037">
        <f>IF(A630='Data Entry - SOF'!B$2,'Data Entry - SOF'!E$102,0)</f>
        <v>0</v>
      </c>
      <c r="H630" s="1038">
        <f t="shared" si="56"/>
        <v>56269663</v>
      </c>
      <c r="I630" s="944">
        <f>IF(A630='Data Entry - SOF'!B$2,'Report-SOF1920-HB3'!D$102,0)</f>
        <v>0</v>
      </c>
      <c r="J630" s="1037">
        <f>IF(A630='Data Entry - SOF'!B$2,'Data Entry - SOF'!G$102,0)</f>
        <v>0</v>
      </c>
      <c r="K630" s="717">
        <f t="shared" si="57"/>
        <v>56269663</v>
      </c>
      <c r="L630" s="944">
        <f>IF(A630='Data Entry - SOF'!B$2,'Report-SOF2021'!D$99,0)</f>
        <v>0</v>
      </c>
      <c r="M630" s="723">
        <f>IF(A630='Data Entry - SOF'!B$2,'Data Entry - SOF'!M$102,0)</f>
        <v>0</v>
      </c>
      <c r="N630" s="717">
        <f t="shared" si="58"/>
        <v>56269663</v>
      </c>
      <c r="O630" s="944">
        <f>IF(A630='Data Entry - SOF'!B$2,'Report-SOF2122'!D$91,0)</f>
        <v>0</v>
      </c>
      <c r="P630" s="723">
        <f>IF(A630='Data Entry - SOF'!B$2,'Data Entry - SOF'!O$102,0)</f>
        <v>0</v>
      </c>
      <c r="Q630" s="601">
        <f t="shared" si="55"/>
        <v>56269663</v>
      </c>
      <c r="R630" s="944">
        <f>IF(A630='Data Entry - SOF'!B$2,'Report-SOF2223'!D$91,0)</f>
        <v>0</v>
      </c>
      <c r="S630" s="723">
        <f>IF(A630='Data Entry - SOF'!B$2,'Data Entry - SOF'!Q$102,0)</f>
        <v>0</v>
      </c>
      <c r="T630" s="601">
        <f t="shared" si="59"/>
        <v>56269663</v>
      </c>
      <c r="U630" s="944">
        <f>IF(A630='Data Entry - SOF'!B$2,'Report-SOF2324'!D$91,0)</f>
        <v>0</v>
      </c>
      <c r="V630" s="723">
        <f>IF(A630='Data Entry - SOF'!B$2,'Data Entry - SOF'!S$102,0)</f>
        <v>0</v>
      </c>
    </row>
    <row r="631" spans="1:22" ht="15.75">
      <c r="A631" s="382" t="s">
        <v>1423</v>
      </c>
      <c r="B631" s="91">
        <v>60214219</v>
      </c>
      <c r="C631" s="944">
        <f>IF(A631='Data Entry - SOF'!B$2,'Report-SOF1718'!D$102,0)</f>
        <v>0</v>
      </c>
      <c r="D631" s="1037">
        <f>IF(A631='Data Entry - SOF'!B$2,'Data Entry - SOF'!#REF!,0)</f>
        <v>0</v>
      </c>
      <c r="E631" s="91">
        <f t="shared" si="54"/>
        <v>60214219</v>
      </c>
      <c r="F631" s="944">
        <f>IF(A631='Data Entry - SOF'!B$2,'Report-SOF1819'!D$102,0)</f>
        <v>0</v>
      </c>
      <c r="G631" s="1037">
        <f>IF(A631='Data Entry - SOF'!B$2,'Data Entry - SOF'!E$102,0)</f>
        <v>0</v>
      </c>
      <c r="H631" s="1038">
        <f t="shared" si="56"/>
        <v>60214219</v>
      </c>
      <c r="I631" s="944">
        <f>IF(A631='Data Entry - SOF'!B$2,'Report-SOF1920-HB3'!D$102,0)</f>
        <v>0</v>
      </c>
      <c r="J631" s="1037">
        <f>IF(A631='Data Entry - SOF'!B$2,'Data Entry - SOF'!G$102,0)</f>
        <v>0</v>
      </c>
      <c r="K631" s="717">
        <f t="shared" si="57"/>
        <v>60214219</v>
      </c>
      <c r="L631" s="944">
        <f>IF(A631='Data Entry - SOF'!B$2,'Report-SOF2021'!D$99,0)</f>
        <v>0</v>
      </c>
      <c r="M631" s="723">
        <f>IF(A631='Data Entry - SOF'!B$2,'Data Entry - SOF'!M$102,0)</f>
        <v>0</v>
      </c>
      <c r="N631" s="717">
        <f t="shared" si="58"/>
        <v>60214219</v>
      </c>
      <c r="O631" s="944">
        <f>IF(A631='Data Entry - SOF'!B$2,'Report-SOF2122'!D$91,0)</f>
        <v>0</v>
      </c>
      <c r="P631" s="723">
        <f>IF(A631='Data Entry - SOF'!B$2,'Data Entry - SOF'!O$102,0)</f>
        <v>0</v>
      </c>
      <c r="Q631" s="601">
        <f t="shared" si="55"/>
        <v>60214219</v>
      </c>
      <c r="R631" s="944">
        <f>IF(A631='Data Entry - SOF'!B$2,'Report-SOF2223'!D$91,0)</f>
        <v>0</v>
      </c>
      <c r="S631" s="723">
        <f>IF(A631='Data Entry - SOF'!B$2,'Data Entry - SOF'!Q$102,0)</f>
        <v>0</v>
      </c>
      <c r="T631" s="601">
        <f t="shared" si="59"/>
        <v>60214219</v>
      </c>
      <c r="U631" s="944">
        <f>IF(A631='Data Entry - SOF'!B$2,'Report-SOF2324'!D$91,0)</f>
        <v>0</v>
      </c>
      <c r="V631" s="723">
        <f>IF(A631='Data Entry - SOF'!B$2,'Data Entry - SOF'!S$102,0)</f>
        <v>0</v>
      </c>
    </row>
    <row r="632" spans="1:22" ht="15.75">
      <c r="A632" s="382" t="s">
        <v>2412</v>
      </c>
      <c r="B632" s="91">
        <v>2406017</v>
      </c>
      <c r="C632" s="944">
        <f>IF(A632='Data Entry - SOF'!B$2,'Report-SOF1718'!D$102,0)</f>
        <v>0</v>
      </c>
      <c r="D632" s="1037">
        <f>IF(A632='Data Entry - SOF'!B$2,'Data Entry - SOF'!#REF!,0)</f>
        <v>0</v>
      </c>
      <c r="E632" s="91">
        <f t="shared" si="54"/>
        <v>2406017</v>
      </c>
      <c r="F632" s="944">
        <f>IF(A632='Data Entry - SOF'!B$2,'Report-SOF1819'!D$102,0)</f>
        <v>0</v>
      </c>
      <c r="G632" s="1037">
        <f>IF(A632='Data Entry - SOF'!B$2,'Data Entry - SOF'!E$102,0)</f>
        <v>0</v>
      </c>
      <c r="H632" s="1038">
        <f t="shared" si="56"/>
        <v>2406017</v>
      </c>
      <c r="I632" s="944">
        <f>IF(A632='Data Entry - SOF'!B$2,'Report-SOF1920-HB3'!D$102,0)</f>
        <v>0</v>
      </c>
      <c r="J632" s="1037">
        <f>IF(A632='Data Entry - SOF'!B$2,'Data Entry - SOF'!G$102,0)</f>
        <v>0</v>
      </c>
      <c r="K632" s="717">
        <f t="shared" si="57"/>
        <v>2406017</v>
      </c>
      <c r="L632" s="944">
        <f>IF(A632='Data Entry - SOF'!B$2,'Report-SOF2021'!D$99,0)</f>
        <v>0</v>
      </c>
      <c r="M632" s="723">
        <f>IF(A632='Data Entry - SOF'!B$2,'Data Entry - SOF'!M$102,0)</f>
        <v>0</v>
      </c>
      <c r="N632" s="717">
        <f t="shared" si="58"/>
        <v>2406017</v>
      </c>
      <c r="O632" s="944">
        <f>IF(A632='Data Entry - SOF'!B$2,'Report-SOF2122'!D$91,0)</f>
        <v>0</v>
      </c>
      <c r="P632" s="723">
        <f>IF(A632='Data Entry - SOF'!B$2,'Data Entry - SOF'!O$102,0)</f>
        <v>0</v>
      </c>
      <c r="Q632" s="601">
        <f t="shared" si="55"/>
        <v>2406017</v>
      </c>
      <c r="R632" s="944">
        <f>IF(A632='Data Entry - SOF'!B$2,'Report-SOF2223'!D$91,0)</f>
        <v>0</v>
      </c>
      <c r="S632" s="723">
        <f>IF(A632='Data Entry - SOF'!B$2,'Data Entry - SOF'!Q$102,0)</f>
        <v>0</v>
      </c>
      <c r="T632" s="601">
        <f t="shared" si="59"/>
        <v>2406017</v>
      </c>
      <c r="U632" s="944">
        <f>IF(A632='Data Entry - SOF'!B$2,'Report-SOF2324'!D$91,0)</f>
        <v>0</v>
      </c>
      <c r="V632" s="723">
        <f>IF(A632='Data Entry - SOF'!B$2,'Data Entry - SOF'!S$102,0)</f>
        <v>0</v>
      </c>
    </row>
    <row r="633" spans="1:22" ht="15.75">
      <c r="A633" s="382" t="s">
        <v>496</v>
      </c>
      <c r="B633" s="91">
        <v>2821883</v>
      </c>
      <c r="C633" s="944">
        <f>IF(A633='Data Entry - SOF'!B$2,'Report-SOF1718'!D$102,0)</f>
        <v>0</v>
      </c>
      <c r="D633" s="1037">
        <f>IF(A633='Data Entry - SOF'!B$2,'Data Entry - SOF'!#REF!,0)</f>
        <v>0</v>
      </c>
      <c r="E633" s="91">
        <f t="shared" si="54"/>
        <v>2821883</v>
      </c>
      <c r="F633" s="944">
        <f>IF(A633='Data Entry - SOF'!B$2,'Report-SOF1819'!D$102,0)</f>
        <v>0</v>
      </c>
      <c r="G633" s="1037">
        <f>IF(A633='Data Entry - SOF'!B$2,'Data Entry - SOF'!E$102,0)</f>
        <v>0</v>
      </c>
      <c r="H633" s="1038">
        <f t="shared" si="56"/>
        <v>2821883</v>
      </c>
      <c r="I633" s="944">
        <f>IF(A633='Data Entry - SOF'!B$2,'Report-SOF1920-HB3'!D$102,0)</f>
        <v>0</v>
      </c>
      <c r="J633" s="1037">
        <f>IF(A633='Data Entry - SOF'!B$2,'Data Entry - SOF'!G$102,0)</f>
        <v>0</v>
      </c>
      <c r="K633" s="717">
        <f t="shared" si="57"/>
        <v>2821883</v>
      </c>
      <c r="L633" s="944">
        <f>IF(A633='Data Entry - SOF'!B$2,'Report-SOF2021'!D$99,0)</f>
        <v>0</v>
      </c>
      <c r="M633" s="723">
        <f>IF(A633='Data Entry - SOF'!B$2,'Data Entry - SOF'!M$102,0)</f>
        <v>0</v>
      </c>
      <c r="N633" s="717">
        <f t="shared" si="58"/>
        <v>2821883</v>
      </c>
      <c r="O633" s="944">
        <f>IF(A633='Data Entry - SOF'!B$2,'Report-SOF2122'!D$91,0)</f>
        <v>0</v>
      </c>
      <c r="P633" s="723">
        <f>IF(A633='Data Entry - SOF'!B$2,'Data Entry - SOF'!O$102,0)</f>
        <v>0</v>
      </c>
      <c r="Q633" s="601">
        <f t="shared" si="55"/>
        <v>2821883</v>
      </c>
      <c r="R633" s="944">
        <f>IF(A633='Data Entry - SOF'!B$2,'Report-SOF2223'!D$91,0)</f>
        <v>0</v>
      </c>
      <c r="S633" s="723">
        <f>IF(A633='Data Entry - SOF'!B$2,'Data Entry - SOF'!Q$102,0)</f>
        <v>0</v>
      </c>
      <c r="T633" s="601">
        <f t="shared" si="59"/>
        <v>2821883</v>
      </c>
      <c r="U633" s="944">
        <f>IF(A633='Data Entry - SOF'!B$2,'Report-SOF2324'!D$91,0)</f>
        <v>0</v>
      </c>
      <c r="V633" s="723">
        <f>IF(A633='Data Entry - SOF'!B$2,'Data Entry - SOF'!S$102,0)</f>
        <v>0</v>
      </c>
    </row>
    <row r="634" spans="1:22" ht="15.75">
      <c r="A634" s="382" t="s">
        <v>677</v>
      </c>
      <c r="B634" s="91">
        <v>1844863</v>
      </c>
      <c r="C634" s="944">
        <f>IF(A634='Data Entry - SOF'!B$2,'Report-SOF1718'!D$102,0)</f>
        <v>0</v>
      </c>
      <c r="D634" s="1037">
        <f>IF(A634='Data Entry - SOF'!B$2,'Data Entry - SOF'!#REF!,0)</f>
        <v>0</v>
      </c>
      <c r="E634" s="91">
        <f t="shared" si="54"/>
        <v>1844863</v>
      </c>
      <c r="F634" s="944">
        <f>IF(A634='Data Entry - SOF'!B$2,'Report-SOF1819'!D$102,0)</f>
        <v>0</v>
      </c>
      <c r="G634" s="1037">
        <f>IF(A634='Data Entry - SOF'!B$2,'Data Entry - SOF'!E$102,0)</f>
        <v>0</v>
      </c>
      <c r="H634" s="1038">
        <f t="shared" si="56"/>
        <v>1844863</v>
      </c>
      <c r="I634" s="944">
        <f>IF(A634='Data Entry - SOF'!B$2,'Report-SOF1920-HB3'!D$102,0)</f>
        <v>0</v>
      </c>
      <c r="J634" s="1037">
        <f>IF(A634='Data Entry - SOF'!B$2,'Data Entry - SOF'!G$102,0)</f>
        <v>0</v>
      </c>
      <c r="K634" s="717">
        <f t="shared" si="57"/>
        <v>1844863</v>
      </c>
      <c r="L634" s="944">
        <f>IF(A634='Data Entry - SOF'!B$2,'Report-SOF2021'!D$99,0)</f>
        <v>0</v>
      </c>
      <c r="M634" s="723">
        <f>IF(A634='Data Entry - SOF'!B$2,'Data Entry - SOF'!M$102,0)</f>
        <v>0</v>
      </c>
      <c r="N634" s="717">
        <f t="shared" si="58"/>
        <v>1844863</v>
      </c>
      <c r="O634" s="944">
        <f>IF(A634='Data Entry - SOF'!B$2,'Report-SOF2122'!D$91,0)</f>
        <v>0</v>
      </c>
      <c r="P634" s="723">
        <f>IF(A634='Data Entry - SOF'!B$2,'Data Entry - SOF'!O$102,0)</f>
        <v>0</v>
      </c>
      <c r="Q634" s="601">
        <f t="shared" si="55"/>
        <v>1844863</v>
      </c>
      <c r="R634" s="944">
        <f>IF(A634='Data Entry - SOF'!B$2,'Report-SOF2223'!D$91,0)</f>
        <v>0</v>
      </c>
      <c r="S634" s="723">
        <f>IF(A634='Data Entry - SOF'!B$2,'Data Entry - SOF'!Q$102,0)</f>
        <v>0</v>
      </c>
      <c r="T634" s="601">
        <f t="shared" si="59"/>
        <v>1844863</v>
      </c>
      <c r="U634" s="944">
        <f>IF(A634='Data Entry - SOF'!B$2,'Report-SOF2324'!D$91,0)</f>
        <v>0</v>
      </c>
      <c r="V634" s="723">
        <f>IF(A634='Data Entry - SOF'!B$2,'Data Entry - SOF'!S$102,0)</f>
        <v>0</v>
      </c>
    </row>
    <row r="635" spans="1:22" ht="15.75">
      <c r="A635" s="382" t="s">
        <v>2347</v>
      </c>
      <c r="B635" s="91">
        <v>5675549</v>
      </c>
      <c r="C635" s="944">
        <f>IF(A635='Data Entry - SOF'!B$2,'Report-SOF1718'!D$102,0)</f>
        <v>0</v>
      </c>
      <c r="D635" s="1037">
        <f>IF(A635='Data Entry - SOF'!B$2,'Data Entry - SOF'!#REF!,0)</f>
        <v>0</v>
      </c>
      <c r="E635" s="91">
        <f t="shared" si="54"/>
        <v>5675549</v>
      </c>
      <c r="F635" s="944">
        <f>IF(A635='Data Entry - SOF'!B$2,'Report-SOF1819'!D$102,0)</f>
        <v>0</v>
      </c>
      <c r="G635" s="1037">
        <f>IF(A635='Data Entry - SOF'!B$2,'Data Entry - SOF'!E$102,0)</f>
        <v>0</v>
      </c>
      <c r="H635" s="1038">
        <f t="shared" si="56"/>
        <v>5675549</v>
      </c>
      <c r="I635" s="944">
        <f>IF(A635='Data Entry - SOF'!B$2,'Report-SOF1920-HB3'!D$102,0)</f>
        <v>0</v>
      </c>
      <c r="J635" s="1037">
        <f>IF(A635='Data Entry - SOF'!B$2,'Data Entry - SOF'!G$102,0)</f>
        <v>0</v>
      </c>
      <c r="K635" s="717">
        <f t="shared" si="57"/>
        <v>5675549</v>
      </c>
      <c r="L635" s="944">
        <f>IF(A635='Data Entry - SOF'!B$2,'Report-SOF2021'!D$99,0)</f>
        <v>0</v>
      </c>
      <c r="M635" s="723">
        <f>IF(A635='Data Entry - SOF'!B$2,'Data Entry - SOF'!M$102,0)</f>
        <v>0</v>
      </c>
      <c r="N635" s="717">
        <f t="shared" si="58"/>
        <v>5675549</v>
      </c>
      <c r="O635" s="944">
        <f>IF(A635='Data Entry - SOF'!B$2,'Report-SOF2122'!D$91,0)</f>
        <v>0</v>
      </c>
      <c r="P635" s="723">
        <f>IF(A635='Data Entry - SOF'!B$2,'Data Entry - SOF'!O$102,0)</f>
        <v>0</v>
      </c>
      <c r="Q635" s="601">
        <f t="shared" si="55"/>
        <v>5675549</v>
      </c>
      <c r="R635" s="944">
        <f>IF(A635='Data Entry - SOF'!B$2,'Report-SOF2223'!D$91,0)</f>
        <v>0</v>
      </c>
      <c r="S635" s="723">
        <f>IF(A635='Data Entry - SOF'!B$2,'Data Entry - SOF'!Q$102,0)</f>
        <v>0</v>
      </c>
      <c r="T635" s="601">
        <f t="shared" si="59"/>
        <v>5675549</v>
      </c>
      <c r="U635" s="944">
        <f>IF(A635='Data Entry - SOF'!B$2,'Report-SOF2324'!D$91,0)</f>
        <v>0</v>
      </c>
      <c r="V635" s="723">
        <f>IF(A635='Data Entry - SOF'!B$2,'Data Entry - SOF'!S$102,0)</f>
        <v>0</v>
      </c>
    </row>
    <row r="636" spans="1:22" ht="15.75">
      <c r="A636" s="382" t="s">
        <v>2348</v>
      </c>
      <c r="B636" s="91">
        <v>1018567</v>
      </c>
      <c r="C636" s="944">
        <f>IF(A636='Data Entry - SOF'!B$2,'Report-SOF1718'!D$102,0)</f>
        <v>0</v>
      </c>
      <c r="D636" s="1037">
        <f>IF(A636='Data Entry - SOF'!B$2,'Data Entry - SOF'!#REF!,0)</f>
        <v>0</v>
      </c>
      <c r="E636" s="91">
        <f t="shared" si="54"/>
        <v>1018567</v>
      </c>
      <c r="F636" s="944">
        <f>IF(A636='Data Entry - SOF'!B$2,'Report-SOF1819'!D$102,0)</f>
        <v>0</v>
      </c>
      <c r="G636" s="1037">
        <f>IF(A636='Data Entry - SOF'!B$2,'Data Entry - SOF'!E$102,0)</f>
        <v>0</v>
      </c>
      <c r="H636" s="1038">
        <f t="shared" si="56"/>
        <v>1018567</v>
      </c>
      <c r="I636" s="944">
        <f>IF(A636='Data Entry - SOF'!B$2,'Report-SOF1920-HB3'!D$102,0)</f>
        <v>0</v>
      </c>
      <c r="J636" s="1037">
        <f>IF(A636='Data Entry - SOF'!B$2,'Data Entry - SOF'!G$102,0)</f>
        <v>0</v>
      </c>
      <c r="K636" s="717">
        <f t="shared" si="57"/>
        <v>1018567</v>
      </c>
      <c r="L636" s="944">
        <f>IF(A636='Data Entry - SOF'!B$2,'Report-SOF2021'!D$99,0)</f>
        <v>0</v>
      </c>
      <c r="M636" s="723">
        <f>IF(A636='Data Entry - SOF'!B$2,'Data Entry - SOF'!M$102,0)</f>
        <v>0</v>
      </c>
      <c r="N636" s="717">
        <f t="shared" si="58"/>
        <v>1018567</v>
      </c>
      <c r="O636" s="944">
        <f>IF(A636='Data Entry - SOF'!B$2,'Report-SOF2122'!D$91,0)</f>
        <v>0</v>
      </c>
      <c r="P636" s="723">
        <f>IF(A636='Data Entry - SOF'!B$2,'Data Entry - SOF'!O$102,0)</f>
        <v>0</v>
      </c>
      <c r="Q636" s="601">
        <f t="shared" si="55"/>
        <v>1018567</v>
      </c>
      <c r="R636" s="944">
        <f>IF(A636='Data Entry - SOF'!B$2,'Report-SOF2223'!D$91,0)</f>
        <v>0</v>
      </c>
      <c r="S636" s="723">
        <f>IF(A636='Data Entry - SOF'!B$2,'Data Entry - SOF'!Q$102,0)</f>
        <v>0</v>
      </c>
      <c r="T636" s="601">
        <f t="shared" si="59"/>
        <v>1018567</v>
      </c>
      <c r="U636" s="944">
        <f>IF(A636='Data Entry - SOF'!B$2,'Report-SOF2324'!D$91,0)</f>
        <v>0</v>
      </c>
      <c r="V636" s="723">
        <f>IF(A636='Data Entry - SOF'!B$2,'Data Entry - SOF'!S$102,0)</f>
        <v>0</v>
      </c>
    </row>
    <row r="637" spans="1:22" ht="15.75">
      <c r="A637" s="382" t="s">
        <v>2349</v>
      </c>
      <c r="B637" s="91">
        <v>757115</v>
      </c>
      <c r="C637" s="944">
        <f>IF(A637='Data Entry - SOF'!B$2,'Report-SOF1718'!D$102,0)</f>
        <v>0</v>
      </c>
      <c r="D637" s="1037">
        <f>IF(A637='Data Entry - SOF'!B$2,'Data Entry - SOF'!#REF!,0)</f>
        <v>0</v>
      </c>
      <c r="E637" s="91">
        <f t="shared" si="54"/>
        <v>757115</v>
      </c>
      <c r="F637" s="944">
        <f>IF(A637='Data Entry - SOF'!B$2,'Report-SOF1819'!D$102,0)</f>
        <v>0</v>
      </c>
      <c r="G637" s="1037">
        <f>IF(A637='Data Entry - SOF'!B$2,'Data Entry - SOF'!E$102,0)</f>
        <v>0</v>
      </c>
      <c r="H637" s="1038">
        <f t="shared" si="56"/>
        <v>757115</v>
      </c>
      <c r="I637" s="944">
        <f>IF(A637='Data Entry - SOF'!B$2,'Report-SOF1920-HB3'!D$102,0)</f>
        <v>0</v>
      </c>
      <c r="J637" s="1037">
        <f>IF(A637='Data Entry - SOF'!B$2,'Data Entry - SOF'!G$102,0)</f>
        <v>0</v>
      </c>
      <c r="K637" s="717">
        <f t="shared" si="57"/>
        <v>757115</v>
      </c>
      <c r="L637" s="944">
        <f>IF(A637='Data Entry - SOF'!B$2,'Report-SOF2021'!D$99,0)</f>
        <v>0</v>
      </c>
      <c r="M637" s="723">
        <f>IF(A637='Data Entry - SOF'!B$2,'Data Entry - SOF'!M$102,0)</f>
        <v>0</v>
      </c>
      <c r="N637" s="717">
        <f t="shared" si="58"/>
        <v>757115</v>
      </c>
      <c r="O637" s="944">
        <f>IF(A637='Data Entry - SOF'!B$2,'Report-SOF2122'!D$91,0)</f>
        <v>0</v>
      </c>
      <c r="P637" s="723">
        <f>IF(A637='Data Entry - SOF'!B$2,'Data Entry - SOF'!O$102,0)</f>
        <v>0</v>
      </c>
      <c r="Q637" s="601">
        <f t="shared" si="55"/>
        <v>757115</v>
      </c>
      <c r="R637" s="944">
        <f>IF(A637='Data Entry - SOF'!B$2,'Report-SOF2223'!D$91,0)</f>
        <v>0</v>
      </c>
      <c r="S637" s="723">
        <f>IF(A637='Data Entry - SOF'!B$2,'Data Entry - SOF'!Q$102,0)</f>
        <v>0</v>
      </c>
      <c r="T637" s="601">
        <f t="shared" si="59"/>
        <v>757115</v>
      </c>
      <c r="U637" s="944">
        <f>IF(A637='Data Entry - SOF'!B$2,'Report-SOF2324'!D$91,0)</f>
        <v>0</v>
      </c>
      <c r="V637" s="723">
        <f>IF(A637='Data Entry - SOF'!B$2,'Data Entry - SOF'!S$102,0)</f>
        <v>0</v>
      </c>
    </row>
    <row r="638" spans="1:22" ht="15.75">
      <c r="A638" s="382" t="s">
        <v>1464</v>
      </c>
      <c r="B638" s="91">
        <v>433810</v>
      </c>
      <c r="C638" s="944">
        <f>IF(A638='Data Entry - SOF'!B$2,'Report-SOF1718'!D$102,0)</f>
        <v>0</v>
      </c>
      <c r="D638" s="1037">
        <f>IF(A638='Data Entry - SOF'!B$2,'Data Entry - SOF'!#REF!,0)</f>
        <v>0</v>
      </c>
      <c r="E638" s="91">
        <f t="shared" si="54"/>
        <v>433810</v>
      </c>
      <c r="F638" s="944">
        <f>IF(A638='Data Entry - SOF'!B$2,'Report-SOF1819'!D$102,0)</f>
        <v>0</v>
      </c>
      <c r="G638" s="1037">
        <f>IF(A638='Data Entry - SOF'!B$2,'Data Entry - SOF'!E$102,0)</f>
        <v>0</v>
      </c>
      <c r="H638" s="1038">
        <f t="shared" si="56"/>
        <v>433810</v>
      </c>
      <c r="I638" s="944">
        <f>IF(A638='Data Entry - SOF'!B$2,'Report-SOF1920-HB3'!D$102,0)</f>
        <v>0</v>
      </c>
      <c r="J638" s="1037">
        <f>IF(A638='Data Entry - SOF'!B$2,'Data Entry - SOF'!G$102,0)</f>
        <v>0</v>
      </c>
      <c r="K638" s="717">
        <f t="shared" si="57"/>
        <v>433810</v>
      </c>
      <c r="L638" s="944">
        <f>IF(A638='Data Entry - SOF'!B$2,'Report-SOF2021'!D$99,0)</f>
        <v>0</v>
      </c>
      <c r="M638" s="723">
        <f>IF(A638='Data Entry - SOF'!B$2,'Data Entry - SOF'!M$102,0)</f>
        <v>0</v>
      </c>
      <c r="N638" s="717">
        <f t="shared" si="58"/>
        <v>433810</v>
      </c>
      <c r="O638" s="944">
        <f>IF(A638='Data Entry - SOF'!B$2,'Report-SOF2122'!D$91,0)</f>
        <v>0</v>
      </c>
      <c r="P638" s="723">
        <f>IF(A638='Data Entry - SOF'!B$2,'Data Entry - SOF'!O$102,0)</f>
        <v>0</v>
      </c>
      <c r="Q638" s="601">
        <f t="shared" si="55"/>
        <v>433810</v>
      </c>
      <c r="R638" s="944">
        <f>IF(A638='Data Entry - SOF'!B$2,'Report-SOF2223'!D$91,0)</f>
        <v>0</v>
      </c>
      <c r="S638" s="723">
        <f>IF(A638='Data Entry - SOF'!B$2,'Data Entry - SOF'!Q$102,0)</f>
        <v>0</v>
      </c>
      <c r="T638" s="601">
        <f t="shared" si="59"/>
        <v>433810</v>
      </c>
      <c r="U638" s="944">
        <f>IF(A638='Data Entry - SOF'!B$2,'Report-SOF2324'!D$91,0)</f>
        <v>0</v>
      </c>
      <c r="V638" s="723">
        <f>IF(A638='Data Entry - SOF'!B$2,'Data Entry - SOF'!S$102,0)</f>
        <v>0</v>
      </c>
    </row>
    <row r="639" spans="1:22" ht="15.75">
      <c r="A639" s="382" t="s">
        <v>2091</v>
      </c>
      <c r="B639" s="91">
        <v>7446977</v>
      </c>
      <c r="C639" s="944">
        <f>IF(A639='Data Entry - SOF'!B$2,'Report-SOF1718'!D$102,0)</f>
        <v>0</v>
      </c>
      <c r="D639" s="1037">
        <f>IF(A639='Data Entry - SOF'!B$2,'Data Entry - SOF'!#REF!,0)</f>
        <v>0</v>
      </c>
      <c r="E639" s="91">
        <f t="shared" si="54"/>
        <v>7446977</v>
      </c>
      <c r="F639" s="944">
        <f>IF(A639='Data Entry - SOF'!B$2,'Report-SOF1819'!D$102,0)</f>
        <v>0</v>
      </c>
      <c r="G639" s="1037">
        <f>IF(A639='Data Entry - SOF'!B$2,'Data Entry - SOF'!E$102,0)</f>
        <v>0</v>
      </c>
      <c r="H639" s="1038">
        <f t="shared" si="56"/>
        <v>7446977</v>
      </c>
      <c r="I639" s="944">
        <f>IF(A639='Data Entry - SOF'!B$2,'Report-SOF1920-HB3'!D$102,0)</f>
        <v>0</v>
      </c>
      <c r="J639" s="1037">
        <f>IF(A639='Data Entry - SOF'!B$2,'Data Entry - SOF'!G$102,0)</f>
        <v>0</v>
      </c>
      <c r="K639" s="717">
        <f t="shared" si="57"/>
        <v>7446977</v>
      </c>
      <c r="L639" s="944">
        <f>IF(A639='Data Entry - SOF'!B$2,'Report-SOF2021'!D$99,0)</f>
        <v>0</v>
      </c>
      <c r="M639" s="723">
        <f>IF(A639='Data Entry - SOF'!B$2,'Data Entry - SOF'!M$102,0)</f>
        <v>0</v>
      </c>
      <c r="N639" s="717">
        <f t="shared" si="58"/>
        <v>7446977</v>
      </c>
      <c r="O639" s="944">
        <f>IF(A639='Data Entry - SOF'!B$2,'Report-SOF2122'!D$91,0)</f>
        <v>0</v>
      </c>
      <c r="P639" s="723">
        <f>IF(A639='Data Entry - SOF'!B$2,'Data Entry - SOF'!O$102,0)</f>
        <v>0</v>
      </c>
      <c r="Q639" s="601">
        <f t="shared" si="55"/>
        <v>7446977</v>
      </c>
      <c r="R639" s="944">
        <f>IF(A639='Data Entry - SOF'!B$2,'Report-SOF2223'!D$91,0)</f>
        <v>0</v>
      </c>
      <c r="S639" s="723">
        <f>IF(A639='Data Entry - SOF'!B$2,'Data Entry - SOF'!Q$102,0)</f>
        <v>0</v>
      </c>
      <c r="T639" s="601">
        <f t="shared" si="59"/>
        <v>7446977</v>
      </c>
      <c r="U639" s="944">
        <f>IF(A639='Data Entry - SOF'!B$2,'Report-SOF2324'!D$91,0)</f>
        <v>0</v>
      </c>
      <c r="V639" s="723">
        <f>IF(A639='Data Entry - SOF'!B$2,'Data Entry - SOF'!S$102,0)</f>
        <v>0</v>
      </c>
    </row>
    <row r="640" spans="1:22" ht="15.75">
      <c r="A640" s="382" t="s">
        <v>1465</v>
      </c>
      <c r="B640" s="91">
        <v>7349947.2568506496</v>
      </c>
      <c r="C640" s="944">
        <f>IF(A640='Data Entry - SOF'!B$2,'Report-SOF1718'!D$102,0)</f>
        <v>0</v>
      </c>
      <c r="D640" s="1037">
        <f>IF(A640='Data Entry - SOF'!B$2,'Data Entry - SOF'!#REF!,0)</f>
        <v>0</v>
      </c>
      <c r="E640" s="91">
        <f t="shared" si="54"/>
        <v>7349947.2568506496</v>
      </c>
      <c r="F640" s="944">
        <f>IF(A640='Data Entry - SOF'!B$2,'Report-SOF1819'!D$102,0)</f>
        <v>0</v>
      </c>
      <c r="G640" s="1037">
        <f>IF(A640='Data Entry - SOF'!B$2,'Data Entry - SOF'!E$102,0)</f>
        <v>0</v>
      </c>
      <c r="H640" s="1038">
        <f t="shared" si="56"/>
        <v>7349947.2568506496</v>
      </c>
      <c r="I640" s="944">
        <f>IF(A640='Data Entry - SOF'!B$2,'Report-SOF1920-HB3'!D$102,0)</f>
        <v>0</v>
      </c>
      <c r="J640" s="1037">
        <f>IF(A640='Data Entry - SOF'!B$2,'Data Entry - SOF'!G$102,0)</f>
        <v>0</v>
      </c>
      <c r="K640" s="717">
        <f t="shared" si="57"/>
        <v>7349947.2568506496</v>
      </c>
      <c r="L640" s="944">
        <f>IF(A640='Data Entry - SOF'!B$2,'Report-SOF2021'!D$99,0)</f>
        <v>0</v>
      </c>
      <c r="M640" s="723">
        <f>IF(A640='Data Entry - SOF'!B$2,'Data Entry - SOF'!M$102,0)</f>
        <v>0</v>
      </c>
      <c r="N640" s="717">
        <f t="shared" si="58"/>
        <v>7349947.2568506496</v>
      </c>
      <c r="O640" s="944">
        <f>IF(A640='Data Entry - SOF'!B$2,'Report-SOF2122'!D$91,0)</f>
        <v>0</v>
      </c>
      <c r="P640" s="723">
        <f>IF(A640='Data Entry - SOF'!B$2,'Data Entry - SOF'!O$102,0)</f>
        <v>0</v>
      </c>
      <c r="Q640" s="601">
        <f t="shared" si="55"/>
        <v>7349947.2568506496</v>
      </c>
      <c r="R640" s="944">
        <f>IF(A640='Data Entry - SOF'!B$2,'Report-SOF2223'!D$91,0)</f>
        <v>0</v>
      </c>
      <c r="S640" s="723">
        <f>IF(A640='Data Entry - SOF'!B$2,'Data Entry - SOF'!Q$102,0)</f>
        <v>0</v>
      </c>
      <c r="T640" s="601">
        <f t="shared" si="59"/>
        <v>7349947.2568506496</v>
      </c>
      <c r="U640" s="944">
        <f>IF(A640='Data Entry - SOF'!B$2,'Report-SOF2324'!D$91,0)</f>
        <v>0</v>
      </c>
      <c r="V640" s="723">
        <f>IF(A640='Data Entry - SOF'!B$2,'Data Entry - SOF'!S$102,0)</f>
        <v>0</v>
      </c>
    </row>
    <row r="641" spans="1:22" ht="15.75">
      <c r="A641" s="382" t="s">
        <v>382</v>
      </c>
      <c r="B641" s="91">
        <v>4134793</v>
      </c>
      <c r="C641" s="944">
        <f>IF(A641='Data Entry - SOF'!B$2,'Report-SOF1718'!D$102,0)</f>
        <v>0</v>
      </c>
      <c r="D641" s="1037">
        <f>IF(A641='Data Entry - SOF'!B$2,'Data Entry - SOF'!#REF!,0)</f>
        <v>0</v>
      </c>
      <c r="E641" s="91">
        <f t="shared" si="54"/>
        <v>4134793</v>
      </c>
      <c r="F641" s="944">
        <f>IF(A641='Data Entry - SOF'!B$2,'Report-SOF1819'!D$102,0)</f>
        <v>0</v>
      </c>
      <c r="G641" s="1037">
        <f>IF(A641='Data Entry - SOF'!B$2,'Data Entry - SOF'!E$102,0)</f>
        <v>0</v>
      </c>
      <c r="H641" s="1038">
        <f t="shared" si="56"/>
        <v>4134793</v>
      </c>
      <c r="I641" s="944">
        <f>IF(A641='Data Entry - SOF'!B$2,'Report-SOF1920-HB3'!D$102,0)</f>
        <v>0</v>
      </c>
      <c r="J641" s="1037">
        <f>IF(A641='Data Entry - SOF'!B$2,'Data Entry - SOF'!G$102,0)</f>
        <v>0</v>
      </c>
      <c r="K641" s="717">
        <f t="shared" si="57"/>
        <v>4134793</v>
      </c>
      <c r="L641" s="944">
        <f>IF(A641='Data Entry - SOF'!B$2,'Report-SOF2021'!D$99,0)</f>
        <v>0</v>
      </c>
      <c r="M641" s="723">
        <f>IF(A641='Data Entry - SOF'!B$2,'Data Entry - SOF'!M$102,0)</f>
        <v>0</v>
      </c>
      <c r="N641" s="717">
        <f t="shared" si="58"/>
        <v>4134793</v>
      </c>
      <c r="O641" s="944">
        <f>IF(A641='Data Entry - SOF'!B$2,'Report-SOF2122'!D$91,0)</f>
        <v>0</v>
      </c>
      <c r="P641" s="723">
        <f>IF(A641='Data Entry - SOF'!B$2,'Data Entry - SOF'!O$102,0)</f>
        <v>0</v>
      </c>
      <c r="Q641" s="601">
        <f t="shared" si="55"/>
        <v>4134793</v>
      </c>
      <c r="R641" s="944">
        <f>IF(A641='Data Entry - SOF'!B$2,'Report-SOF2223'!D$91,0)</f>
        <v>0</v>
      </c>
      <c r="S641" s="723">
        <f>IF(A641='Data Entry - SOF'!B$2,'Data Entry - SOF'!Q$102,0)</f>
        <v>0</v>
      </c>
      <c r="T641" s="601">
        <f t="shared" si="59"/>
        <v>4134793</v>
      </c>
      <c r="U641" s="944">
        <f>IF(A641='Data Entry - SOF'!B$2,'Report-SOF2324'!D$91,0)</f>
        <v>0</v>
      </c>
      <c r="V641" s="723">
        <f>IF(A641='Data Entry - SOF'!B$2,'Data Entry - SOF'!S$102,0)</f>
        <v>0</v>
      </c>
    </row>
    <row r="642" spans="1:22" ht="15.75">
      <c r="A642" s="382" t="s">
        <v>383</v>
      </c>
      <c r="B642" s="91">
        <v>24631975</v>
      </c>
      <c r="C642" s="944">
        <f>IF(A642='Data Entry - SOF'!B$2,'Report-SOF1718'!D$102,0)</f>
        <v>0</v>
      </c>
      <c r="D642" s="1037">
        <f>IF(A642='Data Entry - SOF'!B$2,'Data Entry - SOF'!#REF!,0)</f>
        <v>0</v>
      </c>
      <c r="E642" s="91">
        <f t="shared" si="54"/>
        <v>24631975</v>
      </c>
      <c r="F642" s="944">
        <f>IF(A642='Data Entry - SOF'!B$2,'Report-SOF1819'!D$102,0)</f>
        <v>0</v>
      </c>
      <c r="G642" s="1037">
        <f>IF(A642='Data Entry - SOF'!B$2,'Data Entry - SOF'!E$102,0)</f>
        <v>0</v>
      </c>
      <c r="H642" s="1038">
        <f t="shared" si="56"/>
        <v>24631975</v>
      </c>
      <c r="I642" s="944">
        <f>IF(A642='Data Entry - SOF'!B$2,'Report-SOF1920-HB3'!D$102,0)</f>
        <v>0</v>
      </c>
      <c r="J642" s="1037">
        <f>IF(A642='Data Entry - SOF'!B$2,'Data Entry - SOF'!G$102,0)</f>
        <v>0</v>
      </c>
      <c r="K642" s="717">
        <f t="shared" si="57"/>
        <v>24631975</v>
      </c>
      <c r="L642" s="944">
        <f>IF(A642='Data Entry - SOF'!B$2,'Report-SOF2021'!D$99,0)</f>
        <v>0</v>
      </c>
      <c r="M642" s="723">
        <f>IF(A642='Data Entry - SOF'!B$2,'Data Entry - SOF'!M$102,0)</f>
        <v>0</v>
      </c>
      <c r="N642" s="717">
        <f t="shared" si="58"/>
        <v>24631975</v>
      </c>
      <c r="O642" s="944">
        <f>IF(A642='Data Entry - SOF'!B$2,'Report-SOF2122'!D$91,0)</f>
        <v>0</v>
      </c>
      <c r="P642" s="723">
        <f>IF(A642='Data Entry - SOF'!B$2,'Data Entry - SOF'!O$102,0)</f>
        <v>0</v>
      </c>
      <c r="Q642" s="601">
        <f t="shared" si="55"/>
        <v>24631975</v>
      </c>
      <c r="R642" s="944">
        <f>IF(A642='Data Entry - SOF'!B$2,'Report-SOF2223'!D$91,0)</f>
        <v>0</v>
      </c>
      <c r="S642" s="723">
        <f>IF(A642='Data Entry - SOF'!B$2,'Data Entry - SOF'!Q$102,0)</f>
        <v>0</v>
      </c>
      <c r="T642" s="601">
        <f t="shared" si="59"/>
        <v>24631975</v>
      </c>
      <c r="U642" s="944">
        <f>IF(A642='Data Entry - SOF'!B$2,'Report-SOF2324'!D$91,0)</f>
        <v>0</v>
      </c>
      <c r="V642" s="723">
        <f>IF(A642='Data Entry - SOF'!B$2,'Data Entry - SOF'!S$102,0)</f>
        <v>0</v>
      </c>
    </row>
    <row r="643" spans="1:22" ht="15.75">
      <c r="A643" s="382" t="s">
        <v>384</v>
      </c>
      <c r="B643" s="91">
        <v>8990305</v>
      </c>
      <c r="C643" s="944">
        <f>IF(A643='Data Entry - SOF'!B$2,'Report-SOF1718'!D$102,0)</f>
        <v>0</v>
      </c>
      <c r="D643" s="1037">
        <f>IF(A643='Data Entry - SOF'!B$2,'Data Entry - SOF'!#REF!,0)</f>
        <v>0</v>
      </c>
      <c r="E643" s="91">
        <f t="shared" si="54"/>
        <v>8990305</v>
      </c>
      <c r="F643" s="944">
        <f>IF(A643='Data Entry - SOF'!B$2,'Report-SOF1819'!D$102,0)</f>
        <v>0</v>
      </c>
      <c r="G643" s="1037">
        <f>IF(A643='Data Entry - SOF'!B$2,'Data Entry - SOF'!E$102,0)</f>
        <v>0</v>
      </c>
      <c r="H643" s="1038">
        <f t="shared" si="56"/>
        <v>8990305</v>
      </c>
      <c r="I643" s="944">
        <f>IF(A643='Data Entry - SOF'!B$2,'Report-SOF1920-HB3'!D$102,0)</f>
        <v>0</v>
      </c>
      <c r="J643" s="1037">
        <f>IF(A643='Data Entry - SOF'!B$2,'Data Entry - SOF'!G$102,0)</f>
        <v>0</v>
      </c>
      <c r="K643" s="717">
        <f t="shared" si="57"/>
        <v>8990305</v>
      </c>
      <c r="L643" s="944">
        <f>IF(A643='Data Entry - SOF'!B$2,'Report-SOF2021'!D$99,0)</f>
        <v>0</v>
      </c>
      <c r="M643" s="723">
        <f>IF(A643='Data Entry - SOF'!B$2,'Data Entry - SOF'!M$102,0)</f>
        <v>0</v>
      </c>
      <c r="N643" s="717">
        <f t="shared" si="58"/>
        <v>8990305</v>
      </c>
      <c r="O643" s="944">
        <f>IF(A643='Data Entry - SOF'!B$2,'Report-SOF2122'!D$91,0)</f>
        <v>0</v>
      </c>
      <c r="P643" s="723">
        <f>IF(A643='Data Entry - SOF'!B$2,'Data Entry - SOF'!O$102,0)</f>
        <v>0</v>
      </c>
      <c r="Q643" s="601">
        <f t="shared" si="55"/>
        <v>8990305</v>
      </c>
      <c r="R643" s="944">
        <f>IF(A643='Data Entry - SOF'!B$2,'Report-SOF2223'!D$91,0)</f>
        <v>0</v>
      </c>
      <c r="S643" s="723">
        <f>IF(A643='Data Entry - SOF'!B$2,'Data Entry - SOF'!Q$102,0)</f>
        <v>0</v>
      </c>
      <c r="T643" s="601">
        <f t="shared" si="59"/>
        <v>8990305</v>
      </c>
      <c r="U643" s="944">
        <f>IF(A643='Data Entry - SOF'!B$2,'Report-SOF2324'!D$91,0)</f>
        <v>0</v>
      </c>
      <c r="V643" s="723">
        <f>IF(A643='Data Entry - SOF'!B$2,'Data Entry - SOF'!S$102,0)</f>
        <v>0</v>
      </c>
    </row>
    <row r="644" spans="1:22" ht="15.75">
      <c r="A644" s="382" t="s">
        <v>1655</v>
      </c>
      <c r="B644" s="91">
        <v>2938580</v>
      </c>
      <c r="C644" s="944">
        <f>IF(A644='Data Entry - SOF'!B$2,'Report-SOF1718'!D$102,0)</f>
        <v>0</v>
      </c>
      <c r="D644" s="1037">
        <f>IF(A644='Data Entry - SOF'!B$2,'Data Entry - SOF'!#REF!,0)</f>
        <v>0</v>
      </c>
      <c r="E644" s="91">
        <f t="shared" ref="E644:E707" si="60">IF(B644+C644-D644&lt;=0,0,B644+C644-D644)</f>
        <v>2938580</v>
      </c>
      <c r="F644" s="944">
        <f>IF(A644='Data Entry - SOF'!B$2,'Report-SOF1819'!D$102,0)</f>
        <v>0</v>
      </c>
      <c r="G644" s="1037">
        <f>IF(A644='Data Entry - SOF'!B$2,'Data Entry - SOF'!E$102,0)</f>
        <v>0</v>
      </c>
      <c r="H644" s="1038">
        <f t="shared" si="56"/>
        <v>2938580</v>
      </c>
      <c r="I644" s="944">
        <f>IF(A644='Data Entry - SOF'!B$2,'Report-SOF1920-HB3'!D$102,0)</f>
        <v>0</v>
      </c>
      <c r="J644" s="1037">
        <f>IF(A644='Data Entry - SOF'!B$2,'Data Entry - SOF'!G$102,0)</f>
        <v>0</v>
      </c>
      <c r="K644" s="717">
        <f t="shared" si="57"/>
        <v>2938580</v>
      </c>
      <c r="L644" s="944">
        <f>IF(A644='Data Entry - SOF'!B$2,'Report-SOF2021'!D$99,0)</f>
        <v>0</v>
      </c>
      <c r="M644" s="723">
        <f>IF(A644='Data Entry - SOF'!B$2,'Data Entry - SOF'!M$102,0)</f>
        <v>0</v>
      </c>
      <c r="N644" s="717">
        <f t="shared" si="58"/>
        <v>2938580</v>
      </c>
      <c r="O644" s="944">
        <f>IF(A644='Data Entry - SOF'!B$2,'Report-SOF2122'!D$91,0)</f>
        <v>0</v>
      </c>
      <c r="P644" s="723">
        <f>IF(A644='Data Entry - SOF'!B$2,'Data Entry - SOF'!O$102,0)</f>
        <v>0</v>
      </c>
      <c r="Q644" s="601">
        <f t="shared" ref="Q644:Q707" si="61">IF(N644+O644-P644&lt;=0,0,N644+O644-P644)</f>
        <v>2938580</v>
      </c>
      <c r="R644" s="944">
        <f>IF(A644='Data Entry - SOF'!B$2,'Report-SOF2223'!D$91,0)</f>
        <v>0</v>
      </c>
      <c r="S644" s="723">
        <f>IF(A644='Data Entry - SOF'!B$2,'Data Entry - SOF'!Q$102,0)</f>
        <v>0</v>
      </c>
      <c r="T644" s="601">
        <f t="shared" si="59"/>
        <v>2938580</v>
      </c>
      <c r="U644" s="944">
        <f>IF(A644='Data Entry - SOF'!B$2,'Report-SOF2324'!D$91,0)</f>
        <v>0</v>
      </c>
      <c r="V644" s="723">
        <f>IF(A644='Data Entry - SOF'!B$2,'Data Entry - SOF'!S$102,0)</f>
        <v>0</v>
      </c>
    </row>
    <row r="645" spans="1:22" ht="15.75">
      <c r="A645" s="382" t="s">
        <v>1656</v>
      </c>
      <c r="B645" s="91">
        <v>10481655</v>
      </c>
      <c r="C645" s="944">
        <f>IF(A645='Data Entry - SOF'!B$2,'Report-SOF1718'!D$102,0)</f>
        <v>0</v>
      </c>
      <c r="D645" s="1037">
        <f>IF(A645='Data Entry - SOF'!B$2,'Data Entry - SOF'!#REF!,0)</f>
        <v>0</v>
      </c>
      <c r="E645" s="91">
        <f t="shared" si="60"/>
        <v>10481655</v>
      </c>
      <c r="F645" s="944">
        <f>IF(A645='Data Entry - SOF'!B$2,'Report-SOF1819'!D$102,0)</f>
        <v>0</v>
      </c>
      <c r="G645" s="1037">
        <f>IF(A645='Data Entry - SOF'!B$2,'Data Entry - SOF'!E$102,0)</f>
        <v>0</v>
      </c>
      <c r="H645" s="1038">
        <f t="shared" ref="H645:H708" si="62">IF(E645+F645-G645&lt;=0,0,E645+F645-G645)</f>
        <v>10481655</v>
      </c>
      <c r="I645" s="944">
        <f>IF(A645='Data Entry - SOF'!B$2,'Report-SOF1920-HB3'!D$102,0)</f>
        <v>0</v>
      </c>
      <c r="J645" s="1037">
        <f>IF(A645='Data Entry - SOF'!B$2,'Data Entry - SOF'!G$102,0)</f>
        <v>0</v>
      </c>
      <c r="K645" s="717">
        <f t="shared" ref="K645:K708" si="63">IF(H645+I645-J645&lt;=0,0,H645+I645-J645)</f>
        <v>10481655</v>
      </c>
      <c r="L645" s="944">
        <f>IF(A645='Data Entry - SOF'!B$2,'Report-SOF2021'!D$99,0)</f>
        <v>0</v>
      </c>
      <c r="M645" s="723">
        <f>IF(A645='Data Entry - SOF'!B$2,'Data Entry - SOF'!M$102,0)</f>
        <v>0</v>
      </c>
      <c r="N645" s="717">
        <f t="shared" ref="N645:N708" si="64">IF(K645+L645-M645&lt;=0,0,K645+L645-M645)</f>
        <v>10481655</v>
      </c>
      <c r="O645" s="944">
        <f>IF(A645='Data Entry - SOF'!B$2,'Report-SOF2122'!D$91,0)</f>
        <v>0</v>
      </c>
      <c r="P645" s="723">
        <f>IF(A645='Data Entry - SOF'!B$2,'Data Entry - SOF'!O$102,0)</f>
        <v>0</v>
      </c>
      <c r="Q645" s="601">
        <f t="shared" si="61"/>
        <v>10481655</v>
      </c>
      <c r="R645" s="944">
        <f>IF(A645='Data Entry - SOF'!B$2,'Report-SOF2223'!D$91,0)</f>
        <v>0</v>
      </c>
      <c r="S645" s="723">
        <f>IF(A645='Data Entry - SOF'!B$2,'Data Entry - SOF'!Q$102,0)</f>
        <v>0</v>
      </c>
      <c r="T645" s="601">
        <f t="shared" ref="T645:T708" si="65">IF(P645+Q645-S645&lt;=0,0,P645+Q645-S645)</f>
        <v>10481655</v>
      </c>
      <c r="U645" s="944">
        <f>IF(A645='Data Entry - SOF'!B$2,'Report-SOF2324'!D$91,0)</f>
        <v>0</v>
      </c>
      <c r="V645" s="723">
        <f>IF(A645='Data Entry - SOF'!B$2,'Data Entry - SOF'!S$102,0)</f>
        <v>0</v>
      </c>
    </row>
    <row r="646" spans="1:22" ht="15.75">
      <c r="A646" s="382" t="s">
        <v>173</v>
      </c>
      <c r="B646" s="91">
        <v>15586345.3734893</v>
      </c>
      <c r="C646" s="944">
        <f>IF(A646='Data Entry - SOF'!B$2,'Report-SOF1718'!D$102,0)</f>
        <v>0</v>
      </c>
      <c r="D646" s="1037">
        <f>IF(A646='Data Entry - SOF'!B$2,'Data Entry - SOF'!#REF!,0)</f>
        <v>0</v>
      </c>
      <c r="E646" s="91">
        <f t="shared" si="60"/>
        <v>15586345.3734893</v>
      </c>
      <c r="F646" s="944">
        <f>IF(A646='Data Entry - SOF'!B$2,'Report-SOF1819'!D$102,0)</f>
        <v>0</v>
      </c>
      <c r="G646" s="1037">
        <f>IF(A646='Data Entry - SOF'!B$2,'Data Entry - SOF'!E$102,0)</f>
        <v>0</v>
      </c>
      <c r="H646" s="1038">
        <f t="shared" si="62"/>
        <v>15586345.3734893</v>
      </c>
      <c r="I646" s="944">
        <f>IF(A646='Data Entry - SOF'!B$2,'Report-SOF1920-HB3'!D$102,0)</f>
        <v>0</v>
      </c>
      <c r="J646" s="1037">
        <f>IF(A646='Data Entry - SOF'!B$2,'Data Entry - SOF'!G$102,0)</f>
        <v>0</v>
      </c>
      <c r="K646" s="717">
        <f t="shared" si="63"/>
        <v>15586345.3734893</v>
      </c>
      <c r="L646" s="944">
        <f>IF(A646='Data Entry - SOF'!B$2,'Report-SOF2021'!D$99,0)</f>
        <v>0</v>
      </c>
      <c r="M646" s="723">
        <f>IF(A646='Data Entry - SOF'!B$2,'Data Entry - SOF'!M$102,0)</f>
        <v>0</v>
      </c>
      <c r="N646" s="717">
        <f t="shared" si="64"/>
        <v>15586345.3734893</v>
      </c>
      <c r="O646" s="944">
        <f>IF(A646='Data Entry - SOF'!B$2,'Report-SOF2122'!D$91,0)</f>
        <v>0</v>
      </c>
      <c r="P646" s="723">
        <f>IF(A646='Data Entry - SOF'!B$2,'Data Entry - SOF'!O$102,0)</f>
        <v>0</v>
      </c>
      <c r="Q646" s="601">
        <f t="shared" si="61"/>
        <v>15586345.3734893</v>
      </c>
      <c r="R646" s="944">
        <f>IF(A646='Data Entry - SOF'!B$2,'Report-SOF2223'!D$91,0)</f>
        <v>0</v>
      </c>
      <c r="S646" s="723">
        <f>IF(A646='Data Entry - SOF'!B$2,'Data Entry - SOF'!Q$102,0)</f>
        <v>0</v>
      </c>
      <c r="T646" s="601">
        <f t="shared" si="65"/>
        <v>15586345.3734893</v>
      </c>
      <c r="U646" s="944">
        <f>IF(A646='Data Entry - SOF'!B$2,'Report-SOF2324'!D$91,0)</f>
        <v>0</v>
      </c>
      <c r="V646" s="723">
        <f>IF(A646='Data Entry - SOF'!B$2,'Data Entry - SOF'!S$102,0)</f>
        <v>0</v>
      </c>
    </row>
    <row r="647" spans="1:22" ht="15.75">
      <c r="A647" s="382" t="s">
        <v>2128</v>
      </c>
      <c r="B647" s="91">
        <v>3712238</v>
      </c>
      <c r="C647" s="944">
        <f>IF(A647='Data Entry - SOF'!B$2,'Report-SOF1718'!D$102,0)</f>
        <v>0</v>
      </c>
      <c r="D647" s="1037">
        <f>IF(A647='Data Entry - SOF'!B$2,'Data Entry - SOF'!#REF!,0)</f>
        <v>0</v>
      </c>
      <c r="E647" s="91">
        <f t="shared" si="60"/>
        <v>3712238</v>
      </c>
      <c r="F647" s="944">
        <f>IF(A647='Data Entry - SOF'!B$2,'Report-SOF1819'!D$102,0)</f>
        <v>0</v>
      </c>
      <c r="G647" s="1037">
        <f>IF(A647='Data Entry - SOF'!B$2,'Data Entry - SOF'!E$102,0)</f>
        <v>0</v>
      </c>
      <c r="H647" s="1038">
        <f t="shared" si="62"/>
        <v>3712238</v>
      </c>
      <c r="I647" s="944">
        <f>IF(A647='Data Entry - SOF'!B$2,'Report-SOF1920-HB3'!D$102,0)</f>
        <v>0</v>
      </c>
      <c r="J647" s="1037">
        <f>IF(A647='Data Entry - SOF'!B$2,'Data Entry - SOF'!G$102,0)</f>
        <v>0</v>
      </c>
      <c r="K647" s="717">
        <f t="shared" si="63"/>
        <v>3712238</v>
      </c>
      <c r="L647" s="944">
        <f>IF(A647='Data Entry - SOF'!B$2,'Report-SOF2021'!D$99,0)</f>
        <v>0</v>
      </c>
      <c r="M647" s="723">
        <f>IF(A647='Data Entry - SOF'!B$2,'Data Entry - SOF'!M$102,0)</f>
        <v>0</v>
      </c>
      <c r="N647" s="717">
        <f t="shared" si="64"/>
        <v>3712238</v>
      </c>
      <c r="O647" s="944">
        <f>IF(A647='Data Entry - SOF'!B$2,'Report-SOF2122'!D$91,0)</f>
        <v>0</v>
      </c>
      <c r="P647" s="723">
        <f>IF(A647='Data Entry - SOF'!B$2,'Data Entry - SOF'!O$102,0)</f>
        <v>0</v>
      </c>
      <c r="Q647" s="601">
        <f t="shared" si="61"/>
        <v>3712238</v>
      </c>
      <c r="R647" s="944">
        <f>IF(A647='Data Entry - SOF'!B$2,'Report-SOF2223'!D$91,0)</f>
        <v>0</v>
      </c>
      <c r="S647" s="723">
        <f>IF(A647='Data Entry - SOF'!B$2,'Data Entry - SOF'!Q$102,0)</f>
        <v>0</v>
      </c>
      <c r="T647" s="601">
        <f t="shared" si="65"/>
        <v>3712238</v>
      </c>
      <c r="U647" s="944">
        <f>IF(A647='Data Entry - SOF'!B$2,'Report-SOF2324'!D$91,0)</f>
        <v>0</v>
      </c>
      <c r="V647" s="723">
        <f>IF(A647='Data Entry - SOF'!B$2,'Data Entry - SOF'!S$102,0)</f>
        <v>0</v>
      </c>
    </row>
    <row r="648" spans="1:22" ht="15.75">
      <c r="A648" s="382" t="s">
        <v>2129</v>
      </c>
      <c r="B648" s="91">
        <v>16669905</v>
      </c>
      <c r="C648" s="944">
        <f>IF(A648='Data Entry - SOF'!B$2,'Report-SOF1718'!D$102,0)</f>
        <v>0</v>
      </c>
      <c r="D648" s="1037">
        <f>IF(A648='Data Entry - SOF'!B$2,'Data Entry - SOF'!#REF!,0)</f>
        <v>0</v>
      </c>
      <c r="E648" s="91">
        <f t="shared" si="60"/>
        <v>16669905</v>
      </c>
      <c r="F648" s="944">
        <f>IF(A648='Data Entry - SOF'!B$2,'Report-SOF1819'!D$102,0)</f>
        <v>0</v>
      </c>
      <c r="G648" s="1037">
        <f>IF(A648='Data Entry - SOF'!B$2,'Data Entry - SOF'!E$102,0)</f>
        <v>0</v>
      </c>
      <c r="H648" s="1038">
        <f t="shared" si="62"/>
        <v>16669905</v>
      </c>
      <c r="I648" s="944">
        <f>IF(A648='Data Entry - SOF'!B$2,'Report-SOF1920-HB3'!D$102,0)</f>
        <v>0</v>
      </c>
      <c r="J648" s="1037">
        <f>IF(A648='Data Entry - SOF'!B$2,'Data Entry - SOF'!G$102,0)</f>
        <v>0</v>
      </c>
      <c r="K648" s="717">
        <f t="shared" si="63"/>
        <v>16669905</v>
      </c>
      <c r="L648" s="944">
        <f>IF(A648='Data Entry - SOF'!B$2,'Report-SOF2021'!D$99,0)</f>
        <v>0</v>
      </c>
      <c r="M648" s="723">
        <f>IF(A648='Data Entry - SOF'!B$2,'Data Entry - SOF'!M$102,0)</f>
        <v>0</v>
      </c>
      <c r="N648" s="717">
        <f t="shared" si="64"/>
        <v>16669905</v>
      </c>
      <c r="O648" s="944">
        <f>IF(A648='Data Entry - SOF'!B$2,'Report-SOF2122'!D$91,0)</f>
        <v>0</v>
      </c>
      <c r="P648" s="723">
        <f>IF(A648='Data Entry - SOF'!B$2,'Data Entry - SOF'!O$102,0)</f>
        <v>0</v>
      </c>
      <c r="Q648" s="601">
        <f t="shared" si="61"/>
        <v>16669905</v>
      </c>
      <c r="R648" s="944">
        <f>IF(A648='Data Entry - SOF'!B$2,'Report-SOF2223'!D$91,0)</f>
        <v>0</v>
      </c>
      <c r="S648" s="723">
        <f>IF(A648='Data Entry - SOF'!B$2,'Data Entry - SOF'!Q$102,0)</f>
        <v>0</v>
      </c>
      <c r="T648" s="601">
        <f t="shared" si="65"/>
        <v>16669905</v>
      </c>
      <c r="U648" s="944">
        <f>IF(A648='Data Entry - SOF'!B$2,'Report-SOF2324'!D$91,0)</f>
        <v>0</v>
      </c>
      <c r="V648" s="723">
        <f>IF(A648='Data Entry - SOF'!B$2,'Data Entry - SOF'!S$102,0)</f>
        <v>0</v>
      </c>
    </row>
    <row r="649" spans="1:22" ht="15.75">
      <c r="A649" s="382" t="s">
        <v>2130</v>
      </c>
      <c r="B649" s="91">
        <v>5456590</v>
      </c>
      <c r="C649" s="944">
        <f>IF(A649='Data Entry - SOF'!B$2,'Report-SOF1718'!D$102,0)</f>
        <v>0</v>
      </c>
      <c r="D649" s="1037">
        <f>IF(A649='Data Entry - SOF'!B$2,'Data Entry - SOF'!#REF!,0)</f>
        <v>0</v>
      </c>
      <c r="E649" s="91">
        <f t="shared" si="60"/>
        <v>5456590</v>
      </c>
      <c r="F649" s="944">
        <f>IF(A649='Data Entry - SOF'!B$2,'Report-SOF1819'!D$102,0)</f>
        <v>0</v>
      </c>
      <c r="G649" s="1037">
        <f>IF(A649='Data Entry - SOF'!B$2,'Data Entry - SOF'!E$102,0)</f>
        <v>0</v>
      </c>
      <c r="H649" s="1038">
        <f t="shared" si="62"/>
        <v>5456590</v>
      </c>
      <c r="I649" s="944">
        <f>IF(A649='Data Entry - SOF'!B$2,'Report-SOF1920-HB3'!D$102,0)</f>
        <v>0</v>
      </c>
      <c r="J649" s="1037">
        <f>IF(A649='Data Entry - SOF'!B$2,'Data Entry - SOF'!G$102,0)</f>
        <v>0</v>
      </c>
      <c r="K649" s="717">
        <f t="shared" si="63"/>
        <v>5456590</v>
      </c>
      <c r="L649" s="944">
        <f>IF(A649='Data Entry - SOF'!B$2,'Report-SOF2021'!D$99,0)</f>
        <v>0</v>
      </c>
      <c r="M649" s="723">
        <f>IF(A649='Data Entry - SOF'!B$2,'Data Entry - SOF'!M$102,0)</f>
        <v>0</v>
      </c>
      <c r="N649" s="717">
        <f t="shared" si="64"/>
        <v>5456590</v>
      </c>
      <c r="O649" s="944">
        <f>IF(A649='Data Entry - SOF'!B$2,'Report-SOF2122'!D$91,0)</f>
        <v>0</v>
      </c>
      <c r="P649" s="723">
        <f>IF(A649='Data Entry - SOF'!B$2,'Data Entry - SOF'!O$102,0)</f>
        <v>0</v>
      </c>
      <c r="Q649" s="601">
        <f t="shared" si="61"/>
        <v>5456590</v>
      </c>
      <c r="R649" s="944">
        <f>IF(A649='Data Entry - SOF'!B$2,'Report-SOF2223'!D$91,0)</f>
        <v>0</v>
      </c>
      <c r="S649" s="723">
        <f>IF(A649='Data Entry - SOF'!B$2,'Data Entry - SOF'!Q$102,0)</f>
        <v>0</v>
      </c>
      <c r="T649" s="601">
        <f t="shared" si="65"/>
        <v>5456590</v>
      </c>
      <c r="U649" s="944">
        <f>IF(A649='Data Entry - SOF'!B$2,'Report-SOF2324'!D$91,0)</f>
        <v>0</v>
      </c>
      <c r="V649" s="723">
        <f>IF(A649='Data Entry - SOF'!B$2,'Data Entry - SOF'!S$102,0)</f>
        <v>0</v>
      </c>
    </row>
    <row r="650" spans="1:22" ht="15.75">
      <c r="A650" s="382" t="s">
        <v>1813</v>
      </c>
      <c r="B650" s="91">
        <v>10316904</v>
      </c>
      <c r="C650" s="944">
        <f>IF(A650='Data Entry - SOF'!B$2,'Report-SOF1718'!D$102,0)</f>
        <v>0</v>
      </c>
      <c r="D650" s="1037">
        <f>IF(A650='Data Entry - SOF'!B$2,'Data Entry - SOF'!#REF!,0)</f>
        <v>0</v>
      </c>
      <c r="E650" s="91">
        <f t="shared" si="60"/>
        <v>10316904</v>
      </c>
      <c r="F650" s="944">
        <f>IF(A650='Data Entry - SOF'!B$2,'Report-SOF1819'!D$102,0)</f>
        <v>0</v>
      </c>
      <c r="G650" s="1037">
        <f>IF(A650='Data Entry - SOF'!B$2,'Data Entry - SOF'!E$102,0)</f>
        <v>0</v>
      </c>
      <c r="H650" s="1038">
        <f t="shared" si="62"/>
        <v>10316904</v>
      </c>
      <c r="I650" s="944">
        <f>IF(A650='Data Entry - SOF'!B$2,'Report-SOF1920-HB3'!D$102,0)</f>
        <v>0</v>
      </c>
      <c r="J650" s="1037">
        <f>IF(A650='Data Entry - SOF'!B$2,'Data Entry - SOF'!G$102,0)</f>
        <v>0</v>
      </c>
      <c r="K650" s="717">
        <f t="shared" si="63"/>
        <v>10316904</v>
      </c>
      <c r="L650" s="944">
        <f>IF(A650='Data Entry - SOF'!B$2,'Report-SOF2021'!D$99,0)</f>
        <v>0</v>
      </c>
      <c r="M650" s="723">
        <f>IF(A650='Data Entry - SOF'!B$2,'Data Entry - SOF'!M$102,0)</f>
        <v>0</v>
      </c>
      <c r="N650" s="717">
        <f t="shared" si="64"/>
        <v>10316904</v>
      </c>
      <c r="O650" s="944">
        <f>IF(A650='Data Entry - SOF'!B$2,'Report-SOF2122'!D$91,0)</f>
        <v>0</v>
      </c>
      <c r="P650" s="723">
        <f>IF(A650='Data Entry - SOF'!B$2,'Data Entry - SOF'!O$102,0)</f>
        <v>0</v>
      </c>
      <c r="Q650" s="601">
        <f t="shared" si="61"/>
        <v>10316904</v>
      </c>
      <c r="R650" s="944">
        <f>IF(A650='Data Entry - SOF'!B$2,'Report-SOF2223'!D$91,0)</f>
        <v>0</v>
      </c>
      <c r="S650" s="723">
        <f>IF(A650='Data Entry - SOF'!B$2,'Data Entry - SOF'!Q$102,0)</f>
        <v>0</v>
      </c>
      <c r="T650" s="601">
        <f t="shared" si="65"/>
        <v>10316904</v>
      </c>
      <c r="U650" s="944">
        <f>IF(A650='Data Entry - SOF'!B$2,'Report-SOF2324'!D$91,0)</f>
        <v>0</v>
      </c>
      <c r="V650" s="723">
        <f>IF(A650='Data Entry - SOF'!B$2,'Data Entry - SOF'!S$102,0)</f>
        <v>0</v>
      </c>
    </row>
    <row r="651" spans="1:22" ht="15.75">
      <c r="A651" s="382" t="s">
        <v>880</v>
      </c>
      <c r="B651" s="91">
        <v>4205838</v>
      </c>
      <c r="C651" s="944">
        <f>IF(A651='Data Entry - SOF'!B$2,'Report-SOF1718'!D$102,0)</f>
        <v>0</v>
      </c>
      <c r="D651" s="1037">
        <f>IF(A651='Data Entry - SOF'!B$2,'Data Entry - SOF'!#REF!,0)</f>
        <v>0</v>
      </c>
      <c r="E651" s="91">
        <f t="shared" si="60"/>
        <v>4205838</v>
      </c>
      <c r="F651" s="944">
        <f>IF(A651='Data Entry - SOF'!B$2,'Report-SOF1819'!D$102,0)</f>
        <v>0</v>
      </c>
      <c r="G651" s="1037">
        <f>IF(A651='Data Entry - SOF'!B$2,'Data Entry - SOF'!E$102,0)</f>
        <v>0</v>
      </c>
      <c r="H651" s="1038">
        <f t="shared" si="62"/>
        <v>4205838</v>
      </c>
      <c r="I651" s="944">
        <f>IF(A651='Data Entry - SOF'!B$2,'Report-SOF1920-HB3'!D$102,0)</f>
        <v>0</v>
      </c>
      <c r="J651" s="1037">
        <f>IF(A651='Data Entry - SOF'!B$2,'Data Entry - SOF'!G$102,0)</f>
        <v>0</v>
      </c>
      <c r="K651" s="717">
        <f t="shared" si="63"/>
        <v>4205838</v>
      </c>
      <c r="L651" s="944">
        <f>IF(A651='Data Entry - SOF'!B$2,'Report-SOF2021'!D$99,0)</f>
        <v>0</v>
      </c>
      <c r="M651" s="723">
        <f>IF(A651='Data Entry - SOF'!B$2,'Data Entry - SOF'!M$102,0)</f>
        <v>0</v>
      </c>
      <c r="N651" s="717">
        <f t="shared" si="64"/>
        <v>4205838</v>
      </c>
      <c r="O651" s="944">
        <f>IF(A651='Data Entry - SOF'!B$2,'Report-SOF2122'!D$91,0)</f>
        <v>0</v>
      </c>
      <c r="P651" s="723">
        <f>IF(A651='Data Entry - SOF'!B$2,'Data Entry - SOF'!O$102,0)</f>
        <v>0</v>
      </c>
      <c r="Q651" s="601">
        <f t="shared" si="61"/>
        <v>4205838</v>
      </c>
      <c r="R651" s="944">
        <f>IF(A651='Data Entry - SOF'!B$2,'Report-SOF2223'!D$91,0)</f>
        <v>0</v>
      </c>
      <c r="S651" s="723">
        <f>IF(A651='Data Entry - SOF'!B$2,'Data Entry - SOF'!Q$102,0)</f>
        <v>0</v>
      </c>
      <c r="T651" s="601">
        <f t="shared" si="65"/>
        <v>4205838</v>
      </c>
      <c r="U651" s="944">
        <f>IF(A651='Data Entry - SOF'!B$2,'Report-SOF2324'!D$91,0)</f>
        <v>0</v>
      </c>
      <c r="V651" s="723">
        <f>IF(A651='Data Entry - SOF'!B$2,'Data Entry - SOF'!S$102,0)</f>
        <v>0</v>
      </c>
    </row>
    <row r="652" spans="1:22" ht="15.75">
      <c r="A652" s="382" t="s">
        <v>1403</v>
      </c>
      <c r="B652" s="91">
        <v>405389</v>
      </c>
      <c r="C652" s="944">
        <f>IF(A652='Data Entry - SOF'!B$2,'Report-SOF1718'!D$102,0)</f>
        <v>0</v>
      </c>
      <c r="D652" s="1037">
        <f>IF(A652='Data Entry - SOF'!B$2,'Data Entry - SOF'!#REF!,0)</f>
        <v>0</v>
      </c>
      <c r="E652" s="91">
        <f t="shared" si="60"/>
        <v>405389</v>
      </c>
      <c r="F652" s="944">
        <f>IF(A652='Data Entry - SOF'!B$2,'Report-SOF1819'!D$102,0)</f>
        <v>0</v>
      </c>
      <c r="G652" s="1037">
        <f>IF(A652='Data Entry - SOF'!B$2,'Data Entry - SOF'!E$102,0)</f>
        <v>0</v>
      </c>
      <c r="H652" s="1038">
        <f t="shared" si="62"/>
        <v>405389</v>
      </c>
      <c r="I652" s="944">
        <f>IF(A652='Data Entry - SOF'!B$2,'Report-SOF1920-HB3'!D$102,0)</f>
        <v>0</v>
      </c>
      <c r="J652" s="1037">
        <f>IF(A652='Data Entry - SOF'!B$2,'Data Entry - SOF'!G$102,0)</f>
        <v>0</v>
      </c>
      <c r="K652" s="717">
        <f t="shared" si="63"/>
        <v>405389</v>
      </c>
      <c r="L652" s="944">
        <f>IF(A652='Data Entry - SOF'!B$2,'Report-SOF2021'!D$99,0)</f>
        <v>0</v>
      </c>
      <c r="M652" s="723">
        <f>IF(A652='Data Entry - SOF'!B$2,'Data Entry - SOF'!M$102,0)</f>
        <v>0</v>
      </c>
      <c r="N652" s="717">
        <f t="shared" si="64"/>
        <v>405389</v>
      </c>
      <c r="O652" s="944">
        <f>IF(A652='Data Entry - SOF'!B$2,'Report-SOF2122'!D$91,0)</f>
        <v>0</v>
      </c>
      <c r="P652" s="723">
        <f>IF(A652='Data Entry - SOF'!B$2,'Data Entry - SOF'!O$102,0)</f>
        <v>0</v>
      </c>
      <c r="Q652" s="601">
        <f t="shared" si="61"/>
        <v>405389</v>
      </c>
      <c r="R652" s="944">
        <f>IF(A652='Data Entry - SOF'!B$2,'Report-SOF2223'!D$91,0)</f>
        <v>0</v>
      </c>
      <c r="S652" s="723">
        <f>IF(A652='Data Entry - SOF'!B$2,'Data Entry - SOF'!Q$102,0)</f>
        <v>0</v>
      </c>
      <c r="T652" s="601">
        <f t="shared" si="65"/>
        <v>405389</v>
      </c>
      <c r="U652" s="944">
        <f>IF(A652='Data Entry - SOF'!B$2,'Report-SOF2324'!D$91,0)</f>
        <v>0</v>
      </c>
      <c r="V652" s="723">
        <f>IF(A652='Data Entry - SOF'!B$2,'Data Entry - SOF'!S$102,0)</f>
        <v>0</v>
      </c>
    </row>
    <row r="653" spans="1:22" ht="15.75">
      <c r="A653" s="382" t="s">
        <v>1988</v>
      </c>
      <c r="B653" s="91">
        <v>170982</v>
      </c>
      <c r="C653" s="944">
        <f>IF(A653='Data Entry - SOF'!B$2,'Report-SOF1718'!D$102,0)</f>
        <v>0</v>
      </c>
      <c r="D653" s="1037">
        <f>IF(A653='Data Entry - SOF'!B$2,'Data Entry - SOF'!#REF!,0)</f>
        <v>0</v>
      </c>
      <c r="E653" s="91">
        <f t="shared" si="60"/>
        <v>170982</v>
      </c>
      <c r="F653" s="944">
        <f>IF(A653='Data Entry - SOF'!B$2,'Report-SOF1819'!D$102,0)</f>
        <v>0</v>
      </c>
      <c r="G653" s="1037">
        <f>IF(A653='Data Entry - SOF'!B$2,'Data Entry - SOF'!E$102,0)</f>
        <v>0</v>
      </c>
      <c r="H653" s="1038">
        <f t="shared" si="62"/>
        <v>170982</v>
      </c>
      <c r="I653" s="944">
        <f>IF(A653='Data Entry - SOF'!B$2,'Report-SOF1920-HB3'!D$102,0)</f>
        <v>0</v>
      </c>
      <c r="J653" s="1037">
        <f>IF(A653='Data Entry - SOF'!B$2,'Data Entry - SOF'!G$102,0)</f>
        <v>0</v>
      </c>
      <c r="K653" s="717">
        <f t="shared" si="63"/>
        <v>170982</v>
      </c>
      <c r="L653" s="944">
        <f>IF(A653='Data Entry - SOF'!B$2,'Report-SOF2021'!D$99,0)</f>
        <v>0</v>
      </c>
      <c r="M653" s="723">
        <f>IF(A653='Data Entry - SOF'!B$2,'Data Entry - SOF'!M$102,0)</f>
        <v>0</v>
      </c>
      <c r="N653" s="717">
        <f t="shared" si="64"/>
        <v>170982</v>
      </c>
      <c r="O653" s="944">
        <f>IF(A653='Data Entry - SOF'!B$2,'Report-SOF2122'!D$91,0)</f>
        <v>0</v>
      </c>
      <c r="P653" s="723">
        <f>IF(A653='Data Entry - SOF'!B$2,'Data Entry - SOF'!O$102,0)</f>
        <v>0</v>
      </c>
      <c r="Q653" s="601">
        <f t="shared" si="61"/>
        <v>170982</v>
      </c>
      <c r="R653" s="944">
        <f>IF(A653='Data Entry - SOF'!B$2,'Report-SOF2223'!D$91,0)</f>
        <v>0</v>
      </c>
      <c r="S653" s="723">
        <f>IF(A653='Data Entry - SOF'!B$2,'Data Entry - SOF'!Q$102,0)</f>
        <v>0</v>
      </c>
      <c r="T653" s="601">
        <f t="shared" si="65"/>
        <v>170982</v>
      </c>
      <c r="U653" s="944">
        <f>IF(A653='Data Entry - SOF'!B$2,'Report-SOF2324'!D$91,0)</f>
        <v>0</v>
      </c>
      <c r="V653" s="723">
        <f>IF(A653='Data Entry - SOF'!B$2,'Data Entry - SOF'!S$102,0)</f>
        <v>0</v>
      </c>
    </row>
    <row r="654" spans="1:22" ht="15.75">
      <c r="A654" s="382" t="s">
        <v>968</v>
      </c>
      <c r="B654" s="91">
        <v>975520</v>
      </c>
      <c r="C654" s="944">
        <f>IF(A654='Data Entry - SOF'!B$2,'Report-SOF1718'!D$102,0)</f>
        <v>0</v>
      </c>
      <c r="D654" s="1037">
        <f>IF(A654='Data Entry - SOF'!B$2,'Data Entry - SOF'!#REF!,0)</f>
        <v>0</v>
      </c>
      <c r="E654" s="91">
        <f t="shared" si="60"/>
        <v>975520</v>
      </c>
      <c r="F654" s="944">
        <f>IF(A654='Data Entry - SOF'!B$2,'Report-SOF1819'!D$102,0)</f>
        <v>0</v>
      </c>
      <c r="G654" s="1037">
        <f>IF(A654='Data Entry - SOF'!B$2,'Data Entry - SOF'!E$102,0)</f>
        <v>0</v>
      </c>
      <c r="H654" s="1038">
        <f t="shared" si="62"/>
        <v>975520</v>
      </c>
      <c r="I654" s="944">
        <f>IF(A654='Data Entry - SOF'!B$2,'Report-SOF1920-HB3'!D$102,0)</f>
        <v>0</v>
      </c>
      <c r="J654" s="1037">
        <f>IF(A654='Data Entry - SOF'!B$2,'Data Entry - SOF'!G$102,0)</f>
        <v>0</v>
      </c>
      <c r="K654" s="717">
        <f t="shared" si="63"/>
        <v>975520</v>
      </c>
      <c r="L654" s="944">
        <f>IF(A654='Data Entry - SOF'!B$2,'Report-SOF2021'!D$99,0)</f>
        <v>0</v>
      </c>
      <c r="M654" s="723">
        <f>IF(A654='Data Entry - SOF'!B$2,'Data Entry - SOF'!M$102,0)</f>
        <v>0</v>
      </c>
      <c r="N654" s="717">
        <f t="shared" si="64"/>
        <v>975520</v>
      </c>
      <c r="O654" s="944">
        <f>IF(A654='Data Entry - SOF'!B$2,'Report-SOF2122'!D$91,0)</f>
        <v>0</v>
      </c>
      <c r="P654" s="723">
        <f>IF(A654='Data Entry - SOF'!B$2,'Data Entry - SOF'!O$102,0)</f>
        <v>0</v>
      </c>
      <c r="Q654" s="601">
        <f t="shared" si="61"/>
        <v>975520</v>
      </c>
      <c r="R654" s="944">
        <f>IF(A654='Data Entry - SOF'!B$2,'Report-SOF2223'!D$91,0)</f>
        <v>0</v>
      </c>
      <c r="S654" s="723">
        <f>IF(A654='Data Entry - SOF'!B$2,'Data Entry - SOF'!Q$102,0)</f>
        <v>0</v>
      </c>
      <c r="T654" s="601">
        <f t="shared" si="65"/>
        <v>975520</v>
      </c>
      <c r="U654" s="944">
        <f>IF(A654='Data Entry - SOF'!B$2,'Report-SOF2324'!D$91,0)</f>
        <v>0</v>
      </c>
      <c r="V654" s="723">
        <f>IF(A654='Data Entry - SOF'!B$2,'Data Entry - SOF'!S$102,0)</f>
        <v>0</v>
      </c>
    </row>
    <row r="655" spans="1:22" ht="15.75">
      <c r="A655" s="382" t="s">
        <v>900</v>
      </c>
      <c r="B655" s="91">
        <v>45366115</v>
      </c>
      <c r="C655" s="944">
        <f>IF(A655='Data Entry - SOF'!B$2,'Report-SOF1718'!D$102,0)</f>
        <v>0</v>
      </c>
      <c r="D655" s="1037">
        <f>IF(A655='Data Entry - SOF'!B$2,'Data Entry - SOF'!#REF!,0)</f>
        <v>0</v>
      </c>
      <c r="E655" s="91">
        <f t="shared" si="60"/>
        <v>45366115</v>
      </c>
      <c r="F655" s="944">
        <f>IF(A655='Data Entry - SOF'!B$2,'Report-SOF1819'!D$102,0)</f>
        <v>0</v>
      </c>
      <c r="G655" s="1037">
        <f>IF(A655='Data Entry - SOF'!B$2,'Data Entry - SOF'!E$102,0)</f>
        <v>0</v>
      </c>
      <c r="H655" s="1038">
        <f t="shared" si="62"/>
        <v>45366115</v>
      </c>
      <c r="I655" s="944">
        <f>IF(A655='Data Entry - SOF'!B$2,'Report-SOF1920-HB3'!D$102,0)</f>
        <v>0</v>
      </c>
      <c r="J655" s="1037">
        <f>IF(A655='Data Entry - SOF'!B$2,'Data Entry - SOF'!G$102,0)</f>
        <v>0</v>
      </c>
      <c r="K655" s="717">
        <f t="shared" si="63"/>
        <v>45366115</v>
      </c>
      <c r="L655" s="944">
        <f>IF(A655='Data Entry - SOF'!B$2,'Report-SOF2021'!D$99,0)</f>
        <v>0</v>
      </c>
      <c r="M655" s="723">
        <f>IF(A655='Data Entry - SOF'!B$2,'Data Entry - SOF'!M$102,0)</f>
        <v>0</v>
      </c>
      <c r="N655" s="717">
        <f t="shared" si="64"/>
        <v>45366115</v>
      </c>
      <c r="O655" s="944">
        <f>IF(A655='Data Entry - SOF'!B$2,'Report-SOF2122'!D$91,0)</f>
        <v>0</v>
      </c>
      <c r="P655" s="723">
        <f>IF(A655='Data Entry - SOF'!B$2,'Data Entry - SOF'!O$102,0)</f>
        <v>0</v>
      </c>
      <c r="Q655" s="601">
        <f t="shared" si="61"/>
        <v>45366115</v>
      </c>
      <c r="R655" s="944">
        <f>IF(A655='Data Entry - SOF'!B$2,'Report-SOF2223'!D$91,0)</f>
        <v>0</v>
      </c>
      <c r="S655" s="723">
        <f>IF(A655='Data Entry - SOF'!B$2,'Data Entry - SOF'!Q$102,0)</f>
        <v>0</v>
      </c>
      <c r="T655" s="601">
        <f t="shared" si="65"/>
        <v>45366115</v>
      </c>
      <c r="U655" s="944">
        <f>IF(A655='Data Entry - SOF'!B$2,'Report-SOF2324'!D$91,0)</f>
        <v>0</v>
      </c>
      <c r="V655" s="723">
        <f>IF(A655='Data Entry - SOF'!B$2,'Data Entry - SOF'!S$102,0)</f>
        <v>0</v>
      </c>
    </row>
    <row r="656" spans="1:22" ht="15.75">
      <c r="A656" s="382" t="s">
        <v>702</v>
      </c>
      <c r="B656" s="91">
        <v>4148257</v>
      </c>
      <c r="C656" s="944">
        <f>IF(A656='Data Entry - SOF'!B$2,'Report-SOF1718'!D$102,0)</f>
        <v>0</v>
      </c>
      <c r="D656" s="1037">
        <f>IF(A656='Data Entry - SOF'!B$2,'Data Entry - SOF'!#REF!,0)</f>
        <v>0</v>
      </c>
      <c r="E656" s="91">
        <f t="shared" si="60"/>
        <v>4148257</v>
      </c>
      <c r="F656" s="944">
        <f>IF(A656='Data Entry - SOF'!B$2,'Report-SOF1819'!D$102,0)</f>
        <v>0</v>
      </c>
      <c r="G656" s="1037">
        <f>IF(A656='Data Entry - SOF'!B$2,'Data Entry - SOF'!E$102,0)</f>
        <v>0</v>
      </c>
      <c r="H656" s="1038">
        <f t="shared" si="62"/>
        <v>4148257</v>
      </c>
      <c r="I656" s="944">
        <f>IF(A656='Data Entry - SOF'!B$2,'Report-SOF1920-HB3'!D$102,0)</f>
        <v>0</v>
      </c>
      <c r="J656" s="1037">
        <f>IF(A656='Data Entry - SOF'!B$2,'Data Entry - SOF'!G$102,0)</f>
        <v>0</v>
      </c>
      <c r="K656" s="717">
        <f t="shared" si="63"/>
        <v>4148257</v>
      </c>
      <c r="L656" s="944">
        <f>IF(A656='Data Entry - SOF'!B$2,'Report-SOF2021'!D$99,0)</f>
        <v>0</v>
      </c>
      <c r="M656" s="723">
        <f>IF(A656='Data Entry - SOF'!B$2,'Data Entry - SOF'!M$102,0)</f>
        <v>0</v>
      </c>
      <c r="N656" s="717">
        <f t="shared" si="64"/>
        <v>4148257</v>
      </c>
      <c r="O656" s="944">
        <f>IF(A656='Data Entry - SOF'!B$2,'Report-SOF2122'!D$91,0)</f>
        <v>0</v>
      </c>
      <c r="P656" s="723">
        <f>IF(A656='Data Entry - SOF'!B$2,'Data Entry - SOF'!O$102,0)</f>
        <v>0</v>
      </c>
      <c r="Q656" s="601">
        <f t="shared" si="61"/>
        <v>4148257</v>
      </c>
      <c r="R656" s="944">
        <f>IF(A656='Data Entry - SOF'!B$2,'Report-SOF2223'!D$91,0)</f>
        <v>0</v>
      </c>
      <c r="S656" s="723">
        <f>IF(A656='Data Entry - SOF'!B$2,'Data Entry - SOF'!Q$102,0)</f>
        <v>0</v>
      </c>
      <c r="T656" s="601">
        <f t="shared" si="65"/>
        <v>4148257</v>
      </c>
      <c r="U656" s="944">
        <f>IF(A656='Data Entry - SOF'!B$2,'Report-SOF2324'!D$91,0)</f>
        <v>0</v>
      </c>
      <c r="V656" s="723">
        <f>IF(A656='Data Entry - SOF'!B$2,'Data Entry - SOF'!S$102,0)</f>
        <v>0</v>
      </c>
    </row>
    <row r="657" spans="1:22" ht="15.75">
      <c r="A657" s="382" t="s">
        <v>969</v>
      </c>
      <c r="B657" s="91">
        <v>5237163</v>
      </c>
      <c r="C657" s="944">
        <f>IF(A657='Data Entry - SOF'!B$2,'Report-SOF1718'!D$102,0)</f>
        <v>0</v>
      </c>
      <c r="D657" s="1037">
        <f>IF(A657='Data Entry - SOF'!B$2,'Data Entry - SOF'!#REF!,0)</f>
        <v>0</v>
      </c>
      <c r="E657" s="91">
        <f t="shared" si="60"/>
        <v>5237163</v>
      </c>
      <c r="F657" s="944">
        <f>IF(A657='Data Entry - SOF'!B$2,'Report-SOF1819'!D$102,0)</f>
        <v>0</v>
      </c>
      <c r="G657" s="1037">
        <f>IF(A657='Data Entry - SOF'!B$2,'Data Entry - SOF'!E$102,0)</f>
        <v>0</v>
      </c>
      <c r="H657" s="1038">
        <f t="shared" si="62"/>
        <v>5237163</v>
      </c>
      <c r="I657" s="944">
        <f>IF(A657='Data Entry - SOF'!B$2,'Report-SOF1920-HB3'!D$102,0)</f>
        <v>0</v>
      </c>
      <c r="J657" s="1037">
        <f>IF(A657='Data Entry - SOF'!B$2,'Data Entry - SOF'!G$102,0)</f>
        <v>0</v>
      </c>
      <c r="K657" s="717">
        <f t="shared" si="63"/>
        <v>5237163</v>
      </c>
      <c r="L657" s="944">
        <f>IF(A657='Data Entry - SOF'!B$2,'Report-SOF2021'!D$99,0)</f>
        <v>0</v>
      </c>
      <c r="M657" s="723">
        <f>IF(A657='Data Entry - SOF'!B$2,'Data Entry - SOF'!M$102,0)</f>
        <v>0</v>
      </c>
      <c r="N657" s="717">
        <f t="shared" si="64"/>
        <v>5237163</v>
      </c>
      <c r="O657" s="944">
        <f>IF(A657='Data Entry - SOF'!B$2,'Report-SOF2122'!D$91,0)</f>
        <v>0</v>
      </c>
      <c r="P657" s="723">
        <f>IF(A657='Data Entry - SOF'!B$2,'Data Entry - SOF'!O$102,0)</f>
        <v>0</v>
      </c>
      <c r="Q657" s="601">
        <f t="shared" si="61"/>
        <v>5237163</v>
      </c>
      <c r="R657" s="944">
        <f>IF(A657='Data Entry - SOF'!B$2,'Report-SOF2223'!D$91,0)</f>
        <v>0</v>
      </c>
      <c r="S657" s="723">
        <f>IF(A657='Data Entry - SOF'!B$2,'Data Entry - SOF'!Q$102,0)</f>
        <v>0</v>
      </c>
      <c r="T657" s="601">
        <f t="shared" si="65"/>
        <v>5237163</v>
      </c>
      <c r="U657" s="944">
        <f>IF(A657='Data Entry - SOF'!B$2,'Report-SOF2324'!D$91,0)</f>
        <v>0</v>
      </c>
      <c r="V657" s="723">
        <f>IF(A657='Data Entry - SOF'!B$2,'Data Entry - SOF'!S$102,0)</f>
        <v>0</v>
      </c>
    </row>
    <row r="658" spans="1:22" ht="15.75">
      <c r="A658" s="382" t="s">
        <v>1835</v>
      </c>
      <c r="B658" s="91">
        <v>648756</v>
      </c>
      <c r="C658" s="944">
        <f>IF(A658='Data Entry - SOF'!B$2,'Report-SOF1718'!D$102,0)</f>
        <v>0</v>
      </c>
      <c r="D658" s="1037">
        <f>IF(A658='Data Entry - SOF'!B$2,'Data Entry - SOF'!#REF!,0)</f>
        <v>0</v>
      </c>
      <c r="E658" s="91">
        <f t="shared" si="60"/>
        <v>648756</v>
      </c>
      <c r="F658" s="944">
        <f>IF(A658='Data Entry - SOF'!B$2,'Report-SOF1819'!D$102,0)</f>
        <v>0</v>
      </c>
      <c r="G658" s="1037">
        <f>IF(A658='Data Entry - SOF'!B$2,'Data Entry - SOF'!E$102,0)</f>
        <v>0</v>
      </c>
      <c r="H658" s="1038">
        <f t="shared" si="62"/>
        <v>648756</v>
      </c>
      <c r="I658" s="944">
        <f>IF(A658='Data Entry - SOF'!B$2,'Report-SOF1920-HB3'!D$102,0)</f>
        <v>0</v>
      </c>
      <c r="J658" s="1037">
        <f>IF(A658='Data Entry - SOF'!B$2,'Data Entry - SOF'!G$102,0)</f>
        <v>0</v>
      </c>
      <c r="K658" s="717">
        <f t="shared" si="63"/>
        <v>648756</v>
      </c>
      <c r="L658" s="944">
        <f>IF(A658='Data Entry - SOF'!B$2,'Report-SOF2021'!D$99,0)</f>
        <v>0</v>
      </c>
      <c r="M658" s="723">
        <f>IF(A658='Data Entry - SOF'!B$2,'Data Entry - SOF'!M$102,0)</f>
        <v>0</v>
      </c>
      <c r="N658" s="717">
        <f t="shared" si="64"/>
        <v>648756</v>
      </c>
      <c r="O658" s="944">
        <f>IF(A658='Data Entry - SOF'!B$2,'Report-SOF2122'!D$91,0)</f>
        <v>0</v>
      </c>
      <c r="P658" s="723">
        <f>IF(A658='Data Entry - SOF'!B$2,'Data Entry - SOF'!O$102,0)</f>
        <v>0</v>
      </c>
      <c r="Q658" s="601">
        <f t="shared" si="61"/>
        <v>648756</v>
      </c>
      <c r="R658" s="944">
        <f>IF(A658='Data Entry - SOF'!B$2,'Report-SOF2223'!D$91,0)</f>
        <v>0</v>
      </c>
      <c r="S658" s="723">
        <f>IF(A658='Data Entry - SOF'!B$2,'Data Entry - SOF'!Q$102,0)</f>
        <v>0</v>
      </c>
      <c r="T658" s="601">
        <f t="shared" si="65"/>
        <v>648756</v>
      </c>
      <c r="U658" s="944">
        <f>IF(A658='Data Entry - SOF'!B$2,'Report-SOF2324'!D$91,0)</f>
        <v>0</v>
      </c>
      <c r="V658" s="723">
        <f>IF(A658='Data Entry - SOF'!B$2,'Data Entry - SOF'!S$102,0)</f>
        <v>0</v>
      </c>
    </row>
    <row r="659" spans="1:22" ht="15.75">
      <c r="A659" s="382" t="s">
        <v>1542</v>
      </c>
      <c r="B659" s="91">
        <v>3886271</v>
      </c>
      <c r="C659" s="944">
        <f>IF(A659='Data Entry - SOF'!B$2,'Report-SOF1718'!D$102,0)</f>
        <v>0</v>
      </c>
      <c r="D659" s="1037">
        <f>IF(A659='Data Entry - SOF'!B$2,'Data Entry - SOF'!#REF!,0)</f>
        <v>0</v>
      </c>
      <c r="E659" s="91">
        <f t="shared" si="60"/>
        <v>3886271</v>
      </c>
      <c r="F659" s="944">
        <f>IF(A659='Data Entry - SOF'!B$2,'Report-SOF1819'!D$102,0)</f>
        <v>0</v>
      </c>
      <c r="G659" s="1037">
        <f>IF(A659='Data Entry - SOF'!B$2,'Data Entry - SOF'!E$102,0)</f>
        <v>0</v>
      </c>
      <c r="H659" s="1038">
        <f t="shared" si="62"/>
        <v>3886271</v>
      </c>
      <c r="I659" s="944">
        <f>IF(A659='Data Entry - SOF'!B$2,'Report-SOF1920-HB3'!D$102,0)</f>
        <v>0</v>
      </c>
      <c r="J659" s="1037">
        <f>IF(A659='Data Entry - SOF'!B$2,'Data Entry - SOF'!G$102,0)</f>
        <v>0</v>
      </c>
      <c r="K659" s="717">
        <f t="shared" si="63"/>
        <v>3886271</v>
      </c>
      <c r="L659" s="944">
        <f>IF(A659='Data Entry - SOF'!B$2,'Report-SOF2021'!D$99,0)</f>
        <v>0</v>
      </c>
      <c r="M659" s="723">
        <f>IF(A659='Data Entry - SOF'!B$2,'Data Entry - SOF'!M$102,0)</f>
        <v>0</v>
      </c>
      <c r="N659" s="717">
        <f t="shared" si="64"/>
        <v>3886271</v>
      </c>
      <c r="O659" s="944">
        <f>IF(A659='Data Entry - SOF'!B$2,'Report-SOF2122'!D$91,0)</f>
        <v>0</v>
      </c>
      <c r="P659" s="723">
        <f>IF(A659='Data Entry - SOF'!B$2,'Data Entry - SOF'!O$102,0)</f>
        <v>0</v>
      </c>
      <c r="Q659" s="601">
        <f t="shared" si="61"/>
        <v>3886271</v>
      </c>
      <c r="R659" s="944">
        <f>IF(A659='Data Entry - SOF'!B$2,'Report-SOF2223'!D$91,0)</f>
        <v>0</v>
      </c>
      <c r="S659" s="723">
        <f>IF(A659='Data Entry - SOF'!B$2,'Data Entry - SOF'!Q$102,0)</f>
        <v>0</v>
      </c>
      <c r="T659" s="601">
        <f t="shared" si="65"/>
        <v>3886271</v>
      </c>
      <c r="U659" s="944">
        <f>IF(A659='Data Entry - SOF'!B$2,'Report-SOF2324'!D$91,0)</f>
        <v>0</v>
      </c>
      <c r="V659" s="723">
        <f>IF(A659='Data Entry - SOF'!B$2,'Data Entry - SOF'!S$102,0)</f>
        <v>0</v>
      </c>
    </row>
    <row r="660" spans="1:22" ht="15.75">
      <c r="A660" s="382" t="s">
        <v>113</v>
      </c>
      <c r="B660" s="91">
        <v>1498855</v>
      </c>
      <c r="C660" s="944">
        <f>IF(A660='Data Entry - SOF'!B$2,'Report-SOF1718'!D$102,0)</f>
        <v>0</v>
      </c>
      <c r="D660" s="1037">
        <f>IF(A660='Data Entry - SOF'!B$2,'Data Entry - SOF'!#REF!,0)</f>
        <v>0</v>
      </c>
      <c r="E660" s="91">
        <f t="shared" si="60"/>
        <v>1498855</v>
      </c>
      <c r="F660" s="944">
        <f>IF(A660='Data Entry - SOF'!B$2,'Report-SOF1819'!D$102,0)</f>
        <v>0</v>
      </c>
      <c r="G660" s="1037">
        <f>IF(A660='Data Entry - SOF'!B$2,'Data Entry - SOF'!E$102,0)</f>
        <v>0</v>
      </c>
      <c r="H660" s="1038">
        <f t="shared" si="62"/>
        <v>1498855</v>
      </c>
      <c r="I660" s="944">
        <f>IF(A660='Data Entry - SOF'!B$2,'Report-SOF1920-HB3'!D$102,0)</f>
        <v>0</v>
      </c>
      <c r="J660" s="1037">
        <f>IF(A660='Data Entry - SOF'!B$2,'Data Entry - SOF'!G$102,0)</f>
        <v>0</v>
      </c>
      <c r="K660" s="717">
        <f t="shared" si="63"/>
        <v>1498855</v>
      </c>
      <c r="L660" s="944">
        <f>IF(A660='Data Entry - SOF'!B$2,'Report-SOF2021'!D$99,0)</f>
        <v>0</v>
      </c>
      <c r="M660" s="723">
        <f>IF(A660='Data Entry - SOF'!B$2,'Data Entry - SOF'!M$102,0)</f>
        <v>0</v>
      </c>
      <c r="N660" s="717">
        <f t="shared" si="64"/>
        <v>1498855</v>
      </c>
      <c r="O660" s="944">
        <f>IF(A660='Data Entry - SOF'!B$2,'Report-SOF2122'!D$91,0)</f>
        <v>0</v>
      </c>
      <c r="P660" s="723">
        <f>IF(A660='Data Entry - SOF'!B$2,'Data Entry - SOF'!O$102,0)</f>
        <v>0</v>
      </c>
      <c r="Q660" s="601">
        <f t="shared" si="61"/>
        <v>1498855</v>
      </c>
      <c r="R660" s="944">
        <f>IF(A660='Data Entry - SOF'!B$2,'Report-SOF2223'!D$91,0)</f>
        <v>0</v>
      </c>
      <c r="S660" s="723">
        <f>IF(A660='Data Entry - SOF'!B$2,'Data Entry - SOF'!Q$102,0)</f>
        <v>0</v>
      </c>
      <c r="T660" s="601">
        <f t="shared" si="65"/>
        <v>1498855</v>
      </c>
      <c r="U660" s="944">
        <f>IF(A660='Data Entry - SOF'!B$2,'Report-SOF2324'!D$91,0)</f>
        <v>0</v>
      </c>
      <c r="V660" s="723">
        <f>IF(A660='Data Entry - SOF'!B$2,'Data Entry - SOF'!S$102,0)</f>
        <v>0</v>
      </c>
    </row>
    <row r="661" spans="1:22" ht="15.75">
      <c r="A661" s="382" t="s">
        <v>2086</v>
      </c>
      <c r="B661" s="91">
        <v>10992274</v>
      </c>
      <c r="C661" s="944">
        <f>IF(A661='Data Entry - SOF'!B$2,'Report-SOF1718'!D$102,0)</f>
        <v>0</v>
      </c>
      <c r="D661" s="1037">
        <f>IF(A661='Data Entry - SOF'!B$2,'Data Entry - SOF'!#REF!,0)</f>
        <v>0</v>
      </c>
      <c r="E661" s="91">
        <f t="shared" si="60"/>
        <v>10992274</v>
      </c>
      <c r="F661" s="944">
        <f>IF(A661='Data Entry - SOF'!B$2,'Report-SOF1819'!D$102,0)</f>
        <v>0</v>
      </c>
      <c r="G661" s="1037">
        <f>IF(A661='Data Entry - SOF'!B$2,'Data Entry - SOF'!E$102,0)</f>
        <v>0</v>
      </c>
      <c r="H661" s="1038">
        <f t="shared" si="62"/>
        <v>10992274</v>
      </c>
      <c r="I661" s="944">
        <f>IF(A661='Data Entry - SOF'!B$2,'Report-SOF1920-HB3'!D$102,0)</f>
        <v>0</v>
      </c>
      <c r="J661" s="1037">
        <f>IF(A661='Data Entry - SOF'!B$2,'Data Entry - SOF'!G$102,0)</f>
        <v>0</v>
      </c>
      <c r="K661" s="717">
        <f t="shared" si="63"/>
        <v>10992274</v>
      </c>
      <c r="L661" s="944">
        <f>IF(A661='Data Entry - SOF'!B$2,'Report-SOF2021'!D$99,0)</f>
        <v>0</v>
      </c>
      <c r="M661" s="723">
        <f>IF(A661='Data Entry - SOF'!B$2,'Data Entry - SOF'!M$102,0)</f>
        <v>0</v>
      </c>
      <c r="N661" s="717">
        <f t="shared" si="64"/>
        <v>10992274</v>
      </c>
      <c r="O661" s="944">
        <f>IF(A661='Data Entry - SOF'!B$2,'Report-SOF2122'!D$91,0)</f>
        <v>0</v>
      </c>
      <c r="P661" s="723">
        <f>IF(A661='Data Entry - SOF'!B$2,'Data Entry - SOF'!O$102,0)</f>
        <v>0</v>
      </c>
      <c r="Q661" s="601">
        <f t="shared" si="61"/>
        <v>10992274</v>
      </c>
      <c r="R661" s="944">
        <f>IF(A661='Data Entry - SOF'!B$2,'Report-SOF2223'!D$91,0)</f>
        <v>0</v>
      </c>
      <c r="S661" s="723">
        <f>IF(A661='Data Entry - SOF'!B$2,'Data Entry - SOF'!Q$102,0)</f>
        <v>0</v>
      </c>
      <c r="T661" s="601">
        <f t="shared" si="65"/>
        <v>10992274</v>
      </c>
      <c r="U661" s="944">
        <f>IF(A661='Data Entry - SOF'!B$2,'Report-SOF2324'!D$91,0)</f>
        <v>0</v>
      </c>
      <c r="V661" s="723">
        <f>IF(A661='Data Entry - SOF'!B$2,'Data Entry - SOF'!S$102,0)</f>
        <v>0</v>
      </c>
    </row>
    <row r="662" spans="1:22" ht="15.75">
      <c r="A662" s="382" t="s">
        <v>341</v>
      </c>
      <c r="B662" s="91">
        <v>35323633</v>
      </c>
      <c r="C662" s="944">
        <f>IF(A662='Data Entry - SOF'!B$2,'Report-SOF1718'!D$102,0)</f>
        <v>0</v>
      </c>
      <c r="D662" s="1037">
        <f>IF(A662='Data Entry - SOF'!B$2,'Data Entry - SOF'!#REF!,0)</f>
        <v>0</v>
      </c>
      <c r="E662" s="91">
        <f t="shared" si="60"/>
        <v>35323633</v>
      </c>
      <c r="F662" s="944">
        <f>IF(A662='Data Entry - SOF'!B$2,'Report-SOF1819'!D$102,0)</f>
        <v>0</v>
      </c>
      <c r="G662" s="1037">
        <f>IF(A662='Data Entry - SOF'!B$2,'Data Entry - SOF'!E$102,0)</f>
        <v>0</v>
      </c>
      <c r="H662" s="1038">
        <f t="shared" si="62"/>
        <v>35323633</v>
      </c>
      <c r="I662" s="944">
        <f>IF(A662='Data Entry - SOF'!B$2,'Report-SOF1920-HB3'!D$102,0)</f>
        <v>0</v>
      </c>
      <c r="J662" s="1037">
        <f>IF(A662='Data Entry - SOF'!B$2,'Data Entry - SOF'!G$102,0)</f>
        <v>0</v>
      </c>
      <c r="K662" s="717">
        <f t="shared" si="63"/>
        <v>35323633</v>
      </c>
      <c r="L662" s="944">
        <f>IF(A662='Data Entry - SOF'!B$2,'Report-SOF2021'!D$99,0)</f>
        <v>0</v>
      </c>
      <c r="M662" s="723">
        <f>IF(A662='Data Entry - SOF'!B$2,'Data Entry - SOF'!M$102,0)</f>
        <v>0</v>
      </c>
      <c r="N662" s="717">
        <f t="shared" si="64"/>
        <v>35323633</v>
      </c>
      <c r="O662" s="944">
        <f>IF(A662='Data Entry - SOF'!B$2,'Report-SOF2122'!D$91,0)</f>
        <v>0</v>
      </c>
      <c r="P662" s="723">
        <f>IF(A662='Data Entry - SOF'!B$2,'Data Entry - SOF'!O$102,0)</f>
        <v>0</v>
      </c>
      <c r="Q662" s="601">
        <f t="shared" si="61"/>
        <v>35323633</v>
      </c>
      <c r="R662" s="944">
        <f>IF(A662='Data Entry - SOF'!B$2,'Report-SOF2223'!D$91,0)</f>
        <v>0</v>
      </c>
      <c r="S662" s="723">
        <f>IF(A662='Data Entry - SOF'!B$2,'Data Entry - SOF'!Q$102,0)</f>
        <v>0</v>
      </c>
      <c r="T662" s="601">
        <f t="shared" si="65"/>
        <v>35323633</v>
      </c>
      <c r="U662" s="944">
        <f>IF(A662='Data Entry - SOF'!B$2,'Report-SOF2324'!D$91,0)</f>
        <v>0</v>
      </c>
      <c r="V662" s="723">
        <f>IF(A662='Data Entry - SOF'!B$2,'Data Entry - SOF'!S$102,0)</f>
        <v>0</v>
      </c>
    </row>
    <row r="663" spans="1:22" ht="15.75">
      <c r="A663" s="382" t="s">
        <v>344</v>
      </c>
      <c r="B663" s="91">
        <v>3786630</v>
      </c>
      <c r="C663" s="944">
        <f>IF(A663='Data Entry - SOF'!B$2,'Report-SOF1718'!D$102,0)</f>
        <v>0</v>
      </c>
      <c r="D663" s="1037">
        <f>IF(A663='Data Entry - SOF'!B$2,'Data Entry - SOF'!#REF!,0)</f>
        <v>0</v>
      </c>
      <c r="E663" s="91">
        <f t="shared" si="60"/>
        <v>3786630</v>
      </c>
      <c r="F663" s="944">
        <f>IF(A663='Data Entry - SOF'!B$2,'Report-SOF1819'!D$102,0)</f>
        <v>0</v>
      </c>
      <c r="G663" s="1037">
        <f>IF(A663='Data Entry - SOF'!B$2,'Data Entry - SOF'!E$102,0)</f>
        <v>0</v>
      </c>
      <c r="H663" s="1038">
        <f t="shared" si="62"/>
        <v>3786630</v>
      </c>
      <c r="I663" s="944">
        <f>IF(A663='Data Entry - SOF'!B$2,'Report-SOF1920-HB3'!D$102,0)</f>
        <v>0</v>
      </c>
      <c r="J663" s="1037">
        <f>IF(A663='Data Entry - SOF'!B$2,'Data Entry - SOF'!G$102,0)</f>
        <v>0</v>
      </c>
      <c r="K663" s="717">
        <f t="shared" si="63"/>
        <v>3786630</v>
      </c>
      <c r="L663" s="944">
        <f>IF(A663='Data Entry - SOF'!B$2,'Report-SOF2021'!D$99,0)</f>
        <v>0</v>
      </c>
      <c r="M663" s="723">
        <f>IF(A663='Data Entry - SOF'!B$2,'Data Entry - SOF'!M$102,0)</f>
        <v>0</v>
      </c>
      <c r="N663" s="717">
        <f t="shared" si="64"/>
        <v>3786630</v>
      </c>
      <c r="O663" s="944">
        <f>IF(A663='Data Entry - SOF'!B$2,'Report-SOF2122'!D$91,0)</f>
        <v>0</v>
      </c>
      <c r="P663" s="723">
        <f>IF(A663='Data Entry - SOF'!B$2,'Data Entry - SOF'!O$102,0)</f>
        <v>0</v>
      </c>
      <c r="Q663" s="601">
        <f t="shared" si="61"/>
        <v>3786630</v>
      </c>
      <c r="R663" s="944">
        <f>IF(A663='Data Entry - SOF'!B$2,'Report-SOF2223'!D$91,0)</f>
        <v>0</v>
      </c>
      <c r="S663" s="723">
        <f>IF(A663='Data Entry - SOF'!B$2,'Data Entry - SOF'!Q$102,0)</f>
        <v>0</v>
      </c>
      <c r="T663" s="601">
        <f t="shared" si="65"/>
        <v>3786630</v>
      </c>
      <c r="U663" s="944">
        <f>IF(A663='Data Entry - SOF'!B$2,'Report-SOF2324'!D$91,0)</f>
        <v>0</v>
      </c>
      <c r="V663" s="723">
        <f>IF(A663='Data Entry - SOF'!B$2,'Data Entry - SOF'!S$102,0)</f>
        <v>0</v>
      </c>
    </row>
    <row r="664" spans="1:22" ht="15.75">
      <c r="A664" s="382" t="s">
        <v>2460</v>
      </c>
      <c r="B664" s="91">
        <v>796823</v>
      </c>
      <c r="C664" s="944">
        <f>IF(A664='Data Entry - SOF'!B$2,'Report-SOF1718'!D$102,0)</f>
        <v>0</v>
      </c>
      <c r="D664" s="1037">
        <f>IF(A664='Data Entry - SOF'!B$2,'Data Entry - SOF'!#REF!,0)</f>
        <v>0</v>
      </c>
      <c r="E664" s="91">
        <f t="shared" si="60"/>
        <v>796823</v>
      </c>
      <c r="F664" s="944">
        <f>IF(A664='Data Entry - SOF'!B$2,'Report-SOF1819'!D$102,0)</f>
        <v>0</v>
      </c>
      <c r="G664" s="1037">
        <f>IF(A664='Data Entry - SOF'!B$2,'Data Entry - SOF'!E$102,0)</f>
        <v>0</v>
      </c>
      <c r="H664" s="1038">
        <f t="shared" si="62"/>
        <v>796823</v>
      </c>
      <c r="I664" s="944">
        <f>IF(A664='Data Entry - SOF'!B$2,'Report-SOF1920-HB3'!D$102,0)</f>
        <v>0</v>
      </c>
      <c r="J664" s="1037">
        <f>IF(A664='Data Entry - SOF'!B$2,'Data Entry - SOF'!G$102,0)</f>
        <v>0</v>
      </c>
      <c r="K664" s="717">
        <f t="shared" si="63"/>
        <v>796823</v>
      </c>
      <c r="L664" s="944">
        <f>IF(A664='Data Entry - SOF'!B$2,'Report-SOF2021'!D$99,0)</f>
        <v>0</v>
      </c>
      <c r="M664" s="723">
        <f>IF(A664='Data Entry - SOF'!B$2,'Data Entry - SOF'!M$102,0)</f>
        <v>0</v>
      </c>
      <c r="N664" s="717">
        <f t="shared" si="64"/>
        <v>796823</v>
      </c>
      <c r="O664" s="944">
        <f>IF(A664='Data Entry - SOF'!B$2,'Report-SOF2122'!D$91,0)</f>
        <v>0</v>
      </c>
      <c r="P664" s="723">
        <f>IF(A664='Data Entry - SOF'!B$2,'Data Entry - SOF'!O$102,0)</f>
        <v>0</v>
      </c>
      <c r="Q664" s="601">
        <f t="shared" si="61"/>
        <v>796823</v>
      </c>
      <c r="R664" s="944">
        <f>IF(A664='Data Entry - SOF'!B$2,'Report-SOF2223'!D$91,0)</f>
        <v>0</v>
      </c>
      <c r="S664" s="723">
        <f>IF(A664='Data Entry - SOF'!B$2,'Data Entry - SOF'!Q$102,0)</f>
        <v>0</v>
      </c>
      <c r="T664" s="601">
        <f t="shared" si="65"/>
        <v>796823</v>
      </c>
      <c r="U664" s="944">
        <f>IF(A664='Data Entry - SOF'!B$2,'Report-SOF2324'!D$91,0)</f>
        <v>0</v>
      </c>
      <c r="V664" s="723">
        <f>IF(A664='Data Entry - SOF'!B$2,'Data Entry - SOF'!S$102,0)</f>
        <v>0</v>
      </c>
    </row>
    <row r="665" spans="1:22" ht="15.75">
      <c r="A665" s="382" t="s">
        <v>2461</v>
      </c>
      <c r="B665" s="91">
        <v>762868</v>
      </c>
      <c r="C665" s="944">
        <f>IF(A665='Data Entry - SOF'!B$2,'Report-SOF1718'!D$102,0)</f>
        <v>0</v>
      </c>
      <c r="D665" s="1037">
        <f>IF(A665='Data Entry - SOF'!B$2,'Data Entry - SOF'!#REF!,0)</f>
        <v>0</v>
      </c>
      <c r="E665" s="91">
        <f t="shared" si="60"/>
        <v>762868</v>
      </c>
      <c r="F665" s="944">
        <f>IF(A665='Data Entry - SOF'!B$2,'Report-SOF1819'!D$102,0)</f>
        <v>0</v>
      </c>
      <c r="G665" s="1037">
        <f>IF(A665='Data Entry - SOF'!B$2,'Data Entry - SOF'!E$102,0)</f>
        <v>0</v>
      </c>
      <c r="H665" s="1038">
        <f t="shared" si="62"/>
        <v>762868</v>
      </c>
      <c r="I665" s="944">
        <f>IF(A665='Data Entry - SOF'!B$2,'Report-SOF1920-HB3'!D$102,0)</f>
        <v>0</v>
      </c>
      <c r="J665" s="1037">
        <f>IF(A665='Data Entry - SOF'!B$2,'Data Entry - SOF'!G$102,0)</f>
        <v>0</v>
      </c>
      <c r="K665" s="717">
        <f t="shared" si="63"/>
        <v>762868</v>
      </c>
      <c r="L665" s="944">
        <f>IF(A665='Data Entry - SOF'!B$2,'Report-SOF2021'!D$99,0)</f>
        <v>0</v>
      </c>
      <c r="M665" s="723">
        <f>IF(A665='Data Entry - SOF'!B$2,'Data Entry - SOF'!M$102,0)</f>
        <v>0</v>
      </c>
      <c r="N665" s="717">
        <f t="shared" si="64"/>
        <v>762868</v>
      </c>
      <c r="O665" s="944">
        <f>IF(A665='Data Entry - SOF'!B$2,'Report-SOF2122'!D$91,0)</f>
        <v>0</v>
      </c>
      <c r="P665" s="723">
        <f>IF(A665='Data Entry - SOF'!B$2,'Data Entry - SOF'!O$102,0)</f>
        <v>0</v>
      </c>
      <c r="Q665" s="601">
        <f t="shared" si="61"/>
        <v>762868</v>
      </c>
      <c r="R665" s="944">
        <f>IF(A665='Data Entry - SOF'!B$2,'Report-SOF2223'!D$91,0)</f>
        <v>0</v>
      </c>
      <c r="S665" s="723">
        <f>IF(A665='Data Entry - SOF'!B$2,'Data Entry - SOF'!Q$102,0)</f>
        <v>0</v>
      </c>
      <c r="T665" s="601">
        <f t="shared" si="65"/>
        <v>762868</v>
      </c>
      <c r="U665" s="944">
        <f>IF(A665='Data Entry - SOF'!B$2,'Report-SOF2324'!D$91,0)</f>
        <v>0</v>
      </c>
      <c r="V665" s="723">
        <f>IF(A665='Data Entry - SOF'!B$2,'Data Entry - SOF'!S$102,0)</f>
        <v>0</v>
      </c>
    </row>
    <row r="666" spans="1:22" ht="15.75">
      <c r="A666" s="382" t="s">
        <v>72</v>
      </c>
      <c r="B666" s="91">
        <v>9551738</v>
      </c>
      <c r="C666" s="944">
        <f>IF(A666='Data Entry - SOF'!B$2,'Report-SOF1718'!D$102,0)</f>
        <v>0</v>
      </c>
      <c r="D666" s="1037">
        <f>IF(A666='Data Entry - SOF'!B$2,'Data Entry - SOF'!#REF!,0)</f>
        <v>0</v>
      </c>
      <c r="E666" s="91">
        <f t="shared" si="60"/>
        <v>9551738</v>
      </c>
      <c r="F666" s="944">
        <f>IF(A666='Data Entry - SOF'!B$2,'Report-SOF1819'!D$102,0)</f>
        <v>0</v>
      </c>
      <c r="G666" s="1037">
        <f>IF(A666='Data Entry - SOF'!B$2,'Data Entry - SOF'!E$102,0)</f>
        <v>0</v>
      </c>
      <c r="H666" s="1038">
        <f t="shared" si="62"/>
        <v>9551738</v>
      </c>
      <c r="I666" s="944">
        <f>IF(A666='Data Entry - SOF'!B$2,'Report-SOF1920-HB3'!D$102,0)</f>
        <v>0</v>
      </c>
      <c r="J666" s="1037">
        <f>IF(A666='Data Entry - SOF'!B$2,'Data Entry - SOF'!G$102,0)</f>
        <v>0</v>
      </c>
      <c r="K666" s="717">
        <f t="shared" si="63"/>
        <v>9551738</v>
      </c>
      <c r="L666" s="944">
        <f>IF(A666='Data Entry - SOF'!B$2,'Report-SOF2021'!D$99,0)</f>
        <v>0</v>
      </c>
      <c r="M666" s="723">
        <f>IF(A666='Data Entry - SOF'!B$2,'Data Entry - SOF'!M$102,0)</f>
        <v>0</v>
      </c>
      <c r="N666" s="717">
        <f t="shared" si="64"/>
        <v>9551738</v>
      </c>
      <c r="O666" s="944">
        <f>IF(A666='Data Entry - SOF'!B$2,'Report-SOF2122'!D$91,0)</f>
        <v>0</v>
      </c>
      <c r="P666" s="723">
        <f>IF(A666='Data Entry - SOF'!B$2,'Data Entry - SOF'!O$102,0)</f>
        <v>0</v>
      </c>
      <c r="Q666" s="601">
        <f t="shared" si="61"/>
        <v>9551738</v>
      </c>
      <c r="R666" s="944">
        <f>IF(A666='Data Entry - SOF'!B$2,'Report-SOF2223'!D$91,0)</f>
        <v>0</v>
      </c>
      <c r="S666" s="723">
        <f>IF(A666='Data Entry - SOF'!B$2,'Data Entry - SOF'!Q$102,0)</f>
        <v>0</v>
      </c>
      <c r="T666" s="601">
        <f t="shared" si="65"/>
        <v>9551738</v>
      </c>
      <c r="U666" s="944">
        <f>IF(A666='Data Entry - SOF'!B$2,'Report-SOF2324'!D$91,0)</f>
        <v>0</v>
      </c>
      <c r="V666" s="723">
        <f>IF(A666='Data Entry - SOF'!B$2,'Data Entry - SOF'!S$102,0)</f>
        <v>0</v>
      </c>
    </row>
    <row r="667" spans="1:22" ht="15.75">
      <c r="A667" s="382" t="s">
        <v>2310</v>
      </c>
      <c r="B667" s="91">
        <v>6160096</v>
      </c>
      <c r="C667" s="944">
        <f>IF(A667='Data Entry - SOF'!B$2,'Report-SOF1718'!D$102,0)</f>
        <v>0</v>
      </c>
      <c r="D667" s="1037">
        <f>IF(A667='Data Entry - SOF'!B$2,'Data Entry - SOF'!#REF!,0)</f>
        <v>0</v>
      </c>
      <c r="E667" s="91">
        <f t="shared" si="60"/>
        <v>6160096</v>
      </c>
      <c r="F667" s="944">
        <f>IF(A667='Data Entry - SOF'!B$2,'Report-SOF1819'!D$102,0)</f>
        <v>0</v>
      </c>
      <c r="G667" s="1037">
        <f>IF(A667='Data Entry - SOF'!B$2,'Data Entry - SOF'!E$102,0)</f>
        <v>0</v>
      </c>
      <c r="H667" s="1038">
        <f t="shared" si="62"/>
        <v>6160096</v>
      </c>
      <c r="I667" s="944">
        <f>IF(A667='Data Entry - SOF'!B$2,'Report-SOF1920-HB3'!D$102,0)</f>
        <v>0</v>
      </c>
      <c r="J667" s="1037">
        <f>IF(A667='Data Entry - SOF'!B$2,'Data Entry - SOF'!G$102,0)</f>
        <v>0</v>
      </c>
      <c r="K667" s="717">
        <f t="shared" si="63"/>
        <v>6160096</v>
      </c>
      <c r="L667" s="944">
        <f>IF(A667='Data Entry - SOF'!B$2,'Report-SOF2021'!D$99,0)</f>
        <v>0</v>
      </c>
      <c r="M667" s="723">
        <f>IF(A667='Data Entry - SOF'!B$2,'Data Entry - SOF'!M$102,0)</f>
        <v>0</v>
      </c>
      <c r="N667" s="717">
        <f t="shared" si="64"/>
        <v>6160096</v>
      </c>
      <c r="O667" s="944">
        <f>IF(A667='Data Entry - SOF'!B$2,'Report-SOF2122'!D$91,0)</f>
        <v>0</v>
      </c>
      <c r="P667" s="723">
        <f>IF(A667='Data Entry - SOF'!B$2,'Data Entry - SOF'!O$102,0)</f>
        <v>0</v>
      </c>
      <c r="Q667" s="601">
        <f t="shared" si="61"/>
        <v>6160096</v>
      </c>
      <c r="R667" s="944">
        <f>IF(A667='Data Entry - SOF'!B$2,'Report-SOF2223'!D$91,0)</f>
        <v>0</v>
      </c>
      <c r="S667" s="723">
        <f>IF(A667='Data Entry - SOF'!B$2,'Data Entry - SOF'!Q$102,0)</f>
        <v>0</v>
      </c>
      <c r="T667" s="601">
        <f t="shared" si="65"/>
        <v>6160096</v>
      </c>
      <c r="U667" s="944">
        <f>IF(A667='Data Entry - SOF'!B$2,'Report-SOF2324'!D$91,0)</f>
        <v>0</v>
      </c>
      <c r="V667" s="723">
        <f>IF(A667='Data Entry - SOF'!B$2,'Data Entry - SOF'!S$102,0)</f>
        <v>0</v>
      </c>
    </row>
    <row r="668" spans="1:22" ht="15.75">
      <c r="A668" s="382" t="s">
        <v>164</v>
      </c>
      <c r="B668" s="91">
        <v>7162608</v>
      </c>
      <c r="C668" s="944">
        <f>IF(A668='Data Entry - SOF'!B$2,'Report-SOF1718'!D$102,0)</f>
        <v>0</v>
      </c>
      <c r="D668" s="1037">
        <f>IF(A668='Data Entry - SOF'!B$2,'Data Entry - SOF'!#REF!,0)</f>
        <v>0</v>
      </c>
      <c r="E668" s="91">
        <f t="shared" si="60"/>
        <v>7162608</v>
      </c>
      <c r="F668" s="944">
        <f>IF(A668='Data Entry - SOF'!B$2,'Report-SOF1819'!D$102,0)</f>
        <v>0</v>
      </c>
      <c r="G668" s="1037">
        <f>IF(A668='Data Entry - SOF'!B$2,'Data Entry - SOF'!E$102,0)</f>
        <v>0</v>
      </c>
      <c r="H668" s="1038">
        <f t="shared" si="62"/>
        <v>7162608</v>
      </c>
      <c r="I668" s="944">
        <f>IF(A668='Data Entry - SOF'!B$2,'Report-SOF1920-HB3'!D$102,0)</f>
        <v>0</v>
      </c>
      <c r="J668" s="1037">
        <f>IF(A668='Data Entry - SOF'!B$2,'Data Entry - SOF'!G$102,0)</f>
        <v>0</v>
      </c>
      <c r="K668" s="717">
        <f t="shared" si="63"/>
        <v>7162608</v>
      </c>
      <c r="L668" s="944">
        <f>IF(A668='Data Entry - SOF'!B$2,'Report-SOF2021'!D$99,0)</f>
        <v>0</v>
      </c>
      <c r="M668" s="723">
        <f>IF(A668='Data Entry - SOF'!B$2,'Data Entry - SOF'!M$102,0)</f>
        <v>0</v>
      </c>
      <c r="N668" s="717">
        <f t="shared" si="64"/>
        <v>7162608</v>
      </c>
      <c r="O668" s="944">
        <f>IF(A668='Data Entry - SOF'!B$2,'Report-SOF2122'!D$91,0)</f>
        <v>0</v>
      </c>
      <c r="P668" s="723">
        <f>IF(A668='Data Entry - SOF'!B$2,'Data Entry - SOF'!O$102,0)</f>
        <v>0</v>
      </c>
      <c r="Q668" s="601">
        <f t="shared" si="61"/>
        <v>7162608</v>
      </c>
      <c r="R668" s="944">
        <f>IF(A668='Data Entry - SOF'!B$2,'Report-SOF2223'!D$91,0)</f>
        <v>0</v>
      </c>
      <c r="S668" s="723">
        <f>IF(A668='Data Entry - SOF'!B$2,'Data Entry - SOF'!Q$102,0)</f>
        <v>0</v>
      </c>
      <c r="T668" s="601">
        <f t="shared" si="65"/>
        <v>7162608</v>
      </c>
      <c r="U668" s="944">
        <f>IF(A668='Data Entry - SOF'!B$2,'Report-SOF2324'!D$91,0)</f>
        <v>0</v>
      </c>
      <c r="V668" s="723">
        <f>IF(A668='Data Entry - SOF'!B$2,'Data Entry - SOF'!S$102,0)</f>
        <v>0</v>
      </c>
    </row>
    <row r="669" spans="1:22" ht="15.75">
      <c r="A669" s="382" t="s">
        <v>879</v>
      </c>
      <c r="B669" s="91">
        <v>1444937</v>
      </c>
      <c r="C669" s="944">
        <f>IF(A669='Data Entry - SOF'!B$2,'Report-SOF1718'!D$102,0)</f>
        <v>0</v>
      </c>
      <c r="D669" s="1037">
        <f>IF(A669='Data Entry - SOF'!B$2,'Data Entry - SOF'!#REF!,0)</f>
        <v>0</v>
      </c>
      <c r="E669" s="91">
        <f t="shared" si="60"/>
        <v>1444937</v>
      </c>
      <c r="F669" s="944">
        <f>IF(A669='Data Entry - SOF'!B$2,'Report-SOF1819'!D$102,0)</f>
        <v>0</v>
      </c>
      <c r="G669" s="1037">
        <f>IF(A669='Data Entry - SOF'!B$2,'Data Entry - SOF'!E$102,0)</f>
        <v>0</v>
      </c>
      <c r="H669" s="1038">
        <f t="shared" si="62"/>
        <v>1444937</v>
      </c>
      <c r="I669" s="944">
        <f>IF(A669='Data Entry - SOF'!B$2,'Report-SOF1920-HB3'!D$102,0)</f>
        <v>0</v>
      </c>
      <c r="J669" s="1037">
        <f>IF(A669='Data Entry - SOF'!B$2,'Data Entry - SOF'!G$102,0)</f>
        <v>0</v>
      </c>
      <c r="K669" s="717">
        <f t="shared" si="63"/>
        <v>1444937</v>
      </c>
      <c r="L669" s="944">
        <f>IF(A669='Data Entry - SOF'!B$2,'Report-SOF2021'!D$99,0)</f>
        <v>0</v>
      </c>
      <c r="M669" s="723">
        <f>IF(A669='Data Entry - SOF'!B$2,'Data Entry - SOF'!M$102,0)</f>
        <v>0</v>
      </c>
      <c r="N669" s="717">
        <f t="shared" si="64"/>
        <v>1444937</v>
      </c>
      <c r="O669" s="944">
        <f>IF(A669='Data Entry - SOF'!B$2,'Report-SOF2122'!D$91,0)</f>
        <v>0</v>
      </c>
      <c r="P669" s="723">
        <f>IF(A669='Data Entry - SOF'!B$2,'Data Entry - SOF'!O$102,0)</f>
        <v>0</v>
      </c>
      <c r="Q669" s="601">
        <f t="shared" si="61"/>
        <v>1444937</v>
      </c>
      <c r="R669" s="944">
        <f>IF(A669='Data Entry - SOF'!B$2,'Report-SOF2223'!D$91,0)</f>
        <v>0</v>
      </c>
      <c r="S669" s="723">
        <f>IF(A669='Data Entry - SOF'!B$2,'Data Entry - SOF'!Q$102,0)</f>
        <v>0</v>
      </c>
      <c r="T669" s="601">
        <f t="shared" si="65"/>
        <v>1444937</v>
      </c>
      <c r="U669" s="944">
        <f>IF(A669='Data Entry - SOF'!B$2,'Report-SOF2324'!D$91,0)</f>
        <v>0</v>
      </c>
      <c r="V669" s="723">
        <f>IF(A669='Data Entry - SOF'!B$2,'Data Entry - SOF'!S$102,0)</f>
        <v>0</v>
      </c>
    </row>
    <row r="670" spans="1:22" ht="15.75">
      <c r="A670" s="382" t="s">
        <v>1837</v>
      </c>
      <c r="B670" s="91">
        <v>761859</v>
      </c>
      <c r="C670" s="944">
        <f>IF(A670='Data Entry - SOF'!B$2,'Report-SOF1718'!D$102,0)</f>
        <v>0</v>
      </c>
      <c r="D670" s="1037">
        <f>IF(A670='Data Entry - SOF'!B$2,'Data Entry - SOF'!#REF!,0)</f>
        <v>0</v>
      </c>
      <c r="E670" s="91">
        <f t="shared" si="60"/>
        <v>761859</v>
      </c>
      <c r="F670" s="944">
        <f>IF(A670='Data Entry - SOF'!B$2,'Report-SOF1819'!D$102,0)</f>
        <v>0</v>
      </c>
      <c r="G670" s="1037">
        <f>IF(A670='Data Entry - SOF'!B$2,'Data Entry - SOF'!E$102,0)</f>
        <v>0</v>
      </c>
      <c r="H670" s="1038">
        <f t="shared" si="62"/>
        <v>761859</v>
      </c>
      <c r="I670" s="944">
        <f>IF(A670='Data Entry - SOF'!B$2,'Report-SOF1920-HB3'!D$102,0)</f>
        <v>0</v>
      </c>
      <c r="J670" s="1037">
        <f>IF(A670='Data Entry - SOF'!B$2,'Data Entry - SOF'!G$102,0)</f>
        <v>0</v>
      </c>
      <c r="K670" s="717">
        <f t="shared" si="63"/>
        <v>761859</v>
      </c>
      <c r="L670" s="944">
        <f>IF(A670='Data Entry - SOF'!B$2,'Report-SOF2021'!D$99,0)</f>
        <v>0</v>
      </c>
      <c r="M670" s="723">
        <f>IF(A670='Data Entry - SOF'!B$2,'Data Entry - SOF'!M$102,0)</f>
        <v>0</v>
      </c>
      <c r="N670" s="717">
        <f t="shared" si="64"/>
        <v>761859</v>
      </c>
      <c r="O670" s="944">
        <f>IF(A670='Data Entry - SOF'!B$2,'Report-SOF2122'!D$91,0)</f>
        <v>0</v>
      </c>
      <c r="P670" s="723">
        <f>IF(A670='Data Entry - SOF'!B$2,'Data Entry - SOF'!O$102,0)</f>
        <v>0</v>
      </c>
      <c r="Q670" s="601">
        <f t="shared" si="61"/>
        <v>761859</v>
      </c>
      <c r="R670" s="944">
        <f>IF(A670='Data Entry - SOF'!B$2,'Report-SOF2223'!D$91,0)</f>
        <v>0</v>
      </c>
      <c r="S670" s="723">
        <f>IF(A670='Data Entry - SOF'!B$2,'Data Entry - SOF'!Q$102,0)</f>
        <v>0</v>
      </c>
      <c r="T670" s="601">
        <f t="shared" si="65"/>
        <v>761859</v>
      </c>
      <c r="U670" s="944">
        <f>IF(A670='Data Entry - SOF'!B$2,'Report-SOF2324'!D$91,0)</f>
        <v>0</v>
      </c>
      <c r="V670" s="723">
        <f>IF(A670='Data Entry - SOF'!B$2,'Data Entry - SOF'!S$102,0)</f>
        <v>0</v>
      </c>
    </row>
    <row r="671" spans="1:22" ht="15.75">
      <c r="A671" s="382" t="s">
        <v>258</v>
      </c>
      <c r="B671" s="91">
        <v>615173</v>
      </c>
      <c r="C671" s="944">
        <f>IF(A671='Data Entry - SOF'!B$2,'Report-SOF1718'!D$102,0)</f>
        <v>0</v>
      </c>
      <c r="D671" s="1037">
        <f>IF(A671='Data Entry - SOF'!B$2,'Data Entry - SOF'!#REF!,0)</f>
        <v>0</v>
      </c>
      <c r="E671" s="91">
        <f t="shared" si="60"/>
        <v>615173</v>
      </c>
      <c r="F671" s="944">
        <f>IF(A671='Data Entry - SOF'!B$2,'Report-SOF1819'!D$102,0)</f>
        <v>0</v>
      </c>
      <c r="G671" s="1037">
        <f>IF(A671='Data Entry - SOF'!B$2,'Data Entry - SOF'!E$102,0)</f>
        <v>0</v>
      </c>
      <c r="H671" s="1038">
        <f t="shared" si="62"/>
        <v>615173</v>
      </c>
      <c r="I671" s="944">
        <f>IF(A671='Data Entry - SOF'!B$2,'Report-SOF1920-HB3'!D$102,0)</f>
        <v>0</v>
      </c>
      <c r="J671" s="1037">
        <f>IF(A671='Data Entry - SOF'!B$2,'Data Entry - SOF'!G$102,0)</f>
        <v>0</v>
      </c>
      <c r="K671" s="717">
        <f t="shared" si="63"/>
        <v>615173</v>
      </c>
      <c r="L671" s="944">
        <f>IF(A671='Data Entry - SOF'!B$2,'Report-SOF2021'!D$99,0)</f>
        <v>0</v>
      </c>
      <c r="M671" s="723">
        <f>IF(A671='Data Entry - SOF'!B$2,'Data Entry - SOF'!M$102,0)</f>
        <v>0</v>
      </c>
      <c r="N671" s="717">
        <f t="shared" si="64"/>
        <v>615173</v>
      </c>
      <c r="O671" s="944">
        <f>IF(A671='Data Entry - SOF'!B$2,'Report-SOF2122'!D$91,0)</f>
        <v>0</v>
      </c>
      <c r="P671" s="723">
        <f>IF(A671='Data Entry - SOF'!B$2,'Data Entry - SOF'!O$102,0)</f>
        <v>0</v>
      </c>
      <c r="Q671" s="601">
        <f t="shared" si="61"/>
        <v>615173</v>
      </c>
      <c r="R671" s="944">
        <f>IF(A671='Data Entry - SOF'!B$2,'Report-SOF2223'!D$91,0)</f>
        <v>0</v>
      </c>
      <c r="S671" s="723">
        <f>IF(A671='Data Entry - SOF'!B$2,'Data Entry - SOF'!Q$102,0)</f>
        <v>0</v>
      </c>
      <c r="T671" s="601">
        <f t="shared" si="65"/>
        <v>615173</v>
      </c>
      <c r="U671" s="944">
        <f>IF(A671='Data Entry - SOF'!B$2,'Report-SOF2324'!D$91,0)</f>
        <v>0</v>
      </c>
      <c r="V671" s="723">
        <f>IF(A671='Data Entry - SOF'!B$2,'Data Entry - SOF'!S$102,0)</f>
        <v>0</v>
      </c>
    </row>
    <row r="672" spans="1:22" ht="15.75">
      <c r="A672" s="382" t="s">
        <v>1585</v>
      </c>
      <c r="B672" s="91">
        <v>15444025.254731599</v>
      </c>
      <c r="C672" s="944">
        <f>IF(A672='Data Entry - SOF'!B$2,'Report-SOF1718'!D$102,0)</f>
        <v>0</v>
      </c>
      <c r="D672" s="1037">
        <f>IF(A672='Data Entry - SOF'!B$2,'Data Entry - SOF'!#REF!,0)</f>
        <v>0</v>
      </c>
      <c r="E672" s="91">
        <f t="shared" si="60"/>
        <v>15444025.254731599</v>
      </c>
      <c r="F672" s="944">
        <f>IF(A672='Data Entry - SOF'!B$2,'Report-SOF1819'!D$102,0)</f>
        <v>0</v>
      </c>
      <c r="G672" s="1037">
        <f>IF(A672='Data Entry - SOF'!B$2,'Data Entry - SOF'!E$102,0)</f>
        <v>0</v>
      </c>
      <c r="H672" s="1038">
        <f t="shared" si="62"/>
        <v>15444025.254731599</v>
      </c>
      <c r="I672" s="944">
        <f>IF(A672='Data Entry - SOF'!B$2,'Report-SOF1920-HB3'!D$102,0)</f>
        <v>0</v>
      </c>
      <c r="J672" s="1037">
        <f>IF(A672='Data Entry - SOF'!B$2,'Data Entry - SOF'!G$102,0)</f>
        <v>0</v>
      </c>
      <c r="K672" s="717">
        <f t="shared" si="63"/>
        <v>15444025.254731599</v>
      </c>
      <c r="L672" s="944">
        <f>IF(A672='Data Entry - SOF'!B$2,'Report-SOF2021'!D$99,0)</f>
        <v>0</v>
      </c>
      <c r="M672" s="723">
        <f>IF(A672='Data Entry - SOF'!B$2,'Data Entry - SOF'!M$102,0)</f>
        <v>0</v>
      </c>
      <c r="N672" s="717">
        <f t="shared" si="64"/>
        <v>15444025.254731599</v>
      </c>
      <c r="O672" s="944">
        <f>IF(A672='Data Entry - SOF'!B$2,'Report-SOF2122'!D$91,0)</f>
        <v>0</v>
      </c>
      <c r="P672" s="723">
        <f>IF(A672='Data Entry - SOF'!B$2,'Data Entry - SOF'!O$102,0)</f>
        <v>0</v>
      </c>
      <c r="Q672" s="601">
        <f t="shared" si="61"/>
        <v>15444025.254731599</v>
      </c>
      <c r="R672" s="944">
        <f>IF(A672='Data Entry - SOF'!B$2,'Report-SOF2223'!D$91,0)</f>
        <v>0</v>
      </c>
      <c r="S672" s="723">
        <f>IF(A672='Data Entry - SOF'!B$2,'Data Entry - SOF'!Q$102,0)</f>
        <v>0</v>
      </c>
      <c r="T672" s="601">
        <f t="shared" si="65"/>
        <v>15444025.254731599</v>
      </c>
      <c r="U672" s="944">
        <f>IF(A672='Data Entry - SOF'!B$2,'Report-SOF2324'!D$91,0)</f>
        <v>0</v>
      </c>
      <c r="V672" s="723">
        <f>IF(A672='Data Entry - SOF'!B$2,'Data Entry - SOF'!S$102,0)</f>
        <v>0</v>
      </c>
    </row>
    <row r="673" spans="1:22" ht="15.75">
      <c r="A673" s="382" t="s">
        <v>1134</v>
      </c>
      <c r="B673" s="91">
        <v>3015521</v>
      </c>
      <c r="C673" s="944">
        <f>IF(A673='Data Entry - SOF'!B$2,'Report-SOF1718'!D$102,0)</f>
        <v>0</v>
      </c>
      <c r="D673" s="1037">
        <f>IF(A673='Data Entry - SOF'!B$2,'Data Entry - SOF'!#REF!,0)</f>
        <v>0</v>
      </c>
      <c r="E673" s="91">
        <f t="shared" si="60"/>
        <v>3015521</v>
      </c>
      <c r="F673" s="944">
        <f>IF(A673='Data Entry - SOF'!B$2,'Report-SOF1819'!D$102,0)</f>
        <v>0</v>
      </c>
      <c r="G673" s="1037">
        <f>IF(A673='Data Entry - SOF'!B$2,'Data Entry - SOF'!E$102,0)</f>
        <v>0</v>
      </c>
      <c r="H673" s="1038">
        <f t="shared" si="62"/>
        <v>3015521</v>
      </c>
      <c r="I673" s="944">
        <f>IF(A673='Data Entry - SOF'!B$2,'Report-SOF1920-HB3'!D$102,0)</f>
        <v>0</v>
      </c>
      <c r="J673" s="1037">
        <f>IF(A673='Data Entry - SOF'!B$2,'Data Entry - SOF'!G$102,0)</f>
        <v>0</v>
      </c>
      <c r="K673" s="717">
        <f t="shared" si="63"/>
        <v>3015521</v>
      </c>
      <c r="L673" s="944">
        <f>IF(A673='Data Entry - SOF'!B$2,'Report-SOF2021'!D$99,0)</f>
        <v>0</v>
      </c>
      <c r="M673" s="723">
        <f>IF(A673='Data Entry - SOF'!B$2,'Data Entry - SOF'!M$102,0)</f>
        <v>0</v>
      </c>
      <c r="N673" s="717">
        <f t="shared" si="64"/>
        <v>3015521</v>
      </c>
      <c r="O673" s="944">
        <f>IF(A673='Data Entry - SOF'!B$2,'Report-SOF2122'!D$91,0)</f>
        <v>0</v>
      </c>
      <c r="P673" s="723">
        <f>IF(A673='Data Entry - SOF'!B$2,'Data Entry - SOF'!O$102,0)</f>
        <v>0</v>
      </c>
      <c r="Q673" s="601">
        <f t="shared" si="61"/>
        <v>3015521</v>
      </c>
      <c r="R673" s="944">
        <f>IF(A673='Data Entry - SOF'!B$2,'Report-SOF2223'!D$91,0)</f>
        <v>0</v>
      </c>
      <c r="S673" s="723">
        <f>IF(A673='Data Entry - SOF'!B$2,'Data Entry - SOF'!Q$102,0)</f>
        <v>0</v>
      </c>
      <c r="T673" s="601">
        <f t="shared" si="65"/>
        <v>3015521</v>
      </c>
      <c r="U673" s="944">
        <f>IF(A673='Data Entry - SOF'!B$2,'Report-SOF2324'!D$91,0)</f>
        <v>0</v>
      </c>
      <c r="V673" s="723">
        <f>IF(A673='Data Entry - SOF'!B$2,'Data Entry - SOF'!S$102,0)</f>
        <v>0</v>
      </c>
    </row>
    <row r="674" spans="1:22" ht="15.75">
      <c r="A674" s="382" t="s">
        <v>1989</v>
      </c>
      <c r="B674" s="91">
        <v>1630738</v>
      </c>
      <c r="C674" s="944">
        <f>IF(A674='Data Entry - SOF'!B$2,'Report-SOF1718'!D$102,0)</f>
        <v>0</v>
      </c>
      <c r="D674" s="1037">
        <f>IF(A674='Data Entry - SOF'!B$2,'Data Entry - SOF'!#REF!,0)</f>
        <v>0</v>
      </c>
      <c r="E674" s="91">
        <f t="shared" si="60"/>
        <v>1630738</v>
      </c>
      <c r="F674" s="944">
        <f>IF(A674='Data Entry - SOF'!B$2,'Report-SOF1819'!D$102,0)</f>
        <v>0</v>
      </c>
      <c r="G674" s="1037">
        <f>IF(A674='Data Entry - SOF'!B$2,'Data Entry - SOF'!E$102,0)</f>
        <v>0</v>
      </c>
      <c r="H674" s="1038">
        <f t="shared" si="62"/>
        <v>1630738</v>
      </c>
      <c r="I674" s="944">
        <f>IF(A674='Data Entry - SOF'!B$2,'Report-SOF1920-HB3'!D$102,0)</f>
        <v>0</v>
      </c>
      <c r="J674" s="1037">
        <f>IF(A674='Data Entry - SOF'!B$2,'Data Entry - SOF'!G$102,0)</f>
        <v>0</v>
      </c>
      <c r="K674" s="717">
        <f t="shared" si="63"/>
        <v>1630738</v>
      </c>
      <c r="L674" s="944">
        <f>IF(A674='Data Entry - SOF'!B$2,'Report-SOF2021'!D$99,0)</f>
        <v>0</v>
      </c>
      <c r="M674" s="723">
        <f>IF(A674='Data Entry - SOF'!B$2,'Data Entry - SOF'!M$102,0)</f>
        <v>0</v>
      </c>
      <c r="N674" s="717">
        <f t="shared" si="64"/>
        <v>1630738</v>
      </c>
      <c r="O674" s="944">
        <f>IF(A674='Data Entry - SOF'!B$2,'Report-SOF2122'!D$91,0)</f>
        <v>0</v>
      </c>
      <c r="P674" s="723">
        <f>IF(A674='Data Entry - SOF'!B$2,'Data Entry - SOF'!O$102,0)</f>
        <v>0</v>
      </c>
      <c r="Q674" s="601">
        <f t="shared" si="61"/>
        <v>1630738</v>
      </c>
      <c r="R674" s="944">
        <f>IF(A674='Data Entry - SOF'!B$2,'Report-SOF2223'!D$91,0)</f>
        <v>0</v>
      </c>
      <c r="S674" s="723">
        <f>IF(A674='Data Entry - SOF'!B$2,'Data Entry - SOF'!Q$102,0)</f>
        <v>0</v>
      </c>
      <c r="T674" s="601">
        <f t="shared" si="65"/>
        <v>1630738</v>
      </c>
      <c r="U674" s="944">
        <f>IF(A674='Data Entry - SOF'!B$2,'Report-SOF2324'!D$91,0)</f>
        <v>0</v>
      </c>
      <c r="V674" s="723">
        <f>IF(A674='Data Entry - SOF'!B$2,'Data Entry - SOF'!S$102,0)</f>
        <v>0</v>
      </c>
    </row>
    <row r="675" spans="1:22" ht="15.75">
      <c r="A675" s="382" t="s">
        <v>920</v>
      </c>
      <c r="B675" s="91">
        <v>1682327</v>
      </c>
      <c r="C675" s="944">
        <f>IF(A675='Data Entry - SOF'!B$2,'Report-SOF1718'!D$102,0)</f>
        <v>0</v>
      </c>
      <c r="D675" s="1037">
        <f>IF(A675='Data Entry - SOF'!B$2,'Data Entry - SOF'!#REF!,0)</f>
        <v>0</v>
      </c>
      <c r="E675" s="91">
        <f t="shared" si="60"/>
        <v>1682327</v>
      </c>
      <c r="F675" s="944">
        <f>IF(A675='Data Entry - SOF'!B$2,'Report-SOF1819'!D$102,0)</f>
        <v>0</v>
      </c>
      <c r="G675" s="1037">
        <f>IF(A675='Data Entry - SOF'!B$2,'Data Entry - SOF'!E$102,0)</f>
        <v>0</v>
      </c>
      <c r="H675" s="1038">
        <f t="shared" si="62"/>
        <v>1682327</v>
      </c>
      <c r="I675" s="944">
        <f>IF(A675='Data Entry - SOF'!B$2,'Report-SOF1920-HB3'!D$102,0)</f>
        <v>0</v>
      </c>
      <c r="J675" s="1037">
        <f>IF(A675='Data Entry - SOF'!B$2,'Data Entry - SOF'!G$102,0)</f>
        <v>0</v>
      </c>
      <c r="K675" s="717">
        <f t="shared" si="63"/>
        <v>1682327</v>
      </c>
      <c r="L675" s="944">
        <f>IF(A675='Data Entry - SOF'!B$2,'Report-SOF2021'!D$99,0)</f>
        <v>0</v>
      </c>
      <c r="M675" s="723">
        <f>IF(A675='Data Entry - SOF'!B$2,'Data Entry - SOF'!M$102,0)</f>
        <v>0</v>
      </c>
      <c r="N675" s="717">
        <f t="shared" si="64"/>
        <v>1682327</v>
      </c>
      <c r="O675" s="944">
        <f>IF(A675='Data Entry - SOF'!B$2,'Report-SOF2122'!D$91,0)</f>
        <v>0</v>
      </c>
      <c r="P675" s="723">
        <f>IF(A675='Data Entry - SOF'!B$2,'Data Entry - SOF'!O$102,0)</f>
        <v>0</v>
      </c>
      <c r="Q675" s="601">
        <f t="shared" si="61"/>
        <v>1682327</v>
      </c>
      <c r="R675" s="944">
        <f>IF(A675='Data Entry - SOF'!B$2,'Report-SOF2223'!D$91,0)</f>
        <v>0</v>
      </c>
      <c r="S675" s="723">
        <f>IF(A675='Data Entry - SOF'!B$2,'Data Entry - SOF'!Q$102,0)</f>
        <v>0</v>
      </c>
      <c r="T675" s="601">
        <f t="shared" si="65"/>
        <v>1682327</v>
      </c>
      <c r="U675" s="944">
        <f>IF(A675='Data Entry - SOF'!B$2,'Report-SOF2324'!D$91,0)</f>
        <v>0</v>
      </c>
      <c r="V675" s="723">
        <f>IF(A675='Data Entry - SOF'!B$2,'Data Entry - SOF'!S$102,0)</f>
        <v>0</v>
      </c>
    </row>
    <row r="676" spans="1:22" ht="15.75">
      <c r="A676" s="382" t="s">
        <v>171</v>
      </c>
      <c r="B676" s="91">
        <v>5754728</v>
      </c>
      <c r="C676" s="944">
        <f>IF(A676='Data Entry - SOF'!B$2,'Report-SOF1718'!D$102,0)</f>
        <v>0</v>
      </c>
      <c r="D676" s="1037">
        <f>IF(A676='Data Entry - SOF'!B$2,'Data Entry - SOF'!#REF!,0)</f>
        <v>0</v>
      </c>
      <c r="E676" s="91">
        <f t="shared" si="60"/>
        <v>5754728</v>
      </c>
      <c r="F676" s="944">
        <f>IF(A676='Data Entry - SOF'!B$2,'Report-SOF1819'!D$102,0)</f>
        <v>0</v>
      </c>
      <c r="G676" s="1037">
        <f>IF(A676='Data Entry - SOF'!B$2,'Data Entry - SOF'!E$102,0)</f>
        <v>0</v>
      </c>
      <c r="H676" s="1038">
        <f t="shared" si="62"/>
        <v>5754728</v>
      </c>
      <c r="I676" s="944">
        <f>IF(A676='Data Entry - SOF'!B$2,'Report-SOF1920-HB3'!D$102,0)</f>
        <v>0</v>
      </c>
      <c r="J676" s="1037">
        <f>IF(A676='Data Entry - SOF'!B$2,'Data Entry - SOF'!G$102,0)</f>
        <v>0</v>
      </c>
      <c r="K676" s="717">
        <f t="shared" si="63"/>
        <v>5754728</v>
      </c>
      <c r="L676" s="944">
        <f>IF(A676='Data Entry - SOF'!B$2,'Report-SOF2021'!D$99,0)</f>
        <v>0</v>
      </c>
      <c r="M676" s="723">
        <f>IF(A676='Data Entry - SOF'!B$2,'Data Entry - SOF'!M$102,0)</f>
        <v>0</v>
      </c>
      <c r="N676" s="717">
        <f t="shared" si="64"/>
        <v>5754728</v>
      </c>
      <c r="O676" s="944">
        <f>IF(A676='Data Entry - SOF'!B$2,'Report-SOF2122'!D$91,0)</f>
        <v>0</v>
      </c>
      <c r="P676" s="723">
        <f>IF(A676='Data Entry - SOF'!B$2,'Data Entry - SOF'!O$102,0)</f>
        <v>0</v>
      </c>
      <c r="Q676" s="601">
        <f t="shared" si="61"/>
        <v>5754728</v>
      </c>
      <c r="R676" s="944">
        <f>IF(A676='Data Entry - SOF'!B$2,'Report-SOF2223'!D$91,0)</f>
        <v>0</v>
      </c>
      <c r="S676" s="723">
        <f>IF(A676='Data Entry - SOF'!B$2,'Data Entry - SOF'!Q$102,0)</f>
        <v>0</v>
      </c>
      <c r="T676" s="601">
        <f t="shared" si="65"/>
        <v>5754728</v>
      </c>
      <c r="U676" s="944">
        <f>IF(A676='Data Entry - SOF'!B$2,'Report-SOF2324'!D$91,0)</f>
        <v>0</v>
      </c>
      <c r="V676" s="723">
        <f>IF(A676='Data Entry - SOF'!B$2,'Data Entry - SOF'!S$102,0)</f>
        <v>0</v>
      </c>
    </row>
    <row r="677" spans="1:22" ht="15.75">
      <c r="A677" s="382" t="s">
        <v>2531</v>
      </c>
      <c r="B677" s="91">
        <v>13974610</v>
      </c>
      <c r="C677" s="944">
        <f>IF(A677='Data Entry - SOF'!B$2,'Report-SOF1718'!D$102,0)</f>
        <v>0</v>
      </c>
      <c r="D677" s="1037">
        <f>IF(A677='Data Entry - SOF'!B$2,'Data Entry - SOF'!#REF!,0)</f>
        <v>0</v>
      </c>
      <c r="E677" s="91">
        <f t="shared" si="60"/>
        <v>13974610</v>
      </c>
      <c r="F677" s="944">
        <f>IF(A677='Data Entry - SOF'!B$2,'Report-SOF1819'!D$102,0)</f>
        <v>0</v>
      </c>
      <c r="G677" s="1037">
        <f>IF(A677='Data Entry - SOF'!B$2,'Data Entry - SOF'!E$102,0)</f>
        <v>0</v>
      </c>
      <c r="H677" s="1038">
        <f t="shared" si="62"/>
        <v>13974610</v>
      </c>
      <c r="I677" s="944">
        <f>IF(A677='Data Entry - SOF'!B$2,'Report-SOF1920-HB3'!D$102,0)</f>
        <v>0</v>
      </c>
      <c r="J677" s="1037">
        <f>IF(A677='Data Entry - SOF'!B$2,'Data Entry - SOF'!G$102,0)</f>
        <v>0</v>
      </c>
      <c r="K677" s="717">
        <f t="shared" si="63"/>
        <v>13974610</v>
      </c>
      <c r="L677" s="944">
        <f>IF(A677='Data Entry - SOF'!B$2,'Report-SOF2021'!D$99,0)</f>
        <v>0</v>
      </c>
      <c r="M677" s="723">
        <f>IF(A677='Data Entry - SOF'!B$2,'Data Entry - SOF'!M$102,0)</f>
        <v>0</v>
      </c>
      <c r="N677" s="717">
        <f t="shared" si="64"/>
        <v>13974610</v>
      </c>
      <c r="O677" s="944">
        <f>IF(A677='Data Entry - SOF'!B$2,'Report-SOF2122'!D$91,0)</f>
        <v>0</v>
      </c>
      <c r="P677" s="723">
        <f>IF(A677='Data Entry - SOF'!B$2,'Data Entry - SOF'!O$102,0)</f>
        <v>0</v>
      </c>
      <c r="Q677" s="601">
        <f t="shared" si="61"/>
        <v>13974610</v>
      </c>
      <c r="R677" s="944">
        <f>IF(A677='Data Entry - SOF'!B$2,'Report-SOF2223'!D$91,0)</f>
        <v>0</v>
      </c>
      <c r="S677" s="723">
        <f>IF(A677='Data Entry - SOF'!B$2,'Data Entry - SOF'!Q$102,0)</f>
        <v>0</v>
      </c>
      <c r="T677" s="601">
        <f t="shared" si="65"/>
        <v>13974610</v>
      </c>
      <c r="U677" s="944">
        <f>IF(A677='Data Entry - SOF'!B$2,'Report-SOF2324'!D$91,0)</f>
        <v>0</v>
      </c>
      <c r="V677" s="723">
        <f>IF(A677='Data Entry - SOF'!B$2,'Data Entry - SOF'!S$102,0)</f>
        <v>0</v>
      </c>
    </row>
    <row r="678" spans="1:22" ht="15.75">
      <c r="A678" s="382" t="s">
        <v>2583</v>
      </c>
      <c r="B678" s="91">
        <v>1178022</v>
      </c>
      <c r="C678" s="944">
        <f>IF(A678='Data Entry - SOF'!B$2,'Report-SOF1718'!D$102,0)</f>
        <v>0</v>
      </c>
      <c r="D678" s="1037">
        <f>IF(A678='Data Entry - SOF'!B$2,'Data Entry - SOF'!#REF!,0)</f>
        <v>0</v>
      </c>
      <c r="E678" s="91">
        <f t="shared" si="60"/>
        <v>1178022</v>
      </c>
      <c r="F678" s="944">
        <f>IF(A678='Data Entry - SOF'!B$2,'Report-SOF1819'!D$102,0)</f>
        <v>0</v>
      </c>
      <c r="G678" s="1037">
        <f>IF(A678='Data Entry - SOF'!B$2,'Data Entry - SOF'!E$102,0)</f>
        <v>0</v>
      </c>
      <c r="H678" s="1038">
        <f t="shared" si="62"/>
        <v>1178022</v>
      </c>
      <c r="I678" s="944">
        <f>IF(A678='Data Entry - SOF'!B$2,'Report-SOF1920-HB3'!D$102,0)</f>
        <v>0</v>
      </c>
      <c r="J678" s="1037">
        <f>IF(A678='Data Entry - SOF'!B$2,'Data Entry - SOF'!G$102,0)</f>
        <v>0</v>
      </c>
      <c r="K678" s="717">
        <f t="shared" si="63"/>
        <v>1178022</v>
      </c>
      <c r="L678" s="944">
        <f>IF(A678='Data Entry - SOF'!B$2,'Report-SOF2021'!D$99,0)</f>
        <v>0</v>
      </c>
      <c r="M678" s="723">
        <f>IF(A678='Data Entry - SOF'!B$2,'Data Entry - SOF'!M$102,0)</f>
        <v>0</v>
      </c>
      <c r="N678" s="717">
        <f t="shared" si="64"/>
        <v>1178022</v>
      </c>
      <c r="O678" s="944">
        <f>IF(A678='Data Entry - SOF'!B$2,'Report-SOF2122'!D$91,0)</f>
        <v>0</v>
      </c>
      <c r="P678" s="723">
        <f>IF(A678='Data Entry - SOF'!B$2,'Data Entry - SOF'!O$102,0)</f>
        <v>0</v>
      </c>
      <c r="Q678" s="601">
        <f t="shared" si="61"/>
        <v>1178022</v>
      </c>
      <c r="R678" s="944">
        <f>IF(A678='Data Entry - SOF'!B$2,'Report-SOF2223'!D$91,0)</f>
        <v>0</v>
      </c>
      <c r="S678" s="723">
        <f>IF(A678='Data Entry - SOF'!B$2,'Data Entry - SOF'!Q$102,0)</f>
        <v>0</v>
      </c>
      <c r="T678" s="601">
        <f t="shared" si="65"/>
        <v>1178022</v>
      </c>
      <c r="U678" s="944">
        <f>IF(A678='Data Entry - SOF'!B$2,'Report-SOF2324'!D$91,0)</f>
        <v>0</v>
      </c>
      <c r="V678" s="723">
        <f>IF(A678='Data Entry - SOF'!B$2,'Data Entry - SOF'!S$102,0)</f>
        <v>0</v>
      </c>
    </row>
    <row r="679" spans="1:22" ht="15.75">
      <c r="A679" s="382" t="s">
        <v>2534</v>
      </c>
      <c r="B679" s="91">
        <v>125427066.12347201</v>
      </c>
      <c r="C679" s="944">
        <f>IF(A679='Data Entry - SOF'!B$2,'Report-SOF1718'!D$102,0)</f>
        <v>0</v>
      </c>
      <c r="D679" s="1037">
        <f>IF(A679='Data Entry - SOF'!B$2,'Data Entry - SOF'!#REF!,0)</f>
        <v>0</v>
      </c>
      <c r="E679" s="91">
        <f t="shared" si="60"/>
        <v>125427066.12347201</v>
      </c>
      <c r="F679" s="944">
        <f>IF(A679='Data Entry - SOF'!B$2,'Report-SOF1819'!D$102,0)</f>
        <v>0</v>
      </c>
      <c r="G679" s="1037">
        <f>IF(A679='Data Entry - SOF'!B$2,'Data Entry - SOF'!E$102,0)</f>
        <v>0</v>
      </c>
      <c r="H679" s="1038">
        <f t="shared" si="62"/>
        <v>125427066.12347201</v>
      </c>
      <c r="I679" s="944">
        <f>IF(A679='Data Entry - SOF'!B$2,'Report-SOF1920-HB3'!D$102,0)</f>
        <v>0</v>
      </c>
      <c r="J679" s="1037">
        <f>IF(A679='Data Entry - SOF'!B$2,'Data Entry - SOF'!G$102,0)</f>
        <v>0</v>
      </c>
      <c r="K679" s="717">
        <f t="shared" si="63"/>
        <v>125427066.12347201</v>
      </c>
      <c r="L679" s="944">
        <f>IF(A679='Data Entry - SOF'!B$2,'Report-SOF2021'!D$99,0)</f>
        <v>0</v>
      </c>
      <c r="M679" s="723">
        <f>IF(A679='Data Entry - SOF'!B$2,'Data Entry - SOF'!M$102,0)</f>
        <v>0</v>
      </c>
      <c r="N679" s="717">
        <f t="shared" si="64"/>
        <v>125427066.12347201</v>
      </c>
      <c r="O679" s="944">
        <f>IF(A679='Data Entry - SOF'!B$2,'Report-SOF2122'!D$91,0)</f>
        <v>0</v>
      </c>
      <c r="P679" s="723">
        <f>IF(A679='Data Entry - SOF'!B$2,'Data Entry - SOF'!O$102,0)</f>
        <v>0</v>
      </c>
      <c r="Q679" s="601">
        <f t="shared" si="61"/>
        <v>125427066.12347201</v>
      </c>
      <c r="R679" s="944">
        <f>IF(A679='Data Entry - SOF'!B$2,'Report-SOF2223'!D$91,0)</f>
        <v>0</v>
      </c>
      <c r="S679" s="723">
        <f>IF(A679='Data Entry - SOF'!B$2,'Data Entry - SOF'!Q$102,0)</f>
        <v>0</v>
      </c>
      <c r="T679" s="601">
        <f t="shared" si="65"/>
        <v>125427066.12347201</v>
      </c>
      <c r="U679" s="944">
        <f>IF(A679='Data Entry - SOF'!B$2,'Report-SOF2324'!D$91,0)</f>
        <v>0</v>
      </c>
      <c r="V679" s="723">
        <f>IF(A679='Data Entry - SOF'!B$2,'Data Entry - SOF'!S$102,0)</f>
        <v>0</v>
      </c>
    </row>
    <row r="680" spans="1:22" ht="15.75">
      <c r="A680" s="382" t="s">
        <v>1300</v>
      </c>
      <c r="B680" s="91">
        <v>19061789</v>
      </c>
      <c r="C680" s="944">
        <f>IF(A680='Data Entry - SOF'!B$2,'Report-SOF1718'!D$102,0)</f>
        <v>0</v>
      </c>
      <c r="D680" s="1037">
        <f>IF(A680='Data Entry - SOF'!B$2,'Data Entry - SOF'!#REF!,0)</f>
        <v>0</v>
      </c>
      <c r="E680" s="91">
        <f t="shared" si="60"/>
        <v>19061789</v>
      </c>
      <c r="F680" s="944">
        <f>IF(A680='Data Entry - SOF'!B$2,'Report-SOF1819'!D$102,0)</f>
        <v>0</v>
      </c>
      <c r="G680" s="1037">
        <f>IF(A680='Data Entry - SOF'!B$2,'Data Entry - SOF'!E$102,0)</f>
        <v>0</v>
      </c>
      <c r="H680" s="1038">
        <f t="shared" si="62"/>
        <v>19061789</v>
      </c>
      <c r="I680" s="944">
        <f>IF(A680='Data Entry - SOF'!B$2,'Report-SOF1920-HB3'!D$102,0)</f>
        <v>0</v>
      </c>
      <c r="J680" s="1037">
        <f>IF(A680='Data Entry - SOF'!B$2,'Data Entry - SOF'!G$102,0)</f>
        <v>0</v>
      </c>
      <c r="K680" s="717">
        <f t="shared" si="63"/>
        <v>19061789</v>
      </c>
      <c r="L680" s="944">
        <f>IF(A680='Data Entry - SOF'!B$2,'Report-SOF2021'!D$99,0)</f>
        <v>0</v>
      </c>
      <c r="M680" s="723">
        <f>IF(A680='Data Entry - SOF'!B$2,'Data Entry - SOF'!M$102,0)</f>
        <v>0</v>
      </c>
      <c r="N680" s="717">
        <f t="shared" si="64"/>
        <v>19061789</v>
      </c>
      <c r="O680" s="944">
        <f>IF(A680='Data Entry - SOF'!B$2,'Report-SOF2122'!D$91,0)</f>
        <v>0</v>
      </c>
      <c r="P680" s="723">
        <f>IF(A680='Data Entry - SOF'!B$2,'Data Entry - SOF'!O$102,0)</f>
        <v>0</v>
      </c>
      <c r="Q680" s="601">
        <f t="shared" si="61"/>
        <v>19061789</v>
      </c>
      <c r="R680" s="944">
        <f>IF(A680='Data Entry - SOF'!B$2,'Report-SOF2223'!D$91,0)</f>
        <v>0</v>
      </c>
      <c r="S680" s="723">
        <f>IF(A680='Data Entry - SOF'!B$2,'Data Entry - SOF'!Q$102,0)</f>
        <v>0</v>
      </c>
      <c r="T680" s="601">
        <f t="shared" si="65"/>
        <v>19061789</v>
      </c>
      <c r="U680" s="944">
        <f>IF(A680='Data Entry - SOF'!B$2,'Report-SOF2324'!D$91,0)</f>
        <v>0</v>
      </c>
      <c r="V680" s="723">
        <f>IF(A680='Data Entry - SOF'!B$2,'Data Entry - SOF'!S$102,0)</f>
        <v>0</v>
      </c>
    </row>
    <row r="681" spans="1:22" ht="15.75">
      <c r="A681" s="382" t="s">
        <v>1887</v>
      </c>
      <c r="B681" s="91">
        <v>3956292</v>
      </c>
      <c r="C681" s="944">
        <f>IF(A681='Data Entry - SOF'!B$2,'Report-SOF1718'!D$102,0)</f>
        <v>0</v>
      </c>
      <c r="D681" s="1037">
        <f>IF(A681='Data Entry - SOF'!B$2,'Data Entry - SOF'!#REF!,0)</f>
        <v>0</v>
      </c>
      <c r="E681" s="91">
        <f t="shared" si="60"/>
        <v>3956292</v>
      </c>
      <c r="F681" s="944">
        <f>IF(A681='Data Entry - SOF'!B$2,'Report-SOF1819'!D$102,0)</f>
        <v>0</v>
      </c>
      <c r="G681" s="1037">
        <f>IF(A681='Data Entry - SOF'!B$2,'Data Entry - SOF'!E$102,0)</f>
        <v>0</v>
      </c>
      <c r="H681" s="1038">
        <f t="shared" si="62"/>
        <v>3956292</v>
      </c>
      <c r="I681" s="944">
        <f>IF(A681='Data Entry - SOF'!B$2,'Report-SOF1920-HB3'!D$102,0)</f>
        <v>0</v>
      </c>
      <c r="J681" s="1037">
        <f>IF(A681='Data Entry - SOF'!B$2,'Data Entry - SOF'!G$102,0)</f>
        <v>0</v>
      </c>
      <c r="K681" s="717">
        <f t="shared" si="63"/>
        <v>3956292</v>
      </c>
      <c r="L681" s="944">
        <f>IF(A681='Data Entry - SOF'!B$2,'Report-SOF2021'!D$99,0)</f>
        <v>0</v>
      </c>
      <c r="M681" s="723">
        <f>IF(A681='Data Entry - SOF'!B$2,'Data Entry - SOF'!M$102,0)</f>
        <v>0</v>
      </c>
      <c r="N681" s="717">
        <f t="shared" si="64"/>
        <v>3956292</v>
      </c>
      <c r="O681" s="944">
        <f>IF(A681='Data Entry - SOF'!B$2,'Report-SOF2122'!D$91,0)</f>
        <v>0</v>
      </c>
      <c r="P681" s="723">
        <f>IF(A681='Data Entry - SOF'!B$2,'Data Entry - SOF'!O$102,0)</f>
        <v>0</v>
      </c>
      <c r="Q681" s="601">
        <f t="shared" si="61"/>
        <v>3956292</v>
      </c>
      <c r="R681" s="944">
        <f>IF(A681='Data Entry - SOF'!B$2,'Report-SOF2223'!D$91,0)</f>
        <v>0</v>
      </c>
      <c r="S681" s="723">
        <f>IF(A681='Data Entry - SOF'!B$2,'Data Entry - SOF'!Q$102,0)</f>
        <v>0</v>
      </c>
      <c r="T681" s="601">
        <f t="shared" si="65"/>
        <v>3956292</v>
      </c>
      <c r="U681" s="944">
        <f>IF(A681='Data Entry - SOF'!B$2,'Report-SOF2324'!D$91,0)</f>
        <v>0</v>
      </c>
      <c r="V681" s="723">
        <f>IF(A681='Data Entry - SOF'!B$2,'Data Entry - SOF'!S$102,0)</f>
        <v>0</v>
      </c>
    </row>
    <row r="682" spans="1:22" ht="15.75">
      <c r="A682" s="382" t="s">
        <v>1360</v>
      </c>
      <c r="B682" s="91">
        <v>579966</v>
      </c>
      <c r="C682" s="944">
        <f>IF(A682='Data Entry - SOF'!B$2,'Report-SOF1718'!D$102,0)</f>
        <v>0</v>
      </c>
      <c r="D682" s="1037">
        <f>IF(A682='Data Entry - SOF'!B$2,'Data Entry - SOF'!#REF!,0)</f>
        <v>0</v>
      </c>
      <c r="E682" s="91">
        <f t="shared" si="60"/>
        <v>579966</v>
      </c>
      <c r="F682" s="944">
        <f>IF(A682='Data Entry - SOF'!B$2,'Report-SOF1819'!D$102,0)</f>
        <v>0</v>
      </c>
      <c r="G682" s="1037">
        <f>IF(A682='Data Entry - SOF'!B$2,'Data Entry - SOF'!E$102,0)</f>
        <v>0</v>
      </c>
      <c r="H682" s="1038">
        <f t="shared" si="62"/>
        <v>579966</v>
      </c>
      <c r="I682" s="944">
        <f>IF(A682='Data Entry - SOF'!B$2,'Report-SOF1920-HB3'!D$102,0)</f>
        <v>0</v>
      </c>
      <c r="J682" s="1037">
        <f>IF(A682='Data Entry - SOF'!B$2,'Data Entry - SOF'!G$102,0)</f>
        <v>0</v>
      </c>
      <c r="K682" s="717">
        <f t="shared" si="63"/>
        <v>579966</v>
      </c>
      <c r="L682" s="944">
        <f>IF(A682='Data Entry - SOF'!B$2,'Report-SOF2021'!D$99,0)</f>
        <v>0</v>
      </c>
      <c r="M682" s="723">
        <f>IF(A682='Data Entry - SOF'!B$2,'Data Entry - SOF'!M$102,0)</f>
        <v>0</v>
      </c>
      <c r="N682" s="717">
        <f t="shared" si="64"/>
        <v>579966</v>
      </c>
      <c r="O682" s="944">
        <f>IF(A682='Data Entry - SOF'!B$2,'Report-SOF2122'!D$91,0)</f>
        <v>0</v>
      </c>
      <c r="P682" s="723">
        <f>IF(A682='Data Entry - SOF'!B$2,'Data Entry - SOF'!O$102,0)</f>
        <v>0</v>
      </c>
      <c r="Q682" s="601">
        <f t="shared" si="61"/>
        <v>579966</v>
      </c>
      <c r="R682" s="944">
        <f>IF(A682='Data Entry - SOF'!B$2,'Report-SOF2223'!D$91,0)</f>
        <v>0</v>
      </c>
      <c r="S682" s="723">
        <f>IF(A682='Data Entry - SOF'!B$2,'Data Entry - SOF'!Q$102,0)</f>
        <v>0</v>
      </c>
      <c r="T682" s="601">
        <f t="shared" si="65"/>
        <v>579966</v>
      </c>
      <c r="U682" s="944">
        <f>IF(A682='Data Entry - SOF'!B$2,'Report-SOF2324'!D$91,0)</f>
        <v>0</v>
      </c>
      <c r="V682" s="723">
        <f>IF(A682='Data Entry - SOF'!B$2,'Data Entry - SOF'!S$102,0)</f>
        <v>0</v>
      </c>
    </row>
    <row r="683" spans="1:22" ht="15.75">
      <c r="A683" s="382" t="s">
        <v>2535</v>
      </c>
      <c r="B683" s="91">
        <v>1152342</v>
      </c>
      <c r="C683" s="944">
        <f>IF(A683='Data Entry - SOF'!B$2,'Report-SOF1718'!D$102,0)</f>
        <v>0</v>
      </c>
      <c r="D683" s="1037">
        <f>IF(A683='Data Entry - SOF'!B$2,'Data Entry - SOF'!#REF!,0)</f>
        <v>0</v>
      </c>
      <c r="E683" s="91">
        <f t="shared" si="60"/>
        <v>1152342</v>
      </c>
      <c r="F683" s="944">
        <f>IF(A683='Data Entry - SOF'!B$2,'Report-SOF1819'!D$102,0)</f>
        <v>0</v>
      </c>
      <c r="G683" s="1037">
        <f>IF(A683='Data Entry - SOF'!B$2,'Data Entry - SOF'!E$102,0)</f>
        <v>0</v>
      </c>
      <c r="H683" s="1038">
        <f t="shared" si="62"/>
        <v>1152342</v>
      </c>
      <c r="I683" s="944">
        <f>IF(A683='Data Entry - SOF'!B$2,'Report-SOF1920-HB3'!D$102,0)</f>
        <v>0</v>
      </c>
      <c r="J683" s="1037">
        <f>IF(A683='Data Entry - SOF'!B$2,'Data Entry - SOF'!G$102,0)</f>
        <v>0</v>
      </c>
      <c r="K683" s="717">
        <f t="shared" si="63"/>
        <v>1152342</v>
      </c>
      <c r="L683" s="944">
        <f>IF(A683='Data Entry - SOF'!B$2,'Report-SOF2021'!D$99,0)</f>
        <v>0</v>
      </c>
      <c r="M683" s="723">
        <f>IF(A683='Data Entry - SOF'!B$2,'Data Entry - SOF'!M$102,0)</f>
        <v>0</v>
      </c>
      <c r="N683" s="717">
        <f t="shared" si="64"/>
        <v>1152342</v>
      </c>
      <c r="O683" s="944">
        <f>IF(A683='Data Entry - SOF'!B$2,'Report-SOF2122'!D$91,0)</f>
        <v>0</v>
      </c>
      <c r="P683" s="723">
        <f>IF(A683='Data Entry - SOF'!B$2,'Data Entry - SOF'!O$102,0)</f>
        <v>0</v>
      </c>
      <c r="Q683" s="601">
        <f t="shared" si="61"/>
        <v>1152342</v>
      </c>
      <c r="R683" s="944">
        <f>IF(A683='Data Entry - SOF'!B$2,'Report-SOF2223'!D$91,0)</f>
        <v>0</v>
      </c>
      <c r="S683" s="723">
        <f>IF(A683='Data Entry - SOF'!B$2,'Data Entry - SOF'!Q$102,0)</f>
        <v>0</v>
      </c>
      <c r="T683" s="601">
        <f t="shared" si="65"/>
        <v>1152342</v>
      </c>
      <c r="U683" s="944">
        <f>IF(A683='Data Entry - SOF'!B$2,'Report-SOF2324'!D$91,0)</f>
        <v>0</v>
      </c>
      <c r="V683" s="723">
        <f>IF(A683='Data Entry - SOF'!B$2,'Data Entry - SOF'!S$102,0)</f>
        <v>0</v>
      </c>
    </row>
    <row r="684" spans="1:22" ht="15.75">
      <c r="A684" s="382" t="s">
        <v>2197</v>
      </c>
      <c r="B684" s="91">
        <v>19952981</v>
      </c>
      <c r="C684" s="944">
        <f>IF(A684='Data Entry - SOF'!B$2,'Report-SOF1718'!D$102,0)</f>
        <v>0</v>
      </c>
      <c r="D684" s="1037">
        <f>IF(A684='Data Entry - SOF'!B$2,'Data Entry - SOF'!#REF!,0)</f>
        <v>0</v>
      </c>
      <c r="E684" s="91">
        <f t="shared" si="60"/>
        <v>19952981</v>
      </c>
      <c r="F684" s="944">
        <f>IF(A684='Data Entry - SOF'!B$2,'Report-SOF1819'!D$102,0)</f>
        <v>0</v>
      </c>
      <c r="G684" s="1037">
        <f>IF(A684='Data Entry - SOF'!B$2,'Data Entry - SOF'!E$102,0)</f>
        <v>0</v>
      </c>
      <c r="H684" s="1038">
        <f t="shared" si="62"/>
        <v>19952981</v>
      </c>
      <c r="I684" s="944">
        <f>IF(A684='Data Entry - SOF'!B$2,'Report-SOF1920-HB3'!D$102,0)</f>
        <v>0</v>
      </c>
      <c r="J684" s="1037">
        <f>IF(A684='Data Entry - SOF'!B$2,'Data Entry - SOF'!G$102,0)</f>
        <v>0</v>
      </c>
      <c r="K684" s="717">
        <f t="shared" si="63"/>
        <v>19952981</v>
      </c>
      <c r="L684" s="944">
        <f>IF(A684='Data Entry - SOF'!B$2,'Report-SOF2021'!D$99,0)</f>
        <v>0</v>
      </c>
      <c r="M684" s="723">
        <f>IF(A684='Data Entry - SOF'!B$2,'Data Entry - SOF'!M$102,0)</f>
        <v>0</v>
      </c>
      <c r="N684" s="717">
        <f t="shared" si="64"/>
        <v>19952981</v>
      </c>
      <c r="O684" s="944">
        <f>IF(A684='Data Entry - SOF'!B$2,'Report-SOF2122'!D$91,0)</f>
        <v>0</v>
      </c>
      <c r="P684" s="723">
        <f>IF(A684='Data Entry - SOF'!B$2,'Data Entry - SOF'!O$102,0)</f>
        <v>0</v>
      </c>
      <c r="Q684" s="601">
        <f t="shared" si="61"/>
        <v>19952981</v>
      </c>
      <c r="R684" s="944">
        <f>IF(A684='Data Entry - SOF'!B$2,'Report-SOF2223'!D$91,0)</f>
        <v>0</v>
      </c>
      <c r="S684" s="723">
        <f>IF(A684='Data Entry - SOF'!B$2,'Data Entry - SOF'!Q$102,0)</f>
        <v>0</v>
      </c>
      <c r="T684" s="601">
        <f t="shared" si="65"/>
        <v>19952981</v>
      </c>
      <c r="U684" s="944">
        <f>IF(A684='Data Entry - SOF'!B$2,'Report-SOF2324'!D$91,0)</f>
        <v>0</v>
      </c>
      <c r="V684" s="723">
        <f>IF(A684='Data Entry - SOF'!B$2,'Data Entry - SOF'!S$102,0)</f>
        <v>0</v>
      </c>
    </row>
    <row r="685" spans="1:22" ht="15.75">
      <c r="A685" s="382" t="s">
        <v>930</v>
      </c>
      <c r="B685" s="91">
        <v>1024247</v>
      </c>
      <c r="C685" s="944">
        <f>IF(A685='Data Entry - SOF'!B$2,'Report-SOF1718'!D$102,0)</f>
        <v>0</v>
      </c>
      <c r="D685" s="1037">
        <f>IF(A685='Data Entry - SOF'!B$2,'Data Entry - SOF'!#REF!,0)</f>
        <v>0</v>
      </c>
      <c r="E685" s="91">
        <f t="shared" si="60"/>
        <v>1024247</v>
      </c>
      <c r="F685" s="944">
        <f>IF(A685='Data Entry - SOF'!B$2,'Report-SOF1819'!D$102,0)</f>
        <v>0</v>
      </c>
      <c r="G685" s="1037">
        <f>IF(A685='Data Entry - SOF'!B$2,'Data Entry - SOF'!E$102,0)</f>
        <v>0</v>
      </c>
      <c r="H685" s="1038">
        <f t="shared" si="62"/>
        <v>1024247</v>
      </c>
      <c r="I685" s="944">
        <f>IF(A685='Data Entry - SOF'!B$2,'Report-SOF1920-HB3'!D$102,0)</f>
        <v>0</v>
      </c>
      <c r="J685" s="1037">
        <f>IF(A685='Data Entry - SOF'!B$2,'Data Entry - SOF'!G$102,0)</f>
        <v>0</v>
      </c>
      <c r="K685" s="717">
        <f t="shared" si="63"/>
        <v>1024247</v>
      </c>
      <c r="L685" s="944">
        <f>IF(A685='Data Entry - SOF'!B$2,'Report-SOF2021'!D$99,0)</f>
        <v>0</v>
      </c>
      <c r="M685" s="723">
        <f>IF(A685='Data Entry - SOF'!B$2,'Data Entry - SOF'!M$102,0)</f>
        <v>0</v>
      </c>
      <c r="N685" s="717">
        <f t="shared" si="64"/>
        <v>1024247</v>
      </c>
      <c r="O685" s="944">
        <f>IF(A685='Data Entry - SOF'!B$2,'Report-SOF2122'!D$91,0)</f>
        <v>0</v>
      </c>
      <c r="P685" s="723">
        <f>IF(A685='Data Entry - SOF'!B$2,'Data Entry - SOF'!O$102,0)</f>
        <v>0</v>
      </c>
      <c r="Q685" s="601">
        <f t="shared" si="61"/>
        <v>1024247</v>
      </c>
      <c r="R685" s="944">
        <f>IF(A685='Data Entry - SOF'!B$2,'Report-SOF2223'!D$91,0)</f>
        <v>0</v>
      </c>
      <c r="S685" s="723">
        <f>IF(A685='Data Entry - SOF'!B$2,'Data Entry - SOF'!Q$102,0)</f>
        <v>0</v>
      </c>
      <c r="T685" s="601">
        <f t="shared" si="65"/>
        <v>1024247</v>
      </c>
      <c r="U685" s="944">
        <f>IF(A685='Data Entry - SOF'!B$2,'Report-SOF2324'!D$91,0)</f>
        <v>0</v>
      </c>
      <c r="V685" s="723">
        <f>IF(A685='Data Entry - SOF'!B$2,'Data Entry - SOF'!S$102,0)</f>
        <v>0</v>
      </c>
    </row>
    <row r="686" spans="1:22" ht="15.75">
      <c r="A686" s="382" t="s">
        <v>375</v>
      </c>
      <c r="B686" s="91">
        <v>120405</v>
      </c>
      <c r="C686" s="944">
        <f>IF(A686='Data Entry - SOF'!B$2,'Report-SOF1718'!D$102,0)</f>
        <v>0</v>
      </c>
      <c r="D686" s="1037">
        <f>IF(A686='Data Entry - SOF'!B$2,'Data Entry - SOF'!#REF!,0)</f>
        <v>0</v>
      </c>
      <c r="E686" s="91">
        <f t="shared" si="60"/>
        <v>120405</v>
      </c>
      <c r="F686" s="944">
        <f>IF(A686='Data Entry - SOF'!B$2,'Report-SOF1819'!D$102,0)</f>
        <v>0</v>
      </c>
      <c r="G686" s="1037">
        <f>IF(A686='Data Entry - SOF'!B$2,'Data Entry - SOF'!E$102,0)</f>
        <v>0</v>
      </c>
      <c r="H686" s="1038">
        <f t="shared" si="62"/>
        <v>120405</v>
      </c>
      <c r="I686" s="944">
        <f>IF(A686='Data Entry - SOF'!B$2,'Report-SOF1920-HB3'!D$102,0)</f>
        <v>0</v>
      </c>
      <c r="J686" s="1037">
        <f>IF(A686='Data Entry - SOF'!B$2,'Data Entry - SOF'!G$102,0)</f>
        <v>0</v>
      </c>
      <c r="K686" s="717">
        <f t="shared" si="63"/>
        <v>120405</v>
      </c>
      <c r="L686" s="944">
        <f>IF(A686='Data Entry - SOF'!B$2,'Report-SOF2021'!D$99,0)</f>
        <v>0</v>
      </c>
      <c r="M686" s="723">
        <f>IF(A686='Data Entry - SOF'!B$2,'Data Entry - SOF'!M$102,0)</f>
        <v>0</v>
      </c>
      <c r="N686" s="717">
        <f t="shared" si="64"/>
        <v>120405</v>
      </c>
      <c r="O686" s="944">
        <f>IF(A686='Data Entry - SOF'!B$2,'Report-SOF2122'!D$91,0)</f>
        <v>0</v>
      </c>
      <c r="P686" s="723">
        <f>IF(A686='Data Entry - SOF'!B$2,'Data Entry - SOF'!O$102,0)</f>
        <v>0</v>
      </c>
      <c r="Q686" s="601">
        <f t="shared" si="61"/>
        <v>120405</v>
      </c>
      <c r="R686" s="944">
        <f>IF(A686='Data Entry - SOF'!B$2,'Report-SOF2223'!D$91,0)</f>
        <v>0</v>
      </c>
      <c r="S686" s="723">
        <f>IF(A686='Data Entry - SOF'!B$2,'Data Entry - SOF'!Q$102,0)</f>
        <v>0</v>
      </c>
      <c r="T686" s="601">
        <f t="shared" si="65"/>
        <v>120405</v>
      </c>
      <c r="U686" s="944">
        <f>IF(A686='Data Entry - SOF'!B$2,'Report-SOF2324'!D$91,0)</f>
        <v>0</v>
      </c>
      <c r="V686" s="723">
        <f>IF(A686='Data Entry - SOF'!B$2,'Data Entry - SOF'!S$102,0)</f>
        <v>0</v>
      </c>
    </row>
    <row r="687" spans="1:22" ht="15.75">
      <c r="A687" s="382" t="s">
        <v>1264</v>
      </c>
      <c r="B687" s="91">
        <v>3046810</v>
      </c>
      <c r="C687" s="944">
        <f>IF(A687='Data Entry - SOF'!B$2,'Report-SOF1718'!D$102,0)</f>
        <v>0</v>
      </c>
      <c r="D687" s="1037">
        <f>IF(A687='Data Entry - SOF'!B$2,'Data Entry - SOF'!#REF!,0)</f>
        <v>0</v>
      </c>
      <c r="E687" s="91">
        <f t="shared" si="60"/>
        <v>3046810</v>
      </c>
      <c r="F687" s="944">
        <f>IF(A687='Data Entry - SOF'!B$2,'Report-SOF1819'!D$102,0)</f>
        <v>0</v>
      </c>
      <c r="G687" s="1037">
        <f>IF(A687='Data Entry - SOF'!B$2,'Data Entry - SOF'!E$102,0)</f>
        <v>0</v>
      </c>
      <c r="H687" s="1038">
        <f t="shared" si="62"/>
        <v>3046810</v>
      </c>
      <c r="I687" s="944">
        <f>IF(A687='Data Entry - SOF'!B$2,'Report-SOF1920-HB3'!D$102,0)</f>
        <v>0</v>
      </c>
      <c r="J687" s="1037">
        <f>IF(A687='Data Entry - SOF'!B$2,'Data Entry - SOF'!G$102,0)</f>
        <v>0</v>
      </c>
      <c r="K687" s="717">
        <f t="shared" si="63"/>
        <v>3046810</v>
      </c>
      <c r="L687" s="944">
        <f>IF(A687='Data Entry - SOF'!B$2,'Report-SOF2021'!D$99,0)</f>
        <v>0</v>
      </c>
      <c r="M687" s="723">
        <f>IF(A687='Data Entry - SOF'!B$2,'Data Entry - SOF'!M$102,0)</f>
        <v>0</v>
      </c>
      <c r="N687" s="717">
        <f t="shared" si="64"/>
        <v>3046810</v>
      </c>
      <c r="O687" s="944">
        <f>IF(A687='Data Entry - SOF'!B$2,'Report-SOF2122'!D$91,0)</f>
        <v>0</v>
      </c>
      <c r="P687" s="723">
        <f>IF(A687='Data Entry - SOF'!B$2,'Data Entry - SOF'!O$102,0)</f>
        <v>0</v>
      </c>
      <c r="Q687" s="601">
        <f t="shared" si="61"/>
        <v>3046810</v>
      </c>
      <c r="R687" s="944">
        <f>IF(A687='Data Entry - SOF'!B$2,'Report-SOF2223'!D$91,0)</f>
        <v>0</v>
      </c>
      <c r="S687" s="723">
        <f>IF(A687='Data Entry - SOF'!B$2,'Data Entry - SOF'!Q$102,0)</f>
        <v>0</v>
      </c>
      <c r="T687" s="601">
        <f t="shared" si="65"/>
        <v>3046810</v>
      </c>
      <c r="U687" s="944">
        <f>IF(A687='Data Entry - SOF'!B$2,'Report-SOF2324'!D$91,0)</f>
        <v>0</v>
      </c>
      <c r="V687" s="723">
        <f>IF(A687='Data Entry - SOF'!B$2,'Data Entry - SOF'!S$102,0)</f>
        <v>0</v>
      </c>
    </row>
    <row r="688" spans="1:22" ht="15.75">
      <c r="A688" s="382" t="s">
        <v>2671</v>
      </c>
      <c r="B688" s="91">
        <v>384871</v>
      </c>
      <c r="C688" s="944">
        <f>IF(A688='Data Entry - SOF'!B$2,'Report-SOF1718'!D$102,0)</f>
        <v>0</v>
      </c>
      <c r="D688" s="1037">
        <f>IF(A688='Data Entry - SOF'!B$2,'Data Entry - SOF'!#REF!,0)</f>
        <v>0</v>
      </c>
      <c r="E688" s="91">
        <f t="shared" si="60"/>
        <v>384871</v>
      </c>
      <c r="F688" s="944">
        <f>IF(A688='Data Entry - SOF'!B$2,'Report-SOF1819'!D$102,0)</f>
        <v>0</v>
      </c>
      <c r="G688" s="1037">
        <f>IF(A688='Data Entry - SOF'!B$2,'Data Entry - SOF'!E$102,0)</f>
        <v>0</v>
      </c>
      <c r="H688" s="1038">
        <f t="shared" si="62"/>
        <v>384871</v>
      </c>
      <c r="I688" s="944">
        <f>IF(A688='Data Entry - SOF'!B$2,'Report-SOF1920-HB3'!D$102,0)</f>
        <v>0</v>
      </c>
      <c r="J688" s="1037">
        <f>IF(A688='Data Entry - SOF'!B$2,'Data Entry - SOF'!G$102,0)</f>
        <v>0</v>
      </c>
      <c r="K688" s="717">
        <f t="shared" si="63"/>
        <v>384871</v>
      </c>
      <c r="L688" s="944">
        <f>IF(A688='Data Entry - SOF'!B$2,'Report-SOF2021'!D$99,0)</f>
        <v>0</v>
      </c>
      <c r="M688" s="723">
        <f>IF(A688='Data Entry - SOF'!B$2,'Data Entry - SOF'!M$102,0)</f>
        <v>0</v>
      </c>
      <c r="N688" s="717">
        <f t="shared" si="64"/>
        <v>384871</v>
      </c>
      <c r="O688" s="944">
        <f>IF(A688='Data Entry - SOF'!B$2,'Report-SOF2122'!D$91,0)</f>
        <v>0</v>
      </c>
      <c r="P688" s="723">
        <f>IF(A688='Data Entry - SOF'!B$2,'Data Entry - SOF'!O$102,0)</f>
        <v>0</v>
      </c>
      <c r="Q688" s="601">
        <f t="shared" si="61"/>
        <v>384871</v>
      </c>
      <c r="R688" s="944">
        <f>IF(A688='Data Entry - SOF'!B$2,'Report-SOF2223'!D$91,0)</f>
        <v>0</v>
      </c>
      <c r="S688" s="723">
        <f>IF(A688='Data Entry - SOF'!B$2,'Data Entry - SOF'!Q$102,0)</f>
        <v>0</v>
      </c>
      <c r="T688" s="601">
        <f t="shared" si="65"/>
        <v>384871</v>
      </c>
      <c r="U688" s="944">
        <f>IF(A688='Data Entry - SOF'!B$2,'Report-SOF2324'!D$91,0)</f>
        <v>0</v>
      </c>
      <c r="V688" s="723">
        <f>IF(A688='Data Entry - SOF'!B$2,'Data Entry - SOF'!S$102,0)</f>
        <v>0</v>
      </c>
    </row>
    <row r="689" spans="1:22" ht="15.75">
      <c r="A689" s="382" t="s">
        <v>1990</v>
      </c>
      <c r="B689" s="91">
        <v>100424</v>
      </c>
      <c r="C689" s="944">
        <f>IF(A689='Data Entry - SOF'!B$2,'Report-SOF1718'!D$102,0)</f>
        <v>0</v>
      </c>
      <c r="D689" s="1037">
        <f>IF(A689='Data Entry - SOF'!B$2,'Data Entry - SOF'!#REF!,0)</f>
        <v>0</v>
      </c>
      <c r="E689" s="91">
        <f t="shared" si="60"/>
        <v>100424</v>
      </c>
      <c r="F689" s="944">
        <f>IF(A689='Data Entry - SOF'!B$2,'Report-SOF1819'!D$102,0)</f>
        <v>0</v>
      </c>
      <c r="G689" s="1037">
        <f>IF(A689='Data Entry - SOF'!B$2,'Data Entry - SOF'!E$102,0)</f>
        <v>0</v>
      </c>
      <c r="H689" s="1038">
        <f t="shared" si="62"/>
        <v>100424</v>
      </c>
      <c r="I689" s="944">
        <f>IF(A689='Data Entry - SOF'!B$2,'Report-SOF1920-HB3'!D$102,0)</f>
        <v>0</v>
      </c>
      <c r="J689" s="1037">
        <f>IF(A689='Data Entry - SOF'!B$2,'Data Entry - SOF'!G$102,0)</f>
        <v>0</v>
      </c>
      <c r="K689" s="717">
        <f t="shared" si="63"/>
        <v>100424</v>
      </c>
      <c r="L689" s="944">
        <f>IF(A689='Data Entry - SOF'!B$2,'Report-SOF2021'!D$99,0)</f>
        <v>0</v>
      </c>
      <c r="M689" s="723">
        <f>IF(A689='Data Entry - SOF'!B$2,'Data Entry - SOF'!M$102,0)</f>
        <v>0</v>
      </c>
      <c r="N689" s="717">
        <f t="shared" si="64"/>
        <v>100424</v>
      </c>
      <c r="O689" s="944">
        <f>IF(A689='Data Entry - SOF'!B$2,'Report-SOF2122'!D$91,0)</f>
        <v>0</v>
      </c>
      <c r="P689" s="723">
        <f>IF(A689='Data Entry - SOF'!B$2,'Data Entry - SOF'!O$102,0)</f>
        <v>0</v>
      </c>
      <c r="Q689" s="601">
        <f t="shared" si="61"/>
        <v>100424</v>
      </c>
      <c r="R689" s="944">
        <f>IF(A689='Data Entry - SOF'!B$2,'Report-SOF2223'!D$91,0)</f>
        <v>0</v>
      </c>
      <c r="S689" s="723">
        <f>IF(A689='Data Entry - SOF'!B$2,'Data Entry - SOF'!Q$102,0)</f>
        <v>0</v>
      </c>
      <c r="T689" s="601">
        <f t="shared" si="65"/>
        <v>100424</v>
      </c>
      <c r="U689" s="944">
        <f>IF(A689='Data Entry - SOF'!B$2,'Report-SOF2324'!D$91,0)</f>
        <v>0</v>
      </c>
      <c r="V689" s="723">
        <f>IF(A689='Data Entry - SOF'!B$2,'Data Entry - SOF'!S$102,0)</f>
        <v>0</v>
      </c>
    </row>
    <row r="690" spans="1:22" ht="15.75">
      <c r="A690" s="382" t="s">
        <v>2673</v>
      </c>
      <c r="B690" s="91">
        <v>8249572</v>
      </c>
      <c r="C690" s="944">
        <f>IF(A690='Data Entry - SOF'!B$2,'Report-SOF1718'!D$102,0)</f>
        <v>0</v>
      </c>
      <c r="D690" s="1037">
        <f>IF(A690='Data Entry - SOF'!B$2,'Data Entry - SOF'!#REF!,0)</f>
        <v>0</v>
      </c>
      <c r="E690" s="91">
        <f t="shared" si="60"/>
        <v>8249572</v>
      </c>
      <c r="F690" s="944">
        <f>IF(A690='Data Entry - SOF'!B$2,'Report-SOF1819'!D$102,0)</f>
        <v>0</v>
      </c>
      <c r="G690" s="1037">
        <f>IF(A690='Data Entry - SOF'!B$2,'Data Entry - SOF'!E$102,0)</f>
        <v>0</v>
      </c>
      <c r="H690" s="1038">
        <f t="shared" si="62"/>
        <v>8249572</v>
      </c>
      <c r="I690" s="944">
        <f>IF(A690='Data Entry - SOF'!B$2,'Report-SOF1920-HB3'!D$102,0)</f>
        <v>0</v>
      </c>
      <c r="J690" s="1037">
        <f>IF(A690='Data Entry - SOF'!B$2,'Data Entry - SOF'!G$102,0)</f>
        <v>0</v>
      </c>
      <c r="K690" s="717">
        <f t="shared" si="63"/>
        <v>8249572</v>
      </c>
      <c r="L690" s="944">
        <f>IF(A690='Data Entry - SOF'!B$2,'Report-SOF2021'!D$99,0)</f>
        <v>0</v>
      </c>
      <c r="M690" s="723">
        <f>IF(A690='Data Entry - SOF'!B$2,'Data Entry - SOF'!M$102,0)</f>
        <v>0</v>
      </c>
      <c r="N690" s="717">
        <f t="shared" si="64"/>
        <v>8249572</v>
      </c>
      <c r="O690" s="944">
        <f>IF(A690='Data Entry - SOF'!B$2,'Report-SOF2122'!D$91,0)</f>
        <v>0</v>
      </c>
      <c r="P690" s="723">
        <f>IF(A690='Data Entry - SOF'!B$2,'Data Entry - SOF'!O$102,0)</f>
        <v>0</v>
      </c>
      <c r="Q690" s="601">
        <f t="shared" si="61"/>
        <v>8249572</v>
      </c>
      <c r="R690" s="944">
        <f>IF(A690='Data Entry - SOF'!B$2,'Report-SOF2223'!D$91,0)</f>
        <v>0</v>
      </c>
      <c r="S690" s="723">
        <f>IF(A690='Data Entry - SOF'!B$2,'Data Entry - SOF'!Q$102,0)</f>
        <v>0</v>
      </c>
      <c r="T690" s="601">
        <f t="shared" si="65"/>
        <v>8249572</v>
      </c>
      <c r="U690" s="944">
        <f>IF(A690='Data Entry - SOF'!B$2,'Report-SOF2324'!D$91,0)</f>
        <v>0</v>
      </c>
      <c r="V690" s="723">
        <f>IF(A690='Data Entry - SOF'!B$2,'Data Entry - SOF'!S$102,0)</f>
        <v>0</v>
      </c>
    </row>
    <row r="691" spans="1:22" ht="15.75">
      <c r="A691" s="382" t="s">
        <v>2674</v>
      </c>
      <c r="B691" s="91">
        <v>5524057</v>
      </c>
      <c r="C691" s="944">
        <f>IF(A691='Data Entry - SOF'!B$2,'Report-SOF1718'!D$102,0)</f>
        <v>0</v>
      </c>
      <c r="D691" s="1037">
        <f>IF(A691='Data Entry - SOF'!B$2,'Data Entry - SOF'!#REF!,0)</f>
        <v>0</v>
      </c>
      <c r="E691" s="91">
        <f t="shared" si="60"/>
        <v>5524057</v>
      </c>
      <c r="F691" s="944">
        <f>IF(A691='Data Entry - SOF'!B$2,'Report-SOF1819'!D$102,0)</f>
        <v>0</v>
      </c>
      <c r="G691" s="1037">
        <f>IF(A691='Data Entry - SOF'!B$2,'Data Entry - SOF'!E$102,0)</f>
        <v>0</v>
      </c>
      <c r="H691" s="1038">
        <f t="shared" si="62"/>
        <v>5524057</v>
      </c>
      <c r="I691" s="944">
        <f>IF(A691='Data Entry - SOF'!B$2,'Report-SOF1920-HB3'!D$102,0)</f>
        <v>0</v>
      </c>
      <c r="J691" s="1037">
        <f>IF(A691='Data Entry - SOF'!B$2,'Data Entry - SOF'!G$102,0)</f>
        <v>0</v>
      </c>
      <c r="K691" s="717">
        <f t="shared" si="63"/>
        <v>5524057</v>
      </c>
      <c r="L691" s="944">
        <f>IF(A691='Data Entry - SOF'!B$2,'Report-SOF2021'!D$99,0)</f>
        <v>0</v>
      </c>
      <c r="M691" s="723">
        <f>IF(A691='Data Entry - SOF'!B$2,'Data Entry - SOF'!M$102,0)</f>
        <v>0</v>
      </c>
      <c r="N691" s="717">
        <f t="shared" si="64"/>
        <v>5524057</v>
      </c>
      <c r="O691" s="944">
        <f>IF(A691='Data Entry - SOF'!B$2,'Report-SOF2122'!D$91,0)</f>
        <v>0</v>
      </c>
      <c r="P691" s="723">
        <f>IF(A691='Data Entry - SOF'!B$2,'Data Entry - SOF'!O$102,0)</f>
        <v>0</v>
      </c>
      <c r="Q691" s="601">
        <f t="shared" si="61"/>
        <v>5524057</v>
      </c>
      <c r="R691" s="944">
        <f>IF(A691='Data Entry - SOF'!B$2,'Report-SOF2223'!D$91,0)</f>
        <v>0</v>
      </c>
      <c r="S691" s="723">
        <f>IF(A691='Data Entry - SOF'!B$2,'Data Entry - SOF'!Q$102,0)</f>
        <v>0</v>
      </c>
      <c r="T691" s="601">
        <f t="shared" si="65"/>
        <v>5524057</v>
      </c>
      <c r="U691" s="944">
        <f>IF(A691='Data Entry - SOF'!B$2,'Report-SOF2324'!D$91,0)</f>
        <v>0</v>
      </c>
      <c r="V691" s="723">
        <f>IF(A691='Data Entry - SOF'!B$2,'Data Entry - SOF'!S$102,0)</f>
        <v>0</v>
      </c>
    </row>
    <row r="692" spans="1:22" ht="15.75">
      <c r="A692" s="382" t="s">
        <v>1486</v>
      </c>
      <c r="B692" s="91">
        <v>2438787</v>
      </c>
      <c r="C692" s="944">
        <f>IF(A692='Data Entry - SOF'!B$2,'Report-SOF1718'!D$102,0)</f>
        <v>0</v>
      </c>
      <c r="D692" s="1037">
        <f>IF(A692='Data Entry - SOF'!B$2,'Data Entry - SOF'!#REF!,0)</f>
        <v>0</v>
      </c>
      <c r="E692" s="91">
        <f t="shared" si="60"/>
        <v>2438787</v>
      </c>
      <c r="F692" s="944">
        <f>IF(A692='Data Entry - SOF'!B$2,'Report-SOF1819'!D$102,0)</f>
        <v>0</v>
      </c>
      <c r="G692" s="1037">
        <f>IF(A692='Data Entry - SOF'!B$2,'Data Entry - SOF'!E$102,0)</f>
        <v>0</v>
      </c>
      <c r="H692" s="1038">
        <f t="shared" si="62"/>
        <v>2438787</v>
      </c>
      <c r="I692" s="944">
        <f>IF(A692='Data Entry - SOF'!B$2,'Report-SOF1920-HB3'!D$102,0)</f>
        <v>0</v>
      </c>
      <c r="J692" s="1037">
        <f>IF(A692='Data Entry - SOF'!B$2,'Data Entry - SOF'!G$102,0)</f>
        <v>0</v>
      </c>
      <c r="K692" s="717">
        <f t="shared" si="63"/>
        <v>2438787</v>
      </c>
      <c r="L692" s="944">
        <f>IF(A692='Data Entry - SOF'!B$2,'Report-SOF2021'!D$99,0)</f>
        <v>0</v>
      </c>
      <c r="M692" s="723">
        <f>IF(A692='Data Entry - SOF'!B$2,'Data Entry - SOF'!M$102,0)</f>
        <v>0</v>
      </c>
      <c r="N692" s="717">
        <f t="shared" si="64"/>
        <v>2438787</v>
      </c>
      <c r="O692" s="944">
        <f>IF(A692='Data Entry - SOF'!B$2,'Report-SOF2122'!D$91,0)</f>
        <v>0</v>
      </c>
      <c r="P692" s="723">
        <f>IF(A692='Data Entry - SOF'!B$2,'Data Entry - SOF'!O$102,0)</f>
        <v>0</v>
      </c>
      <c r="Q692" s="601">
        <f t="shared" si="61"/>
        <v>2438787</v>
      </c>
      <c r="R692" s="944">
        <f>IF(A692='Data Entry - SOF'!B$2,'Report-SOF2223'!D$91,0)</f>
        <v>0</v>
      </c>
      <c r="S692" s="723">
        <f>IF(A692='Data Entry - SOF'!B$2,'Data Entry - SOF'!Q$102,0)</f>
        <v>0</v>
      </c>
      <c r="T692" s="601">
        <f t="shared" si="65"/>
        <v>2438787</v>
      </c>
      <c r="U692" s="944">
        <f>IF(A692='Data Entry - SOF'!B$2,'Report-SOF2324'!D$91,0)</f>
        <v>0</v>
      </c>
      <c r="V692" s="723">
        <f>IF(A692='Data Entry - SOF'!B$2,'Data Entry - SOF'!S$102,0)</f>
        <v>0</v>
      </c>
    </row>
    <row r="693" spans="1:22" ht="15.75">
      <c r="A693" s="382" t="s">
        <v>1318</v>
      </c>
      <c r="B693" s="91">
        <v>14490352</v>
      </c>
      <c r="C693" s="944">
        <f>IF(A693='Data Entry - SOF'!B$2,'Report-SOF1718'!D$102,0)</f>
        <v>0</v>
      </c>
      <c r="D693" s="1037">
        <f>IF(A693='Data Entry - SOF'!B$2,'Data Entry - SOF'!#REF!,0)</f>
        <v>0</v>
      </c>
      <c r="E693" s="91">
        <f t="shared" si="60"/>
        <v>14490352</v>
      </c>
      <c r="F693" s="944">
        <f>IF(A693='Data Entry - SOF'!B$2,'Report-SOF1819'!D$102,0)</f>
        <v>0</v>
      </c>
      <c r="G693" s="1037">
        <f>IF(A693='Data Entry - SOF'!B$2,'Data Entry - SOF'!E$102,0)</f>
        <v>0</v>
      </c>
      <c r="H693" s="1038">
        <f t="shared" si="62"/>
        <v>14490352</v>
      </c>
      <c r="I693" s="944">
        <f>IF(A693='Data Entry - SOF'!B$2,'Report-SOF1920-HB3'!D$102,0)</f>
        <v>0</v>
      </c>
      <c r="J693" s="1037">
        <f>IF(A693='Data Entry - SOF'!B$2,'Data Entry - SOF'!G$102,0)</f>
        <v>0</v>
      </c>
      <c r="K693" s="717">
        <f t="shared" si="63"/>
        <v>14490352</v>
      </c>
      <c r="L693" s="944">
        <f>IF(A693='Data Entry - SOF'!B$2,'Report-SOF2021'!D$99,0)</f>
        <v>0</v>
      </c>
      <c r="M693" s="723">
        <f>IF(A693='Data Entry - SOF'!B$2,'Data Entry - SOF'!M$102,0)</f>
        <v>0</v>
      </c>
      <c r="N693" s="717">
        <f t="shared" si="64"/>
        <v>14490352</v>
      </c>
      <c r="O693" s="944">
        <f>IF(A693='Data Entry - SOF'!B$2,'Report-SOF2122'!D$91,0)</f>
        <v>0</v>
      </c>
      <c r="P693" s="723">
        <f>IF(A693='Data Entry - SOF'!B$2,'Data Entry - SOF'!O$102,0)</f>
        <v>0</v>
      </c>
      <c r="Q693" s="601">
        <f t="shared" si="61"/>
        <v>14490352</v>
      </c>
      <c r="R693" s="944">
        <f>IF(A693='Data Entry - SOF'!B$2,'Report-SOF2223'!D$91,0)</f>
        <v>0</v>
      </c>
      <c r="S693" s="723">
        <f>IF(A693='Data Entry - SOF'!B$2,'Data Entry - SOF'!Q$102,0)</f>
        <v>0</v>
      </c>
      <c r="T693" s="601">
        <f t="shared" si="65"/>
        <v>14490352</v>
      </c>
      <c r="U693" s="944">
        <f>IF(A693='Data Entry - SOF'!B$2,'Report-SOF2324'!D$91,0)</f>
        <v>0</v>
      </c>
      <c r="V693" s="723">
        <f>IF(A693='Data Entry - SOF'!B$2,'Data Entry - SOF'!S$102,0)</f>
        <v>0</v>
      </c>
    </row>
    <row r="694" spans="1:22" ht="15.75">
      <c r="A694" s="382" t="s">
        <v>1432</v>
      </c>
      <c r="B694" s="91">
        <v>1753127</v>
      </c>
      <c r="C694" s="944">
        <f>IF(A694='Data Entry - SOF'!B$2,'Report-SOF1718'!D$102,0)</f>
        <v>0</v>
      </c>
      <c r="D694" s="1037">
        <f>IF(A694='Data Entry - SOF'!B$2,'Data Entry - SOF'!#REF!,0)</f>
        <v>0</v>
      </c>
      <c r="E694" s="91">
        <f t="shared" si="60"/>
        <v>1753127</v>
      </c>
      <c r="F694" s="944">
        <f>IF(A694='Data Entry - SOF'!B$2,'Report-SOF1819'!D$102,0)</f>
        <v>0</v>
      </c>
      <c r="G694" s="1037">
        <f>IF(A694='Data Entry - SOF'!B$2,'Data Entry - SOF'!E$102,0)</f>
        <v>0</v>
      </c>
      <c r="H694" s="1038">
        <f t="shared" si="62"/>
        <v>1753127</v>
      </c>
      <c r="I694" s="944">
        <f>IF(A694='Data Entry - SOF'!B$2,'Report-SOF1920-HB3'!D$102,0)</f>
        <v>0</v>
      </c>
      <c r="J694" s="1037">
        <f>IF(A694='Data Entry - SOF'!B$2,'Data Entry - SOF'!G$102,0)</f>
        <v>0</v>
      </c>
      <c r="K694" s="717">
        <f t="shared" si="63"/>
        <v>1753127</v>
      </c>
      <c r="L694" s="944">
        <f>IF(A694='Data Entry - SOF'!B$2,'Report-SOF2021'!D$99,0)</f>
        <v>0</v>
      </c>
      <c r="M694" s="723">
        <f>IF(A694='Data Entry - SOF'!B$2,'Data Entry - SOF'!M$102,0)</f>
        <v>0</v>
      </c>
      <c r="N694" s="717">
        <f t="shared" si="64"/>
        <v>1753127</v>
      </c>
      <c r="O694" s="944">
        <f>IF(A694='Data Entry - SOF'!B$2,'Report-SOF2122'!D$91,0)</f>
        <v>0</v>
      </c>
      <c r="P694" s="723">
        <f>IF(A694='Data Entry - SOF'!B$2,'Data Entry - SOF'!O$102,0)</f>
        <v>0</v>
      </c>
      <c r="Q694" s="601">
        <f t="shared" si="61"/>
        <v>1753127</v>
      </c>
      <c r="R694" s="944">
        <f>IF(A694='Data Entry - SOF'!B$2,'Report-SOF2223'!D$91,0)</f>
        <v>0</v>
      </c>
      <c r="S694" s="723">
        <f>IF(A694='Data Entry - SOF'!B$2,'Data Entry - SOF'!Q$102,0)</f>
        <v>0</v>
      </c>
      <c r="T694" s="601">
        <f t="shared" si="65"/>
        <v>1753127</v>
      </c>
      <c r="U694" s="944">
        <f>IF(A694='Data Entry - SOF'!B$2,'Report-SOF2324'!D$91,0)</f>
        <v>0</v>
      </c>
      <c r="V694" s="723">
        <f>IF(A694='Data Entry - SOF'!B$2,'Data Entry - SOF'!S$102,0)</f>
        <v>0</v>
      </c>
    </row>
    <row r="695" spans="1:22" ht="15.75">
      <c r="A695" s="382" t="s">
        <v>804</v>
      </c>
      <c r="B695" s="91">
        <v>1347220</v>
      </c>
      <c r="C695" s="944">
        <f>IF(A695='Data Entry - SOF'!B$2,'Report-SOF1718'!D$102,0)</f>
        <v>0</v>
      </c>
      <c r="D695" s="1037">
        <f>IF(A695='Data Entry - SOF'!B$2,'Data Entry - SOF'!#REF!,0)</f>
        <v>0</v>
      </c>
      <c r="E695" s="91">
        <f t="shared" si="60"/>
        <v>1347220</v>
      </c>
      <c r="F695" s="944">
        <f>IF(A695='Data Entry - SOF'!B$2,'Report-SOF1819'!D$102,0)</f>
        <v>0</v>
      </c>
      <c r="G695" s="1037">
        <f>IF(A695='Data Entry - SOF'!B$2,'Data Entry - SOF'!E$102,0)</f>
        <v>0</v>
      </c>
      <c r="H695" s="1038">
        <f t="shared" si="62"/>
        <v>1347220</v>
      </c>
      <c r="I695" s="944">
        <f>IF(A695='Data Entry - SOF'!B$2,'Report-SOF1920-HB3'!D$102,0)</f>
        <v>0</v>
      </c>
      <c r="J695" s="1037">
        <f>IF(A695='Data Entry - SOF'!B$2,'Data Entry - SOF'!G$102,0)</f>
        <v>0</v>
      </c>
      <c r="K695" s="717">
        <f t="shared" si="63"/>
        <v>1347220</v>
      </c>
      <c r="L695" s="944">
        <f>IF(A695='Data Entry - SOF'!B$2,'Report-SOF2021'!D$99,0)</f>
        <v>0</v>
      </c>
      <c r="M695" s="723">
        <f>IF(A695='Data Entry - SOF'!B$2,'Data Entry - SOF'!M$102,0)</f>
        <v>0</v>
      </c>
      <c r="N695" s="717">
        <f t="shared" si="64"/>
        <v>1347220</v>
      </c>
      <c r="O695" s="944">
        <f>IF(A695='Data Entry - SOF'!B$2,'Report-SOF2122'!D$91,0)</f>
        <v>0</v>
      </c>
      <c r="P695" s="723">
        <f>IF(A695='Data Entry - SOF'!B$2,'Data Entry - SOF'!O$102,0)</f>
        <v>0</v>
      </c>
      <c r="Q695" s="601">
        <f t="shared" si="61"/>
        <v>1347220</v>
      </c>
      <c r="R695" s="944">
        <f>IF(A695='Data Entry - SOF'!B$2,'Report-SOF2223'!D$91,0)</f>
        <v>0</v>
      </c>
      <c r="S695" s="723">
        <f>IF(A695='Data Entry - SOF'!B$2,'Data Entry - SOF'!Q$102,0)</f>
        <v>0</v>
      </c>
      <c r="T695" s="601">
        <f t="shared" si="65"/>
        <v>1347220</v>
      </c>
      <c r="U695" s="944">
        <f>IF(A695='Data Entry - SOF'!B$2,'Report-SOF2324'!D$91,0)</f>
        <v>0</v>
      </c>
      <c r="V695" s="723">
        <f>IF(A695='Data Entry - SOF'!B$2,'Data Entry - SOF'!S$102,0)</f>
        <v>0</v>
      </c>
    </row>
    <row r="696" spans="1:22" ht="15.75">
      <c r="A696" s="382" t="s">
        <v>1495</v>
      </c>
      <c r="B696" s="91">
        <v>81877</v>
      </c>
      <c r="C696" s="944">
        <f>IF(A696='Data Entry - SOF'!B$2,'Report-SOF1718'!D$102,0)</f>
        <v>0</v>
      </c>
      <c r="D696" s="1037">
        <f>IF(A696='Data Entry - SOF'!B$2,'Data Entry - SOF'!#REF!,0)</f>
        <v>0</v>
      </c>
      <c r="E696" s="91">
        <f t="shared" si="60"/>
        <v>81877</v>
      </c>
      <c r="F696" s="944">
        <f>IF(A696='Data Entry - SOF'!B$2,'Report-SOF1819'!D$102,0)</f>
        <v>0</v>
      </c>
      <c r="G696" s="1037">
        <f>IF(A696='Data Entry - SOF'!B$2,'Data Entry - SOF'!E$102,0)</f>
        <v>0</v>
      </c>
      <c r="H696" s="1038">
        <f t="shared" si="62"/>
        <v>81877</v>
      </c>
      <c r="I696" s="944">
        <f>IF(A696='Data Entry - SOF'!B$2,'Report-SOF1920-HB3'!D$102,0)</f>
        <v>0</v>
      </c>
      <c r="J696" s="1037">
        <f>IF(A696='Data Entry - SOF'!B$2,'Data Entry - SOF'!G$102,0)</f>
        <v>0</v>
      </c>
      <c r="K696" s="717">
        <f t="shared" si="63"/>
        <v>81877</v>
      </c>
      <c r="L696" s="944">
        <f>IF(A696='Data Entry - SOF'!B$2,'Report-SOF2021'!D$99,0)</f>
        <v>0</v>
      </c>
      <c r="M696" s="723">
        <f>IF(A696='Data Entry - SOF'!B$2,'Data Entry - SOF'!M$102,0)</f>
        <v>0</v>
      </c>
      <c r="N696" s="717">
        <f t="shared" si="64"/>
        <v>81877</v>
      </c>
      <c r="O696" s="944">
        <f>IF(A696='Data Entry - SOF'!B$2,'Report-SOF2122'!D$91,0)</f>
        <v>0</v>
      </c>
      <c r="P696" s="723">
        <f>IF(A696='Data Entry - SOF'!B$2,'Data Entry - SOF'!O$102,0)</f>
        <v>0</v>
      </c>
      <c r="Q696" s="601">
        <f t="shared" si="61"/>
        <v>81877</v>
      </c>
      <c r="R696" s="944">
        <f>IF(A696='Data Entry - SOF'!B$2,'Report-SOF2223'!D$91,0)</f>
        <v>0</v>
      </c>
      <c r="S696" s="723">
        <f>IF(A696='Data Entry - SOF'!B$2,'Data Entry - SOF'!Q$102,0)</f>
        <v>0</v>
      </c>
      <c r="T696" s="601">
        <f t="shared" si="65"/>
        <v>81877</v>
      </c>
      <c r="U696" s="944">
        <f>IF(A696='Data Entry - SOF'!B$2,'Report-SOF2324'!D$91,0)</f>
        <v>0</v>
      </c>
      <c r="V696" s="723">
        <f>IF(A696='Data Entry - SOF'!B$2,'Data Entry - SOF'!S$102,0)</f>
        <v>0</v>
      </c>
    </row>
    <row r="697" spans="1:22" ht="15.75">
      <c r="A697" s="382" t="s">
        <v>1496</v>
      </c>
      <c r="B697" s="91">
        <v>1053118.5573893299</v>
      </c>
      <c r="C697" s="944">
        <f>IF(A697='Data Entry - SOF'!B$2,'Report-SOF1718'!D$102,0)</f>
        <v>0</v>
      </c>
      <c r="D697" s="1037">
        <f>IF(A697='Data Entry - SOF'!B$2,'Data Entry - SOF'!#REF!,0)</f>
        <v>0</v>
      </c>
      <c r="E697" s="91">
        <f t="shared" si="60"/>
        <v>1053118.5573893299</v>
      </c>
      <c r="F697" s="944">
        <f>IF(A697='Data Entry - SOF'!B$2,'Report-SOF1819'!D$102,0)</f>
        <v>0</v>
      </c>
      <c r="G697" s="1037">
        <f>IF(A697='Data Entry - SOF'!B$2,'Data Entry - SOF'!E$102,0)</f>
        <v>0</v>
      </c>
      <c r="H697" s="1038">
        <f t="shared" si="62"/>
        <v>1053118.5573893299</v>
      </c>
      <c r="I697" s="944">
        <f>IF(A697='Data Entry - SOF'!B$2,'Report-SOF1920-HB3'!D$102,0)</f>
        <v>0</v>
      </c>
      <c r="J697" s="1037">
        <f>IF(A697='Data Entry - SOF'!B$2,'Data Entry - SOF'!G$102,0)</f>
        <v>0</v>
      </c>
      <c r="K697" s="717">
        <f t="shared" si="63"/>
        <v>1053118.5573893299</v>
      </c>
      <c r="L697" s="944">
        <f>IF(A697='Data Entry - SOF'!B$2,'Report-SOF2021'!D$99,0)</f>
        <v>0</v>
      </c>
      <c r="M697" s="723">
        <f>IF(A697='Data Entry - SOF'!B$2,'Data Entry - SOF'!M$102,0)</f>
        <v>0</v>
      </c>
      <c r="N697" s="717">
        <f t="shared" si="64"/>
        <v>1053118.5573893299</v>
      </c>
      <c r="O697" s="944">
        <f>IF(A697='Data Entry - SOF'!B$2,'Report-SOF2122'!D$91,0)</f>
        <v>0</v>
      </c>
      <c r="P697" s="723">
        <f>IF(A697='Data Entry - SOF'!B$2,'Data Entry - SOF'!O$102,0)</f>
        <v>0</v>
      </c>
      <c r="Q697" s="601">
        <f t="shared" si="61"/>
        <v>1053118.5573893299</v>
      </c>
      <c r="R697" s="944">
        <f>IF(A697='Data Entry - SOF'!B$2,'Report-SOF2223'!D$91,0)</f>
        <v>0</v>
      </c>
      <c r="S697" s="723">
        <f>IF(A697='Data Entry - SOF'!B$2,'Data Entry - SOF'!Q$102,0)</f>
        <v>0</v>
      </c>
      <c r="T697" s="601">
        <f t="shared" si="65"/>
        <v>1053118.5573893299</v>
      </c>
      <c r="U697" s="944">
        <f>IF(A697='Data Entry - SOF'!B$2,'Report-SOF2324'!D$91,0)</f>
        <v>0</v>
      </c>
      <c r="V697" s="723">
        <f>IF(A697='Data Entry - SOF'!B$2,'Data Entry - SOF'!S$102,0)</f>
        <v>0</v>
      </c>
    </row>
    <row r="698" spans="1:22" ht="15.75">
      <c r="A698" s="382" t="s">
        <v>1272</v>
      </c>
      <c r="B698" s="91">
        <v>2314369.0490278699</v>
      </c>
      <c r="C698" s="944">
        <f>IF(A698='Data Entry - SOF'!B$2,'Report-SOF1718'!D$102,0)</f>
        <v>0</v>
      </c>
      <c r="D698" s="1037">
        <f>IF(A698='Data Entry - SOF'!B$2,'Data Entry - SOF'!#REF!,0)</f>
        <v>0</v>
      </c>
      <c r="E698" s="91">
        <f t="shared" si="60"/>
        <v>2314369.0490278699</v>
      </c>
      <c r="F698" s="944">
        <f>IF(A698='Data Entry - SOF'!B$2,'Report-SOF1819'!D$102,0)</f>
        <v>0</v>
      </c>
      <c r="G698" s="1037">
        <f>IF(A698='Data Entry - SOF'!B$2,'Data Entry - SOF'!E$102,0)</f>
        <v>0</v>
      </c>
      <c r="H698" s="1038">
        <f t="shared" si="62"/>
        <v>2314369.0490278699</v>
      </c>
      <c r="I698" s="944">
        <f>IF(A698='Data Entry - SOF'!B$2,'Report-SOF1920-HB3'!D$102,0)</f>
        <v>0</v>
      </c>
      <c r="J698" s="1037">
        <f>IF(A698='Data Entry - SOF'!B$2,'Data Entry - SOF'!G$102,0)</f>
        <v>0</v>
      </c>
      <c r="K698" s="717">
        <f t="shared" si="63"/>
        <v>2314369.0490278699</v>
      </c>
      <c r="L698" s="944">
        <f>IF(A698='Data Entry - SOF'!B$2,'Report-SOF2021'!D$99,0)</f>
        <v>0</v>
      </c>
      <c r="M698" s="723">
        <f>IF(A698='Data Entry - SOF'!B$2,'Data Entry - SOF'!M$102,0)</f>
        <v>0</v>
      </c>
      <c r="N698" s="717">
        <f t="shared" si="64"/>
        <v>2314369.0490278699</v>
      </c>
      <c r="O698" s="944">
        <f>IF(A698='Data Entry - SOF'!B$2,'Report-SOF2122'!D$91,0)</f>
        <v>0</v>
      </c>
      <c r="P698" s="723">
        <f>IF(A698='Data Entry - SOF'!B$2,'Data Entry - SOF'!O$102,0)</f>
        <v>0</v>
      </c>
      <c r="Q698" s="601">
        <f t="shared" si="61"/>
        <v>2314369.0490278699</v>
      </c>
      <c r="R698" s="944">
        <f>IF(A698='Data Entry - SOF'!B$2,'Report-SOF2223'!D$91,0)</f>
        <v>0</v>
      </c>
      <c r="S698" s="723">
        <f>IF(A698='Data Entry - SOF'!B$2,'Data Entry - SOF'!Q$102,0)</f>
        <v>0</v>
      </c>
      <c r="T698" s="601">
        <f t="shared" si="65"/>
        <v>2314369.0490278699</v>
      </c>
      <c r="U698" s="944">
        <f>IF(A698='Data Entry - SOF'!B$2,'Report-SOF2324'!D$91,0)</f>
        <v>0</v>
      </c>
      <c r="V698" s="723">
        <f>IF(A698='Data Entry - SOF'!B$2,'Data Entry - SOF'!S$102,0)</f>
        <v>0</v>
      </c>
    </row>
    <row r="699" spans="1:22" ht="15.75">
      <c r="A699" s="382" t="s">
        <v>1531</v>
      </c>
      <c r="B699" s="91">
        <v>2458435.2853342802</v>
      </c>
      <c r="C699" s="944">
        <f>IF(A699='Data Entry - SOF'!B$2,'Report-SOF1718'!D$102,0)</f>
        <v>0</v>
      </c>
      <c r="D699" s="1037">
        <f>IF(A699='Data Entry - SOF'!B$2,'Data Entry - SOF'!#REF!,0)</f>
        <v>0</v>
      </c>
      <c r="E699" s="91">
        <f t="shared" si="60"/>
        <v>2458435.2853342802</v>
      </c>
      <c r="F699" s="944">
        <f>IF(A699='Data Entry - SOF'!B$2,'Report-SOF1819'!D$102,0)</f>
        <v>0</v>
      </c>
      <c r="G699" s="1037">
        <f>IF(A699='Data Entry - SOF'!B$2,'Data Entry - SOF'!E$102,0)</f>
        <v>0</v>
      </c>
      <c r="H699" s="1038">
        <f t="shared" si="62"/>
        <v>2458435.2853342802</v>
      </c>
      <c r="I699" s="944">
        <f>IF(A699='Data Entry - SOF'!B$2,'Report-SOF1920-HB3'!D$102,0)</f>
        <v>0</v>
      </c>
      <c r="J699" s="1037">
        <f>IF(A699='Data Entry - SOF'!B$2,'Data Entry - SOF'!G$102,0)</f>
        <v>0</v>
      </c>
      <c r="K699" s="717">
        <f t="shared" si="63"/>
        <v>2458435.2853342802</v>
      </c>
      <c r="L699" s="944">
        <f>IF(A699='Data Entry - SOF'!B$2,'Report-SOF2021'!D$99,0)</f>
        <v>0</v>
      </c>
      <c r="M699" s="723">
        <f>IF(A699='Data Entry - SOF'!B$2,'Data Entry - SOF'!M$102,0)</f>
        <v>0</v>
      </c>
      <c r="N699" s="717">
        <f t="shared" si="64"/>
        <v>2458435.2853342802</v>
      </c>
      <c r="O699" s="944">
        <f>IF(A699='Data Entry - SOF'!B$2,'Report-SOF2122'!D$91,0)</f>
        <v>0</v>
      </c>
      <c r="P699" s="723">
        <f>IF(A699='Data Entry - SOF'!B$2,'Data Entry - SOF'!O$102,0)</f>
        <v>0</v>
      </c>
      <c r="Q699" s="601">
        <f t="shared" si="61"/>
        <v>2458435.2853342802</v>
      </c>
      <c r="R699" s="944">
        <f>IF(A699='Data Entry - SOF'!B$2,'Report-SOF2223'!D$91,0)</f>
        <v>0</v>
      </c>
      <c r="S699" s="723">
        <f>IF(A699='Data Entry - SOF'!B$2,'Data Entry - SOF'!Q$102,0)</f>
        <v>0</v>
      </c>
      <c r="T699" s="601">
        <f t="shared" si="65"/>
        <v>2458435.2853342802</v>
      </c>
      <c r="U699" s="944">
        <f>IF(A699='Data Entry - SOF'!B$2,'Report-SOF2324'!D$91,0)</f>
        <v>0</v>
      </c>
      <c r="V699" s="723">
        <f>IF(A699='Data Entry - SOF'!B$2,'Data Entry - SOF'!S$102,0)</f>
        <v>0</v>
      </c>
    </row>
    <row r="700" spans="1:22" ht="15.75">
      <c r="A700" s="382" t="s">
        <v>2311</v>
      </c>
      <c r="B700" s="91">
        <v>364787063</v>
      </c>
      <c r="C700" s="944">
        <f>IF(A700='Data Entry - SOF'!B$2,'Report-SOF1718'!D$102,0)</f>
        <v>0</v>
      </c>
      <c r="D700" s="1037">
        <f>IF(A700='Data Entry - SOF'!B$2,'Data Entry - SOF'!#REF!,0)</f>
        <v>0</v>
      </c>
      <c r="E700" s="91">
        <f t="shared" si="60"/>
        <v>364787063</v>
      </c>
      <c r="F700" s="944">
        <f>IF(A700='Data Entry - SOF'!B$2,'Report-SOF1819'!D$102,0)</f>
        <v>0</v>
      </c>
      <c r="G700" s="1037">
        <f>IF(A700='Data Entry - SOF'!B$2,'Data Entry - SOF'!E$102,0)</f>
        <v>0</v>
      </c>
      <c r="H700" s="1038">
        <f t="shared" si="62"/>
        <v>364787063</v>
      </c>
      <c r="I700" s="944">
        <f>IF(A700='Data Entry - SOF'!B$2,'Report-SOF1920-HB3'!D$102,0)</f>
        <v>0</v>
      </c>
      <c r="J700" s="1037">
        <f>IF(A700='Data Entry - SOF'!B$2,'Data Entry - SOF'!G$102,0)</f>
        <v>0</v>
      </c>
      <c r="K700" s="717">
        <f t="shared" si="63"/>
        <v>364787063</v>
      </c>
      <c r="L700" s="944">
        <f>IF(A700='Data Entry - SOF'!B$2,'Report-SOF2021'!D$99,0)</f>
        <v>0</v>
      </c>
      <c r="M700" s="723">
        <f>IF(A700='Data Entry - SOF'!B$2,'Data Entry - SOF'!M$102,0)</f>
        <v>0</v>
      </c>
      <c r="N700" s="717">
        <f t="shared" si="64"/>
        <v>364787063</v>
      </c>
      <c r="O700" s="944">
        <f>IF(A700='Data Entry - SOF'!B$2,'Report-SOF2122'!D$91,0)</f>
        <v>0</v>
      </c>
      <c r="P700" s="723">
        <f>IF(A700='Data Entry - SOF'!B$2,'Data Entry - SOF'!O$102,0)</f>
        <v>0</v>
      </c>
      <c r="Q700" s="601">
        <f t="shared" si="61"/>
        <v>364787063</v>
      </c>
      <c r="R700" s="944">
        <f>IF(A700='Data Entry - SOF'!B$2,'Report-SOF2223'!D$91,0)</f>
        <v>0</v>
      </c>
      <c r="S700" s="723">
        <f>IF(A700='Data Entry - SOF'!B$2,'Data Entry - SOF'!Q$102,0)</f>
        <v>0</v>
      </c>
      <c r="T700" s="601">
        <f t="shared" si="65"/>
        <v>364787063</v>
      </c>
      <c r="U700" s="944">
        <f>IF(A700='Data Entry - SOF'!B$2,'Report-SOF2324'!D$91,0)</f>
        <v>0</v>
      </c>
      <c r="V700" s="723">
        <f>IF(A700='Data Entry - SOF'!B$2,'Data Entry - SOF'!S$102,0)</f>
        <v>0</v>
      </c>
    </row>
    <row r="701" spans="1:22" ht="15.75">
      <c r="A701" s="382" t="s">
        <v>1532</v>
      </c>
      <c r="B701" s="91">
        <v>86611873</v>
      </c>
      <c r="C701" s="944">
        <f>IF(A701='Data Entry - SOF'!B$2,'Report-SOF1718'!D$102,0)</f>
        <v>0</v>
      </c>
      <c r="D701" s="1037">
        <f>IF(A701='Data Entry - SOF'!B$2,'Data Entry - SOF'!#REF!,0)</f>
        <v>0</v>
      </c>
      <c r="E701" s="91">
        <f t="shared" si="60"/>
        <v>86611873</v>
      </c>
      <c r="F701" s="944">
        <f>IF(A701='Data Entry - SOF'!B$2,'Report-SOF1819'!D$102,0)</f>
        <v>0</v>
      </c>
      <c r="G701" s="1037">
        <f>IF(A701='Data Entry - SOF'!B$2,'Data Entry - SOF'!E$102,0)</f>
        <v>0</v>
      </c>
      <c r="H701" s="1038">
        <f t="shared" si="62"/>
        <v>86611873</v>
      </c>
      <c r="I701" s="944">
        <f>IF(A701='Data Entry - SOF'!B$2,'Report-SOF1920-HB3'!D$102,0)</f>
        <v>0</v>
      </c>
      <c r="J701" s="1037">
        <f>IF(A701='Data Entry - SOF'!B$2,'Data Entry - SOF'!G$102,0)</f>
        <v>0</v>
      </c>
      <c r="K701" s="717">
        <f t="shared" si="63"/>
        <v>86611873</v>
      </c>
      <c r="L701" s="944">
        <f>IF(A701='Data Entry - SOF'!B$2,'Report-SOF2021'!D$99,0)</f>
        <v>0</v>
      </c>
      <c r="M701" s="723">
        <f>IF(A701='Data Entry - SOF'!B$2,'Data Entry - SOF'!M$102,0)</f>
        <v>0</v>
      </c>
      <c r="N701" s="717">
        <f t="shared" si="64"/>
        <v>86611873</v>
      </c>
      <c r="O701" s="944">
        <f>IF(A701='Data Entry - SOF'!B$2,'Report-SOF2122'!D$91,0)</f>
        <v>0</v>
      </c>
      <c r="P701" s="723">
        <f>IF(A701='Data Entry - SOF'!B$2,'Data Entry - SOF'!O$102,0)</f>
        <v>0</v>
      </c>
      <c r="Q701" s="601">
        <f t="shared" si="61"/>
        <v>86611873</v>
      </c>
      <c r="R701" s="944">
        <f>IF(A701='Data Entry - SOF'!B$2,'Report-SOF2223'!D$91,0)</f>
        <v>0</v>
      </c>
      <c r="S701" s="723">
        <f>IF(A701='Data Entry - SOF'!B$2,'Data Entry - SOF'!Q$102,0)</f>
        <v>0</v>
      </c>
      <c r="T701" s="601">
        <f t="shared" si="65"/>
        <v>86611873</v>
      </c>
      <c r="U701" s="944">
        <f>IF(A701='Data Entry - SOF'!B$2,'Report-SOF2324'!D$91,0)</f>
        <v>0</v>
      </c>
      <c r="V701" s="723">
        <f>IF(A701='Data Entry - SOF'!B$2,'Data Entry - SOF'!S$102,0)</f>
        <v>0</v>
      </c>
    </row>
    <row r="702" spans="1:22" ht="15.75">
      <c r="A702" s="382" t="s">
        <v>1182</v>
      </c>
      <c r="B702" s="91">
        <v>26710759</v>
      </c>
      <c r="C702" s="944">
        <f>IF(A702='Data Entry - SOF'!B$2,'Report-SOF1718'!D$102,0)</f>
        <v>0</v>
      </c>
      <c r="D702" s="1037">
        <f>IF(A702='Data Entry - SOF'!B$2,'Data Entry - SOF'!#REF!,0)</f>
        <v>0</v>
      </c>
      <c r="E702" s="91">
        <f t="shared" si="60"/>
        <v>26710759</v>
      </c>
      <c r="F702" s="944">
        <f>IF(A702='Data Entry - SOF'!B$2,'Report-SOF1819'!D$102,0)</f>
        <v>0</v>
      </c>
      <c r="G702" s="1037">
        <f>IF(A702='Data Entry - SOF'!B$2,'Data Entry - SOF'!E$102,0)</f>
        <v>0</v>
      </c>
      <c r="H702" s="1038">
        <f t="shared" si="62"/>
        <v>26710759</v>
      </c>
      <c r="I702" s="944">
        <f>IF(A702='Data Entry - SOF'!B$2,'Report-SOF1920-HB3'!D$102,0)</f>
        <v>0</v>
      </c>
      <c r="J702" s="1037">
        <f>IF(A702='Data Entry - SOF'!B$2,'Data Entry - SOF'!G$102,0)</f>
        <v>0</v>
      </c>
      <c r="K702" s="717">
        <f t="shared" si="63"/>
        <v>26710759</v>
      </c>
      <c r="L702" s="944">
        <f>IF(A702='Data Entry - SOF'!B$2,'Report-SOF2021'!D$99,0)</f>
        <v>0</v>
      </c>
      <c r="M702" s="723">
        <f>IF(A702='Data Entry - SOF'!B$2,'Data Entry - SOF'!M$102,0)</f>
        <v>0</v>
      </c>
      <c r="N702" s="717">
        <f t="shared" si="64"/>
        <v>26710759</v>
      </c>
      <c r="O702" s="944">
        <f>IF(A702='Data Entry - SOF'!B$2,'Report-SOF2122'!D$91,0)</f>
        <v>0</v>
      </c>
      <c r="P702" s="723">
        <f>IF(A702='Data Entry - SOF'!B$2,'Data Entry - SOF'!O$102,0)</f>
        <v>0</v>
      </c>
      <c r="Q702" s="601">
        <f t="shared" si="61"/>
        <v>26710759</v>
      </c>
      <c r="R702" s="944">
        <f>IF(A702='Data Entry - SOF'!B$2,'Report-SOF2223'!D$91,0)</f>
        <v>0</v>
      </c>
      <c r="S702" s="723">
        <f>IF(A702='Data Entry - SOF'!B$2,'Data Entry - SOF'!Q$102,0)</f>
        <v>0</v>
      </c>
      <c r="T702" s="601">
        <f t="shared" si="65"/>
        <v>26710759</v>
      </c>
      <c r="U702" s="944">
        <f>IF(A702='Data Entry - SOF'!B$2,'Report-SOF2324'!D$91,0)</f>
        <v>0</v>
      </c>
      <c r="V702" s="723">
        <f>IF(A702='Data Entry - SOF'!B$2,'Data Entry - SOF'!S$102,0)</f>
        <v>0</v>
      </c>
    </row>
    <row r="703" spans="1:22" ht="15.75">
      <c r="A703" s="382" t="s">
        <v>346</v>
      </c>
      <c r="B703" s="91">
        <v>61040272</v>
      </c>
      <c r="C703" s="944">
        <f>IF(A703='Data Entry - SOF'!B$2,'Report-SOF1718'!D$102,0)</f>
        <v>0</v>
      </c>
      <c r="D703" s="1037">
        <f>IF(A703='Data Entry - SOF'!B$2,'Data Entry - SOF'!#REF!,0)</f>
        <v>0</v>
      </c>
      <c r="E703" s="91">
        <f t="shared" si="60"/>
        <v>61040272</v>
      </c>
      <c r="F703" s="944">
        <f>IF(A703='Data Entry - SOF'!B$2,'Report-SOF1819'!D$102,0)</f>
        <v>0</v>
      </c>
      <c r="G703" s="1037">
        <f>IF(A703='Data Entry - SOF'!B$2,'Data Entry - SOF'!E$102,0)</f>
        <v>0</v>
      </c>
      <c r="H703" s="1038">
        <f t="shared" si="62"/>
        <v>61040272</v>
      </c>
      <c r="I703" s="944">
        <f>IF(A703='Data Entry - SOF'!B$2,'Report-SOF1920-HB3'!D$102,0)</f>
        <v>0</v>
      </c>
      <c r="J703" s="1037">
        <f>IF(A703='Data Entry - SOF'!B$2,'Data Entry - SOF'!G$102,0)</f>
        <v>0</v>
      </c>
      <c r="K703" s="717">
        <f t="shared" si="63"/>
        <v>61040272</v>
      </c>
      <c r="L703" s="944">
        <f>IF(A703='Data Entry - SOF'!B$2,'Report-SOF2021'!D$99,0)</f>
        <v>0</v>
      </c>
      <c r="M703" s="723">
        <f>IF(A703='Data Entry - SOF'!B$2,'Data Entry - SOF'!M$102,0)</f>
        <v>0</v>
      </c>
      <c r="N703" s="717">
        <f t="shared" si="64"/>
        <v>61040272</v>
      </c>
      <c r="O703" s="944">
        <f>IF(A703='Data Entry - SOF'!B$2,'Report-SOF2122'!D$91,0)</f>
        <v>0</v>
      </c>
      <c r="P703" s="723">
        <f>IF(A703='Data Entry - SOF'!B$2,'Data Entry - SOF'!O$102,0)</f>
        <v>0</v>
      </c>
      <c r="Q703" s="601">
        <f t="shared" si="61"/>
        <v>61040272</v>
      </c>
      <c r="R703" s="944">
        <f>IF(A703='Data Entry - SOF'!B$2,'Report-SOF2223'!D$91,0)</f>
        <v>0</v>
      </c>
      <c r="S703" s="723">
        <f>IF(A703='Data Entry - SOF'!B$2,'Data Entry - SOF'!Q$102,0)</f>
        <v>0</v>
      </c>
      <c r="T703" s="601">
        <f t="shared" si="65"/>
        <v>61040272</v>
      </c>
      <c r="U703" s="944">
        <f>IF(A703='Data Entry - SOF'!B$2,'Report-SOF2324'!D$91,0)</f>
        <v>0</v>
      </c>
      <c r="V703" s="723">
        <f>IF(A703='Data Entry - SOF'!B$2,'Data Entry - SOF'!S$102,0)</f>
        <v>0</v>
      </c>
    </row>
    <row r="704" spans="1:22" ht="15.75">
      <c r="A704" s="382" t="s">
        <v>1508</v>
      </c>
      <c r="B704" s="91">
        <v>5688009</v>
      </c>
      <c r="C704" s="944">
        <f>IF(A704='Data Entry - SOF'!B$2,'Report-SOF1718'!D$102,0)</f>
        <v>0</v>
      </c>
      <c r="D704" s="1037">
        <f>IF(A704='Data Entry - SOF'!B$2,'Data Entry - SOF'!#REF!,0)</f>
        <v>0</v>
      </c>
      <c r="E704" s="91">
        <f t="shared" si="60"/>
        <v>5688009</v>
      </c>
      <c r="F704" s="944">
        <f>IF(A704='Data Entry - SOF'!B$2,'Report-SOF1819'!D$102,0)</f>
        <v>0</v>
      </c>
      <c r="G704" s="1037">
        <f>IF(A704='Data Entry - SOF'!B$2,'Data Entry - SOF'!E$102,0)</f>
        <v>0</v>
      </c>
      <c r="H704" s="1038">
        <f t="shared" si="62"/>
        <v>5688009</v>
      </c>
      <c r="I704" s="944">
        <f>IF(A704='Data Entry - SOF'!B$2,'Report-SOF1920-HB3'!D$102,0)</f>
        <v>0</v>
      </c>
      <c r="J704" s="1037">
        <f>IF(A704='Data Entry - SOF'!B$2,'Data Entry - SOF'!G$102,0)</f>
        <v>0</v>
      </c>
      <c r="K704" s="717">
        <f t="shared" si="63"/>
        <v>5688009</v>
      </c>
      <c r="L704" s="944">
        <f>IF(A704='Data Entry - SOF'!B$2,'Report-SOF2021'!D$99,0)</f>
        <v>0</v>
      </c>
      <c r="M704" s="723">
        <f>IF(A704='Data Entry - SOF'!B$2,'Data Entry - SOF'!M$102,0)</f>
        <v>0</v>
      </c>
      <c r="N704" s="717">
        <f t="shared" si="64"/>
        <v>5688009</v>
      </c>
      <c r="O704" s="944">
        <f>IF(A704='Data Entry - SOF'!B$2,'Report-SOF2122'!D$91,0)</f>
        <v>0</v>
      </c>
      <c r="P704" s="723">
        <f>IF(A704='Data Entry - SOF'!B$2,'Data Entry - SOF'!O$102,0)</f>
        <v>0</v>
      </c>
      <c r="Q704" s="601">
        <f t="shared" si="61"/>
        <v>5688009</v>
      </c>
      <c r="R704" s="944">
        <f>IF(A704='Data Entry - SOF'!B$2,'Report-SOF2223'!D$91,0)</f>
        <v>0</v>
      </c>
      <c r="S704" s="723">
        <f>IF(A704='Data Entry - SOF'!B$2,'Data Entry - SOF'!Q$102,0)</f>
        <v>0</v>
      </c>
      <c r="T704" s="601">
        <f t="shared" si="65"/>
        <v>5688009</v>
      </c>
      <c r="U704" s="944">
        <f>IF(A704='Data Entry - SOF'!B$2,'Report-SOF2324'!D$91,0)</f>
        <v>0</v>
      </c>
      <c r="V704" s="723">
        <f>IF(A704='Data Entry - SOF'!B$2,'Data Entry - SOF'!S$102,0)</f>
        <v>0</v>
      </c>
    </row>
    <row r="705" spans="1:22" ht="15.75">
      <c r="A705" s="382" t="s">
        <v>703</v>
      </c>
      <c r="B705" s="91">
        <v>62418678</v>
      </c>
      <c r="C705" s="944">
        <f>IF(A705='Data Entry - SOF'!B$2,'Report-SOF1718'!D$102,0)</f>
        <v>0</v>
      </c>
      <c r="D705" s="1037">
        <f>IF(A705='Data Entry - SOF'!B$2,'Data Entry - SOF'!#REF!,0)</f>
        <v>0</v>
      </c>
      <c r="E705" s="91">
        <f t="shared" si="60"/>
        <v>62418678</v>
      </c>
      <c r="F705" s="944">
        <f>IF(A705='Data Entry - SOF'!B$2,'Report-SOF1819'!D$102,0)</f>
        <v>0</v>
      </c>
      <c r="G705" s="1037">
        <f>IF(A705='Data Entry - SOF'!B$2,'Data Entry - SOF'!E$102,0)</f>
        <v>0</v>
      </c>
      <c r="H705" s="1038">
        <f t="shared" si="62"/>
        <v>62418678</v>
      </c>
      <c r="I705" s="944">
        <f>IF(A705='Data Entry - SOF'!B$2,'Report-SOF1920-HB3'!D$102,0)</f>
        <v>0</v>
      </c>
      <c r="J705" s="1037">
        <f>IF(A705='Data Entry - SOF'!B$2,'Data Entry - SOF'!G$102,0)</f>
        <v>0</v>
      </c>
      <c r="K705" s="717">
        <f t="shared" si="63"/>
        <v>62418678</v>
      </c>
      <c r="L705" s="944">
        <f>IF(A705='Data Entry - SOF'!B$2,'Report-SOF2021'!D$99,0)</f>
        <v>0</v>
      </c>
      <c r="M705" s="723">
        <f>IF(A705='Data Entry - SOF'!B$2,'Data Entry - SOF'!M$102,0)</f>
        <v>0</v>
      </c>
      <c r="N705" s="717">
        <f t="shared" si="64"/>
        <v>62418678</v>
      </c>
      <c r="O705" s="944">
        <f>IF(A705='Data Entry - SOF'!B$2,'Report-SOF2122'!D$91,0)</f>
        <v>0</v>
      </c>
      <c r="P705" s="723">
        <f>IF(A705='Data Entry - SOF'!B$2,'Data Entry - SOF'!O$102,0)</f>
        <v>0</v>
      </c>
      <c r="Q705" s="601">
        <f t="shared" si="61"/>
        <v>62418678</v>
      </c>
      <c r="R705" s="944">
        <f>IF(A705='Data Entry - SOF'!B$2,'Report-SOF2223'!D$91,0)</f>
        <v>0</v>
      </c>
      <c r="S705" s="723">
        <f>IF(A705='Data Entry - SOF'!B$2,'Data Entry - SOF'!Q$102,0)</f>
        <v>0</v>
      </c>
      <c r="T705" s="601">
        <f t="shared" si="65"/>
        <v>62418678</v>
      </c>
      <c r="U705" s="944">
        <f>IF(A705='Data Entry - SOF'!B$2,'Report-SOF2324'!D$91,0)</f>
        <v>0</v>
      </c>
      <c r="V705" s="723">
        <f>IF(A705='Data Entry - SOF'!B$2,'Data Entry - SOF'!S$102,0)</f>
        <v>0</v>
      </c>
    </row>
    <row r="706" spans="1:22" ht="15.75">
      <c r="A706" s="382" t="s">
        <v>1868</v>
      </c>
      <c r="B706" s="91">
        <v>12778152</v>
      </c>
      <c r="C706" s="944">
        <f>IF(A706='Data Entry - SOF'!B$2,'Report-SOF1718'!D$102,0)</f>
        <v>0</v>
      </c>
      <c r="D706" s="1037">
        <f>IF(A706='Data Entry - SOF'!B$2,'Data Entry - SOF'!#REF!,0)</f>
        <v>0</v>
      </c>
      <c r="E706" s="91">
        <f t="shared" si="60"/>
        <v>12778152</v>
      </c>
      <c r="F706" s="944">
        <f>IF(A706='Data Entry - SOF'!B$2,'Report-SOF1819'!D$102,0)</f>
        <v>0</v>
      </c>
      <c r="G706" s="1037">
        <f>IF(A706='Data Entry - SOF'!B$2,'Data Entry - SOF'!E$102,0)</f>
        <v>0</v>
      </c>
      <c r="H706" s="1038">
        <f t="shared" si="62"/>
        <v>12778152</v>
      </c>
      <c r="I706" s="944">
        <f>IF(A706='Data Entry - SOF'!B$2,'Report-SOF1920-HB3'!D$102,0)</f>
        <v>0</v>
      </c>
      <c r="J706" s="1037">
        <f>IF(A706='Data Entry - SOF'!B$2,'Data Entry - SOF'!G$102,0)</f>
        <v>0</v>
      </c>
      <c r="K706" s="717">
        <f t="shared" si="63"/>
        <v>12778152</v>
      </c>
      <c r="L706" s="944">
        <f>IF(A706='Data Entry - SOF'!B$2,'Report-SOF2021'!D$99,0)</f>
        <v>0</v>
      </c>
      <c r="M706" s="723">
        <f>IF(A706='Data Entry - SOF'!B$2,'Data Entry - SOF'!M$102,0)</f>
        <v>0</v>
      </c>
      <c r="N706" s="717">
        <f t="shared" si="64"/>
        <v>12778152</v>
      </c>
      <c r="O706" s="944">
        <f>IF(A706='Data Entry - SOF'!B$2,'Report-SOF2122'!D$91,0)</f>
        <v>0</v>
      </c>
      <c r="P706" s="723">
        <f>IF(A706='Data Entry - SOF'!B$2,'Data Entry - SOF'!O$102,0)</f>
        <v>0</v>
      </c>
      <c r="Q706" s="601">
        <f t="shared" si="61"/>
        <v>12778152</v>
      </c>
      <c r="R706" s="944">
        <f>IF(A706='Data Entry - SOF'!B$2,'Report-SOF2223'!D$91,0)</f>
        <v>0</v>
      </c>
      <c r="S706" s="723">
        <f>IF(A706='Data Entry - SOF'!B$2,'Data Entry - SOF'!Q$102,0)</f>
        <v>0</v>
      </c>
      <c r="T706" s="601">
        <f t="shared" si="65"/>
        <v>12778152</v>
      </c>
      <c r="U706" s="944">
        <f>IF(A706='Data Entry - SOF'!B$2,'Report-SOF2324'!D$91,0)</f>
        <v>0</v>
      </c>
      <c r="V706" s="723">
        <f>IF(A706='Data Entry - SOF'!B$2,'Data Entry - SOF'!S$102,0)</f>
        <v>0</v>
      </c>
    </row>
    <row r="707" spans="1:22" ht="15.75">
      <c r="A707" s="382" t="s">
        <v>1869</v>
      </c>
      <c r="B707" s="91">
        <v>6789733</v>
      </c>
      <c r="C707" s="944">
        <f>IF(A707='Data Entry - SOF'!B$2,'Report-SOF1718'!D$102,0)</f>
        <v>0</v>
      </c>
      <c r="D707" s="1037">
        <f>IF(A707='Data Entry - SOF'!B$2,'Data Entry - SOF'!#REF!,0)</f>
        <v>0</v>
      </c>
      <c r="E707" s="91">
        <f t="shared" si="60"/>
        <v>6789733</v>
      </c>
      <c r="F707" s="944">
        <f>IF(A707='Data Entry - SOF'!B$2,'Report-SOF1819'!D$102,0)</f>
        <v>0</v>
      </c>
      <c r="G707" s="1037">
        <f>IF(A707='Data Entry - SOF'!B$2,'Data Entry - SOF'!E$102,0)</f>
        <v>0</v>
      </c>
      <c r="H707" s="1038">
        <f t="shared" si="62"/>
        <v>6789733</v>
      </c>
      <c r="I707" s="944">
        <f>IF(A707='Data Entry - SOF'!B$2,'Report-SOF1920-HB3'!D$102,0)</f>
        <v>0</v>
      </c>
      <c r="J707" s="1037">
        <f>IF(A707='Data Entry - SOF'!B$2,'Data Entry - SOF'!G$102,0)</f>
        <v>0</v>
      </c>
      <c r="K707" s="717">
        <f t="shared" si="63"/>
        <v>6789733</v>
      </c>
      <c r="L707" s="944">
        <f>IF(A707='Data Entry - SOF'!B$2,'Report-SOF2021'!D$99,0)</f>
        <v>0</v>
      </c>
      <c r="M707" s="723">
        <f>IF(A707='Data Entry - SOF'!B$2,'Data Entry - SOF'!M$102,0)</f>
        <v>0</v>
      </c>
      <c r="N707" s="717">
        <f t="shared" si="64"/>
        <v>6789733</v>
      </c>
      <c r="O707" s="944">
        <f>IF(A707='Data Entry - SOF'!B$2,'Report-SOF2122'!D$91,0)</f>
        <v>0</v>
      </c>
      <c r="P707" s="723">
        <f>IF(A707='Data Entry - SOF'!B$2,'Data Entry - SOF'!O$102,0)</f>
        <v>0</v>
      </c>
      <c r="Q707" s="601">
        <f t="shared" si="61"/>
        <v>6789733</v>
      </c>
      <c r="R707" s="944">
        <f>IF(A707='Data Entry - SOF'!B$2,'Report-SOF2223'!D$91,0)</f>
        <v>0</v>
      </c>
      <c r="S707" s="723">
        <f>IF(A707='Data Entry - SOF'!B$2,'Data Entry - SOF'!Q$102,0)</f>
        <v>0</v>
      </c>
      <c r="T707" s="601">
        <f t="shared" si="65"/>
        <v>6789733</v>
      </c>
      <c r="U707" s="944">
        <f>IF(A707='Data Entry - SOF'!B$2,'Report-SOF2324'!D$91,0)</f>
        <v>0</v>
      </c>
      <c r="V707" s="723">
        <f>IF(A707='Data Entry - SOF'!B$2,'Data Entry - SOF'!S$102,0)</f>
        <v>0</v>
      </c>
    </row>
    <row r="708" spans="1:22" ht="15.75">
      <c r="A708" s="382" t="s">
        <v>1870</v>
      </c>
      <c r="B708" s="91">
        <v>8765942.5006325003</v>
      </c>
      <c r="C708" s="944">
        <f>IF(A708='Data Entry - SOF'!B$2,'Report-SOF1718'!D$102,0)</f>
        <v>0</v>
      </c>
      <c r="D708" s="1037">
        <f>IF(A708='Data Entry - SOF'!B$2,'Data Entry - SOF'!#REF!,0)</f>
        <v>0</v>
      </c>
      <c r="E708" s="91">
        <f t="shared" ref="E708:E771" si="66">IF(B708+C708-D708&lt;=0,0,B708+C708-D708)</f>
        <v>8765942.5006325003</v>
      </c>
      <c r="F708" s="944">
        <f>IF(A708='Data Entry - SOF'!B$2,'Report-SOF1819'!D$102,0)</f>
        <v>0</v>
      </c>
      <c r="G708" s="1037">
        <f>IF(A708='Data Entry - SOF'!B$2,'Data Entry - SOF'!E$102,0)</f>
        <v>0</v>
      </c>
      <c r="H708" s="1038">
        <f t="shared" si="62"/>
        <v>8765942.5006325003</v>
      </c>
      <c r="I708" s="944">
        <f>IF(A708='Data Entry - SOF'!B$2,'Report-SOF1920-HB3'!D$102,0)</f>
        <v>0</v>
      </c>
      <c r="J708" s="1037">
        <f>IF(A708='Data Entry - SOF'!B$2,'Data Entry - SOF'!G$102,0)</f>
        <v>0</v>
      </c>
      <c r="K708" s="717">
        <f t="shared" si="63"/>
        <v>8765942.5006325003</v>
      </c>
      <c r="L708" s="944">
        <f>IF(A708='Data Entry - SOF'!B$2,'Report-SOF2021'!D$99,0)</f>
        <v>0</v>
      </c>
      <c r="M708" s="723">
        <f>IF(A708='Data Entry - SOF'!B$2,'Data Entry - SOF'!M$102,0)</f>
        <v>0</v>
      </c>
      <c r="N708" s="717">
        <f t="shared" si="64"/>
        <v>8765942.5006325003</v>
      </c>
      <c r="O708" s="944">
        <f>IF(A708='Data Entry - SOF'!B$2,'Report-SOF2122'!D$91,0)</f>
        <v>0</v>
      </c>
      <c r="P708" s="723">
        <f>IF(A708='Data Entry - SOF'!B$2,'Data Entry - SOF'!O$102,0)</f>
        <v>0</v>
      </c>
      <c r="Q708" s="601">
        <f t="shared" ref="Q708:Q771" si="67">IF(N708+O708-P708&lt;=0,0,N708+O708-P708)</f>
        <v>8765942.5006325003</v>
      </c>
      <c r="R708" s="944">
        <f>IF(A708='Data Entry - SOF'!B$2,'Report-SOF2223'!D$91,0)</f>
        <v>0</v>
      </c>
      <c r="S708" s="723">
        <f>IF(A708='Data Entry - SOF'!B$2,'Data Entry - SOF'!Q$102,0)</f>
        <v>0</v>
      </c>
      <c r="T708" s="601">
        <f t="shared" si="65"/>
        <v>8765942.5006325003</v>
      </c>
      <c r="U708" s="944">
        <f>IF(A708='Data Entry - SOF'!B$2,'Report-SOF2324'!D$91,0)</f>
        <v>0</v>
      </c>
      <c r="V708" s="723">
        <f>IF(A708='Data Entry - SOF'!B$2,'Data Entry - SOF'!S$102,0)</f>
        <v>0</v>
      </c>
    </row>
    <row r="709" spans="1:22" ht="15.75">
      <c r="A709" s="382" t="s">
        <v>1871</v>
      </c>
      <c r="B709" s="91">
        <v>2115358</v>
      </c>
      <c r="C709" s="944">
        <f>IF(A709='Data Entry - SOF'!B$2,'Report-SOF1718'!D$102,0)</f>
        <v>0</v>
      </c>
      <c r="D709" s="1037">
        <f>IF(A709='Data Entry - SOF'!B$2,'Data Entry - SOF'!#REF!,0)</f>
        <v>0</v>
      </c>
      <c r="E709" s="91">
        <f t="shared" si="66"/>
        <v>2115358</v>
      </c>
      <c r="F709" s="944">
        <f>IF(A709='Data Entry - SOF'!B$2,'Report-SOF1819'!D$102,0)</f>
        <v>0</v>
      </c>
      <c r="G709" s="1037">
        <f>IF(A709='Data Entry - SOF'!B$2,'Data Entry - SOF'!E$102,0)</f>
        <v>0</v>
      </c>
      <c r="H709" s="1038">
        <f t="shared" ref="H709:H772" si="68">IF(E709+F709-G709&lt;=0,0,E709+F709-G709)</f>
        <v>2115358</v>
      </c>
      <c r="I709" s="944">
        <f>IF(A709='Data Entry - SOF'!B$2,'Report-SOF1920-HB3'!D$102,0)</f>
        <v>0</v>
      </c>
      <c r="J709" s="1037">
        <f>IF(A709='Data Entry - SOF'!B$2,'Data Entry - SOF'!G$102,0)</f>
        <v>0</v>
      </c>
      <c r="K709" s="717">
        <f t="shared" ref="K709:K772" si="69">IF(H709+I709-J709&lt;=0,0,H709+I709-J709)</f>
        <v>2115358</v>
      </c>
      <c r="L709" s="944">
        <f>IF(A709='Data Entry - SOF'!B$2,'Report-SOF2021'!D$99,0)</f>
        <v>0</v>
      </c>
      <c r="M709" s="723">
        <f>IF(A709='Data Entry - SOF'!B$2,'Data Entry - SOF'!M$102,0)</f>
        <v>0</v>
      </c>
      <c r="N709" s="717">
        <f t="shared" ref="N709:N772" si="70">IF(K709+L709-M709&lt;=0,0,K709+L709-M709)</f>
        <v>2115358</v>
      </c>
      <c r="O709" s="944">
        <f>IF(A709='Data Entry - SOF'!B$2,'Report-SOF2122'!D$91,0)</f>
        <v>0</v>
      </c>
      <c r="P709" s="723">
        <f>IF(A709='Data Entry - SOF'!B$2,'Data Entry - SOF'!O$102,0)</f>
        <v>0</v>
      </c>
      <c r="Q709" s="601">
        <f t="shared" si="67"/>
        <v>2115358</v>
      </c>
      <c r="R709" s="944">
        <f>IF(A709='Data Entry - SOF'!B$2,'Report-SOF2223'!D$91,0)</f>
        <v>0</v>
      </c>
      <c r="S709" s="723">
        <f>IF(A709='Data Entry - SOF'!B$2,'Data Entry - SOF'!Q$102,0)</f>
        <v>0</v>
      </c>
      <c r="T709" s="601">
        <f t="shared" ref="T709:T772" si="71">IF(P709+Q709-S709&lt;=0,0,P709+Q709-S709)</f>
        <v>2115358</v>
      </c>
      <c r="U709" s="944">
        <f>IF(A709='Data Entry - SOF'!B$2,'Report-SOF2324'!D$91,0)</f>
        <v>0</v>
      </c>
      <c r="V709" s="723">
        <f>IF(A709='Data Entry - SOF'!B$2,'Data Entry - SOF'!S$102,0)</f>
        <v>0</v>
      </c>
    </row>
    <row r="710" spans="1:22" ht="15.75">
      <c r="A710" s="382" t="s">
        <v>2353</v>
      </c>
      <c r="B710" s="91">
        <v>847576</v>
      </c>
      <c r="C710" s="944">
        <f>IF(A710='Data Entry - SOF'!B$2,'Report-SOF1718'!D$102,0)</f>
        <v>0</v>
      </c>
      <c r="D710" s="1037">
        <f>IF(A710='Data Entry - SOF'!B$2,'Data Entry - SOF'!#REF!,0)</f>
        <v>0</v>
      </c>
      <c r="E710" s="91">
        <f t="shared" si="66"/>
        <v>847576</v>
      </c>
      <c r="F710" s="944">
        <f>IF(A710='Data Entry - SOF'!B$2,'Report-SOF1819'!D$102,0)</f>
        <v>0</v>
      </c>
      <c r="G710" s="1037">
        <f>IF(A710='Data Entry - SOF'!B$2,'Data Entry - SOF'!E$102,0)</f>
        <v>0</v>
      </c>
      <c r="H710" s="1038">
        <f t="shared" si="68"/>
        <v>847576</v>
      </c>
      <c r="I710" s="944">
        <f>IF(A710='Data Entry - SOF'!B$2,'Report-SOF1920-HB3'!D$102,0)</f>
        <v>0</v>
      </c>
      <c r="J710" s="1037">
        <f>IF(A710='Data Entry - SOF'!B$2,'Data Entry - SOF'!G$102,0)</f>
        <v>0</v>
      </c>
      <c r="K710" s="717">
        <f t="shared" si="69"/>
        <v>847576</v>
      </c>
      <c r="L710" s="944">
        <f>IF(A710='Data Entry - SOF'!B$2,'Report-SOF2021'!D$99,0)</f>
        <v>0</v>
      </c>
      <c r="M710" s="723">
        <f>IF(A710='Data Entry - SOF'!B$2,'Data Entry - SOF'!M$102,0)</f>
        <v>0</v>
      </c>
      <c r="N710" s="717">
        <f t="shared" si="70"/>
        <v>847576</v>
      </c>
      <c r="O710" s="944">
        <f>IF(A710='Data Entry - SOF'!B$2,'Report-SOF2122'!D$91,0)</f>
        <v>0</v>
      </c>
      <c r="P710" s="723">
        <f>IF(A710='Data Entry - SOF'!B$2,'Data Entry - SOF'!O$102,0)</f>
        <v>0</v>
      </c>
      <c r="Q710" s="601">
        <f t="shared" si="67"/>
        <v>847576</v>
      </c>
      <c r="R710" s="944">
        <f>IF(A710='Data Entry - SOF'!B$2,'Report-SOF2223'!D$91,0)</f>
        <v>0</v>
      </c>
      <c r="S710" s="723">
        <f>IF(A710='Data Entry - SOF'!B$2,'Data Entry - SOF'!Q$102,0)</f>
        <v>0</v>
      </c>
      <c r="T710" s="601">
        <f t="shared" si="71"/>
        <v>847576</v>
      </c>
      <c r="U710" s="944">
        <f>IF(A710='Data Entry - SOF'!B$2,'Report-SOF2324'!D$91,0)</f>
        <v>0</v>
      </c>
      <c r="V710" s="723">
        <f>IF(A710='Data Entry - SOF'!B$2,'Data Entry - SOF'!S$102,0)</f>
        <v>0</v>
      </c>
    </row>
    <row r="711" spans="1:22" ht="15.75">
      <c r="A711" s="382" t="s">
        <v>704</v>
      </c>
      <c r="B711" s="91">
        <v>3193930</v>
      </c>
      <c r="C711" s="944">
        <f>IF(A711='Data Entry - SOF'!B$2,'Report-SOF1718'!D$102,0)</f>
        <v>0</v>
      </c>
      <c r="D711" s="1037">
        <f>IF(A711='Data Entry - SOF'!B$2,'Data Entry - SOF'!#REF!,0)</f>
        <v>0</v>
      </c>
      <c r="E711" s="91">
        <f t="shared" si="66"/>
        <v>3193930</v>
      </c>
      <c r="F711" s="944">
        <f>IF(A711='Data Entry - SOF'!B$2,'Report-SOF1819'!D$102,0)</f>
        <v>0</v>
      </c>
      <c r="G711" s="1037">
        <f>IF(A711='Data Entry - SOF'!B$2,'Data Entry - SOF'!E$102,0)</f>
        <v>0</v>
      </c>
      <c r="H711" s="1038">
        <f t="shared" si="68"/>
        <v>3193930</v>
      </c>
      <c r="I711" s="944">
        <f>IF(A711='Data Entry - SOF'!B$2,'Report-SOF1920-HB3'!D$102,0)</f>
        <v>0</v>
      </c>
      <c r="J711" s="1037">
        <f>IF(A711='Data Entry - SOF'!B$2,'Data Entry - SOF'!G$102,0)</f>
        <v>0</v>
      </c>
      <c r="K711" s="717">
        <f t="shared" si="69"/>
        <v>3193930</v>
      </c>
      <c r="L711" s="944">
        <f>IF(A711='Data Entry - SOF'!B$2,'Report-SOF2021'!D$99,0)</f>
        <v>0</v>
      </c>
      <c r="M711" s="723">
        <f>IF(A711='Data Entry - SOF'!B$2,'Data Entry - SOF'!M$102,0)</f>
        <v>0</v>
      </c>
      <c r="N711" s="717">
        <f t="shared" si="70"/>
        <v>3193930</v>
      </c>
      <c r="O711" s="944">
        <f>IF(A711='Data Entry - SOF'!B$2,'Report-SOF2122'!D$91,0)</f>
        <v>0</v>
      </c>
      <c r="P711" s="723">
        <f>IF(A711='Data Entry - SOF'!B$2,'Data Entry - SOF'!O$102,0)</f>
        <v>0</v>
      </c>
      <c r="Q711" s="601">
        <f t="shared" si="67"/>
        <v>3193930</v>
      </c>
      <c r="R711" s="944">
        <f>IF(A711='Data Entry - SOF'!B$2,'Report-SOF2223'!D$91,0)</f>
        <v>0</v>
      </c>
      <c r="S711" s="723">
        <f>IF(A711='Data Entry - SOF'!B$2,'Data Entry - SOF'!Q$102,0)</f>
        <v>0</v>
      </c>
      <c r="T711" s="601">
        <f t="shared" si="71"/>
        <v>3193930</v>
      </c>
      <c r="U711" s="944">
        <f>IF(A711='Data Entry - SOF'!B$2,'Report-SOF2324'!D$91,0)</f>
        <v>0</v>
      </c>
      <c r="V711" s="723">
        <f>IF(A711='Data Entry - SOF'!B$2,'Data Entry - SOF'!S$102,0)</f>
        <v>0</v>
      </c>
    </row>
    <row r="712" spans="1:22" ht="15.75">
      <c r="A712" s="382" t="s">
        <v>524</v>
      </c>
      <c r="B712" s="91">
        <v>10039881</v>
      </c>
      <c r="C712" s="944">
        <f>IF(A712='Data Entry - SOF'!B$2,'Report-SOF1718'!D$102,0)</f>
        <v>0</v>
      </c>
      <c r="D712" s="1037">
        <f>IF(A712='Data Entry - SOF'!B$2,'Data Entry - SOF'!#REF!,0)</f>
        <v>0</v>
      </c>
      <c r="E712" s="91">
        <f t="shared" si="66"/>
        <v>10039881</v>
      </c>
      <c r="F712" s="944">
        <f>IF(A712='Data Entry - SOF'!B$2,'Report-SOF1819'!D$102,0)</f>
        <v>0</v>
      </c>
      <c r="G712" s="1037">
        <f>IF(A712='Data Entry - SOF'!B$2,'Data Entry - SOF'!E$102,0)</f>
        <v>0</v>
      </c>
      <c r="H712" s="1038">
        <f t="shared" si="68"/>
        <v>10039881</v>
      </c>
      <c r="I712" s="944">
        <f>IF(A712='Data Entry - SOF'!B$2,'Report-SOF1920-HB3'!D$102,0)</f>
        <v>0</v>
      </c>
      <c r="J712" s="1037">
        <f>IF(A712='Data Entry - SOF'!B$2,'Data Entry - SOF'!G$102,0)</f>
        <v>0</v>
      </c>
      <c r="K712" s="717">
        <f t="shared" si="69"/>
        <v>10039881</v>
      </c>
      <c r="L712" s="944">
        <f>IF(A712='Data Entry - SOF'!B$2,'Report-SOF2021'!D$99,0)</f>
        <v>0</v>
      </c>
      <c r="M712" s="723">
        <f>IF(A712='Data Entry - SOF'!B$2,'Data Entry - SOF'!M$102,0)</f>
        <v>0</v>
      </c>
      <c r="N712" s="717">
        <f t="shared" si="70"/>
        <v>10039881</v>
      </c>
      <c r="O712" s="944">
        <f>IF(A712='Data Entry - SOF'!B$2,'Report-SOF2122'!D$91,0)</f>
        <v>0</v>
      </c>
      <c r="P712" s="723">
        <f>IF(A712='Data Entry - SOF'!B$2,'Data Entry - SOF'!O$102,0)</f>
        <v>0</v>
      </c>
      <c r="Q712" s="601">
        <f t="shared" si="67"/>
        <v>10039881</v>
      </c>
      <c r="R712" s="944">
        <f>IF(A712='Data Entry - SOF'!B$2,'Report-SOF2223'!D$91,0)</f>
        <v>0</v>
      </c>
      <c r="S712" s="723">
        <f>IF(A712='Data Entry - SOF'!B$2,'Data Entry - SOF'!Q$102,0)</f>
        <v>0</v>
      </c>
      <c r="T712" s="601">
        <f t="shared" si="71"/>
        <v>10039881</v>
      </c>
      <c r="U712" s="944">
        <f>IF(A712='Data Entry - SOF'!B$2,'Report-SOF2324'!D$91,0)</f>
        <v>0</v>
      </c>
      <c r="V712" s="723">
        <f>IF(A712='Data Entry - SOF'!B$2,'Data Entry - SOF'!S$102,0)</f>
        <v>0</v>
      </c>
    </row>
    <row r="713" spans="1:22" ht="15.75">
      <c r="A713" s="382" t="s">
        <v>705</v>
      </c>
      <c r="B713" s="91">
        <v>848176</v>
      </c>
      <c r="C713" s="944">
        <f>IF(A713='Data Entry - SOF'!B$2,'Report-SOF1718'!D$102,0)</f>
        <v>0</v>
      </c>
      <c r="D713" s="1037">
        <f>IF(A713='Data Entry - SOF'!B$2,'Data Entry - SOF'!#REF!,0)</f>
        <v>0</v>
      </c>
      <c r="E713" s="91">
        <f t="shared" si="66"/>
        <v>848176</v>
      </c>
      <c r="F713" s="944">
        <f>IF(A713='Data Entry - SOF'!B$2,'Report-SOF1819'!D$102,0)</f>
        <v>0</v>
      </c>
      <c r="G713" s="1037">
        <f>IF(A713='Data Entry - SOF'!B$2,'Data Entry - SOF'!E$102,0)</f>
        <v>0</v>
      </c>
      <c r="H713" s="1038">
        <f t="shared" si="68"/>
        <v>848176</v>
      </c>
      <c r="I713" s="944">
        <f>IF(A713='Data Entry - SOF'!B$2,'Report-SOF1920-HB3'!D$102,0)</f>
        <v>0</v>
      </c>
      <c r="J713" s="1037">
        <f>IF(A713='Data Entry - SOF'!B$2,'Data Entry - SOF'!G$102,0)</f>
        <v>0</v>
      </c>
      <c r="K713" s="717">
        <f t="shared" si="69"/>
        <v>848176</v>
      </c>
      <c r="L713" s="944">
        <f>IF(A713='Data Entry - SOF'!B$2,'Report-SOF2021'!D$99,0)</f>
        <v>0</v>
      </c>
      <c r="M713" s="723">
        <f>IF(A713='Data Entry - SOF'!B$2,'Data Entry - SOF'!M$102,0)</f>
        <v>0</v>
      </c>
      <c r="N713" s="717">
        <f t="shared" si="70"/>
        <v>848176</v>
      </c>
      <c r="O713" s="944">
        <f>IF(A713='Data Entry - SOF'!B$2,'Report-SOF2122'!D$91,0)</f>
        <v>0</v>
      </c>
      <c r="P713" s="723">
        <f>IF(A713='Data Entry - SOF'!B$2,'Data Entry - SOF'!O$102,0)</f>
        <v>0</v>
      </c>
      <c r="Q713" s="601">
        <f t="shared" si="67"/>
        <v>848176</v>
      </c>
      <c r="R713" s="944">
        <f>IF(A713='Data Entry - SOF'!B$2,'Report-SOF2223'!D$91,0)</f>
        <v>0</v>
      </c>
      <c r="S713" s="723">
        <f>IF(A713='Data Entry - SOF'!B$2,'Data Entry - SOF'!Q$102,0)</f>
        <v>0</v>
      </c>
      <c r="T713" s="601">
        <f t="shared" si="71"/>
        <v>848176</v>
      </c>
      <c r="U713" s="944">
        <f>IF(A713='Data Entry - SOF'!B$2,'Report-SOF2324'!D$91,0)</f>
        <v>0</v>
      </c>
      <c r="V713" s="723">
        <f>IF(A713='Data Entry - SOF'!B$2,'Data Entry - SOF'!S$102,0)</f>
        <v>0</v>
      </c>
    </row>
    <row r="714" spans="1:22" ht="15.75">
      <c r="A714" s="382" t="s">
        <v>525</v>
      </c>
      <c r="B714" s="91">
        <v>8242382</v>
      </c>
      <c r="C714" s="944">
        <f>IF(A714='Data Entry - SOF'!B$2,'Report-SOF1718'!D$102,0)</f>
        <v>0</v>
      </c>
      <c r="D714" s="1037">
        <f>IF(A714='Data Entry - SOF'!B$2,'Data Entry - SOF'!#REF!,0)</f>
        <v>0</v>
      </c>
      <c r="E714" s="91">
        <f t="shared" si="66"/>
        <v>8242382</v>
      </c>
      <c r="F714" s="944">
        <f>IF(A714='Data Entry - SOF'!B$2,'Report-SOF1819'!D$102,0)</f>
        <v>0</v>
      </c>
      <c r="G714" s="1037">
        <f>IF(A714='Data Entry - SOF'!B$2,'Data Entry - SOF'!E$102,0)</f>
        <v>0</v>
      </c>
      <c r="H714" s="1038">
        <f t="shared" si="68"/>
        <v>8242382</v>
      </c>
      <c r="I714" s="944">
        <f>IF(A714='Data Entry - SOF'!B$2,'Report-SOF1920-HB3'!D$102,0)</f>
        <v>0</v>
      </c>
      <c r="J714" s="1037">
        <f>IF(A714='Data Entry - SOF'!B$2,'Data Entry - SOF'!G$102,0)</f>
        <v>0</v>
      </c>
      <c r="K714" s="717">
        <f t="shared" si="69"/>
        <v>8242382</v>
      </c>
      <c r="L714" s="944">
        <f>IF(A714='Data Entry - SOF'!B$2,'Report-SOF2021'!D$99,0)</f>
        <v>0</v>
      </c>
      <c r="M714" s="723">
        <f>IF(A714='Data Entry - SOF'!B$2,'Data Entry - SOF'!M$102,0)</f>
        <v>0</v>
      </c>
      <c r="N714" s="717">
        <f t="shared" si="70"/>
        <v>8242382</v>
      </c>
      <c r="O714" s="944">
        <f>IF(A714='Data Entry - SOF'!B$2,'Report-SOF2122'!D$91,0)</f>
        <v>0</v>
      </c>
      <c r="P714" s="723">
        <f>IF(A714='Data Entry - SOF'!B$2,'Data Entry - SOF'!O$102,0)</f>
        <v>0</v>
      </c>
      <c r="Q714" s="601">
        <f t="shared" si="67"/>
        <v>8242382</v>
      </c>
      <c r="R714" s="944">
        <f>IF(A714='Data Entry - SOF'!B$2,'Report-SOF2223'!D$91,0)</f>
        <v>0</v>
      </c>
      <c r="S714" s="723">
        <f>IF(A714='Data Entry - SOF'!B$2,'Data Entry - SOF'!Q$102,0)</f>
        <v>0</v>
      </c>
      <c r="T714" s="601">
        <f t="shared" si="71"/>
        <v>8242382</v>
      </c>
      <c r="U714" s="944">
        <f>IF(A714='Data Entry - SOF'!B$2,'Report-SOF2324'!D$91,0)</f>
        <v>0</v>
      </c>
      <c r="V714" s="723">
        <f>IF(A714='Data Entry - SOF'!B$2,'Data Entry - SOF'!S$102,0)</f>
        <v>0</v>
      </c>
    </row>
    <row r="715" spans="1:22" ht="15.75">
      <c r="A715" s="382" t="s">
        <v>376</v>
      </c>
      <c r="B715" s="91">
        <v>498341</v>
      </c>
      <c r="C715" s="944">
        <f>IF(A715='Data Entry - SOF'!B$2,'Report-SOF1718'!D$102,0)</f>
        <v>0</v>
      </c>
      <c r="D715" s="1037">
        <f>IF(A715='Data Entry - SOF'!B$2,'Data Entry - SOF'!#REF!,0)</f>
        <v>0</v>
      </c>
      <c r="E715" s="91">
        <f t="shared" si="66"/>
        <v>498341</v>
      </c>
      <c r="F715" s="944">
        <f>IF(A715='Data Entry - SOF'!B$2,'Report-SOF1819'!D$102,0)</f>
        <v>0</v>
      </c>
      <c r="G715" s="1037">
        <f>IF(A715='Data Entry - SOF'!B$2,'Data Entry - SOF'!E$102,0)</f>
        <v>0</v>
      </c>
      <c r="H715" s="1038">
        <f t="shared" si="68"/>
        <v>498341</v>
      </c>
      <c r="I715" s="944">
        <f>IF(A715='Data Entry - SOF'!B$2,'Report-SOF1920-HB3'!D$102,0)</f>
        <v>0</v>
      </c>
      <c r="J715" s="1037">
        <f>IF(A715='Data Entry - SOF'!B$2,'Data Entry - SOF'!G$102,0)</f>
        <v>0</v>
      </c>
      <c r="K715" s="717">
        <f t="shared" si="69"/>
        <v>498341</v>
      </c>
      <c r="L715" s="944">
        <f>IF(A715='Data Entry - SOF'!B$2,'Report-SOF2021'!D$99,0)</f>
        <v>0</v>
      </c>
      <c r="M715" s="723">
        <f>IF(A715='Data Entry - SOF'!B$2,'Data Entry - SOF'!M$102,0)</f>
        <v>0</v>
      </c>
      <c r="N715" s="717">
        <f t="shared" si="70"/>
        <v>498341</v>
      </c>
      <c r="O715" s="944">
        <f>IF(A715='Data Entry - SOF'!B$2,'Report-SOF2122'!D$91,0)</f>
        <v>0</v>
      </c>
      <c r="P715" s="723">
        <f>IF(A715='Data Entry - SOF'!B$2,'Data Entry - SOF'!O$102,0)</f>
        <v>0</v>
      </c>
      <c r="Q715" s="601">
        <f t="shared" si="67"/>
        <v>498341</v>
      </c>
      <c r="R715" s="944">
        <f>IF(A715='Data Entry - SOF'!B$2,'Report-SOF2223'!D$91,0)</f>
        <v>0</v>
      </c>
      <c r="S715" s="723">
        <f>IF(A715='Data Entry - SOF'!B$2,'Data Entry - SOF'!Q$102,0)</f>
        <v>0</v>
      </c>
      <c r="T715" s="601">
        <f t="shared" si="71"/>
        <v>498341</v>
      </c>
      <c r="U715" s="944">
        <f>IF(A715='Data Entry - SOF'!B$2,'Report-SOF2324'!D$91,0)</f>
        <v>0</v>
      </c>
      <c r="V715" s="723">
        <f>IF(A715='Data Entry - SOF'!B$2,'Data Entry - SOF'!S$102,0)</f>
        <v>0</v>
      </c>
    </row>
    <row r="716" spans="1:22" ht="15.75">
      <c r="A716" s="382" t="s">
        <v>526</v>
      </c>
      <c r="B716" s="91">
        <v>1316390</v>
      </c>
      <c r="C716" s="944">
        <f>IF(A716='Data Entry - SOF'!B$2,'Report-SOF1718'!D$102,0)</f>
        <v>0</v>
      </c>
      <c r="D716" s="1037">
        <f>IF(A716='Data Entry - SOF'!B$2,'Data Entry - SOF'!#REF!,0)</f>
        <v>0</v>
      </c>
      <c r="E716" s="91">
        <f t="shared" si="66"/>
        <v>1316390</v>
      </c>
      <c r="F716" s="944">
        <f>IF(A716='Data Entry - SOF'!B$2,'Report-SOF1819'!D$102,0)</f>
        <v>0</v>
      </c>
      <c r="G716" s="1037">
        <f>IF(A716='Data Entry - SOF'!B$2,'Data Entry - SOF'!E$102,0)</f>
        <v>0</v>
      </c>
      <c r="H716" s="1038">
        <f t="shared" si="68"/>
        <v>1316390</v>
      </c>
      <c r="I716" s="944">
        <f>IF(A716='Data Entry - SOF'!B$2,'Report-SOF1920-HB3'!D$102,0)</f>
        <v>0</v>
      </c>
      <c r="J716" s="1037">
        <f>IF(A716='Data Entry - SOF'!B$2,'Data Entry - SOF'!G$102,0)</f>
        <v>0</v>
      </c>
      <c r="K716" s="717">
        <f t="shared" si="69"/>
        <v>1316390</v>
      </c>
      <c r="L716" s="944">
        <f>IF(A716='Data Entry - SOF'!B$2,'Report-SOF2021'!D$99,0)</f>
        <v>0</v>
      </c>
      <c r="M716" s="723">
        <f>IF(A716='Data Entry - SOF'!B$2,'Data Entry - SOF'!M$102,0)</f>
        <v>0</v>
      </c>
      <c r="N716" s="717">
        <f t="shared" si="70"/>
        <v>1316390</v>
      </c>
      <c r="O716" s="944">
        <f>IF(A716='Data Entry - SOF'!B$2,'Report-SOF2122'!D$91,0)</f>
        <v>0</v>
      </c>
      <c r="P716" s="723">
        <f>IF(A716='Data Entry - SOF'!B$2,'Data Entry - SOF'!O$102,0)</f>
        <v>0</v>
      </c>
      <c r="Q716" s="601">
        <f t="shared" si="67"/>
        <v>1316390</v>
      </c>
      <c r="R716" s="944">
        <f>IF(A716='Data Entry - SOF'!B$2,'Report-SOF2223'!D$91,0)</f>
        <v>0</v>
      </c>
      <c r="S716" s="723">
        <f>IF(A716='Data Entry - SOF'!B$2,'Data Entry - SOF'!Q$102,0)</f>
        <v>0</v>
      </c>
      <c r="T716" s="601">
        <f t="shared" si="71"/>
        <v>1316390</v>
      </c>
      <c r="U716" s="944">
        <f>IF(A716='Data Entry - SOF'!B$2,'Report-SOF2324'!D$91,0)</f>
        <v>0</v>
      </c>
      <c r="V716" s="723">
        <f>IF(A716='Data Entry - SOF'!B$2,'Data Entry - SOF'!S$102,0)</f>
        <v>0</v>
      </c>
    </row>
    <row r="717" spans="1:22" ht="15.75">
      <c r="A717" s="382" t="s">
        <v>527</v>
      </c>
      <c r="B717" s="91">
        <v>305242</v>
      </c>
      <c r="C717" s="944">
        <f>IF(A717='Data Entry - SOF'!B$2,'Report-SOF1718'!D$102,0)</f>
        <v>0</v>
      </c>
      <c r="D717" s="1037">
        <f>IF(A717='Data Entry - SOF'!B$2,'Data Entry - SOF'!#REF!,0)</f>
        <v>0</v>
      </c>
      <c r="E717" s="91">
        <f t="shared" si="66"/>
        <v>305242</v>
      </c>
      <c r="F717" s="944">
        <f>IF(A717='Data Entry - SOF'!B$2,'Report-SOF1819'!D$102,0)</f>
        <v>0</v>
      </c>
      <c r="G717" s="1037">
        <f>IF(A717='Data Entry - SOF'!B$2,'Data Entry - SOF'!E$102,0)</f>
        <v>0</v>
      </c>
      <c r="H717" s="1038">
        <f t="shared" si="68"/>
        <v>305242</v>
      </c>
      <c r="I717" s="944">
        <f>IF(A717='Data Entry - SOF'!B$2,'Report-SOF1920-HB3'!D$102,0)</f>
        <v>0</v>
      </c>
      <c r="J717" s="1037">
        <f>IF(A717='Data Entry - SOF'!B$2,'Data Entry - SOF'!G$102,0)</f>
        <v>0</v>
      </c>
      <c r="K717" s="717">
        <f t="shared" si="69"/>
        <v>305242</v>
      </c>
      <c r="L717" s="944">
        <f>IF(A717='Data Entry - SOF'!B$2,'Report-SOF2021'!D$99,0)</f>
        <v>0</v>
      </c>
      <c r="M717" s="723">
        <f>IF(A717='Data Entry - SOF'!B$2,'Data Entry - SOF'!M$102,0)</f>
        <v>0</v>
      </c>
      <c r="N717" s="717">
        <f t="shared" si="70"/>
        <v>305242</v>
      </c>
      <c r="O717" s="944">
        <f>IF(A717='Data Entry - SOF'!B$2,'Report-SOF2122'!D$91,0)</f>
        <v>0</v>
      </c>
      <c r="P717" s="723">
        <f>IF(A717='Data Entry - SOF'!B$2,'Data Entry - SOF'!O$102,0)</f>
        <v>0</v>
      </c>
      <c r="Q717" s="601">
        <f t="shared" si="67"/>
        <v>305242</v>
      </c>
      <c r="R717" s="944">
        <f>IF(A717='Data Entry - SOF'!B$2,'Report-SOF2223'!D$91,0)</f>
        <v>0</v>
      </c>
      <c r="S717" s="723">
        <f>IF(A717='Data Entry - SOF'!B$2,'Data Entry - SOF'!Q$102,0)</f>
        <v>0</v>
      </c>
      <c r="T717" s="601">
        <f t="shared" si="71"/>
        <v>305242</v>
      </c>
      <c r="U717" s="944">
        <f>IF(A717='Data Entry - SOF'!B$2,'Report-SOF2324'!D$91,0)</f>
        <v>0</v>
      </c>
      <c r="V717" s="723">
        <f>IF(A717='Data Entry - SOF'!B$2,'Data Entry - SOF'!S$102,0)</f>
        <v>0</v>
      </c>
    </row>
    <row r="718" spans="1:22" ht="15.75">
      <c r="A718" s="382" t="s">
        <v>774</v>
      </c>
      <c r="B718" s="91">
        <v>477549</v>
      </c>
      <c r="C718" s="944">
        <f>IF(A718='Data Entry - SOF'!B$2,'Report-SOF1718'!D$102,0)</f>
        <v>0</v>
      </c>
      <c r="D718" s="1037">
        <f>IF(A718='Data Entry - SOF'!B$2,'Data Entry - SOF'!#REF!,0)</f>
        <v>0</v>
      </c>
      <c r="E718" s="91">
        <f t="shared" si="66"/>
        <v>477549</v>
      </c>
      <c r="F718" s="944">
        <f>IF(A718='Data Entry - SOF'!B$2,'Report-SOF1819'!D$102,0)</f>
        <v>0</v>
      </c>
      <c r="G718" s="1037">
        <f>IF(A718='Data Entry - SOF'!B$2,'Data Entry - SOF'!E$102,0)</f>
        <v>0</v>
      </c>
      <c r="H718" s="1038">
        <f t="shared" si="68"/>
        <v>477549</v>
      </c>
      <c r="I718" s="944">
        <f>IF(A718='Data Entry - SOF'!B$2,'Report-SOF1920-HB3'!D$102,0)</f>
        <v>0</v>
      </c>
      <c r="J718" s="1037">
        <f>IF(A718='Data Entry - SOF'!B$2,'Data Entry - SOF'!G$102,0)</f>
        <v>0</v>
      </c>
      <c r="K718" s="717">
        <f t="shared" si="69"/>
        <v>477549</v>
      </c>
      <c r="L718" s="944">
        <f>IF(A718='Data Entry - SOF'!B$2,'Report-SOF2021'!D$99,0)</f>
        <v>0</v>
      </c>
      <c r="M718" s="723">
        <f>IF(A718='Data Entry - SOF'!B$2,'Data Entry - SOF'!M$102,0)</f>
        <v>0</v>
      </c>
      <c r="N718" s="717">
        <f t="shared" si="70"/>
        <v>477549</v>
      </c>
      <c r="O718" s="944">
        <f>IF(A718='Data Entry - SOF'!B$2,'Report-SOF2122'!D$91,0)</f>
        <v>0</v>
      </c>
      <c r="P718" s="723">
        <f>IF(A718='Data Entry - SOF'!B$2,'Data Entry - SOF'!O$102,0)</f>
        <v>0</v>
      </c>
      <c r="Q718" s="601">
        <f t="shared" si="67"/>
        <v>477549</v>
      </c>
      <c r="R718" s="944">
        <f>IF(A718='Data Entry - SOF'!B$2,'Report-SOF2223'!D$91,0)</f>
        <v>0</v>
      </c>
      <c r="S718" s="723">
        <f>IF(A718='Data Entry - SOF'!B$2,'Data Entry - SOF'!Q$102,0)</f>
        <v>0</v>
      </c>
      <c r="T718" s="601">
        <f t="shared" si="71"/>
        <v>477549</v>
      </c>
      <c r="U718" s="944">
        <f>IF(A718='Data Entry - SOF'!B$2,'Report-SOF2324'!D$91,0)</f>
        <v>0</v>
      </c>
      <c r="V718" s="723">
        <f>IF(A718='Data Entry - SOF'!B$2,'Data Entry - SOF'!S$102,0)</f>
        <v>0</v>
      </c>
    </row>
    <row r="719" spans="1:22" ht="15.75">
      <c r="A719" s="382" t="s">
        <v>528</v>
      </c>
      <c r="B719" s="91">
        <v>925210</v>
      </c>
      <c r="C719" s="944">
        <f>IF(A719='Data Entry - SOF'!B$2,'Report-SOF1718'!D$102,0)</f>
        <v>0</v>
      </c>
      <c r="D719" s="1037">
        <f>IF(A719='Data Entry - SOF'!B$2,'Data Entry - SOF'!#REF!,0)</f>
        <v>0</v>
      </c>
      <c r="E719" s="91">
        <f t="shared" si="66"/>
        <v>925210</v>
      </c>
      <c r="F719" s="944">
        <f>IF(A719='Data Entry - SOF'!B$2,'Report-SOF1819'!D$102,0)</f>
        <v>0</v>
      </c>
      <c r="G719" s="1037">
        <f>IF(A719='Data Entry - SOF'!B$2,'Data Entry - SOF'!E$102,0)</f>
        <v>0</v>
      </c>
      <c r="H719" s="1038">
        <f t="shared" si="68"/>
        <v>925210</v>
      </c>
      <c r="I719" s="944">
        <f>IF(A719='Data Entry - SOF'!B$2,'Report-SOF1920-HB3'!D$102,0)</f>
        <v>0</v>
      </c>
      <c r="J719" s="1037">
        <f>IF(A719='Data Entry - SOF'!B$2,'Data Entry - SOF'!G$102,0)</f>
        <v>0</v>
      </c>
      <c r="K719" s="717">
        <f t="shared" si="69"/>
        <v>925210</v>
      </c>
      <c r="L719" s="944">
        <f>IF(A719='Data Entry - SOF'!B$2,'Report-SOF2021'!D$99,0)</f>
        <v>0</v>
      </c>
      <c r="M719" s="723">
        <f>IF(A719='Data Entry - SOF'!B$2,'Data Entry - SOF'!M$102,0)</f>
        <v>0</v>
      </c>
      <c r="N719" s="717">
        <f t="shared" si="70"/>
        <v>925210</v>
      </c>
      <c r="O719" s="944">
        <f>IF(A719='Data Entry - SOF'!B$2,'Report-SOF2122'!D$91,0)</f>
        <v>0</v>
      </c>
      <c r="P719" s="723">
        <f>IF(A719='Data Entry - SOF'!B$2,'Data Entry - SOF'!O$102,0)</f>
        <v>0</v>
      </c>
      <c r="Q719" s="601">
        <f t="shared" si="67"/>
        <v>925210</v>
      </c>
      <c r="R719" s="944">
        <f>IF(A719='Data Entry - SOF'!B$2,'Report-SOF2223'!D$91,0)</f>
        <v>0</v>
      </c>
      <c r="S719" s="723">
        <f>IF(A719='Data Entry - SOF'!B$2,'Data Entry - SOF'!Q$102,0)</f>
        <v>0</v>
      </c>
      <c r="T719" s="601">
        <f t="shared" si="71"/>
        <v>925210</v>
      </c>
      <c r="U719" s="944">
        <f>IF(A719='Data Entry - SOF'!B$2,'Report-SOF2324'!D$91,0)</f>
        <v>0</v>
      </c>
      <c r="V719" s="723">
        <f>IF(A719='Data Entry - SOF'!B$2,'Data Entry - SOF'!S$102,0)</f>
        <v>0</v>
      </c>
    </row>
    <row r="720" spans="1:22" ht="15.75">
      <c r="A720" s="382" t="s">
        <v>529</v>
      </c>
      <c r="B720" s="91">
        <v>1475462</v>
      </c>
      <c r="C720" s="944">
        <f>IF(A720='Data Entry - SOF'!B$2,'Report-SOF1718'!D$102,0)</f>
        <v>0</v>
      </c>
      <c r="D720" s="1037">
        <f>IF(A720='Data Entry - SOF'!B$2,'Data Entry - SOF'!#REF!,0)</f>
        <v>0</v>
      </c>
      <c r="E720" s="91">
        <f t="shared" si="66"/>
        <v>1475462</v>
      </c>
      <c r="F720" s="944">
        <f>IF(A720='Data Entry - SOF'!B$2,'Report-SOF1819'!D$102,0)</f>
        <v>0</v>
      </c>
      <c r="G720" s="1037">
        <f>IF(A720='Data Entry - SOF'!B$2,'Data Entry - SOF'!E$102,0)</f>
        <v>0</v>
      </c>
      <c r="H720" s="1038">
        <f t="shared" si="68"/>
        <v>1475462</v>
      </c>
      <c r="I720" s="944">
        <f>IF(A720='Data Entry - SOF'!B$2,'Report-SOF1920-HB3'!D$102,0)</f>
        <v>0</v>
      </c>
      <c r="J720" s="1037">
        <f>IF(A720='Data Entry - SOF'!B$2,'Data Entry - SOF'!G$102,0)</f>
        <v>0</v>
      </c>
      <c r="K720" s="717">
        <f t="shared" si="69"/>
        <v>1475462</v>
      </c>
      <c r="L720" s="944">
        <f>IF(A720='Data Entry - SOF'!B$2,'Report-SOF2021'!D$99,0)</f>
        <v>0</v>
      </c>
      <c r="M720" s="723">
        <f>IF(A720='Data Entry - SOF'!B$2,'Data Entry - SOF'!M$102,0)</f>
        <v>0</v>
      </c>
      <c r="N720" s="717">
        <f t="shared" si="70"/>
        <v>1475462</v>
      </c>
      <c r="O720" s="944">
        <f>IF(A720='Data Entry - SOF'!B$2,'Report-SOF2122'!D$91,0)</f>
        <v>0</v>
      </c>
      <c r="P720" s="723">
        <f>IF(A720='Data Entry - SOF'!B$2,'Data Entry - SOF'!O$102,0)</f>
        <v>0</v>
      </c>
      <c r="Q720" s="601">
        <f t="shared" si="67"/>
        <v>1475462</v>
      </c>
      <c r="R720" s="944">
        <f>IF(A720='Data Entry - SOF'!B$2,'Report-SOF2223'!D$91,0)</f>
        <v>0</v>
      </c>
      <c r="S720" s="723">
        <f>IF(A720='Data Entry - SOF'!B$2,'Data Entry - SOF'!Q$102,0)</f>
        <v>0</v>
      </c>
      <c r="T720" s="601">
        <f t="shared" si="71"/>
        <v>1475462</v>
      </c>
      <c r="U720" s="944">
        <f>IF(A720='Data Entry - SOF'!B$2,'Report-SOF2324'!D$91,0)</f>
        <v>0</v>
      </c>
      <c r="V720" s="723">
        <f>IF(A720='Data Entry - SOF'!B$2,'Data Entry - SOF'!S$102,0)</f>
        <v>0</v>
      </c>
    </row>
    <row r="721" spans="1:22" ht="15.75">
      <c r="A721" s="382" t="s">
        <v>2400</v>
      </c>
      <c r="B721" s="91">
        <v>11237921</v>
      </c>
      <c r="C721" s="944">
        <f>IF(A721='Data Entry - SOF'!B$2,'Report-SOF1718'!D$102,0)</f>
        <v>0</v>
      </c>
      <c r="D721" s="1037">
        <f>IF(A721='Data Entry - SOF'!B$2,'Data Entry - SOF'!#REF!,0)</f>
        <v>0</v>
      </c>
      <c r="E721" s="91">
        <f t="shared" si="66"/>
        <v>11237921</v>
      </c>
      <c r="F721" s="944">
        <f>IF(A721='Data Entry - SOF'!B$2,'Report-SOF1819'!D$102,0)</f>
        <v>0</v>
      </c>
      <c r="G721" s="1037">
        <f>IF(A721='Data Entry - SOF'!B$2,'Data Entry - SOF'!E$102,0)</f>
        <v>0</v>
      </c>
      <c r="H721" s="1038">
        <f t="shared" si="68"/>
        <v>11237921</v>
      </c>
      <c r="I721" s="944">
        <f>IF(A721='Data Entry - SOF'!B$2,'Report-SOF1920-HB3'!D$102,0)</f>
        <v>0</v>
      </c>
      <c r="J721" s="1037">
        <f>IF(A721='Data Entry - SOF'!B$2,'Data Entry - SOF'!G$102,0)</f>
        <v>0</v>
      </c>
      <c r="K721" s="717">
        <f t="shared" si="69"/>
        <v>11237921</v>
      </c>
      <c r="L721" s="944">
        <f>IF(A721='Data Entry - SOF'!B$2,'Report-SOF2021'!D$99,0)</f>
        <v>0</v>
      </c>
      <c r="M721" s="723">
        <f>IF(A721='Data Entry - SOF'!B$2,'Data Entry - SOF'!M$102,0)</f>
        <v>0</v>
      </c>
      <c r="N721" s="717">
        <f t="shared" si="70"/>
        <v>11237921</v>
      </c>
      <c r="O721" s="944">
        <f>IF(A721='Data Entry - SOF'!B$2,'Report-SOF2122'!D$91,0)</f>
        <v>0</v>
      </c>
      <c r="P721" s="723">
        <f>IF(A721='Data Entry - SOF'!B$2,'Data Entry - SOF'!O$102,0)</f>
        <v>0</v>
      </c>
      <c r="Q721" s="601">
        <f t="shared" si="67"/>
        <v>11237921</v>
      </c>
      <c r="R721" s="944">
        <f>IF(A721='Data Entry - SOF'!B$2,'Report-SOF2223'!D$91,0)</f>
        <v>0</v>
      </c>
      <c r="S721" s="723">
        <f>IF(A721='Data Entry - SOF'!B$2,'Data Entry - SOF'!Q$102,0)</f>
        <v>0</v>
      </c>
      <c r="T721" s="601">
        <f t="shared" si="71"/>
        <v>11237921</v>
      </c>
      <c r="U721" s="944">
        <f>IF(A721='Data Entry - SOF'!B$2,'Report-SOF2324'!D$91,0)</f>
        <v>0</v>
      </c>
      <c r="V721" s="723">
        <f>IF(A721='Data Entry - SOF'!B$2,'Data Entry - SOF'!S$102,0)</f>
        <v>0</v>
      </c>
    </row>
    <row r="722" spans="1:22" ht="15.75">
      <c r="A722" s="382" t="s">
        <v>2407</v>
      </c>
      <c r="B722" s="91">
        <v>1399201</v>
      </c>
      <c r="C722" s="944">
        <f>IF(A722='Data Entry - SOF'!B$2,'Report-SOF1718'!D$102,0)</f>
        <v>0</v>
      </c>
      <c r="D722" s="1037">
        <f>IF(A722='Data Entry - SOF'!B$2,'Data Entry - SOF'!#REF!,0)</f>
        <v>0</v>
      </c>
      <c r="E722" s="91">
        <f t="shared" si="66"/>
        <v>1399201</v>
      </c>
      <c r="F722" s="944">
        <f>IF(A722='Data Entry - SOF'!B$2,'Report-SOF1819'!D$102,0)</f>
        <v>0</v>
      </c>
      <c r="G722" s="1037">
        <f>IF(A722='Data Entry - SOF'!B$2,'Data Entry - SOF'!E$102,0)</f>
        <v>0</v>
      </c>
      <c r="H722" s="1038">
        <f t="shared" si="68"/>
        <v>1399201</v>
      </c>
      <c r="I722" s="944">
        <f>IF(A722='Data Entry - SOF'!B$2,'Report-SOF1920-HB3'!D$102,0)</f>
        <v>0</v>
      </c>
      <c r="J722" s="1037">
        <f>IF(A722='Data Entry - SOF'!B$2,'Data Entry - SOF'!G$102,0)</f>
        <v>0</v>
      </c>
      <c r="K722" s="717">
        <f t="shared" si="69"/>
        <v>1399201</v>
      </c>
      <c r="L722" s="944">
        <f>IF(A722='Data Entry - SOF'!B$2,'Report-SOF2021'!D$99,0)</f>
        <v>0</v>
      </c>
      <c r="M722" s="723">
        <f>IF(A722='Data Entry - SOF'!B$2,'Data Entry - SOF'!M$102,0)</f>
        <v>0</v>
      </c>
      <c r="N722" s="717">
        <f t="shared" si="70"/>
        <v>1399201</v>
      </c>
      <c r="O722" s="944">
        <f>IF(A722='Data Entry - SOF'!B$2,'Report-SOF2122'!D$91,0)</f>
        <v>0</v>
      </c>
      <c r="P722" s="723">
        <f>IF(A722='Data Entry - SOF'!B$2,'Data Entry - SOF'!O$102,0)</f>
        <v>0</v>
      </c>
      <c r="Q722" s="601">
        <f t="shared" si="67"/>
        <v>1399201</v>
      </c>
      <c r="R722" s="944">
        <f>IF(A722='Data Entry - SOF'!B$2,'Report-SOF2223'!D$91,0)</f>
        <v>0</v>
      </c>
      <c r="S722" s="723">
        <f>IF(A722='Data Entry - SOF'!B$2,'Data Entry - SOF'!Q$102,0)</f>
        <v>0</v>
      </c>
      <c r="T722" s="601">
        <f t="shared" si="71"/>
        <v>1399201</v>
      </c>
      <c r="U722" s="944">
        <f>IF(A722='Data Entry - SOF'!B$2,'Report-SOF2324'!D$91,0)</f>
        <v>0</v>
      </c>
      <c r="V722" s="723">
        <f>IF(A722='Data Entry - SOF'!B$2,'Data Entry - SOF'!S$102,0)</f>
        <v>0</v>
      </c>
    </row>
    <row r="723" spans="1:22" ht="15.75">
      <c r="A723" s="382" t="s">
        <v>19</v>
      </c>
      <c r="B723" s="91">
        <v>768092</v>
      </c>
      <c r="C723" s="944">
        <f>IF(A723='Data Entry - SOF'!B$2,'Report-SOF1718'!D$102,0)</f>
        <v>0</v>
      </c>
      <c r="D723" s="1037">
        <f>IF(A723='Data Entry - SOF'!B$2,'Data Entry - SOF'!#REF!,0)</f>
        <v>0</v>
      </c>
      <c r="E723" s="91">
        <f t="shared" si="66"/>
        <v>768092</v>
      </c>
      <c r="F723" s="944">
        <f>IF(A723='Data Entry - SOF'!B$2,'Report-SOF1819'!D$102,0)</f>
        <v>0</v>
      </c>
      <c r="G723" s="1037">
        <f>IF(A723='Data Entry - SOF'!B$2,'Data Entry - SOF'!E$102,0)</f>
        <v>0</v>
      </c>
      <c r="H723" s="1038">
        <f t="shared" si="68"/>
        <v>768092</v>
      </c>
      <c r="I723" s="944">
        <f>IF(A723='Data Entry - SOF'!B$2,'Report-SOF1920-HB3'!D$102,0)</f>
        <v>0</v>
      </c>
      <c r="J723" s="1037">
        <f>IF(A723='Data Entry - SOF'!B$2,'Data Entry - SOF'!G$102,0)</f>
        <v>0</v>
      </c>
      <c r="K723" s="717">
        <f t="shared" si="69"/>
        <v>768092</v>
      </c>
      <c r="L723" s="944">
        <f>IF(A723='Data Entry - SOF'!B$2,'Report-SOF2021'!D$99,0)</f>
        <v>0</v>
      </c>
      <c r="M723" s="723">
        <f>IF(A723='Data Entry - SOF'!B$2,'Data Entry - SOF'!M$102,0)</f>
        <v>0</v>
      </c>
      <c r="N723" s="717">
        <f t="shared" si="70"/>
        <v>768092</v>
      </c>
      <c r="O723" s="944">
        <f>IF(A723='Data Entry - SOF'!B$2,'Report-SOF2122'!D$91,0)</f>
        <v>0</v>
      </c>
      <c r="P723" s="723">
        <f>IF(A723='Data Entry - SOF'!B$2,'Data Entry - SOF'!O$102,0)</f>
        <v>0</v>
      </c>
      <c r="Q723" s="601">
        <f t="shared" si="67"/>
        <v>768092</v>
      </c>
      <c r="R723" s="944">
        <f>IF(A723='Data Entry - SOF'!B$2,'Report-SOF2223'!D$91,0)</f>
        <v>0</v>
      </c>
      <c r="S723" s="723">
        <f>IF(A723='Data Entry - SOF'!B$2,'Data Entry - SOF'!Q$102,0)</f>
        <v>0</v>
      </c>
      <c r="T723" s="601">
        <f t="shared" si="71"/>
        <v>768092</v>
      </c>
      <c r="U723" s="944">
        <f>IF(A723='Data Entry - SOF'!B$2,'Report-SOF2324'!D$91,0)</f>
        <v>0</v>
      </c>
      <c r="V723" s="723">
        <f>IF(A723='Data Entry - SOF'!B$2,'Data Entry - SOF'!S$102,0)</f>
        <v>0</v>
      </c>
    </row>
    <row r="724" spans="1:22" ht="15.75">
      <c r="A724" s="382" t="s">
        <v>706</v>
      </c>
      <c r="B724" s="91">
        <v>910522</v>
      </c>
      <c r="C724" s="944">
        <f>IF(A724='Data Entry - SOF'!B$2,'Report-SOF1718'!D$102,0)</f>
        <v>0</v>
      </c>
      <c r="D724" s="1037">
        <f>IF(A724='Data Entry - SOF'!B$2,'Data Entry - SOF'!#REF!,0)</f>
        <v>0</v>
      </c>
      <c r="E724" s="91">
        <f t="shared" si="66"/>
        <v>910522</v>
      </c>
      <c r="F724" s="944">
        <f>IF(A724='Data Entry - SOF'!B$2,'Report-SOF1819'!D$102,0)</f>
        <v>0</v>
      </c>
      <c r="G724" s="1037">
        <f>IF(A724='Data Entry - SOF'!B$2,'Data Entry - SOF'!E$102,0)</f>
        <v>0</v>
      </c>
      <c r="H724" s="1038">
        <f t="shared" si="68"/>
        <v>910522</v>
      </c>
      <c r="I724" s="944">
        <f>IF(A724='Data Entry - SOF'!B$2,'Report-SOF1920-HB3'!D$102,0)</f>
        <v>0</v>
      </c>
      <c r="J724" s="1037">
        <f>IF(A724='Data Entry - SOF'!B$2,'Data Entry - SOF'!G$102,0)</f>
        <v>0</v>
      </c>
      <c r="K724" s="717">
        <f t="shared" si="69"/>
        <v>910522</v>
      </c>
      <c r="L724" s="944">
        <f>IF(A724='Data Entry - SOF'!B$2,'Report-SOF2021'!D$99,0)</f>
        <v>0</v>
      </c>
      <c r="M724" s="723">
        <f>IF(A724='Data Entry - SOF'!B$2,'Data Entry - SOF'!M$102,0)</f>
        <v>0</v>
      </c>
      <c r="N724" s="717">
        <f t="shared" si="70"/>
        <v>910522</v>
      </c>
      <c r="O724" s="944">
        <f>IF(A724='Data Entry - SOF'!B$2,'Report-SOF2122'!D$91,0)</f>
        <v>0</v>
      </c>
      <c r="P724" s="723">
        <f>IF(A724='Data Entry - SOF'!B$2,'Data Entry - SOF'!O$102,0)</f>
        <v>0</v>
      </c>
      <c r="Q724" s="601">
        <f t="shared" si="67"/>
        <v>910522</v>
      </c>
      <c r="R724" s="944">
        <f>IF(A724='Data Entry - SOF'!B$2,'Report-SOF2223'!D$91,0)</f>
        <v>0</v>
      </c>
      <c r="S724" s="723">
        <f>IF(A724='Data Entry - SOF'!B$2,'Data Entry - SOF'!Q$102,0)</f>
        <v>0</v>
      </c>
      <c r="T724" s="601">
        <f t="shared" si="71"/>
        <v>910522</v>
      </c>
      <c r="U724" s="944">
        <f>IF(A724='Data Entry - SOF'!B$2,'Report-SOF2324'!D$91,0)</f>
        <v>0</v>
      </c>
      <c r="V724" s="723">
        <f>IF(A724='Data Entry - SOF'!B$2,'Data Entry - SOF'!S$102,0)</f>
        <v>0</v>
      </c>
    </row>
    <row r="725" spans="1:22" ht="15.75">
      <c r="A725" s="382" t="s">
        <v>20</v>
      </c>
      <c r="B725" s="91">
        <v>4957023</v>
      </c>
      <c r="C725" s="944">
        <f>IF(A725='Data Entry - SOF'!B$2,'Report-SOF1718'!D$102,0)</f>
        <v>0</v>
      </c>
      <c r="D725" s="1037">
        <f>IF(A725='Data Entry - SOF'!B$2,'Data Entry - SOF'!#REF!,0)</f>
        <v>0</v>
      </c>
      <c r="E725" s="91">
        <f t="shared" si="66"/>
        <v>4957023</v>
      </c>
      <c r="F725" s="944">
        <f>IF(A725='Data Entry - SOF'!B$2,'Report-SOF1819'!D$102,0)</f>
        <v>0</v>
      </c>
      <c r="G725" s="1037">
        <f>IF(A725='Data Entry - SOF'!B$2,'Data Entry - SOF'!E$102,0)</f>
        <v>0</v>
      </c>
      <c r="H725" s="1038">
        <f t="shared" si="68"/>
        <v>4957023</v>
      </c>
      <c r="I725" s="944">
        <f>IF(A725='Data Entry - SOF'!B$2,'Report-SOF1920-HB3'!D$102,0)</f>
        <v>0</v>
      </c>
      <c r="J725" s="1037">
        <f>IF(A725='Data Entry - SOF'!B$2,'Data Entry - SOF'!G$102,0)</f>
        <v>0</v>
      </c>
      <c r="K725" s="717">
        <f t="shared" si="69"/>
        <v>4957023</v>
      </c>
      <c r="L725" s="944">
        <f>IF(A725='Data Entry - SOF'!B$2,'Report-SOF2021'!D$99,0)</f>
        <v>0</v>
      </c>
      <c r="M725" s="723">
        <f>IF(A725='Data Entry - SOF'!B$2,'Data Entry - SOF'!M$102,0)</f>
        <v>0</v>
      </c>
      <c r="N725" s="717">
        <f t="shared" si="70"/>
        <v>4957023</v>
      </c>
      <c r="O725" s="944">
        <f>IF(A725='Data Entry - SOF'!B$2,'Report-SOF2122'!D$91,0)</f>
        <v>0</v>
      </c>
      <c r="P725" s="723">
        <f>IF(A725='Data Entry - SOF'!B$2,'Data Entry - SOF'!O$102,0)</f>
        <v>0</v>
      </c>
      <c r="Q725" s="601">
        <f t="shared" si="67"/>
        <v>4957023</v>
      </c>
      <c r="R725" s="944">
        <f>IF(A725='Data Entry - SOF'!B$2,'Report-SOF2223'!D$91,0)</f>
        <v>0</v>
      </c>
      <c r="S725" s="723">
        <f>IF(A725='Data Entry - SOF'!B$2,'Data Entry - SOF'!Q$102,0)</f>
        <v>0</v>
      </c>
      <c r="T725" s="601">
        <f t="shared" si="71"/>
        <v>4957023</v>
      </c>
      <c r="U725" s="944">
        <f>IF(A725='Data Entry - SOF'!B$2,'Report-SOF2324'!D$91,0)</f>
        <v>0</v>
      </c>
      <c r="V725" s="723">
        <f>IF(A725='Data Entry - SOF'!B$2,'Data Entry - SOF'!S$102,0)</f>
        <v>0</v>
      </c>
    </row>
    <row r="726" spans="1:22" ht="15.75">
      <c r="A726" s="382" t="s">
        <v>2085</v>
      </c>
      <c r="B726" s="91">
        <v>1402275</v>
      </c>
      <c r="C726" s="944">
        <f>IF(A726='Data Entry - SOF'!B$2,'Report-SOF1718'!D$102,0)</f>
        <v>0</v>
      </c>
      <c r="D726" s="1037">
        <f>IF(A726='Data Entry - SOF'!B$2,'Data Entry - SOF'!#REF!,0)</f>
        <v>0</v>
      </c>
      <c r="E726" s="91">
        <f t="shared" si="66"/>
        <v>1402275</v>
      </c>
      <c r="F726" s="944">
        <f>IF(A726='Data Entry - SOF'!B$2,'Report-SOF1819'!D$102,0)</f>
        <v>0</v>
      </c>
      <c r="G726" s="1037">
        <f>IF(A726='Data Entry - SOF'!B$2,'Data Entry - SOF'!E$102,0)</f>
        <v>0</v>
      </c>
      <c r="H726" s="1038">
        <f t="shared" si="68"/>
        <v>1402275</v>
      </c>
      <c r="I726" s="944">
        <f>IF(A726='Data Entry - SOF'!B$2,'Report-SOF1920-HB3'!D$102,0)</f>
        <v>0</v>
      </c>
      <c r="J726" s="1037">
        <f>IF(A726='Data Entry - SOF'!B$2,'Data Entry - SOF'!G$102,0)</f>
        <v>0</v>
      </c>
      <c r="K726" s="717">
        <f t="shared" si="69"/>
        <v>1402275</v>
      </c>
      <c r="L726" s="944">
        <f>IF(A726='Data Entry - SOF'!B$2,'Report-SOF2021'!D$99,0)</f>
        <v>0</v>
      </c>
      <c r="M726" s="723">
        <f>IF(A726='Data Entry - SOF'!B$2,'Data Entry - SOF'!M$102,0)</f>
        <v>0</v>
      </c>
      <c r="N726" s="717">
        <f t="shared" si="70"/>
        <v>1402275</v>
      </c>
      <c r="O726" s="944">
        <f>IF(A726='Data Entry - SOF'!B$2,'Report-SOF2122'!D$91,0)</f>
        <v>0</v>
      </c>
      <c r="P726" s="723">
        <f>IF(A726='Data Entry - SOF'!B$2,'Data Entry - SOF'!O$102,0)</f>
        <v>0</v>
      </c>
      <c r="Q726" s="601">
        <f t="shared" si="67"/>
        <v>1402275</v>
      </c>
      <c r="R726" s="944">
        <f>IF(A726='Data Entry - SOF'!B$2,'Report-SOF2223'!D$91,0)</f>
        <v>0</v>
      </c>
      <c r="S726" s="723">
        <f>IF(A726='Data Entry - SOF'!B$2,'Data Entry - SOF'!Q$102,0)</f>
        <v>0</v>
      </c>
      <c r="T726" s="601">
        <f t="shared" si="71"/>
        <v>1402275</v>
      </c>
      <c r="U726" s="944">
        <f>IF(A726='Data Entry - SOF'!B$2,'Report-SOF2324'!D$91,0)</f>
        <v>0</v>
      </c>
      <c r="V726" s="723">
        <f>IF(A726='Data Entry - SOF'!B$2,'Data Entry - SOF'!S$102,0)</f>
        <v>0</v>
      </c>
    </row>
    <row r="727" spans="1:22" ht="15.75">
      <c r="A727" s="382" t="s">
        <v>21</v>
      </c>
      <c r="B727" s="91">
        <v>2871543</v>
      </c>
      <c r="C727" s="944">
        <f>IF(A727='Data Entry - SOF'!B$2,'Report-SOF1718'!D$102,0)</f>
        <v>0</v>
      </c>
      <c r="D727" s="1037">
        <f>IF(A727='Data Entry - SOF'!B$2,'Data Entry - SOF'!#REF!,0)</f>
        <v>0</v>
      </c>
      <c r="E727" s="91">
        <f t="shared" si="66"/>
        <v>2871543</v>
      </c>
      <c r="F727" s="944">
        <f>IF(A727='Data Entry - SOF'!B$2,'Report-SOF1819'!D$102,0)</f>
        <v>0</v>
      </c>
      <c r="G727" s="1037">
        <f>IF(A727='Data Entry - SOF'!B$2,'Data Entry - SOF'!E$102,0)</f>
        <v>0</v>
      </c>
      <c r="H727" s="1038">
        <f t="shared" si="68"/>
        <v>2871543</v>
      </c>
      <c r="I727" s="944">
        <f>IF(A727='Data Entry - SOF'!B$2,'Report-SOF1920-HB3'!D$102,0)</f>
        <v>0</v>
      </c>
      <c r="J727" s="1037">
        <f>IF(A727='Data Entry - SOF'!B$2,'Data Entry - SOF'!G$102,0)</f>
        <v>0</v>
      </c>
      <c r="K727" s="717">
        <f t="shared" si="69"/>
        <v>2871543</v>
      </c>
      <c r="L727" s="944">
        <f>IF(A727='Data Entry - SOF'!B$2,'Report-SOF2021'!D$99,0)</f>
        <v>0</v>
      </c>
      <c r="M727" s="723">
        <f>IF(A727='Data Entry - SOF'!B$2,'Data Entry - SOF'!M$102,0)</f>
        <v>0</v>
      </c>
      <c r="N727" s="717">
        <f t="shared" si="70"/>
        <v>2871543</v>
      </c>
      <c r="O727" s="944">
        <f>IF(A727='Data Entry - SOF'!B$2,'Report-SOF2122'!D$91,0)</f>
        <v>0</v>
      </c>
      <c r="P727" s="723">
        <f>IF(A727='Data Entry - SOF'!B$2,'Data Entry - SOF'!O$102,0)</f>
        <v>0</v>
      </c>
      <c r="Q727" s="601">
        <f t="shared" si="67"/>
        <v>2871543</v>
      </c>
      <c r="R727" s="944">
        <f>IF(A727='Data Entry - SOF'!B$2,'Report-SOF2223'!D$91,0)</f>
        <v>0</v>
      </c>
      <c r="S727" s="723">
        <f>IF(A727='Data Entry - SOF'!B$2,'Data Entry - SOF'!Q$102,0)</f>
        <v>0</v>
      </c>
      <c r="T727" s="601">
        <f t="shared" si="71"/>
        <v>2871543</v>
      </c>
      <c r="U727" s="944">
        <f>IF(A727='Data Entry - SOF'!B$2,'Report-SOF2324'!D$91,0)</f>
        <v>0</v>
      </c>
      <c r="V727" s="723">
        <f>IF(A727='Data Entry - SOF'!B$2,'Data Entry - SOF'!S$102,0)</f>
        <v>0</v>
      </c>
    </row>
    <row r="728" spans="1:22" ht="15.75">
      <c r="A728" s="382" t="s">
        <v>1021</v>
      </c>
      <c r="B728" s="91">
        <v>116667</v>
      </c>
      <c r="C728" s="944">
        <f>IF(A728='Data Entry - SOF'!B$2,'Report-SOF1718'!D$102,0)</f>
        <v>0</v>
      </c>
      <c r="D728" s="1037">
        <f>IF(A728='Data Entry - SOF'!B$2,'Data Entry - SOF'!#REF!,0)</f>
        <v>0</v>
      </c>
      <c r="E728" s="91">
        <f t="shared" si="66"/>
        <v>116667</v>
      </c>
      <c r="F728" s="944">
        <f>IF(A728='Data Entry - SOF'!B$2,'Report-SOF1819'!D$102,0)</f>
        <v>0</v>
      </c>
      <c r="G728" s="1037">
        <f>IF(A728='Data Entry - SOF'!B$2,'Data Entry - SOF'!E$102,0)</f>
        <v>0</v>
      </c>
      <c r="H728" s="1038">
        <f t="shared" si="68"/>
        <v>116667</v>
      </c>
      <c r="I728" s="944">
        <f>IF(A728='Data Entry - SOF'!B$2,'Report-SOF1920-HB3'!D$102,0)</f>
        <v>0</v>
      </c>
      <c r="J728" s="1037">
        <f>IF(A728='Data Entry - SOF'!B$2,'Data Entry - SOF'!G$102,0)</f>
        <v>0</v>
      </c>
      <c r="K728" s="717">
        <f t="shared" si="69"/>
        <v>116667</v>
      </c>
      <c r="L728" s="944">
        <f>IF(A728='Data Entry - SOF'!B$2,'Report-SOF2021'!D$99,0)</f>
        <v>0</v>
      </c>
      <c r="M728" s="723">
        <f>IF(A728='Data Entry - SOF'!B$2,'Data Entry - SOF'!M$102,0)</f>
        <v>0</v>
      </c>
      <c r="N728" s="717">
        <f t="shared" si="70"/>
        <v>116667</v>
      </c>
      <c r="O728" s="944">
        <f>IF(A728='Data Entry - SOF'!B$2,'Report-SOF2122'!D$91,0)</f>
        <v>0</v>
      </c>
      <c r="P728" s="723">
        <f>IF(A728='Data Entry - SOF'!B$2,'Data Entry - SOF'!O$102,0)</f>
        <v>0</v>
      </c>
      <c r="Q728" s="601">
        <f t="shared" si="67"/>
        <v>116667</v>
      </c>
      <c r="R728" s="944">
        <f>IF(A728='Data Entry - SOF'!B$2,'Report-SOF2223'!D$91,0)</f>
        <v>0</v>
      </c>
      <c r="S728" s="723">
        <f>IF(A728='Data Entry - SOF'!B$2,'Data Entry - SOF'!Q$102,0)</f>
        <v>0</v>
      </c>
      <c r="T728" s="601">
        <f t="shared" si="71"/>
        <v>116667</v>
      </c>
      <c r="U728" s="944">
        <f>IF(A728='Data Entry - SOF'!B$2,'Report-SOF2324'!D$91,0)</f>
        <v>0</v>
      </c>
      <c r="V728" s="723">
        <f>IF(A728='Data Entry - SOF'!B$2,'Data Entry - SOF'!S$102,0)</f>
        <v>0</v>
      </c>
    </row>
    <row r="729" spans="1:22" ht="15.75">
      <c r="A729" s="382" t="s">
        <v>1991</v>
      </c>
      <c r="B729" s="91">
        <v>10555692.5237456</v>
      </c>
      <c r="C729" s="944">
        <f>IF(A729='Data Entry - SOF'!B$2,'Report-SOF1718'!D$102,0)</f>
        <v>0</v>
      </c>
      <c r="D729" s="1037">
        <f>IF(A729='Data Entry - SOF'!B$2,'Data Entry - SOF'!#REF!,0)</f>
        <v>0</v>
      </c>
      <c r="E729" s="91">
        <f t="shared" si="66"/>
        <v>10555692.5237456</v>
      </c>
      <c r="F729" s="944">
        <f>IF(A729='Data Entry - SOF'!B$2,'Report-SOF1819'!D$102,0)</f>
        <v>0</v>
      </c>
      <c r="G729" s="1037">
        <f>IF(A729='Data Entry - SOF'!B$2,'Data Entry - SOF'!E$102,0)</f>
        <v>0</v>
      </c>
      <c r="H729" s="1038">
        <f t="shared" si="68"/>
        <v>10555692.5237456</v>
      </c>
      <c r="I729" s="944">
        <f>IF(A729='Data Entry - SOF'!B$2,'Report-SOF1920-HB3'!D$102,0)</f>
        <v>0</v>
      </c>
      <c r="J729" s="1037">
        <f>IF(A729='Data Entry - SOF'!B$2,'Data Entry - SOF'!G$102,0)</f>
        <v>0</v>
      </c>
      <c r="K729" s="717">
        <f t="shared" si="69"/>
        <v>10555692.5237456</v>
      </c>
      <c r="L729" s="944">
        <f>IF(A729='Data Entry - SOF'!B$2,'Report-SOF2021'!D$99,0)</f>
        <v>0</v>
      </c>
      <c r="M729" s="723">
        <f>IF(A729='Data Entry - SOF'!B$2,'Data Entry - SOF'!M$102,0)</f>
        <v>0</v>
      </c>
      <c r="N729" s="717">
        <f t="shared" si="70"/>
        <v>10555692.5237456</v>
      </c>
      <c r="O729" s="944">
        <f>IF(A729='Data Entry - SOF'!B$2,'Report-SOF2122'!D$91,0)</f>
        <v>0</v>
      </c>
      <c r="P729" s="723">
        <f>IF(A729='Data Entry - SOF'!B$2,'Data Entry - SOF'!O$102,0)</f>
        <v>0</v>
      </c>
      <c r="Q729" s="601">
        <f t="shared" si="67"/>
        <v>10555692.5237456</v>
      </c>
      <c r="R729" s="944">
        <f>IF(A729='Data Entry - SOF'!B$2,'Report-SOF2223'!D$91,0)</f>
        <v>0</v>
      </c>
      <c r="S729" s="723">
        <f>IF(A729='Data Entry - SOF'!B$2,'Data Entry - SOF'!Q$102,0)</f>
        <v>0</v>
      </c>
      <c r="T729" s="601">
        <f t="shared" si="71"/>
        <v>10555692.5237456</v>
      </c>
      <c r="U729" s="944">
        <f>IF(A729='Data Entry - SOF'!B$2,'Report-SOF2324'!D$91,0)</f>
        <v>0</v>
      </c>
      <c r="V729" s="723">
        <f>IF(A729='Data Entry - SOF'!B$2,'Data Entry - SOF'!S$102,0)</f>
        <v>0</v>
      </c>
    </row>
    <row r="730" spans="1:22" ht="15.75">
      <c r="A730" s="382" t="s">
        <v>1543</v>
      </c>
      <c r="B730" s="91">
        <v>7308150</v>
      </c>
      <c r="C730" s="944">
        <f>IF(A730='Data Entry - SOF'!B$2,'Report-SOF1718'!D$102,0)</f>
        <v>0</v>
      </c>
      <c r="D730" s="1037">
        <f>IF(A730='Data Entry - SOF'!B$2,'Data Entry - SOF'!#REF!,0)</f>
        <v>0</v>
      </c>
      <c r="E730" s="91">
        <f t="shared" si="66"/>
        <v>7308150</v>
      </c>
      <c r="F730" s="944">
        <f>IF(A730='Data Entry - SOF'!B$2,'Report-SOF1819'!D$102,0)</f>
        <v>0</v>
      </c>
      <c r="G730" s="1037">
        <f>IF(A730='Data Entry - SOF'!B$2,'Data Entry - SOF'!E$102,0)</f>
        <v>0</v>
      </c>
      <c r="H730" s="1038">
        <f t="shared" si="68"/>
        <v>7308150</v>
      </c>
      <c r="I730" s="944">
        <f>IF(A730='Data Entry - SOF'!B$2,'Report-SOF1920-HB3'!D$102,0)</f>
        <v>0</v>
      </c>
      <c r="J730" s="1037">
        <f>IF(A730='Data Entry - SOF'!B$2,'Data Entry - SOF'!G$102,0)</f>
        <v>0</v>
      </c>
      <c r="K730" s="717">
        <f t="shared" si="69"/>
        <v>7308150</v>
      </c>
      <c r="L730" s="944">
        <f>IF(A730='Data Entry - SOF'!B$2,'Report-SOF2021'!D$99,0)</f>
        <v>0</v>
      </c>
      <c r="M730" s="723">
        <f>IF(A730='Data Entry - SOF'!B$2,'Data Entry - SOF'!M$102,0)</f>
        <v>0</v>
      </c>
      <c r="N730" s="717">
        <f t="shared" si="70"/>
        <v>7308150</v>
      </c>
      <c r="O730" s="944">
        <f>IF(A730='Data Entry - SOF'!B$2,'Report-SOF2122'!D$91,0)</f>
        <v>0</v>
      </c>
      <c r="P730" s="723">
        <f>IF(A730='Data Entry - SOF'!B$2,'Data Entry - SOF'!O$102,0)</f>
        <v>0</v>
      </c>
      <c r="Q730" s="601">
        <f t="shared" si="67"/>
        <v>7308150</v>
      </c>
      <c r="R730" s="944">
        <f>IF(A730='Data Entry - SOF'!B$2,'Report-SOF2223'!D$91,0)</f>
        <v>0</v>
      </c>
      <c r="S730" s="723">
        <f>IF(A730='Data Entry - SOF'!B$2,'Data Entry - SOF'!Q$102,0)</f>
        <v>0</v>
      </c>
      <c r="T730" s="601">
        <f t="shared" si="71"/>
        <v>7308150</v>
      </c>
      <c r="U730" s="944">
        <f>IF(A730='Data Entry - SOF'!B$2,'Report-SOF2324'!D$91,0)</f>
        <v>0</v>
      </c>
      <c r="V730" s="723">
        <f>IF(A730='Data Entry - SOF'!B$2,'Data Entry - SOF'!S$102,0)</f>
        <v>0</v>
      </c>
    </row>
    <row r="731" spans="1:22" ht="15.75">
      <c r="A731" s="382" t="s">
        <v>1878</v>
      </c>
      <c r="B731" s="91">
        <v>5475285</v>
      </c>
      <c r="C731" s="944">
        <f>IF(A731='Data Entry - SOF'!B$2,'Report-SOF1718'!D$102,0)</f>
        <v>0</v>
      </c>
      <c r="D731" s="1037">
        <f>IF(A731='Data Entry - SOF'!B$2,'Data Entry - SOF'!#REF!,0)</f>
        <v>0</v>
      </c>
      <c r="E731" s="91">
        <f t="shared" si="66"/>
        <v>5475285</v>
      </c>
      <c r="F731" s="944">
        <f>IF(A731='Data Entry - SOF'!B$2,'Report-SOF1819'!D$102,0)</f>
        <v>0</v>
      </c>
      <c r="G731" s="1037">
        <f>IF(A731='Data Entry - SOF'!B$2,'Data Entry - SOF'!E$102,0)</f>
        <v>0</v>
      </c>
      <c r="H731" s="1038">
        <f t="shared" si="68"/>
        <v>5475285</v>
      </c>
      <c r="I731" s="944">
        <f>IF(A731='Data Entry - SOF'!B$2,'Report-SOF1920-HB3'!D$102,0)</f>
        <v>0</v>
      </c>
      <c r="J731" s="1037">
        <f>IF(A731='Data Entry - SOF'!B$2,'Data Entry - SOF'!G$102,0)</f>
        <v>0</v>
      </c>
      <c r="K731" s="717">
        <f t="shared" si="69"/>
        <v>5475285</v>
      </c>
      <c r="L731" s="944">
        <f>IF(A731='Data Entry - SOF'!B$2,'Report-SOF2021'!D$99,0)</f>
        <v>0</v>
      </c>
      <c r="M731" s="723">
        <f>IF(A731='Data Entry - SOF'!B$2,'Data Entry - SOF'!M$102,0)</f>
        <v>0</v>
      </c>
      <c r="N731" s="717">
        <f t="shared" si="70"/>
        <v>5475285</v>
      </c>
      <c r="O731" s="944">
        <f>IF(A731='Data Entry - SOF'!B$2,'Report-SOF2122'!D$91,0)</f>
        <v>0</v>
      </c>
      <c r="P731" s="723">
        <f>IF(A731='Data Entry - SOF'!B$2,'Data Entry - SOF'!O$102,0)</f>
        <v>0</v>
      </c>
      <c r="Q731" s="601">
        <f t="shared" si="67"/>
        <v>5475285</v>
      </c>
      <c r="R731" s="944">
        <f>IF(A731='Data Entry - SOF'!B$2,'Report-SOF2223'!D$91,0)</f>
        <v>0</v>
      </c>
      <c r="S731" s="723">
        <f>IF(A731='Data Entry - SOF'!B$2,'Data Entry - SOF'!Q$102,0)</f>
        <v>0</v>
      </c>
      <c r="T731" s="601">
        <f t="shared" si="71"/>
        <v>5475285</v>
      </c>
      <c r="U731" s="944">
        <f>IF(A731='Data Entry - SOF'!B$2,'Report-SOF2324'!D$91,0)</f>
        <v>0</v>
      </c>
      <c r="V731" s="723">
        <f>IF(A731='Data Entry - SOF'!B$2,'Data Entry - SOF'!S$102,0)</f>
        <v>0</v>
      </c>
    </row>
    <row r="732" spans="1:22" ht="15.75">
      <c r="A732" s="382" t="s">
        <v>2309</v>
      </c>
      <c r="B732" s="91">
        <v>8937914.22460494</v>
      </c>
      <c r="C732" s="944">
        <f>IF(A732='Data Entry - SOF'!B$2,'Report-SOF1718'!D$102,0)</f>
        <v>0</v>
      </c>
      <c r="D732" s="1037">
        <f>IF(A732='Data Entry - SOF'!B$2,'Data Entry - SOF'!#REF!,0)</f>
        <v>0</v>
      </c>
      <c r="E732" s="91">
        <f t="shared" si="66"/>
        <v>8937914.22460494</v>
      </c>
      <c r="F732" s="944">
        <f>IF(A732='Data Entry - SOF'!B$2,'Report-SOF1819'!D$102,0)</f>
        <v>0</v>
      </c>
      <c r="G732" s="1037">
        <f>IF(A732='Data Entry - SOF'!B$2,'Data Entry - SOF'!E$102,0)</f>
        <v>0</v>
      </c>
      <c r="H732" s="1038">
        <f t="shared" si="68"/>
        <v>8937914.22460494</v>
      </c>
      <c r="I732" s="944">
        <f>IF(A732='Data Entry - SOF'!B$2,'Report-SOF1920-HB3'!D$102,0)</f>
        <v>0</v>
      </c>
      <c r="J732" s="1037">
        <f>IF(A732='Data Entry - SOF'!B$2,'Data Entry - SOF'!G$102,0)</f>
        <v>0</v>
      </c>
      <c r="K732" s="717">
        <f t="shared" si="69"/>
        <v>8937914.22460494</v>
      </c>
      <c r="L732" s="944">
        <f>IF(A732='Data Entry - SOF'!B$2,'Report-SOF2021'!D$99,0)</f>
        <v>0</v>
      </c>
      <c r="M732" s="723">
        <f>IF(A732='Data Entry - SOF'!B$2,'Data Entry - SOF'!M$102,0)</f>
        <v>0</v>
      </c>
      <c r="N732" s="717">
        <f t="shared" si="70"/>
        <v>8937914.22460494</v>
      </c>
      <c r="O732" s="944">
        <f>IF(A732='Data Entry - SOF'!B$2,'Report-SOF2122'!D$91,0)</f>
        <v>0</v>
      </c>
      <c r="P732" s="723">
        <f>IF(A732='Data Entry - SOF'!B$2,'Data Entry - SOF'!O$102,0)</f>
        <v>0</v>
      </c>
      <c r="Q732" s="601">
        <f t="shared" si="67"/>
        <v>8937914.22460494</v>
      </c>
      <c r="R732" s="944">
        <f>IF(A732='Data Entry - SOF'!B$2,'Report-SOF2223'!D$91,0)</f>
        <v>0</v>
      </c>
      <c r="S732" s="723">
        <f>IF(A732='Data Entry - SOF'!B$2,'Data Entry - SOF'!Q$102,0)</f>
        <v>0</v>
      </c>
      <c r="T732" s="601">
        <f t="shared" si="71"/>
        <v>8937914.22460494</v>
      </c>
      <c r="U732" s="944">
        <f>IF(A732='Data Entry - SOF'!B$2,'Report-SOF2324'!D$91,0)</f>
        <v>0</v>
      </c>
      <c r="V732" s="723">
        <f>IF(A732='Data Entry - SOF'!B$2,'Data Entry - SOF'!S$102,0)</f>
        <v>0</v>
      </c>
    </row>
    <row r="733" spans="1:22" ht="15.75">
      <c r="A733" s="382" t="s">
        <v>424</v>
      </c>
      <c r="B733" s="91">
        <v>9310360</v>
      </c>
      <c r="C733" s="944">
        <f>IF(A733='Data Entry - SOF'!B$2,'Report-SOF1718'!D$102,0)</f>
        <v>0</v>
      </c>
      <c r="D733" s="1037">
        <f>IF(A733='Data Entry - SOF'!B$2,'Data Entry - SOF'!#REF!,0)</f>
        <v>0</v>
      </c>
      <c r="E733" s="91">
        <f t="shared" si="66"/>
        <v>9310360</v>
      </c>
      <c r="F733" s="944">
        <f>IF(A733='Data Entry - SOF'!B$2,'Report-SOF1819'!D$102,0)</f>
        <v>0</v>
      </c>
      <c r="G733" s="1037">
        <f>IF(A733='Data Entry - SOF'!B$2,'Data Entry - SOF'!E$102,0)</f>
        <v>0</v>
      </c>
      <c r="H733" s="1038">
        <f t="shared" si="68"/>
        <v>9310360</v>
      </c>
      <c r="I733" s="944">
        <f>IF(A733='Data Entry - SOF'!B$2,'Report-SOF1920-HB3'!D$102,0)</f>
        <v>0</v>
      </c>
      <c r="J733" s="1037">
        <f>IF(A733='Data Entry - SOF'!B$2,'Data Entry - SOF'!G$102,0)</f>
        <v>0</v>
      </c>
      <c r="K733" s="717">
        <f t="shared" si="69"/>
        <v>9310360</v>
      </c>
      <c r="L733" s="944">
        <f>IF(A733='Data Entry - SOF'!B$2,'Report-SOF2021'!D$99,0)</f>
        <v>0</v>
      </c>
      <c r="M733" s="723">
        <f>IF(A733='Data Entry - SOF'!B$2,'Data Entry - SOF'!M$102,0)</f>
        <v>0</v>
      </c>
      <c r="N733" s="717">
        <f t="shared" si="70"/>
        <v>9310360</v>
      </c>
      <c r="O733" s="944">
        <f>IF(A733='Data Entry - SOF'!B$2,'Report-SOF2122'!D$91,0)</f>
        <v>0</v>
      </c>
      <c r="P733" s="723">
        <f>IF(A733='Data Entry - SOF'!B$2,'Data Entry - SOF'!O$102,0)</f>
        <v>0</v>
      </c>
      <c r="Q733" s="601">
        <f t="shared" si="67"/>
        <v>9310360</v>
      </c>
      <c r="R733" s="944">
        <f>IF(A733='Data Entry - SOF'!B$2,'Report-SOF2223'!D$91,0)</f>
        <v>0</v>
      </c>
      <c r="S733" s="723">
        <f>IF(A733='Data Entry - SOF'!B$2,'Data Entry - SOF'!Q$102,0)</f>
        <v>0</v>
      </c>
      <c r="T733" s="601">
        <f t="shared" si="71"/>
        <v>9310360</v>
      </c>
      <c r="U733" s="944">
        <f>IF(A733='Data Entry - SOF'!B$2,'Report-SOF2324'!D$91,0)</f>
        <v>0</v>
      </c>
      <c r="V733" s="723">
        <f>IF(A733='Data Entry - SOF'!B$2,'Data Entry - SOF'!S$102,0)</f>
        <v>0</v>
      </c>
    </row>
    <row r="734" spans="1:22" ht="15.75">
      <c r="A734" s="382" t="s">
        <v>2498</v>
      </c>
      <c r="B734" s="91">
        <v>2038711</v>
      </c>
      <c r="C734" s="944">
        <f>IF(A734='Data Entry - SOF'!B$2,'Report-SOF1718'!D$102,0)</f>
        <v>0</v>
      </c>
      <c r="D734" s="1037">
        <f>IF(A734='Data Entry - SOF'!B$2,'Data Entry - SOF'!#REF!,0)</f>
        <v>0</v>
      </c>
      <c r="E734" s="91">
        <f t="shared" si="66"/>
        <v>2038711</v>
      </c>
      <c r="F734" s="944">
        <f>IF(A734='Data Entry - SOF'!B$2,'Report-SOF1819'!D$102,0)</f>
        <v>0</v>
      </c>
      <c r="G734" s="1037">
        <f>IF(A734='Data Entry - SOF'!B$2,'Data Entry - SOF'!E$102,0)</f>
        <v>0</v>
      </c>
      <c r="H734" s="1038">
        <f t="shared" si="68"/>
        <v>2038711</v>
      </c>
      <c r="I734" s="944">
        <f>IF(A734='Data Entry - SOF'!B$2,'Report-SOF1920-HB3'!D$102,0)</f>
        <v>0</v>
      </c>
      <c r="J734" s="1037">
        <f>IF(A734='Data Entry - SOF'!B$2,'Data Entry - SOF'!G$102,0)</f>
        <v>0</v>
      </c>
      <c r="K734" s="717">
        <f t="shared" si="69"/>
        <v>2038711</v>
      </c>
      <c r="L734" s="944">
        <f>IF(A734='Data Entry - SOF'!B$2,'Report-SOF2021'!D$99,0)</f>
        <v>0</v>
      </c>
      <c r="M734" s="723">
        <f>IF(A734='Data Entry - SOF'!B$2,'Data Entry - SOF'!M$102,0)</f>
        <v>0</v>
      </c>
      <c r="N734" s="717">
        <f t="shared" si="70"/>
        <v>2038711</v>
      </c>
      <c r="O734" s="944">
        <f>IF(A734='Data Entry - SOF'!B$2,'Report-SOF2122'!D$91,0)</f>
        <v>0</v>
      </c>
      <c r="P734" s="723">
        <f>IF(A734='Data Entry - SOF'!B$2,'Data Entry - SOF'!O$102,0)</f>
        <v>0</v>
      </c>
      <c r="Q734" s="601">
        <f t="shared" si="67"/>
        <v>2038711</v>
      </c>
      <c r="R734" s="944">
        <f>IF(A734='Data Entry - SOF'!B$2,'Report-SOF2223'!D$91,0)</f>
        <v>0</v>
      </c>
      <c r="S734" s="723">
        <f>IF(A734='Data Entry - SOF'!B$2,'Data Entry - SOF'!Q$102,0)</f>
        <v>0</v>
      </c>
      <c r="T734" s="601">
        <f t="shared" si="71"/>
        <v>2038711</v>
      </c>
      <c r="U734" s="944">
        <f>IF(A734='Data Entry - SOF'!B$2,'Report-SOF2324'!D$91,0)</f>
        <v>0</v>
      </c>
      <c r="V734" s="723">
        <f>IF(A734='Data Entry - SOF'!B$2,'Data Entry - SOF'!S$102,0)</f>
        <v>0</v>
      </c>
    </row>
    <row r="735" spans="1:22" ht="15.75">
      <c r="A735" s="382" t="s">
        <v>1172</v>
      </c>
      <c r="B735" s="91">
        <v>10892897</v>
      </c>
      <c r="C735" s="944">
        <f>IF(A735='Data Entry - SOF'!B$2,'Report-SOF1718'!D$102,0)</f>
        <v>0</v>
      </c>
      <c r="D735" s="1037">
        <f>IF(A735='Data Entry - SOF'!B$2,'Data Entry - SOF'!#REF!,0)</f>
        <v>0</v>
      </c>
      <c r="E735" s="91">
        <f t="shared" si="66"/>
        <v>10892897</v>
      </c>
      <c r="F735" s="944">
        <f>IF(A735='Data Entry - SOF'!B$2,'Report-SOF1819'!D$102,0)</f>
        <v>0</v>
      </c>
      <c r="G735" s="1037">
        <f>IF(A735='Data Entry - SOF'!B$2,'Data Entry - SOF'!E$102,0)</f>
        <v>0</v>
      </c>
      <c r="H735" s="1038">
        <f t="shared" si="68"/>
        <v>10892897</v>
      </c>
      <c r="I735" s="944">
        <f>IF(A735='Data Entry - SOF'!B$2,'Report-SOF1920-HB3'!D$102,0)</f>
        <v>0</v>
      </c>
      <c r="J735" s="1037">
        <f>IF(A735='Data Entry - SOF'!B$2,'Data Entry - SOF'!G$102,0)</f>
        <v>0</v>
      </c>
      <c r="K735" s="717">
        <f t="shared" si="69"/>
        <v>10892897</v>
      </c>
      <c r="L735" s="944">
        <f>IF(A735='Data Entry - SOF'!B$2,'Report-SOF2021'!D$99,0)</f>
        <v>0</v>
      </c>
      <c r="M735" s="723">
        <f>IF(A735='Data Entry - SOF'!B$2,'Data Entry - SOF'!M$102,0)</f>
        <v>0</v>
      </c>
      <c r="N735" s="717">
        <f t="shared" si="70"/>
        <v>10892897</v>
      </c>
      <c r="O735" s="944">
        <f>IF(A735='Data Entry - SOF'!B$2,'Report-SOF2122'!D$91,0)</f>
        <v>0</v>
      </c>
      <c r="P735" s="723">
        <f>IF(A735='Data Entry - SOF'!B$2,'Data Entry - SOF'!O$102,0)</f>
        <v>0</v>
      </c>
      <c r="Q735" s="601">
        <f t="shared" si="67"/>
        <v>10892897</v>
      </c>
      <c r="R735" s="944">
        <f>IF(A735='Data Entry - SOF'!B$2,'Report-SOF2223'!D$91,0)</f>
        <v>0</v>
      </c>
      <c r="S735" s="723">
        <f>IF(A735='Data Entry - SOF'!B$2,'Data Entry - SOF'!Q$102,0)</f>
        <v>0</v>
      </c>
      <c r="T735" s="601">
        <f t="shared" si="71"/>
        <v>10892897</v>
      </c>
      <c r="U735" s="944">
        <f>IF(A735='Data Entry - SOF'!B$2,'Report-SOF2324'!D$91,0)</f>
        <v>0</v>
      </c>
      <c r="V735" s="723">
        <f>IF(A735='Data Entry - SOF'!B$2,'Data Entry - SOF'!S$102,0)</f>
        <v>0</v>
      </c>
    </row>
    <row r="736" spans="1:22" ht="15.75">
      <c r="A736" s="382" t="s">
        <v>1173</v>
      </c>
      <c r="B736" s="91">
        <v>12253318</v>
      </c>
      <c r="C736" s="944">
        <f>IF(A736='Data Entry - SOF'!B$2,'Report-SOF1718'!D$102,0)</f>
        <v>0</v>
      </c>
      <c r="D736" s="1037">
        <f>IF(A736='Data Entry - SOF'!B$2,'Data Entry - SOF'!#REF!,0)</f>
        <v>0</v>
      </c>
      <c r="E736" s="91">
        <f t="shared" si="66"/>
        <v>12253318</v>
      </c>
      <c r="F736" s="944">
        <f>IF(A736='Data Entry - SOF'!B$2,'Report-SOF1819'!D$102,0)</f>
        <v>0</v>
      </c>
      <c r="G736" s="1037">
        <f>IF(A736='Data Entry - SOF'!B$2,'Data Entry - SOF'!E$102,0)</f>
        <v>0</v>
      </c>
      <c r="H736" s="1038">
        <f t="shared" si="68"/>
        <v>12253318</v>
      </c>
      <c r="I736" s="944">
        <f>IF(A736='Data Entry - SOF'!B$2,'Report-SOF1920-HB3'!D$102,0)</f>
        <v>0</v>
      </c>
      <c r="J736" s="1037">
        <f>IF(A736='Data Entry - SOF'!B$2,'Data Entry - SOF'!G$102,0)</f>
        <v>0</v>
      </c>
      <c r="K736" s="717">
        <f t="shared" si="69"/>
        <v>12253318</v>
      </c>
      <c r="L736" s="944">
        <f>IF(A736='Data Entry - SOF'!B$2,'Report-SOF2021'!D$99,0)</f>
        <v>0</v>
      </c>
      <c r="M736" s="723">
        <f>IF(A736='Data Entry - SOF'!B$2,'Data Entry - SOF'!M$102,0)</f>
        <v>0</v>
      </c>
      <c r="N736" s="717">
        <f t="shared" si="70"/>
        <v>12253318</v>
      </c>
      <c r="O736" s="944">
        <f>IF(A736='Data Entry - SOF'!B$2,'Report-SOF2122'!D$91,0)</f>
        <v>0</v>
      </c>
      <c r="P736" s="723">
        <f>IF(A736='Data Entry - SOF'!B$2,'Data Entry - SOF'!O$102,0)</f>
        <v>0</v>
      </c>
      <c r="Q736" s="601">
        <f t="shared" si="67"/>
        <v>12253318</v>
      </c>
      <c r="R736" s="944">
        <f>IF(A736='Data Entry - SOF'!B$2,'Report-SOF2223'!D$91,0)</f>
        <v>0</v>
      </c>
      <c r="S736" s="723">
        <f>IF(A736='Data Entry - SOF'!B$2,'Data Entry - SOF'!Q$102,0)</f>
        <v>0</v>
      </c>
      <c r="T736" s="601">
        <f t="shared" si="71"/>
        <v>12253318</v>
      </c>
      <c r="U736" s="944">
        <f>IF(A736='Data Entry - SOF'!B$2,'Report-SOF2324'!D$91,0)</f>
        <v>0</v>
      </c>
      <c r="V736" s="723">
        <f>IF(A736='Data Entry - SOF'!B$2,'Data Entry - SOF'!S$102,0)</f>
        <v>0</v>
      </c>
    </row>
    <row r="737" spans="1:22" ht="15.75">
      <c r="A737" s="382" t="s">
        <v>2399</v>
      </c>
      <c r="B737" s="91">
        <v>108037501</v>
      </c>
      <c r="C737" s="944">
        <f>IF(A737='Data Entry - SOF'!B$2,'Report-SOF1718'!D$102,0)</f>
        <v>0</v>
      </c>
      <c r="D737" s="1037">
        <f>IF(A737='Data Entry - SOF'!B$2,'Data Entry - SOF'!#REF!,0)</f>
        <v>0</v>
      </c>
      <c r="E737" s="91">
        <f t="shared" si="66"/>
        <v>108037501</v>
      </c>
      <c r="F737" s="944">
        <f>IF(A737='Data Entry - SOF'!B$2,'Report-SOF1819'!D$102,0)</f>
        <v>0</v>
      </c>
      <c r="G737" s="1037">
        <f>IF(A737='Data Entry - SOF'!B$2,'Data Entry - SOF'!E$102,0)</f>
        <v>0</v>
      </c>
      <c r="H737" s="1038">
        <f t="shared" si="68"/>
        <v>108037501</v>
      </c>
      <c r="I737" s="944">
        <f>IF(A737='Data Entry - SOF'!B$2,'Report-SOF1920-HB3'!D$102,0)</f>
        <v>0</v>
      </c>
      <c r="J737" s="1037">
        <f>IF(A737='Data Entry - SOF'!B$2,'Data Entry - SOF'!G$102,0)</f>
        <v>0</v>
      </c>
      <c r="K737" s="717">
        <f t="shared" si="69"/>
        <v>108037501</v>
      </c>
      <c r="L737" s="944">
        <f>IF(A737='Data Entry - SOF'!B$2,'Report-SOF2021'!D$99,0)</f>
        <v>0</v>
      </c>
      <c r="M737" s="723">
        <f>IF(A737='Data Entry - SOF'!B$2,'Data Entry - SOF'!M$102,0)</f>
        <v>0</v>
      </c>
      <c r="N737" s="717">
        <f t="shared" si="70"/>
        <v>108037501</v>
      </c>
      <c r="O737" s="944">
        <f>IF(A737='Data Entry - SOF'!B$2,'Report-SOF2122'!D$91,0)</f>
        <v>0</v>
      </c>
      <c r="P737" s="723">
        <f>IF(A737='Data Entry - SOF'!B$2,'Data Entry - SOF'!O$102,0)</f>
        <v>0</v>
      </c>
      <c r="Q737" s="601">
        <f t="shared" si="67"/>
        <v>108037501</v>
      </c>
      <c r="R737" s="944">
        <f>IF(A737='Data Entry - SOF'!B$2,'Report-SOF2223'!D$91,0)</f>
        <v>0</v>
      </c>
      <c r="S737" s="723">
        <f>IF(A737='Data Entry - SOF'!B$2,'Data Entry - SOF'!Q$102,0)</f>
        <v>0</v>
      </c>
      <c r="T737" s="601">
        <f t="shared" si="71"/>
        <v>108037501</v>
      </c>
      <c r="U737" s="944">
        <f>IF(A737='Data Entry - SOF'!B$2,'Report-SOF2324'!D$91,0)</f>
        <v>0</v>
      </c>
      <c r="V737" s="723">
        <f>IF(A737='Data Entry - SOF'!B$2,'Data Entry - SOF'!S$102,0)</f>
        <v>0</v>
      </c>
    </row>
    <row r="738" spans="1:22" ht="15.75">
      <c r="A738" s="382" t="s">
        <v>570</v>
      </c>
      <c r="B738" s="91">
        <v>8416177</v>
      </c>
      <c r="C738" s="944">
        <f>IF(A738='Data Entry - SOF'!B$2,'Report-SOF1718'!D$102,0)</f>
        <v>0</v>
      </c>
      <c r="D738" s="1037">
        <f>IF(A738='Data Entry - SOF'!B$2,'Data Entry - SOF'!#REF!,0)</f>
        <v>0</v>
      </c>
      <c r="E738" s="91">
        <f t="shared" si="66"/>
        <v>8416177</v>
      </c>
      <c r="F738" s="944">
        <f>IF(A738='Data Entry - SOF'!B$2,'Report-SOF1819'!D$102,0)</f>
        <v>0</v>
      </c>
      <c r="G738" s="1037">
        <f>IF(A738='Data Entry - SOF'!B$2,'Data Entry - SOF'!E$102,0)</f>
        <v>0</v>
      </c>
      <c r="H738" s="1038">
        <f t="shared" si="68"/>
        <v>8416177</v>
      </c>
      <c r="I738" s="944">
        <f>IF(A738='Data Entry - SOF'!B$2,'Report-SOF1920-HB3'!D$102,0)</f>
        <v>0</v>
      </c>
      <c r="J738" s="1037">
        <f>IF(A738='Data Entry - SOF'!B$2,'Data Entry - SOF'!G$102,0)</f>
        <v>0</v>
      </c>
      <c r="K738" s="717">
        <f t="shared" si="69"/>
        <v>8416177</v>
      </c>
      <c r="L738" s="944">
        <f>IF(A738='Data Entry - SOF'!B$2,'Report-SOF2021'!D$99,0)</f>
        <v>0</v>
      </c>
      <c r="M738" s="723">
        <f>IF(A738='Data Entry - SOF'!B$2,'Data Entry - SOF'!M$102,0)</f>
        <v>0</v>
      </c>
      <c r="N738" s="717">
        <f t="shared" si="70"/>
        <v>8416177</v>
      </c>
      <c r="O738" s="944">
        <f>IF(A738='Data Entry - SOF'!B$2,'Report-SOF2122'!D$91,0)</f>
        <v>0</v>
      </c>
      <c r="P738" s="723">
        <f>IF(A738='Data Entry - SOF'!B$2,'Data Entry - SOF'!O$102,0)</f>
        <v>0</v>
      </c>
      <c r="Q738" s="601">
        <f t="shared" si="67"/>
        <v>8416177</v>
      </c>
      <c r="R738" s="944">
        <f>IF(A738='Data Entry - SOF'!B$2,'Report-SOF2223'!D$91,0)</f>
        <v>0</v>
      </c>
      <c r="S738" s="723">
        <f>IF(A738='Data Entry - SOF'!B$2,'Data Entry - SOF'!Q$102,0)</f>
        <v>0</v>
      </c>
      <c r="T738" s="601">
        <f t="shared" si="71"/>
        <v>8416177</v>
      </c>
      <c r="U738" s="944">
        <f>IF(A738='Data Entry - SOF'!B$2,'Report-SOF2324'!D$91,0)</f>
        <v>0</v>
      </c>
      <c r="V738" s="723">
        <f>IF(A738='Data Entry - SOF'!B$2,'Data Entry - SOF'!S$102,0)</f>
        <v>0</v>
      </c>
    </row>
    <row r="739" spans="1:22" ht="15.75">
      <c r="A739" s="382" t="s">
        <v>579</v>
      </c>
      <c r="B739" s="91">
        <v>3558529</v>
      </c>
      <c r="C739" s="944">
        <f>IF(A739='Data Entry - SOF'!B$2,'Report-SOF1718'!D$102,0)</f>
        <v>0</v>
      </c>
      <c r="D739" s="1037">
        <f>IF(A739='Data Entry - SOF'!B$2,'Data Entry - SOF'!#REF!,0)</f>
        <v>0</v>
      </c>
      <c r="E739" s="91">
        <f t="shared" si="66"/>
        <v>3558529</v>
      </c>
      <c r="F739" s="944">
        <f>IF(A739='Data Entry - SOF'!B$2,'Report-SOF1819'!D$102,0)</f>
        <v>0</v>
      </c>
      <c r="G739" s="1037">
        <f>IF(A739='Data Entry - SOF'!B$2,'Data Entry - SOF'!E$102,0)</f>
        <v>0</v>
      </c>
      <c r="H739" s="1038">
        <f t="shared" si="68"/>
        <v>3558529</v>
      </c>
      <c r="I739" s="944">
        <f>IF(A739='Data Entry - SOF'!B$2,'Report-SOF1920-HB3'!D$102,0)</f>
        <v>0</v>
      </c>
      <c r="J739" s="1037">
        <f>IF(A739='Data Entry - SOF'!B$2,'Data Entry - SOF'!G$102,0)</f>
        <v>0</v>
      </c>
      <c r="K739" s="717">
        <f t="shared" si="69"/>
        <v>3558529</v>
      </c>
      <c r="L739" s="944">
        <f>IF(A739='Data Entry - SOF'!B$2,'Report-SOF2021'!D$99,0)</f>
        <v>0</v>
      </c>
      <c r="M739" s="723">
        <f>IF(A739='Data Entry - SOF'!B$2,'Data Entry - SOF'!M$102,0)</f>
        <v>0</v>
      </c>
      <c r="N739" s="717">
        <f t="shared" si="70"/>
        <v>3558529</v>
      </c>
      <c r="O739" s="944">
        <f>IF(A739='Data Entry - SOF'!B$2,'Report-SOF2122'!D$91,0)</f>
        <v>0</v>
      </c>
      <c r="P739" s="723">
        <f>IF(A739='Data Entry - SOF'!B$2,'Data Entry - SOF'!O$102,0)</f>
        <v>0</v>
      </c>
      <c r="Q739" s="601">
        <f t="shared" si="67"/>
        <v>3558529</v>
      </c>
      <c r="R739" s="944">
        <f>IF(A739='Data Entry - SOF'!B$2,'Report-SOF2223'!D$91,0)</f>
        <v>0</v>
      </c>
      <c r="S739" s="723">
        <f>IF(A739='Data Entry - SOF'!B$2,'Data Entry - SOF'!Q$102,0)</f>
        <v>0</v>
      </c>
      <c r="T739" s="601">
        <f t="shared" si="71"/>
        <v>3558529</v>
      </c>
      <c r="U739" s="944">
        <f>IF(A739='Data Entry - SOF'!B$2,'Report-SOF2324'!D$91,0)</f>
        <v>0</v>
      </c>
      <c r="V739" s="723">
        <f>IF(A739='Data Entry - SOF'!B$2,'Data Entry - SOF'!S$102,0)</f>
        <v>0</v>
      </c>
    </row>
    <row r="740" spans="1:22" ht="15.75">
      <c r="A740" s="382" t="s">
        <v>580</v>
      </c>
      <c r="B740" s="91">
        <v>14135782</v>
      </c>
      <c r="C740" s="944">
        <f>IF(A740='Data Entry - SOF'!B$2,'Report-SOF1718'!D$102,0)</f>
        <v>0</v>
      </c>
      <c r="D740" s="1037">
        <f>IF(A740='Data Entry - SOF'!B$2,'Data Entry - SOF'!#REF!,0)</f>
        <v>0</v>
      </c>
      <c r="E740" s="91">
        <f t="shared" si="66"/>
        <v>14135782</v>
      </c>
      <c r="F740" s="944">
        <f>IF(A740='Data Entry - SOF'!B$2,'Report-SOF1819'!D$102,0)</f>
        <v>0</v>
      </c>
      <c r="G740" s="1037">
        <f>IF(A740='Data Entry - SOF'!B$2,'Data Entry - SOF'!E$102,0)</f>
        <v>0</v>
      </c>
      <c r="H740" s="1038">
        <f t="shared" si="68"/>
        <v>14135782</v>
      </c>
      <c r="I740" s="944">
        <f>IF(A740='Data Entry - SOF'!B$2,'Report-SOF1920-HB3'!D$102,0)</f>
        <v>0</v>
      </c>
      <c r="J740" s="1037">
        <f>IF(A740='Data Entry - SOF'!B$2,'Data Entry - SOF'!G$102,0)</f>
        <v>0</v>
      </c>
      <c r="K740" s="717">
        <f t="shared" si="69"/>
        <v>14135782</v>
      </c>
      <c r="L740" s="944">
        <f>IF(A740='Data Entry - SOF'!B$2,'Report-SOF2021'!D$99,0)</f>
        <v>0</v>
      </c>
      <c r="M740" s="723">
        <f>IF(A740='Data Entry - SOF'!B$2,'Data Entry - SOF'!M$102,0)</f>
        <v>0</v>
      </c>
      <c r="N740" s="717">
        <f t="shared" si="70"/>
        <v>14135782</v>
      </c>
      <c r="O740" s="944">
        <f>IF(A740='Data Entry - SOF'!B$2,'Report-SOF2122'!D$91,0)</f>
        <v>0</v>
      </c>
      <c r="P740" s="723">
        <f>IF(A740='Data Entry - SOF'!B$2,'Data Entry - SOF'!O$102,0)</f>
        <v>0</v>
      </c>
      <c r="Q740" s="601">
        <f t="shared" si="67"/>
        <v>14135782</v>
      </c>
      <c r="R740" s="944">
        <f>IF(A740='Data Entry - SOF'!B$2,'Report-SOF2223'!D$91,0)</f>
        <v>0</v>
      </c>
      <c r="S740" s="723">
        <f>IF(A740='Data Entry - SOF'!B$2,'Data Entry - SOF'!Q$102,0)</f>
        <v>0</v>
      </c>
      <c r="T740" s="601">
        <f t="shared" si="71"/>
        <v>14135782</v>
      </c>
      <c r="U740" s="944">
        <f>IF(A740='Data Entry - SOF'!B$2,'Report-SOF2324'!D$91,0)</f>
        <v>0</v>
      </c>
      <c r="V740" s="723">
        <f>IF(A740='Data Entry - SOF'!B$2,'Data Entry - SOF'!S$102,0)</f>
        <v>0</v>
      </c>
    </row>
    <row r="741" spans="1:22" ht="15.75">
      <c r="A741" s="382" t="s">
        <v>165</v>
      </c>
      <c r="B741" s="91">
        <v>3374086</v>
      </c>
      <c r="C741" s="944">
        <f>IF(A741='Data Entry - SOF'!B$2,'Report-SOF1718'!D$102,0)</f>
        <v>0</v>
      </c>
      <c r="D741" s="1037">
        <f>IF(A741='Data Entry - SOF'!B$2,'Data Entry - SOF'!#REF!,0)</f>
        <v>0</v>
      </c>
      <c r="E741" s="91">
        <f t="shared" si="66"/>
        <v>3374086</v>
      </c>
      <c r="F741" s="944">
        <f>IF(A741='Data Entry - SOF'!B$2,'Report-SOF1819'!D$102,0)</f>
        <v>0</v>
      </c>
      <c r="G741" s="1037">
        <f>IF(A741='Data Entry - SOF'!B$2,'Data Entry - SOF'!E$102,0)</f>
        <v>0</v>
      </c>
      <c r="H741" s="1038">
        <f t="shared" si="68"/>
        <v>3374086</v>
      </c>
      <c r="I741" s="944">
        <f>IF(A741='Data Entry - SOF'!B$2,'Report-SOF1920-HB3'!D$102,0)</f>
        <v>0</v>
      </c>
      <c r="J741" s="1037">
        <f>IF(A741='Data Entry - SOF'!B$2,'Data Entry - SOF'!G$102,0)</f>
        <v>0</v>
      </c>
      <c r="K741" s="717">
        <f t="shared" si="69"/>
        <v>3374086</v>
      </c>
      <c r="L741" s="944">
        <f>IF(A741='Data Entry - SOF'!B$2,'Report-SOF2021'!D$99,0)</f>
        <v>0</v>
      </c>
      <c r="M741" s="723">
        <f>IF(A741='Data Entry - SOF'!B$2,'Data Entry - SOF'!M$102,0)</f>
        <v>0</v>
      </c>
      <c r="N741" s="717">
        <f t="shared" si="70"/>
        <v>3374086</v>
      </c>
      <c r="O741" s="944">
        <f>IF(A741='Data Entry - SOF'!B$2,'Report-SOF2122'!D$91,0)</f>
        <v>0</v>
      </c>
      <c r="P741" s="723">
        <f>IF(A741='Data Entry - SOF'!B$2,'Data Entry - SOF'!O$102,0)</f>
        <v>0</v>
      </c>
      <c r="Q741" s="601">
        <f t="shared" si="67"/>
        <v>3374086</v>
      </c>
      <c r="R741" s="944">
        <f>IF(A741='Data Entry - SOF'!B$2,'Report-SOF2223'!D$91,0)</f>
        <v>0</v>
      </c>
      <c r="S741" s="723">
        <f>IF(A741='Data Entry - SOF'!B$2,'Data Entry - SOF'!Q$102,0)</f>
        <v>0</v>
      </c>
      <c r="T741" s="601">
        <f t="shared" si="71"/>
        <v>3374086</v>
      </c>
      <c r="U741" s="944">
        <f>IF(A741='Data Entry - SOF'!B$2,'Report-SOF2324'!D$91,0)</f>
        <v>0</v>
      </c>
      <c r="V741" s="723">
        <f>IF(A741='Data Entry - SOF'!B$2,'Data Entry - SOF'!S$102,0)</f>
        <v>0</v>
      </c>
    </row>
    <row r="742" spans="1:22" ht="15.75">
      <c r="A742" s="382" t="s">
        <v>767</v>
      </c>
      <c r="B742" s="91">
        <v>34404878</v>
      </c>
      <c r="C742" s="944">
        <f>IF(A742='Data Entry - SOF'!B$2,'Report-SOF1718'!D$102,0)</f>
        <v>0</v>
      </c>
      <c r="D742" s="1037">
        <f>IF(A742='Data Entry - SOF'!B$2,'Data Entry - SOF'!#REF!,0)</f>
        <v>0</v>
      </c>
      <c r="E742" s="91">
        <f t="shared" si="66"/>
        <v>34404878</v>
      </c>
      <c r="F742" s="944">
        <f>IF(A742='Data Entry - SOF'!B$2,'Report-SOF1819'!D$102,0)</f>
        <v>0</v>
      </c>
      <c r="G742" s="1037">
        <f>IF(A742='Data Entry - SOF'!B$2,'Data Entry - SOF'!E$102,0)</f>
        <v>0</v>
      </c>
      <c r="H742" s="1038">
        <f t="shared" si="68"/>
        <v>34404878</v>
      </c>
      <c r="I742" s="944">
        <f>IF(A742='Data Entry - SOF'!B$2,'Report-SOF1920-HB3'!D$102,0)</f>
        <v>0</v>
      </c>
      <c r="J742" s="1037">
        <f>IF(A742='Data Entry - SOF'!B$2,'Data Entry - SOF'!G$102,0)</f>
        <v>0</v>
      </c>
      <c r="K742" s="717">
        <f t="shared" si="69"/>
        <v>34404878</v>
      </c>
      <c r="L742" s="944">
        <f>IF(A742='Data Entry - SOF'!B$2,'Report-SOF2021'!D$99,0)</f>
        <v>0</v>
      </c>
      <c r="M742" s="723">
        <f>IF(A742='Data Entry - SOF'!B$2,'Data Entry - SOF'!M$102,0)</f>
        <v>0</v>
      </c>
      <c r="N742" s="717">
        <f t="shared" si="70"/>
        <v>34404878</v>
      </c>
      <c r="O742" s="944">
        <f>IF(A742='Data Entry - SOF'!B$2,'Report-SOF2122'!D$91,0)</f>
        <v>0</v>
      </c>
      <c r="P742" s="723">
        <f>IF(A742='Data Entry - SOF'!B$2,'Data Entry - SOF'!O$102,0)</f>
        <v>0</v>
      </c>
      <c r="Q742" s="601">
        <f t="shared" si="67"/>
        <v>34404878</v>
      </c>
      <c r="R742" s="944">
        <f>IF(A742='Data Entry - SOF'!B$2,'Report-SOF2223'!D$91,0)</f>
        <v>0</v>
      </c>
      <c r="S742" s="723">
        <f>IF(A742='Data Entry - SOF'!B$2,'Data Entry - SOF'!Q$102,0)</f>
        <v>0</v>
      </c>
      <c r="T742" s="601">
        <f t="shared" si="71"/>
        <v>34404878</v>
      </c>
      <c r="U742" s="944">
        <f>IF(A742='Data Entry - SOF'!B$2,'Report-SOF2324'!D$91,0)</f>
        <v>0</v>
      </c>
      <c r="V742" s="723">
        <f>IF(A742='Data Entry - SOF'!B$2,'Data Entry - SOF'!S$102,0)</f>
        <v>0</v>
      </c>
    </row>
    <row r="743" spans="1:22" ht="15.75">
      <c r="A743" s="382" t="s">
        <v>964</v>
      </c>
      <c r="B743" s="91">
        <v>4380862</v>
      </c>
      <c r="C743" s="944">
        <f>IF(A743='Data Entry - SOF'!B$2,'Report-SOF1718'!D$102,0)</f>
        <v>0</v>
      </c>
      <c r="D743" s="1037">
        <f>IF(A743='Data Entry - SOF'!B$2,'Data Entry - SOF'!#REF!,0)</f>
        <v>0</v>
      </c>
      <c r="E743" s="91">
        <f t="shared" si="66"/>
        <v>4380862</v>
      </c>
      <c r="F743" s="944">
        <f>IF(A743='Data Entry - SOF'!B$2,'Report-SOF1819'!D$102,0)</f>
        <v>0</v>
      </c>
      <c r="G743" s="1037">
        <f>IF(A743='Data Entry - SOF'!B$2,'Data Entry - SOF'!E$102,0)</f>
        <v>0</v>
      </c>
      <c r="H743" s="1038">
        <f t="shared" si="68"/>
        <v>4380862</v>
      </c>
      <c r="I743" s="944">
        <f>IF(A743='Data Entry - SOF'!B$2,'Report-SOF1920-HB3'!D$102,0)</f>
        <v>0</v>
      </c>
      <c r="J743" s="1037">
        <f>IF(A743='Data Entry - SOF'!B$2,'Data Entry - SOF'!G$102,0)</f>
        <v>0</v>
      </c>
      <c r="K743" s="717">
        <f t="shared" si="69"/>
        <v>4380862</v>
      </c>
      <c r="L743" s="944">
        <f>IF(A743='Data Entry - SOF'!B$2,'Report-SOF2021'!D$99,0)</f>
        <v>0</v>
      </c>
      <c r="M743" s="723">
        <f>IF(A743='Data Entry - SOF'!B$2,'Data Entry - SOF'!M$102,0)</f>
        <v>0</v>
      </c>
      <c r="N743" s="717">
        <f t="shared" si="70"/>
        <v>4380862</v>
      </c>
      <c r="O743" s="944">
        <f>IF(A743='Data Entry - SOF'!B$2,'Report-SOF2122'!D$91,0)</f>
        <v>0</v>
      </c>
      <c r="P743" s="723">
        <f>IF(A743='Data Entry - SOF'!B$2,'Data Entry - SOF'!O$102,0)</f>
        <v>0</v>
      </c>
      <c r="Q743" s="601">
        <f t="shared" si="67"/>
        <v>4380862</v>
      </c>
      <c r="R743" s="944">
        <f>IF(A743='Data Entry - SOF'!B$2,'Report-SOF2223'!D$91,0)</f>
        <v>0</v>
      </c>
      <c r="S743" s="723">
        <f>IF(A743='Data Entry - SOF'!B$2,'Data Entry - SOF'!Q$102,0)</f>
        <v>0</v>
      </c>
      <c r="T743" s="601">
        <f t="shared" si="71"/>
        <v>4380862</v>
      </c>
      <c r="U743" s="944">
        <f>IF(A743='Data Entry - SOF'!B$2,'Report-SOF2324'!D$91,0)</f>
        <v>0</v>
      </c>
      <c r="V743" s="723">
        <f>IF(A743='Data Entry - SOF'!B$2,'Data Entry - SOF'!S$102,0)</f>
        <v>0</v>
      </c>
    </row>
    <row r="744" spans="1:22" ht="15.75">
      <c r="A744" s="382" t="s">
        <v>2138</v>
      </c>
      <c r="B744" s="91">
        <v>26545936</v>
      </c>
      <c r="C744" s="944">
        <f>IF(A744='Data Entry - SOF'!B$2,'Report-SOF1718'!D$102,0)</f>
        <v>0</v>
      </c>
      <c r="D744" s="1037">
        <f>IF(A744='Data Entry - SOF'!B$2,'Data Entry - SOF'!#REF!,0)</f>
        <v>0</v>
      </c>
      <c r="E744" s="91">
        <f t="shared" si="66"/>
        <v>26545936</v>
      </c>
      <c r="F744" s="944">
        <f>IF(A744='Data Entry - SOF'!B$2,'Report-SOF1819'!D$102,0)</f>
        <v>0</v>
      </c>
      <c r="G744" s="1037">
        <f>IF(A744='Data Entry - SOF'!B$2,'Data Entry - SOF'!E$102,0)</f>
        <v>0</v>
      </c>
      <c r="H744" s="1038">
        <f t="shared" si="68"/>
        <v>26545936</v>
      </c>
      <c r="I744" s="944">
        <f>IF(A744='Data Entry - SOF'!B$2,'Report-SOF1920-HB3'!D$102,0)</f>
        <v>0</v>
      </c>
      <c r="J744" s="1037">
        <f>IF(A744='Data Entry - SOF'!B$2,'Data Entry - SOF'!G$102,0)</f>
        <v>0</v>
      </c>
      <c r="K744" s="717">
        <f t="shared" si="69"/>
        <v>26545936</v>
      </c>
      <c r="L744" s="944">
        <f>IF(A744='Data Entry - SOF'!B$2,'Report-SOF2021'!D$99,0)</f>
        <v>0</v>
      </c>
      <c r="M744" s="723">
        <f>IF(A744='Data Entry - SOF'!B$2,'Data Entry - SOF'!M$102,0)</f>
        <v>0</v>
      </c>
      <c r="N744" s="717">
        <f t="shared" si="70"/>
        <v>26545936</v>
      </c>
      <c r="O744" s="944">
        <f>IF(A744='Data Entry - SOF'!B$2,'Report-SOF2122'!D$91,0)</f>
        <v>0</v>
      </c>
      <c r="P744" s="723">
        <f>IF(A744='Data Entry - SOF'!B$2,'Data Entry - SOF'!O$102,0)</f>
        <v>0</v>
      </c>
      <c r="Q744" s="601">
        <f t="shared" si="67"/>
        <v>26545936</v>
      </c>
      <c r="R744" s="944">
        <f>IF(A744='Data Entry - SOF'!B$2,'Report-SOF2223'!D$91,0)</f>
        <v>0</v>
      </c>
      <c r="S744" s="723">
        <f>IF(A744='Data Entry - SOF'!B$2,'Data Entry - SOF'!Q$102,0)</f>
        <v>0</v>
      </c>
      <c r="T744" s="601">
        <f t="shared" si="71"/>
        <v>26545936</v>
      </c>
      <c r="U744" s="944">
        <f>IF(A744='Data Entry - SOF'!B$2,'Report-SOF2324'!D$91,0)</f>
        <v>0</v>
      </c>
      <c r="V744" s="723">
        <f>IF(A744='Data Entry - SOF'!B$2,'Data Entry - SOF'!S$102,0)</f>
        <v>0</v>
      </c>
    </row>
    <row r="745" spans="1:22" ht="15.75">
      <c r="A745" s="382" t="s">
        <v>2139</v>
      </c>
      <c r="B745" s="91">
        <v>7455121</v>
      </c>
      <c r="C745" s="944">
        <f>IF(A745='Data Entry - SOF'!B$2,'Report-SOF1718'!D$102,0)</f>
        <v>0</v>
      </c>
      <c r="D745" s="1037">
        <f>IF(A745='Data Entry - SOF'!B$2,'Data Entry - SOF'!#REF!,0)</f>
        <v>0</v>
      </c>
      <c r="E745" s="91">
        <f t="shared" si="66"/>
        <v>7455121</v>
      </c>
      <c r="F745" s="944">
        <f>IF(A745='Data Entry - SOF'!B$2,'Report-SOF1819'!D$102,0)</f>
        <v>0</v>
      </c>
      <c r="G745" s="1037">
        <f>IF(A745='Data Entry - SOF'!B$2,'Data Entry - SOF'!E$102,0)</f>
        <v>0</v>
      </c>
      <c r="H745" s="1038">
        <f t="shared" si="68"/>
        <v>7455121</v>
      </c>
      <c r="I745" s="944">
        <f>IF(A745='Data Entry - SOF'!B$2,'Report-SOF1920-HB3'!D$102,0)</f>
        <v>0</v>
      </c>
      <c r="J745" s="1037">
        <f>IF(A745='Data Entry - SOF'!B$2,'Data Entry - SOF'!G$102,0)</f>
        <v>0</v>
      </c>
      <c r="K745" s="717">
        <f t="shared" si="69"/>
        <v>7455121</v>
      </c>
      <c r="L745" s="944">
        <f>IF(A745='Data Entry - SOF'!B$2,'Report-SOF2021'!D$99,0)</f>
        <v>0</v>
      </c>
      <c r="M745" s="723">
        <f>IF(A745='Data Entry - SOF'!B$2,'Data Entry - SOF'!M$102,0)</f>
        <v>0</v>
      </c>
      <c r="N745" s="717">
        <f t="shared" si="70"/>
        <v>7455121</v>
      </c>
      <c r="O745" s="944">
        <f>IF(A745='Data Entry - SOF'!B$2,'Report-SOF2122'!D$91,0)</f>
        <v>0</v>
      </c>
      <c r="P745" s="723">
        <f>IF(A745='Data Entry - SOF'!B$2,'Data Entry - SOF'!O$102,0)</f>
        <v>0</v>
      </c>
      <c r="Q745" s="601">
        <f t="shared" si="67"/>
        <v>7455121</v>
      </c>
      <c r="R745" s="944">
        <f>IF(A745='Data Entry - SOF'!B$2,'Report-SOF2223'!D$91,0)</f>
        <v>0</v>
      </c>
      <c r="S745" s="723">
        <f>IF(A745='Data Entry - SOF'!B$2,'Data Entry - SOF'!Q$102,0)</f>
        <v>0</v>
      </c>
      <c r="T745" s="601">
        <f t="shared" si="71"/>
        <v>7455121</v>
      </c>
      <c r="U745" s="944">
        <f>IF(A745='Data Entry - SOF'!B$2,'Report-SOF2324'!D$91,0)</f>
        <v>0</v>
      </c>
      <c r="V745" s="723">
        <f>IF(A745='Data Entry - SOF'!B$2,'Data Entry - SOF'!S$102,0)</f>
        <v>0</v>
      </c>
    </row>
    <row r="746" spans="1:22" ht="15.75">
      <c r="A746" s="382" t="s">
        <v>209</v>
      </c>
      <c r="B746" s="91">
        <v>16725036.7250895</v>
      </c>
      <c r="C746" s="944">
        <f>IF(A746='Data Entry - SOF'!B$2,'Report-SOF1718'!D$102,0)</f>
        <v>0</v>
      </c>
      <c r="D746" s="1037">
        <f>IF(A746='Data Entry - SOF'!B$2,'Data Entry - SOF'!#REF!,0)</f>
        <v>0</v>
      </c>
      <c r="E746" s="91">
        <f t="shared" si="66"/>
        <v>16725036.7250895</v>
      </c>
      <c r="F746" s="944">
        <f>IF(A746='Data Entry - SOF'!B$2,'Report-SOF1819'!D$102,0)</f>
        <v>0</v>
      </c>
      <c r="G746" s="1037">
        <f>IF(A746='Data Entry - SOF'!B$2,'Data Entry - SOF'!E$102,0)</f>
        <v>0</v>
      </c>
      <c r="H746" s="1038">
        <f t="shared" si="68"/>
        <v>16725036.7250895</v>
      </c>
      <c r="I746" s="944">
        <f>IF(A746='Data Entry - SOF'!B$2,'Report-SOF1920-HB3'!D$102,0)</f>
        <v>0</v>
      </c>
      <c r="J746" s="1037">
        <f>IF(A746='Data Entry - SOF'!B$2,'Data Entry - SOF'!G$102,0)</f>
        <v>0</v>
      </c>
      <c r="K746" s="717">
        <f t="shared" si="69"/>
        <v>16725036.7250895</v>
      </c>
      <c r="L746" s="944">
        <f>IF(A746='Data Entry - SOF'!B$2,'Report-SOF2021'!D$99,0)</f>
        <v>0</v>
      </c>
      <c r="M746" s="723">
        <f>IF(A746='Data Entry - SOF'!B$2,'Data Entry - SOF'!M$102,0)</f>
        <v>0</v>
      </c>
      <c r="N746" s="717">
        <f t="shared" si="70"/>
        <v>16725036.7250895</v>
      </c>
      <c r="O746" s="944">
        <f>IF(A746='Data Entry - SOF'!B$2,'Report-SOF2122'!D$91,0)</f>
        <v>0</v>
      </c>
      <c r="P746" s="723">
        <f>IF(A746='Data Entry - SOF'!B$2,'Data Entry - SOF'!O$102,0)</f>
        <v>0</v>
      </c>
      <c r="Q746" s="601">
        <f t="shared" si="67"/>
        <v>16725036.7250895</v>
      </c>
      <c r="R746" s="944">
        <f>IF(A746='Data Entry - SOF'!B$2,'Report-SOF2223'!D$91,0)</f>
        <v>0</v>
      </c>
      <c r="S746" s="723">
        <f>IF(A746='Data Entry - SOF'!B$2,'Data Entry - SOF'!Q$102,0)</f>
        <v>0</v>
      </c>
      <c r="T746" s="601">
        <f t="shared" si="71"/>
        <v>16725036.7250895</v>
      </c>
      <c r="U746" s="944">
        <f>IF(A746='Data Entry - SOF'!B$2,'Report-SOF2324'!D$91,0)</f>
        <v>0</v>
      </c>
      <c r="V746" s="723">
        <f>IF(A746='Data Entry - SOF'!B$2,'Data Entry - SOF'!S$102,0)</f>
        <v>0</v>
      </c>
    </row>
    <row r="747" spans="1:22" ht="15.75">
      <c r="A747" s="382" t="s">
        <v>971</v>
      </c>
      <c r="B747" s="91">
        <v>7037426</v>
      </c>
      <c r="C747" s="944">
        <f>IF(A747='Data Entry - SOF'!B$2,'Report-SOF1718'!D$102,0)</f>
        <v>0</v>
      </c>
      <c r="D747" s="1037">
        <f>IF(A747='Data Entry - SOF'!B$2,'Data Entry - SOF'!#REF!,0)</f>
        <v>0</v>
      </c>
      <c r="E747" s="91">
        <f t="shared" si="66"/>
        <v>7037426</v>
      </c>
      <c r="F747" s="944">
        <f>IF(A747='Data Entry - SOF'!B$2,'Report-SOF1819'!D$102,0)</f>
        <v>0</v>
      </c>
      <c r="G747" s="1037">
        <f>IF(A747='Data Entry - SOF'!B$2,'Data Entry - SOF'!E$102,0)</f>
        <v>0</v>
      </c>
      <c r="H747" s="1038">
        <f t="shared" si="68"/>
        <v>7037426</v>
      </c>
      <c r="I747" s="944">
        <f>IF(A747='Data Entry - SOF'!B$2,'Report-SOF1920-HB3'!D$102,0)</f>
        <v>0</v>
      </c>
      <c r="J747" s="1037">
        <f>IF(A747='Data Entry - SOF'!B$2,'Data Entry - SOF'!G$102,0)</f>
        <v>0</v>
      </c>
      <c r="K747" s="717">
        <f t="shared" si="69"/>
        <v>7037426</v>
      </c>
      <c r="L747" s="944">
        <f>IF(A747='Data Entry - SOF'!B$2,'Report-SOF2021'!D$99,0)</f>
        <v>0</v>
      </c>
      <c r="M747" s="723">
        <f>IF(A747='Data Entry - SOF'!B$2,'Data Entry - SOF'!M$102,0)</f>
        <v>0</v>
      </c>
      <c r="N747" s="717">
        <f t="shared" si="70"/>
        <v>7037426</v>
      </c>
      <c r="O747" s="944">
        <f>IF(A747='Data Entry - SOF'!B$2,'Report-SOF2122'!D$91,0)</f>
        <v>0</v>
      </c>
      <c r="P747" s="723">
        <f>IF(A747='Data Entry - SOF'!B$2,'Data Entry - SOF'!O$102,0)</f>
        <v>0</v>
      </c>
      <c r="Q747" s="601">
        <f t="shared" si="67"/>
        <v>7037426</v>
      </c>
      <c r="R747" s="944">
        <f>IF(A747='Data Entry - SOF'!B$2,'Report-SOF2223'!D$91,0)</f>
        <v>0</v>
      </c>
      <c r="S747" s="723">
        <f>IF(A747='Data Entry - SOF'!B$2,'Data Entry - SOF'!Q$102,0)</f>
        <v>0</v>
      </c>
      <c r="T747" s="601">
        <f t="shared" si="71"/>
        <v>7037426</v>
      </c>
      <c r="U747" s="944">
        <f>IF(A747='Data Entry - SOF'!B$2,'Report-SOF2324'!D$91,0)</f>
        <v>0</v>
      </c>
      <c r="V747" s="723">
        <f>IF(A747='Data Entry - SOF'!B$2,'Data Entry - SOF'!S$102,0)</f>
        <v>0</v>
      </c>
    </row>
    <row r="748" spans="1:22" ht="15.75">
      <c r="A748" s="382" t="s">
        <v>972</v>
      </c>
      <c r="B748" s="91">
        <v>2795938</v>
      </c>
      <c r="C748" s="944">
        <f>IF(A748='Data Entry - SOF'!B$2,'Report-SOF1718'!D$102,0)</f>
        <v>0</v>
      </c>
      <c r="D748" s="1037">
        <f>IF(A748='Data Entry - SOF'!B$2,'Data Entry - SOF'!#REF!,0)</f>
        <v>0</v>
      </c>
      <c r="E748" s="91">
        <f t="shared" si="66"/>
        <v>2795938</v>
      </c>
      <c r="F748" s="944">
        <f>IF(A748='Data Entry - SOF'!B$2,'Report-SOF1819'!D$102,0)</f>
        <v>0</v>
      </c>
      <c r="G748" s="1037">
        <f>IF(A748='Data Entry - SOF'!B$2,'Data Entry - SOF'!E$102,0)</f>
        <v>0</v>
      </c>
      <c r="H748" s="1038">
        <f t="shared" si="68"/>
        <v>2795938</v>
      </c>
      <c r="I748" s="944">
        <f>IF(A748='Data Entry - SOF'!B$2,'Report-SOF1920-HB3'!D$102,0)</f>
        <v>0</v>
      </c>
      <c r="J748" s="1037">
        <f>IF(A748='Data Entry - SOF'!B$2,'Data Entry - SOF'!G$102,0)</f>
        <v>0</v>
      </c>
      <c r="K748" s="717">
        <f t="shared" si="69"/>
        <v>2795938</v>
      </c>
      <c r="L748" s="944">
        <f>IF(A748='Data Entry - SOF'!B$2,'Report-SOF2021'!D$99,0)</f>
        <v>0</v>
      </c>
      <c r="M748" s="723">
        <f>IF(A748='Data Entry - SOF'!B$2,'Data Entry - SOF'!M$102,0)</f>
        <v>0</v>
      </c>
      <c r="N748" s="717">
        <f t="shared" si="70"/>
        <v>2795938</v>
      </c>
      <c r="O748" s="944">
        <f>IF(A748='Data Entry - SOF'!B$2,'Report-SOF2122'!D$91,0)</f>
        <v>0</v>
      </c>
      <c r="P748" s="723">
        <f>IF(A748='Data Entry - SOF'!B$2,'Data Entry - SOF'!O$102,0)</f>
        <v>0</v>
      </c>
      <c r="Q748" s="601">
        <f t="shared" si="67"/>
        <v>2795938</v>
      </c>
      <c r="R748" s="944">
        <f>IF(A748='Data Entry - SOF'!B$2,'Report-SOF2223'!D$91,0)</f>
        <v>0</v>
      </c>
      <c r="S748" s="723">
        <f>IF(A748='Data Entry - SOF'!B$2,'Data Entry - SOF'!Q$102,0)</f>
        <v>0</v>
      </c>
      <c r="T748" s="601">
        <f t="shared" si="71"/>
        <v>2795938</v>
      </c>
      <c r="U748" s="944">
        <f>IF(A748='Data Entry - SOF'!B$2,'Report-SOF2324'!D$91,0)</f>
        <v>0</v>
      </c>
      <c r="V748" s="723">
        <f>IF(A748='Data Entry - SOF'!B$2,'Data Entry - SOF'!S$102,0)</f>
        <v>0</v>
      </c>
    </row>
    <row r="749" spans="1:22" ht="15.75">
      <c r="A749" s="382" t="s">
        <v>973</v>
      </c>
      <c r="B749" s="91">
        <v>4680350.7468330096</v>
      </c>
      <c r="C749" s="944">
        <f>IF(A749='Data Entry - SOF'!B$2,'Report-SOF1718'!D$102,0)</f>
        <v>0</v>
      </c>
      <c r="D749" s="1037">
        <f>IF(A749='Data Entry - SOF'!B$2,'Data Entry - SOF'!#REF!,0)</f>
        <v>0</v>
      </c>
      <c r="E749" s="91">
        <f t="shared" si="66"/>
        <v>4680350.7468330096</v>
      </c>
      <c r="F749" s="944">
        <f>IF(A749='Data Entry - SOF'!B$2,'Report-SOF1819'!D$102,0)</f>
        <v>0</v>
      </c>
      <c r="G749" s="1037">
        <f>IF(A749='Data Entry - SOF'!B$2,'Data Entry - SOF'!E$102,0)</f>
        <v>0</v>
      </c>
      <c r="H749" s="1038">
        <f t="shared" si="68"/>
        <v>4680350.7468330096</v>
      </c>
      <c r="I749" s="944">
        <f>IF(A749='Data Entry - SOF'!B$2,'Report-SOF1920-HB3'!D$102,0)</f>
        <v>0</v>
      </c>
      <c r="J749" s="1037">
        <f>IF(A749='Data Entry - SOF'!B$2,'Data Entry - SOF'!G$102,0)</f>
        <v>0</v>
      </c>
      <c r="K749" s="717">
        <f t="shared" si="69"/>
        <v>4680350.7468330096</v>
      </c>
      <c r="L749" s="944">
        <f>IF(A749='Data Entry - SOF'!B$2,'Report-SOF2021'!D$99,0)</f>
        <v>0</v>
      </c>
      <c r="M749" s="723">
        <f>IF(A749='Data Entry - SOF'!B$2,'Data Entry - SOF'!M$102,0)</f>
        <v>0</v>
      </c>
      <c r="N749" s="717">
        <f t="shared" si="70"/>
        <v>4680350.7468330096</v>
      </c>
      <c r="O749" s="944">
        <f>IF(A749='Data Entry - SOF'!B$2,'Report-SOF2122'!D$91,0)</f>
        <v>0</v>
      </c>
      <c r="P749" s="723">
        <f>IF(A749='Data Entry - SOF'!B$2,'Data Entry - SOF'!O$102,0)</f>
        <v>0</v>
      </c>
      <c r="Q749" s="601">
        <f t="shared" si="67"/>
        <v>4680350.7468330096</v>
      </c>
      <c r="R749" s="944">
        <f>IF(A749='Data Entry - SOF'!B$2,'Report-SOF2223'!D$91,0)</f>
        <v>0</v>
      </c>
      <c r="S749" s="723">
        <f>IF(A749='Data Entry - SOF'!B$2,'Data Entry - SOF'!Q$102,0)</f>
        <v>0</v>
      </c>
      <c r="T749" s="601">
        <f t="shared" si="71"/>
        <v>4680350.7468330096</v>
      </c>
      <c r="U749" s="944">
        <f>IF(A749='Data Entry - SOF'!B$2,'Report-SOF2324'!D$91,0)</f>
        <v>0</v>
      </c>
      <c r="V749" s="723">
        <f>IF(A749='Data Entry - SOF'!B$2,'Data Entry - SOF'!S$102,0)</f>
        <v>0</v>
      </c>
    </row>
    <row r="750" spans="1:22" ht="15.75">
      <c r="A750" s="382" t="s">
        <v>1951</v>
      </c>
      <c r="B750" s="91">
        <v>9296029</v>
      </c>
      <c r="C750" s="944">
        <f>IF(A750='Data Entry - SOF'!B$2,'Report-SOF1718'!D$102,0)</f>
        <v>0</v>
      </c>
      <c r="D750" s="1037">
        <f>IF(A750='Data Entry - SOF'!B$2,'Data Entry - SOF'!#REF!,0)</f>
        <v>0</v>
      </c>
      <c r="E750" s="91">
        <f t="shared" si="66"/>
        <v>9296029</v>
      </c>
      <c r="F750" s="944">
        <f>IF(A750='Data Entry - SOF'!B$2,'Report-SOF1819'!D$102,0)</f>
        <v>0</v>
      </c>
      <c r="G750" s="1037">
        <f>IF(A750='Data Entry - SOF'!B$2,'Data Entry - SOF'!E$102,0)</f>
        <v>0</v>
      </c>
      <c r="H750" s="1038">
        <f t="shared" si="68"/>
        <v>9296029</v>
      </c>
      <c r="I750" s="944">
        <f>IF(A750='Data Entry - SOF'!B$2,'Report-SOF1920-HB3'!D$102,0)</f>
        <v>0</v>
      </c>
      <c r="J750" s="1037">
        <f>IF(A750='Data Entry - SOF'!B$2,'Data Entry - SOF'!G$102,0)</f>
        <v>0</v>
      </c>
      <c r="K750" s="717">
        <f t="shared" si="69"/>
        <v>9296029</v>
      </c>
      <c r="L750" s="944">
        <f>IF(A750='Data Entry - SOF'!B$2,'Report-SOF2021'!D$99,0)</f>
        <v>0</v>
      </c>
      <c r="M750" s="723">
        <f>IF(A750='Data Entry - SOF'!B$2,'Data Entry - SOF'!M$102,0)</f>
        <v>0</v>
      </c>
      <c r="N750" s="717">
        <f t="shared" si="70"/>
        <v>9296029</v>
      </c>
      <c r="O750" s="944">
        <f>IF(A750='Data Entry - SOF'!B$2,'Report-SOF2122'!D$91,0)</f>
        <v>0</v>
      </c>
      <c r="P750" s="723">
        <f>IF(A750='Data Entry - SOF'!B$2,'Data Entry - SOF'!O$102,0)</f>
        <v>0</v>
      </c>
      <c r="Q750" s="601">
        <f t="shared" si="67"/>
        <v>9296029</v>
      </c>
      <c r="R750" s="944">
        <f>IF(A750='Data Entry - SOF'!B$2,'Report-SOF2223'!D$91,0)</f>
        <v>0</v>
      </c>
      <c r="S750" s="723">
        <f>IF(A750='Data Entry - SOF'!B$2,'Data Entry - SOF'!Q$102,0)</f>
        <v>0</v>
      </c>
      <c r="T750" s="601">
        <f t="shared" si="71"/>
        <v>9296029</v>
      </c>
      <c r="U750" s="944">
        <f>IF(A750='Data Entry - SOF'!B$2,'Report-SOF2324'!D$91,0)</f>
        <v>0</v>
      </c>
      <c r="V750" s="723">
        <f>IF(A750='Data Entry - SOF'!B$2,'Data Entry - SOF'!S$102,0)</f>
        <v>0</v>
      </c>
    </row>
    <row r="751" spans="1:22" ht="15.75">
      <c r="A751" s="382" t="s">
        <v>974</v>
      </c>
      <c r="B751" s="91">
        <v>1670218</v>
      </c>
      <c r="C751" s="944">
        <f>IF(A751='Data Entry - SOF'!B$2,'Report-SOF1718'!D$102,0)</f>
        <v>0</v>
      </c>
      <c r="D751" s="1037">
        <f>IF(A751='Data Entry - SOF'!B$2,'Data Entry - SOF'!#REF!,0)</f>
        <v>0</v>
      </c>
      <c r="E751" s="91">
        <f t="shared" si="66"/>
        <v>1670218</v>
      </c>
      <c r="F751" s="944">
        <f>IF(A751='Data Entry - SOF'!B$2,'Report-SOF1819'!D$102,0)</f>
        <v>0</v>
      </c>
      <c r="G751" s="1037">
        <f>IF(A751='Data Entry - SOF'!B$2,'Data Entry - SOF'!E$102,0)</f>
        <v>0</v>
      </c>
      <c r="H751" s="1038">
        <f t="shared" si="68"/>
        <v>1670218</v>
      </c>
      <c r="I751" s="944">
        <f>IF(A751='Data Entry - SOF'!B$2,'Report-SOF1920-HB3'!D$102,0)</f>
        <v>0</v>
      </c>
      <c r="J751" s="1037">
        <f>IF(A751='Data Entry - SOF'!B$2,'Data Entry - SOF'!G$102,0)</f>
        <v>0</v>
      </c>
      <c r="K751" s="717">
        <f t="shared" si="69"/>
        <v>1670218</v>
      </c>
      <c r="L751" s="944">
        <f>IF(A751='Data Entry - SOF'!B$2,'Report-SOF2021'!D$99,0)</f>
        <v>0</v>
      </c>
      <c r="M751" s="723">
        <f>IF(A751='Data Entry - SOF'!B$2,'Data Entry - SOF'!M$102,0)</f>
        <v>0</v>
      </c>
      <c r="N751" s="717">
        <f t="shared" si="70"/>
        <v>1670218</v>
      </c>
      <c r="O751" s="944">
        <f>IF(A751='Data Entry - SOF'!B$2,'Report-SOF2122'!D$91,0)</f>
        <v>0</v>
      </c>
      <c r="P751" s="723">
        <f>IF(A751='Data Entry - SOF'!B$2,'Data Entry - SOF'!O$102,0)</f>
        <v>0</v>
      </c>
      <c r="Q751" s="601">
        <f t="shared" si="67"/>
        <v>1670218</v>
      </c>
      <c r="R751" s="944">
        <f>IF(A751='Data Entry - SOF'!B$2,'Report-SOF2223'!D$91,0)</f>
        <v>0</v>
      </c>
      <c r="S751" s="723">
        <f>IF(A751='Data Entry - SOF'!B$2,'Data Entry - SOF'!Q$102,0)</f>
        <v>0</v>
      </c>
      <c r="T751" s="601">
        <f t="shared" si="71"/>
        <v>1670218</v>
      </c>
      <c r="U751" s="944">
        <f>IF(A751='Data Entry - SOF'!B$2,'Report-SOF2324'!D$91,0)</f>
        <v>0</v>
      </c>
      <c r="V751" s="723">
        <f>IF(A751='Data Entry - SOF'!B$2,'Data Entry - SOF'!S$102,0)</f>
        <v>0</v>
      </c>
    </row>
    <row r="752" spans="1:22" ht="15.75">
      <c r="A752" s="382" t="s">
        <v>975</v>
      </c>
      <c r="B752" s="91">
        <v>25406512</v>
      </c>
      <c r="C752" s="944">
        <f>IF(A752='Data Entry - SOF'!B$2,'Report-SOF1718'!D$102,0)</f>
        <v>0</v>
      </c>
      <c r="D752" s="1037">
        <f>IF(A752='Data Entry - SOF'!B$2,'Data Entry - SOF'!#REF!,0)</f>
        <v>0</v>
      </c>
      <c r="E752" s="91">
        <f t="shared" si="66"/>
        <v>25406512</v>
      </c>
      <c r="F752" s="944">
        <f>IF(A752='Data Entry - SOF'!B$2,'Report-SOF1819'!D$102,0)</f>
        <v>0</v>
      </c>
      <c r="G752" s="1037">
        <f>IF(A752='Data Entry - SOF'!B$2,'Data Entry - SOF'!E$102,0)</f>
        <v>0</v>
      </c>
      <c r="H752" s="1038">
        <f t="shared" si="68"/>
        <v>25406512</v>
      </c>
      <c r="I752" s="944">
        <f>IF(A752='Data Entry - SOF'!B$2,'Report-SOF1920-HB3'!D$102,0)</f>
        <v>0</v>
      </c>
      <c r="J752" s="1037">
        <f>IF(A752='Data Entry - SOF'!B$2,'Data Entry - SOF'!G$102,0)</f>
        <v>0</v>
      </c>
      <c r="K752" s="717">
        <f t="shared" si="69"/>
        <v>25406512</v>
      </c>
      <c r="L752" s="944">
        <f>IF(A752='Data Entry - SOF'!B$2,'Report-SOF2021'!D$99,0)</f>
        <v>0</v>
      </c>
      <c r="M752" s="723">
        <f>IF(A752='Data Entry - SOF'!B$2,'Data Entry - SOF'!M$102,0)</f>
        <v>0</v>
      </c>
      <c r="N752" s="717">
        <f t="shared" si="70"/>
        <v>25406512</v>
      </c>
      <c r="O752" s="944">
        <f>IF(A752='Data Entry - SOF'!B$2,'Report-SOF2122'!D$91,0)</f>
        <v>0</v>
      </c>
      <c r="P752" s="723">
        <f>IF(A752='Data Entry - SOF'!B$2,'Data Entry - SOF'!O$102,0)</f>
        <v>0</v>
      </c>
      <c r="Q752" s="601">
        <f t="shared" si="67"/>
        <v>25406512</v>
      </c>
      <c r="R752" s="944">
        <f>IF(A752='Data Entry - SOF'!B$2,'Report-SOF2223'!D$91,0)</f>
        <v>0</v>
      </c>
      <c r="S752" s="723">
        <f>IF(A752='Data Entry - SOF'!B$2,'Data Entry - SOF'!Q$102,0)</f>
        <v>0</v>
      </c>
      <c r="T752" s="601">
        <f t="shared" si="71"/>
        <v>25406512</v>
      </c>
      <c r="U752" s="944">
        <f>IF(A752='Data Entry - SOF'!B$2,'Report-SOF2324'!D$91,0)</f>
        <v>0</v>
      </c>
      <c r="V752" s="723">
        <f>IF(A752='Data Entry - SOF'!B$2,'Data Entry - SOF'!S$102,0)</f>
        <v>0</v>
      </c>
    </row>
    <row r="753" spans="1:22" ht="15.75">
      <c r="A753" s="382" t="s">
        <v>1466</v>
      </c>
      <c r="B753" s="91">
        <v>4615308</v>
      </c>
      <c r="C753" s="944">
        <f>IF(A753='Data Entry - SOF'!B$2,'Report-SOF1718'!D$102,0)</f>
        <v>0</v>
      </c>
      <c r="D753" s="1037">
        <f>IF(A753='Data Entry - SOF'!B$2,'Data Entry - SOF'!#REF!,0)</f>
        <v>0</v>
      </c>
      <c r="E753" s="91">
        <f t="shared" si="66"/>
        <v>4615308</v>
      </c>
      <c r="F753" s="944">
        <f>IF(A753='Data Entry - SOF'!B$2,'Report-SOF1819'!D$102,0)</f>
        <v>0</v>
      </c>
      <c r="G753" s="1037">
        <f>IF(A753='Data Entry - SOF'!B$2,'Data Entry - SOF'!E$102,0)</f>
        <v>0</v>
      </c>
      <c r="H753" s="1038">
        <f t="shared" si="68"/>
        <v>4615308</v>
      </c>
      <c r="I753" s="944">
        <f>IF(A753='Data Entry - SOF'!B$2,'Report-SOF1920-HB3'!D$102,0)</f>
        <v>0</v>
      </c>
      <c r="J753" s="1037">
        <f>IF(A753='Data Entry - SOF'!B$2,'Data Entry - SOF'!G$102,0)</f>
        <v>0</v>
      </c>
      <c r="K753" s="717">
        <f t="shared" si="69"/>
        <v>4615308</v>
      </c>
      <c r="L753" s="944">
        <f>IF(A753='Data Entry - SOF'!B$2,'Report-SOF2021'!D$99,0)</f>
        <v>0</v>
      </c>
      <c r="M753" s="723">
        <f>IF(A753='Data Entry - SOF'!B$2,'Data Entry - SOF'!M$102,0)</f>
        <v>0</v>
      </c>
      <c r="N753" s="717">
        <f t="shared" si="70"/>
        <v>4615308</v>
      </c>
      <c r="O753" s="944">
        <f>IF(A753='Data Entry - SOF'!B$2,'Report-SOF2122'!D$91,0)</f>
        <v>0</v>
      </c>
      <c r="P753" s="723">
        <f>IF(A753='Data Entry - SOF'!B$2,'Data Entry - SOF'!O$102,0)</f>
        <v>0</v>
      </c>
      <c r="Q753" s="601">
        <f t="shared" si="67"/>
        <v>4615308</v>
      </c>
      <c r="R753" s="944">
        <f>IF(A753='Data Entry - SOF'!B$2,'Report-SOF2223'!D$91,0)</f>
        <v>0</v>
      </c>
      <c r="S753" s="723">
        <f>IF(A753='Data Entry - SOF'!B$2,'Data Entry - SOF'!Q$102,0)</f>
        <v>0</v>
      </c>
      <c r="T753" s="601">
        <f t="shared" si="71"/>
        <v>4615308</v>
      </c>
      <c r="U753" s="944">
        <f>IF(A753='Data Entry - SOF'!B$2,'Report-SOF2324'!D$91,0)</f>
        <v>0</v>
      </c>
      <c r="V753" s="723">
        <f>IF(A753='Data Entry - SOF'!B$2,'Data Entry - SOF'!S$102,0)</f>
        <v>0</v>
      </c>
    </row>
    <row r="754" spans="1:22" ht="15.75">
      <c r="A754" s="382" t="s">
        <v>1092</v>
      </c>
      <c r="B754" s="91">
        <v>7963456</v>
      </c>
      <c r="C754" s="944">
        <f>IF(A754='Data Entry - SOF'!B$2,'Report-SOF1718'!D$102,0)</f>
        <v>0</v>
      </c>
      <c r="D754" s="1037">
        <f>IF(A754='Data Entry - SOF'!B$2,'Data Entry - SOF'!#REF!,0)</f>
        <v>0</v>
      </c>
      <c r="E754" s="91">
        <f t="shared" si="66"/>
        <v>7963456</v>
      </c>
      <c r="F754" s="944">
        <f>IF(A754='Data Entry - SOF'!B$2,'Report-SOF1819'!D$102,0)</f>
        <v>0</v>
      </c>
      <c r="G754" s="1037">
        <f>IF(A754='Data Entry - SOF'!B$2,'Data Entry - SOF'!E$102,0)</f>
        <v>0</v>
      </c>
      <c r="H754" s="1038">
        <f t="shared" si="68"/>
        <v>7963456</v>
      </c>
      <c r="I754" s="944">
        <f>IF(A754='Data Entry - SOF'!B$2,'Report-SOF1920-HB3'!D$102,0)</f>
        <v>0</v>
      </c>
      <c r="J754" s="1037">
        <f>IF(A754='Data Entry - SOF'!B$2,'Data Entry - SOF'!G$102,0)</f>
        <v>0</v>
      </c>
      <c r="K754" s="717">
        <f t="shared" si="69"/>
        <v>7963456</v>
      </c>
      <c r="L754" s="944">
        <f>IF(A754='Data Entry - SOF'!B$2,'Report-SOF2021'!D$99,0)</f>
        <v>0</v>
      </c>
      <c r="M754" s="723">
        <f>IF(A754='Data Entry - SOF'!B$2,'Data Entry - SOF'!M$102,0)</f>
        <v>0</v>
      </c>
      <c r="N754" s="717">
        <f t="shared" si="70"/>
        <v>7963456</v>
      </c>
      <c r="O754" s="944">
        <f>IF(A754='Data Entry - SOF'!B$2,'Report-SOF2122'!D$91,0)</f>
        <v>0</v>
      </c>
      <c r="P754" s="723">
        <f>IF(A754='Data Entry - SOF'!B$2,'Data Entry - SOF'!O$102,0)</f>
        <v>0</v>
      </c>
      <c r="Q754" s="601">
        <f t="shared" si="67"/>
        <v>7963456</v>
      </c>
      <c r="R754" s="944">
        <f>IF(A754='Data Entry - SOF'!B$2,'Report-SOF2223'!D$91,0)</f>
        <v>0</v>
      </c>
      <c r="S754" s="723">
        <f>IF(A754='Data Entry - SOF'!B$2,'Data Entry - SOF'!Q$102,0)</f>
        <v>0</v>
      </c>
      <c r="T754" s="601">
        <f t="shared" si="71"/>
        <v>7963456</v>
      </c>
      <c r="U754" s="944">
        <f>IF(A754='Data Entry - SOF'!B$2,'Report-SOF2324'!D$91,0)</f>
        <v>0</v>
      </c>
      <c r="V754" s="723">
        <f>IF(A754='Data Entry - SOF'!B$2,'Data Entry - SOF'!S$102,0)</f>
        <v>0</v>
      </c>
    </row>
    <row r="755" spans="1:22" ht="15.75">
      <c r="A755" s="382" t="s">
        <v>1093</v>
      </c>
      <c r="B755" s="91">
        <v>828258.08879255899</v>
      </c>
      <c r="C755" s="944">
        <f>IF(A755='Data Entry - SOF'!B$2,'Report-SOF1718'!D$102,0)</f>
        <v>0</v>
      </c>
      <c r="D755" s="1037">
        <f>IF(A755='Data Entry - SOF'!B$2,'Data Entry - SOF'!#REF!,0)</f>
        <v>0</v>
      </c>
      <c r="E755" s="91">
        <f t="shared" si="66"/>
        <v>828258.08879255899</v>
      </c>
      <c r="F755" s="944">
        <f>IF(A755='Data Entry - SOF'!B$2,'Report-SOF1819'!D$102,0)</f>
        <v>0</v>
      </c>
      <c r="G755" s="1037">
        <f>IF(A755='Data Entry - SOF'!B$2,'Data Entry - SOF'!E$102,0)</f>
        <v>0</v>
      </c>
      <c r="H755" s="1038">
        <f t="shared" si="68"/>
        <v>828258.08879255899</v>
      </c>
      <c r="I755" s="944">
        <f>IF(A755='Data Entry - SOF'!B$2,'Report-SOF1920-HB3'!D$102,0)</f>
        <v>0</v>
      </c>
      <c r="J755" s="1037">
        <f>IF(A755='Data Entry - SOF'!B$2,'Data Entry - SOF'!G$102,0)</f>
        <v>0</v>
      </c>
      <c r="K755" s="717">
        <f t="shared" si="69"/>
        <v>828258.08879255899</v>
      </c>
      <c r="L755" s="944">
        <f>IF(A755='Data Entry - SOF'!B$2,'Report-SOF2021'!D$99,0)</f>
        <v>0</v>
      </c>
      <c r="M755" s="723">
        <f>IF(A755='Data Entry - SOF'!B$2,'Data Entry - SOF'!M$102,0)</f>
        <v>0</v>
      </c>
      <c r="N755" s="717">
        <f t="shared" si="70"/>
        <v>828258.08879255899</v>
      </c>
      <c r="O755" s="944">
        <f>IF(A755='Data Entry - SOF'!B$2,'Report-SOF2122'!D$91,0)</f>
        <v>0</v>
      </c>
      <c r="P755" s="723">
        <f>IF(A755='Data Entry - SOF'!B$2,'Data Entry - SOF'!O$102,0)</f>
        <v>0</v>
      </c>
      <c r="Q755" s="601">
        <f t="shared" si="67"/>
        <v>828258.08879255899</v>
      </c>
      <c r="R755" s="944">
        <f>IF(A755='Data Entry - SOF'!B$2,'Report-SOF2223'!D$91,0)</f>
        <v>0</v>
      </c>
      <c r="S755" s="723">
        <f>IF(A755='Data Entry - SOF'!B$2,'Data Entry - SOF'!Q$102,0)</f>
        <v>0</v>
      </c>
      <c r="T755" s="601">
        <f t="shared" si="71"/>
        <v>828258.08879255899</v>
      </c>
      <c r="U755" s="944">
        <f>IF(A755='Data Entry - SOF'!B$2,'Report-SOF2324'!D$91,0)</f>
        <v>0</v>
      </c>
      <c r="V755" s="723">
        <f>IF(A755='Data Entry - SOF'!B$2,'Data Entry - SOF'!S$102,0)</f>
        <v>0</v>
      </c>
    </row>
    <row r="756" spans="1:22" ht="15.75">
      <c r="A756" s="382" t="s">
        <v>1094</v>
      </c>
      <c r="B756" s="91">
        <v>4712785</v>
      </c>
      <c r="C756" s="944">
        <f>IF(A756='Data Entry - SOF'!B$2,'Report-SOF1718'!D$102,0)</f>
        <v>0</v>
      </c>
      <c r="D756" s="1037">
        <f>IF(A756='Data Entry - SOF'!B$2,'Data Entry - SOF'!#REF!,0)</f>
        <v>0</v>
      </c>
      <c r="E756" s="91">
        <f t="shared" si="66"/>
        <v>4712785</v>
      </c>
      <c r="F756" s="944">
        <f>IF(A756='Data Entry - SOF'!B$2,'Report-SOF1819'!D$102,0)</f>
        <v>0</v>
      </c>
      <c r="G756" s="1037">
        <f>IF(A756='Data Entry - SOF'!B$2,'Data Entry - SOF'!E$102,0)</f>
        <v>0</v>
      </c>
      <c r="H756" s="1038">
        <f t="shared" si="68"/>
        <v>4712785</v>
      </c>
      <c r="I756" s="944">
        <f>IF(A756='Data Entry - SOF'!B$2,'Report-SOF1920-HB3'!D$102,0)</f>
        <v>0</v>
      </c>
      <c r="J756" s="1037">
        <f>IF(A756='Data Entry - SOF'!B$2,'Data Entry - SOF'!G$102,0)</f>
        <v>0</v>
      </c>
      <c r="K756" s="717">
        <f t="shared" si="69"/>
        <v>4712785</v>
      </c>
      <c r="L756" s="944">
        <f>IF(A756='Data Entry - SOF'!B$2,'Report-SOF2021'!D$99,0)</f>
        <v>0</v>
      </c>
      <c r="M756" s="723">
        <f>IF(A756='Data Entry - SOF'!B$2,'Data Entry - SOF'!M$102,0)</f>
        <v>0</v>
      </c>
      <c r="N756" s="717">
        <f t="shared" si="70"/>
        <v>4712785</v>
      </c>
      <c r="O756" s="944">
        <f>IF(A756='Data Entry - SOF'!B$2,'Report-SOF2122'!D$91,0)</f>
        <v>0</v>
      </c>
      <c r="P756" s="723">
        <f>IF(A756='Data Entry - SOF'!B$2,'Data Entry - SOF'!O$102,0)</f>
        <v>0</v>
      </c>
      <c r="Q756" s="601">
        <f t="shared" si="67"/>
        <v>4712785</v>
      </c>
      <c r="R756" s="944">
        <f>IF(A756='Data Entry - SOF'!B$2,'Report-SOF2223'!D$91,0)</f>
        <v>0</v>
      </c>
      <c r="S756" s="723">
        <f>IF(A756='Data Entry - SOF'!B$2,'Data Entry - SOF'!Q$102,0)</f>
        <v>0</v>
      </c>
      <c r="T756" s="601">
        <f t="shared" si="71"/>
        <v>4712785</v>
      </c>
      <c r="U756" s="944">
        <f>IF(A756='Data Entry - SOF'!B$2,'Report-SOF2324'!D$91,0)</f>
        <v>0</v>
      </c>
      <c r="V756" s="723">
        <f>IF(A756='Data Entry - SOF'!B$2,'Data Entry - SOF'!S$102,0)</f>
        <v>0</v>
      </c>
    </row>
    <row r="757" spans="1:22" ht="15.75">
      <c r="A757" s="382" t="s">
        <v>2537</v>
      </c>
      <c r="B757" s="91">
        <v>3646812</v>
      </c>
      <c r="C757" s="944">
        <f>IF(A757='Data Entry - SOF'!B$2,'Report-SOF1718'!D$102,0)</f>
        <v>0</v>
      </c>
      <c r="D757" s="1037">
        <f>IF(A757='Data Entry - SOF'!B$2,'Data Entry - SOF'!#REF!,0)</f>
        <v>0</v>
      </c>
      <c r="E757" s="91">
        <f t="shared" si="66"/>
        <v>3646812</v>
      </c>
      <c r="F757" s="944">
        <f>IF(A757='Data Entry - SOF'!B$2,'Report-SOF1819'!D$102,0)</f>
        <v>0</v>
      </c>
      <c r="G757" s="1037">
        <f>IF(A757='Data Entry - SOF'!B$2,'Data Entry - SOF'!E$102,0)</f>
        <v>0</v>
      </c>
      <c r="H757" s="1038">
        <f t="shared" si="68"/>
        <v>3646812</v>
      </c>
      <c r="I757" s="944">
        <f>IF(A757='Data Entry - SOF'!B$2,'Report-SOF1920-HB3'!D$102,0)</f>
        <v>0</v>
      </c>
      <c r="J757" s="1037">
        <f>IF(A757='Data Entry - SOF'!B$2,'Data Entry - SOF'!G$102,0)</f>
        <v>0</v>
      </c>
      <c r="K757" s="717">
        <f t="shared" si="69"/>
        <v>3646812</v>
      </c>
      <c r="L757" s="944">
        <f>IF(A757='Data Entry - SOF'!B$2,'Report-SOF2021'!D$99,0)</f>
        <v>0</v>
      </c>
      <c r="M757" s="723">
        <f>IF(A757='Data Entry - SOF'!B$2,'Data Entry - SOF'!M$102,0)</f>
        <v>0</v>
      </c>
      <c r="N757" s="717">
        <f t="shared" si="70"/>
        <v>3646812</v>
      </c>
      <c r="O757" s="944">
        <f>IF(A757='Data Entry - SOF'!B$2,'Report-SOF2122'!D$91,0)</f>
        <v>0</v>
      </c>
      <c r="P757" s="723">
        <f>IF(A757='Data Entry - SOF'!B$2,'Data Entry - SOF'!O$102,0)</f>
        <v>0</v>
      </c>
      <c r="Q757" s="601">
        <f t="shared" si="67"/>
        <v>3646812</v>
      </c>
      <c r="R757" s="944">
        <f>IF(A757='Data Entry - SOF'!B$2,'Report-SOF2223'!D$91,0)</f>
        <v>0</v>
      </c>
      <c r="S757" s="723">
        <f>IF(A757='Data Entry - SOF'!B$2,'Data Entry - SOF'!Q$102,0)</f>
        <v>0</v>
      </c>
      <c r="T757" s="601">
        <f t="shared" si="71"/>
        <v>3646812</v>
      </c>
      <c r="U757" s="944">
        <f>IF(A757='Data Entry - SOF'!B$2,'Report-SOF2324'!D$91,0)</f>
        <v>0</v>
      </c>
      <c r="V757" s="723">
        <f>IF(A757='Data Entry - SOF'!B$2,'Data Entry - SOF'!S$102,0)</f>
        <v>0</v>
      </c>
    </row>
    <row r="758" spans="1:22" ht="15.75">
      <c r="A758" s="382" t="s">
        <v>1353</v>
      </c>
      <c r="B758" s="91">
        <v>3011472</v>
      </c>
      <c r="C758" s="944">
        <f>IF(A758='Data Entry - SOF'!B$2,'Report-SOF1718'!D$102,0)</f>
        <v>0</v>
      </c>
      <c r="D758" s="1037">
        <f>IF(A758='Data Entry - SOF'!B$2,'Data Entry - SOF'!#REF!,0)</f>
        <v>0</v>
      </c>
      <c r="E758" s="91">
        <f t="shared" si="66"/>
        <v>3011472</v>
      </c>
      <c r="F758" s="944">
        <f>IF(A758='Data Entry - SOF'!B$2,'Report-SOF1819'!D$102,0)</f>
        <v>0</v>
      </c>
      <c r="G758" s="1037">
        <f>IF(A758='Data Entry - SOF'!B$2,'Data Entry - SOF'!E$102,0)</f>
        <v>0</v>
      </c>
      <c r="H758" s="1038">
        <f t="shared" si="68"/>
        <v>3011472</v>
      </c>
      <c r="I758" s="944">
        <f>IF(A758='Data Entry - SOF'!B$2,'Report-SOF1920-HB3'!D$102,0)</f>
        <v>0</v>
      </c>
      <c r="J758" s="1037">
        <f>IF(A758='Data Entry - SOF'!B$2,'Data Entry - SOF'!G$102,0)</f>
        <v>0</v>
      </c>
      <c r="K758" s="717">
        <f t="shared" si="69"/>
        <v>3011472</v>
      </c>
      <c r="L758" s="944">
        <f>IF(A758='Data Entry - SOF'!B$2,'Report-SOF2021'!D$99,0)</f>
        <v>0</v>
      </c>
      <c r="M758" s="723">
        <f>IF(A758='Data Entry - SOF'!B$2,'Data Entry - SOF'!M$102,0)</f>
        <v>0</v>
      </c>
      <c r="N758" s="717">
        <f t="shared" si="70"/>
        <v>3011472</v>
      </c>
      <c r="O758" s="944">
        <f>IF(A758='Data Entry - SOF'!B$2,'Report-SOF2122'!D$91,0)</f>
        <v>0</v>
      </c>
      <c r="P758" s="723">
        <f>IF(A758='Data Entry - SOF'!B$2,'Data Entry - SOF'!O$102,0)</f>
        <v>0</v>
      </c>
      <c r="Q758" s="601">
        <f t="shared" si="67"/>
        <v>3011472</v>
      </c>
      <c r="R758" s="944">
        <f>IF(A758='Data Entry - SOF'!B$2,'Report-SOF2223'!D$91,0)</f>
        <v>0</v>
      </c>
      <c r="S758" s="723">
        <f>IF(A758='Data Entry - SOF'!B$2,'Data Entry - SOF'!Q$102,0)</f>
        <v>0</v>
      </c>
      <c r="T758" s="601">
        <f t="shared" si="71"/>
        <v>3011472</v>
      </c>
      <c r="U758" s="944">
        <f>IF(A758='Data Entry - SOF'!B$2,'Report-SOF2324'!D$91,0)</f>
        <v>0</v>
      </c>
      <c r="V758" s="723">
        <f>IF(A758='Data Entry - SOF'!B$2,'Data Entry - SOF'!S$102,0)</f>
        <v>0</v>
      </c>
    </row>
    <row r="759" spans="1:22" ht="15.75">
      <c r="A759" s="382" t="s">
        <v>1354</v>
      </c>
      <c r="B759" s="91">
        <v>442862</v>
      </c>
      <c r="C759" s="944">
        <f>IF(A759='Data Entry - SOF'!B$2,'Report-SOF1718'!D$102,0)</f>
        <v>0</v>
      </c>
      <c r="D759" s="1037">
        <f>IF(A759='Data Entry - SOF'!B$2,'Data Entry - SOF'!#REF!,0)</f>
        <v>0</v>
      </c>
      <c r="E759" s="91">
        <f t="shared" si="66"/>
        <v>442862</v>
      </c>
      <c r="F759" s="944">
        <f>IF(A759='Data Entry - SOF'!B$2,'Report-SOF1819'!D$102,0)</f>
        <v>0</v>
      </c>
      <c r="G759" s="1037">
        <f>IF(A759='Data Entry - SOF'!B$2,'Data Entry - SOF'!E$102,0)</f>
        <v>0</v>
      </c>
      <c r="H759" s="1038">
        <f t="shared" si="68"/>
        <v>442862</v>
      </c>
      <c r="I759" s="944">
        <f>IF(A759='Data Entry - SOF'!B$2,'Report-SOF1920-HB3'!D$102,0)</f>
        <v>0</v>
      </c>
      <c r="J759" s="1037">
        <f>IF(A759='Data Entry - SOF'!B$2,'Data Entry - SOF'!G$102,0)</f>
        <v>0</v>
      </c>
      <c r="K759" s="717">
        <f t="shared" si="69"/>
        <v>442862</v>
      </c>
      <c r="L759" s="944">
        <f>IF(A759='Data Entry - SOF'!B$2,'Report-SOF2021'!D$99,0)</f>
        <v>0</v>
      </c>
      <c r="M759" s="723">
        <f>IF(A759='Data Entry - SOF'!B$2,'Data Entry - SOF'!M$102,0)</f>
        <v>0</v>
      </c>
      <c r="N759" s="717">
        <f t="shared" si="70"/>
        <v>442862</v>
      </c>
      <c r="O759" s="944">
        <f>IF(A759='Data Entry - SOF'!B$2,'Report-SOF2122'!D$91,0)</f>
        <v>0</v>
      </c>
      <c r="P759" s="723">
        <f>IF(A759='Data Entry - SOF'!B$2,'Data Entry - SOF'!O$102,0)</f>
        <v>0</v>
      </c>
      <c r="Q759" s="601">
        <f t="shared" si="67"/>
        <v>442862</v>
      </c>
      <c r="R759" s="944">
        <f>IF(A759='Data Entry - SOF'!B$2,'Report-SOF2223'!D$91,0)</f>
        <v>0</v>
      </c>
      <c r="S759" s="723">
        <f>IF(A759='Data Entry - SOF'!B$2,'Data Entry - SOF'!Q$102,0)</f>
        <v>0</v>
      </c>
      <c r="T759" s="601">
        <f t="shared" si="71"/>
        <v>442862</v>
      </c>
      <c r="U759" s="944">
        <f>IF(A759='Data Entry - SOF'!B$2,'Report-SOF2324'!D$91,0)</f>
        <v>0</v>
      </c>
      <c r="V759" s="723">
        <f>IF(A759='Data Entry - SOF'!B$2,'Data Entry - SOF'!S$102,0)</f>
        <v>0</v>
      </c>
    </row>
    <row r="760" spans="1:22" ht="15.75">
      <c r="A760" s="382" t="s">
        <v>1355</v>
      </c>
      <c r="B760" s="91">
        <v>2486178</v>
      </c>
      <c r="C760" s="944">
        <f>IF(A760='Data Entry - SOF'!B$2,'Report-SOF1718'!D$102,0)</f>
        <v>0</v>
      </c>
      <c r="D760" s="1037">
        <f>IF(A760='Data Entry - SOF'!B$2,'Data Entry - SOF'!#REF!,0)</f>
        <v>0</v>
      </c>
      <c r="E760" s="91">
        <f t="shared" si="66"/>
        <v>2486178</v>
      </c>
      <c r="F760" s="944">
        <f>IF(A760='Data Entry - SOF'!B$2,'Report-SOF1819'!D$102,0)</f>
        <v>0</v>
      </c>
      <c r="G760" s="1037">
        <f>IF(A760='Data Entry - SOF'!B$2,'Data Entry - SOF'!E$102,0)</f>
        <v>0</v>
      </c>
      <c r="H760" s="1038">
        <f t="shared" si="68"/>
        <v>2486178</v>
      </c>
      <c r="I760" s="944">
        <f>IF(A760='Data Entry - SOF'!B$2,'Report-SOF1920-HB3'!D$102,0)</f>
        <v>0</v>
      </c>
      <c r="J760" s="1037">
        <f>IF(A760='Data Entry - SOF'!B$2,'Data Entry - SOF'!G$102,0)</f>
        <v>0</v>
      </c>
      <c r="K760" s="717">
        <f t="shared" si="69"/>
        <v>2486178</v>
      </c>
      <c r="L760" s="944">
        <f>IF(A760='Data Entry - SOF'!B$2,'Report-SOF2021'!D$99,0)</f>
        <v>0</v>
      </c>
      <c r="M760" s="723">
        <f>IF(A760='Data Entry - SOF'!B$2,'Data Entry - SOF'!M$102,0)</f>
        <v>0</v>
      </c>
      <c r="N760" s="717">
        <f t="shared" si="70"/>
        <v>2486178</v>
      </c>
      <c r="O760" s="944">
        <f>IF(A760='Data Entry - SOF'!B$2,'Report-SOF2122'!D$91,0)</f>
        <v>0</v>
      </c>
      <c r="P760" s="723">
        <f>IF(A760='Data Entry - SOF'!B$2,'Data Entry - SOF'!O$102,0)</f>
        <v>0</v>
      </c>
      <c r="Q760" s="601">
        <f t="shared" si="67"/>
        <v>2486178</v>
      </c>
      <c r="R760" s="944">
        <f>IF(A760='Data Entry - SOF'!B$2,'Report-SOF2223'!D$91,0)</f>
        <v>0</v>
      </c>
      <c r="S760" s="723">
        <f>IF(A760='Data Entry - SOF'!B$2,'Data Entry - SOF'!Q$102,0)</f>
        <v>0</v>
      </c>
      <c r="T760" s="601">
        <f t="shared" si="71"/>
        <v>2486178</v>
      </c>
      <c r="U760" s="944">
        <f>IF(A760='Data Entry - SOF'!B$2,'Report-SOF2324'!D$91,0)</f>
        <v>0</v>
      </c>
      <c r="V760" s="723">
        <f>IF(A760='Data Entry - SOF'!B$2,'Data Entry - SOF'!S$102,0)</f>
        <v>0</v>
      </c>
    </row>
    <row r="761" spans="1:22" ht="15.75">
      <c r="A761" s="382" t="s">
        <v>1356</v>
      </c>
      <c r="B761" s="91">
        <v>6264217</v>
      </c>
      <c r="C761" s="944">
        <f>IF(A761='Data Entry - SOF'!B$2,'Report-SOF1718'!D$102,0)</f>
        <v>0</v>
      </c>
      <c r="D761" s="1037">
        <f>IF(A761='Data Entry - SOF'!B$2,'Data Entry - SOF'!#REF!,0)</f>
        <v>0</v>
      </c>
      <c r="E761" s="91">
        <f t="shared" si="66"/>
        <v>6264217</v>
      </c>
      <c r="F761" s="944">
        <f>IF(A761='Data Entry - SOF'!B$2,'Report-SOF1819'!D$102,0)</f>
        <v>0</v>
      </c>
      <c r="G761" s="1037">
        <f>IF(A761='Data Entry - SOF'!B$2,'Data Entry - SOF'!E$102,0)</f>
        <v>0</v>
      </c>
      <c r="H761" s="1038">
        <f t="shared" si="68"/>
        <v>6264217</v>
      </c>
      <c r="I761" s="944">
        <f>IF(A761='Data Entry - SOF'!B$2,'Report-SOF1920-HB3'!D$102,0)</f>
        <v>0</v>
      </c>
      <c r="J761" s="1037">
        <f>IF(A761='Data Entry - SOF'!B$2,'Data Entry - SOF'!G$102,0)</f>
        <v>0</v>
      </c>
      <c r="K761" s="717">
        <f t="shared" si="69"/>
        <v>6264217</v>
      </c>
      <c r="L761" s="944">
        <f>IF(A761='Data Entry - SOF'!B$2,'Report-SOF2021'!D$99,0)</f>
        <v>0</v>
      </c>
      <c r="M761" s="723">
        <f>IF(A761='Data Entry - SOF'!B$2,'Data Entry - SOF'!M$102,0)</f>
        <v>0</v>
      </c>
      <c r="N761" s="717">
        <f t="shared" si="70"/>
        <v>6264217</v>
      </c>
      <c r="O761" s="944">
        <f>IF(A761='Data Entry - SOF'!B$2,'Report-SOF2122'!D$91,0)</f>
        <v>0</v>
      </c>
      <c r="P761" s="723">
        <f>IF(A761='Data Entry - SOF'!B$2,'Data Entry - SOF'!O$102,0)</f>
        <v>0</v>
      </c>
      <c r="Q761" s="601">
        <f t="shared" si="67"/>
        <v>6264217</v>
      </c>
      <c r="R761" s="944">
        <f>IF(A761='Data Entry - SOF'!B$2,'Report-SOF2223'!D$91,0)</f>
        <v>0</v>
      </c>
      <c r="S761" s="723">
        <f>IF(A761='Data Entry - SOF'!B$2,'Data Entry - SOF'!Q$102,0)</f>
        <v>0</v>
      </c>
      <c r="T761" s="601">
        <f t="shared" si="71"/>
        <v>6264217</v>
      </c>
      <c r="U761" s="944">
        <f>IF(A761='Data Entry - SOF'!B$2,'Report-SOF2324'!D$91,0)</f>
        <v>0</v>
      </c>
      <c r="V761" s="723">
        <f>IF(A761='Data Entry - SOF'!B$2,'Data Entry - SOF'!S$102,0)</f>
        <v>0</v>
      </c>
    </row>
    <row r="762" spans="1:22" ht="15.75">
      <c r="A762" s="382" t="s">
        <v>1357</v>
      </c>
      <c r="B762" s="91">
        <v>74819730</v>
      </c>
      <c r="C762" s="944">
        <f>IF(A762='Data Entry - SOF'!B$2,'Report-SOF1718'!D$102,0)</f>
        <v>0</v>
      </c>
      <c r="D762" s="1037">
        <f>IF(A762='Data Entry - SOF'!B$2,'Data Entry - SOF'!#REF!,0)</f>
        <v>0</v>
      </c>
      <c r="E762" s="91">
        <f t="shared" si="66"/>
        <v>74819730</v>
      </c>
      <c r="F762" s="944">
        <f>IF(A762='Data Entry - SOF'!B$2,'Report-SOF1819'!D$102,0)</f>
        <v>0</v>
      </c>
      <c r="G762" s="1037">
        <f>IF(A762='Data Entry - SOF'!B$2,'Data Entry - SOF'!E$102,0)</f>
        <v>0</v>
      </c>
      <c r="H762" s="1038">
        <f t="shared" si="68"/>
        <v>74819730</v>
      </c>
      <c r="I762" s="944">
        <f>IF(A762='Data Entry - SOF'!B$2,'Report-SOF1920-HB3'!D$102,0)</f>
        <v>0</v>
      </c>
      <c r="J762" s="1037">
        <f>IF(A762='Data Entry - SOF'!B$2,'Data Entry - SOF'!G$102,0)</f>
        <v>0</v>
      </c>
      <c r="K762" s="717">
        <f t="shared" si="69"/>
        <v>74819730</v>
      </c>
      <c r="L762" s="944">
        <f>IF(A762='Data Entry - SOF'!B$2,'Report-SOF2021'!D$99,0)</f>
        <v>0</v>
      </c>
      <c r="M762" s="723">
        <f>IF(A762='Data Entry - SOF'!B$2,'Data Entry - SOF'!M$102,0)</f>
        <v>0</v>
      </c>
      <c r="N762" s="717">
        <f t="shared" si="70"/>
        <v>74819730</v>
      </c>
      <c r="O762" s="944">
        <f>IF(A762='Data Entry - SOF'!B$2,'Report-SOF2122'!D$91,0)</f>
        <v>0</v>
      </c>
      <c r="P762" s="723">
        <f>IF(A762='Data Entry - SOF'!B$2,'Data Entry - SOF'!O$102,0)</f>
        <v>0</v>
      </c>
      <c r="Q762" s="601">
        <f t="shared" si="67"/>
        <v>74819730</v>
      </c>
      <c r="R762" s="944">
        <f>IF(A762='Data Entry - SOF'!B$2,'Report-SOF2223'!D$91,0)</f>
        <v>0</v>
      </c>
      <c r="S762" s="723">
        <f>IF(A762='Data Entry - SOF'!B$2,'Data Entry - SOF'!Q$102,0)</f>
        <v>0</v>
      </c>
      <c r="T762" s="601">
        <f t="shared" si="71"/>
        <v>74819730</v>
      </c>
      <c r="U762" s="944">
        <f>IF(A762='Data Entry - SOF'!B$2,'Report-SOF2324'!D$91,0)</f>
        <v>0</v>
      </c>
      <c r="V762" s="723">
        <f>IF(A762='Data Entry - SOF'!B$2,'Data Entry - SOF'!S$102,0)</f>
        <v>0</v>
      </c>
    </row>
    <row r="763" spans="1:22" ht="15.75">
      <c r="A763" s="382" t="s">
        <v>2579</v>
      </c>
      <c r="B763" s="91">
        <v>4001383</v>
      </c>
      <c r="C763" s="944">
        <f>IF(A763='Data Entry - SOF'!B$2,'Report-SOF1718'!D$102,0)</f>
        <v>0</v>
      </c>
      <c r="D763" s="1037">
        <f>IF(A763='Data Entry - SOF'!B$2,'Data Entry - SOF'!#REF!,0)</f>
        <v>0</v>
      </c>
      <c r="E763" s="91">
        <f t="shared" si="66"/>
        <v>4001383</v>
      </c>
      <c r="F763" s="944">
        <f>IF(A763='Data Entry - SOF'!B$2,'Report-SOF1819'!D$102,0)</f>
        <v>0</v>
      </c>
      <c r="G763" s="1037">
        <f>IF(A763='Data Entry - SOF'!B$2,'Data Entry - SOF'!E$102,0)</f>
        <v>0</v>
      </c>
      <c r="H763" s="1038">
        <f t="shared" si="68"/>
        <v>4001383</v>
      </c>
      <c r="I763" s="944">
        <f>IF(A763='Data Entry - SOF'!B$2,'Report-SOF1920-HB3'!D$102,0)</f>
        <v>0</v>
      </c>
      <c r="J763" s="1037">
        <f>IF(A763='Data Entry - SOF'!B$2,'Data Entry - SOF'!G$102,0)</f>
        <v>0</v>
      </c>
      <c r="K763" s="717">
        <f t="shared" si="69"/>
        <v>4001383</v>
      </c>
      <c r="L763" s="944">
        <f>IF(A763='Data Entry - SOF'!B$2,'Report-SOF2021'!D$99,0)</f>
        <v>0</v>
      </c>
      <c r="M763" s="723">
        <f>IF(A763='Data Entry - SOF'!B$2,'Data Entry - SOF'!M$102,0)</f>
        <v>0</v>
      </c>
      <c r="N763" s="717">
        <f t="shared" si="70"/>
        <v>4001383</v>
      </c>
      <c r="O763" s="944">
        <f>IF(A763='Data Entry - SOF'!B$2,'Report-SOF2122'!D$91,0)</f>
        <v>0</v>
      </c>
      <c r="P763" s="723">
        <f>IF(A763='Data Entry - SOF'!B$2,'Data Entry - SOF'!O$102,0)</f>
        <v>0</v>
      </c>
      <c r="Q763" s="601">
        <f t="shared" si="67"/>
        <v>4001383</v>
      </c>
      <c r="R763" s="944">
        <f>IF(A763='Data Entry - SOF'!B$2,'Report-SOF2223'!D$91,0)</f>
        <v>0</v>
      </c>
      <c r="S763" s="723">
        <f>IF(A763='Data Entry - SOF'!B$2,'Data Entry - SOF'!Q$102,0)</f>
        <v>0</v>
      </c>
      <c r="T763" s="601">
        <f t="shared" si="71"/>
        <v>4001383</v>
      </c>
      <c r="U763" s="944">
        <f>IF(A763='Data Entry - SOF'!B$2,'Report-SOF2324'!D$91,0)</f>
        <v>0</v>
      </c>
      <c r="V763" s="723">
        <f>IF(A763='Data Entry - SOF'!B$2,'Data Entry - SOF'!S$102,0)</f>
        <v>0</v>
      </c>
    </row>
    <row r="764" spans="1:22" ht="15.75">
      <c r="A764" s="382" t="s">
        <v>707</v>
      </c>
      <c r="B764" s="91">
        <v>1301827</v>
      </c>
      <c r="C764" s="944">
        <f>IF(A764='Data Entry - SOF'!B$2,'Report-SOF1718'!D$102,0)</f>
        <v>0</v>
      </c>
      <c r="D764" s="1037">
        <f>IF(A764='Data Entry - SOF'!B$2,'Data Entry - SOF'!#REF!,0)</f>
        <v>0</v>
      </c>
      <c r="E764" s="91">
        <f t="shared" si="66"/>
        <v>1301827</v>
      </c>
      <c r="F764" s="944">
        <f>IF(A764='Data Entry - SOF'!B$2,'Report-SOF1819'!D$102,0)</f>
        <v>0</v>
      </c>
      <c r="G764" s="1037">
        <f>IF(A764='Data Entry - SOF'!B$2,'Data Entry - SOF'!E$102,0)</f>
        <v>0</v>
      </c>
      <c r="H764" s="1038">
        <f t="shared" si="68"/>
        <v>1301827</v>
      </c>
      <c r="I764" s="944">
        <f>IF(A764='Data Entry - SOF'!B$2,'Report-SOF1920-HB3'!D$102,0)</f>
        <v>0</v>
      </c>
      <c r="J764" s="1037">
        <f>IF(A764='Data Entry - SOF'!B$2,'Data Entry - SOF'!G$102,0)</f>
        <v>0</v>
      </c>
      <c r="K764" s="717">
        <f t="shared" si="69"/>
        <v>1301827</v>
      </c>
      <c r="L764" s="944">
        <f>IF(A764='Data Entry - SOF'!B$2,'Report-SOF2021'!D$99,0)</f>
        <v>0</v>
      </c>
      <c r="M764" s="723">
        <f>IF(A764='Data Entry - SOF'!B$2,'Data Entry - SOF'!M$102,0)</f>
        <v>0</v>
      </c>
      <c r="N764" s="717">
        <f t="shared" si="70"/>
        <v>1301827</v>
      </c>
      <c r="O764" s="944">
        <f>IF(A764='Data Entry - SOF'!B$2,'Report-SOF2122'!D$91,0)</f>
        <v>0</v>
      </c>
      <c r="P764" s="723">
        <f>IF(A764='Data Entry - SOF'!B$2,'Data Entry - SOF'!O$102,0)</f>
        <v>0</v>
      </c>
      <c r="Q764" s="601">
        <f t="shared" si="67"/>
        <v>1301827</v>
      </c>
      <c r="R764" s="944">
        <f>IF(A764='Data Entry - SOF'!B$2,'Report-SOF2223'!D$91,0)</f>
        <v>0</v>
      </c>
      <c r="S764" s="723">
        <f>IF(A764='Data Entry - SOF'!B$2,'Data Entry - SOF'!Q$102,0)</f>
        <v>0</v>
      </c>
      <c r="T764" s="601">
        <f t="shared" si="71"/>
        <v>1301827</v>
      </c>
      <c r="U764" s="944">
        <f>IF(A764='Data Entry - SOF'!B$2,'Report-SOF2324'!D$91,0)</f>
        <v>0</v>
      </c>
      <c r="V764" s="723">
        <f>IF(A764='Data Entry - SOF'!B$2,'Data Entry - SOF'!S$102,0)</f>
        <v>0</v>
      </c>
    </row>
    <row r="765" spans="1:22" ht="15.75">
      <c r="A765" s="382" t="s">
        <v>1510</v>
      </c>
      <c r="B765" s="91">
        <v>9341524</v>
      </c>
      <c r="C765" s="944">
        <f>IF(A765='Data Entry - SOF'!B$2,'Report-SOF1718'!D$102,0)</f>
        <v>0</v>
      </c>
      <c r="D765" s="1037">
        <f>IF(A765='Data Entry - SOF'!B$2,'Data Entry - SOF'!#REF!,0)</f>
        <v>0</v>
      </c>
      <c r="E765" s="91">
        <f t="shared" si="66"/>
        <v>9341524</v>
      </c>
      <c r="F765" s="944">
        <f>IF(A765='Data Entry - SOF'!B$2,'Report-SOF1819'!D$102,0)</f>
        <v>0</v>
      </c>
      <c r="G765" s="1037">
        <f>IF(A765='Data Entry - SOF'!B$2,'Data Entry - SOF'!E$102,0)</f>
        <v>0</v>
      </c>
      <c r="H765" s="1038">
        <f t="shared" si="68"/>
        <v>9341524</v>
      </c>
      <c r="I765" s="944">
        <f>IF(A765='Data Entry - SOF'!B$2,'Report-SOF1920-HB3'!D$102,0)</f>
        <v>0</v>
      </c>
      <c r="J765" s="1037">
        <f>IF(A765='Data Entry - SOF'!B$2,'Data Entry - SOF'!G$102,0)</f>
        <v>0</v>
      </c>
      <c r="K765" s="717">
        <f t="shared" si="69"/>
        <v>9341524</v>
      </c>
      <c r="L765" s="944">
        <f>IF(A765='Data Entry - SOF'!B$2,'Report-SOF2021'!D$99,0)</f>
        <v>0</v>
      </c>
      <c r="M765" s="723">
        <f>IF(A765='Data Entry - SOF'!B$2,'Data Entry - SOF'!M$102,0)</f>
        <v>0</v>
      </c>
      <c r="N765" s="717">
        <f t="shared" si="70"/>
        <v>9341524</v>
      </c>
      <c r="O765" s="944">
        <f>IF(A765='Data Entry - SOF'!B$2,'Report-SOF2122'!D$91,0)</f>
        <v>0</v>
      </c>
      <c r="P765" s="723">
        <f>IF(A765='Data Entry - SOF'!B$2,'Data Entry - SOF'!O$102,0)</f>
        <v>0</v>
      </c>
      <c r="Q765" s="601">
        <f t="shared" si="67"/>
        <v>9341524</v>
      </c>
      <c r="R765" s="944">
        <f>IF(A765='Data Entry - SOF'!B$2,'Report-SOF2223'!D$91,0)</f>
        <v>0</v>
      </c>
      <c r="S765" s="723">
        <f>IF(A765='Data Entry - SOF'!B$2,'Data Entry - SOF'!Q$102,0)</f>
        <v>0</v>
      </c>
      <c r="T765" s="601">
        <f t="shared" si="71"/>
        <v>9341524</v>
      </c>
      <c r="U765" s="944">
        <f>IF(A765='Data Entry - SOF'!B$2,'Report-SOF2324'!D$91,0)</f>
        <v>0</v>
      </c>
      <c r="V765" s="723">
        <f>IF(A765='Data Entry - SOF'!B$2,'Data Entry - SOF'!S$102,0)</f>
        <v>0</v>
      </c>
    </row>
    <row r="766" spans="1:22" ht="15.75">
      <c r="A766" s="382" t="s">
        <v>1467</v>
      </c>
      <c r="B766" s="91">
        <v>60585574</v>
      </c>
      <c r="C766" s="944">
        <f>IF(A766='Data Entry - SOF'!B$2,'Report-SOF1718'!D$102,0)</f>
        <v>0</v>
      </c>
      <c r="D766" s="1037">
        <f>IF(A766='Data Entry - SOF'!B$2,'Data Entry - SOF'!#REF!,0)</f>
        <v>0</v>
      </c>
      <c r="E766" s="91">
        <f t="shared" si="66"/>
        <v>60585574</v>
      </c>
      <c r="F766" s="944">
        <f>IF(A766='Data Entry - SOF'!B$2,'Report-SOF1819'!D$102,0)</f>
        <v>0</v>
      </c>
      <c r="G766" s="1037">
        <f>IF(A766='Data Entry - SOF'!B$2,'Data Entry - SOF'!E$102,0)</f>
        <v>0</v>
      </c>
      <c r="H766" s="1038">
        <f t="shared" si="68"/>
        <v>60585574</v>
      </c>
      <c r="I766" s="944">
        <f>IF(A766='Data Entry - SOF'!B$2,'Report-SOF1920-HB3'!D$102,0)</f>
        <v>0</v>
      </c>
      <c r="J766" s="1037">
        <f>IF(A766='Data Entry - SOF'!B$2,'Data Entry - SOF'!G$102,0)</f>
        <v>0</v>
      </c>
      <c r="K766" s="717">
        <f t="shared" si="69"/>
        <v>60585574</v>
      </c>
      <c r="L766" s="944">
        <f>IF(A766='Data Entry - SOF'!B$2,'Report-SOF2021'!D$99,0)</f>
        <v>0</v>
      </c>
      <c r="M766" s="723">
        <f>IF(A766='Data Entry - SOF'!B$2,'Data Entry - SOF'!M$102,0)</f>
        <v>0</v>
      </c>
      <c r="N766" s="717">
        <f t="shared" si="70"/>
        <v>60585574</v>
      </c>
      <c r="O766" s="944">
        <f>IF(A766='Data Entry - SOF'!B$2,'Report-SOF2122'!D$91,0)</f>
        <v>0</v>
      </c>
      <c r="P766" s="723">
        <f>IF(A766='Data Entry - SOF'!B$2,'Data Entry - SOF'!O$102,0)</f>
        <v>0</v>
      </c>
      <c r="Q766" s="601">
        <f t="shared" si="67"/>
        <v>60585574</v>
      </c>
      <c r="R766" s="944">
        <f>IF(A766='Data Entry - SOF'!B$2,'Report-SOF2223'!D$91,0)</f>
        <v>0</v>
      </c>
      <c r="S766" s="723">
        <f>IF(A766='Data Entry - SOF'!B$2,'Data Entry - SOF'!Q$102,0)</f>
        <v>0</v>
      </c>
      <c r="T766" s="601">
        <f t="shared" si="71"/>
        <v>60585574</v>
      </c>
      <c r="U766" s="944">
        <f>IF(A766='Data Entry - SOF'!B$2,'Report-SOF2324'!D$91,0)</f>
        <v>0</v>
      </c>
      <c r="V766" s="723">
        <f>IF(A766='Data Entry - SOF'!B$2,'Data Entry - SOF'!S$102,0)</f>
        <v>0</v>
      </c>
    </row>
    <row r="767" spans="1:22" ht="15.75">
      <c r="A767" s="382" t="s">
        <v>2536</v>
      </c>
      <c r="B767" s="91">
        <v>6357062</v>
      </c>
      <c r="C767" s="944">
        <f>IF(A767='Data Entry - SOF'!B$2,'Report-SOF1718'!D$102,0)</f>
        <v>0</v>
      </c>
      <c r="D767" s="1037">
        <f>IF(A767='Data Entry - SOF'!B$2,'Data Entry - SOF'!#REF!,0)</f>
        <v>0</v>
      </c>
      <c r="E767" s="91">
        <f t="shared" si="66"/>
        <v>6357062</v>
      </c>
      <c r="F767" s="944">
        <f>IF(A767='Data Entry - SOF'!B$2,'Report-SOF1819'!D$102,0)</f>
        <v>0</v>
      </c>
      <c r="G767" s="1037">
        <f>IF(A767='Data Entry - SOF'!B$2,'Data Entry - SOF'!E$102,0)</f>
        <v>0</v>
      </c>
      <c r="H767" s="1038">
        <f t="shared" si="68"/>
        <v>6357062</v>
      </c>
      <c r="I767" s="944">
        <f>IF(A767='Data Entry - SOF'!B$2,'Report-SOF1920-HB3'!D$102,0)</f>
        <v>0</v>
      </c>
      <c r="J767" s="1037">
        <f>IF(A767='Data Entry - SOF'!B$2,'Data Entry - SOF'!G$102,0)</f>
        <v>0</v>
      </c>
      <c r="K767" s="717">
        <f t="shared" si="69"/>
        <v>6357062</v>
      </c>
      <c r="L767" s="944">
        <f>IF(A767='Data Entry - SOF'!B$2,'Report-SOF2021'!D$99,0)</f>
        <v>0</v>
      </c>
      <c r="M767" s="723">
        <f>IF(A767='Data Entry - SOF'!B$2,'Data Entry - SOF'!M$102,0)</f>
        <v>0</v>
      </c>
      <c r="N767" s="717">
        <f t="shared" si="70"/>
        <v>6357062</v>
      </c>
      <c r="O767" s="944">
        <f>IF(A767='Data Entry - SOF'!B$2,'Report-SOF2122'!D$91,0)</f>
        <v>0</v>
      </c>
      <c r="P767" s="723">
        <f>IF(A767='Data Entry - SOF'!B$2,'Data Entry - SOF'!O$102,0)</f>
        <v>0</v>
      </c>
      <c r="Q767" s="601">
        <f t="shared" si="67"/>
        <v>6357062</v>
      </c>
      <c r="R767" s="944">
        <f>IF(A767='Data Entry - SOF'!B$2,'Report-SOF2223'!D$91,0)</f>
        <v>0</v>
      </c>
      <c r="S767" s="723">
        <f>IF(A767='Data Entry - SOF'!B$2,'Data Entry - SOF'!Q$102,0)</f>
        <v>0</v>
      </c>
      <c r="T767" s="601">
        <f t="shared" si="71"/>
        <v>6357062</v>
      </c>
      <c r="U767" s="944">
        <f>IF(A767='Data Entry - SOF'!B$2,'Report-SOF2324'!D$91,0)</f>
        <v>0</v>
      </c>
      <c r="V767" s="723">
        <f>IF(A767='Data Entry - SOF'!B$2,'Data Entry - SOF'!S$102,0)</f>
        <v>0</v>
      </c>
    </row>
    <row r="768" spans="1:22" ht="15.75">
      <c r="A768" s="382" t="s">
        <v>1383</v>
      </c>
      <c r="B768" s="91">
        <v>62313857</v>
      </c>
      <c r="C768" s="944">
        <f>IF(A768='Data Entry - SOF'!B$2,'Report-SOF1718'!D$102,0)</f>
        <v>0</v>
      </c>
      <c r="D768" s="1037">
        <f>IF(A768='Data Entry - SOF'!B$2,'Data Entry - SOF'!#REF!,0)</f>
        <v>0</v>
      </c>
      <c r="E768" s="91">
        <f t="shared" si="66"/>
        <v>62313857</v>
      </c>
      <c r="F768" s="944">
        <f>IF(A768='Data Entry - SOF'!B$2,'Report-SOF1819'!D$102,0)</f>
        <v>0</v>
      </c>
      <c r="G768" s="1037">
        <f>IF(A768='Data Entry - SOF'!B$2,'Data Entry - SOF'!E$102,0)</f>
        <v>0</v>
      </c>
      <c r="H768" s="1038">
        <f t="shared" si="68"/>
        <v>62313857</v>
      </c>
      <c r="I768" s="944">
        <f>IF(A768='Data Entry - SOF'!B$2,'Report-SOF1920-HB3'!D$102,0)</f>
        <v>0</v>
      </c>
      <c r="J768" s="1037">
        <f>IF(A768='Data Entry - SOF'!B$2,'Data Entry - SOF'!G$102,0)</f>
        <v>0</v>
      </c>
      <c r="K768" s="717">
        <f t="shared" si="69"/>
        <v>62313857</v>
      </c>
      <c r="L768" s="944">
        <f>IF(A768='Data Entry - SOF'!B$2,'Report-SOF2021'!D$99,0)</f>
        <v>0</v>
      </c>
      <c r="M768" s="723">
        <f>IF(A768='Data Entry - SOF'!B$2,'Data Entry - SOF'!M$102,0)</f>
        <v>0</v>
      </c>
      <c r="N768" s="717">
        <f t="shared" si="70"/>
        <v>62313857</v>
      </c>
      <c r="O768" s="944">
        <f>IF(A768='Data Entry - SOF'!B$2,'Report-SOF2122'!D$91,0)</f>
        <v>0</v>
      </c>
      <c r="P768" s="723">
        <f>IF(A768='Data Entry - SOF'!B$2,'Data Entry - SOF'!O$102,0)</f>
        <v>0</v>
      </c>
      <c r="Q768" s="601">
        <f t="shared" si="67"/>
        <v>62313857</v>
      </c>
      <c r="R768" s="944">
        <f>IF(A768='Data Entry - SOF'!B$2,'Report-SOF2223'!D$91,0)</f>
        <v>0</v>
      </c>
      <c r="S768" s="723">
        <f>IF(A768='Data Entry - SOF'!B$2,'Data Entry - SOF'!Q$102,0)</f>
        <v>0</v>
      </c>
      <c r="T768" s="601">
        <f t="shared" si="71"/>
        <v>62313857</v>
      </c>
      <c r="U768" s="944">
        <f>IF(A768='Data Entry - SOF'!B$2,'Report-SOF2324'!D$91,0)</f>
        <v>0</v>
      </c>
      <c r="V768" s="723">
        <f>IF(A768='Data Entry - SOF'!B$2,'Data Entry - SOF'!S$102,0)</f>
        <v>0</v>
      </c>
    </row>
    <row r="769" spans="1:22" ht="15.75">
      <c r="A769" s="382" t="s">
        <v>208</v>
      </c>
      <c r="B769" s="91">
        <v>2328608</v>
      </c>
      <c r="C769" s="944">
        <f>IF(A769='Data Entry - SOF'!B$2,'Report-SOF1718'!D$102,0)</f>
        <v>0</v>
      </c>
      <c r="D769" s="1037">
        <f>IF(A769='Data Entry - SOF'!B$2,'Data Entry - SOF'!#REF!,0)</f>
        <v>0</v>
      </c>
      <c r="E769" s="91">
        <f t="shared" si="66"/>
        <v>2328608</v>
      </c>
      <c r="F769" s="944">
        <f>IF(A769='Data Entry - SOF'!B$2,'Report-SOF1819'!D$102,0)</f>
        <v>0</v>
      </c>
      <c r="G769" s="1037">
        <f>IF(A769='Data Entry - SOF'!B$2,'Data Entry - SOF'!E$102,0)</f>
        <v>0</v>
      </c>
      <c r="H769" s="1038">
        <f t="shared" si="68"/>
        <v>2328608</v>
      </c>
      <c r="I769" s="944">
        <f>IF(A769='Data Entry - SOF'!B$2,'Report-SOF1920-HB3'!D$102,0)</f>
        <v>0</v>
      </c>
      <c r="J769" s="1037">
        <f>IF(A769='Data Entry - SOF'!B$2,'Data Entry - SOF'!G$102,0)</f>
        <v>0</v>
      </c>
      <c r="K769" s="717">
        <f t="shared" si="69"/>
        <v>2328608</v>
      </c>
      <c r="L769" s="944">
        <f>IF(A769='Data Entry - SOF'!B$2,'Report-SOF2021'!D$99,0)</f>
        <v>0</v>
      </c>
      <c r="M769" s="723">
        <f>IF(A769='Data Entry - SOF'!B$2,'Data Entry - SOF'!M$102,0)</f>
        <v>0</v>
      </c>
      <c r="N769" s="717">
        <f t="shared" si="70"/>
        <v>2328608</v>
      </c>
      <c r="O769" s="944">
        <f>IF(A769='Data Entry - SOF'!B$2,'Report-SOF2122'!D$91,0)</f>
        <v>0</v>
      </c>
      <c r="P769" s="723">
        <f>IF(A769='Data Entry - SOF'!B$2,'Data Entry - SOF'!O$102,0)</f>
        <v>0</v>
      </c>
      <c r="Q769" s="601">
        <f t="shared" si="67"/>
        <v>2328608</v>
      </c>
      <c r="R769" s="944">
        <f>IF(A769='Data Entry - SOF'!B$2,'Report-SOF2223'!D$91,0)</f>
        <v>0</v>
      </c>
      <c r="S769" s="723">
        <f>IF(A769='Data Entry - SOF'!B$2,'Data Entry - SOF'!Q$102,0)</f>
        <v>0</v>
      </c>
      <c r="T769" s="601">
        <f t="shared" si="71"/>
        <v>2328608</v>
      </c>
      <c r="U769" s="944">
        <f>IF(A769='Data Entry - SOF'!B$2,'Report-SOF2324'!D$91,0)</f>
        <v>0</v>
      </c>
      <c r="V769" s="723">
        <f>IF(A769='Data Entry - SOF'!B$2,'Data Entry - SOF'!S$102,0)</f>
        <v>0</v>
      </c>
    </row>
    <row r="770" spans="1:22" ht="15.75">
      <c r="A770" s="382" t="s">
        <v>1877</v>
      </c>
      <c r="B770" s="91">
        <v>9276653</v>
      </c>
      <c r="C770" s="944">
        <f>IF(A770='Data Entry - SOF'!B$2,'Report-SOF1718'!D$102,0)</f>
        <v>0</v>
      </c>
      <c r="D770" s="1037">
        <f>IF(A770='Data Entry - SOF'!B$2,'Data Entry - SOF'!#REF!,0)</f>
        <v>0</v>
      </c>
      <c r="E770" s="91">
        <f t="shared" si="66"/>
        <v>9276653</v>
      </c>
      <c r="F770" s="944">
        <f>IF(A770='Data Entry - SOF'!B$2,'Report-SOF1819'!D$102,0)</f>
        <v>0</v>
      </c>
      <c r="G770" s="1037">
        <f>IF(A770='Data Entry - SOF'!B$2,'Data Entry - SOF'!E$102,0)</f>
        <v>0</v>
      </c>
      <c r="H770" s="1038">
        <f t="shared" si="68"/>
        <v>9276653</v>
      </c>
      <c r="I770" s="944">
        <f>IF(A770='Data Entry - SOF'!B$2,'Report-SOF1920-HB3'!D$102,0)</f>
        <v>0</v>
      </c>
      <c r="J770" s="1037">
        <f>IF(A770='Data Entry - SOF'!B$2,'Data Entry - SOF'!G$102,0)</f>
        <v>0</v>
      </c>
      <c r="K770" s="717">
        <f t="shared" si="69"/>
        <v>9276653</v>
      </c>
      <c r="L770" s="944">
        <f>IF(A770='Data Entry - SOF'!B$2,'Report-SOF2021'!D$99,0)</f>
        <v>0</v>
      </c>
      <c r="M770" s="723">
        <f>IF(A770='Data Entry - SOF'!B$2,'Data Entry - SOF'!M$102,0)</f>
        <v>0</v>
      </c>
      <c r="N770" s="717">
        <f t="shared" si="70"/>
        <v>9276653</v>
      </c>
      <c r="O770" s="944">
        <f>IF(A770='Data Entry - SOF'!B$2,'Report-SOF2122'!D$91,0)</f>
        <v>0</v>
      </c>
      <c r="P770" s="723">
        <f>IF(A770='Data Entry - SOF'!B$2,'Data Entry - SOF'!O$102,0)</f>
        <v>0</v>
      </c>
      <c r="Q770" s="601">
        <f t="shared" si="67"/>
        <v>9276653</v>
      </c>
      <c r="R770" s="944">
        <f>IF(A770='Data Entry - SOF'!B$2,'Report-SOF2223'!D$91,0)</f>
        <v>0</v>
      </c>
      <c r="S770" s="723">
        <f>IF(A770='Data Entry - SOF'!B$2,'Data Entry - SOF'!Q$102,0)</f>
        <v>0</v>
      </c>
      <c r="T770" s="601">
        <f t="shared" si="71"/>
        <v>9276653</v>
      </c>
      <c r="U770" s="944">
        <f>IF(A770='Data Entry - SOF'!B$2,'Report-SOF2324'!D$91,0)</f>
        <v>0</v>
      </c>
      <c r="V770" s="723">
        <f>IF(A770='Data Entry - SOF'!B$2,'Data Entry - SOF'!S$102,0)</f>
        <v>0</v>
      </c>
    </row>
    <row r="771" spans="1:22" ht="15.75">
      <c r="A771" s="382" t="s">
        <v>1634</v>
      </c>
      <c r="B771" s="91">
        <v>2314213.8676606002</v>
      </c>
      <c r="C771" s="944">
        <f>IF(A771='Data Entry - SOF'!B$2,'Report-SOF1718'!D$102,0)</f>
        <v>0</v>
      </c>
      <c r="D771" s="1037">
        <f>IF(A771='Data Entry - SOF'!B$2,'Data Entry - SOF'!#REF!,0)</f>
        <v>0</v>
      </c>
      <c r="E771" s="91">
        <f t="shared" si="66"/>
        <v>2314213.8676606002</v>
      </c>
      <c r="F771" s="944">
        <f>IF(A771='Data Entry - SOF'!B$2,'Report-SOF1819'!D$102,0)</f>
        <v>0</v>
      </c>
      <c r="G771" s="1037">
        <f>IF(A771='Data Entry - SOF'!B$2,'Data Entry - SOF'!E$102,0)</f>
        <v>0</v>
      </c>
      <c r="H771" s="1038">
        <f t="shared" si="68"/>
        <v>2314213.8676606002</v>
      </c>
      <c r="I771" s="944">
        <f>IF(A771='Data Entry - SOF'!B$2,'Report-SOF1920-HB3'!D$102,0)</f>
        <v>0</v>
      </c>
      <c r="J771" s="1037">
        <f>IF(A771='Data Entry - SOF'!B$2,'Data Entry - SOF'!G$102,0)</f>
        <v>0</v>
      </c>
      <c r="K771" s="717">
        <f t="shared" si="69"/>
        <v>2314213.8676606002</v>
      </c>
      <c r="L771" s="944">
        <f>IF(A771='Data Entry - SOF'!B$2,'Report-SOF2021'!D$99,0)</f>
        <v>0</v>
      </c>
      <c r="M771" s="723">
        <f>IF(A771='Data Entry - SOF'!B$2,'Data Entry - SOF'!M$102,0)</f>
        <v>0</v>
      </c>
      <c r="N771" s="717">
        <f t="shared" si="70"/>
        <v>2314213.8676606002</v>
      </c>
      <c r="O771" s="944">
        <f>IF(A771='Data Entry - SOF'!B$2,'Report-SOF2122'!D$91,0)</f>
        <v>0</v>
      </c>
      <c r="P771" s="723">
        <f>IF(A771='Data Entry - SOF'!B$2,'Data Entry - SOF'!O$102,0)</f>
        <v>0</v>
      </c>
      <c r="Q771" s="601">
        <f t="shared" si="67"/>
        <v>2314213.8676606002</v>
      </c>
      <c r="R771" s="944">
        <f>IF(A771='Data Entry - SOF'!B$2,'Report-SOF2223'!D$91,0)</f>
        <v>0</v>
      </c>
      <c r="S771" s="723">
        <f>IF(A771='Data Entry - SOF'!B$2,'Data Entry - SOF'!Q$102,0)</f>
        <v>0</v>
      </c>
      <c r="T771" s="601">
        <f t="shared" si="71"/>
        <v>2314213.8676606002</v>
      </c>
      <c r="U771" s="944">
        <f>IF(A771='Data Entry - SOF'!B$2,'Report-SOF2324'!D$91,0)</f>
        <v>0</v>
      </c>
      <c r="V771" s="723">
        <f>IF(A771='Data Entry - SOF'!B$2,'Data Entry - SOF'!S$102,0)</f>
        <v>0</v>
      </c>
    </row>
    <row r="772" spans="1:22" ht="15.75">
      <c r="A772" s="382" t="s">
        <v>1635</v>
      </c>
      <c r="B772" s="91">
        <v>943495</v>
      </c>
      <c r="C772" s="944">
        <f>IF(A772='Data Entry - SOF'!B$2,'Report-SOF1718'!D$102,0)</f>
        <v>0</v>
      </c>
      <c r="D772" s="1037">
        <f>IF(A772='Data Entry - SOF'!B$2,'Data Entry - SOF'!#REF!,0)</f>
        <v>0</v>
      </c>
      <c r="E772" s="91">
        <f t="shared" ref="E772:E835" si="72">IF(B772+C772-D772&lt;=0,0,B772+C772-D772)</f>
        <v>943495</v>
      </c>
      <c r="F772" s="944">
        <f>IF(A772='Data Entry - SOF'!B$2,'Report-SOF1819'!D$102,0)</f>
        <v>0</v>
      </c>
      <c r="G772" s="1037">
        <f>IF(A772='Data Entry - SOF'!B$2,'Data Entry - SOF'!E$102,0)</f>
        <v>0</v>
      </c>
      <c r="H772" s="1038">
        <f t="shared" si="68"/>
        <v>943495</v>
      </c>
      <c r="I772" s="944">
        <f>IF(A772='Data Entry - SOF'!B$2,'Report-SOF1920-HB3'!D$102,0)</f>
        <v>0</v>
      </c>
      <c r="J772" s="1037">
        <f>IF(A772='Data Entry - SOF'!B$2,'Data Entry - SOF'!G$102,0)</f>
        <v>0</v>
      </c>
      <c r="K772" s="717">
        <f t="shared" si="69"/>
        <v>943495</v>
      </c>
      <c r="L772" s="944">
        <f>IF(A772='Data Entry - SOF'!B$2,'Report-SOF2021'!D$99,0)</f>
        <v>0</v>
      </c>
      <c r="M772" s="723">
        <f>IF(A772='Data Entry - SOF'!B$2,'Data Entry - SOF'!M$102,0)</f>
        <v>0</v>
      </c>
      <c r="N772" s="717">
        <f t="shared" si="70"/>
        <v>943495</v>
      </c>
      <c r="O772" s="944">
        <f>IF(A772='Data Entry - SOF'!B$2,'Report-SOF2122'!D$91,0)</f>
        <v>0</v>
      </c>
      <c r="P772" s="723">
        <f>IF(A772='Data Entry - SOF'!B$2,'Data Entry - SOF'!O$102,0)</f>
        <v>0</v>
      </c>
      <c r="Q772" s="601">
        <f t="shared" ref="Q772:Q835" si="73">IF(N772+O772-P772&lt;=0,0,N772+O772-P772)</f>
        <v>943495</v>
      </c>
      <c r="R772" s="944">
        <f>IF(A772='Data Entry - SOF'!B$2,'Report-SOF2223'!D$91,0)</f>
        <v>0</v>
      </c>
      <c r="S772" s="723">
        <f>IF(A772='Data Entry - SOF'!B$2,'Data Entry - SOF'!Q$102,0)</f>
        <v>0</v>
      </c>
      <c r="T772" s="601">
        <f t="shared" si="71"/>
        <v>943495</v>
      </c>
      <c r="U772" s="944">
        <f>IF(A772='Data Entry - SOF'!B$2,'Report-SOF2324'!D$91,0)</f>
        <v>0</v>
      </c>
      <c r="V772" s="723">
        <f>IF(A772='Data Entry - SOF'!B$2,'Data Entry - SOF'!S$102,0)</f>
        <v>0</v>
      </c>
    </row>
    <row r="773" spans="1:22" ht="15.75">
      <c r="A773" s="382" t="s">
        <v>1636</v>
      </c>
      <c r="B773" s="91">
        <v>1526445</v>
      </c>
      <c r="C773" s="944">
        <f>IF(A773='Data Entry - SOF'!B$2,'Report-SOF1718'!D$102,0)</f>
        <v>0</v>
      </c>
      <c r="D773" s="1037">
        <f>IF(A773='Data Entry - SOF'!B$2,'Data Entry - SOF'!#REF!,0)</f>
        <v>0</v>
      </c>
      <c r="E773" s="91">
        <f t="shared" si="72"/>
        <v>1526445</v>
      </c>
      <c r="F773" s="944">
        <f>IF(A773='Data Entry - SOF'!B$2,'Report-SOF1819'!D$102,0)</f>
        <v>0</v>
      </c>
      <c r="G773" s="1037">
        <f>IF(A773='Data Entry - SOF'!B$2,'Data Entry - SOF'!E$102,0)</f>
        <v>0</v>
      </c>
      <c r="H773" s="1038">
        <f t="shared" ref="H773:H836" si="74">IF(E773+F773-G773&lt;=0,0,E773+F773-G773)</f>
        <v>1526445</v>
      </c>
      <c r="I773" s="944">
        <f>IF(A773='Data Entry - SOF'!B$2,'Report-SOF1920-HB3'!D$102,0)</f>
        <v>0</v>
      </c>
      <c r="J773" s="1037">
        <f>IF(A773='Data Entry - SOF'!B$2,'Data Entry - SOF'!G$102,0)</f>
        <v>0</v>
      </c>
      <c r="K773" s="717">
        <f t="shared" ref="K773:K836" si="75">IF(H773+I773-J773&lt;=0,0,H773+I773-J773)</f>
        <v>1526445</v>
      </c>
      <c r="L773" s="944">
        <f>IF(A773='Data Entry - SOF'!B$2,'Report-SOF2021'!D$99,0)</f>
        <v>0</v>
      </c>
      <c r="M773" s="723">
        <f>IF(A773='Data Entry - SOF'!B$2,'Data Entry - SOF'!M$102,0)</f>
        <v>0</v>
      </c>
      <c r="N773" s="717">
        <f t="shared" ref="N773:N836" si="76">IF(K773+L773-M773&lt;=0,0,K773+L773-M773)</f>
        <v>1526445</v>
      </c>
      <c r="O773" s="944">
        <f>IF(A773='Data Entry - SOF'!B$2,'Report-SOF2122'!D$91,0)</f>
        <v>0</v>
      </c>
      <c r="P773" s="723">
        <f>IF(A773='Data Entry - SOF'!B$2,'Data Entry - SOF'!O$102,0)</f>
        <v>0</v>
      </c>
      <c r="Q773" s="601">
        <f t="shared" si="73"/>
        <v>1526445</v>
      </c>
      <c r="R773" s="944">
        <f>IF(A773='Data Entry - SOF'!B$2,'Report-SOF2223'!D$91,0)</f>
        <v>0</v>
      </c>
      <c r="S773" s="723">
        <f>IF(A773='Data Entry - SOF'!B$2,'Data Entry - SOF'!Q$102,0)</f>
        <v>0</v>
      </c>
      <c r="T773" s="601">
        <f t="shared" ref="T773:T836" si="77">IF(P773+Q773-S773&lt;=0,0,P773+Q773-S773)</f>
        <v>1526445</v>
      </c>
      <c r="U773" s="944">
        <f>IF(A773='Data Entry - SOF'!B$2,'Report-SOF2324'!D$91,0)</f>
        <v>0</v>
      </c>
      <c r="V773" s="723">
        <f>IF(A773='Data Entry - SOF'!B$2,'Data Entry - SOF'!S$102,0)</f>
        <v>0</v>
      </c>
    </row>
    <row r="774" spans="1:22" ht="15.75">
      <c r="A774" s="382" t="s">
        <v>1637</v>
      </c>
      <c r="B774" s="91">
        <v>1440660</v>
      </c>
      <c r="C774" s="944">
        <f>IF(A774='Data Entry - SOF'!B$2,'Report-SOF1718'!D$102,0)</f>
        <v>0</v>
      </c>
      <c r="D774" s="1037">
        <f>IF(A774='Data Entry - SOF'!B$2,'Data Entry - SOF'!#REF!,0)</f>
        <v>0</v>
      </c>
      <c r="E774" s="91">
        <f t="shared" si="72"/>
        <v>1440660</v>
      </c>
      <c r="F774" s="944">
        <f>IF(A774='Data Entry - SOF'!B$2,'Report-SOF1819'!D$102,0)</f>
        <v>0</v>
      </c>
      <c r="G774" s="1037">
        <f>IF(A774='Data Entry - SOF'!B$2,'Data Entry - SOF'!E$102,0)</f>
        <v>0</v>
      </c>
      <c r="H774" s="1038">
        <f t="shared" si="74"/>
        <v>1440660</v>
      </c>
      <c r="I774" s="944">
        <f>IF(A774='Data Entry - SOF'!B$2,'Report-SOF1920-HB3'!D$102,0)</f>
        <v>0</v>
      </c>
      <c r="J774" s="1037">
        <f>IF(A774='Data Entry - SOF'!B$2,'Data Entry - SOF'!G$102,0)</f>
        <v>0</v>
      </c>
      <c r="K774" s="717">
        <f t="shared" si="75"/>
        <v>1440660</v>
      </c>
      <c r="L774" s="944">
        <f>IF(A774='Data Entry - SOF'!B$2,'Report-SOF2021'!D$99,0)</f>
        <v>0</v>
      </c>
      <c r="M774" s="723">
        <f>IF(A774='Data Entry - SOF'!B$2,'Data Entry - SOF'!M$102,0)</f>
        <v>0</v>
      </c>
      <c r="N774" s="717">
        <f t="shared" si="76"/>
        <v>1440660</v>
      </c>
      <c r="O774" s="944">
        <f>IF(A774='Data Entry - SOF'!B$2,'Report-SOF2122'!D$91,0)</f>
        <v>0</v>
      </c>
      <c r="P774" s="723">
        <f>IF(A774='Data Entry - SOF'!B$2,'Data Entry - SOF'!O$102,0)</f>
        <v>0</v>
      </c>
      <c r="Q774" s="601">
        <f t="shared" si="73"/>
        <v>1440660</v>
      </c>
      <c r="R774" s="944">
        <f>IF(A774='Data Entry - SOF'!B$2,'Report-SOF2223'!D$91,0)</f>
        <v>0</v>
      </c>
      <c r="S774" s="723">
        <f>IF(A774='Data Entry - SOF'!B$2,'Data Entry - SOF'!Q$102,0)</f>
        <v>0</v>
      </c>
      <c r="T774" s="601">
        <f t="shared" si="77"/>
        <v>1440660</v>
      </c>
      <c r="U774" s="944">
        <f>IF(A774='Data Entry - SOF'!B$2,'Report-SOF2324'!D$91,0)</f>
        <v>0</v>
      </c>
      <c r="V774" s="723">
        <f>IF(A774='Data Entry - SOF'!B$2,'Data Entry - SOF'!S$102,0)</f>
        <v>0</v>
      </c>
    </row>
    <row r="775" spans="1:22" ht="15.75">
      <c r="A775" s="382" t="s">
        <v>1638</v>
      </c>
      <c r="B775" s="91">
        <v>952225</v>
      </c>
      <c r="C775" s="944">
        <f>IF(A775='Data Entry - SOF'!B$2,'Report-SOF1718'!D$102,0)</f>
        <v>0</v>
      </c>
      <c r="D775" s="1037">
        <f>IF(A775='Data Entry - SOF'!B$2,'Data Entry - SOF'!#REF!,0)</f>
        <v>0</v>
      </c>
      <c r="E775" s="91">
        <f t="shared" si="72"/>
        <v>952225</v>
      </c>
      <c r="F775" s="944">
        <f>IF(A775='Data Entry - SOF'!B$2,'Report-SOF1819'!D$102,0)</f>
        <v>0</v>
      </c>
      <c r="G775" s="1037">
        <f>IF(A775='Data Entry - SOF'!B$2,'Data Entry - SOF'!E$102,0)</f>
        <v>0</v>
      </c>
      <c r="H775" s="1038">
        <f t="shared" si="74"/>
        <v>952225</v>
      </c>
      <c r="I775" s="944">
        <f>IF(A775='Data Entry - SOF'!B$2,'Report-SOF1920-HB3'!D$102,0)</f>
        <v>0</v>
      </c>
      <c r="J775" s="1037">
        <f>IF(A775='Data Entry - SOF'!B$2,'Data Entry - SOF'!G$102,0)</f>
        <v>0</v>
      </c>
      <c r="K775" s="717">
        <f t="shared" si="75"/>
        <v>952225</v>
      </c>
      <c r="L775" s="944">
        <f>IF(A775='Data Entry - SOF'!B$2,'Report-SOF2021'!D$99,0)</f>
        <v>0</v>
      </c>
      <c r="M775" s="723">
        <f>IF(A775='Data Entry - SOF'!B$2,'Data Entry - SOF'!M$102,0)</f>
        <v>0</v>
      </c>
      <c r="N775" s="717">
        <f t="shared" si="76"/>
        <v>952225</v>
      </c>
      <c r="O775" s="944">
        <f>IF(A775='Data Entry - SOF'!B$2,'Report-SOF2122'!D$91,0)</f>
        <v>0</v>
      </c>
      <c r="P775" s="723">
        <f>IF(A775='Data Entry - SOF'!B$2,'Data Entry - SOF'!O$102,0)</f>
        <v>0</v>
      </c>
      <c r="Q775" s="601">
        <f t="shared" si="73"/>
        <v>952225</v>
      </c>
      <c r="R775" s="944">
        <f>IF(A775='Data Entry - SOF'!B$2,'Report-SOF2223'!D$91,0)</f>
        <v>0</v>
      </c>
      <c r="S775" s="723">
        <f>IF(A775='Data Entry - SOF'!B$2,'Data Entry - SOF'!Q$102,0)</f>
        <v>0</v>
      </c>
      <c r="T775" s="601">
        <f t="shared" si="77"/>
        <v>952225</v>
      </c>
      <c r="U775" s="944">
        <f>IF(A775='Data Entry - SOF'!B$2,'Report-SOF2324'!D$91,0)</f>
        <v>0</v>
      </c>
      <c r="V775" s="723">
        <f>IF(A775='Data Entry - SOF'!B$2,'Data Entry - SOF'!S$102,0)</f>
        <v>0</v>
      </c>
    </row>
    <row r="776" spans="1:22" ht="15.75">
      <c r="A776" s="382" t="s">
        <v>1874</v>
      </c>
      <c r="B776" s="91">
        <v>3428109.7612048602</v>
      </c>
      <c r="C776" s="944">
        <f>IF(A776='Data Entry - SOF'!B$2,'Report-SOF1718'!D$102,0)</f>
        <v>0</v>
      </c>
      <c r="D776" s="1037">
        <f>IF(A776='Data Entry - SOF'!B$2,'Data Entry - SOF'!#REF!,0)</f>
        <v>0</v>
      </c>
      <c r="E776" s="91">
        <f t="shared" si="72"/>
        <v>3428109.7612048602</v>
      </c>
      <c r="F776" s="944">
        <f>IF(A776='Data Entry - SOF'!B$2,'Report-SOF1819'!D$102,0)</f>
        <v>0</v>
      </c>
      <c r="G776" s="1037">
        <f>IF(A776='Data Entry - SOF'!B$2,'Data Entry - SOF'!E$102,0)</f>
        <v>0</v>
      </c>
      <c r="H776" s="1038">
        <f t="shared" si="74"/>
        <v>3428109.7612048602</v>
      </c>
      <c r="I776" s="944">
        <f>IF(A776='Data Entry - SOF'!B$2,'Report-SOF1920-HB3'!D$102,0)</f>
        <v>0</v>
      </c>
      <c r="J776" s="1037">
        <f>IF(A776='Data Entry - SOF'!B$2,'Data Entry - SOF'!G$102,0)</f>
        <v>0</v>
      </c>
      <c r="K776" s="717">
        <f t="shared" si="75"/>
        <v>3428109.7612048602</v>
      </c>
      <c r="L776" s="944">
        <f>IF(A776='Data Entry - SOF'!B$2,'Report-SOF2021'!D$99,0)</f>
        <v>0</v>
      </c>
      <c r="M776" s="723">
        <f>IF(A776='Data Entry - SOF'!B$2,'Data Entry - SOF'!M$102,0)</f>
        <v>0</v>
      </c>
      <c r="N776" s="717">
        <f t="shared" si="76"/>
        <v>3428109.7612048602</v>
      </c>
      <c r="O776" s="944">
        <f>IF(A776='Data Entry - SOF'!B$2,'Report-SOF2122'!D$91,0)</f>
        <v>0</v>
      </c>
      <c r="P776" s="723">
        <f>IF(A776='Data Entry - SOF'!B$2,'Data Entry - SOF'!O$102,0)</f>
        <v>0</v>
      </c>
      <c r="Q776" s="601">
        <f t="shared" si="73"/>
        <v>3428109.7612048602</v>
      </c>
      <c r="R776" s="944">
        <f>IF(A776='Data Entry - SOF'!B$2,'Report-SOF2223'!D$91,0)</f>
        <v>0</v>
      </c>
      <c r="S776" s="723">
        <f>IF(A776='Data Entry - SOF'!B$2,'Data Entry - SOF'!Q$102,0)</f>
        <v>0</v>
      </c>
      <c r="T776" s="601">
        <f t="shared" si="77"/>
        <v>3428109.7612048602</v>
      </c>
      <c r="U776" s="944">
        <f>IF(A776='Data Entry - SOF'!B$2,'Report-SOF2324'!D$91,0)</f>
        <v>0</v>
      </c>
      <c r="V776" s="723">
        <f>IF(A776='Data Entry - SOF'!B$2,'Data Entry - SOF'!S$102,0)</f>
        <v>0</v>
      </c>
    </row>
    <row r="777" spans="1:22" ht="15.75">
      <c r="A777" s="382" t="s">
        <v>2302</v>
      </c>
      <c r="B777" s="91">
        <v>25348732</v>
      </c>
      <c r="C777" s="944">
        <f>IF(A777='Data Entry - SOF'!B$2,'Report-SOF1718'!D$102,0)</f>
        <v>0</v>
      </c>
      <c r="D777" s="1037">
        <f>IF(A777='Data Entry - SOF'!B$2,'Data Entry - SOF'!#REF!,0)</f>
        <v>0</v>
      </c>
      <c r="E777" s="91">
        <f t="shared" si="72"/>
        <v>25348732</v>
      </c>
      <c r="F777" s="944">
        <f>IF(A777='Data Entry - SOF'!B$2,'Report-SOF1819'!D$102,0)</f>
        <v>0</v>
      </c>
      <c r="G777" s="1037">
        <f>IF(A777='Data Entry - SOF'!B$2,'Data Entry - SOF'!E$102,0)</f>
        <v>0</v>
      </c>
      <c r="H777" s="1038">
        <f t="shared" si="74"/>
        <v>25348732</v>
      </c>
      <c r="I777" s="944">
        <f>IF(A777='Data Entry - SOF'!B$2,'Report-SOF1920-HB3'!D$102,0)</f>
        <v>0</v>
      </c>
      <c r="J777" s="1037">
        <f>IF(A777='Data Entry - SOF'!B$2,'Data Entry - SOF'!G$102,0)</f>
        <v>0</v>
      </c>
      <c r="K777" s="717">
        <f t="shared" si="75"/>
        <v>25348732</v>
      </c>
      <c r="L777" s="944">
        <f>IF(A777='Data Entry - SOF'!B$2,'Report-SOF2021'!D$99,0)</f>
        <v>0</v>
      </c>
      <c r="M777" s="723">
        <f>IF(A777='Data Entry - SOF'!B$2,'Data Entry - SOF'!M$102,0)</f>
        <v>0</v>
      </c>
      <c r="N777" s="717">
        <f t="shared" si="76"/>
        <v>25348732</v>
      </c>
      <c r="O777" s="944">
        <f>IF(A777='Data Entry - SOF'!B$2,'Report-SOF2122'!D$91,0)</f>
        <v>0</v>
      </c>
      <c r="P777" s="723">
        <f>IF(A777='Data Entry - SOF'!B$2,'Data Entry - SOF'!O$102,0)</f>
        <v>0</v>
      </c>
      <c r="Q777" s="601">
        <f t="shared" si="73"/>
        <v>25348732</v>
      </c>
      <c r="R777" s="944">
        <f>IF(A777='Data Entry - SOF'!B$2,'Report-SOF2223'!D$91,0)</f>
        <v>0</v>
      </c>
      <c r="S777" s="723">
        <f>IF(A777='Data Entry - SOF'!B$2,'Data Entry - SOF'!Q$102,0)</f>
        <v>0</v>
      </c>
      <c r="T777" s="601">
        <f t="shared" si="77"/>
        <v>25348732</v>
      </c>
      <c r="U777" s="944">
        <f>IF(A777='Data Entry - SOF'!B$2,'Report-SOF2324'!D$91,0)</f>
        <v>0</v>
      </c>
      <c r="V777" s="723">
        <f>IF(A777='Data Entry - SOF'!B$2,'Data Entry - SOF'!S$102,0)</f>
        <v>0</v>
      </c>
    </row>
    <row r="778" spans="1:22" ht="15.75">
      <c r="A778" s="382" t="s">
        <v>2291</v>
      </c>
      <c r="B778" s="91">
        <v>22590399</v>
      </c>
      <c r="C778" s="944">
        <f>IF(A778='Data Entry - SOF'!B$2,'Report-SOF1718'!D$102,0)</f>
        <v>0</v>
      </c>
      <c r="D778" s="1037">
        <f>IF(A778='Data Entry - SOF'!B$2,'Data Entry - SOF'!#REF!,0)</f>
        <v>0</v>
      </c>
      <c r="E778" s="91">
        <f t="shared" si="72"/>
        <v>22590399</v>
      </c>
      <c r="F778" s="944">
        <f>IF(A778='Data Entry - SOF'!B$2,'Report-SOF1819'!D$102,0)</f>
        <v>0</v>
      </c>
      <c r="G778" s="1037">
        <f>IF(A778='Data Entry - SOF'!B$2,'Data Entry - SOF'!E$102,0)</f>
        <v>0</v>
      </c>
      <c r="H778" s="1038">
        <f t="shared" si="74"/>
        <v>22590399</v>
      </c>
      <c r="I778" s="944">
        <f>IF(A778='Data Entry - SOF'!B$2,'Report-SOF1920-HB3'!D$102,0)</f>
        <v>0</v>
      </c>
      <c r="J778" s="1037">
        <f>IF(A778='Data Entry - SOF'!B$2,'Data Entry - SOF'!G$102,0)</f>
        <v>0</v>
      </c>
      <c r="K778" s="717">
        <f t="shared" si="75"/>
        <v>22590399</v>
      </c>
      <c r="L778" s="944">
        <f>IF(A778='Data Entry - SOF'!B$2,'Report-SOF2021'!D$99,0)</f>
        <v>0</v>
      </c>
      <c r="M778" s="723">
        <f>IF(A778='Data Entry - SOF'!B$2,'Data Entry - SOF'!M$102,0)</f>
        <v>0</v>
      </c>
      <c r="N778" s="717">
        <f t="shared" si="76"/>
        <v>22590399</v>
      </c>
      <c r="O778" s="944">
        <f>IF(A778='Data Entry - SOF'!B$2,'Report-SOF2122'!D$91,0)</f>
        <v>0</v>
      </c>
      <c r="P778" s="723">
        <f>IF(A778='Data Entry - SOF'!B$2,'Data Entry - SOF'!O$102,0)</f>
        <v>0</v>
      </c>
      <c r="Q778" s="601">
        <f t="shared" si="73"/>
        <v>22590399</v>
      </c>
      <c r="R778" s="944">
        <f>IF(A778='Data Entry - SOF'!B$2,'Report-SOF2223'!D$91,0)</f>
        <v>0</v>
      </c>
      <c r="S778" s="723">
        <f>IF(A778='Data Entry - SOF'!B$2,'Data Entry - SOF'!Q$102,0)</f>
        <v>0</v>
      </c>
      <c r="T778" s="601">
        <f t="shared" si="77"/>
        <v>22590399</v>
      </c>
      <c r="U778" s="944">
        <f>IF(A778='Data Entry - SOF'!B$2,'Report-SOF2324'!D$91,0)</f>
        <v>0</v>
      </c>
      <c r="V778" s="723">
        <f>IF(A778='Data Entry - SOF'!B$2,'Data Entry - SOF'!S$102,0)</f>
        <v>0</v>
      </c>
    </row>
    <row r="779" spans="1:22" ht="15.75">
      <c r="A779" s="382" t="s">
        <v>1302</v>
      </c>
      <c r="B779" s="91">
        <v>3040581</v>
      </c>
      <c r="C779" s="944">
        <f>IF(A779='Data Entry - SOF'!B$2,'Report-SOF1718'!D$102,0)</f>
        <v>0</v>
      </c>
      <c r="D779" s="1037">
        <f>IF(A779='Data Entry - SOF'!B$2,'Data Entry - SOF'!#REF!,0)</f>
        <v>0</v>
      </c>
      <c r="E779" s="91">
        <f t="shared" si="72"/>
        <v>3040581</v>
      </c>
      <c r="F779" s="944">
        <f>IF(A779='Data Entry - SOF'!B$2,'Report-SOF1819'!D$102,0)</f>
        <v>0</v>
      </c>
      <c r="G779" s="1037">
        <f>IF(A779='Data Entry - SOF'!B$2,'Data Entry - SOF'!E$102,0)</f>
        <v>0</v>
      </c>
      <c r="H779" s="1038">
        <f t="shared" si="74"/>
        <v>3040581</v>
      </c>
      <c r="I779" s="944">
        <f>IF(A779='Data Entry - SOF'!B$2,'Report-SOF1920-HB3'!D$102,0)</f>
        <v>0</v>
      </c>
      <c r="J779" s="1037">
        <f>IF(A779='Data Entry - SOF'!B$2,'Data Entry - SOF'!G$102,0)</f>
        <v>0</v>
      </c>
      <c r="K779" s="717">
        <f t="shared" si="75"/>
        <v>3040581</v>
      </c>
      <c r="L779" s="944">
        <f>IF(A779='Data Entry - SOF'!B$2,'Report-SOF2021'!D$99,0)</f>
        <v>0</v>
      </c>
      <c r="M779" s="723">
        <f>IF(A779='Data Entry - SOF'!B$2,'Data Entry - SOF'!M$102,0)</f>
        <v>0</v>
      </c>
      <c r="N779" s="717">
        <f t="shared" si="76"/>
        <v>3040581</v>
      </c>
      <c r="O779" s="944">
        <f>IF(A779='Data Entry - SOF'!B$2,'Report-SOF2122'!D$91,0)</f>
        <v>0</v>
      </c>
      <c r="P779" s="723">
        <f>IF(A779='Data Entry - SOF'!B$2,'Data Entry - SOF'!O$102,0)</f>
        <v>0</v>
      </c>
      <c r="Q779" s="601">
        <f t="shared" si="73"/>
        <v>3040581</v>
      </c>
      <c r="R779" s="944">
        <f>IF(A779='Data Entry - SOF'!B$2,'Report-SOF2223'!D$91,0)</f>
        <v>0</v>
      </c>
      <c r="S779" s="723">
        <f>IF(A779='Data Entry - SOF'!B$2,'Data Entry - SOF'!Q$102,0)</f>
        <v>0</v>
      </c>
      <c r="T779" s="601">
        <f t="shared" si="77"/>
        <v>3040581</v>
      </c>
      <c r="U779" s="944">
        <f>IF(A779='Data Entry - SOF'!B$2,'Report-SOF2324'!D$91,0)</f>
        <v>0</v>
      </c>
      <c r="V779" s="723">
        <f>IF(A779='Data Entry - SOF'!B$2,'Data Entry - SOF'!S$102,0)</f>
        <v>0</v>
      </c>
    </row>
    <row r="780" spans="1:22" ht="15.75">
      <c r="A780" s="382" t="s">
        <v>692</v>
      </c>
      <c r="B780" s="91">
        <v>822414</v>
      </c>
      <c r="C780" s="944">
        <f>IF(A780='Data Entry - SOF'!B$2,'Report-SOF1718'!D$102,0)</f>
        <v>0</v>
      </c>
      <c r="D780" s="1037">
        <f>IF(A780='Data Entry - SOF'!B$2,'Data Entry - SOF'!#REF!,0)</f>
        <v>0</v>
      </c>
      <c r="E780" s="91">
        <f t="shared" si="72"/>
        <v>822414</v>
      </c>
      <c r="F780" s="944">
        <f>IF(A780='Data Entry - SOF'!B$2,'Report-SOF1819'!D$102,0)</f>
        <v>0</v>
      </c>
      <c r="G780" s="1037">
        <f>IF(A780='Data Entry - SOF'!B$2,'Data Entry - SOF'!E$102,0)</f>
        <v>0</v>
      </c>
      <c r="H780" s="1038">
        <f t="shared" si="74"/>
        <v>822414</v>
      </c>
      <c r="I780" s="944">
        <f>IF(A780='Data Entry - SOF'!B$2,'Report-SOF1920-HB3'!D$102,0)</f>
        <v>0</v>
      </c>
      <c r="J780" s="1037">
        <f>IF(A780='Data Entry - SOF'!B$2,'Data Entry - SOF'!G$102,0)</f>
        <v>0</v>
      </c>
      <c r="K780" s="717">
        <f t="shared" si="75"/>
        <v>822414</v>
      </c>
      <c r="L780" s="944">
        <f>IF(A780='Data Entry - SOF'!B$2,'Report-SOF2021'!D$99,0)</f>
        <v>0</v>
      </c>
      <c r="M780" s="723">
        <f>IF(A780='Data Entry - SOF'!B$2,'Data Entry - SOF'!M$102,0)</f>
        <v>0</v>
      </c>
      <c r="N780" s="717">
        <f t="shared" si="76"/>
        <v>822414</v>
      </c>
      <c r="O780" s="944">
        <f>IF(A780='Data Entry - SOF'!B$2,'Report-SOF2122'!D$91,0)</f>
        <v>0</v>
      </c>
      <c r="P780" s="723">
        <f>IF(A780='Data Entry - SOF'!B$2,'Data Entry - SOF'!O$102,0)</f>
        <v>0</v>
      </c>
      <c r="Q780" s="601">
        <f t="shared" si="73"/>
        <v>822414</v>
      </c>
      <c r="R780" s="944">
        <f>IF(A780='Data Entry - SOF'!B$2,'Report-SOF2223'!D$91,0)</f>
        <v>0</v>
      </c>
      <c r="S780" s="723">
        <f>IF(A780='Data Entry - SOF'!B$2,'Data Entry - SOF'!Q$102,0)</f>
        <v>0</v>
      </c>
      <c r="T780" s="601">
        <f t="shared" si="77"/>
        <v>822414</v>
      </c>
      <c r="U780" s="944">
        <f>IF(A780='Data Entry - SOF'!B$2,'Report-SOF2324'!D$91,0)</f>
        <v>0</v>
      </c>
      <c r="V780" s="723">
        <f>IF(A780='Data Entry - SOF'!B$2,'Data Entry - SOF'!S$102,0)</f>
        <v>0</v>
      </c>
    </row>
    <row r="781" spans="1:22" ht="15.75">
      <c r="A781" s="382" t="s">
        <v>2548</v>
      </c>
      <c r="B781" s="91">
        <v>1352166</v>
      </c>
      <c r="C781" s="944">
        <f>IF(A781='Data Entry - SOF'!B$2,'Report-SOF1718'!D$102,0)</f>
        <v>0</v>
      </c>
      <c r="D781" s="1037">
        <f>IF(A781='Data Entry - SOF'!B$2,'Data Entry - SOF'!#REF!,0)</f>
        <v>0</v>
      </c>
      <c r="E781" s="91">
        <f t="shared" si="72"/>
        <v>1352166</v>
      </c>
      <c r="F781" s="944">
        <f>IF(A781='Data Entry - SOF'!B$2,'Report-SOF1819'!D$102,0)</f>
        <v>0</v>
      </c>
      <c r="G781" s="1037">
        <f>IF(A781='Data Entry - SOF'!B$2,'Data Entry - SOF'!E$102,0)</f>
        <v>0</v>
      </c>
      <c r="H781" s="1038">
        <f t="shared" si="74"/>
        <v>1352166</v>
      </c>
      <c r="I781" s="944">
        <f>IF(A781='Data Entry - SOF'!B$2,'Report-SOF1920-HB3'!D$102,0)</f>
        <v>0</v>
      </c>
      <c r="J781" s="1037">
        <f>IF(A781='Data Entry - SOF'!B$2,'Data Entry - SOF'!G$102,0)</f>
        <v>0</v>
      </c>
      <c r="K781" s="717">
        <f t="shared" si="75"/>
        <v>1352166</v>
      </c>
      <c r="L781" s="944">
        <f>IF(A781='Data Entry - SOF'!B$2,'Report-SOF2021'!D$99,0)</f>
        <v>0</v>
      </c>
      <c r="M781" s="723">
        <f>IF(A781='Data Entry - SOF'!B$2,'Data Entry - SOF'!M$102,0)</f>
        <v>0</v>
      </c>
      <c r="N781" s="717">
        <f t="shared" si="76"/>
        <v>1352166</v>
      </c>
      <c r="O781" s="944">
        <f>IF(A781='Data Entry - SOF'!B$2,'Report-SOF2122'!D$91,0)</f>
        <v>0</v>
      </c>
      <c r="P781" s="723">
        <f>IF(A781='Data Entry - SOF'!B$2,'Data Entry - SOF'!O$102,0)</f>
        <v>0</v>
      </c>
      <c r="Q781" s="601">
        <f t="shared" si="73"/>
        <v>1352166</v>
      </c>
      <c r="R781" s="944">
        <f>IF(A781='Data Entry - SOF'!B$2,'Report-SOF2223'!D$91,0)</f>
        <v>0</v>
      </c>
      <c r="S781" s="723">
        <f>IF(A781='Data Entry - SOF'!B$2,'Data Entry - SOF'!Q$102,0)</f>
        <v>0</v>
      </c>
      <c r="T781" s="601">
        <f t="shared" si="77"/>
        <v>1352166</v>
      </c>
      <c r="U781" s="944">
        <f>IF(A781='Data Entry - SOF'!B$2,'Report-SOF2324'!D$91,0)</f>
        <v>0</v>
      </c>
      <c r="V781" s="723">
        <f>IF(A781='Data Entry - SOF'!B$2,'Data Entry - SOF'!S$102,0)</f>
        <v>0</v>
      </c>
    </row>
    <row r="782" spans="1:22" ht="15.75">
      <c r="A782" s="382" t="s">
        <v>693</v>
      </c>
      <c r="B782" s="91">
        <v>1471696</v>
      </c>
      <c r="C782" s="944">
        <f>IF(A782='Data Entry - SOF'!B$2,'Report-SOF1718'!D$102,0)</f>
        <v>0</v>
      </c>
      <c r="D782" s="1037">
        <f>IF(A782='Data Entry - SOF'!B$2,'Data Entry - SOF'!#REF!,0)</f>
        <v>0</v>
      </c>
      <c r="E782" s="91">
        <f t="shared" si="72"/>
        <v>1471696</v>
      </c>
      <c r="F782" s="944">
        <f>IF(A782='Data Entry - SOF'!B$2,'Report-SOF1819'!D$102,0)</f>
        <v>0</v>
      </c>
      <c r="G782" s="1037">
        <f>IF(A782='Data Entry - SOF'!B$2,'Data Entry - SOF'!E$102,0)</f>
        <v>0</v>
      </c>
      <c r="H782" s="1038">
        <f t="shared" si="74"/>
        <v>1471696</v>
      </c>
      <c r="I782" s="944">
        <f>IF(A782='Data Entry - SOF'!B$2,'Report-SOF1920-HB3'!D$102,0)</f>
        <v>0</v>
      </c>
      <c r="J782" s="1037">
        <f>IF(A782='Data Entry - SOF'!B$2,'Data Entry - SOF'!G$102,0)</f>
        <v>0</v>
      </c>
      <c r="K782" s="717">
        <f t="shared" si="75"/>
        <v>1471696</v>
      </c>
      <c r="L782" s="944">
        <f>IF(A782='Data Entry - SOF'!B$2,'Report-SOF2021'!D$99,0)</f>
        <v>0</v>
      </c>
      <c r="M782" s="723">
        <f>IF(A782='Data Entry - SOF'!B$2,'Data Entry - SOF'!M$102,0)</f>
        <v>0</v>
      </c>
      <c r="N782" s="717">
        <f t="shared" si="76"/>
        <v>1471696</v>
      </c>
      <c r="O782" s="944">
        <f>IF(A782='Data Entry - SOF'!B$2,'Report-SOF2122'!D$91,0)</f>
        <v>0</v>
      </c>
      <c r="P782" s="723">
        <f>IF(A782='Data Entry - SOF'!B$2,'Data Entry - SOF'!O$102,0)</f>
        <v>0</v>
      </c>
      <c r="Q782" s="601">
        <f t="shared" si="73"/>
        <v>1471696</v>
      </c>
      <c r="R782" s="944">
        <f>IF(A782='Data Entry - SOF'!B$2,'Report-SOF2223'!D$91,0)</f>
        <v>0</v>
      </c>
      <c r="S782" s="723">
        <f>IF(A782='Data Entry - SOF'!B$2,'Data Entry - SOF'!Q$102,0)</f>
        <v>0</v>
      </c>
      <c r="T782" s="601">
        <f t="shared" si="77"/>
        <v>1471696</v>
      </c>
      <c r="U782" s="944">
        <f>IF(A782='Data Entry - SOF'!B$2,'Report-SOF2324'!D$91,0)</f>
        <v>0</v>
      </c>
      <c r="V782" s="723">
        <f>IF(A782='Data Entry - SOF'!B$2,'Data Entry - SOF'!S$102,0)</f>
        <v>0</v>
      </c>
    </row>
    <row r="783" spans="1:22" ht="15.75">
      <c r="A783" s="382" t="s">
        <v>1773</v>
      </c>
      <c r="B783" s="91">
        <v>5400663</v>
      </c>
      <c r="C783" s="944">
        <f>IF(A783='Data Entry - SOF'!B$2,'Report-SOF1718'!D$102,0)</f>
        <v>0</v>
      </c>
      <c r="D783" s="1037">
        <f>IF(A783='Data Entry - SOF'!B$2,'Data Entry - SOF'!#REF!,0)</f>
        <v>0</v>
      </c>
      <c r="E783" s="91">
        <f t="shared" si="72"/>
        <v>5400663</v>
      </c>
      <c r="F783" s="944">
        <f>IF(A783='Data Entry - SOF'!B$2,'Report-SOF1819'!D$102,0)</f>
        <v>0</v>
      </c>
      <c r="G783" s="1037">
        <f>IF(A783='Data Entry - SOF'!B$2,'Data Entry - SOF'!E$102,0)</f>
        <v>0</v>
      </c>
      <c r="H783" s="1038">
        <f t="shared" si="74"/>
        <v>5400663</v>
      </c>
      <c r="I783" s="944">
        <f>IF(A783='Data Entry - SOF'!B$2,'Report-SOF1920-HB3'!D$102,0)</f>
        <v>0</v>
      </c>
      <c r="J783" s="1037">
        <f>IF(A783='Data Entry - SOF'!B$2,'Data Entry - SOF'!G$102,0)</f>
        <v>0</v>
      </c>
      <c r="K783" s="717">
        <f t="shared" si="75"/>
        <v>5400663</v>
      </c>
      <c r="L783" s="944">
        <f>IF(A783='Data Entry - SOF'!B$2,'Report-SOF2021'!D$99,0)</f>
        <v>0</v>
      </c>
      <c r="M783" s="723">
        <f>IF(A783='Data Entry - SOF'!B$2,'Data Entry - SOF'!M$102,0)</f>
        <v>0</v>
      </c>
      <c r="N783" s="717">
        <f t="shared" si="76"/>
        <v>5400663</v>
      </c>
      <c r="O783" s="944">
        <f>IF(A783='Data Entry - SOF'!B$2,'Report-SOF2122'!D$91,0)</f>
        <v>0</v>
      </c>
      <c r="P783" s="723">
        <f>IF(A783='Data Entry - SOF'!B$2,'Data Entry - SOF'!O$102,0)</f>
        <v>0</v>
      </c>
      <c r="Q783" s="601">
        <f t="shared" si="73"/>
        <v>5400663</v>
      </c>
      <c r="R783" s="944">
        <f>IF(A783='Data Entry - SOF'!B$2,'Report-SOF2223'!D$91,0)</f>
        <v>0</v>
      </c>
      <c r="S783" s="723">
        <f>IF(A783='Data Entry - SOF'!B$2,'Data Entry - SOF'!Q$102,0)</f>
        <v>0</v>
      </c>
      <c r="T783" s="601">
        <f t="shared" si="77"/>
        <v>5400663</v>
      </c>
      <c r="U783" s="944">
        <f>IF(A783='Data Entry - SOF'!B$2,'Report-SOF2324'!D$91,0)</f>
        <v>0</v>
      </c>
      <c r="V783" s="723">
        <f>IF(A783='Data Entry - SOF'!B$2,'Data Entry - SOF'!S$102,0)</f>
        <v>0</v>
      </c>
    </row>
    <row r="784" spans="1:22" ht="15.75">
      <c r="A784" s="382" t="s">
        <v>1213</v>
      </c>
      <c r="B784" s="91">
        <v>5063771</v>
      </c>
      <c r="C784" s="944">
        <f>IF(A784='Data Entry - SOF'!B$2,'Report-SOF1718'!D$102,0)</f>
        <v>0</v>
      </c>
      <c r="D784" s="1037">
        <f>IF(A784='Data Entry - SOF'!B$2,'Data Entry - SOF'!#REF!,0)</f>
        <v>0</v>
      </c>
      <c r="E784" s="91">
        <f t="shared" si="72"/>
        <v>5063771</v>
      </c>
      <c r="F784" s="944">
        <f>IF(A784='Data Entry - SOF'!B$2,'Report-SOF1819'!D$102,0)</f>
        <v>0</v>
      </c>
      <c r="G784" s="1037">
        <f>IF(A784='Data Entry - SOF'!B$2,'Data Entry - SOF'!E$102,0)</f>
        <v>0</v>
      </c>
      <c r="H784" s="1038">
        <f t="shared" si="74"/>
        <v>5063771</v>
      </c>
      <c r="I784" s="944">
        <f>IF(A784='Data Entry - SOF'!B$2,'Report-SOF1920-HB3'!D$102,0)</f>
        <v>0</v>
      </c>
      <c r="J784" s="1037">
        <f>IF(A784='Data Entry - SOF'!B$2,'Data Entry - SOF'!G$102,0)</f>
        <v>0</v>
      </c>
      <c r="K784" s="717">
        <f t="shared" si="75"/>
        <v>5063771</v>
      </c>
      <c r="L784" s="944">
        <f>IF(A784='Data Entry - SOF'!B$2,'Report-SOF2021'!D$99,0)</f>
        <v>0</v>
      </c>
      <c r="M784" s="723">
        <f>IF(A784='Data Entry - SOF'!B$2,'Data Entry - SOF'!M$102,0)</f>
        <v>0</v>
      </c>
      <c r="N784" s="717">
        <f t="shared" si="76"/>
        <v>5063771</v>
      </c>
      <c r="O784" s="944">
        <f>IF(A784='Data Entry - SOF'!B$2,'Report-SOF2122'!D$91,0)</f>
        <v>0</v>
      </c>
      <c r="P784" s="723">
        <f>IF(A784='Data Entry - SOF'!B$2,'Data Entry - SOF'!O$102,0)</f>
        <v>0</v>
      </c>
      <c r="Q784" s="601">
        <f t="shared" si="73"/>
        <v>5063771</v>
      </c>
      <c r="R784" s="944">
        <f>IF(A784='Data Entry - SOF'!B$2,'Report-SOF2223'!D$91,0)</f>
        <v>0</v>
      </c>
      <c r="S784" s="723">
        <f>IF(A784='Data Entry - SOF'!B$2,'Data Entry - SOF'!Q$102,0)</f>
        <v>0</v>
      </c>
      <c r="T784" s="601">
        <f t="shared" si="77"/>
        <v>5063771</v>
      </c>
      <c r="U784" s="944">
        <f>IF(A784='Data Entry - SOF'!B$2,'Report-SOF2324'!D$91,0)</f>
        <v>0</v>
      </c>
      <c r="V784" s="723">
        <f>IF(A784='Data Entry - SOF'!B$2,'Data Entry - SOF'!S$102,0)</f>
        <v>0</v>
      </c>
    </row>
    <row r="785" spans="1:22" ht="15.75">
      <c r="A785" s="382" t="s">
        <v>1639</v>
      </c>
      <c r="B785" s="91">
        <v>52775586</v>
      </c>
      <c r="C785" s="944">
        <f>IF(A785='Data Entry - SOF'!B$2,'Report-SOF1718'!D$102,0)</f>
        <v>0</v>
      </c>
      <c r="D785" s="1037">
        <f>IF(A785='Data Entry - SOF'!B$2,'Data Entry - SOF'!#REF!,0)</f>
        <v>0</v>
      </c>
      <c r="E785" s="91">
        <f t="shared" si="72"/>
        <v>52775586</v>
      </c>
      <c r="F785" s="944">
        <f>IF(A785='Data Entry - SOF'!B$2,'Report-SOF1819'!D$102,0)</f>
        <v>0</v>
      </c>
      <c r="G785" s="1037">
        <f>IF(A785='Data Entry - SOF'!B$2,'Data Entry - SOF'!E$102,0)</f>
        <v>0</v>
      </c>
      <c r="H785" s="1038">
        <f t="shared" si="74"/>
        <v>52775586</v>
      </c>
      <c r="I785" s="944">
        <f>IF(A785='Data Entry - SOF'!B$2,'Report-SOF1920-HB3'!D$102,0)</f>
        <v>0</v>
      </c>
      <c r="J785" s="1037">
        <f>IF(A785='Data Entry - SOF'!B$2,'Data Entry - SOF'!G$102,0)</f>
        <v>0</v>
      </c>
      <c r="K785" s="717">
        <f t="shared" si="75"/>
        <v>52775586</v>
      </c>
      <c r="L785" s="944">
        <f>IF(A785='Data Entry - SOF'!B$2,'Report-SOF2021'!D$99,0)</f>
        <v>0</v>
      </c>
      <c r="M785" s="723">
        <f>IF(A785='Data Entry - SOF'!B$2,'Data Entry - SOF'!M$102,0)</f>
        <v>0</v>
      </c>
      <c r="N785" s="717">
        <f t="shared" si="76"/>
        <v>52775586</v>
      </c>
      <c r="O785" s="944">
        <f>IF(A785='Data Entry - SOF'!B$2,'Report-SOF2122'!D$91,0)</f>
        <v>0</v>
      </c>
      <c r="P785" s="723">
        <f>IF(A785='Data Entry - SOF'!B$2,'Data Entry - SOF'!O$102,0)</f>
        <v>0</v>
      </c>
      <c r="Q785" s="601">
        <f t="shared" si="73"/>
        <v>52775586</v>
      </c>
      <c r="R785" s="944">
        <f>IF(A785='Data Entry - SOF'!B$2,'Report-SOF2223'!D$91,0)</f>
        <v>0</v>
      </c>
      <c r="S785" s="723">
        <f>IF(A785='Data Entry - SOF'!B$2,'Data Entry - SOF'!Q$102,0)</f>
        <v>0</v>
      </c>
      <c r="T785" s="601">
        <f t="shared" si="77"/>
        <v>52775586</v>
      </c>
      <c r="U785" s="944">
        <f>IF(A785='Data Entry - SOF'!B$2,'Report-SOF2324'!D$91,0)</f>
        <v>0</v>
      </c>
      <c r="V785" s="723">
        <f>IF(A785='Data Entry - SOF'!B$2,'Data Entry - SOF'!S$102,0)</f>
        <v>0</v>
      </c>
    </row>
    <row r="786" spans="1:22" ht="15.75">
      <c r="A786" s="382" t="s">
        <v>199</v>
      </c>
      <c r="B786" s="91">
        <v>2577250</v>
      </c>
      <c r="C786" s="944">
        <f>IF(A786='Data Entry - SOF'!B$2,'Report-SOF1718'!D$102,0)</f>
        <v>0</v>
      </c>
      <c r="D786" s="1037">
        <f>IF(A786='Data Entry - SOF'!B$2,'Data Entry - SOF'!#REF!,0)</f>
        <v>0</v>
      </c>
      <c r="E786" s="91">
        <f t="shared" si="72"/>
        <v>2577250</v>
      </c>
      <c r="F786" s="944">
        <f>IF(A786='Data Entry - SOF'!B$2,'Report-SOF1819'!D$102,0)</f>
        <v>0</v>
      </c>
      <c r="G786" s="1037">
        <f>IF(A786='Data Entry - SOF'!B$2,'Data Entry - SOF'!E$102,0)</f>
        <v>0</v>
      </c>
      <c r="H786" s="1038">
        <f t="shared" si="74"/>
        <v>2577250</v>
      </c>
      <c r="I786" s="944">
        <f>IF(A786='Data Entry - SOF'!B$2,'Report-SOF1920-HB3'!D$102,0)</f>
        <v>0</v>
      </c>
      <c r="J786" s="1037">
        <f>IF(A786='Data Entry - SOF'!B$2,'Data Entry - SOF'!G$102,0)</f>
        <v>0</v>
      </c>
      <c r="K786" s="717">
        <f t="shared" si="75"/>
        <v>2577250</v>
      </c>
      <c r="L786" s="944">
        <f>IF(A786='Data Entry - SOF'!B$2,'Report-SOF2021'!D$99,0)</f>
        <v>0</v>
      </c>
      <c r="M786" s="723">
        <f>IF(A786='Data Entry - SOF'!B$2,'Data Entry - SOF'!M$102,0)</f>
        <v>0</v>
      </c>
      <c r="N786" s="717">
        <f t="shared" si="76"/>
        <v>2577250</v>
      </c>
      <c r="O786" s="944">
        <f>IF(A786='Data Entry - SOF'!B$2,'Report-SOF2122'!D$91,0)</f>
        <v>0</v>
      </c>
      <c r="P786" s="723">
        <f>IF(A786='Data Entry - SOF'!B$2,'Data Entry - SOF'!O$102,0)</f>
        <v>0</v>
      </c>
      <c r="Q786" s="601">
        <f t="shared" si="73"/>
        <v>2577250</v>
      </c>
      <c r="R786" s="944">
        <f>IF(A786='Data Entry - SOF'!B$2,'Report-SOF2223'!D$91,0)</f>
        <v>0</v>
      </c>
      <c r="S786" s="723">
        <f>IF(A786='Data Entry - SOF'!B$2,'Data Entry - SOF'!Q$102,0)</f>
        <v>0</v>
      </c>
      <c r="T786" s="601">
        <f t="shared" si="77"/>
        <v>2577250</v>
      </c>
      <c r="U786" s="944">
        <f>IF(A786='Data Entry - SOF'!B$2,'Report-SOF2324'!D$91,0)</f>
        <v>0</v>
      </c>
      <c r="V786" s="723">
        <f>IF(A786='Data Entry - SOF'!B$2,'Data Entry - SOF'!S$102,0)</f>
        <v>0</v>
      </c>
    </row>
    <row r="787" spans="1:22" ht="15.75">
      <c r="A787" s="382" t="s">
        <v>572</v>
      </c>
      <c r="B787" s="91">
        <v>8276066</v>
      </c>
      <c r="C787" s="944">
        <f>IF(A787='Data Entry - SOF'!B$2,'Report-SOF1718'!D$102,0)</f>
        <v>0</v>
      </c>
      <c r="D787" s="1037">
        <f>IF(A787='Data Entry - SOF'!B$2,'Data Entry - SOF'!#REF!,0)</f>
        <v>0</v>
      </c>
      <c r="E787" s="91">
        <f t="shared" si="72"/>
        <v>8276066</v>
      </c>
      <c r="F787" s="944">
        <f>IF(A787='Data Entry - SOF'!B$2,'Report-SOF1819'!D$102,0)</f>
        <v>0</v>
      </c>
      <c r="G787" s="1037">
        <f>IF(A787='Data Entry - SOF'!B$2,'Data Entry - SOF'!E$102,0)</f>
        <v>0</v>
      </c>
      <c r="H787" s="1038">
        <f t="shared" si="74"/>
        <v>8276066</v>
      </c>
      <c r="I787" s="944">
        <f>IF(A787='Data Entry - SOF'!B$2,'Report-SOF1920-HB3'!D$102,0)</f>
        <v>0</v>
      </c>
      <c r="J787" s="1037">
        <f>IF(A787='Data Entry - SOF'!B$2,'Data Entry - SOF'!G$102,0)</f>
        <v>0</v>
      </c>
      <c r="K787" s="717">
        <f t="shared" si="75"/>
        <v>8276066</v>
      </c>
      <c r="L787" s="944">
        <f>IF(A787='Data Entry - SOF'!B$2,'Report-SOF2021'!D$99,0)</f>
        <v>0</v>
      </c>
      <c r="M787" s="723">
        <f>IF(A787='Data Entry - SOF'!B$2,'Data Entry - SOF'!M$102,0)</f>
        <v>0</v>
      </c>
      <c r="N787" s="717">
        <f t="shared" si="76"/>
        <v>8276066</v>
      </c>
      <c r="O787" s="944">
        <f>IF(A787='Data Entry - SOF'!B$2,'Report-SOF2122'!D$91,0)</f>
        <v>0</v>
      </c>
      <c r="P787" s="723">
        <f>IF(A787='Data Entry - SOF'!B$2,'Data Entry - SOF'!O$102,0)</f>
        <v>0</v>
      </c>
      <c r="Q787" s="601">
        <f t="shared" si="73"/>
        <v>8276066</v>
      </c>
      <c r="R787" s="944">
        <f>IF(A787='Data Entry - SOF'!B$2,'Report-SOF2223'!D$91,0)</f>
        <v>0</v>
      </c>
      <c r="S787" s="723">
        <f>IF(A787='Data Entry - SOF'!B$2,'Data Entry - SOF'!Q$102,0)</f>
        <v>0</v>
      </c>
      <c r="T787" s="601">
        <f t="shared" si="77"/>
        <v>8276066</v>
      </c>
      <c r="U787" s="944">
        <f>IF(A787='Data Entry - SOF'!B$2,'Report-SOF2324'!D$91,0)</f>
        <v>0</v>
      </c>
      <c r="V787" s="723">
        <f>IF(A787='Data Entry - SOF'!B$2,'Data Entry - SOF'!S$102,0)</f>
        <v>0</v>
      </c>
    </row>
    <row r="788" spans="1:22" ht="15.75">
      <c r="A788" s="382" t="s">
        <v>2181</v>
      </c>
      <c r="B788" s="91">
        <v>15860405.046459399</v>
      </c>
      <c r="C788" s="944">
        <f>IF(A788='Data Entry - SOF'!B$2,'Report-SOF1718'!D$102,0)</f>
        <v>0</v>
      </c>
      <c r="D788" s="1037">
        <f>IF(A788='Data Entry - SOF'!B$2,'Data Entry - SOF'!#REF!,0)</f>
        <v>0</v>
      </c>
      <c r="E788" s="91">
        <f t="shared" si="72"/>
        <v>15860405.046459399</v>
      </c>
      <c r="F788" s="944">
        <f>IF(A788='Data Entry - SOF'!B$2,'Report-SOF1819'!D$102,0)</f>
        <v>0</v>
      </c>
      <c r="G788" s="1037">
        <f>IF(A788='Data Entry - SOF'!B$2,'Data Entry - SOF'!E$102,0)</f>
        <v>0</v>
      </c>
      <c r="H788" s="1038">
        <f t="shared" si="74"/>
        <v>15860405.046459399</v>
      </c>
      <c r="I788" s="944">
        <f>IF(A788='Data Entry - SOF'!B$2,'Report-SOF1920-HB3'!D$102,0)</f>
        <v>0</v>
      </c>
      <c r="J788" s="1037">
        <f>IF(A788='Data Entry - SOF'!B$2,'Data Entry - SOF'!G$102,0)</f>
        <v>0</v>
      </c>
      <c r="K788" s="717">
        <f t="shared" si="75"/>
        <v>15860405.046459399</v>
      </c>
      <c r="L788" s="944">
        <f>IF(A788='Data Entry - SOF'!B$2,'Report-SOF2021'!D$99,0)</f>
        <v>0</v>
      </c>
      <c r="M788" s="723">
        <f>IF(A788='Data Entry - SOF'!B$2,'Data Entry - SOF'!M$102,0)</f>
        <v>0</v>
      </c>
      <c r="N788" s="717">
        <f t="shared" si="76"/>
        <v>15860405.046459399</v>
      </c>
      <c r="O788" s="944">
        <f>IF(A788='Data Entry - SOF'!B$2,'Report-SOF2122'!D$91,0)</f>
        <v>0</v>
      </c>
      <c r="P788" s="723">
        <f>IF(A788='Data Entry - SOF'!B$2,'Data Entry - SOF'!O$102,0)</f>
        <v>0</v>
      </c>
      <c r="Q788" s="601">
        <f t="shared" si="73"/>
        <v>15860405.046459399</v>
      </c>
      <c r="R788" s="944">
        <f>IF(A788='Data Entry - SOF'!B$2,'Report-SOF2223'!D$91,0)</f>
        <v>0</v>
      </c>
      <c r="S788" s="723">
        <f>IF(A788='Data Entry - SOF'!B$2,'Data Entry - SOF'!Q$102,0)</f>
        <v>0</v>
      </c>
      <c r="T788" s="601">
        <f t="shared" si="77"/>
        <v>15860405.046459399</v>
      </c>
      <c r="U788" s="944">
        <f>IF(A788='Data Entry - SOF'!B$2,'Report-SOF2324'!D$91,0)</f>
        <v>0</v>
      </c>
      <c r="V788" s="723">
        <f>IF(A788='Data Entry - SOF'!B$2,'Data Entry - SOF'!S$102,0)</f>
        <v>0</v>
      </c>
    </row>
    <row r="789" spans="1:22" ht="15.75">
      <c r="A789" s="382" t="s">
        <v>1468</v>
      </c>
      <c r="B789" s="91">
        <v>2187887</v>
      </c>
      <c r="C789" s="944">
        <f>IF(A789='Data Entry - SOF'!B$2,'Report-SOF1718'!D$102,0)</f>
        <v>0</v>
      </c>
      <c r="D789" s="1037">
        <f>IF(A789='Data Entry - SOF'!B$2,'Data Entry - SOF'!#REF!,0)</f>
        <v>0</v>
      </c>
      <c r="E789" s="91">
        <f t="shared" si="72"/>
        <v>2187887</v>
      </c>
      <c r="F789" s="944">
        <f>IF(A789='Data Entry - SOF'!B$2,'Report-SOF1819'!D$102,0)</f>
        <v>0</v>
      </c>
      <c r="G789" s="1037">
        <f>IF(A789='Data Entry - SOF'!B$2,'Data Entry - SOF'!E$102,0)</f>
        <v>0</v>
      </c>
      <c r="H789" s="1038">
        <f t="shared" si="74"/>
        <v>2187887</v>
      </c>
      <c r="I789" s="944">
        <f>IF(A789='Data Entry - SOF'!B$2,'Report-SOF1920-HB3'!D$102,0)</f>
        <v>0</v>
      </c>
      <c r="J789" s="1037">
        <f>IF(A789='Data Entry - SOF'!B$2,'Data Entry - SOF'!G$102,0)</f>
        <v>0</v>
      </c>
      <c r="K789" s="717">
        <f t="shared" si="75"/>
        <v>2187887</v>
      </c>
      <c r="L789" s="944">
        <f>IF(A789='Data Entry - SOF'!B$2,'Report-SOF2021'!D$99,0)</f>
        <v>0</v>
      </c>
      <c r="M789" s="723">
        <f>IF(A789='Data Entry - SOF'!B$2,'Data Entry - SOF'!M$102,0)</f>
        <v>0</v>
      </c>
      <c r="N789" s="717">
        <f t="shared" si="76"/>
        <v>2187887</v>
      </c>
      <c r="O789" s="944">
        <f>IF(A789='Data Entry - SOF'!B$2,'Report-SOF2122'!D$91,0)</f>
        <v>0</v>
      </c>
      <c r="P789" s="723">
        <f>IF(A789='Data Entry - SOF'!B$2,'Data Entry - SOF'!O$102,0)</f>
        <v>0</v>
      </c>
      <c r="Q789" s="601">
        <f t="shared" si="73"/>
        <v>2187887</v>
      </c>
      <c r="R789" s="944">
        <f>IF(A789='Data Entry - SOF'!B$2,'Report-SOF2223'!D$91,0)</f>
        <v>0</v>
      </c>
      <c r="S789" s="723">
        <f>IF(A789='Data Entry - SOF'!B$2,'Data Entry - SOF'!Q$102,0)</f>
        <v>0</v>
      </c>
      <c r="T789" s="601">
        <f t="shared" si="77"/>
        <v>2187887</v>
      </c>
      <c r="U789" s="944">
        <f>IF(A789='Data Entry - SOF'!B$2,'Report-SOF2324'!D$91,0)</f>
        <v>0</v>
      </c>
      <c r="V789" s="723">
        <f>IF(A789='Data Entry - SOF'!B$2,'Data Entry - SOF'!S$102,0)</f>
        <v>0</v>
      </c>
    </row>
    <row r="790" spans="1:22" ht="15.75">
      <c r="A790" s="382" t="s">
        <v>217</v>
      </c>
      <c r="B790" s="91">
        <v>1127030</v>
      </c>
      <c r="C790" s="944">
        <f>IF(A790='Data Entry - SOF'!B$2,'Report-SOF1718'!D$102,0)</f>
        <v>0</v>
      </c>
      <c r="D790" s="1037">
        <f>IF(A790='Data Entry - SOF'!B$2,'Data Entry - SOF'!#REF!,0)</f>
        <v>0</v>
      </c>
      <c r="E790" s="91">
        <f t="shared" si="72"/>
        <v>1127030</v>
      </c>
      <c r="F790" s="944">
        <f>IF(A790='Data Entry - SOF'!B$2,'Report-SOF1819'!D$102,0)</f>
        <v>0</v>
      </c>
      <c r="G790" s="1037">
        <f>IF(A790='Data Entry - SOF'!B$2,'Data Entry - SOF'!E$102,0)</f>
        <v>0</v>
      </c>
      <c r="H790" s="1038">
        <f t="shared" si="74"/>
        <v>1127030</v>
      </c>
      <c r="I790" s="944">
        <f>IF(A790='Data Entry - SOF'!B$2,'Report-SOF1920-HB3'!D$102,0)</f>
        <v>0</v>
      </c>
      <c r="J790" s="1037">
        <f>IF(A790='Data Entry - SOF'!B$2,'Data Entry - SOF'!G$102,0)</f>
        <v>0</v>
      </c>
      <c r="K790" s="717">
        <f t="shared" si="75"/>
        <v>1127030</v>
      </c>
      <c r="L790" s="944">
        <f>IF(A790='Data Entry - SOF'!B$2,'Report-SOF2021'!D$99,0)</f>
        <v>0</v>
      </c>
      <c r="M790" s="723">
        <f>IF(A790='Data Entry - SOF'!B$2,'Data Entry - SOF'!M$102,0)</f>
        <v>0</v>
      </c>
      <c r="N790" s="717">
        <f t="shared" si="76"/>
        <v>1127030</v>
      </c>
      <c r="O790" s="944">
        <f>IF(A790='Data Entry - SOF'!B$2,'Report-SOF2122'!D$91,0)</f>
        <v>0</v>
      </c>
      <c r="P790" s="723">
        <f>IF(A790='Data Entry - SOF'!B$2,'Data Entry - SOF'!O$102,0)</f>
        <v>0</v>
      </c>
      <c r="Q790" s="601">
        <f t="shared" si="73"/>
        <v>1127030</v>
      </c>
      <c r="R790" s="944">
        <f>IF(A790='Data Entry - SOF'!B$2,'Report-SOF2223'!D$91,0)</f>
        <v>0</v>
      </c>
      <c r="S790" s="723">
        <f>IF(A790='Data Entry - SOF'!B$2,'Data Entry - SOF'!Q$102,0)</f>
        <v>0</v>
      </c>
      <c r="T790" s="601">
        <f t="shared" si="77"/>
        <v>1127030</v>
      </c>
      <c r="U790" s="944">
        <f>IF(A790='Data Entry - SOF'!B$2,'Report-SOF2324'!D$91,0)</f>
        <v>0</v>
      </c>
      <c r="V790" s="723">
        <f>IF(A790='Data Entry - SOF'!B$2,'Data Entry - SOF'!S$102,0)</f>
        <v>0</v>
      </c>
    </row>
    <row r="791" spans="1:22" ht="15.75">
      <c r="A791" s="382" t="s">
        <v>1289</v>
      </c>
      <c r="B791" s="91">
        <v>3681091</v>
      </c>
      <c r="C791" s="944">
        <f>IF(A791='Data Entry - SOF'!B$2,'Report-SOF1718'!D$102,0)</f>
        <v>0</v>
      </c>
      <c r="D791" s="1037">
        <f>IF(A791='Data Entry - SOF'!B$2,'Data Entry - SOF'!#REF!,0)</f>
        <v>0</v>
      </c>
      <c r="E791" s="91">
        <f t="shared" si="72"/>
        <v>3681091</v>
      </c>
      <c r="F791" s="944">
        <f>IF(A791='Data Entry - SOF'!B$2,'Report-SOF1819'!D$102,0)</f>
        <v>0</v>
      </c>
      <c r="G791" s="1037">
        <f>IF(A791='Data Entry - SOF'!B$2,'Data Entry - SOF'!E$102,0)</f>
        <v>0</v>
      </c>
      <c r="H791" s="1038">
        <f t="shared" si="74"/>
        <v>3681091</v>
      </c>
      <c r="I791" s="944">
        <f>IF(A791='Data Entry - SOF'!B$2,'Report-SOF1920-HB3'!D$102,0)</f>
        <v>0</v>
      </c>
      <c r="J791" s="1037">
        <f>IF(A791='Data Entry - SOF'!B$2,'Data Entry - SOF'!G$102,0)</f>
        <v>0</v>
      </c>
      <c r="K791" s="717">
        <f t="shared" si="75"/>
        <v>3681091</v>
      </c>
      <c r="L791" s="944">
        <f>IF(A791='Data Entry - SOF'!B$2,'Report-SOF2021'!D$99,0)</f>
        <v>0</v>
      </c>
      <c r="M791" s="723">
        <f>IF(A791='Data Entry - SOF'!B$2,'Data Entry - SOF'!M$102,0)</f>
        <v>0</v>
      </c>
      <c r="N791" s="717">
        <f t="shared" si="76"/>
        <v>3681091</v>
      </c>
      <c r="O791" s="944">
        <f>IF(A791='Data Entry - SOF'!B$2,'Report-SOF2122'!D$91,0)</f>
        <v>0</v>
      </c>
      <c r="P791" s="723">
        <f>IF(A791='Data Entry - SOF'!B$2,'Data Entry - SOF'!O$102,0)</f>
        <v>0</v>
      </c>
      <c r="Q791" s="601">
        <f t="shared" si="73"/>
        <v>3681091</v>
      </c>
      <c r="R791" s="944">
        <f>IF(A791='Data Entry - SOF'!B$2,'Report-SOF2223'!D$91,0)</f>
        <v>0</v>
      </c>
      <c r="S791" s="723">
        <f>IF(A791='Data Entry - SOF'!B$2,'Data Entry - SOF'!Q$102,0)</f>
        <v>0</v>
      </c>
      <c r="T791" s="601">
        <f t="shared" si="77"/>
        <v>3681091</v>
      </c>
      <c r="U791" s="944">
        <f>IF(A791='Data Entry - SOF'!B$2,'Report-SOF2324'!D$91,0)</f>
        <v>0</v>
      </c>
      <c r="V791" s="723">
        <f>IF(A791='Data Entry - SOF'!B$2,'Data Entry - SOF'!S$102,0)</f>
        <v>0</v>
      </c>
    </row>
    <row r="792" spans="1:22" ht="15.75">
      <c r="A792" s="382" t="s">
        <v>1290</v>
      </c>
      <c r="B792" s="91">
        <v>47218812</v>
      </c>
      <c r="C792" s="944">
        <f>IF(A792='Data Entry - SOF'!B$2,'Report-SOF1718'!D$102,0)</f>
        <v>0</v>
      </c>
      <c r="D792" s="1037">
        <f>IF(A792='Data Entry - SOF'!B$2,'Data Entry - SOF'!#REF!,0)</f>
        <v>0</v>
      </c>
      <c r="E792" s="91">
        <f t="shared" si="72"/>
        <v>47218812</v>
      </c>
      <c r="F792" s="944">
        <f>IF(A792='Data Entry - SOF'!B$2,'Report-SOF1819'!D$102,0)</f>
        <v>0</v>
      </c>
      <c r="G792" s="1037">
        <f>IF(A792='Data Entry - SOF'!B$2,'Data Entry - SOF'!E$102,0)</f>
        <v>0</v>
      </c>
      <c r="H792" s="1038">
        <f t="shared" si="74"/>
        <v>47218812</v>
      </c>
      <c r="I792" s="944">
        <f>IF(A792='Data Entry - SOF'!B$2,'Report-SOF1920-HB3'!D$102,0)</f>
        <v>0</v>
      </c>
      <c r="J792" s="1037">
        <f>IF(A792='Data Entry - SOF'!B$2,'Data Entry - SOF'!G$102,0)</f>
        <v>0</v>
      </c>
      <c r="K792" s="717">
        <f t="shared" si="75"/>
        <v>47218812</v>
      </c>
      <c r="L792" s="944">
        <f>IF(A792='Data Entry - SOF'!B$2,'Report-SOF2021'!D$99,0)</f>
        <v>0</v>
      </c>
      <c r="M792" s="723">
        <f>IF(A792='Data Entry - SOF'!B$2,'Data Entry - SOF'!M$102,0)</f>
        <v>0</v>
      </c>
      <c r="N792" s="717">
        <f t="shared" si="76"/>
        <v>47218812</v>
      </c>
      <c r="O792" s="944">
        <f>IF(A792='Data Entry - SOF'!B$2,'Report-SOF2122'!D$91,0)</f>
        <v>0</v>
      </c>
      <c r="P792" s="723">
        <f>IF(A792='Data Entry - SOF'!B$2,'Data Entry - SOF'!O$102,0)</f>
        <v>0</v>
      </c>
      <c r="Q792" s="601">
        <f t="shared" si="73"/>
        <v>47218812</v>
      </c>
      <c r="R792" s="944">
        <f>IF(A792='Data Entry - SOF'!B$2,'Report-SOF2223'!D$91,0)</f>
        <v>0</v>
      </c>
      <c r="S792" s="723">
        <f>IF(A792='Data Entry - SOF'!B$2,'Data Entry - SOF'!Q$102,0)</f>
        <v>0</v>
      </c>
      <c r="T792" s="601">
        <f t="shared" si="77"/>
        <v>47218812</v>
      </c>
      <c r="U792" s="944">
        <f>IF(A792='Data Entry - SOF'!B$2,'Report-SOF2324'!D$91,0)</f>
        <v>0</v>
      </c>
      <c r="V792" s="723">
        <f>IF(A792='Data Entry - SOF'!B$2,'Data Entry - SOF'!S$102,0)</f>
        <v>0</v>
      </c>
    </row>
    <row r="793" spans="1:22" ht="15.75">
      <c r="A793" s="382" t="s">
        <v>2522</v>
      </c>
      <c r="B793" s="91">
        <v>30657044</v>
      </c>
      <c r="C793" s="944">
        <f>IF(A793='Data Entry - SOF'!B$2,'Report-SOF1718'!D$102,0)</f>
        <v>0</v>
      </c>
      <c r="D793" s="1037">
        <f>IF(A793='Data Entry - SOF'!B$2,'Data Entry - SOF'!#REF!,0)</f>
        <v>0</v>
      </c>
      <c r="E793" s="91">
        <f t="shared" si="72"/>
        <v>30657044</v>
      </c>
      <c r="F793" s="944">
        <f>IF(A793='Data Entry - SOF'!B$2,'Report-SOF1819'!D$102,0)</f>
        <v>0</v>
      </c>
      <c r="G793" s="1037">
        <f>IF(A793='Data Entry - SOF'!B$2,'Data Entry - SOF'!E$102,0)</f>
        <v>0</v>
      </c>
      <c r="H793" s="1038">
        <f t="shared" si="74"/>
        <v>30657044</v>
      </c>
      <c r="I793" s="944">
        <f>IF(A793='Data Entry - SOF'!B$2,'Report-SOF1920-HB3'!D$102,0)</f>
        <v>0</v>
      </c>
      <c r="J793" s="1037">
        <f>IF(A793='Data Entry - SOF'!B$2,'Data Entry - SOF'!G$102,0)</f>
        <v>0</v>
      </c>
      <c r="K793" s="717">
        <f t="shared" si="75"/>
        <v>30657044</v>
      </c>
      <c r="L793" s="944">
        <f>IF(A793='Data Entry - SOF'!B$2,'Report-SOF2021'!D$99,0)</f>
        <v>0</v>
      </c>
      <c r="M793" s="723">
        <f>IF(A793='Data Entry - SOF'!B$2,'Data Entry - SOF'!M$102,0)</f>
        <v>0</v>
      </c>
      <c r="N793" s="717">
        <f t="shared" si="76"/>
        <v>30657044</v>
      </c>
      <c r="O793" s="944">
        <f>IF(A793='Data Entry - SOF'!B$2,'Report-SOF2122'!D$91,0)</f>
        <v>0</v>
      </c>
      <c r="P793" s="723">
        <f>IF(A793='Data Entry - SOF'!B$2,'Data Entry - SOF'!O$102,0)</f>
        <v>0</v>
      </c>
      <c r="Q793" s="601">
        <f t="shared" si="73"/>
        <v>30657044</v>
      </c>
      <c r="R793" s="944">
        <f>IF(A793='Data Entry - SOF'!B$2,'Report-SOF2223'!D$91,0)</f>
        <v>0</v>
      </c>
      <c r="S793" s="723">
        <f>IF(A793='Data Entry - SOF'!B$2,'Data Entry - SOF'!Q$102,0)</f>
        <v>0</v>
      </c>
      <c r="T793" s="601">
        <f t="shared" si="77"/>
        <v>30657044</v>
      </c>
      <c r="U793" s="944">
        <f>IF(A793='Data Entry - SOF'!B$2,'Report-SOF2324'!D$91,0)</f>
        <v>0</v>
      </c>
      <c r="V793" s="723">
        <f>IF(A793='Data Entry - SOF'!B$2,'Data Entry - SOF'!S$102,0)</f>
        <v>0</v>
      </c>
    </row>
    <row r="794" spans="1:22" ht="15.75">
      <c r="A794" s="382" t="s">
        <v>792</v>
      </c>
      <c r="B794" s="91">
        <v>2169013</v>
      </c>
      <c r="C794" s="944">
        <f>IF(A794='Data Entry - SOF'!B$2,'Report-SOF1718'!D$102,0)</f>
        <v>0</v>
      </c>
      <c r="D794" s="1037">
        <f>IF(A794='Data Entry - SOF'!B$2,'Data Entry - SOF'!#REF!,0)</f>
        <v>0</v>
      </c>
      <c r="E794" s="91">
        <f t="shared" si="72"/>
        <v>2169013</v>
      </c>
      <c r="F794" s="944">
        <f>IF(A794='Data Entry - SOF'!B$2,'Report-SOF1819'!D$102,0)</f>
        <v>0</v>
      </c>
      <c r="G794" s="1037">
        <f>IF(A794='Data Entry - SOF'!B$2,'Data Entry - SOF'!E$102,0)</f>
        <v>0</v>
      </c>
      <c r="H794" s="1038">
        <f t="shared" si="74"/>
        <v>2169013</v>
      </c>
      <c r="I794" s="944">
        <f>IF(A794='Data Entry - SOF'!B$2,'Report-SOF1920-HB3'!D$102,0)</f>
        <v>0</v>
      </c>
      <c r="J794" s="1037">
        <f>IF(A794='Data Entry - SOF'!B$2,'Data Entry - SOF'!G$102,0)</f>
        <v>0</v>
      </c>
      <c r="K794" s="717">
        <f t="shared" si="75"/>
        <v>2169013</v>
      </c>
      <c r="L794" s="944">
        <f>IF(A794='Data Entry - SOF'!B$2,'Report-SOF2021'!D$99,0)</f>
        <v>0</v>
      </c>
      <c r="M794" s="723">
        <f>IF(A794='Data Entry - SOF'!B$2,'Data Entry - SOF'!M$102,0)</f>
        <v>0</v>
      </c>
      <c r="N794" s="717">
        <f t="shared" si="76"/>
        <v>2169013</v>
      </c>
      <c r="O794" s="944">
        <f>IF(A794='Data Entry - SOF'!B$2,'Report-SOF2122'!D$91,0)</f>
        <v>0</v>
      </c>
      <c r="P794" s="723">
        <f>IF(A794='Data Entry - SOF'!B$2,'Data Entry - SOF'!O$102,0)</f>
        <v>0</v>
      </c>
      <c r="Q794" s="601">
        <f t="shared" si="73"/>
        <v>2169013</v>
      </c>
      <c r="R794" s="944">
        <f>IF(A794='Data Entry - SOF'!B$2,'Report-SOF2223'!D$91,0)</f>
        <v>0</v>
      </c>
      <c r="S794" s="723">
        <f>IF(A794='Data Entry - SOF'!B$2,'Data Entry - SOF'!Q$102,0)</f>
        <v>0</v>
      </c>
      <c r="T794" s="601">
        <f t="shared" si="77"/>
        <v>2169013</v>
      </c>
      <c r="U794" s="944">
        <f>IF(A794='Data Entry - SOF'!B$2,'Report-SOF2324'!D$91,0)</f>
        <v>0</v>
      </c>
      <c r="V794" s="723">
        <f>IF(A794='Data Entry - SOF'!B$2,'Data Entry - SOF'!S$102,0)</f>
        <v>0</v>
      </c>
    </row>
    <row r="795" spans="1:22" ht="15.75">
      <c r="A795" s="382" t="s">
        <v>114</v>
      </c>
      <c r="B795" s="91">
        <v>198743</v>
      </c>
      <c r="C795" s="944">
        <f>IF(A795='Data Entry - SOF'!B$2,'Report-SOF1718'!D$102,0)</f>
        <v>0</v>
      </c>
      <c r="D795" s="1037">
        <f>IF(A795='Data Entry - SOF'!B$2,'Data Entry - SOF'!#REF!,0)</f>
        <v>0</v>
      </c>
      <c r="E795" s="91">
        <f t="shared" si="72"/>
        <v>198743</v>
      </c>
      <c r="F795" s="944">
        <f>IF(A795='Data Entry - SOF'!B$2,'Report-SOF1819'!D$102,0)</f>
        <v>0</v>
      </c>
      <c r="G795" s="1037">
        <f>IF(A795='Data Entry - SOF'!B$2,'Data Entry - SOF'!E$102,0)</f>
        <v>0</v>
      </c>
      <c r="H795" s="1038">
        <f t="shared" si="74"/>
        <v>198743</v>
      </c>
      <c r="I795" s="944">
        <f>IF(A795='Data Entry - SOF'!B$2,'Report-SOF1920-HB3'!D$102,0)</f>
        <v>0</v>
      </c>
      <c r="J795" s="1037">
        <f>IF(A795='Data Entry - SOF'!B$2,'Data Entry - SOF'!G$102,0)</f>
        <v>0</v>
      </c>
      <c r="K795" s="717">
        <f t="shared" si="75"/>
        <v>198743</v>
      </c>
      <c r="L795" s="944">
        <f>IF(A795='Data Entry - SOF'!B$2,'Report-SOF2021'!D$99,0)</f>
        <v>0</v>
      </c>
      <c r="M795" s="723">
        <f>IF(A795='Data Entry - SOF'!B$2,'Data Entry - SOF'!M$102,0)</f>
        <v>0</v>
      </c>
      <c r="N795" s="717">
        <f t="shared" si="76"/>
        <v>198743</v>
      </c>
      <c r="O795" s="944">
        <f>IF(A795='Data Entry - SOF'!B$2,'Report-SOF2122'!D$91,0)</f>
        <v>0</v>
      </c>
      <c r="P795" s="723">
        <f>IF(A795='Data Entry - SOF'!B$2,'Data Entry - SOF'!O$102,0)</f>
        <v>0</v>
      </c>
      <c r="Q795" s="601">
        <f t="shared" si="73"/>
        <v>198743</v>
      </c>
      <c r="R795" s="944">
        <f>IF(A795='Data Entry - SOF'!B$2,'Report-SOF2223'!D$91,0)</f>
        <v>0</v>
      </c>
      <c r="S795" s="723">
        <f>IF(A795='Data Entry - SOF'!B$2,'Data Entry - SOF'!Q$102,0)</f>
        <v>0</v>
      </c>
      <c r="T795" s="601">
        <f t="shared" si="77"/>
        <v>198743</v>
      </c>
      <c r="U795" s="944">
        <f>IF(A795='Data Entry - SOF'!B$2,'Report-SOF2324'!D$91,0)</f>
        <v>0</v>
      </c>
      <c r="V795" s="723">
        <f>IF(A795='Data Entry - SOF'!B$2,'Data Entry - SOF'!S$102,0)</f>
        <v>0</v>
      </c>
    </row>
    <row r="796" spans="1:22" ht="15.75">
      <c r="A796" s="382" t="s">
        <v>2654</v>
      </c>
      <c r="B796" s="91">
        <v>1125994</v>
      </c>
      <c r="C796" s="944">
        <f>IF(A796='Data Entry - SOF'!B$2,'Report-SOF1718'!D$102,0)</f>
        <v>0</v>
      </c>
      <c r="D796" s="1037">
        <f>IF(A796='Data Entry - SOF'!B$2,'Data Entry - SOF'!#REF!,0)</f>
        <v>0</v>
      </c>
      <c r="E796" s="91">
        <f t="shared" si="72"/>
        <v>1125994</v>
      </c>
      <c r="F796" s="944">
        <f>IF(A796='Data Entry - SOF'!B$2,'Report-SOF1819'!D$102,0)</f>
        <v>0</v>
      </c>
      <c r="G796" s="1037">
        <f>IF(A796='Data Entry - SOF'!B$2,'Data Entry - SOF'!E$102,0)</f>
        <v>0</v>
      </c>
      <c r="H796" s="1038">
        <f t="shared" si="74"/>
        <v>1125994</v>
      </c>
      <c r="I796" s="944">
        <f>IF(A796='Data Entry - SOF'!B$2,'Report-SOF1920-HB3'!D$102,0)</f>
        <v>0</v>
      </c>
      <c r="J796" s="1037">
        <f>IF(A796='Data Entry - SOF'!B$2,'Data Entry - SOF'!G$102,0)</f>
        <v>0</v>
      </c>
      <c r="K796" s="717">
        <f t="shared" si="75"/>
        <v>1125994</v>
      </c>
      <c r="L796" s="944">
        <f>IF(A796='Data Entry - SOF'!B$2,'Report-SOF2021'!D$99,0)</f>
        <v>0</v>
      </c>
      <c r="M796" s="723">
        <f>IF(A796='Data Entry - SOF'!B$2,'Data Entry - SOF'!M$102,0)</f>
        <v>0</v>
      </c>
      <c r="N796" s="717">
        <f t="shared" si="76"/>
        <v>1125994</v>
      </c>
      <c r="O796" s="944">
        <f>IF(A796='Data Entry - SOF'!B$2,'Report-SOF2122'!D$91,0)</f>
        <v>0</v>
      </c>
      <c r="P796" s="723">
        <f>IF(A796='Data Entry - SOF'!B$2,'Data Entry - SOF'!O$102,0)</f>
        <v>0</v>
      </c>
      <c r="Q796" s="601">
        <f t="shared" si="73"/>
        <v>1125994</v>
      </c>
      <c r="R796" s="944">
        <f>IF(A796='Data Entry - SOF'!B$2,'Report-SOF2223'!D$91,0)</f>
        <v>0</v>
      </c>
      <c r="S796" s="723">
        <f>IF(A796='Data Entry - SOF'!B$2,'Data Entry - SOF'!Q$102,0)</f>
        <v>0</v>
      </c>
      <c r="T796" s="601">
        <f t="shared" si="77"/>
        <v>1125994</v>
      </c>
      <c r="U796" s="944">
        <f>IF(A796='Data Entry - SOF'!B$2,'Report-SOF2324'!D$91,0)</f>
        <v>0</v>
      </c>
      <c r="V796" s="723">
        <f>IF(A796='Data Entry - SOF'!B$2,'Data Entry - SOF'!S$102,0)</f>
        <v>0</v>
      </c>
    </row>
    <row r="797" spans="1:22" ht="15.75">
      <c r="A797" s="382" t="s">
        <v>2274</v>
      </c>
      <c r="B797" s="91">
        <v>772168</v>
      </c>
      <c r="C797" s="944">
        <f>IF(A797='Data Entry - SOF'!B$2,'Report-SOF1718'!D$102,0)</f>
        <v>0</v>
      </c>
      <c r="D797" s="1037">
        <f>IF(A797='Data Entry - SOF'!B$2,'Data Entry - SOF'!#REF!,0)</f>
        <v>0</v>
      </c>
      <c r="E797" s="91">
        <f t="shared" si="72"/>
        <v>772168</v>
      </c>
      <c r="F797" s="944">
        <f>IF(A797='Data Entry - SOF'!B$2,'Report-SOF1819'!D$102,0)</f>
        <v>0</v>
      </c>
      <c r="G797" s="1037">
        <f>IF(A797='Data Entry - SOF'!B$2,'Data Entry - SOF'!E$102,0)</f>
        <v>0</v>
      </c>
      <c r="H797" s="1038">
        <f t="shared" si="74"/>
        <v>772168</v>
      </c>
      <c r="I797" s="944">
        <f>IF(A797='Data Entry - SOF'!B$2,'Report-SOF1920-HB3'!D$102,0)</f>
        <v>0</v>
      </c>
      <c r="J797" s="1037">
        <f>IF(A797='Data Entry - SOF'!B$2,'Data Entry - SOF'!G$102,0)</f>
        <v>0</v>
      </c>
      <c r="K797" s="717">
        <f t="shared" si="75"/>
        <v>772168</v>
      </c>
      <c r="L797" s="944">
        <f>IF(A797='Data Entry - SOF'!B$2,'Report-SOF2021'!D$99,0)</f>
        <v>0</v>
      </c>
      <c r="M797" s="723">
        <f>IF(A797='Data Entry - SOF'!B$2,'Data Entry - SOF'!M$102,0)</f>
        <v>0</v>
      </c>
      <c r="N797" s="717">
        <f t="shared" si="76"/>
        <v>772168</v>
      </c>
      <c r="O797" s="944">
        <f>IF(A797='Data Entry - SOF'!B$2,'Report-SOF2122'!D$91,0)</f>
        <v>0</v>
      </c>
      <c r="P797" s="723">
        <f>IF(A797='Data Entry - SOF'!B$2,'Data Entry - SOF'!O$102,0)</f>
        <v>0</v>
      </c>
      <c r="Q797" s="601">
        <f t="shared" si="73"/>
        <v>772168</v>
      </c>
      <c r="R797" s="944">
        <f>IF(A797='Data Entry - SOF'!B$2,'Report-SOF2223'!D$91,0)</f>
        <v>0</v>
      </c>
      <c r="S797" s="723">
        <f>IF(A797='Data Entry - SOF'!B$2,'Data Entry - SOF'!Q$102,0)</f>
        <v>0</v>
      </c>
      <c r="T797" s="601">
        <f t="shared" si="77"/>
        <v>772168</v>
      </c>
      <c r="U797" s="944">
        <f>IF(A797='Data Entry - SOF'!B$2,'Report-SOF2324'!D$91,0)</f>
        <v>0</v>
      </c>
      <c r="V797" s="723">
        <f>IF(A797='Data Entry - SOF'!B$2,'Data Entry - SOF'!S$102,0)</f>
        <v>0</v>
      </c>
    </row>
    <row r="798" spans="1:22" ht="15.75">
      <c r="A798" s="382" t="s">
        <v>377</v>
      </c>
      <c r="B798" s="91">
        <v>305082</v>
      </c>
      <c r="C798" s="944">
        <f>IF(A798='Data Entry - SOF'!B$2,'Report-SOF1718'!D$102,0)</f>
        <v>0</v>
      </c>
      <c r="D798" s="1037">
        <f>IF(A798='Data Entry - SOF'!B$2,'Data Entry - SOF'!#REF!,0)</f>
        <v>0</v>
      </c>
      <c r="E798" s="91">
        <f t="shared" si="72"/>
        <v>305082</v>
      </c>
      <c r="F798" s="944">
        <f>IF(A798='Data Entry - SOF'!B$2,'Report-SOF1819'!D$102,0)</f>
        <v>0</v>
      </c>
      <c r="G798" s="1037">
        <f>IF(A798='Data Entry - SOF'!B$2,'Data Entry - SOF'!E$102,0)</f>
        <v>0</v>
      </c>
      <c r="H798" s="1038">
        <f t="shared" si="74"/>
        <v>305082</v>
      </c>
      <c r="I798" s="944">
        <f>IF(A798='Data Entry - SOF'!B$2,'Report-SOF1920-HB3'!D$102,0)</f>
        <v>0</v>
      </c>
      <c r="J798" s="1037">
        <f>IF(A798='Data Entry - SOF'!B$2,'Data Entry - SOF'!G$102,0)</f>
        <v>0</v>
      </c>
      <c r="K798" s="717">
        <f t="shared" si="75"/>
        <v>305082</v>
      </c>
      <c r="L798" s="944">
        <f>IF(A798='Data Entry - SOF'!B$2,'Report-SOF2021'!D$99,0)</f>
        <v>0</v>
      </c>
      <c r="M798" s="723">
        <f>IF(A798='Data Entry - SOF'!B$2,'Data Entry - SOF'!M$102,0)</f>
        <v>0</v>
      </c>
      <c r="N798" s="717">
        <f t="shared" si="76"/>
        <v>305082</v>
      </c>
      <c r="O798" s="944">
        <f>IF(A798='Data Entry - SOF'!B$2,'Report-SOF2122'!D$91,0)</f>
        <v>0</v>
      </c>
      <c r="P798" s="723">
        <f>IF(A798='Data Entry - SOF'!B$2,'Data Entry - SOF'!O$102,0)</f>
        <v>0</v>
      </c>
      <c r="Q798" s="601">
        <f t="shared" si="73"/>
        <v>305082</v>
      </c>
      <c r="R798" s="944">
        <f>IF(A798='Data Entry - SOF'!B$2,'Report-SOF2223'!D$91,0)</f>
        <v>0</v>
      </c>
      <c r="S798" s="723">
        <f>IF(A798='Data Entry - SOF'!B$2,'Data Entry - SOF'!Q$102,0)</f>
        <v>0</v>
      </c>
      <c r="T798" s="601">
        <f t="shared" si="77"/>
        <v>305082</v>
      </c>
      <c r="U798" s="944">
        <f>IF(A798='Data Entry - SOF'!B$2,'Report-SOF2324'!D$91,0)</f>
        <v>0</v>
      </c>
      <c r="V798" s="723">
        <f>IF(A798='Data Entry - SOF'!B$2,'Data Entry - SOF'!S$102,0)</f>
        <v>0</v>
      </c>
    </row>
    <row r="799" spans="1:22" ht="15.75">
      <c r="A799" s="382" t="s">
        <v>986</v>
      </c>
      <c r="B799" s="91">
        <v>29492740.123258598</v>
      </c>
      <c r="C799" s="944">
        <f>IF(A799='Data Entry - SOF'!B$2,'Report-SOF1718'!D$102,0)</f>
        <v>0</v>
      </c>
      <c r="D799" s="1037">
        <f>IF(A799='Data Entry - SOF'!B$2,'Data Entry - SOF'!#REF!,0)</f>
        <v>0</v>
      </c>
      <c r="E799" s="91">
        <f t="shared" si="72"/>
        <v>29492740.123258598</v>
      </c>
      <c r="F799" s="944">
        <f>IF(A799='Data Entry - SOF'!B$2,'Report-SOF1819'!D$102,0)</f>
        <v>0</v>
      </c>
      <c r="G799" s="1037">
        <f>IF(A799='Data Entry - SOF'!B$2,'Data Entry - SOF'!E$102,0)</f>
        <v>0</v>
      </c>
      <c r="H799" s="1038">
        <f t="shared" si="74"/>
        <v>29492740.123258598</v>
      </c>
      <c r="I799" s="944">
        <f>IF(A799='Data Entry - SOF'!B$2,'Report-SOF1920-HB3'!D$102,0)</f>
        <v>0</v>
      </c>
      <c r="J799" s="1037">
        <f>IF(A799='Data Entry - SOF'!B$2,'Data Entry - SOF'!G$102,0)</f>
        <v>0</v>
      </c>
      <c r="K799" s="717">
        <f t="shared" si="75"/>
        <v>29492740.123258598</v>
      </c>
      <c r="L799" s="944">
        <f>IF(A799='Data Entry - SOF'!B$2,'Report-SOF2021'!D$99,0)</f>
        <v>0</v>
      </c>
      <c r="M799" s="723">
        <f>IF(A799='Data Entry - SOF'!B$2,'Data Entry - SOF'!M$102,0)</f>
        <v>0</v>
      </c>
      <c r="N799" s="717">
        <f t="shared" si="76"/>
        <v>29492740.123258598</v>
      </c>
      <c r="O799" s="944">
        <f>IF(A799='Data Entry - SOF'!B$2,'Report-SOF2122'!D$91,0)</f>
        <v>0</v>
      </c>
      <c r="P799" s="723">
        <f>IF(A799='Data Entry - SOF'!B$2,'Data Entry - SOF'!O$102,0)</f>
        <v>0</v>
      </c>
      <c r="Q799" s="601">
        <f t="shared" si="73"/>
        <v>29492740.123258598</v>
      </c>
      <c r="R799" s="944">
        <f>IF(A799='Data Entry - SOF'!B$2,'Report-SOF2223'!D$91,0)</f>
        <v>0</v>
      </c>
      <c r="S799" s="723">
        <f>IF(A799='Data Entry - SOF'!B$2,'Data Entry - SOF'!Q$102,0)</f>
        <v>0</v>
      </c>
      <c r="T799" s="601">
        <f t="shared" si="77"/>
        <v>29492740.123258598</v>
      </c>
      <c r="U799" s="944">
        <f>IF(A799='Data Entry - SOF'!B$2,'Report-SOF2324'!D$91,0)</f>
        <v>0</v>
      </c>
      <c r="V799" s="723">
        <f>IF(A799='Data Entry - SOF'!B$2,'Data Entry - SOF'!S$102,0)</f>
        <v>0</v>
      </c>
    </row>
    <row r="800" spans="1:22" ht="15.75">
      <c r="A800" s="382" t="s">
        <v>1716</v>
      </c>
      <c r="B800" s="91">
        <v>154485</v>
      </c>
      <c r="C800" s="944">
        <f>IF(A800='Data Entry - SOF'!B$2,'Report-SOF1718'!D$102,0)</f>
        <v>0</v>
      </c>
      <c r="D800" s="1037">
        <f>IF(A800='Data Entry - SOF'!B$2,'Data Entry - SOF'!#REF!,0)</f>
        <v>0</v>
      </c>
      <c r="E800" s="91">
        <f t="shared" si="72"/>
        <v>154485</v>
      </c>
      <c r="F800" s="944">
        <f>IF(A800='Data Entry - SOF'!B$2,'Report-SOF1819'!D$102,0)</f>
        <v>0</v>
      </c>
      <c r="G800" s="1037">
        <f>IF(A800='Data Entry - SOF'!B$2,'Data Entry - SOF'!E$102,0)</f>
        <v>0</v>
      </c>
      <c r="H800" s="1038">
        <f t="shared" si="74"/>
        <v>154485</v>
      </c>
      <c r="I800" s="944">
        <f>IF(A800='Data Entry - SOF'!B$2,'Report-SOF1920-HB3'!D$102,0)</f>
        <v>0</v>
      </c>
      <c r="J800" s="1037">
        <f>IF(A800='Data Entry - SOF'!B$2,'Data Entry - SOF'!G$102,0)</f>
        <v>0</v>
      </c>
      <c r="K800" s="717">
        <f t="shared" si="75"/>
        <v>154485</v>
      </c>
      <c r="L800" s="944">
        <f>IF(A800='Data Entry - SOF'!B$2,'Report-SOF2021'!D$99,0)</f>
        <v>0</v>
      </c>
      <c r="M800" s="723">
        <f>IF(A800='Data Entry - SOF'!B$2,'Data Entry - SOF'!M$102,0)</f>
        <v>0</v>
      </c>
      <c r="N800" s="717">
        <f t="shared" si="76"/>
        <v>154485</v>
      </c>
      <c r="O800" s="944">
        <f>IF(A800='Data Entry - SOF'!B$2,'Report-SOF2122'!D$91,0)</f>
        <v>0</v>
      </c>
      <c r="P800" s="723">
        <f>IF(A800='Data Entry - SOF'!B$2,'Data Entry - SOF'!O$102,0)</f>
        <v>0</v>
      </c>
      <c r="Q800" s="601">
        <f t="shared" si="73"/>
        <v>154485</v>
      </c>
      <c r="R800" s="944">
        <f>IF(A800='Data Entry - SOF'!B$2,'Report-SOF2223'!D$91,0)</f>
        <v>0</v>
      </c>
      <c r="S800" s="723">
        <f>IF(A800='Data Entry - SOF'!B$2,'Data Entry - SOF'!Q$102,0)</f>
        <v>0</v>
      </c>
      <c r="T800" s="601">
        <f t="shared" si="77"/>
        <v>154485</v>
      </c>
      <c r="U800" s="944">
        <f>IF(A800='Data Entry - SOF'!B$2,'Report-SOF2324'!D$91,0)</f>
        <v>0</v>
      </c>
      <c r="V800" s="723">
        <f>IF(A800='Data Entry - SOF'!B$2,'Data Entry - SOF'!S$102,0)</f>
        <v>0</v>
      </c>
    </row>
    <row r="801" spans="1:22" ht="15.75">
      <c r="A801" s="382" t="s">
        <v>695</v>
      </c>
      <c r="B801" s="91">
        <v>6348624</v>
      </c>
      <c r="C801" s="944">
        <f>IF(A801='Data Entry - SOF'!B$2,'Report-SOF1718'!D$102,0)</f>
        <v>0</v>
      </c>
      <c r="D801" s="1037">
        <f>IF(A801='Data Entry - SOF'!B$2,'Data Entry - SOF'!#REF!,0)</f>
        <v>0</v>
      </c>
      <c r="E801" s="91">
        <f t="shared" si="72"/>
        <v>6348624</v>
      </c>
      <c r="F801" s="944">
        <f>IF(A801='Data Entry - SOF'!B$2,'Report-SOF1819'!D$102,0)</f>
        <v>0</v>
      </c>
      <c r="G801" s="1037">
        <f>IF(A801='Data Entry - SOF'!B$2,'Data Entry - SOF'!E$102,0)</f>
        <v>0</v>
      </c>
      <c r="H801" s="1038">
        <f t="shared" si="74"/>
        <v>6348624</v>
      </c>
      <c r="I801" s="944">
        <f>IF(A801='Data Entry - SOF'!B$2,'Report-SOF1920-HB3'!D$102,0)</f>
        <v>0</v>
      </c>
      <c r="J801" s="1037">
        <f>IF(A801='Data Entry - SOF'!B$2,'Data Entry - SOF'!G$102,0)</f>
        <v>0</v>
      </c>
      <c r="K801" s="717">
        <f t="shared" si="75"/>
        <v>6348624</v>
      </c>
      <c r="L801" s="944">
        <f>IF(A801='Data Entry - SOF'!B$2,'Report-SOF2021'!D$99,0)</f>
        <v>0</v>
      </c>
      <c r="M801" s="723">
        <f>IF(A801='Data Entry - SOF'!B$2,'Data Entry - SOF'!M$102,0)</f>
        <v>0</v>
      </c>
      <c r="N801" s="717">
        <f t="shared" si="76"/>
        <v>6348624</v>
      </c>
      <c r="O801" s="944">
        <f>IF(A801='Data Entry - SOF'!B$2,'Report-SOF2122'!D$91,0)</f>
        <v>0</v>
      </c>
      <c r="P801" s="723">
        <f>IF(A801='Data Entry - SOF'!B$2,'Data Entry - SOF'!O$102,0)</f>
        <v>0</v>
      </c>
      <c r="Q801" s="601">
        <f t="shared" si="73"/>
        <v>6348624</v>
      </c>
      <c r="R801" s="944">
        <f>IF(A801='Data Entry - SOF'!B$2,'Report-SOF2223'!D$91,0)</f>
        <v>0</v>
      </c>
      <c r="S801" s="723">
        <f>IF(A801='Data Entry - SOF'!B$2,'Data Entry - SOF'!Q$102,0)</f>
        <v>0</v>
      </c>
      <c r="T801" s="601">
        <f t="shared" si="77"/>
        <v>6348624</v>
      </c>
      <c r="U801" s="944">
        <f>IF(A801='Data Entry - SOF'!B$2,'Report-SOF2324'!D$91,0)</f>
        <v>0</v>
      </c>
      <c r="V801" s="723">
        <f>IF(A801='Data Entry - SOF'!B$2,'Data Entry - SOF'!S$102,0)</f>
        <v>0</v>
      </c>
    </row>
    <row r="802" spans="1:22" ht="15.75">
      <c r="A802" s="382" t="s">
        <v>696</v>
      </c>
      <c r="B802" s="91">
        <v>5537699</v>
      </c>
      <c r="C802" s="944">
        <f>IF(A802='Data Entry - SOF'!B$2,'Report-SOF1718'!D$102,0)</f>
        <v>0</v>
      </c>
      <c r="D802" s="1037">
        <f>IF(A802='Data Entry - SOF'!B$2,'Data Entry - SOF'!#REF!,0)</f>
        <v>0</v>
      </c>
      <c r="E802" s="91">
        <f t="shared" si="72"/>
        <v>5537699</v>
      </c>
      <c r="F802" s="944">
        <f>IF(A802='Data Entry - SOF'!B$2,'Report-SOF1819'!D$102,0)</f>
        <v>0</v>
      </c>
      <c r="G802" s="1037">
        <f>IF(A802='Data Entry - SOF'!B$2,'Data Entry - SOF'!E$102,0)</f>
        <v>0</v>
      </c>
      <c r="H802" s="1038">
        <f t="shared" si="74"/>
        <v>5537699</v>
      </c>
      <c r="I802" s="944">
        <f>IF(A802='Data Entry - SOF'!B$2,'Report-SOF1920-HB3'!D$102,0)</f>
        <v>0</v>
      </c>
      <c r="J802" s="1037">
        <f>IF(A802='Data Entry - SOF'!B$2,'Data Entry - SOF'!G$102,0)</f>
        <v>0</v>
      </c>
      <c r="K802" s="717">
        <f t="shared" si="75"/>
        <v>5537699</v>
      </c>
      <c r="L802" s="944">
        <f>IF(A802='Data Entry - SOF'!B$2,'Report-SOF2021'!D$99,0)</f>
        <v>0</v>
      </c>
      <c r="M802" s="723">
        <f>IF(A802='Data Entry - SOF'!B$2,'Data Entry - SOF'!M$102,0)</f>
        <v>0</v>
      </c>
      <c r="N802" s="717">
        <f t="shared" si="76"/>
        <v>5537699</v>
      </c>
      <c r="O802" s="944">
        <f>IF(A802='Data Entry - SOF'!B$2,'Report-SOF2122'!D$91,0)</f>
        <v>0</v>
      </c>
      <c r="P802" s="723">
        <f>IF(A802='Data Entry - SOF'!B$2,'Data Entry - SOF'!O$102,0)</f>
        <v>0</v>
      </c>
      <c r="Q802" s="601">
        <f t="shared" si="73"/>
        <v>5537699</v>
      </c>
      <c r="R802" s="944">
        <f>IF(A802='Data Entry - SOF'!B$2,'Report-SOF2223'!D$91,0)</f>
        <v>0</v>
      </c>
      <c r="S802" s="723">
        <f>IF(A802='Data Entry - SOF'!B$2,'Data Entry - SOF'!Q$102,0)</f>
        <v>0</v>
      </c>
      <c r="T802" s="601">
        <f t="shared" si="77"/>
        <v>5537699</v>
      </c>
      <c r="U802" s="944">
        <f>IF(A802='Data Entry - SOF'!B$2,'Report-SOF2324'!D$91,0)</f>
        <v>0</v>
      </c>
      <c r="V802" s="723">
        <f>IF(A802='Data Entry - SOF'!B$2,'Data Entry - SOF'!S$102,0)</f>
        <v>0</v>
      </c>
    </row>
    <row r="803" spans="1:22" ht="15.75">
      <c r="A803" s="382" t="s">
        <v>697</v>
      </c>
      <c r="B803" s="91">
        <v>10351378</v>
      </c>
      <c r="C803" s="944">
        <f>IF(A803='Data Entry - SOF'!B$2,'Report-SOF1718'!D$102,0)</f>
        <v>0</v>
      </c>
      <c r="D803" s="1037">
        <f>IF(A803='Data Entry - SOF'!B$2,'Data Entry - SOF'!#REF!,0)</f>
        <v>0</v>
      </c>
      <c r="E803" s="91">
        <f t="shared" si="72"/>
        <v>10351378</v>
      </c>
      <c r="F803" s="944">
        <f>IF(A803='Data Entry - SOF'!B$2,'Report-SOF1819'!D$102,0)</f>
        <v>0</v>
      </c>
      <c r="G803" s="1037">
        <f>IF(A803='Data Entry - SOF'!B$2,'Data Entry - SOF'!E$102,0)</f>
        <v>0</v>
      </c>
      <c r="H803" s="1038">
        <f t="shared" si="74"/>
        <v>10351378</v>
      </c>
      <c r="I803" s="944">
        <f>IF(A803='Data Entry - SOF'!B$2,'Report-SOF1920-HB3'!D$102,0)</f>
        <v>0</v>
      </c>
      <c r="J803" s="1037">
        <f>IF(A803='Data Entry - SOF'!B$2,'Data Entry - SOF'!G$102,0)</f>
        <v>0</v>
      </c>
      <c r="K803" s="717">
        <f t="shared" si="75"/>
        <v>10351378</v>
      </c>
      <c r="L803" s="944">
        <f>IF(A803='Data Entry - SOF'!B$2,'Report-SOF2021'!D$99,0)</f>
        <v>0</v>
      </c>
      <c r="M803" s="723">
        <f>IF(A803='Data Entry - SOF'!B$2,'Data Entry - SOF'!M$102,0)</f>
        <v>0</v>
      </c>
      <c r="N803" s="717">
        <f t="shared" si="76"/>
        <v>10351378</v>
      </c>
      <c r="O803" s="944">
        <f>IF(A803='Data Entry - SOF'!B$2,'Report-SOF2122'!D$91,0)</f>
        <v>0</v>
      </c>
      <c r="P803" s="723">
        <f>IF(A803='Data Entry - SOF'!B$2,'Data Entry - SOF'!O$102,0)</f>
        <v>0</v>
      </c>
      <c r="Q803" s="601">
        <f t="shared" si="73"/>
        <v>10351378</v>
      </c>
      <c r="R803" s="944">
        <f>IF(A803='Data Entry - SOF'!B$2,'Report-SOF2223'!D$91,0)</f>
        <v>0</v>
      </c>
      <c r="S803" s="723">
        <f>IF(A803='Data Entry - SOF'!B$2,'Data Entry - SOF'!Q$102,0)</f>
        <v>0</v>
      </c>
      <c r="T803" s="601">
        <f t="shared" si="77"/>
        <v>10351378</v>
      </c>
      <c r="U803" s="944">
        <f>IF(A803='Data Entry - SOF'!B$2,'Report-SOF2324'!D$91,0)</f>
        <v>0</v>
      </c>
      <c r="V803" s="723">
        <f>IF(A803='Data Entry - SOF'!B$2,'Data Entry - SOF'!S$102,0)</f>
        <v>0</v>
      </c>
    </row>
    <row r="804" spans="1:22" ht="15.75">
      <c r="A804" s="382" t="s">
        <v>1457</v>
      </c>
      <c r="B804" s="91">
        <v>14282179</v>
      </c>
      <c r="C804" s="944">
        <f>IF(A804='Data Entry - SOF'!B$2,'Report-SOF1718'!D$102,0)</f>
        <v>0</v>
      </c>
      <c r="D804" s="1037">
        <f>IF(A804='Data Entry - SOF'!B$2,'Data Entry - SOF'!#REF!,0)</f>
        <v>0</v>
      </c>
      <c r="E804" s="91">
        <f t="shared" si="72"/>
        <v>14282179</v>
      </c>
      <c r="F804" s="944">
        <f>IF(A804='Data Entry - SOF'!B$2,'Report-SOF1819'!D$102,0)</f>
        <v>0</v>
      </c>
      <c r="G804" s="1037">
        <f>IF(A804='Data Entry - SOF'!B$2,'Data Entry - SOF'!E$102,0)</f>
        <v>0</v>
      </c>
      <c r="H804" s="1038">
        <f t="shared" si="74"/>
        <v>14282179</v>
      </c>
      <c r="I804" s="944">
        <f>IF(A804='Data Entry - SOF'!B$2,'Report-SOF1920-HB3'!D$102,0)</f>
        <v>0</v>
      </c>
      <c r="J804" s="1037">
        <f>IF(A804='Data Entry - SOF'!B$2,'Data Entry - SOF'!G$102,0)</f>
        <v>0</v>
      </c>
      <c r="K804" s="717">
        <f t="shared" si="75"/>
        <v>14282179</v>
      </c>
      <c r="L804" s="944">
        <f>IF(A804='Data Entry - SOF'!B$2,'Report-SOF2021'!D$99,0)</f>
        <v>0</v>
      </c>
      <c r="M804" s="723">
        <f>IF(A804='Data Entry - SOF'!B$2,'Data Entry - SOF'!M$102,0)</f>
        <v>0</v>
      </c>
      <c r="N804" s="717">
        <f t="shared" si="76"/>
        <v>14282179</v>
      </c>
      <c r="O804" s="944">
        <f>IF(A804='Data Entry - SOF'!B$2,'Report-SOF2122'!D$91,0)</f>
        <v>0</v>
      </c>
      <c r="P804" s="723">
        <f>IF(A804='Data Entry - SOF'!B$2,'Data Entry - SOF'!O$102,0)</f>
        <v>0</v>
      </c>
      <c r="Q804" s="601">
        <f t="shared" si="73"/>
        <v>14282179</v>
      </c>
      <c r="R804" s="944">
        <f>IF(A804='Data Entry - SOF'!B$2,'Report-SOF2223'!D$91,0)</f>
        <v>0</v>
      </c>
      <c r="S804" s="723">
        <f>IF(A804='Data Entry - SOF'!B$2,'Data Entry - SOF'!Q$102,0)</f>
        <v>0</v>
      </c>
      <c r="T804" s="601">
        <f t="shared" si="77"/>
        <v>14282179</v>
      </c>
      <c r="U804" s="944">
        <f>IF(A804='Data Entry - SOF'!B$2,'Report-SOF2324'!D$91,0)</f>
        <v>0</v>
      </c>
      <c r="V804" s="723">
        <f>IF(A804='Data Entry - SOF'!B$2,'Data Entry - SOF'!S$102,0)</f>
        <v>0</v>
      </c>
    </row>
    <row r="805" spans="1:22" ht="15.75">
      <c r="A805" s="382" t="s">
        <v>1458</v>
      </c>
      <c r="B805" s="91">
        <v>11137895</v>
      </c>
      <c r="C805" s="944">
        <f>IF(A805='Data Entry - SOF'!B$2,'Report-SOF1718'!D$102,0)</f>
        <v>0</v>
      </c>
      <c r="D805" s="1037">
        <f>IF(A805='Data Entry - SOF'!B$2,'Data Entry - SOF'!#REF!,0)</f>
        <v>0</v>
      </c>
      <c r="E805" s="91">
        <f t="shared" si="72"/>
        <v>11137895</v>
      </c>
      <c r="F805" s="944">
        <f>IF(A805='Data Entry - SOF'!B$2,'Report-SOF1819'!D$102,0)</f>
        <v>0</v>
      </c>
      <c r="G805" s="1037">
        <f>IF(A805='Data Entry - SOF'!B$2,'Data Entry - SOF'!E$102,0)</f>
        <v>0</v>
      </c>
      <c r="H805" s="1038">
        <f t="shared" si="74"/>
        <v>11137895</v>
      </c>
      <c r="I805" s="944">
        <f>IF(A805='Data Entry - SOF'!B$2,'Report-SOF1920-HB3'!D$102,0)</f>
        <v>0</v>
      </c>
      <c r="J805" s="1037">
        <f>IF(A805='Data Entry - SOF'!B$2,'Data Entry - SOF'!G$102,0)</f>
        <v>0</v>
      </c>
      <c r="K805" s="717">
        <f t="shared" si="75"/>
        <v>11137895</v>
      </c>
      <c r="L805" s="944">
        <f>IF(A805='Data Entry - SOF'!B$2,'Report-SOF2021'!D$99,0)</f>
        <v>0</v>
      </c>
      <c r="M805" s="723">
        <f>IF(A805='Data Entry - SOF'!B$2,'Data Entry - SOF'!M$102,0)</f>
        <v>0</v>
      </c>
      <c r="N805" s="717">
        <f t="shared" si="76"/>
        <v>11137895</v>
      </c>
      <c r="O805" s="944">
        <f>IF(A805='Data Entry - SOF'!B$2,'Report-SOF2122'!D$91,0)</f>
        <v>0</v>
      </c>
      <c r="P805" s="723">
        <f>IF(A805='Data Entry - SOF'!B$2,'Data Entry - SOF'!O$102,0)</f>
        <v>0</v>
      </c>
      <c r="Q805" s="601">
        <f t="shared" si="73"/>
        <v>11137895</v>
      </c>
      <c r="R805" s="944">
        <f>IF(A805='Data Entry - SOF'!B$2,'Report-SOF2223'!D$91,0)</f>
        <v>0</v>
      </c>
      <c r="S805" s="723">
        <f>IF(A805='Data Entry - SOF'!B$2,'Data Entry - SOF'!Q$102,0)</f>
        <v>0</v>
      </c>
      <c r="T805" s="601">
        <f t="shared" si="77"/>
        <v>11137895</v>
      </c>
      <c r="U805" s="944">
        <f>IF(A805='Data Entry - SOF'!B$2,'Report-SOF2324'!D$91,0)</f>
        <v>0</v>
      </c>
      <c r="V805" s="723">
        <f>IF(A805='Data Entry - SOF'!B$2,'Data Entry - SOF'!S$102,0)</f>
        <v>0</v>
      </c>
    </row>
    <row r="806" spans="1:22" ht="15.75">
      <c r="A806" s="382" t="s">
        <v>1459</v>
      </c>
      <c r="B806" s="91">
        <v>1203348</v>
      </c>
      <c r="C806" s="944">
        <f>IF(A806='Data Entry - SOF'!B$2,'Report-SOF1718'!D$102,0)</f>
        <v>0</v>
      </c>
      <c r="D806" s="1037">
        <f>IF(A806='Data Entry - SOF'!B$2,'Data Entry - SOF'!#REF!,0)</f>
        <v>0</v>
      </c>
      <c r="E806" s="91">
        <f t="shared" si="72"/>
        <v>1203348</v>
      </c>
      <c r="F806" s="944">
        <f>IF(A806='Data Entry - SOF'!B$2,'Report-SOF1819'!D$102,0)</f>
        <v>0</v>
      </c>
      <c r="G806" s="1037">
        <f>IF(A806='Data Entry - SOF'!B$2,'Data Entry - SOF'!E$102,0)</f>
        <v>0</v>
      </c>
      <c r="H806" s="1038">
        <f t="shared" si="74"/>
        <v>1203348</v>
      </c>
      <c r="I806" s="944">
        <f>IF(A806='Data Entry - SOF'!B$2,'Report-SOF1920-HB3'!D$102,0)</f>
        <v>0</v>
      </c>
      <c r="J806" s="1037">
        <f>IF(A806='Data Entry - SOF'!B$2,'Data Entry - SOF'!G$102,0)</f>
        <v>0</v>
      </c>
      <c r="K806" s="717">
        <f t="shared" si="75"/>
        <v>1203348</v>
      </c>
      <c r="L806" s="944">
        <f>IF(A806='Data Entry - SOF'!B$2,'Report-SOF2021'!D$99,0)</f>
        <v>0</v>
      </c>
      <c r="M806" s="723">
        <f>IF(A806='Data Entry - SOF'!B$2,'Data Entry - SOF'!M$102,0)</f>
        <v>0</v>
      </c>
      <c r="N806" s="717">
        <f t="shared" si="76"/>
        <v>1203348</v>
      </c>
      <c r="O806" s="944">
        <f>IF(A806='Data Entry - SOF'!B$2,'Report-SOF2122'!D$91,0)</f>
        <v>0</v>
      </c>
      <c r="P806" s="723">
        <f>IF(A806='Data Entry - SOF'!B$2,'Data Entry - SOF'!O$102,0)</f>
        <v>0</v>
      </c>
      <c r="Q806" s="601">
        <f t="shared" si="73"/>
        <v>1203348</v>
      </c>
      <c r="R806" s="944">
        <f>IF(A806='Data Entry - SOF'!B$2,'Report-SOF2223'!D$91,0)</f>
        <v>0</v>
      </c>
      <c r="S806" s="723">
        <f>IF(A806='Data Entry - SOF'!B$2,'Data Entry - SOF'!Q$102,0)</f>
        <v>0</v>
      </c>
      <c r="T806" s="601">
        <f t="shared" si="77"/>
        <v>1203348</v>
      </c>
      <c r="U806" s="944">
        <f>IF(A806='Data Entry - SOF'!B$2,'Report-SOF2324'!D$91,0)</f>
        <v>0</v>
      </c>
      <c r="V806" s="723">
        <f>IF(A806='Data Entry - SOF'!B$2,'Data Entry - SOF'!S$102,0)</f>
        <v>0</v>
      </c>
    </row>
    <row r="807" spans="1:22" ht="15.75">
      <c r="A807" s="382" t="s">
        <v>1460</v>
      </c>
      <c r="B807" s="91">
        <v>80094812</v>
      </c>
      <c r="C807" s="944">
        <f>IF(A807='Data Entry - SOF'!B$2,'Report-SOF1718'!D$102,0)</f>
        <v>0</v>
      </c>
      <c r="D807" s="1037">
        <f>IF(A807='Data Entry - SOF'!B$2,'Data Entry - SOF'!#REF!,0)</f>
        <v>0</v>
      </c>
      <c r="E807" s="91">
        <f t="shared" si="72"/>
        <v>80094812</v>
      </c>
      <c r="F807" s="944">
        <f>IF(A807='Data Entry - SOF'!B$2,'Report-SOF1819'!D$102,0)</f>
        <v>0</v>
      </c>
      <c r="G807" s="1037">
        <f>IF(A807='Data Entry - SOF'!B$2,'Data Entry - SOF'!E$102,0)</f>
        <v>0</v>
      </c>
      <c r="H807" s="1038">
        <f t="shared" si="74"/>
        <v>80094812</v>
      </c>
      <c r="I807" s="944">
        <f>IF(A807='Data Entry - SOF'!B$2,'Report-SOF1920-HB3'!D$102,0)</f>
        <v>0</v>
      </c>
      <c r="J807" s="1037">
        <f>IF(A807='Data Entry - SOF'!B$2,'Data Entry - SOF'!G$102,0)</f>
        <v>0</v>
      </c>
      <c r="K807" s="717">
        <f t="shared" si="75"/>
        <v>80094812</v>
      </c>
      <c r="L807" s="944">
        <f>IF(A807='Data Entry - SOF'!B$2,'Report-SOF2021'!D$99,0)</f>
        <v>0</v>
      </c>
      <c r="M807" s="723">
        <f>IF(A807='Data Entry - SOF'!B$2,'Data Entry - SOF'!M$102,0)</f>
        <v>0</v>
      </c>
      <c r="N807" s="717">
        <f t="shared" si="76"/>
        <v>80094812</v>
      </c>
      <c r="O807" s="944">
        <f>IF(A807='Data Entry - SOF'!B$2,'Report-SOF2122'!D$91,0)</f>
        <v>0</v>
      </c>
      <c r="P807" s="723">
        <f>IF(A807='Data Entry - SOF'!B$2,'Data Entry - SOF'!O$102,0)</f>
        <v>0</v>
      </c>
      <c r="Q807" s="601">
        <f t="shared" si="73"/>
        <v>80094812</v>
      </c>
      <c r="R807" s="944">
        <f>IF(A807='Data Entry - SOF'!B$2,'Report-SOF2223'!D$91,0)</f>
        <v>0</v>
      </c>
      <c r="S807" s="723">
        <f>IF(A807='Data Entry - SOF'!B$2,'Data Entry - SOF'!Q$102,0)</f>
        <v>0</v>
      </c>
      <c r="T807" s="601">
        <f t="shared" si="77"/>
        <v>80094812</v>
      </c>
      <c r="U807" s="944">
        <f>IF(A807='Data Entry - SOF'!B$2,'Report-SOF2324'!D$91,0)</f>
        <v>0</v>
      </c>
      <c r="V807" s="723">
        <f>IF(A807='Data Entry - SOF'!B$2,'Data Entry - SOF'!S$102,0)</f>
        <v>0</v>
      </c>
    </row>
    <row r="808" spans="1:22" ht="15.75">
      <c r="A808" s="382" t="s">
        <v>1461</v>
      </c>
      <c r="B808" s="91">
        <v>6011733</v>
      </c>
      <c r="C808" s="944">
        <f>IF(A808='Data Entry - SOF'!B$2,'Report-SOF1718'!D$102,0)</f>
        <v>0</v>
      </c>
      <c r="D808" s="1037">
        <f>IF(A808='Data Entry - SOF'!B$2,'Data Entry - SOF'!#REF!,0)</f>
        <v>0</v>
      </c>
      <c r="E808" s="91">
        <f t="shared" si="72"/>
        <v>6011733</v>
      </c>
      <c r="F808" s="944">
        <f>IF(A808='Data Entry - SOF'!B$2,'Report-SOF1819'!D$102,0)</f>
        <v>0</v>
      </c>
      <c r="G808" s="1037">
        <f>IF(A808='Data Entry - SOF'!B$2,'Data Entry - SOF'!E$102,0)</f>
        <v>0</v>
      </c>
      <c r="H808" s="1038">
        <f t="shared" si="74"/>
        <v>6011733</v>
      </c>
      <c r="I808" s="944">
        <f>IF(A808='Data Entry - SOF'!B$2,'Report-SOF1920-HB3'!D$102,0)</f>
        <v>0</v>
      </c>
      <c r="J808" s="1037">
        <f>IF(A808='Data Entry - SOF'!B$2,'Data Entry - SOF'!G$102,0)</f>
        <v>0</v>
      </c>
      <c r="K808" s="717">
        <f t="shared" si="75"/>
        <v>6011733</v>
      </c>
      <c r="L808" s="944">
        <f>IF(A808='Data Entry - SOF'!B$2,'Report-SOF2021'!D$99,0)</f>
        <v>0</v>
      </c>
      <c r="M808" s="723">
        <f>IF(A808='Data Entry - SOF'!B$2,'Data Entry - SOF'!M$102,0)</f>
        <v>0</v>
      </c>
      <c r="N808" s="717">
        <f t="shared" si="76"/>
        <v>6011733</v>
      </c>
      <c r="O808" s="944">
        <f>IF(A808='Data Entry - SOF'!B$2,'Report-SOF2122'!D$91,0)</f>
        <v>0</v>
      </c>
      <c r="P808" s="723">
        <f>IF(A808='Data Entry - SOF'!B$2,'Data Entry - SOF'!O$102,0)</f>
        <v>0</v>
      </c>
      <c r="Q808" s="601">
        <f t="shared" si="73"/>
        <v>6011733</v>
      </c>
      <c r="R808" s="944">
        <f>IF(A808='Data Entry - SOF'!B$2,'Report-SOF2223'!D$91,0)</f>
        <v>0</v>
      </c>
      <c r="S808" s="723">
        <f>IF(A808='Data Entry - SOF'!B$2,'Data Entry - SOF'!Q$102,0)</f>
        <v>0</v>
      </c>
      <c r="T808" s="601">
        <f t="shared" si="77"/>
        <v>6011733</v>
      </c>
      <c r="U808" s="944">
        <f>IF(A808='Data Entry - SOF'!B$2,'Report-SOF2324'!D$91,0)</f>
        <v>0</v>
      </c>
      <c r="V808" s="723">
        <f>IF(A808='Data Entry - SOF'!B$2,'Data Entry - SOF'!S$102,0)</f>
        <v>0</v>
      </c>
    </row>
    <row r="809" spans="1:22" ht="15.75">
      <c r="A809" s="382" t="s">
        <v>1462</v>
      </c>
      <c r="B809" s="91">
        <v>869584</v>
      </c>
      <c r="C809" s="944">
        <f>IF(A809='Data Entry - SOF'!B$2,'Report-SOF1718'!D$102,0)</f>
        <v>0</v>
      </c>
      <c r="D809" s="1037">
        <f>IF(A809='Data Entry - SOF'!B$2,'Data Entry - SOF'!#REF!,0)</f>
        <v>0</v>
      </c>
      <c r="E809" s="91">
        <f t="shared" si="72"/>
        <v>869584</v>
      </c>
      <c r="F809" s="944">
        <f>IF(A809='Data Entry - SOF'!B$2,'Report-SOF1819'!D$102,0)</f>
        <v>0</v>
      </c>
      <c r="G809" s="1037">
        <f>IF(A809='Data Entry - SOF'!B$2,'Data Entry - SOF'!E$102,0)</f>
        <v>0</v>
      </c>
      <c r="H809" s="1038">
        <f t="shared" si="74"/>
        <v>869584</v>
      </c>
      <c r="I809" s="944">
        <f>IF(A809='Data Entry - SOF'!B$2,'Report-SOF1920-HB3'!D$102,0)</f>
        <v>0</v>
      </c>
      <c r="J809" s="1037">
        <f>IF(A809='Data Entry - SOF'!B$2,'Data Entry - SOF'!G$102,0)</f>
        <v>0</v>
      </c>
      <c r="K809" s="717">
        <f t="shared" si="75"/>
        <v>869584</v>
      </c>
      <c r="L809" s="944">
        <f>IF(A809='Data Entry - SOF'!B$2,'Report-SOF2021'!D$99,0)</f>
        <v>0</v>
      </c>
      <c r="M809" s="723">
        <f>IF(A809='Data Entry - SOF'!B$2,'Data Entry - SOF'!M$102,0)</f>
        <v>0</v>
      </c>
      <c r="N809" s="717">
        <f t="shared" si="76"/>
        <v>869584</v>
      </c>
      <c r="O809" s="944">
        <f>IF(A809='Data Entry - SOF'!B$2,'Report-SOF2122'!D$91,0)</f>
        <v>0</v>
      </c>
      <c r="P809" s="723">
        <f>IF(A809='Data Entry - SOF'!B$2,'Data Entry - SOF'!O$102,0)</f>
        <v>0</v>
      </c>
      <c r="Q809" s="601">
        <f t="shared" si="73"/>
        <v>869584</v>
      </c>
      <c r="R809" s="944">
        <f>IF(A809='Data Entry - SOF'!B$2,'Report-SOF2223'!D$91,0)</f>
        <v>0</v>
      </c>
      <c r="S809" s="723">
        <f>IF(A809='Data Entry - SOF'!B$2,'Data Entry - SOF'!Q$102,0)</f>
        <v>0</v>
      </c>
      <c r="T809" s="601">
        <f t="shared" si="77"/>
        <v>869584</v>
      </c>
      <c r="U809" s="944">
        <f>IF(A809='Data Entry - SOF'!B$2,'Report-SOF2324'!D$91,0)</f>
        <v>0</v>
      </c>
      <c r="V809" s="723">
        <f>IF(A809='Data Entry - SOF'!B$2,'Data Entry - SOF'!S$102,0)</f>
        <v>0</v>
      </c>
    </row>
    <row r="810" spans="1:22" ht="15.75">
      <c r="A810" s="382" t="s">
        <v>1672</v>
      </c>
      <c r="B810" s="91">
        <v>217679949</v>
      </c>
      <c r="C810" s="944">
        <f>IF(A810='Data Entry - SOF'!B$2,'Report-SOF1718'!D$102,0)</f>
        <v>0</v>
      </c>
      <c r="D810" s="1037">
        <f>IF(A810='Data Entry - SOF'!B$2,'Data Entry - SOF'!#REF!,0)</f>
        <v>0</v>
      </c>
      <c r="E810" s="91">
        <f t="shared" si="72"/>
        <v>217679949</v>
      </c>
      <c r="F810" s="944">
        <f>IF(A810='Data Entry - SOF'!B$2,'Report-SOF1819'!D$102,0)</f>
        <v>0</v>
      </c>
      <c r="G810" s="1037">
        <f>IF(A810='Data Entry - SOF'!B$2,'Data Entry - SOF'!E$102,0)</f>
        <v>0</v>
      </c>
      <c r="H810" s="1038">
        <f t="shared" si="74"/>
        <v>217679949</v>
      </c>
      <c r="I810" s="944">
        <f>IF(A810='Data Entry - SOF'!B$2,'Report-SOF1920-HB3'!D$102,0)</f>
        <v>0</v>
      </c>
      <c r="J810" s="1037">
        <f>IF(A810='Data Entry - SOF'!B$2,'Data Entry - SOF'!G$102,0)</f>
        <v>0</v>
      </c>
      <c r="K810" s="717">
        <f t="shared" si="75"/>
        <v>217679949</v>
      </c>
      <c r="L810" s="944">
        <f>IF(A810='Data Entry - SOF'!B$2,'Report-SOF2021'!D$99,0)</f>
        <v>0</v>
      </c>
      <c r="M810" s="723">
        <f>IF(A810='Data Entry - SOF'!B$2,'Data Entry - SOF'!M$102,0)</f>
        <v>0</v>
      </c>
      <c r="N810" s="717">
        <f t="shared" si="76"/>
        <v>217679949</v>
      </c>
      <c r="O810" s="944">
        <f>IF(A810='Data Entry - SOF'!B$2,'Report-SOF2122'!D$91,0)</f>
        <v>0</v>
      </c>
      <c r="P810" s="723">
        <f>IF(A810='Data Entry - SOF'!B$2,'Data Entry - SOF'!O$102,0)</f>
        <v>0</v>
      </c>
      <c r="Q810" s="601">
        <f t="shared" si="73"/>
        <v>217679949</v>
      </c>
      <c r="R810" s="944">
        <f>IF(A810='Data Entry - SOF'!B$2,'Report-SOF2223'!D$91,0)</f>
        <v>0</v>
      </c>
      <c r="S810" s="723">
        <f>IF(A810='Data Entry - SOF'!B$2,'Data Entry - SOF'!Q$102,0)</f>
        <v>0</v>
      </c>
      <c r="T810" s="601">
        <f t="shared" si="77"/>
        <v>217679949</v>
      </c>
      <c r="U810" s="944">
        <f>IF(A810='Data Entry - SOF'!B$2,'Report-SOF2324'!D$91,0)</f>
        <v>0</v>
      </c>
      <c r="V810" s="723">
        <f>IF(A810='Data Entry - SOF'!B$2,'Data Entry - SOF'!S$102,0)</f>
        <v>0</v>
      </c>
    </row>
    <row r="811" spans="1:22" ht="15.75">
      <c r="A811" s="382" t="s">
        <v>1812</v>
      </c>
      <c r="B811" s="91">
        <v>27667180</v>
      </c>
      <c r="C811" s="944">
        <f>IF(A811='Data Entry - SOF'!B$2,'Report-SOF1718'!D$102,0)</f>
        <v>0</v>
      </c>
      <c r="D811" s="1037">
        <f>IF(A811='Data Entry - SOF'!B$2,'Data Entry - SOF'!#REF!,0)</f>
        <v>0</v>
      </c>
      <c r="E811" s="91">
        <f t="shared" si="72"/>
        <v>27667180</v>
      </c>
      <c r="F811" s="944">
        <f>IF(A811='Data Entry - SOF'!B$2,'Report-SOF1819'!D$102,0)</f>
        <v>0</v>
      </c>
      <c r="G811" s="1037">
        <f>IF(A811='Data Entry - SOF'!B$2,'Data Entry - SOF'!E$102,0)</f>
        <v>0</v>
      </c>
      <c r="H811" s="1038">
        <f t="shared" si="74"/>
        <v>27667180</v>
      </c>
      <c r="I811" s="944">
        <f>IF(A811='Data Entry - SOF'!B$2,'Report-SOF1920-HB3'!D$102,0)</f>
        <v>0</v>
      </c>
      <c r="J811" s="1037">
        <f>IF(A811='Data Entry - SOF'!B$2,'Data Entry - SOF'!G$102,0)</f>
        <v>0</v>
      </c>
      <c r="K811" s="717">
        <f t="shared" si="75"/>
        <v>27667180</v>
      </c>
      <c r="L811" s="944">
        <f>IF(A811='Data Entry - SOF'!B$2,'Report-SOF2021'!D$99,0)</f>
        <v>0</v>
      </c>
      <c r="M811" s="723">
        <f>IF(A811='Data Entry - SOF'!B$2,'Data Entry - SOF'!M$102,0)</f>
        <v>0</v>
      </c>
      <c r="N811" s="717">
        <f t="shared" si="76"/>
        <v>27667180</v>
      </c>
      <c r="O811" s="944">
        <f>IF(A811='Data Entry - SOF'!B$2,'Report-SOF2122'!D$91,0)</f>
        <v>0</v>
      </c>
      <c r="P811" s="723">
        <f>IF(A811='Data Entry - SOF'!B$2,'Data Entry - SOF'!O$102,0)</f>
        <v>0</v>
      </c>
      <c r="Q811" s="601">
        <f t="shared" si="73"/>
        <v>27667180</v>
      </c>
      <c r="R811" s="944">
        <f>IF(A811='Data Entry - SOF'!B$2,'Report-SOF2223'!D$91,0)</f>
        <v>0</v>
      </c>
      <c r="S811" s="723">
        <f>IF(A811='Data Entry - SOF'!B$2,'Data Entry - SOF'!Q$102,0)</f>
        <v>0</v>
      </c>
      <c r="T811" s="601">
        <f t="shared" si="77"/>
        <v>27667180</v>
      </c>
      <c r="U811" s="944">
        <f>IF(A811='Data Entry - SOF'!B$2,'Report-SOF2324'!D$91,0)</f>
        <v>0</v>
      </c>
      <c r="V811" s="723">
        <f>IF(A811='Data Entry - SOF'!B$2,'Data Entry - SOF'!S$102,0)</f>
        <v>0</v>
      </c>
    </row>
    <row r="812" spans="1:22" ht="15.75">
      <c r="A812" s="382" t="s">
        <v>1673</v>
      </c>
      <c r="B812" s="91">
        <v>1521336</v>
      </c>
      <c r="C812" s="944">
        <f>IF(A812='Data Entry - SOF'!B$2,'Report-SOF1718'!D$102,0)</f>
        <v>0</v>
      </c>
      <c r="D812" s="1037">
        <f>IF(A812='Data Entry - SOF'!B$2,'Data Entry - SOF'!#REF!,0)</f>
        <v>0</v>
      </c>
      <c r="E812" s="91">
        <f t="shared" si="72"/>
        <v>1521336</v>
      </c>
      <c r="F812" s="944">
        <f>IF(A812='Data Entry - SOF'!B$2,'Report-SOF1819'!D$102,0)</f>
        <v>0</v>
      </c>
      <c r="G812" s="1037">
        <f>IF(A812='Data Entry - SOF'!B$2,'Data Entry - SOF'!E$102,0)</f>
        <v>0</v>
      </c>
      <c r="H812" s="1038">
        <f t="shared" si="74"/>
        <v>1521336</v>
      </c>
      <c r="I812" s="944">
        <f>IF(A812='Data Entry - SOF'!B$2,'Report-SOF1920-HB3'!D$102,0)</f>
        <v>0</v>
      </c>
      <c r="J812" s="1037">
        <f>IF(A812='Data Entry - SOF'!B$2,'Data Entry - SOF'!G$102,0)</f>
        <v>0</v>
      </c>
      <c r="K812" s="717">
        <f t="shared" si="75"/>
        <v>1521336</v>
      </c>
      <c r="L812" s="944">
        <f>IF(A812='Data Entry - SOF'!B$2,'Report-SOF2021'!D$99,0)</f>
        <v>0</v>
      </c>
      <c r="M812" s="723">
        <f>IF(A812='Data Entry - SOF'!B$2,'Data Entry - SOF'!M$102,0)</f>
        <v>0</v>
      </c>
      <c r="N812" s="717">
        <f t="shared" si="76"/>
        <v>1521336</v>
      </c>
      <c r="O812" s="944">
        <f>IF(A812='Data Entry - SOF'!B$2,'Report-SOF2122'!D$91,0)</f>
        <v>0</v>
      </c>
      <c r="P812" s="723">
        <f>IF(A812='Data Entry - SOF'!B$2,'Data Entry - SOF'!O$102,0)</f>
        <v>0</v>
      </c>
      <c r="Q812" s="601">
        <f t="shared" si="73"/>
        <v>1521336</v>
      </c>
      <c r="R812" s="944">
        <f>IF(A812='Data Entry - SOF'!B$2,'Report-SOF2223'!D$91,0)</f>
        <v>0</v>
      </c>
      <c r="S812" s="723">
        <f>IF(A812='Data Entry - SOF'!B$2,'Data Entry - SOF'!Q$102,0)</f>
        <v>0</v>
      </c>
      <c r="T812" s="601">
        <f t="shared" si="77"/>
        <v>1521336</v>
      </c>
      <c r="U812" s="944">
        <f>IF(A812='Data Entry - SOF'!B$2,'Report-SOF2324'!D$91,0)</f>
        <v>0</v>
      </c>
      <c r="V812" s="723">
        <f>IF(A812='Data Entry - SOF'!B$2,'Data Entry - SOF'!S$102,0)</f>
        <v>0</v>
      </c>
    </row>
    <row r="813" spans="1:22" ht="15.75">
      <c r="A813" s="382" t="s">
        <v>378</v>
      </c>
      <c r="B813" s="91">
        <v>704934</v>
      </c>
      <c r="C813" s="944">
        <f>IF(A813='Data Entry - SOF'!B$2,'Report-SOF1718'!D$102,0)</f>
        <v>0</v>
      </c>
      <c r="D813" s="1037">
        <f>IF(A813='Data Entry - SOF'!B$2,'Data Entry - SOF'!#REF!,0)</f>
        <v>0</v>
      </c>
      <c r="E813" s="91">
        <f t="shared" si="72"/>
        <v>704934</v>
      </c>
      <c r="F813" s="944">
        <f>IF(A813='Data Entry - SOF'!B$2,'Report-SOF1819'!D$102,0)</f>
        <v>0</v>
      </c>
      <c r="G813" s="1037">
        <f>IF(A813='Data Entry - SOF'!B$2,'Data Entry - SOF'!E$102,0)</f>
        <v>0</v>
      </c>
      <c r="H813" s="1038">
        <f t="shared" si="74"/>
        <v>704934</v>
      </c>
      <c r="I813" s="944">
        <f>IF(A813='Data Entry - SOF'!B$2,'Report-SOF1920-HB3'!D$102,0)</f>
        <v>0</v>
      </c>
      <c r="J813" s="1037">
        <f>IF(A813='Data Entry - SOF'!B$2,'Data Entry - SOF'!G$102,0)</f>
        <v>0</v>
      </c>
      <c r="K813" s="717">
        <f t="shared" si="75"/>
        <v>704934</v>
      </c>
      <c r="L813" s="944">
        <f>IF(A813='Data Entry - SOF'!B$2,'Report-SOF2021'!D$99,0)</f>
        <v>0</v>
      </c>
      <c r="M813" s="723">
        <f>IF(A813='Data Entry - SOF'!B$2,'Data Entry - SOF'!M$102,0)</f>
        <v>0</v>
      </c>
      <c r="N813" s="717">
        <f t="shared" si="76"/>
        <v>704934</v>
      </c>
      <c r="O813" s="944">
        <f>IF(A813='Data Entry - SOF'!B$2,'Report-SOF2122'!D$91,0)</f>
        <v>0</v>
      </c>
      <c r="P813" s="723">
        <f>IF(A813='Data Entry - SOF'!B$2,'Data Entry - SOF'!O$102,0)</f>
        <v>0</v>
      </c>
      <c r="Q813" s="601">
        <f t="shared" si="73"/>
        <v>704934</v>
      </c>
      <c r="R813" s="944">
        <f>IF(A813='Data Entry - SOF'!B$2,'Report-SOF2223'!D$91,0)</f>
        <v>0</v>
      </c>
      <c r="S813" s="723">
        <f>IF(A813='Data Entry - SOF'!B$2,'Data Entry - SOF'!Q$102,0)</f>
        <v>0</v>
      </c>
      <c r="T813" s="601">
        <f t="shared" si="77"/>
        <v>704934</v>
      </c>
      <c r="U813" s="944">
        <f>IF(A813='Data Entry - SOF'!B$2,'Report-SOF2324'!D$91,0)</f>
        <v>0</v>
      </c>
      <c r="V813" s="723">
        <f>IF(A813='Data Entry - SOF'!B$2,'Data Entry - SOF'!S$102,0)</f>
        <v>0</v>
      </c>
    </row>
    <row r="814" spans="1:22" ht="15.75">
      <c r="A814" s="382" t="s">
        <v>1183</v>
      </c>
      <c r="B814" s="91">
        <v>588271</v>
      </c>
      <c r="C814" s="944">
        <f>IF(A814='Data Entry - SOF'!B$2,'Report-SOF1718'!D$102,0)</f>
        <v>0</v>
      </c>
      <c r="D814" s="1037">
        <f>IF(A814='Data Entry - SOF'!B$2,'Data Entry - SOF'!#REF!,0)</f>
        <v>0</v>
      </c>
      <c r="E814" s="91">
        <f t="shared" si="72"/>
        <v>588271</v>
      </c>
      <c r="F814" s="944">
        <f>IF(A814='Data Entry - SOF'!B$2,'Report-SOF1819'!D$102,0)</f>
        <v>0</v>
      </c>
      <c r="G814" s="1037">
        <f>IF(A814='Data Entry - SOF'!B$2,'Data Entry - SOF'!E$102,0)</f>
        <v>0</v>
      </c>
      <c r="H814" s="1038">
        <f t="shared" si="74"/>
        <v>588271</v>
      </c>
      <c r="I814" s="944">
        <f>IF(A814='Data Entry - SOF'!B$2,'Report-SOF1920-HB3'!D$102,0)</f>
        <v>0</v>
      </c>
      <c r="J814" s="1037">
        <f>IF(A814='Data Entry - SOF'!B$2,'Data Entry - SOF'!G$102,0)</f>
        <v>0</v>
      </c>
      <c r="K814" s="717">
        <f t="shared" si="75"/>
        <v>588271</v>
      </c>
      <c r="L814" s="944">
        <f>IF(A814='Data Entry - SOF'!B$2,'Report-SOF2021'!D$99,0)</f>
        <v>0</v>
      </c>
      <c r="M814" s="723">
        <f>IF(A814='Data Entry - SOF'!B$2,'Data Entry - SOF'!M$102,0)</f>
        <v>0</v>
      </c>
      <c r="N814" s="717">
        <f t="shared" si="76"/>
        <v>588271</v>
      </c>
      <c r="O814" s="944">
        <f>IF(A814='Data Entry - SOF'!B$2,'Report-SOF2122'!D$91,0)</f>
        <v>0</v>
      </c>
      <c r="P814" s="723">
        <f>IF(A814='Data Entry - SOF'!B$2,'Data Entry - SOF'!O$102,0)</f>
        <v>0</v>
      </c>
      <c r="Q814" s="601">
        <f t="shared" si="73"/>
        <v>588271</v>
      </c>
      <c r="R814" s="944">
        <f>IF(A814='Data Entry - SOF'!B$2,'Report-SOF2223'!D$91,0)</f>
        <v>0</v>
      </c>
      <c r="S814" s="723">
        <f>IF(A814='Data Entry - SOF'!B$2,'Data Entry - SOF'!Q$102,0)</f>
        <v>0</v>
      </c>
      <c r="T814" s="601">
        <f t="shared" si="77"/>
        <v>588271</v>
      </c>
      <c r="U814" s="944">
        <f>IF(A814='Data Entry - SOF'!B$2,'Report-SOF2324'!D$91,0)</f>
        <v>0</v>
      </c>
      <c r="V814" s="723">
        <f>IF(A814='Data Entry - SOF'!B$2,'Data Entry - SOF'!S$102,0)</f>
        <v>0</v>
      </c>
    </row>
    <row r="815" spans="1:22" ht="15.75">
      <c r="A815" s="382" t="s">
        <v>379</v>
      </c>
      <c r="B815" s="91">
        <v>38905</v>
      </c>
      <c r="C815" s="944">
        <f>IF(A815='Data Entry - SOF'!B$2,'Report-SOF1718'!D$102,0)</f>
        <v>0</v>
      </c>
      <c r="D815" s="1037">
        <f>IF(A815='Data Entry - SOF'!B$2,'Data Entry - SOF'!#REF!,0)</f>
        <v>0</v>
      </c>
      <c r="E815" s="91">
        <f t="shared" si="72"/>
        <v>38905</v>
      </c>
      <c r="F815" s="944">
        <f>IF(A815='Data Entry - SOF'!B$2,'Report-SOF1819'!D$102,0)</f>
        <v>0</v>
      </c>
      <c r="G815" s="1037">
        <f>IF(A815='Data Entry - SOF'!B$2,'Data Entry - SOF'!E$102,0)</f>
        <v>0</v>
      </c>
      <c r="H815" s="1038">
        <f t="shared" si="74"/>
        <v>38905</v>
      </c>
      <c r="I815" s="944">
        <f>IF(A815='Data Entry - SOF'!B$2,'Report-SOF1920-HB3'!D$102,0)</f>
        <v>0</v>
      </c>
      <c r="J815" s="1037">
        <f>IF(A815='Data Entry - SOF'!B$2,'Data Entry - SOF'!G$102,0)</f>
        <v>0</v>
      </c>
      <c r="K815" s="717">
        <f t="shared" si="75"/>
        <v>38905</v>
      </c>
      <c r="L815" s="944">
        <f>IF(A815='Data Entry - SOF'!B$2,'Report-SOF2021'!D$99,0)</f>
        <v>0</v>
      </c>
      <c r="M815" s="723">
        <f>IF(A815='Data Entry - SOF'!B$2,'Data Entry - SOF'!M$102,0)</f>
        <v>0</v>
      </c>
      <c r="N815" s="717">
        <f t="shared" si="76"/>
        <v>38905</v>
      </c>
      <c r="O815" s="944">
        <f>IF(A815='Data Entry - SOF'!B$2,'Report-SOF2122'!D$91,0)</f>
        <v>0</v>
      </c>
      <c r="P815" s="723">
        <f>IF(A815='Data Entry - SOF'!B$2,'Data Entry - SOF'!O$102,0)</f>
        <v>0</v>
      </c>
      <c r="Q815" s="601">
        <f t="shared" si="73"/>
        <v>38905</v>
      </c>
      <c r="R815" s="944">
        <f>IF(A815='Data Entry - SOF'!B$2,'Report-SOF2223'!D$91,0)</f>
        <v>0</v>
      </c>
      <c r="S815" s="723">
        <f>IF(A815='Data Entry - SOF'!B$2,'Data Entry - SOF'!Q$102,0)</f>
        <v>0</v>
      </c>
      <c r="T815" s="601">
        <f t="shared" si="77"/>
        <v>38905</v>
      </c>
      <c r="U815" s="944">
        <f>IF(A815='Data Entry - SOF'!B$2,'Report-SOF2324'!D$91,0)</f>
        <v>0</v>
      </c>
      <c r="V815" s="723">
        <f>IF(A815='Data Entry - SOF'!B$2,'Data Entry - SOF'!S$102,0)</f>
        <v>0</v>
      </c>
    </row>
    <row r="816" spans="1:22" ht="15.75">
      <c r="A816" s="382" t="s">
        <v>1674</v>
      </c>
      <c r="B816" s="91">
        <v>21151542</v>
      </c>
      <c r="C816" s="944">
        <f>IF(A816='Data Entry - SOF'!B$2,'Report-SOF1718'!D$102,0)</f>
        <v>0</v>
      </c>
      <c r="D816" s="1037">
        <f>IF(A816='Data Entry - SOF'!B$2,'Data Entry - SOF'!#REF!,0)</f>
        <v>0</v>
      </c>
      <c r="E816" s="91">
        <f t="shared" si="72"/>
        <v>21151542</v>
      </c>
      <c r="F816" s="944">
        <f>IF(A816='Data Entry - SOF'!B$2,'Report-SOF1819'!D$102,0)</f>
        <v>0</v>
      </c>
      <c r="G816" s="1037">
        <f>IF(A816='Data Entry - SOF'!B$2,'Data Entry - SOF'!E$102,0)</f>
        <v>0</v>
      </c>
      <c r="H816" s="1038">
        <f t="shared" si="74"/>
        <v>21151542</v>
      </c>
      <c r="I816" s="944">
        <f>IF(A816='Data Entry - SOF'!B$2,'Report-SOF1920-HB3'!D$102,0)</f>
        <v>0</v>
      </c>
      <c r="J816" s="1037">
        <f>IF(A816='Data Entry - SOF'!B$2,'Data Entry - SOF'!G$102,0)</f>
        <v>0</v>
      </c>
      <c r="K816" s="717">
        <f t="shared" si="75"/>
        <v>21151542</v>
      </c>
      <c r="L816" s="944">
        <f>IF(A816='Data Entry - SOF'!B$2,'Report-SOF2021'!D$99,0)</f>
        <v>0</v>
      </c>
      <c r="M816" s="723">
        <f>IF(A816='Data Entry - SOF'!B$2,'Data Entry - SOF'!M$102,0)</f>
        <v>0</v>
      </c>
      <c r="N816" s="717">
        <f t="shared" si="76"/>
        <v>21151542</v>
      </c>
      <c r="O816" s="944">
        <f>IF(A816='Data Entry - SOF'!B$2,'Report-SOF2122'!D$91,0)</f>
        <v>0</v>
      </c>
      <c r="P816" s="723">
        <f>IF(A816='Data Entry - SOF'!B$2,'Data Entry - SOF'!O$102,0)</f>
        <v>0</v>
      </c>
      <c r="Q816" s="601">
        <f t="shared" si="73"/>
        <v>21151542</v>
      </c>
      <c r="R816" s="944">
        <f>IF(A816='Data Entry - SOF'!B$2,'Report-SOF2223'!D$91,0)</f>
        <v>0</v>
      </c>
      <c r="S816" s="723">
        <f>IF(A816='Data Entry - SOF'!B$2,'Data Entry - SOF'!Q$102,0)</f>
        <v>0</v>
      </c>
      <c r="T816" s="601">
        <f t="shared" si="77"/>
        <v>21151542</v>
      </c>
      <c r="U816" s="944">
        <f>IF(A816='Data Entry - SOF'!B$2,'Report-SOF2324'!D$91,0)</f>
        <v>0</v>
      </c>
      <c r="V816" s="723">
        <f>IF(A816='Data Entry - SOF'!B$2,'Data Entry - SOF'!S$102,0)</f>
        <v>0</v>
      </c>
    </row>
    <row r="817" spans="1:22" ht="15.75">
      <c r="A817" s="382" t="s">
        <v>1675</v>
      </c>
      <c r="B817" s="91">
        <v>658920</v>
      </c>
      <c r="C817" s="944">
        <f>IF(A817='Data Entry - SOF'!B$2,'Report-SOF1718'!D$102,0)</f>
        <v>0</v>
      </c>
      <c r="D817" s="1037">
        <f>IF(A817='Data Entry - SOF'!B$2,'Data Entry - SOF'!#REF!,0)</f>
        <v>0</v>
      </c>
      <c r="E817" s="91">
        <f t="shared" si="72"/>
        <v>658920</v>
      </c>
      <c r="F817" s="944">
        <f>IF(A817='Data Entry - SOF'!B$2,'Report-SOF1819'!D$102,0)</f>
        <v>0</v>
      </c>
      <c r="G817" s="1037">
        <f>IF(A817='Data Entry - SOF'!B$2,'Data Entry - SOF'!E$102,0)</f>
        <v>0</v>
      </c>
      <c r="H817" s="1038">
        <f t="shared" si="74"/>
        <v>658920</v>
      </c>
      <c r="I817" s="944">
        <f>IF(A817='Data Entry - SOF'!B$2,'Report-SOF1920-HB3'!D$102,0)</f>
        <v>0</v>
      </c>
      <c r="J817" s="1037">
        <f>IF(A817='Data Entry - SOF'!B$2,'Data Entry - SOF'!G$102,0)</f>
        <v>0</v>
      </c>
      <c r="K817" s="717">
        <f t="shared" si="75"/>
        <v>658920</v>
      </c>
      <c r="L817" s="944">
        <f>IF(A817='Data Entry - SOF'!B$2,'Report-SOF2021'!D$99,0)</f>
        <v>0</v>
      </c>
      <c r="M817" s="723">
        <f>IF(A817='Data Entry - SOF'!B$2,'Data Entry - SOF'!M$102,0)</f>
        <v>0</v>
      </c>
      <c r="N817" s="717">
        <f t="shared" si="76"/>
        <v>658920</v>
      </c>
      <c r="O817" s="944">
        <f>IF(A817='Data Entry - SOF'!B$2,'Report-SOF2122'!D$91,0)</f>
        <v>0</v>
      </c>
      <c r="P817" s="723">
        <f>IF(A817='Data Entry - SOF'!B$2,'Data Entry - SOF'!O$102,0)</f>
        <v>0</v>
      </c>
      <c r="Q817" s="601">
        <f t="shared" si="73"/>
        <v>658920</v>
      </c>
      <c r="R817" s="944">
        <f>IF(A817='Data Entry - SOF'!B$2,'Report-SOF2223'!D$91,0)</f>
        <v>0</v>
      </c>
      <c r="S817" s="723">
        <f>IF(A817='Data Entry - SOF'!B$2,'Data Entry - SOF'!Q$102,0)</f>
        <v>0</v>
      </c>
      <c r="T817" s="601">
        <f t="shared" si="77"/>
        <v>658920</v>
      </c>
      <c r="U817" s="944">
        <f>IF(A817='Data Entry - SOF'!B$2,'Report-SOF2324'!D$91,0)</f>
        <v>0</v>
      </c>
      <c r="V817" s="723">
        <f>IF(A817='Data Entry - SOF'!B$2,'Data Entry - SOF'!S$102,0)</f>
        <v>0</v>
      </c>
    </row>
    <row r="818" spans="1:22" ht="15.75">
      <c r="A818" s="382" t="s">
        <v>1676</v>
      </c>
      <c r="B818" s="91">
        <v>467615</v>
      </c>
      <c r="C818" s="944">
        <f>IF(A818='Data Entry - SOF'!B$2,'Report-SOF1718'!D$102,0)</f>
        <v>0</v>
      </c>
      <c r="D818" s="1037">
        <f>IF(A818='Data Entry - SOF'!B$2,'Data Entry - SOF'!#REF!,0)</f>
        <v>0</v>
      </c>
      <c r="E818" s="91">
        <f t="shared" si="72"/>
        <v>467615</v>
      </c>
      <c r="F818" s="944">
        <f>IF(A818='Data Entry - SOF'!B$2,'Report-SOF1819'!D$102,0)</f>
        <v>0</v>
      </c>
      <c r="G818" s="1037">
        <f>IF(A818='Data Entry - SOF'!B$2,'Data Entry - SOF'!E$102,0)</f>
        <v>0</v>
      </c>
      <c r="H818" s="1038">
        <f t="shared" si="74"/>
        <v>467615</v>
      </c>
      <c r="I818" s="944">
        <f>IF(A818='Data Entry - SOF'!B$2,'Report-SOF1920-HB3'!D$102,0)</f>
        <v>0</v>
      </c>
      <c r="J818" s="1037">
        <f>IF(A818='Data Entry - SOF'!B$2,'Data Entry - SOF'!G$102,0)</f>
        <v>0</v>
      </c>
      <c r="K818" s="717">
        <f t="shared" si="75"/>
        <v>467615</v>
      </c>
      <c r="L818" s="944">
        <f>IF(A818='Data Entry - SOF'!B$2,'Report-SOF2021'!D$99,0)</f>
        <v>0</v>
      </c>
      <c r="M818" s="723">
        <f>IF(A818='Data Entry - SOF'!B$2,'Data Entry - SOF'!M$102,0)</f>
        <v>0</v>
      </c>
      <c r="N818" s="717">
        <f t="shared" si="76"/>
        <v>467615</v>
      </c>
      <c r="O818" s="944">
        <f>IF(A818='Data Entry - SOF'!B$2,'Report-SOF2122'!D$91,0)</f>
        <v>0</v>
      </c>
      <c r="P818" s="723">
        <f>IF(A818='Data Entry - SOF'!B$2,'Data Entry - SOF'!O$102,0)</f>
        <v>0</v>
      </c>
      <c r="Q818" s="601">
        <f t="shared" si="73"/>
        <v>467615</v>
      </c>
      <c r="R818" s="944">
        <f>IF(A818='Data Entry - SOF'!B$2,'Report-SOF2223'!D$91,0)</f>
        <v>0</v>
      </c>
      <c r="S818" s="723">
        <f>IF(A818='Data Entry - SOF'!B$2,'Data Entry - SOF'!Q$102,0)</f>
        <v>0</v>
      </c>
      <c r="T818" s="601">
        <f t="shared" si="77"/>
        <v>467615</v>
      </c>
      <c r="U818" s="944">
        <f>IF(A818='Data Entry - SOF'!B$2,'Report-SOF2324'!D$91,0)</f>
        <v>0</v>
      </c>
      <c r="V818" s="723">
        <f>IF(A818='Data Entry - SOF'!B$2,'Data Entry - SOF'!S$102,0)</f>
        <v>0</v>
      </c>
    </row>
    <row r="819" spans="1:22" ht="15.75">
      <c r="A819" s="382" t="s">
        <v>2470</v>
      </c>
      <c r="B819" s="91">
        <v>198502</v>
      </c>
      <c r="C819" s="944">
        <f>IF(A819='Data Entry - SOF'!B$2,'Report-SOF1718'!D$102,0)</f>
        <v>0</v>
      </c>
      <c r="D819" s="1037">
        <f>IF(A819='Data Entry - SOF'!B$2,'Data Entry - SOF'!#REF!,0)</f>
        <v>0</v>
      </c>
      <c r="E819" s="91">
        <f t="shared" si="72"/>
        <v>198502</v>
      </c>
      <c r="F819" s="944">
        <f>IF(A819='Data Entry - SOF'!B$2,'Report-SOF1819'!D$102,0)</f>
        <v>0</v>
      </c>
      <c r="G819" s="1037">
        <f>IF(A819='Data Entry - SOF'!B$2,'Data Entry - SOF'!E$102,0)</f>
        <v>0</v>
      </c>
      <c r="H819" s="1038">
        <f t="shared" si="74"/>
        <v>198502</v>
      </c>
      <c r="I819" s="944">
        <f>IF(A819='Data Entry - SOF'!B$2,'Report-SOF1920-HB3'!D$102,0)</f>
        <v>0</v>
      </c>
      <c r="J819" s="1037">
        <f>IF(A819='Data Entry - SOF'!B$2,'Data Entry - SOF'!G$102,0)</f>
        <v>0</v>
      </c>
      <c r="K819" s="717">
        <f t="shared" si="75"/>
        <v>198502</v>
      </c>
      <c r="L819" s="944">
        <f>IF(A819='Data Entry - SOF'!B$2,'Report-SOF2021'!D$99,0)</f>
        <v>0</v>
      </c>
      <c r="M819" s="723">
        <f>IF(A819='Data Entry - SOF'!B$2,'Data Entry - SOF'!M$102,0)</f>
        <v>0</v>
      </c>
      <c r="N819" s="717">
        <f t="shared" si="76"/>
        <v>198502</v>
      </c>
      <c r="O819" s="944">
        <f>IF(A819='Data Entry - SOF'!B$2,'Report-SOF2122'!D$91,0)</f>
        <v>0</v>
      </c>
      <c r="P819" s="723">
        <f>IF(A819='Data Entry - SOF'!B$2,'Data Entry - SOF'!O$102,0)</f>
        <v>0</v>
      </c>
      <c r="Q819" s="601">
        <f t="shared" si="73"/>
        <v>198502</v>
      </c>
      <c r="R819" s="944">
        <f>IF(A819='Data Entry - SOF'!B$2,'Report-SOF2223'!D$91,0)</f>
        <v>0</v>
      </c>
      <c r="S819" s="723">
        <f>IF(A819='Data Entry - SOF'!B$2,'Data Entry - SOF'!Q$102,0)</f>
        <v>0</v>
      </c>
      <c r="T819" s="601">
        <f t="shared" si="77"/>
        <v>198502</v>
      </c>
      <c r="U819" s="944">
        <f>IF(A819='Data Entry - SOF'!B$2,'Report-SOF2324'!D$91,0)</f>
        <v>0</v>
      </c>
      <c r="V819" s="723">
        <f>IF(A819='Data Entry - SOF'!B$2,'Data Entry - SOF'!S$102,0)</f>
        <v>0</v>
      </c>
    </row>
    <row r="820" spans="1:22" ht="15.75">
      <c r="A820" s="382" t="s">
        <v>2471</v>
      </c>
      <c r="B820" s="91">
        <v>510864</v>
      </c>
      <c r="C820" s="944">
        <f>IF(A820='Data Entry - SOF'!B$2,'Report-SOF1718'!D$102,0)</f>
        <v>0</v>
      </c>
      <c r="D820" s="1037">
        <f>IF(A820='Data Entry - SOF'!B$2,'Data Entry - SOF'!#REF!,0)</f>
        <v>0</v>
      </c>
      <c r="E820" s="91">
        <f t="shared" si="72"/>
        <v>510864</v>
      </c>
      <c r="F820" s="944">
        <f>IF(A820='Data Entry - SOF'!B$2,'Report-SOF1819'!D$102,0)</f>
        <v>0</v>
      </c>
      <c r="G820" s="1037">
        <f>IF(A820='Data Entry - SOF'!B$2,'Data Entry - SOF'!E$102,0)</f>
        <v>0</v>
      </c>
      <c r="H820" s="1038">
        <f t="shared" si="74"/>
        <v>510864</v>
      </c>
      <c r="I820" s="944">
        <f>IF(A820='Data Entry - SOF'!B$2,'Report-SOF1920-HB3'!D$102,0)</f>
        <v>0</v>
      </c>
      <c r="J820" s="1037">
        <f>IF(A820='Data Entry - SOF'!B$2,'Data Entry - SOF'!G$102,0)</f>
        <v>0</v>
      </c>
      <c r="K820" s="717">
        <f t="shared" si="75"/>
        <v>510864</v>
      </c>
      <c r="L820" s="944">
        <f>IF(A820='Data Entry - SOF'!B$2,'Report-SOF2021'!D$99,0)</f>
        <v>0</v>
      </c>
      <c r="M820" s="723">
        <f>IF(A820='Data Entry - SOF'!B$2,'Data Entry - SOF'!M$102,0)</f>
        <v>0</v>
      </c>
      <c r="N820" s="717">
        <f t="shared" si="76"/>
        <v>510864</v>
      </c>
      <c r="O820" s="944">
        <f>IF(A820='Data Entry - SOF'!B$2,'Report-SOF2122'!D$91,0)</f>
        <v>0</v>
      </c>
      <c r="P820" s="723">
        <f>IF(A820='Data Entry - SOF'!B$2,'Data Entry - SOF'!O$102,0)</f>
        <v>0</v>
      </c>
      <c r="Q820" s="601">
        <f t="shared" si="73"/>
        <v>510864</v>
      </c>
      <c r="R820" s="944">
        <f>IF(A820='Data Entry - SOF'!B$2,'Report-SOF2223'!D$91,0)</f>
        <v>0</v>
      </c>
      <c r="S820" s="723">
        <f>IF(A820='Data Entry - SOF'!B$2,'Data Entry - SOF'!Q$102,0)</f>
        <v>0</v>
      </c>
      <c r="T820" s="601">
        <f t="shared" si="77"/>
        <v>510864</v>
      </c>
      <c r="U820" s="944">
        <f>IF(A820='Data Entry - SOF'!B$2,'Report-SOF2324'!D$91,0)</f>
        <v>0</v>
      </c>
      <c r="V820" s="723">
        <f>IF(A820='Data Entry - SOF'!B$2,'Data Entry - SOF'!S$102,0)</f>
        <v>0</v>
      </c>
    </row>
    <row r="821" spans="1:22" ht="15.75">
      <c r="A821" s="382" t="s">
        <v>1677</v>
      </c>
      <c r="B821" s="91">
        <v>44999068</v>
      </c>
      <c r="C821" s="944">
        <f>IF(A821='Data Entry - SOF'!B$2,'Report-SOF1718'!D$102,0)</f>
        <v>0</v>
      </c>
      <c r="D821" s="1037">
        <f>IF(A821='Data Entry - SOF'!B$2,'Data Entry - SOF'!#REF!,0)</f>
        <v>0</v>
      </c>
      <c r="E821" s="91">
        <f t="shared" si="72"/>
        <v>44999068</v>
      </c>
      <c r="F821" s="944">
        <f>IF(A821='Data Entry - SOF'!B$2,'Report-SOF1819'!D$102,0)</f>
        <v>0</v>
      </c>
      <c r="G821" s="1037">
        <f>IF(A821='Data Entry - SOF'!B$2,'Data Entry - SOF'!E$102,0)</f>
        <v>0</v>
      </c>
      <c r="H821" s="1038">
        <f t="shared" si="74"/>
        <v>44999068</v>
      </c>
      <c r="I821" s="944">
        <f>IF(A821='Data Entry - SOF'!B$2,'Report-SOF1920-HB3'!D$102,0)</f>
        <v>0</v>
      </c>
      <c r="J821" s="1037">
        <f>IF(A821='Data Entry - SOF'!B$2,'Data Entry - SOF'!G$102,0)</f>
        <v>0</v>
      </c>
      <c r="K821" s="717">
        <f t="shared" si="75"/>
        <v>44999068</v>
      </c>
      <c r="L821" s="944">
        <f>IF(A821='Data Entry - SOF'!B$2,'Report-SOF2021'!D$99,0)</f>
        <v>0</v>
      </c>
      <c r="M821" s="723">
        <f>IF(A821='Data Entry - SOF'!B$2,'Data Entry - SOF'!M$102,0)</f>
        <v>0</v>
      </c>
      <c r="N821" s="717">
        <f t="shared" si="76"/>
        <v>44999068</v>
      </c>
      <c r="O821" s="944">
        <f>IF(A821='Data Entry - SOF'!B$2,'Report-SOF2122'!D$91,0)</f>
        <v>0</v>
      </c>
      <c r="P821" s="723">
        <f>IF(A821='Data Entry - SOF'!B$2,'Data Entry - SOF'!O$102,0)</f>
        <v>0</v>
      </c>
      <c r="Q821" s="601">
        <f t="shared" si="73"/>
        <v>44999068</v>
      </c>
      <c r="R821" s="944">
        <f>IF(A821='Data Entry - SOF'!B$2,'Report-SOF2223'!D$91,0)</f>
        <v>0</v>
      </c>
      <c r="S821" s="723">
        <f>IF(A821='Data Entry - SOF'!B$2,'Data Entry - SOF'!Q$102,0)</f>
        <v>0</v>
      </c>
      <c r="T821" s="601">
        <f t="shared" si="77"/>
        <v>44999068</v>
      </c>
      <c r="U821" s="944">
        <f>IF(A821='Data Entry - SOF'!B$2,'Report-SOF2324'!D$91,0)</f>
        <v>0</v>
      </c>
      <c r="V821" s="723">
        <f>IF(A821='Data Entry - SOF'!B$2,'Data Entry - SOF'!S$102,0)</f>
        <v>0</v>
      </c>
    </row>
    <row r="822" spans="1:22" ht="15.75">
      <c r="A822" s="382" t="s">
        <v>190</v>
      </c>
      <c r="B822" s="91">
        <v>1335312</v>
      </c>
      <c r="C822" s="944">
        <f>IF(A822='Data Entry - SOF'!B$2,'Report-SOF1718'!D$102,0)</f>
        <v>0</v>
      </c>
      <c r="D822" s="1037">
        <f>IF(A822='Data Entry - SOF'!B$2,'Data Entry - SOF'!#REF!,0)</f>
        <v>0</v>
      </c>
      <c r="E822" s="91">
        <f t="shared" si="72"/>
        <v>1335312</v>
      </c>
      <c r="F822" s="944">
        <f>IF(A822='Data Entry - SOF'!B$2,'Report-SOF1819'!D$102,0)</f>
        <v>0</v>
      </c>
      <c r="G822" s="1037">
        <f>IF(A822='Data Entry - SOF'!B$2,'Data Entry - SOF'!E$102,0)</f>
        <v>0</v>
      </c>
      <c r="H822" s="1038">
        <f t="shared" si="74"/>
        <v>1335312</v>
      </c>
      <c r="I822" s="944">
        <f>IF(A822='Data Entry - SOF'!B$2,'Report-SOF1920-HB3'!D$102,0)</f>
        <v>0</v>
      </c>
      <c r="J822" s="1037">
        <f>IF(A822='Data Entry - SOF'!B$2,'Data Entry - SOF'!G$102,0)</f>
        <v>0</v>
      </c>
      <c r="K822" s="717">
        <f t="shared" si="75"/>
        <v>1335312</v>
      </c>
      <c r="L822" s="944">
        <f>IF(A822='Data Entry - SOF'!B$2,'Report-SOF2021'!D$99,0)</f>
        <v>0</v>
      </c>
      <c r="M822" s="723">
        <f>IF(A822='Data Entry - SOF'!B$2,'Data Entry - SOF'!M$102,0)</f>
        <v>0</v>
      </c>
      <c r="N822" s="717">
        <f t="shared" si="76"/>
        <v>1335312</v>
      </c>
      <c r="O822" s="944">
        <f>IF(A822='Data Entry - SOF'!B$2,'Report-SOF2122'!D$91,0)</f>
        <v>0</v>
      </c>
      <c r="P822" s="723">
        <f>IF(A822='Data Entry - SOF'!B$2,'Data Entry - SOF'!O$102,0)</f>
        <v>0</v>
      </c>
      <c r="Q822" s="601">
        <f t="shared" si="73"/>
        <v>1335312</v>
      </c>
      <c r="R822" s="944">
        <f>IF(A822='Data Entry - SOF'!B$2,'Report-SOF2223'!D$91,0)</f>
        <v>0</v>
      </c>
      <c r="S822" s="723">
        <f>IF(A822='Data Entry - SOF'!B$2,'Data Entry - SOF'!Q$102,0)</f>
        <v>0</v>
      </c>
      <c r="T822" s="601">
        <f t="shared" si="77"/>
        <v>1335312</v>
      </c>
      <c r="U822" s="944">
        <f>IF(A822='Data Entry - SOF'!B$2,'Report-SOF2324'!D$91,0)</f>
        <v>0</v>
      </c>
      <c r="V822" s="723">
        <f>IF(A822='Data Entry - SOF'!B$2,'Data Entry - SOF'!S$102,0)</f>
        <v>0</v>
      </c>
    </row>
    <row r="823" spans="1:22" ht="15.75">
      <c r="A823" s="382" t="s">
        <v>1678</v>
      </c>
      <c r="B823" s="91">
        <v>6360233</v>
      </c>
      <c r="C823" s="944">
        <f>IF(A823='Data Entry - SOF'!B$2,'Report-SOF1718'!D$102,0)</f>
        <v>0</v>
      </c>
      <c r="D823" s="1037">
        <f>IF(A823='Data Entry - SOF'!B$2,'Data Entry - SOF'!#REF!,0)</f>
        <v>0</v>
      </c>
      <c r="E823" s="91">
        <f t="shared" si="72"/>
        <v>6360233</v>
      </c>
      <c r="F823" s="944">
        <f>IF(A823='Data Entry - SOF'!B$2,'Report-SOF1819'!D$102,0)</f>
        <v>0</v>
      </c>
      <c r="G823" s="1037">
        <f>IF(A823='Data Entry - SOF'!B$2,'Data Entry - SOF'!E$102,0)</f>
        <v>0</v>
      </c>
      <c r="H823" s="1038">
        <f t="shared" si="74"/>
        <v>6360233</v>
      </c>
      <c r="I823" s="944">
        <f>IF(A823='Data Entry - SOF'!B$2,'Report-SOF1920-HB3'!D$102,0)</f>
        <v>0</v>
      </c>
      <c r="J823" s="1037">
        <f>IF(A823='Data Entry - SOF'!B$2,'Data Entry - SOF'!G$102,0)</f>
        <v>0</v>
      </c>
      <c r="K823" s="717">
        <f t="shared" si="75"/>
        <v>6360233</v>
      </c>
      <c r="L823" s="944">
        <f>IF(A823='Data Entry - SOF'!B$2,'Report-SOF2021'!D$99,0)</f>
        <v>0</v>
      </c>
      <c r="M823" s="723">
        <f>IF(A823='Data Entry - SOF'!B$2,'Data Entry - SOF'!M$102,0)</f>
        <v>0</v>
      </c>
      <c r="N823" s="717">
        <f t="shared" si="76"/>
        <v>6360233</v>
      </c>
      <c r="O823" s="944">
        <f>IF(A823='Data Entry - SOF'!B$2,'Report-SOF2122'!D$91,0)</f>
        <v>0</v>
      </c>
      <c r="P823" s="723">
        <f>IF(A823='Data Entry - SOF'!B$2,'Data Entry - SOF'!O$102,0)</f>
        <v>0</v>
      </c>
      <c r="Q823" s="601">
        <f t="shared" si="73"/>
        <v>6360233</v>
      </c>
      <c r="R823" s="944">
        <f>IF(A823='Data Entry - SOF'!B$2,'Report-SOF2223'!D$91,0)</f>
        <v>0</v>
      </c>
      <c r="S823" s="723">
        <f>IF(A823='Data Entry - SOF'!B$2,'Data Entry - SOF'!Q$102,0)</f>
        <v>0</v>
      </c>
      <c r="T823" s="601">
        <f t="shared" si="77"/>
        <v>6360233</v>
      </c>
      <c r="U823" s="944">
        <f>IF(A823='Data Entry - SOF'!B$2,'Report-SOF2324'!D$91,0)</f>
        <v>0</v>
      </c>
      <c r="V823" s="723">
        <f>IF(A823='Data Entry - SOF'!B$2,'Data Entry - SOF'!S$102,0)</f>
        <v>0</v>
      </c>
    </row>
    <row r="824" spans="1:22" ht="15.75">
      <c r="A824" s="382" t="s">
        <v>1395</v>
      </c>
      <c r="B824" s="91">
        <v>811337</v>
      </c>
      <c r="C824" s="944">
        <f>IF(A824='Data Entry - SOF'!B$2,'Report-SOF1718'!D$102,0)</f>
        <v>0</v>
      </c>
      <c r="D824" s="1037">
        <f>IF(A824='Data Entry - SOF'!B$2,'Data Entry - SOF'!#REF!,0)</f>
        <v>0</v>
      </c>
      <c r="E824" s="91">
        <f t="shared" si="72"/>
        <v>811337</v>
      </c>
      <c r="F824" s="944">
        <f>IF(A824='Data Entry - SOF'!B$2,'Report-SOF1819'!D$102,0)</f>
        <v>0</v>
      </c>
      <c r="G824" s="1037">
        <f>IF(A824='Data Entry - SOF'!B$2,'Data Entry - SOF'!E$102,0)</f>
        <v>0</v>
      </c>
      <c r="H824" s="1038">
        <f t="shared" si="74"/>
        <v>811337</v>
      </c>
      <c r="I824" s="944">
        <f>IF(A824='Data Entry - SOF'!B$2,'Report-SOF1920-HB3'!D$102,0)</f>
        <v>0</v>
      </c>
      <c r="J824" s="1037">
        <f>IF(A824='Data Entry - SOF'!B$2,'Data Entry - SOF'!G$102,0)</f>
        <v>0</v>
      </c>
      <c r="K824" s="717">
        <f t="shared" si="75"/>
        <v>811337</v>
      </c>
      <c r="L824" s="944">
        <f>IF(A824='Data Entry - SOF'!B$2,'Report-SOF2021'!D$99,0)</f>
        <v>0</v>
      </c>
      <c r="M824" s="723">
        <f>IF(A824='Data Entry - SOF'!B$2,'Data Entry - SOF'!M$102,0)</f>
        <v>0</v>
      </c>
      <c r="N824" s="717">
        <f t="shared" si="76"/>
        <v>811337</v>
      </c>
      <c r="O824" s="944">
        <f>IF(A824='Data Entry - SOF'!B$2,'Report-SOF2122'!D$91,0)</f>
        <v>0</v>
      </c>
      <c r="P824" s="723">
        <f>IF(A824='Data Entry - SOF'!B$2,'Data Entry - SOF'!O$102,0)</f>
        <v>0</v>
      </c>
      <c r="Q824" s="601">
        <f t="shared" si="73"/>
        <v>811337</v>
      </c>
      <c r="R824" s="944">
        <f>IF(A824='Data Entry - SOF'!B$2,'Report-SOF2223'!D$91,0)</f>
        <v>0</v>
      </c>
      <c r="S824" s="723">
        <f>IF(A824='Data Entry - SOF'!B$2,'Data Entry - SOF'!Q$102,0)</f>
        <v>0</v>
      </c>
      <c r="T824" s="601">
        <f t="shared" si="77"/>
        <v>811337</v>
      </c>
      <c r="U824" s="944">
        <f>IF(A824='Data Entry - SOF'!B$2,'Report-SOF2324'!D$91,0)</f>
        <v>0</v>
      </c>
      <c r="V824" s="723">
        <f>IF(A824='Data Entry - SOF'!B$2,'Data Entry - SOF'!S$102,0)</f>
        <v>0</v>
      </c>
    </row>
    <row r="825" spans="1:22" ht="15.75">
      <c r="A825" s="382" t="s">
        <v>1396</v>
      </c>
      <c r="B825" s="91">
        <v>584331</v>
      </c>
      <c r="C825" s="944">
        <f>IF(A825='Data Entry - SOF'!B$2,'Report-SOF1718'!D$102,0)</f>
        <v>0</v>
      </c>
      <c r="D825" s="1037">
        <f>IF(A825='Data Entry - SOF'!B$2,'Data Entry - SOF'!#REF!,0)</f>
        <v>0</v>
      </c>
      <c r="E825" s="91">
        <f t="shared" si="72"/>
        <v>584331</v>
      </c>
      <c r="F825" s="944">
        <f>IF(A825='Data Entry - SOF'!B$2,'Report-SOF1819'!D$102,0)</f>
        <v>0</v>
      </c>
      <c r="G825" s="1037">
        <f>IF(A825='Data Entry - SOF'!B$2,'Data Entry - SOF'!E$102,0)</f>
        <v>0</v>
      </c>
      <c r="H825" s="1038">
        <f t="shared" si="74"/>
        <v>584331</v>
      </c>
      <c r="I825" s="944">
        <f>IF(A825='Data Entry - SOF'!B$2,'Report-SOF1920-HB3'!D$102,0)</f>
        <v>0</v>
      </c>
      <c r="J825" s="1037">
        <f>IF(A825='Data Entry - SOF'!B$2,'Data Entry - SOF'!G$102,0)</f>
        <v>0</v>
      </c>
      <c r="K825" s="717">
        <f t="shared" si="75"/>
        <v>584331</v>
      </c>
      <c r="L825" s="944">
        <f>IF(A825='Data Entry - SOF'!B$2,'Report-SOF2021'!D$99,0)</f>
        <v>0</v>
      </c>
      <c r="M825" s="723">
        <f>IF(A825='Data Entry - SOF'!B$2,'Data Entry - SOF'!M$102,0)</f>
        <v>0</v>
      </c>
      <c r="N825" s="717">
        <f t="shared" si="76"/>
        <v>584331</v>
      </c>
      <c r="O825" s="944">
        <f>IF(A825='Data Entry - SOF'!B$2,'Report-SOF2122'!D$91,0)</f>
        <v>0</v>
      </c>
      <c r="P825" s="723">
        <f>IF(A825='Data Entry - SOF'!B$2,'Data Entry - SOF'!O$102,0)</f>
        <v>0</v>
      </c>
      <c r="Q825" s="601">
        <f t="shared" si="73"/>
        <v>584331</v>
      </c>
      <c r="R825" s="944">
        <f>IF(A825='Data Entry - SOF'!B$2,'Report-SOF2223'!D$91,0)</f>
        <v>0</v>
      </c>
      <c r="S825" s="723">
        <f>IF(A825='Data Entry - SOF'!B$2,'Data Entry - SOF'!Q$102,0)</f>
        <v>0</v>
      </c>
      <c r="T825" s="601">
        <f t="shared" si="77"/>
        <v>584331</v>
      </c>
      <c r="U825" s="944">
        <f>IF(A825='Data Entry - SOF'!B$2,'Report-SOF2324'!D$91,0)</f>
        <v>0</v>
      </c>
      <c r="V825" s="723">
        <f>IF(A825='Data Entry - SOF'!B$2,'Data Entry - SOF'!S$102,0)</f>
        <v>0</v>
      </c>
    </row>
    <row r="826" spans="1:22" ht="15.75">
      <c r="A826" s="382" t="s">
        <v>1397</v>
      </c>
      <c r="B826" s="91">
        <v>8304175</v>
      </c>
      <c r="C826" s="944">
        <f>IF(A826='Data Entry - SOF'!B$2,'Report-SOF1718'!D$102,0)</f>
        <v>0</v>
      </c>
      <c r="D826" s="1037">
        <f>IF(A826='Data Entry - SOF'!B$2,'Data Entry - SOF'!#REF!,0)</f>
        <v>0</v>
      </c>
      <c r="E826" s="91">
        <f t="shared" si="72"/>
        <v>8304175</v>
      </c>
      <c r="F826" s="944">
        <f>IF(A826='Data Entry - SOF'!B$2,'Report-SOF1819'!D$102,0)</f>
        <v>0</v>
      </c>
      <c r="G826" s="1037">
        <f>IF(A826='Data Entry - SOF'!B$2,'Data Entry - SOF'!E$102,0)</f>
        <v>0</v>
      </c>
      <c r="H826" s="1038">
        <f t="shared" si="74"/>
        <v>8304175</v>
      </c>
      <c r="I826" s="944">
        <f>IF(A826='Data Entry - SOF'!B$2,'Report-SOF1920-HB3'!D$102,0)</f>
        <v>0</v>
      </c>
      <c r="J826" s="1037">
        <f>IF(A826='Data Entry - SOF'!B$2,'Data Entry - SOF'!G$102,0)</f>
        <v>0</v>
      </c>
      <c r="K826" s="717">
        <f t="shared" si="75"/>
        <v>8304175</v>
      </c>
      <c r="L826" s="944">
        <f>IF(A826='Data Entry - SOF'!B$2,'Report-SOF2021'!D$99,0)</f>
        <v>0</v>
      </c>
      <c r="M826" s="723">
        <f>IF(A826='Data Entry - SOF'!B$2,'Data Entry - SOF'!M$102,0)</f>
        <v>0</v>
      </c>
      <c r="N826" s="717">
        <f t="shared" si="76"/>
        <v>8304175</v>
      </c>
      <c r="O826" s="944">
        <f>IF(A826='Data Entry - SOF'!B$2,'Report-SOF2122'!D$91,0)</f>
        <v>0</v>
      </c>
      <c r="P826" s="723">
        <f>IF(A826='Data Entry - SOF'!B$2,'Data Entry - SOF'!O$102,0)</f>
        <v>0</v>
      </c>
      <c r="Q826" s="601">
        <f t="shared" si="73"/>
        <v>8304175</v>
      </c>
      <c r="R826" s="944">
        <f>IF(A826='Data Entry - SOF'!B$2,'Report-SOF2223'!D$91,0)</f>
        <v>0</v>
      </c>
      <c r="S826" s="723">
        <f>IF(A826='Data Entry - SOF'!B$2,'Data Entry - SOF'!Q$102,0)</f>
        <v>0</v>
      </c>
      <c r="T826" s="601">
        <f t="shared" si="77"/>
        <v>8304175</v>
      </c>
      <c r="U826" s="944">
        <f>IF(A826='Data Entry - SOF'!B$2,'Report-SOF2324'!D$91,0)</f>
        <v>0</v>
      </c>
      <c r="V826" s="723">
        <f>IF(A826='Data Entry - SOF'!B$2,'Data Entry - SOF'!S$102,0)</f>
        <v>0</v>
      </c>
    </row>
    <row r="827" spans="1:22" ht="15.75">
      <c r="A827" s="382" t="s">
        <v>1632</v>
      </c>
      <c r="B827" s="91">
        <v>468161</v>
      </c>
      <c r="C827" s="944">
        <f>IF(A827='Data Entry - SOF'!B$2,'Report-SOF1718'!D$102,0)</f>
        <v>0</v>
      </c>
      <c r="D827" s="1037">
        <f>IF(A827='Data Entry - SOF'!B$2,'Data Entry - SOF'!#REF!,0)</f>
        <v>0</v>
      </c>
      <c r="E827" s="91">
        <f t="shared" si="72"/>
        <v>468161</v>
      </c>
      <c r="F827" s="944">
        <f>IF(A827='Data Entry - SOF'!B$2,'Report-SOF1819'!D$102,0)</f>
        <v>0</v>
      </c>
      <c r="G827" s="1037">
        <f>IF(A827='Data Entry - SOF'!B$2,'Data Entry - SOF'!E$102,0)</f>
        <v>0</v>
      </c>
      <c r="H827" s="1038">
        <f t="shared" si="74"/>
        <v>468161</v>
      </c>
      <c r="I827" s="944">
        <f>IF(A827='Data Entry - SOF'!B$2,'Report-SOF1920-HB3'!D$102,0)</f>
        <v>0</v>
      </c>
      <c r="J827" s="1037">
        <f>IF(A827='Data Entry - SOF'!B$2,'Data Entry - SOF'!G$102,0)</f>
        <v>0</v>
      </c>
      <c r="K827" s="717">
        <f t="shared" si="75"/>
        <v>468161</v>
      </c>
      <c r="L827" s="944">
        <f>IF(A827='Data Entry - SOF'!B$2,'Report-SOF2021'!D$99,0)</f>
        <v>0</v>
      </c>
      <c r="M827" s="723">
        <f>IF(A827='Data Entry - SOF'!B$2,'Data Entry - SOF'!M$102,0)</f>
        <v>0</v>
      </c>
      <c r="N827" s="717">
        <f t="shared" si="76"/>
        <v>468161</v>
      </c>
      <c r="O827" s="944">
        <f>IF(A827='Data Entry - SOF'!B$2,'Report-SOF2122'!D$91,0)</f>
        <v>0</v>
      </c>
      <c r="P827" s="723">
        <f>IF(A827='Data Entry - SOF'!B$2,'Data Entry - SOF'!O$102,0)</f>
        <v>0</v>
      </c>
      <c r="Q827" s="601">
        <f t="shared" si="73"/>
        <v>468161</v>
      </c>
      <c r="R827" s="944">
        <f>IF(A827='Data Entry - SOF'!B$2,'Report-SOF2223'!D$91,0)</f>
        <v>0</v>
      </c>
      <c r="S827" s="723">
        <f>IF(A827='Data Entry - SOF'!B$2,'Data Entry - SOF'!Q$102,0)</f>
        <v>0</v>
      </c>
      <c r="T827" s="601">
        <f t="shared" si="77"/>
        <v>468161</v>
      </c>
      <c r="U827" s="944">
        <f>IF(A827='Data Entry - SOF'!B$2,'Report-SOF2324'!D$91,0)</f>
        <v>0</v>
      </c>
      <c r="V827" s="723">
        <f>IF(A827='Data Entry - SOF'!B$2,'Data Entry - SOF'!S$102,0)</f>
        <v>0</v>
      </c>
    </row>
    <row r="828" spans="1:22" ht="15.75">
      <c r="A828" s="382" t="s">
        <v>1633</v>
      </c>
      <c r="B828" s="91">
        <v>8132905</v>
      </c>
      <c r="C828" s="944">
        <f>IF(A828='Data Entry - SOF'!B$2,'Report-SOF1718'!D$102,0)</f>
        <v>0</v>
      </c>
      <c r="D828" s="1037">
        <f>IF(A828='Data Entry - SOF'!B$2,'Data Entry - SOF'!#REF!,0)</f>
        <v>0</v>
      </c>
      <c r="E828" s="91">
        <f t="shared" si="72"/>
        <v>8132905</v>
      </c>
      <c r="F828" s="944">
        <f>IF(A828='Data Entry - SOF'!B$2,'Report-SOF1819'!D$102,0)</f>
        <v>0</v>
      </c>
      <c r="G828" s="1037">
        <f>IF(A828='Data Entry - SOF'!B$2,'Data Entry - SOF'!E$102,0)</f>
        <v>0</v>
      </c>
      <c r="H828" s="1038">
        <f t="shared" si="74"/>
        <v>8132905</v>
      </c>
      <c r="I828" s="944">
        <f>IF(A828='Data Entry - SOF'!B$2,'Report-SOF1920-HB3'!D$102,0)</f>
        <v>0</v>
      </c>
      <c r="J828" s="1037">
        <f>IF(A828='Data Entry - SOF'!B$2,'Data Entry - SOF'!G$102,0)</f>
        <v>0</v>
      </c>
      <c r="K828" s="717">
        <f t="shared" si="75"/>
        <v>8132905</v>
      </c>
      <c r="L828" s="944">
        <f>IF(A828='Data Entry - SOF'!B$2,'Report-SOF2021'!D$99,0)</f>
        <v>0</v>
      </c>
      <c r="M828" s="723">
        <f>IF(A828='Data Entry - SOF'!B$2,'Data Entry - SOF'!M$102,0)</f>
        <v>0</v>
      </c>
      <c r="N828" s="717">
        <f t="shared" si="76"/>
        <v>8132905</v>
      </c>
      <c r="O828" s="944">
        <f>IF(A828='Data Entry - SOF'!B$2,'Report-SOF2122'!D$91,0)</f>
        <v>0</v>
      </c>
      <c r="P828" s="723">
        <f>IF(A828='Data Entry - SOF'!B$2,'Data Entry - SOF'!O$102,0)</f>
        <v>0</v>
      </c>
      <c r="Q828" s="601">
        <f t="shared" si="73"/>
        <v>8132905</v>
      </c>
      <c r="R828" s="944">
        <f>IF(A828='Data Entry - SOF'!B$2,'Report-SOF2223'!D$91,0)</f>
        <v>0</v>
      </c>
      <c r="S828" s="723">
        <f>IF(A828='Data Entry - SOF'!B$2,'Data Entry - SOF'!Q$102,0)</f>
        <v>0</v>
      </c>
      <c r="T828" s="601">
        <f t="shared" si="77"/>
        <v>8132905</v>
      </c>
      <c r="U828" s="944">
        <f>IF(A828='Data Entry - SOF'!B$2,'Report-SOF2324'!D$91,0)</f>
        <v>0</v>
      </c>
      <c r="V828" s="723">
        <f>IF(A828='Data Entry - SOF'!B$2,'Data Entry - SOF'!S$102,0)</f>
        <v>0</v>
      </c>
    </row>
    <row r="829" spans="1:22" ht="15.75">
      <c r="A829" s="382" t="s">
        <v>2433</v>
      </c>
      <c r="B829" s="91">
        <v>1713397</v>
      </c>
      <c r="C829" s="944">
        <f>IF(A829='Data Entry - SOF'!B$2,'Report-SOF1718'!D$102,0)</f>
        <v>0</v>
      </c>
      <c r="D829" s="1037">
        <f>IF(A829='Data Entry - SOF'!B$2,'Data Entry - SOF'!#REF!,0)</f>
        <v>0</v>
      </c>
      <c r="E829" s="91">
        <f t="shared" si="72"/>
        <v>1713397</v>
      </c>
      <c r="F829" s="944">
        <f>IF(A829='Data Entry - SOF'!B$2,'Report-SOF1819'!D$102,0)</f>
        <v>0</v>
      </c>
      <c r="G829" s="1037">
        <f>IF(A829='Data Entry - SOF'!B$2,'Data Entry - SOF'!E$102,0)</f>
        <v>0</v>
      </c>
      <c r="H829" s="1038">
        <f t="shared" si="74"/>
        <v>1713397</v>
      </c>
      <c r="I829" s="944">
        <f>IF(A829='Data Entry - SOF'!B$2,'Report-SOF1920-HB3'!D$102,0)</f>
        <v>0</v>
      </c>
      <c r="J829" s="1037">
        <f>IF(A829='Data Entry - SOF'!B$2,'Data Entry - SOF'!G$102,0)</f>
        <v>0</v>
      </c>
      <c r="K829" s="717">
        <f t="shared" si="75"/>
        <v>1713397</v>
      </c>
      <c r="L829" s="944">
        <f>IF(A829='Data Entry - SOF'!B$2,'Report-SOF2021'!D$99,0)</f>
        <v>0</v>
      </c>
      <c r="M829" s="723">
        <f>IF(A829='Data Entry - SOF'!B$2,'Data Entry - SOF'!M$102,0)</f>
        <v>0</v>
      </c>
      <c r="N829" s="717">
        <f t="shared" si="76"/>
        <v>1713397</v>
      </c>
      <c r="O829" s="944">
        <f>IF(A829='Data Entry - SOF'!B$2,'Report-SOF2122'!D$91,0)</f>
        <v>0</v>
      </c>
      <c r="P829" s="723">
        <f>IF(A829='Data Entry - SOF'!B$2,'Data Entry - SOF'!O$102,0)</f>
        <v>0</v>
      </c>
      <c r="Q829" s="601">
        <f t="shared" si="73"/>
        <v>1713397</v>
      </c>
      <c r="R829" s="944">
        <f>IF(A829='Data Entry - SOF'!B$2,'Report-SOF2223'!D$91,0)</f>
        <v>0</v>
      </c>
      <c r="S829" s="723">
        <f>IF(A829='Data Entry - SOF'!B$2,'Data Entry - SOF'!Q$102,0)</f>
        <v>0</v>
      </c>
      <c r="T829" s="601">
        <f t="shared" si="77"/>
        <v>1713397</v>
      </c>
      <c r="U829" s="944">
        <f>IF(A829='Data Entry - SOF'!B$2,'Report-SOF2324'!D$91,0)</f>
        <v>0</v>
      </c>
      <c r="V829" s="723">
        <f>IF(A829='Data Entry - SOF'!B$2,'Data Entry - SOF'!S$102,0)</f>
        <v>0</v>
      </c>
    </row>
    <row r="830" spans="1:22" ht="15.75">
      <c r="A830" s="382" t="s">
        <v>1215</v>
      </c>
      <c r="B830" s="91">
        <v>7418444</v>
      </c>
      <c r="C830" s="944">
        <f>IF(A830='Data Entry - SOF'!B$2,'Report-SOF1718'!D$102,0)</f>
        <v>0</v>
      </c>
      <c r="D830" s="1037">
        <f>IF(A830='Data Entry - SOF'!B$2,'Data Entry - SOF'!#REF!,0)</f>
        <v>0</v>
      </c>
      <c r="E830" s="91">
        <f t="shared" si="72"/>
        <v>7418444</v>
      </c>
      <c r="F830" s="944">
        <f>IF(A830='Data Entry - SOF'!B$2,'Report-SOF1819'!D$102,0)</f>
        <v>0</v>
      </c>
      <c r="G830" s="1037">
        <f>IF(A830='Data Entry - SOF'!B$2,'Data Entry - SOF'!E$102,0)</f>
        <v>0</v>
      </c>
      <c r="H830" s="1038">
        <f t="shared" si="74"/>
        <v>7418444</v>
      </c>
      <c r="I830" s="944">
        <f>IF(A830='Data Entry - SOF'!B$2,'Report-SOF1920-HB3'!D$102,0)</f>
        <v>0</v>
      </c>
      <c r="J830" s="1037">
        <f>IF(A830='Data Entry - SOF'!B$2,'Data Entry - SOF'!G$102,0)</f>
        <v>0</v>
      </c>
      <c r="K830" s="717">
        <f t="shared" si="75"/>
        <v>7418444</v>
      </c>
      <c r="L830" s="944">
        <f>IF(A830='Data Entry - SOF'!B$2,'Report-SOF2021'!D$99,0)</f>
        <v>0</v>
      </c>
      <c r="M830" s="723">
        <f>IF(A830='Data Entry - SOF'!B$2,'Data Entry - SOF'!M$102,0)</f>
        <v>0</v>
      </c>
      <c r="N830" s="717">
        <f t="shared" si="76"/>
        <v>7418444</v>
      </c>
      <c r="O830" s="944">
        <f>IF(A830='Data Entry - SOF'!B$2,'Report-SOF2122'!D$91,0)</f>
        <v>0</v>
      </c>
      <c r="P830" s="723">
        <f>IF(A830='Data Entry - SOF'!B$2,'Data Entry - SOF'!O$102,0)</f>
        <v>0</v>
      </c>
      <c r="Q830" s="601">
        <f t="shared" si="73"/>
        <v>7418444</v>
      </c>
      <c r="R830" s="944">
        <f>IF(A830='Data Entry - SOF'!B$2,'Report-SOF2223'!D$91,0)</f>
        <v>0</v>
      </c>
      <c r="S830" s="723">
        <f>IF(A830='Data Entry - SOF'!B$2,'Data Entry - SOF'!Q$102,0)</f>
        <v>0</v>
      </c>
      <c r="T830" s="601">
        <f t="shared" si="77"/>
        <v>7418444</v>
      </c>
      <c r="U830" s="944">
        <f>IF(A830='Data Entry - SOF'!B$2,'Report-SOF2324'!D$91,0)</f>
        <v>0</v>
      </c>
      <c r="V830" s="723">
        <f>IF(A830='Data Entry - SOF'!B$2,'Data Entry - SOF'!S$102,0)</f>
        <v>0</v>
      </c>
    </row>
    <row r="831" spans="1:22" ht="15.75">
      <c r="A831" s="382" t="s">
        <v>2434</v>
      </c>
      <c r="B831" s="91">
        <v>18752888</v>
      </c>
      <c r="C831" s="944">
        <f>IF(A831='Data Entry - SOF'!B$2,'Report-SOF1718'!D$102,0)</f>
        <v>0</v>
      </c>
      <c r="D831" s="1037">
        <f>IF(A831='Data Entry - SOF'!B$2,'Data Entry - SOF'!#REF!,0)</f>
        <v>0</v>
      </c>
      <c r="E831" s="91">
        <f t="shared" si="72"/>
        <v>18752888</v>
      </c>
      <c r="F831" s="944">
        <f>IF(A831='Data Entry - SOF'!B$2,'Report-SOF1819'!D$102,0)</f>
        <v>0</v>
      </c>
      <c r="G831" s="1037">
        <f>IF(A831='Data Entry - SOF'!B$2,'Data Entry - SOF'!E$102,0)</f>
        <v>0</v>
      </c>
      <c r="H831" s="1038">
        <f t="shared" si="74"/>
        <v>18752888</v>
      </c>
      <c r="I831" s="944">
        <f>IF(A831='Data Entry - SOF'!B$2,'Report-SOF1920-HB3'!D$102,0)</f>
        <v>0</v>
      </c>
      <c r="J831" s="1037">
        <f>IF(A831='Data Entry - SOF'!B$2,'Data Entry - SOF'!G$102,0)</f>
        <v>0</v>
      </c>
      <c r="K831" s="717">
        <f t="shared" si="75"/>
        <v>18752888</v>
      </c>
      <c r="L831" s="944">
        <f>IF(A831='Data Entry - SOF'!B$2,'Report-SOF2021'!D$99,0)</f>
        <v>0</v>
      </c>
      <c r="M831" s="723">
        <f>IF(A831='Data Entry - SOF'!B$2,'Data Entry - SOF'!M$102,0)</f>
        <v>0</v>
      </c>
      <c r="N831" s="717">
        <f t="shared" si="76"/>
        <v>18752888</v>
      </c>
      <c r="O831" s="944">
        <f>IF(A831='Data Entry - SOF'!B$2,'Report-SOF2122'!D$91,0)</f>
        <v>0</v>
      </c>
      <c r="P831" s="723">
        <f>IF(A831='Data Entry - SOF'!B$2,'Data Entry - SOF'!O$102,0)</f>
        <v>0</v>
      </c>
      <c r="Q831" s="601">
        <f t="shared" si="73"/>
        <v>18752888</v>
      </c>
      <c r="R831" s="944">
        <f>IF(A831='Data Entry - SOF'!B$2,'Report-SOF2223'!D$91,0)</f>
        <v>0</v>
      </c>
      <c r="S831" s="723">
        <f>IF(A831='Data Entry - SOF'!B$2,'Data Entry - SOF'!Q$102,0)</f>
        <v>0</v>
      </c>
      <c r="T831" s="601">
        <f t="shared" si="77"/>
        <v>18752888</v>
      </c>
      <c r="U831" s="944">
        <f>IF(A831='Data Entry - SOF'!B$2,'Report-SOF2324'!D$91,0)</f>
        <v>0</v>
      </c>
      <c r="V831" s="723">
        <f>IF(A831='Data Entry - SOF'!B$2,'Data Entry - SOF'!S$102,0)</f>
        <v>0</v>
      </c>
    </row>
    <row r="832" spans="1:22" ht="15.75">
      <c r="A832" s="382" t="s">
        <v>1454</v>
      </c>
      <c r="B832" s="91">
        <v>14285624.293291399</v>
      </c>
      <c r="C832" s="944">
        <f>IF(A832='Data Entry - SOF'!B$2,'Report-SOF1718'!D$102,0)</f>
        <v>0</v>
      </c>
      <c r="D832" s="1037">
        <f>IF(A832='Data Entry - SOF'!B$2,'Data Entry - SOF'!#REF!,0)</f>
        <v>0</v>
      </c>
      <c r="E832" s="91">
        <f t="shared" si="72"/>
        <v>14285624.293291399</v>
      </c>
      <c r="F832" s="944">
        <f>IF(A832='Data Entry - SOF'!B$2,'Report-SOF1819'!D$102,0)</f>
        <v>0</v>
      </c>
      <c r="G832" s="1037">
        <f>IF(A832='Data Entry - SOF'!B$2,'Data Entry - SOF'!E$102,0)</f>
        <v>0</v>
      </c>
      <c r="H832" s="1038">
        <f t="shared" si="74"/>
        <v>14285624.293291399</v>
      </c>
      <c r="I832" s="944">
        <f>IF(A832='Data Entry - SOF'!B$2,'Report-SOF1920-HB3'!D$102,0)</f>
        <v>0</v>
      </c>
      <c r="J832" s="1037">
        <f>IF(A832='Data Entry - SOF'!B$2,'Data Entry - SOF'!G$102,0)</f>
        <v>0</v>
      </c>
      <c r="K832" s="717">
        <f t="shared" si="75"/>
        <v>14285624.293291399</v>
      </c>
      <c r="L832" s="944">
        <f>IF(A832='Data Entry - SOF'!B$2,'Report-SOF2021'!D$99,0)</f>
        <v>0</v>
      </c>
      <c r="M832" s="723">
        <f>IF(A832='Data Entry - SOF'!B$2,'Data Entry - SOF'!M$102,0)</f>
        <v>0</v>
      </c>
      <c r="N832" s="717">
        <f t="shared" si="76"/>
        <v>14285624.293291399</v>
      </c>
      <c r="O832" s="944">
        <f>IF(A832='Data Entry - SOF'!B$2,'Report-SOF2122'!D$91,0)</f>
        <v>0</v>
      </c>
      <c r="P832" s="723">
        <f>IF(A832='Data Entry - SOF'!B$2,'Data Entry - SOF'!O$102,0)</f>
        <v>0</v>
      </c>
      <c r="Q832" s="601">
        <f t="shared" si="73"/>
        <v>14285624.293291399</v>
      </c>
      <c r="R832" s="944">
        <f>IF(A832='Data Entry - SOF'!B$2,'Report-SOF2223'!D$91,0)</f>
        <v>0</v>
      </c>
      <c r="S832" s="723">
        <f>IF(A832='Data Entry - SOF'!B$2,'Data Entry - SOF'!Q$102,0)</f>
        <v>0</v>
      </c>
      <c r="T832" s="601">
        <f t="shared" si="77"/>
        <v>14285624.293291399</v>
      </c>
      <c r="U832" s="944">
        <f>IF(A832='Data Entry - SOF'!B$2,'Report-SOF2324'!D$91,0)</f>
        <v>0</v>
      </c>
      <c r="V832" s="723">
        <f>IF(A832='Data Entry - SOF'!B$2,'Data Entry - SOF'!S$102,0)</f>
        <v>0</v>
      </c>
    </row>
    <row r="833" spans="1:22" ht="15.75">
      <c r="A833" s="382" t="s">
        <v>2527</v>
      </c>
      <c r="B833" s="91">
        <v>2767326</v>
      </c>
      <c r="C833" s="944">
        <f>IF(A833='Data Entry - SOF'!B$2,'Report-SOF1718'!D$102,0)</f>
        <v>0</v>
      </c>
      <c r="D833" s="1037">
        <f>IF(A833='Data Entry - SOF'!B$2,'Data Entry - SOF'!#REF!,0)</f>
        <v>0</v>
      </c>
      <c r="E833" s="91">
        <f t="shared" si="72"/>
        <v>2767326</v>
      </c>
      <c r="F833" s="944">
        <f>IF(A833='Data Entry - SOF'!B$2,'Report-SOF1819'!D$102,0)</f>
        <v>0</v>
      </c>
      <c r="G833" s="1037">
        <f>IF(A833='Data Entry - SOF'!B$2,'Data Entry - SOF'!E$102,0)</f>
        <v>0</v>
      </c>
      <c r="H833" s="1038">
        <f t="shared" si="74"/>
        <v>2767326</v>
      </c>
      <c r="I833" s="944">
        <f>IF(A833='Data Entry - SOF'!B$2,'Report-SOF1920-HB3'!D$102,0)</f>
        <v>0</v>
      </c>
      <c r="J833" s="1037">
        <f>IF(A833='Data Entry - SOF'!B$2,'Data Entry - SOF'!G$102,0)</f>
        <v>0</v>
      </c>
      <c r="K833" s="717">
        <f t="shared" si="75"/>
        <v>2767326</v>
      </c>
      <c r="L833" s="944">
        <f>IF(A833='Data Entry - SOF'!B$2,'Report-SOF2021'!D$99,0)</f>
        <v>0</v>
      </c>
      <c r="M833" s="723">
        <f>IF(A833='Data Entry - SOF'!B$2,'Data Entry - SOF'!M$102,0)</f>
        <v>0</v>
      </c>
      <c r="N833" s="717">
        <f t="shared" si="76"/>
        <v>2767326</v>
      </c>
      <c r="O833" s="944">
        <f>IF(A833='Data Entry - SOF'!B$2,'Report-SOF2122'!D$91,0)</f>
        <v>0</v>
      </c>
      <c r="P833" s="723">
        <f>IF(A833='Data Entry - SOF'!B$2,'Data Entry - SOF'!O$102,0)</f>
        <v>0</v>
      </c>
      <c r="Q833" s="601">
        <f t="shared" si="73"/>
        <v>2767326</v>
      </c>
      <c r="R833" s="944">
        <f>IF(A833='Data Entry - SOF'!B$2,'Report-SOF2223'!D$91,0)</f>
        <v>0</v>
      </c>
      <c r="S833" s="723">
        <f>IF(A833='Data Entry - SOF'!B$2,'Data Entry - SOF'!Q$102,0)</f>
        <v>0</v>
      </c>
      <c r="T833" s="601">
        <f t="shared" si="77"/>
        <v>2767326</v>
      </c>
      <c r="U833" s="944">
        <f>IF(A833='Data Entry - SOF'!B$2,'Report-SOF2324'!D$91,0)</f>
        <v>0</v>
      </c>
      <c r="V833" s="723">
        <f>IF(A833='Data Entry - SOF'!B$2,'Data Entry - SOF'!S$102,0)</f>
        <v>0</v>
      </c>
    </row>
    <row r="834" spans="1:22" ht="15.75">
      <c r="A834" s="382" t="s">
        <v>1411</v>
      </c>
      <c r="B834" s="91">
        <v>4104865</v>
      </c>
      <c r="C834" s="944">
        <f>IF(A834='Data Entry - SOF'!B$2,'Report-SOF1718'!D$102,0)</f>
        <v>0</v>
      </c>
      <c r="D834" s="1037">
        <f>IF(A834='Data Entry - SOF'!B$2,'Data Entry - SOF'!#REF!,0)</f>
        <v>0</v>
      </c>
      <c r="E834" s="91">
        <f t="shared" si="72"/>
        <v>4104865</v>
      </c>
      <c r="F834" s="944">
        <f>IF(A834='Data Entry - SOF'!B$2,'Report-SOF1819'!D$102,0)</f>
        <v>0</v>
      </c>
      <c r="G834" s="1037">
        <f>IF(A834='Data Entry - SOF'!B$2,'Data Entry - SOF'!E$102,0)</f>
        <v>0</v>
      </c>
      <c r="H834" s="1038">
        <f t="shared" si="74"/>
        <v>4104865</v>
      </c>
      <c r="I834" s="944">
        <f>IF(A834='Data Entry - SOF'!B$2,'Report-SOF1920-HB3'!D$102,0)</f>
        <v>0</v>
      </c>
      <c r="J834" s="1037">
        <f>IF(A834='Data Entry - SOF'!B$2,'Data Entry - SOF'!G$102,0)</f>
        <v>0</v>
      </c>
      <c r="K834" s="717">
        <f t="shared" si="75"/>
        <v>4104865</v>
      </c>
      <c r="L834" s="944">
        <f>IF(A834='Data Entry - SOF'!B$2,'Report-SOF2021'!D$99,0)</f>
        <v>0</v>
      </c>
      <c r="M834" s="723">
        <f>IF(A834='Data Entry - SOF'!B$2,'Data Entry - SOF'!M$102,0)</f>
        <v>0</v>
      </c>
      <c r="N834" s="717">
        <f t="shared" si="76"/>
        <v>4104865</v>
      </c>
      <c r="O834" s="944">
        <f>IF(A834='Data Entry - SOF'!B$2,'Report-SOF2122'!D$91,0)</f>
        <v>0</v>
      </c>
      <c r="P834" s="723">
        <f>IF(A834='Data Entry - SOF'!B$2,'Data Entry - SOF'!O$102,0)</f>
        <v>0</v>
      </c>
      <c r="Q834" s="601">
        <f t="shared" si="73"/>
        <v>4104865</v>
      </c>
      <c r="R834" s="944">
        <f>IF(A834='Data Entry - SOF'!B$2,'Report-SOF2223'!D$91,0)</f>
        <v>0</v>
      </c>
      <c r="S834" s="723">
        <f>IF(A834='Data Entry - SOF'!B$2,'Data Entry - SOF'!Q$102,0)</f>
        <v>0</v>
      </c>
      <c r="T834" s="601">
        <f t="shared" si="77"/>
        <v>4104865</v>
      </c>
      <c r="U834" s="944">
        <f>IF(A834='Data Entry - SOF'!B$2,'Report-SOF2324'!D$91,0)</f>
        <v>0</v>
      </c>
      <c r="V834" s="723">
        <f>IF(A834='Data Entry - SOF'!B$2,'Data Entry - SOF'!S$102,0)</f>
        <v>0</v>
      </c>
    </row>
    <row r="835" spans="1:22" ht="15.75">
      <c r="A835" s="382" t="s">
        <v>1317</v>
      </c>
      <c r="B835" s="91">
        <v>5494676</v>
      </c>
      <c r="C835" s="944">
        <f>IF(A835='Data Entry - SOF'!B$2,'Report-SOF1718'!D$102,0)</f>
        <v>0</v>
      </c>
      <c r="D835" s="1037">
        <f>IF(A835='Data Entry - SOF'!B$2,'Data Entry - SOF'!#REF!,0)</f>
        <v>0</v>
      </c>
      <c r="E835" s="91">
        <f t="shared" si="72"/>
        <v>5494676</v>
      </c>
      <c r="F835" s="944">
        <f>IF(A835='Data Entry - SOF'!B$2,'Report-SOF1819'!D$102,0)</f>
        <v>0</v>
      </c>
      <c r="G835" s="1037">
        <f>IF(A835='Data Entry - SOF'!B$2,'Data Entry - SOF'!E$102,0)</f>
        <v>0</v>
      </c>
      <c r="H835" s="1038">
        <f t="shared" si="74"/>
        <v>5494676</v>
      </c>
      <c r="I835" s="944">
        <f>IF(A835='Data Entry - SOF'!B$2,'Report-SOF1920-HB3'!D$102,0)</f>
        <v>0</v>
      </c>
      <c r="J835" s="1037">
        <f>IF(A835='Data Entry - SOF'!B$2,'Data Entry - SOF'!G$102,0)</f>
        <v>0</v>
      </c>
      <c r="K835" s="717">
        <f t="shared" si="75"/>
        <v>5494676</v>
      </c>
      <c r="L835" s="944">
        <f>IF(A835='Data Entry - SOF'!B$2,'Report-SOF2021'!D$99,0)</f>
        <v>0</v>
      </c>
      <c r="M835" s="723">
        <f>IF(A835='Data Entry - SOF'!B$2,'Data Entry - SOF'!M$102,0)</f>
        <v>0</v>
      </c>
      <c r="N835" s="717">
        <f t="shared" si="76"/>
        <v>5494676</v>
      </c>
      <c r="O835" s="944">
        <f>IF(A835='Data Entry - SOF'!B$2,'Report-SOF2122'!D$91,0)</f>
        <v>0</v>
      </c>
      <c r="P835" s="723">
        <f>IF(A835='Data Entry - SOF'!B$2,'Data Entry - SOF'!O$102,0)</f>
        <v>0</v>
      </c>
      <c r="Q835" s="601">
        <f t="shared" si="73"/>
        <v>5494676</v>
      </c>
      <c r="R835" s="944">
        <f>IF(A835='Data Entry - SOF'!B$2,'Report-SOF2223'!D$91,0)</f>
        <v>0</v>
      </c>
      <c r="S835" s="723">
        <f>IF(A835='Data Entry - SOF'!B$2,'Data Entry - SOF'!Q$102,0)</f>
        <v>0</v>
      </c>
      <c r="T835" s="601">
        <f t="shared" si="77"/>
        <v>5494676</v>
      </c>
      <c r="U835" s="944">
        <f>IF(A835='Data Entry - SOF'!B$2,'Report-SOF2324'!D$91,0)</f>
        <v>0</v>
      </c>
      <c r="V835" s="723">
        <f>IF(A835='Data Entry - SOF'!B$2,'Data Entry - SOF'!S$102,0)</f>
        <v>0</v>
      </c>
    </row>
    <row r="836" spans="1:22" ht="15.75">
      <c r="A836" s="382" t="s">
        <v>191</v>
      </c>
      <c r="B836" s="91">
        <v>6033758</v>
      </c>
      <c r="C836" s="944">
        <f>IF(A836='Data Entry - SOF'!B$2,'Report-SOF1718'!D$102,0)</f>
        <v>0</v>
      </c>
      <c r="D836" s="1037">
        <f>IF(A836='Data Entry - SOF'!B$2,'Data Entry - SOF'!#REF!,0)</f>
        <v>0</v>
      </c>
      <c r="E836" s="91">
        <f t="shared" ref="E836:E899" si="78">IF(B836+C836-D836&lt;=0,0,B836+C836-D836)</f>
        <v>6033758</v>
      </c>
      <c r="F836" s="944">
        <f>IF(A836='Data Entry - SOF'!B$2,'Report-SOF1819'!D$102,0)</f>
        <v>0</v>
      </c>
      <c r="G836" s="1037">
        <f>IF(A836='Data Entry - SOF'!B$2,'Data Entry - SOF'!E$102,0)</f>
        <v>0</v>
      </c>
      <c r="H836" s="1038">
        <f t="shared" si="74"/>
        <v>6033758</v>
      </c>
      <c r="I836" s="944">
        <f>IF(A836='Data Entry - SOF'!B$2,'Report-SOF1920-HB3'!D$102,0)</f>
        <v>0</v>
      </c>
      <c r="J836" s="1037">
        <f>IF(A836='Data Entry - SOF'!B$2,'Data Entry - SOF'!G$102,0)</f>
        <v>0</v>
      </c>
      <c r="K836" s="717">
        <f t="shared" si="75"/>
        <v>6033758</v>
      </c>
      <c r="L836" s="944">
        <f>IF(A836='Data Entry - SOF'!B$2,'Report-SOF2021'!D$99,0)</f>
        <v>0</v>
      </c>
      <c r="M836" s="723">
        <f>IF(A836='Data Entry - SOF'!B$2,'Data Entry - SOF'!M$102,0)</f>
        <v>0</v>
      </c>
      <c r="N836" s="717">
        <f t="shared" si="76"/>
        <v>6033758</v>
      </c>
      <c r="O836" s="944">
        <f>IF(A836='Data Entry - SOF'!B$2,'Report-SOF2122'!D$91,0)</f>
        <v>0</v>
      </c>
      <c r="P836" s="723">
        <f>IF(A836='Data Entry - SOF'!B$2,'Data Entry - SOF'!O$102,0)</f>
        <v>0</v>
      </c>
      <c r="Q836" s="601">
        <f t="shared" ref="Q836:Q899" si="79">IF(N836+O836-P836&lt;=0,0,N836+O836-P836)</f>
        <v>6033758</v>
      </c>
      <c r="R836" s="944">
        <f>IF(A836='Data Entry - SOF'!B$2,'Report-SOF2223'!D$91,0)</f>
        <v>0</v>
      </c>
      <c r="S836" s="723">
        <f>IF(A836='Data Entry - SOF'!B$2,'Data Entry - SOF'!Q$102,0)</f>
        <v>0</v>
      </c>
      <c r="T836" s="601">
        <f t="shared" si="77"/>
        <v>6033758</v>
      </c>
      <c r="U836" s="944">
        <f>IF(A836='Data Entry - SOF'!B$2,'Report-SOF2324'!D$91,0)</f>
        <v>0</v>
      </c>
      <c r="V836" s="723">
        <f>IF(A836='Data Entry - SOF'!B$2,'Data Entry - SOF'!S$102,0)</f>
        <v>0</v>
      </c>
    </row>
    <row r="837" spans="1:22" ht="15.75">
      <c r="A837" s="382" t="s">
        <v>489</v>
      </c>
      <c r="B837" s="91">
        <v>2620292</v>
      </c>
      <c r="C837" s="944">
        <f>IF(A837='Data Entry - SOF'!B$2,'Report-SOF1718'!D$102,0)</f>
        <v>0</v>
      </c>
      <c r="D837" s="1037">
        <f>IF(A837='Data Entry - SOF'!B$2,'Data Entry - SOF'!#REF!,0)</f>
        <v>0</v>
      </c>
      <c r="E837" s="91">
        <f t="shared" si="78"/>
        <v>2620292</v>
      </c>
      <c r="F837" s="944">
        <f>IF(A837='Data Entry - SOF'!B$2,'Report-SOF1819'!D$102,0)</f>
        <v>0</v>
      </c>
      <c r="G837" s="1037">
        <f>IF(A837='Data Entry - SOF'!B$2,'Data Entry - SOF'!E$102,0)</f>
        <v>0</v>
      </c>
      <c r="H837" s="1038">
        <f t="shared" ref="H837:H900" si="80">IF(E837+F837-G837&lt;=0,0,E837+F837-G837)</f>
        <v>2620292</v>
      </c>
      <c r="I837" s="944">
        <f>IF(A837='Data Entry - SOF'!B$2,'Report-SOF1920-HB3'!D$102,0)</f>
        <v>0</v>
      </c>
      <c r="J837" s="1037">
        <f>IF(A837='Data Entry - SOF'!B$2,'Data Entry - SOF'!G$102,0)</f>
        <v>0</v>
      </c>
      <c r="K837" s="717">
        <f t="shared" ref="K837:K900" si="81">IF(H837+I837-J837&lt;=0,0,H837+I837-J837)</f>
        <v>2620292</v>
      </c>
      <c r="L837" s="944">
        <f>IF(A837='Data Entry - SOF'!B$2,'Report-SOF2021'!D$99,0)</f>
        <v>0</v>
      </c>
      <c r="M837" s="723">
        <f>IF(A837='Data Entry - SOF'!B$2,'Data Entry - SOF'!M$102,0)</f>
        <v>0</v>
      </c>
      <c r="N837" s="717">
        <f t="shared" ref="N837:N900" si="82">IF(K837+L837-M837&lt;=0,0,K837+L837-M837)</f>
        <v>2620292</v>
      </c>
      <c r="O837" s="944">
        <f>IF(A837='Data Entry - SOF'!B$2,'Report-SOF2122'!D$91,0)</f>
        <v>0</v>
      </c>
      <c r="P837" s="723">
        <f>IF(A837='Data Entry - SOF'!B$2,'Data Entry - SOF'!O$102,0)</f>
        <v>0</v>
      </c>
      <c r="Q837" s="601">
        <f t="shared" si="79"/>
        <v>2620292</v>
      </c>
      <c r="R837" s="944">
        <f>IF(A837='Data Entry - SOF'!B$2,'Report-SOF2223'!D$91,0)</f>
        <v>0</v>
      </c>
      <c r="S837" s="723">
        <f>IF(A837='Data Entry - SOF'!B$2,'Data Entry - SOF'!Q$102,0)</f>
        <v>0</v>
      </c>
      <c r="T837" s="601">
        <f t="shared" ref="T837:T900" si="83">IF(P837+Q837-S837&lt;=0,0,P837+Q837-S837)</f>
        <v>2620292</v>
      </c>
      <c r="U837" s="944">
        <f>IF(A837='Data Entry - SOF'!B$2,'Report-SOF2324'!D$91,0)</f>
        <v>0</v>
      </c>
      <c r="V837" s="723">
        <f>IF(A837='Data Entry - SOF'!B$2,'Data Entry - SOF'!S$102,0)</f>
        <v>0</v>
      </c>
    </row>
    <row r="838" spans="1:22" ht="15.75">
      <c r="A838" s="382" t="s">
        <v>1455</v>
      </c>
      <c r="B838" s="91">
        <v>933156</v>
      </c>
      <c r="C838" s="944">
        <f>IF(A838='Data Entry - SOF'!B$2,'Report-SOF1718'!D$102,0)</f>
        <v>0</v>
      </c>
      <c r="D838" s="1037">
        <f>IF(A838='Data Entry - SOF'!B$2,'Data Entry - SOF'!#REF!,0)</f>
        <v>0</v>
      </c>
      <c r="E838" s="91">
        <f t="shared" si="78"/>
        <v>933156</v>
      </c>
      <c r="F838" s="944">
        <f>IF(A838='Data Entry - SOF'!B$2,'Report-SOF1819'!D$102,0)</f>
        <v>0</v>
      </c>
      <c r="G838" s="1037">
        <f>IF(A838='Data Entry - SOF'!B$2,'Data Entry - SOF'!E$102,0)</f>
        <v>0</v>
      </c>
      <c r="H838" s="1038">
        <f t="shared" si="80"/>
        <v>933156</v>
      </c>
      <c r="I838" s="944">
        <f>IF(A838='Data Entry - SOF'!B$2,'Report-SOF1920-HB3'!D$102,0)</f>
        <v>0</v>
      </c>
      <c r="J838" s="1037">
        <f>IF(A838='Data Entry - SOF'!B$2,'Data Entry - SOF'!G$102,0)</f>
        <v>0</v>
      </c>
      <c r="K838" s="717">
        <f t="shared" si="81"/>
        <v>933156</v>
      </c>
      <c r="L838" s="944">
        <f>IF(A838='Data Entry - SOF'!B$2,'Report-SOF2021'!D$99,0)</f>
        <v>0</v>
      </c>
      <c r="M838" s="723">
        <f>IF(A838='Data Entry - SOF'!B$2,'Data Entry - SOF'!M$102,0)</f>
        <v>0</v>
      </c>
      <c r="N838" s="717">
        <f t="shared" si="82"/>
        <v>933156</v>
      </c>
      <c r="O838" s="944">
        <f>IF(A838='Data Entry - SOF'!B$2,'Report-SOF2122'!D$91,0)</f>
        <v>0</v>
      </c>
      <c r="P838" s="723">
        <f>IF(A838='Data Entry - SOF'!B$2,'Data Entry - SOF'!O$102,0)</f>
        <v>0</v>
      </c>
      <c r="Q838" s="601">
        <f t="shared" si="79"/>
        <v>933156</v>
      </c>
      <c r="R838" s="944">
        <f>IF(A838='Data Entry - SOF'!B$2,'Report-SOF2223'!D$91,0)</f>
        <v>0</v>
      </c>
      <c r="S838" s="723">
        <f>IF(A838='Data Entry - SOF'!B$2,'Data Entry - SOF'!Q$102,0)</f>
        <v>0</v>
      </c>
      <c r="T838" s="601">
        <f t="shared" si="83"/>
        <v>933156</v>
      </c>
      <c r="U838" s="944">
        <f>IF(A838='Data Entry - SOF'!B$2,'Report-SOF2324'!D$91,0)</f>
        <v>0</v>
      </c>
      <c r="V838" s="723">
        <f>IF(A838='Data Entry - SOF'!B$2,'Data Entry - SOF'!S$102,0)</f>
        <v>0</v>
      </c>
    </row>
    <row r="839" spans="1:22" ht="15.75">
      <c r="A839" s="382" t="s">
        <v>1456</v>
      </c>
      <c r="B839" s="91">
        <v>305517</v>
      </c>
      <c r="C839" s="944">
        <f>IF(A839='Data Entry - SOF'!B$2,'Report-SOF1718'!D$102,0)</f>
        <v>0</v>
      </c>
      <c r="D839" s="1037">
        <f>IF(A839='Data Entry - SOF'!B$2,'Data Entry - SOF'!#REF!,0)</f>
        <v>0</v>
      </c>
      <c r="E839" s="91">
        <f t="shared" si="78"/>
        <v>305517</v>
      </c>
      <c r="F839" s="944">
        <f>IF(A839='Data Entry - SOF'!B$2,'Report-SOF1819'!D$102,0)</f>
        <v>0</v>
      </c>
      <c r="G839" s="1037">
        <f>IF(A839='Data Entry - SOF'!B$2,'Data Entry - SOF'!E$102,0)</f>
        <v>0</v>
      </c>
      <c r="H839" s="1038">
        <f t="shared" si="80"/>
        <v>305517</v>
      </c>
      <c r="I839" s="944">
        <f>IF(A839='Data Entry - SOF'!B$2,'Report-SOF1920-HB3'!D$102,0)</f>
        <v>0</v>
      </c>
      <c r="J839" s="1037">
        <f>IF(A839='Data Entry - SOF'!B$2,'Data Entry - SOF'!G$102,0)</f>
        <v>0</v>
      </c>
      <c r="K839" s="717">
        <f t="shared" si="81"/>
        <v>305517</v>
      </c>
      <c r="L839" s="944">
        <f>IF(A839='Data Entry - SOF'!B$2,'Report-SOF2021'!D$99,0)</f>
        <v>0</v>
      </c>
      <c r="M839" s="723">
        <f>IF(A839='Data Entry - SOF'!B$2,'Data Entry - SOF'!M$102,0)</f>
        <v>0</v>
      </c>
      <c r="N839" s="717">
        <f t="shared" si="82"/>
        <v>305517</v>
      </c>
      <c r="O839" s="944">
        <f>IF(A839='Data Entry - SOF'!B$2,'Report-SOF2122'!D$91,0)</f>
        <v>0</v>
      </c>
      <c r="P839" s="723">
        <f>IF(A839='Data Entry - SOF'!B$2,'Data Entry - SOF'!O$102,0)</f>
        <v>0</v>
      </c>
      <c r="Q839" s="601">
        <f t="shared" si="79"/>
        <v>305517</v>
      </c>
      <c r="R839" s="944">
        <f>IF(A839='Data Entry - SOF'!B$2,'Report-SOF2223'!D$91,0)</f>
        <v>0</v>
      </c>
      <c r="S839" s="723">
        <f>IF(A839='Data Entry - SOF'!B$2,'Data Entry - SOF'!Q$102,0)</f>
        <v>0</v>
      </c>
      <c r="T839" s="601">
        <f t="shared" si="83"/>
        <v>305517</v>
      </c>
      <c r="U839" s="944">
        <f>IF(A839='Data Entry - SOF'!B$2,'Report-SOF2324'!D$91,0)</f>
        <v>0</v>
      </c>
      <c r="V839" s="723">
        <f>IF(A839='Data Entry - SOF'!B$2,'Data Entry - SOF'!S$102,0)</f>
        <v>0</v>
      </c>
    </row>
    <row r="840" spans="1:22" ht="15.75">
      <c r="A840" s="382" t="s">
        <v>1377</v>
      </c>
      <c r="B840" s="91">
        <v>1921087</v>
      </c>
      <c r="C840" s="944">
        <f>IF(A840='Data Entry - SOF'!B$2,'Report-SOF1718'!D$102,0)</f>
        <v>0</v>
      </c>
      <c r="D840" s="1037">
        <f>IF(A840='Data Entry - SOF'!B$2,'Data Entry - SOF'!#REF!,0)</f>
        <v>0</v>
      </c>
      <c r="E840" s="91">
        <f t="shared" si="78"/>
        <v>1921087</v>
      </c>
      <c r="F840" s="944">
        <f>IF(A840='Data Entry - SOF'!B$2,'Report-SOF1819'!D$102,0)</f>
        <v>0</v>
      </c>
      <c r="G840" s="1037">
        <f>IF(A840='Data Entry - SOF'!B$2,'Data Entry - SOF'!E$102,0)</f>
        <v>0</v>
      </c>
      <c r="H840" s="1038">
        <f t="shared" si="80"/>
        <v>1921087</v>
      </c>
      <c r="I840" s="944">
        <f>IF(A840='Data Entry - SOF'!B$2,'Report-SOF1920-HB3'!D$102,0)</f>
        <v>0</v>
      </c>
      <c r="J840" s="1037">
        <f>IF(A840='Data Entry - SOF'!B$2,'Data Entry - SOF'!G$102,0)</f>
        <v>0</v>
      </c>
      <c r="K840" s="717">
        <f t="shared" si="81"/>
        <v>1921087</v>
      </c>
      <c r="L840" s="944">
        <f>IF(A840='Data Entry - SOF'!B$2,'Report-SOF2021'!D$99,0)</f>
        <v>0</v>
      </c>
      <c r="M840" s="723">
        <f>IF(A840='Data Entry - SOF'!B$2,'Data Entry - SOF'!M$102,0)</f>
        <v>0</v>
      </c>
      <c r="N840" s="717">
        <f t="shared" si="82"/>
        <v>1921087</v>
      </c>
      <c r="O840" s="944">
        <f>IF(A840='Data Entry - SOF'!B$2,'Report-SOF2122'!D$91,0)</f>
        <v>0</v>
      </c>
      <c r="P840" s="723">
        <f>IF(A840='Data Entry - SOF'!B$2,'Data Entry - SOF'!O$102,0)</f>
        <v>0</v>
      </c>
      <c r="Q840" s="601">
        <f t="shared" si="79"/>
        <v>1921087</v>
      </c>
      <c r="R840" s="944">
        <f>IF(A840='Data Entry - SOF'!B$2,'Report-SOF2223'!D$91,0)</f>
        <v>0</v>
      </c>
      <c r="S840" s="723">
        <f>IF(A840='Data Entry - SOF'!B$2,'Data Entry - SOF'!Q$102,0)</f>
        <v>0</v>
      </c>
      <c r="T840" s="601">
        <f t="shared" si="83"/>
        <v>1921087</v>
      </c>
      <c r="U840" s="944">
        <f>IF(A840='Data Entry - SOF'!B$2,'Report-SOF2324'!D$91,0)</f>
        <v>0</v>
      </c>
      <c r="V840" s="723">
        <f>IF(A840='Data Entry - SOF'!B$2,'Data Entry - SOF'!S$102,0)</f>
        <v>0</v>
      </c>
    </row>
    <row r="841" spans="1:22" ht="15.75">
      <c r="A841" s="382" t="s">
        <v>1378</v>
      </c>
      <c r="B841" s="91">
        <v>13691443</v>
      </c>
      <c r="C841" s="944">
        <f>IF(A841='Data Entry - SOF'!B$2,'Report-SOF1718'!D$102,0)</f>
        <v>0</v>
      </c>
      <c r="D841" s="1037">
        <f>IF(A841='Data Entry - SOF'!B$2,'Data Entry - SOF'!#REF!,0)</f>
        <v>0</v>
      </c>
      <c r="E841" s="91">
        <f t="shared" si="78"/>
        <v>13691443</v>
      </c>
      <c r="F841" s="944">
        <f>IF(A841='Data Entry - SOF'!B$2,'Report-SOF1819'!D$102,0)</f>
        <v>0</v>
      </c>
      <c r="G841" s="1037">
        <f>IF(A841='Data Entry - SOF'!B$2,'Data Entry - SOF'!E$102,0)</f>
        <v>0</v>
      </c>
      <c r="H841" s="1038">
        <f t="shared" si="80"/>
        <v>13691443</v>
      </c>
      <c r="I841" s="944">
        <f>IF(A841='Data Entry - SOF'!B$2,'Report-SOF1920-HB3'!D$102,0)</f>
        <v>0</v>
      </c>
      <c r="J841" s="1037">
        <f>IF(A841='Data Entry - SOF'!B$2,'Data Entry - SOF'!G$102,0)</f>
        <v>0</v>
      </c>
      <c r="K841" s="717">
        <f t="shared" si="81"/>
        <v>13691443</v>
      </c>
      <c r="L841" s="944">
        <f>IF(A841='Data Entry - SOF'!B$2,'Report-SOF2021'!D$99,0)</f>
        <v>0</v>
      </c>
      <c r="M841" s="723">
        <f>IF(A841='Data Entry - SOF'!B$2,'Data Entry - SOF'!M$102,0)</f>
        <v>0</v>
      </c>
      <c r="N841" s="717">
        <f t="shared" si="82"/>
        <v>13691443</v>
      </c>
      <c r="O841" s="944">
        <f>IF(A841='Data Entry - SOF'!B$2,'Report-SOF2122'!D$91,0)</f>
        <v>0</v>
      </c>
      <c r="P841" s="723">
        <f>IF(A841='Data Entry - SOF'!B$2,'Data Entry - SOF'!O$102,0)</f>
        <v>0</v>
      </c>
      <c r="Q841" s="601">
        <f t="shared" si="79"/>
        <v>13691443</v>
      </c>
      <c r="R841" s="944">
        <f>IF(A841='Data Entry - SOF'!B$2,'Report-SOF2223'!D$91,0)</f>
        <v>0</v>
      </c>
      <c r="S841" s="723">
        <f>IF(A841='Data Entry - SOF'!B$2,'Data Entry - SOF'!Q$102,0)</f>
        <v>0</v>
      </c>
      <c r="T841" s="601">
        <f t="shared" si="83"/>
        <v>13691443</v>
      </c>
      <c r="U841" s="944">
        <f>IF(A841='Data Entry - SOF'!B$2,'Report-SOF2324'!D$91,0)</f>
        <v>0</v>
      </c>
      <c r="V841" s="723">
        <f>IF(A841='Data Entry - SOF'!B$2,'Data Entry - SOF'!S$102,0)</f>
        <v>0</v>
      </c>
    </row>
    <row r="842" spans="1:22" ht="15.75">
      <c r="A842" s="382" t="s">
        <v>1379</v>
      </c>
      <c r="B842" s="91">
        <v>39586364</v>
      </c>
      <c r="C842" s="944">
        <f>IF(A842='Data Entry - SOF'!B$2,'Report-SOF1718'!D$102,0)</f>
        <v>0</v>
      </c>
      <c r="D842" s="1037">
        <f>IF(A842='Data Entry - SOF'!B$2,'Data Entry - SOF'!#REF!,0)</f>
        <v>0</v>
      </c>
      <c r="E842" s="91">
        <f t="shared" si="78"/>
        <v>39586364</v>
      </c>
      <c r="F842" s="944">
        <f>IF(A842='Data Entry - SOF'!B$2,'Report-SOF1819'!D$102,0)</f>
        <v>0</v>
      </c>
      <c r="G842" s="1037">
        <f>IF(A842='Data Entry - SOF'!B$2,'Data Entry - SOF'!E$102,0)</f>
        <v>0</v>
      </c>
      <c r="H842" s="1038">
        <f t="shared" si="80"/>
        <v>39586364</v>
      </c>
      <c r="I842" s="944">
        <f>IF(A842='Data Entry - SOF'!B$2,'Report-SOF1920-HB3'!D$102,0)</f>
        <v>0</v>
      </c>
      <c r="J842" s="1037">
        <f>IF(A842='Data Entry - SOF'!B$2,'Data Entry - SOF'!G$102,0)</f>
        <v>0</v>
      </c>
      <c r="K842" s="717">
        <f t="shared" si="81"/>
        <v>39586364</v>
      </c>
      <c r="L842" s="944">
        <f>IF(A842='Data Entry - SOF'!B$2,'Report-SOF2021'!D$99,0)</f>
        <v>0</v>
      </c>
      <c r="M842" s="723">
        <f>IF(A842='Data Entry - SOF'!B$2,'Data Entry - SOF'!M$102,0)</f>
        <v>0</v>
      </c>
      <c r="N842" s="717">
        <f t="shared" si="82"/>
        <v>39586364</v>
      </c>
      <c r="O842" s="944">
        <f>IF(A842='Data Entry - SOF'!B$2,'Report-SOF2122'!D$91,0)</f>
        <v>0</v>
      </c>
      <c r="P842" s="723">
        <f>IF(A842='Data Entry - SOF'!B$2,'Data Entry - SOF'!O$102,0)</f>
        <v>0</v>
      </c>
      <c r="Q842" s="601">
        <f t="shared" si="79"/>
        <v>39586364</v>
      </c>
      <c r="R842" s="944">
        <f>IF(A842='Data Entry - SOF'!B$2,'Report-SOF2223'!D$91,0)</f>
        <v>0</v>
      </c>
      <c r="S842" s="723">
        <f>IF(A842='Data Entry - SOF'!B$2,'Data Entry - SOF'!Q$102,0)</f>
        <v>0</v>
      </c>
      <c r="T842" s="601">
        <f t="shared" si="83"/>
        <v>39586364</v>
      </c>
      <c r="U842" s="944">
        <f>IF(A842='Data Entry - SOF'!B$2,'Report-SOF2324'!D$91,0)</f>
        <v>0</v>
      </c>
      <c r="V842" s="723">
        <f>IF(A842='Data Entry - SOF'!B$2,'Data Entry - SOF'!S$102,0)</f>
        <v>0</v>
      </c>
    </row>
    <row r="843" spans="1:22" ht="15.75">
      <c r="A843" s="382" t="s">
        <v>1473</v>
      </c>
      <c r="B843" s="91">
        <v>4426020.9816835802</v>
      </c>
      <c r="C843" s="944">
        <f>IF(A843='Data Entry - SOF'!B$2,'Report-SOF1718'!D$102,0)</f>
        <v>0</v>
      </c>
      <c r="D843" s="1037">
        <f>IF(A843='Data Entry - SOF'!B$2,'Data Entry - SOF'!#REF!,0)</f>
        <v>0</v>
      </c>
      <c r="E843" s="91">
        <f t="shared" si="78"/>
        <v>4426020.9816835802</v>
      </c>
      <c r="F843" s="944">
        <f>IF(A843='Data Entry - SOF'!B$2,'Report-SOF1819'!D$102,0)</f>
        <v>0</v>
      </c>
      <c r="G843" s="1037">
        <f>IF(A843='Data Entry - SOF'!B$2,'Data Entry - SOF'!E$102,0)</f>
        <v>0</v>
      </c>
      <c r="H843" s="1038">
        <f t="shared" si="80"/>
        <v>4426020.9816835802</v>
      </c>
      <c r="I843" s="944">
        <f>IF(A843='Data Entry - SOF'!B$2,'Report-SOF1920-HB3'!D$102,0)</f>
        <v>0</v>
      </c>
      <c r="J843" s="1037">
        <f>IF(A843='Data Entry - SOF'!B$2,'Data Entry - SOF'!G$102,0)</f>
        <v>0</v>
      </c>
      <c r="K843" s="717">
        <f t="shared" si="81"/>
        <v>4426020.9816835802</v>
      </c>
      <c r="L843" s="944">
        <f>IF(A843='Data Entry - SOF'!B$2,'Report-SOF2021'!D$99,0)</f>
        <v>0</v>
      </c>
      <c r="M843" s="723">
        <f>IF(A843='Data Entry - SOF'!B$2,'Data Entry - SOF'!M$102,0)</f>
        <v>0</v>
      </c>
      <c r="N843" s="717">
        <f t="shared" si="82"/>
        <v>4426020.9816835802</v>
      </c>
      <c r="O843" s="944">
        <f>IF(A843='Data Entry - SOF'!B$2,'Report-SOF2122'!D$91,0)</f>
        <v>0</v>
      </c>
      <c r="P843" s="723">
        <f>IF(A843='Data Entry - SOF'!B$2,'Data Entry - SOF'!O$102,0)</f>
        <v>0</v>
      </c>
      <c r="Q843" s="601">
        <f t="shared" si="79"/>
        <v>4426020.9816835802</v>
      </c>
      <c r="R843" s="944">
        <f>IF(A843='Data Entry - SOF'!B$2,'Report-SOF2223'!D$91,0)</f>
        <v>0</v>
      </c>
      <c r="S843" s="723">
        <f>IF(A843='Data Entry - SOF'!B$2,'Data Entry - SOF'!Q$102,0)</f>
        <v>0</v>
      </c>
      <c r="T843" s="601">
        <f t="shared" si="83"/>
        <v>4426020.9816835802</v>
      </c>
      <c r="U843" s="944">
        <f>IF(A843='Data Entry - SOF'!B$2,'Report-SOF2324'!D$91,0)</f>
        <v>0</v>
      </c>
      <c r="V843" s="723">
        <f>IF(A843='Data Entry - SOF'!B$2,'Data Entry - SOF'!S$102,0)</f>
        <v>0</v>
      </c>
    </row>
    <row r="844" spans="1:22" ht="15.75">
      <c r="A844" s="382" t="s">
        <v>961</v>
      </c>
      <c r="B844" s="91">
        <v>913646</v>
      </c>
      <c r="C844" s="944">
        <f>IF(A844='Data Entry - SOF'!B$2,'Report-SOF1718'!D$102,0)</f>
        <v>0</v>
      </c>
      <c r="D844" s="1037">
        <f>IF(A844='Data Entry - SOF'!B$2,'Data Entry - SOF'!#REF!,0)</f>
        <v>0</v>
      </c>
      <c r="E844" s="91">
        <f t="shared" si="78"/>
        <v>913646</v>
      </c>
      <c r="F844" s="944">
        <f>IF(A844='Data Entry - SOF'!B$2,'Report-SOF1819'!D$102,0)</f>
        <v>0</v>
      </c>
      <c r="G844" s="1037">
        <f>IF(A844='Data Entry - SOF'!B$2,'Data Entry - SOF'!E$102,0)</f>
        <v>0</v>
      </c>
      <c r="H844" s="1038">
        <f t="shared" si="80"/>
        <v>913646</v>
      </c>
      <c r="I844" s="944">
        <f>IF(A844='Data Entry - SOF'!B$2,'Report-SOF1920-HB3'!D$102,0)</f>
        <v>0</v>
      </c>
      <c r="J844" s="1037">
        <f>IF(A844='Data Entry - SOF'!B$2,'Data Entry - SOF'!G$102,0)</f>
        <v>0</v>
      </c>
      <c r="K844" s="717">
        <f t="shared" si="81"/>
        <v>913646</v>
      </c>
      <c r="L844" s="944">
        <f>IF(A844='Data Entry - SOF'!B$2,'Report-SOF2021'!D$99,0)</f>
        <v>0</v>
      </c>
      <c r="M844" s="723">
        <f>IF(A844='Data Entry - SOF'!B$2,'Data Entry - SOF'!M$102,0)</f>
        <v>0</v>
      </c>
      <c r="N844" s="717">
        <f t="shared" si="82"/>
        <v>913646</v>
      </c>
      <c r="O844" s="944">
        <f>IF(A844='Data Entry - SOF'!B$2,'Report-SOF2122'!D$91,0)</f>
        <v>0</v>
      </c>
      <c r="P844" s="723">
        <f>IF(A844='Data Entry - SOF'!B$2,'Data Entry - SOF'!O$102,0)</f>
        <v>0</v>
      </c>
      <c r="Q844" s="601">
        <f t="shared" si="79"/>
        <v>913646</v>
      </c>
      <c r="R844" s="944">
        <f>IF(A844='Data Entry - SOF'!B$2,'Report-SOF2223'!D$91,0)</f>
        <v>0</v>
      </c>
      <c r="S844" s="723">
        <f>IF(A844='Data Entry - SOF'!B$2,'Data Entry - SOF'!Q$102,0)</f>
        <v>0</v>
      </c>
      <c r="T844" s="601">
        <f t="shared" si="83"/>
        <v>913646</v>
      </c>
      <c r="U844" s="944">
        <f>IF(A844='Data Entry - SOF'!B$2,'Report-SOF2324'!D$91,0)</f>
        <v>0</v>
      </c>
      <c r="V844" s="723">
        <f>IF(A844='Data Entry - SOF'!B$2,'Data Entry - SOF'!S$102,0)</f>
        <v>0</v>
      </c>
    </row>
    <row r="845" spans="1:22" ht="15.75">
      <c r="A845" s="382" t="s">
        <v>962</v>
      </c>
      <c r="B845" s="91">
        <v>603207</v>
      </c>
      <c r="C845" s="944">
        <f>IF(A845='Data Entry - SOF'!B$2,'Report-SOF1718'!D$102,0)</f>
        <v>0</v>
      </c>
      <c r="D845" s="1037">
        <f>IF(A845='Data Entry - SOF'!B$2,'Data Entry - SOF'!#REF!,0)</f>
        <v>0</v>
      </c>
      <c r="E845" s="91">
        <f t="shared" si="78"/>
        <v>603207</v>
      </c>
      <c r="F845" s="944">
        <f>IF(A845='Data Entry - SOF'!B$2,'Report-SOF1819'!D$102,0)</f>
        <v>0</v>
      </c>
      <c r="G845" s="1037">
        <f>IF(A845='Data Entry - SOF'!B$2,'Data Entry - SOF'!E$102,0)</f>
        <v>0</v>
      </c>
      <c r="H845" s="1038">
        <f t="shared" si="80"/>
        <v>603207</v>
      </c>
      <c r="I845" s="944">
        <f>IF(A845='Data Entry - SOF'!B$2,'Report-SOF1920-HB3'!D$102,0)</f>
        <v>0</v>
      </c>
      <c r="J845" s="1037">
        <f>IF(A845='Data Entry - SOF'!B$2,'Data Entry - SOF'!G$102,0)</f>
        <v>0</v>
      </c>
      <c r="K845" s="717">
        <f t="shared" si="81"/>
        <v>603207</v>
      </c>
      <c r="L845" s="944">
        <f>IF(A845='Data Entry - SOF'!B$2,'Report-SOF2021'!D$99,0)</f>
        <v>0</v>
      </c>
      <c r="M845" s="723">
        <f>IF(A845='Data Entry - SOF'!B$2,'Data Entry - SOF'!M$102,0)</f>
        <v>0</v>
      </c>
      <c r="N845" s="717">
        <f t="shared" si="82"/>
        <v>603207</v>
      </c>
      <c r="O845" s="944">
        <f>IF(A845='Data Entry - SOF'!B$2,'Report-SOF2122'!D$91,0)</f>
        <v>0</v>
      </c>
      <c r="P845" s="723">
        <f>IF(A845='Data Entry - SOF'!B$2,'Data Entry - SOF'!O$102,0)</f>
        <v>0</v>
      </c>
      <c r="Q845" s="601">
        <f t="shared" si="79"/>
        <v>603207</v>
      </c>
      <c r="R845" s="944">
        <f>IF(A845='Data Entry - SOF'!B$2,'Report-SOF2223'!D$91,0)</f>
        <v>0</v>
      </c>
      <c r="S845" s="723">
        <f>IF(A845='Data Entry - SOF'!B$2,'Data Entry - SOF'!Q$102,0)</f>
        <v>0</v>
      </c>
      <c r="T845" s="601">
        <f t="shared" si="83"/>
        <v>603207</v>
      </c>
      <c r="U845" s="944">
        <f>IF(A845='Data Entry - SOF'!B$2,'Report-SOF2324'!D$91,0)</f>
        <v>0</v>
      </c>
      <c r="V845" s="723">
        <f>IF(A845='Data Entry - SOF'!B$2,'Data Entry - SOF'!S$102,0)</f>
        <v>0</v>
      </c>
    </row>
    <row r="846" spans="1:22" ht="15.75">
      <c r="A846" s="382" t="s">
        <v>963</v>
      </c>
      <c r="B846" s="91">
        <v>3382208</v>
      </c>
      <c r="C846" s="944">
        <f>IF(A846='Data Entry - SOF'!B$2,'Report-SOF1718'!D$102,0)</f>
        <v>0</v>
      </c>
      <c r="D846" s="1037">
        <f>IF(A846='Data Entry - SOF'!B$2,'Data Entry - SOF'!#REF!,0)</f>
        <v>0</v>
      </c>
      <c r="E846" s="91">
        <f t="shared" si="78"/>
        <v>3382208</v>
      </c>
      <c r="F846" s="944">
        <f>IF(A846='Data Entry - SOF'!B$2,'Report-SOF1819'!D$102,0)</f>
        <v>0</v>
      </c>
      <c r="G846" s="1037">
        <f>IF(A846='Data Entry - SOF'!B$2,'Data Entry - SOF'!E$102,0)</f>
        <v>0</v>
      </c>
      <c r="H846" s="1038">
        <f t="shared" si="80"/>
        <v>3382208</v>
      </c>
      <c r="I846" s="944">
        <f>IF(A846='Data Entry - SOF'!B$2,'Report-SOF1920-HB3'!D$102,0)</f>
        <v>0</v>
      </c>
      <c r="J846" s="1037">
        <f>IF(A846='Data Entry - SOF'!B$2,'Data Entry - SOF'!G$102,0)</f>
        <v>0</v>
      </c>
      <c r="K846" s="717">
        <f t="shared" si="81"/>
        <v>3382208</v>
      </c>
      <c r="L846" s="944">
        <f>IF(A846='Data Entry - SOF'!B$2,'Report-SOF2021'!D$99,0)</f>
        <v>0</v>
      </c>
      <c r="M846" s="723">
        <f>IF(A846='Data Entry - SOF'!B$2,'Data Entry - SOF'!M$102,0)</f>
        <v>0</v>
      </c>
      <c r="N846" s="717">
        <f t="shared" si="82"/>
        <v>3382208</v>
      </c>
      <c r="O846" s="944">
        <f>IF(A846='Data Entry - SOF'!B$2,'Report-SOF2122'!D$91,0)</f>
        <v>0</v>
      </c>
      <c r="P846" s="723">
        <f>IF(A846='Data Entry - SOF'!B$2,'Data Entry - SOF'!O$102,0)</f>
        <v>0</v>
      </c>
      <c r="Q846" s="601">
        <f t="shared" si="79"/>
        <v>3382208</v>
      </c>
      <c r="R846" s="944">
        <f>IF(A846='Data Entry - SOF'!B$2,'Report-SOF2223'!D$91,0)</f>
        <v>0</v>
      </c>
      <c r="S846" s="723">
        <f>IF(A846='Data Entry - SOF'!B$2,'Data Entry - SOF'!Q$102,0)</f>
        <v>0</v>
      </c>
      <c r="T846" s="601">
        <f t="shared" si="83"/>
        <v>3382208</v>
      </c>
      <c r="U846" s="944">
        <f>IF(A846='Data Entry - SOF'!B$2,'Report-SOF2324'!D$91,0)</f>
        <v>0</v>
      </c>
      <c r="V846" s="723">
        <f>IF(A846='Data Entry - SOF'!B$2,'Data Entry - SOF'!S$102,0)</f>
        <v>0</v>
      </c>
    </row>
    <row r="847" spans="1:22" ht="15.75">
      <c r="A847" s="382" t="s">
        <v>1089</v>
      </c>
      <c r="B847" s="91">
        <v>5279830</v>
      </c>
      <c r="C847" s="944">
        <f>IF(A847='Data Entry - SOF'!B$2,'Report-SOF1718'!D$102,0)</f>
        <v>0</v>
      </c>
      <c r="D847" s="1037">
        <f>IF(A847='Data Entry - SOF'!B$2,'Data Entry - SOF'!#REF!,0)</f>
        <v>0</v>
      </c>
      <c r="E847" s="91">
        <f t="shared" si="78"/>
        <v>5279830</v>
      </c>
      <c r="F847" s="944">
        <f>IF(A847='Data Entry - SOF'!B$2,'Report-SOF1819'!D$102,0)</f>
        <v>0</v>
      </c>
      <c r="G847" s="1037">
        <f>IF(A847='Data Entry - SOF'!B$2,'Data Entry - SOF'!E$102,0)</f>
        <v>0</v>
      </c>
      <c r="H847" s="1038">
        <f t="shared" si="80"/>
        <v>5279830</v>
      </c>
      <c r="I847" s="944">
        <f>IF(A847='Data Entry - SOF'!B$2,'Report-SOF1920-HB3'!D$102,0)</f>
        <v>0</v>
      </c>
      <c r="J847" s="1037">
        <f>IF(A847='Data Entry - SOF'!B$2,'Data Entry - SOF'!G$102,0)</f>
        <v>0</v>
      </c>
      <c r="K847" s="717">
        <f t="shared" si="81"/>
        <v>5279830</v>
      </c>
      <c r="L847" s="944">
        <f>IF(A847='Data Entry - SOF'!B$2,'Report-SOF2021'!D$99,0)</f>
        <v>0</v>
      </c>
      <c r="M847" s="723">
        <f>IF(A847='Data Entry - SOF'!B$2,'Data Entry - SOF'!M$102,0)</f>
        <v>0</v>
      </c>
      <c r="N847" s="717">
        <f t="shared" si="82"/>
        <v>5279830</v>
      </c>
      <c r="O847" s="944">
        <f>IF(A847='Data Entry - SOF'!B$2,'Report-SOF2122'!D$91,0)</f>
        <v>0</v>
      </c>
      <c r="P847" s="723">
        <f>IF(A847='Data Entry - SOF'!B$2,'Data Entry - SOF'!O$102,0)</f>
        <v>0</v>
      </c>
      <c r="Q847" s="601">
        <f t="shared" si="79"/>
        <v>5279830</v>
      </c>
      <c r="R847" s="944">
        <f>IF(A847='Data Entry - SOF'!B$2,'Report-SOF2223'!D$91,0)</f>
        <v>0</v>
      </c>
      <c r="S847" s="723">
        <f>IF(A847='Data Entry - SOF'!B$2,'Data Entry - SOF'!Q$102,0)</f>
        <v>0</v>
      </c>
      <c r="T847" s="601">
        <f t="shared" si="83"/>
        <v>5279830</v>
      </c>
      <c r="U847" s="944">
        <f>IF(A847='Data Entry - SOF'!B$2,'Report-SOF2324'!D$91,0)</f>
        <v>0</v>
      </c>
      <c r="V847" s="723">
        <f>IF(A847='Data Entry - SOF'!B$2,'Data Entry - SOF'!S$102,0)</f>
        <v>0</v>
      </c>
    </row>
    <row r="848" spans="1:22" ht="15.75">
      <c r="A848" s="382" t="s">
        <v>192</v>
      </c>
      <c r="B848" s="91">
        <v>2209712</v>
      </c>
      <c r="C848" s="944">
        <f>IF(A848='Data Entry - SOF'!B$2,'Report-SOF1718'!D$102,0)</f>
        <v>0</v>
      </c>
      <c r="D848" s="1037">
        <f>IF(A848='Data Entry - SOF'!B$2,'Data Entry - SOF'!#REF!,0)</f>
        <v>0</v>
      </c>
      <c r="E848" s="91">
        <f t="shared" si="78"/>
        <v>2209712</v>
      </c>
      <c r="F848" s="944">
        <f>IF(A848='Data Entry - SOF'!B$2,'Report-SOF1819'!D$102,0)</f>
        <v>0</v>
      </c>
      <c r="G848" s="1037">
        <f>IF(A848='Data Entry - SOF'!B$2,'Data Entry - SOF'!E$102,0)</f>
        <v>0</v>
      </c>
      <c r="H848" s="1038">
        <f t="shared" si="80"/>
        <v>2209712</v>
      </c>
      <c r="I848" s="944">
        <f>IF(A848='Data Entry - SOF'!B$2,'Report-SOF1920-HB3'!D$102,0)</f>
        <v>0</v>
      </c>
      <c r="J848" s="1037">
        <f>IF(A848='Data Entry - SOF'!B$2,'Data Entry - SOF'!G$102,0)</f>
        <v>0</v>
      </c>
      <c r="K848" s="717">
        <f t="shared" si="81"/>
        <v>2209712</v>
      </c>
      <c r="L848" s="944">
        <f>IF(A848='Data Entry - SOF'!B$2,'Report-SOF2021'!D$99,0)</f>
        <v>0</v>
      </c>
      <c r="M848" s="723">
        <f>IF(A848='Data Entry - SOF'!B$2,'Data Entry - SOF'!M$102,0)</f>
        <v>0</v>
      </c>
      <c r="N848" s="717">
        <f t="shared" si="82"/>
        <v>2209712</v>
      </c>
      <c r="O848" s="944">
        <f>IF(A848='Data Entry - SOF'!B$2,'Report-SOF2122'!D$91,0)</f>
        <v>0</v>
      </c>
      <c r="P848" s="723">
        <f>IF(A848='Data Entry - SOF'!B$2,'Data Entry - SOF'!O$102,0)</f>
        <v>0</v>
      </c>
      <c r="Q848" s="601">
        <f t="shared" si="79"/>
        <v>2209712</v>
      </c>
      <c r="R848" s="944">
        <f>IF(A848='Data Entry - SOF'!B$2,'Report-SOF2223'!D$91,0)</f>
        <v>0</v>
      </c>
      <c r="S848" s="723">
        <f>IF(A848='Data Entry - SOF'!B$2,'Data Entry - SOF'!Q$102,0)</f>
        <v>0</v>
      </c>
      <c r="T848" s="601">
        <f t="shared" si="83"/>
        <v>2209712</v>
      </c>
      <c r="U848" s="944">
        <f>IF(A848='Data Entry - SOF'!B$2,'Report-SOF2324'!D$91,0)</f>
        <v>0</v>
      </c>
      <c r="V848" s="723">
        <f>IF(A848='Data Entry - SOF'!B$2,'Data Entry - SOF'!S$102,0)</f>
        <v>0</v>
      </c>
    </row>
    <row r="849" spans="1:22" ht="15.75">
      <c r="A849" s="382" t="s">
        <v>1090</v>
      </c>
      <c r="B849" s="91">
        <v>940612</v>
      </c>
      <c r="C849" s="944">
        <f>IF(A849='Data Entry - SOF'!B$2,'Report-SOF1718'!D$102,0)</f>
        <v>0</v>
      </c>
      <c r="D849" s="1037">
        <f>IF(A849='Data Entry - SOF'!B$2,'Data Entry - SOF'!#REF!,0)</f>
        <v>0</v>
      </c>
      <c r="E849" s="91">
        <f t="shared" si="78"/>
        <v>940612</v>
      </c>
      <c r="F849" s="944">
        <f>IF(A849='Data Entry - SOF'!B$2,'Report-SOF1819'!D$102,0)</f>
        <v>0</v>
      </c>
      <c r="G849" s="1037">
        <f>IF(A849='Data Entry - SOF'!B$2,'Data Entry - SOF'!E$102,0)</f>
        <v>0</v>
      </c>
      <c r="H849" s="1038">
        <f t="shared" si="80"/>
        <v>940612</v>
      </c>
      <c r="I849" s="944">
        <f>IF(A849='Data Entry - SOF'!B$2,'Report-SOF1920-HB3'!D$102,0)</f>
        <v>0</v>
      </c>
      <c r="J849" s="1037">
        <f>IF(A849='Data Entry - SOF'!B$2,'Data Entry - SOF'!G$102,0)</f>
        <v>0</v>
      </c>
      <c r="K849" s="717">
        <f t="shared" si="81"/>
        <v>940612</v>
      </c>
      <c r="L849" s="944">
        <f>IF(A849='Data Entry - SOF'!B$2,'Report-SOF2021'!D$99,0)</f>
        <v>0</v>
      </c>
      <c r="M849" s="723">
        <f>IF(A849='Data Entry - SOF'!B$2,'Data Entry - SOF'!M$102,0)</f>
        <v>0</v>
      </c>
      <c r="N849" s="717">
        <f t="shared" si="82"/>
        <v>940612</v>
      </c>
      <c r="O849" s="944">
        <f>IF(A849='Data Entry - SOF'!B$2,'Report-SOF2122'!D$91,0)</f>
        <v>0</v>
      </c>
      <c r="P849" s="723">
        <f>IF(A849='Data Entry - SOF'!B$2,'Data Entry - SOF'!O$102,0)</f>
        <v>0</v>
      </c>
      <c r="Q849" s="601">
        <f t="shared" si="79"/>
        <v>940612</v>
      </c>
      <c r="R849" s="944">
        <f>IF(A849='Data Entry - SOF'!B$2,'Report-SOF2223'!D$91,0)</f>
        <v>0</v>
      </c>
      <c r="S849" s="723">
        <f>IF(A849='Data Entry - SOF'!B$2,'Data Entry - SOF'!Q$102,0)</f>
        <v>0</v>
      </c>
      <c r="T849" s="601">
        <f t="shared" si="83"/>
        <v>940612</v>
      </c>
      <c r="U849" s="944">
        <f>IF(A849='Data Entry - SOF'!B$2,'Report-SOF2324'!D$91,0)</f>
        <v>0</v>
      </c>
      <c r="V849" s="723">
        <f>IF(A849='Data Entry - SOF'!B$2,'Data Entry - SOF'!S$102,0)</f>
        <v>0</v>
      </c>
    </row>
    <row r="850" spans="1:22" ht="15.75">
      <c r="A850" s="382" t="s">
        <v>1091</v>
      </c>
      <c r="B850" s="91">
        <v>1215084</v>
      </c>
      <c r="C850" s="944">
        <f>IF(A850='Data Entry - SOF'!B$2,'Report-SOF1718'!D$102,0)</f>
        <v>0</v>
      </c>
      <c r="D850" s="1037">
        <f>IF(A850='Data Entry - SOF'!B$2,'Data Entry - SOF'!#REF!,0)</f>
        <v>0</v>
      </c>
      <c r="E850" s="91">
        <f t="shared" si="78"/>
        <v>1215084</v>
      </c>
      <c r="F850" s="944">
        <f>IF(A850='Data Entry - SOF'!B$2,'Report-SOF1819'!D$102,0)</f>
        <v>0</v>
      </c>
      <c r="G850" s="1037">
        <f>IF(A850='Data Entry - SOF'!B$2,'Data Entry - SOF'!E$102,0)</f>
        <v>0</v>
      </c>
      <c r="H850" s="1038">
        <f t="shared" si="80"/>
        <v>1215084</v>
      </c>
      <c r="I850" s="944">
        <f>IF(A850='Data Entry - SOF'!B$2,'Report-SOF1920-HB3'!D$102,0)</f>
        <v>0</v>
      </c>
      <c r="J850" s="1037">
        <f>IF(A850='Data Entry - SOF'!B$2,'Data Entry - SOF'!G$102,0)</f>
        <v>0</v>
      </c>
      <c r="K850" s="717">
        <f t="shared" si="81"/>
        <v>1215084</v>
      </c>
      <c r="L850" s="944">
        <f>IF(A850='Data Entry - SOF'!B$2,'Report-SOF2021'!D$99,0)</f>
        <v>0</v>
      </c>
      <c r="M850" s="723">
        <f>IF(A850='Data Entry - SOF'!B$2,'Data Entry - SOF'!M$102,0)</f>
        <v>0</v>
      </c>
      <c r="N850" s="717">
        <f t="shared" si="82"/>
        <v>1215084</v>
      </c>
      <c r="O850" s="944">
        <f>IF(A850='Data Entry - SOF'!B$2,'Report-SOF2122'!D$91,0)</f>
        <v>0</v>
      </c>
      <c r="P850" s="723">
        <f>IF(A850='Data Entry - SOF'!B$2,'Data Entry - SOF'!O$102,0)</f>
        <v>0</v>
      </c>
      <c r="Q850" s="601">
        <f t="shared" si="79"/>
        <v>1215084</v>
      </c>
      <c r="R850" s="944">
        <f>IF(A850='Data Entry - SOF'!B$2,'Report-SOF2223'!D$91,0)</f>
        <v>0</v>
      </c>
      <c r="S850" s="723">
        <f>IF(A850='Data Entry - SOF'!B$2,'Data Entry - SOF'!Q$102,0)</f>
        <v>0</v>
      </c>
      <c r="T850" s="601">
        <f t="shared" si="83"/>
        <v>1215084</v>
      </c>
      <c r="U850" s="944">
        <f>IF(A850='Data Entry - SOF'!B$2,'Report-SOF2324'!D$91,0)</f>
        <v>0</v>
      </c>
      <c r="V850" s="723">
        <f>IF(A850='Data Entry - SOF'!B$2,'Data Entry - SOF'!S$102,0)</f>
        <v>0</v>
      </c>
    </row>
    <row r="851" spans="1:22" ht="15.75">
      <c r="A851" s="382" t="s">
        <v>1238</v>
      </c>
      <c r="B851" s="91">
        <v>936110</v>
      </c>
      <c r="C851" s="944">
        <f>IF(A851='Data Entry - SOF'!B$2,'Report-SOF1718'!D$102,0)</f>
        <v>0</v>
      </c>
      <c r="D851" s="1037">
        <f>IF(A851='Data Entry - SOF'!B$2,'Data Entry - SOF'!#REF!,0)</f>
        <v>0</v>
      </c>
      <c r="E851" s="91">
        <f t="shared" si="78"/>
        <v>936110</v>
      </c>
      <c r="F851" s="944">
        <f>IF(A851='Data Entry - SOF'!B$2,'Report-SOF1819'!D$102,0)</f>
        <v>0</v>
      </c>
      <c r="G851" s="1037">
        <f>IF(A851='Data Entry - SOF'!B$2,'Data Entry - SOF'!E$102,0)</f>
        <v>0</v>
      </c>
      <c r="H851" s="1038">
        <f t="shared" si="80"/>
        <v>936110</v>
      </c>
      <c r="I851" s="944">
        <f>IF(A851='Data Entry - SOF'!B$2,'Report-SOF1920-HB3'!D$102,0)</f>
        <v>0</v>
      </c>
      <c r="J851" s="1037">
        <f>IF(A851='Data Entry - SOF'!B$2,'Data Entry - SOF'!G$102,0)</f>
        <v>0</v>
      </c>
      <c r="K851" s="717">
        <f t="shared" si="81"/>
        <v>936110</v>
      </c>
      <c r="L851" s="944">
        <f>IF(A851='Data Entry - SOF'!B$2,'Report-SOF2021'!D$99,0)</f>
        <v>0</v>
      </c>
      <c r="M851" s="723">
        <f>IF(A851='Data Entry - SOF'!B$2,'Data Entry - SOF'!M$102,0)</f>
        <v>0</v>
      </c>
      <c r="N851" s="717">
        <f t="shared" si="82"/>
        <v>936110</v>
      </c>
      <c r="O851" s="944">
        <f>IF(A851='Data Entry - SOF'!B$2,'Report-SOF2122'!D$91,0)</f>
        <v>0</v>
      </c>
      <c r="P851" s="723">
        <f>IF(A851='Data Entry - SOF'!B$2,'Data Entry - SOF'!O$102,0)</f>
        <v>0</v>
      </c>
      <c r="Q851" s="601">
        <f t="shared" si="79"/>
        <v>936110</v>
      </c>
      <c r="R851" s="944">
        <f>IF(A851='Data Entry - SOF'!B$2,'Report-SOF2223'!D$91,0)</f>
        <v>0</v>
      </c>
      <c r="S851" s="723">
        <f>IF(A851='Data Entry - SOF'!B$2,'Data Entry - SOF'!Q$102,0)</f>
        <v>0</v>
      </c>
      <c r="T851" s="601">
        <f t="shared" si="83"/>
        <v>936110</v>
      </c>
      <c r="U851" s="944">
        <f>IF(A851='Data Entry - SOF'!B$2,'Report-SOF2324'!D$91,0)</f>
        <v>0</v>
      </c>
      <c r="V851" s="723">
        <f>IF(A851='Data Entry - SOF'!B$2,'Data Entry - SOF'!S$102,0)</f>
        <v>0</v>
      </c>
    </row>
    <row r="852" spans="1:22" ht="15.75">
      <c r="A852" s="382" t="s">
        <v>1239</v>
      </c>
      <c r="B852" s="91">
        <v>2090799</v>
      </c>
      <c r="C852" s="944">
        <f>IF(A852='Data Entry - SOF'!B$2,'Report-SOF1718'!D$102,0)</f>
        <v>0</v>
      </c>
      <c r="D852" s="1037">
        <f>IF(A852='Data Entry - SOF'!B$2,'Data Entry - SOF'!#REF!,0)</f>
        <v>0</v>
      </c>
      <c r="E852" s="91">
        <f t="shared" si="78"/>
        <v>2090799</v>
      </c>
      <c r="F852" s="944">
        <f>IF(A852='Data Entry - SOF'!B$2,'Report-SOF1819'!D$102,0)</f>
        <v>0</v>
      </c>
      <c r="G852" s="1037">
        <f>IF(A852='Data Entry - SOF'!B$2,'Data Entry - SOF'!E$102,0)</f>
        <v>0</v>
      </c>
      <c r="H852" s="1038">
        <f t="shared" si="80"/>
        <v>2090799</v>
      </c>
      <c r="I852" s="944">
        <f>IF(A852='Data Entry - SOF'!B$2,'Report-SOF1920-HB3'!D$102,0)</f>
        <v>0</v>
      </c>
      <c r="J852" s="1037">
        <f>IF(A852='Data Entry - SOF'!B$2,'Data Entry - SOF'!G$102,0)</f>
        <v>0</v>
      </c>
      <c r="K852" s="717">
        <f t="shared" si="81"/>
        <v>2090799</v>
      </c>
      <c r="L852" s="944">
        <f>IF(A852='Data Entry - SOF'!B$2,'Report-SOF2021'!D$99,0)</f>
        <v>0</v>
      </c>
      <c r="M852" s="723">
        <f>IF(A852='Data Entry - SOF'!B$2,'Data Entry - SOF'!M$102,0)</f>
        <v>0</v>
      </c>
      <c r="N852" s="717">
        <f t="shared" si="82"/>
        <v>2090799</v>
      </c>
      <c r="O852" s="944">
        <f>IF(A852='Data Entry - SOF'!B$2,'Report-SOF2122'!D$91,0)</f>
        <v>0</v>
      </c>
      <c r="P852" s="723">
        <f>IF(A852='Data Entry - SOF'!B$2,'Data Entry - SOF'!O$102,0)</f>
        <v>0</v>
      </c>
      <c r="Q852" s="601">
        <f t="shared" si="79"/>
        <v>2090799</v>
      </c>
      <c r="R852" s="944">
        <f>IF(A852='Data Entry - SOF'!B$2,'Report-SOF2223'!D$91,0)</f>
        <v>0</v>
      </c>
      <c r="S852" s="723">
        <f>IF(A852='Data Entry - SOF'!B$2,'Data Entry - SOF'!Q$102,0)</f>
        <v>0</v>
      </c>
      <c r="T852" s="601">
        <f t="shared" si="83"/>
        <v>2090799</v>
      </c>
      <c r="U852" s="944">
        <f>IF(A852='Data Entry - SOF'!B$2,'Report-SOF2324'!D$91,0)</f>
        <v>0</v>
      </c>
      <c r="V852" s="723">
        <f>IF(A852='Data Entry - SOF'!B$2,'Data Entry - SOF'!S$102,0)</f>
        <v>0</v>
      </c>
    </row>
    <row r="853" spans="1:22" ht="15.75">
      <c r="A853" s="382" t="s">
        <v>1801</v>
      </c>
      <c r="B853" s="91">
        <v>1857273</v>
      </c>
      <c r="C853" s="944">
        <f>IF(A853='Data Entry - SOF'!B$2,'Report-SOF1718'!D$102,0)</f>
        <v>0</v>
      </c>
      <c r="D853" s="1037">
        <f>IF(A853='Data Entry - SOF'!B$2,'Data Entry - SOF'!#REF!,0)</f>
        <v>0</v>
      </c>
      <c r="E853" s="91">
        <f t="shared" si="78"/>
        <v>1857273</v>
      </c>
      <c r="F853" s="944">
        <f>IF(A853='Data Entry - SOF'!B$2,'Report-SOF1819'!D$102,0)</f>
        <v>0</v>
      </c>
      <c r="G853" s="1037">
        <f>IF(A853='Data Entry - SOF'!B$2,'Data Entry - SOF'!E$102,0)</f>
        <v>0</v>
      </c>
      <c r="H853" s="1038">
        <f t="shared" si="80"/>
        <v>1857273</v>
      </c>
      <c r="I853" s="944">
        <f>IF(A853='Data Entry - SOF'!B$2,'Report-SOF1920-HB3'!D$102,0)</f>
        <v>0</v>
      </c>
      <c r="J853" s="1037">
        <f>IF(A853='Data Entry - SOF'!B$2,'Data Entry - SOF'!G$102,0)</f>
        <v>0</v>
      </c>
      <c r="K853" s="717">
        <f t="shared" si="81"/>
        <v>1857273</v>
      </c>
      <c r="L853" s="944">
        <f>IF(A853='Data Entry - SOF'!B$2,'Report-SOF2021'!D$99,0)</f>
        <v>0</v>
      </c>
      <c r="M853" s="723">
        <f>IF(A853='Data Entry - SOF'!B$2,'Data Entry - SOF'!M$102,0)</f>
        <v>0</v>
      </c>
      <c r="N853" s="717">
        <f t="shared" si="82"/>
        <v>1857273</v>
      </c>
      <c r="O853" s="944">
        <f>IF(A853='Data Entry - SOF'!B$2,'Report-SOF2122'!D$91,0)</f>
        <v>0</v>
      </c>
      <c r="P853" s="723">
        <f>IF(A853='Data Entry - SOF'!B$2,'Data Entry - SOF'!O$102,0)</f>
        <v>0</v>
      </c>
      <c r="Q853" s="601">
        <f t="shared" si="79"/>
        <v>1857273</v>
      </c>
      <c r="R853" s="944">
        <f>IF(A853='Data Entry - SOF'!B$2,'Report-SOF2223'!D$91,0)</f>
        <v>0</v>
      </c>
      <c r="S853" s="723">
        <f>IF(A853='Data Entry - SOF'!B$2,'Data Entry - SOF'!Q$102,0)</f>
        <v>0</v>
      </c>
      <c r="T853" s="601">
        <f t="shared" si="83"/>
        <v>1857273</v>
      </c>
      <c r="U853" s="944">
        <f>IF(A853='Data Entry - SOF'!B$2,'Report-SOF2324'!D$91,0)</f>
        <v>0</v>
      </c>
      <c r="V853" s="723">
        <f>IF(A853='Data Entry - SOF'!B$2,'Data Entry - SOF'!S$102,0)</f>
        <v>0</v>
      </c>
    </row>
    <row r="854" spans="1:22" ht="15.75">
      <c r="A854" s="382" t="s">
        <v>274</v>
      </c>
      <c r="B854" s="91">
        <v>1870738</v>
      </c>
      <c r="C854" s="944">
        <f>IF(A854='Data Entry - SOF'!B$2,'Report-SOF1718'!D$102,0)</f>
        <v>0</v>
      </c>
      <c r="D854" s="1037">
        <f>IF(A854='Data Entry - SOF'!B$2,'Data Entry - SOF'!#REF!,0)</f>
        <v>0</v>
      </c>
      <c r="E854" s="91">
        <f t="shared" si="78"/>
        <v>1870738</v>
      </c>
      <c r="F854" s="944">
        <f>IF(A854='Data Entry - SOF'!B$2,'Report-SOF1819'!D$102,0)</f>
        <v>0</v>
      </c>
      <c r="G854" s="1037">
        <f>IF(A854='Data Entry - SOF'!B$2,'Data Entry - SOF'!E$102,0)</f>
        <v>0</v>
      </c>
      <c r="H854" s="1038">
        <f t="shared" si="80"/>
        <v>1870738</v>
      </c>
      <c r="I854" s="944">
        <f>IF(A854='Data Entry - SOF'!B$2,'Report-SOF1920-HB3'!D$102,0)</f>
        <v>0</v>
      </c>
      <c r="J854" s="1037">
        <f>IF(A854='Data Entry - SOF'!B$2,'Data Entry - SOF'!G$102,0)</f>
        <v>0</v>
      </c>
      <c r="K854" s="717">
        <f t="shared" si="81"/>
        <v>1870738</v>
      </c>
      <c r="L854" s="944">
        <f>IF(A854='Data Entry - SOF'!B$2,'Report-SOF2021'!D$99,0)</f>
        <v>0</v>
      </c>
      <c r="M854" s="723">
        <f>IF(A854='Data Entry - SOF'!B$2,'Data Entry - SOF'!M$102,0)</f>
        <v>0</v>
      </c>
      <c r="N854" s="717">
        <f t="shared" si="82"/>
        <v>1870738</v>
      </c>
      <c r="O854" s="944">
        <f>IF(A854='Data Entry - SOF'!B$2,'Report-SOF2122'!D$91,0)</f>
        <v>0</v>
      </c>
      <c r="P854" s="723">
        <f>IF(A854='Data Entry - SOF'!B$2,'Data Entry - SOF'!O$102,0)</f>
        <v>0</v>
      </c>
      <c r="Q854" s="601">
        <f t="shared" si="79"/>
        <v>1870738</v>
      </c>
      <c r="R854" s="944">
        <f>IF(A854='Data Entry - SOF'!B$2,'Report-SOF2223'!D$91,0)</f>
        <v>0</v>
      </c>
      <c r="S854" s="723">
        <f>IF(A854='Data Entry - SOF'!B$2,'Data Entry - SOF'!Q$102,0)</f>
        <v>0</v>
      </c>
      <c r="T854" s="601">
        <f t="shared" si="83"/>
        <v>1870738</v>
      </c>
      <c r="U854" s="944">
        <f>IF(A854='Data Entry - SOF'!B$2,'Report-SOF2324'!D$91,0)</f>
        <v>0</v>
      </c>
      <c r="V854" s="723">
        <f>IF(A854='Data Entry - SOF'!B$2,'Data Entry - SOF'!S$102,0)</f>
        <v>0</v>
      </c>
    </row>
    <row r="855" spans="1:22" ht="15.75">
      <c r="A855" s="382" t="s">
        <v>1727</v>
      </c>
      <c r="B855" s="91">
        <v>16628136</v>
      </c>
      <c r="C855" s="944">
        <f>IF(A855='Data Entry - SOF'!B$2,'Report-SOF1718'!D$102,0)</f>
        <v>0</v>
      </c>
      <c r="D855" s="1037">
        <f>IF(A855='Data Entry - SOF'!B$2,'Data Entry - SOF'!#REF!,0)</f>
        <v>0</v>
      </c>
      <c r="E855" s="91">
        <f t="shared" si="78"/>
        <v>16628136</v>
      </c>
      <c r="F855" s="944">
        <f>IF(A855='Data Entry - SOF'!B$2,'Report-SOF1819'!D$102,0)</f>
        <v>0</v>
      </c>
      <c r="G855" s="1037">
        <f>IF(A855='Data Entry - SOF'!B$2,'Data Entry - SOF'!E$102,0)</f>
        <v>0</v>
      </c>
      <c r="H855" s="1038">
        <f t="shared" si="80"/>
        <v>16628136</v>
      </c>
      <c r="I855" s="944">
        <f>IF(A855='Data Entry - SOF'!B$2,'Report-SOF1920-HB3'!D$102,0)</f>
        <v>0</v>
      </c>
      <c r="J855" s="1037">
        <f>IF(A855='Data Entry - SOF'!B$2,'Data Entry - SOF'!G$102,0)</f>
        <v>0</v>
      </c>
      <c r="K855" s="717">
        <f t="shared" si="81"/>
        <v>16628136</v>
      </c>
      <c r="L855" s="944">
        <f>IF(A855='Data Entry - SOF'!B$2,'Report-SOF2021'!D$99,0)</f>
        <v>0</v>
      </c>
      <c r="M855" s="723">
        <f>IF(A855='Data Entry - SOF'!B$2,'Data Entry - SOF'!M$102,0)</f>
        <v>0</v>
      </c>
      <c r="N855" s="717">
        <f t="shared" si="82"/>
        <v>16628136</v>
      </c>
      <c r="O855" s="944">
        <f>IF(A855='Data Entry - SOF'!B$2,'Report-SOF2122'!D$91,0)</f>
        <v>0</v>
      </c>
      <c r="P855" s="723">
        <f>IF(A855='Data Entry - SOF'!B$2,'Data Entry - SOF'!O$102,0)</f>
        <v>0</v>
      </c>
      <c r="Q855" s="601">
        <f t="shared" si="79"/>
        <v>16628136</v>
      </c>
      <c r="R855" s="944">
        <f>IF(A855='Data Entry - SOF'!B$2,'Report-SOF2223'!D$91,0)</f>
        <v>0</v>
      </c>
      <c r="S855" s="723">
        <f>IF(A855='Data Entry - SOF'!B$2,'Data Entry - SOF'!Q$102,0)</f>
        <v>0</v>
      </c>
      <c r="T855" s="601">
        <f t="shared" si="83"/>
        <v>16628136</v>
      </c>
      <c r="U855" s="944">
        <f>IF(A855='Data Entry - SOF'!B$2,'Report-SOF2324'!D$91,0)</f>
        <v>0</v>
      </c>
      <c r="V855" s="723">
        <f>IF(A855='Data Entry - SOF'!B$2,'Data Entry - SOF'!S$102,0)</f>
        <v>0</v>
      </c>
    </row>
    <row r="856" spans="1:22" ht="15.75">
      <c r="A856" s="382" t="s">
        <v>1728</v>
      </c>
      <c r="B856" s="91">
        <v>12154542</v>
      </c>
      <c r="C856" s="944">
        <f>IF(A856='Data Entry - SOF'!B$2,'Report-SOF1718'!D$102,0)</f>
        <v>0</v>
      </c>
      <c r="D856" s="1037">
        <f>IF(A856='Data Entry - SOF'!B$2,'Data Entry - SOF'!#REF!,0)</f>
        <v>0</v>
      </c>
      <c r="E856" s="91">
        <f t="shared" si="78"/>
        <v>12154542</v>
      </c>
      <c r="F856" s="944">
        <f>IF(A856='Data Entry - SOF'!B$2,'Report-SOF1819'!D$102,0)</f>
        <v>0</v>
      </c>
      <c r="G856" s="1037">
        <f>IF(A856='Data Entry - SOF'!B$2,'Data Entry - SOF'!E$102,0)</f>
        <v>0</v>
      </c>
      <c r="H856" s="1038">
        <f t="shared" si="80"/>
        <v>12154542</v>
      </c>
      <c r="I856" s="944">
        <f>IF(A856='Data Entry - SOF'!B$2,'Report-SOF1920-HB3'!D$102,0)</f>
        <v>0</v>
      </c>
      <c r="J856" s="1037">
        <f>IF(A856='Data Entry - SOF'!B$2,'Data Entry - SOF'!G$102,0)</f>
        <v>0</v>
      </c>
      <c r="K856" s="717">
        <f t="shared" si="81"/>
        <v>12154542</v>
      </c>
      <c r="L856" s="944">
        <f>IF(A856='Data Entry - SOF'!B$2,'Report-SOF2021'!D$99,0)</f>
        <v>0</v>
      </c>
      <c r="M856" s="723">
        <f>IF(A856='Data Entry - SOF'!B$2,'Data Entry - SOF'!M$102,0)</f>
        <v>0</v>
      </c>
      <c r="N856" s="717">
        <f t="shared" si="82"/>
        <v>12154542</v>
      </c>
      <c r="O856" s="944">
        <f>IF(A856='Data Entry - SOF'!B$2,'Report-SOF2122'!D$91,0)</f>
        <v>0</v>
      </c>
      <c r="P856" s="723">
        <f>IF(A856='Data Entry - SOF'!B$2,'Data Entry - SOF'!O$102,0)</f>
        <v>0</v>
      </c>
      <c r="Q856" s="601">
        <f t="shared" si="79"/>
        <v>12154542</v>
      </c>
      <c r="R856" s="944">
        <f>IF(A856='Data Entry - SOF'!B$2,'Report-SOF2223'!D$91,0)</f>
        <v>0</v>
      </c>
      <c r="S856" s="723">
        <f>IF(A856='Data Entry - SOF'!B$2,'Data Entry - SOF'!Q$102,0)</f>
        <v>0</v>
      </c>
      <c r="T856" s="601">
        <f t="shared" si="83"/>
        <v>12154542</v>
      </c>
      <c r="U856" s="944">
        <f>IF(A856='Data Entry - SOF'!B$2,'Report-SOF2324'!D$91,0)</f>
        <v>0</v>
      </c>
      <c r="V856" s="723">
        <f>IF(A856='Data Entry - SOF'!B$2,'Data Entry - SOF'!S$102,0)</f>
        <v>0</v>
      </c>
    </row>
    <row r="857" spans="1:22" ht="15.75">
      <c r="A857" s="382" t="s">
        <v>1006</v>
      </c>
      <c r="B857" s="91">
        <v>2310369</v>
      </c>
      <c r="C857" s="944">
        <f>IF(A857='Data Entry - SOF'!B$2,'Report-SOF1718'!D$102,0)</f>
        <v>0</v>
      </c>
      <c r="D857" s="1037">
        <f>IF(A857='Data Entry - SOF'!B$2,'Data Entry - SOF'!#REF!,0)</f>
        <v>0</v>
      </c>
      <c r="E857" s="91">
        <f t="shared" si="78"/>
        <v>2310369</v>
      </c>
      <c r="F857" s="944">
        <f>IF(A857='Data Entry - SOF'!B$2,'Report-SOF1819'!D$102,0)</f>
        <v>0</v>
      </c>
      <c r="G857" s="1037">
        <f>IF(A857='Data Entry - SOF'!B$2,'Data Entry - SOF'!E$102,0)</f>
        <v>0</v>
      </c>
      <c r="H857" s="1038">
        <f t="shared" si="80"/>
        <v>2310369</v>
      </c>
      <c r="I857" s="944">
        <f>IF(A857='Data Entry - SOF'!B$2,'Report-SOF1920-HB3'!D$102,0)</f>
        <v>0</v>
      </c>
      <c r="J857" s="1037">
        <f>IF(A857='Data Entry - SOF'!B$2,'Data Entry - SOF'!G$102,0)</f>
        <v>0</v>
      </c>
      <c r="K857" s="717">
        <f t="shared" si="81"/>
        <v>2310369</v>
      </c>
      <c r="L857" s="944">
        <f>IF(A857='Data Entry - SOF'!B$2,'Report-SOF2021'!D$99,0)</f>
        <v>0</v>
      </c>
      <c r="M857" s="723">
        <f>IF(A857='Data Entry - SOF'!B$2,'Data Entry - SOF'!M$102,0)</f>
        <v>0</v>
      </c>
      <c r="N857" s="717">
        <f t="shared" si="82"/>
        <v>2310369</v>
      </c>
      <c r="O857" s="944">
        <f>IF(A857='Data Entry - SOF'!B$2,'Report-SOF2122'!D$91,0)</f>
        <v>0</v>
      </c>
      <c r="P857" s="723">
        <f>IF(A857='Data Entry - SOF'!B$2,'Data Entry - SOF'!O$102,0)</f>
        <v>0</v>
      </c>
      <c r="Q857" s="601">
        <f t="shared" si="79"/>
        <v>2310369</v>
      </c>
      <c r="R857" s="944">
        <f>IF(A857='Data Entry - SOF'!B$2,'Report-SOF2223'!D$91,0)</f>
        <v>0</v>
      </c>
      <c r="S857" s="723">
        <f>IF(A857='Data Entry - SOF'!B$2,'Data Entry - SOF'!Q$102,0)</f>
        <v>0</v>
      </c>
      <c r="T857" s="601">
        <f t="shared" si="83"/>
        <v>2310369</v>
      </c>
      <c r="U857" s="944">
        <f>IF(A857='Data Entry - SOF'!B$2,'Report-SOF2324'!D$91,0)</f>
        <v>0</v>
      </c>
      <c r="V857" s="723">
        <f>IF(A857='Data Entry - SOF'!B$2,'Data Entry - SOF'!S$102,0)</f>
        <v>0</v>
      </c>
    </row>
    <row r="858" spans="1:22" ht="15.75">
      <c r="A858" s="382" t="s">
        <v>189</v>
      </c>
      <c r="B858" s="91">
        <v>143739314</v>
      </c>
      <c r="C858" s="944">
        <f>IF(A858='Data Entry - SOF'!B$2,'Report-SOF1718'!D$102,0)</f>
        <v>0</v>
      </c>
      <c r="D858" s="1037">
        <f>IF(A858='Data Entry - SOF'!B$2,'Data Entry - SOF'!#REF!,0)</f>
        <v>0</v>
      </c>
      <c r="E858" s="91">
        <f t="shared" si="78"/>
        <v>143739314</v>
      </c>
      <c r="F858" s="944">
        <f>IF(A858='Data Entry - SOF'!B$2,'Report-SOF1819'!D$102,0)</f>
        <v>0</v>
      </c>
      <c r="G858" s="1037">
        <f>IF(A858='Data Entry - SOF'!B$2,'Data Entry - SOF'!E$102,0)</f>
        <v>0</v>
      </c>
      <c r="H858" s="1038">
        <f t="shared" si="80"/>
        <v>143739314</v>
      </c>
      <c r="I858" s="944">
        <f>IF(A858='Data Entry - SOF'!B$2,'Report-SOF1920-HB3'!D$102,0)</f>
        <v>0</v>
      </c>
      <c r="J858" s="1037">
        <f>IF(A858='Data Entry - SOF'!B$2,'Data Entry - SOF'!G$102,0)</f>
        <v>0</v>
      </c>
      <c r="K858" s="717">
        <f t="shared" si="81"/>
        <v>143739314</v>
      </c>
      <c r="L858" s="944">
        <f>IF(A858='Data Entry - SOF'!B$2,'Report-SOF2021'!D$99,0)</f>
        <v>0</v>
      </c>
      <c r="M858" s="723">
        <f>IF(A858='Data Entry - SOF'!B$2,'Data Entry - SOF'!M$102,0)</f>
        <v>0</v>
      </c>
      <c r="N858" s="717">
        <f t="shared" si="82"/>
        <v>143739314</v>
      </c>
      <c r="O858" s="944">
        <f>IF(A858='Data Entry - SOF'!B$2,'Report-SOF2122'!D$91,0)</f>
        <v>0</v>
      </c>
      <c r="P858" s="723">
        <f>IF(A858='Data Entry - SOF'!B$2,'Data Entry - SOF'!O$102,0)</f>
        <v>0</v>
      </c>
      <c r="Q858" s="601">
        <f t="shared" si="79"/>
        <v>143739314</v>
      </c>
      <c r="R858" s="944">
        <f>IF(A858='Data Entry - SOF'!B$2,'Report-SOF2223'!D$91,0)</f>
        <v>0</v>
      </c>
      <c r="S858" s="723">
        <f>IF(A858='Data Entry - SOF'!B$2,'Data Entry - SOF'!Q$102,0)</f>
        <v>0</v>
      </c>
      <c r="T858" s="601">
        <f t="shared" si="83"/>
        <v>143739314</v>
      </c>
      <c r="U858" s="944">
        <f>IF(A858='Data Entry - SOF'!B$2,'Report-SOF2324'!D$91,0)</f>
        <v>0</v>
      </c>
      <c r="V858" s="723">
        <f>IF(A858='Data Entry - SOF'!B$2,'Data Entry - SOF'!S$102,0)</f>
        <v>0</v>
      </c>
    </row>
    <row r="859" spans="1:22" ht="15.75">
      <c r="A859" s="382" t="s">
        <v>1181</v>
      </c>
      <c r="B859" s="91">
        <v>8421254</v>
      </c>
      <c r="C859" s="944">
        <f>IF(A859='Data Entry - SOF'!B$2,'Report-SOF1718'!D$102,0)</f>
        <v>0</v>
      </c>
      <c r="D859" s="1037">
        <f>IF(A859='Data Entry - SOF'!B$2,'Data Entry - SOF'!#REF!,0)</f>
        <v>0</v>
      </c>
      <c r="E859" s="91">
        <f t="shared" si="78"/>
        <v>8421254</v>
      </c>
      <c r="F859" s="944">
        <f>IF(A859='Data Entry - SOF'!B$2,'Report-SOF1819'!D$102,0)</f>
        <v>0</v>
      </c>
      <c r="G859" s="1037">
        <f>IF(A859='Data Entry - SOF'!B$2,'Data Entry - SOF'!E$102,0)</f>
        <v>0</v>
      </c>
      <c r="H859" s="1038">
        <f t="shared" si="80"/>
        <v>8421254</v>
      </c>
      <c r="I859" s="944">
        <f>IF(A859='Data Entry - SOF'!B$2,'Report-SOF1920-HB3'!D$102,0)</f>
        <v>0</v>
      </c>
      <c r="J859" s="1037">
        <f>IF(A859='Data Entry - SOF'!B$2,'Data Entry - SOF'!G$102,0)</f>
        <v>0</v>
      </c>
      <c r="K859" s="717">
        <f t="shared" si="81"/>
        <v>8421254</v>
      </c>
      <c r="L859" s="944">
        <f>IF(A859='Data Entry - SOF'!B$2,'Report-SOF2021'!D$99,0)</f>
        <v>0</v>
      </c>
      <c r="M859" s="723">
        <f>IF(A859='Data Entry - SOF'!B$2,'Data Entry - SOF'!M$102,0)</f>
        <v>0</v>
      </c>
      <c r="N859" s="717">
        <f t="shared" si="82"/>
        <v>8421254</v>
      </c>
      <c r="O859" s="944">
        <f>IF(A859='Data Entry - SOF'!B$2,'Report-SOF2122'!D$91,0)</f>
        <v>0</v>
      </c>
      <c r="P859" s="723">
        <f>IF(A859='Data Entry - SOF'!B$2,'Data Entry - SOF'!O$102,0)</f>
        <v>0</v>
      </c>
      <c r="Q859" s="601">
        <f t="shared" si="79"/>
        <v>8421254</v>
      </c>
      <c r="R859" s="944">
        <f>IF(A859='Data Entry - SOF'!B$2,'Report-SOF2223'!D$91,0)</f>
        <v>0</v>
      </c>
      <c r="S859" s="723">
        <f>IF(A859='Data Entry - SOF'!B$2,'Data Entry - SOF'!Q$102,0)</f>
        <v>0</v>
      </c>
      <c r="T859" s="601">
        <f t="shared" si="83"/>
        <v>8421254</v>
      </c>
      <c r="U859" s="944">
        <f>IF(A859='Data Entry - SOF'!B$2,'Report-SOF2324'!D$91,0)</f>
        <v>0</v>
      </c>
      <c r="V859" s="723">
        <f>IF(A859='Data Entry - SOF'!B$2,'Data Entry - SOF'!S$102,0)</f>
        <v>0</v>
      </c>
    </row>
    <row r="860" spans="1:22" ht="15.75">
      <c r="A860" s="382" t="s">
        <v>1340</v>
      </c>
      <c r="B860" s="91">
        <v>7994431</v>
      </c>
      <c r="C860" s="944">
        <f>IF(A860='Data Entry - SOF'!B$2,'Report-SOF1718'!D$102,0)</f>
        <v>0</v>
      </c>
      <c r="D860" s="1037">
        <f>IF(A860='Data Entry - SOF'!B$2,'Data Entry - SOF'!#REF!,0)</f>
        <v>0</v>
      </c>
      <c r="E860" s="91">
        <f t="shared" si="78"/>
        <v>7994431</v>
      </c>
      <c r="F860" s="944">
        <f>IF(A860='Data Entry - SOF'!B$2,'Report-SOF1819'!D$102,0)</f>
        <v>0</v>
      </c>
      <c r="G860" s="1037">
        <f>IF(A860='Data Entry - SOF'!B$2,'Data Entry - SOF'!E$102,0)</f>
        <v>0</v>
      </c>
      <c r="H860" s="1038">
        <f t="shared" si="80"/>
        <v>7994431</v>
      </c>
      <c r="I860" s="944">
        <f>IF(A860='Data Entry - SOF'!B$2,'Report-SOF1920-HB3'!D$102,0)</f>
        <v>0</v>
      </c>
      <c r="J860" s="1037">
        <f>IF(A860='Data Entry - SOF'!B$2,'Data Entry - SOF'!G$102,0)</f>
        <v>0</v>
      </c>
      <c r="K860" s="717">
        <f t="shared" si="81"/>
        <v>7994431</v>
      </c>
      <c r="L860" s="944">
        <f>IF(A860='Data Entry - SOF'!B$2,'Report-SOF2021'!D$99,0)</f>
        <v>0</v>
      </c>
      <c r="M860" s="723">
        <f>IF(A860='Data Entry - SOF'!B$2,'Data Entry - SOF'!M$102,0)</f>
        <v>0</v>
      </c>
      <c r="N860" s="717">
        <f t="shared" si="82"/>
        <v>7994431</v>
      </c>
      <c r="O860" s="944">
        <f>IF(A860='Data Entry - SOF'!B$2,'Report-SOF2122'!D$91,0)</f>
        <v>0</v>
      </c>
      <c r="P860" s="723">
        <f>IF(A860='Data Entry - SOF'!B$2,'Data Entry - SOF'!O$102,0)</f>
        <v>0</v>
      </c>
      <c r="Q860" s="601">
        <f t="shared" si="79"/>
        <v>7994431</v>
      </c>
      <c r="R860" s="944">
        <f>IF(A860='Data Entry - SOF'!B$2,'Report-SOF2223'!D$91,0)</f>
        <v>0</v>
      </c>
      <c r="S860" s="723">
        <f>IF(A860='Data Entry - SOF'!B$2,'Data Entry - SOF'!Q$102,0)</f>
        <v>0</v>
      </c>
      <c r="T860" s="601">
        <f t="shared" si="83"/>
        <v>7994431</v>
      </c>
      <c r="U860" s="944">
        <f>IF(A860='Data Entry - SOF'!B$2,'Report-SOF2324'!D$91,0)</f>
        <v>0</v>
      </c>
      <c r="V860" s="723">
        <f>IF(A860='Data Entry - SOF'!B$2,'Data Entry - SOF'!S$102,0)</f>
        <v>0</v>
      </c>
    </row>
    <row r="861" spans="1:22" ht="15.75">
      <c r="A861" s="382" t="s">
        <v>1341</v>
      </c>
      <c r="B861" s="91">
        <v>10243175</v>
      </c>
      <c r="C861" s="944">
        <f>IF(A861='Data Entry - SOF'!B$2,'Report-SOF1718'!D$102,0)</f>
        <v>0</v>
      </c>
      <c r="D861" s="1037">
        <f>IF(A861='Data Entry - SOF'!B$2,'Data Entry - SOF'!#REF!,0)</f>
        <v>0</v>
      </c>
      <c r="E861" s="91">
        <f t="shared" si="78"/>
        <v>10243175</v>
      </c>
      <c r="F861" s="944">
        <f>IF(A861='Data Entry - SOF'!B$2,'Report-SOF1819'!D$102,0)</f>
        <v>0</v>
      </c>
      <c r="G861" s="1037">
        <f>IF(A861='Data Entry - SOF'!B$2,'Data Entry - SOF'!E$102,0)</f>
        <v>0</v>
      </c>
      <c r="H861" s="1038">
        <f t="shared" si="80"/>
        <v>10243175</v>
      </c>
      <c r="I861" s="944">
        <f>IF(A861='Data Entry - SOF'!B$2,'Report-SOF1920-HB3'!D$102,0)</f>
        <v>0</v>
      </c>
      <c r="J861" s="1037">
        <f>IF(A861='Data Entry - SOF'!B$2,'Data Entry - SOF'!G$102,0)</f>
        <v>0</v>
      </c>
      <c r="K861" s="717">
        <f t="shared" si="81"/>
        <v>10243175</v>
      </c>
      <c r="L861" s="944">
        <f>IF(A861='Data Entry - SOF'!B$2,'Report-SOF2021'!D$99,0)</f>
        <v>0</v>
      </c>
      <c r="M861" s="723">
        <f>IF(A861='Data Entry - SOF'!B$2,'Data Entry - SOF'!M$102,0)</f>
        <v>0</v>
      </c>
      <c r="N861" s="717">
        <f t="shared" si="82"/>
        <v>10243175</v>
      </c>
      <c r="O861" s="944">
        <f>IF(A861='Data Entry - SOF'!B$2,'Report-SOF2122'!D$91,0)</f>
        <v>0</v>
      </c>
      <c r="P861" s="723">
        <f>IF(A861='Data Entry - SOF'!B$2,'Data Entry - SOF'!O$102,0)</f>
        <v>0</v>
      </c>
      <c r="Q861" s="601">
        <f t="shared" si="79"/>
        <v>10243175</v>
      </c>
      <c r="R861" s="944">
        <f>IF(A861='Data Entry - SOF'!B$2,'Report-SOF2223'!D$91,0)</f>
        <v>0</v>
      </c>
      <c r="S861" s="723">
        <f>IF(A861='Data Entry - SOF'!B$2,'Data Entry - SOF'!Q$102,0)</f>
        <v>0</v>
      </c>
      <c r="T861" s="601">
        <f t="shared" si="83"/>
        <v>10243175</v>
      </c>
      <c r="U861" s="944">
        <f>IF(A861='Data Entry - SOF'!B$2,'Report-SOF2324'!D$91,0)</f>
        <v>0</v>
      </c>
      <c r="V861" s="723">
        <f>IF(A861='Data Entry - SOF'!B$2,'Data Entry - SOF'!S$102,0)</f>
        <v>0</v>
      </c>
    </row>
    <row r="862" spans="1:22" ht="15.75">
      <c r="A862" s="382" t="s">
        <v>1342</v>
      </c>
      <c r="B862" s="91">
        <v>32777069</v>
      </c>
      <c r="C862" s="944">
        <f>IF(A862='Data Entry - SOF'!B$2,'Report-SOF1718'!D$102,0)</f>
        <v>0</v>
      </c>
      <c r="D862" s="1037">
        <f>IF(A862='Data Entry - SOF'!B$2,'Data Entry - SOF'!#REF!,0)</f>
        <v>0</v>
      </c>
      <c r="E862" s="91">
        <f t="shared" si="78"/>
        <v>32777069</v>
      </c>
      <c r="F862" s="944">
        <f>IF(A862='Data Entry - SOF'!B$2,'Report-SOF1819'!D$102,0)</f>
        <v>0</v>
      </c>
      <c r="G862" s="1037">
        <f>IF(A862='Data Entry - SOF'!B$2,'Data Entry - SOF'!E$102,0)</f>
        <v>0</v>
      </c>
      <c r="H862" s="1038">
        <f t="shared" si="80"/>
        <v>32777069</v>
      </c>
      <c r="I862" s="944">
        <f>IF(A862='Data Entry - SOF'!B$2,'Report-SOF1920-HB3'!D$102,0)</f>
        <v>0</v>
      </c>
      <c r="J862" s="1037">
        <f>IF(A862='Data Entry - SOF'!B$2,'Data Entry - SOF'!G$102,0)</f>
        <v>0</v>
      </c>
      <c r="K862" s="717">
        <f t="shared" si="81"/>
        <v>32777069</v>
      </c>
      <c r="L862" s="944">
        <f>IF(A862='Data Entry - SOF'!B$2,'Report-SOF2021'!D$99,0)</f>
        <v>0</v>
      </c>
      <c r="M862" s="723">
        <f>IF(A862='Data Entry - SOF'!B$2,'Data Entry - SOF'!M$102,0)</f>
        <v>0</v>
      </c>
      <c r="N862" s="717">
        <f t="shared" si="82"/>
        <v>32777069</v>
      </c>
      <c r="O862" s="944">
        <f>IF(A862='Data Entry - SOF'!B$2,'Report-SOF2122'!D$91,0)</f>
        <v>0</v>
      </c>
      <c r="P862" s="723">
        <f>IF(A862='Data Entry - SOF'!B$2,'Data Entry - SOF'!O$102,0)</f>
        <v>0</v>
      </c>
      <c r="Q862" s="601">
        <f t="shared" si="79"/>
        <v>32777069</v>
      </c>
      <c r="R862" s="944">
        <f>IF(A862='Data Entry - SOF'!B$2,'Report-SOF2223'!D$91,0)</f>
        <v>0</v>
      </c>
      <c r="S862" s="723">
        <f>IF(A862='Data Entry - SOF'!B$2,'Data Entry - SOF'!Q$102,0)</f>
        <v>0</v>
      </c>
      <c r="T862" s="601">
        <f t="shared" si="83"/>
        <v>32777069</v>
      </c>
      <c r="U862" s="944">
        <f>IF(A862='Data Entry - SOF'!B$2,'Report-SOF2324'!D$91,0)</f>
        <v>0</v>
      </c>
      <c r="V862" s="723">
        <f>IF(A862='Data Entry - SOF'!B$2,'Data Entry - SOF'!S$102,0)</f>
        <v>0</v>
      </c>
    </row>
    <row r="863" spans="1:22" ht="15.75">
      <c r="A863" s="382" t="s">
        <v>2653</v>
      </c>
      <c r="B863" s="91">
        <v>5757317</v>
      </c>
      <c r="C863" s="944">
        <f>IF(A863='Data Entry - SOF'!B$2,'Report-SOF1718'!D$102,0)</f>
        <v>0</v>
      </c>
      <c r="D863" s="1037">
        <f>IF(A863='Data Entry - SOF'!B$2,'Data Entry - SOF'!#REF!,0)</f>
        <v>0</v>
      </c>
      <c r="E863" s="91">
        <f t="shared" si="78"/>
        <v>5757317</v>
      </c>
      <c r="F863" s="944">
        <f>IF(A863='Data Entry - SOF'!B$2,'Report-SOF1819'!D$102,0)</f>
        <v>0</v>
      </c>
      <c r="G863" s="1037">
        <f>IF(A863='Data Entry - SOF'!B$2,'Data Entry - SOF'!E$102,0)</f>
        <v>0</v>
      </c>
      <c r="H863" s="1038">
        <f t="shared" si="80"/>
        <v>5757317</v>
      </c>
      <c r="I863" s="944">
        <f>IF(A863='Data Entry - SOF'!B$2,'Report-SOF1920-HB3'!D$102,0)</f>
        <v>0</v>
      </c>
      <c r="J863" s="1037">
        <f>IF(A863='Data Entry - SOF'!B$2,'Data Entry - SOF'!G$102,0)</f>
        <v>0</v>
      </c>
      <c r="K863" s="717">
        <f t="shared" si="81"/>
        <v>5757317</v>
      </c>
      <c r="L863" s="944">
        <f>IF(A863='Data Entry - SOF'!B$2,'Report-SOF2021'!D$99,0)</f>
        <v>0</v>
      </c>
      <c r="M863" s="723">
        <f>IF(A863='Data Entry - SOF'!B$2,'Data Entry - SOF'!M$102,0)</f>
        <v>0</v>
      </c>
      <c r="N863" s="717">
        <f t="shared" si="82"/>
        <v>5757317</v>
      </c>
      <c r="O863" s="944">
        <f>IF(A863='Data Entry - SOF'!B$2,'Report-SOF2122'!D$91,0)</f>
        <v>0</v>
      </c>
      <c r="P863" s="723">
        <f>IF(A863='Data Entry - SOF'!B$2,'Data Entry - SOF'!O$102,0)</f>
        <v>0</v>
      </c>
      <c r="Q863" s="601">
        <f t="shared" si="79"/>
        <v>5757317</v>
      </c>
      <c r="R863" s="944">
        <f>IF(A863='Data Entry - SOF'!B$2,'Report-SOF2223'!D$91,0)</f>
        <v>0</v>
      </c>
      <c r="S863" s="723">
        <f>IF(A863='Data Entry - SOF'!B$2,'Data Entry - SOF'!Q$102,0)</f>
        <v>0</v>
      </c>
      <c r="T863" s="601">
        <f t="shared" si="83"/>
        <v>5757317</v>
      </c>
      <c r="U863" s="944">
        <f>IF(A863='Data Entry - SOF'!B$2,'Report-SOF2324'!D$91,0)</f>
        <v>0</v>
      </c>
      <c r="V863" s="723">
        <f>IF(A863='Data Entry - SOF'!B$2,'Data Entry - SOF'!S$102,0)</f>
        <v>0</v>
      </c>
    </row>
    <row r="864" spans="1:22" ht="15.75">
      <c r="A864" s="382" t="s">
        <v>1729</v>
      </c>
      <c r="B864" s="91">
        <v>5827943</v>
      </c>
      <c r="C864" s="944">
        <f>IF(A864='Data Entry - SOF'!B$2,'Report-SOF1718'!D$102,0)</f>
        <v>0</v>
      </c>
      <c r="D864" s="1037">
        <f>IF(A864='Data Entry - SOF'!B$2,'Data Entry - SOF'!#REF!,0)</f>
        <v>0</v>
      </c>
      <c r="E864" s="91">
        <f t="shared" si="78"/>
        <v>5827943</v>
      </c>
      <c r="F864" s="944">
        <f>IF(A864='Data Entry - SOF'!B$2,'Report-SOF1819'!D$102,0)</f>
        <v>0</v>
      </c>
      <c r="G864" s="1037">
        <f>IF(A864='Data Entry - SOF'!B$2,'Data Entry - SOF'!E$102,0)</f>
        <v>0</v>
      </c>
      <c r="H864" s="1038">
        <f t="shared" si="80"/>
        <v>5827943</v>
      </c>
      <c r="I864" s="944">
        <f>IF(A864='Data Entry - SOF'!B$2,'Report-SOF1920-HB3'!D$102,0)</f>
        <v>0</v>
      </c>
      <c r="J864" s="1037">
        <f>IF(A864='Data Entry - SOF'!B$2,'Data Entry - SOF'!G$102,0)</f>
        <v>0</v>
      </c>
      <c r="K864" s="717">
        <f t="shared" si="81"/>
        <v>5827943</v>
      </c>
      <c r="L864" s="944">
        <f>IF(A864='Data Entry - SOF'!B$2,'Report-SOF2021'!D$99,0)</f>
        <v>0</v>
      </c>
      <c r="M864" s="723">
        <f>IF(A864='Data Entry - SOF'!B$2,'Data Entry - SOF'!M$102,0)</f>
        <v>0</v>
      </c>
      <c r="N864" s="717">
        <f t="shared" si="82"/>
        <v>5827943</v>
      </c>
      <c r="O864" s="944">
        <f>IF(A864='Data Entry - SOF'!B$2,'Report-SOF2122'!D$91,0)</f>
        <v>0</v>
      </c>
      <c r="P864" s="723">
        <f>IF(A864='Data Entry - SOF'!B$2,'Data Entry - SOF'!O$102,0)</f>
        <v>0</v>
      </c>
      <c r="Q864" s="601">
        <f t="shared" si="79"/>
        <v>5827943</v>
      </c>
      <c r="R864" s="944">
        <f>IF(A864='Data Entry - SOF'!B$2,'Report-SOF2223'!D$91,0)</f>
        <v>0</v>
      </c>
      <c r="S864" s="723">
        <f>IF(A864='Data Entry - SOF'!B$2,'Data Entry - SOF'!Q$102,0)</f>
        <v>0</v>
      </c>
      <c r="T864" s="601">
        <f t="shared" si="83"/>
        <v>5827943</v>
      </c>
      <c r="U864" s="944">
        <f>IF(A864='Data Entry - SOF'!B$2,'Report-SOF2324'!D$91,0)</f>
        <v>0</v>
      </c>
      <c r="V864" s="723">
        <f>IF(A864='Data Entry - SOF'!B$2,'Data Entry - SOF'!S$102,0)</f>
        <v>0</v>
      </c>
    </row>
    <row r="865" spans="1:22" ht="15.75">
      <c r="A865" s="382" t="s">
        <v>193</v>
      </c>
      <c r="B865" s="91">
        <v>1747208</v>
      </c>
      <c r="C865" s="944">
        <f>IF(A865='Data Entry - SOF'!B$2,'Report-SOF1718'!D$102,0)</f>
        <v>0</v>
      </c>
      <c r="D865" s="1037">
        <f>IF(A865='Data Entry - SOF'!B$2,'Data Entry - SOF'!#REF!,0)</f>
        <v>0</v>
      </c>
      <c r="E865" s="91">
        <f t="shared" si="78"/>
        <v>1747208</v>
      </c>
      <c r="F865" s="944">
        <f>IF(A865='Data Entry - SOF'!B$2,'Report-SOF1819'!D$102,0)</f>
        <v>0</v>
      </c>
      <c r="G865" s="1037">
        <f>IF(A865='Data Entry - SOF'!B$2,'Data Entry - SOF'!E$102,0)</f>
        <v>0</v>
      </c>
      <c r="H865" s="1038">
        <f t="shared" si="80"/>
        <v>1747208</v>
      </c>
      <c r="I865" s="944">
        <f>IF(A865='Data Entry - SOF'!B$2,'Report-SOF1920-HB3'!D$102,0)</f>
        <v>0</v>
      </c>
      <c r="J865" s="1037">
        <f>IF(A865='Data Entry - SOF'!B$2,'Data Entry - SOF'!G$102,0)</f>
        <v>0</v>
      </c>
      <c r="K865" s="717">
        <f t="shared" si="81"/>
        <v>1747208</v>
      </c>
      <c r="L865" s="944">
        <f>IF(A865='Data Entry - SOF'!B$2,'Report-SOF2021'!D$99,0)</f>
        <v>0</v>
      </c>
      <c r="M865" s="723">
        <f>IF(A865='Data Entry - SOF'!B$2,'Data Entry - SOF'!M$102,0)</f>
        <v>0</v>
      </c>
      <c r="N865" s="717">
        <f t="shared" si="82"/>
        <v>1747208</v>
      </c>
      <c r="O865" s="944">
        <f>IF(A865='Data Entry - SOF'!B$2,'Report-SOF2122'!D$91,0)</f>
        <v>0</v>
      </c>
      <c r="P865" s="723">
        <f>IF(A865='Data Entry - SOF'!B$2,'Data Entry - SOF'!O$102,0)</f>
        <v>0</v>
      </c>
      <c r="Q865" s="601">
        <f t="shared" si="79"/>
        <v>1747208</v>
      </c>
      <c r="R865" s="944">
        <f>IF(A865='Data Entry - SOF'!B$2,'Report-SOF2223'!D$91,0)</f>
        <v>0</v>
      </c>
      <c r="S865" s="723">
        <f>IF(A865='Data Entry - SOF'!B$2,'Data Entry - SOF'!Q$102,0)</f>
        <v>0</v>
      </c>
      <c r="T865" s="601">
        <f t="shared" si="83"/>
        <v>1747208</v>
      </c>
      <c r="U865" s="944">
        <f>IF(A865='Data Entry - SOF'!B$2,'Report-SOF2324'!D$91,0)</f>
        <v>0</v>
      </c>
      <c r="V865" s="723">
        <f>IF(A865='Data Entry - SOF'!B$2,'Data Entry - SOF'!S$102,0)</f>
        <v>0</v>
      </c>
    </row>
    <row r="866" spans="1:22" ht="15.75">
      <c r="A866" s="382" t="s">
        <v>1730</v>
      </c>
      <c r="B866" s="91">
        <v>5724064</v>
      </c>
      <c r="C866" s="944">
        <f>IF(A866='Data Entry - SOF'!B$2,'Report-SOF1718'!D$102,0)</f>
        <v>0</v>
      </c>
      <c r="D866" s="1037">
        <f>IF(A866='Data Entry - SOF'!B$2,'Data Entry - SOF'!#REF!,0)</f>
        <v>0</v>
      </c>
      <c r="E866" s="91">
        <f t="shared" si="78"/>
        <v>5724064</v>
      </c>
      <c r="F866" s="944">
        <f>IF(A866='Data Entry - SOF'!B$2,'Report-SOF1819'!D$102,0)</f>
        <v>0</v>
      </c>
      <c r="G866" s="1037">
        <f>IF(A866='Data Entry - SOF'!B$2,'Data Entry - SOF'!E$102,0)</f>
        <v>0</v>
      </c>
      <c r="H866" s="1038">
        <f t="shared" si="80"/>
        <v>5724064</v>
      </c>
      <c r="I866" s="944">
        <f>IF(A866='Data Entry - SOF'!B$2,'Report-SOF1920-HB3'!D$102,0)</f>
        <v>0</v>
      </c>
      <c r="J866" s="1037">
        <f>IF(A866='Data Entry - SOF'!B$2,'Data Entry - SOF'!G$102,0)</f>
        <v>0</v>
      </c>
      <c r="K866" s="717">
        <f t="shared" si="81"/>
        <v>5724064</v>
      </c>
      <c r="L866" s="944">
        <f>IF(A866='Data Entry - SOF'!B$2,'Report-SOF2021'!D$99,0)</f>
        <v>0</v>
      </c>
      <c r="M866" s="723">
        <f>IF(A866='Data Entry - SOF'!B$2,'Data Entry - SOF'!M$102,0)</f>
        <v>0</v>
      </c>
      <c r="N866" s="717">
        <f t="shared" si="82"/>
        <v>5724064</v>
      </c>
      <c r="O866" s="944">
        <f>IF(A866='Data Entry - SOF'!B$2,'Report-SOF2122'!D$91,0)</f>
        <v>0</v>
      </c>
      <c r="P866" s="723">
        <f>IF(A866='Data Entry - SOF'!B$2,'Data Entry - SOF'!O$102,0)</f>
        <v>0</v>
      </c>
      <c r="Q866" s="601">
        <f t="shared" si="79"/>
        <v>5724064</v>
      </c>
      <c r="R866" s="944">
        <f>IF(A866='Data Entry - SOF'!B$2,'Report-SOF2223'!D$91,0)</f>
        <v>0</v>
      </c>
      <c r="S866" s="723">
        <f>IF(A866='Data Entry - SOF'!B$2,'Data Entry - SOF'!Q$102,0)</f>
        <v>0</v>
      </c>
      <c r="T866" s="601">
        <f t="shared" si="83"/>
        <v>5724064</v>
      </c>
      <c r="U866" s="944">
        <f>IF(A866='Data Entry - SOF'!B$2,'Report-SOF2324'!D$91,0)</f>
        <v>0</v>
      </c>
      <c r="V866" s="723">
        <f>IF(A866='Data Entry - SOF'!B$2,'Data Entry - SOF'!S$102,0)</f>
        <v>0</v>
      </c>
    </row>
    <row r="867" spans="1:22" ht="15.75">
      <c r="A867" s="382" t="s">
        <v>2584</v>
      </c>
      <c r="B867" s="91">
        <v>23760526</v>
      </c>
      <c r="C867" s="944">
        <f>IF(A867='Data Entry - SOF'!B$2,'Report-SOF1718'!D$102,0)</f>
        <v>0</v>
      </c>
      <c r="D867" s="1037">
        <f>IF(A867='Data Entry - SOF'!B$2,'Data Entry - SOF'!#REF!,0)</f>
        <v>0</v>
      </c>
      <c r="E867" s="91">
        <f t="shared" si="78"/>
        <v>23760526</v>
      </c>
      <c r="F867" s="944">
        <f>IF(A867='Data Entry - SOF'!B$2,'Report-SOF1819'!D$102,0)</f>
        <v>0</v>
      </c>
      <c r="G867" s="1037">
        <f>IF(A867='Data Entry - SOF'!B$2,'Data Entry - SOF'!E$102,0)</f>
        <v>0</v>
      </c>
      <c r="H867" s="1038">
        <f t="shared" si="80"/>
        <v>23760526</v>
      </c>
      <c r="I867" s="944">
        <f>IF(A867='Data Entry - SOF'!B$2,'Report-SOF1920-HB3'!D$102,0)</f>
        <v>0</v>
      </c>
      <c r="J867" s="1037">
        <f>IF(A867='Data Entry - SOF'!B$2,'Data Entry - SOF'!G$102,0)</f>
        <v>0</v>
      </c>
      <c r="K867" s="717">
        <f t="shared" si="81"/>
        <v>23760526</v>
      </c>
      <c r="L867" s="944">
        <f>IF(A867='Data Entry - SOF'!B$2,'Report-SOF2021'!D$99,0)</f>
        <v>0</v>
      </c>
      <c r="M867" s="723">
        <f>IF(A867='Data Entry - SOF'!B$2,'Data Entry - SOF'!M$102,0)</f>
        <v>0</v>
      </c>
      <c r="N867" s="717">
        <f t="shared" si="82"/>
        <v>23760526</v>
      </c>
      <c r="O867" s="944">
        <f>IF(A867='Data Entry - SOF'!B$2,'Report-SOF2122'!D$91,0)</f>
        <v>0</v>
      </c>
      <c r="P867" s="723">
        <f>IF(A867='Data Entry - SOF'!B$2,'Data Entry - SOF'!O$102,0)</f>
        <v>0</v>
      </c>
      <c r="Q867" s="601">
        <f t="shared" si="79"/>
        <v>23760526</v>
      </c>
      <c r="R867" s="944">
        <f>IF(A867='Data Entry - SOF'!B$2,'Report-SOF2223'!D$91,0)</f>
        <v>0</v>
      </c>
      <c r="S867" s="723">
        <f>IF(A867='Data Entry - SOF'!B$2,'Data Entry - SOF'!Q$102,0)</f>
        <v>0</v>
      </c>
      <c r="T867" s="601">
        <f t="shared" si="83"/>
        <v>23760526</v>
      </c>
      <c r="U867" s="944">
        <f>IF(A867='Data Entry - SOF'!B$2,'Report-SOF2324'!D$91,0)</f>
        <v>0</v>
      </c>
      <c r="V867" s="723">
        <f>IF(A867='Data Entry - SOF'!B$2,'Data Entry - SOF'!S$102,0)</f>
        <v>0</v>
      </c>
    </row>
    <row r="868" spans="1:22" ht="15.75">
      <c r="A868" s="382" t="s">
        <v>750</v>
      </c>
      <c r="B868" s="91">
        <v>4157048.7662781202</v>
      </c>
      <c r="C868" s="944">
        <f>IF(A868='Data Entry - SOF'!B$2,'Report-SOF1718'!D$102,0)</f>
        <v>0</v>
      </c>
      <c r="D868" s="1037">
        <f>IF(A868='Data Entry - SOF'!B$2,'Data Entry - SOF'!#REF!,0)</f>
        <v>0</v>
      </c>
      <c r="E868" s="91">
        <f t="shared" si="78"/>
        <v>4157048.7662781202</v>
      </c>
      <c r="F868" s="944">
        <f>IF(A868='Data Entry - SOF'!B$2,'Report-SOF1819'!D$102,0)</f>
        <v>0</v>
      </c>
      <c r="G868" s="1037">
        <f>IF(A868='Data Entry - SOF'!B$2,'Data Entry - SOF'!E$102,0)</f>
        <v>0</v>
      </c>
      <c r="H868" s="1038">
        <f t="shared" si="80"/>
        <v>4157048.7662781202</v>
      </c>
      <c r="I868" s="944">
        <f>IF(A868='Data Entry - SOF'!B$2,'Report-SOF1920-HB3'!D$102,0)</f>
        <v>0</v>
      </c>
      <c r="J868" s="1037">
        <f>IF(A868='Data Entry - SOF'!B$2,'Data Entry - SOF'!G$102,0)</f>
        <v>0</v>
      </c>
      <c r="K868" s="717">
        <f t="shared" si="81"/>
        <v>4157048.7662781202</v>
      </c>
      <c r="L868" s="944">
        <f>IF(A868='Data Entry - SOF'!B$2,'Report-SOF2021'!D$99,0)</f>
        <v>0</v>
      </c>
      <c r="M868" s="723">
        <f>IF(A868='Data Entry - SOF'!B$2,'Data Entry - SOF'!M$102,0)</f>
        <v>0</v>
      </c>
      <c r="N868" s="717">
        <f t="shared" si="82"/>
        <v>4157048.7662781202</v>
      </c>
      <c r="O868" s="944">
        <f>IF(A868='Data Entry - SOF'!B$2,'Report-SOF2122'!D$91,0)</f>
        <v>0</v>
      </c>
      <c r="P868" s="723">
        <f>IF(A868='Data Entry - SOF'!B$2,'Data Entry - SOF'!O$102,0)</f>
        <v>0</v>
      </c>
      <c r="Q868" s="601">
        <f t="shared" si="79"/>
        <v>4157048.7662781202</v>
      </c>
      <c r="R868" s="944">
        <f>IF(A868='Data Entry - SOF'!B$2,'Report-SOF2223'!D$91,0)</f>
        <v>0</v>
      </c>
      <c r="S868" s="723">
        <f>IF(A868='Data Entry - SOF'!B$2,'Data Entry - SOF'!Q$102,0)</f>
        <v>0</v>
      </c>
      <c r="T868" s="601">
        <f t="shared" si="83"/>
        <v>4157048.7662781202</v>
      </c>
      <c r="U868" s="944">
        <f>IF(A868='Data Entry - SOF'!B$2,'Report-SOF2324'!D$91,0)</f>
        <v>0</v>
      </c>
      <c r="V868" s="723">
        <f>IF(A868='Data Entry - SOF'!B$2,'Data Entry - SOF'!S$102,0)</f>
        <v>0</v>
      </c>
    </row>
    <row r="869" spans="1:22" ht="15.75">
      <c r="A869" s="382" t="s">
        <v>751</v>
      </c>
      <c r="B869" s="91">
        <v>10212479</v>
      </c>
      <c r="C869" s="944">
        <f>IF(A869='Data Entry - SOF'!B$2,'Report-SOF1718'!D$102,0)</f>
        <v>0</v>
      </c>
      <c r="D869" s="1037">
        <f>IF(A869='Data Entry - SOF'!B$2,'Data Entry - SOF'!#REF!,0)</f>
        <v>0</v>
      </c>
      <c r="E869" s="91">
        <f t="shared" si="78"/>
        <v>10212479</v>
      </c>
      <c r="F869" s="944">
        <f>IF(A869='Data Entry - SOF'!B$2,'Report-SOF1819'!D$102,0)</f>
        <v>0</v>
      </c>
      <c r="G869" s="1037">
        <f>IF(A869='Data Entry - SOF'!B$2,'Data Entry - SOF'!E$102,0)</f>
        <v>0</v>
      </c>
      <c r="H869" s="1038">
        <f t="shared" si="80"/>
        <v>10212479</v>
      </c>
      <c r="I869" s="944">
        <f>IF(A869='Data Entry - SOF'!B$2,'Report-SOF1920-HB3'!D$102,0)</f>
        <v>0</v>
      </c>
      <c r="J869" s="1037">
        <f>IF(A869='Data Entry - SOF'!B$2,'Data Entry - SOF'!G$102,0)</f>
        <v>0</v>
      </c>
      <c r="K869" s="717">
        <f t="shared" si="81"/>
        <v>10212479</v>
      </c>
      <c r="L869" s="944">
        <f>IF(A869='Data Entry - SOF'!B$2,'Report-SOF2021'!D$99,0)</f>
        <v>0</v>
      </c>
      <c r="M869" s="723">
        <f>IF(A869='Data Entry - SOF'!B$2,'Data Entry - SOF'!M$102,0)</f>
        <v>0</v>
      </c>
      <c r="N869" s="717">
        <f t="shared" si="82"/>
        <v>10212479</v>
      </c>
      <c r="O869" s="944">
        <f>IF(A869='Data Entry - SOF'!B$2,'Report-SOF2122'!D$91,0)</f>
        <v>0</v>
      </c>
      <c r="P869" s="723">
        <f>IF(A869='Data Entry - SOF'!B$2,'Data Entry - SOF'!O$102,0)</f>
        <v>0</v>
      </c>
      <c r="Q869" s="601">
        <f t="shared" si="79"/>
        <v>10212479</v>
      </c>
      <c r="R869" s="944">
        <f>IF(A869='Data Entry - SOF'!B$2,'Report-SOF2223'!D$91,0)</f>
        <v>0</v>
      </c>
      <c r="S869" s="723">
        <f>IF(A869='Data Entry - SOF'!B$2,'Data Entry - SOF'!Q$102,0)</f>
        <v>0</v>
      </c>
      <c r="T869" s="601">
        <f t="shared" si="83"/>
        <v>10212479</v>
      </c>
      <c r="U869" s="944">
        <f>IF(A869='Data Entry - SOF'!B$2,'Report-SOF2324'!D$91,0)</f>
        <v>0</v>
      </c>
      <c r="V869" s="723">
        <f>IF(A869='Data Entry - SOF'!B$2,'Data Entry - SOF'!S$102,0)</f>
        <v>0</v>
      </c>
    </row>
    <row r="870" spans="1:22" ht="15.75">
      <c r="A870" s="382" t="s">
        <v>802</v>
      </c>
      <c r="B870" s="91">
        <v>264253</v>
      </c>
      <c r="C870" s="944">
        <f>IF(A870='Data Entry - SOF'!B$2,'Report-SOF1718'!D$102,0)</f>
        <v>0</v>
      </c>
      <c r="D870" s="1037">
        <f>IF(A870='Data Entry - SOF'!B$2,'Data Entry - SOF'!#REF!,0)</f>
        <v>0</v>
      </c>
      <c r="E870" s="91">
        <f t="shared" si="78"/>
        <v>264253</v>
      </c>
      <c r="F870" s="944">
        <f>IF(A870='Data Entry - SOF'!B$2,'Report-SOF1819'!D$102,0)</f>
        <v>0</v>
      </c>
      <c r="G870" s="1037">
        <f>IF(A870='Data Entry - SOF'!B$2,'Data Entry - SOF'!E$102,0)</f>
        <v>0</v>
      </c>
      <c r="H870" s="1038">
        <f t="shared" si="80"/>
        <v>264253</v>
      </c>
      <c r="I870" s="944">
        <f>IF(A870='Data Entry - SOF'!B$2,'Report-SOF1920-HB3'!D$102,0)</f>
        <v>0</v>
      </c>
      <c r="J870" s="1037">
        <f>IF(A870='Data Entry - SOF'!B$2,'Data Entry - SOF'!G$102,0)</f>
        <v>0</v>
      </c>
      <c r="K870" s="717">
        <f t="shared" si="81"/>
        <v>264253</v>
      </c>
      <c r="L870" s="944">
        <f>IF(A870='Data Entry - SOF'!B$2,'Report-SOF2021'!D$99,0)</f>
        <v>0</v>
      </c>
      <c r="M870" s="723">
        <f>IF(A870='Data Entry - SOF'!B$2,'Data Entry - SOF'!M$102,0)</f>
        <v>0</v>
      </c>
      <c r="N870" s="717">
        <f t="shared" si="82"/>
        <v>264253</v>
      </c>
      <c r="O870" s="944">
        <f>IF(A870='Data Entry - SOF'!B$2,'Report-SOF2122'!D$91,0)</f>
        <v>0</v>
      </c>
      <c r="P870" s="723">
        <f>IF(A870='Data Entry - SOF'!B$2,'Data Entry - SOF'!O$102,0)</f>
        <v>0</v>
      </c>
      <c r="Q870" s="601">
        <f t="shared" si="79"/>
        <v>264253</v>
      </c>
      <c r="R870" s="944">
        <f>IF(A870='Data Entry - SOF'!B$2,'Report-SOF2223'!D$91,0)</f>
        <v>0</v>
      </c>
      <c r="S870" s="723">
        <f>IF(A870='Data Entry - SOF'!B$2,'Data Entry - SOF'!Q$102,0)</f>
        <v>0</v>
      </c>
      <c r="T870" s="601">
        <f t="shared" si="83"/>
        <v>264253</v>
      </c>
      <c r="U870" s="944">
        <f>IF(A870='Data Entry - SOF'!B$2,'Report-SOF2324'!D$91,0)</f>
        <v>0</v>
      </c>
      <c r="V870" s="723">
        <f>IF(A870='Data Entry - SOF'!B$2,'Data Entry - SOF'!S$102,0)</f>
        <v>0</v>
      </c>
    </row>
    <row r="871" spans="1:22" ht="15.75">
      <c r="A871" s="382" t="s">
        <v>568</v>
      </c>
      <c r="B871" s="91">
        <v>559341</v>
      </c>
      <c r="C871" s="944">
        <f>IF(A871='Data Entry - SOF'!B$2,'Report-SOF1718'!D$102,0)</f>
        <v>0</v>
      </c>
      <c r="D871" s="1037">
        <f>IF(A871='Data Entry - SOF'!B$2,'Data Entry - SOF'!#REF!,0)</f>
        <v>0</v>
      </c>
      <c r="E871" s="91">
        <f t="shared" si="78"/>
        <v>559341</v>
      </c>
      <c r="F871" s="944">
        <f>IF(A871='Data Entry - SOF'!B$2,'Report-SOF1819'!D$102,0)</f>
        <v>0</v>
      </c>
      <c r="G871" s="1037">
        <f>IF(A871='Data Entry - SOF'!B$2,'Data Entry - SOF'!E$102,0)</f>
        <v>0</v>
      </c>
      <c r="H871" s="1038">
        <f t="shared" si="80"/>
        <v>559341</v>
      </c>
      <c r="I871" s="944">
        <f>IF(A871='Data Entry - SOF'!B$2,'Report-SOF1920-HB3'!D$102,0)</f>
        <v>0</v>
      </c>
      <c r="J871" s="1037">
        <f>IF(A871='Data Entry - SOF'!B$2,'Data Entry - SOF'!G$102,0)</f>
        <v>0</v>
      </c>
      <c r="K871" s="717">
        <f t="shared" si="81"/>
        <v>559341</v>
      </c>
      <c r="L871" s="944">
        <f>IF(A871='Data Entry - SOF'!B$2,'Report-SOF2021'!D$99,0)</f>
        <v>0</v>
      </c>
      <c r="M871" s="723">
        <f>IF(A871='Data Entry - SOF'!B$2,'Data Entry - SOF'!M$102,0)</f>
        <v>0</v>
      </c>
      <c r="N871" s="717">
        <f t="shared" si="82"/>
        <v>559341</v>
      </c>
      <c r="O871" s="944">
        <f>IF(A871='Data Entry - SOF'!B$2,'Report-SOF2122'!D$91,0)</f>
        <v>0</v>
      </c>
      <c r="P871" s="723">
        <f>IF(A871='Data Entry - SOF'!B$2,'Data Entry - SOF'!O$102,0)</f>
        <v>0</v>
      </c>
      <c r="Q871" s="601">
        <f t="shared" si="79"/>
        <v>559341</v>
      </c>
      <c r="R871" s="944">
        <f>IF(A871='Data Entry - SOF'!B$2,'Report-SOF2223'!D$91,0)</f>
        <v>0</v>
      </c>
      <c r="S871" s="723">
        <f>IF(A871='Data Entry - SOF'!B$2,'Data Entry - SOF'!Q$102,0)</f>
        <v>0</v>
      </c>
      <c r="T871" s="601">
        <f t="shared" si="83"/>
        <v>559341</v>
      </c>
      <c r="U871" s="944">
        <f>IF(A871='Data Entry - SOF'!B$2,'Report-SOF2324'!D$91,0)</f>
        <v>0</v>
      </c>
      <c r="V871" s="723">
        <f>IF(A871='Data Entry - SOF'!B$2,'Data Entry - SOF'!S$102,0)</f>
        <v>0</v>
      </c>
    </row>
    <row r="872" spans="1:22" ht="15.75">
      <c r="A872" s="382" t="s">
        <v>569</v>
      </c>
      <c r="B872" s="91">
        <v>1556519</v>
      </c>
      <c r="C872" s="944">
        <f>IF(A872='Data Entry - SOF'!B$2,'Report-SOF1718'!D$102,0)</f>
        <v>0</v>
      </c>
      <c r="D872" s="1037">
        <f>IF(A872='Data Entry - SOF'!B$2,'Data Entry - SOF'!#REF!,0)</f>
        <v>0</v>
      </c>
      <c r="E872" s="91">
        <f t="shared" si="78"/>
        <v>1556519</v>
      </c>
      <c r="F872" s="944">
        <f>IF(A872='Data Entry - SOF'!B$2,'Report-SOF1819'!D$102,0)</f>
        <v>0</v>
      </c>
      <c r="G872" s="1037">
        <f>IF(A872='Data Entry - SOF'!B$2,'Data Entry - SOF'!E$102,0)</f>
        <v>0</v>
      </c>
      <c r="H872" s="1038">
        <f t="shared" si="80"/>
        <v>1556519</v>
      </c>
      <c r="I872" s="944">
        <f>IF(A872='Data Entry - SOF'!B$2,'Report-SOF1920-HB3'!D$102,0)</f>
        <v>0</v>
      </c>
      <c r="J872" s="1037">
        <f>IF(A872='Data Entry - SOF'!B$2,'Data Entry - SOF'!G$102,0)</f>
        <v>0</v>
      </c>
      <c r="K872" s="717">
        <f t="shared" si="81"/>
        <v>1556519</v>
      </c>
      <c r="L872" s="944">
        <f>IF(A872='Data Entry - SOF'!B$2,'Report-SOF2021'!D$99,0)</f>
        <v>0</v>
      </c>
      <c r="M872" s="723">
        <f>IF(A872='Data Entry - SOF'!B$2,'Data Entry - SOF'!M$102,0)</f>
        <v>0</v>
      </c>
      <c r="N872" s="717">
        <f t="shared" si="82"/>
        <v>1556519</v>
      </c>
      <c r="O872" s="944">
        <f>IF(A872='Data Entry - SOF'!B$2,'Report-SOF2122'!D$91,0)</f>
        <v>0</v>
      </c>
      <c r="P872" s="723">
        <f>IF(A872='Data Entry - SOF'!B$2,'Data Entry - SOF'!O$102,0)</f>
        <v>0</v>
      </c>
      <c r="Q872" s="601">
        <f t="shared" si="79"/>
        <v>1556519</v>
      </c>
      <c r="R872" s="944">
        <f>IF(A872='Data Entry - SOF'!B$2,'Report-SOF2223'!D$91,0)</f>
        <v>0</v>
      </c>
      <c r="S872" s="723">
        <f>IF(A872='Data Entry - SOF'!B$2,'Data Entry - SOF'!Q$102,0)</f>
        <v>0</v>
      </c>
      <c r="T872" s="601">
        <f t="shared" si="83"/>
        <v>1556519</v>
      </c>
      <c r="U872" s="944">
        <f>IF(A872='Data Entry - SOF'!B$2,'Report-SOF2324'!D$91,0)</f>
        <v>0</v>
      </c>
      <c r="V872" s="723">
        <f>IF(A872='Data Entry - SOF'!B$2,'Data Entry - SOF'!S$102,0)</f>
        <v>0</v>
      </c>
    </row>
    <row r="873" spans="1:22" ht="15.75">
      <c r="A873" s="382" t="s">
        <v>2298</v>
      </c>
      <c r="B873" s="91">
        <v>232622503</v>
      </c>
      <c r="C873" s="944">
        <f>IF(A873='Data Entry - SOF'!B$2,'Report-SOF1718'!D$102,0)</f>
        <v>0</v>
      </c>
      <c r="D873" s="1037">
        <f>IF(A873='Data Entry - SOF'!B$2,'Data Entry - SOF'!#REF!,0)</f>
        <v>0</v>
      </c>
      <c r="E873" s="91">
        <f t="shared" si="78"/>
        <v>232622503</v>
      </c>
      <c r="F873" s="944">
        <f>IF(A873='Data Entry - SOF'!B$2,'Report-SOF1819'!D$102,0)</f>
        <v>0</v>
      </c>
      <c r="G873" s="1037">
        <f>IF(A873='Data Entry - SOF'!B$2,'Data Entry - SOF'!E$102,0)</f>
        <v>0</v>
      </c>
      <c r="H873" s="1038">
        <f t="shared" si="80"/>
        <v>232622503</v>
      </c>
      <c r="I873" s="944">
        <f>IF(A873='Data Entry - SOF'!B$2,'Report-SOF1920-HB3'!D$102,0)</f>
        <v>0</v>
      </c>
      <c r="J873" s="1037">
        <f>IF(A873='Data Entry - SOF'!B$2,'Data Entry - SOF'!G$102,0)</f>
        <v>0</v>
      </c>
      <c r="K873" s="717">
        <f t="shared" si="81"/>
        <v>232622503</v>
      </c>
      <c r="L873" s="944">
        <f>IF(A873='Data Entry - SOF'!B$2,'Report-SOF2021'!D$99,0)</f>
        <v>0</v>
      </c>
      <c r="M873" s="723">
        <f>IF(A873='Data Entry - SOF'!B$2,'Data Entry - SOF'!M$102,0)</f>
        <v>0</v>
      </c>
      <c r="N873" s="717">
        <f t="shared" si="82"/>
        <v>232622503</v>
      </c>
      <c r="O873" s="944">
        <f>IF(A873='Data Entry - SOF'!B$2,'Report-SOF2122'!D$91,0)</f>
        <v>0</v>
      </c>
      <c r="P873" s="723">
        <f>IF(A873='Data Entry - SOF'!B$2,'Data Entry - SOF'!O$102,0)</f>
        <v>0</v>
      </c>
      <c r="Q873" s="601">
        <f t="shared" si="79"/>
        <v>232622503</v>
      </c>
      <c r="R873" s="944">
        <f>IF(A873='Data Entry - SOF'!B$2,'Report-SOF2223'!D$91,0)</f>
        <v>0</v>
      </c>
      <c r="S873" s="723">
        <f>IF(A873='Data Entry - SOF'!B$2,'Data Entry - SOF'!Q$102,0)</f>
        <v>0</v>
      </c>
      <c r="T873" s="601">
        <f t="shared" si="83"/>
        <v>232622503</v>
      </c>
      <c r="U873" s="944">
        <f>IF(A873='Data Entry - SOF'!B$2,'Report-SOF2324'!D$91,0)</f>
        <v>0</v>
      </c>
      <c r="V873" s="723">
        <f>IF(A873='Data Entry - SOF'!B$2,'Data Entry - SOF'!S$102,0)</f>
        <v>0</v>
      </c>
    </row>
    <row r="874" spans="1:22" ht="15.75">
      <c r="A874" s="382" t="s">
        <v>873</v>
      </c>
      <c r="B874" s="91">
        <v>94043591</v>
      </c>
      <c r="C874" s="944">
        <f>IF(A874='Data Entry - SOF'!B$2,'Report-SOF1718'!D$102,0)</f>
        <v>0</v>
      </c>
      <c r="D874" s="1037">
        <f>IF(A874='Data Entry - SOF'!B$2,'Data Entry - SOF'!#REF!,0)</f>
        <v>0</v>
      </c>
      <c r="E874" s="91">
        <f t="shared" si="78"/>
        <v>94043591</v>
      </c>
      <c r="F874" s="944">
        <f>IF(A874='Data Entry - SOF'!B$2,'Report-SOF1819'!D$102,0)</f>
        <v>0</v>
      </c>
      <c r="G874" s="1037">
        <f>IF(A874='Data Entry - SOF'!B$2,'Data Entry - SOF'!E$102,0)</f>
        <v>0</v>
      </c>
      <c r="H874" s="1038">
        <f t="shared" si="80"/>
        <v>94043591</v>
      </c>
      <c r="I874" s="944">
        <f>IF(A874='Data Entry - SOF'!B$2,'Report-SOF1920-HB3'!D$102,0)</f>
        <v>0</v>
      </c>
      <c r="J874" s="1037">
        <f>IF(A874='Data Entry - SOF'!B$2,'Data Entry - SOF'!G$102,0)</f>
        <v>0</v>
      </c>
      <c r="K874" s="717">
        <f t="shared" si="81"/>
        <v>94043591</v>
      </c>
      <c r="L874" s="944">
        <f>IF(A874='Data Entry - SOF'!B$2,'Report-SOF2021'!D$99,0)</f>
        <v>0</v>
      </c>
      <c r="M874" s="723">
        <f>IF(A874='Data Entry - SOF'!B$2,'Data Entry - SOF'!M$102,0)</f>
        <v>0</v>
      </c>
      <c r="N874" s="717">
        <f t="shared" si="82"/>
        <v>94043591</v>
      </c>
      <c r="O874" s="944">
        <f>IF(A874='Data Entry - SOF'!B$2,'Report-SOF2122'!D$91,0)</f>
        <v>0</v>
      </c>
      <c r="P874" s="723">
        <f>IF(A874='Data Entry - SOF'!B$2,'Data Entry - SOF'!O$102,0)</f>
        <v>0</v>
      </c>
      <c r="Q874" s="601">
        <f t="shared" si="79"/>
        <v>94043591</v>
      </c>
      <c r="R874" s="944">
        <f>IF(A874='Data Entry - SOF'!B$2,'Report-SOF2223'!D$91,0)</f>
        <v>0</v>
      </c>
      <c r="S874" s="723">
        <f>IF(A874='Data Entry - SOF'!B$2,'Data Entry - SOF'!Q$102,0)</f>
        <v>0</v>
      </c>
      <c r="T874" s="601">
        <f t="shared" si="83"/>
        <v>94043591</v>
      </c>
      <c r="U874" s="944">
        <f>IF(A874='Data Entry - SOF'!B$2,'Report-SOF2324'!D$91,0)</f>
        <v>0</v>
      </c>
      <c r="V874" s="723">
        <f>IF(A874='Data Entry - SOF'!B$2,'Data Entry - SOF'!S$102,0)</f>
        <v>0</v>
      </c>
    </row>
    <row r="875" spans="1:22" ht="15.75">
      <c r="A875" s="382" t="s">
        <v>1849</v>
      </c>
      <c r="B875" s="91">
        <v>10692281</v>
      </c>
      <c r="C875" s="944">
        <f>IF(A875='Data Entry - SOF'!B$2,'Report-SOF1718'!D$102,0)</f>
        <v>0</v>
      </c>
      <c r="D875" s="1037">
        <f>IF(A875='Data Entry - SOF'!B$2,'Data Entry - SOF'!#REF!,0)</f>
        <v>0</v>
      </c>
      <c r="E875" s="91">
        <f t="shared" si="78"/>
        <v>10692281</v>
      </c>
      <c r="F875" s="944">
        <f>IF(A875='Data Entry - SOF'!B$2,'Report-SOF1819'!D$102,0)</f>
        <v>0</v>
      </c>
      <c r="G875" s="1037">
        <f>IF(A875='Data Entry - SOF'!B$2,'Data Entry - SOF'!E$102,0)</f>
        <v>0</v>
      </c>
      <c r="H875" s="1038">
        <f t="shared" si="80"/>
        <v>10692281</v>
      </c>
      <c r="I875" s="944">
        <f>IF(A875='Data Entry - SOF'!B$2,'Report-SOF1920-HB3'!D$102,0)</f>
        <v>0</v>
      </c>
      <c r="J875" s="1037">
        <f>IF(A875='Data Entry - SOF'!B$2,'Data Entry - SOF'!G$102,0)</f>
        <v>0</v>
      </c>
      <c r="K875" s="717">
        <f t="shared" si="81"/>
        <v>10692281</v>
      </c>
      <c r="L875" s="944">
        <f>IF(A875='Data Entry - SOF'!B$2,'Report-SOF2021'!D$99,0)</f>
        <v>0</v>
      </c>
      <c r="M875" s="723">
        <f>IF(A875='Data Entry - SOF'!B$2,'Data Entry - SOF'!M$102,0)</f>
        <v>0</v>
      </c>
      <c r="N875" s="717">
        <f t="shared" si="82"/>
        <v>10692281</v>
      </c>
      <c r="O875" s="944">
        <f>IF(A875='Data Entry - SOF'!B$2,'Report-SOF2122'!D$91,0)</f>
        <v>0</v>
      </c>
      <c r="P875" s="723">
        <f>IF(A875='Data Entry - SOF'!B$2,'Data Entry - SOF'!O$102,0)</f>
        <v>0</v>
      </c>
      <c r="Q875" s="601">
        <f t="shared" si="79"/>
        <v>10692281</v>
      </c>
      <c r="R875" s="944">
        <f>IF(A875='Data Entry - SOF'!B$2,'Report-SOF2223'!D$91,0)</f>
        <v>0</v>
      </c>
      <c r="S875" s="723">
        <f>IF(A875='Data Entry - SOF'!B$2,'Data Entry - SOF'!Q$102,0)</f>
        <v>0</v>
      </c>
      <c r="T875" s="601">
        <f t="shared" si="83"/>
        <v>10692281</v>
      </c>
      <c r="U875" s="944">
        <f>IF(A875='Data Entry - SOF'!B$2,'Report-SOF2324'!D$91,0)</f>
        <v>0</v>
      </c>
      <c r="V875" s="723">
        <f>IF(A875='Data Entry - SOF'!B$2,'Data Entry - SOF'!S$102,0)</f>
        <v>0</v>
      </c>
    </row>
    <row r="876" spans="1:22" ht="15.75">
      <c r="A876" s="382" t="s">
        <v>2018</v>
      </c>
      <c r="B876" s="91">
        <v>351694407</v>
      </c>
      <c r="C876" s="944">
        <f>IF(A876='Data Entry - SOF'!B$2,'Report-SOF1718'!D$102,0)</f>
        <v>0</v>
      </c>
      <c r="D876" s="1037">
        <f>IF(A876='Data Entry - SOF'!B$2,'Data Entry - SOF'!#REF!,0)</f>
        <v>0</v>
      </c>
      <c r="E876" s="91">
        <f t="shared" si="78"/>
        <v>351694407</v>
      </c>
      <c r="F876" s="944">
        <f>IF(A876='Data Entry - SOF'!B$2,'Report-SOF1819'!D$102,0)</f>
        <v>0</v>
      </c>
      <c r="G876" s="1037">
        <f>IF(A876='Data Entry - SOF'!B$2,'Data Entry - SOF'!E$102,0)</f>
        <v>0</v>
      </c>
      <c r="H876" s="1038">
        <f t="shared" si="80"/>
        <v>351694407</v>
      </c>
      <c r="I876" s="944">
        <f>IF(A876='Data Entry - SOF'!B$2,'Report-SOF1920-HB3'!D$102,0)</f>
        <v>0</v>
      </c>
      <c r="J876" s="1037">
        <f>IF(A876='Data Entry - SOF'!B$2,'Data Entry - SOF'!G$102,0)</f>
        <v>0</v>
      </c>
      <c r="K876" s="717">
        <f t="shared" si="81"/>
        <v>351694407</v>
      </c>
      <c r="L876" s="944">
        <f>IF(A876='Data Entry - SOF'!B$2,'Report-SOF2021'!D$99,0)</f>
        <v>0</v>
      </c>
      <c r="M876" s="723">
        <f>IF(A876='Data Entry - SOF'!B$2,'Data Entry - SOF'!M$102,0)</f>
        <v>0</v>
      </c>
      <c r="N876" s="717">
        <f t="shared" si="82"/>
        <v>351694407</v>
      </c>
      <c r="O876" s="944">
        <f>IF(A876='Data Entry - SOF'!B$2,'Report-SOF2122'!D$91,0)</f>
        <v>0</v>
      </c>
      <c r="P876" s="723">
        <f>IF(A876='Data Entry - SOF'!B$2,'Data Entry - SOF'!O$102,0)</f>
        <v>0</v>
      </c>
      <c r="Q876" s="601">
        <f t="shared" si="79"/>
        <v>351694407</v>
      </c>
      <c r="R876" s="944">
        <f>IF(A876='Data Entry - SOF'!B$2,'Report-SOF2223'!D$91,0)</f>
        <v>0</v>
      </c>
      <c r="S876" s="723">
        <f>IF(A876='Data Entry - SOF'!B$2,'Data Entry - SOF'!Q$102,0)</f>
        <v>0</v>
      </c>
      <c r="T876" s="601">
        <f t="shared" si="83"/>
        <v>351694407</v>
      </c>
      <c r="U876" s="944">
        <f>IF(A876='Data Entry - SOF'!B$2,'Report-SOF2324'!D$91,0)</f>
        <v>0</v>
      </c>
      <c r="V876" s="723">
        <f>IF(A876='Data Entry - SOF'!B$2,'Data Entry - SOF'!S$102,0)</f>
        <v>0</v>
      </c>
    </row>
    <row r="877" spans="1:22" ht="15.75">
      <c r="A877" s="382" t="s">
        <v>2182</v>
      </c>
      <c r="B877" s="91">
        <v>194178645</v>
      </c>
      <c r="C877" s="944">
        <f>IF(A877='Data Entry - SOF'!B$2,'Report-SOF1718'!D$102,0)</f>
        <v>0</v>
      </c>
      <c r="D877" s="1037">
        <f>IF(A877='Data Entry - SOF'!B$2,'Data Entry - SOF'!#REF!,0)</f>
        <v>0</v>
      </c>
      <c r="E877" s="91">
        <f t="shared" si="78"/>
        <v>194178645</v>
      </c>
      <c r="F877" s="944">
        <f>IF(A877='Data Entry - SOF'!B$2,'Report-SOF1819'!D$102,0)</f>
        <v>0</v>
      </c>
      <c r="G877" s="1037">
        <f>IF(A877='Data Entry - SOF'!B$2,'Data Entry - SOF'!E$102,0)</f>
        <v>0</v>
      </c>
      <c r="H877" s="1038">
        <f t="shared" si="80"/>
        <v>194178645</v>
      </c>
      <c r="I877" s="944">
        <f>IF(A877='Data Entry - SOF'!B$2,'Report-SOF1920-HB3'!D$102,0)</f>
        <v>0</v>
      </c>
      <c r="J877" s="1037">
        <f>IF(A877='Data Entry - SOF'!B$2,'Data Entry - SOF'!G$102,0)</f>
        <v>0</v>
      </c>
      <c r="K877" s="717">
        <f t="shared" si="81"/>
        <v>194178645</v>
      </c>
      <c r="L877" s="944">
        <f>IF(A877='Data Entry - SOF'!B$2,'Report-SOF2021'!D$99,0)</f>
        <v>0</v>
      </c>
      <c r="M877" s="723">
        <f>IF(A877='Data Entry - SOF'!B$2,'Data Entry - SOF'!M$102,0)</f>
        <v>0</v>
      </c>
      <c r="N877" s="717">
        <f t="shared" si="82"/>
        <v>194178645</v>
      </c>
      <c r="O877" s="944">
        <f>IF(A877='Data Entry - SOF'!B$2,'Report-SOF2122'!D$91,0)</f>
        <v>0</v>
      </c>
      <c r="P877" s="723">
        <f>IF(A877='Data Entry - SOF'!B$2,'Data Entry - SOF'!O$102,0)</f>
        <v>0</v>
      </c>
      <c r="Q877" s="601">
        <f t="shared" si="79"/>
        <v>194178645</v>
      </c>
      <c r="R877" s="944">
        <f>IF(A877='Data Entry - SOF'!B$2,'Report-SOF2223'!D$91,0)</f>
        <v>0</v>
      </c>
      <c r="S877" s="723">
        <f>IF(A877='Data Entry - SOF'!B$2,'Data Entry - SOF'!Q$102,0)</f>
        <v>0</v>
      </c>
      <c r="T877" s="601">
        <f t="shared" si="83"/>
        <v>194178645</v>
      </c>
      <c r="U877" s="944">
        <f>IF(A877='Data Entry - SOF'!B$2,'Report-SOF2324'!D$91,0)</f>
        <v>0</v>
      </c>
      <c r="V877" s="723">
        <f>IF(A877='Data Entry - SOF'!B$2,'Data Entry - SOF'!S$102,0)</f>
        <v>0</v>
      </c>
    </row>
    <row r="878" spans="1:22" ht="15.75">
      <c r="A878" s="382" t="s">
        <v>50</v>
      </c>
      <c r="B878" s="91">
        <v>314120680</v>
      </c>
      <c r="C878" s="944">
        <f>IF(A878='Data Entry - SOF'!B$2,'Report-SOF1718'!D$102,0)</f>
        <v>0</v>
      </c>
      <c r="D878" s="1037">
        <f>IF(A878='Data Entry - SOF'!B$2,'Data Entry - SOF'!#REF!,0)</f>
        <v>0</v>
      </c>
      <c r="E878" s="91">
        <f t="shared" si="78"/>
        <v>314120680</v>
      </c>
      <c r="F878" s="944">
        <f>IF(A878='Data Entry - SOF'!B$2,'Report-SOF1819'!D$102,0)</f>
        <v>0</v>
      </c>
      <c r="G878" s="1037">
        <f>IF(A878='Data Entry - SOF'!B$2,'Data Entry - SOF'!E$102,0)</f>
        <v>0</v>
      </c>
      <c r="H878" s="1038">
        <f t="shared" si="80"/>
        <v>314120680</v>
      </c>
      <c r="I878" s="944">
        <f>IF(A878='Data Entry - SOF'!B$2,'Report-SOF1920-HB3'!D$102,0)</f>
        <v>0</v>
      </c>
      <c r="J878" s="1037">
        <f>IF(A878='Data Entry - SOF'!B$2,'Data Entry - SOF'!G$102,0)</f>
        <v>0</v>
      </c>
      <c r="K878" s="717">
        <f t="shared" si="81"/>
        <v>314120680</v>
      </c>
      <c r="L878" s="944">
        <f>IF(A878='Data Entry - SOF'!B$2,'Report-SOF2021'!D$99,0)</f>
        <v>0</v>
      </c>
      <c r="M878" s="723">
        <f>IF(A878='Data Entry - SOF'!B$2,'Data Entry - SOF'!M$102,0)</f>
        <v>0</v>
      </c>
      <c r="N878" s="717">
        <f t="shared" si="82"/>
        <v>314120680</v>
      </c>
      <c r="O878" s="944">
        <f>IF(A878='Data Entry - SOF'!B$2,'Report-SOF2122'!D$91,0)</f>
        <v>0</v>
      </c>
      <c r="P878" s="723">
        <f>IF(A878='Data Entry - SOF'!B$2,'Data Entry - SOF'!O$102,0)</f>
        <v>0</v>
      </c>
      <c r="Q878" s="601">
        <f t="shared" si="79"/>
        <v>314120680</v>
      </c>
      <c r="R878" s="944">
        <f>IF(A878='Data Entry - SOF'!B$2,'Report-SOF2223'!D$91,0)</f>
        <v>0</v>
      </c>
      <c r="S878" s="723">
        <f>IF(A878='Data Entry - SOF'!B$2,'Data Entry - SOF'!Q$102,0)</f>
        <v>0</v>
      </c>
      <c r="T878" s="601">
        <f t="shared" si="83"/>
        <v>314120680</v>
      </c>
      <c r="U878" s="944">
        <f>IF(A878='Data Entry - SOF'!B$2,'Report-SOF2324'!D$91,0)</f>
        <v>0</v>
      </c>
      <c r="V878" s="723">
        <f>IF(A878='Data Entry - SOF'!B$2,'Data Entry - SOF'!S$102,0)</f>
        <v>0</v>
      </c>
    </row>
    <row r="879" spans="1:22" ht="15.75">
      <c r="A879" s="382" t="s">
        <v>347</v>
      </c>
      <c r="B879" s="91">
        <v>125664010</v>
      </c>
      <c r="C879" s="944">
        <f>IF(A879='Data Entry - SOF'!B$2,'Report-SOF1718'!D$102,0)</f>
        <v>0</v>
      </c>
      <c r="D879" s="1037">
        <f>IF(A879='Data Entry - SOF'!B$2,'Data Entry - SOF'!#REF!,0)</f>
        <v>0</v>
      </c>
      <c r="E879" s="91">
        <f t="shared" si="78"/>
        <v>125664010</v>
      </c>
      <c r="F879" s="944">
        <f>IF(A879='Data Entry - SOF'!B$2,'Report-SOF1819'!D$102,0)</f>
        <v>0</v>
      </c>
      <c r="G879" s="1037">
        <f>IF(A879='Data Entry - SOF'!B$2,'Data Entry - SOF'!E$102,0)</f>
        <v>0</v>
      </c>
      <c r="H879" s="1038">
        <f t="shared" si="80"/>
        <v>125664010</v>
      </c>
      <c r="I879" s="944">
        <f>IF(A879='Data Entry - SOF'!B$2,'Report-SOF1920-HB3'!D$102,0)</f>
        <v>0</v>
      </c>
      <c r="J879" s="1037">
        <f>IF(A879='Data Entry - SOF'!B$2,'Data Entry - SOF'!G$102,0)</f>
        <v>0</v>
      </c>
      <c r="K879" s="717">
        <f t="shared" si="81"/>
        <v>125664010</v>
      </c>
      <c r="L879" s="944">
        <f>IF(A879='Data Entry - SOF'!B$2,'Report-SOF2021'!D$99,0)</f>
        <v>0</v>
      </c>
      <c r="M879" s="723">
        <f>IF(A879='Data Entry - SOF'!B$2,'Data Entry - SOF'!M$102,0)</f>
        <v>0</v>
      </c>
      <c r="N879" s="717">
        <f t="shared" si="82"/>
        <v>125664010</v>
      </c>
      <c r="O879" s="944">
        <f>IF(A879='Data Entry - SOF'!B$2,'Report-SOF2122'!D$91,0)</f>
        <v>0</v>
      </c>
      <c r="P879" s="723">
        <f>IF(A879='Data Entry - SOF'!B$2,'Data Entry - SOF'!O$102,0)</f>
        <v>0</v>
      </c>
      <c r="Q879" s="601">
        <f t="shared" si="79"/>
        <v>125664010</v>
      </c>
      <c r="R879" s="944">
        <f>IF(A879='Data Entry - SOF'!B$2,'Report-SOF2223'!D$91,0)</f>
        <v>0</v>
      </c>
      <c r="S879" s="723">
        <f>IF(A879='Data Entry - SOF'!B$2,'Data Entry - SOF'!Q$102,0)</f>
        <v>0</v>
      </c>
      <c r="T879" s="601">
        <f t="shared" si="83"/>
        <v>125664010</v>
      </c>
      <c r="U879" s="944">
        <f>IF(A879='Data Entry - SOF'!B$2,'Report-SOF2324'!D$91,0)</f>
        <v>0</v>
      </c>
      <c r="V879" s="723">
        <f>IF(A879='Data Entry - SOF'!B$2,'Data Entry - SOF'!S$102,0)</f>
        <v>0</v>
      </c>
    </row>
    <row r="880" spans="1:22" ht="15.75">
      <c r="A880" s="382" t="s">
        <v>1767</v>
      </c>
      <c r="B880" s="91">
        <v>13924245</v>
      </c>
      <c r="C880" s="944">
        <f>IF(A880='Data Entry - SOF'!B$2,'Report-SOF1718'!D$102,0)</f>
        <v>0</v>
      </c>
      <c r="D880" s="1037">
        <f>IF(A880='Data Entry - SOF'!B$2,'Data Entry - SOF'!#REF!,0)</f>
        <v>0</v>
      </c>
      <c r="E880" s="91">
        <f t="shared" si="78"/>
        <v>13924245</v>
      </c>
      <c r="F880" s="944">
        <f>IF(A880='Data Entry - SOF'!B$2,'Report-SOF1819'!D$102,0)</f>
        <v>0</v>
      </c>
      <c r="G880" s="1037">
        <f>IF(A880='Data Entry - SOF'!B$2,'Data Entry - SOF'!E$102,0)</f>
        <v>0</v>
      </c>
      <c r="H880" s="1038">
        <f t="shared" si="80"/>
        <v>13924245</v>
      </c>
      <c r="I880" s="944">
        <f>IF(A880='Data Entry - SOF'!B$2,'Report-SOF1920-HB3'!D$102,0)</f>
        <v>0</v>
      </c>
      <c r="J880" s="1037">
        <f>IF(A880='Data Entry - SOF'!B$2,'Data Entry - SOF'!G$102,0)</f>
        <v>0</v>
      </c>
      <c r="K880" s="717">
        <f t="shared" si="81"/>
        <v>13924245</v>
      </c>
      <c r="L880" s="944">
        <f>IF(A880='Data Entry - SOF'!B$2,'Report-SOF2021'!D$99,0)</f>
        <v>0</v>
      </c>
      <c r="M880" s="723">
        <f>IF(A880='Data Entry - SOF'!B$2,'Data Entry - SOF'!M$102,0)</f>
        <v>0</v>
      </c>
      <c r="N880" s="717">
        <f t="shared" si="82"/>
        <v>13924245</v>
      </c>
      <c r="O880" s="944">
        <f>IF(A880='Data Entry - SOF'!B$2,'Report-SOF2122'!D$91,0)</f>
        <v>0</v>
      </c>
      <c r="P880" s="723">
        <f>IF(A880='Data Entry - SOF'!B$2,'Data Entry - SOF'!O$102,0)</f>
        <v>0</v>
      </c>
      <c r="Q880" s="601">
        <f t="shared" si="79"/>
        <v>13924245</v>
      </c>
      <c r="R880" s="944">
        <f>IF(A880='Data Entry - SOF'!B$2,'Report-SOF2223'!D$91,0)</f>
        <v>0</v>
      </c>
      <c r="S880" s="723">
        <f>IF(A880='Data Entry - SOF'!B$2,'Data Entry - SOF'!Q$102,0)</f>
        <v>0</v>
      </c>
      <c r="T880" s="601">
        <f t="shared" si="83"/>
        <v>13924245</v>
      </c>
      <c r="U880" s="944">
        <f>IF(A880='Data Entry - SOF'!B$2,'Report-SOF2324'!D$91,0)</f>
        <v>0</v>
      </c>
      <c r="V880" s="723">
        <f>IF(A880='Data Entry - SOF'!B$2,'Data Entry - SOF'!S$102,0)</f>
        <v>0</v>
      </c>
    </row>
    <row r="881" spans="1:22" ht="15.75">
      <c r="A881" s="382" t="s">
        <v>2405</v>
      </c>
      <c r="B881" s="91">
        <v>58423240</v>
      </c>
      <c r="C881" s="944">
        <f>IF(A881='Data Entry - SOF'!B$2,'Report-SOF1718'!D$102,0)</f>
        <v>0</v>
      </c>
      <c r="D881" s="1037">
        <f>IF(A881='Data Entry - SOF'!B$2,'Data Entry - SOF'!#REF!,0)</f>
        <v>0</v>
      </c>
      <c r="E881" s="91">
        <f t="shared" si="78"/>
        <v>58423240</v>
      </c>
      <c r="F881" s="944">
        <f>IF(A881='Data Entry - SOF'!B$2,'Report-SOF1819'!D$102,0)</f>
        <v>0</v>
      </c>
      <c r="G881" s="1037">
        <f>IF(A881='Data Entry - SOF'!B$2,'Data Entry - SOF'!E$102,0)</f>
        <v>0</v>
      </c>
      <c r="H881" s="1038">
        <f t="shared" si="80"/>
        <v>58423240</v>
      </c>
      <c r="I881" s="944">
        <f>IF(A881='Data Entry - SOF'!B$2,'Report-SOF1920-HB3'!D$102,0)</f>
        <v>0</v>
      </c>
      <c r="J881" s="1037">
        <f>IF(A881='Data Entry - SOF'!B$2,'Data Entry - SOF'!G$102,0)</f>
        <v>0</v>
      </c>
      <c r="K881" s="717">
        <f t="shared" si="81"/>
        <v>58423240</v>
      </c>
      <c r="L881" s="944">
        <f>IF(A881='Data Entry - SOF'!B$2,'Report-SOF2021'!D$99,0)</f>
        <v>0</v>
      </c>
      <c r="M881" s="723">
        <f>IF(A881='Data Entry - SOF'!B$2,'Data Entry - SOF'!M$102,0)</f>
        <v>0</v>
      </c>
      <c r="N881" s="717">
        <f t="shared" si="82"/>
        <v>58423240</v>
      </c>
      <c r="O881" s="944">
        <f>IF(A881='Data Entry - SOF'!B$2,'Report-SOF2122'!D$91,0)</f>
        <v>0</v>
      </c>
      <c r="P881" s="723">
        <f>IF(A881='Data Entry - SOF'!B$2,'Data Entry - SOF'!O$102,0)</f>
        <v>0</v>
      </c>
      <c r="Q881" s="601">
        <f t="shared" si="79"/>
        <v>58423240</v>
      </c>
      <c r="R881" s="944">
        <f>IF(A881='Data Entry - SOF'!B$2,'Report-SOF2223'!D$91,0)</f>
        <v>0</v>
      </c>
      <c r="S881" s="723">
        <f>IF(A881='Data Entry - SOF'!B$2,'Data Entry - SOF'!Q$102,0)</f>
        <v>0</v>
      </c>
      <c r="T881" s="601">
        <f t="shared" si="83"/>
        <v>58423240</v>
      </c>
      <c r="U881" s="944">
        <f>IF(A881='Data Entry - SOF'!B$2,'Report-SOF2324'!D$91,0)</f>
        <v>0</v>
      </c>
      <c r="V881" s="723">
        <f>IF(A881='Data Entry - SOF'!B$2,'Data Entry - SOF'!S$102,0)</f>
        <v>0</v>
      </c>
    </row>
    <row r="882" spans="1:22" ht="15.75">
      <c r="A882" s="382" t="s">
        <v>52</v>
      </c>
      <c r="B882" s="91">
        <v>11251678</v>
      </c>
      <c r="C882" s="944">
        <f>IF(A882='Data Entry - SOF'!B$2,'Report-SOF1718'!D$102,0)</f>
        <v>0</v>
      </c>
      <c r="D882" s="1037">
        <f>IF(A882='Data Entry - SOF'!B$2,'Data Entry - SOF'!#REF!,0)</f>
        <v>0</v>
      </c>
      <c r="E882" s="91">
        <f t="shared" si="78"/>
        <v>11251678</v>
      </c>
      <c r="F882" s="944">
        <f>IF(A882='Data Entry - SOF'!B$2,'Report-SOF1819'!D$102,0)</f>
        <v>0</v>
      </c>
      <c r="G882" s="1037">
        <f>IF(A882='Data Entry - SOF'!B$2,'Data Entry - SOF'!E$102,0)</f>
        <v>0</v>
      </c>
      <c r="H882" s="1038">
        <f t="shared" si="80"/>
        <v>11251678</v>
      </c>
      <c r="I882" s="944">
        <f>IF(A882='Data Entry - SOF'!B$2,'Report-SOF1920-HB3'!D$102,0)</f>
        <v>0</v>
      </c>
      <c r="J882" s="1037">
        <f>IF(A882='Data Entry - SOF'!B$2,'Data Entry - SOF'!G$102,0)</f>
        <v>0</v>
      </c>
      <c r="K882" s="717">
        <f t="shared" si="81"/>
        <v>11251678</v>
      </c>
      <c r="L882" s="944">
        <f>IF(A882='Data Entry - SOF'!B$2,'Report-SOF2021'!D$99,0)</f>
        <v>0</v>
      </c>
      <c r="M882" s="723">
        <f>IF(A882='Data Entry - SOF'!B$2,'Data Entry - SOF'!M$102,0)</f>
        <v>0</v>
      </c>
      <c r="N882" s="717">
        <f t="shared" si="82"/>
        <v>11251678</v>
      </c>
      <c r="O882" s="944">
        <f>IF(A882='Data Entry - SOF'!B$2,'Report-SOF2122'!D$91,0)</f>
        <v>0</v>
      </c>
      <c r="P882" s="723">
        <f>IF(A882='Data Entry - SOF'!B$2,'Data Entry - SOF'!O$102,0)</f>
        <v>0</v>
      </c>
      <c r="Q882" s="601">
        <f t="shared" si="79"/>
        <v>11251678</v>
      </c>
      <c r="R882" s="944">
        <f>IF(A882='Data Entry - SOF'!B$2,'Report-SOF2223'!D$91,0)</f>
        <v>0</v>
      </c>
      <c r="S882" s="723">
        <f>IF(A882='Data Entry - SOF'!B$2,'Data Entry - SOF'!Q$102,0)</f>
        <v>0</v>
      </c>
      <c r="T882" s="601">
        <f t="shared" si="83"/>
        <v>11251678</v>
      </c>
      <c r="U882" s="944">
        <f>IF(A882='Data Entry - SOF'!B$2,'Report-SOF2324'!D$91,0)</f>
        <v>0</v>
      </c>
      <c r="V882" s="723">
        <f>IF(A882='Data Entry - SOF'!B$2,'Data Entry - SOF'!S$102,0)</f>
        <v>0</v>
      </c>
    </row>
    <row r="883" spans="1:22" ht="15.75">
      <c r="A883" s="382" t="s">
        <v>1681</v>
      </c>
      <c r="B883" s="91">
        <v>16544073</v>
      </c>
      <c r="C883" s="944">
        <f>IF(A883='Data Entry - SOF'!B$2,'Report-SOF1718'!D$102,0)</f>
        <v>0</v>
      </c>
      <c r="D883" s="1037">
        <f>IF(A883='Data Entry - SOF'!B$2,'Data Entry - SOF'!#REF!,0)</f>
        <v>0</v>
      </c>
      <c r="E883" s="91">
        <f t="shared" si="78"/>
        <v>16544073</v>
      </c>
      <c r="F883" s="944">
        <f>IF(A883='Data Entry - SOF'!B$2,'Report-SOF1819'!D$102,0)</f>
        <v>0</v>
      </c>
      <c r="G883" s="1037">
        <f>IF(A883='Data Entry - SOF'!B$2,'Data Entry - SOF'!E$102,0)</f>
        <v>0</v>
      </c>
      <c r="H883" s="1038">
        <f t="shared" si="80"/>
        <v>16544073</v>
      </c>
      <c r="I883" s="944">
        <f>IF(A883='Data Entry - SOF'!B$2,'Report-SOF1920-HB3'!D$102,0)</f>
        <v>0</v>
      </c>
      <c r="J883" s="1037">
        <f>IF(A883='Data Entry - SOF'!B$2,'Data Entry - SOF'!G$102,0)</f>
        <v>0</v>
      </c>
      <c r="K883" s="717">
        <f t="shared" si="81"/>
        <v>16544073</v>
      </c>
      <c r="L883" s="944">
        <f>IF(A883='Data Entry - SOF'!B$2,'Report-SOF2021'!D$99,0)</f>
        <v>0</v>
      </c>
      <c r="M883" s="723">
        <f>IF(A883='Data Entry - SOF'!B$2,'Data Entry - SOF'!M$102,0)</f>
        <v>0</v>
      </c>
      <c r="N883" s="717">
        <f t="shared" si="82"/>
        <v>16544073</v>
      </c>
      <c r="O883" s="944">
        <f>IF(A883='Data Entry - SOF'!B$2,'Report-SOF2122'!D$91,0)</f>
        <v>0</v>
      </c>
      <c r="P883" s="723">
        <f>IF(A883='Data Entry - SOF'!B$2,'Data Entry - SOF'!O$102,0)</f>
        <v>0</v>
      </c>
      <c r="Q883" s="601">
        <f t="shared" si="79"/>
        <v>16544073</v>
      </c>
      <c r="R883" s="944">
        <f>IF(A883='Data Entry - SOF'!B$2,'Report-SOF2223'!D$91,0)</f>
        <v>0</v>
      </c>
      <c r="S883" s="723">
        <f>IF(A883='Data Entry - SOF'!B$2,'Data Entry - SOF'!Q$102,0)</f>
        <v>0</v>
      </c>
      <c r="T883" s="601">
        <f t="shared" si="83"/>
        <v>16544073</v>
      </c>
      <c r="U883" s="944">
        <f>IF(A883='Data Entry - SOF'!B$2,'Report-SOF2324'!D$91,0)</f>
        <v>0</v>
      </c>
      <c r="V883" s="723">
        <f>IF(A883='Data Entry - SOF'!B$2,'Data Entry - SOF'!S$102,0)</f>
        <v>0</v>
      </c>
    </row>
    <row r="884" spans="1:22" ht="15.75">
      <c r="A884" s="382" t="s">
        <v>1119</v>
      </c>
      <c r="B884" s="91">
        <v>93325351</v>
      </c>
      <c r="C884" s="944">
        <f>IF(A884='Data Entry - SOF'!B$2,'Report-SOF1718'!D$102,0)</f>
        <v>0</v>
      </c>
      <c r="D884" s="1037">
        <f>IF(A884='Data Entry - SOF'!B$2,'Data Entry - SOF'!#REF!,0)</f>
        <v>0</v>
      </c>
      <c r="E884" s="91">
        <f t="shared" si="78"/>
        <v>93325351</v>
      </c>
      <c r="F884" s="944">
        <f>IF(A884='Data Entry - SOF'!B$2,'Report-SOF1819'!D$102,0)</f>
        <v>0</v>
      </c>
      <c r="G884" s="1037">
        <f>IF(A884='Data Entry - SOF'!B$2,'Data Entry - SOF'!E$102,0)</f>
        <v>0</v>
      </c>
      <c r="H884" s="1038">
        <f t="shared" si="80"/>
        <v>93325351</v>
      </c>
      <c r="I884" s="944">
        <f>IF(A884='Data Entry - SOF'!B$2,'Report-SOF1920-HB3'!D$102,0)</f>
        <v>0</v>
      </c>
      <c r="J884" s="1037">
        <f>IF(A884='Data Entry - SOF'!B$2,'Data Entry - SOF'!G$102,0)</f>
        <v>0</v>
      </c>
      <c r="K884" s="717">
        <f t="shared" si="81"/>
        <v>93325351</v>
      </c>
      <c r="L884" s="944">
        <f>IF(A884='Data Entry - SOF'!B$2,'Report-SOF2021'!D$99,0)</f>
        <v>0</v>
      </c>
      <c r="M884" s="723">
        <f>IF(A884='Data Entry - SOF'!B$2,'Data Entry - SOF'!M$102,0)</f>
        <v>0</v>
      </c>
      <c r="N884" s="717">
        <f t="shared" si="82"/>
        <v>93325351</v>
      </c>
      <c r="O884" s="944">
        <f>IF(A884='Data Entry - SOF'!B$2,'Report-SOF2122'!D$91,0)</f>
        <v>0</v>
      </c>
      <c r="P884" s="723">
        <f>IF(A884='Data Entry - SOF'!B$2,'Data Entry - SOF'!O$102,0)</f>
        <v>0</v>
      </c>
      <c r="Q884" s="601">
        <f t="shared" si="79"/>
        <v>93325351</v>
      </c>
      <c r="R884" s="944">
        <f>IF(A884='Data Entry - SOF'!B$2,'Report-SOF2223'!D$91,0)</f>
        <v>0</v>
      </c>
      <c r="S884" s="723">
        <f>IF(A884='Data Entry - SOF'!B$2,'Data Entry - SOF'!Q$102,0)</f>
        <v>0</v>
      </c>
      <c r="T884" s="601">
        <f t="shared" si="83"/>
        <v>93325351</v>
      </c>
      <c r="U884" s="944">
        <f>IF(A884='Data Entry - SOF'!B$2,'Report-SOF2324'!D$91,0)</f>
        <v>0</v>
      </c>
      <c r="V884" s="723">
        <f>IF(A884='Data Entry - SOF'!B$2,'Data Entry - SOF'!S$102,0)</f>
        <v>0</v>
      </c>
    </row>
    <row r="885" spans="1:22" ht="15.75">
      <c r="A885" s="382" t="s">
        <v>1847</v>
      </c>
      <c r="B885" s="91">
        <v>4882558</v>
      </c>
      <c r="C885" s="944">
        <f>IF(A885='Data Entry - SOF'!B$2,'Report-SOF1718'!D$102,0)</f>
        <v>0</v>
      </c>
      <c r="D885" s="1037">
        <f>IF(A885='Data Entry - SOF'!B$2,'Data Entry - SOF'!#REF!,0)</f>
        <v>0</v>
      </c>
      <c r="E885" s="91">
        <f t="shared" si="78"/>
        <v>4882558</v>
      </c>
      <c r="F885" s="944">
        <f>IF(A885='Data Entry - SOF'!B$2,'Report-SOF1819'!D$102,0)</f>
        <v>0</v>
      </c>
      <c r="G885" s="1037">
        <f>IF(A885='Data Entry - SOF'!B$2,'Data Entry - SOF'!E$102,0)</f>
        <v>0</v>
      </c>
      <c r="H885" s="1038">
        <f t="shared" si="80"/>
        <v>4882558</v>
      </c>
      <c r="I885" s="944">
        <f>IF(A885='Data Entry - SOF'!B$2,'Report-SOF1920-HB3'!D$102,0)</f>
        <v>0</v>
      </c>
      <c r="J885" s="1037">
        <f>IF(A885='Data Entry - SOF'!B$2,'Data Entry - SOF'!G$102,0)</f>
        <v>0</v>
      </c>
      <c r="K885" s="717">
        <f t="shared" si="81"/>
        <v>4882558</v>
      </c>
      <c r="L885" s="944">
        <f>IF(A885='Data Entry - SOF'!B$2,'Report-SOF2021'!D$99,0)</f>
        <v>0</v>
      </c>
      <c r="M885" s="723">
        <f>IF(A885='Data Entry - SOF'!B$2,'Data Entry - SOF'!M$102,0)</f>
        <v>0</v>
      </c>
      <c r="N885" s="717">
        <f t="shared" si="82"/>
        <v>4882558</v>
      </c>
      <c r="O885" s="944">
        <f>IF(A885='Data Entry - SOF'!B$2,'Report-SOF2122'!D$91,0)</f>
        <v>0</v>
      </c>
      <c r="P885" s="723">
        <f>IF(A885='Data Entry - SOF'!B$2,'Data Entry - SOF'!O$102,0)</f>
        <v>0</v>
      </c>
      <c r="Q885" s="601">
        <f t="shared" si="79"/>
        <v>4882558</v>
      </c>
      <c r="R885" s="944">
        <f>IF(A885='Data Entry - SOF'!B$2,'Report-SOF2223'!D$91,0)</f>
        <v>0</v>
      </c>
      <c r="S885" s="723">
        <f>IF(A885='Data Entry - SOF'!B$2,'Data Entry - SOF'!Q$102,0)</f>
        <v>0</v>
      </c>
      <c r="T885" s="601">
        <f t="shared" si="83"/>
        <v>4882558</v>
      </c>
      <c r="U885" s="944">
        <f>IF(A885='Data Entry - SOF'!B$2,'Report-SOF2324'!D$91,0)</f>
        <v>0</v>
      </c>
      <c r="V885" s="723">
        <f>IF(A885='Data Entry - SOF'!B$2,'Data Entry - SOF'!S$102,0)</f>
        <v>0</v>
      </c>
    </row>
    <row r="886" spans="1:22" ht="15.75">
      <c r="A886" s="382" t="s">
        <v>2223</v>
      </c>
      <c r="B886" s="91">
        <v>118956283</v>
      </c>
      <c r="C886" s="944">
        <f>IF(A886='Data Entry - SOF'!B$2,'Report-SOF1718'!D$102,0)</f>
        <v>0</v>
      </c>
      <c r="D886" s="1037">
        <f>IF(A886='Data Entry - SOF'!B$2,'Data Entry - SOF'!#REF!,0)</f>
        <v>0</v>
      </c>
      <c r="E886" s="91">
        <f t="shared" si="78"/>
        <v>118956283</v>
      </c>
      <c r="F886" s="944">
        <f>IF(A886='Data Entry - SOF'!B$2,'Report-SOF1819'!D$102,0)</f>
        <v>0</v>
      </c>
      <c r="G886" s="1037">
        <f>IF(A886='Data Entry - SOF'!B$2,'Data Entry - SOF'!E$102,0)</f>
        <v>0</v>
      </c>
      <c r="H886" s="1038">
        <f t="shared" si="80"/>
        <v>118956283</v>
      </c>
      <c r="I886" s="944">
        <f>IF(A886='Data Entry - SOF'!B$2,'Report-SOF1920-HB3'!D$102,0)</f>
        <v>0</v>
      </c>
      <c r="J886" s="1037">
        <f>IF(A886='Data Entry - SOF'!B$2,'Data Entry - SOF'!G$102,0)</f>
        <v>0</v>
      </c>
      <c r="K886" s="717">
        <f t="shared" si="81"/>
        <v>118956283</v>
      </c>
      <c r="L886" s="944">
        <f>IF(A886='Data Entry - SOF'!B$2,'Report-SOF2021'!D$99,0)</f>
        <v>0</v>
      </c>
      <c r="M886" s="723">
        <f>IF(A886='Data Entry - SOF'!B$2,'Data Entry - SOF'!M$102,0)</f>
        <v>0</v>
      </c>
      <c r="N886" s="717">
        <f t="shared" si="82"/>
        <v>118956283</v>
      </c>
      <c r="O886" s="944">
        <f>IF(A886='Data Entry - SOF'!B$2,'Report-SOF2122'!D$91,0)</f>
        <v>0</v>
      </c>
      <c r="P886" s="723">
        <f>IF(A886='Data Entry - SOF'!B$2,'Data Entry - SOF'!O$102,0)</f>
        <v>0</v>
      </c>
      <c r="Q886" s="601">
        <f t="shared" si="79"/>
        <v>118956283</v>
      </c>
      <c r="R886" s="944">
        <f>IF(A886='Data Entry - SOF'!B$2,'Report-SOF2223'!D$91,0)</f>
        <v>0</v>
      </c>
      <c r="S886" s="723">
        <f>IF(A886='Data Entry - SOF'!B$2,'Data Entry - SOF'!Q$102,0)</f>
        <v>0</v>
      </c>
      <c r="T886" s="601">
        <f t="shared" si="83"/>
        <v>118956283</v>
      </c>
      <c r="U886" s="944">
        <f>IF(A886='Data Entry - SOF'!B$2,'Report-SOF2324'!D$91,0)</f>
        <v>0</v>
      </c>
      <c r="V886" s="723">
        <f>IF(A886='Data Entry - SOF'!B$2,'Data Entry - SOF'!S$102,0)</f>
        <v>0</v>
      </c>
    </row>
    <row r="887" spans="1:22" ht="15.75">
      <c r="A887" s="382" t="s">
        <v>1846</v>
      </c>
      <c r="B887" s="91">
        <v>212957102</v>
      </c>
      <c r="C887" s="944">
        <f>IF(A887='Data Entry - SOF'!B$2,'Report-SOF1718'!D$102,0)</f>
        <v>0</v>
      </c>
      <c r="D887" s="1037">
        <f>IF(A887='Data Entry - SOF'!B$2,'Data Entry - SOF'!#REF!,0)</f>
        <v>0</v>
      </c>
      <c r="E887" s="91">
        <f t="shared" si="78"/>
        <v>212957102</v>
      </c>
      <c r="F887" s="944">
        <f>IF(A887='Data Entry - SOF'!B$2,'Report-SOF1819'!D$102,0)</f>
        <v>0</v>
      </c>
      <c r="G887" s="1037">
        <f>IF(A887='Data Entry - SOF'!B$2,'Data Entry - SOF'!E$102,0)</f>
        <v>0</v>
      </c>
      <c r="H887" s="1038">
        <f t="shared" si="80"/>
        <v>212957102</v>
      </c>
      <c r="I887" s="944">
        <f>IF(A887='Data Entry - SOF'!B$2,'Report-SOF1920-HB3'!D$102,0)</f>
        <v>0</v>
      </c>
      <c r="J887" s="1037">
        <f>IF(A887='Data Entry - SOF'!B$2,'Data Entry - SOF'!G$102,0)</f>
        <v>0</v>
      </c>
      <c r="K887" s="717">
        <f t="shared" si="81"/>
        <v>212957102</v>
      </c>
      <c r="L887" s="944">
        <f>IF(A887='Data Entry - SOF'!B$2,'Report-SOF2021'!D$99,0)</f>
        <v>0</v>
      </c>
      <c r="M887" s="723">
        <f>IF(A887='Data Entry - SOF'!B$2,'Data Entry - SOF'!M$102,0)</f>
        <v>0</v>
      </c>
      <c r="N887" s="717">
        <f t="shared" si="82"/>
        <v>212957102</v>
      </c>
      <c r="O887" s="944">
        <f>IF(A887='Data Entry - SOF'!B$2,'Report-SOF2122'!D$91,0)</f>
        <v>0</v>
      </c>
      <c r="P887" s="723">
        <f>IF(A887='Data Entry - SOF'!B$2,'Data Entry - SOF'!O$102,0)</f>
        <v>0</v>
      </c>
      <c r="Q887" s="601">
        <f t="shared" si="79"/>
        <v>212957102</v>
      </c>
      <c r="R887" s="944">
        <f>IF(A887='Data Entry - SOF'!B$2,'Report-SOF2223'!D$91,0)</f>
        <v>0</v>
      </c>
      <c r="S887" s="723">
        <f>IF(A887='Data Entry - SOF'!B$2,'Data Entry - SOF'!Q$102,0)</f>
        <v>0</v>
      </c>
      <c r="T887" s="601">
        <f t="shared" si="83"/>
        <v>212957102</v>
      </c>
      <c r="U887" s="944">
        <f>IF(A887='Data Entry - SOF'!B$2,'Report-SOF2324'!D$91,0)</f>
        <v>0</v>
      </c>
      <c r="V887" s="723">
        <f>IF(A887='Data Entry - SOF'!B$2,'Data Entry - SOF'!S$102,0)</f>
        <v>0</v>
      </c>
    </row>
    <row r="888" spans="1:22" ht="15.75">
      <c r="A888" s="382" t="s">
        <v>1180</v>
      </c>
      <c r="B888" s="91">
        <v>39123172</v>
      </c>
      <c r="C888" s="944">
        <f>IF(A888='Data Entry - SOF'!B$2,'Report-SOF1718'!D$102,0)</f>
        <v>0</v>
      </c>
      <c r="D888" s="1037">
        <f>IF(A888='Data Entry - SOF'!B$2,'Data Entry - SOF'!#REF!,0)</f>
        <v>0</v>
      </c>
      <c r="E888" s="91">
        <f t="shared" si="78"/>
        <v>39123172</v>
      </c>
      <c r="F888" s="944">
        <f>IF(A888='Data Entry - SOF'!B$2,'Report-SOF1819'!D$102,0)</f>
        <v>0</v>
      </c>
      <c r="G888" s="1037">
        <f>IF(A888='Data Entry - SOF'!B$2,'Data Entry - SOF'!E$102,0)</f>
        <v>0</v>
      </c>
      <c r="H888" s="1038">
        <f t="shared" si="80"/>
        <v>39123172</v>
      </c>
      <c r="I888" s="944">
        <f>IF(A888='Data Entry - SOF'!B$2,'Report-SOF1920-HB3'!D$102,0)</f>
        <v>0</v>
      </c>
      <c r="J888" s="1037">
        <f>IF(A888='Data Entry - SOF'!B$2,'Data Entry - SOF'!G$102,0)</f>
        <v>0</v>
      </c>
      <c r="K888" s="717">
        <f t="shared" si="81"/>
        <v>39123172</v>
      </c>
      <c r="L888" s="944">
        <f>IF(A888='Data Entry - SOF'!B$2,'Report-SOF2021'!D$99,0)</f>
        <v>0</v>
      </c>
      <c r="M888" s="723">
        <f>IF(A888='Data Entry - SOF'!B$2,'Data Entry - SOF'!M$102,0)</f>
        <v>0</v>
      </c>
      <c r="N888" s="717">
        <f t="shared" si="82"/>
        <v>39123172</v>
      </c>
      <c r="O888" s="944">
        <f>IF(A888='Data Entry - SOF'!B$2,'Report-SOF2122'!D$91,0)</f>
        <v>0</v>
      </c>
      <c r="P888" s="723">
        <f>IF(A888='Data Entry - SOF'!B$2,'Data Entry - SOF'!O$102,0)</f>
        <v>0</v>
      </c>
      <c r="Q888" s="601">
        <f t="shared" si="79"/>
        <v>39123172</v>
      </c>
      <c r="R888" s="944">
        <f>IF(A888='Data Entry - SOF'!B$2,'Report-SOF2223'!D$91,0)</f>
        <v>0</v>
      </c>
      <c r="S888" s="723">
        <f>IF(A888='Data Entry - SOF'!B$2,'Data Entry - SOF'!Q$102,0)</f>
        <v>0</v>
      </c>
      <c r="T888" s="601">
        <f t="shared" si="83"/>
        <v>39123172</v>
      </c>
      <c r="U888" s="944">
        <f>IF(A888='Data Entry - SOF'!B$2,'Report-SOF2324'!D$91,0)</f>
        <v>0</v>
      </c>
      <c r="V888" s="723">
        <f>IF(A888='Data Entry - SOF'!B$2,'Data Entry - SOF'!S$102,0)</f>
        <v>0</v>
      </c>
    </row>
    <row r="889" spans="1:22" ht="15.75">
      <c r="A889" s="382" t="s">
        <v>2224</v>
      </c>
      <c r="B889" s="91">
        <v>21768054</v>
      </c>
      <c r="C889" s="944">
        <f>IF(A889='Data Entry - SOF'!B$2,'Report-SOF1718'!D$102,0)</f>
        <v>0</v>
      </c>
      <c r="D889" s="1037">
        <f>IF(A889='Data Entry - SOF'!B$2,'Data Entry - SOF'!#REF!,0)</f>
        <v>0</v>
      </c>
      <c r="E889" s="91">
        <f t="shared" si="78"/>
        <v>21768054</v>
      </c>
      <c r="F889" s="944">
        <f>IF(A889='Data Entry - SOF'!B$2,'Report-SOF1819'!D$102,0)</f>
        <v>0</v>
      </c>
      <c r="G889" s="1037">
        <f>IF(A889='Data Entry - SOF'!B$2,'Data Entry - SOF'!E$102,0)</f>
        <v>0</v>
      </c>
      <c r="H889" s="1038">
        <f t="shared" si="80"/>
        <v>21768054</v>
      </c>
      <c r="I889" s="944">
        <f>IF(A889='Data Entry - SOF'!B$2,'Report-SOF1920-HB3'!D$102,0)</f>
        <v>0</v>
      </c>
      <c r="J889" s="1037">
        <f>IF(A889='Data Entry - SOF'!B$2,'Data Entry - SOF'!G$102,0)</f>
        <v>0</v>
      </c>
      <c r="K889" s="717">
        <f t="shared" si="81"/>
        <v>21768054</v>
      </c>
      <c r="L889" s="944">
        <f>IF(A889='Data Entry - SOF'!B$2,'Report-SOF2021'!D$99,0)</f>
        <v>0</v>
      </c>
      <c r="M889" s="723">
        <f>IF(A889='Data Entry - SOF'!B$2,'Data Entry - SOF'!M$102,0)</f>
        <v>0</v>
      </c>
      <c r="N889" s="717">
        <f t="shared" si="82"/>
        <v>21768054</v>
      </c>
      <c r="O889" s="944">
        <f>IF(A889='Data Entry - SOF'!B$2,'Report-SOF2122'!D$91,0)</f>
        <v>0</v>
      </c>
      <c r="P889" s="723">
        <f>IF(A889='Data Entry - SOF'!B$2,'Data Entry - SOF'!O$102,0)</f>
        <v>0</v>
      </c>
      <c r="Q889" s="601">
        <f t="shared" si="79"/>
        <v>21768054</v>
      </c>
      <c r="R889" s="944">
        <f>IF(A889='Data Entry - SOF'!B$2,'Report-SOF2223'!D$91,0)</f>
        <v>0</v>
      </c>
      <c r="S889" s="723">
        <f>IF(A889='Data Entry - SOF'!B$2,'Data Entry - SOF'!Q$102,0)</f>
        <v>0</v>
      </c>
      <c r="T889" s="601">
        <f t="shared" si="83"/>
        <v>21768054</v>
      </c>
      <c r="U889" s="944">
        <f>IF(A889='Data Entry - SOF'!B$2,'Report-SOF2324'!D$91,0)</f>
        <v>0</v>
      </c>
      <c r="V889" s="723">
        <f>IF(A889='Data Entry - SOF'!B$2,'Data Entry - SOF'!S$102,0)</f>
        <v>0</v>
      </c>
    </row>
    <row r="890" spans="1:22" ht="15.75">
      <c r="A890" s="382" t="s">
        <v>2225</v>
      </c>
      <c r="B890" s="91">
        <v>2665944</v>
      </c>
      <c r="C890" s="944">
        <f>IF(A890='Data Entry - SOF'!B$2,'Report-SOF1718'!D$102,0)</f>
        <v>0</v>
      </c>
      <c r="D890" s="1037">
        <f>IF(A890='Data Entry - SOF'!B$2,'Data Entry - SOF'!#REF!,0)</f>
        <v>0</v>
      </c>
      <c r="E890" s="91">
        <f t="shared" si="78"/>
        <v>2665944</v>
      </c>
      <c r="F890" s="944">
        <f>IF(A890='Data Entry - SOF'!B$2,'Report-SOF1819'!D$102,0)</f>
        <v>0</v>
      </c>
      <c r="G890" s="1037">
        <f>IF(A890='Data Entry - SOF'!B$2,'Data Entry - SOF'!E$102,0)</f>
        <v>0</v>
      </c>
      <c r="H890" s="1038">
        <f t="shared" si="80"/>
        <v>2665944</v>
      </c>
      <c r="I890" s="944">
        <f>IF(A890='Data Entry - SOF'!B$2,'Report-SOF1920-HB3'!D$102,0)</f>
        <v>0</v>
      </c>
      <c r="J890" s="1037">
        <f>IF(A890='Data Entry - SOF'!B$2,'Data Entry - SOF'!G$102,0)</f>
        <v>0</v>
      </c>
      <c r="K890" s="717">
        <f t="shared" si="81"/>
        <v>2665944</v>
      </c>
      <c r="L890" s="944">
        <f>IF(A890='Data Entry - SOF'!B$2,'Report-SOF2021'!D$99,0)</f>
        <v>0</v>
      </c>
      <c r="M890" s="723">
        <f>IF(A890='Data Entry - SOF'!B$2,'Data Entry - SOF'!M$102,0)</f>
        <v>0</v>
      </c>
      <c r="N890" s="717">
        <f t="shared" si="82"/>
        <v>2665944</v>
      </c>
      <c r="O890" s="944">
        <f>IF(A890='Data Entry - SOF'!B$2,'Report-SOF2122'!D$91,0)</f>
        <v>0</v>
      </c>
      <c r="P890" s="723">
        <f>IF(A890='Data Entry - SOF'!B$2,'Data Entry - SOF'!O$102,0)</f>
        <v>0</v>
      </c>
      <c r="Q890" s="601">
        <f t="shared" si="79"/>
        <v>2665944</v>
      </c>
      <c r="R890" s="944">
        <f>IF(A890='Data Entry - SOF'!B$2,'Report-SOF2223'!D$91,0)</f>
        <v>0</v>
      </c>
      <c r="S890" s="723">
        <f>IF(A890='Data Entry - SOF'!B$2,'Data Entry - SOF'!Q$102,0)</f>
        <v>0</v>
      </c>
      <c r="T890" s="601">
        <f t="shared" si="83"/>
        <v>2665944</v>
      </c>
      <c r="U890" s="944">
        <f>IF(A890='Data Entry - SOF'!B$2,'Report-SOF2324'!D$91,0)</f>
        <v>0</v>
      </c>
      <c r="V890" s="723">
        <f>IF(A890='Data Entry - SOF'!B$2,'Data Entry - SOF'!S$102,0)</f>
        <v>0</v>
      </c>
    </row>
    <row r="891" spans="1:22" ht="15.75">
      <c r="A891" s="382" t="s">
        <v>2655</v>
      </c>
      <c r="B891" s="91">
        <v>6390915</v>
      </c>
      <c r="C891" s="944">
        <f>IF(A891='Data Entry - SOF'!B$2,'Report-SOF1718'!D$102,0)</f>
        <v>0</v>
      </c>
      <c r="D891" s="1037">
        <f>IF(A891='Data Entry - SOF'!B$2,'Data Entry - SOF'!#REF!,0)</f>
        <v>0</v>
      </c>
      <c r="E891" s="91">
        <f t="shared" si="78"/>
        <v>6390915</v>
      </c>
      <c r="F891" s="944">
        <f>IF(A891='Data Entry - SOF'!B$2,'Report-SOF1819'!D$102,0)</f>
        <v>0</v>
      </c>
      <c r="G891" s="1037">
        <f>IF(A891='Data Entry - SOF'!B$2,'Data Entry - SOF'!E$102,0)</f>
        <v>0</v>
      </c>
      <c r="H891" s="1038">
        <f t="shared" si="80"/>
        <v>6390915</v>
      </c>
      <c r="I891" s="944">
        <f>IF(A891='Data Entry - SOF'!B$2,'Report-SOF1920-HB3'!D$102,0)</f>
        <v>0</v>
      </c>
      <c r="J891" s="1037">
        <f>IF(A891='Data Entry - SOF'!B$2,'Data Entry - SOF'!G$102,0)</f>
        <v>0</v>
      </c>
      <c r="K891" s="717">
        <f t="shared" si="81"/>
        <v>6390915</v>
      </c>
      <c r="L891" s="944">
        <f>IF(A891='Data Entry - SOF'!B$2,'Report-SOF2021'!D$99,0)</f>
        <v>0</v>
      </c>
      <c r="M891" s="723">
        <f>IF(A891='Data Entry - SOF'!B$2,'Data Entry - SOF'!M$102,0)</f>
        <v>0</v>
      </c>
      <c r="N891" s="717">
        <f t="shared" si="82"/>
        <v>6390915</v>
      </c>
      <c r="O891" s="944">
        <f>IF(A891='Data Entry - SOF'!B$2,'Report-SOF2122'!D$91,0)</f>
        <v>0</v>
      </c>
      <c r="P891" s="723">
        <f>IF(A891='Data Entry - SOF'!B$2,'Data Entry - SOF'!O$102,0)</f>
        <v>0</v>
      </c>
      <c r="Q891" s="601">
        <f t="shared" si="79"/>
        <v>6390915</v>
      </c>
      <c r="R891" s="944">
        <f>IF(A891='Data Entry - SOF'!B$2,'Report-SOF2223'!D$91,0)</f>
        <v>0</v>
      </c>
      <c r="S891" s="723">
        <f>IF(A891='Data Entry - SOF'!B$2,'Data Entry - SOF'!Q$102,0)</f>
        <v>0</v>
      </c>
      <c r="T891" s="601">
        <f t="shared" si="83"/>
        <v>6390915</v>
      </c>
      <c r="U891" s="944">
        <f>IF(A891='Data Entry - SOF'!B$2,'Report-SOF2324'!D$91,0)</f>
        <v>0</v>
      </c>
      <c r="V891" s="723">
        <f>IF(A891='Data Entry - SOF'!B$2,'Data Entry - SOF'!S$102,0)</f>
        <v>0</v>
      </c>
    </row>
    <row r="892" spans="1:22" ht="15.75">
      <c r="A892" s="382" t="s">
        <v>2656</v>
      </c>
      <c r="B892" s="91">
        <v>1858285</v>
      </c>
      <c r="C892" s="944">
        <f>IF(A892='Data Entry - SOF'!B$2,'Report-SOF1718'!D$102,0)</f>
        <v>0</v>
      </c>
      <c r="D892" s="1037">
        <f>IF(A892='Data Entry - SOF'!B$2,'Data Entry - SOF'!#REF!,0)</f>
        <v>0</v>
      </c>
      <c r="E892" s="91">
        <f t="shared" si="78"/>
        <v>1858285</v>
      </c>
      <c r="F892" s="944">
        <f>IF(A892='Data Entry - SOF'!B$2,'Report-SOF1819'!D$102,0)</f>
        <v>0</v>
      </c>
      <c r="G892" s="1037">
        <f>IF(A892='Data Entry - SOF'!B$2,'Data Entry - SOF'!E$102,0)</f>
        <v>0</v>
      </c>
      <c r="H892" s="1038">
        <f t="shared" si="80"/>
        <v>1858285</v>
      </c>
      <c r="I892" s="944">
        <f>IF(A892='Data Entry - SOF'!B$2,'Report-SOF1920-HB3'!D$102,0)</f>
        <v>0</v>
      </c>
      <c r="J892" s="1037">
        <f>IF(A892='Data Entry - SOF'!B$2,'Data Entry - SOF'!G$102,0)</f>
        <v>0</v>
      </c>
      <c r="K892" s="717">
        <f t="shared" si="81"/>
        <v>1858285</v>
      </c>
      <c r="L892" s="944">
        <f>IF(A892='Data Entry - SOF'!B$2,'Report-SOF2021'!D$99,0)</f>
        <v>0</v>
      </c>
      <c r="M892" s="723">
        <f>IF(A892='Data Entry - SOF'!B$2,'Data Entry - SOF'!M$102,0)</f>
        <v>0</v>
      </c>
      <c r="N892" s="717">
        <f t="shared" si="82"/>
        <v>1858285</v>
      </c>
      <c r="O892" s="944">
        <f>IF(A892='Data Entry - SOF'!B$2,'Report-SOF2122'!D$91,0)</f>
        <v>0</v>
      </c>
      <c r="P892" s="723">
        <f>IF(A892='Data Entry - SOF'!B$2,'Data Entry - SOF'!O$102,0)</f>
        <v>0</v>
      </c>
      <c r="Q892" s="601">
        <f t="shared" si="79"/>
        <v>1858285</v>
      </c>
      <c r="R892" s="944">
        <f>IF(A892='Data Entry - SOF'!B$2,'Report-SOF2223'!D$91,0)</f>
        <v>0</v>
      </c>
      <c r="S892" s="723">
        <f>IF(A892='Data Entry - SOF'!B$2,'Data Entry - SOF'!Q$102,0)</f>
        <v>0</v>
      </c>
      <c r="T892" s="601">
        <f t="shared" si="83"/>
        <v>1858285</v>
      </c>
      <c r="U892" s="944">
        <f>IF(A892='Data Entry - SOF'!B$2,'Report-SOF2324'!D$91,0)</f>
        <v>0</v>
      </c>
      <c r="V892" s="723">
        <f>IF(A892='Data Entry - SOF'!B$2,'Data Entry - SOF'!S$102,0)</f>
        <v>0</v>
      </c>
    </row>
    <row r="893" spans="1:22" ht="15.75">
      <c r="A893" s="382" t="s">
        <v>2657</v>
      </c>
      <c r="B893" s="91">
        <v>10618308</v>
      </c>
      <c r="C893" s="944">
        <f>IF(A893='Data Entry - SOF'!B$2,'Report-SOF1718'!D$102,0)</f>
        <v>0</v>
      </c>
      <c r="D893" s="1037">
        <f>IF(A893='Data Entry - SOF'!B$2,'Data Entry - SOF'!#REF!,0)</f>
        <v>0</v>
      </c>
      <c r="E893" s="91">
        <f t="shared" si="78"/>
        <v>10618308</v>
      </c>
      <c r="F893" s="944">
        <f>IF(A893='Data Entry - SOF'!B$2,'Report-SOF1819'!D$102,0)</f>
        <v>0</v>
      </c>
      <c r="G893" s="1037">
        <f>IF(A893='Data Entry - SOF'!B$2,'Data Entry - SOF'!E$102,0)</f>
        <v>0</v>
      </c>
      <c r="H893" s="1038">
        <f t="shared" si="80"/>
        <v>10618308</v>
      </c>
      <c r="I893" s="944">
        <f>IF(A893='Data Entry - SOF'!B$2,'Report-SOF1920-HB3'!D$102,0)</f>
        <v>0</v>
      </c>
      <c r="J893" s="1037">
        <f>IF(A893='Data Entry - SOF'!B$2,'Data Entry - SOF'!G$102,0)</f>
        <v>0</v>
      </c>
      <c r="K893" s="717">
        <f t="shared" si="81"/>
        <v>10618308</v>
      </c>
      <c r="L893" s="944">
        <f>IF(A893='Data Entry - SOF'!B$2,'Report-SOF2021'!D$99,0)</f>
        <v>0</v>
      </c>
      <c r="M893" s="723">
        <f>IF(A893='Data Entry - SOF'!B$2,'Data Entry - SOF'!M$102,0)</f>
        <v>0</v>
      </c>
      <c r="N893" s="717">
        <f t="shared" si="82"/>
        <v>10618308</v>
      </c>
      <c r="O893" s="944">
        <f>IF(A893='Data Entry - SOF'!B$2,'Report-SOF2122'!D$91,0)</f>
        <v>0</v>
      </c>
      <c r="P893" s="723">
        <f>IF(A893='Data Entry - SOF'!B$2,'Data Entry - SOF'!O$102,0)</f>
        <v>0</v>
      </c>
      <c r="Q893" s="601">
        <f t="shared" si="79"/>
        <v>10618308</v>
      </c>
      <c r="R893" s="944">
        <f>IF(A893='Data Entry - SOF'!B$2,'Report-SOF2223'!D$91,0)</f>
        <v>0</v>
      </c>
      <c r="S893" s="723">
        <f>IF(A893='Data Entry - SOF'!B$2,'Data Entry - SOF'!Q$102,0)</f>
        <v>0</v>
      </c>
      <c r="T893" s="601">
        <f t="shared" si="83"/>
        <v>10618308</v>
      </c>
      <c r="U893" s="944">
        <f>IF(A893='Data Entry - SOF'!B$2,'Report-SOF2324'!D$91,0)</f>
        <v>0</v>
      </c>
      <c r="V893" s="723">
        <f>IF(A893='Data Entry - SOF'!B$2,'Data Entry - SOF'!S$102,0)</f>
        <v>0</v>
      </c>
    </row>
    <row r="894" spans="1:22" ht="15.75">
      <c r="A894" s="382" t="s">
        <v>2658</v>
      </c>
      <c r="B894" s="91">
        <v>13119789</v>
      </c>
      <c r="C894" s="944">
        <f>IF(A894='Data Entry - SOF'!B$2,'Report-SOF1718'!D$102,0)</f>
        <v>0</v>
      </c>
      <c r="D894" s="1037">
        <f>IF(A894='Data Entry - SOF'!B$2,'Data Entry - SOF'!#REF!,0)</f>
        <v>0</v>
      </c>
      <c r="E894" s="91">
        <f t="shared" si="78"/>
        <v>13119789</v>
      </c>
      <c r="F894" s="944">
        <f>IF(A894='Data Entry - SOF'!B$2,'Report-SOF1819'!D$102,0)</f>
        <v>0</v>
      </c>
      <c r="G894" s="1037">
        <f>IF(A894='Data Entry - SOF'!B$2,'Data Entry - SOF'!E$102,0)</f>
        <v>0</v>
      </c>
      <c r="H894" s="1038">
        <f t="shared" si="80"/>
        <v>13119789</v>
      </c>
      <c r="I894" s="944">
        <f>IF(A894='Data Entry - SOF'!B$2,'Report-SOF1920-HB3'!D$102,0)</f>
        <v>0</v>
      </c>
      <c r="J894" s="1037">
        <f>IF(A894='Data Entry - SOF'!B$2,'Data Entry - SOF'!G$102,0)</f>
        <v>0</v>
      </c>
      <c r="K894" s="717">
        <f t="shared" si="81"/>
        <v>13119789</v>
      </c>
      <c r="L894" s="944">
        <f>IF(A894='Data Entry - SOF'!B$2,'Report-SOF2021'!D$99,0)</f>
        <v>0</v>
      </c>
      <c r="M894" s="723">
        <f>IF(A894='Data Entry - SOF'!B$2,'Data Entry - SOF'!M$102,0)</f>
        <v>0</v>
      </c>
      <c r="N894" s="717">
        <f t="shared" si="82"/>
        <v>13119789</v>
      </c>
      <c r="O894" s="944">
        <f>IF(A894='Data Entry - SOF'!B$2,'Report-SOF2122'!D$91,0)</f>
        <v>0</v>
      </c>
      <c r="P894" s="723">
        <f>IF(A894='Data Entry - SOF'!B$2,'Data Entry - SOF'!O$102,0)</f>
        <v>0</v>
      </c>
      <c r="Q894" s="601">
        <f t="shared" si="79"/>
        <v>13119789</v>
      </c>
      <c r="R894" s="944">
        <f>IF(A894='Data Entry - SOF'!B$2,'Report-SOF2223'!D$91,0)</f>
        <v>0</v>
      </c>
      <c r="S894" s="723">
        <f>IF(A894='Data Entry - SOF'!B$2,'Data Entry - SOF'!Q$102,0)</f>
        <v>0</v>
      </c>
      <c r="T894" s="601">
        <f t="shared" si="83"/>
        <v>13119789</v>
      </c>
      <c r="U894" s="944">
        <f>IF(A894='Data Entry - SOF'!B$2,'Report-SOF2324'!D$91,0)</f>
        <v>0</v>
      </c>
      <c r="V894" s="723">
        <f>IF(A894='Data Entry - SOF'!B$2,'Data Entry - SOF'!S$102,0)</f>
        <v>0</v>
      </c>
    </row>
    <row r="895" spans="1:22" ht="15.75">
      <c r="A895" s="382" t="s">
        <v>1170</v>
      </c>
      <c r="B895" s="91">
        <v>9229697</v>
      </c>
      <c r="C895" s="944">
        <f>IF(A895='Data Entry - SOF'!B$2,'Report-SOF1718'!D$102,0)</f>
        <v>0</v>
      </c>
      <c r="D895" s="1037">
        <f>IF(A895='Data Entry - SOF'!B$2,'Data Entry - SOF'!#REF!,0)</f>
        <v>0</v>
      </c>
      <c r="E895" s="91">
        <f t="shared" si="78"/>
        <v>9229697</v>
      </c>
      <c r="F895" s="944">
        <f>IF(A895='Data Entry - SOF'!B$2,'Report-SOF1819'!D$102,0)</f>
        <v>0</v>
      </c>
      <c r="G895" s="1037">
        <f>IF(A895='Data Entry - SOF'!B$2,'Data Entry - SOF'!E$102,0)</f>
        <v>0</v>
      </c>
      <c r="H895" s="1038">
        <f t="shared" si="80"/>
        <v>9229697</v>
      </c>
      <c r="I895" s="944">
        <f>IF(A895='Data Entry - SOF'!B$2,'Report-SOF1920-HB3'!D$102,0)</f>
        <v>0</v>
      </c>
      <c r="J895" s="1037">
        <f>IF(A895='Data Entry - SOF'!B$2,'Data Entry - SOF'!G$102,0)</f>
        <v>0</v>
      </c>
      <c r="K895" s="717">
        <f t="shared" si="81"/>
        <v>9229697</v>
      </c>
      <c r="L895" s="944">
        <f>IF(A895='Data Entry - SOF'!B$2,'Report-SOF2021'!D$99,0)</f>
        <v>0</v>
      </c>
      <c r="M895" s="723">
        <f>IF(A895='Data Entry - SOF'!B$2,'Data Entry - SOF'!M$102,0)</f>
        <v>0</v>
      </c>
      <c r="N895" s="717">
        <f t="shared" si="82"/>
        <v>9229697</v>
      </c>
      <c r="O895" s="944">
        <f>IF(A895='Data Entry - SOF'!B$2,'Report-SOF2122'!D$91,0)</f>
        <v>0</v>
      </c>
      <c r="P895" s="723">
        <f>IF(A895='Data Entry - SOF'!B$2,'Data Entry - SOF'!O$102,0)</f>
        <v>0</v>
      </c>
      <c r="Q895" s="601">
        <f t="shared" si="79"/>
        <v>9229697</v>
      </c>
      <c r="R895" s="944">
        <f>IF(A895='Data Entry - SOF'!B$2,'Report-SOF2223'!D$91,0)</f>
        <v>0</v>
      </c>
      <c r="S895" s="723">
        <f>IF(A895='Data Entry - SOF'!B$2,'Data Entry - SOF'!Q$102,0)</f>
        <v>0</v>
      </c>
      <c r="T895" s="601">
        <f t="shared" si="83"/>
        <v>9229697</v>
      </c>
      <c r="U895" s="944">
        <f>IF(A895='Data Entry - SOF'!B$2,'Report-SOF2324'!D$91,0)</f>
        <v>0</v>
      </c>
      <c r="V895" s="723">
        <f>IF(A895='Data Entry - SOF'!B$2,'Data Entry - SOF'!S$102,0)</f>
        <v>0</v>
      </c>
    </row>
    <row r="896" spans="1:22" ht="15.75">
      <c r="A896" s="382" t="s">
        <v>1845</v>
      </c>
      <c r="B896" s="91">
        <v>965336</v>
      </c>
      <c r="C896" s="944">
        <f>IF(A896='Data Entry - SOF'!B$2,'Report-SOF1718'!D$102,0)</f>
        <v>0</v>
      </c>
      <c r="D896" s="1037">
        <f>IF(A896='Data Entry - SOF'!B$2,'Data Entry - SOF'!#REF!,0)</f>
        <v>0</v>
      </c>
      <c r="E896" s="91">
        <f t="shared" si="78"/>
        <v>965336</v>
      </c>
      <c r="F896" s="944">
        <f>IF(A896='Data Entry - SOF'!B$2,'Report-SOF1819'!D$102,0)</f>
        <v>0</v>
      </c>
      <c r="G896" s="1037">
        <f>IF(A896='Data Entry - SOF'!B$2,'Data Entry - SOF'!E$102,0)</f>
        <v>0</v>
      </c>
      <c r="H896" s="1038">
        <f t="shared" si="80"/>
        <v>965336</v>
      </c>
      <c r="I896" s="944">
        <f>IF(A896='Data Entry - SOF'!B$2,'Report-SOF1920-HB3'!D$102,0)</f>
        <v>0</v>
      </c>
      <c r="J896" s="1037">
        <f>IF(A896='Data Entry - SOF'!B$2,'Data Entry - SOF'!G$102,0)</f>
        <v>0</v>
      </c>
      <c r="K896" s="717">
        <f t="shared" si="81"/>
        <v>965336</v>
      </c>
      <c r="L896" s="944">
        <f>IF(A896='Data Entry - SOF'!B$2,'Report-SOF2021'!D$99,0)</f>
        <v>0</v>
      </c>
      <c r="M896" s="723">
        <f>IF(A896='Data Entry - SOF'!B$2,'Data Entry - SOF'!M$102,0)</f>
        <v>0</v>
      </c>
      <c r="N896" s="717">
        <f t="shared" si="82"/>
        <v>965336</v>
      </c>
      <c r="O896" s="944">
        <f>IF(A896='Data Entry - SOF'!B$2,'Report-SOF2122'!D$91,0)</f>
        <v>0</v>
      </c>
      <c r="P896" s="723">
        <f>IF(A896='Data Entry - SOF'!B$2,'Data Entry - SOF'!O$102,0)</f>
        <v>0</v>
      </c>
      <c r="Q896" s="601">
        <f t="shared" si="79"/>
        <v>965336</v>
      </c>
      <c r="R896" s="944">
        <f>IF(A896='Data Entry - SOF'!B$2,'Report-SOF2223'!D$91,0)</f>
        <v>0</v>
      </c>
      <c r="S896" s="723">
        <f>IF(A896='Data Entry - SOF'!B$2,'Data Entry - SOF'!Q$102,0)</f>
        <v>0</v>
      </c>
      <c r="T896" s="601">
        <f t="shared" si="83"/>
        <v>965336</v>
      </c>
      <c r="U896" s="944">
        <f>IF(A896='Data Entry - SOF'!B$2,'Report-SOF2324'!D$91,0)</f>
        <v>0</v>
      </c>
      <c r="V896" s="723">
        <f>IF(A896='Data Entry - SOF'!B$2,'Data Entry - SOF'!S$102,0)</f>
        <v>0</v>
      </c>
    </row>
    <row r="897" spans="1:22" ht="15.75">
      <c r="A897" s="382" t="s">
        <v>1171</v>
      </c>
      <c r="B897" s="91">
        <v>6914873.2626372902</v>
      </c>
      <c r="C897" s="944">
        <f>IF(A897='Data Entry - SOF'!B$2,'Report-SOF1718'!D$102,0)</f>
        <v>0</v>
      </c>
      <c r="D897" s="1037">
        <f>IF(A897='Data Entry - SOF'!B$2,'Data Entry - SOF'!#REF!,0)</f>
        <v>0</v>
      </c>
      <c r="E897" s="91">
        <f t="shared" si="78"/>
        <v>6914873.2626372902</v>
      </c>
      <c r="F897" s="944">
        <f>IF(A897='Data Entry - SOF'!B$2,'Report-SOF1819'!D$102,0)</f>
        <v>0</v>
      </c>
      <c r="G897" s="1037">
        <f>IF(A897='Data Entry - SOF'!B$2,'Data Entry - SOF'!E$102,0)</f>
        <v>0</v>
      </c>
      <c r="H897" s="1038">
        <f t="shared" si="80"/>
        <v>6914873.2626372902</v>
      </c>
      <c r="I897" s="944">
        <f>IF(A897='Data Entry - SOF'!B$2,'Report-SOF1920-HB3'!D$102,0)</f>
        <v>0</v>
      </c>
      <c r="J897" s="1037">
        <f>IF(A897='Data Entry - SOF'!B$2,'Data Entry - SOF'!G$102,0)</f>
        <v>0</v>
      </c>
      <c r="K897" s="717">
        <f t="shared" si="81"/>
        <v>6914873.2626372902</v>
      </c>
      <c r="L897" s="944">
        <f>IF(A897='Data Entry - SOF'!B$2,'Report-SOF2021'!D$99,0)</f>
        <v>0</v>
      </c>
      <c r="M897" s="723">
        <f>IF(A897='Data Entry - SOF'!B$2,'Data Entry - SOF'!M$102,0)</f>
        <v>0</v>
      </c>
      <c r="N897" s="717">
        <f t="shared" si="82"/>
        <v>6914873.2626372902</v>
      </c>
      <c r="O897" s="944">
        <f>IF(A897='Data Entry - SOF'!B$2,'Report-SOF2122'!D$91,0)</f>
        <v>0</v>
      </c>
      <c r="P897" s="723">
        <f>IF(A897='Data Entry - SOF'!B$2,'Data Entry - SOF'!O$102,0)</f>
        <v>0</v>
      </c>
      <c r="Q897" s="601">
        <f t="shared" si="79"/>
        <v>6914873.2626372902</v>
      </c>
      <c r="R897" s="944">
        <f>IF(A897='Data Entry - SOF'!B$2,'Report-SOF2223'!D$91,0)</f>
        <v>0</v>
      </c>
      <c r="S897" s="723">
        <f>IF(A897='Data Entry - SOF'!B$2,'Data Entry - SOF'!Q$102,0)</f>
        <v>0</v>
      </c>
      <c r="T897" s="601">
        <f t="shared" si="83"/>
        <v>6914873.2626372902</v>
      </c>
      <c r="U897" s="944">
        <f>IF(A897='Data Entry - SOF'!B$2,'Report-SOF2324'!D$91,0)</f>
        <v>0</v>
      </c>
      <c r="V897" s="723">
        <f>IF(A897='Data Entry - SOF'!B$2,'Data Entry - SOF'!S$102,0)</f>
        <v>0</v>
      </c>
    </row>
    <row r="898" spans="1:22" ht="15.75">
      <c r="A898" s="382" t="s">
        <v>1586</v>
      </c>
      <c r="B898" s="91">
        <v>936251</v>
      </c>
      <c r="C898" s="944">
        <f>IF(A898='Data Entry - SOF'!B$2,'Report-SOF1718'!D$102,0)</f>
        <v>0</v>
      </c>
      <c r="D898" s="1037">
        <f>IF(A898='Data Entry - SOF'!B$2,'Data Entry - SOF'!#REF!,0)</f>
        <v>0</v>
      </c>
      <c r="E898" s="91">
        <f t="shared" si="78"/>
        <v>936251</v>
      </c>
      <c r="F898" s="944">
        <f>IF(A898='Data Entry - SOF'!B$2,'Report-SOF1819'!D$102,0)</f>
        <v>0</v>
      </c>
      <c r="G898" s="1037">
        <f>IF(A898='Data Entry - SOF'!B$2,'Data Entry - SOF'!E$102,0)</f>
        <v>0</v>
      </c>
      <c r="H898" s="1038">
        <f t="shared" si="80"/>
        <v>936251</v>
      </c>
      <c r="I898" s="944">
        <f>IF(A898='Data Entry - SOF'!B$2,'Report-SOF1920-HB3'!D$102,0)</f>
        <v>0</v>
      </c>
      <c r="J898" s="1037">
        <f>IF(A898='Data Entry - SOF'!B$2,'Data Entry - SOF'!G$102,0)</f>
        <v>0</v>
      </c>
      <c r="K898" s="717">
        <f t="shared" si="81"/>
        <v>936251</v>
      </c>
      <c r="L898" s="944">
        <f>IF(A898='Data Entry - SOF'!B$2,'Report-SOF2021'!D$99,0)</f>
        <v>0</v>
      </c>
      <c r="M898" s="723">
        <f>IF(A898='Data Entry - SOF'!B$2,'Data Entry - SOF'!M$102,0)</f>
        <v>0</v>
      </c>
      <c r="N898" s="717">
        <f t="shared" si="82"/>
        <v>936251</v>
      </c>
      <c r="O898" s="944">
        <f>IF(A898='Data Entry - SOF'!B$2,'Report-SOF2122'!D$91,0)</f>
        <v>0</v>
      </c>
      <c r="P898" s="723">
        <f>IF(A898='Data Entry - SOF'!B$2,'Data Entry - SOF'!O$102,0)</f>
        <v>0</v>
      </c>
      <c r="Q898" s="601">
        <f t="shared" si="79"/>
        <v>936251</v>
      </c>
      <c r="R898" s="944">
        <f>IF(A898='Data Entry - SOF'!B$2,'Report-SOF2223'!D$91,0)</f>
        <v>0</v>
      </c>
      <c r="S898" s="723">
        <f>IF(A898='Data Entry - SOF'!B$2,'Data Entry - SOF'!Q$102,0)</f>
        <v>0</v>
      </c>
      <c r="T898" s="601">
        <f t="shared" si="83"/>
        <v>936251</v>
      </c>
      <c r="U898" s="944">
        <f>IF(A898='Data Entry - SOF'!B$2,'Report-SOF2324'!D$91,0)</f>
        <v>0</v>
      </c>
      <c r="V898" s="723">
        <f>IF(A898='Data Entry - SOF'!B$2,'Data Entry - SOF'!S$102,0)</f>
        <v>0</v>
      </c>
    </row>
    <row r="899" spans="1:22" ht="15.75">
      <c r="A899" s="382" t="s">
        <v>1587</v>
      </c>
      <c r="B899" s="91">
        <v>418737</v>
      </c>
      <c r="C899" s="944">
        <f>IF(A899='Data Entry - SOF'!B$2,'Report-SOF1718'!D$102,0)</f>
        <v>0</v>
      </c>
      <c r="D899" s="1037">
        <f>IF(A899='Data Entry - SOF'!B$2,'Data Entry - SOF'!#REF!,0)</f>
        <v>0</v>
      </c>
      <c r="E899" s="91">
        <f t="shared" si="78"/>
        <v>418737</v>
      </c>
      <c r="F899" s="944">
        <f>IF(A899='Data Entry - SOF'!B$2,'Report-SOF1819'!D$102,0)</f>
        <v>0</v>
      </c>
      <c r="G899" s="1037">
        <f>IF(A899='Data Entry - SOF'!B$2,'Data Entry - SOF'!E$102,0)</f>
        <v>0</v>
      </c>
      <c r="H899" s="1038">
        <f t="shared" si="80"/>
        <v>418737</v>
      </c>
      <c r="I899" s="944">
        <f>IF(A899='Data Entry - SOF'!B$2,'Report-SOF1920-HB3'!D$102,0)</f>
        <v>0</v>
      </c>
      <c r="J899" s="1037">
        <f>IF(A899='Data Entry - SOF'!B$2,'Data Entry - SOF'!G$102,0)</f>
        <v>0</v>
      </c>
      <c r="K899" s="717">
        <f t="shared" si="81"/>
        <v>418737</v>
      </c>
      <c r="L899" s="944">
        <f>IF(A899='Data Entry - SOF'!B$2,'Report-SOF2021'!D$99,0)</f>
        <v>0</v>
      </c>
      <c r="M899" s="723">
        <f>IF(A899='Data Entry - SOF'!B$2,'Data Entry - SOF'!M$102,0)</f>
        <v>0</v>
      </c>
      <c r="N899" s="717">
        <f t="shared" si="82"/>
        <v>418737</v>
      </c>
      <c r="O899" s="944">
        <f>IF(A899='Data Entry - SOF'!B$2,'Report-SOF2122'!D$91,0)</f>
        <v>0</v>
      </c>
      <c r="P899" s="723">
        <f>IF(A899='Data Entry - SOF'!B$2,'Data Entry - SOF'!O$102,0)</f>
        <v>0</v>
      </c>
      <c r="Q899" s="601">
        <f t="shared" si="79"/>
        <v>418737</v>
      </c>
      <c r="R899" s="944">
        <f>IF(A899='Data Entry - SOF'!B$2,'Report-SOF2223'!D$91,0)</f>
        <v>0</v>
      </c>
      <c r="S899" s="723">
        <f>IF(A899='Data Entry - SOF'!B$2,'Data Entry - SOF'!Q$102,0)</f>
        <v>0</v>
      </c>
      <c r="T899" s="601">
        <f t="shared" si="83"/>
        <v>418737</v>
      </c>
      <c r="U899" s="944">
        <f>IF(A899='Data Entry - SOF'!B$2,'Report-SOF2324'!D$91,0)</f>
        <v>0</v>
      </c>
      <c r="V899" s="723">
        <f>IF(A899='Data Entry - SOF'!B$2,'Data Entry - SOF'!S$102,0)</f>
        <v>0</v>
      </c>
    </row>
    <row r="900" spans="1:22" ht="15.75">
      <c r="A900" s="382" t="s">
        <v>1588</v>
      </c>
      <c r="B900" s="91">
        <v>13241314</v>
      </c>
      <c r="C900" s="944">
        <f>IF(A900='Data Entry - SOF'!B$2,'Report-SOF1718'!D$102,0)</f>
        <v>0</v>
      </c>
      <c r="D900" s="1037">
        <f>IF(A900='Data Entry - SOF'!B$2,'Data Entry - SOF'!#REF!,0)</f>
        <v>0</v>
      </c>
      <c r="E900" s="91">
        <f t="shared" ref="E900:E963" si="84">IF(B900+C900-D900&lt;=0,0,B900+C900-D900)</f>
        <v>13241314</v>
      </c>
      <c r="F900" s="944">
        <f>IF(A900='Data Entry - SOF'!B$2,'Report-SOF1819'!D$102,0)</f>
        <v>0</v>
      </c>
      <c r="G900" s="1037">
        <f>IF(A900='Data Entry - SOF'!B$2,'Data Entry - SOF'!E$102,0)</f>
        <v>0</v>
      </c>
      <c r="H900" s="1038">
        <f t="shared" si="80"/>
        <v>13241314</v>
      </c>
      <c r="I900" s="944">
        <f>IF(A900='Data Entry - SOF'!B$2,'Report-SOF1920-HB3'!D$102,0)</f>
        <v>0</v>
      </c>
      <c r="J900" s="1037">
        <f>IF(A900='Data Entry - SOF'!B$2,'Data Entry - SOF'!G$102,0)</f>
        <v>0</v>
      </c>
      <c r="K900" s="717">
        <f t="shared" si="81"/>
        <v>13241314</v>
      </c>
      <c r="L900" s="944">
        <f>IF(A900='Data Entry - SOF'!B$2,'Report-SOF2021'!D$99,0)</f>
        <v>0</v>
      </c>
      <c r="M900" s="723">
        <f>IF(A900='Data Entry - SOF'!B$2,'Data Entry - SOF'!M$102,0)</f>
        <v>0</v>
      </c>
      <c r="N900" s="717">
        <f t="shared" si="82"/>
        <v>13241314</v>
      </c>
      <c r="O900" s="944">
        <f>IF(A900='Data Entry - SOF'!B$2,'Report-SOF2122'!D$91,0)</f>
        <v>0</v>
      </c>
      <c r="P900" s="723">
        <f>IF(A900='Data Entry - SOF'!B$2,'Data Entry - SOF'!O$102,0)</f>
        <v>0</v>
      </c>
      <c r="Q900" s="601">
        <f t="shared" ref="Q900:Q963" si="85">IF(N900+O900-P900&lt;=0,0,N900+O900-P900)</f>
        <v>13241314</v>
      </c>
      <c r="R900" s="944">
        <f>IF(A900='Data Entry - SOF'!B$2,'Report-SOF2223'!D$91,0)</f>
        <v>0</v>
      </c>
      <c r="S900" s="723">
        <f>IF(A900='Data Entry - SOF'!B$2,'Data Entry - SOF'!Q$102,0)</f>
        <v>0</v>
      </c>
      <c r="T900" s="601">
        <f t="shared" si="83"/>
        <v>13241314</v>
      </c>
      <c r="U900" s="944">
        <f>IF(A900='Data Entry - SOF'!B$2,'Report-SOF2324'!D$91,0)</f>
        <v>0</v>
      </c>
      <c r="V900" s="723">
        <f>IF(A900='Data Entry - SOF'!B$2,'Data Entry - SOF'!S$102,0)</f>
        <v>0</v>
      </c>
    </row>
    <row r="901" spans="1:22" ht="15.75">
      <c r="A901" s="382" t="s">
        <v>1817</v>
      </c>
      <c r="B901" s="91">
        <v>702838</v>
      </c>
      <c r="C901" s="944">
        <f>IF(A901='Data Entry - SOF'!B$2,'Report-SOF1718'!D$102,0)</f>
        <v>0</v>
      </c>
      <c r="D901" s="1037">
        <f>IF(A901='Data Entry - SOF'!B$2,'Data Entry - SOF'!#REF!,0)</f>
        <v>0</v>
      </c>
      <c r="E901" s="91">
        <f t="shared" si="84"/>
        <v>702838</v>
      </c>
      <c r="F901" s="944">
        <f>IF(A901='Data Entry - SOF'!B$2,'Report-SOF1819'!D$102,0)</f>
        <v>0</v>
      </c>
      <c r="G901" s="1037">
        <f>IF(A901='Data Entry - SOF'!B$2,'Data Entry - SOF'!E$102,0)</f>
        <v>0</v>
      </c>
      <c r="H901" s="1038">
        <f t="shared" ref="H901:H964" si="86">IF(E901+F901-G901&lt;=0,0,E901+F901-G901)</f>
        <v>702838</v>
      </c>
      <c r="I901" s="944">
        <f>IF(A901='Data Entry - SOF'!B$2,'Report-SOF1920-HB3'!D$102,0)</f>
        <v>0</v>
      </c>
      <c r="J901" s="1037">
        <f>IF(A901='Data Entry - SOF'!B$2,'Data Entry - SOF'!G$102,0)</f>
        <v>0</v>
      </c>
      <c r="K901" s="717">
        <f t="shared" ref="K901:K964" si="87">IF(H901+I901-J901&lt;=0,0,H901+I901-J901)</f>
        <v>702838</v>
      </c>
      <c r="L901" s="944">
        <f>IF(A901='Data Entry - SOF'!B$2,'Report-SOF2021'!D$99,0)</f>
        <v>0</v>
      </c>
      <c r="M901" s="723">
        <f>IF(A901='Data Entry - SOF'!B$2,'Data Entry - SOF'!M$102,0)</f>
        <v>0</v>
      </c>
      <c r="N901" s="717">
        <f t="shared" ref="N901:N964" si="88">IF(K901+L901-M901&lt;=0,0,K901+L901-M901)</f>
        <v>702838</v>
      </c>
      <c r="O901" s="944">
        <f>IF(A901='Data Entry - SOF'!B$2,'Report-SOF2122'!D$91,0)</f>
        <v>0</v>
      </c>
      <c r="P901" s="723">
        <f>IF(A901='Data Entry - SOF'!B$2,'Data Entry - SOF'!O$102,0)</f>
        <v>0</v>
      </c>
      <c r="Q901" s="601">
        <f t="shared" si="85"/>
        <v>702838</v>
      </c>
      <c r="R901" s="944">
        <f>IF(A901='Data Entry - SOF'!B$2,'Report-SOF2223'!D$91,0)</f>
        <v>0</v>
      </c>
      <c r="S901" s="723">
        <f>IF(A901='Data Entry - SOF'!B$2,'Data Entry - SOF'!Q$102,0)</f>
        <v>0</v>
      </c>
      <c r="T901" s="601">
        <f t="shared" ref="T901:T964" si="89">IF(P901+Q901-S901&lt;=0,0,P901+Q901-S901)</f>
        <v>702838</v>
      </c>
      <c r="U901" s="944">
        <f>IF(A901='Data Entry - SOF'!B$2,'Report-SOF2324'!D$91,0)</f>
        <v>0</v>
      </c>
      <c r="V901" s="723">
        <f>IF(A901='Data Entry - SOF'!B$2,'Data Entry - SOF'!S$102,0)</f>
        <v>0</v>
      </c>
    </row>
    <row r="902" spans="1:22" ht="15.75">
      <c r="A902" s="382" t="s">
        <v>275</v>
      </c>
      <c r="B902" s="91">
        <v>509403</v>
      </c>
      <c r="C902" s="944">
        <f>IF(A902='Data Entry - SOF'!B$2,'Report-SOF1718'!D$102,0)</f>
        <v>0</v>
      </c>
      <c r="D902" s="1037">
        <f>IF(A902='Data Entry - SOF'!B$2,'Data Entry - SOF'!#REF!,0)</f>
        <v>0</v>
      </c>
      <c r="E902" s="91">
        <f t="shared" si="84"/>
        <v>509403</v>
      </c>
      <c r="F902" s="944">
        <f>IF(A902='Data Entry - SOF'!B$2,'Report-SOF1819'!D$102,0)</f>
        <v>0</v>
      </c>
      <c r="G902" s="1037">
        <f>IF(A902='Data Entry - SOF'!B$2,'Data Entry - SOF'!E$102,0)</f>
        <v>0</v>
      </c>
      <c r="H902" s="1038">
        <f t="shared" si="86"/>
        <v>509403</v>
      </c>
      <c r="I902" s="944">
        <f>IF(A902='Data Entry - SOF'!B$2,'Report-SOF1920-HB3'!D$102,0)</f>
        <v>0</v>
      </c>
      <c r="J902" s="1037">
        <f>IF(A902='Data Entry - SOF'!B$2,'Data Entry - SOF'!G$102,0)</f>
        <v>0</v>
      </c>
      <c r="K902" s="717">
        <f t="shared" si="87"/>
        <v>509403</v>
      </c>
      <c r="L902" s="944">
        <f>IF(A902='Data Entry - SOF'!B$2,'Report-SOF2021'!D$99,0)</f>
        <v>0</v>
      </c>
      <c r="M902" s="723">
        <f>IF(A902='Data Entry - SOF'!B$2,'Data Entry - SOF'!M$102,0)</f>
        <v>0</v>
      </c>
      <c r="N902" s="717">
        <f t="shared" si="88"/>
        <v>509403</v>
      </c>
      <c r="O902" s="944">
        <f>IF(A902='Data Entry - SOF'!B$2,'Report-SOF2122'!D$91,0)</f>
        <v>0</v>
      </c>
      <c r="P902" s="723">
        <f>IF(A902='Data Entry - SOF'!B$2,'Data Entry - SOF'!O$102,0)</f>
        <v>0</v>
      </c>
      <c r="Q902" s="601">
        <f t="shared" si="85"/>
        <v>509403</v>
      </c>
      <c r="R902" s="944">
        <f>IF(A902='Data Entry - SOF'!B$2,'Report-SOF2223'!D$91,0)</f>
        <v>0</v>
      </c>
      <c r="S902" s="723">
        <f>IF(A902='Data Entry - SOF'!B$2,'Data Entry - SOF'!Q$102,0)</f>
        <v>0</v>
      </c>
      <c r="T902" s="601">
        <f t="shared" si="89"/>
        <v>509403</v>
      </c>
      <c r="U902" s="944">
        <f>IF(A902='Data Entry - SOF'!B$2,'Report-SOF2324'!D$91,0)</f>
        <v>0</v>
      </c>
      <c r="V902" s="723">
        <f>IF(A902='Data Entry - SOF'!B$2,'Data Entry - SOF'!S$102,0)</f>
        <v>0</v>
      </c>
    </row>
    <row r="903" spans="1:22" ht="15.75">
      <c r="A903" s="382" t="s">
        <v>1818</v>
      </c>
      <c r="B903" s="91">
        <v>999438</v>
      </c>
      <c r="C903" s="944">
        <f>IF(A903='Data Entry - SOF'!B$2,'Report-SOF1718'!D$102,0)</f>
        <v>0</v>
      </c>
      <c r="D903" s="1037">
        <f>IF(A903='Data Entry - SOF'!B$2,'Data Entry - SOF'!#REF!,0)</f>
        <v>0</v>
      </c>
      <c r="E903" s="91">
        <f t="shared" si="84"/>
        <v>999438</v>
      </c>
      <c r="F903" s="944">
        <f>IF(A903='Data Entry - SOF'!B$2,'Report-SOF1819'!D$102,0)</f>
        <v>0</v>
      </c>
      <c r="G903" s="1037">
        <f>IF(A903='Data Entry - SOF'!B$2,'Data Entry - SOF'!E$102,0)</f>
        <v>0</v>
      </c>
      <c r="H903" s="1038">
        <f t="shared" si="86"/>
        <v>999438</v>
      </c>
      <c r="I903" s="944">
        <f>IF(A903='Data Entry - SOF'!B$2,'Report-SOF1920-HB3'!D$102,0)</f>
        <v>0</v>
      </c>
      <c r="J903" s="1037">
        <f>IF(A903='Data Entry - SOF'!B$2,'Data Entry - SOF'!G$102,0)</f>
        <v>0</v>
      </c>
      <c r="K903" s="717">
        <f t="shared" si="87"/>
        <v>999438</v>
      </c>
      <c r="L903" s="944">
        <f>IF(A903='Data Entry - SOF'!B$2,'Report-SOF2021'!D$99,0)</f>
        <v>0</v>
      </c>
      <c r="M903" s="723">
        <f>IF(A903='Data Entry - SOF'!B$2,'Data Entry - SOF'!M$102,0)</f>
        <v>0</v>
      </c>
      <c r="N903" s="717">
        <f t="shared" si="88"/>
        <v>999438</v>
      </c>
      <c r="O903" s="944">
        <f>IF(A903='Data Entry - SOF'!B$2,'Report-SOF2122'!D$91,0)</f>
        <v>0</v>
      </c>
      <c r="P903" s="723">
        <f>IF(A903='Data Entry - SOF'!B$2,'Data Entry - SOF'!O$102,0)</f>
        <v>0</v>
      </c>
      <c r="Q903" s="601">
        <f t="shared" si="85"/>
        <v>999438</v>
      </c>
      <c r="R903" s="944">
        <f>IF(A903='Data Entry - SOF'!B$2,'Report-SOF2223'!D$91,0)</f>
        <v>0</v>
      </c>
      <c r="S903" s="723">
        <f>IF(A903='Data Entry - SOF'!B$2,'Data Entry - SOF'!Q$102,0)</f>
        <v>0</v>
      </c>
      <c r="T903" s="601">
        <f t="shared" si="89"/>
        <v>999438</v>
      </c>
      <c r="U903" s="944">
        <f>IF(A903='Data Entry - SOF'!B$2,'Report-SOF2324'!D$91,0)</f>
        <v>0</v>
      </c>
      <c r="V903" s="723">
        <f>IF(A903='Data Entry - SOF'!B$2,'Data Entry - SOF'!S$102,0)</f>
        <v>0</v>
      </c>
    </row>
    <row r="904" spans="1:22" ht="15.75">
      <c r="A904" s="382" t="s">
        <v>2440</v>
      </c>
      <c r="B904" s="91">
        <v>2202787</v>
      </c>
      <c r="C904" s="944">
        <f>IF(A904='Data Entry - SOF'!B$2,'Report-SOF1718'!D$102,0)</f>
        <v>0</v>
      </c>
      <c r="D904" s="1037">
        <f>IF(A904='Data Entry - SOF'!B$2,'Data Entry - SOF'!#REF!,0)</f>
        <v>0</v>
      </c>
      <c r="E904" s="91">
        <f t="shared" si="84"/>
        <v>2202787</v>
      </c>
      <c r="F904" s="944">
        <f>IF(A904='Data Entry - SOF'!B$2,'Report-SOF1819'!D$102,0)</f>
        <v>0</v>
      </c>
      <c r="G904" s="1037">
        <f>IF(A904='Data Entry - SOF'!B$2,'Data Entry - SOF'!E$102,0)</f>
        <v>0</v>
      </c>
      <c r="H904" s="1038">
        <f t="shared" si="86"/>
        <v>2202787</v>
      </c>
      <c r="I904" s="944">
        <f>IF(A904='Data Entry - SOF'!B$2,'Report-SOF1920-HB3'!D$102,0)</f>
        <v>0</v>
      </c>
      <c r="J904" s="1037">
        <f>IF(A904='Data Entry - SOF'!B$2,'Data Entry - SOF'!G$102,0)</f>
        <v>0</v>
      </c>
      <c r="K904" s="717">
        <f t="shared" si="87"/>
        <v>2202787</v>
      </c>
      <c r="L904" s="944">
        <f>IF(A904='Data Entry - SOF'!B$2,'Report-SOF2021'!D$99,0)</f>
        <v>0</v>
      </c>
      <c r="M904" s="723">
        <f>IF(A904='Data Entry - SOF'!B$2,'Data Entry - SOF'!M$102,0)</f>
        <v>0</v>
      </c>
      <c r="N904" s="717">
        <f t="shared" si="88"/>
        <v>2202787</v>
      </c>
      <c r="O904" s="944">
        <f>IF(A904='Data Entry - SOF'!B$2,'Report-SOF2122'!D$91,0)</f>
        <v>0</v>
      </c>
      <c r="P904" s="723">
        <f>IF(A904='Data Entry - SOF'!B$2,'Data Entry - SOF'!O$102,0)</f>
        <v>0</v>
      </c>
      <c r="Q904" s="601">
        <f t="shared" si="85"/>
        <v>2202787</v>
      </c>
      <c r="R904" s="944">
        <f>IF(A904='Data Entry - SOF'!B$2,'Report-SOF2223'!D$91,0)</f>
        <v>0</v>
      </c>
      <c r="S904" s="723">
        <f>IF(A904='Data Entry - SOF'!B$2,'Data Entry - SOF'!Q$102,0)</f>
        <v>0</v>
      </c>
      <c r="T904" s="601">
        <f t="shared" si="89"/>
        <v>2202787</v>
      </c>
      <c r="U904" s="944">
        <f>IF(A904='Data Entry - SOF'!B$2,'Report-SOF2324'!D$91,0)</f>
        <v>0</v>
      </c>
      <c r="V904" s="723">
        <f>IF(A904='Data Entry - SOF'!B$2,'Data Entry - SOF'!S$102,0)</f>
        <v>0</v>
      </c>
    </row>
    <row r="905" spans="1:22" ht="15.75">
      <c r="A905" s="382" t="s">
        <v>1313</v>
      </c>
      <c r="B905" s="91">
        <v>35216948</v>
      </c>
      <c r="C905" s="944">
        <f>IF(A905='Data Entry - SOF'!B$2,'Report-SOF1718'!D$102,0)</f>
        <v>0</v>
      </c>
      <c r="D905" s="1037">
        <f>IF(A905='Data Entry - SOF'!B$2,'Data Entry - SOF'!#REF!,0)</f>
        <v>0</v>
      </c>
      <c r="E905" s="91">
        <f t="shared" si="84"/>
        <v>35216948</v>
      </c>
      <c r="F905" s="944">
        <f>IF(A905='Data Entry - SOF'!B$2,'Report-SOF1819'!D$102,0)</f>
        <v>0</v>
      </c>
      <c r="G905" s="1037">
        <f>IF(A905='Data Entry - SOF'!B$2,'Data Entry - SOF'!E$102,0)</f>
        <v>0</v>
      </c>
      <c r="H905" s="1038">
        <f t="shared" si="86"/>
        <v>35216948</v>
      </c>
      <c r="I905" s="944">
        <f>IF(A905='Data Entry - SOF'!B$2,'Report-SOF1920-HB3'!D$102,0)</f>
        <v>0</v>
      </c>
      <c r="J905" s="1037">
        <f>IF(A905='Data Entry - SOF'!B$2,'Data Entry - SOF'!G$102,0)</f>
        <v>0</v>
      </c>
      <c r="K905" s="717">
        <f t="shared" si="87"/>
        <v>35216948</v>
      </c>
      <c r="L905" s="944">
        <f>IF(A905='Data Entry - SOF'!B$2,'Report-SOF2021'!D$99,0)</f>
        <v>0</v>
      </c>
      <c r="M905" s="723">
        <f>IF(A905='Data Entry - SOF'!B$2,'Data Entry - SOF'!M$102,0)</f>
        <v>0</v>
      </c>
      <c r="N905" s="717">
        <f t="shared" si="88"/>
        <v>35216948</v>
      </c>
      <c r="O905" s="944">
        <f>IF(A905='Data Entry - SOF'!B$2,'Report-SOF2122'!D$91,0)</f>
        <v>0</v>
      </c>
      <c r="P905" s="723">
        <f>IF(A905='Data Entry - SOF'!B$2,'Data Entry - SOF'!O$102,0)</f>
        <v>0</v>
      </c>
      <c r="Q905" s="601">
        <f t="shared" si="85"/>
        <v>35216948</v>
      </c>
      <c r="R905" s="944">
        <f>IF(A905='Data Entry - SOF'!B$2,'Report-SOF2223'!D$91,0)</f>
        <v>0</v>
      </c>
      <c r="S905" s="723">
        <f>IF(A905='Data Entry - SOF'!B$2,'Data Entry - SOF'!Q$102,0)</f>
        <v>0</v>
      </c>
      <c r="T905" s="601">
        <f t="shared" si="89"/>
        <v>35216948</v>
      </c>
      <c r="U905" s="944">
        <f>IF(A905='Data Entry - SOF'!B$2,'Report-SOF2324'!D$91,0)</f>
        <v>0</v>
      </c>
      <c r="V905" s="723">
        <f>IF(A905='Data Entry - SOF'!B$2,'Data Entry - SOF'!S$102,0)</f>
        <v>0</v>
      </c>
    </row>
    <row r="906" spans="1:22" ht="15.75">
      <c r="A906" s="382" t="s">
        <v>2428</v>
      </c>
      <c r="B906" s="91">
        <v>900005</v>
      </c>
      <c r="C906" s="944">
        <f>IF(A906='Data Entry - SOF'!B$2,'Report-SOF1718'!D$102,0)</f>
        <v>0</v>
      </c>
      <c r="D906" s="1037">
        <f>IF(A906='Data Entry - SOF'!B$2,'Data Entry - SOF'!#REF!,0)</f>
        <v>0</v>
      </c>
      <c r="E906" s="91">
        <f t="shared" si="84"/>
        <v>900005</v>
      </c>
      <c r="F906" s="944">
        <f>IF(A906='Data Entry - SOF'!B$2,'Report-SOF1819'!D$102,0)</f>
        <v>0</v>
      </c>
      <c r="G906" s="1037">
        <f>IF(A906='Data Entry - SOF'!B$2,'Data Entry - SOF'!E$102,0)</f>
        <v>0</v>
      </c>
      <c r="H906" s="1038">
        <f t="shared" si="86"/>
        <v>900005</v>
      </c>
      <c r="I906" s="944">
        <f>IF(A906='Data Entry - SOF'!B$2,'Report-SOF1920-HB3'!D$102,0)</f>
        <v>0</v>
      </c>
      <c r="J906" s="1037">
        <f>IF(A906='Data Entry - SOF'!B$2,'Data Entry - SOF'!G$102,0)</f>
        <v>0</v>
      </c>
      <c r="K906" s="717">
        <f t="shared" si="87"/>
        <v>900005</v>
      </c>
      <c r="L906" s="944">
        <f>IF(A906='Data Entry - SOF'!B$2,'Report-SOF2021'!D$99,0)</f>
        <v>0</v>
      </c>
      <c r="M906" s="723">
        <f>IF(A906='Data Entry - SOF'!B$2,'Data Entry - SOF'!M$102,0)</f>
        <v>0</v>
      </c>
      <c r="N906" s="717">
        <f t="shared" si="88"/>
        <v>900005</v>
      </c>
      <c r="O906" s="944">
        <f>IF(A906='Data Entry - SOF'!B$2,'Report-SOF2122'!D$91,0)</f>
        <v>0</v>
      </c>
      <c r="P906" s="723">
        <f>IF(A906='Data Entry - SOF'!B$2,'Data Entry - SOF'!O$102,0)</f>
        <v>0</v>
      </c>
      <c r="Q906" s="601">
        <f t="shared" si="85"/>
        <v>900005</v>
      </c>
      <c r="R906" s="944">
        <f>IF(A906='Data Entry - SOF'!B$2,'Report-SOF2223'!D$91,0)</f>
        <v>0</v>
      </c>
      <c r="S906" s="723">
        <f>IF(A906='Data Entry - SOF'!B$2,'Data Entry - SOF'!Q$102,0)</f>
        <v>0</v>
      </c>
      <c r="T906" s="601">
        <f t="shared" si="89"/>
        <v>900005</v>
      </c>
      <c r="U906" s="944">
        <f>IF(A906='Data Entry - SOF'!B$2,'Report-SOF2324'!D$91,0)</f>
        <v>0</v>
      </c>
      <c r="V906" s="723">
        <f>IF(A906='Data Entry - SOF'!B$2,'Data Entry - SOF'!S$102,0)</f>
        <v>0</v>
      </c>
    </row>
    <row r="907" spans="1:22" ht="15.75">
      <c r="A907" s="382" t="s">
        <v>342</v>
      </c>
      <c r="B907" s="91">
        <v>3336191</v>
      </c>
      <c r="C907" s="944">
        <f>IF(A907='Data Entry - SOF'!B$2,'Report-SOF1718'!D$102,0)</f>
        <v>0</v>
      </c>
      <c r="D907" s="1037">
        <f>IF(A907='Data Entry - SOF'!B$2,'Data Entry - SOF'!#REF!,0)</f>
        <v>0</v>
      </c>
      <c r="E907" s="91">
        <f t="shared" si="84"/>
        <v>3336191</v>
      </c>
      <c r="F907" s="944">
        <f>IF(A907='Data Entry - SOF'!B$2,'Report-SOF1819'!D$102,0)</f>
        <v>0</v>
      </c>
      <c r="G907" s="1037">
        <f>IF(A907='Data Entry - SOF'!B$2,'Data Entry - SOF'!E$102,0)</f>
        <v>0</v>
      </c>
      <c r="H907" s="1038">
        <f t="shared" si="86"/>
        <v>3336191</v>
      </c>
      <c r="I907" s="944">
        <f>IF(A907='Data Entry - SOF'!B$2,'Report-SOF1920-HB3'!D$102,0)</f>
        <v>0</v>
      </c>
      <c r="J907" s="1037">
        <f>IF(A907='Data Entry - SOF'!B$2,'Data Entry - SOF'!G$102,0)</f>
        <v>0</v>
      </c>
      <c r="K907" s="717">
        <f t="shared" si="87"/>
        <v>3336191</v>
      </c>
      <c r="L907" s="944">
        <f>IF(A907='Data Entry - SOF'!B$2,'Report-SOF2021'!D$99,0)</f>
        <v>0</v>
      </c>
      <c r="M907" s="723">
        <f>IF(A907='Data Entry - SOF'!B$2,'Data Entry - SOF'!M$102,0)</f>
        <v>0</v>
      </c>
      <c r="N907" s="717">
        <f t="shared" si="88"/>
        <v>3336191</v>
      </c>
      <c r="O907" s="944">
        <f>IF(A907='Data Entry - SOF'!B$2,'Report-SOF2122'!D$91,0)</f>
        <v>0</v>
      </c>
      <c r="P907" s="723">
        <f>IF(A907='Data Entry - SOF'!B$2,'Data Entry - SOF'!O$102,0)</f>
        <v>0</v>
      </c>
      <c r="Q907" s="601">
        <f t="shared" si="85"/>
        <v>3336191</v>
      </c>
      <c r="R907" s="944">
        <f>IF(A907='Data Entry - SOF'!B$2,'Report-SOF2223'!D$91,0)</f>
        <v>0</v>
      </c>
      <c r="S907" s="723">
        <f>IF(A907='Data Entry - SOF'!B$2,'Data Entry - SOF'!Q$102,0)</f>
        <v>0</v>
      </c>
      <c r="T907" s="601">
        <f t="shared" si="89"/>
        <v>3336191</v>
      </c>
      <c r="U907" s="944">
        <f>IF(A907='Data Entry - SOF'!B$2,'Report-SOF2324'!D$91,0)</f>
        <v>0</v>
      </c>
      <c r="V907" s="723">
        <f>IF(A907='Data Entry - SOF'!B$2,'Data Entry - SOF'!S$102,0)</f>
        <v>0</v>
      </c>
    </row>
    <row r="908" spans="1:22" ht="15.75">
      <c r="A908" s="382" t="s">
        <v>1307</v>
      </c>
      <c r="B908" s="91">
        <v>2534990</v>
      </c>
      <c r="C908" s="944">
        <f>IF(A908='Data Entry - SOF'!B$2,'Report-SOF1718'!D$102,0)</f>
        <v>0</v>
      </c>
      <c r="D908" s="1037">
        <f>IF(A908='Data Entry - SOF'!B$2,'Data Entry - SOF'!#REF!,0)</f>
        <v>0</v>
      </c>
      <c r="E908" s="91">
        <f t="shared" si="84"/>
        <v>2534990</v>
      </c>
      <c r="F908" s="944">
        <f>IF(A908='Data Entry - SOF'!B$2,'Report-SOF1819'!D$102,0)</f>
        <v>0</v>
      </c>
      <c r="G908" s="1037">
        <f>IF(A908='Data Entry - SOF'!B$2,'Data Entry - SOF'!E$102,0)</f>
        <v>0</v>
      </c>
      <c r="H908" s="1038">
        <f t="shared" si="86"/>
        <v>2534990</v>
      </c>
      <c r="I908" s="944">
        <f>IF(A908='Data Entry - SOF'!B$2,'Report-SOF1920-HB3'!D$102,0)</f>
        <v>0</v>
      </c>
      <c r="J908" s="1037">
        <f>IF(A908='Data Entry - SOF'!B$2,'Data Entry - SOF'!G$102,0)</f>
        <v>0</v>
      </c>
      <c r="K908" s="717">
        <f t="shared" si="87"/>
        <v>2534990</v>
      </c>
      <c r="L908" s="944">
        <f>IF(A908='Data Entry - SOF'!B$2,'Report-SOF2021'!D$99,0)</f>
        <v>0</v>
      </c>
      <c r="M908" s="723">
        <f>IF(A908='Data Entry - SOF'!B$2,'Data Entry - SOF'!M$102,0)</f>
        <v>0</v>
      </c>
      <c r="N908" s="717">
        <f t="shared" si="88"/>
        <v>2534990</v>
      </c>
      <c r="O908" s="944">
        <f>IF(A908='Data Entry - SOF'!B$2,'Report-SOF2122'!D$91,0)</f>
        <v>0</v>
      </c>
      <c r="P908" s="723">
        <f>IF(A908='Data Entry - SOF'!B$2,'Data Entry - SOF'!O$102,0)</f>
        <v>0</v>
      </c>
      <c r="Q908" s="601">
        <f t="shared" si="85"/>
        <v>2534990</v>
      </c>
      <c r="R908" s="944">
        <f>IF(A908='Data Entry - SOF'!B$2,'Report-SOF2223'!D$91,0)</f>
        <v>0</v>
      </c>
      <c r="S908" s="723">
        <f>IF(A908='Data Entry - SOF'!B$2,'Data Entry - SOF'!Q$102,0)</f>
        <v>0</v>
      </c>
      <c r="T908" s="601">
        <f t="shared" si="89"/>
        <v>2534990</v>
      </c>
      <c r="U908" s="944">
        <f>IF(A908='Data Entry - SOF'!B$2,'Report-SOF2324'!D$91,0)</f>
        <v>0</v>
      </c>
      <c r="V908" s="723">
        <f>IF(A908='Data Entry - SOF'!B$2,'Data Entry - SOF'!S$102,0)</f>
        <v>0</v>
      </c>
    </row>
    <row r="909" spans="1:22" ht="15.75">
      <c r="A909" s="382" t="s">
        <v>1253</v>
      </c>
      <c r="B909" s="91">
        <v>1251340</v>
      </c>
      <c r="C909" s="944">
        <f>IF(A909='Data Entry - SOF'!B$2,'Report-SOF1718'!D$102,0)</f>
        <v>0</v>
      </c>
      <c r="D909" s="1037">
        <f>IF(A909='Data Entry - SOF'!B$2,'Data Entry - SOF'!#REF!,0)</f>
        <v>0</v>
      </c>
      <c r="E909" s="91">
        <f t="shared" si="84"/>
        <v>1251340</v>
      </c>
      <c r="F909" s="944">
        <f>IF(A909='Data Entry - SOF'!B$2,'Report-SOF1819'!D$102,0)</f>
        <v>0</v>
      </c>
      <c r="G909" s="1037">
        <f>IF(A909='Data Entry - SOF'!B$2,'Data Entry - SOF'!E$102,0)</f>
        <v>0</v>
      </c>
      <c r="H909" s="1038">
        <f t="shared" si="86"/>
        <v>1251340</v>
      </c>
      <c r="I909" s="944">
        <f>IF(A909='Data Entry - SOF'!B$2,'Report-SOF1920-HB3'!D$102,0)</f>
        <v>0</v>
      </c>
      <c r="J909" s="1037">
        <f>IF(A909='Data Entry - SOF'!B$2,'Data Entry - SOF'!G$102,0)</f>
        <v>0</v>
      </c>
      <c r="K909" s="717">
        <f t="shared" si="87"/>
        <v>1251340</v>
      </c>
      <c r="L909" s="944">
        <f>IF(A909='Data Entry - SOF'!B$2,'Report-SOF2021'!D$99,0)</f>
        <v>0</v>
      </c>
      <c r="M909" s="723">
        <f>IF(A909='Data Entry - SOF'!B$2,'Data Entry - SOF'!M$102,0)</f>
        <v>0</v>
      </c>
      <c r="N909" s="717">
        <f t="shared" si="88"/>
        <v>1251340</v>
      </c>
      <c r="O909" s="944">
        <f>IF(A909='Data Entry - SOF'!B$2,'Report-SOF2122'!D$91,0)</f>
        <v>0</v>
      </c>
      <c r="P909" s="723">
        <f>IF(A909='Data Entry - SOF'!B$2,'Data Entry - SOF'!O$102,0)</f>
        <v>0</v>
      </c>
      <c r="Q909" s="601">
        <f t="shared" si="85"/>
        <v>1251340</v>
      </c>
      <c r="R909" s="944">
        <f>IF(A909='Data Entry - SOF'!B$2,'Report-SOF2223'!D$91,0)</f>
        <v>0</v>
      </c>
      <c r="S909" s="723">
        <f>IF(A909='Data Entry - SOF'!B$2,'Data Entry - SOF'!Q$102,0)</f>
        <v>0</v>
      </c>
      <c r="T909" s="601">
        <f t="shared" si="89"/>
        <v>1251340</v>
      </c>
      <c r="U909" s="944">
        <f>IF(A909='Data Entry - SOF'!B$2,'Report-SOF2324'!D$91,0)</f>
        <v>0</v>
      </c>
      <c r="V909" s="723">
        <f>IF(A909='Data Entry - SOF'!B$2,'Data Entry - SOF'!S$102,0)</f>
        <v>0</v>
      </c>
    </row>
    <row r="910" spans="1:22" ht="15.75">
      <c r="A910" s="382" t="s">
        <v>263</v>
      </c>
      <c r="B910" s="91">
        <v>710674934</v>
      </c>
      <c r="C910" s="944">
        <f>IF(A910='Data Entry - SOF'!B$2,'Report-SOF1718'!D$102,0)</f>
        <v>0</v>
      </c>
      <c r="D910" s="1037">
        <f>IF(A910='Data Entry - SOF'!B$2,'Data Entry - SOF'!#REF!,0)</f>
        <v>0</v>
      </c>
      <c r="E910" s="91">
        <f t="shared" si="84"/>
        <v>710674934</v>
      </c>
      <c r="F910" s="944">
        <f>IF(A910='Data Entry - SOF'!B$2,'Report-SOF1819'!D$102,0)</f>
        <v>0</v>
      </c>
      <c r="G910" s="1037">
        <f>IF(A910='Data Entry - SOF'!B$2,'Data Entry - SOF'!E$102,0)</f>
        <v>0</v>
      </c>
      <c r="H910" s="1038">
        <f t="shared" si="86"/>
        <v>710674934</v>
      </c>
      <c r="I910" s="944">
        <f>IF(A910='Data Entry - SOF'!B$2,'Report-SOF1920-HB3'!D$102,0)</f>
        <v>0</v>
      </c>
      <c r="J910" s="1037">
        <f>IF(A910='Data Entry - SOF'!B$2,'Data Entry - SOF'!G$102,0)</f>
        <v>0</v>
      </c>
      <c r="K910" s="717">
        <f t="shared" si="87"/>
        <v>710674934</v>
      </c>
      <c r="L910" s="944">
        <f>IF(A910='Data Entry - SOF'!B$2,'Report-SOF2021'!D$99,0)</f>
        <v>0</v>
      </c>
      <c r="M910" s="723">
        <f>IF(A910='Data Entry - SOF'!B$2,'Data Entry - SOF'!M$102,0)</f>
        <v>0</v>
      </c>
      <c r="N910" s="717">
        <f t="shared" si="88"/>
        <v>710674934</v>
      </c>
      <c r="O910" s="944">
        <f>IF(A910='Data Entry - SOF'!B$2,'Report-SOF2122'!D$91,0)</f>
        <v>0</v>
      </c>
      <c r="P910" s="723">
        <f>IF(A910='Data Entry - SOF'!B$2,'Data Entry - SOF'!O$102,0)</f>
        <v>0</v>
      </c>
      <c r="Q910" s="601">
        <f t="shared" si="85"/>
        <v>710674934</v>
      </c>
      <c r="R910" s="944">
        <f>IF(A910='Data Entry - SOF'!B$2,'Report-SOF2223'!D$91,0)</f>
        <v>0</v>
      </c>
      <c r="S910" s="723">
        <f>IF(A910='Data Entry - SOF'!B$2,'Data Entry - SOF'!Q$102,0)</f>
        <v>0</v>
      </c>
      <c r="T910" s="601">
        <f t="shared" si="89"/>
        <v>710674934</v>
      </c>
      <c r="U910" s="944">
        <f>IF(A910='Data Entry - SOF'!B$2,'Report-SOF2324'!D$91,0)</f>
        <v>0</v>
      </c>
      <c r="V910" s="723">
        <f>IF(A910='Data Entry - SOF'!B$2,'Data Entry - SOF'!S$102,0)</f>
        <v>0</v>
      </c>
    </row>
    <row r="911" spans="1:22" ht="15.75">
      <c r="A911" s="382" t="s">
        <v>210</v>
      </c>
      <c r="B911" s="91">
        <v>218389067</v>
      </c>
      <c r="C911" s="944">
        <f>IF(A911='Data Entry - SOF'!B$2,'Report-SOF1718'!D$102,0)</f>
        <v>0</v>
      </c>
      <c r="D911" s="1037">
        <f>IF(A911='Data Entry - SOF'!B$2,'Data Entry - SOF'!#REF!,0)</f>
        <v>0</v>
      </c>
      <c r="E911" s="91">
        <f t="shared" si="84"/>
        <v>218389067</v>
      </c>
      <c r="F911" s="944">
        <f>IF(A911='Data Entry - SOF'!B$2,'Report-SOF1819'!D$102,0)</f>
        <v>0</v>
      </c>
      <c r="G911" s="1037">
        <f>IF(A911='Data Entry - SOF'!B$2,'Data Entry - SOF'!E$102,0)</f>
        <v>0</v>
      </c>
      <c r="H911" s="1038">
        <f t="shared" si="86"/>
        <v>218389067</v>
      </c>
      <c r="I911" s="944">
        <f>IF(A911='Data Entry - SOF'!B$2,'Report-SOF1920-HB3'!D$102,0)</f>
        <v>0</v>
      </c>
      <c r="J911" s="1037">
        <f>IF(A911='Data Entry - SOF'!B$2,'Data Entry - SOF'!G$102,0)</f>
        <v>0</v>
      </c>
      <c r="K911" s="717">
        <f t="shared" si="87"/>
        <v>218389067</v>
      </c>
      <c r="L911" s="944">
        <f>IF(A911='Data Entry - SOF'!B$2,'Report-SOF2021'!D$99,0)</f>
        <v>0</v>
      </c>
      <c r="M911" s="723">
        <f>IF(A911='Data Entry - SOF'!B$2,'Data Entry - SOF'!M$102,0)</f>
        <v>0</v>
      </c>
      <c r="N911" s="717">
        <f t="shared" si="88"/>
        <v>218389067</v>
      </c>
      <c r="O911" s="944">
        <f>IF(A911='Data Entry - SOF'!B$2,'Report-SOF2122'!D$91,0)</f>
        <v>0</v>
      </c>
      <c r="P911" s="723">
        <f>IF(A911='Data Entry - SOF'!B$2,'Data Entry - SOF'!O$102,0)</f>
        <v>0</v>
      </c>
      <c r="Q911" s="601">
        <f t="shared" si="85"/>
        <v>218389067</v>
      </c>
      <c r="R911" s="944">
        <f>IF(A911='Data Entry - SOF'!B$2,'Report-SOF2223'!D$91,0)</f>
        <v>0</v>
      </c>
      <c r="S911" s="723">
        <f>IF(A911='Data Entry - SOF'!B$2,'Data Entry - SOF'!Q$102,0)</f>
        <v>0</v>
      </c>
      <c r="T911" s="601">
        <f t="shared" si="89"/>
        <v>218389067</v>
      </c>
      <c r="U911" s="944">
        <f>IF(A911='Data Entry - SOF'!B$2,'Report-SOF2324'!D$91,0)</f>
        <v>0</v>
      </c>
      <c r="V911" s="723">
        <f>IF(A911='Data Entry - SOF'!B$2,'Data Entry - SOF'!S$102,0)</f>
        <v>0</v>
      </c>
    </row>
    <row r="912" spans="1:22" ht="15.75">
      <c r="A912" s="382" t="s">
        <v>264</v>
      </c>
      <c r="B912" s="91">
        <v>180798810</v>
      </c>
      <c r="C912" s="944">
        <f>IF(A912='Data Entry - SOF'!B$2,'Report-SOF1718'!D$102,0)</f>
        <v>0</v>
      </c>
      <c r="D912" s="1037">
        <f>IF(A912='Data Entry - SOF'!B$2,'Data Entry - SOF'!#REF!,0)</f>
        <v>0</v>
      </c>
      <c r="E912" s="91">
        <f t="shared" si="84"/>
        <v>180798810</v>
      </c>
      <c r="F912" s="944">
        <f>IF(A912='Data Entry - SOF'!B$2,'Report-SOF1819'!D$102,0)</f>
        <v>0</v>
      </c>
      <c r="G912" s="1037">
        <f>IF(A912='Data Entry - SOF'!B$2,'Data Entry - SOF'!E$102,0)</f>
        <v>0</v>
      </c>
      <c r="H912" s="1038">
        <f t="shared" si="86"/>
        <v>180798810</v>
      </c>
      <c r="I912" s="944">
        <f>IF(A912='Data Entry - SOF'!B$2,'Report-SOF1920-HB3'!D$102,0)</f>
        <v>0</v>
      </c>
      <c r="J912" s="1037">
        <f>IF(A912='Data Entry - SOF'!B$2,'Data Entry - SOF'!G$102,0)</f>
        <v>0</v>
      </c>
      <c r="K912" s="717">
        <f t="shared" si="87"/>
        <v>180798810</v>
      </c>
      <c r="L912" s="944">
        <f>IF(A912='Data Entry - SOF'!B$2,'Report-SOF2021'!D$99,0)</f>
        <v>0</v>
      </c>
      <c r="M912" s="723">
        <f>IF(A912='Data Entry - SOF'!B$2,'Data Entry - SOF'!M$102,0)</f>
        <v>0</v>
      </c>
      <c r="N912" s="717">
        <f t="shared" si="88"/>
        <v>180798810</v>
      </c>
      <c r="O912" s="944">
        <f>IF(A912='Data Entry - SOF'!B$2,'Report-SOF2122'!D$91,0)</f>
        <v>0</v>
      </c>
      <c r="P912" s="723">
        <f>IF(A912='Data Entry - SOF'!B$2,'Data Entry - SOF'!O$102,0)</f>
        <v>0</v>
      </c>
      <c r="Q912" s="601">
        <f t="shared" si="85"/>
        <v>180798810</v>
      </c>
      <c r="R912" s="944">
        <f>IF(A912='Data Entry - SOF'!B$2,'Report-SOF2223'!D$91,0)</f>
        <v>0</v>
      </c>
      <c r="S912" s="723">
        <f>IF(A912='Data Entry - SOF'!B$2,'Data Entry - SOF'!Q$102,0)</f>
        <v>0</v>
      </c>
      <c r="T912" s="601">
        <f t="shared" si="89"/>
        <v>180798810</v>
      </c>
      <c r="U912" s="944">
        <f>IF(A912='Data Entry - SOF'!B$2,'Report-SOF2324'!D$91,0)</f>
        <v>0</v>
      </c>
      <c r="V912" s="723">
        <f>IF(A912='Data Entry - SOF'!B$2,'Data Entry - SOF'!S$102,0)</f>
        <v>0</v>
      </c>
    </row>
    <row r="913" spans="1:22" ht="15.75">
      <c r="A913" s="382" t="s">
        <v>265</v>
      </c>
      <c r="B913" s="91">
        <v>157576960</v>
      </c>
      <c r="C913" s="944">
        <f>IF(A913='Data Entry - SOF'!B$2,'Report-SOF1718'!D$102,0)</f>
        <v>0</v>
      </c>
      <c r="D913" s="1037">
        <f>IF(A913='Data Entry - SOF'!B$2,'Data Entry - SOF'!#REF!,0)</f>
        <v>0</v>
      </c>
      <c r="E913" s="91">
        <f t="shared" si="84"/>
        <v>157576960</v>
      </c>
      <c r="F913" s="944">
        <f>IF(A913='Data Entry - SOF'!B$2,'Report-SOF1819'!D$102,0)</f>
        <v>0</v>
      </c>
      <c r="G913" s="1037">
        <f>IF(A913='Data Entry - SOF'!B$2,'Data Entry - SOF'!E$102,0)</f>
        <v>0</v>
      </c>
      <c r="H913" s="1038">
        <f t="shared" si="86"/>
        <v>157576960</v>
      </c>
      <c r="I913" s="944">
        <f>IF(A913='Data Entry - SOF'!B$2,'Report-SOF1920-HB3'!D$102,0)</f>
        <v>0</v>
      </c>
      <c r="J913" s="1037">
        <f>IF(A913='Data Entry - SOF'!B$2,'Data Entry - SOF'!G$102,0)</f>
        <v>0</v>
      </c>
      <c r="K913" s="717">
        <f t="shared" si="87"/>
        <v>157576960</v>
      </c>
      <c r="L913" s="944">
        <f>IF(A913='Data Entry - SOF'!B$2,'Report-SOF2021'!D$99,0)</f>
        <v>0</v>
      </c>
      <c r="M913" s="723">
        <f>IF(A913='Data Entry - SOF'!B$2,'Data Entry - SOF'!M$102,0)</f>
        <v>0</v>
      </c>
      <c r="N913" s="717">
        <f t="shared" si="88"/>
        <v>157576960</v>
      </c>
      <c r="O913" s="944">
        <f>IF(A913='Data Entry - SOF'!B$2,'Report-SOF2122'!D$91,0)</f>
        <v>0</v>
      </c>
      <c r="P913" s="723">
        <f>IF(A913='Data Entry - SOF'!B$2,'Data Entry - SOF'!O$102,0)</f>
        <v>0</v>
      </c>
      <c r="Q913" s="601">
        <f t="shared" si="85"/>
        <v>157576960</v>
      </c>
      <c r="R913" s="944">
        <f>IF(A913='Data Entry - SOF'!B$2,'Report-SOF2223'!D$91,0)</f>
        <v>0</v>
      </c>
      <c r="S913" s="723">
        <f>IF(A913='Data Entry - SOF'!B$2,'Data Entry - SOF'!Q$102,0)</f>
        <v>0</v>
      </c>
      <c r="T913" s="601">
        <f t="shared" si="89"/>
        <v>157576960</v>
      </c>
      <c r="U913" s="944">
        <f>IF(A913='Data Entry - SOF'!B$2,'Report-SOF2324'!D$91,0)</f>
        <v>0</v>
      </c>
      <c r="V913" s="723">
        <f>IF(A913='Data Entry - SOF'!B$2,'Data Entry - SOF'!S$102,0)</f>
        <v>0</v>
      </c>
    </row>
    <row r="914" spans="1:22" ht="15.75">
      <c r="A914" s="382" t="s">
        <v>1133</v>
      </c>
      <c r="B914" s="91">
        <v>95169176</v>
      </c>
      <c r="C914" s="944">
        <f>IF(A914='Data Entry - SOF'!B$2,'Report-SOF1718'!D$102,0)</f>
        <v>0</v>
      </c>
      <c r="D914" s="1037">
        <f>IF(A914='Data Entry - SOF'!B$2,'Data Entry - SOF'!#REF!,0)</f>
        <v>0</v>
      </c>
      <c r="E914" s="91">
        <f t="shared" si="84"/>
        <v>95169176</v>
      </c>
      <c r="F914" s="944">
        <f>IF(A914='Data Entry - SOF'!B$2,'Report-SOF1819'!D$102,0)</f>
        <v>0</v>
      </c>
      <c r="G914" s="1037">
        <f>IF(A914='Data Entry - SOF'!B$2,'Data Entry - SOF'!E$102,0)</f>
        <v>0</v>
      </c>
      <c r="H914" s="1038">
        <f t="shared" si="86"/>
        <v>95169176</v>
      </c>
      <c r="I914" s="944">
        <f>IF(A914='Data Entry - SOF'!B$2,'Report-SOF1920-HB3'!D$102,0)</f>
        <v>0</v>
      </c>
      <c r="J914" s="1037">
        <f>IF(A914='Data Entry - SOF'!B$2,'Data Entry - SOF'!G$102,0)</f>
        <v>0</v>
      </c>
      <c r="K914" s="717">
        <f t="shared" si="87"/>
        <v>95169176</v>
      </c>
      <c r="L914" s="944">
        <f>IF(A914='Data Entry - SOF'!B$2,'Report-SOF2021'!D$99,0)</f>
        <v>0</v>
      </c>
      <c r="M914" s="723">
        <f>IF(A914='Data Entry - SOF'!B$2,'Data Entry - SOF'!M$102,0)</f>
        <v>0</v>
      </c>
      <c r="N914" s="717">
        <f t="shared" si="88"/>
        <v>95169176</v>
      </c>
      <c r="O914" s="944">
        <f>IF(A914='Data Entry - SOF'!B$2,'Report-SOF2122'!D$91,0)</f>
        <v>0</v>
      </c>
      <c r="P914" s="723">
        <f>IF(A914='Data Entry - SOF'!B$2,'Data Entry - SOF'!O$102,0)</f>
        <v>0</v>
      </c>
      <c r="Q914" s="601">
        <f t="shared" si="85"/>
        <v>95169176</v>
      </c>
      <c r="R914" s="944">
        <f>IF(A914='Data Entry - SOF'!B$2,'Report-SOF2223'!D$91,0)</f>
        <v>0</v>
      </c>
      <c r="S914" s="723">
        <f>IF(A914='Data Entry - SOF'!B$2,'Data Entry - SOF'!Q$102,0)</f>
        <v>0</v>
      </c>
      <c r="T914" s="601">
        <f t="shared" si="89"/>
        <v>95169176</v>
      </c>
      <c r="U914" s="944">
        <f>IF(A914='Data Entry - SOF'!B$2,'Report-SOF2324'!D$91,0)</f>
        <v>0</v>
      </c>
      <c r="V914" s="723">
        <f>IF(A914='Data Entry - SOF'!B$2,'Data Entry - SOF'!S$102,0)</f>
        <v>0</v>
      </c>
    </row>
    <row r="915" spans="1:22" ht="15.75">
      <c r="A915" s="382" t="s">
        <v>2446</v>
      </c>
      <c r="B915" s="91">
        <v>17432222</v>
      </c>
      <c r="C915" s="944">
        <f>IF(A915='Data Entry - SOF'!B$2,'Report-SOF1718'!D$102,0)</f>
        <v>0</v>
      </c>
      <c r="D915" s="1037">
        <f>IF(A915='Data Entry - SOF'!B$2,'Data Entry - SOF'!#REF!,0)</f>
        <v>0</v>
      </c>
      <c r="E915" s="91">
        <f t="shared" si="84"/>
        <v>17432222</v>
      </c>
      <c r="F915" s="944">
        <f>IF(A915='Data Entry - SOF'!B$2,'Report-SOF1819'!D$102,0)</f>
        <v>0</v>
      </c>
      <c r="G915" s="1037">
        <f>IF(A915='Data Entry - SOF'!B$2,'Data Entry - SOF'!E$102,0)</f>
        <v>0</v>
      </c>
      <c r="H915" s="1038">
        <f t="shared" si="86"/>
        <v>17432222</v>
      </c>
      <c r="I915" s="944">
        <f>IF(A915='Data Entry - SOF'!B$2,'Report-SOF1920-HB3'!D$102,0)</f>
        <v>0</v>
      </c>
      <c r="J915" s="1037">
        <f>IF(A915='Data Entry - SOF'!B$2,'Data Entry - SOF'!G$102,0)</f>
        <v>0</v>
      </c>
      <c r="K915" s="717">
        <f t="shared" si="87"/>
        <v>17432222</v>
      </c>
      <c r="L915" s="944">
        <f>IF(A915='Data Entry - SOF'!B$2,'Report-SOF2021'!D$99,0)</f>
        <v>0</v>
      </c>
      <c r="M915" s="723">
        <f>IF(A915='Data Entry - SOF'!B$2,'Data Entry - SOF'!M$102,0)</f>
        <v>0</v>
      </c>
      <c r="N915" s="717">
        <f t="shared" si="88"/>
        <v>17432222</v>
      </c>
      <c r="O915" s="944">
        <f>IF(A915='Data Entry - SOF'!B$2,'Report-SOF2122'!D$91,0)</f>
        <v>0</v>
      </c>
      <c r="P915" s="723">
        <f>IF(A915='Data Entry - SOF'!B$2,'Data Entry - SOF'!O$102,0)</f>
        <v>0</v>
      </c>
      <c r="Q915" s="601">
        <f t="shared" si="85"/>
        <v>17432222</v>
      </c>
      <c r="R915" s="944">
        <f>IF(A915='Data Entry - SOF'!B$2,'Report-SOF2223'!D$91,0)</f>
        <v>0</v>
      </c>
      <c r="S915" s="723">
        <f>IF(A915='Data Entry - SOF'!B$2,'Data Entry - SOF'!Q$102,0)</f>
        <v>0</v>
      </c>
      <c r="T915" s="601">
        <f t="shared" si="89"/>
        <v>17432222</v>
      </c>
      <c r="U915" s="944">
        <f>IF(A915='Data Entry - SOF'!B$2,'Report-SOF2324'!D$91,0)</f>
        <v>0</v>
      </c>
      <c r="V915" s="723">
        <f>IF(A915='Data Entry - SOF'!B$2,'Data Entry - SOF'!S$102,0)</f>
        <v>0</v>
      </c>
    </row>
    <row r="916" spans="1:22" ht="15.75">
      <c r="A916" s="382" t="s">
        <v>1320</v>
      </c>
      <c r="B916" s="91">
        <v>177230494</v>
      </c>
      <c r="C916" s="944">
        <f>IF(A916='Data Entry - SOF'!B$2,'Report-SOF1718'!D$102,0)</f>
        <v>0</v>
      </c>
      <c r="D916" s="1037">
        <f>IF(A916='Data Entry - SOF'!B$2,'Data Entry - SOF'!#REF!,0)</f>
        <v>0</v>
      </c>
      <c r="E916" s="91">
        <f t="shared" si="84"/>
        <v>177230494</v>
      </c>
      <c r="F916" s="944">
        <f>IF(A916='Data Entry - SOF'!B$2,'Report-SOF1819'!D$102,0)</f>
        <v>0</v>
      </c>
      <c r="G916" s="1037">
        <f>IF(A916='Data Entry - SOF'!B$2,'Data Entry - SOF'!E$102,0)</f>
        <v>0</v>
      </c>
      <c r="H916" s="1038">
        <f t="shared" si="86"/>
        <v>177230494</v>
      </c>
      <c r="I916" s="944">
        <f>IF(A916='Data Entry - SOF'!B$2,'Report-SOF1920-HB3'!D$102,0)</f>
        <v>0</v>
      </c>
      <c r="J916" s="1037">
        <f>IF(A916='Data Entry - SOF'!B$2,'Data Entry - SOF'!G$102,0)</f>
        <v>0</v>
      </c>
      <c r="K916" s="717">
        <f t="shared" si="87"/>
        <v>177230494</v>
      </c>
      <c r="L916" s="944">
        <f>IF(A916='Data Entry - SOF'!B$2,'Report-SOF2021'!D$99,0)</f>
        <v>0</v>
      </c>
      <c r="M916" s="723">
        <f>IF(A916='Data Entry - SOF'!B$2,'Data Entry - SOF'!M$102,0)</f>
        <v>0</v>
      </c>
      <c r="N916" s="717">
        <f t="shared" si="88"/>
        <v>177230494</v>
      </c>
      <c r="O916" s="944">
        <f>IF(A916='Data Entry - SOF'!B$2,'Report-SOF2122'!D$91,0)</f>
        <v>0</v>
      </c>
      <c r="P916" s="723">
        <f>IF(A916='Data Entry - SOF'!B$2,'Data Entry - SOF'!O$102,0)</f>
        <v>0</v>
      </c>
      <c r="Q916" s="601">
        <f t="shared" si="85"/>
        <v>177230494</v>
      </c>
      <c r="R916" s="944">
        <f>IF(A916='Data Entry - SOF'!B$2,'Report-SOF2223'!D$91,0)</f>
        <v>0</v>
      </c>
      <c r="S916" s="723">
        <f>IF(A916='Data Entry - SOF'!B$2,'Data Entry - SOF'!Q$102,0)</f>
        <v>0</v>
      </c>
      <c r="T916" s="601">
        <f t="shared" si="89"/>
        <v>177230494</v>
      </c>
      <c r="U916" s="944">
        <f>IF(A916='Data Entry - SOF'!B$2,'Report-SOF2324'!D$91,0)</f>
        <v>0</v>
      </c>
      <c r="V916" s="723">
        <f>IF(A916='Data Entry - SOF'!B$2,'Data Entry - SOF'!S$102,0)</f>
        <v>0</v>
      </c>
    </row>
    <row r="917" spans="1:22" ht="15.75">
      <c r="A917" s="382" t="s">
        <v>1321</v>
      </c>
      <c r="B917" s="91">
        <v>2043431</v>
      </c>
      <c r="C917" s="944">
        <f>IF(A917='Data Entry - SOF'!B$2,'Report-SOF1718'!D$102,0)</f>
        <v>0</v>
      </c>
      <c r="D917" s="1037">
        <f>IF(A917='Data Entry - SOF'!B$2,'Data Entry - SOF'!#REF!,0)</f>
        <v>0</v>
      </c>
      <c r="E917" s="91">
        <f t="shared" si="84"/>
        <v>2043431</v>
      </c>
      <c r="F917" s="944">
        <f>IF(A917='Data Entry - SOF'!B$2,'Report-SOF1819'!D$102,0)</f>
        <v>0</v>
      </c>
      <c r="G917" s="1037">
        <f>IF(A917='Data Entry - SOF'!B$2,'Data Entry - SOF'!E$102,0)</f>
        <v>0</v>
      </c>
      <c r="H917" s="1038">
        <f t="shared" si="86"/>
        <v>2043431</v>
      </c>
      <c r="I917" s="944">
        <f>IF(A917='Data Entry - SOF'!B$2,'Report-SOF1920-HB3'!D$102,0)</f>
        <v>0</v>
      </c>
      <c r="J917" s="1037">
        <f>IF(A917='Data Entry - SOF'!B$2,'Data Entry - SOF'!G$102,0)</f>
        <v>0</v>
      </c>
      <c r="K917" s="717">
        <f t="shared" si="87"/>
        <v>2043431</v>
      </c>
      <c r="L917" s="944">
        <f>IF(A917='Data Entry - SOF'!B$2,'Report-SOF2021'!D$99,0)</f>
        <v>0</v>
      </c>
      <c r="M917" s="723">
        <f>IF(A917='Data Entry - SOF'!B$2,'Data Entry - SOF'!M$102,0)</f>
        <v>0</v>
      </c>
      <c r="N917" s="717">
        <f t="shared" si="88"/>
        <v>2043431</v>
      </c>
      <c r="O917" s="944">
        <f>IF(A917='Data Entry - SOF'!B$2,'Report-SOF2122'!D$91,0)</f>
        <v>0</v>
      </c>
      <c r="P917" s="723">
        <f>IF(A917='Data Entry - SOF'!B$2,'Data Entry - SOF'!O$102,0)</f>
        <v>0</v>
      </c>
      <c r="Q917" s="601">
        <f t="shared" si="85"/>
        <v>2043431</v>
      </c>
      <c r="R917" s="944">
        <f>IF(A917='Data Entry - SOF'!B$2,'Report-SOF2223'!D$91,0)</f>
        <v>0</v>
      </c>
      <c r="S917" s="723">
        <f>IF(A917='Data Entry - SOF'!B$2,'Data Entry - SOF'!Q$102,0)</f>
        <v>0</v>
      </c>
      <c r="T917" s="601">
        <f t="shared" si="89"/>
        <v>2043431</v>
      </c>
      <c r="U917" s="944">
        <f>IF(A917='Data Entry - SOF'!B$2,'Report-SOF2324'!D$91,0)</f>
        <v>0</v>
      </c>
      <c r="V917" s="723">
        <f>IF(A917='Data Entry - SOF'!B$2,'Data Entry - SOF'!S$102,0)</f>
        <v>0</v>
      </c>
    </row>
    <row r="918" spans="1:22" ht="15.75">
      <c r="A918" s="382" t="s">
        <v>1322</v>
      </c>
      <c r="B918" s="91">
        <v>1702119</v>
      </c>
      <c r="C918" s="944">
        <f>IF(A918='Data Entry - SOF'!B$2,'Report-SOF1718'!D$102,0)</f>
        <v>0</v>
      </c>
      <c r="D918" s="1037">
        <f>IF(A918='Data Entry - SOF'!B$2,'Data Entry - SOF'!#REF!,0)</f>
        <v>0</v>
      </c>
      <c r="E918" s="91">
        <f t="shared" si="84"/>
        <v>1702119</v>
      </c>
      <c r="F918" s="944">
        <f>IF(A918='Data Entry - SOF'!B$2,'Report-SOF1819'!D$102,0)</f>
        <v>0</v>
      </c>
      <c r="G918" s="1037">
        <f>IF(A918='Data Entry - SOF'!B$2,'Data Entry - SOF'!E$102,0)</f>
        <v>0</v>
      </c>
      <c r="H918" s="1038">
        <f t="shared" si="86"/>
        <v>1702119</v>
      </c>
      <c r="I918" s="944">
        <f>IF(A918='Data Entry - SOF'!B$2,'Report-SOF1920-HB3'!D$102,0)</f>
        <v>0</v>
      </c>
      <c r="J918" s="1037">
        <f>IF(A918='Data Entry - SOF'!B$2,'Data Entry - SOF'!G$102,0)</f>
        <v>0</v>
      </c>
      <c r="K918" s="717">
        <f t="shared" si="87"/>
        <v>1702119</v>
      </c>
      <c r="L918" s="944">
        <f>IF(A918='Data Entry - SOF'!B$2,'Report-SOF2021'!D$99,0)</f>
        <v>0</v>
      </c>
      <c r="M918" s="723">
        <f>IF(A918='Data Entry - SOF'!B$2,'Data Entry - SOF'!M$102,0)</f>
        <v>0</v>
      </c>
      <c r="N918" s="717">
        <f t="shared" si="88"/>
        <v>1702119</v>
      </c>
      <c r="O918" s="944">
        <f>IF(A918='Data Entry - SOF'!B$2,'Report-SOF2122'!D$91,0)</f>
        <v>0</v>
      </c>
      <c r="P918" s="723">
        <f>IF(A918='Data Entry - SOF'!B$2,'Data Entry - SOF'!O$102,0)</f>
        <v>0</v>
      </c>
      <c r="Q918" s="601">
        <f t="shared" si="85"/>
        <v>1702119</v>
      </c>
      <c r="R918" s="944">
        <f>IF(A918='Data Entry - SOF'!B$2,'Report-SOF2223'!D$91,0)</f>
        <v>0</v>
      </c>
      <c r="S918" s="723">
        <f>IF(A918='Data Entry - SOF'!B$2,'Data Entry - SOF'!Q$102,0)</f>
        <v>0</v>
      </c>
      <c r="T918" s="601">
        <f t="shared" si="89"/>
        <v>1702119</v>
      </c>
      <c r="U918" s="944">
        <f>IF(A918='Data Entry - SOF'!B$2,'Report-SOF2324'!D$91,0)</f>
        <v>0</v>
      </c>
      <c r="V918" s="723">
        <f>IF(A918='Data Entry - SOF'!B$2,'Data Entry - SOF'!S$102,0)</f>
        <v>0</v>
      </c>
    </row>
    <row r="919" spans="1:22" ht="15.75">
      <c r="A919" s="382" t="s">
        <v>1323</v>
      </c>
      <c r="B919" s="91">
        <v>193939</v>
      </c>
      <c r="C919" s="944">
        <f>IF(A919='Data Entry - SOF'!B$2,'Report-SOF1718'!D$102,0)</f>
        <v>0</v>
      </c>
      <c r="D919" s="1037">
        <f>IF(A919='Data Entry - SOF'!B$2,'Data Entry - SOF'!#REF!,0)</f>
        <v>0</v>
      </c>
      <c r="E919" s="91">
        <f t="shared" si="84"/>
        <v>193939</v>
      </c>
      <c r="F919" s="944">
        <f>IF(A919='Data Entry - SOF'!B$2,'Report-SOF1819'!D$102,0)</f>
        <v>0</v>
      </c>
      <c r="G919" s="1037">
        <f>IF(A919='Data Entry - SOF'!B$2,'Data Entry - SOF'!E$102,0)</f>
        <v>0</v>
      </c>
      <c r="H919" s="1038">
        <f t="shared" si="86"/>
        <v>193939</v>
      </c>
      <c r="I919" s="944">
        <f>IF(A919='Data Entry - SOF'!B$2,'Report-SOF1920-HB3'!D$102,0)</f>
        <v>0</v>
      </c>
      <c r="J919" s="1037">
        <f>IF(A919='Data Entry - SOF'!B$2,'Data Entry - SOF'!G$102,0)</f>
        <v>0</v>
      </c>
      <c r="K919" s="717">
        <f t="shared" si="87"/>
        <v>193939</v>
      </c>
      <c r="L919" s="944">
        <f>IF(A919='Data Entry - SOF'!B$2,'Report-SOF2021'!D$99,0)</f>
        <v>0</v>
      </c>
      <c r="M919" s="723">
        <f>IF(A919='Data Entry - SOF'!B$2,'Data Entry - SOF'!M$102,0)</f>
        <v>0</v>
      </c>
      <c r="N919" s="717">
        <f t="shared" si="88"/>
        <v>193939</v>
      </c>
      <c r="O919" s="944">
        <f>IF(A919='Data Entry - SOF'!B$2,'Report-SOF2122'!D$91,0)</f>
        <v>0</v>
      </c>
      <c r="P919" s="723">
        <f>IF(A919='Data Entry - SOF'!B$2,'Data Entry - SOF'!O$102,0)</f>
        <v>0</v>
      </c>
      <c r="Q919" s="601">
        <f t="shared" si="85"/>
        <v>193939</v>
      </c>
      <c r="R919" s="944">
        <f>IF(A919='Data Entry - SOF'!B$2,'Report-SOF2223'!D$91,0)</f>
        <v>0</v>
      </c>
      <c r="S919" s="723">
        <f>IF(A919='Data Entry - SOF'!B$2,'Data Entry - SOF'!Q$102,0)</f>
        <v>0</v>
      </c>
      <c r="T919" s="601">
        <f t="shared" si="89"/>
        <v>193939</v>
      </c>
      <c r="U919" s="944">
        <f>IF(A919='Data Entry - SOF'!B$2,'Report-SOF2324'!D$91,0)</f>
        <v>0</v>
      </c>
      <c r="V919" s="723">
        <f>IF(A919='Data Entry - SOF'!B$2,'Data Entry - SOF'!S$102,0)</f>
        <v>0</v>
      </c>
    </row>
    <row r="920" spans="1:22" ht="15.75">
      <c r="A920" s="382" t="s">
        <v>1324</v>
      </c>
      <c r="B920" s="91">
        <v>229451</v>
      </c>
      <c r="C920" s="944">
        <f>IF(A920='Data Entry - SOF'!B$2,'Report-SOF1718'!D$102,0)</f>
        <v>0</v>
      </c>
      <c r="D920" s="1037">
        <f>IF(A920='Data Entry - SOF'!B$2,'Data Entry - SOF'!#REF!,0)</f>
        <v>0</v>
      </c>
      <c r="E920" s="91">
        <f t="shared" si="84"/>
        <v>229451</v>
      </c>
      <c r="F920" s="944">
        <f>IF(A920='Data Entry - SOF'!B$2,'Report-SOF1819'!D$102,0)</f>
        <v>0</v>
      </c>
      <c r="G920" s="1037">
        <f>IF(A920='Data Entry - SOF'!B$2,'Data Entry - SOF'!E$102,0)</f>
        <v>0</v>
      </c>
      <c r="H920" s="1038">
        <f t="shared" si="86"/>
        <v>229451</v>
      </c>
      <c r="I920" s="944">
        <f>IF(A920='Data Entry - SOF'!B$2,'Report-SOF1920-HB3'!D$102,0)</f>
        <v>0</v>
      </c>
      <c r="J920" s="1037">
        <f>IF(A920='Data Entry - SOF'!B$2,'Data Entry - SOF'!G$102,0)</f>
        <v>0</v>
      </c>
      <c r="K920" s="717">
        <f t="shared" si="87"/>
        <v>229451</v>
      </c>
      <c r="L920" s="944">
        <f>IF(A920='Data Entry - SOF'!B$2,'Report-SOF2021'!D$99,0)</f>
        <v>0</v>
      </c>
      <c r="M920" s="723">
        <f>IF(A920='Data Entry - SOF'!B$2,'Data Entry - SOF'!M$102,0)</f>
        <v>0</v>
      </c>
      <c r="N920" s="717">
        <f t="shared" si="88"/>
        <v>229451</v>
      </c>
      <c r="O920" s="944">
        <f>IF(A920='Data Entry - SOF'!B$2,'Report-SOF2122'!D$91,0)</f>
        <v>0</v>
      </c>
      <c r="P920" s="723">
        <f>IF(A920='Data Entry - SOF'!B$2,'Data Entry - SOF'!O$102,0)</f>
        <v>0</v>
      </c>
      <c r="Q920" s="601">
        <f t="shared" si="85"/>
        <v>229451</v>
      </c>
      <c r="R920" s="944">
        <f>IF(A920='Data Entry - SOF'!B$2,'Report-SOF2223'!D$91,0)</f>
        <v>0</v>
      </c>
      <c r="S920" s="723">
        <f>IF(A920='Data Entry - SOF'!B$2,'Data Entry - SOF'!Q$102,0)</f>
        <v>0</v>
      </c>
      <c r="T920" s="601">
        <f t="shared" si="89"/>
        <v>229451</v>
      </c>
      <c r="U920" s="944">
        <f>IF(A920='Data Entry - SOF'!B$2,'Report-SOF2324'!D$91,0)</f>
        <v>0</v>
      </c>
      <c r="V920" s="723">
        <f>IF(A920='Data Entry - SOF'!B$2,'Data Entry - SOF'!S$102,0)</f>
        <v>0</v>
      </c>
    </row>
    <row r="921" spans="1:22" ht="15.75">
      <c r="A921" s="382" t="s">
        <v>1434</v>
      </c>
      <c r="B921" s="91">
        <v>238215</v>
      </c>
      <c r="C921" s="944">
        <f>IF(A921='Data Entry - SOF'!B$2,'Report-SOF1718'!D$102,0)</f>
        <v>0</v>
      </c>
      <c r="D921" s="1037">
        <f>IF(A921='Data Entry - SOF'!B$2,'Data Entry - SOF'!#REF!,0)</f>
        <v>0</v>
      </c>
      <c r="E921" s="91">
        <f t="shared" si="84"/>
        <v>238215</v>
      </c>
      <c r="F921" s="944">
        <f>IF(A921='Data Entry - SOF'!B$2,'Report-SOF1819'!D$102,0)</f>
        <v>0</v>
      </c>
      <c r="G921" s="1037">
        <f>IF(A921='Data Entry - SOF'!B$2,'Data Entry - SOF'!E$102,0)</f>
        <v>0</v>
      </c>
      <c r="H921" s="1038">
        <f t="shared" si="86"/>
        <v>238215</v>
      </c>
      <c r="I921" s="944">
        <f>IF(A921='Data Entry - SOF'!B$2,'Report-SOF1920-HB3'!D$102,0)</f>
        <v>0</v>
      </c>
      <c r="J921" s="1037">
        <f>IF(A921='Data Entry - SOF'!B$2,'Data Entry - SOF'!G$102,0)</f>
        <v>0</v>
      </c>
      <c r="K921" s="717">
        <f t="shared" si="87"/>
        <v>238215</v>
      </c>
      <c r="L921" s="944">
        <f>IF(A921='Data Entry - SOF'!B$2,'Report-SOF2021'!D$99,0)</f>
        <v>0</v>
      </c>
      <c r="M921" s="723">
        <f>IF(A921='Data Entry - SOF'!B$2,'Data Entry - SOF'!M$102,0)</f>
        <v>0</v>
      </c>
      <c r="N921" s="717">
        <f t="shared" si="88"/>
        <v>238215</v>
      </c>
      <c r="O921" s="944">
        <f>IF(A921='Data Entry - SOF'!B$2,'Report-SOF2122'!D$91,0)</f>
        <v>0</v>
      </c>
      <c r="P921" s="723">
        <f>IF(A921='Data Entry - SOF'!B$2,'Data Entry - SOF'!O$102,0)</f>
        <v>0</v>
      </c>
      <c r="Q921" s="601">
        <f t="shared" si="85"/>
        <v>238215</v>
      </c>
      <c r="R921" s="944">
        <f>IF(A921='Data Entry - SOF'!B$2,'Report-SOF2223'!D$91,0)</f>
        <v>0</v>
      </c>
      <c r="S921" s="723">
        <f>IF(A921='Data Entry - SOF'!B$2,'Data Entry - SOF'!Q$102,0)</f>
        <v>0</v>
      </c>
      <c r="T921" s="601">
        <f t="shared" si="89"/>
        <v>238215</v>
      </c>
      <c r="U921" s="944">
        <f>IF(A921='Data Entry - SOF'!B$2,'Report-SOF2324'!D$91,0)</f>
        <v>0</v>
      </c>
      <c r="V921" s="723">
        <f>IF(A921='Data Entry - SOF'!B$2,'Data Entry - SOF'!S$102,0)</f>
        <v>0</v>
      </c>
    </row>
    <row r="922" spans="1:22" ht="15.75">
      <c r="A922" s="382" t="s">
        <v>1807</v>
      </c>
      <c r="B922" s="91">
        <v>4920475</v>
      </c>
      <c r="C922" s="944">
        <f>IF(A922='Data Entry - SOF'!B$2,'Report-SOF1718'!D$102,0)</f>
        <v>0</v>
      </c>
      <c r="D922" s="1037">
        <f>IF(A922='Data Entry - SOF'!B$2,'Data Entry - SOF'!#REF!,0)</f>
        <v>0</v>
      </c>
      <c r="E922" s="91">
        <f t="shared" si="84"/>
        <v>4920475</v>
      </c>
      <c r="F922" s="944">
        <f>IF(A922='Data Entry - SOF'!B$2,'Report-SOF1819'!D$102,0)</f>
        <v>0</v>
      </c>
      <c r="G922" s="1037">
        <f>IF(A922='Data Entry - SOF'!B$2,'Data Entry - SOF'!E$102,0)</f>
        <v>0</v>
      </c>
      <c r="H922" s="1038">
        <f t="shared" si="86"/>
        <v>4920475</v>
      </c>
      <c r="I922" s="944">
        <f>IF(A922='Data Entry - SOF'!B$2,'Report-SOF1920-HB3'!D$102,0)</f>
        <v>0</v>
      </c>
      <c r="J922" s="1037">
        <f>IF(A922='Data Entry - SOF'!B$2,'Data Entry - SOF'!G$102,0)</f>
        <v>0</v>
      </c>
      <c r="K922" s="717">
        <f t="shared" si="87"/>
        <v>4920475</v>
      </c>
      <c r="L922" s="944">
        <f>IF(A922='Data Entry - SOF'!B$2,'Report-SOF2021'!D$99,0)</f>
        <v>0</v>
      </c>
      <c r="M922" s="723">
        <f>IF(A922='Data Entry - SOF'!B$2,'Data Entry - SOF'!M$102,0)</f>
        <v>0</v>
      </c>
      <c r="N922" s="717">
        <f t="shared" si="88"/>
        <v>4920475</v>
      </c>
      <c r="O922" s="944">
        <f>IF(A922='Data Entry - SOF'!B$2,'Report-SOF2122'!D$91,0)</f>
        <v>0</v>
      </c>
      <c r="P922" s="723">
        <f>IF(A922='Data Entry - SOF'!B$2,'Data Entry - SOF'!O$102,0)</f>
        <v>0</v>
      </c>
      <c r="Q922" s="601">
        <f t="shared" si="85"/>
        <v>4920475</v>
      </c>
      <c r="R922" s="944">
        <f>IF(A922='Data Entry - SOF'!B$2,'Report-SOF2223'!D$91,0)</f>
        <v>0</v>
      </c>
      <c r="S922" s="723">
        <f>IF(A922='Data Entry - SOF'!B$2,'Data Entry - SOF'!Q$102,0)</f>
        <v>0</v>
      </c>
      <c r="T922" s="601">
        <f t="shared" si="89"/>
        <v>4920475</v>
      </c>
      <c r="U922" s="944">
        <f>IF(A922='Data Entry - SOF'!B$2,'Report-SOF2324'!D$91,0)</f>
        <v>0</v>
      </c>
      <c r="V922" s="723">
        <f>IF(A922='Data Entry - SOF'!B$2,'Data Entry - SOF'!S$102,0)</f>
        <v>0</v>
      </c>
    </row>
    <row r="923" spans="1:22" ht="15.75">
      <c r="A923" s="382" t="s">
        <v>1808</v>
      </c>
      <c r="B923" s="91">
        <v>2883214</v>
      </c>
      <c r="C923" s="944">
        <f>IF(A923='Data Entry - SOF'!B$2,'Report-SOF1718'!D$102,0)</f>
        <v>0</v>
      </c>
      <c r="D923" s="1037">
        <f>IF(A923='Data Entry - SOF'!B$2,'Data Entry - SOF'!#REF!,0)</f>
        <v>0</v>
      </c>
      <c r="E923" s="91">
        <f t="shared" si="84"/>
        <v>2883214</v>
      </c>
      <c r="F923" s="944">
        <f>IF(A923='Data Entry - SOF'!B$2,'Report-SOF1819'!D$102,0)</f>
        <v>0</v>
      </c>
      <c r="G923" s="1037">
        <f>IF(A923='Data Entry - SOF'!B$2,'Data Entry - SOF'!E$102,0)</f>
        <v>0</v>
      </c>
      <c r="H923" s="1038">
        <f t="shared" si="86"/>
        <v>2883214</v>
      </c>
      <c r="I923" s="944">
        <f>IF(A923='Data Entry - SOF'!B$2,'Report-SOF1920-HB3'!D$102,0)</f>
        <v>0</v>
      </c>
      <c r="J923" s="1037">
        <f>IF(A923='Data Entry - SOF'!B$2,'Data Entry - SOF'!G$102,0)</f>
        <v>0</v>
      </c>
      <c r="K923" s="717">
        <f t="shared" si="87"/>
        <v>2883214</v>
      </c>
      <c r="L923" s="944">
        <f>IF(A923='Data Entry - SOF'!B$2,'Report-SOF2021'!D$99,0)</f>
        <v>0</v>
      </c>
      <c r="M923" s="723">
        <f>IF(A923='Data Entry - SOF'!B$2,'Data Entry - SOF'!M$102,0)</f>
        <v>0</v>
      </c>
      <c r="N923" s="717">
        <f t="shared" si="88"/>
        <v>2883214</v>
      </c>
      <c r="O923" s="944">
        <f>IF(A923='Data Entry - SOF'!B$2,'Report-SOF2122'!D$91,0)</f>
        <v>0</v>
      </c>
      <c r="P923" s="723">
        <f>IF(A923='Data Entry - SOF'!B$2,'Data Entry - SOF'!O$102,0)</f>
        <v>0</v>
      </c>
      <c r="Q923" s="601">
        <f t="shared" si="85"/>
        <v>2883214</v>
      </c>
      <c r="R923" s="944">
        <f>IF(A923='Data Entry - SOF'!B$2,'Report-SOF2223'!D$91,0)</f>
        <v>0</v>
      </c>
      <c r="S923" s="723">
        <f>IF(A923='Data Entry - SOF'!B$2,'Data Entry - SOF'!Q$102,0)</f>
        <v>0</v>
      </c>
      <c r="T923" s="601">
        <f t="shared" si="89"/>
        <v>2883214</v>
      </c>
      <c r="U923" s="944">
        <f>IF(A923='Data Entry - SOF'!B$2,'Report-SOF2324'!D$91,0)</f>
        <v>0</v>
      </c>
      <c r="V923" s="723">
        <f>IF(A923='Data Entry - SOF'!B$2,'Data Entry - SOF'!S$102,0)</f>
        <v>0</v>
      </c>
    </row>
    <row r="924" spans="1:22" ht="15.75">
      <c r="A924" s="382" t="s">
        <v>1254</v>
      </c>
      <c r="B924" s="91">
        <v>520224</v>
      </c>
      <c r="C924" s="944">
        <f>IF(A924='Data Entry - SOF'!B$2,'Report-SOF1718'!D$102,0)</f>
        <v>0</v>
      </c>
      <c r="D924" s="1037">
        <f>IF(A924='Data Entry - SOF'!B$2,'Data Entry - SOF'!#REF!,0)</f>
        <v>0</v>
      </c>
      <c r="E924" s="91">
        <f t="shared" si="84"/>
        <v>520224</v>
      </c>
      <c r="F924" s="944">
        <f>IF(A924='Data Entry - SOF'!B$2,'Report-SOF1819'!D$102,0)</f>
        <v>0</v>
      </c>
      <c r="G924" s="1037">
        <f>IF(A924='Data Entry - SOF'!B$2,'Data Entry - SOF'!E$102,0)</f>
        <v>0</v>
      </c>
      <c r="H924" s="1038">
        <f t="shared" si="86"/>
        <v>520224</v>
      </c>
      <c r="I924" s="944">
        <f>IF(A924='Data Entry - SOF'!B$2,'Report-SOF1920-HB3'!D$102,0)</f>
        <v>0</v>
      </c>
      <c r="J924" s="1037">
        <f>IF(A924='Data Entry - SOF'!B$2,'Data Entry - SOF'!G$102,0)</f>
        <v>0</v>
      </c>
      <c r="K924" s="717">
        <f t="shared" si="87"/>
        <v>520224</v>
      </c>
      <c r="L924" s="944">
        <f>IF(A924='Data Entry - SOF'!B$2,'Report-SOF2021'!D$99,0)</f>
        <v>0</v>
      </c>
      <c r="M924" s="723">
        <f>IF(A924='Data Entry - SOF'!B$2,'Data Entry - SOF'!M$102,0)</f>
        <v>0</v>
      </c>
      <c r="N924" s="717">
        <f t="shared" si="88"/>
        <v>520224</v>
      </c>
      <c r="O924" s="944">
        <f>IF(A924='Data Entry - SOF'!B$2,'Report-SOF2122'!D$91,0)</f>
        <v>0</v>
      </c>
      <c r="P924" s="723">
        <f>IF(A924='Data Entry - SOF'!B$2,'Data Entry - SOF'!O$102,0)</f>
        <v>0</v>
      </c>
      <c r="Q924" s="601">
        <f t="shared" si="85"/>
        <v>520224</v>
      </c>
      <c r="R924" s="944">
        <f>IF(A924='Data Entry - SOF'!B$2,'Report-SOF2223'!D$91,0)</f>
        <v>0</v>
      </c>
      <c r="S924" s="723">
        <f>IF(A924='Data Entry - SOF'!B$2,'Data Entry - SOF'!Q$102,0)</f>
        <v>0</v>
      </c>
      <c r="T924" s="601">
        <f t="shared" si="89"/>
        <v>520224</v>
      </c>
      <c r="U924" s="944">
        <f>IF(A924='Data Entry - SOF'!B$2,'Report-SOF2324'!D$91,0)</f>
        <v>0</v>
      </c>
      <c r="V924" s="723">
        <f>IF(A924='Data Entry - SOF'!B$2,'Data Entry - SOF'!S$102,0)</f>
        <v>0</v>
      </c>
    </row>
    <row r="925" spans="1:22" ht="15.75">
      <c r="A925" s="382" t="s">
        <v>70</v>
      </c>
      <c r="B925" s="91">
        <v>507430</v>
      </c>
      <c r="C925" s="944">
        <f>IF(A925='Data Entry - SOF'!B$2,'Report-SOF1718'!D$102,0)</f>
        <v>0</v>
      </c>
      <c r="D925" s="1037">
        <f>IF(A925='Data Entry - SOF'!B$2,'Data Entry - SOF'!#REF!,0)</f>
        <v>0</v>
      </c>
      <c r="E925" s="91">
        <f t="shared" si="84"/>
        <v>507430</v>
      </c>
      <c r="F925" s="944">
        <f>IF(A925='Data Entry - SOF'!B$2,'Report-SOF1819'!D$102,0)</f>
        <v>0</v>
      </c>
      <c r="G925" s="1037">
        <f>IF(A925='Data Entry - SOF'!B$2,'Data Entry - SOF'!E$102,0)</f>
        <v>0</v>
      </c>
      <c r="H925" s="1038">
        <f t="shared" si="86"/>
        <v>507430</v>
      </c>
      <c r="I925" s="944">
        <f>IF(A925='Data Entry - SOF'!B$2,'Report-SOF1920-HB3'!D$102,0)</f>
        <v>0</v>
      </c>
      <c r="J925" s="1037">
        <f>IF(A925='Data Entry - SOF'!B$2,'Data Entry - SOF'!G$102,0)</f>
        <v>0</v>
      </c>
      <c r="K925" s="717">
        <f t="shared" si="87"/>
        <v>507430</v>
      </c>
      <c r="L925" s="944">
        <f>IF(A925='Data Entry - SOF'!B$2,'Report-SOF2021'!D$99,0)</f>
        <v>0</v>
      </c>
      <c r="M925" s="723">
        <f>IF(A925='Data Entry - SOF'!B$2,'Data Entry - SOF'!M$102,0)</f>
        <v>0</v>
      </c>
      <c r="N925" s="717">
        <f t="shared" si="88"/>
        <v>507430</v>
      </c>
      <c r="O925" s="944">
        <f>IF(A925='Data Entry - SOF'!B$2,'Report-SOF2122'!D$91,0)</f>
        <v>0</v>
      </c>
      <c r="P925" s="723">
        <f>IF(A925='Data Entry - SOF'!B$2,'Data Entry - SOF'!O$102,0)</f>
        <v>0</v>
      </c>
      <c r="Q925" s="601">
        <f t="shared" si="85"/>
        <v>507430</v>
      </c>
      <c r="R925" s="944">
        <f>IF(A925='Data Entry - SOF'!B$2,'Report-SOF2223'!D$91,0)</f>
        <v>0</v>
      </c>
      <c r="S925" s="723">
        <f>IF(A925='Data Entry - SOF'!B$2,'Data Entry - SOF'!Q$102,0)</f>
        <v>0</v>
      </c>
      <c r="T925" s="601">
        <f t="shared" si="89"/>
        <v>507430</v>
      </c>
      <c r="U925" s="944">
        <f>IF(A925='Data Entry - SOF'!B$2,'Report-SOF2324'!D$91,0)</f>
        <v>0</v>
      </c>
      <c r="V925" s="723">
        <f>IF(A925='Data Entry - SOF'!B$2,'Data Entry - SOF'!S$102,0)</f>
        <v>0</v>
      </c>
    </row>
    <row r="926" spans="1:22" ht="15.75">
      <c r="A926" s="382" t="s">
        <v>1809</v>
      </c>
      <c r="B926" s="91">
        <v>2287835</v>
      </c>
      <c r="C926" s="944">
        <f>IF(A926='Data Entry - SOF'!B$2,'Report-SOF1718'!D$102,0)</f>
        <v>0</v>
      </c>
      <c r="D926" s="1037">
        <f>IF(A926='Data Entry - SOF'!B$2,'Data Entry - SOF'!#REF!,0)</f>
        <v>0</v>
      </c>
      <c r="E926" s="91">
        <f t="shared" si="84"/>
        <v>2287835</v>
      </c>
      <c r="F926" s="944">
        <f>IF(A926='Data Entry - SOF'!B$2,'Report-SOF1819'!D$102,0)</f>
        <v>0</v>
      </c>
      <c r="G926" s="1037">
        <f>IF(A926='Data Entry - SOF'!B$2,'Data Entry - SOF'!E$102,0)</f>
        <v>0</v>
      </c>
      <c r="H926" s="1038">
        <f t="shared" si="86"/>
        <v>2287835</v>
      </c>
      <c r="I926" s="944">
        <f>IF(A926='Data Entry - SOF'!B$2,'Report-SOF1920-HB3'!D$102,0)</f>
        <v>0</v>
      </c>
      <c r="J926" s="1037">
        <f>IF(A926='Data Entry - SOF'!B$2,'Data Entry - SOF'!G$102,0)</f>
        <v>0</v>
      </c>
      <c r="K926" s="717">
        <f t="shared" si="87"/>
        <v>2287835</v>
      </c>
      <c r="L926" s="944">
        <f>IF(A926='Data Entry - SOF'!B$2,'Report-SOF2021'!D$99,0)</f>
        <v>0</v>
      </c>
      <c r="M926" s="723">
        <f>IF(A926='Data Entry - SOF'!B$2,'Data Entry - SOF'!M$102,0)</f>
        <v>0</v>
      </c>
      <c r="N926" s="717">
        <f t="shared" si="88"/>
        <v>2287835</v>
      </c>
      <c r="O926" s="944">
        <f>IF(A926='Data Entry - SOF'!B$2,'Report-SOF2122'!D$91,0)</f>
        <v>0</v>
      </c>
      <c r="P926" s="723">
        <f>IF(A926='Data Entry - SOF'!B$2,'Data Entry - SOF'!O$102,0)</f>
        <v>0</v>
      </c>
      <c r="Q926" s="601">
        <f t="shared" si="85"/>
        <v>2287835</v>
      </c>
      <c r="R926" s="944">
        <f>IF(A926='Data Entry - SOF'!B$2,'Report-SOF2223'!D$91,0)</f>
        <v>0</v>
      </c>
      <c r="S926" s="723">
        <f>IF(A926='Data Entry - SOF'!B$2,'Data Entry - SOF'!Q$102,0)</f>
        <v>0</v>
      </c>
      <c r="T926" s="601">
        <f t="shared" si="89"/>
        <v>2287835</v>
      </c>
      <c r="U926" s="944">
        <f>IF(A926='Data Entry - SOF'!B$2,'Report-SOF2324'!D$91,0)</f>
        <v>0</v>
      </c>
      <c r="V926" s="723">
        <f>IF(A926='Data Entry - SOF'!B$2,'Data Entry - SOF'!S$102,0)</f>
        <v>0</v>
      </c>
    </row>
    <row r="927" spans="1:22" ht="15.75">
      <c r="A927" s="382" t="s">
        <v>1810</v>
      </c>
      <c r="B927" s="91">
        <v>3385535</v>
      </c>
      <c r="C927" s="944">
        <f>IF(A927='Data Entry - SOF'!B$2,'Report-SOF1718'!D$102,0)</f>
        <v>0</v>
      </c>
      <c r="D927" s="1037">
        <f>IF(A927='Data Entry - SOF'!B$2,'Data Entry - SOF'!#REF!,0)</f>
        <v>0</v>
      </c>
      <c r="E927" s="91">
        <f t="shared" si="84"/>
        <v>3385535</v>
      </c>
      <c r="F927" s="944">
        <f>IF(A927='Data Entry - SOF'!B$2,'Report-SOF1819'!D$102,0)</f>
        <v>0</v>
      </c>
      <c r="G927" s="1037">
        <f>IF(A927='Data Entry - SOF'!B$2,'Data Entry - SOF'!E$102,0)</f>
        <v>0</v>
      </c>
      <c r="H927" s="1038">
        <f t="shared" si="86"/>
        <v>3385535</v>
      </c>
      <c r="I927" s="944">
        <f>IF(A927='Data Entry - SOF'!B$2,'Report-SOF1920-HB3'!D$102,0)</f>
        <v>0</v>
      </c>
      <c r="J927" s="1037">
        <f>IF(A927='Data Entry - SOF'!B$2,'Data Entry - SOF'!G$102,0)</f>
        <v>0</v>
      </c>
      <c r="K927" s="717">
        <f t="shared" si="87"/>
        <v>3385535</v>
      </c>
      <c r="L927" s="944">
        <f>IF(A927='Data Entry - SOF'!B$2,'Report-SOF2021'!D$99,0)</f>
        <v>0</v>
      </c>
      <c r="M927" s="723">
        <f>IF(A927='Data Entry - SOF'!B$2,'Data Entry - SOF'!M$102,0)</f>
        <v>0</v>
      </c>
      <c r="N927" s="717">
        <f t="shared" si="88"/>
        <v>3385535</v>
      </c>
      <c r="O927" s="944">
        <f>IF(A927='Data Entry - SOF'!B$2,'Report-SOF2122'!D$91,0)</f>
        <v>0</v>
      </c>
      <c r="P927" s="723">
        <f>IF(A927='Data Entry - SOF'!B$2,'Data Entry - SOF'!O$102,0)</f>
        <v>0</v>
      </c>
      <c r="Q927" s="601">
        <f t="shared" si="85"/>
        <v>3385535</v>
      </c>
      <c r="R927" s="944">
        <f>IF(A927='Data Entry - SOF'!B$2,'Report-SOF2223'!D$91,0)</f>
        <v>0</v>
      </c>
      <c r="S927" s="723">
        <f>IF(A927='Data Entry - SOF'!B$2,'Data Entry - SOF'!Q$102,0)</f>
        <v>0</v>
      </c>
      <c r="T927" s="601">
        <f t="shared" si="89"/>
        <v>3385535</v>
      </c>
      <c r="U927" s="944">
        <f>IF(A927='Data Entry - SOF'!B$2,'Report-SOF2324'!D$91,0)</f>
        <v>0</v>
      </c>
      <c r="V927" s="723">
        <f>IF(A927='Data Entry - SOF'!B$2,'Data Entry - SOF'!S$102,0)</f>
        <v>0</v>
      </c>
    </row>
    <row r="928" spans="1:22" ht="15.75">
      <c r="A928" s="382" t="s">
        <v>1414</v>
      </c>
      <c r="B928" s="91">
        <v>469401</v>
      </c>
      <c r="C928" s="944">
        <f>IF(A928='Data Entry - SOF'!B$2,'Report-SOF1718'!D$102,0)</f>
        <v>0</v>
      </c>
      <c r="D928" s="1037">
        <f>IF(A928='Data Entry - SOF'!B$2,'Data Entry - SOF'!#REF!,0)</f>
        <v>0</v>
      </c>
      <c r="E928" s="91">
        <f t="shared" si="84"/>
        <v>469401</v>
      </c>
      <c r="F928" s="944">
        <f>IF(A928='Data Entry - SOF'!B$2,'Report-SOF1819'!D$102,0)</f>
        <v>0</v>
      </c>
      <c r="G928" s="1037">
        <f>IF(A928='Data Entry - SOF'!B$2,'Data Entry - SOF'!E$102,0)</f>
        <v>0</v>
      </c>
      <c r="H928" s="1038">
        <f t="shared" si="86"/>
        <v>469401</v>
      </c>
      <c r="I928" s="944">
        <f>IF(A928='Data Entry - SOF'!B$2,'Report-SOF1920-HB3'!D$102,0)</f>
        <v>0</v>
      </c>
      <c r="J928" s="1037">
        <f>IF(A928='Data Entry - SOF'!B$2,'Data Entry - SOF'!G$102,0)</f>
        <v>0</v>
      </c>
      <c r="K928" s="717">
        <f t="shared" si="87"/>
        <v>469401</v>
      </c>
      <c r="L928" s="944">
        <f>IF(A928='Data Entry - SOF'!B$2,'Report-SOF2021'!D$99,0)</f>
        <v>0</v>
      </c>
      <c r="M928" s="723">
        <f>IF(A928='Data Entry - SOF'!B$2,'Data Entry - SOF'!M$102,0)</f>
        <v>0</v>
      </c>
      <c r="N928" s="717">
        <f t="shared" si="88"/>
        <v>469401</v>
      </c>
      <c r="O928" s="944">
        <f>IF(A928='Data Entry - SOF'!B$2,'Report-SOF2122'!D$91,0)</f>
        <v>0</v>
      </c>
      <c r="P928" s="723">
        <f>IF(A928='Data Entry - SOF'!B$2,'Data Entry - SOF'!O$102,0)</f>
        <v>0</v>
      </c>
      <c r="Q928" s="601">
        <f t="shared" si="85"/>
        <v>469401</v>
      </c>
      <c r="R928" s="944">
        <f>IF(A928='Data Entry - SOF'!B$2,'Report-SOF2223'!D$91,0)</f>
        <v>0</v>
      </c>
      <c r="S928" s="723">
        <f>IF(A928='Data Entry - SOF'!B$2,'Data Entry - SOF'!Q$102,0)</f>
        <v>0</v>
      </c>
      <c r="T928" s="601">
        <f t="shared" si="89"/>
        <v>469401</v>
      </c>
      <c r="U928" s="944">
        <f>IF(A928='Data Entry - SOF'!B$2,'Report-SOF2324'!D$91,0)</f>
        <v>0</v>
      </c>
      <c r="V928" s="723">
        <f>IF(A928='Data Entry - SOF'!B$2,'Data Entry - SOF'!S$102,0)</f>
        <v>0</v>
      </c>
    </row>
    <row r="929" spans="1:22" ht="15.75">
      <c r="A929" s="382" t="s">
        <v>1077</v>
      </c>
      <c r="B929" s="91">
        <v>1736351</v>
      </c>
      <c r="C929" s="944">
        <f>IF(A929='Data Entry - SOF'!B$2,'Report-SOF1718'!D$102,0)</f>
        <v>0</v>
      </c>
      <c r="D929" s="1037">
        <f>IF(A929='Data Entry - SOF'!B$2,'Data Entry - SOF'!#REF!,0)</f>
        <v>0</v>
      </c>
      <c r="E929" s="91">
        <f t="shared" si="84"/>
        <v>1736351</v>
      </c>
      <c r="F929" s="944">
        <f>IF(A929='Data Entry - SOF'!B$2,'Report-SOF1819'!D$102,0)</f>
        <v>0</v>
      </c>
      <c r="G929" s="1037">
        <f>IF(A929='Data Entry - SOF'!B$2,'Data Entry - SOF'!E$102,0)</f>
        <v>0</v>
      </c>
      <c r="H929" s="1038">
        <f t="shared" si="86"/>
        <v>1736351</v>
      </c>
      <c r="I929" s="944">
        <f>IF(A929='Data Entry - SOF'!B$2,'Report-SOF1920-HB3'!D$102,0)</f>
        <v>0</v>
      </c>
      <c r="J929" s="1037">
        <f>IF(A929='Data Entry - SOF'!B$2,'Data Entry - SOF'!G$102,0)</f>
        <v>0</v>
      </c>
      <c r="K929" s="717">
        <f t="shared" si="87"/>
        <v>1736351</v>
      </c>
      <c r="L929" s="944">
        <f>IF(A929='Data Entry - SOF'!B$2,'Report-SOF2021'!D$99,0)</f>
        <v>0</v>
      </c>
      <c r="M929" s="723">
        <f>IF(A929='Data Entry - SOF'!B$2,'Data Entry - SOF'!M$102,0)</f>
        <v>0</v>
      </c>
      <c r="N929" s="717">
        <f t="shared" si="88"/>
        <v>1736351</v>
      </c>
      <c r="O929" s="944">
        <f>IF(A929='Data Entry - SOF'!B$2,'Report-SOF2122'!D$91,0)</f>
        <v>0</v>
      </c>
      <c r="P929" s="723">
        <f>IF(A929='Data Entry - SOF'!B$2,'Data Entry - SOF'!O$102,0)</f>
        <v>0</v>
      </c>
      <c r="Q929" s="601">
        <f t="shared" si="85"/>
        <v>1736351</v>
      </c>
      <c r="R929" s="944">
        <f>IF(A929='Data Entry - SOF'!B$2,'Report-SOF2223'!D$91,0)</f>
        <v>0</v>
      </c>
      <c r="S929" s="723">
        <f>IF(A929='Data Entry - SOF'!B$2,'Data Entry - SOF'!Q$102,0)</f>
        <v>0</v>
      </c>
      <c r="T929" s="601">
        <f t="shared" si="89"/>
        <v>1736351</v>
      </c>
      <c r="U929" s="944">
        <f>IF(A929='Data Entry - SOF'!B$2,'Report-SOF2324'!D$91,0)</f>
        <v>0</v>
      </c>
      <c r="V929" s="723">
        <f>IF(A929='Data Entry - SOF'!B$2,'Data Entry - SOF'!S$102,0)</f>
        <v>0</v>
      </c>
    </row>
    <row r="930" spans="1:22" ht="15.75">
      <c r="A930" s="382" t="s">
        <v>1861</v>
      </c>
      <c r="B930" s="91">
        <v>1823354</v>
      </c>
      <c r="C930" s="944">
        <f>IF(A930='Data Entry - SOF'!B$2,'Report-SOF1718'!D$102,0)</f>
        <v>0</v>
      </c>
      <c r="D930" s="1037">
        <f>IF(A930='Data Entry - SOF'!B$2,'Data Entry - SOF'!#REF!,0)</f>
        <v>0</v>
      </c>
      <c r="E930" s="91">
        <f t="shared" si="84"/>
        <v>1823354</v>
      </c>
      <c r="F930" s="944">
        <f>IF(A930='Data Entry - SOF'!B$2,'Report-SOF1819'!D$102,0)</f>
        <v>0</v>
      </c>
      <c r="G930" s="1037">
        <f>IF(A930='Data Entry - SOF'!B$2,'Data Entry - SOF'!E$102,0)</f>
        <v>0</v>
      </c>
      <c r="H930" s="1038">
        <f t="shared" si="86"/>
        <v>1823354</v>
      </c>
      <c r="I930" s="944">
        <f>IF(A930='Data Entry - SOF'!B$2,'Report-SOF1920-HB3'!D$102,0)</f>
        <v>0</v>
      </c>
      <c r="J930" s="1037">
        <f>IF(A930='Data Entry - SOF'!B$2,'Data Entry - SOF'!G$102,0)</f>
        <v>0</v>
      </c>
      <c r="K930" s="717">
        <f t="shared" si="87"/>
        <v>1823354</v>
      </c>
      <c r="L930" s="944">
        <f>IF(A930='Data Entry - SOF'!B$2,'Report-SOF2021'!D$99,0)</f>
        <v>0</v>
      </c>
      <c r="M930" s="723">
        <f>IF(A930='Data Entry - SOF'!B$2,'Data Entry - SOF'!M$102,0)</f>
        <v>0</v>
      </c>
      <c r="N930" s="717">
        <f t="shared" si="88"/>
        <v>1823354</v>
      </c>
      <c r="O930" s="944">
        <f>IF(A930='Data Entry - SOF'!B$2,'Report-SOF2122'!D$91,0)</f>
        <v>0</v>
      </c>
      <c r="P930" s="723">
        <f>IF(A930='Data Entry - SOF'!B$2,'Data Entry - SOF'!O$102,0)</f>
        <v>0</v>
      </c>
      <c r="Q930" s="601">
        <f t="shared" si="85"/>
        <v>1823354</v>
      </c>
      <c r="R930" s="944">
        <f>IF(A930='Data Entry - SOF'!B$2,'Report-SOF2223'!D$91,0)</f>
        <v>0</v>
      </c>
      <c r="S930" s="723">
        <f>IF(A930='Data Entry - SOF'!B$2,'Data Entry - SOF'!Q$102,0)</f>
        <v>0</v>
      </c>
      <c r="T930" s="601">
        <f t="shared" si="89"/>
        <v>1823354</v>
      </c>
      <c r="U930" s="944">
        <f>IF(A930='Data Entry - SOF'!B$2,'Report-SOF2324'!D$91,0)</f>
        <v>0</v>
      </c>
      <c r="V930" s="723">
        <f>IF(A930='Data Entry - SOF'!B$2,'Data Entry - SOF'!S$102,0)</f>
        <v>0</v>
      </c>
    </row>
    <row r="931" spans="1:22" ht="15.75">
      <c r="A931" s="382" t="s">
        <v>1078</v>
      </c>
      <c r="B931" s="91">
        <v>1085260</v>
      </c>
      <c r="C931" s="944">
        <f>IF(A931='Data Entry - SOF'!B$2,'Report-SOF1718'!D$102,0)</f>
        <v>0</v>
      </c>
      <c r="D931" s="1037">
        <f>IF(A931='Data Entry - SOF'!B$2,'Data Entry - SOF'!#REF!,0)</f>
        <v>0</v>
      </c>
      <c r="E931" s="91">
        <f t="shared" si="84"/>
        <v>1085260</v>
      </c>
      <c r="F931" s="944">
        <f>IF(A931='Data Entry - SOF'!B$2,'Report-SOF1819'!D$102,0)</f>
        <v>0</v>
      </c>
      <c r="G931" s="1037">
        <f>IF(A931='Data Entry - SOF'!B$2,'Data Entry - SOF'!E$102,0)</f>
        <v>0</v>
      </c>
      <c r="H931" s="1038">
        <f t="shared" si="86"/>
        <v>1085260</v>
      </c>
      <c r="I931" s="944">
        <f>IF(A931='Data Entry - SOF'!B$2,'Report-SOF1920-HB3'!D$102,0)</f>
        <v>0</v>
      </c>
      <c r="J931" s="1037">
        <f>IF(A931='Data Entry - SOF'!B$2,'Data Entry - SOF'!G$102,0)</f>
        <v>0</v>
      </c>
      <c r="K931" s="717">
        <f t="shared" si="87"/>
        <v>1085260</v>
      </c>
      <c r="L931" s="944">
        <f>IF(A931='Data Entry - SOF'!B$2,'Report-SOF2021'!D$99,0)</f>
        <v>0</v>
      </c>
      <c r="M931" s="723">
        <f>IF(A931='Data Entry - SOF'!B$2,'Data Entry - SOF'!M$102,0)</f>
        <v>0</v>
      </c>
      <c r="N931" s="717">
        <f t="shared" si="88"/>
        <v>1085260</v>
      </c>
      <c r="O931" s="944">
        <f>IF(A931='Data Entry - SOF'!B$2,'Report-SOF2122'!D$91,0)</f>
        <v>0</v>
      </c>
      <c r="P931" s="723">
        <f>IF(A931='Data Entry - SOF'!B$2,'Data Entry - SOF'!O$102,0)</f>
        <v>0</v>
      </c>
      <c r="Q931" s="601">
        <f t="shared" si="85"/>
        <v>1085260</v>
      </c>
      <c r="R931" s="944">
        <f>IF(A931='Data Entry - SOF'!B$2,'Report-SOF2223'!D$91,0)</f>
        <v>0</v>
      </c>
      <c r="S931" s="723">
        <f>IF(A931='Data Entry - SOF'!B$2,'Data Entry - SOF'!Q$102,0)</f>
        <v>0</v>
      </c>
      <c r="T931" s="601">
        <f t="shared" si="89"/>
        <v>1085260</v>
      </c>
      <c r="U931" s="944">
        <f>IF(A931='Data Entry - SOF'!B$2,'Report-SOF2324'!D$91,0)</f>
        <v>0</v>
      </c>
      <c r="V931" s="723">
        <f>IF(A931='Data Entry - SOF'!B$2,'Data Entry - SOF'!S$102,0)</f>
        <v>0</v>
      </c>
    </row>
    <row r="932" spans="1:22" ht="15.75">
      <c r="A932" s="382" t="s">
        <v>1079</v>
      </c>
      <c r="B932" s="91">
        <v>1710766</v>
      </c>
      <c r="C932" s="944">
        <f>IF(A932='Data Entry - SOF'!B$2,'Report-SOF1718'!D$102,0)</f>
        <v>0</v>
      </c>
      <c r="D932" s="1037">
        <f>IF(A932='Data Entry - SOF'!B$2,'Data Entry - SOF'!#REF!,0)</f>
        <v>0</v>
      </c>
      <c r="E932" s="91">
        <f t="shared" si="84"/>
        <v>1710766</v>
      </c>
      <c r="F932" s="944">
        <f>IF(A932='Data Entry - SOF'!B$2,'Report-SOF1819'!D$102,0)</f>
        <v>0</v>
      </c>
      <c r="G932" s="1037">
        <f>IF(A932='Data Entry - SOF'!B$2,'Data Entry - SOF'!E$102,0)</f>
        <v>0</v>
      </c>
      <c r="H932" s="1038">
        <f t="shared" si="86"/>
        <v>1710766</v>
      </c>
      <c r="I932" s="944">
        <f>IF(A932='Data Entry - SOF'!B$2,'Report-SOF1920-HB3'!D$102,0)</f>
        <v>0</v>
      </c>
      <c r="J932" s="1037">
        <f>IF(A932='Data Entry - SOF'!B$2,'Data Entry - SOF'!G$102,0)</f>
        <v>0</v>
      </c>
      <c r="K932" s="717">
        <f t="shared" si="87"/>
        <v>1710766</v>
      </c>
      <c r="L932" s="944">
        <f>IF(A932='Data Entry - SOF'!B$2,'Report-SOF2021'!D$99,0)</f>
        <v>0</v>
      </c>
      <c r="M932" s="723">
        <f>IF(A932='Data Entry - SOF'!B$2,'Data Entry - SOF'!M$102,0)</f>
        <v>0</v>
      </c>
      <c r="N932" s="717">
        <f t="shared" si="88"/>
        <v>1710766</v>
      </c>
      <c r="O932" s="944">
        <f>IF(A932='Data Entry - SOF'!B$2,'Report-SOF2122'!D$91,0)</f>
        <v>0</v>
      </c>
      <c r="P932" s="723">
        <f>IF(A932='Data Entry - SOF'!B$2,'Data Entry - SOF'!O$102,0)</f>
        <v>0</v>
      </c>
      <c r="Q932" s="601">
        <f t="shared" si="85"/>
        <v>1710766</v>
      </c>
      <c r="R932" s="944">
        <f>IF(A932='Data Entry - SOF'!B$2,'Report-SOF2223'!D$91,0)</f>
        <v>0</v>
      </c>
      <c r="S932" s="723">
        <f>IF(A932='Data Entry - SOF'!B$2,'Data Entry - SOF'!Q$102,0)</f>
        <v>0</v>
      </c>
      <c r="T932" s="601">
        <f t="shared" si="89"/>
        <v>1710766</v>
      </c>
      <c r="U932" s="944">
        <f>IF(A932='Data Entry - SOF'!B$2,'Report-SOF2324'!D$91,0)</f>
        <v>0</v>
      </c>
      <c r="V932" s="723">
        <f>IF(A932='Data Entry - SOF'!B$2,'Data Entry - SOF'!S$102,0)</f>
        <v>0</v>
      </c>
    </row>
    <row r="933" spans="1:22" ht="15.75">
      <c r="A933" s="382" t="s">
        <v>1080</v>
      </c>
      <c r="B933" s="91">
        <v>37544283</v>
      </c>
      <c r="C933" s="944">
        <f>IF(A933='Data Entry - SOF'!B$2,'Report-SOF1718'!D$102,0)</f>
        <v>0</v>
      </c>
      <c r="D933" s="1037">
        <f>IF(A933='Data Entry - SOF'!B$2,'Data Entry - SOF'!#REF!,0)</f>
        <v>0</v>
      </c>
      <c r="E933" s="91">
        <f t="shared" si="84"/>
        <v>37544283</v>
      </c>
      <c r="F933" s="944">
        <f>IF(A933='Data Entry - SOF'!B$2,'Report-SOF1819'!D$102,0)</f>
        <v>0</v>
      </c>
      <c r="G933" s="1037">
        <f>IF(A933='Data Entry - SOF'!B$2,'Data Entry - SOF'!E$102,0)</f>
        <v>0</v>
      </c>
      <c r="H933" s="1038">
        <f t="shared" si="86"/>
        <v>37544283</v>
      </c>
      <c r="I933" s="944">
        <f>IF(A933='Data Entry - SOF'!B$2,'Report-SOF1920-HB3'!D$102,0)</f>
        <v>0</v>
      </c>
      <c r="J933" s="1037">
        <f>IF(A933='Data Entry - SOF'!B$2,'Data Entry - SOF'!G$102,0)</f>
        <v>0</v>
      </c>
      <c r="K933" s="717">
        <f t="shared" si="87"/>
        <v>37544283</v>
      </c>
      <c r="L933" s="944">
        <f>IF(A933='Data Entry - SOF'!B$2,'Report-SOF2021'!D$99,0)</f>
        <v>0</v>
      </c>
      <c r="M933" s="723">
        <f>IF(A933='Data Entry - SOF'!B$2,'Data Entry - SOF'!M$102,0)</f>
        <v>0</v>
      </c>
      <c r="N933" s="717">
        <f t="shared" si="88"/>
        <v>37544283</v>
      </c>
      <c r="O933" s="944">
        <f>IF(A933='Data Entry - SOF'!B$2,'Report-SOF2122'!D$91,0)</f>
        <v>0</v>
      </c>
      <c r="P933" s="723">
        <f>IF(A933='Data Entry - SOF'!B$2,'Data Entry - SOF'!O$102,0)</f>
        <v>0</v>
      </c>
      <c r="Q933" s="601">
        <f t="shared" si="85"/>
        <v>37544283</v>
      </c>
      <c r="R933" s="944">
        <f>IF(A933='Data Entry - SOF'!B$2,'Report-SOF2223'!D$91,0)</f>
        <v>0</v>
      </c>
      <c r="S933" s="723">
        <f>IF(A933='Data Entry - SOF'!B$2,'Data Entry - SOF'!Q$102,0)</f>
        <v>0</v>
      </c>
      <c r="T933" s="601">
        <f t="shared" si="89"/>
        <v>37544283</v>
      </c>
      <c r="U933" s="944">
        <f>IF(A933='Data Entry - SOF'!B$2,'Report-SOF2324'!D$91,0)</f>
        <v>0</v>
      </c>
      <c r="V933" s="723">
        <f>IF(A933='Data Entry - SOF'!B$2,'Data Entry - SOF'!S$102,0)</f>
        <v>0</v>
      </c>
    </row>
    <row r="934" spans="1:22" ht="15.75">
      <c r="A934" s="382" t="s">
        <v>1081</v>
      </c>
      <c r="B934" s="91">
        <v>20990626</v>
      </c>
      <c r="C934" s="944">
        <f>IF(A934='Data Entry - SOF'!B$2,'Report-SOF1718'!D$102,0)</f>
        <v>0</v>
      </c>
      <c r="D934" s="1037">
        <f>IF(A934='Data Entry - SOF'!B$2,'Data Entry - SOF'!#REF!,0)</f>
        <v>0</v>
      </c>
      <c r="E934" s="91">
        <f t="shared" si="84"/>
        <v>20990626</v>
      </c>
      <c r="F934" s="944">
        <f>IF(A934='Data Entry - SOF'!B$2,'Report-SOF1819'!D$102,0)</f>
        <v>0</v>
      </c>
      <c r="G934" s="1037">
        <f>IF(A934='Data Entry - SOF'!B$2,'Data Entry - SOF'!E$102,0)</f>
        <v>0</v>
      </c>
      <c r="H934" s="1038">
        <f t="shared" si="86"/>
        <v>20990626</v>
      </c>
      <c r="I934" s="944">
        <f>IF(A934='Data Entry - SOF'!B$2,'Report-SOF1920-HB3'!D$102,0)</f>
        <v>0</v>
      </c>
      <c r="J934" s="1037">
        <f>IF(A934='Data Entry - SOF'!B$2,'Data Entry - SOF'!G$102,0)</f>
        <v>0</v>
      </c>
      <c r="K934" s="717">
        <f t="shared" si="87"/>
        <v>20990626</v>
      </c>
      <c r="L934" s="944">
        <f>IF(A934='Data Entry - SOF'!B$2,'Report-SOF2021'!D$99,0)</f>
        <v>0</v>
      </c>
      <c r="M934" s="723">
        <f>IF(A934='Data Entry - SOF'!B$2,'Data Entry - SOF'!M$102,0)</f>
        <v>0</v>
      </c>
      <c r="N934" s="717">
        <f t="shared" si="88"/>
        <v>20990626</v>
      </c>
      <c r="O934" s="944">
        <f>IF(A934='Data Entry - SOF'!B$2,'Report-SOF2122'!D$91,0)</f>
        <v>0</v>
      </c>
      <c r="P934" s="723">
        <f>IF(A934='Data Entry - SOF'!B$2,'Data Entry - SOF'!O$102,0)</f>
        <v>0</v>
      </c>
      <c r="Q934" s="601">
        <f t="shared" si="85"/>
        <v>20990626</v>
      </c>
      <c r="R934" s="944">
        <f>IF(A934='Data Entry - SOF'!B$2,'Report-SOF2223'!D$91,0)</f>
        <v>0</v>
      </c>
      <c r="S934" s="723">
        <f>IF(A934='Data Entry - SOF'!B$2,'Data Entry - SOF'!Q$102,0)</f>
        <v>0</v>
      </c>
      <c r="T934" s="601">
        <f t="shared" si="89"/>
        <v>20990626</v>
      </c>
      <c r="U934" s="944">
        <f>IF(A934='Data Entry - SOF'!B$2,'Report-SOF2324'!D$91,0)</f>
        <v>0</v>
      </c>
      <c r="V934" s="723">
        <f>IF(A934='Data Entry - SOF'!B$2,'Data Entry - SOF'!S$102,0)</f>
        <v>0</v>
      </c>
    </row>
    <row r="935" spans="1:22" ht="15.75">
      <c r="A935" s="382" t="s">
        <v>56</v>
      </c>
      <c r="B935" s="91">
        <v>1317045</v>
      </c>
      <c r="C935" s="944">
        <f>IF(A935='Data Entry - SOF'!B$2,'Report-SOF1718'!D$102,0)</f>
        <v>0</v>
      </c>
      <c r="D935" s="1037">
        <f>IF(A935='Data Entry - SOF'!B$2,'Data Entry - SOF'!#REF!,0)</f>
        <v>0</v>
      </c>
      <c r="E935" s="91">
        <f t="shared" si="84"/>
        <v>1317045</v>
      </c>
      <c r="F935" s="944">
        <f>IF(A935='Data Entry - SOF'!B$2,'Report-SOF1819'!D$102,0)</f>
        <v>0</v>
      </c>
      <c r="G935" s="1037">
        <f>IF(A935='Data Entry - SOF'!B$2,'Data Entry - SOF'!E$102,0)</f>
        <v>0</v>
      </c>
      <c r="H935" s="1038">
        <f t="shared" si="86"/>
        <v>1317045</v>
      </c>
      <c r="I935" s="944">
        <f>IF(A935='Data Entry - SOF'!B$2,'Report-SOF1920-HB3'!D$102,0)</f>
        <v>0</v>
      </c>
      <c r="J935" s="1037">
        <f>IF(A935='Data Entry - SOF'!B$2,'Data Entry - SOF'!G$102,0)</f>
        <v>0</v>
      </c>
      <c r="K935" s="717">
        <f t="shared" si="87"/>
        <v>1317045</v>
      </c>
      <c r="L935" s="944">
        <f>IF(A935='Data Entry - SOF'!B$2,'Report-SOF2021'!D$99,0)</f>
        <v>0</v>
      </c>
      <c r="M935" s="723">
        <f>IF(A935='Data Entry - SOF'!B$2,'Data Entry - SOF'!M$102,0)</f>
        <v>0</v>
      </c>
      <c r="N935" s="717">
        <f t="shared" si="88"/>
        <v>1317045</v>
      </c>
      <c r="O935" s="944">
        <f>IF(A935='Data Entry - SOF'!B$2,'Report-SOF2122'!D$91,0)</f>
        <v>0</v>
      </c>
      <c r="P935" s="723">
        <f>IF(A935='Data Entry - SOF'!B$2,'Data Entry - SOF'!O$102,0)</f>
        <v>0</v>
      </c>
      <c r="Q935" s="601">
        <f t="shared" si="85"/>
        <v>1317045</v>
      </c>
      <c r="R935" s="944">
        <f>IF(A935='Data Entry - SOF'!B$2,'Report-SOF2223'!D$91,0)</f>
        <v>0</v>
      </c>
      <c r="S935" s="723">
        <f>IF(A935='Data Entry - SOF'!B$2,'Data Entry - SOF'!Q$102,0)</f>
        <v>0</v>
      </c>
      <c r="T935" s="601">
        <f t="shared" si="89"/>
        <v>1317045</v>
      </c>
      <c r="U935" s="944">
        <f>IF(A935='Data Entry - SOF'!B$2,'Report-SOF2324'!D$91,0)</f>
        <v>0</v>
      </c>
      <c r="V935" s="723">
        <f>IF(A935='Data Entry - SOF'!B$2,'Data Entry - SOF'!S$102,0)</f>
        <v>0</v>
      </c>
    </row>
    <row r="936" spans="1:22" ht="15.75">
      <c r="A936" s="382" t="s">
        <v>1544</v>
      </c>
      <c r="B936" s="91">
        <v>94676</v>
      </c>
      <c r="C936" s="944">
        <f>IF(A936='Data Entry - SOF'!B$2,'Report-SOF1718'!D$102,0)</f>
        <v>0</v>
      </c>
      <c r="D936" s="1037">
        <f>IF(A936='Data Entry - SOF'!B$2,'Data Entry - SOF'!#REF!,0)</f>
        <v>0</v>
      </c>
      <c r="E936" s="91">
        <f t="shared" si="84"/>
        <v>94676</v>
      </c>
      <c r="F936" s="944">
        <f>IF(A936='Data Entry - SOF'!B$2,'Report-SOF1819'!D$102,0)</f>
        <v>0</v>
      </c>
      <c r="G936" s="1037">
        <f>IF(A936='Data Entry - SOF'!B$2,'Data Entry - SOF'!E$102,0)</f>
        <v>0</v>
      </c>
      <c r="H936" s="1038">
        <f t="shared" si="86"/>
        <v>94676</v>
      </c>
      <c r="I936" s="944">
        <f>IF(A936='Data Entry - SOF'!B$2,'Report-SOF1920-HB3'!D$102,0)</f>
        <v>0</v>
      </c>
      <c r="J936" s="1037">
        <f>IF(A936='Data Entry - SOF'!B$2,'Data Entry - SOF'!G$102,0)</f>
        <v>0</v>
      </c>
      <c r="K936" s="717">
        <f t="shared" si="87"/>
        <v>94676</v>
      </c>
      <c r="L936" s="944">
        <f>IF(A936='Data Entry - SOF'!B$2,'Report-SOF2021'!D$99,0)</f>
        <v>0</v>
      </c>
      <c r="M936" s="723">
        <f>IF(A936='Data Entry - SOF'!B$2,'Data Entry - SOF'!M$102,0)</f>
        <v>0</v>
      </c>
      <c r="N936" s="717">
        <f t="shared" si="88"/>
        <v>94676</v>
      </c>
      <c r="O936" s="944">
        <f>IF(A936='Data Entry - SOF'!B$2,'Report-SOF2122'!D$91,0)</f>
        <v>0</v>
      </c>
      <c r="P936" s="723">
        <f>IF(A936='Data Entry - SOF'!B$2,'Data Entry - SOF'!O$102,0)</f>
        <v>0</v>
      </c>
      <c r="Q936" s="601">
        <f t="shared" si="85"/>
        <v>94676</v>
      </c>
      <c r="R936" s="944">
        <f>IF(A936='Data Entry - SOF'!B$2,'Report-SOF2223'!D$91,0)</f>
        <v>0</v>
      </c>
      <c r="S936" s="723">
        <f>IF(A936='Data Entry - SOF'!B$2,'Data Entry - SOF'!Q$102,0)</f>
        <v>0</v>
      </c>
      <c r="T936" s="601">
        <f t="shared" si="89"/>
        <v>94676</v>
      </c>
      <c r="U936" s="944">
        <f>IF(A936='Data Entry - SOF'!B$2,'Report-SOF2324'!D$91,0)</f>
        <v>0</v>
      </c>
      <c r="V936" s="723">
        <f>IF(A936='Data Entry - SOF'!B$2,'Data Entry - SOF'!S$102,0)</f>
        <v>0</v>
      </c>
    </row>
    <row r="937" spans="1:22" ht="15.75">
      <c r="A937" s="382" t="s">
        <v>1521</v>
      </c>
      <c r="B937" s="91">
        <v>1507791</v>
      </c>
      <c r="C937" s="944">
        <f>IF(A937='Data Entry - SOF'!B$2,'Report-SOF1718'!D$102,0)</f>
        <v>0</v>
      </c>
      <c r="D937" s="1037">
        <f>IF(A937='Data Entry - SOF'!B$2,'Data Entry - SOF'!#REF!,0)</f>
        <v>0</v>
      </c>
      <c r="E937" s="91">
        <f t="shared" si="84"/>
        <v>1507791</v>
      </c>
      <c r="F937" s="944">
        <f>IF(A937='Data Entry - SOF'!B$2,'Report-SOF1819'!D$102,0)</f>
        <v>0</v>
      </c>
      <c r="G937" s="1037">
        <f>IF(A937='Data Entry - SOF'!B$2,'Data Entry - SOF'!E$102,0)</f>
        <v>0</v>
      </c>
      <c r="H937" s="1038">
        <f t="shared" si="86"/>
        <v>1507791</v>
      </c>
      <c r="I937" s="944">
        <f>IF(A937='Data Entry - SOF'!B$2,'Report-SOF1920-HB3'!D$102,0)</f>
        <v>0</v>
      </c>
      <c r="J937" s="1037">
        <f>IF(A937='Data Entry - SOF'!B$2,'Data Entry - SOF'!G$102,0)</f>
        <v>0</v>
      </c>
      <c r="K937" s="717">
        <f t="shared" si="87"/>
        <v>1507791</v>
      </c>
      <c r="L937" s="944">
        <f>IF(A937='Data Entry - SOF'!B$2,'Report-SOF2021'!D$99,0)</f>
        <v>0</v>
      </c>
      <c r="M937" s="723">
        <f>IF(A937='Data Entry - SOF'!B$2,'Data Entry - SOF'!M$102,0)</f>
        <v>0</v>
      </c>
      <c r="N937" s="717">
        <f t="shared" si="88"/>
        <v>1507791</v>
      </c>
      <c r="O937" s="944">
        <f>IF(A937='Data Entry - SOF'!B$2,'Report-SOF2122'!D$91,0)</f>
        <v>0</v>
      </c>
      <c r="P937" s="723">
        <f>IF(A937='Data Entry - SOF'!B$2,'Data Entry - SOF'!O$102,0)</f>
        <v>0</v>
      </c>
      <c r="Q937" s="601">
        <f t="shared" si="85"/>
        <v>1507791</v>
      </c>
      <c r="R937" s="944">
        <f>IF(A937='Data Entry - SOF'!B$2,'Report-SOF2223'!D$91,0)</f>
        <v>0</v>
      </c>
      <c r="S937" s="723">
        <f>IF(A937='Data Entry - SOF'!B$2,'Data Entry - SOF'!Q$102,0)</f>
        <v>0</v>
      </c>
      <c r="T937" s="601">
        <f t="shared" si="89"/>
        <v>1507791</v>
      </c>
      <c r="U937" s="944">
        <f>IF(A937='Data Entry - SOF'!B$2,'Report-SOF2324'!D$91,0)</f>
        <v>0</v>
      </c>
      <c r="V937" s="723">
        <f>IF(A937='Data Entry - SOF'!B$2,'Data Entry - SOF'!S$102,0)</f>
        <v>0</v>
      </c>
    </row>
    <row r="938" spans="1:22" ht="15.75">
      <c r="A938" s="382" t="s">
        <v>1319</v>
      </c>
      <c r="B938" s="91">
        <v>558033</v>
      </c>
      <c r="C938" s="944">
        <f>IF(A938='Data Entry - SOF'!B$2,'Report-SOF1718'!D$102,0)</f>
        <v>0</v>
      </c>
      <c r="D938" s="1037">
        <f>IF(A938='Data Entry - SOF'!B$2,'Data Entry - SOF'!#REF!,0)</f>
        <v>0</v>
      </c>
      <c r="E938" s="91">
        <f t="shared" si="84"/>
        <v>558033</v>
      </c>
      <c r="F938" s="944">
        <f>IF(A938='Data Entry - SOF'!B$2,'Report-SOF1819'!D$102,0)</f>
        <v>0</v>
      </c>
      <c r="G938" s="1037">
        <f>IF(A938='Data Entry - SOF'!B$2,'Data Entry - SOF'!E$102,0)</f>
        <v>0</v>
      </c>
      <c r="H938" s="1038">
        <f t="shared" si="86"/>
        <v>558033</v>
      </c>
      <c r="I938" s="944">
        <f>IF(A938='Data Entry - SOF'!B$2,'Report-SOF1920-HB3'!D$102,0)</f>
        <v>0</v>
      </c>
      <c r="J938" s="1037">
        <f>IF(A938='Data Entry - SOF'!B$2,'Data Entry - SOF'!G$102,0)</f>
        <v>0</v>
      </c>
      <c r="K938" s="717">
        <f t="shared" si="87"/>
        <v>558033</v>
      </c>
      <c r="L938" s="944">
        <f>IF(A938='Data Entry - SOF'!B$2,'Report-SOF2021'!D$99,0)</f>
        <v>0</v>
      </c>
      <c r="M938" s="723">
        <f>IF(A938='Data Entry - SOF'!B$2,'Data Entry - SOF'!M$102,0)</f>
        <v>0</v>
      </c>
      <c r="N938" s="717">
        <f t="shared" si="88"/>
        <v>558033</v>
      </c>
      <c r="O938" s="944">
        <f>IF(A938='Data Entry - SOF'!B$2,'Report-SOF2122'!D$91,0)</f>
        <v>0</v>
      </c>
      <c r="P938" s="723">
        <f>IF(A938='Data Entry - SOF'!B$2,'Data Entry - SOF'!O$102,0)</f>
        <v>0</v>
      </c>
      <c r="Q938" s="601">
        <f t="shared" si="85"/>
        <v>558033</v>
      </c>
      <c r="R938" s="944">
        <f>IF(A938='Data Entry - SOF'!B$2,'Report-SOF2223'!D$91,0)</f>
        <v>0</v>
      </c>
      <c r="S938" s="723">
        <f>IF(A938='Data Entry - SOF'!B$2,'Data Entry - SOF'!Q$102,0)</f>
        <v>0</v>
      </c>
      <c r="T938" s="601">
        <f t="shared" si="89"/>
        <v>558033</v>
      </c>
      <c r="U938" s="944">
        <f>IF(A938='Data Entry - SOF'!B$2,'Report-SOF2324'!D$91,0)</f>
        <v>0</v>
      </c>
      <c r="V938" s="723">
        <f>IF(A938='Data Entry - SOF'!B$2,'Data Entry - SOF'!S$102,0)</f>
        <v>0</v>
      </c>
    </row>
    <row r="939" spans="1:22" ht="15.75">
      <c r="A939" s="382" t="s">
        <v>488</v>
      </c>
      <c r="B939" s="91">
        <v>633029</v>
      </c>
      <c r="C939" s="944">
        <f>IF(A939='Data Entry - SOF'!B$2,'Report-SOF1718'!D$102,0)</f>
        <v>0</v>
      </c>
      <c r="D939" s="1037">
        <f>IF(A939='Data Entry - SOF'!B$2,'Data Entry - SOF'!#REF!,0)</f>
        <v>0</v>
      </c>
      <c r="E939" s="91">
        <f t="shared" si="84"/>
        <v>633029</v>
      </c>
      <c r="F939" s="944">
        <f>IF(A939='Data Entry - SOF'!B$2,'Report-SOF1819'!D$102,0)</f>
        <v>0</v>
      </c>
      <c r="G939" s="1037">
        <f>IF(A939='Data Entry - SOF'!B$2,'Data Entry - SOF'!E$102,0)</f>
        <v>0</v>
      </c>
      <c r="H939" s="1038">
        <f t="shared" si="86"/>
        <v>633029</v>
      </c>
      <c r="I939" s="944">
        <f>IF(A939='Data Entry - SOF'!B$2,'Report-SOF1920-HB3'!D$102,0)</f>
        <v>0</v>
      </c>
      <c r="J939" s="1037">
        <f>IF(A939='Data Entry - SOF'!B$2,'Data Entry - SOF'!G$102,0)</f>
        <v>0</v>
      </c>
      <c r="K939" s="717">
        <f t="shared" si="87"/>
        <v>633029</v>
      </c>
      <c r="L939" s="944">
        <f>IF(A939='Data Entry - SOF'!B$2,'Report-SOF2021'!D$99,0)</f>
        <v>0</v>
      </c>
      <c r="M939" s="723">
        <f>IF(A939='Data Entry - SOF'!B$2,'Data Entry - SOF'!M$102,0)</f>
        <v>0</v>
      </c>
      <c r="N939" s="717">
        <f t="shared" si="88"/>
        <v>633029</v>
      </c>
      <c r="O939" s="944">
        <f>IF(A939='Data Entry - SOF'!B$2,'Report-SOF2122'!D$91,0)</f>
        <v>0</v>
      </c>
      <c r="P939" s="723">
        <f>IF(A939='Data Entry - SOF'!B$2,'Data Entry - SOF'!O$102,0)</f>
        <v>0</v>
      </c>
      <c r="Q939" s="601">
        <f t="shared" si="85"/>
        <v>633029</v>
      </c>
      <c r="R939" s="944">
        <f>IF(A939='Data Entry - SOF'!B$2,'Report-SOF2223'!D$91,0)</f>
        <v>0</v>
      </c>
      <c r="S939" s="723">
        <f>IF(A939='Data Entry - SOF'!B$2,'Data Entry - SOF'!Q$102,0)</f>
        <v>0</v>
      </c>
      <c r="T939" s="601">
        <f t="shared" si="89"/>
        <v>633029</v>
      </c>
      <c r="U939" s="944">
        <f>IF(A939='Data Entry - SOF'!B$2,'Report-SOF2324'!D$91,0)</f>
        <v>0</v>
      </c>
      <c r="V939" s="723">
        <f>IF(A939='Data Entry - SOF'!B$2,'Data Entry - SOF'!S$102,0)</f>
        <v>0</v>
      </c>
    </row>
    <row r="940" spans="1:22" ht="15.75">
      <c r="A940" s="382" t="s">
        <v>831</v>
      </c>
      <c r="B940" s="91">
        <v>2338527</v>
      </c>
      <c r="C940" s="944">
        <f>IF(A940='Data Entry - SOF'!B$2,'Report-SOF1718'!D$102,0)</f>
        <v>0</v>
      </c>
      <c r="D940" s="1037">
        <f>IF(A940='Data Entry - SOF'!B$2,'Data Entry - SOF'!#REF!,0)</f>
        <v>0</v>
      </c>
      <c r="E940" s="91">
        <f t="shared" si="84"/>
        <v>2338527</v>
      </c>
      <c r="F940" s="944">
        <f>IF(A940='Data Entry - SOF'!B$2,'Report-SOF1819'!D$102,0)</f>
        <v>0</v>
      </c>
      <c r="G940" s="1037">
        <f>IF(A940='Data Entry - SOF'!B$2,'Data Entry - SOF'!E$102,0)</f>
        <v>0</v>
      </c>
      <c r="H940" s="1038">
        <f t="shared" si="86"/>
        <v>2338527</v>
      </c>
      <c r="I940" s="944">
        <f>IF(A940='Data Entry - SOF'!B$2,'Report-SOF1920-HB3'!D$102,0)</f>
        <v>0</v>
      </c>
      <c r="J940" s="1037">
        <f>IF(A940='Data Entry - SOF'!B$2,'Data Entry - SOF'!G$102,0)</f>
        <v>0</v>
      </c>
      <c r="K940" s="717">
        <f t="shared" si="87"/>
        <v>2338527</v>
      </c>
      <c r="L940" s="944">
        <f>IF(A940='Data Entry - SOF'!B$2,'Report-SOF2021'!D$99,0)</f>
        <v>0</v>
      </c>
      <c r="M940" s="723">
        <f>IF(A940='Data Entry - SOF'!B$2,'Data Entry - SOF'!M$102,0)</f>
        <v>0</v>
      </c>
      <c r="N940" s="717">
        <f t="shared" si="88"/>
        <v>2338527</v>
      </c>
      <c r="O940" s="944">
        <f>IF(A940='Data Entry - SOF'!B$2,'Report-SOF2122'!D$91,0)</f>
        <v>0</v>
      </c>
      <c r="P940" s="723">
        <f>IF(A940='Data Entry - SOF'!B$2,'Data Entry - SOF'!O$102,0)</f>
        <v>0</v>
      </c>
      <c r="Q940" s="601">
        <f t="shared" si="85"/>
        <v>2338527</v>
      </c>
      <c r="R940" s="944">
        <f>IF(A940='Data Entry - SOF'!B$2,'Report-SOF2223'!D$91,0)</f>
        <v>0</v>
      </c>
      <c r="S940" s="723">
        <f>IF(A940='Data Entry - SOF'!B$2,'Data Entry - SOF'!Q$102,0)</f>
        <v>0</v>
      </c>
      <c r="T940" s="601">
        <f t="shared" si="89"/>
        <v>2338527</v>
      </c>
      <c r="U940" s="944">
        <f>IF(A940='Data Entry - SOF'!B$2,'Report-SOF2324'!D$91,0)</f>
        <v>0</v>
      </c>
      <c r="V940" s="723">
        <f>IF(A940='Data Entry - SOF'!B$2,'Data Entry - SOF'!S$102,0)</f>
        <v>0</v>
      </c>
    </row>
    <row r="941" spans="1:22" ht="15.75">
      <c r="A941" s="382" t="s">
        <v>833</v>
      </c>
      <c r="B941" s="91">
        <v>9483720</v>
      </c>
      <c r="C941" s="944">
        <f>IF(A941='Data Entry - SOF'!B$2,'Report-SOF1718'!D$102,0)</f>
        <v>0</v>
      </c>
      <c r="D941" s="1037">
        <f>IF(A941='Data Entry - SOF'!B$2,'Data Entry - SOF'!#REF!,0)</f>
        <v>0</v>
      </c>
      <c r="E941" s="91">
        <f t="shared" si="84"/>
        <v>9483720</v>
      </c>
      <c r="F941" s="944">
        <f>IF(A941='Data Entry - SOF'!B$2,'Report-SOF1819'!D$102,0)</f>
        <v>0</v>
      </c>
      <c r="G941" s="1037">
        <f>IF(A941='Data Entry - SOF'!B$2,'Data Entry - SOF'!E$102,0)</f>
        <v>0</v>
      </c>
      <c r="H941" s="1038">
        <f t="shared" si="86"/>
        <v>9483720</v>
      </c>
      <c r="I941" s="944">
        <f>IF(A941='Data Entry - SOF'!B$2,'Report-SOF1920-HB3'!D$102,0)</f>
        <v>0</v>
      </c>
      <c r="J941" s="1037">
        <f>IF(A941='Data Entry - SOF'!B$2,'Data Entry - SOF'!G$102,0)</f>
        <v>0</v>
      </c>
      <c r="K941" s="717">
        <f t="shared" si="87"/>
        <v>9483720</v>
      </c>
      <c r="L941" s="944">
        <f>IF(A941='Data Entry - SOF'!B$2,'Report-SOF2021'!D$99,0)</f>
        <v>0</v>
      </c>
      <c r="M941" s="723">
        <f>IF(A941='Data Entry - SOF'!B$2,'Data Entry - SOF'!M$102,0)</f>
        <v>0</v>
      </c>
      <c r="N941" s="717">
        <f t="shared" si="88"/>
        <v>9483720</v>
      </c>
      <c r="O941" s="944">
        <f>IF(A941='Data Entry - SOF'!B$2,'Report-SOF2122'!D$91,0)</f>
        <v>0</v>
      </c>
      <c r="P941" s="723">
        <f>IF(A941='Data Entry - SOF'!B$2,'Data Entry - SOF'!O$102,0)</f>
        <v>0</v>
      </c>
      <c r="Q941" s="601">
        <f t="shared" si="85"/>
        <v>9483720</v>
      </c>
      <c r="R941" s="944">
        <f>IF(A941='Data Entry - SOF'!B$2,'Report-SOF2223'!D$91,0)</f>
        <v>0</v>
      </c>
      <c r="S941" s="723">
        <f>IF(A941='Data Entry - SOF'!B$2,'Data Entry - SOF'!Q$102,0)</f>
        <v>0</v>
      </c>
      <c r="T941" s="601">
        <f t="shared" si="89"/>
        <v>9483720</v>
      </c>
      <c r="U941" s="944">
        <f>IF(A941='Data Entry - SOF'!B$2,'Report-SOF2324'!D$91,0)</f>
        <v>0</v>
      </c>
      <c r="V941" s="723">
        <f>IF(A941='Data Entry - SOF'!B$2,'Data Entry - SOF'!S$102,0)</f>
        <v>0</v>
      </c>
    </row>
    <row r="942" spans="1:22" ht="15.75">
      <c r="A942" s="382" t="s">
        <v>834</v>
      </c>
      <c r="B942" s="91">
        <v>1346791</v>
      </c>
      <c r="C942" s="944">
        <f>IF(A942='Data Entry - SOF'!B$2,'Report-SOF1718'!D$102,0)</f>
        <v>0</v>
      </c>
      <c r="D942" s="1037">
        <f>IF(A942='Data Entry - SOF'!B$2,'Data Entry - SOF'!#REF!,0)</f>
        <v>0</v>
      </c>
      <c r="E942" s="91">
        <f t="shared" si="84"/>
        <v>1346791</v>
      </c>
      <c r="F942" s="944">
        <f>IF(A942='Data Entry - SOF'!B$2,'Report-SOF1819'!D$102,0)</f>
        <v>0</v>
      </c>
      <c r="G942" s="1037">
        <f>IF(A942='Data Entry - SOF'!B$2,'Data Entry - SOF'!E$102,0)</f>
        <v>0</v>
      </c>
      <c r="H942" s="1038">
        <f t="shared" si="86"/>
        <v>1346791</v>
      </c>
      <c r="I942" s="944">
        <f>IF(A942='Data Entry - SOF'!B$2,'Report-SOF1920-HB3'!D$102,0)</f>
        <v>0</v>
      </c>
      <c r="J942" s="1037">
        <f>IF(A942='Data Entry - SOF'!B$2,'Data Entry - SOF'!G$102,0)</f>
        <v>0</v>
      </c>
      <c r="K942" s="717">
        <f t="shared" si="87"/>
        <v>1346791</v>
      </c>
      <c r="L942" s="944">
        <f>IF(A942='Data Entry - SOF'!B$2,'Report-SOF2021'!D$99,0)</f>
        <v>0</v>
      </c>
      <c r="M942" s="723">
        <f>IF(A942='Data Entry - SOF'!B$2,'Data Entry - SOF'!M$102,0)</f>
        <v>0</v>
      </c>
      <c r="N942" s="717">
        <f t="shared" si="88"/>
        <v>1346791</v>
      </c>
      <c r="O942" s="944">
        <f>IF(A942='Data Entry - SOF'!B$2,'Report-SOF2122'!D$91,0)</f>
        <v>0</v>
      </c>
      <c r="P942" s="723">
        <f>IF(A942='Data Entry - SOF'!B$2,'Data Entry - SOF'!O$102,0)</f>
        <v>0</v>
      </c>
      <c r="Q942" s="601">
        <f t="shared" si="85"/>
        <v>1346791</v>
      </c>
      <c r="R942" s="944">
        <f>IF(A942='Data Entry - SOF'!B$2,'Report-SOF2223'!D$91,0)</f>
        <v>0</v>
      </c>
      <c r="S942" s="723">
        <f>IF(A942='Data Entry - SOF'!B$2,'Data Entry - SOF'!Q$102,0)</f>
        <v>0</v>
      </c>
      <c r="T942" s="601">
        <f t="shared" si="89"/>
        <v>1346791</v>
      </c>
      <c r="U942" s="944">
        <f>IF(A942='Data Entry - SOF'!B$2,'Report-SOF2324'!D$91,0)</f>
        <v>0</v>
      </c>
      <c r="V942" s="723">
        <f>IF(A942='Data Entry - SOF'!B$2,'Data Entry - SOF'!S$102,0)</f>
        <v>0</v>
      </c>
    </row>
    <row r="943" spans="1:22" ht="15.75">
      <c r="A943" s="382" t="s">
        <v>1533</v>
      </c>
      <c r="B943" s="91">
        <v>616470</v>
      </c>
      <c r="C943" s="944">
        <f>IF(A943='Data Entry - SOF'!B$2,'Report-SOF1718'!D$102,0)</f>
        <v>0</v>
      </c>
      <c r="D943" s="1037">
        <f>IF(A943='Data Entry - SOF'!B$2,'Data Entry - SOF'!#REF!,0)</f>
        <v>0</v>
      </c>
      <c r="E943" s="91">
        <f t="shared" si="84"/>
        <v>616470</v>
      </c>
      <c r="F943" s="944">
        <f>IF(A943='Data Entry - SOF'!B$2,'Report-SOF1819'!D$102,0)</f>
        <v>0</v>
      </c>
      <c r="G943" s="1037">
        <f>IF(A943='Data Entry - SOF'!B$2,'Data Entry - SOF'!E$102,0)</f>
        <v>0</v>
      </c>
      <c r="H943" s="1038">
        <f t="shared" si="86"/>
        <v>616470</v>
      </c>
      <c r="I943" s="944">
        <f>IF(A943='Data Entry - SOF'!B$2,'Report-SOF1920-HB3'!D$102,0)</f>
        <v>0</v>
      </c>
      <c r="J943" s="1037">
        <f>IF(A943='Data Entry - SOF'!B$2,'Data Entry - SOF'!G$102,0)</f>
        <v>0</v>
      </c>
      <c r="K943" s="717">
        <f t="shared" si="87"/>
        <v>616470</v>
      </c>
      <c r="L943" s="944">
        <f>IF(A943='Data Entry - SOF'!B$2,'Report-SOF2021'!D$99,0)</f>
        <v>0</v>
      </c>
      <c r="M943" s="723">
        <f>IF(A943='Data Entry - SOF'!B$2,'Data Entry - SOF'!M$102,0)</f>
        <v>0</v>
      </c>
      <c r="N943" s="717">
        <f t="shared" si="88"/>
        <v>616470</v>
      </c>
      <c r="O943" s="944">
        <f>IF(A943='Data Entry - SOF'!B$2,'Report-SOF2122'!D$91,0)</f>
        <v>0</v>
      </c>
      <c r="P943" s="723">
        <f>IF(A943='Data Entry - SOF'!B$2,'Data Entry - SOF'!O$102,0)</f>
        <v>0</v>
      </c>
      <c r="Q943" s="601">
        <f t="shared" si="85"/>
        <v>616470</v>
      </c>
      <c r="R943" s="944">
        <f>IF(A943='Data Entry - SOF'!B$2,'Report-SOF2223'!D$91,0)</f>
        <v>0</v>
      </c>
      <c r="S943" s="723">
        <f>IF(A943='Data Entry - SOF'!B$2,'Data Entry - SOF'!Q$102,0)</f>
        <v>0</v>
      </c>
      <c r="T943" s="601">
        <f t="shared" si="89"/>
        <v>616470</v>
      </c>
      <c r="U943" s="944">
        <f>IF(A943='Data Entry - SOF'!B$2,'Report-SOF2324'!D$91,0)</f>
        <v>0</v>
      </c>
      <c r="V943" s="723">
        <f>IF(A943='Data Entry - SOF'!B$2,'Data Entry - SOF'!S$102,0)</f>
        <v>0</v>
      </c>
    </row>
    <row r="944" spans="1:22" ht="15.75">
      <c r="A944" s="382" t="s">
        <v>1836</v>
      </c>
      <c r="B944" s="91">
        <v>626616</v>
      </c>
      <c r="C944" s="944">
        <f>IF(A944='Data Entry - SOF'!B$2,'Report-SOF1718'!D$102,0)</f>
        <v>0</v>
      </c>
      <c r="D944" s="1037">
        <f>IF(A944='Data Entry - SOF'!B$2,'Data Entry - SOF'!#REF!,0)</f>
        <v>0</v>
      </c>
      <c r="E944" s="91">
        <f t="shared" si="84"/>
        <v>626616</v>
      </c>
      <c r="F944" s="944">
        <f>IF(A944='Data Entry - SOF'!B$2,'Report-SOF1819'!D$102,0)</f>
        <v>0</v>
      </c>
      <c r="G944" s="1037">
        <f>IF(A944='Data Entry - SOF'!B$2,'Data Entry - SOF'!E$102,0)</f>
        <v>0</v>
      </c>
      <c r="H944" s="1038">
        <f t="shared" si="86"/>
        <v>626616</v>
      </c>
      <c r="I944" s="944">
        <f>IF(A944='Data Entry - SOF'!B$2,'Report-SOF1920-HB3'!D$102,0)</f>
        <v>0</v>
      </c>
      <c r="J944" s="1037">
        <f>IF(A944='Data Entry - SOF'!B$2,'Data Entry - SOF'!G$102,0)</f>
        <v>0</v>
      </c>
      <c r="K944" s="717">
        <f t="shared" si="87"/>
        <v>626616</v>
      </c>
      <c r="L944" s="944">
        <f>IF(A944='Data Entry - SOF'!B$2,'Report-SOF2021'!D$99,0)</f>
        <v>0</v>
      </c>
      <c r="M944" s="723">
        <f>IF(A944='Data Entry - SOF'!B$2,'Data Entry - SOF'!M$102,0)</f>
        <v>0</v>
      </c>
      <c r="N944" s="717">
        <f t="shared" si="88"/>
        <v>626616</v>
      </c>
      <c r="O944" s="944">
        <f>IF(A944='Data Entry - SOF'!B$2,'Report-SOF2122'!D$91,0)</f>
        <v>0</v>
      </c>
      <c r="P944" s="723">
        <f>IF(A944='Data Entry - SOF'!B$2,'Data Entry - SOF'!O$102,0)</f>
        <v>0</v>
      </c>
      <c r="Q944" s="601">
        <f t="shared" si="85"/>
        <v>626616</v>
      </c>
      <c r="R944" s="944">
        <f>IF(A944='Data Entry - SOF'!B$2,'Report-SOF2223'!D$91,0)</f>
        <v>0</v>
      </c>
      <c r="S944" s="723">
        <f>IF(A944='Data Entry - SOF'!B$2,'Data Entry - SOF'!Q$102,0)</f>
        <v>0</v>
      </c>
      <c r="T944" s="601">
        <f t="shared" si="89"/>
        <v>626616</v>
      </c>
      <c r="U944" s="944">
        <f>IF(A944='Data Entry - SOF'!B$2,'Report-SOF2324'!D$91,0)</f>
        <v>0</v>
      </c>
      <c r="V944" s="723">
        <f>IF(A944='Data Entry - SOF'!B$2,'Data Entry - SOF'!S$102,0)</f>
        <v>0</v>
      </c>
    </row>
    <row r="945" spans="1:22" ht="15.75">
      <c r="A945" s="382" t="s">
        <v>835</v>
      </c>
      <c r="B945" s="91">
        <v>4249982</v>
      </c>
      <c r="C945" s="944">
        <f>IF(A945='Data Entry - SOF'!B$2,'Report-SOF1718'!D$102,0)</f>
        <v>0</v>
      </c>
      <c r="D945" s="1037">
        <f>IF(A945='Data Entry - SOF'!B$2,'Data Entry - SOF'!#REF!,0)</f>
        <v>0</v>
      </c>
      <c r="E945" s="91">
        <f t="shared" si="84"/>
        <v>4249982</v>
      </c>
      <c r="F945" s="944">
        <f>IF(A945='Data Entry - SOF'!B$2,'Report-SOF1819'!D$102,0)</f>
        <v>0</v>
      </c>
      <c r="G945" s="1037">
        <f>IF(A945='Data Entry - SOF'!B$2,'Data Entry - SOF'!E$102,0)</f>
        <v>0</v>
      </c>
      <c r="H945" s="1038">
        <f t="shared" si="86"/>
        <v>4249982</v>
      </c>
      <c r="I945" s="944">
        <f>IF(A945='Data Entry - SOF'!B$2,'Report-SOF1920-HB3'!D$102,0)</f>
        <v>0</v>
      </c>
      <c r="J945" s="1037">
        <f>IF(A945='Data Entry - SOF'!B$2,'Data Entry - SOF'!G$102,0)</f>
        <v>0</v>
      </c>
      <c r="K945" s="717">
        <f t="shared" si="87"/>
        <v>4249982</v>
      </c>
      <c r="L945" s="944">
        <f>IF(A945='Data Entry - SOF'!B$2,'Report-SOF2021'!D$99,0)</f>
        <v>0</v>
      </c>
      <c r="M945" s="723">
        <f>IF(A945='Data Entry - SOF'!B$2,'Data Entry - SOF'!M$102,0)</f>
        <v>0</v>
      </c>
      <c r="N945" s="717">
        <f t="shared" si="88"/>
        <v>4249982</v>
      </c>
      <c r="O945" s="944">
        <f>IF(A945='Data Entry - SOF'!B$2,'Report-SOF2122'!D$91,0)</f>
        <v>0</v>
      </c>
      <c r="P945" s="723">
        <f>IF(A945='Data Entry - SOF'!B$2,'Data Entry - SOF'!O$102,0)</f>
        <v>0</v>
      </c>
      <c r="Q945" s="601">
        <f t="shared" si="85"/>
        <v>4249982</v>
      </c>
      <c r="R945" s="944">
        <f>IF(A945='Data Entry - SOF'!B$2,'Report-SOF2223'!D$91,0)</f>
        <v>0</v>
      </c>
      <c r="S945" s="723">
        <f>IF(A945='Data Entry - SOF'!B$2,'Data Entry - SOF'!Q$102,0)</f>
        <v>0</v>
      </c>
      <c r="T945" s="601">
        <f t="shared" si="89"/>
        <v>4249982</v>
      </c>
      <c r="U945" s="944">
        <f>IF(A945='Data Entry - SOF'!B$2,'Report-SOF2324'!D$91,0)</f>
        <v>0</v>
      </c>
      <c r="V945" s="723">
        <f>IF(A945='Data Entry - SOF'!B$2,'Data Entry - SOF'!S$102,0)</f>
        <v>0</v>
      </c>
    </row>
    <row r="946" spans="1:22" ht="15.75">
      <c r="A946" s="382" t="s">
        <v>836</v>
      </c>
      <c r="B946" s="91">
        <v>3448299</v>
      </c>
      <c r="C946" s="944">
        <f>IF(A946='Data Entry - SOF'!B$2,'Report-SOF1718'!D$102,0)</f>
        <v>0</v>
      </c>
      <c r="D946" s="1037">
        <f>IF(A946='Data Entry - SOF'!B$2,'Data Entry - SOF'!#REF!,0)</f>
        <v>0</v>
      </c>
      <c r="E946" s="91">
        <f t="shared" si="84"/>
        <v>3448299</v>
      </c>
      <c r="F946" s="944">
        <f>IF(A946='Data Entry - SOF'!B$2,'Report-SOF1819'!D$102,0)</f>
        <v>0</v>
      </c>
      <c r="G946" s="1037">
        <f>IF(A946='Data Entry - SOF'!B$2,'Data Entry - SOF'!E$102,0)</f>
        <v>0</v>
      </c>
      <c r="H946" s="1038">
        <f t="shared" si="86"/>
        <v>3448299</v>
      </c>
      <c r="I946" s="944">
        <f>IF(A946='Data Entry - SOF'!B$2,'Report-SOF1920-HB3'!D$102,0)</f>
        <v>0</v>
      </c>
      <c r="J946" s="1037">
        <f>IF(A946='Data Entry - SOF'!B$2,'Data Entry - SOF'!G$102,0)</f>
        <v>0</v>
      </c>
      <c r="K946" s="717">
        <f t="shared" si="87"/>
        <v>3448299</v>
      </c>
      <c r="L946" s="944">
        <f>IF(A946='Data Entry - SOF'!B$2,'Report-SOF2021'!D$99,0)</f>
        <v>0</v>
      </c>
      <c r="M946" s="723">
        <f>IF(A946='Data Entry - SOF'!B$2,'Data Entry - SOF'!M$102,0)</f>
        <v>0</v>
      </c>
      <c r="N946" s="717">
        <f t="shared" si="88"/>
        <v>3448299</v>
      </c>
      <c r="O946" s="944">
        <f>IF(A946='Data Entry - SOF'!B$2,'Report-SOF2122'!D$91,0)</f>
        <v>0</v>
      </c>
      <c r="P946" s="723">
        <f>IF(A946='Data Entry - SOF'!B$2,'Data Entry - SOF'!O$102,0)</f>
        <v>0</v>
      </c>
      <c r="Q946" s="601">
        <f t="shared" si="85"/>
        <v>3448299</v>
      </c>
      <c r="R946" s="944">
        <f>IF(A946='Data Entry - SOF'!B$2,'Report-SOF2223'!D$91,0)</f>
        <v>0</v>
      </c>
      <c r="S946" s="723">
        <f>IF(A946='Data Entry - SOF'!B$2,'Data Entry - SOF'!Q$102,0)</f>
        <v>0</v>
      </c>
      <c r="T946" s="601">
        <f t="shared" si="89"/>
        <v>3448299</v>
      </c>
      <c r="U946" s="944">
        <f>IF(A946='Data Entry - SOF'!B$2,'Report-SOF2324'!D$91,0)</f>
        <v>0</v>
      </c>
      <c r="V946" s="723">
        <f>IF(A946='Data Entry - SOF'!B$2,'Data Entry - SOF'!S$102,0)</f>
        <v>0</v>
      </c>
    </row>
    <row r="947" spans="1:22" ht="15.75">
      <c r="A947" s="382" t="s">
        <v>1426</v>
      </c>
      <c r="B947" s="91">
        <v>63930</v>
      </c>
      <c r="C947" s="944">
        <f>IF(A947='Data Entry - SOF'!B$2,'Report-SOF1718'!D$102,0)</f>
        <v>0</v>
      </c>
      <c r="D947" s="1037">
        <f>IF(A947='Data Entry - SOF'!B$2,'Data Entry - SOF'!#REF!,0)</f>
        <v>0</v>
      </c>
      <c r="E947" s="91">
        <f t="shared" si="84"/>
        <v>63930</v>
      </c>
      <c r="F947" s="944">
        <f>IF(A947='Data Entry - SOF'!B$2,'Report-SOF1819'!D$102,0)</f>
        <v>0</v>
      </c>
      <c r="G947" s="1037">
        <f>IF(A947='Data Entry - SOF'!B$2,'Data Entry - SOF'!E$102,0)</f>
        <v>0</v>
      </c>
      <c r="H947" s="1038">
        <f t="shared" si="86"/>
        <v>63930</v>
      </c>
      <c r="I947" s="944">
        <f>IF(A947='Data Entry - SOF'!B$2,'Report-SOF1920-HB3'!D$102,0)</f>
        <v>0</v>
      </c>
      <c r="J947" s="1037">
        <f>IF(A947='Data Entry - SOF'!B$2,'Data Entry - SOF'!G$102,0)</f>
        <v>0</v>
      </c>
      <c r="K947" s="717">
        <f t="shared" si="87"/>
        <v>63930</v>
      </c>
      <c r="L947" s="944">
        <f>IF(A947='Data Entry - SOF'!B$2,'Report-SOF2021'!D$99,0)</f>
        <v>0</v>
      </c>
      <c r="M947" s="723">
        <f>IF(A947='Data Entry - SOF'!B$2,'Data Entry - SOF'!M$102,0)</f>
        <v>0</v>
      </c>
      <c r="N947" s="717">
        <f t="shared" si="88"/>
        <v>63930</v>
      </c>
      <c r="O947" s="944">
        <f>IF(A947='Data Entry - SOF'!B$2,'Report-SOF2122'!D$91,0)</f>
        <v>0</v>
      </c>
      <c r="P947" s="723">
        <f>IF(A947='Data Entry - SOF'!B$2,'Data Entry - SOF'!O$102,0)</f>
        <v>0</v>
      </c>
      <c r="Q947" s="601">
        <f t="shared" si="85"/>
        <v>63930</v>
      </c>
      <c r="R947" s="944">
        <f>IF(A947='Data Entry - SOF'!B$2,'Report-SOF2223'!D$91,0)</f>
        <v>0</v>
      </c>
      <c r="S947" s="723">
        <f>IF(A947='Data Entry - SOF'!B$2,'Data Entry - SOF'!Q$102,0)</f>
        <v>0</v>
      </c>
      <c r="T947" s="601">
        <f t="shared" si="89"/>
        <v>63930</v>
      </c>
      <c r="U947" s="944">
        <f>IF(A947='Data Entry - SOF'!B$2,'Report-SOF2324'!D$91,0)</f>
        <v>0</v>
      </c>
      <c r="V947" s="723">
        <f>IF(A947='Data Entry - SOF'!B$2,'Data Entry - SOF'!S$102,0)</f>
        <v>0</v>
      </c>
    </row>
    <row r="948" spans="1:22" ht="15.75">
      <c r="A948" s="382" t="s">
        <v>877</v>
      </c>
      <c r="B948" s="91">
        <v>2054973</v>
      </c>
      <c r="C948" s="944">
        <f>IF(A948='Data Entry - SOF'!B$2,'Report-SOF1718'!D$102,0)</f>
        <v>0</v>
      </c>
      <c r="D948" s="1037">
        <f>IF(A948='Data Entry - SOF'!B$2,'Data Entry - SOF'!#REF!,0)</f>
        <v>0</v>
      </c>
      <c r="E948" s="91">
        <f t="shared" si="84"/>
        <v>2054973</v>
      </c>
      <c r="F948" s="944">
        <f>IF(A948='Data Entry - SOF'!B$2,'Report-SOF1819'!D$102,0)</f>
        <v>0</v>
      </c>
      <c r="G948" s="1037">
        <f>IF(A948='Data Entry - SOF'!B$2,'Data Entry - SOF'!E$102,0)</f>
        <v>0</v>
      </c>
      <c r="H948" s="1038">
        <f t="shared" si="86"/>
        <v>2054973</v>
      </c>
      <c r="I948" s="944">
        <f>IF(A948='Data Entry - SOF'!B$2,'Report-SOF1920-HB3'!D$102,0)</f>
        <v>0</v>
      </c>
      <c r="J948" s="1037">
        <f>IF(A948='Data Entry - SOF'!B$2,'Data Entry - SOF'!G$102,0)</f>
        <v>0</v>
      </c>
      <c r="K948" s="717">
        <f t="shared" si="87"/>
        <v>2054973</v>
      </c>
      <c r="L948" s="944">
        <f>IF(A948='Data Entry - SOF'!B$2,'Report-SOF2021'!D$99,0)</f>
        <v>0</v>
      </c>
      <c r="M948" s="723">
        <f>IF(A948='Data Entry - SOF'!B$2,'Data Entry - SOF'!M$102,0)</f>
        <v>0</v>
      </c>
      <c r="N948" s="717">
        <f t="shared" si="88"/>
        <v>2054973</v>
      </c>
      <c r="O948" s="944">
        <f>IF(A948='Data Entry - SOF'!B$2,'Report-SOF2122'!D$91,0)</f>
        <v>0</v>
      </c>
      <c r="P948" s="723">
        <f>IF(A948='Data Entry - SOF'!B$2,'Data Entry - SOF'!O$102,0)</f>
        <v>0</v>
      </c>
      <c r="Q948" s="601">
        <f t="shared" si="85"/>
        <v>2054973</v>
      </c>
      <c r="R948" s="944">
        <f>IF(A948='Data Entry - SOF'!B$2,'Report-SOF2223'!D$91,0)</f>
        <v>0</v>
      </c>
      <c r="S948" s="723">
        <f>IF(A948='Data Entry - SOF'!B$2,'Data Entry - SOF'!Q$102,0)</f>
        <v>0</v>
      </c>
      <c r="T948" s="601">
        <f t="shared" si="89"/>
        <v>2054973</v>
      </c>
      <c r="U948" s="944">
        <f>IF(A948='Data Entry - SOF'!B$2,'Report-SOF2324'!D$91,0)</f>
        <v>0</v>
      </c>
      <c r="V948" s="723">
        <f>IF(A948='Data Entry - SOF'!B$2,'Data Entry - SOF'!S$102,0)</f>
        <v>0</v>
      </c>
    </row>
    <row r="949" spans="1:22" ht="15.75">
      <c r="A949" s="382" t="s">
        <v>340</v>
      </c>
      <c r="B949" s="91">
        <v>47269258</v>
      </c>
      <c r="C949" s="944">
        <f>IF(A949='Data Entry - SOF'!B$2,'Report-SOF1718'!D$102,0)</f>
        <v>0</v>
      </c>
      <c r="D949" s="1037">
        <f>IF(A949='Data Entry - SOF'!B$2,'Data Entry - SOF'!#REF!,0)</f>
        <v>0</v>
      </c>
      <c r="E949" s="91">
        <f t="shared" si="84"/>
        <v>47269258</v>
      </c>
      <c r="F949" s="944">
        <f>IF(A949='Data Entry - SOF'!B$2,'Report-SOF1819'!D$102,0)</f>
        <v>0</v>
      </c>
      <c r="G949" s="1037">
        <f>IF(A949='Data Entry - SOF'!B$2,'Data Entry - SOF'!E$102,0)</f>
        <v>0</v>
      </c>
      <c r="H949" s="1038">
        <f t="shared" si="86"/>
        <v>47269258</v>
      </c>
      <c r="I949" s="944">
        <f>IF(A949='Data Entry - SOF'!B$2,'Report-SOF1920-HB3'!D$102,0)</f>
        <v>0</v>
      </c>
      <c r="J949" s="1037">
        <f>IF(A949='Data Entry - SOF'!B$2,'Data Entry - SOF'!G$102,0)</f>
        <v>0</v>
      </c>
      <c r="K949" s="717">
        <f t="shared" si="87"/>
        <v>47269258</v>
      </c>
      <c r="L949" s="944">
        <f>IF(A949='Data Entry - SOF'!B$2,'Report-SOF2021'!D$99,0)</f>
        <v>0</v>
      </c>
      <c r="M949" s="723">
        <f>IF(A949='Data Entry - SOF'!B$2,'Data Entry - SOF'!M$102,0)</f>
        <v>0</v>
      </c>
      <c r="N949" s="717">
        <f t="shared" si="88"/>
        <v>47269258</v>
      </c>
      <c r="O949" s="944">
        <f>IF(A949='Data Entry - SOF'!B$2,'Report-SOF2122'!D$91,0)</f>
        <v>0</v>
      </c>
      <c r="P949" s="723">
        <f>IF(A949='Data Entry - SOF'!B$2,'Data Entry - SOF'!O$102,0)</f>
        <v>0</v>
      </c>
      <c r="Q949" s="601">
        <f t="shared" si="85"/>
        <v>47269258</v>
      </c>
      <c r="R949" s="944">
        <f>IF(A949='Data Entry - SOF'!B$2,'Report-SOF2223'!D$91,0)</f>
        <v>0</v>
      </c>
      <c r="S949" s="723">
        <f>IF(A949='Data Entry - SOF'!B$2,'Data Entry - SOF'!Q$102,0)</f>
        <v>0</v>
      </c>
      <c r="T949" s="601">
        <f t="shared" si="89"/>
        <v>47269258</v>
      </c>
      <c r="U949" s="944">
        <f>IF(A949='Data Entry - SOF'!B$2,'Report-SOF2324'!D$91,0)</f>
        <v>0</v>
      </c>
      <c r="V949" s="723">
        <f>IF(A949='Data Entry - SOF'!B$2,'Data Entry - SOF'!S$102,0)</f>
        <v>0</v>
      </c>
    </row>
    <row r="950" spans="1:22" ht="15.75">
      <c r="A950" s="382" t="s">
        <v>2597</v>
      </c>
      <c r="B950" s="91">
        <v>2448518</v>
      </c>
      <c r="C950" s="944">
        <f>IF(A950='Data Entry - SOF'!B$2,'Report-SOF1718'!D$102,0)</f>
        <v>0</v>
      </c>
      <c r="D950" s="1037">
        <f>IF(A950='Data Entry - SOF'!B$2,'Data Entry - SOF'!#REF!,0)</f>
        <v>0</v>
      </c>
      <c r="E950" s="91">
        <f t="shared" si="84"/>
        <v>2448518</v>
      </c>
      <c r="F950" s="944">
        <f>IF(A950='Data Entry - SOF'!B$2,'Report-SOF1819'!D$102,0)</f>
        <v>0</v>
      </c>
      <c r="G950" s="1037">
        <f>IF(A950='Data Entry - SOF'!B$2,'Data Entry - SOF'!E$102,0)</f>
        <v>0</v>
      </c>
      <c r="H950" s="1038">
        <f t="shared" si="86"/>
        <v>2448518</v>
      </c>
      <c r="I950" s="944">
        <f>IF(A950='Data Entry - SOF'!B$2,'Report-SOF1920-HB3'!D$102,0)</f>
        <v>0</v>
      </c>
      <c r="J950" s="1037">
        <f>IF(A950='Data Entry - SOF'!B$2,'Data Entry - SOF'!G$102,0)</f>
        <v>0</v>
      </c>
      <c r="K950" s="717">
        <f t="shared" si="87"/>
        <v>2448518</v>
      </c>
      <c r="L950" s="944">
        <f>IF(A950='Data Entry - SOF'!B$2,'Report-SOF2021'!D$99,0)</f>
        <v>0</v>
      </c>
      <c r="M950" s="723">
        <f>IF(A950='Data Entry - SOF'!B$2,'Data Entry - SOF'!M$102,0)</f>
        <v>0</v>
      </c>
      <c r="N950" s="717">
        <f t="shared" si="88"/>
        <v>2448518</v>
      </c>
      <c r="O950" s="944">
        <f>IF(A950='Data Entry - SOF'!B$2,'Report-SOF2122'!D$91,0)</f>
        <v>0</v>
      </c>
      <c r="P950" s="723">
        <f>IF(A950='Data Entry - SOF'!B$2,'Data Entry - SOF'!O$102,0)</f>
        <v>0</v>
      </c>
      <c r="Q950" s="601">
        <f t="shared" si="85"/>
        <v>2448518</v>
      </c>
      <c r="R950" s="944">
        <f>IF(A950='Data Entry - SOF'!B$2,'Report-SOF2223'!D$91,0)</f>
        <v>0</v>
      </c>
      <c r="S950" s="723">
        <f>IF(A950='Data Entry - SOF'!B$2,'Data Entry - SOF'!Q$102,0)</f>
        <v>0</v>
      </c>
      <c r="T950" s="601">
        <f t="shared" si="89"/>
        <v>2448518</v>
      </c>
      <c r="U950" s="944">
        <f>IF(A950='Data Entry - SOF'!B$2,'Report-SOF2324'!D$91,0)</f>
        <v>0</v>
      </c>
      <c r="V950" s="723">
        <f>IF(A950='Data Entry - SOF'!B$2,'Data Entry - SOF'!S$102,0)</f>
        <v>0</v>
      </c>
    </row>
    <row r="951" spans="1:22" ht="15.75">
      <c r="A951" s="382" t="s">
        <v>1022</v>
      </c>
      <c r="B951" s="91">
        <v>1693757</v>
      </c>
      <c r="C951" s="944">
        <f>IF(A951='Data Entry - SOF'!B$2,'Report-SOF1718'!D$102,0)</f>
        <v>0</v>
      </c>
      <c r="D951" s="1037">
        <f>IF(A951='Data Entry - SOF'!B$2,'Data Entry - SOF'!#REF!,0)</f>
        <v>0</v>
      </c>
      <c r="E951" s="91">
        <f t="shared" si="84"/>
        <v>1693757</v>
      </c>
      <c r="F951" s="944">
        <f>IF(A951='Data Entry - SOF'!B$2,'Report-SOF1819'!D$102,0)</f>
        <v>0</v>
      </c>
      <c r="G951" s="1037">
        <f>IF(A951='Data Entry - SOF'!B$2,'Data Entry - SOF'!E$102,0)</f>
        <v>0</v>
      </c>
      <c r="H951" s="1038">
        <f t="shared" si="86"/>
        <v>1693757</v>
      </c>
      <c r="I951" s="944">
        <f>IF(A951='Data Entry - SOF'!B$2,'Report-SOF1920-HB3'!D$102,0)</f>
        <v>0</v>
      </c>
      <c r="J951" s="1037">
        <f>IF(A951='Data Entry - SOF'!B$2,'Data Entry - SOF'!G$102,0)</f>
        <v>0</v>
      </c>
      <c r="K951" s="717">
        <f t="shared" si="87"/>
        <v>1693757</v>
      </c>
      <c r="L951" s="944">
        <f>IF(A951='Data Entry - SOF'!B$2,'Report-SOF2021'!D$99,0)</f>
        <v>0</v>
      </c>
      <c r="M951" s="723">
        <f>IF(A951='Data Entry - SOF'!B$2,'Data Entry - SOF'!M$102,0)</f>
        <v>0</v>
      </c>
      <c r="N951" s="717">
        <f t="shared" si="88"/>
        <v>1693757</v>
      </c>
      <c r="O951" s="944">
        <f>IF(A951='Data Entry - SOF'!B$2,'Report-SOF2122'!D$91,0)</f>
        <v>0</v>
      </c>
      <c r="P951" s="723">
        <f>IF(A951='Data Entry - SOF'!B$2,'Data Entry - SOF'!O$102,0)</f>
        <v>0</v>
      </c>
      <c r="Q951" s="601">
        <f t="shared" si="85"/>
        <v>1693757</v>
      </c>
      <c r="R951" s="944">
        <f>IF(A951='Data Entry - SOF'!B$2,'Report-SOF2223'!D$91,0)</f>
        <v>0</v>
      </c>
      <c r="S951" s="723">
        <f>IF(A951='Data Entry - SOF'!B$2,'Data Entry - SOF'!Q$102,0)</f>
        <v>0</v>
      </c>
      <c r="T951" s="601">
        <f t="shared" si="89"/>
        <v>1693757</v>
      </c>
      <c r="U951" s="944">
        <f>IF(A951='Data Entry - SOF'!B$2,'Report-SOF2324'!D$91,0)</f>
        <v>0</v>
      </c>
      <c r="V951" s="723">
        <f>IF(A951='Data Entry - SOF'!B$2,'Data Entry - SOF'!S$102,0)</f>
        <v>0</v>
      </c>
    </row>
    <row r="952" spans="1:22" ht="15.75">
      <c r="A952" s="382" t="s">
        <v>1156</v>
      </c>
      <c r="B952" s="91">
        <v>22313813</v>
      </c>
      <c r="C952" s="944">
        <f>IF(A952='Data Entry - SOF'!B$2,'Report-SOF1718'!D$102,0)</f>
        <v>0</v>
      </c>
      <c r="D952" s="1037">
        <f>IF(A952='Data Entry - SOF'!B$2,'Data Entry - SOF'!#REF!,0)</f>
        <v>0</v>
      </c>
      <c r="E952" s="91">
        <f t="shared" si="84"/>
        <v>22313813</v>
      </c>
      <c r="F952" s="944">
        <f>IF(A952='Data Entry - SOF'!B$2,'Report-SOF1819'!D$102,0)</f>
        <v>0</v>
      </c>
      <c r="G952" s="1037">
        <f>IF(A952='Data Entry - SOF'!B$2,'Data Entry - SOF'!E$102,0)</f>
        <v>0</v>
      </c>
      <c r="H952" s="1038">
        <f t="shared" si="86"/>
        <v>22313813</v>
      </c>
      <c r="I952" s="944">
        <f>IF(A952='Data Entry - SOF'!B$2,'Report-SOF1920-HB3'!D$102,0)</f>
        <v>0</v>
      </c>
      <c r="J952" s="1037">
        <f>IF(A952='Data Entry - SOF'!B$2,'Data Entry - SOF'!G$102,0)</f>
        <v>0</v>
      </c>
      <c r="K952" s="717">
        <f t="shared" si="87"/>
        <v>22313813</v>
      </c>
      <c r="L952" s="944">
        <f>IF(A952='Data Entry - SOF'!B$2,'Report-SOF2021'!D$99,0)</f>
        <v>0</v>
      </c>
      <c r="M952" s="723">
        <f>IF(A952='Data Entry - SOF'!B$2,'Data Entry - SOF'!M$102,0)</f>
        <v>0</v>
      </c>
      <c r="N952" s="717">
        <f t="shared" si="88"/>
        <v>22313813</v>
      </c>
      <c r="O952" s="944">
        <f>IF(A952='Data Entry - SOF'!B$2,'Report-SOF2122'!D$91,0)</f>
        <v>0</v>
      </c>
      <c r="P952" s="723">
        <f>IF(A952='Data Entry - SOF'!B$2,'Data Entry - SOF'!O$102,0)</f>
        <v>0</v>
      </c>
      <c r="Q952" s="601">
        <f t="shared" si="85"/>
        <v>22313813</v>
      </c>
      <c r="R952" s="944">
        <f>IF(A952='Data Entry - SOF'!B$2,'Report-SOF2223'!D$91,0)</f>
        <v>0</v>
      </c>
      <c r="S952" s="723">
        <f>IF(A952='Data Entry - SOF'!B$2,'Data Entry - SOF'!Q$102,0)</f>
        <v>0</v>
      </c>
      <c r="T952" s="601">
        <f t="shared" si="89"/>
        <v>22313813</v>
      </c>
      <c r="U952" s="944">
        <f>IF(A952='Data Entry - SOF'!B$2,'Report-SOF2324'!D$91,0)</f>
        <v>0</v>
      </c>
      <c r="V952" s="723">
        <f>IF(A952='Data Entry - SOF'!B$2,'Data Entry - SOF'!S$102,0)</f>
        <v>0</v>
      </c>
    </row>
    <row r="953" spans="1:22" ht="15.75">
      <c r="A953" s="382" t="s">
        <v>276</v>
      </c>
      <c r="B953" s="91">
        <v>2589562</v>
      </c>
      <c r="C953" s="944">
        <f>IF(A953='Data Entry - SOF'!B$2,'Report-SOF1718'!D$102,0)</f>
        <v>0</v>
      </c>
      <c r="D953" s="1037">
        <f>IF(A953='Data Entry - SOF'!B$2,'Data Entry - SOF'!#REF!,0)</f>
        <v>0</v>
      </c>
      <c r="E953" s="91">
        <f t="shared" si="84"/>
        <v>2589562</v>
      </c>
      <c r="F953" s="944">
        <f>IF(A953='Data Entry - SOF'!B$2,'Report-SOF1819'!D$102,0)</f>
        <v>0</v>
      </c>
      <c r="G953" s="1037">
        <f>IF(A953='Data Entry - SOF'!B$2,'Data Entry - SOF'!E$102,0)</f>
        <v>0</v>
      </c>
      <c r="H953" s="1038">
        <f t="shared" si="86"/>
        <v>2589562</v>
      </c>
      <c r="I953" s="944">
        <f>IF(A953='Data Entry - SOF'!B$2,'Report-SOF1920-HB3'!D$102,0)</f>
        <v>0</v>
      </c>
      <c r="J953" s="1037">
        <f>IF(A953='Data Entry - SOF'!B$2,'Data Entry - SOF'!G$102,0)</f>
        <v>0</v>
      </c>
      <c r="K953" s="717">
        <f t="shared" si="87"/>
        <v>2589562</v>
      </c>
      <c r="L953" s="944">
        <f>IF(A953='Data Entry - SOF'!B$2,'Report-SOF2021'!D$99,0)</f>
        <v>0</v>
      </c>
      <c r="M953" s="723">
        <f>IF(A953='Data Entry - SOF'!B$2,'Data Entry - SOF'!M$102,0)</f>
        <v>0</v>
      </c>
      <c r="N953" s="717">
        <f t="shared" si="88"/>
        <v>2589562</v>
      </c>
      <c r="O953" s="944">
        <f>IF(A953='Data Entry - SOF'!B$2,'Report-SOF2122'!D$91,0)</f>
        <v>0</v>
      </c>
      <c r="P953" s="723">
        <f>IF(A953='Data Entry - SOF'!B$2,'Data Entry - SOF'!O$102,0)</f>
        <v>0</v>
      </c>
      <c r="Q953" s="601">
        <f t="shared" si="85"/>
        <v>2589562</v>
      </c>
      <c r="R953" s="944">
        <f>IF(A953='Data Entry - SOF'!B$2,'Report-SOF2223'!D$91,0)</f>
        <v>0</v>
      </c>
      <c r="S953" s="723">
        <f>IF(A953='Data Entry - SOF'!B$2,'Data Entry - SOF'!Q$102,0)</f>
        <v>0</v>
      </c>
      <c r="T953" s="601">
        <f t="shared" si="89"/>
        <v>2589562</v>
      </c>
      <c r="U953" s="944">
        <f>IF(A953='Data Entry - SOF'!B$2,'Report-SOF2324'!D$91,0)</f>
        <v>0</v>
      </c>
      <c r="V953" s="723">
        <f>IF(A953='Data Entry - SOF'!B$2,'Data Entry - SOF'!S$102,0)</f>
        <v>0</v>
      </c>
    </row>
    <row r="954" spans="1:22" ht="15.75">
      <c r="A954" s="382" t="s">
        <v>277</v>
      </c>
      <c r="B954" s="91">
        <v>40740323</v>
      </c>
      <c r="C954" s="944">
        <f>IF(A954='Data Entry - SOF'!B$2,'Report-SOF1718'!D$102,0)</f>
        <v>0</v>
      </c>
      <c r="D954" s="1037">
        <f>IF(A954='Data Entry - SOF'!B$2,'Data Entry - SOF'!#REF!,0)</f>
        <v>0</v>
      </c>
      <c r="E954" s="91">
        <f t="shared" si="84"/>
        <v>40740323</v>
      </c>
      <c r="F954" s="944">
        <f>IF(A954='Data Entry - SOF'!B$2,'Report-SOF1819'!D$102,0)</f>
        <v>0</v>
      </c>
      <c r="G954" s="1037">
        <f>IF(A954='Data Entry - SOF'!B$2,'Data Entry - SOF'!E$102,0)</f>
        <v>0</v>
      </c>
      <c r="H954" s="1038">
        <f t="shared" si="86"/>
        <v>40740323</v>
      </c>
      <c r="I954" s="944">
        <f>IF(A954='Data Entry - SOF'!B$2,'Report-SOF1920-HB3'!D$102,0)</f>
        <v>0</v>
      </c>
      <c r="J954" s="1037">
        <f>IF(A954='Data Entry - SOF'!B$2,'Data Entry - SOF'!G$102,0)</f>
        <v>0</v>
      </c>
      <c r="K954" s="717">
        <f t="shared" si="87"/>
        <v>40740323</v>
      </c>
      <c r="L954" s="944">
        <f>IF(A954='Data Entry - SOF'!B$2,'Report-SOF2021'!D$99,0)</f>
        <v>0</v>
      </c>
      <c r="M954" s="723">
        <f>IF(A954='Data Entry - SOF'!B$2,'Data Entry - SOF'!M$102,0)</f>
        <v>0</v>
      </c>
      <c r="N954" s="717">
        <f t="shared" si="88"/>
        <v>40740323</v>
      </c>
      <c r="O954" s="944">
        <f>IF(A954='Data Entry - SOF'!B$2,'Report-SOF2122'!D$91,0)</f>
        <v>0</v>
      </c>
      <c r="P954" s="723">
        <f>IF(A954='Data Entry - SOF'!B$2,'Data Entry - SOF'!O$102,0)</f>
        <v>0</v>
      </c>
      <c r="Q954" s="601">
        <f t="shared" si="85"/>
        <v>40740323</v>
      </c>
      <c r="R954" s="944">
        <f>IF(A954='Data Entry - SOF'!B$2,'Report-SOF2223'!D$91,0)</f>
        <v>0</v>
      </c>
      <c r="S954" s="723">
        <f>IF(A954='Data Entry - SOF'!B$2,'Data Entry - SOF'!Q$102,0)</f>
        <v>0</v>
      </c>
      <c r="T954" s="601">
        <f t="shared" si="89"/>
        <v>40740323</v>
      </c>
      <c r="U954" s="944">
        <f>IF(A954='Data Entry - SOF'!B$2,'Report-SOF2324'!D$91,0)</f>
        <v>0</v>
      </c>
      <c r="V954" s="723">
        <f>IF(A954='Data Entry - SOF'!B$2,'Data Entry - SOF'!S$102,0)</f>
        <v>0</v>
      </c>
    </row>
    <row r="955" spans="1:22" ht="15.75">
      <c r="A955" s="382" t="s">
        <v>624</v>
      </c>
      <c r="B955" s="91">
        <v>28806761</v>
      </c>
      <c r="C955" s="944">
        <f>IF(A955='Data Entry - SOF'!B$2,'Report-SOF1718'!D$102,0)</f>
        <v>0</v>
      </c>
      <c r="D955" s="1037">
        <f>IF(A955='Data Entry - SOF'!B$2,'Data Entry - SOF'!#REF!,0)</f>
        <v>0</v>
      </c>
      <c r="E955" s="91">
        <f t="shared" si="84"/>
        <v>28806761</v>
      </c>
      <c r="F955" s="944">
        <f>IF(A955='Data Entry - SOF'!B$2,'Report-SOF1819'!D$102,0)</f>
        <v>0</v>
      </c>
      <c r="G955" s="1037">
        <f>IF(A955='Data Entry - SOF'!B$2,'Data Entry - SOF'!E$102,0)</f>
        <v>0</v>
      </c>
      <c r="H955" s="1038">
        <f t="shared" si="86"/>
        <v>28806761</v>
      </c>
      <c r="I955" s="944">
        <f>IF(A955='Data Entry - SOF'!B$2,'Report-SOF1920-HB3'!D$102,0)</f>
        <v>0</v>
      </c>
      <c r="J955" s="1037">
        <f>IF(A955='Data Entry - SOF'!B$2,'Data Entry - SOF'!G$102,0)</f>
        <v>0</v>
      </c>
      <c r="K955" s="717">
        <f t="shared" si="87"/>
        <v>28806761</v>
      </c>
      <c r="L955" s="944">
        <f>IF(A955='Data Entry - SOF'!B$2,'Report-SOF2021'!D$99,0)</f>
        <v>0</v>
      </c>
      <c r="M955" s="723">
        <f>IF(A955='Data Entry - SOF'!B$2,'Data Entry - SOF'!M$102,0)</f>
        <v>0</v>
      </c>
      <c r="N955" s="717">
        <f t="shared" si="88"/>
        <v>28806761</v>
      </c>
      <c r="O955" s="944">
        <f>IF(A955='Data Entry - SOF'!B$2,'Report-SOF2122'!D$91,0)</f>
        <v>0</v>
      </c>
      <c r="P955" s="723">
        <f>IF(A955='Data Entry - SOF'!B$2,'Data Entry - SOF'!O$102,0)</f>
        <v>0</v>
      </c>
      <c r="Q955" s="601">
        <f t="shared" si="85"/>
        <v>28806761</v>
      </c>
      <c r="R955" s="944">
        <f>IF(A955='Data Entry - SOF'!B$2,'Report-SOF2223'!D$91,0)</f>
        <v>0</v>
      </c>
      <c r="S955" s="723">
        <f>IF(A955='Data Entry - SOF'!B$2,'Data Entry - SOF'!Q$102,0)</f>
        <v>0</v>
      </c>
      <c r="T955" s="601">
        <f t="shared" si="89"/>
        <v>28806761</v>
      </c>
      <c r="U955" s="944">
        <f>IF(A955='Data Entry - SOF'!B$2,'Report-SOF2324'!D$91,0)</f>
        <v>0</v>
      </c>
      <c r="V955" s="723">
        <f>IF(A955='Data Entry - SOF'!B$2,'Data Entry - SOF'!S$102,0)</f>
        <v>0</v>
      </c>
    </row>
    <row r="956" spans="1:22" ht="15.75">
      <c r="A956" s="382" t="s">
        <v>625</v>
      </c>
      <c r="B956" s="91">
        <v>23833061.379700899</v>
      </c>
      <c r="C956" s="944">
        <f>IF(A956='Data Entry - SOF'!B$2,'Report-SOF1718'!D$102,0)</f>
        <v>0</v>
      </c>
      <c r="D956" s="1037">
        <f>IF(A956='Data Entry - SOF'!B$2,'Data Entry - SOF'!#REF!,0)</f>
        <v>0</v>
      </c>
      <c r="E956" s="91">
        <f t="shared" si="84"/>
        <v>23833061.379700899</v>
      </c>
      <c r="F956" s="944">
        <f>IF(A956='Data Entry - SOF'!B$2,'Report-SOF1819'!D$102,0)</f>
        <v>0</v>
      </c>
      <c r="G956" s="1037">
        <f>IF(A956='Data Entry - SOF'!B$2,'Data Entry - SOF'!E$102,0)</f>
        <v>0</v>
      </c>
      <c r="H956" s="1038">
        <f t="shared" si="86"/>
        <v>23833061.379700899</v>
      </c>
      <c r="I956" s="944">
        <f>IF(A956='Data Entry - SOF'!B$2,'Report-SOF1920-HB3'!D$102,0)</f>
        <v>0</v>
      </c>
      <c r="J956" s="1037">
        <f>IF(A956='Data Entry - SOF'!B$2,'Data Entry - SOF'!G$102,0)</f>
        <v>0</v>
      </c>
      <c r="K956" s="717">
        <f t="shared" si="87"/>
        <v>23833061.379700899</v>
      </c>
      <c r="L956" s="944">
        <f>IF(A956='Data Entry - SOF'!B$2,'Report-SOF2021'!D$99,0)</f>
        <v>0</v>
      </c>
      <c r="M956" s="723">
        <f>IF(A956='Data Entry - SOF'!B$2,'Data Entry - SOF'!M$102,0)</f>
        <v>0</v>
      </c>
      <c r="N956" s="717">
        <f t="shared" si="88"/>
        <v>23833061.379700899</v>
      </c>
      <c r="O956" s="944">
        <f>IF(A956='Data Entry - SOF'!B$2,'Report-SOF2122'!D$91,0)</f>
        <v>0</v>
      </c>
      <c r="P956" s="723">
        <f>IF(A956='Data Entry - SOF'!B$2,'Data Entry - SOF'!O$102,0)</f>
        <v>0</v>
      </c>
      <c r="Q956" s="601">
        <f t="shared" si="85"/>
        <v>23833061.379700899</v>
      </c>
      <c r="R956" s="944">
        <f>IF(A956='Data Entry - SOF'!B$2,'Report-SOF2223'!D$91,0)</f>
        <v>0</v>
      </c>
      <c r="S956" s="723">
        <f>IF(A956='Data Entry - SOF'!B$2,'Data Entry - SOF'!Q$102,0)</f>
        <v>0</v>
      </c>
      <c r="T956" s="601">
        <f t="shared" si="89"/>
        <v>23833061.379700899</v>
      </c>
      <c r="U956" s="944">
        <f>IF(A956='Data Entry - SOF'!B$2,'Report-SOF2324'!D$91,0)</f>
        <v>0</v>
      </c>
      <c r="V956" s="723">
        <f>IF(A956='Data Entry - SOF'!B$2,'Data Entry - SOF'!S$102,0)</f>
        <v>0</v>
      </c>
    </row>
    <row r="957" spans="1:22" ht="15.75">
      <c r="A957" s="382" t="s">
        <v>626</v>
      </c>
      <c r="B957" s="91">
        <v>3652112.5753356498</v>
      </c>
      <c r="C957" s="944">
        <f>IF(A957='Data Entry - SOF'!B$2,'Report-SOF1718'!D$102,0)</f>
        <v>0</v>
      </c>
      <c r="D957" s="1037">
        <f>IF(A957='Data Entry - SOF'!B$2,'Data Entry - SOF'!#REF!,0)</f>
        <v>0</v>
      </c>
      <c r="E957" s="91">
        <f t="shared" si="84"/>
        <v>3652112.5753356498</v>
      </c>
      <c r="F957" s="944">
        <f>IF(A957='Data Entry - SOF'!B$2,'Report-SOF1819'!D$102,0)</f>
        <v>0</v>
      </c>
      <c r="G957" s="1037">
        <f>IF(A957='Data Entry - SOF'!B$2,'Data Entry - SOF'!E$102,0)</f>
        <v>0</v>
      </c>
      <c r="H957" s="1038">
        <f t="shared" si="86"/>
        <v>3652112.5753356498</v>
      </c>
      <c r="I957" s="944">
        <f>IF(A957='Data Entry - SOF'!B$2,'Report-SOF1920-HB3'!D$102,0)</f>
        <v>0</v>
      </c>
      <c r="J957" s="1037">
        <f>IF(A957='Data Entry - SOF'!B$2,'Data Entry - SOF'!G$102,0)</f>
        <v>0</v>
      </c>
      <c r="K957" s="717">
        <f t="shared" si="87"/>
        <v>3652112.5753356498</v>
      </c>
      <c r="L957" s="944">
        <f>IF(A957='Data Entry - SOF'!B$2,'Report-SOF2021'!D$99,0)</f>
        <v>0</v>
      </c>
      <c r="M957" s="723">
        <f>IF(A957='Data Entry - SOF'!B$2,'Data Entry - SOF'!M$102,0)</f>
        <v>0</v>
      </c>
      <c r="N957" s="717">
        <f t="shared" si="88"/>
        <v>3652112.5753356498</v>
      </c>
      <c r="O957" s="944">
        <f>IF(A957='Data Entry - SOF'!B$2,'Report-SOF2122'!D$91,0)</f>
        <v>0</v>
      </c>
      <c r="P957" s="723">
        <f>IF(A957='Data Entry - SOF'!B$2,'Data Entry - SOF'!O$102,0)</f>
        <v>0</v>
      </c>
      <c r="Q957" s="601">
        <f t="shared" si="85"/>
        <v>3652112.5753356498</v>
      </c>
      <c r="R957" s="944">
        <f>IF(A957='Data Entry - SOF'!B$2,'Report-SOF2223'!D$91,0)</f>
        <v>0</v>
      </c>
      <c r="S957" s="723">
        <f>IF(A957='Data Entry - SOF'!B$2,'Data Entry - SOF'!Q$102,0)</f>
        <v>0</v>
      </c>
      <c r="T957" s="601">
        <f t="shared" si="89"/>
        <v>3652112.5753356498</v>
      </c>
      <c r="U957" s="944">
        <f>IF(A957='Data Entry - SOF'!B$2,'Report-SOF2324'!D$91,0)</f>
        <v>0</v>
      </c>
      <c r="V957" s="723">
        <f>IF(A957='Data Entry - SOF'!B$2,'Data Entry - SOF'!S$102,0)</f>
        <v>0</v>
      </c>
    </row>
    <row r="958" spans="1:22" ht="15.75">
      <c r="A958" s="382" t="s">
        <v>2339</v>
      </c>
      <c r="B958" s="91">
        <v>18053641</v>
      </c>
      <c r="C958" s="944">
        <f>IF(A958='Data Entry - SOF'!B$2,'Report-SOF1718'!D$102,0)</f>
        <v>0</v>
      </c>
      <c r="D958" s="1037">
        <f>IF(A958='Data Entry - SOF'!B$2,'Data Entry - SOF'!#REF!,0)</f>
        <v>0</v>
      </c>
      <c r="E958" s="91">
        <f t="shared" si="84"/>
        <v>18053641</v>
      </c>
      <c r="F958" s="944">
        <f>IF(A958='Data Entry - SOF'!B$2,'Report-SOF1819'!D$102,0)</f>
        <v>0</v>
      </c>
      <c r="G958" s="1037">
        <f>IF(A958='Data Entry - SOF'!B$2,'Data Entry - SOF'!E$102,0)</f>
        <v>0</v>
      </c>
      <c r="H958" s="1038">
        <f t="shared" si="86"/>
        <v>18053641</v>
      </c>
      <c r="I958" s="944">
        <f>IF(A958='Data Entry - SOF'!B$2,'Report-SOF1920-HB3'!D$102,0)</f>
        <v>0</v>
      </c>
      <c r="J958" s="1037">
        <f>IF(A958='Data Entry - SOF'!B$2,'Data Entry - SOF'!G$102,0)</f>
        <v>0</v>
      </c>
      <c r="K958" s="717">
        <f t="shared" si="87"/>
        <v>18053641</v>
      </c>
      <c r="L958" s="944">
        <f>IF(A958='Data Entry - SOF'!B$2,'Report-SOF2021'!D$99,0)</f>
        <v>0</v>
      </c>
      <c r="M958" s="723">
        <f>IF(A958='Data Entry - SOF'!B$2,'Data Entry - SOF'!M$102,0)</f>
        <v>0</v>
      </c>
      <c r="N958" s="717">
        <f t="shared" si="88"/>
        <v>18053641</v>
      </c>
      <c r="O958" s="944">
        <f>IF(A958='Data Entry - SOF'!B$2,'Report-SOF2122'!D$91,0)</f>
        <v>0</v>
      </c>
      <c r="P958" s="723">
        <f>IF(A958='Data Entry - SOF'!B$2,'Data Entry - SOF'!O$102,0)</f>
        <v>0</v>
      </c>
      <c r="Q958" s="601">
        <f t="shared" si="85"/>
        <v>18053641</v>
      </c>
      <c r="R958" s="944">
        <f>IF(A958='Data Entry - SOF'!B$2,'Report-SOF2223'!D$91,0)</f>
        <v>0</v>
      </c>
      <c r="S958" s="723">
        <f>IF(A958='Data Entry - SOF'!B$2,'Data Entry - SOF'!Q$102,0)</f>
        <v>0</v>
      </c>
      <c r="T958" s="601">
        <f t="shared" si="89"/>
        <v>18053641</v>
      </c>
      <c r="U958" s="944">
        <f>IF(A958='Data Entry - SOF'!B$2,'Report-SOF2324'!D$91,0)</f>
        <v>0</v>
      </c>
      <c r="V958" s="723">
        <f>IF(A958='Data Entry - SOF'!B$2,'Data Entry - SOF'!S$102,0)</f>
        <v>0</v>
      </c>
    </row>
    <row r="959" spans="1:22" ht="15.75">
      <c r="A959" s="382" t="s">
        <v>2340</v>
      </c>
      <c r="B959" s="91">
        <v>4588244</v>
      </c>
      <c r="C959" s="944">
        <f>IF(A959='Data Entry - SOF'!B$2,'Report-SOF1718'!D$102,0)</f>
        <v>0</v>
      </c>
      <c r="D959" s="1037">
        <f>IF(A959='Data Entry - SOF'!B$2,'Data Entry - SOF'!#REF!,0)</f>
        <v>0</v>
      </c>
      <c r="E959" s="91">
        <f t="shared" si="84"/>
        <v>4588244</v>
      </c>
      <c r="F959" s="944">
        <f>IF(A959='Data Entry - SOF'!B$2,'Report-SOF1819'!D$102,0)</f>
        <v>0</v>
      </c>
      <c r="G959" s="1037">
        <f>IF(A959='Data Entry - SOF'!B$2,'Data Entry - SOF'!E$102,0)</f>
        <v>0</v>
      </c>
      <c r="H959" s="1038">
        <f t="shared" si="86"/>
        <v>4588244</v>
      </c>
      <c r="I959" s="944">
        <f>IF(A959='Data Entry - SOF'!B$2,'Report-SOF1920-HB3'!D$102,0)</f>
        <v>0</v>
      </c>
      <c r="J959" s="1037">
        <f>IF(A959='Data Entry - SOF'!B$2,'Data Entry - SOF'!G$102,0)</f>
        <v>0</v>
      </c>
      <c r="K959" s="717">
        <f t="shared" si="87"/>
        <v>4588244</v>
      </c>
      <c r="L959" s="944">
        <f>IF(A959='Data Entry - SOF'!B$2,'Report-SOF2021'!D$99,0)</f>
        <v>0</v>
      </c>
      <c r="M959" s="723">
        <f>IF(A959='Data Entry - SOF'!B$2,'Data Entry - SOF'!M$102,0)</f>
        <v>0</v>
      </c>
      <c r="N959" s="717">
        <f t="shared" si="88"/>
        <v>4588244</v>
      </c>
      <c r="O959" s="944">
        <f>IF(A959='Data Entry - SOF'!B$2,'Report-SOF2122'!D$91,0)</f>
        <v>0</v>
      </c>
      <c r="P959" s="723">
        <f>IF(A959='Data Entry - SOF'!B$2,'Data Entry - SOF'!O$102,0)</f>
        <v>0</v>
      </c>
      <c r="Q959" s="601">
        <f t="shared" si="85"/>
        <v>4588244</v>
      </c>
      <c r="R959" s="944">
        <f>IF(A959='Data Entry - SOF'!B$2,'Report-SOF2223'!D$91,0)</f>
        <v>0</v>
      </c>
      <c r="S959" s="723">
        <f>IF(A959='Data Entry - SOF'!B$2,'Data Entry - SOF'!Q$102,0)</f>
        <v>0</v>
      </c>
      <c r="T959" s="601">
        <f t="shared" si="89"/>
        <v>4588244</v>
      </c>
      <c r="U959" s="944">
        <f>IF(A959='Data Entry - SOF'!B$2,'Report-SOF2324'!D$91,0)</f>
        <v>0</v>
      </c>
      <c r="V959" s="723">
        <f>IF(A959='Data Entry - SOF'!B$2,'Data Entry - SOF'!S$102,0)</f>
        <v>0</v>
      </c>
    </row>
    <row r="960" spans="1:22" ht="15.75">
      <c r="A960" s="382" t="s">
        <v>1768</v>
      </c>
      <c r="B960" s="91">
        <v>5962625</v>
      </c>
      <c r="C960" s="944">
        <f>IF(A960='Data Entry - SOF'!B$2,'Report-SOF1718'!D$102,0)</f>
        <v>0</v>
      </c>
      <c r="D960" s="1037">
        <f>IF(A960='Data Entry - SOF'!B$2,'Data Entry - SOF'!#REF!,0)</f>
        <v>0</v>
      </c>
      <c r="E960" s="91">
        <f t="shared" si="84"/>
        <v>5962625</v>
      </c>
      <c r="F960" s="944">
        <f>IF(A960='Data Entry - SOF'!B$2,'Report-SOF1819'!D$102,0)</f>
        <v>0</v>
      </c>
      <c r="G960" s="1037">
        <f>IF(A960='Data Entry - SOF'!B$2,'Data Entry - SOF'!E$102,0)</f>
        <v>0</v>
      </c>
      <c r="H960" s="1038">
        <f t="shared" si="86"/>
        <v>5962625</v>
      </c>
      <c r="I960" s="944">
        <f>IF(A960='Data Entry - SOF'!B$2,'Report-SOF1920-HB3'!D$102,0)</f>
        <v>0</v>
      </c>
      <c r="J960" s="1037">
        <f>IF(A960='Data Entry - SOF'!B$2,'Data Entry - SOF'!G$102,0)</f>
        <v>0</v>
      </c>
      <c r="K960" s="717">
        <f t="shared" si="87"/>
        <v>5962625</v>
      </c>
      <c r="L960" s="944">
        <f>IF(A960='Data Entry - SOF'!B$2,'Report-SOF2021'!D$99,0)</f>
        <v>0</v>
      </c>
      <c r="M960" s="723">
        <f>IF(A960='Data Entry - SOF'!B$2,'Data Entry - SOF'!M$102,0)</f>
        <v>0</v>
      </c>
      <c r="N960" s="717">
        <f t="shared" si="88"/>
        <v>5962625</v>
      </c>
      <c r="O960" s="944">
        <f>IF(A960='Data Entry - SOF'!B$2,'Report-SOF2122'!D$91,0)</f>
        <v>0</v>
      </c>
      <c r="P960" s="723">
        <f>IF(A960='Data Entry - SOF'!B$2,'Data Entry - SOF'!O$102,0)</f>
        <v>0</v>
      </c>
      <c r="Q960" s="601">
        <f t="shared" si="85"/>
        <v>5962625</v>
      </c>
      <c r="R960" s="944">
        <f>IF(A960='Data Entry - SOF'!B$2,'Report-SOF2223'!D$91,0)</f>
        <v>0</v>
      </c>
      <c r="S960" s="723">
        <f>IF(A960='Data Entry - SOF'!B$2,'Data Entry - SOF'!Q$102,0)</f>
        <v>0</v>
      </c>
      <c r="T960" s="601">
        <f t="shared" si="89"/>
        <v>5962625</v>
      </c>
      <c r="U960" s="944">
        <f>IF(A960='Data Entry - SOF'!B$2,'Report-SOF2324'!D$91,0)</f>
        <v>0</v>
      </c>
      <c r="V960" s="723">
        <f>IF(A960='Data Entry - SOF'!B$2,'Data Entry - SOF'!S$102,0)</f>
        <v>0</v>
      </c>
    </row>
    <row r="961" spans="1:22" ht="15.75">
      <c r="A961" s="382" t="s">
        <v>1520</v>
      </c>
      <c r="B961" s="91">
        <v>57500806</v>
      </c>
      <c r="C961" s="944">
        <f>IF(A961='Data Entry - SOF'!B$2,'Report-SOF1718'!D$102,0)</f>
        <v>0</v>
      </c>
      <c r="D961" s="1037">
        <f>IF(A961='Data Entry - SOF'!B$2,'Data Entry - SOF'!#REF!,0)</f>
        <v>0</v>
      </c>
      <c r="E961" s="91">
        <f t="shared" si="84"/>
        <v>57500806</v>
      </c>
      <c r="F961" s="944">
        <f>IF(A961='Data Entry - SOF'!B$2,'Report-SOF1819'!D$102,0)</f>
        <v>0</v>
      </c>
      <c r="G961" s="1037">
        <f>IF(A961='Data Entry - SOF'!B$2,'Data Entry - SOF'!E$102,0)</f>
        <v>0</v>
      </c>
      <c r="H961" s="1038">
        <f t="shared" si="86"/>
        <v>57500806</v>
      </c>
      <c r="I961" s="944">
        <f>IF(A961='Data Entry - SOF'!B$2,'Report-SOF1920-HB3'!D$102,0)</f>
        <v>0</v>
      </c>
      <c r="J961" s="1037">
        <f>IF(A961='Data Entry - SOF'!B$2,'Data Entry - SOF'!G$102,0)</f>
        <v>0</v>
      </c>
      <c r="K961" s="717">
        <f t="shared" si="87"/>
        <v>57500806</v>
      </c>
      <c r="L961" s="944">
        <f>IF(A961='Data Entry - SOF'!B$2,'Report-SOF2021'!D$99,0)</f>
        <v>0</v>
      </c>
      <c r="M961" s="723">
        <f>IF(A961='Data Entry - SOF'!B$2,'Data Entry - SOF'!M$102,0)</f>
        <v>0</v>
      </c>
      <c r="N961" s="717">
        <f t="shared" si="88"/>
        <v>57500806</v>
      </c>
      <c r="O961" s="944">
        <f>IF(A961='Data Entry - SOF'!B$2,'Report-SOF2122'!D$91,0)</f>
        <v>0</v>
      </c>
      <c r="P961" s="723">
        <f>IF(A961='Data Entry - SOF'!B$2,'Data Entry - SOF'!O$102,0)</f>
        <v>0</v>
      </c>
      <c r="Q961" s="601">
        <f t="shared" si="85"/>
        <v>57500806</v>
      </c>
      <c r="R961" s="944">
        <f>IF(A961='Data Entry - SOF'!B$2,'Report-SOF2223'!D$91,0)</f>
        <v>0</v>
      </c>
      <c r="S961" s="723">
        <f>IF(A961='Data Entry - SOF'!B$2,'Data Entry - SOF'!Q$102,0)</f>
        <v>0</v>
      </c>
      <c r="T961" s="601">
        <f t="shared" si="89"/>
        <v>57500806</v>
      </c>
      <c r="U961" s="944">
        <f>IF(A961='Data Entry - SOF'!B$2,'Report-SOF2324'!D$91,0)</f>
        <v>0</v>
      </c>
      <c r="V961" s="723">
        <f>IF(A961='Data Entry - SOF'!B$2,'Data Entry - SOF'!S$102,0)</f>
        <v>0</v>
      </c>
    </row>
    <row r="962" spans="1:22" ht="15.75">
      <c r="A962" s="382" t="s">
        <v>927</v>
      </c>
      <c r="B962" s="91">
        <v>10648558</v>
      </c>
      <c r="C962" s="944">
        <f>IF(A962='Data Entry - SOF'!B$2,'Report-SOF1718'!D$102,0)</f>
        <v>0</v>
      </c>
      <c r="D962" s="1037">
        <f>IF(A962='Data Entry - SOF'!B$2,'Data Entry - SOF'!#REF!,0)</f>
        <v>0</v>
      </c>
      <c r="E962" s="91">
        <f t="shared" si="84"/>
        <v>10648558</v>
      </c>
      <c r="F962" s="944">
        <f>IF(A962='Data Entry - SOF'!B$2,'Report-SOF1819'!D$102,0)</f>
        <v>0</v>
      </c>
      <c r="G962" s="1037">
        <f>IF(A962='Data Entry - SOF'!B$2,'Data Entry - SOF'!E$102,0)</f>
        <v>0</v>
      </c>
      <c r="H962" s="1038">
        <f t="shared" si="86"/>
        <v>10648558</v>
      </c>
      <c r="I962" s="944">
        <f>IF(A962='Data Entry - SOF'!B$2,'Report-SOF1920-HB3'!D$102,0)</f>
        <v>0</v>
      </c>
      <c r="J962" s="1037">
        <f>IF(A962='Data Entry - SOF'!B$2,'Data Entry - SOF'!G$102,0)</f>
        <v>0</v>
      </c>
      <c r="K962" s="717">
        <f t="shared" si="87"/>
        <v>10648558</v>
      </c>
      <c r="L962" s="944">
        <f>IF(A962='Data Entry - SOF'!B$2,'Report-SOF2021'!D$99,0)</f>
        <v>0</v>
      </c>
      <c r="M962" s="723">
        <f>IF(A962='Data Entry - SOF'!B$2,'Data Entry - SOF'!M$102,0)</f>
        <v>0</v>
      </c>
      <c r="N962" s="717">
        <f t="shared" si="88"/>
        <v>10648558</v>
      </c>
      <c r="O962" s="944">
        <f>IF(A962='Data Entry - SOF'!B$2,'Report-SOF2122'!D$91,0)</f>
        <v>0</v>
      </c>
      <c r="P962" s="723">
        <f>IF(A962='Data Entry - SOF'!B$2,'Data Entry - SOF'!O$102,0)</f>
        <v>0</v>
      </c>
      <c r="Q962" s="601">
        <f t="shared" si="85"/>
        <v>10648558</v>
      </c>
      <c r="R962" s="944">
        <f>IF(A962='Data Entry - SOF'!B$2,'Report-SOF2223'!D$91,0)</f>
        <v>0</v>
      </c>
      <c r="S962" s="723">
        <f>IF(A962='Data Entry - SOF'!B$2,'Data Entry - SOF'!Q$102,0)</f>
        <v>0</v>
      </c>
      <c r="T962" s="601">
        <f t="shared" si="89"/>
        <v>10648558</v>
      </c>
      <c r="U962" s="944">
        <f>IF(A962='Data Entry - SOF'!B$2,'Report-SOF2324'!D$91,0)</f>
        <v>0</v>
      </c>
      <c r="V962" s="723">
        <f>IF(A962='Data Entry - SOF'!B$2,'Data Entry - SOF'!S$102,0)</f>
        <v>0</v>
      </c>
    </row>
    <row r="963" spans="1:22" ht="15.75">
      <c r="A963" s="382" t="s">
        <v>928</v>
      </c>
      <c r="B963" s="91">
        <v>2408103</v>
      </c>
      <c r="C963" s="944">
        <f>IF(A963='Data Entry - SOF'!B$2,'Report-SOF1718'!D$102,0)</f>
        <v>0</v>
      </c>
      <c r="D963" s="1037">
        <f>IF(A963='Data Entry - SOF'!B$2,'Data Entry - SOF'!#REF!,0)</f>
        <v>0</v>
      </c>
      <c r="E963" s="91">
        <f t="shared" si="84"/>
        <v>2408103</v>
      </c>
      <c r="F963" s="944">
        <f>IF(A963='Data Entry - SOF'!B$2,'Report-SOF1819'!D$102,0)</f>
        <v>0</v>
      </c>
      <c r="G963" s="1037">
        <f>IF(A963='Data Entry - SOF'!B$2,'Data Entry - SOF'!E$102,0)</f>
        <v>0</v>
      </c>
      <c r="H963" s="1038">
        <f t="shared" si="86"/>
        <v>2408103</v>
      </c>
      <c r="I963" s="944">
        <f>IF(A963='Data Entry - SOF'!B$2,'Report-SOF1920-HB3'!D$102,0)</f>
        <v>0</v>
      </c>
      <c r="J963" s="1037">
        <f>IF(A963='Data Entry - SOF'!B$2,'Data Entry - SOF'!G$102,0)</f>
        <v>0</v>
      </c>
      <c r="K963" s="717">
        <f t="shared" si="87"/>
        <v>2408103</v>
      </c>
      <c r="L963" s="944">
        <f>IF(A963='Data Entry - SOF'!B$2,'Report-SOF2021'!D$99,0)</f>
        <v>0</v>
      </c>
      <c r="M963" s="723">
        <f>IF(A963='Data Entry - SOF'!B$2,'Data Entry - SOF'!M$102,0)</f>
        <v>0</v>
      </c>
      <c r="N963" s="717">
        <f t="shared" si="88"/>
        <v>2408103</v>
      </c>
      <c r="O963" s="944">
        <f>IF(A963='Data Entry - SOF'!B$2,'Report-SOF2122'!D$91,0)</f>
        <v>0</v>
      </c>
      <c r="P963" s="723">
        <f>IF(A963='Data Entry - SOF'!B$2,'Data Entry - SOF'!O$102,0)</f>
        <v>0</v>
      </c>
      <c r="Q963" s="601">
        <f t="shared" si="85"/>
        <v>2408103</v>
      </c>
      <c r="R963" s="944">
        <f>IF(A963='Data Entry - SOF'!B$2,'Report-SOF2223'!D$91,0)</f>
        <v>0</v>
      </c>
      <c r="S963" s="723">
        <f>IF(A963='Data Entry - SOF'!B$2,'Data Entry - SOF'!Q$102,0)</f>
        <v>0</v>
      </c>
      <c r="T963" s="601">
        <f t="shared" si="89"/>
        <v>2408103</v>
      </c>
      <c r="U963" s="944">
        <f>IF(A963='Data Entry - SOF'!B$2,'Report-SOF2324'!D$91,0)</f>
        <v>0</v>
      </c>
      <c r="V963" s="723">
        <f>IF(A963='Data Entry - SOF'!B$2,'Data Entry - SOF'!S$102,0)</f>
        <v>0</v>
      </c>
    </row>
    <row r="964" spans="1:22" ht="15.75">
      <c r="A964" s="382" t="s">
        <v>929</v>
      </c>
      <c r="B964" s="91">
        <v>3612498</v>
      </c>
      <c r="C964" s="944">
        <f>IF(A964='Data Entry - SOF'!B$2,'Report-SOF1718'!D$102,0)</f>
        <v>0</v>
      </c>
      <c r="D964" s="1037">
        <f>IF(A964='Data Entry - SOF'!B$2,'Data Entry - SOF'!#REF!,0)</f>
        <v>0</v>
      </c>
      <c r="E964" s="91">
        <f t="shared" ref="E964:E1021" si="90">IF(B964+C964-D964&lt;=0,0,B964+C964-D964)</f>
        <v>3612498</v>
      </c>
      <c r="F964" s="944">
        <f>IF(A964='Data Entry - SOF'!B$2,'Report-SOF1819'!D$102,0)</f>
        <v>0</v>
      </c>
      <c r="G964" s="1037">
        <f>IF(A964='Data Entry - SOF'!B$2,'Data Entry - SOF'!E$102,0)</f>
        <v>0</v>
      </c>
      <c r="H964" s="1038">
        <f t="shared" si="86"/>
        <v>3612498</v>
      </c>
      <c r="I964" s="944">
        <f>IF(A964='Data Entry - SOF'!B$2,'Report-SOF1920-HB3'!D$102,0)</f>
        <v>0</v>
      </c>
      <c r="J964" s="1037">
        <f>IF(A964='Data Entry - SOF'!B$2,'Data Entry - SOF'!G$102,0)</f>
        <v>0</v>
      </c>
      <c r="K964" s="717">
        <f t="shared" si="87"/>
        <v>3612498</v>
      </c>
      <c r="L964" s="944">
        <f>IF(A964='Data Entry - SOF'!B$2,'Report-SOF2021'!D$99,0)</f>
        <v>0</v>
      </c>
      <c r="M964" s="723">
        <f>IF(A964='Data Entry - SOF'!B$2,'Data Entry - SOF'!M$102,0)</f>
        <v>0</v>
      </c>
      <c r="N964" s="717">
        <f t="shared" si="88"/>
        <v>3612498</v>
      </c>
      <c r="O964" s="944">
        <f>IF(A964='Data Entry - SOF'!B$2,'Report-SOF2122'!D$91,0)</f>
        <v>0</v>
      </c>
      <c r="P964" s="723">
        <f>IF(A964='Data Entry - SOF'!B$2,'Data Entry - SOF'!O$102,0)</f>
        <v>0</v>
      </c>
      <c r="Q964" s="601">
        <f t="shared" ref="Q964:Q1021" si="91">IF(N964+O964-P964&lt;=0,0,N964+O964-P964)</f>
        <v>3612498</v>
      </c>
      <c r="R964" s="944">
        <f>IF(A964='Data Entry - SOF'!B$2,'Report-SOF2223'!D$91,0)</f>
        <v>0</v>
      </c>
      <c r="S964" s="723">
        <f>IF(A964='Data Entry - SOF'!B$2,'Data Entry - SOF'!Q$102,0)</f>
        <v>0</v>
      </c>
      <c r="T964" s="601">
        <f t="shared" si="89"/>
        <v>3612498</v>
      </c>
      <c r="U964" s="944">
        <f>IF(A964='Data Entry - SOF'!B$2,'Report-SOF2324'!D$91,0)</f>
        <v>0</v>
      </c>
      <c r="V964" s="723">
        <f>IF(A964='Data Entry - SOF'!B$2,'Data Entry - SOF'!S$102,0)</f>
        <v>0</v>
      </c>
    </row>
    <row r="965" spans="1:22" ht="15.75">
      <c r="A965" s="382" t="s">
        <v>571</v>
      </c>
      <c r="B965" s="91">
        <v>6206805</v>
      </c>
      <c r="C965" s="944">
        <f>IF(A965='Data Entry - SOF'!B$2,'Report-SOF1718'!D$102,0)</f>
        <v>0</v>
      </c>
      <c r="D965" s="1037">
        <f>IF(A965='Data Entry - SOF'!B$2,'Data Entry - SOF'!#REF!,0)</f>
        <v>0</v>
      </c>
      <c r="E965" s="91">
        <f t="shared" si="90"/>
        <v>6206805</v>
      </c>
      <c r="F965" s="944">
        <f>IF(A965='Data Entry - SOF'!B$2,'Report-SOF1819'!D$102,0)</f>
        <v>0</v>
      </c>
      <c r="G965" s="1037">
        <f>IF(A965='Data Entry - SOF'!B$2,'Data Entry - SOF'!E$102,0)</f>
        <v>0</v>
      </c>
      <c r="H965" s="1038">
        <f t="shared" ref="H965:H1021" si="92">IF(E965+F965-G965&lt;=0,0,E965+F965-G965)</f>
        <v>6206805</v>
      </c>
      <c r="I965" s="944">
        <f>IF(A965='Data Entry - SOF'!B$2,'Report-SOF1920-HB3'!D$102,0)</f>
        <v>0</v>
      </c>
      <c r="J965" s="1037">
        <f>IF(A965='Data Entry - SOF'!B$2,'Data Entry - SOF'!G$102,0)</f>
        <v>0</v>
      </c>
      <c r="K965" s="717">
        <f t="shared" ref="K965:K1021" si="93">IF(H965+I965-J965&lt;=0,0,H965+I965-J965)</f>
        <v>6206805</v>
      </c>
      <c r="L965" s="944">
        <f>IF(A965='Data Entry - SOF'!B$2,'Report-SOF2021'!D$99,0)</f>
        <v>0</v>
      </c>
      <c r="M965" s="723">
        <f>IF(A965='Data Entry - SOF'!B$2,'Data Entry - SOF'!M$102,0)</f>
        <v>0</v>
      </c>
      <c r="N965" s="717">
        <f t="shared" ref="N965:N1021" si="94">IF(K965+L965-M965&lt;=0,0,K965+L965-M965)</f>
        <v>6206805</v>
      </c>
      <c r="O965" s="944">
        <f>IF(A965='Data Entry - SOF'!B$2,'Report-SOF2122'!D$91,0)</f>
        <v>0</v>
      </c>
      <c r="P965" s="723">
        <f>IF(A965='Data Entry - SOF'!B$2,'Data Entry - SOF'!O$102,0)</f>
        <v>0</v>
      </c>
      <c r="Q965" s="601">
        <f t="shared" si="91"/>
        <v>6206805</v>
      </c>
      <c r="R965" s="944">
        <f>IF(A965='Data Entry - SOF'!B$2,'Report-SOF2223'!D$91,0)</f>
        <v>0</v>
      </c>
      <c r="S965" s="723">
        <f>IF(A965='Data Entry - SOF'!B$2,'Data Entry - SOF'!Q$102,0)</f>
        <v>0</v>
      </c>
      <c r="T965" s="601">
        <f t="shared" ref="T965:T1021" si="95">IF(P965+Q965-S965&lt;=0,0,P965+Q965-S965)</f>
        <v>6206805</v>
      </c>
      <c r="U965" s="944">
        <f>IF(A965='Data Entry - SOF'!B$2,'Report-SOF2324'!D$91,0)</f>
        <v>0</v>
      </c>
      <c r="V965" s="723">
        <f>IF(A965='Data Entry - SOF'!B$2,'Data Entry - SOF'!S$102,0)</f>
        <v>0</v>
      </c>
    </row>
    <row r="966" spans="1:22" ht="15.75">
      <c r="A966" s="382" t="s">
        <v>902</v>
      </c>
      <c r="B966" s="91">
        <v>10103819</v>
      </c>
      <c r="C966" s="944">
        <f>IF(A966='Data Entry - SOF'!B$2,'Report-SOF1718'!D$102,0)</f>
        <v>0</v>
      </c>
      <c r="D966" s="1037">
        <f>IF(A966='Data Entry - SOF'!B$2,'Data Entry - SOF'!#REF!,0)</f>
        <v>0</v>
      </c>
      <c r="E966" s="91">
        <f t="shared" si="90"/>
        <v>10103819</v>
      </c>
      <c r="F966" s="944">
        <f>IF(A966='Data Entry - SOF'!B$2,'Report-SOF1819'!D$102,0)</f>
        <v>0</v>
      </c>
      <c r="G966" s="1037">
        <f>IF(A966='Data Entry - SOF'!B$2,'Data Entry - SOF'!E$102,0)</f>
        <v>0</v>
      </c>
      <c r="H966" s="1038">
        <f t="shared" si="92"/>
        <v>10103819</v>
      </c>
      <c r="I966" s="944">
        <f>IF(A966='Data Entry - SOF'!B$2,'Report-SOF1920-HB3'!D$102,0)</f>
        <v>0</v>
      </c>
      <c r="J966" s="1037">
        <f>IF(A966='Data Entry - SOF'!B$2,'Data Entry - SOF'!G$102,0)</f>
        <v>0</v>
      </c>
      <c r="K966" s="717">
        <f t="shared" si="93"/>
        <v>10103819</v>
      </c>
      <c r="L966" s="944">
        <f>IF(A966='Data Entry - SOF'!B$2,'Report-SOF2021'!D$99,0)</f>
        <v>0</v>
      </c>
      <c r="M966" s="723">
        <f>IF(A966='Data Entry - SOF'!B$2,'Data Entry - SOF'!M$102,0)</f>
        <v>0</v>
      </c>
      <c r="N966" s="717">
        <f t="shared" si="94"/>
        <v>10103819</v>
      </c>
      <c r="O966" s="944">
        <f>IF(A966='Data Entry - SOF'!B$2,'Report-SOF2122'!D$91,0)</f>
        <v>0</v>
      </c>
      <c r="P966" s="723">
        <f>IF(A966='Data Entry - SOF'!B$2,'Data Entry - SOF'!O$102,0)</f>
        <v>0</v>
      </c>
      <c r="Q966" s="601">
        <f t="shared" si="91"/>
        <v>10103819</v>
      </c>
      <c r="R966" s="944">
        <f>IF(A966='Data Entry - SOF'!B$2,'Report-SOF2223'!D$91,0)</f>
        <v>0</v>
      </c>
      <c r="S966" s="723">
        <f>IF(A966='Data Entry - SOF'!B$2,'Data Entry - SOF'!Q$102,0)</f>
        <v>0</v>
      </c>
      <c r="T966" s="601">
        <f t="shared" si="95"/>
        <v>10103819</v>
      </c>
      <c r="U966" s="944">
        <f>IF(A966='Data Entry - SOF'!B$2,'Report-SOF2324'!D$91,0)</f>
        <v>0</v>
      </c>
      <c r="V966" s="723">
        <f>IF(A966='Data Entry - SOF'!B$2,'Data Entry - SOF'!S$102,0)</f>
        <v>0</v>
      </c>
    </row>
    <row r="967" spans="1:22" ht="15.75">
      <c r="A967" s="382" t="s">
        <v>903</v>
      </c>
      <c r="B967" s="91">
        <v>1952897</v>
      </c>
      <c r="C967" s="944">
        <f>IF(A967='Data Entry - SOF'!B$2,'Report-SOF1718'!D$102,0)</f>
        <v>0</v>
      </c>
      <c r="D967" s="1037">
        <f>IF(A967='Data Entry - SOF'!B$2,'Data Entry - SOF'!#REF!,0)</f>
        <v>0</v>
      </c>
      <c r="E967" s="91">
        <f t="shared" si="90"/>
        <v>1952897</v>
      </c>
      <c r="F967" s="944">
        <f>IF(A967='Data Entry - SOF'!B$2,'Report-SOF1819'!D$102,0)</f>
        <v>0</v>
      </c>
      <c r="G967" s="1037">
        <f>IF(A967='Data Entry - SOF'!B$2,'Data Entry - SOF'!E$102,0)</f>
        <v>0</v>
      </c>
      <c r="H967" s="1038">
        <f t="shared" si="92"/>
        <v>1952897</v>
      </c>
      <c r="I967" s="944">
        <f>IF(A967='Data Entry - SOF'!B$2,'Report-SOF1920-HB3'!D$102,0)</f>
        <v>0</v>
      </c>
      <c r="J967" s="1037">
        <f>IF(A967='Data Entry - SOF'!B$2,'Data Entry - SOF'!G$102,0)</f>
        <v>0</v>
      </c>
      <c r="K967" s="717">
        <f t="shared" si="93"/>
        <v>1952897</v>
      </c>
      <c r="L967" s="944">
        <f>IF(A967='Data Entry - SOF'!B$2,'Report-SOF2021'!D$99,0)</f>
        <v>0</v>
      </c>
      <c r="M967" s="723">
        <f>IF(A967='Data Entry - SOF'!B$2,'Data Entry - SOF'!M$102,0)</f>
        <v>0</v>
      </c>
      <c r="N967" s="717">
        <f t="shared" si="94"/>
        <v>1952897</v>
      </c>
      <c r="O967" s="944">
        <f>IF(A967='Data Entry - SOF'!B$2,'Report-SOF2122'!D$91,0)</f>
        <v>0</v>
      </c>
      <c r="P967" s="723">
        <f>IF(A967='Data Entry - SOF'!B$2,'Data Entry - SOF'!O$102,0)</f>
        <v>0</v>
      </c>
      <c r="Q967" s="601">
        <f t="shared" si="91"/>
        <v>1952897</v>
      </c>
      <c r="R967" s="944">
        <f>IF(A967='Data Entry - SOF'!B$2,'Report-SOF2223'!D$91,0)</f>
        <v>0</v>
      </c>
      <c r="S967" s="723">
        <f>IF(A967='Data Entry - SOF'!B$2,'Data Entry - SOF'!Q$102,0)</f>
        <v>0</v>
      </c>
      <c r="T967" s="601">
        <f t="shared" si="95"/>
        <v>1952897</v>
      </c>
      <c r="U967" s="944">
        <f>IF(A967='Data Entry - SOF'!B$2,'Report-SOF2324'!D$91,0)</f>
        <v>0</v>
      </c>
      <c r="V967" s="723">
        <f>IF(A967='Data Entry - SOF'!B$2,'Data Entry - SOF'!S$102,0)</f>
        <v>0</v>
      </c>
    </row>
    <row r="968" spans="1:22" ht="15.75">
      <c r="A968" s="382" t="s">
        <v>904</v>
      </c>
      <c r="B968" s="91">
        <v>978457</v>
      </c>
      <c r="C968" s="944">
        <f>IF(A968='Data Entry - SOF'!B$2,'Report-SOF1718'!D$102,0)</f>
        <v>0</v>
      </c>
      <c r="D968" s="1037">
        <f>IF(A968='Data Entry - SOF'!B$2,'Data Entry - SOF'!#REF!,0)</f>
        <v>0</v>
      </c>
      <c r="E968" s="91">
        <f t="shared" si="90"/>
        <v>978457</v>
      </c>
      <c r="F968" s="944">
        <f>IF(A968='Data Entry - SOF'!B$2,'Report-SOF1819'!D$102,0)</f>
        <v>0</v>
      </c>
      <c r="G968" s="1037">
        <f>IF(A968='Data Entry - SOF'!B$2,'Data Entry - SOF'!E$102,0)</f>
        <v>0</v>
      </c>
      <c r="H968" s="1038">
        <f t="shared" si="92"/>
        <v>978457</v>
      </c>
      <c r="I968" s="944">
        <f>IF(A968='Data Entry - SOF'!B$2,'Report-SOF1920-HB3'!D$102,0)</f>
        <v>0</v>
      </c>
      <c r="J968" s="1037">
        <f>IF(A968='Data Entry - SOF'!B$2,'Data Entry - SOF'!G$102,0)</f>
        <v>0</v>
      </c>
      <c r="K968" s="717">
        <f t="shared" si="93"/>
        <v>978457</v>
      </c>
      <c r="L968" s="944">
        <f>IF(A968='Data Entry - SOF'!B$2,'Report-SOF2021'!D$99,0)</f>
        <v>0</v>
      </c>
      <c r="M968" s="723">
        <f>IF(A968='Data Entry - SOF'!B$2,'Data Entry - SOF'!M$102,0)</f>
        <v>0</v>
      </c>
      <c r="N968" s="717">
        <f t="shared" si="94"/>
        <v>978457</v>
      </c>
      <c r="O968" s="944">
        <f>IF(A968='Data Entry - SOF'!B$2,'Report-SOF2122'!D$91,0)</f>
        <v>0</v>
      </c>
      <c r="P968" s="723">
        <f>IF(A968='Data Entry - SOF'!B$2,'Data Entry - SOF'!O$102,0)</f>
        <v>0</v>
      </c>
      <c r="Q968" s="601">
        <f t="shared" si="91"/>
        <v>978457</v>
      </c>
      <c r="R968" s="944">
        <f>IF(A968='Data Entry - SOF'!B$2,'Report-SOF2223'!D$91,0)</f>
        <v>0</v>
      </c>
      <c r="S968" s="723">
        <f>IF(A968='Data Entry - SOF'!B$2,'Data Entry - SOF'!Q$102,0)</f>
        <v>0</v>
      </c>
      <c r="T968" s="601">
        <f t="shared" si="95"/>
        <v>978457</v>
      </c>
      <c r="U968" s="944">
        <f>IF(A968='Data Entry - SOF'!B$2,'Report-SOF2324'!D$91,0)</f>
        <v>0</v>
      </c>
      <c r="V968" s="723">
        <f>IF(A968='Data Entry - SOF'!B$2,'Data Entry - SOF'!S$102,0)</f>
        <v>0</v>
      </c>
    </row>
    <row r="969" spans="1:22" ht="15.75">
      <c r="A969" s="382" t="s">
        <v>905</v>
      </c>
      <c r="B969" s="91">
        <v>5917213.7713487698</v>
      </c>
      <c r="C969" s="944">
        <f>IF(A969='Data Entry - SOF'!B$2,'Report-SOF1718'!D$102,0)</f>
        <v>0</v>
      </c>
      <c r="D969" s="1037">
        <f>IF(A969='Data Entry - SOF'!B$2,'Data Entry - SOF'!#REF!,0)</f>
        <v>0</v>
      </c>
      <c r="E969" s="91">
        <f t="shared" si="90"/>
        <v>5917213.7713487698</v>
      </c>
      <c r="F969" s="944">
        <f>IF(A969='Data Entry - SOF'!B$2,'Report-SOF1819'!D$102,0)</f>
        <v>0</v>
      </c>
      <c r="G969" s="1037">
        <f>IF(A969='Data Entry - SOF'!B$2,'Data Entry - SOF'!E$102,0)</f>
        <v>0</v>
      </c>
      <c r="H969" s="1038">
        <f t="shared" si="92"/>
        <v>5917213.7713487698</v>
      </c>
      <c r="I969" s="944">
        <f>IF(A969='Data Entry - SOF'!B$2,'Report-SOF1920-HB3'!D$102,0)</f>
        <v>0</v>
      </c>
      <c r="J969" s="1037">
        <f>IF(A969='Data Entry - SOF'!B$2,'Data Entry - SOF'!G$102,0)</f>
        <v>0</v>
      </c>
      <c r="K969" s="717">
        <f t="shared" si="93"/>
        <v>5917213.7713487698</v>
      </c>
      <c r="L969" s="944">
        <f>IF(A969='Data Entry - SOF'!B$2,'Report-SOF2021'!D$99,0)</f>
        <v>0</v>
      </c>
      <c r="M969" s="723">
        <f>IF(A969='Data Entry - SOF'!B$2,'Data Entry - SOF'!M$102,0)</f>
        <v>0</v>
      </c>
      <c r="N969" s="717">
        <f t="shared" si="94"/>
        <v>5917213.7713487698</v>
      </c>
      <c r="O969" s="944">
        <f>IF(A969='Data Entry - SOF'!B$2,'Report-SOF2122'!D$91,0)</f>
        <v>0</v>
      </c>
      <c r="P969" s="723">
        <f>IF(A969='Data Entry - SOF'!B$2,'Data Entry - SOF'!O$102,0)</f>
        <v>0</v>
      </c>
      <c r="Q969" s="601">
        <f t="shared" si="91"/>
        <v>5917213.7713487698</v>
      </c>
      <c r="R969" s="944">
        <f>IF(A969='Data Entry - SOF'!B$2,'Report-SOF2223'!D$91,0)</f>
        <v>0</v>
      </c>
      <c r="S969" s="723">
        <f>IF(A969='Data Entry - SOF'!B$2,'Data Entry - SOF'!Q$102,0)</f>
        <v>0</v>
      </c>
      <c r="T969" s="601">
        <f t="shared" si="95"/>
        <v>5917213.7713487698</v>
      </c>
      <c r="U969" s="944">
        <f>IF(A969='Data Entry - SOF'!B$2,'Report-SOF2324'!D$91,0)</f>
        <v>0</v>
      </c>
      <c r="V969" s="723">
        <f>IF(A969='Data Entry - SOF'!B$2,'Data Entry - SOF'!S$102,0)</f>
        <v>0</v>
      </c>
    </row>
    <row r="970" spans="1:22" ht="15.75">
      <c r="A970" s="382" t="s">
        <v>1724</v>
      </c>
      <c r="B970" s="91">
        <v>4564059</v>
      </c>
      <c r="C970" s="944">
        <f>IF(A970='Data Entry - SOF'!B$2,'Report-SOF1718'!D$102,0)</f>
        <v>0</v>
      </c>
      <c r="D970" s="1037">
        <f>IF(A970='Data Entry - SOF'!B$2,'Data Entry - SOF'!#REF!,0)</f>
        <v>0</v>
      </c>
      <c r="E970" s="91">
        <f t="shared" si="90"/>
        <v>4564059</v>
      </c>
      <c r="F970" s="944">
        <f>IF(A970='Data Entry - SOF'!B$2,'Report-SOF1819'!D$102,0)</f>
        <v>0</v>
      </c>
      <c r="G970" s="1037">
        <f>IF(A970='Data Entry - SOF'!B$2,'Data Entry - SOF'!E$102,0)</f>
        <v>0</v>
      </c>
      <c r="H970" s="1038">
        <f t="shared" si="92"/>
        <v>4564059</v>
      </c>
      <c r="I970" s="944">
        <f>IF(A970='Data Entry - SOF'!B$2,'Report-SOF1920-HB3'!D$102,0)</f>
        <v>0</v>
      </c>
      <c r="J970" s="1037">
        <f>IF(A970='Data Entry - SOF'!B$2,'Data Entry - SOF'!G$102,0)</f>
        <v>0</v>
      </c>
      <c r="K970" s="717">
        <f t="shared" si="93"/>
        <v>4564059</v>
      </c>
      <c r="L970" s="944">
        <f>IF(A970='Data Entry - SOF'!B$2,'Report-SOF2021'!D$99,0)</f>
        <v>0</v>
      </c>
      <c r="M970" s="723">
        <f>IF(A970='Data Entry - SOF'!B$2,'Data Entry - SOF'!M$102,0)</f>
        <v>0</v>
      </c>
      <c r="N970" s="717">
        <f t="shared" si="94"/>
        <v>4564059</v>
      </c>
      <c r="O970" s="944">
        <f>IF(A970='Data Entry - SOF'!B$2,'Report-SOF2122'!D$91,0)</f>
        <v>0</v>
      </c>
      <c r="P970" s="723">
        <f>IF(A970='Data Entry - SOF'!B$2,'Data Entry - SOF'!O$102,0)</f>
        <v>0</v>
      </c>
      <c r="Q970" s="601">
        <f t="shared" si="91"/>
        <v>4564059</v>
      </c>
      <c r="R970" s="944">
        <f>IF(A970='Data Entry - SOF'!B$2,'Report-SOF2223'!D$91,0)</f>
        <v>0</v>
      </c>
      <c r="S970" s="723">
        <f>IF(A970='Data Entry - SOF'!B$2,'Data Entry - SOF'!Q$102,0)</f>
        <v>0</v>
      </c>
      <c r="T970" s="601">
        <f t="shared" si="95"/>
        <v>4564059</v>
      </c>
      <c r="U970" s="944">
        <f>IF(A970='Data Entry - SOF'!B$2,'Report-SOF2324'!D$91,0)</f>
        <v>0</v>
      </c>
      <c r="V970" s="723">
        <f>IF(A970='Data Entry - SOF'!B$2,'Data Entry - SOF'!S$102,0)</f>
        <v>0</v>
      </c>
    </row>
    <row r="971" spans="1:22" ht="15.75">
      <c r="A971" s="382" t="s">
        <v>2319</v>
      </c>
      <c r="B971" s="91">
        <v>7990443</v>
      </c>
      <c r="C971" s="944">
        <f>IF(A971='Data Entry - SOF'!B$2,'Report-SOF1718'!D$102,0)</f>
        <v>0</v>
      </c>
      <c r="D971" s="1037">
        <f>IF(A971='Data Entry - SOF'!B$2,'Data Entry - SOF'!#REF!,0)</f>
        <v>0</v>
      </c>
      <c r="E971" s="91">
        <f t="shared" si="90"/>
        <v>7990443</v>
      </c>
      <c r="F971" s="944">
        <f>IF(A971='Data Entry - SOF'!B$2,'Report-SOF1819'!D$102,0)</f>
        <v>0</v>
      </c>
      <c r="G971" s="1037">
        <f>IF(A971='Data Entry - SOF'!B$2,'Data Entry - SOF'!E$102,0)</f>
        <v>0</v>
      </c>
      <c r="H971" s="1038">
        <f t="shared" si="92"/>
        <v>7990443</v>
      </c>
      <c r="I971" s="944">
        <f>IF(A971='Data Entry - SOF'!B$2,'Report-SOF1920-HB3'!D$102,0)</f>
        <v>0</v>
      </c>
      <c r="J971" s="1037">
        <f>IF(A971='Data Entry - SOF'!B$2,'Data Entry - SOF'!G$102,0)</f>
        <v>0</v>
      </c>
      <c r="K971" s="717">
        <f t="shared" si="93"/>
        <v>7990443</v>
      </c>
      <c r="L971" s="944">
        <f>IF(A971='Data Entry - SOF'!B$2,'Report-SOF2021'!D$99,0)</f>
        <v>0</v>
      </c>
      <c r="M971" s="723">
        <f>IF(A971='Data Entry - SOF'!B$2,'Data Entry - SOF'!M$102,0)</f>
        <v>0</v>
      </c>
      <c r="N971" s="717">
        <f t="shared" si="94"/>
        <v>7990443</v>
      </c>
      <c r="O971" s="944">
        <f>IF(A971='Data Entry - SOF'!B$2,'Report-SOF2122'!D$91,0)</f>
        <v>0</v>
      </c>
      <c r="P971" s="723">
        <f>IF(A971='Data Entry - SOF'!B$2,'Data Entry - SOF'!O$102,0)</f>
        <v>0</v>
      </c>
      <c r="Q971" s="601">
        <f t="shared" si="91"/>
        <v>7990443</v>
      </c>
      <c r="R971" s="944">
        <f>IF(A971='Data Entry - SOF'!B$2,'Report-SOF2223'!D$91,0)</f>
        <v>0</v>
      </c>
      <c r="S971" s="723">
        <f>IF(A971='Data Entry - SOF'!B$2,'Data Entry - SOF'!Q$102,0)</f>
        <v>0</v>
      </c>
      <c r="T971" s="601">
        <f t="shared" si="95"/>
        <v>7990443</v>
      </c>
      <c r="U971" s="944">
        <f>IF(A971='Data Entry - SOF'!B$2,'Report-SOF2324'!D$91,0)</f>
        <v>0</v>
      </c>
      <c r="V971" s="723">
        <f>IF(A971='Data Entry - SOF'!B$2,'Data Entry - SOF'!S$102,0)</f>
        <v>0</v>
      </c>
    </row>
    <row r="972" spans="1:22" ht="15.75">
      <c r="A972" s="382" t="s">
        <v>884</v>
      </c>
      <c r="B972" s="91">
        <v>5670160</v>
      </c>
      <c r="C972" s="944">
        <f>IF(A972='Data Entry - SOF'!B$2,'Report-SOF1718'!D$102,0)</f>
        <v>0</v>
      </c>
      <c r="D972" s="1037">
        <f>IF(A972='Data Entry - SOF'!B$2,'Data Entry - SOF'!#REF!,0)</f>
        <v>0</v>
      </c>
      <c r="E972" s="91">
        <f t="shared" si="90"/>
        <v>5670160</v>
      </c>
      <c r="F972" s="944">
        <f>IF(A972='Data Entry - SOF'!B$2,'Report-SOF1819'!D$102,0)</f>
        <v>0</v>
      </c>
      <c r="G972" s="1037">
        <f>IF(A972='Data Entry - SOF'!B$2,'Data Entry - SOF'!E$102,0)</f>
        <v>0</v>
      </c>
      <c r="H972" s="1038">
        <f t="shared" si="92"/>
        <v>5670160</v>
      </c>
      <c r="I972" s="944">
        <f>IF(A972='Data Entry - SOF'!B$2,'Report-SOF1920-HB3'!D$102,0)</f>
        <v>0</v>
      </c>
      <c r="J972" s="1037">
        <f>IF(A972='Data Entry - SOF'!B$2,'Data Entry - SOF'!G$102,0)</f>
        <v>0</v>
      </c>
      <c r="K972" s="717">
        <f t="shared" si="93"/>
        <v>5670160</v>
      </c>
      <c r="L972" s="944">
        <f>IF(A972='Data Entry - SOF'!B$2,'Report-SOF2021'!D$99,0)</f>
        <v>0</v>
      </c>
      <c r="M972" s="723">
        <f>IF(A972='Data Entry - SOF'!B$2,'Data Entry - SOF'!M$102,0)</f>
        <v>0</v>
      </c>
      <c r="N972" s="717">
        <f t="shared" si="94"/>
        <v>5670160</v>
      </c>
      <c r="O972" s="944">
        <f>IF(A972='Data Entry - SOF'!B$2,'Report-SOF2122'!D$91,0)</f>
        <v>0</v>
      </c>
      <c r="P972" s="723">
        <f>IF(A972='Data Entry - SOF'!B$2,'Data Entry - SOF'!O$102,0)</f>
        <v>0</v>
      </c>
      <c r="Q972" s="601">
        <f t="shared" si="91"/>
        <v>5670160</v>
      </c>
      <c r="R972" s="944">
        <f>IF(A972='Data Entry - SOF'!B$2,'Report-SOF2223'!D$91,0)</f>
        <v>0</v>
      </c>
      <c r="S972" s="723">
        <f>IF(A972='Data Entry - SOF'!B$2,'Data Entry - SOF'!Q$102,0)</f>
        <v>0</v>
      </c>
      <c r="T972" s="601">
        <f t="shared" si="95"/>
        <v>5670160</v>
      </c>
      <c r="U972" s="944">
        <f>IF(A972='Data Entry - SOF'!B$2,'Report-SOF2324'!D$91,0)</f>
        <v>0</v>
      </c>
      <c r="V972" s="723">
        <f>IF(A972='Data Entry - SOF'!B$2,'Data Entry - SOF'!S$102,0)</f>
        <v>0</v>
      </c>
    </row>
    <row r="973" spans="1:22" ht="15.75">
      <c r="A973" s="382" t="s">
        <v>1255</v>
      </c>
      <c r="B973" s="91">
        <v>4735906</v>
      </c>
      <c r="C973" s="944">
        <f>IF(A973='Data Entry - SOF'!B$2,'Report-SOF1718'!D$102,0)</f>
        <v>0</v>
      </c>
      <c r="D973" s="1037">
        <f>IF(A973='Data Entry - SOF'!B$2,'Data Entry - SOF'!#REF!,0)</f>
        <v>0</v>
      </c>
      <c r="E973" s="91">
        <f t="shared" si="90"/>
        <v>4735906</v>
      </c>
      <c r="F973" s="944">
        <f>IF(A973='Data Entry - SOF'!B$2,'Report-SOF1819'!D$102,0)</f>
        <v>0</v>
      </c>
      <c r="G973" s="1037">
        <f>IF(A973='Data Entry - SOF'!B$2,'Data Entry - SOF'!E$102,0)</f>
        <v>0</v>
      </c>
      <c r="H973" s="1038">
        <f t="shared" si="92"/>
        <v>4735906</v>
      </c>
      <c r="I973" s="944">
        <f>IF(A973='Data Entry - SOF'!B$2,'Report-SOF1920-HB3'!D$102,0)</f>
        <v>0</v>
      </c>
      <c r="J973" s="1037">
        <f>IF(A973='Data Entry - SOF'!B$2,'Data Entry - SOF'!G$102,0)</f>
        <v>0</v>
      </c>
      <c r="K973" s="717">
        <f t="shared" si="93"/>
        <v>4735906</v>
      </c>
      <c r="L973" s="944">
        <f>IF(A973='Data Entry - SOF'!B$2,'Report-SOF2021'!D$99,0)</f>
        <v>0</v>
      </c>
      <c r="M973" s="723">
        <f>IF(A973='Data Entry - SOF'!B$2,'Data Entry - SOF'!M$102,0)</f>
        <v>0</v>
      </c>
      <c r="N973" s="717">
        <f t="shared" si="94"/>
        <v>4735906</v>
      </c>
      <c r="O973" s="944">
        <f>IF(A973='Data Entry - SOF'!B$2,'Report-SOF2122'!D$91,0)</f>
        <v>0</v>
      </c>
      <c r="P973" s="723">
        <f>IF(A973='Data Entry - SOF'!B$2,'Data Entry - SOF'!O$102,0)</f>
        <v>0</v>
      </c>
      <c r="Q973" s="601">
        <f t="shared" si="91"/>
        <v>4735906</v>
      </c>
      <c r="R973" s="944">
        <f>IF(A973='Data Entry - SOF'!B$2,'Report-SOF2223'!D$91,0)</f>
        <v>0</v>
      </c>
      <c r="S973" s="723">
        <f>IF(A973='Data Entry - SOF'!B$2,'Data Entry - SOF'!Q$102,0)</f>
        <v>0</v>
      </c>
      <c r="T973" s="601">
        <f t="shared" si="95"/>
        <v>4735906</v>
      </c>
      <c r="U973" s="944">
        <f>IF(A973='Data Entry - SOF'!B$2,'Report-SOF2324'!D$91,0)</f>
        <v>0</v>
      </c>
      <c r="V973" s="723">
        <f>IF(A973='Data Entry - SOF'!B$2,'Data Entry - SOF'!S$102,0)</f>
        <v>0</v>
      </c>
    </row>
    <row r="974" spans="1:22" ht="15.75">
      <c r="A974" s="382" t="s">
        <v>642</v>
      </c>
      <c r="B974" s="91">
        <v>3750997</v>
      </c>
      <c r="C974" s="944">
        <f>IF(A974='Data Entry - SOF'!B$2,'Report-SOF1718'!D$102,0)</f>
        <v>0</v>
      </c>
      <c r="D974" s="1037">
        <f>IF(A974='Data Entry - SOF'!B$2,'Data Entry - SOF'!#REF!,0)</f>
        <v>0</v>
      </c>
      <c r="E974" s="91">
        <f t="shared" si="90"/>
        <v>3750997</v>
      </c>
      <c r="F974" s="944">
        <f>IF(A974='Data Entry - SOF'!B$2,'Report-SOF1819'!D$102,0)</f>
        <v>0</v>
      </c>
      <c r="G974" s="1037">
        <f>IF(A974='Data Entry - SOF'!B$2,'Data Entry - SOF'!E$102,0)</f>
        <v>0</v>
      </c>
      <c r="H974" s="1038">
        <f t="shared" si="92"/>
        <v>3750997</v>
      </c>
      <c r="I974" s="944">
        <f>IF(A974='Data Entry - SOF'!B$2,'Report-SOF1920-HB3'!D$102,0)</f>
        <v>0</v>
      </c>
      <c r="J974" s="1037">
        <f>IF(A974='Data Entry - SOF'!B$2,'Data Entry - SOF'!G$102,0)</f>
        <v>0</v>
      </c>
      <c r="K974" s="717">
        <f t="shared" si="93"/>
        <v>3750997</v>
      </c>
      <c r="L974" s="944">
        <f>IF(A974='Data Entry - SOF'!B$2,'Report-SOF2021'!D$99,0)</f>
        <v>0</v>
      </c>
      <c r="M974" s="723">
        <f>IF(A974='Data Entry - SOF'!B$2,'Data Entry - SOF'!M$102,0)</f>
        <v>0</v>
      </c>
      <c r="N974" s="717">
        <f t="shared" si="94"/>
        <v>3750997</v>
      </c>
      <c r="O974" s="944">
        <f>IF(A974='Data Entry - SOF'!B$2,'Report-SOF2122'!D$91,0)</f>
        <v>0</v>
      </c>
      <c r="P974" s="723">
        <f>IF(A974='Data Entry - SOF'!B$2,'Data Entry - SOF'!O$102,0)</f>
        <v>0</v>
      </c>
      <c r="Q974" s="601">
        <f t="shared" si="91"/>
        <v>3750997</v>
      </c>
      <c r="R974" s="944">
        <f>IF(A974='Data Entry - SOF'!B$2,'Report-SOF2223'!D$91,0)</f>
        <v>0</v>
      </c>
      <c r="S974" s="723">
        <f>IF(A974='Data Entry - SOF'!B$2,'Data Entry - SOF'!Q$102,0)</f>
        <v>0</v>
      </c>
      <c r="T974" s="601">
        <f t="shared" si="95"/>
        <v>3750997</v>
      </c>
      <c r="U974" s="944">
        <f>IF(A974='Data Entry - SOF'!B$2,'Report-SOF2324'!D$91,0)</f>
        <v>0</v>
      </c>
      <c r="V974" s="723">
        <f>IF(A974='Data Entry - SOF'!B$2,'Data Entry - SOF'!S$102,0)</f>
        <v>0</v>
      </c>
    </row>
    <row r="975" spans="1:22" ht="15.75">
      <c r="A975" s="382" t="s">
        <v>1827</v>
      </c>
      <c r="B975" s="91">
        <v>36910435</v>
      </c>
      <c r="C975" s="944">
        <f>IF(A975='Data Entry - SOF'!B$2,'Report-SOF1718'!D$102,0)</f>
        <v>0</v>
      </c>
      <c r="D975" s="1037">
        <f>IF(A975='Data Entry - SOF'!B$2,'Data Entry - SOF'!#REF!,0)</f>
        <v>0</v>
      </c>
      <c r="E975" s="91">
        <f t="shared" si="90"/>
        <v>36910435</v>
      </c>
      <c r="F975" s="944">
        <f>IF(A975='Data Entry - SOF'!B$2,'Report-SOF1819'!D$102,0)</f>
        <v>0</v>
      </c>
      <c r="G975" s="1037">
        <f>IF(A975='Data Entry - SOF'!B$2,'Data Entry - SOF'!E$102,0)</f>
        <v>0</v>
      </c>
      <c r="H975" s="1038">
        <f t="shared" si="92"/>
        <v>36910435</v>
      </c>
      <c r="I975" s="944">
        <f>IF(A975='Data Entry - SOF'!B$2,'Report-SOF1920-HB3'!D$102,0)</f>
        <v>0</v>
      </c>
      <c r="J975" s="1037">
        <f>IF(A975='Data Entry - SOF'!B$2,'Data Entry - SOF'!G$102,0)</f>
        <v>0</v>
      </c>
      <c r="K975" s="717">
        <f t="shared" si="93"/>
        <v>36910435</v>
      </c>
      <c r="L975" s="944">
        <f>IF(A975='Data Entry - SOF'!B$2,'Report-SOF2021'!D$99,0)</f>
        <v>0</v>
      </c>
      <c r="M975" s="723">
        <f>IF(A975='Data Entry - SOF'!B$2,'Data Entry - SOF'!M$102,0)</f>
        <v>0</v>
      </c>
      <c r="N975" s="717">
        <f t="shared" si="94"/>
        <v>36910435</v>
      </c>
      <c r="O975" s="944">
        <f>IF(A975='Data Entry - SOF'!B$2,'Report-SOF2122'!D$91,0)</f>
        <v>0</v>
      </c>
      <c r="P975" s="723">
        <f>IF(A975='Data Entry - SOF'!B$2,'Data Entry - SOF'!O$102,0)</f>
        <v>0</v>
      </c>
      <c r="Q975" s="601">
        <f t="shared" si="91"/>
        <v>36910435</v>
      </c>
      <c r="R975" s="944">
        <f>IF(A975='Data Entry - SOF'!B$2,'Report-SOF2223'!D$91,0)</f>
        <v>0</v>
      </c>
      <c r="S975" s="723">
        <f>IF(A975='Data Entry - SOF'!B$2,'Data Entry - SOF'!Q$102,0)</f>
        <v>0</v>
      </c>
      <c r="T975" s="601">
        <f t="shared" si="95"/>
        <v>36910435</v>
      </c>
      <c r="U975" s="944">
        <f>IF(A975='Data Entry - SOF'!B$2,'Report-SOF2324'!D$91,0)</f>
        <v>0</v>
      </c>
      <c r="V975" s="723">
        <f>IF(A975='Data Entry - SOF'!B$2,'Data Entry - SOF'!S$102,0)</f>
        <v>0</v>
      </c>
    </row>
    <row r="976" spans="1:22" ht="15.75">
      <c r="A976" s="382" t="s">
        <v>573</v>
      </c>
      <c r="B976" s="91">
        <v>2746031</v>
      </c>
      <c r="C976" s="944">
        <f>IF(A976='Data Entry - SOF'!B$2,'Report-SOF1718'!D$102,0)</f>
        <v>0</v>
      </c>
      <c r="D976" s="1037">
        <f>IF(A976='Data Entry - SOF'!B$2,'Data Entry - SOF'!#REF!,0)</f>
        <v>0</v>
      </c>
      <c r="E976" s="91">
        <f t="shared" si="90"/>
        <v>2746031</v>
      </c>
      <c r="F976" s="944">
        <f>IF(A976='Data Entry - SOF'!B$2,'Report-SOF1819'!D$102,0)</f>
        <v>0</v>
      </c>
      <c r="G976" s="1037">
        <f>IF(A976='Data Entry - SOF'!B$2,'Data Entry - SOF'!E$102,0)</f>
        <v>0</v>
      </c>
      <c r="H976" s="1038">
        <f t="shared" si="92"/>
        <v>2746031</v>
      </c>
      <c r="I976" s="944">
        <f>IF(A976='Data Entry - SOF'!B$2,'Report-SOF1920-HB3'!D$102,0)</f>
        <v>0</v>
      </c>
      <c r="J976" s="1037">
        <f>IF(A976='Data Entry - SOF'!B$2,'Data Entry - SOF'!G$102,0)</f>
        <v>0</v>
      </c>
      <c r="K976" s="717">
        <f t="shared" si="93"/>
        <v>2746031</v>
      </c>
      <c r="L976" s="944">
        <f>IF(A976='Data Entry - SOF'!B$2,'Report-SOF2021'!D$99,0)</f>
        <v>0</v>
      </c>
      <c r="M976" s="723">
        <f>IF(A976='Data Entry - SOF'!B$2,'Data Entry - SOF'!M$102,0)</f>
        <v>0</v>
      </c>
      <c r="N976" s="717">
        <f t="shared" si="94"/>
        <v>2746031</v>
      </c>
      <c r="O976" s="944">
        <f>IF(A976='Data Entry - SOF'!B$2,'Report-SOF2122'!D$91,0)</f>
        <v>0</v>
      </c>
      <c r="P976" s="723">
        <f>IF(A976='Data Entry - SOF'!B$2,'Data Entry - SOF'!O$102,0)</f>
        <v>0</v>
      </c>
      <c r="Q976" s="601">
        <f t="shared" si="91"/>
        <v>2746031</v>
      </c>
      <c r="R976" s="944">
        <f>IF(A976='Data Entry - SOF'!B$2,'Report-SOF2223'!D$91,0)</f>
        <v>0</v>
      </c>
      <c r="S976" s="723">
        <f>IF(A976='Data Entry - SOF'!B$2,'Data Entry - SOF'!Q$102,0)</f>
        <v>0</v>
      </c>
      <c r="T976" s="601">
        <f t="shared" si="95"/>
        <v>2746031</v>
      </c>
      <c r="U976" s="944">
        <f>IF(A976='Data Entry - SOF'!B$2,'Report-SOF2324'!D$91,0)</f>
        <v>0</v>
      </c>
      <c r="V976" s="723">
        <f>IF(A976='Data Entry - SOF'!B$2,'Data Entry - SOF'!S$102,0)</f>
        <v>0</v>
      </c>
    </row>
    <row r="977" spans="1:22" ht="15.75">
      <c r="A977" s="382" t="s">
        <v>1358</v>
      </c>
      <c r="B977" s="91">
        <v>584021</v>
      </c>
      <c r="C977" s="944">
        <f>IF(A977='Data Entry - SOF'!B$2,'Report-SOF1718'!D$102,0)</f>
        <v>0</v>
      </c>
      <c r="D977" s="1037">
        <f>IF(A977='Data Entry - SOF'!B$2,'Data Entry - SOF'!#REF!,0)</f>
        <v>0</v>
      </c>
      <c r="E977" s="91">
        <f t="shared" si="90"/>
        <v>584021</v>
      </c>
      <c r="F977" s="944">
        <f>IF(A977='Data Entry - SOF'!B$2,'Report-SOF1819'!D$102,0)</f>
        <v>0</v>
      </c>
      <c r="G977" s="1037">
        <f>IF(A977='Data Entry - SOF'!B$2,'Data Entry - SOF'!E$102,0)</f>
        <v>0</v>
      </c>
      <c r="H977" s="1038">
        <f t="shared" si="92"/>
        <v>584021</v>
      </c>
      <c r="I977" s="944">
        <f>IF(A977='Data Entry - SOF'!B$2,'Report-SOF1920-HB3'!D$102,0)</f>
        <v>0</v>
      </c>
      <c r="J977" s="1037">
        <f>IF(A977='Data Entry - SOF'!B$2,'Data Entry - SOF'!G$102,0)</f>
        <v>0</v>
      </c>
      <c r="K977" s="717">
        <f t="shared" si="93"/>
        <v>584021</v>
      </c>
      <c r="L977" s="944">
        <f>IF(A977='Data Entry - SOF'!B$2,'Report-SOF2021'!D$99,0)</f>
        <v>0</v>
      </c>
      <c r="M977" s="723">
        <f>IF(A977='Data Entry - SOF'!B$2,'Data Entry - SOF'!M$102,0)</f>
        <v>0</v>
      </c>
      <c r="N977" s="717">
        <f t="shared" si="94"/>
        <v>584021</v>
      </c>
      <c r="O977" s="944">
        <f>IF(A977='Data Entry - SOF'!B$2,'Report-SOF2122'!D$91,0)</f>
        <v>0</v>
      </c>
      <c r="P977" s="723">
        <f>IF(A977='Data Entry - SOF'!B$2,'Data Entry - SOF'!O$102,0)</f>
        <v>0</v>
      </c>
      <c r="Q977" s="601">
        <f t="shared" si="91"/>
        <v>584021</v>
      </c>
      <c r="R977" s="944">
        <f>IF(A977='Data Entry - SOF'!B$2,'Report-SOF2223'!D$91,0)</f>
        <v>0</v>
      </c>
      <c r="S977" s="723">
        <f>IF(A977='Data Entry - SOF'!B$2,'Data Entry - SOF'!Q$102,0)</f>
        <v>0</v>
      </c>
      <c r="T977" s="601">
        <f t="shared" si="95"/>
        <v>584021</v>
      </c>
      <c r="U977" s="944">
        <f>IF(A977='Data Entry - SOF'!B$2,'Report-SOF2324'!D$91,0)</f>
        <v>0</v>
      </c>
      <c r="V977" s="723">
        <f>IF(A977='Data Entry - SOF'!B$2,'Data Entry - SOF'!S$102,0)</f>
        <v>0</v>
      </c>
    </row>
    <row r="978" spans="1:22" ht="15.75">
      <c r="A978" s="382" t="s">
        <v>9</v>
      </c>
      <c r="B978" s="91">
        <v>7547059</v>
      </c>
      <c r="C978" s="944">
        <f>IF(A978='Data Entry - SOF'!B$2,'Report-SOF1718'!D$102,0)</f>
        <v>0</v>
      </c>
      <c r="D978" s="1037">
        <f>IF(A978='Data Entry - SOF'!B$2,'Data Entry - SOF'!#REF!,0)</f>
        <v>0</v>
      </c>
      <c r="E978" s="91">
        <f t="shared" si="90"/>
        <v>7547059</v>
      </c>
      <c r="F978" s="944">
        <f>IF(A978='Data Entry - SOF'!B$2,'Report-SOF1819'!D$102,0)</f>
        <v>0</v>
      </c>
      <c r="G978" s="1037">
        <f>IF(A978='Data Entry - SOF'!B$2,'Data Entry - SOF'!E$102,0)</f>
        <v>0</v>
      </c>
      <c r="H978" s="1038">
        <f t="shared" si="92"/>
        <v>7547059</v>
      </c>
      <c r="I978" s="944">
        <f>IF(A978='Data Entry - SOF'!B$2,'Report-SOF1920-HB3'!D$102,0)</f>
        <v>0</v>
      </c>
      <c r="J978" s="1037">
        <f>IF(A978='Data Entry - SOF'!B$2,'Data Entry - SOF'!G$102,0)</f>
        <v>0</v>
      </c>
      <c r="K978" s="717">
        <f t="shared" si="93"/>
        <v>7547059</v>
      </c>
      <c r="L978" s="944">
        <f>IF(A978='Data Entry - SOF'!B$2,'Report-SOF2021'!D$99,0)</f>
        <v>0</v>
      </c>
      <c r="M978" s="723">
        <f>IF(A978='Data Entry - SOF'!B$2,'Data Entry - SOF'!M$102,0)</f>
        <v>0</v>
      </c>
      <c r="N978" s="717">
        <f t="shared" si="94"/>
        <v>7547059</v>
      </c>
      <c r="O978" s="944">
        <f>IF(A978='Data Entry - SOF'!B$2,'Report-SOF2122'!D$91,0)</f>
        <v>0</v>
      </c>
      <c r="P978" s="723">
        <f>IF(A978='Data Entry - SOF'!B$2,'Data Entry - SOF'!O$102,0)</f>
        <v>0</v>
      </c>
      <c r="Q978" s="601">
        <f t="shared" si="91"/>
        <v>7547059</v>
      </c>
      <c r="R978" s="944">
        <f>IF(A978='Data Entry - SOF'!B$2,'Report-SOF2223'!D$91,0)</f>
        <v>0</v>
      </c>
      <c r="S978" s="723">
        <f>IF(A978='Data Entry - SOF'!B$2,'Data Entry - SOF'!Q$102,0)</f>
        <v>0</v>
      </c>
      <c r="T978" s="601">
        <f t="shared" si="95"/>
        <v>7547059</v>
      </c>
      <c r="U978" s="944">
        <f>IF(A978='Data Entry - SOF'!B$2,'Report-SOF2324'!D$91,0)</f>
        <v>0</v>
      </c>
      <c r="V978" s="723">
        <f>IF(A978='Data Entry - SOF'!B$2,'Data Entry - SOF'!S$102,0)</f>
        <v>0</v>
      </c>
    </row>
    <row r="979" spans="1:22" ht="15.75">
      <c r="A979" s="382" t="s">
        <v>10</v>
      </c>
      <c r="B979" s="91">
        <v>1088523</v>
      </c>
      <c r="C979" s="944">
        <f>IF(A979='Data Entry - SOF'!B$2,'Report-SOF1718'!D$102,0)</f>
        <v>0</v>
      </c>
      <c r="D979" s="1037">
        <f>IF(A979='Data Entry - SOF'!B$2,'Data Entry - SOF'!#REF!,0)</f>
        <v>0</v>
      </c>
      <c r="E979" s="91">
        <f t="shared" si="90"/>
        <v>1088523</v>
      </c>
      <c r="F979" s="944">
        <f>IF(A979='Data Entry - SOF'!B$2,'Report-SOF1819'!D$102,0)</f>
        <v>0</v>
      </c>
      <c r="G979" s="1037">
        <f>IF(A979='Data Entry - SOF'!B$2,'Data Entry - SOF'!E$102,0)</f>
        <v>0</v>
      </c>
      <c r="H979" s="1038">
        <f t="shared" si="92"/>
        <v>1088523</v>
      </c>
      <c r="I979" s="944">
        <f>IF(A979='Data Entry - SOF'!B$2,'Report-SOF1920-HB3'!D$102,0)</f>
        <v>0</v>
      </c>
      <c r="J979" s="1037">
        <f>IF(A979='Data Entry - SOF'!B$2,'Data Entry - SOF'!G$102,0)</f>
        <v>0</v>
      </c>
      <c r="K979" s="717">
        <f t="shared" si="93"/>
        <v>1088523</v>
      </c>
      <c r="L979" s="944">
        <f>IF(A979='Data Entry - SOF'!B$2,'Report-SOF2021'!D$99,0)</f>
        <v>0</v>
      </c>
      <c r="M979" s="723">
        <f>IF(A979='Data Entry - SOF'!B$2,'Data Entry - SOF'!M$102,0)</f>
        <v>0</v>
      </c>
      <c r="N979" s="717">
        <f t="shared" si="94"/>
        <v>1088523</v>
      </c>
      <c r="O979" s="944">
        <f>IF(A979='Data Entry - SOF'!B$2,'Report-SOF2122'!D$91,0)</f>
        <v>0</v>
      </c>
      <c r="P979" s="723">
        <f>IF(A979='Data Entry - SOF'!B$2,'Data Entry - SOF'!O$102,0)</f>
        <v>0</v>
      </c>
      <c r="Q979" s="601">
        <f t="shared" si="91"/>
        <v>1088523</v>
      </c>
      <c r="R979" s="944">
        <f>IF(A979='Data Entry - SOF'!B$2,'Report-SOF2223'!D$91,0)</f>
        <v>0</v>
      </c>
      <c r="S979" s="723">
        <f>IF(A979='Data Entry - SOF'!B$2,'Data Entry - SOF'!Q$102,0)</f>
        <v>0</v>
      </c>
      <c r="T979" s="601">
        <f t="shared" si="95"/>
        <v>1088523</v>
      </c>
      <c r="U979" s="944">
        <f>IF(A979='Data Entry - SOF'!B$2,'Report-SOF2324'!D$91,0)</f>
        <v>0</v>
      </c>
      <c r="V979" s="723">
        <f>IF(A979='Data Entry - SOF'!B$2,'Data Entry - SOF'!S$102,0)</f>
        <v>0</v>
      </c>
    </row>
    <row r="980" spans="1:22" ht="15.75">
      <c r="A980" s="382" t="s">
        <v>1503</v>
      </c>
      <c r="B980" s="91">
        <v>382530</v>
      </c>
      <c r="C980" s="944">
        <f>IF(A980='Data Entry - SOF'!B$2,'Report-SOF1718'!D$102,0)</f>
        <v>0</v>
      </c>
      <c r="D980" s="1037">
        <f>IF(A980='Data Entry - SOF'!B$2,'Data Entry - SOF'!#REF!,0)</f>
        <v>0</v>
      </c>
      <c r="E980" s="91">
        <f t="shared" si="90"/>
        <v>382530</v>
      </c>
      <c r="F980" s="944">
        <f>IF(A980='Data Entry - SOF'!B$2,'Report-SOF1819'!D$102,0)</f>
        <v>0</v>
      </c>
      <c r="G980" s="1037">
        <f>IF(A980='Data Entry - SOF'!B$2,'Data Entry - SOF'!E$102,0)</f>
        <v>0</v>
      </c>
      <c r="H980" s="1038">
        <f t="shared" si="92"/>
        <v>382530</v>
      </c>
      <c r="I980" s="944">
        <f>IF(A980='Data Entry - SOF'!B$2,'Report-SOF1920-HB3'!D$102,0)</f>
        <v>0</v>
      </c>
      <c r="J980" s="1037">
        <f>IF(A980='Data Entry - SOF'!B$2,'Data Entry - SOF'!G$102,0)</f>
        <v>0</v>
      </c>
      <c r="K980" s="717">
        <f t="shared" si="93"/>
        <v>382530</v>
      </c>
      <c r="L980" s="944">
        <f>IF(A980='Data Entry - SOF'!B$2,'Report-SOF2021'!D$99,0)</f>
        <v>0</v>
      </c>
      <c r="M980" s="723">
        <f>IF(A980='Data Entry - SOF'!B$2,'Data Entry - SOF'!M$102,0)</f>
        <v>0</v>
      </c>
      <c r="N980" s="717">
        <f t="shared" si="94"/>
        <v>382530</v>
      </c>
      <c r="O980" s="944">
        <f>IF(A980='Data Entry - SOF'!B$2,'Report-SOF2122'!D$91,0)</f>
        <v>0</v>
      </c>
      <c r="P980" s="723">
        <f>IF(A980='Data Entry - SOF'!B$2,'Data Entry - SOF'!O$102,0)</f>
        <v>0</v>
      </c>
      <c r="Q980" s="601">
        <f t="shared" si="91"/>
        <v>382530</v>
      </c>
      <c r="R980" s="944">
        <f>IF(A980='Data Entry - SOF'!B$2,'Report-SOF2223'!D$91,0)</f>
        <v>0</v>
      </c>
      <c r="S980" s="723">
        <f>IF(A980='Data Entry - SOF'!B$2,'Data Entry - SOF'!Q$102,0)</f>
        <v>0</v>
      </c>
      <c r="T980" s="601">
        <f t="shared" si="95"/>
        <v>382530</v>
      </c>
      <c r="U980" s="944">
        <f>IF(A980='Data Entry - SOF'!B$2,'Report-SOF2324'!D$91,0)</f>
        <v>0</v>
      </c>
      <c r="V980" s="723">
        <f>IF(A980='Data Entry - SOF'!B$2,'Data Entry - SOF'!S$102,0)</f>
        <v>0</v>
      </c>
    </row>
    <row r="981" spans="1:22" ht="15.75">
      <c r="A981" s="382" t="s">
        <v>2089</v>
      </c>
      <c r="B981" s="91">
        <v>6241771</v>
      </c>
      <c r="C981" s="944">
        <f>IF(A981='Data Entry - SOF'!B$2,'Report-SOF1718'!D$102,0)</f>
        <v>0</v>
      </c>
      <c r="D981" s="1037">
        <f>IF(A981='Data Entry - SOF'!B$2,'Data Entry - SOF'!#REF!,0)</f>
        <v>0</v>
      </c>
      <c r="E981" s="91">
        <f t="shared" si="90"/>
        <v>6241771</v>
      </c>
      <c r="F981" s="944">
        <f>IF(A981='Data Entry - SOF'!B$2,'Report-SOF1819'!D$102,0)</f>
        <v>0</v>
      </c>
      <c r="G981" s="1037">
        <f>IF(A981='Data Entry - SOF'!B$2,'Data Entry - SOF'!E$102,0)</f>
        <v>0</v>
      </c>
      <c r="H981" s="1038">
        <f t="shared" si="92"/>
        <v>6241771</v>
      </c>
      <c r="I981" s="944">
        <f>IF(A981='Data Entry - SOF'!B$2,'Report-SOF1920-HB3'!D$102,0)</f>
        <v>0</v>
      </c>
      <c r="J981" s="1037">
        <f>IF(A981='Data Entry - SOF'!B$2,'Data Entry - SOF'!G$102,0)</f>
        <v>0</v>
      </c>
      <c r="K981" s="717">
        <f t="shared" si="93"/>
        <v>6241771</v>
      </c>
      <c r="L981" s="944">
        <f>IF(A981='Data Entry - SOF'!B$2,'Report-SOF2021'!D$99,0)</f>
        <v>0</v>
      </c>
      <c r="M981" s="723">
        <f>IF(A981='Data Entry - SOF'!B$2,'Data Entry - SOF'!M$102,0)</f>
        <v>0</v>
      </c>
      <c r="N981" s="717">
        <f t="shared" si="94"/>
        <v>6241771</v>
      </c>
      <c r="O981" s="944">
        <f>IF(A981='Data Entry - SOF'!B$2,'Report-SOF2122'!D$91,0)</f>
        <v>0</v>
      </c>
      <c r="P981" s="723">
        <f>IF(A981='Data Entry - SOF'!B$2,'Data Entry - SOF'!O$102,0)</f>
        <v>0</v>
      </c>
      <c r="Q981" s="601">
        <f t="shared" si="91"/>
        <v>6241771</v>
      </c>
      <c r="R981" s="944">
        <f>IF(A981='Data Entry - SOF'!B$2,'Report-SOF2223'!D$91,0)</f>
        <v>0</v>
      </c>
      <c r="S981" s="723">
        <f>IF(A981='Data Entry - SOF'!B$2,'Data Entry - SOF'!Q$102,0)</f>
        <v>0</v>
      </c>
      <c r="T981" s="601">
        <f t="shared" si="95"/>
        <v>6241771</v>
      </c>
      <c r="U981" s="944">
        <f>IF(A981='Data Entry - SOF'!B$2,'Report-SOF2324'!D$91,0)</f>
        <v>0</v>
      </c>
      <c r="V981" s="723">
        <f>IF(A981='Data Entry - SOF'!B$2,'Data Entry - SOF'!S$102,0)</f>
        <v>0</v>
      </c>
    </row>
    <row r="982" spans="1:22" ht="15.75">
      <c r="A982" s="382" t="s">
        <v>425</v>
      </c>
      <c r="B982" s="91">
        <v>2780309</v>
      </c>
      <c r="C982" s="944">
        <f>IF(A982='Data Entry - SOF'!B$2,'Report-SOF1718'!D$102,0)</f>
        <v>0</v>
      </c>
      <c r="D982" s="1037">
        <f>IF(A982='Data Entry - SOF'!B$2,'Data Entry - SOF'!#REF!,0)</f>
        <v>0</v>
      </c>
      <c r="E982" s="91">
        <f t="shared" si="90"/>
        <v>2780309</v>
      </c>
      <c r="F982" s="944">
        <f>IF(A982='Data Entry - SOF'!B$2,'Report-SOF1819'!D$102,0)</f>
        <v>0</v>
      </c>
      <c r="G982" s="1037">
        <f>IF(A982='Data Entry - SOF'!B$2,'Data Entry - SOF'!E$102,0)</f>
        <v>0</v>
      </c>
      <c r="H982" s="1038">
        <f t="shared" si="92"/>
        <v>2780309</v>
      </c>
      <c r="I982" s="944">
        <f>IF(A982='Data Entry - SOF'!B$2,'Report-SOF1920-HB3'!D$102,0)</f>
        <v>0</v>
      </c>
      <c r="J982" s="1037">
        <f>IF(A982='Data Entry - SOF'!B$2,'Data Entry - SOF'!G$102,0)</f>
        <v>0</v>
      </c>
      <c r="K982" s="717">
        <f t="shared" si="93"/>
        <v>2780309</v>
      </c>
      <c r="L982" s="944">
        <f>IF(A982='Data Entry - SOF'!B$2,'Report-SOF2021'!D$99,0)</f>
        <v>0</v>
      </c>
      <c r="M982" s="723">
        <f>IF(A982='Data Entry - SOF'!B$2,'Data Entry - SOF'!M$102,0)</f>
        <v>0</v>
      </c>
      <c r="N982" s="717">
        <f t="shared" si="94"/>
        <v>2780309</v>
      </c>
      <c r="O982" s="944">
        <f>IF(A982='Data Entry - SOF'!B$2,'Report-SOF2122'!D$91,0)</f>
        <v>0</v>
      </c>
      <c r="P982" s="723">
        <f>IF(A982='Data Entry - SOF'!B$2,'Data Entry - SOF'!O$102,0)</f>
        <v>0</v>
      </c>
      <c r="Q982" s="601">
        <f t="shared" si="91"/>
        <v>2780309</v>
      </c>
      <c r="R982" s="944">
        <f>IF(A982='Data Entry - SOF'!B$2,'Report-SOF2223'!D$91,0)</f>
        <v>0</v>
      </c>
      <c r="S982" s="723">
        <f>IF(A982='Data Entry - SOF'!B$2,'Data Entry - SOF'!Q$102,0)</f>
        <v>0</v>
      </c>
      <c r="T982" s="601">
        <f t="shared" si="95"/>
        <v>2780309</v>
      </c>
      <c r="U982" s="944">
        <f>IF(A982='Data Entry - SOF'!B$2,'Report-SOF2324'!D$91,0)</f>
        <v>0</v>
      </c>
      <c r="V982" s="723">
        <f>IF(A982='Data Entry - SOF'!B$2,'Data Entry - SOF'!S$102,0)</f>
        <v>0</v>
      </c>
    </row>
    <row r="983" spans="1:22" ht="15.75">
      <c r="A983" s="382" t="s">
        <v>278</v>
      </c>
      <c r="B983" s="91">
        <v>1265688</v>
      </c>
      <c r="C983" s="944">
        <f>IF(A983='Data Entry - SOF'!B$2,'Report-SOF1718'!D$102,0)</f>
        <v>0</v>
      </c>
      <c r="D983" s="1037">
        <f>IF(A983='Data Entry - SOF'!B$2,'Data Entry - SOF'!#REF!,0)</f>
        <v>0</v>
      </c>
      <c r="E983" s="91">
        <f t="shared" si="90"/>
        <v>1265688</v>
      </c>
      <c r="F983" s="944">
        <f>IF(A983='Data Entry - SOF'!B$2,'Report-SOF1819'!D$102,0)</f>
        <v>0</v>
      </c>
      <c r="G983" s="1037">
        <f>IF(A983='Data Entry - SOF'!B$2,'Data Entry - SOF'!E$102,0)</f>
        <v>0</v>
      </c>
      <c r="H983" s="1038">
        <f t="shared" si="92"/>
        <v>1265688</v>
      </c>
      <c r="I983" s="944">
        <f>IF(A983='Data Entry - SOF'!B$2,'Report-SOF1920-HB3'!D$102,0)</f>
        <v>0</v>
      </c>
      <c r="J983" s="1037">
        <f>IF(A983='Data Entry - SOF'!B$2,'Data Entry - SOF'!G$102,0)</f>
        <v>0</v>
      </c>
      <c r="K983" s="717">
        <f t="shared" si="93"/>
        <v>1265688</v>
      </c>
      <c r="L983" s="944">
        <f>IF(A983='Data Entry - SOF'!B$2,'Report-SOF2021'!D$99,0)</f>
        <v>0</v>
      </c>
      <c r="M983" s="723">
        <f>IF(A983='Data Entry - SOF'!B$2,'Data Entry - SOF'!M$102,0)</f>
        <v>0</v>
      </c>
      <c r="N983" s="717">
        <f t="shared" si="94"/>
        <v>1265688</v>
      </c>
      <c r="O983" s="944">
        <f>IF(A983='Data Entry - SOF'!B$2,'Report-SOF2122'!D$91,0)</f>
        <v>0</v>
      </c>
      <c r="P983" s="723">
        <f>IF(A983='Data Entry - SOF'!B$2,'Data Entry - SOF'!O$102,0)</f>
        <v>0</v>
      </c>
      <c r="Q983" s="601">
        <f t="shared" si="91"/>
        <v>1265688</v>
      </c>
      <c r="R983" s="944">
        <f>IF(A983='Data Entry - SOF'!B$2,'Report-SOF2223'!D$91,0)</f>
        <v>0</v>
      </c>
      <c r="S983" s="723">
        <f>IF(A983='Data Entry - SOF'!B$2,'Data Entry - SOF'!Q$102,0)</f>
        <v>0</v>
      </c>
      <c r="T983" s="601">
        <f t="shared" si="95"/>
        <v>1265688</v>
      </c>
      <c r="U983" s="944">
        <f>IF(A983='Data Entry - SOF'!B$2,'Report-SOF2324'!D$91,0)</f>
        <v>0</v>
      </c>
      <c r="V983" s="723">
        <f>IF(A983='Data Entry - SOF'!B$2,'Data Entry - SOF'!S$102,0)</f>
        <v>0</v>
      </c>
    </row>
    <row r="984" spans="1:22" ht="15.75">
      <c r="A984" s="382" t="s">
        <v>1338</v>
      </c>
      <c r="B984" s="91">
        <v>1402129</v>
      </c>
      <c r="C984" s="944">
        <f>IF(A984='Data Entry - SOF'!B$2,'Report-SOF1718'!D$102,0)</f>
        <v>0</v>
      </c>
      <c r="D984" s="1037">
        <f>IF(A984='Data Entry - SOF'!B$2,'Data Entry - SOF'!#REF!,0)</f>
        <v>0</v>
      </c>
      <c r="E984" s="91">
        <f t="shared" si="90"/>
        <v>1402129</v>
      </c>
      <c r="F984" s="944">
        <f>IF(A984='Data Entry - SOF'!B$2,'Report-SOF1819'!D$102,0)</f>
        <v>0</v>
      </c>
      <c r="G984" s="1037">
        <f>IF(A984='Data Entry - SOF'!B$2,'Data Entry - SOF'!E$102,0)</f>
        <v>0</v>
      </c>
      <c r="H984" s="1038">
        <f t="shared" si="92"/>
        <v>1402129</v>
      </c>
      <c r="I984" s="944">
        <f>IF(A984='Data Entry - SOF'!B$2,'Report-SOF1920-HB3'!D$102,0)</f>
        <v>0</v>
      </c>
      <c r="J984" s="1037">
        <f>IF(A984='Data Entry - SOF'!B$2,'Data Entry - SOF'!G$102,0)</f>
        <v>0</v>
      </c>
      <c r="K984" s="717">
        <f t="shared" si="93"/>
        <v>1402129</v>
      </c>
      <c r="L984" s="944">
        <f>IF(A984='Data Entry - SOF'!B$2,'Report-SOF2021'!D$99,0)</f>
        <v>0</v>
      </c>
      <c r="M984" s="723">
        <f>IF(A984='Data Entry - SOF'!B$2,'Data Entry - SOF'!M$102,0)</f>
        <v>0</v>
      </c>
      <c r="N984" s="717">
        <f t="shared" si="94"/>
        <v>1402129</v>
      </c>
      <c r="O984" s="944">
        <f>IF(A984='Data Entry - SOF'!B$2,'Report-SOF2122'!D$91,0)</f>
        <v>0</v>
      </c>
      <c r="P984" s="723">
        <f>IF(A984='Data Entry - SOF'!B$2,'Data Entry - SOF'!O$102,0)</f>
        <v>0</v>
      </c>
      <c r="Q984" s="601">
        <f t="shared" si="91"/>
        <v>1402129</v>
      </c>
      <c r="R984" s="944">
        <f>IF(A984='Data Entry - SOF'!B$2,'Report-SOF2223'!D$91,0)</f>
        <v>0</v>
      </c>
      <c r="S984" s="723">
        <f>IF(A984='Data Entry - SOF'!B$2,'Data Entry - SOF'!Q$102,0)</f>
        <v>0</v>
      </c>
      <c r="T984" s="601">
        <f t="shared" si="95"/>
        <v>1402129</v>
      </c>
      <c r="U984" s="944">
        <f>IF(A984='Data Entry - SOF'!B$2,'Report-SOF2324'!D$91,0)</f>
        <v>0</v>
      </c>
      <c r="V984" s="723">
        <f>IF(A984='Data Entry - SOF'!B$2,'Data Entry - SOF'!S$102,0)</f>
        <v>0</v>
      </c>
    </row>
    <row r="985" spans="1:22" ht="15.75">
      <c r="A985" s="382" t="s">
        <v>2580</v>
      </c>
      <c r="B985" s="91">
        <v>128890394.989299</v>
      </c>
      <c r="C985" s="944">
        <f>IF(A985='Data Entry - SOF'!B$2,'Report-SOF1718'!D$102,0)</f>
        <v>0</v>
      </c>
      <c r="D985" s="1037">
        <f>IF(A985='Data Entry - SOF'!B$2,'Data Entry - SOF'!#REF!,0)</f>
        <v>0</v>
      </c>
      <c r="E985" s="91">
        <f t="shared" si="90"/>
        <v>128890394.989299</v>
      </c>
      <c r="F985" s="944">
        <f>IF(A985='Data Entry - SOF'!B$2,'Report-SOF1819'!D$102,0)</f>
        <v>0</v>
      </c>
      <c r="G985" s="1037">
        <f>IF(A985='Data Entry - SOF'!B$2,'Data Entry - SOF'!E$102,0)</f>
        <v>0</v>
      </c>
      <c r="H985" s="1038">
        <f t="shared" si="92"/>
        <v>128890394.989299</v>
      </c>
      <c r="I985" s="944">
        <f>IF(A985='Data Entry - SOF'!B$2,'Report-SOF1920-HB3'!D$102,0)</f>
        <v>0</v>
      </c>
      <c r="J985" s="1037">
        <f>IF(A985='Data Entry - SOF'!B$2,'Data Entry - SOF'!G$102,0)</f>
        <v>0</v>
      </c>
      <c r="K985" s="717">
        <f t="shared" si="93"/>
        <v>128890394.989299</v>
      </c>
      <c r="L985" s="944">
        <f>IF(A985='Data Entry - SOF'!B$2,'Report-SOF2021'!D$99,0)</f>
        <v>0</v>
      </c>
      <c r="M985" s="723">
        <f>IF(A985='Data Entry - SOF'!B$2,'Data Entry - SOF'!M$102,0)</f>
        <v>0</v>
      </c>
      <c r="N985" s="717">
        <f t="shared" si="94"/>
        <v>128890394.989299</v>
      </c>
      <c r="O985" s="944">
        <f>IF(A985='Data Entry - SOF'!B$2,'Report-SOF2122'!D$91,0)</f>
        <v>0</v>
      </c>
      <c r="P985" s="723">
        <f>IF(A985='Data Entry - SOF'!B$2,'Data Entry - SOF'!O$102,0)</f>
        <v>0</v>
      </c>
      <c r="Q985" s="601">
        <f t="shared" si="91"/>
        <v>128890394.989299</v>
      </c>
      <c r="R985" s="944">
        <f>IF(A985='Data Entry - SOF'!B$2,'Report-SOF2223'!D$91,0)</f>
        <v>0</v>
      </c>
      <c r="S985" s="723">
        <f>IF(A985='Data Entry - SOF'!B$2,'Data Entry - SOF'!Q$102,0)</f>
        <v>0</v>
      </c>
      <c r="T985" s="601">
        <f t="shared" si="95"/>
        <v>128890394.989299</v>
      </c>
      <c r="U985" s="944">
        <f>IF(A985='Data Entry - SOF'!B$2,'Report-SOF2324'!D$91,0)</f>
        <v>0</v>
      </c>
      <c r="V985" s="723">
        <f>IF(A985='Data Entry - SOF'!B$2,'Data Entry - SOF'!S$102,0)</f>
        <v>0</v>
      </c>
    </row>
    <row r="986" spans="1:22" ht="15.75">
      <c r="A986" s="382" t="s">
        <v>1799</v>
      </c>
      <c r="B986" s="91">
        <v>1270683</v>
      </c>
      <c r="C986" s="944">
        <f>IF(A986='Data Entry - SOF'!B$2,'Report-SOF1718'!D$102,0)</f>
        <v>0</v>
      </c>
      <c r="D986" s="1037">
        <f>IF(A986='Data Entry - SOF'!B$2,'Data Entry - SOF'!#REF!,0)</f>
        <v>0</v>
      </c>
      <c r="E986" s="91">
        <f t="shared" si="90"/>
        <v>1270683</v>
      </c>
      <c r="F986" s="944">
        <f>IF(A986='Data Entry - SOF'!B$2,'Report-SOF1819'!D$102,0)</f>
        <v>0</v>
      </c>
      <c r="G986" s="1037">
        <f>IF(A986='Data Entry - SOF'!B$2,'Data Entry - SOF'!E$102,0)</f>
        <v>0</v>
      </c>
      <c r="H986" s="1038">
        <f t="shared" si="92"/>
        <v>1270683</v>
      </c>
      <c r="I986" s="944">
        <f>IF(A986='Data Entry - SOF'!B$2,'Report-SOF1920-HB3'!D$102,0)</f>
        <v>0</v>
      </c>
      <c r="J986" s="1037">
        <f>IF(A986='Data Entry - SOF'!B$2,'Data Entry - SOF'!G$102,0)</f>
        <v>0</v>
      </c>
      <c r="K986" s="717">
        <f t="shared" si="93"/>
        <v>1270683</v>
      </c>
      <c r="L986" s="944">
        <f>IF(A986='Data Entry - SOF'!B$2,'Report-SOF2021'!D$99,0)</f>
        <v>0</v>
      </c>
      <c r="M986" s="723">
        <f>IF(A986='Data Entry - SOF'!B$2,'Data Entry - SOF'!M$102,0)</f>
        <v>0</v>
      </c>
      <c r="N986" s="717">
        <f t="shared" si="94"/>
        <v>1270683</v>
      </c>
      <c r="O986" s="944">
        <f>IF(A986='Data Entry - SOF'!B$2,'Report-SOF2122'!D$91,0)</f>
        <v>0</v>
      </c>
      <c r="P986" s="723">
        <f>IF(A986='Data Entry - SOF'!B$2,'Data Entry - SOF'!O$102,0)</f>
        <v>0</v>
      </c>
      <c r="Q986" s="601">
        <f t="shared" si="91"/>
        <v>1270683</v>
      </c>
      <c r="R986" s="944">
        <f>IF(A986='Data Entry - SOF'!B$2,'Report-SOF2223'!D$91,0)</f>
        <v>0</v>
      </c>
      <c r="S986" s="723">
        <f>IF(A986='Data Entry - SOF'!B$2,'Data Entry - SOF'!Q$102,0)</f>
        <v>0</v>
      </c>
      <c r="T986" s="601">
        <f t="shared" si="95"/>
        <v>1270683</v>
      </c>
      <c r="U986" s="944">
        <f>IF(A986='Data Entry - SOF'!B$2,'Report-SOF2324'!D$91,0)</f>
        <v>0</v>
      </c>
      <c r="V986" s="723">
        <f>IF(A986='Data Entry - SOF'!B$2,'Data Entry - SOF'!S$102,0)</f>
        <v>0</v>
      </c>
    </row>
    <row r="987" spans="1:22" ht="15.75">
      <c r="A987" s="382" t="s">
        <v>40</v>
      </c>
      <c r="B987" s="91">
        <v>44671556</v>
      </c>
      <c r="C987" s="944">
        <f>IF(A987='Data Entry - SOF'!B$2,'Report-SOF1718'!D$102,0)</f>
        <v>0</v>
      </c>
      <c r="D987" s="1037">
        <f>IF(A987='Data Entry - SOF'!B$2,'Data Entry - SOF'!#REF!,0)</f>
        <v>0</v>
      </c>
      <c r="E987" s="91">
        <f t="shared" si="90"/>
        <v>44671556</v>
      </c>
      <c r="F987" s="944">
        <f>IF(A987='Data Entry - SOF'!B$2,'Report-SOF1819'!D$102,0)</f>
        <v>0</v>
      </c>
      <c r="G987" s="1037">
        <f>IF(A987='Data Entry - SOF'!B$2,'Data Entry - SOF'!E$102,0)</f>
        <v>0</v>
      </c>
      <c r="H987" s="1038">
        <f t="shared" si="92"/>
        <v>44671556</v>
      </c>
      <c r="I987" s="944">
        <f>IF(A987='Data Entry - SOF'!B$2,'Report-SOF1920-HB3'!D$102,0)</f>
        <v>0</v>
      </c>
      <c r="J987" s="1037">
        <f>IF(A987='Data Entry - SOF'!B$2,'Data Entry - SOF'!G$102,0)</f>
        <v>0</v>
      </c>
      <c r="K987" s="717">
        <f t="shared" si="93"/>
        <v>44671556</v>
      </c>
      <c r="L987" s="944">
        <f>IF(A987='Data Entry - SOF'!B$2,'Report-SOF2021'!D$99,0)</f>
        <v>0</v>
      </c>
      <c r="M987" s="723">
        <f>IF(A987='Data Entry - SOF'!B$2,'Data Entry - SOF'!M$102,0)</f>
        <v>0</v>
      </c>
      <c r="N987" s="717">
        <f t="shared" si="94"/>
        <v>44671556</v>
      </c>
      <c r="O987" s="944">
        <f>IF(A987='Data Entry - SOF'!B$2,'Report-SOF2122'!D$91,0)</f>
        <v>0</v>
      </c>
      <c r="P987" s="723">
        <f>IF(A987='Data Entry - SOF'!B$2,'Data Entry - SOF'!O$102,0)</f>
        <v>0</v>
      </c>
      <c r="Q987" s="601">
        <f t="shared" si="91"/>
        <v>44671556</v>
      </c>
      <c r="R987" s="944">
        <f>IF(A987='Data Entry - SOF'!B$2,'Report-SOF2223'!D$91,0)</f>
        <v>0</v>
      </c>
      <c r="S987" s="723">
        <f>IF(A987='Data Entry - SOF'!B$2,'Data Entry - SOF'!Q$102,0)</f>
        <v>0</v>
      </c>
      <c r="T987" s="601">
        <f t="shared" si="95"/>
        <v>44671556</v>
      </c>
      <c r="U987" s="944">
        <f>IF(A987='Data Entry - SOF'!B$2,'Report-SOF2324'!D$91,0)</f>
        <v>0</v>
      </c>
      <c r="V987" s="723">
        <f>IF(A987='Data Entry - SOF'!B$2,'Data Entry - SOF'!S$102,0)</f>
        <v>0</v>
      </c>
    </row>
    <row r="988" spans="1:22" ht="15.75">
      <c r="A988" s="382" t="s">
        <v>11</v>
      </c>
      <c r="B988" s="91">
        <v>16094922</v>
      </c>
      <c r="C988" s="944">
        <f>IF(A988='Data Entry - SOF'!B$2,'Report-SOF1718'!D$102,0)</f>
        <v>0</v>
      </c>
      <c r="D988" s="1037">
        <f>IF(A988='Data Entry - SOF'!B$2,'Data Entry - SOF'!#REF!,0)</f>
        <v>0</v>
      </c>
      <c r="E988" s="91">
        <f t="shared" si="90"/>
        <v>16094922</v>
      </c>
      <c r="F988" s="944">
        <f>IF(A988='Data Entry - SOF'!B$2,'Report-SOF1819'!D$102,0)</f>
        <v>0</v>
      </c>
      <c r="G988" s="1037">
        <f>IF(A988='Data Entry - SOF'!B$2,'Data Entry - SOF'!E$102,0)</f>
        <v>0</v>
      </c>
      <c r="H988" s="1038">
        <f t="shared" si="92"/>
        <v>16094922</v>
      </c>
      <c r="I988" s="944">
        <f>IF(A988='Data Entry - SOF'!B$2,'Report-SOF1920-HB3'!D$102,0)</f>
        <v>0</v>
      </c>
      <c r="J988" s="1037">
        <f>IF(A988='Data Entry - SOF'!B$2,'Data Entry - SOF'!G$102,0)</f>
        <v>0</v>
      </c>
      <c r="K988" s="717">
        <f t="shared" si="93"/>
        <v>16094922</v>
      </c>
      <c r="L988" s="944">
        <f>IF(A988='Data Entry - SOF'!B$2,'Report-SOF2021'!D$99,0)</f>
        <v>0</v>
      </c>
      <c r="M988" s="723">
        <f>IF(A988='Data Entry - SOF'!B$2,'Data Entry - SOF'!M$102,0)</f>
        <v>0</v>
      </c>
      <c r="N988" s="717">
        <f t="shared" si="94"/>
        <v>16094922</v>
      </c>
      <c r="O988" s="944">
        <f>IF(A988='Data Entry - SOF'!B$2,'Report-SOF2122'!D$91,0)</f>
        <v>0</v>
      </c>
      <c r="P988" s="723">
        <f>IF(A988='Data Entry - SOF'!B$2,'Data Entry - SOF'!O$102,0)</f>
        <v>0</v>
      </c>
      <c r="Q988" s="601">
        <f t="shared" si="91"/>
        <v>16094922</v>
      </c>
      <c r="R988" s="944">
        <f>IF(A988='Data Entry - SOF'!B$2,'Report-SOF2223'!D$91,0)</f>
        <v>0</v>
      </c>
      <c r="S988" s="723">
        <f>IF(A988='Data Entry - SOF'!B$2,'Data Entry - SOF'!Q$102,0)</f>
        <v>0</v>
      </c>
      <c r="T988" s="601">
        <f t="shared" si="95"/>
        <v>16094922</v>
      </c>
      <c r="U988" s="944">
        <f>IF(A988='Data Entry - SOF'!B$2,'Report-SOF2324'!D$91,0)</f>
        <v>0</v>
      </c>
      <c r="V988" s="723">
        <f>IF(A988='Data Entry - SOF'!B$2,'Data Entry - SOF'!S$102,0)</f>
        <v>0</v>
      </c>
    </row>
    <row r="989" spans="1:22" ht="15.75">
      <c r="A989" s="382" t="s">
        <v>1771</v>
      </c>
      <c r="B989" s="91">
        <v>37769246</v>
      </c>
      <c r="C989" s="944">
        <f>IF(A989='Data Entry - SOF'!B$2,'Report-SOF1718'!D$102,0)</f>
        <v>0</v>
      </c>
      <c r="D989" s="1037">
        <f>IF(A989='Data Entry - SOF'!B$2,'Data Entry - SOF'!#REF!,0)</f>
        <v>0</v>
      </c>
      <c r="E989" s="91">
        <f t="shared" si="90"/>
        <v>37769246</v>
      </c>
      <c r="F989" s="944">
        <f>IF(A989='Data Entry - SOF'!B$2,'Report-SOF1819'!D$102,0)</f>
        <v>0</v>
      </c>
      <c r="G989" s="1037">
        <f>IF(A989='Data Entry - SOF'!B$2,'Data Entry - SOF'!E$102,0)</f>
        <v>0</v>
      </c>
      <c r="H989" s="1038">
        <f t="shared" si="92"/>
        <v>37769246</v>
      </c>
      <c r="I989" s="944">
        <f>IF(A989='Data Entry - SOF'!B$2,'Report-SOF1920-HB3'!D$102,0)</f>
        <v>0</v>
      </c>
      <c r="J989" s="1037">
        <f>IF(A989='Data Entry - SOF'!B$2,'Data Entry - SOF'!G$102,0)</f>
        <v>0</v>
      </c>
      <c r="K989" s="717">
        <f t="shared" si="93"/>
        <v>37769246</v>
      </c>
      <c r="L989" s="944">
        <f>IF(A989='Data Entry - SOF'!B$2,'Report-SOF2021'!D$99,0)</f>
        <v>0</v>
      </c>
      <c r="M989" s="723">
        <f>IF(A989='Data Entry - SOF'!B$2,'Data Entry - SOF'!M$102,0)</f>
        <v>0</v>
      </c>
      <c r="N989" s="717">
        <f t="shared" si="94"/>
        <v>37769246</v>
      </c>
      <c r="O989" s="944">
        <f>IF(A989='Data Entry - SOF'!B$2,'Report-SOF2122'!D$91,0)</f>
        <v>0</v>
      </c>
      <c r="P989" s="723">
        <f>IF(A989='Data Entry - SOF'!B$2,'Data Entry - SOF'!O$102,0)</f>
        <v>0</v>
      </c>
      <c r="Q989" s="601">
        <f t="shared" si="91"/>
        <v>37769246</v>
      </c>
      <c r="R989" s="944">
        <f>IF(A989='Data Entry - SOF'!B$2,'Report-SOF2223'!D$91,0)</f>
        <v>0</v>
      </c>
      <c r="S989" s="723">
        <f>IF(A989='Data Entry - SOF'!B$2,'Data Entry - SOF'!Q$102,0)</f>
        <v>0</v>
      </c>
      <c r="T989" s="601">
        <f t="shared" si="95"/>
        <v>37769246</v>
      </c>
      <c r="U989" s="944">
        <f>IF(A989='Data Entry - SOF'!B$2,'Report-SOF2324'!D$91,0)</f>
        <v>0</v>
      </c>
      <c r="V989" s="723">
        <f>IF(A989='Data Entry - SOF'!B$2,'Data Entry - SOF'!S$102,0)</f>
        <v>0</v>
      </c>
    </row>
    <row r="990" spans="1:22" ht="15.75">
      <c r="A990" s="382" t="s">
        <v>1310</v>
      </c>
      <c r="B990" s="91">
        <v>505631477.14770103</v>
      </c>
      <c r="C990" s="944">
        <f>IF(A990='Data Entry - SOF'!B$2,'Report-SOF1718'!D$102,0)</f>
        <v>0</v>
      </c>
      <c r="D990" s="1037">
        <f>IF(A990='Data Entry - SOF'!B$2,'Data Entry - SOF'!#REF!,0)</f>
        <v>0</v>
      </c>
      <c r="E990" s="91">
        <f t="shared" si="90"/>
        <v>505631477.14770103</v>
      </c>
      <c r="F990" s="944">
        <f>IF(A990='Data Entry - SOF'!B$2,'Report-SOF1819'!D$102,0)</f>
        <v>0</v>
      </c>
      <c r="G990" s="1037">
        <f>IF(A990='Data Entry - SOF'!B$2,'Data Entry - SOF'!E$102,0)</f>
        <v>0</v>
      </c>
      <c r="H990" s="1038">
        <f t="shared" si="92"/>
        <v>505631477.14770103</v>
      </c>
      <c r="I990" s="944">
        <f>IF(A990='Data Entry - SOF'!B$2,'Report-SOF1920-HB3'!D$102,0)</f>
        <v>0</v>
      </c>
      <c r="J990" s="1037">
        <f>IF(A990='Data Entry - SOF'!B$2,'Data Entry - SOF'!G$102,0)</f>
        <v>0</v>
      </c>
      <c r="K990" s="717">
        <f t="shared" si="93"/>
        <v>505631477.14770103</v>
      </c>
      <c r="L990" s="944">
        <f>IF(A990='Data Entry - SOF'!B$2,'Report-SOF2021'!D$99,0)</f>
        <v>0</v>
      </c>
      <c r="M990" s="723">
        <f>IF(A990='Data Entry - SOF'!B$2,'Data Entry - SOF'!M$102,0)</f>
        <v>0</v>
      </c>
      <c r="N990" s="717">
        <f t="shared" si="94"/>
        <v>505631477.14770103</v>
      </c>
      <c r="O990" s="944">
        <f>IF(A990='Data Entry - SOF'!B$2,'Report-SOF2122'!D$91,0)</f>
        <v>0</v>
      </c>
      <c r="P990" s="723">
        <f>IF(A990='Data Entry - SOF'!B$2,'Data Entry - SOF'!O$102,0)</f>
        <v>0</v>
      </c>
      <c r="Q990" s="601">
        <f t="shared" si="91"/>
        <v>505631477.14770103</v>
      </c>
      <c r="R990" s="944">
        <f>IF(A990='Data Entry - SOF'!B$2,'Report-SOF2223'!D$91,0)</f>
        <v>0</v>
      </c>
      <c r="S990" s="723">
        <f>IF(A990='Data Entry - SOF'!B$2,'Data Entry - SOF'!Q$102,0)</f>
        <v>0</v>
      </c>
      <c r="T990" s="601">
        <f t="shared" si="95"/>
        <v>505631477.14770103</v>
      </c>
      <c r="U990" s="944">
        <f>IF(A990='Data Entry - SOF'!B$2,'Report-SOF2324'!D$91,0)</f>
        <v>0</v>
      </c>
      <c r="V990" s="723">
        <f>IF(A990='Data Entry - SOF'!B$2,'Data Entry - SOF'!S$102,0)</f>
        <v>0</v>
      </c>
    </row>
    <row r="991" spans="1:22" ht="15.75">
      <c r="A991" s="382" t="s">
        <v>1545</v>
      </c>
      <c r="B991" s="91">
        <v>11586930</v>
      </c>
      <c r="C991" s="944">
        <f>IF(A991='Data Entry - SOF'!B$2,'Report-SOF1718'!D$102,0)</f>
        <v>0</v>
      </c>
      <c r="D991" s="1037">
        <f>IF(A991='Data Entry - SOF'!B$2,'Data Entry - SOF'!#REF!,0)</f>
        <v>0</v>
      </c>
      <c r="E991" s="91">
        <f t="shared" si="90"/>
        <v>11586930</v>
      </c>
      <c r="F991" s="944">
        <f>IF(A991='Data Entry - SOF'!B$2,'Report-SOF1819'!D$102,0)</f>
        <v>0</v>
      </c>
      <c r="G991" s="1037">
        <f>IF(A991='Data Entry - SOF'!B$2,'Data Entry - SOF'!E$102,0)</f>
        <v>0</v>
      </c>
      <c r="H991" s="1038">
        <f t="shared" si="92"/>
        <v>11586930</v>
      </c>
      <c r="I991" s="944">
        <f>IF(A991='Data Entry - SOF'!B$2,'Report-SOF1920-HB3'!D$102,0)</f>
        <v>0</v>
      </c>
      <c r="J991" s="1037">
        <f>IF(A991='Data Entry - SOF'!B$2,'Data Entry - SOF'!G$102,0)</f>
        <v>0</v>
      </c>
      <c r="K991" s="717">
        <f t="shared" si="93"/>
        <v>11586930</v>
      </c>
      <c r="L991" s="944">
        <f>IF(A991='Data Entry - SOF'!B$2,'Report-SOF2021'!D$99,0)</f>
        <v>0</v>
      </c>
      <c r="M991" s="723">
        <f>IF(A991='Data Entry - SOF'!B$2,'Data Entry - SOF'!M$102,0)</f>
        <v>0</v>
      </c>
      <c r="N991" s="717">
        <f t="shared" si="94"/>
        <v>11586930</v>
      </c>
      <c r="O991" s="944">
        <f>IF(A991='Data Entry - SOF'!B$2,'Report-SOF2122'!D$91,0)</f>
        <v>0</v>
      </c>
      <c r="P991" s="723">
        <f>IF(A991='Data Entry - SOF'!B$2,'Data Entry - SOF'!O$102,0)</f>
        <v>0</v>
      </c>
      <c r="Q991" s="601">
        <f t="shared" si="91"/>
        <v>11586930</v>
      </c>
      <c r="R991" s="944">
        <f>IF(A991='Data Entry - SOF'!B$2,'Report-SOF2223'!D$91,0)</f>
        <v>0</v>
      </c>
      <c r="S991" s="723">
        <f>IF(A991='Data Entry - SOF'!B$2,'Data Entry - SOF'!Q$102,0)</f>
        <v>0</v>
      </c>
      <c r="T991" s="601">
        <f t="shared" si="95"/>
        <v>11586930</v>
      </c>
      <c r="U991" s="944">
        <f>IF(A991='Data Entry - SOF'!B$2,'Report-SOF2324'!D$91,0)</f>
        <v>0</v>
      </c>
      <c r="V991" s="723">
        <f>IF(A991='Data Entry - SOF'!B$2,'Data Entry - SOF'!S$102,0)</f>
        <v>0</v>
      </c>
    </row>
    <row r="992" spans="1:22" ht="15.75">
      <c r="A992" s="382" t="s">
        <v>1515</v>
      </c>
      <c r="B992" s="91">
        <v>2374887</v>
      </c>
      <c r="C992" s="944">
        <f>IF(A992='Data Entry - SOF'!B$2,'Report-SOF1718'!D$102,0)</f>
        <v>0</v>
      </c>
      <c r="D992" s="1037">
        <f>IF(A992='Data Entry - SOF'!B$2,'Data Entry - SOF'!#REF!,0)</f>
        <v>0</v>
      </c>
      <c r="E992" s="91">
        <f t="shared" si="90"/>
        <v>2374887</v>
      </c>
      <c r="F992" s="944">
        <f>IF(A992='Data Entry - SOF'!B$2,'Report-SOF1819'!D$102,0)</f>
        <v>0</v>
      </c>
      <c r="G992" s="1037">
        <f>IF(A992='Data Entry - SOF'!B$2,'Data Entry - SOF'!E$102,0)</f>
        <v>0</v>
      </c>
      <c r="H992" s="1038">
        <f t="shared" si="92"/>
        <v>2374887</v>
      </c>
      <c r="I992" s="944">
        <f>IF(A992='Data Entry - SOF'!B$2,'Report-SOF1920-HB3'!D$102,0)</f>
        <v>0</v>
      </c>
      <c r="J992" s="1037">
        <f>IF(A992='Data Entry - SOF'!B$2,'Data Entry - SOF'!G$102,0)</f>
        <v>0</v>
      </c>
      <c r="K992" s="717">
        <f t="shared" si="93"/>
        <v>2374887</v>
      </c>
      <c r="L992" s="944">
        <f>IF(A992='Data Entry - SOF'!B$2,'Report-SOF2021'!D$99,0)</f>
        <v>0</v>
      </c>
      <c r="M992" s="723">
        <f>IF(A992='Data Entry - SOF'!B$2,'Data Entry - SOF'!M$102,0)</f>
        <v>0</v>
      </c>
      <c r="N992" s="717">
        <f t="shared" si="94"/>
        <v>2374887</v>
      </c>
      <c r="O992" s="944">
        <f>IF(A992='Data Entry - SOF'!B$2,'Report-SOF2122'!D$91,0)</f>
        <v>0</v>
      </c>
      <c r="P992" s="723">
        <f>IF(A992='Data Entry - SOF'!B$2,'Data Entry - SOF'!O$102,0)</f>
        <v>0</v>
      </c>
      <c r="Q992" s="601">
        <f t="shared" si="91"/>
        <v>2374887</v>
      </c>
      <c r="R992" s="944">
        <f>IF(A992='Data Entry - SOF'!B$2,'Report-SOF2223'!D$91,0)</f>
        <v>0</v>
      </c>
      <c r="S992" s="723">
        <f>IF(A992='Data Entry - SOF'!B$2,'Data Entry - SOF'!Q$102,0)</f>
        <v>0</v>
      </c>
      <c r="T992" s="601">
        <f t="shared" si="95"/>
        <v>2374887</v>
      </c>
      <c r="U992" s="944">
        <f>IF(A992='Data Entry - SOF'!B$2,'Report-SOF2324'!D$91,0)</f>
        <v>0</v>
      </c>
      <c r="V992" s="723">
        <f>IF(A992='Data Entry - SOF'!B$2,'Data Entry - SOF'!S$102,0)</f>
        <v>0</v>
      </c>
    </row>
    <row r="993" spans="1:22" ht="15.75">
      <c r="A993" s="382" t="s">
        <v>1769</v>
      </c>
      <c r="B993" s="91">
        <v>522230273</v>
      </c>
      <c r="C993" s="944">
        <f>IF(A993='Data Entry - SOF'!B$2,'Report-SOF1718'!D$102,0)</f>
        <v>0</v>
      </c>
      <c r="D993" s="1037">
        <f>IF(A993='Data Entry - SOF'!B$2,'Data Entry - SOF'!#REF!,0)</f>
        <v>0</v>
      </c>
      <c r="E993" s="91">
        <f t="shared" si="90"/>
        <v>522230273</v>
      </c>
      <c r="F993" s="944">
        <f>IF(A993='Data Entry - SOF'!B$2,'Report-SOF1819'!D$102,0)</f>
        <v>0</v>
      </c>
      <c r="G993" s="1037">
        <f>IF(A993='Data Entry - SOF'!B$2,'Data Entry - SOF'!E$102,0)</f>
        <v>0</v>
      </c>
      <c r="H993" s="1038">
        <f t="shared" si="92"/>
        <v>522230273</v>
      </c>
      <c r="I993" s="944">
        <f>IF(A993='Data Entry - SOF'!B$2,'Report-SOF1920-HB3'!D$102,0)</f>
        <v>0</v>
      </c>
      <c r="J993" s="1037">
        <f>IF(A993='Data Entry - SOF'!B$2,'Data Entry - SOF'!G$102,0)</f>
        <v>0</v>
      </c>
      <c r="K993" s="717">
        <f t="shared" si="93"/>
        <v>522230273</v>
      </c>
      <c r="L993" s="944">
        <f>IF(A993='Data Entry - SOF'!B$2,'Report-SOF2021'!D$99,0)</f>
        <v>0</v>
      </c>
      <c r="M993" s="723">
        <f>IF(A993='Data Entry - SOF'!B$2,'Data Entry - SOF'!M$102,0)</f>
        <v>0</v>
      </c>
      <c r="N993" s="717">
        <f t="shared" si="94"/>
        <v>522230273</v>
      </c>
      <c r="O993" s="944">
        <f>IF(A993='Data Entry - SOF'!B$2,'Report-SOF2122'!D$91,0)</f>
        <v>0</v>
      </c>
      <c r="P993" s="723">
        <f>IF(A993='Data Entry - SOF'!B$2,'Data Entry - SOF'!O$102,0)</f>
        <v>0</v>
      </c>
      <c r="Q993" s="601">
        <f t="shared" si="91"/>
        <v>522230273</v>
      </c>
      <c r="R993" s="944">
        <f>IF(A993='Data Entry - SOF'!B$2,'Report-SOF2223'!D$91,0)</f>
        <v>0</v>
      </c>
      <c r="S993" s="723">
        <f>IF(A993='Data Entry - SOF'!B$2,'Data Entry - SOF'!Q$102,0)</f>
        <v>0</v>
      </c>
      <c r="T993" s="601">
        <f t="shared" si="95"/>
        <v>522230273</v>
      </c>
      <c r="U993" s="944">
        <f>IF(A993='Data Entry - SOF'!B$2,'Report-SOF2324'!D$91,0)</f>
        <v>0</v>
      </c>
      <c r="V993" s="723">
        <f>IF(A993='Data Entry - SOF'!B$2,'Data Entry - SOF'!S$102,0)</f>
        <v>0</v>
      </c>
    </row>
    <row r="994" spans="1:22" ht="15.75">
      <c r="A994" s="382" t="s">
        <v>12</v>
      </c>
      <c r="B994" s="91">
        <v>237449</v>
      </c>
      <c r="C994" s="944">
        <f>IF(A994='Data Entry - SOF'!B$2,'Report-SOF1718'!D$102,0)</f>
        <v>0</v>
      </c>
      <c r="D994" s="1037">
        <f>IF(A994='Data Entry - SOF'!B$2,'Data Entry - SOF'!#REF!,0)</f>
        <v>0</v>
      </c>
      <c r="E994" s="91">
        <f t="shared" si="90"/>
        <v>237449</v>
      </c>
      <c r="F994" s="944">
        <f>IF(A994='Data Entry - SOF'!B$2,'Report-SOF1819'!D$102,0)</f>
        <v>0</v>
      </c>
      <c r="G994" s="1037">
        <f>IF(A994='Data Entry - SOF'!B$2,'Data Entry - SOF'!E$102,0)</f>
        <v>0</v>
      </c>
      <c r="H994" s="1038">
        <f t="shared" si="92"/>
        <v>237449</v>
      </c>
      <c r="I994" s="944">
        <f>IF(A994='Data Entry - SOF'!B$2,'Report-SOF1920-HB3'!D$102,0)</f>
        <v>0</v>
      </c>
      <c r="J994" s="1037">
        <f>IF(A994='Data Entry - SOF'!B$2,'Data Entry - SOF'!G$102,0)</f>
        <v>0</v>
      </c>
      <c r="K994" s="717">
        <f t="shared" si="93"/>
        <v>237449</v>
      </c>
      <c r="L994" s="944">
        <f>IF(A994='Data Entry - SOF'!B$2,'Report-SOF2021'!D$99,0)</f>
        <v>0</v>
      </c>
      <c r="M994" s="723">
        <f>IF(A994='Data Entry - SOF'!B$2,'Data Entry - SOF'!M$102,0)</f>
        <v>0</v>
      </c>
      <c r="N994" s="717">
        <f t="shared" si="94"/>
        <v>237449</v>
      </c>
      <c r="O994" s="944">
        <f>IF(A994='Data Entry - SOF'!B$2,'Report-SOF2122'!D$91,0)</f>
        <v>0</v>
      </c>
      <c r="P994" s="723">
        <f>IF(A994='Data Entry - SOF'!B$2,'Data Entry - SOF'!O$102,0)</f>
        <v>0</v>
      </c>
      <c r="Q994" s="601">
        <f t="shared" si="91"/>
        <v>237449</v>
      </c>
      <c r="R994" s="944">
        <f>IF(A994='Data Entry - SOF'!B$2,'Report-SOF2223'!D$91,0)</f>
        <v>0</v>
      </c>
      <c r="S994" s="723">
        <f>IF(A994='Data Entry - SOF'!B$2,'Data Entry - SOF'!Q$102,0)</f>
        <v>0</v>
      </c>
      <c r="T994" s="601">
        <f t="shared" si="95"/>
        <v>237449</v>
      </c>
      <c r="U994" s="944">
        <f>IF(A994='Data Entry - SOF'!B$2,'Report-SOF2324'!D$91,0)</f>
        <v>0</v>
      </c>
      <c r="V994" s="723">
        <f>IF(A994='Data Entry - SOF'!B$2,'Data Entry - SOF'!S$102,0)</f>
        <v>0</v>
      </c>
    </row>
    <row r="995" spans="1:22" ht="15.75">
      <c r="A995" s="382" t="s">
        <v>2455</v>
      </c>
      <c r="B995" s="91">
        <v>19256872</v>
      </c>
      <c r="C995" s="944">
        <f>IF(A995='Data Entry - SOF'!B$2,'Report-SOF1718'!D$102,0)</f>
        <v>0</v>
      </c>
      <c r="D995" s="1037">
        <f>IF(A995='Data Entry - SOF'!B$2,'Data Entry - SOF'!#REF!,0)</f>
        <v>0</v>
      </c>
      <c r="E995" s="91">
        <f t="shared" si="90"/>
        <v>19256872</v>
      </c>
      <c r="F995" s="944">
        <f>IF(A995='Data Entry - SOF'!B$2,'Report-SOF1819'!D$102,0)</f>
        <v>0</v>
      </c>
      <c r="G995" s="1037">
        <f>IF(A995='Data Entry - SOF'!B$2,'Data Entry - SOF'!E$102,0)</f>
        <v>0</v>
      </c>
      <c r="H995" s="1038">
        <f t="shared" si="92"/>
        <v>19256872</v>
      </c>
      <c r="I995" s="944">
        <f>IF(A995='Data Entry - SOF'!B$2,'Report-SOF1920-HB3'!D$102,0)</f>
        <v>0</v>
      </c>
      <c r="J995" s="1037">
        <f>IF(A995='Data Entry - SOF'!B$2,'Data Entry - SOF'!G$102,0)</f>
        <v>0</v>
      </c>
      <c r="K995" s="717">
        <f t="shared" si="93"/>
        <v>19256872</v>
      </c>
      <c r="L995" s="944">
        <f>IF(A995='Data Entry - SOF'!B$2,'Report-SOF2021'!D$99,0)</f>
        <v>0</v>
      </c>
      <c r="M995" s="723">
        <f>IF(A995='Data Entry - SOF'!B$2,'Data Entry - SOF'!M$102,0)</f>
        <v>0</v>
      </c>
      <c r="N995" s="717">
        <f t="shared" si="94"/>
        <v>19256872</v>
      </c>
      <c r="O995" s="944">
        <f>IF(A995='Data Entry - SOF'!B$2,'Report-SOF2122'!D$91,0)</f>
        <v>0</v>
      </c>
      <c r="P995" s="723">
        <f>IF(A995='Data Entry - SOF'!B$2,'Data Entry - SOF'!O$102,0)</f>
        <v>0</v>
      </c>
      <c r="Q995" s="601">
        <f t="shared" si="91"/>
        <v>19256872</v>
      </c>
      <c r="R995" s="944">
        <f>IF(A995='Data Entry - SOF'!B$2,'Report-SOF2223'!D$91,0)</f>
        <v>0</v>
      </c>
      <c r="S995" s="723">
        <f>IF(A995='Data Entry - SOF'!B$2,'Data Entry - SOF'!Q$102,0)</f>
        <v>0</v>
      </c>
      <c r="T995" s="601">
        <f t="shared" si="95"/>
        <v>19256872</v>
      </c>
      <c r="U995" s="944">
        <f>IF(A995='Data Entry - SOF'!B$2,'Report-SOF2324'!D$91,0)</f>
        <v>0</v>
      </c>
      <c r="V995" s="723">
        <f>IF(A995='Data Entry - SOF'!B$2,'Data Entry - SOF'!S$102,0)</f>
        <v>0</v>
      </c>
    </row>
    <row r="996" spans="1:22" ht="15.75">
      <c r="A996" s="382" t="s">
        <v>59</v>
      </c>
      <c r="B996" s="91">
        <v>10203584</v>
      </c>
      <c r="C996" s="944">
        <f>IF(A996='Data Entry - SOF'!B$2,'Report-SOF1718'!D$102,0)</f>
        <v>0</v>
      </c>
      <c r="D996" s="1037">
        <f>IF(A996='Data Entry - SOF'!B$2,'Data Entry - SOF'!#REF!,0)</f>
        <v>0</v>
      </c>
      <c r="E996" s="91">
        <f t="shared" si="90"/>
        <v>10203584</v>
      </c>
      <c r="F996" s="944">
        <f>IF(A996='Data Entry - SOF'!B$2,'Report-SOF1819'!D$102,0)</f>
        <v>0</v>
      </c>
      <c r="G996" s="1037">
        <f>IF(A996='Data Entry - SOF'!B$2,'Data Entry - SOF'!E$102,0)</f>
        <v>0</v>
      </c>
      <c r="H996" s="1038">
        <f t="shared" si="92"/>
        <v>10203584</v>
      </c>
      <c r="I996" s="944">
        <f>IF(A996='Data Entry - SOF'!B$2,'Report-SOF1920-HB3'!D$102,0)</f>
        <v>0</v>
      </c>
      <c r="J996" s="1037">
        <f>IF(A996='Data Entry - SOF'!B$2,'Data Entry - SOF'!G$102,0)</f>
        <v>0</v>
      </c>
      <c r="K996" s="717">
        <f t="shared" si="93"/>
        <v>10203584</v>
      </c>
      <c r="L996" s="944">
        <f>IF(A996='Data Entry - SOF'!B$2,'Report-SOF2021'!D$99,0)</f>
        <v>0</v>
      </c>
      <c r="M996" s="723">
        <f>IF(A996='Data Entry - SOF'!B$2,'Data Entry - SOF'!M$102,0)</f>
        <v>0</v>
      </c>
      <c r="N996" s="717">
        <f t="shared" si="94"/>
        <v>10203584</v>
      </c>
      <c r="O996" s="944">
        <f>IF(A996='Data Entry - SOF'!B$2,'Report-SOF2122'!D$91,0)</f>
        <v>0</v>
      </c>
      <c r="P996" s="723">
        <f>IF(A996='Data Entry - SOF'!B$2,'Data Entry - SOF'!O$102,0)</f>
        <v>0</v>
      </c>
      <c r="Q996" s="601">
        <f t="shared" si="91"/>
        <v>10203584</v>
      </c>
      <c r="R996" s="944">
        <f>IF(A996='Data Entry - SOF'!B$2,'Report-SOF2223'!D$91,0)</f>
        <v>0</v>
      </c>
      <c r="S996" s="723">
        <f>IF(A996='Data Entry - SOF'!B$2,'Data Entry - SOF'!Q$102,0)</f>
        <v>0</v>
      </c>
      <c r="T996" s="601">
        <f t="shared" si="95"/>
        <v>10203584</v>
      </c>
      <c r="U996" s="944">
        <f>IF(A996='Data Entry - SOF'!B$2,'Report-SOF2324'!D$91,0)</f>
        <v>0</v>
      </c>
      <c r="V996" s="723">
        <f>IF(A996='Data Entry - SOF'!B$2,'Data Entry - SOF'!S$102,0)</f>
        <v>0</v>
      </c>
    </row>
    <row r="997" spans="1:22" ht="15.75">
      <c r="A997" s="382" t="s">
        <v>2456</v>
      </c>
      <c r="B997" s="91">
        <v>4675121</v>
      </c>
      <c r="C997" s="944">
        <f>IF(A997='Data Entry - SOF'!B$2,'Report-SOF1718'!D$102,0)</f>
        <v>0</v>
      </c>
      <c r="D997" s="1037">
        <f>IF(A997='Data Entry - SOF'!B$2,'Data Entry - SOF'!#REF!,0)</f>
        <v>0</v>
      </c>
      <c r="E997" s="91">
        <f t="shared" si="90"/>
        <v>4675121</v>
      </c>
      <c r="F997" s="944">
        <f>IF(A997='Data Entry - SOF'!B$2,'Report-SOF1819'!D$102,0)</f>
        <v>0</v>
      </c>
      <c r="G997" s="1037">
        <f>IF(A997='Data Entry - SOF'!B$2,'Data Entry - SOF'!E$102,0)</f>
        <v>0</v>
      </c>
      <c r="H997" s="1038">
        <f t="shared" si="92"/>
        <v>4675121</v>
      </c>
      <c r="I997" s="944">
        <f>IF(A997='Data Entry - SOF'!B$2,'Report-SOF1920-HB3'!D$102,0)</f>
        <v>0</v>
      </c>
      <c r="J997" s="1037">
        <f>IF(A997='Data Entry - SOF'!B$2,'Data Entry - SOF'!G$102,0)</f>
        <v>0</v>
      </c>
      <c r="K997" s="717">
        <f t="shared" si="93"/>
        <v>4675121</v>
      </c>
      <c r="L997" s="944">
        <f>IF(A997='Data Entry - SOF'!B$2,'Report-SOF2021'!D$99,0)</f>
        <v>0</v>
      </c>
      <c r="M997" s="723">
        <f>IF(A997='Data Entry - SOF'!B$2,'Data Entry - SOF'!M$102,0)</f>
        <v>0</v>
      </c>
      <c r="N997" s="717">
        <f t="shared" si="94"/>
        <v>4675121</v>
      </c>
      <c r="O997" s="944">
        <f>IF(A997='Data Entry - SOF'!B$2,'Report-SOF2122'!D$91,0)</f>
        <v>0</v>
      </c>
      <c r="P997" s="723">
        <f>IF(A997='Data Entry - SOF'!B$2,'Data Entry - SOF'!O$102,0)</f>
        <v>0</v>
      </c>
      <c r="Q997" s="601">
        <f t="shared" si="91"/>
        <v>4675121</v>
      </c>
      <c r="R997" s="944">
        <f>IF(A997='Data Entry - SOF'!B$2,'Report-SOF2223'!D$91,0)</f>
        <v>0</v>
      </c>
      <c r="S997" s="723">
        <f>IF(A997='Data Entry - SOF'!B$2,'Data Entry - SOF'!Q$102,0)</f>
        <v>0</v>
      </c>
      <c r="T997" s="601">
        <f t="shared" si="95"/>
        <v>4675121</v>
      </c>
      <c r="U997" s="944">
        <f>IF(A997='Data Entry - SOF'!B$2,'Report-SOF2324'!D$91,0)</f>
        <v>0</v>
      </c>
      <c r="V997" s="723">
        <f>IF(A997='Data Entry - SOF'!B$2,'Data Entry - SOF'!S$102,0)</f>
        <v>0</v>
      </c>
    </row>
    <row r="998" spans="1:22" ht="15.75">
      <c r="A998" s="382" t="s">
        <v>1512</v>
      </c>
      <c r="B998" s="91">
        <v>1742900</v>
      </c>
      <c r="C998" s="944">
        <f>IF(A998='Data Entry - SOF'!B$2,'Report-SOF1718'!D$102,0)</f>
        <v>0</v>
      </c>
      <c r="D998" s="1037">
        <f>IF(A998='Data Entry - SOF'!B$2,'Data Entry - SOF'!#REF!,0)</f>
        <v>0</v>
      </c>
      <c r="E998" s="91">
        <f t="shared" si="90"/>
        <v>1742900</v>
      </c>
      <c r="F998" s="944">
        <f>IF(A998='Data Entry - SOF'!B$2,'Report-SOF1819'!D$102,0)</f>
        <v>0</v>
      </c>
      <c r="G998" s="1037">
        <f>IF(A998='Data Entry - SOF'!B$2,'Data Entry - SOF'!E$102,0)</f>
        <v>0</v>
      </c>
      <c r="H998" s="1038">
        <f t="shared" si="92"/>
        <v>1742900</v>
      </c>
      <c r="I998" s="944">
        <f>IF(A998='Data Entry - SOF'!B$2,'Report-SOF1920-HB3'!D$102,0)</f>
        <v>0</v>
      </c>
      <c r="J998" s="1037">
        <f>IF(A998='Data Entry - SOF'!B$2,'Data Entry - SOF'!G$102,0)</f>
        <v>0</v>
      </c>
      <c r="K998" s="717">
        <f t="shared" si="93"/>
        <v>1742900</v>
      </c>
      <c r="L998" s="944">
        <f>IF(A998='Data Entry - SOF'!B$2,'Report-SOF2021'!D$99,0)</f>
        <v>0</v>
      </c>
      <c r="M998" s="723">
        <f>IF(A998='Data Entry - SOF'!B$2,'Data Entry - SOF'!M$102,0)</f>
        <v>0</v>
      </c>
      <c r="N998" s="717">
        <f t="shared" si="94"/>
        <v>1742900</v>
      </c>
      <c r="O998" s="944">
        <f>IF(A998='Data Entry - SOF'!B$2,'Report-SOF2122'!D$91,0)</f>
        <v>0</v>
      </c>
      <c r="P998" s="723">
        <f>IF(A998='Data Entry - SOF'!B$2,'Data Entry - SOF'!O$102,0)</f>
        <v>0</v>
      </c>
      <c r="Q998" s="601">
        <f t="shared" si="91"/>
        <v>1742900</v>
      </c>
      <c r="R998" s="944">
        <f>IF(A998='Data Entry - SOF'!B$2,'Report-SOF2223'!D$91,0)</f>
        <v>0</v>
      </c>
      <c r="S998" s="723">
        <f>IF(A998='Data Entry - SOF'!B$2,'Data Entry - SOF'!Q$102,0)</f>
        <v>0</v>
      </c>
      <c r="T998" s="601">
        <f t="shared" si="95"/>
        <v>1742900</v>
      </c>
      <c r="U998" s="944">
        <f>IF(A998='Data Entry - SOF'!B$2,'Report-SOF2324'!D$91,0)</f>
        <v>0</v>
      </c>
      <c r="V998" s="723">
        <f>IF(A998='Data Entry - SOF'!B$2,'Data Entry - SOF'!S$102,0)</f>
        <v>0</v>
      </c>
    </row>
    <row r="999" spans="1:22" ht="15.75">
      <c r="A999" s="382" t="s">
        <v>1174</v>
      </c>
      <c r="B999" s="91">
        <v>17466152</v>
      </c>
      <c r="C999" s="944">
        <f>IF(A999='Data Entry - SOF'!B$2,'Report-SOF1718'!D$102,0)</f>
        <v>0</v>
      </c>
      <c r="D999" s="1037">
        <f>IF(A999='Data Entry - SOF'!B$2,'Data Entry - SOF'!#REF!,0)</f>
        <v>0</v>
      </c>
      <c r="E999" s="91">
        <f t="shared" si="90"/>
        <v>17466152</v>
      </c>
      <c r="F999" s="944">
        <f>IF(A999='Data Entry - SOF'!B$2,'Report-SOF1819'!D$102,0)</f>
        <v>0</v>
      </c>
      <c r="G999" s="1037">
        <f>IF(A999='Data Entry - SOF'!B$2,'Data Entry - SOF'!E$102,0)</f>
        <v>0</v>
      </c>
      <c r="H999" s="1038">
        <f t="shared" si="92"/>
        <v>17466152</v>
      </c>
      <c r="I999" s="944">
        <f>IF(A999='Data Entry - SOF'!B$2,'Report-SOF1920-HB3'!D$102,0)</f>
        <v>0</v>
      </c>
      <c r="J999" s="1037">
        <f>IF(A999='Data Entry - SOF'!B$2,'Data Entry - SOF'!G$102,0)</f>
        <v>0</v>
      </c>
      <c r="K999" s="717">
        <f t="shared" si="93"/>
        <v>17466152</v>
      </c>
      <c r="L999" s="944">
        <f>IF(A999='Data Entry - SOF'!B$2,'Report-SOF2021'!D$99,0)</f>
        <v>0</v>
      </c>
      <c r="M999" s="723">
        <f>IF(A999='Data Entry - SOF'!B$2,'Data Entry - SOF'!M$102,0)</f>
        <v>0</v>
      </c>
      <c r="N999" s="717">
        <f t="shared" si="94"/>
        <v>17466152</v>
      </c>
      <c r="O999" s="944">
        <f>IF(A999='Data Entry - SOF'!B$2,'Report-SOF2122'!D$91,0)</f>
        <v>0</v>
      </c>
      <c r="P999" s="723">
        <f>IF(A999='Data Entry - SOF'!B$2,'Data Entry - SOF'!O$102,0)</f>
        <v>0</v>
      </c>
      <c r="Q999" s="601">
        <f t="shared" si="91"/>
        <v>17466152</v>
      </c>
      <c r="R999" s="944">
        <f>IF(A999='Data Entry - SOF'!B$2,'Report-SOF2223'!D$91,0)</f>
        <v>0</v>
      </c>
      <c r="S999" s="723">
        <f>IF(A999='Data Entry - SOF'!B$2,'Data Entry - SOF'!Q$102,0)</f>
        <v>0</v>
      </c>
      <c r="T999" s="601">
        <f t="shared" si="95"/>
        <v>17466152</v>
      </c>
      <c r="U999" s="944">
        <f>IF(A999='Data Entry - SOF'!B$2,'Report-SOF2324'!D$91,0)</f>
        <v>0</v>
      </c>
      <c r="V999" s="723">
        <f>IF(A999='Data Entry - SOF'!B$2,'Data Entry - SOF'!S$102,0)</f>
        <v>0</v>
      </c>
    </row>
    <row r="1000" spans="1:22" ht="15.75">
      <c r="A1000" s="382" t="s">
        <v>1175</v>
      </c>
      <c r="B1000" s="91">
        <v>33826315</v>
      </c>
      <c r="C1000" s="944">
        <f>IF(A1000='Data Entry - SOF'!B$2,'Report-SOF1718'!D$102,0)</f>
        <v>0</v>
      </c>
      <c r="D1000" s="1037">
        <f>IF(A1000='Data Entry - SOF'!B$2,'Data Entry - SOF'!#REF!,0)</f>
        <v>0</v>
      </c>
      <c r="E1000" s="91">
        <f t="shared" si="90"/>
        <v>33826315</v>
      </c>
      <c r="F1000" s="944">
        <f>IF(A1000='Data Entry - SOF'!B$2,'Report-SOF1819'!D$102,0)</f>
        <v>0</v>
      </c>
      <c r="G1000" s="1037">
        <f>IF(A1000='Data Entry - SOF'!B$2,'Data Entry - SOF'!E$102,0)</f>
        <v>0</v>
      </c>
      <c r="H1000" s="1038">
        <f t="shared" si="92"/>
        <v>33826315</v>
      </c>
      <c r="I1000" s="944">
        <f>IF(A1000='Data Entry - SOF'!B$2,'Report-SOF1920-HB3'!D$102,0)</f>
        <v>0</v>
      </c>
      <c r="J1000" s="1037">
        <f>IF(A1000='Data Entry - SOF'!B$2,'Data Entry - SOF'!G$102,0)</f>
        <v>0</v>
      </c>
      <c r="K1000" s="717">
        <f t="shared" si="93"/>
        <v>33826315</v>
      </c>
      <c r="L1000" s="944">
        <f>IF(A1000='Data Entry - SOF'!B$2,'Report-SOF2021'!D$99,0)</f>
        <v>0</v>
      </c>
      <c r="M1000" s="723">
        <f>IF(A1000='Data Entry - SOF'!B$2,'Data Entry - SOF'!M$102,0)</f>
        <v>0</v>
      </c>
      <c r="N1000" s="717">
        <f t="shared" si="94"/>
        <v>33826315</v>
      </c>
      <c r="O1000" s="944">
        <f>IF(A1000='Data Entry - SOF'!B$2,'Report-SOF2122'!D$91,0)</f>
        <v>0</v>
      </c>
      <c r="P1000" s="723">
        <f>IF(A1000='Data Entry - SOF'!B$2,'Data Entry - SOF'!O$102,0)</f>
        <v>0</v>
      </c>
      <c r="Q1000" s="601">
        <f t="shared" si="91"/>
        <v>33826315</v>
      </c>
      <c r="R1000" s="944">
        <f>IF(A1000='Data Entry - SOF'!B$2,'Report-SOF2223'!D$91,0)</f>
        <v>0</v>
      </c>
      <c r="S1000" s="723">
        <f>IF(A1000='Data Entry - SOF'!B$2,'Data Entry - SOF'!Q$102,0)</f>
        <v>0</v>
      </c>
      <c r="T1000" s="601">
        <f t="shared" si="95"/>
        <v>33826315</v>
      </c>
      <c r="U1000" s="944">
        <f>IF(A1000='Data Entry - SOF'!B$2,'Report-SOF2324'!D$91,0)</f>
        <v>0</v>
      </c>
      <c r="V1000" s="723">
        <f>IF(A1000='Data Entry - SOF'!B$2,'Data Entry - SOF'!S$102,0)</f>
        <v>0</v>
      </c>
    </row>
    <row r="1001" spans="1:22" ht="15.75">
      <c r="A1001" s="382" t="s">
        <v>196</v>
      </c>
      <c r="B1001" s="91">
        <v>3786440</v>
      </c>
      <c r="C1001" s="944">
        <f>IF(A1001='Data Entry - SOF'!B$2,'Report-SOF1718'!D$102,0)</f>
        <v>0</v>
      </c>
      <c r="D1001" s="1037">
        <f>IF(A1001='Data Entry - SOF'!B$2,'Data Entry - SOF'!#REF!,0)</f>
        <v>0</v>
      </c>
      <c r="E1001" s="91">
        <f t="shared" si="90"/>
        <v>3786440</v>
      </c>
      <c r="F1001" s="944">
        <f>IF(A1001='Data Entry - SOF'!B$2,'Report-SOF1819'!D$102,0)</f>
        <v>0</v>
      </c>
      <c r="G1001" s="1037">
        <f>IF(A1001='Data Entry - SOF'!B$2,'Data Entry - SOF'!E$102,0)</f>
        <v>0</v>
      </c>
      <c r="H1001" s="1038">
        <f t="shared" si="92"/>
        <v>3786440</v>
      </c>
      <c r="I1001" s="944">
        <f>IF(A1001='Data Entry - SOF'!B$2,'Report-SOF1920-HB3'!D$102,0)</f>
        <v>0</v>
      </c>
      <c r="J1001" s="1037">
        <f>IF(A1001='Data Entry - SOF'!B$2,'Data Entry - SOF'!G$102,0)</f>
        <v>0</v>
      </c>
      <c r="K1001" s="717">
        <f t="shared" si="93"/>
        <v>3786440</v>
      </c>
      <c r="L1001" s="944">
        <f>IF(A1001='Data Entry - SOF'!B$2,'Report-SOF2021'!D$99,0)</f>
        <v>0</v>
      </c>
      <c r="M1001" s="723">
        <f>IF(A1001='Data Entry - SOF'!B$2,'Data Entry - SOF'!M$102,0)</f>
        <v>0</v>
      </c>
      <c r="N1001" s="717">
        <f t="shared" si="94"/>
        <v>3786440</v>
      </c>
      <c r="O1001" s="944">
        <f>IF(A1001='Data Entry - SOF'!B$2,'Report-SOF2122'!D$91,0)</f>
        <v>0</v>
      </c>
      <c r="P1001" s="723">
        <f>IF(A1001='Data Entry - SOF'!B$2,'Data Entry - SOF'!O$102,0)</f>
        <v>0</v>
      </c>
      <c r="Q1001" s="601">
        <f t="shared" si="91"/>
        <v>3786440</v>
      </c>
      <c r="R1001" s="944">
        <f>IF(A1001='Data Entry - SOF'!B$2,'Report-SOF2223'!D$91,0)</f>
        <v>0</v>
      </c>
      <c r="S1001" s="723">
        <f>IF(A1001='Data Entry - SOF'!B$2,'Data Entry - SOF'!Q$102,0)</f>
        <v>0</v>
      </c>
      <c r="T1001" s="601">
        <f t="shared" si="95"/>
        <v>3786440</v>
      </c>
      <c r="U1001" s="944">
        <f>IF(A1001='Data Entry - SOF'!B$2,'Report-SOF2324'!D$91,0)</f>
        <v>0</v>
      </c>
      <c r="V1001" s="723">
        <f>IF(A1001='Data Entry - SOF'!B$2,'Data Entry - SOF'!S$102,0)</f>
        <v>0</v>
      </c>
    </row>
    <row r="1002" spans="1:22" ht="15.75">
      <c r="A1002" s="382" t="s">
        <v>800</v>
      </c>
      <c r="B1002" s="91">
        <v>11755182</v>
      </c>
      <c r="C1002" s="944">
        <f>IF(A1002='Data Entry - SOF'!B$2,'Report-SOF1718'!D$102,0)</f>
        <v>0</v>
      </c>
      <c r="D1002" s="1037">
        <f>IF(A1002='Data Entry - SOF'!B$2,'Data Entry - SOF'!#REF!,0)</f>
        <v>0</v>
      </c>
      <c r="E1002" s="91">
        <f t="shared" si="90"/>
        <v>11755182</v>
      </c>
      <c r="F1002" s="944">
        <f>IF(A1002='Data Entry - SOF'!B$2,'Report-SOF1819'!D$102,0)</f>
        <v>0</v>
      </c>
      <c r="G1002" s="1037">
        <f>IF(A1002='Data Entry - SOF'!B$2,'Data Entry - SOF'!E$102,0)</f>
        <v>0</v>
      </c>
      <c r="H1002" s="1038">
        <f t="shared" si="92"/>
        <v>11755182</v>
      </c>
      <c r="I1002" s="944">
        <f>IF(A1002='Data Entry - SOF'!B$2,'Report-SOF1920-HB3'!D$102,0)</f>
        <v>0</v>
      </c>
      <c r="J1002" s="1037">
        <f>IF(A1002='Data Entry - SOF'!B$2,'Data Entry - SOF'!G$102,0)</f>
        <v>0</v>
      </c>
      <c r="K1002" s="717">
        <f t="shared" si="93"/>
        <v>11755182</v>
      </c>
      <c r="L1002" s="944">
        <f>IF(A1002='Data Entry - SOF'!B$2,'Report-SOF2021'!D$99,0)</f>
        <v>0</v>
      </c>
      <c r="M1002" s="723">
        <f>IF(A1002='Data Entry - SOF'!B$2,'Data Entry - SOF'!M$102,0)</f>
        <v>0</v>
      </c>
      <c r="N1002" s="717">
        <f t="shared" si="94"/>
        <v>11755182</v>
      </c>
      <c r="O1002" s="944">
        <f>IF(A1002='Data Entry - SOF'!B$2,'Report-SOF2122'!D$91,0)</f>
        <v>0</v>
      </c>
      <c r="P1002" s="723">
        <f>IF(A1002='Data Entry - SOF'!B$2,'Data Entry - SOF'!O$102,0)</f>
        <v>0</v>
      </c>
      <c r="Q1002" s="601">
        <f t="shared" si="91"/>
        <v>11755182</v>
      </c>
      <c r="R1002" s="944">
        <f>IF(A1002='Data Entry - SOF'!B$2,'Report-SOF2223'!D$91,0)</f>
        <v>0</v>
      </c>
      <c r="S1002" s="723">
        <f>IF(A1002='Data Entry - SOF'!B$2,'Data Entry - SOF'!Q$102,0)</f>
        <v>0</v>
      </c>
      <c r="T1002" s="601">
        <f t="shared" si="95"/>
        <v>11755182</v>
      </c>
      <c r="U1002" s="944">
        <f>IF(A1002='Data Entry - SOF'!B$2,'Report-SOF2324'!D$91,0)</f>
        <v>0</v>
      </c>
      <c r="V1002" s="723">
        <f>IF(A1002='Data Entry - SOF'!B$2,'Data Entry - SOF'!S$102,0)</f>
        <v>0</v>
      </c>
    </row>
    <row r="1003" spans="1:22" ht="15.75">
      <c r="A1003" s="382" t="s">
        <v>2176</v>
      </c>
      <c r="B1003" s="91">
        <v>16197462</v>
      </c>
      <c r="C1003" s="944">
        <f>IF(A1003='Data Entry - SOF'!B$2,'Report-SOF1718'!D$102,0)</f>
        <v>0</v>
      </c>
      <c r="D1003" s="1037">
        <f>IF(A1003='Data Entry - SOF'!B$2,'Data Entry - SOF'!#REF!,0)</f>
        <v>0</v>
      </c>
      <c r="E1003" s="91">
        <f t="shared" si="90"/>
        <v>16197462</v>
      </c>
      <c r="F1003" s="944">
        <f>IF(A1003='Data Entry - SOF'!B$2,'Report-SOF1819'!D$102,0)</f>
        <v>0</v>
      </c>
      <c r="G1003" s="1037">
        <f>IF(A1003='Data Entry - SOF'!B$2,'Data Entry - SOF'!E$102,0)</f>
        <v>0</v>
      </c>
      <c r="H1003" s="1038">
        <f t="shared" si="92"/>
        <v>16197462</v>
      </c>
      <c r="I1003" s="944">
        <f>IF(A1003='Data Entry - SOF'!B$2,'Report-SOF1920-HB3'!D$102,0)</f>
        <v>0</v>
      </c>
      <c r="J1003" s="1037">
        <f>IF(A1003='Data Entry - SOF'!B$2,'Data Entry - SOF'!G$102,0)</f>
        <v>0</v>
      </c>
      <c r="K1003" s="717">
        <f t="shared" si="93"/>
        <v>16197462</v>
      </c>
      <c r="L1003" s="944">
        <f>IF(A1003='Data Entry - SOF'!B$2,'Report-SOF2021'!D$99,0)</f>
        <v>0</v>
      </c>
      <c r="M1003" s="723">
        <f>IF(A1003='Data Entry - SOF'!B$2,'Data Entry - SOF'!M$102,0)</f>
        <v>0</v>
      </c>
      <c r="N1003" s="717">
        <f t="shared" si="94"/>
        <v>16197462</v>
      </c>
      <c r="O1003" s="944">
        <f>IF(A1003='Data Entry - SOF'!B$2,'Report-SOF2122'!D$91,0)</f>
        <v>0</v>
      </c>
      <c r="P1003" s="723">
        <f>IF(A1003='Data Entry - SOF'!B$2,'Data Entry - SOF'!O$102,0)</f>
        <v>0</v>
      </c>
      <c r="Q1003" s="601">
        <f t="shared" si="91"/>
        <v>16197462</v>
      </c>
      <c r="R1003" s="944">
        <f>IF(A1003='Data Entry - SOF'!B$2,'Report-SOF2223'!D$91,0)</f>
        <v>0</v>
      </c>
      <c r="S1003" s="723">
        <f>IF(A1003='Data Entry - SOF'!B$2,'Data Entry - SOF'!Q$102,0)</f>
        <v>0</v>
      </c>
      <c r="T1003" s="601">
        <f t="shared" si="95"/>
        <v>16197462</v>
      </c>
      <c r="U1003" s="944">
        <f>IF(A1003='Data Entry - SOF'!B$2,'Report-SOF2324'!D$91,0)</f>
        <v>0</v>
      </c>
      <c r="V1003" s="723">
        <f>IF(A1003='Data Entry - SOF'!B$2,'Data Entry - SOF'!S$102,0)</f>
        <v>0</v>
      </c>
    </row>
    <row r="1004" spans="1:22" ht="15.75">
      <c r="A1004" s="382" t="s">
        <v>2424</v>
      </c>
      <c r="B1004" s="91">
        <v>9485184.2518695295</v>
      </c>
      <c r="C1004" s="944">
        <f>IF(A1004='Data Entry - SOF'!B$2,'Report-SOF1718'!D$102,0)</f>
        <v>0</v>
      </c>
      <c r="D1004" s="1037">
        <f>IF(A1004='Data Entry - SOF'!B$2,'Data Entry - SOF'!#REF!,0)</f>
        <v>0</v>
      </c>
      <c r="E1004" s="91">
        <f t="shared" si="90"/>
        <v>9485184.2518695295</v>
      </c>
      <c r="F1004" s="944">
        <f>IF(A1004='Data Entry - SOF'!B$2,'Report-SOF1819'!D$102,0)</f>
        <v>0</v>
      </c>
      <c r="G1004" s="1037">
        <f>IF(A1004='Data Entry - SOF'!B$2,'Data Entry - SOF'!E$102,0)</f>
        <v>0</v>
      </c>
      <c r="H1004" s="1038">
        <f t="shared" si="92"/>
        <v>9485184.2518695295</v>
      </c>
      <c r="I1004" s="944">
        <f>IF(A1004='Data Entry - SOF'!B$2,'Report-SOF1920-HB3'!D$102,0)</f>
        <v>0</v>
      </c>
      <c r="J1004" s="1037">
        <f>IF(A1004='Data Entry - SOF'!B$2,'Data Entry - SOF'!G$102,0)</f>
        <v>0</v>
      </c>
      <c r="K1004" s="717">
        <f t="shared" si="93"/>
        <v>9485184.2518695295</v>
      </c>
      <c r="L1004" s="944">
        <f>IF(A1004='Data Entry - SOF'!B$2,'Report-SOF2021'!D$99,0)</f>
        <v>0</v>
      </c>
      <c r="M1004" s="723">
        <f>IF(A1004='Data Entry - SOF'!B$2,'Data Entry - SOF'!M$102,0)</f>
        <v>0</v>
      </c>
      <c r="N1004" s="717">
        <f t="shared" si="94"/>
        <v>9485184.2518695295</v>
      </c>
      <c r="O1004" s="944">
        <f>IF(A1004='Data Entry - SOF'!B$2,'Report-SOF2122'!D$91,0)</f>
        <v>0</v>
      </c>
      <c r="P1004" s="723">
        <f>IF(A1004='Data Entry - SOF'!B$2,'Data Entry - SOF'!O$102,0)</f>
        <v>0</v>
      </c>
      <c r="Q1004" s="601">
        <f t="shared" si="91"/>
        <v>9485184.2518695295</v>
      </c>
      <c r="R1004" s="944">
        <f>IF(A1004='Data Entry - SOF'!B$2,'Report-SOF2223'!D$91,0)</f>
        <v>0</v>
      </c>
      <c r="S1004" s="723">
        <f>IF(A1004='Data Entry - SOF'!B$2,'Data Entry - SOF'!Q$102,0)</f>
        <v>0</v>
      </c>
      <c r="T1004" s="601">
        <f t="shared" si="95"/>
        <v>9485184.2518695295</v>
      </c>
      <c r="U1004" s="944">
        <f>IF(A1004='Data Entry - SOF'!B$2,'Report-SOF2324'!D$91,0)</f>
        <v>0</v>
      </c>
      <c r="V1004" s="723">
        <f>IF(A1004='Data Entry - SOF'!B$2,'Data Entry - SOF'!S$102,0)</f>
        <v>0</v>
      </c>
    </row>
    <row r="1005" spans="1:22" ht="15.75">
      <c r="A1005" s="382" t="s">
        <v>2425</v>
      </c>
      <c r="B1005" s="91">
        <v>38032573</v>
      </c>
      <c r="C1005" s="944">
        <f>IF(A1005='Data Entry - SOF'!B$2,'Report-SOF1718'!D$102,0)</f>
        <v>0</v>
      </c>
      <c r="D1005" s="1037">
        <f>IF(A1005='Data Entry - SOF'!B$2,'Data Entry - SOF'!#REF!,0)</f>
        <v>0</v>
      </c>
      <c r="E1005" s="91">
        <f t="shared" si="90"/>
        <v>38032573</v>
      </c>
      <c r="F1005" s="944">
        <f>IF(A1005='Data Entry - SOF'!B$2,'Report-SOF1819'!D$102,0)</f>
        <v>0</v>
      </c>
      <c r="G1005" s="1037">
        <f>IF(A1005='Data Entry - SOF'!B$2,'Data Entry - SOF'!E$102,0)</f>
        <v>0</v>
      </c>
      <c r="H1005" s="1038">
        <f t="shared" si="92"/>
        <v>38032573</v>
      </c>
      <c r="I1005" s="944">
        <f>IF(A1005='Data Entry - SOF'!B$2,'Report-SOF1920-HB3'!D$102,0)</f>
        <v>0</v>
      </c>
      <c r="J1005" s="1037">
        <f>IF(A1005='Data Entry - SOF'!B$2,'Data Entry - SOF'!G$102,0)</f>
        <v>0</v>
      </c>
      <c r="K1005" s="717">
        <f t="shared" si="93"/>
        <v>38032573</v>
      </c>
      <c r="L1005" s="944">
        <f>IF(A1005='Data Entry - SOF'!B$2,'Report-SOF2021'!D$99,0)</f>
        <v>0</v>
      </c>
      <c r="M1005" s="723">
        <f>IF(A1005='Data Entry - SOF'!B$2,'Data Entry - SOF'!M$102,0)</f>
        <v>0</v>
      </c>
      <c r="N1005" s="717">
        <f t="shared" si="94"/>
        <v>38032573</v>
      </c>
      <c r="O1005" s="944">
        <f>IF(A1005='Data Entry - SOF'!B$2,'Report-SOF2122'!D$91,0)</f>
        <v>0</v>
      </c>
      <c r="P1005" s="723">
        <f>IF(A1005='Data Entry - SOF'!B$2,'Data Entry - SOF'!O$102,0)</f>
        <v>0</v>
      </c>
      <c r="Q1005" s="601">
        <f t="shared" si="91"/>
        <v>38032573</v>
      </c>
      <c r="R1005" s="944">
        <f>IF(A1005='Data Entry - SOF'!B$2,'Report-SOF2223'!D$91,0)</f>
        <v>0</v>
      </c>
      <c r="S1005" s="723">
        <f>IF(A1005='Data Entry - SOF'!B$2,'Data Entry - SOF'!Q$102,0)</f>
        <v>0</v>
      </c>
      <c r="T1005" s="601">
        <f t="shared" si="95"/>
        <v>38032573</v>
      </c>
      <c r="U1005" s="944">
        <f>IF(A1005='Data Entry - SOF'!B$2,'Report-SOF2324'!D$91,0)</f>
        <v>0</v>
      </c>
      <c r="V1005" s="723">
        <f>IF(A1005='Data Entry - SOF'!B$2,'Data Entry - SOF'!S$102,0)</f>
        <v>0</v>
      </c>
    </row>
    <row r="1006" spans="1:22" ht="15.75">
      <c r="A1006" s="382" t="s">
        <v>2022</v>
      </c>
      <c r="B1006" s="91">
        <v>3641919</v>
      </c>
      <c r="C1006" s="944">
        <f>IF(A1006='Data Entry - SOF'!B$2,'Report-SOF1718'!D$102,0)</f>
        <v>0</v>
      </c>
      <c r="D1006" s="1037">
        <f>IF(A1006='Data Entry - SOF'!B$2,'Data Entry - SOF'!#REF!,0)</f>
        <v>0</v>
      </c>
      <c r="E1006" s="91">
        <f t="shared" si="90"/>
        <v>3641919</v>
      </c>
      <c r="F1006" s="944">
        <f>IF(A1006='Data Entry - SOF'!B$2,'Report-SOF1819'!D$102,0)</f>
        <v>0</v>
      </c>
      <c r="G1006" s="1037">
        <f>IF(A1006='Data Entry - SOF'!B$2,'Data Entry - SOF'!E$102,0)</f>
        <v>0</v>
      </c>
      <c r="H1006" s="1038">
        <f t="shared" si="92"/>
        <v>3641919</v>
      </c>
      <c r="I1006" s="944">
        <f>IF(A1006='Data Entry - SOF'!B$2,'Report-SOF1920-HB3'!D$102,0)</f>
        <v>0</v>
      </c>
      <c r="J1006" s="1037">
        <f>IF(A1006='Data Entry - SOF'!B$2,'Data Entry - SOF'!G$102,0)</f>
        <v>0</v>
      </c>
      <c r="K1006" s="717">
        <f t="shared" si="93"/>
        <v>3641919</v>
      </c>
      <c r="L1006" s="944">
        <f>IF(A1006='Data Entry - SOF'!B$2,'Report-SOF2021'!D$99,0)</f>
        <v>0</v>
      </c>
      <c r="M1006" s="723">
        <f>IF(A1006='Data Entry - SOF'!B$2,'Data Entry - SOF'!M$102,0)</f>
        <v>0</v>
      </c>
      <c r="N1006" s="717">
        <f t="shared" si="94"/>
        <v>3641919</v>
      </c>
      <c r="O1006" s="944">
        <f>IF(A1006='Data Entry - SOF'!B$2,'Report-SOF2122'!D$91,0)</f>
        <v>0</v>
      </c>
      <c r="P1006" s="723">
        <f>IF(A1006='Data Entry - SOF'!B$2,'Data Entry - SOF'!O$102,0)</f>
        <v>0</v>
      </c>
      <c r="Q1006" s="601">
        <f t="shared" si="91"/>
        <v>3641919</v>
      </c>
      <c r="R1006" s="944">
        <f>IF(A1006='Data Entry - SOF'!B$2,'Report-SOF2223'!D$91,0)</f>
        <v>0</v>
      </c>
      <c r="S1006" s="723">
        <f>IF(A1006='Data Entry - SOF'!B$2,'Data Entry - SOF'!Q$102,0)</f>
        <v>0</v>
      </c>
      <c r="T1006" s="601">
        <f t="shared" si="95"/>
        <v>3641919</v>
      </c>
      <c r="U1006" s="944">
        <f>IF(A1006='Data Entry - SOF'!B$2,'Report-SOF2324'!D$91,0)</f>
        <v>0</v>
      </c>
      <c r="V1006" s="723">
        <f>IF(A1006='Data Entry - SOF'!B$2,'Data Entry - SOF'!S$102,0)</f>
        <v>0</v>
      </c>
    </row>
    <row r="1007" spans="1:22" ht="15.75">
      <c r="A1007" s="382" t="s">
        <v>1150</v>
      </c>
      <c r="B1007" s="91">
        <v>913029.55854736001</v>
      </c>
      <c r="C1007" s="944">
        <f>IF(A1007='Data Entry - SOF'!B$2,'Report-SOF1718'!D$102,0)</f>
        <v>0</v>
      </c>
      <c r="D1007" s="1037">
        <f>IF(A1007='Data Entry - SOF'!B$2,'Data Entry - SOF'!#REF!,0)</f>
        <v>0</v>
      </c>
      <c r="E1007" s="91">
        <f t="shared" si="90"/>
        <v>913029.55854736001</v>
      </c>
      <c r="F1007" s="944">
        <f>IF(A1007='Data Entry - SOF'!B$2,'Report-SOF1819'!D$102,0)</f>
        <v>0</v>
      </c>
      <c r="G1007" s="1037">
        <f>IF(A1007='Data Entry - SOF'!B$2,'Data Entry - SOF'!E$102,0)</f>
        <v>0</v>
      </c>
      <c r="H1007" s="1038">
        <f t="shared" si="92"/>
        <v>913029.55854736001</v>
      </c>
      <c r="I1007" s="944">
        <f>IF(A1007='Data Entry - SOF'!B$2,'Report-SOF1920-HB3'!D$102,0)</f>
        <v>0</v>
      </c>
      <c r="J1007" s="1037">
        <f>IF(A1007='Data Entry - SOF'!B$2,'Data Entry - SOF'!G$102,0)</f>
        <v>0</v>
      </c>
      <c r="K1007" s="717">
        <f t="shared" si="93"/>
        <v>913029.55854736001</v>
      </c>
      <c r="L1007" s="944">
        <f>IF(A1007='Data Entry - SOF'!B$2,'Report-SOF2021'!D$99,0)</f>
        <v>0</v>
      </c>
      <c r="M1007" s="723">
        <f>IF(A1007='Data Entry - SOF'!B$2,'Data Entry - SOF'!M$102,0)</f>
        <v>0</v>
      </c>
      <c r="N1007" s="717">
        <f t="shared" si="94"/>
        <v>913029.55854736001</v>
      </c>
      <c r="O1007" s="944">
        <f>IF(A1007='Data Entry - SOF'!B$2,'Report-SOF2122'!D$91,0)</f>
        <v>0</v>
      </c>
      <c r="P1007" s="723">
        <f>IF(A1007='Data Entry - SOF'!B$2,'Data Entry - SOF'!O$102,0)</f>
        <v>0</v>
      </c>
      <c r="Q1007" s="601">
        <f t="shared" si="91"/>
        <v>913029.55854736001</v>
      </c>
      <c r="R1007" s="944">
        <f>IF(A1007='Data Entry - SOF'!B$2,'Report-SOF2223'!D$91,0)</f>
        <v>0</v>
      </c>
      <c r="S1007" s="723">
        <f>IF(A1007='Data Entry - SOF'!B$2,'Data Entry - SOF'!Q$102,0)</f>
        <v>0</v>
      </c>
      <c r="T1007" s="601">
        <f t="shared" si="95"/>
        <v>913029.55854736001</v>
      </c>
      <c r="U1007" s="944">
        <f>IF(A1007='Data Entry - SOF'!B$2,'Report-SOF2324'!D$91,0)</f>
        <v>0</v>
      </c>
      <c r="V1007" s="723">
        <f>IF(A1007='Data Entry - SOF'!B$2,'Data Entry - SOF'!S$102,0)</f>
        <v>0</v>
      </c>
    </row>
    <row r="1008" spans="1:22" ht="15.75">
      <c r="A1008" s="382" t="s">
        <v>2229</v>
      </c>
      <c r="B1008" s="91">
        <v>11836586.180729</v>
      </c>
      <c r="C1008" s="944">
        <f>IF(A1008='Data Entry - SOF'!B$2,'Report-SOF1718'!D$102,0)</f>
        <v>0</v>
      </c>
      <c r="D1008" s="1037">
        <f>IF(A1008='Data Entry - SOF'!B$2,'Data Entry - SOF'!#REF!,0)</f>
        <v>0</v>
      </c>
      <c r="E1008" s="91">
        <f t="shared" si="90"/>
        <v>11836586.180729</v>
      </c>
      <c r="F1008" s="944">
        <f>IF(A1008='Data Entry - SOF'!B$2,'Report-SOF1819'!D$102,0)</f>
        <v>0</v>
      </c>
      <c r="G1008" s="1037">
        <f>IF(A1008='Data Entry - SOF'!B$2,'Data Entry - SOF'!E$102,0)</f>
        <v>0</v>
      </c>
      <c r="H1008" s="1038">
        <f t="shared" si="92"/>
        <v>11836586.180729</v>
      </c>
      <c r="I1008" s="944">
        <f>IF(A1008='Data Entry - SOF'!B$2,'Report-SOF1920-HB3'!D$102,0)</f>
        <v>0</v>
      </c>
      <c r="J1008" s="1037">
        <f>IF(A1008='Data Entry - SOF'!B$2,'Data Entry - SOF'!G$102,0)</f>
        <v>0</v>
      </c>
      <c r="K1008" s="717">
        <f t="shared" si="93"/>
        <v>11836586.180729</v>
      </c>
      <c r="L1008" s="944">
        <f>IF(A1008='Data Entry - SOF'!B$2,'Report-SOF2021'!D$99,0)</f>
        <v>0</v>
      </c>
      <c r="M1008" s="723">
        <f>IF(A1008='Data Entry - SOF'!B$2,'Data Entry - SOF'!M$102,0)</f>
        <v>0</v>
      </c>
      <c r="N1008" s="717">
        <f t="shared" si="94"/>
        <v>11836586.180729</v>
      </c>
      <c r="O1008" s="944">
        <f>IF(A1008='Data Entry - SOF'!B$2,'Report-SOF2122'!D$91,0)</f>
        <v>0</v>
      </c>
      <c r="P1008" s="723">
        <f>IF(A1008='Data Entry - SOF'!B$2,'Data Entry - SOF'!O$102,0)</f>
        <v>0</v>
      </c>
      <c r="Q1008" s="601">
        <f t="shared" si="91"/>
        <v>11836586.180729</v>
      </c>
      <c r="R1008" s="944">
        <f>IF(A1008='Data Entry - SOF'!B$2,'Report-SOF2223'!D$91,0)</f>
        <v>0</v>
      </c>
      <c r="S1008" s="723">
        <f>IF(A1008='Data Entry - SOF'!B$2,'Data Entry - SOF'!Q$102,0)</f>
        <v>0</v>
      </c>
      <c r="T1008" s="601">
        <f t="shared" si="95"/>
        <v>11836586.180729</v>
      </c>
      <c r="U1008" s="944">
        <f>IF(A1008='Data Entry - SOF'!B$2,'Report-SOF2324'!D$91,0)</f>
        <v>0</v>
      </c>
      <c r="V1008" s="723">
        <f>IF(A1008='Data Entry - SOF'!B$2,'Data Entry - SOF'!S$102,0)</f>
        <v>0</v>
      </c>
    </row>
    <row r="1009" spans="1:22" ht="15.75">
      <c r="A1009" s="382" t="s">
        <v>2230</v>
      </c>
      <c r="B1009" s="91">
        <v>2669244</v>
      </c>
      <c r="C1009" s="944">
        <f>IF(A1009='Data Entry - SOF'!B$2,'Report-SOF1718'!D$102,0)</f>
        <v>0</v>
      </c>
      <c r="D1009" s="1037">
        <f>IF(A1009='Data Entry - SOF'!B$2,'Data Entry - SOF'!#REF!,0)</f>
        <v>0</v>
      </c>
      <c r="E1009" s="91">
        <f t="shared" si="90"/>
        <v>2669244</v>
      </c>
      <c r="F1009" s="944">
        <f>IF(A1009='Data Entry - SOF'!B$2,'Report-SOF1819'!D$102,0)</f>
        <v>0</v>
      </c>
      <c r="G1009" s="1037">
        <f>IF(A1009='Data Entry - SOF'!B$2,'Data Entry - SOF'!E$102,0)</f>
        <v>0</v>
      </c>
      <c r="H1009" s="1038">
        <f t="shared" si="92"/>
        <v>2669244</v>
      </c>
      <c r="I1009" s="944">
        <f>IF(A1009='Data Entry - SOF'!B$2,'Report-SOF1920-HB3'!D$102,0)</f>
        <v>0</v>
      </c>
      <c r="J1009" s="1037">
        <f>IF(A1009='Data Entry - SOF'!B$2,'Data Entry - SOF'!G$102,0)</f>
        <v>0</v>
      </c>
      <c r="K1009" s="717">
        <f t="shared" si="93"/>
        <v>2669244</v>
      </c>
      <c r="L1009" s="944">
        <f>IF(A1009='Data Entry - SOF'!B$2,'Report-SOF2021'!D$99,0)</f>
        <v>0</v>
      </c>
      <c r="M1009" s="723">
        <f>IF(A1009='Data Entry - SOF'!B$2,'Data Entry - SOF'!M$102,0)</f>
        <v>0</v>
      </c>
      <c r="N1009" s="717">
        <f t="shared" si="94"/>
        <v>2669244</v>
      </c>
      <c r="O1009" s="944">
        <f>IF(A1009='Data Entry - SOF'!B$2,'Report-SOF2122'!D$91,0)</f>
        <v>0</v>
      </c>
      <c r="P1009" s="723">
        <f>IF(A1009='Data Entry - SOF'!B$2,'Data Entry - SOF'!O$102,0)</f>
        <v>0</v>
      </c>
      <c r="Q1009" s="601">
        <f t="shared" si="91"/>
        <v>2669244</v>
      </c>
      <c r="R1009" s="944">
        <f>IF(A1009='Data Entry - SOF'!B$2,'Report-SOF2223'!D$91,0)</f>
        <v>0</v>
      </c>
      <c r="S1009" s="723">
        <f>IF(A1009='Data Entry - SOF'!B$2,'Data Entry - SOF'!Q$102,0)</f>
        <v>0</v>
      </c>
      <c r="T1009" s="601">
        <f t="shared" si="95"/>
        <v>2669244</v>
      </c>
      <c r="U1009" s="944">
        <f>IF(A1009='Data Entry - SOF'!B$2,'Report-SOF2324'!D$91,0)</f>
        <v>0</v>
      </c>
      <c r="V1009" s="723">
        <f>IF(A1009='Data Entry - SOF'!B$2,'Data Entry - SOF'!S$102,0)</f>
        <v>0</v>
      </c>
    </row>
    <row r="1010" spans="1:22" ht="15.75">
      <c r="A1010" s="382" t="s">
        <v>2575</v>
      </c>
      <c r="B1010" s="91">
        <v>5836543</v>
      </c>
      <c r="C1010" s="944">
        <f>IF(A1010='Data Entry - SOF'!B$2,'Report-SOF1718'!D$102,0)</f>
        <v>0</v>
      </c>
      <c r="D1010" s="1037">
        <f>IF(A1010='Data Entry - SOF'!B$2,'Data Entry - SOF'!#REF!,0)</f>
        <v>0</v>
      </c>
      <c r="E1010" s="91">
        <f t="shared" si="90"/>
        <v>5836543</v>
      </c>
      <c r="F1010" s="944">
        <f>IF(A1010='Data Entry - SOF'!B$2,'Report-SOF1819'!D$102,0)</f>
        <v>0</v>
      </c>
      <c r="G1010" s="1037">
        <f>IF(A1010='Data Entry - SOF'!B$2,'Data Entry - SOF'!E$102,0)</f>
        <v>0</v>
      </c>
      <c r="H1010" s="1038">
        <f t="shared" si="92"/>
        <v>5836543</v>
      </c>
      <c r="I1010" s="944">
        <f>IF(A1010='Data Entry - SOF'!B$2,'Report-SOF1920-HB3'!D$102,0)</f>
        <v>0</v>
      </c>
      <c r="J1010" s="1037">
        <f>IF(A1010='Data Entry - SOF'!B$2,'Data Entry - SOF'!G$102,0)</f>
        <v>0</v>
      </c>
      <c r="K1010" s="717">
        <f t="shared" si="93"/>
        <v>5836543</v>
      </c>
      <c r="L1010" s="944">
        <f>IF(A1010='Data Entry - SOF'!B$2,'Report-SOF2021'!D$99,0)</f>
        <v>0</v>
      </c>
      <c r="M1010" s="723">
        <f>IF(A1010='Data Entry - SOF'!B$2,'Data Entry - SOF'!M$102,0)</f>
        <v>0</v>
      </c>
      <c r="N1010" s="717">
        <f t="shared" si="94"/>
        <v>5836543</v>
      </c>
      <c r="O1010" s="944">
        <f>IF(A1010='Data Entry - SOF'!B$2,'Report-SOF2122'!D$91,0)</f>
        <v>0</v>
      </c>
      <c r="P1010" s="723">
        <f>IF(A1010='Data Entry - SOF'!B$2,'Data Entry - SOF'!O$102,0)</f>
        <v>0</v>
      </c>
      <c r="Q1010" s="601">
        <f t="shared" si="91"/>
        <v>5836543</v>
      </c>
      <c r="R1010" s="944">
        <f>IF(A1010='Data Entry - SOF'!B$2,'Report-SOF2223'!D$91,0)</f>
        <v>0</v>
      </c>
      <c r="S1010" s="723">
        <f>IF(A1010='Data Entry - SOF'!B$2,'Data Entry - SOF'!Q$102,0)</f>
        <v>0</v>
      </c>
      <c r="T1010" s="601">
        <f t="shared" si="95"/>
        <v>5836543</v>
      </c>
      <c r="U1010" s="944">
        <f>IF(A1010='Data Entry - SOF'!B$2,'Report-SOF2324'!D$91,0)</f>
        <v>0</v>
      </c>
      <c r="V1010" s="723">
        <f>IF(A1010='Data Entry - SOF'!B$2,'Data Entry - SOF'!S$102,0)</f>
        <v>0</v>
      </c>
    </row>
    <row r="1011" spans="1:22" ht="15.75">
      <c r="A1011" s="382" t="s">
        <v>2576</v>
      </c>
      <c r="B1011" s="91">
        <v>1809128</v>
      </c>
      <c r="C1011" s="944">
        <f>IF(A1011='Data Entry - SOF'!B$2,'Report-SOF1718'!D$102,0)</f>
        <v>0</v>
      </c>
      <c r="D1011" s="1037">
        <f>IF(A1011='Data Entry - SOF'!B$2,'Data Entry - SOF'!#REF!,0)</f>
        <v>0</v>
      </c>
      <c r="E1011" s="91">
        <f t="shared" si="90"/>
        <v>1809128</v>
      </c>
      <c r="F1011" s="944">
        <f>IF(A1011='Data Entry - SOF'!B$2,'Report-SOF1819'!D$102,0)</f>
        <v>0</v>
      </c>
      <c r="G1011" s="1037">
        <f>IF(A1011='Data Entry - SOF'!B$2,'Data Entry - SOF'!E$102,0)</f>
        <v>0</v>
      </c>
      <c r="H1011" s="1038">
        <f t="shared" si="92"/>
        <v>1809128</v>
      </c>
      <c r="I1011" s="944">
        <f>IF(A1011='Data Entry - SOF'!B$2,'Report-SOF1920-HB3'!D$102,0)</f>
        <v>0</v>
      </c>
      <c r="J1011" s="1037">
        <f>IF(A1011='Data Entry - SOF'!B$2,'Data Entry - SOF'!G$102,0)</f>
        <v>0</v>
      </c>
      <c r="K1011" s="717">
        <f t="shared" si="93"/>
        <v>1809128</v>
      </c>
      <c r="L1011" s="944">
        <f>IF(A1011='Data Entry - SOF'!B$2,'Report-SOF2021'!D$99,0)</f>
        <v>0</v>
      </c>
      <c r="M1011" s="723">
        <f>IF(A1011='Data Entry - SOF'!B$2,'Data Entry - SOF'!M$102,0)</f>
        <v>0</v>
      </c>
      <c r="N1011" s="717">
        <f t="shared" si="94"/>
        <v>1809128</v>
      </c>
      <c r="O1011" s="944">
        <f>IF(A1011='Data Entry - SOF'!B$2,'Report-SOF2122'!D$91,0)</f>
        <v>0</v>
      </c>
      <c r="P1011" s="723">
        <f>IF(A1011='Data Entry - SOF'!B$2,'Data Entry - SOF'!O$102,0)</f>
        <v>0</v>
      </c>
      <c r="Q1011" s="601">
        <f t="shared" si="91"/>
        <v>1809128</v>
      </c>
      <c r="R1011" s="944">
        <f>IF(A1011='Data Entry - SOF'!B$2,'Report-SOF2223'!D$91,0)</f>
        <v>0</v>
      </c>
      <c r="S1011" s="723">
        <f>IF(A1011='Data Entry - SOF'!B$2,'Data Entry - SOF'!Q$102,0)</f>
        <v>0</v>
      </c>
      <c r="T1011" s="601">
        <f t="shared" si="95"/>
        <v>1809128</v>
      </c>
      <c r="U1011" s="944">
        <f>IF(A1011='Data Entry - SOF'!B$2,'Report-SOF2324'!D$91,0)</f>
        <v>0</v>
      </c>
      <c r="V1011" s="723">
        <f>IF(A1011='Data Entry - SOF'!B$2,'Data Entry - SOF'!S$102,0)</f>
        <v>0</v>
      </c>
    </row>
    <row r="1012" spans="1:22" ht="15.75">
      <c r="A1012" s="382" t="s">
        <v>635</v>
      </c>
      <c r="B1012" s="91">
        <v>1916272</v>
      </c>
      <c r="C1012" s="944">
        <f>IF(A1012='Data Entry - SOF'!B$2,'Report-SOF1718'!D$102,0)</f>
        <v>0</v>
      </c>
      <c r="D1012" s="1037">
        <f>IF(A1012='Data Entry - SOF'!B$2,'Data Entry - SOF'!#REF!,0)</f>
        <v>0</v>
      </c>
      <c r="E1012" s="91">
        <f t="shared" si="90"/>
        <v>1916272</v>
      </c>
      <c r="F1012" s="944">
        <f>IF(A1012='Data Entry - SOF'!B$2,'Report-SOF1819'!D$102,0)</f>
        <v>0</v>
      </c>
      <c r="G1012" s="1037">
        <f>IF(A1012='Data Entry - SOF'!B$2,'Data Entry - SOF'!E$102,0)</f>
        <v>0</v>
      </c>
      <c r="H1012" s="1038">
        <f t="shared" si="92"/>
        <v>1916272</v>
      </c>
      <c r="I1012" s="944">
        <f>IF(A1012='Data Entry - SOF'!B$2,'Report-SOF1920-HB3'!D$102,0)</f>
        <v>0</v>
      </c>
      <c r="J1012" s="1037">
        <f>IF(A1012='Data Entry - SOF'!B$2,'Data Entry - SOF'!G$102,0)</f>
        <v>0</v>
      </c>
      <c r="K1012" s="717">
        <f t="shared" si="93"/>
        <v>1916272</v>
      </c>
      <c r="L1012" s="944">
        <f>IF(A1012='Data Entry - SOF'!B$2,'Report-SOF2021'!D$99,0)</f>
        <v>0</v>
      </c>
      <c r="M1012" s="723">
        <f>IF(A1012='Data Entry - SOF'!B$2,'Data Entry - SOF'!M$102,0)</f>
        <v>0</v>
      </c>
      <c r="N1012" s="717">
        <f t="shared" si="94"/>
        <v>1916272</v>
      </c>
      <c r="O1012" s="944">
        <f>IF(A1012='Data Entry - SOF'!B$2,'Report-SOF2122'!D$91,0)</f>
        <v>0</v>
      </c>
      <c r="P1012" s="723">
        <f>IF(A1012='Data Entry - SOF'!B$2,'Data Entry - SOF'!O$102,0)</f>
        <v>0</v>
      </c>
      <c r="Q1012" s="601">
        <f t="shared" si="91"/>
        <v>1916272</v>
      </c>
      <c r="R1012" s="944">
        <f>IF(A1012='Data Entry - SOF'!B$2,'Report-SOF2223'!D$91,0)</f>
        <v>0</v>
      </c>
      <c r="S1012" s="723">
        <f>IF(A1012='Data Entry - SOF'!B$2,'Data Entry - SOF'!Q$102,0)</f>
        <v>0</v>
      </c>
      <c r="T1012" s="601">
        <f t="shared" si="95"/>
        <v>1916272</v>
      </c>
      <c r="U1012" s="944">
        <f>IF(A1012='Data Entry - SOF'!B$2,'Report-SOF2324'!D$91,0)</f>
        <v>0</v>
      </c>
      <c r="V1012" s="723">
        <f>IF(A1012='Data Entry - SOF'!B$2,'Data Entry - SOF'!S$102,0)</f>
        <v>0</v>
      </c>
    </row>
    <row r="1013" spans="1:22" ht="15.75">
      <c r="A1013" s="382" t="s">
        <v>679</v>
      </c>
      <c r="B1013" s="91">
        <v>2739490</v>
      </c>
      <c r="C1013" s="944">
        <f>IF(A1013='Data Entry - SOF'!B$2,'Report-SOF1718'!D$102,0)</f>
        <v>0</v>
      </c>
      <c r="D1013" s="1037">
        <f>IF(A1013='Data Entry - SOF'!B$2,'Data Entry - SOF'!#REF!,0)</f>
        <v>0</v>
      </c>
      <c r="E1013" s="91">
        <f t="shared" si="90"/>
        <v>2739490</v>
      </c>
      <c r="F1013" s="944">
        <f>IF(A1013='Data Entry - SOF'!B$2,'Report-SOF1819'!D$102,0)</f>
        <v>0</v>
      </c>
      <c r="G1013" s="1037">
        <f>IF(A1013='Data Entry - SOF'!B$2,'Data Entry - SOF'!E$102,0)</f>
        <v>0</v>
      </c>
      <c r="H1013" s="1038">
        <f t="shared" si="92"/>
        <v>2739490</v>
      </c>
      <c r="I1013" s="944">
        <f>IF(A1013='Data Entry - SOF'!B$2,'Report-SOF1920-HB3'!D$102,0)</f>
        <v>0</v>
      </c>
      <c r="J1013" s="1037">
        <f>IF(A1013='Data Entry - SOF'!B$2,'Data Entry - SOF'!G$102,0)</f>
        <v>0</v>
      </c>
      <c r="K1013" s="717">
        <f t="shared" si="93"/>
        <v>2739490</v>
      </c>
      <c r="L1013" s="944">
        <f>IF(A1013='Data Entry - SOF'!B$2,'Report-SOF2021'!D$99,0)</f>
        <v>0</v>
      </c>
      <c r="M1013" s="723">
        <f>IF(A1013='Data Entry - SOF'!B$2,'Data Entry - SOF'!M$102,0)</f>
        <v>0</v>
      </c>
      <c r="N1013" s="717">
        <f t="shared" si="94"/>
        <v>2739490</v>
      </c>
      <c r="O1013" s="944">
        <f>IF(A1013='Data Entry - SOF'!B$2,'Report-SOF2122'!D$91,0)</f>
        <v>0</v>
      </c>
      <c r="P1013" s="723">
        <f>IF(A1013='Data Entry - SOF'!B$2,'Data Entry - SOF'!O$102,0)</f>
        <v>0</v>
      </c>
      <c r="Q1013" s="601">
        <f t="shared" si="91"/>
        <v>2739490</v>
      </c>
      <c r="R1013" s="944">
        <f>IF(A1013='Data Entry - SOF'!B$2,'Report-SOF2223'!D$91,0)</f>
        <v>0</v>
      </c>
      <c r="S1013" s="723">
        <f>IF(A1013='Data Entry - SOF'!B$2,'Data Entry - SOF'!Q$102,0)</f>
        <v>0</v>
      </c>
      <c r="T1013" s="601">
        <f t="shared" si="95"/>
        <v>2739490</v>
      </c>
      <c r="U1013" s="944">
        <f>IF(A1013='Data Entry - SOF'!B$2,'Report-SOF2324'!D$91,0)</f>
        <v>0</v>
      </c>
      <c r="V1013" s="723">
        <f>IF(A1013='Data Entry - SOF'!B$2,'Data Entry - SOF'!S$102,0)</f>
        <v>0</v>
      </c>
    </row>
    <row r="1014" spans="1:22" ht="15.75">
      <c r="A1014" s="382" t="s">
        <v>680</v>
      </c>
      <c r="B1014" s="91">
        <v>57166462</v>
      </c>
      <c r="C1014" s="944">
        <f>IF(A1014='Data Entry - SOF'!B$2,'Report-SOF1718'!D$102,0)</f>
        <v>0</v>
      </c>
      <c r="D1014" s="1037">
        <f>IF(A1014='Data Entry - SOF'!B$2,'Data Entry - SOF'!#REF!,0)</f>
        <v>0</v>
      </c>
      <c r="E1014" s="91">
        <f t="shared" si="90"/>
        <v>57166462</v>
      </c>
      <c r="F1014" s="944">
        <f>IF(A1014='Data Entry - SOF'!B$2,'Report-SOF1819'!D$102,0)</f>
        <v>0</v>
      </c>
      <c r="G1014" s="1037">
        <f>IF(A1014='Data Entry - SOF'!B$2,'Data Entry - SOF'!E$102,0)</f>
        <v>0</v>
      </c>
      <c r="H1014" s="1038">
        <f t="shared" si="92"/>
        <v>57166462</v>
      </c>
      <c r="I1014" s="944">
        <f>IF(A1014='Data Entry - SOF'!B$2,'Report-SOF1920-HB3'!D$102,0)</f>
        <v>0</v>
      </c>
      <c r="J1014" s="1037">
        <f>IF(A1014='Data Entry - SOF'!B$2,'Data Entry - SOF'!G$102,0)</f>
        <v>0</v>
      </c>
      <c r="K1014" s="717">
        <f t="shared" si="93"/>
        <v>57166462</v>
      </c>
      <c r="L1014" s="944">
        <f>IF(A1014='Data Entry - SOF'!B$2,'Report-SOF2021'!D$99,0)</f>
        <v>0</v>
      </c>
      <c r="M1014" s="723">
        <f>IF(A1014='Data Entry - SOF'!B$2,'Data Entry - SOF'!M$102,0)</f>
        <v>0</v>
      </c>
      <c r="N1014" s="717">
        <f t="shared" si="94"/>
        <v>57166462</v>
      </c>
      <c r="O1014" s="944">
        <f>IF(A1014='Data Entry - SOF'!B$2,'Report-SOF2122'!D$91,0)</f>
        <v>0</v>
      </c>
      <c r="P1014" s="723">
        <f>IF(A1014='Data Entry - SOF'!B$2,'Data Entry - SOF'!O$102,0)</f>
        <v>0</v>
      </c>
      <c r="Q1014" s="601">
        <f t="shared" si="91"/>
        <v>57166462</v>
      </c>
      <c r="R1014" s="944">
        <f>IF(A1014='Data Entry - SOF'!B$2,'Report-SOF2223'!D$91,0)</f>
        <v>0</v>
      </c>
      <c r="S1014" s="723">
        <f>IF(A1014='Data Entry - SOF'!B$2,'Data Entry - SOF'!Q$102,0)</f>
        <v>0</v>
      </c>
      <c r="T1014" s="601">
        <f t="shared" si="95"/>
        <v>57166462</v>
      </c>
      <c r="U1014" s="944">
        <f>IF(A1014='Data Entry - SOF'!B$2,'Report-SOF2324'!D$91,0)</f>
        <v>0</v>
      </c>
      <c r="V1014" s="723">
        <f>IF(A1014='Data Entry - SOF'!B$2,'Data Entry - SOF'!S$102,0)</f>
        <v>0</v>
      </c>
    </row>
    <row r="1015" spans="1:22" ht="15.75">
      <c r="A1015" s="382" t="s">
        <v>1471</v>
      </c>
      <c r="B1015" s="91">
        <v>28131691.0352748</v>
      </c>
      <c r="C1015" s="944">
        <f>IF(A1015='Data Entry - SOF'!B$2,'Report-SOF1718'!D$102,0)</f>
        <v>0</v>
      </c>
      <c r="D1015" s="1037">
        <f>IF(A1015='Data Entry - SOF'!B$2,'Data Entry - SOF'!#REF!,0)</f>
        <v>0</v>
      </c>
      <c r="E1015" s="91">
        <f t="shared" si="90"/>
        <v>28131691.0352748</v>
      </c>
      <c r="F1015" s="944">
        <f>IF(A1015='Data Entry - SOF'!B$2,'Report-SOF1819'!D$102,0)</f>
        <v>0</v>
      </c>
      <c r="G1015" s="1037">
        <f>IF(A1015='Data Entry - SOF'!B$2,'Data Entry - SOF'!E$102,0)</f>
        <v>0</v>
      </c>
      <c r="H1015" s="1038">
        <f t="shared" si="92"/>
        <v>28131691.0352748</v>
      </c>
      <c r="I1015" s="944">
        <f>IF(A1015='Data Entry - SOF'!B$2,'Report-SOF1920-HB3'!D$102,0)</f>
        <v>0</v>
      </c>
      <c r="J1015" s="1037">
        <f>IF(A1015='Data Entry - SOF'!B$2,'Data Entry - SOF'!G$102,0)</f>
        <v>0</v>
      </c>
      <c r="K1015" s="717">
        <f t="shared" si="93"/>
        <v>28131691.0352748</v>
      </c>
      <c r="L1015" s="944">
        <f>IF(A1015='Data Entry - SOF'!B$2,'Report-SOF2021'!D$99,0)</f>
        <v>0</v>
      </c>
      <c r="M1015" s="723">
        <f>IF(A1015='Data Entry - SOF'!B$2,'Data Entry - SOF'!M$102,0)</f>
        <v>0</v>
      </c>
      <c r="N1015" s="717">
        <f t="shared" si="94"/>
        <v>28131691.0352748</v>
      </c>
      <c r="O1015" s="944">
        <f>IF(A1015='Data Entry - SOF'!B$2,'Report-SOF2122'!D$91,0)</f>
        <v>0</v>
      </c>
      <c r="P1015" s="723">
        <f>IF(A1015='Data Entry - SOF'!B$2,'Data Entry - SOF'!O$102,0)</f>
        <v>0</v>
      </c>
      <c r="Q1015" s="601">
        <f t="shared" si="91"/>
        <v>28131691.0352748</v>
      </c>
      <c r="R1015" s="944">
        <f>IF(A1015='Data Entry - SOF'!B$2,'Report-SOF2223'!D$91,0)</f>
        <v>0</v>
      </c>
      <c r="S1015" s="723">
        <f>IF(A1015='Data Entry - SOF'!B$2,'Data Entry - SOF'!Q$102,0)</f>
        <v>0</v>
      </c>
      <c r="T1015" s="601">
        <f t="shared" si="95"/>
        <v>28131691.0352748</v>
      </c>
      <c r="U1015" s="944">
        <f>IF(A1015='Data Entry - SOF'!B$2,'Report-SOF2324'!D$91,0)</f>
        <v>0</v>
      </c>
      <c r="V1015" s="723">
        <f>IF(A1015='Data Entry - SOF'!B$2,'Data Entry - SOF'!S$102,0)</f>
        <v>0</v>
      </c>
    </row>
    <row r="1016" spans="1:22" ht="15.75">
      <c r="A1016" s="382" t="s">
        <v>907</v>
      </c>
      <c r="B1016" s="91">
        <v>6877054</v>
      </c>
      <c r="C1016" s="944">
        <f>IF(A1016='Data Entry - SOF'!B$2,'Report-SOF1718'!D$102,0)</f>
        <v>0</v>
      </c>
      <c r="D1016" s="1037">
        <f>IF(A1016='Data Entry - SOF'!B$2,'Data Entry - SOF'!#REF!,0)</f>
        <v>0</v>
      </c>
      <c r="E1016" s="91">
        <f t="shared" si="90"/>
        <v>6877054</v>
      </c>
      <c r="F1016" s="944">
        <f>IF(A1016='Data Entry - SOF'!B$2,'Report-SOF1819'!D$102,0)</f>
        <v>0</v>
      </c>
      <c r="G1016" s="1037">
        <f>IF(A1016='Data Entry - SOF'!B$2,'Data Entry - SOF'!E$102,0)</f>
        <v>0</v>
      </c>
      <c r="H1016" s="1038">
        <f t="shared" si="92"/>
        <v>6877054</v>
      </c>
      <c r="I1016" s="944">
        <f>IF(A1016='Data Entry - SOF'!B$2,'Report-SOF1920-HB3'!D$102,0)</f>
        <v>0</v>
      </c>
      <c r="J1016" s="1037">
        <f>IF(A1016='Data Entry - SOF'!B$2,'Data Entry - SOF'!G$102,0)</f>
        <v>0</v>
      </c>
      <c r="K1016" s="717">
        <f t="shared" si="93"/>
        <v>6877054</v>
      </c>
      <c r="L1016" s="944">
        <f>IF(A1016='Data Entry - SOF'!B$2,'Report-SOF2021'!D$99,0)</f>
        <v>0</v>
      </c>
      <c r="M1016" s="723">
        <f>IF(A1016='Data Entry - SOF'!B$2,'Data Entry - SOF'!M$102,0)</f>
        <v>0</v>
      </c>
      <c r="N1016" s="717">
        <f t="shared" si="94"/>
        <v>6877054</v>
      </c>
      <c r="O1016" s="944">
        <f>IF(A1016='Data Entry - SOF'!B$2,'Report-SOF2122'!D$91,0)</f>
        <v>0</v>
      </c>
      <c r="P1016" s="723">
        <f>IF(A1016='Data Entry - SOF'!B$2,'Data Entry - SOF'!O$102,0)</f>
        <v>0</v>
      </c>
      <c r="Q1016" s="601">
        <f t="shared" si="91"/>
        <v>6877054</v>
      </c>
      <c r="R1016" s="944">
        <f>IF(A1016='Data Entry - SOF'!B$2,'Report-SOF2223'!D$91,0)</f>
        <v>0</v>
      </c>
      <c r="S1016" s="723">
        <f>IF(A1016='Data Entry - SOF'!B$2,'Data Entry - SOF'!Q$102,0)</f>
        <v>0</v>
      </c>
      <c r="T1016" s="601">
        <f t="shared" si="95"/>
        <v>6877054</v>
      </c>
      <c r="U1016" s="944">
        <f>IF(A1016='Data Entry - SOF'!B$2,'Report-SOF2324'!D$91,0)</f>
        <v>0</v>
      </c>
      <c r="V1016" s="723">
        <f>IF(A1016='Data Entry - SOF'!B$2,'Data Entry - SOF'!S$102,0)</f>
        <v>0</v>
      </c>
    </row>
    <row r="1017" spans="1:22" ht="15.75">
      <c r="A1017" s="382" t="s">
        <v>1472</v>
      </c>
      <c r="B1017" s="91">
        <v>1883988</v>
      </c>
      <c r="C1017" s="944">
        <f>IF(A1017='Data Entry - SOF'!B$2,'Report-SOF1718'!D$102,0)</f>
        <v>0</v>
      </c>
      <c r="D1017" s="1037">
        <f>IF(A1017='Data Entry - SOF'!B$2,'Data Entry - SOF'!#REF!,0)</f>
        <v>0</v>
      </c>
      <c r="E1017" s="91">
        <f t="shared" si="90"/>
        <v>1883988</v>
      </c>
      <c r="F1017" s="944">
        <f>IF(A1017='Data Entry - SOF'!B$2,'Report-SOF1819'!D$102,0)</f>
        <v>0</v>
      </c>
      <c r="G1017" s="1037">
        <f>IF(A1017='Data Entry - SOF'!B$2,'Data Entry - SOF'!E$102,0)</f>
        <v>0</v>
      </c>
      <c r="H1017" s="1038">
        <f t="shared" si="92"/>
        <v>1883988</v>
      </c>
      <c r="I1017" s="944">
        <f>IF(A1017='Data Entry - SOF'!B$2,'Report-SOF1920-HB3'!D$102,0)</f>
        <v>0</v>
      </c>
      <c r="J1017" s="1037">
        <f>IF(A1017='Data Entry - SOF'!B$2,'Data Entry - SOF'!G$102,0)</f>
        <v>0</v>
      </c>
      <c r="K1017" s="717">
        <f t="shared" si="93"/>
        <v>1883988</v>
      </c>
      <c r="L1017" s="944">
        <f>IF(A1017='Data Entry - SOF'!B$2,'Report-SOF2021'!D$99,0)</f>
        <v>0</v>
      </c>
      <c r="M1017" s="723">
        <f>IF(A1017='Data Entry - SOF'!B$2,'Data Entry - SOF'!M$102,0)</f>
        <v>0</v>
      </c>
      <c r="N1017" s="717">
        <f t="shared" si="94"/>
        <v>1883988</v>
      </c>
      <c r="O1017" s="944">
        <f>IF(A1017='Data Entry - SOF'!B$2,'Report-SOF2122'!D$91,0)</f>
        <v>0</v>
      </c>
      <c r="P1017" s="723">
        <f>IF(A1017='Data Entry - SOF'!B$2,'Data Entry - SOF'!O$102,0)</f>
        <v>0</v>
      </c>
      <c r="Q1017" s="601">
        <f t="shared" si="91"/>
        <v>1883988</v>
      </c>
      <c r="R1017" s="944">
        <f>IF(A1017='Data Entry - SOF'!B$2,'Report-SOF2223'!D$91,0)</f>
        <v>0</v>
      </c>
      <c r="S1017" s="723">
        <f>IF(A1017='Data Entry - SOF'!B$2,'Data Entry - SOF'!Q$102,0)</f>
        <v>0</v>
      </c>
      <c r="T1017" s="601">
        <f t="shared" si="95"/>
        <v>1883988</v>
      </c>
      <c r="U1017" s="944">
        <f>IF(A1017='Data Entry - SOF'!B$2,'Report-SOF2324'!D$91,0)</f>
        <v>0</v>
      </c>
      <c r="V1017" s="723">
        <f>IF(A1017='Data Entry - SOF'!B$2,'Data Entry - SOF'!S$102,0)</f>
        <v>0</v>
      </c>
    </row>
    <row r="1018" spans="1:22" ht="15.75">
      <c r="A1018" s="382" t="s">
        <v>1504</v>
      </c>
      <c r="B1018" s="91">
        <v>8552556</v>
      </c>
      <c r="C1018" s="944">
        <f>IF(A1018='Data Entry - SOF'!B$2,'Report-SOF1718'!D$102,0)</f>
        <v>0</v>
      </c>
      <c r="D1018" s="1037">
        <f>IF(A1018='Data Entry - SOF'!B$2,'Data Entry - SOF'!#REF!,0)</f>
        <v>0</v>
      </c>
      <c r="E1018" s="91">
        <f t="shared" si="90"/>
        <v>8552556</v>
      </c>
      <c r="F1018" s="944">
        <f>IF(A1018='Data Entry - SOF'!B$2,'Report-SOF1819'!D$102,0)</f>
        <v>0</v>
      </c>
      <c r="G1018" s="1037">
        <f>IF(A1018='Data Entry - SOF'!B$2,'Data Entry - SOF'!E$102,0)</f>
        <v>0</v>
      </c>
      <c r="H1018" s="1038">
        <f t="shared" si="92"/>
        <v>8552556</v>
      </c>
      <c r="I1018" s="944">
        <f>IF(A1018='Data Entry - SOF'!B$2,'Report-SOF1920-HB3'!D$102,0)</f>
        <v>0</v>
      </c>
      <c r="J1018" s="1037">
        <f>IF(A1018='Data Entry - SOF'!B$2,'Data Entry - SOF'!G$102,0)</f>
        <v>0</v>
      </c>
      <c r="K1018" s="717">
        <f t="shared" si="93"/>
        <v>8552556</v>
      </c>
      <c r="L1018" s="944">
        <f>IF(A1018='Data Entry - SOF'!B$2,'Report-SOF2021'!D$99,0)</f>
        <v>0</v>
      </c>
      <c r="M1018" s="723">
        <f>IF(A1018='Data Entry - SOF'!B$2,'Data Entry - SOF'!M$102,0)</f>
        <v>0</v>
      </c>
      <c r="N1018" s="717">
        <f t="shared" si="94"/>
        <v>8552556</v>
      </c>
      <c r="O1018" s="944">
        <f>IF(A1018='Data Entry - SOF'!B$2,'Report-SOF2122'!D$91,0)</f>
        <v>0</v>
      </c>
      <c r="P1018" s="723">
        <f>IF(A1018='Data Entry - SOF'!B$2,'Data Entry - SOF'!O$102,0)</f>
        <v>0</v>
      </c>
      <c r="Q1018" s="601">
        <f t="shared" si="91"/>
        <v>8552556</v>
      </c>
      <c r="R1018" s="944">
        <f>IF(A1018='Data Entry - SOF'!B$2,'Report-SOF2223'!D$91,0)</f>
        <v>0</v>
      </c>
      <c r="S1018" s="723">
        <f>IF(A1018='Data Entry - SOF'!B$2,'Data Entry - SOF'!Q$102,0)</f>
        <v>0</v>
      </c>
      <c r="T1018" s="601">
        <f t="shared" si="95"/>
        <v>8552556</v>
      </c>
      <c r="U1018" s="944">
        <f>IF(A1018='Data Entry - SOF'!B$2,'Report-SOF2324'!D$91,0)</f>
        <v>0</v>
      </c>
      <c r="V1018" s="723">
        <f>IF(A1018='Data Entry - SOF'!B$2,'Data Entry - SOF'!S$102,0)</f>
        <v>0</v>
      </c>
    </row>
    <row r="1019" spans="1:22" ht="15.75">
      <c r="A1019" s="382" t="s">
        <v>514</v>
      </c>
      <c r="B1019" s="91">
        <v>24666109</v>
      </c>
      <c r="C1019" s="944">
        <f>IF(A1019='Data Entry - SOF'!B$2,'Report-SOF1718'!D$102,0)</f>
        <v>0</v>
      </c>
      <c r="D1019" s="1037">
        <f>IF(A1019='Data Entry - SOF'!B$2,'Data Entry - SOF'!#REF!,0)</f>
        <v>0</v>
      </c>
      <c r="E1019" s="91">
        <f t="shared" si="90"/>
        <v>24666109</v>
      </c>
      <c r="F1019" s="944">
        <f>IF(A1019='Data Entry - SOF'!B$2,'Report-SOF1819'!D$102,0)</f>
        <v>0</v>
      </c>
      <c r="G1019" s="1037">
        <f>IF(A1019='Data Entry - SOF'!B$2,'Data Entry - SOF'!E$102,0)</f>
        <v>0</v>
      </c>
      <c r="H1019" s="1038">
        <f t="shared" si="92"/>
        <v>24666109</v>
      </c>
      <c r="I1019" s="944">
        <f>IF(A1019='Data Entry - SOF'!B$2,'Report-SOF1920-HB3'!D$102,0)</f>
        <v>0</v>
      </c>
      <c r="J1019" s="1037">
        <f>IF(A1019='Data Entry - SOF'!B$2,'Data Entry - SOF'!G$102,0)</f>
        <v>0</v>
      </c>
      <c r="K1019" s="717">
        <f t="shared" si="93"/>
        <v>24666109</v>
      </c>
      <c r="L1019" s="944">
        <f>IF(A1019='Data Entry - SOF'!B$2,'Report-SOF2021'!D$99,0)</f>
        <v>0</v>
      </c>
      <c r="M1019" s="723">
        <f>IF(A1019='Data Entry - SOF'!B$2,'Data Entry - SOF'!M$102,0)</f>
        <v>0</v>
      </c>
      <c r="N1019" s="717">
        <f t="shared" si="94"/>
        <v>24666109</v>
      </c>
      <c r="O1019" s="944">
        <f>IF(A1019='Data Entry - SOF'!B$2,'Report-SOF2122'!D$91,0)</f>
        <v>0</v>
      </c>
      <c r="P1019" s="723">
        <f>IF(A1019='Data Entry - SOF'!B$2,'Data Entry - SOF'!O$102,0)</f>
        <v>0</v>
      </c>
      <c r="Q1019" s="601">
        <f t="shared" si="91"/>
        <v>24666109</v>
      </c>
      <c r="R1019" s="944">
        <f>IF(A1019='Data Entry - SOF'!B$2,'Report-SOF2223'!D$91,0)</f>
        <v>0</v>
      </c>
      <c r="S1019" s="723">
        <f>IF(A1019='Data Entry - SOF'!B$2,'Data Entry - SOF'!Q$102,0)</f>
        <v>0</v>
      </c>
      <c r="T1019" s="601">
        <f t="shared" si="95"/>
        <v>24666109</v>
      </c>
      <c r="U1019" s="944">
        <f>IF(A1019='Data Entry - SOF'!B$2,'Report-SOF2324'!D$91,0)</f>
        <v>0</v>
      </c>
      <c r="V1019" s="723">
        <f>IF(A1019='Data Entry - SOF'!B$2,'Data Entry - SOF'!S$102,0)</f>
        <v>0</v>
      </c>
    </row>
    <row r="1020" spans="1:22" ht="15.75">
      <c r="A1020" s="382" t="s">
        <v>2406</v>
      </c>
      <c r="B1020" s="91">
        <v>16424016</v>
      </c>
      <c r="C1020" s="944">
        <f>IF(A1020='Data Entry - SOF'!B$2,'Report-SOF1718'!D$102,0)</f>
        <v>0</v>
      </c>
      <c r="D1020" s="1037">
        <f>IF(A1020='Data Entry - SOF'!B$2,'Data Entry - SOF'!#REF!,0)</f>
        <v>0</v>
      </c>
      <c r="E1020" s="91">
        <f t="shared" si="90"/>
        <v>16424016</v>
      </c>
      <c r="F1020" s="944">
        <f>IF(A1020='Data Entry - SOF'!B$2,'Report-SOF1819'!D$102,0)</f>
        <v>0</v>
      </c>
      <c r="G1020" s="1037">
        <f>IF(A1020='Data Entry - SOF'!B$2,'Data Entry - SOF'!E$102,0)</f>
        <v>0</v>
      </c>
      <c r="H1020" s="1038">
        <f t="shared" si="92"/>
        <v>16424016</v>
      </c>
      <c r="I1020" s="944">
        <f>IF(A1020='Data Entry - SOF'!B$2,'Report-SOF1920-HB3'!D$102,0)</f>
        <v>0</v>
      </c>
      <c r="J1020" s="1037">
        <f>IF(A1020='Data Entry - SOF'!B$2,'Data Entry - SOF'!G$102,0)</f>
        <v>0</v>
      </c>
      <c r="K1020" s="717">
        <f t="shared" si="93"/>
        <v>16424016</v>
      </c>
      <c r="L1020" s="944">
        <f>IF(A1020='Data Entry - SOF'!B$2,'Report-SOF2021'!D$99,0)</f>
        <v>0</v>
      </c>
      <c r="M1020" s="723">
        <f>IF(A1020='Data Entry - SOF'!B$2,'Data Entry - SOF'!M$102,0)</f>
        <v>0</v>
      </c>
      <c r="N1020" s="717">
        <f t="shared" si="94"/>
        <v>16424016</v>
      </c>
      <c r="O1020" s="944">
        <f>IF(A1020='Data Entry - SOF'!B$2,'Report-SOF2122'!D$91,0)</f>
        <v>0</v>
      </c>
      <c r="P1020" s="723">
        <f>IF(A1020='Data Entry - SOF'!B$2,'Data Entry - SOF'!O$102,0)</f>
        <v>0</v>
      </c>
      <c r="Q1020" s="601">
        <f t="shared" si="91"/>
        <v>16424016</v>
      </c>
      <c r="R1020" s="944">
        <f>IF(A1020='Data Entry - SOF'!B$2,'Report-SOF2223'!D$91,0)</f>
        <v>0</v>
      </c>
      <c r="S1020" s="723">
        <f>IF(A1020='Data Entry - SOF'!B$2,'Data Entry - SOF'!Q$102,0)</f>
        <v>0</v>
      </c>
      <c r="T1020" s="601">
        <f t="shared" si="95"/>
        <v>16424016</v>
      </c>
      <c r="U1020" s="944">
        <f>IF(A1020='Data Entry - SOF'!B$2,'Report-SOF2324'!D$91,0)</f>
        <v>0</v>
      </c>
      <c r="V1020" s="723">
        <f>IF(A1020='Data Entry - SOF'!B$2,'Data Entry - SOF'!S$102,0)</f>
        <v>0</v>
      </c>
    </row>
    <row r="1021" spans="1:22" ht="15.75">
      <c r="A1021" s="382" t="s">
        <v>1688</v>
      </c>
      <c r="B1021" s="91">
        <v>726471</v>
      </c>
      <c r="C1021" s="944">
        <f>IF(A1021='Data Entry - SOF'!B$2,'Report-SOF1718'!D$102,0)</f>
        <v>0</v>
      </c>
      <c r="D1021" s="1037">
        <f>IF(A1021='Data Entry - SOF'!B$2,'Data Entry - SOF'!#REF!,0)</f>
        <v>0</v>
      </c>
      <c r="E1021" s="91">
        <f t="shared" si="90"/>
        <v>726471</v>
      </c>
      <c r="F1021" s="944">
        <f>IF(A1021='Data Entry - SOF'!B$2,'Report-SOF1819'!D$102,0)</f>
        <v>0</v>
      </c>
      <c r="G1021" s="1037">
        <f>IF(A1021='Data Entry - SOF'!B$2,'Data Entry - SOF'!E$102,0)</f>
        <v>0</v>
      </c>
      <c r="H1021" s="1038">
        <f t="shared" si="92"/>
        <v>726471</v>
      </c>
      <c r="I1021" s="944">
        <f>IF(A1021='Data Entry - SOF'!B$2,'Report-SOF1920-HB3'!D$102,0)</f>
        <v>0</v>
      </c>
      <c r="J1021" s="1037">
        <f>IF(A1021='Data Entry - SOF'!B$2,'Data Entry - SOF'!G$102,0)</f>
        <v>0</v>
      </c>
      <c r="K1021" s="717">
        <f t="shared" si="93"/>
        <v>726471</v>
      </c>
      <c r="L1021" s="944">
        <f>IF(A1021='Data Entry - SOF'!B$2,'Report-SOF2021'!D$99,0)</f>
        <v>0</v>
      </c>
      <c r="M1021" s="723">
        <f>IF(A1021='Data Entry - SOF'!B$2,'Data Entry - SOF'!M$102,0)</f>
        <v>0</v>
      </c>
      <c r="N1021" s="717">
        <f t="shared" si="94"/>
        <v>726471</v>
      </c>
      <c r="O1021" s="944">
        <f>IF(A1021='Data Entry - SOF'!B$2,'Report-SOF2122'!D$91,0)</f>
        <v>0</v>
      </c>
      <c r="P1021" s="723">
        <f>IF(A1021='Data Entry - SOF'!B$2,'Data Entry - SOF'!O$102,0)</f>
        <v>0</v>
      </c>
      <c r="Q1021" s="601">
        <f t="shared" si="91"/>
        <v>726471</v>
      </c>
      <c r="R1021" s="944">
        <f>IF(A1021='Data Entry - SOF'!B$2,'Report-SOF2223'!D$91,0)</f>
        <v>0</v>
      </c>
      <c r="S1021" s="723">
        <f>IF(A1021='Data Entry - SOF'!B$2,'Data Entry - SOF'!Q$102,0)</f>
        <v>0</v>
      </c>
      <c r="T1021" s="601">
        <f t="shared" si="95"/>
        <v>726471</v>
      </c>
      <c r="U1021" s="944">
        <f>IF(A1021='Data Entry - SOF'!B$2,'Report-SOF2324'!D$91,0)</f>
        <v>0</v>
      </c>
      <c r="V1021" s="723">
        <f>IF(A1021='Data Entry - SOF'!B$2,'Data Entry - SOF'!S$102,0)</f>
        <v>0</v>
      </c>
    </row>
    <row r="1023" spans="1:22" s="52" customFormat="1">
      <c r="A1023" s="52">
        <v>1</v>
      </c>
      <c r="B1023" s="223">
        <f>A1023+1</f>
        <v>2</v>
      </c>
      <c r="C1023" s="223">
        <f t="shared" ref="C1023:V1023" si="96">B1023+1</f>
        <v>3</v>
      </c>
      <c r="D1023" s="223">
        <f>C1023+1</f>
        <v>4</v>
      </c>
      <c r="E1023" s="223">
        <f t="shared" si="96"/>
        <v>5</v>
      </c>
      <c r="F1023" s="223">
        <f t="shared" si="96"/>
        <v>6</v>
      </c>
      <c r="G1023" s="223">
        <f>F1023+1</f>
        <v>7</v>
      </c>
      <c r="H1023" s="223">
        <f t="shared" si="96"/>
        <v>8</v>
      </c>
      <c r="I1023" s="223">
        <f t="shared" si="96"/>
        <v>9</v>
      </c>
      <c r="J1023" s="223">
        <f>I1023+1</f>
        <v>10</v>
      </c>
      <c r="K1023" s="223">
        <f t="shared" si="96"/>
        <v>11</v>
      </c>
      <c r="L1023" s="223">
        <f t="shared" si="96"/>
        <v>12</v>
      </c>
      <c r="M1023" s="223">
        <f>L1023+1</f>
        <v>13</v>
      </c>
      <c r="N1023" s="223">
        <f t="shared" si="96"/>
        <v>14</v>
      </c>
      <c r="O1023" s="223">
        <f t="shared" si="96"/>
        <v>15</v>
      </c>
      <c r="P1023" s="223">
        <f>O1023+1</f>
        <v>16</v>
      </c>
      <c r="Q1023" s="223">
        <f t="shared" si="96"/>
        <v>17</v>
      </c>
      <c r="R1023" s="223">
        <f t="shared" si="96"/>
        <v>18</v>
      </c>
      <c r="S1023" s="223">
        <f t="shared" si="96"/>
        <v>19</v>
      </c>
      <c r="T1023" s="223">
        <f t="shared" si="96"/>
        <v>20</v>
      </c>
      <c r="U1023" s="223">
        <f t="shared" si="96"/>
        <v>21</v>
      </c>
      <c r="V1023" s="223">
        <f t="shared" si="96"/>
        <v>22</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40625" style="220"/>
    <col min="2" max="2" width="26.85546875" style="220" customWidth="1"/>
  </cols>
  <sheetData>
    <row r="1" spans="1:2" ht="14.25">
      <c r="A1" s="220" t="s">
        <v>1841</v>
      </c>
      <c r="B1" s="1085">
        <v>4897929</v>
      </c>
    </row>
    <row r="2" spans="1:2" ht="14.25">
      <c r="A2" s="220" t="s">
        <v>2479</v>
      </c>
      <c r="B2" s="1086">
        <v>235860</v>
      </c>
    </row>
    <row r="3" spans="1:2" ht="14.25">
      <c r="A3" s="220" t="s">
        <v>2651</v>
      </c>
      <c r="B3" s="1086">
        <v>147601</v>
      </c>
    </row>
    <row r="4" spans="1:2" ht="14.25">
      <c r="A4" s="220" t="s">
        <v>1211</v>
      </c>
      <c r="B4" s="1086">
        <v>265999</v>
      </c>
    </row>
    <row r="5" spans="1:2" ht="14.25">
      <c r="A5" s="220" t="s">
        <v>403</v>
      </c>
      <c r="B5" s="1086">
        <v>47558</v>
      </c>
    </row>
    <row r="6" spans="1:2" ht="14.25">
      <c r="A6" s="220" t="s">
        <v>669</v>
      </c>
      <c r="B6" s="1085">
        <v>532938</v>
      </c>
    </row>
    <row r="7" spans="1:2" ht="14.25">
      <c r="A7" s="220" t="s">
        <v>1806</v>
      </c>
      <c r="B7" s="1085">
        <v>42792</v>
      </c>
    </row>
    <row r="8" spans="1:2" ht="14.25">
      <c r="A8" s="220" t="s">
        <v>2432</v>
      </c>
      <c r="B8" s="1086">
        <v>573498</v>
      </c>
    </row>
    <row r="9" spans="1:2" ht="14.25">
      <c r="A9" s="220" t="s">
        <v>2542</v>
      </c>
      <c r="B9" s="1086">
        <v>158442</v>
      </c>
    </row>
    <row r="10" spans="1:2" ht="14.25">
      <c r="A10" s="220" t="s">
        <v>795</v>
      </c>
      <c r="B10" s="1086">
        <v>866449</v>
      </c>
    </row>
    <row r="11" spans="1:2" ht="14.25">
      <c r="A11" s="220" t="s">
        <v>1583</v>
      </c>
      <c r="B11" s="1085">
        <v>10000000</v>
      </c>
    </row>
    <row r="12" spans="1:2" ht="14.25">
      <c r="A12" s="220" t="s">
        <v>253</v>
      </c>
      <c r="B12" s="1086">
        <v>2996267</v>
      </c>
    </row>
    <row r="13" spans="1:2" ht="14.25">
      <c r="A13" s="220" t="s">
        <v>681</v>
      </c>
      <c r="B13" s="1085">
        <v>2384608</v>
      </c>
    </row>
    <row r="14" spans="1:2" ht="14.25">
      <c r="A14" s="220" t="s">
        <v>682</v>
      </c>
      <c r="B14" s="1086">
        <v>670960</v>
      </c>
    </row>
    <row r="15" spans="1:2" ht="14.25">
      <c r="A15" s="220" t="s">
        <v>2688</v>
      </c>
      <c r="B15" s="1085">
        <v>223666</v>
      </c>
    </row>
    <row r="16" spans="1:2" ht="14.25">
      <c r="A16" s="220" t="s">
        <v>250</v>
      </c>
      <c r="B16" s="1085">
        <v>165742</v>
      </c>
    </row>
    <row r="17" spans="1:2" ht="14.25">
      <c r="A17" s="220" t="s">
        <v>251</v>
      </c>
      <c r="B17" s="1086">
        <v>416625</v>
      </c>
    </row>
    <row r="18" spans="1:2" ht="14.25">
      <c r="A18" s="220" t="s">
        <v>374</v>
      </c>
      <c r="B18" s="1086">
        <v>117181</v>
      </c>
    </row>
    <row r="19" spans="1:2" ht="14.25">
      <c r="A19" s="220" t="s">
        <v>717</v>
      </c>
      <c r="B19" s="1085">
        <v>1573966</v>
      </c>
    </row>
    <row r="20" spans="1:2" ht="14.25">
      <c r="A20" s="220" t="s">
        <v>214</v>
      </c>
      <c r="B20" s="1086">
        <v>1634930</v>
      </c>
    </row>
    <row r="21" spans="1:2" ht="14.25">
      <c r="A21" s="220" t="s">
        <v>1410</v>
      </c>
      <c r="B21" s="1085">
        <v>6859275</v>
      </c>
    </row>
    <row r="22" spans="1:2" ht="14.25">
      <c r="A22" s="220" t="s">
        <v>299</v>
      </c>
      <c r="B22" s="1086">
        <v>25323</v>
      </c>
    </row>
    <row r="23" spans="1:2" ht="14.25">
      <c r="A23" s="220" t="s">
        <v>175</v>
      </c>
      <c r="B23" s="1085">
        <v>224322</v>
      </c>
    </row>
    <row r="24" spans="1:2" ht="14.25">
      <c r="A24" s="220" t="s">
        <v>2581</v>
      </c>
      <c r="B24" s="1085">
        <v>338180</v>
      </c>
    </row>
    <row r="25" spans="1:2" ht="14.25">
      <c r="A25" s="220" t="s">
        <v>1830</v>
      </c>
      <c r="B25" s="1085">
        <v>12539</v>
      </c>
    </row>
    <row r="26" spans="1:2" ht="14.25">
      <c r="A26" s="220" t="s">
        <v>1303</v>
      </c>
      <c r="B26" s="1085">
        <v>1356272</v>
      </c>
    </row>
    <row r="27" spans="1:2" ht="14.25">
      <c r="A27" s="220" t="s">
        <v>1919</v>
      </c>
      <c r="B27" s="1086">
        <v>1741054</v>
      </c>
    </row>
    <row r="28" spans="1:2" ht="14.25">
      <c r="A28" s="220" t="s">
        <v>1925</v>
      </c>
      <c r="B28" s="1085">
        <v>176594</v>
      </c>
    </row>
    <row r="29" spans="1:2" ht="14.25">
      <c r="A29" s="220" t="s">
        <v>1926</v>
      </c>
      <c r="B29" s="1086">
        <v>423567</v>
      </c>
    </row>
    <row r="30" spans="1:2" ht="14.25">
      <c r="A30" s="220" t="s">
        <v>2110</v>
      </c>
      <c r="B30" s="1085">
        <v>132060</v>
      </c>
    </row>
    <row r="31" spans="1:2" ht="14.25">
      <c r="A31" s="220" t="s">
        <v>762</v>
      </c>
      <c r="B31" s="1086">
        <v>1415909</v>
      </c>
    </row>
    <row r="32" spans="1:2" ht="14.25">
      <c r="A32" s="220" t="s">
        <v>1451</v>
      </c>
      <c r="B32" s="1085">
        <v>126847</v>
      </c>
    </row>
    <row r="33" spans="1:2" ht="14.25">
      <c r="A33" s="220" t="s">
        <v>2437</v>
      </c>
      <c r="B33" s="1085">
        <v>1517955</v>
      </c>
    </row>
    <row r="34" spans="1:2" ht="14.25">
      <c r="A34" s="220" t="s">
        <v>1852</v>
      </c>
      <c r="B34" s="1086">
        <v>499637</v>
      </c>
    </row>
    <row r="35" spans="1:2" ht="14.25">
      <c r="A35" s="220" t="s">
        <v>1853</v>
      </c>
      <c r="B35" s="1086">
        <v>250446</v>
      </c>
    </row>
    <row r="36" spans="1:2" ht="14.25">
      <c r="A36" s="220" t="s">
        <v>2033</v>
      </c>
      <c r="B36" s="1085">
        <v>56428</v>
      </c>
    </row>
    <row r="37" spans="1:2" ht="14.25">
      <c r="A37" s="220" t="s">
        <v>794</v>
      </c>
      <c r="B37" s="1085">
        <v>81172</v>
      </c>
    </row>
    <row r="38" spans="1:2" ht="14.25">
      <c r="A38" s="220" t="s">
        <v>2142</v>
      </c>
      <c r="B38" s="1085">
        <v>84104</v>
      </c>
    </row>
    <row r="39" spans="1:2" ht="14.25">
      <c r="A39" s="220" t="s">
        <v>2344</v>
      </c>
      <c r="B39" s="1085">
        <v>655329</v>
      </c>
    </row>
    <row r="40" spans="1:2" ht="14.25">
      <c r="A40" s="220" t="s">
        <v>1120</v>
      </c>
      <c r="B40" s="1086">
        <v>194031</v>
      </c>
    </row>
    <row r="41" spans="1:2" ht="14.25">
      <c r="A41" s="220" t="s">
        <v>1948</v>
      </c>
      <c r="B41" s="1085">
        <v>1537873</v>
      </c>
    </row>
    <row r="42" spans="1:2" ht="14.25">
      <c r="A42" s="220" t="s">
        <v>1502</v>
      </c>
      <c r="B42" s="1085">
        <v>949343</v>
      </c>
    </row>
    <row r="43" spans="1:2" ht="14.25">
      <c r="A43" s="220" t="s">
        <v>1703</v>
      </c>
      <c r="B43" s="1085">
        <v>1102263</v>
      </c>
    </row>
    <row r="44" spans="1:2" ht="14.25">
      <c r="A44" s="220" t="s">
        <v>513</v>
      </c>
      <c r="B44" s="1086">
        <v>39553</v>
      </c>
    </row>
    <row r="45" spans="1:2" ht="14.25">
      <c r="A45" s="220" t="s">
        <v>1242</v>
      </c>
      <c r="B45" s="1086">
        <v>1338902</v>
      </c>
    </row>
    <row r="46" spans="1:2" ht="14.25">
      <c r="A46" s="220" t="s">
        <v>1244</v>
      </c>
      <c r="B46" s="1085">
        <v>163123</v>
      </c>
    </row>
    <row r="47" spans="1:2" ht="14.25">
      <c r="A47" s="220" t="s">
        <v>2678</v>
      </c>
      <c r="B47" s="1085">
        <v>90071</v>
      </c>
    </row>
    <row r="48" spans="1:2" ht="14.25">
      <c r="A48" s="220" t="s">
        <v>2141</v>
      </c>
      <c r="B48" s="1085">
        <v>145496</v>
      </c>
    </row>
    <row r="49" spans="1:2" ht="14.25">
      <c r="A49" s="220" t="s">
        <v>1260</v>
      </c>
      <c r="B49" s="1086">
        <v>205935</v>
      </c>
    </row>
    <row r="50" spans="1:2" ht="14.25">
      <c r="A50" s="220" t="s">
        <v>924</v>
      </c>
      <c r="B50" s="1085">
        <v>547689</v>
      </c>
    </row>
    <row r="51" spans="1:2" ht="14.25">
      <c r="A51" s="220" t="s">
        <v>2648</v>
      </c>
      <c r="B51" s="1086">
        <v>21837</v>
      </c>
    </row>
    <row r="52" spans="1:2" ht="14.25">
      <c r="A52" s="220" t="s">
        <v>1263</v>
      </c>
      <c r="B52" s="1086">
        <v>2052388</v>
      </c>
    </row>
    <row r="53" spans="1:2" ht="14.25">
      <c r="A53" s="220" t="s">
        <v>2320</v>
      </c>
      <c r="B53" s="1085">
        <v>226752</v>
      </c>
    </row>
    <row r="54" spans="1:2" ht="14.25">
      <c r="A54" s="220" t="s">
        <v>2545</v>
      </c>
      <c r="B54" s="1085">
        <v>88802</v>
      </c>
    </row>
    <row r="55" spans="1:2" ht="14.25">
      <c r="A55" s="220" t="s">
        <v>1534</v>
      </c>
      <c r="B55" s="1086">
        <v>636831</v>
      </c>
    </row>
    <row r="56" spans="1:2" ht="14.25">
      <c r="A56" s="220" t="s">
        <v>395</v>
      </c>
      <c r="B56" s="1085">
        <v>1069856</v>
      </c>
    </row>
    <row r="57" spans="1:2" ht="14.25">
      <c r="A57" s="220" t="s">
        <v>2265</v>
      </c>
      <c r="B57" s="1085">
        <v>37167</v>
      </c>
    </row>
    <row r="58" spans="1:2" ht="14.25">
      <c r="A58" s="220" t="s">
        <v>2268</v>
      </c>
      <c r="B58" s="1085">
        <v>21697</v>
      </c>
    </row>
    <row r="59" spans="1:2" ht="14.25">
      <c r="A59" s="220" t="s">
        <v>2426</v>
      </c>
      <c r="B59" s="1085">
        <v>85380</v>
      </c>
    </row>
    <row r="60" spans="1:2" ht="14.25">
      <c r="A60" s="220" t="s">
        <v>2111</v>
      </c>
      <c r="B60" s="1085">
        <v>2481780</v>
      </c>
    </row>
    <row r="61" spans="1:2" ht="14.25">
      <c r="A61" s="220" t="s">
        <v>2112</v>
      </c>
      <c r="B61" s="1086">
        <v>197824</v>
      </c>
    </row>
    <row r="62" spans="1:2" ht="14.25">
      <c r="A62" s="220" t="s">
        <v>1337</v>
      </c>
      <c r="B62" s="1086">
        <v>1730595</v>
      </c>
    </row>
    <row r="63" spans="1:2" ht="14.25">
      <c r="A63" s="220" t="s">
        <v>2557</v>
      </c>
      <c r="B63" s="1086">
        <v>308053</v>
      </c>
    </row>
    <row r="64" spans="1:2" ht="14.25">
      <c r="A64" s="220" t="s">
        <v>2558</v>
      </c>
      <c r="B64" s="1085">
        <v>186548</v>
      </c>
    </row>
    <row r="65" spans="1:2" ht="14.25">
      <c r="A65" s="220" t="s">
        <v>2659</v>
      </c>
      <c r="B65" s="1086">
        <v>216804</v>
      </c>
    </row>
    <row r="66" spans="1:2" ht="14.25">
      <c r="A66" s="220" t="s">
        <v>383</v>
      </c>
      <c r="B66" s="1086">
        <v>56053</v>
      </c>
    </row>
    <row r="67" spans="1:2" ht="14.25">
      <c r="A67" s="220" t="s">
        <v>384</v>
      </c>
      <c r="B67" s="1086">
        <v>287389</v>
      </c>
    </row>
    <row r="68" spans="1:2" ht="14.25">
      <c r="A68" s="220" t="s">
        <v>173</v>
      </c>
      <c r="B68" s="1086">
        <v>808490</v>
      </c>
    </row>
    <row r="69" spans="1:2" ht="14.25">
      <c r="A69" s="220" t="s">
        <v>2128</v>
      </c>
      <c r="B69" s="1086">
        <v>30631</v>
      </c>
    </row>
    <row r="70" spans="1:2" ht="14.25">
      <c r="A70" s="220" t="s">
        <v>2129</v>
      </c>
      <c r="B70" s="1086">
        <v>1093436</v>
      </c>
    </row>
    <row r="71" spans="1:2" ht="14.25">
      <c r="A71" s="220" t="s">
        <v>2086</v>
      </c>
      <c r="B71" s="1086">
        <v>965122</v>
      </c>
    </row>
    <row r="72" spans="1:2" ht="14.25">
      <c r="A72" s="220" t="s">
        <v>1837</v>
      </c>
      <c r="B72" s="1086">
        <v>364</v>
      </c>
    </row>
    <row r="73" spans="1:2" ht="14.25">
      <c r="A73" s="220" t="s">
        <v>1585</v>
      </c>
      <c r="B73" s="1085">
        <v>312013</v>
      </c>
    </row>
    <row r="74" spans="1:2" ht="14.25">
      <c r="A74" s="220" t="s">
        <v>1486</v>
      </c>
      <c r="B74" s="1085">
        <v>1173979</v>
      </c>
    </row>
    <row r="75" spans="1:2" ht="14.25">
      <c r="A75" s="220" t="s">
        <v>1496</v>
      </c>
      <c r="B75" s="1086">
        <v>93951</v>
      </c>
    </row>
    <row r="76" spans="1:2" ht="14.25">
      <c r="A76" s="220" t="s">
        <v>524</v>
      </c>
      <c r="B76" s="1085">
        <v>545577</v>
      </c>
    </row>
    <row r="77" spans="1:2" ht="14.25">
      <c r="A77" s="220" t="s">
        <v>705</v>
      </c>
      <c r="B77" s="1085">
        <v>109666</v>
      </c>
    </row>
    <row r="78" spans="1:2" ht="14.25">
      <c r="A78" s="220" t="s">
        <v>528</v>
      </c>
      <c r="B78" s="1086">
        <v>106022</v>
      </c>
    </row>
    <row r="79" spans="1:2" ht="14.25">
      <c r="A79" s="220" t="s">
        <v>2309</v>
      </c>
      <c r="B79" s="1086">
        <v>221845</v>
      </c>
    </row>
    <row r="80" spans="1:2" ht="14.25">
      <c r="A80" s="220" t="s">
        <v>570</v>
      </c>
      <c r="B80" s="1085">
        <v>705152</v>
      </c>
    </row>
    <row r="81" spans="1:2" ht="14.25">
      <c r="A81" s="220" t="s">
        <v>579</v>
      </c>
      <c r="B81" s="1086">
        <v>706160</v>
      </c>
    </row>
    <row r="82" spans="1:2" ht="14.25">
      <c r="A82" s="220" t="s">
        <v>580</v>
      </c>
      <c r="B82" s="1085">
        <v>386992</v>
      </c>
    </row>
    <row r="83" spans="1:2" ht="14.25">
      <c r="A83" s="220" t="s">
        <v>1355</v>
      </c>
      <c r="B83" s="1085">
        <v>45482</v>
      </c>
    </row>
    <row r="84" spans="1:2" ht="14.25">
      <c r="A84" s="220" t="s">
        <v>1356</v>
      </c>
      <c r="B84" s="1085">
        <v>862468</v>
      </c>
    </row>
    <row r="85" spans="1:2" ht="14.25">
      <c r="A85" s="220" t="s">
        <v>1357</v>
      </c>
      <c r="B85" s="1086">
        <v>1249671</v>
      </c>
    </row>
    <row r="86" spans="1:2" ht="14.25">
      <c r="A86" s="220" t="s">
        <v>2579</v>
      </c>
      <c r="B86" s="1086">
        <v>328086</v>
      </c>
    </row>
    <row r="87" spans="1:2" ht="14.25">
      <c r="A87" s="220" t="s">
        <v>1874</v>
      </c>
      <c r="B87" s="1086">
        <v>7741</v>
      </c>
    </row>
    <row r="88" spans="1:2" ht="14.25">
      <c r="A88" s="220" t="s">
        <v>2302</v>
      </c>
      <c r="B88" s="1085">
        <v>1253703</v>
      </c>
    </row>
    <row r="89" spans="1:2" ht="14.25">
      <c r="A89" s="220" t="s">
        <v>2291</v>
      </c>
      <c r="B89" s="1085">
        <v>923294</v>
      </c>
    </row>
    <row r="90" spans="1:2" ht="14.25">
      <c r="A90" s="220" t="s">
        <v>217</v>
      </c>
      <c r="B90" s="1085">
        <v>456979</v>
      </c>
    </row>
    <row r="91" spans="1:2" ht="14.25">
      <c r="A91" s="220" t="s">
        <v>2522</v>
      </c>
      <c r="B91" s="1085">
        <v>859885</v>
      </c>
    </row>
    <row r="92" spans="1:2" ht="14.25">
      <c r="A92" s="220" t="s">
        <v>1716</v>
      </c>
      <c r="B92" s="1085">
        <v>52156</v>
      </c>
    </row>
    <row r="93" spans="1:2" ht="14.25">
      <c r="A93" s="220" t="s">
        <v>695</v>
      </c>
      <c r="B93" s="1086">
        <v>154056</v>
      </c>
    </row>
    <row r="94" spans="1:2" ht="14.25">
      <c r="A94" s="220" t="s">
        <v>697</v>
      </c>
      <c r="B94" s="1086">
        <v>657388</v>
      </c>
    </row>
    <row r="95" spans="1:2" ht="14.25">
      <c r="A95" s="220" t="s">
        <v>1457</v>
      </c>
      <c r="B95" s="1085">
        <v>350719</v>
      </c>
    </row>
    <row r="96" spans="1:2" ht="14.25">
      <c r="A96" s="220" t="s">
        <v>1458</v>
      </c>
      <c r="B96" s="1086">
        <v>570767</v>
      </c>
    </row>
    <row r="97" spans="1:2" ht="14.25">
      <c r="A97" s="220" t="s">
        <v>1460</v>
      </c>
      <c r="B97" s="1086">
        <v>2604031</v>
      </c>
    </row>
    <row r="98" spans="1:2" ht="14.25">
      <c r="A98" s="220" t="s">
        <v>1379</v>
      </c>
      <c r="B98" s="1085">
        <v>3803929</v>
      </c>
    </row>
    <row r="99" spans="1:2" ht="14.25">
      <c r="A99" s="220" t="s">
        <v>1473</v>
      </c>
      <c r="B99" s="1086">
        <v>207176</v>
      </c>
    </row>
    <row r="100" spans="1:2" ht="14.25">
      <c r="A100" s="220" t="s">
        <v>1239</v>
      </c>
      <c r="B100" s="1085">
        <v>12041</v>
      </c>
    </row>
    <row r="101" spans="1:2" ht="14.25">
      <c r="A101" s="220" t="s">
        <v>274</v>
      </c>
      <c r="B101" s="1085">
        <v>429598</v>
      </c>
    </row>
    <row r="102" spans="1:2" ht="14.25">
      <c r="A102" s="220" t="s">
        <v>1006</v>
      </c>
      <c r="B102" s="1086">
        <v>33769</v>
      </c>
    </row>
    <row r="103" spans="1:2" ht="14.25">
      <c r="A103" s="220" t="s">
        <v>1342</v>
      </c>
      <c r="B103" s="1085">
        <v>601438</v>
      </c>
    </row>
    <row r="104" spans="1:2" ht="14.25">
      <c r="A104" s="220" t="s">
        <v>2584</v>
      </c>
      <c r="B104" s="1085">
        <v>240420</v>
      </c>
    </row>
    <row r="105" spans="1:2" ht="14.25">
      <c r="A105" s="220" t="s">
        <v>751</v>
      </c>
      <c r="B105" s="1086">
        <v>1469368</v>
      </c>
    </row>
    <row r="106" spans="1:2" ht="14.25">
      <c r="A106" s="220" t="s">
        <v>2656</v>
      </c>
      <c r="B106" s="1086">
        <v>507439</v>
      </c>
    </row>
    <row r="107" spans="1:2" ht="14.25">
      <c r="A107" s="220" t="s">
        <v>2658</v>
      </c>
      <c r="B107" s="1085">
        <v>196688</v>
      </c>
    </row>
    <row r="108" spans="1:2" ht="14.25">
      <c r="A108" s="220" t="s">
        <v>264</v>
      </c>
      <c r="B108" s="1085">
        <v>1146883</v>
      </c>
    </row>
    <row r="109" spans="1:2" ht="14.25">
      <c r="A109" s="220" t="s">
        <v>265</v>
      </c>
      <c r="B109" s="1086">
        <v>252839</v>
      </c>
    </row>
    <row r="110" spans="1:2" ht="14.25">
      <c r="A110" s="220" t="s">
        <v>2446</v>
      </c>
      <c r="B110" s="1086">
        <v>253592</v>
      </c>
    </row>
    <row r="111" spans="1:2" ht="14.25">
      <c r="A111" s="220" t="s">
        <v>1320</v>
      </c>
      <c r="B111" s="1085">
        <v>1660405</v>
      </c>
    </row>
    <row r="112" spans="1:2" ht="14.25">
      <c r="A112" s="220" t="s">
        <v>1807</v>
      </c>
      <c r="B112" s="1086">
        <v>227327</v>
      </c>
    </row>
    <row r="113" spans="1:2" ht="14.25">
      <c r="A113" s="220" t="s">
        <v>1080</v>
      </c>
      <c r="B113" s="1085">
        <v>543604</v>
      </c>
    </row>
    <row r="114" spans="1:2" ht="14.25">
      <c r="A114" s="220" t="s">
        <v>1081</v>
      </c>
      <c r="B114" s="1086">
        <v>329891</v>
      </c>
    </row>
    <row r="115" spans="1:2" ht="14.25">
      <c r="A115" s="220" t="s">
        <v>831</v>
      </c>
      <c r="B115" s="1086">
        <v>53314</v>
      </c>
    </row>
    <row r="116" spans="1:2" ht="14.25">
      <c r="A116" s="220" t="s">
        <v>2597</v>
      </c>
      <c r="B116" s="1086">
        <v>50191</v>
      </c>
    </row>
    <row r="117" spans="1:2" ht="14.25">
      <c r="A117" s="220" t="s">
        <v>626</v>
      </c>
      <c r="B117" s="1086">
        <v>218116</v>
      </c>
    </row>
    <row r="118" spans="1:2" ht="14.25">
      <c r="A118" s="220" t="s">
        <v>927</v>
      </c>
      <c r="B118" s="1086">
        <v>1103744</v>
      </c>
    </row>
    <row r="119" spans="1:2" ht="14.25">
      <c r="A119" s="220" t="s">
        <v>905</v>
      </c>
      <c r="B119" s="1086">
        <v>160297</v>
      </c>
    </row>
    <row r="120" spans="1:2" ht="14.25">
      <c r="A120" s="220" t="s">
        <v>1724</v>
      </c>
      <c r="B120" s="1085">
        <v>320932</v>
      </c>
    </row>
    <row r="121" spans="1:2" ht="14.25">
      <c r="A121" s="220" t="s">
        <v>2319</v>
      </c>
      <c r="B121" s="1086">
        <v>329026</v>
      </c>
    </row>
    <row r="122" spans="1:2" ht="14.25">
      <c r="A122" s="220" t="s">
        <v>1358</v>
      </c>
      <c r="B122" s="1086">
        <v>29799</v>
      </c>
    </row>
    <row r="123" spans="1:2" ht="14.25">
      <c r="A123" s="220" t="s">
        <v>11</v>
      </c>
      <c r="B123" s="1086">
        <v>922098</v>
      </c>
    </row>
    <row r="124" spans="1:2" ht="14.25">
      <c r="A124" s="220" t="s">
        <v>1175</v>
      </c>
      <c r="B124" s="1085">
        <v>1182148</v>
      </c>
    </row>
    <row r="125" spans="1:2" ht="14.25">
      <c r="A125" s="220" t="s">
        <v>800</v>
      </c>
      <c r="B125" s="1085">
        <v>254319</v>
      </c>
    </row>
    <row r="126" spans="1:2" ht="14.25">
      <c r="A126" s="220" t="s">
        <v>2424</v>
      </c>
      <c r="B126" s="1085">
        <v>116600</v>
      </c>
    </row>
    <row r="127" spans="1:2" ht="14.25">
      <c r="A127" s="220" t="s">
        <v>2425</v>
      </c>
      <c r="B127" s="1086">
        <v>762369</v>
      </c>
    </row>
    <row r="128" spans="1:2" ht="14.25">
      <c r="A128" s="220" t="s">
        <v>2576</v>
      </c>
      <c r="B128" s="1085">
        <v>41299</v>
      </c>
    </row>
    <row r="129" spans="1:2" ht="14.25">
      <c r="A129" s="220" t="s">
        <v>680</v>
      </c>
      <c r="B129" s="1085">
        <v>814428</v>
      </c>
    </row>
    <row r="130" spans="1:2" ht="14.25">
      <c r="A130" s="220" t="s">
        <v>514</v>
      </c>
      <c r="B130" s="1086">
        <v>4139027</v>
      </c>
    </row>
    <row r="131" spans="1:2">
      <c r="B131" s="1087">
        <f>SUM(B1:B130)</f>
        <v>99999999</v>
      </c>
    </row>
  </sheetData>
  <pageMargins left="0.7" right="0.7" top="0.75" bottom="0.75" header="0.3" footer="0.3"/>
  <pageSetup orientation="portrait" horizontalDpi="90" verticalDpi="9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166" sqref="D166"/>
    </sheetView>
  </sheetViews>
  <sheetFormatPr defaultRowHeight="12.75"/>
  <cols>
    <col min="1" max="2" width="8.5703125" style="2585"/>
    <col min="3" max="3" width="19.140625" style="2595" customWidth="1"/>
    <col min="4" max="4" width="16.5703125" customWidth="1"/>
  </cols>
  <sheetData>
    <row r="1" spans="1:4" ht="15">
      <c r="A1" s="2928">
        <v>180903</v>
      </c>
      <c r="B1" s="2923" t="str">
        <f>CONCATENATE(LEFT(RIGHT(CONCATENATE("000",'HG-DPV-Data'!A1),6),3),"-",(RIGHT(RIGHT(CONCATENATE("000",'HG-DPV-Data'!A1),6),3)))</f>
        <v>180-903</v>
      </c>
      <c r="C1" s="2929">
        <v>51802</v>
      </c>
      <c r="D1" s="2924">
        <v>0</v>
      </c>
    </row>
    <row r="2" spans="1:4" ht="15">
      <c r="A2" s="2925" t="s">
        <v>6034</v>
      </c>
      <c r="B2" s="2923" t="str">
        <f>CONCATENATE(LEFT(RIGHT(CONCATENATE("000",'HG-DPV-Data'!A2),6),3),"-",(RIGHT(RIGHT(CONCATENATE("000",'HG-DPV-Data'!A2),6),3)))</f>
        <v>178-901</v>
      </c>
      <c r="C2" s="2930">
        <v>38741</v>
      </c>
      <c r="D2" s="2926">
        <v>0</v>
      </c>
    </row>
    <row r="3" spans="1:4" ht="15">
      <c r="A3" s="2927" t="s">
        <v>3594</v>
      </c>
      <c r="B3" s="2923" t="str">
        <f>CONCATENATE(LEFT(RIGHT(CONCATENATE("000",'HG-DPV-Data'!A3),6),3),"-",(RIGHT(RIGHT(CONCATENATE("000",'HG-DPV-Data'!A3),6),3)))</f>
        <v>125-901</v>
      </c>
      <c r="C3" s="2929">
        <v>714007</v>
      </c>
      <c r="D3" s="2924">
        <v>0</v>
      </c>
    </row>
    <row r="4" spans="1:4" ht="15">
      <c r="A4" s="2925" t="s">
        <v>3598</v>
      </c>
      <c r="B4" s="2923" t="str">
        <f>CONCATENATE(LEFT(RIGHT(CONCATENATE("000",'HG-DPV-Data'!A4),6),3),"-",(RIGHT(RIGHT(CONCATENATE("000",'HG-DPV-Data'!A4),6),3)))</f>
        <v>126-901</v>
      </c>
      <c r="C4" s="2930">
        <v>135255</v>
      </c>
      <c r="D4" s="2926">
        <v>0</v>
      </c>
    </row>
    <row r="5" spans="1:4" ht="15">
      <c r="A5" s="2927" t="s">
        <v>6755</v>
      </c>
      <c r="B5" s="2923" t="str">
        <f>CONCATENATE(LEFT(RIGHT(CONCATENATE("000",'HG-DPV-Data'!A5),6),3),"-",(RIGHT(RIGHT(CONCATENATE("000",'HG-DPV-Data'!A5),6),3)))</f>
        <v>140-901</v>
      </c>
      <c r="C5" s="2929">
        <v>18584</v>
      </c>
      <c r="D5" s="2924">
        <v>0</v>
      </c>
    </row>
    <row r="6" spans="1:4" ht="15">
      <c r="A6" s="2925" t="s">
        <v>5756</v>
      </c>
      <c r="B6" s="2923" t="str">
        <f>CONCATENATE(LEFT(RIGHT(CONCATENATE("000",'HG-DPV-Data'!A6),6),3),"-",(RIGHT(RIGHT(CONCATENATE("000",'HG-DPV-Data'!A6),6),3)))</f>
        <v>002-901</v>
      </c>
      <c r="C6" s="2930">
        <v>0</v>
      </c>
      <c r="D6" s="2926">
        <v>766838</v>
      </c>
    </row>
    <row r="7" spans="1:4" ht="15">
      <c r="A7" s="2927" t="s">
        <v>3716</v>
      </c>
      <c r="B7" s="2923" t="str">
        <f>CONCATENATE(LEFT(RIGHT(CONCATENATE("000",'HG-DPV-Data'!A7),6),3),"-",(RIGHT(RIGHT(CONCATENATE("000",'HG-DPV-Data'!A7),6),3)))</f>
        <v>212-901</v>
      </c>
      <c r="C7" s="2929">
        <v>0</v>
      </c>
      <c r="D7" s="2924">
        <v>247389</v>
      </c>
    </row>
    <row r="8" spans="1:4" ht="15">
      <c r="A8" s="2925" t="s">
        <v>6070</v>
      </c>
      <c r="B8" s="2923" t="str">
        <f>CONCATENATE(LEFT(RIGHT(CONCATENATE("000",'HG-DPV-Data'!A8),6),3),"-",(RIGHT(RIGHT(CONCATENATE("000",'HG-DPV-Data'!A8),6),3)))</f>
        <v>196-901</v>
      </c>
      <c r="C8" s="2930">
        <v>0</v>
      </c>
      <c r="D8" s="2926">
        <v>98406</v>
      </c>
    </row>
    <row r="9" spans="1:4" ht="15">
      <c r="A9" s="2927" t="s">
        <v>3699</v>
      </c>
      <c r="B9" s="2923" t="str">
        <f>CONCATENATE(LEFT(RIGHT(CONCATENATE("000",'HG-DPV-Data'!A9),6),3),"-",(RIGHT(RIGHT(CONCATENATE("000",'HG-DPV-Data'!A9),6),3)))</f>
        <v>195-902</v>
      </c>
      <c r="C9" s="2929">
        <v>0</v>
      </c>
      <c r="D9" s="2924">
        <v>26697</v>
      </c>
    </row>
    <row r="10" spans="1:4" ht="15">
      <c r="A10" s="2925" t="s">
        <v>5800</v>
      </c>
      <c r="B10" s="2923" t="str">
        <f>CONCATENATE(LEFT(RIGHT(CONCATENATE("000",'HG-DPV-Data'!A10),6),3),"-",(RIGHT(RIGHT(CONCATENATE("000",'HG-DPV-Data'!A10),6),3)))</f>
        <v>036-902</v>
      </c>
      <c r="C10" s="2930">
        <v>0</v>
      </c>
      <c r="D10" s="2926">
        <v>50600</v>
      </c>
    </row>
    <row r="11" spans="1:4" ht="15">
      <c r="A11" s="2927" t="s">
        <v>6051</v>
      </c>
      <c r="B11" s="2923" t="str">
        <f>CONCATENATE(LEFT(RIGHT(CONCATENATE("000",'HG-DPV-Data'!A11),6),3),"-",(RIGHT(RIGHT(CONCATENATE("000",'HG-DPV-Data'!A11),6),3)))</f>
        <v>183-901</v>
      </c>
      <c r="C11" s="2929">
        <v>0</v>
      </c>
      <c r="D11" s="2924">
        <v>542840</v>
      </c>
    </row>
    <row r="12" spans="1:4" ht="15">
      <c r="A12" s="2925" t="s">
        <v>3382</v>
      </c>
      <c r="B12" s="2923" t="str">
        <f>CONCATENATE(LEFT(RIGHT(CONCATENATE("000",'HG-DPV-Data'!A12),6),3),"-",(RIGHT(RIGHT(CONCATENATE("000",'HG-DPV-Data'!A12),6),3)))</f>
        <v>013-901</v>
      </c>
      <c r="C12" s="2930">
        <v>54187</v>
      </c>
      <c r="D12" s="2926">
        <v>0</v>
      </c>
    </row>
    <row r="13" spans="1:4" ht="15">
      <c r="A13" s="2927" t="s">
        <v>6032</v>
      </c>
      <c r="B13" s="2923" t="str">
        <f>CONCATENATE(LEFT(RIGHT(CONCATENATE("000",'HG-DPV-Data'!A13),6),3),"-",(RIGHT(RIGHT(CONCATENATE("000",'HG-DPV-Data'!A13),6),3)))</f>
        <v>177-903</v>
      </c>
      <c r="C13" s="2929">
        <v>0</v>
      </c>
      <c r="D13" s="2924">
        <v>185201</v>
      </c>
    </row>
    <row r="14" spans="1:4" ht="15">
      <c r="A14" s="2925" t="s">
        <v>5771</v>
      </c>
      <c r="B14" s="2923" t="str">
        <f>CONCATENATE(LEFT(RIGHT(CONCATENATE("000",'HG-DPV-Data'!A14),6),3),"-",(RIGHT(RIGHT(CONCATENATE("000",'HG-DPV-Data'!A14),6),3)))</f>
        <v>017-901</v>
      </c>
      <c r="C14" s="2930">
        <v>875915</v>
      </c>
      <c r="D14" s="2926">
        <v>0</v>
      </c>
    </row>
    <row r="15" spans="1:4" ht="15">
      <c r="A15" s="2927" t="s">
        <v>6781</v>
      </c>
      <c r="B15" s="2923" t="str">
        <f>CONCATENATE(LEFT(RIGHT(CONCATENATE("000",'HG-DPV-Data'!A15),6),3),"-",(RIGHT(RIGHT(CONCATENATE("000",'HG-DPV-Data'!A15),6),3)))</f>
        <v>185-901</v>
      </c>
      <c r="C15" s="2929">
        <v>25187</v>
      </c>
      <c r="D15" s="2924">
        <v>0</v>
      </c>
    </row>
    <row r="16" spans="1:4" ht="15">
      <c r="A16" s="2925" t="s">
        <v>6145</v>
      </c>
      <c r="B16" s="2923" t="str">
        <f>CONCATENATE(LEFT(RIGHT(CONCATENATE("000",'HG-DPV-Data'!A16),6),3),"-",(RIGHT(RIGHT(CONCATENATE("000",'HG-DPV-Data'!A16),6),3)))</f>
        <v>249-902</v>
      </c>
      <c r="C16" s="2930">
        <v>0</v>
      </c>
      <c r="D16" s="2926">
        <v>9699</v>
      </c>
    </row>
    <row r="17" spans="1:4" ht="15">
      <c r="A17" s="2927" t="s">
        <v>6074</v>
      </c>
      <c r="B17" s="2923" t="str">
        <f>CONCATENATE(LEFT(RIGHT(CONCATENATE("000",'HG-DPV-Data'!A17),6),3),"-",(RIGHT(RIGHT(CONCATENATE("000",'HG-DPV-Data'!A17),6),3)))</f>
        <v>198-901</v>
      </c>
      <c r="C17" s="2929">
        <v>0</v>
      </c>
      <c r="D17" s="2924">
        <v>461320</v>
      </c>
    </row>
    <row r="18" spans="1:4" ht="15">
      <c r="A18" s="2925" t="s">
        <v>5783</v>
      </c>
      <c r="B18" s="2923" t="str">
        <f>CONCATENATE(LEFT(RIGHT(CONCATENATE("000",'HG-DPV-Data'!A18),6),3),"-",(RIGHT(RIGHT(CONCATENATE("000",'HG-DPV-Data'!A18),6),3)))</f>
        <v>024-901</v>
      </c>
      <c r="C18" s="2930">
        <v>0</v>
      </c>
      <c r="D18" s="2926">
        <v>175954</v>
      </c>
    </row>
    <row r="19" spans="1:4" ht="15">
      <c r="A19" s="2927" t="s">
        <v>6056</v>
      </c>
      <c r="B19" s="2923" t="str">
        <f>CONCATENATE(LEFT(RIGHT(CONCATENATE("000",'HG-DPV-Data'!A19),6),3),"-",(RIGHT(RIGHT(CONCATENATE("000",'HG-DPV-Data'!A19),6),3)))</f>
        <v>186-901</v>
      </c>
      <c r="C19" s="2929">
        <v>0</v>
      </c>
      <c r="D19" s="2924">
        <v>381232</v>
      </c>
    </row>
    <row r="20" spans="1:4" ht="15">
      <c r="A20" s="2925" t="s">
        <v>5920</v>
      </c>
      <c r="B20" s="2923" t="str">
        <f>CONCATENATE(LEFT(RIGHT(CONCATENATE("000",'HG-DPV-Data'!A20),6),3),"-",(RIGHT(RIGHT(CONCATENATE("000",'HG-DPV-Data'!A20),6),3)))</f>
        <v>106-901</v>
      </c>
      <c r="C20" s="2930">
        <v>0</v>
      </c>
      <c r="D20" s="2926">
        <v>1121468</v>
      </c>
    </row>
    <row r="21" spans="1:4" ht="15">
      <c r="A21" s="2927" t="s">
        <v>6052</v>
      </c>
      <c r="B21" s="2923" t="str">
        <f>CONCATENATE(LEFT(RIGHT(CONCATENATE("000",'HG-DPV-Data'!A21),6),3),"-",(RIGHT(RIGHT(CONCATENATE("000",'HG-DPV-Data'!A21),6),3)))</f>
        <v>183-902</v>
      </c>
      <c r="C21" s="2929">
        <v>545974</v>
      </c>
      <c r="D21" s="2924">
        <v>0</v>
      </c>
    </row>
    <row r="22" spans="1:4" ht="15">
      <c r="A22" s="2925" t="s">
        <v>4572</v>
      </c>
      <c r="B22" s="2923" t="str">
        <f>CONCATENATE(LEFT(RIGHT(CONCATENATE("000",'HG-DPV-Data'!A22),6),3),"-",(RIGHT(RIGHT(CONCATENATE("000",'HG-DPV-Data'!A22),6),3)))</f>
        <v>067-902</v>
      </c>
      <c r="C22" s="2930">
        <v>916014</v>
      </c>
      <c r="D22" s="2926">
        <v>0</v>
      </c>
    </row>
    <row r="23" spans="1:4" ht="15">
      <c r="A23" s="2927" t="s">
        <v>6125</v>
      </c>
      <c r="B23" s="2923" t="str">
        <f>CONCATENATE(LEFT(RIGHT(CONCATENATE("000",'HG-DPV-Data'!A23),6),3),"-",(RIGHT(RIGHT(CONCATENATE("000",'HG-DPV-Data'!A23),6),3)))</f>
        <v>233-903</v>
      </c>
      <c r="C23" s="2929">
        <v>60528</v>
      </c>
      <c r="D23" s="2924">
        <v>0</v>
      </c>
    </row>
    <row r="24" spans="1:4" ht="15">
      <c r="A24" s="2925" t="s">
        <v>6726</v>
      </c>
      <c r="B24" s="2923" t="str">
        <f>CONCATENATE(LEFT(RIGHT(CONCATENATE("000",'HG-DPV-Data'!A24),6),3),"-",(RIGHT(RIGHT(CONCATENATE("000",'HG-DPV-Data'!A24),6),3)))</f>
        <v>095-902</v>
      </c>
      <c r="C24" s="2930">
        <v>50848</v>
      </c>
      <c r="D24" s="2926">
        <v>0</v>
      </c>
    </row>
    <row r="25" spans="1:4" ht="15">
      <c r="A25" s="2927" t="s">
        <v>3621</v>
      </c>
      <c r="B25" s="2923" t="str">
        <f>CONCATENATE(LEFT(RIGHT(CONCATENATE("000",'HG-DPV-Data'!A25),6),3),"-",(RIGHT(RIGHT(CONCATENATE("000",'HG-DPV-Data'!A25),6),3)))</f>
        <v>142-901</v>
      </c>
      <c r="C25" s="2929">
        <v>439413</v>
      </c>
      <c r="D25" s="2924">
        <v>0</v>
      </c>
    </row>
    <row r="26" spans="1:4" ht="15">
      <c r="A26" s="2925" t="s">
        <v>5818</v>
      </c>
      <c r="B26" s="2923" t="str">
        <f>CONCATENATE(LEFT(RIGHT(CONCATENATE("000",'HG-DPV-Data'!A26),6),3),"-",(RIGHT(RIGHT(CONCATENATE("000",'HG-DPV-Data'!A26),6),3)))</f>
        <v>052-901</v>
      </c>
      <c r="C26" s="2930">
        <v>0</v>
      </c>
      <c r="D26" s="2926">
        <v>2210352</v>
      </c>
    </row>
    <row r="27" spans="1:4" ht="15">
      <c r="A27" s="2927" t="s">
        <v>6695</v>
      </c>
      <c r="B27" s="2923" t="str">
        <f>CONCATENATE(LEFT(RIGHT(CONCATENATE("000",'HG-DPV-Data'!A27),6),3),"-",(RIGHT(RIGHT(CONCATENATE("000",'HG-DPV-Data'!A27),6),3)))</f>
        <v>053-001</v>
      </c>
      <c r="C27" s="2929">
        <v>0</v>
      </c>
      <c r="D27" s="2924">
        <v>80092</v>
      </c>
    </row>
    <row r="28" spans="1:4" ht="15">
      <c r="A28" s="2925" t="s">
        <v>3792</v>
      </c>
      <c r="B28" s="2923" t="str">
        <f>CONCATENATE(LEFT(RIGHT(CONCATENATE("000",'HG-DPV-Data'!A28),6),3),"-",(RIGHT(RIGHT(CONCATENATE("000",'HG-DPV-Data'!A28),6),3)))</f>
        <v>254-901</v>
      </c>
      <c r="C28" s="2930">
        <v>1408961</v>
      </c>
      <c r="D28" s="2926">
        <v>0</v>
      </c>
    </row>
    <row r="29" spans="1:4" ht="15">
      <c r="A29" s="2927" t="s">
        <v>3484</v>
      </c>
      <c r="B29" s="2923" t="str">
        <f>CONCATENATE(LEFT(RIGHT(CONCATENATE("000",'HG-DPV-Data'!A29),6),3),"-",(RIGHT(RIGHT(CONCATENATE("000",'HG-DPV-Data'!A29),6),3)))</f>
        <v>062-901</v>
      </c>
      <c r="C29" s="2929">
        <v>305879</v>
      </c>
      <c r="D29" s="2924">
        <v>0</v>
      </c>
    </row>
    <row r="30" spans="1:4" ht="15">
      <c r="A30" s="2925" t="s">
        <v>6024</v>
      </c>
      <c r="B30" s="2923" t="str">
        <f>CONCATENATE(LEFT(RIGHT(CONCATENATE("000",'HG-DPV-Data'!A30),6),3),"-",(RIGHT(RIGHT(CONCATENATE("000",'HG-DPV-Data'!A30),6),3)))</f>
        <v>174-902</v>
      </c>
      <c r="C30" s="2930">
        <v>0</v>
      </c>
      <c r="D30" s="2926">
        <v>536796</v>
      </c>
    </row>
    <row r="31" spans="1:4" ht="15">
      <c r="A31" s="2927" t="s">
        <v>5991</v>
      </c>
      <c r="B31" s="2923" t="str">
        <f>CONCATENATE(LEFT(RIGHT(CONCATENATE("000",'HG-DPV-Data'!A31),6),3),"-",(RIGHT(RIGHT(CONCATENATE("000",'HG-DPV-Data'!A31),6),3)))</f>
        <v>148-905</v>
      </c>
      <c r="C31" s="2929">
        <v>0</v>
      </c>
      <c r="D31" s="2924">
        <v>189229</v>
      </c>
    </row>
    <row r="32" spans="1:4" ht="15">
      <c r="A32" s="2925" t="s">
        <v>6700</v>
      </c>
      <c r="B32" s="2923" t="str">
        <f>CONCATENATE(LEFT(RIGHT(CONCATENATE("000",'HG-DPV-Data'!A32),6),3),"-",(RIGHT(RIGHT(CONCATENATE("000",'HG-DPV-Data'!A32),6),3)))</f>
        <v>058-902</v>
      </c>
      <c r="C32" s="2930">
        <v>0</v>
      </c>
      <c r="D32" s="2926">
        <v>165183</v>
      </c>
    </row>
    <row r="33" spans="1:4" ht="15">
      <c r="A33" s="2927" t="s">
        <v>6148</v>
      </c>
      <c r="B33" s="2923" t="str">
        <f>CONCATENATE(LEFT(RIGHT(CONCATENATE("000",'HG-DPV-Data'!A33),6),3),"-",(RIGHT(RIGHT(CONCATENATE("000",'HG-DPV-Data'!A33),6),3)))</f>
        <v>249-905</v>
      </c>
      <c r="C33" s="2929">
        <v>0</v>
      </c>
      <c r="D33" s="2924">
        <v>89902</v>
      </c>
    </row>
    <row r="34" spans="1:4" ht="15">
      <c r="A34" s="2925" t="s">
        <v>6153</v>
      </c>
      <c r="B34" s="2923" t="str">
        <f>CONCATENATE(LEFT(RIGHT(CONCATENATE("000",'HG-DPV-Data'!A34),6),3),"-",(RIGHT(RIGHT(CONCATENATE("000",'HG-DPV-Data'!A34),6),3)))</f>
        <v>251-901</v>
      </c>
      <c r="C34" s="2930">
        <v>0</v>
      </c>
      <c r="D34" s="2926">
        <v>537893</v>
      </c>
    </row>
    <row r="35" spans="1:4" ht="15">
      <c r="A35" s="2927" t="s">
        <v>5983</v>
      </c>
      <c r="B35" s="2923" t="str">
        <f>CONCATENATE(LEFT(RIGHT(CONCATENATE("000",'HG-DPV-Data'!A35),6),3),"-",(RIGHT(RIGHT(CONCATENATE("000",'HG-DPV-Data'!A35),6),3)))</f>
        <v>146-903</v>
      </c>
      <c r="C35" s="2929">
        <v>0</v>
      </c>
      <c r="D35" s="2924">
        <v>9859</v>
      </c>
    </row>
    <row r="36" spans="1:4" ht="15">
      <c r="A36" s="2925" t="s">
        <v>5860</v>
      </c>
      <c r="B36" s="2923" t="str">
        <f>CONCATENATE(LEFT(RIGHT(CONCATENATE("000",'HG-DPV-Data'!A36),6),3),"-",(RIGHT(RIGHT(CONCATENATE("000",'HG-DPV-Data'!A36),6),3)))</f>
        <v>081-906</v>
      </c>
      <c r="C36" s="2930">
        <v>0</v>
      </c>
      <c r="D36" s="2926">
        <v>139390</v>
      </c>
    </row>
    <row r="37" spans="1:4" ht="15">
      <c r="A37" s="2927" t="s">
        <v>3513</v>
      </c>
      <c r="B37" s="2923" t="str">
        <f>CONCATENATE(LEFT(RIGHT(CONCATENATE("000",'HG-DPV-Data'!A37),6),3),"-",(RIGHT(RIGHT(CONCATENATE("000",'HG-DPV-Data'!A37),6),3)))</f>
        <v>082-902</v>
      </c>
      <c r="C37" s="2929">
        <v>133559</v>
      </c>
      <c r="D37" s="2924">
        <v>0</v>
      </c>
    </row>
    <row r="38" spans="1:4" ht="15">
      <c r="A38" s="2925" t="s">
        <v>6778</v>
      </c>
      <c r="B38" s="2923" t="str">
        <f>CONCATENATE(LEFT(RIGHT(CONCATENATE("000",'HG-DPV-Data'!A38),6),3),"-",(RIGHT(RIGHT(CONCATENATE("000",'HG-DPV-Data'!A38),6),3)))</f>
        <v>174-911</v>
      </c>
      <c r="C38" s="2930">
        <v>0</v>
      </c>
      <c r="D38" s="2926">
        <v>37172</v>
      </c>
    </row>
    <row r="39" spans="1:4" ht="15">
      <c r="A39" s="2927" t="s">
        <v>6037</v>
      </c>
      <c r="B39" s="2923" t="str">
        <f>CONCATENATE(LEFT(RIGHT(CONCATENATE("000",'HG-DPV-Data'!A39),6),3),"-",(RIGHT(RIGHT(CONCATENATE("000",'HG-DPV-Data'!A39),6),3)))</f>
        <v>178-905</v>
      </c>
      <c r="C39" s="2929">
        <v>0</v>
      </c>
      <c r="D39" s="2924">
        <v>726053</v>
      </c>
    </row>
    <row r="40" spans="1:4" ht="15">
      <c r="A40" s="2925" t="s">
        <v>5947</v>
      </c>
      <c r="B40" s="2923" t="str">
        <f>CONCATENATE(LEFT(RIGHT(CONCATENATE("000",'HG-DPV-Data'!A40),6),3),"-",(RIGHT(RIGHT(CONCATENATE("000",'HG-DPV-Data'!A40),6),3)))</f>
        <v>120-901</v>
      </c>
      <c r="C40" s="2930">
        <v>0</v>
      </c>
      <c r="D40" s="2926">
        <v>25985</v>
      </c>
    </row>
    <row r="41" spans="1:4" ht="15">
      <c r="A41" s="2927" t="s">
        <v>6139</v>
      </c>
      <c r="B41" s="2923" t="str">
        <f>CONCATENATE(LEFT(RIGHT(CONCATENATE("000",'HG-DPV-Data'!A41),6),3),"-",(RIGHT(RIGHT(CONCATENATE("000",'HG-DPV-Data'!A41),6),3)))</f>
        <v>243-902</v>
      </c>
      <c r="C41" s="2929">
        <v>3124</v>
      </c>
      <c r="D41" s="2924">
        <v>0</v>
      </c>
    </row>
    <row r="42" spans="1:4" ht="15">
      <c r="A42" s="2925" t="s">
        <v>6800</v>
      </c>
      <c r="B42" s="2923" t="str">
        <f>CONCATENATE(LEFT(RIGHT(CONCATENATE("000",'HG-DPV-Data'!A42),6),3),"-",(RIGHT(RIGHT(CONCATENATE("000",'HG-DPV-Data'!A42),6),3)))</f>
        <v>210-906</v>
      </c>
      <c r="C42" s="2930">
        <v>26607</v>
      </c>
      <c r="D42" s="2926">
        <v>0</v>
      </c>
    </row>
    <row r="43" spans="1:4" ht="15">
      <c r="A43" s="2927" t="s">
        <v>5857</v>
      </c>
      <c r="B43" s="2923" t="str">
        <f>CONCATENATE(LEFT(RIGHT(CONCATENATE("000",'HG-DPV-Data'!A43),6),3),"-",(RIGHT(RIGHT(CONCATENATE("000",'HG-DPV-Data'!A43),6),3)))</f>
        <v>081-902</v>
      </c>
      <c r="C43" s="2929">
        <v>427627</v>
      </c>
      <c r="D43" s="2924">
        <v>0</v>
      </c>
    </row>
    <row r="44" spans="1:4" ht="15">
      <c r="A44" s="2925" t="s">
        <v>3475</v>
      </c>
      <c r="B44" s="2923" t="str">
        <f>CONCATENATE(LEFT(RIGHT(CONCATENATE("000",'HG-DPV-Data'!A44),6),3),"-",(RIGHT(RIGHT(CONCATENATE("000",'HG-DPV-Data'!A44),6),3)))</f>
        <v>060-914</v>
      </c>
      <c r="C44" s="2930">
        <v>31960</v>
      </c>
      <c r="D44" s="2926">
        <v>0</v>
      </c>
    </row>
    <row r="45" spans="1:4" ht="15">
      <c r="A45" s="2927" t="s">
        <v>5989</v>
      </c>
      <c r="B45" s="2923" t="str">
        <f>CONCATENATE(LEFT(RIGHT(CONCATENATE("000",'HG-DPV-Data'!A45),6),3),"-",(RIGHT(RIGHT(CONCATENATE("000",'HG-DPV-Data'!A45),6),3)))</f>
        <v>148-902</v>
      </c>
      <c r="C45" s="2929">
        <v>0</v>
      </c>
      <c r="D45" s="2924">
        <v>311158</v>
      </c>
    </row>
    <row r="46" spans="1:4" ht="15">
      <c r="A46" s="2925" t="s">
        <v>6017</v>
      </c>
      <c r="B46" s="2923" t="str">
        <f>CONCATENATE(LEFT(RIGHT(CONCATENATE("000",'HG-DPV-Data'!A46),6),3),"-",(RIGHT(RIGHT(CONCATENATE("000",'HG-DPV-Data'!A46),6),3)))</f>
        <v>169-910</v>
      </c>
      <c r="C46" s="2930">
        <v>71591</v>
      </c>
      <c r="D46" s="2926">
        <v>0</v>
      </c>
    </row>
    <row r="47" spans="1:4" ht="15">
      <c r="A47" s="2927" t="s">
        <v>5936</v>
      </c>
      <c r="B47" s="2923" t="str">
        <f>CONCATENATE(LEFT(RIGHT(CONCATENATE("000",'HG-DPV-Data'!A47),6),3),"-",(RIGHT(RIGHT(CONCATENATE("000",'HG-DPV-Data'!A47),6),3)))</f>
        <v>114-904</v>
      </c>
      <c r="C47" s="2929">
        <v>0</v>
      </c>
      <c r="D47" s="2924">
        <v>60301</v>
      </c>
    </row>
    <row r="48" spans="1:4" ht="15">
      <c r="A48" s="2925" t="s">
        <v>6057</v>
      </c>
      <c r="B48" s="2923" t="str">
        <f>CONCATENATE(LEFT(RIGHT(CONCATENATE("000",'HG-DPV-Data'!A48),6),3),"-",(RIGHT(RIGHT(CONCATENATE("000",'HG-DPV-Data'!A48),6),3)))</f>
        <v>186-902</v>
      </c>
      <c r="C48" s="2930">
        <v>0</v>
      </c>
      <c r="D48" s="2926">
        <v>1289890</v>
      </c>
    </row>
    <row r="49" spans="1:4" ht="15">
      <c r="A49" s="2927" t="s">
        <v>6075</v>
      </c>
      <c r="B49" s="2923" t="str">
        <f>CONCATENATE(LEFT(RIGHT(CONCATENATE("000",'HG-DPV-Data'!A49),6),3),"-",(RIGHT(RIGHT(CONCATENATE("000",'HG-DPV-Data'!A49),6),3)))</f>
        <v>198-903</v>
      </c>
      <c r="C49" s="2929">
        <v>0</v>
      </c>
      <c r="D49" s="2924">
        <v>1999018</v>
      </c>
    </row>
    <row r="50" spans="1:4" ht="15">
      <c r="A50" s="2925" t="s">
        <v>5871</v>
      </c>
      <c r="B50" s="2923" t="str">
        <f>CONCATENATE(LEFT(RIGHT(CONCATENATE("000",'HG-DPV-Data'!A50),6),3),"-",(RIGHT(RIGHT(CONCATENATE("000",'HG-DPV-Data'!A50),6),3)))</f>
        <v>086-901</v>
      </c>
      <c r="C50" s="2930">
        <v>0</v>
      </c>
      <c r="D50" s="2926">
        <v>389140</v>
      </c>
    </row>
    <row r="51" spans="1:4" ht="15">
      <c r="A51" s="2927" t="s">
        <v>3757</v>
      </c>
      <c r="B51" s="2923" t="str">
        <f>CONCATENATE(LEFT(RIGHT(CONCATENATE("000",'HG-DPV-Data'!A51),6),3),"-",(RIGHT(RIGHT(CONCATENATE("000",'HG-DPV-Data'!A51),6),3)))</f>
        <v>234-909</v>
      </c>
      <c r="C51" s="2929">
        <v>7815</v>
      </c>
      <c r="D51" s="2924">
        <v>0</v>
      </c>
    </row>
    <row r="52" spans="1:4" ht="15">
      <c r="A52" s="2925" t="s">
        <v>6744</v>
      </c>
      <c r="B52" s="2923" t="str">
        <f>CONCATENATE(LEFT(RIGHT(CONCATENATE("000",'HG-DPV-Data'!A52),6),3),"-",(RIGHT(RIGHT(CONCATENATE("000",'HG-DPV-Data'!A52),6),3)))</f>
        <v>122-901</v>
      </c>
      <c r="C52" s="2930">
        <v>0</v>
      </c>
      <c r="D52" s="2926">
        <v>63369</v>
      </c>
    </row>
    <row r="53" spans="1:4" ht="15">
      <c r="A53" s="2927" t="s">
        <v>3667</v>
      </c>
      <c r="B53" s="2923" t="str">
        <f>CONCATENATE(LEFT(RIGHT(CONCATENATE("000",'HG-DPV-Data'!A53),6),3),"-",(RIGHT(RIGHT(CONCATENATE("000",'HG-DPV-Data'!A53),6),3)))</f>
        <v>174-903</v>
      </c>
      <c r="C53" s="2929">
        <v>0</v>
      </c>
      <c r="D53" s="2924">
        <v>73107</v>
      </c>
    </row>
    <row r="54" spans="1:4" ht="15">
      <c r="A54" s="2925" t="s">
        <v>3685</v>
      </c>
      <c r="B54" s="2923" t="str">
        <f>CONCATENATE(LEFT(RIGHT(CONCATENATE("000",'HG-DPV-Data'!A54),6),3),"-",(RIGHT(RIGHT(CONCATENATE("000",'HG-DPV-Data'!A54),6),3)))</f>
        <v>183-904</v>
      </c>
      <c r="C54" s="2930">
        <v>84373</v>
      </c>
      <c r="D54" s="2926">
        <v>0</v>
      </c>
    </row>
    <row r="55" spans="1:4" ht="15">
      <c r="A55" s="2927" t="s">
        <v>6094</v>
      </c>
      <c r="B55" s="2923" t="str">
        <f>CONCATENATE(LEFT(RIGHT(CONCATENATE("000",'HG-DPV-Data'!A55),6),3),"-",(RIGHT(RIGHT(CONCATENATE("000",'HG-DPV-Data'!A55),6),3)))</f>
        <v>213-901</v>
      </c>
      <c r="C55" s="2929">
        <v>0</v>
      </c>
      <c r="D55" s="2924">
        <v>125</v>
      </c>
    </row>
    <row r="56" spans="1:4" ht="15">
      <c r="A56" s="2925" t="s">
        <v>3604</v>
      </c>
      <c r="B56" s="2923" t="str">
        <f>CONCATENATE(LEFT(RIGHT(CONCATENATE("000",'HG-DPV-Data'!A56),6),3),"-",(RIGHT(RIGHT(CONCATENATE("000",'HG-DPV-Data'!A56),6),3)))</f>
        <v>126-911</v>
      </c>
      <c r="C56" s="2930">
        <v>0</v>
      </c>
      <c r="D56" s="2926">
        <v>1531713</v>
      </c>
    </row>
    <row r="57" spans="1:4" ht="15">
      <c r="A57" s="2927" t="s">
        <v>5873</v>
      </c>
      <c r="B57" s="2923" t="str">
        <f>CONCATENATE(LEFT(RIGHT(CONCATENATE("000",'HG-DPV-Data'!A57),6),3),"-",(RIGHT(RIGHT(CONCATENATE("000",'HG-DPV-Data'!A57),6),3)))</f>
        <v>088-902</v>
      </c>
      <c r="C57" s="2929">
        <v>0</v>
      </c>
      <c r="D57" s="2924">
        <v>410998</v>
      </c>
    </row>
    <row r="58" spans="1:4" ht="15">
      <c r="A58" s="2925" t="s">
        <v>6001</v>
      </c>
      <c r="B58" s="2923" t="str">
        <f>CONCATENATE(LEFT(RIGHT(CONCATENATE("000",'HG-DPV-Data'!A58),6),3),"-",(RIGHT(RIGHT(CONCATENATE("000",'HG-DPV-Data'!A58),6),3)))</f>
        <v>156-905</v>
      </c>
      <c r="C58" s="2930">
        <v>0</v>
      </c>
      <c r="D58" s="2926">
        <v>8689</v>
      </c>
    </row>
    <row r="59" spans="1:4" ht="15">
      <c r="A59" s="2927" t="s">
        <v>6814</v>
      </c>
      <c r="B59" s="2923" t="str">
        <f>CONCATENATE(LEFT(RIGHT(CONCATENATE("000",'HG-DPV-Data'!A59),6),3),"-",(RIGHT(RIGHT(CONCATENATE("000",'HG-DPV-Data'!A59),6),3)))</f>
        <v>238-904</v>
      </c>
      <c r="C59" s="2929">
        <v>0</v>
      </c>
      <c r="D59" s="2924">
        <v>218131</v>
      </c>
    </row>
    <row r="60" spans="1:4" ht="15">
      <c r="A60" s="2925" t="s">
        <v>5878</v>
      </c>
      <c r="B60" s="2923" t="str">
        <f>CONCATENATE(LEFT(RIGHT(CONCATENATE("000",'HG-DPV-Data'!A60),6),3),"-",(RIGHT(RIGHT(CONCATENATE("000",'HG-DPV-Data'!A60),6),3)))</f>
        <v>090-905</v>
      </c>
      <c r="C60" s="2930">
        <v>0</v>
      </c>
      <c r="D60" s="2926">
        <v>16662</v>
      </c>
    </row>
    <row r="61" spans="1:4" ht="15">
      <c r="A61" s="2927" t="s">
        <v>5986</v>
      </c>
      <c r="B61" s="2923" t="str">
        <f>CONCATENATE(LEFT(RIGHT(CONCATENATE("000",'HG-DPV-Data'!A61),6),3),"-",(RIGHT(RIGHT(CONCATENATE("000",'HG-DPV-Data'!A61),6),3)))</f>
        <v>147-902</v>
      </c>
      <c r="C61" s="2929">
        <v>617428</v>
      </c>
      <c r="D61" s="2924">
        <v>0</v>
      </c>
    </row>
    <row r="62" spans="1:4" ht="15">
      <c r="A62" s="2925" t="s">
        <v>5792</v>
      </c>
      <c r="B62" s="2923" t="str">
        <f>CONCATENATE(LEFT(RIGHT(CONCATENATE("000",'HG-DPV-Data'!A62),6),3),"-",(RIGHT(RIGHT(CONCATENATE("000",'HG-DPV-Data'!A62),6),3)))</f>
        <v>033-901</v>
      </c>
      <c r="C62" s="2930">
        <v>64864</v>
      </c>
      <c r="D62" s="2926">
        <v>0</v>
      </c>
    </row>
    <row r="63" spans="1:4" ht="15">
      <c r="A63" s="2927" t="s">
        <v>5895</v>
      </c>
      <c r="B63" s="2923" t="str">
        <f>CONCATENATE(LEFT(RIGHT(CONCATENATE("000",'HG-DPV-Data'!A63),6),3),"-",(RIGHT(RIGHT(CONCATENATE("000",'HG-DPV-Data'!A63),6),3)))</f>
        <v>098-901</v>
      </c>
      <c r="C63" s="2929">
        <v>0</v>
      </c>
      <c r="D63" s="2924">
        <v>241772</v>
      </c>
    </row>
    <row r="64" spans="1:4" ht="15">
      <c r="A64" s="2925" t="s">
        <v>5968</v>
      </c>
      <c r="B64" s="2923" t="str">
        <f>CONCATENATE(LEFT(RIGHT(CONCATENATE("000",'HG-DPV-Data'!A64),6),3),"-",(RIGHT(RIGHT(CONCATENATE("000",'HG-DPV-Data'!A64),6),3)))</f>
        <v>135-001</v>
      </c>
      <c r="C64" s="2930">
        <v>0</v>
      </c>
      <c r="D64" s="2926">
        <v>617888</v>
      </c>
    </row>
    <row r="65" spans="1:4" ht="15">
      <c r="A65" s="2927" t="s">
        <v>5892</v>
      </c>
      <c r="B65" s="2923" t="str">
        <f>CONCATENATE(LEFT(RIGHT(CONCATENATE("000",'HG-DPV-Data'!A65),6),3),"-",(RIGHT(RIGHT(CONCATENATE("000",'HG-DPV-Data'!A65),6),3)))</f>
        <v>095-903</v>
      </c>
      <c r="C65" s="2929">
        <v>63020</v>
      </c>
      <c r="D65" s="2924">
        <v>0</v>
      </c>
    </row>
    <row r="66" spans="1:4" ht="15">
      <c r="A66" s="2925" t="s">
        <v>5912</v>
      </c>
      <c r="B66" s="2923" t="str">
        <f>CONCATENATE(LEFT(RIGHT(CONCATENATE("000",'HG-DPV-Data'!A66),6),3),"-",(RIGHT(RIGHT(CONCATENATE("000",'HG-DPV-Data'!A66),6),3)))</f>
        <v>102-904</v>
      </c>
      <c r="C66" s="2930">
        <v>0</v>
      </c>
      <c r="D66" s="2926">
        <v>82145</v>
      </c>
    </row>
    <row r="67" spans="1:4" ht="15">
      <c r="A67" s="2927" t="s">
        <v>5957</v>
      </c>
      <c r="B67" s="2923" t="str">
        <f>CONCATENATE(LEFT(RIGHT(CONCATENATE("000",'HG-DPV-Data'!A67),6),3),"-",(RIGHT(RIGHT(CONCATENATE("000",'HG-DPV-Data'!A67),6),3)))</f>
        <v>127-903</v>
      </c>
      <c r="C67" s="2929">
        <v>15137</v>
      </c>
      <c r="D67" s="2924">
        <v>0</v>
      </c>
    </row>
    <row r="68" spans="1:4" ht="15">
      <c r="A68" s="2925" t="s">
        <v>5990</v>
      </c>
      <c r="B68" s="2923" t="str">
        <f>CONCATENATE(LEFT(RIGHT(CONCATENATE("000",'HG-DPV-Data'!A68),6),3),"-",(RIGHT(RIGHT(CONCATENATE("000",'HG-DPV-Data'!A68),6),3)))</f>
        <v>148-903</v>
      </c>
      <c r="C68" s="2930">
        <v>0</v>
      </c>
      <c r="D68" s="2926">
        <v>201841</v>
      </c>
    </row>
    <row r="69" spans="1:4" ht="15">
      <c r="A69" s="2927" t="s">
        <v>3567</v>
      </c>
      <c r="B69" s="2923" t="str">
        <f>CONCATENATE(LEFT(RIGHT(CONCATENATE("000",'HG-DPV-Data'!A69),6),3),"-",(RIGHT(RIGHT(CONCATENATE("000",'HG-DPV-Data'!A69),6),3)))</f>
        <v>109-905</v>
      </c>
      <c r="C69" s="2929">
        <v>0</v>
      </c>
      <c r="D69" s="2924">
        <v>29195</v>
      </c>
    </row>
    <row r="70" spans="1:4" ht="15">
      <c r="A70" s="2925" t="s">
        <v>5796</v>
      </c>
      <c r="B70" s="2923" t="str">
        <f>CONCATENATE(LEFT(RIGHT(CONCATENATE("000",'HG-DPV-Data'!A70),6),3),"-",(RIGHT(RIGHT(CONCATENATE("000",'HG-DPV-Data'!A70),6),3)))</f>
        <v>034-903</v>
      </c>
      <c r="C70" s="2930">
        <v>77764</v>
      </c>
      <c r="D70" s="2926">
        <v>0</v>
      </c>
    </row>
    <row r="71" spans="1:4" ht="15">
      <c r="A71" s="2927" t="s">
        <v>5965</v>
      </c>
      <c r="B71" s="2923" t="str">
        <f>CONCATENATE(LEFT(RIGHT(CONCATENATE("000",'HG-DPV-Data'!A71),6),3),"-",(RIGHT(RIGHT(CONCATENATE("000",'HG-DPV-Data'!A71),6),3)))</f>
        <v>133-902</v>
      </c>
      <c r="C71" s="2929">
        <v>0</v>
      </c>
      <c r="D71" s="2924">
        <v>71406</v>
      </c>
    </row>
    <row r="72" spans="1:4" ht="15">
      <c r="A72" s="2925" t="s">
        <v>6083</v>
      </c>
      <c r="B72" s="2923" t="str">
        <f>CONCATENATE(LEFT(RIGHT(CONCATENATE("000",'HG-DPV-Data'!A72),6),3),"-",(RIGHT(RIGHT(CONCATENATE("000",'HG-DPV-Data'!A72),6),3)))</f>
        <v>205-903</v>
      </c>
      <c r="C72" s="2930">
        <v>2445369</v>
      </c>
      <c r="D72" s="2926">
        <v>0</v>
      </c>
    </row>
    <row r="73" spans="1:4" ht="15">
      <c r="A73" s="2927" t="s">
        <v>6086</v>
      </c>
      <c r="B73" s="2923" t="str">
        <f>CONCATENATE(LEFT(RIGHT(CONCATENATE("000",'HG-DPV-Data'!A73),6),3),"-",(RIGHT(RIGHT(CONCATENATE("000",'HG-DPV-Data'!A73),6),3)))</f>
        <v>208-903</v>
      </c>
      <c r="C73" s="2929">
        <v>0</v>
      </c>
      <c r="D73" s="2924">
        <v>178724</v>
      </c>
    </row>
    <row r="74" spans="1:4" ht="15">
      <c r="A74" s="2925" t="s">
        <v>6058</v>
      </c>
      <c r="B74" s="2923" t="str">
        <f>CONCATENATE(LEFT(RIGHT(CONCATENATE("000",'HG-DPV-Data'!A74),6),3),"-",(RIGHT(RIGHT(CONCATENATE("000",'HG-DPV-Data'!A74),6),3)))</f>
        <v>186-903</v>
      </c>
      <c r="C74" s="2930">
        <v>0</v>
      </c>
      <c r="D74" s="2926">
        <v>430958</v>
      </c>
    </row>
    <row r="75" spans="1:4" ht="15">
      <c r="A75" s="2927" t="s">
        <v>5943</v>
      </c>
      <c r="B75" s="2923" t="str">
        <f>CONCATENATE(LEFT(RIGHT(CONCATENATE("000",'HG-DPV-Data'!A75),6),3),"-",(RIGHT(RIGHT(CONCATENATE("000",'HG-DPV-Data'!A75),6),3)))</f>
        <v>118-902</v>
      </c>
      <c r="C75" s="2929">
        <v>93079</v>
      </c>
      <c r="D75" s="2924">
        <v>0</v>
      </c>
    </row>
    <row r="76" spans="1:4" ht="15">
      <c r="A76" s="2925" t="s">
        <v>5945</v>
      </c>
      <c r="B76" s="2923" t="str">
        <f>CONCATENATE(LEFT(RIGHT(CONCATENATE("000",'HG-DPV-Data'!A76),6),3),"-",(RIGHT(RIGHT(CONCATENATE("000",'HG-DPV-Data'!A76),6),3)))</f>
        <v>119-902</v>
      </c>
      <c r="C76" s="2930">
        <v>260713</v>
      </c>
      <c r="D76" s="2926">
        <v>0</v>
      </c>
    </row>
    <row r="77" spans="1:4" ht="15">
      <c r="A77" s="2927" t="s">
        <v>6142</v>
      </c>
      <c r="B77" s="2923" t="str">
        <f>CONCATENATE(LEFT(RIGHT(CONCATENATE("000",'HG-DPV-Data'!A77),6),3),"-",(RIGHT(RIGHT(CONCATENATE("000",'HG-DPV-Data'!A77),6),3)))</f>
        <v>246-907</v>
      </c>
      <c r="C77" s="2929">
        <v>0</v>
      </c>
      <c r="D77" s="2924">
        <v>955508</v>
      </c>
    </row>
    <row r="78" spans="1:4" ht="15">
      <c r="A78" s="2925" t="s">
        <v>3590</v>
      </c>
      <c r="B78" s="2923" t="str">
        <f>CONCATENATE(LEFT(RIGHT(CONCATENATE("000",'HG-DPV-Data'!A78),6),3),"-",(RIGHT(RIGHT(CONCATENATE("000",'HG-DPV-Data'!A78),6),3)))</f>
        <v>121-904</v>
      </c>
      <c r="C78" s="2930">
        <v>141394</v>
      </c>
      <c r="D78" s="2926">
        <v>0</v>
      </c>
    </row>
    <row r="79" spans="1:4" ht="15">
      <c r="A79" s="2927" t="s">
        <v>6747</v>
      </c>
      <c r="B79" s="2923" t="str">
        <f>CONCATENATE(LEFT(RIGHT(CONCATENATE("000",'HG-DPV-Data'!A79),6),3),"-",(RIGHT(RIGHT(CONCATENATE("000",'HG-DPV-Data'!A79),6),3)))</f>
        <v>132-902</v>
      </c>
      <c r="C79" s="2929">
        <v>0</v>
      </c>
      <c r="D79" s="2924">
        <v>228398</v>
      </c>
    </row>
    <row r="80" spans="1:4" ht="15">
      <c r="A80" s="2925" t="s">
        <v>5954</v>
      </c>
      <c r="B80" s="2923" t="str">
        <f>CONCATENATE(LEFT(RIGHT(CONCATENATE("000",'HG-DPV-Data'!A80),6),3),"-",(RIGHT(RIGHT(CONCATENATE("000",'HG-DPV-Data'!A80),6),3)))</f>
        <v>124-901</v>
      </c>
      <c r="C80" s="2930">
        <v>118714</v>
      </c>
      <c r="D80" s="2926">
        <v>0</v>
      </c>
    </row>
    <row r="81" spans="1:4" ht="15">
      <c r="A81" s="2927" t="s">
        <v>6106</v>
      </c>
      <c r="B81" s="2923" t="str">
        <f>CONCATENATE(LEFT(RIGHT(CONCATENATE("000",'HG-DPV-Data'!A81),6),3),"-",(RIGHT(RIGHT(CONCATENATE("000",'HG-DPV-Data'!A81),6),3)))</f>
        <v>221-911</v>
      </c>
      <c r="C81" s="2929">
        <v>0</v>
      </c>
      <c r="D81" s="2924">
        <v>481778</v>
      </c>
    </row>
    <row r="82" spans="1:4" ht="15">
      <c r="A82" s="2925" t="s">
        <v>5817</v>
      </c>
      <c r="B82" s="2923" t="str">
        <f>CONCATENATE(LEFT(RIGHT(CONCATENATE("000",'HG-DPV-Data'!A82),6),3),"-",(RIGHT(RIGHT(CONCATENATE("000",'HG-DPV-Data'!A82),6),3)))</f>
        <v>050-909</v>
      </c>
      <c r="C82" s="2930">
        <v>22932</v>
      </c>
      <c r="D82" s="2926">
        <v>0</v>
      </c>
    </row>
    <row r="83" spans="1:4" ht="15">
      <c r="A83" s="2927" t="s">
        <v>6817</v>
      </c>
      <c r="B83" s="2923" t="str">
        <f>CONCATENATE(LEFT(RIGHT(CONCATENATE("000",'HG-DPV-Data'!A83),6),3),"-",(RIGHT(RIGHT(CONCATENATE("000",'HG-DPV-Data'!A83),6),3)))</f>
        <v>242-905</v>
      </c>
      <c r="C83" s="2929">
        <v>0</v>
      </c>
      <c r="D83" s="2924">
        <v>161851</v>
      </c>
    </row>
    <row r="84" spans="1:4" ht="15">
      <c r="A84" s="2925" t="s">
        <v>5964</v>
      </c>
      <c r="B84" s="2923" t="str">
        <f>CONCATENATE(LEFT(RIGHT(CONCATENATE("000",'HG-DPV-Data'!A84),6),3),"-",(RIGHT(RIGHT(CONCATENATE("000",'HG-DPV-Data'!A84),6),3)))</f>
        <v>131-001</v>
      </c>
      <c r="C84" s="2930">
        <v>767</v>
      </c>
      <c r="D84" s="2926">
        <v>0</v>
      </c>
    </row>
    <row r="85" spans="1:4" ht="15">
      <c r="A85" s="2927" t="s">
        <v>5830</v>
      </c>
      <c r="B85" s="2923" t="str">
        <f>CONCATENATE(LEFT(RIGHT(CONCATENATE("000",'HG-DPV-Data'!A85),6),3),"-",(RIGHT(RIGHT(CONCATENATE("000",'HG-DPV-Data'!A85),6),3)))</f>
        <v>058-905</v>
      </c>
      <c r="C85" s="2929">
        <v>0</v>
      </c>
      <c r="D85" s="2924">
        <v>293041</v>
      </c>
    </row>
    <row r="86" spans="1:4" ht="15">
      <c r="A86" s="2925" t="s">
        <v>3749</v>
      </c>
      <c r="B86" s="2923" t="str">
        <f>CONCATENATE(LEFT(RIGHT(CONCATENATE("000",'HG-DPV-Data'!A86),6),3),"-",(RIGHT(RIGHT(CONCATENATE("000",'HG-DPV-Data'!A86),6),3)))</f>
        <v>232-901</v>
      </c>
      <c r="C86" s="2930">
        <v>726967</v>
      </c>
      <c r="D86" s="2926">
        <v>0</v>
      </c>
    </row>
    <row r="87" spans="1:4" ht="15">
      <c r="A87" s="2927" t="s">
        <v>3477</v>
      </c>
      <c r="B87" s="2923" t="str">
        <f>CONCATENATE(LEFT(RIGHT(CONCATENATE("000",'HG-DPV-Data'!A87),6),3),"-",(RIGHT(RIGHT(CONCATENATE("000",'HG-DPV-Data'!A87),6),3)))</f>
        <v>061-905</v>
      </c>
      <c r="C87" s="2929">
        <v>0</v>
      </c>
      <c r="D87" s="2924">
        <v>1700371</v>
      </c>
    </row>
    <row r="88" spans="1:4" ht="15">
      <c r="A88" s="2925" t="s">
        <v>6746</v>
      </c>
      <c r="B88" s="2923" t="str">
        <f>CONCATENATE(LEFT(RIGHT(CONCATENATE("000",'HG-DPV-Data'!A88),6),3),"-",(RIGHT(RIGHT(CONCATENATE("000",'HG-DPV-Data'!A88),6),3)))</f>
        <v>125-906</v>
      </c>
      <c r="C88" s="2930">
        <v>57909</v>
      </c>
      <c r="D88" s="2926">
        <v>0</v>
      </c>
    </row>
    <row r="89" spans="1:4" ht="15">
      <c r="A89" s="2927" t="s">
        <v>6783</v>
      </c>
      <c r="B89" s="2923" t="str">
        <f>CONCATENATE(LEFT(RIGHT(CONCATENATE("000",'HG-DPV-Data'!A89),6),3),"-",(RIGHT(RIGHT(CONCATENATE("000",'HG-DPV-Data'!A89),6),3)))</f>
        <v>185-904</v>
      </c>
      <c r="C89" s="2929">
        <v>119311</v>
      </c>
      <c r="D89" s="2924">
        <v>0</v>
      </c>
    </row>
    <row r="90" spans="1:4" ht="15">
      <c r="A90" s="2925" t="s">
        <v>5876</v>
      </c>
      <c r="B90" s="2923" t="str">
        <f>CONCATENATE(LEFT(RIGHT(CONCATENATE("000",'HG-DPV-Data'!A90),6),3),"-",(RIGHT(RIGHT(CONCATENATE("000",'HG-DPV-Data'!A90),6),3)))</f>
        <v>090-902</v>
      </c>
      <c r="C90" s="2930">
        <v>0</v>
      </c>
      <c r="D90" s="2926">
        <v>425750</v>
      </c>
    </row>
    <row r="91" spans="1:4" ht="15">
      <c r="A91" s="2927" t="s">
        <v>5982</v>
      </c>
      <c r="B91" s="2923" t="str">
        <f>CONCATENATE(LEFT(RIGHT(CONCATENATE("000",'HG-DPV-Data'!A91),6),3),"-",(RIGHT(RIGHT(CONCATENATE("000",'HG-DPV-Data'!A91),6),3)))</f>
        <v>145-911</v>
      </c>
      <c r="C91" s="2929">
        <v>0</v>
      </c>
      <c r="D91" s="2924">
        <v>746287</v>
      </c>
    </row>
    <row r="92" spans="1:4" ht="15">
      <c r="A92" s="2925" t="s">
        <v>5815</v>
      </c>
      <c r="B92" s="2923" t="str">
        <f>CONCATENATE(LEFT(RIGHT(CONCATENATE("000",'HG-DPV-Data'!A92),6),3),"-",(RIGHT(RIGHT(CONCATENATE("000",'HG-DPV-Data'!A92),6),3)))</f>
        <v>049-907</v>
      </c>
      <c r="C92" s="2930">
        <v>66744</v>
      </c>
      <c r="D92" s="2926">
        <v>0</v>
      </c>
    </row>
    <row r="93" spans="1:4" ht="15">
      <c r="A93" s="2927" t="s">
        <v>6720</v>
      </c>
      <c r="B93" s="2923" t="str">
        <f>CONCATENATE(LEFT(RIGHT(CONCATENATE("000",'HG-DPV-Data'!A93),6),3),"-",(RIGHT(RIGHT(CONCATENATE("000",'HG-DPV-Data'!A93),6),3)))</f>
        <v>077-902</v>
      </c>
      <c r="C93" s="2929">
        <v>34222</v>
      </c>
      <c r="D93" s="2924">
        <v>0</v>
      </c>
    </row>
    <row r="94" spans="1:4" ht="15">
      <c r="A94" s="2925" t="s">
        <v>6038</v>
      </c>
      <c r="B94" s="2923" t="str">
        <f>CONCATENATE(LEFT(RIGHT(CONCATENATE("000",'HG-DPV-Data'!A94),6),3),"-",(RIGHT(RIGHT(CONCATENATE("000",'HG-DPV-Data'!A94),6),3)))</f>
        <v>178-906</v>
      </c>
      <c r="C94" s="2930">
        <v>0</v>
      </c>
      <c r="D94" s="2926">
        <v>397056</v>
      </c>
    </row>
    <row r="95" spans="1:4" ht="15">
      <c r="A95" s="2927" t="s">
        <v>5808</v>
      </c>
      <c r="B95" s="2923" t="str">
        <f>CONCATENATE(LEFT(RIGHT(CONCATENATE("000",'HG-DPV-Data'!A95),6),3),"-",(RIGHT(RIGHT(CONCATENATE("000",'HG-DPV-Data'!A95),6),3)))</f>
        <v>043-919</v>
      </c>
      <c r="C95" s="2929">
        <v>0</v>
      </c>
      <c r="D95" s="2924">
        <v>2737316</v>
      </c>
    </row>
    <row r="96" spans="1:4" ht="15">
      <c r="A96" s="2925" t="s">
        <v>6812</v>
      </c>
      <c r="B96" s="2923" t="str">
        <f>CONCATENATE(LEFT(RIGHT(CONCATENATE("000",'HG-DPV-Data'!A96),6),3),"-",(RIGHT(RIGHT(CONCATENATE("000",'HG-DPV-Data'!A96),6),3)))</f>
        <v>231-901</v>
      </c>
      <c r="C96" s="2930">
        <v>0</v>
      </c>
      <c r="D96" s="2926">
        <v>31098</v>
      </c>
    </row>
    <row r="97" spans="1:4" ht="15">
      <c r="A97" s="2927" t="s">
        <v>5877</v>
      </c>
      <c r="B97" s="2923" t="str">
        <f>CONCATENATE(LEFT(RIGHT(CONCATENATE("000",'HG-DPV-Data'!A97),6),3),"-",(RIGHT(RIGHT(CONCATENATE("000",'HG-DPV-Data'!A97),6),3)))</f>
        <v>090-903</v>
      </c>
      <c r="C97" s="2929">
        <v>0</v>
      </c>
      <c r="D97" s="2924">
        <v>131051</v>
      </c>
    </row>
    <row r="98" spans="1:4" ht="15">
      <c r="A98" s="2925" t="s">
        <v>6009</v>
      </c>
      <c r="B98" s="2923" t="str">
        <f>CONCATENATE(LEFT(RIGHT(CONCATENATE("000",'HG-DPV-Data'!A98),6),3),"-",(RIGHT(RIGHT(CONCATENATE("000",'HG-DPV-Data'!A98),6),3)))</f>
        <v>162-904</v>
      </c>
      <c r="C98" s="2930">
        <v>0</v>
      </c>
      <c r="D98" s="2926">
        <v>312987</v>
      </c>
    </row>
    <row r="99" spans="1:4" ht="15">
      <c r="A99" s="2927" t="s">
        <v>6073</v>
      </c>
      <c r="B99" s="2923" t="str">
        <f>CONCATENATE(LEFT(RIGHT(CONCATENATE("000",'HG-DPV-Data'!A99),6),3),"-",(RIGHT(RIGHT(CONCATENATE("000",'HG-DPV-Data'!A99),6),3)))</f>
        <v>197-902</v>
      </c>
      <c r="C99" s="2929">
        <v>0</v>
      </c>
      <c r="D99" s="2924">
        <v>324288</v>
      </c>
    </row>
    <row r="100" spans="1:4" ht="15">
      <c r="A100" s="2925" t="s">
        <v>6715</v>
      </c>
      <c r="B100" s="2923" t="str">
        <f>CONCATENATE(LEFT(RIGHT(CONCATENATE("000",'HG-DPV-Data'!A100),6),3),"-",(RIGHT(RIGHT(CONCATENATE("000",'HG-DPV-Data'!A100),6),3)))</f>
        <v>072-910</v>
      </c>
      <c r="C100" s="2930">
        <v>123420</v>
      </c>
      <c r="D100" s="2926">
        <v>0</v>
      </c>
    </row>
    <row r="101" spans="1:4" ht="15">
      <c r="A101" s="2927" t="s">
        <v>6687</v>
      </c>
      <c r="B101" s="2923" t="str">
        <f>CONCATENATE(LEFT(RIGHT(CONCATENATE("000",'HG-DPV-Data'!A101),6),3),"-",(RIGHT(RIGHT(CONCATENATE("000",'HG-DPV-Data'!A101),6),3)))</f>
        <v>040-901</v>
      </c>
      <c r="C101" s="2929">
        <v>50322</v>
      </c>
      <c r="D101" s="2924">
        <v>0</v>
      </c>
    </row>
    <row r="102" spans="1:4" ht="15">
      <c r="A102" s="2925" t="s">
        <v>6758</v>
      </c>
      <c r="B102" s="2923" t="str">
        <f>CONCATENATE(LEFT(RIGHT(CONCATENATE("000",'HG-DPV-Data'!A102),6),3),"-",(RIGHT(RIGHT(CONCATENATE("000",'HG-DPV-Data'!A102),6),3)))</f>
        <v>143-902</v>
      </c>
      <c r="C102" s="2930">
        <v>159979</v>
      </c>
      <c r="D102" s="2926">
        <v>0</v>
      </c>
    </row>
    <row r="103" spans="1:4" ht="15">
      <c r="A103" s="2927" t="s">
        <v>4382</v>
      </c>
      <c r="B103" s="2923" t="str">
        <f>CONCATENATE(LEFT(RIGHT(CONCATENATE("000",'HG-DPV-Data'!A103),6),3),"-",(RIGHT(RIGHT(CONCATENATE("000",'HG-DPV-Data'!A103),6),3)))</f>
        <v>037-908</v>
      </c>
      <c r="C103" s="2929">
        <v>0</v>
      </c>
      <c r="D103" s="2924">
        <v>94812</v>
      </c>
    </row>
    <row r="104" spans="1:4" ht="15">
      <c r="A104" s="2925" t="s">
        <v>5834</v>
      </c>
      <c r="B104" s="2923" t="str">
        <f>CONCATENATE(LEFT(RIGHT(CONCATENATE("000",'HG-DPV-Data'!A104),6),3),"-",(RIGHT(RIGHT(CONCATENATE("000",'HG-DPV-Data'!A104),6),3)))</f>
        <v>062-902</v>
      </c>
      <c r="C104" s="2930">
        <v>66996</v>
      </c>
      <c r="D104" s="2926">
        <v>0</v>
      </c>
    </row>
    <row r="105" spans="1:4" ht="15">
      <c r="A105" s="2927" t="s">
        <v>3770</v>
      </c>
      <c r="B105" s="2923" t="str">
        <f>CONCATENATE(LEFT(RIGHT(CONCATENATE("000",'HG-DPV-Data'!A105),6),3),"-",(RIGHT(RIGHT(CONCATENATE("000",'HG-DPV-Data'!A105),6),3)))</f>
        <v>244-905</v>
      </c>
      <c r="C105" s="2929">
        <v>36845</v>
      </c>
      <c r="D105" s="2924">
        <v>0</v>
      </c>
    </row>
    <row r="106" spans="1:4" ht="15">
      <c r="A106" s="2925" t="s">
        <v>3710</v>
      </c>
      <c r="B106" s="2923" t="str">
        <f>CONCATENATE(LEFT(RIGHT(CONCATENATE("000",'HG-DPV-Data'!A106),6),3),"-",(RIGHT(RIGHT(CONCATENATE("000",'HG-DPV-Data'!A106),6),3)))</f>
        <v>205-905</v>
      </c>
      <c r="C106" s="2930">
        <v>73484</v>
      </c>
      <c r="D106" s="2926">
        <v>0</v>
      </c>
    </row>
    <row r="107" spans="1:4" ht="15">
      <c r="A107" s="2927" t="s">
        <v>5142</v>
      </c>
      <c r="B107" s="2923" t="str">
        <f>CONCATENATE(LEFT(RIGHT(CONCATENATE("000",'HG-DPV-Data'!A107),6),3),"-",(RIGHT(RIGHT(CONCATENATE("000",'HG-DPV-Data'!A107),6),3)))</f>
        <v>140-905</v>
      </c>
      <c r="C107" s="2929">
        <v>61722</v>
      </c>
      <c r="D107" s="2924">
        <v>0</v>
      </c>
    </row>
    <row r="108" spans="1:4" ht="15">
      <c r="A108" s="2925" t="s">
        <v>5917</v>
      </c>
      <c r="B108" s="2923" t="str">
        <f>CONCATENATE(LEFT(RIGHT(CONCATENATE("000",'HG-DPV-Data'!A108),6),3),"-",(RIGHT(RIGHT(CONCATENATE("000",'HG-DPV-Data'!A108),6),3)))</f>
        <v>104-907</v>
      </c>
      <c r="C108" s="2930">
        <v>246852</v>
      </c>
      <c r="D108" s="2926">
        <v>0</v>
      </c>
    </row>
    <row r="109" spans="1:4" ht="15">
      <c r="A109" s="2927" t="s">
        <v>5812</v>
      </c>
      <c r="B109" s="2923" t="str">
        <f>CONCATENATE(LEFT(RIGHT(CONCATENATE("000",'HG-DPV-Data'!A109),6),3),"-",(RIGHT(RIGHT(CONCATENATE("000",'HG-DPV-Data'!A109),6),3)))</f>
        <v>048-903</v>
      </c>
      <c r="C109" s="2929">
        <v>36135</v>
      </c>
      <c r="D109" s="2924">
        <v>0</v>
      </c>
    </row>
    <row r="110" spans="1:4" ht="15">
      <c r="A110" s="2925" t="s">
        <v>6006</v>
      </c>
      <c r="B110" s="2923" t="str">
        <f>CONCATENATE(LEFT(RIGHT(CONCATENATE("000",'HG-DPV-Data'!A110),6),3),"-",(RIGHT(RIGHT(CONCATENATE("000",'HG-DPV-Data'!A110),6),3)))</f>
        <v>158-905</v>
      </c>
      <c r="C110" s="2930">
        <v>0</v>
      </c>
      <c r="D110" s="2926">
        <v>27613</v>
      </c>
    </row>
    <row r="111" spans="1:4" ht="15">
      <c r="A111" s="2927" t="s">
        <v>6050</v>
      </c>
      <c r="B111" s="2923" t="str">
        <f>CONCATENATE(LEFT(RIGHT(CONCATENATE("000",'HG-DPV-Data'!A111),6),3),"-",(RIGHT(RIGHT(CONCATENATE("000",'HG-DPV-Data'!A111),6),3)))</f>
        <v>182-906</v>
      </c>
      <c r="C111" s="2929">
        <v>0</v>
      </c>
      <c r="D111" s="2924">
        <v>8163</v>
      </c>
    </row>
    <row r="112" spans="1:4" ht="15">
      <c r="A112" s="2925" t="s">
        <v>3514</v>
      </c>
      <c r="B112" s="2923" t="str">
        <f>CONCATENATE(LEFT(RIGHT(CONCATENATE("000",'HG-DPV-Data'!A112),6),3),"-",(RIGHT(RIGHT(CONCATENATE("000",'HG-DPV-Data'!A112),6),3)))</f>
        <v>082-903</v>
      </c>
      <c r="C112" s="2930">
        <v>877997</v>
      </c>
      <c r="D112" s="2926">
        <v>0</v>
      </c>
    </row>
    <row r="113" spans="1:4" ht="15">
      <c r="A113" s="2927" t="s">
        <v>6069</v>
      </c>
      <c r="B113" s="2923" t="str">
        <f>CONCATENATE(LEFT(RIGHT(CONCATENATE("000",'HG-DPV-Data'!A113),6),3),"-",(RIGHT(RIGHT(CONCATENATE("000",'HG-DPV-Data'!A113),6),3)))</f>
        <v>195-901</v>
      </c>
      <c r="C113" s="2929">
        <v>0</v>
      </c>
      <c r="D113" s="2924">
        <v>352884</v>
      </c>
    </row>
    <row r="114" spans="1:4" ht="15">
      <c r="A114" s="2925" t="s">
        <v>4985</v>
      </c>
      <c r="B114" s="2923" t="str">
        <f>CONCATENATE(LEFT(RIGHT(CONCATENATE("000",'HG-DPV-Data'!A114),6),3),"-",(RIGHT(RIGHT(CONCATENATE("000",'HG-DPV-Data'!A114),6),3)))</f>
        <v>109-914</v>
      </c>
      <c r="C114" s="2930">
        <v>11288</v>
      </c>
      <c r="D114" s="2926">
        <v>0</v>
      </c>
    </row>
    <row r="115" spans="1:4" ht="15">
      <c r="A115" s="2927" t="s">
        <v>6727</v>
      </c>
      <c r="B115" s="2923" t="str">
        <f>CONCATENATE(LEFT(RIGHT(CONCATENATE("000",'HG-DPV-Data'!A115),6),3),"-",(RIGHT(RIGHT(CONCATENATE("000",'HG-DPV-Data'!A115),6),3)))</f>
        <v>095-904</v>
      </c>
      <c r="C115" s="2929">
        <v>110356</v>
      </c>
      <c r="D115" s="2924">
        <v>0</v>
      </c>
    </row>
    <row r="116" spans="1:4" ht="15">
      <c r="A116" s="2925" t="s">
        <v>6154</v>
      </c>
      <c r="B116" s="2923" t="str">
        <f>CONCATENATE(LEFT(RIGHT(CONCATENATE("000",'HG-DPV-Data'!A116),6),3),"-",(RIGHT(RIGHT(CONCATENATE("000",'HG-DPV-Data'!A116),6),3)))</f>
        <v>251-902</v>
      </c>
      <c r="C116" s="2930">
        <v>0</v>
      </c>
      <c r="D116" s="2926">
        <v>190806</v>
      </c>
    </row>
    <row r="117" spans="1:4" ht="15">
      <c r="A117" s="2927" t="s">
        <v>3478</v>
      </c>
      <c r="B117" s="2923" t="str">
        <f>CONCATENATE(LEFT(RIGHT(CONCATENATE("000",'HG-DPV-Data'!A117),6),3),"-",(RIGHT(RIGHT(CONCATENATE("000",'HG-DPV-Data'!A117),6),3)))</f>
        <v>061-906</v>
      </c>
      <c r="C117" s="2929">
        <v>0</v>
      </c>
      <c r="D117" s="2924">
        <v>1350724</v>
      </c>
    </row>
    <row r="118" spans="1:4" ht="15">
      <c r="A118" s="2925" t="s">
        <v>6039</v>
      </c>
      <c r="B118" s="2923" t="str">
        <f>CONCATENATE(LEFT(RIGHT(CONCATENATE("000",'HG-DPV-Data'!A118),6),3),"-",(RIGHT(RIGHT(CONCATENATE("000",'HG-DPV-Data'!A118),6),3)))</f>
        <v>178-908</v>
      </c>
      <c r="C118" s="2930">
        <v>0</v>
      </c>
      <c r="D118" s="2926">
        <v>319391</v>
      </c>
    </row>
    <row r="119" spans="1:4" ht="15">
      <c r="A119" s="2927" t="s">
        <v>5951</v>
      </c>
      <c r="B119" s="2923" t="str">
        <f>CONCATENATE(LEFT(RIGHT(CONCATENATE("000",'HG-DPV-Data'!A119),6),3),"-",(RIGHT(RIGHT(CONCATENATE("000",'HG-DPV-Data'!A119),6),3)))</f>
        <v>123-908</v>
      </c>
      <c r="C119" s="2929">
        <v>162250</v>
      </c>
      <c r="D119" s="2924">
        <v>0</v>
      </c>
    </row>
    <row r="120" spans="1:4" ht="15">
      <c r="A120" s="2925" t="s">
        <v>6776</v>
      </c>
      <c r="B120" s="2923" t="str">
        <f>CONCATENATE(LEFT(RIGHT(CONCATENATE("000",'HG-DPV-Data'!A120),6),3),"-",(RIGHT(RIGHT(CONCATENATE("000",'HG-DPV-Data'!A120),6),3)))</f>
        <v>169-909</v>
      </c>
      <c r="C120" s="2930">
        <v>0</v>
      </c>
      <c r="D120" s="2926">
        <v>7085</v>
      </c>
    </row>
    <row r="121" spans="1:4" ht="15">
      <c r="A121" s="2927" t="s">
        <v>3696</v>
      </c>
      <c r="B121" s="2923" t="str">
        <f>CONCATENATE(LEFT(RIGHT(CONCATENATE("000",'HG-DPV-Data'!A121),6),3),"-",(RIGHT(RIGHT(CONCATENATE("000",'HG-DPV-Data'!A121),6),3)))</f>
        <v>189-902</v>
      </c>
      <c r="C121" s="2929">
        <v>0</v>
      </c>
      <c r="D121" s="2924">
        <v>240864</v>
      </c>
    </row>
    <row r="122" spans="1:4" ht="15">
      <c r="A122" s="2925" t="s">
        <v>5896</v>
      </c>
      <c r="B122" s="2923" t="str">
        <f>CONCATENATE(LEFT(RIGHT(CONCATENATE("000",'HG-DPV-Data'!A122),6),3),"-",(RIGHT(RIGHT(CONCATENATE("000",'HG-DPV-Data'!A122),6),3)))</f>
        <v>098-903</v>
      </c>
      <c r="C122" s="2930">
        <v>0</v>
      </c>
      <c r="D122" s="2926">
        <v>74450</v>
      </c>
    </row>
    <row r="123" spans="1:4" ht="15">
      <c r="A123" s="2927" t="s">
        <v>3454</v>
      </c>
      <c r="B123" s="2923" t="str">
        <f>CONCATENATE(LEFT(RIGHT(CONCATENATE("000",'HG-DPV-Data'!A123),6),3),"-",(RIGHT(RIGHT(CONCATENATE("000",'HG-DPV-Data'!A123),6),3)))</f>
        <v>043-912</v>
      </c>
      <c r="C123" s="2929">
        <v>0</v>
      </c>
      <c r="D123" s="2924">
        <v>5000000</v>
      </c>
    </row>
    <row r="124" spans="1:4" ht="15">
      <c r="A124" s="2925" t="s">
        <v>6124</v>
      </c>
      <c r="B124" s="2923" t="str">
        <f>CONCATENATE(LEFT(RIGHT(CONCATENATE("000",'HG-DPV-Data'!A124),6),3),"-",(RIGHT(RIGHT(CONCATENATE("000",'HG-DPV-Data'!A124),6),3)))</f>
        <v>231-902</v>
      </c>
      <c r="C124" s="2930">
        <v>0</v>
      </c>
      <c r="D124" s="2926">
        <v>265646</v>
      </c>
    </row>
    <row r="125" spans="1:4" ht="15">
      <c r="A125" s="2927" t="s">
        <v>6067</v>
      </c>
      <c r="B125" s="2923" t="str">
        <f>CONCATENATE(LEFT(RIGHT(CONCATENATE("000",'HG-DPV-Data'!A125),6),3),"-",(RIGHT(RIGHT(CONCATENATE("000",'HG-DPV-Data'!A125),6),3)))</f>
        <v>192-901</v>
      </c>
      <c r="C125" s="2929">
        <v>0</v>
      </c>
      <c r="D125" s="2924">
        <v>66215</v>
      </c>
    </row>
    <row r="126" spans="1:4" ht="15">
      <c r="A126" s="2925" t="s">
        <v>6072</v>
      </c>
      <c r="B126" s="2923" t="str">
        <f>CONCATENATE(LEFT(RIGHT(CONCATENATE("000",'HG-DPV-Data'!A126),6),3),"-",(RIGHT(RIGHT(CONCATENATE("000",'HG-DPV-Data'!A126),6),3)))</f>
        <v>196-903</v>
      </c>
      <c r="C126" s="2930">
        <v>147380</v>
      </c>
      <c r="D126" s="2926">
        <v>0</v>
      </c>
    </row>
    <row r="127" spans="1:4" ht="15">
      <c r="A127" s="2927" t="s">
        <v>6751</v>
      </c>
      <c r="B127" s="2923" t="str">
        <f>CONCATENATE(LEFT(RIGHT(CONCATENATE("000",'HG-DPV-Data'!A127),6),3),"-",(RIGHT(RIGHT(CONCATENATE("000",'HG-DPV-Data'!A127),6),3)))</f>
        <v>137-902</v>
      </c>
      <c r="C127" s="2929">
        <v>89047</v>
      </c>
      <c r="D127" s="2924">
        <v>0</v>
      </c>
    </row>
    <row r="128" spans="1:4" ht="15">
      <c r="A128" s="2925" t="s">
        <v>6725</v>
      </c>
      <c r="B128" s="2923" t="str">
        <f>CONCATENATE(LEFT(RIGHT(CONCATENATE("000",'HG-DPV-Data'!A128),6),3),"-",(RIGHT(RIGHT(CONCATENATE("000",'HG-DPV-Data'!A128),6),3)))</f>
        <v>093-905</v>
      </c>
      <c r="C128" s="2930">
        <v>0</v>
      </c>
      <c r="D128" s="2926">
        <v>72690</v>
      </c>
    </row>
    <row r="129" spans="1:4" ht="15">
      <c r="A129" s="2927" t="s">
        <v>3720</v>
      </c>
      <c r="B129" s="2923" t="str">
        <f>CONCATENATE(LEFT(RIGHT(CONCATENATE("000",'HG-DPV-Data'!A129),6),3),"-",(RIGHT(RIGHT(CONCATENATE("000",'HG-DPV-Data'!A129),6),3)))</f>
        <v>214-901</v>
      </c>
      <c r="C129" s="2929">
        <v>4758986</v>
      </c>
      <c r="D129" s="2924">
        <v>0</v>
      </c>
    </row>
    <row r="130" spans="1:4" ht="15">
      <c r="A130" s="2925" t="s">
        <v>5805</v>
      </c>
      <c r="B130" s="2923" t="str">
        <f>CONCATENATE(LEFT(RIGHT(CONCATENATE("000",'HG-DPV-Data'!A130),6),3),"-",(RIGHT(RIGHT(CONCATENATE("000",'HG-DPV-Data'!A130),6),3)))</f>
        <v>041-902</v>
      </c>
      <c r="C130" s="2930">
        <v>46828</v>
      </c>
      <c r="D130" s="2926">
        <v>0</v>
      </c>
    </row>
    <row r="131" spans="1:4" ht="15">
      <c r="A131" s="2927" t="s">
        <v>5841</v>
      </c>
      <c r="B131" s="2923" t="str">
        <f>CONCATENATE(LEFT(RIGHT(CONCATENATE("000",'HG-DPV-Data'!A131),6),3),"-",(RIGHT(RIGHT(CONCATENATE("000",'HG-DPV-Data'!A131),6),3)))</f>
        <v>069-901</v>
      </c>
      <c r="C131" s="2929">
        <v>0</v>
      </c>
      <c r="D131" s="2924">
        <v>113410</v>
      </c>
    </row>
    <row r="132" spans="1:4" ht="15">
      <c r="A132" s="2925" t="s">
        <v>5959</v>
      </c>
      <c r="B132" s="2923" t="str">
        <f>CONCATENATE(LEFT(RIGHT(CONCATENATE("000",'HG-DPV-Data'!A132),6),3),"-",(RIGHT(RIGHT(CONCATENATE("000",'HG-DPV-Data'!A132),6),3)))</f>
        <v>128-903</v>
      </c>
      <c r="C132" s="2930">
        <v>0</v>
      </c>
      <c r="D132" s="2926">
        <v>15479</v>
      </c>
    </row>
    <row r="133" spans="1:4" ht="15">
      <c r="A133" s="2927" t="s">
        <v>5969</v>
      </c>
      <c r="B133" s="2923" t="str">
        <f>CONCATENATE(LEFT(RIGHT(CONCATENATE("000",'HG-DPV-Data'!A133),6),3),"-",(RIGHT(RIGHT(CONCATENATE("000",'HG-DPV-Data'!A133),6),3)))</f>
        <v>137-904</v>
      </c>
      <c r="C133" s="2929">
        <v>0</v>
      </c>
      <c r="D133" s="2924">
        <v>819981</v>
      </c>
    </row>
    <row r="134" spans="1:4" ht="15">
      <c r="A134" s="2925" t="s">
        <v>5861</v>
      </c>
      <c r="B134" s="2923" t="str">
        <f>CONCATENATE(LEFT(RIGHT(CONCATENATE("000",'HG-DPV-Data'!A134),6),3),"-",(RIGHT(RIGHT(CONCATENATE("000",'HG-DPV-Data'!A134),6),3)))</f>
        <v>083-901</v>
      </c>
      <c r="C134" s="2930">
        <v>0</v>
      </c>
      <c r="D134" s="2926">
        <v>385204</v>
      </c>
    </row>
    <row r="135" spans="1:4" ht="15">
      <c r="A135" s="2927" t="s">
        <v>3715</v>
      </c>
      <c r="B135" s="2923" t="str">
        <f>CONCATENATE(LEFT(RIGHT(CONCATENATE("000",'HG-DPV-Data'!A135),6),3),"-",(RIGHT(RIGHT(CONCATENATE("000",'HG-DPV-Data'!A135),6),3)))</f>
        <v>210-903</v>
      </c>
      <c r="C135" s="2929">
        <v>57712</v>
      </c>
      <c r="D135" s="2924">
        <v>0</v>
      </c>
    </row>
    <row r="136" spans="1:4" ht="15">
      <c r="A136" s="2925" t="s">
        <v>6740</v>
      </c>
      <c r="B136" s="2923" t="str">
        <f>CONCATENATE(LEFT(RIGHT(CONCATENATE("000",'HG-DPV-Data'!A136),6),3),"-",(RIGHT(RIGHT(CONCATENATE("000",'HG-DPV-Data'!A136),6),3)))</f>
        <v>115-902</v>
      </c>
      <c r="C136" s="2930">
        <v>0</v>
      </c>
      <c r="D136" s="2926">
        <v>31743</v>
      </c>
    </row>
    <row r="137" spans="1:4" ht="15">
      <c r="A137" s="2927" t="s">
        <v>6679</v>
      </c>
      <c r="B137" s="2923" t="str">
        <f>CONCATENATE(LEFT(RIGHT(CONCATENATE("000",'HG-DPV-Data'!A137),6),3),"-",(RIGHT(RIGHT(CONCATENATE("000",'HG-DPV-Data'!A137),6),3)))</f>
        <v>023-902</v>
      </c>
      <c r="C137" s="2929">
        <v>1211342</v>
      </c>
      <c r="D137" s="2924">
        <v>0</v>
      </c>
    </row>
    <row r="138" spans="1:4" ht="15">
      <c r="A138" s="2925" t="s">
        <v>3789</v>
      </c>
      <c r="B138" s="2923" t="str">
        <f>CONCATENATE(LEFT(RIGHT(CONCATENATE("000",'HG-DPV-Data'!A138),6),3),"-",(RIGHT(RIGHT(CONCATENATE("000",'HG-DPV-Data'!A138),6),3)))</f>
        <v>249-908</v>
      </c>
      <c r="C138" s="2930">
        <v>82704</v>
      </c>
      <c r="D138" s="2926">
        <v>0</v>
      </c>
    </row>
    <row r="139" spans="1:4" ht="15">
      <c r="A139" s="2927" t="s">
        <v>6085</v>
      </c>
      <c r="B139" s="2923" t="str">
        <f>CONCATENATE(LEFT(RIGHT(CONCATENATE("000",'HG-DPV-Data'!A139),6),3),"-",(RIGHT(RIGHT(CONCATENATE("000",'HG-DPV-Data'!A139),6),3)))</f>
        <v>208-902</v>
      </c>
      <c r="C139" s="2929">
        <v>0</v>
      </c>
      <c r="D139" s="2924">
        <v>1472512</v>
      </c>
    </row>
    <row r="140" spans="1:4" ht="15">
      <c r="A140" s="2925" t="s">
        <v>6099</v>
      </c>
      <c r="B140" s="2923" t="str">
        <f>CONCATENATE(LEFT(RIGHT(CONCATENATE("000",'HG-DPV-Data'!A140),6),3),"-",(RIGHT(RIGHT(CONCATENATE("000",'HG-DPV-Data'!A140),6),3)))</f>
        <v>218-901</v>
      </c>
      <c r="C140" s="2930">
        <v>0</v>
      </c>
      <c r="D140" s="2926">
        <v>1149502</v>
      </c>
    </row>
    <row r="141" spans="1:4" ht="15">
      <c r="A141" s="2927" t="s">
        <v>6757</v>
      </c>
      <c r="B141" s="2923" t="str">
        <f>CONCATENATE(LEFT(RIGHT(CONCATENATE("000",'HG-DPV-Data'!A141),6),3),"-",(RIGHT(RIGHT(CONCATENATE("000",'HG-DPV-Data'!A141),6),3)))</f>
        <v>140-907</v>
      </c>
      <c r="C141" s="2929">
        <v>45816</v>
      </c>
      <c r="D141" s="2924">
        <v>0</v>
      </c>
    </row>
    <row r="142" spans="1:4" ht="15">
      <c r="A142" s="2925" t="s">
        <v>5836</v>
      </c>
      <c r="B142" s="2923" t="str">
        <f>CONCATENATE(LEFT(RIGHT(CONCATENATE("000",'HG-DPV-Data'!A142),6),3),"-",(RIGHT(RIGHT(CONCATENATE("000",'HG-DPV-Data'!A142),6),3)))</f>
        <v>063-903</v>
      </c>
      <c r="C142" s="2930">
        <v>0</v>
      </c>
      <c r="D142" s="2926">
        <v>170271</v>
      </c>
    </row>
    <row r="143" spans="1:4" ht="15">
      <c r="A143" s="2927" t="s">
        <v>6097</v>
      </c>
      <c r="B143" s="2923" t="str">
        <f>CONCATENATE(LEFT(RIGHT(CONCATENATE("000",'HG-DPV-Data'!A143),6),3),"-",(RIGHT(RIGHT(CONCATENATE("000",'HG-DPV-Data'!A143),6),3)))</f>
        <v>216-901</v>
      </c>
      <c r="C143" s="2929">
        <v>0</v>
      </c>
      <c r="D143" s="2924">
        <v>449589</v>
      </c>
    </row>
    <row r="144" spans="1:4" ht="15">
      <c r="A144" s="2925" t="s">
        <v>6734</v>
      </c>
      <c r="B144" s="2923" t="str">
        <f>CONCATENATE(LEFT(RIGHT(CONCATENATE("000",'HG-DPV-Data'!A144),6),3),"-",(RIGHT(RIGHT(CONCATENATE("000",'HG-DPV-Data'!A144),6),3)))</f>
        <v>110-907</v>
      </c>
      <c r="C144" s="2930">
        <v>0</v>
      </c>
      <c r="D144" s="2926">
        <v>1143277</v>
      </c>
    </row>
    <row r="145" spans="1:4" ht="15">
      <c r="A145" s="2927" t="s">
        <v>5828</v>
      </c>
      <c r="B145" s="2923" t="str">
        <f>CONCATENATE(LEFT(RIGHT(CONCATENATE("000",'HG-DPV-Data'!A145),6),3),"-",(RIGHT(RIGHT(CONCATENATE("000",'HG-DPV-Data'!A145),6),3)))</f>
        <v>057-919</v>
      </c>
      <c r="C145" s="2929">
        <v>0</v>
      </c>
      <c r="D145" s="2924">
        <v>135614</v>
      </c>
    </row>
    <row r="146" spans="1:4" ht="15">
      <c r="A146" s="2925" t="s">
        <v>5858</v>
      </c>
      <c r="B146" s="2923" t="str">
        <f>CONCATENATE(LEFT(RIGHT(CONCATENATE("000",'HG-DPV-Data'!A146),6),3),"-",(RIGHT(RIGHT(CONCATENATE("000",'HG-DPV-Data'!A146),6),3)))</f>
        <v>081-904</v>
      </c>
      <c r="C146" s="2930">
        <v>0</v>
      </c>
      <c r="D146" s="2926">
        <v>1170861</v>
      </c>
    </row>
    <row r="147" spans="1:4" ht="15">
      <c r="A147" s="2927" t="s">
        <v>6108</v>
      </c>
      <c r="B147" s="2923" t="str">
        <f>CONCATENATE(LEFT(RIGHT(CONCATENATE("000",'HG-DPV-Data'!A147),6),3),"-",(RIGHT(RIGHT(CONCATENATE("000",'HG-DPV-Data'!A147),6),3)))</f>
        <v>222-901</v>
      </c>
      <c r="C147" s="2929">
        <v>0</v>
      </c>
      <c r="D147" s="2924">
        <v>137435</v>
      </c>
    </row>
    <row r="148" spans="1:4" ht="15">
      <c r="A148" s="2925" t="s">
        <v>6089</v>
      </c>
      <c r="B148" s="2923" t="str">
        <f>CONCATENATE(LEFT(RIGHT(CONCATENATE("000",'HG-DPV-Data'!A148),6),3),"-",(RIGHT(RIGHT(CONCATENATE("000",'HG-DPV-Data'!A148),6),3)))</f>
        <v>211-901</v>
      </c>
      <c r="C148" s="2930">
        <v>203</v>
      </c>
      <c r="D148" s="2926">
        <v>0</v>
      </c>
    </row>
    <row r="149" spans="1:4" ht="15">
      <c r="A149" s="2927" t="s">
        <v>6004</v>
      </c>
      <c r="B149" s="2923" t="str">
        <f>CONCATENATE(LEFT(RIGHT(CONCATENATE("000",'HG-DPV-Data'!A149),6),3),"-",(RIGHT(RIGHT(CONCATENATE("000",'HG-DPV-Data'!A149),6),3)))</f>
        <v>158-902</v>
      </c>
      <c r="C149" s="2929">
        <v>0</v>
      </c>
      <c r="D149" s="2924">
        <v>63370</v>
      </c>
    </row>
    <row r="150" spans="1:4" ht="15">
      <c r="A150" s="2925" t="s">
        <v>5880</v>
      </c>
      <c r="B150" s="2923" t="str">
        <f>CONCATENATE(LEFT(RIGHT(CONCATENATE("000",'HG-DPV-Data'!A150),6),3),"-",(RIGHT(RIGHT(CONCATENATE("000",'HG-DPV-Data'!A150),6),3)))</f>
        <v>091-907</v>
      </c>
      <c r="C150" s="2930">
        <v>0</v>
      </c>
      <c r="D150" s="2926">
        <v>49325</v>
      </c>
    </row>
    <row r="151" spans="1:4" ht="15">
      <c r="A151" s="2927" t="s">
        <v>3751</v>
      </c>
      <c r="B151" s="2923" t="str">
        <f>CONCATENATE(LEFT(RIGHT(CONCATENATE("000",'HG-DPV-Data'!A151),6),3),"-",(RIGHT(RIGHT(CONCATENATE("000",'HG-DPV-Data'!A151),6),3)))</f>
        <v>232-903</v>
      </c>
      <c r="C151" s="2929">
        <v>1178771</v>
      </c>
      <c r="D151" s="2924">
        <v>0</v>
      </c>
    </row>
    <row r="152" spans="1:4" ht="15">
      <c r="A152" s="2925" t="s">
        <v>6766</v>
      </c>
      <c r="B152" s="2923" t="str">
        <f>CONCATENATE(LEFT(RIGHT(CONCATENATE("000",'HG-DPV-Data'!A152),6),3),"-",(RIGHT(RIGHT(CONCATENATE("000",'HG-DPV-Data'!A152),6),3)))</f>
        <v>158-906</v>
      </c>
      <c r="C152" s="2930">
        <v>3030107</v>
      </c>
      <c r="D152" s="2926">
        <v>0</v>
      </c>
    </row>
    <row r="153" spans="1:4" ht="15">
      <c r="A153" s="2927" t="s">
        <v>6132</v>
      </c>
      <c r="B153" s="2923" t="str">
        <f>CONCATENATE(LEFT(RIGHT(CONCATENATE("000",'HG-DPV-Data'!A153),6),3),"-",(RIGHT(RIGHT(CONCATENATE("000",'HG-DPV-Data'!A153),6),3)))</f>
        <v>240-904</v>
      </c>
      <c r="C153" s="2929">
        <v>0</v>
      </c>
      <c r="D153" s="2924">
        <v>910256</v>
      </c>
    </row>
    <row r="154" spans="1:4" ht="15">
      <c r="A154" s="2925" t="s">
        <v>3705</v>
      </c>
      <c r="B154" s="2923" t="str">
        <f>CONCATENATE(LEFT(RIGHT(CONCATENATE("000",'HG-DPV-Data'!A154),6),3),"-",(RIGHT(RIGHT(CONCATENATE("000",'HG-DPV-Data'!A154),6),3)))</f>
        <v>202-905</v>
      </c>
      <c r="C154" s="2930">
        <v>335495</v>
      </c>
      <c r="D154" s="2926">
        <v>0</v>
      </c>
    </row>
    <row r="155" spans="1:4" ht="15">
      <c r="A155" s="2927" t="s">
        <v>6773</v>
      </c>
      <c r="B155" s="2923" t="str">
        <f>CONCATENATE(LEFT(RIGHT(CONCATENATE("000",'HG-DPV-Data'!A155),6),3),"-",(RIGHT(RIGHT(CONCATENATE("000",'HG-DPV-Data'!A155),6),3)))</f>
        <v>168-903</v>
      </c>
      <c r="C155" s="2929">
        <v>0</v>
      </c>
      <c r="D155" s="2924">
        <v>1410511</v>
      </c>
    </row>
    <row r="156" spans="1:4" ht="15">
      <c r="A156" s="2925" t="s">
        <v>6703</v>
      </c>
      <c r="B156" s="2923" t="str">
        <f>CONCATENATE(LEFT(RIGHT(CONCATENATE("000",'HG-DPV-Data'!A156),6),3),"-",(RIGHT(RIGHT(CONCATENATE("000",'HG-DPV-Data'!A156),6),3)))</f>
        <v>062-905</v>
      </c>
      <c r="C156" s="2930">
        <v>98263</v>
      </c>
      <c r="D156" s="2926">
        <v>0</v>
      </c>
    </row>
    <row r="157" spans="1:4" ht="15">
      <c r="A157" s="2927" t="s">
        <v>4655</v>
      </c>
      <c r="B157" s="2923" t="str">
        <f>CONCATENATE(LEFT(RIGHT(CONCATENATE("000",'HG-DPV-Data'!A157),6),3),"-",(RIGHT(RIGHT(CONCATENATE("000",'HG-DPV-Data'!A157),6),3)))</f>
        <v>073-904</v>
      </c>
      <c r="C157" s="2929">
        <v>10710</v>
      </c>
      <c r="D157" s="2924">
        <v>0</v>
      </c>
    </row>
    <row r="158" spans="1:4" ht="15">
      <c r="A158" s="2925" t="s">
        <v>6137</v>
      </c>
      <c r="B158" s="2923" t="str">
        <f>CONCATENATE(LEFT(RIGHT(CONCATENATE("000",'HG-DPV-Data'!A158),6),3),"-",(RIGHT(RIGHT(CONCATENATE("000",'HG-DPV-Data'!A158),6),3)))</f>
        <v>242-903</v>
      </c>
      <c r="C158" s="2930">
        <v>0</v>
      </c>
      <c r="D158" s="2926">
        <v>101663</v>
      </c>
    </row>
    <row r="159" spans="1:4" ht="15">
      <c r="A159" s="2927" t="s">
        <v>5794</v>
      </c>
      <c r="B159" s="2923" t="str">
        <f>CONCATENATE(LEFT(RIGHT(CONCATENATE("000",'HG-DPV-Data'!A159),6),3),"-",(RIGHT(RIGHT(CONCATENATE("000",'HG-DPV-Data'!A159),6),3)))</f>
        <v>033-904</v>
      </c>
      <c r="C159" s="2929">
        <v>55462</v>
      </c>
      <c r="D159" s="2924">
        <v>0</v>
      </c>
    </row>
    <row r="160" spans="1:4" ht="15">
      <c r="A160" s="2925" t="s">
        <v>5804</v>
      </c>
      <c r="B160" s="2923" t="str">
        <f>CONCATENATE(LEFT(RIGHT(CONCATENATE("000",'HG-DPV-Data'!A160),6),3),"-",(RIGHT(RIGHT(CONCATENATE("000",'HG-DPV-Data'!A160),6),3)))</f>
        <v>040-902</v>
      </c>
      <c r="C160" s="2930">
        <v>0</v>
      </c>
      <c r="D160" s="2926">
        <v>708502</v>
      </c>
    </row>
    <row r="161" spans="1:4" ht="15">
      <c r="A161" s="2927" t="s">
        <v>6043</v>
      </c>
      <c r="B161" s="2923" t="str">
        <f>CONCATENATE(LEFT(RIGHT(CONCATENATE("000",'HG-DPV-Data'!A161),6),3),"-",(RIGHT(RIGHT(CONCATENATE("000",'HG-DPV-Data'!A161),6),3)))</f>
        <v>180-904</v>
      </c>
      <c r="C161" s="2929">
        <v>0</v>
      </c>
      <c r="D161" s="2924">
        <v>50945</v>
      </c>
    </row>
    <row r="162" spans="1:4" ht="15">
      <c r="A162" s="2925" t="s">
        <v>6144</v>
      </c>
      <c r="B162" s="2923" t="str">
        <f>CONCATENATE(LEFT(RIGHT(CONCATENATE("000",'HG-DPV-Data'!A162),6),3),"-",(RIGHT(RIGHT(CONCATENATE("000",'HG-DPV-Data'!A162),6),3)))</f>
        <v>248-902</v>
      </c>
      <c r="C162" s="2930">
        <v>0</v>
      </c>
      <c r="D162" s="2926">
        <v>1319314</v>
      </c>
    </row>
    <row r="163" spans="1:4" ht="15">
      <c r="A163" s="2927" t="s">
        <v>6071</v>
      </c>
      <c r="B163" s="2923" t="str">
        <f>CONCATENATE(LEFT(RIGHT(CONCATENATE("000",'HG-DPV-Data'!A163),6),3),"-",(RIGHT(RIGHT(CONCATENATE("000",'HG-DPV-Data'!A163),6),3)))</f>
        <v>196-902</v>
      </c>
      <c r="C163" s="2929">
        <v>157230</v>
      </c>
      <c r="D163" s="2924">
        <v>0</v>
      </c>
    </row>
    <row r="164" spans="1:4" ht="15">
      <c r="A164" s="2925" t="s">
        <v>6120</v>
      </c>
      <c r="B164" s="2923" t="str">
        <f>CONCATENATE(LEFT(RIGHT(CONCATENATE("000",'HG-DPV-Data'!A164),6),3),"-",(RIGHT(RIGHT(CONCATENATE("000",'HG-DPV-Data'!A164),6),3)))</f>
        <v>229-903</v>
      </c>
      <c r="C164" s="2930">
        <v>0</v>
      </c>
      <c r="D164" s="2926">
        <v>205549</v>
      </c>
    </row>
    <row r="165" spans="1:4" ht="15">
      <c r="A165" s="2927" t="s">
        <v>5835</v>
      </c>
      <c r="B165" s="2923" t="str">
        <f>CONCATENATE(LEFT(RIGHT(CONCATENATE("000",'HG-DPV-Data'!A165),6),3),"-",(RIGHT(RIGHT(CONCATENATE("000",'HG-DPV-Data'!A165),6),3)))</f>
        <v>062-904</v>
      </c>
      <c r="C165" s="2929">
        <v>322013</v>
      </c>
      <c r="D165" s="2924">
        <v>0</v>
      </c>
    </row>
    <row r="166" spans="1:4">
      <c r="D166" s="2926">
        <v>3945784</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85546875" defaultRowHeight="12.75"/>
  <cols>
    <col min="1" max="2" width="11.42578125" style="2006" customWidth="1"/>
    <col min="3" max="3" width="24.42578125" style="2006" bestFit="1" customWidth="1"/>
    <col min="4" max="4" width="8.5703125" style="2006" customWidth="1"/>
    <col min="5" max="5" width="11.42578125" style="2006" customWidth="1"/>
    <col min="6" max="6" width="15.5703125" style="2006" customWidth="1"/>
    <col min="7" max="7" width="15.85546875" style="2006" customWidth="1"/>
    <col min="8" max="8" width="15.42578125" style="2007" bestFit="1" customWidth="1"/>
    <col min="9" max="9" width="19.42578125" style="2007" bestFit="1" customWidth="1"/>
    <col min="10" max="10" width="15" style="2008" bestFit="1" customWidth="1"/>
    <col min="11" max="12" width="12" style="2007" bestFit="1" customWidth="1"/>
    <col min="13" max="13" width="8.85546875" style="2006" bestFit="1" customWidth="1"/>
    <col min="14" max="243" width="8.85546875" style="2006"/>
    <col min="244" max="244" width="11.42578125" style="2006" customWidth="1"/>
    <col min="245" max="245" width="24.42578125" style="2006" bestFit="1" customWidth="1"/>
    <col min="246" max="246" width="8.5703125" style="2006" customWidth="1"/>
    <col min="247" max="247" width="11.42578125" style="2006" customWidth="1"/>
    <col min="248" max="248" width="15.5703125" style="2006" customWidth="1"/>
    <col min="249" max="249" width="15.85546875" style="2006" customWidth="1"/>
    <col min="250" max="250" width="15.42578125" style="2006" bestFit="1" customWidth="1"/>
    <col min="251" max="251" width="19.42578125" style="2006" bestFit="1" customWidth="1"/>
    <col min="252" max="252" width="15" style="2006" bestFit="1" customWidth="1"/>
    <col min="253" max="254" width="12" style="2006" bestFit="1" customWidth="1"/>
    <col min="255" max="255" width="8.85546875" style="2006" bestFit="1" customWidth="1"/>
    <col min="256" max="499" width="8.85546875" style="2006"/>
    <col min="500" max="500" width="11.42578125" style="2006" customWidth="1"/>
    <col min="501" max="501" width="24.42578125" style="2006" bestFit="1" customWidth="1"/>
    <col min="502" max="502" width="8.5703125" style="2006" customWidth="1"/>
    <col min="503" max="503" width="11.42578125" style="2006" customWidth="1"/>
    <col min="504" max="504" width="15.5703125" style="2006" customWidth="1"/>
    <col min="505" max="505" width="15.85546875" style="2006" customWidth="1"/>
    <col min="506" max="506" width="15.42578125" style="2006" bestFit="1" customWidth="1"/>
    <col min="507" max="507" width="19.42578125" style="2006" bestFit="1" customWidth="1"/>
    <col min="508" max="508" width="15" style="2006" bestFit="1" customWidth="1"/>
    <col min="509" max="510" width="12" style="2006" bestFit="1" customWidth="1"/>
    <col min="511" max="511" width="8.85546875" style="2006" bestFit="1" customWidth="1"/>
    <col min="512" max="755" width="8.85546875" style="2006"/>
    <col min="756" max="756" width="11.42578125" style="2006" customWidth="1"/>
    <col min="757" max="757" width="24.42578125" style="2006" bestFit="1" customWidth="1"/>
    <col min="758" max="758" width="8.5703125" style="2006" customWidth="1"/>
    <col min="759" max="759" width="11.42578125" style="2006" customWidth="1"/>
    <col min="760" max="760" width="15.5703125" style="2006" customWidth="1"/>
    <col min="761" max="761" width="15.85546875" style="2006" customWidth="1"/>
    <col min="762" max="762" width="15.42578125" style="2006" bestFit="1" customWidth="1"/>
    <col min="763" max="763" width="19.42578125" style="2006" bestFit="1" customWidth="1"/>
    <col min="764" max="764" width="15" style="2006" bestFit="1" customWidth="1"/>
    <col min="765" max="766" width="12" style="2006" bestFit="1" customWidth="1"/>
    <col min="767" max="767" width="8.85546875" style="2006" bestFit="1" customWidth="1"/>
    <col min="768" max="1011" width="8.85546875" style="2006"/>
    <col min="1012" max="1012" width="11.42578125" style="2006" customWidth="1"/>
    <col min="1013" max="1013" width="24.42578125" style="2006" bestFit="1" customWidth="1"/>
    <col min="1014" max="1014" width="8.5703125" style="2006" customWidth="1"/>
    <col min="1015" max="1015" width="11.42578125" style="2006" customWidth="1"/>
    <col min="1016" max="1016" width="15.5703125" style="2006" customWidth="1"/>
    <col min="1017" max="1017" width="15.85546875" style="2006" customWidth="1"/>
    <col min="1018" max="1018" width="15.42578125" style="2006" bestFit="1" customWidth="1"/>
    <col min="1019" max="1019" width="19.42578125" style="2006" bestFit="1" customWidth="1"/>
    <col min="1020" max="1020" width="15" style="2006" bestFit="1" customWidth="1"/>
    <col min="1021" max="1022" width="12" style="2006" bestFit="1" customWidth="1"/>
    <col min="1023" max="1023" width="8.85546875" style="2006" bestFit="1" customWidth="1"/>
    <col min="1024" max="1267" width="8.85546875" style="2006"/>
    <col min="1268" max="1268" width="11.42578125" style="2006" customWidth="1"/>
    <col min="1269" max="1269" width="24.42578125" style="2006" bestFit="1" customWidth="1"/>
    <col min="1270" max="1270" width="8.5703125" style="2006" customWidth="1"/>
    <col min="1271" max="1271" width="11.42578125" style="2006" customWidth="1"/>
    <col min="1272" max="1272" width="15.5703125" style="2006" customWidth="1"/>
    <col min="1273" max="1273" width="15.85546875" style="2006" customWidth="1"/>
    <col min="1274" max="1274" width="15.42578125" style="2006" bestFit="1" customWidth="1"/>
    <col min="1275" max="1275" width="19.42578125" style="2006" bestFit="1" customWidth="1"/>
    <col min="1276" max="1276" width="15" style="2006" bestFit="1" customWidth="1"/>
    <col min="1277" max="1278" width="12" style="2006" bestFit="1" customWidth="1"/>
    <col min="1279" max="1279" width="8.85546875" style="2006" bestFit="1" customWidth="1"/>
    <col min="1280" max="1523" width="8.85546875" style="2006"/>
    <col min="1524" max="1524" width="11.42578125" style="2006" customWidth="1"/>
    <col min="1525" max="1525" width="24.42578125" style="2006" bestFit="1" customWidth="1"/>
    <col min="1526" max="1526" width="8.5703125" style="2006" customWidth="1"/>
    <col min="1527" max="1527" width="11.42578125" style="2006" customWidth="1"/>
    <col min="1528" max="1528" width="15.5703125" style="2006" customWidth="1"/>
    <col min="1529" max="1529" width="15.85546875" style="2006" customWidth="1"/>
    <col min="1530" max="1530" width="15.42578125" style="2006" bestFit="1" customWidth="1"/>
    <col min="1531" max="1531" width="19.42578125" style="2006" bestFit="1" customWidth="1"/>
    <col min="1532" max="1532" width="15" style="2006" bestFit="1" customWidth="1"/>
    <col min="1533" max="1534" width="12" style="2006" bestFit="1" customWidth="1"/>
    <col min="1535" max="1535" width="8.85546875" style="2006" bestFit="1" customWidth="1"/>
    <col min="1536" max="1779" width="8.85546875" style="2006"/>
    <col min="1780" max="1780" width="11.42578125" style="2006" customWidth="1"/>
    <col min="1781" max="1781" width="24.42578125" style="2006" bestFit="1" customWidth="1"/>
    <col min="1782" max="1782" width="8.5703125" style="2006" customWidth="1"/>
    <col min="1783" max="1783" width="11.42578125" style="2006" customWidth="1"/>
    <col min="1784" max="1784" width="15.5703125" style="2006" customWidth="1"/>
    <col min="1785" max="1785" width="15.85546875" style="2006" customWidth="1"/>
    <col min="1786" max="1786" width="15.42578125" style="2006" bestFit="1" customWidth="1"/>
    <col min="1787" max="1787" width="19.42578125" style="2006" bestFit="1" customWidth="1"/>
    <col min="1788" max="1788" width="15" style="2006" bestFit="1" customWidth="1"/>
    <col min="1789" max="1790" width="12" style="2006" bestFit="1" customWidth="1"/>
    <col min="1791" max="1791" width="8.85546875" style="2006" bestFit="1" customWidth="1"/>
    <col min="1792" max="2035" width="8.85546875" style="2006"/>
    <col min="2036" max="2036" width="11.42578125" style="2006" customWidth="1"/>
    <col min="2037" max="2037" width="24.42578125" style="2006" bestFit="1" customWidth="1"/>
    <col min="2038" max="2038" width="8.5703125" style="2006" customWidth="1"/>
    <col min="2039" max="2039" width="11.42578125" style="2006" customWidth="1"/>
    <col min="2040" max="2040" width="15.5703125" style="2006" customWidth="1"/>
    <col min="2041" max="2041" width="15.85546875" style="2006" customWidth="1"/>
    <col min="2042" max="2042" width="15.42578125" style="2006" bestFit="1" customWidth="1"/>
    <col min="2043" max="2043" width="19.42578125" style="2006" bestFit="1" customWidth="1"/>
    <col min="2044" max="2044" width="15" style="2006" bestFit="1" customWidth="1"/>
    <col min="2045" max="2046" width="12" style="2006" bestFit="1" customWidth="1"/>
    <col min="2047" max="2047" width="8.85546875" style="2006" bestFit="1" customWidth="1"/>
    <col min="2048" max="2291" width="8.85546875" style="2006"/>
    <col min="2292" max="2292" width="11.42578125" style="2006" customWidth="1"/>
    <col min="2293" max="2293" width="24.42578125" style="2006" bestFit="1" customWidth="1"/>
    <col min="2294" max="2294" width="8.5703125" style="2006" customWidth="1"/>
    <col min="2295" max="2295" width="11.42578125" style="2006" customWidth="1"/>
    <col min="2296" max="2296" width="15.5703125" style="2006" customWidth="1"/>
    <col min="2297" max="2297" width="15.85546875" style="2006" customWidth="1"/>
    <col min="2298" max="2298" width="15.42578125" style="2006" bestFit="1" customWidth="1"/>
    <col min="2299" max="2299" width="19.42578125" style="2006" bestFit="1" customWidth="1"/>
    <col min="2300" max="2300" width="15" style="2006" bestFit="1" customWidth="1"/>
    <col min="2301" max="2302" width="12" style="2006" bestFit="1" customWidth="1"/>
    <col min="2303" max="2303" width="8.85546875" style="2006" bestFit="1" customWidth="1"/>
    <col min="2304" max="2547" width="8.85546875" style="2006"/>
    <col min="2548" max="2548" width="11.42578125" style="2006" customWidth="1"/>
    <col min="2549" max="2549" width="24.42578125" style="2006" bestFit="1" customWidth="1"/>
    <col min="2550" max="2550" width="8.5703125" style="2006" customWidth="1"/>
    <col min="2551" max="2551" width="11.42578125" style="2006" customWidth="1"/>
    <col min="2552" max="2552" width="15.5703125" style="2006" customWidth="1"/>
    <col min="2553" max="2553" width="15.85546875" style="2006" customWidth="1"/>
    <col min="2554" max="2554" width="15.42578125" style="2006" bestFit="1" customWidth="1"/>
    <col min="2555" max="2555" width="19.42578125" style="2006" bestFit="1" customWidth="1"/>
    <col min="2556" max="2556" width="15" style="2006" bestFit="1" customWidth="1"/>
    <col min="2557" max="2558" width="12" style="2006" bestFit="1" customWidth="1"/>
    <col min="2559" max="2559" width="8.85546875" style="2006" bestFit="1" customWidth="1"/>
    <col min="2560" max="2803" width="8.85546875" style="2006"/>
    <col min="2804" max="2804" width="11.42578125" style="2006" customWidth="1"/>
    <col min="2805" max="2805" width="24.42578125" style="2006" bestFit="1" customWidth="1"/>
    <col min="2806" max="2806" width="8.5703125" style="2006" customWidth="1"/>
    <col min="2807" max="2807" width="11.42578125" style="2006" customWidth="1"/>
    <col min="2808" max="2808" width="15.5703125" style="2006" customWidth="1"/>
    <col min="2809" max="2809" width="15.85546875" style="2006" customWidth="1"/>
    <col min="2810" max="2810" width="15.42578125" style="2006" bestFit="1" customWidth="1"/>
    <col min="2811" max="2811" width="19.42578125" style="2006" bestFit="1" customWidth="1"/>
    <col min="2812" max="2812" width="15" style="2006" bestFit="1" customWidth="1"/>
    <col min="2813" max="2814" width="12" style="2006" bestFit="1" customWidth="1"/>
    <col min="2815" max="2815" width="8.85546875" style="2006" bestFit="1" customWidth="1"/>
    <col min="2816" max="3059" width="8.85546875" style="2006"/>
    <col min="3060" max="3060" width="11.42578125" style="2006" customWidth="1"/>
    <col min="3061" max="3061" width="24.42578125" style="2006" bestFit="1" customWidth="1"/>
    <col min="3062" max="3062" width="8.5703125" style="2006" customWidth="1"/>
    <col min="3063" max="3063" width="11.42578125" style="2006" customWidth="1"/>
    <col min="3064" max="3064" width="15.5703125" style="2006" customWidth="1"/>
    <col min="3065" max="3065" width="15.85546875" style="2006" customWidth="1"/>
    <col min="3066" max="3066" width="15.42578125" style="2006" bestFit="1" customWidth="1"/>
    <col min="3067" max="3067" width="19.42578125" style="2006" bestFit="1" customWidth="1"/>
    <col min="3068" max="3068" width="15" style="2006" bestFit="1" customWidth="1"/>
    <col min="3069" max="3070" width="12" style="2006" bestFit="1" customWidth="1"/>
    <col min="3071" max="3071" width="8.85546875" style="2006" bestFit="1" customWidth="1"/>
    <col min="3072" max="3315" width="8.85546875" style="2006"/>
    <col min="3316" max="3316" width="11.42578125" style="2006" customWidth="1"/>
    <col min="3317" max="3317" width="24.42578125" style="2006" bestFit="1" customWidth="1"/>
    <col min="3318" max="3318" width="8.5703125" style="2006" customWidth="1"/>
    <col min="3319" max="3319" width="11.42578125" style="2006" customWidth="1"/>
    <col min="3320" max="3320" width="15.5703125" style="2006" customWidth="1"/>
    <col min="3321" max="3321" width="15.85546875" style="2006" customWidth="1"/>
    <col min="3322" max="3322" width="15.42578125" style="2006" bestFit="1" customWidth="1"/>
    <col min="3323" max="3323" width="19.42578125" style="2006" bestFit="1" customWidth="1"/>
    <col min="3324" max="3324" width="15" style="2006" bestFit="1" customWidth="1"/>
    <col min="3325" max="3326" width="12" style="2006" bestFit="1" customWidth="1"/>
    <col min="3327" max="3327" width="8.85546875" style="2006" bestFit="1" customWidth="1"/>
    <col min="3328" max="3571" width="8.85546875" style="2006"/>
    <col min="3572" max="3572" width="11.42578125" style="2006" customWidth="1"/>
    <col min="3573" max="3573" width="24.42578125" style="2006" bestFit="1" customWidth="1"/>
    <col min="3574" max="3574" width="8.5703125" style="2006" customWidth="1"/>
    <col min="3575" max="3575" width="11.42578125" style="2006" customWidth="1"/>
    <col min="3576" max="3576" width="15.5703125" style="2006" customWidth="1"/>
    <col min="3577" max="3577" width="15.85546875" style="2006" customWidth="1"/>
    <col min="3578" max="3578" width="15.42578125" style="2006" bestFit="1" customWidth="1"/>
    <col min="3579" max="3579" width="19.42578125" style="2006" bestFit="1" customWidth="1"/>
    <col min="3580" max="3580" width="15" style="2006" bestFit="1" customWidth="1"/>
    <col min="3581" max="3582" width="12" style="2006" bestFit="1" customWidth="1"/>
    <col min="3583" max="3583" width="8.85546875" style="2006" bestFit="1" customWidth="1"/>
    <col min="3584" max="3827" width="8.85546875" style="2006"/>
    <col min="3828" max="3828" width="11.42578125" style="2006" customWidth="1"/>
    <col min="3829" max="3829" width="24.42578125" style="2006" bestFit="1" customWidth="1"/>
    <col min="3830" max="3830" width="8.5703125" style="2006" customWidth="1"/>
    <col min="3831" max="3831" width="11.42578125" style="2006" customWidth="1"/>
    <col min="3832" max="3832" width="15.5703125" style="2006" customWidth="1"/>
    <col min="3833" max="3833" width="15.85546875" style="2006" customWidth="1"/>
    <col min="3834" max="3834" width="15.42578125" style="2006" bestFit="1" customWidth="1"/>
    <col min="3835" max="3835" width="19.42578125" style="2006" bestFit="1" customWidth="1"/>
    <col min="3836" max="3836" width="15" style="2006" bestFit="1" customWidth="1"/>
    <col min="3837" max="3838" width="12" style="2006" bestFit="1" customWidth="1"/>
    <col min="3839" max="3839" width="8.85546875" style="2006" bestFit="1" customWidth="1"/>
    <col min="3840" max="4083" width="8.85546875" style="2006"/>
    <col min="4084" max="4084" width="11.42578125" style="2006" customWidth="1"/>
    <col min="4085" max="4085" width="24.42578125" style="2006" bestFit="1" customWidth="1"/>
    <col min="4086" max="4086" width="8.5703125" style="2006" customWidth="1"/>
    <col min="4087" max="4087" width="11.42578125" style="2006" customWidth="1"/>
    <col min="4088" max="4088" width="15.5703125" style="2006" customWidth="1"/>
    <col min="4089" max="4089" width="15.85546875" style="2006" customWidth="1"/>
    <col min="4090" max="4090" width="15.42578125" style="2006" bestFit="1" customWidth="1"/>
    <col min="4091" max="4091" width="19.42578125" style="2006" bestFit="1" customWidth="1"/>
    <col min="4092" max="4092" width="15" style="2006" bestFit="1" customWidth="1"/>
    <col min="4093" max="4094" width="12" style="2006" bestFit="1" customWidth="1"/>
    <col min="4095" max="4095" width="8.85546875" style="2006" bestFit="1" customWidth="1"/>
    <col min="4096" max="4339" width="8.85546875" style="2006"/>
    <col min="4340" max="4340" width="11.42578125" style="2006" customWidth="1"/>
    <col min="4341" max="4341" width="24.42578125" style="2006" bestFit="1" customWidth="1"/>
    <col min="4342" max="4342" width="8.5703125" style="2006" customWidth="1"/>
    <col min="4343" max="4343" width="11.42578125" style="2006" customWidth="1"/>
    <col min="4344" max="4344" width="15.5703125" style="2006" customWidth="1"/>
    <col min="4345" max="4345" width="15.85546875" style="2006" customWidth="1"/>
    <col min="4346" max="4346" width="15.42578125" style="2006" bestFit="1" customWidth="1"/>
    <col min="4347" max="4347" width="19.42578125" style="2006" bestFit="1" customWidth="1"/>
    <col min="4348" max="4348" width="15" style="2006" bestFit="1" customWidth="1"/>
    <col min="4349" max="4350" width="12" style="2006" bestFit="1" customWidth="1"/>
    <col min="4351" max="4351" width="8.85546875" style="2006" bestFit="1" customWidth="1"/>
    <col min="4352" max="4595" width="8.85546875" style="2006"/>
    <col min="4596" max="4596" width="11.42578125" style="2006" customWidth="1"/>
    <col min="4597" max="4597" width="24.42578125" style="2006" bestFit="1" customWidth="1"/>
    <col min="4598" max="4598" width="8.5703125" style="2006" customWidth="1"/>
    <col min="4599" max="4599" width="11.42578125" style="2006" customWidth="1"/>
    <col min="4600" max="4600" width="15.5703125" style="2006" customWidth="1"/>
    <col min="4601" max="4601" width="15.85546875" style="2006" customWidth="1"/>
    <col min="4602" max="4602" width="15.42578125" style="2006" bestFit="1" customWidth="1"/>
    <col min="4603" max="4603" width="19.42578125" style="2006" bestFit="1" customWidth="1"/>
    <col min="4604" max="4604" width="15" style="2006" bestFit="1" customWidth="1"/>
    <col min="4605" max="4606" width="12" style="2006" bestFit="1" customWidth="1"/>
    <col min="4607" max="4607" width="8.85546875" style="2006" bestFit="1" customWidth="1"/>
    <col min="4608" max="4851" width="8.85546875" style="2006"/>
    <col min="4852" max="4852" width="11.42578125" style="2006" customWidth="1"/>
    <col min="4853" max="4853" width="24.42578125" style="2006" bestFit="1" customWidth="1"/>
    <col min="4854" max="4854" width="8.5703125" style="2006" customWidth="1"/>
    <col min="4855" max="4855" width="11.42578125" style="2006" customWidth="1"/>
    <col min="4856" max="4856" width="15.5703125" style="2006" customWidth="1"/>
    <col min="4857" max="4857" width="15.85546875" style="2006" customWidth="1"/>
    <col min="4858" max="4858" width="15.42578125" style="2006" bestFit="1" customWidth="1"/>
    <col min="4859" max="4859" width="19.42578125" style="2006" bestFit="1" customWidth="1"/>
    <col min="4860" max="4860" width="15" style="2006" bestFit="1" customWidth="1"/>
    <col min="4861" max="4862" width="12" style="2006" bestFit="1" customWidth="1"/>
    <col min="4863" max="4863" width="8.85546875" style="2006" bestFit="1" customWidth="1"/>
    <col min="4864" max="5107" width="8.85546875" style="2006"/>
    <col min="5108" max="5108" width="11.42578125" style="2006" customWidth="1"/>
    <col min="5109" max="5109" width="24.42578125" style="2006" bestFit="1" customWidth="1"/>
    <col min="5110" max="5110" width="8.5703125" style="2006" customWidth="1"/>
    <col min="5111" max="5111" width="11.42578125" style="2006" customWidth="1"/>
    <col min="5112" max="5112" width="15.5703125" style="2006" customWidth="1"/>
    <col min="5113" max="5113" width="15.85546875" style="2006" customWidth="1"/>
    <col min="5114" max="5114" width="15.42578125" style="2006" bestFit="1" customWidth="1"/>
    <col min="5115" max="5115" width="19.42578125" style="2006" bestFit="1" customWidth="1"/>
    <col min="5116" max="5116" width="15" style="2006" bestFit="1" customWidth="1"/>
    <col min="5117" max="5118" width="12" style="2006" bestFit="1" customWidth="1"/>
    <col min="5119" max="5119" width="8.85546875" style="2006" bestFit="1" customWidth="1"/>
    <col min="5120" max="5363" width="8.85546875" style="2006"/>
    <col min="5364" max="5364" width="11.42578125" style="2006" customWidth="1"/>
    <col min="5365" max="5365" width="24.42578125" style="2006" bestFit="1" customWidth="1"/>
    <col min="5366" max="5366" width="8.5703125" style="2006" customWidth="1"/>
    <col min="5367" max="5367" width="11.42578125" style="2006" customWidth="1"/>
    <col min="5368" max="5368" width="15.5703125" style="2006" customWidth="1"/>
    <col min="5369" max="5369" width="15.85546875" style="2006" customWidth="1"/>
    <col min="5370" max="5370" width="15.42578125" style="2006" bestFit="1" customWidth="1"/>
    <col min="5371" max="5371" width="19.42578125" style="2006" bestFit="1" customWidth="1"/>
    <col min="5372" max="5372" width="15" style="2006" bestFit="1" customWidth="1"/>
    <col min="5373" max="5374" width="12" style="2006" bestFit="1" customWidth="1"/>
    <col min="5375" max="5375" width="8.85546875" style="2006" bestFit="1" customWidth="1"/>
    <col min="5376" max="5619" width="8.85546875" style="2006"/>
    <col min="5620" max="5620" width="11.42578125" style="2006" customWidth="1"/>
    <col min="5621" max="5621" width="24.42578125" style="2006" bestFit="1" customWidth="1"/>
    <col min="5622" max="5622" width="8.5703125" style="2006" customWidth="1"/>
    <col min="5623" max="5623" width="11.42578125" style="2006" customWidth="1"/>
    <col min="5624" max="5624" width="15.5703125" style="2006" customWidth="1"/>
    <col min="5625" max="5625" width="15.85546875" style="2006" customWidth="1"/>
    <col min="5626" max="5626" width="15.42578125" style="2006" bestFit="1" customWidth="1"/>
    <col min="5627" max="5627" width="19.42578125" style="2006" bestFit="1" customWidth="1"/>
    <col min="5628" max="5628" width="15" style="2006" bestFit="1" customWidth="1"/>
    <col min="5629" max="5630" width="12" style="2006" bestFit="1" customWidth="1"/>
    <col min="5631" max="5631" width="8.85546875" style="2006" bestFit="1" customWidth="1"/>
    <col min="5632" max="5875" width="8.85546875" style="2006"/>
    <col min="5876" max="5876" width="11.42578125" style="2006" customWidth="1"/>
    <col min="5877" max="5877" width="24.42578125" style="2006" bestFit="1" customWidth="1"/>
    <col min="5878" max="5878" width="8.5703125" style="2006" customWidth="1"/>
    <col min="5879" max="5879" width="11.42578125" style="2006" customWidth="1"/>
    <col min="5880" max="5880" width="15.5703125" style="2006" customWidth="1"/>
    <col min="5881" max="5881" width="15.85546875" style="2006" customWidth="1"/>
    <col min="5882" max="5882" width="15.42578125" style="2006" bestFit="1" customWidth="1"/>
    <col min="5883" max="5883" width="19.42578125" style="2006" bestFit="1" customWidth="1"/>
    <col min="5884" max="5884" width="15" style="2006" bestFit="1" customWidth="1"/>
    <col min="5885" max="5886" width="12" style="2006" bestFit="1" customWidth="1"/>
    <col min="5887" max="5887" width="8.85546875" style="2006" bestFit="1" customWidth="1"/>
    <col min="5888" max="6131" width="8.85546875" style="2006"/>
    <col min="6132" max="6132" width="11.42578125" style="2006" customWidth="1"/>
    <col min="6133" max="6133" width="24.42578125" style="2006" bestFit="1" customWidth="1"/>
    <col min="6134" max="6134" width="8.5703125" style="2006" customWidth="1"/>
    <col min="6135" max="6135" width="11.42578125" style="2006" customWidth="1"/>
    <col min="6136" max="6136" width="15.5703125" style="2006" customWidth="1"/>
    <col min="6137" max="6137" width="15.85546875" style="2006" customWidth="1"/>
    <col min="6138" max="6138" width="15.42578125" style="2006" bestFit="1" customWidth="1"/>
    <col min="6139" max="6139" width="19.42578125" style="2006" bestFit="1" customWidth="1"/>
    <col min="6140" max="6140" width="15" style="2006" bestFit="1" customWidth="1"/>
    <col min="6141" max="6142" width="12" style="2006" bestFit="1" customWidth="1"/>
    <col min="6143" max="6143" width="8.85546875" style="2006" bestFit="1" customWidth="1"/>
    <col min="6144" max="6387" width="8.85546875" style="2006"/>
    <col min="6388" max="6388" width="11.42578125" style="2006" customWidth="1"/>
    <col min="6389" max="6389" width="24.42578125" style="2006" bestFit="1" customWidth="1"/>
    <col min="6390" max="6390" width="8.5703125" style="2006" customWidth="1"/>
    <col min="6391" max="6391" width="11.42578125" style="2006" customWidth="1"/>
    <col min="6392" max="6392" width="15.5703125" style="2006" customWidth="1"/>
    <col min="6393" max="6393" width="15.85546875" style="2006" customWidth="1"/>
    <col min="6394" max="6394" width="15.42578125" style="2006" bestFit="1" customWidth="1"/>
    <col min="6395" max="6395" width="19.42578125" style="2006" bestFit="1" customWidth="1"/>
    <col min="6396" max="6396" width="15" style="2006" bestFit="1" customWidth="1"/>
    <col min="6397" max="6398" width="12" style="2006" bestFit="1" customWidth="1"/>
    <col min="6399" max="6399" width="8.85546875" style="2006" bestFit="1" customWidth="1"/>
    <col min="6400" max="6643" width="8.85546875" style="2006"/>
    <col min="6644" max="6644" width="11.42578125" style="2006" customWidth="1"/>
    <col min="6645" max="6645" width="24.42578125" style="2006" bestFit="1" customWidth="1"/>
    <col min="6646" max="6646" width="8.5703125" style="2006" customWidth="1"/>
    <col min="6647" max="6647" width="11.42578125" style="2006" customWidth="1"/>
    <col min="6648" max="6648" width="15.5703125" style="2006" customWidth="1"/>
    <col min="6649" max="6649" width="15.85546875" style="2006" customWidth="1"/>
    <col min="6650" max="6650" width="15.42578125" style="2006" bestFit="1" customWidth="1"/>
    <col min="6651" max="6651" width="19.42578125" style="2006" bestFit="1" customWidth="1"/>
    <col min="6652" max="6652" width="15" style="2006" bestFit="1" customWidth="1"/>
    <col min="6653" max="6654" width="12" style="2006" bestFit="1" customWidth="1"/>
    <col min="6655" max="6655" width="8.85546875" style="2006" bestFit="1" customWidth="1"/>
    <col min="6656" max="6899" width="8.85546875" style="2006"/>
    <col min="6900" max="6900" width="11.42578125" style="2006" customWidth="1"/>
    <col min="6901" max="6901" width="24.42578125" style="2006" bestFit="1" customWidth="1"/>
    <col min="6902" max="6902" width="8.5703125" style="2006" customWidth="1"/>
    <col min="6903" max="6903" width="11.42578125" style="2006" customWidth="1"/>
    <col min="6904" max="6904" width="15.5703125" style="2006" customWidth="1"/>
    <col min="6905" max="6905" width="15.85546875" style="2006" customWidth="1"/>
    <col min="6906" max="6906" width="15.42578125" style="2006" bestFit="1" customWidth="1"/>
    <col min="6907" max="6907" width="19.42578125" style="2006" bestFit="1" customWidth="1"/>
    <col min="6908" max="6908" width="15" style="2006" bestFit="1" customWidth="1"/>
    <col min="6909" max="6910" width="12" style="2006" bestFit="1" customWidth="1"/>
    <col min="6911" max="6911" width="8.85546875" style="2006" bestFit="1" customWidth="1"/>
    <col min="6912" max="7155" width="8.85546875" style="2006"/>
    <col min="7156" max="7156" width="11.42578125" style="2006" customWidth="1"/>
    <col min="7157" max="7157" width="24.42578125" style="2006" bestFit="1" customWidth="1"/>
    <col min="7158" max="7158" width="8.5703125" style="2006" customWidth="1"/>
    <col min="7159" max="7159" width="11.42578125" style="2006" customWidth="1"/>
    <col min="7160" max="7160" width="15.5703125" style="2006" customWidth="1"/>
    <col min="7161" max="7161" width="15.85546875" style="2006" customWidth="1"/>
    <col min="7162" max="7162" width="15.42578125" style="2006" bestFit="1" customWidth="1"/>
    <col min="7163" max="7163" width="19.42578125" style="2006" bestFit="1" customWidth="1"/>
    <col min="7164" max="7164" width="15" style="2006" bestFit="1" customWidth="1"/>
    <col min="7165" max="7166" width="12" style="2006" bestFit="1" customWidth="1"/>
    <col min="7167" max="7167" width="8.85546875" style="2006" bestFit="1" customWidth="1"/>
    <col min="7168" max="7411" width="8.85546875" style="2006"/>
    <col min="7412" max="7412" width="11.42578125" style="2006" customWidth="1"/>
    <col min="7413" max="7413" width="24.42578125" style="2006" bestFit="1" customWidth="1"/>
    <col min="7414" max="7414" width="8.5703125" style="2006" customWidth="1"/>
    <col min="7415" max="7415" width="11.42578125" style="2006" customWidth="1"/>
    <col min="7416" max="7416" width="15.5703125" style="2006" customWidth="1"/>
    <col min="7417" max="7417" width="15.85546875" style="2006" customWidth="1"/>
    <col min="7418" max="7418" width="15.42578125" style="2006" bestFit="1" customWidth="1"/>
    <col min="7419" max="7419" width="19.42578125" style="2006" bestFit="1" customWidth="1"/>
    <col min="7420" max="7420" width="15" style="2006" bestFit="1" customWidth="1"/>
    <col min="7421" max="7422" width="12" style="2006" bestFit="1" customWidth="1"/>
    <col min="7423" max="7423" width="8.85546875" style="2006" bestFit="1" customWidth="1"/>
    <col min="7424" max="7667" width="8.85546875" style="2006"/>
    <col min="7668" max="7668" width="11.42578125" style="2006" customWidth="1"/>
    <col min="7669" max="7669" width="24.42578125" style="2006" bestFit="1" customWidth="1"/>
    <col min="7670" max="7670" width="8.5703125" style="2006" customWidth="1"/>
    <col min="7671" max="7671" width="11.42578125" style="2006" customWidth="1"/>
    <col min="7672" max="7672" width="15.5703125" style="2006" customWidth="1"/>
    <col min="7673" max="7673" width="15.85546875" style="2006" customWidth="1"/>
    <col min="7674" max="7674" width="15.42578125" style="2006" bestFit="1" customWidth="1"/>
    <col min="7675" max="7675" width="19.42578125" style="2006" bestFit="1" customWidth="1"/>
    <col min="7676" max="7676" width="15" style="2006" bestFit="1" customWidth="1"/>
    <col min="7677" max="7678" width="12" style="2006" bestFit="1" customWidth="1"/>
    <col min="7679" max="7679" width="8.85546875" style="2006" bestFit="1" customWidth="1"/>
    <col min="7680" max="7923" width="8.85546875" style="2006"/>
    <col min="7924" max="7924" width="11.42578125" style="2006" customWidth="1"/>
    <col min="7925" max="7925" width="24.42578125" style="2006" bestFit="1" customWidth="1"/>
    <col min="7926" max="7926" width="8.5703125" style="2006" customWidth="1"/>
    <col min="7927" max="7927" width="11.42578125" style="2006" customWidth="1"/>
    <col min="7928" max="7928" width="15.5703125" style="2006" customWidth="1"/>
    <col min="7929" max="7929" width="15.85546875" style="2006" customWidth="1"/>
    <col min="7930" max="7930" width="15.42578125" style="2006" bestFit="1" customWidth="1"/>
    <col min="7931" max="7931" width="19.42578125" style="2006" bestFit="1" customWidth="1"/>
    <col min="7932" max="7932" width="15" style="2006" bestFit="1" customWidth="1"/>
    <col min="7933" max="7934" width="12" style="2006" bestFit="1" customWidth="1"/>
    <col min="7935" max="7935" width="8.85546875" style="2006" bestFit="1" customWidth="1"/>
    <col min="7936" max="8179" width="8.85546875" style="2006"/>
    <col min="8180" max="8180" width="11.42578125" style="2006" customWidth="1"/>
    <col min="8181" max="8181" width="24.42578125" style="2006" bestFit="1" customWidth="1"/>
    <col min="8182" max="8182" width="8.5703125" style="2006" customWidth="1"/>
    <col min="8183" max="8183" width="11.42578125" style="2006" customWidth="1"/>
    <col min="8184" max="8184" width="15.5703125" style="2006" customWidth="1"/>
    <col min="8185" max="8185" width="15.85546875" style="2006" customWidth="1"/>
    <col min="8186" max="8186" width="15.42578125" style="2006" bestFit="1" customWidth="1"/>
    <col min="8187" max="8187" width="19.42578125" style="2006" bestFit="1" customWidth="1"/>
    <col min="8188" max="8188" width="15" style="2006" bestFit="1" customWidth="1"/>
    <col min="8189" max="8190" width="12" style="2006" bestFit="1" customWidth="1"/>
    <col min="8191" max="8191" width="8.85546875" style="2006" bestFit="1" customWidth="1"/>
    <col min="8192" max="8435" width="8.85546875" style="2006"/>
    <col min="8436" max="8436" width="11.42578125" style="2006" customWidth="1"/>
    <col min="8437" max="8437" width="24.42578125" style="2006" bestFit="1" customWidth="1"/>
    <col min="8438" max="8438" width="8.5703125" style="2006" customWidth="1"/>
    <col min="8439" max="8439" width="11.42578125" style="2006" customWidth="1"/>
    <col min="8440" max="8440" width="15.5703125" style="2006" customWidth="1"/>
    <col min="8441" max="8441" width="15.85546875" style="2006" customWidth="1"/>
    <col min="8442" max="8442" width="15.42578125" style="2006" bestFit="1" customWidth="1"/>
    <col min="8443" max="8443" width="19.42578125" style="2006" bestFit="1" customWidth="1"/>
    <col min="8444" max="8444" width="15" style="2006" bestFit="1" customWidth="1"/>
    <col min="8445" max="8446" width="12" style="2006" bestFit="1" customWidth="1"/>
    <col min="8447" max="8447" width="8.85546875" style="2006" bestFit="1" customWidth="1"/>
    <col min="8448" max="8691" width="8.85546875" style="2006"/>
    <col min="8692" max="8692" width="11.42578125" style="2006" customWidth="1"/>
    <col min="8693" max="8693" width="24.42578125" style="2006" bestFit="1" customWidth="1"/>
    <col min="8694" max="8694" width="8.5703125" style="2006" customWidth="1"/>
    <col min="8695" max="8695" width="11.42578125" style="2006" customWidth="1"/>
    <col min="8696" max="8696" width="15.5703125" style="2006" customWidth="1"/>
    <col min="8697" max="8697" width="15.85546875" style="2006" customWidth="1"/>
    <col min="8698" max="8698" width="15.42578125" style="2006" bestFit="1" customWidth="1"/>
    <col min="8699" max="8699" width="19.42578125" style="2006" bestFit="1" customWidth="1"/>
    <col min="8700" max="8700" width="15" style="2006" bestFit="1" customWidth="1"/>
    <col min="8701" max="8702" width="12" style="2006" bestFit="1" customWidth="1"/>
    <col min="8703" max="8703" width="8.85546875" style="2006" bestFit="1" customWidth="1"/>
    <col min="8704" max="8947" width="8.85546875" style="2006"/>
    <col min="8948" max="8948" width="11.42578125" style="2006" customWidth="1"/>
    <col min="8949" max="8949" width="24.42578125" style="2006" bestFit="1" customWidth="1"/>
    <col min="8950" max="8950" width="8.5703125" style="2006" customWidth="1"/>
    <col min="8951" max="8951" width="11.42578125" style="2006" customWidth="1"/>
    <col min="8952" max="8952" width="15.5703125" style="2006" customWidth="1"/>
    <col min="8953" max="8953" width="15.85546875" style="2006" customWidth="1"/>
    <col min="8954" max="8954" width="15.42578125" style="2006" bestFit="1" customWidth="1"/>
    <col min="8955" max="8955" width="19.42578125" style="2006" bestFit="1" customWidth="1"/>
    <col min="8956" max="8956" width="15" style="2006" bestFit="1" customWidth="1"/>
    <col min="8957" max="8958" width="12" style="2006" bestFit="1" customWidth="1"/>
    <col min="8959" max="8959" width="8.85546875" style="2006" bestFit="1" customWidth="1"/>
    <col min="8960" max="9203" width="8.85546875" style="2006"/>
    <col min="9204" max="9204" width="11.42578125" style="2006" customWidth="1"/>
    <col min="9205" max="9205" width="24.42578125" style="2006" bestFit="1" customWidth="1"/>
    <col min="9206" max="9206" width="8.5703125" style="2006" customWidth="1"/>
    <col min="9207" max="9207" width="11.42578125" style="2006" customWidth="1"/>
    <col min="9208" max="9208" width="15.5703125" style="2006" customWidth="1"/>
    <col min="9209" max="9209" width="15.85546875" style="2006" customWidth="1"/>
    <col min="9210" max="9210" width="15.42578125" style="2006" bestFit="1" customWidth="1"/>
    <col min="9211" max="9211" width="19.42578125" style="2006" bestFit="1" customWidth="1"/>
    <col min="9212" max="9212" width="15" style="2006" bestFit="1" customWidth="1"/>
    <col min="9213" max="9214" width="12" style="2006" bestFit="1" customWidth="1"/>
    <col min="9215" max="9215" width="8.85546875" style="2006" bestFit="1" customWidth="1"/>
    <col min="9216" max="9459" width="8.85546875" style="2006"/>
    <col min="9460" max="9460" width="11.42578125" style="2006" customWidth="1"/>
    <col min="9461" max="9461" width="24.42578125" style="2006" bestFit="1" customWidth="1"/>
    <col min="9462" max="9462" width="8.5703125" style="2006" customWidth="1"/>
    <col min="9463" max="9463" width="11.42578125" style="2006" customWidth="1"/>
    <col min="9464" max="9464" width="15.5703125" style="2006" customWidth="1"/>
    <col min="9465" max="9465" width="15.85546875" style="2006" customWidth="1"/>
    <col min="9466" max="9466" width="15.42578125" style="2006" bestFit="1" customWidth="1"/>
    <col min="9467" max="9467" width="19.42578125" style="2006" bestFit="1" customWidth="1"/>
    <col min="9468" max="9468" width="15" style="2006" bestFit="1" customWidth="1"/>
    <col min="9469" max="9470" width="12" style="2006" bestFit="1" customWidth="1"/>
    <col min="9471" max="9471" width="8.85546875" style="2006" bestFit="1" customWidth="1"/>
    <col min="9472" max="9715" width="8.85546875" style="2006"/>
    <col min="9716" max="9716" width="11.42578125" style="2006" customWidth="1"/>
    <col min="9717" max="9717" width="24.42578125" style="2006" bestFit="1" customWidth="1"/>
    <col min="9718" max="9718" width="8.5703125" style="2006" customWidth="1"/>
    <col min="9719" max="9719" width="11.42578125" style="2006" customWidth="1"/>
    <col min="9720" max="9720" width="15.5703125" style="2006" customWidth="1"/>
    <col min="9721" max="9721" width="15.85546875" style="2006" customWidth="1"/>
    <col min="9722" max="9722" width="15.42578125" style="2006" bestFit="1" customWidth="1"/>
    <col min="9723" max="9723" width="19.42578125" style="2006" bestFit="1" customWidth="1"/>
    <col min="9724" max="9724" width="15" style="2006" bestFit="1" customWidth="1"/>
    <col min="9725" max="9726" width="12" style="2006" bestFit="1" customWidth="1"/>
    <col min="9727" max="9727" width="8.85546875" style="2006" bestFit="1" customWidth="1"/>
    <col min="9728" max="9971" width="8.85546875" style="2006"/>
    <col min="9972" max="9972" width="11.42578125" style="2006" customWidth="1"/>
    <col min="9973" max="9973" width="24.42578125" style="2006" bestFit="1" customWidth="1"/>
    <col min="9974" max="9974" width="8.5703125" style="2006" customWidth="1"/>
    <col min="9975" max="9975" width="11.42578125" style="2006" customWidth="1"/>
    <col min="9976" max="9976" width="15.5703125" style="2006" customWidth="1"/>
    <col min="9977" max="9977" width="15.85546875" style="2006" customWidth="1"/>
    <col min="9978" max="9978" width="15.42578125" style="2006" bestFit="1" customWidth="1"/>
    <col min="9979" max="9979" width="19.42578125" style="2006" bestFit="1" customWidth="1"/>
    <col min="9980" max="9980" width="15" style="2006" bestFit="1" customWidth="1"/>
    <col min="9981" max="9982" width="12" style="2006" bestFit="1" customWidth="1"/>
    <col min="9983" max="9983" width="8.85546875" style="2006" bestFit="1" customWidth="1"/>
    <col min="9984" max="10227" width="8.85546875" style="2006"/>
    <col min="10228" max="10228" width="11.42578125" style="2006" customWidth="1"/>
    <col min="10229" max="10229" width="24.42578125" style="2006" bestFit="1" customWidth="1"/>
    <col min="10230" max="10230" width="8.5703125" style="2006" customWidth="1"/>
    <col min="10231" max="10231" width="11.42578125" style="2006" customWidth="1"/>
    <col min="10232" max="10232" width="15.5703125" style="2006" customWidth="1"/>
    <col min="10233" max="10233" width="15.85546875" style="2006" customWidth="1"/>
    <col min="10234" max="10234" width="15.42578125" style="2006" bestFit="1" customWidth="1"/>
    <col min="10235" max="10235" width="19.42578125" style="2006" bestFit="1" customWidth="1"/>
    <col min="10236" max="10236" width="15" style="2006" bestFit="1" customWidth="1"/>
    <col min="10237" max="10238" width="12" style="2006" bestFit="1" customWidth="1"/>
    <col min="10239" max="10239" width="8.85546875" style="2006" bestFit="1" customWidth="1"/>
    <col min="10240" max="10483" width="8.85546875" style="2006"/>
    <col min="10484" max="10484" width="11.42578125" style="2006" customWidth="1"/>
    <col min="10485" max="10485" width="24.42578125" style="2006" bestFit="1" customWidth="1"/>
    <col min="10486" max="10486" width="8.5703125" style="2006" customWidth="1"/>
    <col min="10487" max="10487" width="11.42578125" style="2006" customWidth="1"/>
    <col min="10488" max="10488" width="15.5703125" style="2006" customWidth="1"/>
    <col min="10489" max="10489" width="15.85546875" style="2006" customWidth="1"/>
    <col min="10490" max="10490" width="15.42578125" style="2006" bestFit="1" customWidth="1"/>
    <col min="10491" max="10491" width="19.42578125" style="2006" bestFit="1" customWidth="1"/>
    <col min="10492" max="10492" width="15" style="2006" bestFit="1" customWidth="1"/>
    <col min="10493" max="10494" width="12" style="2006" bestFit="1" customWidth="1"/>
    <col min="10495" max="10495" width="8.85546875" style="2006" bestFit="1" customWidth="1"/>
    <col min="10496" max="10739" width="8.85546875" style="2006"/>
    <col min="10740" max="10740" width="11.42578125" style="2006" customWidth="1"/>
    <col min="10741" max="10741" width="24.42578125" style="2006" bestFit="1" customWidth="1"/>
    <col min="10742" max="10742" width="8.5703125" style="2006" customWidth="1"/>
    <col min="10743" max="10743" width="11.42578125" style="2006" customWidth="1"/>
    <col min="10744" max="10744" width="15.5703125" style="2006" customWidth="1"/>
    <col min="10745" max="10745" width="15.85546875" style="2006" customWidth="1"/>
    <col min="10746" max="10746" width="15.42578125" style="2006" bestFit="1" customWidth="1"/>
    <col min="10747" max="10747" width="19.42578125" style="2006" bestFit="1" customWidth="1"/>
    <col min="10748" max="10748" width="15" style="2006" bestFit="1" customWidth="1"/>
    <col min="10749" max="10750" width="12" style="2006" bestFit="1" customWidth="1"/>
    <col min="10751" max="10751" width="8.85546875" style="2006" bestFit="1" customWidth="1"/>
    <col min="10752" max="10995" width="8.85546875" style="2006"/>
    <col min="10996" max="10996" width="11.42578125" style="2006" customWidth="1"/>
    <col min="10997" max="10997" width="24.42578125" style="2006" bestFit="1" customWidth="1"/>
    <col min="10998" max="10998" width="8.5703125" style="2006" customWidth="1"/>
    <col min="10999" max="10999" width="11.42578125" style="2006" customWidth="1"/>
    <col min="11000" max="11000" width="15.5703125" style="2006" customWidth="1"/>
    <col min="11001" max="11001" width="15.85546875" style="2006" customWidth="1"/>
    <col min="11002" max="11002" width="15.42578125" style="2006" bestFit="1" customWidth="1"/>
    <col min="11003" max="11003" width="19.42578125" style="2006" bestFit="1" customWidth="1"/>
    <col min="11004" max="11004" width="15" style="2006" bestFit="1" customWidth="1"/>
    <col min="11005" max="11006" width="12" style="2006" bestFit="1" customWidth="1"/>
    <col min="11007" max="11007" width="8.85546875" style="2006" bestFit="1" customWidth="1"/>
    <col min="11008" max="11251" width="8.85546875" style="2006"/>
    <col min="11252" max="11252" width="11.42578125" style="2006" customWidth="1"/>
    <col min="11253" max="11253" width="24.42578125" style="2006" bestFit="1" customWidth="1"/>
    <col min="11254" max="11254" width="8.5703125" style="2006" customWidth="1"/>
    <col min="11255" max="11255" width="11.42578125" style="2006" customWidth="1"/>
    <col min="11256" max="11256" width="15.5703125" style="2006" customWidth="1"/>
    <col min="11257" max="11257" width="15.85546875" style="2006" customWidth="1"/>
    <col min="11258" max="11258" width="15.42578125" style="2006" bestFit="1" customWidth="1"/>
    <col min="11259" max="11259" width="19.42578125" style="2006" bestFit="1" customWidth="1"/>
    <col min="11260" max="11260" width="15" style="2006" bestFit="1" customWidth="1"/>
    <col min="11261" max="11262" width="12" style="2006" bestFit="1" customWidth="1"/>
    <col min="11263" max="11263" width="8.85546875" style="2006" bestFit="1" customWidth="1"/>
    <col min="11264" max="11507" width="8.85546875" style="2006"/>
    <col min="11508" max="11508" width="11.42578125" style="2006" customWidth="1"/>
    <col min="11509" max="11509" width="24.42578125" style="2006" bestFit="1" customWidth="1"/>
    <col min="11510" max="11510" width="8.5703125" style="2006" customWidth="1"/>
    <col min="11511" max="11511" width="11.42578125" style="2006" customWidth="1"/>
    <col min="11512" max="11512" width="15.5703125" style="2006" customWidth="1"/>
    <col min="11513" max="11513" width="15.85546875" style="2006" customWidth="1"/>
    <col min="11514" max="11514" width="15.42578125" style="2006" bestFit="1" customWidth="1"/>
    <col min="11515" max="11515" width="19.42578125" style="2006" bestFit="1" customWidth="1"/>
    <col min="11516" max="11516" width="15" style="2006" bestFit="1" customWidth="1"/>
    <col min="11517" max="11518" width="12" style="2006" bestFit="1" customWidth="1"/>
    <col min="11519" max="11519" width="8.85546875" style="2006" bestFit="1" customWidth="1"/>
    <col min="11520" max="11763" width="8.85546875" style="2006"/>
    <col min="11764" max="11764" width="11.42578125" style="2006" customWidth="1"/>
    <col min="11765" max="11765" width="24.42578125" style="2006" bestFit="1" customWidth="1"/>
    <col min="11766" max="11766" width="8.5703125" style="2006" customWidth="1"/>
    <col min="11767" max="11767" width="11.42578125" style="2006" customWidth="1"/>
    <col min="11768" max="11768" width="15.5703125" style="2006" customWidth="1"/>
    <col min="11769" max="11769" width="15.85546875" style="2006" customWidth="1"/>
    <col min="11770" max="11770" width="15.42578125" style="2006" bestFit="1" customWidth="1"/>
    <col min="11771" max="11771" width="19.42578125" style="2006" bestFit="1" customWidth="1"/>
    <col min="11772" max="11772" width="15" style="2006" bestFit="1" customWidth="1"/>
    <col min="11773" max="11774" width="12" style="2006" bestFit="1" customWidth="1"/>
    <col min="11775" max="11775" width="8.85546875" style="2006" bestFit="1" customWidth="1"/>
    <col min="11776" max="12019" width="8.85546875" style="2006"/>
    <col min="12020" max="12020" width="11.42578125" style="2006" customWidth="1"/>
    <col min="12021" max="12021" width="24.42578125" style="2006" bestFit="1" customWidth="1"/>
    <col min="12022" max="12022" width="8.5703125" style="2006" customWidth="1"/>
    <col min="12023" max="12023" width="11.42578125" style="2006" customWidth="1"/>
    <col min="12024" max="12024" width="15.5703125" style="2006" customWidth="1"/>
    <col min="12025" max="12025" width="15.85546875" style="2006" customWidth="1"/>
    <col min="12026" max="12026" width="15.42578125" style="2006" bestFit="1" customWidth="1"/>
    <col min="12027" max="12027" width="19.42578125" style="2006" bestFit="1" customWidth="1"/>
    <col min="12028" max="12028" width="15" style="2006" bestFit="1" customWidth="1"/>
    <col min="12029" max="12030" width="12" style="2006" bestFit="1" customWidth="1"/>
    <col min="12031" max="12031" width="8.85546875" style="2006" bestFit="1" customWidth="1"/>
    <col min="12032" max="12275" width="8.85546875" style="2006"/>
    <col min="12276" max="12276" width="11.42578125" style="2006" customWidth="1"/>
    <col min="12277" max="12277" width="24.42578125" style="2006" bestFit="1" customWidth="1"/>
    <col min="12278" max="12278" width="8.5703125" style="2006" customWidth="1"/>
    <col min="12279" max="12279" width="11.42578125" style="2006" customWidth="1"/>
    <col min="12280" max="12280" width="15.5703125" style="2006" customWidth="1"/>
    <col min="12281" max="12281" width="15.85546875" style="2006" customWidth="1"/>
    <col min="12282" max="12282" width="15.42578125" style="2006" bestFit="1" customWidth="1"/>
    <col min="12283" max="12283" width="19.42578125" style="2006" bestFit="1" customWidth="1"/>
    <col min="12284" max="12284" width="15" style="2006" bestFit="1" customWidth="1"/>
    <col min="12285" max="12286" width="12" style="2006" bestFit="1" customWidth="1"/>
    <col min="12287" max="12287" width="8.85546875" style="2006" bestFit="1" customWidth="1"/>
    <col min="12288" max="12531" width="8.85546875" style="2006"/>
    <col min="12532" max="12532" width="11.42578125" style="2006" customWidth="1"/>
    <col min="12533" max="12533" width="24.42578125" style="2006" bestFit="1" customWidth="1"/>
    <col min="12534" max="12534" width="8.5703125" style="2006" customWidth="1"/>
    <col min="12535" max="12535" width="11.42578125" style="2006" customWidth="1"/>
    <col min="12536" max="12536" width="15.5703125" style="2006" customWidth="1"/>
    <col min="12537" max="12537" width="15.85546875" style="2006" customWidth="1"/>
    <col min="12538" max="12538" width="15.42578125" style="2006" bestFit="1" customWidth="1"/>
    <col min="12539" max="12539" width="19.42578125" style="2006" bestFit="1" customWidth="1"/>
    <col min="12540" max="12540" width="15" style="2006" bestFit="1" customWidth="1"/>
    <col min="12541" max="12542" width="12" style="2006" bestFit="1" customWidth="1"/>
    <col min="12543" max="12543" width="8.85546875" style="2006" bestFit="1" customWidth="1"/>
    <col min="12544" max="12787" width="8.85546875" style="2006"/>
    <col min="12788" max="12788" width="11.42578125" style="2006" customWidth="1"/>
    <col min="12789" max="12789" width="24.42578125" style="2006" bestFit="1" customWidth="1"/>
    <col min="12790" max="12790" width="8.5703125" style="2006" customWidth="1"/>
    <col min="12791" max="12791" width="11.42578125" style="2006" customWidth="1"/>
    <col min="12792" max="12792" width="15.5703125" style="2006" customWidth="1"/>
    <col min="12793" max="12793" width="15.85546875" style="2006" customWidth="1"/>
    <col min="12794" max="12794" width="15.42578125" style="2006" bestFit="1" customWidth="1"/>
    <col min="12795" max="12795" width="19.42578125" style="2006" bestFit="1" customWidth="1"/>
    <col min="12796" max="12796" width="15" style="2006" bestFit="1" customWidth="1"/>
    <col min="12797" max="12798" width="12" style="2006" bestFit="1" customWidth="1"/>
    <col min="12799" max="12799" width="8.85546875" style="2006" bestFit="1" customWidth="1"/>
    <col min="12800" max="13043" width="8.85546875" style="2006"/>
    <col min="13044" max="13044" width="11.42578125" style="2006" customWidth="1"/>
    <col min="13045" max="13045" width="24.42578125" style="2006" bestFit="1" customWidth="1"/>
    <col min="13046" max="13046" width="8.5703125" style="2006" customWidth="1"/>
    <col min="13047" max="13047" width="11.42578125" style="2006" customWidth="1"/>
    <col min="13048" max="13048" width="15.5703125" style="2006" customWidth="1"/>
    <col min="13049" max="13049" width="15.85546875" style="2006" customWidth="1"/>
    <col min="13050" max="13050" width="15.42578125" style="2006" bestFit="1" customWidth="1"/>
    <col min="13051" max="13051" width="19.42578125" style="2006" bestFit="1" customWidth="1"/>
    <col min="13052" max="13052" width="15" style="2006" bestFit="1" customWidth="1"/>
    <col min="13053" max="13054" width="12" style="2006" bestFit="1" customWidth="1"/>
    <col min="13055" max="13055" width="8.85546875" style="2006" bestFit="1" customWidth="1"/>
    <col min="13056" max="13299" width="8.85546875" style="2006"/>
    <col min="13300" max="13300" width="11.42578125" style="2006" customWidth="1"/>
    <col min="13301" max="13301" width="24.42578125" style="2006" bestFit="1" customWidth="1"/>
    <col min="13302" max="13302" width="8.5703125" style="2006" customWidth="1"/>
    <col min="13303" max="13303" width="11.42578125" style="2006" customWidth="1"/>
    <col min="13304" max="13304" width="15.5703125" style="2006" customWidth="1"/>
    <col min="13305" max="13305" width="15.85546875" style="2006" customWidth="1"/>
    <col min="13306" max="13306" width="15.42578125" style="2006" bestFit="1" customWidth="1"/>
    <col min="13307" max="13307" width="19.42578125" style="2006" bestFit="1" customWidth="1"/>
    <col min="13308" max="13308" width="15" style="2006" bestFit="1" customWidth="1"/>
    <col min="13309" max="13310" width="12" style="2006" bestFit="1" customWidth="1"/>
    <col min="13311" max="13311" width="8.85546875" style="2006" bestFit="1" customWidth="1"/>
    <col min="13312" max="13555" width="8.85546875" style="2006"/>
    <col min="13556" max="13556" width="11.42578125" style="2006" customWidth="1"/>
    <col min="13557" max="13557" width="24.42578125" style="2006" bestFit="1" customWidth="1"/>
    <col min="13558" max="13558" width="8.5703125" style="2006" customWidth="1"/>
    <col min="13559" max="13559" width="11.42578125" style="2006" customWidth="1"/>
    <col min="13560" max="13560" width="15.5703125" style="2006" customWidth="1"/>
    <col min="13561" max="13561" width="15.85546875" style="2006" customWidth="1"/>
    <col min="13562" max="13562" width="15.42578125" style="2006" bestFit="1" customWidth="1"/>
    <col min="13563" max="13563" width="19.42578125" style="2006" bestFit="1" customWidth="1"/>
    <col min="13564" max="13564" width="15" style="2006" bestFit="1" customWidth="1"/>
    <col min="13565" max="13566" width="12" style="2006" bestFit="1" customWidth="1"/>
    <col min="13567" max="13567" width="8.85546875" style="2006" bestFit="1" customWidth="1"/>
    <col min="13568" max="13811" width="8.85546875" style="2006"/>
    <col min="13812" max="13812" width="11.42578125" style="2006" customWidth="1"/>
    <col min="13813" max="13813" width="24.42578125" style="2006" bestFit="1" customWidth="1"/>
    <col min="13814" max="13814" width="8.5703125" style="2006" customWidth="1"/>
    <col min="13815" max="13815" width="11.42578125" style="2006" customWidth="1"/>
    <col min="13816" max="13816" width="15.5703125" style="2006" customWidth="1"/>
    <col min="13817" max="13817" width="15.85546875" style="2006" customWidth="1"/>
    <col min="13818" max="13818" width="15.42578125" style="2006" bestFit="1" customWidth="1"/>
    <col min="13819" max="13819" width="19.42578125" style="2006" bestFit="1" customWidth="1"/>
    <col min="13820" max="13820" width="15" style="2006" bestFit="1" customWidth="1"/>
    <col min="13821" max="13822" width="12" style="2006" bestFit="1" customWidth="1"/>
    <col min="13823" max="13823" width="8.85546875" style="2006" bestFit="1" customWidth="1"/>
    <col min="13824" max="14067" width="8.85546875" style="2006"/>
    <col min="14068" max="14068" width="11.42578125" style="2006" customWidth="1"/>
    <col min="14069" max="14069" width="24.42578125" style="2006" bestFit="1" customWidth="1"/>
    <col min="14070" max="14070" width="8.5703125" style="2006" customWidth="1"/>
    <col min="14071" max="14071" width="11.42578125" style="2006" customWidth="1"/>
    <col min="14072" max="14072" width="15.5703125" style="2006" customWidth="1"/>
    <col min="14073" max="14073" width="15.85546875" style="2006" customWidth="1"/>
    <col min="14074" max="14074" width="15.42578125" style="2006" bestFit="1" customWidth="1"/>
    <col min="14075" max="14075" width="19.42578125" style="2006" bestFit="1" customWidth="1"/>
    <col min="14076" max="14076" width="15" style="2006" bestFit="1" customWidth="1"/>
    <col min="14077" max="14078" width="12" style="2006" bestFit="1" customWidth="1"/>
    <col min="14079" max="14079" width="8.85546875" style="2006" bestFit="1" customWidth="1"/>
    <col min="14080" max="14323" width="8.85546875" style="2006"/>
    <col min="14324" max="14324" width="11.42578125" style="2006" customWidth="1"/>
    <col min="14325" max="14325" width="24.42578125" style="2006" bestFit="1" customWidth="1"/>
    <col min="14326" max="14326" width="8.5703125" style="2006" customWidth="1"/>
    <col min="14327" max="14327" width="11.42578125" style="2006" customWidth="1"/>
    <col min="14328" max="14328" width="15.5703125" style="2006" customWidth="1"/>
    <col min="14329" max="14329" width="15.85546875" style="2006" customWidth="1"/>
    <col min="14330" max="14330" width="15.42578125" style="2006" bestFit="1" customWidth="1"/>
    <col min="14331" max="14331" width="19.42578125" style="2006" bestFit="1" customWidth="1"/>
    <col min="14332" max="14332" width="15" style="2006" bestFit="1" customWidth="1"/>
    <col min="14333" max="14334" width="12" style="2006" bestFit="1" customWidth="1"/>
    <col min="14335" max="14335" width="8.85546875" style="2006" bestFit="1" customWidth="1"/>
    <col min="14336" max="14579" width="8.85546875" style="2006"/>
    <col min="14580" max="14580" width="11.42578125" style="2006" customWidth="1"/>
    <col min="14581" max="14581" width="24.42578125" style="2006" bestFit="1" customWidth="1"/>
    <col min="14582" max="14582" width="8.5703125" style="2006" customWidth="1"/>
    <col min="14583" max="14583" width="11.42578125" style="2006" customWidth="1"/>
    <col min="14584" max="14584" width="15.5703125" style="2006" customWidth="1"/>
    <col min="14585" max="14585" width="15.85546875" style="2006" customWidth="1"/>
    <col min="14586" max="14586" width="15.42578125" style="2006" bestFit="1" customWidth="1"/>
    <col min="14587" max="14587" width="19.42578125" style="2006" bestFit="1" customWidth="1"/>
    <col min="14588" max="14588" width="15" style="2006" bestFit="1" customWidth="1"/>
    <col min="14589" max="14590" width="12" style="2006" bestFit="1" customWidth="1"/>
    <col min="14591" max="14591" width="8.85546875" style="2006" bestFit="1" customWidth="1"/>
    <col min="14592" max="14835" width="8.85546875" style="2006"/>
    <col min="14836" max="14836" width="11.42578125" style="2006" customWidth="1"/>
    <col min="14837" max="14837" width="24.42578125" style="2006" bestFit="1" customWidth="1"/>
    <col min="14838" max="14838" width="8.5703125" style="2006" customWidth="1"/>
    <col min="14839" max="14839" width="11.42578125" style="2006" customWidth="1"/>
    <col min="14840" max="14840" width="15.5703125" style="2006" customWidth="1"/>
    <col min="14841" max="14841" width="15.85546875" style="2006" customWidth="1"/>
    <col min="14842" max="14842" width="15.42578125" style="2006" bestFit="1" customWidth="1"/>
    <col min="14843" max="14843" width="19.42578125" style="2006" bestFit="1" customWidth="1"/>
    <col min="14844" max="14844" width="15" style="2006" bestFit="1" customWidth="1"/>
    <col min="14845" max="14846" width="12" style="2006" bestFit="1" customWidth="1"/>
    <col min="14847" max="14847" width="8.85546875" style="2006" bestFit="1" customWidth="1"/>
    <col min="14848" max="15091" width="8.85546875" style="2006"/>
    <col min="15092" max="15092" width="11.42578125" style="2006" customWidth="1"/>
    <col min="15093" max="15093" width="24.42578125" style="2006" bestFit="1" customWidth="1"/>
    <col min="15094" max="15094" width="8.5703125" style="2006" customWidth="1"/>
    <col min="15095" max="15095" width="11.42578125" style="2006" customWidth="1"/>
    <col min="15096" max="15096" width="15.5703125" style="2006" customWidth="1"/>
    <col min="15097" max="15097" width="15.85546875" style="2006" customWidth="1"/>
    <col min="15098" max="15098" width="15.42578125" style="2006" bestFit="1" customWidth="1"/>
    <col min="15099" max="15099" width="19.42578125" style="2006" bestFit="1" customWidth="1"/>
    <col min="15100" max="15100" width="15" style="2006" bestFit="1" customWidth="1"/>
    <col min="15101" max="15102" width="12" style="2006" bestFit="1" customWidth="1"/>
    <col min="15103" max="15103" width="8.85546875" style="2006" bestFit="1" customWidth="1"/>
    <col min="15104" max="15347" width="8.85546875" style="2006"/>
    <col min="15348" max="15348" width="11.42578125" style="2006" customWidth="1"/>
    <col min="15349" max="15349" width="24.42578125" style="2006" bestFit="1" customWidth="1"/>
    <col min="15350" max="15350" width="8.5703125" style="2006" customWidth="1"/>
    <col min="15351" max="15351" width="11.42578125" style="2006" customWidth="1"/>
    <col min="15352" max="15352" width="15.5703125" style="2006" customWidth="1"/>
    <col min="15353" max="15353" width="15.85546875" style="2006" customWidth="1"/>
    <col min="15354" max="15354" width="15.42578125" style="2006" bestFit="1" customWidth="1"/>
    <col min="15355" max="15355" width="19.42578125" style="2006" bestFit="1" customWidth="1"/>
    <col min="15356" max="15356" width="15" style="2006" bestFit="1" customWidth="1"/>
    <col min="15357" max="15358" width="12" style="2006" bestFit="1" customWidth="1"/>
    <col min="15359" max="15359" width="8.85546875" style="2006" bestFit="1" customWidth="1"/>
    <col min="15360" max="15603" width="8.85546875" style="2006"/>
    <col min="15604" max="15604" width="11.42578125" style="2006" customWidth="1"/>
    <col min="15605" max="15605" width="24.42578125" style="2006" bestFit="1" customWidth="1"/>
    <col min="15606" max="15606" width="8.5703125" style="2006" customWidth="1"/>
    <col min="15607" max="15607" width="11.42578125" style="2006" customWidth="1"/>
    <col min="15608" max="15608" width="15.5703125" style="2006" customWidth="1"/>
    <col min="15609" max="15609" width="15.85546875" style="2006" customWidth="1"/>
    <col min="15610" max="15610" width="15.42578125" style="2006" bestFit="1" customWidth="1"/>
    <col min="15611" max="15611" width="19.42578125" style="2006" bestFit="1" customWidth="1"/>
    <col min="15612" max="15612" width="15" style="2006" bestFit="1" customWidth="1"/>
    <col min="15613" max="15614" width="12" style="2006" bestFit="1" customWidth="1"/>
    <col min="15615" max="15615" width="8.85546875" style="2006" bestFit="1" customWidth="1"/>
    <col min="15616" max="15859" width="8.85546875" style="2006"/>
    <col min="15860" max="15860" width="11.42578125" style="2006" customWidth="1"/>
    <col min="15861" max="15861" width="24.42578125" style="2006" bestFit="1" customWidth="1"/>
    <col min="15862" max="15862" width="8.5703125" style="2006" customWidth="1"/>
    <col min="15863" max="15863" width="11.42578125" style="2006" customWidth="1"/>
    <col min="15864" max="15864" width="15.5703125" style="2006" customWidth="1"/>
    <col min="15865" max="15865" width="15.85546875" style="2006" customWidth="1"/>
    <col min="15866" max="15866" width="15.42578125" style="2006" bestFit="1" customWidth="1"/>
    <col min="15867" max="15867" width="19.42578125" style="2006" bestFit="1" customWidth="1"/>
    <col min="15868" max="15868" width="15" style="2006" bestFit="1" customWidth="1"/>
    <col min="15869" max="15870" width="12" style="2006" bestFit="1" customWidth="1"/>
    <col min="15871" max="15871" width="8.85546875" style="2006" bestFit="1" customWidth="1"/>
    <col min="15872" max="16115" width="8.85546875" style="2006"/>
    <col min="16116" max="16116" width="11.42578125" style="2006" customWidth="1"/>
    <col min="16117" max="16117" width="24.42578125" style="2006" bestFit="1" customWidth="1"/>
    <col min="16118" max="16118" width="8.5703125" style="2006" customWidth="1"/>
    <col min="16119" max="16119" width="11.42578125" style="2006" customWidth="1"/>
    <col min="16120" max="16120" width="15.5703125" style="2006" customWidth="1"/>
    <col min="16121" max="16121" width="15.85546875" style="2006" customWidth="1"/>
    <col min="16122" max="16122" width="15.42578125" style="2006" bestFit="1" customWidth="1"/>
    <col min="16123" max="16123" width="19.42578125" style="2006" bestFit="1" customWidth="1"/>
    <col min="16124" max="16124" width="15" style="2006" bestFit="1" customWidth="1"/>
    <col min="16125" max="16126" width="12" style="2006" bestFit="1" customWidth="1"/>
    <col min="16127" max="16127" width="8.85546875" style="2006" bestFit="1" customWidth="1"/>
    <col min="16128" max="16384" width="8.85546875" style="2006"/>
  </cols>
  <sheetData>
    <row r="1" spans="1:13" s="2005" customFormat="1" ht="60">
      <c r="A1" s="958" t="s">
        <v>4040</v>
      </c>
      <c r="B1" s="958"/>
      <c r="C1" s="958" t="s">
        <v>8290</v>
      </c>
      <c r="D1" s="958" t="s">
        <v>8291</v>
      </c>
      <c r="E1" s="958" t="s">
        <v>4043</v>
      </c>
      <c r="F1" s="958" t="s">
        <v>4044</v>
      </c>
      <c r="G1" s="958" t="s">
        <v>4045</v>
      </c>
      <c r="H1" s="2002" t="s">
        <v>8292</v>
      </c>
      <c r="I1" s="960" t="s">
        <v>8293</v>
      </c>
      <c r="J1" s="2003" t="s">
        <v>8294</v>
      </c>
      <c r="K1" s="2002" t="s">
        <v>8295</v>
      </c>
      <c r="L1" s="2002" t="s">
        <v>8296</v>
      </c>
      <c r="M1" s="2004" t="s">
        <v>8297</v>
      </c>
    </row>
    <row r="2" spans="1:13" ht="15">
      <c r="A2" t="s">
        <v>3365</v>
      </c>
      <c r="B2" s="1040" t="str">
        <f>CONCATENATE(LEFT(RIGHT(CONCATENATE("000",IFAData_TEA_1718!A2),6),3),"-",(RIGHT(RIGHT(CONCATENATE("000",IFAData_TEA_1718!A2),6),3)))</f>
        <v>001-903</v>
      </c>
      <c r="C2" t="s">
        <v>280</v>
      </c>
      <c r="D2">
        <v>10</v>
      </c>
      <c r="E2">
        <v>1801</v>
      </c>
      <c r="F2" t="s">
        <v>4052</v>
      </c>
      <c r="G2" t="s">
        <v>4052</v>
      </c>
      <c r="H2">
        <v>319250</v>
      </c>
      <c r="I2">
        <v>613481</v>
      </c>
      <c r="J2">
        <v>0.630614156004486</v>
      </c>
      <c r="K2">
        <v>201323.56930443199</v>
      </c>
      <c r="L2">
        <v>201323.56930443199</v>
      </c>
      <c r="M2">
        <v>599</v>
      </c>
    </row>
    <row r="3" spans="1:13" ht="15">
      <c r="A3" t="s">
        <v>3365</v>
      </c>
      <c r="B3" s="1040" t="str">
        <f>CONCATENATE(LEFT(RIGHT(CONCATENATE("000",IFAData_TEA_1718!A3),6),3),"-",(RIGHT(RIGHT(CONCATENATE("000",IFAData_TEA_1718!A3),6),3)))</f>
        <v>001-903</v>
      </c>
      <c r="C3" t="s">
        <v>280</v>
      </c>
      <c r="D3">
        <v>10</v>
      </c>
      <c r="E3">
        <v>1801</v>
      </c>
      <c r="F3" t="s">
        <v>4052</v>
      </c>
      <c r="G3" t="s">
        <v>8298</v>
      </c>
      <c r="H3">
        <v>319250</v>
      </c>
      <c r="I3">
        <v>359350</v>
      </c>
      <c r="J3">
        <v>0.369385843995514</v>
      </c>
      <c r="K3">
        <v>117926.43069556799</v>
      </c>
      <c r="L3">
        <v>117926.43069556799</v>
      </c>
      <c r="M3">
        <v>599</v>
      </c>
    </row>
    <row r="4" spans="1:13" ht="15">
      <c r="A4" t="s">
        <v>5753</v>
      </c>
      <c r="B4" s="1040" t="str">
        <f>CONCATENATE(LEFT(RIGHT(CONCATENATE("000",IFAData_TEA_1718!A4),6),3),"-",(RIGHT(RIGHT(CONCATENATE("000",IFAData_TEA_1718!A4),6),3)))</f>
        <v>001-904</v>
      </c>
      <c r="C4" t="s">
        <v>281</v>
      </c>
      <c r="D4">
        <v>11</v>
      </c>
      <c r="E4">
        <v>2543</v>
      </c>
      <c r="F4" t="s">
        <v>8299</v>
      </c>
      <c r="G4" t="s">
        <v>8299</v>
      </c>
      <c r="H4">
        <v>195039</v>
      </c>
      <c r="I4">
        <v>388850</v>
      </c>
      <c r="J4">
        <v>1</v>
      </c>
      <c r="K4">
        <v>195039</v>
      </c>
      <c r="L4">
        <v>195039</v>
      </c>
      <c r="M4">
        <v>599</v>
      </c>
    </row>
    <row r="5" spans="1:13" ht="15">
      <c r="A5" t="s">
        <v>3366</v>
      </c>
      <c r="B5" s="1040" t="str">
        <f>CONCATENATE(LEFT(RIGHT(CONCATENATE("000",IFAData_TEA_1718!A5),6),3),"-",(RIGHT(RIGHT(CONCATENATE("000",IFAData_TEA_1718!A5),6),3)))</f>
        <v>001-907</v>
      </c>
      <c r="C5" t="s">
        <v>283</v>
      </c>
      <c r="D5">
        <v>10</v>
      </c>
      <c r="E5">
        <v>2170</v>
      </c>
      <c r="F5" t="s">
        <v>4053</v>
      </c>
      <c r="G5" t="s">
        <v>4053</v>
      </c>
      <c r="H5">
        <v>751572</v>
      </c>
      <c r="I5">
        <v>1288370</v>
      </c>
      <c r="J5">
        <v>0.39828526841911299</v>
      </c>
      <c r="K5">
        <v>299340.05575628998</v>
      </c>
      <c r="L5">
        <v>299340.05575628998</v>
      </c>
      <c r="M5">
        <v>599</v>
      </c>
    </row>
    <row r="6" spans="1:13" ht="15">
      <c r="A6" t="s">
        <v>3366</v>
      </c>
      <c r="B6" s="1040" t="str">
        <f>CONCATENATE(LEFT(RIGHT(CONCATENATE("000",IFAData_TEA_1718!A6),6),3),"-",(RIGHT(RIGHT(CONCATENATE("000",IFAData_TEA_1718!A6),6),3)))</f>
        <v>001-907</v>
      </c>
      <c r="C6" t="s">
        <v>283</v>
      </c>
      <c r="D6">
        <v>10</v>
      </c>
      <c r="E6">
        <v>2170</v>
      </c>
      <c r="F6" t="s">
        <v>4053</v>
      </c>
      <c r="G6" t="s">
        <v>6395</v>
      </c>
      <c r="H6">
        <v>751572</v>
      </c>
      <c r="I6">
        <v>1946422</v>
      </c>
      <c r="J6">
        <v>0.60171473158088695</v>
      </c>
      <c r="K6">
        <v>452231.94424371002</v>
      </c>
      <c r="L6">
        <v>452231.94424371002</v>
      </c>
      <c r="M6">
        <v>599</v>
      </c>
    </row>
    <row r="7" spans="1:13" ht="15">
      <c r="A7" t="s">
        <v>5755</v>
      </c>
      <c r="B7" s="1040" t="str">
        <f>CONCATENATE(LEFT(RIGHT(CONCATENATE("000",IFAData_TEA_1718!A7),6),3),"-",(RIGHT(RIGHT(CONCATENATE("000",IFAData_TEA_1718!A7),6),3)))</f>
        <v>001-909</v>
      </c>
      <c r="C7" t="s">
        <v>1189</v>
      </c>
      <c r="D7">
        <v>11</v>
      </c>
      <c r="E7">
        <v>2578</v>
      </c>
      <c r="F7" t="s">
        <v>8300</v>
      </c>
      <c r="G7" t="s">
        <v>8300</v>
      </c>
      <c r="H7">
        <v>100000</v>
      </c>
      <c r="I7">
        <v>200225</v>
      </c>
      <c r="J7">
        <v>1</v>
      </c>
      <c r="K7">
        <v>100000</v>
      </c>
      <c r="L7">
        <v>100000</v>
      </c>
      <c r="M7">
        <v>599</v>
      </c>
    </row>
    <row r="8" spans="1:13" ht="15">
      <c r="A8" t="s">
        <v>3367</v>
      </c>
      <c r="B8" s="1040" t="str">
        <f>CONCATENATE(LEFT(RIGHT(CONCATENATE("000",IFAData_TEA_1718!A8),6),3),"-",(RIGHT(RIGHT(CONCATENATE("000",IFAData_TEA_1718!A8),6),3)))</f>
        <v>003-902</v>
      </c>
      <c r="C8" t="s">
        <v>2382</v>
      </c>
      <c r="D8">
        <v>4</v>
      </c>
      <c r="E8">
        <v>1909</v>
      </c>
      <c r="F8" t="s">
        <v>4054</v>
      </c>
      <c r="G8" t="s">
        <v>4054</v>
      </c>
      <c r="H8">
        <v>522310</v>
      </c>
      <c r="I8">
        <v>0</v>
      </c>
      <c r="J8">
        <v>0</v>
      </c>
      <c r="K8">
        <v>0</v>
      </c>
      <c r="L8">
        <v>0</v>
      </c>
      <c r="M8">
        <v>599</v>
      </c>
    </row>
    <row r="9" spans="1:13" ht="15">
      <c r="A9" t="s">
        <v>3367</v>
      </c>
      <c r="B9" s="1040" t="str">
        <f>CONCATENATE(LEFT(RIGHT(CONCATENATE("000",IFAData_TEA_1718!A9),6),3),"-",(RIGHT(RIGHT(CONCATENATE("000",IFAData_TEA_1718!A9),6),3)))</f>
        <v>003-902</v>
      </c>
      <c r="C9" t="s">
        <v>2382</v>
      </c>
      <c r="D9">
        <v>4</v>
      </c>
      <c r="E9">
        <v>1909</v>
      </c>
      <c r="F9" t="s">
        <v>4054</v>
      </c>
      <c r="G9" t="s">
        <v>4055</v>
      </c>
      <c r="H9">
        <v>522310</v>
      </c>
      <c r="I9">
        <v>0</v>
      </c>
      <c r="J9">
        <v>0</v>
      </c>
      <c r="K9">
        <v>0</v>
      </c>
      <c r="L9">
        <v>0</v>
      </c>
      <c r="M9">
        <v>599</v>
      </c>
    </row>
    <row r="10" spans="1:13" ht="15">
      <c r="A10" t="s">
        <v>3367</v>
      </c>
      <c r="B10" s="1040" t="str">
        <f>CONCATENATE(LEFT(RIGHT(CONCATENATE("000",IFAData_TEA_1718!A10),6),3),"-",(RIGHT(RIGHT(CONCATENATE("000",IFAData_TEA_1718!A10),6),3)))</f>
        <v>003-902</v>
      </c>
      <c r="C10" t="s">
        <v>2382</v>
      </c>
      <c r="D10">
        <v>4</v>
      </c>
      <c r="E10">
        <v>1909</v>
      </c>
      <c r="F10" t="s">
        <v>4054</v>
      </c>
      <c r="G10" t="s">
        <v>4056</v>
      </c>
      <c r="H10">
        <v>522310</v>
      </c>
      <c r="I10">
        <v>444480</v>
      </c>
      <c r="J10">
        <v>1</v>
      </c>
      <c r="K10">
        <v>522310</v>
      </c>
      <c r="L10">
        <v>444480</v>
      </c>
      <c r="M10">
        <v>599</v>
      </c>
    </row>
    <row r="11" spans="1:13" ht="15">
      <c r="A11" t="s">
        <v>3367</v>
      </c>
      <c r="B11" s="1040" t="str">
        <f>CONCATENATE(LEFT(RIGHT(CONCATENATE("000",IFAData_TEA_1718!A11),6),3),"-",(RIGHT(RIGHT(CONCATENATE("000",IFAData_TEA_1718!A11),6),3)))</f>
        <v>003-902</v>
      </c>
      <c r="C11" t="s">
        <v>2382</v>
      </c>
      <c r="D11">
        <v>9</v>
      </c>
      <c r="E11">
        <v>1910</v>
      </c>
      <c r="F11" t="s">
        <v>4057</v>
      </c>
      <c r="G11" t="s">
        <v>4057</v>
      </c>
      <c r="H11">
        <v>578788</v>
      </c>
      <c r="I11">
        <v>0</v>
      </c>
      <c r="J11">
        <v>0</v>
      </c>
      <c r="K11">
        <v>0</v>
      </c>
      <c r="L11">
        <v>0</v>
      </c>
      <c r="M11">
        <v>599</v>
      </c>
    </row>
    <row r="12" spans="1:13" ht="15">
      <c r="A12" t="s">
        <v>3367</v>
      </c>
      <c r="B12" s="1040" t="str">
        <f>CONCATENATE(LEFT(RIGHT(CONCATENATE("000",IFAData_TEA_1718!A12),6),3),"-",(RIGHT(RIGHT(CONCATENATE("000",IFAData_TEA_1718!A12),6),3)))</f>
        <v>003-902</v>
      </c>
      <c r="C12" t="s">
        <v>2382</v>
      </c>
      <c r="D12">
        <v>9</v>
      </c>
      <c r="E12">
        <v>1910</v>
      </c>
      <c r="F12" t="s">
        <v>4057</v>
      </c>
      <c r="G12" t="s">
        <v>6396</v>
      </c>
      <c r="H12">
        <v>578788</v>
      </c>
      <c r="I12">
        <v>522843</v>
      </c>
      <c r="J12">
        <v>1</v>
      </c>
      <c r="K12">
        <v>578788</v>
      </c>
      <c r="L12">
        <v>522843</v>
      </c>
      <c r="M12">
        <v>599</v>
      </c>
    </row>
    <row r="13" spans="1:13" ht="15">
      <c r="A13" t="s">
        <v>3367</v>
      </c>
      <c r="B13" s="1040" t="str">
        <f>CONCATENATE(LEFT(RIGHT(CONCATENATE("000",IFAData_TEA_1718!A13),6),3),"-",(RIGHT(RIGHT(CONCATENATE("000",IFAData_TEA_1718!A13),6),3)))</f>
        <v>003-902</v>
      </c>
      <c r="C13" t="s">
        <v>2382</v>
      </c>
      <c r="D13">
        <v>10</v>
      </c>
      <c r="E13">
        <v>1908</v>
      </c>
      <c r="F13" t="s">
        <v>4058</v>
      </c>
      <c r="G13" t="s">
        <v>4058</v>
      </c>
      <c r="H13">
        <v>61268</v>
      </c>
      <c r="I13">
        <v>154975</v>
      </c>
      <c r="J13">
        <v>0.87827422444376402</v>
      </c>
      <c r="K13">
        <v>53810.105183220599</v>
      </c>
      <c r="L13">
        <v>53810.105183220599</v>
      </c>
      <c r="M13">
        <v>599</v>
      </c>
    </row>
    <row r="14" spans="1:13" ht="15">
      <c r="A14" t="s">
        <v>3367</v>
      </c>
      <c r="B14" s="1040" t="str">
        <f>CONCATENATE(LEFT(RIGHT(CONCATENATE("000",IFAData_TEA_1718!A14),6),3),"-",(RIGHT(RIGHT(CONCATENATE("000",IFAData_TEA_1718!A14),6),3)))</f>
        <v>003-902</v>
      </c>
      <c r="C14" t="s">
        <v>2382</v>
      </c>
      <c r="D14">
        <v>10</v>
      </c>
      <c r="E14">
        <v>1908</v>
      </c>
      <c r="F14" t="s">
        <v>4058</v>
      </c>
      <c r="G14" t="s">
        <v>8301</v>
      </c>
      <c r="H14">
        <v>61268</v>
      </c>
      <c r="I14">
        <v>21479</v>
      </c>
      <c r="J14">
        <v>0.121725775556236</v>
      </c>
      <c r="K14">
        <v>7457.8948167794397</v>
      </c>
      <c r="L14">
        <v>7457.8948167794397</v>
      </c>
      <c r="M14">
        <v>599</v>
      </c>
    </row>
    <row r="15" spans="1:13" ht="15">
      <c r="A15" t="s">
        <v>3367</v>
      </c>
      <c r="B15" s="1040" t="str">
        <f>CONCATENATE(LEFT(RIGHT(CONCATENATE("000",IFAData_TEA_1718!A15),6),3),"-",(RIGHT(RIGHT(CONCATENATE("000",IFAData_TEA_1718!A15),6),3)))</f>
        <v>003-902</v>
      </c>
      <c r="C15" t="s">
        <v>2382</v>
      </c>
      <c r="D15">
        <v>10</v>
      </c>
      <c r="E15">
        <v>1908</v>
      </c>
      <c r="F15" t="s">
        <v>4058</v>
      </c>
      <c r="G15" t="s">
        <v>8302</v>
      </c>
      <c r="H15">
        <v>61268</v>
      </c>
      <c r="I15">
        <v>0</v>
      </c>
      <c r="J15">
        <v>0</v>
      </c>
      <c r="K15">
        <v>0</v>
      </c>
      <c r="L15">
        <v>0</v>
      </c>
      <c r="M15">
        <v>599</v>
      </c>
    </row>
    <row r="16" spans="1:13" ht="15">
      <c r="A16" t="s">
        <v>3368</v>
      </c>
      <c r="B16" s="1040" t="str">
        <f>CONCATENATE(LEFT(RIGHT(CONCATENATE("000",IFAData_TEA_1718!A16),6),3),"-",(RIGHT(RIGHT(CONCATENATE("000",IFAData_TEA_1718!A16),6),3)))</f>
        <v>003-904</v>
      </c>
      <c r="C16" t="s">
        <v>1266</v>
      </c>
      <c r="D16">
        <v>3</v>
      </c>
      <c r="E16">
        <v>1916</v>
      </c>
      <c r="F16" t="s">
        <v>4059</v>
      </c>
      <c r="G16" t="s">
        <v>4059</v>
      </c>
      <c r="H16">
        <v>73837</v>
      </c>
      <c r="I16">
        <v>0</v>
      </c>
      <c r="J16">
        <v>0</v>
      </c>
      <c r="K16">
        <v>0</v>
      </c>
      <c r="L16">
        <v>0</v>
      </c>
      <c r="M16">
        <v>599</v>
      </c>
    </row>
    <row r="17" spans="1:13" ht="15">
      <c r="A17" t="s">
        <v>3368</v>
      </c>
      <c r="B17" s="1040" t="str">
        <f>CONCATENATE(LEFT(RIGHT(CONCATENATE("000",IFAData_TEA_1718!A17),6),3),"-",(RIGHT(RIGHT(CONCATENATE("000",IFAData_TEA_1718!A17),6),3)))</f>
        <v>003-904</v>
      </c>
      <c r="C17" t="s">
        <v>1266</v>
      </c>
      <c r="D17">
        <v>3</v>
      </c>
      <c r="E17">
        <v>1916</v>
      </c>
      <c r="F17" t="s">
        <v>4059</v>
      </c>
      <c r="G17" t="s">
        <v>4060</v>
      </c>
      <c r="H17">
        <v>73837</v>
      </c>
      <c r="I17">
        <v>440897</v>
      </c>
      <c r="J17">
        <v>1</v>
      </c>
      <c r="K17">
        <v>73837</v>
      </c>
      <c r="L17">
        <v>73837</v>
      </c>
      <c r="M17">
        <v>599</v>
      </c>
    </row>
    <row r="18" spans="1:13" ht="15">
      <c r="A18" t="s">
        <v>3368</v>
      </c>
      <c r="B18" s="1040" t="str">
        <f>CONCATENATE(LEFT(RIGHT(CONCATENATE("000",IFAData_TEA_1718!A18),6),3),"-",(RIGHT(RIGHT(CONCATENATE("000",IFAData_TEA_1718!A18),6),3)))</f>
        <v>003-904</v>
      </c>
      <c r="C18" t="s">
        <v>1266</v>
      </c>
      <c r="D18">
        <v>3</v>
      </c>
      <c r="E18">
        <v>1917</v>
      </c>
      <c r="F18" t="s">
        <v>4061</v>
      </c>
      <c r="G18" t="s">
        <v>4061</v>
      </c>
      <c r="H18">
        <v>254314</v>
      </c>
      <c r="I18">
        <v>0</v>
      </c>
      <c r="J18">
        <v>0</v>
      </c>
      <c r="K18">
        <v>0</v>
      </c>
      <c r="L18">
        <v>0</v>
      </c>
      <c r="M18">
        <v>599</v>
      </c>
    </row>
    <row r="19" spans="1:13" ht="15">
      <c r="A19" t="s">
        <v>3368</v>
      </c>
      <c r="B19" s="1040" t="str">
        <f>CONCATENATE(LEFT(RIGHT(CONCATENATE("000",IFAData_TEA_1718!A19),6),3),"-",(RIGHT(RIGHT(CONCATENATE("000",IFAData_TEA_1718!A19),6),3)))</f>
        <v>003-904</v>
      </c>
      <c r="C19" t="s">
        <v>1266</v>
      </c>
      <c r="D19">
        <v>3</v>
      </c>
      <c r="E19">
        <v>1917</v>
      </c>
      <c r="F19" t="s">
        <v>4061</v>
      </c>
      <c r="G19" t="s">
        <v>4060</v>
      </c>
      <c r="H19">
        <v>254314</v>
      </c>
      <c r="I19">
        <v>208000</v>
      </c>
      <c r="J19">
        <v>1</v>
      </c>
      <c r="K19">
        <v>254314</v>
      </c>
      <c r="L19">
        <v>208000</v>
      </c>
      <c r="M19">
        <v>599</v>
      </c>
    </row>
    <row r="20" spans="1:13" ht="15">
      <c r="A20" t="s">
        <v>3368</v>
      </c>
      <c r="B20" s="1040" t="str">
        <f>CONCATENATE(LEFT(RIGHT(CONCATENATE("000",IFAData_TEA_1718!A20),6),3),"-",(RIGHT(RIGHT(CONCATENATE("000",IFAData_TEA_1718!A20),6),3)))</f>
        <v>003-904</v>
      </c>
      <c r="C20" t="s">
        <v>1266</v>
      </c>
      <c r="D20">
        <v>9</v>
      </c>
      <c r="E20">
        <v>1918</v>
      </c>
      <c r="F20" t="s">
        <v>4062</v>
      </c>
      <c r="G20" t="s">
        <v>4062</v>
      </c>
      <c r="H20">
        <v>393008</v>
      </c>
      <c r="I20">
        <v>0</v>
      </c>
      <c r="J20">
        <v>0</v>
      </c>
      <c r="K20">
        <v>0</v>
      </c>
      <c r="L20">
        <v>0</v>
      </c>
      <c r="M20">
        <v>599</v>
      </c>
    </row>
    <row r="21" spans="1:13" ht="15">
      <c r="A21" t="s">
        <v>3368</v>
      </c>
      <c r="B21" s="1040" t="str">
        <f>CONCATENATE(LEFT(RIGHT(CONCATENATE("000",IFAData_TEA_1718!A21),6),3),"-",(RIGHT(RIGHT(CONCATENATE("000",IFAData_TEA_1718!A21),6),3)))</f>
        <v>003-904</v>
      </c>
      <c r="C21" t="s">
        <v>1266</v>
      </c>
      <c r="D21">
        <v>9</v>
      </c>
      <c r="E21">
        <v>1918</v>
      </c>
      <c r="F21" t="s">
        <v>4062</v>
      </c>
      <c r="G21" t="s">
        <v>6177</v>
      </c>
      <c r="H21">
        <v>393008</v>
      </c>
      <c r="I21">
        <v>433236</v>
      </c>
      <c r="J21">
        <v>0.82049786370110001</v>
      </c>
      <c r="K21">
        <v>322462.22441744199</v>
      </c>
      <c r="L21">
        <v>322462.22441744199</v>
      </c>
      <c r="M21">
        <v>599</v>
      </c>
    </row>
    <row r="22" spans="1:13" ht="15">
      <c r="A22" t="s">
        <v>3368</v>
      </c>
      <c r="B22" s="1040" t="str">
        <f>CONCATENATE(LEFT(RIGHT(CONCATENATE("000",IFAData_TEA_1718!A22),6),3),"-",(RIGHT(RIGHT(CONCATENATE("000",IFAData_TEA_1718!A22),6),3)))</f>
        <v>003-904</v>
      </c>
      <c r="C22" t="s">
        <v>1266</v>
      </c>
      <c r="D22">
        <v>9</v>
      </c>
      <c r="E22">
        <v>1918</v>
      </c>
      <c r="F22" t="s">
        <v>4062</v>
      </c>
      <c r="G22" t="s">
        <v>6397</v>
      </c>
      <c r="H22">
        <v>393008</v>
      </c>
      <c r="I22">
        <v>94780</v>
      </c>
      <c r="J22">
        <v>0.17950213629889999</v>
      </c>
      <c r="K22">
        <v>70545.775582558097</v>
      </c>
      <c r="L22">
        <v>70545.775582558097</v>
      </c>
      <c r="M22">
        <v>599</v>
      </c>
    </row>
    <row r="23" spans="1:13" ht="15">
      <c r="A23" t="s">
        <v>3369</v>
      </c>
      <c r="B23" s="1040" t="str">
        <f>CONCATENATE(LEFT(RIGHT(CONCATENATE("000",IFAData_TEA_1718!A23),6),3),"-",(RIGHT(RIGHT(CONCATENATE("000",IFAData_TEA_1718!A23),6),3)))</f>
        <v>003-905</v>
      </c>
      <c r="C23" t="s">
        <v>1192</v>
      </c>
      <c r="D23">
        <v>10</v>
      </c>
      <c r="E23">
        <v>1762</v>
      </c>
      <c r="F23" t="s">
        <v>4063</v>
      </c>
      <c r="G23" t="s">
        <v>4063</v>
      </c>
      <c r="H23">
        <v>437500</v>
      </c>
      <c r="I23">
        <v>160950</v>
      </c>
      <c r="J23">
        <v>0.37763074540719399</v>
      </c>
      <c r="K23">
        <v>165213.45111564701</v>
      </c>
      <c r="L23">
        <v>160950</v>
      </c>
      <c r="M23">
        <v>599</v>
      </c>
    </row>
    <row r="24" spans="1:13" ht="15">
      <c r="A24" t="s">
        <v>3369</v>
      </c>
      <c r="B24" s="1040" t="str">
        <f>CONCATENATE(LEFT(RIGHT(CONCATENATE("000",IFAData_TEA_1718!A24),6),3),"-",(RIGHT(RIGHT(CONCATENATE("000",IFAData_TEA_1718!A24),6),3)))</f>
        <v>003-905</v>
      </c>
      <c r="C24" t="s">
        <v>1192</v>
      </c>
      <c r="D24">
        <v>10</v>
      </c>
      <c r="E24">
        <v>1762</v>
      </c>
      <c r="F24" t="s">
        <v>4063</v>
      </c>
      <c r="G24" t="s">
        <v>8303</v>
      </c>
      <c r="H24">
        <v>437500</v>
      </c>
      <c r="I24">
        <v>265260</v>
      </c>
      <c r="J24">
        <v>0.62236925459280601</v>
      </c>
      <c r="K24">
        <v>272286.54888435302</v>
      </c>
      <c r="L24">
        <v>265260</v>
      </c>
      <c r="M24">
        <v>599</v>
      </c>
    </row>
    <row r="25" spans="1:13" ht="15">
      <c r="A25" t="s">
        <v>3370</v>
      </c>
      <c r="B25" s="1040" t="str">
        <f>CONCATENATE(LEFT(RIGHT(CONCATENATE("000",IFAData_TEA_1718!A25),6),3),"-",(RIGHT(RIGHT(CONCATENATE("000",IFAData_TEA_1718!A25),6),3)))</f>
        <v>003-907</v>
      </c>
      <c r="C25" t="s">
        <v>1194</v>
      </c>
      <c r="D25">
        <v>9</v>
      </c>
      <c r="E25">
        <v>1676</v>
      </c>
      <c r="F25" t="s">
        <v>4064</v>
      </c>
      <c r="G25" t="s">
        <v>4064</v>
      </c>
      <c r="H25">
        <v>393343</v>
      </c>
      <c r="I25">
        <v>323970</v>
      </c>
      <c r="J25">
        <v>0.56426315908643598</v>
      </c>
      <c r="K25">
        <v>221948.963784536</v>
      </c>
      <c r="L25">
        <v>221948.963784536</v>
      </c>
      <c r="M25">
        <v>599</v>
      </c>
    </row>
    <row r="26" spans="1:13" ht="15">
      <c r="A26" t="s">
        <v>3370</v>
      </c>
      <c r="B26" s="1040" t="str">
        <f>CONCATENATE(LEFT(RIGHT(CONCATENATE("000",IFAData_TEA_1718!A26),6),3),"-",(RIGHT(RIGHT(CONCATENATE("000",IFAData_TEA_1718!A26),6),3)))</f>
        <v>003-907</v>
      </c>
      <c r="C26" t="s">
        <v>1194</v>
      </c>
      <c r="D26">
        <v>9</v>
      </c>
      <c r="E26">
        <v>1676</v>
      </c>
      <c r="F26" t="s">
        <v>4064</v>
      </c>
      <c r="G26" t="s">
        <v>6398</v>
      </c>
      <c r="H26">
        <v>393343</v>
      </c>
      <c r="I26">
        <v>250177</v>
      </c>
      <c r="J26">
        <v>0.43573684091356402</v>
      </c>
      <c r="K26">
        <v>171394.036215464</v>
      </c>
      <c r="L26">
        <v>171394.036215464</v>
      </c>
      <c r="M26">
        <v>599</v>
      </c>
    </row>
    <row r="27" spans="1:13" ht="15">
      <c r="A27" t="s">
        <v>5761</v>
      </c>
      <c r="B27" s="1040" t="str">
        <f>CONCATENATE(LEFT(RIGHT(CONCATENATE("000",IFAData_TEA_1718!A27),6),3),"-",(RIGHT(RIGHT(CONCATENATE("000",IFAData_TEA_1718!A27),6),3)))</f>
        <v>005-902</v>
      </c>
      <c r="C27" t="s">
        <v>1197</v>
      </c>
      <c r="D27">
        <v>11</v>
      </c>
      <c r="E27">
        <v>2552</v>
      </c>
      <c r="F27" t="s">
        <v>8304</v>
      </c>
      <c r="G27" t="s">
        <v>8304</v>
      </c>
      <c r="H27">
        <v>229248</v>
      </c>
      <c r="I27">
        <v>534025</v>
      </c>
      <c r="J27">
        <v>1</v>
      </c>
      <c r="K27">
        <v>229248</v>
      </c>
      <c r="L27">
        <v>229248</v>
      </c>
      <c r="M27">
        <v>599</v>
      </c>
    </row>
    <row r="28" spans="1:13" ht="15">
      <c r="A28" t="s">
        <v>3371</v>
      </c>
      <c r="B28" s="1040" t="str">
        <f>CONCATENATE(LEFT(RIGHT(CONCATENATE("000",IFAData_TEA_1718!A28),6),3),"-",(RIGHT(RIGHT(CONCATENATE("000",IFAData_TEA_1718!A28),6),3)))</f>
        <v>005-904</v>
      </c>
      <c r="C28" t="s">
        <v>1128</v>
      </c>
      <c r="D28">
        <v>6</v>
      </c>
      <c r="E28">
        <v>2458</v>
      </c>
      <c r="F28" t="s">
        <v>4065</v>
      </c>
      <c r="G28" t="s">
        <v>4065</v>
      </c>
      <c r="H28">
        <v>108848</v>
      </c>
      <c r="I28">
        <v>0</v>
      </c>
      <c r="J28">
        <v>0</v>
      </c>
      <c r="K28">
        <v>0</v>
      </c>
      <c r="L28">
        <v>0</v>
      </c>
      <c r="M28">
        <v>599</v>
      </c>
    </row>
    <row r="29" spans="1:13" ht="15">
      <c r="A29" t="s">
        <v>3371</v>
      </c>
      <c r="B29" s="1040" t="str">
        <f>CONCATENATE(LEFT(RIGHT(CONCATENATE("000",IFAData_TEA_1718!A29),6),3),"-",(RIGHT(RIGHT(CONCATENATE("000",IFAData_TEA_1718!A29),6),3)))</f>
        <v>005-904</v>
      </c>
      <c r="C29" t="s">
        <v>1128</v>
      </c>
      <c r="D29">
        <v>6</v>
      </c>
      <c r="E29">
        <v>2458</v>
      </c>
      <c r="F29" t="s">
        <v>4065</v>
      </c>
      <c r="G29" t="s">
        <v>4066</v>
      </c>
      <c r="H29">
        <v>108848</v>
      </c>
      <c r="I29">
        <v>171874</v>
      </c>
      <c r="J29">
        <v>1</v>
      </c>
      <c r="K29">
        <v>108848</v>
      </c>
      <c r="L29">
        <v>108848</v>
      </c>
      <c r="M29">
        <v>599</v>
      </c>
    </row>
    <row r="30" spans="1:13" ht="15">
      <c r="A30" t="s">
        <v>3372</v>
      </c>
      <c r="B30" s="1040" t="str">
        <f>CONCATENATE(LEFT(RIGHT(CONCATENATE("000",IFAData_TEA_1718!A30),6),3),"-",(RIGHT(RIGHT(CONCATENATE("000",IFAData_TEA_1718!A30),6),3)))</f>
        <v>007-901</v>
      </c>
      <c r="C30" t="s">
        <v>661</v>
      </c>
      <c r="D30">
        <v>4</v>
      </c>
      <c r="E30">
        <v>1684</v>
      </c>
      <c r="F30" t="s">
        <v>4067</v>
      </c>
      <c r="G30" t="s">
        <v>4067</v>
      </c>
      <c r="H30">
        <v>121726</v>
      </c>
      <c r="I30">
        <v>0</v>
      </c>
      <c r="J30">
        <v>0</v>
      </c>
      <c r="K30">
        <v>0</v>
      </c>
      <c r="L30">
        <v>0</v>
      </c>
      <c r="M30">
        <v>599</v>
      </c>
    </row>
    <row r="31" spans="1:13" ht="15">
      <c r="A31" t="s">
        <v>3372</v>
      </c>
      <c r="B31" s="1040" t="str">
        <f>CONCATENATE(LEFT(RIGHT(CONCATENATE("000",IFAData_TEA_1718!A31),6),3),"-",(RIGHT(RIGHT(CONCATENATE("000",IFAData_TEA_1718!A31),6),3)))</f>
        <v>007-901</v>
      </c>
      <c r="C31" t="s">
        <v>661</v>
      </c>
      <c r="D31">
        <v>4</v>
      </c>
      <c r="E31">
        <v>1684</v>
      </c>
      <c r="F31" t="s">
        <v>4067</v>
      </c>
      <c r="G31" t="s">
        <v>4068</v>
      </c>
      <c r="H31">
        <v>121726</v>
      </c>
      <c r="I31">
        <v>0</v>
      </c>
      <c r="J31">
        <v>0</v>
      </c>
      <c r="K31">
        <v>0</v>
      </c>
      <c r="L31">
        <v>0</v>
      </c>
      <c r="M31">
        <v>599</v>
      </c>
    </row>
    <row r="32" spans="1:13" ht="15">
      <c r="A32" t="s">
        <v>3372</v>
      </c>
      <c r="B32" s="1040" t="str">
        <f>CONCATENATE(LEFT(RIGHT(CONCATENATE("000",IFAData_TEA_1718!A32),6),3),"-",(RIGHT(RIGHT(CONCATENATE("000",IFAData_TEA_1718!A32),6),3)))</f>
        <v>007-901</v>
      </c>
      <c r="C32" t="s">
        <v>661</v>
      </c>
      <c r="D32">
        <v>4</v>
      </c>
      <c r="E32">
        <v>1684</v>
      </c>
      <c r="F32" t="s">
        <v>4067</v>
      </c>
      <c r="G32" t="s">
        <v>4069</v>
      </c>
      <c r="H32">
        <v>121726</v>
      </c>
      <c r="I32">
        <v>110592</v>
      </c>
      <c r="J32">
        <v>1</v>
      </c>
      <c r="K32">
        <v>121726</v>
      </c>
      <c r="L32">
        <v>110592</v>
      </c>
      <c r="M32">
        <v>599</v>
      </c>
    </row>
    <row r="33" spans="1:13" ht="15">
      <c r="A33" t="s">
        <v>3372</v>
      </c>
      <c r="B33" s="1040" t="str">
        <f>CONCATENATE(LEFT(RIGHT(CONCATENATE("000",IFAData_TEA_1718!A33),6),3),"-",(RIGHT(RIGHT(CONCATENATE("000",IFAData_TEA_1718!A33),6),3)))</f>
        <v>007-901</v>
      </c>
      <c r="C33" t="s">
        <v>661</v>
      </c>
      <c r="D33">
        <v>5</v>
      </c>
      <c r="E33">
        <v>1683</v>
      </c>
      <c r="F33" t="s">
        <v>4070</v>
      </c>
      <c r="G33" t="s">
        <v>4070</v>
      </c>
      <c r="H33">
        <v>116170</v>
      </c>
      <c r="I33">
        <v>0</v>
      </c>
      <c r="J33">
        <v>0</v>
      </c>
      <c r="K33">
        <v>0</v>
      </c>
      <c r="L33">
        <v>0</v>
      </c>
      <c r="M33">
        <v>599</v>
      </c>
    </row>
    <row r="34" spans="1:13" ht="15">
      <c r="A34" t="s">
        <v>3372</v>
      </c>
      <c r="B34" s="1040" t="str">
        <f>CONCATENATE(LEFT(RIGHT(CONCATENATE("000",IFAData_TEA_1718!A34),6),3),"-",(RIGHT(RIGHT(CONCATENATE("000",IFAData_TEA_1718!A34),6),3)))</f>
        <v>007-901</v>
      </c>
      <c r="C34" t="s">
        <v>661</v>
      </c>
      <c r="D34">
        <v>5</v>
      </c>
      <c r="E34">
        <v>1683</v>
      </c>
      <c r="F34" t="s">
        <v>4070</v>
      </c>
      <c r="G34" t="s">
        <v>4068</v>
      </c>
      <c r="H34">
        <v>116170</v>
      </c>
      <c r="I34">
        <v>0</v>
      </c>
      <c r="J34">
        <v>0</v>
      </c>
      <c r="K34">
        <v>0</v>
      </c>
      <c r="L34">
        <v>0</v>
      </c>
      <c r="M34">
        <v>599</v>
      </c>
    </row>
    <row r="35" spans="1:13" ht="15">
      <c r="A35" t="s">
        <v>3372</v>
      </c>
      <c r="B35" s="1040" t="str">
        <f>CONCATENATE(LEFT(RIGHT(CONCATENATE("000",IFAData_TEA_1718!A35),6),3),"-",(RIGHT(RIGHT(CONCATENATE("000",IFAData_TEA_1718!A35),6),3)))</f>
        <v>007-901</v>
      </c>
      <c r="C35" t="s">
        <v>661</v>
      </c>
      <c r="D35">
        <v>5</v>
      </c>
      <c r="E35">
        <v>1683</v>
      </c>
      <c r="F35" t="s">
        <v>4070</v>
      </c>
      <c r="G35" t="s">
        <v>4069</v>
      </c>
      <c r="H35">
        <v>116170</v>
      </c>
      <c r="I35">
        <v>108441</v>
      </c>
      <c r="J35">
        <v>1</v>
      </c>
      <c r="K35">
        <v>116170</v>
      </c>
      <c r="L35">
        <v>108441</v>
      </c>
      <c r="M35">
        <v>599</v>
      </c>
    </row>
    <row r="36" spans="1:13" ht="15">
      <c r="A36" t="s">
        <v>3372</v>
      </c>
      <c r="B36" s="1040" t="str">
        <f>CONCATENATE(LEFT(RIGHT(CONCATENATE("000",IFAData_TEA_1718!A36),6),3),"-",(RIGHT(RIGHT(CONCATENATE("000",IFAData_TEA_1718!A36),6),3)))</f>
        <v>007-901</v>
      </c>
      <c r="C36" t="s">
        <v>661</v>
      </c>
      <c r="D36">
        <v>9</v>
      </c>
      <c r="E36">
        <v>1682</v>
      </c>
      <c r="F36" t="s">
        <v>4071</v>
      </c>
      <c r="G36" t="s">
        <v>4071</v>
      </c>
      <c r="H36">
        <v>35459</v>
      </c>
      <c r="I36">
        <v>0</v>
      </c>
      <c r="J36">
        <v>0</v>
      </c>
      <c r="K36">
        <v>0</v>
      </c>
      <c r="L36">
        <v>0</v>
      </c>
      <c r="M36">
        <v>599</v>
      </c>
    </row>
    <row r="37" spans="1:13" ht="15">
      <c r="A37" t="s">
        <v>3372</v>
      </c>
      <c r="B37" s="1040" t="str">
        <f>CONCATENATE(LEFT(RIGHT(CONCATENATE("000",IFAData_TEA_1718!A37),6),3),"-",(RIGHT(RIGHT(CONCATENATE("000",IFAData_TEA_1718!A37),6),3)))</f>
        <v>007-901</v>
      </c>
      <c r="C37" t="s">
        <v>661</v>
      </c>
      <c r="D37">
        <v>9</v>
      </c>
      <c r="E37">
        <v>1682</v>
      </c>
      <c r="F37" t="s">
        <v>4071</v>
      </c>
      <c r="G37" t="s">
        <v>8305</v>
      </c>
      <c r="H37">
        <v>35459</v>
      </c>
      <c r="I37">
        <v>13354</v>
      </c>
      <c r="J37">
        <v>1</v>
      </c>
      <c r="K37">
        <v>35459</v>
      </c>
      <c r="L37">
        <v>13354</v>
      </c>
      <c r="M37">
        <v>599</v>
      </c>
    </row>
    <row r="38" spans="1:13" ht="15">
      <c r="A38" t="s">
        <v>3373</v>
      </c>
      <c r="B38" s="1040" t="str">
        <f>CONCATENATE(LEFT(RIGHT(CONCATENATE("000",IFAData_TEA_1718!A38),6),3),"-",(RIGHT(RIGHT(CONCATENATE("000",IFAData_TEA_1718!A38),6),3)))</f>
        <v>007-904</v>
      </c>
      <c r="C38" t="s">
        <v>1200</v>
      </c>
      <c r="D38">
        <v>10</v>
      </c>
      <c r="E38">
        <v>2048</v>
      </c>
      <c r="F38" t="s">
        <v>4072</v>
      </c>
      <c r="G38" t="s">
        <v>4072</v>
      </c>
      <c r="H38">
        <v>399219</v>
      </c>
      <c r="I38">
        <v>376600</v>
      </c>
      <c r="J38">
        <v>0.55586715867158698</v>
      </c>
      <c r="K38">
        <v>221912.73121771199</v>
      </c>
      <c r="L38">
        <v>221912.73121771199</v>
      </c>
      <c r="M38">
        <v>599</v>
      </c>
    </row>
    <row r="39" spans="1:13" ht="15">
      <c r="A39" t="s">
        <v>3373</v>
      </c>
      <c r="B39" s="1040" t="str">
        <f>CONCATENATE(LEFT(RIGHT(CONCATENATE("000",IFAData_TEA_1718!A39),6),3),"-",(RIGHT(RIGHT(CONCATENATE("000",IFAData_TEA_1718!A39),6),3)))</f>
        <v>007-904</v>
      </c>
      <c r="C39" t="s">
        <v>1200</v>
      </c>
      <c r="D39">
        <v>10</v>
      </c>
      <c r="E39">
        <v>2048</v>
      </c>
      <c r="F39" t="s">
        <v>4072</v>
      </c>
      <c r="G39" t="s">
        <v>8306</v>
      </c>
      <c r="H39">
        <v>399219</v>
      </c>
      <c r="I39">
        <v>300900</v>
      </c>
      <c r="J39">
        <v>0.44413284132841302</v>
      </c>
      <c r="K39">
        <v>177306.26878228801</v>
      </c>
      <c r="L39">
        <v>177306.26878228801</v>
      </c>
      <c r="M39">
        <v>599</v>
      </c>
    </row>
    <row r="40" spans="1:13" ht="15">
      <c r="A40" t="s">
        <v>3374</v>
      </c>
      <c r="B40" s="1040" t="str">
        <f>CONCATENATE(LEFT(RIGHT(CONCATENATE("000",IFAData_TEA_1718!A40),6),3),"-",(RIGHT(RIGHT(CONCATENATE("000",IFAData_TEA_1718!A40),6),3)))</f>
        <v>007-905</v>
      </c>
      <c r="C40" t="s">
        <v>1001</v>
      </c>
      <c r="D40">
        <v>3</v>
      </c>
      <c r="E40">
        <v>2200</v>
      </c>
      <c r="F40" t="s">
        <v>4073</v>
      </c>
      <c r="G40" t="s">
        <v>4073</v>
      </c>
      <c r="H40">
        <v>450000</v>
      </c>
      <c r="I40">
        <v>0</v>
      </c>
      <c r="J40">
        <v>0</v>
      </c>
      <c r="K40">
        <v>0</v>
      </c>
      <c r="L40">
        <v>0</v>
      </c>
      <c r="M40">
        <v>599</v>
      </c>
    </row>
    <row r="41" spans="1:13" ht="15">
      <c r="A41" t="s">
        <v>3374</v>
      </c>
      <c r="B41" s="1040" t="str">
        <f>CONCATENATE(LEFT(RIGHT(CONCATENATE("000",IFAData_TEA_1718!A41),6),3),"-",(RIGHT(RIGHT(CONCATENATE("000",IFAData_TEA_1718!A41),6),3)))</f>
        <v>007-905</v>
      </c>
      <c r="C41" t="s">
        <v>1001</v>
      </c>
      <c r="D41">
        <v>3</v>
      </c>
      <c r="E41">
        <v>2200</v>
      </c>
      <c r="F41" t="s">
        <v>4073</v>
      </c>
      <c r="G41" t="s">
        <v>4074</v>
      </c>
      <c r="H41">
        <v>450000</v>
      </c>
      <c r="I41">
        <v>394119</v>
      </c>
      <c r="J41">
        <v>0.61974925031410499</v>
      </c>
      <c r="K41">
        <v>278887.16264134698</v>
      </c>
      <c r="L41">
        <v>278887.16264134698</v>
      </c>
      <c r="M41">
        <v>599</v>
      </c>
    </row>
    <row r="42" spans="1:13" ht="15">
      <c r="A42" t="s">
        <v>3374</v>
      </c>
      <c r="B42" s="1040" t="str">
        <f>CONCATENATE(LEFT(RIGHT(CONCATENATE("000",IFAData_TEA_1718!A42),6),3),"-",(RIGHT(RIGHT(CONCATENATE("000",IFAData_TEA_1718!A42),6),3)))</f>
        <v>007-905</v>
      </c>
      <c r="C42" t="s">
        <v>1001</v>
      </c>
      <c r="D42">
        <v>3</v>
      </c>
      <c r="E42">
        <v>2200</v>
      </c>
      <c r="F42" t="s">
        <v>4073</v>
      </c>
      <c r="G42" t="s">
        <v>6399</v>
      </c>
      <c r="H42">
        <v>450000</v>
      </c>
      <c r="I42">
        <v>241814</v>
      </c>
      <c r="J42">
        <v>0.38025074968589501</v>
      </c>
      <c r="K42">
        <v>171112.83735865299</v>
      </c>
      <c r="L42">
        <v>171112.83735865299</v>
      </c>
      <c r="M42">
        <v>599</v>
      </c>
    </row>
    <row r="43" spans="1:13" ht="15">
      <c r="A43" t="s">
        <v>3374</v>
      </c>
      <c r="B43" s="1040" t="str">
        <f>CONCATENATE(LEFT(RIGHT(CONCATENATE("000",IFAData_TEA_1718!A43),6),3),"-",(RIGHT(RIGHT(CONCATENATE("000",IFAData_TEA_1718!A43),6),3)))</f>
        <v>007-905</v>
      </c>
      <c r="C43" t="s">
        <v>1001</v>
      </c>
      <c r="D43">
        <v>6</v>
      </c>
      <c r="E43">
        <v>2199</v>
      </c>
      <c r="F43" t="s">
        <v>4075</v>
      </c>
      <c r="G43" t="s">
        <v>4075</v>
      </c>
      <c r="H43">
        <v>406232</v>
      </c>
      <c r="I43">
        <v>0</v>
      </c>
      <c r="J43">
        <v>0</v>
      </c>
      <c r="K43">
        <v>0</v>
      </c>
      <c r="L43">
        <v>0</v>
      </c>
      <c r="M43">
        <v>599</v>
      </c>
    </row>
    <row r="44" spans="1:13" ht="15">
      <c r="A44" t="s">
        <v>3374</v>
      </c>
      <c r="B44" s="1040" t="str">
        <f>CONCATENATE(LEFT(RIGHT(CONCATENATE("000",IFAData_TEA_1718!A44),6),3),"-",(RIGHT(RIGHT(CONCATENATE("000",IFAData_TEA_1718!A44),6),3)))</f>
        <v>007-905</v>
      </c>
      <c r="C44" t="s">
        <v>1001</v>
      </c>
      <c r="D44">
        <v>6</v>
      </c>
      <c r="E44">
        <v>2199</v>
      </c>
      <c r="F44" t="s">
        <v>4075</v>
      </c>
      <c r="G44" t="s">
        <v>4074</v>
      </c>
      <c r="H44">
        <v>406232</v>
      </c>
      <c r="I44">
        <v>327764</v>
      </c>
      <c r="J44">
        <v>0.43761382146385802</v>
      </c>
      <c r="K44">
        <v>177772.73792090599</v>
      </c>
      <c r="L44">
        <v>177772.73792090599</v>
      </c>
      <c r="M44">
        <v>599</v>
      </c>
    </row>
    <row r="45" spans="1:13" ht="15">
      <c r="A45" t="s">
        <v>3374</v>
      </c>
      <c r="B45" s="1040" t="str">
        <f>CONCATENATE(LEFT(RIGHT(CONCATENATE("000",IFAData_TEA_1718!A45),6),3),"-",(RIGHT(RIGHT(CONCATENATE("000",IFAData_TEA_1718!A45),6),3)))</f>
        <v>007-905</v>
      </c>
      <c r="C45" t="s">
        <v>1001</v>
      </c>
      <c r="D45">
        <v>6</v>
      </c>
      <c r="E45">
        <v>2199</v>
      </c>
      <c r="F45" t="s">
        <v>4075</v>
      </c>
      <c r="G45" t="s">
        <v>6399</v>
      </c>
      <c r="H45">
        <v>406232</v>
      </c>
      <c r="I45">
        <v>421216</v>
      </c>
      <c r="J45">
        <v>0.56238617853614203</v>
      </c>
      <c r="K45">
        <v>228459.26207909401</v>
      </c>
      <c r="L45">
        <v>228459.26207909401</v>
      </c>
      <c r="M45">
        <v>599</v>
      </c>
    </row>
    <row r="46" spans="1:13" ht="15">
      <c r="A46" t="s">
        <v>3374</v>
      </c>
      <c r="B46" s="1040" t="str">
        <f>CONCATENATE(LEFT(RIGHT(CONCATENATE("000",IFAData_TEA_1718!A46),6),3),"-",(RIGHT(RIGHT(CONCATENATE("000",IFAData_TEA_1718!A46),6),3)))</f>
        <v>007-905</v>
      </c>
      <c r="C46" t="s">
        <v>1001</v>
      </c>
      <c r="D46">
        <v>9</v>
      </c>
      <c r="E46">
        <v>2198</v>
      </c>
      <c r="F46" t="s">
        <v>4076</v>
      </c>
      <c r="G46" t="s">
        <v>4076</v>
      </c>
      <c r="H46">
        <v>212024</v>
      </c>
      <c r="I46">
        <v>0</v>
      </c>
      <c r="J46">
        <v>0</v>
      </c>
      <c r="K46">
        <v>0</v>
      </c>
      <c r="L46">
        <v>0</v>
      </c>
      <c r="M46">
        <v>599</v>
      </c>
    </row>
    <row r="47" spans="1:13" ht="15">
      <c r="A47" t="s">
        <v>3374</v>
      </c>
      <c r="B47" s="1040" t="str">
        <f>CONCATENATE(LEFT(RIGHT(CONCATENATE("000",IFAData_TEA_1718!A47),6),3),"-",(RIGHT(RIGHT(CONCATENATE("000",IFAData_TEA_1718!A47),6),3)))</f>
        <v>007-905</v>
      </c>
      <c r="C47" t="s">
        <v>1001</v>
      </c>
      <c r="D47">
        <v>9</v>
      </c>
      <c r="E47">
        <v>2198</v>
      </c>
      <c r="F47" t="s">
        <v>4076</v>
      </c>
      <c r="G47" t="s">
        <v>6400</v>
      </c>
      <c r="H47">
        <v>212024</v>
      </c>
      <c r="I47">
        <v>262244</v>
      </c>
      <c r="J47">
        <v>1</v>
      </c>
      <c r="K47">
        <v>212024</v>
      </c>
      <c r="L47">
        <v>212024</v>
      </c>
      <c r="M47">
        <v>599</v>
      </c>
    </row>
    <row r="48" spans="1:13" ht="15">
      <c r="A48" t="s">
        <v>3375</v>
      </c>
      <c r="B48" s="1040" t="str">
        <f>CONCATENATE(LEFT(RIGHT(CONCATENATE("000",IFAData_TEA_1718!A48),6),3),"-",(RIGHT(RIGHT(CONCATENATE("000",IFAData_TEA_1718!A48),6),3)))</f>
        <v>007-906</v>
      </c>
      <c r="C48" t="s">
        <v>1004</v>
      </c>
      <c r="D48">
        <v>5</v>
      </c>
      <c r="E48">
        <v>2205</v>
      </c>
      <c r="F48" t="s">
        <v>4077</v>
      </c>
      <c r="G48" t="s">
        <v>4077</v>
      </c>
      <c r="H48">
        <v>362375</v>
      </c>
      <c r="I48">
        <v>0</v>
      </c>
      <c r="J48">
        <v>0</v>
      </c>
      <c r="K48">
        <v>0</v>
      </c>
      <c r="L48">
        <v>0</v>
      </c>
      <c r="M48">
        <v>599</v>
      </c>
    </row>
    <row r="49" spans="1:13" ht="15">
      <c r="A49" t="s">
        <v>3375</v>
      </c>
      <c r="B49" s="1040" t="str">
        <f>CONCATENATE(LEFT(RIGHT(CONCATENATE("000",IFAData_TEA_1718!A49),6),3),"-",(RIGHT(RIGHT(CONCATENATE("000",IFAData_TEA_1718!A49),6),3)))</f>
        <v>007-906</v>
      </c>
      <c r="C49" t="s">
        <v>1004</v>
      </c>
      <c r="D49">
        <v>5</v>
      </c>
      <c r="E49">
        <v>2205</v>
      </c>
      <c r="F49" t="s">
        <v>4077</v>
      </c>
      <c r="G49" t="s">
        <v>4078</v>
      </c>
      <c r="H49">
        <v>362375</v>
      </c>
      <c r="I49">
        <v>109312</v>
      </c>
      <c r="J49">
        <v>0.34855031104620599</v>
      </c>
      <c r="K49">
        <v>126305.918965369</v>
      </c>
      <c r="L49">
        <v>109312</v>
      </c>
      <c r="M49">
        <v>599</v>
      </c>
    </row>
    <row r="50" spans="1:13" ht="15">
      <c r="A50" t="s">
        <v>3375</v>
      </c>
      <c r="B50" s="1040" t="str">
        <f>CONCATENATE(LEFT(RIGHT(CONCATENATE("000",IFAData_TEA_1718!A50),6),3),"-",(RIGHT(RIGHT(CONCATENATE("000",IFAData_TEA_1718!A50),6),3)))</f>
        <v>007-906</v>
      </c>
      <c r="C50" t="s">
        <v>1004</v>
      </c>
      <c r="D50">
        <v>5</v>
      </c>
      <c r="E50">
        <v>2205</v>
      </c>
      <c r="F50" t="s">
        <v>4077</v>
      </c>
      <c r="G50" t="s">
        <v>6401</v>
      </c>
      <c r="H50">
        <v>362375</v>
      </c>
      <c r="I50">
        <v>76012</v>
      </c>
      <c r="J50">
        <v>0.24237051964326101</v>
      </c>
      <c r="K50">
        <v>87829.017055726901</v>
      </c>
      <c r="L50">
        <v>76012</v>
      </c>
      <c r="M50">
        <v>599</v>
      </c>
    </row>
    <row r="51" spans="1:13" ht="15">
      <c r="A51" t="s">
        <v>3375</v>
      </c>
      <c r="B51" s="1040" t="str">
        <f>CONCATENATE(LEFT(RIGHT(CONCATENATE("000",IFAData_TEA_1718!A51),6),3),"-",(RIGHT(RIGHT(CONCATENATE("000",IFAData_TEA_1718!A51),6),3)))</f>
        <v>007-906</v>
      </c>
      <c r="C51" t="s">
        <v>1004</v>
      </c>
      <c r="D51">
        <v>5</v>
      </c>
      <c r="E51">
        <v>2205</v>
      </c>
      <c r="F51" t="s">
        <v>4077</v>
      </c>
      <c r="G51" t="s">
        <v>6823</v>
      </c>
      <c r="H51">
        <v>362375</v>
      </c>
      <c r="I51">
        <v>128295</v>
      </c>
      <c r="J51">
        <v>0.40907916931053301</v>
      </c>
      <c r="K51">
        <v>148240.06397890401</v>
      </c>
      <c r="L51">
        <v>128295</v>
      </c>
      <c r="M51">
        <v>599</v>
      </c>
    </row>
    <row r="52" spans="1:13" ht="15">
      <c r="A52" t="s">
        <v>3375</v>
      </c>
      <c r="B52" s="1040" t="str">
        <f>CONCATENATE(LEFT(RIGHT(CONCATENATE("000",IFAData_TEA_1718!A52),6),3),"-",(RIGHT(RIGHT(CONCATENATE("000",IFAData_TEA_1718!A52),6),3)))</f>
        <v>007-906</v>
      </c>
      <c r="C52" t="s">
        <v>1004</v>
      </c>
      <c r="D52">
        <v>6</v>
      </c>
      <c r="E52">
        <v>2203</v>
      </c>
      <c r="F52" t="s">
        <v>4079</v>
      </c>
      <c r="G52" t="s">
        <v>4079</v>
      </c>
      <c r="H52">
        <v>28625</v>
      </c>
      <c r="I52">
        <v>0</v>
      </c>
      <c r="J52">
        <v>0</v>
      </c>
      <c r="K52">
        <v>0</v>
      </c>
      <c r="L52">
        <v>0</v>
      </c>
      <c r="M52">
        <v>599</v>
      </c>
    </row>
    <row r="53" spans="1:13" ht="15">
      <c r="A53" t="s">
        <v>3375</v>
      </c>
      <c r="B53" s="1040" t="str">
        <f>CONCATENATE(LEFT(RIGHT(CONCATENATE("000",IFAData_TEA_1718!A53),6),3),"-",(RIGHT(RIGHT(CONCATENATE("000",IFAData_TEA_1718!A53),6),3)))</f>
        <v>007-906</v>
      </c>
      <c r="C53" t="s">
        <v>1004</v>
      </c>
      <c r="D53">
        <v>6</v>
      </c>
      <c r="E53">
        <v>2203</v>
      </c>
      <c r="F53" t="s">
        <v>4079</v>
      </c>
      <c r="G53" t="s">
        <v>6401</v>
      </c>
      <c r="H53">
        <v>28625</v>
      </c>
      <c r="I53">
        <v>28225</v>
      </c>
      <c r="J53">
        <v>1</v>
      </c>
      <c r="K53">
        <v>28625</v>
      </c>
      <c r="L53">
        <v>28225</v>
      </c>
      <c r="M53">
        <v>599</v>
      </c>
    </row>
    <row r="54" spans="1:13" ht="15">
      <c r="A54" t="s">
        <v>3375</v>
      </c>
      <c r="B54" s="1040" t="str">
        <f>CONCATENATE(LEFT(RIGHT(CONCATENATE("000",IFAData_TEA_1718!A54),6),3),"-",(RIGHT(RIGHT(CONCATENATE("000",IFAData_TEA_1718!A54),6),3)))</f>
        <v>007-906</v>
      </c>
      <c r="C54" t="s">
        <v>1004</v>
      </c>
      <c r="D54">
        <v>8</v>
      </c>
      <c r="E54">
        <v>2204</v>
      </c>
      <c r="F54" t="s">
        <v>4078</v>
      </c>
      <c r="G54" t="s">
        <v>4078</v>
      </c>
      <c r="H54">
        <v>308669</v>
      </c>
      <c r="I54">
        <v>95687</v>
      </c>
      <c r="J54">
        <v>0.34854842822278098</v>
      </c>
      <c r="K54">
        <v>107586.094791098</v>
      </c>
      <c r="L54">
        <v>95687</v>
      </c>
      <c r="M54">
        <v>599</v>
      </c>
    </row>
    <row r="55" spans="1:13" ht="15">
      <c r="A55" t="s">
        <v>3375</v>
      </c>
      <c r="B55" s="1040" t="str">
        <f>CONCATENATE(LEFT(RIGHT(CONCATENATE("000",IFAData_TEA_1718!A55),6),3),"-",(RIGHT(RIGHT(CONCATENATE("000",IFAData_TEA_1718!A55),6),3)))</f>
        <v>007-906</v>
      </c>
      <c r="C55" t="s">
        <v>1004</v>
      </c>
      <c r="D55">
        <v>8</v>
      </c>
      <c r="E55">
        <v>2204</v>
      </c>
      <c r="F55" t="s">
        <v>4078</v>
      </c>
      <c r="G55" t="s">
        <v>6401</v>
      </c>
      <c r="H55">
        <v>308669</v>
      </c>
      <c r="I55">
        <v>66538</v>
      </c>
      <c r="J55">
        <v>0.24237059702036201</v>
      </c>
      <c r="K55">
        <v>74812.2898116781</v>
      </c>
      <c r="L55">
        <v>66538</v>
      </c>
      <c r="M55">
        <v>599</v>
      </c>
    </row>
    <row r="56" spans="1:13" ht="15">
      <c r="A56" t="s">
        <v>3375</v>
      </c>
      <c r="B56" s="1040" t="str">
        <f>CONCATENATE(LEFT(RIGHT(CONCATENATE("000",IFAData_TEA_1718!A56),6),3),"-",(RIGHT(RIGHT(CONCATENATE("000",IFAData_TEA_1718!A56),6),3)))</f>
        <v>007-906</v>
      </c>
      <c r="C56" t="s">
        <v>1004</v>
      </c>
      <c r="D56">
        <v>8</v>
      </c>
      <c r="E56">
        <v>2204</v>
      </c>
      <c r="F56" t="s">
        <v>4078</v>
      </c>
      <c r="G56" t="s">
        <v>6823</v>
      </c>
      <c r="H56">
        <v>308669</v>
      </c>
      <c r="I56">
        <v>112305</v>
      </c>
      <c r="J56">
        <v>0.40908097475685701</v>
      </c>
      <c r="K56">
        <v>126270.615397224</v>
      </c>
      <c r="L56">
        <v>112305</v>
      </c>
      <c r="M56">
        <v>599</v>
      </c>
    </row>
    <row r="57" spans="1:13" ht="15">
      <c r="A57" t="s">
        <v>3375</v>
      </c>
      <c r="B57" s="1040" t="str">
        <f>CONCATENATE(LEFT(RIGHT(CONCATENATE("000",IFAData_TEA_1718!A57),6),3),"-",(RIGHT(RIGHT(CONCATENATE("000",IFAData_TEA_1718!A57),6),3)))</f>
        <v>007-906</v>
      </c>
      <c r="C57" t="s">
        <v>1004</v>
      </c>
      <c r="D57">
        <v>11</v>
      </c>
      <c r="E57">
        <v>2482</v>
      </c>
      <c r="F57" t="s">
        <v>8307</v>
      </c>
      <c r="G57" t="s">
        <v>8307</v>
      </c>
      <c r="H57">
        <v>410232</v>
      </c>
      <c r="I57">
        <v>1346875</v>
      </c>
      <c r="J57">
        <v>1</v>
      </c>
      <c r="K57">
        <v>410232</v>
      </c>
      <c r="L57">
        <v>410232</v>
      </c>
      <c r="M57">
        <v>599</v>
      </c>
    </row>
    <row r="58" spans="1:13" ht="15">
      <c r="A58" t="s">
        <v>3376</v>
      </c>
      <c r="B58" s="1040" t="str">
        <f>CONCATENATE(LEFT(RIGHT(CONCATENATE("000",IFAData_TEA_1718!A58),6),3),"-",(RIGHT(RIGHT(CONCATENATE("000",IFAData_TEA_1718!A58),6),3)))</f>
        <v>009-901</v>
      </c>
      <c r="C58" t="s">
        <v>1204</v>
      </c>
      <c r="D58">
        <v>9</v>
      </c>
      <c r="E58">
        <v>2123</v>
      </c>
      <c r="F58" t="s">
        <v>4080</v>
      </c>
      <c r="G58" t="s">
        <v>4080</v>
      </c>
      <c r="H58">
        <v>263987</v>
      </c>
      <c r="I58">
        <v>268886</v>
      </c>
      <c r="J58">
        <v>1</v>
      </c>
      <c r="K58">
        <v>263987</v>
      </c>
      <c r="L58">
        <v>263987</v>
      </c>
      <c r="M58">
        <v>599</v>
      </c>
    </row>
    <row r="59" spans="1:13" ht="15">
      <c r="A59" t="s">
        <v>3377</v>
      </c>
      <c r="B59" s="1040" t="str">
        <f>CONCATENATE(LEFT(RIGHT(CONCATENATE("000",IFAData_TEA_1718!A59),6),3),"-",(RIGHT(RIGHT(CONCATENATE("000",IFAData_TEA_1718!A59),6),3)))</f>
        <v>010-902</v>
      </c>
      <c r="C59" t="s">
        <v>2121</v>
      </c>
      <c r="D59">
        <v>6</v>
      </c>
      <c r="E59">
        <v>1591</v>
      </c>
      <c r="F59" t="s">
        <v>4081</v>
      </c>
      <c r="G59" t="s">
        <v>4081</v>
      </c>
      <c r="H59">
        <v>691574</v>
      </c>
      <c r="I59">
        <v>0</v>
      </c>
      <c r="J59">
        <v>0</v>
      </c>
      <c r="K59">
        <v>0</v>
      </c>
      <c r="L59">
        <v>0</v>
      </c>
      <c r="M59">
        <v>599</v>
      </c>
    </row>
    <row r="60" spans="1:13" ht="15">
      <c r="A60" t="s">
        <v>3377</v>
      </c>
      <c r="B60" s="1040" t="str">
        <f>CONCATENATE(LEFT(RIGHT(CONCATENATE("000",IFAData_TEA_1718!A60),6),3),"-",(RIGHT(RIGHT(CONCATENATE("000",IFAData_TEA_1718!A60),6),3)))</f>
        <v>010-902</v>
      </c>
      <c r="C60" t="s">
        <v>2121</v>
      </c>
      <c r="D60">
        <v>6</v>
      </c>
      <c r="E60">
        <v>1591</v>
      </c>
      <c r="F60" t="s">
        <v>4081</v>
      </c>
      <c r="G60" t="s">
        <v>4082</v>
      </c>
      <c r="H60">
        <v>691574</v>
      </c>
      <c r="I60">
        <v>1256175</v>
      </c>
      <c r="J60">
        <v>1</v>
      </c>
      <c r="K60">
        <v>691574</v>
      </c>
      <c r="L60">
        <v>691574</v>
      </c>
      <c r="M60">
        <v>599</v>
      </c>
    </row>
    <row r="61" spans="1:13" ht="15">
      <c r="A61" t="s">
        <v>3378</v>
      </c>
      <c r="B61" s="1040" t="str">
        <f>CONCATENATE(LEFT(RIGHT(CONCATENATE("000",IFAData_TEA_1718!A61),6),3),"-",(RIGHT(RIGHT(CONCATENATE("000",IFAData_TEA_1718!A61),6),3)))</f>
        <v>011-901</v>
      </c>
      <c r="C61" t="s">
        <v>2123</v>
      </c>
      <c r="D61">
        <v>3</v>
      </c>
      <c r="E61">
        <v>1596</v>
      </c>
      <c r="F61" t="s">
        <v>4083</v>
      </c>
      <c r="G61" t="s">
        <v>4083</v>
      </c>
      <c r="H61">
        <v>1423475</v>
      </c>
      <c r="I61">
        <v>2735225</v>
      </c>
      <c r="J61">
        <v>0.78188134047173696</v>
      </c>
      <c r="K61">
        <v>1112988.54112801</v>
      </c>
      <c r="L61">
        <v>1112988.54112801</v>
      </c>
      <c r="M61">
        <v>599</v>
      </c>
    </row>
    <row r="62" spans="1:13" ht="15">
      <c r="A62" t="s">
        <v>3378</v>
      </c>
      <c r="B62" s="1040" t="str">
        <f>CONCATENATE(LEFT(RIGHT(CONCATENATE("000",IFAData_TEA_1718!A62),6),3),"-",(RIGHT(RIGHT(CONCATENATE("000",IFAData_TEA_1718!A62),6),3)))</f>
        <v>011-901</v>
      </c>
      <c r="C62" t="s">
        <v>2123</v>
      </c>
      <c r="D62">
        <v>3</v>
      </c>
      <c r="E62">
        <v>1596</v>
      </c>
      <c r="F62" t="s">
        <v>4083</v>
      </c>
      <c r="G62" t="s">
        <v>4084</v>
      </c>
      <c r="H62">
        <v>1423475</v>
      </c>
      <c r="I62">
        <v>0</v>
      </c>
      <c r="J62">
        <v>0</v>
      </c>
      <c r="K62">
        <v>0</v>
      </c>
      <c r="L62">
        <v>0</v>
      </c>
      <c r="M62">
        <v>599</v>
      </c>
    </row>
    <row r="63" spans="1:13" ht="15">
      <c r="A63" t="s">
        <v>3378</v>
      </c>
      <c r="B63" s="1040" t="str">
        <f>CONCATENATE(LEFT(RIGHT(CONCATENATE("000",IFAData_TEA_1718!A63),6),3),"-",(RIGHT(RIGHT(CONCATENATE("000",IFAData_TEA_1718!A63),6),3)))</f>
        <v>011-901</v>
      </c>
      <c r="C63" t="s">
        <v>2123</v>
      </c>
      <c r="D63">
        <v>3</v>
      </c>
      <c r="E63">
        <v>1596</v>
      </c>
      <c r="F63" t="s">
        <v>4083</v>
      </c>
      <c r="G63" t="s">
        <v>4085</v>
      </c>
      <c r="H63">
        <v>1423475</v>
      </c>
      <c r="I63">
        <v>0</v>
      </c>
      <c r="J63">
        <v>0</v>
      </c>
      <c r="K63">
        <v>0</v>
      </c>
      <c r="L63">
        <v>0</v>
      </c>
      <c r="M63">
        <v>599</v>
      </c>
    </row>
    <row r="64" spans="1:13" ht="15">
      <c r="A64" t="s">
        <v>3378</v>
      </c>
      <c r="B64" s="1040" t="str">
        <f>CONCATENATE(LEFT(RIGHT(CONCATENATE("000",IFAData_TEA_1718!A64),6),3),"-",(RIGHT(RIGHT(CONCATENATE("000",IFAData_TEA_1718!A64),6),3)))</f>
        <v>011-901</v>
      </c>
      <c r="C64" t="s">
        <v>2123</v>
      </c>
      <c r="D64">
        <v>3</v>
      </c>
      <c r="E64">
        <v>1596</v>
      </c>
      <c r="F64" t="s">
        <v>4083</v>
      </c>
      <c r="G64" t="s">
        <v>4086</v>
      </c>
      <c r="H64">
        <v>1423475</v>
      </c>
      <c r="I64">
        <v>701394</v>
      </c>
      <c r="J64">
        <v>0.20049790453027899</v>
      </c>
      <c r="K64">
        <v>285403.75465124001</v>
      </c>
      <c r="L64">
        <v>285403.75465124001</v>
      </c>
      <c r="M64">
        <v>599</v>
      </c>
    </row>
    <row r="65" spans="1:13" ht="15">
      <c r="A65" t="s">
        <v>3378</v>
      </c>
      <c r="B65" s="1040" t="str">
        <f>CONCATENATE(LEFT(RIGHT(CONCATENATE("000",IFAData_TEA_1718!A65),6),3),"-",(RIGHT(RIGHT(CONCATENATE("000",IFAData_TEA_1718!A65),6),3)))</f>
        <v>011-901</v>
      </c>
      <c r="C65" t="s">
        <v>2123</v>
      </c>
      <c r="D65">
        <v>3</v>
      </c>
      <c r="E65">
        <v>1596</v>
      </c>
      <c r="F65" t="s">
        <v>4083</v>
      </c>
      <c r="G65" t="s">
        <v>6179</v>
      </c>
      <c r="H65">
        <v>1423475</v>
      </c>
      <c r="I65">
        <v>56954</v>
      </c>
      <c r="J65">
        <v>1.6280660591076499E-2</v>
      </c>
      <c r="K65">
        <v>23175.113334882699</v>
      </c>
      <c r="L65">
        <v>23175.113334882699</v>
      </c>
      <c r="M65">
        <v>599</v>
      </c>
    </row>
    <row r="66" spans="1:13" ht="15">
      <c r="A66" t="s">
        <v>3378</v>
      </c>
      <c r="B66" s="1040" t="str">
        <f>CONCATENATE(LEFT(RIGHT(CONCATENATE("000",IFAData_TEA_1718!A66),6),3),"-",(RIGHT(RIGHT(CONCATENATE("000",IFAData_TEA_1718!A66),6),3)))</f>
        <v>011-901</v>
      </c>
      <c r="C66" t="s">
        <v>2123</v>
      </c>
      <c r="D66">
        <v>3</v>
      </c>
      <c r="E66">
        <v>1596</v>
      </c>
      <c r="F66" t="s">
        <v>4083</v>
      </c>
      <c r="G66" t="s">
        <v>6402</v>
      </c>
      <c r="H66">
        <v>1423475</v>
      </c>
      <c r="I66">
        <v>4688</v>
      </c>
      <c r="J66">
        <v>1.3400944069067501E-3</v>
      </c>
      <c r="K66">
        <v>1907.59088587158</v>
      </c>
      <c r="L66">
        <v>1907.59088587158</v>
      </c>
      <c r="M66">
        <v>599</v>
      </c>
    </row>
    <row r="67" spans="1:13" ht="15">
      <c r="A67" t="s">
        <v>3378</v>
      </c>
      <c r="B67" s="1040" t="str">
        <f>CONCATENATE(LEFT(RIGHT(CONCATENATE("000",IFAData_TEA_1718!A67),6),3),"-",(RIGHT(RIGHT(CONCATENATE("000",IFAData_TEA_1718!A67),6),3)))</f>
        <v>011-901</v>
      </c>
      <c r="C67" t="s">
        <v>2123</v>
      </c>
      <c r="D67">
        <v>9</v>
      </c>
      <c r="E67">
        <v>1595</v>
      </c>
      <c r="F67" t="s">
        <v>4087</v>
      </c>
      <c r="G67" t="s">
        <v>4087</v>
      </c>
      <c r="H67">
        <v>1091461</v>
      </c>
      <c r="I67">
        <v>0</v>
      </c>
      <c r="J67">
        <v>0</v>
      </c>
      <c r="K67">
        <v>0</v>
      </c>
      <c r="L67">
        <v>0</v>
      </c>
      <c r="M67">
        <v>599</v>
      </c>
    </row>
    <row r="68" spans="1:13" ht="15">
      <c r="A68" t="s">
        <v>3378</v>
      </c>
      <c r="B68" s="1040" t="str">
        <f>CONCATENATE(LEFT(RIGHT(CONCATENATE("000",IFAData_TEA_1718!A68),6),3),"-",(RIGHT(RIGHT(CONCATENATE("000",IFAData_TEA_1718!A68),6),3)))</f>
        <v>011-901</v>
      </c>
      <c r="C68" t="s">
        <v>2123</v>
      </c>
      <c r="D68">
        <v>9</v>
      </c>
      <c r="E68">
        <v>1595</v>
      </c>
      <c r="F68" t="s">
        <v>4087</v>
      </c>
      <c r="G68" t="s">
        <v>6178</v>
      </c>
      <c r="H68">
        <v>1091461</v>
      </c>
      <c r="I68">
        <v>260878</v>
      </c>
      <c r="J68">
        <v>0.16864982138031701</v>
      </c>
      <c r="K68">
        <v>184074.70269358199</v>
      </c>
      <c r="L68">
        <v>184074.70269358199</v>
      </c>
      <c r="M68">
        <v>599</v>
      </c>
    </row>
    <row r="69" spans="1:13" ht="15">
      <c r="A69" t="s">
        <v>3378</v>
      </c>
      <c r="B69" s="1040" t="str">
        <f>CONCATENATE(LEFT(RIGHT(CONCATENATE("000",IFAData_TEA_1718!A69),6),3),"-",(RIGHT(RIGHT(CONCATENATE("000",IFAData_TEA_1718!A69),6),3)))</f>
        <v>011-901</v>
      </c>
      <c r="C69" t="s">
        <v>2123</v>
      </c>
      <c r="D69">
        <v>9</v>
      </c>
      <c r="E69">
        <v>1595</v>
      </c>
      <c r="F69" t="s">
        <v>4087</v>
      </c>
      <c r="G69" t="s">
        <v>4088</v>
      </c>
      <c r="H69">
        <v>1091461</v>
      </c>
      <c r="I69">
        <v>315414</v>
      </c>
      <c r="J69">
        <v>0.203905713631856</v>
      </c>
      <c r="K69">
        <v>222555.13410633901</v>
      </c>
      <c r="L69">
        <v>222555.13410633901</v>
      </c>
      <c r="M69">
        <v>599</v>
      </c>
    </row>
    <row r="70" spans="1:13" ht="15">
      <c r="A70" t="s">
        <v>3378</v>
      </c>
      <c r="B70" s="1040" t="str">
        <f>CONCATENATE(LEFT(RIGHT(CONCATENATE("000",IFAData_TEA_1718!A70),6),3),"-",(RIGHT(RIGHT(CONCATENATE("000",IFAData_TEA_1718!A70),6),3)))</f>
        <v>011-901</v>
      </c>
      <c r="C70" t="s">
        <v>2123</v>
      </c>
      <c r="D70">
        <v>9</v>
      </c>
      <c r="E70">
        <v>1595</v>
      </c>
      <c r="F70" t="s">
        <v>4087</v>
      </c>
      <c r="G70" t="s">
        <v>4086</v>
      </c>
      <c r="H70">
        <v>1091461</v>
      </c>
      <c r="I70">
        <v>27654</v>
      </c>
      <c r="J70">
        <v>1.78774835764276E-2</v>
      </c>
      <c r="K70">
        <v>19512.576101811301</v>
      </c>
      <c r="L70">
        <v>19512.576101811301</v>
      </c>
      <c r="M70">
        <v>599</v>
      </c>
    </row>
    <row r="71" spans="1:13" ht="15">
      <c r="A71" t="s">
        <v>3378</v>
      </c>
      <c r="B71" s="1040" t="str">
        <f>CONCATENATE(LEFT(RIGHT(CONCATENATE("000",IFAData_TEA_1718!A71),6),3),"-",(RIGHT(RIGHT(CONCATENATE("000",IFAData_TEA_1718!A71),6),3)))</f>
        <v>011-901</v>
      </c>
      <c r="C71" t="s">
        <v>2123</v>
      </c>
      <c r="D71">
        <v>9</v>
      </c>
      <c r="E71">
        <v>1595</v>
      </c>
      <c r="F71" t="s">
        <v>4087</v>
      </c>
      <c r="G71" t="s">
        <v>6179</v>
      </c>
      <c r="H71">
        <v>1091461</v>
      </c>
      <c r="I71">
        <v>924027</v>
      </c>
      <c r="J71">
        <v>0.59735580808113498</v>
      </c>
      <c r="K71">
        <v>651990.56764404301</v>
      </c>
      <c r="L71">
        <v>651990.56764404301</v>
      </c>
      <c r="M71">
        <v>599</v>
      </c>
    </row>
    <row r="72" spans="1:13" ht="15">
      <c r="A72" t="s">
        <v>3378</v>
      </c>
      <c r="B72" s="1040" t="str">
        <f>CONCATENATE(LEFT(RIGHT(CONCATENATE("000",IFAData_TEA_1718!A72),6),3),"-",(RIGHT(RIGHT(CONCATENATE("000",IFAData_TEA_1718!A72),6),3)))</f>
        <v>011-901</v>
      </c>
      <c r="C72" t="s">
        <v>2123</v>
      </c>
      <c r="D72">
        <v>9</v>
      </c>
      <c r="E72">
        <v>1595</v>
      </c>
      <c r="F72" t="s">
        <v>4087</v>
      </c>
      <c r="G72" t="s">
        <v>6402</v>
      </c>
      <c r="H72">
        <v>1091461</v>
      </c>
      <c r="I72">
        <v>18889</v>
      </c>
      <c r="J72">
        <v>1.22111733302648E-2</v>
      </c>
      <c r="K72">
        <v>13328.019454224101</v>
      </c>
      <c r="L72">
        <v>13328.019454224101</v>
      </c>
      <c r="M72">
        <v>599</v>
      </c>
    </row>
    <row r="73" spans="1:13" ht="15">
      <c r="A73" t="s">
        <v>3378</v>
      </c>
      <c r="B73" s="1040" t="str">
        <f>CONCATENATE(LEFT(RIGHT(CONCATENATE("000",IFAData_TEA_1718!A73),6),3),"-",(RIGHT(RIGHT(CONCATENATE("000",IFAData_TEA_1718!A73),6),3)))</f>
        <v>011-901</v>
      </c>
      <c r="C73" t="s">
        <v>2123</v>
      </c>
      <c r="D73">
        <v>9</v>
      </c>
      <c r="E73">
        <v>1594</v>
      </c>
      <c r="F73" t="s">
        <v>4089</v>
      </c>
      <c r="G73" t="s">
        <v>4089</v>
      </c>
      <c r="H73">
        <v>871791</v>
      </c>
      <c r="I73">
        <v>0</v>
      </c>
      <c r="J73">
        <v>0</v>
      </c>
      <c r="K73">
        <v>0</v>
      </c>
      <c r="L73">
        <v>0</v>
      </c>
      <c r="M73">
        <v>599</v>
      </c>
    </row>
    <row r="74" spans="1:13" ht="15">
      <c r="A74" t="s">
        <v>3378</v>
      </c>
      <c r="B74" s="1040" t="str">
        <f>CONCATENATE(LEFT(RIGHT(CONCATENATE("000",IFAData_TEA_1718!A74),6),3),"-",(RIGHT(RIGHT(CONCATENATE("000",IFAData_TEA_1718!A74),6),3)))</f>
        <v>011-901</v>
      </c>
      <c r="C74" t="s">
        <v>2123</v>
      </c>
      <c r="D74">
        <v>9</v>
      </c>
      <c r="E74">
        <v>1594</v>
      </c>
      <c r="F74" t="s">
        <v>4089</v>
      </c>
      <c r="G74" t="s">
        <v>4090</v>
      </c>
      <c r="H74">
        <v>871791</v>
      </c>
      <c r="I74">
        <v>0</v>
      </c>
      <c r="J74">
        <v>0</v>
      </c>
      <c r="K74">
        <v>0</v>
      </c>
      <c r="L74">
        <v>0</v>
      </c>
      <c r="M74">
        <v>599</v>
      </c>
    </row>
    <row r="75" spans="1:13" ht="15">
      <c r="A75" t="s">
        <v>3378</v>
      </c>
      <c r="B75" s="1040" t="str">
        <f>CONCATENATE(LEFT(RIGHT(CONCATENATE("000",IFAData_TEA_1718!A75),6),3),"-",(RIGHT(RIGHT(CONCATENATE("000",IFAData_TEA_1718!A75),6),3)))</f>
        <v>011-901</v>
      </c>
      <c r="C75" t="s">
        <v>2123</v>
      </c>
      <c r="D75">
        <v>9</v>
      </c>
      <c r="E75">
        <v>1594</v>
      </c>
      <c r="F75" t="s">
        <v>4089</v>
      </c>
      <c r="G75" t="s">
        <v>6180</v>
      </c>
      <c r="H75">
        <v>871791</v>
      </c>
      <c r="I75">
        <v>1293524</v>
      </c>
      <c r="J75">
        <v>1</v>
      </c>
      <c r="K75">
        <v>871791</v>
      </c>
      <c r="L75">
        <v>871791</v>
      </c>
      <c r="M75">
        <v>599</v>
      </c>
    </row>
    <row r="76" spans="1:13" ht="15">
      <c r="A76" t="s">
        <v>3378</v>
      </c>
      <c r="B76" s="1040" t="str">
        <f>CONCATENATE(LEFT(RIGHT(CONCATENATE("000",IFAData_TEA_1718!A76),6),3),"-",(RIGHT(RIGHT(CONCATENATE("000",IFAData_TEA_1718!A76),6),3)))</f>
        <v>011-901</v>
      </c>
      <c r="C76" t="s">
        <v>2123</v>
      </c>
      <c r="D76">
        <v>10</v>
      </c>
      <c r="E76">
        <v>1597</v>
      </c>
      <c r="F76" t="s">
        <v>4091</v>
      </c>
      <c r="G76" t="s">
        <v>4091</v>
      </c>
      <c r="H76">
        <v>2083922</v>
      </c>
      <c r="I76">
        <v>1817907</v>
      </c>
      <c r="J76">
        <v>0.54600360777275003</v>
      </c>
      <c r="K76">
        <v>1137828.930317</v>
      </c>
      <c r="L76">
        <v>1137828.930317</v>
      </c>
      <c r="M76">
        <v>599</v>
      </c>
    </row>
    <row r="77" spans="1:13" ht="15">
      <c r="A77" t="s">
        <v>3378</v>
      </c>
      <c r="B77" s="1040" t="str">
        <f>CONCATENATE(LEFT(RIGHT(CONCATENATE("000",IFAData_TEA_1718!A77),6),3),"-",(RIGHT(RIGHT(CONCATENATE("000",IFAData_TEA_1718!A77),6),3)))</f>
        <v>011-901</v>
      </c>
      <c r="C77" t="s">
        <v>2123</v>
      </c>
      <c r="D77">
        <v>10</v>
      </c>
      <c r="E77">
        <v>1597</v>
      </c>
      <c r="F77" t="s">
        <v>4091</v>
      </c>
      <c r="G77" t="s">
        <v>6403</v>
      </c>
      <c r="H77">
        <v>2083922</v>
      </c>
      <c r="I77">
        <v>326200</v>
      </c>
      <c r="J77">
        <v>9.7973315937213007E-2</v>
      </c>
      <c r="K77">
        <v>204168.748494509</v>
      </c>
      <c r="L77">
        <v>204168.748494509</v>
      </c>
      <c r="M77">
        <v>599</v>
      </c>
    </row>
    <row r="78" spans="1:13" ht="15">
      <c r="A78" t="s">
        <v>3378</v>
      </c>
      <c r="B78" s="1040" t="str">
        <f>CONCATENATE(LEFT(RIGHT(CONCATENATE("000",IFAData_TEA_1718!A78),6),3),"-",(RIGHT(RIGHT(CONCATENATE("000",IFAData_TEA_1718!A78),6),3)))</f>
        <v>011-901</v>
      </c>
      <c r="C78" t="s">
        <v>2123</v>
      </c>
      <c r="D78">
        <v>10</v>
      </c>
      <c r="E78">
        <v>1597</v>
      </c>
      <c r="F78" t="s">
        <v>4091</v>
      </c>
      <c r="G78" t="s">
        <v>8308</v>
      </c>
      <c r="H78">
        <v>2083922</v>
      </c>
      <c r="I78">
        <v>1185371</v>
      </c>
      <c r="J78">
        <v>0.35602307629003699</v>
      </c>
      <c r="K78">
        <v>741924.321188487</v>
      </c>
      <c r="L78">
        <v>741924.321188487</v>
      </c>
      <c r="M78">
        <v>599</v>
      </c>
    </row>
    <row r="79" spans="1:13" ht="15">
      <c r="A79" t="s">
        <v>3379</v>
      </c>
      <c r="B79" s="1040" t="str">
        <f>CONCATENATE(LEFT(RIGHT(CONCATENATE("000",IFAData_TEA_1718!A79),6),3),"-",(RIGHT(RIGHT(CONCATENATE("000",IFAData_TEA_1718!A79),6),3)))</f>
        <v>011-902</v>
      </c>
      <c r="C79" t="s">
        <v>890</v>
      </c>
      <c r="D79">
        <v>1</v>
      </c>
      <c r="E79">
        <v>1799</v>
      </c>
      <c r="F79" t="s">
        <v>4092</v>
      </c>
      <c r="G79" t="s">
        <v>4092</v>
      </c>
      <c r="H79">
        <v>597138</v>
      </c>
      <c r="I79">
        <v>0</v>
      </c>
      <c r="J79">
        <v>0</v>
      </c>
      <c r="K79">
        <v>0</v>
      </c>
      <c r="L79">
        <v>0</v>
      </c>
      <c r="M79">
        <v>599</v>
      </c>
    </row>
    <row r="80" spans="1:13" ht="15">
      <c r="A80" t="s">
        <v>3379</v>
      </c>
      <c r="B80" s="1040" t="str">
        <f>CONCATENATE(LEFT(RIGHT(CONCATENATE("000",IFAData_TEA_1718!A80),6),3),"-",(RIGHT(RIGHT(CONCATENATE("000",IFAData_TEA_1718!A80),6),3)))</f>
        <v>011-902</v>
      </c>
      <c r="C80" t="s">
        <v>890</v>
      </c>
      <c r="D80">
        <v>1</v>
      </c>
      <c r="E80">
        <v>1799</v>
      </c>
      <c r="F80" t="s">
        <v>4092</v>
      </c>
      <c r="G80" t="s">
        <v>4093</v>
      </c>
      <c r="H80">
        <v>597138</v>
      </c>
      <c r="I80">
        <v>0</v>
      </c>
      <c r="J80">
        <v>0</v>
      </c>
      <c r="K80">
        <v>0</v>
      </c>
      <c r="L80">
        <v>0</v>
      </c>
      <c r="M80">
        <v>599</v>
      </c>
    </row>
    <row r="81" spans="1:13" ht="15">
      <c r="A81" t="s">
        <v>3379</v>
      </c>
      <c r="B81" s="1040" t="str">
        <f>CONCATENATE(LEFT(RIGHT(CONCATENATE("000",IFAData_TEA_1718!A81),6),3),"-",(RIGHT(RIGHT(CONCATENATE("000",IFAData_TEA_1718!A81),6),3)))</f>
        <v>011-902</v>
      </c>
      <c r="C81" t="s">
        <v>890</v>
      </c>
      <c r="D81">
        <v>1</v>
      </c>
      <c r="E81">
        <v>1799</v>
      </c>
      <c r="F81" t="s">
        <v>4092</v>
      </c>
      <c r="G81" t="s">
        <v>6404</v>
      </c>
      <c r="H81">
        <v>597138</v>
      </c>
      <c r="I81">
        <v>961500</v>
      </c>
      <c r="J81">
        <v>1</v>
      </c>
      <c r="K81">
        <v>597138</v>
      </c>
      <c r="L81">
        <v>597138</v>
      </c>
      <c r="M81">
        <v>599</v>
      </c>
    </row>
    <row r="82" spans="1:13" ht="15">
      <c r="A82" t="s">
        <v>3379</v>
      </c>
      <c r="B82" s="1040" t="str">
        <f>CONCATENATE(LEFT(RIGHT(CONCATENATE("000",IFAData_TEA_1718!A82),6),3),"-",(RIGHT(RIGHT(CONCATENATE("000",IFAData_TEA_1718!A82),6),3)))</f>
        <v>011-902</v>
      </c>
      <c r="C82" t="s">
        <v>890</v>
      </c>
      <c r="D82">
        <v>9</v>
      </c>
      <c r="E82">
        <v>1800</v>
      </c>
      <c r="F82" t="s">
        <v>4094</v>
      </c>
      <c r="G82" t="s">
        <v>4094</v>
      </c>
      <c r="H82">
        <v>945091</v>
      </c>
      <c r="I82">
        <v>0</v>
      </c>
      <c r="J82">
        <v>0</v>
      </c>
      <c r="K82">
        <v>0</v>
      </c>
      <c r="L82">
        <v>0</v>
      </c>
      <c r="M82">
        <v>599</v>
      </c>
    </row>
    <row r="83" spans="1:13" ht="15">
      <c r="A83" t="s">
        <v>3379</v>
      </c>
      <c r="B83" s="1040" t="str">
        <f>CONCATENATE(LEFT(RIGHT(CONCATENATE("000",IFAData_TEA_1718!A83),6),3),"-",(RIGHT(RIGHT(CONCATENATE("000",IFAData_TEA_1718!A83),6),3)))</f>
        <v>011-902</v>
      </c>
      <c r="C83" t="s">
        <v>890</v>
      </c>
      <c r="D83">
        <v>9</v>
      </c>
      <c r="E83">
        <v>1800</v>
      </c>
      <c r="F83" t="s">
        <v>4094</v>
      </c>
      <c r="G83" t="s">
        <v>4095</v>
      </c>
      <c r="H83">
        <v>945091</v>
      </c>
      <c r="I83">
        <v>194690</v>
      </c>
      <c r="J83">
        <v>9.2819448556457101E-2</v>
      </c>
      <c r="K83">
        <v>87722.825455670594</v>
      </c>
      <c r="L83">
        <v>87722.825455670594</v>
      </c>
      <c r="M83">
        <v>599</v>
      </c>
    </row>
    <row r="84" spans="1:13" ht="15">
      <c r="A84" t="s">
        <v>3379</v>
      </c>
      <c r="B84" s="1040" t="str">
        <f>CONCATENATE(LEFT(RIGHT(CONCATENATE("000",IFAData_TEA_1718!A84),6),3),"-",(RIGHT(RIGHT(CONCATENATE("000",IFAData_TEA_1718!A84),6),3)))</f>
        <v>011-902</v>
      </c>
      <c r="C84" t="s">
        <v>890</v>
      </c>
      <c r="D84">
        <v>9</v>
      </c>
      <c r="E84">
        <v>1800</v>
      </c>
      <c r="F84" t="s">
        <v>4094</v>
      </c>
      <c r="G84" t="s">
        <v>4096</v>
      </c>
      <c r="H84">
        <v>945091</v>
      </c>
      <c r="I84">
        <v>323493</v>
      </c>
      <c r="J84">
        <v>0.154226934469536</v>
      </c>
      <c r="K84">
        <v>145758.487724748</v>
      </c>
      <c r="L84">
        <v>145758.487724748</v>
      </c>
      <c r="M84">
        <v>599</v>
      </c>
    </row>
    <row r="85" spans="1:13" ht="15">
      <c r="A85" t="s">
        <v>3379</v>
      </c>
      <c r="B85" s="1040" t="str">
        <f>CONCATENATE(LEFT(RIGHT(CONCATENATE("000",IFAData_TEA_1718!A85),6),3),"-",(RIGHT(RIGHT(CONCATENATE("000",IFAData_TEA_1718!A85),6),3)))</f>
        <v>011-902</v>
      </c>
      <c r="C85" t="s">
        <v>890</v>
      </c>
      <c r="D85">
        <v>9</v>
      </c>
      <c r="E85">
        <v>1800</v>
      </c>
      <c r="F85" t="s">
        <v>4094</v>
      </c>
      <c r="G85" t="s">
        <v>8309</v>
      </c>
      <c r="H85">
        <v>945091</v>
      </c>
      <c r="I85">
        <v>1579330</v>
      </c>
      <c r="J85">
        <v>0.75295361697400698</v>
      </c>
      <c r="K85">
        <v>711609.68681958097</v>
      </c>
      <c r="L85">
        <v>711609.68681958097</v>
      </c>
      <c r="M85">
        <v>599</v>
      </c>
    </row>
    <row r="86" spans="1:13" ht="15">
      <c r="A86" t="s">
        <v>3380</v>
      </c>
      <c r="B86" s="1040" t="str">
        <f>CONCATENATE(LEFT(RIGHT(CONCATENATE("000",IFAData_TEA_1718!A86),6),3),"-",(RIGHT(RIGHT(CONCATENATE("000",IFAData_TEA_1718!A86),6),3)))</f>
        <v>011-904</v>
      </c>
      <c r="C86" t="s">
        <v>1928</v>
      </c>
      <c r="D86">
        <v>6</v>
      </c>
      <c r="E86">
        <v>2342</v>
      </c>
      <c r="F86" t="s">
        <v>4097</v>
      </c>
      <c r="G86" t="s">
        <v>4097</v>
      </c>
      <c r="H86">
        <v>449656</v>
      </c>
      <c r="I86">
        <v>0</v>
      </c>
      <c r="J86">
        <v>0</v>
      </c>
      <c r="K86">
        <v>0</v>
      </c>
      <c r="L86">
        <v>0</v>
      </c>
      <c r="M86">
        <v>599</v>
      </c>
    </row>
    <row r="87" spans="1:13" ht="15">
      <c r="A87" t="s">
        <v>3380</v>
      </c>
      <c r="B87" s="1040" t="str">
        <f>CONCATENATE(LEFT(RIGHT(CONCATENATE("000",IFAData_TEA_1718!A87),6),3),"-",(RIGHT(RIGHT(CONCATENATE("000",IFAData_TEA_1718!A87),6),3)))</f>
        <v>011-904</v>
      </c>
      <c r="C87" t="s">
        <v>1928</v>
      </c>
      <c r="D87">
        <v>6</v>
      </c>
      <c r="E87">
        <v>2342</v>
      </c>
      <c r="F87" t="s">
        <v>4097</v>
      </c>
      <c r="G87" t="s">
        <v>4098</v>
      </c>
      <c r="H87">
        <v>449656</v>
      </c>
      <c r="I87">
        <v>934965</v>
      </c>
      <c r="J87">
        <v>0.84527995183079996</v>
      </c>
      <c r="K87">
        <v>380085.20202043001</v>
      </c>
      <c r="L87">
        <v>380085.20202043001</v>
      </c>
      <c r="M87">
        <v>599</v>
      </c>
    </row>
    <row r="88" spans="1:13" ht="15">
      <c r="A88" t="s">
        <v>3380</v>
      </c>
      <c r="B88" s="1040" t="str">
        <f>CONCATENATE(LEFT(RIGHT(CONCATENATE("000",IFAData_TEA_1718!A88),6),3),"-",(RIGHT(RIGHT(CONCATENATE("000",IFAData_TEA_1718!A88),6),3)))</f>
        <v>011-904</v>
      </c>
      <c r="C88" t="s">
        <v>1928</v>
      </c>
      <c r="D88">
        <v>6</v>
      </c>
      <c r="E88">
        <v>2342</v>
      </c>
      <c r="F88" t="s">
        <v>4097</v>
      </c>
      <c r="G88" t="s">
        <v>4099</v>
      </c>
      <c r="H88">
        <v>449656</v>
      </c>
      <c r="I88">
        <v>0</v>
      </c>
      <c r="J88">
        <v>0</v>
      </c>
      <c r="K88">
        <v>0</v>
      </c>
      <c r="L88">
        <v>0</v>
      </c>
      <c r="M88">
        <v>599</v>
      </c>
    </row>
    <row r="89" spans="1:13" ht="15">
      <c r="A89" t="s">
        <v>3380</v>
      </c>
      <c r="B89" s="1040" t="str">
        <f>CONCATENATE(LEFT(RIGHT(CONCATENATE("000",IFAData_TEA_1718!A89),6),3),"-",(RIGHT(RIGHT(CONCATENATE("000",IFAData_TEA_1718!A89),6),3)))</f>
        <v>011-904</v>
      </c>
      <c r="C89" t="s">
        <v>1928</v>
      </c>
      <c r="D89">
        <v>6</v>
      </c>
      <c r="E89">
        <v>2342</v>
      </c>
      <c r="F89" t="s">
        <v>4097</v>
      </c>
      <c r="G89" t="s">
        <v>6181</v>
      </c>
      <c r="H89">
        <v>449656</v>
      </c>
      <c r="I89">
        <v>171136</v>
      </c>
      <c r="J89">
        <v>0.15472004816919999</v>
      </c>
      <c r="K89">
        <v>69570.797979569703</v>
      </c>
      <c r="L89">
        <v>69570.797979569703</v>
      </c>
      <c r="M89">
        <v>599</v>
      </c>
    </row>
    <row r="90" spans="1:13" ht="15">
      <c r="A90" t="s">
        <v>3381</v>
      </c>
      <c r="B90" s="1040" t="str">
        <f>CONCATENATE(LEFT(RIGHT(CONCATENATE("000",IFAData_TEA_1718!A90),6),3),"-",(RIGHT(RIGHT(CONCATENATE("000",IFAData_TEA_1718!A90),6),3)))</f>
        <v>011-905</v>
      </c>
      <c r="C90" t="s">
        <v>818</v>
      </c>
      <c r="D90">
        <v>5</v>
      </c>
      <c r="E90">
        <v>2080</v>
      </c>
      <c r="F90" t="s">
        <v>4100</v>
      </c>
      <c r="G90" t="s">
        <v>4100</v>
      </c>
      <c r="H90">
        <v>100000</v>
      </c>
      <c r="I90">
        <v>0</v>
      </c>
      <c r="J90">
        <v>0</v>
      </c>
      <c r="K90">
        <v>0</v>
      </c>
      <c r="L90">
        <v>0</v>
      </c>
      <c r="M90">
        <v>599</v>
      </c>
    </row>
    <row r="91" spans="1:13" ht="15">
      <c r="A91" t="s">
        <v>3381</v>
      </c>
      <c r="B91" s="1040" t="str">
        <f>CONCATENATE(LEFT(RIGHT(CONCATENATE("000",IFAData_TEA_1718!A91),6),3),"-",(RIGHT(RIGHT(CONCATENATE("000",IFAData_TEA_1718!A91),6),3)))</f>
        <v>011-905</v>
      </c>
      <c r="C91" t="s">
        <v>818</v>
      </c>
      <c r="D91">
        <v>5</v>
      </c>
      <c r="E91">
        <v>2080</v>
      </c>
      <c r="F91" t="s">
        <v>4100</v>
      </c>
      <c r="G91" t="s">
        <v>4101</v>
      </c>
      <c r="H91">
        <v>100000</v>
      </c>
      <c r="I91">
        <v>96025</v>
      </c>
      <c r="J91">
        <v>1</v>
      </c>
      <c r="K91">
        <v>100000</v>
      </c>
      <c r="L91">
        <v>96025</v>
      </c>
      <c r="M91">
        <v>599</v>
      </c>
    </row>
    <row r="92" spans="1:13" ht="15">
      <c r="A92" t="s">
        <v>3382</v>
      </c>
      <c r="B92" s="1040" t="str">
        <f>CONCATENATE(LEFT(RIGHT(CONCATENATE("000",IFAData_TEA_1718!A92),6),3),"-",(RIGHT(RIGHT(CONCATENATE("000",IFAData_TEA_1718!A92),6),3)))</f>
        <v>013-901</v>
      </c>
      <c r="C92" t="s">
        <v>2124</v>
      </c>
      <c r="D92">
        <v>6</v>
      </c>
      <c r="E92">
        <v>1599</v>
      </c>
      <c r="F92" t="s">
        <v>4102</v>
      </c>
      <c r="G92" t="s">
        <v>4102</v>
      </c>
      <c r="H92">
        <v>855519</v>
      </c>
      <c r="I92">
        <v>0</v>
      </c>
      <c r="J92">
        <v>0</v>
      </c>
      <c r="K92">
        <v>0</v>
      </c>
      <c r="L92">
        <v>0</v>
      </c>
      <c r="M92">
        <v>599</v>
      </c>
    </row>
    <row r="93" spans="1:13" ht="15">
      <c r="A93" t="s">
        <v>3382</v>
      </c>
      <c r="B93" s="1040" t="str">
        <f>CONCATENATE(LEFT(RIGHT(CONCATENATE("000",IFAData_TEA_1718!A93),6),3),"-",(RIGHT(RIGHT(CONCATENATE("000",IFAData_TEA_1718!A93),6),3)))</f>
        <v>013-901</v>
      </c>
      <c r="C93" t="s">
        <v>2124</v>
      </c>
      <c r="D93">
        <v>6</v>
      </c>
      <c r="E93">
        <v>1599</v>
      </c>
      <c r="F93" t="s">
        <v>4102</v>
      </c>
      <c r="G93" t="s">
        <v>4103</v>
      </c>
      <c r="H93">
        <v>855519</v>
      </c>
      <c r="I93">
        <v>0</v>
      </c>
      <c r="J93">
        <v>0</v>
      </c>
      <c r="K93">
        <v>0</v>
      </c>
      <c r="L93">
        <v>0</v>
      </c>
      <c r="M93">
        <v>599</v>
      </c>
    </row>
    <row r="94" spans="1:13" ht="15">
      <c r="A94" t="s">
        <v>3382</v>
      </c>
      <c r="B94" s="1040" t="str">
        <f>CONCATENATE(LEFT(RIGHT(CONCATENATE("000",IFAData_TEA_1718!A94),6),3),"-",(RIGHT(RIGHT(CONCATENATE("000",IFAData_TEA_1718!A94),6),3)))</f>
        <v>013-901</v>
      </c>
      <c r="C94" t="s">
        <v>2124</v>
      </c>
      <c r="D94">
        <v>6</v>
      </c>
      <c r="E94">
        <v>1599</v>
      </c>
      <c r="F94" t="s">
        <v>4102</v>
      </c>
      <c r="G94" t="s">
        <v>4104</v>
      </c>
      <c r="H94">
        <v>855519</v>
      </c>
      <c r="I94">
        <v>591250</v>
      </c>
      <c r="J94">
        <v>0.70918795729878903</v>
      </c>
      <c r="K94">
        <v>606723.77204030205</v>
      </c>
      <c r="L94">
        <v>591250</v>
      </c>
      <c r="M94">
        <v>599</v>
      </c>
    </row>
    <row r="95" spans="1:13" ht="15">
      <c r="A95" t="s">
        <v>3382</v>
      </c>
      <c r="B95" s="1040" t="str">
        <f>CONCATENATE(LEFT(RIGHT(CONCATENATE("000",IFAData_TEA_1718!A95),6),3),"-",(RIGHT(RIGHT(CONCATENATE("000",IFAData_TEA_1718!A95),6),3)))</f>
        <v>013-901</v>
      </c>
      <c r="C95" t="s">
        <v>2124</v>
      </c>
      <c r="D95">
        <v>6</v>
      </c>
      <c r="E95">
        <v>1599</v>
      </c>
      <c r="F95" t="s">
        <v>4102</v>
      </c>
      <c r="G95" t="s">
        <v>6405</v>
      </c>
      <c r="H95">
        <v>855519</v>
      </c>
      <c r="I95">
        <v>242450</v>
      </c>
      <c r="J95">
        <v>0.29081204270121103</v>
      </c>
      <c r="K95">
        <v>248795.22795969801</v>
      </c>
      <c r="L95">
        <v>242450</v>
      </c>
      <c r="M95">
        <v>599</v>
      </c>
    </row>
    <row r="96" spans="1:13" ht="15">
      <c r="A96" t="s">
        <v>3382</v>
      </c>
      <c r="B96" s="1040" t="str">
        <f>CONCATENATE(LEFT(RIGHT(CONCATENATE("000",IFAData_TEA_1718!A96),6),3),"-",(RIGHT(RIGHT(CONCATENATE("000",IFAData_TEA_1718!A96),6),3)))</f>
        <v>013-901</v>
      </c>
      <c r="C96" t="s">
        <v>2124</v>
      </c>
      <c r="D96">
        <v>9</v>
      </c>
      <c r="E96">
        <v>1598</v>
      </c>
      <c r="F96" t="s">
        <v>4105</v>
      </c>
      <c r="G96" t="s">
        <v>4105</v>
      </c>
      <c r="H96">
        <v>605485</v>
      </c>
      <c r="I96">
        <v>466600</v>
      </c>
      <c r="J96">
        <v>0.60961588711784698</v>
      </c>
      <c r="K96">
        <v>369113.27541154902</v>
      </c>
      <c r="L96">
        <v>369113.27541154902</v>
      </c>
      <c r="M96">
        <v>599</v>
      </c>
    </row>
    <row r="97" spans="1:13" ht="15">
      <c r="A97" t="s">
        <v>3382</v>
      </c>
      <c r="B97" s="1040" t="str">
        <f>CONCATENATE(LEFT(RIGHT(CONCATENATE("000",IFAData_TEA_1718!A97),6),3),"-",(RIGHT(RIGHT(CONCATENATE("000",IFAData_TEA_1718!A97),6),3)))</f>
        <v>013-901</v>
      </c>
      <c r="C97" t="s">
        <v>2124</v>
      </c>
      <c r="D97">
        <v>9</v>
      </c>
      <c r="E97">
        <v>1598</v>
      </c>
      <c r="F97" t="s">
        <v>4105</v>
      </c>
      <c r="G97" t="s">
        <v>6182</v>
      </c>
      <c r="H97">
        <v>605485</v>
      </c>
      <c r="I97">
        <v>298800</v>
      </c>
      <c r="J97">
        <v>0.39038411288215302</v>
      </c>
      <c r="K97">
        <v>236371.72458844999</v>
      </c>
      <c r="L97">
        <v>236371.72458844999</v>
      </c>
      <c r="M97">
        <v>599</v>
      </c>
    </row>
    <row r="98" spans="1:13" ht="15">
      <c r="A98" t="s">
        <v>3383</v>
      </c>
      <c r="B98" s="1040" t="str">
        <f>CONCATENATE(LEFT(RIGHT(CONCATENATE("000",IFAData_TEA_1718!A98),6),3),"-",(RIGHT(RIGHT(CONCATENATE("000",IFAData_TEA_1718!A98),6),3)))</f>
        <v>013-905</v>
      </c>
      <c r="C98" t="s">
        <v>1828</v>
      </c>
      <c r="D98">
        <v>3</v>
      </c>
      <c r="E98">
        <v>2338</v>
      </c>
      <c r="F98" t="s">
        <v>4106</v>
      </c>
      <c r="G98" t="s">
        <v>4106</v>
      </c>
      <c r="H98">
        <v>176917</v>
      </c>
      <c r="I98">
        <v>0</v>
      </c>
      <c r="J98">
        <v>0</v>
      </c>
      <c r="K98">
        <v>0</v>
      </c>
      <c r="L98">
        <v>0</v>
      </c>
      <c r="M98">
        <v>599</v>
      </c>
    </row>
    <row r="99" spans="1:13" ht="15">
      <c r="A99" t="s">
        <v>3383</v>
      </c>
      <c r="B99" s="1040" t="str">
        <f>CONCATENATE(LEFT(RIGHT(CONCATENATE("000",IFAData_TEA_1718!A99),6),3),"-",(RIGHT(RIGHT(CONCATENATE("000",IFAData_TEA_1718!A99),6),3)))</f>
        <v>013-905</v>
      </c>
      <c r="C99" t="s">
        <v>1828</v>
      </c>
      <c r="D99">
        <v>3</v>
      </c>
      <c r="E99">
        <v>2338</v>
      </c>
      <c r="F99" t="s">
        <v>4106</v>
      </c>
      <c r="G99" t="s">
        <v>4107</v>
      </c>
      <c r="H99">
        <v>176917</v>
      </c>
      <c r="I99">
        <v>0</v>
      </c>
      <c r="J99">
        <v>0</v>
      </c>
      <c r="K99">
        <v>0</v>
      </c>
      <c r="L99">
        <v>0</v>
      </c>
      <c r="M99">
        <v>599</v>
      </c>
    </row>
    <row r="100" spans="1:13" ht="15">
      <c r="A100" t="s">
        <v>3383</v>
      </c>
      <c r="B100" s="1040" t="str">
        <f>CONCATENATE(LEFT(RIGHT(CONCATENATE("000",IFAData_TEA_1718!A100),6),3),"-",(RIGHT(RIGHT(CONCATENATE("000",IFAData_TEA_1718!A100),6),3)))</f>
        <v>013-905</v>
      </c>
      <c r="C100" t="s">
        <v>1828</v>
      </c>
      <c r="D100">
        <v>3</v>
      </c>
      <c r="E100">
        <v>2338</v>
      </c>
      <c r="F100" t="s">
        <v>4106</v>
      </c>
      <c r="G100" t="s">
        <v>6406</v>
      </c>
      <c r="H100">
        <v>176917</v>
      </c>
      <c r="I100">
        <v>159690</v>
      </c>
      <c r="J100">
        <v>1</v>
      </c>
      <c r="K100">
        <v>176917</v>
      </c>
      <c r="L100">
        <v>159690</v>
      </c>
      <c r="M100">
        <v>599</v>
      </c>
    </row>
    <row r="101" spans="1:13" ht="15">
      <c r="A101" t="s">
        <v>3383</v>
      </c>
      <c r="B101" s="1040" t="str">
        <f>CONCATENATE(LEFT(RIGHT(CONCATENATE("000",IFAData_TEA_1718!A101),6),3),"-",(RIGHT(RIGHT(CONCATENATE("000",IFAData_TEA_1718!A101),6),3)))</f>
        <v>013-905</v>
      </c>
      <c r="C101" t="s">
        <v>1828</v>
      </c>
      <c r="D101">
        <v>9</v>
      </c>
      <c r="E101">
        <v>2339</v>
      </c>
      <c r="F101" t="s">
        <v>4108</v>
      </c>
      <c r="G101" t="s">
        <v>4108</v>
      </c>
      <c r="H101">
        <v>182500</v>
      </c>
      <c r="I101">
        <v>0</v>
      </c>
      <c r="J101">
        <v>0</v>
      </c>
      <c r="K101">
        <v>0</v>
      </c>
      <c r="L101">
        <v>0</v>
      </c>
      <c r="M101">
        <v>599</v>
      </c>
    </row>
    <row r="102" spans="1:13" ht="15">
      <c r="A102" t="s">
        <v>3383</v>
      </c>
      <c r="B102" s="1040" t="str">
        <f>CONCATENATE(LEFT(RIGHT(CONCATENATE("000",IFAData_TEA_1718!A102),6),3),"-",(RIGHT(RIGHT(CONCATENATE("000",IFAData_TEA_1718!A102),6),3)))</f>
        <v>013-905</v>
      </c>
      <c r="C102" t="s">
        <v>1828</v>
      </c>
      <c r="D102">
        <v>9</v>
      </c>
      <c r="E102">
        <v>2339</v>
      </c>
      <c r="F102" t="s">
        <v>4108</v>
      </c>
      <c r="G102" t="s">
        <v>6183</v>
      </c>
      <c r="H102">
        <v>182500</v>
      </c>
      <c r="I102">
        <v>233739</v>
      </c>
      <c r="J102">
        <v>1</v>
      </c>
      <c r="K102">
        <v>182500</v>
      </c>
      <c r="L102">
        <v>182500</v>
      </c>
      <c r="M102">
        <v>599</v>
      </c>
    </row>
    <row r="103" spans="1:13" ht="15">
      <c r="A103" t="s">
        <v>3383</v>
      </c>
      <c r="B103" s="1040" t="str">
        <f>CONCATENATE(LEFT(RIGHT(CONCATENATE("000",IFAData_TEA_1718!A103),6),3),"-",(RIGHT(RIGHT(CONCATENATE("000",IFAData_TEA_1718!A103),6),3)))</f>
        <v>013-905</v>
      </c>
      <c r="C103" t="s">
        <v>1828</v>
      </c>
      <c r="D103">
        <v>11</v>
      </c>
      <c r="E103">
        <v>2567</v>
      </c>
      <c r="F103" t="s">
        <v>8310</v>
      </c>
      <c r="G103" t="s">
        <v>8310</v>
      </c>
      <c r="H103">
        <v>199592</v>
      </c>
      <c r="I103">
        <v>381788</v>
      </c>
      <c r="J103">
        <v>1</v>
      </c>
      <c r="K103">
        <v>199592</v>
      </c>
      <c r="L103">
        <v>199592</v>
      </c>
      <c r="M103">
        <v>599</v>
      </c>
    </row>
    <row r="104" spans="1:13" ht="15">
      <c r="A104" t="s">
        <v>3384</v>
      </c>
      <c r="B104" s="1040" t="str">
        <f>CONCATENATE(LEFT(RIGHT(CONCATENATE("000",IFAData_TEA_1718!A104),6),3),"-",(RIGHT(RIGHT(CONCATENATE("000",IFAData_TEA_1718!A104),6),3)))</f>
        <v>014-902</v>
      </c>
      <c r="C104" t="s">
        <v>2122</v>
      </c>
      <c r="D104">
        <v>2</v>
      </c>
      <c r="E104">
        <v>1593</v>
      </c>
      <c r="F104" t="s">
        <v>4109</v>
      </c>
      <c r="G104" t="s">
        <v>4109</v>
      </c>
      <c r="H104">
        <v>134523</v>
      </c>
      <c r="I104">
        <v>0</v>
      </c>
      <c r="J104">
        <v>0</v>
      </c>
      <c r="K104">
        <v>0</v>
      </c>
      <c r="L104">
        <v>0</v>
      </c>
      <c r="M104">
        <v>599</v>
      </c>
    </row>
    <row r="105" spans="1:13" ht="15">
      <c r="A105" t="s">
        <v>3384</v>
      </c>
      <c r="B105" s="1040" t="str">
        <f>CONCATENATE(LEFT(RIGHT(CONCATENATE("000",IFAData_TEA_1718!A105),6),3),"-",(RIGHT(RIGHT(CONCATENATE("000",IFAData_TEA_1718!A105),6),3)))</f>
        <v>014-902</v>
      </c>
      <c r="C105" t="s">
        <v>2122</v>
      </c>
      <c r="D105">
        <v>2</v>
      </c>
      <c r="E105">
        <v>1593</v>
      </c>
      <c r="F105" t="s">
        <v>4109</v>
      </c>
      <c r="G105" t="s">
        <v>4110</v>
      </c>
      <c r="H105">
        <v>134523</v>
      </c>
      <c r="I105">
        <v>110711</v>
      </c>
      <c r="J105">
        <v>1</v>
      </c>
      <c r="K105">
        <v>134523</v>
      </c>
      <c r="L105">
        <v>110711</v>
      </c>
      <c r="M105">
        <v>599</v>
      </c>
    </row>
    <row r="106" spans="1:13" ht="15">
      <c r="A106" t="s">
        <v>3385</v>
      </c>
      <c r="B106" s="1040" t="str">
        <f>CONCATENATE(LEFT(RIGHT(CONCATENATE("000",IFAData_TEA_1718!A106),6),3),"-",(RIGHT(RIGHT(CONCATENATE("000",IFAData_TEA_1718!A106),6),3)))</f>
        <v>014-903</v>
      </c>
      <c r="C106" t="s">
        <v>2680</v>
      </c>
      <c r="D106">
        <v>1</v>
      </c>
      <c r="E106">
        <v>1603</v>
      </c>
      <c r="F106" t="s">
        <v>4111</v>
      </c>
      <c r="G106" t="s">
        <v>4111</v>
      </c>
      <c r="H106">
        <v>428025</v>
      </c>
      <c r="I106">
        <v>0</v>
      </c>
      <c r="J106">
        <v>0</v>
      </c>
      <c r="K106"/>
      <c r="L106">
        <v>0</v>
      </c>
      <c r="M106">
        <v>599</v>
      </c>
    </row>
    <row r="107" spans="1:13" ht="15">
      <c r="A107" t="s">
        <v>3385</v>
      </c>
      <c r="B107" s="1040" t="str">
        <f>CONCATENATE(LEFT(RIGHT(CONCATENATE("000",IFAData_TEA_1718!A107),6),3),"-",(RIGHT(RIGHT(CONCATENATE("000",IFAData_TEA_1718!A107),6),3)))</f>
        <v>014-903</v>
      </c>
      <c r="C107" t="s">
        <v>2680</v>
      </c>
      <c r="D107">
        <v>2</v>
      </c>
      <c r="E107">
        <v>1604</v>
      </c>
      <c r="F107" t="s">
        <v>4113</v>
      </c>
      <c r="G107" t="s">
        <v>4113</v>
      </c>
      <c r="H107">
        <v>1175975</v>
      </c>
      <c r="I107">
        <v>0</v>
      </c>
      <c r="J107">
        <v>0</v>
      </c>
      <c r="K107">
        <v>0</v>
      </c>
      <c r="L107">
        <v>0</v>
      </c>
      <c r="M107">
        <v>599</v>
      </c>
    </row>
    <row r="108" spans="1:13" ht="15">
      <c r="A108" t="s">
        <v>3385</v>
      </c>
      <c r="B108" s="1040" t="str">
        <f>CONCATENATE(LEFT(RIGHT(CONCATENATE("000",IFAData_TEA_1718!A108),6),3),"-",(RIGHT(RIGHT(CONCATENATE("000",IFAData_TEA_1718!A108),6),3)))</f>
        <v>014-903</v>
      </c>
      <c r="C108" t="s">
        <v>2680</v>
      </c>
      <c r="D108">
        <v>2</v>
      </c>
      <c r="E108">
        <v>1604</v>
      </c>
      <c r="F108" t="s">
        <v>4113</v>
      </c>
      <c r="G108" t="s">
        <v>4112</v>
      </c>
      <c r="H108">
        <v>1175975</v>
      </c>
      <c r="I108">
        <v>745416</v>
      </c>
      <c r="J108">
        <v>0.57662246040930498</v>
      </c>
      <c r="K108">
        <v>678093.59787983203</v>
      </c>
      <c r="L108">
        <v>678093.59787983203</v>
      </c>
      <c r="M108">
        <v>599</v>
      </c>
    </row>
    <row r="109" spans="1:13" ht="15">
      <c r="A109" t="s">
        <v>3385</v>
      </c>
      <c r="B109" s="1040" t="str">
        <f>CONCATENATE(LEFT(RIGHT(CONCATENATE("000",IFAData_TEA_1718!A109),6),3),"-",(RIGHT(RIGHT(CONCATENATE("000",IFAData_TEA_1718!A109),6),3)))</f>
        <v>014-903</v>
      </c>
      <c r="C109" t="s">
        <v>2680</v>
      </c>
      <c r="D109">
        <v>2</v>
      </c>
      <c r="E109">
        <v>1604</v>
      </c>
      <c r="F109" t="s">
        <v>4113</v>
      </c>
      <c r="G109" t="s">
        <v>4114</v>
      </c>
      <c r="H109">
        <v>1175975</v>
      </c>
      <c r="I109">
        <v>547312</v>
      </c>
      <c r="J109">
        <v>0.42337753959069502</v>
      </c>
      <c r="K109">
        <v>497881.40212016797</v>
      </c>
      <c r="L109">
        <v>497881.40212016797</v>
      </c>
      <c r="M109">
        <v>599</v>
      </c>
    </row>
    <row r="110" spans="1:13" ht="15">
      <c r="A110" t="s">
        <v>3386</v>
      </c>
      <c r="B110" s="1040" t="str">
        <f>CONCATENATE(LEFT(RIGHT(CONCATENATE("000",IFAData_TEA_1718!A110),6),3),"-",(RIGHT(RIGHT(CONCATENATE("000",IFAData_TEA_1718!A110),6),3)))</f>
        <v>014-905</v>
      </c>
      <c r="C110" t="s">
        <v>2377</v>
      </c>
      <c r="D110">
        <v>2</v>
      </c>
      <c r="E110">
        <v>1894</v>
      </c>
      <c r="F110" t="s">
        <v>4115</v>
      </c>
      <c r="G110" t="s">
        <v>4115</v>
      </c>
      <c r="H110">
        <v>88580</v>
      </c>
      <c r="I110">
        <v>0</v>
      </c>
      <c r="J110">
        <v>0</v>
      </c>
      <c r="K110">
        <v>0</v>
      </c>
      <c r="L110">
        <v>0</v>
      </c>
      <c r="M110">
        <v>599</v>
      </c>
    </row>
    <row r="111" spans="1:13" ht="15">
      <c r="A111" t="s">
        <v>3386</v>
      </c>
      <c r="B111" s="1040" t="str">
        <f>CONCATENATE(LEFT(RIGHT(CONCATENATE("000",IFAData_TEA_1718!A111),6),3),"-",(RIGHT(RIGHT(CONCATENATE("000",IFAData_TEA_1718!A111),6),3)))</f>
        <v>014-905</v>
      </c>
      <c r="C111" t="s">
        <v>2377</v>
      </c>
      <c r="D111">
        <v>2</v>
      </c>
      <c r="E111">
        <v>1894</v>
      </c>
      <c r="F111" t="s">
        <v>4115</v>
      </c>
      <c r="G111" t="s">
        <v>4116</v>
      </c>
      <c r="H111">
        <v>88580</v>
      </c>
      <c r="I111">
        <v>134550</v>
      </c>
      <c r="J111">
        <v>0.88743932038835005</v>
      </c>
      <c r="K111">
        <v>78609.375</v>
      </c>
      <c r="L111">
        <v>78609.375</v>
      </c>
      <c r="M111">
        <v>599</v>
      </c>
    </row>
    <row r="112" spans="1:13" ht="15">
      <c r="A112" t="s">
        <v>3386</v>
      </c>
      <c r="B112" s="1040" t="str">
        <f>CONCATENATE(LEFT(RIGHT(CONCATENATE("000",IFAData_TEA_1718!A112),6),3),"-",(RIGHT(RIGHT(CONCATENATE("000",IFAData_TEA_1718!A112),6),3)))</f>
        <v>014-905</v>
      </c>
      <c r="C112" t="s">
        <v>2377</v>
      </c>
      <c r="D112">
        <v>2</v>
      </c>
      <c r="E112">
        <v>1894</v>
      </c>
      <c r="F112" t="s">
        <v>4115</v>
      </c>
      <c r="G112" t="s">
        <v>8311</v>
      </c>
      <c r="H112">
        <v>88580</v>
      </c>
      <c r="I112">
        <v>17066</v>
      </c>
      <c r="J112">
        <v>0.11256067961165001</v>
      </c>
      <c r="K112">
        <v>9970.625</v>
      </c>
      <c r="L112">
        <v>9970.625</v>
      </c>
      <c r="M112">
        <v>599</v>
      </c>
    </row>
    <row r="113" spans="1:13" ht="15">
      <c r="A113" t="s">
        <v>3386</v>
      </c>
      <c r="B113" s="1040" t="str">
        <f>CONCATENATE(LEFT(RIGHT(CONCATENATE("000",IFAData_TEA_1718!A113),6),3),"-",(RIGHT(RIGHT(CONCATENATE("000",IFAData_TEA_1718!A113),6),3)))</f>
        <v>014-905</v>
      </c>
      <c r="C113" t="s">
        <v>2377</v>
      </c>
      <c r="D113">
        <v>4</v>
      </c>
      <c r="E113">
        <v>1895</v>
      </c>
      <c r="F113" t="s">
        <v>4117</v>
      </c>
      <c r="G113" t="s">
        <v>4117</v>
      </c>
      <c r="H113">
        <v>114590</v>
      </c>
      <c r="I113">
        <v>0</v>
      </c>
      <c r="J113">
        <v>0</v>
      </c>
      <c r="K113">
        <v>0</v>
      </c>
      <c r="L113">
        <v>0</v>
      </c>
      <c r="M113">
        <v>599</v>
      </c>
    </row>
    <row r="114" spans="1:13" ht="15">
      <c r="A114" t="s">
        <v>3386</v>
      </c>
      <c r="B114" s="1040" t="str">
        <f>CONCATENATE(LEFT(RIGHT(CONCATENATE("000",IFAData_TEA_1718!A114),6),3),"-",(RIGHT(RIGHT(CONCATENATE("000",IFAData_TEA_1718!A114),6),3)))</f>
        <v>014-905</v>
      </c>
      <c r="C114" t="s">
        <v>2377</v>
      </c>
      <c r="D114">
        <v>4</v>
      </c>
      <c r="E114">
        <v>1895</v>
      </c>
      <c r="F114" t="s">
        <v>4117</v>
      </c>
      <c r="G114" t="s">
        <v>4116</v>
      </c>
      <c r="H114">
        <v>114590</v>
      </c>
      <c r="I114">
        <v>116575</v>
      </c>
      <c r="J114">
        <v>0.66370043952540403</v>
      </c>
      <c r="K114">
        <v>76053.433365215998</v>
      </c>
      <c r="L114">
        <v>76053.433365215998</v>
      </c>
      <c r="M114">
        <v>599</v>
      </c>
    </row>
    <row r="115" spans="1:13" ht="15">
      <c r="A115" t="s">
        <v>3386</v>
      </c>
      <c r="B115" s="1040" t="str">
        <f>CONCATENATE(LEFT(RIGHT(CONCATENATE("000",IFAData_TEA_1718!A115),6),3),"-",(RIGHT(RIGHT(CONCATENATE("000",IFAData_TEA_1718!A115),6),3)))</f>
        <v>014-905</v>
      </c>
      <c r="C115" t="s">
        <v>2377</v>
      </c>
      <c r="D115">
        <v>4</v>
      </c>
      <c r="E115">
        <v>1895</v>
      </c>
      <c r="F115" t="s">
        <v>4117</v>
      </c>
      <c r="G115" t="s">
        <v>8311</v>
      </c>
      <c r="H115">
        <v>114590</v>
      </c>
      <c r="I115">
        <v>59069</v>
      </c>
      <c r="J115">
        <v>0.33629956047459603</v>
      </c>
      <c r="K115">
        <v>38536.566634784002</v>
      </c>
      <c r="L115">
        <v>38536.566634784002</v>
      </c>
      <c r="M115">
        <v>599</v>
      </c>
    </row>
    <row r="116" spans="1:13" ht="15">
      <c r="A116" t="s">
        <v>3386</v>
      </c>
      <c r="B116" s="1040" t="str">
        <f>CONCATENATE(LEFT(RIGHT(CONCATENATE("000",IFAData_TEA_1718!A116),6),3),"-",(RIGHT(RIGHT(CONCATENATE("000",IFAData_TEA_1718!A116),6),3)))</f>
        <v>014-905</v>
      </c>
      <c r="C116" t="s">
        <v>2377</v>
      </c>
      <c r="D116">
        <v>9</v>
      </c>
      <c r="E116">
        <v>1896</v>
      </c>
      <c r="F116" t="s">
        <v>4118</v>
      </c>
      <c r="G116" t="s">
        <v>4118</v>
      </c>
      <c r="H116">
        <v>137250</v>
      </c>
      <c r="I116">
        <v>85000</v>
      </c>
      <c r="J116">
        <v>0.25468622656886702</v>
      </c>
      <c r="K116">
        <v>34955.684596576997</v>
      </c>
      <c r="L116">
        <v>34955.684596576997</v>
      </c>
      <c r="M116">
        <v>599</v>
      </c>
    </row>
    <row r="117" spans="1:13" ht="15">
      <c r="A117" t="s">
        <v>3386</v>
      </c>
      <c r="B117" s="1040" t="str">
        <f>CONCATENATE(LEFT(RIGHT(CONCATENATE("000",IFAData_TEA_1718!A117),6),3),"-",(RIGHT(RIGHT(CONCATENATE("000",IFAData_TEA_1718!A117),6),3)))</f>
        <v>014-905</v>
      </c>
      <c r="C117" t="s">
        <v>2377</v>
      </c>
      <c r="D117">
        <v>9</v>
      </c>
      <c r="E117">
        <v>1896</v>
      </c>
      <c r="F117" t="s">
        <v>4118</v>
      </c>
      <c r="G117" t="s">
        <v>8311</v>
      </c>
      <c r="H117">
        <v>137250</v>
      </c>
      <c r="I117">
        <v>248744</v>
      </c>
      <c r="J117">
        <v>0.74531377343113303</v>
      </c>
      <c r="K117">
        <v>102294.315403423</v>
      </c>
      <c r="L117">
        <v>102294.315403423</v>
      </c>
      <c r="M117">
        <v>599</v>
      </c>
    </row>
    <row r="118" spans="1:13" ht="15">
      <c r="A118" t="s">
        <v>3387</v>
      </c>
      <c r="B118" s="1040" t="str">
        <f>CONCATENATE(LEFT(RIGHT(CONCATENATE("000",IFAData_TEA_1718!A118),6),3),"-",(RIGHT(RIGHT(CONCATENATE("000",IFAData_TEA_1718!A118),6),3)))</f>
        <v>014-906</v>
      </c>
      <c r="C118" t="s">
        <v>2518</v>
      </c>
      <c r="D118">
        <v>2</v>
      </c>
      <c r="E118">
        <v>1957</v>
      </c>
      <c r="F118" t="s">
        <v>4119</v>
      </c>
      <c r="G118" t="s">
        <v>4119</v>
      </c>
      <c r="H118">
        <v>5126526</v>
      </c>
      <c r="I118">
        <v>0</v>
      </c>
      <c r="J118">
        <v>0</v>
      </c>
      <c r="K118">
        <v>0</v>
      </c>
      <c r="L118">
        <v>0</v>
      </c>
      <c r="M118">
        <v>599</v>
      </c>
    </row>
    <row r="119" spans="1:13" ht="15">
      <c r="A119" t="s">
        <v>3387</v>
      </c>
      <c r="B119" s="1040" t="str">
        <f>CONCATENATE(LEFT(RIGHT(CONCATENATE("000",IFAData_TEA_1718!A119),6),3),"-",(RIGHT(RIGHT(CONCATENATE("000",IFAData_TEA_1718!A119),6),3)))</f>
        <v>014-906</v>
      </c>
      <c r="C119" t="s">
        <v>2518</v>
      </c>
      <c r="D119">
        <v>2</v>
      </c>
      <c r="E119">
        <v>1957</v>
      </c>
      <c r="F119" t="s">
        <v>4119</v>
      </c>
      <c r="G119" t="s">
        <v>4120</v>
      </c>
      <c r="H119">
        <v>5126526</v>
      </c>
      <c r="I119">
        <v>0</v>
      </c>
      <c r="J119">
        <v>0</v>
      </c>
      <c r="K119">
        <v>0</v>
      </c>
      <c r="L119">
        <v>0</v>
      </c>
      <c r="M119">
        <v>599</v>
      </c>
    </row>
    <row r="120" spans="1:13" ht="15">
      <c r="A120" t="s">
        <v>3387</v>
      </c>
      <c r="B120" s="1040" t="str">
        <f>CONCATENATE(LEFT(RIGHT(CONCATENATE("000",IFAData_TEA_1718!A120),6),3),"-",(RIGHT(RIGHT(CONCATENATE("000",IFAData_TEA_1718!A120),6),3)))</f>
        <v>014-906</v>
      </c>
      <c r="C120" t="s">
        <v>2518</v>
      </c>
      <c r="D120">
        <v>2</v>
      </c>
      <c r="E120">
        <v>1957</v>
      </c>
      <c r="F120" t="s">
        <v>4119</v>
      </c>
      <c r="G120" t="s">
        <v>4121</v>
      </c>
      <c r="H120">
        <v>5126526</v>
      </c>
      <c r="I120">
        <v>295800</v>
      </c>
      <c r="J120">
        <v>8.9246249349434703E-2</v>
      </c>
      <c r="K120">
        <v>457523.21769235999</v>
      </c>
      <c r="L120">
        <v>295800</v>
      </c>
      <c r="M120">
        <v>599</v>
      </c>
    </row>
    <row r="121" spans="1:13" ht="15">
      <c r="A121" t="s">
        <v>3387</v>
      </c>
      <c r="B121" s="1040" t="str">
        <f>CONCATENATE(LEFT(RIGHT(CONCATENATE("000",IFAData_TEA_1718!A121),6),3),"-",(RIGHT(RIGHT(CONCATENATE("000",IFAData_TEA_1718!A121),6),3)))</f>
        <v>014-906</v>
      </c>
      <c r="C121" t="s">
        <v>2518</v>
      </c>
      <c r="D121">
        <v>2</v>
      </c>
      <c r="E121">
        <v>1957</v>
      </c>
      <c r="F121" t="s">
        <v>4119</v>
      </c>
      <c r="G121" t="s">
        <v>6184</v>
      </c>
      <c r="H121">
        <v>5126526</v>
      </c>
      <c r="I121">
        <v>3018625</v>
      </c>
      <c r="J121">
        <v>0.91075375065056496</v>
      </c>
      <c r="K121">
        <v>4669002.7823076397</v>
      </c>
      <c r="L121">
        <v>3018625</v>
      </c>
      <c r="M121">
        <v>599</v>
      </c>
    </row>
    <row r="122" spans="1:13" ht="15">
      <c r="A122" t="s">
        <v>3387</v>
      </c>
      <c r="B122" s="1040" t="str">
        <f>CONCATENATE(LEFT(RIGHT(CONCATENATE("000",IFAData_TEA_1718!A122),6),3),"-",(RIGHT(RIGHT(CONCATENATE("000",IFAData_TEA_1718!A122),6),3)))</f>
        <v>014-906</v>
      </c>
      <c r="C122" t="s">
        <v>2518</v>
      </c>
      <c r="D122">
        <v>6</v>
      </c>
      <c r="E122">
        <v>1958</v>
      </c>
      <c r="F122" t="s">
        <v>4122</v>
      </c>
      <c r="G122" t="s">
        <v>4122</v>
      </c>
      <c r="H122">
        <v>7058303</v>
      </c>
      <c r="I122">
        <v>0</v>
      </c>
      <c r="J122">
        <v>0</v>
      </c>
      <c r="K122">
        <v>0</v>
      </c>
      <c r="L122">
        <v>0</v>
      </c>
      <c r="M122">
        <v>599</v>
      </c>
    </row>
    <row r="123" spans="1:13" ht="15">
      <c r="A123" t="s">
        <v>3387</v>
      </c>
      <c r="B123" s="1040" t="str">
        <f>CONCATENATE(LEFT(RIGHT(CONCATENATE("000",IFAData_TEA_1718!A123),6),3),"-",(RIGHT(RIGHT(CONCATENATE("000",IFAData_TEA_1718!A123),6),3)))</f>
        <v>014-906</v>
      </c>
      <c r="C123" t="s">
        <v>2518</v>
      </c>
      <c r="D123">
        <v>6</v>
      </c>
      <c r="E123">
        <v>1958</v>
      </c>
      <c r="F123" t="s">
        <v>4122</v>
      </c>
      <c r="G123" t="s">
        <v>4123</v>
      </c>
      <c r="H123">
        <v>7058303</v>
      </c>
      <c r="I123">
        <v>5634564</v>
      </c>
      <c r="J123">
        <v>0.76445252687730003</v>
      </c>
      <c r="K123">
        <v>5395737.56381563</v>
      </c>
      <c r="L123">
        <v>5395737.56381563</v>
      </c>
      <c r="M123">
        <v>599</v>
      </c>
    </row>
    <row r="124" spans="1:13" ht="15">
      <c r="A124" t="s">
        <v>3387</v>
      </c>
      <c r="B124" s="1040" t="str">
        <f>CONCATENATE(LEFT(RIGHT(CONCATENATE("000",IFAData_TEA_1718!A124),6),3),"-",(RIGHT(RIGHT(CONCATENATE("000",IFAData_TEA_1718!A124),6),3)))</f>
        <v>014-906</v>
      </c>
      <c r="C124" t="s">
        <v>2518</v>
      </c>
      <c r="D124">
        <v>6</v>
      </c>
      <c r="E124">
        <v>1958</v>
      </c>
      <c r="F124" t="s">
        <v>4122</v>
      </c>
      <c r="G124" t="s">
        <v>4124</v>
      </c>
      <c r="H124">
        <v>7058303</v>
      </c>
      <c r="I124">
        <v>1314600</v>
      </c>
      <c r="J124">
        <v>0.17835440183710699</v>
      </c>
      <c r="K124">
        <v>1258879.4095500601</v>
      </c>
      <c r="L124">
        <v>1258879.4095500601</v>
      </c>
      <c r="M124">
        <v>599</v>
      </c>
    </row>
    <row r="125" spans="1:13" ht="15">
      <c r="A125" t="s">
        <v>3387</v>
      </c>
      <c r="B125" s="1040" t="str">
        <f>CONCATENATE(LEFT(RIGHT(CONCATENATE("000",IFAData_TEA_1718!A125),6),3),"-",(RIGHT(RIGHT(CONCATENATE("000",IFAData_TEA_1718!A125),6),3)))</f>
        <v>014-906</v>
      </c>
      <c r="C125" t="s">
        <v>2518</v>
      </c>
      <c r="D125">
        <v>6</v>
      </c>
      <c r="E125">
        <v>1958</v>
      </c>
      <c r="F125" t="s">
        <v>4122</v>
      </c>
      <c r="G125" t="s">
        <v>8312</v>
      </c>
      <c r="H125">
        <v>7058303</v>
      </c>
      <c r="I125">
        <v>421554</v>
      </c>
      <c r="J125">
        <v>5.7193071285592499E-2</v>
      </c>
      <c r="K125">
        <v>403686.026634312</v>
      </c>
      <c r="L125">
        <v>403686.026634312</v>
      </c>
      <c r="M125">
        <v>599</v>
      </c>
    </row>
    <row r="126" spans="1:13" ht="15">
      <c r="A126" t="s">
        <v>3388</v>
      </c>
      <c r="B126" s="1040" t="str">
        <f>CONCATENATE(LEFT(RIGHT(CONCATENATE("000",IFAData_TEA_1718!A126),6),3),"-",(RIGHT(RIGHT(CONCATENATE("000",IFAData_TEA_1718!A126),6),3)))</f>
        <v>014-907</v>
      </c>
      <c r="C126" t="s">
        <v>1402</v>
      </c>
      <c r="D126">
        <v>2</v>
      </c>
      <c r="E126">
        <v>2257</v>
      </c>
      <c r="F126" t="s">
        <v>4125</v>
      </c>
      <c r="G126" t="s">
        <v>4125</v>
      </c>
      <c r="H126">
        <v>188100</v>
      </c>
      <c r="I126">
        <v>0</v>
      </c>
      <c r="J126">
        <v>0</v>
      </c>
      <c r="K126">
        <v>0</v>
      </c>
      <c r="L126">
        <v>0</v>
      </c>
      <c r="M126">
        <v>599</v>
      </c>
    </row>
    <row r="127" spans="1:13" ht="15">
      <c r="A127" t="s">
        <v>3388</v>
      </c>
      <c r="B127" s="1040" t="str">
        <f>CONCATENATE(LEFT(RIGHT(CONCATENATE("000",IFAData_TEA_1718!A127),6),3),"-",(RIGHT(RIGHT(CONCATENATE("000",IFAData_TEA_1718!A127),6),3)))</f>
        <v>014-907</v>
      </c>
      <c r="C127" t="s">
        <v>1402</v>
      </c>
      <c r="D127">
        <v>2</v>
      </c>
      <c r="E127">
        <v>2257</v>
      </c>
      <c r="F127" t="s">
        <v>4125</v>
      </c>
      <c r="G127" t="s">
        <v>6185</v>
      </c>
      <c r="H127">
        <v>188100</v>
      </c>
      <c r="I127">
        <v>454300</v>
      </c>
      <c r="J127">
        <v>1</v>
      </c>
      <c r="K127">
        <v>188100</v>
      </c>
      <c r="L127">
        <v>188100</v>
      </c>
      <c r="M127">
        <v>599</v>
      </c>
    </row>
    <row r="128" spans="1:13" ht="15">
      <c r="A128" t="s">
        <v>3388</v>
      </c>
      <c r="B128" s="1040" t="str">
        <f>CONCATENATE(LEFT(RIGHT(CONCATENATE("000",IFAData_TEA_1718!A128),6),3),"-",(RIGHT(RIGHT(CONCATENATE("000",IFAData_TEA_1718!A128),6),3)))</f>
        <v>014-907</v>
      </c>
      <c r="C128" t="s">
        <v>1402</v>
      </c>
      <c r="D128">
        <v>9</v>
      </c>
      <c r="E128">
        <v>2258</v>
      </c>
      <c r="F128" t="s">
        <v>4126</v>
      </c>
      <c r="G128" t="s">
        <v>4126</v>
      </c>
      <c r="H128">
        <v>192381</v>
      </c>
      <c r="I128">
        <v>0</v>
      </c>
      <c r="J128">
        <v>0</v>
      </c>
      <c r="K128">
        <v>0</v>
      </c>
      <c r="L128">
        <v>0</v>
      </c>
      <c r="M128">
        <v>599</v>
      </c>
    </row>
    <row r="129" spans="1:13" ht="15">
      <c r="A129" t="s">
        <v>3388</v>
      </c>
      <c r="B129" s="1040" t="str">
        <f>CONCATENATE(LEFT(RIGHT(CONCATENATE("000",IFAData_TEA_1718!A129),6),3),"-",(RIGHT(RIGHT(CONCATENATE("000",IFAData_TEA_1718!A129),6),3)))</f>
        <v>014-907</v>
      </c>
      <c r="C129" t="s">
        <v>1402</v>
      </c>
      <c r="D129">
        <v>9</v>
      </c>
      <c r="E129">
        <v>2258</v>
      </c>
      <c r="F129" t="s">
        <v>4126</v>
      </c>
      <c r="G129" t="s">
        <v>8313</v>
      </c>
      <c r="H129">
        <v>192381</v>
      </c>
      <c r="I129">
        <v>226200</v>
      </c>
      <c r="J129">
        <v>1</v>
      </c>
      <c r="K129">
        <v>192381</v>
      </c>
      <c r="L129">
        <v>192381</v>
      </c>
      <c r="M129">
        <v>599</v>
      </c>
    </row>
    <row r="130" spans="1:13" ht="15">
      <c r="A130" t="s">
        <v>3388</v>
      </c>
      <c r="B130" s="1040" t="str">
        <f>CONCATENATE(LEFT(RIGHT(CONCATENATE("000",IFAData_TEA_1718!A130),6),3),"-",(RIGHT(RIGHT(CONCATENATE("000",IFAData_TEA_1718!A130),6),3)))</f>
        <v>014-907</v>
      </c>
      <c r="C130" t="s">
        <v>1402</v>
      </c>
      <c r="D130">
        <v>11</v>
      </c>
      <c r="E130">
        <v>2566</v>
      </c>
      <c r="F130" t="s">
        <v>6185</v>
      </c>
      <c r="G130" t="s">
        <v>6185</v>
      </c>
      <c r="H130">
        <v>210073</v>
      </c>
      <c r="I130">
        <v>304417</v>
      </c>
      <c r="J130">
        <v>1</v>
      </c>
      <c r="K130">
        <v>210073</v>
      </c>
      <c r="L130">
        <v>210073</v>
      </c>
      <c r="M130">
        <v>599</v>
      </c>
    </row>
    <row r="131" spans="1:13" ht="15">
      <c r="A131" t="s">
        <v>3389</v>
      </c>
      <c r="B131" s="1040" t="str">
        <f>CONCATENATE(LEFT(RIGHT(CONCATENATE("000",IFAData_TEA_1718!A131),6),3),"-",(RIGHT(RIGHT(CONCATENATE("000",IFAData_TEA_1718!A131),6),3)))</f>
        <v>014-908</v>
      </c>
      <c r="C131" t="s">
        <v>2025</v>
      </c>
      <c r="D131">
        <v>1</v>
      </c>
      <c r="E131">
        <v>2275</v>
      </c>
      <c r="F131" t="s">
        <v>4127</v>
      </c>
      <c r="G131" t="s">
        <v>4127</v>
      </c>
      <c r="H131">
        <v>211190</v>
      </c>
      <c r="I131">
        <v>0</v>
      </c>
      <c r="J131">
        <v>0</v>
      </c>
      <c r="K131">
        <v>0</v>
      </c>
      <c r="L131">
        <v>0</v>
      </c>
      <c r="M131">
        <v>599</v>
      </c>
    </row>
    <row r="132" spans="1:13" ht="15">
      <c r="A132" t="s">
        <v>3389</v>
      </c>
      <c r="B132" s="1040" t="str">
        <f>CONCATENATE(LEFT(RIGHT(CONCATENATE("000",IFAData_TEA_1718!A132),6),3),"-",(RIGHT(RIGHT(CONCATENATE("000",IFAData_TEA_1718!A132),6),3)))</f>
        <v>014-908</v>
      </c>
      <c r="C132" t="s">
        <v>2025</v>
      </c>
      <c r="D132">
        <v>1</v>
      </c>
      <c r="E132">
        <v>2275</v>
      </c>
      <c r="F132" t="s">
        <v>4127</v>
      </c>
      <c r="G132" t="s">
        <v>4128</v>
      </c>
      <c r="H132">
        <v>211190</v>
      </c>
      <c r="I132">
        <v>480717</v>
      </c>
      <c r="J132">
        <v>0.504553097428728</v>
      </c>
      <c r="K132">
        <v>106556.56864597301</v>
      </c>
      <c r="L132">
        <v>106556.56864597301</v>
      </c>
      <c r="M132">
        <v>599</v>
      </c>
    </row>
    <row r="133" spans="1:13" ht="15">
      <c r="A133" t="s">
        <v>3389</v>
      </c>
      <c r="B133" s="1040" t="str">
        <f>CONCATENATE(LEFT(RIGHT(CONCATENATE("000",IFAData_TEA_1718!A133),6),3),"-",(RIGHT(RIGHT(CONCATENATE("000",IFAData_TEA_1718!A133),6),3)))</f>
        <v>014-908</v>
      </c>
      <c r="C133" t="s">
        <v>2025</v>
      </c>
      <c r="D133">
        <v>1</v>
      </c>
      <c r="E133">
        <v>2275</v>
      </c>
      <c r="F133" t="s">
        <v>4127</v>
      </c>
      <c r="G133" t="s">
        <v>4129</v>
      </c>
      <c r="H133">
        <v>211190</v>
      </c>
      <c r="I133">
        <v>67681</v>
      </c>
      <c r="J133">
        <v>7.1036926480806201E-2</v>
      </c>
      <c r="K133">
        <v>15002.288503481501</v>
      </c>
      <c r="L133">
        <v>15002.288503481501</v>
      </c>
      <c r="M133">
        <v>599</v>
      </c>
    </row>
    <row r="134" spans="1:13" ht="15">
      <c r="A134" t="s">
        <v>3389</v>
      </c>
      <c r="B134" s="1040" t="str">
        <f>CONCATENATE(LEFT(RIGHT(CONCATENATE("000",IFAData_TEA_1718!A134),6),3),"-",(RIGHT(RIGHT(CONCATENATE("000",IFAData_TEA_1718!A134),6),3)))</f>
        <v>014-908</v>
      </c>
      <c r="C134" t="s">
        <v>2025</v>
      </c>
      <c r="D134">
        <v>1</v>
      </c>
      <c r="E134">
        <v>2275</v>
      </c>
      <c r="F134" t="s">
        <v>4127</v>
      </c>
      <c r="G134" t="s">
        <v>6407</v>
      </c>
      <c r="H134">
        <v>211190</v>
      </c>
      <c r="I134">
        <v>404360</v>
      </c>
      <c r="J134">
        <v>0.42440997609046599</v>
      </c>
      <c r="K134">
        <v>89631.142850545497</v>
      </c>
      <c r="L134">
        <v>89631.142850545497</v>
      </c>
      <c r="M134">
        <v>599</v>
      </c>
    </row>
    <row r="135" spans="1:13" ht="15">
      <c r="A135" t="s">
        <v>3390</v>
      </c>
      <c r="B135" s="1040" t="str">
        <f>CONCATENATE(LEFT(RIGHT(CONCATENATE("000",IFAData_TEA_1718!A135),6),3),"-",(RIGHT(RIGHT(CONCATENATE("000",IFAData_TEA_1718!A135),6),3)))</f>
        <v>014-909</v>
      </c>
      <c r="C135" t="s">
        <v>603</v>
      </c>
      <c r="D135">
        <v>1</v>
      </c>
      <c r="E135">
        <v>2391</v>
      </c>
      <c r="F135" t="s">
        <v>4130</v>
      </c>
      <c r="G135" t="s">
        <v>4130</v>
      </c>
      <c r="H135">
        <v>767280</v>
      </c>
      <c r="I135">
        <v>0</v>
      </c>
      <c r="J135">
        <v>0</v>
      </c>
      <c r="K135">
        <v>0</v>
      </c>
      <c r="L135">
        <v>0</v>
      </c>
      <c r="M135">
        <v>599</v>
      </c>
    </row>
    <row r="136" spans="1:13" ht="15">
      <c r="A136" t="s">
        <v>3390</v>
      </c>
      <c r="B136" s="1040" t="str">
        <f>CONCATENATE(LEFT(RIGHT(CONCATENATE("000",IFAData_TEA_1718!A136),6),3),"-",(RIGHT(RIGHT(CONCATENATE("000",IFAData_TEA_1718!A136),6),3)))</f>
        <v>014-909</v>
      </c>
      <c r="C136" t="s">
        <v>603</v>
      </c>
      <c r="D136">
        <v>1</v>
      </c>
      <c r="E136">
        <v>2391</v>
      </c>
      <c r="F136" t="s">
        <v>4130</v>
      </c>
      <c r="G136" t="s">
        <v>4131</v>
      </c>
      <c r="H136">
        <v>767280</v>
      </c>
      <c r="I136">
        <v>0</v>
      </c>
      <c r="J136">
        <v>0</v>
      </c>
      <c r="K136">
        <v>0</v>
      </c>
      <c r="L136">
        <v>0</v>
      </c>
      <c r="M136">
        <v>599</v>
      </c>
    </row>
    <row r="137" spans="1:13" ht="15">
      <c r="A137" t="s">
        <v>3390</v>
      </c>
      <c r="B137" s="1040" t="str">
        <f>CONCATENATE(LEFT(RIGHT(CONCATENATE("000",IFAData_TEA_1718!A137),6),3),"-",(RIGHT(RIGHT(CONCATENATE("000",IFAData_TEA_1718!A137),6),3)))</f>
        <v>014-909</v>
      </c>
      <c r="C137" t="s">
        <v>603</v>
      </c>
      <c r="D137">
        <v>1</v>
      </c>
      <c r="E137">
        <v>2391</v>
      </c>
      <c r="F137" t="s">
        <v>4130</v>
      </c>
      <c r="G137" t="s">
        <v>4132</v>
      </c>
      <c r="H137">
        <v>767280</v>
      </c>
      <c r="I137">
        <v>0</v>
      </c>
      <c r="J137">
        <v>0</v>
      </c>
      <c r="K137">
        <v>0</v>
      </c>
      <c r="L137">
        <v>0</v>
      </c>
      <c r="M137">
        <v>599</v>
      </c>
    </row>
    <row r="138" spans="1:13" ht="15">
      <c r="A138" t="s">
        <v>3390</v>
      </c>
      <c r="B138" s="1040" t="str">
        <f>CONCATENATE(LEFT(RIGHT(CONCATENATE("000",IFAData_TEA_1718!A138),6),3),"-",(RIGHT(RIGHT(CONCATENATE("000",IFAData_TEA_1718!A138),6),3)))</f>
        <v>014-909</v>
      </c>
      <c r="C138" t="s">
        <v>603</v>
      </c>
      <c r="D138">
        <v>1</v>
      </c>
      <c r="E138">
        <v>2391</v>
      </c>
      <c r="F138" t="s">
        <v>4130</v>
      </c>
      <c r="G138" t="s">
        <v>6186</v>
      </c>
      <c r="H138">
        <v>767280</v>
      </c>
      <c r="I138">
        <v>268826</v>
      </c>
      <c r="J138">
        <v>1</v>
      </c>
      <c r="K138">
        <v>767280</v>
      </c>
      <c r="L138">
        <v>268826</v>
      </c>
      <c r="M138">
        <v>599</v>
      </c>
    </row>
    <row r="139" spans="1:13" ht="15">
      <c r="A139" t="s">
        <v>3390</v>
      </c>
      <c r="B139" s="1040" t="str">
        <f>CONCATENATE(LEFT(RIGHT(CONCATENATE("000",IFAData_TEA_1718!A139),6),3),"-",(RIGHT(RIGHT(CONCATENATE("000",IFAData_TEA_1718!A139),6),3)))</f>
        <v>014-909</v>
      </c>
      <c r="C139" t="s">
        <v>603</v>
      </c>
      <c r="D139">
        <v>9</v>
      </c>
      <c r="E139">
        <v>2392</v>
      </c>
      <c r="F139" t="s">
        <v>4133</v>
      </c>
      <c r="G139" t="s">
        <v>4133</v>
      </c>
      <c r="H139">
        <v>1498738</v>
      </c>
      <c r="I139">
        <v>1428480</v>
      </c>
      <c r="J139">
        <v>0.46108557558229601</v>
      </c>
      <c r="K139">
        <v>691046.47337705898</v>
      </c>
      <c r="L139">
        <v>691046.47337705898</v>
      </c>
      <c r="M139">
        <v>599</v>
      </c>
    </row>
    <row r="140" spans="1:13" ht="15">
      <c r="A140" t="s">
        <v>3390</v>
      </c>
      <c r="B140" s="1040" t="str">
        <f>CONCATENATE(LEFT(RIGHT(CONCATENATE("000",IFAData_TEA_1718!A140),6),3),"-",(RIGHT(RIGHT(CONCATENATE("000",IFAData_TEA_1718!A140),6),3)))</f>
        <v>014-909</v>
      </c>
      <c r="C140" t="s">
        <v>603</v>
      </c>
      <c r="D140">
        <v>9</v>
      </c>
      <c r="E140">
        <v>2392</v>
      </c>
      <c r="F140" t="s">
        <v>4133</v>
      </c>
      <c r="G140" t="s">
        <v>6187</v>
      </c>
      <c r="H140">
        <v>1498738</v>
      </c>
      <c r="I140">
        <v>295850</v>
      </c>
      <c r="J140">
        <v>9.5494628931467193E-2</v>
      </c>
      <c r="K140">
        <v>143121.429175489</v>
      </c>
      <c r="L140">
        <v>143121.429175489</v>
      </c>
      <c r="M140">
        <v>599</v>
      </c>
    </row>
    <row r="141" spans="1:13" ht="15">
      <c r="A141" t="s">
        <v>3390</v>
      </c>
      <c r="B141" s="1040" t="str">
        <f>CONCATENATE(LEFT(RIGHT(CONCATENATE("000",IFAData_TEA_1718!A141),6),3),"-",(RIGHT(RIGHT(CONCATENATE("000",IFAData_TEA_1718!A141),6),3)))</f>
        <v>014-909</v>
      </c>
      <c r="C141" t="s">
        <v>603</v>
      </c>
      <c r="D141">
        <v>9</v>
      </c>
      <c r="E141">
        <v>2392</v>
      </c>
      <c r="F141" t="s">
        <v>4133</v>
      </c>
      <c r="G141" t="s">
        <v>4134</v>
      </c>
      <c r="H141">
        <v>1498738</v>
      </c>
      <c r="I141">
        <v>1373750</v>
      </c>
      <c r="J141">
        <v>0.443419795486237</v>
      </c>
      <c r="K141">
        <v>664570.09744745097</v>
      </c>
      <c r="L141">
        <v>664570.09744745097</v>
      </c>
      <c r="M141">
        <v>599</v>
      </c>
    </row>
    <row r="142" spans="1:13" ht="15">
      <c r="A142" t="s">
        <v>3391</v>
      </c>
      <c r="B142" s="1040" t="str">
        <f>CONCATENATE(LEFT(RIGHT(CONCATENATE("000",IFAData_TEA_1718!A142),6),3),"-",(RIGHT(RIGHT(CONCATENATE("000",IFAData_TEA_1718!A142),6),3)))</f>
        <v>014-910</v>
      </c>
      <c r="C142" t="s">
        <v>2312</v>
      </c>
      <c r="D142">
        <v>3</v>
      </c>
      <c r="E142">
        <v>2403</v>
      </c>
      <c r="F142" t="s">
        <v>4135</v>
      </c>
      <c r="G142" t="s">
        <v>4135</v>
      </c>
      <c r="H142">
        <v>290625</v>
      </c>
      <c r="I142">
        <v>0</v>
      </c>
      <c r="J142">
        <v>0</v>
      </c>
      <c r="K142">
        <v>0</v>
      </c>
      <c r="L142">
        <v>0</v>
      </c>
      <c r="M142">
        <v>599</v>
      </c>
    </row>
    <row r="143" spans="1:13" ht="15">
      <c r="A143" t="s">
        <v>3391</v>
      </c>
      <c r="B143" s="1040" t="str">
        <f>CONCATENATE(LEFT(RIGHT(CONCATENATE("000",IFAData_TEA_1718!A143),6),3),"-",(RIGHT(RIGHT(CONCATENATE("000",IFAData_TEA_1718!A143),6),3)))</f>
        <v>014-910</v>
      </c>
      <c r="C143" t="s">
        <v>2312</v>
      </c>
      <c r="D143">
        <v>3</v>
      </c>
      <c r="E143">
        <v>2403</v>
      </c>
      <c r="F143" t="s">
        <v>4135</v>
      </c>
      <c r="G143" t="s">
        <v>4136</v>
      </c>
      <c r="H143">
        <v>290625</v>
      </c>
      <c r="I143">
        <v>556466</v>
      </c>
      <c r="J143">
        <v>1</v>
      </c>
      <c r="K143">
        <v>290625</v>
      </c>
      <c r="L143">
        <v>290625</v>
      </c>
      <c r="M143">
        <v>599</v>
      </c>
    </row>
    <row r="144" spans="1:13" ht="15">
      <c r="A144" t="s">
        <v>3391</v>
      </c>
      <c r="B144" s="1040" t="str">
        <f>CONCATENATE(LEFT(RIGHT(CONCATENATE("000",IFAData_TEA_1718!A144),6),3),"-",(RIGHT(RIGHT(CONCATENATE("000",IFAData_TEA_1718!A144),6),3)))</f>
        <v>014-910</v>
      </c>
      <c r="C144" t="s">
        <v>2312</v>
      </c>
      <c r="D144">
        <v>9</v>
      </c>
      <c r="E144">
        <v>2402</v>
      </c>
      <c r="F144" t="s">
        <v>4137</v>
      </c>
      <c r="G144" t="s">
        <v>4137</v>
      </c>
      <c r="H144">
        <v>284227</v>
      </c>
      <c r="I144">
        <v>0</v>
      </c>
      <c r="J144">
        <v>0</v>
      </c>
      <c r="K144">
        <v>0</v>
      </c>
      <c r="L144">
        <v>0</v>
      </c>
      <c r="M144">
        <v>599</v>
      </c>
    </row>
    <row r="145" spans="1:13" ht="15">
      <c r="A145" t="s">
        <v>3391</v>
      </c>
      <c r="B145" s="1040" t="str">
        <f>CONCATENATE(LEFT(RIGHT(CONCATENATE("000",IFAData_TEA_1718!A145),6),3),"-",(RIGHT(RIGHT(CONCATENATE("000",IFAData_TEA_1718!A145),6),3)))</f>
        <v>014-910</v>
      </c>
      <c r="C145" t="s">
        <v>2312</v>
      </c>
      <c r="D145">
        <v>9</v>
      </c>
      <c r="E145">
        <v>2402</v>
      </c>
      <c r="F145" t="s">
        <v>4137</v>
      </c>
      <c r="G145" t="s">
        <v>4138</v>
      </c>
      <c r="H145">
        <v>284227</v>
      </c>
      <c r="I145">
        <v>349344</v>
      </c>
      <c r="J145">
        <v>0.46901255286299298</v>
      </c>
      <c r="K145">
        <v>133306.03086259001</v>
      </c>
      <c r="L145">
        <v>133306.03086259001</v>
      </c>
      <c r="M145">
        <v>599</v>
      </c>
    </row>
    <row r="146" spans="1:13" ht="15">
      <c r="A146" t="s">
        <v>3391</v>
      </c>
      <c r="B146" s="1040" t="str">
        <f>CONCATENATE(LEFT(RIGHT(CONCATENATE("000",IFAData_TEA_1718!A146),6),3),"-",(RIGHT(RIGHT(CONCATENATE("000",IFAData_TEA_1718!A146),6),3)))</f>
        <v>014-910</v>
      </c>
      <c r="C146" t="s">
        <v>2312</v>
      </c>
      <c r="D146">
        <v>9</v>
      </c>
      <c r="E146">
        <v>2402</v>
      </c>
      <c r="F146" t="s">
        <v>4137</v>
      </c>
      <c r="G146" t="s">
        <v>4139</v>
      </c>
      <c r="H146">
        <v>284227</v>
      </c>
      <c r="I146">
        <v>395506</v>
      </c>
      <c r="J146">
        <v>0.53098744713700696</v>
      </c>
      <c r="K146">
        <v>150920.96913740999</v>
      </c>
      <c r="L146">
        <v>150920.96913740999</v>
      </c>
      <c r="M146">
        <v>599</v>
      </c>
    </row>
    <row r="147" spans="1:13" ht="15">
      <c r="A147" t="s">
        <v>3392</v>
      </c>
      <c r="B147" s="1040" t="str">
        <f>CONCATENATE(LEFT(RIGHT(CONCATENATE("000",IFAData_TEA_1718!A147),6),3),"-",(RIGHT(RIGHT(CONCATENATE("000",IFAData_TEA_1718!A147),6),3)))</f>
        <v>015-904</v>
      </c>
      <c r="C147" t="s">
        <v>724</v>
      </c>
      <c r="D147">
        <v>2</v>
      </c>
      <c r="E147">
        <v>1868</v>
      </c>
      <c r="F147" t="s">
        <v>4140</v>
      </c>
      <c r="G147" t="s">
        <v>4140</v>
      </c>
      <c r="H147">
        <v>3489913</v>
      </c>
      <c r="I147">
        <v>0</v>
      </c>
      <c r="J147">
        <v>0</v>
      </c>
      <c r="K147">
        <v>0</v>
      </c>
      <c r="L147">
        <v>0</v>
      </c>
      <c r="M147">
        <v>599</v>
      </c>
    </row>
    <row r="148" spans="1:13" ht="15">
      <c r="A148" t="s">
        <v>3392</v>
      </c>
      <c r="B148" s="1040" t="str">
        <f>CONCATENATE(LEFT(RIGHT(CONCATENATE("000",IFAData_TEA_1718!A148),6),3),"-",(RIGHT(RIGHT(CONCATENATE("000",IFAData_TEA_1718!A148),6),3)))</f>
        <v>015-904</v>
      </c>
      <c r="C148" t="s">
        <v>724</v>
      </c>
      <c r="D148">
        <v>2</v>
      </c>
      <c r="E148">
        <v>1868</v>
      </c>
      <c r="F148" t="s">
        <v>4140</v>
      </c>
      <c r="G148" t="s">
        <v>4141</v>
      </c>
      <c r="H148">
        <v>3489913</v>
      </c>
      <c r="I148">
        <v>0</v>
      </c>
      <c r="J148">
        <v>0</v>
      </c>
      <c r="K148">
        <v>0</v>
      </c>
      <c r="L148">
        <v>0</v>
      </c>
      <c r="M148">
        <v>599</v>
      </c>
    </row>
    <row r="149" spans="1:13" ht="15">
      <c r="A149" t="s">
        <v>3392</v>
      </c>
      <c r="B149" s="1040" t="str">
        <f>CONCATENATE(LEFT(RIGHT(CONCATENATE("000",IFAData_TEA_1718!A149),6),3),"-",(RIGHT(RIGHT(CONCATENATE("000",IFAData_TEA_1718!A149),6),3)))</f>
        <v>015-904</v>
      </c>
      <c r="C149" t="s">
        <v>724</v>
      </c>
      <c r="D149">
        <v>2</v>
      </c>
      <c r="E149">
        <v>1868</v>
      </c>
      <c r="F149" t="s">
        <v>4140</v>
      </c>
      <c r="G149" t="s">
        <v>4142</v>
      </c>
      <c r="H149">
        <v>3489913</v>
      </c>
      <c r="I149">
        <v>1587052</v>
      </c>
      <c r="J149">
        <v>0.50233290698156596</v>
      </c>
      <c r="K149">
        <v>1753098.14240276</v>
      </c>
      <c r="L149">
        <v>1587052</v>
      </c>
      <c r="M149">
        <v>599</v>
      </c>
    </row>
    <row r="150" spans="1:13" ht="15">
      <c r="A150" t="s">
        <v>3392</v>
      </c>
      <c r="B150" s="1040" t="str">
        <f>CONCATENATE(LEFT(RIGHT(CONCATENATE("000",IFAData_TEA_1718!A150),6),3),"-",(RIGHT(RIGHT(CONCATENATE("000",IFAData_TEA_1718!A150),6),3)))</f>
        <v>015-904</v>
      </c>
      <c r="C150" t="s">
        <v>724</v>
      </c>
      <c r="D150">
        <v>2</v>
      </c>
      <c r="E150">
        <v>1868</v>
      </c>
      <c r="F150" t="s">
        <v>4140</v>
      </c>
      <c r="G150" t="s">
        <v>4143</v>
      </c>
      <c r="H150">
        <v>3489913</v>
      </c>
      <c r="I150">
        <v>0</v>
      </c>
      <c r="J150">
        <v>0</v>
      </c>
      <c r="K150">
        <v>0</v>
      </c>
      <c r="L150">
        <v>0</v>
      </c>
      <c r="M150">
        <v>599</v>
      </c>
    </row>
    <row r="151" spans="1:13" ht="15">
      <c r="A151" t="s">
        <v>3392</v>
      </c>
      <c r="B151" s="1040" t="str">
        <f>CONCATENATE(LEFT(RIGHT(CONCATENATE("000",IFAData_TEA_1718!A151),6),3),"-",(RIGHT(RIGHT(CONCATENATE("000",IFAData_TEA_1718!A151),6),3)))</f>
        <v>015-904</v>
      </c>
      <c r="C151" t="s">
        <v>724</v>
      </c>
      <c r="D151">
        <v>2</v>
      </c>
      <c r="E151">
        <v>1868</v>
      </c>
      <c r="F151" t="s">
        <v>4140</v>
      </c>
      <c r="G151" t="s">
        <v>4144</v>
      </c>
      <c r="H151">
        <v>3489913</v>
      </c>
      <c r="I151">
        <v>0</v>
      </c>
      <c r="J151">
        <v>0</v>
      </c>
      <c r="K151">
        <v>0</v>
      </c>
      <c r="L151">
        <v>0</v>
      </c>
      <c r="M151">
        <v>599</v>
      </c>
    </row>
    <row r="152" spans="1:13" ht="15">
      <c r="A152" t="s">
        <v>3392</v>
      </c>
      <c r="B152" s="1040" t="str">
        <f>CONCATENATE(LEFT(RIGHT(CONCATENATE("000",IFAData_TEA_1718!A152),6),3),"-",(RIGHT(RIGHT(CONCATENATE("000",IFAData_TEA_1718!A152),6),3)))</f>
        <v>015-904</v>
      </c>
      <c r="C152" t="s">
        <v>724</v>
      </c>
      <c r="D152">
        <v>2</v>
      </c>
      <c r="E152">
        <v>1868</v>
      </c>
      <c r="F152" t="s">
        <v>4140</v>
      </c>
      <c r="G152" t="s">
        <v>8314</v>
      </c>
      <c r="H152">
        <v>3489913</v>
      </c>
      <c r="I152">
        <v>158493</v>
      </c>
      <c r="J152">
        <v>5.0166125260060299E-2</v>
      </c>
      <c r="K152">
        <v>175075.412704713</v>
      </c>
      <c r="L152">
        <v>158493</v>
      </c>
      <c r="M152">
        <v>599</v>
      </c>
    </row>
    <row r="153" spans="1:13" ht="15">
      <c r="A153" t="s">
        <v>3392</v>
      </c>
      <c r="B153" s="1040" t="str">
        <f>CONCATENATE(LEFT(RIGHT(CONCATENATE("000",IFAData_TEA_1718!A153),6),3),"-",(RIGHT(RIGHT(CONCATENATE("000",IFAData_TEA_1718!A153),6),3)))</f>
        <v>015-904</v>
      </c>
      <c r="C153" t="s">
        <v>724</v>
      </c>
      <c r="D153">
        <v>2</v>
      </c>
      <c r="E153">
        <v>1868</v>
      </c>
      <c r="F153" t="s">
        <v>4140</v>
      </c>
      <c r="G153" t="s">
        <v>8315</v>
      </c>
      <c r="H153">
        <v>3489913</v>
      </c>
      <c r="I153">
        <v>1413818</v>
      </c>
      <c r="J153">
        <v>0.447500967758374</v>
      </c>
      <c r="K153">
        <v>1561739.4448925301</v>
      </c>
      <c r="L153">
        <v>1413818</v>
      </c>
      <c r="M153">
        <v>599</v>
      </c>
    </row>
    <row r="154" spans="1:13" ht="15">
      <c r="A154" t="s">
        <v>3392</v>
      </c>
      <c r="B154" s="1040" t="str">
        <f>CONCATENATE(LEFT(RIGHT(CONCATENATE("000",IFAData_TEA_1718!A154),6),3),"-",(RIGHT(RIGHT(CONCATENATE("000",IFAData_TEA_1718!A154),6),3)))</f>
        <v>015-904</v>
      </c>
      <c r="C154" t="s">
        <v>724</v>
      </c>
      <c r="D154">
        <v>4</v>
      </c>
      <c r="E154">
        <v>1869</v>
      </c>
      <c r="F154" t="s">
        <v>4145</v>
      </c>
      <c r="G154" t="s">
        <v>4145</v>
      </c>
      <c r="H154">
        <v>3515081</v>
      </c>
      <c r="I154">
        <v>0</v>
      </c>
      <c r="J154">
        <v>0</v>
      </c>
      <c r="K154"/>
      <c r="L154">
        <v>0</v>
      </c>
      <c r="M154">
        <v>599</v>
      </c>
    </row>
    <row r="155" spans="1:13" ht="15">
      <c r="A155" t="s">
        <v>3392</v>
      </c>
      <c r="B155" s="1040" t="str">
        <f>CONCATENATE(LEFT(RIGHT(CONCATENATE("000",IFAData_TEA_1718!A155),6),3),"-",(RIGHT(RIGHT(CONCATENATE("000",IFAData_TEA_1718!A155),6),3)))</f>
        <v>015-904</v>
      </c>
      <c r="C155" t="s">
        <v>724</v>
      </c>
      <c r="D155">
        <v>4</v>
      </c>
      <c r="E155">
        <v>1869</v>
      </c>
      <c r="F155" t="s">
        <v>4145</v>
      </c>
      <c r="G155" t="s">
        <v>4141</v>
      </c>
      <c r="H155">
        <v>3515081</v>
      </c>
      <c r="I155">
        <v>0</v>
      </c>
      <c r="J155">
        <v>0</v>
      </c>
      <c r="K155"/>
      <c r="L155">
        <v>0</v>
      </c>
      <c r="M155">
        <v>599</v>
      </c>
    </row>
    <row r="156" spans="1:13" ht="15">
      <c r="A156" t="s">
        <v>3392</v>
      </c>
      <c r="B156" s="1040" t="str">
        <f>CONCATENATE(LEFT(RIGHT(CONCATENATE("000",IFAData_TEA_1718!A156),6),3),"-",(RIGHT(RIGHT(CONCATENATE("000",IFAData_TEA_1718!A156),6),3)))</f>
        <v>015-904</v>
      </c>
      <c r="C156" t="s">
        <v>724</v>
      </c>
      <c r="D156">
        <v>4</v>
      </c>
      <c r="E156">
        <v>1869</v>
      </c>
      <c r="F156" t="s">
        <v>4145</v>
      </c>
      <c r="G156" t="s">
        <v>4146</v>
      </c>
      <c r="H156">
        <v>3515081</v>
      </c>
      <c r="I156">
        <v>0</v>
      </c>
      <c r="J156">
        <v>0</v>
      </c>
      <c r="K156"/>
      <c r="L156">
        <v>0</v>
      </c>
      <c r="M156">
        <v>599</v>
      </c>
    </row>
    <row r="157" spans="1:13" ht="15">
      <c r="A157" t="s">
        <v>3392</v>
      </c>
      <c r="B157" s="1040" t="str">
        <f>CONCATENATE(LEFT(RIGHT(CONCATENATE("000",IFAData_TEA_1718!A157),6),3),"-",(RIGHT(RIGHT(CONCATENATE("000",IFAData_TEA_1718!A157),6),3)))</f>
        <v>015-904</v>
      </c>
      <c r="C157" t="s">
        <v>724</v>
      </c>
      <c r="D157">
        <v>4</v>
      </c>
      <c r="E157">
        <v>1869</v>
      </c>
      <c r="F157" t="s">
        <v>4145</v>
      </c>
      <c r="G157" t="s">
        <v>4143</v>
      </c>
      <c r="H157">
        <v>3515081</v>
      </c>
      <c r="I157">
        <v>0</v>
      </c>
      <c r="J157">
        <v>0</v>
      </c>
      <c r="K157"/>
      <c r="L157">
        <v>0</v>
      </c>
      <c r="M157">
        <v>599</v>
      </c>
    </row>
    <row r="158" spans="1:13" ht="15">
      <c r="A158" t="s">
        <v>3392</v>
      </c>
      <c r="B158" s="1040" t="str">
        <f>CONCATENATE(LEFT(RIGHT(CONCATENATE("000",IFAData_TEA_1718!A158),6),3),"-",(RIGHT(RIGHT(CONCATENATE("000",IFAData_TEA_1718!A158),6),3)))</f>
        <v>015-904</v>
      </c>
      <c r="C158" t="s">
        <v>724</v>
      </c>
      <c r="D158">
        <v>4</v>
      </c>
      <c r="E158">
        <v>1869</v>
      </c>
      <c r="F158" t="s">
        <v>4145</v>
      </c>
      <c r="G158" t="s">
        <v>4144</v>
      </c>
      <c r="H158">
        <v>3515081</v>
      </c>
      <c r="I158">
        <v>0</v>
      </c>
      <c r="J158">
        <v>0</v>
      </c>
      <c r="K158"/>
      <c r="L158">
        <v>0</v>
      </c>
      <c r="M158">
        <v>599</v>
      </c>
    </row>
    <row r="159" spans="1:13" ht="15">
      <c r="A159" t="s">
        <v>3392</v>
      </c>
      <c r="B159" s="1040" t="str">
        <f>CONCATENATE(LEFT(RIGHT(CONCATENATE("000",IFAData_TEA_1718!A159),6),3),"-",(RIGHT(RIGHT(CONCATENATE("000",IFAData_TEA_1718!A159),6),3)))</f>
        <v>015-904</v>
      </c>
      <c r="C159" t="s">
        <v>724</v>
      </c>
      <c r="D159">
        <v>4</v>
      </c>
      <c r="E159">
        <v>1869</v>
      </c>
      <c r="F159" t="s">
        <v>4145</v>
      </c>
      <c r="G159" t="s">
        <v>6188</v>
      </c>
      <c r="H159">
        <v>3515081</v>
      </c>
      <c r="I159">
        <v>0</v>
      </c>
      <c r="J159">
        <v>0</v>
      </c>
      <c r="K159"/>
      <c r="L159">
        <v>0</v>
      </c>
      <c r="M159">
        <v>599</v>
      </c>
    </row>
    <row r="160" spans="1:13" ht="15">
      <c r="A160" t="s">
        <v>3392</v>
      </c>
      <c r="B160" s="1040" t="str">
        <f>CONCATENATE(LEFT(RIGHT(CONCATENATE("000",IFAData_TEA_1718!A160),6),3),"-",(RIGHT(RIGHT(CONCATENATE("000",IFAData_TEA_1718!A160),6),3)))</f>
        <v>015-904</v>
      </c>
      <c r="C160" t="s">
        <v>724</v>
      </c>
      <c r="D160">
        <v>5</v>
      </c>
      <c r="E160">
        <v>1867</v>
      </c>
      <c r="F160" t="s">
        <v>4147</v>
      </c>
      <c r="G160" t="s">
        <v>4147</v>
      </c>
      <c r="H160">
        <v>3411660</v>
      </c>
      <c r="I160">
        <v>0</v>
      </c>
      <c r="J160">
        <v>0</v>
      </c>
      <c r="K160">
        <v>0</v>
      </c>
      <c r="L160">
        <v>0</v>
      </c>
      <c r="M160">
        <v>599</v>
      </c>
    </row>
    <row r="161" spans="1:13" ht="15">
      <c r="A161" t="s">
        <v>3392</v>
      </c>
      <c r="B161" s="1040" t="str">
        <f>CONCATENATE(LEFT(RIGHT(CONCATENATE("000",IFAData_TEA_1718!A161),6),3),"-",(RIGHT(RIGHT(CONCATENATE("000",IFAData_TEA_1718!A161),6),3)))</f>
        <v>015-904</v>
      </c>
      <c r="C161" t="s">
        <v>724</v>
      </c>
      <c r="D161">
        <v>5</v>
      </c>
      <c r="E161">
        <v>1867</v>
      </c>
      <c r="F161" t="s">
        <v>4147</v>
      </c>
      <c r="G161" t="s">
        <v>4141</v>
      </c>
      <c r="H161">
        <v>3411660</v>
      </c>
      <c r="I161">
        <v>0</v>
      </c>
      <c r="J161">
        <v>0</v>
      </c>
      <c r="K161">
        <v>0</v>
      </c>
      <c r="L161">
        <v>0</v>
      </c>
      <c r="M161">
        <v>599</v>
      </c>
    </row>
    <row r="162" spans="1:13" ht="15">
      <c r="A162" t="s">
        <v>3392</v>
      </c>
      <c r="B162" s="1040" t="str">
        <f>CONCATENATE(LEFT(RIGHT(CONCATENATE("000",IFAData_TEA_1718!A162),6),3),"-",(RIGHT(RIGHT(CONCATENATE("000",IFAData_TEA_1718!A162),6),3)))</f>
        <v>015-904</v>
      </c>
      <c r="C162" t="s">
        <v>724</v>
      </c>
      <c r="D162">
        <v>5</v>
      </c>
      <c r="E162">
        <v>1867</v>
      </c>
      <c r="F162" t="s">
        <v>4147</v>
      </c>
      <c r="G162" t="s">
        <v>4142</v>
      </c>
      <c r="H162">
        <v>3411660</v>
      </c>
      <c r="I162">
        <v>1077458</v>
      </c>
      <c r="J162">
        <v>0.34202333975716798</v>
      </c>
      <c r="K162">
        <v>1166867.3473159401</v>
      </c>
      <c r="L162">
        <v>1077458</v>
      </c>
      <c r="M162">
        <v>599</v>
      </c>
    </row>
    <row r="163" spans="1:13" ht="15">
      <c r="A163" t="s">
        <v>3392</v>
      </c>
      <c r="B163" s="1040" t="str">
        <f>CONCATENATE(LEFT(RIGHT(CONCATENATE("000",IFAData_TEA_1718!A163),6),3),"-",(RIGHT(RIGHT(CONCATENATE("000",IFAData_TEA_1718!A163),6),3)))</f>
        <v>015-904</v>
      </c>
      <c r="C163" t="s">
        <v>724</v>
      </c>
      <c r="D163">
        <v>5</v>
      </c>
      <c r="E163">
        <v>1867</v>
      </c>
      <c r="F163" t="s">
        <v>4147</v>
      </c>
      <c r="G163" t="s">
        <v>4148</v>
      </c>
      <c r="H163">
        <v>3411660</v>
      </c>
      <c r="I163">
        <v>236450</v>
      </c>
      <c r="J163">
        <v>7.5057606594022594E-2</v>
      </c>
      <c r="K163">
        <v>256071.03411256301</v>
      </c>
      <c r="L163">
        <v>236450</v>
      </c>
      <c r="M163">
        <v>599</v>
      </c>
    </row>
    <row r="164" spans="1:13" ht="15">
      <c r="A164" t="s">
        <v>3392</v>
      </c>
      <c r="B164" s="1040" t="str">
        <f>CONCATENATE(LEFT(RIGHT(CONCATENATE("000",IFAData_TEA_1718!A164),6),3),"-",(RIGHT(RIGHT(CONCATENATE("000",IFAData_TEA_1718!A164),6),3)))</f>
        <v>015-904</v>
      </c>
      <c r="C164" t="s">
        <v>724</v>
      </c>
      <c r="D164">
        <v>5</v>
      </c>
      <c r="E164">
        <v>1867</v>
      </c>
      <c r="F164" t="s">
        <v>4147</v>
      </c>
      <c r="G164" t="s">
        <v>4144</v>
      </c>
      <c r="H164">
        <v>3411660</v>
      </c>
      <c r="I164">
        <v>0</v>
      </c>
      <c r="J164">
        <v>0</v>
      </c>
      <c r="K164">
        <v>0</v>
      </c>
      <c r="L164">
        <v>0</v>
      </c>
      <c r="M164">
        <v>599</v>
      </c>
    </row>
    <row r="165" spans="1:13" ht="15">
      <c r="A165" t="s">
        <v>3392</v>
      </c>
      <c r="B165" s="1040" t="str">
        <f>CONCATENATE(LEFT(RIGHT(CONCATENATE("000",IFAData_TEA_1718!A165),6),3),"-",(RIGHT(RIGHT(CONCATENATE("000",IFAData_TEA_1718!A165),6),3)))</f>
        <v>015-904</v>
      </c>
      <c r="C165" t="s">
        <v>724</v>
      </c>
      <c r="D165">
        <v>5</v>
      </c>
      <c r="E165">
        <v>1867</v>
      </c>
      <c r="F165" t="s">
        <v>4147</v>
      </c>
      <c r="G165" t="s">
        <v>8314</v>
      </c>
      <c r="H165">
        <v>3411660</v>
      </c>
      <c r="I165">
        <v>185107</v>
      </c>
      <c r="J165">
        <v>5.8759519491646199E-2</v>
      </c>
      <c r="K165">
        <v>200467.50226887001</v>
      </c>
      <c r="L165">
        <v>185107</v>
      </c>
      <c r="M165">
        <v>599</v>
      </c>
    </row>
    <row r="166" spans="1:13" ht="15">
      <c r="A166" t="s">
        <v>3392</v>
      </c>
      <c r="B166" s="1040" t="str">
        <f>CONCATENATE(LEFT(RIGHT(CONCATENATE("000",IFAData_TEA_1718!A166),6),3),"-",(RIGHT(RIGHT(CONCATENATE("000",IFAData_TEA_1718!A166),6),3)))</f>
        <v>015-904</v>
      </c>
      <c r="C166" t="s">
        <v>724</v>
      </c>
      <c r="D166">
        <v>5</v>
      </c>
      <c r="E166">
        <v>1867</v>
      </c>
      <c r="F166" t="s">
        <v>4147</v>
      </c>
      <c r="G166" t="s">
        <v>8315</v>
      </c>
      <c r="H166">
        <v>3411660</v>
      </c>
      <c r="I166">
        <v>1651232</v>
      </c>
      <c r="J166">
        <v>0.52415953415716299</v>
      </c>
      <c r="K166">
        <v>1788254.1163026299</v>
      </c>
      <c r="L166">
        <v>1651232</v>
      </c>
      <c r="M166">
        <v>599</v>
      </c>
    </row>
    <row r="167" spans="1:13" ht="15">
      <c r="A167" t="s">
        <v>3392</v>
      </c>
      <c r="B167" s="1040" t="str">
        <f>CONCATENATE(LEFT(RIGHT(CONCATENATE("000",IFAData_TEA_1718!A167),6),3),"-",(RIGHT(RIGHT(CONCATENATE("000",IFAData_TEA_1718!A167),6),3)))</f>
        <v>015-904</v>
      </c>
      <c r="C167" t="s">
        <v>724</v>
      </c>
      <c r="D167">
        <v>8</v>
      </c>
      <c r="E167">
        <v>1866</v>
      </c>
      <c r="F167" t="s">
        <v>4149</v>
      </c>
      <c r="G167" t="s">
        <v>4149</v>
      </c>
      <c r="H167">
        <v>3182950</v>
      </c>
      <c r="I167">
        <v>0</v>
      </c>
      <c r="J167">
        <v>0</v>
      </c>
      <c r="K167">
        <v>0</v>
      </c>
      <c r="L167">
        <v>0</v>
      </c>
      <c r="M167">
        <v>599</v>
      </c>
    </row>
    <row r="168" spans="1:13" ht="15">
      <c r="A168" t="s">
        <v>3392</v>
      </c>
      <c r="B168" s="1040" t="str">
        <f>CONCATENATE(LEFT(RIGHT(CONCATENATE("000",IFAData_TEA_1718!A168),6),3),"-",(RIGHT(RIGHT(CONCATENATE("000",IFAData_TEA_1718!A168),6),3)))</f>
        <v>015-904</v>
      </c>
      <c r="C168" t="s">
        <v>724</v>
      </c>
      <c r="D168">
        <v>8</v>
      </c>
      <c r="E168">
        <v>1866</v>
      </c>
      <c r="F168" t="s">
        <v>4149</v>
      </c>
      <c r="G168" t="s">
        <v>4150</v>
      </c>
      <c r="H168">
        <v>3182950</v>
      </c>
      <c r="I168">
        <v>327213</v>
      </c>
      <c r="J168">
        <v>0.115558124981459</v>
      </c>
      <c r="K168">
        <v>367815.73390973499</v>
      </c>
      <c r="L168">
        <v>327213</v>
      </c>
      <c r="M168">
        <v>599</v>
      </c>
    </row>
    <row r="169" spans="1:13" ht="15">
      <c r="A169" t="s">
        <v>3392</v>
      </c>
      <c r="B169" s="1040" t="str">
        <f>CONCATENATE(LEFT(RIGHT(CONCATENATE("000",IFAData_TEA_1718!A169),6),3),"-",(RIGHT(RIGHT(CONCATENATE("000",IFAData_TEA_1718!A169),6),3)))</f>
        <v>015-904</v>
      </c>
      <c r="C169" t="s">
        <v>724</v>
      </c>
      <c r="D169">
        <v>8</v>
      </c>
      <c r="E169">
        <v>1866</v>
      </c>
      <c r="F169" t="s">
        <v>4149</v>
      </c>
      <c r="G169" t="s">
        <v>4151</v>
      </c>
      <c r="H169">
        <v>3182950</v>
      </c>
      <c r="I169">
        <v>340300</v>
      </c>
      <c r="J169">
        <v>0.12017991317946</v>
      </c>
      <c r="K169">
        <v>382526.65465456102</v>
      </c>
      <c r="L169">
        <v>340300</v>
      </c>
      <c r="M169">
        <v>599</v>
      </c>
    </row>
    <row r="170" spans="1:13" ht="15">
      <c r="A170" t="s">
        <v>3392</v>
      </c>
      <c r="B170" s="1040" t="str">
        <f>CONCATENATE(LEFT(RIGHT(CONCATENATE("000",IFAData_TEA_1718!A170),6),3),"-",(RIGHT(RIGHT(CONCATENATE("000",IFAData_TEA_1718!A170),6),3)))</f>
        <v>015-904</v>
      </c>
      <c r="C170" t="s">
        <v>724</v>
      </c>
      <c r="D170">
        <v>8</v>
      </c>
      <c r="E170">
        <v>1866</v>
      </c>
      <c r="F170" t="s">
        <v>4149</v>
      </c>
      <c r="G170" t="s">
        <v>6189</v>
      </c>
      <c r="H170">
        <v>3182950</v>
      </c>
      <c r="I170">
        <v>1386175</v>
      </c>
      <c r="J170">
        <v>0.48953979180586998</v>
      </c>
      <c r="K170">
        <v>1558180.68032849</v>
      </c>
      <c r="L170">
        <v>1386175</v>
      </c>
      <c r="M170">
        <v>599</v>
      </c>
    </row>
    <row r="171" spans="1:13" ht="15">
      <c r="A171" t="s">
        <v>3392</v>
      </c>
      <c r="B171" s="1040" t="str">
        <f>CONCATENATE(LEFT(RIGHT(CONCATENATE("000",IFAData_TEA_1718!A171),6),3),"-",(RIGHT(RIGHT(CONCATENATE("000",IFAData_TEA_1718!A171),6),3)))</f>
        <v>015-904</v>
      </c>
      <c r="C171" t="s">
        <v>724</v>
      </c>
      <c r="D171">
        <v>8</v>
      </c>
      <c r="E171">
        <v>1866</v>
      </c>
      <c r="F171" t="s">
        <v>4149</v>
      </c>
      <c r="G171" t="s">
        <v>6190</v>
      </c>
      <c r="H171">
        <v>3182950</v>
      </c>
      <c r="I171">
        <v>777900</v>
      </c>
      <c r="J171">
        <v>0.27472217003321098</v>
      </c>
      <c r="K171">
        <v>874426.93110720895</v>
      </c>
      <c r="L171">
        <v>777900</v>
      </c>
      <c r="M171">
        <v>599</v>
      </c>
    </row>
    <row r="172" spans="1:13" ht="15">
      <c r="A172" t="s">
        <v>3392</v>
      </c>
      <c r="B172" s="1040" t="str">
        <f>CONCATENATE(LEFT(RIGHT(CONCATENATE("000",IFAData_TEA_1718!A172),6),3),"-",(RIGHT(RIGHT(CONCATENATE("000",IFAData_TEA_1718!A172),6),3)))</f>
        <v>015-904</v>
      </c>
      <c r="C172" t="s">
        <v>724</v>
      </c>
      <c r="D172">
        <v>11</v>
      </c>
      <c r="E172">
        <v>2479</v>
      </c>
      <c r="F172" t="s">
        <v>8316</v>
      </c>
      <c r="G172" t="s">
        <v>8316</v>
      </c>
      <c r="H172">
        <v>1216400</v>
      </c>
      <c r="I172">
        <v>1216400</v>
      </c>
      <c r="J172">
        <v>1</v>
      </c>
      <c r="K172">
        <v>1216400</v>
      </c>
      <c r="L172">
        <v>1216400</v>
      </c>
      <c r="M172">
        <v>599</v>
      </c>
    </row>
    <row r="173" spans="1:13" ht="15">
      <c r="A173" t="s">
        <v>3392</v>
      </c>
      <c r="B173" s="1040" t="str">
        <f>CONCATENATE(LEFT(RIGHT(CONCATENATE("000",IFAData_TEA_1718!A173),6),3),"-",(RIGHT(RIGHT(CONCATENATE("000",IFAData_TEA_1718!A173),6),3)))</f>
        <v>015-904</v>
      </c>
      <c r="C173" t="s">
        <v>724</v>
      </c>
      <c r="D173">
        <v>11</v>
      </c>
      <c r="E173">
        <v>2478</v>
      </c>
      <c r="F173" t="s">
        <v>8317</v>
      </c>
      <c r="G173" t="s">
        <v>8317</v>
      </c>
      <c r="H173">
        <v>1221412</v>
      </c>
      <c r="I173">
        <v>1178100</v>
      </c>
      <c r="J173">
        <v>1</v>
      </c>
      <c r="K173">
        <v>1221412</v>
      </c>
      <c r="L173">
        <v>1178100</v>
      </c>
      <c r="M173">
        <v>599</v>
      </c>
    </row>
    <row r="174" spans="1:13" ht="15">
      <c r="A174" t="s">
        <v>3393</v>
      </c>
      <c r="B174" s="1040" t="str">
        <f>CONCATENATE(LEFT(RIGHT(CONCATENATE("000",IFAData_TEA_1718!A174),6),3),"-",(RIGHT(RIGHT(CONCATENATE("000",IFAData_TEA_1718!A174),6),3)))</f>
        <v>015-905</v>
      </c>
      <c r="C174" t="s">
        <v>888</v>
      </c>
      <c r="D174">
        <v>1</v>
      </c>
      <c r="E174">
        <v>1790</v>
      </c>
      <c r="F174" t="s">
        <v>4152</v>
      </c>
      <c r="G174" t="s">
        <v>4152</v>
      </c>
      <c r="H174">
        <v>394754</v>
      </c>
      <c r="I174">
        <v>0</v>
      </c>
      <c r="J174">
        <v>0</v>
      </c>
      <c r="K174">
        <v>0</v>
      </c>
      <c r="L174">
        <v>0</v>
      </c>
      <c r="M174">
        <v>599</v>
      </c>
    </row>
    <row r="175" spans="1:13" ht="15">
      <c r="A175" t="s">
        <v>3393</v>
      </c>
      <c r="B175" s="1040" t="str">
        <f>CONCATENATE(LEFT(RIGHT(CONCATENATE("000",IFAData_TEA_1718!A175),6),3),"-",(RIGHT(RIGHT(CONCATENATE("000",IFAData_TEA_1718!A175),6),3)))</f>
        <v>015-905</v>
      </c>
      <c r="C175" t="s">
        <v>888</v>
      </c>
      <c r="D175">
        <v>1</v>
      </c>
      <c r="E175">
        <v>1790</v>
      </c>
      <c r="F175" t="s">
        <v>4152</v>
      </c>
      <c r="G175" t="s">
        <v>4153</v>
      </c>
      <c r="H175">
        <v>394754</v>
      </c>
      <c r="I175">
        <v>0</v>
      </c>
      <c r="J175">
        <v>0</v>
      </c>
      <c r="K175">
        <v>0</v>
      </c>
      <c r="L175">
        <v>0</v>
      </c>
      <c r="M175">
        <v>599</v>
      </c>
    </row>
    <row r="176" spans="1:13" ht="15">
      <c r="A176" t="s">
        <v>3393</v>
      </c>
      <c r="B176" s="1040" t="str">
        <f>CONCATENATE(LEFT(RIGHT(CONCATENATE("000",IFAData_TEA_1718!A176),6),3),"-",(RIGHT(RIGHT(CONCATENATE("000",IFAData_TEA_1718!A176),6),3)))</f>
        <v>015-905</v>
      </c>
      <c r="C176" t="s">
        <v>888</v>
      </c>
      <c r="D176">
        <v>1</v>
      </c>
      <c r="E176">
        <v>1790</v>
      </c>
      <c r="F176" t="s">
        <v>4152</v>
      </c>
      <c r="G176" t="s">
        <v>6191</v>
      </c>
      <c r="H176">
        <v>394754</v>
      </c>
      <c r="I176">
        <v>302194</v>
      </c>
      <c r="J176">
        <v>1</v>
      </c>
      <c r="K176">
        <v>394754</v>
      </c>
      <c r="L176">
        <v>302194</v>
      </c>
      <c r="M176">
        <v>599</v>
      </c>
    </row>
    <row r="177" spans="1:13" ht="15">
      <c r="A177" t="s">
        <v>3393</v>
      </c>
      <c r="B177" s="1040" t="str">
        <f>CONCATENATE(LEFT(RIGHT(CONCATENATE("000",IFAData_TEA_1718!A177),6),3),"-",(RIGHT(RIGHT(CONCATENATE("000",IFAData_TEA_1718!A177),6),3)))</f>
        <v>015-905</v>
      </c>
      <c r="C177" t="s">
        <v>888</v>
      </c>
      <c r="D177">
        <v>1</v>
      </c>
      <c r="E177">
        <v>1789</v>
      </c>
      <c r="F177" t="s">
        <v>4154</v>
      </c>
      <c r="G177" t="s">
        <v>4154</v>
      </c>
      <c r="H177">
        <v>355472</v>
      </c>
      <c r="I177">
        <v>0</v>
      </c>
      <c r="J177">
        <v>0</v>
      </c>
      <c r="K177">
        <v>0</v>
      </c>
      <c r="L177">
        <v>0</v>
      </c>
      <c r="M177">
        <v>599</v>
      </c>
    </row>
    <row r="178" spans="1:13" ht="15">
      <c r="A178" t="s">
        <v>3393</v>
      </c>
      <c r="B178" s="1040" t="str">
        <f>CONCATENATE(LEFT(RIGHT(CONCATENATE("000",IFAData_TEA_1718!A178),6),3),"-",(RIGHT(RIGHT(CONCATENATE("000",IFAData_TEA_1718!A178),6),3)))</f>
        <v>015-905</v>
      </c>
      <c r="C178" t="s">
        <v>888</v>
      </c>
      <c r="D178">
        <v>1</v>
      </c>
      <c r="E178">
        <v>1789</v>
      </c>
      <c r="F178" t="s">
        <v>4154</v>
      </c>
      <c r="G178" t="s">
        <v>4153</v>
      </c>
      <c r="H178">
        <v>355472</v>
      </c>
      <c r="I178">
        <v>0</v>
      </c>
      <c r="J178">
        <v>0</v>
      </c>
      <c r="K178">
        <v>0</v>
      </c>
      <c r="L178">
        <v>0</v>
      </c>
      <c r="M178">
        <v>599</v>
      </c>
    </row>
    <row r="179" spans="1:13" ht="15">
      <c r="A179" t="s">
        <v>3393</v>
      </c>
      <c r="B179" s="1040" t="str">
        <f>CONCATENATE(LEFT(RIGHT(CONCATENATE("000",IFAData_TEA_1718!A179),6),3),"-",(RIGHT(RIGHT(CONCATENATE("000",IFAData_TEA_1718!A179),6),3)))</f>
        <v>015-905</v>
      </c>
      <c r="C179" t="s">
        <v>888</v>
      </c>
      <c r="D179">
        <v>1</v>
      </c>
      <c r="E179">
        <v>1789</v>
      </c>
      <c r="F179" t="s">
        <v>4154</v>
      </c>
      <c r="G179" t="s">
        <v>4155</v>
      </c>
      <c r="H179">
        <v>355472</v>
      </c>
      <c r="I179">
        <v>56264</v>
      </c>
      <c r="J179">
        <v>0.197857690441192</v>
      </c>
      <c r="K179">
        <v>70332.868936511397</v>
      </c>
      <c r="L179">
        <v>56264</v>
      </c>
      <c r="M179">
        <v>599</v>
      </c>
    </row>
    <row r="180" spans="1:13" ht="15">
      <c r="A180" t="s">
        <v>3393</v>
      </c>
      <c r="B180" s="1040" t="str">
        <f>CONCATENATE(LEFT(RIGHT(CONCATENATE("000",IFAData_TEA_1718!A180),6),3),"-",(RIGHT(RIGHT(CONCATENATE("000",IFAData_TEA_1718!A180),6),3)))</f>
        <v>015-905</v>
      </c>
      <c r="C180" t="s">
        <v>888</v>
      </c>
      <c r="D180">
        <v>1</v>
      </c>
      <c r="E180">
        <v>1789</v>
      </c>
      <c r="F180" t="s">
        <v>4154</v>
      </c>
      <c r="G180" t="s">
        <v>6191</v>
      </c>
      <c r="H180">
        <v>355472</v>
      </c>
      <c r="I180">
        <v>228102</v>
      </c>
      <c r="J180">
        <v>0.80214230955880805</v>
      </c>
      <c r="K180">
        <v>285139.13106348901</v>
      </c>
      <c r="L180">
        <v>228102</v>
      </c>
      <c r="M180">
        <v>599</v>
      </c>
    </row>
    <row r="181" spans="1:13" ht="15">
      <c r="A181" t="s">
        <v>3393</v>
      </c>
      <c r="B181" s="1040" t="str">
        <f>CONCATENATE(LEFT(RIGHT(CONCATENATE("000",IFAData_TEA_1718!A181),6),3),"-",(RIGHT(RIGHT(CONCATENATE("000",IFAData_TEA_1718!A181),6),3)))</f>
        <v>015-905</v>
      </c>
      <c r="C181" t="s">
        <v>888</v>
      </c>
      <c r="D181">
        <v>2</v>
      </c>
      <c r="E181">
        <v>1791</v>
      </c>
      <c r="F181" t="s">
        <v>4156</v>
      </c>
      <c r="G181" t="s">
        <v>4156</v>
      </c>
      <c r="H181">
        <v>591537</v>
      </c>
      <c r="I181">
        <v>0</v>
      </c>
      <c r="J181">
        <v>0</v>
      </c>
      <c r="K181">
        <v>0</v>
      </c>
      <c r="L181">
        <v>0</v>
      </c>
      <c r="M181">
        <v>599</v>
      </c>
    </row>
    <row r="182" spans="1:13" ht="15">
      <c r="A182" t="s">
        <v>3393</v>
      </c>
      <c r="B182" s="1040" t="str">
        <f>CONCATENATE(LEFT(RIGHT(CONCATENATE("000",IFAData_TEA_1718!A182),6),3),"-",(RIGHT(RIGHT(CONCATENATE("000",IFAData_TEA_1718!A182),6),3)))</f>
        <v>015-905</v>
      </c>
      <c r="C182" t="s">
        <v>888</v>
      </c>
      <c r="D182">
        <v>2</v>
      </c>
      <c r="E182">
        <v>1791</v>
      </c>
      <c r="F182" t="s">
        <v>4156</v>
      </c>
      <c r="G182" t="s">
        <v>4153</v>
      </c>
      <c r="H182">
        <v>591537</v>
      </c>
      <c r="I182">
        <v>0</v>
      </c>
      <c r="J182">
        <v>0</v>
      </c>
      <c r="K182">
        <v>0</v>
      </c>
      <c r="L182">
        <v>0</v>
      </c>
      <c r="M182">
        <v>599</v>
      </c>
    </row>
    <row r="183" spans="1:13" ht="15">
      <c r="A183" t="s">
        <v>3393</v>
      </c>
      <c r="B183" s="1040" t="str">
        <f>CONCATENATE(LEFT(RIGHT(CONCATENATE("000",IFAData_TEA_1718!A183),6),3),"-",(RIGHT(RIGHT(CONCATENATE("000",IFAData_TEA_1718!A183),6),3)))</f>
        <v>015-905</v>
      </c>
      <c r="C183" t="s">
        <v>888</v>
      </c>
      <c r="D183">
        <v>2</v>
      </c>
      <c r="E183">
        <v>1791</v>
      </c>
      <c r="F183" t="s">
        <v>4156</v>
      </c>
      <c r="G183" t="s">
        <v>6191</v>
      </c>
      <c r="H183">
        <v>591537</v>
      </c>
      <c r="I183">
        <v>468204</v>
      </c>
      <c r="J183">
        <v>1</v>
      </c>
      <c r="K183">
        <v>591537</v>
      </c>
      <c r="L183">
        <v>468204</v>
      </c>
      <c r="M183">
        <v>599</v>
      </c>
    </row>
    <row r="184" spans="1:13" ht="15">
      <c r="A184" t="s">
        <v>3393</v>
      </c>
      <c r="B184" s="1040" t="str">
        <f>CONCATENATE(LEFT(RIGHT(CONCATENATE("000",IFAData_TEA_1718!A184),6),3),"-",(RIGHT(RIGHT(CONCATENATE("000",IFAData_TEA_1718!A184),6),3)))</f>
        <v>015-905</v>
      </c>
      <c r="C184" t="s">
        <v>888</v>
      </c>
      <c r="D184">
        <v>2</v>
      </c>
      <c r="E184">
        <v>1792</v>
      </c>
      <c r="F184" t="s">
        <v>4157</v>
      </c>
      <c r="G184" t="s">
        <v>4157</v>
      </c>
      <c r="H184">
        <v>892783</v>
      </c>
      <c r="I184">
        <v>0</v>
      </c>
      <c r="J184">
        <v>0</v>
      </c>
      <c r="K184"/>
      <c r="L184">
        <v>0</v>
      </c>
      <c r="M184">
        <v>199</v>
      </c>
    </row>
    <row r="185" spans="1:13" ht="15">
      <c r="A185" t="s">
        <v>3393</v>
      </c>
      <c r="B185" s="1040" t="str">
        <f>CONCATENATE(LEFT(RIGHT(CONCATENATE("000",IFAData_TEA_1718!A185),6),3),"-",(RIGHT(RIGHT(CONCATENATE("000",IFAData_TEA_1718!A185),6),3)))</f>
        <v>015-905</v>
      </c>
      <c r="C185" t="s">
        <v>888</v>
      </c>
      <c r="D185">
        <v>5</v>
      </c>
      <c r="E185">
        <v>1793</v>
      </c>
      <c r="F185" t="s">
        <v>4158</v>
      </c>
      <c r="G185" t="s">
        <v>4158</v>
      </c>
      <c r="H185">
        <v>2880403</v>
      </c>
      <c r="I185">
        <v>0</v>
      </c>
      <c r="J185">
        <v>0</v>
      </c>
      <c r="K185">
        <v>0</v>
      </c>
      <c r="L185">
        <v>0</v>
      </c>
      <c r="M185">
        <v>599</v>
      </c>
    </row>
    <row r="186" spans="1:13" ht="15">
      <c r="A186" t="s">
        <v>3393</v>
      </c>
      <c r="B186" s="1040" t="str">
        <f>CONCATENATE(LEFT(RIGHT(CONCATENATE("000",IFAData_TEA_1718!A186),6),3),"-",(RIGHT(RIGHT(CONCATENATE("000",IFAData_TEA_1718!A186),6),3)))</f>
        <v>015-905</v>
      </c>
      <c r="C186" t="s">
        <v>888</v>
      </c>
      <c r="D186">
        <v>5</v>
      </c>
      <c r="E186">
        <v>1793</v>
      </c>
      <c r="F186" t="s">
        <v>4158</v>
      </c>
      <c r="G186" t="s">
        <v>4153</v>
      </c>
      <c r="H186">
        <v>2880403</v>
      </c>
      <c r="I186">
        <v>0</v>
      </c>
      <c r="J186">
        <v>0</v>
      </c>
      <c r="K186">
        <v>0</v>
      </c>
      <c r="L186">
        <v>0</v>
      </c>
      <c r="M186">
        <v>599</v>
      </c>
    </row>
    <row r="187" spans="1:13" ht="15">
      <c r="A187" t="s">
        <v>3393</v>
      </c>
      <c r="B187" s="1040" t="str">
        <f>CONCATENATE(LEFT(RIGHT(CONCATENATE("000",IFAData_TEA_1718!A187),6),3),"-",(RIGHT(RIGHT(CONCATENATE("000",IFAData_TEA_1718!A187),6),3)))</f>
        <v>015-905</v>
      </c>
      <c r="C187" t="s">
        <v>888</v>
      </c>
      <c r="D187">
        <v>5</v>
      </c>
      <c r="E187">
        <v>1793</v>
      </c>
      <c r="F187" t="s">
        <v>4158</v>
      </c>
      <c r="G187" t="s">
        <v>4155</v>
      </c>
      <c r="H187">
        <v>2880403</v>
      </c>
      <c r="I187">
        <v>2647856</v>
      </c>
      <c r="J187">
        <v>1</v>
      </c>
      <c r="K187">
        <v>2880403</v>
      </c>
      <c r="L187">
        <v>2647856</v>
      </c>
      <c r="M187">
        <v>599</v>
      </c>
    </row>
    <row r="188" spans="1:13" ht="15">
      <c r="A188" t="s">
        <v>3393</v>
      </c>
      <c r="B188" s="1040" t="str">
        <f>CONCATENATE(LEFT(RIGHT(CONCATENATE("000",IFAData_TEA_1718!A188),6),3),"-",(RIGHT(RIGHT(CONCATENATE("000",IFAData_TEA_1718!A188),6),3)))</f>
        <v>015-905</v>
      </c>
      <c r="C188" t="s">
        <v>888</v>
      </c>
      <c r="D188">
        <v>5</v>
      </c>
      <c r="E188">
        <v>1793</v>
      </c>
      <c r="F188" t="s">
        <v>4158</v>
      </c>
      <c r="G188" t="s">
        <v>6191</v>
      </c>
      <c r="H188">
        <v>2880403</v>
      </c>
      <c r="I188">
        <v>0</v>
      </c>
      <c r="J188">
        <v>0</v>
      </c>
      <c r="K188">
        <v>0</v>
      </c>
      <c r="L188">
        <v>0</v>
      </c>
      <c r="M188">
        <v>599</v>
      </c>
    </row>
    <row r="189" spans="1:13" ht="15">
      <c r="A189" t="s">
        <v>3393</v>
      </c>
      <c r="B189" s="1040" t="str">
        <f>CONCATENATE(LEFT(RIGHT(CONCATENATE("000",IFAData_TEA_1718!A189),6),3),"-",(RIGHT(RIGHT(CONCATENATE("000",IFAData_TEA_1718!A189),6),3)))</f>
        <v>015-905</v>
      </c>
      <c r="C189" t="s">
        <v>888</v>
      </c>
      <c r="D189">
        <v>7</v>
      </c>
      <c r="E189">
        <v>1794</v>
      </c>
      <c r="F189" t="s">
        <v>4159</v>
      </c>
      <c r="G189" t="s">
        <v>4159</v>
      </c>
      <c r="H189">
        <v>3107457</v>
      </c>
      <c r="I189">
        <v>0</v>
      </c>
      <c r="J189">
        <v>0</v>
      </c>
      <c r="K189">
        <v>0</v>
      </c>
      <c r="L189">
        <v>0</v>
      </c>
      <c r="M189">
        <v>599</v>
      </c>
    </row>
    <row r="190" spans="1:13" ht="15">
      <c r="A190" t="s">
        <v>3393</v>
      </c>
      <c r="B190" s="1040" t="str">
        <f>CONCATENATE(LEFT(RIGHT(CONCATENATE("000",IFAData_TEA_1718!A190),6),3),"-",(RIGHT(RIGHT(CONCATENATE("000",IFAData_TEA_1718!A190),6),3)))</f>
        <v>015-905</v>
      </c>
      <c r="C190" t="s">
        <v>888</v>
      </c>
      <c r="D190">
        <v>7</v>
      </c>
      <c r="E190">
        <v>1794</v>
      </c>
      <c r="F190" t="s">
        <v>4159</v>
      </c>
      <c r="G190" t="s">
        <v>4160</v>
      </c>
      <c r="H190">
        <v>3107457</v>
      </c>
      <c r="I190">
        <v>2813041</v>
      </c>
      <c r="J190">
        <v>1</v>
      </c>
      <c r="K190">
        <v>3107457</v>
      </c>
      <c r="L190">
        <v>2813041</v>
      </c>
      <c r="M190">
        <v>599</v>
      </c>
    </row>
    <row r="191" spans="1:13" ht="15">
      <c r="A191" t="s">
        <v>3394</v>
      </c>
      <c r="B191" s="1040" t="str">
        <f>CONCATENATE(LEFT(RIGHT(CONCATENATE("000",IFAData_TEA_1718!A191),6),3),"-",(RIGHT(RIGHT(CONCATENATE("000",IFAData_TEA_1718!A191),6),3)))</f>
        <v>015-907</v>
      </c>
      <c r="C191" t="s">
        <v>2028</v>
      </c>
      <c r="D191">
        <v>1</v>
      </c>
      <c r="E191">
        <v>2281</v>
      </c>
      <c r="F191" t="s">
        <v>4161</v>
      </c>
      <c r="G191" t="s">
        <v>4161</v>
      </c>
      <c r="H191">
        <v>13875000</v>
      </c>
      <c r="I191">
        <v>0</v>
      </c>
      <c r="J191">
        <v>0</v>
      </c>
      <c r="K191">
        <v>0</v>
      </c>
      <c r="L191">
        <v>0</v>
      </c>
      <c r="M191">
        <v>599</v>
      </c>
    </row>
    <row r="192" spans="1:13" ht="15">
      <c r="A192" t="s">
        <v>3394</v>
      </c>
      <c r="B192" s="1040" t="str">
        <f>CONCATENATE(LEFT(RIGHT(CONCATENATE("000",IFAData_TEA_1718!A192),6),3),"-",(RIGHT(RIGHT(CONCATENATE("000",IFAData_TEA_1718!A192),6),3)))</f>
        <v>015-907</v>
      </c>
      <c r="C192" t="s">
        <v>2028</v>
      </c>
      <c r="D192">
        <v>1</v>
      </c>
      <c r="E192">
        <v>2281</v>
      </c>
      <c r="F192" t="s">
        <v>4161</v>
      </c>
      <c r="G192" t="s">
        <v>4162</v>
      </c>
      <c r="H192">
        <v>13875000</v>
      </c>
      <c r="I192">
        <v>0</v>
      </c>
      <c r="J192">
        <v>0</v>
      </c>
      <c r="K192">
        <v>0</v>
      </c>
      <c r="L192">
        <v>0</v>
      </c>
      <c r="M192">
        <v>599</v>
      </c>
    </row>
    <row r="193" spans="1:13" ht="15">
      <c r="A193" t="s">
        <v>3394</v>
      </c>
      <c r="B193" s="1040" t="str">
        <f>CONCATENATE(LEFT(RIGHT(CONCATENATE("000",IFAData_TEA_1718!A193),6),3),"-",(RIGHT(RIGHT(CONCATENATE("000",IFAData_TEA_1718!A193),6),3)))</f>
        <v>015-907</v>
      </c>
      <c r="C193" t="s">
        <v>2028</v>
      </c>
      <c r="D193">
        <v>1</v>
      </c>
      <c r="E193">
        <v>2281</v>
      </c>
      <c r="F193" t="s">
        <v>4161</v>
      </c>
      <c r="G193" t="s">
        <v>4163</v>
      </c>
      <c r="H193">
        <v>13875000</v>
      </c>
      <c r="I193">
        <v>0</v>
      </c>
      <c r="J193">
        <v>0</v>
      </c>
      <c r="K193">
        <v>0</v>
      </c>
      <c r="L193">
        <v>0</v>
      </c>
      <c r="M193">
        <v>599</v>
      </c>
    </row>
    <row r="194" spans="1:13" ht="15">
      <c r="A194" t="s">
        <v>3394</v>
      </c>
      <c r="B194" s="1040" t="str">
        <f>CONCATENATE(LEFT(RIGHT(CONCATENATE("000",IFAData_TEA_1718!A194),6),3),"-",(RIGHT(RIGHT(CONCATENATE("000",IFAData_TEA_1718!A194),6),3)))</f>
        <v>015-907</v>
      </c>
      <c r="C194" t="s">
        <v>2028</v>
      </c>
      <c r="D194">
        <v>1</v>
      </c>
      <c r="E194">
        <v>2281</v>
      </c>
      <c r="F194" t="s">
        <v>4161</v>
      </c>
      <c r="G194" t="s">
        <v>4164</v>
      </c>
      <c r="H194">
        <v>13875000</v>
      </c>
      <c r="I194">
        <v>0</v>
      </c>
      <c r="J194">
        <v>0</v>
      </c>
      <c r="K194">
        <v>0</v>
      </c>
      <c r="L194">
        <v>0</v>
      </c>
      <c r="M194">
        <v>599</v>
      </c>
    </row>
    <row r="195" spans="1:13" ht="15">
      <c r="A195" t="s">
        <v>3394</v>
      </c>
      <c r="B195" s="1040" t="str">
        <f>CONCATENATE(LEFT(RIGHT(CONCATENATE("000",IFAData_TEA_1718!A195),6),3),"-",(RIGHT(RIGHT(CONCATENATE("000",IFAData_TEA_1718!A195),6),3)))</f>
        <v>015-907</v>
      </c>
      <c r="C195" t="s">
        <v>2028</v>
      </c>
      <c r="D195">
        <v>1</v>
      </c>
      <c r="E195">
        <v>2281</v>
      </c>
      <c r="F195" t="s">
        <v>4161</v>
      </c>
      <c r="G195" t="s">
        <v>6192</v>
      </c>
      <c r="H195">
        <v>13875000</v>
      </c>
      <c r="I195">
        <v>14303298</v>
      </c>
      <c r="J195">
        <v>1</v>
      </c>
      <c r="K195">
        <v>13875000</v>
      </c>
      <c r="L195">
        <v>13875000</v>
      </c>
      <c r="M195">
        <v>599</v>
      </c>
    </row>
    <row r="196" spans="1:13" ht="15">
      <c r="A196" t="s">
        <v>3394</v>
      </c>
      <c r="B196" s="1040" t="str">
        <f>CONCATENATE(LEFT(RIGHT(CONCATENATE("000",IFAData_TEA_1718!A196),6),3),"-",(RIGHT(RIGHT(CONCATENATE("000",IFAData_TEA_1718!A196),6),3)))</f>
        <v>015-907</v>
      </c>
      <c r="C196" t="s">
        <v>2028</v>
      </c>
      <c r="D196">
        <v>3</v>
      </c>
      <c r="E196">
        <v>2282</v>
      </c>
      <c r="F196" t="s">
        <v>4165</v>
      </c>
      <c r="G196" t="s">
        <v>4165</v>
      </c>
      <c r="H196">
        <v>14004279</v>
      </c>
      <c r="I196">
        <v>0</v>
      </c>
      <c r="J196">
        <v>0</v>
      </c>
      <c r="K196">
        <v>0</v>
      </c>
      <c r="L196">
        <v>0</v>
      </c>
      <c r="M196">
        <v>599</v>
      </c>
    </row>
    <row r="197" spans="1:13" ht="15">
      <c r="A197" t="s">
        <v>3394</v>
      </c>
      <c r="B197" s="1040" t="str">
        <f>CONCATENATE(LEFT(RIGHT(CONCATENATE("000",IFAData_TEA_1718!A197),6),3),"-",(RIGHT(RIGHT(CONCATENATE("000",IFAData_TEA_1718!A197),6),3)))</f>
        <v>015-907</v>
      </c>
      <c r="C197" t="s">
        <v>2028</v>
      </c>
      <c r="D197">
        <v>3</v>
      </c>
      <c r="E197">
        <v>2282</v>
      </c>
      <c r="F197" t="s">
        <v>4165</v>
      </c>
      <c r="G197" t="s">
        <v>4162</v>
      </c>
      <c r="H197">
        <v>14004279</v>
      </c>
      <c r="I197">
        <v>0</v>
      </c>
      <c r="J197">
        <v>0</v>
      </c>
      <c r="K197">
        <v>0</v>
      </c>
      <c r="L197">
        <v>0</v>
      </c>
      <c r="M197">
        <v>599</v>
      </c>
    </row>
    <row r="198" spans="1:13" ht="15">
      <c r="A198" t="s">
        <v>3394</v>
      </c>
      <c r="B198" s="1040" t="str">
        <f>CONCATENATE(LEFT(RIGHT(CONCATENATE("000",IFAData_TEA_1718!A198),6),3),"-",(RIGHT(RIGHT(CONCATENATE("000",IFAData_TEA_1718!A198),6),3)))</f>
        <v>015-907</v>
      </c>
      <c r="C198" t="s">
        <v>2028</v>
      </c>
      <c r="D198">
        <v>3</v>
      </c>
      <c r="E198">
        <v>2282</v>
      </c>
      <c r="F198" t="s">
        <v>4165</v>
      </c>
      <c r="G198" t="s">
        <v>4163</v>
      </c>
      <c r="H198">
        <v>14004279</v>
      </c>
      <c r="I198">
        <v>0</v>
      </c>
      <c r="J198">
        <v>0</v>
      </c>
      <c r="K198">
        <v>0</v>
      </c>
      <c r="L198">
        <v>0</v>
      </c>
      <c r="M198">
        <v>599</v>
      </c>
    </row>
    <row r="199" spans="1:13" ht="15">
      <c r="A199" t="s">
        <v>3394</v>
      </c>
      <c r="B199" s="1040" t="str">
        <f>CONCATENATE(LEFT(RIGHT(CONCATENATE("000",IFAData_TEA_1718!A199),6),3),"-",(RIGHT(RIGHT(CONCATENATE("000",IFAData_TEA_1718!A199),6),3)))</f>
        <v>015-907</v>
      </c>
      <c r="C199" t="s">
        <v>2028</v>
      </c>
      <c r="D199">
        <v>3</v>
      </c>
      <c r="E199">
        <v>2282</v>
      </c>
      <c r="F199" t="s">
        <v>4165</v>
      </c>
      <c r="G199" t="s">
        <v>4164</v>
      </c>
      <c r="H199">
        <v>14004279</v>
      </c>
      <c r="I199">
        <v>10642081</v>
      </c>
      <c r="J199">
        <v>0.81324170869631696</v>
      </c>
      <c r="K199">
        <v>11388863.7830199</v>
      </c>
      <c r="L199">
        <v>10642081</v>
      </c>
      <c r="M199">
        <v>599</v>
      </c>
    </row>
    <row r="200" spans="1:13" ht="15">
      <c r="A200" t="s">
        <v>3394</v>
      </c>
      <c r="B200" s="1040" t="str">
        <f>CONCATENATE(LEFT(RIGHT(CONCATENATE("000",IFAData_TEA_1718!A200),6),3),"-",(RIGHT(RIGHT(CONCATENATE("000",IFAData_TEA_1718!A200),6),3)))</f>
        <v>015-907</v>
      </c>
      <c r="C200" t="s">
        <v>2028</v>
      </c>
      <c r="D200">
        <v>3</v>
      </c>
      <c r="E200">
        <v>2282</v>
      </c>
      <c r="F200" t="s">
        <v>4165</v>
      </c>
      <c r="G200" t="s">
        <v>6192</v>
      </c>
      <c r="H200">
        <v>14004279</v>
      </c>
      <c r="I200">
        <v>2443919</v>
      </c>
      <c r="J200">
        <v>0.18675829130368299</v>
      </c>
      <c r="K200">
        <v>2615415.2169800601</v>
      </c>
      <c r="L200">
        <v>2443919</v>
      </c>
      <c r="M200">
        <v>599</v>
      </c>
    </row>
    <row r="201" spans="1:13" ht="15">
      <c r="A201" t="s">
        <v>3394</v>
      </c>
      <c r="B201" s="1040" t="str">
        <f>CONCATENATE(LEFT(RIGHT(CONCATENATE("000",IFAData_TEA_1718!A201),6),3),"-",(RIGHT(RIGHT(CONCATENATE("000",IFAData_TEA_1718!A201),6),3)))</f>
        <v>015-907</v>
      </c>
      <c r="C201" t="s">
        <v>2028</v>
      </c>
      <c r="D201">
        <v>5</v>
      </c>
      <c r="E201">
        <v>2280</v>
      </c>
      <c r="F201" t="s">
        <v>4166</v>
      </c>
      <c r="G201" t="s">
        <v>4166</v>
      </c>
      <c r="H201">
        <v>8227563</v>
      </c>
      <c r="I201">
        <v>0</v>
      </c>
      <c r="J201">
        <v>0</v>
      </c>
      <c r="K201">
        <v>0</v>
      </c>
      <c r="L201">
        <v>0</v>
      </c>
      <c r="M201">
        <v>599</v>
      </c>
    </row>
    <row r="202" spans="1:13" ht="15">
      <c r="A202" t="s">
        <v>3394</v>
      </c>
      <c r="B202" s="1040" t="str">
        <f>CONCATENATE(LEFT(RIGHT(CONCATENATE("000",IFAData_TEA_1718!A202),6),3),"-",(RIGHT(RIGHT(CONCATENATE("000",IFAData_TEA_1718!A202),6),3)))</f>
        <v>015-907</v>
      </c>
      <c r="C202" t="s">
        <v>2028</v>
      </c>
      <c r="D202">
        <v>5</v>
      </c>
      <c r="E202">
        <v>2280</v>
      </c>
      <c r="F202" t="s">
        <v>4166</v>
      </c>
      <c r="G202" t="s">
        <v>4163</v>
      </c>
      <c r="H202">
        <v>8227563</v>
      </c>
      <c r="I202">
        <v>0</v>
      </c>
      <c r="J202">
        <v>0</v>
      </c>
      <c r="K202">
        <v>0</v>
      </c>
      <c r="L202">
        <v>0</v>
      </c>
      <c r="M202">
        <v>599</v>
      </c>
    </row>
    <row r="203" spans="1:13" ht="15">
      <c r="A203" t="s">
        <v>3394</v>
      </c>
      <c r="B203" s="1040" t="str">
        <f>CONCATENATE(LEFT(RIGHT(CONCATENATE("000",IFAData_TEA_1718!A203),6),3),"-",(RIGHT(RIGHT(CONCATENATE("000",IFAData_TEA_1718!A203),6),3)))</f>
        <v>015-907</v>
      </c>
      <c r="C203" t="s">
        <v>2028</v>
      </c>
      <c r="D203">
        <v>5</v>
      </c>
      <c r="E203">
        <v>2280</v>
      </c>
      <c r="F203" t="s">
        <v>4166</v>
      </c>
      <c r="G203" t="s">
        <v>4167</v>
      </c>
      <c r="H203">
        <v>8227563</v>
      </c>
      <c r="I203">
        <v>0</v>
      </c>
      <c r="J203">
        <v>0</v>
      </c>
      <c r="K203">
        <v>0</v>
      </c>
      <c r="L203">
        <v>0</v>
      </c>
      <c r="M203">
        <v>599</v>
      </c>
    </row>
    <row r="204" spans="1:13" ht="15">
      <c r="A204" t="s">
        <v>3394</v>
      </c>
      <c r="B204" s="1040" t="str">
        <f>CONCATENATE(LEFT(RIGHT(CONCATENATE("000",IFAData_TEA_1718!A204),6),3),"-",(RIGHT(RIGHT(CONCATENATE("000",IFAData_TEA_1718!A204),6),3)))</f>
        <v>015-907</v>
      </c>
      <c r="C204" t="s">
        <v>2028</v>
      </c>
      <c r="D204">
        <v>5</v>
      </c>
      <c r="E204">
        <v>2280</v>
      </c>
      <c r="F204" t="s">
        <v>4166</v>
      </c>
      <c r="G204" t="s">
        <v>6192</v>
      </c>
      <c r="H204">
        <v>8227563</v>
      </c>
      <c r="I204">
        <v>5150777</v>
      </c>
      <c r="J204">
        <v>0.74740721468551197</v>
      </c>
      <c r="K204">
        <v>6149339.94547957</v>
      </c>
      <c r="L204">
        <v>5150777</v>
      </c>
      <c r="M204">
        <v>599</v>
      </c>
    </row>
    <row r="205" spans="1:13" ht="15">
      <c r="A205" t="s">
        <v>3394</v>
      </c>
      <c r="B205" s="1040" t="str">
        <f>CONCATENATE(LEFT(RIGHT(CONCATENATE("000",IFAData_TEA_1718!A205),6),3),"-",(RIGHT(RIGHT(CONCATENATE("000",IFAData_TEA_1718!A205),6),3)))</f>
        <v>015-907</v>
      </c>
      <c r="C205" t="s">
        <v>2028</v>
      </c>
      <c r="D205">
        <v>5</v>
      </c>
      <c r="E205">
        <v>2280</v>
      </c>
      <c r="F205" t="s">
        <v>4166</v>
      </c>
      <c r="G205" t="s">
        <v>6408</v>
      </c>
      <c r="H205">
        <v>8227563</v>
      </c>
      <c r="I205">
        <v>1740750</v>
      </c>
      <c r="J205">
        <v>0.25259278531448798</v>
      </c>
      <c r="K205">
        <v>2078223.05452043</v>
      </c>
      <c r="L205">
        <v>1740750</v>
      </c>
      <c r="M205">
        <v>599</v>
      </c>
    </row>
    <row r="206" spans="1:13" ht="15">
      <c r="A206" t="s">
        <v>3394</v>
      </c>
      <c r="B206" s="1040" t="str">
        <f>CONCATENATE(LEFT(RIGHT(CONCATENATE("000",IFAData_TEA_1718!A206),6),3),"-",(RIGHT(RIGHT(CONCATENATE("000",IFAData_TEA_1718!A206),6),3)))</f>
        <v>015-907</v>
      </c>
      <c r="C206" t="s">
        <v>2028</v>
      </c>
      <c r="D206">
        <v>11</v>
      </c>
      <c r="E206">
        <v>2588</v>
      </c>
      <c r="F206" t="s">
        <v>8318</v>
      </c>
      <c r="G206" t="s">
        <v>8318</v>
      </c>
      <c r="H206">
        <v>4681761</v>
      </c>
      <c r="I206">
        <v>8295295</v>
      </c>
      <c r="J206">
        <v>1</v>
      </c>
      <c r="K206">
        <v>4681761</v>
      </c>
      <c r="L206">
        <v>4681761</v>
      </c>
      <c r="M206">
        <v>599</v>
      </c>
    </row>
    <row r="207" spans="1:13" ht="15">
      <c r="A207" t="s">
        <v>3394</v>
      </c>
      <c r="B207" s="1040" t="str">
        <f>CONCATENATE(LEFT(RIGHT(CONCATENATE("000",IFAData_TEA_1718!A207),6),3),"-",(RIGHT(RIGHT(CONCATENATE("000",IFAData_TEA_1718!A207),6),3)))</f>
        <v>015-907</v>
      </c>
      <c r="C207" t="s">
        <v>2028</v>
      </c>
      <c r="D207">
        <v>11</v>
      </c>
      <c r="E207">
        <v>2537</v>
      </c>
      <c r="F207" t="s">
        <v>6408</v>
      </c>
      <c r="G207" t="s">
        <v>6408</v>
      </c>
      <c r="H207">
        <v>7169125</v>
      </c>
      <c r="I207">
        <v>4325851</v>
      </c>
      <c r="J207">
        <v>1</v>
      </c>
      <c r="K207">
        <v>7169125</v>
      </c>
      <c r="L207">
        <v>4325851</v>
      </c>
      <c r="M207">
        <v>599</v>
      </c>
    </row>
    <row r="208" spans="1:13" ht="15">
      <c r="A208" t="s">
        <v>3395</v>
      </c>
      <c r="B208" s="1040" t="str">
        <f>CONCATENATE(LEFT(RIGHT(CONCATENATE("000",IFAData_TEA_1718!A208),6),3),"-",(RIGHT(RIGHT(CONCATENATE("000",IFAData_TEA_1718!A208),6),3)))</f>
        <v>015-908</v>
      </c>
      <c r="C208" t="s">
        <v>1932</v>
      </c>
      <c r="D208">
        <v>3</v>
      </c>
      <c r="E208">
        <v>2358</v>
      </c>
      <c r="F208" t="s">
        <v>4168</v>
      </c>
      <c r="G208" t="s">
        <v>4168</v>
      </c>
      <c r="H208">
        <v>2400433</v>
      </c>
      <c r="I208">
        <v>0</v>
      </c>
      <c r="J208">
        <v>0</v>
      </c>
      <c r="K208">
        <v>0</v>
      </c>
      <c r="L208">
        <v>0</v>
      </c>
      <c r="M208">
        <v>599</v>
      </c>
    </row>
    <row r="209" spans="1:13" ht="15">
      <c r="A209" t="s">
        <v>3395</v>
      </c>
      <c r="B209" s="1040" t="str">
        <f>CONCATENATE(LEFT(RIGHT(CONCATENATE("000",IFAData_TEA_1718!A209),6),3),"-",(RIGHT(RIGHT(CONCATENATE("000",IFAData_TEA_1718!A209),6),3)))</f>
        <v>015-908</v>
      </c>
      <c r="C209" t="s">
        <v>1932</v>
      </c>
      <c r="D209">
        <v>3</v>
      </c>
      <c r="E209">
        <v>2358</v>
      </c>
      <c r="F209" t="s">
        <v>4168</v>
      </c>
      <c r="G209" t="s">
        <v>4169</v>
      </c>
      <c r="H209">
        <v>2400433</v>
      </c>
      <c r="I209">
        <v>0</v>
      </c>
      <c r="J209">
        <v>0</v>
      </c>
      <c r="K209">
        <v>0</v>
      </c>
      <c r="L209">
        <v>0</v>
      </c>
      <c r="M209">
        <v>599</v>
      </c>
    </row>
    <row r="210" spans="1:13" ht="15">
      <c r="A210" t="s">
        <v>3395</v>
      </c>
      <c r="B210" s="1040" t="str">
        <f>CONCATENATE(LEFT(RIGHT(CONCATENATE("000",IFAData_TEA_1718!A210),6),3),"-",(RIGHT(RIGHT(CONCATENATE("000",IFAData_TEA_1718!A210),6),3)))</f>
        <v>015-908</v>
      </c>
      <c r="C210" t="s">
        <v>1932</v>
      </c>
      <c r="D210">
        <v>3</v>
      </c>
      <c r="E210">
        <v>2358</v>
      </c>
      <c r="F210" t="s">
        <v>4168</v>
      </c>
      <c r="G210" t="s">
        <v>4170</v>
      </c>
      <c r="H210">
        <v>2400433</v>
      </c>
      <c r="I210">
        <v>176631</v>
      </c>
      <c r="J210">
        <v>8.0451157956297994E-2</v>
      </c>
      <c r="K210">
        <v>193117.61444651001</v>
      </c>
      <c r="L210">
        <v>176631</v>
      </c>
      <c r="M210">
        <v>599</v>
      </c>
    </row>
    <row r="211" spans="1:13" ht="15">
      <c r="A211" t="s">
        <v>3395</v>
      </c>
      <c r="B211" s="1040" t="str">
        <f>CONCATENATE(LEFT(RIGHT(CONCATENATE("000",IFAData_TEA_1718!A211),6),3),"-",(RIGHT(RIGHT(CONCATENATE("000",IFAData_TEA_1718!A211),6),3)))</f>
        <v>015-908</v>
      </c>
      <c r="C211" t="s">
        <v>1932</v>
      </c>
      <c r="D211">
        <v>3</v>
      </c>
      <c r="E211">
        <v>2358</v>
      </c>
      <c r="F211" t="s">
        <v>4168</v>
      </c>
      <c r="G211" t="s">
        <v>4171</v>
      </c>
      <c r="H211">
        <v>2400433</v>
      </c>
      <c r="I211">
        <v>2018875</v>
      </c>
      <c r="J211">
        <v>0.91954884204370202</v>
      </c>
      <c r="K211">
        <v>2207315.3855534899</v>
      </c>
      <c r="L211">
        <v>2018875</v>
      </c>
      <c r="M211">
        <v>599</v>
      </c>
    </row>
    <row r="212" spans="1:13" ht="15">
      <c r="A212" t="s">
        <v>3395</v>
      </c>
      <c r="B212" s="1040" t="str">
        <f>CONCATENATE(LEFT(RIGHT(CONCATENATE("000",IFAData_TEA_1718!A212),6),3),"-",(RIGHT(RIGHT(CONCATENATE("000",IFAData_TEA_1718!A212),6),3)))</f>
        <v>015-908</v>
      </c>
      <c r="C212" t="s">
        <v>1932</v>
      </c>
      <c r="D212">
        <v>6</v>
      </c>
      <c r="E212">
        <v>2357</v>
      </c>
      <c r="F212" t="s">
        <v>4172</v>
      </c>
      <c r="G212" t="s">
        <v>4172</v>
      </c>
      <c r="H212">
        <v>2270472</v>
      </c>
      <c r="I212">
        <v>0</v>
      </c>
      <c r="J212">
        <v>0</v>
      </c>
      <c r="K212">
        <v>0</v>
      </c>
      <c r="L212">
        <v>0</v>
      </c>
      <c r="M212">
        <v>599</v>
      </c>
    </row>
    <row r="213" spans="1:13" ht="15">
      <c r="A213" t="s">
        <v>3395</v>
      </c>
      <c r="B213" s="1040" t="str">
        <f>CONCATENATE(LEFT(RIGHT(CONCATENATE("000",IFAData_TEA_1718!A213),6),3),"-",(RIGHT(RIGHT(CONCATENATE("000",IFAData_TEA_1718!A213),6),3)))</f>
        <v>015-908</v>
      </c>
      <c r="C213" t="s">
        <v>1932</v>
      </c>
      <c r="D213">
        <v>6</v>
      </c>
      <c r="E213">
        <v>2357</v>
      </c>
      <c r="F213" t="s">
        <v>4172</v>
      </c>
      <c r="G213" t="s">
        <v>4170</v>
      </c>
      <c r="H213">
        <v>2270472</v>
      </c>
      <c r="I213">
        <v>1346662</v>
      </c>
      <c r="J213">
        <v>0.66517660005986601</v>
      </c>
      <c r="K213">
        <v>1510264.8454911199</v>
      </c>
      <c r="L213">
        <v>1346662</v>
      </c>
      <c r="M213">
        <v>599</v>
      </c>
    </row>
    <row r="214" spans="1:13" ht="15">
      <c r="A214" t="s">
        <v>3395</v>
      </c>
      <c r="B214" s="1040" t="str">
        <f>CONCATENATE(LEFT(RIGHT(CONCATENATE("000",IFAData_TEA_1718!A214),6),3),"-",(RIGHT(RIGHT(CONCATENATE("000",IFAData_TEA_1718!A214),6),3)))</f>
        <v>015-908</v>
      </c>
      <c r="C214" t="s">
        <v>1932</v>
      </c>
      <c r="D214">
        <v>6</v>
      </c>
      <c r="E214">
        <v>2357</v>
      </c>
      <c r="F214" t="s">
        <v>4172</v>
      </c>
      <c r="G214" t="s">
        <v>4173</v>
      </c>
      <c r="H214">
        <v>2270472</v>
      </c>
      <c r="I214">
        <v>411118</v>
      </c>
      <c r="J214">
        <v>0.20306957013965801</v>
      </c>
      <c r="K214">
        <v>461063.77305412898</v>
      </c>
      <c r="L214">
        <v>411118</v>
      </c>
      <c r="M214">
        <v>599</v>
      </c>
    </row>
    <row r="215" spans="1:13" ht="15">
      <c r="A215" t="s">
        <v>3395</v>
      </c>
      <c r="B215" s="1040" t="str">
        <f>CONCATENATE(LEFT(RIGHT(CONCATENATE("000",IFAData_TEA_1718!A215),6),3),"-",(RIGHT(RIGHT(CONCATENATE("000",IFAData_TEA_1718!A215),6),3)))</f>
        <v>015-908</v>
      </c>
      <c r="C215" t="s">
        <v>1932</v>
      </c>
      <c r="D215">
        <v>6</v>
      </c>
      <c r="E215">
        <v>2357</v>
      </c>
      <c r="F215" t="s">
        <v>4172</v>
      </c>
      <c r="G215" t="s">
        <v>4174</v>
      </c>
      <c r="H215">
        <v>2270472</v>
      </c>
      <c r="I215">
        <v>266738</v>
      </c>
      <c r="J215">
        <v>0.13175382980047601</v>
      </c>
      <c r="K215">
        <v>299143.38145474601</v>
      </c>
      <c r="L215">
        <v>266738</v>
      </c>
      <c r="M215">
        <v>599</v>
      </c>
    </row>
    <row r="216" spans="1:13" ht="15">
      <c r="A216" t="s">
        <v>3395</v>
      </c>
      <c r="B216" s="1040" t="str">
        <f>CONCATENATE(LEFT(RIGHT(CONCATENATE("000",IFAData_TEA_1718!A216),6),3),"-",(RIGHT(RIGHT(CONCATENATE("000",IFAData_TEA_1718!A216),6),3)))</f>
        <v>015-908</v>
      </c>
      <c r="C216" t="s">
        <v>1932</v>
      </c>
      <c r="D216">
        <v>8</v>
      </c>
      <c r="E216">
        <v>2356</v>
      </c>
      <c r="F216" t="s">
        <v>4175</v>
      </c>
      <c r="G216" t="s">
        <v>4175</v>
      </c>
      <c r="H216">
        <v>1990738</v>
      </c>
      <c r="I216">
        <v>413050</v>
      </c>
      <c r="J216">
        <v>0.16061803627195101</v>
      </c>
      <c r="K216">
        <v>319748.42829195003</v>
      </c>
      <c r="L216">
        <v>319748.42829195003</v>
      </c>
      <c r="M216">
        <v>599</v>
      </c>
    </row>
    <row r="217" spans="1:13" ht="15">
      <c r="A217" t="s">
        <v>3395</v>
      </c>
      <c r="B217" s="1040" t="str">
        <f>CONCATENATE(LEFT(RIGHT(CONCATENATE("000",IFAData_TEA_1718!A217),6),3),"-",(RIGHT(RIGHT(CONCATENATE("000",IFAData_TEA_1718!A217),6),3)))</f>
        <v>015-908</v>
      </c>
      <c r="C217" t="s">
        <v>1932</v>
      </c>
      <c r="D217">
        <v>8</v>
      </c>
      <c r="E217">
        <v>2356</v>
      </c>
      <c r="F217" t="s">
        <v>4175</v>
      </c>
      <c r="G217" t="s">
        <v>4170</v>
      </c>
      <c r="H217">
        <v>1990738</v>
      </c>
      <c r="I217">
        <v>1329979</v>
      </c>
      <c r="J217">
        <v>0.51717374473534095</v>
      </c>
      <c r="K217">
        <v>1029557.42624694</v>
      </c>
      <c r="L217">
        <v>1029557.42624694</v>
      </c>
      <c r="M217">
        <v>599</v>
      </c>
    </row>
    <row r="218" spans="1:13" ht="15">
      <c r="A218" t="s">
        <v>3395</v>
      </c>
      <c r="B218" s="1040" t="str">
        <f>CONCATENATE(LEFT(RIGHT(CONCATENATE("000",IFAData_TEA_1718!A218),6),3),"-",(RIGHT(RIGHT(CONCATENATE("000",IFAData_TEA_1718!A218),6),3)))</f>
        <v>015-908</v>
      </c>
      <c r="C218" t="s">
        <v>1932</v>
      </c>
      <c r="D218">
        <v>8</v>
      </c>
      <c r="E218">
        <v>2356</v>
      </c>
      <c r="F218" t="s">
        <v>4175</v>
      </c>
      <c r="G218" t="s">
        <v>4176</v>
      </c>
      <c r="H218">
        <v>1990738</v>
      </c>
      <c r="I218">
        <v>828600</v>
      </c>
      <c r="J218">
        <v>0.32220821899270902</v>
      </c>
      <c r="K218">
        <v>641432.14546110702</v>
      </c>
      <c r="L218">
        <v>641432.14546110702</v>
      </c>
      <c r="M218">
        <v>599</v>
      </c>
    </row>
    <row r="219" spans="1:13" ht="15">
      <c r="A219" t="s">
        <v>3396</v>
      </c>
      <c r="B219" s="1040" t="str">
        <f>CONCATENATE(LEFT(RIGHT(CONCATENATE("000",IFAData_TEA_1718!A219),6),3),"-",(RIGHT(RIGHT(CONCATENATE("000",IFAData_TEA_1718!A219),6),3)))</f>
        <v>015-909</v>
      </c>
      <c r="C219" t="s">
        <v>1931</v>
      </c>
      <c r="D219">
        <v>4</v>
      </c>
      <c r="E219">
        <v>2354</v>
      </c>
      <c r="F219" t="s">
        <v>4177</v>
      </c>
      <c r="G219" t="s">
        <v>4177</v>
      </c>
      <c r="H219">
        <v>637500</v>
      </c>
      <c r="I219">
        <v>0</v>
      </c>
      <c r="J219">
        <v>0</v>
      </c>
      <c r="K219">
        <v>0</v>
      </c>
      <c r="L219">
        <v>0</v>
      </c>
      <c r="M219">
        <v>599</v>
      </c>
    </row>
    <row r="220" spans="1:13" ht="15">
      <c r="A220" t="s">
        <v>3396</v>
      </c>
      <c r="B220" s="1040" t="str">
        <f>CONCATENATE(LEFT(RIGHT(CONCATENATE("000",IFAData_TEA_1718!A220),6),3),"-",(RIGHT(RIGHT(CONCATENATE("000",IFAData_TEA_1718!A220),6),3)))</f>
        <v>015-909</v>
      </c>
      <c r="C220" t="s">
        <v>1931</v>
      </c>
      <c r="D220">
        <v>4</v>
      </c>
      <c r="E220">
        <v>2354</v>
      </c>
      <c r="F220" t="s">
        <v>4177</v>
      </c>
      <c r="G220" t="s">
        <v>4178</v>
      </c>
      <c r="H220">
        <v>637500</v>
      </c>
      <c r="I220">
        <v>410167</v>
      </c>
      <c r="J220">
        <v>0.76421466061257604</v>
      </c>
      <c r="K220">
        <v>487186.84614051698</v>
      </c>
      <c r="L220">
        <v>410167</v>
      </c>
      <c r="M220">
        <v>599</v>
      </c>
    </row>
    <row r="221" spans="1:13" ht="15">
      <c r="A221" t="s">
        <v>3396</v>
      </c>
      <c r="B221" s="1040" t="str">
        <f>CONCATENATE(LEFT(RIGHT(CONCATENATE("000",IFAData_TEA_1718!A221),6),3),"-",(RIGHT(RIGHT(CONCATENATE("000",IFAData_TEA_1718!A221),6),3)))</f>
        <v>015-909</v>
      </c>
      <c r="C221" t="s">
        <v>1931</v>
      </c>
      <c r="D221">
        <v>4</v>
      </c>
      <c r="E221">
        <v>2354</v>
      </c>
      <c r="F221" t="s">
        <v>4177</v>
      </c>
      <c r="G221" t="s">
        <v>4179</v>
      </c>
      <c r="H221">
        <v>637500</v>
      </c>
      <c r="I221">
        <v>0</v>
      </c>
      <c r="J221">
        <v>0</v>
      </c>
      <c r="K221">
        <v>0</v>
      </c>
      <c r="L221">
        <v>0</v>
      </c>
      <c r="M221">
        <v>599</v>
      </c>
    </row>
    <row r="222" spans="1:13" ht="15">
      <c r="A222" t="s">
        <v>3396</v>
      </c>
      <c r="B222" s="1040" t="str">
        <f>CONCATENATE(LEFT(RIGHT(CONCATENATE("000",IFAData_TEA_1718!A222),6),3),"-",(RIGHT(RIGHT(CONCATENATE("000",IFAData_TEA_1718!A222),6),3)))</f>
        <v>015-909</v>
      </c>
      <c r="C222" t="s">
        <v>1931</v>
      </c>
      <c r="D222">
        <v>4</v>
      </c>
      <c r="E222">
        <v>2354</v>
      </c>
      <c r="F222" t="s">
        <v>4177</v>
      </c>
      <c r="G222" t="s">
        <v>6409</v>
      </c>
      <c r="H222">
        <v>637500</v>
      </c>
      <c r="I222">
        <v>126550</v>
      </c>
      <c r="J222">
        <v>0.23578533938742399</v>
      </c>
      <c r="K222">
        <v>150313.15385948299</v>
      </c>
      <c r="L222">
        <v>126550</v>
      </c>
      <c r="M222">
        <v>599</v>
      </c>
    </row>
    <row r="223" spans="1:13" ht="15">
      <c r="A223" t="s">
        <v>3396</v>
      </c>
      <c r="B223" s="1040" t="str">
        <f>CONCATENATE(LEFT(RIGHT(CONCATENATE("000",IFAData_TEA_1718!A223),6),3),"-",(RIGHT(RIGHT(CONCATENATE("000",IFAData_TEA_1718!A223),6),3)))</f>
        <v>015-909</v>
      </c>
      <c r="C223" t="s">
        <v>1931</v>
      </c>
      <c r="D223">
        <v>5</v>
      </c>
      <c r="E223">
        <v>2353</v>
      </c>
      <c r="F223" t="s">
        <v>4180</v>
      </c>
      <c r="G223" t="s">
        <v>4180</v>
      </c>
      <c r="H223">
        <v>460677</v>
      </c>
      <c r="I223">
        <v>0</v>
      </c>
      <c r="J223">
        <v>0</v>
      </c>
      <c r="K223">
        <v>0</v>
      </c>
      <c r="L223">
        <v>0</v>
      </c>
      <c r="M223">
        <v>599</v>
      </c>
    </row>
    <row r="224" spans="1:13" ht="15">
      <c r="A224" t="s">
        <v>3396</v>
      </c>
      <c r="B224" s="1040" t="str">
        <f>CONCATENATE(LEFT(RIGHT(CONCATENATE("000",IFAData_TEA_1718!A224),6),3),"-",(RIGHT(RIGHT(CONCATENATE("000",IFAData_TEA_1718!A224),6),3)))</f>
        <v>015-909</v>
      </c>
      <c r="C224" t="s">
        <v>1931</v>
      </c>
      <c r="D224">
        <v>5</v>
      </c>
      <c r="E224">
        <v>2353</v>
      </c>
      <c r="F224" t="s">
        <v>4180</v>
      </c>
      <c r="G224" t="s">
        <v>4178</v>
      </c>
      <c r="H224">
        <v>460677</v>
      </c>
      <c r="I224">
        <v>263083</v>
      </c>
      <c r="J224">
        <v>0.43655591379828201</v>
      </c>
      <c r="K224">
        <v>201111.26870085101</v>
      </c>
      <c r="L224">
        <v>201111.26870085101</v>
      </c>
      <c r="M224">
        <v>599</v>
      </c>
    </row>
    <row r="225" spans="1:13" ht="15">
      <c r="A225" t="s">
        <v>3396</v>
      </c>
      <c r="B225" s="1040" t="str">
        <f>CONCATENATE(LEFT(RIGHT(CONCATENATE("000",IFAData_TEA_1718!A225),6),3),"-",(RIGHT(RIGHT(CONCATENATE("000",IFAData_TEA_1718!A225),6),3)))</f>
        <v>015-909</v>
      </c>
      <c r="C225" t="s">
        <v>1931</v>
      </c>
      <c r="D225">
        <v>5</v>
      </c>
      <c r="E225">
        <v>2353</v>
      </c>
      <c r="F225" t="s">
        <v>4180</v>
      </c>
      <c r="G225" t="s">
        <v>4179</v>
      </c>
      <c r="H225">
        <v>460677</v>
      </c>
      <c r="I225">
        <v>243250</v>
      </c>
      <c r="J225">
        <v>0.40364533638217598</v>
      </c>
      <c r="K225">
        <v>185950.122628532</v>
      </c>
      <c r="L225">
        <v>185950.122628532</v>
      </c>
      <c r="M225">
        <v>599</v>
      </c>
    </row>
    <row r="226" spans="1:13" ht="15">
      <c r="A226" t="s">
        <v>3396</v>
      </c>
      <c r="B226" s="1040" t="str">
        <f>CONCATENATE(LEFT(RIGHT(CONCATENATE("000",IFAData_TEA_1718!A226),6),3),"-",(RIGHT(RIGHT(CONCATENATE("000",IFAData_TEA_1718!A226),6),3)))</f>
        <v>015-909</v>
      </c>
      <c r="C226" t="s">
        <v>1931</v>
      </c>
      <c r="D226">
        <v>5</v>
      </c>
      <c r="E226">
        <v>2353</v>
      </c>
      <c r="F226" t="s">
        <v>4180</v>
      </c>
      <c r="G226" t="s">
        <v>6409</v>
      </c>
      <c r="H226">
        <v>460677</v>
      </c>
      <c r="I226">
        <v>96300</v>
      </c>
      <c r="J226">
        <v>0.15979874981954201</v>
      </c>
      <c r="K226">
        <v>73615.608670617105</v>
      </c>
      <c r="L226">
        <v>73615.608670617105</v>
      </c>
      <c r="M226">
        <v>599</v>
      </c>
    </row>
    <row r="227" spans="1:13" ht="15">
      <c r="A227" t="s">
        <v>3396</v>
      </c>
      <c r="B227" s="1040" t="str">
        <f>CONCATENATE(LEFT(RIGHT(CONCATENATE("000",IFAData_TEA_1718!A227),6),3),"-",(RIGHT(RIGHT(CONCATENATE("000",IFAData_TEA_1718!A227),6),3)))</f>
        <v>015-909</v>
      </c>
      <c r="C227" t="s">
        <v>1931</v>
      </c>
      <c r="D227">
        <v>6</v>
      </c>
      <c r="E227">
        <v>2351</v>
      </c>
      <c r="F227" t="s">
        <v>4181</v>
      </c>
      <c r="G227" t="s">
        <v>4181</v>
      </c>
      <c r="H227">
        <v>230217</v>
      </c>
      <c r="I227">
        <v>0</v>
      </c>
      <c r="J227">
        <v>0</v>
      </c>
      <c r="K227">
        <v>0</v>
      </c>
      <c r="L227">
        <v>0</v>
      </c>
      <c r="M227">
        <v>599</v>
      </c>
    </row>
    <row r="228" spans="1:13" ht="15">
      <c r="A228" t="s">
        <v>3396</v>
      </c>
      <c r="B228" s="1040" t="str">
        <f>CONCATENATE(LEFT(RIGHT(CONCATENATE("000",IFAData_TEA_1718!A228),6),3),"-",(RIGHT(RIGHT(CONCATENATE("000",IFAData_TEA_1718!A228),6),3)))</f>
        <v>015-909</v>
      </c>
      <c r="C228" t="s">
        <v>1931</v>
      </c>
      <c r="D228">
        <v>6</v>
      </c>
      <c r="E228">
        <v>2351</v>
      </c>
      <c r="F228" t="s">
        <v>4181</v>
      </c>
      <c r="G228" t="s">
        <v>4182</v>
      </c>
      <c r="H228">
        <v>230217</v>
      </c>
      <c r="I228">
        <v>232623</v>
      </c>
      <c r="J228">
        <v>1</v>
      </c>
      <c r="K228">
        <v>230217</v>
      </c>
      <c r="L228">
        <v>230217</v>
      </c>
      <c r="M228">
        <v>599</v>
      </c>
    </row>
    <row r="229" spans="1:13" ht="15">
      <c r="A229" t="s">
        <v>3396</v>
      </c>
      <c r="B229" s="1040" t="str">
        <f>CONCATENATE(LEFT(RIGHT(CONCATENATE("000",IFAData_TEA_1718!A229),6),3),"-",(RIGHT(RIGHT(CONCATENATE("000",IFAData_TEA_1718!A229),6),3)))</f>
        <v>015-909</v>
      </c>
      <c r="C229" t="s">
        <v>1931</v>
      </c>
      <c r="D229">
        <v>7</v>
      </c>
      <c r="E229">
        <v>2352</v>
      </c>
      <c r="F229" t="s">
        <v>4183</v>
      </c>
      <c r="G229" t="s">
        <v>4183</v>
      </c>
      <c r="H229">
        <v>305924</v>
      </c>
      <c r="I229">
        <v>0</v>
      </c>
      <c r="J229">
        <v>0</v>
      </c>
      <c r="K229">
        <v>0</v>
      </c>
      <c r="L229">
        <v>0</v>
      </c>
      <c r="M229">
        <v>599</v>
      </c>
    </row>
    <row r="230" spans="1:13" ht="15">
      <c r="A230" t="s">
        <v>3396</v>
      </c>
      <c r="B230" s="1040" t="str">
        <f>CONCATENATE(LEFT(RIGHT(CONCATENATE("000",IFAData_TEA_1718!A230),6),3),"-",(RIGHT(RIGHT(CONCATENATE("000",IFAData_TEA_1718!A230),6),3)))</f>
        <v>015-909</v>
      </c>
      <c r="C230" t="s">
        <v>1931</v>
      </c>
      <c r="D230">
        <v>7</v>
      </c>
      <c r="E230">
        <v>2352</v>
      </c>
      <c r="F230" t="s">
        <v>4183</v>
      </c>
      <c r="G230" t="s">
        <v>6193</v>
      </c>
      <c r="H230">
        <v>305924</v>
      </c>
      <c r="I230">
        <v>257313</v>
      </c>
      <c r="J230">
        <v>1</v>
      </c>
      <c r="K230">
        <v>305924</v>
      </c>
      <c r="L230">
        <v>257313</v>
      </c>
      <c r="M230">
        <v>599</v>
      </c>
    </row>
    <row r="231" spans="1:13" ht="15">
      <c r="A231" t="s">
        <v>3396</v>
      </c>
      <c r="B231" s="1040" t="str">
        <f>CONCATENATE(LEFT(RIGHT(CONCATENATE("000",IFAData_TEA_1718!A231),6),3),"-",(RIGHT(RIGHT(CONCATENATE("000",IFAData_TEA_1718!A231),6),3)))</f>
        <v>015-909</v>
      </c>
      <c r="C231" t="s">
        <v>1931</v>
      </c>
      <c r="D231">
        <v>10</v>
      </c>
      <c r="E231">
        <v>2355</v>
      </c>
      <c r="F231" t="s">
        <v>4179</v>
      </c>
      <c r="G231" t="s">
        <v>4179</v>
      </c>
      <c r="H231">
        <v>732634</v>
      </c>
      <c r="I231">
        <v>732575</v>
      </c>
      <c r="J231">
        <v>1</v>
      </c>
      <c r="K231">
        <v>732634</v>
      </c>
      <c r="L231">
        <v>732575</v>
      </c>
      <c r="M231">
        <v>599</v>
      </c>
    </row>
    <row r="232" spans="1:13" ht="15">
      <c r="A232" t="s">
        <v>3397</v>
      </c>
      <c r="B232" s="1040" t="str">
        <f>CONCATENATE(LEFT(RIGHT(CONCATENATE("000",IFAData_TEA_1718!A232),6),3),"-",(RIGHT(RIGHT(CONCATENATE("000",IFAData_TEA_1718!A232),6),3)))</f>
        <v>015-910</v>
      </c>
      <c r="C232" t="s">
        <v>2287</v>
      </c>
      <c r="D232">
        <v>1</v>
      </c>
      <c r="E232">
        <v>2147</v>
      </c>
      <c r="F232" t="s">
        <v>4184</v>
      </c>
      <c r="G232" t="s">
        <v>4184</v>
      </c>
      <c r="H232">
        <v>6051325</v>
      </c>
      <c r="I232">
        <v>0</v>
      </c>
      <c r="J232">
        <v>0</v>
      </c>
      <c r="K232"/>
      <c r="L232">
        <v>0</v>
      </c>
      <c r="M232">
        <v>599</v>
      </c>
    </row>
    <row r="233" spans="1:13" ht="15">
      <c r="A233" t="s">
        <v>3398</v>
      </c>
      <c r="B233" s="1040" t="str">
        <f>CONCATENATE(LEFT(RIGHT(CONCATENATE("000",IFAData_TEA_1718!A233),6),3),"-",(RIGHT(RIGHT(CONCATENATE("000",IFAData_TEA_1718!A233),6),3)))</f>
        <v>015-911</v>
      </c>
      <c r="C233" t="s">
        <v>1064</v>
      </c>
      <c r="D233">
        <v>3</v>
      </c>
      <c r="E233">
        <v>1780</v>
      </c>
      <c r="F233" t="s">
        <v>4189</v>
      </c>
      <c r="G233" t="s">
        <v>4189</v>
      </c>
      <c r="H233">
        <v>1803880</v>
      </c>
      <c r="I233">
        <v>0</v>
      </c>
      <c r="J233">
        <v>0</v>
      </c>
      <c r="K233">
        <v>0</v>
      </c>
      <c r="L233">
        <v>0</v>
      </c>
      <c r="M233">
        <v>599</v>
      </c>
    </row>
    <row r="234" spans="1:13" ht="15">
      <c r="A234" t="s">
        <v>3398</v>
      </c>
      <c r="B234" s="1040" t="str">
        <f>CONCATENATE(LEFT(RIGHT(CONCATENATE("000",IFAData_TEA_1718!A234),6),3),"-",(RIGHT(RIGHT(CONCATENATE("000",IFAData_TEA_1718!A234),6),3)))</f>
        <v>015-911</v>
      </c>
      <c r="C234" t="s">
        <v>1064</v>
      </c>
      <c r="D234">
        <v>3</v>
      </c>
      <c r="E234">
        <v>1780</v>
      </c>
      <c r="F234" t="s">
        <v>4189</v>
      </c>
      <c r="G234" t="s">
        <v>4190</v>
      </c>
      <c r="H234">
        <v>1803880</v>
      </c>
      <c r="I234">
        <v>0</v>
      </c>
      <c r="J234">
        <v>0</v>
      </c>
      <c r="K234">
        <v>0</v>
      </c>
      <c r="L234">
        <v>0</v>
      </c>
      <c r="M234">
        <v>599</v>
      </c>
    </row>
    <row r="235" spans="1:13" ht="15">
      <c r="A235" t="s">
        <v>3398</v>
      </c>
      <c r="B235" s="1040" t="str">
        <f>CONCATENATE(LEFT(RIGHT(CONCATENATE("000",IFAData_TEA_1718!A235),6),3),"-",(RIGHT(RIGHT(CONCATENATE("000",IFAData_TEA_1718!A235),6),3)))</f>
        <v>015-911</v>
      </c>
      <c r="C235" t="s">
        <v>1064</v>
      </c>
      <c r="D235">
        <v>3</v>
      </c>
      <c r="E235">
        <v>1780</v>
      </c>
      <c r="F235" t="s">
        <v>4189</v>
      </c>
      <c r="G235" t="s">
        <v>4191</v>
      </c>
      <c r="H235">
        <v>1803880</v>
      </c>
      <c r="I235">
        <v>1796816</v>
      </c>
      <c r="J235">
        <v>1</v>
      </c>
      <c r="K235">
        <v>1803880</v>
      </c>
      <c r="L235">
        <v>1796816</v>
      </c>
      <c r="M235">
        <v>599</v>
      </c>
    </row>
    <row r="236" spans="1:13" ht="15">
      <c r="A236" t="s">
        <v>3398</v>
      </c>
      <c r="B236" s="1040" t="str">
        <f>CONCATENATE(LEFT(RIGHT(CONCATENATE("000",IFAData_TEA_1718!A236),6),3),"-",(RIGHT(RIGHT(CONCATENATE("000",IFAData_TEA_1718!A236),6),3)))</f>
        <v>015-911</v>
      </c>
      <c r="C236" t="s">
        <v>1064</v>
      </c>
      <c r="D236">
        <v>6</v>
      </c>
      <c r="E236">
        <v>1779</v>
      </c>
      <c r="F236" t="s">
        <v>4192</v>
      </c>
      <c r="G236" t="s">
        <v>4192</v>
      </c>
      <c r="H236">
        <v>1625293</v>
      </c>
      <c r="I236">
        <v>0</v>
      </c>
      <c r="J236">
        <v>0</v>
      </c>
      <c r="K236">
        <v>0</v>
      </c>
      <c r="L236">
        <v>0</v>
      </c>
      <c r="M236">
        <v>599</v>
      </c>
    </row>
    <row r="237" spans="1:13" ht="15">
      <c r="A237" t="s">
        <v>3398</v>
      </c>
      <c r="B237" s="1040" t="str">
        <f>CONCATENATE(LEFT(RIGHT(CONCATENATE("000",IFAData_TEA_1718!A237),6),3),"-",(RIGHT(RIGHT(CONCATENATE("000",IFAData_TEA_1718!A237),6),3)))</f>
        <v>015-911</v>
      </c>
      <c r="C237" t="s">
        <v>1064</v>
      </c>
      <c r="D237">
        <v>6</v>
      </c>
      <c r="E237">
        <v>1779</v>
      </c>
      <c r="F237" t="s">
        <v>4192</v>
      </c>
      <c r="G237" t="s">
        <v>4193</v>
      </c>
      <c r="H237">
        <v>1625293</v>
      </c>
      <c r="I237">
        <v>1648150</v>
      </c>
      <c r="J237">
        <v>1</v>
      </c>
      <c r="K237">
        <v>1625293</v>
      </c>
      <c r="L237">
        <v>1625293</v>
      </c>
      <c r="M237">
        <v>599</v>
      </c>
    </row>
    <row r="238" spans="1:13" ht="15">
      <c r="A238" t="s">
        <v>3398</v>
      </c>
      <c r="B238" s="1040" t="str">
        <f>CONCATENATE(LEFT(RIGHT(CONCATENATE("000",IFAData_TEA_1718!A238),6),3),"-",(RIGHT(RIGHT(CONCATENATE("000",IFAData_TEA_1718!A238),6),3)))</f>
        <v>015-911</v>
      </c>
      <c r="C238" t="s">
        <v>1064</v>
      </c>
      <c r="D238">
        <v>9</v>
      </c>
      <c r="E238">
        <v>1781</v>
      </c>
      <c r="F238" t="s">
        <v>4194</v>
      </c>
      <c r="G238" t="s">
        <v>4194</v>
      </c>
      <c r="H238">
        <v>2096250</v>
      </c>
      <c r="I238">
        <v>3025763</v>
      </c>
      <c r="J238">
        <v>0.67095846140234205</v>
      </c>
      <c r="K238">
        <v>1406496.67471466</v>
      </c>
      <c r="L238">
        <v>1406496.67471466</v>
      </c>
      <c r="M238">
        <v>599</v>
      </c>
    </row>
    <row r="239" spans="1:13" ht="15">
      <c r="A239" t="s">
        <v>3398</v>
      </c>
      <c r="B239" s="1040" t="str">
        <f>CONCATENATE(LEFT(RIGHT(CONCATENATE("000",IFAData_TEA_1718!A239),6),3),"-",(RIGHT(RIGHT(CONCATENATE("000",IFAData_TEA_1718!A239),6),3)))</f>
        <v>015-911</v>
      </c>
      <c r="C239" t="s">
        <v>1064</v>
      </c>
      <c r="D239">
        <v>9</v>
      </c>
      <c r="E239">
        <v>1781</v>
      </c>
      <c r="F239" t="s">
        <v>4194</v>
      </c>
      <c r="G239" t="s">
        <v>6194</v>
      </c>
      <c r="H239">
        <v>2096250</v>
      </c>
      <c r="I239">
        <v>349500</v>
      </c>
      <c r="J239">
        <v>7.7501107079476703E-2</v>
      </c>
      <c r="K239">
        <v>162461.69571535301</v>
      </c>
      <c r="L239">
        <v>162461.69571535301</v>
      </c>
      <c r="M239">
        <v>599</v>
      </c>
    </row>
    <row r="240" spans="1:13" ht="15">
      <c r="A240" t="s">
        <v>3398</v>
      </c>
      <c r="B240" s="1040" t="str">
        <f>CONCATENATE(LEFT(RIGHT(CONCATENATE("000",IFAData_TEA_1718!A240),6),3),"-",(RIGHT(RIGHT(CONCATENATE("000",IFAData_TEA_1718!A240),6),3)))</f>
        <v>015-911</v>
      </c>
      <c r="C240" t="s">
        <v>1064</v>
      </c>
      <c r="D240">
        <v>9</v>
      </c>
      <c r="E240">
        <v>1781</v>
      </c>
      <c r="F240" t="s">
        <v>4194</v>
      </c>
      <c r="G240" t="s">
        <v>6195</v>
      </c>
      <c r="H240">
        <v>2096250</v>
      </c>
      <c r="I240">
        <v>337400</v>
      </c>
      <c r="J240">
        <v>7.4817950010344594E-2</v>
      </c>
      <c r="K240">
        <v>156837.12770918501</v>
      </c>
      <c r="L240">
        <v>156837.12770918501</v>
      </c>
      <c r="M240">
        <v>599</v>
      </c>
    </row>
    <row r="241" spans="1:13" ht="15">
      <c r="A241" t="s">
        <v>3398</v>
      </c>
      <c r="B241" s="1040" t="str">
        <f>CONCATENATE(LEFT(RIGHT(CONCATENATE("000",IFAData_TEA_1718!A241),6),3),"-",(RIGHT(RIGHT(CONCATENATE("000",IFAData_TEA_1718!A241),6),3)))</f>
        <v>015-911</v>
      </c>
      <c r="C241" t="s">
        <v>1064</v>
      </c>
      <c r="D241">
        <v>9</v>
      </c>
      <c r="E241">
        <v>1781</v>
      </c>
      <c r="F241" t="s">
        <v>4194</v>
      </c>
      <c r="G241" t="s">
        <v>6410</v>
      </c>
      <c r="H241">
        <v>2096250</v>
      </c>
      <c r="I241">
        <v>796950</v>
      </c>
      <c r="J241">
        <v>0.17672248150783701</v>
      </c>
      <c r="K241">
        <v>370454.50186080299</v>
      </c>
      <c r="L241">
        <v>370454.50186080299</v>
      </c>
      <c r="M241">
        <v>599</v>
      </c>
    </row>
    <row r="242" spans="1:13" ht="15">
      <c r="A242" t="s">
        <v>3398</v>
      </c>
      <c r="B242" s="1040" t="str">
        <f>CONCATENATE(LEFT(RIGHT(CONCATENATE("000",IFAData_TEA_1718!A242),6),3),"-",(RIGHT(RIGHT(CONCATENATE("000",IFAData_TEA_1718!A242),6),3)))</f>
        <v>015-911</v>
      </c>
      <c r="C242" t="s">
        <v>1064</v>
      </c>
      <c r="D242">
        <v>11</v>
      </c>
      <c r="E242">
        <v>2545</v>
      </c>
      <c r="F242" t="s">
        <v>8319</v>
      </c>
      <c r="G242" t="s">
        <v>8319</v>
      </c>
      <c r="H242">
        <v>2345966</v>
      </c>
      <c r="I242">
        <v>2387512</v>
      </c>
      <c r="J242">
        <v>1</v>
      </c>
      <c r="K242">
        <v>2345966</v>
      </c>
      <c r="L242">
        <v>2345966</v>
      </c>
      <c r="M242">
        <v>599</v>
      </c>
    </row>
    <row r="243" spans="1:13" ht="15">
      <c r="A243" t="s">
        <v>3399</v>
      </c>
      <c r="B243" s="1040" t="str">
        <f>CONCATENATE(LEFT(RIGHT(CONCATENATE("000",IFAData_TEA_1718!A243),6),3),"-",(RIGHT(RIGHT(CONCATENATE("000",IFAData_TEA_1718!A243),6),3)))</f>
        <v>015-912</v>
      </c>
      <c r="C243" t="s">
        <v>1934</v>
      </c>
      <c r="D243">
        <v>4</v>
      </c>
      <c r="E243">
        <v>2369</v>
      </c>
      <c r="F243" t="s">
        <v>4195</v>
      </c>
      <c r="G243" t="s">
        <v>4195</v>
      </c>
      <c r="H243">
        <v>2212705</v>
      </c>
      <c r="I243">
        <v>0</v>
      </c>
      <c r="J243">
        <v>0</v>
      </c>
      <c r="K243">
        <v>0</v>
      </c>
      <c r="L243">
        <v>0</v>
      </c>
      <c r="M243">
        <v>599</v>
      </c>
    </row>
    <row r="244" spans="1:13" ht="15">
      <c r="A244" t="s">
        <v>3399</v>
      </c>
      <c r="B244" s="1040" t="str">
        <f>CONCATENATE(LEFT(RIGHT(CONCATENATE("000",IFAData_TEA_1718!A244),6),3),"-",(RIGHT(RIGHT(CONCATENATE("000",IFAData_TEA_1718!A244),6),3)))</f>
        <v>015-912</v>
      </c>
      <c r="C244" t="s">
        <v>1934</v>
      </c>
      <c r="D244">
        <v>4</v>
      </c>
      <c r="E244">
        <v>2369</v>
      </c>
      <c r="F244" t="s">
        <v>4195</v>
      </c>
      <c r="G244" t="s">
        <v>4196</v>
      </c>
      <c r="H244">
        <v>2212705</v>
      </c>
      <c r="I244">
        <v>320775</v>
      </c>
      <c r="J244">
        <v>0.16373172038894401</v>
      </c>
      <c r="K244">
        <v>362289.99636321899</v>
      </c>
      <c r="L244">
        <v>320775</v>
      </c>
      <c r="M244">
        <v>599</v>
      </c>
    </row>
    <row r="245" spans="1:13" ht="15">
      <c r="A245" t="s">
        <v>3399</v>
      </c>
      <c r="B245" s="1040" t="str">
        <f>CONCATENATE(LEFT(RIGHT(CONCATENATE("000",IFAData_TEA_1718!A245),6),3),"-",(RIGHT(RIGHT(CONCATENATE("000",IFAData_TEA_1718!A245),6),3)))</f>
        <v>015-912</v>
      </c>
      <c r="C245" t="s">
        <v>1934</v>
      </c>
      <c r="D245">
        <v>4</v>
      </c>
      <c r="E245">
        <v>2369</v>
      </c>
      <c r="F245" t="s">
        <v>4195</v>
      </c>
      <c r="G245" t="s">
        <v>6411</v>
      </c>
      <c r="H245">
        <v>2212705</v>
      </c>
      <c r="I245">
        <v>1638375</v>
      </c>
      <c r="J245">
        <v>0.83626827961105599</v>
      </c>
      <c r="K245">
        <v>1850415.00363678</v>
      </c>
      <c r="L245">
        <v>1638375</v>
      </c>
      <c r="M245">
        <v>599</v>
      </c>
    </row>
    <row r="246" spans="1:13" ht="15">
      <c r="A246" t="s">
        <v>3399</v>
      </c>
      <c r="B246" s="1040" t="str">
        <f>CONCATENATE(LEFT(RIGHT(CONCATENATE("000",IFAData_TEA_1718!A246),6),3),"-",(RIGHT(RIGHT(CONCATENATE("000",IFAData_TEA_1718!A246),6),3)))</f>
        <v>015-912</v>
      </c>
      <c r="C246" t="s">
        <v>1934</v>
      </c>
      <c r="D246">
        <v>6</v>
      </c>
      <c r="E246">
        <v>2368</v>
      </c>
      <c r="F246" t="s">
        <v>4197</v>
      </c>
      <c r="G246" t="s">
        <v>4197</v>
      </c>
      <c r="H246">
        <v>1856996</v>
      </c>
      <c r="I246">
        <v>0</v>
      </c>
      <c r="J246">
        <v>0</v>
      </c>
      <c r="K246">
        <v>0</v>
      </c>
      <c r="L246">
        <v>0</v>
      </c>
      <c r="M246">
        <v>599</v>
      </c>
    </row>
    <row r="247" spans="1:13" ht="15">
      <c r="A247" t="s">
        <v>3399</v>
      </c>
      <c r="B247" s="1040" t="str">
        <f>CONCATENATE(LEFT(RIGHT(CONCATENATE("000",IFAData_TEA_1718!A247),6),3),"-",(RIGHT(RIGHT(CONCATENATE("000",IFAData_TEA_1718!A247),6),3)))</f>
        <v>015-912</v>
      </c>
      <c r="C247" t="s">
        <v>1934</v>
      </c>
      <c r="D247">
        <v>6</v>
      </c>
      <c r="E247">
        <v>2368</v>
      </c>
      <c r="F247" t="s">
        <v>4197</v>
      </c>
      <c r="G247" t="s">
        <v>4198</v>
      </c>
      <c r="H247">
        <v>1856996</v>
      </c>
      <c r="I247">
        <v>0</v>
      </c>
      <c r="J247">
        <v>0</v>
      </c>
      <c r="K247">
        <v>0</v>
      </c>
      <c r="L247">
        <v>0</v>
      </c>
      <c r="M247">
        <v>599</v>
      </c>
    </row>
    <row r="248" spans="1:13" ht="15">
      <c r="A248" t="s">
        <v>3399</v>
      </c>
      <c r="B248" s="1040" t="str">
        <f>CONCATENATE(LEFT(RIGHT(CONCATENATE("000",IFAData_TEA_1718!A248),6),3),"-",(RIGHT(RIGHT(CONCATENATE("000",IFAData_TEA_1718!A248),6),3)))</f>
        <v>015-912</v>
      </c>
      <c r="C248" t="s">
        <v>1934</v>
      </c>
      <c r="D248">
        <v>6</v>
      </c>
      <c r="E248">
        <v>2368</v>
      </c>
      <c r="F248" t="s">
        <v>4197</v>
      </c>
      <c r="G248" t="s">
        <v>4199</v>
      </c>
      <c r="H248">
        <v>1856996</v>
      </c>
      <c r="I248">
        <v>1234475</v>
      </c>
      <c r="J248">
        <v>0.71442626271394905</v>
      </c>
      <c r="K248">
        <v>1326686.71215475</v>
      </c>
      <c r="L248">
        <v>1234475</v>
      </c>
      <c r="M248">
        <v>599</v>
      </c>
    </row>
    <row r="249" spans="1:13" ht="15">
      <c r="A249" t="s">
        <v>3399</v>
      </c>
      <c r="B249" s="1040" t="str">
        <f>CONCATENATE(LEFT(RIGHT(CONCATENATE("000",IFAData_TEA_1718!A249),6),3),"-",(RIGHT(RIGHT(CONCATENATE("000",IFAData_TEA_1718!A249),6),3)))</f>
        <v>015-912</v>
      </c>
      <c r="C249" t="s">
        <v>1934</v>
      </c>
      <c r="D249">
        <v>6</v>
      </c>
      <c r="E249">
        <v>2368</v>
      </c>
      <c r="F249" t="s">
        <v>4197</v>
      </c>
      <c r="G249" t="s">
        <v>6411</v>
      </c>
      <c r="H249">
        <v>1856996</v>
      </c>
      <c r="I249">
        <v>493450</v>
      </c>
      <c r="J249">
        <v>0.28557373728605101</v>
      </c>
      <c r="K249">
        <v>530309.28784524801</v>
      </c>
      <c r="L249">
        <v>493450</v>
      </c>
      <c r="M249">
        <v>599</v>
      </c>
    </row>
    <row r="250" spans="1:13" ht="15">
      <c r="A250" t="s">
        <v>3399</v>
      </c>
      <c r="B250" s="1040" t="str">
        <f>CONCATENATE(LEFT(RIGHT(CONCATENATE("000",IFAData_TEA_1718!A250),6),3),"-",(RIGHT(RIGHT(CONCATENATE("000",IFAData_TEA_1718!A250),6),3)))</f>
        <v>015-912</v>
      </c>
      <c r="C250" t="s">
        <v>1934</v>
      </c>
      <c r="D250">
        <v>8</v>
      </c>
      <c r="E250">
        <v>2370</v>
      </c>
      <c r="F250" t="s">
        <v>4200</v>
      </c>
      <c r="G250" t="s">
        <v>4200</v>
      </c>
      <c r="H250">
        <v>2355500</v>
      </c>
      <c r="I250">
        <v>0</v>
      </c>
      <c r="J250">
        <v>0</v>
      </c>
      <c r="K250">
        <v>0</v>
      </c>
      <c r="L250">
        <v>0</v>
      </c>
      <c r="M250">
        <v>599</v>
      </c>
    </row>
    <row r="251" spans="1:13" ht="15">
      <c r="A251" t="s">
        <v>3399</v>
      </c>
      <c r="B251" s="1040" t="str">
        <f>CONCATENATE(LEFT(RIGHT(CONCATENATE("000",IFAData_TEA_1718!A251),6),3),"-",(RIGHT(RIGHT(CONCATENATE("000",IFAData_TEA_1718!A251),6),3)))</f>
        <v>015-912</v>
      </c>
      <c r="C251" t="s">
        <v>1934</v>
      </c>
      <c r="D251">
        <v>8</v>
      </c>
      <c r="E251">
        <v>2370</v>
      </c>
      <c r="F251" t="s">
        <v>4200</v>
      </c>
      <c r="G251" t="s">
        <v>6196</v>
      </c>
      <c r="H251">
        <v>2355500</v>
      </c>
      <c r="I251">
        <v>1246600</v>
      </c>
      <c r="J251">
        <v>0.55540209400757401</v>
      </c>
      <c r="K251">
        <v>1308249.6324348401</v>
      </c>
      <c r="L251">
        <v>1246600</v>
      </c>
      <c r="M251">
        <v>599</v>
      </c>
    </row>
    <row r="252" spans="1:13" ht="15">
      <c r="A252" t="s">
        <v>3399</v>
      </c>
      <c r="B252" s="1040" t="str">
        <f>CONCATENATE(LEFT(RIGHT(CONCATENATE("000",IFAData_TEA_1718!A252),6),3),"-",(RIGHT(RIGHT(CONCATENATE("000",IFAData_TEA_1718!A252),6),3)))</f>
        <v>015-912</v>
      </c>
      <c r="C252" t="s">
        <v>1934</v>
      </c>
      <c r="D252">
        <v>8</v>
      </c>
      <c r="E252">
        <v>2370</v>
      </c>
      <c r="F252" t="s">
        <v>4200</v>
      </c>
      <c r="G252" t="s">
        <v>6411</v>
      </c>
      <c r="H252">
        <v>2355500</v>
      </c>
      <c r="I252">
        <v>997900</v>
      </c>
      <c r="J252">
        <v>0.44459790599242599</v>
      </c>
      <c r="K252">
        <v>1047250.36756516</v>
      </c>
      <c r="L252">
        <v>997900</v>
      </c>
      <c r="M252">
        <v>599</v>
      </c>
    </row>
    <row r="253" spans="1:13" ht="15">
      <c r="A253" t="s">
        <v>3399</v>
      </c>
      <c r="B253" s="1040" t="str">
        <f>CONCATENATE(LEFT(RIGHT(CONCATENATE("000",IFAData_TEA_1718!A253),6),3),"-",(RIGHT(RIGHT(CONCATENATE("000",IFAData_TEA_1718!A253),6),3)))</f>
        <v>015-912</v>
      </c>
      <c r="C253" t="s">
        <v>1934</v>
      </c>
      <c r="D253">
        <v>9</v>
      </c>
      <c r="E253">
        <v>2366</v>
      </c>
      <c r="F253" t="s">
        <v>4201</v>
      </c>
      <c r="G253" t="s">
        <v>4201</v>
      </c>
      <c r="H253">
        <v>907250</v>
      </c>
      <c r="I253">
        <v>0</v>
      </c>
      <c r="J253">
        <v>0</v>
      </c>
      <c r="K253">
        <v>0</v>
      </c>
      <c r="L253">
        <v>0</v>
      </c>
      <c r="M253">
        <v>599</v>
      </c>
    </row>
    <row r="254" spans="1:13" ht="15">
      <c r="A254" t="s">
        <v>3399</v>
      </c>
      <c r="B254" s="1040" t="str">
        <f>CONCATENATE(LEFT(RIGHT(CONCATENATE("000",IFAData_TEA_1718!A254),6),3),"-",(RIGHT(RIGHT(CONCATENATE("000",IFAData_TEA_1718!A254),6),3)))</f>
        <v>015-912</v>
      </c>
      <c r="C254" t="s">
        <v>1934</v>
      </c>
      <c r="D254">
        <v>9</v>
      </c>
      <c r="E254">
        <v>2366</v>
      </c>
      <c r="F254" t="s">
        <v>4201</v>
      </c>
      <c r="G254" t="s">
        <v>6196</v>
      </c>
      <c r="H254">
        <v>907250</v>
      </c>
      <c r="I254">
        <v>493750</v>
      </c>
      <c r="J254">
        <v>0.58515050959943105</v>
      </c>
      <c r="K254">
        <v>530877.799834084</v>
      </c>
      <c r="L254">
        <v>493750</v>
      </c>
      <c r="M254">
        <v>599</v>
      </c>
    </row>
    <row r="255" spans="1:13" ht="15">
      <c r="A255" t="s">
        <v>3399</v>
      </c>
      <c r="B255" s="1040" t="str">
        <f>CONCATENATE(LEFT(RIGHT(CONCATENATE("000",IFAData_TEA_1718!A255),6),3),"-",(RIGHT(RIGHT(CONCATENATE("000",IFAData_TEA_1718!A255),6),3)))</f>
        <v>015-912</v>
      </c>
      <c r="C255" t="s">
        <v>1934</v>
      </c>
      <c r="D255">
        <v>9</v>
      </c>
      <c r="E255">
        <v>2366</v>
      </c>
      <c r="F255" t="s">
        <v>4201</v>
      </c>
      <c r="G255" t="s">
        <v>6411</v>
      </c>
      <c r="H255">
        <v>907250</v>
      </c>
      <c r="I255">
        <v>350050</v>
      </c>
      <c r="J255">
        <v>0.41484949040056901</v>
      </c>
      <c r="K255">
        <v>376372.200165916</v>
      </c>
      <c r="L255">
        <v>350050</v>
      </c>
      <c r="M255">
        <v>599</v>
      </c>
    </row>
    <row r="256" spans="1:13" ht="15">
      <c r="A256" t="s">
        <v>3399</v>
      </c>
      <c r="B256" s="1040" t="str">
        <f>CONCATENATE(LEFT(RIGHT(CONCATENATE("000",IFAData_TEA_1718!A256),6),3),"-",(RIGHT(RIGHT(CONCATENATE("000",IFAData_TEA_1718!A256),6),3)))</f>
        <v>015-912</v>
      </c>
      <c r="C256" t="s">
        <v>1934</v>
      </c>
      <c r="D256">
        <v>9</v>
      </c>
      <c r="E256">
        <v>2367</v>
      </c>
      <c r="F256" t="s">
        <v>4202</v>
      </c>
      <c r="G256" t="s">
        <v>4202</v>
      </c>
      <c r="H256">
        <v>1378513</v>
      </c>
      <c r="I256">
        <v>489840</v>
      </c>
      <c r="J256">
        <v>0.41414155078188403</v>
      </c>
      <c r="K256">
        <v>570899.51159298699</v>
      </c>
      <c r="L256">
        <v>489840</v>
      </c>
      <c r="M256">
        <v>599</v>
      </c>
    </row>
    <row r="257" spans="1:13" ht="15">
      <c r="A257" t="s">
        <v>3399</v>
      </c>
      <c r="B257" s="1040" t="str">
        <f>CONCATENATE(LEFT(RIGHT(CONCATENATE("000",IFAData_TEA_1718!A257),6),3),"-",(RIGHT(RIGHT(CONCATENATE("000",IFAData_TEA_1718!A257),6),3)))</f>
        <v>015-912</v>
      </c>
      <c r="C257" t="s">
        <v>1934</v>
      </c>
      <c r="D257">
        <v>9</v>
      </c>
      <c r="E257">
        <v>2367</v>
      </c>
      <c r="F257" t="s">
        <v>4202</v>
      </c>
      <c r="G257" t="s">
        <v>6824</v>
      </c>
      <c r="H257">
        <v>1378513</v>
      </c>
      <c r="I257">
        <v>692944</v>
      </c>
      <c r="J257">
        <v>0.58585844921811603</v>
      </c>
      <c r="K257">
        <v>807613.48840701301</v>
      </c>
      <c r="L257">
        <v>692944</v>
      </c>
      <c r="M257">
        <v>599</v>
      </c>
    </row>
    <row r="258" spans="1:13" ht="15">
      <c r="A258" t="s">
        <v>3399</v>
      </c>
      <c r="B258" s="1040" t="str">
        <f>CONCATENATE(LEFT(RIGHT(CONCATENATE("000",IFAData_TEA_1718!A258),6),3),"-",(RIGHT(RIGHT(CONCATENATE("000",IFAData_TEA_1718!A258),6),3)))</f>
        <v>015-912</v>
      </c>
      <c r="C258" t="s">
        <v>1934</v>
      </c>
      <c r="D258">
        <v>11</v>
      </c>
      <c r="E258">
        <v>2595</v>
      </c>
      <c r="F258" t="s">
        <v>6824</v>
      </c>
      <c r="G258" t="s">
        <v>6824</v>
      </c>
      <c r="H258">
        <v>2550985</v>
      </c>
      <c r="I258">
        <v>1497400</v>
      </c>
      <c r="J258">
        <v>1</v>
      </c>
      <c r="K258">
        <v>2550985</v>
      </c>
      <c r="L258">
        <v>1497400</v>
      </c>
      <c r="M258">
        <v>599</v>
      </c>
    </row>
    <row r="259" spans="1:13" ht="15">
      <c r="A259" t="s">
        <v>3400</v>
      </c>
      <c r="B259" s="1040" t="str">
        <f>CONCATENATE(LEFT(RIGHT(CONCATENATE("000",IFAData_TEA_1718!A259),6),3),"-",(RIGHT(RIGHT(CONCATENATE("000",IFAData_TEA_1718!A259),6),3)))</f>
        <v>015-915</v>
      </c>
      <c r="C259" t="s">
        <v>2289</v>
      </c>
      <c r="D259">
        <v>1</v>
      </c>
      <c r="E259">
        <v>2152</v>
      </c>
      <c r="F259" t="s">
        <v>4203</v>
      </c>
      <c r="G259" t="s">
        <v>4203</v>
      </c>
      <c r="H259">
        <v>1368888</v>
      </c>
      <c r="I259">
        <v>0</v>
      </c>
      <c r="J259">
        <v>0</v>
      </c>
      <c r="K259">
        <v>0</v>
      </c>
      <c r="L259">
        <v>0</v>
      </c>
      <c r="M259">
        <v>599</v>
      </c>
    </row>
    <row r="260" spans="1:13" ht="15">
      <c r="A260" t="s">
        <v>3400</v>
      </c>
      <c r="B260" s="1040" t="str">
        <f>CONCATENATE(LEFT(RIGHT(CONCATENATE("000",IFAData_TEA_1718!A260),6),3),"-",(RIGHT(RIGHT(CONCATENATE("000",IFAData_TEA_1718!A260),6),3)))</f>
        <v>015-915</v>
      </c>
      <c r="C260" t="s">
        <v>2289</v>
      </c>
      <c r="D260">
        <v>1</v>
      </c>
      <c r="E260">
        <v>2152</v>
      </c>
      <c r="F260" t="s">
        <v>4203</v>
      </c>
      <c r="G260" t="s">
        <v>4204</v>
      </c>
      <c r="H260">
        <v>1368888</v>
      </c>
      <c r="I260">
        <v>0</v>
      </c>
      <c r="J260">
        <v>0</v>
      </c>
      <c r="K260">
        <v>0</v>
      </c>
      <c r="L260">
        <v>0</v>
      </c>
      <c r="M260">
        <v>599</v>
      </c>
    </row>
    <row r="261" spans="1:13" ht="15">
      <c r="A261" t="s">
        <v>3400</v>
      </c>
      <c r="B261" s="1040" t="str">
        <f>CONCATENATE(LEFT(RIGHT(CONCATENATE("000",IFAData_TEA_1718!A261),6),3),"-",(RIGHT(RIGHT(CONCATENATE("000",IFAData_TEA_1718!A261),6),3)))</f>
        <v>015-915</v>
      </c>
      <c r="C261" t="s">
        <v>2289</v>
      </c>
      <c r="D261">
        <v>1</v>
      </c>
      <c r="E261">
        <v>2152</v>
      </c>
      <c r="F261" t="s">
        <v>4203</v>
      </c>
      <c r="G261" t="s">
        <v>4205</v>
      </c>
      <c r="H261">
        <v>1368888</v>
      </c>
      <c r="I261">
        <v>0</v>
      </c>
      <c r="J261">
        <v>0</v>
      </c>
      <c r="K261">
        <v>0</v>
      </c>
      <c r="L261">
        <v>0</v>
      </c>
      <c r="M261">
        <v>599</v>
      </c>
    </row>
    <row r="262" spans="1:13" ht="15">
      <c r="A262" t="s">
        <v>3400</v>
      </c>
      <c r="B262" s="1040" t="str">
        <f>CONCATENATE(LEFT(RIGHT(CONCATENATE("000",IFAData_TEA_1718!A262),6),3),"-",(RIGHT(RIGHT(CONCATENATE("000",IFAData_TEA_1718!A262),6),3)))</f>
        <v>015-915</v>
      </c>
      <c r="C262" t="s">
        <v>2289</v>
      </c>
      <c r="D262">
        <v>1</v>
      </c>
      <c r="E262">
        <v>2152</v>
      </c>
      <c r="F262" t="s">
        <v>4203</v>
      </c>
      <c r="G262" t="s">
        <v>4206</v>
      </c>
      <c r="H262">
        <v>1368888</v>
      </c>
      <c r="I262">
        <v>0</v>
      </c>
      <c r="J262">
        <v>0</v>
      </c>
      <c r="K262">
        <v>0</v>
      </c>
      <c r="L262">
        <v>0</v>
      </c>
      <c r="M262">
        <v>599</v>
      </c>
    </row>
    <row r="263" spans="1:13" ht="15">
      <c r="A263" t="s">
        <v>3400</v>
      </c>
      <c r="B263" s="1040" t="str">
        <f>CONCATENATE(LEFT(RIGHT(CONCATENATE("000",IFAData_TEA_1718!A263),6),3),"-",(RIGHT(RIGHT(CONCATENATE("000",IFAData_TEA_1718!A263),6),3)))</f>
        <v>015-915</v>
      </c>
      <c r="C263" t="s">
        <v>2289</v>
      </c>
      <c r="D263">
        <v>1</v>
      </c>
      <c r="E263">
        <v>2152</v>
      </c>
      <c r="F263" t="s">
        <v>4203</v>
      </c>
      <c r="G263" t="s">
        <v>4207</v>
      </c>
      <c r="H263">
        <v>1368888</v>
      </c>
      <c r="I263">
        <v>610803</v>
      </c>
      <c r="J263">
        <v>0.48448666716373601</v>
      </c>
      <c r="K263">
        <v>663207.984840433</v>
      </c>
      <c r="L263">
        <v>610803</v>
      </c>
      <c r="M263">
        <v>599</v>
      </c>
    </row>
    <row r="264" spans="1:13" ht="15">
      <c r="A264" t="s">
        <v>3400</v>
      </c>
      <c r="B264" s="1040" t="str">
        <f>CONCATENATE(LEFT(RIGHT(CONCATENATE("000",IFAData_TEA_1718!A264),6),3),"-",(RIGHT(RIGHT(CONCATENATE("000",IFAData_TEA_1718!A264),6),3)))</f>
        <v>015-915</v>
      </c>
      <c r="C264" t="s">
        <v>2289</v>
      </c>
      <c r="D264">
        <v>1</v>
      </c>
      <c r="E264">
        <v>2152</v>
      </c>
      <c r="F264" t="s">
        <v>4203</v>
      </c>
      <c r="G264" t="s">
        <v>4208</v>
      </c>
      <c r="H264">
        <v>1368888</v>
      </c>
      <c r="I264">
        <v>193431</v>
      </c>
      <c r="J264">
        <v>0.15342874955779301</v>
      </c>
      <c r="K264">
        <v>210026.77412466801</v>
      </c>
      <c r="L264">
        <v>193431</v>
      </c>
      <c r="M264">
        <v>599</v>
      </c>
    </row>
    <row r="265" spans="1:13" ht="15">
      <c r="A265" t="s">
        <v>3400</v>
      </c>
      <c r="B265" s="1040" t="str">
        <f>CONCATENATE(LEFT(RIGHT(CONCATENATE("000",IFAData_TEA_1718!A265),6),3),"-",(RIGHT(RIGHT(CONCATENATE("000",IFAData_TEA_1718!A265),6),3)))</f>
        <v>015-915</v>
      </c>
      <c r="C265" t="s">
        <v>2289</v>
      </c>
      <c r="D265">
        <v>1</v>
      </c>
      <c r="E265">
        <v>2152</v>
      </c>
      <c r="F265" t="s">
        <v>4203</v>
      </c>
      <c r="G265" t="s">
        <v>8320</v>
      </c>
      <c r="H265">
        <v>1368888</v>
      </c>
      <c r="I265">
        <v>236878</v>
      </c>
      <c r="J265">
        <v>0.18789074831723401</v>
      </c>
      <c r="K265">
        <v>257201.39068248199</v>
      </c>
      <c r="L265">
        <v>236878</v>
      </c>
      <c r="M265">
        <v>599</v>
      </c>
    </row>
    <row r="266" spans="1:13" ht="15">
      <c r="A266" t="s">
        <v>3400</v>
      </c>
      <c r="B266" s="1040" t="str">
        <f>CONCATENATE(LEFT(RIGHT(CONCATENATE("000",IFAData_TEA_1718!A266),6),3),"-",(RIGHT(RIGHT(CONCATENATE("000",IFAData_TEA_1718!A266),6),3)))</f>
        <v>015-915</v>
      </c>
      <c r="C266" t="s">
        <v>2289</v>
      </c>
      <c r="D266">
        <v>1</v>
      </c>
      <c r="E266">
        <v>2152</v>
      </c>
      <c r="F266" t="s">
        <v>4203</v>
      </c>
      <c r="G266" t="s">
        <v>8321</v>
      </c>
      <c r="H266">
        <v>1368888</v>
      </c>
      <c r="I266">
        <v>219610</v>
      </c>
      <c r="J266">
        <v>0.174193834961236</v>
      </c>
      <c r="K266">
        <v>238451.85035241701</v>
      </c>
      <c r="L266">
        <v>219610</v>
      </c>
      <c r="M266">
        <v>599</v>
      </c>
    </row>
    <row r="267" spans="1:13" ht="15">
      <c r="A267" t="s">
        <v>3400</v>
      </c>
      <c r="B267" s="1040" t="str">
        <f>CONCATENATE(LEFT(RIGHT(CONCATENATE("000",IFAData_TEA_1718!A267),6),3),"-",(RIGHT(RIGHT(CONCATENATE("000",IFAData_TEA_1718!A267),6),3)))</f>
        <v>015-915</v>
      </c>
      <c r="C267" t="s">
        <v>2289</v>
      </c>
      <c r="D267">
        <v>1</v>
      </c>
      <c r="E267">
        <v>2153</v>
      </c>
      <c r="F267" t="s">
        <v>4209</v>
      </c>
      <c r="G267" t="s">
        <v>4209</v>
      </c>
      <c r="H267">
        <v>3069626</v>
      </c>
      <c r="I267">
        <v>0</v>
      </c>
      <c r="J267">
        <v>0</v>
      </c>
      <c r="K267">
        <v>0</v>
      </c>
      <c r="L267">
        <v>0</v>
      </c>
      <c r="M267">
        <v>599</v>
      </c>
    </row>
    <row r="268" spans="1:13" ht="15">
      <c r="A268" t="s">
        <v>3400</v>
      </c>
      <c r="B268" s="1040" t="str">
        <f>CONCATENATE(LEFT(RIGHT(CONCATENATE("000",IFAData_TEA_1718!A268),6),3),"-",(RIGHT(RIGHT(CONCATENATE("000",IFAData_TEA_1718!A268),6),3)))</f>
        <v>015-915</v>
      </c>
      <c r="C268" t="s">
        <v>2289</v>
      </c>
      <c r="D268">
        <v>1</v>
      </c>
      <c r="E268">
        <v>2153</v>
      </c>
      <c r="F268" t="s">
        <v>4209</v>
      </c>
      <c r="G268" t="s">
        <v>4204</v>
      </c>
      <c r="H268">
        <v>3069626</v>
      </c>
      <c r="I268">
        <v>0</v>
      </c>
      <c r="J268">
        <v>0</v>
      </c>
      <c r="K268">
        <v>0</v>
      </c>
      <c r="L268">
        <v>0</v>
      </c>
      <c r="M268">
        <v>599</v>
      </c>
    </row>
    <row r="269" spans="1:13" ht="15">
      <c r="A269" t="s">
        <v>3400</v>
      </c>
      <c r="B269" s="1040" t="str">
        <f>CONCATENATE(LEFT(RIGHT(CONCATENATE("000",IFAData_TEA_1718!A269),6),3),"-",(RIGHT(RIGHT(CONCATENATE("000",IFAData_TEA_1718!A269),6),3)))</f>
        <v>015-915</v>
      </c>
      <c r="C269" t="s">
        <v>2289</v>
      </c>
      <c r="D269">
        <v>1</v>
      </c>
      <c r="E269">
        <v>2153</v>
      </c>
      <c r="F269" t="s">
        <v>4209</v>
      </c>
      <c r="G269" t="s">
        <v>4205</v>
      </c>
      <c r="H269">
        <v>3069626</v>
      </c>
      <c r="I269">
        <v>0</v>
      </c>
      <c r="J269">
        <v>0</v>
      </c>
      <c r="K269">
        <v>0</v>
      </c>
      <c r="L269">
        <v>0</v>
      </c>
      <c r="M269">
        <v>599</v>
      </c>
    </row>
    <row r="270" spans="1:13" ht="15">
      <c r="A270" t="s">
        <v>3400</v>
      </c>
      <c r="B270" s="1040" t="str">
        <f>CONCATENATE(LEFT(RIGHT(CONCATENATE("000",IFAData_TEA_1718!A270),6),3),"-",(RIGHT(RIGHT(CONCATENATE("000",IFAData_TEA_1718!A270),6),3)))</f>
        <v>015-915</v>
      </c>
      <c r="C270" t="s">
        <v>2289</v>
      </c>
      <c r="D270">
        <v>1</v>
      </c>
      <c r="E270">
        <v>2153</v>
      </c>
      <c r="F270" t="s">
        <v>4209</v>
      </c>
      <c r="G270" t="s">
        <v>4210</v>
      </c>
      <c r="H270">
        <v>3069626</v>
      </c>
      <c r="I270">
        <v>0</v>
      </c>
      <c r="J270">
        <v>0</v>
      </c>
      <c r="K270">
        <v>0</v>
      </c>
      <c r="L270">
        <v>0</v>
      </c>
      <c r="M270">
        <v>599</v>
      </c>
    </row>
    <row r="271" spans="1:13" ht="15">
      <c r="A271" t="s">
        <v>3400</v>
      </c>
      <c r="B271" s="1040" t="str">
        <f>CONCATENATE(LEFT(RIGHT(CONCATENATE("000",IFAData_TEA_1718!A271),6),3),"-",(RIGHT(RIGHT(CONCATENATE("000",IFAData_TEA_1718!A271),6),3)))</f>
        <v>015-915</v>
      </c>
      <c r="C271" t="s">
        <v>2289</v>
      </c>
      <c r="D271">
        <v>1</v>
      </c>
      <c r="E271">
        <v>2153</v>
      </c>
      <c r="F271" t="s">
        <v>4209</v>
      </c>
      <c r="G271" t="s">
        <v>4206</v>
      </c>
      <c r="H271">
        <v>3069626</v>
      </c>
      <c r="I271">
        <v>0</v>
      </c>
      <c r="J271">
        <v>0</v>
      </c>
      <c r="K271">
        <v>0</v>
      </c>
      <c r="L271">
        <v>0</v>
      </c>
      <c r="M271">
        <v>599</v>
      </c>
    </row>
    <row r="272" spans="1:13" ht="15">
      <c r="A272" t="s">
        <v>3400</v>
      </c>
      <c r="B272" s="1040" t="str">
        <f>CONCATENATE(LEFT(RIGHT(CONCATENATE("000",IFAData_TEA_1718!A272),6),3),"-",(RIGHT(RIGHT(CONCATENATE("000",IFAData_TEA_1718!A272),6),3)))</f>
        <v>015-915</v>
      </c>
      <c r="C272" t="s">
        <v>2289</v>
      </c>
      <c r="D272">
        <v>1</v>
      </c>
      <c r="E272">
        <v>2153</v>
      </c>
      <c r="F272" t="s">
        <v>4209</v>
      </c>
      <c r="G272" t="s">
        <v>4207</v>
      </c>
      <c r="H272">
        <v>3069626</v>
      </c>
      <c r="I272">
        <v>106220</v>
      </c>
      <c r="J272">
        <v>0.147424375958529</v>
      </c>
      <c r="K272">
        <v>452537.69747607602</v>
      </c>
      <c r="L272">
        <v>106220</v>
      </c>
      <c r="M272">
        <v>599</v>
      </c>
    </row>
    <row r="273" spans="1:13" ht="15">
      <c r="A273" t="s">
        <v>3400</v>
      </c>
      <c r="B273" s="1040" t="str">
        <f>CONCATENATE(LEFT(RIGHT(CONCATENATE("000",IFAData_TEA_1718!A273),6),3),"-",(RIGHT(RIGHT(CONCATENATE("000",IFAData_TEA_1718!A273),6),3)))</f>
        <v>015-915</v>
      </c>
      <c r="C273" t="s">
        <v>2289</v>
      </c>
      <c r="D273">
        <v>1</v>
      </c>
      <c r="E273">
        <v>2153</v>
      </c>
      <c r="F273" t="s">
        <v>4209</v>
      </c>
      <c r="G273" t="s">
        <v>4208</v>
      </c>
      <c r="H273">
        <v>3069626</v>
      </c>
      <c r="I273">
        <v>330020</v>
      </c>
      <c r="J273">
        <v>0.45803984705172102</v>
      </c>
      <c r="K273">
        <v>1406011.02354599</v>
      </c>
      <c r="L273">
        <v>330020</v>
      </c>
      <c r="M273">
        <v>599</v>
      </c>
    </row>
    <row r="274" spans="1:13" ht="15">
      <c r="A274" t="s">
        <v>3400</v>
      </c>
      <c r="B274" s="1040" t="str">
        <f>CONCATENATE(LEFT(RIGHT(CONCATENATE("000",IFAData_TEA_1718!A274),6),3),"-",(RIGHT(RIGHT(CONCATENATE("000",IFAData_TEA_1718!A274),6),3)))</f>
        <v>015-915</v>
      </c>
      <c r="C274" t="s">
        <v>2289</v>
      </c>
      <c r="D274">
        <v>1</v>
      </c>
      <c r="E274">
        <v>2153</v>
      </c>
      <c r="F274" t="s">
        <v>4209</v>
      </c>
      <c r="G274" t="s">
        <v>6197</v>
      </c>
      <c r="H274">
        <v>3069626</v>
      </c>
      <c r="I274">
        <v>204880</v>
      </c>
      <c r="J274">
        <v>0.28435611133857502</v>
      </c>
      <c r="K274">
        <v>872866.91262378497</v>
      </c>
      <c r="L274">
        <v>204880</v>
      </c>
      <c r="M274">
        <v>599</v>
      </c>
    </row>
    <row r="275" spans="1:13" ht="15">
      <c r="A275" t="s">
        <v>3400</v>
      </c>
      <c r="B275" s="1040" t="str">
        <f>CONCATENATE(LEFT(RIGHT(CONCATENATE("000",IFAData_TEA_1718!A275),6),3),"-",(RIGHT(RIGHT(CONCATENATE("000",IFAData_TEA_1718!A275),6),3)))</f>
        <v>015-915</v>
      </c>
      <c r="C275" t="s">
        <v>2289</v>
      </c>
      <c r="D275">
        <v>1</v>
      </c>
      <c r="E275">
        <v>2153</v>
      </c>
      <c r="F275" t="s">
        <v>4209</v>
      </c>
      <c r="G275" t="s">
        <v>8320</v>
      </c>
      <c r="H275">
        <v>3069626</v>
      </c>
      <c r="I275">
        <v>41194</v>
      </c>
      <c r="J275">
        <v>5.7173787829369702E-2</v>
      </c>
      <c r="K275">
        <v>175502.145639517</v>
      </c>
      <c r="L275">
        <v>41194</v>
      </c>
      <c r="M275">
        <v>599</v>
      </c>
    </row>
    <row r="276" spans="1:13" ht="15">
      <c r="A276" t="s">
        <v>3400</v>
      </c>
      <c r="B276" s="1040" t="str">
        <f>CONCATENATE(LEFT(RIGHT(CONCATENATE("000",IFAData_TEA_1718!A276),6),3),"-",(RIGHT(RIGHT(CONCATENATE("000",IFAData_TEA_1718!A276),6),3)))</f>
        <v>015-915</v>
      </c>
      <c r="C276" t="s">
        <v>2289</v>
      </c>
      <c r="D276">
        <v>1</v>
      </c>
      <c r="E276">
        <v>2153</v>
      </c>
      <c r="F276" t="s">
        <v>4209</v>
      </c>
      <c r="G276" t="s">
        <v>8321</v>
      </c>
      <c r="H276">
        <v>3069626</v>
      </c>
      <c r="I276">
        <v>38191</v>
      </c>
      <c r="J276">
        <v>5.3005877821805499E-2</v>
      </c>
      <c r="K276">
        <v>162708.22071463801</v>
      </c>
      <c r="L276">
        <v>38191</v>
      </c>
      <c r="M276">
        <v>599</v>
      </c>
    </row>
    <row r="277" spans="1:13" ht="15">
      <c r="A277" t="s">
        <v>3401</v>
      </c>
      <c r="B277" s="1040" t="str">
        <f>CONCATENATE(LEFT(RIGHT(CONCATENATE("000",IFAData_TEA_1718!A277),6),3),"-",(RIGHT(RIGHT(CONCATENATE("000",IFAData_TEA_1718!A277),6),3)))</f>
        <v>015-916</v>
      </c>
      <c r="C277" t="s">
        <v>408</v>
      </c>
      <c r="D277">
        <v>1</v>
      </c>
      <c r="E277">
        <v>1937</v>
      </c>
      <c r="F277" t="s">
        <v>4211</v>
      </c>
      <c r="G277" t="s">
        <v>4211</v>
      </c>
      <c r="H277">
        <v>738000</v>
      </c>
      <c r="I277">
        <v>0</v>
      </c>
      <c r="J277">
        <v>0</v>
      </c>
      <c r="K277"/>
      <c r="L277">
        <v>0</v>
      </c>
      <c r="M277">
        <v>599</v>
      </c>
    </row>
    <row r="278" spans="1:13" ht="15">
      <c r="A278" t="s">
        <v>3401</v>
      </c>
      <c r="B278" s="1040" t="str">
        <f>CONCATENATE(LEFT(RIGHT(CONCATENATE("000",IFAData_TEA_1718!A278),6),3),"-",(RIGHT(RIGHT(CONCATENATE("000",IFAData_TEA_1718!A278),6),3)))</f>
        <v>015-916</v>
      </c>
      <c r="C278" t="s">
        <v>408</v>
      </c>
      <c r="D278">
        <v>6</v>
      </c>
      <c r="E278">
        <v>1938</v>
      </c>
      <c r="F278" t="s">
        <v>4212</v>
      </c>
      <c r="G278" t="s">
        <v>4212</v>
      </c>
      <c r="H278">
        <v>3992710</v>
      </c>
      <c r="I278">
        <v>0</v>
      </c>
      <c r="J278">
        <v>0</v>
      </c>
      <c r="K278">
        <v>0</v>
      </c>
      <c r="L278">
        <v>0</v>
      </c>
      <c r="M278">
        <v>599</v>
      </c>
    </row>
    <row r="279" spans="1:13" ht="15">
      <c r="A279" t="s">
        <v>3401</v>
      </c>
      <c r="B279" s="1040" t="str">
        <f>CONCATENATE(LEFT(RIGHT(CONCATENATE("000",IFAData_TEA_1718!A279),6),3),"-",(RIGHT(RIGHT(CONCATENATE("000",IFAData_TEA_1718!A279),6),3)))</f>
        <v>015-916</v>
      </c>
      <c r="C279" t="s">
        <v>408</v>
      </c>
      <c r="D279">
        <v>6</v>
      </c>
      <c r="E279">
        <v>1938</v>
      </c>
      <c r="F279" t="s">
        <v>4212</v>
      </c>
      <c r="G279" t="s">
        <v>4213</v>
      </c>
      <c r="H279">
        <v>3992710</v>
      </c>
      <c r="I279">
        <v>3770635</v>
      </c>
      <c r="J279">
        <v>0.68811439681600906</v>
      </c>
      <c r="K279">
        <v>2747441.2333112499</v>
      </c>
      <c r="L279">
        <v>2747441.2333112499</v>
      </c>
      <c r="M279">
        <v>599</v>
      </c>
    </row>
    <row r="280" spans="1:13" ht="15">
      <c r="A280" t="s">
        <v>3401</v>
      </c>
      <c r="B280" s="1040" t="str">
        <f>CONCATENATE(LEFT(RIGHT(CONCATENATE("000",IFAData_TEA_1718!A280),6),3),"-",(RIGHT(RIGHT(CONCATENATE("000",IFAData_TEA_1718!A280),6),3)))</f>
        <v>015-916</v>
      </c>
      <c r="C280" t="s">
        <v>408</v>
      </c>
      <c r="D280">
        <v>6</v>
      </c>
      <c r="E280">
        <v>1938</v>
      </c>
      <c r="F280" t="s">
        <v>4212</v>
      </c>
      <c r="G280" t="s">
        <v>4214</v>
      </c>
      <c r="H280">
        <v>3992710</v>
      </c>
      <c r="I280">
        <v>0</v>
      </c>
      <c r="J280">
        <v>0</v>
      </c>
      <c r="K280">
        <v>0</v>
      </c>
      <c r="L280">
        <v>0</v>
      </c>
      <c r="M280">
        <v>599</v>
      </c>
    </row>
    <row r="281" spans="1:13" ht="15">
      <c r="A281" t="s">
        <v>3401</v>
      </c>
      <c r="B281" s="1040" t="str">
        <f>CONCATENATE(LEFT(RIGHT(CONCATENATE("000",IFAData_TEA_1718!A281),6),3),"-",(RIGHT(RIGHT(CONCATENATE("000",IFAData_TEA_1718!A281),6),3)))</f>
        <v>015-916</v>
      </c>
      <c r="C281" t="s">
        <v>408</v>
      </c>
      <c r="D281">
        <v>6</v>
      </c>
      <c r="E281">
        <v>1938</v>
      </c>
      <c r="F281" t="s">
        <v>4212</v>
      </c>
      <c r="G281" t="s">
        <v>4215</v>
      </c>
      <c r="H281">
        <v>3992710</v>
      </c>
      <c r="I281">
        <v>256449</v>
      </c>
      <c r="J281">
        <v>4.68001408115791E-2</v>
      </c>
      <c r="K281">
        <v>186859.3902198</v>
      </c>
      <c r="L281">
        <v>186859.3902198</v>
      </c>
      <c r="M281">
        <v>599</v>
      </c>
    </row>
    <row r="282" spans="1:13" ht="15">
      <c r="A282" t="s">
        <v>3401</v>
      </c>
      <c r="B282" s="1040" t="str">
        <f>CONCATENATE(LEFT(RIGHT(CONCATENATE("000",IFAData_TEA_1718!A282),6),3),"-",(RIGHT(RIGHT(CONCATENATE("000",IFAData_TEA_1718!A282),6),3)))</f>
        <v>015-916</v>
      </c>
      <c r="C282" t="s">
        <v>408</v>
      </c>
      <c r="D282">
        <v>6</v>
      </c>
      <c r="E282">
        <v>1938</v>
      </c>
      <c r="F282" t="s">
        <v>4212</v>
      </c>
      <c r="G282" t="s">
        <v>8322</v>
      </c>
      <c r="H282">
        <v>3992710</v>
      </c>
      <c r="I282">
        <v>863083</v>
      </c>
      <c r="J282">
        <v>0.15750658389028699</v>
      </c>
      <c r="K282">
        <v>628878.11256458703</v>
      </c>
      <c r="L282">
        <v>628878.11256458703</v>
      </c>
      <c r="M282">
        <v>599</v>
      </c>
    </row>
    <row r="283" spans="1:13" ht="15">
      <c r="A283" t="s">
        <v>3401</v>
      </c>
      <c r="B283" s="1040" t="str">
        <f>CONCATENATE(LEFT(RIGHT(CONCATENATE("000",IFAData_TEA_1718!A283),6),3),"-",(RIGHT(RIGHT(CONCATENATE("000",IFAData_TEA_1718!A283),6),3)))</f>
        <v>015-916</v>
      </c>
      <c r="C283" t="s">
        <v>408</v>
      </c>
      <c r="D283">
        <v>6</v>
      </c>
      <c r="E283">
        <v>1938</v>
      </c>
      <c r="F283" t="s">
        <v>4212</v>
      </c>
      <c r="G283" t="s">
        <v>8323</v>
      </c>
      <c r="H283">
        <v>3992710</v>
      </c>
      <c r="I283">
        <v>589496</v>
      </c>
      <c r="J283">
        <v>0.10757887848212599</v>
      </c>
      <c r="K283">
        <v>429531.26390436798</v>
      </c>
      <c r="L283">
        <v>429531.26390436798</v>
      </c>
      <c r="M283">
        <v>599</v>
      </c>
    </row>
    <row r="284" spans="1:13" ht="15">
      <c r="A284" t="s">
        <v>3401</v>
      </c>
      <c r="B284" s="1040" t="str">
        <f>CONCATENATE(LEFT(RIGHT(CONCATENATE("000",IFAData_TEA_1718!A284),6),3),"-",(RIGHT(RIGHT(CONCATENATE("000",IFAData_TEA_1718!A284),6),3)))</f>
        <v>015-916</v>
      </c>
      <c r="C284" t="s">
        <v>408</v>
      </c>
      <c r="D284">
        <v>9</v>
      </c>
      <c r="E284">
        <v>1939</v>
      </c>
      <c r="F284" t="s">
        <v>4213</v>
      </c>
      <c r="G284" t="s">
        <v>4213</v>
      </c>
      <c r="H284">
        <v>4799160</v>
      </c>
      <c r="I284">
        <v>7568165</v>
      </c>
      <c r="J284">
        <v>0.72025368593779104</v>
      </c>
      <c r="K284">
        <v>3456612.6794052101</v>
      </c>
      <c r="L284">
        <v>3456612.6794052101</v>
      </c>
      <c r="M284">
        <v>599</v>
      </c>
    </row>
    <row r="285" spans="1:13" ht="15">
      <c r="A285" t="s">
        <v>3401</v>
      </c>
      <c r="B285" s="1040" t="str">
        <f>CONCATENATE(LEFT(RIGHT(CONCATENATE("000",IFAData_TEA_1718!A285),6),3),"-",(RIGHT(RIGHT(CONCATENATE("000",IFAData_TEA_1718!A285),6),3)))</f>
        <v>015-916</v>
      </c>
      <c r="C285" t="s">
        <v>408</v>
      </c>
      <c r="D285">
        <v>9</v>
      </c>
      <c r="E285">
        <v>1939</v>
      </c>
      <c r="F285" t="s">
        <v>4213</v>
      </c>
      <c r="G285" t="s">
        <v>8322</v>
      </c>
      <c r="H285">
        <v>4799160</v>
      </c>
      <c r="I285">
        <v>1772773</v>
      </c>
      <c r="J285">
        <v>0.16871279730040201</v>
      </c>
      <c r="K285">
        <v>809679.70829219697</v>
      </c>
      <c r="L285">
        <v>809679.70829219697</v>
      </c>
      <c r="M285">
        <v>599</v>
      </c>
    </row>
    <row r="286" spans="1:13" ht="15">
      <c r="A286" t="s">
        <v>3401</v>
      </c>
      <c r="B286" s="1040" t="str">
        <f>CONCATENATE(LEFT(RIGHT(CONCATENATE("000",IFAData_TEA_1718!A286),6),3),"-",(RIGHT(RIGHT(CONCATENATE("000",IFAData_TEA_1718!A286),6),3)))</f>
        <v>015-916</v>
      </c>
      <c r="C286" t="s">
        <v>408</v>
      </c>
      <c r="D286">
        <v>9</v>
      </c>
      <c r="E286">
        <v>1939</v>
      </c>
      <c r="F286" t="s">
        <v>4213</v>
      </c>
      <c r="G286" t="s">
        <v>8323</v>
      </c>
      <c r="H286">
        <v>4799160</v>
      </c>
      <c r="I286">
        <v>1166700</v>
      </c>
      <c r="J286">
        <v>0.11103351676180701</v>
      </c>
      <c r="K286">
        <v>532867.612302594</v>
      </c>
      <c r="L286">
        <v>532867.612302594</v>
      </c>
      <c r="M286">
        <v>599</v>
      </c>
    </row>
    <row r="287" spans="1:13" ht="15">
      <c r="A287" t="s">
        <v>3401</v>
      </c>
      <c r="B287" s="1040" t="str">
        <f>CONCATENATE(LEFT(RIGHT(CONCATENATE("000",IFAData_TEA_1718!A287),6),3),"-",(RIGHT(RIGHT(CONCATENATE("000",IFAData_TEA_1718!A287),6),3)))</f>
        <v>015-916</v>
      </c>
      <c r="C287" t="s">
        <v>408</v>
      </c>
      <c r="D287">
        <v>11</v>
      </c>
      <c r="E287">
        <v>2553</v>
      </c>
      <c r="F287" t="s">
        <v>8322</v>
      </c>
      <c r="G287" t="s">
        <v>8322</v>
      </c>
      <c r="H287">
        <v>5380531</v>
      </c>
      <c r="I287">
        <v>6377148</v>
      </c>
      <c r="J287">
        <v>1</v>
      </c>
      <c r="K287">
        <v>5380531</v>
      </c>
      <c r="L287">
        <v>5380531</v>
      </c>
      <c r="M287">
        <v>599</v>
      </c>
    </row>
    <row r="288" spans="1:13" ht="15">
      <c r="A288" t="s">
        <v>3402</v>
      </c>
      <c r="B288" s="1040" t="str">
        <f>CONCATENATE(LEFT(RIGHT(CONCATENATE("000",IFAData_TEA_1718!A288),6),3),"-",(RIGHT(RIGHT(CONCATENATE("000",IFAData_TEA_1718!A288),6),3)))</f>
        <v>015-917</v>
      </c>
      <c r="C288" t="s">
        <v>1933</v>
      </c>
      <c r="D288">
        <v>2</v>
      </c>
      <c r="E288">
        <v>2362</v>
      </c>
      <c r="F288" t="s">
        <v>4216</v>
      </c>
      <c r="G288" t="s">
        <v>4216</v>
      </c>
      <c r="H288">
        <v>520585</v>
      </c>
      <c r="I288">
        <v>0</v>
      </c>
      <c r="J288">
        <v>0</v>
      </c>
      <c r="K288"/>
      <c r="L288">
        <v>0</v>
      </c>
      <c r="M288">
        <v>199</v>
      </c>
    </row>
    <row r="289" spans="1:13" ht="15">
      <c r="A289" t="s">
        <v>3402</v>
      </c>
      <c r="B289" s="1040" t="str">
        <f>CONCATENATE(LEFT(RIGHT(CONCATENATE("000",IFAData_TEA_1718!A289),6),3),"-",(RIGHT(RIGHT(CONCATENATE("000",IFAData_TEA_1718!A289),6),3)))</f>
        <v>015-917</v>
      </c>
      <c r="C289" t="s">
        <v>1933</v>
      </c>
      <c r="D289">
        <v>3</v>
      </c>
      <c r="E289">
        <v>2360</v>
      </c>
      <c r="F289" t="s">
        <v>4217</v>
      </c>
      <c r="G289" t="s">
        <v>4217</v>
      </c>
      <c r="H289">
        <v>441314</v>
      </c>
      <c r="I289">
        <v>0</v>
      </c>
      <c r="J289">
        <v>0</v>
      </c>
      <c r="K289">
        <v>0</v>
      </c>
      <c r="L289">
        <v>0</v>
      </c>
      <c r="M289">
        <v>199</v>
      </c>
    </row>
    <row r="290" spans="1:13" ht="15">
      <c r="A290" t="s">
        <v>3402</v>
      </c>
      <c r="B290" s="1040" t="str">
        <f>CONCATENATE(LEFT(RIGHT(CONCATENATE("000",IFAData_TEA_1718!A290),6),3),"-",(RIGHT(RIGHT(CONCATENATE("000",IFAData_TEA_1718!A290),6),3)))</f>
        <v>015-917</v>
      </c>
      <c r="C290" t="s">
        <v>1933</v>
      </c>
      <c r="D290">
        <v>3</v>
      </c>
      <c r="E290">
        <v>2360</v>
      </c>
      <c r="F290" t="s">
        <v>4217</v>
      </c>
      <c r="G290" t="s">
        <v>4218</v>
      </c>
      <c r="H290">
        <v>441314</v>
      </c>
      <c r="I290">
        <v>290798</v>
      </c>
      <c r="J290">
        <v>1</v>
      </c>
      <c r="K290">
        <v>441314</v>
      </c>
      <c r="L290">
        <v>290798</v>
      </c>
      <c r="M290">
        <v>599</v>
      </c>
    </row>
    <row r="291" spans="1:13" ht="15">
      <c r="A291" t="s">
        <v>3402</v>
      </c>
      <c r="B291" s="1040" t="str">
        <f>CONCATENATE(LEFT(RIGHT(CONCATENATE("000",IFAData_TEA_1718!A291),6),3),"-",(RIGHT(RIGHT(CONCATENATE("000",IFAData_TEA_1718!A291),6),3)))</f>
        <v>015-917</v>
      </c>
      <c r="C291" t="s">
        <v>1933</v>
      </c>
      <c r="D291">
        <v>4</v>
      </c>
      <c r="E291">
        <v>2359</v>
      </c>
      <c r="F291" t="s">
        <v>4219</v>
      </c>
      <c r="G291" t="s">
        <v>4219</v>
      </c>
      <c r="H291">
        <v>366250</v>
      </c>
      <c r="I291">
        <v>0</v>
      </c>
      <c r="J291">
        <v>0</v>
      </c>
      <c r="K291">
        <v>0</v>
      </c>
      <c r="L291">
        <v>0</v>
      </c>
      <c r="M291">
        <v>199</v>
      </c>
    </row>
    <row r="292" spans="1:13" ht="15">
      <c r="A292" t="s">
        <v>3402</v>
      </c>
      <c r="B292" s="1040" t="str">
        <f>CONCATENATE(LEFT(RIGHT(CONCATENATE("000",IFAData_TEA_1718!A292),6),3),"-",(RIGHT(RIGHT(CONCATENATE("000",IFAData_TEA_1718!A292),6),3)))</f>
        <v>015-917</v>
      </c>
      <c r="C292" t="s">
        <v>1933</v>
      </c>
      <c r="D292">
        <v>4</v>
      </c>
      <c r="E292">
        <v>2359</v>
      </c>
      <c r="F292" t="s">
        <v>4219</v>
      </c>
      <c r="G292" t="s">
        <v>4218</v>
      </c>
      <c r="H292">
        <v>366250</v>
      </c>
      <c r="I292">
        <v>333955</v>
      </c>
      <c r="J292">
        <v>1</v>
      </c>
      <c r="K292">
        <v>366250</v>
      </c>
      <c r="L292">
        <v>333955</v>
      </c>
      <c r="M292">
        <v>599</v>
      </c>
    </row>
    <row r="293" spans="1:13" ht="15">
      <c r="A293" t="s">
        <v>3402</v>
      </c>
      <c r="B293" s="1040" t="str">
        <f>CONCATENATE(LEFT(RIGHT(CONCATENATE("000",IFAData_TEA_1718!A293),6),3),"-",(RIGHT(RIGHT(CONCATENATE("000",IFAData_TEA_1718!A293),6),3)))</f>
        <v>015-917</v>
      </c>
      <c r="C293" t="s">
        <v>1933</v>
      </c>
      <c r="D293">
        <v>4</v>
      </c>
      <c r="E293">
        <v>2361</v>
      </c>
      <c r="F293" t="s">
        <v>4220</v>
      </c>
      <c r="G293" t="s">
        <v>4220</v>
      </c>
      <c r="H293">
        <v>518175</v>
      </c>
      <c r="I293">
        <v>0</v>
      </c>
      <c r="J293">
        <v>0</v>
      </c>
      <c r="K293">
        <v>0</v>
      </c>
      <c r="L293">
        <v>0</v>
      </c>
      <c r="M293">
        <v>599</v>
      </c>
    </row>
    <row r="294" spans="1:13" ht="15">
      <c r="A294" t="s">
        <v>3402</v>
      </c>
      <c r="B294" s="1040" t="str">
        <f>CONCATENATE(LEFT(RIGHT(CONCATENATE("000",IFAData_TEA_1718!A294),6),3),"-",(RIGHT(RIGHT(CONCATENATE("000",IFAData_TEA_1718!A294),6),3)))</f>
        <v>015-917</v>
      </c>
      <c r="C294" t="s">
        <v>1933</v>
      </c>
      <c r="D294">
        <v>4</v>
      </c>
      <c r="E294">
        <v>2361</v>
      </c>
      <c r="F294" t="s">
        <v>4220</v>
      </c>
      <c r="G294" t="s">
        <v>4221</v>
      </c>
      <c r="H294">
        <v>518175</v>
      </c>
      <c r="I294">
        <v>440556</v>
      </c>
      <c r="J294">
        <v>1</v>
      </c>
      <c r="K294">
        <v>518175</v>
      </c>
      <c r="L294">
        <v>440556</v>
      </c>
      <c r="M294">
        <v>599</v>
      </c>
    </row>
    <row r="295" spans="1:13" ht="15">
      <c r="A295" t="s">
        <v>3402</v>
      </c>
      <c r="B295" s="1040" t="str">
        <f>CONCATENATE(LEFT(RIGHT(CONCATENATE("000",IFAData_TEA_1718!A295),6),3),"-",(RIGHT(RIGHT(CONCATENATE("000",IFAData_TEA_1718!A295),6),3)))</f>
        <v>015-917</v>
      </c>
      <c r="C295" t="s">
        <v>1933</v>
      </c>
      <c r="D295">
        <v>6</v>
      </c>
      <c r="E295">
        <v>2363</v>
      </c>
      <c r="F295" t="s">
        <v>4222</v>
      </c>
      <c r="G295" t="s">
        <v>4222</v>
      </c>
      <c r="H295">
        <v>1121000</v>
      </c>
      <c r="I295">
        <v>0</v>
      </c>
      <c r="J295">
        <v>0</v>
      </c>
      <c r="K295">
        <v>0</v>
      </c>
      <c r="L295">
        <v>0</v>
      </c>
      <c r="M295">
        <v>599</v>
      </c>
    </row>
    <row r="296" spans="1:13" ht="15">
      <c r="A296" t="s">
        <v>3402</v>
      </c>
      <c r="B296" s="1040" t="str">
        <f>CONCATENATE(LEFT(RIGHT(CONCATENATE("000",IFAData_TEA_1718!A296),6),3),"-",(RIGHT(RIGHT(CONCATENATE("000",IFAData_TEA_1718!A296),6),3)))</f>
        <v>015-917</v>
      </c>
      <c r="C296" t="s">
        <v>1933</v>
      </c>
      <c r="D296">
        <v>6</v>
      </c>
      <c r="E296">
        <v>2363</v>
      </c>
      <c r="F296" t="s">
        <v>4222</v>
      </c>
      <c r="G296" t="s">
        <v>4223</v>
      </c>
      <c r="H296">
        <v>1121000</v>
      </c>
      <c r="I296">
        <v>351138</v>
      </c>
      <c r="J296">
        <v>0.36385924699338301</v>
      </c>
      <c r="K296">
        <v>407886.21587958199</v>
      </c>
      <c r="L296">
        <v>351138</v>
      </c>
      <c r="M296">
        <v>599</v>
      </c>
    </row>
    <row r="297" spans="1:13" ht="15">
      <c r="A297" t="s">
        <v>3402</v>
      </c>
      <c r="B297" s="1040" t="str">
        <f>CONCATENATE(LEFT(RIGHT(CONCATENATE("000",IFAData_TEA_1718!A297),6),3),"-",(RIGHT(RIGHT(CONCATENATE("000",IFAData_TEA_1718!A297),6),3)))</f>
        <v>015-917</v>
      </c>
      <c r="C297" t="s">
        <v>1933</v>
      </c>
      <c r="D297">
        <v>6</v>
      </c>
      <c r="E297">
        <v>2363</v>
      </c>
      <c r="F297" t="s">
        <v>4222</v>
      </c>
      <c r="G297" t="s">
        <v>4224</v>
      </c>
      <c r="H297">
        <v>1121000</v>
      </c>
      <c r="I297">
        <v>613900</v>
      </c>
      <c r="J297">
        <v>0.63614075300661699</v>
      </c>
      <c r="K297">
        <v>713113.78412041801</v>
      </c>
      <c r="L297">
        <v>613900</v>
      </c>
      <c r="M297">
        <v>599</v>
      </c>
    </row>
    <row r="298" spans="1:13" ht="15">
      <c r="A298" t="s">
        <v>3402</v>
      </c>
      <c r="B298" s="1040" t="str">
        <f>CONCATENATE(LEFT(RIGHT(CONCATENATE("000",IFAData_TEA_1718!A298),6),3),"-",(RIGHT(RIGHT(CONCATENATE("000",IFAData_TEA_1718!A298),6),3)))</f>
        <v>015-917</v>
      </c>
      <c r="C298" t="s">
        <v>1933</v>
      </c>
      <c r="D298">
        <v>7</v>
      </c>
      <c r="E298">
        <v>2365</v>
      </c>
      <c r="F298" t="s">
        <v>4225</v>
      </c>
      <c r="G298" t="s">
        <v>4225</v>
      </c>
      <c r="H298">
        <v>1207669</v>
      </c>
      <c r="I298">
        <v>0</v>
      </c>
      <c r="J298">
        <v>0</v>
      </c>
      <c r="K298">
        <v>0</v>
      </c>
      <c r="L298">
        <v>0</v>
      </c>
      <c r="M298">
        <v>599</v>
      </c>
    </row>
    <row r="299" spans="1:13" ht="15">
      <c r="A299" t="s">
        <v>3402</v>
      </c>
      <c r="B299" s="1040" t="str">
        <f>CONCATENATE(LEFT(RIGHT(CONCATENATE("000",IFAData_TEA_1718!A299),6),3),"-",(RIGHT(RIGHT(CONCATENATE("000",IFAData_TEA_1718!A299),6),3)))</f>
        <v>015-917</v>
      </c>
      <c r="C299" t="s">
        <v>1933</v>
      </c>
      <c r="D299">
        <v>7</v>
      </c>
      <c r="E299">
        <v>2365</v>
      </c>
      <c r="F299" t="s">
        <v>4225</v>
      </c>
      <c r="G299" t="s">
        <v>4226</v>
      </c>
      <c r="H299">
        <v>1207669</v>
      </c>
      <c r="I299">
        <v>1056913</v>
      </c>
      <c r="J299">
        <v>1</v>
      </c>
      <c r="K299">
        <v>1207669</v>
      </c>
      <c r="L299">
        <v>1056913</v>
      </c>
      <c r="M299">
        <v>599</v>
      </c>
    </row>
    <row r="300" spans="1:13" ht="15">
      <c r="A300" t="s">
        <v>3402</v>
      </c>
      <c r="B300" s="1040" t="str">
        <f>CONCATENATE(LEFT(RIGHT(CONCATENATE("000",IFAData_TEA_1718!A300),6),3),"-",(RIGHT(RIGHT(CONCATENATE("000",IFAData_TEA_1718!A300),6),3)))</f>
        <v>015-917</v>
      </c>
      <c r="C300" t="s">
        <v>1933</v>
      </c>
      <c r="D300">
        <v>8</v>
      </c>
      <c r="E300">
        <v>2364</v>
      </c>
      <c r="F300" t="s">
        <v>4227</v>
      </c>
      <c r="G300" t="s">
        <v>4227</v>
      </c>
      <c r="H300">
        <v>1193500</v>
      </c>
      <c r="I300">
        <v>716061</v>
      </c>
      <c r="J300">
        <v>0.42215948015135102</v>
      </c>
      <c r="K300">
        <v>503847.33956063801</v>
      </c>
      <c r="L300">
        <v>503847.33956063801</v>
      </c>
      <c r="M300">
        <v>599</v>
      </c>
    </row>
    <row r="301" spans="1:13" ht="15">
      <c r="A301" t="s">
        <v>3402</v>
      </c>
      <c r="B301" s="1040" t="str">
        <f>CONCATENATE(LEFT(RIGHT(CONCATENATE("000",IFAData_TEA_1718!A301),6),3),"-",(RIGHT(RIGHT(CONCATENATE("000",IFAData_TEA_1718!A301),6),3)))</f>
        <v>015-917</v>
      </c>
      <c r="C301" t="s">
        <v>1933</v>
      </c>
      <c r="D301">
        <v>8</v>
      </c>
      <c r="E301">
        <v>2364</v>
      </c>
      <c r="F301" t="s">
        <v>4227</v>
      </c>
      <c r="G301" t="s">
        <v>6413</v>
      </c>
      <c r="H301">
        <v>1193500</v>
      </c>
      <c r="I301">
        <v>345075</v>
      </c>
      <c r="J301">
        <v>0.20344172160364499</v>
      </c>
      <c r="K301">
        <v>242807.69473394999</v>
      </c>
      <c r="L301">
        <v>242807.69473394999</v>
      </c>
      <c r="M301">
        <v>599</v>
      </c>
    </row>
    <row r="302" spans="1:13" ht="15">
      <c r="A302" t="s">
        <v>3402</v>
      </c>
      <c r="B302" s="1040" t="str">
        <f>CONCATENATE(LEFT(RIGHT(CONCATENATE("000",IFAData_TEA_1718!A302),6),3),"-",(RIGHT(RIGHT(CONCATENATE("000",IFAData_TEA_1718!A302),6),3)))</f>
        <v>015-917</v>
      </c>
      <c r="C302" t="s">
        <v>1933</v>
      </c>
      <c r="D302">
        <v>8</v>
      </c>
      <c r="E302">
        <v>2364</v>
      </c>
      <c r="F302" t="s">
        <v>4227</v>
      </c>
      <c r="G302" t="s">
        <v>6412</v>
      </c>
      <c r="H302">
        <v>1193500</v>
      </c>
      <c r="I302">
        <v>635050</v>
      </c>
      <c r="J302">
        <v>0.37439879824500399</v>
      </c>
      <c r="K302">
        <v>446844.96570541197</v>
      </c>
      <c r="L302">
        <v>446844.96570541197</v>
      </c>
      <c r="M302">
        <v>599</v>
      </c>
    </row>
    <row r="303" spans="1:13" ht="15">
      <c r="A303" t="s">
        <v>3403</v>
      </c>
      <c r="B303" s="1040" t="str">
        <f>CONCATENATE(LEFT(RIGHT(CONCATENATE("000",IFAData_TEA_1718!A303),6),3),"-",(RIGHT(RIGHT(CONCATENATE("000",IFAData_TEA_1718!A303),6),3)))</f>
        <v>016-902</v>
      </c>
      <c r="C303" t="s">
        <v>798</v>
      </c>
      <c r="D303">
        <v>2</v>
      </c>
      <c r="E303">
        <v>1613</v>
      </c>
      <c r="F303" t="s">
        <v>4228</v>
      </c>
      <c r="G303" t="s">
        <v>4228</v>
      </c>
      <c r="H303">
        <v>248495</v>
      </c>
      <c r="I303">
        <v>0</v>
      </c>
      <c r="J303">
        <v>0</v>
      </c>
      <c r="K303">
        <v>0</v>
      </c>
      <c r="L303">
        <v>0</v>
      </c>
      <c r="M303">
        <v>599</v>
      </c>
    </row>
    <row r="304" spans="1:13" ht="15">
      <c r="A304" t="s">
        <v>3403</v>
      </c>
      <c r="B304" s="1040" t="str">
        <f>CONCATENATE(LEFT(RIGHT(CONCATENATE("000",IFAData_TEA_1718!A304),6),3),"-",(RIGHT(RIGHT(CONCATENATE("000",IFAData_TEA_1718!A304),6),3)))</f>
        <v>016-902</v>
      </c>
      <c r="C304" t="s">
        <v>798</v>
      </c>
      <c r="D304">
        <v>2</v>
      </c>
      <c r="E304">
        <v>1613</v>
      </c>
      <c r="F304" t="s">
        <v>4228</v>
      </c>
      <c r="G304" t="s">
        <v>4229</v>
      </c>
      <c r="H304">
        <v>248495</v>
      </c>
      <c r="I304">
        <v>0</v>
      </c>
      <c r="J304">
        <v>0</v>
      </c>
      <c r="K304">
        <v>0</v>
      </c>
      <c r="L304">
        <v>0</v>
      </c>
      <c r="M304">
        <v>599</v>
      </c>
    </row>
    <row r="305" spans="1:13" ht="15">
      <c r="A305" t="s">
        <v>3403</v>
      </c>
      <c r="B305" s="1040" t="str">
        <f>CONCATENATE(LEFT(RIGHT(CONCATENATE("000",IFAData_TEA_1718!A305),6),3),"-",(RIGHT(RIGHT(CONCATENATE("000",IFAData_TEA_1718!A305),6),3)))</f>
        <v>016-902</v>
      </c>
      <c r="C305" t="s">
        <v>798</v>
      </c>
      <c r="D305">
        <v>2</v>
      </c>
      <c r="E305">
        <v>1613</v>
      </c>
      <c r="F305" t="s">
        <v>4228</v>
      </c>
      <c r="G305" t="s">
        <v>6198</v>
      </c>
      <c r="H305">
        <v>248495</v>
      </c>
      <c r="I305">
        <v>598769</v>
      </c>
      <c r="J305">
        <v>1</v>
      </c>
      <c r="K305">
        <v>248495</v>
      </c>
      <c r="L305">
        <v>248495</v>
      </c>
      <c r="M305">
        <v>599</v>
      </c>
    </row>
    <row r="306" spans="1:13" ht="15">
      <c r="A306" t="s">
        <v>3404</v>
      </c>
      <c r="B306" s="1040" t="str">
        <f>CONCATENATE(LEFT(RIGHT(CONCATENATE("000",IFAData_TEA_1718!A306),6),3),"-",(RIGHT(RIGHT(CONCATENATE("000",IFAData_TEA_1718!A306),6),3)))</f>
        <v>018-901</v>
      </c>
      <c r="C306" t="s">
        <v>1165</v>
      </c>
      <c r="D306">
        <v>2</v>
      </c>
      <c r="E306">
        <v>1695</v>
      </c>
      <c r="F306" t="s">
        <v>4230</v>
      </c>
      <c r="G306" t="s">
        <v>4230</v>
      </c>
      <c r="H306">
        <v>314735</v>
      </c>
      <c r="I306">
        <v>0</v>
      </c>
      <c r="J306">
        <v>0</v>
      </c>
      <c r="K306">
        <v>0</v>
      </c>
      <c r="L306">
        <v>0</v>
      </c>
      <c r="M306">
        <v>599</v>
      </c>
    </row>
    <row r="307" spans="1:13" ht="15">
      <c r="A307" t="s">
        <v>3404</v>
      </c>
      <c r="B307" s="1040" t="str">
        <f>CONCATENATE(LEFT(RIGHT(CONCATENATE("000",IFAData_TEA_1718!A307),6),3),"-",(RIGHT(RIGHT(CONCATENATE("000",IFAData_TEA_1718!A307),6),3)))</f>
        <v>018-901</v>
      </c>
      <c r="C307" t="s">
        <v>1165</v>
      </c>
      <c r="D307">
        <v>2</v>
      </c>
      <c r="E307">
        <v>1695</v>
      </c>
      <c r="F307" t="s">
        <v>4230</v>
      </c>
      <c r="G307" t="s">
        <v>4231</v>
      </c>
      <c r="H307">
        <v>314735</v>
      </c>
      <c r="I307">
        <v>503350</v>
      </c>
      <c r="J307">
        <v>1</v>
      </c>
      <c r="K307">
        <v>314735</v>
      </c>
      <c r="L307">
        <v>314735</v>
      </c>
      <c r="M307">
        <v>599</v>
      </c>
    </row>
    <row r="308" spans="1:13" ht="15">
      <c r="A308" t="s">
        <v>3405</v>
      </c>
      <c r="B308" s="1040" t="str">
        <f>CONCATENATE(LEFT(RIGHT(CONCATENATE("000",IFAData_TEA_1718!A308),6),3),"-",(RIGHT(RIGHT(CONCATENATE("000",IFAData_TEA_1718!A308),6),3)))</f>
        <v>018-902</v>
      </c>
      <c r="C308" t="s">
        <v>2682</v>
      </c>
      <c r="D308">
        <v>9</v>
      </c>
      <c r="E308">
        <v>2095</v>
      </c>
      <c r="F308" t="s">
        <v>4232</v>
      </c>
      <c r="G308" t="s">
        <v>4232</v>
      </c>
      <c r="H308">
        <v>125707</v>
      </c>
      <c r="I308">
        <v>0</v>
      </c>
      <c r="J308">
        <v>0</v>
      </c>
      <c r="K308">
        <v>0</v>
      </c>
      <c r="L308">
        <v>0</v>
      </c>
      <c r="M308">
        <v>599</v>
      </c>
    </row>
    <row r="309" spans="1:13" ht="15">
      <c r="A309" t="s">
        <v>3405</v>
      </c>
      <c r="B309" s="1040" t="str">
        <f>CONCATENATE(LEFT(RIGHT(CONCATENATE("000",IFAData_TEA_1718!A309),6),3),"-",(RIGHT(RIGHT(CONCATENATE("000",IFAData_TEA_1718!A309),6),3)))</f>
        <v>018-902</v>
      </c>
      <c r="C309" t="s">
        <v>2682</v>
      </c>
      <c r="D309">
        <v>9</v>
      </c>
      <c r="E309">
        <v>2095</v>
      </c>
      <c r="F309" t="s">
        <v>4232</v>
      </c>
      <c r="G309" t="s">
        <v>4233</v>
      </c>
      <c r="H309">
        <v>125707</v>
      </c>
      <c r="I309">
        <v>83760</v>
      </c>
      <c r="J309">
        <v>0.28016001498468102</v>
      </c>
      <c r="K309">
        <v>35218.075003679303</v>
      </c>
      <c r="L309">
        <v>35218.075003679303</v>
      </c>
      <c r="M309">
        <v>599</v>
      </c>
    </row>
    <row r="310" spans="1:13" ht="15">
      <c r="A310" t="s">
        <v>3405</v>
      </c>
      <c r="B310" s="1040" t="str">
        <f>CONCATENATE(LEFT(RIGHT(CONCATENATE("000",IFAData_TEA_1718!A310),6),3),"-",(RIGHT(RIGHT(CONCATENATE("000",IFAData_TEA_1718!A310),6),3)))</f>
        <v>018-902</v>
      </c>
      <c r="C310" t="s">
        <v>2682</v>
      </c>
      <c r="D310">
        <v>9</v>
      </c>
      <c r="E310">
        <v>2095</v>
      </c>
      <c r="F310" t="s">
        <v>4232</v>
      </c>
      <c r="G310" t="s">
        <v>8324</v>
      </c>
      <c r="H310">
        <v>125707</v>
      </c>
      <c r="I310">
        <v>215212</v>
      </c>
      <c r="J310">
        <v>0.71983998501531898</v>
      </c>
      <c r="K310">
        <v>90488.924996320697</v>
      </c>
      <c r="L310">
        <v>90488.924996320697</v>
      </c>
      <c r="M310">
        <v>599</v>
      </c>
    </row>
    <row r="311" spans="1:13" ht="15">
      <c r="A311" t="s">
        <v>3406</v>
      </c>
      <c r="B311" s="1040" t="str">
        <f>CONCATENATE(LEFT(RIGHT(CONCATENATE("000",IFAData_TEA_1718!A311),6),3),"-",(RIGHT(RIGHT(CONCATENATE("000",IFAData_TEA_1718!A311),6),3)))</f>
        <v>018-904</v>
      </c>
      <c r="C311" t="s">
        <v>2684</v>
      </c>
      <c r="D311">
        <v>9</v>
      </c>
      <c r="E311">
        <v>2410</v>
      </c>
      <c r="F311" t="s">
        <v>4234</v>
      </c>
      <c r="G311" t="s">
        <v>4234</v>
      </c>
      <c r="H311">
        <v>161705</v>
      </c>
      <c r="I311">
        <v>0</v>
      </c>
      <c r="J311">
        <v>0</v>
      </c>
      <c r="K311">
        <v>0</v>
      </c>
      <c r="L311">
        <v>0</v>
      </c>
      <c r="M311">
        <v>599</v>
      </c>
    </row>
    <row r="312" spans="1:13" ht="15">
      <c r="A312" t="s">
        <v>3406</v>
      </c>
      <c r="B312" s="1040" t="str">
        <f>CONCATENATE(LEFT(RIGHT(CONCATENATE("000",IFAData_TEA_1718!A312),6),3),"-",(RIGHT(RIGHT(CONCATENATE("000",IFAData_TEA_1718!A312),6),3)))</f>
        <v>018-904</v>
      </c>
      <c r="C312" t="s">
        <v>2684</v>
      </c>
      <c r="D312">
        <v>9</v>
      </c>
      <c r="E312">
        <v>2410</v>
      </c>
      <c r="F312" t="s">
        <v>4234</v>
      </c>
      <c r="G312" t="s">
        <v>6414</v>
      </c>
      <c r="H312">
        <v>161705</v>
      </c>
      <c r="I312">
        <v>407600</v>
      </c>
      <c r="J312">
        <v>1</v>
      </c>
      <c r="K312">
        <v>161705</v>
      </c>
      <c r="L312">
        <v>161705</v>
      </c>
      <c r="M312">
        <v>599</v>
      </c>
    </row>
    <row r="313" spans="1:13" ht="15">
      <c r="A313" t="s">
        <v>4235</v>
      </c>
      <c r="B313" s="1040" t="str">
        <f>CONCATENATE(LEFT(RIGHT(CONCATENATE("000",IFAData_TEA_1718!A313),6),3),"-",(RIGHT(RIGHT(CONCATENATE("000",IFAData_TEA_1718!A313),6),3)))</f>
        <v>018-905</v>
      </c>
      <c r="C313" t="s">
        <v>2024</v>
      </c>
      <c r="D313">
        <v>5</v>
      </c>
      <c r="E313">
        <v>2435</v>
      </c>
      <c r="F313" t="s">
        <v>4236</v>
      </c>
      <c r="G313" t="s">
        <v>4236</v>
      </c>
      <c r="H313">
        <v>100000</v>
      </c>
      <c r="I313">
        <v>106782</v>
      </c>
      <c r="J313">
        <v>1</v>
      </c>
      <c r="K313">
        <v>100000</v>
      </c>
      <c r="L313">
        <v>100000</v>
      </c>
      <c r="M313">
        <v>199</v>
      </c>
    </row>
    <row r="314" spans="1:13" ht="15">
      <c r="A314" t="s">
        <v>4237</v>
      </c>
      <c r="B314" s="1040" t="str">
        <f>CONCATENATE(LEFT(RIGHT(CONCATENATE("000",IFAData_TEA_1718!A314),6),3),"-",(RIGHT(RIGHT(CONCATENATE("000",IFAData_TEA_1718!A314),6),3)))</f>
        <v>019-901</v>
      </c>
      <c r="C314" t="s">
        <v>2666</v>
      </c>
      <c r="D314">
        <v>4</v>
      </c>
      <c r="E314">
        <v>1750</v>
      </c>
      <c r="F314" t="s">
        <v>4238</v>
      </c>
      <c r="G314" t="s">
        <v>4238</v>
      </c>
      <c r="H314">
        <v>243750</v>
      </c>
      <c r="I314">
        <v>0</v>
      </c>
      <c r="J314">
        <v>0</v>
      </c>
      <c r="K314"/>
      <c r="L314">
        <v>0</v>
      </c>
      <c r="M314">
        <v>199</v>
      </c>
    </row>
    <row r="315" spans="1:13" ht="15">
      <c r="A315" t="s">
        <v>3407</v>
      </c>
      <c r="B315" s="1040" t="str">
        <f>CONCATENATE(LEFT(RIGHT(CONCATENATE("000",IFAData_TEA_1718!A315),6),3),"-",(RIGHT(RIGHT(CONCATENATE("000",IFAData_TEA_1718!A315),6),3)))</f>
        <v>019-902</v>
      </c>
      <c r="C315" t="s">
        <v>2379</v>
      </c>
      <c r="D315">
        <v>4</v>
      </c>
      <c r="E315">
        <v>1902</v>
      </c>
      <c r="F315" t="s">
        <v>4241</v>
      </c>
      <c r="G315" t="s">
        <v>4241</v>
      </c>
      <c r="H315">
        <v>271149</v>
      </c>
      <c r="I315">
        <v>0</v>
      </c>
      <c r="J315">
        <v>0</v>
      </c>
      <c r="K315">
        <v>0</v>
      </c>
      <c r="L315">
        <v>0</v>
      </c>
      <c r="M315">
        <v>599</v>
      </c>
    </row>
    <row r="316" spans="1:13" ht="15">
      <c r="A316" t="s">
        <v>3407</v>
      </c>
      <c r="B316" s="1040" t="str">
        <f>CONCATENATE(LEFT(RIGHT(CONCATENATE("000",IFAData_TEA_1718!A316),6),3),"-",(RIGHT(RIGHT(CONCATENATE("000",IFAData_TEA_1718!A316),6),3)))</f>
        <v>019-902</v>
      </c>
      <c r="C316" t="s">
        <v>2379</v>
      </c>
      <c r="D316">
        <v>4</v>
      </c>
      <c r="E316">
        <v>1902</v>
      </c>
      <c r="F316" t="s">
        <v>4241</v>
      </c>
      <c r="G316" t="s">
        <v>4242</v>
      </c>
      <c r="H316">
        <v>271149</v>
      </c>
      <c r="I316">
        <v>0</v>
      </c>
      <c r="J316">
        <v>0</v>
      </c>
      <c r="K316">
        <v>0</v>
      </c>
      <c r="L316">
        <v>0</v>
      </c>
      <c r="M316">
        <v>599</v>
      </c>
    </row>
    <row r="317" spans="1:13" ht="15">
      <c r="A317" t="s">
        <v>3407</v>
      </c>
      <c r="B317" s="1040" t="str">
        <f>CONCATENATE(LEFT(RIGHT(CONCATENATE("000",IFAData_TEA_1718!A317),6),3),"-",(RIGHT(RIGHT(CONCATENATE("000",IFAData_TEA_1718!A317),6),3)))</f>
        <v>019-902</v>
      </c>
      <c r="C317" t="s">
        <v>2379</v>
      </c>
      <c r="D317">
        <v>4</v>
      </c>
      <c r="E317">
        <v>1902</v>
      </c>
      <c r="F317" t="s">
        <v>4241</v>
      </c>
      <c r="G317" t="s">
        <v>6415</v>
      </c>
      <c r="H317">
        <v>271149</v>
      </c>
      <c r="I317">
        <v>238540</v>
      </c>
      <c r="J317">
        <v>1</v>
      </c>
      <c r="K317">
        <v>271149</v>
      </c>
      <c r="L317">
        <v>238540</v>
      </c>
      <c r="M317">
        <v>599</v>
      </c>
    </row>
    <row r="318" spans="1:13" ht="15">
      <c r="A318" t="s">
        <v>3407</v>
      </c>
      <c r="B318" s="1040" t="str">
        <f>CONCATENATE(LEFT(RIGHT(CONCATENATE("000",IFAData_TEA_1718!A318),6),3),"-",(RIGHT(RIGHT(CONCATENATE("000",IFAData_TEA_1718!A318),6),3)))</f>
        <v>019-902</v>
      </c>
      <c r="C318" t="s">
        <v>2379</v>
      </c>
      <c r="D318">
        <v>6</v>
      </c>
      <c r="E318">
        <v>1900</v>
      </c>
      <c r="F318" t="s">
        <v>4243</v>
      </c>
      <c r="G318" t="s">
        <v>4243</v>
      </c>
      <c r="H318">
        <v>233415</v>
      </c>
      <c r="I318">
        <v>0</v>
      </c>
      <c r="J318">
        <v>0</v>
      </c>
      <c r="K318">
        <v>0</v>
      </c>
      <c r="L318">
        <v>0</v>
      </c>
      <c r="M318">
        <v>599</v>
      </c>
    </row>
    <row r="319" spans="1:13" ht="15">
      <c r="A319" t="s">
        <v>3407</v>
      </c>
      <c r="B319" s="1040" t="str">
        <f>CONCATENATE(LEFT(RIGHT(CONCATENATE("000",IFAData_TEA_1718!A319),6),3),"-",(RIGHT(RIGHT(CONCATENATE("000",IFAData_TEA_1718!A319),6),3)))</f>
        <v>019-902</v>
      </c>
      <c r="C319" t="s">
        <v>2379</v>
      </c>
      <c r="D319">
        <v>6</v>
      </c>
      <c r="E319">
        <v>1900</v>
      </c>
      <c r="F319" t="s">
        <v>4243</v>
      </c>
      <c r="G319" t="s">
        <v>4244</v>
      </c>
      <c r="H319">
        <v>233415</v>
      </c>
      <c r="I319">
        <v>192000</v>
      </c>
      <c r="J319">
        <v>1</v>
      </c>
      <c r="K319">
        <v>233415</v>
      </c>
      <c r="L319">
        <v>192000</v>
      </c>
      <c r="M319">
        <v>599</v>
      </c>
    </row>
    <row r="320" spans="1:13" ht="15">
      <c r="A320" t="s">
        <v>3407</v>
      </c>
      <c r="B320" s="1040" t="str">
        <f>CONCATENATE(LEFT(RIGHT(CONCATENATE("000",IFAData_TEA_1718!A320),6),3),"-",(RIGHT(RIGHT(CONCATENATE("000",IFAData_TEA_1718!A320),6),3)))</f>
        <v>019-902</v>
      </c>
      <c r="C320" t="s">
        <v>2379</v>
      </c>
      <c r="D320">
        <v>9</v>
      </c>
      <c r="E320">
        <v>1901</v>
      </c>
      <c r="F320" t="s">
        <v>4245</v>
      </c>
      <c r="G320" t="s">
        <v>4245</v>
      </c>
      <c r="H320">
        <v>245486</v>
      </c>
      <c r="I320">
        <v>96900</v>
      </c>
      <c r="J320">
        <v>0.44282567566332498</v>
      </c>
      <c r="K320">
        <v>108707.503815887</v>
      </c>
      <c r="L320">
        <v>96900</v>
      </c>
      <c r="M320">
        <v>599</v>
      </c>
    </row>
    <row r="321" spans="1:13" ht="15">
      <c r="A321" t="s">
        <v>3407</v>
      </c>
      <c r="B321" s="1040" t="str">
        <f>CONCATENATE(LEFT(RIGHT(CONCATENATE("000",IFAData_TEA_1718!A321),6),3),"-",(RIGHT(RIGHT(CONCATENATE("000",IFAData_TEA_1718!A321),6),3)))</f>
        <v>019-902</v>
      </c>
      <c r="C321" t="s">
        <v>2379</v>
      </c>
      <c r="D321">
        <v>9</v>
      </c>
      <c r="E321">
        <v>1901</v>
      </c>
      <c r="F321" t="s">
        <v>4245</v>
      </c>
      <c r="G321" t="s">
        <v>6415</v>
      </c>
      <c r="H321">
        <v>245486</v>
      </c>
      <c r="I321">
        <v>121922</v>
      </c>
      <c r="J321">
        <v>0.55717432433667502</v>
      </c>
      <c r="K321">
        <v>136778.496184113</v>
      </c>
      <c r="L321">
        <v>121922</v>
      </c>
      <c r="M321">
        <v>599</v>
      </c>
    </row>
    <row r="322" spans="1:13" ht="15">
      <c r="A322" t="s">
        <v>3408</v>
      </c>
      <c r="B322" s="1040" t="str">
        <f>CONCATENATE(LEFT(RIGHT(CONCATENATE("000",IFAData_TEA_1718!A322),6),3),"-",(RIGHT(RIGHT(CONCATENATE("000",IFAData_TEA_1718!A322),6),3)))</f>
        <v>019-903</v>
      </c>
      <c r="C322" t="s">
        <v>2067</v>
      </c>
      <c r="D322">
        <v>5</v>
      </c>
      <c r="E322">
        <v>2076</v>
      </c>
      <c r="F322" t="s">
        <v>4246</v>
      </c>
      <c r="G322" t="s">
        <v>4246</v>
      </c>
      <c r="H322">
        <v>71216</v>
      </c>
      <c r="I322">
        <v>0</v>
      </c>
      <c r="J322">
        <v>0</v>
      </c>
      <c r="K322">
        <v>0</v>
      </c>
      <c r="L322">
        <v>0</v>
      </c>
      <c r="M322">
        <v>599</v>
      </c>
    </row>
    <row r="323" spans="1:13" ht="15">
      <c r="A323" t="s">
        <v>3408</v>
      </c>
      <c r="B323" s="1040" t="str">
        <f>CONCATENATE(LEFT(RIGHT(CONCATENATE("000",IFAData_TEA_1718!A323),6),3),"-",(RIGHT(RIGHT(CONCATENATE("000",IFAData_TEA_1718!A323),6),3)))</f>
        <v>019-903</v>
      </c>
      <c r="C323" t="s">
        <v>2067</v>
      </c>
      <c r="D323">
        <v>5</v>
      </c>
      <c r="E323">
        <v>2076</v>
      </c>
      <c r="F323" t="s">
        <v>4246</v>
      </c>
      <c r="G323" t="s">
        <v>4247</v>
      </c>
      <c r="H323">
        <v>71216</v>
      </c>
      <c r="I323">
        <v>64500</v>
      </c>
      <c r="J323">
        <v>1</v>
      </c>
      <c r="K323">
        <v>71216</v>
      </c>
      <c r="L323">
        <v>64500</v>
      </c>
      <c r="M323">
        <v>599</v>
      </c>
    </row>
    <row r="324" spans="1:13" ht="15">
      <c r="A324" t="s">
        <v>3409</v>
      </c>
      <c r="B324" s="1040" t="str">
        <f>CONCATENATE(LEFT(RIGHT(CONCATENATE("000",IFAData_TEA_1718!A324),6),3),"-",(RIGHT(RIGHT(CONCATENATE("000",IFAData_TEA_1718!A324),6),3)))</f>
        <v>019-905</v>
      </c>
      <c r="C324" t="s">
        <v>1398</v>
      </c>
      <c r="D324">
        <v>9</v>
      </c>
      <c r="E324">
        <v>2134</v>
      </c>
      <c r="F324" t="s">
        <v>4248</v>
      </c>
      <c r="G324" t="s">
        <v>4248</v>
      </c>
      <c r="H324">
        <v>323346</v>
      </c>
      <c r="I324">
        <v>110520</v>
      </c>
      <c r="J324">
        <v>0.237246803651008</v>
      </c>
      <c r="K324">
        <v>76712.804973338702</v>
      </c>
      <c r="L324">
        <v>76712.804973338702</v>
      </c>
      <c r="M324">
        <v>599</v>
      </c>
    </row>
    <row r="325" spans="1:13" ht="15">
      <c r="A325" t="s">
        <v>3409</v>
      </c>
      <c r="B325" s="1040" t="str">
        <f>CONCATENATE(LEFT(RIGHT(CONCATENATE("000",IFAData_TEA_1718!A325),6),3),"-",(RIGHT(RIGHT(CONCATENATE("000",IFAData_TEA_1718!A325),6),3)))</f>
        <v>019-905</v>
      </c>
      <c r="C325" t="s">
        <v>1398</v>
      </c>
      <c r="D325">
        <v>9</v>
      </c>
      <c r="E325">
        <v>2134</v>
      </c>
      <c r="F325" t="s">
        <v>4248</v>
      </c>
      <c r="G325" t="s">
        <v>6199</v>
      </c>
      <c r="H325">
        <v>323346</v>
      </c>
      <c r="I325">
        <v>217630</v>
      </c>
      <c r="J325">
        <v>0.46717356024763701</v>
      </c>
      <c r="K325">
        <v>151058.70201183201</v>
      </c>
      <c r="L325">
        <v>151058.70201183201</v>
      </c>
      <c r="M325">
        <v>599</v>
      </c>
    </row>
    <row r="326" spans="1:13" ht="15">
      <c r="A326" t="s">
        <v>3409</v>
      </c>
      <c r="B326" s="1040" t="str">
        <f>CONCATENATE(LEFT(RIGHT(CONCATENATE("000",IFAData_TEA_1718!A326),6),3),"-",(RIGHT(RIGHT(CONCATENATE("000",IFAData_TEA_1718!A326),6),3)))</f>
        <v>019-905</v>
      </c>
      <c r="C326" t="s">
        <v>1398</v>
      </c>
      <c r="D326">
        <v>9</v>
      </c>
      <c r="E326">
        <v>2134</v>
      </c>
      <c r="F326" t="s">
        <v>4248</v>
      </c>
      <c r="G326" t="s">
        <v>6416</v>
      </c>
      <c r="H326">
        <v>323346</v>
      </c>
      <c r="I326">
        <v>137694</v>
      </c>
      <c r="J326">
        <v>0.29557963610135601</v>
      </c>
      <c r="K326">
        <v>95574.493014829</v>
      </c>
      <c r="L326">
        <v>95574.493014829</v>
      </c>
      <c r="M326">
        <v>599</v>
      </c>
    </row>
    <row r="327" spans="1:13" ht="15">
      <c r="A327" t="s">
        <v>5775</v>
      </c>
      <c r="B327" s="1040" t="str">
        <f>CONCATENATE(LEFT(RIGHT(CONCATENATE("000",IFAData_TEA_1718!A327),6),3),"-",(RIGHT(RIGHT(CONCATENATE("000",IFAData_TEA_1718!A327),6),3)))</f>
        <v>019-907</v>
      </c>
      <c r="C327" t="s">
        <v>1400</v>
      </c>
      <c r="D327">
        <v>11</v>
      </c>
      <c r="E327">
        <v>2532</v>
      </c>
      <c r="F327" t="s">
        <v>8325</v>
      </c>
      <c r="G327" t="s">
        <v>8325</v>
      </c>
      <c r="H327">
        <v>1436162</v>
      </c>
      <c r="I327">
        <v>2453838</v>
      </c>
      <c r="J327">
        <v>1</v>
      </c>
      <c r="K327">
        <v>1436162</v>
      </c>
      <c r="L327">
        <v>1436162</v>
      </c>
      <c r="M327">
        <v>599</v>
      </c>
    </row>
    <row r="328" spans="1:13" ht="15">
      <c r="A328" t="s">
        <v>5776</v>
      </c>
      <c r="B328" s="1040" t="str">
        <f>CONCATENATE(LEFT(RIGHT(CONCATENATE("000",IFAData_TEA_1718!A328),6),3),"-",(RIGHT(RIGHT(CONCATENATE("000",IFAData_TEA_1718!A328),6),3)))</f>
        <v>019-908</v>
      </c>
      <c r="C328" t="s">
        <v>2486</v>
      </c>
      <c r="D328">
        <v>11</v>
      </c>
      <c r="E328">
        <v>2507</v>
      </c>
      <c r="F328" t="s">
        <v>8326</v>
      </c>
      <c r="G328" t="s">
        <v>8326</v>
      </c>
      <c r="H328">
        <v>590702</v>
      </c>
      <c r="I328">
        <v>891560</v>
      </c>
      <c r="J328">
        <v>1</v>
      </c>
      <c r="K328">
        <v>590702</v>
      </c>
      <c r="L328">
        <v>590702</v>
      </c>
      <c r="M328">
        <v>599</v>
      </c>
    </row>
    <row r="329" spans="1:13" ht="15">
      <c r="A329" t="s">
        <v>3410</v>
      </c>
      <c r="B329" s="1040" t="str">
        <f>CONCATENATE(LEFT(RIGHT(CONCATENATE("000",IFAData_TEA_1718!A329),6),3),"-",(RIGHT(RIGHT(CONCATENATE("000",IFAData_TEA_1718!A329),6),3)))</f>
        <v>019-909</v>
      </c>
      <c r="C329" t="s">
        <v>266</v>
      </c>
      <c r="D329">
        <v>5</v>
      </c>
      <c r="E329">
        <v>2335</v>
      </c>
      <c r="F329" t="s">
        <v>4249</v>
      </c>
      <c r="G329" t="s">
        <v>4249</v>
      </c>
      <c r="H329">
        <v>130653</v>
      </c>
      <c r="I329">
        <v>0</v>
      </c>
      <c r="J329">
        <v>0</v>
      </c>
      <c r="K329">
        <v>0</v>
      </c>
      <c r="L329">
        <v>0</v>
      </c>
      <c r="M329">
        <v>599</v>
      </c>
    </row>
    <row r="330" spans="1:13" ht="15">
      <c r="A330" t="s">
        <v>3410</v>
      </c>
      <c r="B330" s="1040" t="str">
        <f>CONCATENATE(LEFT(RIGHT(CONCATENATE("000",IFAData_TEA_1718!A330),6),3),"-",(RIGHT(RIGHT(CONCATENATE("000",IFAData_TEA_1718!A330),6),3)))</f>
        <v>019-909</v>
      </c>
      <c r="C330" t="s">
        <v>266</v>
      </c>
      <c r="D330">
        <v>5</v>
      </c>
      <c r="E330">
        <v>2335</v>
      </c>
      <c r="F330" t="s">
        <v>4249</v>
      </c>
      <c r="G330" t="s">
        <v>4250</v>
      </c>
      <c r="H330">
        <v>130653</v>
      </c>
      <c r="I330">
        <v>120300</v>
      </c>
      <c r="J330">
        <v>1</v>
      </c>
      <c r="K330">
        <v>130653</v>
      </c>
      <c r="L330">
        <v>120300</v>
      </c>
      <c r="M330">
        <v>599</v>
      </c>
    </row>
    <row r="331" spans="1:13" ht="15">
      <c r="A331" t="s">
        <v>3411</v>
      </c>
      <c r="B331" s="1040" t="str">
        <f>CONCATENATE(LEFT(RIGHT(CONCATENATE("000",IFAData_TEA_1718!A331),6),3),"-",(RIGHT(RIGHT(CONCATENATE("000",IFAData_TEA_1718!A331),6),3)))</f>
        <v>019-910</v>
      </c>
      <c r="C331" t="s">
        <v>289</v>
      </c>
      <c r="D331">
        <v>5</v>
      </c>
      <c r="E331">
        <v>2055</v>
      </c>
      <c r="F331" t="s">
        <v>4251</v>
      </c>
      <c r="G331" t="s">
        <v>4251</v>
      </c>
      <c r="H331">
        <v>82900</v>
      </c>
      <c r="I331">
        <v>0</v>
      </c>
      <c r="J331">
        <v>0</v>
      </c>
      <c r="K331">
        <v>0</v>
      </c>
      <c r="L331">
        <v>0</v>
      </c>
      <c r="M331">
        <v>599</v>
      </c>
    </row>
    <row r="332" spans="1:13" ht="15">
      <c r="A332" t="s">
        <v>3411</v>
      </c>
      <c r="B332" s="1040" t="str">
        <f>CONCATENATE(LEFT(RIGHT(CONCATENATE("000",IFAData_TEA_1718!A332),6),3),"-",(RIGHT(RIGHT(CONCATENATE("000",IFAData_TEA_1718!A332),6),3)))</f>
        <v>019-910</v>
      </c>
      <c r="C332" t="s">
        <v>289</v>
      </c>
      <c r="D332">
        <v>5</v>
      </c>
      <c r="E332">
        <v>2055</v>
      </c>
      <c r="F332" t="s">
        <v>4251</v>
      </c>
      <c r="G332" t="s">
        <v>4252</v>
      </c>
      <c r="H332">
        <v>82900</v>
      </c>
      <c r="I332">
        <v>72631</v>
      </c>
      <c r="J332">
        <v>1</v>
      </c>
      <c r="K332">
        <v>82900</v>
      </c>
      <c r="L332">
        <v>72631</v>
      </c>
      <c r="M332">
        <v>599</v>
      </c>
    </row>
    <row r="333" spans="1:13" ht="15">
      <c r="A333" t="s">
        <v>3412</v>
      </c>
      <c r="B333" s="1040" t="str">
        <f>CONCATENATE(LEFT(RIGHT(CONCATENATE("000",IFAData_TEA_1718!A333),6),3),"-",(RIGHT(RIGHT(CONCATENATE("000",IFAData_TEA_1718!A333),6),3)))</f>
        <v>020-901</v>
      </c>
      <c r="C333" t="s">
        <v>1052</v>
      </c>
      <c r="D333">
        <v>5</v>
      </c>
      <c r="E333">
        <v>1567</v>
      </c>
      <c r="F333" t="s">
        <v>4253</v>
      </c>
      <c r="G333" t="s">
        <v>4253</v>
      </c>
      <c r="H333">
        <v>532173</v>
      </c>
      <c r="I333">
        <v>0</v>
      </c>
      <c r="J333">
        <v>0</v>
      </c>
      <c r="K333">
        <v>0</v>
      </c>
      <c r="L333">
        <v>0</v>
      </c>
      <c r="M333">
        <v>599</v>
      </c>
    </row>
    <row r="334" spans="1:13" ht="15">
      <c r="A334" t="s">
        <v>3412</v>
      </c>
      <c r="B334" s="1040" t="str">
        <f>CONCATENATE(LEFT(RIGHT(CONCATENATE("000",IFAData_TEA_1718!A334),6),3),"-",(RIGHT(RIGHT(CONCATENATE("000",IFAData_TEA_1718!A334),6),3)))</f>
        <v>020-901</v>
      </c>
      <c r="C334" t="s">
        <v>1052</v>
      </c>
      <c r="D334">
        <v>5</v>
      </c>
      <c r="E334">
        <v>1567</v>
      </c>
      <c r="F334" t="s">
        <v>4253</v>
      </c>
      <c r="G334" t="s">
        <v>4254</v>
      </c>
      <c r="H334">
        <v>532173</v>
      </c>
      <c r="I334">
        <v>0</v>
      </c>
      <c r="J334">
        <v>0</v>
      </c>
      <c r="K334">
        <v>0</v>
      </c>
      <c r="L334">
        <v>0</v>
      </c>
      <c r="M334">
        <v>599</v>
      </c>
    </row>
    <row r="335" spans="1:13" ht="15">
      <c r="A335" t="s">
        <v>3412</v>
      </c>
      <c r="B335" s="1040" t="str">
        <f>CONCATENATE(LEFT(RIGHT(CONCATENATE("000",IFAData_TEA_1718!A335),6),3),"-",(RIGHT(RIGHT(CONCATENATE("000",IFAData_TEA_1718!A335),6),3)))</f>
        <v>020-901</v>
      </c>
      <c r="C335" t="s">
        <v>1052</v>
      </c>
      <c r="D335">
        <v>5</v>
      </c>
      <c r="E335">
        <v>1567</v>
      </c>
      <c r="F335" t="s">
        <v>4253</v>
      </c>
      <c r="G335" t="s">
        <v>4255</v>
      </c>
      <c r="H335">
        <v>532173</v>
      </c>
      <c r="I335">
        <v>0</v>
      </c>
      <c r="J335">
        <v>0</v>
      </c>
      <c r="K335">
        <v>0</v>
      </c>
      <c r="L335">
        <v>0</v>
      </c>
      <c r="M335">
        <v>599</v>
      </c>
    </row>
    <row r="336" spans="1:13" ht="15">
      <c r="A336" t="s">
        <v>3412</v>
      </c>
      <c r="B336" s="1040" t="str">
        <f>CONCATENATE(LEFT(RIGHT(CONCATENATE("000",IFAData_TEA_1718!A336),6),3),"-",(RIGHT(RIGHT(CONCATENATE("000",IFAData_TEA_1718!A336),6),3)))</f>
        <v>020-901</v>
      </c>
      <c r="C336" t="s">
        <v>1052</v>
      </c>
      <c r="D336">
        <v>5</v>
      </c>
      <c r="E336">
        <v>1567</v>
      </c>
      <c r="F336" t="s">
        <v>4253</v>
      </c>
      <c r="G336" t="s">
        <v>4256</v>
      </c>
      <c r="H336">
        <v>532173</v>
      </c>
      <c r="I336">
        <v>235373</v>
      </c>
      <c r="J336">
        <v>0.35527624613777697</v>
      </c>
      <c r="K336">
        <v>189068.42573587899</v>
      </c>
      <c r="L336">
        <v>189068.42573587899</v>
      </c>
      <c r="M336">
        <v>599</v>
      </c>
    </row>
    <row r="337" spans="1:13" ht="15">
      <c r="A337" t="s">
        <v>3412</v>
      </c>
      <c r="B337" s="1040" t="str">
        <f>CONCATENATE(LEFT(RIGHT(CONCATENATE("000",IFAData_TEA_1718!A337),6),3),"-",(RIGHT(RIGHT(CONCATENATE("000",IFAData_TEA_1718!A337),6),3)))</f>
        <v>020-901</v>
      </c>
      <c r="C337" t="s">
        <v>1052</v>
      </c>
      <c r="D337">
        <v>5</v>
      </c>
      <c r="E337">
        <v>1567</v>
      </c>
      <c r="F337" t="s">
        <v>4253</v>
      </c>
      <c r="G337" t="s">
        <v>6200</v>
      </c>
      <c r="H337">
        <v>532173</v>
      </c>
      <c r="I337">
        <v>373344</v>
      </c>
      <c r="J337">
        <v>0.56353215890549102</v>
      </c>
      <c r="K337">
        <v>299896.59960121202</v>
      </c>
      <c r="L337">
        <v>299896.59960121202</v>
      </c>
      <c r="M337">
        <v>599</v>
      </c>
    </row>
    <row r="338" spans="1:13" ht="15">
      <c r="A338" t="s">
        <v>3412</v>
      </c>
      <c r="B338" s="1040" t="str">
        <f>CONCATENATE(LEFT(RIGHT(CONCATENATE("000",IFAData_TEA_1718!A338),6),3),"-",(RIGHT(RIGHT(CONCATENATE("000",IFAData_TEA_1718!A338),6),3)))</f>
        <v>020-901</v>
      </c>
      <c r="C338" t="s">
        <v>1052</v>
      </c>
      <c r="D338">
        <v>5</v>
      </c>
      <c r="E338">
        <v>1567</v>
      </c>
      <c r="F338" t="s">
        <v>4253</v>
      </c>
      <c r="G338" t="s">
        <v>6418</v>
      </c>
      <c r="H338">
        <v>532173</v>
      </c>
      <c r="I338">
        <v>24674</v>
      </c>
      <c r="J338">
        <v>3.7243380069946402E-2</v>
      </c>
      <c r="K338">
        <v>19819.921301963601</v>
      </c>
      <c r="L338">
        <v>19819.921301963601</v>
      </c>
      <c r="M338">
        <v>599</v>
      </c>
    </row>
    <row r="339" spans="1:13" ht="15">
      <c r="A339" t="s">
        <v>3412</v>
      </c>
      <c r="B339" s="1040" t="str">
        <f>CONCATENATE(LEFT(RIGHT(CONCATENATE("000",IFAData_TEA_1718!A339),6),3),"-",(RIGHT(RIGHT(CONCATENATE("000",IFAData_TEA_1718!A339),6),3)))</f>
        <v>020-901</v>
      </c>
      <c r="C339" t="s">
        <v>1052</v>
      </c>
      <c r="D339">
        <v>5</v>
      </c>
      <c r="E339">
        <v>1567</v>
      </c>
      <c r="F339" t="s">
        <v>4253</v>
      </c>
      <c r="G339" t="s">
        <v>6417</v>
      </c>
      <c r="H339">
        <v>532173</v>
      </c>
      <c r="I339">
        <v>29116</v>
      </c>
      <c r="J339">
        <v>4.3948214886786102E-2</v>
      </c>
      <c r="K339">
        <v>23388.0533609456</v>
      </c>
      <c r="L339">
        <v>23388.0533609456</v>
      </c>
      <c r="M339">
        <v>599</v>
      </c>
    </row>
    <row r="340" spans="1:13" ht="15">
      <c r="A340" t="s">
        <v>3412</v>
      </c>
      <c r="B340" s="1040" t="str">
        <f>CONCATENATE(LEFT(RIGHT(CONCATENATE("000",IFAData_TEA_1718!A340),6),3),"-",(RIGHT(RIGHT(CONCATENATE("000",IFAData_TEA_1718!A340),6),3)))</f>
        <v>020-901</v>
      </c>
      <c r="C340" t="s">
        <v>1052</v>
      </c>
      <c r="D340">
        <v>5</v>
      </c>
      <c r="E340">
        <v>1566</v>
      </c>
      <c r="F340" t="s">
        <v>4257</v>
      </c>
      <c r="G340" t="s">
        <v>4257</v>
      </c>
      <c r="H340">
        <v>348271</v>
      </c>
      <c r="I340">
        <v>182626</v>
      </c>
      <c r="J340">
        <v>0.28773412488340999</v>
      </c>
      <c r="K340">
        <v>100209.45140727</v>
      </c>
      <c r="L340">
        <v>100209.45140727</v>
      </c>
      <c r="M340">
        <v>599</v>
      </c>
    </row>
    <row r="341" spans="1:13" ht="15">
      <c r="A341" t="s">
        <v>3412</v>
      </c>
      <c r="B341" s="1040" t="str">
        <f>CONCATENATE(LEFT(RIGHT(CONCATENATE("000",IFAData_TEA_1718!A341),6),3),"-",(RIGHT(RIGHT(CONCATENATE("000",IFAData_TEA_1718!A341),6),3)))</f>
        <v>020-901</v>
      </c>
      <c r="C341" t="s">
        <v>1052</v>
      </c>
      <c r="D341">
        <v>5</v>
      </c>
      <c r="E341">
        <v>1566</v>
      </c>
      <c r="F341" t="s">
        <v>4257</v>
      </c>
      <c r="G341" t="s">
        <v>4254</v>
      </c>
      <c r="H341">
        <v>348271</v>
      </c>
      <c r="I341">
        <v>0</v>
      </c>
      <c r="J341">
        <v>0</v>
      </c>
      <c r="K341">
        <v>0</v>
      </c>
      <c r="L341">
        <v>0</v>
      </c>
      <c r="M341">
        <v>599</v>
      </c>
    </row>
    <row r="342" spans="1:13" ht="15">
      <c r="A342" t="s">
        <v>3412</v>
      </c>
      <c r="B342" s="1040" t="str">
        <f>CONCATENATE(LEFT(RIGHT(CONCATENATE("000",IFAData_TEA_1718!A342),6),3),"-",(RIGHT(RIGHT(CONCATENATE("000",IFAData_TEA_1718!A342),6),3)))</f>
        <v>020-901</v>
      </c>
      <c r="C342" t="s">
        <v>1052</v>
      </c>
      <c r="D342">
        <v>5</v>
      </c>
      <c r="E342">
        <v>1566</v>
      </c>
      <c r="F342" t="s">
        <v>4257</v>
      </c>
      <c r="G342" t="s">
        <v>4256</v>
      </c>
      <c r="H342">
        <v>348271</v>
      </c>
      <c r="I342">
        <v>337537</v>
      </c>
      <c r="J342">
        <v>0.53180222591948401</v>
      </c>
      <c r="K342">
        <v>185211.29302320399</v>
      </c>
      <c r="L342">
        <v>185211.29302320399</v>
      </c>
      <c r="M342">
        <v>599</v>
      </c>
    </row>
    <row r="343" spans="1:13" ht="15">
      <c r="A343" t="s">
        <v>3412</v>
      </c>
      <c r="B343" s="1040" t="str">
        <f>CONCATENATE(LEFT(RIGHT(CONCATENATE("000",IFAData_TEA_1718!A343),6),3),"-",(RIGHT(RIGHT(CONCATENATE("000",IFAData_TEA_1718!A343),6),3)))</f>
        <v>020-901</v>
      </c>
      <c r="C343" t="s">
        <v>1052</v>
      </c>
      <c r="D343">
        <v>5</v>
      </c>
      <c r="E343">
        <v>1566</v>
      </c>
      <c r="F343" t="s">
        <v>4257</v>
      </c>
      <c r="G343" t="s">
        <v>6200</v>
      </c>
      <c r="H343">
        <v>348271</v>
      </c>
      <c r="I343">
        <v>114541</v>
      </c>
      <c r="J343">
        <v>0.180463649197106</v>
      </c>
      <c r="K343">
        <v>62850.255569525303</v>
      </c>
      <c r="L343">
        <v>62850.255569525303</v>
      </c>
      <c r="M343">
        <v>599</v>
      </c>
    </row>
    <row r="344" spans="1:13" ht="15">
      <c r="A344" t="s">
        <v>3412</v>
      </c>
      <c r="B344" s="1040" t="str">
        <f>CONCATENATE(LEFT(RIGHT(CONCATENATE("000",IFAData_TEA_1718!A344),6),3),"-",(RIGHT(RIGHT(CONCATENATE("000",IFAData_TEA_1718!A344),6),3)))</f>
        <v>020-901</v>
      </c>
      <c r="C344" t="s">
        <v>1052</v>
      </c>
      <c r="D344">
        <v>6</v>
      </c>
      <c r="E344">
        <v>1565</v>
      </c>
      <c r="F344" t="s">
        <v>4258</v>
      </c>
      <c r="G344" t="s">
        <v>4258</v>
      </c>
      <c r="H344">
        <v>310452</v>
      </c>
      <c r="I344">
        <v>0</v>
      </c>
      <c r="J344">
        <v>0</v>
      </c>
      <c r="K344">
        <v>0</v>
      </c>
      <c r="L344">
        <v>0</v>
      </c>
      <c r="M344">
        <v>599</v>
      </c>
    </row>
    <row r="345" spans="1:13" ht="15">
      <c r="A345" t="s">
        <v>3412</v>
      </c>
      <c r="B345" s="1040" t="str">
        <f>CONCATENATE(LEFT(RIGHT(CONCATENATE("000",IFAData_TEA_1718!A345),6),3),"-",(RIGHT(RIGHT(CONCATENATE("000",IFAData_TEA_1718!A345),6),3)))</f>
        <v>020-901</v>
      </c>
      <c r="C345" t="s">
        <v>1052</v>
      </c>
      <c r="D345">
        <v>6</v>
      </c>
      <c r="E345">
        <v>1565</v>
      </c>
      <c r="F345" t="s">
        <v>4258</v>
      </c>
      <c r="G345" t="s">
        <v>4255</v>
      </c>
      <c r="H345">
        <v>310452</v>
      </c>
      <c r="I345">
        <v>93051</v>
      </c>
      <c r="J345">
        <v>0.108541246980299</v>
      </c>
      <c r="K345">
        <v>33696.847207527899</v>
      </c>
      <c r="L345">
        <v>33696.847207527899</v>
      </c>
      <c r="M345">
        <v>599</v>
      </c>
    </row>
    <row r="346" spans="1:13" ht="15">
      <c r="A346" t="s">
        <v>3412</v>
      </c>
      <c r="B346" s="1040" t="str">
        <f>CONCATENATE(LEFT(RIGHT(CONCATENATE("000",IFAData_TEA_1718!A346),6),3),"-",(RIGHT(RIGHT(CONCATENATE("000",IFAData_TEA_1718!A346),6),3)))</f>
        <v>020-901</v>
      </c>
      <c r="C346" t="s">
        <v>1052</v>
      </c>
      <c r="D346">
        <v>6</v>
      </c>
      <c r="E346">
        <v>1565</v>
      </c>
      <c r="F346" t="s">
        <v>4258</v>
      </c>
      <c r="G346" t="s">
        <v>4259</v>
      </c>
      <c r="H346">
        <v>310452</v>
      </c>
      <c r="I346">
        <v>595122</v>
      </c>
      <c r="J346">
        <v>0.69419226000161005</v>
      </c>
      <c r="K346">
        <v>215513.37550202</v>
      </c>
      <c r="L346">
        <v>215513.37550202</v>
      </c>
      <c r="M346">
        <v>599</v>
      </c>
    </row>
    <row r="347" spans="1:13" ht="15">
      <c r="A347" t="s">
        <v>3412</v>
      </c>
      <c r="B347" s="1040" t="str">
        <f>CONCATENATE(LEFT(RIGHT(CONCATENATE("000",IFAData_TEA_1718!A347),6),3),"-",(RIGHT(RIGHT(CONCATENATE("000",IFAData_TEA_1718!A347),6),3)))</f>
        <v>020-901</v>
      </c>
      <c r="C347" t="s">
        <v>1052</v>
      </c>
      <c r="D347">
        <v>6</v>
      </c>
      <c r="E347">
        <v>1565</v>
      </c>
      <c r="F347" t="s">
        <v>4258</v>
      </c>
      <c r="G347" t="s">
        <v>6200</v>
      </c>
      <c r="H347">
        <v>310452</v>
      </c>
      <c r="I347">
        <v>142918</v>
      </c>
      <c r="J347">
        <v>0.166709631663609</v>
      </c>
      <c r="K347">
        <v>51755.338569230596</v>
      </c>
      <c r="L347">
        <v>51755.338569230596</v>
      </c>
      <c r="M347">
        <v>599</v>
      </c>
    </row>
    <row r="348" spans="1:13" ht="15">
      <c r="A348" t="s">
        <v>3412</v>
      </c>
      <c r="B348" s="1040" t="str">
        <f>CONCATENATE(LEFT(RIGHT(CONCATENATE("000",IFAData_TEA_1718!A348),6),3),"-",(RIGHT(RIGHT(CONCATENATE("000",IFAData_TEA_1718!A348),6),3)))</f>
        <v>020-901</v>
      </c>
      <c r="C348" t="s">
        <v>1052</v>
      </c>
      <c r="D348">
        <v>6</v>
      </c>
      <c r="E348">
        <v>1565</v>
      </c>
      <c r="F348" t="s">
        <v>4258</v>
      </c>
      <c r="G348" t="s">
        <v>6418</v>
      </c>
      <c r="H348">
        <v>310452</v>
      </c>
      <c r="I348">
        <v>12016</v>
      </c>
      <c r="J348">
        <v>1.40163095906038E-2</v>
      </c>
      <c r="K348">
        <v>4351.3913450221498</v>
      </c>
      <c r="L348">
        <v>4351.3913450221498</v>
      </c>
      <c r="M348">
        <v>599</v>
      </c>
    </row>
    <row r="349" spans="1:13" ht="15">
      <c r="A349" t="s">
        <v>3412</v>
      </c>
      <c r="B349" s="1040" t="str">
        <f>CONCATENATE(LEFT(RIGHT(CONCATENATE("000",IFAData_TEA_1718!A349),6),3),"-",(RIGHT(RIGHT(CONCATENATE("000",IFAData_TEA_1718!A349),6),3)))</f>
        <v>020-901</v>
      </c>
      <c r="C349" t="s">
        <v>1052</v>
      </c>
      <c r="D349">
        <v>6</v>
      </c>
      <c r="E349">
        <v>1565</v>
      </c>
      <c r="F349" t="s">
        <v>4258</v>
      </c>
      <c r="G349" t="s">
        <v>6417</v>
      </c>
      <c r="H349">
        <v>310452</v>
      </c>
      <c r="I349">
        <v>14180</v>
      </c>
      <c r="J349">
        <v>1.6540551763878399E-2</v>
      </c>
      <c r="K349">
        <v>5135.04737619957</v>
      </c>
      <c r="L349">
        <v>5135.04737619957</v>
      </c>
      <c r="M349">
        <v>599</v>
      </c>
    </row>
    <row r="350" spans="1:13" ht="15">
      <c r="A350" t="s">
        <v>3412</v>
      </c>
      <c r="B350" s="1040" t="str">
        <f>CONCATENATE(LEFT(RIGHT(CONCATENATE("000",IFAData_TEA_1718!A350),6),3),"-",(RIGHT(RIGHT(CONCATENATE("000",IFAData_TEA_1718!A350),6),3)))</f>
        <v>020-901</v>
      </c>
      <c r="C350" t="s">
        <v>1052</v>
      </c>
      <c r="D350">
        <v>10</v>
      </c>
      <c r="E350">
        <v>1568</v>
      </c>
      <c r="F350" t="s">
        <v>4260</v>
      </c>
      <c r="G350" t="s">
        <v>4260</v>
      </c>
      <c r="H350">
        <v>750900</v>
      </c>
      <c r="I350">
        <v>835127</v>
      </c>
      <c r="J350">
        <v>1</v>
      </c>
      <c r="K350">
        <v>750900</v>
      </c>
      <c r="L350">
        <v>750900</v>
      </c>
      <c r="M350">
        <v>599</v>
      </c>
    </row>
    <row r="351" spans="1:13" ht="15">
      <c r="A351" t="s">
        <v>3412</v>
      </c>
      <c r="B351" s="1040" t="str">
        <f>CONCATENATE(LEFT(RIGHT(CONCATENATE("000",IFAData_TEA_1718!A351),6),3),"-",(RIGHT(RIGHT(CONCATENATE("000",IFAData_TEA_1718!A351),6),3)))</f>
        <v>020-901</v>
      </c>
      <c r="C351" t="s">
        <v>1052</v>
      </c>
      <c r="D351">
        <v>11</v>
      </c>
      <c r="E351">
        <v>2501</v>
      </c>
      <c r="F351" t="s">
        <v>6417</v>
      </c>
      <c r="G351" t="s">
        <v>6417</v>
      </c>
      <c r="H351">
        <v>2121839</v>
      </c>
      <c r="I351">
        <v>3626029</v>
      </c>
      <c r="J351">
        <v>1</v>
      </c>
      <c r="K351">
        <v>2121839</v>
      </c>
      <c r="L351">
        <v>2121839</v>
      </c>
      <c r="M351">
        <v>599</v>
      </c>
    </row>
    <row r="352" spans="1:13" ht="15">
      <c r="A352" t="s">
        <v>3412</v>
      </c>
      <c r="B352" s="1040" t="str">
        <f>CONCATENATE(LEFT(RIGHT(CONCATENATE("000",IFAData_TEA_1718!A352),6),3),"-",(RIGHT(RIGHT(CONCATENATE("000",IFAData_TEA_1718!A352),6),3)))</f>
        <v>020-901</v>
      </c>
      <c r="C352" t="s">
        <v>1052</v>
      </c>
      <c r="D352">
        <v>11</v>
      </c>
      <c r="E352">
        <v>2500</v>
      </c>
      <c r="F352" t="s">
        <v>8327</v>
      </c>
      <c r="G352" t="s">
        <v>8327</v>
      </c>
      <c r="H352">
        <v>3082328</v>
      </c>
      <c r="I352">
        <v>2764331</v>
      </c>
      <c r="J352">
        <v>1</v>
      </c>
      <c r="K352">
        <v>3082328</v>
      </c>
      <c r="L352">
        <v>2764331</v>
      </c>
      <c r="M352">
        <v>599</v>
      </c>
    </row>
    <row r="353" spans="1:13" ht="15">
      <c r="A353" t="s">
        <v>3413</v>
      </c>
      <c r="B353" s="1040" t="str">
        <f>CONCATENATE(LEFT(RIGHT(CONCATENATE("000",IFAData_TEA_1718!A353),6),3),"-",(RIGHT(RIGHT(CONCATENATE("000",IFAData_TEA_1718!A353),6),3)))</f>
        <v>020-904</v>
      </c>
      <c r="C353" t="s">
        <v>2662</v>
      </c>
      <c r="D353">
        <v>4</v>
      </c>
      <c r="E353">
        <v>1744</v>
      </c>
      <c r="F353" t="s">
        <v>4261</v>
      </c>
      <c r="G353" t="s">
        <v>4261</v>
      </c>
      <c r="H353">
        <v>187870</v>
      </c>
      <c r="I353">
        <v>0</v>
      </c>
      <c r="J353">
        <v>0</v>
      </c>
      <c r="K353">
        <v>0</v>
      </c>
      <c r="L353">
        <v>0</v>
      </c>
      <c r="M353">
        <v>599</v>
      </c>
    </row>
    <row r="354" spans="1:13" ht="15">
      <c r="A354" t="s">
        <v>3413</v>
      </c>
      <c r="B354" s="1040" t="str">
        <f>CONCATENATE(LEFT(RIGHT(CONCATENATE("000",IFAData_TEA_1718!A354),6),3),"-",(RIGHT(RIGHT(CONCATENATE("000",IFAData_TEA_1718!A354),6),3)))</f>
        <v>020-904</v>
      </c>
      <c r="C354" t="s">
        <v>2662</v>
      </c>
      <c r="D354">
        <v>4</v>
      </c>
      <c r="E354">
        <v>1744</v>
      </c>
      <c r="F354" t="s">
        <v>4261</v>
      </c>
      <c r="G354" t="s">
        <v>4262</v>
      </c>
      <c r="H354">
        <v>187870</v>
      </c>
      <c r="I354">
        <v>0</v>
      </c>
      <c r="J354">
        <v>0</v>
      </c>
      <c r="K354">
        <v>0</v>
      </c>
      <c r="L354">
        <v>0</v>
      </c>
      <c r="M354">
        <v>599</v>
      </c>
    </row>
    <row r="355" spans="1:13" ht="15">
      <c r="A355" t="s">
        <v>3413</v>
      </c>
      <c r="B355" s="1040" t="str">
        <f>CONCATENATE(LEFT(RIGHT(CONCATENATE("000",IFAData_TEA_1718!A355),6),3),"-",(RIGHT(RIGHT(CONCATENATE("000",IFAData_TEA_1718!A355),6),3)))</f>
        <v>020-904</v>
      </c>
      <c r="C355" t="s">
        <v>2662</v>
      </c>
      <c r="D355">
        <v>4</v>
      </c>
      <c r="E355">
        <v>1744</v>
      </c>
      <c r="F355" t="s">
        <v>4261</v>
      </c>
      <c r="G355" t="s">
        <v>6419</v>
      </c>
      <c r="H355">
        <v>187870</v>
      </c>
      <c r="I355">
        <v>196485</v>
      </c>
      <c r="J355">
        <v>1</v>
      </c>
      <c r="K355">
        <v>187870</v>
      </c>
      <c r="L355">
        <v>187870</v>
      </c>
      <c r="M355">
        <v>599</v>
      </c>
    </row>
    <row r="356" spans="1:13" ht="15">
      <c r="A356" t="s">
        <v>3414</v>
      </c>
      <c r="B356" s="1040" t="str">
        <f>CONCATENATE(LEFT(RIGHT(CONCATENATE("000",IFAData_TEA_1718!A356),6),3),"-",(RIGHT(RIGHT(CONCATENATE("000",IFAData_TEA_1718!A356),6),3)))</f>
        <v>020-907</v>
      </c>
      <c r="C356" t="s">
        <v>1548</v>
      </c>
      <c r="D356">
        <v>3</v>
      </c>
      <c r="E356">
        <v>1708</v>
      </c>
      <c r="F356" t="s">
        <v>4263</v>
      </c>
      <c r="G356" t="s">
        <v>4263</v>
      </c>
      <c r="H356">
        <v>361373</v>
      </c>
      <c r="I356">
        <v>0</v>
      </c>
      <c r="J356">
        <v>0</v>
      </c>
      <c r="K356">
        <v>0</v>
      </c>
      <c r="L356">
        <v>0</v>
      </c>
      <c r="M356">
        <v>599</v>
      </c>
    </row>
    <row r="357" spans="1:13" ht="15">
      <c r="A357" t="s">
        <v>3414</v>
      </c>
      <c r="B357" s="1040" t="str">
        <f>CONCATENATE(LEFT(RIGHT(CONCATENATE("000",IFAData_TEA_1718!A357),6),3),"-",(RIGHT(RIGHT(CONCATENATE("000",IFAData_TEA_1718!A357),6),3)))</f>
        <v>020-907</v>
      </c>
      <c r="C357" t="s">
        <v>1548</v>
      </c>
      <c r="D357">
        <v>3</v>
      </c>
      <c r="E357">
        <v>1708</v>
      </c>
      <c r="F357" t="s">
        <v>4263</v>
      </c>
      <c r="G357" t="s">
        <v>4264</v>
      </c>
      <c r="H357">
        <v>361373</v>
      </c>
      <c r="I357">
        <v>0</v>
      </c>
      <c r="J357">
        <v>0</v>
      </c>
      <c r="K357">
        <v>0</v>
      </c>
      <c r="L357">
        <v>0</v>
      </c>
      <c r="M357">
        <v>599</v>
      </c>
    </row>
    <row r="358" spans="1:13" ht="15">
      <c r="A358" t="s">
        <v>3414</v>
      </c>
      <c r="B358" s="1040" t="str">
        <f>CONCATENATE(LEFT(RIGHT(CONCATENATE("000",IFAData_TEA_1718!A358),6),3),"-",(RIGHT(RIGHT(CONCATENATE("000",IFAData_TEA_1718!A358),6),3)))</f>
        <v>020-907</v>
      </c>
      <c r="C358" t="s">
        <v>1548</v>
      </c>
      <c r="D358">
        <v>3</v>
      </c>
      <c r="E358">
        <v>1708</v>
      </c>
      <c r="F358" t="s">
        <v>4263</v>
      </c>
      <c r="G358" t="s">
        <v>4265</v>
      </c>
      <c r="H358">
        <v>361373</v>
      </c>
      <c r="I358">
        <v>0</v>
      </c>
      <c r="J358">
        <v>0</v>
      </c>
      <c r="K358">
        <v>0</v>
      </c>
      <c r="L358">
        <v>0</v>
      </c>
      <c r="M358">
        <v>599</v>
      </c>
    </row>
    <row r="359" spans="1:13" ht="15">
      <c r="A359" t="s">
        <v>3414</v>
      </c>
      <c r="B359" s="1040" t="str">
        <f>CONCATENATE(LEFT(RIGHT(CONCATENATE("000",IFAData_TEA_1718!A359),6),3),"-",(RIGHT(RIGHT(CONCATENATE("000",IFAData_TEA_1718!A359),6),3)))</f>
        <v>020-907</v>
      </c>
      <c r="C359" t="s">
        <v>1548</v>
      </c>
      <c r="D359">
        <v>3</v>
      </c>
      <c r="E359">
        <v>1708</v>
      </c>
      <c r="F359" t="s">
        <v>4263</v>
      </c>
      <c r="G359" t="s">
        <v>6420</v>
      </c>
      <c r="H359">
        <v>361373</v>
      </c>
      <c r="I359">
        <v>350544</v>
      </c>
      <c r="J359">
        <v>1</v>
      </c>
      <c r="K359">
        <v>361373</v>
      </c>
      <c r="L359">
        <v>350544</v>
      </c>
      <c r="M359">
        <v>599</v>
      </c>
    </row>
    <row r="360" spans="1:13" ht="15">
      <c r="A360" t="s">
        <v>3415</v>
      </c>
      <c r="B360" s="1040" t="str">
        <f>CONCATENATE(LEFT(RIGHT(CONCATENATE("000",IFAData_TEA_1718!A360),6),3),"-",(RIGHT(RIGHT(CONCATENATE("000",IFAData_TEA_1718!A360),6),3)))</f>
        <v>020-908</v>
      </c>
      <c r="C360" t="s">
        <v>273</v>
      </c>
      <c r="D360">
        <v>1</v>
      </c>
      <c r="E360">
        <v>2180</v>
      </c>
      <c r="F360" t="s">
        <v>4266</v>
      </c>
      <c r="G360" t="s">
        <v>4266</v>
      </c>
      <c r="H360">
        <v>1598791</v>
      </c>
      <c r="I360">
        <v>0</v>
      </c>
      <c r="J360">
        <v>0</v>
      </c>
      <c r="K360">
        <v>0</v>
      </c>
      <c r="L360">
        <v>0</v>
      </c>
      <c r="M360">
        <v>599</v>
      </c>
    </row>
    <row r="361" spans="1:13" ht="15">
      <c r="A361" t="s">
        <v>3415</v>
      </c>
      <c r="B361" s="1040" t="str">
        <f>CONCATENATE(LEFT(RIGHT(CONCATENATE("000",IFAData_TEA_1718!A361),6),3),"-",(RIGHT(RIGHT(CONCATENATE("000",IFAData_TEA_1718!A361),6),3)))</f>
        <v>020-908</v>
      </c>
      <c r="C361" t="s">
        <v>273</v>
      </c>
      <c r="D361">
        <v>1</v>
      </c>
      <c r="E361">
        <v>2180</v>
      </c>
      <c r="F361" t="s">
        <v>4266</v>
      </c>
      <c r="G361" t="s">
        <v>4267</v>
      </c>
      <c r="H361">
        <v>1598791</v>
      </c>
      <c r="I361">
        <v>0</v>
      </c>
      <c r="J361">
        <v>0</v>
      </c>
      <c r="K361">
        <v>0</v>
      </c>
      <c r="L361">
        <v>0</v>
      </c>
      <c r="M361">
        <v>599</v>
      </c>
    </row>
    <row r="362" spans="1:13" ht="15">
      <c r="A362" t="s">
        <v>3415</v>
      </c>
      <c r="B362" s="1040" t="str">
        <f>CONCATENATE(LEFT(RIGHT(CONCATENATE("000",IFAData_TEA_1718!A362),6),3),"-",(RIGHT(RIGHT(CONCATENATE("000",IFAData_TEA_1718!A362),6),3)))</f>
        <v>020-908</v>
      </c>
      <c r="C362" t="s">
        <v>273</v>
      </c>
      <c r="D362">
        <v>1</v>
      </c>
      <c r="E362">
        <v>2180</v>
      </c>
      <c r="F362" t="s">
        <v>4266</v>
      </c>
      <c r="G362" t="s">
        <v>4268</v>
      </c>
      <c r="H362">
        <v>1598791</v>
      </c>
      <c r="I362">
        <v>0</v>
      </c>
      <c r="J362">
        <v>0</v>
      </c>
      <c r="K362">
        <v>0</v>
      </c>
      <c r="L362">
        <v>0</v>
      </c>
      <c r="M362">
        <v>599</v>
      </c>
    </row>
    <row r="363" spans="1:13" ht="15">
      <c r="A363" t="s">
        <v>3415</v>
      </c>
      <c r="B363" s="1040" t="str">
        <f>CONCATENATE(LEFT(RIGHT(CONCATENATE("000",IFAData_TEA_1718!A363),6),3),"-",(RIGHT(RIGHT(CONCATENATE("000",IFAData_TEA_1718!A363),6),3)))</f>
        <v>020-908</v>
      </c>
      <c r="C363" t="s">
        <v>273</v>
      </c>
      <c r="D363">
        <v>1</v>
      </c>
      <c r="E363">
        <v>2180</v>
      </c>
      <c r="F363" t="s">
        <v>4266</v>
      </c>
      <c r="G363" t="s">
        <v>4269</v>
      </c>
      <c r="H363">
        <v>1598791</v>
      </c>
      <c r="I363">
        <v>0</v>
      </c>
      <c r="J363">
        <v>0</v>
      </c>
      <c r="K363">
        <v>0</v>
      </c>
      <c r="L363">
        <v>0</v>
      </c>
      <c r="M363">
        <v>599</v>
      </c>
    </row>
    <row r="364" spans="1:13" ht="15">
      <c r="A364" t="s">
        <v>3415</v>
      </c>
      <c r="B364" s="1040" t="str">
        <f>CONCATENATE(LEFT(RIGHT(CONCATENATE("000",IFAData_TEA_1718!A364),6),3),"-",(RIGHT(RIGHT(CONCATENATE("000",IFAData_TEA_1718!A364),6),3)))</f>
        <v>020-908</v>
      </c>
      <c r="C364" t="s">
        <v>273</v>
      </c>
      <c r="D364">
        <v>1</v>
      </c>
      <c r="E364">
        <v>2180</v>
      </c>
      <c r="F364" t="s">
        <v>4266</v>
      </c>
      <c r="G364" t="s">
        <v>4270</v>
      </c>
      <c r="H364">
        <v>1598791</v>
      </c>
      <c r="I364">
        <v>233121</v>
      </c>
      <c r="J364">
        <v>0.21004654666289399</v>
      </c>
      <c r="K364">
        <v>335820.52838571602</v>
      </c>
      <c r="L364">
        <v>233121</v>
      </c>
      <c r="M364">
        <v>599</v>
      </c>
    </row>
    <row r="365" spans="1:13" ht="15">
      <c r="A365" t="s">
        <v>3415</v>
      </c>
      <c r="B365" s="1040" t="str">
        <f>CONCATENATE(LEFT(RIGHT(CONCATENATE("000",IFAData_TEA_1718!A365),6),3),"-",(RIGHT(RIGHT(CONCATENATE("000",IFAData_TEA_1718!A365),6),3)))</f>
        <v>020-908</v>
      </c>
      <c r="C365" t="s">
        <v>273</v>
      </c>
      <c r="D365">
        <v>1</v>
      </c>
      <c r="E365">
        <v>2180</v>
      </c>
      <c r="F365" t="s">
        <v>4266</v>
      </c>
      <c r="G365" t="s">
        <v>4271</v>
      </c>
      <c r="H365">
        <v>1598791</v>
      </c>
      <c r="I365">
        <v>51086</v>
      </c>
      <c r="J365">
        <v>4.6029477751127597E-2</v>
      </c>
      <c r="K365">
        <v>73591.5147632031</v>
      </c>
      <c r="L365">
        <v>51086</v>
      </c>
      <c r="M365">
        <v>599</v>
      </c>
    </row>
    <row r="366" spans="1:13" ht="15">
      <c r="A366" t="s">
        <v>3415</v>
      </c>
      <c r="B366" s="1040" t="str">
        <f>CONCATENATE(LEFT(RIGHT(CONCATENATE("000",IFAData_TEA_1718!A366),6),3),"-",(RIGHT(RIGHT(CONCATENATE("000",IFAData_TEA_1718!A366),6),3)))</f>
        <v>020-908</v>
      </c>
      <c r="C366" t="s">
        <v>273</v>
      </c>
      <c r="D366">
        <v>1</v>
      </c>
      <c r="E366">
        <v>2180</v>
      </c>
      <c r="F366" t="s">
        <v>4266</v>
      </c>
      <c r="G366" t="s">
        <v>6201</v>
      </c>
      <c r="H366">
        <v>1598791</v>
      </c>
      <c r="I366">
        <v>5241</v>
      </c>
      <c r="J366">
        <v>4.7222427454421904E-3</v>
      </c>
      <c r="K366">
        <v>7549.8792012282702</v>
      </c>
      <c r="L366">
        <v>5241</v>
      </c>
      <c r="M366">
        <v>599</v>
      </c>
    </row>
    <row r="367" spans="1:13" ht="15">
      <c r="A367" t="s">
        <v>3415</v>
      </c>
      <c r="B367" s="1040" t="str">
        <f>CONCATENATE(LEFT(RIGHT(CONCATENATE("000",IFAData_TEA_1718!A367),6),3),"-",(RIGHT(RIGHT(CONCATENATE("000",IFAData_TEA_1718!A367),6),3)))</f>
        <v>020-908</v>
      </c>
      <c r="C367" t="s">
        <v>273</v>
      </c>
      <c r="D367">
        <v>1</v>
      </c>
      <c r="E367">
        <v>2180</v>
      </c>
      <c r="F367" t="s">
        <v>4266</v>
      </c>
      <c r="G367" t="s">
        <v>4272</v>
      </c>
      <c r="H367">
        <v>1598791</v>
      </c>
      <c r="I367">
        <v>201986</v>
      </c>
      <c r="J367">
        <v>0.181993307227798</v>
      </c>
      <c r="K367">
        <v>290969.261656038</v>
      </c>
      <c r="L367">
        <v>201986</v>
      </c>
      <c r="M367">
        <v>599</v>
      </c>
    </row>
    <row r="368" spans="1:13" ht="15">
      <c r="A368" t="s">
        <v>3415</v>
      </c>
      <c r="B368" s="1040" t="str">
        <f>CONCATENATE(LEFT(RIGHT(CONCATENATE("000",IFAData_TEA_1718!A368),6),3),"-",(RIGHT(RIGHT(CONCATENATE("000",IFAData_TEA_1718!A368),6),3)))</f>
        <v>020-908</v>
      </c>
      <c r="C368" t="s">
        <v>273</v>
      </c>
      <c r="D368">
        <v>1</v>
      </c>
      <c r="E368">
        <v>2180</v>
      </c>
      <c r="F368" t="s">
        <v>4266</v>
      </c>
      <c r="G368" t="s">
        <v>6202</v>
      </c>
      <c r="H368">
        <v>1598791</v>
      </c>
      <c r="I368">
        <v>24237</v>
      </c>
      <c r="J368">
        <v>2.1838007521710098E-2</v>
      </c>
      <c r="K368">
        <v>34914.409883642402</v>
      </c>
      <c r="L368">
        <v>24237</v>
      </c>
      <c r="M368">
        <v>599</v>
      </c>
    </row>
    <row r="369" spans="1:13" ht="15">
      <c r="A369" t="s">
        <v>3415</v>
      </c>
      <c r="B369" s="1040" t="str">
        <f>CONCATENATE(LEFT(RIGHT(CONCATENATE("000",IFAData_TEA_1718!A369),6),3),"-",(RIGHT(RIGHT(CONCATENATE("000",IFAData_TEA_1718!A369),6),3)))</f>
        <v>020-908</v>
      </c>
      <c r="C369" t="s">
        <v>273</v>
      </c>
      <c r="D369">
        <v>1</v>
      </c>
      <c r="E369">
        <v>2180</v>
      </c>
      <c r="F369" t="s">
        <v>4266</v>
      </c>
      <c r="G369" t="s">
        <v>8328</v>
      </c>
      <c r="H369">
        <v>1598791</v>
      </c>
      <c r="I369">
        <v>594183</v>
      </c>
      <c r="J369">
        <v>0.53537041809102803</v>
      </c>
      <c r="K369">
        <v>855945.40611017297</v>
      </c>
      <c r="L369">
        <v>594183</v>
      </c>
      <c r="M369">
        <v>599</v>
      </c>
    </row>
    <row r="370" spans="1:13" ht="15">
      <c r="A370" t="s">
        <v>3416</v>
      </c>
      <c r="B370" s="1040" t="str">
        <f>CONCATENATE(LEFT(RIGHT(CONCATENATE("000",IFAData_TEA_1718!A370),6),3),"-",(RIGHT(RIGHT(CONCATENATE("000",IFAData_TEA_1718!A370),6),3)))</f>
        <v>020-910</v>
      </c>
      <c r="C370" t="s">
        <v>2493</v>
      </c>
      <c r="D370">
        <v>10</v>
      </c>
      <c r="E370">
        <v>1743</v>
      </c>
      <c r="F370" t="s">
        <v>4273</v>
      </c>
      <c r="G370" t="s">
        <v>4273</v>
      </c>
      <c r="H370">
        <v>100000</v>
      </c>
      <c r="I370">
        <v>165235</v>
      </c>
      <c r="J370">
        <v>1</v>
      </c>
      <c r="K370">
        <v>100000</v>
      </c>
      <c r="L370">
        <v>100000</v>
      </c>
      <c r="M370">
        <v>199</v>
      </c>
    </row>
    <row r="371" spans="1:13" ht="15">
      <c r="A371" t="s">
        <v>3417</v>
      </c>
      <c r="B371" s="1040" t="str">
        <f>CONCATENATE(LEFT(RIGHT(CONCATENATE("000",IFAData_TEA_1718!A371),6),3),"-",(RIGHT(RIGHT(CONCATENATE("000",IFAData_TEA_1718!A371),6),3)))</f>
        <v>021-901</v>
      </c>
      <c r="C371" t="s">
        <v>1169</v>
      </c>
      <c r="D371">
        <v>2</v>
      </c>
      <c r="E371">
        <v>1705</v>
      </c>
      <c r="F371" t="s">
        <v>4274</v>
      </c>
      <c r="G371" t="s">
        <v>4274</v>
      </c>
      <c r="H371">
        <v>1632000</v>
      </c>
      <c r="I371">
        <v>0</v>
      </c>
      <c r="J371">
        <v>0</v>
      </c>
      <c r="K371">
        <v>0</v>
      </c>
      <c r="L371">
        <v>0</v>
      </c>
      <c r="M371">
        <v>599</v>
      </c>
    </row>
    <row r="372" spans="1:13" ht="15">
      <c r="A372" t="s">
        <v>3417</v>
      </c>
      <c r="B372" s="1040" t="str">
        <f>CONCATENATE(LEFT(RIGHT(CONCATENATE("000",IFAData_TEA_1718!A372),6),3),"-",(RIGHT(RIGHT(CONCATENATE("000",IFAData_TEA_1718!A372),6),3)))</f>
        <v>021-901</v>
      </c>
      <c r="C372" t="s">
        <v>1169</v>
      </c>
      <c r="D372">
        <v>2</v>
      </c>
      <c r="E372">
        <v>1705</v>
      </c>
      <c r="F372" t="s">
        <v>4274</v>
      </c>
      <c r="G372" t="s">
        <v>4275</v>
      </c>
      <c r="H372">
        <v>1632000</v>
      </c>
      <c r="I372">
        <v>0</v>
      </c>
      <c r="J372">
        <v>0</v>
      </c>
      <c r="K372">
        <v>0</v>
      </c>
      <c r="L372">
        <v>0</v>
      </c>
      <c r="M372">
        <v>599</v>
      </c>
    </row>
    <row r="373" spans="1:13" ht="15">
      <c r="A373" t="s">
        <v>3417</v>
      </c>
      <c r="B373" s="1040" t="str">
        <f>CONCATENATE(LEFT(RIGHT(CONCATENATE("000",IFAData_TEA_1718!A373),6),3),"-",(RIGHT(RIGHT(CONCATENATE("000",IFAData_TEA_1718!A373),6),3)))</f>
        <v>021-901</v>
      </c>
      <c r="C373" t="s">
        <v>1169</v>
      </c>
      <c r="D373">
        <v>2</v>
      </c>
      <c r="E373">
        <v>1705</v>
      </c>
      <c r="F373" t="s">
        <v>4274</v>
      </c>
      <c r="G373" t="s">
        <v>4276</v>
      </c>
      <c r="H373">
        <v>1632000</v>
      </c>
      <c r="I373">
        <v>0</v>
      </c>
      <c r="J373">
        <v>0</v>
      </c>
      <c r="K373">
        <v>0</v>
      </c>
      <c r="L373">
        <v>0</v>
      </c>
      <c r="M373">
        <v>599</v>
      </c>
    </row>
    <row r="374" spans="1:13" ht="15">
      <c r="A374" t="s">
        <v>3417</v>
      </c>
      <c r="B374" s="1040" t="str">
        <f>CONCATENATE(LEFT(RIGHT(CONCATENATE("000",IFAData_TEA_1718!A374),6),3),"-",(RIGHT(RIGHT(CONCATENATE("000",IFAData_TEA_1718!A374),6),3)))</f>
        <v>021-901</v>
      </c>
      <c r="C374" t="s">
        <v>1169</v>
      </c>
      <c r="D374">
        <v>2</v>
      </c>
      <c r="E374">
        <v>1705</v>
      </c>
      <c r="F374" t="s">
        <v>4274</v>
      </c>
      <c r="G374" t="s">
        <v>6203</v>
      </c>
      <c r="H374">
        <v>1632000</v>
      </c>
      <c r="I374">
        <v>7581425</v>
      </c>
      <c r="J374">
        <v>1</v>
      </c>
      <c r="K374">
        <v>1632000</v>
      </c>
      <c r="L374">
        <v>1632000</v>
      </c>
      <c r="M374">
        <v>599</v>
      </c>
    </row>
    <row r="375" spans="1:13" ht="15">
      <c r="A375" t="s">
        <v>3418</v>
      </c>
      <c r="B375" s="1040" t="str">
        <f>CONCATENATE(LEFT(RIGHT(CONCATENATE("000",IFAData_TEA_1718!A375),6),3),"-",(RIGHT(RIGHT(CONCATENATE("000",IFAData_TEA_1718!A375),6),3)))</f>
        <v>021-902</v>
      </c>
      <c r="C375" t="s">
        <v>2636</v>
      </c>
      <c r="D375">
        <v>2</v>
      </c>
      <c r="E375">
        <v>1647</v>
      </c>
      <c r="F375" t="s">
        <v>4277</v>
      </c>
      <c r="G375" t="s">
        <v>4277</v>
      </c>
      <c r="H375">
        <v>1547958</v>
      </c>
      <c r="I375">
        <v>0</v>
      </c>
      <c r="J375">
        <v>0</v>
      </c>
      <c r="K375"/>
      <c r="L375">
        <v>0</v>
      </c>
      <c r="M375">
        <v>199</v>
      </c>
    </row>
    <row r="376" spans="1:13" ht="15">
      <c r="A376" t="s">
        <v>3418</v>
      </c>
      <c r="B376" s="1040" t="str">
        <f>CONCATENATE(LEFT(RIGHT(CONCATENATE("000",IFAData_TEA_1718!A376),6),3),"-",(RIGHT(RIGHT(CONCATENATE("000",IFAData_TEA_1718!A376),6),3)))</f>
        <v>021-902</v>
      </c>
      <c r="C376" t="s">
        <v>2636</v>
      </c>
      <c r="D376">
        <v>6</v>
      </c>
      <c r="E376">
        <v>1646</v>
      </c>
      <c r="F376" t="s">
        <v>4278</v>
      </c>
      <c r="G376" t="s">
        <v>4278</v>
      </c>
      <c r="H376">
        <v>424846</v>
      </c>
      <c r="I376">
        <v>0</v>
      </c>
      <c r="J376">
        <v>0</v>
      </c>
      <c r="K376"/>
      <c r="L376">
        <v>0</v>
      </c>
      <c r="M376">
        <v>599</v>
      </c>
    </row>
    <row r="377" spans="1:13" ht="15">
      <c r="A377" t="s">
        <v>3418</v>
      </c>
      <c r="B377" s="1040" t="str">
        <f>CONCATENATE(LEFT(RIGHT(CONCATENATE("000",IFAData_TEA_1718!A377),6),3),"-",(RIGHT(RIGHT(CONCATENATE("000",IFAData_TEA_1718!A377),6),3)))</f>
        <v>021-902</v>
      </c>
      <c r="C377" t="s">
        <v>2636</v>
      </c>
      <c r="D377">
        <v>9</v>
      </c>
      <c r="E377">
        <v>1648</v>
      </c>
      <c r="F377" t="s">
        <v>4279</v>
      </c>
      <c r="G377" t="s">
        <v>4279</v>
      </c>
      <c r="H377">
        <v>2150873</v>
      </c>
      <c r="I377">
        <v>1465375</v>
      </c>
      <c r="J377">
        <v>1</v>
      </c>
      <c r="K377">
        <v>2150873</v>
      </c>
      <c r="L377">
        <v>1465375</v>
      </c>
      <c r="M377">
        <v>599</v>
      </c>
    </row>
    <row r="378" spans="1:13" ht="15">
      <c r="A378" t="s">
        <v>3419</v>
      </c>
      <c r="B378" s="1040" t="str">
        <f>CONCATENATE(LEFT(RIGHT(CONCATENATE("000",IFAData_TEA_1718!A378),6),3),"-",(RIGHT(RIGHT(CONCATENATE("000",IFAData_TEA_1718!A378),6),3)))</f>
        <v>025-904</v>
      </c>
      <c r="C378" t="s">
        <v>1343</v>
      </c>
      <c r="D378">
        <v>2</v>
      </c>
      <c r="E378">
        <v>1616</v>
      </c>
      <c r="F378" t="s">
        <v>4280</v>
      </c>
      <c r="G378" t="s">
        <v>4280</v>
      </c>
      <c r="H378">
        <v>100000</v>
      </c>
      <c r="I378">
        <v>0</v>
      </c>
      <c r="J378">
        <v>0</v>
      </c>
      <c r="K378"/>
      <c r="L378">
        <v>0</v>
      </c>
      <c r="M378">
        <v>199</v>
      </c>
    </row>
    <row r="379" spans="1:13" ht="15">
      <c r="A379" t="s">
        <v>3419</v>
      </c>
      <c r="B379" s="1040" t="str">
        <f>CONCATENATE(LEFT(RIGHT(CONCATENATE("000",IFAData_TEA_1718!A379),6),3),"-",(RIGHT(RIGHT(CONCATENATE("000",IFAData_TEA_1718!A379),6),3)))</f>
        <v>025-904</v>
      </c>
      <c r="C379" t="s">
        <v>1343</v>
      </c>
      <c r="D379">
        <v>4</v>
      </c>
      <c r="E379">
        <v>1617</v>
      </c>
      <c r="F379" t="s">
        <v>4281</v>
      </c>
      <c r="G379" t="s">
        <v>4281</v>
      </c>
      <c r="H379">
        <v>100000</v>
      </c>
      <c r="I379">
        <v>0</v>
      </c>
      <c r="J379">
        <v>0</v>
      </c>
      <c r="K379">
        <v>0</v>
      </c>
      <c r="L379">
        <v>0</v>
      </c>
      <c r="M379">
        <v>599</v>
      </c>
    </row>
    <row r="380" spans="1:13" ht="15">
      <c r="A380" t="s">
        <v>3419</v>
      </c>
      <c r="B380" s="1040" t="str">
        <f>CONCATENATE(LEFT(RIGHT(CONCATENATE("000",IFAData_TEA_1718!A380),6),3),"-",(RIGHT(RIGHT(CONCATENATE("000",IFAData_TEA_1718!A380),6),3)))</f>
        <v>025-904</v>
      </c>
      <c r="C380" t="s">
        <v>1343</v>
      </c>
      <c r="D380">
        <v>4</v>
      </c>
      <c r="E380">
        <v>1617</v>
      </c>
      <c r="F380" t="s">
        <v>4281</v>
      </c>
      <c r="G380" t="s">
        <v>4282</v>
      </c>
      <c r="H380">
        <v>100000</v>
      </c>
      <c r="I380">
        <v>91180</v>
      </c>
      <c r="J380">
        <v>1</v>
      </c>
      <c r="K380">
        <v>100000</v>
      </c>
      <c r="L380">
        <v>91180</v>
      </c>
      <c r="M380">
        <v>599</v>
      </c>
    </row>
    <row r="381" spans="1:13" ht="15">
      <c r="A381" t="s">
        <v>3420</v>
      </c>
      <c r="B381" s="1040" t="str">
        <f>CONCATENATE(LEFT(RIGHT(CONCATENATE("000",IFAData_TEA_1718!A381),6),3),"-",(RIGHT(RIGHT(CONCATENATE("000",IFAData_TEA_1718!A381),6),3)))</f>
        <v>025-905</v>
      </c>
      <c r="C381" t="s">
        <v>2068</v>
      </c>
      <c r="D381">
        <v>1</v>
      </c>
      <c r="E381">
        <v>2077</v>
      </c>
      <c r="F381" t="s">
        <v>4283</v>
      </c>
      <c r="G381" t="s">
        <v>4283</v>
      </c>
      <c r="H381">
        <v>92069</v>
      </c>
      <c r="I381">
        <v>0</v>
      </c>
      <c r="J381">
        <v>0</v>
      </c>
      <c r="K381">
        <v>0</v>
      </c>
      <c r="L381">
        <v>0</v>
      </c>
      <c r="M381">
        <v>599</v>
      </c>
    </row>
    <row r="382" spans="1:13" ht="15">
      <c r="A382" t="s">
        <v>3420</v>
      </c>
      <c r="B382" s="1040" t="str">
        <f>CONCATENATE(LEFT(RIGHT(CONCATENATE("000",IFAData_TEA_1718!A382),6),3),"-",(RIGHT(RIGHT(CONCATENATE("000",IFAData_TEA_1718!A382),6),3)))</f>
        <v>025-905</v>
      </c>
      <c r="C382" t="s">
        <v>2068</v>
      </c>
      <c r="D382">
        <v>1</v>
      </c>
      <c r="E382">
        <v>2077</v>
      </c>
      <c r="F382" t="s">
        <v>4283</v>
      </c>
      <c r="G382" t="s">
        <v>4284</v>
      </c>
      <c r="H382">
        <v>92069</v>
      </c>
      <c r="I382">
        <v>93330</v>
      </c>
      <c r="J382">
        <v>1</v>
      </c>
      <c r="K382">
        <v>92069</v>
      </c>
      <c r="L382">
        <v>92069</v>
      </c>
      <c r="M382">
        <v>599</v>
      </c>
    </row>
    <row r="383" spans="1:13" ht="15">
      <c r="A383" t="s">
        <v>3421</v>
      </c>
      <c r="B383" s="1040" t="str">
        <f>CONCATENATE(LEFT(RIGHT(CONCATENATE("000",IFAData_TEA_1718!A383),6),3),"-",(RIGHT(RIGHT(CONCATENATE("000",IFAData_TEA_1718!A383),6),3)))</f>
        <v>025-906</v>
      </c>
      <c r="C383" t="s">
        <v>2675</v>
      </c>
      <c r="D383">
        <v>2</v>
      </c>
      <c r="E383">
        <v>2470</v>
      </c>
      <c r="F383" t="s">
        <v>4285</v>
      </c>
      <c r="G383" t="s">
        <v>4285</v>
      </c>
      <c r="H383">
        <v>43725</v>
      </c>
      <c r="I383">
        <v>46148</v>
      </c>
      <c r="J383">
        <v>1</v>
      </c>
      <c r="K383">
        <v>43725</v>
      </c>
      <c r="L383">
        <v>43725</v>
      </c>
      <c r="M383">
        <v>599</v>
      </c>
    </row>
    <row r="384" spans="1:13" ht="15">
      <c r="A384" t="s">
        <v>3421</v>
      </c>
      <c r="B384" s="1040" t="str">
        <f>CONCATENATE(LEFT(RIGHT(CONCATENATE("000",IFAData_TEA_1718!A384),6),3),"-",(RIGHT(RIGHT(CONCATENATE("000",IFAData_TEA_1718!A384),6),3)))</f>
        <v>025-906</v>
      </c>
      <c r="C384" t="s">
        <v>2675</v>
      </c>
      <c r="D384">
        <v>9</v>
      </c>
      <c r="E384">
        <v>2471</v>
      </c>
      <c r="F384" t="s">
        <v>4286</v>
      </c>
      <c r="G384" t="s">
        <v>4286</v>
      </c>
      <c r="H384">
        <v>100000</v>
      </c>
      <c r="I384">
        <v>66235</v>
      </c>
      <c r="J384">
        <v>0.38134251449429701</v>
      </c>
      <c r="K384">
        <v>38134.251449429699</v>
      </c>
      <c r="L384">
        <v>38134.251449429699</v>
      </c>
      <c r="M384">
        <v>599</v>
      </c>
    </row>
    <row r="385" spans="1:13" ht="15">
      <c r="A385" t="s">
        <v>3421</v>
      </c>
      <c r="B385" s="1040" t="str">
        <f>CONCATENATE(LEFT(RIGHT(CONCATENATE("000",IFAData_TEA_1718!A385),6),3),"-",(RIGHT(RIGHT(CONCATENATE("000",IFAData_TEA_1718!A385),6),3)))</f>
        <v>025-906</v>
      </c>
      <c r="C385" t="s">
        <v>2675</v>
      </c>
      <c r="D385">
        <v>9</v>
      </c>
      <c r="E385">
        <v>2471</v>
      </c>
      <c r="F385" t="s">
        <v>4286</v>
      </c>
      <c r="G385" t="s">
        <v>6421</v>
      </c>
      <c r="H385">
        <v>100000</v>
      </c>
      <c r="I385">
        <v>107454</v>
      </c>
      <c r="J385">
        <v>0.61865748550570299</v>
      </c>
      <c r="K385">
        <v>61865.748550570301</v>
      </c>
      <c r="L385">
        <v>61865.748550570301</v>
      </c>
      <c r="M385">
        <v>599</v>
      </c>
    </row>
    <row r="386" spans="1:13" ht="15">
      <c r="A386" t="s">
        <v>3421</v>
      </c>
      <c r="B386" s="1040" t="str">
        <f>CONCATENATE(LEFT(RIGHT(CONCATENATE("000",IFAData_TEA_1718!A386),6),3),"-",(RIGHT(RIGHT(CONCATENATE("000",IFAData_TEA_1718!A386),6),3)))</f>
        <v>025-906</v>
      </c>
      <c r="C386" t="s">
        <v>2675</v>
      </c>
      <c r="D386">
        <v>10</v>
      </c>
      <c r="E386">
        <v>2472</v>
      </c>
      <c r="F386" t="s">
        <v>4287</v>
      </c>
      <c r="G386" t="s">
        <v>4287</v>
      </c>
      <c r="H386">
        <v>100000</v>
      </c>
      <c r="I386">
        <v>32150</v>
      </c>
      <c r="J386">
        <v>0.36229434302456598</v>
      </c>
      <c r="K386">
        <v>36229.434302456597</v>
      </c>
      <c r="L386">
        <v>32150</v>
      </c>
      <c r="M386">
        <v>599</v>
      </c>
    </row>
    <row r="387" spans="1:13" ht="15">
      <c r="A387" t="s">
        <v>3421</v>
      </c>
      <c r="B387" s="1040" t="str">
        <f>CONCATENATE(LEFT(RIGHT(CONCATENATE("000",IFAData_TEA_1718!A387),6),3),"-",(RIGHT(RIGHT(CONCATENATE("000",IFAData_TEA_1718!A387),6),3)))</f>
        <v>025-906</v>
      </c>
      <c r="C387" t="s">
        <v>2675</v>
      </c>
      <c r="D387">
        <v>10</v>
      </c>
      <c r="E387">
        <v>2472</v>
      </c>
      <c r="F387" t="s">
        <v>4287</v>
      </c>
      <c r="G387" t="s">
        <v>6421</v>
      </c>
      <c r="H387">
        <v>100000</v>
      </c>
      <c r="I387">
        <v>56590</v>
      </c>
      <c r="J387">
        <v>0.63770565697543402</v>
      </c>
      <c r="K387">
        <v>63770.565697543403</v>
      </c>
      <c r="L387">
        <v>56590</v>
      </c>
      <c r="M387">
        <v>599</v>
      </c>
    </row>
    <row r="388" spans="1:13" ht="15">
      <c r="A388" t="s">
        <v>3422</v>
      </c>
      <c r="B388" s="1040" t="str">
        <f>CONCATENATE(LEFT(RIGHT(CONCATENATE("000",IFAData_TEA_1718!A388),6),3),"-",(RIGHT(RIGHT(CONCATENATE("000",IFAData_TEA_1718!A388),6),3)))</f>
        <v>025-908</v>
      </c>
      <c r="C388" t="s">
        <v>2416</v>
      </c>
      <c r="D388">
        <v>4</v>
      </c>
      <c r="E388">
        <v>1636</v>
      </c>
      <c r="F388" t="s">
        <v>4288</v>
      </c>
      <c r="G388" t="s">
        <v>4288</v>
      </c>
      <c r="H388">
        <v>100000</v>
      </c>
      <c r="I388">
        <v>0</v>
      </c>
      <c r="J388">
        <v>0</v>
      </c>
      <c r="K388">
        <v>0</v>
      </c>
      <c r="L388">
        <v>0</v>
      </c>
      <c r="M388">
        <v>599</v>
      </c>
    </row>
    <row r="389" spans="1:13" ht="15">
      <c r="A389" t="s">
        <v>3422</v>
      </c>
      <c r="B389" s="1040" t="str">
        <f>CONCATENATE(LEFT(RIGHT(CONCATENATE("000",IFAData_TEA_1718!A389),6),3),"-",(RIGHT(RIGHT(CONCATENATE("000",IFAData_TEA_1718!A389),6),3)))</f>
        <v>025-908</v>
      </c>
      <c r="C389" t="s">
        <v>2416</v>
      </c>
      <c r="D389">
        <v>4</v>
      </c>
      <c r="E389">
        <v>1636</v>
      </c>
      <c r="F389" t="s">
        <v>4288</v>
      </c>
      <c r="G389" t="s">
        <v>4289</v>
      </c>
      <c r="H389">
        <v>100000</v>
      </c>
      <c r="I389">
        <v>91453</v>
      </c>
      <c r="J389">
        <v>1</v>
      </c>
      <c r="K389">
        <v>100000</v>
      </c>
      <c r="L389">
        <v>91453</v>
      </c>
      <c r="M389">
        <v>599</v>
      </c>
    </row>
    <row r="390" spans="1:13" ht="15">
      <c r="A390" t="s">
        <v>3423</v>
      </c>
      <c r="B390" s="1040" t="str">
        <f>CONCATENATE(LEFT(RIGHT(CONCATENATE("000",IFAData_TEA_1718!A390),6),3),"-",(RIGHT(RIGHT(CONCATENATE("000",IFAData_TEA_1718!A390),6),3)))</f>
        <v>025-909</v>
      </c>
      <c r="C390" t="s">
        <v>1063</v>
      </c>
      <c r="D390">
        <v>1</v>
      </c>
      <c r="E390">
        <v>1777</v>
      </c>
      <c r="F390" t="s">
        <v>4290</v>
      </c>
      <c r="G390" t="s">
        <v>4290</v>
      </c>
      <c r="H390">
        <v>209945</v>
      </c>
      <c r="I390">
        <v>0</v>
      </c>
      <c r="J390">
        <v>0</v>
      </c>
      <c r="K390">
        <v>0</v>
      </c>
      <c r="L390">
        <v>0</v>
      </c>
      <c r="M390">
        <v>599</v>
      </c>
    </row>
    <row r="391" spans="1:13" ht="15">
      <c r="A391" t="s">
        <v>3423</v>
      </c>
      <c r="B391" s="1040" t="str">
        <f>CONCATENATE(LEFT(RIGHT(CONCATENATE("000",IFAData_TEA_1718!A391),6),3),"-",(RIGHT(RIGHT(CONCATENATE("000",IFAData_TEA_1718!A391),6),3)))</f>
        <v>025-909</v>
      </c>
      <c r="C391" t="s">
        <v>1063</v>
      </c>
      <c r="D391">
        <v>1</v>
      </c>
      <c r="E391">
        <v>1777</v>
      </c>
      <c r="F391" t="s">
        <v>4290</v>
      </c>
      <c r="G391" t="s">
        <v>4291</v>
      </c>
      <c r="H391">
        <v>209945</v>
      </c>
      <c r="I391">
        <v>0</v>
      </c>
      <c r="J391">
        <v>0</v>
      </c>
      <c r="K391">
        <v>0</v>
      </c>
      <c r="L391">
        <v>0</v>
      </c>
      <c r="M391">
        <v>599</v>
      </c>
    </row>
    <row r="392" spans="1:13" ht="15">
      <c r="A392" t="s">
        <v>3423</v>
      </c>
      <c r="B392" s="1040" t="str">
        <f>CONCATENATE(LEFT(RIGHT(CONCATENATE("000",IFAData_TEA_1718!A392),6),3),"-",(RIGHT(RIGHT(CONCATENATE("000",IFAData_TEA_1718!A392),6),3)))</f>
        <v>025-909</v>
      </c>
      <c r="C392" t="s">
        <v>1063</v>
      </c>
      <c r="D392">
        <v>1</v>
      </c>
      <c r="E392">
        <v>1777</v>
      </c>
      <c r="F392" t="s">
        <v>4290</v>
      </c>
      <c r="G392" t="s">
        <v>4292</v>
      </c>
      <c r="H392">
        <v>209945</v>
      </c>
      <c r="I392">
        <v>366200</v>
      </c>
      <c r="J392">
        <v>1</v>
      </c>
      <c r="K392">
        <v>209945</v>
      </c>
      <c r="L392">
        <v>209945</v>
      </c>
      <c r="M392">
        <v>599</v>
      </c>
    </row>
    <row r="393" spans="1:13" ht="15">
      <c r="A393" t="s">
        <v>3423</v>
      </c>
      <c r="B393" s="1040" t="str">
        <f>CONCATENATE(LEFT(RIGHT(CONCATENATE("000",IFAData_TEA_1718!A393),6),3),"-",(RIGHT(RIGHT(CONCATENATE("000",IFAData_TEA_1718!A393),6),3)))</f>
        <v>025-909</v>
      </c>
      <c r="C393" t="s">
        <v>1063</v>
      </c>
      <c r="D393">
        <v>9</v>
      </c>
      <c r="E393">
        <v>1778</v>
      </c>
      <c r="F393" t="s">
        <v>4293</v>
      </c>
      <c r="G393" t="s">
        <v>4293</v>
      </c>
      <c r="H393">
        <v>323704</v>
      </c>
      <c r="I393">
        <v>0</v>
      </c>
      <c r="J393">
        <v>0</v>
      </c>
      <c r="K393">
        <v>0</v>
      </c>
      <c r="L393">
        <v>0</v>
      </c>
      <c r="M393">
        <v>599</v>
      </c>
    </row>
    <row r="394" spans="1:13" ht="15">
      <c r="A394" t="s">
        <v>3423</v>
      </c>
      <c r="B394" s="1040" t="str">
        <f>CONCATENATE(LEFT(RIGHT(CONCATENATE("000",IFAData_TEA_1718!A394),6),3),"-",(RIGHT(RIGHT(CONCATENATE("000",IFAData_TEA_1718!A394),6),3)))</f>
        <v>025-909</v>
      </c>
      <c r="C394" t="s">
        <v>1063</v>
      </c>
      <c r="D394">
        <v>9</v>
      </c>
      <c r="E394">
        <v>1778</v>
      </c>
      <c r="F394" t="s">
        <v>4293</v>
      </c>
      <c r="G394" t="s">
        <v>4294</v>
      </c>
      <c r="H394">
        <v>323704</v>
      </c>
      <c r="I394">
        <v>324950</v>
      </c>
      <c r="J394">
        <v>0.34455519032976401</v>
      </c>
      <c r="K394">
        <v>111533.89333050601</v>
      </c>
      <c r="L394">
        <v>111533.89333050601</v>
      </c>
      <c r="M394">
        <v>599</v>
      </c>
    </row>
    <row r="395" spans="1:13" ht="15">
      <c r="A395" t="s">
        <v>3423</v>
      </c>
      <c r="B395" s="1040" t="str">
        <f>CONCATENATE(LEFT(RIGHT(CONCATENATE("000",IFAData_TEA_1718!A395),6),3),"-",(RIGHT(RIGHT(CONCATENATE("000",IFAData_TEA_1718!A395),6),3)))</f>
        <v>025-909</v>
      </c>
      <c r="C395" t="s">
        <v>1063</v>
      </c>
      <c r="D395">
        <v>9</v>
      </c>
      <c r="E395">
        <v>1778</v>
      </c>
      <c r="F395" t="s">
        <v>4293</v>
      </c>
      <c r="G395" t="s">
        <v>6422</v>
      </c>
      <c r="H395">
        <v>323704</v>
      </c>
      <c r="I395">
        <v>618150</v>
      </c>
      <c r="J395">
        <v>0.65544480967023599</v>
      </c>
      <c r="K395">
        <v>212170.10666949401</v>
      </c>
      <c r="L395">
        <v>212170.10666949401</v>
      </c>
      <c r="M395">
        <v>599</v>
      </c>
    </row>
    <row r="396" spans="1:13" ht="15">
      <c r="A396" t="s">
        <v>3423</v>
      </c>
      <c r="B396" s="1040" t="str">
        <f>CONCATENATE(LEFT(RIGHT(CONCATENATE("000",IFAData_TEA_1718!A396),6),3),"-",(RIGHT(RIGHT(CONCATENATE("000",IFAData_TEA_1718!A396),6),3)))</f>
        <v>025-909</v>
      </c>
      <c r="C396" t="s">
        <v>1063</v>
      </c>
      <c r="D396">
        <v>10</v>
      </c>
      <c r="E396">
        <v>1776</v>
      </c>
      <c r="F396" t="s">
        <v>4295</v>
      </c>
      <c r="G396" t="s">
        <v>4295</v>
      </c>
      <c r="H396">
        <v>160450</v>
      </c>
      <c r="I396">
        <v>108325</v>
      </c>
      <c r="J396">
        <v>1</v>
      </c>
      <c r="K396">
        <v>160450</v>
      </c>
      <c r="L396">
        <v>108325</v>
      </c>
      <c r="M396">
        <v>599</v>
      </c>
    </row>
    <row r="397" spans="1:13" ht="15">
      <c r="A397" t="s">
        <v>3424</v>
      </c>
      <c r="B397" s="1040" t="str">
        <f>CONCATENATE(LEFT(RIGHT(CONCATENATE("000",IFAData_TEA_1718!A397),6),3),"-",(RIGHT(RIGHT(CONCATENATE("000",IFAData_TEA_1718!A397),6),3)))</f>
        <v>026-903</v>
      </c>
      <c r="C397" t="s">
        <v>1597</v>
      </c>
      <c r="D397">
        <v>9</v>
      </c>
      <c r="E397">
        <v>2345</v>
      </c>
      <c r="F397" t="s">
        <v>4296</v>
      </c>
      <c r="G397" t="s">
        <v>4296</v>
      </c>
      <c r="H397">
        <v>110365</v>
      </c>
      <c r="I397">
        <v>0</v>
      </c>
      <c r="J397">
        <v>0</v>
      </c>
      <c r="K397">
        <v>0</v>
      </c>
      <c r="L397">
        <v>0</v>
      </c>
      <c r="M397">
        <v>599</v>
      </c>
    </row>
    <row r="398" spans="1:13" ht="15">
      <c r="A398" t="s">
        <v>3424</v>
      </c>
      <c r="B398" s="1040" t="str">
        <f>CONCATENATE(LEFT(RIGHT(CONCATENATE("000",IFAData_TEA_1718!A398),6),3),"-",(RIGHT(RIGHT(CONCATENATE("000",IFAData_TEA_1718!A398),6),3)))</f>
        <v>026-903</v>
      </c>
      <c r="C398" t="s">
        <v>1597</v>
      </c>
      <c r="D398">
        <v>9</v>
      </c>
      <c r="E398">
        <v>2345</v>
      </c>
      <c r="F398" t="s">
        <v>4296</v>
      </c>
      <c r="G398" t="s">
        <v>6423</v>
      </c>
      <c r="H398">
        <v>110365</v>
      </c>
      <c r="I398">
        <v>515050</v>
      </c>
      <c r="J398">
        <v>1</v>
      </c>
      <c r="K398">
        <v>110365</v>
      </c>
      <c r="L398">
        <v>110365</v>
      </c>
      <c r="M398">
        <v>599</v>
      </c>
    </row>
    <row r="399" spans="1:13" ht="15">
      <c r="A399" t="s">
        <v>3425</v>
      </c>
      <c r="B399" s="1040" t="str">
        <f>CONCATENATE(LEFT(RIGHT(CONCATENATE("000",IFAData_TEA_1718!A399),6),3),"-",(RIGHT(RIGHT(CONCATENATE("000",IFAData_TEA_1718!A399),6),3)))</f>
        <v>027-903</v>
      </c>
      <c r="C399" t="s">
        <v>133</v>
      </c>
      <c r="D399">
        <v>2</v>
      </c>
      <c r="E399">
        <v>1655</v>
      </c>
      <c r="F399" t="s">
        <v>4297</v>
      </c>
      <c r="G399" t="s">
        <v>4297</v>
      </c>
      <c r="H399">
        <v>546449</v>
      </c>
      <c r="I399">
        <v>0</v>
      </c>
      <c r="J399">
        <v>0</v>
      </c>
      <c r="K399">
        <v>0</v>
      </c>
      <c r="L399">
        <v>0</v>
      </c>
      <c r="M399">
        <v>599</v>
      </c>
    </row>
    <row r="400" spans="1:13" ht="15">
      <c r="A400" t="s">
        <v>3425</v>
      </c>
      <c r="B400" s="1040" t="str">
        <f>CONCATENATE(LEFT(RIGHT(CONCATENATE("000",IFAData_TEA_1718!A400),6),3),"-",(RIGHT(RIGHT(CONCATENATE("000",IFAData_TEA_1718!A400),6),3)))</f>
        <v>027-903</v>
      </c>
      <c r="C400" t="s">
        <v>133</v>
      </c>
      <c r="D400">
        <v>2</v>
      </c>
      <c r="E400">
        <v>1655</v>
      </c>
      <c r="F400" t="s">
        <v>4297</v>
      </c>
      <c r="G400" t="s">
        <v>4298</v>
      </c>
      <c r="H400">
        <v>546449</v>
      </c>
      <c r="I400">
        <v>0</v>
      </c>
      <c r="J400">
        <v>0</v>
      </c>
      <c r="K400">
        <v>0</v>
      </c>
      <c r="L400">
        <v>0</v>
      </c>
      <c r="M400">
        <v>599</v>
      </c>
    </row>
    <row r="401" spans="1:13" ht="15">
      <c r="A401" t="s">
        <v>3425</v>
      </c>
      <c r="B401" s="1040" t="str">
        <f>CONCATENATE(LEFT(RIGHT(CONCATENATE("000",IFAData_TEA_1718!A401),6),3),"-",(RIGHT(RIGHT(CONCATENATE("000",IFAData_TEA_1718!A401),6),3)))</f>
        <v>027-903</v>
      </c>
      <c r="C401" t="s">
        <v>133</v>
      </c>
      <c r="D401">
        <v>2</v>
      </c>
      <c r="E401">
        <v>1655</v>
      </c>
      <c r="F401" t="s">
        <v>4297</v>
      </c>
      <c r="G401" t="s">
        <v>6424</v>
      </c>
      <c r="H401">
        <v>546449</v>
      </c>
      <c r="I401">
        <v>488307</v>
      </c>
      <c r="J401">
        <v>1</v>
      </c>
      <c r="K401">
        <v>546449</v>
      </c>
      <c r="L401">
        <v>488307</v>
      </c>
      <c r="M401">
        <v>599</v>
      </c>
    </row>
    <row r="402" spans="1:13" ht="15">
      <c r="A402" t="s">
        <v>4299</v>
      </c>
      <c r="B402" s="1040" t="str">
        <f>CONCATENATE(LEFT(RIGHT(CONCATENATE("000",IFAData_TEA_1718!A402),6),3),"-",(RIGHT(RIGHT(CONCATENATE("000",IFAData_TEA_1718!A402),6),3)))</f>
        <v>027-904</v>
      </c>
      <c r="C402" t="s">
        <v>291</v>
      </c>
      <c r="D402">
        <v>1</v>
      </c>
      <c r="E402">
        <v>2062</v>
      </c>
      <c r="F402" t="s">
        <v>4300</v>
      </c>
      <c r="G402" t="s">
        <v>4300</v>
      </c>
      <c r="H402">
        <v>539135</v>
      </c>
      <c r="I402">
        <v>0</v>
      </c>
      <c r="J402">
        <v>0</v>
      </c>
      <c r="K402"/>
      <c r="L402">
        <v>0</v>
      </c>
      <c r="M402">
        <v>599</v>
      </c>
    </row>
    <row r="403" spans="1:13" ht="15">
      <c r="A403" t="s">
        <v>3426</v>
      </c>
      <c r="B403" s="1040" t="str">
        <f>CONCATENATE(LEFT(RIGHT(CONCATENATE("000",IFAData_TEA_1718!A403),6),3),"-",(RIGHT(RIGHT(CONCATENATE("000",IFAData_TEA_1718!A403),6),3)))</f>
        <v>028-902</v>
      </c>
      <c r="C403" t="s">
        <v>2227</v>
      </c>
      <c r="D403">
        <v>1</v>
      </c>
      <c r="E403">
        <v>2030</v>
      </c>
      <c r="F403" t="s">
        <v>4304</v>
      </c>
      <c r="G403" t="s">
        <v>4304</v>
      </c>
      <c r="H403">
        <v>930541</v>
      </c>
      <c r="I403">
        <v>0</v>
      </c>
      <c r="J403">
        <v>0</v>
      </c>
      <c r="K403">
        <v>0</v>
      </c>
      <c r="L403">
        <v>0</v>
      </c>
      <c r="M403">
        <v>599</v>
      </c>
    </row>
    <row r="404" spans="1:13" ht="15">
      <c r="A404" t="s">
        <v>3426</v>
      </c>
      <c r="B404" s="1040" t="str">
        <f>CONCATENATE(LEFT(RIGHT(CONCATENATE("000",IFAData_TEA_1718!A404),6),3),"-",(RIGHT(RIGHT(CONCATENATE("000",IFAData_TEA_1718!A404),6),3)))</f>
        <v>028-902</v>
      </c>
      <c r="C404" t="s">
        <v>2227</v>
      </c>
      <c r="D404">
        <v>1</v>
      </c>
      <c r="E404">
        <v>2030</v>
      </c>
      <c r="F404" t="s">
        <v>4304</v>
      </c>
      <c r="G404" t="s">
        <v>4305</v>
      </c>
      <c r="H404">
        <v>930541</v>
      </c>
      <c r="I404">
        <v>948764</v>
      </c>
      <c r="J404">
        <v>0.83735921761133503</v>
      </c>
      <c r="K404">
        <v>779197.08371526899</v>
      </c>
      <c r="L404">
        <v>779197.08371526899</v>
      </c>
      <c r="M404">
        <v>599</v>
      </c>
    </row>
    <row r="405" spans="1:13" ht="15">
      <c r="A405" t="s">
        <v>3426</v>
      </c>
      <c r="B405" s="1040" t="str">
        <f>CONCATENATE(LEFT(RIGHT(CONCATENATE("000",IFAData_TEA_1718!A405),6),3),"-",(RIGHT(RIGHT(CONCATENATE("000",IFAData_TEA_1718!A405),6),3)))</f>
        <v>028-902</v>
      </c>
      <c r="C405" t="s">
        <v>2227</v>
      </c>
      <c r="D405">
        <v>1</v>
      </c>
      <c r="E405">
        <v>2030</v>
      </c>
      <c r="F405" t="s">
        <v>4304</v>
      </c>
      <c r="G405" t="s">
        <v>4306</v>
      </c>
      <c r="H405">
        <v>930541</v>
      </c>
      <c r="I405">
        <v>184279</v>
      </c>
      <c r="J405">
        <v>0.162640782388665</v>
      </c>
      <c r="K405">
        <v>151343.91628473101</v>
      </c>
      <c r="L405">
        <v>151343.91628473101</v>
      </c>
      <c r="M405">
        <v>599</v>
      </c>
    </row>
    <row r="406" spans="1:13" ht="15">
      <c r="A406" t="s">
        <v>3426</v>
      </c>
      <c r="B406" s="1040" t="str">
        <f>CONCATENATE(LEFT(RIGHT(CONCATENATE("000",IFAData_TEA_1718!A406),6),3),"-",(RIGHT(RIGHT(CONCATENATE("000",IFAData_TEA_1718!A406),6),3)))</f>
        <v>028-902</v>
      </c>
      <c r="C406" t="s">
        <v>2227</v>
      </c>
      <c r="D406">
        <v>6</v>
      </c>
      <c r="E406">
        <v>2031</v>
      </c>
      <c r="F406" t="s">
        <v>4307</v>
      </c>
      <c r="G406" t="s">
        <v>4307</v>
      </c>
      <c r="H406">
        <v>954099</v>
      </c>
      <c r="I406">
        <v>0</v>
      </c>
      <c r="J406">
        <v>0</v>
      </c>
      <c r="K406">
        <v>0</v>
      </c>
      <c r="L406">
        <v>0</v>
      </c>
      <c r="M406">
        <v>599</v>
      </c>
    </row>
    <row r="407" spans="1:13" ht="15">
      <c r="A407" t="s">
        <v>3426</v>
      </c>
      <c r="B407" s="1040" t="str">
        <f>CONCATENATE(LEFT(RIGHT(CONCATENATE("000",IFAData_TEA_1718!A407),6),3),"-",(RIGHT(RIGHT(CONCATENATE("000",IFAData_TEA_1718!A407),6),3)))</f>
        <v>028-902</v>
      </c>
      <c r="C407" t="s">
        <v>2227</v>
      </c>
      <c r="D407">
        <v>6</v>
      </c>
      <c r="E407">
        <v>2031</v>
      </c>
      <c r="F407" t="s">
        <v>4307</v>
      </c>
      <c r="G407" t="s">
        <v>4308</v>
      </c>
      <c r="H407">
        <v>954099</v>
      </c>
      <c r="I407">
        <v>1028475</v>
      </c>
      <c r="J407">
        <v>1</v>
      </c>
      <c r="K407">
        <v>954099</v>
      </c>
      <c r="L407">
        <v>954099</v>
      </c>
      <c r="M407">
        <v>599</v>
      </c>
    </row>
    <row r="408" spans="1:13" ht="15">
      <c r="A408" t="s">
        <v>3426</v>
      </c>
      <c r="B408" s="1040" t="str">
        <f>CONCATENATE(LEFT(RIGHT(CONCATENATE("000",IFAData_TEA_1718!A408),6),3),"-",(RIGHT(RIGHT(CONCATENATE("000",IFAData_TEA_1718!A408),6),3)))</f>
        <v>028-902</v>
      </c>
      <c r="C408" t="s">
        <v>2227</v>
      </c>
      <c r="D408">
        <v>6</v>
      </c>
      <c r="E408">
        <v>2031</v>
      </c>
      <c r="F408" t="s">
        <v>4307</v>
      </c>
      <c r="G408" t="s">
        <v>4309</v>
      </c>
      <c r="H408">
        <v>954099</v>
      </c>
      <c r="I408">
        <v>0</v>
      </c>
      <c r="J408">
        <v>0</v>
      </c>
      <c r="K408">
        <v>0</v>
      </c>
      <c r="L408">
        <v>0</v>
      </c>
      <c r="M408">
        <v>599</v>
      </c>
    </row>
    <row r="409" spans="1:13" ht="15">
      <c r="A409" t="s">
        <v>3427</v>
      </c>
      <c r="B409" s="1040" t="str">
        <f>CONCATENATE(LEFT(RIGHT(CONCATENATE("000",IFAData_TEA_1718!A409),6),3),"-",(RIGHT(RIGHT(CONCATENATE("000",IFAData_TEA_1718!A409),6),3)))</f>
        <v>028-903</v>
      </c>
      <c r="C409" t="s">
        <v>838</v>
      </c>
      <c r="D409">
        <v>5</v>
      </c>
      <c r="E409">
        <v>2043</v>
      </c>
      <c r="F409" t="s">
        <v>4310</v>
      </c>
      <c r="G409" t="s">
        <v>4310</v>
      </c>
      <c r="H409">
        <v>352232</v>
      </c>
      <c r="I409">
        <v>0</v>
      </c>
      <c r="J409">
        <v>0</v>
      </c>
      <c r="K409">
        <v>0</v>
      </c>
      <c r="L409">
        <v>0</v>
      </c>
      <c r="M409">
        <v>599</v>
      </c>
    </row>
    <row r="410" spans="1:13" ht="15">
      <c r="A410" t="s">
        <v>3427</v>
      </c>
      <c r="B410" s="1040" t="str">
        <f>CONCATENATE(LEFT(RIGHT(CONCATENATE("000",IFAData_TEA_1718!A410),6),3),"-",(RIGHT(RIGHT(CONCATENATE("000",IFAData_TEA_1718!A410),6),3)))</f>
        <v>028-903</v>
      </c>
      <c r="C410" t="s">
        <v>838</v>
      </c>
      <c r="D410">
        <v>5</v>
      </c>
      <c r="E410">
        <v>2043</v>
      </c>
      <c r="F410" t="s">
        <v>4310</v>
      </c>
      <c r="G410" t="s">
        <v>4311</v>
      </c>
      <c r="H410">
        <v>352232</v>
      </c>
      <c r="I410">
        <v>0</v>
      </c>
      <c r="J410">
        <v>0</v>
      </c>
      <c r="K410">
        <v>0</v>
      </c>
      <c r="L410">
        <v>0</v>
      </c>
      <c r="M410">
        <v>599</v>
      </c>
    </row>
    <row r="411" spans="1:13" ht="15">
      <c r="A411" t="s">
        <v>3427</v>
      </c>
      <c r="B411" s="1040" t="str">
        <f>CONCATENATE(LEFT(RIGHT(CONCATENATE("000",IFAData_TEA_1718!A411),6),3),"-",(RIGHT(RIGHT(CONCATENATE("000",IFAData_TEA_1718!A411),6),3)))</f>
        <v>028-903</v>
      </c>
      <c r="C411" t="s">
        <v>838</v>
      </c>
      <c r="D411">
        <v>5</v>
      </c>
      <c r="E411">
        <v>2043</v>
      </c>
      <c r="F411" t="s">
        <v>4310</v>
      </c>
      <c r="G411" t="s">
        <v>6425</v>
      </c>
      <c r="H411">
        <v>352232</v>
      </c>
      <c r="I411">
        <v>333250</v>
      </c>
      <c r="J411">
        <v>1</v>
      </c>
      <c r="K411">
        <v>352232</v>
      </c>
      <c r="L411">
        <v>333250</v>
      </c>
      <c r="M411">
        <v>599</v>
      </c>
    </row>
    <row r="412" spans="1:13" ht="15">
      <c r="A412" t="s">
        <v>3428</v>
      </c>
      <c r="B412" s="1040" t="str">
        <f>CONCATENATE(LEFT(RIGHT(CONCATENATE("000",IFAData_TEA_1718!A412),6),3),"-",(RIGHT(RIGHT(CONCATENATE("000",IFAData_TEA_1718!A412),6),3)))</f>
        <v>030-902</v>
      </c>
      <c r="C412" t="s">
        <v>31</v>
      </c>
      <c r="D412">
        <v>4</v>
      </c>
      <c r="E412">
        <v>1703</v>
      </c>
      <c r="F412" t="s">
        <v>4312</v>
      </c>
      <c r="G412" t="s">
        <v>4312</v>
      </c>
      <c r="H412">
        <v>375000</v>
      </c>
      <c r="I412">
        <v>0</v>
      </c>
      <c r="J412">
        <v>0</v>
      </c>
      <c r="K412">
        <v>0</v>
      </c>
      <c r="L412">
        <v>0</v>
      </c>
      <c r="M412">
        <v>599</v>
      </c>
    </row>
    <row r="413" spans="1:13" ht="15">
      <c r="A413" t="s">
        <v>3428</v>
      </c>
      <c r="B413" s="1040" t="str">
        <f>CONCATENATE(LEFT(RIGHT(CONCATENATE("000",IFAData_TEA_1718!A413),6),3),"-",(RIGHT(RIGHT(CONCATENATE("000",IFAData_TEA_1718!A413),6),3)))</f>
        <v>030-902</v>
      </c>
      <c r="C413" t="s">
        <v>31</v>
      </c>
      <c r="D413">
        <v>4</v>
      </c>
      <c r="E413">
        <v>1703</v>
      </c>
      <c r="F413" t="s">
        <v>4312</v>
      </c>
      <c r="G413" t="s">
        <v>4313</v>
      </c>
      <c r="H413">
        <v>375000</v>
      </c>
      <c r="I413">
        <v>0</v>
      </c>
      <c r="J413">
        <v>0</v>
      </c>
      <c r="K413">
        <v>0</v>
      </c>
      <c r="L413">
        <v>0</v>
      </c>
      <c r="M413">
        <v>599</v>
      </c>
    </row>
    <row r="414" spans="1:13" ht="15">
      <c r="A414" t="s">
        <v>3428</v>
      </c>
      <c r="B414" s="1040" t="str">
        <f>CONCATENATE(LEFT(RIGHT(CONCATENATE("000",IFAData_TEA_1718!A414),6),3),"-",(RIGHT(RIGHT(CONCATENATE("000",IFAData_TEA_1718!A414),6),3)))</f>
        <v>030-902</v>
      </c>
      <c r="C414" t="s">
        <v>31</v>
      </c>
      <c r="D414">
        <v>4</v>
      </c>
      <c r="E414">
        <v>1703</v>
      </c>
      <c r="F414" t="s">
        <v>4312</v>
      </c>
      <c r="G414" t="s">
        <v>6204</v>
      </c>
      <c r="H414">
        <v>375000</v>
      </c>
      <c r="I414">
        <v>431807</v>
      </c>
      <c r="J414">
        <v>1</v>
      </c>
      <c r="K414">
        <v>375000</v>
      </c>
      <c r="L414">
        <v>375000</v>
      </c>
      <c r="M414">
        <v>599</v>
      </c>
    </row>
    <row r="415" spans="1:13" ht="15">
      <c r="A415" t="s">
        <v>3428</v>
      </c>
      <c r="B415" s="1040" t="str">
        <f>CONCATENATE(LEFT(RIGHT(CONCATENATE("000",IFAData_TEA_1718!A415),6),3),"-",(RIGHT(RIGHT(CONCATENATE("000",IFAData_TEA_1718!A415),6),3)))</f>
        <v>030-902</v>
      </c>
      <c r="C415" t="s">
        <v>31</v>
      </c>
      <c r="D415">
        <v>9</v>
      </c>
      <c r="E415">
        <v>1702</v>
      </c>
      <c r="F415" t="s">
        <v>4314</v>
      </c>
      <c r="G415" t="s">
        <v>4314</v>
      </c>
      <c r="H415">
        <v>342278</v>
      </c>
      <c r="I415">
        <v>173580</v>
      </c>
      <c r="J415">
        <v>0.39831842526768002</v>
      </c>
      <c r="K415">
        <v>136335.63396377099</v>
      </c>
      <c r="L415">
        <v>136335.63396377099</v>
      </c>
      <c r="M415">
        <v>599</v>
      </c>
    </row>
    <row r="416" spans="1:13" ht="15">
      <c r="A416" t="s">
        <v>3428</v>
      </c>
      <c r="B416" s="1040" t="str">
        <f>CONCATENATE(LEFT(RIGHT(CONCATENATE("000",IFAData_TEA_1718!A416),6),3),"-",(RIGHT(RIGHT(CONCATENATE("000",IFAData_TEA_1718!A416),6),3)))</f>
        <v>030-902</v>
      </c>
      <c r="C416" t="s">
        <v>31</v>
      </c>
      <c r="D416">
        <v>9</v>
      </c>
      <c r="E416">
        <v>1702</v>
      </c>
      <c r="F416" t="s">
        <v>4314</v>
      </c>
      <c r="G416" t="s">
        <v>6204</v>
      </c>
      <c r="H416">
        <v>342278</v>
      </c>
      <c r="I416">
        <v>96812</v>
      </c>
      <c r="J416">
        <v>0.22215695003465</v>
      </c>
      <c r="K416">
        <v>76039.436543960095</v>
      </c>
      <c r="L416">
        <v>76039.436543960095</v>
      </c>
      <c r="M416">
        <v>599</v>
      </c>
    </row>
    <row r="417" spans="1:13" ht="15">
      <c r="A417" t="s">
        <v>3428</v>
      </c>
      <c r="B417" s="1040" t="str">
        <f>CONCATENATE(LEFT(RIGHT(CONCATENATE("000",IFAData_TEA_1718!A417),6),3),"-",(RIGHT(RIGHT(CONCATENATE("000",IFAData_TEA_1718!A417),6),3)))</f>
        <v>030-902</v>
      </c>
      <c r="C417" t="s">
        <v>31</v>
      </c>
      <c r="D417">
        <v>9</v>
      </c>
      <c r="E417">
        <v>1702</v>
      </c>
      <c r="F417" t="s">
        <v>4314</v>
      </c>
      <c r="G417" t="s">
        <v>6205</v>
      </c>
      <c r="H417">
        <v>342278</v>
      </c>
      <c r="I417">
        <v>165390</v>
      </c>
      <c r="J417">
        <v>0.37952462469767001</v>
      </c>
      <c r="K417">
        <v>129902.929492269</v>
      </c>
      <c r="L417">
        <v>129902.929492269</v>
      </c>
      <c r="M417">
        <v>599</v>
      </c>
    </row>
    <row r="418" spans="1:13" ht="15">
      <c r="A418" t="s">
        <v>3429</v>
      </c>
      <c r="B418" s="1040" t="str">
        <f>CONCATENATE(LEFT(RIGHT(CONCATENATE("000",IFAData_TEA_1718!A418),6),3),"-",(RIGHT(RIGHT(CONCATENATE("000",IFAData_TEA_1718!A418),6),3)))</f>
        <v>030-903</v>
      </c>
      <c r="C418" t="s">
        <v>1601</v>
      </c>
      <c r="D418">
        <v>9</v>
      </c>
      <c r="E418">
        <v>1589</v>
      </c>
      <c r="F418" t="s">
        <v>4315</v>
      </c>
      <c r="G418" t="s">
        <v>4315</v>
      </c>
      <c r="H418">
        <v>94523</v>
      </c>
      <c r="I418">
        <v>94600</v>
      </c>
      <c r="J418">
        <v>0.50630201503920402</v>
      </c>
      <c r="K418">
        <v>47857.185367550599</v>
      </c>
      <c r="L418">
        <v>47857.185367550599</v>
      </c>
      <c r="M418">
        <v>599</v>
      </c>
    </row>
    <row r="419" spans="1:13" ht="15">
      <c r="A419" t="s">
        <v>3429</v>
      </c>
      <c r="B419" s="1040" t="str">
        <f>CONCATENATE(LEFT(RIGHT(CONCATENATE("000",IFAData_TEA_1718!A419),6),3),"-",(RIGHT(RIGHT(CONCATENATE("000",IFAData_TEA_1718!A419),6),3)))</f>
        <v>030-903</v>
      </c>
      <c r="C419" t="s">
        <v>1601</v>
      </c>
      <c r="D419">
        <v>9</v>
      </c>
      <c r="E419">
        <v>1589</v>
      </c>
      <c r="F419" t="s">
        <v>4315</v>
      </c>
      <c r="G419" t="s">
        <v>8329</v>
      </c>
      <c r="H419">
        <v>94523</v>
      </c>
      <c r="I419">
        <v>92245</v>
      </c>
      <c r="J419">
        <v>0.49369798496079598</v>
      </c>
      <c r="K419">
        <v>46665.814632449401</v>
      </c>
      <c r="L419">
        <v>46665.814632449401</v>
      </c>
      <c r="M419">
        <v>599</v>
      </c>
    </row>
    <row r="420" spans="1:13" ht="15">
      <c r="A420" t="s">
        <v>3430</v>
      </c>
      <c r="B420" s="1040" t="str">
        <f>CONCATENATE(LEFT(RIGHT(CONCATENATE("000",IFAData_TEA_1718!A420),6),3),"-",(RIGHT(RIGHT(CONCATENATE("000",IFAData_TEA_1718!A420),6),3)))</f>
        <v>031-901</v>
      </c>
      <c r="C420" t="s">
        <v>2635</v>
      </c>
      <c r="D420">
        <v>3</v>
      </c>
      <c r="E420">
        <v>1642</v>
      </c>
      <c r="F420" t="s">
        <v>4316</v>
      </c>
      <c r="G420" t="s">
        <v>4316</v>
      </c>
      <c r="H420">
        <v>2472263</v>
      </c>
      <c r="I420">
        <v>0</v>
      </c>
      <c r="J420">
        <v>0</v>
      </c>
      <c r="K420">
        <v>0</v>
      </c>
      <c r="L420">
        <v>0</v>
      </c>
      <c r="M420">
        <v>599</v>
      </c>
    </row>
    <row r="421" spans="1:13" ht="15">
      <c r="A421" t="s">
        <v>3430</v>
      </c>
      <c r="B421" s="1040" t="str">
        <f>CONCATENATE(LEFT(RIGHT(CONCATENATE("000",IFAData_TEA_1718!A421),6),3),"-",(RIGHT(RIGHT(CONCATENATE("000",IFAData_TEA_1718!A421),6),3)))</f>
        <v>031-901</v>
      </c>
      <c r="C421" t="s">
        <v>2635</v>
      </c>
      <c r="D421">
        <v>3</v>
      </c>
      <c r="E421">
        <v>1642</v>
      </c>
      <c r="F421" t="s">
        <v>4316</v>
      </c>
      <c r="G421" t="s">
        <v>4317</v>
      </c>
      <c r="H421">
        <v>2472263</v>
      </c>
      <c r="I421">
        <v>0</v>
      </c>
      <c r="J421">
        <v>0</v>
      </c>
      <c r="K421">
        <v>0</v>
      </c>
      <c r="L421">
        <v>0</v>
      </c>
      <c r="M421">
        <v>599</v>
      </c>
    </row>
    <row r="422" spans="1:13" ht="15">
      <c r="A422" t="s">
        <v>3430</v>
      </c>
      <c r="B422" s="1040" t="str">
        <f>CONCATENATE(LEFT(RIGHT(CONCATENATE("000",IFAData_TEA_1718!A422),6),3),"-",(RIGHT(RIGHT(CONCATENATE("000",IFAData_TEA_1718!A422),6),3)))</f>
        <v>031-901</v>
      </c>
      <c r="C422" t="s">
        <v>2635</v>
      </c>
      <c r="D422">
        <v>3</v>
      </c>
      <c r="E422">
        <v>1642</v>
      </c>
      <c r="F422" t="s">
        <v>4316</v>
      </c>
      <c r="G422" t="s">
        <v>4318</v>
      </c>
      <c r="H422">
        <v>2472263</v>
      </c>
      <c r="I422">
        <v>2060239</v>
      </c>
      <c r="J422">
        <v>0.89224954623979902</v>
      </c>
      <c r="K422">
        <v>2205875.5399354398</v>
      </c>
      <c r="L422">
        <v>2060239</v>
      </c>
      <c r="M422">
        <v>599</v>
      </c>
    </row>
    <row r="423" spans="1:13" ht="15">
      <c r="A423" t="s">
        <v>3430</v>
      </c>
      <c r="B423" s="1040" t="str">
        <f>CONCATENATE(LEFT(RIGHT(CONCATENATE("000",IFAData_TEA_1718!A423),6),3),"-",(RIGHT(RIGHT(CONCATENATE("000",IFAData_TEA_1718!A423),6),3)))</f>
        <v>031-901</v>
      </c>
      <c r="C423" t="s">
        <v>2635</v>
      </c>
      <c r="D423">
        <v>3</v>
      </c>
      <c r="E423">
        <v>1642</v>
      </c>
      <c r="F423" t="s">
        <v>4316</v>
      </c>
      <c r="G423" t="s">
        <v>6206</v>
      </c>
      <c r="H423">
        <v>2472263</v>
      </c>
      <c r="I423">
        <v>248800</v>
      </c>
      <c r="J423">
        <v>0.107750453760201</v>
      </c>
      <c r="K423">
        <v>266387.46006455499</v>
      </c>
      <c r="L423">
        <v>248800</v>
      </c>
      <c r="M423">
        <v>599</v>
      </c>
    </row>
    <row r="424" spans="1:13" ht="15">
      <c r="A424" t="s">
        <v>3430</v>
      </c>
      <c r="B424" s="1040" t="str">
        <f>CONCATENATE(LEFT(RIGHT(CONCATENATE("000",IFAData_TEA_1718!A424),6),3),"-",(RIGHT(RIGHT(CONCATENATE("000",IFAData_TEA_1718!A424),6),3)))</f>
        <v>031-901</v>
      </c>
      <c r="C424" t="s">
        <v>2635</v>
      </c>
      <c r="D424">
        <v>5</v>
      </c>
      <c r="E424">
        <v>1643</v>
      </c>
      <c r="F424" t="s">
        <v>4319</v>
      </c>
      <c r="G424" t="s">
        <v>4319</v>
      </c>
      <c r="H424">
        <v>3118521</v>
      </c>
      <c r="I424">
        <v>0</v>
      </c>
      <c r="J424">
        <v>0</v>
      </c>
      <c r="K424">
        <v>0</v>
      </c>
      <c r="L424">
        <v>0</v>
      </c>
      <c r="M424">
        <v>599</v>
      </c>
    </row>
    <row r="425" spans="1:13" ht="15">
      <c r="A425" t="s">
        <v>3430</v>
      </c>
      <c r="B425" s="1040" t="str">
        <f>CONCATENATE(LEFT(RIGHT(CONCATENATE("000",IFAData_TEA_1718!A425),6),3),"-",(RIGHT(RIGHT(CONCATENATE("000",IFAData_TEA_1718!A425),6),3)))</f>
        <v>031-901</v>
      </c>
      <c r="C425" t="s">
        <v>2635</v>
      </c>
      <c r="D425">
        <v>5</v>
      </c>
      <c r="E425">
        <v>1643</v>
      </c>
      <c r="F425" t="s">
        <v>4319</v>
      </c>
      <c r="G425" t="s">
        <v>4317</v>
      </c>
      <c r="H425">
        <v>3118521</v>
      </c>
      <c r="I425">
        <v>0</v>
      </c>
      <c r="J425">
        <v>0</v>
      </c>
      <c r="K425">
        <v>0</v>
      </c>
      <c r="L425">
        <v>0</v>
      </c>
      <c r="M425">
        <v>599</v>
      </c>
    </row>
    <row r="426" spans="1:13" ht="15">
      <c r="A426" t="s">
        <v>3430</v>
      </c>
      <c r="B426" s="1040" t="str">
        <f>CONCATENATE(LEFT(RIGHT(CONCATENATE("000",IFAData_TEA_1718!A426),6),3),"-",(RIGHT(RIGHT(CONCATENATE("000",IFAData_TEA_1718!A426),6),3)))</f>
        <v>031-901</v>
      </c>
      <c r="C426" t="s">
        <v>2635</v>
      </c>
      <c r="D426">
        <v>5</v>
      </c>
      <c r="E426">
        <v>1643</v>
      </c>
      <c r="F426" t="s">
        <v>4319</v>
      </c>
      <c r="G426" t="s">
        <v>4320</v>
      </c>
      <c r="H426">
        <v>3118521</v>
      </c>
      <c r="I426">
        <v>0</v>
      </c>
      <c r="J426">
        <v>0</v>
      </c>
      <c r="K426">
        <v>0</v>
      </c>
      <c r="L426">
        <v>0</v>
      </c>
      <c r="M426">
        <v>599</v>
      </c>
    </row>
    <row r="427" spans="1:13" ht="15">
      <c r="A427" t="s">
        <v>3430</v>
      </c>
      <c r="B427" s="1040" t="str">
        <f>CONCATENATE(LEFT(RIGHT(CONCATENATE("000",IFAData_TEA_1718!A427),6),3),"-",(RIGHT(RIGHT(CONCATENATE("000",IFAData_TEA_1718!A427),6),3)))</f>
        <v>031-901</v>
      </c>
      <c r="C427" t="s">
        <v>2635</v>
      </c>
      <c r="D427">
        <v>5</v>
      </c>
      <c r="E427">
        <v>1643</v>
      </c>
      <c r="F427" t="s">
        <v>4319</v>
      </c>
      <c r="G427" t="s">
        <v>4318</v>
      </c>
      <c r="H427">
        <v>3118521</v>
      </c>
      <c r="I427">
        <v>2440299</v>
      </c>
      <c r="J427">
        <v>1</v>
      </c>
      <c r="K427">
        <v>3118521</v>
      </c>
      <c r="L427">
        <v>2440299</v>
      </c>
      <c r="M427">
        <v>599</v>
      </c>
    </row>
    <row r="428" spans="1:13" ht="15">
      <c r="A428" t="s">
        <v>3430</v>
      </c>
      <c r="B428" s="1040" t="str">
        <f>CONCATENATE(LEFT(RIGHT(CONCATENATE("000",IFAData_TEA_1718!A428),6),3),"-",(RIGHT(RIGHT(CONCATENATE("000",IFAData_TEA_1718!A428),6),3)))</f>
        <v>031-901</v>
      </c>
      <c r="C428" t="s">
        <v>2635</v>
      </c>
      <c r="D428">
        <v>5</v>
      </c>
      <c r="E428">
        <v>1643</v>
      </c>
      <c r="F428" t="s">
        <v>4319</v>
      </c>
      <c r="G428" t="s">
        <v>6206</v>
      </c>
      <c r="H428">
        <v>3118521</v>
      </c>
      <c r="I428">
        <v>0</v>
      </c>
      <c r="J428">
        <v>0</v>
      </c>
      <c r="K428">
        <v>0</v>
      </c>
      <c r="L428">
        <v>0</v>
      </c>
      <c r="M428">
        <v>599</v>
      </c>
    </row>
    <row r="429" spans="1:13" ht="15">
      <c r="A429" t="s">
        <v>3430</v>
      </c>
      <c r="B429" s="1040" t="str">
        <f>CONCATENATE(LEFT(RIGHT(CONCATENATE("000",IFAData_TEA_1718!A429),6),3),"-",(RIGHT(RIGHT(CONCATENATE("000",IFAData_TEA_1718!A429),6),3)))</f>
        <v>031-901</v>
      </c>
      <c r="C429" t="s">
        <v>2635</v>
      </c>
      <c r="D429">
        <v>8</v>
      </c>
      <c r="E429">
        <v>1644</v>
      </c>
      <c r="F429" t="s">
        <v>4321</v>
      </c>
      <c r="G429" t="s">
        <v>4321</v>
      </c>
      <c r="H429">
        <v>9847713</v>
      </c>
      <c r="I429">
        <v>0</v>
      </c>
      <c r="J429">
        <v>0</v>
      </c>
      <c r="K429">
        <v>0</v>
      </c>
      <c r="L429">
        <v>0</v>
      </c>
      <c r="M429">
        <v>599</v>
      </c>
    </row>
    <row r="430" spans="1:13" ht="15">
      <c r="A430" t="s">
        <v>3430</v>
      </c>
      <c r="B430" s="1040" t="str">
        <f>CONCATENATE(LEFT(RIGHT(CONCATENATE("000",IFAData_TEA_1718!A430),6),3),"-",(RIGHT(RIGHT(CONCATENATE("000",IFAData_TEA_1718!A430),6),3)))</f>
        <v>031-901</v>
      </c>
      <c r="C430" t="s">
        <v>2635</v>
      </c>
      <c r="D430">
        <v>8</v>
      </c>
      <c r="E430">
        <v>1644</v>
      </c>
      <c r="F430" t="s">
        <v>4321</v>
      </c>
      <c r="G430" t="s">
        <v>4320</v>
      </c>
      <c r="H430">
        <v>9847713</v>
      </c>
      <c r="I430">
        <v>9233650</v>
      </c>
      <c r="J430">
        <v>1</v>
      </c>
      <c r="K430">
        <v>9847713</v>
      </c>
      <c r="L430">
        <v>9233650</v>
      </c>
      <c r="M430">
        <v>599</v>
      </c>
    </row>
    <row r="431" spans="1:13" ht="15">
      <c r="A431" t="s">
        <v>3430</v>
      </c>
      <c r="B431" s="1040" t="str">
        <f>CONCATENATE(LEFT(RIGHT(CONCATENATE("000",IFAData_TEA_1718!A431),6),3),"-",(RIGHT(RIGHT(CONCATENATE("000",IFAData_TEA_1718!A431),6),3)))</f>
        <v>031-901</v>
      </c>
      <c r="C431" t="s">
        <v>2635</v>
      </c>
      <c r="D431">
        <v>10</v>
      </c>
      <c r="E431">
        <v>1641</v>
      </c>
      <c r="F431" t="s">
        <v>4322</v>
      </c>
      <c r="G431" t="s">
        <v>4322</v>
      </c>
      <c r="H431">
        <v>1323878</v>
      </c>
      <c r="I431">
        <v>1206014</v>
      </c>
      <c r="J431">
        <v>1</v>
      </c>
      <c r="K431">
        <v>1323878</v>
      </c>
      <c r="L431">
        <v>1206014</v>
      </c>
      <c r="M431">
        <v>199</v>
      </c>
    </row>
    <row r="432" spans="1:13" ht="15">
      <c r="A432" t="s">
        <v>3430</v>
      </c>
      <c r="B432" s="1040" t="str">
        <f>CONCATENATE(LEFT(RIGHT(CONCATENATE("000",IFAData_TEA_1718!A432),6),3),"-",(RIGHT(RIGHT(CONCATENATE("000",IFAData_TEA_1718!A432),6),3)))</f>
        <v>031-901</v>
      </c>
      <c r="C432" t="s">
        <v>2635</v>
      </c>
      <c r="D432">
        <v>10</v>
      </c>
      <c r="E432">
        <v>1638</v>
      </c>
      <c r="F432" t="s">
        <v>4323</v>
      </c>
      <c r="G432" t="s">
        <v>4323</v>
      </c>
      <c r="H432">
        <v>414217</v>
      </c>
      <c r="I432">
        <v>340187</v>
      </c>
      <c r="J432">
        <v>1</v>
      </c>
      <c r="K432">
        <v>414217</v>
      </c>
      <c r="L432">
        <v>340187</v>
      </c>
      <c r="M432">
        <v>199</v>
      </c>
    </row>
    <row r="433" spans="1:13" ht="15">
      <c r="A433" t="s">
        <v>3430</v>
      </c>
      <c r="B433" s="1040" t="str">
        <f>CONCATENATE(LEFT(RIGHT(CONCATENATE("000",IFAData_TEA_1718!A433),6),3),"-",(RIGHT(RIGHT(CONCATENATE("000",IFAData_TEA_1718!A433),6),3)))</f>
        <v>031-901</v>
      </c>
      <c r="C433" t="s">
        <v>2635</v>
      </c>
      <c r="D433">
        <v>10</v>
      </c>
      <c r="E433">
        <v>1640</v>
      </c>
      <c r="F433" t="s">
        <v>4324</v>
      </c>
      <c r="G433" t="s">
        <v>4324</v>
      </c>
      <c r="H433">
        <v>651339</v>
      </c>
      <c r="I433">
        <v>544198</v>
      </c>
      <c r="J433">
        <v>1</v>
      </c>
      <c r="K433">
        <v>651339</v>
      </c>
      <c r="L433">
        <v>544198</v>
      </c>
      <c r="M433">
        <v>199</v>
      </c>
    </row>
    <row r="434" spans="1:13" ht="15">
      <c r="A434" t="s">
        <v>3430</v>
      </c>
      <c r="B434" s="1040" t="str">
        <f>CONCATENATE(LEFT(RIGHT(CONCATENATE("000",IFAData_TEA_1718!A434),6),3),"-",(RIGHT(RIGHT(CONCATENATE("000",IFAData_TEA_1718!A434),6),3)))</f>
        <v>031-901</v>
      </c>
      <c r="C434" t="s">
        <v>2635</v>
      </c>
      <c r="D434">
        <v>10</v>
      </c>
      <c r="E434">
        <v>1639</v>
      </c>
      <c r="F434" t="s">
        <v>4325</v>
      </c>
      <c r="G434" t="s">
        <v>4325</v>
      </c>
      <c r="H434">
        <v>427251</v>
      </c>
      <c r="I434">
        <v>367105</v>
      </c>
      <c r="J434">
        <v>1</v>
      </c>
      <c r="K434">
        <v>427251</v>
      </c>
      <c r="L434">
        <v>367105</v>
      </c>
      <c r="M434">
        <v>199</v>
      </c>
    </row>
    <row r="435" spans="1:13" ht="15">
      <c r="A435" t="s">
        <v>3430</v>
      </c>
      <c r="B435" s="1040" t="str">
        <f>CONCATENATE(LEFT(RIGHT(CONCATENATE("000",IFAData_TEA_1718!A435),6),3),"-",(RIGHT(RIGHT(CONCATENATE("000",IFAData_TEA_1718!A435),6),3)))</f>
        <v>031-901</v>
      </c>
      <c r="C435" t="s">
        <v>2635</v>
      </c>
      <c r="D435">
        <v>10</v>
      </c>
      <c r="E435">
        <v>1637</v>
      </c>
      <c r="F435" t="s">
        <v>4326</v>
      </c>
      <c r="G435" t="s">
        <v>4326</v>
      </c>
      <c r="H435">
        <v>276579</v>
      </c>
      <c r="I435">
        <v>198207</v>
      </c>
      <c r="J435">
        <v>1</v>
      </c>
      <c r="K435">
        <v>276579</v>
      </c>
      <c r="L435">
        <v>198207</v>
      </c>
      <c r="M435">
        <v>199</v>
      </c>
    </row>
    <row r="436" spans="1:13" ht="15">
      <c r="A436" t="s">
        <v>3431</v>
      </c>
      <c r="B436" s="1040" t="str">
        <f>CONCATENATE(LEFT(RIGHT(CONCATENATE("000",IFAData_TEA_1718!A436),6),3),"-",(RIGHT(RIGHT(CONCATENATE("000",IFAData_TEA_1718!A436),6),3)))</f>
        <v>031-903</v>
      </c>
      <c r="C436" t="s">
        <v>34</v>
      </c>
      <c r="D436">
        <v>3</v>
      </c>
      <c r="E436">
        <v>1872</v>
      </c>
      <c r="F436" t="s">
        <v>4327</v>
      </c>
      <c r="G436" t="s">
        <v>4327</v>
      </c>
      <c r="H436">
        <v>3617370</v>
      </c>
      <c r="I436">
        <v>0</v>
      </c>
      <c r="J436">
        <v>0</v>
      </c>
      <c r="K436">
        <v>0</v>
      </c>
      <c r="L436">
        <v>0</v>
      </c>
      <c r="M436">
        <v>599</v>
      </c>
    </row>
    <row r="437" spans="1:13" ht="15">
      <c r="A437" t="s">
        <v>3431</v>
      </c>
      <c r="B437" s="1040" t="str">
        <f>CONCATENATE(LEFT(RIGHT(CONCATENATE("000",IFAData_TEA_1718!A437),6),3),"-",(RIGHT(RIGHT(CONCATENATE("000",IFAData_TEA_1718!A437),6),3)))</f>
        <v>031-903</v>
      </c>
      <c r="C437" t="s">
        <v>34</v>
      </c>
      <c r="D437">
        <v>3</v>
      </c>
      <c r="E437">
        <v>1872</v>
      </c>
      <c r="F437" t="s">
        <v>4327</v>
      </c>
      <c r="G437" t="s">
        <v>4328</v>
      </c>
      <c r="H437">
        <v>3617370</v>
      </c>
      <c r="I437">
        <v>0</v>
      </c>
      <c r="J437">
        <v>0</v>
      </c>
      <c r="K437">
        <v>0</v>
      </c>
      <c r="L437">
        <v>0</v>
      </c>
      <c r="M437">
        <v>599</v>
      </c>
    </row>
    <row r="438" spans="1:13" ht="15">
      <c r="A438" t="s">
        <v>3431</v>
      </c>
      <c r="B438" s="1040" t="str">
        <f>CONCATENATE(LEFT(RIGHT(CONCATENATE("000",IFAData_TEA_1718!A438),6),3),"-",(RIGHT(RIGHT(CONCATENATE("000",IFAData_TEA_1718!A438),6),3)))</f>
        <v>031-903</v>
      </c>
      <c r="C438" t="s">
        <v>34</v>
      </c>
      <c r="D438">
        <v>3</v>
      </c>
      <c r="E438">
        <v>1872</v>
      </c>
      <c r="F438" t="s">
        <v>4327</v>
      </c>
      <c r="G438" t="s">
        <v>6207</v>
      </c>
      <c r="H438">
        <v>3617370</v>
      </c>
      <c r="I438">
        <v>2848154</v>
      </c>
      <c r="J438">
        <v>1</v>
      </c>
      <c r="K438">
        <v>3617370</v>
      </c>
      <c r="L438">
        <v>2848154</v>
      </c>
      <c r="M438">
        <v>599</v>
      </c>
    </row>
    <row r="439" spans="1:13" ht="15">
      <c r="A439" t="s">
        <v>3431</v>
      </c>
      <c r="B439" s="1040" t="str">
        <f>CONCATENATE(LEFT(RIGHT(CONCATENATE("000",IFAData_TEA_1718!A439),6),3),"-",(RIGHT(RIGHT(CONCATENATE("000",IFAData_TEA_1718!A439),6),3)))</f>
        <v>031-903</v>
      </c>
      <c r="C439" t="s">
        <v>34</v>
      </c>
      <c r="D439">
        <v>5</v>
      </c>
      <c r="E439">
        <v>1871</v>
      </c>
      <c r="F439" t="s">
        <v>4329</v>
      </c>
      <c r="G439" t="s">
        <v>4329</v>
      </c>
      <c r="H439">
        <v>830941</v>
      </c>
      <c r="I439">
        <v>0</v>
      </c>
      <c r="J439">
        <v>0</v>
      </c>
      <c r="K439">
        <v>0</v>
      </c>
      <c r="L439">
        <v>0</v>
      </c>
      <c r="M439">
        <v>599</v>
      </c>
    </row>
    <row r="440" spans="1:13" ht="15">
      <c r="A440" t="s">
        <v>3431</v>
      </c>
      <c r="B440" s="1040" t="str">
        <f>CONCATENATE(LEFT(RIGHT(CONCATENATE("000",IFAData_TEA_1718!A440),6),3),"-",(RIGHT(RIGHT(CONCATENATE("000",IFAData_TEA_1718!A440),6),3)))</f>
        <v>031-903</v>
      </c>
      <c r="C440" t="s">
        <v>34</v>
      </c>
      <c r="D440">
        <v>5</v>
      </c>
      <c r="E440">
        <v>1871</v>
      </c>
      <c r="F440" t="s">
        <v>4329</v>
      </c>
      <c r="G440" t="s">
        <v>4330</v>
      </c>
      <c r="H440">
        <v>830941</v>
      </c>
      <c r="I440">
        <v>748675</v>
      </c>
      <c r="J440">
        <v>1</v>
      </c>
      <c r="K440">
        <v>830941</v>
      </c>
      <c r="L440">
        <v>748675</v>
      </c>
      <c r="M440">
        <v>599</v>
      </c>
    </row>
    <row r="441" spans="1:13" ht="15">
      <c r="A441" t="s">
        <v>3431</v>
      </c>
      <c r="B441" s="1040" t="str">
        <f>CONCATENATE(LEFT(RIGHT(CONCATENATE("000",IFAData_TEA_1718!A441),6),3),"-",(RIGHT(RIGHT(CONCATENATE("000",IFAData_TEA_1718!A441),6),3)))</f>
        <v>031-903</v>
      </c>
      <c r="C441" t="s">
        <v>34</v>
      </c>
      <c r="D441">
        <v>9</v>
      </c>
      <c r="E441">
        <v>1870</v>
      </c>
      <c r="F441" t="s">
        <v>4331</v>
      </c>
      <c r="G441" t="s">
        <v>4331</v>
      </c>
      <c r="H441">
        <v>462864</v>
      </c>
      <c r="I441">
        <v>449448</v>
      </c>
      <c r="J441">
        <v>1</v>
      </c>
      <c r="K441">
        <v>462864</v>
      </c>
      <c r="L441">
        <v>449448</v>
      </c>
      <c r="M441">
        <v>199</v>
      </c>
    </row>
    <row r="442" spans="1:13" ht="15">
      <c r="A442" t="s">
        <v>3431</v>
      </c>
      <c r="B442" s="1040" t="str">
        <f>CONCATENATE(LEFT(RIGHT(CONCATENATE("000",IFAData_TEA_1718!A442),6),3),"-",(RIGHT(RIGHT(CONCATENATE("000",IFAData_TEA_1718!A442),6),3)))</f>
        <v>031-903</v>
      </c>
      <c r="C442" t="s">
        <v>34</v>
      </c>
      <c r="D442">
        <v>10</v>
      </c>
      <c r="E442">
        <v>1873</v>
      </c>
      <c r="F442" t="s">
        <v>4332</v>
      </c>
      <c r="G442" t="s">
        <v>4332</v>
      </c>
      <c r="H442">
        <v>3813436</v>
      </c>
      <c r="I442">
        <v>3884144</v>
      </c>
      <c r="J442">
        <v>1</v>
      </c>
      <c r="K442">
        <v>3813436</v>
      </c>
      <c r="L442">
        <v>3813436</v>
      </c>
      <c r="M442">
        <v>599</v>
      </c>
    </row>
    <row r="443" spans="1:13" ht="15">
      <c r="A443" t="s">
        <v>3432</v>
      </c>
      <c r="B443" s="1040" t="str">
        <f>CONCATENATE(LEFT(RIGHT(CONCATENATE("000",IFAData_TEA_1718!A443),6),3),"-",(RIGHT(RIGHT(CONCATENATE("000",IFAData_TEA_1718!A443),6),3)))</f>
        <v>031-905</v>
      </c>
      <c r="C443" t="s">
        <v>1881</v>
      </c>
      <c r="D443">
        <v>1</v>
      </c>
      <c r="E443">
        <v>1978</v>
      </c>
      <c r="F443" t="s">
        <v>4333</v>
      </c>
      <c r="G443" t="s">
        <v>4333</v>
      </c>
      <c r="H443">
        <v>531801</v>
      </c>
      <c r="I443">
        <v>0</v>
      </c>
      <c r="J443">
        <v>0</v>
      </c>
      <c r="K443">
        <v>0</v>
      </c>
      <c r="L443">
        <v>0</v>
      </c>
      <c r="M443">
        <v>599</v>
      </c>
    </row>
    <row r="444" spans="1:13" ht="15">
      <c r="A444" t="s">
        <v>3432</v>
      </c>
      <c r="B444" s="1040" t="str">
        <f>CONCATENATE(LEFT(RIGHT(CONCATENATE("000",IFAData_TEA_1718!A444),6),3),"-",(RIGHT(RIGHT(CONCATENATE("000",IFAData_TEA_1718!A444),6),3)))</f>
        <v>031-905</v>
      </c>
      <c r="C444" t="s">
        <v>1881</v>
      </c>
      <c r="D444">
        <v>1</v>
      </c>
      <c r="E444">
        <v>1978</v>
      </c>
      <c r="F444" t="s">
        <v>4333</v>
      </c>
      <c r="G444" t="s">
        <v>4334</v>
      </c>
      <c r="H444">
        <v>531801</v>
      </c>
      <c r="I444">
        <v>0</v>
      </c>
      <c r="J444">
        <v>0</v>
      </c>
      <c r="K444">
        <v>0</v>
      </c>
      <c r="L444">
        <v>0</v>
      </c>
      <c r="M444">
        <v>599</v>
      </c>
    </row>
    <row r="445" spans="1:13" ht="15">
      <c r="A445" t="s">
        <v>3432</v>
      </c>
      <c r="B445" s="1040" t="str">
        <f>CONCATENATE(LEFT(RIGHT(CONCATENATE("000",IFAData_TEA_1718!A445),6),3),"-",(RIGHT(RIGHT(CONCATENATE("000",IFAData_TEA_1718!A445),6),3)))</f>
        <v>031-905</v>
      </c>
      <c r="C445" t="s">
        <v>1881</v>
      </c>
      <c r="D445">
        <v>1</v>
      </c>
      <c r="E445">
        <v>1978</v>
      </c>
      <c r="F445" t="s">
        <v>4333</v>
      </c>
      <c r="G445" t="s">
        <v>8330</v>
      </c>
      <c r="H445">
        <v>531801</v>
      </c>
      <c r="I445">
        <v>329944</v>
      </c>
      <c r="J445">
        <v>1</v>
      </c>
      <c r="K445">
        <v>531801</v>
      </c>
      <c r="L445">
        <v>329944</v>
      </c>
      <c r="M445">
        <v>599</v>
      </c>
    </row>
    <row r="446" spans="1:13" ht="15">
      <c r="A446" t="s">
        <v>3432</v>
      </c>
      <c r="B446" s="1040" t="str">
        <f>CONCATENATE(LEFT(RIGHT(CONCATENATE("000",IFAData_TEA_1718!A446),6),3),"-",(RIGHT(RIGHT(CONCATENATE("000",IFAData_TEA_1718!A446),6),3)))</f>
        <v>031-905</v>
      </c>
      <c r="C446" t="s">
        <v>1881</v>
      </c>
      <c r="D446">
        <v>3</v>
      </c>
      <c r="E446">
        <v>1975</v>
      </c>
      <c r="F446" t="s">
        <v>4335</v>
      </c>
      <c r="G446" t="s">
        <v>4335</v>
      </c>
      <c r="H446">
        <v>124856</v>
      </c>
      <c r="I446">
        <v>0</v>
      </c>
      <c r="J446">
        <v>0</v>
      </c>
      <c r="K446">
        <v>0</v>
      </c>
      <c r="L446">
        <v>0</v>
      </c>
      <c r="M446">
        <v>199</v>
      </c>
    </row>
    <row r="447" spans="1:13" ht="15">
      <c r="A447" t="s">
        <v>3432</v>
      </c>
      <c r="B447" s="1040" t="str">
        <f>CONCATENATE(LEFT(RIGHT(CONCATENATE("000",IFAData_TEA_1718!A447),6),3),"-",(RIGHT(RIGHT(CONCATENATE("000",IFAData_TEA_1718!A447),6),3)))</f>
        <v>031-905</v>
      </c>
      <c r="C447" t="s">
        <v>1881</v>
      </c>
      <c r="D447">
        <v>3</v>
      </c>
      <c r="E447">
        <v>1975</v>
      </c>
      <c r="F447" t="s">
        <v>4335</v>
      </c>
      <c r="G447" t="s">
        <v>4336</v>
      </c>
      <c r="H447">
        <v>124856</v>
      </c>
      <c r="I447">
        <v>0</v>
      </c>
      <c r="J447">
        <v>0</v>
      </c>
      <c r="K447">
        <v>0</v>
      </c>
      <c r="L447">
        <v>0</v>
      </c>
      <c r="M447">
        <v>599</v>
      </c>
    </row>
    <row r="448" spans="1:13" ht="15">
      <c r="A448" t="s">
        <v>3432</v>
      </c>
      <c r="B448" s="1040" t="str">
        <f>CONCATENATE(LEFT(RIGHT(CONCATENATE("000",IFAData_TEA_1718!A448),6),3),"-",(RIGHT(RIGHT(CONCATENATE("000",IFAData_TEA_1718!A448),6),3)))</f>
        <v>031-905</v>
      </c>
      <c r="C448" t="s">
        <v>1881</v>
      </c>
      <c r="D448">
        <v>3</v>
      </c>
      <c r="E448">
        <v>1975</v>
      </c>
      <c r="F448" t="s">
        <v>4335</v>
      </c>
      <c r="G448" t="s">
        <v>6208</v>
      </c>
      <c r="H448">
        <v>124856</v>
      </c>
      <c r="I448">
        <v>105266</v>
      </c>
      <c r="J448">
        <v>1</v>
      </c>
      <c r="K448">
        <v>124856</v>
      </c>
      <c r="L448">
        <v>105266</v>
      </c>
      <c r="M448">
        <v>599</v>
      </c>
    </row>
    <row r="449" spans="1:13" ht="15">
      <c r="A449" t="s">
        <v>3432</v>
      </c>
      <c r="B449" s="1040" t="str">
        <f>CONCATENATE(LEFT(RIGHT(CONCATENATE("000",IFAData_TEA_1718!A449),6),3),"-",(RIGHT(RIGHT(CONCATENATE("000",IFAData_TEA_1718!A449),6),3)))</f>
        <v>031-905</v>
      </c>
      <c r="C449" t="s">
        <v>1881</v>
      </c>
      <c r="D449">
        <v>4</v>
      </c>
      <c r="E449">
        <v>1976</v>
      </c>
      <c r="F449" t="s">
        <v>4337</v>
      </c>
      <c r="G449" t="s">
        <v>4337</v>
      </c>
      <c r="H449">
        <v>159423</v>
      </c>
      <c r="I449">
        <v>0</v>
      </c>
      <c r="J449">
        <v>0</v>
      </c>
      <c r="K449"/>
      <c r="L449">
        <v>0</v>
      </c>
      <c r="M449">
        <v>199</v>
      </c>
    </row>
    <row r="450" spans="1:13" ht="15">
      <c r="A450" t="s">
        <v>3432</v>
      </c>
      <c r="B450" s="1040" t="str">
        <f>CONCATENATE(LEFT(RIGHT(CONCATENATE("000",IFAData_TEA_1718!A450),6),3),"-",(RIGHT(RIGHT(CONCATENATE("000",IFAData_TEA_1718!A450),6),3)))</f>
        <v>031-905</v>
      </c>
      <c r="C450" t="s">
        <v>1881</v>
      </c>
      <c r="D450">
        <v>5</v>
      </c>
      <c r="E450">
        <v>1979</v>
      </c>
      <c r="F450" t="s">
        <v>4338</v>
      </c>
      <c r="G450" t="s">
        <v>4338</v>
      </c>
      <c r="H450">
        <v>562519</v>
      </c>
      <c r="I450">
        <v>0</v>
      </c>
      <c r="J450">
        <v>0</v>
      </c>
      <c r="K450">
        <v>0</v>
      </c>
      <c r="L450">
        <v>0</v>
      </c>
      <c r="M450">
        <v>199</v>
      </c>
    </row>
    <row r="451" spans="1:13" ht="15">
      <c r="A451" t="s">
        <v>3432</v>
      </c>
      <c r="B451" s="1040" t="str">
        <f>CONCATENATE(LEFT(RIGHT(CONCATENATE("000",IFAData_TEA_1718!A451),6),3),"-",(RIGHT(RIGHT(CONCATENATE("000",IFAData_TEA_1718!A451),6),3)))</f>
        <v>031-905</v>
      </c>
      <c r="C451" t="s">
        <v>1881</v>
      </c>
      <c r="D451">
        <v>5</v>
      </c>
      <c r="E451">
        <v>1979</v>
      </c>
      <c r="F451" t="s">
        <v>4338</v>
      </c>
      <c r="G451" t="s">
        <v>4336</v>
      </c>
      <c r="H451">
        <v>562519</v>
      </c>
      <c r="I451">
        <v>0</v>
      </c>
      <c r="J451">
        <v>0</v>
      </c>
      <c r="K451">
        <v>0</v>
      </c>
      <c r="L451">
        <v>0</v>
      </c>
      <c r="M451">
        <v>599</v>
      </c>
    </row>
    <row r="452" spans="1:13" ht="15">
      <c r="A452" t="s">
        <v>3432</v>
      </c>
      <c r="B452" s="1040" t="str">
        <f>CONCATENATE(LEFT(RIGHT(CONCATENATE("000",IFAData_TEA_1718!A452),6),3),"-",(RIGHT(RIGHT(CONCATENATE("000",IFAData_TEA_1718!A452),6),3)))</f>
        <v>031-905</v>
      </c>
      <c r="C452" t="s">
        <v>1881</v>
      </c>
      <c r="D452">
        <v>5</v>
      </c>
      <c r="E452">
        <v>1979</v>
      </c>
      <c r="F452" t="s">
        <v>4338</v>
      </c>
      <c r="G452" t="s">
        <v>6208</v>
      </c>
      <c r="H452">
        <v>562519</v>
      </c>
      <c r="I452">
        <v>451484</v>
      </c>
      <c r="J452">
        <v>1</v>
      </c>
      <c r="K452">
        <v>562519</v>
      </c>
      <c r="L452">
        <v>451484</v>
      </c>
      <c r="M452">
        <v>599</v>
      </c>
    </row>
    <row r="453" spans="1:13" ht="15">
      <c r="A453" t="s">
        <v>3432</v>
      </c>
      <c r="B453" s="1040" t="str">
        <f>CONCATENATE(LEFT(RIGHT(CONCATENATE("000",IFAData_TEA_1718!A453),6),3),"-",(RIGHT(RIGHT(CONCATENATE("000",IFAData_TEA_1718!A453),6),3)))</f>
        <v>031-905</v>
      </c>
      <c r="C453" t="s">
        <v>1881</v>
      </c>
      <c r="D453">
        <v>6</v>
      </c>
      <c r="E453">
        <v>1974</v>
      </c>
      <c r="F453" t="s">
        <v>4339</v>
      </c>
      <c r="G453" t="s">
        <v>4339</v>
      </c>
      <c r="H453">
        <v>89560</v>
      </c>
      <c r="I453">
        <v>0</v>
      </c>
      <c r="J453">
        <v>0</v>
      </c>
      <c r="K453">
        <v>0</v>
      </c>
      <c r="L453">
        <v>0</v>
      </c>
      <c r="M453">
        <v>199</v>
      </c>
    </row>
    <row r="454" spans="1:13" ht="15">
      <c r="A454" t="s">
        <v>3432</v>
      </c>
      <c r="B454" s="1040" t="str">
        <f>CONCATENATE(LEFT(RIGHT(CONCATENATE("000",IFAData_TEA_1718!A454),6),3),"-",(RIGHT(RIGHT(CONCATENATE("000",IFAData_TEA_1718!A454),6),3)))</f>
        <v>031-905</v>
      </c>
      <c r="C454" t="s">
        <v>1881</v>
      </c>
      <c r="D454">
        <v>6</v>
      </c>
      <c r="E454">
        <v>1974</v>
      </c>
      <c r="F454" t="s">
        <v>4339</v>
      </c>
      <c r="G454" t="s">
        <v>4336</v>
      </c>
      <c r="H454">
        <v>89560</v>
      </c>
      <c r="I454">
        <v>0</v>
      </c>
      <c r="J454">
        <v>0</v>
      </c>
      <c r="K454">
        <v>0</v>
      </c>
      <c r="L454">
        <v>0</v>
      </c>
      <c r="M454">
        <v>599</v>
      </c>
    </row>
    <row r="455" spans="1:13" ht="15">
      <c r="A455" t="s">
        <v>3432</v>
      </c>
      <c r="B455" s="1040" t="str">
        <f>CONCATENATE(LEFT(RIGHT(CONCATENATE("000",IFAData_TEA_1718!A455),6),3),"-",(RIGHT(RIGHT(CONCATENATE("000",IFAData_TEA_1718!A455),6),3)))</f>
        <v>031-905</v>
      </c>
      <c r="C455" t="s">
        <v>1881</v>
      </c>
      <c r="D455">
        <v>6</v>
      </c>
      <c r="E455">
        <v>1974</v>
      </c>
      <c r="F455" t="s">
        <v>4339</v>
      </c>
      <c r="G455" t="s">
        <v>6208</v>
      </c>
      <c r="H455">
        <v>89560</v>
      </c>
      <c r="I455">
        <v>58800</v>
      </c>
      <c r="J455">
        <v>1</v>
      </c>
      <c r="K455">
        <v>89560</v>
      </c>
      <c r="L455">
        <v>58800</v>
      </c>
      <c r="M455">
        <v>599</v>
      </c>
    </row>
    <row r="456" spans="1:13" ht="15">
      <c r="A456" t="s">
        <v>3432</v>
      </c>
      <c r="B456" s="1040" t="str">
        <f>CONCATENATE(LEFT(RIGHT(CONCATENATE("000",IFAData_TEA_1718!A456),6),3),"-",(RIGHT(RIGHT(CONCATENATE("000",IFAData_TEA_1718!A456),6),3)))</f>
        <v>031-905</v>
      </c>
      <c r="C456" t="s">
        <v>1881</v>
      </c>
      <c r="D456">
        <v>8</v>
      </c>
      <c r="E456">
        <v>1977</v>
      </c>
      <c r="F456" t="s">
        <v>4340</v>
      </c>
      <c r="G456" t="s">
        <v>4340</v>
      </c>
      <c r="H456">
        <v>520989</v>
      </c>
      <c r="I456">
        <v>0</v>
      </c>
      <c r="J456">
        <v>0</v>
      </c>
      <c r="K456">
        <v>0</v>
      </c>
      <c r="L456">
        <v>0</v>
      </c>
      <c r="M456">
        <v>599</v>
      </c>
    </row>
    <row r="457" spans="1:13" ht="15">
      <c r="A457" t="s">
        <v>3432</v>
      </c>
      <c r="B457" s="1040" t="str">
        <f>CONCATENATE(LEFT(RIGHT(CONCATENATE("000",IFAData_TEA_1718!A457),6),3),"-",(RIGHT(RIGHT(CONCATENATE("000",IFAData_TEA_1718!A457),6),3)))</f>
        <v>031-905</v>
      </c>
      <c r="C457" t="s">
        <v>1881</v>
      </c>
      <c r="D457">
        <v>8</v>
      </c>
      <c r="E457">
        <v>1977</v>
      </c>
      <c r="F457" t="s">
        <v>4340</v>
      </c>
      <c r="G457" t="s">
        <v>6210</v>
      </c>
      <c r="H457">
        <v>520989</v>
      </c>
      <c r="I457">
        <v>166100</v>
      </c>
      <c r="J457">
        <v>0.422082459818309</v>
      </c>
      <c r="K457">
        <v>219900.318658281</v>
      </c>
      <c r="L457">
        <v>166100</v>
      </c>
      <c r="M457">
        <v>599</v>
      </c>
    </row>
    <row r="458" spans="1:13" ht="15">
      <c r="A458" t="s">
        <v>3432</v>
      </c>
      <c r="B458" s="1040" t="str">
        <f>CONCATENATE(LEFT(RIGHT(CONCATENATE("000",IFAData_TEA_1718!A458),6),3),"-",(RIGHT(RIGHT(CONCATENATE("000",IFAData_TEA_1718!A458),6),3)))</f>
        <v>031-905</v>
      </c>
      <c r="C458" t="s">
        <v>1881</v>
      </c>
      <c r="D458">
        <v>8</v>
      </c>
      <c r="E458">
        <v>1977</v>
      </c>
      <c r="F458" t="s">
        <v>4340</v>
      </c>
      <c r="G458" t="s">
        <v>6209</v>
      </c>
      <c r="H458">
        <v>520989</v>
      </c>
      <c r="I458">
        <v>227425</v>
      </c>
      <c r="J458">
        <v>0.57791754018169095</v>
      </c>
      <c r="K458">
        <v>301088.681341719</v>
      </c>
      <c r="L458">
        <v>227425</v>
      </c>
      <c r="M458">
        <v>599</v>
      </c>
    </row>
    <row r="459" spans="1:13" ht="15">
      <c r="A459" t="s">
        <v>3432</v>
      </c>
      <c r="B459" s="1040" t="str">
        <f>CONCATENATE(LEFT(RIGHT(CONCATENATE("000",IFAData_TEA_1718!A459),6),3),"-",(RIGHT(RIGHT(CONCATENATE("000",IFAData_TEA_1718!A459),6),3)))</f>
        <v>031-905</v>
      </c>
      <c r="C459" t="s">
        <v>1881</v>
      </c>
      <c r="D459">
        <v>9</v>
      </c>
      <c r="E459">
        <v>1980</v>
      </c>
      <c r="F459" t="s">
        <v>4341</v>
      </c>
      <c r="G459" t="s">
        <v>4341</v>
      </c>
      <c r="H459">
        <v>790500</v>
      </c>
      <c r="I459">
        <v>485025</v>
      </c>
      <c r="J459">
        <v>0.57489145779032602</v>
      </c>
      <c r="K459">
        <v>454451.69738325302</v>
      </c>
      <c r="L459">
        <v>454451.69738325302</v>
      </c>
      <c r="M459">
        <v>599</v>
      </c>
    </row>
    <row r="460" spans="1:13" ht="15">
      <c r="A460" t="s">
        <v>3432</v>
      </c>
      <c r="B460" s="1040" t="str">
        <f>CONCATENATE(LEFT(RIGHT(CONCATENATE("000",IFAData_TEA_1718!A460),6),3),"-",(RIGHT(RIGHT(CONCATENATE("000",IFAData_TEA_1718!A460),6),3)))</f>
        <v>031-905</v>
      </c>
      <c r="C460" t="s">
        <v>1881</v>
      </c>
      <c r="D460">
        <v>9</v>
      </c>
      <c r="E460">
        <v>1980</v>
      </c>
      <c r="F460" t="s">
        <v>4341</v>
      </c>
      <c r="G460" t="s">
        <v>8330</v>
      </c>
      <c r="H460">
        <v>790500</v>
      </c>
      <c r="I460">
        <v>217406</v>
      </c>
      <c r="J460">
        <v>0.25768744347685901</v>
      </c>
      <c r="K460">
        <v>203701.92406845701</v>
      </c>
      <c r="L460">
        <v>203701.92406845701</v>
      </c>
      <c r="M460">
        <v>599</v>
      </c>
    </row>
    <row r="461" spans="1:13" ht="15">
      <c r="A461" t="s">
        <v>3432</v>
      </c>
      <c r="B461" s="1040" t="str">
        <f>CONCATENATE(LEFT(RIGHT(CONCATENATE("000",IFAData_TEA_1718!A461),6),3),"-",(RIGHT(RIGHT(CONCATENATE("000",IFAData_TEA_1718!A461),6),3)))</f>
        <v>031-905</v>
      </c>
      <c r="C461" t="s">
        <v>1881</v>
      </c>
      <c r="D461">
        <v>9</v>
      </c>
      <c r="E461">
        <v>1980</v>
      </c>
      <c r="F461" t="s">
        <v>4341</v>
      </c>
      <c r="G461" t="s">
        <v>8331</v>
      </c>
      <c r="H461">
        <v>790500</v>
      </c>
      <c r="I461">
        <v>141250</v>
      </c>
      <c r="J461">
        <v>0.16742109873281499</v>
      </c>
      <c r="K461">
        <v>132346.37854829</v>
      </c>
      <c r="L461">
        <v>132346.37854829</v>
      </c>
      <c r="M461">
        <v>599</v>
      </c>
    </row>
    <row r="462" spans="1:13" ht="15">
      <c r="A462" t="s">
        <v>3433</v>
      </c>
      <c r="B462" s="1040" t="str">
        <f>CONCATENATE(LEFT(RIGHT(CONCATENATE("000",IFAData_TEA_1718!A462),6),3),"-",(RIGHT(RIGHT(CONCATENATE("000",IFAData_TEA_1718!A462),6),3)))</f>
        <v>031-906</v>
      </c>
      <c r="C462" t="s">
        <v>36</v>
      </c>
      <c r="D462">
        <v>1</v>
      </c>
      <c r="E462">
        <v>2037</v>
      </c>
      <c r="F462" t="s">
        <v>4342</v>
      </c>
      <c r="G462" t="s">
        <v>4342</v>
      </c>
      <c r="H462">
        <v>680974</v>
      </c>
      <c r="I462">
        <v>0</v>
      </c>
      <c r="J462">
        <v>0</v>
      </c>
      <c r="K462"/>
      <c r="L462">
        <v>0</v>
      </c>
      <c r="M462">
        <v>599</v>
      </c>
    </row>
    <row r="463" spans="1:13" ht="15">
      <c r="A463" t="s">
        <v>3433</v>
      </c>
      <c r="B463" s="1040" t="str">
        <f>CONCATENATE(LEFT(RIGHT(CONCATENATE("000",IFAData_TEA_1718!A463),6),3),"-",(RIGHT(RIGHT(CONCATENATE("000",IFAData_TEA_1718!A463),6),3)))</f>
        <v>031-906</v>
      </c>
      <c r="C463" t="s">
        <v>36</v>
      </c>
      <c r="D463">
        <v>4</v>
      </c>
      <c r="E463">
        <v>2038</v>
      </c>
      <c r="F463" t="s">
        <v>4344</v>
      </c>
      <c r="G463" t="s">
        <v>4344</v>
      </c>
      <c r="H463">
        <v>1668879</v>
      </c>
      <c r="I463">
        <v>0</v>
      </c>
      <c r="J463">
        <v>0</v>
      </c>
      <c r="K463">
        <v>0</v>
      </c>
      <c r="L463">
        <v>0</v>
      </c>
      <c r="M463">
        <v>599</v>
      </c>
    </row>
    <row r="464" spans="1:13" ht="15">
      <c r="A464" t="s">
        <v>3433</v>
      </c>
      <c r="B464" s="1040" t="str">
        <f>CONCATENATE(LEFT(RIGHT(CONCATENATE("000",IFAData_TEA_1718!A464),6),3),"-",(RIGHT(RIGHT(CONCATENATE("000",IFAData_TEA_1718!A464),6),3)))</f>
        <v>031-906</v>
      </c>
      <c r="C464" t="s">
        <v>36</v>
      </c>
      <c r="D464">
        <v>4</v>
      </c>
      <c r="E464">
        <v>2038</v>
      </c>
      <c r="F464" t="s">
        <v>4344</v>
      </c>
      <c r="G464" t="s">
        <v>4343</v>
      </c>
      <c r="H464">
        <v>1668879</v>
      </c>
      <c r="I464">
        <v>0</v>
      </c>
      <c r="J464">
        <v>0</v>
      </c>
      <c r="K464">
        <v>0</v>
      </c>
      <c r="L464">
        <v>0</v>
      </c>
      <c r="M464">
        <v>599</v>
      </c>
    </row>
    <row r="465" spans="1:13" ht="15">
      <c r="A465" t="s">
        <v>3433</v>
      </c>
      <c r="B465" s="1040" t="str">
        <f>CONCATENATE(LEFT(RIGHT(CONCATENATE("000",IFAData_TEA_1718!A465),6),3),"-",(RIGHT(RIGHT(CONCATENATE("000",IFAData_TEA_1718!A465),6),3)))</f>
        <v>031-906</v>
      </c>
      <c r="C465" t="s">
        <v>36</v>
      </c>
      <c r="D465">
        <v>4</v>
      </c>
      <c r="E465">
        <v>2038</v>
      </c>
      <c r="F465" t="s">
        <v>4344</v>
      </c>
      <c r="G465" t="s">
        <v>6426</v>
      </c>
      <c r="H465">
        <v>1668879</v>
      </c>
      <c r="I465">
        <v>1415650</v>
      </c>
      <c r="J465">
        <v>1</v>
      </c>
      <c r="K465">
        <v>1668879</v>
      </c>
      <c r="L465">
        <v>1415650</v>
      </c>
      <c r="M465">
        <v>599</v>
      </c>
    </row>
    <row r="466" spans="1:13" ht="15">
      <c r="A466" t="s">
        <v>3433</v>
      </c>
      <c r="B466" s="1040" t="str">
        <f>CONCATENATE(LEFT(RIGHT(CONCATENATE("000",IFAData_TEA_1718!A466),6),3),"-",(RIGHT(RIGHT(CONCATENATE("000",IFAData_TEA_1718!A466),6),3)))</f>
        <v>031-906</v>
      </c>
      <c r="C466" t="s">
        <v>36</v>
      </c>
      <c r="D466">
        <v>8</v>
      </c>
      <c r="E466">
        <v>2039</v>
      </c>
      <c r="F466" t="s">
        <v>4345</v>
      </c>
      <c r="G466" t="s">
        <v>4345</v>
      </c>
      <c r="H466">
        <v>1935141</v>
      </c>
      <c r="I466">
        <v>0</v>
      </c>
      <c r="J466">
        <v>0</v>
      </c>
      <c r="K466">
        <v>0</v>
      </c>
      <c r="L466">
        <v>0</v>
      </c>
      <c r="M466">
        <v>599</v>
      </c>
    </row>
    <row r="467" spans="1:13" ht="15">
      <c r="A467" t="s">
        <v>3433</v>
      </c>
      <c r="B467" s="1040" t="str">
        <f>CONCATENATE(LEFT(RIGHT(CONCATENATE("000",IFAData_TEA_1718!A467),6),3),"-",(RIGHT(RIGHT(CONCATENATE("000",IFAData_TEA_1718!A467),6),3)))</f>
        <v>031-906</v>
      </c>
      <c r="C467" t="s">
        <v>36</v>
      </c>
      <c r="D467">
        <v>8</v>
      </c>
      <c r="E467">
        <v>2039</v>
      </c>
      <c r="F467" t="s">
        <v>4345</v>
      </c>
      <c r="G467" t="s">
        <v>6426</v>
      </c>
      <c r="H467">
        <v>1935141</v>
      </c>
      <c r="I467">
        <v>1889681</v>
      </c>
      <c r="J467">
        <v>1</v>
      </c>
      <c r="K467">
        <v>1935141</v>
      </c>
      <c r="L467">
        <v>1889681</v>
      </c>
      <c r="M467">
        <v>599</v>
      </c>
    </row>
    <row r="468" spans="1:13" ht="15">
      <c r="A468" t="s">
        <v>3434</v>
      </c>
      <c r="B468" s="1040" t="str">
        <f>CONCATENATE(LEFT(RIGHT(CONCATENATE("000",IFAData_TEA_1718!A468),6),3),"-",(RIGHT(RIGHT(CONCATENATE("000",IFAData_TEA_1718!A468),6),3)))</f>
        <v>031-911</v>
      </c>
      <c r="C468" t="s">
        <v>2694</v>
      </c>
      <c r="D468">
        <v>4</v>
      </c>
      <c r="E468">
        <v>2247</v>
      </c>
      <c r="F468" t="s">
        <v>4346</v>
      </c>
      <c r="G468" t="s">
        <v>4346</v>
      </c>
      <c r="H468">
        <v>501695</v>
      </c>
      <c r="I468">
        <v>0</v>
      </c>
      <c r="J468">
        <v>0</v>
      </c>
      <c r="K468">
        <v>0</v>
      </c>
      <c r="L468">
        <v>0</v>
      </c>
      <c r="M468">
        <v>599</v>
      </c>
    </row>
    <row r="469" spans="1:13" ht="15">
      <c r="A469" t="s">
        <v>3434</v>
      </c>
      <c r="B469" s="1040" t="str">
        <f>CONCATENATE(LEFT(RIGHT(CONCATENATE("000",IFAData_TEA_1718!A469),6),3),"-",(RIGHT(RIGHT(CONCATENATE("000",IFAData_TEA_1718!A469),6),3)))</f>
        <v>031-911</v>
      </c>
      <c r="C469" t="s">
        <v>2694</v>
      </c>
      <c r="D469">
        <v>4</v>
      </c>
      <c r="E469">
        <v>2247</v>
      </c>
      <c r="F469" t="s">
        <v>4346</v>
      </c>
      <c r="G469" t="s">
        <v>4347</v>
      </c>
      <c r="H469">
        <v>501695</v>
      </c>
      <c r="I469">
        <v>0</v>
      </c>
      <c r="J469">
        <v>0</v>
      </c>
      <c r="K469">
        <v>0</v>
      </c>
      <c r="L469">
        <v>0</v>
      </c>
      <c r="M469">
        <v>599</v>
      </c>
    </row>
    <row r="470" spans="1:13" ht="15">
      <c r="A470" t="s">
        <v>3434</v>
      </c>
      <c r="B470" s="1040" t="str">
        <f>CONCATENATE(LEFT(RIGHT(CONCATENATE("000",IFAData_TEA_1718!A470),6),3),"-",(RIGHT(RIGHT(CONCATENATE("000",IFAData_TEA_1718!A470),6),3)))</f>
        <v>031-911</v>
      </c>
      <c r="C470" t="s">
        <v>2694</v>
      </c>
      <c r="D470">
        <v>4</v>
      </c>
      <c r="E470">
        <v>2247</v>
      </c>
      <c r="F470" t="s">
        <v>4346</v>
      </c>
      <c r="G470" t="s">
        <v>6211</v>
      </c>
      <c r="H470">
        <v>501695</v>
      </c>
      <c r="I470">
        <v>443896</v>
      </c>
      <c r="J470">
        <v>1</v>
      </c>
      <c r="K470">
        <v>501695</v>
      </c>
      <c r="L470">
        <v>443896</v>
      </c>
      <c r="M470">
        <v>599</v>
      </c>
    </row>
    <row r="471" spans="1:13" ht="15">
      <c r="A471" t="s">
        <v>3434</v>
      </c>
      <c r="B471" s="1040" t="str">
        <f>CONCATENATE(LEFT(RIGHT(CONCATENATE("000",IFAData_TEA_1718!A471),6),3),"-",(RIGHT(RIGHT(CONCATENATE("000",IFAData_TEA_1718!A471),6),3)))</f>
        <v>031-911</v>
      </c>
      <c r="C471" t="s">
        <v>2694</v>
      </c>
      <c r="D471">
        <v>5</v>
      </c>
      <c r="E471">
        <v>2246</v>
      </c>
      <c r="F471" t="s">
        <v>4348</v>
      </c>
      <c r="G471" t="s">
        <v>4348</v>
      </c>
      <c r="H471">
        <v>476290</v>
      </c>
      <c r="I471">
        <v>0</v>
      </c>
      <c r="J471">
        <v>0</v>
      </c>
      <c r="K471">
        <v>0</v>
      </c>
      <c r="L471">
        <v>0</v>
      </c>
      <c r="M471">
        <v>599</v>
      </c>
    </row>
    <row r="472" spans="1:13" ht="15">
      <c r="A472" t="s">
        <v>3434</v>
      </c>
      <c r="B472" s="1040" t="str">
        <f>CONCATENATE(LEFT(RIGHT(CONCATENATE("000",IFAData_TEA_1718!A472),6),3),"-",(RIGHT(RIGHT(CONCATENATE("000",IFAData_TEA_1718!A472),6),3)))</f>
        <v>031-911</v>
      </c>
      <c r="C472" t="s">
        <v>2694</v>
      </c>
      <c r="D472">
        <v>5</v>
      </c>
      <c r="E472">
        <v>2246</v>
      </c>
      <c r="F472" t="s">
        <v>4348</v>
      </c>
      <c r="G472" t="s">
        <v>4349</v>
      </c>
      <c r="H472">
        <v>476290</v>
      </c>
      <c r="I472">
        <v>260000</v>
      </c>
      <c r="J472">
        <v>0.62111801242235998</v>
      </c>
      <c r="K472">
        <v>295832.29813664599</v>
      </c>
      <c r="L472">
        <v>260000</v>
      </c>
      <c r="M472">
        <v>599</v>
      </c>
    </row>
    <row r="473" spans="1:13" ht="15">
      <c r="A473" t="s">
        <v>3434</v>
      </c>
      <c r="B473" s="1040" t="str">
        <f>CONCATENATE(LEFT(RIGHT(CONCATENATE("000",IFAData_TEA_1718!A473),6),3),"-",(RIGHT(RIGHT(CONCATENATE("000",IFAData_TEA_1718!A473),6),3)))</f>
        <v>031-911</v>
      </c>
      <c r="C473" t="s">
        <v>2694</v>
      </c>
      <c r="D473">
        <v>5</v>
      </c>
      <c r="E473">
        <v>2246</v>
      </c>
      <c r="F473" t="s">
        <v>4348</v>
      </c>
      <c r="G473" t="s">
        <v>6427</v>
      </c>
      <c r="H473">
        <v>476290</v>
      </c>
      <c r="I473">
        <v>158600</v>
      </c>
      <c r="J473">
        <v>0.37888198757764002</v>
      </c>
      <c r="K473">
        <v>180457.70186335401</v>
      </c>
      <c r="L473">
        <v>158600</v>
      </c>
      <c r="M473">
        <v>599</v>
      </c>
    </row>
    <row r="474" spans="1:13" ht="15">
      <c r="A474" t="s">
        <v>3434</v>
      </c>
      <c r="B474" s="1040" t="str">
        <f>CONCATENATE(LEFT(RIGHT(CONCATENATE("000",IFAData_TEA_1718!A474),6),3),"-",(RIGHT(RIGHT(CONCATENATE("000",IFAData_TEA_1718!A474),6),3)))</f>
        <v>031-911</v>
      </c>
      <c r="C474" t="s">
        <v>2694</v>
      </c>
      <c r="D474">
        <v>8</v>
      </c>
      <c r="E474">
        <v>2245</v>
      </c>
      <c r="F474" t="s">
        <v>4350</v>
      </c>
      <c r="G474" t="s">
        <v>4350</v>
      </c>
      <c r="H474">
        <v>262428</v>
      </c>
      <c r="I474">
        <v>257070</v>
      </c>
      <c r="J474">
        <v>1</v>
      </c>
      <c r="K474">
        <v>262428</v>
      </c>
      <c r="L474">
        <v>257070</v>
      </c>
      <c r="M474">
        <v>599</v>
      </c>
    </row>
    <row r="475" spans="1:13" ht="15">
      <c r="A475" t="s">
        <v>3434</v>
      </c>
      <c r="B475" s="1040" t="str">
        <f>CONCATENATE(LEFT(RIGHT(CONCATENATE("000",IFAData_TEA_1718!A475),6),3),"-",(RIGHT(RIGHT(CONCATENATE("000",IFAData_TEA_1718!A475),6),3)))</f>
        <v>031-911</v>
      </c>
      <c r="C475" t="s">
        <v>2694</v>
      </c>
      <c r="D475">
        <v>11</v>
      </c>
      <c r="E475">
        <v>2480</v>
      </c>
      <c r="F475" t="s">
        <v>8332</v>
      </c>
      <c r="G475" t="s">
        <v>8332</v>
      </c>
      <c r="H475">
        <v>489203</v>
      </c>
      <c r="I475">
        <v>858600</v>
      </c>
      <c r="J475">
        <v>1</v>
      </c>
      <c r="K475">
        <v>489203</v>
      </c>
      <c r="L475">
        <v>489203</v>
      </c>
      <c r="M475">
        <v>599</v>
      </c>
    </row>
    <row r="476" spans="1:13" ht="15">
      <c r="A476" t="s">
        <v>3435</v>
      </c>
      <c r="B476" s="1040" t="str">
        <f>CONCATENATE(LEFT(RIGHT(CONCATENATE("000",IFAData_TEA_1718!A476),6),3),"-",(RIGHT(RIGHT(CONCATENATE("000",IFAData_TEA_1718!A476),6),3)))</f>
        <v>031-912</v>
      </c>
      <c r="C476" t="s">
        <v>39</v>
      </c>
      <c r="D476">
        <v>2</v>
      </c>
      <c r="E476">
        <v>2284</v>
      </c>
      <c r="F476" t="s">
        <v>4351</v>
      </c>
      <c r="G476" t="s">
        <v>4351</v>
      </c>
      <c r="H476">
        <v>1925904</v>
      </c>
      <c r="I476">
        <v>0</v>
      </c>
      <c r="J476">
        <v>0</v>
      </c>
      <c r="K476">
        <v>0</v>
      </c>
      <c r="L476">
        <v>0</v>
      </c>
      <c r="M476">
        <v>599</v>
      </c>
    </row>
    <row r="477" spans="1:13" ht="15">
      <c r="A477" t="s">
        <v>3435</v>
      </c>
      <c r="B477" s="1040" t="str">
        <f>CONCATENATE(LEFT(RIGHT(CONCATENATE("000",IFAData_TEA_1718!A477),6),3),"-",(RIGHT(RIGHT(CONCATENATE("000",IFAData_TEA_1718!A477),6),3)))</f>
        <v>031-912</v>
      </c>
      <c r="C477" t="s">
        <v>39</v>
      </c>
      <c r="D477">
        <v>2</v>
      </c>
      <c r="E477">
        <v>2284</v>
      </c>
      <c r="F477" t="s">
        <v>4351</v>
      </c>
      <c r="G477" t="s">
        <v>4352</v>
      </c>
      <c r="H477">
        <v>1925904</v>
      </c>
      <c r="I477">
        <v>0</v>
      </c>
      <c r="J477">
        <v>0</v>
      </c>
      <c r="K477">
        <v>0</v>
      </c>
      <c r="L477">
        <v>0</v>
      </c>
      <c r="M477">
        <v>599</v>
      </c>
    </row>
    <row r="478" spans="1:13" ht="15">
      <c r="A478" t="s">
        <v>3435</v>
      </c>
      <c r="B478" s="1040" t="str">
        <f>CONCATENATE(LEFT(RIGHT(CONCATENATE("000",IFAData_TEA_1718!A478),6),3),"-",(RIGHT(RIGHT(CONCATENATE("000",IFAData_TEA_1718!A478),6),3)))</f>
        <v>031-912</v>
      </c>
      <c r="C478" t="s">
        <v>39</v>
      </c>
      <c r="D478">
        <v>2</v>
      </c>
      <c r="E478">
        <v>2284</v>
      </c>
      <c r="F478" t="s">
        <v>4351</v>
      </c>
      <c r="G478" t="s">
        <v>6212</v>
      </c>
      <c r="H478">
        <v>1925904</v>
      </c>
      <c r="I478">
        <v>1596361</v>
      </c>
      <c r="J478">
        <v>1</v>
      </c>
      <c r="K478">
        <v>1925904</v>
      </c>
      <c r="L478">
        <v>1596361</v>
      </c>
      <c r="M478">
        <v>599</v>
      </c>
    </row>
    <row r="479" spans="1:13" ht="15">
      <c r="A479" t="s">
        <v>3435</v>
      </c>
      <c r="B479" s="1040" t="str">
        <f>CONCATENATE(LEFT(RIGHT(CONCATENATE("000",IFAData_TEA_1718!A479),6),3),"-",(RIGHT(RIGHT(CONCATENATE("000",IFAData_TEA_1718!A479),6),3)))</f>
        <v>031-912</v>
      </c>
      <c r="C479" t="s">
        <v>39</v>
      </c>
      <c r="D479">
        <v>4</v>
      </c>
      <c r="E479">
        <v>2285</v>
      </c>
      <c r="F479" t="s">
        <v>4353</v>
      </c>
      <c r="G479" t="s">
        <v>4353</v>
      </c>
      <c r="H479">
        <v>1943392</v>
      </c>
      <c r="I479">
        <v>0</v>
      </c>
      <c r="J479">
        <v>0</v>
      </c>
      <c r="K479">
        <v>0</v>
      </c>
      <c r="L479">
        <v>0</v>
      </c>
      <c r="M479">
        <v>599</v>
      </c>
    </row>
    <row r="480" spans="1:13" ht="15">
      <c r="A480" t="s">
        <v>3435</v>
      </c>
      <c r="B480" s="1040" t="str">
        <f>CONCATENATE(LEFT(RIGHT(CONCATENATE("000",IFAData_TEA_1718!A480),6),3),"-",(RIGHT(RIGHT(CONCATENATE("000",IFAData_TEA_1718!A480),6),3)))</f>
        <v>031-912</v>
      </c>
      <c r="C480" t="s">
        <v>39</v>
      </c>
      <c r="D480">
        <v>4</v>
      </c>
      <c r="E480">
        <v>2285</v>
      </c>
      <c r="F480" t="s">
        <v>4353</v>
      </c>
      <c r="G480" t="s">
        <v>4352</v>
      </c>
      <c r="H480">
        <v>1943392</v>
      </c>
      <c r="I480">
        <v>0</v>
      </c>
      <c r="J480">
        <v>0</v>
      </c>
      <c r="K480">
        <v>0</v>
      </c>
      <c r="L480">
        <v>0</v>
      </c>
      <c r="M480">
        <v>599</v>
      </c>
    </row>
    <row r="481" spans="1:13" ht="15">
      <c r="A481" t="s">
        <v>3435</v>
      </c>
      <c r="B481" s="1040" t="str">
        <f>CONCATENATE(LEFT(RIGHT(CONCATENATE("000",IFAData_TEA_1718!A481),6),3),"-",(RIGHT(RIGHT(CONCATENATE("000",IFAData_TEA_1718!A481),6),3)))</f>
        <v>031-912</v>
      </c>
      <c r="C481" t="s">
        <v>39</v>
      </c>
      <c r="D481">
        <v>4</v>
      </c>
      <c r="E481">
        <v>2285</v>
      </c>
      <c r="F481" t="s">
        <v>4353</v>
      </c>
      <c r="G481" t="s">
        <v>4354</v>
      </c>
      <c r="H481">
        <v>1943392</v>
      </c>
      <c r="I481">
        <v>1290400</v>
      </c>
      <c r="J481">
        <v>0.711393767255599</v>
      </c>
      <c r="K481">
        <v>1382516.9561343901</v>
      </c>
      <c r="L481">
        <v>1290400</v>
      </c>
      <c r="M481">
        <v>599</v>
      </c>
    </row>
    <row r="482" spans="1:13" ht="15">
      <c r="A482" t="s">
        <v>3435</v>
      </c>
      <c r="B482" s="1040" t="str">
        <f>CONCATENATE(LEFT(RIGHT(CONCATENATE("000",IFAData_TEA_1718!A482),6),3),"-",(RIGHT(RIGHT(CONCATENATE("000",IFAData_TEA_1718!A482),6),3)))</f>
        <v>031-912</v>
      </c>
      <c r="C482" t="s">
        <v>39</v>
      </c>
      <c r="D482">
        <v>4</v>
      </c>
      <c r="E482">
        <v>2285</v>
      </c>
      <c r="F482" t="s">
        <v>4353</v>
      </c>
      <c r="G482" t="s">
        <v>6212</v>
      </c>
      <c r="H482">
        <v>1943392</v>
      </c>
      <c r="I482">
        <v>523504</v>
      </c>
      <c r="J482">
        <v>0.288606232744401</v>
      </c>
      <c r="K482">
        <v>560875.043865607</v>
      </c>
      <c r="L482">
        <v>523504</v>
      </c>
      <c r="M482">
        <v>599</v>
      </c>
    </row>
    <row r="483" spans="1:13" ht="15">
      <c r="A483" t="s">
        <v>3435</v>
      </c>
      <c r="B483" s="1040" t="str">
        <f>CONCATENATE(LEFT(RIGHT(CONCATENATE("000",IFAData_TEA_1718!A483),6),3),"-",(RIGHT(RIGHT(CONCATENATE("000",IFAData_TEA_1718!A483),6),3)))</f>
        <v>031-912</v>
      </c>
      <c r="C483" t="s">
        <v>39</v>
      </c>
      <c r="D483">
        <v>9</v>
      </c>
      <c r="E483">
        <v>2287</v>
      </c>
      <c r="F483" t="s">
        <v>4358</v>
      </c>
      <c r="G483" t="s">
        <v>4358</v>
      </c>
      <c r="H483">
        <v>2359625</v>
      </c>
      <c r="I483">
        <v>0</v>
      </c>
      <c r="J483">
        <v>0</v>
      </c>
      <c r="K483">
        <v>0</v>
      </c>
      <c r="L483">
        <v>0</v>
      </c>
      <c r="M483">
        <v>599</v>
      </c>
    </row>
    <row r="484" spans="1:13" ht="15">
      <c r="A484" t="s">
        <v>3435</v>
      </c>
      <c r="B484" s="1040" t="str">
        <f>CONCATENATE(LEFT(RIGHT(CONCATENATE("000",IFAData_TEA_1718!A484),6),3),"-",(RIGHT(RIGHT(CONCATENATE("000",IFAData_TEA_1718!A484),6),3)))</f>
        <v>031-912</v>
      </c>
      <c r="C484" t="s">
        <v>39</v>
      </c>
      <c r="D484">
        <v>9</v>
      </c>
      <c r="E484">
        <v>2287</v>
      </c>
      <c r="F484" t="s">
        <v>4358</v>
      </c>
      <c r="G484" t="s">
        <v>6428</v>
      </c>
      <c r="H484">
        <v>2359625</v>
      </c>
      <c r="I484">
        <v>2079700</v>
      </c>
      <c r="J484">
        <v>1</v>
      </c>
      <c r="K484">
        <v>2359625</v>
      </c>
      <c r="L484">
        <v>2079700</v>
      </c>
      <c r="M484">
        <v>599</v>
      </c>
    </row>
    <row r="485" spans="1:13" ht="15">
      <c r="A485" t="s">
        <v>3436</v>
      </c>
      <c r="B485" s="1040" t="str">
        <f>CONCATENATE(LEFT(RIGHT(CONCATENATE("000",IFAData_TEA_1718!A485),6),3),"-",(RIGHT(RIGHT(CONCATENATE("000",IFAData_TEA_1718!A485),6),3)))</f>
        <v>031-913</v>
      </c>
      <c r="C485" t="s">
        <v>86</v>
      </c>
      <c r="D485">
        <v>4</v>
      </c>
      <c r="E485">
        <v>2310</v>
      </c>
      <c r="F485" t="s">
        <v>4359</v>
      </c>
      <c r="G485" t="s">
        <v>4359</v>
      </c>
      <c r="H485">
        <v>103380</v>
      </c>
      <c r="I485">
        <v>0</v>
      </c>
      <c r="J485">
        <v>0</v>
      </c>
      <c r="K485">
        <v>0</v>
      </c>
      <c r="L485">
        <v>0</v>
      </c>
      <c r="M485">
        <v>599</v>
      </c>
    </row>
    <row r="486" spans="1:13" ht="15">
      <c r="A486" t="s">
        <v>3436</v>
      </c>
      <c r="B486" s="1040" t="str">
        <f>CONCATENATE(LEFT(RIGHT(CONCATENATE("000",IFAData_TEA_1718!A486),6),3),"-",(RIGHT(RIGHT(CONCATENATE("000",IFAData_TEA_1718!A486),6),3)))</f>
        <v>031-913</v>
      </c>
      <c r="C486" t="s">
        <v>86</v>
      </c>
      <c r="D486">
        <v>4</v>
      </c>
      <c r="E486">
        <v>2310</v>
      </c>
      <c r="F486" t="s">
        <v>4359</v>
      </c>
      <c r="G486" t="s">
        <v>4360</v>
      </c>
      <c r="H486">
        <v>103380</v>
      </c>
      <c r="I486">
        <v>99438</v>
      </c>
      <c r="J486">
        <v>1</v>
      </c>
      <c r="K486">
        <v>103380</v>
      </c>
      <c r="L486">
        <v>99438</v>
      </c>
      <c r="M486">
        <v>599</v>
      </c>
    </row>
    <row r="487" spans="1:13" ht="15">
      <c r="A487" t="s">
        <v>3436</v>
      </c>
      <c r="B487" s="1040" t="str">
        <f>CONCATENATE(LEFT(RIGHT(CONCATENATE("000",IFAData_TEA_1718!A487),6),3),"-",(RIGHT(RIGHT(CONCATENATE("000",IFAData_TEA_1718!A487),6),3)))</f>
        <v>031-913</v>
      </c>
      <c r="C487" t="s">
        <v>86</v>
      </c>
      <c r="D487">
        <v>7</v>
      </c>
      <c r="E487">
        <v>2311</v>
      </c>
      <c r="F487" t="s">
        <v>4361</v>
      </c>
      <c r="G487" t="s">
        <v>4361</v>
      </c>
      <c r="H487">
        <v>128701</v>
      </c>
      <c r="I487">
        <v>0</v>
      </c>
      <c r="J487">
        <v>0</v>
      </c>
      <c r="K487">
        <v>0</v>
      </c>
      <c r="L487">
        <v>0</v>
      </c>
      <c r="M487">
        <v>599</v>
      </c>
    </row>
    <row r="488" spans="1:13" ht="15">
      <c r="A488" t="s">
        <v>3436</v>
      </c>
      <c r="B488" s="1040" t="str">
        <f>CONCATENATE(LEFT(RIGHT(CONCATENATE("000",IFAData_TEA_1718!A488),6),3),"-",(RIGHT(RIGHT(CONCATENATE("000",IFAData_TEA_1718!A488),6),3)))</f>
        <v>031-913</v>
      </c>
      <c r="C488" t="s">
        <v>86</v>
      </c>
      <c r="D488">
        <v>7</v>
      </c>
      <c r="E488">
        <v>2311</v>
      </c>
      <c r="F488" t="s">
        <v>4361</v>
      </c>
      <c r="G488" t="s">
        <v>6429</v>
      </c>
      <c r="H488">
        <v>128701</v>
      </c>
      <c r="I488">
        <v>114450</v>
      </c>
      <c r="J488">
        <v>1</v>
      </c>
      <c r="K488">
        <v>128701</v>
      </c>
      <c r="L488">
        <v>114450</v>
      </c>
      <c r="M488">
        <v>599</v>
      </c>
    </row>
    <row r="489" spans="1:13" ht="15">
      <c r="A489" t="s">
        <v>3436</v>
      </c>
      <c r="B489" s="1040" t="str">
        <f>CONCATENATE(LEFT(RIGHT(CONCATENATE("000",IFAData_TEA_1718!A489),6),3),"-",(RIGHT(RIGHT(CONCATENATE("000",IFAData_TEA_1718!A489),6),3)))</f>
        <v>031-913</v>
      </c>
      <c r="C489" t="s">
        <v>86</v>
      </c>
      <c r="D489">
        <v>10</v>
      </c>
      <c r="E489">
        <v>2309</v>
      </c>
      <c r="F489" t="s">
        <v>4362</v>
      </c>
      <c r="G489" t="s">
        <v>4362</v>
      </c>
      <c r="H489">
        <v>60163</v>
      </c>
      <c r="I489">
        <v>52025</v>
      </c>
      <c r="J489">
        <v>1</v>
      </c>
      <c r="K489">
        <v>60163</v>
      </c>
      <c r="L489">
        <v>52025</v>
      </c>
      <c r="M489">
        <v>599</v>
      </c>
    </row>
    <row r="490" spans="1:13" ht="15">
      <c r="A490" t="s">
        <v>3436</v>
      </c>
      <c r="B490" s="1040" t="str">
        <f>CONCATENATE(LEFT(RIGHT(CONCATENATE("000",IFAData_TEA_1718!A490),6),3),"-",(RIGHT(RIGHT(CONCATENATE("000",IFAData_TEA_1718!A490),6),3)))</f>
        <v>031-913</v>
      </c>
      <c r="C490" t="s">
        <v>86</v>
      </c>
      <c r="D490">
        <v>11</v>
      </c>
      <c r="E490">
        <v>2602</v>
      </c>
      <c r="F490" t="s">
        <v>8333</v>
      </c>
      <c r="G490" t="s">
        <v>8333</v>
      </c>
      <c r="H490">
        <v>160322</v>
      </c>
      <c r="I490">
        <v>146662</v>
      </c>
      <c r="J490">
        <v>1</v>
      </c>
      <c r="K490">
        <v>160322</v>
      </c>
      <c r="L490">
        <v>146662</v>
      </c>
      <c r="M490">
        <v>599</v>
      </c>
    </row>
    <row r="491" spans="1:13" ht="15">
      <c r="A491" t="s">
        <v>3437</v>
      </c>
      <c r="B491" s="1040" t="str">
        <f>CONCATENATE(LEFT(RIGHT(CONCATENATE("000",IFAData_TEA_1718!A491),6),3),"-",(RIGHT(RIGHT(CONCATENATE("000",IFAData_TEA_1718!A491),6),3)))</f>
        <v>031-914</v>
      </c>
      <c r="C491" t="s">
        <v>87</v>
      </c>
      <c r="D491">
        <v>1</v>
      </c>
      <c r="E491">
        <v>2314</v>
      </c>
      <c r="F491" t="s">
        <v>4363</v>
      </c>
      <c r="G491" t="s">
        <v>4363</v>
      </c>
      <c r="H491">
        <v>290250</v>
      </c>
      <c r="I491">
        <v>0</v>
      </c>
      <c r="J491">
        <v>0</v>
      </c>
      <c r="K491">
        <v>0</v>
      </c>
      <c r="L491">
        <v>0</v>
      </c>
      <c r="M491">
        <v>599</v>
      </c>
    </row>
    <row r="492" spans="1:13" ht="15">
      <c r="A492" t="s">
        <v>3437</v>
      </c>
      <c r="B492" s="1040" t="str">
        <f>CONCATENATE(LEFT(RIGHT(CONCATENATE("000",IFAData_TEA_1718!A492),6),3),"-",(RIGHT(RIGHT(CONCATENATE("000",IFAData_TEA_1718!A492),6),3)))</f>
        <v>031-914</v>
      </c>
      <c r="C492" t="s">
        <v>87</v>
      </c>
      <c r="D492">
        <v>1</v>
      </c>
      <c r="E492">
        <v>2314</v>
      </c>
      <c r="F492" t="s">
        <v>4363</v>
      </c>
      <c r="G492" t="s">
        <v>4364</v>
      </c>
      <c r="H492">
        <v>290250</v>
      </c>
      <c r="I492">
        <v>280897</v>
      </c>
      <c r="J492">
        <v>0.51749250189755402</v>
      </c>
      <c r="K492">
        <v>150202.19867576499</v>
      </c>
      <c r="L492">
        <v>150202.19867576499</v>
      </c>
      <c r="M492">
        <v>599</v>
      </c>
    </row>
    <row r="493" spans="1:13" ht="15">
      <c r="A493" t="s">
        <v>3437</v>
      </c>
      <c r="B493" s="1040" t="str">
        <f>CONCATENATE(LEFT(RIGHT(CONCATENATE("000",IFAData_TEA_1718!A493),6),3),"-",(RIGHT(RIGHT(CONCATENATE("000",IFAData_TEA_1718!A493),6),3)))</f>
        <v>031-914</v>
      </c>
      <c r="C493" t="s">
        <v>87</v>
      </c>
      <c r="D493">
        <v>1</v>
      </c>
      <c r="E493">
        <v>2314</v>
      </c>
      <c r="F493" t="s">
        <v>4363</v>
      </c>
      <c r="G493" t="s">
        <v>8334</v>
      </c>
      <c r="H493">
        <v>290250</v>
      </c>
      <c r="I493">
        <v>261907</v>
      </c>
      <c r="J493">
        <v>0.48250749810244598</v>
      </c>
      <c r="K493">
        <v>140047.80132423501</v>
      </c>
      <c r="L493">
        <v>140047.80132423501</v>
      </c>
      <c r="M493">
        <v>599</v>
      </c>
    </row>
    <row r="494" spans="1:13" ht="15">
      <c r="A494" t="s">
        <v>3437</v>
      </c>
      <c r="B494" s="1040" t="str">
        <f>CONCATENATE(LEFT(RIGHT(CONCATENATE("000",IFAData_TEA_1718!A494),6),3),"-",(RIGHT(RIGHT(CONCATENATE("000",IFAData_TEA_1718!A494),6),3)))</f>
        <v>031-914</v>
      </c>
      <c r="C494" t="s">
        <v>87</v>
      </c>
      <c r="D494">
        <v>4</v>
      </c>
      <c r="E494">
        <v>2315</v>
      </c>
      <c r="F494" t="s">
        <v>4365</v>
      </c>
      <c r="G494" t="s">
        <v>4365</v>
      </c>
      <c r="H494">
        <v>307688</v>
      </c>
      <c r="I494">
        <v>0</v>
      </c>
      <c r="J494">
        <v>0</v>
      </c>
      <c r="K494">
        <v>0</v>
      </c>
      <c r="L494">
        <v>0</v>
      </c>
      <c r="M494">
        <v>599</v>
      </c>
    </row>
    <row r="495" spans="1:13" ht="15">
      <c r="A495" t="s">
        <v>3437</v>
      </c>
      <c r="B495" s="1040" t="str">
        <f>CONCATENATE(LEFT(RIGHT(CONCATENATE("000",IFAData_TEA_1718!A495),6),3),"-",(RIGHT(RIGHT(CONCATENATE("000",IFAData_TEA_1718!A495),6),3)))</f>
        <v>031-914</v>
      </c>
      <c r="C495" t="s">
        <v>87</v>
      </c>
      <c r="D495">
        <v>4</v>
      </c>
      <c r="E495">
        <v>2315</v>
      </c>
      <c r="F495" t="s">
        <v>4365</v>
      </c>
      <c r="G495" t="s">
        <v>4364</v>
      </c>
      <c r="H495">
        <v>307688</v>
      </c>
      <c r="I495">
        <v>289249</v>
      </c>
      <c r="J495">
        <v>0.48561043583372498</v>
      </c>
      <c r="K495">
        <v>149416.50378080699</v>
      </c>
      <c r="L495">
        <v>149416.50378080699</v>
      </c>
      <c r="M495">
        <v>599</v>
      </c>
    </row>
    <row r="496" spans="1:13" ht="15">
      <c r="A496" t="s">
        <v>3437</v>
      </c>
      <c r="B496" s="1040" t="str">
        <f>CONCATENATE(LEFT(RIGHT(CONCATENATE("000",IFAData_TEA_1718!A496),6),3),"-",(RIGHT(RIGHT(CONCATENATE("000",IFAData_TEA_1718!A496),6),3)))</f>
        <v>031-914</v>
      </c>
      <c r="C496" t="s">
        <v>87</v>
      </c>
      <c r="D496">
        <v>4</v>
      </c>
      <c r="E496">
        <v>2315</v>
      </c>
      <c r="F496" t="s">
        <v>4365</v>
      </c>
      <c r="G496" t="s">
        <v>8334</v>
      </c>
      <c r="H496">
        <v>307688</v>
      </c>
      <c r="I496">
        <v>306391</v>
      </c>
      <c r="J496">
        <v>0.51438956416627502</v>
      </c>
      <c r="K496">
        <v>158271.49621919301</v>
      </c>
      <c r="L496">
        <v>158271.49621919301</v>
      </c>
      <c r="M496">
        <v>599</v>
      </c>
    </row>
    <row r="497" spans="1:13" ht="15">
      <c r="A497" t="s">
        <v>3437</v>
      </c>
      <c r="B497" s="1040" t="str">
        <f>CONCATENATE(LEFT(RIGHT(CONCATENATE("000",IFAData_TEA_1718!A497),6),3),"-",(RIGHT(RIGHT(CONCATENATE("000",IFAData_TEA_1718!A497),6),3)))</f>
        <v>031-914</v>
      </c>
      <c r="C497" t="s">
        <v>87</v>
      </c>
      <c r="D497">
        <v>5</v>
      </c>
      <c r="E497">
        <v>2312</v>
      </c>
      <c r="F497" t="s">
        <v>4366</v>
      </c>
      <c r="G497" t="s">
        <v>4366</v>
      </c>
      <c r="H497">
        <v>265690</v>
      </c>
      <c r="I497">
        <v>0</v>
      </c>
      <c r="J497">
        <v>0</v>
      </c>
      <c r="K497">
        <v>0</v>
      </c>
      <c r="L497">
        <v>0</v>
      </c>
      <c r="M497">
        <v>599</v>
      </c>
    </row>
    <row r="498" spans="1:13" ht="15">
      <c r="A498" t="s">
        <v>3437</v>
      </c>
      <c r="B498" s="1040" t="str">
        <f>CONCATENATE(LEFT(RIGHT(CONCATENATE("000",IFAData_TEA_1718!A498),6),3),"-",(RIGHT(RIGHT(CONCATENATE("000",IFAData_TEA_1718!A498),6),3)))</f>
        <v>031-914</v>
      </c>
      <c r="C498" t="s">
        <v>87</v>
      </c>
      <c r="D498">
        <v>5</v>
      </c>
      <c r="E498">
        <v>2312</v>
      </c>
      <c r="F498" t="s">
        <v>4366</v>
      </c>
      <c r="G498" t="s">
        <v>4364</v>
      </c>
      <c r="H498">
        <v>265690</v>
      </c>
      <c r="I498">
        <v>259672</v>
      </c>
      <c r="J498">
        <v>0.49699226966412602</v>
      </c>
      <c r="K498">
        <v>132045.87612706199</v>
      </c>
      <c r="L498">
        <v>132045.87612706199</v>
      </c>
      <c r="M498">
        <v>599</v>
      </c>
    </row>
    <row r="499" spans="1:13" ht="15">
      <c r="A499" t="s">
        <v>3437</v>
      </c>
      <c r="B499" s="1040" t="str">
        <f>CONCATENATE(LEFT(RIGHT(CONCATENATE("000",IFAData_TEA_1718!A499),6),3),"-",(RIGHT(RIGHT(CONCATENATE("000",IFAData_TEA_1718!A499),6),3)))</f>
        <v>031-914</v>
      </c>
      <c r="C499" t="s">
        <v>87</v>
      </c>
      <c r="D499">
        <v>5</v>
      </c>
      <c r="E499">
        <v>2312</v>
      </c>
      <c r="F499" t="s">
        <v>4366</v>
      </c>
      <c r="G499" t="s">
        <v>8334</v>
      </c>
      <c r="H499">
        <v>265690</v>
      </c>
      <c r="I499">
        <v>262815</v>
      </c>
      <c r="J499">
        <v>0.50300773033587398</v>
      </c>
      <c r="K499">
        <v>133644.12387293801</v>
      </c>
      <c r="L499">
        <v>133644.12387293801</v>
      </c>
      <c r="M499">
        <v>599</v>
      </c>
    </row>
    <row r="500" spans="1:13" ht="15">
      <c r="A500" t="s">
        <v>3437</v>
      </c>
      <c r="B500" s="1040" t="str">
        <f>CONCATENATE(LEFT(RIGHT(CONCATENATE("000",IFAData_TEA_1718!A500),6),3),"-",(RIGHT(RIGHT(CONCATENATE("000",IFAData_TEA_1718!A500),6),3)))</f>
        <v>031-914</v>
      </c>
      <c r="C500" t="s">
        <v>87</v>
      </c>
      <c r="D500">
        <v>9</v>
      </c>
      <c r="E500">
        <v>2313</v>
      </c>
      <c r="F500" t="s">
        <v>4367</v>
      </c>
      <c r="G500" t="s">
        <v>4367</v>
      </c>
      <c r="H500">
        <v>284877</v>
      </c>
      <c r="I500">
        <v>113988</v>
      </c>
      <c r="J500">
        <v>0.458173223788929</v>
      </c>
      <c r="K500">
        <v>130523.01347331901</v>
      </c>
      <c r="L500">
        <v>113988</v>
      </c>
      <c r="M500">
        <v>599</v>
      </c>
    </row>
    <row r="501" spans="1:13" ht="15">
      <c r="A501" t="s">
        <v>3437</v>
      </c>
      <c r="B501" s="1040" t="str">
        <f>CONCATENATE(LEFT(RIGHT(CONCATENATE("000",IFAData_TEA_1718!A501),6),3),"-",(RIGHT(RIGHT(CONCATENATE("000",IFAData_TEA_1718!A501),6),3)))</f>
        <v>031-914</v>
      </c>
      <c r="C501" t="s">
        <v>87</v>
      </c>
      <c r="D501">
        <v>9</v>
      </c>
      <c r="E501">
        <v>2313</v>
      </c>
      <c r="F501" t="s">
        <v>4367</v>
      </c>
      <c r="G501" t="s">
        <v>8335</v>
      </c>
      <c r="H501">
        <v>284877</v>
      </c>
      <c r="I501">
        <v>134800</v>
      </c>
      <c r="J501">
        <v>0.541826776211071</v>
      </c>
      <c r="K501">
        <v>154353.98652668099</v>
      </c>
      <c r="L501">
        <v>134800</v>
      </c>
      <c r="M501">
        <v>599</v>
      </c>
    </row>
    <row r="502" spans="1:13" ht="15">
      <c r="A502" t="s">
        <v>5791</v>
      </c>
      <c r="B502" s="1040" t="str">
        <f>CONCATENATE(LEFT(RIGHT(CONCATENATE("000",IFAData_TEA_1718!A502),6),3),"-",(RIGHT(RIGHT(CONCATENATE("000",IFAData_TEA_1718!A502),6),3)))</f>
        <v>032-902</v>
      </c>
      <c r="C502" t="s">
        <v>1604</v>
      </c>
      <c r="D502">
        <v>11</v>
      </c>
      <c r="E502">
        <v>2586</v>
      </c>
      <c r="F502" t="s">
        <v>8336</v>
      </c>
      <c r="G502" t="s">
        <v>8336</v>
      </c>
      <c r="H502">
        <v>294575</v>
      </c>
      <c r="I502">
        <v>294575</v>
      </c>
      <c r="J502">
        <v>1</v>
      </c>
      <c r="K502">
        <v>294575</v>
      </c>
      <c r="L502">
        <v>294575</v>
      </c>
      <c r="M502">
        <v>599</v>
      </c>
    </row>
    <row r="503" spans="1:13" ht="15">
      <c r="A503" t="s">
        <v>4368</v>
      </c>
      <c r="B503" s="1040" t="str">
        <f>CONCATENATE(LEFT(RIGHT(CONCATENATE("000",IFAData_TEA_1718!A503),6),3),"-",(RIGHT(RIGHT(CONCATENATE("000",IFAData_TEA_1718!A503),6),3)))</f>
        <v>034-906</v>
      </c>
      <c r="C503" t="s">
        <v>821</v>
      </c>
      <c r="D503">
        <v>4</v>
      </c>
      <c r="E503">
        <v>2083</v>
      </c>
      <c r="F503" t="s">
        <v>4369</v>
      </c>
      <c r="G503" t="s">
        <v>4369</v>
      </c>
      <c r="H503">
        <v>80006</v>
      </c>
      <c r="I503">
        <v>79759</v>
      </c>
      <c r="J503">
        <v>1</v>
      </c>
      <c r="K503">
        <v>80006</v>
      </c>
      <c r="L503">
        <v>79759</v>
      </c>
      <c r="M503">
        <v>199</v>
      </c>
    </row>
    <row r="504" spans="1:13" ht="15">
      <c r="A504" t="s">
        <v>5798</v>
      </c>
      <c r="B504" s="1040" t="str">
        <f>CONCATENATE(LEFT(RIGHT(CONCATENATE("000",IFAData_TEA_1718!A504),6),3),"-",(RIGHT(RIGHT(CONCATENATE("000",IFAData_TEA_1718!A504),6),3)))</f>
        <v>034-909</v>
      </c>
      <c r="C504" t="s">
        <v>1708</v>
      </c>
      <c r="D504">
        <v>11</v>
      </c>
      <c r="E504">
        <v>2557</v>
      </c>
      <c r="F504" t="s">
        <v>8337</v>
      </c>
      <c r="G504" t="s">
        <v>8337</v>
      </c>
      <c r="H504">
        <v>23190</v>
      </c>
      <c r="I504">
        <v>23253</v>
      </c>
      <c r="J504">
        <v>1</v>
      </c>
      <c r="K504">
        <v>23190</v>
      </c>
      <c r="L504">
        <v>23190</v>
      </c>
      <c r="M504">
        <v>599</v>
      </c>
    </row>
    <row r="505" spans="1:13" ht="15">
      <c r="A505" t="s">
        <v>3438</v>
      </c>
      <c r="B505" s="1040" t="str">
        <f>CONCATENATE(LEFT(RIGHT(CONCATENATE("000",IFAData_TEA_1718!A505),6),3),"-",(RIGHT(RIGHT(CONCATENATE("000",IFAData_TEA_1718!A505),6),3)))</f>
        <v>035-903</v>
      </c>
      <c r="C505" t="s">
        <v>389</v>
      </c>
      <c r="D505">
        <v>3</v>
      </c>
      <c r="E505">
        <v>2128</v>
      </c>
      <c r="F505" t="s">
        <v>4370</v>
      </c>
      <c r="G505" t="s">
        <v>4370</v>
      </c>
      <c r="H505">
        <v>100000</v>
      </c>
      <c r="I505">
        <v>0</v>
      </c>
      <c r="J505">
        <v>0</v>
      </c>
      <c r="K505"/>
      <c r="L505">
        <v>0</v>
      </c>
      <c r="M505">
        <v>599</v>
      </c>
    </row>
    <row r="506" spans="1:13" ht="15">
      <c r="A506" t="s">
        <v>3439</v>
      </c>
      <c r="B506" s="1040" t="str">
        <f>CONCATENATE(LEFT(RIGHT(CONCATENATE("000",IFAData_TEA_1718!A506),6),3),"-",(RIGHT(RIGHT(CONCATENATE("000",IFAData_TEA_1718!A506),6),3)))</f>
        <v>036-901</v>
      </c>
      <c r="C506" t="s">
        <v>1055</v>
      </c>
      <c r="D506">
        <v>3</v>
      </c>
      <c r="E506">
        <v>1573</v>
      </c>
      <c r="F506" t="s">
        <v>4371</v>
      </c>
      <c r="G506" t="s">
        <v>4371</v>
      </c>
      <c r="H506">
        <v>342500</v>
      </c>
      <c r="I506">
        <v>0</v>
      </c>
      <c r="J506">
        <v>0</v>
      </c>
      <c r="K506">
        <v>0</v>
      </c>
      <c r="L506">
        <v>0</v>
      </c>
      <c r="M506">
        <v>599</v>
      </c>
    </row>
    <row r="507" spans="1:13" ht="15">
      <c r="A507" t="s">
        <v>3439</v>
      </c>
      <c r="B507" s="1040" t="str">
        <f>CONCATENATE(LEFT(RIGHT(CONCATENATE("000",IFAData_TEA_1718!A507),6),3),"-",(RIGHT(RIGHT(CONCATENATE("000",IFAData_TEA_1718!A507),6),3)))</f>
        <v>036-901</v>
      </c>
      <c r="C507" t="s">
        <v>1055</v>
      </c>
      <c r="D507">
        <v>3</v>
      </c>
      <c r="E507">
        <v>1573</v>
      </c>
      <c r="F507" t="s">
        <v>4371</v>
      </c>
      <c r="G507" t="s">
        <v>4372</v>
      </c>
      <c r="H507">
        <v>342500</v>
      </c>
      <c r="I507">
        <v>520397</v>
      </c>
      <c r="J507">
        <v>1</v>
      </c>
      <c r="K507">
        <v>342500</v>
      </c>
      <c r="L507">
        <v>342500</v>
      </c>
      <c r="M507">
        <v>599</v>
      </c>
    </row>
    <row r="508" spans="1:13" ht="15">
      <c r="A508" t="s">
        <v>3439</v>
      </c>
      <c r="B508" s="1040" t="str">
        <f>CONCATENATE(LEFT(RIGHT(CONCATENATE("000",IFAData_TEA_1718!A508),6),3),"-",(RIGHT(RIGHT(CONCATENATE("000",IFAData_TEA_1718!A508),6),3)))</f>
        <v>036-901</v>
      </c>
      <c r="C508" t="s">
        <v>1055</v>
      </c>
      <c r="D508">
        <v>10</v>
      </c>
      <c r="E508">
        <v>1572</v>
      </c>
      <c r="F508" t="s">
        <v>4373</v>
      </c>
      <c r="G508" t="s">
        <v>4373</v>
      </c>
      <c r="H508">
        <v>321500</v>
      </c>
      <c r="I508">
        <v>718400</v>
      </c>
      <c r="J508">
        <v>1</v>
      </c>
      <c r="K508">
        <v>321500</v>
      </c>
      <c r="L508">
        <v>321500</v>
      </c>
      <c r="M508">
        <v>599</v>
      </c>
    </row>
    <row r="509" spans="1:13" ht="15">
      <c r="A509" t="s">
        <v>3440</v>
      </c>
      <c r="B509" s="1040" t="str">
        <f>CONCATENATE(LEFT(RIGHT(CONCATENATE("000",IFAData_TEA_1718!A509),6),3),"-",(RIGHT(RIGHT(CONCATENATE("000",IFAData_TEA_1718!A509),6),3)))</f>
        <v>036-903</v>
      </c>
      <c r="C509" t="s">
        <v>2369</v>
      </c>
      <c r="D509">
        <v>9</v>
      </c>
      <c r="E509">
        <v>1782</v>
      </c>
      <c r="F509" t="s">
        <v>4374</v>
      </c>
      <c r="G509" t="s">
        <v>4374</v>
      </c>
      <c r="H509">
        <v>300000</v>
      </c>
      <c r="I509">
        <v>541676</v>
      </c>
      <c r="J509">
        <v>1</v>
      </c>
      <c r="K509">
        <v>300000</v>
      </c>
      <c r="L509">
        <v>300000</v>
      </c>
      <c r="M509">
        <v>599</v>
      </c>
    </row>
    <row r="510" spans="1:13" ht="15">
      <c r="A510" t="s">
        <v>3440</v>
      </c>
      <c r="B510" s="1040" t="str">
        <f>CONCATENATE(LEFT(RIGHT(CONCATENATE("000",IFAData_TEA_1718!A510),6),3),"-",(RIGHT(RIGHT(CONCATENATE("000",IFAData_TEA_1718!A510),6),3)))</f>
        <v>036-903</v>
      </c>
      <c r="C510" t="s">
        <v>2369</v>
      </c>
      <c r="D510">
        <v>11</v>
      </c>
      <c r="E510">
        <v>2497</v>
      </c>
      <c r="F510" t="s">
        <v>8338</v>
      </c>
      <c r="G510" t="s">
        <v>8338</v>
      </c>
      <c r="H510">
        <v>337922</v>
      </c>
      <c r="I510">
        <v>415988</v>
      </c>
      <c r="J510">
        <v>1</v>
      </c>
      <c r="K510">
        <v>337922</v>
      </c>
      <c r="L510">
        <v>337922</v>
      </c>
      <c r="M510">
        <v>599</v>
      </c>
    </row>
    <row r="511" spans="1:13" ht="15">
      <c r="A511" t="s">
        <v>3441</v>
      </c>
      <c r="B511" s="1040" t="str">
        <f>CONCATENATE(LEFT(RIGHT(CONCATENATE("000",IFAData_TEA_1718!A511),6),3),"-",(RIGHT(RIGHT(CONCATENATE("000",IFAData_TEA_1718!A511),6),3)))</f>
        <v>037-904</v>
      </c>
      <c r="C511" t="s">
        <v>405</v>
      </c>
      <c r="D511">
        <v>2</v>
      </c>
      <c r="E511">
        <v>1932</v>
      </c>
      <c r="F511" t="s">
        <v>4375</v>
      </c>
      <c r="G511" t="s">
        <v>4375</v>
      </c>
      <c r="H511">
        <v>895013</v>
      </c>
      <c r="I511">
        <v>0</v>
      </c>
      <c r="J511">
        <v>0</v>
      </c>
      <c r="K511">
        <v>0</v>
      </c>
      <c r="L511">
        <v>0</v>
      </c>
      <c r="M511">
        <v>599</v>
      </c>
    </row>
    <row r="512" spans="1:13" ht="15">
      <c r="A512" t="s">
        <v>3441</v>
      </c>
      <c r="B512" s="1040" t="str">
        <f>CONCATENATE(LEFT(RIGHT(CONCATENATE("000",IFAData_TEA_1718!A512),6),3),"-",(RIGHT(RIGHT(CONCATENATE("000",IFAData_TEA_1718!A512),6),3)))</f>
        <v>037-904</v>
      </c>
      <c r="C512" t="s">
        <v>405</v>
      </c>
      <c r="D512">
        <v>2</v>
      </c>
      <c r="E512">
        <v>1932</v>
      </c>
      <c r="F512" t="s">
        <v>4375</v>
      </c>
      <c r="G512" t="s">
        <v>4376</v>
      </c>
      <c r="H512">
        <v>895013</v>
      </c>
      <c r="I512">
        <v>0</v>
      </c>
      <c r="J512">
        <v>0</v>
      </c>
      <c r="K512">
        <v>0</v>
      </c>
      <c r="L512">
        <v>0</v>
      </c>
      <c r="M512">
        <v>599</v>
      </c>
    </row>
    <row r="513" spans="1:13" ht="15">
      <c r="A513" t="s">
        <v>3441</v>
      </c>
      <c r="B513" s="1040" t="str">
        <f>CONCATENATE(LEFT(RIGHT(CONCATENATE("000",IFAData_TEA_1718!A513),6),3),"-",(RIGHT(RIGHT(CONCATENATE("000",IFAData_TEA_1718!A513),6),3)))</f>
        <v>037-904</v>
      </c>
      <c r="C513" t="s">
        <v>405</v>
      </c>
      <c r="D513">
        <v>2</v>
      </c>
      <c r="E513">
        <v>1932</v>
      </c>
      <c r="F513" t="s">
        <v>4375</v>
      </c>
      <c r="G513" t="s">
        <v>4377</v>
      </c>
      <c r="H513">
        <v>895013</v>
      </c>
      <c r="I513">
        <v>801850</v>
      </c>
      <c r="J513">
        <v>1</v>
      </c>
      <c r="K513">
        <v>895013</v>
      </c>
      <c r="L513">
        <v>801850</v>
      </c>
      <c r="M513">
        <v>599</v>
      </c>
    </row>
    <row r="514" spans="1:13" ht="15">
      <c r="A514" t="s">
        <v>3441</v>
      </c>
      <c r="B514" s="1040" t="str">
        <f>CONCATENATE(LEFT(RIGHT(CONCATENATE("000",IFAData_TEA_1718!A514),6),3),"-",(RIGHT(RIGHT(CONCATENATE("000",IFAData_TEA_1718!A514),6),3)))</f>
        <v>037-904</v>
      </c>
      <c r="C514" t="s">
        <v>405</v>
      </c>
      <c r="D514">
        <v>11</v>
      </c>
      <c r="E514">
        <v>2506</v>
      </c>
      <c r="F514" t="s">
        <v>8339</v>
      </c>
      <c r="G514" t="s">
        <v>8339</v>
      </c>
      <c r="H514">
        <v>1145766</v>
      </c>
      <c r="I514">
        <v>2634281</v>
      </c>
      <c r="J514">
        <v>1</v>
      </c>
      <c r="K514">
        <v>1145766</v>
      </c>
      <c r="L514">
        <v>1145766</v>
      </c>
      <c r="M514">
        <v>599</v>
      </c>
    </row>
    <row r="515" spans="1:13" ht="15">
      <c r="A515" t="s">
        <v>3442</v>
      </c>
      <c r="B515" s="1040" t="str">
        <f>CONCATENATE(LEFT(RIGHT(CONCATENATE("000",IFAData_TEA_1718!A515),6),3),"-",(RIGHT(RIGHT(CONCATENATE("000",IFAData_TEA_1718!A515),6),3)))</f>
        <v>037-907</v>
      </c>
      <c r="C515" t="s">
        <v>614</v>
      </c>
      <c r="D515">
        <v>1</v>
      </c>
      <c r="E515">
        <v>2272</v>
      </c>
      <c r="F515" t="s">
        <v>4378</v>
      </c>
      <c r="G515" t="s">
        <v>4378</v>
      </c>
      <c r="H515">
        <v>30292</v>
      </c>
      <c r="I515">
        <v>0</v>
      </c>
      <c r="J515">
        <v>0</v>
      </c>
      <c r="K515"/>
      <c r="L515">
        <v>0</v>
      </c>
      <c r="M515">
        <v>599</v>
      </c>
    </row>
    <row r="516" spans="1:13" ht="15">
      <c r="A516" t="s">
        <v>3442</v>
      </c>
      <c r="B516" s="1040" t="str">
        <f>CONCATENATE(LEFT(RIGHT(CONCATENATE("000",IFAData_TEA_1718!A516),6),3),"-",(RIGHT(RIGHT(CONCATENATE("000",IFAData_TEA_1718!A516),6),3)))</f>
        <v>037-907</v>
      </c>
      <c r="C516" t="s">
        <v>614</v>
      </c>
      <c r="D516">
        <v>5</v>
      </c>
      <c r="E516">
        <v>2273</v>
      </c>
      <c r="F516" t="s">
        <v>4380</v>
      </c>
      <c r="G516" t="s">
        <v>4380</v>
      </c>
      <c r="H516">
        <v>387158</v>
      </c>
      <c r="I516">
        <v>0</v>
      </c>
      <c r="J516">
        <v>0</v>
      </c>
      <c r="K516">
        <v>0</v>
      </c>
      <c r="L516">
        <v>0</v>
      </c>
      <c r="M516">
        <v>599</v>
      </c>
    </row>
    <row r="517" spans="1:13" ht="15">
      <c r="A517" t="s">
        <v>3442</v>
      </c>
      <c r="B517" s="1040" t="str">
        <f>CONCATENATE(LEFT(RIGHT(CONCATENATE("000",IFAData_TEA_1718!A517),6),3),"-",(RIGHT(RIGHT(CONCATENATE("000",IFAData_TEA_1718!A517),6),3)))</f>
        <v>037-907</v>
      </c>
      <c r="C517" t="s">
        <v>614</v>
      </c>
      <c r="D517">
        <v>5</v>
      </c>
      <c r="E517">
        <v>2273</v>
      </c>
      <c r="F517" t="s">
        <v>4380</v>
      </c>
      <c r="G517" t="s">
        <v>4381</v>
      </c>
      <c r="H517">
        <v>387158</v>
      </c>
      <c r="I517">
        <v>372912</v>
      </c>
      <c r="J517">
        <v>1</v>
      </c>
      <c r="K517">
        <v>387158</v>
      </c>
      <c r="L517">
        <v>372912</v>
      </c>
      <c r="M517">
        <v>599</v>
      </c>
    </row>
    <row r="518" spans="1:13" ht="15">
      <c r="A518" t="s">
        <v>4382</v>
      </c>
      <c r="B518" s="1040" t="str">
        <f>CONCATENATE(LEFT(RIGHT(CONCATENATE("000",IFAData_TEA_1718!A518),6),3),"-",(RIGHT(RIGHT(CONCATENATE("000",IFAData_TEA_1718!A518),6),3)))</f>
        <v>037-908</v>
      </c>
      <c r="C518" t="s">
        <v>1143</v>
      </c>
      <c r="D518">
        <v>6</v>
      </c>
      <c r="E518">
        <v>2143</v>
      </c>
      <c r="F518" t="s">
        <v>4383</v>
      </c>
      <c r="G518" t="s">
        <v>4383</v>
      </c>
      <c r="H518">
        <v>100400</v>
      </c>
      <c r="I518">
        <v>0</v>
      </c>
      <c r="J518">
        <v>0</v>
      </c>
      <c r="K518"/>
      <c r="L518">
        <v>0</v>
      </c>
      <c r="M518">
        <v>199</v>
      </c>
    </row>
    <row r="519" spans="1:13" ht="15">
      <c r="A519" t="s">
        <v>4382</v>
      </c>
      <c r="B519" s="1040" t="str">
        <f>CONCATENATE(LEFT(RIGHT(CONCATENATE("000",IFAData_TEA_1718!A519),6),3),"-",(RIGHT(RIGHT(CONCATENATE("000",IFAData_TEA_1718!A519),6),3)))</f>
        <v>037-908</v>
      </c>
      <c r="C519" t="s">
        <v>1143</v>
      </c>
      <c r="D519">
        <v>11</v>
      </c>
      <c r="E519">
        <v>2558</v>
      </c>
      <c r="F519" t="s">
        <v>8340</v>
      </c>
      <c r="G519" t="s">
        <v>8340</v>
      </c>
      <c r="H519">
        <v>126332</v>
      </c>
      <c r="I519">
        <v>433923</v>
      </c>
      <c r="J519">
        <v>1</v>
      </c>
      <c r="K519">
        <v>126332</v>
      </c>
      <c r="L519">
        <v>126332</v>
      </c>
      <c r="M519">
        <v>599</v>
      </c>
    </row>
    <row r="520" spans="1:13" ht="15">
      <c r="A520" t="s">
        <v>3443</v>
      </c>
      <c r="B520" s="1040" t="str">
        <f>CONCATENATE(LEFT(RIGHT(CONCATENATE("000",IFAData_TEA_1718!A520),6),3),"-",(RIGHT(RIGHT(CONCATENATE("000",IFAData_TEA_1718!A520),6),3)))</f>
        <v>038-901</v>
      </c>
      <c r="C520" t="s">
        <v>2185</v>
      </c>
      <c r="D520">
        <v>2</v>
      </c>
      <c r="E520">
        <v>1686</v>
      </c>
      <c r="F520" t="s">
        <v>4384</v>
      </c>
      <c r="G520" t="s">
        <v>4384</v>
      </c>
      <c r="H520">
        <v>143416</v>
      </c>
      <c r="I520">
        <v>0</v>
      </c>
      <c r="J520">
        <v>0</v>
      </c>
      <c r="K520">
        <v>0</v>
      </c>
      <c r="L520">
        <v>0</v>
      </c>
      <c r="M520">
        <v>599</v>
      </c>
    </row>
    <row r="521" spans="1:13" ht="15">
      <c r="A521" t="s">
        <v>3443</v>
      </c>
      <c r="B521" s="1040" t="str">
        <f>CONCATENATE(LEFT(RIGHT(CONCATENATE("000",IFAData_TEA_1718!A521),6),3),"-",(RIGHT(RIGHT(CONCATENATE("000",IFAData_TEA_1718!A521),6),3)))</f>
        <v>038-901</v>
      </c>
      <c r="C521" t="s">
        <v>2185</v>
      </c>
      <c r="D521">
        <v>2</v>
      </c>
      <c r="E521">
        <v>1686</v>
      </c>
      <c r="F521" t="s">
        <v>4384</v>
      </c>
      <c r="G521" t="s">
        <v>4385</v>
      </c>
      <c r="H521">
        <v>143416</v>
      </c>
      <c r="I521">
        <v>102043</v>
      </c>
      <c r="J521">
        <v>1</v>
      </c>
      <c r="K521">
        <v>143416</v>
      </c>
      <c r="L521">
        <v>102043</v>
      </c>
      <c r="M521">
        <v>599</v>
      </c>
    </row>
    <row r="522" spans="1:13" ht="15">
      <c r="A522" t="s">
        <v>3443</v>
      </c>
      <c r="B522" s="1040" t="str">
        <f>CONCATENATE(LEFT(RIGHT(CONCATENATE("000",IFAData_TEA_1718!A522),6),3),"-",(RIGHT(RIGHT(CONCATENATE("000",IFAData_TEA_1718!A522),6),3)))</f>
        <v>038-901</v>
      </c>
      <c r="C522" t="s">
        <v>2185</v>
      </c>
      <c r="D522">
        <v>5</v>
      </c>
      <c r="E522">
        <v>1687</v>
      </c>
      <c r="F522" t="s">
        <v>4386</v>
      </c>
      <c r="G522" t="s">
        <v>4386</v>
      </c>
      <c r="H522">
        <v>198700</v>
      </c>
      <c r="I522">
        <v>0</v>
      </c>
      <c r="J522">
        <v>0</v>
      </c>
      <c r="K522">
        <v>0</v>
      </c>
      <c r="L522">
        <v>0</v>
      </c>
      <c r="M522">
        <v>599</v>
      </c>
    </row>
    <row r="523" spans="1:13" ht="15">
      <c r="A523" t="s">
        <v>3443</v>
      </c>
      <c r="B523" s="1040" t="str">
        <f>CONCATENATE(LEFT(RIGHT(CONCATENATE("000",IFAData_TEA_1718!A523),6),3),"-",(RIGHT(RIGHT(CONCATENATE("000",IFAData_TEA_1718!A523),6),3)))</f>
        <v>038-901</v>
      </c>
      <c r="C523" t="s">
        <v>2185</v>
      </c>
      <c r="D523">
        <v>5</v>
      </c>
      <c r="E523">
        <v>1687</v>
      </c>
      <c r="F523" t="s">
        <v>4386</v>
      </c>
      <c r="G523" t="s">
        <v>4385</v>
      </c>
      <c r="H523">
        <v>198700</v>
      </c>
      <c r="I523">
        <v>173600</v>
      </c>
      <c r="J523">
        <v>1</v>
      </c>
      <c r="K523">
        <v>198700</v>
      </c>
      <c r="L523">
        <v>173600</v>
      </c>
      <c r="M523">
        <v>599</v>
      </c>
    </row>
    <row r="524" spans="1:13" ht="15">
      <c r="A524" t="s">
        <v>3444</v>
      </c>
      <c r="B524" s="1040" t="str">
        <f>CONCATENATE(LEFT(RIGHT(CONCATENATE("000",IFAData_TEA_1718!A524),6),3),"-",(RIGHT(RIGHT(CONCATENATE("000",IFAData_TEA_1718!A524),6),3)))</f>
        <v>039-903</v>
      </c>
      <c r="C524" t="s">
        <v>3912</v>
      </c>
      <c r="D524">
        <v>5</v>
      </c>
      <c r="E524">
        <v>2187</v>
      </c>
      <c r="F524" t="s">
        <v>4387</v>
      </c>
      <c r="G524" t="s">
        <v>4387</v>
      </c>
      <c r="H524">
        <v>232853</v>
      </c>
      <c r="I524">
        <v>0</v>
      </c>
      <c r="J524">
        <v>0</v>
      </c>
      <c r="K524">
        <v>0</v>
      </c>
      <c r="L524">
        <v>0</v>
      </c>
      <c r="M524">
        <v>599</v>
      </c>
    </row>
    <row r="525" spans="1:13" ht="15">
      <c r="A525" t="s">
        <v>3444</v>
      </c>
      <c r="B525" s="1040" t="str">
        <f>CONCATENATE(LEFT(RIGHT(CONCATENATE("000",IFAData_TEA_1718!A525),6),3),"-",(RIGHT(RIGHT(CONCATENATE("000",IFAData_TEA_1718!A525),6),3)))</f>
        <v>039-903</v>
      </c>
      <c r="C525" t="s">
        <v>3912</v>
      </c>
      <c r="D525">
        <v>5</v>
      </c>
      <c r="E525">
        <v>2187</v>
      </c>
      <c r="F525" t="s">
        <v>4387</v>
      </c>
      <c r="G525" t="s">
        <v>4388</v>
      </c>
      <c r="H525">
        <v>232853</v>
      </c>
      <c r="I525">
        <v>0</v>
      </c>
      <c r="J525">
        <v>0</v>
      </c>
      <c r="K525">
        <v>0</v>
      </c>
      <c r="L525">
        <v>0</v>
      </c>
      <c r="M525">
        <v>599</v>
      </c>
    </row>
    <row r="526" spans="1:13" ht="15">
      <c r="A526" t="s">
        <v>3444</v>
      </c>
      <c r="B526" s="1040" t="str">
        <f>CONCATENATE(LEFT(RIGHT(CONCATENATE("000",IFAData_TEA_1718!A526),6),3),"-",(RIGHT(RIGHT(CONCATENATE("000",IFAData_TEA_1718!A526),6),3)))</f>
        <v>039-903</v>
      </c>
      <c r="C526" t="s">
        <v>3912</v>
      </c>
      <c r="D526">
        <v>5</v>
      </c>
      <c r="E526">
        <v>2187</v>
      </c>
      <c r="F526" t="s">
        <v>4387</v>
      </c>
      <c r="G526" t="s">
        <v>6430</v>
      </c>
      <c r="H526">
        <v>232853</v>
      </c>
      <c r="I526">
        <v>198611</v>
      </c>
      <c r="J526">
        <v>1</v>
      </c>
      <c r="K526">
        <v>232853</v>
      </c>
      <c r="L526">
        <v>198611</v>
      </c>
      <c r="M526">
        <v>599</v>
      </c>
    </row>
    <row r="527" spans="1:13" ht="15">
      <c r="A527" t="s">
        <v>4389</v>
      </c>
      <c r="B527" s="1040" t="str">
        <f>CONCATENATE(LEFT(RIGHT(CONCATENATE("000",IFAData_TEA_1718!A527),6),3),"-",(RIGHT(RIGHT(CONCATENATE("000",IFAData_TEA_1718!A527),6),3)))</f>
        <v>042-901</v>
      </c>
      <c r="C527" t="s">
        <v>1168</v>
      </c>
      <c r="D527">
        <v>2</v>
      </c>
      <c r="E527">
        <v>1704</v>
      </c>
      <c r="F527" t="s">
        <v>4390</v>
      </c>
      <c r="G527" t="s">
        <v>4390</v>
      </c>
      <c r="H527">
        <v>71550</v>
      </c>
      <c r="I527">
        <v>0</v>
      </c>
      <c r="J527">
        <v>0</v>
      </c>
      <c r="K527"/>
      <c r="L527">
        <v>0</v>
      </c>
      <c r="M527">
        <v>599</v>
      </c>
    </row>
    <row r="528" spans="1:13" ht="15">
      <c r="A528" t="s">
        <v>3445</v>
      </c>
      <c r="B528" s="1040" t="str">
        <f>CONCATENATE(LEFT(RIGHT(CONCATENATE("000",IFAData_TEA_1718!A528),6),3),"-",(RIGHT(RIGHT(CONCATENATE("000",IFAData_TEA_1718!A528),6),3)))</f>
        <v>042-903</v>
      </c>
      <c r="C528" t="s">
        <v>84</v>
      </c>
      <c r="D528">
        <v>6</v>
      </c>
      <c r="E528">
        <v>2306</v>
      </c>
      <c r="F528" t="s">
        <v>4391</v>
      </c>
      <c r="G528" t="s">
        <v>4391</v>
      </c>
      <c r="H528">
        <v>100000</v>
      </c>
      <c r="I528">
        <v>0</v>
      </c>
      <c r="J528">
        <v>0</v>
      </c>
      <c r="K528">
        <v>0</v>
      </c>
      <c r="L528">
        <v>0</v>
      </c>
      <c r="M528">
        <v>599</v>
      </c>
    </row>
    <row r="529" spans="1:13" ht="15">
      <c r="A529" t="s">
        <v>3445</v>
      </c>
      <c r="B529" s="1040" t="str">
        <f>CONCATENATE(LEFT(RIGHT(CONCATENATE("000",IFAData_TEA_1718!A529),6),3),"-",(RIGHT(RIGHT(CONCATENATE("000",IFAData_TEA_1718!A529),6),3)))</f>
        <v>042-903</v>
      </c>
      <c r="C529" t="s">
        <v>84</v>
      </c>
      <c r="D529">
        <v>6</v>
      </c>
      <c r="E529">
        <v>2306</v>
      </c>
      <c r="F529" t="s">
        <v>4391</v>
      </c>
      <c r="G529" t="s">
        <v>4392</v>
      </c>
      <c r="H529">
        <v>100000</v>
      </c>
      <c r="I529">
        <v>94635</v>
      </c>
      <c r="J529">
        <v>1</v>
      </c>
      <c r="K529">
        <v>100000</v>
      </c>
      <c r="L529">
        <v>94635</v>
      </c>
      <c r="M529">
        <v>599</v>
      </c>
    </row>
    <row r="530" spans="1:13" ht="15">
      <c r="A530" t="s">
        <v>5806</v>
      </c>
      <c r="B530" s="1040" t="str">
        <f>CONCATENATE(LEFT(RIGHT(CONCATENATE("000",IFAData_TEA_1718!A530),6),3),"-",(RIGHT(RIGHT(CONCATENATE("000",IFAData_TEA_1718!A530),6),3)))</f>
        <v>042-905</v>
      </c>
      <c r="C530" t="s">
        <v>1030</v>
      </c>
      <c r="D530">
        <v>11</v>
      </c>
      <c r="E530">
        <v>2587</v>
      </c>
      <c r="F530" t="s">
        <v>8341</v>
      </c>
      <c r="G530" t="s">
        <v>8341</v>
      </c>
      <c r="H530">
        <v>56550</v>
      </c>
      <c r="I530">
        <v>54843</v>
      </c>
      <c r="J530">
        <v>1</v>
      </c>
      <c r="K530">
        <v>56550</v>
      </c>
      <c r="L530">
        <v>54843</v>
      </c>
      <c r="M530">
        <v>599</v>
      </c>
    </row>
    <row r="531" spans="1:13" ht="15">
      <c r="A531" t="s">
        <v>3446</v>
      </c>
      <c r="B531" s="1040" t="str">
        <f>CONCATENATE(LEFT(RIGHT(CONCATENATE("000",IFAData_TEA_1718!A531),6),3),"-",(RIGHT(RIGHT(CONCATENATE("000",IFAData_TEA_1718!A531),6),3)))</f>
        <v>043-901</v>
      </c>
      <c r="C531" t="s">
        <v>1957</v>
      </c>
      <c r="D531">
        <v>1</v>
      </c>
      <c r="E531">
        <v>1560</v>
      </c>
      <c r="F531" t="s">
        <v>4393</v>
      </c>
      <c r="G531" t="s">
        <v>4393</v>
      </c>
      <c r="H531">
        <v>1385015</v>
      </c>
      <c r="I531">
        <v>0</v>
      </c>
      <c r="J531">
        <v>0</v>
      </c>
      <c r="K531"/>
      <c r="L531">
        <v>0</v>
      </c>
      <c r="M531">
        <v>599</v>
      </c>
    </row>
    <row r="532" spans="1:13" ht="15">
      <c r="A532" t="s">
        <v>3447</v>
      </c>
      <c r="B532" s="1040" t="str">
        <f>CONCATENATE(LEFT(RIGHT(CONCATENATE("000",IFAData_TEA_1718!A532),6),3),"-",(RIGHT(RIGHT(CONCATENATE("000",IFAData_TEA_1718!A532),6),3)))</f>
        <v>043-902</v>
      </c>
      <c r="C532" t="s">
        <v>1056</v>
      </c>
      <c r="D532">
        <v>2</v>
      </c>
      <c r="E532">
        <v>1575</v>
      </c>
      <c r="F532" t="s">
        <v>4396</v>
      </c>
      <c r="G532" t="s">
        <v>4396</v>
      </c>
      <c r="H532">
        <v>200000</v>
      </c>
      <c r="I532">
        <v>0</v>
      </c>
      <c r="J532">
        <v>0</v>
      </c>
      <c r="K532">
        <v>0</v>
      </c>
      <c r="L532">
        <v>0</v>
      </c>
      <c r="M532">
        <v>599</v>
      </c>
    </row>
    <row r="533" spans="1:13" ht="15">
      <c r="A533" t="s">
        <v>3447</v>
      </c>
      <c r="B533" s="1040" t="str">
        <f>CONCATENATE(LEFT(RIGHT(CONCATENATE("000",IFAData_TEA_1718!A533),6),3),"-",(RIGHT(RIGHT(CONCATENATE("000",IFAData_TEA_1718!A533),6),3)))</f>
        <v>043-902</v>
      </c>
      <c r="C533" t="s">
        <v>1056</v>
      </c>
      <c r="D533">
        <v>2</v>
      </c>
      <c r="E533">
        <v>1575</v>
      </c>
      <c r="F533" t="s">
        <v>4396</v>
      </c>
      <c r="G533" t="s">
        <v>4397</v>
      </c>
      <c r="H533">
        <v>200000</v>
      </c>
      <c r="I533">
        <v>494645</v>
      </c>
      <c r="J533">
        <v>1</v>
      </c>
      <c r="K533">
        <v>200000</v>
      </c>
      <c r="L533">
        <v>200000</v>
      </c>
      <c r="M533">
        <v>599</v>
      </c>
    </row>
    <row r="534" spans="1:13" ht="15">
      <c r="A534" t="s">
        <v>3447</v>
      </c>
      <c r="B534" s="1040" t="str">
        <f>CONCATENATE(LEFT(RIGHT(CONCATENATE("000",IFAData_TEA_1718!A534),6),3),"-",(RIGHT(RIGHT(CONCATENATE("000",IFAData_TEA_1718!A534),6),3)))</f>
        <v>043-902</v>
      </c>
      <c r="C534" t="s">
        <v>1056</v>
      </c>
      <c r="D534">
        <v>9</v>
      </c>
      <c r="E534">
        <v>1578</v>
      </c>
      <c r="F534" t="s">
        <v>4398</v>
      </c>
      <c r="G534" t="s">
        <v>4398</v>
      </c>
      <c r="H534">
        <v>634691</v>
      </c>
      <c r="I534">
        <v>0</v>
      </c>
      <c r="J534">
        <v>0</v>
      </c>
      <c r="K534">
        <v>0</v>
      </c>
      <c r="L534">
        <v>0</v>
      </c>
      <c r="M534">
        <v>599</v>
      </c>
    </row>
    <row r="535" spans="1:13" ht="15">
      <c r="A535" t="s">
        <v>3447</v>
      </c>
      <c r="B535" s="1040" t="str">
        <f>CONCATENATE(LEFT(RIGHT(CONCATENATE("000",IFAData_TEA_1718!A535),6),3),"-",(RIGHT(RIGHT(CONCATENATE("000",IFAData_TEA_1718!A535),6),3)))</f>
        <v>043-902</v>
      </c>
      <c r="C535" t="s">
        <v>1056</v>
      </c>
      <c r="D535">
        <v>9</v>
      </c>
      <c r="E535">
        <v>1578</v>
      </c>
      <c r="F535" t="s">
        <v>4398</v>
      </c>
      <c r="G535" t="s">
        <v>6214</v>
      </c>
      <c r="H535">
        <v>634691</v>
      </c>
      <c r="I535">
        <v>130547</v>
      </c>
      <c r="J535">
        <v>0.14989086591951101</v>
      </c>
      <c r="K535">
        <v>95134.3835813201</v>
      </c>
      <c r="L535">
        <v>95134.3835813201</v>
      </c>
      <c r="M535">
        <v>599</v>
      </c>
    </row>
    <row r="536" spans="1:13" ht="15">
      <c r="A536" t="s">
        <v>3447</v>
      </c>
      <c r="B536" s="1040" t="str">
        <f>CONCATENATE(LEFT(RIGHT(CONCATENATE("000",IFAData_TEA_1718!A536),6),3),"-",(RIGHT(RIGHT(CONCATENATE("000",IFAData_TEA_1718!A536),6),3)))</f>
        <v>043-902</v>
      </c>
      <c r="C536" t="s">
        <v>1056</v>
      </c>
      <c r="D536">
        <v>9</v>
      </c>
      <c r="E536">
        <v>1578</v>
      </c>
      <c r="F536" t="s">
        <v>4398</v>
      </c>
      <c r="G536" t="s">
        <v>6825</v>
      </c>
      <c r="H536">
        <v>634691</v>
      </c>
      <c r="I536">
        <v>740400</v>
      </c>
      <c r="J536">
        <v>0.85010913408048905</v>
      </c>
      <c r="K536">
        <v>539556.61641867994</v>
      </c>
      <c r="L536">
        <v>539556.61641867994</v>
      </c>
      <c r="M536">
        <v>599</v>
      </c>
    </row>
    <row r="537" spans="1:13" ht="15">
      <c r="A537" t="s">
        <v>3447</v>
      </c>
      <c r="B537" s="1040" t="str">
        <f>CONCATENATE(LEFT(RIGHT(CONCATENATE("000",IFAData_TEA_1718!A537),6),3),"-",(RIGHT(RIGHT(CONCATENATE("000",IFAData_TEA_1718!A537),6),3)))</f>
        <v>043-902</v>
      </c>
      <c r="C537" t="s">
        <v>1056</v>
      </c>
      <c r="D537">
        <v>10</v>
      </c>
      <c r="E537">
        <v>1574</v>
      </c>
      <c r="F537" t="s">
        <v>4399</v>
      </c>
      <c r="G537" t="s">
        <v>4399</v>
      </c>
      <c r="H537">
        <v>180500</v>
      </c>
      <c r="I537">
        <v>180500</v>
      </c>
      <c r="J537">
        <v>1</v>
      </c>
      <c r="K537">
        <v>180500</v>
      </c>
      <c r="L537">
        <v>180500</v>
      </c>
      <c r="M537">
        <v>599</v>
      </c>
    </row>
    <row r="538" spans="1:13" ht="15">
      <c r="A538" t="s">
        <v>3447</v>
      </c>
      <c r="B538" s="1040" t="str">
        <f>CONCATENATE(LEFT(RIGHT(CONCATENATE("000",IFAData_TEA_1718!A538),6),3),"-",(RIGHT(RIGHT(CONCATENATE("000",IFAData_TEA_1718!A538),6),3)))</f>
        <v>043-902</v>
      </c>
      <c r="C538" t="s">
        <v>1056</v>
      </c>
      <c r="D538">
        <v>10</v>
      </c>
      <c r="E538">
        <v>1576</v>
      </c>
      <c r="F538" t="s">
        <v>4400</v>
      </c>
      <c r="G538" t="s">
        <v>4400</v>
      </c>
      <c r="H538">
        <v>261525</v>
      </c>
      <c r="I538">
        <v>261525</v>
      </c>
      <c r="J538">
        <v>1</v>
      </c>
      <c r="K538">
        <v>261525</v>
      </c>
      <c r="L538">
        <v>261525</v>
      </c>
      <c r="M538">
        <v>599</v>
      </c>
    </row>
    <row r="539" spans="1:13" ht="15">
      <c r="A539" t="s">
        <v>3447</v>
      </c>
      <c r="B539" s="1040" t="str">
        <f>CONCATENATE(LEFT(RIGHT(CONCATENATE("000",IFAData_TEA_1718!A539),6),3),"-",(RIGHT(RIGHT(CONCATENATE("000",IFAData_TEA_1718!A539),6),3)))</f>
        <v>043-902</v>
      </c>
      <c r="C539" t="s">
        <v>1056</v>
      </c>
      <c r="D539">
        <v>10</v>
      </c>
      <c r="E539">
        <v>1577</v>
      </c>
      <c r="F539" t="s">
        <v>4401</v>
      </c>
      <c r="G539" t="s">
        <v>4401</v>
      </c>
      <c r="H539">
        <v>285928</v>
      </c>
      <c r="I539">
        <v>844750</v>
      </c>
      <c r="J539">
        <v>1</v>
      </c>
      <c r="K539">
        <v>285928</v>
      </c>
      <c r="L539">
        <v>285928</v>
      </c>
      <c r="M539">
        <v>599</v>
      </c>
    </row>
    <row r="540" spans="1:13" ht="15">
      <c r="A540" t="s">
        <v>3447</v>
      </c>
      <c r="B540" s="1040" t="str">
        <f>CONCATENATE(LEFT(RIGHT(CONCATENATE("000",IFAData_TEA_1718!A540),6),3),"-",(RIGHT(RIGHT(CONCATENATE("000",IFAData_TEA_1718!A540),6),3)))</f>
        <v>043-902</v>
      </c>
      <c r="C540" t="s">
        <v>1056</v>
      </c>
      <c r="D540">
        <v>11</v>
      </c>
      <c r="E540">
        <v>2504</v>
      </c>
      <c r="F540" t="s">
        <v>8342</v>
      </c>
      <c r="G540" t="s">
        <v>8342</v>
      </c>
      <c r="H540">
        <v>156800</v>
      </c>
      <c r="I540">
        <v>156800</v>
      </c>
      <c r="J540">
        <v>1</v>
      </c>
      <c r="K540">
        <v>156800</v>
      </c>
      <c r="L540">
        <v>156800</v>
      </c>
      <c r="M540">
        <v>599</v>
      </c>
    </row>
    <row r="541" spans="1:13" ht="15">
      <c r="A541" t="s">
        <v>3447</v>
      </c>
      <c r="B541" s="1040" t="str">
        <f>CONCATENATE(LEFT(RIGHT(CONCATENATE("000",IFAData_TEA_1718!A541),6),3),"-",(RIGHT(RIGHT(CONCATENATE("000",IFAData_TEA_1718!A541),6),3)))</f>
        <v>043-902</v>
      </c>
      <c r="C541" t="s">
        <v>1056</v>
      </c>
      <c r="D541">
        <v>11</v>
      </c>
      <c r="E541">
        <v>2503</v>
      </c>
      <c r="F541" t="s">
        <v>8343</v>
      </c>
      <c r="G541" t="s">
        <v>8343</v>
      </c>
      <c r="H541">
        <v>107088</v>
      </c>
      <c r="I541">
        <v>247088</v>
      </c>
      <c r="J541">
        <v>1</v>
      </c>
      <c r="K541">
        <v>107088</v>
      </c>
      <c r="L541">
        <v>107088</v>
      </c>
      <c r="M541">
        <v>599</v>
      </c>
    </row>
    <row r="542" spans="1:13" ht="15">
      <c r="A542" t="s">
        <v>3447</v>
      </c>
      <c r="B542" s="1040" t="str">
        <f>CONCATENATE(LEFT(RIGHT(CONCATENATE("000",IFAData_TEA_1718!A542),6),3),"-",(RIGHT(RIGHT(CONCATENATE("000",IFAData_TEA_1718!A542),6),3)))</f>
        <v>043-902</v>
      </c>
      <c r="C542" t="s">
        <v>1056</v>
      </c>
      <c r="D542">
        <v>11</v>
      </c>
      <c r="E542">
        <v>2505</v>
      </c>
      <c r="F542" t="s">
        <v>8344</v>
      </c>
      <c r="G542" t="s">
        <v>8344</v>
      </c>
      <c r="H542">
        <v>465516</v>
      </c>
      <c r="I542">
        <v>628950</v>
      </c>
      <c r="J542">
        <v>1</v>
      </c>
      <c r="K542">
        <v>465516</v>
      </c>
      <c r="L542">
        <v>465516</v>
      </c>
      <c r="M542">
        <v>599</v>
      </c>
    </row>
    <row r="543" spans="1:13" ht="15">
      <c r="A543" t="s">
        <v>3448</v>
      </c>
      <c r="B543" s="1040" t="str">
        <f>CONCATENATE(LEFT(RIGHT(CONCATENATE("000",IFAData_TEA_1718!A543),6),3),"-",(RIGHT(RIGHT(CONCATENATE("000",IFAData_TEA_1718!A543),6),3)))</f>
        <v>043-903</v>
      </c>
      <c r="C543" t="s">
        <v>658</v>
      </c>
      <c r="D543">
        <v>6</v>
      </c>
      <c r="E543">
        <v>1671</v>
      </c>
      <c r="F543" t="s">
        <v>4402</v>
      </c>
      <c r="G543" t="s">
        <v>4402</v>
      </c>
      <c r="H543">
        <v>129550</v>
      </c>
      <c r="I543">
        <v>0</v>
      </c>
      <c r="J543">
        <v>0</v>
      </c>
      <c r="K543">
        <v>0</v>
      </c>
      <c r="L543">
        <v>0</v>
      </c>
      <c r="M543">
        <v>599</v>
      </c>
    </row>
    <row r="544" spans="1:13" ht="15">
      <c r="A544" t="s">
        <v>3448</v>
      </c>
      <c r="B544" s="1040" t="str">
        <f>CONCATENATE(LEFT(RIGHT(CONCATENATE("000",IFAData_TEA_1718!A544),6),3),"-",(RIGHT(RIGHT(CONCATENATE("000",IFAData_TEA_1718!A544),6),3)))</f>
        <v>043-903</v>
      </c>
      <c r="C544" t="s">
        <v>658</v>
      </c>
      <c r="D544">
        <v>6</v>
      </c>
      <c r="E544">
        <v>1671</v>
      </c>
      <c r="F544" t="s">
        <v>4402</v>
      </c>
      <c r="G544" t="s">
        <v>4403</v>
      </c>
      <c r="H544">
        <v>129550</v>
      </c>
      <c r="I544">
        <v>18138</v>
      </c>
      <c r="J544">
        <v>0.16971386866777699</v>
      </c>
      <c r="K544">
        <v>21986.431685910498</v>
      </c>
      <c r="L544">
        <v>18138</v>
      </c>
      <c r="M544">
        <v>599</v>
      </c>
    </row>
    <row r="545" spans="1:13" ht="15">
      <c r="A545" t="s">
        <v>3448</v>
      </c>
      <c r="B545" s="1040" t="str">
        <f>CONCATENATE(LEFT(RIGHT(CONCATENATE("000",IFAData_TEA_1718!A545),6),3),"-",(RIGHT(RIGHT(CONCATENATE("000",IFAData_TEA_1718!A545),6),3)))</f>
        <v>043-903</v>
      </c>
      <c r="C545" t="s">
        <v>658</v>
      </c>
      <c r="D545">
        <v>6</v>
      </c>
      <c r="E545">
        <v>1671</v>
      </c>
      <c r="F545" t="s">
        <v>4402</v>
      </c>
      <c r="G545" t="s">
        <v>6215</v>
      </c>
      <c r="H545">
        <v>129550</v>
      </c>
      <c r="I545">
        <v>88736</v>
      </c>
      <c r="J545">
        <v>0.83028613133222295</v>
      </c>
      <c r="K545">
        <v>107563.568314089</v>
      </c>
      <c r="L545">
        <v>88736</v>
      </c>
      <c r="M545">
        <v>599</v>
      </c>
    </row>
    <row r="546" spans="1:13" ht="15">
      <c r="A546" t="s">
        <v>3448</v>
      </c>
      <c r="B546" s="1040" t="str">
        <f>CONCATENATE(LEFT(RIGHT(CONCATENATE("000",IFAData_TEA_1718!A546),6),3),"-",(RIGHT(RIGHT(CONCATENATE("000",IFAData_TEA_1718!A546),6),3)))</f>
        <v>043-903</v>
      </c>
      <c r="C546" t="s">
        <v>658</v>
      </c>
      <c r="D546">
        <v>6</v>
      </c>
      <c r="E546">
        <v>1672</v>
      </c>
      <c r="F546" t="s">
        <v>4404</v>
      </c>
      <c r="G546" t="s">
        <v>4404</v>
      </c>
      <c r="H546">
        <v>143455</v>
      </c>
      <c r="I546">
        <v>0</v>
      </c>
      <c r="J546">
        <v>0</v>
      </c>
      <c r="K546">
        <v>0</v>
      </c>
      <c r="L546">
        <v>0</v>
      </c>
      <c r="M546">
        <v>599</v>
      </c>
    </row>
    <row r="547" spans="1:13" ht="15">
      <c r="A547" t="s">
        <v>3448</v>
      </c>
      <c r="B547" s="1040" t="str">
        <f>CONCATENATE(LEFT(RIGHT(CONCATENATE("000",IFAData_TEA_1718!A547),6),3),"-",(RIGHT(RIGHT(CONCATENATE("000",IFAData_TEA_1718!A547),6),3)))</f>
        <v>043-903</v>
      </c>
      <c r="C547" t="s">
        <v>658</v>
      </c>
      <c r="D547">
        <v>6</v>
      </c>
      <c r="E547">
        <v>1672</v>
      </c>
      <c r="F547" t="s">
        <v>4404</v>
      </c>
      <c r="G547" t="s">
        <v>4403</v>
      </c>
      <c r="H547">
        <v>143455</v>
      </c>
      <c r="I547">
        <v>237781</v>
      </c>
      <c r="J547">
        <v>0.71743741532928396</v>
      </c>
      <c r="K547">
        <v>102919.984416062</v>
      </c>
      <c r="L547">
        <v>102919.984416062</v>
      </c>
      <c r="M547">
        <v>599</v>
      </c>
    </row>
    <row r="548" spans="1:13" ht="15">
      <c r="A548" t="s">
        <v>3448</v>
      </c>
      <c r="B548" s="1040" t="str">
        <f>CONCATENATE(LEFT(RIGHT(CONCATENATE("000",IFAData_TEA_1718!A548),6),3),"-",(RIGHT(RIGHT(CONCATENATE("000",IFAData_TEA_1718!A548),6),3)))</f>
        <v>043-903</v>
      </c>
      <c r="C548" t="s">
        <v>658</v>
      </c>
      <c r="D548">
        <v>6</v>
      </c>
      <c r="E548">
        <v>1672</v>
      </c>
      <c r="F548" t="s">
        <v>4404</v>
      </c>
      <c r="G548" t="s">
        <v>6215</v>
      </c>
      <c r="H548">
        <v>143455</v>
      </c>
      <c r="I548">
        <v>93650</v>
      </c>
      <c r="J548">
        <v>0.28256258467071599</v>
      </c>
      <c r="K548">
        <v>40535.0155839375</v>
      </c>
      <c r="L548">
        <v>40535.0155839375</v>
      </c>
      <c r="M548">
        <v>599</v>
      </c>
    </row>
    <row r="549" spans="1:13" ht="15">
      <c r="A549" t="s">
        <v>3449</v>
      </c>
      <c r="B549" s="1040" t="str">
        <f>CONCATENATE(LEFT(RIGHT(CONCATENATE("000",IFAData_TEA_1718!A549),6),3),"-",(RIGHT(RIGHT(CONCATENATE("000",IFAData_TEA_1718!A549),6),3)))</f>
        <v>043-904</v>
      </c>
      <c r="C549" t="s">
        <v>108</v>
      </c>
      <c r="D549">
        <v>3</v>
      </c>
      <c r="E549">
        <v>1811</v>
      </c>
      <c r="F549" t="s">
        <v>4405</v>
      </c>
      <c r="G549" t="s">
        <v>4405</v>
      </c>
      <c r="H549">
        <v>172081</v>
      </c>
      <c r="I549">
        <v>0</v>
      </c>
      <c r="J549">
        <v>0</v>
      </c>
      <c r="K549">
        <v>0</v>
      </c>
      <c r="L549">
        <v>0</v>
      </c>
      <c r="M549">
        <v>599</v>
      </c>
    </row>
    <row r="550" spans="1:13" ht="15">
      <c r="A550" t="s">
        <v>3449</v>
      </c>
      <c r="B550" s="1040" t="str">
        <f>CONCATENATE(LEFT(RIGHT(CONCATENATE("000",IFAData_TEA_1718!A550),6),3),"-",(RIGHT(RIGHT(CONCATENATE("000",IFAData_TEA_1718!A550),6),3)))</f>
        <v>043-904</v>
      </c>
      <c r="C550" t="s">
        <v>108</v>
      </c>
      <c r="D550">
        <v>3</v>
      </c>
      <c r="E550">
        <v>1811</v>
      </c>
      <c r="F550" t="s">
        <v>4405</v>
      </c>
      <c r="G550" t="s">
        <v>4406</v>
      </c>
      <c r="H550">
        <v>172081</v>
      </c>
      <c r="I550">
        <v>644900</v>
      </c>
      <c r="J550">
        <v>1</v>
      </c>
      <c r="K550">
        <v>172081</v>
      </c>
      <c r="L550">
        <v>172081</v>
      </c>
      <c r="M550">
        <v>599</v>
      </c>
    </row>
    <row r="551" spans="1:13" ht="15">
      <c r="A551" t="s">
        <v>3450</v>
      </c>
      <c r="B551" s="1040" t="str">
        <f>CONCATENATE(LEFT(RIGHT(CONCATENATE("000",IFAData_TEA_1718!A551),6),3),"-",(RIGHT(RIGHT(CONCATENATE("000",IFAData_TEA_1718!A551),6),3)))</f>
        <v>043-905</v>
      </c>
      <c r="C551" t="s">
        <v>1477</v>
      </c>
      <c r="D551">
        <v>1</v>
      </c>
      <c r="E551">
        <v>1831</v>
      </c>
      <c r="F551" t="s">
        <v>4407</v>
      </c>
      <c r="G551" t="s">
        <v>4407</v>
      </c>
      <c r="H551">
        <v>569214</v>
      </c>
      <c r="I551">
        <v>0</v>
      </c>
      <c r="J551">
        <v>0</v>
      </c>
      <c r="K551">
        <v>0</v>
      </c>
      <c r="L551">
        <v>0</v>
      </c>
      <c r="M551">
        <v>599</v>
      </c>
    </row>
    <row r="552" spans="1:13" ht="15">
      <c r="A552" t="s">
        <v>3450</v>
      </c>
      <c r="B552" s="1040" t="str">
        <f>CONCATENATE(LEFT(RIGHT(CONCATENATE("000",IFAData_TEA_1718!A552),6),3),"-",(RIGHT(RIGHT(CONCATENATE("000",IFAData_TEA_1718!A552),6),3)))</f>
        <v>043-905</v>
      </c>
      <c r="C552" t="s">
        <v>1477</v>
      </c>
      <c r="D552">
        <v>1</v>
      </c>
      <c r="E552">
        <v>1831</v>
      </c>
      <c r="F552" t="s">
        <v>4407</v>
      </c>
      <c r="G552" t="s">
        <v>4408</v>
      </c>
      <c r="H552">
        <v>569214</v>
      </c>
      <c r="I552">
        <v>0</v>
      </c>
      <c r="J552">
        <v>0</v>
      </c>
      <c r="K552">
        <v>0</v>
      </c>
      <c r="L552">
        <v>0</v>
      </c>
      <c r="M552">
        <v>599</v>
      </c>
    </row>
    <row r="553" spans="1:13" ht="15">
      <c r="A553" t="s">
        <v>3450</v>
      </c>
      <c r="B553" s="1040" t="str">
        <f>CONCATENATE(LEFT(RIGHT(CONCATENATE("000",IFAData_TEA_1718!A553),6),3),"-",(RIGHT(RIGHT(CONCATENATE("000",IFAData_TEA_1718!A553),6),3)))</f>
        <v>043-905</v>
      </c>
      <c r="C553" t="s">
        <v>1477</v>
      </c>
      <c r="D553">
        <v>1</v>
      </c>
      <c r="E553">
        <v>1831</v>
      </c>
      <c r="F553" t="s">
        <v>4407</v>
      </c>
      <c r="G553" t="s">
        <v>4409</v>
      </c>
      <c r="H553">
        <v>569214</v>
      </c>
      <c r="I553">
        <v>0</v>
      </c>
      <c r="J553">
        <v>0</v>
      </c>
      <c r="K553">
        <v>0</v>
      </c>
      <c r="L553">
        <v>0</v>
      </c>
      <c r="M553">
        <v>599</v>
      </c>
    </row>
    <row r="554" spans="1:13" ht="15">
      <c r="A554" t="s">
        <v>3450</v>
      </c>
      <c r="B554" s="1040" t="str">
        <f>CONCATENATE(LEFT(RIGHT(CONCATENATE("000",IFAData_TEA_1718!A554),6),3),"-",(RIGHT(RIGHT(CONCATENATE("000",IFAData_TEA_1718!A554),6),3)))</f>
        <v>043-905</v>
      </c>
      <c r="C554" t="s">
        <v>1477</v>
      </c>
      <c r="D554">
        <v>1</v>
      </c>
      <c r="E554">
        <v>1831</v>
      </c>
      <c r="F554" t="s">
        <v>4407</v>
      </c>
      <c r="G554" t="s">
        <v>4410</v>
      </c>
      <c r="H554">
        <v>569214</v>
      </c>
      <c r="I554">
        <v>0</v>
      </c>
      <c r="J554">
        <v>0</v>
      </c>
      <c r="K554">
        <v>0</v>
      </c>
      <c r="L554">
        <v>0</v>
      </c>
      <c r="M554">
        <v>599</v>
      </c>
    </row>
    <row r="555" spans="1:13" ht="15">
      <c r="A555" t="s">
        <v>3450</v>
      </c>
      <c r="B555" s="1040" t="str">
        <f>CONCATENATE(LEFT(RIGHT(CONCATENATE("000",IFAData_TEA_1718!A555),6),3),"-",(RIGHT(RIGHT(CONCATENATE("000",IFAData_TEA_1718!A555),6),3)))</f>
        <v>043-905</v>
      </c>
      <c r="C555" t="s">
        <v>1477</v>
      </c>
      <c r="D555">
        <v>1</v>
      </c>
      <c r="E555">
        <v>1831</v>
      </c>
      <c r="F555" t="s">
        <v>4407</v>
      </c>
      <c r="G555" t="s">
        <v>4411</v>
      </c>
      <c r="H555">
        <v>569214</v>
      </c>
      <c r="I555">
        <v>9032</v>
      </c>
      <c r="J555">
        <v>2.9107972142458902E-2</v>
      </c>
      <c r="K555">
        <v>16568.6652550976</v>
      </c>
      <c r="L555">
        <v>9032</v>
      </c>
      <c r="M555">
        <v>599</v>
      </c>
    </row>
    <row r="556" spans="1:13" ht="15">
      <c r="A556" t="s">
        <v>3450</v>
      </c>
      <c r="B556" s="1040" t="str">
        <f>CONCATENATE(LEFT(RIGHT(CONCATENATE("000",IFAData_TEA_1718!A556),6),3),"-",(RIGHT(RIGHT(CONCATENATE("000",IFAData_TEA_1718!A556),6),3)))</f>
        <v>043-905</v>
      </c>
      <c r="C556" t="s">
        <v>1477</v>
      </c>
      <c r="D556">
        <v>1</v>
      </c>
      <c r="E556">
        <v>1831</v>
      </c>
      <c r="F556" t="s">
        <v>4407</v>
      </c>
      <c r="G556" t="s">
        <v>4412</v>
      </c>
      <c r="H556">
        <v>569214</v>
      </c>
      <c r="I556">
        <v>6774</v>
      </c>
      <c r="J556">
        <v>2.1830979106844201E-2</v>
      </c>
      <c r="K556">
        <v>12426.4989413232</v>
      </c>
      <c r="L556">
        <v>6774</v>
      </c>
      <c r="M556">
        <v>599</v>
      </c>
    </row>
    <row r="557" spans="1:13" ht="15">
      <c r="A557" t="s">
        <v>3450</v>
      </c>
      <c r="B557" s="1040" t="str">
        <f>CONCATENATE(LEFT(RIGHT(CONCATENATE("000",IFAData_TEA_1718!A557),6),3),"-",(RIGHT(RIGHT(CONCATENATE("000",IFAData_TEA_1718!A557),6),3)))</f>
        <v>043-905</v>
      </c>
      <c r="C557" t="s">
        <v>1477</v>
      </c>
      <c r="D557">
        <v>1</v>
      </c>
      <c r="E557">
        <v>1831</v>
      </c>
      <c r="F557" t="s">
        <v>4407</v>
      </c>
      <c r="G557" t="s">
        <v>4413</v>
      </c>
      <c r="H557">
        <v>569214</v>
      </c>
      <c r="I557">
        <v>313</v>
      </c>
      <c r="J557">
        <v>1.00872401246564E-3</v>
      </c>
      <c r="K557">
        <v>574.17983003161498</v>
      </c>
      <c r="L557">
        <v>313</v>
      </c>
      <c r="M557">
        <v>599</v>
      </c>
    </row>
    <row r="558" spans="1:13" ht="15">
      <c r="A558" t="s">
        <v>3450</v>
      </c>
      <c r="B558" s="1040" t="str">
        <f>CONCATENATE(LEFT(RIGHT(CONCATENATE("000",IFAData_TEA_1718!A558),6),3),"-",(RIGHT(RIGHT(CONCATENATE("000",IFAData_TEA_1718!A558),6),3)))</f>
        <v>043-905</v>
      </c>
      <c r="C558" t="s">
        <v>1477</v>
      </c>
      <c r="D558">
        <v>1</v>
      </c>
      <c r="E558">
        <v>1831</v>
      </c>
      <c r="F558" t="s">
        <v>4407</v>
      </c>
      <c r="G558" t="s">
        <v>4414</v>
      </c>
      <c r="H558">
        <v>569214</v>
      </c>
      <c r="I558">
        <v>76679</v>
      </c>
      <c r="J558">
        <v>0.24711804649154201</v>
      </c>
      <c r="K558">
        <v>140663.051715637</v>
      </c>
      <c r="L558">
        <v>76679</v>
      </c>
      <c r="M558">
        <v>599</v>
      </c>
    </row>
    <row r="559" spans="1:13" ht="15">
      <c r="A559" t="s">
        <v>3450</v>
      </c>
      <c r="B559" s="1040" t="str">
        <f>CONCATENATE(LEFT(RIGHT(CONCATENATE("000",IFAData_TEA_1718!A559),6),3),"-",(RIGHT(RIGHT(CONCATENATE("000",IFAData_TEA_1718!A559),6),3)))</f>
        <v>043-905</v>
      </c>
      <c r="C559" t="s">
        <v>1477</v>
      </c>
      <c r="D559">
        <v>1</v>
      </c>
      <c r="E559">
        <v>1831</v>
      </c>
      <c r="F559" t="s">
        <v>4407</v>
      </c>
      <c r="G559" t="s">
        <v>6216</v>
      </c>
      <c r="H559">
        <v>569214</v>
      </c>
      <c r="I559">
        <v>217495</v>
      </c>
      <c r="J559">
        <v>0.70093427824668897</v>
      </c>
      <c r="K559">
        <v>398981.60425791098</v>
      </c>
      <c r="L559">
        <v>217495</v>
      </c>
      <c r="M559">
        <v>599</v>
      </c>
    </row>
    <row r="560" spans="1:13" ht="15">
      <c r="A560" t="s">
        <v>3450</v>
      </c>
      <c r="B560" s="1040" t="str">
        <f>CONCATENATE(LEFT(RIGHT(CONCATENATE("000",IFAData_TEA_1718!A560),6),3),"-",(RIGHT(RIGHT(CONCATENATE("000",IFAData_TEA_1718!A560),6),3)))</f>
        <v>043-905</v>
      </c>
      <c r="C560" t="s">
        <v>1477</v>
      </c>
      <c r="D560">
        <v>2</v>
      </c>
      <c r="E560">
        <v>1830</v>
      </c>
      <c r="F560" t="s">
        <v>4415</v>
      </c>
      <c r="G560" t="s">
        <v>4415</v>
      </c>
      <c r="H560">
        <v>364536</v>
      </c>
      <c r="I560">
        <v>0</v>
      </c>
      <c r="J560">
        <v>0</v>
      </c>
      <c r="K560">
        <v>0</v>
      </c>
      <c r="L560">
        <v>0</v>
      </c>
      <c r="M560">
        <v>599</v>
      </c>
    </row>
    <row r="561" spans="1:13" ht="15">
      <c r="A561" t="s">
        <v>3450</v>
      </c>
      <c r="B561" s="1040" t="str">
        <f>CONCATENATE(LEFT(RIGHT(CONCATENATE("000",IFAData_TEA_1718!A561),6),3),"-",(RIGHT(RIGHT(CONCATENATE("000",IFAData_TEA_1718!A561),6),3)))</f>
        <v>043-905</v>
      </c>
      <c r="C561" t="s">
        <v>1477</v>
      </c>
      <c r="D561">
        <v>2</v>
      </c>
      <c r="E561">
        <v>1830</v>
      </c>
      <c r="F561" t="s">
        <v>4415</v>
      </c>
      <c r="G561" t="s">
        <v>4408</v>
      </c>
      <c r="H561">
        <v>364536</v>
      </c>
      <c r="I561">
        <v>0</v>
      </c>
      <c r="J561">
        <v>0</v>
      </c>
      <c r="K561">
        <v>0</v>
      </c>
      <c r="L561">
        <v>0</v>
      </c>
      <c r="M561">
        <v>599</v>
      </c>
    </row>
    <row r="562" spans="1:13" ht="15">
      <c r="A562" t="s">
        <v>3450</v>
      </c>
      <c r="B562" s="1040" t="str">
        <f>CONCATENATE(LEFT(RIGHT(CONCATENATE("000",IFAData_TEA_1718!A562),6),3),"-",(RIGHT(RIGHT(CONCATENATE("000",IFAData_TEA_1718!A562),6),3)))</f>
        <v>043-905</v>
      </c>
      <c r="C562" t="s">
        <v>1477</v>
      </c>
      <c r="D562">
        <v>2</v>
      </c>
      <c r="E562">
        <v>1830</v>
      </c>
      <c r="F562" t="s">
        <v>4415</v>
      </c>
      <c r="G562" t="s">
        <v>4409</v>
      </c>
      <c r="H562">
        <v>364536</v>
      </c>
      <c r="I562">
        <v>0</v>
      </c>
      <c r="J562">
        <v>0</v>
      </c>
      <c r="K562">
        <v>0</v>
      </c>
      <c r="L562">
        <v>0</v>
      </c>
      <c r="M562">
        <v>599</v>
      </c>
    </row>
    <row r="563" spans="1:13" ht="15">
      <c r="A563" t="s">
        <v>3450</v>
      </c>
      <c r="B563" s="1040" t="str">
        <f>CONCATENATE(LEFT(RIGHT(CONCATENATE("000",IFAData_TEA_1718!A563),6),3),"-",(RIGHT(RIGHT(CONCATENATE("000",IFAData_TEA_1718!A563),6),3)))</f>
        <v>043-905</v>
      </c>
      <c r="C563" t="s">
        <v>1477</v>
      </c>
      <c r="D563">
        <v>2</v>
      </c>
      <c r="E563">
        <v>1830</v>
      </c>
      <c r="F563" t="s">
        <v>4415</v>
      </c>
      <c r="G563" t="s">
        <v>4416</v>
      </c>
      <c r="H563">
        <v>364536</v>
      </c>
      <c r="I563">
        <v>1207380</v>
      </c>
      <c r="J563">
        <v>0.96926152191190296</v>
      </c>
      <c r="K563">
        <v>353330.71815167699</v>
      </c>
      <c r="L563">
        <v>353330.71815167699</v>
      </c>
      <c r="M563">
        <v>599</v>
      </c>
    </row>
    <row r="564" spans="1:13" ht="15">
      <c r="A564" t="s">
        <v>3450</v>
      </c>
      <c r="B564" s="1040" t="str">
        <f>CONCATENATE(LEFT(RIGHT(CONCATENATE("000",IFAData_TEA_1718!A564),6),3),"-",(RIGHT(RIGHT(CONCATENATE("000",IFAData_TEA_1718!A564),6),3)))</f>
        <v>043-905</v>
      </c>
      <c r="C564" t="s">
        <v>1477</v>
      </c>
      <c r="D564">
        <v>2</v>
      </c>
      <c r="E564">
        <v>1830</v>
      </c>
      <c r="F564" t="s">
        <v>4415</v>
      </c>
      <c r="G564" t="s">
        <v>4411</v>
      </c>
      <c r="H564">
        <v>364536</v>
      </c>
      <c r="I564">
        <v>21464</v>
      </c>
      <c r="J564">
        <v>1.7230887795322999E-2</v>
      </c>
      <c r="K564">
        <v>6281.2789133558599</v>
      </c>
      <c r="L564">
        <v>6281.2789133558599</v>
      </c>
      <c r="M564">
        <v>599</v>
      </c>
    </row>
    <row r="565" spans="1:13" ht="15">
      <c r="A565" t="s">
        <v>3450</v>
      </c>
      <c r="B565" s="1040" t="str">
        <f>CONCATENATE(LEFT(RIGHT(CONCATENATE("000",IFAData_TEA_1718!A565),6),3),"-",(RIGHT(RIGHT(CONCATENATE("000",IFAData_TEA_1718!A565),6),3)))</f>
        <v>043-905</v>
      </c>
      <c r="C565" t="s">
        <v>1477</v>
      </c>
      <c r="D565">
        <v>2</v>
      </c>
      <c r="E565">
        <v>1830</v>
      </c>
      <c r="F565" t="s">
        <v>4415</v>
      </c>
      <c r="G565" t="s">
        <v>4412</v>
      </c>
      <c r="H565">
        <v>364536</v>
      </c>
      <c r="I565">
        <v>16081</v>
      </c>
      <c r="J565">
        <v>1.29095185723346E-2</v>
      </c>
      <c r="K565">
        <v>4705.9842622845499</v>
      </c>
      <c r="L565">
        <v>4705.9842622845499</v>
      </c>
      <c r="M565">
        <v>599</v>
      </c>
    </row>
    <row r="566" spans="1:13" ht="15">
      <c r="A566" t="s">
        <v>3450</v>
      </c>
      <c r="B566" s="1040" t="str">
        <f>CONCATENATE(LEFT(RIGHT(CONCATENATE("000",IFAData_TEA_1718!A566),6),3),"-",(RIGHT(RIGHT(CONCATENATE("000",IFAData_TEA_1718!A566),6),3)))</f>
        <v>043-905</v>
      </c>
      <c r="C566" t="s">
        <v>1477</v>
      </c>
      <c r="D566">
        <v>2</v>
      </c>
      <c r="E566">
        <v>1830</v>
      </c>
      <c r="F566" t="s">
        <v>4415</v>
      </c>
      <c r="G566" t="s">
        <v>4413</v>
      </c>
      <c r="H566">
        <v>364536</v>
      </c>
      <c r="I566">
        <v>745</v>
      </c>
      <c r="J566">
        <v>5.9807172043960298E-4</v>
      </c>
      <c r="K566">
        <v>218.018672682171</v>
      </c>
      <c r="L566">
        <v>218.018672682171</v>
      </c>
      <c r="M566">
        <v>599</v>
      </c>
    </row>
    <row r="567" spans="1:13" ht="15">
      <c r="A567" t="s">
        <v>3451</v>
      </c>
      <c r="B567" s="1040" t="str">
        <f>CONCATENATE(LEFT(RIGHT(CONCATENATE("000",IFAData_TEA_1718!A567),6),3),"-",(RIGHT(RIGHT(CONCATENATE("000",IFAData_TEA_1718!A567),6),3)))</f>
        <v>043-907</v>
      </c>
      <c r="C567" t="s">
        <v>820</v>
      </c>
      <c r="D567">
        <v>1</v>
      </c>
      <c r="E567">
        <v>2082</v>
      </c>
      <c r="F567" t="s">
        <v>4417</v>
      </c>
      <c r="G567" t="s">
        <v>4417</v>
      </c>
      <c r="H567">
        <v>1347187</v>
      </c>
      <c r="I567">
        <v>0</v>
      </c>
      <c r="J567">
        <v>0</v>
      </c>
      <c r="K567"/>
      <c r="L567">
        <v>0</v>
      </c>
      <c r="M567">
        <v>599</v>
      </c>
    </row>
    <row r="568" spans="1:13" ht="15">
      <c r="A568" t="s">
        <v>3452</v>
      </c>
      <c r="B568" s="1040" t="str">
        <f>CONCATENATE(LEFT(RIGHT(CONCATENATE("000",IFAData_TEA_1718!A568),6),3),"-",(RIGHT(RIGHT(CONCATENATE("000",IFAData_TEA_1718!A568),6),3)))</f>
        <v>043-908</v>
      </c>
      <c r="C568" t="s">
        <v>2199</v>
      </c>
      <c r="D568">
        <v>9</v>
      </c>
      <c r="E568">
        <v>2089</v>
      </c>
      <c r="F568" t="s">
        <v>4419</v>
      </c>
      <c r="G568" t="s">
        <v>4419</v>
      </c>
      <c r="H568">
        <v>334507</v>
      </c>
      <c r="I568">
        <v>0</v>
      </c>
      <c r="J568">
        <v>0</v>
      </c>
      <c r="K568">
        <v>0</v>
      </c>
      <c r="L568">
        <v>0</v>
      </c>
      <c r="M568">
        <v>599</v>
      </c>
    </row>
    <row r="569" spans="1:13" ht="15">
      <c r="A569" t="s">
        <v>3452</v>
      </c>
      <c r="B569" s="1040" t="str">
        <f>CONCATENATE(LEFT(RIGHT(CONCATENATE("000",IFAData_TEA_1718!A569),6),3),"-",(RIGHT(RIGHT(CONCATENATE("000",IFAData_TEA_1718!A569),6),3)))</f>
        <v>043-908</v>
      </c>
      <c r="C569" t="s">
        <v>2199</v>
      </c>
      <c r="D569">
        <v>9</v>
      </c>
      <c r="E569">
        <v>2089</v>
      </c>
      <c r="F569" t="s">
        <v>4419</v>
      </c>
      <c r="G569" t="s">
        <v>6826</v>
      </c>
      <c r="H569">
        <v>334507</v>
      </c>
      <c r="I569">
        <v>530758</v>
      </c>
      <c r="J569">
        <v>1</v>
      </c>
      <c r="K569">
        <v>334507</v>
      </c>
      <c r="L569">
        <v>334507</v>
      </c>
      <c r="M569">
        <v>599</v>
      </c>
    </row>
    <row r="570" spans="1:13" ht="15">
      <c r="A570" t="s">
        <v>3452</v>
      </c>
      <c r="B570" s="1040" t="str">
        <f>CONCATENATE(LEFT(RIGHT(CONCATENATE("000",IFAData_TEA_1718!A570),6),3),"-",(RIGHT(RIGHT(CONCATENATE("000",IFAData_TEA_1718!A570),6),3)))</f>
        <v>043-908</v>
      </c>
      <c r="C570" t="s">
        <v>2199</v>
      </c>
      <c r="D570">
        <v>10</v>
      </c>
      <c r="E570">
        <v>2088</v>
      </c>
      <c r="F570" t="s">
        <v>4420</v>
      </c>
      <c r="G570" t="s">
        <v>4420</v>
      </c>
      <c r="H570">
        <v>121098</v>
      </c>
      <c r="I570">
        <v>221098</v>
      </c>
      <c r="J570">
        <v>0.81669153824559304</v>
      </c>
      <c r="K570">
        <v>98899.711898464899</v>
      </c>
      <c r="L570">
        <v>98899.711898464899</v>
      </c>
      <c r="M570">
        <v>599</v>
      </c>
    </row>
    <row r="571" spans="1:13" ht="15">
      <c r="A571" t="s">
        <v>3452</v>
      </c>
      <c r="B571" s="1040" t="str">
        <f>CONCATENATE(LEFT(RIGHT(CONCATENATE("000",IFAData_TEA_1718!A571),6),3),"-",(RIGHT(RIGHT(CONCATENATE("000",IFAData_TEA_1718!A571),6),3)))</f>
        <v>043-908</v>
      </c>
      <c r="C571" t="s">
        <v>2199</v>
      </c>
      <c r="D571">
        <v>10</v>
      </c>
      <c r="E571">
        <v>2088</v>
      </c>
      <c r="F571" t="s">
        <v>4420</v>
      </c>
      <c r="G571" t="s">
        <v>8345</v>
      </c>
      <c r="H571">
        <v>121098</v>
      </c>
      <c r="I571">
        <v>49626</v>
      </c>
      <c r="J571">
        <v>0.18330846175440699</v>
      </c>
      <c r="K571">
        <v>22198.288101535101</v>
      </c>
      <c r="L571">
        <v>22198.288101535101</v>
      </c>
      <c r="M571">
        <v>599</v>
      </c>
    </row>
    <row r="572" spans="1:13" ht="15">
      <c r="A572" t="s">
        <v>3452</v>
      </c>
      <c r="B572" s="1040" t="str">
        <f>CONCATENATE(LEFT(RIGHT(CONCATENATE("000",IFAData_TEA_1718!A572),6),3),"-",(RIGHT(RIGHT(CONCATENATE("000",IFAData_TEA_1718!A572),6),3)))</f>
        <v>043-908</v>
      </c>
      <c r="C572" t="s">
        <v>2199</v>
      </c>
      <c r="D572">
        <v>11</v>
      </c>
      <c r="E572">
        <v>2515</v>
      </c>
      <c r="F572" t="s">
        <v>8346</v>
      </c>
      <c r="G572" t="s">
        <v>8346</v>
      </c>
      <c r="H572">
        <v>561949</v>
      </c>
      <c r="I572">
        <v>861450</v>
      </c>
      <c r="J572">
        <v>1</v>
      </c>
      <c r="K572">
        <v>561949</v>
      </c>
      <c r="L572">
        <v>561949</v>
      </c>
      <c r="M572">
        <v>599</v>
      </c>
    </row>
    <row r="573" spans="1:13" ht="15">
      <c r="A573" t="s">
        <v>3453</v>
      </c>
      <c r="B573" s="1040" t="str">
        <f>CONCATENATE(LEFT(RIGHT(CONCATENATE("000",IFAData_TEA_1718!A573),6),3),"-",(RIGHT(RIGHT(CONCATENATE("000",IFAData_TEA_1718!A573),6),3)))</f>
        <v>043-911</v>
      </c>
      <c r="C573" t="s">
        <v>74</v>
      </c>
      <c r="D573">
        <v>2</v>
      </c>
      <c r="E573">
        <v>2214</v>
      </c>
      <c r="F573" t="s">
        <v>4421</v>
      </c>
      <c r="G573" t="s">
        <v>4421</v>
      </c>
      <c r="H573">
        <v>470750</v>
      </c>
      <c r="I573">
        <v>0</v>
      </c>
      <c r="J573">
        <v>0</v>
      </c>
      <c r="K573">
        <v>0</v>
      </c>
      <c r="L573">
        <v>0</v>
      </c>
      <c r="M573">
        <v>599</v>
      </c>
    </row>
    <row r="574" spans="1:13" ht="15">
      <c r="A574" t="s">
        <v>3453</v>
      </c>
      <c r="B574" s="1040" t="str">
        <f>CONCATENATE(LEFT(RIGHT(CONCATENATE("000",IFAData_TEA_1718!A574),6),3),"-",(RIGHT(RIGHT(CONCATENATE("000",IFAData_TEA_1718!A574),6),3)))</f>
        <v>043-911</v>
      </c>
      <c r="C574" t="s">
        <v>74</v>
      </c>
      <c r="D574">
        <v>2</v>
      </c>
      <c r="E574">
        <v>2214</v>
      </c>
      <c r="F574" t="s">
        <v>4421</v>
      </c>
      <c r="G574" t="s">
        <v>4422</v>
      </c>
      <c r="H574">
        <v>470750</v>
      </c>
      <c r="I574">
        <v>663710</v>
      </c>
      <c r="J574">
        <v>1</v>
      </c>
      <c r="K574">
        <v>470750</v>
      </c>
      <c r="L574">
        <v>470750</v>
      </c>
      <c r="M574">
        <v>599</v>
      </c>
    </row>
    <row r="575" spans="1:13" ht="15">
      <c r="A575" t="s">
        <v>3453</v>
      </c>
      <c r="B575" s="1040" t="str">
        <f>CONCATENATE(LEFT(RIGHT(CONCATENATE("000",IFAData_TEA_1718!A575),6),3),"-",(RIGHT(RIGHT(CONCATENATE("000",IFAData_TEA_1718!A575),6),3)))</f>
        <v>043-911</v>
      </c>
      <c r="C575" t="s">
        <v>74</v>
      </c>
      <c r="D575">
        <v>6</v>
      </c>
      <c r="E575">
        <v>2215</v>
      </c>
      <c r="F575" t="s">
        <v>4423</v>
      </c>
      <c r="G575" t="s">
        <v>4423</v>
      </c>
      <c r="H575">
        <v>556250</v>
      </c>
      <c r="I575">
        <v>0</v>
      </c>
      <c r="J575">
        <v>0</v>
      </c>
      <c r="K575">
        <v>0</v>
      </c>
      <c r="L575">
        <v>0</v>
      </c>
      <c r="M575">
        <v>599</v>
      </c>
    </row>
    <row r="576" spans="1:13" ht="15">
      <c r="A576" t="s">
        <v>3453</v>
      </c>
      <c r="B576" s="1040" t="str">
        <f>CONCATENATE(LEFT(RIGHT(CONCATENATE("000",IFAData_TEA_1718!A576),6),3),"-",(RIGHT(RIGHT(CONCATENATE("000",IFAData_TEA_1718!A576),6),3)))</f>
        <v>043-911</v>
      </c>
      <c r="C576" t="s">
        <v>74</v>
      </c>
      <c r="D576">
        <v>6</v>
      </c>
      <c r="E576">
        <v>2215</v>
      </c>
      <c r="F576" t="s">
        <v>4423</v>
      </c>
      <c r="G576" t="s">
        <v>4424</v>
      </c>
      <c r="H576">
        <v>556250</v>
      </c>
      <c r="I576">
        <v>1022837</v>
      </c>
      <c r="J576">
        <v>0.53439508382667</v>
      </c>
      <c r="K576">
        <v>297257.26537858503</v>
      </c>
      <c r="L576">
        <v>297257.26537858503</v>
      </c>
      <c r="M576">
        <v>599</v>
      </c>
    </row>
    <row r="577" spans="1:13" ht="15">
      <c r="A577" t="s">
        <v>3453</v>
      </c>
      <c r="B577" s="1040" t="str">
        <f>CONCATENATE(LEFT(RIGHT(CONCATENATE("000",IFAData_TEA_1718!A577),6),3),"-",(RIGHT(RIGHT(CONCATENATE("000",IFAData_TEA_1718!A577),6),3)))</f>
        <v>043-911</v>
      </c>
      <c r="C577" t="s">
        <v>74</v>
      </c>
      <c r="D577">
        <v>6</v>
      </c>
      <c r="E577">
        <v>2215</v>
      </c>
      <c r="F577" t="s">
        <v>4423</v>
      </c>
      <c r="G577" t="s">
        <v>4425</v>
      </c>
      <c r="H577">
        <v>556250</v>
      </c>
      <c r="I577">
        <v>0</v>
      </c>
      <c r="J577">
        <v>0</v>
      </c>
      <c r="K577">
        <v>0</v>
      </c>
      <c r="L577">
        <v>0</v>
      </c>
      <c r="M577">
        <v>599</v>
      </c>
    </row>
    <row r="578" spans="1:13" ht="15">
      <c r="A578" t="s">
        <v>3453</v>
      </c>
      <c r="B578" s="1040" t="str">
        <f>CONCATENATE(LEFT(RIGHT(CONCATENATE("000",IFAData_TEA_1718!A578),6),3),"-",(RIGHT(RIGHT(CONCATENATE("000",IFAData_TEA_1718!A578),6),3)))</f>
        <v>043-911</v>
      </c>
      <c r="C578" t="s">
        <v>74</v>
      </c>
      <c r="D578">
        <v>6</v>
      </c>
      <c r="E578">
        <v>2215</v>
      </c>
      <c r="F578" t="s">
        <v>4423</v>
      </c>
      <c r="G578" t="s">
        <v>6218</v>
      </c>
      <c r="H578">
        <v>556250</v>
      </c>
      <c r="I578">
        <v>433986</v>
      </c>
      <c r="J578">
        <v>0.22674188052407299</v>
      </c>
      <c r="K578">
        <v>126125.171041515</v>
      </c>
      <c r="L578">
        <v>126125.171041515</v>
      </c>
      <c r="M578">
        <v>599</v>
      </c>
    </row>
    <row r="579" spans="1:13" ht="15">
      <c r="A579" t="s">
        <v>3453</v>
      </c>
      <c r="B579" s="1040" t="str">
        <f>CONCATENATE(LEFT(RIGHT(CONCATENATE("000",IFAData_TEA_1718!A579),6),3),"-",(RIGHT(RIGHT(CONCATENATE("000",IFAData_TEA_1718!A579),6),3)))</f>
        <v>043-911</v>
      </c>
      <c r="C579" t="s">
        <v>74</v>
      </c>
      <c r="D579">
        <v>6</v>
      </c>
      <c r="E579">
        <v>2215</v>
      </c>
      <c r="F579" t="s">
        <v>4423</v>
      </c>
      <c r="G579" t="s">
        <v>8347</v>
      </c>
      <c r="H579">
        <v>556250</v>
      </c>
      <c r="I579">
        <v>457186</v>
      </c>
      <c r="J579">
        <v>0.23886303564925801</v>
      </c>
      <c r="K579">
        <v>132867.56357989999</v>
      </c>
      <c r="L579">
        <v>132867.56357989999</v>
      </c>
      <c r="M579">
        <v>599</v>
      </c>
    </row>
    <row r="580" spans="1:13" ht="15">
      <c r="A580" t="s">
        <v>3453</v>
      </c>
      <c r="B580" s="1040" t="str">
        <f>CONCATENATE(LEFT(RIGHT(CONCATENATE("000",IFAData_TEA_1718!A580),6),3),"-",(RIGHT(RIGHT(CONCATENATE("000",IFAData_TEA_1718!A580),6),3)))</f>
        <v>043-911</v>
      </c>
      <c r="C580" t="s">
        <v>74</v>
      </c>
      <c r="D580">
        <v>9</v>
      </c>
      <c r="E580">
        <v>2216</v>
      </c>
      <c r="F580" t="s">
        <v>4426</v>
      </c>
      <c r="G580" t="s">
        <v>4426</v>
      </c>
      <c r="H580">
        <v>607244</v>
      </c>
      <c r="I580">
        <v>61908</v>
      </c>
      <c r="J580">
        <v>9.7087439543826398E-2</v>
      </c>
      <c r="K580">
        <v>58955.7651383513</v>
      </c>
      <c r="L580">
        <v>58955.7651383513</v>
      </c>
      <c r="M580">
        <v>599</v>
      </c>
    </row>
    <row r="581" spans="1:13" ht="15">
      <c r="A581" t="s">
        <v>3453</v>
      </c>
      <c r="B581" s="1040" t="str">
        <f>CONCATENATE(LEFT(RIGHT(CONCATENATE("000",IFAData_TEA_1718!A581),6),3),"-",(RIGHT(RIGHT(CONCATENATE("000",IFAData_TEA_1718!A581),6),3)))</f>
        <v>043-911</v>
      </c>
      <c r="C581" t="s">
        <v>74</v>
      </c>
      <c r="D581">
        <v>9</v>
      </c>
      <c r="E581">
        <v>2216</v>
      </c>
      <c r="F581" t="s">
        <v>4426</v>
      </c>
      <c r="G581" t="s">
        <v>6431</v>
      </c>
      <c r="H581">
        <v>607244</v>
      </c>
      <c r="I581">
        <v>575744</v>
      </c>
      <c r="J581">
        <v>0.90291256045617396</v>
      </c>
      <c r="K581">
        <v>548288.23486164899</v>
      </c>
      <c r="L581">
        <v>548288.23486164899</v>
      </c>
      <c r="M581">
        <v>599</v>
      </c>
    </row>
    <row r="582" spans="1:13" ht="15">
      <c r="A582" t="s">
        <v>3453</v>
      </c>
      <c r="B582" s="1040" t="str">
        <f>CONCATENATE(LEFT(RIGHT(CONCATENATE("000",IFAData_TEA_1718!A582),6),3),"-",(RIGHT(RIGHT(CONCATENATE("000",IFAData_TEA_1718!A582),6),3)))</f>
        <v>043-911</v>
      </c>
      <c r="C582" t="s">
        <v>74</v>
      </c>
      <c r="D582">
        <v>10</v>
      </c>
      <c r="E582">
        <v>2213</v>
      </c>
      <c r="F582" t="s">
        <v>4427</v>
      </c>
      <c r="G582" t="s">
        <v>4427</v>
      </c>
      <c r="H582">
        <v>251143</v>
      </c>
      <c r="I582">
        <v>196275</v>
      </c>
      <c r="J582">
        <v>1</v>
      </c>
      <c r="K582">
        <v>251143</v>
      </c>
      <c r="L582">
        <v>196275</v>
      </c>
      <c r="M582">
        <v>599</v>
      </c>
    </row>
    <row r="583" spans="1:13" ht="15">
      <c r="A583" t="s">
        <v>3453</v>
      </c>
      <c r="B583" s="1040" t="str">
        <f>CONCATENATE(LEFT(RIGHT(CONCATENATE("000",IFAData_TEA_1718!A583),6),3),"-",(RIGHT(RIGHT(CONCATENATE("000",IFAData_TEA_1718!A583),6),3)))</f>
        <v>043-911</v>
      </c>
      <c r="C583" t="s">
        <v>74</v>
      </c>
      <c r="D583">
        <v>11</v>
      </c>
      <c r="E583">
        <v>2487</v>
      </c>
      <c r="F583" t="s">
        <v>8348</v>
      </c>
      <c r="G583" t="s">
        <v>8348</v>
      </c>
      <c r="H583">
        <v>903924</v>
      </c>
      <c r="I583">
        <v>821250</v>
      </c>
      <c r="J583">
        <v>1</v>
      </c>
      <c r="K583">
        <v>903924</v>
      </c>
      <c r="L583">
        <v>821250</v>
      </c>
      <c r="M583">
        <v>599</v>
      </c>
    </row>
    <row r="584" spans="1:13" ht="15">
      <c r="A584" t="s">
        <v>3454</v>
      </c>
      <c r="B584" s="1040" t="str">
        <f>CONCATENATE(LEFT(RIGHT(CONCATENATE("000",IFAData_TEA_1718!A584),6),3),"-",(RIGHT(RIGHT(CONCATENATE("000",IFAData_TEA_1718!A584),6),3)))</f>
        <v>043-912</v>
      </c>
      <c r="C584" t="s">
        <v>76</v>
      </c>
      <c r="D584">
        <v>2</v>
      </c>
      <c r="E584">
        <v>2222</v>
      </c>
      <c r="F584" t="s">
        <v>4428</v>
      </c>
      <c r="G584" t="s">
        <v>4428</v>
      </c>
      <c r="H584">
        <v>210750</v>
      </c>
      <c r="I584">
        <v>0</v>
      </c>
      <c r="J584">
        <v>0</v>
      </c>
      <c r="K584">
        <v>0</v>
      </c>
      <c r="L584">
        <v>0</v>
      </c>
      <c r="M584">
        <v>599</v>
      </c>
    </row>
    <row r="585" spans="1:13" ht="15">
      <c r="A585" t="s">
        <v>3454</v>
      </c>
      <c r="B585" s="1040" t="str">
        <f>CONCATENATE(LEFT(RIGHT(CONCATENATE("000",IFAData_TEA_1718!A585),6),3),"-",(RIGHT(RIGHT(CONCATENATE("000",IFAData_TEA_1718!A585),6),3)))</f>
        <v>043-912</v>
      </c>
      <c r="C585" t="s">
        <v>76</v>
      </c>
      <c r="D585">
        <v>2</v>
      </c>
      <c r="E585">
        <v>2222</v>
      </c>
      <c r="F585" t="s">
        <v>4428</v>
      </c>
      <c r="G585" t="s">
        <v>4429</v>
      </c>
      <c r="H585">
        <v>210750</v>
      </c>
      <c r="I585">
        <v>8295</v>
      </c>
      <c r="J585">
        <v>1.6776792811159499E-2</v>
      </c>
      <c r="K585">
        <v>3535.7090849518499</v>
      </c>
      <c r="L585">
        <v>3535.7090849518499</v>
      </c>
      <c r="M585">
        <v>599</v>
      </c>
    </row>
    <row r="586" spans="1:13" ht="15">
      <c r="A586" t="s">
        <v>3454</v>
      </c>
      <c r="B586" s="1040" t="str">
        <f>CONCATENATE(LEFT(RIGHT(CONCATENATE("000",IFAData_TEA_1718!A586),6),3),"-",(RIGHT(RIGHT(CONCATENATE("000",IFAData_TEA_1718!A586),6),3)))</f>
        <v>043-912</v>
      </c>
      <c r="C586" t="s">
        <v>76</v>
      </c>
      <c r="D586">
        <v>2</v>
      </c>
      <c r="E586">
        <v>2222</v>
      </c>
      <c r="F586" t="s">
        <v>4428</v>
      </c>
      <c r="G586" t="s">
        <v>4430</v>
      </c>
      <c r="H586">
        <v>210750</v>
      </c>
      <c r="I586">
        <v>0</v>
      </c>
      <c r="J586">
        <v>0</v>
      </c>
      <c r="K586">
        <v>0</v>
      </c>
      <c r="L586">
        <v>0</v>
      </c>
      <c r="M586">
        <v>599</v>
      </c>
    </row>
    <row r="587" spans="1:13" ht="15">
      <c r="A587" t="s">
        <v>3454</v>
      </c>
      <c r="B587" s="1040" t="str">
        <f>CONCATENATE(LEFT(RIGHT(CONCATENATE("000",IFAData_TEA_1718!A587),6),3),"-",(RIGHT(RIGHT(CONCATENATE("000",IFAData_TEA_1718!A587),6),3)))</f>
        <v>043-912</v>
      </c>
      <c r="C587" t="s">
        <v>76</v>
      </c>
      <c r="D587">
        <v>2</v>
      </c>
      <c r="E587">
        <v>2222</v>
      </c>
      <c r="F587" t="s">
        <v>4428</v>
      </c>
      <c r="G587" t="s">
        <v>4431</v>
      </c>
      <c r="H587">
        <v>210750</v>
      </c>
      <c r="I587">
        <v>970</v>
      </c>
      <c r="J587">
        <v>1.96184316176307E-3</v>
      </c>
      <c r="K587">
        <v>413.45844634156703</v>
      </c>
      <c r="L587">
        <v>413.45844634156703</v>
      </c>
      <c r="M587">
        <v>599</v>
      </c>
    </row>
    <row r="588" spans="1:13" ht="15">
      <c r="A588" t="s">
        <v>3454</v>
      </c>
      <c r="B588" s="1040" t="str">
        <f>CONCATENATE(LEFT(RIGHT(CONCATENATE("000",IFAData_TEA_1718!A588),6),3),"-",(RIGHT(RIGHT(CONCATENATE("000",IFAData_TEA_1718!A588),6),3)))</f>
        <v>043-912</v>
      </c>
      <c r="C588" t="s">
        <v>76</v>
      </c>
      <c r="D588">
        <v>2</v>
      </c>
      <c r="E588">
        <v>2222</v>
      </c>
      <c r="F588" t="s">
        <v>4428</v>
      </c>
      <c r="G588" t="s">
        <v>6219</v>
      </c>
      <c r="H588">
        <v>210750</v>
      </c>
      <c r="I588">
        <v>421118</v>
      </c>
      <c r="J588">
        <v>0.85171903978901098</v>
      </c>
      <c r="K588">
        <v>179499.78763553401</v>
      </c>
      <c r="L588">
        <v>179499.78763553401</v>
      </c>
      <c r="M588">
        <v>599</v>
      </c>
    </row>
    <row r="589" spans="1:13" ht="15">
      <c r="A589" t="s">
        <v>3454</v>
      </c>
      <c r="B589" s="1040" t="str">
        <f>CONCATENATE(LEFT(RIGHT(CONCATENATE("000",IFAData_TEA_1718!A589),6),3),"-",(RIGHT(RIGHT(CONCATENATE("000",IFAData_TEA_1718!A589),6),3)))</f>
        <v>043-912</v>
      </c>
      <c r="C589" t="s">
        <v>76</v>
      </c>
      <c r="D589">
        <v>2</v>
      </c>
      <c r="E589">
        <v>2222</v>
      </c>
      <c r="F589" t="s">
        <v>4428</v>
      </c>
      <c r="G589" t="s">
        <v>8349</v>
      </c>
      <c r="H589">
        <v>210750</v>
      </c>
      <c r="I589">
        <v>64050</v>
      </c>
      <c r="J589">
        <v>0.129542324238067</v>
      </c>
      <c r="K589">
        <v>27301.044833172498</v>
      </c>
      <c r="L589">
        <v>27301.044833172498</v>
      </c>
      <c r="M589">
        <v>599</v>
      </c>
    </row>
    <row r="590" spans="1:13" ht="15">
      <c r="A590" t="s">
        <v>3455</v>
      </c>
      <c r="B590" s="1040" t="str">
        <f>CONCATENATE(LEFT(RIGHT(CONCATENATE("000",IFAData_TEA_1718!A590),6),3),"-",(RIGHT(RIGHT(CONCATENATE("000",IFAData_TEA_1718!A590),6),3)))</f>
        <v>043-914</v>
      </c>
      <c r="C590" t="s">
        <v>1132</v>
      </c>
      <c r="D590">
        <v>5</v>
      </c>
      <c r="E590">
        <v>2463</v>
      </c>
      <c r="F590" t="s">
        <v>4432</v>
      </c>
      <c r="G590" t="s">
        <v>4432</v>
      </c>
      <c r="H590">
        <v>440511</v>
      </c>
      <c r="I590">
        <v>0</v>
      </c>
      <c r="J590">
        <v>0</v>
      </c>
      <c r="K590">
        <v>0</v>
      </c>
      <c r="L590">
        <v>0</v>
      </c>
      <c r="M590">
        <v>599</v>
      </c>
    </row>
    <row r="591" spans="1:13" ht="15">
      <c r="A591" t="s">
        <v>3455</v>
      </c>
      <c r="B591" s="1040" t="str">
        <f>CONCATENATE(LEFT(RIGHT(CONCATENATE("000",IFAData_TEA_1718!A591),6),3),"-",(RIGHT(RIGHT(CONCATENATE("000",IFAData_TEA_1718!A591),6),3)))</f>
        <v>043-914</v>
      </c>
      <c r="C591" t="s">
        <v>1132</v>
      </c>
      <c r="D591">
        <v>5</v>
      </c>
      <c r="E591">
        <v>2463</v>
      </c>
      <c r="F591" t="s">
        <v>4432</v>
      </c>
      <c r="G591" t="s">
        <v>4433</v>
      </c>
      <c r="H591">
        <v>440511</v>
      </c>
      <c r="I591">
        <v>0</v>
      </c>
      <c r="J591">
        <v>0</v>
      </c>
      <c r="K591">
        <v>0</v>
      </c>
      <c r="L591">
        <v>0</v>
      </c>
      <c r="M591">
        <v>599</v>
      </c>
    </row>
    <row r="592" spans="1:13" ht="15">
      <c r="A592" t="s">
        <v>3455</v>
      </c>
      <c r="B592" s="1040" t="str">
        <f>CONCATENATE(LEFT(RIGHT(CONCATENATE("000",IFAData_TEA_1718!A592),6),3),"-",(RIGHT(RIGHT(CONCATENATE("000",IFAData_TEA_1718!A592),6),3)))</f>
        <v>043-914</v>
      </c>
      <c r="C592" t="s">
        <v>1132</v>
      </c>
      <c r="D592">
        <v>5</v>
      </c>
      <c r="E592">
        <v>2463</v>
      </c>
      <c r="F592" t="s">
        <v>4432</v>
      </c>
      <c r="G592" t="s">
        <v>4434</v>
      </c>
      <c r="H592">
        <v>440511</v>
      </c>
      <c r="I592">
        <v>230551</v>
      </c>
      <c r="J592">
        <v>4.6724051240385901E-2</v>
      </c>
      <c r="K592">
        <v>20582.458535953701</v>
      </c>
      <c r="L592">
        <v>20582.458535953701</v>
      </c>
      <c r="M592">
        <v>599</v>
      </c>
    </row>
    <row r="593" spans="1:13" ht="15">
      <c r="A593" t="s">
        <v>3455</v>
      </c>
      <c r="B593" s="1040" t="str">
        <f>CONCATENATE(LEFT(RIGHT(CONCATENATE("000",IFAData_TEA_1718!A593),6),3),"-",(RIGHT(RIGHT(CONCATENATE("000",IFAData_TEA_1718!A593),6),3)))</f>
        <v>043-914</v>
      </c>
      <c r="C593" t="s">
        <v>1132</v>
      </c>
      <c r="D593">
        <v>5</v>
      </c>
      <c r="E593">
        <v>2463</v>
      </c>
      <c r="F593" t="s">
        <v>4432</v>
      </c>
      <c r="G593" t="s">
        <v>4435</v>
      </c>
      <c r="H593">
        <v>440511</v>
      </c>
      <c r="I593">
        <v>103254</v>
      </c>
      <c r="J593">
        <v>2.0925717896581701E-2</v>
      </c>
      <c r="K593">
        <v>9218.0089163411103</v>
      </c>
      <c r="L593">
        <v>9218.0089163411103</v>
      </c>
      <c r="M593">
        <v>599</v>
      </c>
    </row>
    <row r="594" spans="1:13" ht="15">
      <c r="A594" t="s">
        <v>3455</v>
      </c>
      <c r="B594" s="1040" t="str">
        <f>CONCATENATE(LEFT(RIGHT(CONCATENATE("000",IFAData_TEA_1718!A594),6),3),"-",(RIGHT(RIGHT(CONCATENATE("000",IFAData_TEA_1718!A594),6),3)))</f>
        <v>043-914</v>
      </c>
      <c r="C594" t="s">
        <v>1132</v>
      </c>
      <c r="D594">
        <v>5</v>
      </c>
      <c r="E594">
        <v>2463</v>
      </c>
      <c r="F594" t="s">
        <v>4432</v>
      </c>
      <c r="G594" t="s">
        <v>4436</v>
      </c>
      <c r="H594">
        <v>440511</v>
      </c>
      <c r="I594">
        <v>2329175</v>
      </c>
      <c r="J594">
        <v>0.472036521410993</v>
      </c>
      <c r="K594">
        <v>207937.28008327799</v>
      </c>
      <c r="L594">
        <v>207937.28008327799</v>
      </c>
      <c r="M594">
        <v>599</v>
      </c>
    </row>
    <row r="595" spans="1:13" ht="15">
      <c r="A595" t="s">
        <v>3455</v>
      </c>
      <c r="B595" s="1040" t="str">
        <f>CONCATENATE(LEFT(RIGHT(CONCATENATE("000",IFAData_TEA_1718!A595),6),3),"-",(RIGHT(RIGHT(CONCATENATE("000",IFAData_TEA_1718!A595),6),3)))</f>
        <v>043-914</v>
      </c>
      <c r="C595" t="s">
        <v>1132</v>
      </c>
      <c r="D595">
        <v>5</v>
      </c>
      <c r="E595">
        <v>2463</v>
      </c>
      <c r="F595" t="s">
        <v>4432</v>
      </c>
      <c r="G595" t="s">
        <v>6432</v>
      </c>
      <c r="H595">
        <v>440511</v>
      </c>
      <c r="I595">
        <v>2193553</v>
      </c>
      <c r="J595">
        <v>0.44455102242238098</v>
      </c>
      <c r="K595">
        <v>195829.61543830499</v>
      </c>
      <c r="L595">
        <v>195829.61543830499</v>
      </c>
      <c r="M595">
        <v>599</v>
      </c>
    </row>
    <row r="596" spans="1:13" ht="15">
      <c r="A596" t="s">
        <v>3455</v>
      </c>
      <c r="B596" s="1040" t="str">
        <f>CONCATENATE(LEFT(RIGHT(CONCATENATE("000",IFAData_TEA_1718!A596),6),3),"-",(RIGHT(RIGHT(CONCATENATE("000",IFAData_TEA_1718!A596),6),3)))</f>
        <v>043-914</v>
      </c>
      <c r="C596" t="s">
        <v>1132</v>
      </c>
      <c r="D596">
        <v>5</v>
      </c>
      <c r="E596">
        <v>2463</v>
      </c>
      <c r="F596" t="s">
        <v>4432</v>
      </c>
      <c r="G596" t="s">
        <v>8350</v>
      </c>
      <c r="H596">
        <v>440511</v>
      </c>
      <c r="I596">
        <v>77778</v>
      </c>
      <c r="J596">
        <v>1.57626870296582E-2</v>
      </c>
      <c r="K596">
        <v>6943.6370261217799</v>
      </c>
      <c r="L596">
        <v>6943.6370261217799</v>
      </c>
      <c r="M596">
        <v>599</v>
      </c>
    </row>
    <row r="597" spans="1:13" ht="15">
      <c r="A597" t="s">
        <v>3455</v>
      </c>
      <c r="B597" s="1040" t="str">
        <f>CONCATENATE(LEFT(RIGHT(CONCATENATE("000",IFAData_TEA_1718!A597),6),3),"-",(RIGHT(RIGHT(CONCATENATE("000",IFAData_TEA_1718!A597),6),3)))</f>
        <v>043-914</v>
      </c>
      <c r="C597" t="s">
        <v>1132</v>
      </c>
      <c r="D597">
        <v>9</v>
      </c>
      <c r="E597">
        <v>2465</v>
      </c>
      <c r="F597" t="s">
        <v>4437</v>
      </c>
      <c r="G597" t="s">
        <v>4437</v>
      </c>
      <c r="H597">
        <v>897102</v>
      </c>
      <c r="I597">
        <v>0</v>
      </c>
      <c r="J597">
        <v>0</v>
      </c>
      <c r="K597">
        <v>0</v>
      </c>
      <c r="L597">
        <v>0</v>
      </c>
      <c r="M597">
        <v>599</v>
      </c>
    </row>
    <row r="598" spans="1:13" ht="15">
      <c r="A598" t="s">
        <v>3455</v>
      </c>
      <c r="B598" s="1040" t="str">
        <f>CONCATENATE(LEFT(RIGHT(CONCATENATE("000",IFAData_TEA_1718!A598),6),3),"-",(RIGHT(RIGHT(CONCATENATE("000",IFAData_TEA_1718!A598),6),3)))</f>
        <v>043-914</v>
      </c>
      <c r="C598" t="s">
        <v>1132</v>
      </c>
      <c r="D598">
        <v>9</v>
      </c>
      <c r="E598">
        <v>2465</v>
      </c>
      <c r="F598" t="s">
        <v>4437</v>
      </c>
      <c r="G598" t="s">
        <v>4436</v>
      </c>
      <c r="H598">
        <v>897102</v>
      </c>
      <c r="I598">
        <v>2222005</v>
      </c>
      <c r="J598">
        <v>1</v>
      </c>
      <c r="K598">
        <v>897102</v>
      </c>
      <c r="L598">
        <v>897102</v>
      </c>
      <c r="M598">
        <v>599</v>
      </c>
    </row>
    <row r="599" spans="1:13" ht="15">
      <c r="A599" t="s">
        <v>3455</v>
      </c>
      <c r="B599" s="1040" t="str">
        <f>CONCATENATE(LEFT(RIGHT(CONCATENATE("000",IFAData_TEA_1718!A599),6),3),"-",(RIGHT(RIGHT(CONCATENATE("000",IFAData_TEA_1718!A599),6),3)))</f>
        <v>043-914</v>
      </c>
      <c r="C599" t="s">
        <v>1132</v>
      </c>
      <c r="D599">
        <v>9</v>
      </c>
      <c r="E599">
        <v>2464</v>
      </c>
      <c r="F599" t="s">
        <v>4438</v>
      </c>
      <c r="G599" t="s">
        <v>4438</v>
      </c>
      <c r="H599">
        <v>633540</v>
      </c>
      <c r="I599">
        <v>0</v>
      </c>
      <c r="J599">
        <v>0</v>
      </c>
      <c r="K599">
        <v>0</v>
      </c>
      <c r="L599">
        <v>0</v>
      </c>
      <c r="M599">
        <v>599</v>
      </c>
    </row>
    <row r="600" spans="1:13" ht="15">
      <c r="A600" t="s">
        <v>3455</v>
      </c>
      <c r="B600" s="1040" t="str">
        <f>CONCATENATE(LEFT(RIGHT(CONCATENATE("000",IFAData_TEA_1718!A600),6),3),"-",(RIGHT(RIGHT(CONCATENATE("000",IFAData_TEA_1718!A600),6),3)))</f>
        <v>043-914</v>
      </c>
      <c r="C600" t="s">
        <v>1132</v>
      </c>
      <c r="D600">
        <v>9</v>
      </c>
      <c r="E600">
        <v>2464</v>
      </c>
      <c r="F600" t="s">
        <v>4438</v>
      </c>
      <c r="G600" t="s">
        <v>6432</v>
      </c>
      <c r="H600">
        <v>633540</v>
      </c>
      <c r="I600">
        <v>2193553</v>
      </c>
      <c r="J600">
        <v>1</v>
      </c>
      <c r="K600">
        <v>633540</v>
      </c>
      <c r="L600">
        <v>633540</v>
      </c>
      <c r="M600">
        <v>599</v>
      </c>
    </row>
    <row r="601" spans="1:13" ht="15">
      <c r="A601" t="s">
        <v>3455</v>
      </c>
      <c r="B601" s="1040" t="str">
        <f>CONCATENATE(LEFT(RIGHT(CONCATENATE("000",IFAData_TEA_1718!A601),6),3),"-",(RIGHT(RIGHT(CONCATENATE("000",IFAData_TEA_1718!A601),6),3)))</f>
        <v>043-914</v>
      </c>
      <c r="C601" t="s">
        <v>1132</v>
      </c>
      <c r="D601">
        <v>10</v>
      </c>
      <c r="E601">
        <v>2462</v>
      </c>
      <c r="F601" t="s">
        <v>4439</v>
      </c>
      <c r="G601" t="s">
        <v>4439</v>
      </c>
      <c r="H601">
        <v>92075</v>
      </c>
      <c r="I601">
        <v>0</v>
      </c>
      <c r="J601">
        <v>0</v>
      </c>
      <c r="K601"/>
      <c r="L601">
        <v>0</v>
      </c>
      <c r="M601">
        <v>599</v>
      </c>
    </row>
    <row r="602" spans="1:13" ht="15">
      <c r="A602" t="s">
        <v>3455</v>
      </c>
      <c r="B602" s="1040" t="str">
        <f>CONCATENATE(LEFT(RIGHT(CONCATENATE("000",IFAData_TEA_1718!A602),6),3),"-",(RIGHT(RIGHT(CONCATENATE("000",IFAData_TEA_1718!A602),6),3)))</f>
        <v>043-914</v>
      </c>
      <c r="C602" t="s">
        <v>1132</v>
      </c>
      <c r="D602">
        <v>11</v>
      </c>
      <c r="E602">
        <v>2526</v>
      </c>
      <c r="F602" t="s">
        <v>8351</v>
      </c>
      <c r="G602" t="s">
        <v>8351</v>
      </c>
      <c r="H602">
        <v>532079</v>
      </c>
      <c r="I602">
        <v>227352</v>
      </c>
      <c r="J602">
        <v>1</v>
      </c>
      <c r="K602">
        <v>532079</v>
      </c>
      <c r="L602">
        <v>227352</v>
      </c>
      <c r="M602">
        <v>599</v>
      </c>
    </row>
    <row r="603" spans="1:13" ht="15">
      <c r="A603" t="s">
        <v>3456</v>
      </c>
      <c r="B603" s="1040" t="str">
        <f>CONCATENATE(LEFT(RIGHT(CONCATENATE("000",IFAData_TEA_1718!A603),6),3),"-",(RIGHT(RIGHT(CONCATENATE("000",IFAData_TEA_1718!A603),6),3)))</f>
        <v>043-917</v>
      </c>
      <c r="C603" t="s">
        <v>1345</v>
      </c>
      <c r="D603">
        <v>2</v>
      </c>
      <c r="E603">
        <v>1621</v>
      </c>
      <c r="F603" t="s">
        <v>4440</v>
      </c>
      <c r="G603" t="s">
        <v>4440</v>
      </c>
      <c r="H603">
        <v>95044</v>
      </c>
      <c r="I603">
        <v>0</v>
      </c>
      <c r="J603">
        <v>0</v>
      </c>
      <c r="K603"/>
      <c r="L603">
        <v>0</v>
      </c>
      <c r="M603">
        <v>199</v>
      </c>
    </row>
    <row r="604" spans="1:13" ht="15">
      <c r="A604" t="s">
        <v>3456</v>
      </c>
      <c r="B604" s="1040" t="str">
        <f>CONCATENATE(LEFT(RIGHT(CONCATENATE("000",IFAData_TEA_1718!A604),6),3),"-",(RIGHT(RIGHT(CONCATENATE("000",IFAData_TEA_1718!A604),6),3)))</f>
        <v>043-917</v>
      </c>
      <c r="C604" t="s">
        <v>1345</v>
      </c>
      <c r="D604">
        <v>4</v>
      </c>
      <c r="E604">
        <v>1623</v>
      </c>
      <c r="F604" t="s">
        <v>4441</v>
      </c>
      <c r="G604" t="s">
        <v>4441</v>
      </c>
      <c r="H604">
        <v>172750</v>
      </c>
      <c r="I604">
        <v>0</v>
      </c>
      <c r="J604">
        <v>0</v>
      </c>
      <c r="K604">
        <v>0</v>
      </c>
      <c r="L604">
        <v>0</v>
      </c>
      <c r="M604">
        <v>599</v>
      </c>
    </row>
    <row r="605" spans="1:13" ht="15">
      <c r="A605" t="s">
        <v>3456</v>
      </c>
      <c r="B605" s="1040" t="str">
        <f>CONCATENATE(LEFT(RIGHT(CONCATENATE("000",IFAData_TEA_1718!A605),6),3),"-",(RIGHT(RIGHT(CONCATENATE("000",IFAData_TEA_1718!A605),6),3)))</f>
        <v>043-917</v>
      </c>
      <c r="C605" t="s">
        <v>1345</v>
      </c>
      <c r="D605">
        <v>4</v>
      </c>
      <c r="E605">
        <v>1623</v>
      </c>
      <c r="F605" t="s">
        <v>4441</v>
      </c>
      <c r="G605" t="s">
        <v>4442</v>
      </c>
      <c r="H605">
        <v>172750</v>
      </c>
      <c r="I605">
        <v>0</v>
      </c>
      <c r="J605">
        <v>0</v>
      </c>
      <c r="K605">
        <v>0</v>
      </c>
      <c r="L605">
        <v>0</v>
      </c>
      <c r="M605">
        <v>599</v>
      </c>
    </row>
    <row r="606" spans="1:13" ht="15">
      <c r="A606" t="s">
        <v>3456</v>
      </c>
      <c r="B606" s="1040" t="str">
        <f>CONCATENATE(LEFT(RIGHT(CONCATENATE("000",IFAData_TEA_1718!A606),6),3),"-",(RIGHT(RIGHT(CONCATENATE("000",IFAData_TEA_1718!A606),6),3)))</f>
        <v>043-917</v>
      </c>
      <c r="C606" t="s">
        <v>1345</v>
      </c>
      <c r="D606">
        <v>4</v>
      </c>
      <c r="E606">
        <v>1623</v>
      </c>
      <c r="F606" t="s">
        <v>4441</v>
      </c>
      <c r="G606" t="s">
        <v>6433</v>
      </c>
      <c r="H606">
        <v>172750</v>
      </c>
      <c r="I606">
        <v>226488</v>
      </c>
      <c r="J606">
        <v>1</v>
      </c>
      <c r="K606">
        <v>172750</v>
      </c>
      <c r="L606">
        <v>172750</v>
      </c>
      <c r="M606">
        <v>599</v>
      </c>
    </row>
    <row r="607" spans="1:13" ht="15">
      <c r="A607" t="s">
        <v>3456</v>
      </c>
      <c r="B607" s="1040" t="str">
        <f>CONCATENATE(LEFT(RIGHT(CONCATENATE("000",IFAData_TEA_1718!A607),6),3),"-",(RIGHT(RIGHT(CONCATENATE("000",IFAData_TEA_1718!A607),6),3)))</f>
        <v>043-917</v>
      </c>
      <c r="C607" t="s">
        <v>1345</v>
      </c>
      <c r="D607">
        <v>6</v>
      </c>
      <c r="E607">
        <v>1624</v>
      </c>
      <c r="F607" t="s">
        <v>4443</v>
      </c>
      <c r="G607" t="s">
        <v>4443</v>
      </c>
      <c r="H607">
        <v>192252</v>
      </c>
      <c r="I607">
        <v>0</v>
      </c>
      <c r="J607">
        <v>0</v>
      </c>
      <c r="K607">
        <v>0</v>
      </c>
      <c r="L607">
        <v>0</v>
      </c>
      <c r="M607">
        <v>599</v>
      </c>
    </row>
    <row r="608" spans="1:13" ht="15">
      <c r="A608" t="s">
        <v>3456</v>
      </c>
      <c r="B608" s="1040" t="str">
        <f>CONCATENATE(LEFT(RIGHT(CONCATENATE("000",IFAData_TEA_1718!A608),6),3),"-",(RIGHT(RIGHT(CONCATENATE("000",IFAData_TEA_1718!A608),6),3)))</f>
        <v>043-917</v>
      </c>
      <c r="C608" t="s">
        <v>1345</v>
      </c>
      <c r="D608">
        <v>6</v>
      </c>
      <c r="E608">
        <v>1624</v>
      </c>
      <c r="F608" t="s">
        <v>4443</v>
      </c>
      <c r="G608" t="s">
        <v>4444</v>
      </c>
      <c r="H608">
        <v>192252</v>
      </c>
      <c r="I608">
        <v>212146</v>
      </c>
      <c r="J608">
        <v>1</v>
      </c>
      <c r="K608">
        <v>192252</v>
      </c>
      <c r="L608">
        <v>192252</v>
      </c>
      <c r="M608">
        <v>599</v>
      </c>
    </row>
    <row r="609" spans="1:13" ht="15">
      <c r="A609" t="s">
        <v>3456</v>
      </c>
      <c r="B609" s="1040" t="str">
        <f>CONCATENATE(LEFT(RIGHT(CONCATENATE("000",IFAData_TEA_1718!A609),6),3),"-",(RIGHT(RIGHT(CONCATENATE("000",IFAData_TEA_1718!A609),6),3)))</f>
        <v>043-917</v>
      </c>
      <c r="C609" t="s">
        <v>1345</v>
      </c>
      <c r="D609">
        <v>10</v>
      </c>
      <c r="E609">
        <v>1622</v>
      </c>
      <c r="F609" t="s">
        <v>4445</v>
      </c>
      <c r="G609" t="s">
        <v>4445</v>
      </c>
      <c r="H609">
        <v>158475</v>
      </c>
      <c r="I609">
        <v>346500</v>
      </c>
      <c r="J609">
        <v>1</v>
      </c>
      <c r="K609">
        <v>158475</v>
      </c>
      <c r="L609">
        <v>158475</v>
      </c>
      <c r="M609">
        <v>599</v>
      </c>
    </row>
    <row r="610" spans="1:13" ht="15">
      <c r="A610" t="s">
        <v>3457</v>
      </c>
      <c r="B610" s="1040" t="str">
        <f>CONCATENATE(LEFT(RIGHT(CONCATENATE("000",IFAData_TEA_1718!A610),6),3),"-",(RIGHT(RIGHT(CONCATENATE("000",IFAData_TEA_1718!A610),6),3)))</f>
        <v>043-918</v>
      </c>
      <c r="C610" t="s">
        <v>1551</v>
      </c>
      <c r="D610">
        <v>2</v>
      </c>
      <c r="E610">
        <v>1713</v>
      </c>
      <c r="F610" t="s">
        <v>4446</v>
      </c>
      <c r="G610" t="s">
        <v>4446</v>
      </c>
      <c r="H610">
        <v>245000</v>
      </c>
      <c r="I610">
        <v>0</v>
      </c>
      <c r="J610">
        <v>0</v>
      </c>
      <c r="K610">
        <v>0</v>
      </c>
      <c r="L610">
        <v>0</v>
      </c>
      <c r="M610">
        <v>599</v>
      </c>
    </row>
    <row r="611" spans="1:13" ht="15">
      <c r="A611" t="s">
        <v>3457</v>
      </c>
      <c r="B611" s="1040" t="str">
        <f>CONCATENATE(LEFT(RIGHT(CONCATENATE("000",IFAData_TEA_1718!A611),6),3),"-",(RIGHT(RIGHT(CONCATENATE("000",IFAData_TEA_1718!A611),6),3)))</f>
        <v>043-918</v>
      </c>
      <c r="C611" t="s">
        <v>1551</v>
      </c>
      <c r="D611">
        <v>2</v>
      </c>
      <c r="E611">
        <v>1713</v>
      </c>
      <c r="F611" t="s">
        <v>4446</v>
      </c>
      <c r="G611" t="s">
        <v>4447</v>
      </c>
      <c r="H611">
        <v>245000</v>
      </c>
      <c r="I611">
        <v>0</v>
      </c>
      <c r="J611">
        <v>0</v>
      </c>
      <c r="K611">
        <v>0</v>
      </c>
      <c r="L611">
        <v>0</v>
      </c>
      <c r="M611">
        <v>599</v>
      </c>
    </row>
    <row r="612" spans="1:13" ht="15">
      <c r="A612" t="s">
        <v>3457</v>
      </c>
      <c r="B612" s="1040" t="str">
        <f>CONCATENATE(LEFT(RIGHT(CONCATENATE("000",IFAData_TEA_1718!A612),6),3),"-",(RIGHT(RIGHT(CONCATENATE("000",IFAData_TEA_1718!A612),6),3)))</f>
        <v>043-918</v>
      </c>
      <c r="C612" t="s">
        <v>1551</v>
      </c>
      <c r="D612">
        <v>2</v>
      </c>
      <c r="E612">
        <v>1713</v>
      </c>
      <c r="F612" t="s">
        <v>4446</v>
      </c>
      <c r="G612" t="s">
        <v>4448</v>
      </c>
      <c r="H612">
        <v>245000</v>
      </c>
      <c r="I612">
        <v>0</v>
      </c>
      <c r="J612">
        <v>0</v>
      </c>
      <c r="K612">
        <v>0</v>
      </c>
      <c r="L612">
        <v>0</v>
      </c>
      <c r="M612">
        <v>599</v>
      </c>
    </row>
    <row r="613" spans="1:13" ht="15">
      <c r="A613" t="s">
        <v>3457</v>
      </c>
      <c r="B613" s="1040" t="str">
        <f>CONCATENATE(LEFT(RIGHT(CONCATENATE("000",IFAData_TEA_1718!A613),6),3),"-",(RIGHT(RIGHT(CONCATENATE("000",IFAData_TEA_1718!A613),6),3)))</f>
        <v>043-918</v>
      </c>
      <c r="C613" t="s">
        <v>1551</v>
      </c>
      <c r="D613">
        <v>2</v>
      </c>
      <c r="E613">
        <v>1713</v>
      </c>
      <c r="F613" t="s">
        <v>4446</v>
      </c>
      <c r="G613" t="s">
        <v>4449</v>
      </c>
      <c r="H613">
        <v>245000</v>
      </c>
      <c r="I613">
        <v>284210</v>
      </c>
      <c r="J613">
        <v>0.56734771282276497</v>
      </c>
      <c r="K613">
        <v>139000.18964157699</v>
      </c>
      <c r="L613">
        <v>139000.18964157699</v>
      </c>
      <c r="M613">
        <v>599</v>
      </c>
    </row>
    <row r="614" spans="1:13" ht="15">
      <c r="A614" t="s">
        <v>3457</v>
      </c>
      <c r="B614" s="1040" t="str">
        <f>CONCATENATE(LEFT(RIGHT(CONCATENATE("000",IFAData_TEA_1718!A614),6),3),"-",(RIGHT(RIGHT(CONCATENATE("000",IFAData_TEA_1718!A614),6),3)))</f>
        <v>043-918</v>
      </c>
      <c r="C614" t="s">
        <v>1551</v>
      </c>
      <c r="D614">
        <v>2</v>
      </c>
      <c r="E614">
        <v>1713</v>
      </c>
      <c r="F614" t="s">
        <v>4446</v>
      </c>
      <c r="G614" t="s">
        <v>4450</v>
      </c>
      <c r="H614">
        <v>245000</v>
      </c>
      <c r="I614">
        <v>0</v>
      </c>
      <c r="J614">
        <v>0</v>
      </c>
      <c r="K614">
        <v>0</v>
      </c>
      <c r="L614">
        <v>0</v>
      </c>
      <c r="M614">
        <v>599</v>
      </c>
    </row>
    <row r="615" spans="1:13" ht="15">
      <c r="A615" t="s">
        <v>3457</v>
      </c>
      <c r="B615" s="1040" t="str">
        <f>CONCATENATE(LEFT(RIGHT(CONCATENATE("000",IFAData_TEA_1718!A615),6),3),"-",(RIGHT(RIGHT(CONCATENATE("000",IFAData_TEA_1718!A615),6),3)))</f>
        <v>043-918</v>
      </c>
      <c r="C615" t="s">
        <v>1551</v>
      </c>
      <c r="D615">
        <v>2</v>
      </c>
      <c r="E615">
        <v>1713</v>
      </c>
      <c r="F615" t="s">
        <v>4446</v>
      </c>
      <c r="G615" t="s">
        <v>4451</v>
      </c>
      <c r="H615">
        <v>245000</v>
      </c>
      <c r="I615">
        <v>0</v>
      </c>
      <c r="J615">
        <v>0</v>
      </c>
      <c r="K615">
        <v>0</v>
      </c>
      <c r="L615">
        <v>0</v>
      </c>
      <c r="M615">
        <v>599</v>
      </c>
    </row>
    <row r="616" spans="1:13" ht="15">
      <c r="A616" t="s">
        <v>3457</v>
      </c>
      <c r="B616" s="1040" t="str">
        <f>CONCATENATE(LEFT(RIGHT(CONCATENATE("000",IFAData_TEA_1718!A616),6),3),"-",(RIGHT(RIGHT(CONCATENATE("000",IFAData_TEA_1718!A616),6),3)))</f>
        <v>043-918</v>
      </c>
      <c r="C616" t="s">
        <v>1551</v>
      </c>
      <c r="D616">
        <v>2</v>
      </c>
      <c r="E616">
        <v>1713</v>
      </c>
      <c r="F616" t="s">
        <v>4446</v>
      </c>
      <c r="G616" t="s">
        <v>6220</v>
      </c>
      <c r="H616">
        <v>245000</v>
      </c>
      <c r="I616">
        <v>78038</v>
      </c>
      <c r="J616">
        <v>0.155781572827356</v>
      </c>
      <c r="K616">
        <v>38166.485342702297</v>
      </c>
      <c r="L616">
        <v>38166.485342702297</v>
      </c>
      <c r="M616">
        <v>599</v>
      </c>
    </row>
    <row r="617" spans="1:13" ht="15">
      <c r="A617" t="s">
        <v>3457</v>
      </c>
      <c r="B617" s="1040" t="str">
        <f>CONCATENATE(LEFT(RIGHT(CONCATENATE("000",IFAData_TEA_1718!A617),6),3),"-",(RIGHT(RIGHT(CONCATENATE("000",IFAData_TEA_1718!A617),6),3)))</f>
        <v>043-918</v>
      </c>
      <c r="C617" t="s">
        <v>1551</v>
      </c>
      <c r="D617">
        <v>2</v>
      </c>
      <c r="E617">
        <v>1713</v>
      </c>
      <c r="F617" t="s">
        <v>4446</v>
      </c>
      <c r="G617" t="s">
        <v>6435</v>
      </c>
      <c r="H617">
        <v>245000</v>
      </c>
      <c r="I617">
        <v>75729</v>
      </c>
      <c r="J617">
        <v>0.15117228438251701</v>
      </c>
      <c r="K617">
        <v>37037.209673716701</v>
      </c>
      <c r="L617">
        <v>37037.209673716701</v>
      </c>
      <c r="M617">
        <v>599</v>
      </c>
    </row>
    <row r="618" spans="1:13" ht="15">
      <c r="A618" t="s">
        <v>3457</v>
      </c>
      <c r="B618" s="1040" t="str">
        <f>CONCATENATE(LEFT(RIGHT(CONCATENATE("000",IFAData_TEA_1718!A618),6),3),"-",(RIGHT(RIGHT(CONCATENATE("000",IFAData_TEA_1718!A618),6),3)))</f>
        <v>043-918</v>
      </c>
      <c r="C618" t="s">
        <v>1551</v>
      </c>
      <c r="D618">
        <v>2</v>
      </c>
      <c r="E618">
        <v>1713</v>
      </c>
      <c r="F618" t="s">
        <v>4446</v>
      </c>
      <c r="G618" t="s">
        <v>6434</v>
      </c>
      <c r="H618">
        <v>245000</v>
      </c>
      <c r="I618">
        <v>2503</v>
      </c>
      <c r="J618">
        <v>4.9965565081994999E-3</v>
      </c>
      <c r="K618">
        <v>1224.15634450888</v>
      </c>
      <c r="L618">
        <v>1224.15634450888</v>
      </c>
      <c r="M618">
        <v>599</v>
      </c>
    </row>
    <row r="619" spans="1:13" ht="15">
      <c r="A619" t="s">
        <v>3457</v>
      </c>
      <c r="B619" s="1040" t="str">
        <f>CONCATENATE(LEFT(RIGHT(CONCATENATE("000",IFAData_TEA_1718!A619),6),3),"-",(RIGHT(RIGHT(CONCATENATE("000",IFAData_TEA_1718!A619),6),3)))</f>
        <v>043-918</v>
      </c>
      <c r="C619" t="s">
        <v>1551</v>
      </c>
      <c r="D619">
        <v>2</v>
      </c>
      <c r="E619">
        <v>1713</v>
      </c>
      <c r="F619" t="s">
        <v>4446</v>
      </c>
      <c r="G619" t="s">
        <v>8352</v>
      </c>
      <c r="H619">
        <v>245000</v>
      </c>
      <c r="I619">
        <v>60465</v>
      </c>
      <c r="J619">
        <v>0.120701873459162</v>
      </c>
      <c r="K619">
        <v>29571.958997494701</v>
      </c>
      <c r="L619">
        <v>29571.958997494701</v>
      </c>
      <c r="M619">
        <v>599</v>
      </c>
    </row>
    <row r="620" spans="1:13" ht="15">
      <c r="A620" t="s">
        <v>3457</v>
      </c>
      <c r="B620" s="1040" t="str">
        <f>CONCATENATE(LEFT(RIGHT(CONCATENATE("000",IFAData_TEA_1718!A620),6),3),"-",(RIGHT(RIGHT(CONCATENATE("000",IFAData_TEA_1718!A620),6),3)))</f>
        <v>043-918</v>
      </c>
      <c r="C620" t="s">
        <v>1551</v>
      </c>
      <c r="D620">
        <v>5</v>
      </c>
      <c r="E620">
        <v>1712</v>
      </c>
      <c r="F620" t="s">
        <v>4448</v>
      </c>
      <c r="G620" t="s">
        <v>4448</v>
      </c>
      <c r="H620">
        <v>12352</v>
      </c>
      <c r="I620">
        <v>56321</v>
      </c>
      <c r="J620">
        <v>0.70213429077218403</v>
      </c>
      <c r="K620">
        <v>8672.7627596180191</v>
      </c>
      <c r="L620">
        <v>8672.7627596180191</v>
      </c>
      <c r="M620">
        <v>599</v>
      </c>
    </row>
    <row r="621" spans="1:13" ht="15">
      <c r="A621" t="s">
        <v>3457</v>
      </c>
      <c r="B621" s="1040" t="str">
        <f>CONCATENATE(LEFT(RIGHT(CONCATENATE("000",IFAData_TEA_1718!A621),6),3),"-",(RIGHT(RIGHT(CONCATENATE("000",IFAData_TEA_1718!A621),6),3)))</f>
        <v>043-918</v>
      </c>
      <c r="C621" t="s">
        <v>1551</v>
      </c>
      <c r="D621">
        <v>5</v>
      </c>
      <c r="E621">
        <v>1712</v>
      </c>
      <c r="F621" t="s">
        <v>4448</v>
      </c>
      <c r="G621" t="s">
        <v>6434</v>
      </c>
      <c r="H621">
        <v>12352</v>
      </c>
      <c r="I621">
        <v>23893</v>
      </c>
      <c r="J621">
        <v>0.29786570922781602</v>
      </c>
      <c r="K621">
        <v>3679.23724038198</v>
      </c>
      <c r="L621">
        <v>3679.23724038198</v>
      </c>
      <c r="M621">
        <v>599</v>
      </c>
    </row>
    <row r="622" spans="1:13" ht="15">
      <c r="A622" t="s">
        <v>3457</v>
      </c>
      <c r="B622" s="1040" t="str">
        <f>CONCATENATE(LEFT(RIGHT(CONCATENATE("000",IFAData_TEA_1718!A622),6),3),"-",(RIGHT(RIGHT(CONCATENATE("000",IFAData_TEA_1718!A622),6),3)))</f>
        <v>043-918</v>
      </c>
      <c r="C622" t="s">
        <v>1551</v>
      </c>
      <c r="D622">
        <v>9</v>
      </c>
      <c r="E622">
        <v>1714</v>
      </c>
      <c r="F622" t="s">
        <v>4449</v>
      </c>
      <c r="G622" t="s">
        <v>4449</v>
      </c>
      <c r="H622">
        <v>347968</v>
      </c>
      <c r="I622">
        <v>0</v>
      </c>
      <c r="J622">
        <v>0</v>
      </c>
      <c r="K622">
        <v>0</v>
      </c>
      <c r="L622">
        <v>0</v>
      </c>
      <c r="M622">
        <v>599</v>
      </c>
    </row>
    <row r="623" spans="1:13" ht="15">
      <c r="A623" t="s">
        <v>3457</v>
      </c>
      <c r="B623" s="1040" t="str">
        <f>CONCATENATE(LEFT(RIGHT(CONCATENATE("000",IFAData_TEA_1718!A623),6),3),"-",(RIGHT(RIGHT(CONCATENATE("000",IFAData_TEA_1718!A623),6),3)))</f>
        <v>043-918</v>
      </c>
      <c r="C623" t="s">
        <v>1551</v>
      </c>
      <c r="D623">
        <v>9</v>
      </c>
      <c r="E623">
        <v>1714</v>
      </c>
      <c r="F623" t="s">
        <v>4449</v>
      </c>
      <c r="G623" t="s">
        <v>6220</v>
      </c>
      <c r="H623">
        <v>347968</v>
      </c>
      <c r="I623">
        <v>344388</v>
      </c>
      <c r="J623">
        <v>0.371311419733453</v>
      </c>
      <c r="K623">
        <v>129204.49210181</v>
      </c>
      <c r="L623">
        <v>129204.49210181</v>
      </c>
      <c r="M623">
        <v>599</v>
      </c>
    </row>
    <row r="624" spans="1:13" ht="15">
      <c r="A624" t="s">
        <v>3457</v>
      </c>
      <c r="B624" s="1040" t="str">
        <f>CONCATENATE(LEFT(RIGHT(CONCATENATE("000",IFAData_TEA_1718!A624),6),3),"-",(RIGHT(RIGHT(CONCATENATE("000",IFAData_TEA_1718!A624),6),3)))</f>
        <v>043-918</v>
      </c>
      <c r="C624" t="s">
        <v>1551</v>
      </c>
      <c r="D624">
        <v>9</v>
      </c>
      <c r="E624">
        <v>1714</v>
      </c>
      <c r="F624" t="s">
        <v>4449</v>
      </c>
      <c r="G624" t="s">
        <v>6435</v>
      </c>
      <c r="H624">
        <v>347968</v>
      </c>
      <c r="I624">
        <v>334260</v>
      </c>
      <c r="J624">
        <v>0.36039163722343398</v>
      </c>
      <c r="K624">
        <v>125404.75722136399</v>
      </c>
      <c r="L624">
        <v>125404.75722136399</v>
      </c>
      <c r="M624">
        <v>599</v>
      </c>
    </row>
    <row r="625" spans="1:13" ht="15">
      <c r="A625" t="s">
        <v>3457</v>
      </c>
      <c r="B625" s="1040" t="str">
        <f>CONCATENATE(LEFT(RIGHT(CONCATENATE("000",IFAData_TEA_1718!A625),6),3),"-",(RIGHT(RIGHT(CONCATENATE("000",IFAData_TEA_1718!A625),6),3)))</f>
        <v>043-918</v>
      </c>
      <c r="C625" t="s">
        <v>1551</v>
      </c>
      <c r="D625">
        <v>9</v>
      </c>
      <c r="E625">
        <v>1714</v>
      </c>
      <c r="F625" t="s">
        <v>4449</v>
      </c>
      <c r="G625" t="s">
        <v>8352</v>
      </c>
      <c r="H625">
        <v>347968</v>
      </c>
      <c r="I625">
        <v>248843</v>
      </c>
      <c r="J625">
        <v>0.26829694304311302</v>
      </c>
      <c r="K625">
        <v>93358.750676826006</v>
      </c>
      <c r="L625">
        <v>93358.750676826006</v>
      </c>
      <c r="M625">
        <v>599</v>
      </c>
    </row>
    <row r="626" spans="1:13" ht="15">
      <c r="A626" t="s">
        <v>3458</v>
      </c>
      <c r="B626" s="1040" t="str">
        <f>CONCATENATE(LEFT(RIGHT(CONCATENATE("000",IFAData_TEA_1718!A626),6),3),"-",(RIGHT(RIGHT(CONCATENATE("000",IFAData_TEA_1718!A626),6),3)))</f>
        <v>045-902</v>
      </c>
      <c r="C626" t="s">
        <v>1549</v>
      </c>
      <c r="D626">
        <v>2</v>
      </c>
      <c r="E626">
        <v>1709</v>
      </c>
      <c r="F626" t="s">
        <v>4452</v>
      </c>
      <c r="G626" t="s">
        <v>4452</v>
      </c>
      <c r="H626">
        <v>289660</v>
      </c>
      <c r="I626">
        <v>0</v>
      </c>
      <c r="J626">
        <v>0</v>
      </c>
      <c r="K626">
        <v>0</v>
      </c>
      <c r="L626">
        <v>0</v>
      </c>
      <c r="M626">
        <v>599</v>
      </c>
    </row>
    <row r="627" spans="1:13" ht="15">
      <c r="A627" t="s">
        <v>3458</v>
      </c>
      <c r="B627" s="1040" t="str">
        <f>CONCATENATE(LEFT(RIGHT(CONCATENATE("000",IFAData_TEA_1718!A627),6),3),"-",(RIGHT(RIGHT(CONCATENATE("000",IFAData_TEA_1718!A627),6),3)))</f>
        <v>045-902</v>
      </c>
      <c r="C627" t="s">
        <v>1549</v>
      </c>
      <c r="D627">
        <v>2</v>
      </c>
      <c r="E627">
        <v>1709</v>
      </c>
      <c r="F627" t="s">
        <v>4452</v>
      </c>
      <c r="G627" t="s">
        <v>4453</v>
      </c>
      <c r="H627">
        <v>289660</v>
      </c>
      <c r="I627">
        <v>325490</v>
      </c>
      <c r="J627">
        <v>1</v>
      </c>
      <c r="K627">
        <v>289660</v>
      </c>
      <c r="L627">
        <v>289660</v>
      </c>
      <c r="M627">
        <v>599</v>
      </c>
    </row>
    <row r="628" spans="1:13" ht="15">
      <c r="A628" t="s">
        <v>3459</v>
      </c>
      <c r="B628" s="1040" t="str">
        <f>CONCATENATE(LEFT(RIGHT(CONCATENATE("000",IFAData_TEA_1718!A628),6),3),"-",(RIGHT(RIGHT(CONCATENATE("000",IFAData_TEA_1718!A628),6),3)))</f>
        <v>046-901</v>
      </c>
      <c r="C628" t="s">
        <v>2206</v>
      </c>
      <c r="D628">
        <v>9</v>
      </c>
      <c r="E628">
        <v>2135</v>
      </c>
      <c r="F628" t="s">
        <v>4454</v>
      </c>
      <c r="G628" t="s">
        <v>4454</v>
      </c>
      <c r="H628">
        <v>1200408</v>
      </c>
      <c r="I628">
        <v>0</v>
      </c>
      <c r="J628">
        <v>0</v>
      </c>
      <c r="K628">
        <v>0</v>
      </c>
      <c r="L628">
        <v>0</v>
      </c>
      <c r="M628">
        <v>599</v>
      </c>
    </row>
    <row r="629" spans="1:13" ht="15">
      <c r="A629" t="s">
        <v>3459</v>
      </c>
      <c r="B629" s="1040" t="str">
        <f>CONCATENATE(LEFT(RIGHT(CONCATENATE("000",IFAData_TEA_1718!A629),6),3),"-",(RIGHT(RIGHT(CONCATENATE("000",IFAData_TEA_1718!A629),6),3)))</f>
        <v>046-901</v>
      </c>
      <c r="C629" t="s">
        <v>2206</v>
      </c>
      <c r="D629">
        <v>9</v>
      </c>
      <c r="E629">
        <v>2135</v>
      </c>
      <c r="F629" t="s">
        <v>4454</v>
      </c>
      <c r="G629" t="s">
        <v>4455</v>
      </c>
      <c r="H629">
        <v>1200408</v>
      </c>
      <c r="I629">
        <v>307475</v>
      </c>
      <c r="J629">
        <v>0.27745743502005099</v>
      </c>
      <c r="K629">
        <v>333062.12465754902</v>
      </c>
      <c r="L629">
        <v>307475</v>
      </c>
      <c r="M629">
        <v>599</v>
      </c>
    </row>
    <row r="630" spans="1:13" ht="15">
      <c r="A630" t="s">
        <v>3459</v>
      </c>
      <c r="B630" s="1040" t="str">
        <f>CONCATENATE(LEFT(RIGHT(CONCATENATE("000",IFAData_TEA_1718!A630),6),3),"-",(RIGHT(RIGHT(CONCATENATE("000",IFAData_TEA_1718!A630),6),3)))</f>
        <v>046-901</v>
      </c>
      <c r="C630" t="s">
        <v>2206</v>
      </c>
      <c r="D630">
        <v>9</v>
      </c>
      <c r="E630">
        <v>2135</v>
      </c>
      <c r="F630" t="s">
        <v>4454</v>
      </c>
      <c r="G630" t="s">
        <v>4456</v>
      </c>
      <c r="H630">
        <v>1200408</v>
      </c>
      <c r="I630">
        <v>617488</v>
      </c>
      <c r="J630">
        <v>0.55720509516435801</v>
      </c>
      <c r="K630">
        <v>668873.45387605706</v>
      </c>
      <c r="L630">
        <v>617488</v>
      </c>
      <c r="M630">
        <v>599</v>
      </c>
    </row>
    <row r="631" spans="1:13" ht="15">
      <c r="A631" t="s">
        <v>3459</v>
      </c>
      <c r="B631" s="1040" t="str">
        <f>CONCATENATE(LEFT(RIGHT(CONCATENATE("000",IFAData_TEA_1718!A631),6),3),"-",(RIGHT(RIGHT(CONCATENATE("000",IFAData_TEA_1718!A631),6),3)))</f>
        <v>046-901</v>
      </c>
      <c r="C631" t="s">
        <v>2206</v>
      </c>
      <c r="D631">
        <v>9</v>
      </c>
      <c r="E631">
        <v>2135</v>
      </c>
      <c r="F631" t="s">
        <v>4454</v>
      </c>
      <c r="G631" t="s">
        <v>6221</v>
      </c>
      <c r="H631">
        <v>1200408</v>
      </c>
      <c r="I631">
        <v>183225</v>
      </c>
      <c r="J631">
        <v>0.165337469815591</v>
      </c>
      <c r="K631">
        <v>198472.42146639401</v>
      </c>
      <c r="L631">
        <v>183225</v>
      </c>
      <c r="M631">
        <v>599</v>
      </c>
    </row>
    <row r="632" spans="1:13" ht="15">
      <c r="A632" t="s">
        <v>3460</v>
      </c>
      <c r="B632" s="1040" t="str">
        <f>CONCATENATE(LEFT(RIGHT(CONCATENATE("000",IFAData_TEA_1718!A632),6),3),"-",(RIGHT(RIGHT(CONCATENATE("000",IFAData_TEA_1718!A632),6),3)))</f>
        <v>047-901</v>
      </c>
      <c r="C632" t="s">
        <v>2208</v>
      </c>
      <c r="D632">
        <v>9</v>
      </c>
      <c r="E632">
        <v>1710</v>
      </c>
      <c r="F632" t="s">
        <v>4457</v>
      </c>
      <c r="G632" t="s">
        <v>4457</v>
      </c>
      <c r="H632">
        <v>312761</v>
      </c>
      <c r="I632">
        <v>0</v>
      </c>
      <c r="J632">
        <v>0</v>
      </c>
      <c r="K632">
        <v>0</v>
      </c>
      <c r="L632">
        <v>0</v>
      </c>
      <c r="M632">
        <v>599</v>
      </c>
    </row>
    <row r="633" spans="1:13" ht="15">
      <c r="A633" t="s">
        <v>3460</v>
      </c>
      <c r="B633" s="1040" t="str">
        <f>CONCATENATE(LEFT(RIGHT(CONCATENATE("000",IFAData_TEA_1718!A633),6),3),"-",(RIGHT(RIGHT(CONCATENATE("000",IFAData_TEA_1718!A633),6),3)))</f>
        <v>047-901</v>
      </c>
      <c r="C633" t="s">
        <v>2208</v>
      </c>
      <c r="D633">
        <v>9</v>
      </c>
      <c r="E633">
        <v>1710</v>
      </c>
      <c r="F633" t="s">
        <v>4457</v>
      </c>
      <c r="G633" t="s">
        <v>6222</v>
      </c>
      <c r="H633">
        <v>312761</v>
      </c>
      <c r="I633">
        <v>395650</v>
      </c>
      <c r="J633">
        <v>1</v>
      </c>
      <c r="K633">
        <v>312761</v>
      </c>
      <c r="L633">
        <v>312761</v>
      </c>
      <c r="M633">
        <v>599</v>
      </c>
    </row>
    <row r="634" spans="1:13" ht="15">
      <c r="A634" t="s">
        <v>3461</v>
      </c>
      <c r="B634" s="1040" t="str">
        <f>CONCATENATE(LEFT(RIGHT(CONCATENATE("000",IFAData_TEA_1718!A634),6),3),"-",(RIGHT(RIGHT(CONCATENATE("000",IFAData_TEA_1718!A634),6),3)))</f>
        <v>047-902</v>
      </c>
      <c r="C634" t="s">
        <v>2665</v>
      </c>
      <c r="D634">
        <v>2</v>
      </c>
      <c r="E634">
        <v>1748</v>
      </c>
      <c r="F634" t="s">
        <v>4458</v>
      </c>
      <c r="G634" t="s">
        <v>4458</v>
      </c>
      <c r="H634">
        <v>129726</v>
      </c>
      <c r="I634">
        <v>0</v>
      </c>
      <c r="J634">
        <v>0</v>
      </c>
      <c r="K634"/>
      <c r="L634">
        <v>0</v>
      </c>
      <c r="M634">
        <v>199</v>
      </c>
    </row>
    <row r="635" spans="1:13" ht="15">
      <c r="A635" t="s">
        <v>3461</v>
      </c>
      <c r="B635" s="1040" t="str">
        <f>CONCATENATE(LEFT(RIGHT(CONCATENATE("000",IFAData_TEA_1718!A635),6),3),"-",(RIGHT(RIGHT(CONCATENATE("000",IFAData_TEA_1718!A635),6),3)))</f>
        <v>047-902</v>
      </c>
      <c r="C635" t="s">
        <v>2665</v>
      </c>
      <c r="D635">
        <v>10</v>
      </c>
      <c r="E635">
        <v>1749</v>
      </c>
      <c r="F635" t="s">
        <v>4459</v>
      </c>
      <c r="G635" t="s">
        <v>4459</v>
      </c>
      <c r="H635">
        <v>157394</v>
      </c>
      <c r="I635">
        <v>387313</v>
      </c>
      <c r="J635">
        <v>1</v>
      </c>
      <c r="K635">
        <v>157394</v>
      </c>
      <c r="L635">
        <v>157394</v>
      </c>
      <c r="M635">
        <v>599</v>
      </c>
    </row>
    <row r="636" spans="1:13" ht="15">
      <c r="A636" t="s">
        <v>3461</v>
      </c>
      <c r="B636" s="1040" t="str">
        <f>CONCATENATE(LEFT(RIGHT(CONCATENATE("000",IFAData_TEA_1718!A636),6),3),"-",(RIGHT(RIGHT(CONCATENATE("000",IFAData_TEA_1718!A636),6),3)))</f>
        <v>047-902</v>
      </c>
      <c r="C636" t="s">
        <v>2665</v>
      </c>
      <c r="D636">
        <v>11</v>
      </c>
      <c r="E636">
        <v>2581</v>
      </c>
      <c r="F636" t="s">
        <v>8353</v>
      </c>
      <c r="G636" t="s">
        <v>8353</v>
      </c>
      <c r="H636">
        <v>36285</v>
      </c>
      <c r="I636">
        <v>36285</v>
      </c>
      <c r="J636">
        <v>1</v>
      </c>
      <c r="K636">
        <v>36285</v>
      </c>
      <c r="L636">
        <v>36285</v>
      </c>
      <c r="M636">
        <v>599</v>
      </c>
    </row>
    <row r="637" spans="1:13" ht="15">
      <c r="A637" t="s">
        <v>3462</v>
      </c>
      <c r="B637" s="1040" t="str">
        <f>CONCATENATE(LEFT(RIGHT(CONCATENATE("000",IFAData_TEA_1718!A637),6),3),"-",(RIGHT(RIGHT(CONCATENATE("000",IFAData_TEA_1718!A637),6),3)))</f>
        <v>047-903</v>
      </c>
      <c r="C637" t="s">
        <v>1733</v>
      </c>
      <c r="D637">
        <v>5</v>
      </c>
      <c r="E637">
        <v>1863</v>
      </c>
      <c r="F637" t="s">
        <v>4460</v>
      </c>
      <c r="G637" t="s">
        <v>4460</v>
      </c>
      <c r="H637">
        <v>100000</v>
      </c>
      <c r="I637">
        <v>0</v>
      </c>
      <c r="J637">
        <v>0</v>
      </c>
      <c r="K637">
        <v>0</v>
      </c>
      <c r="L637">
        <v>0</v>
      </c>
      <c r="M637">
        <v>599</v>
      </c>
    </row>
    <row r="638" spans="1:13" ht="15">
      <c r="A638" t="s">
        <v>3462</v>
      </c>
      <c r="B638" s="1040" t="str">
        <f>CONCATENATE(LEFT(RIGHT(CONCATENATE("000",IFAData_TEA_1718!A638),6),3),"-",(RIGHT(RIGHT(CONCATENATE("000",IFAData_TEA_1718!A638),6),3)))</f>
        <v>047-903</v>
      </c>
      <c r="C638" t="s">
        <v>1733</v>
      </c>
      <c r="D638">
        <v>5</v>
      </c>
      <c r="E638">
        <v>1863</v>
      </c>
      <c r="F638" t="s">
        <v>4460</v>
      </c>
      <c r="G638" t="s">
        <v>4461</v>
      </c>
      <c r="H638">
        <v>100000</v>
      </c>
      <c r="I638">
        <v>82138</v>
      </c>
      <c r="J638">
        <v>1</v>
      </c>
      <c r="K638">
        <v>100000</v>
      </c>
      <c r="L638">
        <v>82138</v>
      </c>
      <c r="M638">
        <v>599</v>
      </c>
    </row>
    <row r="639" spans="1:13" ht="15">
      <c r="A639" t="s">
        <v>3463</v>
      </c>
      <c r="B639" s="1040" t="str">
        <f>CONCATENATE(LEFT(RIGHT(CONCATENATE("000",IFAData_TEA_1718!A639),6),3),"-",(RIGHT(RIGHT(CONCATENATE("000",IFAData_TEA_1718!A639),6),3)))</f>
        <v>047-905</v>
      </c>
      <c r="C639" t="s">
        <v>2209</v>
      </c>
      <c r="D639">
        <v>10</v>
      </c>
      <c r="E639">
        <v>2332</v>
      </c>
      <c r="F639" t="s">
        <v>4462</v>
      </c>
      <c r="G639" t="s">
        <v>4462</v>
      </c>
      <c r="H639">
        <v>99680</v>
      </c>
      <c r="I639">
        <v>95275</v>
      </c>
      <c r="J639">
        <v>1</v>
      </c>
      <c r="K639">
        <v>99680</v>
      </c>
      <c r="L639">
        <v>95275</v>
      </c>
      <c r="M639">
        <v>599</v>
      </c>
    </row>
    <row r="640" spans="1:13" ht="15">
      <c r="A640" t="s">
        <v>3464</v>
      </c>
      <c r="B640" s="1040" t="str">
        <f>CONCATENATE(LEFT(RIGHT(CONCATENATE("000",IFAData_TEA_1718!A640),6),3),"-",(RIGHT(RIGHT(CONCATENATE("000",IFAData_TEA_1718!A640),6),3)))</f>
        <v>049-901</v>
      </c>
      <c r="C640" t="s">
        <v>1479</v>
      </c>
      <c r="D640">
        <v>1</v>
      </c>
      <c r="E640">
        <v>1833</v>
      </c>
      <c r="F640" t="s">
        <v>4463</v>
      </c>
      <c r="G640" t="s">
        <v>4463</v>
      </c>
      <c r="H640">
        <v>301682</v>
      </c>
      <c r="I640">
        <v>0</v>
      </c>
      <c r="J640">
        <v>0</v>
      </c>
      <c r="K640">
        <v>0</v>
      </c>
      <c r="L640">
        <v>0</v>
      </c>
      <c r="M640">
        <v>599</v>
      </c>
    </row>
    <row r="641" spans="1:13" ht="15">
      <c r="A641" t="s">
        <v>3464</v>
      </c>
      <c r="B641" s="1040" t="str">
        <f>CONCATENATE(LEFT(RIGHT(CONCATENATE("000",IFAData_TEA_1718!A641),6),3),"-",(RIGHT(RIGHT(CONCATENATE("000",IFAData_TEA_1718!A641),6),3)))</f>
        <v>049-901</v>
      </c>
      <c r="C641" t="s">
        <v>1479</v>
      </c>
      <c r="D641">
        <v>1</v>
      </c>
      <c r="E641">
        <v>1833</v>
      </c>
      <c r="F641" t="s">
        <v>4463</v>
      </c>
      <c r="G641" t="s">
        <v>4464</v>
      </c>
      <c r="H641">
        <v>301682</v>
      </c>
      <c r="I641">
        <v>0</v>
      </c>
      <c r="J641">
        <v>0</v>
      </c>
      <c r="K641">
        <v>0</v>
      </c>
      <c r="L641">
        <v>0</v>
      </c>
      <c r="M641">
        <v>599</v>
      </c>
    </row>
    <row r="642" spans="1:13" ht="15">
      <c r="A642" t="s">
        <v>3464</v>
      </c>
      <c r="B642" s="1040" t="str">
        <f>CONCATENATE(LEFT(RIGHT(CONCATENATE("000",IFAData_TEA_1718!A642),6),3),"-",(RIGHT(RIGHT(CONCATENATE("000",IFAData_TEA_1718!A642),6),3)))</f>
        <v>049-901</v>
      </c>
      <c r="C642" t="s">
        <v>1479</v>
      </c>
      <c r="D642">
        <v>1</v>
      </c>
      <c r="E642">
        <v>1833</v>
      </c>
      <c r="F642" t="s">
        <v>4463</v>
      </c>
      <c r="G642" t="s">
        <v>6223</v>
      </c>
      <c r="H642">
        <v>301682</v>
      </c>
      <c r="I642">
        <v>146575</v>
      </c>
      <c r="J642">
        <v>1</v>
      </c>
      <c r="K642">
        <v>301682</v>
      </c>
      <c r="L642">
        <v>146575</v>
      </c>
      <c r="M642">
        <v>599</v>
      </c>
    </row>
    <row r="643" spans="1:13" ht="15">
      <c r="A643" t="s">
        <v>3465</v>
      </c>
      <c r="B643" s="1040" t="str">
        <f>CONCATENATE(LEFT(RIGHT(CONCATENATE("000",IFAData_TEA_1718!A643),6),3),"-",(RIGHT(RIGHT(CONCATENATE("000",IFAData_TEA_1718!A643),6),3)))</f>
        <v>049-903</v>
      </c>
      <c r="C643" t="s">
        <v>2364</v>
      </c>
      <c r="D643">
        <v>6</v>
      </c>
      <c r="E643">
        <v>2411</v>
      </c>
      <c r="F643" t="s">
        <v>4465</v>
      </c>
      <c r="G643" t="s">
        <v>4465</v>
      </c>
      <c r="H643">
        <v>163056</v>
      </c>
      <c r="I643">
        <v>0</v>
      </c>
      <c r="J643">
        <v>0</v>
      </c>
      <c r="K643">
        <v>0</v>
      </c>
      <c r="L643">
        <v>0</v>
      </c>
      <c r="M643">
        <v>599</v>
      </c>
    </row>
    <row r="644" spans="1:13" ht="15">
      <c r="A644" t="s">
        <v>3465</v>
      </c>
      <c r="B644" s="1040" t="str">
        <f>CONCATENATE(LEFT(RIGHT(CONCATENATE("000",IFAData_TEA_1718!A644),6),3),"-",(RIGHT(RIGHT(CONCATENATE("000",IFAData_TEA_1718!A644),6),3)))</f>
        <v>049-903</v>
      </c>
      <c r="C644" t="s">
        <v>2364</v>
      </c>
      <c r="D644">
        <v>6</v>
      </c>
      <c r="E644">
        <v>2411</v>
      </c>
      <c r="F644" t="s">
        <v>4465</v>
      </c>
      <c r="G644" t="s">
        <v>4466</v>
      </c>
      <c r="H644">
        <v>163056</v>
      </c>
      <c r="I644">
        <v>161169</v>
      </c>
      <c r="J644">
        <v>1</v>
      </c>
      <c r="K644">
        <v>163056</v>
      </c>
      <c r="L644">
        <v>161169</v>
      </c>
      <c r="M644">
        <v>599</v>
      </c>
    </row>
    <row r="645" spans="1:13" ht="15">
      <c r="A645" t="s">
        <v>3466</v>
      </c>
      <c r="B645" s="1040" t="str">
        <f>CONCATENATE(LEFT(RIGHT(CONCATENATE("000",IFAData_TEA_1718!A645),6),3),"-",(RIGHT(RIGHT(CONCATENATE("000",IFAData_TEA_1718!A645),6),3)))</f>
        <v>049-906</v>
      </c>
      <c r="C645" t="s">
        <v>2214</v>
      </c>
      <c r="D645">
        <v>9</v>
      </c>
      <c r="E645">
        <v>1802</v>
      </c>
      <c r="F645" t="s">
        <v>4467</v>
      </c>
      <c r="G645" t="s">
        <v>4467</v>
      </c>
      <c r="H645">
        <v>43739</v>
      </c>
      <c r="I645">
        <v>0</v>
      </c>
      <c r="J645">
        <v>0</v>
      </c>
      <c r="K645">
        <v>0</v>
      </c>
      <c r="L645">
        <v>0</v>
      </c>
      <c r="M645">
        <v>599</v>
      </c>
    </row>
    <row r="646" spans="1:13" ht="15">
      <c r="A646" t="s">
        <v>3466</v>
      </c>
      <c r="B646" s="1040" t="str">
        <f>CONCATENATE(LEFT(RIGHT(CONCATENATE("000",IFAData_TEA_1718!A646),6),3),"-",(RIGHT(RIGHT(CONCATENATE("000",IFAData_TEA_1718!A646),6),3)))</f>
        <v>049-906</v>
      </c>
      <c r="C646" t="s">
        <v>2214</v>
      </c>
      <c r="D646">
        <v>9</v>
      </c>
      <c r="E646">
        <v>1802</v>
      </c>
      <c r="F646" t="s">
        <v>4467</v>
      </c>
      <c r="G646" t="s">
        <v>6827</v>
      </c>
      <c r="H646">
        <v>43739</v>
      </c>
      <c r="I646">
        <v>86162</v>
      </c>
      <c r="J646">
        <v>1</v>
      </c>
      <c r="K646">
        <v>43739</v>
      </c>
      <c r="L646">
        <v>43739</v>
      </c>
      <c r="M646">
        <v>599</v>
      </c>
    </row>
    <row r="647" spans="1:13" ht="15">
      <c r="A647" t="s">
        <v>5816</v>
      </c>
      <c r="B647" s="1040" t="str">
        <f>CONCATENATE(LEFT(RIGHT(CONCATENATE("000",IFAData_TEA_1718!A647),6),3),"-",(RIGHT(RIGHT(CONCATENATE("000",IFAData_TEA_1718!A647),6),3)))</f>
        <v>050-902</v>
      </c>
      <c r="C647" t="s">
        <v>2219</v>
      </c>
      <c r="D647">
        <v>11</v>
      </c>
      <c r="E647">
        <v>2576</v>
      </c>
      <c r="F647" t="s">
        <v>8354</v>
      </c>
      <c r="G647" t="s">
        <v>8354</v>
      </c>
      <c r="H647">
        <v>188872</v>
      </c>
      <c r="I647">
        <v>809901</v>
      </c>
      <c r="J647">
        <v>1</v>
      </c>
      <c r="K647">
        <v>188872</v>
      </c>
      <c r="L647">
        <v>188872</v>
      </c>
      <c r="M647">
        <v>599</v>
      </c>
    </row>
    <row r="648" spans="1:13" ht="15">
      <c r="A648" t="s">
        <v>5816</v>
      </c>
      <c r="B648" s="1040" t="str">
        <f>CONCATENATE(LEFT(RIGHT(CONCATENATE("000",IFAData_TEA_1718!A648),6),3),"-",(RIGHT(RIGHT(CONCATENATE("000",IFAData_TEA_1718!A648),6),3)))</f>
        <v>050-902</v>
      </c>
      <c r="C648" t="s">
        <v>2219</v>
      </c>
      <c r="D648">
        <v>11</v>
      </c>
      <c r="E648">
        <v>2596</v>
      </c>
      <c r="F648" t="s">
        <v>8355</v>
      </c>
      <c r="G648" t="s">
        <v>8355</v>
      </c>
      <c r="H648">
        <v>480835</v>
      </c>
      <c r="I648">
        <v>480835</v>
      </c>
      <c r="J648">
        <v>1</v>
      </c>
      <c r="K648">
        <v>480835</v>
      </c>
      <c r="L648">
        <v>480835</v>
      </c>
      <c r="M648">
        <v>599</v>
      </c>
    </row>
    <row r="649" spans="1:13" ht="15">
      <c r="A649" t="s">
        <v>3467</v>
      </c>
      <c r="B649" s="1040" t="str">
        <f>CONCATENATE(LEFT(RIGHT(CONCATENATE("000",IFAData_TEA_1718!A649),6),3),"-",(RIGHT(RIGHT(CONCATENATE("000",IFAData_TEA_1718!A649),6),3)))</f>
        <v>050-904</v>
      </c>
      <c r="C649" t="s">
        <v>261</v>
      </c>
      <c r="D649">
        <v>5</v>
      </c>
      <c r="E649">
        <v>2157</v>
      </c>
      <c r="F649" t="s">
        <v>4468</v>
      </c>
      <c r="G649" t="s">
        <v>4468</v>
      </c>
      <c r="H649">
        <v>93713</v>
      </c>
      <c r="I649">
        <v>92160</v>
      </c>
      <c r="J649">
        <v>1</v>
      </c>
      <c r="K649">
        <v>93713</v>
      </c>
      <c r="L649">
        <v>92160</v>
      </c>
      <c r="M649">
        <v>599</v>
      </c>
    </row>
    <row r="650" spans="1:13" ht="15">
      <c r="A650" t="s">
        <v>3468</v>
      </c>
      <c r="B650" s="1040" t="str">
        <f>CONCATENATE(LEFT(RIGHT(CONCATENATE("000",IFAData_TEA_1718!A650),6),3),"-",(RIGHT(RIGHT(CONCATENATE("000",IFAData_TEA_1718!A650),6),3)))</f>
        <v>050-910</v>
      </c>
      <c r="C650" t="s">
        <v>2573</v>
      </c>
      <c r="D650">
        <v>1</v>
      </c>
      <c r="E650">
        <v>1720</v>
      </c>
      <c r="F650" t="s">
        <v>4469</v>
      </c>
      <c r="G650" t="s">
        <v>4469</v>
      </c>
      <c r="H650">
        <v>767600</v>
      </c>
      <c r="I650">
        <v>0</v>
      </c>
      <c r="J650">
        <v>0</v>
      </c>
      <c r="K650">
        <v>0</v>
      </c>
      <c r="L650">
        <v>0</v>
      </c>
      <c r="M650">
        <v>599</v>
      </c>
    </row>
    <row r="651" spans="1:13" ht="15">
      <c r="A651" t="s">
        <v>3468</v>
      </c>
      <c r="B651" s="1040" t="str">
        <f>CONCATENATE(LEFT(RIGHT(CONCATENATE("000",IFAData_TEA_1718!A651),6),3),"-",(RIGHT(RIGHT(CONCATENATE("000",IFAData_TEA_1718!A651),6),3)))</f>
        <v>050-910</v>
      </c>
      <c r="C651" t="s">
        <v>2573</v>
      </c>
      <c r="D651">
        <v>1</v>
      </c>
      <c r="E651">
        <v>1720</v>
      </c>
      <c r="F651" t="s">
        <v>4469</v>
      </c>
      <c r="G651" t="s">
        <v>4470</v>
      </c>
      <c r="H651">
        <v>767600</v>
      </c>
      <c r="I651">
        <v>0</v>
      </c>
      <c r="J651">
        <v>0</v>
      </c>
      <c r="K651">
        <v>0</v>
      </c>
      <c r="L651">
        <v>0</v>
      </c>
      <c r="M651">
        <v>599</v>
      </c>
    </row>
    <row r="652" spans="1:13" ht="15">
      <c r="A652" t="s">
        <v>3468</v>
      </c>
      <c r="B652" s="1040" t="str">
        <f>CONCATENATE(LEFT(RIGHT(CONCATENATE("000",IFAData_TEA_1718!A652),6),3),"-",(RIGHT(RIGHT(CONCATENATE("000",IFAData_TEA_1718!A652),6),3)))</f>
        <v>050-910</v>
      </c>
      <c r="C652" t="s">
        <v>2573</v>
      </c>
      <c r="D652">
        <v>1</v>
      </c>
      <c r="E652">
        <v>1720</v>
      </c>
      <c r="F652" t="s">
        <v>4469</v>
      </c>
      <c r="G652" t="s">
        <v>4471</v>
      </c>
      <c r="H652">
        <v>767600</v>
      </c>
      <c r="I652">
        <v>0</v>
      </c>
      <c r="J652">
        <v>0</v>
      </c>
      <c r="K652">
        <v>0</v>
      </c>
      <c r="L652">
        <v>0</v>
      </c>
      <c r="M652">
        <v>599</v>
      </c>
    </row>
    <row r="653" spans="1:13" ht="15">
      <c r="A653" t="s">
        <v>3468</v>
      </c>
      <c r="B653" s="1040" t="str">
        <f>CONCATENATE(LEFT(RIGHT(CONCATENATE("000",IFAData_TEA_1718!A653),6),3),"-",(RIGHT(RIGHT(CONCATENATE("000",IFAData_TEA_1718!A653),6),3)))</f>
        <v>050-910</v>
      </c>
      <c r="C653" t="s">
        <v>2573</v>
      </c>
      <c r="D653">
        <v>1</v>
      </c>
      <c r="E653">
        <v>1720</v>
      </c>
      <c r="F653" t="s">
        <v>4469</v>
      </c>
      <c r="G653" t="s">
        <v>4472</v>
      </c>
      <c r="H653">
        <v>767600</v>
      </c>
      <c r="I653">
        <v>0</v>
      </c>
      <c r="J653">
        <v>0</v>
      </c>
      <c r="K653">
        <v>0</v>
      </c>
      <c r="L653">
        <v>0</v>
      </c>
      <c r="M653">
        <v>599</v>
      </c>
    </row>
    <row r="654" spans="1:13" ht="15">
      <c r="A654" t="s">
        <v>3468</v>
      </c>
      <c r="B654" s="1040" t="str">
        <f>CONCATENATE(LEFT(RIGHT(CONCATENATE("000",IFAData_TEA_1718!A654),6),3),"-",(RIGHT(RIGHT(CONCATENATE("000",IFAData_TEA_1718!A654),6),3)))</f>
        <v>050-910</v>
      </c>
      <c r="C654" t="s">
        <v>2573</v>
      </c>
      <c r="D654">
        <v>1</v>
      </c>
      <c r="E654">
        <v>1720</v>
      </c>
      <c r="F654" t="s">
        <v>4469</v>
      </c>
      <c r="G654" t="s">
        <v>6224</v>
      </c>
      <c r="H654">
        <v>767600</v>
      </c>
      <c r="I654">
        <v>2323467</v>
      </c>
      <c r="J654">
        <v>1</v>
      </c>
      <c r="K654">
        <v>767600</v>
      </c>
      <c r="L654">
        <v>767600</v>
      </c>
      <c r="M654">
        <v>599</v>
      </c>
    </row>
    <row r="655" spans="1:13" ht="15">
      <c r="A655" t="s">
        <v>3469</v>
      </c>
      <c r="B655" s="1040" t="str">
        <f>CONCATENATE(LEFT(RIGHT(CONCATENATE("000",IFAData_TEA_1718!A655),6),3),"-",(RIGHT(RIGHT(CONCATENATE("000",IFAData_TEA_1718!A655),6),3)))</f>
        <v>057-906</v>
      </c>
      <c r="C655" t="s">
        <v>128</v>
      </c>
      <c r="D655">
        <v>9</v>
      </c>
      <c r="E655">
        <v>1752</v>
      </c>
      <c r="F655" t="s">
        <v>4473</v>
      </c>
      <c r="G655" t="s">
        <v>4473</v>
      </c>
      <c r="H655">
        <v>1796397</v>
      </c>
      <c r="I655">
        <v>0</v>
      </c>
      <c r="J655">
        <v>0</v>
      </c>
      <c r="K655">
        <v>0</v>
      </c>
      <c r="L655">
        <v>0</v>
      </c>
      <c r="M655">
        <v>599</v>
      </c>
    </row>
    <row r="656" spans="1:13" ht="15">
      <c r="A656" t="s">
        <v>3469</v>
      </c>
      <c r="B656" s="1040" t="str">
        <f>CONCATENATE(LEFT(RIGHT(CONCATENATE("000",IFAData_TEA_1718!A656),6),3),"-",(RIGHT(RIGHT(CONCATENATE("000",IFAData_TEA_1718!A656),6),3)))</f>
        <v>057-906</v>
      </c>
      <c r="C656" t="s">
        <v>128</v>
      </c>
      <c r="D656">
        <v>9</v>
      </c>
      <c r="E656">
        <v>1752</v>
      </c>
      <c r="F656" t="s">
        <v>4473</v>
      </c>
      <c r="G656" t="s">
        <v>6436</v>
      </c>
      <c r="H656">
        <v>1796397</v>
      </c>
      <c r="I656">
        <v>1081262</v>
      </c>
      <c r="J656">
        <v>0.95685124435740598</v>
      </c>
      <c r="K656">
        <v>1718884.7048099099</v>
      </c>
      <c r="L656">
        <v>1081262</v>
      </c>
      <c r="M656">
        <v>599</v>
      </c>
    </row>
    <row r="657" spans="1:13" ht="15">
      <c r="A657" t="s">
        <v>3469</v>
      </c>
      <c r="B657" s="1040" t="str">
        <f>CONCATENATE(LEFT(RIGHT(CONCATENATE("000",IFAData_TEA_1718!A657),6),3),"-",(RIGHT(RIGHT(CONCATENATE("000",IFAData_TEA_1718!A657),6),3)))</f>
        <v>057-906</v>
      </c>
      <c r="C657" t="s">
        <v>128</v>
      </c>
      <c r="D657">
        <v>9</v>
      </c>
      <c r="E657">
        <v>1752</v>
      </c>
      <c r="F657" t="s">
        <v>4473</v>
      </c>
      <c r="G657" t="s">
        <v>6437</v>
      </c>
      <c r="H657">
        <v>1796397</v>
      </c>
      <c r="I657">
        <v>48759</v>
      </c>
      <c r="J657">
        <v>4.3148755642594301E-2</v>
      </c>
      <c r="K657">
        <v>77512.295190089397</v>
      </c>
      <c r="L657">
        <v>48759</v>
      </c>
      <c r="M657">
        <v>599</v>
      </c>
    </row>
    <row r="658" spans="1:13" ht="15">
      <c r="A658" t="s">
        <v>3469</v>
      </c>
      <c r="B658" s="1040" t="str">
        <f>CONCATENATE(LEFT(RIGHT(CONCATENATE("000",IFAData_TEA_1718!A658),6),3),"-",(RIGHT(RIGHT(CONCATENATE("000",IFAData_TEA_1718!A658),6),3)))</f>
        <v>057-906</v>
      </c>
      <c r="C658" t="s">
        <v>128</v>
      </c>
      <c r="D658">
        <v>11</v>
      </c>
      <c r="E658">
        <v>2512</v>
      </c>
      <c r="F658" t="s">
        <v>8356</v>
      </c>
      <c r="G658" t="s">
        <v>8356</v>
      </c>
      <c r="H658">
        <v>1559225</v>
      </c>
      <c r="I658">
        <v>1247380</v>
      </c>
      <c r="J658">
        <v>1</v>
      </c>
      <c r="K658">
        <v>1559225</v>
      </c>
      <c r="L658">
        <v>1247380</v>
      </c>
      <c r="M658">
        <v>599</v>
      </c>
    </row>
    <row r="659" spans="1:13" ht="15">
      <c r="A659" t="s">
        <v>3470</v>
      </c>
      <c r="B659" s="1040" t="str">
        <f>CONCATENATE(LEFT(RIGHT(CONCATENATE("000",IFAData_TEA_1718!A659),6),3),"-",(RIGHT(RIGHT(CONCATENATE("000",IFAData_TEA_1718!A659),6),3)))</f>
        <v>057-909</v>
      </c>
      <c r="C659" t="s">
        <v>1482</v>
      </c>
      <c r="D659">
        <v>1</v>
      </c>
      <c r="E659">
        <v>1842</v>
      </c>
      <c r="F659" t="s">
        <v>4474</v>
      </c>
      <c r="G659" t="s">
        <v>4474</v>
      </c>
      <c r="H659">
        <v>1619723</v>
      </c>
      <c r="I659">
        <v>0</v>
      </c>
      <c r="J659">
        <v>0</v>
      </c>
      <c r="K659"/>
      <c r="L659">
        <v>0</v>
      </c>
      <c r="M659">
        <v>599</v>
      </c>
    </row>
    <row r="660" spans="1:13" ht="15">
      <c r="A660" t="s">
        <v>3470</v>
      </c>
      <c r="B660" s="1040" t="str">
        <f>CONCATENATE(LEFT(RIGHT(CONCATENATE("000",IFAData_TEA_1718!A660),6),3),"-",(RIGHT(RIGHT(CONCATENATE("000",IFAData_TEA_1718!A660),6),3)))</f>
        <v>057-909</v>
      </c>
      <c r="C660" t="s">
        <v>1482</v>
      </c>
      <c r="D660">
        <v>1</v>
      </c>
      <c r="E660">
        <v>1843</v>
      </c>
      <c r="F660" t="s">
        <v>4479</v>
      </c>
      <c r="G660" t="s">
        <v>4479</v>
      </c>
      <c r="H660">
        <v>8781971</v>
      </c>
      <c r="I660">
        <v>0</v>
      </c>
      <c r="J660">
        <v>0</v>
      </c>
      <c r="K660"/>
      <c r="L660">
        <v>0</v>
      </c>
      <c r="M660">
        <v>599</v>
      </c>
    </row>
    <row r="661" spans="1:13" ht="15">
      <c r="A661" t="s">
        <v>3470</v>
      </c>
      <c r="B661" s="1040" t="str">
        <f>CONCATENATE(LEFT(RIGHT(CONCATENATE("000",IFAData_TEA_1718!A661),6),3),"-",(RIGHT(RIGHT(CONCATENATE("000",IFAData_TEA_1718!A661),6),3)))</f>
        <v>057-909</v>
      </c>
      <c r="C661" t="s">
        <v>1482</v>
      </c>
      <c r="D661">
        <v>11</v>
      </c>
      <c r="E661">
        <v>2519</v>
      </c>
      <c r="F661" t="s">
        <v>6225</v>
      </c>
      <c r="G661" t="s">
        <v>6225</v>
      </c>
      <c r="H661">
        <v>13500244</v>
      </c>
      <c r="I661">
        <v>15176999</v>
      </c>
      <c r="J661">
        <v>1</v>
      </c>
      <c r="K661">
        <v>13500244</v>
      </c>
      <c r="L661">
        <v>13500244</v>
      </c>
      <c r="M661">
        <v>599</v>
      </c>
    </row>
    <row r="662" spans="1:13" ht="15">
      <c r="A662" t="s">
        <v>3471</v>
      </c>
      <c r="B662" s="1040" t="str">
        <f>CONCATENATE(LEFT(RIGHT(CONCATENATE("000",IFAData_TEA_1718!A662),6),3),"-",(RIGHT(RIGHT(CONCATENATE("000",IFAData_TEA_1718!A662),6),3)))</f>
        <v>057-910</v>
      </c>
      <c r="C662" t="s">
        <v>863</v>
      </c>
      <c r="D662">
        <v>5</v>
      </c>
      <c r="E662">
        <v>1854</v>
      </c>
      <c r="F662" t="s">
        <v>4480</v>
      </c>
      <c r="G662" t="s">
        <v>4480</v>
      </c>
      <c r="H662">
        <v>1848646</v>
      </c>
      <c r="I662">
        <v>0</v>
      </c>
      <c r="J662">
        <v>0</v>
      </c>
      <c r="K662"/>
      <c r="L662">
        <v>0</v>
      </c>
      <c r="M662">
        <v>599</v>
      </c>
    </row>
    <row r="663" spans="1:13" ht="15">
      <c r="A663" t="s">
        <v>3471</v>
      </c>
      <c r="B663" s="1040" t="str">
        <f>CONCATENATE(LEFT(RIGHT(CONCATENATE("000",IFAData_TEA_1718!A663),6),3),"-",(RIGHT(RIGHT(CONCATENATE("000",IFAData_TEA_1718!A663),6),3)))</f>
        <v>057-910</v>
      </c>
      <c r="C663" t="s">
        <v>863</v>
      </c>
      <c r="D663">
        <v>5</v>
      </c>
      <c r="E663">
        <v>1855</v>
      </c>
      <c r="F663" t="s">
        <v>4481</v>
      </c>
      <c r="G663" t="s">
        <v>4481</v>
      </c>
      <c r="H663">
        <v>2988473</v>
      </c>
      <c r="I663">
        <v>1113116</v>
      </c>
      <c r="J663">
        <v>0.193096739017488</v>
      </c>
      <c r="K663">
        <v>577064.39094180998</v>
      </c>
      <c r="L663">
        <v>577064.39094180998</v>
      </c>
      <c r="M663">
        <v>599</v>
      </c>
    </row>
    <row r="664" spans="1:13" ht="15">
      <c r="A664" t="s">
        <v>3471</v>
      </c>
      <c r="B664" s="1040" t="str">
        <f>CONCATENATE(LEFT(RIGHT(CONCATENATE("000",IFAData_TEA_1718!A664),6),3),"-",(RIGHT(RIGHT(CONCATENATE("000",IFAData_TEA_1718!A664),6),3)))</f>
        <v>057-910</v>
      </c>
      <c r="C664" t="s">
        <v>863</v>
      </c>
      <c r="D664">
        <v>5</v>
      </c>
      <c r="E664">
        <v>1855</v>
      </c>
      <c r="F664" t="s">
        <v>4481</v>
      </c>
      <c r="G664" t="s">
        <v>4482</v>
      </c>
      <c r="H664">
        <v>2988473</v>
      </c>
      <c r="I664">
        <v>0</v>
      </c>
      <c r="J664">
        <v>0</v>
      </c>
      <c r="K664">
        <v>0</v>
      </c>
      <c r="L664">
        <v>0</v>
      </c>
      <c r="M664">
        <v>599</v>
      </c>
    </row>
    <row r="665" spans="1:13" ht="15">
      <c r="A665" t="s">
        <v>3471</v>
      </c>
      <c r="B665" s="1040" t="str">
        <f>CONCATENATE(LEFT(RIGHT(CONCATENATE("000",IFAData_TEA_1718!A665),6),3),"-",(RIGHT(RIGHT(CONCATENATE("000",IFAData_TEA_1718!A665),6),3)))</f>
        <v>057-910</v>
      </c>
      <c r="C665" t="s">
        <v>863</v>
      </c>
      <c r="D665">
        <v>5</v>
      </c>
      <c r="E665">
        <v>1855</v>
      </c>
      <c r="F665" t="s">
        <v>4481</v>
      </c>
      <c r="G665" t="s">
        <v>4483</v>
      </c>
      <c r="H665">
        <v>2988473</v>
      </c>
      <c r="I665">
        <v>4651435</v>
      </c>
      <c r="J665">
        <v>0.80690326098251197</v>
      </c>
      <c r="K665">
        <v>2411408.6090581901</v>
      </c>
      <c r="L665">
        <v>2411408.6090581901</v>
      </c>
      <c r="M665">
        <v>599</v>
      </c>
    </row>
    <row r="666" spans="1:13" ht="15">
      <c r="A666" t="s">
        <v>3471</v>
      </c>
      <c r="B666" s="1040" t="str">
        <f>CONCATENATE(LEFT(RIGHT(CONCATENATE("000",IFAData_TEA_1718!A666),6),3),"-",(RIGHT(RIGHT(CONCATENATE("000",IFAData_TEA_1718!A666),6),3)))</f>
        <v>057-910</v>
      </c>
      <c r="C666" t="s">
        <v>863</v>
      </c>
      <c r="D666">
        <v>9</v>
      </c>
      <c r="E666">
        <v>1856</v>
      </c>
      <c r="F666" t="s">
        <v>4484</v>
      </c>
      <c r="G666" t="s">
        <v>4484</v>
      </c>
      <c r="H666">
        <v>5871653</v>
      </c>
      <c r="I666">
        <v>0</v>
      </c>
      <c r="J666">
        <v>0</v>
      </c>
      <c r="K666">
        <v>0</v>
      </c>
      <c r="L666">
        <v>0</v>
      </c>
      <c r="M666">
        <v>599</v>
      </c>
    </row>
    <row r="667" spans="1:13" ht="15">
      <c r="A667" t="s">
        <v>3471</v>
      </c>
      <c r="B667" s="1040" t="str">
        <f>CONCATENATE(LEFT(RIGHT(CONCATENATE("000",IFAData_TEA_1718!A667),6),3),"-",(RIGHT(RIGHT(CONCATENATE("000",IFAData_TEA_1718!A667),6),3)))</f>
        <v>057-910</v>
      </c>
      <c r="C667" t="s">
        <v>863</v>
      </c>
      <c r="D667">
        <v>9</v>
      </c>
      <c r="E667">
        <v>1856</v>
      </c>
      <c r="F667" t="s">
        <v>4484</v>
      </c>
      <c r="G667" t="s">
        <v>6226</v>
      </c>
      <c r="H667">
        <v>5871653</v>
      </c>
      <c r="I667">
        <v>7072430</v>
      </c>
      <c r="J667">
        <v>1</v>
      </c>
      <c r="K667">
        <v>5871653</v>
      </c>
      <c r="L667">
        <v>5871653</v>
      </c>
      <c r="M667">
        <v>599</v>
      </c>
    </row>
    <row r="668" spans="1:13" ht="15">
      <c r="A668" t="s">
        <v>3471</v>
      </c>
      <c r="B668" s="1040" t="str">
        <f>CONCATENATE(LEFT(RIGHT(CONCATENATE("000",IFAData_TEA_1718!A668),6),3),"-",(RIGHT(RIGHT(CONCATENATE("000",IFAData_TEA_1718!A668),6),3)))</f>
        <v>057-910</v>
      </c>
      <c r="C668" t="s">
        <v>863</v>
      </c>
      <c r="D668">
        <v>11</v>
      </c>
      <c r="E668">
        <v>2491</v>
      </c>
      <c r="F668" t="s">
        <v>8357</v>
      </c>
      <c r="G668" t="s">
        <v>8357</v>
      </c>
      <c r="H668">
        <v>318311</v>
      </c>
      <c r="I668">
        <v>688850</v>
      </c>
      <c r="J668">
        <v>1</v>
      </c>
      <c r="K668">
        <v>318311</v>
      </c>
      <c r="L668">
        <v>318311</v>
      </c>
      <c r="M668">
        <v>599</v>
      </c>
    </row>
    <row r="669" spans="1:13" ht="15">
      <c r="A669" t="s">
        <v>3471</v>
      </c>
      <c r="B669" s="1040" t="str">
        <f>CONCATENATE(LEFT(RIGHT(CONCATENATE("000",IFAData_TEA_1718!A669),6),3),"-",(RIGHT(RIGHT(CONCATENATE("000",IFAData_TEA_1718!A669),6),3)))</f>
        <v>057-910</v>
      </c>
      <c r="C669" t="s">
        <v>863</v>
      </c>
      <c r="D669">
        <v>11</v>
      </c>
      <c r="E669">
        <v>2492</v>
      </c>
      <c r="F669" t="s">
        <v>8358</v>
      </c>
      <c r="G669" t="s">
        <v>8358</v>
      </c>
      <c r="H669">
        <v>1071200</v>
      </c>
      <c r="I669">
        <v>1080175</v>
      </c>
      <c r="J669">
        <v>1</v>
      </c>
      <c r="K669">
        <v>1071200</v>
      </c>
      <c r="L669">
        <v>1071200</v>
      </c>
      <c r="M669">
        <v>599</v>
      </c>
    </row>
    <row r="670" spans="1:13" ht="15">
      <c r="A670" t="s">
        <v>3471</v>
      </c>
      <c r="B670" s="1040" t="str">
        <f>CONCATENATE(LEFT(RIGHT(CONCATENATE("000",IFAData_TEA_1718!A670),6),3),"-",(RIGHT(RIGHT(CONCATENATE("000",IFAData_TEA_1718!A670),6),3)))</f>
        <v>057-910</v>
      </c>
      <c r="C670" t="s">
        <v>863</v>
      </c>
      <c r="D670">
        <v>11</v>
      </c>
      <c r="E670">
        <v>2592</v>
      </c>
      <c r="F670" t="s">
        <v>8359</v>
      </c>
      <c r="G670" t="s">
        <v>8359</v>
      </c>
      <c r="H670">
        <v>5384850</v>
      </c>
      <c r="I670">
        <v>5025150</v>
      </c>
      <c r="J670">
        <v>1</v>
      </c>
      <c r="K670">
        <v>5384850</v>
      </c>
      <c r="L670">
        <v>5025150</v>
      </c>
      <c r="M670">
        <v>599</v>
      </c>
    </row>
    <row r="671" spans="1:13" ht="15">
      <c r="A671" t="s">
        <v>3472</v>
      </c>
      <c r="B671" s="1040" t="str">
        <f>CONCATENATE(LEFT(RIGHT(CONCATENATE("000",IFAData_TEA_1718!A671),6),3),"-",(RIGHT(RIGHT(CONCATENATE("000",IFAData_TEA_1718!A671),6),3)))</f>
        <v>057-912</v>
      </c>
      <c r="C671" t="s">
        <v>1269</v>
      </c>
      <c r="D671">
        <v>2</v>
      </c>
      <c r="E671">
        <v>1929</v>
      </c>
      <c r="F671" t="s">
        <v>4485</v>
      </c>
      <c r="G671" t="s">
        <v>4485</v>
      </c>
      <c r="H671">
        <v>6225000</v>
      </c>
      <c r="I671">
        <v>0</v>
      </c>
      <c r="J671">
        <v>0</v>
      </c>
      <c r="K671">
        <v>0</v>
      </c>
      <c r="L671">
        <v>0</v>
      </c>
      <c r="M671">
        <v>599</v>
      </c>
    </row>
    <row r="672" spans="1:13" ht="15">
      <c r="A672" t="s">
        <v>3472</v>
      </c>
      <c r="B672" s="1040" t="str">
        <f>CONCATENATE(LEFT(RIGHT(CONCATENATE("000",IFAData_TEA_1718!A672),6),3),"-",(RIGHT(RIGHT(CONCATENATE("000",IFAData_TEA_1718!A672),6),3)))</f>
        <v>057-912</v>
      </c>
      <c r="C672" t="s">
        <v>1269</v>
      </c>
      <c r="D672">
        <v>2</v>
      </c>
      <c r="E672">
        <v>1929</v>
      </c>
      <c r="F672" t="s">
        <v>4485</v>
      </c>
      <c r="G672" t="s">
        <v>4486</v>
      </c>
      <c r="H672">
        <v>6225000</v>
      </c>
      <c r="I672">
        <v>0</v>
      </c>
      <c r="J672">
        <v>0</v>
      </c>
      <c r="K672">
        <v>0</v>
      </c>
      <c r="L672">
        <v>0</v>
      </c>
      <c r="M672">
        <v>599</v>
      </c>
    </row>
    <row r="673" spans="1:13" ht="15">
      <c r="A673" t="s">
        <v>3472</v>
      </c>
      <c r="B673" s="1040" t="str">
        <f>CONCATENATE(LEFT(RIGHT(CONCATENATE("000",IFAData_TEA_1718!A673),6),3),"-",(RIGHT(RIGHT(CONCATENATE("000",IFAData_TEA_1718!A673),6),3)))</f>
        <v>057-912</v>
      </c>
      <c r="C673" t="s">
        <v>1269</v>
      </c>
      <c r="D673">
        <v>2</v>
      </c>
      <c r="E673">
        <v>1929</v>
      </c>
      <c r="F673" t="s">
        <v>4485</v>
      </c>
      <c r="G673" t="s">
        <v>4487</v>
      </c>
      <c r="H673">
        <v>6225000</v>
      </c>
      <c r="I673">
        <v>0</v>
      </c>
      <c r="J673">
        <v>0</v>
      </c>
      <c r="K673">
        <v>0</v>
      </c>
      <c r="L673">
        <v>0</v>
      </c>
      <c r="M673">
        <v>599</v>
      </c>
    </row>
    <row r="674" spans="1:13" ht="15">
      <c r="A674" t="s">
        <v>3472</v>
      </c>
      <c r="B674" s="1040" t="str">
        <f>CONCATENATE(LEFT(RIGHT(CONCATENATE("000",IFAData_TEA_1718!A674),6),3),"-",(RIGHT(RIGHT(CONCATENATE("000",IFAData_TEA_1718!A674),6),3)))</f>
        <v>057-912</v>
      </c>
      <c r="C674" t="s">
        <v>1269</v>
      </c>
      <c r="D674">
        <v>2</v>
      </c>
      <c r="E674">
        <v>1929</v>
      </c>
      <c r="F674" t="s">
        <v>4485</v>
      </c>
      <c r="G674" t="s">
        <v>4488</v>
      </c>
      <c r="H674">
        <v>6225000</v>
      </c>
      <c r="I674">
        <v>0</v>
      </c>
      <c r="J674">
        <v>0</v>
      </c>
      <c r="K674">
        <v>0</v>
      </c>
      <c r="L674">
        <v>0</v>
      </c>
      <c r="M674">
        <v>599</v>
      </c>
    </row>
    <row r="675" spans="1:13" ht="15">
      <c r="A675" t="s">
        <v>3472</v>
      </c>
      <c r="B675" s="1040" t="str">
        <f>CONCATENATE(LEFT(RIGHT(CONCATENATE("000",IFAData_TEA_1718!A675),6),3),"-",(RIGHT(RIGHT(CONCATENATE("000",IFAData_TEA_1718!A675),6),3)))</f>
        <v>057-912</v>
      </c>
      <c r="C675" t="s">
        <v>1269</v>
      </c>
      <c r="D675">
        <v>2</v>
      </c>
      <c r="E675">
        <v>1929</v>
      </c>
      <c r="F675" t="s">
        <v>4485</v>
      </c>
      <c r="G675" t="s">
        <v>4489</v>
      </c>
      <c r="H675">
        <v>6225000</v>
      </c>
      <c r="I675">
        <v>1536581</v>
      </c>
      <c r="J675">
        <v>0.177100851111159</v>
      </c>
      <c r="K675">
        <v>1102452.79816696</v>
      </c>
      <c r="L675">
        <v>1102452.79816696</v>
      </c>
      <c r="M675">
        <v>599</v>
      </c>
    </row>
    <row r="676" spans="1:13" ht="15">
      <c r="A676" t="s">
        <v>3472</v>
      </c>
      <c r="B676" s="1040" t="str">
        <f>CONCATENATE(LEFT(RIGHT(CONCATENATE("000",IFAData_TEA_1718!A676),6),3),"-",(RIGHT(RIGHT(CONCATENATE("000",IFAData_TEA_1718!A676),6),3)))</f>
        <v>057-912</v>
      </c>
      <c r="C676" t="s">
        <v>1269</v>
      </c>
      <c r="D676">
        <v>2</v>
      </c>
      <c r="E676">
        <v>1929</v>
      </c>
      <c r="F676" t="s">
        <v>4485</v>
      </c>
      <c r="G676" t="s">
        <v>4490</v>
      </c>
      <c r="H676">
        <v>6225000</v>
      </c>
      <c r="I676">
        <v>5375116</v>
      </c>
      <c r="J676">
        <v>0.61951671823431798</v>
      </c>
      <c r="K676">
        <v>3856491.5710086301</v>
      </c>
      <c r="L676">
        <v>3856491.5710086301</v>
      </c>
      <c r="M676">
        <v>599</v>
      </c>
    </row>
    <row r="677" spans="1:13" ht="15">
      <c r="A677" t="s">
        <v>3472</v>
      </c>
      <c r="B677" s="1040" t="str">
        <f>CONCATENATE(LEFT(RIGHT(CONCATENATE("000",IFAData_TEA_1718!A677),6),3),"-",(RIGHT(RIGHT(CONCATENATE("000",IFAData_TEA_1718!A677),6),3)))</f>
        <v>057-912</v>
      </c>
      <c r="C677" t="s">
        <v>1269</v>
      </c>
      <c r="D677">
        <v>2</v>
      </c>
      <c r="E677">
        <v>1929</v>
      </c>
      <c r="F677" t="s">
        <v>4485</v>
      </c>
      <c r="G677" t="s">
        <v>6227</v>
      </c>
      <c r="H677">
        <v>6225000</v>
      </c>
      <c r="I677">
        <v>194672</v>
      </c>
      <c r="J677">
        <v>2.2437201089634401E-2</v>
      </c>
      <c r="K677">
        <v>139671.57678297401</v>
      </c>
      <c r="L677">
        <v>139671.57678297401</v>
      </c>
      <c r="M677">
        <v>599</v>
      </c>
    </row>
    <row r="678" spans="1:13" ht="15">
      <c r="A678" t="s">
        <v>3472</v>
      </c>
      <c r="B678" s="1040" t="str">
        <f>CONCATENATE(LEFT(RIGHT(CONCATENATE("000",IFAData_TEA_1718!A678),6),3),"-",(RIGHT(RIGHT(CONCATENATE("000",IFAData_TEA_1718!A678),6),3)))</f>
        <v>057-912</v>
      </c>
      <c r="C678" t="s">
        <v>1269</v>
      </c>
      <c r="D678">
        <v>2</v>
      </c>
      <c r="E678">
        <v>1929</v>
      </c>
      <c r="F678" t="s">
        <v>4485</v>
      </c>
      <c r="G678" t="s">
        <v>6439</v>
      </c>
      <c r="H678">
        <v>6225000</v>
      </c>
      <c r="I678">
        <v>1569936</v>
      </c>
      <c r="J678">
        <v>0.18094522956489001</v>
      </c>
      <c r="K678">
        <v>1126384.0540414399</v>
      </c>
      <c r="L678">
        <v>1126384.0540414399</v>
      </c>
      <c r="M678">
        <v>599</v>
      </c>
    </row>
    <row r="679" spans="1:13" ht="15">
      <c r="A679" t="s">
        <v>3472</v>
      </c>
      <c r="B679" s="1040" t="str">
        <f>CONCATENATE(LEFT(RIGHT(CONCATENATE("000",IFAData_TEA_1718!A679),6),3),"-",(RIGHT(RIGHT(CONCATENATE("000",IFAData_TEA_1718!A679),6),3)))</f>
        <v>057-912</v>
      </c>
      <c r="C679" t="s">
        <v>1269</v>
      </c>
      <c r="D679">
        <v>9</v>
      </c>
      <c r="E679">
        <v>1928</v>
      </c>
      <c r="F679" t="s">
        <v>4491</v>
      </c>
      <c r="G679" t="s">
        <v>4491</v>
      </c>
      <c r="H679">
        <v>4239880</v>
      </c>
      <c r="I679">
        <v>1995227</v>
      </c>
      <c r="J679">
        <v>0.43711841384598499</v>
      </c>
      <c r="K679">
        <v>1853329.6204973201</v>
      </c>
      <c r="L679">
        <v>1853329.6204973201</v>
      </c>
      <c r="M679">
        <v>599</v>
      </c>
    </row>
    <row r="680" spans="1:13" ht="15">
      <c r="A680" t="s">
        <v>3472</v>
      </c>
      <c r="B680" s="1040" t="str">
        <f>CONCATENATE(LEFT(RIGHT(CONCATENATE("000",IFAData_TEA_1718!A680),6),3),"-",(RIGHT(RIGHT(CONCATENATE("000",IFAData_TEA_1718!A680),6),3)))</f>
        <v>057-912</v>
      </c>
      <c r="C680" t="s">
        <v>1269</v>
      </c>
      <c r="D680">
        <v>9</v>
      </c>
      <c r="E680">
        <v>1928</v>
      </c>
      <c r="F680" t="s">
        <v>4491</v>
      </c>
      <c r="G680" t="s">
        <v>6227</v>
      </c>
      <c r="H680">
        <v>4239880</v>
      </c>
      <c r="I680">
        <v>1494205</v>
      </c>
      <c r="J680">
        <v>0.327353488881586</v>
      </c>
      <c r="K680">
        <v>1387939.5104392599</v>
      </c>
      <c r="L680">
        <v>1387939.5104392599</v>
      </c>
      <c r="M680">
        <v>599</v>
      </c>
    </row>
    <row r="681" spans="1:13" ht="15">
      <c r="A681" t="s">
        <v>3472</v>
      </c>
      <c r="B681" s="1040" t="str">
        <f>CONCATENATE(LEFT(RIGHT(CONCATENATE("000",IFAData_TEA_1718!A681),6),3),"-",(RIGHT(RIGHT(CONCATENATE("000",IFAData_TEA_1718!A681),6),3)))</f>
        <v>057-912</v>
      </c>
      <c r="C681" t="s">
        <v>1269</v>
      </c>
      <c r="D681">
        <v>9</v>
      </c>
      <c r="E681">
        <v>1928</v>
      </c>
      <c r="F681" t="s">
        <v>4491</v>
      </c>
      <c r="G681" t="s">
        <v>6438</v>
      </c>
      <c r="H681">
        <v>4239880</v>
      </c>
      <c r="I681">
        <v>1075068</v>
      </c>
      <c r="J681">
        <v>0.23552809727242899</v>
      </c>
      <c r="K681">
        <v>998610.86906342395</v>
      </c>
      <c r="L681">
        <v>998610.86906342395</v>
      </c>
      <c r="M681">
        <v>599</v>
      </c>
    </row>
    <row r="682" spans="1:13" ht="15">
      <c r="A682" t="s">
        <v>3472</v>
      </c>
      <c r="B682" s="1040" t="str">
        <f>CONCATENATE(LEFT(RIGHT(CONCATENATE("000",IFAData_TEA_1718!A682),6),3),"-",(RIGHT(RIGHT(CONCATENATE("000",IFAData_TEA_1718!A682),6),3)))</f>
        <v>057-912</v>
      </c>
      <c r="C682" t="s">
        <v>1269</v>
      </c>
      <c r="D682">
        <v>10</v>
      </c>
      <c r="E682">
        <v>1927</v>
      </c>
      <c r="F682" t="s">
        <v>4492</v>
      </c>
      <c r="G682" t="s">
        <v>4492</v>
      </c>
      <c r="H682">
        <v>3568037</v>
      </c>
      <c r="I682">
        <v>1867387</v>
      </c>
      <c r="J682">
        <v>0.54525368459041701</v>
      </c>
      <c r="K682">
        <v>1945485.32100494</v>
      </c>
      <c r="L682">
        <v>1867387</v>
      </c>
      <c r="M682">
        <v>599</v>
      </c>
    </row>
    <row r="683" spans="1:13" ht="15">
      <c r="A683" t="s">
        <v>3472</v>
      </c>
      <c r="B683" s="1040" t="str">
        <f>CONCATENATE(LEFT(RIGHT(CONCATENATE("000",IFAData_TEA_1718!A683),6),3),"-",(RIGHT(RIGHT(CONCATENATE("000",IFAData_TEA_1718!A683),6),3)))</f>
        <v>057-912</v>
      </c>
      <c r="C683" t="s">
        <v>1269</v>
      </c>
      <c r="D683">
        <v>10</v>
      </c>
      <c r="E683">
        <v>1927</v>
      </c>
      <c r="F683" t="s">
        <v>4492</v>
      </c>
      <c r="G683" t="s">
        <v>6438</v>
      </c>
      <c r="H683">
        <v>3568037</v>
      </c>
      <c r="I683">
        <v>1557417</v>
      </c>
      <c r="J683">
        <v>0.45474631540958299</v>
      </c>
      <c r="K683">
        <v>1622551.67899506</v>
      </c>
      <c r="L683">
        <v>1557417</v>
      </c>
      <c r="M683">
        <v>599</v>
      </c>
    </row>
    <row r="684" spans="1:13" ht="15">
      <c r="A684" t="s">
        <v>3472</v>
      </c>
      <c r="B684" s="1040" t="str">
        <f>CONCATENATE(LEFT(RIGHT(CONCATENATE("000",IFAData_TEA_1718!A684),6),3),"-",(RIGHT(RIGHT(CONCATENATE("000",IFAData_TEA_1718!A684),6),3)))</f>
        <v>057-912</v>
      </c>
      <c r="C684" t="s">
        <v>1269</v>
      </c>
      <c r="D684">
        <v>10</v>
      </c>
      <c r="E684">
        <v>1925</v>
      </c>
      <c r="F684" t="s">
        <v>4493</v>
      </c>
      <c r="G684" t="s">
        <v>4493</v>
      </c>
      <c r="H684">
        <v>223714</v>
      </c>
      <c r="I684">
        <v>222179</v>
      </c>
      <c r="J684">
        <v>1</v>
      </c>
      <c r="K684">
        <v>223714</v>
      </c>
      <c r="L684">
        <v>222179</v>
      </c>
      <c r="M684">
        <v>599</v>
      </c>
    </row>
    <row r="685" spans="1:13" ht="15">
      <c r="A685" t="s">
        <v>3472</v>
      </c>
      <c r="B685" s="1040" t="str">
        <f>CONCATENATE(LEFT(RIGHT(CONCATENATE("000",IFAData_TEA_1718!A685),6),3),"-",(RIGHT(RIGHT(CONCATENATE("000",IFAData_TEA_1718!A685),6),3)))</f>
        <v>057-912</v>
      </c>
      <c r="C685" t="s">
        <v>1269</v>
      </c>
      <c r="D685">
        <v>10</v>
      </c>
      <c r="E685">
        <v>1926</v>
      </c>
      <c r="F685" t="s">
        <v>4494</v>
      </c>
      <c r="G685" t="s">
        <v>4494</v>
      </c>
      <c r="H685">
        <v>1178718</v>
      </c>
      <c r="I685">
        <v>1301639</v>
      </c>
      <c r="J685">
        <v>1</v>
      </c>
      <c r="K685">
        <v>1178718</v>
      </c>
      <c r="L685">
        <v>1178718</v>
      </c>
      <c r="M685">
        <v>599</v>
      </c>
    </row>
    <row r="686" spans="1:13" ht="15">
      <c r="A686" t="s">
        <v>5826</v>
      </c>
      <c r="B686" s="1040" t="str">
        <f>CONCATENATE(LEFT(RIGHT(CONCATENATE("000",IFAData_TEA_1718!A686),6),3),"-",(RIGHT(RIGHT(CONCATENATE("000",IFAData_TEA_1718!A686),6),3)))</f>
        <v>057-913</v>
      </c>
      <c r="C686" t="s">
        <v>131</v>
      </c>
      <c r="D686">
        <v>11</v>
      </c>
      <c r="E686">
        <v>2510</v>
      </c>
      <c r="F686" t="s">
        <v>8360</v>
      </c>
      <c r="G686" t="s">
        <v>8360</v>
      </c>
      <c r="H686">
        <v>1673781</v>
      </c>
      <c r="I686">
        <v>2522288</v>
      </c>
      <c r="J686">
        <v>1</v>
      </c>
      <c r="K686">
        <v>1673781</v>
      </c>
      <c r="L686">
        <v>1673781</v>
      </c>
      <c r="M686">
        <v>599</v>
      </c>
    </row>
    <row r="687" spans="1:13" ht="15">
      <c r="A687" t="s">
        <v>3473</v>
      </c>
      <c r="B687" s="1040" t="str">
        <f>CONCATENATE(LEFT(RIGHT(CONCATENATE("000",IFAData_TEA_1718!A687),6),3),"-",(RIGHT(RIGHT(CONCATENATE("000",IFAData_TEA_1718!A687),6),3)))</f>
        <v>057-914</v>
      </c>
      <c r="C687" t="s">
        <v>2235</v>
      </c>
      <c r="D687">
        <v>1</v>
      </c>
      <c r="E687">
        <v>2097</v>
      </c>
      <c r="F687" t="s">
        <v>4495</v>
      </c>
      <c r="G687" t="s">
        <v>4495</v>
      </c>
      <c r="H687">
        <v>838538</v>
      </c>
      <c r="I687">
        <v>0</v>
      </c>
      <c r="J687">
        <v>0</v>
      </c>
      <c r="K687"/>
      <c r="L687">
        <v>0</v>
      </c>
      <c r="M687">
        <v>599</v>
      </c>
    </row>
    <row r="688" spans="1:13" ht="15">
      <c r="A688" t="s">
        <v>3473</v>
      </c>
      <c r="B688" s="1040" t="str">
        <f>CONCATENATE(LEFT(RIGHT(CONCATENATE("000",IFAData_TEA_1718!A688),6),3),"-",(RIGHT(RIGHT(CONCATENATE("000",IFAData_TEA_1718!A688),6),3)))</f>
        <v>057-914</v>
      </c>
      <c r="C688" t="s">
        <v>2235</v>
      </c>
      <c r="D688">
        <v>1</v>
      </c>
      <c r="E688">
        <v>2102</v>
      </c>
      <c r="F688" t="s">
        <v>4500</v>
      </c>
      <c r="G688" t="s">
        <v>4500</v>
      </c>
      <c r="H688">
        <v>5978212</v>
      </c>
      <c r="I688">
        <v>0</v>
      </c>
      <c r="J688">
        <v>0</v>
      </c>
      <c r="K688"/>
      <c r="L688">
        <v>0</v>
      </c>
      <c r="M688">
        <v>599</v>
      </c>
    </row>
    <row r="689" spans="1:13" ht="15">
      <c r="A689" t="s">
        <v>3473</v>
      </c>
      <c r="B689" s="1040" t="str">
        <f>CONCATENATE(LEFT(RIGHT(CONCATENATE("000",IFAData_TEA_1718!A689),6),3),"-",(RIGHT(RIGHT(CONCATENATE("000",IFAData_TEA_1718!A689),6),3)))</f>
        <v>057-914</v>
      </c>
      <c r="C689" t="s">
        <v>2235</v>
      </c>
      <c r="D689">
        <v>5</v>
      </c>
      <c r="E689">
        <v>2096</v>
      </c>
      <c r="F689" t="s">
        <v>4503</v>
      </c>
      <c r="G689" t="s">
        <v>4503</v>
      </c>
      <c r="H689">
        <v>684105</v>
      </c>
      <c r="I689">
        <v>0</v>
      </c>
      <c r="J689">
        <v>0</v>
      </c>
      <c r="K689">
        <v>0</v>
      </c>
      <c r="L689">
        <v>0</v>
      </c>
      <c r="M689">
        <v>599</v>
      </c>
    </row>
    <row r="690" spans="1:13" ht="15">
      <c r="A690" t="s">
        <v>3473</v>
      </c>
      <c r="B690" s="1040" t="str">
        <f>CONCATENATE(LEFT(RIGHT(CONCATENATE("000",IFAData_TEA_1718!A690),6),3),"-",(RIGHT(RIGHT(CONCATENATE("000",IFAData_TEA_1718!A690),6),3)))</f>
        <v>057-914</v>
      </c>
      <c r="C690" t="s">
        <v>2235</v>
      </c>
      <c r="D690">
        <v>5</v>
      </c>
      <c r="E690">
        <v>2096</v>
      </c>
      <c r="F690" t="s">
        <v>4503</v>
      </c>
      <c r="G690" t="s">
        <v>4504</v>
      </c>
      <c r="H690">
        <v>684105</v>
      </c>
      <c r="I690">
        <v>642963</v>
      </c>
      <c r="J690">
        <v>1</v>
      </c>
      <c r="K690">
        <v>684105</v>
      </c>
      <c r="L690">
        <v>642963</v>
      </c>
      <c r="M690">
        <v>599</v>
      </c>
    </row>
    <row r="691" spans="1:13" ht="15">
      <c r="A691" t="s">
        <v>3473</v>
      </c>
      <c r="B691" s="1040" t="str">
        <f>CONCATENATE(LEFT(RIGHT(CONCATENATE("000",IFAData_TEA_1718!A691),6),3),"-",(RIGHT(RIGHT(CONCATENATE("000",IFAData_TEA_1718!A691),6),3)))</f>
        <v>057-914</v>
      </c>
      <c r="C691" t="s">
        <v>2235</v>
      </c>
      <c r="D691">
        <v>6</v>
      </c>
      <c r="E691">
        <v>2101</v>
      </c>
      <c r="F691" t="s">
        <v>4505</v>
      </c>
      <c r="G691" t="s">
        <v>4505</v>
      </c>
      <c r="H691">
        <v>3859835</v>
      </c>
      <c r="I691">
        <v>0</v>
      </c>
      <c r="J691">
        <v>0</v>
      </c>
      <c r="K691">
        <v>0</v>
      </c>
      <c r="L691">
        <v>0</v>
      </c>
      <c r="M691">
        <v>599</v>
      </c>
    </row>
    <row r="692" spans="1:13" ht="15">
      <c r="A692" t="s">
        <v>3473</v>
      </c>
      <c r="B692" s="1040" t="str">
        <f>CONCATENATE(LEFT(RIGHT(CONCATENATE("000",IFAData_TEA_1718!A692),6),3),"-",(RIGHT(RIGHT(CONCATENATE("000",IFAData_TEA_1718!A692),6),3)))</f>
        <v>057-914</v>
      </c>
      <c r="C692" t="s">
        <v>2235</v>
      </c>
      <c r="D692">
        <v>6</v>
      </c>
      <c r="E692">
        <v>2101</v>
      </c>
      <c r="F692" t="s">
        <v>4505</v>
      </c>
      <c r="G692" t="s">
        <v>4501</v>
      </c>
      <c r="H692">
        <v>3859835</v>
      </c>
      <c r="I692">
        <v>2399341</v>
      </c>
      <c r="J692">
        <v>0.46799753609642097</v>
      </c>
      <c r="K692">
        <v>1806393.26973873</v>
      </c>
      <c r="L692">
        <v>1806393.26973873</v>
      </c>
      <c r="M692">
        <v>599</v>
      </c>
    </row>
    <row r="693" spans="1:13" ht="15">
      <c r="A693" t="s">
        <v>3473</v>
      </c>
      <c r="B693" s="1040" t="str">
        <f>CONCATENATE(LEFT(RIGHT(CONCATENATE("000",IFAData_TEA_1718!A693),6),3),"-",(RIGHT(RIGHT(CONCATENATE("000",IFAData_TEA_1718!A693),6),3)))</f>
        <v>057-914</v>
      </c>
      <c r="C693" t="s">
        <v>2235</v>
      </c>
      <c r="D693">
        <v>6</v>
      </c>
      <c r="E693">
        <v>2101</v>
      </c>
      <c r="F693" t="s">
        <v>4505</v>
      </c>
      <c r="G693" t="s">
        <v>4502</v>
      </c>
      <c r="H693">
        <v>3859835</v>
      </c>
      <c r="I693">
        <v>0</v>
      </c>
      <c r="J693">
        <v>0</v>
      </c>
      <c r="K693">
        <v>0</v>
      </c>
      <c r="L693">
        <v>0</v>
      </c>
      <c r="M693">
        <v>599</v>
      </c>
    </row>
    <row r="694" spans="1:13" ht="15">
      <c r="A694" t="s">
        <v>3473</v>
      </c>
      <c r="B694" s="1040" t="str">
        <f>CONCATENATE(LEFT(RIGHT(CONCATENATE("000",IFAData_TEA_1718!A694),6),3),"-",(RIGHT(RIGHT(CONCATENATE("000",IFAData_TEA_1718!A694),6),3)))</f>
        <v>057-914</v>
      </c>
      <c r="C694" t="s">
        <v>2235</v>
      </c>
      <c r="D694">
        <v>6</v>
      </c>
      <c r="E694">
        <v>2101</v>
      </c>
      <c r="F694" t="s">
        <v>4505</v>
      </c>
      <c r="G694" t="s">
        <v>4504</v>
      </c>
      <c r="H694">
        <v>3859835</v>
      </c>
      <c r="I694">
        <v>1380448</v>
      </c>
      <c r="J694">
        <v>0.26925987707009302</v>
      </c>
      <c r="K694">
        <v>1039298.69761084</v>
      </c>
      <c r="L694">
        <v>1039298.69761084</v>
      </c>
      <c r="M694">
        <v>599</v>
      </c>
    </row>
    <row r="695" spans="1:13" ht="15">
      <c r="A695" t="s">
        <v>3473</v>
      </c>
      <c r="B695" s="1040" t="str">
        <f>CONCATENATE(LEFT(RIGHT(CONCATENATE("000",IFAData_TEA_1718!A695),6),3),"-",(RIGHT(RIGHT(CONCATENATE("000",IFAData_TEA_1718!A695),6),3)))</f>
        <v>057-914</v>
      </c>
      <c r="C695" t="s">
        <v>2235</v>
      </c>
      <c r="D695">
        <v>6</v>
      </c>
      <c r="E695">
        <v>2101</v>
      </c>
      <c r="F695" t="s">
        <v>4505</v>
      </c>
      <c r="G695" t="s">
        <v>4499</v>
      </c>
      <c r="H695">
        <v>3859835</v>
      </c>
      <c r="I695">
        <v>948568</v>
      </c>
      <c r="J695">
        <v>0.18502058974523</v>
      </c>
      <c r="K695">
        <v>714148.94801928103</v>
      </c>
      <c r="L695">
        <v>714148.94801928103</v>
      </c>
      <c r="M695">
        <v>599</v>
      </c>
    </row>
    <row r="696" spans="1:13" ht="15">
      <c r="A696" t="s">
        <v>3473</v>
      </c>
      <c r="B696" s="1040" t="str">
        <f>CONCATENATE(LEFT(RIGHT(CONCATENATE("000",IFAData_TEA_1718!A696),6),3),"-",(RIGHT(RIGHT(CONCATENATE("000",IFAData_TEA_1718!A696),6),3)))</f>
        <v>057-914</v>
      </c>
      <c r="C696" t="s">
        <v>2235</v>
      </c>
      <c r="D696">
        <v>6</v>
      </c>
      <c r="E696">
        <v>2101</v>
      </c>
      <c r="F696" t="s">
        <v>4505</v>
      </c>
      <c r="G696" t="s">
        <v>6228</v>
      </c>
      <c r="H696">
        <v>3859835</v>
      </c>
      <c r="I696">
        <v>275535</v>
      </c>
      <c r="J696">
        <v>5.3743799280022098E-2</v>
      </c>
      <c r="K696">
        <v>207442.19749400401</v>
      </c>
      <c r="L696">
        <v>207442.19749400401</v>
      </c>
      <c r="M696">
        <v>599</v>
      </c>
    </row>
    <row r="697" spans="1:13" ht="15">
      <c r="A697" t="s">
        <v>3473</v>
      </c>
      <c r="B697" s="1040" t="str">
        <f>CONCATENATE(LEFT(RIGHT(CONCATENATE("000",IFAData_TEA_1718!A697),6),3),"-",(RIGHT(RIGHT(CONCATENATE("000",IFAData_TEA_1718!A697),6),3)))</f>
        <v>057-914</v>
      </c>
      <c r="C697" t="s">
        <v>2235</v>
      </c>
      <c r="D697">
        <v>6</v>
      </c>
      <c r="E697">
        <v>2101</v>
      </c>
      <c r="F697" t="s">
        <v>4505</v>
      </c>
      <c r="G697" t="s">
        <v>8361</v>
      </c>
      <c r="H697">
        <v>3859835</v>
      </c>
      <c r="I697">
        <v>122932</v>
      </c>
      <c r="J697">
        <v>2.3978197808233698E-2</v>
      </c>
      <c r="K697">
        <v>92551.8871371438</v>
      </c>
      <c r="L697">
        <v>92551.8871371438</v>
      </c>
      <c r="M697">
        <v>599</v>
      </c>
    </row>
    <row r="698" spans="1:13" ht="15">
      <c r="A698" t="s">
        <v>3473</v>
      </c>
      <c r="B698" s="1040" t="str">
        <f>CONCATENATE(LEFT(RIGHT(CONCATENATE("000",IFAData_TEA_1718!A698),6),3),"-",(RIGHT(RIGHT(CONCATENATE("000",IFAData_TEA_1718!A698),6),3)))</f>
        <v>057-914</v>
      </c>
      <c r="C698" t="s">
        <v>2235</v>
      </c>
      <c r="D698">
        <v>9</v>
      </c>
      <c r="E698">
        <v>2100</v>
      </c>
      <c r="F698" t="s">
        <v>4502</v>
      </c>
      <c r="G698" t="s">
        <v>4502</v>
      </c>
      <c r="H698">
        <v>3273731</v>
      </c>
      <c r="I698">
        <v>4814510</v>
      </c>
      <c r="J698">
        <v>0.69891790979775004</v>
      </c>
      <c r="K698">
        <v>2288069.2277600998</v>
      </c>
      <c r="L698">
        <v>2288069.2277600998</v>
      </c>
      <c r="M698">
        <v>599</v>
      </c>
    </row>
    <row r="699" spans="1:13" ht="15">
      <c r="A699" t="s">
        <v>3473</v>
      </c>
      <c r="B699" s="1040" t="str">
        <f>CONCATENATE(LEFT(RIGHT(CONCATENATE("000",IFAData_TEA_1718!A699),6),3),"-",(RIGHT(RIGHT(CONCATENATE("000",IFAData_TEA_1718!A699),6),3)))</f>
        <v>057-914</v>
      </c>
      <c r="C699" t="s">
        <v>2235</v>
      </c>
      <c r="D699">
        <v>9</v>
      </c>
      <c r="E699">
        <v>2100</v>
      </c>
      <c r="F699" t="s">
        <v>4502</v>
      </c>
      <c r="G699" t="s">
        <v>6228</v>
      </c>
      <c r="H699">
        <v>3273731</v>
      </c>
      <c r="I699">
        <v>1429450</v>
      </c>
      <c r="J699">
        <v>0.20751191838014599</v>
      </c>
      <c r="K699">
        <v>679338.20007055195</v>
      </c>
      <c r="L699">
        <v>679338.20007055195</v>
      </c>
      <c r="M699">
        <v>599</v>
      </c>
    </row>
    <row r="700" spans="1:13" ht="15">
      <c r="A700" t="s">
        <v>3473</v>
      </c>
      <c r="B700" s="1040" t="str">
        <f>CONCATENATE(LEFT(RIGHT(CONCATENATE("000",IFAData_TEA_1718!A700),6),3),"-",(RIGHT(RIGHT(CONCATENATE("000",IFAData_TEA_1718!A700),6),3)))</f>
        <v>057-914</v>
      </c>
      <c r="C700" t="s">
        <v>2235</v>
      </c>
      <c r="D700">
        <v>9</v>
      </c>
      <c r="E700">
        <v>2100</v>
      </c>
      <c r="F700" t="s">
        <v>4502</v>
      </c>
      <c r="G700" t="s">
        <v>8361</v>
      </c>
      <c r="H700">
        <v>3273731</v>
      </c>
      <c r="I700">
        <v>644560</v>
      </c>
      <c r="J700">
        <v>9.3570171822104004E-2</v>
      </c>
      <c r="K700">
        <v>306323.57216934802</v>
      </c>
      <c r="L700">
        <v>306323.57216934802</v>
      </c>
      <c r="M700">
        <v>599</v>
      </c>
    </row>
    <row r="701" spans="1:13" ht="15">
      <c r="A701" t="s">
        <v>3473</v>
      </c>
      <c r="B701" s="1040" t="str">
        <f>CONCATENATE(LEFT(RIGHT(CONCATENATE("000",IFAData_TEA_1718!A701),6),3),"-",(RIGHT(RIGHT(CONCATENATE("000",IFAData_TEA_1718!A701),6),3)))</f>
        <v>057-914</v>
      </c>
      <c r="C701" t="s">
        <v>2235</v>
      </c>
      <c r="D701">
        <v>10</v>
      </c>
      <c r="E701">
        <v>2098</v>
      </c>
      <c r="F701" t="s">
        <v>4506</v>
      </c>
      <c r="G701" t="s">
        <v>4506</v>
      </c>
      <c r="H701">
        <v>1093194</v>
      </c>
      <c r="I701">
        <v>1505750</v>
      </c>
      <c r="J701">
        <v>0.68605339894295603</v>
      </c>
      <c r="K701">
        <v>749989.45940404595</v>
      </c>
      <c r="L701">
        <v>749989.45940404595</v>
      </c>
      <c r="M701">
        <v>599</v>
      </c>
    </row>
    <row r="702" spans="1:13" ht="15">
      <c r="A702" t="s">
        <v>3473</v>
      </c>
      <c r="B702" s="1040" t="str">
        <f>CONCATENATE(LEFT(RIGHT(CONCATENATE("000",IFAData_TEA_1718!A702),6),3),"-",(RIGHT(RIGHT(CONCATENATE("000",IFAData_TEA_1718!A702),6),3)))</f>
        <v>057-914</v>
      </c>
      <c r="C702" t="s">
        <v>2235</v>
      </c>
      <c r="D702">
        <v>10</v>
      </c>
      <c r="E702">
        <v>2098</v>
      </c>
      <c r="F702" t="s">
        <v>4506</v>
      </c>
      <c r="G702" t="s">
        <v>6828</v>
      </c>
      <c r="H702">
        <v>1093194</v>
      </c>
      <c r="I702">
        <v>689050</v>
      </c>
      <c r="J702">
        <v>0.31394660105704397</v>
      </c>
      <c r="K702">
        <v>343204.54059595399</v>
      </c>
      <c r="L702">
        <v>343204.54059595399</v>
      </c>
      <c r="M702">
        <v>599</v>
      </c>
    </row>
    <row r="703" spans="1:13" ht="15">
      <c r="A703" t="s">
        <v>3473</v>
      </c>
      <c r="B703" s="1040" t="str">
        <f>CONCATENATE(LEFT(RIGHT(CONCATENATE("000",IFAData_TEA_1718!A703),6),3),"-",(RIGHT(RIGHT(CONCATENATE("000",IFAData_TEA_1718!A703),6),3)))</f>
        <v>057-914</v>
      </c>
      <c r="C703" t="s">
        <v>2235</v>
      </c>
      <c r="D703">
        <v>10</v>
      </c>
      <c r="E703">
        <v>2099</v>
      </c>
      <c r="F703" t="s">
        <v>4507</v>
      </c>
      <c r="G703" t="s">
        <v>4507</v>
      </c>
      <c r="H703">
        <v>2344293</v>
      </c>
      <c r="I703">
        <v>2789224</v>
      </c>
      <c r="J703">
        <v>0.72524158043684706</v>
      </c>
      <c r="K703">
        <v>1700178.76032704</v>
      </c>
      <c r="L703">
        <v>1700178.76032704</v>
      </c>
      <c r="M703">
        <v>599</v>
      </c>
    </row>
    <row r="704" spans="1:13" ht="15">
      <c r="A704" t="s">
        <v>3473</v>
      </c>
      <c r="B704" s="1040" t="str">
        <f>CONCATENATE(LEFT(RIGHT(CONCATENATE("000",IFAData_TEA_1718!A704),6),3),"-",(RIGHT(RIGHT(CONCATENATE("000",IFAData_TEA_1718!A704),6),3)))</f>
        <v>057-914</v>
      </c>
      <c r="C704" t="s">
        <v>2235</v>
      </c>
      <c r="D704">
        <v>10</v>
      </c>
      <c r="E704">
        <v>2099</v>
      </c>
      <c r="F704" t="s">
        <v>4507</v>
      </c>
      <c r="G704" t="s">
        <v>6829</v>
      </c>
      <c r="H704">
        <v>2344293</v>
      </c>
      <c r="I704">
        <v>1056700</v>
      </c>
      <c r="J704">
        <v>0.274758419563153</v>
      </c>
      <c r="K704">
        <v>644114.23967296304</v>
      </c>
      <c r="L704">
        <v>644114.23967296304</v>
      </c>
      <c r="M704">
        <v>599</v>
      </c>
    </row>
    <row r="705" spans="1:13" ht="15">
      <c r="A705" t="s">
        <v>3473</v>
      </c>
      <c r="B705" s="1040" t="str">
        <f>CONCATENATE(LEFT(RIGHT(CONCATENATE("000",IFAData_TEA_1718!A705),6),3),"-",(RIGHT(RIGHT(CONCATENATE("000",IFAData_TEA_1718!A705),6),3)))</f>
        <v>057-914</v>
      </c>
      <c r="C705" t="s">
        <v>2235</v>
      </c>
      <c r="D705">
        <v>11</v>
      </c>
      <c r="E705">
        <v>2486</v>
      </c>
      <c r="F705" t="s">
        <v>8362</v>
      </c>
      <c r="G705" t="s">
        <v>8362</v>
      </c>
      <c r="H705">
        <v>3093300</v>
      </c>
      <c r="I705">
        <v>4330800</v>
      </c>
      <c r="J705">
        <v>1</v>
      </c>
      <c r="K705">
        <v>3093300</v>
      </c>
      <c r="L705">
        <v>3093300</v>
      </c>
      <c r="M705">
        <v>599</v>
      </c>
    </row>
    <row r="706" spans="1:13" ht="15">
      <c r="A706" t="s">
        <v>4508</v>
      </c>
      <c r="B706" s="1040" t="str">
        <f>CONCATENATE(LEFT(RIGHT(CONCATENATE("000",IFAData_TEA_1718!A706),6),3),"-",(RIGHT(RIGHT(CONCATENATE("000",IFAData_TEA_1718!A706),6),3)))</f>
        <v>059-901</v>
      </c>
      <c r="C706" t="s">
        <v>2372</v>
      </c>
      <c r="D706">
        <v>2</v>
      </c>
      <c r="E706">
        <v>1883</v>
      </c>
      <c r="F706" t="s">
        <v>4509</v>
      </c>
      <c r="G706" t="s">
        <v>4509</v>
      </c>
      <c r="H706">
        <v>1022728</v>
      </c>
      <c r="I706">
        <v>0</v>
      </c>
      <c r="J706">
        <v>0</v>
      </c>
      <c r="K706">
        <v>0</v>
      </c>
      <c r="L706">
        <v>0</v>
      </c>
      <c r="M706">
        <v>199</v>
      </c>
    </row>
    <row r="707" spans="1:13" ht="15">
      <c r="A707" t="s">
        <v>4508</v>
      </c>
      <c r="B707" s="1040" t="str">
        <f>CONCATENATE(LEFT(RIGHT(CONCATENATE("000",IFAData_TEA_1718!A707),6),3),"-",(RIGHT(RIGHT(CONCATENATE("000",IFAData_TEA_1718!A707),6),3)))</f>
        <v>059-901</v>
      </c>
      <c r="C707" t="s">
        <v>2372</v>
      </c>
      <c r="D707">
        <v>2</v>
      </c>
      <c r="E707">
        <v>1883</v>
      </c>
      <c r="F707" t="s">
        <v>4509</v>
      </c>
      <c r="G707" t="s">
        <v>4510</v>
      </c>
      <c r="H707">
        <v>1022728</v>
      </c>
      <c r="I707">
        <v>948092</v>
      </c>
      <c r="J707">
        <v>1</v>
      </c>
      <c r="K707">
        <v>1022728</v>
      </c>
      <c r="L707">
        <v>948092</v>
      </c>
      <c r="M707">
        <v>199</v>
      </c>
    </row>
    <row r="708" spans="1:13" ht="15">
      <c r="A708" t="s">
        <v>3474</v>
      </c>
      <c r="B708" s="1040" t="str">
        <f>CONCATENATE(LEFT(RIGHT(CONCATENATE("000",IFAData_TEA_1718!A708),6),3),"-",(RIGHT(RIGHT(CONCATENATE("000",IFAData_TEA_1718!A708),6),3)))</f>
        <v>060-902</v>
      </c>
      <c r="C708" t="s">
        <v>2617</v>
      </c>
      <c r="D708">
        <v>9</v>
      </c>
      <c r="E708">
        <v>1719</v>
      </c>
      <c r="F708" t="s">
        <v>4511</v>
      </c>
      <c r="G708" t="s">
        <v>4511</v>
      </c>
      <c r="H708">
        <v>201802</v>
      </c>
      <c r="I708">
        <v>49416</v>
      </c>
      <c r="J708">
        <v>0.26102389655391001</v>
      </c>
      <c r="K708">
        <v>52675.144372372102</v>
      </c>
      <c r="L708">
        <v>49416</v>
      </c>
      <c r="M708">
        <v>599</v>
      </c>
    </row>
    <row r="709" spans="1:13" ht="15">
      <c r="A709" t="s">
        <v>3474</v>
      </c>
      <c r="B709" s="1040" t="str">
        <f>CONCATENATE(LEFT(RIGHT(CONCATENATE("000",IFAData_TEA_1718!A709),6),3),"-",(RIGHT(RIGHT(CONCATENATE("000",IFAData_TEA_1718!A709),6),3)))</f>
        <v>060-902</v>
      </c>
      <c r="C709" t="s">
        <v>2617</v>
      </c>
      <c r="D709">
        <v>9</v>
      </c>
      <c r="E709">
        <v>1719</v>
      </c>
      <c r="F709" t="s">
        <v>4511</v>
      </c>
      <c r="G709" t="s">
        <v>6440</v>
      </c>
      <c r="H709">
        <v>201802</v>
      </c>
      <c r="I709">
        <v>139900</v>
      </c>
      <c r="J709">
        <v>0.73897610344608999</v>
      </c>
      <c r="K709">
        <v>149126.85562762801</v>
      </c>
      <c r="L709">
        <v>139900</v>
      </c>
      <c r="M709">
        <v>599</v>
      </c>
    </row>
    <row r="710" spans="1:13" ht="15">
      <c r="A710" t="s">
        <v>3475</v>
      </c>
      <c r="B710" s="1040" t="str">
        <f>CONCATENATE(LEFT(RIGHT(CONCATENATE("000",IFAData_TEA_1718!A710),6),3),"-",(RIGHT(RIGHT(CONCATENATE("000",IFAData_TEA_1718!A710),6),3)))</f>
        <v>060-914</v>
      </c>
      <c r="C710" t="s">
        <v>107</v>
      </c>
      <c r="D710">
        <v>5</v>
      </c>
      <c r="E710">
        <v>1810</v>
      </c>
      <c r="F710" t="s">
        <v>4512</v>
      </c>
      <c r="G710" t="s">
        <v>4512</v>
      </c>
      <c r="H710">
        <v>100000</v>
      </c>
      <c r="I710">
        <v>0</v>
      </c>
      <c r="J710">
        <v>0</v>
      </c>
      <c r="K710">
        <v>0</v>
      </c>
      <c r="L710">
        <v>0</v>
      </c>
      <c r="M710">
        <v>599</v>
      </c>
    </row>
    <row r="711" spans="1:13" ht="15">
      <c r="A711" t="s">
        <v>3475</v>
      </c>
      <c r="B711" s="1040" t="str">
        <f>CONCATENATE(LEFT(RIGHT(CONCATENATE("000",IFAData_TEA_1718!A711),6),3),"-",(RIGHT(RIGHT(CONCATENATE("000",IFAData_TEA_1718!A711),6),3)))</f>
        <v>060-914</v>
      </c>
      <c r="C711" t="s">
        <v>107</v>
      </c>
      <c r="D711">
        <v>5</v>
      </c>
      <c r="E711">
        <v>1810</v>
      </c>
      <c r="F711" t="s">
        <v>4512</v>
      </c>
      <c r="G711" t="s">
        <v>4513</v>
      </c>
      <c r="H711">
        <v>100000</v>
      </c>
      <c r="I711">
        <v>101500</v>
      </c>
      <c r="J711">
        <v>1</v>
      </c>
      <c r="K711">
        <v>100000</v>
      </c>
      <c r="L711">
        <v>100000</v>
      </c>
      <c r="M711">
        <v>599</v>
      </c>
    </row>
    <row r="712" spans="1:13" ht="15">
      <c r="A712" t="s">
        <v>3476</v>
      </c>
      <c r="B712" s="1040" t="str">
        <f>CONCATENATE(LEFT(RIGHT(CONCATENATE("000",IFAData_TEA_1718!A712),6),3),"-",(RIGHT(RIGHT(CONCATENATE("000",IFAData_TEA_1718!A712),6),3)))</f>
        <v>061-902</v>
      </c>
      <c r="C712" t="s">
        <v>2466</v>
      </c>
      <c r="D712">
        <v>1</v>
      </c>
      <c r="E712">
        <v>2019</v>
      </c>
      <c r="F712" t="s">
        <v>4514</v>
      </c>
      <c r="G712" t="s">
        <v>4514</v>
      </c>
      <c r="H712">
        <v>3797900</v>
      </c>
      <c r="I712">
        <v>0</v>
      </c>
      <c r="J712">
        <v>0</v>
      </c>
      <c r="K712">
        <v>0</v>
      </c>
      <c r="L712">
        <v>0</v>
      </c>
      <c r="M712">
        <v>599</v>
      </c>
    </row>
    <row r="713" spans="1:13" ht="15">
      <c r="A713" t="s">
        <v>3476</v>
      </c>
      <c r="B713" s="1040" t="str">
        <f>CONCATENATE(LEFT(RIGHT(CONCATENATE("000",IFAData_TEA_1718!A713),6),3),"-",(RIGHT(RIGHT(CONCATENATE("000",IFAData_TEA_1718!A713),6),3)))</f>
        <v>061-902</v>
      </c>
      <c r="C713" t="s">
        <v>2466</v>
      </c>
      <c r="D713">
        <v>1</v>
      </c>
      <c r="E713">
        <v>2019</v>
      </c>
      <c r="F713" t="s">
        <v>4514</v>
      </c>
      <c r="G713" t="s">
        <v>4515</v>
      </c>
      <c r="H713">
        <v>3797900</v>
      </c>
      <c r="I713">
        <v>0</v>
      </c>
      <c r="J713">
        <v>0</v>
      </c>
      <c r="K713">
        <v>0</v>
      </c>
      <c r="L713">
        <v>0</v>
      </c>
      <c r="M713">
        <v>599</v>
      </c>
    </row>
    <row r="714" spans="1:13" ht="15">
      <c r="A714" t="s">
        <v>3476</v>
      </c>
      <c r="B714" s="1040" t="str">
        <f>CONCATENATE(LEFT(RIGHT(CONCATENATE("000",IFAData_TEA_1718!A714),6),3),"-",(RIGHT(RIGHT(CONCATENATE("000",IFAData_TEA_1718!A714),6),3)))</f>
        <v>061-902</v>
      </c>
      <c r="C714" t="s">
        <v>2466</v>
      </c>
      <c r="D714">
        <v>1</v>
      </c>
      <c r="E714">
        <v>2019</v>
      </c>
      <c r="F714" t="s">
        <v>4514</v>
      </c>
      <c r="G714" t="s">
        <v>4516</v>
      </c>
      <c r="H714">
        <v>3797900</v>
      </c>
      <c r="I714">
        <v>1316270</v>
      </c>
      <c r="J714">
        <v>0.43560693809958101</v>
      </c>
      <c r="K714">
        <v>1654391.5902084</v>
      </c>
      <c r="L714">
        <v>1316270</v>
      </c>
      <c r="M714">
        <v>599</v>
      </c>
    </row>
    <row r="715" spans="1:13" ht="15">
      <c r="A715" t="s">
        <v>3476</v>
      </c>
      <c r="B715" s="1040" t="str">
        <f>CONCATENATE(LEFT(RIGHT(CONCATENATE("000",IFAData_TEA_1718!A715),6),3),"-",(RIGHT(RIGHT(CONCATENATE("000",IFAData_TEA_1718!A715),6),3)))</f>
        <v>061-902</v>
      </c>
      <c r="C715" t="s">
        <v>2466</v>
      </c>
      <c r="D715">
        <v>1</v>
      </c>
      <c r="E715">
        <v>2019</v>
      </c>
      <c r="F715" t="s">
        <v>4514</v>
      </c>
      <c r="G715" t="s">
        <v>6441</v>
      </c>
      <c r="H715">
        <v>3797900</v>
      </c>
      <c r="I715">
        <v>1705422</v>
      </c>
      <c r="J715">
        <v>0.56439306190041905</v>
      </c>
      <c r="K715">
        <v>2143508.4097916</v>
      </c>
      <c r="L715">
        <v>1705422</v>
      </c>
      <c r="M715">
        <v>599</v>
      </c>
    </row>
    <row r="716" spans="1:13" ht="15">
      <c r="A716" t="s">
        <v>3476</v>
      </c>
      <c r="B716" s="1040" t="str">
        <f>CONCATENATE(LEFT(RIGHT(CONCATENATE("000",IFAData_TEA_1718!A716),6),3),"-",(RIGHT(RIGHT(CONCATENATE("000",IFAData_TEA_1718!A716),6),3)))</f>
        <v>061-902</v>
      </c>
      <c r="C716" t="s">
        <v>2466</v>
      </c>
      <c r="D716">
        <v>2</v>
      </c>
      <c r="E716">
        <v>2018</v>
      </c>
      <c r="F716" t="s">
        <v>4517</v>
      </c>
      <c r="G716" t="s">
        <v>4517</v>
      </c>
      <c r="H716">
        <v>1811486</v>
      </c>
      <c r="I716">
        <v>0</v>
      </c>
      <c r="J716">
        <v>0</v>
      </c>
      <c r="K716">
        <v>0</v>
      </c>
      <c r="L716">
        <v>0</v>
      </c>
      <c r="M716">
        <v>599</v>
      </c>
    </row>
    <row r="717" spans="1:13" ht="15">
      <c r="A717" t="s">
        <v>3476</v>
      </c>
      <c r="B717" s="1040" t="str">
        <f>CONCATENATE(LEFT(RIGHT(CONCATENATE("000",IFAData_TEA_1718!A717),6),3),"-",(RIGHT(RIGHT(CONCATENATE("000",IFAData_TEA_1718!A717),6),3)))</f>
        <v>061-902</v>
      </c>
      <c r="C717" t="s">
        <v>2466</v>
      </c>
      <c r="D717">
        <v>2</v>
      </c>
      <c r="E717">
        <v>2018</v>
      </c>
      <c r="F717" t="s">
        <v>4517</v>
      </c>
      <c r="G717" t="s">
        <v>4515</v>
      </c>
      <c r="H717">
        <v>1811486</v>
      </c>
      <c r="I717">
        <v>0</v>
      </c>
      <c r="J717">
        <v>0</v>
      </c>
      <c r="K717">
        <v>0</v>
      </c>
      <c r="L717">
        <v>0</v>
      </c>
      <c r="M717">
        <v>599</v>
      </c>
    </row>
    <row r="718" spans="1:13" ht="15">
      <c r="A718" t="s">
        <v>3476</v>
      </c>
      <c r="B718" s="1040" t="str">
        <f>CONCATENATE(LEFT(RIGHT(CONCATENATE("000",IFAData_TEA_1718!A718),6),3),"-",(RIGHT(RIGHT(CONCATENATE("000",IFAData_TEA_1718!A718),6),3)))</f>
        <v>061-902</v>
      </c>
      <c r="C718" t="s">
        <v>2466</v>
      </c>
      <c r="D718">
        <v>2</v>
      </c>
      <c r="E718">
        <v>2018</v>
      </c>
      <c r="F718" t="s">
        <v>4517</v>
      </c>
      <c r="G718" t="s">
        <v>4516</v>
      </c>
      <c r="H718">
        <v>1811486</v>
      </c>
      <c r="I718">
        <v>786558</v>
      </c>
      <c r="J718">
        <v>0.43560716613712802</v>
      </c>
      <c r="K718">
        <v>789096.28295708098</v>
      </c>
      <c r="L718">
        <v>786558</v>
      </c>
      <c r="M718">
        <v>599</v>
      </c>
    </row>
    <row r="719" spans="1:13" ht="15">
      <c r="A719" t="s">
        <v>3476</v>
      </c>
      <c r="B719" s="1040" t="str">
        <f>CONCATENATE(LEFT(RIGHT(CONCATENATE("000",IFAData_TEA_1718!A719),6),3),"-",(RIGHT(RIGHT(CONCATENATE("000",IFAData_TEA_1718!A719),6),3)))</f>
        <v>061-902</v>
      </c>
      <c r="C719" t="s">
        <v>2466</v>
      </c>
      <c r="D719">
        <v>2</v>
      </c>
      <c r="E719">
        <v>2018</v>
      </c>
      <c r="F719" t="s">
        <v>4517</v>
      </c>
      <c r="G719" t="s">
        <v>6441</v>
      </c>
      <c r="H719">
        <v>1811486</v>
      </c>
      <c r="I719">
        <v>1019101</v>
      </c>
      <c r="J719">
        <v>0.56439283386287198</v>
      </c>
      <c r="K719">
        <v>1022389.7170429199</v>
      </c>
      <c r="L719">
        <v>1019101</v>
      </c>
      <c r="M719">
        <v>599</v>
      </c>
    </row>
    <row r="720" spans="1:13" ht="15">
      <c r="A720" t="s">
        <v>4518</v>
      </c>
      <c r="B720" s="1040" t="str">
        <f>CONCATENATE(LEFT(RIGHT(CONCATENATE("000",IFAData_TEA_1718!A720),6),3),"-",(RIGHT(RIGHT(CONCATENATE("000",IFAData_TEA_1718!A720),6),3)))</f>
        <v>061-903</v>
      </c>
      <c r="C720" t="s">
        <v>1000</v>
      </c>
      <c r="D720">
        <v>1</v>
      </c>
      <c r="E720">
        <v>2197</v>
      </c>
      <c r="F720" t="s">
        <v>4519</v>
      </c>
      <c r="G720" t="s">
        <v>4519</v>
      </c>
      <c r="H720">
        <v>294250</v>
      </c>
      <c r="I720">
        <v>0</v>
      </c>
      <c r="J720">
        <v>0</v>
      </c>
      <c r="K720"/>
      <c r="L720">
        <v>0</v>
      </c>
      <c r="M720">
        <v>599</v>
      </c>
    </row>
    <row r="721" spans="1:13" ht="15">
      <c r="A721" t="s">
        <v>3477</v>
      </c>
      <c r="B721" s="1040" t="str">
        <f>CONCATENATE(LEFT(RIGHT(CONCATENATE("000",IFAData_TEA_1718!A721),6),3),"-",(RIGHT(RIGHT(CONCATENATE("000",IFAData_TEA_1718!A721),6),3)))</f>
        <v>061-905</v>
      </c>
      <c r="C721" t="s">
        <v>1692</v>
      </c>
      <c r="D721">
        <v>4</v>
      </c>
      <c r="E721">
        <v>1972</v>
      </c>
      <c r="F721" t="s">
        <v>4520</v>
      </c>
      <c r="G721" t="s">
        <v>4520</v>
      </c>
      <c r="H721">
        <v>90131</v>
      </c>
      <c r="I721">
        <v>0</v>
      </c>
      <c r="J721">
        <v>0</v>
      </c>
      <c r="K721">
        <v>0</v>
      </c>
      <c r="L721">
        <v>0</v>
      </c>
      <c r="M721">
        <v>599</v>
      </c>
    </row>
    <row r="722" spans="1:13" ht="15">
      <c r="A722" t="s">
        <v>3477</v>
      </c>
      <c r="B722" s="1040" t="str">
        <f>CONCATENATE(LEFT(RIGHT(CONCATENATE("000",IFAData_TEA_1718!A722),6),3),"-",(RIGHT(RIGHT(CONCATENATE("000",IFAData_TEA_1718!A722),6),3)))</f>
        <v>061-905</v>
      </c>
      <c r="C722" t="s">
        <v>1692</v>
      </c>
      <c r="D722">
        <v>4</v>
      </c>
      <c r="E722">
        <v>1972</v>
      </c>
      <c r="F722" t="s">
        <v>4520</v>
      </c>
      <c r="G722" t="s">
        <v>4521</v>
      </c>
      <c r="H722">
        <v>90131</v>
      </c>
      <c r="I722">
        <v>0</v>
      </c>
      <c r="J722">
        <v>0</v>
      </c>
      <c r="K722">
        <v>0</v>
      </c>
      <c r="L722">
        <v>0</v>
      </c>
      <c r="M722">
        <v>599</v>
      </c>
    </row>
    <row r="723" spans="1:13" ht="15">
      <c r="A723" t="s">
        <v>3477</v>
      </c>
      <c r="B723" s="1040" t="str">
        <f>CONCATENATE(LEFT(RIGHT(CONCATENATE("000",IFAData_TEA_1718!A723),6),3),"-",(RIGHT(RIGHT(CONCATENATE("000",IFAData_TEA_1718!A723),6),3)))</f>
        <v>061-905</v>
      </c>
      <c r="C723" t="s">
        <v>1692</v>
      </c>
      <c r="D723">
        <v>4</v>
      </c>
      <c r="E723">
        <v>1972</v>
      </c>
      <c r="F723" t="s">
        <v>4520</v>
      </c>
      <c r="G723" t="s">
        <v>6230</v>
      </c>
      <c r="H723">
        <v>90131</v>
      </c>
      <c r="I723">
        <v>64460</v>
      </c>
      <c r="J723">
        <v>1</v>
      </c>
      <c r="K723">
        <v>90131</v>
      </c>
      <c r="L723">
        <v>64460</v>
      </c>
      <c r="M723">
        <v>599</v>
      </c>
    </row>
    <row r="724" spans="1:13" ht="15">
      <c r="A724" t="s">
        <v>3477</v>
      </c>
      <c r="B724" s="1040" t="str">
        <f>CONCATENATE(LEFT(RIGHT(CONCATENATE("000",IFAData_TEA_1718!A724),6),3),"-",(RIGHT(RIGHT(CONCATENATE("000",IFAData_TEA_1718!A724),6),3)))</f>
        <v>061-905</v>
      </c>
      <c r="C724" t="s">
        <v>1692</v>
      </c>
      <c r="D724">
        <v>4</v>
      </c>
      <c r="E724">
        <v>1973</v>
      </c>
      <c r="F724" t="s">
        <v>4522</v>
      </c>
      <c r="G724" t="s">
        <v>4522</v>
      </c>
      <c r="H724">
        <v>236619</v>
      </c>
      <c r="I724">
        <v>0</v>
      </c>
      <c r="J724">
        <v>0</v>
      </c>
      <c r="K724">
        <v>0</v>
      </c>
      <c r="L724">
        <v>0</v>
      </c>
      <c r="M724">
        <v>599</v>
      </c>
    </row>
    <row r="725" spans="1:13" ht="15">
      <c r="A725" t="s">
        <v>3477</v>
      </c>
      <c r="B725" s="1040" t="str">
        <f>CONCATENATE(LEFT(RIGHT(CONCATENATE("000",IFAData_TEA_1718!A725),6),3),"-",(RIGHT(RIGHT(CONCATENATE("000",IFAData_TEA_1718!A725),6),3)))</f>
        <v>061-905</v>
      </c>
      <c r="C725" t="s">
        <v>1692</v>
      </c>
      <c r="D725">
        <v>4</v>
      </c>
      <c r="E725">
        <v>1973</v>
      </c>
      <c r="F725" t="s">
        <v>4522</v>
      </c>
      <c r="G725" t="s">
        <v>4523</v>
      </c>
      <c r="H725">
        <v>236619</v>
      </c>
      <c r="I725">
        <v>0</v>
      </c>
      <c r="J725">
        <v>0</v>
      </c>
      <c r="K725">
        <v>0</v>
      </c>
      <c r="L725">
        <v>0</v>
      </c>
      <c r="M725">
        <v>599</v>
      </c>
    </row>
    <row r="726" spans="1:13" ht="15">
      <c r="A726" t="s">
        <v>3477</v>
      </c>
      <c r="B726" s="1040" t="str">
        <f>CONCATENATE(LEFT(RIGHT(CONCATENATE("000",IFAData_TEA_1718!A726),6),3),"-",(RIGHT(RIGHT(CONCATENATE("000",IFAData_TEA_1718!A726),6),3)))</f>
        <v>061-905</v>
      </c>
      <c r="C726" t="s">
        <v>1692</v>
      </c>
      <c r="D726">
        <v>4</v>
      </c>
      <c r="E726">
        <v>1973</v>
      </c>
      <c r="F726" t="s">
        <v>4522</v>
      </c>
      <c r="G726" t="s">
        <v>4521</v>
      </c>
      <c r="H726">
        <v>236619</v>
      </c>
      <c r="I726">
        <v>0</v>
      </c>
      <c r="J726">
        <v>0</v>
      </c>
      <c r="K726">
        <v>0</v>
      </c>
      <c r="L726">
        <v>0</v>
      </c>
      <c r="M726">
        <v>599</v>
      </c>
    </row>
    <row r="727" spans="1:13" ht="15">
      <c r="A727" t="s">
        <v>3477</v>
      </c>
      <c r="B727" s="1040" t="str">
        <f>CONCATENATE(LEFT(RIGHT(CONCATENATE("000",IFAData_TEA_1718!A727),6),3),"-",(RIGHT(RIGHT(CONCATENATE("000",IFAData_TEA_1718!A727),6),3)))</f>
        <v>061-905</v>
      </c>
      <c r="C727" t="s">
        <v>1692</v>
      </c>
      <c r="D727">
        <v>4</v>
      </c>
      <c r="E727">
        <v>1973</v>
      </c>
      <c r="F727" t="s">
        <v>4522</v>
      </c>
      <c r="G727" t="s">
        <v>4524</v>
      </c>
      <c r="H727">
        <v>236619</v>
      </c>
      <c r="I727">
        <v>3006</v>
      </c>
      <c r="J727">
        <v>9.0509726935225007E-3</v>
      </c>
      <c r="K727">
        <v>2141.6321077685998</v>
      </c>
      <c r="L727">
        <v>2141.6321077685998</v>
      </c>
      <c r="M727">
        <v>599</v>
      </c>
    </row>
    <row r="728" spans="1:13" ht="15">
      <c r="A728" t="s">
        <v>3477</v>
      </c>
      <c r="B728" s="1040" t="str">
        <f>CONCATENATE(LEFT(RIGHT(CONCATENATE("000",IFAData_TEA_1718!A728),6),3),"-",(RIGHT(RIGHT(CONCATENATE("000",IFAData_TEA_1718!A728),6),3)))</f>
        <v>061-905</v>
      </c>
      <c r="C728" t="s">
        <v>1692</v>
      </c>
      <c r="D728">
        <v>4</v>
      </c>
      <c r="E728">
        <v>1973</v>
      </c>
      <c r="F728" t="s">
        <v>4522</v>
      </c>
      <c r="G728" t="s">
        <v>6230</v>
      </c>
      <c r="H728">
        <v>236619</v>
      </c>
      <c r="I728">
        <v>329113</v>
      </c>
      <c r="J728">
        <v>0.99094902730647705</v>
      </c>
      <c r="K728">
        <v>234477.36789223101</v>
      </c>
      <c r="L728">
        <v>234477.36789223101</v>
      </c>
      <c r="M728">
        <v>599</v>
      </c>
    </row>
    <row r="729" spans="1:13" ht="15">
      <c r="A729" t="s">
        <v>3478</v>
      </c>
      <c r="B729" s="1040" t="str">
        <f>CONCATENATE(LEFT(RIGHT(CONCATENATE("000",IFAData_TEA_1718!A729),6),3),"-",(RIGHT(RIGHT(CONCATENATE("000",IFAData_TEA_1718!A729),6),3)))</f>
        <v>061-906</v>
      </c>
      <c r="C729" t="s">
        <v>1002</v>
      </c>
      <c r="D729">
        <v>2</v>
      </c>
      <c r="E729">
        <v>2201</v>
      </c>
      <c r="F729" t="s">
        <v>4525</v>
      </c>
      <c r="G729" t="s">
        <v>4525</v>
      </c>
      <c r="H729">
        <v>139761</v>
      </c>
      <c r="I729">
        <v>0</v>
      </c>
      <c r="J729">
        <v>0</v>
      </c>
      <c r="K729">
        <v>0</v>
      </c>
      <c r="L729">
        <v>0</v>
      </c>
      <c r="M729">
        <v>599</v>
      </c>
    </row>
    <row r="730" spans="1:13" ht="15">
      <c r="A730" t="s">
        <v>3478</v>
      </c>
      <c r="B730" s="1040" t="str">
        <f>CONCATENATE(LEFT(RIGHT(CONCATENATE("000",IFAData_TEA_1718!A730),6),3),"-",(RIGHT(RIGHT(CONCATENATE("000",IFAData_TEA_1718!A730),6),3)))</f>
        <v>061-906</v>
      </c>
      <c r="C730" t="s">
        <v>1002</v>
      </c>
      <c r="D730">
        <v>2</v>
      </c>
      <c r="E730">
        <v>2201</v>
      </c>
      <c r="F730" t="s">
        <v>4525</v>
      </c>
      <c r="G730" t="s">
        <v>4526</v>
      </c>
      <c r="H730">
        <v>139761</v>
      </c>
      <c r="I730">
        <v>477050</v>
      </c>
      <c r="J730">
        <v>1</v>
      </c>
      <c r="K730">
        <v>139761</v>
      </c>
      <c r="L730">
        <v>139761</v>
      </c>
      <c r="M730">
        <v>599</v>
      </c>
    </row>
    <row r="731" spans="1:13" ht="15">
      <c r="A731" t="s">
        <v>3479</v>
      </c>
      <c r="B731" s="1040" t="str">
        <f>CONCATENATE(LEFT(RIGHT(CONCATENATE("000",IFAData_TEA_1718!A731),6),3),"-",(RIGHT(RIGHT(CONCATENATE("000",IFAData_TEA_1718!A731),6),3)))</f>
        <v>061-907</v>
      </c>
      <c r="C731" t="s">
        <v>2116</v>
      </c>
      <c r="D731">
        <v>1</v>
      </c>
      <c r="E731">
        <v>1585</v>
      </c>
      <c r="F731" t="s">
        <v>4527</v>
      </c>
      <c r="G731" t="s">
        <v>4527</v>
      </c>
      <c r="H731">
        <v>223500</v>
      </c>
      <c r="I731">
        <v>685000</v>
      </c>
      <c r="J731">
        <v>0.83203669221080001</v>
      </c>
      <c r="K731">
        <v>185960.200709114</v>
      </c>
      <c r="L731">
        <v>185960.200709114</v>
      </c>
      <c r="M731">
        <v>599</v>
      </c>
    </row>
    <row r="732" spans="1:13" ht="15">
      <c r="A732" t="s">
        <v>3479</v>
      </c>
      <c r="B732" s="1040" t="str">
        <f>CONCATENATE(LEFT(RIGHT(CONCATENATE("000",IFAData_TEA_1718!A732),6),3),"-",(RIGHT(RIGHT(CONCATENATE("000",IFAData_TEA_1718!A732),6),3)))</f>
        <v>061-907</v>
      </c>
      <c r="C732" t="s">
        <v>2116</v>
      </c>
      <c r="D732">
        <v>1</v>
      </c>
      <c r="E732">
        <v>1585</v>
      </c>
      <c r="F732" t="s">
        <v>4527</v>
      </c>
      <c r="G732" t="s">
        <v>4528</v>
      </c>
      <c r="H732">
        <v>223500</v>
      </c>
      <c r="I732">
        <v>0</v>
      </c>
      <c r="J732">
        <v>0</v>
      </c>
      <c r="K732">
        <v>0</v>
      </c>
      <c r="L732">
        <v>0</v>
      </c>
      <c r="M732">
        <v>599</v>
      </c>
    </row>
    <row r="733" spans="1:13" ht="15">
      <c r="A733" t="s">
        <v>3479</v>
      </c>
      <c r="B733" s="1040" t="str">
        <f>CONCATENATE(LEFT(RIGHT(CONCATENATE("000",IFAData_TEA_1718!A733),6),3),"-",(RIGHT(RIGHT(CONCATENATE("000",IFAData_TEA_1718!A733),6),3)))</f>
        <v>061-907</v>
      </c>
      <c r="C733" t="s">
        <v>2116</v>
      </c>
      <c r="D733">
        <v>1</v>
      </c>
      <c r="E733">
        <v>1585</v>
      </c>
      <c r="F733" t="s">
        <v>4527</v>
      </c>
      <c r="G733" t="s">
        <v>4529</v>
      </c>
      <c r="H733">
        <v>223500</v>
      </c>
      <c r="I733">
        <v>55270</v>
      </c>
      <c r="J733">
        <v>6.7133821866410107E-2</v>
      </c>
      <c r="K733">
        <v>15004.409187142701</v>
      </c>
      <c r="L733">
        <v>15004.409187142701</v>
      </c>
      <c r="M733">
        <v>599</v>
      </c>
    </row>
    <row r="734" spans="1:13" ht="15">
      <c r="A734" t="s">
        <v>3479</v>
      </c>
      <c r="B734" s="1040" t="str">
        <f>CONCATENATE(LEFT(RIGHT(CONCATENATE("000",IFAData_TEA_1718!A734),6),3),"-",(RIGHT(RIGHT(CONCATENATE("000",IFAData_TEA_1718!A734),6),3)))</f>
        <v>061-907</v>
      </c>
      <c r="C734" t="s">
        <v>2116</v>
      </c>
      <c r="D734">
        <v>1</v>
      </c>
      <c r="E734">
        <v>1585</v>
      </c>
      <c r="F734" t="s">
        <v>4527</v>
      </c>
      <c r="G734" t="s">
        <v>4530</v>
      </c>
      <c r="H734">
        <v>223500</v>
      </c>
      <c r="I734">
        <v>32240</v>
      </c>
      <c r="J734">
        <v>3.9160383878651402E-2</v>
      </c>
      <c r="K734">
        <v>8752.3457968785897</v>
      </c>
      <c r="L734">
        <v>8752.3457968785897</v>
      </c>
      <c r="M734">
        <v>599</v>
      </c>
    </row>
    <row r="735" spans="1:13" ht="15">
      <c r="A735" t="s">
        <v>3479</v>
      </c>
      <c r="B735" s="1040" t="str">
        <f>CONCATENATE(LEFT(RIGHT(CONCATENATE("000",IFAData_TEA_1718!A735),6),3),"-",(RIGHT(RIGHT(CONCATENATE("000",IFAData_TEA_1718!A735),6),3)))</f>
        <v>061-907</v>
      </c>
      <c r="C735" t="s">
        <v>2116</v>
      </c>
      <c r="D735">
        <v>1</v>
      </c>
      <c r="E735">
        <v>1585</v>
      </c>
      <c r="F735" t="s">
        <v>4527</v>
      </c>
      <c r="G735" t="s">
        <v>6231</v>
      </c>
      <c r="H735">
        <v>223500</v>
      </c>
      <c r="I735">
        <v>15654</v>
      </c>
      <c r="J735">
        <v>1.9014164058201301E-2</v>
      </c>
      <c r="K735">
        <v>4249.6656670079801</v>
      </c>
      <c r="L735">
        <v>4249.6656670079801</v>
      </c>
      <c r="M735">
        <v>599</v>
      </c>
    </row>
    <row r="736" spans="1:13" ht="15">
      <c r="A736" t="s">
        <v>3479</v>
      </c>
      <c r="B736" s="1040" t="str">
        <f>CONCATENATE(LEFT(RIGHT(CONCATENATE("000",IFAData_TEA_1718!A736),6),3),"-",(RIGHT(RIGHT(CONCATENATE("000",IFAData_TEA_1718!A736),6),3)))</f>
        <v>061-907</v>
      </c>
      <c r="C736" t="s">
        <v>2116</v>
      </c>
      <c r="D736">
        <v>1</v>
      </c>
      <c r="E736">
        <v>1585</v>
      </c>
      <c r="F736" t="s">
        <v>4527</v>
      </c>
      <c r="G736" t="s">
        <v>6442</v>
      </c>
      <c r="H736">
        <v>223500</v>
      </c>
      <c r="I736">
        <v>35117</v>
      </c>
      <c r="J736">
        <v>4.2654937985936801E-2</v>
      </c>
      <c r="K736">
        <v>9533.37863985687</v>
      </c>
      <c r="L736">
        <v>9533.37863985687</v>
      </c>
      <c r="M736">
        <v>599</v>
      </c>
    </row>
    <row r="737" spans="1:13" ht="15">
      <c r="A737" t="s">
        <v>3479</v>
      </c>
      <c r="B737" s="1040" t="str">
        <f>CONCATENATE(LEFT(RIGHT(CONCATENATE("000",IFAData_TEA_1718!A737),6),3),"-",(RIGHT(RIGHT(CONCATENATE("000",IFAData_TEA_1718!A737),6),3)))</f>
        <v>061-907</v>
      </c>
      <c r="C737" t="s">
        <v>2116</v>
      </c>
      <c r="D737">
        <v>9</v>
      </c>
      <c r="E737">
        <v>1586</v>
      </c>
      <c r="F737" t="s">
        <v>4531</v>
      </c>
      <c r="G737" t="s">
        <v>4531</v>
      </c>
      <c r="H737">
        <v>244398</v>
      </c>
      <c r="I737">
        <v>169691</v>
      </c>
      <c r="J737">
        <v>0.50173561831772195</v>
      </c>
      <c r="K737">
        <v>122623.181645615</v>
      </c>
      <c r="L737">
        <v>122623.181645615</v>
      </c>
      <c r="M737">
        <v>599</v>
      </c>
    </row>
    <row r="738" spans="1:13" ht="15">
      <c r="A738" t="s">
        <v>3479</v>
      </c>
      <c r="B738" s="1040" t="str">
        <f>CONCATENATE(LEFT(RIGHT(CONCATENATE("000",IFAData_TEA_1718!A738),6),3),"-",(RIGHT(RIGHT(CONCATENATE("000",IFAData_TEA_1718!A738),6),3)))</f>
        <v>061-907</v>
      </c>
      <c r="C738" t="s">
        <v>2116</v>
      </c>
      <c r="D738">
        <v>9</v>
      </c>
      <c r="E738">
        <v>1586</v>
      </c>
      <c r="F738" t="s">
        <v>4531</v>
      </c>
      <c r="G738" t="s">
        <v>8363</v>
      </c>
      <c r="H738">
        <v>244398</v>
      </c>
      <c r="I738">
        <v>168517</v>
      </c>
      <c r="J738">
        <v>0.49826438168227799</v>
      </c>
      <c r="K738">
        <v>121774.818354385</v>
      </c>
      <c r="L738">
        <v>121774.818354385</v>
      </c>
      <c r="M738">
        <v>599</v>
      </c>
    </row>
    <row r="739" spans="1:13" ht="15">
      <c r="A739" t="s">
        <v>3480</v>
      </c>
      <c r="B739" s="1040" t="str">
        <f>CONCATENATE(LEFT(RIGHT(CONCATENATE("000",IFAData_TEA_1718!A739),6),3),"-",(RIGHT(RIGHT(CONCATENATE("000",IFAData_TEA_1718!A739),6),3)))</f>
        <v>061-908</v>
      </c>
      <c r="C739" t="s">
        <v>2060</v>
      </c>
      <c r="D739">
        <v>1</v>
      </c>
      <c r="E739">
        <v>2303</v>
      </c>
      <c r="F739" t="s">
        <v>4532</v>
      </c>
      <c r="G739" t="s">
        <v>4532</v>
      </c>
      <c r="H739">
        <v>161107</v>
      </c>
      <c r="I739">
        <v>441080</v>
      </c>
      <c r="J739">
        <v>0.84062633408550302</v>
      </c>
      <c r="K739">
        <v>135430.78680551299</v>
      </c>
      <c r="L739">
        <v>135430.78680551299</v>
      </c>
      <c r="M739">
        <v>599</v>
      </c>
    </row>
    <row r="740" spans="1:13" ht="15">
      <c r="A740" t="s">
        <v>3480</v>
      </c>
      <c r="B740" s="1040" t="str">
        <f>CONCATENATE(LEFT(RIGHT(CONCATENATE("000",IFAData_TEA_1718!A740),6),3),"-",(RIGHT(RIGHT(CONCATENATE("000",IFAData_TEA_1718!A740),6),3)))</f>
        <v>061-908</v>
      </c>
      <c r="C740" t="s">
        <v>2060</v>
      </c>
      <c r="D740">
        <v>1</v>
      </c>
      <c r="E740">
        <v>2303</v>
      </c>
      <c r="F740" t="s">
        <v>4532</v>
      </c>
      <c r="G740" t="s">
        <v>4533</v>
      </c>
      <c r="H740">
        <v>161107</v>
      </c>
      <c r="I740">
        <v>29603</v>
      </c>
      <c r="J740">
        <v>5.64184759407209E-2</v>
      </c>
      <c r="K740">
        <v>9089.4114033817204</v>
      </c>
      <c r="L740">
        <v>9089.4114033817204</v>
      </c>
      <c r="M740">
        <v>599</v>
      </c>
    </row>
    <row r="741" spans="1:13" ht="15">
      <c r="A741" t="s">
        <v>3480</v>
      </c>
      <c r="B741" s="1040" t="str">
        <f>CONCATENATE(LEFT(RIGHT(CONCATENATE("000",IFAData_TEA_1718!A741),6),3),"-",(RIGHT(RIGHT(CONCATENATE("000",IFAData_TEA_1718!A741),6),3)))</f>
        <v>061-908</v>
      </c>
      <c r="C741" t="s">
        <v>2060</v>
      </c>
      <c r="D741">
        <v>1</v>
      </c>
      <c r="E741">
        <v>2303</v>
      </c>
      <c r="F741" t="s">
        <v>4532</v>
      </c>
      <c r="G741" t="s">
        <v>4534</v>
      </c>
      <c r="H741">
        <v>161107</v>
      </c>
      <c r="I741">
        <v>14040</v>
      </c>
      <c r="J741">
        <v>2.6757943526254799E-2</v>
      </c>
      <c r="K741">
        <v>4310.8920076843297</v>
      </c>
      <c r="L741">
        <v>4310.8920076843297</v>
      </c>
      <c r="M741">
        <v>599</v>
      </c>
    </row>
    <row r="742" spans="1:13" ht="15">
      <c r="A742" t="s">
        <v>3480</v>
      </c>
      <c r="B742" s="1040" t="str">
        <f>CONCATENATE(LEFT(RIGHT(CONCATENATE("000",IFAData_TEA_1718!A742),6),3),"-",(RIGHT(RIGHT(CONCATENATE("000",IFAData_TEA_1718!A742),6),3)))</f>
        <v>061-908</v>
      </c>
      <c r="C742" t="s">
        <v>2060</v>
      </c>
      <c r="D742">
        <v>1</v>
      </c>
      <c r="E742">
        <v>2303</v>
      </c>
      <c r="F742" t="s">
        <v>4532</v>
      </c>
      <c r="G742" t="s">
        <v>6232</v>
      </c>
      <c r="H742">
        <v>161107</v>
      </c>
      <c r="I742">
        <v>39981</v>
      </c>
      <c r="J742">
        <v>7.6197246447520905E-2</v>
      </c>
      <c r="K742">
        <v>12275.9097834207</v>
      </c>
      <c r="L742">
        <v>12275.9097834207</v>
      </c>
      <c r="M742">
        <v>599</v>
      </c>
    </row>
    <row r="743" spans="1:13" ht="15">
      <c r="A743" t="s">
        <v>3480</v>
      </c>
      <c r="B743" s="1040" t="str">
        <f>CONCATENATE(LEFT(RIGHT(CONCATENATE("000",IFAData_TEA_1718!A743),6),3),"-",(RIGHT(RIGHT(CONCATENATE("000",IFAData_TEA_1718!A743),6),3)))</f>
        <v>061-908</v>
      </c>
      <c r="C743" t="s">
        <v>2060</v>
      </c>
      <c r="D743">
        <v>5</v>
      </c>
      <c r="E743">
        <v>2304</v>
      </c>
      <c r="F743" t="s">
        <v>4535</v>
      </c>
      <c r="G743" t="s">
        <v>4535</v>
      </c>
      <c r="H743">
        <v>461721</v>
      </c>
      <c r="I743">
        <v>1386827</v>
      </c>
      <c r="J743">
        <v>1</v>
      </c>
      <c r="K743">
        <v>461721</v>
      </c>
      <c r="L743">
        <v>461721</v>
      </c>
      <c r="M743">
        <v>599</v>
      </c>
    </row>
    <row r="744" spans="1:13" ht="15">
      <c r="A744" t="s">
        <v>3480</v>
      </c>
      <c r="B744" s="1040" t="str">
        <f>CONCATENATE(LEFT(RIGHT(CONCATENATE("000",IFAData_TEA_1718!A744),6),3),"-",(RIGHT(RIGHT(CONCATENATE("000",IFAData_TEA_1718!A744),6),3)))</f>
        <v>061-908</v>
      </c>
      <c r="C744" t="s">
        <v>2060</v>
      </c>
      <c r="D744">
        <v>9</v>
      </c>
      <c r="E744">
        <v>2305</v>
      </c>
      <c r="F744" t="s">
        <v>4533</v>
      </c>
      <c r="G744" t="s">
        <v>4533</v>
      </c>
      <c r="H744">
        <v>566674</v>
      </c>
      <c r="I744">
        <v>341582</v>
      </c>
      <c r="J744">
        <v>0.52190082139539395</v>
      </c>
      <c r="K744">
        <v>295747.62606341398</v>
      </c>
      <c r="L744">
        <v>295747.62606341398</v>
      </c>
      <c r="M744">
        <v>599</v>
      </c>
    </row>
    <row r="745" spans="1:13" ht="15">
      <c r="A745" t="s">
        <v>3480</v>
      </c>
      <c r="B745" s="1040" t="str">
        <f>CONCATENATE(LEFT(RIGHT(CONCATENATE("000",IFAData_TEA_1718!A745),6),3),"-",(RIGHT(RIGHT(CONCATENATE("000",IFAData_TEA_1718!A745),6),3)))</f>
        <v>061-908</v>
      </c>
      <c r="C745" t="s">
        <v>2060</v>
      </c>
      <c r="D745">
        <v>9</v>
      </c>
      <c r="E745">
        <v>2305</v>
      </c>
      <c r="F745" t="s">
        <v>4533</v>
      </c>
      <c r="G745" t="s">
        <v>4534</v>
      </c>
      <c r="H745">
        <v>566674</v>
      </c>
      <c r="I745">
        <v>0</v>
      </c>
      <c r="J745">
        <v>0</v>
      </c>
      <c r="K745">
        <v>0</v>
      </c>
      <c r="L745">
        <v>0</v>
      </c>
      <c r="M745">
        <v>599</v>
      </c>
    </row>
    <row r="746" spans="1:13" ht="15">
      <c r="A746" t="s">
        <v>3480</v>
      </c>
      <c r="B746" s="1040" t="str">
        <f>CONCATENATE(LEFT(RIGHT(CONCATENATE("000",IFAData_TEA_1718!A746),6),3),"-",(RIGHT(RIGHT(CONCATENATE("000",IFAData_TEA_1718!A746),6),3)))</f>
        <v>061-908</v>
      </c>
      <c r="C746" t="s">
        <v>2060</v>
      </c>
      <c r="D746">
        <v>9</v>
      </c>
      <c r="E746">
        <v>2305</v>
      </c>
      <c r="F746" t="s">
        <v>4533</v>
      </c>
      <c r="G746" t="s">
        <v>6232</v>
      </c>
      <c r="H746">
        <v>566674</v>
      </c>
      <c r="I746">
        <v>312914</v>
      </c>
      <c r="J746">
        <v>0.47809917860460599</v>
      </c>
      <c r="K746">
        <v>270926.37393658602</v>
      </c>
      <c r="L746">
        <v>270926.37393658602</v>
      </c>
      <c r="M746">
        <v>599</v>
      </c>
    </row>
    <row r="747" spans="1:13" ht="15">
      <c r="A747" t="s">
        <v>3481</v>
      </c>
      <c r="B747" s="1040" t="str">
        <f>CONCATENATE(LEFT(RIGHT(CONCATENATE("000",IFAData_TEA_1718!A747),6),3),"-",(RIGHT(RIGHT(CONCATENATE("000",IFAData_TEA_1718!A747),6),3)))</f>
        <v>061-911</v>
      </c>
      <c r="C747" t="s">
        <v>1256</v>
      </c>
      <c r="D747">
        <v>1</v>
      </c>
      <c r="E747">
        <v>2154</v>
      </c>
      <c r="F747" t="s">
        <v>4536</v>
      </c>
      <c r="G747" t="s">
        <v>4536</v>
      </c>
      <c r="H747">
        <v>740900</v>
      </c>
      <c r="I747">
        <v>0</v>
      </c>
      <c r="J747">
        <v>0</v>
      </c>
      <c r="K747">
        <v>0</v>
      </c>
      <c r="L747">
        <v>0</v>
      </c>
      <c r="M747">
        <v>599</v>
      </c>
    </row>
    <row r="748" spans="1:13" ht="15">
      <c r="A748" t="s">
        <v>3481</v>
      </c>
      <c r="B748" s="1040" t="str">
        <f>CONCATENATE(LEFT(RIGHT(CONCATENATE("000",IFAData_TEA_1718!A748),6),3),"-",(RIGHT(RIGHT(CONCATENATE("000",IFAData_TEA_1718!A748),6),3)))</f>
        <v>061-911</v>
      </c>
      <c r="C748" t="s">
        <v>1256</v>
      </c>
      <c r="D748">
        <v>1</v>
      </c>
      <c r="E748">
        <v>2154</v>
      </c>
      <c r="F748" t="s">
        <v>4536</v>
      </c>
      <c r="G748" t="s">
        <v>4537</v>
      </c>
      <c r="H748">
        <v>740900</v>
      </c>
      <c r="I748">
        <v>0</v>
      </c>
      <c r="J748">
        <v>0</v>
      </c>
      <c r="K748">
        <v>0</v>
      </c>
      <c r="L748">
        <v>0</v>
      </c>
      <c r="M748">
        <v>599</v>
      </c>
    </row>
    <row r="749" spans="1:13" ht="15">
      <c r="A749" t="s">
        <v>3481</v>
      </c>
      <c r="B749" s="1040" t="str">
        <f>CONCATENATE(LEFT(RIGHT(CONCATENATE("000",IFAData_TEA_1718!A749),6),3),"-",(RIGHT(RIGHT(CONCATENATE("000",IFAData_TEA_1718!A749),6),3)))</f>
        <v>061-911</v>
      </c>
      <c r="C749" t="s">
        <v>1256</v>
      </c>
      <c r="D749">
        <v>1</v>
      </c>
      <c r="E749">
        <v>2154</v>
      </c>
      <c r="F749" t="s">
        <v>4536</v>
      </c>
      <c r="G749" t="s">
        <v>4538</v>
      </c>
      <c r="H749">
        <v>740900</v>
      </c>
      <c r="I749">
        <v>0</v>
      </c>
      <c r="J749">
        <v>0</v>
      </c>
      <c r="K749">
        <v>0</v>
      </c>
      <c r="L749">
        <v>0</v>
      </c>
      <c r="M749">
        <v>599</v>
      </c>
    </row>
    <row r="750" spans="1:13" ht="15">
      <c r="A750" t="s">
        <v>3481</v>
      </c>
      <c r="B750" s="1040" t="str">
        <f>CONCATENATE(LEFT(RIGHT(CONCATENATE("000",IFAData_TEA_1718!A750),6),3),"-",(RIGHT(RIGHT(CONCATENATE("000",IFAData_TEA_1718!A750),6),3)))</f>
        <v>061-911</v>
      </c>
      <c r="C750" t="s">
        <v>1256</v>
      </c>
      <c r="D750">
        <v>1</v>
      </c>
      <c r="E750">
        <v>2154</v>
      </c>
      <c r="F750" t="s">
        <v>4536</v>
      </c>
      <c r="G750" t="s">
        <v>6233</v>
      </c>
      <c r="H750">
        <v>740900</v>
      </c>
      <c r="I750">
        <v>1712652</v>
      </c>
      <c r="J750">
        <v>0.99597516360166205</v>
      </c>
      <c r="K750">
        <v>737917.99871247099</v>
      </c>
      <c r="L750">
        <v>737917.99871247099</v>
      </c>
      <c r="M750">
        <v>599</v>
      </c>
    </row>
    <row r="751" spans="1:13" ht="15">
      <c r="A751" t="s">
        <v>3481</v>
      </c>
      <c r="B751" s="1040" t="str">
        <f>CONCATENATE(LEFT(RIGHT(CONCATENATE("000",IFAData_TEA_1718!A751),6),3),"-",(RIGHT(RIGHT(CONCATENATE("000",IFAData_TEA_1718!A751),6),3)))</f>
        <v>061-911</v>
      </c>
      <c r="C751" t="s">
        <v>1256</v>
      </c>
      <c r="D751">
        <v>1</v>
      </c>
      <c r="E751">
        <v>2154</v>
      </c>
      <c r="F751" t="s">
        <v>4536</v>
      </c>
      <c r="G751" t="s">
        <v>6443</v>
      </c>
      <c r="H751">
        <v>740900</v>
      </c>
      <c r="I751">
        <v>6921</v>
      </c>
      <c r="J751">
        <v>4.0248363983384303E-3</v>
      </c>
      <c r="K751">
        <v>2982.0012875289399</v>
      </c>
      <c r="L751">
        <v>2982.0012875289399</v>
      </c>
      <c r="M751">
        <v>599</v>
      </c>
    </row>
    <row r="752" spans="1:13" ht="15">
      <c r="A752" t="s">
        <v>3482</v>
      </c>
      <c r="B752" s="1040" t="str">
        <f>CONCATENATE(LEFT(RIGHT(CONCATENATE("000",IFAData_TEA_1718!A752),6),3),"-",(RIGHT(RIGHT(CONCATENATE("000",IFAData_TEA_1718!A752),6),3)))</f>
        <v>061-912</v>
      </c>
      <c r="C752" t="s">
        <v>2300</v>
      </c>
      <c r="D752">
        <v>3</v>
      </c>
      <c r="E752">
        <v>1997</v>
      </c>
      <c r="F752" t="s">
        <v>4539</v>
      </c>
      <c r="G752" t="s">
        <v>4539</v>
      </c>
      <c r="H752">
        <v>661840</v>
      </c>
      <c r="I752">
        <v>0</v>
      </c>
      <c r="J752">
        <v>0</v>
      </c>
      <c r="K752">
        <v>0</v>
      </c>
      <c r="L752">
        <v>0</v>
      </c>
      <c r="M752">
        <v>599</v>
      </c>
    </row>
    <row r="753" spans="1:13" ht="15">
      <c r="A753" t="s">
        <v>3482</v>
      </c>
      <c r="B753" s="1040" t="str">
        <f>CONCATENATE(LEFT(RIGHT(CONCATENATE("000",IFAData_TEA_1718!A753),6),3),"-",(RIGHT(RIGHT(CONCATENATE("000",IFAData_TEA_1718!A753),6),3)))</f>
        <v>061-912</v>
      </c>
      <c r="C753" t="s">
        <v>2300</v>
      </c>
      <c r="D753">
        <v>3</v>
      </c>
      <c r="E753">
        <v>1997</v>
      </c>
      <c r="F753" t="s">
        <v>4539</v>
      </c>
      <c r="G753" t="s">
        <v>4540</v>
      </c>
      <c r="H753">
        <v>661840</v>
      </c>
      <c r="I753">
        <v>0</v>
      </c>
      <c r="J753">
        <v>0</v>
      </c>
      <c r="K753">
        <v>0</v>
      </c>
      <c r="L753">
        <v>0</v>
      </c>
      <c r="M753">
        <v>599</v>
      </c>
    </row>
    <row r="754" spans="1:13" ht="15">
      <c r="A754" t="s">
        <v>3482</v>
      </c>
      <c r="B754" s="1040" t="str">
        <f>CONCATENATE(LEFT(RIGHT(CONCATENATE("000",IFAData_TEA_1718!A754),6),3),"-",(RIGHT(RIGHT(CONCATENATE("000",IFAData_TEA_1718!A754),6),3)))</f>
        <v>061-912</v>
      </c>
      <c r="C754" t="s">
        <v>2300</v>
      </c>
      <c r="D754">
        <v>3</v>
      </c>
      <c r="E754">
        <v>1997</v>
      </c>
      <c r="F754" t="s">
        <v>4539</v>
      </c>
      <c r="G754" t="s">
        <v>4541</v>
      </c>
      <c r="H754">
        <v>661840</v>
      </c>
      <c r="I754">
        <v>552875</v>
      </c>
      <c r="J754">
        <v>0.988977473762917</v>
      </c>
      <c r="K754">
        <v>654544.85123524896</v>
      </c>
      <c r="L754">
        <v>552875</v>
      </c>
      <c r="M754">
        <v>599</v>
      </c>
    </row>
    <row r="755" spans="1:13" ht="15">
      <c r="A755" t="s">
        <v>3482</v>
      </c>
      <c r="B755" s="1040" t="str">
        <f>CONCATENATE(LEFT(RIGHT(CONCATENATE("000",IFAData_TEA_1718!A755),6),3),"-",(RIGHT(RIGHT(CONCATENATE("000",IFAData_TEA_1718!A755),6),3)))</f>
        <v>061-912</v>
      </c>
      <c r="C755" t="s">
        <v>2300</v>
      </c>
      <c r="D755">
        <v>3</v>
      </c>
      <c r="E755">
        <v>1997</v>
      </c>
      <c r="F755" t="s">
        <v>4539</v>
      </c>
      <c r="G755" t="s">
        <v>4542</v>
      </c>
      <c r="H755">
        <v>661840</v>
      </c>
      <c r="I755">
        <v>0</v>
      </c>
      <c r="J755">
        <v>0</v>
      </c>
      <c r="K755">
        <v>0</v>
      </c>
      <c r="L755">
        <v>0</v>
      </c>
      <c r="M755">
        <v>599</v>
      </c>
    </row>
    <row r="756" spans="1:13" ht="15">
      <c r="A756" t="s">
        <v>3482</v>
      </c>
      <c r="B756" s="1040" t="str">
        <f>CONCATENATE(LEFT(RIGHT(CONCATENATE("000",IFAData_TEA_1718!A756),6),3),"-",(RIGHT(RIGHT(CONCATENATE("000",IFAData_TEA_1718!A756),6),3)))</f>
        <v>061-912</v>
      </c>
      <c r="C756" t="s">
        <v>2300</v>
      </c>
      <c r="D756">
        <v>3</v>
      </c>
      <c r="E756">
        <v>1997</v>
      </c>
      <c r="F756" t="s">
        <v>4539</v>
      </c>
      <c r="G756" t="s">
        <v>4543</v>
      </c>
      <c r="H756">
        <v>661840</v>
      </c>
      <c r="I756">
        <v>2110</v>
      </c>
      <c r="J756">
        <v>3.7743476728731699E-3</v>
      </c>
      <c r="K756">
        <v>2498.0142638143798</v>
      </c>
      <c r="L756">
        <v>2110</v>
      </c>
      <c r="M756">
        <v>599</v>
      </c>
    </row>
    <row r="757" spans="1:13" ht="15">
      <c r="A757" t="s">
        <v>3482</v>
      </c>
      <c r="B757" s="1040" t="str">
        <f>CONCATENATE(LEFT(RIGHT(CONCATENATE("000",IFAData_TEA_1718!A757),6),3),"-",(RIGHT(RIGHT(CONCATENATE("000",IFAData_TEA_1718!A757),6),3)))</f>
        <v>061-912</v>
      </c>
      <c r="C757" t="s">
        <v>2300</v>
      </c>
      <c r="D757">
        <v>3</v>
      </c>
      <c r="E757">
        <v>1997</v>
      </c>
      <c r="F757" t="s">
        <v>4539</v>
      </c>
      <c r="G757" t="s">
        <v>6234</v>
      </c>
      <c r="H757">
        <v>661840</v>
      </c>
      <c r="I757">
        <v>4052</v>
      </c>
      <c r="J757">
        <v>7.2481785642095203E-3</v>
      </c>
      <c r="K757">
        <v>4797.1345009364304</v>
      </c>
      <c r="L757">
        <v>4052</v>
      </c>
      <c r="M757">
        <v>599</v>
      </c>
    </row>
    <row r="758" spans="1:13" ht="15">
      <c r="A758" t="s">
        <v>3482</v>
      </c>
      <c r="B758" s="1040" t="str">
        <f>CONCATENATE(LEFT(RIGHT(CONCATENATE("000",IFAData_TEA_1718!A758),6),3),"-",(RIGHT(RIGHT(CONCATENATE("000",IFAData_TEA_1718!A758),6),3)))</f>
        <v>061-912</v>
      </c>
      <c r="C758" t="s">
        <v>2300</v>
      </c>
      <c r="D758">
        <v>9</v>
      </c>
      <c r="E758">
        <v>1996</v>
      </c>
      <c r="F758" t="s">
        <v>4544</v>
      </c>
      <c r="G758" t="s">
        <v>4544</v>
      </c>
      <c r="H758">
        <v>296517</v>
      </c>
      <c r="I758">
        <v>0</v>
      </c>
      <c r="J758">
        <v>0</v>
      </c>
      <c r="K758">
        <v>0</v>
      </c>
      <c r="L758">
        <v>0</v>
      </c>
      <c r="M758">
        <v>599</v>
      </c>
    </row>
    <row r="759" spans="1:13" ht="15">
      <c r="A759" t="s">
        <v>3482</v>
      </c>
      <c r="B759" s="1040" t="str">
        <f>CONCATENATE(LEFT(RIGHT(CONCATENATE("000",IFAData_TEA_1718!A759),6),3),"-",(RIGHT(RIGHT(CONCATENATE("000",IFAData_TEA_1718!A759),6),3)))</f>
        <v>061-912</v>
      </c>
      <c r="C759" t="s">
        <v>2300</v>
      </c>
      <c r="D759">
        <v>9</v>
      </c>
      <c r="E759">
        <v>1996</v>
      </c>
      <c r="F759" t="s">
        <v>4544</v>
      </c>
      <c r="G759" t="s">
        <v>6234</v>
      </c>
      <c r="H759">
        <v>296517</v>
      </c>
      <c r="I759">
        <v>64667</v>
      </c>
      <c r="J759">
        <v>0.10849512445557</v>
      </c>
      <c r="K759">
        <v>32170.6488181922</v>
      </c>
      <c r="L759">
        <v>32170.6488181922</v>
      </c>
      <c r="M759">
        <v>599</v>
      </c>
    </row>
    <row r="760" spans="1:13" ht="15">
      <c r="A760" t="s">
        <v>3482</v>
      </c>
      <c r="B760" s="1040" t="str">
        <f>CONCATENATE(LEFT(RIGHT(CONCATENATE("000",IFAData_TEA_1718!A760),6),3),"-",(RIGHT(RIGHT(CONCATENATE("000",IFAData_TEA_1718!A760),6),3)))</f>
        <v>061-912</v>
      </c>
      <c r="C760" t="s">
        <v>2300</v>
      </c>
      <c r="D760">
        <v>9</v>
      </c>
      <c r="E760">
        <v>1996</v>
      </c>
      <c r="F760" t="s">
        <v>4544</v>
      </c>
      <c r="G760" t="s">
        <v>6444</v>
      </c>
      <c r="H760">
        <v>296517</v>
      </c>
      <c r="I760">
        <v>531369</v>
      </c>
      <c r="J760">
        <v>0.89150487554443003</v>
      </c>
      <c r="K760">
        <v>264346.35118180799</v>
      </c>
      <c r="L760">
        <v>264346.35118180799</v>
      </c>
      <c r="M760">
        <v>599</v>
      </c>
    </row>
    <row r="761" spans="1:13" ht="15">
      <c r="A761" t="s">
        <v>3482</v>
      </c>
      <c r="B761" s="1040" t="str">
        <f>CONCATENATE(LEFT(RIGHT(CONCATENATE("000",IFAData_TEA_1718!A761),6),3),"-",(RIGHT(RIGHT(CONCATENATE("000",IFAData_TEA_1718!A761),6),3)))</f>
        <v>061-912</v>
      </c>
      <c r="C761" t="s">
        <v>2300</v>
      </c>
      <c r="D761">
        <v>10</v>
      </c>
      <c r="E761">
        <v>1995</v>
      </c>
      <c r="F761" t="s">
        <v>4545</v>
      </c>
      <c r="G761" t="s">
        <v>4545</v>
      </c>
      <c r="H761">
        <v>177100</v>
      </c>
      <c r="I761">
        <v>84318</v>
      </c>
      <c r="J761">
        <v>0.34374821639691799</v>
      </c>
      <c r="K761">
        <v>60877.8091238942</v>
      </c>
      <c r="L761">
        <v>60877.8091238942</v>
      </c>
      <c r="M761">
        <v>599</v>
      </c>
    </row>
    <row r="762" spans="1:13" ht="15">
      <c r="A762" t="s">
        <v>3482</v>
      </c>
      <c r="B762" s="1040" t="str">
        <f>CONCATENATE(LEFT(RIGHT(CONCATENATE("000",IFAData_TEA_1718!A762),6),3),"-",(RIGHT(RIGHT(CONCATENATE("000",IFAData_TEA_1718!A762),6),3)))</f>
        <v>061-912</v>
      </c>
      <c r="C762" t="s">
        <v>2300</v>
      </c>
      <c r="D762">
        <v>10</v>
      </c>
      <c r="E762">
        <v>1995</v>
      </c>
      <c r="F762" t="s">
        <v>4545</v>
      </c>
      <c r="G762" t="s">
        <v>6234</v>
      </c>
      <c r="H762">
        <v>177100</v>
      </c>
      <c r="I762">
        <v>160972</v>
      </c>
      <c r="J762">
        <v>0.65625178360308201</v>
      </c>
      <c r="K762">
        <v>116222.190876106</v>
      </c>
      <c r="L762">
        <v>116222.190876106</v>
      </c>
      <c r="M762">
        <v>599</v>
      </c>
    </row>
    <row r="763" spans="1:13" ht="15">
      <c r="A763" t="s">
        <v>3483</v>
      </c>
      <c r="B763" s="1040" t="str">
        <f>CONCATENATE(LEFT(RIGHT(CONCATENATE("000",IFAData_TEA_1718!A763),6),3),"-",(RIGHT(RIGHT(CONCATENATE("000",IFAData_TEA_1718!A763),6),3)))</f>
        <v>061-914</v>
      </c>
      <c r="C763" t="s">
        <v>1567</v>
      </c>
      <c r="D763">
        <v>5</v>
      </c>
      <c r="E763">
        <v>2026</v>
      </c>
      <c r="F763" t="s">
        <v>4546</v>
      </c>
      <c r="G763" t="s">
        <v>4546</v>
      </c>
      <c r="H763">
        <v>512028</v>
      </c>
      <c r="I763">
        <v>0</v>
      </c>
      <c r="J763">
        <v>0</v>
      </c>
      <c r="K763">
        <v>0</v>
      </c>
      <c r="L763">
        <v>0</v>
      </c>
      <c r="M763">
        <v>599</v>
      </c>
    </row>
    <row r="764" spans="1:13" ht="15">
      <c r="A764" t="s">
        <v>3483</v>
      </c>
      <c r="B764" s="1040" t="str">
        <f>CONCATENATE(LEFT(RIGHT(CONCATENATE("000",IFAData_TEA_1718!A764),6),3),"-",(RIGHT(RIGHT(CONCATENATE("000",IFAData_TEA_1718!A764),6),3)))</f>
        <v>061-914</v>
      </c>
      <c r="C764" t="s">
        <v>1567</v>
      </c>
      <c r="D764">
        <v>5</v>
      </c>
      <c r="E764">
        <v>2026</v>
      </c>
      <c r="F764" t="s">
        <v>4546</v>
      </c>
      <c r="G764" t="s">
        <v>4547</v>
      </c>
      <c r="H764">
        <v>512028</v>
      </c>
      <c r="I764">
        <v>0</v>
      </c>
      <c r="J764">
        <v>0</v>
      </c>
      <c r="K764">
        <v>0</v>
      </c>
      <c r="L764">
        <v>0</v>
      </c>
      <c r="M764">
        <v>599</v>
      </c>
    </row>
    <row r="765" spans="1:13" ht="15">
      <c r="A765" t="s">
        <v>3483</v>
      </c>
      <c r="B765" s="1040" t="str">
        <f>CONCATENATE(LEFT(RIGHT(CONCATENATE("000",IFAData_TEA_1718!A765),6),3),"-",(RIGHT(RIGHT(CONCATENATE("000",IFAData_TEA_1718!A765),6),3)))</f>
        <v>061-914</v>
      </c>
      <c r="C765" t="s">
        <v>1567</v>
      </c>
      <c r="D765">
        <v>5</v>
      </c>
      <c r="E765">
        <v>2026</v>
      </c>
      <c r="F765" t="s">
        <v>4546</v>
      </c>
      <c r="G765" t="s">
        <v>4548</v>
      </c>
      <c r="H765">
        <v>512028</v>
      </c>
      <c r="I765">
        <v>0</v>
      </c>
      <c r="J765">
        <v>0</v>
      </c>
      <c r="K765">
        <v>0</v>
      </c>
      <c r="L765">
        <v>0</v>
      </c>
      <c r="M765">
        <v>599</v>
      </c>
    </row>
    <row r="766" spans="1:13" ht="15">
      <c r="A766" t="s">
        <v>3483</v>
      </c>
      <c r="B766" s="1040" t="str">
        <f>CONCATENATE(LEFT(RIGHT(CONCATENATE("000",IFAData_TEA_1718!A766),6),3),"-",(RIGHT(RIGHT(CONCATENATE("000",IFAData_TEA_1718!A766),6),3)))</f>
        <v>061-914</v>
      </c>
      <c r="C766" t="s">
        <v>1567</v>
      </c>
      <c r="D766">
        <v>5</v>
      </c>
      <c r="E766">
        <v>2026</v>
      </c>
      <c r="F766" t="s">
        <v>4546</v>
      </c>
      <c r="G766" t="s">
        <v>4549</v>
      </c>
      <c r="H766">
        <v>512028</v>
      </c>
      <c r="I766">
        <v>0</v>
      </c>
      <c r="J766">
        <v>0</v>
      </c>
      <c r="K766">
        <v>0</v>
      </c>
      <c r="L766">
        <v>0</v>
      </c>
      <c r="M766">
        <v>599</v>
      </c>
    </row>
    <row r="767" spans="1:13" ht="15">
      <c r="A767" t="s">
        <v>3483</v>
      </c>
      <c r="B767" s="1040" t="str">
        <f>CONCATENATE(LEFT(RIGHT(CONCATENATE("000",IFAData_TEA_1718!A767),6),3),"-",(RIGHT(RIGHT(CONCATENATE("000",IFAData_TEA_1718!A767),6),3)))</f>
        <v>061-914</v>
      </c>
      <c r="C767" t="s">
        <v>1567</v>
      </c>
      <c r="D767">
        <v>5</v>
      </c>
      <c r="E767">
        <v>2026</v>
      </c>
      <c r="F767" t="s">
        <v>4546</v>
      </c>
      <c r="G767" t="s">
        <v>4550</v>
      </c>
      <c r="H767">
        <v>512028</v>
      </c>
      <c r="I767">
        <v>0</v>
      </c>
      <c r="J767">
        <v>0</v>
      </c>
      <c r="K767">
        <v>0</v>
      </c>
      <c r="L767">
        <v>0</v>
      </c>
      <c r="M767">
        <v>599</v>
      </c>
    </row>
    <row r="768" spans="1:13" ht="15">
      <c r="A768" t="s">
        <v>3483</v>
      </c>
      <c r="B768" s="1040" t="str">
        <f>CONCATENATE(LEFT(RIGHT(CONCATENATE("000",IFAData_TEA_1718!A768),6),3),"-",(RIGHT(RIGHT(CONCATENATE("000",IFAData_TEA_1718!A768),6),3)))</f>
        <v>061-914</v>
      </c>
      <c r="C768" t="s">
        <v>1567</v>
      </c>
      <c r="D768">
        <v>5</v>
      </c>
      <c r="E768">
        <v>2026</v>
      </c>
      <c r="F768" t="s">
        <v>4546</v>
      </c>
      <c r="G768" t="s">
        <v>4551</v>
      </c>
      <c r="H768">
        <v>512028</v>
      </c>
      <c r="I768">
        <v>578897</v>
      </c>
      <c r="J768">
        <v>0.48548852273689802</v>
      </c>
      <c r="K768">
        <v>248583.71731992799</v>
      </c>
      <c r="L768">
        <v>248583.71731992799</v>
      </c>
      <c r="M768">
        <v>599</v>
      </c>
    </row>
    <row r="769" spans="1:13" ht="15">
      <c r="A769" t="s">
        <v>3483</v>
      </c>
      <c r="B769" s="1040" t="str">
        <f>CONCATENATE(LEFT(RIGHT(CONCATENATE("000",IFAData_TEA_1718!A769),6),3),"-",(RIGHT(RIGHT(CONCATENATE("000",IFAData_TEA_1718!A769),6),3)))</f>
        <v>061-914</v>
      </c>
      <c r="C769" t="s">
        <v>1567</v>
      </c>
      <c r="D769">
        <v>5</v>
      </c>
      <c r="E769">
        <v>2026</v>
      </c>
      <c r="F769" t="s">
        <v>4546</v>
      </c>
      <c r="G769" t="s">
        <v>4552</v>
      </c>
      <c r="H769">
        <v>512028</v>
      </c>
      <c r="I769">
        <v>0</v>
      </c>
      <c r="J769">
        <v>0</v>
      </c>
      <c r="K769">
        <v>0</v>
      </c>
      <c r="L769">
        <v>0</v>
      </c>
      <c r="M769">
        <v>599</v>
      </c>
    </row>
    <row r="770" spans="1:13" ht="15">
      <c r="A770" t="s">
        <v>3483</v>
      </c>
      <c r="B770" s="1040" t="str">
        <f>CONCATENATE(LEFT(RIGHT(CONCATENATE("000",IFAData_TEA_1718!A770),6),3),"-",(RIGHT(RIGHT(CONCATENATE("000",IFAData_TEA_1718!A770),6),3)))</f>
        <v>061-914</v>
      </c>
      <c r="C770" t="s">
        <v>1567</v>
      </c>
      <c r="D770">
        <v>5</v>
      </c>
      <c r="E770">
        <v>2026</v>
      </c>
      <c r="F770" t="s">
        <v>4546</v>
      </c>
      <c r="G770" t="s">
        <v>4553</v>
      </c>
      <c r="H770">
        <v>512028</v>
      </c>
      <c r="I770">
        <v>334138</v>
      </c>
      <c r="J770">
        <v>0.28022284449610502</v>
      </c>
      <c r="K770">
        <v>143481.94262165201</v>
      </c>
      <c r="L770">
        <v>143481.94262165201</v>
      </c>
      <c r="M770">
        <v>599</v>
      </c>
    </row>
    <row r="771" spans="1:13" ht="15">
      <c r="A771" t="s">
        <v>3483</v>
      </c>
      <c r="B771" s="1040" t="str">
        <f>CONCATENATE(LEFT(RIGHT(CONCATENATE("000",IFAData_TEA_1718!A771),6),3),"-",(RIGHT(RIGHT(CONCATENATE("000",IFAData_TEA_1718!A771),6),3)))</f>
        <v>061-914</v>
      </c>
      <c r="C771" t="s">
        <v>1567</v>
      </c>
      <c r="D771">
        <v>5</v>
      </c>
      <c r="E771">
        <v>2026</v>
      </c>
      <c r="F771" t="s">
        <v>4546</v>
      </c>
      <c r="G771" t="s">
        <v>4554</v>
      </c>
      <c r="H771">
        <v>512028</v>
      </c>
      <c r="I771">
        <v>19605</v>
      </c>
      <c r="J771">
        <v>1.6441616536718801E-2</v>
      </c>
      <c r="K771">
        <v>8418.5680320630399</v>
      </c>
      <c r="L771">
        <v>8418.5680320630399</v>
      </c>
      <c r="M771">
        <v>599</v>
      </c>
    </row>
    <row r="772" spans="1:13" ht="15">
      <c r="A772" t="s">
        <v>3483</v>
      </c>
      <c r="B772" s="1040" t="str">
        <f>CONCATENATE(LEFT(RIGHT(CONCATENATE("000",IFAData_TEA_1718!A772),6),3),"-",(RIGHT(RIGHT(CONCATENATE("000",IFAData_TEA_1718!A772),6),3)))</f>
        <v>061-914</v>
      </c>
      <c r="C772" t="s">
        <v>1567</v>
      </c>
      <c r="D772">
        <v>5</v>
      </c>
      <c r="E772">
        <v>2026</v>
      </c>
      <c r="F772" t="s">
        <v>4546</v>
      </c>
      <c r="G772" t="s">
        <v>4555</v>
      </c>
      <c r="H772">
        <v>512028</v>
      </c>
      <c r="I772">
        <v>2</v>
      </c>
      <c r="J772">
        <v>1.6772880935188701E-6</v>
      </c>
      <c r="K772">
        <v>0.85881846794828298</v>
      </c>
      <c r="L772">
        <v>0.85881846794828298</v>
      </c>
      <c r="M772">
        <v>599</v>
      </c>
    </row>
    <row r="773" spans="1:13" ht="15">
      <c r="A773" t="s">
        <v>3483</v>
      </c>
      <c r="B773" s="1040" t="str">
        <f>CONCATENATE(LEFT(RIGHT(CONCATENATE("000",IFAData_TEA_1718!A773),6),3),"-",(RIGHT(RIGHT(CONCATENATE("000",IFAData_TEA_1718!A773),6),3)))</f>
        <v>061-914</v>
      </c>
      <c r="C773" t="s">
        <v>1567</v>
      </c>
      <c r="D773">
        <v>5</v>
      </c>
      <c r="E773">
        <v>2026</v>
      </c>
      <c r="F773" t="s">
        <v>4546</v>
      </c>
      <c r="G773" t="s">
        <v>4556</v>
      </c>
      <c r="H773">
        <v>512028</v>
      </c>
      <c r="I773">
        <v>3</v>
      </c>
      <c r="J773">
        <v>2.5159321402783101E-6</v>
      </c>
      <c r="K773">
        <v>1.28822770192242</v>
      </c>
      <c r="L773">
        <v>1.28822770192242</v>
      </c>
      <c r="M773">
        <v>599</v>
      </c>
    </row>
    <row r="774" spans="1:13" ht="15">
      <c r="A774" t="s">
        <v>3483</v>
      </c>
      <c r="B774" s="1040" t="str">
        <f>CONCATENATE(LEFT(RIGHT(CONCATENATE("000",IFAData_TEA_1718!A774),6),3),"-",(RIGHT(RIGHT(CONCATENATE("000",IFAData_TEA_1718!A774),6),3)))</f>
        <v>061-914</v>
      </c>
      <c r="C774" t="s">
        <v>1567</v>
      </c>
      <c r="D774">
        <v>5</v>
      </c>
      <c r="E774">
        <v>2026</v>
      </c>
      <c r="F774" t="s">
        <v>4546</v>
      </c>
      <c r="G774" t="s">
        <v>6235</v>
      </c>
      <c r="H774">
        <v>512028</v>
      </c>
      <c r="I774">
        <v>2118</v>
      </c>
      <c r="J774">
        <v>1.77624809103649E-3</v>
      </c>
      <c r="K774">
        <v>909.488757557231</v>
      </c>
      <c r="L774">
        <v>909.488757557231</v>
      </c>
      <c r="M774">
        <v>599</v>
      </c>
    </row>
    <row r="775" spans="1:13" ht="15">
      <c r="A775" t="s">
        <v>3483</v>
      </c>
      <c r="B775" s="1040" t="str">
        <f>CONCATENATE(LEFT(RIGHT(CONCATENATE("000",IFAData_TEA_1718!A775),6),3),"-",(RIGHT(RIGHT(CONCATENATE("000",IFAData_TEA_1718!A775),6),3)))</f>
        <v>061-914</v>
      </c>
      <c r="C775" t="s">
        <v>1567</v>
      </c>
      <c r="D775">
        <v>5</v>
      </c>
      <c r="E775">
        <v>2026</v>
      </c>
      <c r="F775" t="s">
        <v>4546</v>
      </c>
      <c r="G775" t="s">
        <v>6236</v>
      </c>
      <c r="H775">
        <v>512028</v>
      </c>
      <c r="I775">
        <v>44326</v>
      </c>
      <c r="J775">
        <v>3.7173736016658798E-2</v>
      </c>
      <c r="K775">
        <v>19033.9937051378</v>
      </c>
      <c r="L775">
        <v>19033.9937051378</v>
      </c>
      <c r="M775">
        <v>599</v>
      </c>
    </row>
    <row r="776" spans="1:13" ht="15">
      <c r="A776" t="s">
        <v>3483</v>
      </c>
      <c r="B776" s="1040" t="str">
        <f>CONCATENATE(LEFT(RIGHT(CONCATENATE("000",IFAData_TEA_1718!A776),6),3),"-",(RIGHT(RIGHT(CONCATENATE("000",IFAData_TEA_1718!A776),6),3)))</f>
        <v>061-914</v>
      </c>
      <c r="C776" t="s">
        <v>1567</v>
      </c>
      <c r="D776">
        <v>5</v>
      </c>
      <c r="E776">
        <v>2026</v>
      </c>
      <c r="F776" t="s">
        <v>4546</v>
      </c>
      <c r="G776" t="s">
        <v>6445</v>
      </c>
      <c r="H776">
        <v>512028</v>
      </c>
      <c r="I776">
        <v>212263</v>
      </c>
      <c r="J776">
        <v>0.178013101297298</v>
      </c>
      <c r="K776">
        <v>91147.692231053094</v>
      </c>
      <c r="L776">
        <v>91147.692231053094</v>
      </c>
      <c r="M776">
        <v>599</v>
      </c>
    </row>
    <row r="777" spans="1:13" ht="15">
      <c r="A777" t="s">
        <v>3483</v>
      </c>
      <c r="B777" s="1040" t="str">
        <f>CONCATENATE(LEFT(RIGHT(CONCATENATE("000",IFAData_TEA_1718!A777),6),3),"-",(RIGHT(RIGHT(CONCATENATE("000",IFAData_TEA_1718!A777),6),3)))</f>
        <v>061-914</v>
      </c>
      <c r="C777" t="s">
        <v>1567</v>
      </c>
      <c r="D777">
        <v>5</v>
      </c>
      <c r="E777">
        <v>2026</v>
      </c>
      <c r="F777" t="s">
        <v>4546</v>
      </c>
      <c r="G777" t="s">
        <v>8364</v>
      </c>
      <c r="H777">
        <v>512028</v>
      </c>
      <c r="I777">
        <v>1049</v>
      </c>
      <c r="J777">
        <v>8.7973760505065E-4</v>
      </c>
      <c r="K777">
        <v>450.450286438874</v>
      </c>
      <c r="L777">
        <v>450.450286438874</v>
      </c>
      <c r="M777">
        <v>599</v>
      </c>
    </row>
    <row r="778" spans="1:13" ht="15">
      <c r="A778" t="s">
        <v>3483</v>
      </c>
      <c r="B778" s="1040" t="str">
        <f>CONCATENATE(LEFT(RIGHT(CONCATENATE("000",IFAData_TEA_1718!A778),6),3),"-",(RIGHT(RIGHT(CONCATENATE("000",IFAData_TEA_1718!A778),6),3)))</f>
        <v>061-914</v>
      </c>
      <c r="C778" t="s">
        <v>1567</v>
      </c>
      <c r="D778">
        <v>9</v>
      </c>
      <c r="E778">
        <v>2027</v>
      </c>
      <c r="F778" t="s">
        <v>4551</v>
      </c>
      <c r="G778" t="s">
        <v>4551</v>
      </c>
      <c r="H778">
        <v>606882</v>
      </c>
      <c r="I778">
        <v>0</v>
      </c>
      <c r="J778">
        <v>0</v>
      </c>
      <c r="K778">
        <v>0</v>
      </c>
      <c r="L778">
        <v>0</v>
      </c>
      <c r="M778">
        <v>599</v>
      </c>
    </row>
    <row r="779" spans="1:13" ht="15">
      <c r="A779" t="s">
        <v>3483</v>
      </c>
      <c r="B779" s="1040" t="str">
        <f>CONCATENATE(LEFT(RIGHT(CONCATENATE("000",IFAData_TEA_1718!A779),6),3),"-",(RIGHT(RIGHT(CONCATENATE("000",IFAData_TEA_1718!A779),6),3)))</f>
        <v>061-914</v>
      </c>
      <c r="C779" t="s">
        <v>1567</v>
      </c>
      <c r="D779">
        <v>9</v>
      </c>
      <c r="E779">
        <v>2027</v>
      </c>
      <c r="F779" t="s">
        <v>4551</v>
      </c>
      <c r="G779" t="s">
        <v>6236</v>
      </c>
      <c r="H779">
        <v>606882</v>
      </c>
      <c r="I779">
        <v>102763</v>
      </c>
      <c r="J779">
        <v>0.12276042823933001</v>
      </c>
      <c r="K779">
        <v>74501.094210741299</v>
      </c>
      <c r="L779">
        <v>74501.094210741299</v>
      </c>
      <c r="M779">
        <v>599</v>
      </c>
    </row>
    <row r="780" spans="1:13" ht="15">
      <c r="A780" t="s">
        <v>3483</v>
      </c>
      <c r="B780" s="1040" t="str">
        <f>CONCATENATE(LEFT(RIGHT(CONCATENATE("000",IFAData_TEA_1718!A780),6),3),"-",(RIGHT(RIGHT(CONCATENATE("000",IFAData_TEA_1718!A780),6),3)))</f>
        <v>061-914</v>
      </c>
      <c r="C780" t="s">
        <v>1567</v>
      </c>
      <c r="D780">
        <v>9</v>
      </c>
      <c r="E780">
        <v>2027</v>
      </c>
      <c r="F780" t="s">
        <v>4551</v>
      </c>
      <c r="G780" t="s">
        <v>6445</v>
      </c>
      <c r="H780">
        <v>606882</v>
      </c>
      <c r="I780">
        <v>734339</v>
      </c>
      <c r="J780">
        <v>0.87723957176067002</v>
      </c>
      <c r="K780">
        <v>532380.90578925901</v>
      </c>
      <c r="L780">
        <v>532380.90578925901</v>
      </c>
      <c r="M780">
        <v>599</v>
      </c>
    </row>
    <row r="781" spans="1:13" ht="15">
      <c r="A781" t="s">
        <v>3483</v>
      </c>
      <c r="B781" s="1040" t="str">
        <f>CONCATENATE(LEFT(RIGHT(CONCATENATE("000",IFAData_TEA_1718!A781),6),3),"-",(RIGHT(RIGHT(CONCATENATE("000",IFAData_TEA_1718!A781),6),3)))</f>
        <v>061-914</v>
      </c>
      <c r="C781" t="s">
        <v>1567</v>
      </c>
      <c r="D781">
        <v>9</v>
      </c>
      <c r="E781">
        <v>2025</v>
      </c>
      <c r="F781" t="s">
        <v>4557</v>
      </c>
      <c r="G781" t="s">
        <v>4557</v>
      </c>
      <c r="H781">
        <v>353398</v>
      </c>
      <c r="I781">
        <v>320538</v>
      </c>
      <c r="J781">
        <v>0.565200141768188</v>
      </c>
      <c r="K781">
        <v>199740.599700594</v>
      </c>
      <c r="L781">
        <v>199740.599700594</v>
      </c>
      <c r="M781">
        <v>599</v>
      </c>
    </row>
    <row r="782" spans="1:13" ht="15">
      <c r="A782" t="s">
        <v>3483</v>
      </c>
      <c r="B782" s="1040" t="str">
        <f>CONCATENATE(LEFT(RIGHT(CONCATENATE("000",IFAData_TEA_1718!A782),6),3),"-",(RIGHT(RIGHT(CONCATENATE("000",IFAData_TEA_1718!A782),6),3)))</f>
        <v>061-914</v>
      </c>
      <c r="C782" t="s">
        <v>1567</v>
      </c>
      <c r="D782">
        <v>9</v>
      </c>
      <c r="E782">
        <v>2025</v>
      </c>
      <c r="F782" t="s">
        <v>4557</v>
      </c>
      <c r="G782" t="s">
        <v>8364</v>
      </c>
      <c r="H782">
        <v>353398</v>
      </c>
      <c r="I782">
        <v>246585</v>
      </c>
      <c r="J782">
        <v>0.434799858231812</v>
      </c>
      <c r="K782">
        <v>153657.400299406</v>
      </c>
      <c r="L782">
        <v>153657.400299406</v>
      </c>
      <c r="M782">
        <v>599</v>
      </c>
    </row>
    <row r="783" spans="1:13" ht="15">
      <c r="A783" t="s">
        <v>3484</v>
      </c>
      <c r="B783" s="1040" t="str">
        <f>CONCATENATE(LEFT(RIGHT(CONCATENATE("000",IFAData_TEA_1718!A783),6),3),"-",(RIGHT(RIGHT(CONCATENATE("000",IFAData_TEA_1718!A783),6),3)))</f>
        <v>062-901</v>
      </c>
      <c r="C783" t="s">
        <v>421</v>
      </c>
      <c r="D783">
        <v>6</v>
      </c>
      <c r="E783">
        <v>1741</v>
      </c>
      <c r="F783" t="s">
        <v>4558</v>
      </c>
      <c r="G783" t="s">
        <v>4558</v>
      </c>
      <c r="H783">
        <v>487605</v>
      </c>
      <c r="I783">
        <v>0</v>
      </c>
      <c r="J783">
        <v>0</v>
      </c>
      <c r="K783">
        <v>0</v>
      </c>
      <c r="L783">
        <v>0</v>
      </c>
      <c r="M783">
        <v>599</v>
      </c>
    </row>
    <row r="784" spans="1:13" ht="15">
      <c r="A784" t="s">
        <v>3484</v>
      </c>
      <c r="B784" s="1040" t="str">
        <f>CONCATENATE(LEFT(RIGHT(CONCATENATE("000",IFAData_TEA_1718!A784),6),3),"-",(RIGHT(RIGHT(CONCATENATE("000",IFAData_TEA_1718!A784),6),3)))</f>
        <v>062-901</v>
      </c>
      <c r="C784" t="s">
        <v>421</v>
      </c>
      <c r="D784">
        <v>6</v>
      </c>
      <c r="E784">
        <v>1741</v>
      </c>
      <c r="F784" t="s">
        <v>4558</v>
      </c>
      <c r="G784" t="s">
        <v>6237</v>
      </c>
      <c r="H784">
        <v>487605</v>
      </c>
      <c r="I784">
        <v>351961</v>
      </c>
      <c r="J784">
        <v>1</v>
      </c>
      <c r="K784">
        <v>487605</v>
      </c>
      <c r="L784">
        <v>351961</v>
      </c>
      <c r="M784">
        <v>599</v>
      </c>
    </row>
    <row r="785" spans="1:13" ht="15">
      <c r="A785" t="s">
        <v>3485</v>
      </c>
      <c r="B785" s="1040" t="str">
        <f>CONCATENATE(LEFT(RIGHT(CONCATENATE("000",IFAData_TEA_1718!A785),6),3),"-",(RIGHT(RIGHT(CONCATENATE("000",IFAData_TEA_1718!A785),6),3)))</f>
        <v>062-903</v>
      </c>
      <c r="C785" t="s">
        <v>2196</v>
      </c>
      <c r="D785">
        <v>3</v>
      </c>
      <c r="E785">
        <v>2466</v>
      </c>
      <c r="F785" t="s">
        <v>4559</v>
      </c>
      <c r="G785" t="s">
        <v>4559</v>
      </c>
      <c r="H785">
        <v>5516</v>
      </c>
      <c r="I785">
        <v>0</v>
      </c>
      <c r="J785">
        <v>0</v>
      </c>
      <c r="K785"/>
      <c r="L785">
        <v>0</v>
      </c>
      <c r="M785">
        <v>599</v>
      </c>
    </row>
    <row r="786" spans="1:13" ht="15">
      <c r="A786" t="s">
        <v>3485</v>
      </c>
      <c r="B786" s="1040" t="str">
        <f>CONCATENATE(LEFT(RIGHT(CONCATENATE("000",IFAData_TEA_1718!A786),6),3),"-",(RIGHT(RIGHT(CONCATENATE("000",IFAData_TEA_1718!A786),6),3)))</f>
        <v>062-903</v>
      </c>
      <c r="C786" t="s">
        <v>2196</v>
      </c>
      <c r="D786">
        <v>3</v>
      </c>
      <c r="E786">
        <v>2466</v>
      </c>
      <c r="F786" t="s">
        <v>4559</v>
      </c>
      <c r="G786" t="s">
        <v>4560</v>
      </c>
      <c r="H786">
        <v>5516</v>
      </c>
      <c r="I786">
        <v>0</v>
      </c>
      <c r="J786">
        <v>0</v>
      </c>
      <c r="K786"/>
      <c r="L786">
        <v>0</v>
      </c>
      <c r="M786">
        <v>599</v>
      </c>
    </row>
    <row r="787" spans="1:13" ht="15">
      <c r="A787" t="s">
        <v>3485</v>
      </c>
      <c r="B787" s="1040" t="str">
        <f>CONCATENATE(LEFT(RIGHT(CONCATENATE("000",IFAData_TEA_1718!A787),6),3),"-",(RIGHT(RIGHT(CONCATENATE("000",IFAData_TEA_1718!A787),6),3)))</f>
        <v>062-903</v>
      </c>
      <c r="C787" t="s">
        <v>2196</v>
      </c>
      <c r="D787">
        <v>3</v>
      </c>
      <c r="E787">
        <v>2466</v>
      </c>
      <c r="F787" t="s">
        <v>4559</v>
      </c>
      <c r="G787" t="s">
        <v>4561</v>
      </c>
      <c r="H787">
        <v>5516</v>
      </c>
      <c r="I787">
        <v>0</v>
      </c>
      <c r="J787">
        <v>0</v>
      </c>
      <c r="K787"/>
      <c r="L787">
        <v>0</v>
      </c>
      <c r="M787">
        <v>599</v>
      </c>
    </row>
    <row r="788" spans="1:13" ht="15">
      <c r="A788" t="s">
        <v>3485</v>
      </c>
      <c r="B788" s="1040" t="str">
        <f>CONCATENATE(LEFT(RIGHT(CONCATENATE("000",IFAData_TEA_1718!A788),6),3),"-",(RIGHT(RIGHT(CONCATENATE("000",IFAData_TEA_1718!A788),6),3)))</f>
        <v>062-903</v>
      </c>
      <c r="C788" t="s">
        <v>2196</v>
      </c>
      <c r="D788">
        <v>3</v>
      </c>
      <c r="E788">
        <v>2467</v>
      </c>
      <c r="F788" t="s">
        <v>4562</v>
      </c>
      <c r="G788" t="s">
        <v>4562</v>
      </c>
      <c r="H788">
        <v>324334</v>
      </c>
      <c r="I788">
        <v>0</v>
      </c>
      <c r="J788">
        <v>0</v>
      </c>
      <c r="K788"/>
      <c r="L788">
        <v>0</v>
      </c>
      <c r="M788">
        <v>599</v>
      </c>
    </row>
    <row r="789" spans="1:13" ht="15">
      <c r="A789" t="s">
        <v>3485</v>
      </c>
      <c r="B789" s="1040" t="str">
        <f>CONCATENATE(LEFT(RIGHT(CONCATENATE("000",IFAData_TEA_1718!A789),6),3),"-",(RIGHT(RIGHT(CONCATENATE("000",IFAData_TEA_1718!A789),6),3)))</f>
        <v>062-903</v>
      </c>
      <c r="C789" t="s">
        <v>2196</v>
      </c>
      <c r="D789">
        <v>3</v>
      </c>
      <c r="E789">
        <v>2467</v>
      </c>
      <c r="F789" t="s">
        <v>4562</v>
      </c>
      <c r="G789" t="s">
        <v>4560</v>
      </c>
      <c r="H789">
        <v>324334</v>
      </c>
      <c r="I789">
        <v>0</v>
      </c>
      <c r="J789">
        <v>0</v>
      </c>
      <c r="K789"/>
      <c r="L789">
        <v>0</v>
      </c>
      <c r="M789">
        <v>599</v>
      </c>
    </row>
    <row r="790" spans="1:13" ht="15">
      <c r="A790" t="s">
        <v>3485</v>
      </c>
      <c r="B790" s="1040" t="str">
        <f>CONCATENATE(LEFT(RIGHT(CONCATENATE("000",IFAData_TEA_1718!A790),6),3),"-",(RIGHT(RIGHT(CONCATENATE("000",IFAData_TEA_1718!A790),6),3)))</f>
        <v>062-903</v>
      </c>
      <c r="C790" t="s">
        <v>2196</v>
      </c>
      <c r="D790">
        <v>3</v>
      </c>
      <c r="E790">
        <v>2467</v>
      </c>
      <c r="F790" t="s">
        <v>4562</v>
      </c>
      <c r="G790" t="s">
        <v>4561</v>
      </c>
      <c r="H790">
        <v>324334</v>
      </c>
      <c r="I790">
        <v>0</v>
      </c>
      <c r="J790">
        <v>0</v>
      </c>
      <c r="K790"/>
      <c r="L790">
        <v>0</v>
      </c>
      <c r="M790">
        <v>599</v>
      </c>
    </row>
    <row r="791" spans="1:13" ht="15">
      <c r="A791" t="s">
        <v>3485</v>
      </c>
      <c r="B791" s="1040" t="str">
        <f>CONCATENATE(LEFT(RIGHT(CONCATENATE("000",IFAData_TEA_1718!A791),6),3),"-",(RIGHT(RIGHT(CONCATENATE("000",IFAData_TEA_1718!A791),6),3)))</f>
        <v>062-903</v>
      </c>
      <c r="C791" t="s">
        <v>2196</v>
      </c>
      <c r="D791">
        <v>9</v>
      </c>
      <c r="E791">
        <v>2468</v>
      </c>
      <c r="F791" t="s">
        <v>4563</v>
      </c>
      <c r="G791" t="s">
        <v>4563</v>
      </c>
      <c r="H791">
        <v>368750</v>
      </c>
      <c r="I791">
        <v>0</v>
      </c>
      <c r="J791">
        <v>0</v>
      </c>
      <c r="K791">
        <v>0</v>
      </c>
      <c r="L791">
        <v>0</v>
      </c>
      <c r="M791">
        <v>599</v>
      </c>
    </row>
    <row r="792" spans="1:13" ht="15">
      <c r="A792" t="s">
        <v>3485</v>
      </c>
      <c r="B792" s="1040" t="str">
        <f>CONCATENATE(LEFT(RIGHT(CONCATENATE("000",IFAData_TEA_1718!A792),6),3),"-",(RIGHT(RIGHT(CONCATENATE("000",IFAData_TEA_1718!A792),6),3)))</f>
        <v>062-903</v>
      </c>
      <c r="C792" t="s">
        <v>2196</v>
      </c>
      <c r="D792">
        <v>9</v>
      </c>
      <c r="E792">
        <v>2468</v>
      </c>
      <c r="F792" t="s">
        <v>4563</v>
      </c>
      <c r="G792" t="s">
        <v>6446</v>
      </c>
      <c r="H792">
        <v>368750</v>
      </c>
      <c r="I792">
        <v>455523</v>
      </c>
      <c r="J792">
        <v>1</v>
      </c>
      <c r="K792">
        <v>368750</v>
      </c>
      <c r="L792">
        <v>368750</v>
      </c>
      <c r="M792">
        <v>599</v>
      </c>
    </row>
    <row r="793" spans="1:13" ht="15">
      <c r="A793" t="s">
        <v>3486</v>
      </c>
      <c r="B793" s="1040" t="str">
        <f>CONCATENATE(LEFT(RIGHT(CONCATENATE("000",IFAData_TEA_1718!A793),6),3),"-",(RIGHT(RIGHT(CONCATENATE("000",IFAData_TEA_1718!A793),6),3)))</f>
        <v>064-903</v>
      </c>
      <c r="C793" t="s">
        <v>30</v>
      </c>
      <c r="D793">
        <v>4</v>
      </c>
      <c r="E793">
        <v>1665</v>
      </c>
      <c r="F793" t="s">
        <v>4564</v>
      </c>
      <c r="G793" t="s">
        <v>4564</v>
      </c>
      <c r="H793">
        <v>551763</v>
      </c>
      <c r="I793">
        <v>0</v>
      </c>
      <c r="J793">
        <v>0</v>
      </c>
      <c r="K793">
        <v>0</v>
      </c>
      <c r="L793">
        <v>0</v>
      </c>
      <c r="M793">
        <v>599</v>
      </c>
    </row>
    <row r="794" spans="1:13" ht="15">
      <c r="A794" t="s">
        <v>3486</v>
      </c>
      <c r="B794" s="1040" t="str">
        <f>CONCATENATE(LEFT(RIGHT(CONCATENATE("000",IFAData_TEA_1718!A794),6),3),"-",(RIGHT(RIGHT(CONCATENATE("000",IFAData_TEA_1718!A794),6),3)))</f>
        <v>064-903</v>
      </c>
      <c r="C794" t="s">
        <v>30</v>
      </c>
      <c r="D794">
        <v>4</v>
      </c>
      <c r="E794">
        <v>1665</v>
      </c>
      <c r="F794" t="s">
        <v>4564</v>
      </c>
      <c r="G794" t="s">
        <v>4565</v>
      </c>
      <c r="H794">
        <v>551763</v>
      </c>
      <c r="I794">
        <v>0</v>
      </c>
      <c r="J794">
        <v>0</v>
      </c>
      <c r="K794">
        <v>0</v>
      </c>
      <c r="L794">
        <v>0</v>
      </c>
      <c r="M794">
        <v>599</v>
      </c>
    </row>
    <row r="795" spans="1:13" ht="15">
      <c r="A795" t="s">
        <v>3486</v>
      </c>
      <c r="B795" s="1040" t="str">
        <f>CONCATENATE(LEFT(RIGHT(CONCATENATE("000",IFAData_TEA_1718!A795),6),3),"-",(RIGHT(RIGHT(CONCATENATE("000",IFAData_TEA_1718!A795),6),3)))</f>
        <v>064-903</v>
      </c>
      <c r="C795" t="s">
        <v>30</v>
      </c>
      <c r="D795">
        <v>4</v>
      </c>
      <c r="E795">
        <v>1665</v>
      </c>
      <c r="F795" t="s">
        <v>4564</v>
      </c>
      <c r="G795" t="s">
        <v>6238</v>
      </c>
      <c r="H795">
        <v>551763</v>
      </c>
      <c r="I795">
        <v>460300</v>
      </c>
      <c r="J795">
        <v>1</v>
      </c>
      <c r="K795">
        <v>551763</v>
      </c>
      <c r="L795">
        <v>460300</v>
      </c>
      <c r="M795">
        <v>599</v>
      </c>
    </row>
    <row r="796" spans="1:13" ht="15">
      <c r="A796" t="s">
        <v>3487</v>
      </c>
      <c r="B796" s="1040" t="str">
        <f>CONCATENATE(LEFT(RIGHT(CONCATENATE("000",IFAData_TEA_1718!A796),6),3),"-",(RIGHT(RIGHT(CONCATENATE("000",IFAData_TEA_1718!A796),6),3)))</f>
        <v>065-902</v>
      </c>
      <c r="C796" t="s">
        <v>2370</v>
      </c>
      <c r="D796">
        <v>6</v>
      </c>
      <c r="E796">
        <v>1880</v>
      </c>
      <c r="F796" t="s">
        <v>4566</v>
      </c>
      <c r="G796" t="s">
        <v>4566</v>
      </c>
      <c r="H796">
        <v>89335</v>
      </c>
      <c r="I796">
        <v>0</v>
      </c>
      <c r="J796">
        <v>0</v>
      </c>
      <c r="K796"/>
      <c r="L796">
        <v>0</v>
      </c>
      <c r="M796">
        <v>599</v>
      </c>
    </row>
    <row r="797" spans="1:13" ht="15">
      <c r="A797" t="s">
        <v>3488</v>
      </c>
      <c r="B797" s="1040" t="str">
        <f>CONCATENATE(LEFT(RIGHT(CONCATENATE("000",IFAData_TEA_1718!A797),6),3),"-",(RIGHT(RIGHT(CONCATENATE("000",IFAData_TEA_1718!A797),6),3)))</f>
        <v>066-902</v>
      </c>
      <c r="C797" t="s">
        <v>2030</v>
      </c>
      <c r="D797">
        <v>4</v>
      </c>
      <c r="E797">
        <v>2291</v>
      </c>
      <c r="F797" t="s">
        <v>4567</v>
      </c>
      <c r="G797" t="s">
        <v>4567</v>
      </c>
      <c r="H797">
        <v>395737</v>
      </c>
      <c r="I797">
        <v>0</v>
      </c>
      <c r="J797">
        <v>0</v>
      </c>
      <c r="K797">
        <v>0</v>
      </c>
      <c r="L797">
        <v>0</v>
      </c>
      <c r="M797">
        <v>599</v>
      </c>
    </row>
    <row r="798" spans="1:13" ht="15">
      <c r="A798" t="s">
        <v>3488</v>
      </c>
      <c r="B798" s="1040" t="str">
        <f>CONCATENATE(LEFT(RIGHT(CONCATENATE("000",IFAData_TEA_1718!A798),6),3),"-",(RIGHT(RIGHT(CONCATENATE("000",IFAData_TEA_1718!A798),6),3)))</f>
        <v>066-902</v>
      </c>
      <c r="C798" t="s">
        <v>2030</v>
      </c>
      <c r="D798">
        <v>4</v>
      </c>
      <c r="E798">
        <v>2291</v>
      </c>
      <c r="F798" t="s">
        <v>4567</v>
      </c>
      <c r="G798" t="s">
        <v>4568</v>
      </c>
      <c r="H798">
        <v>395737</v>
      </c>
      <c r="I798">
        <v>0</v>
      </c>
      <c r="J798">
        <v>0</v>
      </c>
      <c r="K798">
        <v>0</v>
      </c>
      <c r="L798">
        <v>0</v>
      </c>
      <c r="M798">
        <v>599</v>
      </c>
    </row>
    <row r="799" spans="1:13" ht="15">
      <c r="A799" t="s">
        <v>3488</v>
      </c>
      <c r="B799" s="1040" t="str">
        <f>CONCATENATE(LEFT(RIGHT(CONCATENATE("000",IFAData_TEA_1718!A799),6),3),"-",(RIGHT(RIGHT(CONCATENATE("000",IFAData_TEA_1718!A799),6),3)))</f>
        <v>066-902</v>
      </c>
      <c r="C799" t="s">
        <v>2030</v>
      </c>
      <c r="D799">
        <v>4</v>
      </c>
      <c r="E799">
        <v>2291</v>
      </c>
      <c r="F799" t="s">
        <v>4567</v>
      </c>
      <c r="G799" t="s">
        <v>6239</v>
      </c>
      <c r="H799">
        <v>395737</v>
      </c>
      <c r="I799">
        <v>314200</v>
      </c>
      <c r="J799">
        <v>1</v>
      </c>
      <c r="K799">
        <v>395737</v>
      </c>
      <c r="L799">
        <v>314200</v>
      </c>
      <c r="M799">
        <v>599</v>
      </c>
    </row>
    <row r="800" spans="1:13" ht="15">
      <c r="A800" t="s">
        <v>3488</v>
      </c>
      <c r="B800" s="1040" t="str">
        <f>CONCATENATE(LEFT(RIGHT(CONCATENATE("000",IFAData_TEA_1718!A800),6),3),"-",(RIGHT(RIGHT(CONCATENATE("000",IFAData_TEA_1718!A800),6),3)))</f>
        <v>066-902</v>
      </c>
      <c r="C800" t="s">
        <v>2030</v>
      </c>
      <c r="D800">
        <v>5</v>
      </c>
      <c r="E800">
        <v>2288</v>
      </c>
      <c r="F800" t="s">
        <v>4569</v>
      </c>
      <c r="G800" t="s">
        <v>4569</v>
      </c>
      <c r="H800">
        <v>221765</v>
      </c>
      <c r="I800">
        <v>0</v>
      </c>
      <c r="J800">
        <v>0</v>
      </c>
      <c r="K800">
        <v>0</v>
      </c>
      <c r="L800">
        <v>0</v>
      </c>
      <c r="M800">
        <v>599</v>
      </c>
    </row>
    <row r="801" spans="1:13" ht="15">
      <c r="A801" t="s">
        <v>3488</v>
      </c>
      <c r="B801" s="1040" t="str">
        <f>CONCATENATE(LEFT(RIGHT(CONCATENATE("000",IFAData_TEA_1718!A801),6),3),"-",(RIGHT(RIGHT(CONCATENATE("000",IFAData_TEA_1718!A801),6),3)))</f>
        <v>066-902</v>
      </c>
      <c r="C801" t="s">
        <v>2030</v>
      </c>
      <c r="D801">
        <v>5</v>
      </c>
      <c r="E801">
        <v>2288</v>
      </c>
      <c r="F801" t="s">
        <v>4569</v>
      </c>
      <c r="G801" t="s">
        <v>4568</v>
      </c>
      <c r="H801">
        <v>221765</v>
      </c>
      <c r="I801">
        <v>0</v>
      </c>
      <c r="J801">
        <v>0</v>
      </c>
      <c r="K801">
        <v>0</v>
      </c>
      <c r="L801">
        <v>0</v>
      </c>
      <c r="M801">
        <v>599</v>
      </c>
    </row>
    <row r="802" spans="1:13" ht="15">
      <c r="A802" t="s">
        <v>3488</v>
      </c>
      <c r="B802" s="1040" t="str">
        <f>CONCATENATE(LEFT(RIGHT(CONCATENATE("000",IFAData_TEA_1718!A802),6),3),"-",(RIGHT(RIGHT(CONCATENATE("000",IFAData_TEA_1718!A802),6),3)))</f>
        <v>066-902</v>
      </c>
      <c r="C802" t="s">
        <v>2030</v>
      </c>
      <c r="D802">
        <v>5</v>
      </c>
      <c r="E802">
        <v>2288</v>
      </c>
      <c r="F802" t="s">
        <v>4569</v>
      </c>
      <c r="G802" t="s">
        <v>6239</v>
      </c>
      <c r="H802">
        <v>221765</v>
      </c>
      <c r="I802">
        <v>207400</v>
      </c>
      <c r="J802">
        <v>1</v>
      </c>
      <c r="K802">
        <v>221765</v>
      </c>
      <c r="L802">
        <v>207400</v>
      </c>
      <c r="M802">
        <v>599</v>
      </c>
    </row>
    <row r="803" spans="1:13" ht="15">
      <c r="A803" t="s">
        <v>3488</v>
      </c>
      <c r="B803" s="1040" t="str">
        <f>CONCATENATE(LEFT(RIGHT(CONCATENATE("000",IFAData_TEA_1718!A803),6),3),"-",(RIGHT(RIGHT(CONCATENATE("000",IFAData_TEA_1718!A803),6),3)))</f>
        <v>066-902</v>
      </c>
      <c r="C803" t="s">
        <v>2030</v>
      </c>
      <c r="D803">
        <v>8</v>
      </c>
      <c r="E803">
        <v>2290</v>
      </c>
      <c r="F803" t="s">
        <v>4570</v>
      </c>
      <c r="G803" t="s">
        <v>4570</v>
      </c>
      <c r="H803">
        <v>346350</v>
      </c>
      <c r="I803">
        <v>0</v>
      </c>
      <c r="J803">
        <v>0</v>
      </c>
      <c r="K803">
        <v>0</v>
      </c>
      <c r="L803">
        <v>0</v>
      </c>
      <c r="M803">
        <v>599</v>
      </c>
    </row>
    <row r="804" spans="1:13" ht="15">
      <c r="A804" t="s">
        <v>3488</v>
      </c>
      <c r="B804" s="1040" t="str">
        <f>CONCATENATE(LEFT(RIGHT(CONCATENATE("000",IFAData_TEA_1718!A804),6),3),"-",(RIGHT(RIGHT(CONCATENATE("000",IFAData_TEA_1718!A804),6),3)))</f>
        <v>066-902</v>
      </c>
      <c r="C804" t="s">
        <v>2030</v>
      </c>
      <c r="D804">
        <v>8</v>
      </c>
      <c r="E804">
        <v>2290</v>
      </c>
      <c r="F804" t="s">
        <v>4570</v>
      </c>
      <c r="G804" t="s">
        <v>6447</v>
      </c>
      <c r="H804">
        <v>346350</v>
      </c>
      <c r="I804">
        <v>454200</v>
      </c>
      <c r="J804">
        <v>1</v>
      </c>
      <c r="K804">
        <v>346350</v>
      </c>
      <c r="L804">
        <v>346350</v>
      </c>
      <c r="M804">
        <v>599</v>
      </c>
    </row>
    <row r="805" spans="1:13" ht="15">
      <c r="A805" t="s">
        <v>3488</v>
      </c>
      <c r="B805" s="1040" t="str">
        <f>CONCATENATE(LEFT(RIGHT(CONCATENATE("000",IFAData_TEA_1718!A805),6),3),"-",(RIGHT(RIGHT(CONCATENATE("000",IFAData_TEA_1718!A805),6),3)))</f>
        <v>066-902</v>
      </c>
      <c r="C805" t="s">
        <v>2030</v>
      </c>
      <c r="D805">
        <v>10</v>
      </c>
      <c r="E805">
        <v>2289</v>
      </c>
      <c r="F805" t="s">
        <v>4571</v>
      </c>
      <c r="G805" t="s">
        <v>4571</v>
      </c>
      <c r="H805">
        <v>275767</v>
      </c>
      <c r="I805">
        <v>271181</v>
      </c>
      <c r="J805">
        <v>1</v>
      </c>
      <c r="K805">
        <v>275767</v>
      </c>
      <c r="L805">
        <v>271181</v>
      </c>
      <c r="M805">
        <v>599</v>
      </c>
    </row>
    <row r="806" spans="1:13" ht="15">
      <c r="A806" t="s">
        <v>4572</v>
      </c>
      <c r="B806" s="1040" t="str">
        <f>CONCATENATE(LEFT(RIGHT(CONCATENATE("000",IFAData_TEA_1718!A806),6),3),"-",(RIGHT(RIGHT(CONCATENATE("000",IFAData_TEA_1718!A806),6),3)))</f>
        <v>067-902</v>
      </c>
      <c r="C806" t="s">
        <v>2151</v>
      </c>
      <c r="D806">
        <v>5</v>
      </c>
      <c r="E806">
        <v>1692</v>
      </c>
      <c r="F806" t="s">
        <v>4573</v>
      </c>
      <c r="G806" t="s">
        <v>4573</v>
      </c>
      <c r="H806">
        <v>108854</v>
      </c>
      <c r="I806">
        <v>0</v>
      </c>
      <c r="J806">
        <v>0</v>
      </c>
      <c r="K806"/>
      <c r="L806">
        <v>0</v>
      </c>
      <c r="M806">
        <v>199</v>
      </c>
    </row>
    <row r="807" spans="1:13" ht="15">
      <c r="A807" t="s">
        <v>3489</v>
      </c>
      <c r="B807" s="1040" t="str">
        <f>CONCATENATE(LEFT(RIGHT(CONCATENATE("000",IFAData_TEA_1718!A807),6),3),"-",(RIGHT(RIGHT(CONCATENATE("000",IFAData_TEA_1718!A807),6),3)))</f>
        <v>070-901</v>
      </c>
      <c r="C807" t="s">
        <v>2117</v>
      </c>
      <c r="D807">
        <v>5</v>
      </c>
      <c r="E807">
        <v>1587</v>
      </c>
      <c r="F807" t="s">
        <v>4574</v>
      </c>
      <c r="G807" t="s">
        <v>4574</v>
      </c>
      <c r="H807">
        <v>100000</v>
      </c>
      <c r="I807">
        <v>0</v>
      </c>
      <c r="J807">
        <v>0</v>
      </c>
      <c r="K807">
        <v>0</v>
      </c>
      <c r="L807">
        <v>0</v>
      </c>
      <c r="M807">
        <v>599</v>
      </c>
    </row>
    <row r="808" spans="1:13" ht="15">
      <c r="A808" t="s">
        <v>3489</v>
      </c>
      <c r="B808" s="1040" t="str">
        <f>CONCATENATE(LEFT(RIGHT(CONCATENATE("000",IFAData_TEA_1718!A808),6),3),"-",(RIGHT(RIGHT(CONCATENATE("000",IFAData_TEA_1718!A808),6),3)))</f>
        <v>070-901</v>
      </c>
      <c r="C808" t="s">
        <v>2117</v>
      </c>
      <c r="D808">
        <v>5</v>
      </c>
      <c r="E808">
        <v>1587</v>
      </c>
      <c r="F808" t="s">
        <v>4574</v>
      </c>
      <c r="G808" t="s">
        <v>4575</v>
      </c>
      <c r="H808">
        <v>100000</v>
      </c>
      <c r="I808">
        <v>88000</v>
      </c>
      <c r="J808">
        <v>1</v>
      </c>
      <c r="K808">
        <v>100000</v>
      </c>
      <c r="L808">
        <v>88000</v>
      </c>
      <c r="M808">
        <v>599</v>
      </c>
    </row>
    <row r="809" spans="1:13" ht="15">
      <c r="A809" t="s">
        <v>3490</v>
      </c>
      <c r="B809" s="1040" t="str">
        <f>CONCATENATE(LEFT(RIGHT(CONCATENATE("000",IFAData_TEA_1718!A809),6),3),"-",(RIGHT(RIGHT(CONCATENATE("000",IFAData_TEA_1718!A809),6),3)))</f>
        <v>070-905</v>
      </c>
      <c r="C809" t="s">
        <v>1970</v>
      </c>
      <c r="D809">
        <v>9</v>
      </c>
      <c r="E809">
        <v>1812</v>
      </c>
      <c r="F809" t="s">
        <v>4576</v>
      </c>
      <c r="G809" t="s">
        <v>4576</v>
      </c>
      <c r="H809">
        <v>367965</v>
      </c>
      <c r="I809">
        <v>336350</v>
      </c>
      <c r="J809">
        <v>0.32183707876994799</v>
      </c>
      <c r="K809">
        <v>118424.780689584</v>
      </c>
      <c r="L809">
        <v>118424.780689584</v>
      </c>
      <c r="M809">
        <v>599</v>
      </c>
    </row>
    <row r="810" spans="1:13" ht="15">
      <c r="A810" t="s">
        <v>3490</v>
      </c>
      <c r="B810" s="1040" t="str">
        <f>CONCATENATE(LEFT(RIGHT(CONCATENATE("000",IFAData_TEA_1718!A810),6),3),"-",(RIGHT(RIGHT(CONCATENATE("000",IFAData_TEA_1718!A810),6),3)))</f>
        <v>070-905</v>
      </c>
      <c r="C810" t="s">
        <v>1970</v>
      </c>
      <c r="D810">
        <v>9</v>
      </c>
      <c r="E810">
        <v>1812</v>
      </c>
      <c r="F810" t="s">
        <v>4576</v>
      </c>
      <c r="G810" t="s">
        <v>4577</v>
      </c>
      <c r="H810">
        <v>367965</v>
      </c>
      <c r="I810">
        <v>555900</v>
      </c>
      <c r="J810">
        <v>0.53191387568965098</v>
      </c>
      <c r="K810">
        <v>195725.68926814201</v>
      </c>
      <c r="L810">
        <v>195725.68926814201</v>
      </c>
      <c r="M810">
        <v>599</v>
      </c>
    </row>
    <row r="811" spans="1:13" ht="15">
      <c r="A811" t="s">
        <v>3490</v>
      </c>
      <c r="B811" s="1040" t="str">
        <f>CONCATENATE(LEFT(RIGHT(CONCATENATE("000",IFAData_TEA_1718!A811),6),3),"-",(RIGHT(RIGHT(CONCATENATE("000",IFAData_TEA_1718!A811),6),3)))</f>
        <v>070-905</v>
      </c>
      <c r="C811" t="s">
        <v>1970</v>
      </c>
      <c r="D811">
        <v>9</v>
      </c>
      <c r="E811">
        <v>1812</v>
      </c>
      <c r="F811" t="s">
        <v>4576</v>
      </c>
      <c r="G811" t="s">
        <v>6240</v>
      </c>
      <c r="H811">
        <v>367965</v>
      </c>
      <c r="I811">
        <v>152844</v>
      </c>
      <c r="J811">
        <v>0.146249045540401</v>
      </c>
      <c r="K811">
        <v>53814.530042273698</v>
      </c>
      <c r="L811">
        <v>53814.530042273698</v>
      </c>
      <c r="M811">
        <v>599</v>
      </c>
    </row>
    <row r="812" spans="1:13" ht="15">
      <c r="A812" t="s">
        <v>3491</v>
      </c>
      <c r="B812" s="1040" t="str">
        <f>CONCATENATE(LEFT(RIGHT(CONCATENATE("000",IFAData_TEA_1718!A812),6),3),"-",(RIGHT(RIGHT(CONCATENATE("000",IFAData_TEA_1718!A812),6),3)))</f>
        <v>070-907</v>
      </c>
      <c r="C812" t="s">
        <v>1270</v>
      </c>
      <c r="D812">
        <v>4</v>
      </c>
      <c r="E812">
        <v>1930</v>
      </c>
      <c r="F812" t="s">
        <v>4578</v>
      </c>
      <c r="G812" t="s">
        <v>4578</v>
      </c>
      <c r="H812">
        <v>137308</v>
      </c>
      <c r="I812">
        <v>0</v>
      </c>
      <c r="J812">
        <v>0</v>
      </c>
      <c r="K812">
        <v>0</v>
      </c>
      <c r="L812">
        <v>0</v>
      </c>
      <c r="M812">
        <v>599</v>
      </c>
    </row>
    <row r="813" spans="1:13" ht="15">
      <c r="A813" t="s">
        <v>3491</v>
      </c>
      <c r="B813" s="1040" t="str">
        <f>CONCATENATE(LEFT(RIGHT(CONCATENATE("000",IFAData_TEA_1718!A813),6),3),"-",(RIGHT(RIGHT(CONCATENATE("000",IFAData_TEA_1718!A813),6),3)))</f>
        <v>070-907</v>
      </c>
      <c r="C813" t="s">
        <v>1270</v>
      </c>
      <c r="D813">
        <v>4</v>
      </c>
      <c r="E813">
        <v>1930</v>
      </c>
      <c r="F813" t="s">
        <v>4578</v>
      </c>
      <c r="G813" t="s">
        <v>4579</v>
      </c>
      <c r="H813">
        <v>137308</v>
      </c>
      <c r="I813">
        <v>135477</v>
      </c>
      <c r="J813">
        <v>1</v>
      </c>
      <c r="K813">
        <v>137308</v>
      </c>
      <c r="L813">
        <v>135477</v>
      </c>
      <c r="M813">
        <v>599</v>
      </c>
    </row>
    <row r="814" spans="1:13" ht="15">
      <c r="A814" t="s">
        <v>3491</v>
      </c>
      <c r="B814" s="1040" t="str">
        <f>CONCATENATE(LEFT(RIGHT(CONCATENATE("000",IFAData_TEA_1718!A814),6),3),"-",(RIGHT(RIGHT(CONCATENATE("000",IFAData_TEA_1718!A814),6),3)))</f>
        <v>070-907</v>
      </c>
      <c r="C814" t="s">
        <v>1270</v>
      </c>
      <c r="D814">
        <v>11</v>
      </c>
      <c r="E814">
        <v>2563</v>
      </c>
      <c r="F814" t="s">
        <v>8365</v>
      </c>
      <c r="G814" t="s">
        <v>8365</v>
      </c>
      <c r="H814">
        <v>130375</v>
      </c>
      <c r="I814">
        <v>272141</v>
      </c>
      <c r="J814">
        <v>1</v>
      </c>
      <c r="K814">
        <v>130375</v>
      </c>
      <c r="L814">
        <v>130375</v>
      </c>
      <c r="M814">
        <v>599</v>
      </c>
    </row>
    <row r="815" spans="1:13" ht="15">
      <c r="A815" t="s">
        <v>3492</v>
      </c>
      <c r="B815" s="1040" t="str">
        <f>CONCATENATE(LEFT(RIGHT(CONCATENATE("000",IFAData_TEA_1718!A815),6),3),"-",(RIGHT(RIGHT(CONCATENATE("000",IFAData_TEA_1718!A815),6),3)))</f>
        <v>070-910</v>
      </c>
      <c r="C815" t="s">
        <v>1363</v>
      </c>
      <c r="D815">
        <v>5</v>
      </c>
      <c r="E815">
        <v>2171</v>
      </c>
      <c r="F815" t="s">
        <v>4580</v>
      </c>
      <c r="G815" t="s">
        <v>4580</v>
      </c>
      <c r="H815">
        <v>229000</v>
      </c>
      <c r="I815">
        <v>0</v>
      </c>
      <c r="J815">
        <v>0</v>
      </c>
      <c r="K815">
        <v>0</v>
      </c>
      <c r="L815">
        <v>0</v>
      </c>
      <c r="M815">
        <v>599</v>
      </c>
    </row>
    <row r="816" spans="1:13" ht="15">
      <c r="A816" t="s">
        <v>3492</v>
      </c>
      <c r="B816" s="1040" t="str">
        <f>CONCATENATE(LEFT(RIGHT(CONCATENATE("000",IFAData_TEA_1718!A816),6),3),"-",(RIGHT(RIGHT(CONCATENATE("000",IFAData_TEA_1718!A816),6),3)))</f>
        <v>070-910</v>
      </c>
      <c r="C816" t="s">
        <v>1363</v>
      </c>
      <c r="D816">
        <v>5</v>
      </c>
      <c r="E816">
        <v>2171</v>
      </c>
      <c r="F816" t="s">
        <v>4580</v>
      </c>
      <c r="G816" t="s">
        <v>4581</v>
      </c>
      <c r="H816">
        <v>229000</v>
      </c>
      <c r="I816">
        <v>0</v>
      </c>
      <c r="J816">
        <v>0</v>
      </c>
      <c r="K816">
        <v>0</v>
      </c>
      <c r="L816">
        <v>0</v>
      </c>
      <c r="M816">
        <v>599</v>
      </c>
    </row>
    <row r="817" spans="1:13" ht="15">
      <c r="A817" t="s">
        <v>3492</v>
      </c>
      <c r="B817" s="1040" t="str">
        <f>CONCATENATE(LEFT(RIGHT(CONCATENATE("000",IFAData_TEA_1718!A817),6),3),"-",(RIGHT(RIGHT(CONCATENATE("000",IFAData_TEA_1718!A817),6),3)))</f>
        <v>070-910</v>
      </c>
      <c r="C817" t="s">
        <v>1363</v>
      </c>
      <c r="D817">
        <v>5</v>
      </c>
      <c r="E817">
        <v>2171</v>
      </c>
      <c r="F817" t="s">
        <v>4580</v>
      </c>
      <c r="G817" t="s">
        <v>6448</v>
      </c>
      <c r="H817">
        <v>229000</v>
      </c>
      <c r="I817">
        <v>315238</v>
      </c>
      <c r="J817">
        <v>1</v>
      </c>
      <c r="K817">
        <v>229000</v>
      </c>
      <c r="L817">
        <v>229000</v>
      </c>
      <c r="M817">
        <v>599</v>
      </c>
    </row>
    <row r="818" spans="1:13" ht="15">
      <c r="A818" t="s">
        <v>3493</v>
      </c>
      <c r="B818" s="1040" t="str">
        <f>CONCATENATE(LEFT(RIGHT(CONCATENATE("000",IFAData_TEA_1718!A818),6),3),"-",(RIGHT(RIGHT(CONCATENATE("000",IFAData_TEA_1718!A818),6),3)))</f>
        <v>070-911</v>
      </c>
      <c r="C818" t="s">
        <v>79</v>
      </c>
      <c r="D818">
        <v>3</v>
      </c>
      <c r="E818">
        <v>2230</v>
      </c>
      <c r="F818" t="s">
        <v>4582</v>
      </c>
      <c r="G818" t="s">
        <v>4582</v>
      </c>
      <c r="H818">
        <v>350000</v>
      </c>
      <c r="I818">
        <v>295000</v>
      </c>
      <c r="J818">
        <v>1</v>
      </c>
      <c r="K818">
        <v>350000</v>
      </c>
      <c r="L818">
        <v>295000</v>
      </c>
      <c r="M818">
        <v>599</v>
      </c>
    </row>
    <row r="819" spans="1:13" ht="15">
      <c r="A819" t="s">
        <v>3493</v>
      </c>
      <c r="B819" s="1040" t="str">
        <f>CONCATENATE(LEFT(RIGHT(CONCATENATE("000",IFAData_TEA_1718!A819),6),3),"-",(RIGHT(RIGHT(CONCATENATE("000",IFAData_TEA_1718!A819),6),3)))</f>
        <v>070-911</v>
      </c>
      <c r="C819" t="s">
        <v>79</v>
      </c>
      <c r="D819">
        <v>3</v>
      </c>
      <c r="E819">
        <v>2230</v>
      </c>
      <c r="F819" t="s">
        <v>4582</v>
      </c>
      <c r="G819" t="s">
        <v>4583</v>
      </c>
      <c r="H819">
        <v>350000</v>
      </c>
      <c r="I819">
        <v>0</v>
      </c>
      <c r="J819">
        <v>0</v>
      </c>
      <c r="K819">
        <v>0</v>
      </c>
      <c r="L819">
        <v>0</v>
      </c>
      <c r="M819">
        <v>599</v>
      </c>
    </row>
    <row r="820" spans="1:13" ht="15">
      <c r="A820" t="s">
        <v>3493</v>
      </c>
      <c r="B820" s="1040" t="str">
        <f>CONCATENATE(LEFT(RIGHT(CONCATENATE("000",IFAData_TEA_1718!A820),6),3),"-",(RIGHT(RIGHT(CONCATENATE("000",IFAData_TEA_1718!A820),6),3)))</f>
        <v>070-911</v>
      </c>
      <c r="C820" t="s">
        <v>79</v>
      </c>
      <c r="D820">
        <v>6</v>
      </c>
      <c r="E820">
        <v>2229</v>
      </c>
      <c r="F820" t="s">
        <v>4584</v>
      </c>
      <c r="G820" t="s">
        <v>4584</v>
      </c>
      <c r="H820">
        <v>67680</v>
      </c>
      <c r="I820">
        <v>0</v>
      </c>
      <c r="J820">
        <v>0</v>
      </c>
      <c r="K820">
        <v>0</v>
      </c>
      <c r="L820">
        <v>0</v>
      </c>
      <c r="M820">
        <v>599</v>
      </c>
    </row>
    <row r="821" spans="1:13" ht="15">
      <c r="A821" t="s">
        <v>3493</v>
      </c>
      <c r="B821" s="1040" t="str">
        <f>CONCATENATE(LEFT(RIGHT(CONCATENATE("000",IFAData_TEA_1718!A821),6),3),"-",(RIGHT(RIGHT(CONCATENATE("000",IFAData_TEA_1718!A821),6),3)))</f>
        <v>070-911</v>
      </c>
      <c r="C821" t="s">
        <v>79</v>
      </c>
      <c r="D821">
        <v>6</v>
      </c>
      <c r="E821">
        <v>2229</v>
      </c>
      <c r="F821" t="s">
        <v>4584</v>
      </c>
      <c r="G821" t="s">
        <v>4585</v>
      </c>
      <c r="H821">
        <v>67680</v>
      </c>
      <c r="I821">
        <v>97589</v>
      </c>
      <c r="J821">
        <v>1</v>
      </c>
      <c r="K821">
        <v>67680</v>
      </c>
      <c r="L821">
        <v>67680</v>
      </c>
      <c r="M821">
        <v>599</v>
      </c>
    </row>
    <row r="822" spans="1:13" ht="15">
      <c r="A822" t="s">
        <v>3493</v>
      </c>
      <c r="B822" s="1040" t="str">
        <f>CONCATENATE(LEFT(RIGHT(CONCATENATE("000",IFAData_TEA_1718!A822),6),3),"-",(RIGHT(RIGHT(CONCATENATE("000",IFAData_TEA_1718!A822),6),3)))</f>
        <v>070-911</v>
      </c>
      <c r="C822" t="s">
        <v>79</v>
      </c>
      <c r="D822">
        <v>9</v>
      </c>
      <c r="E822">
        <v>2231</v>
      </c>
      <c r="F822" t="s">
        <v>4586</v>
      </c>
      <c r="G822" t="s">
        <v>4586</v>
      </c>
      <c r="H822">
        <v>1269033</v>
      </c>
      <c r="I822">
        <v>0</v>
      </c>
      <c r="J822">
        <v>0</v>
      </c>
      <c r="K822">
        <v>0</v>
      </c>
      <c r="L822">
        <v>0</v>
      </c>
      <c r="M822">
        <v>599</v>
      </c>
    </row>
    <row r="823" spans="1:13" ht="15">
      <c r="A823" t="s">
        <v>3493</v>
      </c>
      <c r="B823" s="1040" t="str">
        <f>CONCATENATE(LEFT(RIGHT(CONCATENATE("000",IFAData_TEA_1718!A823),6),3),"-",(RIGHT(RIGHT(CONCATENATE("000",IFAData_TEA_1718!A823),6),3)))</f>
        <v>070-911</v>
      </c>
      <c r="C823" t="s">
        <v>79</v>
      </c>
      <c r="D823">
        <v>9</v>
      </c>
      <c r="E823">
        <v>2231</v>
      </c>
      <c r="F823" t="s">
        <v>4586</v>
      </c>
      <c r="G823" t="s">
        <v>6241</v>
      </c>
      <c r="H823">
        <v>1269033</v>
      </c>
      <c r="I823">
        <v>641950</v>
      </c>
      <c r="J823">
        <v>0.375714762292156</v>
      </c>
      <c r="K823">
        <v>476794.431935901</v>
      </c>
      <c r="L823">
        <v>476794.431935901</v>
      </c>
      <c r="M823">
        <v>599</v>
      </c>
    </row>
    <row r="824" spans="1:13" ht="15">
      <c r="A824" t="s">
        <v>3493</v>
      </c>
      <c r="B824" s="1040" t="str">
        <f>CONCATENATE(LEFT(RIGHT(CONCATENATE("000",IFAData_TEA_1718!A824),6),3),"-",(RIGHT(RIGHT(CONCATENATE("000",IFAData_TEA_1718!A824),6),3)))</f>
        <v>070-911</v>
      </c>
      <c r="C824" t="s">
        <v>79</v>
      </c>
      <c r="D824">
        <v>9</v>
      </c>
      <c r="E824">
        <v>2231</v>
      </c>
      <c r="F824" t="s">
        <v>4586</v>
      </c>
      <c r="G824" t="s">
        <v>6242</v>
      </c>
      <c r="H824">
        <v>1269033</v>
      </c>
      <c r="I824">
        <v>628300</v>
      </c>
      <c r="J824">
        <v>0.36772581220992501</v>
      </c>
      <c r="K824">
        <v>466656.190646198</v>
      </c>
      <c r="L824">
        <v>466656.190646198</v>
      </c>
      <c r="M824">
        <v>599</v>
      </c>
    </row>
    <row r="825" spans="1:13" ht="15">
      <c r="A825" t="s">
        <v>3493</v>
      </c>
      <c r="B825" s="1040" t="str">
        <f>CONCATENATE(LEFT(RIGHT(CONCATENATE("000",IFAData_TEA_1718!A825),6),3),"-",(RIGHT(RIGHT(CONCATENATE("000",IFAData_TEA_1718!A825),6),3)))</f>
        <v>070-911</v>
      </c>
      <c r="C825" t="s">
        <v>79</v>
      </c>
      <c r="D825">
        <v>9</v>
      </c>
      <c r="E825">
        <v>2231</v>
      </c>
      <c r="F825" t="s">
        <v>4586</v>
      </c>
      <c r="G825" t="s">
        <v>6449</v>
      </c>
      <c r="H825">
        <v>1269033</v>
      </c>
      <c r="I825">
        <v>368300</v>
      </c>
      <c r="J825">
        <v>0.215555334453152</v>
      </c>
      <c r="K825">
        <v>273546.832747087</v>
      </c>
      <c r="L825">
        <v>273546.832747087</v>
      </c>
      <c r="M825">
        <v>599</v>
      </c>
    </row>
    <row r="826" spans="1:13" ht="15">
      <c r="A826" t="s">
        <v>3493</v>
      </c>
      <c r="B826" s="1040" t="str">
        <f>CONCATENATE(LEFT(RIGHT(CONCATENATE("000",IFAData_TEA_1718!A826),6),3),"-",(RIGHT(RIGHT(CONCATENATE("000",IFAData_TEA_1718!A826),6),3)))</f>
        <v>070-911</v>
      </c>
      <c r="C826" t="s">
        <v>79</v>
      </c>
      <c r="D826">
        <v>9</v>
      </c>
      <c r="E826">
        <v>2231</v>
      </c>
      <c r="F826" t="s">
        <v>4586</v>
      </c>
      <c r="G826" t="s">
        <v>8366</v>
      </c>
      <c r="H826">
        <v>1269033</v>
      </c>
      <c r="I826">
        <v>70060</v>
      </c>
      <c r="J826">
        <v>4.1004091044767398E-2</v>
      </c>
      <c r="K826">
        <v>52035.544670814299</v>
      </c>
      <c r="L826">
        <v>52035.544670814299</v>
      </c>
      <c r="M826">
        <v>599</v>
      </c>
    </row>
    <row r="827" spans="1:13" ht="15">
      <c r="A827" t="s">
        <v>3493</v>
      </c>
      <c r="B827" s="1040" t="str">
        <f>CONCATENATE(LEFT(RIGHT(CONCATENATE("000",IFAData_TEA_1718!A827),6),3),"-",(RIGHT(RIGHT(CONCATENATE("000",IFAData_TEA_1718!A827),6),3)))</f>
        <v>070-911</v>
      </c>
      <c r="C827" t="s">
        <v>79</v>
      </c>
      <c r="D827">
        <v>10</v>
      </c>
      <c r="E827">
        <v>2232</v>
      </c>
      <c r="F827" t="s">
        <v>4587</v>
      </c>
      <c r="G827" t="s">
        <v>4587</v>
      </c>
      <c r="H827">
        <v>1279231</v>
      </c>
      <c r="I827">
        <v>440000</v>
      </c>
      <c r="J827">
        <v>0.18932792888154501</v>
      </c>
      <c r="K827">
        <v>242194.15579106801</v>
      </c>
      <c r="L827">
        <v>242194.15579106801</v>
      </c>
      <c r="M827">
        <v>599</v>
      </c>
    </row>
    <row r="828" spans="1:13" ht="15">
      <c r="A828" t="s">
        <v>3493</v>
      </c>
      <c r="B828" s="1040" t="str">
        <f>CONCATENATE(LEFT(RIGHT(CONCATENATE("000",IFAData_TEA_1718!A828),6),3),"-",(RIGHT(RIGHT(CONCATENATE("000",IFAData_TEA_1718!A828),6),3)))</f>
        <v>070-911</v>
      </c>
      <c r="C828" t="s">
        <v>79</v>
      </c>
      <c r="D828">
        <v>10</v>
      </c>
      <c r="E828">
        <v>2232</v>
      </c>
      <c r="F828" t="s">
        <v>4587</v>
      </c>
      <c r="G828" t="s">
        <v>8366</v>
      </c>
      <c r="H828">
        <v>1279231</v>
      </c>
      <c r="I828">
        <v>1884010</v>
      </c>
      <c r="J828">
        <v>0.81067207111845496</v>
      </c>
      <c r="K828">
        <v>1037036.84420893</v>
      </c>
      <c r="L828">
        <v>1037036.84420893</v>
      </c>
      <c r="M828">
        <v>599</v>
      </c>
    </row>
    <row r="829" spans="1:13" ht="15">
      <c r="A829" t="s">
        <v>3494</v>
      </c>
      <c r="B829" s="1040" t="str">
        <f>CONCATENATE(LEFT(RIGHT(CONCATENATE("000",IFAData_TEA_1718!A829),6),3),"-",(RIGHT(RIGHT(CONCATENATE("000",IFAData_TEA_1718!A829),6),3)))</f>
        <v>070-912</v>
      </c>
      <c r="C829" t="s">
        <v>139</v>
      </c>
      <c r="D829">
        <v>1</v>
      </c>
      <c r="E829">
        <v>2438</v>
      </c>
      <c r="F829" t="s">
        <v>4588</v>
      </c>
      <c r="G829" t="s">
        <v>4588</v>
      </c>
      <c r="H829">
        <v>1270445</v>
      </c>
      <c r="I829">
        <v>0</v>
      </c>
      <c r="J829">
        <v>0</v>
      </c>
      <c r="K829"/>
      <c r="L829">
        <v>0</v>
      </c>
      <c r="M829">
        <v>599</v>
      </c>
    </row>
    <row r="830" spans="1:13" ht="15">
      <c r="A830" t="s">
        <v>3495</v>
      </c>
      <c r="B830" s="1040" t="str">
        <f>CONCATENATE(LEFT(RIGHT(CONCATENATE("000",IFAData_TEA_1718!A830),6),3),"-",(RIGHT(RIGHT(CONCATENATE("000",IFAData_TEA_1718!A830),6),3)))</f>
        <v>070-915</v>
      </c>
      <c r="C830" t="s">
        <v>1992</v>
      </c>
      <c r="D830">
        <v>4</v>
      </c>
      <c r="E830">
        <v>2078</v>
      </c>
      <c r="F830" t="s">
        <v>4591</v>
      </c>
      <c r="G830" t="s">
        <v>4591</v>
      </c>
      <c r="H830">
        <v>207500</v>
      </c>
      <c r="I830">
        <v>0</v>
      </c>
      <c r="J830">
        <v>0</v>
      </c>
      <c r="K830">
        <v>0</v>
      </c>
      <c r="L830">
        <v>0</v>
      </c>
      <c r="M830">
        <v>599</v>
      </c>
    </row>
    <row r="831" spans="1:13" ht="15">
      <c r="A831" t="s">
        <v>3495</v>
      </c>
      <c r="B831" s="1040" t="str">
        <f>CONCATENATE(LEFT(RIGHT(CONCATENATE("000",IFAData_TEA_1718!A831),6),3),"-",(RIGHT(RIGHT(CONCATENATE("000",IFAData_TEA_1718!A831),6),3)))</f>
        <v>070-915</v>
      </c>
      <c r="C831" t="s">
        <v>1992</v>
      </c>
      <c r="D831">
        <v>4</v>
      </c>
      <c r="E831">
        <v>2078</v>
      </c>
      <c r="F831" t="s">
        <v>4591</v>
      </c>
      <c r="G831" t="s">
        <v>4592</v>
      </c>
      <c r="H831">
        <v>207500</v>
      </c>
      <c r="I831">
        <v>129779</v>
      </c>
      <c r="J831">
        <v>0.42470702581707198</v>
      </c>
      <c r="K831">
        <v>88126.707857042304</v>
      </c>
      <c r="L831">
        <v>88126.707857042304</v>
      </c>
      <c r="M831">
        <v>599</v>
      </c>
    </row>
    <row r="832" spans="1:13" ht="15">
      <c r="A832" t="s">
        <v>3495</v>
      </c>
      <c r="B832" s="1040" t="str">
        <f>CONCATENATE(LEFT(RIGHT(CONCATENATE("000",IFAData_TEA_1718!A832),6),3),"-",(RIGHT(RIGHT(CONCATENATE("000",IFAData_TEA_1718!A832),6),3)))</f>
        <v>070-915</v>
      </c>
      <c r="C832" t="s">
        <v>1992</v>
      </c>
      <c r="D832">
        <v>4</v>
      </c>
      <c r="E832">
        <v>2078</v>
      </c>
      <c r="F832" t="s">
        <v>4591</v>
      </c>
      <c r="G832" t="s">
        <v>4593</v>
      </c>
      <c r="H832">
        <v>207500</v>
      </c>
      <c r="I832">
        <v>60650</v>
      </c>
      <c r="J832">
        <v>0.198479577711382</v>
      </c>
      <c r="K832">
        <v>41184.512375111699</v>
      </c>
      <c r="L832">
        <v>41184.512375111699</v>
      </c>
      <c r="M832">
        <v>599</v>
      </c>
    </row>
    <row r="833" spans="1:13" ht="15">
      <c r="A833" t="s">
        <v>3495</v>
      </c>
      <c r="B833" s="1040" t="str">
        <f>CONCATENATE(LEFT(RIGHT(CONCATENATE("000",IFAData_TEA_1718!A833),6),3),"-",(RIGHT(RIGHT(CONCATENATE("000",IFAData_TEA_1718!A833),6),3)))</f>
        <v>070-915</v>
      </c>
      <c r="C833" t="s">
        <v>1992</v>
      </c>
      <c r="D833">
        <v>4</v>
      </c>
      <c r="E833">
        <v>2078</v>
      </c>
      <c r="F833" t="s">
        <v>4591</v>
      </c>
      <c r="G833" t="s">
        <v>4594</v>
      </c>
      <c r="H833">
        <v>207500</v>
      </c>
      <c r="I833">
        <v>67553</v>
      </c>
      <c r="J833">
        <v>0.22106992437159001</v>
      </c>
      <c r="K833">
        <v>45872.009307105</v>
      </c>
      <c r="L833">
        <v>45872.009307105</v>
      </c>
      <c r="M833">
        <v>599</v>
      </c>
    </row>
    <row r="834" spans="1:13" ht="15">
      <c r="A834" t="s">
        <v>3495</v>
      </c>
      <c r="B834" s="1040" t="str">
        <f>CONCATENATE(LEFT(RIGHT(CONCATENATE("000",IFAData_TEA_1718!A834),6),3),"-",(RIGHT(RIGHT(CONCATENATE("000",IFAData_TEA_1718!A834),6),3)))</f>
        <v>070-915</v>
      </c>
      <c r="C834" t="s">
        <v>1992</v>
      </c>
      <c r="D834">
        <v>4</v>
      </c>
      <c r="E834">
        <v>2078</v>
      </c>
      <c r="F834" t="s">
        <v>4591</v>
      </c>
      <c r="G834" t="s">
        <v>6243</v>
      </c>
      <c r="H834">
        <v>207500</v>
      </c>
      <c r="I834">
        <v>47591</v>
      </c>
      <c r="J834">
        <v>0.15574347209995601</v>
      </c>
      <c r="K834">
        <v>32316.770460741001</v>
      </c>
      <c r="L834">
        <v>32316.770460741001</v>
      </c>
      <c r="M834">
        <v>599</v>
      </c>
    </row>
    <row r="835" spans="1:13" ht="15">
      <c r="A835" t="s">
        <v>3496</v>
      </c>
      <c r="B835" s="1040" t="str">
        <f>CONCATENATE(LEFT(RIGHT(CONCATENATE("000",IFAData_TEA_1718!A835),6),3),"-",(RIGHT(RIGHT(CONCATENATE("000",IFAData_TEA_1718!A835),6),3)))</f>
        <v>071-901</v>
      </c>
      <c r="C835" t="s">
        <v>1166</v>
      </c>
      <c r="D835">
        <v>2</v>
      </c>
      <c r="E835">
        <v>1696</v>
      </c>
      <c r="F835" t="s">
        <v>4595</v>
      </c>
      <c r="G835" t="s">
        <v>4595</v>
      </c>
      <c r="H835">
        <v>530747</v>
      </c>
      <c r="I835">
        <v>0</v>
      </c>
      <c r="J835">
        <v>0</v>
      </c>
      <c r="K835"/>
      <c r="L835">
        <v>0</v>
      </c>
      <c r="M835">
        <v>199</v>
      </c>
    </row>
    <row r="836" spans="1:13" ht="15">
      <c r="A836" t="s">
        <v>3496</v>
      </c>
      <c r="B836" s="1040" t="str">
        <f>CONCATENATE(LEFT(RIGHT(CONCATENATE("000",IFAData_TEA_1718!A836),6),3),"-",(RIGHT(RIGHT(CONCATENATE("000",IFAData_TEA_1718!A836),6),3)))</f>
        <v>071-901</v>
      </c>
      <c r="C836" t="s">
        <v>1166</v>
      </c>
      <c r="D836">
        <v>3</v>
      </c>
      <c r="E836">
        <v>1698</v>
      </c>
      <c r="F836" t="s">
        <v>4596</v>
      </c>
      <c r="G836" t="s">
        <v>4596</v>
      </c>
      <c r="H836">
        <v>1037938</v>
      </c>
      <c r="I836">
        <v>0</v>
      </c>
      <c r="J836">
        <v>0</v>
      </c>
      <c r="K836">
        <v>0</v>
      </c>
      <c r="L836">
        <v>0</v>
      </c>
      <c r="M836">
        <v>199</v>
      </c>
    </row>
    <row r="837" spans="1:13" ht="15">
      <c r="A837" t="s">
        <v>3496</v>
      </c>
      <c r="B837" s="1040" t="str">
        <f>CONCATENATE(LEFT(RIGHT(CONCATENATE("000",IFAData_TEA_1718!A837),6),3),"-",(RIGHT(RIGHT(CONCATENATE("000",IFAData_TEA_1718!A837),6),3)))</f>
        <v>071-901</v>
      </c>
      <c r="C837" t="s">
        <v>1166</v>
      </c>
      <c r="D837">
        <v>3</v>
      </c>
      <c r="E837">
        <v>1698</v>
      </c>
      <c r="F837" t="s">
        <v>4596</v>
      </c>
      <c r="G837" t="s">
        <v>4597</v>
      </c>
      <c r="H837">
        <v>1037938</v>
      </c>
      <c r="I837">
        <v>490000</v>
      </c>
      <c r="J837">
        <v>0.54162019602229705</v>
      </c>
      <c r="K837">
        <v>562168.18301899103</v>
      </c>
      <c r="L837">
        <v>490000</v>
      </c>
      <c r="M837">
        <v>599</v>
      </c>
    </row>
    <row r="838" spans="1:13" ht="15">
      <c r="A838" t="s">
        <v>3496</v>
      </c>
      <c r="B838" s="1040" t="str">
        <f>CONCATENATE(LEFT(RIGHT(CONCATENATE("000",IFAData_TEA_1718!A838),6),3),"-",(RIGHT(RIGHT(CONCATENATE("000",IFAData_TEA_1718!A838),6),3)))</f>
        <v>071-901</v>
      </c>
      <c r="C838" t="s">
        <v>1166</v>
      </c>
      <c r="D838">
        <v>3</v>
      </c>
      <c r="E838">
        <v>1698</v>
      </c>
      <c r="F838" t="s">
        <v>4596</v>
      </c>
      <c r="G838" t="s">
        <v>4598</v>
      </c>
      <c r="H838">
        <v>1037938</v>
      </c>
      <c r="I838">
        <v>0</v>
      </c>
      <c r="J838">
        <v>0</v>
      </c>
      <c r="K838">
        <v>0</v>
      </c>
      <c r="L838">
        <v>0</v>
      </c>
      <c r="M838">
        <v>599</v>
      </c>
    </row>
    <row r="839" spans="1:13" ht="15">
      <c r="A839" t="s">
        <v>3496</v>
      </c>
      <c r="B839" s="1040" t="str">
        <f>CONCATENATE(LEFT(RIGHT(CONCATENATE("000",IFAData_TEA_1718!A839),6),3),"-",(RIGHT(RIGHT(CONCATENATE("000",IFAData_TEA_1718!A839),6),3)))</f>
        <v>071-901</v>
      </c>
      <c r="C839" t="s">
        <v>1166</v>
      </c>
      <c r="D839">
        <v>3</v>
      </c>
      <c r="E839">
        <v>1698</v>
      </c>
      <c r="F839" t="s">
        <v>4596</v>
      </c>
      <c r="G839" t="s">
        <v>4599</v>
      </c>
      <c r="H839">
        <v>1037938</v>
      </c>
      <c r="I839">
        <v>293143</v>
      </c>
      <c r="J839">
        <v>0.32402483494400902</v>
      </c>
      <c r="K839">
        <v>336317.689132114</v>
      </c>
      <c r="L839">
        <v>293143</v>
      </c>
      <c r="M839">
        <v>599</v>
      </c>
    </row>
    <row r="840" spans="1:13" ht="15">
      <c r="A840" t="s">
        <v>3496</v>
      </c>
      <c r="B840" s="1040" t="str">
        <f>CONCATENATE(LEFT(RIGHT(CONCATENATE("000",IFAData_TEA_1718!A840),6),3),"-",(RIGHT(RIGHT(CONCATENATE("000",IFAData_TEA_1718!A840),6),3)))</f>
        <v>071-901</v>
      </c>
      <c r="C840" t="s">
        <v>1166</v>
      </c>
      <c r="D840">
        <v>3</v>
      </c>
      <c r="E840">
        <v>1698</v>
      </c>
      <c r="F840" t="s">
        <v>4596</v>
      </c>
      <c r="G840" t="s">
        <v>6451</v>
      </c>
      <c r="H840">
        <v>1037938</v>
      </c>
      <c r="I840">
        <v>121550</v>
      </c>
      <c r="J840">
        <v>0.13435496903369401</v>
      </c>
      <c r="K840">
        <v>139452.127848895</v>
      </c>
      <c r="L840">
        <v>121550</v>
      </c>
      <c r="M840">
        <v>599</v>
      </c>
    </row>
    <row r="841" spans="1:13" ht="15">
      <c r="A841" t="s">
        <v>3496</v>
      </c>
      <c r="B841" s="1040" t="str">
        <f>CONCATENATE(LEFT(RIGHT(CONCATENATE("000",IFAData_TEA_1718!A841),6),3),"-",(RIGHT(RIGHT(CONCATENATE("000",IFAData_TEA_1718!A841),6),3)))</f>
        <v>071-901</v>
      </c>
      <c r="C841" t="s">
        <v>1166</v>
      </c>
      <c r="D841">
        <v>4</v>
      </c>
      <c r="E841">
        <v>1697</v>
      </c>
      <c r="F841" t="s">
        <v>4600</v>
      </c>
      <c r="G841" t="s">
        <v>4600</v>
      </c>
      <c r="H841">
        <v>732644</v>
      </c>
      <c r="I841">
        <v>0</v>
      </c>
      <c r="J841">
        <v>0</v>
      </c>
      <c r="K841"/>
      <c r="L841">
        <v>0</v>
      </c>
      <c r="M841">
        <v>199</v>
      </c>
    </row>
    <row r="842" spans="1:13" ht="15">
      <c r="A842" t="s">
        <v>3496</v>
      </c>
      <c r="B842" s="1040" t="str">
        <f>CONCATENATE(LEFT(RIGHT(CONCATENATE("000",IFAData_TEA_1718!A842),6),3),"-",(RIGHT(RIGHT(CONCATENATE("000",IFAData_TEA_1718!A842),6),3)))</f>
        <v>071-901</v>
      </c>
      <c r="C842" t="s">
        <v>1166</v>
      </c>
      <c r="D842">
        <v>6</v>
      </c>
      <c r="E842">
        <v>1699</v>
      </c>
      <c r="F842" t="s">
        <v>4601</v>
      </c>
      <c r="G842" t="s">
        <v>4601</v>
      </c>
      <c r="H842">
        <v>1200698</v>
      </c>
      <c r="I842">
        <v>0</v>
      </c>
      <c r="J842">
        <v>0</v>
      </c>
      <c r="K842">
        <v>0</v>
      </c>
      <c r="L842">
        <v>0</v>
      </c>
      <c r="M842">
        <v>599</v>
      </c>
    </row>
    <row r="843" spans="1:13" ht="15">
      <c r="A843" t="s">
        <v>3496</v>
      </c>
      <c r="B843" s="1040" t="str">
        <f>CONCATENATE(LEFT(RIGHT(CONCATENATE("000",IFAData_TEA_1718!A843),6),3),"-",(RIGHT(RIGHT(CONCATENATE("000",IFAData_TEA_1718!A843),6),3)))</f>
        <v>071-901</v>
      </c>
      <c r="C843" t="s">
        <v>1166</v>
      </c>
      <c r="D843">
        <v>6</v>
      </c>
      <c r="E843">
        <v>1699</v>
      </c>
      <c r="F843" t="s">
        <v>4601</v>
      </c>
      <c r="G843" t="s">
        <v>4598</v>
      </c>
      <c r="H843">
        <v>1200698</v>
      </c>
      <c r="I843">
        <v>0</v>
      </c>
      <c r="J843">
        <v>0</v>
      </c>
      <c r="K843">
        <v>0</v>
      </c>
      <c r="L843">
        <v>0</v>
      </c>
      <c r="M843">
        <v>599</v>
      </c>
    </row>
    <row r="844" spans="1:13" ht="15">
      <c r="A844" t="s">
        <v>3496</v>
      </c>
      <c r="B844" s="1040" t="str">
        <f>CONCATENATE(LEFT(RIGHT(CONCATENATE("000",IFAData_TEA_1718!A844),6),3),"-",(RIGHT(RIGHT(CONCATENATE("000",IFAData_TEA_1718!A844),6),3)))</f>
        <v>071-901</v>
      </c>
      <c r="C844" t="s">
        <v>1166</v>
      </c>
      <c r="D844">
        <v>6</v>
      </c>
      <c r="E844">
        <v>1699</v>
      </c>
      <c r="F844" t="s">
        <v>4601</v>
      </c>
      <c r="G844" t="s">
        <v>4602</v>
      </c>
      <c r="H844">
        <v>1200698</v>
      </c>
      <c r="I844">
        <v>288707</v>
      </c>
      <c r="J844">
        <v>0.26539423923694799</v>
      </c>
      <c r="K844">
        <v>318658.33226332499</v>
      </c>
      <c r="L844">
        <v>288707</v>
      </c>
      <c r="M844">
        <v>599</v>
      </c>
    </row>
    <row r="845" spans="1:13" ht="15">
      <c r="A845" t="s">
        <v>3496</v>
      </c>
      <c r="B845" s="1040" t="str">
        <f>CONCATENATE(LEFT(RIGHT(CONCATENATE("000",IFAData_TEA_1718!A845),6),3),"-",(RIGHT(RIGHT(CONCATENATE("000",IFAData_TEA_1718!A845),6),3)))</f>
        <v>071-901</v>
      </c>
      <c r="C845" t="s">
        <v>1166</v>
      </c>
      <c r="D845">
        <v>6</v>
      </c>
      <c r="E845">
        <v>1699</v>
      </c>
      <c r="F845" t="s">
        <v>4601</v>
      </c>
      <c r="G845" t="s">
        <v>6451</v>
      </c>
      <c r="H845">
        <v>1200698</v>
      </c>
      <c r="I845">
        <v>799135</v>
      </c>
      <c r="J845">
        <v>0.73460576076305195</v>
      </c>
      <c r="K845">
        <v>882039.66773667501</v>
      </c>
      <c r="L845">
        <v>799135</v>
      </c>
      <c r="M845">
        <v>599</v>
      </c>
    </row>
    <row r="846" spans="1:13" ht="15">
      <c r="A846" t="s">
        <v>3496</v>
      </c>
      <c r="B846" s="1040" t="str">
        <f>CONCATENATE(LEFT(RIGHT(CONCATENATE("000",IFAData_TEA_1718!A846),6),3),"-",(RIGHT(RIGHT(CONCATENATE("000",IFAData_TEA_1718!A846),6),3)))</f>
        <v>071-901</v>
      </c>
      <c r="C846" t="s">
        <v>1166</v>
      </c>
      <c r="D846">
        <v>8</v>
      </c>
      <c r="E846">
        <v>1700</v>
      </c>
      <c r="F846" t="s">
        <v>4603</v>
      </c>
      <c r="G846" t="s">
        <v>4603</v>
      </c>
      <c r="H846">
        <v>2334930</v>
      </c>
      <c r="I846">
        <v>0</v>
      </c>
      <c r="J846">
        <v>0</v>
      </c>
      <c r="K846">
        <v>0</v>
      </c>
      <c r="L846">
        <v>0</v>
      </c>
      <c r="M846">
        <v>599</v>
      </c>
    </row>
    <row r="847" spans="1:13" ht="15">
      <c r="A847" t="s">
        <v>3496</v>
      </c>
      <c r="B847" s="1040" t="str">
        <f>CONCATENATE(LEFT(RIGHT(CONCATENATE("000",IFAData_TEA_1718!A847),6),3),"-",(RIGHT(RIGHT(CONCATENATE("000",IFAData_TEA_1718!A847),6),3)))</f>
        <v>071-901</v>
      </c>
      <c r="C847" t="s">
        <v>1166</v>
      </c>
      <c r="D847">
        <v>8</v>
      </c>
      <c r="E847">
        <v>1700</v>
      </c>
      <c r="F847" t="s">
        <v>4603</v>
      </c>
      <c r="G847" t="s">
        <v>4604</v>
      </c>
      <c r="H847">
        <v>2334930</v>
      </c>
      <c r="I847">
        <v>2195300</v>
      </c>
      <c r="J847">
        <v>1</v>
      </c>
      <c r="K847">
        <v>2334930</v>
      </c>
      <c r="L847">
        <v>2195300</v>
      </c>
      <c r="M847">
        <v>599</v>
      </c>
    </row>
    <row r="848" spans="1:13" ht="15">
      <c r="A848" t="s">
        <v>3496</v>
      </c>
      <c r="B848" s="1040" t="str">
        <f>CONCATENATE(LEFT(RIGHT(CONCATENATE("000",IFAData_TEA_1718!A848),6),3),"-",(RIGHT(RIGHT(CONCATENATE("000",IFAData_TEA_1718!A848),6),3)))</f>
        <v>071-901</v>
      </c>
      <c r="C848" t="s">
        <v>1166</v>
      </c>
      <c r="D848">
        <v>9</v>
      </c>
      <c r="E848">
        <v>1701</v>
      </c>
      <c r="F848" t="s">
        <v>4605</v>
      </c>
      <c r="G848" t="s">
        <v>4605</v>
      </c>
      <c r="H848">
        <v>2567970</v>
      </c>
      <c r="I848">
        <v>1186075</v>
      </c>
      <c r="J848">
        <v>0.54822681103317605</v>
      </c>
      <c r="K848">
        <v>1407830.00392886</v>
      </c>
      <c r="L848">
        <v>1186075</v>
      </c>
      <c r="M848">
        <v>599</v>
      </c>
    </row>
    <row r="849" spans="1:13" ht="15">
      <c r="A849" t="s">
        <v>3496</v>
      </c>
      <c r="B849" s="1040" t="str">
        <f>CONCATENATE(LEFT(RIGHT(CONCATENATE("000",IFAData_TEA_1718!A849),6),3),"-",(RIGHT(RIGHT(CONCATENATE("000",IFAData_TEA_1718!A849),6),3)))</f>
        <v>071-901</v>
      </c>
      <c r="C849" t="s">
        <v>1166</v>
      </c>
      <c r="D849">
        <v>9</v>
      </c>
      <c r="E849">
        <v>1701</v>
      </c>
      <c r="F849" t="s">
        <v>4605</v>
      </c>
      <c r="G849" t="s">
        <v>6450</v>
      </c>
      <c r="H849">
        <v>2567970</v>
      </c>
      <c r="I849">
        <v>977400</v>
      </c>
      <c r="J849">
        <v>0.451773188966824</v>
      </c>
      <c r="K849">
        <v>1160139.99607114</v>
      </c>
      <c r="L849">
        <v>977400</v>
      </c>
      <c r="M849">
        <v>599</v>
      </c>
    </row>
    <row r="850" spans="1:13" ht="15">
      <c r="A850" t="s">
        <v>3496</v>
      </c>
      <c r="B850" s="1040" t="str">
        <f>CONCATENATE(LEFT(RIGHT(CONCATENATE("000",IFAData_TEA_1718!A850),6),3),"-",(RIGHT(RIGHT(CONCATENATE("000",IFAData_TEA_1718!A850),6),3)))</f>
        <v>071-901</v>
      </c>
      <c r="C850" t="s">
        <v>1166</v>
      </c>
      <c r="D850">
        <v>11</v>
      </c>
      <c r="E850">
        <v>2556</v>
      </c>
      <c r="F850" t="s">
        <v>8367</v>
      </c>
      <c r="G850" t="s">
        <v>8367</v>
      </c>
      <c r="H850">
        <v>2547117</v>
      </c>
      <c r="I850">
        <v>2547133</v>
      </c>
      <c r="J850">
        <v>1</v>
      </c>
      <c r="K850">
        <v>2547117</v>
      </c>
      <c r="L850">
        <v>2547117</v>
      </c>
      <c r="M850">
        <v>599</v>
      </c>
    </row>
    <row r="851" spans="1:13" ht="15">
      <c r="A851" t="s">
        <v>3497</v>
      </c>
      <c r="B851" s="1040" t="str">
        <f>CONCATENATE(LEFT(RIGHT(CONCATENATE("000",IFAData_TEA_1718!A851),6),3),"-",(RIGHT(RIGHT(CONCATENATE("000",IFAData_TEA_1718!A851),6),3)))</f>
        <v>071-902</v>
      </c>
      <c r="C851" t="s">
        <v>1973</v>
      </c>
      <c r="D851">
        <v>9</v>
      </c>
      <c r="E851">
        <v>1798</v>
      </c>
      <c r="F851" t="s">
        <v>4606</v>
      </c>
      <c r="G851" t="s">
        <v>4606</v>
      </c>
      <c r="H851">
        <v>9773773</v>
      </c>
      <c r="I851">
        <v>1072500</v>
      </c>
      <c r="J851">
        <v>0.17992777724186201</v>
      </c>
      <c r="K851">
        <v>1758573.2511565301</v>
      </c>
      <c r="L851">
        <v>1072500</v>
      </c>
      <c r="M851">
        <v>599</v>
      </c>
    </row>
    <row r="852" spans="1:13" ht="15">
      <c r="A852" t="s">
        <v>3497</v>
      </c>
      <c r="B852" s="1040" t="str">
        <f>CONCATENATE(LEFT(RIGHT(CONCATENATE("000",IFAData_TEA_1718!A852),6),3),"-",(RIGHT(RIGHT(CONCATENATE("000",IFAData_TEA_1718!A852),6),3)))</f>
        <v>071-902</v>
      </c>
      <c r="C852" t="s">
        <v>1973</v>
      </c>
      <c r="D852">
        <v>9</v>
      </c>
      <c r="E852">
        <v>1798</v>
      </c>
      <c r="F852" t="s">
        <v>4606</v>
      </c>
      <c r="G852" t="s">
        <v>6244</v>
      </c>
      <c r="H852">
        <v>9773773</v>
      </c>
      <c r="I852">
        <v>4888225</v>
      </c>
      <c r="J852">
        <v>0.82007222275813796</v>
      </c>
      <c r="K852">
        <v>8015199.7488434697</v>
      </c>
      <c r="L852">
        <v>4888225</v>
      </c>
      <c r="M852">
        <v>599</v>
      </c>
    </row>
    <row r="853" spans="1:13" ht="15">
      <c r="A853" t="s">
        <v>3498</v>
      </c>
      <c r="B853" s="1040" t="str">
        <f>CONCATENATE(LEFT(RIGHT(CONCATENATE("000",IFAData_TEA_1718!A853),6),3),"-",(RIGHT(RIGHT(CONCATENATE("000",IFAData_TEA_1718!A853),6),3)))</f>
        <v>071-903</v>
      </c>
      <c r="C853" t="s">
        <v>892</v>
      </c>
      <c r="D853">
        <v>2</v>
      </c>
      <c r="E853">
        <v>1807</v>
      </c>
      <c r="F853" t="s">
        <v>4607</v>
      </c>
      <c r="G853" t="s">
        <v>4607</v>
      </c>
      <c r="H853">
        <v>665953</v>
      </c>
      <c r="I853">
        <v>0</v>
      </c>
      <c r="J853">
        <v>0</v>
      </c>
      <c r="K853">
        <v>0</v>
      </c>
      <c r="L853">
        <v>0</v>
      </c>
      <c r="M853">
        <v>599</v>
      </c>
    </row>
    <row r="854" spans="1:13" ht="15">
      <c r="A854" t="s">
        <v>3498</v>
      </c>
      <c r="B854" s="1040" t="str">
        <f>CONCATENATE(LEFT(RIGHT(CONCATENATE("000",IFAData_TEA_1718!A854),6),3),"-",(RIGHT(RIGHT(CONCATENATE("000",IFAData_TEA_1718!A854),6),3)))</f>
        <v>071-903</v>
      </c>
      <c r="C854" t="s">
        <v>892</v>
      </c>
      <c r="D854">
        <v>2</v>
      </c>
      <c r="E854">
        <v>1807</v>
      </c>
      <c r="F854" t="s">
        <v>4607</v>
      </c>
      <c r="G854" t="s">
        <v>4608</v>
      </c>
      <c r="H854">
        <v>665953</v>
      </c>
      <c r="I854">
        <v>0</v>
      </c>
      <c r="J854">
        <v>0</v>
      </c>
      <c r="K854">
        <v>0</v>
      </c>
      <c r="L854">
        <v>0</v>
      </c>
      <c r="M854">
        <v>599</v>
      </c>
    </row>
    <row r="855" spans="1:13" ht="15">
      <c r="A855" t="s">
        <v>3498</v>
      </c>
      <c r="B855" s="1040" t="str">
        <f>CONCATENATE(LEFT(RIGHT(CONCATENATE("000",IFAData_TEA_1718!A855),6),3),"-",(RIGHT(RIGHT(CONCATENATE("000",IFAData_TEA_1718!A855),6),3)))</f>
        <v>071-903</v>
      </c>
      <c r="C855" t="s">
        <v>892</v>
      </c>
      <c r="D855">
        <v>2</v>
      </c>
      <c r="E855">
        <v>1807</v>
      </c>
      <c r="F855" t="s">
        <v>4607</v>
      </c>
      <c r="G855" t="s">
        <v>6453</v>
      </c>
      <c r="H855">
        <v>665953</v>
      </c>
      <c r="I855">
        <v>527100</v>
      </c>
      <c r="J855">
        <v>1</v>
      </c>
      <c r="K855">
        <v>665953</v>
      </c>
      <c r="L855">
        <v>527100</v>
      </c>
      <c r="M855">
        <v>599</v>
      </c>
    </row>
    <row r="856" spans="1:13" ht="15">
      <c r="A856" t="s">
        <v>3498</v>
      </c>
      <c r="B856" s="1040" t="str">
        <f>CONCATENATE(LEFT(RIGHT(CONCATENATE("000",IFAData_TEA_1718!A856),6),3),"-",(RIGHT(RIGHT(CONCATENATE("000",IFAData_TEA_1718!A856),6),3)))</f>
        <v>071-903</v>
      </c>
      <c r="C856" t="s">
        <v>892</v>
      </c>
      <c r="D856">
        <v>8</v>
      </c>
      <c r="E856">
        <v>1806</v>
      </c>
      <c r="F856" t="s">
        <v>4609</v>
      </c>
      <c r="G856" t="s">
        <v>4609</v>
      </c>
      <c r="H856">
        <v>601866</v>
      </c>
      <c r="I856">
        <v>275400</v>
      </c>
      <c r="J856">
        <v>0.48138437336130002</v>
      </c>
      <c r="K856">
        <v>289728.88725747197</v>
      </c>
      <c r="L856">
        <v>275400</v>
      </c>
      <c r="M856">
        <v>599</v>
      </c>
    </row>
    <row r="857" spans="1:13" ht="15">
      <c r="A857" t="s">
        <v>3498</v>
      </c>
      <c r="B857" s="1040" t="str">
        <f>CONCATENATE(LEFT(RIGHT(CONCATENATE("000",IFAData_TEA_1718!A857),6),3),"-",(RIGHT(RIGHT(CONCATENATE("000",IFAData_TEA_1718!A857),6),3)))</f>
        <v>071-903</v>
      </c>
      <c r="C857" t="s">
        <v>892</v>
      </c>
      <c r="D857">
        <v>8</v>
      </c>
      <c r="E857">
        <v>1806</v>
      </c>
      <c r="F857" t="s">
        <v>4609</v>
      </c>
      <c r="G857" t="s">
        <v>6245</v>
      </c>
      <c r="H857">
        <v>601866</v>
      </c>
      <c r="I857">
        <v>296700</v>
      </c>
      <c r="J857">
        <v>0.51861562663869998</v>
      </c>
      <c r="K857">
        <v>312137.11274252803</v>
      </c>
      <c r="L857">
        <v>296700</v>
      </c>
      <c r="M857">
        <v>599</v>
      </c>
    </row>
    <row r="858" spans="1:13" ht="15">
      <c r="A858" t="s">
        <v>3498</v>
      </c>
      <c r="B858" s="1040" t="str">
        <f>CONCATENATE(LEFT(RIGHT(CONCATENATE("000",IFAData_TEA_1718!A858),6),3),"-",(RIGHT(RIGHT(CONCATENATE("000",IFAData_TEA_1718!A858),6),3)))</f>
        <v>071-903</v>
      </c>
      <c r="C858" t="s">
        <v>892</v>
      </c>
      <c r="D858">
        <v>9</v>
      </c>
      <c r="E858">
        <v>1805</v>
      </c>
      <c r="F858" t="s">
        <v>4610</v>
      </c>
      <c r="G858" t="s">
        <v>4610</v>
      </c>
      <c r="H858">
        <v>586545</v>
      </c>
      <c r="I858">
        <v>245015</v>
      </c>
      <c r="J858">
        <v>0.48574090778426499</v>
      </c>
      <c r="K858">
        <v>284908.90075632202</v>
      </c>
      <c r="L858">
        <v>245015</v>
      </c>
      <c r="M858">
        <v>599</v>
      </c>
    </row>
    <row r="859" spans="1:13" ht="15">
      <c r="A859" t="s">
        <v>3498</v>
      </c>
      <c r="B859" s="1040" t="str">
        <f>CONCATENATE(LEFT(RIGHT(CONCATENATE("000",IFAData_TEA_1718!A859),6),3),"-",(RIGHT(RIGHT(CONCATENATE("000",IFAData_TEA_1718!A859),6),3)))</f>
        <v>071-903</v>
      </c>
      <c r="C859" t="s">
        <v>892</v>
      </c>
      <c r="D859">
        <v>9</v>
      </c>
      <c r="E859">
        <v>1805</v>
      </c>
      <c r="F859" t="s">
        <v>4610</v>
      </c>
      <c r="G859" t="s">
        <v>6452</v>
      </c>
      <c r="H859">
        <v>586545</v>
      </c>
      <c r="I859">
        <v>259400</v>
      </c>
      <c r="J859">
        <v>0.51425909221573496</v>
      </c>
      <c r="K859">
        <v>301636.09924367798</v>
      </c>
      <c r="L859">
        <v>259400</v>
      </c>
      <c r="M859">
        <v>599</v>
      </c>
    </row>
    <row r="860" spans="1:13" ht="15">
      <c r="A860" t="s">
        <v>4611</v>
      </c>
      <c r="B860" s="1040" t="str">
        <f>CONCATENATE(LEFT(RIGHT(CONCATENATE("000",IFAData_TEA_1718!A860),6),3),"-",(RIGHT(RIGHT(CONCATENATE("000",IFAData_TEA_1718!A860),6),3)))</f>
        <v>071-904</v>
      </c>
      <c r="C860" t="s">
        <v>2031</v>
      </c>
      <c r="D860">
        <v>2</v>
      </c>
      <c r="E860">
        <v>2293</v>
      </c>
      <c r="F860" t="s">
        <v>4612</v>
      </c>
      <c r="G860" t="s">
        <v>4612</v>
      </c>
      <c r="H860">
        <v>204473</v>
      </c>
      <c r="I860">
        <v>0</v>
      </c>
      <c r="J860">
        <v>0</v>
      </c>
      <c r="K860"/>
      <c r="L860">
        <v>0</v>
      </c>
      <c r="M860">
        <v>199</v>
      </c>
    </row>
    <row r="861" spans="1:13" ht="15">
      <c r="A861" t="s">
        <v>4611</v>
      </c>
      <c r="B861" s="1040" t="str">
        <f>CONCATENATE(LEFT(RIGHT(CONCATENATE("000",IFAData_TEA_1718!A861),6),3),"-",(RIGHT(RIGHT(CONCATENATE("000",IFAData_TEA_1718!A861),6),3)))</f>
        <v>071-904</v>
      </c>
      <c r="C861" t="s">
        <v>2031</v>
      </c>
      <c r="D861">
        <v>3</v>
      </c>
      <c r="E861">
        <v>2294</v>
      </c>
      <c r="F861" t="s">
        <v>4613</v>
      </c>
      <c r="G861" t="s">
        <v>4613</v>
      </c>
      <c r="H861">
        <v>828370</v>
      </c>
      <c r="I861">
        <v>0</v>
      </c>
      <c r="J861">
        <v>0</v>
      </c>
      <c r="K861"/>
      <c r="L861">
        <v>0</v>
      </c>
      <c r="M861">
        <v>199</v>
      </c>
    </row>
    <row r="862" spans="1:13" ht="15">
      <c r="A862" t="s">
        <v>4611</v>
      </c>
      <c r="B862" s="1040" t="str">
        <f>CONCATENATE(LEFT(RIGHT(CONCATENATE("000",IFAData_TEA_1718!A862),6),3),"-",(RIGHT(RIGHT(CONCATENATE("000",IFAData_TEA_1718!A862),6),3)))</f>
        <v>071-904</v>
      </c>
      <c r="C862" t="s">
        <v>2031</v>
      </c>
      <c r="D862">
        <v>7</v>
      </c>
      <c r="E862">
        <v>2292</v>
      </c>
      <c r="F862" t="s">
        <v>4615</v>
      </c>
      <c r="G862" t="s">
        <v>4615</v>
      </c>
      <c r="H862">
        <v>177544</v>
      </c>
      <c r="I862">
        <v>162654</v>
      </c>
      <c r="J862">
        <v>1</v>
      </c>
      <c r="K862">
        <v>177544</v>
      </c>
      <c r="L862">
        <v>162654</v>
      </c>
      <c r="M862">
        <v>199</v>
      </c>
    </row>
    <row r="863" spans="1:13" ht="15">
      <c r="A863" t="s">
        <v>4611</v>
      </c>
      <c r="B863" s="1040" t="str">
        <f>CONCATENATE(LEFT(RIGHT(CONCATENATE("000",IFAData_TEA_1718!A863),6),3),"-",(RIGHT(RIGHT(CONCATENATE("000",IFAData_TEA_1718!A863),6),3)))</f>
        <v>071-904</v>
      </c>
      <c r="C863" t="s">
        <v>2031</v>
      </c>
      <c r="D863">
        <v>8</v>
      </c>
      <c r="E863">
        <v>2295</v>
      </c>
      <c r="F863" t="s">
        <v>4616</v>
      </c>
      <c r="G863" t="s">
        <v>4616</v>
      </c>
      <c r="H863">
        <v>837604</v>
      </c>
      <c r="I863">
        <v>836657</v>
      </c>
      <c r="J863">
        <v>1</v>
      </c>
      <c r="K863">
        <v>837604</v>
      </c>
      <c r="L863">
        <v>836657</v>
      </c>
      <c r="M863">
        <v>199</v>
      </c>
    </row>
    <row r="864" spans="1:13" ht="15">
      <c r="A864" t="s">
        <v>4617</v>
      </c>
      <c r="B864" s="1040" t="str">
        <f>CONCATENATE(LEFT(RIGHT(CONCATENATE("000",IFAData_TEA_1718!A864),6),3),"-",(RIGHT(RIGHT(CONCATENATE("000",IFAData_TEA_1718!A864),6),3)))</f>
        <v>071-905</v>
      </c>
      <c r="C864" t="s">
        <v>760</v>
      </c>
      <c r="D864">
        <v>3</v>
      </c>
      <c r="E864">
        <v>2469</v>
      </c>
      <c r="F864" t="s">
        <v>4618</v>
      </c>
      <c r="G864" t="s">
        <v>4618</v>
      </c>
      <c r="H864">
        <v>5086781</v>
      </c>
      <c r="I864">
        <v>0</v>
      </c>
      <c r="J864">
        <v>0</v>
      </c>
      <c r="K864">
        <v>0</v>
      </c>
      <c r="L864">
        <v>0</v>
      </c>
      <c r="M864">
        <v>199</v>
      </c>
    </row>
    <row r="865" spans="1:13" ht="15">
      <c r="A865" t="s">
        <v>4617</v>
      </c>
      <c r="B865" s="1040" t="str">
        <f>CONCATENATE(LEFT(RIGHT(CONCATENATE("000",IFAData_TEA_1718!A865),6),3),"-",(RIGHT(RIGHT(CONCATENATE("000",IFAData_TEA_1718!A865),6),3)))</f>
        <v>071-905</v>
      </c>
      <c r="C865" t="s">
        <v>760</v>
      </c>
      <c r="D865">
        <v>3</v>
      </c>
      <c r="E865">
        <v>2469</v>
      </c>
      <c r="F865" t="s">
        <v>4618</v>
      </c>
      <c r="G865" t="s">
        <v>4619</v>
      </c>
      <c r="H865">
        <v>5086781</v>
      </c>
      <c r="I865">
        <v>3536000</v>
      </c>
      <c r="J865">
        <v>1</v>
      </c>
      <c r="K865">
        <v>5086781</v>
      </c>
      <c r="L865">
        <v>3536000</v>
      </c>
      <c r="M865">
        <v>199</v>
      </c>
    </row>
    <row r="866" spans="1:13" ht="15">
      <c r="A866" t="s">
        <v>4617</v>
      </c>
      <c r="B866" s="1040" t="str">
        <f>CONCATENATE(LEFT(RIGHT(CONCATENATE("000",IFAData_TEA_1718!A866),6),3),"-",(RIGHT(RIGHT(CONCATENATE("000",IFAData_TEA_1718!A866),6),3)))</f>
        <v>071-905</v>
      </c>
      <c r="C866" t="s">
        <v>760</v>
      </c>
      <c r="D866">
        <v>11</v>
      </c>
      <c r="E866">
        <v>2489</v>
      </c>
      <c r="F866" t="s">
        <v>8368</v>
      </c>
      <c r="G866" t="s">
        <v>8368</v>
      </c>
      <c r="H866">
        <v>9805840</v>
      </c>
      <c r="I866">
        <v>9913719</v>
      </c>
      <c r="J866">
        <v>1</v>
      </c>
      <c r="K866">
        <v>9805840</v>
      </c>
      <c r="L866">
        <v>9805840</v>
      </c>
      <c r="M866">
        <v>599</v>
      </c>
    </row>
    <row r="867" spans="1:13" ht="15">
      <c r="A867" t="s">
        <v>3499</v>
      </c>
      <c r="B867" s="1040" t="str">
        <f>CONCATENATE(LEFT(RIGHT(CONCATENATE("000",IFAData_TEA_1718!A867),6),3),"-",(RIGHT(RIGHT(CONCATENATE("000",IFAData_TEA_1718!A867),6),3)))</f>
        <v>071-906</v>
      </c>
      <c r="C867" t="s">
        <v>132</v>
      </c>
      <c r="D867">
        <v>2</v>
      </c>
      <c r="E867">
        <v>1580</v>
      </c>
      <c r="F867" t="s">
        <v>4620</v>
      </c>
      <c r="G867" t="s">
        <v>4620</v>
      </c>
      <c r="H867">
        <v>199299</v>
      </c>
      <c r="I867">
        <v>0</v>
      </c>
      <c r="J867">
        <v>0</v>
      </c>
      <c r="K867">
        <v>0</v>
      </c>
      <c r="L867">
        <v>0</v>
      </c>
      <c r="M867">
        <v>599</v>
      </c>
    </row>
    <row r="868" spans="1:13" ht="15">
      <c r="A868" t="s">
        <v>3499</v>
      </c>
      <c r="B868" s="1040" t="str">
        <f>CONCATENATE(LEFT(RIGHT(CONCATENATE("000",IFAData_TEA_1718!A868),6),3),"-",(RIGHT(RIGHT(CONCATENATE("000",IFAData_TEA_1718!A868),6),3)))</f>
        <v>071-906</v>
      </c>
      <c r="C868" t="s">
        <v>132</v>
      </c>
      <c r="D868">
        <v>2</v>
      </c>
      <c r="E868">
        <v>1580</v>
      </c>
      <c r="F868" t="s">
        <v>4620</v>
      </c>
      <c r="G868" t="s">
        <v>4621</v>
      </c>
      <c r="H868">
        <v>199299</v>
      </c>
      <c r="I868">
        <v>0</v>
      </c>
      <c r="J868">
        <v>0</v>
      </c>
      <c r="K868">
        <v>0</v>
      </c>
      <c r="L868">
        <v>0</v>
      </c>
      <c r="M868">
        <v>599</v>
      </c>
    </row>
    <row r="869" spans="1:13" ht="15">
      <c r="A869" t="s">
        <v>3499</v>
      </c>
      <c r="B869" s="1040" t="str">
        <f>CONCATENATE(LEFT(RIGHT(CONCATENATE("000",IFAData_TEA_1718!A869),6),3),"-",(RIGHT(RIGHT(CONCATENATE("000",IFAData_TEA_1718!A869),6),3)))</f>
        <v>071-906</v>
      </c>
      <c r="C869" t="s">
        <v>132</v>
      </c>
      <c r="D869">
        <v>2</v>
      </c>
      <c r="E869">
        <v>1580</v>
      </c>
      <c r="F869" t="s">
        <v>4620</v>
      </c>
      <c r="G869" t="s">
        <v>6454</v>
      </c>
      <c r="H869">
        <v>199299</v>
      </c>
      <c r="I869">
        <v>246625</v>
      </c>
      <c r="J869">
        <v>1</v>
      </c>
      <c r="K869">
        <v>199299</v>
      </c>
      <c r="L869">
        <v>199299</v>
      </c>
      <c r="M869">
        <v>599</v>
      </c>
    </row>
    <row r="870" spans="1:13" ht="15">
      <c r="A870" t="s">
        <v>3499</v>
      </c>
      <c r="B870" s="1040" t="str">
        <f>CONCATENATE(LEFT(RIGHT(CONCATENATE("000",IFAData_TEA_1718!A870),6),3),"-",(RIGHT(RIGHT(CONCATENATE("000",IFAData_TEA_1718!A870),6),3)))</f>
        <v>071-906</v>
      </c>
      <c r="C870" t="s">
        <v>132</v>
      </c>
      <c r="D870">
        <v>3</v>
      </c>
      <c r="E870">
        <v>1579</v>
      </c>
      <c r="F870" t="s">
        <v>4622</v>
      </c>
      <c r="G870" t="s">
        <v>4622</v>
      </c>
      <c r="H870">
        <v>91971</v>
      </c>
      <c r="I870">
        <v>0</v>
      </c>
      <c r="J870">
        <v>0</v>
      </c>
      <c r="K870"/>
      <c r="L870">
        <v>0</v>
      </c>
      <c r="M870">
        <v>199</v>
      </c>
    </row>
    <row r="871" spans="1:13" ht="15">
      <c r="A871" t="s">
        <v>3500</v>
      </c>
      <c r="B871" s="1040" t="str">
        <f>CONCATENATE(LEFT(RIGHT(CONCATENATE("000",IFAData_TEA_1718!A871),6),3),"-",(RIGHT(RIGHT(CONCATENATE("000",IFAData_TEA_1718!A871),6),3)))</f>
        <v>071-907</v>
      </c>
      <c r="C871" t="s">
        <v>653</v>
      </c>
      <c r="D871">
        <v>5</v>
      </c>
      <c r="E871">
        <v>1662</v>
      </c>
      <c r="F871" t="s">
        <v>4623</v>
      </c>
      <c r="G871" t="s">
        <v>4623</v>
      </c>
      <c r="H871">
        <v>1070895</v>
      </c>
      <c r="I871">
        <v>0</v>
      </c>
      <c r="J871">
        <v>0</v>
      </c>
      <c r="K871">
        <v>0</v>
      </c>
      <c r="L871">
        <v>0</v>
      </c>
      <c r="M871">
        <v>599</v>
      </c>
    </row>
    <row r="872" spans="1:13" ht="15">
      <c r="A872" t="s">
        <v>3500</v>
      </c>
      <c r="B872" s="1040" t="str">
        <f>CONCATENATE(LEFT(RIGHT(CONCATENATE("000",IFAData_TEA_1718!A872),6),3),"-",(RIGHT(RIGHT(CONCATENATE("000",IFAData_TEA_1718!A872),6),3)))</f>
        <v>071-907</v>
      </c>
      <c r="C872" t="s">
        <v>653</v>
      </c>
      <c r="D872">
        <v>5</v>
      </c>
      <c r="E872">
        <v>1662</v>
      </c>
      <c r="F872" t="s">
        <v>4623</v>
      </c>
      <c r="G872" t="s">
        <v>4624</v>
      </c>
      <c r="H872">
        <v>1070895</v>
      </c>
      <c r="I872">
        <v>0</v>
      </c>
      <c r="J872">
        <v>0</v>
      </c>
      <c r="K872">
        <v>0</v>
      </c>
      <c r="L872">
        <v>0</v>
      </c>
      <c r="M872">
        <v>599</v>
      </c>
    </row>
    <row r="873" spans="1:13" ht="15">
      <c r="A873" t="s">
        <v>3500</v>
      </c>
      <c r="B873" s="1040" t="str">
        <f>CONCATENATE(LEFT(RIGHT(CONCATENATE("000",IFAData_TEA_1718!A873),6),3),"-",(RIGHT(RIGHT(CONCATENATE("000",IFAData_TEA_1718!A873),6),3)))</f>
        <v>071-907</v>
      </c>
      <c r="C873" t="s">
        <v>653</v>
      </c>
      <c r="D873">
        <v>5</v>
      </c>
      <c r="E873">
        <v>1662</v>
      </c>
      <c r="F873" t="s">
        <v>4623</v>
      </c>
      <c r="G873" t="s">
        <v>4625</v>
      </c>
      <c r="H873">
        <v>1070895</v>
      </c>
      <c r="I873">
        <v>1564450</v>
      </c>
      <c r="J873">
        <v>0.86435229794117896</v>
      </c>
      <c r="K873">
        <v>925630.55410371895</v>
      </c>
      <c r="L873">
        <v>925630.55410371895</v>
      </c>
      <c r="M873">
        <v>599</v>
      </c>
    </row>
    <row r="874" spans="1:13" ht="15">
      <c r="A874" t="s">
        <v>3500</v>
      </c>
      <c r="B874" s="1040" t="str">
        <f>CONCATENATE(LEFT(RIGHT(CONCATENATE("000",IFAData_TEA_1718!A874),6),3),"-",(RIGHT(RIGHT(CONCATENATE("000",IFAData_TEA_1718!A874),6),3)))</f>
        <v>071-907</v>
      </c>
      <c r="C874" t="s">
        <v>653</v>
      </c>
      <c r="D874">
        <v>5</v>
      </c>
      <c r="E874">
        <v>1662</v>
      </c>
      <c r="F874" t="s">
        <v>4623</v>
      </c>
      <c r="G874" t="s">
        <v>4626</v>
      </c>
      <c r="H874">
        <v>1070895</v>
      </c>
      <c r="I874">
        <v>211058</v>
      </c>
      <c r="J874">
        <v>0.116608691424379</v>
      </c>
      <c r="K874">
        <v>124875.66460290999</v>
      </c>
      <c r="L874">
        <v>124875.66460290999</v>
      </c>
      <c r="M874">
        <v>599</v>
      </c>
    </row>
    <row r="875" spans="1:13" ht="15">
      <c r="A875" t="s">
        <v>3500</v>
      </c>
      <c r="B875" s="1040" t="str">
        <f>CONCATENATE(LEFT(RIGHT(CONCATENATE("000",IFAData_TEA_1718!A875),6),3),"-",(RIGHT(RIGHT(CONCATENATE("000",IFAData_TEA_1718!A875),6),3)))</f>
        <v>071-907</v>
      </c>
      <c r="C875" t="s">
        <v>653</v>
      </c>
      <c r="D875">
        <v>5</v>
      </c>
      <c r="E875">
        <v>1662</v>
      </c>
      <c r="F875" t="s">
        <v>4623</v>
      </c>
      <c r="G875" t="s">
        <v>8369</v>
      </c>
      <c r="H875">
        <v>1070895</v>
      </c>
      <c r="I875">
        <v>34460</v>
      </c>
      <c r="J875">
        <v>1.9039010634442199E-2</v>
      </c>
      <c r="K875">
        <v>20388.781293370899</v>
      </c>
      <c r="L875">
        <v>20388.781293370899</v>
      </c>
      <c r="M875">
        <v>599</v>
      </c>
    </row>
    <row r="876" spans="1:13" ht="15">
      <c r="A876" t="s">
        <v>3500</v>
      </c>
      <c r="B876" s="1040" t="str">
        <f>CONCATENATE(LEFT(RIGHT(CONCATENATE("000",IFAData_TEA_1718!A876),6),3),"-",(RIGHT(RIGHT(CONCATENATE("000",IFAData_TEA_1718!A876),6),3)))</f>
        <v>071-907</v>
      </c>
      <c r="C876" t="s">
        <v>653</v>
      </c>
      <c r="D876">
        <v>11</v>
      </c>
      <c r="E876">
        <v>2539</v>
      </c>
      <c r="F876" t="s">
        <v>4626</v>
      </c>
      <c r="G876" t="s">
        <v>4626</v>
      </c>
      <c r="H876">
        <v>1193792</v>
      </c>
      <c r="I876">
        <v>708620</v>
      </c>
      <c r="J876">
        <v>0.74474144979810797</v>
      </c>
      <c r="K876">
        <v>889066.38483738306</v>
      </c>
      <c r="L876">
        <v>708620</v>
      </c>
      <c r="M876">
        <v>599</v>
      </c>
    </row>
    <row r="877" spans="1:13" ht="15">
      <c r="A877" t="s">
        <v>3500</v>
      </c>
      <c r="B877" s="1040" t="str">
        <f>CONCATENATE(LEFT(RIGHT(CONCATENATE("000",IFAData_TEA_1718!A877),6),3),"-",(RIGHT(RIGHT(CONCATENATE("000",IFAData_TEA_1718!A877),6),3)))</f>
        <v>071-907</v>
      </c>
      <c r="C877" t="s">
        <v>653</v>
      </c>
      <c r="D877">
        <v>11</v>
      </c>
      <c r="E877">
        <v>2539</v>
      </c>
      <c r="F877" t="s">
        <v>4626</v>
      </c>
      <c r="G877" t="s">
        <v>8369</v>
      </c>
      <c r="H877">
        <v>1193792</v>
      </c>
      <c r="I877">
        <v>242878</v>
      </c>
      <c r="J877">
        <v>0.25525855020189198</v>
      </c>
      <c r="K877">
        <v>304725.615162617</v>
      </c>
      <c r="L877">
        <v>242878</v>
      </c>
      <c r="M877">
        <v>599</v>
      </c>
    </row>
    <row r="878" spans="1:13" ht="15">
      <c r="A878" t="s">
        <v>3500</v>
      </c>
      <c r="B878" s="1040" t="str">
        <f>CONCATENATE(LEFT(RIGHT(CONCATENATE("000",IFAData_TEA_1718!A878),6),3),"-",(RIGHT(RIGHT(CONCATENATE("000",IFAData_TEA_1718!A878),6),3)))</f>
        <v>071-907</v>
      </c>
      <c r="C878" t="s">
        <v>653</v>
      </c>
      <c r="D878">
        <v>11</v>
      </c>
      <c r="E878">
        <v>2540</v>
      </c>
      <c r="F878" t="s">
        <v>8370</v>
      </c>
      <c r="G878" t="s">
        <v>8370</v>
      </c>
      <c r="H878">
        <v>195054</v>
      </c>
      <c r="I878">
        <v>938644</v>
      </c>
      <c r="J878">
        <v>1</v>
      </c>
      <c r="K878">
        <v>195054</v>
      </c>
      <c r="L878">
        <v>195054</v>
      </c>
      <c r="M878">
        <v>599</v>
      </c>
    </row>
    <row r="879" spans="1:13" ht="15">
      <c r="A879" t="s">
        <v>3501</v>
      </c>
      <c r="B879" s="1040" t="str">
        <f>CONCATENATE(LEFT(RIGHT(CONCATENATE("000",IFAData_TEA_1718!A879),6),3),"-",(RIGHT(RIGHT(CONCATENATE("000",IFAData_TEA_1718!A879),6),3)))</f>
        <v>071-908</v>
      </c>
      <c r="C879" t="s">
        <v>606</v>
      </c>
      <c r="D879">
        <v>1</v>
      </c>
      <c r="E879">
        <v>2396</v>
      </c>
      <c r="F879" t="s">
        <v>4627</v>
      </c>
      <c r="G879" t="s">
        <v>4627</v>
      </c>
      <c r="H879">
        <v>44910</v>
      </c>
      <c r="I879">
        <v>0</v>
      </c>
      <c r="J879">
        <v>0</v>
      </c>
      <c r="K879">
        <v>0</v>
      </c>
      <c r="L879">
        <v>0</v>
      </c>
      <c r="M879">
        <v>599</v>
      </c>
    </row>
    <row r="880" spans="1:13" ht="15">
      <c r="A880" t="s">
        <v>3501</v>
      </c>
      <c r="B880" s="1040" t="str">
        <f>CONCATENATE(LEFT(RIGHT(CONCATENATE("000",IFAData_TEA_1718!A880),6),3),"-",(RIGHT(RIGHT(CONCATENATE("000",IFAData_TEA_1718!A880),6),3)))</f>
        <v>071-908</v>
      </c>
      <c r="C880" t="s">
        <v>606</v>
      </c>
      <c r="D880">
        <v>1</v>
      </c>
      <c r="E880">
        <v>2396</v>
      </c>
      <c r="F880" t="s">
        <v>4627</v>
      </c>
      <c r="G880" t="s">
        <v>4628</v>
      </c>
      <c r="H880">
        <v>44910</v>
      </c>
      <c r="I880">
        <v>0</v>
      </c>
      <c r="J880">
        <v>0</v>
      </c>
      <c r="K880">
        <v>0</v>
      </c>
      <c r="L880">
        <v>0</v>
      </c>
      <c r="M880">
        <v>599</v>
      </c>
    </row>
    <row r="881" spans="1:13" ht="15">
      <c r="A881" t="s">
        <v>3501</v>
      </c>
      <c r="B881" s="1040" t="str">
        <f>CONCATENATE(LEFT(RIGHT(CONCATENATE("000",IFAData_TEA_1718!A881),6),3),"-",(RIGHT(RIGHT(CONCATENATE("000",IFAData_TEA_1718!A881),6),3)))</f>
        <v>071-908</v>
      </c>
      <c r="C881" t="s">
        <v>606</v>
      </c>
      <c r="D881">
        <v>1</v>
      </c>
      <c r="E881">
        <v>2396</v>
      </c>
      <c r="F881" t="s">
        <v>4627</v>
      </c>
      <c r="G881" t="s">
        <v>4629</v>
      </c>
      <c r="H881">
        <v>44910</v>
      </c>
      <c r="I881">
        <v>29548</v>
      </c>
      <c r="J881">
        <v>1</v>
      </c>
      <c r="K881">
        <v>44910</v>
      </c>
      <c r="L881">
        <v>29548</v>
      </c>
      <c r="M881">
        <v>599</v>
      </c>
    </row>
    <row r="882" spans="1:13" ht="15">
      <c r="A882" t="s">
        <v>3501</v>
      </c>
      <c r="B882" s="1040" t="str">
        <f>CONCATENATE(LEFT(RIGHT(CONCATENATE("000",IFAData_TEA_1718!A882),6),3),"-",(RIGHT(RIGHT(CONCATENATE("000",IFAData_TEA_1718!A882),6),3)))</f>
        <v>071-908</v>
      </c>
      <c r="C882" t="s">
        <v>606</v>
      </c>
      <c r="D882">
        <v>3</v>
      </c>
      <c r="E882">
        <v>2395</v>
      </c>
      <c r="F882" t="s">
        <v>4630</v>
      </c>
      <c r="G882" t="s">
        <v>4630</v>
      </c>
      <c r="H882">
        <v>37010</v>
      </c>
      <c r="I882">
        <v>0</v>
      </c>
      <c r="J882">
        <v>0</v>
      </c>
      <c r="K882">
        <v>0</v>
      </c>
      <c r="L882">
        <v>0</v>
      </c>
      <c r="M882">
        <v>599</v>
      </c>
    </row>
    <row r="883" spans="1:13" ht="15">
      <c r="A883" t="s">
        <v>3501</v>
      </c>
      <c r="B883" s="1040" t="str">
        <f>CONCATENATE(LEFT(RIGHT(CONCATENATE("000",IFAData_TEA_1718!A883),6),3),"-",(RIGHT(RIGHT(CONCATENATE("000",IFAData_TEA_1718!A883),6),3)))</f>
        <v>071-908</v>
      </c>
      <c r="C883" t="s">
        <v>606</v>
      </c>
      <c r="D883">
        <v>3</v>
      </c>
      <c r="E883">
        <v>2395</v>
      </c>
      <c r="F883" t="s">
        <v>4630</v>
      </c>
      <c r="G883" t="s">
        <v>4628</v>
      </c>
      <c r="H883">
        <v>37010</v>
      </c>
      <c r="I883">
        <v>0</v>
      </c>
      <c r="J883">
        <v>0</v>
      </c>
      <c r="K883">
        <v>0</v>
      </c>
      <c r="L883">
        <v>0</v>
      </c>
      <c r="M883">
        <v>599</v>
      </c>
    </row>
    <row r="884" spans="1:13" ht="15">
      <c r="A884" t="s">
        <v>3501</v>
      </c>
      <c r="B884" s="1040" t="str">
        <f>CONCATENATE(LEFT(RIGHT(CONCATENATE("000",IFAData_TEA_1718!A884),6),3),"-",(RIGHT(RIGHT(CONCATENATE("000",IFAData_TEA_1718!A884),6),3)))</f>
        <v>071-908</v>
      </c>
      <c r="C884" t="s">
        <v>606</v>
      </c>
      <c r="D884">
        <v>3</v>
      </c>
      <c r="E884">
        <v>2395</v>
      </c>
      <c r="F884" t="s">
        <v>4630</v>
      </c>
      <c r="G884" t="s">
        <v>4629</v>
      </c>
      <c r="H884">
        <v>37010</v>
      </c>
      <c r="I884">
        <v>30568</v>
      </c>
      <c r="J884">
        <v>1</v>
      </c>
      <c r="K884">
        <v>37010</v>
      </c>
      <c r="L884">
        <v>30568</v>
      </c>
      <c r="M884">
        <v>599</v>
      </c>
    </row>
    <row r="885" spans="1:13" ht="15">
      <c r="A885" t="s">
        <v>3501</v>
      </c>
      <c r="B885" s="1040" t="str">
        <f>CONCATENATE(LEFT(RIGHT(CONCATENATE("000",IFAData_TEA_1718!A885),6),3),"-",(RIGHT(RIGHT(CONCATENATE("000",IFAData_TEA_1718!A885),6),3)))</f>
        <v>071-908</v>
      </c>
      <c r="C885" t="s">
        <v>606</v>
      </c>
      <c r="D885">
        <v>4</v>
      </c>
      <c r="E885">
        <v>2397</v>
      </c>
      <c r="F885" t="s">
        <v>4631</v>
      </c>
      <c r="G885" t="s">
        <v>4631</v>
      </c>
      <c r="H885">
        <v>170176</v>
      </c>
      <c r="I885">
        <v>0</v>
      </c>
      <c r="J885">
        <v>0</v>
      </c>
      <c r="K885">
        <v>0</v>
      </c>
      <c r="L885">
        <v>0</v>
      </c>
      <c r="M885">
        <v>599</v>
      </c>
    </row>
    <row r="886" spans="1:13" ht="15">
      <c r="A886" t="s">
        <v>3501</v>
      </c>
      <c r="B886" s="1040" t="str">
        <f>CONCATENATE(LEFT(RIGHT(CONCATENATE("000",IFAData_TEA_1718!A886),6),3),"-",(RIGHT(RIGHT(CONCATENATE("000",IFAData_TEA_1718!A886),6),3)))</f>
        <v>071-908</v>
      </c>
      <c r="C886" t="s">
        <v>606</v>
      </c>
      <c r="D886">
        <v>4</v>
      </c>
      <c r="E886">
        <v>2397</v>
      </c>
      <c r="F886" t="s">
        <v>4631</v>
      </c>
      <c r="G886" t="s">
        <v>4628</v>
      </c>
      <c r="H886">
        <v>170176</v>
      </c>
      <c r="I886">
        <v>0</v>
      </c>
      <c r="J886">
        <v>0</v>
      </c>
      <c r="K886">
        <v>0</v>
      </c>
      <c r="L886">
        <v>0</v>
      </c>
      <c r="M886">
        <v>599</v>
      </c>
    </row>
    <row r="887" spans="1:13" ht="15">
      <c r="A887" t="s">
        <v>3501</v>
      </c>
      <c r="B887" s="1040" t="str">
        <f>CONCATENATE(LEFT(RIGHT(CONCATENATE("000",IFAData_TEA_1718!A887),6),3),"-",(RIGHT(RIGHT(CONCATENATE("000",IFAData_TEA_1718!A887),6),3)))</f>
        <v>071-908</v>
      </c>
      <c r="C887" t="s">
        <v>606</v>
      </c>
      <c r="D887">
        <v>4</v>
      </c>
      <c r="E887">
        <v>2397</v>
      </c>
      <c r="F887" t="s">
        <v>4631</v>
      </c>
      <c r="G887" t="s">
        <v>4629</v>
      </c>
      <c r="H887">
        <v>170176</v>
      </c>
      <c r="I887">
        <v>164633</v>
      </c>
      <c r="J887">
        <v>1</v>
      </c>
      <c r="K887">
        <v>170176</v>
      </c>
      <c r="L887">
        <v>164633</v>
      </c>
      <c r="M887">
        <v>599</v>
      </c>
    </row>
    <row r="888" spans="1:13" ht="15">
      <c r="A888" t="s">
        <v>3501</v>
      </c>
      <c r="B888" s="1040" t="str">
        <f>CONCATENATE(LEFT(RIGHT(CONCATENATE("000",IFAData_TEA_1718!A888),6),3),"-",(RIGHT(RIGHT(CONCATENATE("000",IFAData_TEA_1718!A888),6),3)))</f>
        <v>071-908</v>
      </c>
      <c r="C888" t="s">
        <v>606</v>
      </c>
      <c r="D888">
        <v>5</v>
      </c>
      <c r="E888">
        <v>2398</v>
      </c>
      <c r="F888" t="s">
        <v>4632</v>
      </c>
      <c r="G888" t="s">
        <v>4632</v>
      </c>
      <c r="H888">
        <v>229390</v>
      </c>
      <c r="I888">
        <v>0</v>
      </c>
      <c r="J888">
        <v>0</v>
      </c>
      <c r="K888">
        <v>0</v>
      </c>
      <c r="L888">
        <v>0</v>
      </c>
      <c r="M888">
        <v>599</v>
      </c>
    </row>
    <row r="889" spans="1:13" ht="15">
      <c r="A889" t="s">
        <v>3501</v>
      </c>
      <c r="B889" s="1040" t="str">
        <f>CONCATENATE(LEFT(RIGHT(CONCATENATE("000",IFAData_TEA_1718!A889),6),3),"-",(RIGHT(RIGHT(CONCATENATE("000",IFAData_TEA_1718!A889),6),3)))</f>
        <v>071-908</v>
      </c>
      <c r="C889" t="s">
        <v>606</v>
      </c>
      <c r="D889">
        <v>5</v>
      </c>
      <c r="E889">
        <v>2398</v>
      </c>
      <c r="F889" t="s">
        <v>4632</v>
      </c>
      <c r="G889" t="s">
        <v>4633</v>
      </c>
      <c r="H889">
        <v>229390</v>
      </c>
      <c r="I889">
        <v>0</v>
      </c>
      <c r="J889">
        <v>0</v>
      </c>
      <c r="K889">
        <v>0</v>
      </c>
      <c r="L889">
        <v>0</v>
      </c>
      <c r="M889">
        <v>599</v>
      </c>
    </row>
    <row r="890" spans="1:13" ht="15">
      <c r="A890" t="s">
        <v>3501</v>
      </c>
      <c r="B890" s="1040" t="str">
        <f>CONCATENATE(LEFT(RIGHT(CONCATENATE("000",IFAData_TEA_1718!A890),6),3),"-",(RIGHT(RIGHT(CONCATENATE("000",IFAData_TEA_1718!A890),6),3)))</f>
        <v>071-908</v>
      </c>
      <c r="C890" t="s">
        <v>606</v>
      </c>
      <c r="D890">
        <v>5</v>
      </c>
      <c r="E890">
        <v>2398</v>
      </c>
      <c r="F890" t="s">
        <v>4632</v>
      </c>
      <c r="G890" t="s">
        <v>6455</v>
      </c>
      <c r="H890">
        <v>229390</v>
      </c>
      <c r="I890">
        <v>196925</v>
      </c>
      <c r="J890">
        <v>1</v>
      </c>
      <c r="K890">
        <v>229390</v>
      </c>
      <c r="L890">
        <v>196925</v>
      </c>
      <c r="M890">
        <v>599</v>
      </c>
    </row>
    <row r="891" spans="1:13" ht="15">
      <c r="A891" t="s">
        <v>3501</v>
      </c>
      <c r="B891" s="1040" t="str">
        <f>CONCATENATE(LEFT(RIGHT(CONCATENATE("000",IFAData_TEA_1718!A891),6),3),"-",(RIGHT(RIGHT(CONCATENATE("000",IFAData_TEA_1718!A891),6),3)))</f>
        <v>071-908</v>
      </c>
      <c r="C891" t="s">
        <v>606</v>
      </c>
      <c r="D891">
        <v>8</v>
      </c>
      <c r="E891">
        <v>2399</v>
      </c>
      <c r="F891" t="s">
        <v>4634</v>
      </c>
      <c r="G891" t="s">
        <v>4634</v>
      </c>
      <c r="H891">
        <v>317310</v>
      </c>
      <c r="I891">
        <v>0</v>
      </c>
      <c r="J891">
        <v>0</v>
      </c>
      <c r="K891">
        <v>0</v>
      </c>
      <c r="L891">
        <v>0</v>
      </c>
      <c r="M891">
        <v>599</v>
      </c>
    </row>
    <row r="892" spans="1:13" ht="15">
      <c r="A892" t="s">
        <v>3501</v>
      </c>
      <c r="B892" s="1040" t="str">
        <f>CONCATENATE(LEFT(RIGHT(CONCATENATE("000",IFAData_TEA_1718!A892),6),3),"-",(RIGHT(RIGHT(CONCATENATE("000",IFAData_TEA_1718!A892),6),3)))</f>
        <v>071-908</v>
      </c>
      <c r="C892" t="s">
        <v>606</v>
      </c>
      <c r="D892">
        <v>8</v>
      </c>
      <c r="E892">
        <v>2399</v>
      </c>
      <c r="F892" t="s">
        <v>4634</v>
      </c>
      <c r="G892" t="s">
        <v>4635</v>
      </c>
      <c r="H892">
        <v>317310</v>
      </c>
      <c r="I892">
        <v>300875</v>
      </c>
      <c r="J892">
        <v>1</v>
      </c>
      <c r="K892">
        <v>317310</v>
      </c>
      <c r="L892">
        <v>300875</v>
      </c>
      <c r="M892">
        <v>599</v>
      </c>
    </row>
    <row r="893" spans="1:13" ht="15">
      <c r="A893" t="s">
        <v>3501</v>
      </c>
      <c r="B893" s="1040" t="str">
        <f>CONCATENATE(LEFT(RIGHT(CONCATENATE("000",IFAData_TEA_1718!A893),6),3),"-",(RIGHT(RIGHT(CONCATENATE("000",IFAData_TEA_1718!A893),6),3)))</f>
        <v>071-908</v>
      </c>
      <c r="C893" t="s">
        <v>606</v>
      </c>
      <c r="D893">
        <v>11</v>
      </c>
      <c r="E893">
        <v>2475</v>
      </c>
      <c r="F893" t="s">
        <v>8371</v>
      </c>
      <c r="G893" t="s">
        <v>8371</v>
      </c>
      <c r="H893">
        <v>147078</v>
      </c>
      <c r="I893">
        <v>196196</v>
      </c>
      <c r="J893">
        <v>1</v>
      </c>
      <c r="K893">
        <v>147078</v>
      </c>
      <c r="L893">
        <v>147078</v>
      </c>
      <c r="M893">
        <v>599</v>
      </c>
    </row>
    <row r="894" spans="1:13" ht="15">
      <c r="A894" t="s">
        <v>3502</v>
      </c>
      <c r="B894" s="1040" t="str">
        <f>CONCATENATE(LEFT(RIGHT(CONCATENATE("000",IFAData_TEA_1718!A894),6),3),"-",(RIGHT(RIGHT(CONCATENATE("000",IFAData_TEA_1718!A894),6),3)))</f>
        <v>071-909</v>
      </c>
      <c r="C894" t="s">
        <v>1930</v>
      </c>
      <c r="D894">
        <v>2</v>
      </c>
      <c r="E894">
        <v>2346</v>
      </c>
      <c r="F894" t="s">
        <v>4636</v>
      </c>
      <c r="G894" t="s">
        <v>4636</v>
      </c>
      <c r="H894">
        <v>1524945</v>
      </c>
      <c r="I894">
        <v>0</v>
      </c>
      <c r="J894">
        <v>0</v>
      </c>
      <c r="K894">
        <v>0</v>
      </c>
      <c r="L894">
        <v>0</v>
      </c>
      <c r="M894">
        <v>599</v>
      </c>
    </row>
    <row r="895" spans="1:13" ht="15">
      <c r="A895" t="s">
        <v>3502</v>
      </c>
      <c r="B895" s="1040" t="str">
        <f>CONCATENATE(LEFT(RIGHT(CONCATENATE("000",IFAData_TEA_1718!A895),6),3),"-",(RIGHT(RIGHT(CONCATENATE("000",IFAData_TEA_1718!A895),6),3)))</f>
        <v>071-909</v>
      </c>
      <c r="C895" t="s">
        <v>1930</v>
      </c>
      <c r="D895">
        <v>2</v>
      </c>
      <c r="E895">
        <v>2346</v>
      </c>
      <c r="F895" t="s">
        <v>4636</v>
      </c>
      <c r="G895" t="s">
        <v>4637</v>
      </c>
      <c r="H895">
        <v>1524945</v>
      </c>
      <c r="I895">
        <v>0</v>
      </c>
      <c r="J895">
        <v>0</v>
      </c>
      <c r="K895">
        <v>0</v>
      </c>
      <c r="L895">
        <v>0</v>
      </c>
      <c r="M895">
        <v>599</v>
      </c>
    </row>
    <row r="896" spans="1:13" ht="15">
      <c r="A896" t="s">
        <v>3502</v>
      </c>
      <c r="B896" s="1040" t="str">
        <f>CONCATENATE(LEFT(RIGHT(CONCATENATE("000",IFAData_TEA_1718!A896),6),3),"-",(RIGHT(RIGHT(CONCATENATE("000",IFAData_TEA_1718!A896),6),3)))</f>
        <v>071-909</v>
      </c>
      <c r="C896" t="s">
        <v>1930</v>
      </c>
      <c r="D896">
        <v>2</v>
      </c>
      <c r="E896">
        <v>2346</v>
      </c>
      <c r="F896" t="s">
        <v>4636</v>
      </c>
      <c r="G896" t="s">
        <v>4638</v>
      </c>
      <c r="H896">
        <v>1524945</v>
      </c>
      <c r="I896">
        <v>1332351</v>
      </c>
      <c r="J896">
        <v>0.51169679582454797</v>
      </c>
      <c r="K896">
        <v>780309.47030866495</v>
      </c>
      <c r="L896">
        <v>780309.47030866495</v>
      </c>
      <c r="M896">
        <v>599</v>
      </c>
    </row>
    <row r="897" spans="1:13" ht="15">
      <c r="A897" t="s">
        <v>3502</v>
      </c>
      <c r="B897" s="1040" t="str">
        <f>CONCATENATE(LEFT(RIGHT(CONCATENATE("000",IFAData_TEA_1718!A897),6),3),"-",(RIGHT(RIGHT(CONCATENATE("000",IFAData_TEA_1718!A897),6),3)))</f>
        <v>071-909</v>
      </c>
      <c r="C897" t="s">
        <v>1930</v>
      </c>
      <c r="D897">
        <v>2</v>
      </c>
      <c r="E897">
        <v>2346</v>
      </c>
      <c r="F897" t="s">
        <v>4636</v>
      </c>
      <c r="G897" t="s">
        <v>4639</v>
      </c>
      <c r="H897">
        <v>1524945</v>
      </c>
      <c r="I897">
        <v>1101320</v>
      </c>
      <c r="J897">
        <v>0.42296805809992399</v>
      </c>
      <c r="K897">
        <v>645003.02535918797</v>
      </c>
      <c r="L897">
        <v>645003.02535918797</v>
      </c>
      <c r="M897">
        <v>599</v>
      </c>
    </row>
    <row r="898" spans="1:13" ht="15">
      <c r="A898" t="s">
        <v>3502</v>
      </c>
      <c r="B898" s="1040" t="str">
        <f>CONCATENATE(LEFT(RIGHT(CONCATENATE("000",IFAData_TEA_1718!A898),6),3),"-",(RIGHT(RIGHT(CONCATENATE("000",IFAData_TEA_1718!A898),6),3)))</f>
        <v>071-909</v>
      </c>
      <c r="C898" t="s">
        <v>1930</v>
      </c>
      <c r="D898">
        <v>2</v>
      </c>
      <c r="E898">
        <v>2346</v>
      </c>
      <c r="F898" t="s">
        <v>4636</v>
      </c>
      <c r="G898" t="s">
        <v>6246</v>
      </c>
      <c r="H898">
        <v>1524945</v>
      </c>
      <c r="I898">
        <v>156876</v>
      </c>
      <c r="J898">
        <v>6.0249098429596901E-2</v>
      </c>
      <c r="K898">
        <v>91876.561404721593</v>
      </c>
      <c r="L898">
        <v>91876.561404721593</v>
      </c>
      <c r="M898">
        <v>599</v>
      </c>
    </row>
    <row r="899" spans="1:13" ht="15">
      <c r="A899" t="s">
        <v>3502</v>
      </c>
      <c r="B899" s="1040" t="str">
        <f>CONCATENATE(LEFT(RIGHT(CONCATENATE("000",IFAData_TEA_1718!A899),6),3),"-",(RIGHT(RIGHT(CONCATENATE("000",IFAData_TEA_1718!A899),6),3)))</f>
        <v>071-909</v>
      </c>
      <c r="C899" t="s">
        <v>1930</v>
      </c>
      <c r="D899">
        <v>2</v>
      </c>
      <c r="E899">
        <v>2346</v>
      </c>
      <c r="F899" t="s">
        <v>4636</v>
      </c>
      <c r="G899" t="s">
        <v>6456</v>
      </c>
      <c r="H899">
        <v>1524945</v>
      </c>
      <c r="I899">
        <v>13243</v>
      </c>
      <c r="J899">
        <v>5.0860476459315103E-3</v>
      </c>
      <c r="K899">
        <v>7755.9429274250197</v>
      </c>
      <c r="L899">
        <v>7755.9429274250197</v>
      </c>
      <c r="M899">
        <v>599</v>
      </c>
    </row>
    <row r="900" spans="1:13" ht="15">
      <c r="A900" t="s">
        <v>3502</v>
      </c>
      <c r="B900" s="1040" t="str">
        <f>CONCATENATE(LEFT(RIGHT(CONCATENATE("000",IFAData_TEA_1718!A900),6),3),"-",(RIGHT(RIGHT(CONCATENATE("000",IFAData_TEA_1718!A900),6),3)))</f>
        <v>071-909</v>
      </c>
      <c r="C900" t="s">
        <v>1930</v>
      </c>
      <c r="D900">
        <v>4</v>
      </c>
      <c r="E900">
        <v>2347</v>
      </c>
      <c r="F900" t="s">
        <v>4640</v>
      </c>
      <c r="G900" t="s">
        <v>4640</v>
      </c>
      <c r="H900">
        <v>1767522</v>
      </c>
      <c r="I900">
        <v>0</v>
      </c>
      <c r="J900">
        <v>0</v>
      </c>
      <c r="K900">
        <v>0</v>
      </c>
      <c r="L900">
        <v>0</v>
      </c>
      <c r="M900">
        <v>599</v>
      </c>
    </row>
    <row r="901" spans="1:13" ht="15">
      <c r="A901" t="s">
        <v>3502</v>
      </c>
      <c r="B901" s="1040" t="str">
        <f>CONCATENATE(LEFT(RIGHT(CONCATENATE("000",IFAData_TEA_1718!A901),6),3),"-",(RIGHT(RIGHT(CONCATENATE("000",IFAData_TEA_1718!A901),6),3)))</f>
        <v>071-909</v>
      </c>
      <c r="C901" t="s">
        <v>1930</v>
      </c>
      <c r="D901">
        <v>4</v>
      </c>
      <c r="E901">
        <v>2347</v>
      </c>
      <c r="F901" t="s">
        <v>4640</v>
      </c>
      <c r="G901" t="s">
        <v>4637</v>
      </c>
      <c r="H901">
        <v>1767522</v>
      </c>
      <c r="I901">
        <v>163377</v>
      </c>
      <c r="J901">
        <v>8.7701771996972405E-2</v>
      </c>
      <c r="K901">
        <v>155014.81144363299</v>
      </c>
      <c r="L901">
        <v>155014.81144363299</v>
      </c>
      <c r="M901">
        <v>599</v>
      </c>
    </row>
    <row r="902" spans="1:13" ht="15">
      <c r="A902" t="s">
        <v>3502</v>
      </c>
      <c r="B902" s="1040" t="str">
        <f>CONCATENATE(LEFT(RIGHT(CONCATENATE("000",IFAData_TEA_1718!A902),6),3),"-",(RIGHT(RIGHT(CONCATENATE("000",IFAData_TEA_1718!A902),6),3)))</f>
        <v>071-909</v>
      </c>
      <c r="C902" t="s">
        <v>1930</v>
      </c>
      <c r="D902">
        <v>4</v>
      </c>
      <c r="E902">
        <v>2347</v>
      </c>
      <c r="F902" t="s">
        <v>4640</v>
      </c>
      <c r="G902" t="s">
        <v>4641</v>
      </c>
      <c r="H902">
        <v>1767522</v>
      </c>
      <c r="I902">
        <v>55680</v>
      </c>
      <c r="J902">
        <v>2.9889364260522699E-2</v>
      </c>
      <c r="K902">
        <v>52830.108896487698</v>
      </c>
      <c r="L902">
        <v>52830.108896487698</v>
      </c>
      <c r="M902">
        <v>599</v>
      </c>
    </row>
    <row r="903" spans="1:13" ht="15">
      <c r="A903" t="s">
        <v>3502</v>
      </c>
      <c r="B903" s="1040" t="str">
        <f>CONCATENATE(LEFT(RIGHT(CONCATENATE("000",IFAData_TEA_1718!A903),6),3),"-",(RIGHT(RIGHT(CONCATENATE("000",IFAData_TEA_1718!A903),6),3)))</f>
        <v>071-909</v>
      </c>
      <c r="C903" t="s">
        <v>1930</v>
      </c>
      <c r="D903">
        <v>4</v>
      </c>
      <c r="E903">
        <v>2347</v>
      </c>
      <c r="F903" t="s">
        <v>4640</v>
      </c>
      <c r="G903" t="s">
        <v>4639</v>
      </c>
      <c r="H903">
        <v>1767522</v>
      </c>
      <c r="I903">
        <v>1470554</v>
      </c>
      <c r="J903">
        <v>0.78940237375662303</v>
      </c>
      <c r="K903">
        <v>1395286.06246705</v>
      </c>
      <c r="L903">
        <v>1395286.06246705</v>
      </c>
      <c r="M903">
        <v>599</v>
      </c>
    </row>
    <row r="904" spans="1:13" ht="15">
      <c r="A904" t="s">
        <v>3502</v>
      </c>
      <c r="B904" s="1040" t="str">
        <f>CONCATENATE(LEFT(RIGHT(CONCATENATE("000",IFAData_TEA_1718!A904),6),3),"-",(RIGHT(RIGHT(CONCATENATE("000",IFAData_TEA_1718!A904),6),3)))</f>
        <v>071-909</v>
      </c>
      <c r="C904" t="s">
        <v>1930</v>
      </c>
      <c r="D904">
        <v>4</v>
      </c>
      <c r="E904">
        <v>2347</v>
      </c>
      <c r="F904" t="s">
        <v>4640</v>
      </c>
      <c r="G904" t="s">
        <v>6246</v>
      </c>
      <c r="H904">
        <v>1767522</v>
      </c>
      <c r="I904">
        <v>173259</v>
      </c>
      <c r="J904">
        <v>9.3006489985881999E-2</v>
      </c>
      <c r="K904">
        <v>164391.017192826</v>
      </c>
      <c r="L904">
        <v>164391.017192826</v>
      </c>
      <c r="M904">
        <v>599</v>
      </c>
    </row>
    <row r="905" spans="1:13" ht="15">
      <c r="A905" t="s">
        <v>3502</v>
      </c>
      <c r="B905" s="1040" t="str">
        <f>CONCATENATE(LEFT(RIGHT(CONCATENATE("000",IFAData_TEA_1718!A905),6),3),"-",(RIGHT(RIGHT(CONCATENATE("000",IFAData_TEA_1718!A905),6),3)))</f>
        <v>071-909</v>
      </c>
      <c r="C905" t="s">
        <v>1930</v>
      </c>
      <c r="D905">
        <v>4</v>
      </c>
      <c r="E905">
        <v>2349</v>
      </c>
      <c r="F905" t="s">
        <v>4642</v>
      </c>
      <c r="G905" t="s">
        <v>4642</v>
      </c>
      <c r="H905">
        <v>3395093</v>
      </c>
      <c r="I905">
        <v>0</v>
      </c>
      <c r="J905">
        <v>0</v>
      </c>
      <c r="K905">
        <v>0</v>
      </c>
      <c r="L905">
        <v>0</v>
      </c>
      <c r="M905">
        <v>599</v>
      </c>
    </row>
    <row r="906" spans="1:13" ht="15">
      <c r="A906" t="s">
        <v>3502</v>
      </c>
      <c r="B906" s="1040" t="str">
        <f>CONCATENATE(LEFT(RIGHT(CONCATENATE("000",IFAData_TEA_1718!A906),6),3),"-",(RIGHT(RIGHT(CONCATENATE("000",IFAData_TEA_1718!A906),6),3)))</f>
        <v>071-909</v>
      </c>
      <c r="C906" t="s">
        <v>1930</v>
      </c>
      <c r="D906">
        <v>4</v>
      </c>
      <c r="E906">
        <v>2349</v>
      </c>
      <c r="F906" t="s">
        <v>4642</v>
      </c>
      <c r="G906" t="s">
        <v>4637</v>
      </c>
      <c r="H906">
        <v>3395093</v>
      </c>
      <c r="I906">
        <v>374459</v>
      </c>
      <c r="J906">
        <v>0.10506417051383</v>
      </c>
      <c r="K906">
        <v>356702.62986231002</v>
      </c>
      <c r="L906">
        <v>356702.62986231002</v>
      </c>
      <c r="M906">
        <v>599</v>
      </c>
    </row>
    <row r="907" spans="1:13" ht="15">
      <c r="A907" t="s">
        <v>3502</v>
      </c>
      <c r="B907" s="1040" t="str">
        <f>CONCATENATE(LEFT(RIGHT(CONCATENATE("000",IFAData_TEA_1718!A907),6),3),"-",(RIGHT(RIGHT(CONCATENATE("000",IFAData_TEA_1718!A907),6),3)))</f>
        <v>071-909</v>
      </c>
      <c r="C907" t="s">
        <v>1930</v>
      </c>
      <c r="D907">
        <v>4</v>
      </c>
      <c r="E907">
        <v>2349</v>
      </c>
      <c r="F907" t="s">
        <v>4642</v>
      </c>
      <c r="G907" t="s">
        <v>4638</v>
      </c>
      <c r="H907">
        <v>3395093</v>
      </c>
      <c r="I907">
        <v>0</v>
      </c>
      <c r="J907">
        <v>0</v>
      </c>
      <c r="K907">
        <v>0</v>
      </c>
      <c r="L907">
        <v>0</v>
      </c>
      <c r="M907">
        <v>599</v>
      </c>
    </row>
    <row r="908" spans="1:13" ht="15">
      <c r="A908" t="s">
        <v>3502</v>
      </c>
      <c r="B908" s="1040" t="str">
        <f>CONCATENATE(LEFT(RIGHT(CONCATENATE("000",IFAData_TEA_1718!A908),6),3),"-",(RIGHT(RIGHT(CONCATENATE("000",IFAData_TEA_1718!A908),6),3)))</f>
        <v>071-909</v>
      </c>
      <c r="C908" t="s">
        <v>1930</v>
      </c>
      <c r="D908">
        <v>4</v>
      </c>
      <c r="E908">
        <v>2349</v>
      </c>
      <c r="F908" t="s">
        <v>4642</v>
      </c>
      <c r="G908" t="s">
        <v>4639</v>
      </c>
      <c r="H908">
        <v>3395093</v>
      </c>
      <c r="I908">
        <v>2708705</v>
      </c>
      <c r="J908">
        <v>0.75999734014047904</v>
      </c>
      <c r="K908">
        <v>2580261.64952956</v>
      </c>
      <c r="L908">
        <v>2580261.64952956</v>
      </c>
      <c r="M908">
        <v>599</v>
      </c>
    </row>
    <row r="909" spans="1:13" ht="15">
      <c r="A909" t="s">
        <v>3502</v>
      </c>
      <c r="B909" s="1040" t="str">
        <f>CONCATENATE(LEFT(RIGHT(CONCATENATE("000",IFAData_TEA_1718!A909),6),3),"-",(RIGHT(RIGHT(CONCATENATE("000",IFAData_TEA_1718!A909),6),3)))</f>
        <v>071-909</v>
      </c>
      <c r="C909" t="s">
        <v>1930</v>
      </c>
      <c r="D909">
        <v>4</v>
      </c>
      <c r="E909">
        <v>2349</v>
      </c>
      <c r="F909" t="s">
        <v>4642</v>
      </c>
      <c r="G909" t="s">
        <v>6246</v>
      </c>
      <c r="H909">
        <v>3395093</v>
      </c>
      <c r="I909">
        <v>268938</v>
      </c>
      <c r="J909">
        <v>7.5457521089487403E-2</v>
      </c>
      <c r="K909">
        <v>256185.30164827101</v>
      </c>
      <c r="L909">
        <v>256185.30164827101</v>
      </c>
      <c r="M909">
        <v>599</v>
      </c>
    </row>
    <row r="910" spans="1:13" ht="15">
      <c r="A910" t="s">
        <v>3502</v>
      </c>
      <c r="B910" s="1040" t="str">
        <f>CONCATENATE(LEFT(RIGHT(CONCATENATE("000",IFAData_TEA_1718!A910),6),3),"-",(RIGHT(RIGHT(CONCATENATE("000",IFAData_TEA_1718!A910),6),3)))</f>
        <v>071-909</v>
      </c>
      <c r="C910" t="s">
        <v>1930</v>
      </c>
      <c r="D910">
        <v>4</v>
      </c>
      <c r="E910">
        <v>2349</v>
      </c>
      <c r="F910" t="s">
        <v>4642</v>
      </c>
      <c r="G910" t="s">
        <v>6456</v>
      </c>
      <c r="H910">
        <v>3395093</v>
      </c>
      <c r="I910">
        <v>211996</v>
      </c>
      <c r="J910">
        <v>5.9480968256203998E-2</v>
      </c>
      <c r="K910">
        <v>201943.41895985999</v>
      </c>
      <c r="L910">
        <v>201943.41895985999</v>
      </c>
      <c r="M910">
        <v>599</v>
      </c>
    </row>
    <row r="911" spans="1:13" ht="15">
      <c r="A911" t="s">
        <v>3502</v>
      </c>
      <c r="B911" s="1040" t="str">
        <f>CONCATENATE(LEFT(RIGHT(CONCATENATE("000",IFAData_TEA_1718!A911),6),3),"-",(RIGHT(RIGHT(CONCATENATE("000",IFAData_TEA_1718!A911),6),3)))</f>
        <v>071-909</v>
      </c>
      <c r="C911" t="s">
        <v>1930</v>
      </c>
      <c r="D911">
        <v>5</v>
      </c>
      <c r="E911">
        <v>2348</v>
      </c>
      <c r="F911" t="s">
        <v>4643</v>
      </c>
      <c r="G911" t="s">
        <v>4643</v>
      </c>
      <c r="H911">
        <v>2358164</v>
      </c>
      <c r="I911">
        <v>0</v>
      </c>
      <c r="J911">
        <v>0</v>
      </c>
      <c r="K911">
        <v>0</v>
      </c>
      <c r="L911">
        <v>0</v>
      </c>
      <c r="M911">
        <v>599</v>
      </c>
    </row>
    <row r="912" spans="1:13" ht="15">
      <c r="A912" t="s">
        <v>3502</v>
      </c>
      <c r="B912" s="1040" t="str">
        <f>CONCATENATE(LEFT(RIGHT(CONCATENATE("000",IFAData_TEA_1718!A912),6),3),"-",(RIGHT(RIGHT(CONCATENATE("000",IFAData_TEA_1718!A912),6),3)))</f>
        <v>071-909</v>
      </c>
      <c r="C912" t="s">
        <v>1930</v>
      </c>
      <c r="D912">
        <v>5</v>
      </c>
      <c r="E912">
        <v>2348</v>
      </c>
      <c r="F912" t="s">
        <v>4643</v>
      </c>
      <c r="G912" t="s">
        <v>4638</v>
      </c>
      <c r="H912">
        <v>2358164</v>
      </c>
      <c r="I912">
        <v>1454421</v>
      </c>
      <c r="J912">
        <v>0.68589784400859599</v>
      </c>
      <c r="K912">
        <v>1617459.6034186899</v>
      </c>
      <c r="L912">
        <v>1454421</v>
      </c>
      <c r="M912">
        <v>599</v>
      </c>
    </row>
    <row r="913" spans="1:13" ht="15">
      <c r="A913" t="s">
        <v>3502</v>
      </c>
      <c r="B913" s="1040" t="str">
        <f>CONCATENATE(LEFT(RIGHT(CONCATENATE("000",IFAData_TEA_1718!A913),6),3),"-",(RIGHT(RIGHT(CONCATENATE("000",IFAData_TEA_1718!A913),6),3)))</f>
        <v>071-909</v>
      </c>
      <c r="C913" t="s">
        <v>1930</v>
      </c>
      <c r="D913">
        <v>5</v>
      </c>
      <c r="E913">
        <v>2348</v>
      </c>
      <c r="F913" t="s">
        <v>4643</v>
      </c>
      <c r="G913" t="s">
        <v>4644</v>
      </c>
      <c r="H913">
        <v>2358164</v>
      </c>
      <c r="I913">
        <v>103251</v>
      </c>
      <c r="J913">
        <v>4.8692667591936301E-2</v>
      </c>
      <c r="K913">
        <v>114825.29577927099</v>
      </c>
      <c r="L913">
        <v>103251</v>
      </c>
      <c r="M913">
        <v>599</v>
      </c>
    </row>
    <row r="914" spans="1:13" ht="15">
      <c r="A914" t="s">
        <v>3502</v>
      </c>
      <c r="B914" s="1040" t="str">
        <f>CONCATENATE(LEFT(RIGHT(CONCATENATE("000",IFAData_TEA_1718!A914),6),3),"-",(RIGHT(RIGHT(CONCATENATE("000",IFAData_TEA_1718!A914),6),3)))</f>
        <v>071-909</v>
      </c>
      <c r="C914" t="s">
        <v>1930</v>
      </c>
      <c r="D914">
        <v>5</v>
      </c>
      <c r="E914">
        <v>2348</v>
      </c>
      <c r="F914" t="s">
        <v>4643</v>
      </c>
      <c r="G914" t="s">
        <v>4645</v>
      </c>
      <c r="H914">
        <v>2358164</v>
      </c>
      <c r="I914">
        <v>364781</v>
      </c>
      <c r="J914">
        <v>0.17202893896285901</v>
      </c>
      <c r="K914">
        <v>405672.45082040998</v>
      </c>
      <c r="L914">
        <v>364781</v>
      </c>
      <c r="M914">
        <v>599</v>
      </c>
    </row>
    <row r="915" spans="1:13" ht="15">
      <c r="A915" t="s">
        <v>3502</v>
      </c>
      <c r="B915" s="1040" t="str">
        <f>CONCATENATE(LEFT(RIGHT(CONCATENATE("000",IFAData_TEA_1718!A915),6),3),"-",(RIGHT(RIGHT(CONCATENATE("000",IFAData_TEA_1718!A915),6),3)))</f>
        <v>071-909</v>
      </c>
      <c r="C915" t="s">
        <v>1930</v>
      </c>
      <c r="D915">
        <v>5</v>
      </c>
      <c r="E915">
        <v>2348</v>
      </c>
      <c r="F915" t="s">
        <v>4643</v>
      </c>
      <c r="G915" t="s">
        <v>6456</v>
      </c>
      <c r="H915">
        <v>2358164</v>
      </c>
      <c r="I915">
        <v>157295</v>
      </c>
      <c r="J915">
        <v>7.4179554182270596E-2</v>
      </c>
      <c r="K915">
        <v>174927.55420868</v>
      </c>
      <c r="L915">
        <v>157295</v>
      </c>
      <c r="M915">
        <v>599</v>
      </c>
    </row>
    <row r="916" spans="1:13" ht="15">
      <c r="A916" t="s">
        <v>3502</v>
      </c>
      <c r="B916" s="1040" t="str">
        <f>CONCATENATE(LEFT(RIGHT(CONCATENATE("000",IFAData_TEA_1718!A916),6),3),"-",(RIGHT(RIGHT(CONCATENATE("000",IFAData_TEA_1718!A916),6),3)))</f>
        <v>071-909</v>
      </c>
      <c r="C916" t="s">
        <v>1930</v>
      </c>
      <c r="D916">
        <v>5</v>
      </c>
      <c r="E916">
        <v>2348</v>
      </c>
      <c r="F916" t="s">
        <v>4643</v>
      </c>
      <c r="G916" t="s">
        <v>8372</v>
      </c>
      <c r="H916">
        <v>2358164</v>
      </c>
      <c r="I916">
        <v>40715</v>
      </c>
      <c r="J916">
        <v>1.9200995254338299E-2</v>
      </c>
      <c r="K916">
        <v>45279.095772951499</v>
      </c>
      <c r="L916">
        <v>40715</v>
      </c>
      <c r="M916">
        <v>599</v>
      </c>
    </row>
    <row r="917" spans="1:13" ht="15">
      <c r="A917" t="s">
        <v>3502</v>
      </c>
      <c r="B917" s="1040" t="str">
        <f>CONCATENATE(LEFT(RIGHT(CONCATENATE("000",IFAData_TEA_1718!A917),6),3),"-",(RIGHT(RIGHT(CONCATENATE("000",IFAData_TEA_1718!A917),6),3)))</f>
        <v>071-909</v>
      </c>
      <c r="C917" t="s">
        <v>1930</v>
      </c>
      <c r="D917">
        <v>8</v>
      </c>
      <c r="E917">
        <v>2350</v>
      </c>
      <c r="F917" t="s">
        <v>4646</v>
      </c>
      <c r="G917" t="s">
        <v>4646</v>
      </c>
      <c r="H917">
        <v>4042418</v>
      </c>
      <c r="I917">
        <v>0</v>
      </c>
      <c r="J917">
        <v>0</v>
      </c>
      <c r="K917">
        <v>0</v>
      </c>
      <c r="L917">
        <v>0</v>
      </c>
      <c r="M917">
        <v>599</v>
      </c>
    </row>
    <row r="918" spans="1:13" ht="15">
      <c r="A918" t="s">
        <v>3502</v>
      </c>
      <c r="B918" s="1040" t="str">
        <f>CONCATENATE(LEFT(RIGHT(CONCATENATE("000",IFAData_TEA_1718!A918),6),3),"-",(RIGHT(RIGHT(CONCATENATE("000",IFAData_TEA_1718!A918),6),3)))</f>
        <v>071-909</v>
      </c>
      <c r="C918" t="s">
        <v>1930</v>
      </c>
      <c r="D918">
        <v>8</v>
      </c>
      <c r="E918">
        <v>2350</v>
      </c>
      <c r="F918" t="s">
        <v>4646</v>
      </c>
      <c r="G918" t="s">
        <v>4647</v>
      </c>
      <c r="H918">
        <v>4042418</v>
      </c>
      <c r="I918">
        <v>3298180</v>
      </c>
      <c r="J918">
        <v>1</v>
      </c>
      <c r="K918">
        <v>4042418</v>
      </c>
      <c r="L918">
        <v>3298180</v>
      </c>
      <c r="M918">
        <v>599</v>
      </c>
    </row>
    <row r="919" spans="1:13" ht="15">
      <c r="A919" t="s">
        <v>3502</v>
      </c>
      <c r="B919" s="1040" t="str">
        <f>CONCATENATE(LEFT(RIGHT(CONCATENATE("000",IFAData_TEA_1718!A919),6),3),"-",(RIGHT(RIGHT(CONCATENATE("000",IFAData_TEA_1718!A919),6),3)))</f>
        <v>071-909</v>
      </c>
      <c r="C919" t="s">
        <v>1930</v>
      </c>
      <c r="D919">
        <v>11</v>
      </c>
      <c r="E919">
        <v>2568</v>
      </c>
      <c r="F919" t="s">
        <v>4645</v>
      </c>
      <c r="G919" t="s">
        <v>4645</v>
      </c>
      <c r="H919">
        <v>2371274</v>
      </c>
      <c r="I919">
        <v>640285</v>
      </c>
      <c r="J919">
        <v>0.31094218709707799</v>
      </c>
      <c r="K919">
        <v>737329.12376643706</v>
      </c>
      <c r="L919">
        <v>640285</v>
      </c>
      <c r="M919">
        <v>599</v>
      </c>
    </row>
    <row r="920" spans="1:13" ht="15">
      <c r="A920" t="s">
        <v>3502</v>
      </c>
      <c r="B920" s="1040" t="str">
        <f>CONCATENATE(LEFT(RIGHT(CONCATENATE("000",IFAData_TEA_1718!A920),6),3),"-",(RIGHT(RIGHT(CONCATENATE("000",IFAData_TEA_1718!A920),6),3)))</f>
        <v>071-909</v>
      </c>
      <c r="C920" t="s">
        <v>1930</v>
      </c>
      <c r="D920">
        <v>11</v>
      </c>
      <c r="E920">
        <v>2568</v>
      </c>
      <c r="F920" t="s">
        <v>4645</v>
      </c>
      <c r="G920" t="s">
        <v>8372</v>
      </c>
      <c r="H920">
        <v>2371274</v>
      </c>
      <c r="I920">
        <v>1418892</v>
      </c>
      <c r="J920">
        <v>0.68905781290292201</v>
      </c>
      <c r="K920">
        <v>1633944.87623356</v>
      </c>
      <c r="L920">
        <v>1418892</v>
      </c>
      <c r="M920">
        <v>599</v>
      </c>
    </row>
    <row r="921" spans="1:13" ht="15">
      <c r="A921" t="s">
        <v>3502</v>
      </c>
      <c r="B921" s="1040" t="str">
        <f>CONCATENATE(LEFT(RIGHT(CONCATENATE("000",IFAData_TEA_1718!A921),6),3),"-",(RIGHT(RIGHT(CONCATENATE("000",IFAData_TEA_1718!A921),6),3)))</f>
        <v>071-909</v>
      </c>
      <c r="C921" t="s">
        <v>1930</v>
      </c>
      <c r="D921">
        <v>11</v>
      </c>
      <c r="E921">
        <v>2569</v>
      </c>
      <c r="F921" t="s">
        <v>8373</v>
      </c>
      <c r="G921" t="s">
        <v>8373</v>
      </c>
      <c r="H921">
        <v>5574209</v>
      </c>
      <c r="I921">
        <v>0</v>
      </c>
      <c r="J921">
        <v>0</v>
      </c>
      <c r="K921">
        <v>0</v>
      </c>
      <c r="L921">
        <v>0</v>
      </c>
      <c r="M921">
        <v>599</v>
      </c>
    </row>
    <row r="922" spans="1:13" ht="15">
      <c r="A922" t="s">
        <v>3502</v>
      </c>
      <c r="B922" s="1040" t="str">
        <f>CONCATENATE(LEFT(RIGHT(CONCATENATE("000",IFAData_TEA_1718!A922),6),3),"-",(RIGHT(RIGHT(CONCATENATE("000",IFAData_TEA_1718!A922),6),3)))</f>
        <v>071-909</v>
      </c>
      <c r="C922" t="s">
        <v>1930</v>
      </c>
      <c r="D922">
        <v>11</v>
      </c>
      <c r="E922">
        <v>2569</v>
      </c>
      <c r="F922" t="s">
        <v>8373</v>
      </c>
      <c r="G922" t="s">
        <v>8374</v>
      </c>
      <c r="H922">
        <v>5574209</v>
      </c>
      <c r="I922">
        <v>5286793</v>
      </c>
      <c r="J922">
        <v>1</v>
      </c>
      <c r="K922">
        <v>5574209</v>
      </c>
      <c r="L922">
        <v>5286793</v>
      </c>
      <c r="M922">
        <v>599</v>
      </c>
    </row>
    <row r="923" spans="1:13" ht="15">
      <c r="A923" t="s">
        <v>3502</v>
      </c>
      <c r="B923" s="1040" t="str">
        <f>CONCATENATE(LEFT(RIGHT(CONCATENATE("000",IFAData_TEA_1718!A923),6),3),"-",(RIGHT(RIGHT(CONCATENATE("000",IFAData_TEA_1718!A923),6),3)))</f>
        <v>071-909</v>
      </c>
      <c r="C923" t="s">
        <v>1930</v>
      </c>
      <c r="D923">
        <v>11</v>
      </c>
      <c r="E923">
        <v>2570</v>
      </c>
      <c r="F923" t="s">
        <v>8375</v>
      </c>
      <c r="G923" t="s">
        <v>8375</v>
      </c>
      <c r="H923">
        <v>2675851</v>
      </c>
      <c r="I923">
        <v>4340317</v>
      </c>
      <c r="J923">
        <v>1</v>
      </c>
      <c r="K923">
        <v>2675851</v>
      </c>
      <c r="L923">
        <v>2675851</v>
      </c>
      <c r="M923">
        <v>599</v>
      </c>
    </row>
    <row r="924" spans="1:13" ht="15">
      <c r="A924" t="s">
        <v>3503</v>
      </c>
      <c r="B924" s="1040" t="str">
        <f>CONCATENATE(LEFT(RIGHT(CONCATENATE("000",IFAData_TEA_1718!A924),6),3),"-",(RIGHT(RIGHT(CONCATENATE("000",IFAData_TEA_1718!A924),6),3)))</f>
        <v>072-903</v>
      </c>
      <c r="C924" t="s">
        <v>2099</v>
      </c>
      <c r="D924">
        <v>2</v>
      </c>
      <c r="E924">
        <v>2383</v>
      </c>
      <c r="F924" t="s">
        <v>4648</v>
      </c>
      <c r="G924" t="s">
        <v>4648</v>
      </c>
      <c r="H924">
        <v>583662</v>
      </c>
      <c r="I924">
        <v>0</v>
      </c>
      <c r="J924">
        <v>0</v>
      </c>
      <c r="K924">
        <v>0</v>
      </c>
      <c r="L924">
        <v>0</v>
      </c>
      <c r="M924">
        <v>599</v>
      </c>
    </row>
    <row r="925" spans="1:13" ht="15">
      <c r="A925" t="s">
        <v>3503</v>
      </c>
      <c r="B925" s="1040" t="str">
        <f>CONCATENATE(LEFT(RIGHT(CONCATENATE("000",IFAData_TEA_1718!A925),6),3),"-",(RIGHT(RIGHT(CONCATENATE("000",IFAData_TEA_1718!A925),6),3)))</f>
        <v>072-903</v>
      </c>
      <c r="C925" t="s">
        <v>2099</v>
      </c>
      <c r="D925">
        <v>2</v>
      </c>
      <c r="E925">
        <v>2383</v>
      </c>
      <c r="F925" t="s">
        <v>4648</v>
      </c>
      <c r="G925" t="s">
        <v>4649</v>
      </c>
      <c r="H925">
        <v>583662</v>
      </c>
      <c r="I925">
        <v>0</v>
      </c>
      <c r="J925">
        <v>0</v>
      </c>
      <c r="K925">
        <v>0</v>
      </c>
      <c r="L925">
        <v>0</v>
      </c>
      <c r="M925">
        <v>599</v>
      </c>
    </row>
    <row r="926" spans="1:13" ht="15">
      <c r="A926" t="s">
        <v>3503</v>
      </c>
      <c r="B926" s="1040" t="str">
        <f>CONCATENATE(LEFT(RIGHT(CONCATENATE("000",IFAData_TEA_1718!A926),6),3),"-",(RIGHT(RIGHT(CONCATENATE("000",IFAData_TEA_1718!A926),6),3)))</f>
        <v>072-903</v>
      </c>
      <c r="C926" t="s">
        <v>2099</v>
      </c>
      <c r="D926">
        <v>2</v>
      </c>
      <c r="E926">
        <v>2383</v>
      </c>
      <c r="F926" t="s">
        <v>4648</v>
      </c>
      <c r="G926" t="s">
        <v>4650</v>
      </c>
      <c r="H926">
        <v>583662</v>
      </c>
      <c r="I926">
        <v>1410756</v>
      </c>
      <c r="J926">
        <v>1</v>
      </c>
      <c r="K926">
        <v>583662</v>
      </c>
      <c r="L926">
        <v>583662</v>
      </c>
      <c r="M926">
        <v>599</v>
      </c>
    </row>
    <row r="927" spans="1:13" ht="15">
      <c r="A927" t="s">
        <v>3504</v>
      </c>
      <c r="B927" s="1040" t="str">
        <f>CONCATENATE(LEFT(RIGHT(CONCATENATE("000",IFAData_TEA_1718!A927),6),3),"-",(RIGHT(RIGHT(CONCATENATE("000",IFAData_TEA_1718!A927),6),3)))</f>
        <v>072-909</v>
      </c>
      <c r="C927" t="s">
        <v>2468</v>
      </c>
      <c r="D927">
        <v>5</v>
      </c>
      <c r="E927">
        <v>2022</v>
      </c>
      <c r="F927" t="s">
        <v>4651</v>
      </c>
      <c r="G927" t="s">
        <v>4651</v>
      </c>
      <c r="H927">
        <v>100000</v>
      </c>
      <c r="I927">
        <v>0</v>
      </c>
      <c r="J927">
        <v>0</v>
      </c>
      <c r="K927">
        <v>0</v>
      </c>
      <c r="L927">
        <v>0</v>
      </c>
      <c r="M927">
        <v>599</v>
      </c>
    </row>
    <row r="928" spans="1:13" ht="15">
      <c r="A928" t="s">
        <v>3504</v>
      </c>
      <c r="B928" s="1040" t="str">
        <f>CONCATENATE(LEFT(RIGHT(CONCATENATE("000",IFAData_TEA_1718!A928),6),3),"-",(RIGHT(RIGHT(CONCATENATE("000",IFAData_TEA_1718!A928),6),3)))</f>
        <v>072-909</v>
      </c>
      <c r="C928" t="s">
        <v>2468</v>
      </c>
      <c r="D928">
        <v>5</v>
      </c>
      <c r="E928">
        <v>2022</v>
      </c>
      <c r="F928" t="s">
        <v>4651</v>
      </c>
      <c r="G928" t="s">
        <v>4652</v>
      </c>
      <c r="H928">
        <v>100000</v>
      </c>
      <c r="I928">
        <v>93751</v>
      </c>
      <c r="J928">
        <v>1</v>
      </c>
      <c r="K928">
        <v>100000</v>
      </c>
      <c r="L928">
        <v>93751</v>
      </c>
      <c r="M928">
        <v>599</v>
      </c>
    </row>
    <row r="929" spans="1:13" ht="15">
      <c r="A929" t="s">
        <v>4653</v>
      </c>
      <c r="B929" s="1040" t="str">
        <f>CONCATENATE(LEFT(RIGHT(CONCATENATE("000",IFAData_TEA_1718!A929),6),3),"-",(RIGHT(RIGHT(CONCATENATE("000",IFAData_TEA_1718!A929),6),3)))</f>
        <v>073-903</v>
      </c>
      <c r="C929" t="s">
        <v>2063</v>
      </c>
      <c r="D929">
        <v>2</v>
      </c>
      <c r="E929">
        <v>2068</v>
      </c>
      <c r="F929" t="s">
        <v>4654</v>
      </c>
      <c r="G929" t="s">
        <v>4654</v>
      </c>
      <c r="H929">
        <v>386120</v>
      </c>
      <c r="I929">
        <v>262459</v>
      </c>
      <c r="J929">
        <v>1</v>
      </c>
      <c r="K929">
        <v>386120</v>
      </c>
      <c r="L929">
        <v>262459</v>
      </c>
      <c r="M929">
        <v>199</v>
      </c>
    </row>
    <row r="930" spans="1:13" ht="15">
      <c r="A930" t="s">
        <v>4655</v>
      </c>
      <c r="B930" s="1040" t="str">
        <f>CONCATENATE(LEFT(RIGHT(CONCATENATE("000",IFAData_TEA_1718!A930),6),3),"-",(RIGHT(RIGHT(CONCATENATE("000",IFAData_TEA_1718!A930),6),3)))</f>
        <v>073-904</v>
      </c>
      <c r="C930" t="s">
        <v>1332</v>
      </c>
      <c r="D930">
        <v>4</v>
      </c>
      <c r="E930">
        <v>2448</v>
      </c>
      <c r="F930" t="s">
        <v>4656</v>
      </c>
      <c r="G930" t="s">
        <v>4656</v>
      </c>
      <c r="H930">
        <v>100000</v>
      </c>
      <c r="I930">
        <v>0</v>
      </c>
      <c r="J930">
        <v>0</v>
      </c>
      <c r="K930">
        <v>0</v>
      </c>
      <c r="L930">
        <v>0</v>
      </c>
      <c r="M930">
        <v>199</v>
      </c>
    </row>
    <row r="931" spans="1:13" ht="15">
      <c r="A931" t="s">
        <v>4655</v>
      </c>
      <c r="B931" s="1040" t="str">
        <f>CONCATENATE(LEFT(RIGHT(CONCATENATE("000",IFAData_TEA_1718!A931),6),3),"-",(RIGHT(RIGHT(CONCATENATE("000",IFAData_TEA_1718!A931),6),3)))</f>
        <v>073-904</v>
      </c>
      <c r="C931" t="s">
        <v>1332</v>
      </c>
      <c r="D931">
        <v>4</v>
      </c>
      <c r="E931">
        <v>2448</v>
      </c>
      <c r="F931" t="s">
        <v>4656</v>
      </c>
      <c r="G931" t="s">
        <v>4657</v>
      </c>
      <c r="H931">
        <v>100000</v>
      </c>
      <c r="I931">
        <v>95598</v>
      </c>
      <c r="J931">
        <v>1</v>
      </c>
      <c r="K931">
        <v>100000</v>
      </c>
      <c r="L931">
        <v>95598</v>
      </c>
      <c r="M931">
        <v>199</v>
      </c>
    </row>
    <row r="932" spans="1:13" ht="15">
      <c r="A932" t="s">
        <v>4655</v>
      </c>
      <c r="B932" s="1040" t="str">
        <f>CONCATENATE(LEFT(RIGHT(CONCATENATE("000",IFAData_TEA_1718!A932),6),3),"-",(RIGHT(RIGHT(CONCATENATE("000",IFAData_TEA_1718!A932),6),3)))</f>
        <v>073-904</v>
      </c>
      <c r="C932" t="s">
        <v>1332</v>
      </c>
      <c r="D932">
        <v>8</v>
      </c>
      <c r="E932">
        <v>2447</v>
      </c>
      <c r="F932" t="s">
        <v>4658</v>
      </c>
      <c r="G932" t="s">
        <v>4658</v>
      </c>
      <c r="H932">
        <v>91803</v>
      </c>
      <c r="I932">
        <v>91852</v>
      </c>
      <c r="J932">
        <v>1</v>
      </c>
      <c r="K932">
        <v>91803</v>
      </c>
      <c r="L932">
        <v>91803</v>
      </c>
      <c r="M932">
        <v>199</v>
      </c>
    </row>
    <row r="933" spans="1:13" ht="15">
      <c r="A933" t="s">
        <v>5847</v>
      </c>
      <c r="B933" s="1040" t="str">
        <f>CONCATENATE(LEFT(RIGHT(CONCATENATE("000",IFAData_TEA_1718!A933),6),3),"-",(RIGHT(RIGHT(CONCATENATE("000",IFAData_TEA_1718!A933),6),3)))</f>
        <v>074-903</v>
      </c>
      <c r="C933" t="s">
        <v>1</v>
      </c>
      <c r="D933">
        <v>11</v>
      </c>
      <c r="E933">
        <v>2590</v>
      </c>
      <c r="F933" t="s">
        <v>8376</v>
      </c>
      <c r="G933" t="s">
        <v>8376</v>
      </c>
      <c r="H933">
        <v>352788</v>
      </c>
      <c r="I933">
        <v>354188</v>
      </c>
      <c r="J933">
        <v>1</v>
      </c>
      <c r="K933">
        <v>352788</v>
      </c>
      <c r="L933">
        <v>352788</v>
      </c>
      <c r="M933">
        <v>599</v>
      </c>
    </row>
    <row r="934" spans="1:13" ht="15">
      <c r="A934" t="s">
        <v>3505</v>
      </c>
      <c r="B934" s="1040" t="str">
        <f>CONCATENATE(LEFT(RIGHT(CONCATENATE("000",IFAData_TEA_1718!A934),6),3),"-",(RIGHT(RIGHT(CONCATENATE("000",IFAData_TEA_1718!A934),6),3)))</f>
        <v>074-904</v>
      </c>
      <c r="C934" t="s">
        <v>2180</v>
      </c>
      <c r="D934">
        <v>5</v>
      </c>
      <c r="E934">
        <v>1765</v>
      </c>
      <c r="F934" t="s">
        <v>4659</v>
      </c>
      <c r="G934" t="s">
        <v>4659</v>
      </c>
      <c r="H934">
        <v>100000</v>
      </c>
      <c r="I934">
        <v>0</v>
      </c>
      <c r="J934">
        <v>0</v>
      </c>
      <c r="K934">
        <v>0</v>
      </c>
      <c r="L934">
        <v>0</v>
      </c>
      <c r="M934">
        <v>599</v>
      </c>
    </row>
    <row r="935" spans="1:13" ht="15">
      <c r="A935" t="s">
        <v>3505</v>
      </c>
      <c r="B935" s="1040" t="str">
        <f>CONCATENATE(LEFT(RIGHT(CONCATENATE("000",IFAData_TEA_1718!A935),6),3),"-",(RIGHT(RIGHT(CONCATENATE("000",IFAData_TEA_1718!A935),6),3)))</f>
        <v>074-904</v>
      </c>
      <c r="C935" t="s">
        <v>2180</v>
      </c>
      <c r="D935">
        <v>5</v>
      </c>
      <c r="E935">
        <v>1765</v>
      </c>
      <c r="F935" t="s">
        <v>4659</v>
      </c>
      <c r="G935" t="s">
        <v>4660</v>
      </c>
      <c r="H935">
        <v>100000</v>
      </c>
      <c r="I935">
        <v>92812</v>
      </c>
      <c r="J935">
        <v>1</v>
      </c>
      <c r="K935">
        <v>100000</v>
      </c>
      <c r="L935">
        <v>92812</v>
      </c>
      <c r="M935">
        <v>599</v>
      </c>
    </row>
    <row r="936" spans="1:13" ht="15">
      <c r="A936" t="s">
        <v>3505</v>
      </c>
      <c r="B936" s="1040" t="str">
        <f>CONCATENATE(LEFT(RIGHT(CONCATENATE("000",IFAData_TEA_1718!A936),6),3),"-",(RIGHT(RIGHT(CONCATENATE("000",IFAData_TEA_1718!A936),6),3)))</f>
        <v>074-904</v>
      </c>
      <c r="C936" t="s">
        <v>2180</v>
      </c>
      <c r="D936">
        <v>11</v>
      </c>
      <c r="E936">
        <v>2555</v>
      </c>
      <c r="F936" t="s">
        <v>8377</v>
      </c>
      <c r="G936" t="s">
        <v>8377</v>
      </c>
      <c r="H936">
        <v>100000</v>
      </c>
      <c r="I936">
        <v>198900</v>
      </c>
      <c r="J936">
        <v>1</v>
      </c>
      <c r="K936">
        <v>100000</v>
      </c>
      <c r="L936">
        <v>100000</v>
      </c>
      <c r="M936">
        <v>599</v>
      </c>
    </row>
    <row r="937" spans="1:13" ht="15">
      <c r="A937" t="s">
        <v>3506</v>
      </c>
      <c r="B937" s="1040" t="str">
        <f>CONCATENATE(LEFT(RIGHT(CONCATENATE("000",IFAData_TEA_1718!A937),6),3),"-",(RIGHT(RIGHT(CONCATENATE("000",IFAData_TEA_1718!A937),6),3)))</f>
        <v>074-905</v>
      </c>
      <c r="C937" t="s">
        <v>1065</v>
      </c>
      <c r="D937">
        <v>5</v>
      </c>
      <c r="E937">
        <v>1784</v>
      </c>
      <c r="F937" t="s">
        <v>4661</v>
      </c>
      <c r="G937" t="s">
        <v>4661</v>
      </c>
      <c r="H937">
        <v>110298</v>
      </c>
      <c r="I937">
        <v>0</v>
      </c>
      <c r="J937">
        <v>0</v>
      </c>
      <c r="K937">
        <v>0</v>
      </c>
      <c r="L937">
        <v>0</v>
      </c>
      <c r="M937">
        <v>599</v>
      </c>
    </row>
    <row r="938" spans="1:13" ht="15">
      <c r="A938" t="s">
        <v>3506</v>
      </c>
      <c r="B938" s="1040" t="str">
        <f>CONCATENATE(LEFT(RIGHT(CONCATENATE("000",IFAData_TEA_1718!A938),6),3),"-",(RIGHT(RIGHT(CONCATENATE("000",IFAData_TEA_1718!A938),6),3)))</f>
        <v>074-905</v>
      </c>
      <c r="C938" t="s">
        <v>1065</v>
      </c>
      <c r="D938">
        <v>5</v>
      </c>
      <c r="E938">
        <v>1784</v>
      </c>
      <c r="F938" t="s">
        <v>4661</v>
      </c>
      <c r="G938" t="s">
        <v>4662</v>
      </c>
      <c r="H938">
        <v>110298</v>
      </c>
      <c r="I938">
        <v>87065</v>
      </c>
      <c r="J938">
        <v>1</v>
      </c>
      <c r="K938">
        <v>110298</v>
      </c>
      <c r="L938">
        <v>87065</v>
      </c>
      <c r="M938">
        <v>599</v>
      </c>
    </row>
    <row r="939" spans="1:13" ht="15">
      <c r="A939" t="s">
        <v>3506</v>
      </c>
      <c r="B939" s="1040" t="str">
        <f>CONCATENATE(LEFT(RIGHT(CONCATENATE("000",IFAData_TEA_1718!A939),6),3),"-",(RIGHT(RIGHT(CONCATENATE("000",IFAData_TEA_1718!A939),6),3)))</f>
        <v>074-905</v>
      </c>
      <c r="C939" t="s">
        <v>1065</v>
      </c>
      <c r="D939">
        <v>6</v>
      </c>
      <c r="E939">
        <v>1783</v>
      </c>
      <c r="F939" t="s">
        <v>4663</v>
      </c>
      <c r="G939" t="s">
        <v>4663</v>
      </c>
      <c r="H939">
        <v>79936</v>
      </c>
      <c r="I939">
        <v>0</v>
      </c>
      <c r="J939">
        <v>0</v>
      </c>
      <c r="K939">
        <v>0</v>
      </c>
      <c r="L939">
        <v>0</v>
      </c>
      <c r="M939">
        <v>599</v>
      </c>
    </row>
    <row r="940" spans="1:13" ht="15">
      <c r="A940" t="s">
        <v>3506</v>
      </c>
      <c r="B940" s="1040" t="str">
        <f>CONCATENATE(LEFT(RIGHT(CONCATENATE("000",IFAData_TEA_1718!A940),6),3),"-",(RIGHT(RIGHT(CONCATENATE("000",IFAData_TEA_1718!A940),6),3)))</f>
        <v>074-905</v>
      </c>
      <c r="C940" t="s">
        <v>1065</v>
      </c>
      <c r="D940">
        <v>6</v>
      </c>
      <c r="E940">
        <v>1783</v>
      </c>
      <c r="F940" t="s">
        <v>4663</v>
      </c>
      <c r="G940" t="s">
        <v>4662</v>
      </c>
      <c r="H940">
        <v>79936</v>
      </c>
      <c r="I940">
        <v>69678</v>
      </c>
      <c r="J940">
        <v>1</v>
      </c>
      <c r="K940">
        <v>79936</v>
      </c>
      <c r="L940">
        <v>69678</v>
      </c>
      <c r="M940">
        <v>599</v>
      </c>
    </row>
    <row r="941" spans="1:13" ht="15">
      <c r="A941" t="s">
        <v>3507</v>
      </c>
      <c r="B941" s="1040" t="str">
        <f>CONCATENATE(LEFT(RIGHT(CONCATENATE("000",IFAData_TEA_1718!A941),6),3),"-",(RIGHT(RIGHT(CONCATENATE("000",IFAData_TEA_1718!A941),6),3)))</f>
        <v>074-907</v>
      </c>
      <c r="C941" t="s">
        <v>2</v>
      </c>
      <c r="D941">
        <v>9</v>
      </c>
      <c r="E941">
        <v>1899</v>
      </c>
      <c r="F941" t="s">
        <v>4664</v>
      </c>
      <c r="G941" t="s">
        <v>4664</v>
      </c>
      <c r="H941">
        <v>162500</v>
      </c>
      <c r="I941">
        <v>0</v>
      </c>
      <c r="J941">
        <v>0</v>
      </c>
      <c r="K941">
        <v>0</v>
      </c>
      <c r="L941">
        <v>0</v>
      </c>
      <c r="M941">
        <v>599</v>
      </c>
    </row>
    <row r="942" spans="1:13" ht="15">
      <c r="A942" t="s">
        <v>3507</v>
      </c>
      <c r="B942" s="1040" t="str">
        <f>CONCATENATE(LEFT(RIGHT(CONCATENATE("000",IFAData_TEA_1718!A942),6),3),"-",(RIGHT(RIGHT(CONCATENATE("000",IFAData_TEA_1718!A942),6),3)))</f>
        <v>074-907</v>
      </c>
      <c r="C942" t="s">
        <v>2</v>
      </c>
      <c r="D942">
        <v>9</v>
      </c>
      <c r="E942">
        <v>1899</v>
      </c>
      <c r="F942" t="s">
        <v>4664</v>
      </c>
      <c r="G942" t="s">
        <v>6247</v>
      </c>
      <c r="H942">
        <v>162500</v>
      </c>
      <c r="I942">
        <v>392429</v>
      </c>
      <c r="J942">
        <v>1</v>
      </c>
      <c r="K942">
        <v>162500</v>
      </c>
      <c r="L942">
        <v>162500</v>
      </c>
      <c r="M942">
        <v>599</v>
      </c>
    </row>
    <row r="943" spans="1:13" ht="15">
      <c r="A943" t="s">
        <v>3508</v>
      </c>
      <c r="B943" s="1040" t="str">
        <f>CONCATENATE(LEFT(RIGHT(CONCATENATE("000",IFAData_TEA_1718!A943),6),3),"-",(RIGHT(RIGHT(CONCATENATE("000",IFAData_TEA_1718!A943),6),3)))</f>
        <v>074-912</v>
      </c>
      <c r="C943" t="s">
        <v>5</v>
      </c>
      <c r="D943">
        <v>9</v>
      </c>
      <c r="E943">
        <v>2400</v>
      </c>
      <c r="F943" t="s">
        <v>4665</v>
      </c>
      <c r="G943" t="s">
        <v>4665</v>
      </c>
      <c r="H943">
        <v>25828</v>
      </c>
      <c r="I943">
        <v>10685</v>
      </c>
      <c r="J943">
        <v>0.38528107308982101</v>
      </c>
      <c r="K943">
        <v>9951.0395557638894</v>
      </c>
      <c r="L943">
        <v>9951.0395557638894</v>
      </c>
      <c r="M943">
        <v>599</v>
      </c>
    </row>
    <row r="944" spans="1:13" ht="15">
      <c r="A944" t="s">
        <v>3508</v>
      </c>
      <c r="B944" s="1040" t="str">
        <f>CONCATENATE(LEFT(RIGHT(CONCATENATE("000",IFAData_TEA_1718!A944),6),3),"-",(RIGHT(RIGHT(CONCATENATE("000",IFAData_TEA_1718!A944),6),3)))</f>
        <v>074-912</v>
      </c>
      <c r="C944" t="s">
        <v>5</v>
      </c>
      <c r="D944">
        <v>9</v>
      </c>
      <c r="E944">
        <v>2400</v>
      </c>
      <c r="F944" t="s">
        <v>4665</v>
      </c>
      <c r="G944" t="s">
        <v>6457</v>
      </c>
      <c r="H944">
        <v>25828</v>
      </c>
      <c r="I944">
        <v>17048</v>
      </c>
      <c r="J944">
        <v>0.61471892691017904</v>
      </c>
      <c r="K944">
        <v>15876.9604442361</v>
      </c>
      <c r="L944">
        <v>15876.9604442361</v>
      </c>
      <c r="M944">
        <v>599</v>
      </c>
    </row>
    <row r="945" spans="1:13" ht="15">
      <c r="A945" t="s">
        <v>3509</v>
      </c>
      <c r="B945" s="1040" t="str">
        <f>CONCATENATE(LEFT(RIGHT(CONCATENATE("000",IFAData_TEA_1718!A945),6),3),"-",(RIGHT(RIGHT(CONCATENATE("000",IFAData_TEA_1718!A945),6),3)))</f>
        <v>074-917</v>
      </c>
      <c r="C945" t="s">
        <v>2026</v>
      </c>
      <c r="D945">
        <v>5</v>
      </c>
      <c r="E945">
        <v>2276</v>
      </c>
      <c r="F945" t="s">
        <v>4666</v>
      </c>
      <c r="G945" t="s">
        <v>4666</v>
      </c>
      <c r="H945">
        <v>45485</v>
      </c>
      <c r="I945">
        <v>0</v>
      </c>
      <c r="J945">
        <v>0</v>
      </c>
      <c r="K945"/>
      <c r="L945">
        <v>0</v>
      </c>
      <c r="M945">
        <v>599</v>
      </c>
    </row>
    <row r="946" spans="1:13" ht="15">
      <c r="A946" t="s">
        <v>3509</v>
      </c>
      <c r="B946" s="1040" t="str">
        <f>CONCATENATE(LEFT(RIGHT(CONCATENATE("000",IFAData_TEA_1718!A946),6),3),"-",(RIGHT(RIGHT(CONCATENATE("000",IFAData_TEA_1718!A946),6),3)))</f>
        <v>074-917</v>
      </c>
      <c r="C946" t="s">
        <v>2026</v>
      </c>
      <c r="D946">
        <v>11</v>
      </c>
      <c r="E946">
        <v>2571</v>
      </c>
      <c r="F946" t="s">
        <v>8378</v>
      </c>
      <c r="G946" t="s">
        <v>8378</v>
      </c>
      <c r="H946">
        <v>114528</v>
      </c>
      <c r="I946">
        <v>255200</v>
      </c>
      <c r="J946">
        <v>1</v>
      </c>
      <c r="K946">
        <v>114528</v>
      </c>
      <c r="L946">
        <v>114528</v>
      </c>
      <c r="M946">
        <v>599</v>
      </c>
    </row>
    <row r="947" spans="1:13" ht="15">
      <c r="A947" t="s">
        <v>3510</v>
      </c>
      <c r="B947" s="1040" t="str">
        <f>CONCATENATE(LEFT(RIGHT(CONCATENATE("000",IFAData_TEA_1718!A947),6),3),"-",(RIGHT(RIGHT(CONCATENATE("000",IFAData_TEA_1718!A947),6),3)))</f>
        <v>076-904</v>
      </c>
      <c r="C947" t="s">
        <v>610</v>
      </c>
      <c r="D947">
        <v>6</v>
      </c>
      <c r="E947">
        <v>2265</v>
      </c>
      <c r="F947" t="s">
        <v>4667</v>
      </c>
      <c r="G947" t="s">
        <v>4667</v>
      </c>
      <c r="H947">
        <v>42457</v>
      </c>
      <c r="I947">
        <v>0</v>
      </c>
      <c r="J947">
        <v>0</v>
      </c>
      <c r="K947"/>
      <c r="L947">
        <v>0</v>
      </c>
      <c r="M947">
        <v>599</v>
      </c>
    </row>
    <row r="948" spans="1:13" ht="15">
      <c r="A948" t="s">
        <v>3511</v>
      </c>
      <c r="B948" s="1040" t="str">
        <f>CONCATENATE(LEFT(RIGHT(CONCATENATE("000",IFAData_TEA_1718!A948),6),3),"-",(RIGHT(RIGHT(CONCATENATE("000",IFAData_TEA_1718!A948),6),3)))</f>
        <v>079-906</v>
      </c>
      <c r="C948" t="s">
        <v>894</v>
      </c>
      <c r="D948">
        <v>3</v>
      </c>
      <c r="E948">
        <v>2132</v>
      </c>
      <c r="F948" t="s">
        <v>4668</v>
      </c>
      <c r="G948" t="s">
        <v>4668</v>
      </c>
      <c r="H948">
        <v>559413</v>
      </c>
      <c r="I948">
        <v>0</v>
      </c>
      <c r="J948">
        <v>0</v>
      </c>
      <c r="K948">
        <v>0</v>
      </c>
      <c r="L948">
        <v>0</v>
      </c>
      <c r="M948">
        <v>599</v>
      </c>
    </row>
    <row r="949" spans="1:13" ht="15">
      <c r="A949" t="s">
        <v>3511</v>
      </c>
      <c r="B949" s="1040" t="str">
        <f>CONCATENATE(LEFT(RIGHT(CONCATENATE("000",IFAData_TEA_1718!A949),6),3),"-",(RIGHT(RIGHT(CONCATENATE("000",IFAData_TEA_1718!A949),6),3)))</f>
        <v>079-906</v>
      </c>
      <c r="C949" t="s">
        <v>894</v>
      </c>
      <c r="D949">
        <v>3</v>
      </c>
      <c r="E949">
        <v>2132</v>
      </c>
      <c r="F949" t="s">
        <v>4668</v>
      </c>
      <c r="G949" t="s">
        <v>4669</v>
      </c>
      <c r="H949">
        <v>559413</v>
      </c>
      <c r="I949">
        <v>0</v>
      </c>
      <c r="J949">
        <v>0</v>
      </c>
      <c r="K949">
        <v>0</v>
      </c>
      <c r="L949">
        <v>0</v>
      </c>
      <c r="M949">
        <v>599</v>
      </c>
    </row>
    <row r="950" spans="1:13" ht="15">
      <c r="A950" t="s">
        <v>3511</v>
      </c>
      <c r="B950" s="1040" t="str">
        <f>CONCATENATE(LEFT(RIGHT(CONCATENATE("000",IFAData_TEA_1718!A950),6),3),"-",(RIGHT(RIGHT(CONCATENATE("000",IFAData_TEA_1718!A950),6),3)))</f>
        <v>079-906</v>
      </c>
      <c r="C950" t="s">
        <v>894</v>
      </c>
      <c r="D950">
        <v>3</v>
      </c>
      <c r="E950">
        <v>2132</v>
      </c>
      <c r="F950" t="s">
        <v>4668</v>
      </c>
      <c r="G950" t="s">
        <v>4670</v>
      </c>
      <c r="H950">
        <v>559413</v>
      </c>
      <c r="I950">
        <v>151466</v>
      </c>
      <c r="J950">
        <v>0.14375934882802699</v>
      </c>
      <c r="K950">
        <v>80420.848605933104</v>
      </c>
      <c r="L950">
        <v>80420.848605933104</v>
      </c>
      <c r="M950">
        <v>599</v>
      </c>
    </row>
    <row r="951" spans="1:13" ht="15">
      <c r="A951" t="s">
        <v>3511</v>
      </c>
      <c r="B951" s="1040" t="str">
        <f>CONCATENATE(LEFT(RIGHT(CONCATENATE("000",IFAData_TEA_1718!A951),6),3),"-",(RIGHT(RIGHT(CONCATENATE("000",IFAData_TEA_1718!A951),6),3)))</f>
        <v>079-906</v>
      </c>
      <c r="C951" t="s">
        <v>894</v>
      </c>
      <c r="D951">
        <v>3</v>
      </c>
      <c r="E951">
        <v>2132</v>
      </c>
      <c r="F951" t="s">
        <v>4668</v>
      </c>
      <c r="G951" t="s">
        <v>6249</v>
      </c>
      <c r="H951">
        <v>559413</v>
      </c>
      <c r="I951">
        <v>902142</v>
      </c>
      <c r="J951">
        <v>0.85624065117197301</v>
      </c>
      <c r="K951">
        <v>478992.15139406698</v>
      </c>
      <c r="L951">
        <v>478992.15139406698</v>
      </c>
      <c r="M951">
        <v>599</v>
      </c>
    </row>
    <row r="952" spans="1:13" ht="15">
      <c r="A952" t="s">
        <v>3511</v>
      </c>
      <c r="B952" s="1040" t="str">
        <f>CONCATENATE(LEFT(RIGHT(CONCATENATE("000",IFAData_TEA_1718!A952),6),3),"-",(RIGHT(RIGHT(CONCATENATE("000",IFAData_TEA_1718!A952),6),3)))</f>
        <v>079-906</v>
      </c>
      <c r="C952" t="s">
        <v>894</v>
      </c>
      <c r="D952">
        <v>9</v>
      </c>
      <c r="E952">
        <v>2131</v>
      </c>
      <c r="F952" t="s">
        <v>4671</v>
      </c>
      <c r="G952" t="s">
        <v>4671</v>
      </c>
      <c r="H952">
        <v>338364</v>
      </c>
      <c r="I952">
        <v>0</v>
      </c>
      <c r="J952">
        <v>0</v>
      </c>
      <c r="K952">
        <v>0</v>
      </c>
      <c r="L952">
        <v>0</v>
      </c>
      <c r="M952">
        <v>599</v>
      </c>
    </row>
    <row r="953" spans="1:13" ht="15">
      <c r="A953" t="s">
        <v>3511</v>
      </c>
      <c r="B953" s="1040" t="str">
        <f>CONCATENATE(LEFT(RIGHT(CONCATENATE("000",IFAData_TEA_1718!A953),6),3),"-",(RIGHT(RIGHT(CONCATENATE("000",IFAData_TEA_1718!A953),6),3)))</f>
        <v>079-906</v>
      </c>
      <c r="C953" t="s">
        <v>894</v>
      </c>
      <c r="D953">
        <v>9</v>
      </c>
      <c r="E953">
        <v>2131</v>
      </c>
      <c r="F953" t="s">
        <v>4671</v>
      </c>
      <c r="G953" t="s">
        <v>6248</v>
      </c>
      <c r="H953">
        <v>338364</v>
      </c>
      <c r="I953">
        <v>387524</v>
      </c>
      <c r="J953">
        <v>1</v>
      </c>
      <c r="K953">
        <v>338364</v>
      </c>
      <c r="L953">
        <v>338364</v>
      </c>
      <c r="M953">
        <v>599</v>
      </c>
    </row>
    <row r="954" spans="1:13" ht="15">
      <c r="A954" t="s">
        <v>3511</v>
      </c>
      <c r="B954" s="1040" t="str">
        <f>CONCATENATE(LEFT(RIGHT(CONCATENATE("000",IFAData_TEA_1718!A954),6),3),"-",(RIGHT(RIGHT(CONCATENATE("000",IFAData_TEA_1718!A954),6),3)))</f>
        <v>079-906</v>
      </c>
      <c r="C954" t="s">
        <v>894</v>
      </c>
      <c r="D954">
        <v>10</v>
      </c>
      <c r="E954">
        <v>2133</v>
      </c>
      <c r="F954" t="s">
        <v>4672</v>
      </c>
      <c r="G954" t="s">
        <v>4672</v>
      </c>
      <c r="H954">
        <v>639148</v>
      </c>
      <c r="I954">
        <v>613600</v>
      </c>
      <c r="J954">
        <v>0.42211189404826399</v>
      </c>
      <c r="K954">
        <v>269791.97285716003</v>
      </c>
      <c r="L954">
        <v>269791.97285716003</v>
      </c>
      <c r="M954">
        <v>599</v>
      </c>
    </row>
    <row r="955" spans="1:13" ht="15">
      <c r="A955" t="s">
        <v>3511</v>
      </c>
      <c r="B955" s="1040" t="str">
        <f>CONCATENATE(LEFT(RIGHT(CONCATENATE("000",IFAData_TEA_1718!A955),6),3),"-",(RIGHT(RIGHT(CONCATENATE("000",IFAData_TEA_1718!A955),6),3)))</f>
        <v>079-906</v>
      </c>
      <c r="C955" t="s">
        <v>894</v>
      </c>
      <c r="D955">
        <v>10</v>
      </c>
      <c r="E955">
        <v>2133</v>
      </c>
      <c r="F955" t="s">
        <v>4672</v>
      </c>
      <c r="G955" t="s">
        <v>6248</v>
      </c>
      <c r="H955">
        <v>639148</v>
      </c>
      <c r="I955">
        <v>89576</v>
      </c>
      <c r="J955">
        <v>6.1621732433616801E-2</v>
      </c>
      <c r="K955">
        <v>39385.407041481303</v>
      </c>
      <c r="L955">
        <v>39385.407041481303</v>
      </c>
      <c r="M955">
        <v>599</v>
      </c>
    </row>
    <row r="956" spans="1:13" ht="15">
      <c r="A956" t="s">
        <v>3511</v>
      </c>
      <c r="B956" s="1040" t="str">
        <f>CONCATENATE(LEFT(RIGHT(CONCATENATE("000",IFAData_TEA_1718!A956),6),3),"-",(RIGHT(RIGHT(CONCATENATE("000",IFAData_TEA_1718!A956),6),3)))</f>
        <v>079-906</v>
      </c>
      <c r="C956" t="s">
        <v>894</v>
      </c>
      <c r="D956">
        <v>10</v>
      </c>
      <c r="E956">
        <v>2133</v>
      </c>
      <c r="F956" t="s">
        <v>4672</v>
      </c>
      <c r="G956" t="s">
        <v>8379</v>
      </c>
      <c r="H956">
        <v>639148</v>
      </c>
      <c r="I956">
        <v>750467</v>
      </c>
      <c r="J956">
        <v>0.51626637351811999</v>
      </c>
      <c r="K956">
        <v>329970.62010135897</v>
      </c>
      <c r="L956">
        <v>329970.62010135897</v>
      </c>
      <c r="M956">
        <v>599</v>
      </c>
    </row>
    <row r="957" spans="1:13" ht="15">
      <c r="A957" t="s">
        <v>3511</v>
      </c>
      <c r="B957" s="1040" t="str">
        <f>CONCATENATE(LEFT(RIGHT(CONCATENATE("000",IFAData_TEA_1718!A957),6),3),"-",(RIGHT(RIGHT(CONCATENATE("000",IFAData_TEA_1718!A957),6),3)))</f>
        <v>079-906</v>
      </c>
      <c r="C957" t="s">
        <v>894</v>
      </c>
      <c r="D957">
        <v>11</v>
      </c>
      <c r="E957">
        <v>2572</v>
      </c>
      <c r="F957" t="s">
        <v>8380</v>
      </c>
      <c r="G957" t="s">
        <v>8380</v>
      </c>
      <c r="H957">
        <v>557250</v>
      </c>
      <c r="I957">
        <v>136250</v>
      </c>
      <c r="J957">
        <v>0.25717737216633002</v>
      </c>
      <c r="K957">
        <v>143312.090639687</v>
      </c>
      <c r="L957">
        <v>136250</v>
      </c>
      <c r="M957">
        <v>599</v>
      </c>
    </row>
    <row r="958" spans="1:13" ht="15">
      <c r="A958" t="s">
        <v>3511</v>
      </c>
      <c r="B958" s="1040" t="str">
        <f>CONCATENATE(LEFT(RIGHT(CONCATENATE("000",IFAData_TEA_1718!A958),6),3),"-",(RIGHT(RIGHT(CONCATENATE("000",IFAData_TEA_1718!A958),6),3)))</f>
        <v>079-906</v>
      </c>
      <c r="C958" t="s">
        <v>894</v>
      </c>
      <c r="D958">
        <v>11</v>
      </c>
      <c r="E958">
        <v>2572</v>
      </c>
      <c r="F958" t="s">
        <v>8380</v>
      </c>
      <c r="G958" t="s">
        <v>8379</v>
      </c>
      <c r="H958">
        <v>557250</v>
      </c>
      <c r="I958">
        <v>393540</v>
      </c>
      <c r="J958">
        <v>0.74282262783367004</v>
      </c>
      <c r="K958">
        <v>413937.90936031297</v>
      </c>
      <c r="L958">
        <v>393540</v>
      </c>
      <c r="M958">
        <v>599</v>
      </c>
    </row>
    <row r="959" spans="1:13" ht="15">
      <c r="A959" t="s">
        <v>3512</v>
      </c>
      <c r="B959" s="1040" t="str">
        <f>CONCATENATE(LEFT(RIGHT(CONCATENATE("000",IFAData_TEA_1718!A959),6),3),"-",(RIGHT(RIGHT(CONCATENATE("000",IFAData_TEA_1718!A959),6),3)))</f>
        <v>079-907</v>
      </c>
      <c r="C959" t="s">
        <v>112</v>
      </c>
      <c r="D959">
        <v>1</v>
      </c>
      <c r="E959">
        <v>1822</v>
      </c>
      <c r="F959" t="s">
        <v>4673</v>
      </c>
      <c r="G959" t="s">
        <v>4673</v>
      </c>
      <c r="H959">
        <v>4738980</v>
      </c>
      <c r="I959">
        <v>0</v>
      </c>
      <c r="J959">
        <v>0</v>
      </c>
      <c r="K959">
        <v>0</v>
      </c>
      <c r="L959">
        <v>0</v>
      </c>
      <c r="M959">
        <v>599</v>
      </c>
    </row>
    <row r="960" spans="1:13" ht="15">
      <c r="A960" t="s">
        <v>3512</v>
      </c>
      <c r="B960" s="1040" t="str">
        <f>CONCATENATE(LEFT(RIGHT(CONCATENATE("000",IFAData_TEA_1718!A960),6),3),"-",(RIGHT(RIGHT(CONCATENATE("000",IFAData_TEA_1718!A960),6),3)))</f>
        <v>079-907</v>
      </c>
      <c r="C960" t="s">
        <v>112</v>
      </c>
      <c r="D960">
        <v>1</v>
      </c>
      <c r="E960">
        <v>1822</v>
      </c>
      <c r="F960" t="s">
        <v>4673</v>
      </c>
      <c r="G960" t="s">
        <v>4674</v>
      </c>
      <c r="H960">
        <v>4738980</v>
      </c>
      <c r="I960">
        <v>3807243</v>
      </c>
      <c r="J960">
        <v>0.75333368949674095</v>
      </c>
      <c r="K960">
        <v>3570033.2878512698</v>
      </c>
      <c r="L960">
        <v>3570033.2878512698</v>
      </c>
      <c r="M960">
        <v>599</v>
      </c>
    </row>
    <row r="961" spans="1:13" ht="15">
      <c r="A961" t="s">
        <v>3512</v>
      </c>
      <c r="B961" s="1040" t="str">
        <f>CONCATENATE(LEFT(RIGHT(CONCATENATE("000",IFAData_TEA_1718!A961),6),3),"-",(RIGHT(RIGHT(CONCATENATE("000",IFAData_TEA_1718!A961),6),3)))</f>
        <v>079-907</v>
      </c>
      <c r="C961" t="s">
        <v>112</v>
      </c>
      <c r="D961">
        <v>1</v>
      </c>
      <c r="E961">
        <v>1822</v>
      </c>
      <c r="F961" t="s">
        <v>4673</v>
      </c>
      <c r="G961" t="s">
        <v>4675</v>
      </c>
      <c r="H961">
        <v>4738980</v>
      </c>
      <c r="I961">
        <v>790010</v>
      </c>
      <c r="J961">
        <v>0.156318140985306</v>
      </c>
      <c r="K961">
        <v>740788.54376654699</v>
      </c>
      <c r="L961">
        <v>740788.54376654699</v>
      </c>
      <c r="M961">
        <v>599</v>
      </c>
    </row>
    <row r="962" spans="1:13" ht="15">
      <c r="A962" t="s">
        <v>3512</v>
      </c>
      <c r="B962" s="1040" t="str">
        <f>CONCATENATE(LEFT(RIGHT(CONCATENATE("000",IFAData_TEA_1718!A962),6),3),"-",(RIGHT(RIGHT(CONCATENATE("000",IFAData_TEA_1718!A962),6),3)))</f>
        <v>079-907</v>
      </c>
      <c r="C962" t="s">
        <v>112</v>
      </c>
      <c r="D962">
        <v>1</v>
      </c>
      <c r="E962">
        <v>1822</v>
      </c>
      <c r="F962" t="s">
        <v>4673</v>
      </c>
      <c r="G962" t="s">
        <v>4676</v>
      </c>
      <c r="H962">
        <v>4738980</v>
      </c>
      <c r="I962">
        <v>139406</v>
      </c>
      <c r="J962">
        <v>2.7584064457662101E-2</v>
      </c>
      <c r="K962">
        <v>130720.329783571</v>
      </c>
      <c r="L962">
        <v>130720.329783571</v>
      </c>
      <c r="M962">
        <v>599</v>
      </c>
    </row>
    <row r="963" spans="1:13" ht="15">
      <c r="A963" t="s">
        <v>3512</v>
      </c>
      <c r="B963" s="1040" t="str">
        <f>CONCATENATE(LEFT(RIGHT(CONCATENATE("000",IFAData_TEA_1718!A963),6),3),"-",(RIGHT(RIGHT(CONCATENATE("000",IFAData_TEA_1718!A963),6),3)))</f>
        <v>079-907</v>
      </c>
      <c r="C963" t="s">
        <v>112</v>
      </c>
      <c r="D963">
        <v>1</v>
      </c>
      <c r="E963">
        <v>1822</v>
      </c>
      <c r="F963" t="s">
        <v>4673</v>
      </c>
      <c r="G963" t="s">
        <v>8381</v>
      </c>
      <c r="H963">
        <v>4738980</v>
      </c>
      <c r="I963">
        <v>317201</v>
      </c>
      <c r="J963">
        <v>6.2764105060290606E-2</v>
      </c>
      <c r="K963">
        <v>297437.83859861601</v>
      </c>
      <c r="L963">
        <v>297437.83859861601</v>
      </c>
      <c r="M963">
        <v>599</v>
      </c>
    </row>
    <row r="964" spans="1:13" ht="15">
      <c r="A964" t="s">
        <v>3512</v>
      </c>
      <c r="B964" s="1040" t="str">
        <f>CONCATENATE(LEFT(RIGHT(CONCATENATE("000",IFAData_TEA_1718!A964),6),3),"-",(RIGHT(RIGHT(CONCATENATE("000",IFAData_TEA_1718!A964),6),3)))</f>
        <v>079-907</v>
      </c>
      <c r="C964" t="s">
        <v>112</v>
      </c>
      <c r="D964">
        <v>2</v>
      </c>
      <c r="E964">
        <v>1821</v>
      </c>
      <c r="F964" t="s">
        <v>4677</v>
      </c>
      <c r="G964" t="s">
        <v>4677</v>
      </c>
      <c r="H964">
        <v>2155774</v>
      </c>
      <c r="I964">
        <v>0</v>
      </c>
      <c r="J964">
        <v>0</v>
      </c>
      <c r="K964">
        <v>0</v>
      </c>
      <c r="L964">
        <v>0</v>
      </c>
      <c r="M964">
        <v>599</v>
      </c>
    </row>
    <row r="965" spans="1:13" ht="15">
      <c r="A965" t="s">
        <v>3512</v>
      </c>
      <c r="B965" s="1040" t="str">
        <f>CONCATENATE(LEFT(RIGHT(CONCATENATE("000",IFAData_TEA_1718!A965),6),3),"-",(RIGHT(RIGHT(CONCATENATE("000",IFAData_TEA_1718!A965),6),3)))</f>
        <v>079-907</v>
      </c>
      <c r="C965" t="s">
        <v>112</v>
      </c>
      <c r="D965">
        <v>2</v>
      </c>
      <c r="E965">
        <v>1821</v>
      </c>
      <c r="F965" t="s">
        <v>4677</v>
      </c>
      <c r="G965" t="s">
        <v>4678</v>
      </c>
      <c r="H965">
        <v>2155774</v>
      </c>
      <c r="I965">
        <v>0</v>
      </c>
      <c r="J965">
        <v>0</v>
      </c>
      <c r="K965">
        <v>0</v>
      </c>
      <c r="L965">
        <v>0</v>
      </c>
      <c r="M965">
        <v>599</v>
      </c>
    </row>
    <row r="966" spans="1:13" ht="15">
      <c r="A966" t="s">
        <v>3512</v>
      </c>
      <c r="B966" s="1040" t="str">
        <f>CONCATENATE(LEFT(RIGHT(CONCATENATE("000",IFAData_TEA_1718!A966),6),3),"-",(RIGHT(RIGHT(CONCATENATE("000",IFAData_TEA_1718!A966),6),3)))</f>
        <v>079-907</v>
      </c>
      <c r="C966" t="s">
        <v>112</v>
      </c>
      <c r="D966">
        <v>2</v>
      </c>
      <c r="E966">
        <v>1821</v>
      </c>
      <c r="F966" t="s">
        <v>4677</v>
      </c>
      <c r="G966" t="s">
        <v>4674</v>
      </c>
      <c r="H966">
        <v>2155774</v>
      </c>
      <c r="I966">
        <v>2023890</v>
      </c>
      <c r="J966">
        <v>0.83726061897772497</v>
      </c>
      <c r="K966">
        <v>1804944.6736160901</v>
      </c>
      <c r="L966">
        <v>1804944.6736160901</v>
      </c>
      <c r="M966">
        <v>599</v>
      </c>
    </row>
    <row r="967" spans="1:13" ht="15">
      <c r="A967" t="s">
        <v>3512</v>
      </c>
      <c r="B967" s="1040" t="str">
        <f>CONCATENATE(LEFT(RIGHT(CONCATENATE("000",IFAData_TEA_1718!A967),6),3),"-",(RIGHT(RIGHT(CONCATENATE("000",IFAData_TEA_1718!A967),6),3)))</f>
        <v>079-907</v>
      </c>
      <c r="C967" t="s">
        <v>112</v>
      </c>
      <c r="D967">
        <v>2</v>
      </c>
      <c r="E967">
        <v>1821</v>
      </c>
      <c r="F967" t="s">
        <v>4677</v>
      </c>
      <c r="G967" t="s">
        <v>4676</v>
      </c>
      <c r="H967">
        <v>2155774</v>
      </c>
      <c r="I967">
        <v>154938</v>
      </c>
      <c r="J967">
        <v>6.4096114800295895E-2</v>
      </c>
      <c r="K967">
        <v>138176.73778749301</v>
      </c>
      <c r="L967">
        <v>138176.73778749301</v>
      </c>
      <c r="M967">
        <v>599</v>
      </c>
    </row>
    <row r="968" spans="1:13" ht="15">
      <c r="A968" t="s">
        <v>3512</v>
      </c>
      <c r="B968" s="1040" t="str">
        <f>CONCATENATE(LEFT(RIGHT(CONCATENATE("000",IFAData_TEA_1718!A968),6),3),"-",(RIGHT(RIGHT(CONCATENATE("000",IFAData_TEA_1718!A968),6),3)))</f>
        <v>079-907</v>
      </c>
      <c r="C968" t="s">
        <v>112</v>
      </c>
      <c r="D968">
        <v>2</v>
      </c>
      <c r="E968">
        <v>1821</v>
      </c>
      <c r="F968" t="s">
        <v>4677</v>
      </c>
      <c r="G968" t="s">
        <v>4679</v>
      </c>
      <c r="H968">
        <v>2155774</v>
      </c>
      <c r="I968">
        <v>7063</v>
      </c>
      <c r="J968">
        <v>2.9218839718757801E-3</v>
      </c>
      <c r="K968">
        <v>6298.9214975865398</v>
      </c>
      <c r="L968">
        <v>6298.9214975865398</v>
      </c>
      <c r="M968">
        <v>599</v>
      </c>
    </row>
    <row r="969" spans="1:13" ht="15">
      <c r="A969" t="s">
        <v>3512</v>
      </c>
      <c r="B969" s="1040" t="str">
        <f>CONCATENATE(LEFT(RIGHT(CONCATENATE("000",IFAData_TEA_1718!A969),6),3),"-",(RIGHT(RIGHT(CONCATENATE("000",IFAData_TEA_1718!A969),6),3)))</f>
        <v>079-907</v>
      </c>
      <c r="C969" t="s">
        <v>112</v>
      </c>
      <c r="D969">
        <v>2</v>
      </c>
      <c r="E969">
        <v>1821</v>
      </c>
      <c r="F969" t="s">
        <v>4677</v>
      </c>
      <c r="G969" t="s">
        <v>8381</v>
      </c>
      <c r="H969">
        <v>2155774</v>
      </c>
      <c r="I969">
        <v>231385</v>
      </c>
      <c r="J969">
        <v>9.5721382250103001E-2</v>
      </c>
      <c r="K969">
        <v>206353.667098834</v>
      </c>
      <c r="L969">
        <v>206353.667098834</v>
      </c>
      <c r="M969">
        <v>599</v>
      </c>
    </row>
    <row r="970" spans="1:13" ht="15">
      <c r="A970" t="s">
        <v>3512</v>
      </c>
      <c r="B970" s="1040" t="str">
        <f>CONCATENATE(LEFT(RIGHT(CONCATENATE("000",IFAData_TEA_1718!A970),6),3),"-",(RIGHT(RIGHT(CONCATENATE("000",IFAData_TEA_1718!A970),6),3)))</f>
        <v>079-907</v>
      </c>
      <c r="C970" t="s">
        <v>112</v>
      </c>
      <c r="D970">
        <v>9</v>
      </c>
      <c r="E970">
        <v>1823</v>
      </c>
      <c r="F970" t="s">
        <v>4680</v>
      </c>
      <c r="G970" t="s">
        <v>4680</v>
      </c>
      <c r="H970">
        <v>7005446</v>
      </c>
      <c r="I970">
        <v>0</v>
      </c>
      <c r="J970">
        <v>0</v>
      </c>
      <c r="K970">
        <v>0</v>
      </c>
      <c r="L970">
        <v>0</v>
      </c>
      <c r="M970">
        <v>599</v>
      </c>
    </row>
    <row r="971" spans="1:13" ht="15">
      <c r="A971" t="s">
        <v>3512</v>
      </c>
      <c r="B971" s="1040" t="str">
        <f>CONCATENATE(LEFT(RIGHT(CONCATENATE("000",IFAData_TEA_1718!A971),6),3),"-",(RIGHT(RIGHT(CONCATENATE("000",IFAData_TEA_1718!A971),6),3)))</f>
        <v>079-907</v>
      </c>
      <c r="C971" t="s">
        <v>112</v>
      </c>
      <c r="D971">
        <v>9</v>
      </c>
      <c r="E971">
        <v>1823</v>
      </c>
      <c r="F971" t="s">
        <v>4680</v>
      </c>
      <c r="G971" t="s">
        <v>6458</v>
      </c>
      <c r="H971">
        <v>7005446</v>
      </c>
      <c r="I971">
        <v>5117989</v>
      </c>
      <c r="J971">
        <v>1</v>
      </c>
      <c r="K971">
        <v>7005446</v>
      </c>
      <c r="L971">
        <v>5117989</v>
      </c>
      <c r="M971">
        <v>599</v>
      </c>
    </row>
    <row r="972" spans="1:13" ht="15">
      <c r="A972" t="s">
        <v>3512</v>
      </c>
      <c r="B972" s="1040" t="str">
        <f>CONCATENATE(LEFT(RIGHT(CONCATENATE("000",IFAData_TEA_1718!A972),6),3),"-",(RIGHT(RIGHT(CONCATENATE("000",IFAData_TEA_1718!A972),6),3)))</f>
        <v>079-907</v>
      </c>
      <c r="C972" t="s">
        <v>112</v>
      </c>
      <c r="D972">
        <v>10</v>
      </c>
      <c r="E972">
        <v>1824</v>
      </c>
      <c r="F972" t="s">
        <v>4681</v>
      </c>
      <c r="G972" t="s">
        <v>4681</v>
      </c>
      <c r="H972">
        <v>8781990</v>
      </c>
      <c r="I972">
        <v>6041085</v>
      </c>
      <c r="J972">
        <v>0.76751028933371401</v>
      </c>
      <c r="K972">
        <v>6740267.68582578</v>
      </c>
      <c r="L972">
        <v>6041085</v>
      </c>
      <c r="M972">
        <v>599</v>
      </c>
    </row>
    <row r="973" spans="1:13" ht="15">
      <c r="A973" t="s">
        <v>3512</v>
      </c>
      <c r="B973" s="1040" t="str">
        <f>CONCATENATE(LEFT(RIGHT(CONCATENATE("000",IFAData_TEA_1718!A973),6),3),"-",(RIGHT(RIGHT(CONCATENATE("000",IFAData_TEA_1718!A973),6),3)))</f>
        <v>079-907</v>
      </c>
      <c r="C973" t="s">
        <v>112</v>
      </c>
      <c r="D973">
        <v>10</v>
      </c>
      <c r="E973">
        <v>1824</v>
      </c>
      <c r="F973" t="s">
        <v>4681</v>
      </c>
      <c r="G973" t="s">
        <v>8381</v>
      </c>
      <c r="H973">
        <v>8781990</v>
      </c>
      <c r="I973">
        <v>1829930</v>
      </c>
      <c r="J973">
        <v>0.23248971066628599</v>
      </c>
      <c r="K973">
        <v>2041722.31417422</v>
      </c>
      <c r="L973">
        <v>1829930</v>
      </c>
      <c r="M973">
        <v>599</v>
      </c>
    </row>
    <row r="974" spans="1:13" ht="15">
      <c r="A974" t="s">
        <v>3512</v>
      </c>
      <c r="B974" s="1040" t="str">
        <f>CONCATENATE(LEFT(RIGHT(CONCATENATE("000",IFAData_TEA_1718!A974),6),3),"-",(RIGHT(RIGHT(CONCATENATE("000",IFAData_TEA_1718!A974),6),3)))</f>
        <v>079-907</v>
      </c>
      <c r="C974" t="s">
        <v>112</v>
      </c>
      <c r="D974">
        <v>10</v>
      </c>
      <c r="E974">
        <v>1820</v>
      </c>
      <c r="F974" t="s">
        <v>4675</v>
      </c>
      <c r="G974" t="s">
        <v>4675</v>
      </c>
      <c r="H974">
        <v>653006</v>
      </c>
      <c r="I974">
        <v>653006</v>
      </c>
      <c r="J974">
        <v>1</v>
      </c>
      <c r="K974">
        <v>653006</v>
      </c>
      <c r="L974">
        <v>653006</v>
      </c>
      <c r="M974">
        <v>599</v>
      </c>
    </row>
    <row r="975" spans="1:13" ht="15">
      <c r="A975" t="s">
        <v>3513</v>
      </c>
      <c r="B975" s="1040" t="str">
        <f>CONCATENATE(LEFT(RIGHT(CONCATENATE("000",IFAData_TEA_1718!A975),6),3),"-",(RIGHT(RIGHT(CONCATENATE("000",IFAData_TEA_1718!A975),6),3)))</f>
        <v>082-902</v>
      </c>
      <c r="C975" t="s">
        <v>2179</v>
      </c>
      <c r="D975">
        <v>5</v>
      </c>
      <c r="E975">
        <v>1764</v>
      </c>
      <c r="F975" t="s">
        <v>4682</v>
      </c>
      <c r="G975" t="s">
        <v>4682</v>
      </c>
      <c r="H975">
        <v>192327</v>
      </c>
      <c r="I975">
        <v>0</v>
      </c>
      <c r="J975">
        <v>0</v>
      </c>
      <c r="K975">
        <v>0</v>
      </c>
      <c r="L975">
        <v>0</v>
      </c>
      <c r="M975">
        <v>599</v>
      </c>
    </row>
    <row r="976" spans="1:13" ht="15">
      <c r="A976" t="s">
        <v>3513</v>
      </c>
      <c r="B976" s="1040" t="str">
        <f>CONCATENATE(LEFT(RIGHT(CONCATENATE("000",IFAData_TEA_1718!A976),6),3),"-",(RIGHT(RIGHT(CONCATENATE("000",IFAData_TEA_1718!A976),6),3)))</f>
        <v>082-902</v>
      </c>
      <c r="C976" t="s">
        <v>2179</v>
      </c>
      <c r="D976">
        <v>5</v>
      </c>
      <c r="E976">
        <v>1764</v>
      </c>
      <c r="F976" t="s">
        <v>4682</v>
      </c>
      <c r="G976" t="s">
        <v>4683</v>
      </c>
      <c r="H976">
        <v>192327</v>
      </c>
      <c r="I976">
        <v>140000</v>
      </c>
      <c r="J976">
        <v>0.76586433260393905</v>
      </c>
      <c r="K976">
        <v>147296.38949671801</v>
      </c>
      <c r="L976">
        <v>140000</v>
      </c>
      <c r="M976">
        <v>599</v>
      </c>
    </row>
    <row r="977" spans="1:13" ht="15">
      <c r="A977" t="s">
        <v>3513</v>
      </c>
      <c r="B977" s="1040" t="str">
        <f>CONCATENATE(LEFT(RIGHT(CONCATENATE("000",IFAData_TEA_1718!A977),6),3),"-",(RIGHT(RIGHT(CONCATENATE("000",IFAData_TEA_1718!A977),6),3)))</f>
        <v>082-902</v>
      </c>
      <c r="C977" t="s">
        <v>2179</v>
      </c>
      <c r="D977">
        <v>5</v>
      </c>
      <c r="E977">
        <v>1764</v>
      </c>
      <c r="F977" t="s">
        <v>4682</v>
      </c>
      <c r="G977" t="s">
        <v>4684</v>
      </c>
      <c r="H977">
        <v>192327</v>
      </c>
      <c r="I977">
        <v>0</v>
      </c>
      <c r="J977">
        <v>0</v>
      </c>
      <c r="K977">
        <v>0</v>
      </c>
      <c r="L977">
        <v>0</v>
      </c>
      <c r="M977">
        <v>599</v>
      </c>
    </row>
    <row r="978" spans="1:13" ht="15">
      <c r="A978" t="s">
        <v>3513</v>
      </c>
      <c r="B978" s="1040" t="str">
        <f>CONCATENATE(LEFT(RIGHT(CONCATENATE("000",IFAData_TEA_1718!A978),6),3),"-",(RIGHT(RIGHT(CONCATENATE("000",IFAData_TEA_1718!A978),6),3)))</f>
        <v>082-902</v>
      </c>
      <c r="C978" t="s">
        <v>2179</v>
      </c>
      <c r="D978">
        <v>5</v>
      </c>
      <c r="E978">
        <v>1764</v>
      </c>
      <c r="F978" t="s">
        <v>4682</v>
      </c>
      <c r="G978" t="s">
        <v>8382</v>
      </c>
      <c r="H978">
        <v>192327</v>
      </c>
      <c r="I978">
        <v>42800</v>
      </c>
      <c r="J978">
        <v>0.23413566739606101</v>
      </c>
      <c r="K978">
        <v>45030.610503282303</v>
      </c>
      <c r="L978">
        <v>42800</v>
      </c>
      <c r="M978">
        <v>599</v>
      </c>
    </row>
    <row r="979" spans="1:13" ht="15">
      <c r="A979" t="s">
        <v>3513</v>
      </c>
      <c r="B979" s="1040" t="str">
        <f>CONCATENATE(LEFT(RIGHT(CONCATENATE("000",IFAData_TEA_1718!A979),6),3),"-",(RIGHT(RIGHT(CONCATENATE("000",IFAData_TEA_1718!A979),6),3)))</f>
        <v>082-902</v>
      </c>
      <c r="C979" t="s">
        <v>2179</v>
      </c>
      <c r="D979">
        <v>9</v>
      </c>
      <c r="E979">
        <v>1763</v>
      </c>
      <c r="F979" t="s">
        <v>4685</v>
      </c>
      <c r="G979" t="s">
        <v>4685</v>
      </c>
      <c r="H979">
        <v>183808</v>
      </c>
      <c r="I979">
        <v>99512</v>
      </c>
      <c r="J979">
        <v>0.57023012744109303</v>
      </c>
      <c r="K979">
        <v>104812.859264692</v>
      </c>
      <c r="L979">
        <v>99512</v>
      </c>
      <c r="M979">
        <v>599</v>
      </c>
    </row>
    <row r="980" spans="1:13" ht="15">
      <c r="A980" t="s">
        <v>3513</v>
      </c>
      <c r="B980" s="1040" t="str">
        <f>CONCATENATE(LEFT(RIGHT(CONCATENATE("000",IFAData_TEA_1718!A980),6),3),"-",(RIGHT(RIGHT(CONCATENATE("000",IFAData_TEA_1718!A980),6),3)))</f>
        <v>082-902</v>
      </c>
      <c r="C980" t="s">
        <v>2179</v>
      </c>
      <c r="D980">
        <v>9</v>
      </c>
      <c r="E980">
        <v>1763</v>
      </c>
      <c r="F980" t="s">
        <v>4685</v>
      </c>
      <c r="G980" t="s">
        <v>8382</v>
      </c>
      <c r="H980">
        <v>183808</v>
      </c>
      <c r="I980">
        <v>75000</v>
      </c>
      <c r="J980">
        <v>0.42976987255890697</v>
      </c>
      <c r="K980">
        <v>78995.140735307607</v>
      </c>
      <c r="L980">
        <v>75000</v>
      </c>
      <c r="M980">
        <v>599</v>
      </c>
    </row>
    <row r="981" spans="1:13" ht="15">
      <c r="A981" t="s">
        <v>3514</v>
      </c>
      <c r="B981" s="1040" t="str">
        <f>CONCATENATE(LEFT(RIGHT(CONCATENATE("000",IFAData_TEA_1718!A981),6),3),"-",(RIGHT(RIGHT(CONCATENATE("000",IFAData_TEA_1718!A981),6),3)))</f>
        <v>082-903</v>
      </c>
      <c r="C981" t="s">
        <v>2592</v>
      </c>
      <c r="D981">
        <v>6</v>
      </c>
      <c r="E981">
        <v>2182</v>
      </c>
      <c r="F981" t="s">
        <v>4686</v>
      </c>
      <c r="G981" t="s">
        <v>4686</v>
      </c>
      <c r="H981">
        <v>496016</v>
      </c>
      <c r="I981">
        <v>0</v>
      </c>
      <c r="J981">
        <v>0</v>
      </c>
      <c r="K981">
        <v>0</v>
      </c>
      <c r="L981">
        <v>0</v>
      </c>
      <c r="M981">
        <v>599</v>
      </c>
    </row>
    <row r="982" spans="1:13" ht="15">
      <c r="A982" t="s">
        <v>3514</v>
      </c>
      <c r="B982" s="1040" t="str">
        <f>CONCATENATE(LEFT(RIGHT(CONCATENATE("000",IFAData_TEA_1718!A982),6),3),"-",(RIGHT(RIGHT(CONCATENATE("000",IFAData_TEA_1718!A982),6),3)))</f>
        <v>082-903</v>
      </c>
      <c r="C982" t="s">
        <v>2592</v>
      </c>
      <c r="D982">
        <v>6</v>
      </c>
      <c r="E982">
        <v>2182</v>
      </c>
      <c r="F982" t="s">
        <v>4686</v>
      </c>
      <c r="G982" t="s">
        <v>4687</v>
      </c>
      <c r="H982">
        <v>496016</v>
      </c>
      <c r="I982">
        <v>169556</v>
      </c>
      <c r="J982">
        <v>0.29144650671910399</v>
      </c>
      <c r="K982">
        <v>144562.130476783</v>
      </c>
      <c r="L982">
        <v>144562.130476783</v>
      </c>
      <c r="M982">
        <v>599</v>
      </c>
    </row>
    <row r="983" spans="1:13" ht="15">
      <c r="A983" t="s">
        <v>3514</v>
      </c>
      <c r="B983" s="1040" t="str">
        <f>CONCATENATE(LEFT(RIGHT(CONCATENATE("000",IFAData_TEA_1718!A983),6),3),"-",(RIGHT(RIGHT(CONCATENATE("000",IFAData_TEA_1718!A983),6),3)))</f>
        <v>082-903</v>
      </c>
      <c r="C983" t="s">
        <v>2592</v>
      </c>
      <c r="D983">
        <v>6</v>
      </c>
      <c r="E983">
        <v>2182</v>
      </c>
      <c r="F983" t="s">
        <v>4686</v>
      </c>
      <c r="G983" t="s">
        <v>4688</v>
      </c>
      <c r="H983">
        <v>496016</v>
      </c>
      <c r="I983">
        <v>304700</v>
      </c>
      <c r="J983">
        <v>0.52374289672621999</v>
      </c>
      <c r="K983">
        <v>259784.85666255301</v>
      </c>
      <c r="L983">
        <v>259784.85666255301</v>
      </c>
      <c r="M983">
        <v>599</v>
      </c>
    </row>
    <row r="984" spans="1:13" ht="15">
      <c r="A984" t="s">
        <v>3514</v>
      </c>
      <c r="B984" s="1040" t="str">
        <f>CONCATENATE(LEFT(RIGHT(CONCATENATE("000",IFAData_TEA_1718!A984),6),3),"-",(RIGHT(RIGHT(CONCATENATE("000",IFAData_TEA_1718!A984),6),3)))</f>
        <v>082-903</v>
      </c>
      <c r="C984" t="s">
        <v>2592</v>
      </c>
      <c r="D984">
        <v>6</v>
      </c>
      <c r="E984">
        <v>2182</v>
      </c>
      <c r="F984" t="s">
        <v>4686</v>
      </c>
      <c r="G984" t="s">
        <v>6459</v>
      </c>
      <c r="H984">
        <v>496016</v>
      </c>
      <c r="I984">
        <v>107518</v>
      </c>
      <c r="J984">
        <v>0.18481059655467599</v>
      </c>
      <c r="K984">
        <v>91669.012860664094</v>
      </c>
      <c r="L984">
        <v>91669.012860664094</v>
      </c>
      <c r="M984">
        <v>599</v>
      </c>
    </row>
    <row r="985" spans="1:13" ht="15">
      <c r="A985" t="s">
        <v>3514</v>
      </c>
      <c r="B985" s="1040" t="str">
        <f>CONCATENATE(LEFT(RIGHT(CONCATENATE("000",IFAData_TEA_1718!A985),6),3),"-",(RIGHT(RIGHT(CONCATENATE("000",IFAData_TEA_1718!A985),6),3)))</f>
        <v>082-903</v>
      </c>
      <c r="C985" t="s">
        <v>2592</v>
      </c>
      <c r="D985">
        <v>9</v>
      </c>
      <c r="E985">
        <v>2181</v>
      </c>
      <c r="F985" t="s">
        <v>4689</v>
      </c>
      <c r="G985" t="s">
        <v>4689</v>
      </c>
      <c r="H985">
        <v>285496</v>
      </c>
      <c r="I985">
        <v>0</v>
      </c>
      <c r="J985">
        <v>0</v>
      </c>
      <c r="K985">
        <v>0</v>
      </c>
      <c r="L985">
        <v>0</v>
      </c>
      <c r="M985">
        <v>599</v>
      </c>
    </row>
    <row r="986" spans="1:13" ht="15">
      <c r="A986" t="s">
        <v>3514</v>
      </c>
      <c r="B986" s="1040" t="str">
        <f>CONCATENATE(LEFT(RIGHT(CONCATENATE("000",IFAData_TEA_1718!A986),6),3),"-",(RIGHT(RIGHT(CONCATENATE("000",IFAData_TEA_1718!A986),6),3)))</f>
        <v>082-903</v>
      </c>
      <c r="C986" t="s">
        <v>2592</v>
      </c>
      <c r="D986">
        <v>9</v>
      </c>
      <c r="E986">
        <v>2181</v>
      </c>
      <c r="F986" t="s">
        <v>4689</v>
      </c>
      <c r="G986" t="s">
        <v>8383</v>
      </c>
      <c r="H986">
        <v>285496</v>
      </c>
      <c r="I986">
        <v>504750</v>
      </c>
      <c r="J986">
        <v>1</v>
      </c>
      <c r="K986">
        <v>285496</v>
      </c>
      <c r="L986">
        <v>285496</v>
      </c>
      <c r="M986">
        <v>599</v>
      </c>
    </row>
    <row r="987" spans="1:13" ht="15">
      <c r="A987" t="s">
        <v>5864</v>
      </c>
      <c r="B987" s="1040" t="str">
        <f>CONCATENATE(LEFT(RIGHT(CONCATENATE("000",IFAData_TEA_1718!A987),6),3),"-",(RIGHT(RIGHT(CONCATENATE("000",IFAData_TEA_1718!A987),6),3)))</f>
        <v>084-901</v>
      </c>
      <c r="C987" t="s">
        <v>364</v>
      </c>
      <c r="D987">
        <v>11</v>
      </c>
      <c r="E987">
        <v>2527</v>
      </c>
      <c r="F987" t="s">
        <v>8384</v>
      </c>
      <c r="G987" t="s">
        <v>8384</v>
      </c>
      <c r="H987">
        <v>2081125</v>
      </c>
      <c r="I987">
        <v>2497350</v>
      </c>
      <c r="J987">
        <v>1</v>
      </c>
      <c r="K987">
        <v>2081125</v>
      </c>
      <c r="L987">
        <v>2081125</v>
      </c>
      <c r="M987">
        <v>599</v>
      </c>
    </row>
    <row r="988" spans="1:13" ht="15">
      <c r="A988" t="s">
        <v>3515</v>
      </c>
      <c r="B988" s="1040" t="str">
        <f>CONCATENATE(LEFT(RIGHT(CONCATENATE("000",IFAData_TEA_1718!A988),6),3),"-",(RIGHT(RIGHT(CONCATENATE("000",IFAData_TEA_1718!A988),6),3)))</f>
        <v>084-909</v>
      </c>
      <c r="C988" t="s">
        <v>85</v>
      </c>
      <c r="D988">
        <v>1</v>
      </c>
      <c r="E988">
        <v>2307</v>
      </c>
      <c r="F988" t="s">
        <v>4690</v>
      </c>
      <c r="G988" t="s">
        <v>4690</v>
      </c>
      <c r="H988">
        <v>1012578</v>
      </c>
      <c r="I988">
        <v>0</v>
      </c>
      <c r="J988">
        <v>0</v>
      </c>
      <c r="K988">
        <v>0</v>
      </c>
      <c r="L988">
        <v>0</v>
      </c>
      <c r="M988">
        <v>599</v>
      </c>
    </row>
    <row r="989" spans="1:13" ht="15">
      <c r="A989" t="s">
        <v>3515</v>
      </c>
      <c r="B989" s="1040" t="str">
        <f>CONCATENATE(LEFT(RIGHT(CONCATENATE("000",IFAData_TEA_1718!A989),6),3),"-",(RIGHT(RIGHT(CONCATENATE("000",IFAData_TEA_1718!A989),6),3)))</f>
        <v>084-909</v>
      </c>
      <c r="C989" t="s">
        <v>85</v>
      </c>
      <c r="D989">
        <v>1</v>
      </c>
      <c r="E989">
        <v>2307</v>
      </c>
      <c r="F989" t="s">
        <v>4690</v>
      </c>
      <c r="G989" t="s">
        <v>4691</v>
      </c>
      <c r="H989">
        <v>1012578</v>
      </c>
      <c r="I989">
        <v>0</v>
      </c>
      <c r="J989">
        <v>0</v>
      </c>
      <c r="K989">
        <v>0</v>
      </c>
      <c r="L989">
        <v>0</v>
      </c>
      <c r="M989">
        <v>599</v>
      </c>
    </row>
    <row r="990" spans="1:13" ht="15">
      <c r="A990" t="s">
        <v>3515</v>
      </c>
      <c r="B990" s="1040" t="str">
        <f>CONCATENATE(LEFT(RIGHT(CONCATENATE("000",IFAData_TEA_1718!A990),6),3),"-",(RIGHT(RIGHT(CONCATENATE("000",IFAData_TEA_1718!A990),6),3)))</f>
        <v>084-909</v>
      </c>
      <c r="C990" t="s">
        <v>85</v>
      </c>
      <c r="D990">
        <v>1</v>
      </c>
      <c r="E990">
        <v>2307</v>
      </c>
      <c r="F990" t="s">
        <v>4690</v>
      </c>
      <c r="G990" t="s">
        <v>4692</v>
      </c>
      <c r="H990">
        <v>1012578</v>
      </c>
      <c r="I990">
        <v>266405</v>
      </c>
      <c r="J990">
        <v>1</v>
      </c>
      <c r="K990">
        <v>1012578</v>
      </c>
      <c r="L990">
        <v>266405</v>
      </c>
      <c r="M990">
        <v>599</v>
      </c>
    </row>
    <row r="991" spans="1:13" ht="15">
      <c r="A991" t="s">
        <v>3515</v>
      </c>
      <c r="B991" s="1040" t="str">
        <f>CONCATENATE(LEFT(RIGHT(CONCATENATE("000",IFAData_TEA_1718!A991),6),3),"-",(RIGHT(RIGHT(CONCATENATE("000",IFAData_TEA_1718!A991),6),3)))</f>
        <v>084-909</v>
      </c>
      <c r="C991" t="s">
        <v>85</v>
      </c>
      <c r="D991">
        <v>1</v>
      </c>
      <c r="E991">
        <v>2307</v>
      </c>
      <c r="F991" t="s">
        <v>4690</v>
      </c>
      <c r="G991" t="s">
        <v>4693</v>
      </c>
      <c r="H991">
        <v>1012578</v>
      </c>
      <c r="I991">
        <v>0</v>
      </c>
      <c r="J991">
        <v>0</v>
      </c>
      <c r="K991">
        <v>0</v>
      </c>
      <c r="L991">
        <v>0</v>
      </c>
      <c r="M991">
        <v>599</v>
      </c>
    </row>
    <row r="992" spans="1:13" ht="15">
      <c r="A992" t="s">
        <v>3515</v>
      </c>
      <c r="B992" s="1040" t="str">
        <f>CONCATENATE(LEFT(RIGHT(CONCATENATE("000",IFAData_TEA_1718!A992),6),3),"-",(RIGHT(RIGHT(CONCATENATE("000",IFAData_TEA_1718!A992),6),3)))</f>
        <v>084-909</v>
      </c>
      <c r="C992" t="s">
        <v>85</v>
      </c>
      <c r="D992">
        <v>10</v>
      </c>
      <c r="E992">
        <v>2308</v>
      </c>
      <c r="F992" t="s">
        <v>4694</v>
      </c>
      <c r="G992" t="s">
        <v>4694</v>
      </c>
      <c r="H992">
        <v>1049443</v>
      </c>
      <c r="I992">
        <v>489600</v>
      </c>
      <c r="J992">
        <v>0.38305842736364099</v>
      </c>
      <c r="K992">
        <v>401997.98518778197</v>
      </c>
      <c r="L992">
        <v>401997.98518778197</v>
      </c>
      <c r="M992">
        <v>599</v>
      </c>
    </row>
    <row r="993" spans="1:13" ht="15">
      <c r="A993" t="s">
        <v>3515</v>
      </c>
      <c r="B993" s="1040" t="str">
        <f>CONCATENATE(LEFT(RIGHT(CONCATENATE("000",IFAData_TEA_1718!A993),6),3),"-",(RIGHT(RIGHT(CONCATENATE("000",IFAData_TEA_1718!A993),6),3)))</f>
        <v>084-909</v>
      </c>
      <c r="C993" t="s">
        <v>85</v>
      </c>
      <c r="D993">
        <v>10</v>
      </c>
      <c r="E993">
        <v>2308</v>
      </c>
      <c r="F993" t="s">
        <v>4694</v>
      </c>
      <c r="G993" t="s">
        <v>6250</v>
      </c>
      <c r="H993">
        <v>1049443</v>
      </c>
      <c r="I993">
        <v>264280</v>
      </c>
      <c r="J993">
        <v>0.20677018215617499</v>
      </c>
      <c r="K993">
        <v>216993.520272522</v>
      </c>
      <c r="L993">
        <v>216993.520272522</v>
      </c>
      <c r="M993">
        <v>599</v>
      </c>
    </row>
    <row r="994" spans="1:13" ht="15">
      <c r="A994" t="s">
        <v>3515</v>
      </c>
      <c r="B994" s="1040" t="str">
        <f>CONCATENATE(LEFT(RIGHT(CONCATENATE("000",IFAData_TEA_1718!A994),6),3),"-",(RIGHT(RIGHT(CONCATENATE("000",IFAData_TEA_1718!A994),6),3)))</f>
        <v>084-909</v>
      </c>
      <c r="C994" t="s">
        <v>85</v>
      </c>
      <c r="D994">
        <v>10</v>
      </c>
      <c r="E994">
        <v>2308</v>
      </c>
      <c r="F994" t="s">
        <v>4694</v>
      </c>
      <c r="G994" t="s">
        <v>8385</v>
      </c>
      <c r="H994">
        <v>1049443</v>
      </c>
      <c r="I994">
        <v>524254</v>
      </c>
      <c r="J994">
        <v>0.41017139048018397</v>
      </c>
      <c r="K994">
        <v>430451.49453969602</v>
      </c>
      <c r="L994">
        <v>430451.49453969602</v>
      </c>
      <c r="M994">
        <v>599</v>
      </c>
    </row>
    <row r="995" spans="1:13" ht="15">
      <c r="A995" t="s">
        <v>3515</v>
      </c>
      <c r="B995" s="1040" t="str">
        <f>CONCATENATE(LEFT(RIGHT(CONCATENATE("000",IFAData_TEA_1718!A995),6),3),"-",(RIGHT(RIGHT(CONCATENATE("000",IFAData_TEA_1718!A995),6),3)))</f>
        <v>084-909</v>
      </c>
      <c r="C995" t="s">
        <v>85</v>
      </c>
      <c r="D995">
        <v>11</v>
      </c>
      <c r="E995">
        <v>2523</v>
      </c>
      <c r="F995" t="s">
        <v>8386</v>
      </c>
      <c r="G995" t="s">
        <v>8386</v>
      </c>
      <c r="H995">
        <v>235500</v>
      </c>
      <c r="I995">
        <v>29401</v>
      </c>
      <c r="J995">
        <v>0.136269675003244</v>
      </c>
      <c r="K995">
        <v>32091.508463264101</v>
      </c>
      <c r="L995">
        <v>29401</v>
      </c>
      <c r="M995">
        <v>599</v>
      </c>
    </row>
    <row r="996" spans="1:13" ht="15">
      <c r="A996" t="s">
        <v>3515</v>
      </c>
      <c r="B996" s="1040" t="str">
        <f>CONCATENATE(LEFT(RIGHT(CONCATENATE("000",IFAData_TEA_1718!A996),6),3),"-",(RIGHT(RIGHT(CONCATENATE("000",IFAData_TEA_1718!A996),6),3)))</f>
        <v>084-909</v>
      </c>
      <c r="C996" t="s">
        <v>85</v>
      </c>
      <c r="D996">
        <v>11</v>
      </c>
      <c r="E996">
        <v>2523</v>
      </c>
      <c r="F996" t="s">
        <v>8386</v>
      </c>
      <c r="G996" t="s">
        <v>8385</v>
      </c>
      <c r="H996">
        <v>235500</v>
      </c>
      <c r="I996">
        <v>186355</v>
      </c>
      <c r="J996">
        <v>0.86373032499675595</v>
      </c>
      <c r="K996">
        <v>203408.49153673599</v>
      </c>
      <c r="L996">
        <v>186355</v>
      </c>
      <c r="M996">
        <v>599</v>
      </c>
    </row>
    <row r="997" spans="1:13" ht="15">
      <c r="A997" t="s">
        <v>3516</v>
      </c>
      <c r="B997" s="1040" t="str">
        <f>CONCATENATE(LEFT(RIGHT(CONCATENATE("000",IFAData_TEA_1718!A997),6),3),"-",(RIGHT(RIGHT(CONCATENATE("000",IFAData_TEA_1718!A997),6),3)))</f>
        <v>084-911</v>
      </c>
      <c r="C997" t="s">
        <v>1476</v>
      </c>
      <c r="D997">
        <v>2</v>
      </c>
      <c r="E997">
        <v>1829</v>
      </c>
      <c r="F997" t="s">
        <v>4695</v>
      </c>
      <c r="G997" t="s">
        <v>4695</v>
      </c>
      <c r="H997">
        <v>1100400</v>
      </c>
      <c r="I997">
        <v>0</v>
      </c>
      <c r="J997">
        <v>0</v>
      </c>
      <c r="K997">
        <v>0</v>
      </c>
      <c r="L997">
        <v>0</v>
      </c>
      <c r="M997">
        <v>599</v>
      </c>
    </row>
    <row r="998" spans="1:13" ht="15">
      <c r="A998" t="s">
        <v>3516</v>
      </c>
      <c r="B998" s="1040" t="str">
        <f>CONCATENATE(LEFT(RIGHT(CONCATENATE("000",IFAData_TEA_1718!A998),6),3),"-",(RIGHT(RIGHT(CONCATENATE("000",IFAData_TEA_1718!A998),6),3)))</f>
        <v>084-911</v>
      </c>
      <c r="C998" t="s">
        <v>1476</v>
      </c>
      <c r="D998">
        <v>2</v>
      </c>
      <c r="E998">
        <v>1829</v>
      </c>
      <c r="F998" t="s">
        <v>4695</v>
      </c>
      <c r="G998" t="s">
        <v>4696</v>
      </c>
      <c r="H998">
        <v>1100400</v>
      </c>
      <c r="I998">
        <v>1266423</v>
      </c>
      <c r="J998">
        <v>1</v>
      </c>
      <c r="K998">
        <v>1100400</v>
      </c>
      <c r="L998">
        <v>1100400</v>
      </c>
      <c r="M998">
        <v>599</v>
      </c>
    </row>
    <row r="999" spans="1:13" ht="15">
      <c r="A999" t="s">
        <v>3516</v>
      </c>
      <c r="B999" s="1040" t="str">
        <f>CONCATENATE(LEFT(RIGHT(CONCATENATE("000",IFAData_TEA_1718!A999),6),3),"-",(RIGHT(RIGHT(CONCATENATE("000",IFAData_TEA_1718!A999),6),3)))</f>
        <v>084-911</v>
      </c>
      <c r="C999" t="s">
        <v>1476</v>
      </c>
      <c r="D999">
        <v>2</v>
      </c>
      <c r="E999">
        <v>1829</v>
      </c>
      <c r="F999" t="s">
        <v>4695</v>
      </c>
      <c r="G999" t="s">
        <v>4697</v>
      </c>
      <c r="H999">
        <v>1100400</v>
      </c>
      <c r="I999">
        <v>0</v>
      </c>
      <c r="J999">
        <v>0</v>
      </c>
      <c r="K999">
        <v>0</v>
      </c>
      <c r="L999">
        <v>0</v>
      </c>
      <c r="M999">
        <v>599</v>
      </c>
    </row>
    <row r="1000" spans="1:13" ht="15">
      <c r="A1000" t="s">
        <v>3517</v>
      </c>
      <c r="B1000" s="1040" t="str">
        <f>CONCATENATE(LEFT(RIGHT(CONCATENATE("000",IFAData_TEA_1718!A1000),6),3),"-",(RIGHT(RIGHT(CONCATENATE("000",IFAData_TEA_1718!A1000),6),3)))</f>
        <v>089-901</v>
      </c>
      <c r="C1000" t="s">
        <v>861</v>
      </c>
      <c r="D1000">
        <v>2</v>
      </c>
      <c r="E1000">
        <v>1850</v>
      </c>
      <c r="F1000" t="s">
        <v>4698</v>
      </c>
      <c r="G1000" t="s">
        <v>4698</v>
      </c>
      <c r="H1000">
        <v>566258</v>
      </c>
      <c r="I1000">
        <v>0</v>
      </c>
      <c r="J1000">
        <v>0</v>
      </c>
      <c r="K1000">
        <v>0</v>
      </c>
      <c r="L1000">
        <v>0</v>
      </c>
      <c r="M1000">
        <v>599</v>
      </c>
    </row>
    <row r="1001" spans="1:13" ht="15">
      <c r="A1001" t="s">
        <v>3517</v>
      </c>
      <c r="B1001" s="1040" t="str">
        <f>CONCATENATE(LEFT(RIGHT(CONCATENATE("000",IFAData_TEA_1718!A1001),6),3),"-",(RIGHT(RIGHT(CONCATENATE("000",IFAData_TEA_1718!A1001),6),3)))</f>
        <v>089-901</v>
      </c>
      <c r="C1001" t="s">
        <v>861</v>
      </c>
      <c r="D1001">
        <v>2</v>
      </c>
      <c r="E1001">
        <v>1850</v>
      </c>
      <c r="F1001" t="s">
        <v>4698</v>
      </c>
      <c r="G1001" t="s">
        <v>4699</v>
      </c>
      <c r="H1001">
        <v>566258</v>
      </c>
      <c r="I1001">
        <v>579662</v>
      </c>
      <c r="J1001">
        <v>1</v>
      </c>
      <c r="K1001">
        <v>566258</v>
      </c>
      <c r="L1001">
        <v>566258</v>
      </c>
      <c r="M1001">
        <v>599</v>
      </c>
    </row>
    <row r="1002" spans="1:13" ht="15">
      <c r="A1002" t="s">
        <v>3518</v>
      </c>
      <c r="B1002" s="1040" t="str">
        <f>CONCATENATE(LEFT(RIGHT(CONCATENATE("000",IFAData_TEA_1718!A1002),6),3),"-",(RIGHT(RIGHT(CONCATENATE("000",IFAData_TEA_1718!A1002),6),3)))</f>
        <v>090-904</v>
      </c>
      <c r="C1002" t="s">
        <v>1364</v>
      </c>
      <c r="D1002">
        <v>1</v>
      </c>
      <c r="E1002">
        <v>2172</v>
      </c>
      <c r="F1002" t="s">
        <v>4700</v>
      </c>
      <c r="G1002" t="s">
        <v>4700</v>
      </c>
      <c r="H1002">
        <v>779066</v>
      </c>
      <c r="I1002">
        <v>0</v>
      </c>
      <c r="J1002">
        <v>0</v>
      </c>
      <c r="K1002">
        <v>0</v>
      </c>
      <c r="L1002">
        <v>0</v>
      </c>
      <c r="M1002">
        <v>599</v>
      </c>
    </row>
    <row r="1003" spans="1:13" ht="15">
      <c r="A1003" t="s">
        <v>3518</v>
      </c>
      <c r="B1003" s="1040" t="str">
        <f>CONCATENATE(LEFT(RIGHT(CONCATENATE("000",IFAData_TEA_1718!A1003),6),3),"-",(RIGHT(RIGHT(CONCATENATE("000",IFAData_TEA_1718!A1003),6),3)))</f>
        <v>090-904</v>
      </c>
      <c r="C1003" t="s">
        <v>1364</v>
      </c>
      <c r="D1003">
        <v>1</v>
      </c>
      <c r="E1003">
        <v>2172</v>
      </c>
      <c r="F1003" t="s">
        <v>4700</v>
      </c>
      <c r="G1003" t="s">
        <v>4701</v>
      </c>
      <c r="H1003">
        <v>779066</v>
      </c>
      <c r="I1003">
        <v>0</v>
      </c>
      <c r="J1003">
        <v>0</v>
      </c>
      <c r="K1003">
        <v>0</v>
      </c>
      <c r="L1003">
        <v>0</v>
      </c>
      <c r="M1003">
        <v>599</v>
      </c>
    </row>
    <row r="1004" spans="1:13" ht="15">
      <c r="A1004" t="s">
        <v>3518</v>
      </c>
      <c r="B1004" s="1040" t="str">
        <f>CONCATENATE(LEFT(RIGHT(CONCATENATE("000",IFAData_TEA_1718!A1004),6),3),"-",(RIGHT(RIGHT(CONCATENATE("000",IFAData_TEA_1718!A1004),6),3)))</f>
        <v>090-904</v>
      </c>
      <c r="C1004" t="s">
        <v>1364</v>
      </c>
      <c r="D1004">
        <v>1</v>
      </c>
      <c r="E1004">
        <v>2172</v>
      </c>
      <c r="F1004" t="s">
        <v>4700</v>
      </c>
      <c r="G1004" t="s">
        <v>4702</v>
      </c>
      <c r="H1004">
        <v>779066</v>
      </c>
      <c r="I1004">
        <v>530150</v>
      </c>
      <c r="J1004">
        <v>1</v>
      </c>
      <c r="K1004">
        <v>779066</v>
      </c>
      <c r="L1004">
        <v>530150</v>
      </c>
      <c r="M1004">
        <v>599</v>
      </c>
    </row>
    <row r="1005" spans="1:13" ht="15">
      <c r="A1005" t="s">
        <v>3519</v>
      </c>
      <c r="B1005" s="1040" t="str">
        <f>CONCATENATE(LEFT(RIGHT(CONCATENATE("000",IFAData_TEA_1718!A1005),6),3),"-",(RIGHT(RIGHT(CONCATENATE("000",IFAData_TEA_1718!A1005),6),3)))</f>
        <v>091-901</v>
      </c>
      <c r="C1005" t="s">
        <v>1560</v>
      </c>
      <c r="D1005">
        <v>2</v>
      </c>
      <c r="E1005">
        <v>1601</v>
      </c>
      <c r="F1005" t="s">
        <v>4703</v>
      </c>
      <c r="G1005" t="s">
        <v>4703</v>
      </c>
      <c r="H1005">
        <v>85000</v>
      </c>
      <c r="I1005">
        <v>0</v>
      </c>
      <c r="J1005">
        <v>0</v>
      </c>
      <c r="K1005">
        <v>0</v>
      </c>
      <c r="L1005">
        <v>0</v>
      </c>
      <c r="M1005">
        <v>599</v>
      </c>
    </row>
    <row r="1006" spans="1:13" ht="15">
      <c r="A1006" t="s">
        <v>3519</v>
      </c>
      <c r="B1006" s="1040" t="str">
        <f>CONCATENATE(LEFT(RIGHT(CONCATENATE("000",IFAData_TEA_1718!A1006),6),3),"-",(RIGHT(RIGHT(CONCATENATE("000",IFAData_TEA_1718!A1006),6),3)))</f>
        <v>091-901</v>
      </c>
      <c r="C1006" t="s">
        <v>1560</v>
      </c>
      <c r="D1006">
        <v>2</v>
      </c>
      <c r="E1006">
        <v>1601</v>
      </c>
      <c r="F1006" t="s">
        <v>4703</v>
      </c>
      <c r="G1006" t="s">
        <v>4704</v>
      </c>
      <c r="H1006">
        <v>85000</v>
      </c>
      <c r="I1006">
        <v>104361</v>
      </c>
      <c r="J1006">
        <v>0.50989637027229096</v>
      </c>
      <c r="K1006">
        <v>43341.191473144703</v>
      </c>
      <c r="L1006">
        <v>43341.191473144703</v>
      </c>
      <c r="M1006">
        <v>599</v>
      </c>
    </row>
    <row r="1007" spans="1:13" ht="15">
      <c r="A1007" t="s">
        <v>3519</v>
      </c>
      <c r="B1007" s="1040" t="str">
        <f>CONCATENATE(LEFT(RIGHT(CONCATENATE("000",IFAData_TEA_1718!A1007),6),3),"-",(RIGHT(RIGHT(CONCATENATE("000",IFAData_TEA_1718!A1007),6),3)))</f>
        <v>091-901</v>
      </c>
      <c r="C1007" t="s">
        <v>1560</v>
      </c>
      <c r="D1007">
        <v>2</v>
      </c>
      <c r="E1007">
        <v>1601</v>
      </c>
      <c r="F1007" t="s">
        <v>4703</v>
      </c>
      <c r="G1007" t="s">
        <v>4705</v>
      </c>
      <c r="H1007">
        <v>85000</v>
      </c>
      <c r="I1007">
        <v>0</v>
      </c>
      <c r="J1007">
        <v>0</v>
      </c>
      <c r="K1007">
        <v>0</v>
      </c>
      <c r="L1007">
        <v>0</v>
      </c>
      <c r="M1007">
        <v>599</v>
      </c>
    </row>
    <row r="1008" spans="1:13" ht="15">
      <c r="A1008" t="s">
        <v>3519</v>
      </c>
      <c r="B1008" s="1040" t="str">
        <f>CONCATENATE(LEFT(RIGHT(CONCATENATE("000",IFAData_TEA_1718!A1008),6),3),"-",(RIGHT(RIGHT(CONCATENATE("000",IFAData_TEA_1718!A1008),6),3)))</f>
        <v>091-901</v>
      </c>
      <c r="C1008" t="s">
        <v>1560</v>
      </c>
      <c r="D1008">
        <v>2</v>
      </c>
      <c r="E1008">
        <v>1601</v>
      </c>
      <c r="F1008" t="s">
        <v>4703</v>
      </c>
      <c r="G1008" t="s">
        <v>8387</v>
      </c>
      <c r="H1008">
        <v>85000</v>
      </c>
      <c r="I1008">
        <v>100310</v>
      </c>
      <c r="J1008">
        <v>0.49010362972770899</v>
      </c>
      <c r="K1008">
        <v>41658.808526855297</v>
      </c>
      <c r="L1008">
        <v>41658.808526855297</v>
      </c>
      <c r="M1008">
        <v>599</v>
      </c>
    </row>
    <row r="1009" spans="1:13" ht="15">
      <c r="A1009" t="s">
        <v>3519</v>
      </c>
      <c r="B1009" s="1040" t="str">
        <f>CONCATENATE(LEFT(RIGHT(CONCATENATE("000",IFAData_TEA_1718!A1009),6),3),"-",(RIGHT(RIGHT(CONCATENATE("000",IFAData_TEA_1718!A1009),6),3)))</f>
        <v>091-901</v>
      </c>
      <c r="C1009" t="s">
        <v>1560</v>
      </c>
      <c r="D1009">
        <v>3</v>
      </c>
      <c r="E1009">
        <v>1600</v>
      </c>
      <c r="F1009" t="s">
        <v>4706</v>
      </c>
      <c r="G1009" t="s">
        <v>4706</v>
      </c>
      <c r="H1009">
        <v>51750</v>
      </c>
      <c r="I1009">
        <v>0</v>
      </c>
      <c r="J1009">
        <v>0</v>
      </c>
      <c r="K1009">
        <v>0</v>
      </c>
      <c r="L1009">
        <v>0</v>
      </c>
      <c r="M1009">
        <v>599</v>
      </c>
    </row>
    <row r="1010" spans="1:13" ht="15">
      <c r="A1010" t="s">
        <v>3519</v>
      </c>
      <c r="B1010" s="1040" t="str">
        <f>CONCATENATE(LEFT(RIGHT(CONCATENATE("000",IFAData_TEA_1718!A1010),6),3),"-",(RIGHT(RIGHT(CONCATENATE("000",IFAData_TEA_1718!A1010),6),3)))</f>
        <v>091-901</v>
      </c>
      <c r="C1010" t="s">
        <v>1560</v>
      </c>
      <c r="D1010">
        <v>3</v>
      </c>
      <c r="E1010">
        <v>1600</v>
      </c>
      <c r="F1010" t="s">
        <v>4706</v>
      </c>
      <c r="G1010" t="s">
        <v>4705</v>
      </c>
      <c r="H1010">
        <v>51750</v>
      </c>
      <c r="I1010">
        <v>44813</v>
      </c>
      <c r="J1010">
        <v>1</v>
      </c>
      <c r="K1010">
        <v>51750</v>
      </c>
      <c r="L1010">
        <v>44813</v>
      </c>
      <c r="M1010">
        <v>599</v>
      </c>
    </row>
    <row r="1011" spans="1:13" ht="15">
      <c r="A1011" t="s">
        <v>3519</v>
      </c>
      <c r="B1011" s="1040" t="str">
        <f>CONCATENATE(LEFT(RIGHT(CONCATENATE("000",IFAData_TEA_1718!A1011),6),3),"-",(RIGHT(RIGHT(CONCATENATE("000",IFAData_TEA_1718!A1011),6),3)))</f>
        <v>091-901</v>
      </c>
      <c r="C1011" t="s">
        <v>1560</v>
      </c>
      <c r="D1011">
        <v>9</v>
      </c>
      <c r="E1011">
        <v>1602</v>
      </c>
      <c r="F1011" t="s">
        <v>4704</v>
      </c>
      <c r="G1011" t="s">
        <v>4704</v>
      </c>
      <c r="H1011">
        <v>180464</v>
      </c>
      <c r="I1011">
        <v>180983</v>
      </c>
      <c r="J1011">
        <v>0.50989457432481899</v>
      </c>
      <c r="K1011">
        <v>92017.614460954195</v>
      </c>
      <c r="L1011">
        <v>92017.614460954195</v>
      </c>
      <c r="M1011">
        <v>599</v>
      </c>
    </row>
    <row r="1012" spans="1:13" ht="15">
      <c r="A1012" t="s">
        <v>3519</v>
      </c>
      <c r="B1012" s="1040" t="str">
        <f>CONCATENATE(LEFT(RIGHT(CONCATENATE("000",IFAData_TEA_1718!A1012),6),3),"-",(RIGHT(RIGHT(CONCATENATE("000",IFAData_TEA_1718!A1012),6),3)))</f>
        <v>091-901</v>
      </c>
      <c r="C1012" t="s">
        <v>1560</v>
      </c>
      <c r="D1012">
        <v>9</v>
      </c>
      <c r="E1012">
        <v>1602</v>
      </c>
      <c r="F1012" t="s">
        <v>4704</v>
      </c>
      <c r="G1012" t="s">
        <v>8387</v>
      </c>
      <c r="H1012">
        <v>180464</v>
      </c>
      <c r="I1012">
        <v>173959</v>
      </c>
      <c r="J1012">
        <v>0.49010542567518101</v>
      </c>
      <c r="K1012">
        <v>88446.385539045805</v>
      </c>
      <c r="L1012">
        <v>88446.385539045805</v>
      </c>
      <c r="M1012">
        <v>599</v>
      </c>
    </row>
    <row r="1013" spans="1:13" ht="15">
      <c r="A1013" t="s">
        <v>4707</v>
      </c>
      <c r="B1013" s="1040" t="str">
        <f>CONCATENATE(LEFT(RIGHT(CONCATENATE("000",IFAData_TEA_1718!A1013),6),3),"-",(RIGHT(RIGHT(CONCATENATE("000",IFAData_TEA_1718!A1013),6),3)))</f>
        <v>091-902</v>
      </c>
      <c r="C1013" t="s">
        <v>1445</v>
      </c>
      <c r="D1013">
        <v>9</v>
      </c>
      <c r="E1013">
        <v>1706</v>
      </c>
      <c r="F1013" t="s">
        <v>4708</v>
      </c>
      <c r="G1013" t="s">
        <v>4708</v>
      </c>
      <c r="H1013">
        <v>147510</v>
      </c>
      <c r="I1013">
        <v>0</v>
      </c>
      <c r="J1013">
        <v>0</v>
      </c>
      <c r="K1013"/>
      <c r="L1013">
        <v>0</v>
      </c>
      <c r="M1013">
        <v>199</v>
      </c>
    </row>
    <row r="1014" spans="1:13" ht="15">
      <c r="A1014" t="s">
        <v>4707</v>
      </c>
      <c r="B1014" s="1040" t="str">
        <f>CONCATENATE(LEFT(RIGHT(CONCATENATE("000",IFAData_TEA_1718!A1014),6),3),"-",(RIGHT(RIGHT(CONCATENATE("000",IFAData_TEA_1718!A1014),6),3)))</f>
        <v>091-902</v>
      </c>
      <c r="C1014" t="s">
        <v>1445</v>
      </c>
      <c r="D1014">
        <v>11</v>
      </c>
      <c r="E1014">
        <v>2529</v>
      </c>
      <c r="F1014" t="s">
        <v>8388</v>
      </c>
      <c r="G1014" t="s">
        <v>8388</v>
      </c>
      <c r="H1014">
        <v>126123</v>
      </c>
      <c r="I1014">
        <v>300493</v>
      </c>
      <c r="J1014">
        <v>1</v>
      </c>
      <c r="K1014">
        <v>126123</v>
      </c>
      <c r="L1014">
        <v>126123</v>
      </c>
      <c r="M1014">
        <v>599</v>
      </c>
    </row>
    <row r="1015" spans="1:13" ht="15">
      <c r="A1015" t="s">
        <v>3520</v>
      </c>
      <c r="B1015" s="1040" t="str">
        <f>CONCATENATE(LEFT(RIGHT(CONCATENATE("000",IFAData_TEA_1718!A1015),6),3),"-",(RIGHT(RIGHT(CONCATENATE("000",IFAData_TEA_1718!A1015),6),3)))</f>
        <v>091-905</v>
      </c>
      <c r="C1015" t="s">
        <v>2380</v>
      </c>
      <c r="D1015">
        <v>5</v>
      </c>
      <c r="E1015">
        <v>1904</v>
      </c>
      <c r="F1015" t="s">
        <v>4709</v>
      </c>
      <c r="G1015" t="s">
        <v>4709</v>
      </c>
      <c r="H1015">
        <v>308470</v>
      </c>
      <c r="I1015">
        <v>0</v>
      </c>
      <c r="J1015">
        <v>0</v>
      </c>
      <c r="K1015">
        <v>0</v>
      </c>
      <c r="L1015">
        <v>0</v>
      </c>
      <c r="M1015">
        <v>599</v>
      </c>
    </row>
    <row r="1016" spans="1:13" ht="15">
      <c r="A1016" t="s">
        <v>3520</v>
      </c>
      <c r="B1016" s="1040" t="str">
        <f>CONCATENATE(LEFT(RIGHT(CONCATENATE("000",IFAData_TEA_1718!A1016),6),3),"-",(RIGHT(RIGHT(CONCATENATE("000",IFAData_TEA_1718!A1016),6),3)))</f>
        <v>091-905</v>
      </c>
      <c r="C1016" t="s">
        <v>2380</v>
      </c>
      <c r="D1016">
        <v>5</v>
      </c>
      <c r="E1016">
        <v>1904</v>
      </c>
      <c r="F1016" t="s">
        <v>4709</v>
      </c>
      <c r="G1016" t="s">
        <v>4710</v>
      </c>
      <c r="H1016">
        <v>308470</v>
      </c>
      <c r="I1016">
        <v>0</v>
      </c>
      <c r="J1016">
        <v>0</v>
      </c>
      <c r="K1016">
        <v>0</v>
      </c>
      <c r="L1016">
        <v>0</v>
      </c>
      <c r="M1016">
        <v>599</v>
      </c>
    </row>
    <row r="1017" spans="1:13" ht="15">
      <c r="A1017" t="s">
        <v>3520</v>
      </c>
      <c r="B1017" s="1040" t="str">
        <f>CONCATENATE(LEFT(RIGHT(CONCATENATE("000",IFAData_TEA_1718!A1017),6),3),"-",(RIGHT(RIGHT(CONCATENATE("000",IFAData_TEA_1718!A1017),6),3)))</f>
        <v>091-905</v>
      </c>
      <c r="C1017" t="s">
        <v>2380</v>
      </c>
      <c r="D1017">
        <v>5</v>
      </c>
      <c r="E1017">
        <v>1904</v>
      </c>
      <c r="F1017" t="s">
        <v>4709</v>
      </c>
      <c r="G1017" t="s">
        <v>4711</v>
      </c>
      <c r="H1017">
        <v>308470</v>
      </c>
      <c r="I1017">
        <v>31406</v>
      </c>
      <c r="J1017">
        <v>6.2961470531040703E-2</v>
      </c>
      <c r="K1017">
        <v>19421.724814710102</v>
      </c>
      <c r="L1017">
        <v>19421.724814710102</v>
      </c>
      <c r="M1017">
        <v>599</v>
      </c>
    </row>
    <row r="1018" spans="1:13" ht="15">
      <c r="A1018" t="s">
        <v>3520</v>
      </c>
      <c r="B1018" s="1040" t="str">
        <f>CONCATENATE(LEFT(RIGHT(CONCATENATE("000",IFAData_TEA_1718!A1018),6),3),"-",(RIGHT(RIGHT(CONCATENATE("000",IFAData_TEA_1718!A1018),6),3)))</f>
        <v>091-905</v>
      </c>
      <c r="C1018" t="s">
        <v>2380</v>
      </c>
      <c r="D1018">
        <v>5</v>
      </c>
      <c r="E1018">
        <v>1904</v>
      </c>
      <c r="F1018" t="s">
        <v>4709</v>
      </c>
      <c r="G1018" t="s">
        <v>6460</v>
      </c>
      <c r="H1018">
        <v>308470</v>
      </c>
      <c r="I1018">
        <v>467407</v>
      </c>
      <c r="J1018">
        <v>0.93703852946895905</v>
      </c>
      <c r="K1018">
        <v>289048.27518529003</v>
      </c>
      <c r="L1018">
        <v>289048.27518529003</v>
      </c>
      <c r="M1018">
        <v>599</v>
      </c>
    </row>
    <row r="1019" spans="1:13" ht="15">
      <c r="A1019" t="s">
        <v>3520</v>
      </c>
      <c r="B1019" s="1040" t="str">
        <f>CONCATENATE(LEFT(RIGHT(CONCATENATE("000",IFAData_TEA_1718!A1019),6),3),"-",(RIGHT(RIGHT(CONCATENATE("000",IFAData_TEA_1718!A1019),6),3)))</f>
        <v>091-905</v>
      </c>
      <c r="C1019" t="s">
        <v>2380</v>
      </c>
      <c r="D1019">
        <v>5</v>
      </c>
      <c r="E1019">
        <v>1903</v>
      </c>
      <c r="F1019" t="s">
        <v>4712</v>
      </c>
      <c r="G1019" t="s">
        <v>4712</v>
      </c>
      <c r="H1019">
        <v>153973</v>
      </c>
      <c r="I1019">
        <v>152757</v>
      </c>
      <c r="J1019">
        <v>1</v>
      </c>
      <c r="K1019">
        <v>153973</v>
      </c>
      <c r="L1019">
        <v>152757</v>
      </c>
      <c r="M1019">
        <v>599</v>
      </c>
    </row>
    <row r="1020" spans="1:13" ht="15">
      <c r="A1020" t="s">
        <v>3521</v>
      </c>
      <c r="B1020" s="1040" t="str">
        <f>CONCATENATE(LEFT(RIGHT(CONCATENATE("000",IFAData_TEA_1718!A1020),6),3),"-",(RIGHT(RIGHT(CONCATENATE("000",IFAData_TEA_1718!A1020),6),3)))</f>
        <v>091-906</v>
      </c>
      <c r="C1020" t="s">
        <v>1648</v>
      </c>
      <c r="D1020">
        <v>9</v>
      </c>
      <c r="E1020">
        <v>2331</v>
      </c>
      <c r="F1020" t="s">
        <v>4713</v>
      </c>
      <c r="G1020" t="s">
        <v>4713</v>
      </c>
      <c r="H1020">
        <v>1512500</v>
      </c>
      <c r="I1020">
        <v>957174</v>
      </c>
      <c r="J1020">
        <v>0.268955605103327</v>
      </c>
      <c r="K1020">
        <v>406795.35271878197</v>
      </c>
      <c r="L1020">
        <v>406795.35271878197</v>
      </c>
      <c r="M1020">
        <v>599</v>
      </c>
    </row>
    <row r="1021" spans="1:13" ht="15">
      <c r="A1021" t="s">
        <v>3521</v>
      </c>
      <c r="B1021" s="1040" t="str">
        <f>CONCATENATE(LEFT(RIGHT(CONCATENATE("000",IFAData_TEA_1718!A1021),6),3),"-",(RIGHT(RIGHT(CONCATENATE("000",IFAData_TEA_1718!A1021),6),3)))</f>
        <v>091-906</v>
      </c>
      <c r="C1021" t="s">
        <v>1648</v>
      </c>
      <c r="D1021">
        <v>9</v>
      </c>
      <c r="E1021">
        <v>2331</v>
      </c>
      <c r="F1021" t="s">
        <v>4713</v>
      </c>
      <c r="G1021" t="s">
        <v>4714</v>
      </c>
      <c r="H1021">
        <v>1512500</v>
      </c>
      <c r="I1021">
        <v>156321</v>
      </c>
      <c r="J1021">
        <v>4.39245206674619E-2</v>
      </c>
      <c r="K1021">
        <v>66435.837509536097</v>
      </c>
      <c r="L1021">
        <v>66435.837509536097</v>
      </c>
      <c r="M1021">
        <v>599</v>
      </c>
    </row>
    <row r="1022" spans="1:13" ht="15">
      <c r="A1022" t="s">
        <v>3521</v>
      </c>
      <c r="B1022" s="1040" t="str">
        <f>CONCATENATE(LEFT(RIGHT(CONCATENATE("000",IFAData_TEA_1718!A1022),6),3),"-",(RIGHT(RIGHT(CONCATENATE("000",IFAData_TEA_1718!A1022),6),3)))</f>
        <v>091-906</v>
      </c>
      <c r="C1022" t="s">
        <v>1648</v>
      </c>
      <c r="D1022">
        <v>9</v>
      </c>
      <c r="E1022">
        <v>2331</v>
      </c>
      <c r="F1022" t="s">
        <v>4713</v>
      </c>
      <c r="G1022" t="s">
        <v>4715</v>
      </c>
      <c r="H1022">
        <v>1512500</v>
      </c>
      <c r="I1022">
        <v>1876696</v>
      </c>
      <c r="J1022">
        <v>0.52733140293718095</v>
      </c>
      <c r="K1022">
        <v>797588.74694248603</v>
      </c>
      <c r="L1022">
        <v>797588.74694248603</v>
      </c>
      <c r="M1022">
        <v>599</v>
      </c>
    </row>
    <row r="1023" spans="1:13" ht="15">
      <c r="A1023" t="s">
        <v>3521</v>
      </c>
      <c r="B1023" s="1040" t="str">
        <f>CONCATENATE(LEFT(RIGHT(CONCATENATE("000",IFAData_TEA_1718!A1023),6),3),"-",(RIGHT(RIGHT(CONCATENATE("000",IFAData_TEA_1718!A1023),6),3)))</f>
        <v>091-906</v>
      </c>
      <c r="C1023" t="s">
        <v>1648</v>
      </c>
      <c r="D1023">
        <v>9</v>
      </c>
      <c r="E1023">
        <v>2331</v>
      </c>
      <c r="F1023" t="s">
        <v>4713</v>
      </c>
      <c r="G1023" t="s">
        <v>6461</v>
      </c>
      <c r="H1023">
        <v>1512500</v>
      </c>
      <c r="I1023">
        <v>568664</v>
      </c>
      <c r="J1023">
        <v>0.159788471292031</v>
      </c>
      <c r="K1023">
        <v>241680.06282919599</v>
      </c>
      <c r="L1023">
        <v>241680.06282919599</v>
      </c>
      <c r="M1023">
        <v>599</v>
      </c>
    </row>
    <row r="1024" spans="1:13" ht="15">
      <c r="A1024" t="s">
        <v>5880</v>
      </c>
      <c r="B1024" s="1040" t="str">
        <f>CONCATENATE(LEFT(RIGHT(CONCATENATE("000",IFAData_TEA_1718!A1024),6),3),"-",(RIGHT(RIGHT(CONCATENATE("000",IFAData_TEA_1718!A1024),6),3)))</f>
        <v>091-907</v>
      </c>
      <c r="C1024" t="s">
        <v>1649</v>
      </c>
      <c r="D1024">
        <v>11</v>
      </c>
      <c r="E1024">
        <v>2561</v>
      </c>
      <c r="F1024" t="s">
        <v>8389</v>
      </c>
      <c r="G1024" t="s">
        <v>8389</v>
      </c>
      <c r="H1024">
        <v>93975</v>
      </c>
      <c r="I1024">
        <v>87875</v>
      </c>
      <c r="J1024">
        <v>1</v>
      </c>
      <c r="K1024">
        <v>93975</v>
      </c>
      <c r="L1024">
        <v>87875</v>
      </c>
      <c r="M1024">
        <v>599</v>
      </c>
    </row>
    <row r="1025" spans="1:13" ht="15">
      <c r="A1025" t="s">
        <v>3522</v>
      </c>
      <c r="B1025" s="1040" t="str">
        <f>CONCATENATE(LEFT(RIGHT(CONCATENATE("000",IFAData_TEA_1718!A1025),6),3),"-",(RIGHT(RIGHT(CONCATENATE("000",IFAData_TEA_1718!A1025),6),3)))</f>
        <v>091-908</v>
      </c>
      <c r="C1025" t="s">
        <v>2365</v>
      </c>
      <c r="D1025">
        <v>5</v>
      </c>
      <c r="E1025">
        <v>2420</v>
      </c>
      <c r="F1025" t="s">
        <v>4716</v>
      </c>
      <c r="G1025" t="s">
        <v>4716</v>
      </c>
      <c r="H1025">
        <v>304630</v>
      </c>
      <c r="I1025">
        <v>0</v>
      </c>
      <c r="J1025">
        <v>0</v>
      </c>
      <c r="K1025">
        <v>0</v>
      </c>
      <c r="L1025">
        <v>0</v>
      </c>
      <c r="M1025">
        <v>599</v>
      </c>
    </row>
    <row r="1026" spans="1:13" ht="15">
      <c r="A1026" t="s">
        <v>3522</v>
      </c>
      <c r="B1026" s="1040" t="str">
        <f>CONCATENATE(LEFT(RIGHT(CONCATENATE("000",IFAData_TEA_1718!A1026),6),3),"-",(RIGHT(RIGHT(CONCATENATE("000",IFAData_TEA_1718!A1026),6),3)))</f>
        <v>091-908</v>
      </c>
      <c r="C1026" t="s">
        <v>2365</v>
      </c>
      <c r="D1026">
        <v>5</v>
      </c>
      <c r="E1026">
        <v>2420</v>
      </c>
      <c r="F1026" t="s">
        <v>4716</v>
      </c>
      <c r="G1026" t="s">
        <v>4717</v>
      </c>
      <c r="H1026">
        <v>304630</v>
      </c>
      <c r="I1026">
        <v>424691</v>
      </c>
      <c r="J1026">
        <v>1</v>
      </c>
      <c r="K1026">
        <v>304630</v>
      </c>
      <c r="L1026">
        <v>304630</v>
      </c>
      <c r="M1026">
        <v>599</v>
      </c>
    </row>
    <row r="1027" spans="1:13" ht="15">
      <c r="A1027" t="s">
        <v>3522</v>
      </c>
      <c r="B1027" s="1040" t="str">
        <f>CONCATENATE(LEFT(RIGHT(CONCATENATE("000",IFAData_TEA_1718!A1027),6),3),"-",(RIGHT(RIGHT(CONCATENATE("000",IFAData_TEA_1718!A1027),6),3)))</f>
        <v>091-908</v>
      </c>
      <c r="C1027" t="s">
        <v>2365</v>
      </c>
      <c r="D1027">
        <v>6</v>
      </c>
      <c r="E1027">
        <v>2418</v>
      </c>
      <c r="F1027" t="s">
        <v>4718</v>
      </c>
      <c r="G1027" t="s">
        <v>4718</v>
      </c>
      <c r="H1027">
        <v>15230</v>
      </c>
      <c r="I1027">
        <v>0</v>
      </c>
      <c r="J1027">
        <v>0</v>
      </c>
      <c r="K1027">
        <v>0</v>
      </c>
      <c r="L1027">
        <v>0</v>
      </c>
      <c r="M1027">
        <v>599</v>
      </c>
    </row>
    <row r="1028" spans="1:13" ht="15">
      <c r="A1028" t="s">
        <v>3522</v>
      </c>
      <c r="B1028" s="1040" t="str">
        <f>CONCATENATE(LEFT(RIGHT(CONCATENATE("000",IFAData_TEA_1718!A1028),6),3),"-",(RIGHT(RIGHT(CONCATENATE("000",IFAData_TEA_1718!A1028),6),3)))</f>
        <v>091-908</v>
      </c>
      <c r="C1028" t="s">
        <v>2365</v>
      </c>
      <c r="D1028">
        <v>6</v>
      </c>
      <c r="E1028">
        <v>2418</v>
      </c>
      <c r="F1028" t="s">
        <v>4718</v>
      </c>
      <c r="G1028" t="s">
        <v>4719</v>
      </c>
      <c r="H1028">
        <v>15230</v>
      </c>
      <c r="I1028">
        <v>280950</v>
      </c>
      <c r="J1028">
        <v>1</v>
      </c>
      <c r="K1028">
        <v>15230</v>
      </c>
      <c r="L1028">
        <v>15230</v>
      </c>
      <c r="M1028">
        <v>599</v>
      </c>
    </row>
    <row r="1029" spans="1:13" ht="15">
      <c r="A1029" t="s">
        <v>3522</v>
      </c>
      <c r="B1029" s="1040" t="str">
        <f>CONCATENATE(LEFT(RIGHT(CONCATENATE("000",IFAData_TEA_1718!A1029),6),3),"-",(RIGHT(RIGHT(CONCATENATE("000",IFAData_TEA_1718!A1029),6),3)))</f>
        <v>091-908</v>
      </c>
      <c r="C1029" t="s">
        <v>2365</v>
      </c>
      <c r="D1029">
        <v>9</v>
      </c>
      <c r="E1029">
        <v>2419</v>
      </c>
      <c r="F1029" t="s">
        <v>4720</v>
      </c>
      <c r="G1029" t="s">
        <v>4720</v>
      </c>
      <c r="H1029">
        <v>292584</v>
      </c>
      <c r="I1029">
        <v>399630</v>
      </c>
      <c r="J1029">
        <v>1</v>
      </c>
      <c r="K1029">
        <v>292584</v>
      </c>
      <c r="L1029">
        <v>292584</v>
      </c>
      <c r="M1029">
        <v>599</v>
      </c>
    </row>
    <row r="1030" spans="1:13" ht="15">
      <c r="A1030" t="s">
        <v>3523</v>
      </c>
      <c r="B1030" s="1040" t="str">
        <f>CONCATENATE(LEFT(RIGHT(CONCATENATE("000",IFAData_TEA_1718!A1030),6),3),"-",(RIGHT(RIGHT(CONCATENATE("000",IFAData_TEA_1718!A1030),6),3)))</f>
        <v>091-909</v>
      </c>
      <c r="C1030" t="s">
        <v>1335</v>
      </c>
      <c r="D1030">
        <v>5</v>
      </c>
      <c r="E1030">
        <v>2452</v>
      </c>
      <c r="F1030" t="s">
        <v>4721</v>
      </c>
      <c r="G1030" t="s">
        <v>4721</v>
      </c>
      <c r="H1030">
        <v>323783</v>
      </c>
      <c r="I1030">
        <v>0</v>
      </c>
      <c r="J1030">
        <v>0</v>
      </c>
      <c r="K1030">
        <v>0</v>
      </c>
      <c r="L1030">
        <v>0</v>
      </c>
      <c r="M1030">
        <v>599</v>
      </c>
    </row>
    <row r="1031" spans="1:13" ht="15">
      <c r="A1031" t="s">
        <v>3523</v>
      </c>
      <c r="B1031" s="1040" t="str">
        <f>CONCATENATE(LEFT(RIGHT(CONCATENATE("000",IFAData_TEA_1718!A1031),6),3),"-",(RIGHT(RIGHT(CONCATENATE("000",IFAData_TEA_1718!A1031),6),3)))</f>
        <v>091-909</v>
      </c>
      <c r="C1031" t="s">
        <v>1335</v>
      </c>
      <c r="D1031">
        <v>5</v>
      </c>
      <c r="E1031">
        <v>2452</v>
      </c>
      <c r="F1031" t="s">
        <v>4721</v>
      </c>
      <c r="G1031" t="s">
        <v>4722</v>
      </c>
      <c r="H1031">
        <v>323783</v>
      </c>
      <c r="I1031">
        <v>340440</v>
      </c>
      <c r="J1031">
        <v>1</v>
      </c>
      <c r="K1031">
        <v>323783</v>
      </c>
      <c r="L1031">
        <v>323783</v>
      </c>
      <c r="M1031">
        <v>599</v>
      </c>
    </row>
    <row r="1032" spans="1:13" ht="15">
      <c r="A1032" t="s">
        <v>3524</v>
      </c>
      <c r="B1032" s="1040" t="str">
        <f>CONCATENATE(LEFT(RIGHT(CONCATENATE("000",IFAData_TEA_1718!A1032),6),3),"-",(RIGHT(RIGHT(CONCATENATE("000",IFAData_TEA_1718!A1032),6),3)))</f>
        <v>091-913</v>
      </c>
      <c r="C1032" t="s">
        <v>2100</v>
      </c>
      <c r="D1032">
        <v>2</v>
      </c>
      <c r="E1032">
        <v>2207</v>
      </c>
      <c r="F1032" t="s">
        <v>4723</v>
      </c>
      <c r="G1032" t="s">
        <v>4723</v>
      </c>
      <c r="H1032">
        <v>315852</v>
      </c>
      <c r="I1032">
        <v>0</v>
      </c>
      <c r="J1032">
        <v>0</v>
      </c>
      <c r="K1032">
        <v>0</v>
      </c>
      <c r="L1032">
        <v>0</v>
      </c>
      <c r="M1032">
        <v>599</v>
      </c>
    </row>
    <row r="1033" spans="1:13" ht="15">
      <c r="A1033" t="s">
        <v>3524</v>
      </c>
      <c r="B1033" s="1040" t="str">
        <f>CONCATENATE(LEFT(RIGHT(CONCATENATE("000",IFAData_TEA_1718!A1033),6),3),"-",(RIGHT(RIGHT(CONCATENATE("000",IFAData_TEA_1718!A1033),6),3)))</f>
        <v>091-913</v>
      </c>
      <c r="C1033" t="s">
        <v>2100</v>
      </c>
      <c r="D1033">
        <v>2</v>
      </c>
      <c r="E1033">
        <v>2207</v>
      </c>
      <c r="F1033" t="s">
        <v>4723</v>
      </c>
      <c r="G1033" t="s">
        <v>4724</v>
      </c>
      <c r="H1033">
        <v>315852</v>
      </c>
      <c r="I1033">
        <v>0</v>
      </c>
      <c r="J1033">
        <v>0</v>
      </c>
      <c r="K1033">
        <v>0</v>
      </c>
      <c r="L1033">
        <v>0</v>
      </c>
      <c r="M1033">
        <v>599</v>
      </c>
    </row>
    <row r="1034" spans="1:13" ht="15">
      <c r="A1034" t="s">
        <v>3524</v>
      </c>
      <c r="B1034" s="1040" t="str">
        <f>CONCATENATE(LEFT(RIGHT(CONCATENATE("000",IFAData_TEA_1718!A1034),6),3),"-",(RIGHT(RIGHT(CONCATENATE("000",IFAData_TEA_1718!A1034),6),3)))</f>
        <v>091-913</v>
      </c>
      <c r="C1034" t="s">
        <v>2100</v>
      </c>
      <c r="D1034">
        <v>2</v>
      </c>
      <c r="E1034">
        <v>2207</v>
      </c>
      <c r="F1034" t="s">
        <v>4723</v>
      </c>
      <c r="G1034" t="s">
        <v>6251</v>
      </c>
      <c r="H1034">
        <v>315852</v>
      </c>
      <c r="I1034">
        <v>667102</v>
      </c>
      <c r="J1034">
        <v>1</v>
      </c>
      <c r="K1034">
        <v>315852</v>
      </c>
      <c r="L1034">
        <v>315852</v>
      </c>
      <c r="M1034">
        <v>599</v>
      </c>
    </row>
    <row r="1035" spans="1:13" ht="15">
      <c r="A1035" t="s">
        <v>3525</v>
      </c>
      <c r="B1035" s="1040" t="str">
        <f>CONCATENATE(LEFT(RIGHT(CONCATENATE("000",IFAData_TEA_1718!A1035),6),3),"-",(RIGHT(RIGHT(CONCATENATE("000",IFAData_TEA_1718!A1035),6),3)))</f>
        <v>091-917</v>
      </c>
      <c r="C1035" t="s">
        <v>1732</v>
      </c>
      <c r="D1035">
        <v>3</v>
      </c>
      <c r="E1035">
        <v>1862</v>
      </c>
      <c r="F1035" t="s">
        <v>4725</v>
      </c>
      <c r="G1035" t="s">
        <v>4725</v>
      </c>
      <c r="H1035">
        <v>145000</v>
      </c>
      <c r="I1035">
        <v>0</v>
      </c>
      <c r="J1035">
        <v>0</v>
      </c>
      <c r="K1035">
        <v>0</v>
      </c>
      <c r="L1035">
        <v>0</v>
      </c>
      <c r="M1035">
        <v>599</v>
      </c>
    </row>
    <row r="1036" spans="1:13" ht="15">
      <c r="A1036" t="s">
        <v>3525</v>
      </c>
      <c r="B1036" s="1040" t="str">
        <f>CONCATENATE(LEFT(RIGHT(CONCATENATE("000",IFAData_TEA_1718!A1036),6),3),"-",(RIGHT(RIGHT(CONCATENATE("000",IFAData_TEA_1718!A1036),6),3)))</f>
        <v>091-917</v>
      </c>
      <c r="C1036" t="s">
        <v>1732</v>
      </c>
      <c r="D1036">
        <v>3</v>
      </c>
      <c r="E1036">
        <v>1862</v>
      </c>
      <c r="F1036" t="s">
        <v>4725</v>
      </c>
      <c r="G1036" t="s">
        <v>4726</v>
      </c>
      <c r="H1036">
        <v>145000</v>
      </c>
      <c r="I1036">
        <v>143825</v>
      </c>
      <c r="J1036">
        <v>1</v>
      </c>
      <c r="K1036">
        <v>145000</v>
      </c>
      <c r="L1036">
        <v>143825</v>
      </c>
      <c r="M1036">
        <v>599</v>
      </c>
    </row>
    <row r="1037" spans="1:13" ht="15">
      <c r="A1037" t="s">
        <v>3525</v>
      </c>
      <c r="B1037" s="1040" t="str">
        <f>CONCATENATE(LEFT(RIGHT(CONCATENATE("000",IFAData_TEA_1718!A1037),6),3),"-",(RIGHT(RIGHT(CONCATENATE("000",IFAData_TEA_1718!A1037),6),3)))</f>
        <v>091-917</v>
      </c>
      <c r="C1037" t="s">
        <v>1732</v>
      </c>
      <c r="D1037">
        <v>9</v>
      </c>
      <c r="E1037">
        <v>1861</v>
      </c>
      <c r="F1037" t="s">
        <v>4727</v>
      </c>
      <c r="G1037" t="s">
        <v>4727</v>
      </c>
      <c r="H1037">
        <v>129415</v>
      </c>
      <c r="I1037">
        <v>0</v>
      </c>
      <c r="J1037">
        <v>0</v>
      </c>
      <c r="K1037">
        <v>0</v>
      </c>
      <c r="L1037">
        <v>0</v>
      </c>
      <c r="M1037">
        <v>599</v>
      </c>
    </row>
    <row r="1038" spans="1:13" ht="15">
      <c r="A1038" t="s">
        <v>3525</v>
      </c>
      <c r="B1038" s="1040" t="str">
        <f>CONCATENATE(LEFT(RIGHT(CONCATENATE("000",IFAData_TEA_1718!A1038),6),3),"-",(RIGHT(RIGHT(CONCATENATE("000",IFAData_TEA_1718!A1038),6),3)))</f>
        <v>091-917</v>
      </c>
      <c r="C1038" t="s">
        <v>1732</v>
      </c>
      <c r="D1038">
        <v>9</v>
      </c>
      <c r="E1038">
        <v>1861</v>
      </c>
      <c r="F1038" t="s">
        <v>4727</v>
      </c>
      <c r="G1038" t="s">
        <v>6462</v>
      </c>
      <c r="H1038">
        <v>129415</v>
      </c>
      <c r="I1038">
        <v>111135</v>
      </c>
      <c r="J1038">
        <v>1</v>
      </c>
      <c r="K1038">
        <v>129415</v>
      </c>
      <c r="L1038">
        <v>111135</v>
      </c>
      <c r="M1038">
        <v>599</v>
      </c>
    </row>
    <row r="1039" spans="1:13" ht="15">
      <c r="A1039" t="s">
        <v>3525</v>
      </c>
      <c r="B1039" s="1040" t="str">
        <f>CONCATENATE(LEFT(RIGHT(CONCATENATE("000",IFAData_TEA_1718!A1039),6),3),"-",(RIGHT(RIGHT(CONCATENATE("000",IFAData_TEA_1718!A1039),6),3)))</f>
        <v>091-917</v>
      </c>
      <c r="C1039" t="s">
        <v>1732</v>
      </c>
      <c r="D1039">
        <v>11</v>
      </c>
      <c r="E1039">
        <v>2533</v>
      </c>
      <c r="F1039" t="s">
        <v>8390</v>
      </c>
      <c r="G1039" t="s">
        <v>8390</v>
      </c>
      <c r="H1039">
        <v>31500</v>
      </c>
      <c r="I1039">
        <v>31500</v>
      </c>
      <c r="J1039">
        <v>1</v>
      </c>
      <c r="K1039">
        <v>31500</v>
      </c>
      <c r="L1039">
        <v>31500</v>
      </c>
      <c r="M1039">
        <v>599</v>
      </c>
    </row>
    <row r="1040" spans="1:13" ht="15">
      <c r="A1040" t="s">
        <v>3525</v>
      </c>
      <c r="B1040" s="1040" t="str">
        <f>CONCATENATE(LEFT(RIGHT(CONCATENATE("000",IFAData_TEA_1718!A1040),6),3),"-",(RIGHT(RIGHT(CONCATENATE("000",IFAData_TEA_1718!A1040),6),3)))</f>
        <v>091-917</v>
      </c>
      <c r="C1040" t="s">
        <v>1732</v>
      </c>
      <c r="D1040">
        <v>11</v>
      </c>
      <c r="E1040">
        <v>2534</v>
      </c>
      <c r="F1040" t="s">
        <v>8391</v>
      </c>
      <c r="G1040" t="s">
        <v>8391</v>
      </c>
      <c r="H1040">
        <v>156750</v>
      </c>
      <c r="I1040">
        <v>112350</v>
      </c>
      <c r="J1040">
        <v>1</v>
      </c>
      <c r="K1040">
        <v>156750</v>
      </c>
      <c r="L1040">
        <v>112350</v>
      </c>
      <c r="M1040">
        <v>599</v>
      </c>
    </row>
    <row r="1041" spans="1:13" ht="15">
      <c r="A1041" t="s">
        <v>4728</v>
      </c>
      <c r="B1041" s="1040" t="str">
        <f>CONCATENATE(LEFT(RIGHT(CONCATENATE("000",IFAData_TEA_1718!A1041),6),3),"-",(RIGHT(RIGHT(CONCATENATE("000",IFAData_TEA_1718!A1041),6),3)))</f>
        <v>092-903</v>
      </c>
      <c r="C1041" t="s">
        <v>2126</v>
      </c>
      <c r="D1041">
        <v>1</v>
      </c>
      <c r="E1041">
        <v>2034</v>
      </c>
      <c r="F1041" t="s">
        <v>4729</v>
      </c>
      <c r="G1041" t="s">
        <v>4729</v>
      </c>
      <c r="H1041">
        <v>346003</v>
      </c>
      <c r="I1041">
        <v>0</v>
      </c>
      <c r="J1041">
        <v>0</v>
      </c>
      <c r="K1041"/>
      <c r="L1041">
        <v>0</v>
      </c>
      <c r="M1041">
        <v>599</v>
      </c>
    </row>
    <row r="1042" spans="1:13" ht="15">
      <c r="A1042" t="s">
        <v>3526</v>
      </c>
      <c r="B1042" s="1040" t="str">
        <f>CONCATENATE(LEFT(RIGHT(CONCATENATE("000",IFAData_TEA_1718!A1042),6),3),"-",(RIGHT(RIGHT(CONCATENATE("000",IFAData_TEA_1718!A1042),6),3)))</f>
        <v>092-907</v>
      </c>
      <c r="C1042" t="s">
        <v>1936</v>
      </c>
      <c r="D1042">
        <v>2</v>
      </c>
      <c r="E1042">
        <v>2375</v>
      </c>
      <c r="F1042" t="s">
        <v>4730</v>
      </c>
      <c r="G1042" t="s">
        <v>4730</v>
      </c>
      <c r="H1042">
        <v>398517</v>
      </c>
      <c r="I1042">
        <v>0</v>
      </c>
      <c r="J1042">
        <v>0</v>
      </c>
      <c r="K1042">
        <v>0</v>
      </c>
      <c r="L1042">
        <v>0</v>
      </c>
      <c r="M1042">
        <v>599</v>
      </c>
    </row>
    <row r="1043" spans="1:13" ht="15">
      <c r="A1043" t="s">
        <v>3526</v>
      </c>
      <c r="B1043" s="1040" t="str">
        <f>CONCATENATE(LEFT(RIGHT(CONCATENATE("000",IFAData_TEA_1718!A1043),6),3),"-",(RIGHT(RIGHT(CONCATENATE("000",IFAData_TEA_1718!A1043),6),3)))</f>
        <v>092-907</v>
      </c>
      <c r="C1043" t="s">
        <v>1936</v>
      </c>
      <c r="D1043">
        <v>2</v>
      </c>
      <c r="E1043">
        <v>2375</v>
      </c>
      <c r="F1043" t="s">
        <v>4730</v>
      </c>
      <c r="G1043" t="s">
        <v>4731</v>
      </c>
      <c r="H1043">
        <v>398517</v>
      </c>
      <c r="I1043">
        <v>0</v>
      </c>
      <c r="J1043">
        <v>0</v>
      </c>
      <c r="K1043">
        <v>0</v>
      </c>
      <c r="L1043">
        <v>0</v>
      </c>
      <c r="M1043">
        <v>599</v>
      </c>
    </row>
    <row r="1044" spans="1:13" ht="15">
      <c r="A1044" t="s">
        <v>3526</v>
      </c>
      <c r="B1044" s="1040" t="str">
        <f>CONCATENATE(LEFT(RIGHT(CONCATENATE("000",IFAData_TEA_1718!A1044),6),3),"-",(RIGHT(RIGHT(CONCATENATE("000",IFAData_TEA_1718!A1044),6),3)))</f>
        <v>092-907</v>
      </c>
      <c r="C1044" t="s">
        <v>1936</v>
      </c>
      <c r="D1044">
        <v>2</v>
      </c>
      <c r="E1044">
        <v>2375</v>
      </c>
      <c r="F1044" t="s">
        <v>4730</v>
      </c>
      <c r="G1044" t="s">
        <v>4732</v>
      </c>
      <c r="H1044">
        <v>398517</v>
      </c>
      <c r="I1044">
        <v>75968</v>
      </c>
      <c r="J1044">
        <v>0.11483438743303501</v>
      </c>
      <c r="K1044">
        <v>45763.455576651002</v>
      </c>
      <c r="L1044">
        <v>45763.455576651002</v>
      </c>
      <c r="M1044">
        <v>599</v>
      </c>
    </row>
    <row r="1045" spans="1:13" ht="15">
      <c r="A1045" t="s">
        <v>3526</v>
      </c>
      <c r="B1045" s="1040" t="str">
        <f>CONCATENATE(LEFT(RIGHT(CONCATENATE("000",IFAData_TEA_1718!A1045),6),3),"-",(RIGHT(RIGHT(CONCATENATE("000",IFAData_TEA_1718!A1045),6),3)))</f>
        <v>092-907</v>
      </c>
      <c r="C1045" t="s">
        <v>1936</v>
      </c>
      <c r="D1045">
        <v>2</v>
      </c>
      <c r="E1045">
        <v>2375</v>
      </c>
      <c r="F1045" t="s">
        <v>4730</v>
      </c>
      <c r="G1045" t="s">
        <v>6463</v>
      </c>
      <c r="H1045">
        <v>398517</v>
      </c>
      <c r="I1045">
        <v>585576</v>
      </c>
      <c r="J1045">
        <v>0.88516561256696502</v>
      </c>
      <c r="K1045">
        <v>352753.54442334903</v>
      </c>
      <c r="L1045">
        <v>352753.54442334903</v>
      </c>
      <c r="M1045">
        <v>599</v>
      </c>
    </row>
    <row r="1046" spans="1:13" ht="15">
      <c r="A1046" t="s">
        <v>3526</v>
      </c>
      <c r="B1046" s="1040" t="str">
        <f>CONCATENATE(LEFT(RIGHT(CONCATENATE("000",IFAData_TEA_1718!A1046),6),3),"-",(RIGHT(RIGHT(CONCATENATE("000",IFAData_TEA_1718!A1046),6),3)))</f>
        <v>092-907</v>
      </c>
      <c r="C1046" t="s">
        <v>1936</v>
      </c>
      <c r="D1046">
        <v>9</v>
      </c>
      <c r="E1046">
        <v>2376</v>
      </c>
      <c r="F1046" t="s">
        <v>4733</v>
      </c>
      <c r="G1046" t="s">
        <v>4733</v>
      </c>
      <c r="H1046">
        <v>437500</v>
      </c>
      <c r="I1046">
        <v>1247689</v>
      </c>
      <c r="J1046">
        <v>0.55172177447526904</v>
      </c>
      <c r="K1046">
        <v>241378.27633292999</v>
      </c>
      <c r="L1046">
        <v>241378.27633292999</v>
      </c>
      <c r="M1046">
        <v>599</v>
      </c>
    </row>
    <row r="1047" spans="1:13" ht="15">
      <c r="A1047" t="s">
        <v>3526</v>
      </c>
      <c r="B1047" s="1040" t="str">
        <f>CONCATENATE(LEFT(RIGHT(CONCATENATE("000",IFAData_TEA_1718!A1047),6),3),"-",(RIGHT(RIGHT(CONCATENATE("000",IFAData_TEA_1718!A1047),6),3)))</f>
        <v>092-907</v>
      </c>
      <c r="C1047" t="s">
        <v>1936</v>
      </c>
      <c r="D1047">
        <v>9</v>
      </c>
      <c r="E1047">
        <v>2376</v>
      </c>
      <c r="F1047" t="s">
        <v>4733</v>
      </c>
      <c r="G1047" t="s">
        <v>6252</v>
      </c>
      <c r="H1047">
        <v>437500</v>
      </c>
      <c r="I1047">
        <v>341020</v>
      </c>
      <c r="J1047">
        <v>0.150797321713629</v>
      </c>
      <c r="K1047">
        <v>65973.828249712795</v>
      </c>
      <c r="L1047">
        <v>65973.828249712795</v>
      </c>
      <c r="M1047">
        <v>599</v>
      </c>
    </row>
    <row r="1048" spans="1:13" ht="15">
      <c r="A1048" t="s">
        <v>3526</v>
      </c>
      <c r="B1048" s="1040" t="str">
        <f>CONCATENATE(LEFT(RIGHT(CONCATENATE("000",IFAData_TEA_1718!A1048),6),3),"-",(RIGHT(RIGHT(CONCATENATE("000",IFAData_TEA_1718!A1048),6),3)))</f>
        <v>092-907</v>
      </c>
      <c r="C1048" t="s">
        <v>1936</v>
      </c>
      <c r="D1048">
        <v>9</v>
      </c>
      <c r="E1048">
        <v>2376</v>
      </c>
      <c r="F1048" t="s">
        <v>4733</v>
      </c>
      <c r="G1048" t="s">
        <v>6464</v>
      </c>
      <c r="H1048">
        <v>437500</v>
      </c>
      <c r="I1048">
        <v>315509</v>
      </c>
      <c r="J1048">
        <v>0.139516486354306</v>
      </c>
      <c r="K1048">
        <v>61038.4627800089</v>
      </c>
      <c r="L1048">
        <v>61038.4627800089</v>
      </c>
      <c r="M1048">
        <v>599</v>
      </c>
    </row>
    <row r="1049" spans="1:13" ht="15">
      <c r="A1049" t="s">
        <v>3526</v>
      </c>
      <c r="B1049" s="1040" t="str">
        <f>CONCATENATE(LEFT(RIGHT(CONCATENATE("000",IFAData_TEA_1718!A1049),6),3),"-",(RIGHT(RIGHT(CONCATENATE("000",IFAData_TEA_1718!A1049),6),3)))</f>
        <v>092-907</v>
      </c>
      <c r="C1049" t="s">
        <v>1936</v>
      </c>
      <c r="D1049">
        <v>9</v>
      </c>
      <c r="E1049">
        <v>2376</v>
      </c>
      <c r="F1049" t="s">
        <v>4733</v>
      </c>
      <c r="G1049" t="s">
        <v>8392</v>
      </c>
      <c r="H1049">
        <v>437500</v>
      </c>
      <c r="I1049">
        <v>357228</v>
      </c>
      <c r="J1049">
        <v>0.15796441745679499</v>
      </c>
      <c r="K1049">
        <v>69109.432637348</v>
      </c>
      <c r="L1049">
        <v>69109.432637348</v>
      </c>
      <c r="M1049">
        <v>599</v>
      </c>
    </row>
    <row r="1050" spans="1:13" ht="15">
      <c r="A1050" t="s">
        <v>3526</v>
      </c>
      <c r="B1050" s="1040" t="str">
        <f>CONCATENATE(LEFT(RIGHT(CONCATENATE("000",IFAData_TEA_1718!A1050),6),3),"-",(RIGHT(RIGHT(CONCATENATE("000",IFAData_TEA_1718!A1050),6),3)))</f>
        <v>092-907</v>
      </c>
      <c r="C1050" t="s">
        <v>1936</v>
      </c>
      <c r="D1050">
        <v>10</v>
      </c>
      <c r="E1050">
        <v>2377</v>
      </c>
      <c r="F1050" t="s">
        <v>4734</v>
      </c>
      <c r="G1050" t="s">
        <v>4734</v>
      </c>
      <c r="H1050">
        <v>456338</v>
      </c>
      <c r="I1050">
        <v>262620</v>
      </c>
      <c r="J1050">
        <v>1</v>
      </c>
      <c r="K1050">
        <v>456338</v>
      </c>
      <c r="L1050">
        <v>262620</v>
      </c>
      <c r="M1050">
        <v>599</v>
      </c>
    </row>
    <row r="1051" spans="1:13" ht="15">
      <c r="A1051" t="s">
        <v>3527</v>
      </c>
      <c r="B1051" s="1040" t="str">
        <f>CONCATENATE(LEFT(RIGHT(CONCATENATE("000",IFAData_TEA_1718!A1051),6),3),"-",(RIGHT(RIGHT(CONCATENATE("000",IFAData_TEA_1718!A1051),6),3)))</f>
        <v>093-903</v>
      </c>
      <c r="C1051" t="s">
        <v>229</v>
      </c>
      <c r="D1051">
        <v>10</v>
      </c>
      <c r="E1051">
        <v>1924</v>
      </c>
      <c r="F1051" t="s">
        <v>4735</v>
      </c>
      <c r="G1051" t="s">
        <v>4735</v>
      </c>
      <c r="H1051">
        <v>119954</v>
      </c>
      <c r="I1051">
        <v>296050</v>
      </c>
      <c r="J1051">
        <v>0.49031136137794001</v>
      </c>
      <c r="K1051">
        <v>58814.809042729401</v>
      </c>
      <c r="L1051">
        <v>58814.809042729401</v>
      </c>
      <c r="M1051">
        <v>599</v>
      </c>
    </row>
    <row r="1052" spans="1:13" ht="15">
      <c r="A1052" t="s">
        <v>3527</v>
      </c>
      <c r="B1052" s="1040" t="str">
        <f>CONCATENATE(LEFT(RIGHT(CONCATENATE("000",IFAData_TEA_1718!A1052),6),3),"-",(RIGHT(RIGHT(CONCATENATE("000",IFAData_TEA_1718!A1052),6),3)))</f>
        <v>093-903</v>
      </c>
      <c r="C1052" t="s">
        <v>229</v>
      </c>
      <c r="D1052">
        <v>10</v>
      </c>
      <c r="E1052">
        <v>1924</v>
      </c>
      <c r="F1052" t="s">
        <v>4735</v>
      </c>
      <c r="G1052" t="s">
        <v>8393</v>
      </c>
      <c r="H1052">
        <v>119954</v>
      </c>
      <c r="I1052">
        <v>307750</v>
      </c>
      <c r="J1052">
        <v>0.50968863862206004</v>
      </c>
      <c r="K1052">
        <v>61139.190957270599</v>
      </c>
      <c r="L1052">
        <v>61139.190957270599</v>
      </c>
      <c r="M1052">
        <v>599</v>
      </c>
    </row>
    <row r="1053" spans="1:13" ht="15">
      <c r="A1053" t="s">
        <v>3528</v>
      </c>
      <c r="B1053" s="1040" t="str">
        <f>CONCATENATE(LEFT(RIGHT(CONCATENATE("000",IFAData_TEA_1718!A1053),6),3),"-",(RIGHT(RIGHT(CONCATENATE("000",IFAData_TEA_1718!A1053),6),3)))</f>
        <v>094-901</v>
      </c>
      <c r="C1053" t="s">
        <v>1247</v>
      </c>
      <c r="D1053">
        <v>2</v>
      </c>
      <c r="E1053">
        <v>2324</v>
      </c>
      <c r="F1053" t="s">
        <v>4736</v>
      </c>
      <c r="G1053" t="s">
        <v>4736</v>
      </c>
      <c r="H1053">
        <v>1582356</v>
      </c>
      <c r="I1053">
        <v>0</v>
      </c>
      <c r="J1053">
        <v>0</v>
      </c>
      <c r="K1053">
        <v>0</v>
      </c>
      <c r="L1053">
        <v>0</v>
      </c>
      <c r="M1053">
        <v>599</v>
      </c>
    </row>
    <row r="1054" spans="1:13" ht="15">
      <c r="A1054" t="s">
        <v>3528</v>
      </c>
      <c r="B1054" s="1040" t="str">
        <f>CONCATENATE(LEFT(RIGHT(CONCATENATE("000",IFAData_TEA_1718!A1054),6),3),"-",(RIGHT(RIGHT(CONCATENATE("000",IFAData_TEA_1718!A1054),6),3)))</f>
        <v>094-901</v>
      </c>
      <c r="C1054" t="s">
        <v>1247</v>
      </c>
      <c r="D1054">
        <v>2</v>
      </c>
      <c r="E1054">
        <v>2324</v>
      </c>
      <c r="F1054" t="s">
        <v>4736</v>
      </c>
      <c r="G1054" t="s">
        <v>4737</v>
      </c>
      <c r="H1054">
        <v>1582356</v>
      </c>
      <c r="I1054">
        <v>0</v>
      </c>
      <c r="J1054">
        <v>0</v>
      </c>
      <c r="K1054">
        <v>0</v>
      </c>
      <c r="L1054">
        <v>0</v>
      </c>
      <c r="M1054">
        <v>599</v>
      </c>
    </row>
    <row r="1055" spans="1:13" ht="15">
      <c r="A1055" t="s">
        <v>3528</v>
      </c>
      <c r="B1055" s="1040" t="str">
        <f>CONCATENATE(LEFT(RIGHT(CONCATENATE("000",IFAData_TEA_1718!A1055),6),3),"-",(RIGHT(RIGHT(CONCATENATE("000",IFAData_TEA_1718!A1055),6),3)))</f>
        <v>094-901</v>
      </c>
      <c r="C1055" t="s">
        <v>1247</v>
      </c>
      <c r="D1055">
        <v>2</v>
      </c>
      <c r="E1055">
        <v>2324</v>
      </c>
      <c r="F1055" t="s">
        <v>4736</v>
      </c>
      <c r="G1055" t="s">
        <v>4738</v>
      </c>
      <c r="H1055">
        <v>1582356</v>
      </c>
      <c r="I1055">
        <v>1425422</v>
      </c>
      <c r="J1055">
        <v>1</v>
      </c>
      <c r="K1055">
        <v>1582356</v>
      </c>
      <c r="L1055">
        <v>1425422</v>
      </c>
      <c r="M1055">
        <v>599</v>
      </c>
    </row>
    <row r="1056" spans="1:13" ht="15">
      <c r="A1056" t="s">
        <v>3528</v>
      </c>
      <c r="B1056" s="1040" t="str">
        <f>CONCATENATE(LEFT(RIGHT(CONCATENATE("000",IFAData_TEA_1718!A1056),6),3),"-",(RIGHT(RIGHT(CONCATENATE("000",IFAData_TEA_1718!A1056),6),3)))</f>
        <v>094-901</v>
      </c>
      <c r="C1056" t="s">
        <v>1247</v>
      </c>
      <c r="D1056">
        <v>6</v>
      </c>
      <c r="E1056">
        <v>2323</v>
      </c>
      <c r="F1056" t="s">
        <v>4739</v>
      </c>
      <c r="G1056" t="s">
        <v>4739</v>
      </c>
      <c r="H1056">
        <v>931261</v>
      </c>
      <c r="I1056">
        <v>0</v>
      </c>
      <c r="J1056">
        <v>0</v>
      </c>
      <c r="K1056">
        <v>0</v>
      </c>
      <c r="L1056">
        <v>0</v>
      </c>
      <c r="M1056">
        <v>599</v>
      </c>
    </row>
    <row r="1057" spans="1:13" ht="15">
      <c r="A1057" t="s">
        <v>3528</v>
      </c>
      <c r="B1057" s="1040" t="str">
        <f>CONCATENATE(LEFT(RIGHT(CONCATENATE("000",IFAData_TEA_1718!A1057),6),3),"-",(RIGHT(RIGHT(CONCATENATE("000",IFAData_TEA_1718!A1057),6),3)))</f>
        <v>094-901</v>
      </c>
      <c r="C1057" t="s">
        <v>1247</v>
      </c>
      <c r="D1057">
        <v>6</v>
      </c>
      <c r="E1057">
        <v>2323</v>
      </c>
      <c r="F1057" t="s">
        <v>4739</v>
      </c>
      <c r="G1057" t="s">
        <v>4740</v>
      </c>
      <c r="H1057">
        <v>931261</v>
      </c>
      <c r="I1057">
        <v>0</v>
      </c>
      <c r="J1057">
        <v>0</v>
      </c>
      <c r="K1057">
        <v>0</v>
      </c>
      <c r="L1057">
        <v>0</v>
      </c>
      <c r="M1057">
        <v>599</v>
      </c>
    </row>
    <row r="1058" spans="1:13" ht="15">
      <c r="A1058" t="s">
        <v>3528</v>
      </c>
      <c r="B1058" s="1040" t="str">
        <f>CONCATENATE(LEFT(RIGHT(CONCATENATE("000",IFAData_TEA_1718!A1058),6),3),"-",(RIGHT(RIGHT(CONCATENATE("000",IFAData_TEA_1718!A1058),6),3)))</f>
        <v>094-901</v>
      </c>
      <c r="C1058" t="s">
        <v>1247</v>
      </c>
      <c r="D1058">
        <v>6</v>
      </c>
      <c r="E1058">
        <v>2323</v>
      </c>
      <c r="F1058" t="s">
        <v>4739</v>
      </c>
      <c r="G1058" t="s">
        <v>4741</v>
      </c>
      <c r="H1058">
        <v>931261</v>
      </c>
      <c r="I1058">
        <v>1039838</v>
      </c>
      <c r="J1058">
        <v>0.82280115653223895</v>
      </c>
      <c r="K1058">
        <v>766242.62783337</v>
      </c>
      <c r="L1058">
        <v>766242.62783337</v>
      </c>
      <c r="M1058">
        <v>599</v>
      </c>
    </row>
    <row r="1059" spans="1:13" ht="15">
      <c r="A1059" t="s">
        <v>3528</v>
      </c>
      <c r="B1059" s="1040" t="str">
        <f>CONCATENATE(LEFT(RIGHT(CONCATENATE("000",IFAData_TEA_1718!A1059),6),3),"-",(RIGHT(RIGHT(CONCATENATE("000",IFAData_TEA_1718!A1059),6),3)))</f>
        <v>094-901</v>
      </c>
      <c r="C1059" t="s">
        <v>1247</v>
      </c>
      <c r="D1059">
        <v>6</v>
      </c>
      <c r="E1059">
        <v>2323</v>
      </c>
      <c r="F1059" t="s">
        <v>4739</v>
      </c>
      <c r="G1059" t="s">
        <v>6465</v>
      </c>
      <c r="H1059">
        <v>931261</v>
      </c>
      <c r="I1059">
        <v>223940</v>
      </c>
      <c r="J1059">
        <v>0.17719884346776099</v>
      </c>
      <c r="K1059">
        <v>165018.37216663099</v>
      </c>
      <c r="L1059">
        <v>165018.37216663099</v>
      </c>
      <c r="M1059">
        <v>599</v>
      </c>
    </row>
    <row r="1060" spans="1:13" ht="15">
      <c r="A1060" t="s">
        <v>3529</v>
      </c>
      <c r="B1060" s="1040" t="str">
        <f>CONCATENATE(LEFT(RIGHT(CONCATENATE("000",IFAData_TEA_1718!A1060),6),3),"-",(RIGHT(RIGHT(CONCATENATE("000",IFAData_TEA_1718!A1060),6),3)))</f>
        <v>094-902</v>
      </c>
      <c r="C1060" t="s">
        <v>1245</v>
      </c>
      <c r="D1060">
        <v>1</v>
      </c>
      <c r="E1060">
        <v>2316</v>
      </c>
      <c r="F1060" t="s">
        <v>4742</v>
      </c>
      <c r="G1060" t="s">
        <v>4742</v>
      </c>
      <c r="H1060">
        <v>328404</v>
      </c>
      <c r="I1060">
        <v>0</v>
      </c>
      <c r="J1060">
        <v>0</v>
      </c>
      <c r="K1060"/>
      <c r="L1060">
        <v>0</v>
      </c>
      <c r="M1060">
        <v>599</v>
      </c>
    </row>
    <row r="1061" spans="1:13" ht="15">
      <c r="A1061" t="s">
        <v>3529</v>
      </c>
      <c r="B1061" s="1040" t="str">
        <f>CONCATENATE(LEFT(RIGHT(CONCATENATE("000",IFAData_TEA_1718!A1061),6),3),"-",(RIGHT(RIGHT(CONCATENATE("000",IFAData_TEA_1718!A1061),6),3)))</f>
        <v>094-902</v>
      </c>
      <c r="C1061" t="s">
        <v>1245</v>
      </c>
      <c r="D1061">
        <v>1</v>
      </c>
      <c r="E1061">
        <v>2317</v>
      </c>
      <c r="F1061" t="s">
        <v>4748</v>
      </c>
      <c r="G1061" t="s">
        <v>4748</v>
      </c>
      <c r="H1061">
        <v>445556</v>
      </c>
      <c r="I1061">
        <v>0</v>
      </c>
      <c r="J1061">
        <v>0</v>
      </c>
      <c r="K1061"/>
      <c r="L1061">
        <v>0</v>
      </c>
      <c r="M1061">
        <v>599</v>
      </c>
    </row>
    <row r="1062" spans="1:13" ht="15">
      <c r="A1062" t="s">
        <v>3529</v>
      </c>
      <c r="B1062" s="1040" t="str">
        <f>CONCATENATE(LEFT(RIGHT(CONCATENATE("000",IFAData_TEA_1718!A1062),6),3),"-",(RIGHT(RIGHT(CONCATENATE("000",IFAData_TEA_1718!A1062),6),3)))</f>
        <v>094-902</v>
      </c>
      <c r="C1062" t="s">
        <v>1245</v>
      </c>
      <c r="D1062">
        <v>6</v>
      </c>
      <c r="E1062">
        <v>2320</v>
      </c>
      <c r="F1062" t="s">
        <v>4749</v>
      </c>
      <c r="G1062" t="s">
        <v>4749</v>
      </c>
      <c r="H1062">
        <v>1730235</v>
      </c>
      <c r="I1062">
        <v>83975</v>
      </c>
      <c r="J1062">
        <v>3.8243238381410402E-2</v>
      </c>
      <c r="K1062">
        <v>66169.789560859703</v>
      </c>
      <c r="L1062">
        <v>66169.789560859703</v>
      </c>
      <c r="M1062">
        <v>599</v>
      </c>
    </row>
    <row r="1063" spans="1:13" ht="15">
      <c r="A1063" t="s">
        <v>3529</v>
      </c>
      <c r="B1063" s="1040" t="str">
        <f>CONCATENATE(LEFT(RIGHT(CONCATENATE("000",IFAData_TEA_1718!A1063),6),3),"-",(RIGHT(RIGHT(CONCATENATE("000",IFAData_TEA_1718!A1063),6),3)))</f>
        <v>094-902</v>
      </c>
      <c r="C1063" t="s">
        <v>1245</v>
      </c>
      <c r="D1063">
        <v>6</v>
      </c>
      <c r="E1063">
        <v>2320</v>
      </c>
      <c r="F1063" t="s">
        <v>4749</v>
      </c>
      <c r="G1063" t="s">
        <v>4745</v>
      </c>
      <c r="H1063">
        <v>1730235</v>
      </c>
      <c r="I1063">
        <v>2033900</v>
      </c>
      <c r="J1063">
        <v>0.92626284660852298</v>
      </c>
      <c r="K1063">
        <v>1602652.3964017001</v>
      </c>
      <c r="L1063">
        <v>1602652.3964017001</v>
      </c>
      <c r="M1063">
        <v>599</v>
      </c>
    </row>
    <row r="1064" spans="1:13" ht="15">
      <c r="A1064" t="s">
        <v>3529</v>
      </c>
      <c r="B1064" s="1040" t="str">
        <f>CONCATENATE(LEFT(RIGHT(CONCATENATE("000",IFAData_TEA_1718!A1064),6),3),"-",(RIGHT(RIGHT(CONCATENATE("000",IFAData_TEA_1718!A1064),6),3)))</f>
        <v>094-902</v>
      </c>
      <c r="C1064" t="s">
        <v>1245</v>
      </c>
      <c r="D1064">
        <v>6</v>
      </c>
      <c r="E1064">
        <v>2320</v>
      </c>
      <c r="F1064" t="s">
        <v>4749</v>
      </c>
      <c r="G1064" t="s">
        <v>4746</v>
      </c>
      <c r="H1064">
        <v>1730235</v>
      </c>
      <c r="I1064">
        <v>77938</v>
      </c>
      <c r="J1064">
        <v>3.54939150100669E-2</v>
      </c>
      <c r="K1064">
        <v>61412.814037443102</v>
      </c>
      <c r="L1064">
        <v>61412.814037443102</v>
      </c>
      <c r="M1064">
        <v>599</v>
      </c>
    </row>
    <row r="1065" spans="1:13" ht="15">
      <c r="A1065" t="s">
        <v>3529</v>
      </c>
      <c r="B1065" s="1040" t="str">
        <f>CONCATENATE(LEFT(RIGHT(CONCATENATE("000",IFAData_TEA_1718!A1065),6),3),"-",(RIGHT(RIGHT(CONCATENATE("000",IFAData_TEA_1718!A1065),6),3)))</f>
        <v>094-902</v>
      </c>
      <c r="C1065" t="s">
        <v>1245</v>
      </c>
      <c r="D1065">
        <v>9</v>
      </c>
      <c r="E1065">
        <v>2319</v>
      </c>
      <c r="F1065" t="s">
        <v>4750</v>
      </c>
      <c r="G1065" t="s">
        <v>4750</v>
      </c>
      <c r="H1065">
        <v>1351905</v>
      </c>
      <c r="I1065">
        <v>0</v>
      </c>
      <c r="J1065">
        <v>0</v>
      </c>
      <c r="K1065">
        <v>0</v>
      </c>
      <c r="L1065">
        <v>0</v>
      </c>
      <c r="M1065">
        <v>599</v>
      </c>
    </row>
    <row r="1066" spans="1:13" ht="15">
      <c r="A1066" t="s">
        <v>3529</v>
      </c>
      <c r="B1066" s="1040" t="str">
        <f>CONCATENATE(LEFT(RIGHT(CONCATENATE("000",IFAData_TEA_1718!A1066),6),3),"-",(RIGHT(RIGHT(CONCATENATE("000",IFAData_TEA_1718!A1066),6),3)))</f>
        <v>094-902</v>
      </c>
      <c r="C1066" t="s">
        <v>1245</v>
      </c>
      <c r="D1066">
        <v>9</v>
      </c>
      <c r="E1066">
        <v>2319</v>
      </c>
      <c r="F1066" t="s">
        <v>4750</v>
      </c>
      <c r="G1066" t="s">
        <v>6253</v>
      </c>
      <c r="H1066">
        <v>1351905</v>
      </c>
      <c r="I1066">
        <v>2434100</v>
      </c>
      <c r="J1066">
        <v>0.56851902673728105</v>
      </c>
      <c r="K1066">
        <v>768583.71484126395</v>
      </c>
      <c r="L1066">
        <v>768583.71484126395</v>
      </c>
      <c r="M1066">
        <v>599</v>
      </c>
    </row>
    <row r="1067" spans="1:13" ht="15">
      <c r="A1067" t="s">
        <v>3529</v>
      </c>
      <c r="B1067" s="1040" t="str">
        <f>CONCATENATE(LEFT(RIGHT(CONCATENATE("000",IFAData_TEA_1718!A1067),6),3),"-",(RIGHT(RIGHT(CONCATENATE("000",IFAData_TEA_1718!A1067),6),3)))</f>
        <v>094-902</v>
      </c>
      <c r="C1067" t="s">
        <v>1245</v>
      </c>
      <c r="D1067">
        <v>9</v>
      </c>
      <c r="E1067">
        <v>2319</v>
      </c>
      <c r="F1067" t="s">
        <v>4750</v>
      </c>
      <c r="G1067" t="s">
        <v>6466</v>
      </c>
      <c r="H1067">
        <v>1351905</v>
      </c>
      <c r="I1067">
        <v>1847375</v>
      </c>
      <c r="J1067">
        <v>0.431480973262719</v>
      </c>
      <c r="K1067">
        <v>583321.28515873605</v>
      </c>
      <c r="L1067">
        <v>583321.28515873605</v>
      </c>
      <c r="M1067">
        <v>599</v>
      </c>
    </row>
    <row r="1068" spans="1:13" ht="15">
      <c r="A1068" t="s">
        <v>3529</v>
      </c>
      <c r="B1068" s="1040" t="str">
        <f>CONCATENATE(LEFT(RIGHT(CONCATENATE("000",IFAData_TEA_1718!A1068),6),3),"-",(RIGHT(RIGHT(CONCATENATE("000",IFAData_TEA_1718!A1068),6),3)))</f>
        <v>094-902</v>
      </c>
      <c r="C1068" t="s">
        <v>1245</v>
      </c>
      <c r="D1068">
        <v>9</v>
      </c>
      <c r="E1068">
        <v>2318</v>
      </c>
      <c r="F1068" t="s">
        <v>4751</v>
      </c>
      <c r="G1068" t="s">
        <v>4751</v>
      </c>
      <c r="H1068">
        <v>1272470</v>
      </c>
      <c r="I1068">
        <v>0</v>
      </c>
      <c r="J1068">
        <v>0</v>
      </c>
      <c r="K1068">
        <v>0</v>
      </c>
      <c r="L1068">
        <v>0</v>
      </c>
      <c r="M1068">
        <v>599</v>
      </c>
    </row>
    <row r="1069" spans="1:13" ht="15">
      <c r="A1069" t="s">
        <v>3529</v>
      </c>
      <c r="B1069" s="1040" t="str">
        <f>CONCATENATE(LEFT(RIGHT(CONCATENATE("000",IFAData_TEA_1718!A1069),6),3),"-",(RIGHT(RIGHT(CONCATENATE("000",IFAData_TEA_1718!A1069),6),3)))</f>
        <v>094-902</v>
      </c>
      <c r="C1069" t="s">
        <v>1245</v>
      </c>
      <c r="D1069">
        <v>9</v>
      </c>
      <c r="E1069">
        <v>2318</v>
      </c>
      <c r="F1069" t="s">
        <v>4751</v>
      </c>
      <c r="G1069" t="s">
        <v>6466</v>
      </c>
      <c r="H1069">
        <v>1272470</v>
      </c>
      <c r="I1069">
        <v>4044075</v>
      </c>
      <c r="J1069">
        <v>1</v>
      </c>
      <c r="K1069">
        <v>1272470</v>
      </c>
      <c r="L1069">
        <v>1272470</v>
      </c>
      <c r="M1069">
        <v>599</v>
      </c>
    </row>
    <row r="1070" spans="1:13" ht="15">
      <c r="A1070" t="s">
        <v>3530</v>
      </c>
      <c r="B1070" s="1040" t="str">
        <f>CONCATENATE(LEFT(RIGHT(CONCATENATE("000",IFAData_TEA_1718!A1070),6),3),"-",(RIGHT(RIGHT(CONCATENATE("000",IFAData_TEA_1718!A1070),6),3)))</f>
        <v>094-903</v>
      </c>
      <c r="C1070" t="s">
        <v>232</v>
      </c>
      <c r="D1070">
        <v>9</v>
      </c>
      <c r="E1070">
        <v>2127</v>
      </c>
      <c r="F1070" t="s">
        <v>4752</v>
      </c>
      <c r="G1070" t="s">
        <v>4752</v>
      </c>
      <c r="H1070">
        <v>388765</v>
      </c>
      <c r="I1070">
        <v>0</v>
      </c>
      <c r="J1070">
        <v>0</v>
      </c>
      <c r="K1070">
        <v>0</v>
      </c>
      <c r="L1070">
        <v>0</v>
      </c>
      <c r="M1070">
        <v>599</v>
      </c>
    </row>
    <row r="1071" spans="1:13" ht="15">
      <c r="A1071" t="s">
        <v>3530</v>
      </c>
      <c r="B1071" s="1040" t="str">
        <f>CONCATENATE(LEFT(RIGHT(CONCATENATE("000",IFAData_TEA_1718!A1071),6),3),"-",(RIGHT(RIGHT(CONCATENATE("000",IFAData_TEA_1718!A1071),6),3)))</f>
        <v>094-903</v>
      </c>
      <c r="C1071" t="s">
        <v>232</v>
      </c>
      <c r="D1071">
        <v>9</v>
      </c>
      <c r="E1071">
        <v>2127</v>
      </c>
      <c r="F1071" t="s">
        <v>4752</v>
      </c>
      <c r="G1071" t="s">
        <v>4753</v>
      </c>
      <c r="H1071">
        <v>388765</v>
      </c>
      <c r="I1071">
        <v>592703</v>
      </c>
      <c r="J1071">
        <v>0.79588644139716502</v>
      </c>
      <c r="K1071">
        <v>309412.79238976899</v>
      </c>
      <c r="L1071">
        <v>309412.79238976899</v>
      </c>
      <c r="M1071">
        <v>599</v>
      </c>
    </row>
    <row r="1072" spans="1:13" ht="15">
      <c r="A1072" t="s">
        <v>3530</v>
      </c>
      <c r="B1072" s="1040" t="str">
        <f>CONCATENATE(LEFT(RIGHT(CONCATENATE("000",IFAData_TEA_1718!A1072),6),3),"-",(RIGHT(RIGHT(CONCATENATE("000",IFAData_TEA_1718!A1072),6),3)))</f>
        <v>094-903</v>
      </c>
      <c r="C1072" t="s">
        <v>232</v>
      </c>
      <c r="D1072">
        <v>9</v>
      </c>
      <c r="E1072">
        <v>2127</v>
      </c>
      <c r="F1072" t="s">
        <v>4752</v>
      </c>
      <c r="G1072" t="s">
        <v>4754</v>
      </c>
      <c r="H1072">
        <v>388765</v>
      </c>
      <c r="I1072">
        <v>152005</v>
      </c>
      <c r="J1072">
        <v>0.204113558602835</v>
      </c>
      <c r="K1072">
        <v>79352.207610231097</v>
      </c>
      <c r="L1072">
        <v>79352.207610231097</v>
      </c>
      <c r="M1072">
        <v>599</v>
      </c>
    </row>
    <row r="1073" spans="1:13" ht="15">
      <c r="A1073" t="s">
        <v>4755</v>
      </c>
      <c r="B1073" s="1040" t="str">
        <f>CONCATENATE(LEFT(RIGHT(CONCATENATE("000",IFAData_TEA_1718!A1073),6),3),"-",(RIGHT(RIGHT(CONCATENATE("000",IFAData_TEA_1718!A1073),6),3)))</f>
        <v>094-904</v>
      </c>
      <c r="C1073" t="s">
        <v>293</v>
      </c>
      <c r="D1073">
        <v>1</v>
      </c>
      <c r="E1073">
        <v>2066</v>
      </c>
      <c r="F1073" t="s">
        <v>4756</v>
      </c>
      <c r="G1073" t="s">
        <v>4756</v>
      </c>
      <c r="H1073">
        <v>213569</v>
      </c>
      <c r="I1073">
        <v>0</v>
      </c>
      <c r="J1073">
        <v>0</v>
      </c>
      <c r="K1073"/>
      <c r="L1073">
        <v>0</v>
      </c>
      <c r="M1073">
        <v>599</v>
      </c>
    </row>
    <row r="1074" spans="1:13" ht="15">
      <c r="A1074" t="s">
        <v>4755</v>
      </c>
      <c r="B1074" s="1040" t="str">
        <f>CONCATENATE(LEFT(RIGHT(CONCATENATE("000",IFAData_TEA_1718!A1074),6),3),"-",(RIGHT(RIGHT(CONCATENATE("000",IFAData_TEA_1718!A1074),6),3)))</f>
        <v>094-904</v>
      </c>
      <c r="C1074" t="s">
        <v>293</v>
      </c>
      <c r="D1074">
        <v>3</v>
      </c>
      <c r="E1074">
        <v>2065</v>
      </c>
      <c r="F1074" t="s">
        <v>4757</v>
      </c>
      <c r="G1074" t="s">
        <v>4757</v>
      </c>
      <c r="H1074">
        <v>167150</v>
      </c>
      <c r="I1074">
        <v>0</v>
      </c>
      <c r="J1074">
        <v>0</v>
      </c>
      <c r="K1074"/>
      <c r="L1074">
        <v>0</v>
      </c>
      <c r="M1074">
        <v>199</v>
      </c>
    </row>
    <row r="1075" spans="1:13" ht="15">
      <c r="A1075" t="s">
        <v>4755</v>
      </c>
      <c r="B1075" s="1040" t="str">
        <f>CONCATENATE(LEFT(RIGHT(CONCATENATE("000",IFAData_TEA_1718!A1075),6),3),"-",(RIGHT(RIGHT(CONCATENATE("000",IFAData_TEA_1718!A1075),6),3)))</f>
        <v>094-904</v>
      </c>
      <c r="C1075" t="s">
        <v>293</v>
      </c>
      <c r="D1075">
        <v>5</v>
      </c>
      <c r="E1075">
        <v>2067</v>
      </c>
      <c r="F1075" t="s">
        <v>4758</v>
      </c>
      <c r="G1075" t="s">
        <v>4758</v>
      </c>
      <c r="H1075">
        <v>325000</v>
      </c>
      <c r="I1075">
        <v>0</v>
      </c>
      <c r="J1075">
        <v>0</v>
      </c>
      <c r="K1075"/>
      <c r="L1075">
        <v>0</v>
      </c>
      <c r="M1075">
        <v>599</v>
      </c>
    </row>
    <row r="1076" spans="1:13" ht="15">
      <c r="A1076" t="s">
        <v>3531</v>
      </c>
      <c r="B1076" s="1040" t="str">
        <f>CONCATENATE(LEFT(RIGHT(CONCATENATE("000",IFAData_TEA_1718!A1076),6),3),"-",(RIGHT(RIGHT(CONCATENATE("000",IFAData_TEA_1718!A1076),6),3)))</f>
        <v>097-903</v>
      </c>
      <c r="C1076" t="s">
        <v>2373</v>
      </c>
      <c r="D1076">
        <v>6</v>
      </c>
      <c r="E1076">
        <v>1884</v>
      </c>
      <c r="F1076" t="s">
        <v>4759</v>
      </c>
      <c r="G1076" t="s">
        <v>4759</v>
      </c>
      <c r="H1076">
        <v>176577</v>
      </c>
      <c r="I1076">
        <v>0</v>
      </c>
      <c r="J1076">
        <v>0</v>
      </c>
      <c r="K1076">
        <v>0</v>
      </c>
      <c r="L1076">
        <v>0</v>
      </c>
      <c r="M1076">
        <v>599</v>
      </c>
    </row>
    <row r="1077" spans="1:13" ht="15">
      <c r="A1077" t="s">
        <v>3531</v>
      </c>
      <c r="B1077" s="1040" t="str">
        <f>CONCATENATE(LEFT(RIGHT(CONCATENATE("000",IFAData_TEA_1718!A1077),6),3),"-",(RIGHT(RIGHT(CONCATENATE("000",IFAData_TEA_1718!A1077),6),3)))</f>
        <v>097-903</v>
      </c>
      <c r="C1077" t="s">
        <v>2373</v>
      </c>
      <c r="D1077">
        <v>6</v>
      </c>
      <c r="E1077">
        <v>1884</v>
      </c>
      <c r="F1077" t="s">
        <v>4759</v>
      </c>
      <c r="G1077" t="s">
        <v>4760</v>
      </c>
      <c r="H1077">
        <v>176577</v>
      </c>
      <c r="I1077">
        <v>214424</v>
      </c>
      <c r="J1077">
        <v>1</v>
      </c>
      <c r="K1077">
        <v>176577</v>
      </c>
      <c r="L1077">
        <v>176577</v>
      </c>
      <c r="M1077">
        <v>599</v>
      </c>
    </row>
    <row r="1078" spans="1:13" ht="15">
      <c r="A1078" t="s">
        <v>3532</v>
      </c>
      <c r="B1078" s="1040" t="str">
        <f>CONCATENATE(LEFT(RIGHT(CONCATENATE("000",IFAData_TEA_1718!A1078),6),3),"-",(RIGHT(RIGHT(CONCATENATE("000",IFAData_TEA_1718!A1078),6),3)))</f>
        <v>100-904</v>
      </c>
      <c r="C1078" t="s">
        <v>1494</v>
      </c>
      <c r="D1078">
        <v>2</v>
      </c>
      <c r="E1078">
        <v>2334</v>
      </c>
      <c r="F1078" t="s">
        <v>4761</v>
      </c>
      <c r="G1078" t="s">
        <v>4761</v>
      </c>
      <c r="H1078">
        <v>831475</v>
      </c>
      <c r="I1078">
        <v>0</v>
      </c>
      <c r="J1078">
        <v>0</v>
      </c>
      <c r="K1078">
        <v>0</v>
      </c>
      <c r="L1078">
        <v>0</v>
      </c>
      <c r="M1078">
        <v>599</v>
      </c>
    </row>
    <row r="1079" spans="1:13" ht="15">
      <c r="A1079" t="s">
        <v>3532</v>
      </c>
      <c r="B1079" s="1040" t="str">
        <f>CONCATENATE(LEFT(RIGHT(CONCATENATE("000",IFAData_TEA_1718!A1079),6),3),"-",(RIGHT(RIGHT(CONCATENATE("000",IFAData_TEA_1718!A1079),6),3)))</f>
        <v>100-904</v>
      </c>
      <c r="C1079" t="s">
        <v>1494</v>
      </c>
      <c r="D1079">
        <v>2</v>
      </c>
      <c r="E1079">
        <v>2334</v>
      </c>
      <c r="F1079" t="s">
        <v>4761</v>
      </c>
      <c r="G1079" t="s">
        <v>4762</v>
      </c>
      <c r="H1079">
        <v>831475</v>
      </c>
      <c r="I1079">
        <v>798314</v>
      </c>
      <c r="J1079">
        <v>0.649981151447105</v>
      </c>
      <c r="K1079">
        <v>540443.07789948105</v>
      </c>
      <c r="L1079">
        <v>540443.07789948105</v>
      </c>
      <c r="M1079">
        <v>599</v>
      </c>
    </row>
    <row r="1080" spans="1:13" ht="15">
      <c r="A1080" t="s">
        <v>3532</v>
      </c>
      <c r="B1080" s="1040" t="str">
        <f>CONCATENATE(LEFT(RIGHT(CONCATENATE("000",IFAData_TEA_1718!A1080),6),3),"-",(RIGHT(RIGHT(CONCATENATE("000",IFAData_TEA_1718!A1080),6),3)))</f>
        <v>100-904</v>
      </c>
      <c r="C1080" t="s">
        <v>1494</v>
      </c>
      <c r="D1080">
        <v>2</v>
      </c>
      <c r="E1080">
        <v>2334</v>
      </c>
      <c r="F1080" t="s">
        <v>4761</v>
      </c>
      <c r="G1080" t="s">
        <v>8394</v>
      </c>
      <c r="H1080">
        <v>831475</v>
      </c>
      <c r="I1080">
        <v>429897</v>
      </c>
      <c r="J1080">
        <v>0.350018848552895</v>
      </c>
      <c r="K1080">
        <v>291031.922100519</v>
      </c>
      <c r="L1080">
        <v>291031.922100519</v>
      </c>
      <c r="M1080">
        <v>599</v>
      </c>
    </row>
    <row r="1081" spans="1:13" ht="15">
      <c r="A1081" t="s">
        <v>3532</v>
      </c>
      <c r="B1081" s="1040" t="str">
        <f>CONCATENATE(LEFT(RIGHT(CONCATENATE("000",IFAData_TEA_1718!A1081),6),3),"-",(RIGHT(RIGHT(CONCATENATE("000",IFAData_TEA_1718!A1081),6),3)))</f>
        <v>100-904</v>
      </c>
      <c r="C1081" t="s">
        <v>1494</v>
      </c>
      <c r="D1081">
        <v>3</v>
      </c>
      <c r="E1081">
        <v>2333</v>
      </c>
      <c r="F1081" t="s">
        <v>4763</v>
      </c>
      <c r="G1081" t="s">
        <v>4763</v>
      </c>
      <c r="H1081">
        <v>701598</v>
      </c>
      <c r="I1081">
        <v>0</v>
      </c>
      <c r="J1081">
        <v>0</v>
      </c>
      <c r="K1081">
        <v>0</v>
      </c>
      <c r="L1081">
        <v>0</v>
      </c>
      <c r="M1081">
        <v>599</v>
      </c>
    </row>
    <row r="1082" spans="1:13" ht="15">
      <c r="A1082" t="s">
        <v>3532</v>
      </c>
      <c r="B1082" s="1040" t="str">
        <f>CONCATENATE(LEFT(RIGHT(CONCATENATE("000",IFAData_TEA_1718!A1082),6),3),"-",(RIGHT(RIGHT(CONCATENATE("000",IFAData_TEA_1718!A1082),6),3)))</f>
        <v>100-904</v>
      </c>
      <c r="C1082" t="s">
        <v>1494</v>
      </c>
      <c r="D1082">
        <v>3</v>
      </c>
      <c r="E1082">
        <v>2333</v>
      </c>
      <c r="F1082" t="s">
        <v>4763</v>
      </c>
      <c r="G1082" t="s">
        <v>4764</v>
      </c>
      <c r="H1082">
        <v>701598</v>
      </c>
      <c r="I1082">
        <v>562026</v>
      </c>
      <c r="J1082">
        <v>0.58798556258827195</v>
      </c>
      <c r="K1082">
        <v>412529.49474080699</v>
      </c>
      <c r="L1082">
        <v>412529.49474080699</v>
      </c>
      <c r="M1082">
        <v>599</v>
      </c>
    </row>
    <row r="1083" spans="1:13" ht="15">
      <c r="A1083" t="s">
        <v>3532</v>
      </c>
      <c r="B1083" s="1040" t="str">
        <f>CONCATENATE(LEFT(RIGHT(CONCATENATE("000",IFAData_TEA_1718!A1083),6),3),"-",(RIGHT(RIGHT(CONCATENATE("000",IFAData_TEA_1718!A1083),6),3)))</f>
        <v>100-904</v>
      </c>
      <c r="C1083" t="s">
        <v>1494</v>
      </c>
      <c r="D1083">
        <v>3</v>
      </c>
      <c r="E1083">
        <v>2333</v>
      </c>
      <c r="F1083" t="s">
        <v>4763</v>
      </c>
      <c r="G1083" t="s">
        <v>8394</v>
      </c>
      <c r="H1083">
        <v>701598</v>
      </c>
      <c r="I1083">
        <v>393824</v>
      </c>
      <c r="J1083">
        <v>0.412014437411728</v>
      </c>
      <c r="K1083">
        <v>289068.50525919301</v>
      </c>
      <c r="L1083">
        <v>289068.50525919301</v>
      </c>
      <c r="M1083">
        <v>599</v>
      </c>
    </row>
    <row r="1084" spans="1:13" ht="15">
      <c r="A1084" t="s">
        <v>3533</v>
      </c>
      <c r="B1084" s="1040" t="str">
        <f>CONCATENATE(LEFT(RIGHT(CONCATENATE("000",IFAData_TEA_1718!A1084),6),3),"-",(RIGHT(RIGHT(CONCATENATE("000",IFAData_TEA_1718!A1084),6),3)))</f>
        <v>100-907</v>
      </c>
      <c r="C1084" t="s">
        <v>839</v>
      </c>
      <c r="D1084">
        <v>1</v>
      </c>
      <c r="E1084">
        <v>2045</v>
      </c>
      <c r="F1084" t="s">
        <v>4765</v>
      </c>
      <c r="G1084" t="s">
        <v>4765</v>
      </c>
      <c r="H1084">
        <v>855058</v>
      </c>
      <c r="I1084">
        <v>0</v>
      </c>
      <c r="J1084">
        <v>0</v>
      </c>
      <c r="K1084">
        <v>0</v>
      </c>
      <c r="L1084">
        <v>0</v>
      </c>
      <c r="M1084">
        <v>599</v>
      </c>
    </row>
    <row r="1085" spans="1:13" ht="15">
      <c r="A1085" t="s">
        <v>3533</v>
      </c>
      <c r="B1085" s="1040" t="str">
        <f>CONCATENATE(LEFT(RIGHT(CONCATENATE("000",IFAData_TEA_1718!A1085),6),3),"-",(RIGHT(RIGHT(CONCATENATE("000",IFAData_TEA_1718!A1085),6),3)))</f>
        <v>100-907</v>
      </c>
      <c r="C1085" t="s">
        <v>839</v>
      </c>
      <c r="D1085">
        <v>1</v>
      </c>
      <c r="E1085">
        <v>2045</v>
      </c>
      <c r="F1085" t="s">
        <v>4765</v>
      </c>
      <c r="G1085" t="s">
        <v>4766</v>
      </c>
      <c r="H1085">
        <v>855058</v>
      </c>
      <c r="I1085">
        <v>0</v>
      </c>
      <c r="J1085">
        <v>0</v>
      </c>
      <c r="K1085">
        <v>0</v>
      </c>
      <c r="L1085">
        <v>0</v>
      </c>
      <c r="M1085">
        <v>599</v>
      </c>
    </row>
    <row r="1086" spans="1:13" ht="15">
      <c r="A1086" t="s">
        <v>3533</v>
      </c>
      <c r="B1086" s="1040" t="str">
        <f>CONCATENATE(LEFT(RIGHT(CONCATENATE("000",IFAData_TEA_1718!A1086),6),3),"-",(RIGHT(RIGHT(CONCATENATE("000",IFAData_TEA_1718!A1086),6),3)))</f>
        <v>100-907</v>
      </c>
      <c r="C1086" t="s">
        <v>839</v>
      </c>
      <c r="D1086">
        <v>1</v>
      </c>
      <c r="E1086">
        <v>2045</v>
      </c>
      <c r="F1086" t="s">
        <v>4765</v>
      </c>
      <c r="G1086" t="s">
        <v>6467</v>
      </c>
      <c r="H1086">
        <v>855058</v>
      </c>
      <c r="I1086">
        <v>948615</v>
      </c>
      <c r="J1086">
        <v>1</v>
      </c>
      <c r="K1086">
        <v>855058</v>
      </c>
      <c r="L1086">
        <v>855058</v>
      </c>
      <c r="M1086">
        <v>599</v>
      </c>
    </row>
    <row r="1087" spans="1:13" ht="15">
      <c r="A1087" t="s">
        <v>3533</v>
      </c>
      <c r="B1087" s="1040" t="str">
        <f>CONCATENATE(LEFT(RIGHT(CONCATENATE("000",IFAData_TEA_1718!A1087),6),3),"-",(RIGHT(RIGHT(CONCATENATE("000",IFAData_TEA_1718!A1087),6),3)))</f>
        <v>100-907</v>
      </c>
      <c r="C1087" t="s">
        <v>839</v>
      </c>
      <c r="D1087">
        <v>5</v>
      </c>
      <c r="E1087">
        <v>2044</v>
      </c>
      <c r="F1087" t="s">
        <v>4767</v>
      </c>
      <c r="G1087" t="s">
        <v>4767</v>
      </c>
      <c r="H1087">
        <v>663791</v>
      </c>
      <c r="I1087">
        <v>0</v>
      </c>
      <c r="J1087">
        <v>0</v>
      </c>
      <c r="K1087">
        <v>0</v>
      </c>
      <c r="L1087">
        <v>0</v>
      </c>
      <c r="M1087">
        <v>599</v>
      </c>
    </row>
    <row r="1088" spans="1:13" ht="15">
      <c r="A1088" t="s">
        <v>3533</v>
      </c>
      <c r="B1088" s="1040" t="str">
        <f>CONCATENATE(LEFT(RIGHT(CONCATENATE("000",IFAData_TEA_1718!A1088),6),3),"-",(RIGHT(RIGHT(CONCATENATE("000",IFAData_TEA_1718!A1088),6),3)))</f>
        <v>100-907</v>
      </c>
      <c r="C1088" t="s">
        <v>839</v>
      </c>
      <c r="D1088">
        <v>5</v>
      </c>
      <c r="E1088">
        <v>2044</v>
      </c>
      <c r="F1088" t="s">
        <v>4767</v>
      </c>
      <c r="G1088" t="s">
        <v>4766</v>
      </c>
      <c r="H1088">
        <v>663791</v>
      </c>
      <c r="I1088">
        <v>0</v>
      </c>
      <c r="J1088">
        <v>0</v>
      </c>
      <c r="K1088">
        <v>0</v>
      </c>
      <c r="L1088">
        <v>0</v>
      </c>
      <c r="M1088">
        <v>599</v>
      </c>
    </row>
    <row r="1089" spans="1:13" ht="15">
      <c r="A1089" t="s">
        <v>3533</v>
      </c>
      <c r="B1089" s="1040" t="str">
        <f>CONCATENATE(LEFT(RIGHT(CONCATENATE("000",IFAData_TEA_1718!A1089),6),3),"-",(RIGHT(RIGHT(CONCATENATE("000",IFAData_TEA_1718!A1089),6),3)))</f>
        <v>100-907</v>
      </c>
      <c r="C1089" t="s">
        <v>839</v>
      </c>
      <c r="D1089">
        <v>5</v>
      </c>
      <c r="E1089">
        <v>2044</v>
      </c>
      <c r="F1089" t="s">
        <v>4767</v>
      </c>
      <c r="G1089" t="s">
        <v>4768</v>
      </c>
      <c r="H1089">
        <v>663791</v>
      </c>
      <c r="I1089">
        <v>0</v>
      </c>
      <c r="J1089">
        <v>0</v>
      </c>
      <c r="K1089">
        <v>0</v>
      </c>
      <c r="L1089">
        <v>0</v>
      </c>
      <c r="M1089">
        <v>599</v>
      </c>
    </row>
    <row r="1090" spans="1:13" ht="15">
      <c r="A1090" t="s">
        <v>3533</v>
      </c>
      <c r="B1090" s="1040" t="str">
        <f>CONCATENATE(LEFT(RIGHT(CONCATENATE("000",IFAData_TEA_1718!A1090),6),3),"-",(RIGHT(RIGHT(CONCATENATE("000",IFAData_TEA_1718!A1090),6),3)))</f>
        <v>100-907</v>
      </c>
      <c r="C1090" t="s">
        <v>839</v>
      </c>
      <c r="D1090">
        <v>5</v>
      </c>
      <c r="E1090">
        <v>2044</v>
      </c>
      <c r="F1090" t="s">
        <v>4767</v>
      </c>
      <c r="G1090" t="s">
        <v>6467</v>
      </c>
      <c r="H1090">
        <v>663791</v>
      </c>
      <c r="I1090">
        <v>592885</v>
      </c>
      <c r="J1090">
        <v>1</v>
      </c>
      <c r="K1090">
        <v>663791</v>
      </c>
      <c r="L1090">
        <v>592885</v>
      </c>
      <c r="M1090">
        <v>599</v>
      </c>
    </row>
    <row r="1091" spans="1:13" ht="15">
      <c r="A1091" t="s">
        <v>3534</v>
      </c>
      <c r="B1091" s="1040" t="str">
        <f>CONCATENATE(LEFT(RIGHT(CONCATENATE("000",IFAData_TEA_1718!A1091),6),3),"-",(RIGHT(RIGHT(CONCATENATE("000",IFAData_TEA_1718!A1091),6),3)))</f>
        <v>100-908</v>
      </c>
      <c r="C1091" t="s">
        <v>297</v>
      </c>
      <c r="D1091">
        <v>3</v>
      </c>
      <c r="E1091">
        <v>2443</v>
      </c>
      <c r="F1091" t="s">
        <v>4769</v>
      </c>
      <c r="G1091" t="s">
        <v>4769</v>
      </c>
      <c r="H1091">
        <v>1101</v>
      </c>
      <c r="I1091">
        <v>0</v>
      </c>
      <c r="J1091">
        <v>0</v>
      </c>
      <c r="K1091">
        <v>0</v>
      </c>
      <c r="L1091">
        <v>0</v>
      </c>
      <c r="M1091">
        <v>599</v>
      </c>
    </row>
    <row r="1092" spans="1:13" ht="15">
      <c r="A1092" t="s">
        <v>3534</v>
      </c>
      <c r="B1092" s="1040" t="str">
        <f>CONCATENATE(LEFT(RIGHT(CONCATENATE("000",IFAData_TEA_1718!A1092),6),3),"-",(RIGHT(RIGHT(CONCATENATE("000",IFAData_TEA_1718!A1092),6),3)))</f>
        <v>100-908</v>
      </c>
      <c r="C1092" t="s">
        <v>297</v>
      </c>
      <c r="D1092">
        <v>3</v>
      </c>
      <c r="E1092">
        <v>2443</v>
      </c>
      <c r="F1092" t="s">
        <v>4769</v>
      </c>
      <c r="G1092" t="s">
        <v>4770</v>
      </c>
      <c r="H1092">
        <v>1101</v>
      </c>
      <c r="I1092">
        <v>0</v>
      </c>
      <c r="J1092">
        <v>0</v>
      </c>
      <c r="K1092">
        <v>0</v>
      </c>
      <c r="L1092">
        <v>0</v>
      </c>
      <c r="M1092">
        <v>599</v>
      </c>
    </row>
    <row r="1093" spans="1:13" ht="15">
      <c r="A1093" t="s">
        <v>3534</v>
      </c>
      <c r="B1093" s="1040" t="str">
        <f>CONCATENATE(LEFT(RIGHT(CONCATENATE("000",IFAData_TEA_1718!A1093),6),3),"-",(RIGHT(RIGHT(CONCATENATE("000",IFAData_TEA_1718!A1093),6),3)))</f>
        <v>100-908</v>
      </c>
      <c r="C1093" t="s">
        <v>297</v>
      </c>
      <c r="D1093">
        <v>3</v>
      </c>
      <c r="E1093">
        <v>2443</v>
      </c>
      <c r="F1093" t="s">
        <v>4769</v>
      </c>
      <c r="G1093" t="s">
        <v>6468</v>
      </c>
      <c r="H1093">
        <v>1101</v>
      </c>
      <c r="I1093">
        <v>217915</v>
      </c>
      <c r="J1093">
        <v>1</v>
      </c>
      <c r="K1093">
        <v>1101</v>
      </c>
      <c r="L1093">
        <v>1101</v>
      </c>
      <c r="M1093">
        <v>599</v>
      </c>
    </row>
    <row r="1094" spans="1:13" ht="15">
      <c r="A1094" t="s">
        <v>3535</v>
      </c>
      <c r="B1094" s="1040" t="str">
        <f>CONCATENATE(LEFT(RIGHT(CONCATENATE("000",IFAData_TEA_1718!A1094),6),3),"-",(RIGHT(RIGHT(CONCATENATE("000",IFAData_TEA_1718!A1094),6),3)))</f>
        <v>101-902</v>
      </c>
      <c r="C1094" t="s">
        <v>699</v>
      </c>
      <c r="D1094">
        <v>1</v>
      </c>
      <c r="E1094">
        <v>1545</v>
      </c>
      <c r="F1094" t="s">
        <v>4771</v>
      </c>
      <c r="G1094" t="s">
        <v>4771</v>
      </c>
      <c r="H1094">
        <v>3458574</v>
      </c>
      <c r="I1094">
        <v>0</v>
      </c>
      <c r="J1094">
        <v>0</v>
      </c>
      <c r="K1094">
        <v>0</v>
      </c>
      <c r="L1094">
        <v>0</v>
      </c>
      <c r="M1094">
        <v>599</v>
      </c>
    </row>
    <row r="1095" spans="1:13" ht="15">
      <c r="A1095" t="s">
        <v>3535</v>
      </c>
      <c r="B1095" s="1040" t="str">
        <f>CONCATENATE(LEFT(RIGHT(CONCATENATE("000",IFAData_TEA_1718!A1095),6),3),"-",(RIGHT(RIGHT(CONCATENATE("000",IFAData_TEA_1718!A1095),6),3)))</f>
        <v>101-902</v>
      </c>
      <c r="C1095" t="s">
        <v>699</v>
      </c>
      <c r="D1095">
        <v>1</v>
      </c>
      <c r="E1095">
        <v>1545</v>
      </c>
      <c r="F1095" t="s">
        <v>4771</v>
      </c>
      <c r="G1095" t="s">
        <v>4772</v>
      </c>
      <c r="H1095">
        <v>3458574</v>
      </c>
      <c r="I1095">
        <v>0</v>
      </c>
      <c r="J1095">
        <v>0</v>
      </c>
      <c r="K1095">
        <v>0</v>
      </c>
      <c r="L1095">
        <v>0</v>
      </c>
      <c r="M1095">
        <v>599</v>
      </c>
    </row>
    <row r="1096" spans="1:13" ht="15">
      <c r="A1096" t="s">
        <v>3535</v>
      </c>
      <c r="B1096" s="1040" t="str">
        <f>CONCATENATE(LEFT(RIGHT(CONCATENATE("000",IFAData_TEA_1718!A1096),6),3),"-",(RIGHT(RIGHT(CONCATENATE("000",IFAData_TEA_1718!A1096),6),3)))</f>
        <v>101-902</v>
      </c>
      <c r="C1096" t="s">
        <v>699</v>
      </c>
      <c r="D1096">
        <v>1</v>
      </c>
      <c r="E1096">
        <v>1545</v>
      </c>
      <c r="F1096" t="s">
        <v>4771</v>
      </c>
      <c r="G1096" t="s">
        <v>4773</v>
      </c>
      <c r="H1096">
        <v>3458574</v>
      </c>
      <c r="I1096">
        <v>539662</v>
      </c>
      <c r="J1096">
        <v>0.11050434441451</v>
      </c>
      <c r="K1096">
        <v>382187.452479069</v>
      </c>
      <c r="L1096">
        <v>382187.452479069</v>
      </c>
      <c r="M1096">
        <v>599</v>
      </c>
    </row>
    <row r="1097" spans="1:13" ht="15">
      <c r="A1097" t="s">
        <v>3535</v>
      </c>
      <c r="B1097" s="1040" t="str">
        <f>CONCATENATE(LEFT(RIGHT(CONCATENATE("000",IFAData_TEA_1718!A1097),6),3),"-",(RIGHT(RIGHT(CONCATENATE("000",IFAData_TEA_1718!A1097),6),3)))</f>
        <v>101-902</v>
      </c>
      <c r="C1097" t="s">
        <v>699</v>
      </c>
      <c r="D1097">
        <v>1</v>
      </c>
      <c r="E1097">
        <v>1545</v>
      </c>
      <c r="F1097" t="s">
        <v>4771</v>
      </c>
      <c r="G1097" t="s">
        <v>4774</v>
      </c>
      <c r="H1097">
        <v>3458574</v>
      </c>
      <c r="I1097">
        <v>426505</v>
      </c>
      <c r="J1097">
        <v>8.7333655907791505E-2</v>
      </c>
      <c r="K1097">
        <v>302049.911647634</v>
      </c>
      <c r="L1097">
        <v>302049.911647634</v>
      </c>
      <c r="M1097">
        <v>599</v>
      </c>
    </row>
    <row r="1098" spans="1:13" ht="15">
      <c r="A1098" t="s">
        <v>3535</v>
      </c>
      <c r="B1098" s="1040" t="str">
        <f>CONCATENATE(LEFT(RIGHT(CONCATENATE("000",IFAData_TEA_1718!A1098),6),3),"-",(RIGHT(RIGHT(CONCATENATE("000",IFAData_TEA_1718!A1098),6),3)))</f>
        <v>101-902</v>
      </c>
      <c r="C1098" t="s">
        <v>699</v>
      </c>
      <c r="D1098">
        <v>1</v>
      </c>
      <c r="E1098">
        <v>1545</v>
      </c>
      <c r="F1098" t="s">
        <v>4771</v>
      </c>
      <c r="G1098" t="s">
        <v>4775</v>
      </c>
      <c r="H1098">
        <v>3458574</v>
      </c>
      <c r="I1098">
        <v>3502531</v>
      </c>
      <c r="J1098">
        <v>0.71719871316953598</v>
      </c>
      <c r="K1098">
        <v>2480484.8222016101</v>
      </c>
      <c r="L1098">
        <v>2480484.8222016101</v>
      </c>
      <c r="M1098">
        <v>599</v>
      </c>
    </row>
    <row r="1099" spans="1:13" ht="15">
      <c r="A1099" t="s">
        <v>3535</v>
      </c>
      <c r="B1099" s="1040" t="str">
        <f>CONCATENATE(LEFT(RIGHT(CONCATENATE("000",IFAData_TEA_1718!A1099),6),3),"-",(RIGHT(RIGHT(CONCATENATE("000",IFAData_TEA_1718!A1099),6),3)))</f>
        <v>101-902</v>
      </c>
      <c r="C1099" t="s">
        <v>699</v>
      </c>
      <c r="D1099">
        <v>1</v>
      </c>
      <c r="E1099">
        <v>1545</v>
      </c>
      <c r="F1099" t="s">
        <v>4771</v>
      </c>
      <c r="G1099" t="s">
        <v>8395</v>
      </c>
      <c r="H1099">
        <v>3458574</v>
      </c>
      <c r="I1099">
        <v>414929</v>
      </c>
      <c r="J1099">
        <v>8.49632865081629E-2</v>
      </c>
      <c r="K1099">
        <v>293851.81367168302</v>
      </c>
      <c r="L1099">
        <v>293851.81367168302</v>
      </c>
      <c r="M1099">
        <v>599</v>
      </c>
    </row>
    <row r="1100" spans="1:13" ht="15">
      <c r="A1100" t="s">
        <v>3535</v>
      </c>
      <c r="B1100" s="1040" t="str">
        <f>CONCATENATE(LEFT(RIGHT(CONCATENATE("000",IFAData_TEA_1718!A1100),6),3),"-",(RIGHT(RIGHT(CONCATENATE("000",IFAData_TEA_1718!A1100),6),3)))</f>
        <v>101-902</v>
      </c>
      <c r="C1100" t="s">
        <v>699</v>
      </c>
      <c r="D1100">
        <v>1</v>
      </c>
      <c r="E1100">
        <v>1548</v>
      </c>
      <c r="F1100" t="s">
        <v>4776</v>
      </c>
      <c r="G1100" t="s">
        <v>4776</v>
      </c>
      <c r="H1100">
        <v>6381926</v>
      </c>
      <c r="I1100">
        <v>0</v>
      </c>
      <c r="J1100">
        <v>0</v>
      </c>
      <c r="K1100">
        <v>0</v>
      </c>
      <c r="L1100">
        <v>0</v>
      </c>
      <c r="M1100">
        <v>599</v>
      </c>
    </row>
    <row r="1101" spans="1:13" ht="15">
      <c r="A1101" t="s">
        <v>3535</v>
      </c>
      <c r="B1101" s="1040" t="str">
        <f>CONCATENATE(LEFT(RIGHT(CONCATENATE("000",IFAData_TEA_1718!A1101),6),3),"-",(RIGHT(RIGHT(CONCATENATE("000",IFAData_TEA_1718!A1101),6),3)))</f>
        <v>101-902</v>
      </c>
      <c r="C1101" t="s">
        <v>699</v>
      </c>
      <c r="D1101">
        <v>1</v>
      </c>
      <c r="E1101">
        <v>1548</v>
      </c>
      <c r="F1101" t="s">
        <v>4776</v>
      </c>
      <c r="G1101" t="s">
        <v>4772</v>
      </c>
      <c r="H1101">
        <v>6381926</v>
      </c>
      <c r="I1101">
        <v>0</v>
      </c>
      <c r="J1101">
        <v>0</v>
      </c>
      <c r="K1101">
        <v>0</v>
      </c>
      <c r="L1101">
        <v>0</v>
      </c>
      <c r="M1101">
        <v>599</v>
      </c>
    </row>
    <row r="1102" spans="1:13" ht="15">
      <c r="A1102" t="s">
        <v>3535</v>
      </c>
      <c r="B1102" s="1040" t="str">
        <f>CONCATENATE(LEFT(RIGHT(CONCATENATE("000",IFAData_TEA_1718!A1102),6),3),"-",(RIGHT(RIGHT(CONCATENATE("000",IFAData_TEA_1718!A1102),6),3)))</f>
        <v>101-902</v>
      </c>
      <c r="C1102" t="s">
        <v>699</v>
      </c>
      <c r="D1102">
        <v>1</v>
      </c>
      <c r="E1102">
        <v>1548</v>
      </c>
      <c r="F1102" t="s">
        <v>4776</v>
      </c>
      <c r="G1102" t="s">
        <v>4773</v>
      </c>
      <c r="H1102">
        <v>6381926</v>
      </c>
      <c r="I1102">
        <v>286650</v>
      </c>
      <c r="J1102">
        <v>0.12992033909367101</v>
      </c>
      <c r="K1102">
        <v>829141.98999071796</v>
      </c>
      <c r="L1102">
        <v>286650</v>
      </c>
      <c r="M1102">
        <v>599</v>
      </c>
    </row>
    <row r="1103" spans="1:13" ht="15">
      <c r="A1103" t="s">
        <v>3535</v>
      </c>
      <c r="B1103" s="1040" t="str">
        <f>CONCATENATE(LEFT(RIGHT(CONCATENATE("000",IFAData_TEA_1718!A1103),6),3),"-",(RIGHT(RIGHT(CONCATENATE("000",IFAData_TEA_1718!A1103),6),3)))</f>
        <v>101-902</v>
      </c>
      <c r="C1103" t="s">
        <v>699</v>
      </c>
      <c r="D1103">
        <v>1</v>
      </c>
      <c r="E1103">
        <v>1548</v>
      </c>
      <c r="F1103" t="s">
        <v>4776</v>
      </c>
      <c r="G1103" t="s">
        <v>4774</v>
      </c>
      <c r="H1103">
        <v>6381926</v>
      </c>
      <c r="I1103">
        <v>0</v>
      </c>
      <c r="J1103">
        <v>0</v>
      </c>
      <c r="K1103">
        <v>0</v>
      </c>
      <c r="L1103">
        <v>0</v>
      </c>
      <c r="M1103">
        <v>599</v>
      </c>
    </row>
    <row r="1104" spans="1:13" ht="15">
      <c r="A1104" t="s">
        <v>3535</v>
      </c>
      <c r="B1104" s="1040" t="str">
        <f>CONCATENATE(LEFT(RIGHT(CONCATENATE("000",IFAData_TEA_1718!A1104),6),3),"-",(RIGHT(RIGHT(CONCATENATE("000",IFAData_TEA_1718!A1104),6),3)))</f>
        <v>101-902</v>
      </c>
      <c r="C1104" t="s">
        <v>699</v>
      </c>
      <c r="D1104">
        <v>1</v>
      </c>
      <c r="E1104">
        <v>1548</v>
      </c>
      <c r="F1104" t="s">
        <v>4776</v>
      </c>
      <c r="G1104" t="s">
        <v>4775</v>
      </c>
      <c r="H1104">
        <v>6381926</v>
      </c>
      <c r="I1104">
        <v>1561375</v>
      </c>
      <c r="J1104">
        <v>0.70767266510511495</v>
      </c>
      <c r="K1104">
        <v>4516314.5809236197</v>
      </c>
      <c r="L1104">
        <v>1561375</v>
      </c>
      <c r="M1104">
        <v>599</v>
      </c>
    </row>
    <row r="1105" spans="1:13" ht="15">
      <c r="A1105" t="s">
        <v>3535</v>
      </c>
      <c r="B1105" s="1040" t="str">
        <f>CONCATENATE(LEFT(RIGHT(CONCATENATE("000",IFAData_TEA_1718!A1105),6),3),"-",(RIGHT(RIGHT(CONCATENATE("000",IFAData_TEA_1718!A1105),6),3)))</f>
        <v>101-902</v>
      </c>
      <c r="C1105" t="s">
        <v>699</v>
      </c>
      <c r="D1105">
        <v>1</v>
      </c>
      <c r="E1105">
        <v>1548</v>
      </c>
      <c r="F1105" t="s">
        <v>4776</v>
      </c>
      <c r="G1105" t="s">
        <v>8395</v>
      </c>
      <c r="H1105">
        <v>6381926</v>
      </c>
      <c r="I1105">
        <v>358327</v>
      </c>
      <c r="J1105">
        <v>0.16240699580121401</v>
      </c>
      <c r="K1105">
        <v>1036469.42908566</v>
      </c>
      <c r="L1105">
        <v>358327</v>
      </c>
      <c r="M1105">
        <v>599</v>
      </c>
    </row>
    <row r="1106" spans="1:13" ht="15">
      <c r="A1106" t="s">
        <v>3535</v>
      </c>
      <c r="B1106" s="1040" t="str">
        <f>CONCATENATE(LEFT(RIGHT(CONCATENATE("000",IFAData_TEA_1718!A1106),6),3),"-",(RIGHT(RIGHT(CONCATENATE("000",IFAData_TEA_1718!A1106),6),3)))</f>
        <v>101-902</v>
      </c>
      <c r="C1106" t="s">
        <v>699</v>
      </c>
      <c r="D1106">
        <v>2</v>
      </c>
      <c r="E1106">
        <v>1543</v>
      </c>
      <c r="F1106" t="s">
        <v>4777</v>
      </c>
      <c r="G1106" t="s">
        <v>4777</v>
      </c>
      <c r="H1106">
        <v>871986</v>
      </c>
      <c r="I1106">
        <v>0</v>
      </c>
      <c r="J1106">
        <v>0</v>
      </c>
      <c r="K1106"/>
      <c r="L1106">
        <v>0</v>
      </c>
      <c r="M1106">
        <v>199</v>
      </c>
    </row>
    <row r="1107" spans="1:13" ht="15">
      <c r="A1107" t="s">
        <v>3535</v>
      </c>
      <c r="B1107" s="1040" t="str">
        <f>CONCATENATE(LEFT(RIGHT(CONCATENATE("000",IFAData_TEA_1718!A1107),6),3),"-",(RIGHT(RIGHT(CONCATENATE("000",IFAData_TEA_1718!A1107),6),3)))</f>
        <v>101-902</v>
      </c>
      <c r="C1107" t="s">
        <v>699</v>
      </c>
      <c r="D1107">
        <v>5</v>
      </c>
      <c r="E1107">
        <v>1546</v>
      </c>
      <c r="F1107" t="s">
        <v>4778</v>
      </c>
      <c r="G1107" t="s">
        <v>4778</v>
      </c>
      <c r="H1107">
        <v>5192317</v>
      </c>
      <c r="I1107">
        <v>0</v>
      </c>
      <c r="J1107">
        <v>0</v>
      </c>
      <c r="K1107">
        <v>0</v>
      </c>
      <c r="L1107">
        <v>0</v>
      </c>
      <c r="M1107">
        <v>599</v>
      </c>
    </row>
    <row r="1108" spans="1:13" ht="15">
      <c r="A1108" t="s">
        <v>3535</v>
      </c>
      <c r="B1108" s="1040" t="str">
        <f>CONCATENATE(LEFT(RIGHT(CONCATENATE("000",IFAData_TEA_1718!A1108),6),3),"-",(RIGHT(RIGHT(CONCATENATE("000",IFAData_TEA_1718!A1108),6),3)))</f>
        <v>101-902</v>
      </c>
      <c r="C1108" t="s">
        <v>699</v>
      </c>
      <c r="D1108">
        <v>5</v>
      </c>
      <c r="E1108">
        <v>1546</v>
      </c>
      <c r="F1108" t="s">
        <v>4778</v>
      </c>
      <c r="G1108" t="s">
        <v>4773</v>
      </c>
      <c r="H1108">
        <v>5192317</v>
      </c>
      <c r="I1108">
        <v>3727612</v>
      </c>
      <c r="J1108">
        <v>0.56180972200787105</v>
      </c>
      <c r="K1108">
        <v>2917094.1703467402</v>
      </c>
      <c r="L1108">
        <v>2917094.1703467402</v>
      </c>
      <c r="M1108">
        <v>599</v>
      </c>
    </row>
    <row r="1109" spans="1:13" ht="15">
      <c r="A1109" t="s">
        <v>3535</v>
      </c>
      <c r="B1109" s="1040" t="str">
        <f>CONCATENATE(LEFT(RIGHT(CONCATENATE("000",IFAData_TEA_1718!A1109),6),3),"-",(RIGHT(RIGHT(CONCATENATE("000",IFAData_TEA_1718!A1109),6),3)))</f>
        <v>101-902</v>
      </c>
      <c r="C1109" t="s">
        <v>699</v>
      </c>
      <c r="D1109">
        <v>5</v>
      </c>
      <c r="E1109">
        <v>1546</v>
      </c>
      <c r="F1109" t="s">
        <v>4778</v>
      </c>
      <c r="G1109" t="s">
        <v>4774</v>
      </c>
      <c r="H1109">
        <v>5192317</v>
      </c>
      <c r="I1109">
        <v>1143313</v>
      </c>
      <c r="J1109">
        <v>0.17231524061463099</v>
      </c>
      <c r="K1109">
        <v>894715.35320243798</v>
      </c>
      <c r="L1109">
        <v>894715.35320243798</v>
      </c>
      <c r="M1109">
        <v>599</v>
      </c>
    </row>
    <row r="1110" spans="1:13" ht="15">
      <c r="A1110" t="s">
        <v>3535</v>
      </c>
      <c r="B1110" s="1040" t="str">
        <f>CONCATENATE(LEFT(RIGHT(CONCATENATE("000",IFAData_TEA_1718!A1110),6),3),"-",(RIGHT(RIGHT(CONCATENATE("000",IFAData_TEA_1718!A1110),6),3)))</f>
        <v>101-902</v>
      </c>
      <c r="C1110" t="s">
        <v>699</v>
      </c>
      <c r="D1110">
        <v>5</v>
      </c>
      <c r="E1110">
        <v>1546</v>
      </c>
      <c r="F1110" t="s">
        <v>4778</v>
      </c>
      <c r="G1110" t="s">
        <v>8395</v>
      </c>
      <c r="H1110">
        <v>5192317</v>
      </c>
      <c r="I1110">
        <v>1764083</v>
      </c>
      <c r="J1110">
        <v>0.26587503737749801</v>
      </c>
      <c r="K1110">
        <v>1380507.47645082</v>
      </c>
      <c r="L1110">
        <v>1380507.47645082</v>
      </c>
      <c r="M1110">
        <v>599</v>
      </c>
    </row>
    <row r="1111" spans="1:13" ht="15">
      <c r="A1111" t="s">
        <v>3535</v>
      </c>
      <c r="B1111" s="1040" t="str">
        <f>CONCATENATE(LEFT(RIGHT(CONCATENATE("000",IFAData_TEA_1718!A1111),6),3),"-",(RIGHT(RIGHT(CONCATENATE("000",IFAData_TEA_1718!A1111),6),3)))</f>
        <v>101-902</v>
      </c>
      <c r="C1111" t="s">
        <v>699</v>
      </c>
      <c r="D1111">
        <v>5</v>
      </c>
      <c r="E1111">
        <v>1542</v>
      </c>
      <c r="F1111" t="s">
        <v>4779</v>
      </c>
      <c r="G1111" t="s">
        <v>4779</v>
      </c>
      <c r="H1111">
        <v>871410</v>
      </c>
      <c r="I1111">
        <v>0</v>
      </c>
      <c r="J1111">
        <v>0</v>
      </c>
      <c r="K1111">
        <v>0</v>
      </c>
      <c r="L1111">
        <v>0</v>
      </c>
      <c r="M1111">
        <v>199</v>
      </c>
    </row>
    <row r="1112" spans="1:13" ht="15">
      <c r="A1112" t="s">
        <v>3535</v>
      </c>
      <c r="B1112" s="1040" t="str">
        <f>CONCATENATE(LEFT(RIGHT(CONCATENATE("000",IFAData_TEA_1718!A1112),6),3),"-",(RIGHT(RIGHT(CONCATENATE("000",IFAData_TEA_1718!A1112),6),3)))</f>
        <v>101-902</v>
      </c>
      <c r="C1112" t="s">
        <v>699</v>
      </c>
      <c r="D1112">
        <v>5</v>
      </c>
      <c r="E1112">
        <v>1542</v>
      </c>
      <c r="F1112" t="s">
        <v>4779</v>
      </c>
      <c r="G1112" t="s">
        <v>4780</v>
      </c>
      <c r="H1112">
        <v>871410</v>
      </c>
      <c r="I1112">
        <v>332788</v>
      </c>
      <c r="J1112">
        <v>1</v>
      </c>
      <c r="K1112">
        <v>871410</v>
      </c>
      <c r="L1112">
        <v>332788</v>
      </c>
      <c r="M1112">
        <v>199</v>
      </c>
    </row>
    <row r="1113" spans="1:13" ht="15">
      <c r="A1113" t="s">
        <v>3535</v>
      </c>
      <c r="B1113" s="1040" t="str">
        <f>CONCATENATE(LEFT(RIGHT(CONCATENATE("000",IFAData_TEA_1718!A1113),6),3),"-",(RIGHT(RIGHT(CONCATENATE("000",IFAData_TEA_1718!A1113),6),3)))</f>
        <v>101-902</v>
      </c>
      <c r="C1113" t="s">
        <v>699</v>
      </c>
      <c r="D1113">
        <v>9</v>
      </c>
      <c r="E1113">
        <v>1547</v>
      </c>
      <c r="F1113" t="s">
        <v>4781</v>
      </c>
      <c r="G1113" t="s">
        <v>4781</v>
      </c>
      <c r="H1113">
        <v>6114066</v>
      </c>
      <c r="I1113">
        <v>2535512</v>
      </c>
      <c r="J1113">
        <v>0.35423359887338701</v>
      </c>
      <c r="K1113">
        <v>2165807.6029294198</v>
      </c>
      <c r="L1113">
        <v>2165807.6029294198</v>
      </c>
      <c r="M1113">
        <v>599</v>
      </c>
    </row>
    <row r="1114" spans="1:13" ht="15">
      <c r="A1114" t="s">
        <v>3535</v>
      </c>
      <c r="B1114" s="1040" t="str">
        <f>CONCATENATE(LEFT(RIGHT(CONCATENATE("000",IFAData_TEA_1718!A1114),6),3),"-",(RIGHT(RIGHT(CONCATENATE("000",IFAData_TEA_1718!A1114),6),3)))</f>
        <v>101-902</v>
      </c>
      <c r="C1114" t="s">
        <v>699</v>
      </c>
      <c r="D1114">
        <v>9</v>
      </c>
      <c r="E1114">
        <v>1547</v>
      </c>
      <c r="F1114" t="s">
        <v>4781</v>
      </c>
      <c r="G1114" t="s">
        <v>8395</v>
      </c>
      <c r="H1114">
        <v>6114066</v>
      </c>
      <c r="I1114">
        <v>4622228</v>
      </c>
      <c r="J1114">
        <v>0.64576640112661299</v>
      </c>
      <c r="K1114">
        <v>3948258.3970705802</v>
      </c>
      <c r="L1114">
        <v>3948258.3970705802</v>
      </c>
      <c r="M1114">
        <v>599</v>
      </c>
    </row>
    <row r="1115" spans="1:13" ht="15">
      <c r="A1115" t="s">
        <v>3535</v>
      </c>
      <c r="B1115" s="1040" t="str">
        <f>CONCATENATE(LEFT(RIGHT(CONCATENATE("000",IFAData_TEA_1718!A1115),6),3),"-",(RIGHT(RIGHT(CONCATENATE("000",IFAData_TEA_1718!A1115),6),3)))</f>
        <v>101-902</v>
      </c>
      <c r="C1115" t="s">
        <v>699</v>
      </c>
      <c r="D1115">
        <v>9</v>
      </c>
      <c r="E1115">
        <v>1544</v>
      </c>
      <c r="F1115" t="s">
        <v>4782</v>
      </c>
      <c r="G1115" t="s">
        <v>4782</v>
      </c>
      <c r="H1115">
        <v>1073703</v>
      </c>
      <c r="I1115">
        <v>0</v>
      </c>
      <c r="J1115">
        <v>0</v>
      </c>
      <c r="K1115"/>
      <c r="L1115">
        <v>0</v>
      </c>
      <c r="M1115">
        <v>199</v>
      </c>
    </row>
    <row r="1116" spans="1:13" ht="15">
      <c r="A1116" t="s">
        <v>3535</v>
      </c>
      <c r="B1116" s="1040" t="str">
        <f>CONCATENATE(LEFT(RIGHT(CONCATENATE("000",IFAData_TEA_1718!A1116),6),3),"-",(RIGHT(RIGHT(CONCATENATE("000",IFAData_TEA_1718!A1116),6),3)))</f>
        <v>101-902</v>
      </c>
      <c r="C1116" t="s">
        <v>699</v>
      </c>
      <c r="D1116">
        <v>11</v>
      </c>
      <c r="E1116">
        <v>2583</v>
      </c>
      <c r="F1116" t="s">
        <v>8396</v>
      </c>
      <c r="G1116" t="s">
        <v>8396</v>
      </c>
      <c r="H1116">
        <v>6464000</v>
      </c>
      <c r="I1116">
        <v>6467450</v>
      </c>
      <c r="J1116">
        <v>1</v>
      </c>
      <c r="K1116">
        <v>6464000</v>
      </c>
      <c r="L1116">
        <v>6464000</v>
      </c>
      <c r="M1116">
        <v>599</v>
      </c>
    </row>
    <row r="1117" spans="1:13" ht="15">
      <c r="A1117" t="s">
        <v>3536</v>
      </c>
      <c r="B1117" s="1040" t="str">
        <f>CONCATENATE(LEFT(RIGHT(CONCATENATE("000",IFAData_TEA_1718!A1117),6),3),"-",(RIGHT(RIGHT(CONCATENATE("000",IFAData_TEA_1718!A1117),6),3)))</f>
        <v>101-903</v>
      </c>
      <c r="C1117" t="s">
        <v>1987</v>
      </c>
      <c r="D1117">
        <v>1</v>
      </c>
      <c r="E1117">
        <v>1554</v>
      </c>
      <c r="F1117" t="s">
        <v>4783</v>
      </c>
      <c r="G1117" t="s">
        <v>4783</v>
      </c>
      <c r="H1117">
        <v>1417777</v>
      </c>
      <c r="I1117">
        <v>0</v>
      </c>
      <c r="J1117">
        <v>0</v>
      </c>
      <c r="K1117">
        <v>0</v>
      </c>
      <c r="L1117">
        <v>0</v>
      </c>
      <c r="M1117">
        <v>599</v>
      </c>
    </row>
    <row r="1118" spans="1:13" ht="15">
      <c r="A1118" t="s">
        <v>3536</v>
      </c>
      <c r="B1118" s="1040" t="str">
        <f>CONCATENATE(LEFT(RIGHT(CONCATENATE("000",IFAData_TEA_1718!A1118),6),3),"-",(RIGHT(RIGHT(CONCATENATE("000",IFAData_TEA_1718!A1118),6),3)))</f>
        <v>101-903</v>
      </c>
      <c r="C1118" t="s">
        <v>1987</v>
      </c>
      <c r="D1118">
        <v>1</v>
      </c>
      <c r="E1118">
        <v>1554</v>
      </c>
      <c r="F1118" t="s">
        <v>4783</v>
      </c>
      <c r="G1118" t="s">
        <v>4784</v>
      </c>
      <c r="H1118">
        <v>1417777</v>
      </c>
      <c r="I1118">
        <v>0</v>
      </c>
      <c r="J1118">
        <v>0</v>
      </c>
      <c r="K1118">
        <v>0</v>
      </c>
      <c r="L1118">
        <v>0</v>
      </c>
      <c r="M1118">
        <v>599</v>
      </c>
    </row>
    <row r="1119" spans="1:13" ht="15">
      <c r="A1119" t="s">
        <v>3536</v>
      </c>
      <c r="B1119" s="1040" t="str">
        <f>CONCATENATE(LEFT(RIGHT(CONCATENATE("000",IFAData_TEA_1718!A1119),6),3),"-",(RIGHT(RIGHT(CONCATENATE("000",IFAData_TEA_1718!A1119),6),3)))</f>
        <v>101-903</v>
      </c>
      <c r="C1119" t="s">
        <v>1987</v>
      </c>
      <c r="D1119">
        <v>1</v>
      </c>
      <c r="E1119">
        <v>1554</v>
      </c>
      <c r="F1119" t="s">
        <v>4783</v>
      </c>
      <c r="G1119" t="s">
        <v>4785</v>
      </c>
      <c r="H1119">
        <v>1417777</v>
      </c>
      <c r="I1119">
        <v>0</v>
      </c>
      <c r="J1119">
        <v>0</v>
      </c>
      <c r="K1119">
        <v>0</v>
      </c>
      <c r="L1119">
        <v>0</v>
      </c>
      <c r="M1119">
        <v>599</v>
      </c>
    </row>
    <row r="1120" spans="1:13" ht="15">
      <c r="A1120" t="s">
        <v>3536</v>
      </c>
      <c r="B1120" s="1040" t="str">
        <f>CONCATENATE(LEFT(RIGHT(CONCATENATE("000",IFAData_TEA_1718!A1120),6),3),"-",(RIGHT(RIGHT(CONCATENATE("000",IFAData_TEA_1718!A1120),6),3)))</f>
        <v>101-903</v>
      </c>
      <c r="C1120" t="s">
        <v>1987</v>
      </c>
      <c r="D1120">
        <v>1</v>
      </c>
      <c r="E1120">
        <v>1554</v>
      </c>
      <c r="F1120" t="s">
        <v>4783</v>
      </c>
      <c r="G1120" t="s">
        <v>4786</v>
      </c>
      <c r="H1120">
        <v>1417777</v>
      </c>
      <c r="I1120">
        <v>0</v>
      </c>
      <c r="J1120">
        <v>0</v>
      </c>
      <c r="K1120">
        <v>0</v>
      </c>
      <c r="L1120">
        <v>0</v>
      </c>
      <c r="M1120">
        <v>599</v>
      </c>
    </row>
    <row r="1121" spans="1:13" ht="15">
      <c r="A1121" t="s">
        <v>3536</v>
      </c>
      <c r="B1121" s="1040" t="str">
        <f>CONCATENATE(LEFT(RIGHT(CONCATENATE("000",IFAData_TEA_1718!A1121),6),3),"-",(RIGHT(RIGHT(CONCATENATE("000",IFAData_TEA_1718!A1121),6),3)))</f>
        <v>101-903</v>
      </c>
      <c r="C1121" t="s">
        <v>1987</v>
      </c>
      <c r="D1121">
        <v>1</v>
      </c>
      <c r="E1121">
        <v>1554</v>
      </c>
      <c r="F1121" t="s">
        <v>4783</v>
      </c>
      <c r="G1121" t="s">
        <v>4787</v>
      </c>
      <c r="H1121">
        <v>1417777</v>
      </c>
      <c r="I1121">
        <v>1222950</v>
      </c>
      <c r="J1121">
        <v>1</v>
      </c>
      <c r="K1121">
        <v>1417777</v>
      </c>
      <c r="L1121">
        <v>1222950</v>
      </c>
      <c r="M1121">
        <v>599</v>
      </c>
    </row>
    <row r="1122" spans="1:13" ht="15">
      <c r="A1122" t="s">
        <v>3536</v>
      </c>
      <c r="B1122" s="1040" t="str">
        <f>CONCATENATE(LEFT(RIGHT(CONCATENATE("000",IFAData_TEA_1718!A1122),6),3),"-",(RIGHT(RIGHT(CONCATENATE("000",IFAData_TEA_1718!A1122),6),3)))</f>
        <v>101-903</v>
      </c>
      <c r="C1122" t="s">
        <v>1987</v>
      </c>
      <c r="D1122">
        <v>2</v>
      </c>
      <c r="E1122">
        <v>1559</v>
      </c>
      <c r="F1122" t="s">
        <v>4788</v>
      </c>
      <c r="G1122" t="s">
        <v>4788</v>
      </c>
      <c r="H1122">
        <v>4312614</v>
      </c>
      <c r="I1122">
        <v>0</v>
      </c>
      <c r="J1122">
        <v>0</v>
      </c>
      <c r="K1122"/>
      <c r="L1122">
        <v>0</v>
      </c>
      <c r="M1122">
        <v>599</v>
      </c>
    </row>
    <row r="1123" spans="1:13" ht="15">
      <c r="A1123" t="s">
        <v>3536</v>
      </c>
      <c r="B1123" s="1040" t="str">
        <f>CONCATENATE(LEFT(RIGHT(CONCATENATE("000",IFAData_TEA_1718!A1123),6),3),"-",(RIGHT(RIGHT(CONCATENATE("000",IFAData_TEA_1718!A1123),6),3)))</f>
        <v>101-903</v>
      </c>
      <c r="C1123" t="s">
        <v>1987</v>
      </c>
      <c r="D1123">
        <v>2</v>
      </c>
      <c r="E1123">
        <v>1559</v>
      </c>
      <c r="F1123" t="s">
        <v>4788</v>
      </c>
      <c r="G1123" t="s">
        <v>4784</v>
      </c>
      <c r="H1123">
        <v>4312614</v>
      </c>
      <c r="I1123">
        <v>0</v>
      </c>
      <c r="J1123">
        <v>0</v>
      </c>
      <c r="K1123"/>
      <c r="L1123">
        <v>0</v>
      </c>
      <c r="M1123">
        <v>599</v>
      </c>
    </row>
    <row r="1124" spans="1:13" ht="15">
      <c r="A1124" t="s">
        <v>3536</v>
      </c>
      <c r="B1124" s="1040" t="str">
        <f>CONCATENATE(LEFT(RIGHT(CONCATENATE("000",IFAData_TEA_1718!A1124),6),3),"-",(RIGHT(RIGHT(CONCATENATE("000",IFAData_TEA_1718!A1124),6),3)))</f>
        <v>101-903</v>
      </c>
      <c r="C1124" t="s">
        <v>1987</v>
      </c>
      <c r="D1124">
        <v>2</v>
      </c>
      <c r="E1124">
        <v>1559</v>
      </c>
      <c r="F1124" t="s">
        <v>4788</v>
      </c>
      <c r="G1124" t="s">
        <v>4785</v>
      </c>
      <c r="H1124">
        <v>4312614</v>
      </c>
      <c r="I1124">
        <v>0</v>
      </c>
      <c r="J1124">
        <v>0</v>
      </c>
      <c r="K1124"/>
      <c r="L1124">
        <v>0</v>
      </c>
      <c r="M1124">
        <v>599</v>
      </c>
    </row>
    <row r="1125" spans="1:13" ht="15">
      <c r="A1125" t="s">
        <v>3536</v>
      </c>
      <c r="B1125" s="1040" t="str">
        <f>CONCATENATE(LEFT(RIGHT(CONCATENATE("000",IFAData_TEA_1718!A1125),6),3),"-",(RIGHT(RIGHT(CONCATENATE("000",IFAData_TEA_1718!A1125),6),3)))</f>
        <v>101-903</v>
      </c>
      <c r="C1125" t="s">
        <v>1987</v>
      </c>
      <c r="D1125">
        <v>2</v>
      </c>
      <c r="E1125">
        <v>1559</v>
      </c>
      <c r="F1125" t="s">
        <v>4788</v>
      </c>
      <c r="G1125" t="s">
        <v>4786</v>
      </c>
      <c r="H1125">
        <v>4312614</v>
      </c>
      <c r="I1125">
        <v>0</v>
      </c>
      <c r="J1125">
        <v>0</v>
      </c>
      <c r="K1125"/>
      <c r="L1125">
        <v>0</v>
      </c>
      <c r="M1125">
        <v>599</v>
      </c>
    </row>
    <row r="1126" spans="1:13" ht="15">
      <c r="A1126" t="s">
        <v>3536</v>
      </c>
      <c r="B1126" s="1040" t="str">
        <f>CONCATENATE(LEFT(RIGHT(CONCATENATE("000",IFAData_TEA_1718!A1126),6),3),"-",(RIGHT(RIGHT(CONCATENATE("000",IFAData_TEA_1718!A1126),6),3)))</f>
        <v>101-903</v>
      </c>
      <c r="C1126" t="s">
        <v>1987</v>
      </c>
      <c r="D1126">
        <v>2</v>
      </c>
      <c r="E1126">
        <v>1559</v>
      </c>
      <c r="F1126" t="s">
        <v>4788</v>
      </c>
      <c r="G1126" t="s">
        <v>4787</v>
      </c>
      <c r="H1126">
        <v>4312614</v>
      </c>
      <c r="I1126">
        <v>0</v>
      </c>
      <c r="J1126">
        <v>0</v>
      </c>
      <c r="K1126"/>
      <c r="L1126">
        <v>0</v>
      </c>
      <c r="M1126">
        <v>599</v>
      </c>
    </row>
    <row r="1127" spans="1:13" ht="15">
      <c r="A1127" t="s">
        <v>3536</v>
      </c>
      <c r="B1127" s="1040" t="str">
        <f>CONCATENATE(LEFT(RIGHT(CONCATENATE("000",IFAData_TEA_1718!A1127),6),3),"-",(RIGHT(RIGHT(CONCATENATE("000",IFAData_TEA_1718!A1127),6),3)))</f>
        <v>101-903</v>
      </c>
      <c r="C1127" t="s">
        <v>1987</v>
      </c>
      <c r="D1127">
        <v>3</v>
      </c>
      <c r="E1127">
        <v>1555</v>
      </c>
      <c r="F1127" t="s">
        <v>4789</v>
      </c>
      <c r="G1127" t="s">
        <v>4789</v>
      </c>
      <c r="H1127">
        <v>2098629</v>
      </c>
      <c r="I1127">
        <v>0</v>
      </c>
      <c r="J1127">
        <v>0</v>
      </c>
      <c r="K1127">
        <v>0</v>
      </c>
      <c r="L1127">
        <v>0</v>
      </c>
      <c r="M1127">
        <v>599</v>
      </c>
    </row>
    <row r="1128" spans="1:13" ht="15">
      <c r="A1128" t="s">
        <v>3536</v>
      </c>
      <c r="B1128" s="1040" t="str">
        <f>CONCATENATE(LEFT(RIGHT(CONCATENATE("000",IFAData_TEA_1718!A1128),6),3),"-",(RIGHT(RIGHT(CONCATENATE("000",IFAData_TEA_1718!A1128),6),3)))</f>
        <v>101-903</v>
      </c>
      <c r="C1128" t="s">
        <v>1987</v>
      </c>
      <c r="D1128">
        <v>3</v>
      </c>
      <c r="E1128">
        <v>1555</v>
      </c>
      <c r="F1128" t="s">
        <v>4789</v>
      </c>
      <c r="G1128" t="s">
        <v>4790</v>
      </c>
      <c r="H1128">
        <v>2098629</v>
      </c>
      <c r="I1128">
        <v>10200</v>
      </c>
      <c r="J1128">
        <v>2.49944865103286E-3</v>
      </c>
      <c r="K1128">
        <v>5245.4154230684398</v>
      </c>
      <c r="L1128">
        <v>5245.4154230684398</v>
      </c>
      <c r="M1128">
        <v>599</v>
      </c>
    </row>
    <row r="1129" spans="1:13" ht="15">
      <c r="A1129" t="s">
        <v>3536</v>
      </c>
      <c r="B1129" s="1040" t="str">
        <f>CONCATENATE(LEFT(RIGHT(CONCATENATE("000",IFAData_TEA_1718!A1129),6),3),"-",(RIGHT(RIGHT(CONCATENATE("000",IFAData_TEA_1718!A1129),6),3)))</f>
        <v>101-903</v>
      </c>
      <c r="C1129" t="s">
        <v>1987</v>
      </c>
      <c r="D1129">
        <v>3</v>
      </c>
      <c r="E1129">
        <v>1555</v>
      </c>
      <c r="F1129" t="s">
        <v>4789</v>
      </c>
      <c r="G1129" t="s">
        <v>4785</v>
      </c>
      <c r="H1129">
        <v>2098629</v>
      </c>
      <c r="I1129">
        <v>0</v>
      </c>
      <c r="J1129">
        <v>0</v>
      </c>
      <c r="K1129">
        <v>0</v>
      </c>
      <c r="L1129">
        <v>0</v>
      </c>
      <c r="M1129">
        <v>599</v>
      </c>
    </row>
    <row r="1130" spans="1:13" ht="15">
      <c r="A1130" t="s">
        <v>3536</v>
      </c>
      <c r="B1130" s="1040" t="str">
        <f>CONCATENATE(LEFT(RIGHT(CONCATENATE("000",IFAData_TEA_1718!A1130),6),3),"-",(RIGHT(RIGHT(CONCATENATE("000",IFAData_TEA_1718!A1130),6),3)))</f>
        <v>101-903</v>
      </c>
      <c r="C1130" t="s">
        <v>1987</v>
      </c>
      <c r="D1130">
        <v>3</v>
      </c>
      <c r="E1130">
        <v>1555</v>
      </c>
      <c r="F1130" t="s">
        <v>4789</v>
      </c>
      <c r="G1130" t="s">
        <v>6254</v>
      </c>
      <c r="H1130">
        <v>2098629</v>
      </c>
      <c r="I1130">
        <v>0</v>
      </c>
      <c r="J1130">
        <v>0</v>
      </c>
      <c r="K1130">
        <v>0</v>
      </c>
      <c r="L1130">
        <v>0</v>
      </c>
      <c r="M1130">
        <v>599</v>
      </c>
    </row>
    <row r="1131" spans="1:13" ht="15">
      <c r="A1131" t="s">
        <v>3536</v>
      </c>
      <c r="B1131" s="1040" t="str">
        <f>CONCATENATE(LEFT(RIGHT(CONCATENATE("000",IFAData_TEA_1718!A1131),6),3),"-",(RIGHT(RIGHT(CONCATENATE("000",IFAData_TEA_1718!A1131),6),3)))</f>
        <v>101-903</v>
      </c>
      <c r="C1131" t="s">
        <v>1987</v>
      </c>
      <c r="D1131">
        <v>3</v>
      </c>
      <c r="E1131">
        <v>1555</v>
      </c>
      <c r="F1131" t="s">
        <v>4789</v>
      </c>
      <c r="G1131" t="s">
        <v>6469</v>
      </c>
      <c r="H1131">
        <v>2098629</v>
      </c>
      <c r="I1131">
        <v>4070700</v>
      </c>
      <c r="J1131">
        <v>0.99750055134896698</v>
      </c>
      <c r="K1131">
        <v>2093383.5845769299</v>
      </c>
      <c r="L1131">
        <v>2093383.5845769299</v>
      </c>
      <c r="M1131">
        <v>599</v>
      </c>
    </row>
    <row r="1132" spans="1:13" ht="15">
      <c r="A1132" t="s">
        <v>3536</v>
      </c>
      <c r="B1132" s="1040" t="str">
        <f>CONCATENATE(LEFT(RIGHT(CONCATENATE("000",IFAData_TEA_1718!A1132),6),3),"-",(RIGHT(RIGHT(CONCATENATE("000",IFAData_TEA_1718!A1132),6),3)))</f>
        <v>101-903</v>
      </c>
      <c r="C1132" t="s">
        <v>1987</v>
      </c>
      <c r="D1132">
        <v>3</v>
      </c>
      <c r="E1132">
        <v>1558</v>
      </c>
      <c r="F1132" t="s">
        <v>4791</v>
      </c>
      <c r="G1132" t="s">
        <v>4791</v>
      </c>
      <c r="H1132">
        <v>3113521</v>
      </c>
      <c r="I1132">
        <v>0</v>
      </c>
      <c r="J1132">
        <v>0</v>
      </c>
      <c r="K1132">
        <v>0</v>
      </c>
      <c r="L1132">
        <v>0</v>
      </c>
      <c r="M1132">
        <v>599</v>
      </c>
    </row>
    <row r="1133" spans="1:13" ht="15">
      <c r="A1133" t="s">
        <v>3536</v>
      </c>
      <c r="B1133" s="1040" t="str">
        <f>CONCATENATE(LEFT(RIGHT(CONCATENATE("000",IFAData_TEA_1718!A1133),6),3),"-",(RIGHT(RIGHT(CONCATENATE("000",IFAData_TEA_1718!A1133),6),3)))</f>
        <v>101-903</v>
      </c>
      <c r="C1133" t="s">
        <v>1987</v>
      </c>
      <c r="D1133">
        <v>3</v>
      </c>
      <c r="E1133">
        <v>1558</v>
      </c>
      <c r="F1133" t="s">
        <v>4791</v>
      </c>
      <c r="G1133" t="s">
        <v>4784</v>
      </c>
      <c r="H1133">
        <v>3113521</v>
      </c>
      <c r="I1133">
        <v>0</v>
      </c>
      <c r="J1133">
        <v>0</v>
      </c>
      <c r="K1133">
        <v>0</v>
      </c>
      <c r="L1133">
        <v>0</v>
      </c>
      <c r="M1133">
        <v>599</v>
      </c>
    </row>
    <row r="1134" spans="1:13" ht="15">
      <c r="A1134" t="s">
        <v>3536</v>
      </c>
      <c r="B1134" s="1040" t="str">
        <f>CONCATENATE(LEFT(RIGHT(CONCATENATE("000",IFAData_TEA_1718!A1134),6),3),"-",(RIGHT(RIGHT(CONCATENATE("000",IFAData_TEA_1718!A1134),6),3)))</f>
        <v>101-903</v>
      </c>
      <c r="C1134" t="s">
        <v>1987</v>
      </c>
      <c r="D1134">
        <v>3</v>
      </c>
      <c r="E1134">
        <v>1558</v>
      </c>
      <c r="F1134" t="s">
        <v>4791</v>
      </c>
      <c r="G1134" t="s">
        <v>4790</v>
      </c>
      <c r="H1134">
        <v>3113521</v>
      </c>
      <c r="I1134">
        <v>0</v>
      </c>
      <c r="J1134">
        <v>0</v>
      </c>
      <c r="K1134">
        <v>0</v>
      </c>
      <c r="L1134">
        <v>0</v>
      </c>
      <c r="M1134">
        <v>599</v>
      </c>
    </row>
    <row r="1135" spans="1:13" ht="15">
      <c r="A1135" t="s">
        <v>3536</v>
      </c>
      <c r="B1135" s="1040" t="str">
        <f>CONCATENATE(LEFT(RIGHT(CONCATENATE("000",IFAData_TEA_1718!A1135),6),3),"-",(RIGHT(RIGHT(CONCATENATE("000",IFAData_TEA_1718!A1135),6),3)))</f>
        <v>101-903</v>
      </c>
      <c r="C1135" t="s">
        <v>1987</v>
      </c>
      <c r="D1135">
        <v>3</v>
      </c>
      <c r="E1135">
        <v>1558</v>
      </c>
      <c r="F1135" t="s">
        <v>4791</v>
      </c>
      <c r="G1135" t="s">
        <v>4792</v>
      </c>
      <c r="H1135">
        <v>3113521</v>
      </c>
      <c r="I1135">
        <v>0</v>
      </c>
      <c r="J1135">
        <v>0</v>
      </c>
      <c r="K1135">
        <v>0</v>
      </c>
      <c r="L1135">
        <v>0</v>
      </c>
      <c r="M1135">
        <v>599</v>
      </c>
    </row>
    <row r="1136" spans="1:13" ht="15">
      <c r="A1136" t="s">
        <v>3536</v>
      </c>
      <c r="B1136" s="1040" t="str">
        <f>CONCATENATE(LEFT(RIGHT(CONCATENATE("000",IFAData_TEA_1718!A1136),6),3),"-",(RIGHT(RIGHT(CONCATENATE("000",IFAData_TEA_1718!A1136),6),3)))</f>
        <v>101-903</v>
      </c>
      <c r="C1136" t="s">
        <v>1987</v>
      </c>
      <c r="D1136">
        <v>3</v>
      </c>
      <c r="E1136">
        <v>1558</v>
      </c>
      <c r="F1136" t="s">
        <v>4791</v>
      </c>
      <c r="G1136" t="s">
        <v>4786</v>
      </c>
      <c r="H1136">
        <v>3113521</v>
      </c>
      <c r="I1136">
        <v>0</v>
      </c>
      <c r="J1136">
        <v>0</v>
      </c>
      <c r="K1136">
        <v>0</v>
      </c>
      <c r="L1136">
        <v>0</v>
      </c>
      <c r="M1136">
        <v>599</v>
      </c>
    </row>
    <row r="1137" spans="1:13" ht="15">
      <c r="A1137" t="s">
        <v>3536</v>
      </c>
      <c r="B1137" s="1040" t="str">
        <f>CONCATENATE(LEFT(RIGHT(CONCATENATE("000",IFAData_TEA_1718!A1137),6),3),"-",(RIGHT(RIGHT(CONCATENATE("000",IFAData_TEA_1718!A1137),6),3)))</f>
        <v>101-903</v>
      </c>
      <c r="C1137" t="s">
        <v>1987</v>
      </c>
      <c r="D1137">
        <v>3</v>
      </c>
      <c r="E1137">
        <v>1558</v>
      </c>
      <c r="F1137" t="s">
        <v>4791</v>
      </c>
      <c r="G1137" t="s">
        <v>4787</v>
      </c>
      <c r="H1137">
        <v>3113521</v>
      </c>
      <c r="I1137">
        <v>0</v>
      </c>
      <c r="J1137">
        <v>0</v>
      </c>
      <c r="K1137">
        <v>0</v>
      </c>
      <c r="L1137">
        <v>0</v>
      </c>
      <c r="M1137">
        <v>599</v>
      </c>
    </row>
    <row r="1138" spans="1:13" ht="15">
      <c r="A1138" t="s">
        <v>3536</v>
      </c>
      <c r="B1138" s="1040" t="str">
        <f>CONCATENATE(LEFT(RIGHT(CONCATENATE("000",IFAData_TEA_1718!A1138),6),3),"-",(RIGHT(RIGHT(CONCATENATE("000",IFAData_TEA_1718!A1138),6),3)))</f>
        <v>101-903</v>
      </c>
      <c r="C1138" t="s">
        <v>1987</v>
      </c>
      <c r="D1138">
        <v>3</v>
      </c>
      <c r="E1138">
        <v>1558</v>
      </c>
      <c r="F1138" t="s">
        <v>4791</v>
      </c>
      <c r="G1138" t="s">
        <v>6254</v>
      </c>
      <c r="H1138">
        <v>3113521</v>
      </c>
      <c r="I1138">
        <v>0</v>
      </c>
      <c r="J1138">
        <v>0</v>
      </c>
      <c r="K1138">
        <v>0</v>
      </c>
      <c r="L1138">
        <v>0</v>
      </c>
      <c r="M1138">
        <v>599</v>
      </c>
    </row>
    <row r="1139" spans="1:13" ht="15">
      <c r="A1139" t="s">
        <v>3536</v>
      </c>
      <c r="B1139" s="1040" t="str">
        <f>CONCATENATE(LEFT(RIGHT(CONCATENATE("000",IFAData_TEA_1718!A1139),6),3),"-",(RIGHT(RIGHT(CONCATENATE("000",IFAData_TEA_1718!A1139),6),3)))</f>
        <v>101-903</v>
      </c>
      <c r="C1139" t="s">
        <v>1987</v>
      </c>
      <c r="D1139">
        <v>3</v>
      </c>
      <c r="E1139">
        <v>1558</v>
      </c>
      <c r="F1139" t="s">
        <v>4791</v>
      </c>
      <c r="G1139" t="s">
        <v>6469</v>
      </c>
      <c r="H1139">
        <v>3113521</v>
      </c>
      <c r="I1139">
        <v>193492</v>
      </c>
      <c r="J1139">
        <v>1</v>
      </c>
      <c r="K1139">
        <v>3113521</v>
      </c>
      <c r="L1139">
        <v>193492</v>
      </c>
      <c r="M1139">
        <v>599</v>
      </c>
    </row>
    <row r="1140" spans="1:13" ht="15">
      <c r="A1140" t="s">
        <v>3536</v>
      </c>
      <c r="B1140" s="1040" t="str">
        <f>CONCATENATE(LEFT(RIGHT(CONCATENATE("000",IFAData_TEA_1718!A1140),6),3),"-",(RIGHT(RIGHT(CONCATENATE("000",IFAData_TEA_1718!A1140),6),3)))</f>
        <v>101-903</v>
      </c>
      <c r="C1140" t="s">
        <v>1987</v>
      </c>
      <c r="D1140">
        <v>5</v>
      </c>
      <c r="E1140">
        <v>1556</v>
      </c>
      <c r="F1140" t="s">
        <v>4793</v>
      </c>
      <c r="G1140" t="s">
        <v>4793</v>
      </c>
      <c r="H1140">
        <v>2380440</v>
      </c>
      <c r="I1140">
        <v>0</v>
      </c>
      <c r="J1140">
        <v>0</v>
      </c>
      <c r="K1140">
        <v>0</v>
      </c>
      <c r="L1140">
        <v>0</v>
      </c>
      <c r="M1140">
        <v>599</v>
      </c>
    </row>
    <row r="1141" spans="1:13" ht="15">
      <c r="A1141" t="s">
        <v>3536</v>
      </c>
      <c r="B1141" s="1040" t="str">
        <f>CONCATENATE(LEFT(RIGHT(CONCATENATE("000",IFAData_TEA_1718!A1141),6),3),"-",(RIGHT(RIGHT(CONCATENATE("000",IFAData_TEA_1718!A1141),6),3)))</f>
        <v>101-903</v>
      </c>
      <c r="C1141" t="s">
        <v>1987</v>
      </c>
      <c r="D1141">
        <v>5</v>
      </c>
      <c r="E1141">
        <v>1556</v>
      </c>
      <c r="F1141" t="s">
        <v>4793</v>
      </c>
      <c r="G1141" t="s">
        <v>4790</v>
      </c>
      <c r="H1141">
        <v>2380440</v>
      </c>
      <c r="I1141">
        <v>0</v>
      </c>
      <c r="J1141">
        <v>0</v>
      </c>
      <c r="K1141">
        <v>0</v>
      </c>
      <c r="L1141">
        <v>0</v>
      </c>
      <c r="M1141">
        <v>599</v>
      </c>
    </row>
    <row r="1142" spans="1:13" ht="15">
      <c r="A1142" t="s">
        <v>3536</v>
      </c>
      <c r="B1142" s="1040" t="str">
        <f>CONCATENATE(LEFT(RIGHT(CONCATENATE("000",IFAData_TEA_1718!A1142),6),3),"-",(RIGHT(RIGHT(CONCATENATE("000",IFAData_TEA_1718!A1142),6),3)))</f>
        <v>101-903</v>
      </c>
      <c r="C1142" t="s">
        <v>1987</v>
      </c>
      <c r="D1142">
        <v>5</v>
      </c>
      <c r="E1142">
        <v>1556</v>
      </c>
      <c r="F1142" t="s">
        <v>4793</v>
      </c>
      <c r="G1142" t="s">
        <v>4792</v>
      </c>
      <c r="H1142">
        <v>2380440</v>
      </c>
      <c r="I1142">
        <v>0</v>
      </c>
      <c r="J1142">
        <v>0</v>
      </c>
      <c r="K1142">
        <v>0</v>
      </c>
      <c r="L1142">
        <v>0</v>
      </c>
      <c r="M1142">
        <v>599</v>
      </c>
    </row>
    <row r="1143" spans="1:13" ht="15">
      <c r="A1143" t="s">
        <v>3536</v>
      </c>
      <c r="B1143" s="1040" t="str">
        <f>CONCATENATE(LEFT(RIGHT(CONCATENATE("000",IFAData_TEA_1718!A1143),6),3),"-",(RIGHT(RIGHT(CONCATENATE("000",IFAData_TEA_1718!A1143),6),3)))</f>
        <v>101-903</v>
      </c>
      <c r="C1143" t="s">
        <v>1987</v>
      </c>
      <c r="D1143">
        <v>5</v>
      </c>
      <c r="E1143">
        <v>1556</v>
      </c>
      <c r="F1143" t="s">
        <v>4793</v>
      </c>
      <c r="G1143" t="s">
        <v>6254</v>
      </c>
      <c r="H1143">
        <v>2380440</v>
      </c>
      <c r="I1143">
        <v>0</v>
      </c>
      <c r="J1143">
        <v>0</v>
      </c>
      <c r="K1143">
        <v>0</v>
      </c>
      <c r="L1143">
        <v>0</v>
      </c>
      <c r="M1143">
        <v>599</v>
      </c>
    </row>
    <row r="1144" spans="1:13" ht="15">
      <c r="A1144" t="s">
        <v>3536</v>
      </c>
      <c r="B1144" s="1040" t="str">
        <f>CONCATENATE(LEFT(RIGHT(CONCATENATE("000",IFAData_TEA_1718!A1144),6),3),"-",(RIGHT(RIGHT(CONCATENATE("000",IFAData_TEA_1718!A1144),6),3)))</f>
        <v>101-903</v>
      </c>
      <c r="C1144" t="s">
        <v>1987</v>
      </c>
      <c r="D1144">
        <v>5</v>
      </c>
      <c r="E1144">
        <v>1556</v>
      </c>
      <c r="F1144" t="s">
        <v>4793</v>
      </c>
      <c r="G1144" t="s">
        <v>6469</v>
      </c>
      <c r="H1144">
        <v>2380440</v>
      </c>
      <c r="I1144">
        <v>317350</v>
      </c>
      <c r="J1144">
        <v>1</v>
      </c>
      <c r="K1144">
        <v>2380440</v>
      </c>
      <c r="L1144">
        <v>317350</v>
      </c>
      <c r="M1144">
        <v>599</v>
      </c>
    </row>
    <row r="1145" spans="1:13" ht="15">
      <c r="A1145" t="s">
        <v>3536</v>
      </c>
      <c r="B1145" s="1040" t="str">
        <f>CONCATENATE(LEFT(RIGHT(CONCATENATE("000",IFAData_TEA_1718!A1145),6),3),"-",(RIGHT(RIGHT(CONCATENATE("000",IFAData_TEA_1718!A1145),6),3)))</f>
        <v>101-903</v>
      </c>
      <c r="C1145" t="s">
        <v>1987</v>
      </c>
      <c r="D1145">
        <v>6</v>
      </c>
      <c r="E1145">
        <v>1557</v>
      </c>
      <c r="F1145" t="s">
        <v>4794</v>
      </c>
      <c r="G1145" t="s">
        <v>4794</v>
      </c>
      <c r="H1145">
        <v>2566718</v>
      </c>
      <c r="I1145">
        <v>0</v>
      </c>
      <c r="J1145">
        <v>0</v>
      </c>
      <c r="K1145">
        <v>0</v>
      </c>
      <c r="L1145">
        <v>0</v>
      </c>
      <c r="M1145">
        <v>599</v>
      </c>
    </row>
    <row r="1146" spans="1:13" ht="15">
      <c r="A1146" t="s">
        <v>3536</v>
      </c>
      <c r="B1146" s="1040" t="str">
        <f>CONCATENATE(LEFT(RIGHT(CONCATENATE("000",IFAData_TEA_1718!A1146),6),3),"-",(RIGHT(RIGHT(CONCATENATE("000",IFAData_TEA_1718!A1146),6),3)))</f>
        <v>101-903</v>
      </c>
      <c r="C1146" t="s">
        <v>1987</v>
      </c>
      <c r="D1146">
        <v>6</v>
      </c>
      <c r="E1146">
        <v>1557</v>
      </c>
      <c r="F1146" t="s">
        <v>4794</v>
      </c>
      <c r="G1146" t="s">
        <v>4792</v>
      </c>
      <c r="H1146">
        <v>2566718</v>
      </c>
      <c r="I1146">
        <v>1084183</v>
      </c>
      <c r="J1146">
        <v>1</v>
      </c>
      <c r="K1146">
        <v>2566718</v>
      </c>
      <c r="L1146">
        <v>1084183</v>
      </c>
      <c r="M1146">
        <v>599</v>
      </c>
    </row>
    <row r="1147" spans="1:13" ht="15">
      <c r="A1147" t="s">
        <v>3536</v>
      </c>
      <c r="B1147" s="1040" t="str">
        <f>CONCATENATE(LEFT(RIGHT(CONCATENATE("000",IFAData_TEA_1718!A1147),6),3),"-",(RIGHT(RIGHT(CONCATENATE("000",IFAData_TEA_1718!A1147),6),3)))</f>
        <v>101-903</v>
      </c>
      <c r="C1147" t="s">
        <v>1987</v>
      </c>
      <c r="D1147">
        <v>10</v>
      </c>
      <c r="E1147">
        <v>1553</v>
      </c>
      <c r="F1147" t="s">
        <v>4795</v>
      </c>
      <c r="G1147" t="s">
        <v>4795</v>
      </c>
      <c r="H1147">
        <v>967583</v>
      </c>
      <c r="I1147">
        <v>1032089</v>
      </c>
      <c r="J1147">
        <v>1</v>
      </c>
      <c r="K1147">
        <v>967583</v>
      </c>
      <c r="L1147">
        <v>967583</v>
      </c>
      <c r="M1147">
        <v>599</v>
      </c>
    </row>
    <row r="1148" spans="1:13" ht="15">
      <c r="A1148" t="s">
        <v>3536</v>
      </c>
      <c r="B1148" s="1040" t="str">
        <f>CONCATENATE(LEFT(RIGHT(CONCATENATE("000",IFAData_TEA_1718!A1148),6),3),"-",(RIGHT(RIGHT(CONCATENATE("000",IFAData_TEA_1718!A1148),6),3)))</f>
        <v>101-903</v>
      </c>
      <c r="C1148" t="s">
        <v>1987</v>
      </c>
      <c r="D1148">
        <v>10</v>
      </c>
      <c r="E1148">
        <v>1552</v>
      </c>
      <c r="F1148" t="s">
        <v>4796</v>
      </c>
      <c r="G1148" t="s">
        <v>4796</v>
      </c>
      <c r="H1148">
        <v>901072</v>
      </c>
      <c r="I1148">
        <v>910461</v>
      </c>
      <c r="J1148">
        <v>1</v>
      </c>
      <c r="K1148">
        <v>901072</v>
      </c>
      <c r="L1148">
        <v>901072</v>
      </c>
      <c r="M1148">
        <v>599</v>
      </c>
    </row>
    <row r="1149" spans="1:13" ht="15">
      <c r="A1149" t="s">
        <v>3537</v>
      </c>
      <c r="B1149" s="1040" t="str">
        <f>CONCATENATE(LEFT(RIGHT(CONCATENATE("000",IFAData_TEA_1718!A1149),6),3),"-",(RIGHT(RIGHT(CONCATENATE("000",IFAData_TEA_1718!A1149),6),3)))</f>
        <v>101-905</v>
      </c>
      <c r="C1149" t="s">
        <v>480</v>
      </c>
      <c r="D1149">
        <v>10</v>
      </c>
      <c r="E1149">
        <v>1677</v>
      </c>
      <c r="F1149" t="s">
        <v>4797</v>
      </c>
      <c r="G1149" t="s">
        <v>4797</v>
      </c>
      <c r="H1149">
        <v>330868</v>
      </c>
      <c r="I1149">
        <v>1361754</v>
      </c>
      <c r="J1149">
        <v>1</v>
      </c>
      <c r="K1149">
        <v>330868</v>
      </c>
      <c r="L1149">
        <v>330868</v>
      </c>
      <c r="M1149">
        <v>599</v>
      </c>
    </row>
    <row r="1150" spans="1:13" ht="15">
      <c r="A1150" t="s">
        <v>3537</v>
      </c>
      <c r="B1150" s="1040" t="str">
        <f>CONCATENATE(LEFT(RIGHT(CONCATENATE("000",IFAData_TEA_1718!A1150),6),3),"-",(RIGHT(RIGHT(CONCATENATE("000",IFAData_TEA_1718!A1150),6),3)))</f>
        <v>101-905</v>
      </c>
      <c r="C1150" t="s">
        <v>480</v>
      </c>
      <c r="D1150">
        <v>10</v>
      </c>
      <c r="E1150">
        <v>1678</v>
      </c>
      <c r="F1150" t="s">
        <v>4798</v>
      </c>
      <c r="G1150" t="s">
        <v>4798</v>
      </c>
      <c r="H1150">
        <v>1101389</v>
      </c>
      <c r="I1150">
        <v>1112329</v>
      </c>
      <c r="J1150">
        <v>1</v>
      </c>
      <c r="K1150">
        <v>1101389</v>
      </c>
      <c r="L1150">
        <v>1101389</v>
      </c>
      <c r="M1150">
        <v>599</v>
      </c>
    </row>
    <row r="1151" spans="1:13" ht="15">
      <c r="A1151" t="s">
        <v>3537</v>
      </c>
      <c r="B1151" s="1040" t="str">
        <f>CONCATENATE(LEFT(RIGHT(CONCATENATE("000",IFAData_TEA_1718!A1151),6),3),"-",(RIGHT(RIGHT(CONCATENATE("000",IFAData_TEA_1718!A1151),6),3)))</f>
        <v>101-905</v>
      </c>
      <c r="C1151" t="s">
        <v>480</v>
      </c>
      <c r="D1151">
        <v>11</v>
      </c>
      <c r="E1151">
        <v>2542</v>
      </c>
      <c r="F1151" t="s">
        <v>8397</v>
      </c>
      <c r="G1151" t="s">
        <v>8397</v>
      </c>
      <c r="H1151">
        <v>721415</v>
      </c>
      <c r="I1151">
        <v>718098</v>
      </c>
      <c r="J1151">
        <v>1</v>
      </c>
      <c r="K1151">
        <v>721415</v>
      </c>
      <c r="L1151">
        <v>718098</v>
      </c>
      <c r="M1151">
        <v>599</v>
      </c>
    </row>
    <row r="1152" spans="1:13" ht="15">
      <c r="A1152" t="s">
        <v>3538</v>
      </c>
      <c r="B1152" s="1040" t="str">
        <f>CONCATENATE(LEFT(RIGHT(CONCATENATE("000",IFAData_TEA_1718!A1152),6),3),"-",(RIGHT(RIGHT(CONCATENATE("000",IFAData_TEA_1718!A1152),6),3)))</f>
        <v>101-906</v>
      </c>
      <c r="C1152" t="s">
        <v>418</v>
      </c>
      <c r="D1152">
        <v>3</v>
      </c>
      <c r="E1152">
        <v>1732</v>
      </c>
      <c r="F1152" t="s">
        <v>4799</v>
      </c>
      <c r="G1152" t="s">
        <v>4799</v>
      </c>
      <c r="H1152">
        <v>926340</v>
      </c>
      <c r="I1152">
        <v>0</v>
      </c>
      <c r="J1152">
        <v>0</v>
      </c>
      <c r="K1152">
        <v>0</v>
      </c>
      <c r="L1152">
        <v>0</v>
      </c>
      <c r="M1152">
        <v>599</v>
      </c>
    </row>
    <row r="1153" spans="1:13" ht="15">
      <c r="A1153" t="s">
        <v>3538</v>
      </c>
      <c r="B1153" s="1040" t="str">
        <f>CONCATENATE(LEFT(RIGHT(CONCATENATE("000",IFAData_TEA_1718!A1153),6),3),"-",(RIGHT(RIGHT(CONCATENATE("000",IFAData_TEA_1718!A1153),6),3)))</f>
        <v>101-906</v>
      </c>
      <c r="C1153" t="s">
        <v>418</v>
      </c>
      <c r="D1153">
        <v>3</v>
      </c>
      <c r="E1153">
        <v>1732</v>
      </c>
      <c r="F1153" t="s">
        <v>4799</v>
      </c>
      <c r="G1153" t="s">
        <v>4800</v>
      </c>
      <c r="H1153">
        <v>926340</v>
      </c>
      <c r="I1153">
        <v>332663</v>
      </c>
      <c r="J1153">
        <v>0.166336739607298</v>
      </c>
      <c r="K1153">
        <v>154084.37536782399</v>
      </c>
      <c r="L1153">
        <v>154084.37536782399</v>
      </c>
      <c r="M1153">
        <v>599</v>
      </c>
    </row>
    <row r="1154" spans="1:13" ht="15">
      <c r="A1154" t="s">
        <v>3538</v>
      </c>
      <c r="B1154" s="1040" t="str">
        <f>CONCATENATE(LEFT(RIGHT(CONCATENATE("000",IFAData_TEA_1718!A1154),6),3),"-",(RIGHT(RIGHT(CONCATENATE("000",IFAData_TEA_1718!A1154),6),3)))</f>
        <v>101-906</v>
      </c>
      <c r="C1154" t="s">
        <v>418</v>
      </c>
      <c r="D1154">
        <v>3</v>
      </c>
      <c r="E1154">
        <v>1732</v>
      </c>
      <c r="F1154" t="s">
        <v>4799</v>
      </c>
      <c r="G1154" t="s">
        <v>4801</v>
      </c>
      <c r="H1154">
        <v>926340</v>
      </c>
      <c r="I1154">
        <v>1439542</v>
      </c>
      <c r="J1154">
        <v>0.71979367350071499</v>
      </c>
      <c r="K1154">
        <v>666773.67151065299</v>
      </c>
      <c r="L1154">
        <v>666773.67151065299</v>
      </c>
      <c r="M1154">
        <v>599</v>
      </c>
    </row>
    <row r="1155" spans="1:13" ht="15">
      <c r="A1155" t="s">
        <v>3538</v>
      </c>
      <c r="B1155" s="1040" t="str">
        <f>CONCATENATE(LEFT(RIGHT(CONCATENATE("000",IFAData_TEA_1718!A1155),6),3),"-",(RIGHT(RIGHT(CONCATENATE("000",IFAData_TEA_1718!A1155),6),3)))</f>
        <v>101-906</v>
      </c>
      <c r="C1155" t="s">
        <v>418</v>
      </c>
      <c r="D1155">
        <v>3</v>
      </c>
      <c r="E1155">
        <v>1732</v>
      </c>
      <c r="F1155" t="s">
        <v>4799</v>
      </c>
      <c r="G1155" t="s">
        <v>6470</v>
      </c>
      <c r="H1155">
        <v>926340</v>
      </c>
      <c r="I1155">
        <v>227732</v>
      </c>
      <c r="J1155">
        <v>0.11386958689198701</v>
      </c>
      <c r="K1155">
        <v>105481.95312152299</v>
      </c>
      <c r="L1155">
        <v>105481.95312152299</v>
      </c>
      <c r="M1155">
        <v>599</v>
      </c>
    </row>
    <row r="1156" spans="1:13" ht="15">
      <c r="A1156" t="s">
        <v>3538</v>
      </c>
      <c r="B1156" s="1040" t="str">
        <f>CONCATENATE(LEFT(RIGHT(CONCATENATE("000",IFAData_TEA_1718!A1156),6),3),"-",(RIGHT(RIGHT(CONCATENATE("000",IFAData_TEA_1718!A1156),6),3)))</f>
        <v>101-906</v>
      </c>
      <c r="C1156" t="s">
        <v>418</v>
      </c>
      <c r="D1156">
        <v>11</v>
      </c>
      <c r="E1156">
        <v>2530</v>
      </c>
      <c r="F1156" t="s">
        <v>8398</v>
      </c>
      <c r="G1156" t="s">
        <v>8398</v>
      </c>
      <c r="H1156">
        <v>1333191</v>
      </c>
      <c r="I1156">
        <v>3097038</v>
      </c>
      <c r="J1156">
        <v>1</v>
      </c>
      <c r="K1156">
        <v>1333191</v>
      </c>
      <c r="L1156">
        <v>1333191</v>
      </c>
      <c r="M1156">
        <v>599</v>
      </c>
    </row>
    <row r="1157" spans="1:13" ht="15">
      <c r="A1157" t="s">
        <v>3539</v>
      </c>
      <c r="B1157" s="1040" t="str">
        <f>CONCATENATE(LEFT(RIGHT(CONCATENATE("000",IFAData_TEA_1718!A1157),6),3),"-",(RIGHT(RIGHT(CONCATENATE("000",IFAData_TEA_1718!A1157),6),3)))</f>
        <v>101-910</v>
      </c>
      <c r="C1157" t="s">
        <v>1480</v>
      </c>
      <c r="D1157">
        <v>1</v>
      </c>
      <c r="E1157">
        <v>1837</v>
      </c>
      <c r="F1157" t="s">
        <v>4802</v>
      </c>
      <c r="G1157" t="s">
        <v>4802</v>
      </c>
      <c r="H1157">
        <v>827390</v>
      </c>
      <c r="I1157">
        <v>0</v>
      </c>
      <c r="J1157">
        <v>0</v>
      </c>
      <c r="K1157">
        <v>0</v>
      </c>
      <c r="L1157">
        <v>0</v>
      </c>
      <c r="M1157">
        <v>599</v>
      </c>
    </row>
    <row r="1158" spans="1:13" ht="15">
      <c r="A1158" t="s">
        <v>3539</v>
      </c>
      <c r="B1158" s="1040" t="str">
        <f>CONCATENATE(LEFT(RIGHT(CONCATENATE("000",IFAData_TEA_1718!A1158),6),3),"-",(RIGHT(RIGHT(CONCATENATE("000",IFAData_TEA_1718!A1158),6),3)))</f>
        <v>101-910</v>
      </c>
      <c r="C1158" t="s">
        <v>1480</v>
      </c>
      <c r="D1158">
        <v>1</v>
      </c>
      <c r="E1158">
        <v>1837</v>
      </c>
      <c r="F1158" t="s">
        <v>4802</v>
      </c>
      <c r="G1158" t="s">
        <v>4803</v>
      </c>
      <c r="H1158">
        <v>827390</v>
      </c>
      <c r="I1158">
        <v>0</v>
      </c>
      <c r="J1158">
        <v>0</v>
      </c>
      <c r="K1158">
        <v>0</v>
      </c>
      <c r="L1158">
        <v>0</v>
      </c>
      <c r="M1158">
        <v>599</v>
      </c>
    </row>
    <row r="1159" spans="1:13" ht="15">
      <c r="A1159" t="s">
        <v>3539</v>
      </c>
      <c r="B1159" s="1040" t="str">
        <f>CONCATENATE(LEFT(RIGHT(CONCATENATE("000",IFAData_TEA_1718!A1159),6),3),"-",(RIGHT(RIGHT(CONCATENATE("000",IFAData_TEA_1718!A1159),6),3)))</f>
        <v>101-910</v>
      </c>
      <c r="C1159" t="s">
        <v>1480</v>
      </c>
      <c r="D1159">
        <v>1</v>
      </c>
      <c r="E1159">
        <v>1837</v>
      </c>
      <c r="F1159" t="s">
        <v>4802</v>
      </c>
      <c r="G1159" t="s">
        <v>4804</v>
      </c>
      <c r="H1159">
        <v>827390</v>
      </c>
      <c r="I1159">
        <v>1079630</v>
      </c>
      <c r="J1159">
        <v>1</v>
      </c>
      <c r="K1159">
        <v>827390</v>
      </c>
      <c r="L1159">
        <v>827390</v>
      </c>
      <c r="M1159">
        <v>599</v>
      </c>
    </row>
    <row r="1160" spans="1:13" ht="15">
      <c r="A1160" t="s">
        <v>3539</v>
      </c>
      <c r="B1160" s="1040" t="str">
        <f>CONCATENATE(LEFT(RIGHT(CONCATENATE("000",IFAData_TEA_1718!A1160),6),3),"-",(RIGHT(RIGHT(CONCATENATE("000",IFAData_TEA_1718!A1160),6),3)))</f>
        <v>101-910</v>
      </c>
      <c r="C1160" t="s">
        <v>1480</v>
      </c>
      <c r="D1160">
        <v>2</v>
      </c>
      <c r="E1160">
        <v>1839</v>
      </c>
      <c r="F1160" t="s">
        <v>4805</v>
      </c>
      <c r="G1160" t="s">
        <v>4805</v>
      </c>
      <c r="H1160">
        <v>1792083</v>
      </c>
      <c r="I1160">
        <v>0</v>
      </c>
      <c r="J1160">
        <v>0</v>
      </c>
      <c r="K1160">
        <v>0</v>
      </c>
      <c r="L1160">
        <v>0</v>
      </c>
      <c r="M1160">
        <v>599</v>
      </c>
    </row>
    <row r="1161" spans="1:13" ht="15">
      <c r="A1161" t="s">
        <v>3539</v>
      </c>
      <c r="B1161" s="1040" t="str">
        <f>CONCATENATE(LEFT(RIGHT(CONCATENATE("000",IFAData_TEA_1718!A1161),6),3),"-",(RIGHT(RIGHT(CONCATENATE("000",IFAData_TEA_1718!A1161),6),3)))</f>
        <v>101-910</v>
      </c>
      <c r="C1161" t="s">
        <v>1480</v>
      </c>
      <c r="D1161">
        <v>2</v>
      </c>
      <c r="E1161">
        <v>1839</v>
      </c>
      <c r="F1161" t="s">
        <v>4805</v>
      </c>
      <c r="G1161" t="s">
        <v>4803</v>
      </c>
      <c r="H1161">
        <v>1792083</v>
      </c>
      <c r="I1161">
        <v>0</v>
      </c>
      <c r="J1161">
        <v>0</v>
      </c>
      <c r="K1161">
        <v>0</v>
      </c>
      <c r="L1161">
        <v>0</v>
      </c>
      <c r="M1161">
        <v>599</v>
      </c>
    </row>
    <row r="1162" spans="1:13" ht="15">
      <c r="A1162" t="s">
        <v>3539</v>
      </c>
      <c r="B1162" s="1040" t="str">
        <f>CONCATENATE(LEFT(RIGHT(CONCATENATE("000",IFAData_TEA_1718!A1162),6),3),"-",(RIGHT(RIGHT(CONCATENATE("000",IFAData_TEA_1718!A1162),6),3)))</f>
        <v>101-910</v>
      </c>
      <c r="C1162" t="s">
        <v>1480</v>
      </c>
      <c r="D1162">
        <v>2</v>
      </c>
      <c r="E1162">
        <v>1839</v>
      </c>
      <c r="F1162" t="s">
        <v>4805</v>
      </c>
      <c r="G1162" t="s">
        <v>4804</v>
      </c>
      <c r="H1162">
        <v>1792083</v>
      </c>
      <c r="I1162">
        <v>1527687</v>
      </c>
      <c r="J1162">
        <v>1</v>
      </c>
      <c r="K1162">
        <v>1792083</v>
      </c>
      <c r="L1162">
        <v>1527687</v>
      </c>
      <c r="M1162">
        <v>599</v>
      </c>
    </row>
    <row r="1163" spans="1:13" ht="15">
      <c r="A1163" t="s">
        <v>3539</v>
      </c>
      <c r="B1163" s="1040" t="str">
        <f>CONCATENATE(LEFT(RIGHT(CONCATENATE("000",IFAData_TEA_1718!A1163),6),3),"-",(RIGHT(RIGHT(CONCATENATE("000",IFAData_TEA_1718!A1163),6),3)))</f>
        <v>101-910</v>
      </c>
      <c r="C1163" t="s">
        <v>1480</v>
      </c>
      <c r="D1163">
        <v>6</v>
      </c>
      <c r="E1163">
        <v>1838</v>
      </c>
      <c r="F1163" t="s">
        <v>4806</v>
      </c>
      <c r="G1163" t="s">
        <v>4806</v>
      </c>
      <c r="H1163">
        <v>907274</v>
      </c>
      <c r="I1163">
        <v>0</v>
      </c>
      <c r="J1163">
        <v>0</v>
      </c>
      <c r="K1163">
        <v>0</v>
      </c>
      <c r="L1163">
        <v>0</v>
      </c>
      <c r="M1163">
        <v>599</v>
      </c>
    </row>
    <row r="1164" spans="1:13" ht="15">
      <c r="A1164" t="s">
        <v>3539</v>
      </c>
      <c r="B1164" s="1040" t="str">
        <f>CONCATENATE(LEFT(RIGHT(CONCATENATE("000",IFAData_TEA_1718!A1164),6),3),"-",(RIGHT(RIGHT(CONCATENATE("000",IFAData_TEA_1718!A1164),6),3)))</f>
        <v>101-910</v>
      </c>
      <c r="C1164" t="s">
        <v>1480</v>
      </c>
      <c r="D1164">
        <v>6</v>
      </c>
      <c r="E1164">
        <v>1838</v>
      </c>
      <c r="F1164" t="s">
        <v>4806</v>
      </c>
      <c r="G1164" t="s">
        <v>4807</v>
      </c>
      <c r="H1164">
        <v>907274</v>
      </c>
      <c r="I1164">
        <v>1011333</v>
      </c>
      <c r="J1164">
        <v>0.57794882579580398</v>
      </c>
      <c r="K1164">
        <v>524357.94297506195</v>
      </c>
      <c r="L1164">
        <v>524357.94297506195</v>
      </c>
      <c r="M1164">
        <v>599</v>
      </c>
    </row>
    <row r="1165" spans="1:13" ht="15">
      <c r="A1165" t="s">
        <v>3539</v>
      </c>
      <c r="B1165" s="1040" t="str">
        <f>CONCATENATE(LEFT(RIGHT(CONCATENATE("000",IFAData_TEA_1718!A1165),6),3),"-",(RIGHT(RIGHT(CONCATENATE("000",IFAData_TEA_1718!A1165),6),3)))</f>
        <v>101-910</v>
      </c>
      <c r="C1165" t="s">
        <v>1480</v>
      </c>
      <c r="D1165">
        <v>6</v>
      </c>
      <c r="E1165">
        <v>1838</v>
      </c>
      <c r="F1165" t="s">
        <v>4806</v>
      </c>
      <c r="G1165" t="s">
        <v>4808</v>
      </c>
      <c r="H1165">
        <v>907274</v>
      </c>
      <c r="I1165">
        <v>86854</v>
      </c>
      <c r="J1165">
        <v>4.9634657739506899E-2</v>
      </c>
      <c r="K1165">
        <v>45032.234465953399</v>
      </c>
      <c r="L1165">
        <v>45032.234465953399</v>
      </c>
      <c r="M1165">
        <v>599</v>
      </c>
    </row>
    <row r="1166" spans="1:13" ht="15">
      <c r="A1166" t="s">
        <v>3539</v>
      </c>
      <c r="B1166" s="1040" t="str">
        <f>CONCATENATE(LEFT(RIGHT(CONCATENATE("000",IFAData_TEA_1718!A1166),6),3),"-",(RIGHT(RIGHT(CONCATENATE("000",IFAData_TEA_1718!A1166),6),3)))</f>
        <v>101-910</v>
      </c>
      <c r="C1166" t="s">
        <v>1480</v>
      </c>
      <c r="D1166">
        <v>6</v>
      </c>
      <c r="E1166">
        <v>1838</v>
      </c>
      <c r="F1166" t="s">
        <v>4806</v>
      </c>
      <c r="G1166" t="s">
        <v>6255</v>
      </c>
      <c r="H1166">
        <v>907274</v>
      </c>
      <c r="I1166">
        <v>0</v>
      </c>
      <c r="J1166">
        <v>0</v>
      </c>
      <c r="K1166">
        <v>0</v>
      </c>
      <c r="L1166">
        <v>0</v>
      </c>
      <c r="M1166">
        <v>599</v>
      </c>
    </row>
    <row r="1167" spans="1:13" ht="15">
      <c r="A1167" t="s">
        <v>3539</v>
      </c>
      <c r="B1167" s="1040" t="str">
        <f>CONCATENATE(LEFT(RIGHT(CONCATENATE("000",IFAData_TEA_1718!A1167),6),3),"-",(RIGHT(RIGHT(CONCATENATE("000",IFAData_TEA_1718!A1167),6),3)))</f>
        <v>101-910</v>
      </c>
      <c r="C1167" t="s">
        <v>1480</v>
      </c>
      <c r="D1167">
        <v>6</v>
      </c>
      <c r="E1167">
        <v>1838</v>
      </c>
      <c r="F1167" t="s">
        <v>4806</v>
      </c>
      <c r="G1167" t="s">
        <v>8399</v>
      </c>
      <c r="H1167">
        <v>907274</v>
      </c>
      <c r="I1167">
        <v>143466</v>
      </c>
      <c r="J1167">
        <v>8.1986849278744806E-2</v>
      </c>
      <c r="K1167">
        <v>74384.536692523907</v>
      </c>
      <c r="L1167">
        <v>74384.536692523907</v>
      </c>
      <c r="M1167">
        <v>599</v>
      </c>
    </row>
    <row r="1168" spans="1:13" ht="15">
      <c r="A1168" t="s">
        <v>3539</v>
      </c>
      <c r="B1168" s="1040" t="str">
        <f>CONCATENATE(LEFT(RIGHT(CONCATENATE("000",IFAData_TEA_1718!A1168),6),3),"-",(RIGHT(RIGHT(CONCATENATE("000",IFAData_TEA_1718!A1168),6),3)))</f>
        <v>101-910</v>
      </c>
      <c r="C1168" t="s">
        <v>1480</v>
      </c>
      <c r="D1168">
        <v>6</v>
      </c>
      <c r="E1168">
        <v>1838</v>
      </c>
      <c r="F1168" t="s">
        <v>4806</v>
      </c>
      <c r="G1168" t="s">
        <v>8400</v>
      </c>
      <c r="H1168">
        <v>907274</v>
      </c>
      <c r="I1168">
        <v>508213</v>
      </c>
      <c r="J1168">
        <v>0.29042966718594498</v>
      </c>
      <c r="K1168">
        <v>263499.285866461</v>
      </c>
      <c r="L1168">
        <v>263499.285866461</v>
      </c>
      <c r="M1168">
        <v>599</v>
      </c>
    </row>
    <row r="1169" spans="1:13" ht="15">
      <c r="A1169" t="s">
        <v>3539</v>
      </c>
      <c r="B1169" s="1040" t="str">
        <f>CONCATENATE(LEFT(RIGHT(CONCATENATE("000",IFAData_TEA_1718!A1169),6),3),"-",(RIGHT(RIGHT(CONCATENATE("000",IFAData_TEA_1718!A1169),6),3)))</f>
        <v>101-910</v>
      </c>
      <c r="C1169" t="s">
        <v>1480</v>
      </c>
      <c r="D1169">
        <v>6</v>
      </c>
      <c r="E1169">
        <v>1834</v>
      </c>
      <c r="F1169" t="s">
        <v>4809</v>
      </c>
      <c r="G1169" t="s">
        <v>4809</v>
      </c>
      <c r="H1169">
        <v>608673</v>
      </c>
      <c r="I1169">
        <v>0</v>
      </c>
      <c r="J1169">
        <v>0</v>
      </c>
      <c r="K1169">
        <v>0</v>
      </c>
      <c r="L1169">
        <v>0</v>
      </c>
      <c r="M1169">
        <v>599</v>
      </c>
    </row>
    <row r="1170" spans="1:13" ht="15">
      <c r="A1170" t="s">
        <v>3539</v>
      </c>
      <c r="B1170" s="1040" t="str">
        <f>CONCATENATE(LEFT(RIGHT(CONCATENATE("000",IFAData_TEA_1718!A1170),6),3),"-",(RIGHT(RIGHT(CONCATENATE("000",IFAData_TEA_1718!A1170),6),3)))</f>
        <v>101-910</v>
      </c>
      <c r="C1170" t="s">
        <v>1480</v>
      </c>
      <c r="D1170">
        <v>6</v>
      </c>
      <c r="E1170">
        <v>1834</v>
      </c>
      <c r="F1170" t="s">
        <v>4809</v>
      </c>
      <c r="G1170" t="s">
        <v>4808</v>
      </c>
      <c r="H1170">
        <v>608673</v>
      </c>
      <c r="I1170">
        <v>1220749</v>
      </c>
      <c r="J1170">
        <v>0.84349967489910105</v>
      </c>
      <c r="K1170">
        <v>513415.47761986102</v>
      </c>
      <c r="L1170">
        <v>513415.47761986102</v>
      </c>
      <c r="M1170">
        <v>599</v>
      </c>
    </row>
    <row r="1171" spans="1:13" ht="15">
      <c r="A1171" t="s">
        <v>3539</v>
      </c>
      <c r="B1171" s="1040" t="str">
        <f>CONCATENATE(LEFT(RIGHT(CONCATENATE("000",IFAData_TEA_1718!A1171),6),3),"-",(RIGHT(RIGHT(CONCATENATE("000",IFAData_TEA_1718!A1171),6),3)))</f>
        <v>101-910</v>
      </c>
      <c r="C1171" t="s">
        <v>1480</v>
      </c>
      <c r="D1171">
        <v>6</v>
      </c>
      <c r="E1171">
        <v>1834</v>
      </c>
      <c r="F1171" t="s">
        <v>4809</v>
      </c>
      <c r="G1171" t="s">
        <v>4810</v>
      </c>
      <c r="H1171">
        <v>608673</v>
      </c>
      <c r="I1171">
        <v>226494</v>
      </c>
      <c r="J1171">
        <v>0.15650032510089901</v>
      </c>
      <c r="K1171">
        <v>95257.5223801393</v>
      </c>
      <c r="L1171">
        <v>95257.5223801393</v>
      </c>
      <c r="M1171">
        <v>599</v>
      </c>
    </row>
    <row r="1172" spans="1:13" ht="15">
      <c r="A1172" t="s">
        <v>3539</v>
      </c>
      <c r="B1172" s="1040" t="str">
        <f>CONCATENATE(LEFT(RIGHT(CONCATENATE("000",IFAData_TEA_1718!A1172),6),3),"-",(RIGHT(RIGHT(CONCATENATE("000",IFAData_TEA_1718!A1172),6),3)))</f>
        <v>101-910</v>
      </c>
      <c r="C1172" t="s">
        <v>1480</v>
      </c>
      <c r="D1172">
        <v>9</v>
      </c>
      <c r="E1172">
        <v>1836</v>
      </c>
      <c r="F1172" t="s">
        <v>4811</v>
      </c>
      <c r="G1172" t="s">
        <v>4811</v>
      </c>
      <c r="H1172">
        <v>792979</v>
      </c>
      <c r="I1172">
        <v>701231</v>
      </c>
      <c r="J1172">
        <v>1</v>
      </c>
      <c r="K1172">
        <v>792979</v>
      </c>
      <c r="L1172">
        <v>701231</v>
      </c>
      <c r="M1172">
        <v>599</v>
      </c>
    </row>
    <row r="1173" spans="1:13" ht="15">
      <c r="A1173" t="s">
        <v>3539</v>
      </c>
      <c r="B1173" s="1040" t="str">
        <f>CONCATENATE(LEFT(RIGHT(CONCATENATE("000",IFAData_TEA_1718!A1173),6),3),"-",(RIGHT(RIGHT(CONCATENATE("000",IFAData_TEA_1718!A1173),6),3)))</f>
        <v>101-910</v>
      </c>
      <c r="C1173" t="s">
        <v>1480</v>
      </c>
      <c r="D1173">
        <v>10</v>
      </c>
      <c r="E1173">
        <v>1835</v>
      </c>
      <c r="F1173" t="s">
        <v>4812</v>
      </c>
      <c r="G1173" t="s">
        <v>4812</v>
      </c>
      <c r="H1173">
        <v>663147</v>
      </c>
      <c r="I1173">
        <v>645965</v>
      </c>
      <c r="J1173">
        <v>1</v>
      </c>
      <c r="K1173">
        <v>663147</v>
      </c>
      <c r="L1173">
        <v>645965</v>
      </c>
      <c r="M1173">
        <v>599</v>
      </c>
    </row>
    <row r="1174" spans="1:13" ht="15">
      <c r="A1174" t="s">
        <v>3540</v>
      </c>
      <c r="B1174" s="1040" t="str">
        <f>CONCATENATE(LEFT(RIGHT(CONCATENATE("000",IFAData_TEA_1718!A1174),6),3),"-",(RIGHT(RIGHT(CONCATENATE("000",IFAData_TEA_1718!A1174),6),3)))</f>
        <v>101-913</v>
      </c>
      <c r="C1174" t="s">
        <v>2385</v>
      </c>
      <c r="D1174">
        <v>1</v>
      </c>
      <c r="E1174">
        <v>1914</v>
      </c>
      <c r="F1174" t="s">
        <v>4813</v>
      </c>
      <c r="G1174" t="s">
        <v>4813</v>
      </c>
      <c r="H1174">
        <v>1259509</v>
      </c>
      <c r="I1174">
        <v>0</v>
      </c>
      <c r="J1174">
        <v>0</v>
      </c>
      <c r="K1174"/>
      <c r="L1174">
        <v>0</v>
      </c>
      <c r="M1174">
        <v>599</v>
      </c>
    </row>
    <row r="1175" spans="1:13" ht="15">
      <c r="A1175" t="s">
        <v>3540</v>
      </c>
      <c r="B1175" s="1040" t="str">
        <f>CONCATENATE(LEFT(RIGHT(CONCATENATE("000",IFAData_TEA_1718!A1175),6),3),"-",(RIGHT(RIGHT(CONCATENATE("000",IFAData_TEA_1718!A1175),6),3)))</f>
        <v>101-913</v>
      </c>
      <c r="C1175" t="s">
        <v>2385</v>
      </c>
      <c r="D1175">
        <v>1</v>
      </c>
      <c r="E1175">
        <v>1915</v>
      </c>
      <c r="F1175" t="s">
        <v>4816</v>
      </c>
      <c r="G1175" t="s">
        <v>4816</v>
      </c>
      <c r="H1175">
        <v>1479767</v>
      </c>
      <c r="I1175">
        <v>0</v>
      </c>
      <c r="J1175">
        <v>0</v>
      </c>
      <c r="K1175">
        <v>0</v>
      </c>
      <c r="L1175">
        <v>0</v>
      </c>
      <c r="M1175">
        <v>599</v>
      </c>
    </row>
    <row r="1176" spans="1:13" ht="15">
      <c r="A1176" t="s">
        <v>3540</v>
      </c>
      <c r="B1176" s="1040" t="str">
        <f>CONCATENATE(LEFT(RIGHT(CONCATENATE("000",IFAData_TEA_1718!A1176),6),3),"-",(RIGHT(RIGHT(CONCATENATE("000",IFAData_TEA_1718!A1176),6),3)))</f>
        <v>101-913</v>
      </c>
      <c r="C1176" t="s">
        <v>2385</v>
      </c>
      <c r="D1176">
        <v>1</v>
      </c>
      <c r="E1176">
        <v>1915</v>
      </c>
      <c r="F1176" t="s">
        <v>4816</v>
      </c>
      <c r="G1176" t="s">
        <v>4814</v>
      </c>
      <c r="H1176">
        <v>1479767</v>
      </c>
      <c r="I1176">
        <v>0</v>
      </c>
      <c r="J1176">
        <v>0</v>
      </c>
      <c r="K1176">
        <v>0</v>
      </c>
      <c r="L1176">
        <v>0</v>
      </c>
      <c r="M1176">
        <v>599</v>
      </c>
    </row>
    <row r="1177" spans="1:13" ht="15">
      <c r="A1177" t="s">
        <v>3540</v>
      </c>
      <c r="B1177" s="1040" t="str">
        <f>CONCATENATE(LEFT(RIGHT(CONCATENATE("000",IFAData_TEA_1718!A1177),6),3),"-",(RIGHT(RIGHT(CONCATENATE("000",IFAData_TEA_1718!A1177),6),3)))</f>
        <v>101-913</v>
      </c>
      <c r="C1177" t="s">
        <v>2385</v>
      </c>
      <c r="D1177">
        <v>1</v>
      </c>
      <c r="E1177">
        <v>1915</v>
      </c>
      <c r="F1177" t="s">
        <v>4816</v>
      </c>
      <c r="G1177" t="s">
        <v>4815</v>
      </c>
      <c r="H1177">
        <v>1479767</v>
      </c>
      <c r="I1177">
        <v>774133</v>
      </c>
      <c r="J1177">
        <v>1</v>
      </c>
      <c r="K1177">
        <v>1479767</v>
      </c>
      <c r="L1177">
        <v>774133</v>
      </c>
      <c r="M1177">
        <v>599</v>
      </c>
    </row>
    <row r="1178" spans="1:13" ht="15">
      <c r="A1178" t="s">
        <v>3540</v>
      </c>
      <c r="B1178" s="1040" t="str">
        <f>CONCATENATE(LEFT(RIGHT(CONCATENATE("000",IFAData_TEA_1718!A1178),6),3),"-",(RIGHT(RIGHT(CONCATENATE("000",IFAData_TEA_1718!A1178),6),3)))</f>
        <v>101-913</v>
      </c>
      <c r="C1178" t="s">
        <v>2385</v>
      </c>
      <c r="D1178">
        <v>1</v>
      </c>
      <c r="E1178">
        <v>1915</v>
      </c>
      <c r="F1178" t="s">
        <v>4816</v>
      </c>
      <c r="G1178" t="s">
        <v>6256</v>
      </c>
      <c r="H1178">
        <v>1479767</v>
      </c>
      <c r="I1178">
        <v>0</v>
      </c>
      <c r="J1178">
        <v>0</v>
      </c>
      <c r="K1178">
        <v>0</v>
      </c>
      <c r="L1178">
        <v>0</v>
      </c>
      <c r="M1178">
        <v>599</v>
      </c>
    </row>
    <row r="1179" spans="1:13" ht="15">
      <c r="A1179" t="s">
        <v>3540</v>
      </c>
      <c r="B1179" s="1040" t="str">
        <f>CONCATENATE(LEFT(RIGHT(CONCATENATE("000",IFAData_TEA_1718!A1179),6),3),"-",(RIGHT(RIGHT(CONCATENATE("000",IFAData_TEA_1718!A1179),6),3)))</f>
        <v>101-913</v>
      </c>
      <c r="C1179" t="s">
        <v>2385</v>
      </c>
      <c r="D1179">
        <v>11</v>
      </c>
      <c r="E1179">
        <v>2544</v>
      </c>
      <c r="F1179" t="s">
        <v>8401</v>
      </c>
      <c r="G1179" t="s">
        <v>8401</v>
      </c>
      <c r="H1179">
        <v>2848025</v>
      </c>
      <c r="I1179">
        <v>2827125</v>
      </c>
      <c r="J1179">
        <v>1</v>
      </c>
      <c r="K1179">
        <v>2848025</v>
      </c>
      <c r="L1179">
        <v>2827125</v>
      </c>
      <c r="M1179">
        <v>599</v>
      </c>
    </row>
    <row r="1180" spans="1:13" ht="15">
      <c r="A1180" t="s">
        <v>3541</v>
      </c>
      <c r="B1180" s="1040" t="str">
        <f>CONCATENATE(LEFT(RIGHT(CONCATENATE("000",IFAData_TEA_1718!A1180),6),3),"-",(RIGHT(RIGHT(CONCATENATE("000",IFAData_TEA_1718!A1180),6),3)))</f>
        <v>101-914</v>
      </c>
      <c r="C1180" t="s">
        <v>410</v>
      </c>
      <c r="D1180">
        <v>1</v>
      </c>
      <c r="E1180">
        <v>1942</v>
      </c>
      <c r="F1180" t="s">
        <v>4817</v>
      </c>
      <c r="G1180" t="s">
        <v>4817</v>
      </c>
      <c r="H1180">
        <v>1428934</v>
      </c>
      <c r="I1180">
        <v>0</v>
      </c>
      <c r="J1180">
        <v>0</v>
      </c>
      <c r="K1180">
        <v>0</v>
      </c>
      <c r="L1180">
        <v>0</v>
      </c>
      <c r="M1180">
        <v>599</v>
      </c>
    </row>
    <row r="1181" spans="1:13" ht="15">
      <c r="A1181" t="s">
        <v>3541</v>
      </c>
      <c r="B1181" s="1040" t="str">
        <f>CONCATENATE(LEFT(RIGHT(CONCATENATE("000",IFAData_TEA_1718!A1181),6),3),"-",(RIGHT(RIGHT(CONCATENATE("000",IFAData_TEA_1718!A1181),6),3)))</f>
        <v>101-914</v>
      </c>
      <c r="C1181" t="s">
        <v>410</v>
      </c>
      <c r="D1181">
        <v>1</v>
      </c>
      <c r="E1181">
        <v>1942</v>
      </c>
      <c r="F1181" t="s">
        <v>4817</v>
      </c>
      <c r="G1181" t="s">
        <v>4818</v>
      </c>
      <c r="H1181">
        <v>1428934</v>
      </c>
      <c r="I1181">
        <v>3130009</v>
      </c>
      <c r="J1181">
        <v>1</v>
      </c>
      <c r="K1181">
        <v>1428934</v>
      </c>
      <c r="L1181">
        <v>1428934</v>
      </c>
      <c r="M1181">
        <v>599</v>
      </c>
    </row>
    <row r="1182" spans="1:13" ht="15">
      <c r="A1182" t="s">
        <v>3541</v>
      </c>
      <c r="B1182" s="1040" t="str">
        <f>CONCATENATE(LEFT(RIGHT(CONCATENATE("000",IFAData_TEA_1718!A1182),6),3),"-",(RIGHT(RIGHT(CONCATENATE("000",IFAData_TEA_1718!A1182),6),3)))</f>
        <v>101-914</v>
      </c>
      <c r="C1182" t="s">
        <v>410</v>
      </c>
      <c r="D1182">
        <v>1</v>
      </c>
      <c r="E1182">
        <v>1943</v>
      </c>
      <c r="F1182" t="s">
        <v>4819</v>
      </c>
      <c r="G1182" t="s">
        <v>4819</v>
      </c>
      <c r="H1182">
        <v>1506643</v>
      </c>
      <c r="I1182">
        <v>0</v>
      </c>
      <c r="J1182">
        <v>0</v>
      </c>
      <c r="K1182"/>
      <c r="L1182">
        <v>0</v>
      </c>
      <c r="M1182">
        <v>599</v>
      </c>
    </row>
    <row r="1183" spans="1:13" ht="15">
      <c r="A1183" t="s">
        <v>3541</v>
      </c>
      <c r="B1183" s="1040" t="str">
        <f>CONCATENATE(LEFT(RIGHT(CONCATENATE("000",IFAData_TEA_1718!A1183),6),3),"-",(RIGHT(RIGHT(CONCATENATE("000",IFAData_TEA_1718!A1183),6),3)))</f>
        <v>101-914</v>
      </c>
      <c r="C1183" t="s">
        <v>410</v>
      </c>
      <c r="D1183">
        <v>2</v>
      </c>
      <c r="E1183">
        <v>1944</v>
      </c>
      <c r="F1183" t="s">
        <v>4821</v>
      </c>
      <c r="G1183" t="s">
        <v>4821</v>
      </c>
      <c r="H1183">
        <v>1987951</v>
      </c>
      <c r="I1183">
        <v>0</v>
      </c>
      <c r="J1183">
        <v>0</v>
      </c>
      <c r="K1183">
        <v>0</v>
      </c>
      <c r="L1183">
        <v>0</v>
      </c>
      <c r="M1183">
        <v>599</v>
      </c>
    </row>
    <row r="1184" spans="1:13" ht="15">
      <c r="A1184" t="s">
        <v>3541</v>
      </c>
      <c r="B1184" s="1040" t="str">
        <f>CONCATENATE(LEFT(RIGHT(CONCATENATE("000",IFAData_TEA_1718!A1184),6),3),"-",(RIGHT(RIGHT(CONCATENATE("000",IFAData_TEA_1718!A1184),6),3)))</f>
        <v>101-914</v>
      </c>
      <c r="C1184" t="s">
        <v>410</v>
      </c>
      <c r="D1184">
        <v>2</v>
      </c>
      <c r="E1184">
        <v>1944</v>
      </c>
      <c r="F1184" t="s">
        <v>4821</v>
      </c>
      <c r="G1184" t="s">
        <v>4820</v>
      </c>
      <c r="H1184">
        <v>1987951</v>
      </c>
      <c r="I1184">
        <v>588050</v>
      </c>
      <c r="J1184">
        <v>0.23472810378570699</v>
      </c>
      <c r="K1184">
        <v>466627.968648899</v>
      </c>
      <c r="L1184">
        <v>466627.968648899</v>
      </c>
      <c r="M1184">
        <v>599</v>
      </c>
    </row>
    <row r="1185" spans="1:13" ht="15">
      <c r="A1185" t="s">
        <v>3541</v>
      </c>
      <c r="B1185" s="1040" t="str">
        <f>CONCATENATE(LEFT(RIGHT(CONCATENATE("000",IFAData_TEA_1718!A1185),6),3),"-",(RIGHT(RIGHT(CONCATENATE("000",IFAData_TEA_1718!A1185),6),3)))</f>
        <v>101-914</v>
      </c>
      <c r="C1185" t="s">
        <v>410</v>
      </c>
      <c r="D1185">
        <v>2</v>
      </c>
      <c r="E1185">
        <v>1944</v>
      </c>
      <c r="F1185" t="s">
        <v>4821</v>
      </c>
      <c r="G1185" t="s">
        <v>4818</v>
      </c>
      <c r="H1185">
        <v>1987951</v>
      </c>
      <c r="I1185">
        <v>1399746</v>
      </c>
      <c r="J1185">
        <v>0.55872753058690205</v>
      </c>
      <c r="K1185">
        <v>1110722.95315776</v>
      </c>
      <c r="L1185">
        <v>1110722.95315776</v>
      </c>
      <c r="M1185">
        <v>599</v>
      </c>
    </row>
    <row r="1186" spans="1:13" ht="15">
      <c r="A1186" t="s">
        <v>3541</v>
      </c>
      <c r="B1186" s="1040" t="str">
        <f>CONCATENATE(LEFT(RIGHT(CONCATENATE("000",IFAData_TEA_1718!A1186),6),3),"-",(RIGHT(RIGHT(CONCATENATE("000",IFAData_TEA_1718!A1186),6),3)))</f>
        <v>101-914</v>
      </c>
      <c r="C1186" t="s">
        <v>410</v>
      </c>
      <c r="D1186">
        <v>2</v>
      </c>
      <c r="E1186">
        <v>1944</v>
      </c>
      <c r="F1186" t="s">
        <v>4821</v>
      </c>
      <c r="G1186" t="s">
        <v>6257</v>
      </c>
      <c r="H1186">
        <v>1987951</v>
      </c>
      <c r="I1186">
        <v>517443</v>
      </c>
      <c r="J1186">
        <v>0.20654436562739101</v>
      </c>
      <c r="K1186">
        <v>410600.07819333801</v>
      </c>
      <c r="L1186">
        <v>410600.07819333801</v>
      </c>
      <c r="M1186">
        <v>599</v>
      </c>
    </row>
    <row r="1187" spans="1:13" ht="15">
      <c r="A1187" t="s">
        <v>3541</v>
      </c>
      <c r="B1187" s="1040" t="str">
        <f>CONCATENATE(LEFT(RIGHT(CONCATENATE("000",IFAData_TEA_1718!A1187),6),3),"-",(RIGHT(RIGHT(CONCATENATE("000",IFAData_TEA_1718!A1187),6),3)))</f>
        <v>101-914</v>
      </c>
      <c r="C1187" t="s">
        <v>410</v>
      </c>
      <c r="D1187">
        <v>9</v>
      </c>
      <c r="E1187">
        <v>1945</v>
      </c>
      <c r="F1187" t="s">
        <v>4822</v>
      </c>
      <c r="G1187" t="s">
        <v>4822</v>
      </c>
      <c r="H1187">
        <v>5681065</v>
      </c>
      <c r="I1187">
        <v>0</v>
      </c>
      <c r="J1187">
        <v>0</v>
      </c>
      <c r="K1187">
        <v>0</v>
      </c>
      <c r="L1187">
        <v>0</v>
      </c>
      <c r="M1187">
        <v>599</v>
      </c>
    </row>
    <row r="1188" spans="1:13" ht="15">
      <c r="A1188" t="s">
        <v>3541</v>
      </c>
      <c r="B1188" s="1040" t="str">
        <f>CONCATENATE(LEFT(RIGHT(CONCATENATE("000",IFAData_TEA_1718!A1188),6),3),"-",(RIGHT(RIGHT(CONCATENATE("000",IFAData_TEA_1718!A1188),6),3)))</f>
        <v>101-914</v>
      </c>
      <c r="C1188" t="s">
        <v>410</v>
      </c>
      <c r="D1188">
        <v>9</v>
      </c>
      <c r="E1188">
        <v>1945</v>
      </c>
      <c r="F1188" t="s">
        <v>4822</v>
      </c>
      <c r="G1188" t="s">
        <v>6258</v>
      </c>
      <c r="H1188">
        <v>5681065</v>
      </c>
      <c r="I1188">
        <v>2895038</v>
      </c>
      <c r="J1188">
        <v>1</v>
      </c>
      <c r="K1188">
        <v>5681065</v>
      </c>
      <c r="L1188">
        <v>2895038</v>
      </c>
      <c r="M1188">
        <v>599</v>
      </c>
    </row>
    <row r="1189" spans="1:13" ht="15">
      <c r="A1189" t="s">
        <v>3541</v>
      </c>
      <c r="B1189" s="1040" t="str">
        <f>CONCATENATE(LEFT(RIGHT(CONCATENATE("000",IFAData_TEA_1718!A1189),6),3),"-",(RIGHT(RIGHT(CONCATENATE("000",IFAData_TEA_1718!A1189),6),3)))</f>
        <v>101-914</v>
      </c>
      <c r="C1189" t="s">
        <v>410</v>
      </c>
      <c r="D1189">
        <v>9</v>
      </c>
      <c r="E1189">
        <v>1946</v>
      </c>
      <c r="F1189" t="s">
        <v>4823</v>
      </c>
      <c r="G1189" t="s">
        <v>4823</v>
      </c>
      <c r="H1189">
        <v>5902797</v>
      </c>
      <c r="I1189">
        <v>4076509</v>
      </c>
      <c r="J1189">
        <v>0.64424883738351302</v>
      </c>
      <c r="K1189">
        <v>3802870.1045608898</v>
      </c>
      <c r="L1189">
        <v>3802870.1045608898</v>
      </c>
      <c r="M1189">
        <v>599</v>
      </c>
    </row>
    <row r="1190" spans="1:13" ht="15">
      <c r="A1190" t="s">
        <v>3541</v>
      </c>
      <c r="B1190" s="1040" t="str">
        <f>CONCATENATE(LEFT(RIGHT(CONCATENATE("000",IFAData_TEA_1718!A1190),6),3),"-",(RIGHT(RIGHT(CONCATENATE("000",IFAData_TEA_1718!A1190),6),3)))</f>
        <v>101-914</v>
      </c>
      <c r="C1190" t="s">
        <v>410</v>
      </c>
      <c r="D1190">
        <v>9</v>
      </c>
      <c r="E1190">
        <v>1946</v>
      </c>
      <c r="F1190" t="s">
        <v>4823</v>
      </c>
      <c r="G1190" t="s">
        <v>6258</v>
      </c>
      <c r="H1190">
        <v>5902797</v>
      </c>
      <c r="I1190">
        <v>1105470</v>
      </c>
      <c r="J1190">
        <v>0.174707761533791</v>
      </c>
      <c r="K1190">
        <v>1031264.4506583801</v>
      </c>
      <c r="L1190">
        <v>1031264.4506583801</v>
      </c>
      <c r="M1190">
        <v>599</v>
      </c>
    </row>
    <row r="1191" spans="1:13" ht="15">
      <c r="A1191" t="s">
        <v>3541</v>
      </c>
      <c r="B1191" s="1040" t="str">
        <f>CONCATENATE(LEFT(RIGHT(CONCATENATE("000",IFAData_TEA_1718!A1191),6),3),"-",(RIGHT(RIGHT(CONCATENATE("000",IFAData_TEA_1718!A1191),6),3)))</f>
        <v>101-914</v>
      </c>
      <c r="C1191" t="s">
        <v>410</v>
      </c>
      <c r="D1191">
        <v>9</v>
      </c>
      <c r="E1191">
        <v>1946</v>
      </c>
      <c r="F1191" t="s">
        <v>4823</v>
      </c>
      <c r="G1191" t="s">
        <v>6259</v>
      </c>
      <c r="H1191">
        <v>5902797</v>
      </c>
      <c r="I1191">
        <v>585202</v>
      </c>
      <c r="J1191">
        <v>9.2484944381211104E-2</v>
      </c>
      <c r="K1191">
        <v>545919.85223858</v>
      </c>
      <c r="L1191">
        <v>545919.85223858</v>
      </c>
      <c r="M1191">
        <v>599</v>
      </c>
    </row>
    <row r="1192" spans="1:13" ht="15">
      <c r="A1192" t="s">
        <v>3541</v>
      </c>
      <c r="B1192" s="1040" t="str">
        <f>CONCATENATE(LEFT(RIGHT(CONCATENATE("000",IFAData_TEA_1718!A1192),6),3),"-",(RIGHT(RIGHT(CONCATENATE("000",IFAData_TEA_1718!A1192),6),3)))</f>
        <v>101-914</v>
      </c>
      <c r="C1192" t="s">
        <v>410</v>
      </c>
      <c r="D1192">
        <v>9</v>
      </c>
      <c r="E1192">
        <v>1946</v>
      </c>
      <c r="F1192" t="s">
        <v>4823</v>
      </c>
      <c r="G1192" t="s">
        <v>6471</v>
      </c>
      <c r="H1192">
        <v>5902797</v>
      </c>
      <c r="I1192">
        <v>560357</v>
      </c>
      <c r="J1192">
        <v>8.8558456701484795E-2</v>
      </c>
      <c r="K1192">
        <v>522742.59254215501</v>
      </c>
      <c r="L1192">
        <v>522742.59254215501</v>
      </c>
      <c r="M1192">
        <v>599</v>
      </c>
    </row>
    <row r="1193" spans="1:13" ht="15">
      <c r="A1193" t="s">
        <v>3541</v>
      </c>
      <c r="B1193" s="1040" t="str">
        <f>CONCATENATE(LEFT(RIGHT(CONCATENATE("000",IFAData_TEA_1718!A1193),6),3),"-",(RIGHT(RIGHT(CONCATENATE("000",IFAData_TEA_1718!A1193),6),3)))</f>
        <v>101-914</v>
      </c>
      <c r="C1193" t="s">
        <v>410</v>
      </c>
      <c r="D1193">
        <v>9</v>
      </c>
      <c r="E1193">
        <v>1941</v>
      </c>
      <c r="F1193" t="s">
        <v>4824</v>
      </c>
      <c r="G1193" t="s">
        <v>4824</v>
      </c>
      <c r="H1193">
        <v>212152</v>
      </c>
      <c r="I1193">
        <v>256935</v>
      </c>
      <c r="J1193">
        <v>0.41938985374771498</v>
      </c>
      <c r="K1193">
        <v>88974.396252285194</v>
      </c>
      <c r="L1193">
        <v>88974.396252285194</v>
      </c>
      <c r="M1193">
        <v>599</v>
      </c>
    </row>
    <row r="1194" spans="1:13" ht="15">
      <c r="A1194" t="s">
        <v>3541</v>
      </c>
      <c r="B1194" s="1040" t="str">
        <f>CONCATENATE(LEFT(RIGHT(CONCATENATE("000",IFAData_TEA_1718!A1194),6),3),"-",(RIGHT(RIGHT(CONCATENATE("000",IFAData_TEA_1718!A1194),6),3)))</f>
        <v>101-914</v>
      </c>
      <c r="C1194" t="s">
        <v>410</v>
      </c>
      <c r="D1194">
        <v>9</v>
      </c>
      <c r="E1194">
        <v>1941</v>
      </c>
      <c r="F1194" t="s">
        <v>4824</v>
      </c>
      <c r="G1194" t="s">
        <v>6259</v>
      </c>
      <c r="H1194">
        <v>212152</v>
      </c>
      <c r="I1194">
        <v>217169</v>
      </c>
      <c r="J1194">
        <v>0.35448060851397201</v>
      </c>
      <c r="K1194">
        <v>75203.770057456306</v>
      </c>
      <c r="L1194">
        <v>75203.770057456306</v>
      </c>
      <c r="M1194">
        <v>599</v>
      </c>
    </row>
    <row r="1195" spans="1:13" ht="15">
      <c r="A1195" t="s">
        <v>3541</v>
      </c>
      <c r="B1195" s="1040" t="str">
        <f>CONCATENATE(LEFT(RIGHT(CONCATENATE("000",IFAData_TEA_1718!A1195),6),3),"-",(RIGHT(RIGHT(CONCATENATE("000",IFAData_TEA_1718!A1195),6),3)))</f>
        <v>101-914</v>
      </c>
      <c r="C1195" t="s">
        <v>410</v>
      </c>
      <c r="D1195">
        <v>9</v>
      </c>
      <c r="E1195">
        <v>1941</v>
      </c>
      <c r="F1195" t="s">
        <v>4824</v>
      </c>
      <c r="G1195" t="s">
        <v>6471</v>
      </c>
      <c r="H1195">
        <v>212152</v>
      </c>
      <c r="I1195">
        <v>138536</v>
      </c>
      <c r="J1195">
        <v>0.22612953773831301</v>
      </c>
      <c r="K1195">
        <v>47973.833690258602</v>
      </c>
      <c r="L1195">
        <v>47973.833690258602</v>
      </c>
      <c r="M1195">
        <v>599</v>
      </c>
    </row>
    <row r="1196" spans="1:13" ht="15">
      <c r="A1196" t="s">
        <v>3542</v>
      </c>
      <c r="B1196" s="1040" t="str">
        <f>CONCATENATE(LEFT(RIGHT(CONCATENATE("000",IFAData_TEA_1718!A1196),6),3),"-",(RIGHT(RIGHT(CONCATENATE("000",IFAData_TEA_1718!A1196),6),3)))</f>
        <v>101-915</v>
      </c>
      <c r="C1196" t="s">
        <v>2585</v>
      </c>
      <c r="D1196">
        <v>1</v>
      </c>
      <c r="E1196">
        <v>1963</v>
      </c>
      <c r="F1196" t="s">
        <v>4825</v>
      </c>
      <c r="G1196" t="s">
        <v>4825</v>
      </c>
      <c r="H1196">
        <v>282821</v>
      </c>
      <c r="I1196">
        <v>0</v>
      </c>
      <c r="J1196">
        <v>0</v>
      </c>
      <c r="K1196"/>
      <c r="L1196">
        <v>0</v>
      </c>
      <c r="M1196">
        <v>599</v>
      </c>
    </row>
    <row r="1197" spans="1:13" ht="15">
      <c r="A1197" t="s">
        <v>3542</v>
      </c>
      <c r="B1197" s="1040" t="str">
        <f>CONCATENATE(LEFT(RIGHT(CONCATENATE("000",IFAData_TEA_1718!A1197),6),3),"-",(RIGHT(RIGHT(CONCATENATE("000",IFAData_TEA_1718!A1197),6),3)))</f>
        <v>101-915</v>
      </c>
      <c r="C1197" t="s">
        <v>2585</v>
      </c>
      <c r="D1197">
        <v>2</v>
      </c>
      <c r="E1197">
        <v>1965</v>
      </c>
      <c r="F1197" t="s">
        <v>4827</v>
      </c>
      <c r="G1197" t="s">
        <v>4827</v>
      </c>
      <c r="H1197">
        <v>1172621</v>
      </c>
      <c r="I1197">
        <v>0</v>
      </c>
      <c r="J1197">
        <v>0</v>
      </c>
      <c r="K1197">
        <v>0</v>
      </c>
      <c r="L1197">
        <v>0</v>
      </c>
      <c r="M1197">
        <v>599</v>
      </c>
    </row>
    <row r="1198" spans="1:13" ht="15">
      <c r="A1198" t="s">
        <v>3542</v>
      </c>
      <c r="B1198" s="1040" t="str">
        <f>CONCATENATE(LEFT(RIGHT(CONCATENATE("000",IFAData_TEA_1718!A1198),6),3),"-",(RIGHT(RIGHT(CONCATENATE("000",IFAData_TEA_1718!A1198),6),3)))</f>
        <v>101-915</v>
      </c>
      <c r="C1198" t="s">
        <v>2585</v>
      </c>
      <c r="D1198">
        <v>2</v>
      </c>
      <c r="E1198">
        <v>1965</v>
      </c>
      <c r="F1198" t="s">
        <v>4827</v>
      </c>
      <c r="G1198" t="s">
        <v>4826</v>
      </c>
      <c r="H1198">
        <v>1172621</v>
      </c>
      <c r="I1198">
        <v>0</v>
      </c>
      <c r="J1198">
        <v>0</v>
      </c>
      <c r="K1198">
        <v>0</v>
      </c>
      <c r="L1198">
        <v>0</v>
      </c>
      <c r="M1198">
        <v>599</v>
      </c>
    </row>
    <row r="1199" spans="1:13" ht="15">
      <c r="A1199" t="s">
        <v>3542</v>
      </c>
      <c r="B1199" s="1040" t="str">
        <f>CONCATENATE(LEFT(RIGHT(CONCATENATE("000",IFAData_TEA_1718!A1199),6),3),"-",(RIGHT(RIGHT(CONCATENATE("000",IFAData_TEA_1718!A1199),6),3)))</f>
        <v>101-915</v>
      </c>
      <c r="C1199" t="s">
        <v>2585</v>
      </c>
      <c r="D1199">
        <v>2</v>
      </c>
      <c r="E1199">
        <v>1965</v>
      </c>
      <c r="F1199" t="s">
        <v>4827</v>
      </c>
      <c r="G1199" t="s">
        <v>4828</v>
      </c>
      <c r="H1199">
        <v>1172621</v>
      </c>
      <c r="I1199">
        <v>1328613</v>
      </c>
      <c r="J1199">
        <v>0.91261423021337595</v>
      </c>
      <c r="K1199">
        <v>1070150.6112470401</v>
      </c>
      <c r="L1199">
        <v>1070150.6112470401</v>
      </c>
      <c r="M1199">
        <v>599</v>
      </c>
    </row>
    <row r="1200" spans="1:13" ht="15">
      <c r="A1200" t="s">
        <v>3542</v>
      </c>
      <c r="B1200" s="1040" t="str">
        <f>CONCATENATE(LEFT(RIGHT(CONCATENATE("000",IFAData_TEA_1718!A1200),6),3),"-",(RIGHT(RIGHT(CONCATENATE("000",IFAData_TEA_1718!A1200),6),3)))</f>
        <v>101-915</v>
      </c>
      <c r="C1200" t="s">
        <v>2585</v>
      </c>
      <c r="D1200">
        <v>2</v>
      </c>
      <c r="E1200">
        <v>1965</v>
      </c>
      <c r="F1200" t="s">
        <v>4827</v>
      </c>
      <c r="G1200" t="s">
        <v>6260</v>
      </c>
      <c r="H1200">
        <v>1172621</v>
      </c>
      <c r="I1200">
        <v>127219</v>
      </c>
      <c r="J1200">
        <v>8.7385769786623699E-2</v>
      </c>
      <c r="K1200">
        <v>102470.38875296</v>
      </c>
      <c r="L1200">
        <v>102470.38875296</v>
      </c>
      <c r="M1200">
        <v>599</v>
      </c>
    </row>
    <row r="1201" spans="1:13" ht="15">
      <c r="A1201" t="s">
        <v>3542</v>
      </c>
      <c r="B1201" s="1040" t="str">
        <f>CONCATENATE(LEFT(RIGHT(CONCATENATE("000",IFAData_TEA_1718!A1201),6),3),"-",(RIGHT(RIGHT(CONCATENATE("000",IFAData_TEA_1718!A1201),6),3)))</f>
        <v>101-915</v>
      </c>
      <c r="C1201" t="s">
        <v>2585</v>
      </c>
      <c r="D1201">
        <v>6</v>
      </c>
      <c r="E1201">
        <v>1966</v>
      </c>
      <c r="F1201" t="s">
        <v>4829</v>
      </c>
      <c r="G1201" t="s">
        <v>4829</v>
      </c>
      <c r="H1201">
        <v>2380705</v>
      </c>
      <c r="I1201">
        <v>0</v>
      </c>
      <c r="J1201">
        <v>0</v>
      </c>
      <c r="K1201">
        <v>0</v>
      </c>
      <c r="L1201">
        <v>0</v>
      </c>
      <c r="M1201">
        <v>599</v>
      </c>
    </row>
    <row r="1202" spans="1:13" ht="15">
      <c r="A1202" t="s">
        <v>3542</v>
      </c>
      <c r="B1202" s="1040" t="str">
        <f>CONCATENATE(LEFT(RIGHT(CONCATENATE("000",IFAData_TEA_1718!A1202),6),3),"-",(RIGHT(RIGHT(CONCATENATE("000",IFAData_TEA_1718!A1202),6),3)))</f>
        <v>101-915</v>
      </c>
      <c r="C1202" t="s">
        <v>2585</v>
      </c>
      <c r="D1202">
        <v>6</v>
      </c>
      <c r="E1202">
        <v>1966</v>
      </c>
      <c r="F1202" t="s">
        <v>4829</v>
      </c>
      <c r="G1202" t="s">
        <v>4826</v>
      </c>
      <c r="H1202">
        <v>2380705</v>
      </c>
      <c r="I1202">
        <v>0</v>
      </c>
      <c r="J1202">
        <v>0</v>
      </c>
      <c r="K1202">
        <v>0</v>
      </c>
      <c r="L1202">
        <v>0</v>
      </c>
      <c r="M1202">
        <v>599</v>
      </c>
    </row>
    <row r="1203" spans="1:13" ht="15">
      <c r="A1203" t="s">
        <v>3542</v>
      </c>
      <c r="B1203" s="1040" t="str">
        <f>CONCATENATE(LEFT(RIGHT(CONCATENATE("000",IFAData_TEA_1718!A1203),6),3),"-",(RIGHT(RIGHT(CONCATENATE("000",IFAData_TEA_1718!A1203),6),3)))</f>
        <v>101-915</v>
      </c>
      <c r="C1203" t="s">
        <v>2585</v>
      </c>
      <c r="D1203">
        <v>6</v>
      </c>
      <c r="E1203">
        <v>1966</v>
      </c>
      <c r="F1203" t="s">
        <v>4829</v>
      </c>
      <c r="G1203" t="s">
        <v>4830</v>
      </c>
      <c r="H1203">
        <v>2380705</v>
      </c>
      <c r="I1203">
        <v>2215716</v>
      </c>
      <c r="J1203">
        <v>0.82049850191690199</v>
      </c>
      <c r="K1203">
        <v>1953364.8860060801</v>
      </c>
      <c r="L1203">
        <v>1953364.8860060801</v>
      </c>
      <c r="M1203">
        <v>599</v>
      </c>
    </row>
    <row r="1204" spans="1:13" ht="15">
      <c r="A1204" t="s">
        <v>3542</v>
      </c>
      <c r="B1204" s="1040" t="str">
        <f>CONCATENATE(LEFT(RIGHT(CONCATENATE("000",IFAData_TEA_1718!A1204),6),3),"-",(RIGHT(RIGHT(CONCATENATE("000",IFAData_TEA_1718!A1204),6),3)))</f>
        <v>101-915</v>
      </c>
      <c r="C1204" t="s">
        <v>2585</v>
      </c>
      <c r="D1204">
        <v>6</v>
      </c>
      <c r="E1204">
        <v>1966</v>
      </c>
      <c r="F1204" t="s">
        <v>4829</v>
      </c>
      <c r="G1204" t="s">
        <v>4831</v>
      </c>
      <c r="H1204">
        <v>2380705</v>
      </c>
      <c r="I1204">
        <v>199944</v>
      </c>
      <c r="J1204">
        <v>7.4040965749795101E-2</v>
      </c>
      <c r="K1204">
        <v>176269.69736536601</v>
      </c>
      <c r="L1204">
        <v>176269.69736536601</v>
      </c>
      <c r="M1204">
        <v>599</v>
      </c>
    </row>
    <row r="1205" spans="1:13" ht="15">
      <c r="A1205" t="s">
        <v>3542</v>
      </c>
      <c r="B1205" s="1040" t="str">
        <f>CONCATENATE(LEFT(RIGHT(CONCATENATE("000",IFAData_TEA_1718!A1205),6),3),"-",(RIGHT(RIGHT(CONCATENATE("000",IFAData_TEA_1718!A1205),6),3)))</f>
        <v>101-915</v>
      </c>
      <c r="C1205" t="s">
        <v>2585</v>
      </c>
      <c r="D1205">
        <v>6</v>
      </c>
      <c r="E1205">
        <v>1966</v>
      </c>
      <c r="F1205" t="s">
        <v>4829</v>
      </c>
      <c r="G1205" t="s">
        <v>6260</v>
      </c>
      <c r="H1205">
        <v>2380705</v>
      </c>
      <c r="I1205">
        <v>198972</v>
      </c>
      <c r="J1205">
        <v>7.3681025873085601E-2</v>
      </c>
      <c r="K1205">
        <v>175412.786701184</v>
      </c>
      <c r="L1205">
        <v>175412.786701184</v>
      </c>
      <c r="M1205">
        <v>599</v>
      </c>
    </row>
    <row r="1206" spans="1:13" ht="15">
      <c r="A1206" t="s">
        <v>3542</v>
      </c>
      <c r="B1206" s="1040" t="str">
        <f>CONCATENATE(LEFT(RIGHT(CONCATENATE("000",IFAData_TEA_1718!A1206),6),3),"-",(RIGHT(RIGHT(CONCATENATE("000",IFAData_TEA_1718!A1206),6),3)))</f>
        <v>101-915</v>
      </c>
      <c r="C1206" t="s">
        <v>2585</v>
      </c>
      <c r="D1206">
        <v>6</v>
      </c>
      <c r="E1206">
        <v>1966</v>
      </c>
      <c r="F1206" t="s">
        <v>4829</v>
      </c>
      <c r="G1206" t="s">
        <v>6472</v>
      </c>
      <c r="H1206">
        <v>2380705</v>
      </c>
      <c r="I1206">
        <v>85819</v>
      </c>
      <c r="J1206">
        <v>3.1779506460217197E-2</v>
      </c>
      <c r="K1206">
        <v>75657.629927371396</v>
      </c>
      <c r="L1206">
        <v>75657.629927371396</v>
      </c>
      <c r="M1206">
        <v>599</v>
      </c>
    </row>
    <row r="1207" spans="1:13" ht="15">
      <c r="A1207" t="s">
        <v>3542</v>
      </c>
      <c r="B1207" s="1040" t="str">
        <f>CONCATENATE(LEFT(RIGHT(CONCATENATE("000",IFAData_TEA_1718!A1207),6),3),"-",(RIGHT(RIGHT(CONCATENATE("000",IFAData_TEA_1718!A1207),6),3)))</f>
        <v>101-915</v>
      </c>
      <c r="C1207" t="s">
        <v>2585</v>
      </c>
      <c r="D1207">
        <v>9</v>
      </c>
      <c r="E1207">
        <v>1964</v>
      </c>
      <c r="F1207" t="s">
        <v>4832</v>
      </c>
      <c r="G1207" t="s">
        <v>4832</v>
      </c>
      <c r="H1207">
        <v>1083584</v>
      </c>
      <c r="I1207">
        <v>0</v>
      </c>
      <c r="J1207">
        <v>0</v>
      </c>
      <c r="K1207">
        <v>0</v>
      </c>
      <c r="L1207">
        <v>0</v>
      </c>
      <c r="M1207">
        <v>599</v>
      </c>
    </row>
    <row r="1208" spans="1:13" ht="15">
      <c r="A1208" t="s">
        <v>3542</v>
      </c>
      <c r="B1208" s="1040" t="str">
        <f>CONCATENATE(LEFT(RIGHT(CONCATENATE("000",IFAData_TEA_1718!A1208),6),3),"-",(RIGHT(RIGHT(CONCATENATE("000",IFAData_TEA_1718!A1208),6),3)))</f>
        <v>101-915</v>
      </c>
      <c r="C1208" t="s">
        <v>2585</v>
      </c>
      <c r="D1208">
        <v>9</v>
      </c>
      <c r="E1208">
        <v>1964</v>
      </c>
      <c r="F1208" t="s">
        <v>4832</v>
      </c>
      <c r="G1208" t="s">
        <v>6260</v>
      </c>
      <c r="H1208">
        <v>1083584</v>
      </c>
      <c r="I1208">
        <v>270642</v>
      </c>
      <c r="J1208">
        <v>0.53595977558929597</v>
      </c>
      <c r="K1208">
        <v>580757.43747215206</v>
      </c>
      <c r="L1208">
        <v>270642</v>
      </c>
      <c r="M1208">
        <v>599</v>
      </c>
    </row>
    <row r="1209" spans="1:13" ht="15">
      <c r="A1209" t="s">
        <v>3542</v>
      </c>
      <c r="B1209" s="1040" t="str">
        <f>CONCATENATE(LEFT(RIGHT(CONCATENATE("000",IFAData_TEA_1718!A1209),6),3),"-",(RIGHT(RIGHT(CONCATENATE("000",IFAData_TEA_1718!A1209),6),3)))</f>
        <v>101-915</v>
      </c>
      <c r="C1209" t="s">
        <v>2585</v>
      </c>
      <c r="D1209">
        <v>9</v>
      </c>
      <c r="E1209">
        <v>1964</v>
      </c>
      <c r="F1209" t="s">
        <v>4832</v>
      </c>
      <c r="G1209" t="s">
        <v>6472</v>
      </c>
      <c r="H1209">
        <v>1083584</v>
      </c>
      <c r="I1209">
        <v>234325</v>
      </c>
      <c r="J1209">
        <v>0.46404022441070403</v>
      </c>
      <c r="K1209">
        <v>502826.562527848</v>
      </c>
      <c r="L1209">
        <v>234325</v>
      </c>
      <c r="M1209">
        <v>599</v>
      </c>
    </row>
    <row r="1210" spans="1:13" ht="15">
      <c r="A1210" t="s">
        <v>3542</v>
      </c>
      <c r="B1210" s="1040" t="str">
        <f>CONCATENATE(LEFT(RIGHT(CONCATENATE("000",IFAData_TEA_1718!A1210),6),3),"-",(RIGHT(RIGHT(CONCATENATE("000",IFAData_TEA_1718!A1210),6),3)))</f>
        <v>101-915</v>
      </c>
      <c r="C1210" t="s">
        <v>2585</v>
      </c>
      <c r="D1210">
        <v>9</v>
      </c>
      <c r="E1210">
        <v>1968</v>
      </c>
      <c r="F1210" t="s">
        <v>4830</v>
      </c>
      <c r="G1210" t="s">
        <v>4830</v>
      </c>
      <c r="H1210">
        <v>8267781</v>
      </c>
      <c r="I1210">
        <v>8823620</v>
      </c>
      <c r="J1210">
        <v>0.70159466198959197</v>
      </c>
      <c r="K1210">
        <v>5800631.0160989696</v>
      </c>
      <c r="L1210">
        <v>5800631.0160989696</v>
      </c>
      <c r="M1210">
        <v>599</v>
      </c>
    </row>
    <row r="1211" spans="1:13" ht="15">
      <c r="A1211" t="s">
        <v>3542</v>
      </c>
      <c r="B1211" s="1040" t="str">
        <f>CONCATENATE(LEFT(RIGHT(CONCATENATE("000",IFAData_TEA_1718!A1211),6),3),"-",(RIGHT(RIGHT(CONCATENATE("000",IFAData_TEA_1718!A1211),6),3)))</f>
        <v>101-915</v>
      </c>
      <c r="C1211" t="s">
        <v>2585</v>
      </c>
      <c r="D1211">
        <v>9</v>
      </c>
      <c r="E1211">
        <v>1968</v>
      </c>
      <c r="F1211" t="s">
        <v>4830</v>
      </c>
      <c r="G1211" t="s">
        <v>6260</v>
      </c>
      <c r="H1211">
        <v>8267781</v>
      </c>
      <c r="I1211">
        <v>1223382</v>
      </c>
      <c r="J1211">
        <v>9.7275073130319606E-2</v>
      </c>
      <c r="K1211">
        <v>804249.00140046701</v>
      </c>
      <c r="L1211">
        <v>804249.00140046701</v>
      </c>
      <c r="M1211">
        <v>599</v>
      </c>
    </row>
    <row r="1212" spans="1:13" ht="15">
      <c r="A1212" t="s">
        <v>3542</v>
      </c>
      <c r="B1212" s="1040" t="str">
        <f>CONCATENATE(LEFT(RIGHT(CONCATENATE("000",IFAData_TEA_1718!A1212),6),3),"-",(RIGHT(RIGHT(CONCATENATE("000",IFAData_TEA_1718!A1212),6),3)))</f>
        <v>101-915</v>
      </c>
      <c r="C1212" t="s">
        <v>2585</v>
      </c>
      <c r="D1212">
        <v>9</v>
      </c>
      <c r="E1212">
        <v>1968</v>
      </c>
      <c r="F1212" t="s">
        <v>4830</v>
      </c>
      <c r="G1212" t="s">
        <v>6472</v>
      </c>
      <c r="H1212">
        <v>8267781</v>
      </c>
      <c r="I1212">
        <v>2529519</v>
      </c>
      <c r="J1212">
        <v>0.201130264880089</v>
      </c>
      <c r="K1212">
        <v>1662900.9825005699</v>
      </c>
      <c r="L1212">
        <v>1662900.9825005699</v>
      </c>
      <c r="M1212">
        <v>599</v>
      </c>
    </row>
    <row r="1213" spans="1:13" ht="15">
      <c r="A1213" t="s">
        <v>3542</v>
      </c>
      <c r="B1213" s="1040" t="str">
        <f>CONCATENATE(LEFT(RIGHT(CONCATENATE("000",IFAData_TEA_1718!A1213),6),3),"-",(RIGHT(RIGHT(CONCATENATE("000",IFAData_TEA_1718!A1213),6),3)))</f>
        <v>101-915</v>
      </c>
      <c r="C1213" t="s">
        <v>2585</v>
      </c>
      <c r="D1213">
        <v>10</v>
      </c>
      <c r="E1213">
        <v>1967</v>
      </c>
      <c r="F1213" t="s">
        <v>4833</v>
      </c>
      <c r="G1213" t="s">
        <v>4833</v>
      </c>
      <c r="H1213">
        <v>3671148</v>
      </c>
      <c r="I1213">
        <v>2936918</v>
      </c>
      <c r="J1213">
        <v>1</v>
      </c>
      <c r="K1213">
        <v>3671148</v>
      </c>
      <c r="L1213">
        <v>2936918</v>
      </c>
      <c r="M1213">
        <v>599</v>
      </c>
    </row>
    <row r="1214" spans="1:13" ht="15">
      <c r="A1214" t="s">
        <v>3543</v>
      </c>
      <c r="B1214" s="1040" t="str">
        <f>CONCATENATE(LEFT(RIGHT(CONCATENATE("000",IFAData_TEA_1718!A1214),6),3),"-",(RIGHT(RIGHT(CONCATENATE("000",IFAData_TEA_1718!A1214),6),3)))</f>
        <v>101-917</v>
      </c>
      <c r="C1214" t="s">
        <v>272</v>
      </c>
      <c r="D1214">
        <v>2</v>
      </c>
      <c r="E1214">
        <v>2178</v>
      </c>
      <c r="F1214" t="s">
        <v>4834</v>
      </c>
      <c r="G1214" t="s">
        <v>4834</v>
      </c>
      <c r="H1214">
        <v>1635967</v>
      </c>
      <c r="I1214">
        <v>0</v>
      </c>
      <c r="J1214">
        <v>0</v>
      </c>
      <c r="K1214"/>
      <c r="L1214">
        <v>0</v>
      </c>
      <c r="M1214">
        <v>599</v>
      </c>
    </row>
    <row r="1215" spans="1:13" ht="15">
      <c r="A1215" t="s">
        <v>3543</v>
      </c>
      <c r="B1215" s="1040" t="str">
        <f>CONCATENATE(LEFT(RIGHT(CONCATENATE("000",IFAData_TEA_1718!A1215),6),3),"-",(RIGHT(RIGHT(CONCATENATE("000",IFAData_TEA_1718!A1215),6),3)))</f>
        <v>101-917</v>
      </c>
      <c r="C1215" t="s">
        <v>272</v>
      </c>
      <c r="D1215">
        <v>6</v>
      </c>
      <c r="E1215">
        <v>2179</v>
      </c>
      <c r="F1215" t="s">
        <v>4837</v>
      </c>
      <c r="G1215" t="s">
        <v>4837</v>
      </c>
      <c r="H1215">
        <v>7578719</v>
      </c>
      <c r="I1215">
        <v>0</v>
      </c>
      <c r="J1215">
        <v>0</v>
      </c>
      <c r="K1215">
        <v>0</v>
      </c>
      <c r="L1215">
        <v>0</v>
      </c>
      <c r="M1215">
        <v>599</v>
      </c>
    </row>
    <row r="1216" spans="1:13" ht="15">
      <c r="A1216" t="s">
        <v>3543</v>
      </c>
      <c r="B1216" s="1040" t="str">
        <f>CONCATENATE(LEFT(RIGHT(CONCATENATE("000",IFAData_TEA_1718!A1216),6),3),"-",(RIGHT(RIGHT(CONCATENATE("000",IFAData_TEA_1718!A1216),6),3)))</f>
        <v>101-917</v>
      </c>
      <c r="C1216" t="s">
        <v>272</v>
      </c>
      <c r="D1216">
        <v>6</v>
      </c>
      <c r="E1216">
        <v>2179</v>
      </c>
      <c r="F1216" t="s">
        <v>4837</v>
      </c>
      <c r="G1216" t="s">
        <v>4838</v>
      </c>
      <c r="H1216">
        <v>7578719</v>
      </c>
      <c r="I1216">
        <v>0</v>
      </c>
      <c r="J1216">
        <v>0</v>
      </c>
      <c r="K1216">
        <v>0</v>
      </c>
      <c r="L1216">
        <v>0</v>
      </c>
      <c r="M1216">
        <v>599</v>
      </c>
    </row>
    <row r="1217" spans="1:13" ht="15">
      <c r="A1217" t="s">
        <v>3543</v>
      </c>
      <c r="B1217" s="1040" t="str">
        <f>CONCATENATE(LEFT(RIGHT(CONCATENATE("000",IFAData_TEA_1718!A1217),6),3),"-",(RIGHT(RIGHT(CONCATENATE("000",IFAData_TEA_1718!A1217),6),3)))</f>
        <v>101-917</v>
      </c>
      <c r="C1217" t="s">
        <v>272</v>
      </c>
      <c r="D1217">
        <v>6</v>
      </c>
      <c r="E1217">
        <v>2179</v>
      </c>
      <c r="F1217" t="s">
        <v>4837</v>
      </c>
      <c r="G1217" t="s">
        <v>4839</v>
      </c>
      <c r="H1217">
        <v>7578719</v>
      </c>
      <c r="I1217">
        <v>2055367</v>
      </c>
      <c r="J1217">
        <v>1</v>
      </c>
      <c r="K1217">
        <v>7578719</v>
      </c>
      <c r="L1217">
        <v>2055367</v>
      </c>
      <c r="M1217">
        <v>599</v>
      </c>
    </row>
    <row r="1218" spans="1:13" ht="15">
      <c r="A1218" t="s">
        <v>3543</v>
      </c>
      <c r="B1218" s="1040" t="str">
        <f>CONCATENATE(LEFT(RIGHT(CONCATENATE("000",IFAData_TEA_1718!A1218),6),3),"-",(RIGHT(RIGHT(CONCATENATE("000",IFAData_TEA_1718!A1218),6),3)))</f>
        <v>101-917</v>
      </c>
      <c r="C1218" t="s">
        <v>272</v>
      </c>
      <c r="D1218">
        <v>11</v>
      </c>
      <c r="E1218">
        <v>2509</v>
      </c>
      <c r="F1218" t="s">
        <v>8402</v>
      </c>
      <c r="G1218" t="s">
        <v>8402</v>
      </c>
      <c r="H1218">
        <v>1860980</v>
      </c>
      <c r="I1218">
        <v>1857797</v>
      </c>
      <c r="J1218">
        <v>1</v>
      </c>
      <c r="K1218">
        <v>1860980</v>
      </c>
      <c r="L1218">
        <v>1857797</v>
      </c>
      <c r="M1218">
        <v>599</v>
      </c>
    </row>
    <row r="1219" spans="1:13" ht="15">
      <c r="A1219" t="s">
        <v>3543</v>
      </c>
      <c r="B1219" s="1040" t="str">
        <f>CONCATENATE(LEFT(RIGHT(CONCATENATE("000",IFAData_TEA_1718!A1219),6),3),"-",(RIGHT(RIGHT(CONCATENATE("000",IFAData_TEA_1718!A1219),6),3)))</f>
        <v>101-917</v>
      </c>
      <c r="C1219" t="s">
        <v>272</v>
      </c>
      <c r="D1219">
        <v>11</v>
      </c>
      <c r="E1219">
        <v>2508</v>
      </c>
      <c r="F1219" t="s">
        <v>8403</v>
      </c>
      <c r="G1219" t="s">
        <v>8403</v>
      </c>
      <c r="H1219">
        <v>8143242</v>
      </c>
      <c r="I1219">
        <v>5053787</v>
      </c>
      <c r="J1219">
        <v>1</v>
      </c>
      <c r="K1219">
        <v>8143242</v>
      </c>
      <c r="L1219">
        <v>5053787</v>
      </c>
      <c r="M1219">
        <v>599</v>
      </c>
    </row>
    <row r="1220" spans="1:13" ht="15">
      <c r="A1220" t="s">
        <v>3544</v>
      </c>
      <c r="B1220" s="1040" t="str">
        <f>CONCATENATE(LEFT(RIGHT(CONCATENATE("000",IFAData_TEA_1718!A1220),6),3),"-",(RIGHT(RIGHT(CONCATENATE("000",IFAData_TEA_1718!A1220),6),3)))</f>
        <v>101-925</v>
      </c>
      <c r="C1220" t="s">
        <v>2383</v>
      </c>
      <c r="D1220">
        <v>5</v>
      </c>
      <c r="E1220">
        <v>1912</v>
      </c>
      <c r="F1220" t="s">
        <v>4840</v>
      </c>
      <c r="G1220" t="s">
        <v>4840</v>
      </c>
      <c r="H1220">
        <v>409219</v>
      </c>
      <c r="I1220">
        <v>0</v>
      </c>
      <c r="J1220">
        <v>0</v>
      </c>
      <c r="K1220">
        <v>0</v>
      </c>
      <c r="L1220">
        <v>0</v>
      </c>
      <c r="M1220">
        <v>599</v>
      </c>
    </row>
    <row r="1221" spans="1:13" ht="15">
      <c r="A1221" t="s">
        <v>3544</v>
      </c>
      <c r="B1221" s="1040" t="str">
        <f>CONCATENATE(LEFT(RIGHT(CONCATENATE("000",IFAData_TEA_1718!A1221),6),3),"-",(RIGHT(RIGHT(CONCATENATE("000",IFAData_TEA_1718!A1221),6),3)))</f>
        <v>101-925</v>
      </c>
      <c r="C1221" t="s">
        <v>2383</v>
      </c>
      <c r="D1221">
        <v>5</v>
      </c>
      <c r="E1221">
        <v>1912</v>
      </c>
      <c r="F1221" t="s">
        <v>4840</v>
      </c>
      <c r="G1221" t="s">
        <v>4841</v>
      </c>
      <c r="H1221">
        <v>409219</v>
      </c>
      <c r="I1221">
        <v>0</v>
      </c>
      <c r="J1221">
        <v>0</v>
      </c>
      <c r="K1221">
        <v>0</v>
      </c>
      <c r="L1221">
        <v>0</v>
      </c>
      <c r="M1221">
        <v>599</v>
      </c>
    </row>
    <row r="1222" spans="1:13" ht="15">
      <c r="A1222" t="s">
        <v>3544</v>
      </c>
      <c r="B1222" s="1040" t="str">
        <f>CONCATENATE(LEFT(RIGHT(CONCATENATE("000",IFAData_TEA_1718!A1222),6),3),"-",(RIGHT(RIGHT(CONCATENATE("000",IFAData_TEA_1718!A1222),6),3)))</f>
        <v>101-925</v>
      </c>
      <c r="C1222" t="s">
        <v>2383</v>
      </c>
      <c r="D1222">
        <v>5</v>
      </c>
      <c r="E1222">
        <v>1912</v>
      </c>
      <c r="F1222" t="s">
        <v>4840</v>
      </c>
      <c r="G1222" t="s">
        <v>4842</v>
      </c>
      <c r="H1222">
        <v>409219</v>
      </c>
      <c r="I1222">
        <v>415226</v>
      </c>
      <c r="J1222">
        <v>1</v>
      </c>
      <c r="K1222">
        <v>409219</v>
      </c>
      <c r="L1222">
        <v>409219</v>
      </c>
      <c r="M1222">
        <v>599</v>
      </c>
    </row>
    <row r="1223" spans="1:13" ht="15">
      <c r="A1223" t="s">
        <v>3544</v>
      </c>
      <c r="B1223" s="1040" t="str">
        <f>CONCATENATE(LEFT(RIGHT(CONCATENATE("000",IFAData_TEA_1718!A1223),6),3),"-",(RIGHT(RIGHT(CONCATENATE("000",IFAData_TEA_1718!A1223),6),3)))</f>
        <v>101-925</v>
      </c>
      <c r="C1223" t="s">
        <v>2383</v>
      </c>
      <c r="D1223">
        <v>5</v>
      </c>
      <c r="E1223">
        <v>1911</v>
      </c>
      <c r="F1223" t="s">
        <v>4843</v>
      </c>
      <c r="G1223" t="s">
        <v>4843</v>
      </c>
      <c r="H1223">
        <v>189309</v>
      </c>
      <c r="I1223">
        <v>0</v>
      </c>
      <c r="J1223">
        <v>0</v>
      </c>
      <c r="K1223">
        <v>0</v>
      </c>
      <c r="L1223">
        <v>0</v>
      </c>
      <c r="M1223">
        <v>599</v>
      </c>
    </row>
    <row r="1224" spans="1:13" ht="15">
      <c r="A1224" t="s">
        <v>3544</v>
      </c>
      <c r="B1224" s="1040" t="str">
        <f>CONCATENATE(LEFT(RIGHT(CONCATENATE("000",IFAData_TEA_1718!A1224),6),3),"-",(RIGHT(RIGHT(CONCATENATE("000",IFAData_TEA_1718!A1224),6),3)))</f>
        <v>101-925</v>
      </c>
      <c r="C1224" t="s">
        <v>2383</v>
      </c>
      <c r="D1224">
        <v>5</v>
      </c>
      <c r="E1224">
        <v>1911</v>
      </c>
      <c r="F1224" t="s">
        <v>4843</v>
      </c>
      <c r="G1224" t="s">
        <v>4844</v>
      </c>
      <c r="H1224">
        <v>189309</v>
      </c>
      <c r="I1224">
        <v>233453</v>
      </c>
      <c r="J1224">
        <v>0.777712631463227</v>
      </c>
      <c r="K1224">
        <v>147228.000549672</v>
      </c>
      <c r="L1224">
        <v>147228.000549672</v>
      </c>
      <c r="M1224">
        <v>599</v>
      </c>
    </row>
    <row r="1225" spans="1:13" ht="15">
      <c r="A1225" t="s">
        <v>3544</v>
      </c>
      <c r="B1225" s="1040" t="str">
        <f>CONCATENATE(LEFT(RIGHT(CONCATENATE("000",IFAData_TEA_1718!A1225),6),3),"-",(RIGHT(RIGHT(CONCATENATE("000",IFAData_TEA_1718!A1225),6),3)))</f>
        <v>101-925</v>
      </c>
      <c r="C1225" t="s">
        <v>2383</v>
      </c>
      <c r="D1225">
        <v>5</v>
      </c>
      <c r="E1225">
        <v>1911</v>
      </c>
      <c r="F1225" t="s">
        <v>4843</v>
      </c>
      <c r="G1225" t="s">
        <v>8404</v>
      </c>
      <c r="H1225">
        <v>189309</v>
      </c>
      <c r="I1225">
        <v>66726</v>
      </c>
      <c r="J1225">
        <v>0.222287368536773</v>
      </c>
      <c r="K1225">
        <v>42080.999450328003</v>
      </c>
      <c r="L1225">
        <v>42080.999450328003</v>
      </c>
      <c r="M1225">
        <v>599</v>
      </c>
    </row>
    <row r="1226" spans="1:13" ht="15">
      <c r="A1226" t="s">
        <v>3544</v>
      </c>
      <c r="B1226" s="1040" t="str">
        <f>CONCATENATE(LEFT(RIGHT(CONCATENATE("000",IFAData_TEA_1718!A1226),6),3),"-",(RIGHT(RIGHT(CONCATENATE("000",IFAData_TEA_1718!A1226),6),3)))</f>
        <v>101-925</v>
      </c>
      <c r="C1226" t="s">
        <v>2383</v>
      </c>
      <c r="D1226">
        <v>11</v>
      </c>
      <c r="E1226">
        <v>2535</v>
      </c>
      <c r="F1226" t="s">
        <v>8405</v>
      </c>
      <c r="G1226" t="s">
        <v>8405</v>
      </c>
      <c r="H1226">
        <v>212723</v>
      </c>
      <c r="I1226">
        <v>235632</v>
      </c>
      <c r="J1226">
        <v>1</v>
      </c>
      <c r="K1226">
        <v>212723</v>
      </c>
      <c r="L1226">
        <v>212723</v>
      </c>
      <c r="M1226">
        <v>599</v>
      </c>
    </row>
    <row r="1227" spans="1:13" ht="15">
      <c r="A1227" t="s">
        <v>3545</v>
      </c>
      <c r="B1227" s="1040" t="str">
        <f>CONCATENATE(LEFT(RIGHT(CONCATENATE("000",IFAData_TEA_1718!A1227),6),3),"-",(RIGHT(RIGHT(CONCATENATE("000",IFAData_TEA_1718!A1227),6),3)))</f>
        <v>104-901</v>
      </c>
      <c r="C1227" t="s">
        <v>828</v>
      </c>
      <c r="D1227">
        <v>6</v>
      </c>
      <c r="E1227">
        <v>1875</v>
      </c>
      <c r="F1227" t="s">
        <v>4845</v>
      </c>
      <c r="G1227" t="s">
        <v>4845</v>
      </c>
      <c r="H1227">
        <v>90011</v>
      </c>
      <c r="I1227">
        <v>0</v>
      </c>
      <c r="J1227">
        <v>0</v>
      </c>
      <c r="K1227">
        <v>0</v>
      </c>
      <c r="L1227">
        <v>0</v>
      </c>
      <c r="M1227">
        <v>599</v>
      </c>
    </row>
    <row r="1228" spans="1:13" ht="15">
      <c r="A1228" t="s">
        <v>3545</v>
      </c>
      <c r="B1228" s="1040" t="str">
        <f>CONCATENATE(LEFT(RIGHT(CONCATENATE("000",IFAData_TEA_1718!A1228),6),3),"-",(RIGHT(RIGHT(CONCATENATE("000",IFAData_TEA_1718!A1228),6),3)))</f>
        <v>104-901</v>
      </c>
      <c r="C1228" t="s">
        <v>828</v>
      </c>
      <c r="D1228">
        <v>6</v>
      </c>
      <c r="E1228">
        <v>1875</v>
      </c>
      <c r="F1228" t="s">
        <v>4845</v>
      </c>
      <c r="G1228" t="s">
        <v>4846</v>
      </c>
      <c r="H1228">
        <v>90011</v>
      </c>
      <c r="I1228">
        <v>84018</v>
      </c>
      <c r="J1228">
        <v>1</v>
      </c>
      <c r="K1228">
        <v>90011</v>
      </c>
      <c r="L1228">
        <v>84018</v>
      </c>
      <c r="M1228">
        <v>599</v>
      </c>
    </row>
    <row r="1229" spans="1:13" ht="15">
      <c r="A1229" t="s">
        <v>3546</v>
      </c>
      <c r="B1229" s="1040" t="str">
        <f>CONCATENATE(LEFT(RIGHT(CONCATENATE("000",IFAData_TEA_1718!A1229),6),3),"-",(RIGHT(RIGHT(CONCATENATE("000",IFAData_TEA_1718!A1229),6),3)))</f>
        <v>105-904</v>
      </c>
      <c r="C1229" t="s">
        <v>1061</v>
      </c>
      <c r="D1229">
        <v>1</v>
      </c>
      <c r="E1229">
        <v>1771</v>
      </c>
      <c r="F1229" t="s">
        <v>4847</v>
      </c>
      <c r="G1229" t="s">
        <v>4847</v>
      </c>
      <c r="H1229">
        <v>687500</v>
      </c>
      <c r="I1229">
        <v>0</v>
      </c>
      <c r="J1229">
        <v>0</v>
      </c>
      <c r="K1229">
        <v>0</v>
      </c>
      <c r="L1229">
        <v>0</v>
      </c>
      <c r="M1229">
        <v>599</v>
      </c>
    </row>
    <row r="1230" spans="1:13" ht="15">
      <c r="A1230" t="s">
        <v>3546</v>
      </c>
      <c r="B1230" s="1040" t="str">
        <f>CONCATENATE(LEFT(RIGHT(CONCATENATE("000",IFAData_TEA_1718!A1230),6),3),"-",(RIGHT(RIGHT(CONCATENATE("000",IFAData_TEA_1718!A1230),6),3)))</f>
        <v>105-904</v>
      </c>
      <c r="C1230" t="s">
        <v>1061</v>
      </c>
      <c r="D1230">
        <v>1</v>
      </c>
      <c r="E1230">
        <v>1771</v>
      </c>
      <c r="F1230" t="s">
        <v>4847</v>
      </c>
      <c r="G1230" t="s">
        <v>4848</v>
      </c>
      <c r="H1230">
        <v>687500</v>
      </c>
      <c r="I1230">
        <v>0</v>
      </c>
      <c r="J1230">
        <v>0</v>
      </c>
      <c r="K1230">
        <v>0</v>
      </c>
      <c r="L1230">
        <v>0</v>
      </c>
      <c r="M1230">
        <v>599</v>
      </c>
    </row>
    <row r="1231" spans="1:13" ht="15">
      <c r="A1231" t="s">
        <v>3546</v>
      </c>
      <c r="B1231" s="1040" t="str">
        <f>CONCATENATE(LEFT(RIGHT(CONCATENATE("000",IFAData_TEA_1718!A1231),6),3),"-",(RIGHT(RIGHT(CONCATENATE("000",IFAData_TEA_1718!A1231),6),3)))</f>
        <v>105-904</v>
      </c>
      <c r="C1231" t="s">
        <v>1061</v>
      </c>
      <c r="D1231">
        <v>1</v>
      </c>
      <c r="E1231">
        <v>1771</v>
      </c>
      <c r="F1231" t="s">
        <v>4847</v>
      </c>
      <c r="G1231" t="s">
        <v>6261</v>
      </c>
      <c r="H1231">
        <v>687500</v>
      </c>
      <c r="I1231">
        <v>238846</v>
      </c>
      <c r="J1231">
        <v>1</v>
      </c>
      <c r="K1231">
        <v>687500</v>
      </c>
      <c r="L1231">
        <v>238846</v>
      </c>
      <c r="M1231">
        <v>599</v>
      </c>
    </row>
    <row r="1232" spans="1:13" ht="15">
      <c r="A1232" t="s">
        <v>3547</v>
      </c>
      <c r="B1232" s="1040" t="str">
        <f>CONCATENATE(LEFT(RIGHT(CONCATENATE("000",IFAData_TEA_1718!A1232),6),3),"-",(RIGHT(RIGHT(CONCATENATE("000",IFAData_TEA_1718!A1232),6),3)))</f>
        <v>105-906</v>
      </c>
      <c r="C1232" t="s">
        <v>35</v>
      </c>
      <c r="D1232">
        <v>1</v>
      </c>
      <c r="E1232">
        <v>1876</v>
      </c>
      <c r="F1232" t="s">
        <v>4849</v>
      </c>
      <c r="G1232" t="s">
        <v>4849</v>
      </c>
      <c r="H1232">
        <v>1147081</v>
      </c>
      <c r="I1232">
        <v>0</v>
      </c>
      <c r="J1232">
        <v>0</v>
      </c>
      <c r="K1232">
        <v>0</v>
      </c>
      <c r="L1232">
        <v>0</v>
      </c>
      <c r="M1232">
        <v>599</v>
      </c>
    </row>
    <row r="1233" spans="1:13" ht="15">
      <c r="A1233" t="s">
        <v>3547</v>
      </c>
      <c r="B1233" s="1040" t="str">
        <f>CONCATENATE(LEFT(RIGHT(CONCATENATE("000",IFAData_TEA_1718!A1233),6),3),"-",(RIGHT(RIGHT(CONCATENATE("000",IFAData_TEA_1718!A1233),6),3)))</f>
        <v>105-906</v>
      </c>
      <c r="C1233" t="s">
        <v>35</v>
      </c>
      <c r="D1233">
        <v>1</v>
      </c>
      <c r="E1233">
        <v>1876</v>
      </c>
      <c r="F1233" t="s">
        <v>4849</v>
      </c>
      <c r="G1233" t="s">
        <v>4850</v>
      </c>
      <c r="H1233">
        <v>1147081</v>
      </c>
      <c r="I1233">
        <v>0</v>
      </c>
      <c r="J1233">
        <v>0</v>
      </c>
      <c r="K1233">
        <v>0</v>
      </c>
      <c r="L1233">
        <v>0</v>
      </c>
      <c r="M1233">
        <v>599</v>
      </c>
    </row>
    <row r="1234" spans="1:13" ht="15">
      <c r="A1234" t="s">
        <v>3547</v>
      </c>
      <c r="B1234" s="1040" t="str">
        <f>CONCATENATE(LEFT(RIGHT(CONCATENATE("000",IFAData_TEA_1718!A1234),6),3),"-",(RIGHT(RIGHT(CONCATENATE("000",IFAData_TEA_1718!A1234),6),3)))</f>
        <v>105-906</v>
      </c>
      <c r="C1234" t="s">
        <v>35</v>
      </c>
      <c r="D1234">
        <v>1</v>
      </c>
      <c r="E1234">
        <v>1876</v>
      </c>
      <c r="F1234" t="s">
        <v>4849</v>
      </c>
      <c r="G1234" t="s">
        <v>4851</v>
      </c>
      <c r="H1234">
        <v>1147081</v>
      </c>
      <c r="I1234">
        <v>1607440</v>
      </c>
      <c r="J1234">
        <v>1</v>
      </c>
      <c r="K1234">
        <v>1147081</v>
      </c>
      <c r="L1234">
        <v>1147081</v>
      </c>
      <c r="M1234">
        <v>599</v>
      </c>
    </row>
    <row r="1235" spans="1:13" ht="15">
      <c r="A1235" t="s">
        <v>3547</v>
      </c>
      <c r="B1235" s="1040" t="str">
        <f>CONCATENATE(LEFT(RIGHT(CONCATENATE("000",IFAData_TEA_1718!A1235),6),3),"-",(RIGHT(RIGHT(CONCATENATE("000",IFAData_TEA_1718!A1235),6),3)))</f>
        <v>105-906</v>
      </c>
      <c r="C1235" t="s">
        <v>35</v>
      </c>
      <c r="D1235">
        <v>5</v>
      </c>
      <c r="E1235">
        <v>1879</v>
      </c>
      <c r="F1235" t="s">
        <v>4852</v>
      </c>
      <c r="G1235" t="s">
        <v>4852</v>
      </c>
      <c r="H1235">
        <v>1891253</v>
      </c>
      <c r="I1235">
        <v>0</v>
      </c>
      <c r="J1235">
        <v>0</v>
      </c>
      <c r="K1235">
        <v>0</v>
      </c>
      <c r="L1235">
        <v>0</v>
      </c>
      <c r="M1235">
        <v>599</v>
      </c>
    </row>
    <row r="1236" spans="1:13" ht="15">
      <c r="A1236" t="s">
        <v>3547</v>
      </c>
      <c r="B1236" s="1040" t="str">
        <f>CONCATENATE(LEFT(RIGHT(CONCATENATE("000",IFAData_TEA_1718!A1236),6),3),"-",(RIGHT(RIGHT(CONCATENATE("000",IFAData_TEA_1718!A1236),6),3)))</f>
        <v>105-906</v>
      </c>
      <c r="C1236" t="s">
        <v>35</v>
      </c>
      <c r="D1236">
        <v>5</v>
      </c>
      <c r="E1236">
        <v>1879</v>
      </c>
      <c r="F1236" t="s">
        <v>4852</v>
      </c>
      <c r="G1236" t="s">
        <v>4853</v>
      </c>
      <c r="H1236">
        <v>1891253</v>
      </c>
      <c r="I1236">
        <v>0</v>
      </c>
      <c r="J1236">
        <v>0</v>
      </c>
      <c r="K1236">
        <v>0</v>
      </c>
      <c r="L1236">
        <v>0</v>
      </c>
      <c r="M1236">
        <v>599</v>
      </c>
    </row>
    <row r="1237" spans="1:13" ht="15">
      <c r="A1237" t="s">
        <v>3547</v>
      </c>
      <c r="B1237" s="1040" t="str">
        <f>CONCATENATE(LEFT(RIGHT(CONCATENATE("000",IFAData_TEA_1718!A1237),6),3),"-",(RIGHT(RIGHT(CONCATENATE("000",IFAData_TEA_1718!A1237),6),3)))</f>
        <v>105-906</v>
      </c>
      <c r="C1237" t="s">
        <v>35</v>
      </c>
      <c r="D1237">
        <v>5</v>
      </c>
      <c r="E1237">
        <v>1879</v>
      </c>
      <c r="F1237" t="s">
        <v>4852</v>
      </c>
      <c r="G1237" t="s">
        <v>4850</v>
      </c>
      <c r="H1237">
        <v>1891253</v>
      </c>
      <c r="I1237">
        <v>0</v>
      </c>
      <c r="J1237">
        <v>0</v>
      </c>
      <c r="K1237">
        <v>0</v>
      </c>
      <c r="L1237">
        <v>0</v>
      </c>
      <c r="M1237">
        <v>599</v>
      </c>
    </row>
    <row r="1238" spans="1:13" ht="15">
      <c r="A1238" t="s">
        <v>3547</v>
      </c>
      <c r="B1238" s="1040" t="str">
        <f>CONCATENATE(LEFT(RIGHT(CONCATENATE("000",IFAData_TEA_1718!A1238),6),3),"-",(RIGHT(RIGHT(CONCATENATE("000",IFAData_TEA_1718!A1238),6),3)))</f>
        <v>105-906</v>
      </c>
      <c r="C1238" t="s">
        <v>35</v>
      </c>
      <c r="D1238">
        <v>5</v>
      </c>
      <c r="E1238">
        <v>1879</v>
      </c>
      <c r="F1238" t="s">
        <v>4852</v>
      </c>
      <c r="G1238" t="s">
        <v>4854</v>
      </c>
      <c r="H1238">
        <v>1891253</v>
      </c>
      <c r="I1238">
        <v>0</v>
      </c>
      <c r="J1238">
        <v>0</v>
      </c>
      <c r="K1238">
        <v>0</v>
      </c>
      <c r="L1238">
        <v>0</v>
      </c>
      <c r="M1238">
        <v>599</v>
      </c>
    </row>
    <row r="1239" spans="1:13" ht="15">
      <c r="A1239" t="s">
        <v>3547</v>
      </c>
      <c r="B1239" s="1040" t="str">
        <f>CONCATENATE(LEFT(RIGHT(CONCATENATE("000",IFAData_TEA_1718!A1239),6),3),"-",(RIGHT(RIGHT(CONCATENATE("000",IFAData_TEA_1718!A1239),6),3)))</f>
        <v>105-906</v>
      </c>
      <c r="C1239" t="s">
        <v>35</v>
      </c>
      <c r="D1239">
        <v>5</v>
      </c>
      <c r="E1239">
        <v>1879</v>
      </c>
      <c r="F1239" t="s">
        <v>4852</v>
      </c>
      <c r="G1239" t="s">
        <v>4855</v>
      </c>
      <c r="H1239">
        <v>1891253</v>
      </c>
      <c r="I1239">
        <v>0</v>
      </c>
      <c r="J1239">
        <v>0</v>
      </c>
      <c r="K1239">
        <v>0</v>
      </c>
      <c r="L1239">
        <v>0</v>
      </c>
      <c r="M1239">
        <v>599</v>
      </c>
    </row>
    <row r="1240" spans="1:13" ht="15">
      <c r="A1240" t="s">
        <v>3547</v>
      </c>
      <c r="B1240" s="1040" t="str">
        <f>CONCATENATE(LEFT(RIGHT(CONCATENATE("000",IFAData_TEA_1718!A1240),6),3),"-",(RIGHT(RIGHT(CONCATENATE("000",IFAData_TEA_1718!A1240),6),3)))</f>
        <v>105-906</v>
      </c>
      <c r="C1240" t="s">
        <v>35</v>
      </c>
      <c r="D1240">
        <v>5</v>
      </c>
      <c r="E1240">
        <v>1879</v>
      </c>
      <c r="F1240" t="s">
        <v>4852</v>
      </c>
      <c r="G1240" t="s">
        <v>4851</v>
      </c>
      <c r="H1240">
        <v>1891253</v>
      </c>
      <c r="I1240">
        <v>5977877</v>
      </c>
      <c r="J1240">
        <v>1</v>
      </c>
      <c r="K1240">
        <v>1891253</v>
      </c>
      <c r="L1240">
        <v>1891253</v>
      </c>
      <c r="M1240">
        <v>599</v>
      </c>
    </row>
    <row r="1241" spans="1:13" ht="15">
      <c r="A1241" t="s">
        <v>3547</v>
      </c>
      <c r="B1241" s="1040" t="str">
        <f>CONCATENATE(LEFT(RIGHT(CONCATENATE("000",IFAData_TEA_1718!A1241),6),3),"-",(RIGHT(RIGHT(CONCATENATE("000",IFAData_TEA_1718!A1241),6),3)))</f>
        <v>105-906</v>
      </c>
      <c r="C1241" t="s">
        <v>35</v>
      </c>
      <c r="D1241">
        <v>5</v>
      </c>
      <c r="E1241">
        <v>1879</v>
      </c>
      <c r="F1241" t="s">
        <v>4852</v>
      </c>
      <c r="G1241" t="s">
        <v>4856</v>
      </c>
      <c r="H1241">
        <v>1891253</v>
      </c>
      <c r="I1241">
        <v>0</v>
      </c>
      <c r="J1241">
        <v>0</v>
      </c>
      <c r="K1241">
        <v>0</v>
      </c>
      <c r="L1241">
        <v>0</v>
      </c>
      <c r="M1241">
        <v>599</v>
      </c>
    </row>
    <row r="1242" spans="1:13" ht="15">
      <c r="A1242" t="s">
        <v>3547</v>
      </c>
      <c r="B1242" s="1040" t="str">
        <f>CONCATENATE(LEFT(RIGHT(CONCATENATE("000",IFAData_TEA_1718!A1242),6),3),"-",(RIGHT(RIGHT(CONCATENATE("000",IFAData_TEA_1718!A1242),6),3)))</f>
        <v>105-906</v>
      </c>
      <c r="C1242" t="s">
        <v>35</v>
      </c>
      <c r="D1242">
        <v>9</v>
      </c>
      <c r="E1242">
        <v>1878</v>
      </c>
      <c r="F1242" t="s">
        <v>4857</v>
      </c>
      <c r="G1242" t="s">
        <v>4857</v>
      </c>
      <c r="H1242">
        <v>1795685</v>
      </c>
      <c r="I1242">
        <v>309879</v>
      </c>
      <c r="J1242">
        <v>0.424056106739651</v>
      </c>
      <c r="K1242">
        <v>761471.19003079005</v>
      </c>
      <c r="L1242">
        <v>309879</v>
      </c>
      <c r="M1242">
        <v>599</v>
      </c>
    </row>
    <row r="1243" spans="1:13" ht="15">
      <c r="A1243" t="s">
        <v>3547</v>
      </c>
      <c r="B1243" s="1040" t="str">
        <f>CONCATENATE(LEFT(RIGHT(CONCATENATE("000",IFAData_TEA_1718!A1243),6),3),"-",(RIGHT(RIGHT(CONCATENATE("000",IFAData_TEA_1718!A1243),6),3)))</f>
        <v>105-906</v>
      </c>
      <c r="C1243" t="s">
        <v>35</v>
      </c>
      <c r="D1243">
        <v>9</v>
      </c>
      <c r="E1243">
        <v>1878</v>
      </c>
      <c r="F1243" t="s">
        <v>4857</v>
      </c>
      <c r="G1243" t="s">
        <v>4856</v>
      </c>
      <c r="H1243">
        <v>1795685</v>
      </c>
      <c r="I1243">
        <v>70609</v>
      </c>
      <c r="J1243">
        <v>9.6625384878549395E-2</v>
      </c>
      <c r="K1243">
        <v>173508.754245638</v>
      </c>
      <c r="L1243">
        <v>70609</v>
      </c>
      <c r="M1243">
        <v>599</v>
      </c>
    </row>
    <row r="1244" spans="1:13" ht="15">
      <c r="A1244" t="s">
        <v>3547</v>
      </c>
      <c r="B1244" s="1040" t="str">
        <f>CONCATENATE(LEFT(RIGHT(CONCATENATE("000",IFAData_TEA_1718!A1244),6),3),"-",(RIGHT(RIGHT(CONCATENATE("000",IFAData_TEA_1718!A1244),6),3)))</f>
        <v>105-906</v>
      </c>
      <c r="C1244" t="s">
        <v>35</v>
      </c>
      <c r="D1244">
        <v>9</v>
      </c>
      <c r="E1244">
        <v>1878</v>
      </c>
      <c r="F1244" t="s">
        <v>4857</v>
      </c>
      <c r="G1244" t="s">
        <v>6474</v>
      </c>
      <c r="H1244">
        <v>1795685</v>
      </c>
      <c r="I1244">
        <v>298209</v>
      </c>
      <c r="J1244">
        <v>0.40808621279507401</v>
      </c>
      <c r="K1244">
        <v>732794.29102292203</v>
      </c>
      <c r="L1244">
        <v>298209</v>
      </c>
      <c r="M1244">
        <v>599</v>
      </c>
    </row>
    <row r="1245" spans="1:13" ht="15">
      <c r="A1245" t="s">
        <v>3547</v>
      </c>
      <c r="B1245" s="1040" t="str">
        <f>CONCATENATE(LEFT(RIGHT(CONCATENATE("000",IFAData_TEA_1718!A1245),6),3),"-",(RIGHT(RIGHT(CONCATENATE("000",IFAData_TEA_1718!A1245),6),3)))</f>
        <v>105-906</v>
      </c>
      <c r="C1245" t="s">
        <v>35</v>
      </c>
      <c r="D1245">
        <v>9</v>
      </c>
      <c r="E1245">
        <v>1878</v>
      </c>
      <c r="F1245" t="s">
        <v>4857</v>
      </c>
      <c r="G1245" t="s">
        <v>6473</v>
      </c>
      <c r="H1245">
        <v>1795685</v>
      </c>
      <c r="I1245">
        <v>52053</v>
      </c>
      <c r="J1245">
        <v>7.1232295586726002E-2</v>
      </c>
      <c r="K1245">
        <v>127910.76470065</v>
      </c>
      <c r="L1245">
        <v>52053</v>
      </c>
      <c r="M1245">
        <v>599</v>
      </c>
    </row>
    <row r="1246" spans="1:13" ht="15">
      <c r="A1246" t="s">
        <v>3547</v>
      </c>
      <c r="B1246" s="1040" t="str">
        <f>CONCATENATE(LEFT(RIGHT(CONCATENATE("000",IFAData_TEA_1718!A1246),6),3),"-",(RIGHT(RIGHT(CONCATENATE("000",IFAData_TEA_1718!A1246),6),3)))</f>
        <v>105-906</v>
      </c>
      <c r="C1246" t="s">
        <v>35</v>
      </c>
      <c r="D1246">
        <v>9</v>
      </c>
      <c r="E1246">
        <v>1877</v>
      </c>
      <c r="F1246" t="s">
        <v>4858</v>
      </c>
      <c r="G1246" t="s">
        <v>4858</v>
      </c>
      <c r="H1246">
        <v>1578006</v>
      </c>
      <c r="I1246">
        <v>2120027</v>
      </c>
      <c r="J1246">
        <v>0.50526252820616002</v>
      </c>
      <c r="K1246">
        <v>797307.30108448898</v>
      </c>
      <c r="L1246">
        <v>797307.30108448898</v>
      </c>
      <c r="M1246">
        <v>599</v>
      </c>
    </row>
    <row r="1247" spans="1:13" ht="15">
      <c r="A1247" t="s">
        <v>3547</v>
      </c>
      <c r="B1247" s="1040" t="str">
        <f>CONCATENATE(LEFT(RIGHT(CONCATENATE("000",IFAData_TEA_1718!A1247),6),3),"-",(RIGHT(RIGHT(CONCATENATE("000",IFAData_TEA_1718!A1247),6),3)))</f>
        <v>105-906</v>
      </c>
      <c r="C1247" t="s">
        <v>35</v>
      </c>
      <c r="D1247">
        <v>9</v>
      </c>
      <c r="E1247">
        <v>1877</v>
      </c>
      <c r="F1247" t="s">
        <v>4858</v>
      </c>
      <c r="G1247" t="s">
        <v>6473</v>
      </c>
      <c r="H1247">
        <v>1578006</v>
      </c>
      <c r="I1247">
        <v>2075865</v>
      </c>
      <c r="J1247">
        <v>0.49473747179383998</v>
      </c>
      <c r="K1247">
        <v>780698.69891551102</v>
      </c>
      <c r="L1247">
        <v>780698.69891551102</v>
      </c>
      <c r="M1247">
        <v>599</v>
      </c>
    </row>
    <row r="1248" spans="1:13" ht="15">
      <c r="A1248" t="s">
        <v>5922</v>
      </c>
      <c r="B1248" s="1040" t="str">
        <f>CONCATENATE(LEFT(RIGHT(CONCATENATE("000",IFAData_TEA_1718!A1248),6),3),"-",(RIGHT(RIGHT(CONCATENATE("000",IFAData_TEA_1718!A1248),6),3)))</f>
        <v>107-902</v>
      </c>
      <c r="C1248" t="s">
        <v>1350</v>
      </c>
      <c r="D1248">
        <v>11</v>
      </c>
      <c r="E1248">
        <v>2513</v>
      </c>
      <c r="F1248" t="s">
        <v>8406</v>
      </c>
      <c r="G1248" t="s">
        <v>8406</v>
      </c>
      <c r="H1248">
        <v>640624</v>
      </c>
      <c r="I1248">
        <v>1500981</v>
      </c>
      <c r="J1248">
        <v>0.83689720753807995</v>
      </c>
      <c r="K1248">
        <v>536136.43668187503</v>
      </c>
      <c r="L1248">
        <v>536136.43668187503</v>
      </c>
      <c r="M1248">
        <v>599</v>
      </c>
    </row>
    <row r="1249" spans="1:13" ht="15">
      <c r="A1249" t="s">
        <v>5922</v>
      </c>
      <c r="B1249" s="1040" t="str">
        <f>CONCATENATE(LEFT(RIGHT(CONCATENATE("000",IFAData_TEA_1718!A1249),6),3),"-",(RIGHT(RIGHT(CONCATENATE("000",IFAData_TEA_1718!A1249),6),3)))</f>
        <v>107-902</v>
      </c>
      <c r="C1249" t="s">
        <v>1350</v>
      </c>
      <c r="D1249">
        <v>11</v>
      </c>
      <c r="E1249">
        <v>2513</v>
      </c>
      <c r="F1249" t="s">
        <v>8406</v>
      </c>
      <c r="G1249" t="s">
        <v>8407</v>
      </c>
      <c r="H1249">
        <v>640624</v>
      </c>
      <c r="I1249">
        <v>292526</v>
      </c>
      <c r="J1249">
        <v>0.16310279246192</v>
      </c>
      <c r="K1249">
        <v>104487.563318125</v>
      </c>
      <c r="L1249">
        <v>104487.563318125</v>
      </c>
      <c r="M1249">
        <v>599</v>
      </c>
    </row>
    <row r="1250" spans="1:13" ht="15">
      <c r="A1250" t="s">
        <v>3548</v>
      </c>
      <c r="B1250" s="1040" t="str">
        <f>CONCATENATE(LEFT(RIGHT(CONCATENATE("000",IFAData_TEA_1718!A1250),6),3),"-",(RIGHT(RIGHT(CONCATENATE("000",IFAData_TEA_1718!A1250),6),3)))</f>
        <v>107-907</v>
      </c>
      <c r="C1250" t="s">
        <v>607</v>
      </c>
      <c r="D1250">
        <v>3</v>
      </c>
      <c r="E1250">
        <v>2401</v>
      </c>
      <c r="F1250" t="s">
        <v>4859</v>
      </c>
      <c r="G1250" t="s">
        <v>4859</v>
      </c>
      <c r="H1250">
        <v>68908</v>
      </c>
      <c r="I1250">
        <v>0</v>
      </c>
      <c r="J1250">
        <v>0</v>
      </c>
      <c r="K1250">
        <v>0</v>
      </c>
      <c r="L1250">
        <v>0</v>
      </c>
      <c r="M1250">
        <v>599</v>
      </c>
    </row>
    <row r="1251" spans="1:13" ht="15">
      <c r="A1251" t="s">
        <v>3548</v>
      </c>
      <c r="B1251" s="1040" t="str">
        <f>CONCATENATE(LEFT(RIGHT(CONCATENATE("000",IFAData_TEA_1718!A1251),6),3),"-",(RIGHT(RIGHT(CONCATENATE("000",IFAData_TEA_1718!A1251),6),3)))</f>
        <v>107-907</v>
      </c>
      <c r="C1251" t="s">
        <v>607</v>
      </c>
      <c r="D1251">
        <v>3</v>
      </c>
      <c r="E1251">
        <v>2401</v>
      </c>
      <c r="F1251" t="s">
        <v>4859</v>
      </c>
      <c r="G1251" t="s">
        <v>4860</v>
      </c>
      <c r="H1251">
        <v>68908</v>
      </c>
      <c r="I1251">
        <v>38529</v>
      </c>
      <c r="J1251">
        <v>1</v>
      </c>
      <c r="K1251">
        <v>68908</v>
      </c>
      <c r="L1251">
        <v>38529</v>
      </c>
      <c r="M1251">
        <v>599</v>
      </c>
    </row>
    <row r="1252" spans="1:13" ht="15">
      <c r="A1252" t="s">
        <v>4861</v>
      </c>
      <c r="B1252" s="1040" t="str">
        <f>CONCATENATE(LEFT(RIGHT(CONCATENATE("000",IFAData_TEA_1718!A1252),6),3),"-",(RIGHT(RIGHT(CONCATENATE("000",IFAData_TEA_1718!A1252),6),3)))</f>
        <v>107-908</v>
      </c>
      <c r="C1252" t="s">
        <v>2105</v>
      </c>
      <c r="D1252">
        <v>5</v>
      </c>
      <c r="E1252">
        <v>2124</v>
      </c>
      <c r="F1252" t="s">
        <v>4862</v>
      </c>
      <c r="G1252" t="s">
        <v>4862</v>
      </c>
      <c r="H1252">
        <v>100000</v>
      </c>
      <c r="I1252">
        <v>105160</v>
      </c>
      <c r="J1252">
        <v>1</v>
      </c>
      <c r="K1252">
        <v>100000</v>
      </c>
      <c r="L1252">
        <v>100000</v>
      </c>
      <c r="M1252">
        <v>199</v>
      </c>
    </row>
    <row r="1253" spans="1:13" ht="15">
      <c r="A1253" t="s">
        <v>3549</v>
      </c>
      <c r="B1253" s="1040" t="str">
        <f>CONCATENATE(LEFT(RIGHT(CONCATENATE("000",IFAData_TEA_1718!A1253),6),3),"-",(RIGHT(RIGHT(CONCATENATE("000",IFAData_TEA_1718!A1253),6),3)))</f>
        <v>108-902</v>
      </c>
      <c r="C1253" t="s">
        <v>32</v>
      </c>
      <c r="D1253">
        <v>2</v>
      </c>
      <c r="E1253">
        <v>1769</v>
      </c>
      <c r="F1253" t="s">
        <v>4863</v>
      </c>
      <c r="G1253" t="s">
        <v>4863</v>
      </c>
      <c r="H1253">
        <v>2278200</v>
      </c>
      <c r="I1253">
        <v>0</v>
      </c>
      <c r="J1253">
        <v>0</v>
      </c>
      <c r="K1253">
        <v>0</v>
      </c>
      <c r="L1253">
        <v>0</v>
      </c>
      <c r="M1253">
        <v>599</v>
      </c>
    </row>
    <row r="1254" spans="1:13" ht="15">
      <c r="A1254" t="s">
        <v>3549</v>
      </c>
      <c r="B1254" s="1040" t="str">
        <f>CONCATENATE(LEFT(RIGHT(CONCATENATE("000",IFAData_TEA_1718!A1254),6),3),"-",(RIGHT(RIGHT(CONCATENATE("000",IFAData_TEA_1718!A1254),6),3)))</f>
        <v>108-902</v>
      </c>
      <c r="C1254" t="s">
        <v>32</v>
      </c>
      <c r="D1254">
        <v>2</v>
      </c>
      <c r="E1254">
        <v>1769</v>
      </c>
      <c r="F1254" t="s">
        <v>4863</v>
      </c>
      <c r="G1254" t="s">
        <v>4864</v>
      </c>
      <c r="H1254">
        <v>2278200</v>
      </c>
      <c r="I1254">
        <v>0</v>
      </c>
      <c r="J1254">
        <v>0</v>
      </c>
      <c r="K1254">
        <v>0</v>
      </c>
      <c r="L1254">
        <v>0</v>
      </c>
      <c r="M1254">
        <v>599</v>
      </c>
    </row>
    <row r="1255" spans="1:13" ht="15">
      <c r="A1255" t="s">
        <v>3549</v>
      </c>
      <c r="B1255" s="1040" t="str">
        <f>CONCATENATE(LEFT(RIGHT(CONCATENATE("000",IFAData_TEA_1718!A1255),6),3),"-",(RIGHT(RIGHT(CONCATENATE("000",IFAData_TEA_1718!A1255),6),3)))</f>
        <v>108-902</v>
      </c>
      <c r="C1255" t="s">
        <v>32</v>
      </c>
      <c r="D1255">
        <v>2</v>
      </c>
      <c r="E1255">
        <v>1769</v>
      </c>
      <c r="F1255" t="s">
        <v>4863</v>
      </c>
      <c r="G1255" t="s">
        <v>6262</v>
      </c>
      <c r="H1255">
        <v>2278200</v>
      </c>
      <c r="I1255">
        <v>1954804</v>
      </c>
      <c r="J1255">
        <v>1</v>
      </c>
      <c r="K1255">
        <v>2278200</v>
      </c>
      <c r="L1255">
        <v>1954804</v>
      </c>
      <c r="M1255">
        <v>599</v>
      </c>
    </row>
    <row r="1256" spans="1:13" ht="15">
      <c r="A1256" t="s">
        <v>3549</v>
      </c>
      <c r="B1256" s="1040" t="str">
        <f>CONCATENATE(LEFT(RIGHT(CONCATENATE("000",IFAData_TEA_1718!A1256),6),3),"-",(RIGHT(RIGHT(CONCATENATE("000",IFAData_TEA_1718!A1256),6),3)))</f>
        <v>108-902</v>
      </c>
      <c r="C1256" t="s">
        <v>32</v>
      </c>
      <c r="D1256">
        <v>4</v>
      </c>
      <c r="E1256">
        <v>1768</v>
      </c>
      <c r="F1256" t="s">
        <v>4865</v>
      </c>
      <c r="G1256" t="s">
        <v>4865</v>
      </c>
      <c r="H1256">
        <v>2119597</v>
      </c>
      <c r="I1256">
        <v>0</v>
      </c>
      <c r="J1256">
        <v>0</v>
      </c>
      <c r="K1256">
        <v>0</v>
      </c>
      <c r="L1256">
        <v>0</v>
      </c>
      <c r="M1256">
        <v>599</v>
      </c>
    </row>
    <row r="1257" spans="1:13" ht="15">
      <c r="A1257" t="s">
        <v>3549</v>
      </c>
      <c r="B1257" s="1040" t="str">
        <f>CONCATENATE(LEFT(RIGHT(CONCATENATE("000",IFAData_TEA_1718!A1257),6),3),"-",(RIGHT(RIGHT(CONCATENATE("000",IFAData_TEA_1718!A1257),6),3)))</f>
        <v>108-902</v>
      </c>
      <c r="C1257" t="s">
        <v>32</v>
      </c>
      <c r="D1257">
        <v>4</v>
      </c>
      <c r="E1257">
        <v>1768</v>
      </c>
      <c r="F1257" t="s">
        <v>4865</v>
      </c>
      <c r="G1257" t="s">
        <v>4864</v>
      </c>
      <c r="H1257">
        <v>2119597</v>
      </c>
      <c r="I1257">
        <v>0</v>
      </c>
      <c r="J1257">
        <v>0</v>
      </c>
      <c r="K1257">
        <v>0</v>
      </c>
      <c r="L1257">
        <v>0</v>
      </c>
      <c r="M1257">
        <v>599</v>
      </c>
    </row>
    <row r="1258" spans="1:13" ht="15">
      <c r="A1258" t="s">
        <v>3549</v>
      </c>
      <c r="B1258" s="1040" t="str">
        <f>CONCATENATE(LEFT(RIGHT(CONCATENATE("000",IFAData_TEA_1718!A1258),6),3),"-",(RIGHT(RIGHT(CONCATENATE("000",IFAData_TEA_1718!A1258),6),3)))</f>
        <v>108-902</v>
      </c>
      <c r="C1258" t="s">
        <v>32</v>
      </c>
      <c r="D1258">
        <v>4</v>
      </c>
      <c r="E1258">
        <v>1768</v>
      </c>
      <c r="F1258" t="s">
        <v>4865</v>
      </c>
      <c r="G1258" t="s">
        <v>4866</v>
      </c>
      <c r="H1258">
        <v>2119597</v>
      </c>
      <c r="I1258">
        <v>443993</v>
      </c>
      <c r="J1258">
        <v>0.19191074799257801</v>
      </c>
      <c r="K1258">
        <v>406773.44571282301</v>
      </c>
      <c r="L1258">
        <v>406773.44571282301</v>
      </c>
      <c r="M1258">
        <v>599</v>
      </c>
    </row>
    <row r="1259" spans="1:13" ht="15">
      <c r="A1259" t="s">
        <v>3549</v>
      </c>
      <c r="B1259" s="1040" t="str">
        <f>CONCATENATE(LEFT(RIGHT(CONCATENATE("000",IFAData_TEA_1718!A1259),6),3),"-",(RIGHT(RIGHT(CONCATENATE("000",IFAData_TEA_1718!A1259),6),3)))</f>
        <v>108-902</v>
      </c>
      <c r="C1259" t="s">
        <v>32</v>
      </c>
      <c r="D1259">
        <v>4</v>
      </c>
      <c r="E1259">
        <v>1768</v>
      </c>
      <c r="F1259" t="s">
        <v>4865</v>
      </c>
      <c r="G1259" t="s">
        <v>4867</v>
      </c>
      <c r="H1259">
        <v>2119597</v>
      </c>
      <c r="I1259">
        <v>5400</v>
      </c>
      <c r="J1259">
        <v>2.3340864364076001E-3</v>
      </c>
      <c r="K1259">
        <v>4947.3226083502404</v>
      </c>
      <c r="L1259">
        <v>4947.3226083502404</v>
      </c>
      <c r="M1259">
        <v>599</v>
      </c>
    </row>
    <row r="1260" spans="1:13" ht="15">
      <c r="A1260" t="s">
        <v>3549</v>
      </c>
      <c r="B1260" s="1040" t="str">
        <f>CONCATENATE(LEFT(RIGHT(CONCATENATE("000",IFAData_TEA_1718!A1260),6),3),"-",(RIGHT(RIGHT(CONCATENATE("000",IFAData_TEA_1718!A1260),6),3)))</f>
        <v>108-902</v>
      </c>
      <c r="C1260" t="s">
        <v>32</v>
      </c>
      <c r="D1260">
        <v>4</v>
      </c>
      <c r="E1260">
        <v>1768</v>
      </c>
      <c r="F1260" t="s">
        <v>4865</v>
      </c>
      <c r="G1260" t="s">
        <v>6262</v>
      </c>
      <c r="H1260">
        <v>2119597</v>
      </c>
      <c r="I1260">
        <v>1502596</v>
      </c>
      <c r="J1260">
        <v>0.64947943388894702</v>
      </c>
      <c r="K1260">
        <v>1376634.65963271</v>
      </c>
      <c r="L1260">
        <v>1376634.65963271</v>
      </c>
      <c r="M1260">
        <v>599</v>
      </c>
    </row>
    <row r="1261" spans="1:13" ht="15">
      <c r="A1261" t="s">
        <v>3549</v>
      </c>
      <c r="B1261" s="1040" t="str">
        <f>CONCATENATE(LEFT(RIGHT(CONCATENATE("000",IFAData_TEA_1718!A1261),6),3),"-",(RIGHT(RIGHT(CONCATENATE("000",IFAData_TEA_1718!A1261),6),3)))</f>
        <v>108-902</v>
      </c>
      <c r="C1261" t="s">
        <v>32</v>
      </c>
      <c r="D1261">
        <v>4</v>
      </c>
      <c r="E1261">
        <v>1768</v>
      </c>
      <c r="F1261" t="s">
        <v>4865</v>
      </c>
      <c r="G1261" t="s">
        <v>8408</v>
      </c>
      <c r="H1261">
        <v>2119597</v>
      </c>
      <c r="I1261">
        <v>361550</v>
      </c>
      <c r="J1261">
        <v>0.15627573168206799</v>
      </c>
      <c r="K1261">
        <v>331241.57204611599</v>
      </c>
      <c r="L1261">
        <v>331241.57204611599</v>
      </c>
      <c r="M1261">
        <v>599</v>
      </c>
    </row>
    <row r="1262" spans="1:13" ht="15">
      <c r="A1262" t="s">
        <v>3549</v>
      </c>
      <c r="B1262" s="1040" t="str">
        <f>CONCATENATE(LEFT(RIGHT(CONCATENATE("000",IFAData_TEA_1718!A1262),6),3),"-",(RIGHT(RIGHT(CONCATENATE("000",IFAData_TEA_1718!A1262),6),3)))</f>
        <v>108-902</v>
      </c>
      <c r="C1262" t="s">
        <v>32</v>
      </c>
      <c r="D1262">
        <v>6</v>
      </c>
      <c r="E1262">
        <v>1767</v>
      </c>
      <c r="F1262" t="s">
        <v>4868</v>
      </c>
      <c r="G1262" t="s">
        <v>4868</v>
      </c>
      <c r="H1262">
        <v>1121326</v>
      </c>
      <c r="I1262">
        <v>0</v>
      </c>
      <c r="J1262">
        <v>0</v>
      </c>
      <c r="K1262">
        <v>0</v>
      </c>
      <c r="L1262">
        <v>0</v>
      </c>
      <c r="M1262">
        <v>599</v>
      </c>
    </row>
    <row r="1263" spans="1:13" ht="15">
      <c r="A1263" t="s">
        <v>3549</v>
      </c>
      <c r="B1263" s="1040" t="str">
        <f>CONCATENATE(LEFT(RIGHT(CONCATENATE("000",IFAData_TEA_1718!A1263),6),3),"-",(RIGHT(RIGHT(CONCATENATE("000",IFAData_TEA_1718!A1263),6),3)))</f>
        <v>108-902</v>
      </c>
      <c r="C1263" t="s">
        <v>32</v>
      </c>
      <c r="D1263">
        <v>6</v>
      </c>
      <c r="E1263">
        <v>1767</v>
      </c>
      <c r="F1263" t="s">
        <v>4868</v>
      </c>
      <c r="G1263" t="s">
        <v>4867</v>
      </c>
      <c r="H1263">
        <v>1121326</v>
      </c>
      <c r="I1263">
        <v>269842</v>
      </c>
      <c r="J1263">
        <v>0.79126054165640403</v>
      </c>
      <c r="K1263">
        <v>887261.01813340804</v>
      </c>
      <c r="L1263">
        <v>269842</v>
      </c>
      <c r="M1263">
        <v>599</v>
      </c>
    </row>
    <row r="1264" spans="1:13" ht="15">
      <c r="A1264" t="s">
        <v>3549</v>
      </c>
      <c r="B1264" s="1040" t="str">
        <f>CONCATENATE(LEFT(RIGHT(CONCATENATE("000",IFAData_TEA_1718!A1264),6),3),"-",(RIGHT(RIGHT(CONCATENATE("000",IFAData_TEA_1718!A1264),6),3)))</f>
        <v>108-902</v>
      </c>
      <c r="C1264" t="s">
        <v>32</v>
      </c>
      <c r="D1264">
        <v>6</v>
      </c>
      <c r="E1264">
        <v>1767</v>
      </c>
      <c r="F1264" t="s">
        <v>4868</v>
      </c>
      <c r="G1264" t="s">
        <v>4869</v>
      </c>
      <c r="H1264">
        <v>1121326</v>
      </c>
      <c r="I1264">
        <v>71186</v>
      </c>
      <c r="J1264">
        <v>0.208739458343596</v>
      </c>
      <c r="K1264">
        <v>234064.98186659199</v>
      </c>
      <c r="L1264">
        <v>71186</v>
      </c>
      <c r="M1264">
        <v>599</v>
      </c>
    </row>
    <row r="1265" spans="1:13" ht="15">
      <c r="A1265" t="s">
        <v>3549</v>
      </c>
      <c r="B1265" s="1040" t="str">
        <f>CONCATENATE(LEFT(RIGHT(CONCATENATE("000",IFAData_TEA_1718!A1265),6),3),"-",(RIGHT(RIGHT(CONCATENATE("000",IFAData_TEA_1718!A1265),6),3)))</f>
        <v>108-902</v>
      </c>
      <c r="C1265" t="s">
        <v>32</v>
      </c>
      <c r="D1265">
        <v>7</v>
      </c>
      <c r="E1265">
        <v>1766</v>
      </c>
      <c r="F1265" t="s">
        <v>4870</v>
      </c>
      <c r="G1265" t="s">
        <v>4870</v>
      </c>
      <c r="H1265">
        <v>1010853</v>
      </c>
      <c r="I1265">
        <v>0</v>
      </c>
      <c r="J1265">
        <v>0</v>
      </c>
      <c r="K1265">
        <v>0</v>
      </c>
      <c r="L1265">
        <v>0</v>
      </c>
      <c r="M1265">
        <v>599</v>
      </c>
    </row>
    <row r="1266" spans="1:13" ht="15">
      <c r="A1266" t="s">
        <v>3549</v>
      </c>
      <c r="B1266" s="1040" t="str">
        <f>CONCATENATE(LEFT(RIGHT(CONCATENATE("000",IFAData_TEA_1718!A1266),6),3),"-",(RIGHT(RIGHT(CONCATENATE("000",IFAData_TEA_1718!A1266),6),3)))</f>
        <v>108-902</v>
      </c>
      <c r="C1266" t="s">
        <v>32</v>
      </c>
      <c r="D1266">
        <v>7</v>
      </c>
      <c r="E1266">
        <v>1766</v>
      </c>
      <c r="F1266" t="s">
        <v>4870</v>
      </c>
      <c r="G1266" t="s">
        <v>4869</v>
      </c>
      <c r="H1266">
        <v>1010853</v>
      </c>
      <c r="I1266">
        <v>330669</v>
      </c>
      <c r="J1266">
        <v>0.34070480060667002</v>
      </c>
      <c r="K1266">
        <v>344402.46980765398</v>
      </c>
      <c r="L1266">
        <v>330669</v>
      </c>
      <c r="M1266">
        <v>599</v>
      </c>
    </row>
    <row r="1267" spans="1:13" ht="15">
      <c r="A1267" t="s">
        <v>3549</v>
      </c>
      <c r="B1267" s="1040" t="str">
        <f>CONCATENATE(LEFT(RIGHT(CONCATENATE("000",IFAData_TEA_1718!A1267),6),3),"-",(RIGHT(RIGHT(CONCATENATE("000",IFAData_TEA_1718!A1267),6),3)))</f>
        <v>108-902</v>
      </c>
      <c r="C1267" t="s">
        <v>32</v>
      </c>
      <c r="D1267">
        <v>7</v>
      </c>
      <c r="E1267">
        <v>1766</v>
      </c>
      <c r="F1267" t="s">
        <v>4870</v>
      </c>
      <c r="G1267" t="s">
        <v>4871</v>
      </c>
      <c r="H1267">
        <v>1010853</v>
      </c>
      <c r="I1267">
        <v>639875</v>
      </c>
      <c r="J1267">
        <v>0.65929519939333003</v>
      </c>
      <c r="K1267">
        <v>666450.53019234596</v>
      </c>
      <c r="L1267">
        <v>639875</v>
      </c>
      <c r="M1267">
        <v>599</v>
      </c>
    </row>
    <row r="1268" spans="1:13" ht="15">
      <c r="A1268" t="s">
        <v>3549</v>
      </c>
      <c r="B1268" s="1040" t="str">
        <f>CONCATENATE(LEFT(RIGHT(CONCATENATE("000",IFAData_TEA_1718!A1268),6),3),"-",(RIGHT(RIGHT(CONCATENATE("000",IFAData_TEA_1718!A1268),6),3)))</f>
        <v>108-902</v>
      </c>
      <c r="C1268" t="s">
        <v>32</v>
      </c>
      <c r="D1268">
        <v>10</v>
      </c>
      <c r="E1268">
        <v>1770</v>
      </c>
      <c r="F1268" t="s">
        <v>4872</v>
      </c>
      <c r="G1268" t="s">
        <v>4872</v>
      </c>
      <c r="H1268">
        <v>2922800</v>
      </c>
      <c r="I1268">
        <v>2919619</v>
      </c>
      <c r="J1268">
        <v>1</v>
      </c>
      <c r="K1268">
        <v>2922800</v>
      </c>
      <c r="L1268">
        <v>2919619</v>
      </c>
      <c r="M1268">
        <v>599</v>
      </c>
    </row>
    <row r="1269" spans="1:13" s="2010" customFormat="1" ht="15">
      <c r="A1269" s="1417" t="s">
        <v>3550</v>
      </c>
      <c r="B1269" s="2009" t="str">
        <f>CONCATENATE(LEFT(RIGHT(CONCATENATE("000",IFAData_TEA_1718!A1269),6),3),"-",(RIGHT(RIGHT(CONCATENATE("000",IFAData_TEA_1718!A1269),6),3)))</f>
        <v>108-903</v>
      </c>
      <c r="C1269" s="1417" t="s">
        <v>1066</v>
      </c>
      <c r="D1269" s="1417">
        <v>1</v>
      </c>
      <c r="E1269" s="1417">
        <v>1786</v>
      </c>
      <c r="F1269" s="1417" t="s">
        <v>4873</v>
      </c>
      <c r="G1269" s="1417" t="s">
        <v>4873</v>
      </c>
      <c r="H1269" s="1417">
        <v>1057575</v>
      </c>
      <c r="I1269" s="1417">
        <v>0</v>
      </c>
      <c r="J1269" s="1417">
        <v>0</v>
      </c>
      <c r="K1269" s="1417">
        <v>0</v>
      </c>
      <c r="L1269" s="1417">
        <v>0</v>
      </c>
      <c r="M1269" s="1417">
        <v>599</v>
      </c>
    </row>
    <row r="1270" spans="1:13" s="2010" customFormat="1" ht="15">
      <c r="A1270" s="1417" t="s">
        <v>3550</v>
      </c>
      <c r="B1270" s="2009" t="str">
        <f>CONCATENATE(LEFT(RIGHT(CONCATENATE("000",IFAData_TEA_1718!A1270),6),3),"-",(RIGHT(RIGHT(CONCATENATE("000",IFAData_TEA_1718!A1270),6),3)))</f>
        <v>108-903</v>
      </c>
      <c r="C1270" s="1417" t="s">
        <v>1066</v>
      </c>
      <c r="D1270" s="1417">
        <v>1</v>
      </c>
      <c r="E1270" s="1417">
        <v>1786</v>
      </c>
      <c r="F1270" s="1417" t="s">
        <v>4873</v>
      </c>
      <c r="G1270" s="1417" t="s">
        <v>4874</v>
      </c>
      <c r="H1270" s="1417">
        <v>1057575</v>
      </c>
      <c r="I1270" s="1417">
        <v>149994</v>
      </c>
      <c r="J1270" s="1417">
        <v>0.15879976454346401</v>
      </c>
      <c r="K1270" s="1417">
        <v>167942.660987054</v>
      </c>
      <c r="L1270" s="1417">
        <v>149994</v>
      </c>
      <c r="M1270" s="1417">
        <v>599</v>
      </c>
    </row>
    <row r="1271" spans="1:13" s="2010" customFormat="1" ht="15">
      <c r="A1271" s="1417" t="s">
        <v>3550</v>
      </c>
      <c r="B1271" s="2009" t="str">
        <f>CONCATENATE(LEFT(RIGHT(CONCATENATE("000",IFAData_TEA_1718!A1271),6),3),"-",(RIGHT(RIGHT(CONCATENATE("000",IFAData_TEA_1718!A1271),6),3)))</f>
        <v>108-903</v>
      </c>
      <c r="C1271" s="1417" t="s">
        <v>1066</v>
      </c>
      <c r="D1271" s="1417">
        <v>1</v>
      </c>
      <c r="E1271" s="1417">
        <v>1786</v>
      </c>
      <c r="F1271" s="1417" t="s">
        <v>4873</v>
      </c>
      <c r="G1271" s="1417" t="s">
        <v>4875</v>
      </c>
      <c r="H1271" s="1417">
        <v>1057575</v>
      </c>
      <c r="I1271" s="1417">
        <v>794554</v>
      </c>
      <c r="J1271" s="1417">
        <v>0.84120023545653599</v>
      </c>
      <c r="K1271" s="1417">
        <v>889632.339012946</v>
      </c>
      <c r="L1271" s="1417">
        <v>794554</v>
      </c>
      <c r="M1271" s="1417">
        <v>599</v>
      </c>
    </row>
    <row r="1272" spans="1:13" s="2010" customFormat="1" ht="15">
      <c r="A1272" s="1417" t="s">
        <v>3550</v>
      </c>
      <c r="B1272" s="2009" t="str">
        <f>CONCATENATE(LEFT(RIGHT(CONCATENATE("000",IFAData_TEA_1718!A1272),6),3),"-",(RIGHT(RIGHT(CONCATENATE("000",IFAData_TEA_1718!A1272),6),3)))</f>
        <v>108-903</v>
      </c>
      <c r="C1272" s="1417" t="s">
        <v>1066</v>
      </c>
      <c r="D1272" s="1417">
        <v>1</v>
      </c>
      <c r="E1272" s="1417">
        <v>1786</v>
      </c>
      <c r="F1272" s="1417" t="s">
        <v>4873</v>
      </c>
      <c r="G1272" s="1417" t="s">
        <v>6263</v>
      </c>
      <c r="H1272" s="1417">
        <v>1057575</v>
      </c>
      <c r="I1272" s="1417">
        <v>0</v>
      </c>
      <c r="J1272" s="1417">
        <v>0</v>
      </c>
      <c r="K1272" s="1417">
        <v>0</v>
      </c>
      <c r="L1272" s="1417">
        <v>0</v>
      </c>
      <c r="M1272" s="1417">
        <v>599</v>
      </c>
    </row>
    <row r="1273" spans="1:13" s="2010" customFormat="1" ht="15">
      <c r="A1273" s="1417" t="s">
        <v>3550</v>
      </c>
      <c r="B1273" s="2009" t="str">
        <f>CONCATENATE(LEFT(RIGHT(CONCATENATE("000",IFAData_TEA_1718!A1273),6),3),"-",(RIGHT(RIGHT(CONCATENATE("000",IFAData_TEA_1718!A1273),6),3)))</f>
        <v>108-903</v>
      </c>
      <c r="C1273" s="1417" t="s">
        <v>1066</v>
      </c>
      <c r="D1273" s="1417">
        <v>4</v>
      </c>
      <c r="E1273" s="1417">
        <v>1787</v>
      </c>
      <c r="F1273" s="1417" t="s">
        <v>4876</v>
      </c>
      <c r="G1273" s="1417" t="s">
        <v>4876</v>
      </c>
      <c r="H1273" s="1417">
        <v>1123190</v>
      </c>
      <c r="I1273" s="1417">
        <v>0</v>
      </c>
      <c r="J1273" s="1417">
        <v>0</v>
      </c>
      <c r="K1273" s="1417">
        <v>0</v>
      </c>
      <c r="L1273" s="1417">
        <v>0</v>
      </c>
      <c r="M1273" s="1417">
        <v>599</v>
      </c>
    </row>
    <row r="1274" spans="1:13" s="2010" customFormat="1" ht="15">
      <c r="A1274" s="1417" t="s">
        <v>3550</v>
      </c>
      <c r="B1274" s="2009" t="str">
        <f>CONCATENATE(LEFT(RIGHT(CONCATENATE("000",IFAData_TEA_1718!A1274),6),3),"-",(RIGHT(RIGHT(CONCATENATE("000",IFAData_TEA_1718!A1274),6),3)))</f>
        <v>108-903</v>
      </c>
      <c r="C1274" s="1417" t="s">
        <v>1066</v>
      </c>
      <c r="D1274" s="1417">
        <v>4</v>
      </c>
      <c r="E1274" s="1417">
        <v>1787</v>
      </c>
      <c r="F1274" s="1417" t="s">
        <v>4876</v>
      </c>
      <c r="G1274" s="1417" t="s">
        <v>4874</v>
      </c>
      <c r="H1274" s="1417">
        <v>1123190</v>
      </c>
      <c r="I1274" s="1417">
        <v>0</v>
      </c>
      <c r="J1274" s="1417">
        <v>0</v>
      </c>
      <c r="K1274" s="1417">
        <v>0</v>
      </c>
      <c r="L1274" s="1417">
        <v>0</v>
      </c>
      <c r="M1274" s="1417">
        <v>599</v>
      </c>
    </row>
    <row r="1275" spans="1:13" s="2010" customFormat="1" ht="15">
      <c r="A1275" s="1417" t="s">
        <v>3550</v>
      </c>
      <c r="B1275" s="2009" t="str">
        <f>CONCATENATE(LEFT(RIGHT(CONCATENATE("000",IFAData_TEA_1718!A1275),6),3),"-",(RIGHT(RIGHT(CONCATENATE("000",IFAData_TEA_1718!A1275),6),3)))</f>
        <v>108-903</v>
      </c>
      <c r="C1275" s="1417" t="s">
        <v>1066</v>
      </c>
      <c r="D1275" s="1417">
        <v>4</v>
      </c>
      <c r="E1275" s="1417">
        <v>1787</v>
      </c>
      <c r="F1275" s="1417" t="s">
        <v>4876</v>
      </c>
      <c r="G1275" s="1417" t="s">
        <v>4875</v>
      </c>
      <c r="H1275" s="1417">
        <v>1123190</v>
      </c>
      <c r="I1275" s="1417">
        <v>873946</v>
      </c>
      <c r="J1275" s="1417">
        <v>0.85445586179251298</v>
      </c>
      <c r="K1275" s="1417">
        <v>959716.27940673195</v>
      </c>
      <c r="L1275" s="1417">
        <v>873946</v>
      </c>
      <c r="M1275" s="1417">
        <v>599</v>
      </c>
    </row>
    <row r="1276" spans="1:13" s="2010" customFormat="1" ht="15">
      <c r="A1276" s="1417" t="s">
        <v>3550</v>
      </c>
      <c r="B1276" s="2009" t="str">
        <f>CONCATENATE(LEFT(RIGHT(CONCATENATE("000",IFAData_TEA_1718!A1276),6),3),"-",(RIGHT(RIGHT(CONCATENATE("000",IFAData_TEA_1718!A1276),6),3)))</f>
        <v>108-903</v>
      </c>
      <c r="C1276" s="1417" t="s">
        <v>1066</v>
      </c>
      <c r="D1276" s="1417">
        <v>4</v>
      </c>
      <c r="E1276" s="1417">
        <v>1787</v>
      </c>
      <c r="F1276" s="1417" t="s">
        <v>4876</v>
      </c>
      <c r="G1276" s="1417" t="s">
        <v>6263</v>
      </c>
      <c r="H1276" s="1417">
        <v>1123190</v>
      </c>
      <c r="I1276" s="1417">
        <v>148864</v>
      </c>
      <c r="J1276" s="1417">
        <v>0.14554413820748699</v>
      </c>
      <c r="K1276" s="1417">
        <v>163473.72059326799</v>
      </c>
      <c r="L1276" s="1417">
        <v>148864</v>
      </c>
      <c r="M1276" s="1417">
        <v>599</v>
      </c>
    </row>
    <row r="1277" spans="1:13" s="2010" customFormat="1" ht="15">
      <c r="A1277" s="1417" t="s">
        <v>3550</v>
      </c>
      <c r="B1277" s="2009" t="str">
        <f>CONCATENATE(LEFT(RIGHT(CONCATENATE("000",IFAData_TEA_1718!A1277),6),3),"-",(RIGHT(RIGHT(CONCATENATE("000",IFAData_TEA_1718!A1277),6),3)))</f>
        <v>108-903</v>
      </c>
      <c r="C1277" s="1417" t="s">
        <v>1066</v>
      </c>
      <c r="D1277" s="1417">
        <v>6</v>
      </c>
      <c r="E1277" s="1417">
        <v>1785</v>
      </c>
      <c r="F1277" s="1417" t="s">
        <v>6475</v>
      </c>
      <c r="G1277" s="1417" t="s">
        <v>6475</v>
      </c>
      <c r="H1277" s="1417">
        <v>259798</v>
      </c>
      <c r="I1277" s="1417">
        <v>0</v>
      </c>
      <c r="J1277" s="1417">
        <v>0</v>
      </c>
      <c r="K1277" s="1417"/>
      <c r="L1277" s="1417">
        <v>0</v>
      </c>
      <c r="M1277" s="1417">
        <v>599</v>
      </c>
    </row>
    <row r="1278" spans="1:13" s="2010" customFormat="1" ht="15">
      <c r="A1278" s="1417" t="s">
        <v>3550</v>
      </c>
      <c r="B1278" s="2009" t="str">
        <f>CONCATENATE(LEFT(RIGHT(CONCATENATE("000",IFAData_TEA_1718!A1278),6),3),"-",(RIGHT(RIGHT(CONCATENATE("000",IFAData_TEA_1718!A1278),6),3)))</f>
        <v>108-903</v>
      </c>
      <c r="C1278" s="1417" t="s">
        <v>1066</v>
      </c>
      <c r="D1278" s="1417">
        <v>8</v>
      </c>
      <c r="E1278" s="1417">
        <v>1788</v>
      </c>
      <c r="F1278" s="1417" t="s">
        <v>4878</v>
      </c>
      <c r="G1278" s="1417" t="s">
        <v>4878</v>
      </c>
      <c r="H1278" s="1417">
        <v>1293870</v>
      </c>
      <c r="I1278" s="1417">
        <v>0</v>
      </c>
      <c r="J1278" s="1417">
        <v>0</v>
      </c>
      <c r="K1278" s="1417">
        <v>0</v>
      </c>
      <c r="L1278" s="1417">
        <v>0</v>
      </c>
      <c r="M1278" s="1417">
        <v>599</v>
      </c>
    </row>
    <row r="1279" spans="1:13" s="2010" customFormat="1" ht="15">
      <c r="A1279" s="1417" t="s">
        <v>3550</v>
      </c>
      <c r="B1279" s="2009" t="str">
        <f>CONCATENATE(LEFT(RIGHT(CONCATENATE("000",IFAData_TEA_1718!A1279),6),3),"-",(RIGHT(RIGHT(CONCATENATE("000",IFAData_TEA_1718!A1279),6),3)))</f>
        <v>108-903</v>
      </c>
      <c r="C1279" s="1417" t="s">
        <v>1066</v>
      </c>
      <c r="D1279" s="1417">
        <v>8</v>
      </c>
      <c r="E1279" s="1417">
        <v>1788</v>
      </c>
      <c r="F1279" s="1417" t="s">
        <v>4878</v>
      </c>
      <c r="G1279" s="1417" t="s">
        <v>4877</v>
      </c>
      <c r="H1279" s="1417">
        <v>1293870</v>
      </c>
      <c r="I1279" s="1417">
        <v>319450</v>
      </c>
      <c r="J1279" s="1417">
        <v>0.26839688627684899</v>
      </c>
      <c r="K1279" s="1417">
        <v>347270.67924702697</v>
      </c>
      <c r="L1279" s="1417">
        <v>319450</v>
      </c>
      <c r="M1279" s="1417">
        <v>599</v>
      </c>
    </row>
    <row r="1280" spans="1:13" s="2010" customFormat="1" ht="15">
      <c r="A1280" s="1417" t="s">
        <v>3550</v>
      </c>
      <c r="B1280" s="2009" t="str">
        <f>CONCATENATE(LEFT(RIGHT(CONCATENATE("000",IFAData_TEA_1718!A1280),6),3),"-",(RIGHT(RIGHT(CONCATENATE("000",IFAData_TEA_1718!A1280),6),3)))</f>
        <v>108-903</v>
      </c>
      <c r="C1280" s="1417" t="s">
        <v>1066</v>
      </c>
      <c r="D1280" s="1417">
        <v>8</v>
      </c>
      <c r="E1280" s="1417">
        <v>1788</v>
      </c>
      <c r="F1280" s="1417" t="s">
        <v>4878</v>
      </c>
      <c r="G1280" s="1417" t="s">
        <v>6263</v>
      </c>
      <c r="H1280" s="1417">
        <v>1293870</v>
      </c>
      <c r="I1280" s="1417">
        <v>870765</v>
      </c>
      <c r="J1280" s="1417">
        <v>0.73160311372315101</v>
      </c>
      <c r="K1280" s="1417">
        <v>946599.32075297297</v>
      </c>
      <c r="L1280" s="1417">
        <v>870765</v>
      </c>
      <c r="M1280" s="1417">
        <v>599</v>
      </c>
    </row>
    <row r="1281" spans="1:13" ht="15">
      <c r="A1281" t="s">
        <v>3551</v>
      </c>
      <c r="B1281" s="1040" t="str">
        <f>CONCATENATE(LEFT(RIGHT(CONCATENATE("000",IFAData_TEA_1718!A1281),6),3),"-",(RIGHT(RIGHT(CONCATENATE("000",IFAData_TEA_1718!A1281),6),3)))</f>
        <v>108-904</v>
      </c>
      <c r="C1281" t="s">
        <v>33</v>
      </c>
      <c r="D1281">
        <v>3</v>
      </c>
      <c r="E1281">
        <v>1795</v>
      </c>
      <c r="F1281" t="s">
        <v>4879</v>
      </c>
      <c r="G1281" t="s">
        <v>4879</v>
      </c>
      <c r="H1281">
        <v>3968103</v>
      </c>
      <c r="I1281">
        <v>0</v>
      </c>
      <c r="J1281">
        <v>0</v>
      </c>
      <c r="K1281">
        <v>0</v>
      </c>
      <c r="L1281">
        <v>0</v>
      </c>
      <c r="M1281">
        <v>199</v>
      </c>
    </row>
    <row r="1282" spans="1:13" ht="15">
      <c r="A1282" t="s">
        <v>3551</v>
      </c>
      <c r="B1282" s="1040" t="str">
        <f>CONCATENATE(LEFT(RIGHT(CONCATENATE("000",IFAData_TEA_1718!A1282),6),3),"-",(RIGHT(RIGHT(CONCATENATE("000",IFAData_TEA_1718!A1282),6),3)))</f>
        <v>108-904</v>
      </c>
      <c r="C1282" t="s">
        <v>33</v>
      </c>
      <c r="D1282">
        <v>3</v>
      </c>
      <c r="E1282">
        <v>1795</v>
      </c>
      <c r="F1282" t="s">
        <v>4879</v>
      </c>
      <c r="G1282" t="s">
        <v>4880</v>
      </c>
      <c r="H1282">
        <v>3968103</v>
      </c>
      <c r="I1282">
        <v>3769525</v>
      </c>
      <c r="J1282">
        <v>1</v>
      </c>
      <c r="K1282">
        <v>3968103</v>
      </c>
      <c r="L1282">
        <v>3769525</v>
      </c>
      <c r="M1282">
        <v>599</v>
      </c>
    </row>
    <row r="1283" spans="1:13" ht="15">
      <c r="A1283" t="s">
        <v>3551</v>
      </c>
      <c r="B1283" s="1040" t="str">
        <f>CONCATENATE(LEFT(RIGHT(CONCATENATE("000",IFAData_TEA_1718!A1283),6),3),"-",(RIGHT(RIGHT(CONCATENATE("000",IFAData_TEA_1718!A1283),6),3)))</f>
        <v>108-904</v>
      </c>
      <c r="C1283" t="s">
        <v>33</v>
      </c>
      <c r="D1283">
        <v>4</v>
      </c>
      <c r="E1283">
        <v>1796</v>
      </c>
      <c r="F1283" t="s">
        <v>4881</v>
      </c>
      <c r="G1283" t="s">
        <v>4881</v>
      </c>
      <c r="H1283">
        <v>3996878</v>
      </c>
      <c r="I1283">
        <v>0</v>
      </c>
      <c r="J1283">
        <v>0</v>
      </c>
      <c r="K1283">
        <v>0</v>
      </c>
      <c r="L1283">
        <v>0</v>
      </c>
      <c r="M1283">
        <v>599</v>
      </c>
    </row>
    <row r="1284" spans="1:13" ht="15">
      <c r="A1284" t="s">
        <v>3551</v>
      </c>
      <c r="B1284" s="1040" t="str">
        <f>CONCATENATE(LEFT(RIGHT(CONCATENATE("000",IFAData_TEA_1718!A1284),6),3),"-",(RIGHT(RIGHT(CONCATENATE("000",IFAData_TEA_1718!A1284),6),3)))</f>
        <v>108-904</v>
      </c>
      <c r="C1284" t="s">
        <v>33</v>
      </c>
      <c r="D1284">
        <v>4</v>
      </c>
      <c r="E1284">
        <v>1796</v>
      </c>
      <c r="F1284" t="s">
        <v>4881</v>
      </c>
      <c r="G1284" t="s">
        <v>4882</v>
      </c>
      <c r="H1284">
        <v>3996878</v>
      </c>
      <c r="I1284">
        <v>0</v>
      </c>
      <c r="J1284">
        <v>0</v>
      </c>
      <c r="K1284">
        <v>0</v>
      </c>
      <c r="L1284">
        <v>0</v>
      </c>
      <c r="M1284">
        <v>599</v>
      </c>
    </row>
    <row r="1285" spans="1:13" ht="15">
      <c r="A1285" t="s">
        <v>3551</v>
      </c>
      <c r="B1285" s="1040" t="str">
        <f>CONCATENATE(LEFT(RIGHT(CONCATENATE("000",IFAData_TEA_1718!A1285),6),3),"-",(RIGHT(RIGHT(CONCATENATE("000",IFAData_TEA_1718!A1285),6),3)))</f>
        <v>108-904</v>
      </c>
      <c r="C1285" t="s">
        <v>33</v>
      </c>
      <c r="D1285">
        <v>4</v>
      </c>
      <c r="E1285">
        <v>1796</v>
      </c>
      <c r="F1285" t="s">
        <v>4881</v>
      </c>
      <c r="G1285" t="s">
        <v>6264</v>
      </c>
      <c r="H1285">
        <v>3996878</v>
      </c>
      <c r="I1285">
        <v>3315235</v>
      </c>
      <c r="J1285">
        <v>1</v>
      </c>
      <c r="K1285">
        <v>3996878</v>
      </c>
      <c r="L1285">
        <v>3315235</v>
      </c>
      <c r="M1285">
        <v>599</v>
      </c>
    </row>
    <row r="1286" spans="1:13" ht="15">
      <c r="A1286" t="s">
        <v>3551</v>
      </c>
      <c r="B1286" s="1040" t="str">
        <f>CONCATENATE(LEFT(RIGHT(CONCATENATE("000",IFAData_TEA_1718!A1286),6),3),"-",(RIGHT(RIGHT(CONCATENATE("000",IFAData_TEA_1718!A1286),6),3)))</f>
        <v>108-904</v>
      </c>
      <c r="C1286" t="s">
        <v>33</v>
      </c>
      <c r="D1286">
        <v>9</v>
      </c>
      <c r="E1286">
        <v>1797</v>
      </c>
      <c r="F1286" t="s">
        <v>4883</v>
      </c>
      <c r="G1286" t="s">
        <v>4883</v>
      </c>
      <c r="H1286">
        <v>7109662</v>
      </c>
      <c r="I1286">
        <v>2624000</v>
      </c>
      <c r="J1286">
        <v>0.39904800285903302</v>
      </c>
      <c r="K1286">
        <v>2837096.4221027601</v>
      </c>
      <c r="L1286">
        <v>2624000</v>
      </c>
      <c r="M1286">
        <v>599</v>
      </c>
    </row>
    <row r="1287" spans="1:13" ht="15">
      <c r="A1287" t="s">
        <v>3551</v>
      </c>
      <c r="B1287" s="1040" t="str">
        <f>CONCATENATE(LEFT(RIGHT(CONCATENATE("000",IFAData_TEA_1718!A1287),6),3),"-",(RIGHT(RIGHT(CONCATENATE("000",IFAData_TEA_1718!A1287),6),3)))</f>
        <v>108-904</v>
      </c>
      <c r="C1287" t="s">
        <v>33</v>
      </c>
      <c r="D1287">
        <v>9</v>
      </c>
      <c r="E1287">
        <v>1797</v>
      </c>
      <c r="F1287" t="s">
        <v>4883</v>
      </c>
      <c r="G1287" t="s">
        <v>6476</v>
      </c>
      <c r="H1287">
        <v>7109662</v>
      </c>
      <c r="I1287">
        <v>3951650</v>
      </c>
      <c r="J1287">
        <v>0.60095199714096703</v>
      </c>
      <c r="K1287">
        <v>4272565.5778972404</v>
      </c>
      <c r="L1287">
        <v>3951650</v>
      </c>
      <c r="M1287">
        <v>599</v>
      </c>
    </row>
    <row r="1288" spans="1:13" ht="15">
      <c r="A1288" t="s">
        <v>3552</v>
      </c>
      <c r="B1288" s="1040" t="str">
        <f>CONCATENATE(LEFT(RIGHT(CONCATENATE("000",IFAData_TEA_1718!A1288),6),3),"-",(RIGHT(RIGHT(CONCATENATE("000",IFAData_TEA_1718!A1288),6),3)))</f>
        <v>108-905</v>
      </c>
      <c r="C1288" t="s">
        <v>2374</v>
      </c>
      <c r="D1288">
        <v>1</v>
      </c>
      <c r="E1288">
        <v>1889</v>
      </c>
      <c r="F1288" t="s">
        <v>4884</v>
      </c>
      <c r="G1288" t="s">
        <v>4884</v>
      </c>
      <c r="H1288">
        <v>551171</v>
      </c>
      <c r="I1288">
        <v>0</v>
      </c>
      <c r="J1288">
        <v>0</v>
      </c>
      <c r="K1288">
        <v>0</v>
      </c>
      <c r="L1288">
        <v>0</v>
      </c>
      <c r="M1288">
        <v>599</v>
      </c>
    </row>
    <row r="1289" spans="1:13" ht="15">
      <c r="A1289" t="s">
        <v>3552</v>
      </c>
      <c r="B1289" s="1040" t="str">
        <f>CONCATENATE(LEFT(RIGHT(CONCATENATE("000",IFAData_TEA_1718!A1289),6),3),"-",(RIGHT(RIGHT(CONCATENATE("000",IFAData_TEA_1718!A1289),6),3)))</f>
        <v>108-905</v>
      </c>
      <c r="C1289" t="s">
        <v>2374</v>
      </c>
      <c r="D1289">
        <v>1</v>
      </c>
      <c r="E1289">
        <v>1889</v>
      </c>
      <c r="F1289" t="s">
        <v>4884</v>
      </c>
      <c r="G1289" t="s">
        <v>4885</v>
      </c>
      <c r="H1289">
        <v>551171</v>
      </c>
      <c r="I1289">
        <v>489362</v>
      </c>
      <c r="J1289">
        <v>1</v>
      </c>
      <c r="K1289">
        <v>551171</v>
      </c>
      <c r="L1289">
        <v>489362</v>
      </c>
      <c r="M1289">
        <v>599</v>
      </c>
    </row>
    <row r="1290" spans="1:13" ht="15">
      <c r="A1290" t="s">
        <v>3552</v>
      </c>
      <c r="B1290" s="1040" t="str">
        <f>CONCATENATE(LEFT(RIGHT(CONCATENATE("000",IFAData_TEA_1718!A1290),6),3),"-",(RIGHT(RIGHT(CONCATENATE("000",IFAData_TEA_1718!A1290),6),3)))</f>
        <v>108-905</v>
      </c>
      <c r="C1290" t="s">
        <v>2374</v>
      </c>
      <c r="D1290">
        <v>4</v>
      </c>
      <c r="E1290">
        <v>1890</v>
      </c>
      <c r="F1290" t="s">
        <v>4886</v>
      </c>
      <c r="G1290" t="s">
        <v>4886</v>
      </c>
      <c r="H1290">
        <v>613155</v>
      </c>
      <c r="I1290">
        <v>0</v>
      </c>
      <c r="J1290">
        <v>0</v>
      </c>
      <c r="K1290">
        <v>0</v>
      </c>
      <c r="L1290">
        <v>0</v>
      </c>
      <c r="M1290">
        <v>599</v>
      </c>
    </row>
    <row r="1291" spans="1:13" ht="15">
      <c r="A1291" t="s">
        <v>3552</v>
      </c>
      <c r="B1291" s="1040" t="str">
        <f>CONCATENATE(LEFT(RIGHT(CONCATENATE("000",IFAData_TEA_1718!A1291),6),3),"-",(RIGHT(RIGHT(CONCATENATE("000",IFAData_TEA_1718!A1291),6),3)))</f>
        <v>108-905</v>
      </c>
      <c r="C1291" t="s">
        <v>2374</v>
      </c>
      <c r="D1291">
        <v>4</v>
      </c>
      <c r="E1291">
        <v>1890</v>
      </c>
      <c r="F1291" t="s">
        <v>4886</v>
      </c>
      <c r="G1291" t="s">
        <v>4885</v>
      </c>
      <c r="H1291">
        <v>613155</v>
      </c>
      <c r="I1291">
        <v>520788</v>
      </c>
      <c r="J1291">
        <v>1</v>
      </c>
      <c r="K1291">
        <v>613155</v>
      </c>
      <c r="L1291">
        <v>520788</v>
      </c>
      <c r="M1291">
        <v>599</v>
      </c>
    </row>
    <row r="1292" spans="1:13" ht="15">
      <c r="A1292" t="s">
        <v>3552</v>
      </c>
      <c r="B1292" s="1040" t="str">
        <f>CONCATENATE(LEFT(RIGHT(CONCATENATE("000",IFAData_TEA_1718!A1292),6),3),"-",(RIGHT(RIGHT(CONCATENATE("000",IFAData_TEA_1718!A1292),6),3)))</f>
        <v>108-905</v>
      </c>
      <c r="C1292" t="s">
        <v>2374</v>
      </c>
      <c r="D1292">
        <v>7</v>
      </c>
      <c r="E1292">
        <v>1885</v>
      </c>
      <c r="F1292" t="s">
        <v>4887</v>
      </c>
      <c r="G1292" t="s">
        <v>4887</v>
      </c>
      <c r="H1292">
        <v>198684</v>
      </c>
      <c r="I1292">
        <v>0</v>
      </c>
      <c r="J1292">
        <v>0</v>
      </c>
      <c r="K1292">
        <v>0</v>
      </c>
      <c r="L1292">
        <v>0</v>
      </c>
      <c r="M1292">
        <v>599</v>
      </c>
    </row>
    <row r="1293" spans="1:13" ht="15">
      <c r="A1293" t="s">
        <v>3552</v>
      </c>
      <c r="B1293" s="1040" t="str">
        <f>CONCATENATE(LEFT(RIGHT(CONCATENATE("000",IFAData_TEA_1718!A1293),6),3),"-",(RIGHT(RIGHT(CONCATENATE("000",IFAData_TEA_1718!A1293),6),3)))</f>
        <v>108-905</v>
      </c>
      <c r="C1293" t="s">
        <v>2374</v>
      </c>
      <c r="D1293">
        <v>7</v>
      </c>
      <c r="E1293">
        <v>1885</v>
      </c>
      <c r="F1293" t="s">
        <v>4887</v>
      </c>
      <c r="G1293" t="s">
        <v>4888</v>
      </c>
      <c r="H1293">
        <v>198684</v>
      </c>
      <c r="I1293">
        <v>256377</v>
      </c>
      <c r="J1293">
        <v>1</v>
      </c>
      <c r="K1293">
        <v>198684</v>
      </c>
      <c r="L1293">
        <v>198684</v>
      </c>
      <c r="M1293">
        <v>599</v>
      </c>
    </row>
    <row r="1294" spans="1:13" ht="15">
      <c r="A1294" t="s">
        <v>3552</v>
      </c>
      <c r="B1294" s="1040" t="str">
        <f>CONCATENATE(LEFT(RIGHT(CONCATENATE("000",IFAData_TEA_1718!A1294),6),3),"-",(RIGHT(RIGHT(CONCATENATE("000",IFAData_TEA_1718!A1294),6),3)))</f>
        <v>108-905</v>
      </c>
      <c r="C1294" t="s">
        <v>2374</v>
      </c>
      <c r="D1294">
        <v>7</v>
      </c>
      <c r="E1294">
        <v>1888</v>
      </c>
      <c r="F1294" t="s">
        <v>4889</v>
      </c>
      <c r="G1294" t="s">
        <v>4889</v>
      </c>
      <c r="H1294">
        <v>437778</v>
      </c>
      <c r="I1294">
        <v>0</v>
      </c>
      <c r="J1294">
        <v>0</v>
      </c>
      <c r="K1294">
        <v>0</v>
      </c>
      <c r="L1294">
        <v>0</v>
      </c>
      <c r="M1294">
        <v>599</v>
      </c>
    </row>
    <row r="1295" spans="1:13" ht="15">
      <c r="A1295" t="s">
        <v>3552</v>
      </c>
      <c r="B1295" s="1040" t="str">
        <f>CONCATENATE(LEFT(RIGHT(CONCATENATE("000",IFAData_TEA_1718!A1295),6),3),"-",(RIGHT(RIGHT(CONCATENATE("000",IFAData_TEA_1718!A1295),6),3)))</f>
        <v>108-905</v>
      </c>
      <c r="C1295" t="s">
        <v>2374</v>
      </c>
      <c r="D1295">
        <v>7</v>
      </c>
      <c r="E1295">
        <v>1888</v>
      </c>
      <c r="F1295" t="s">
        <v>4889</v>
      </c>
      <c r="G1295" t="s">
        <v>6265</v>
      </c>
      <c r="H1295">
        <v>437778</v>
      </c>
      <c r="I1295">
        <v>329900</v>
      </c>
      <c r="J1295">
        <v>1</v>
      </c>
      <c r="K1295">
        <v>437778</v>
      </c>
      <c r="L1295">
        <v>329900</v>
      </c>
      <c r="M1295">
        <v>599</v>
      </c>
    </row>
    <row r="1296" spans="1:13" ht="15">
      <c r="A1296" t="s">
        <v>3552</v>
      </c>
      <c r="B1296" s="1040" t="str">
        <f>CONCATENATE(LEFT(RIGHT(CONCATENATE("000",IFAData_TEA_1718!A1296),6),3),"-",(RIGHT(RIGHT(CONCATENATE("000",IFAData_TEA_1718!A1296),6),3)))</f>
        <v>108-905</v>
      </c>
      <c r="C1296" t="s">
        <v>2374</v>
      </c>
      <c r="D1296">
        <v>8</v>
      </c>
      <c r="E1296">
        <v>1891</v>
      </c>
      <c r="F1296" t="s">
        <v>4890</v>
      </c>
      <c r="G1296" t="s">
        <v>4890</v>
      </c>
      <c r="H1296">
        <v>750887</v>
      </c>
      <c r="I1296">
        <v>0</v>
      </c>
      <c r="J1296">
        <v>0</v>
      </c>
      <c r="K1296">
        <v>0</v>
      </c>
      <c r="L1296">
        <v>0</v>
      </c>
      <c r="M1296">
        <v>599</v>
      </c>
    </row>
    <row r="1297" spans="1:13" ht="15">
      <c r="A1297" t="s">
        <v>3552</v>
      </c>
      <c r="B1297" s="1040" t="str">
        <f>CONCATENATE(LEFT(RIGHT(CONCATENATE("000",IFAData_TEA_1718!A1297),6),3),"-",(RIGHT(RIGHT(CONCATENATE("000",IFAData_TEA_1718!A1297),6),3)))</f>
        <v>108-905</v>
      </c>
      <c r="C1297" t="s">
        <v>2374</v>
      </c>
      <c r="D1297">
        <v>8</v>
      </c>
      <c r="E1297">
        <v>1891</v>
      </c>
      <c r="F1297" t="s">
        <v>4890</v>
      </c>
      <c r="G1297" t="s">
        <v>6478</v>
      </c>
      <c r="H1297">
        <v>750887</v>
      </c>
      <c r="I1297">
        <v>408200</v>
      </c>
      <c r="J1297">
        <v>1</v>
      </c>
      <c r="K1297">
        <v>750887</v>
      </c>
      <c r="L1297">
        <v>408200</v>
      </c>
      <c r="M1297">
        <v>599</v>
      </c>
    </row>
    <row r="1298" spans="1:13" ht="15">
      <c r="A1298" t="s">
        <v>3552</v>
      </c>
      <c r="B1298" s="1040" t="str">
        <f>CONCATENATE(LEFT(RIGHT(CONCATENATE("000",IFAData_TEA_1718!A1298),6),3),"-",(RIGHT(RIGHT(CONCATENATE("000",IFAData_TEA_1718!A1298),6),3)))</f>
        <v>108-905</v>
      </c>
      <c r="C1298" t="s">
        <v>2374</v>
      </c>
      <c r="D1298">
        <v>9</v>
      </c>
      <c r="E1298">
        <v>1886</v>
      </c>
      <c r="F1298" t="s">
        <v>4891</v>
      </c>
      <c r="G1298" t="s">
        <v>4891</v>
      </c>
      <c r="H1298">
        <v>199228</v>
      </c>
      <c r="I1298">
        <v>0</v>
      </c>
      <c r="J1298">
        <v>0</v>
      </c>
      <c r="K1298">
        <v>0</v>
      </c>
      <c r="L1298">
        <v>0</v>
      </c>
      <c r="M1298">
        <v>599</v>
      </c>
    </row>
    <row r="1299" spans="1:13" ht="15">
      <c r="A1299" t="s">
        <v>3552</v>
      </c>
      <c r="B1299" s="1040" t="str">
        <f>CONCATENATE(LEFT(RIGHT(CONCATENATE("000",IFAData_TEA_1718!A1299),6),3),"-",(RIGHT(RIGHT(CONCATENATE("000",IFAData_TEA_1718!A1299),6),3)))</f>
        <v>108-905</v>
      </c>
      <c r="C1299" t="s">
        <v>2374</v>
      </c>
      <c r="D1299">
        <v>9</v>
      </c>
      <c r="E1299">
        <v>1886</v>
      </c>
      <c r="F1299" t="s">
        <v>4891</v>
      </c>
      <c r="G1299" t="s">
        <v>6477</v>
      </c>
      <c r="H1299">
        <v>199228</v>
      </c>
      <c r="I1299">
        <v>131950</v>
      </c>
      <c r="J1299">
        <v>1</v>
      </c>
      <c r="K1299">
        <v>199228</v>
      </c>
      <c r="L1299">
        <v>131950</v>
      </c>
      <c r="M1299">
        <v>599</v>
      </c>
    </row>
    <row r="1300" spans="1:13" ht="15">
      <c r="A1300" t="s">
        <v>3552</v>
      </c>
      <c r="B1300" s="1040" t="str">
        <f>CONCATENATE(LEFT(RIGHT(CONCATENATE("000",IFAData_TEA_1718!A1300),6),3),"-",(RIGHT(RIGHT(CONCATENATE("000",IFAData_TEA_1718!A1300),6),3)))</f>
        <v>108-905</v>
      </c>
      <c r="C1300" t="s">
        <v>2374</v>
      </c>
      <c r="D1300">
        <v>9</v>
      </c>
      <c r="E1300">
        <v>1887</v>
      </c>
      <c r="F1300" t="s">
        <v>4892</v>
      </c>
      <c r="G1300" t="s">
        <v>4892</v>
      </c>
      <c r="H1300">
        <v>342650</v>
      </c>
      <c r="I1300">
        <v>137447</v>
      </c>
      <c r="J1300">
        <v>0.48348822647934098</v>
      </c>
      <c r="K1300">
        <v>165667.24080314601</v>
      </c>
      <c r="L1300">
        <v>137447</v>
      </c>
      <c r="M1300">
        <v>599</v>
      </c>
    </row>
    <row r="1301" spans="1:13" ht="15">
      <c r="A1301" t="s">
        <v>3552</v>
      </c>
      <c r="B1301" s="1040" t="str">
        <f>CONCATENATE(LEFT(RIGHT(CONCATENATE("000",IFAData_TEA_1718!A1301),6),3),"-",(RIGHT(RIGHT(CONCATENATE("000",IFAData_TEA_1718!A1301),6),3)))</f>
        <v>108-905</v>
      </c>
      <c r="C1301" t="s">
        <v>2374</v>
      </c>
      <c r="D1301">
        <v>9</v>
      </c>
      <c r="E1301">
        <v>1887</v>
      </c>
      <c r="F1301" t="s">
        <v>4892</v>
      </c>
      <c r="G1301" t="s">
        <v>8409</v>
      </c>
      <c r="H1301">
        <v>342650</v>
      </c>
      <c r="I1301">
        <v>146835</v>
      </c>
      <c r="J1301">
        <v>0.51651177352065902</v>
      </c>
      <c r="K1301">
        <v>176982.75919685399</v>
      </c>
      <c r="L1301">
        <v>146835</v>
      </c>
      <c r="M1301">
        <v>599</v>
      </c>
    </row>
    <row r="1302" spans="1:13" ht="15">
      <c r="A1302" t="s">
        <v>3553</v>
      </c>
      <c r="B1302" s="1040" t="str">
        <f>CONCATENATE(LEFT(RIGHT(CONCATENATE("000",IFAData_TEA_1718!A1302),6),3),"-",(RIGHT(RIGHT(CONCATENATE("000",IFAData_TEA_1718!A1302),6),3)))</f>
        <v>108-906</v>
      </c>
      <c r="C1302" t="s">
        <v>817</v>
      </c>
      <c r="D1302">
        <v>2</v>
      </c>
      <c r="E1302">
        <v>2079</v>
      </c>
      <c r="F1302" t="s">
        <v>4893</v>
      </c>
      <c r="G1302" t="s">
        <v>4893</v>
      </c>
      <c r="H1302">
        <v>1567290</v>
      </c>
      <c r="I1302">
        <v>0</v>
      </c>
      <c r="J1302">
        <v>0</v>
      </c>
      <c r="K1302">
        <v>0</v>
      </c>
      <c r="L1302">
        <v>0</v>
      </c>
      <c r="M1302">
        <v>599</v>
      </c>
    </row>
    <row r="1303" spans="1:13" ht="15">
      <c r="A1303" t="s">
        <v>3553</v>
      </c>
      <c r="B1303" s="1040" t="str">
        <f>CONCATENATE(LEFT(RIGHT(CONCATENATE("000",IFAData_TEA_1718!A1303),6),3),"-",(RIGHT(RIGHT(CONCATENATE("000",IFAData_TEA_1718!A1303),6),3)))</f>
        <v>108-906</v>
      </c>
      <c r="C1303" t="s">
        <v>817</v>
      </c>
      <c r="D1303">
        <v>2</v>
      </c>
      <c r="E1303">
        <v>2079</v>
      </c>
      <c r="F1303" t="s">
        <v>4893</v>
      </c>
      <c r="G1303" t="s">
        <v>4894</v>
      </c>
      <c r="H1303">
        <v>1567290</v>
      </c>
      <c r="I1303">
        <v>0</v>
      </c>
      <c r="J1303">
        <v>0</v>
      </c>
      <c r="K1303">
        <v>0</v>
      </c>
      <c r="L1303">
        <v>0</v>
      </c>
      <c r="M1303">
        <v>599</v>
      </c>
    </row>
    <row r="1304" spans="1:13" ht="15">
      <c r="A1304" t="s">
        <v>3553</v>
      </c>
      <c r="B1304" s="1040" t="str">
        <f>CONCATENATE(LEFT(RIGHT(CONCATENATE("000",IFAData_TEA_1718!A1304),6),3),"-",(RIGHT(RIGHT(CONCATENATE("000",IFAData_TEA_1718!A1304),6),3)))</f>
        <v>108-906</v>
      </c>
      <c r="C1304" t="s">
        <v>817</v>
      </c>
      <c r="D1304">
        <v>2</v>
      </c>
      <c r="E1304">
        <v>2079</v>
      </c>
      <c r="F1304" t="s">
        <v>4893</v>
      </c>
      <c r="G1304" t="s">
        <v>4895</v>
      </c>
      <c r="H1304">
        <v>1567290</v>
      </c>
      <c r="I1304">
        <v>1621800</v>
      </c>
      <c r="J1304">
        <v>1</v>
      </c>
      <c r="K1304">
        <v>1567290</v>
      </c>
      <c r="L1304">
        <v>1567290</v>
      </c>
      <c r="M1304">
        <v>599</v>
      </c>
    </row>
    <row r="1305" spans="1:13" ht="15">
      <c r="A1305" t="s">
        <v>3553</v>
      </c>
      <c r="B1305" s="1040" t="str">
        <f>CONCATENATE(LEFT(RIGHT(CONCATENATE("000",IFAData_TEA_1718!A1305),6),3),"-",(RIGHT(RIGHT(CONCATENATE("000",IFAData_TEA_1718!A1305),6),3)))</f>
        <v>108-906</v>
      </c>
      <c r="C1305" t="s">
        <v>817</v>
      </c>
      <c r="D1305">
        <v>2</v>
      </c>
      <c r="E1305">
        <v>2079</v>
      </c>
      <c r="F1305" t="s">
        <v>4893</v>
      </c>
      <c r="G1305" t="s">
        <v>4896</v>
      </c>
      <c r="H1305">
        <v>1567290</v>
      </c>
      <c r="I1305">
        <v>0</v>
      </c>
      <c r="J1305">
        <v>0</v>
      </c>
      <c r="K1305">
        <v>0</v>
      </c>
      <c r="L1305">
        <v>0</v>
      </c>
      <c r="M1305">
        <v>599</v>
      </c>
    </row>
    <row r="1306" spans="1:13" ht="15">
      <c r="A1306" t="s">
        <v>3553</v>
      </c>
      <c r="B1306" s="1040" t="str">
        <f>CONCATENATE(LEFT(RIGHT(CONCATENATE("000",IFAData_TEA_1718!A1306),6),3),"-",(RIGHT(RIGHT(CONCATENATE("000",IFAData_TEA_1718!A1306),6),3)))</f>
        <v>108-906</v>
      </c>
      <c r="C1306" t="s">
        <v>817</v>
      </c>
      <c r="D1306">
        <v>2</v>
      </c>
      <c r="E1306">
        <v>2079</v>
      </c>
      <c r="F1306" t="s">
        <v>4893</v>
      </c>
      <c r="G1306" t="s">
        <v>4897</v>
      </c>
      <c r="H1306">
        <v>1567290</v>
      </c>
      <c r="I1306">
        <v>0</v>
      </c>
      <c r="J1306">
        <v>0</v>
      </c>
      <c r="K1306">
        <v>0</v>
      </c>
      <c r="L1306">
        <v>0</v>
      </c>
      <c r="M1306">
        <v>599</v>
      </c>
    </row>
    <row r="1307" spans="1:13" ht="15">
      <c r="A1307" t="s">
        <v>3554</v>
      </c>
      <c r="B1307" s="1040" t="str">
        <f>CONCATENATE(LEFT(RIGHT(CONCATENATE("000",IFAData_TEA_1718!A1307),6),3),"-",(RIGHT(RIGHT(CONCATENATE("000",IFAData_TEA_1718!A1307),6),3)))</f>
        <v>108-907</v>
      </c>
      <c r="C1307" t="s">
        <v>2234</v>
      </c>
      <c r="D1307">
        <v>2</v>
      </c>
      <c r="E1307">
        <v>2092</v>
      </c>
      <c r="F1307" t="s">
        <v>4898</v>
      </c>
      <c r="G1307" t="s">
        <v>4898</v>
      </c>
      <c r="H1307">
        <v>1136573</v>
      </c>
      <c r="I1307">
        <v>0</v>
      </c>
      <c r="J1307">
        <v>0</v>
      </c>
      <c r="K1307">
        <v>0</v>
      </c>
      <c r="L1307">
        <v>0</v>
      </c>
      <c r="M1307">
        <v>599</v>
      </c>
    </row>
    <row r="1308" spans="1:13" ht="15">
      <c r="A1308" t="s">
        <v>3554</v>
      </c>
      <c r="B1308" s="1040" t="str">
        <f>CONCATENATE(LEFT(RIGHT(CONCATENATE("000",IFAData_TEA_1718!A1308),6),3),"-",(RIGHT(RIGHT(CONCATENATE("000",IFAData_TEA_1718!A1308),6),3)))</f>
        <v>108-907</v>
      </c>
      <c r="C1308" t="s">
        <v>2234</v>
      </c>
      <c r="D1308">
        <v>2</v>
      </c>
      <c r="E1308">
        <v>2092</v>
      </c>
      <c r="F1308" t="s">
        <v>4898</v>
      </c>
      <c r="G1308" t="s">
        <v>4899</v>
      </c>
      <c r="H1308">
        <v>1136573</v>
      </c>
      <c r="I1308">
        <v>0</v>
      </c>
      <c r="J1308">
        <v>0</v>
      </c>
      <c r="K1308">
        <v>0</v>
      </c>
      <c r="L1308">
        <v>0</v>
      </c>
      <c r="M1308">
        <v>599</v>
      </c>
    </row>
    <row r="1309" spans="1:13" ht="15">
      <c r="A1309" t="s">
        <v>3554</v>
      </c>
      <c r="B1309" s="1040" t="str">
        <f>CONCATENATE(LEFT(RIGHT(CONCATENATE("000",IFAData_TEA_1718!A1309),6),3),"-",(RIGHT(RIGHT(CONCATENATE("000",IFAData_TEA_1718!A1309),6),3)))</f>
        <v>108-907</v>
      </c>
      <c r="C1309" t="s">
        <v>2234</v>
      </c>
      <c r="D1309">
        <v>2</v>
      </c>
      <c r="E1309">
        <v>2092</v>
      </c>
      <c r="F1309" t="s">
        <v>4898</v>
      </c>
      <c r="G1309" t="s">
        <v>6266</v>
      </c>
      <c r="H1309">
        <v>1136573</v>
      </c>
      <c r="I1309">
        <v>1003266</v>
      </c>
      <c r="J1309">
        <v>1</v>
      </c>
      <c r="K1309">
        <v>1136573</v>
      </c>
      <c r="L1309">
        <v>1003266</v>
      </c>
      <c r="M1309">
        <v>599</v>
      </c>
    </row>
    <row r="1310" spans="1:13" ht="15">
      <c r="A1310" t="s">
        <v>3554</v>
      </c>
      <c r="B1310" s="1040" t="str">
        <f>CONCATENATE(LEFT(RIGHT(CONCATENATE("000",IFAData_TEA_1718!A1310),6),3),"-",(RIGHT(RIGHT(CONCATENATE("000",IFAData_TEA_1718!A1310),6),3)))</f>
        <v>108-907</v>
      </c>
      <c r="C1310" t="s">
        <v>2234</v>
      </c>
      <c r="D1310">
        <v>4</v>
      </c>
      <c r="E1310">
        <v>2093</v>
      </c>
      <c r="F1310" t="s">
        <v>4900</v>
      </c>
      <c r="G1310" t="s">
        <v>4900</v>
      </c>
      <c r="H1310">
        <v>1178123</v>
      </c>
      <c r="I1310">
        <v>0</v>
      </c>
      <c r="J1310">
        <v>0</v>
      </c>
      <c r="K1310">
        <v>0</v>
      </c>
      <c r="L1310">
        <v>0</v>
      </c>
      <c r="M1310">
        <v>599</v>
      </c>
    </row>
    <row r="1311" spans="1:13" ht="15">
      <c r="A1311" t="s">
        <v>3554</v>
      </c>
      <c r="B1311" s="1040" t="str">
        <f>CONCATENATE(LEFT(RIGHT(CONCATENATE("000",IFAData_TEA_1718!A1311),6),3),"-",(RIGHT(RIGHT(CONCATENATE("000",IFAData_TEA_1718!A1311),6),3)))</f>
        <v>108-907</v>
      </c>
      <c r="C1311" t="s">
        <v>2234</v>
      </c>
      <c r="D1311">
        <v>4</v>
      </c>
      <c r="E1311">
        <v>2093</v>
      </c>
      <c r="F1311" t="s">
        <v>4900</v>
      </c>
      <c r="G1311" t="s">
        <v>4899</v>
      </c>
      <c r="H1311">
        <v>1178123</v>
      </c>
      <c r="I1311">
        <v>0</v>
      </c>
      <c r="J1311">
        <v>0</v>
      </c>
      <c r="K1311">
        <v>0</v>
      </c>
      <c r="L1311">
        <v>0</v>
      </c>
      <c r="M1311">
        <v>599</v>
      </c>
    </row>
    <row r="1312" spans="1:13" ht="15">
      <c r="A1312" t="s">
        <v>3554</v>
      </c>
      <c r="B1312" s="1040" t="str">
        <f>CONCATENATE(LEFT(RIGHT(CONCATENATE("000",IFAData_TEA_1718!A1312),6),3),"-",(RIGHT(RIGHT(CONCATENATE("000",IFAData_TEA_1718!A1312),6),3)))</f>
        <v>108-907</v>
      </c>
      <c r="C1312" t="s">
        <v>2234</v>
      </c>
      <c r="D1312">
        <v>4</v>
      </c>
      <c r="E1312">
        <v>2093</v>
      </c>
      <c r="F1312" t="s">
        <v>4900</v>
      </c>
      <c r="G1312" t="s">
        <v>6266</v>
      </c>
      <c r="H1312">
        <v>1178123</v>
      </c>
      <c r="I1312">
        <v>1071795</v>
      </c>
      <c r="J1312">
        <v>1</v>
      </c>
      <c r="K1312">
        <v>1178123</v>
      </c>
      <c r="L1312">
        <v>1071795</v>
      </c>
      <c r="M1312">
        <v>599</v>
      </c>
    </row>
    <row r="1313" spans="1:13" ht="15">
      <c r="A1313" t="s">
        <v>3554</v>
      </c>
      <c r="B1313" s="1040" t="str">
        <f>CONCATENATE(LEFT(RIGHT(CONCATENATE("000",IFAData_TEA_1718!A1313),6),3),"-",(RIGHT(RIGHT(CONCATENATE("000",IFAData_TEA_1718!A1313),6),3)))</f>
        <v>108-907</v>
      </c>
      <c r="C1313" t="s">
        <v>2234</v>
      </c>
      <c r="D1313">
        <v>6</v>
      </c>
      <c r="E1313">
        <v>2091</v>
      </c>
      <c r="F1313" t="s">
        <v>4901</v>
      </c>
      <c r="G1313" t="s">
        <v>4901</v>
      </c>
      <c r="H1313">
        <v>668147</v>
      </c>
      <c r="I1313">
        <v>0</v>
      </c>
      <c r="J1313">
        <v>0</v>
      </c>
      <c r="K1313">
        <v>0</v>
      </c>
      <c r="L1313">
        <v>0</v>
      </c>
      <c r="M1313">
        <v>599</v>
      </c>
    </row>
    <row r="1314" spans="1:13" ht="15">
      <c r="A1314" t="s">
        <v>3554</v>
      </c>
      <c r="B1314" s="1040" t="str">
        <f>CONCATENATE(LEFT(RIGHT(CONCATENATE("000",IFAData_TEA_1718!A1314),6),3),"-",(RIGHT(RIGHT(CONCATENATE("000",IFAData_TEA_1718!A1314),6),3)))</f>
        <v>108-907</v>
      </c>
      <c r="C1314" t="s">
        <v>2234</v>
      </c>
      <c r="D1314">
        <v>6</v>
      </c>
      <c r="E1314">
        <v>2091</v>
      </c>
      <c r="F1314" t="s">
        <v>4901</v>
      </c>
      <c r="G1314" t="s">
        <v>4902</v>
      </c>
      <c r="H1314">
        <v>668147</v>
      </c>
      <c r="I1314">
        <v>641078</v>
      </c>
      <c r="J1314">
        <v>1</v>
      </c>
      <c r="K1314">
        <v>668147</v>
      </c>
      <c r="L1314">
        <v>641078</v>
      </c>
      <c r="M1314">
        <v>599</v>
      </c>
    </row>
    <row r="1315" spans="1:13" ht="15">
      <c r="A1315" t="s">
        <v>3554</v>
      </c>
      <c r="B1315" s="1040" t="str">
        <f>CONCATENATE(LEFT(RIGHT(CONCATENATE("000",IFAData_TEA_1718!A1315),6),3),"-",(RIGHT(RIGHT(CONCATENATE("000",IFAData_TEA_1718!A1315),6),3)))</f>
        <v>108-907</v>
      </c>
      <c r="C1315" t="s">
        <v>2234</v>
      </c>
      <c r="D1315">
        <v>7</v>
      </c>
      <c r="E1315">
        <v>2094</v>
      </c>
      <c r="F1315" t="s">
        <v>4903</v>
      </c>
      <c r="G1315" t="s">
        <v>4903</v>
      </c>
      <c r="H1315">
        <v>1254960</v>
      </c>
      <c r="I1315">
        <v>0</v>
      </c>
      <c r="J1315">
        <v>0</v>
      </c>
      <c r="K1315">
        <v>0</v>
      </c>
      <c r="L1315">
        <v>0</v>
      </c>
      <c r="M1315">
        <v>599</v>
      </c>
    </row>
    <row r="1316" spans="1:13" ht="15">
      <c r="A1316" t="s">
        <v>3554</v>
      </c>
      <c r="B1316" s="1040" t="str">
        <f>CONCATENATE(LEFT(RIGHT(CONCATENATE("000",IFAData_TEA_1718!A1316),6),3),"-",(RIGHT(RIGHT(CONCATENATE("000",IFAData_TEA_1718!A1316),6),3)))</f>
        <v>108-907</v>
      </c>
      <c r="C1316" t="s">
        <v>2234</v>
      </c>
      <c r="D1316">
        <v>7</v>
      </c>
      <c r="E1316">
        <v>2094</v>
      </c>
      <c r="F1316" t="s">
        <v>4903</v>
      </c>
      <c r="G1316" t="s">
        <v>4904</v>
      </c>
      <c r="H1316">
        <v>1254960</v>
      </c>
      <c r="I1316">
        <v>566994</v>
      </c>
      <c r="J1316">
        <v>1</v>
      </c>
      <c r="K1316">
        <v>1254960</v>
      </c>
      <c r="L1316">
        <v>566994</v>
      </c>
      <c r="M1316">
        <v>599</v>
      </c>
    </row>
    <row r="1317" spans="1:13" ht="15">
      <c r="A1317" t="s">
        <v>3554</v>
      </c>
      <c r="B1317" s="1040" t="str">
        <f>CONCATENATE(LEFT(RIGHT(CONCATENATE("000",IFAData_TEA_1718!A1317),6),3),"-",(RIGHT(RIGHT(CONCATENATE("000",IFAData_TEA_1718!A1317),6),3)))</f>
        <v>108-907</v>
      </c>
      <c r="C1317" t="s">
        <v>2234</v>
      </c>
      <c r="D1317">
        <v>8</v>
      </c>
      <c r="E1317">
        <v>2090</v>
      </c>
      <c r="F1317" t="s">
        <v>4905</v>
      </c>
      <c r="G1317" t="s">
        <v>4905</v>
      </c>
      <c r="H1317">
        <v>547625</v>
      </c>
      <c r="I1317">
        <v>162000</v>
      </c>
      <c r="J1317">
        <v>0.243463310680224</v>
      </c>
      <c r="K1317">
        <v>133326.595511258</v>
      </c>
      <c r="L1317">
        <v>133326.595511258</v>
      </c>
      <c r="M1317">
        <v>599</v>
      </c>
    </row>
    <row r="1318" spans="1:13" ht="15">
      <c r="A1318" t="s">
        <v>3554</v>
      </c>
      <c r="B1318" s="1040" t="str">
        <f>CONCATENATE(LEFT(RIGHT(CONCATENATE("000",IFAData_TEA_1718!A1318),6),3),"-",(RIGHT(RIGHT(CONCATENATE("000",IFAData_TEA_1718!A1318),6),3)))</f>
        <v>108-907</v>
      </c>
      <c r="C1318" t="s">
        <v>2234</v>
      </c>
      <c r="D1318">
        <v>8</v>
      </c>
      <c r="E1318">
        <v>2090</v>
      </c>
      <c r="F1318" t="s">
        <v>4905</v>
      </c>
      <c r="G1318" t="s">
        <v>6266</v>
      </c>
      <c r="H1318">
        <v>547625</v>
      </c>
      <c r="I1318">
        <v>359398</v>
      </c>
      <c r="J1318">
        <v>0.54012485760401996</v>
      </c>
      <c r="K1318">
        <v>295785.87514540198</v>
      </c>
      <c r="L1318">
        <v>295785.87514540198</v>
      </c>
      <c r="M1318">
        <v>599</v>
      </c>
    </row>
    <row r="1319" spans="1:13" ht="15">
      <c r="A1319" t="s">
        <v>3554</v>
      </c>
      <c r="B1319" s="1040" t="str">
        <f>CONCATENATE(LEFT(RIGHT(CONCATENATE("000",IFAData_TEA_1718!A1319),6),3),"-",(RIGHT(RIGHT(CONCATENATE("000",IFAData_TEA_1718!A1319),6),3)))</f>
        <v>108-907</v>
      </c>
      <c r="C1319" t="s">
        <v>2234</v>
      </c>
      <c r="D1319">
        <v>8</v>
      </c>
      <c r="E1319">
        <v>2090</v>
      </c>
      <c r="F1319" t="s">
        <v>4905</v>
      </c>
      <c r="G1319" t="s">
        <v>8410</v>
      </c>
      <c r="H1319">
        <v>547625</v>
      </c>
      <c r="I1319">
        <v>144000</v>
      </c>
      <c r="J1319">
        <v>0.21641183171575501</v>
      </c>
      <c r="K1319">
        <v>118512.52934333999</v>
      </c>
      <c r="L1319">
        <v>118512.52934333999</v>
      </c>
      <c r="M1319">
        <v>599</v>
      </c>
    </row>
    <row r="1320" spans="1:13" ht="15">
      <c r="A1320" t="s">
        <v>3554</v>
      </c>
      <c r="B1320" s="1040" t="str">
        <f>CONCATENATE(LEFT(RIGHT(CONCATENATE("000",IFAData_TEA_1718!A1320),6),3),"-",(RIGHT(RIGHT(CONCATENATE("000",IFAData_TEA_1718!A1320),6),3)))</f>
        <v>108-907</v>
      </c>
      <c r="C1320" t="s">
        <v>2234</v>
      </c>
      <c r="D1320">
        <v>11</v>
      </c>
      <c r="E1320">
        <v>2554</v>
      </c>
      <c r="F1320" t="s">
        <v>6266</v>
      </c>
      <c r="G1320" t="s">
        <v>6266</v>
      </c>
      <c r="H1320">
        <v>1317586</v>
      </c>
      <c r="I1320">
        <v>401010</v>
      </c>
      <c r="J1320">
        <v>1</v>
      </c>
      <c r="K1320">
        <v>1317586</v>
      </c>
      <c r="L1320">
        <v>401010</v>
      </c>
      <c r="M1320">
        <v>599</v>
      </c>
    </row>
    <row r="1321" spans="1:13" ht="15">
      <c r="A1321" t="s">
        <v>3555</v>
      </c>
      <c r="B1321" s="1040" t="str">
        <f>CONCATENATE(LEFT(RIGHT(CONCATENATE("000",IFAData_TEA_1718!A1321),6),3),"-",(RIGHT(RIGHT(CONCATENATE("000",IFAData_TEA_1718!A1321),6),3)))</f>
        <v>108-908</v>
      </c>
      <c r="C1321" t="s">
        <v>38</v>
      </c>
      <c r="D1321">
        <v>2</v>
      </c>
      <c r="E1321">
        <v>2112</v>
      </c>
      <c r="F1321" t="s">
        <v>4906</v>
      </c>
      <c r="G1321" t="s">
        <v>4906</v>
      </c>
      <c r="H1321">
        <v>2844700</v>
      </c>
      <c r="I1321">
        <v>0</v>
      </c>
      <c r="J1321">
        <v>0</v>
      </c>
      <c r="K1321">
        <v>0</v>
      </c>
      <c r="L1321">
        <v>0</v>
      </c>
      <c r="M1321">
        <v>599</v>
      </c>
    </row>
    <row r="1322" spans="1:13" ht="15">
      <c r="A1322" t="s">
        <v>3555</v>
      </c>
      <c r="B1322" s="1040" t="str">
        <f>CONCATENATE(LEFT(RIGHT(CONCATENATE("000",IFAData_TEA_1718!A1322),6),3),"-",(RIGHT(RIGHT(CONCATENATE("000",IFAData_TEA_1718!A1322),6),3)))</f>
        <v>108-908</v>
      </c>
      <c r="C1322" t="s">
        <v>38</v>
      </c>
      <c r="D1322">
        <v>2</v>
      </c>
      <c r="E1322">
        <v>2112</v>
      </c>
      <c r="F1322" t="s">
        <v>4906</v>
      </c>
      <c r="G1322" t="s">
        <v>4907</v>
      </c>
      <c r="H1322">
        <v>2844700</v>
      </c>
      <c r="I1322">
        <v>0</v>
      </c>
      <c r="J1322">
        <v>0</v>
      </c>
      <c r="K1322">
        <v>0</v>
      </c>
      <c r="L1322">
        <v>0</v>
      </c>
      <c r="M1322">
        <v>599</v>
      </c>
    </row>
    <row r="1323" spans="1:13" ht="15">
      <c r="A1323" t="s">
        <v>3555</v>
      </c>
      <c r="B1323" s="1040" t="str">
        <f>CONCATENATE(LEFT(RIGHT(CONCATENATE("000",IFAData_TEA_1718!A1323),6),3),"-",(RIGHT(RIGHT(CONCATENATE("000",IFAData_TEA_1718!A1323),6),3)))</f>
        <v>108-908</v>
      </c>
      <c r="C1323" t="s">
        <v>38</v>
      </c>
      <c r="D1323">
        <v>2</v>
      </c>
      <c r="E1323">
        <v>2112</v>
      </c>
      <c r="F1323" t="s">
        <v>4906</v>
      </c>
      <c r="G1323" t="s">
        <v>4908</v>
      </c>
      <c r="H1323">
        <v>2844700</v>
      </c>
      <c r="I1323">
        <v>2742163</v>
      </c>
      <c r="J1323">
        <v>1</v>
      </c>
      <c r="K1323">
        <v>2844700</v>
      </c>
      <c r="L1323">
        <v>2742163</v>
      </c>
      <c r="M1323">
        <v>599</v>
      </c>
    </row>
    <row r="1324" spans="1:13" ht="15">
      <c r="A1324" t="s">
        <v>3555</v>
      </c>
      <c r="B1324" s="1040" t="str">
        <f>CONCATENATE(LEFT(RIGHT(CONCATENATE("000",IFAData_TEA_1718!A1324),6),3),"-",(RIGHT(RIGHT(CONCATENATE("000",IFAData_TEA_1718!A1324),6),3)))</f>
        <v>108-908</v>
      </c>
      <c r="C1324" t="s">
        <v>38</v>
      </c>
      <c r="D1324">
        <v>2</v>
      </c>
      <c r="E1324">
        <v>2112</v>
      </c>
      <c r="F1324" t="s">
        <v>4906</v>
      </c>
      <c r="G1324" t="s">
        <v>6267</v>
      </c>
      <c r="H1324">
        <v>2844700</v>
      </c>
      <c r="I1324">
        <v>0</v>
      </c>
      <c r="J1324">
        <v>0</v>
      </c>
      <c r="K1324">
        <v>0</v>
      </c>
      <c r="L1324">
        <v>0</v>
      </c>
      <c r="M1324">
        <v>599</v>
      </c>
    </row>
    <row r="1325" spans="1:13" ht="15">
      <c r="A1325" t="s">
        <v>3555</v>
      </c>
      <c r="B1325" s="1040" t="str">
        <f>CONCATENATE(LEFT(RIGHT(CONCATENATE("000",IFAData_TEA_1718!A1325),6),3),"-",(RIGHT(RIGHT(CONCATENATE("000",IFAData_TEA_1718!A1325),6),3)))</f>
        <v>108-908</v>
      </c>
      <c r="C1325" t="s">
        <v>38</v>
      </c>
      <c r="D1325">
        <v>4</v>
      </c>
      <c r="E1325">
        <v>2111</v>
      </c>
      <c r="F1325" t="s">
        <v>4909</v>
      </c>
      <c r="G1325" t="s">
        <v>4909</v>
      </c>
      <c r="H1325">
        <v>2592893</v>
      </c>
      <c r="I1325">
        <v>0</v>
      </c>
      <c r="J1325">
        <v>0</v>
      </c>
      <c r="K1325">
        <v>0</v>
      </c>
      <c r="L1325">
        <v>0</v>
      </c>
      <c r="M1325">
        <v>599</v>
      </c>
    </row>
    <row r="1326" spans="1:13" ht="15">
      <c r="A1326" t="s">
        <v>3555</v>
      </c>
      <c r="B1326" s="1040" t="str">
        <f>CONCATENATE(LEFT(RIGHT(CONCATENATE("000",IFAData_TEA_1718!A1326),6),3),"-",(RIGHT(RIGHT(CONCATENATE("000",IFAData_TEA_1718!A1326),6),3)))</f>
        <v>108-908</v>
      </c>
      <c r="C1326" t="s">
        <v>38</v>
      </c>
      <c r="D1326">
        <v>4</v>
      </c>
      <c r="E1326">
        <v>2111</v>
      </c>
      <c r="F1326" t="s">
        <v>4909</v>
      </c>
      <c r="G1326" t="s">
        <v>4907</v>
      </c>
      <c r="H1326">
        <v>2592893</v>
      </c>
      <c r="I1326">
        <v>0</v>
      </c>
      <c r="J1326">
        <v>0</v>
      </c>
      <c r="K1326">
        <v>0</v>
      </c>
      <c r="L1326">
        <v>0</v>
      </c>
      <c r="M1326">
        <v>599</v>
      </c>
    </row>
    <row r="1327" spans="1:13" ht="15">
      <c r="A1327" t="s">
        <v>3555</v>
      </c>
      <c r="B1327" s="1040" t="str">
        <f>CONCATENATE(LEFT(RIGHT(CONCATENATE("000",IFAData_TEA_1718!A1327),6),3),"-",(RIGHT(RIGHT(CONCATENATE("000",IFAData_TEA_1718!A1327),6),3)))</f>
        <v>108-908</v>
      </c>
      <c r="C1327" t="s">
        <v>38</v>
      </c>
      <c r="D1327">
        <v>4</v>
      </c>
      <c r="E1327">
        <v>2111</v>
      </c>
      <c r="F1327" t="s">
        <v>4909</v>
      </c>
      <c r="G1327" t="s">
        <v>6267</v>
      </c>
      <c r="H1327">
        <v>2592893</v>
      </c>
      <c r="I1327">
        <v>1018050</v>
      </c>
      <c r="J1327">
        <v>1</v>
      </c>
      <c r="K1327">
        <v>2592893</v>
      </c>
      <c r="L1327">
        <v>1018050</v>
      </c>
      <c r="M1327">
        <v>599</v>
      </c>
    </row>
    <row r="1328" spans="1:13" ht="15">
      <c r="A1328" t="s">
        <v>3555</v>
      </c>
      <c r="B1328" s="1040" t="str">
        <f>CONCATENATE(LEFT(RIGHT(CONCATENATE("000",IFAData_TEA_1718!A1328),6),3),"-",(RIGHT(RIGHT(CONCATENATE("000",IFAData_TEA_1718!A1328),6),3)))</f>
        <v>108-908</v>
      </c>
      <c r="C1328" t="s">
        <v>38</v>
      </c>
      <c r="D1328">
        <v>8</v>
      </c>
      <c r="E1328">
        <v>2113</v>
      </c>
      <c r="F1328" t="s">
        <v>4910</v>
      </c>
      <c r="G1328" t="s">
        <v>4910</v>
      </c>
      <c r="H1328">
        <v>3559524</v>
      </c>
      <c r="I1328">
        <v>0</v>
      </c>
      <c r="J1328">
        <v>0</v>
      </c>
      <c r="K1328">
        <v>0</v>
      </c>
      <c r="L1328">
        <v>0</v>
      </c>
      <c r="M1328">
        <v>599</v>
      </c>
    </row>
    <row r="1329" spans="1:13" ht="15">
      <c r="A1329" t="s">
        <v>3555</v>
      </c>
      <c r="B1329" s="1040" t="str">
        <f>CONCATENATE(LEFT(RIGHT(CONCATENATE("000",IFAData_TEA_1718!A1329),6),3),"-",(RIGHT(RIGHT(CONCATENATE("000",IFAData_TEA_1718!A1329),6),3)))</f>
        <v>108-908</v>
      </c>
      <c r="C1329" t="s">
        <v>38</v>
      </c>
      <c r="D1329">
        <v>8</v>
      </c>
      <c r="E1329">
        <v>2113</v>
      </c>
      <c r="F1329" t="s">
        <v>4910</v>
      </c>
      <c r="G1329" t="s">
        <v>6268</v>
      </c>
      <c r="H1329">
        <v>3559524</v>
      </c>
      <c r="I1329">
        <v>1925300</v>
      </c>
      <c r="J1329">
        <v>1</v>
      </c>
      <c r="K1329">
        <v>3559524</v>
      </c>
      <c r="L1329">
        <v>1925300</v>
      </c>
      <c r="M1329">
        <v>599</v>
      </c>
    </row>
    <row r="1330" spans="1:13" ht="15">
      <c r="A1330" t="s">
        <v>3555</v>
      </c>
      <c r="B1330" s="1040" t="str">
        <f>CONCATENATE(LEFT(RIGHT(CONCATENATE("000",IFAData_TEA_1718!A1330),6),3),"-",(RIGHT(RIGHT(CONCATENATE("000",IFAData_TEA_1718!A1330),6),3)))</f>
        <v>108-908</v>
      </c>
      <c r="C1330" t="s">
        <v>38</v>
      </c>
      <c r="D1330">
        <v>9</v>
      </c>
      <c r="E1330">
        <v>2114</v>
      </c>
      <c r="F1330" t="s">
        <v>4911</v>
      </c>
      <c r="G1330" t="s">
        <v>4911</v>
      </c>
      <c r="H1330">
        <v>3776225</v>
      </c>
      <c r="I1330">
        <v>1395712</v>
      </c>
      <c r="J1330">
        <v>0.43738933740644798</v>
      </c>
      <c r="K1330">
        <v>1651680.5506476599</v>
      </c>
      <c r="L1330">
        <v>1395712</v>
      </c>
      <c r="M1330">
        <v>599</v>
      </c>
    </row>
    <row r="1331" spans="1:13" ht="15">
      <c r="A1331" t="s">
        <v>3555</v>
      </c>
      <c r="B1331" s="1040" t="str">
        <f>CONCATENATE(LEFT(RIGHT(CONCATENATE("000",IFAData_TEA_1718!A1331),6),3),"-",(RIGHT(RIGHT(CONCATENATE("000",IFAData_TEA_1718!A1331),6),3)))</f>
        <v>108-908</v>
      </c>
      <c r="C1331" t="s">
        <v>38</v>
      </c>
      <c r="D1331">
        <v>9</v>
      </c>
      <c r="E1331">
        <v>2114</v>
      </c>
      <c r="F1331" t="s">
        <v>4911</v>
      </c>
      <c r="G1331" t="s">
        <v>8411</v>
      </c>
      <c r="H1331">
        <v>3776225</v>
      </c>
      <c r="I1331">
        <v>1795294</v>
      </c>
      <c r="J1331">
        <v>0.56261066259355197</v>
      </c>
      <c r="K1331">
        <v>2124544.4493523398</v>
      </c>
      <c r="L1331">
        <v>1795294</v>
      </c>
      <c r="M1331">
        <v>599</v>
      </c>
    </row>
    <row r="1332" spans="1:13" ht="15">
      <c r="A1332" t="s">
        <v>3556</v>
      </c>
      <c r="B1332" s="1040" t="str">
        <f>CONCATENATE(LEFT(RIGHT(CONCATENATE("000",IFAData_TEA_1718!A1332),6),3),"-",(RIGHT(RIGHT(CONCATENATE("000",IFAData_TEA_1718!A1332),6),3)))</f>
        <v>108-909</v>
      </c>
      <c r="C1332" t="s">
        <v>999</v>
      </c>
      <c r="D1332">
        <v>1</v>
      </c>
      <c r="E1332">
        <v>2192</v>
      </c>
      <c r="F1332" t="s">
        <v>4912</v>
      </c>
      <c r="G1332" t="s">
        <v>4912</v>
      </c>
      <c r="H1332">
        <v>3945431</v>
      </c>
      <c r="I1332">
        <v>0</v>
      </c>
      <c r="J1332">
        <v>0</v>
      </c>
      <c r="K1332"/>
      <c r="L1332">
        <v>0</v>
      </c>
      <c r="M1332">
        <v>599</v>
      </c>
    </row>
    <row r="1333" spans="1:13" ht="15">
      <c r="A1333" t="s">
        <v>3556</v>
      </c>
      <c r="B1333" s="1040" t="str">
        <f>CONCATENATE(LEFT(RIGHT(CONCATENATE("000",IFAData_TEA_1718!A1333),6),3),"-",(RIGHT(RIGHT(CONCATENATE("000",IFAData_TEA_1718!A1333),6),3)))</f>
        <v>108-909</v>
      </c>
      <c r="C1333" t="s">
        <v>999</v>
      </c>
      <c r="D1333">
        <v>4</v>
      </c>
      <c r="E1333">
        <v>2193</v>
      </c>
      <c r="F1333" t="s">
        <v>4915</v>
      </c>
      <c r="G1333" t="s">
        <v>4915</v>
      </c>
      <c r="H1333">
        <v>4254043</v>
      </c>
      <c r="I1333">
        <v>0</v>
      </c>
      <c r="J1333">
        <v>0</v>
      </c>
      <c r="K1333">
        <v>0</v>
      </c>
      <c r="L1333">
        <v>0</v>
      </c>
      <c r="M1333">
        <v>599</v>
      </c>
    </row>
    <row r="1334" spans="1:13" ht="15">
      <c r="A1334" t="s">
        <v>3556</v>
      </c>
      <c r="B1334" s="1040" t="str">
        <f>CONCATENATE(LEFT(RIGHT(CONCATENATE("000",IFAData_TEA_1718!A1334),6),3),"-",(RIGHT(RIGHT(CONCATENATE("000",IFAData_TEA_1718!A1334),6),3)))</f>
        <v>108-909</v>
      </c>
      <c r="C1334" t="s">
        <v>999</v>
      </c>
      <c r="D1334">
        <v>4</v>
      </c>
      <c r="E1334">
        <v>2193</v>
      </c>
      <c r="F1334" t="s">
        <v>4915</v>
      </c>
      <c r="G1334" t="s">
        <v>4913</v>
      </c>
      <c r="H1334">
        <v>4254043</v>
      </c>
      <c r="I1334">
        <v>0</v>
      </c>
      <c r="J1334">
        <v>0</v>
      </c>
      <c r="K1334">
        <v>0</v>
      </c>
      <c r="L1334">
        <v>0</v>
      </c>
      <c r="M1334">
        <v>599</v>
      </c>
    </row>
    <row r="1335" spans="1:13" ht="15">
      <c r="A1335" t="s">
        <v>3556</v>
      </c>
      <c r="B1335" s="1040" t="str">
        <f>CONCATENATE(LEFT(RIGHT(CONCATENATE("000",IFAData_TEA_1718!A1335),6),3),"-",(RIGHT(RIGHT(CONCATENATE("000",IFAData_TEA_1718!A1335),6),3)))</f>
        <v>108-909</v>
      </c>
      <c r="C1335" t="s">
        <v>999</v>
      </c>
      <c r="D1335">
        <v>4</v>
      </c>
      <c r="E1335">
        <v>2193</v>
      </c>
      <c r="F1335" t="s">
        <v>4915</v>
      </c>
      <c r="G1335" t="s">
        <v>4914</v>
      </c>
      <c r="H1335">
        <v>4254043</v>
      </c>
      <c r="I1335">
        <v>1709040</v>
      </c>
      <c r="J1335">
        <v>0.48300492687408703</v>
      </c>
      <c r="K1335">
        <v>2054723.72813422</v>
      </c>
      <c r="L1335">
        <v>1709040</v>
      </c>
      <c r="M1335">
        <v>599</v>
      </c>
    </row>
    <row r="1336" spans="1:13" ht="15">
      <c r="A1336" t="s">
        <v>3556</v>
      </c>
      <c r="B1336" s="1040" t="str">
        <f>CONCATENATE(LEFT(RIGHT(CONCATENATE("000",IFAData_TEA_1718!A1336),6),3),"-",(RIGHT(RIGHT(CONCATENATE("000",IFAData_TEA_1718!A1336),6),3)))</f>
        <v>108-909</v>
      </c>
      <c r="C1336" t="s">
        <v>999</v>
      </c>
      <c r="D1336">
        <v>4</v>
      </c>
      <c r="E1336">
        <v>2193</v>
      </c>
      <c r="F1336" t="s">
        <v>4915</v>
      </c>
      <c r="G1336" t="s">
        <v>6269</v>
      </c>
      <c r="H1336">
        <v>4254043</v>
      </c>
      <c r="I1336">
        <v>0</v>
      </c>
      <c r="J1336">
        <v>0</v>
      </c>
      <c r="K1336">
        <v>0</v>
      </c>
      <c r="L1336">
        <v>0</v>
      </c>
      <c r="M1336">
        <v>599</v>
      </c>
    </row>
    <row r="1337" spans="1:13" ht="15">
      <c r="A1337" t="s">
        <v>3556</v>
      </c>
      <c r="B1337" s="1040" t="str">
        <f>CONCATENATE(LEFT(RIGHT(CONCATENATE("000",IFAData_TEA_1718!A1337),6),3),"-",(RIGHT(RIGHT(CONCATENATE("000",IFAData_TEA_1718!A1337),6),3)))</f>
        <v>108-909</v>
      </c>
      <c r="C1337" t="s">
        <v>999</v>
      </c>
      <c r="D1337">
        <v>4</v>
      </c>
      <c r="E1337">
        <v>2193</v>
      </c>
      <c r="F1337" t="s">
        <v>4915</v>
      </c>
      <c r="G1337" t="s">
        <v>6479</v>
      </c>
      <c r="H1337">
        <v>4254043</v>
      </c>
      <c r="I1337">
        <v>1829309</v>
      </c>
      <c r="J1337">
        <v>0.51699507312591297</v>
      </c>
      <c r="K1337">
        <v>2199319.27186578</v>
      </c>
      <c r="L1337">
        <v>1829309</v>
      </c>
      <c r="M1337">
        <v>599</v>
      </c>
    </row>
    <row r="1338" spans="1:13" ht="15">
      <c r="A1338" t="s">
        <v>3556</v>
      </c>
      <c r="B1338" s="1040" t="str">
        <f>CONCATENATE(LEFT(RIGHT(CONCATENATE("000",IFAData_TEA_1718!A1338),6),3),"-",(RIGHT(RIGHT(CONCATENATE("000",IFAData_TEA_1718!A1338),6),3)))</f>
        <v>108-909</v>
      </c>
      <c r="C1338" t="s">
        <v>999</v>
      </c>
      <c r="D1338">
        <v>8</v>
      </c>
      <c r="E1338">
        <v>2191</v>
      </c>
      <c r="F1338" t="s">
        <v>4916</v>
      </c>
      <c r="G1338" t="s">
        <v>4916</v>
      </c>
      <c r="H1338">
        <v>1734000</v>
      </c>
      <c r="I1338">
        <v>0</v>
      </c>
      <c r="J1338">
        <v>0</v>
      </c>
      <c r="K1338">
        <v>0</v>
      </c>
      <c r="L1338">
        <v>0</v>
      </c>
      <c r="M1338">
        <v>599</v>
      </c>
    </row>
    <row r="1339" spans="1:13" ht="15">
      <c r="A1339" t="s">
        <v>3556</v>
      </c>
      <c r="B1339" s="1040" t="str">
        <f>CONCATENATE(LEFT(RIGHT(CONCATENATE("000",IFAData_TEA_1718!A1339),6),3),"-",(RIGHT(RIGHT(CONCATENATE("000",IFAData_TEA_1718!A1339),6),3)))</f>
        <v>108-909</v>
      </c>
      <c r="C1339" t="s">
        <v>999</v>
      </c>
      <c r="D1339">
        <v>8</v>
      </c>
      <c r="E1339">
        <v>2191</v>
      </c>
      <c r="F1339" t="s">
        <v>4916</v>
      </c>
      <c r="G1339" t="s">
        <v>4913</v>
      </c>
      <c r="H1339">
        <v>1734000</v>
      </c>
      <c r="I1339">
        <v>0</v>
      </c>
      <c r="J1339">
        <v>0</v>
      </c>
      <c r="K1339">
        <v>0</v>
      </c>
      <c r="L1339">
        <v>0</v>
      </c>
      <c r="M1339">
        <v>599</v>
      </c>
    </row>
    <row r="1340" spans="1:13" ht="15">
      <c r="A1340" t="s">
        <v>3556</v>
      </c>
      <c r="B1340" s="1040" t="str">
        <f>CONCATENATE(LEFT(RIGHT(CONCATENATE("000",IFAData_TEA_1718!A1340),6),3),"-",(RIGHT(RIGHT(CONCATENATE("000",IFAData_TEA_1718!A1340),6),3)))</f>
        <v>108-909</v>
      </c>
      <c r="C1340" t="s">
        <v>999</v>
      </c>
      <c r="D1340">
        <v>8</v>
      </c>
      <c r="E1340">
        <v>2191</v>
      </c>
      <c r="F1340" t="s">
        <v>4916</v>
      </c>
      <c r="G1340" t="s">
        <v>4914</v>
      </c>
      <c r="H1340">
        <v>1734000</v>
      </c>
      <c r="I1340">
        <v>855988</v>
      </c>
      <c r="J1340">
        <v>0.48832983720018802</v>
      </c>
      <c r="K1340">
        <v>846763.93770512601</v>
      </c>
      <c r="L1340">
        <v>846763.93770512601</v>
      </c>
      <c r="M1340">
        <v>599</v>
      </c>
    </row>
    <row r="1341" spans="1:13" ht="15">
      <c r="A1341" t="s">
        <v>3556</v>
      </c>
      <c r="B1341" s="1040" t="str">
        <f>CONCATENATE(LEFT(RIGHT(CONCATENATE("000",IFAData_TEA_1718!A1341),6),3),"-",(RIGHT(RIGHT(CONCATENATE("000",IFAData_TEA_1718!A1341),6),3)))</f>
        <v>108-909</v>
      </c>
      <c r="C1341" t="s">
        <v>999</v>
      </c>
      <c r="D1341">
        <v>8</v>
      </c>
      <c r="E1341">
        <v>2191</v>
      </c>
      <c r="F1341" t="s">
        <v>4916</v>
      </c>
      <c r="G1341" t="s">
        <v>6269</v>
      </c>
      <c r="H1341">
        <v>1734000</v>
      </c>
      <c r="I1341">
        <v>474692</v>
      </c>
      <c r="J1341">
        <v>0.27080551021770299</v>
      </c>
      <c r="K1341">
        <v>469576.75471749803</v>
      </c>
      <c r="L1341">
        <v>469576.75471749803</v>
      </c>
      <c r="M1341">
        <v>599</v>
      </c>
    </row>
    <row r="1342" spans="1:13" ht="15">
      <c r="A1342" t="s">
        <v>3556</v>
      </c>
      <c r="B1342" s="1040" t="str">
        <f>CONCATENATE(LEFT(RIGHT(CONCATENATE("000",IFAData_TEA_1718!A1342),6),3),"-",(RIGHT(RIGHT(CONCATENATE("000",IFAData_TEA_1718!A1342),6),3)))</f>
        <v>108-909</v>
      </c>
      <c r="C1342" t="s">
        <v>999</v>
      </c>
      <c r="D1342">
        <v>8</v>
      </c>
      <c r="E1342">
        <v>2191</v>
      </c>
      <c r="F1342" t="s">
        <v>4916</v>
      </c>
      <c r="G1342" t="s">
        <v>6479</v>
      </c>
      <c r="H1342">
        <v>1734000</v>
      </c>
      <c r="I1342">
        <v>422209</v>
      </c>
      <c r="J1342">
        <v>0.24086465258210901</v>
      </c>
      <c r="K1342">
        <v>417659.30757737701</v>
      </c>
      <c r="L1342">
        <v>417659.30757737701</v>
      </c>
      <c r="M1342">
        <v>599</v>
      </c>
    </row>
    <row r="1343" spans="1:13" ht="15">
      <c r="A1343" t="s">
        <v>3556</v>
      </c>
      <c r="B1343" s="1040" t="str">
        <f>CONCATENATE(LEFT(RIGHT(CONCATENATE("000",IFAData_TEA_1718!A1343),6),3),"-",(RIGHT(RIGHT(CONCATENATE("000",IFAData_TEA_1718!A1343),6),3)))</f>
        <v>108-909</v>
      </c>
      <c r="C1343" t="s">
        <v>999</v>
      </c>
      <c r="D1343">
        <v>8</v>
      </c>
      <c r="E1343">
        <v>2194</v>
      </c>
      <c r="F1343" t="s">
        <v>4913</v>
      </c>
      <c r="G1343" t="s">
        <v>4913</v>
      </c>
      <c r="H1343">
        <v>4319089</v>
      </c>
      <c r="I1343">
        <v>0</v>
      </c>
      <c r="J1343">
        <v>0</v>
      </c>
      <c r="K1343">
        <v>0</v>
      </c>
      <c r="L1343">
        <v>0</v>
      </c>
      <c r="M1343">
        <v>599</v>
      </c>
    </row>
    <row r="1344" spans="1:13" ht="15">
      <c r="A1344" t="s">
        <v>3556</v>
      </c>
      <c r="B1344" s="1040" t="str">
        <f>CONCATENATE(LEFT(RIGHT(CONCATENATE("000",IFAData_TEA_1718!A1344),6),3),"-",(RIGHT(RIGHT(CONCATENATE("000",IFAData_TEA_1718!A1344),6),3)))</f>
        <v>108-909</v>
      </c>
      <c r="C1344" t="s">
        <v>999</v>
      </c>
      <c r="D1344">
        <v>8</v>
      </c>
      <c r="E1344">
        <v>2194</v>
      </c>
      <c r="F1344" t="s">
        <v>4913</v>
      </c>
      <c r="G1344" t="s">
        <v>4914</v>
      </c>
      <c r="H1344">
        <v>4319089</v>
      </c>
      <c r="I1344">
        <v>1889378</v>
      </c>
      <c r="J1344">
        <v>0.48476900849548699</v>
      </c>
      <c r="K1344">
        <v>2093760.4921337699</v>
      </c>
      <c r="L1344">
        <v>1889378</v>
      </c>
      <c r="M1344">
        <v>599</v>
      </c>
    </row>
    <row r="1345" spans="1:13" ht="15">
      <c r="A1345" t="s">
        <v>3556</v>
      </c>
      <c r="B1345" s="1040" t="str">
        <f>CONCATENATE(LEFT(RIGHT(CONCATENATE("000",IFAData_TEA_1718!A1345),6),3),"-",(RIGHT(RIGHT(CONCATENATE("000",IFAData_TEA_1718!A1345),6),3)))</f>
        <v>108-909</v>
      </c>
      <c r="C1345" t="s">
        <v>999</v>
      </c>
      <c r="D1345">
        <v>8</v>
      </c>
      <c r="E1345">
        <v>2194</v>
      </c>
      <c r="F1345" t="s">
        <v>4913</v>
      </c>
      <c r="G1345" t="s">
        <v>6269</v>
      </c>
      <c r="H1345">
        <v>4319089</v>
      </c>
      <c r="I1345">
        <v>349654</v>
      </c>
      <c r="J1345">
        <v>8.9712817073386603E-2</v>
      </c>
      <c r="K1345">
        <v>387477.64138067601</v>
      </c>
      <c r="L1345">
        <v>349654</v>
      </c>
      <c r="M1345">
        <v>599</v>
      </c>
    </row>
    <row r="1346" spans="1:13" ht="15">
      <c r="A1346" t="s">
        <v>3556</v>
      </c>
      <c r="B1346" s="1040" t="str">
        <f>CONCATENATE(LEFT(RIGHT(CONCATENATE("000",IFAData_TEA_1718!A1346),6),3),"-",(RIGHT(RIGHT(CONCATENATE("000",IFAData_TEA_1718!A1346),6),3)))</f>
        <v>108-909</v>
      </c>
      <c r="C1346" t="s">
        <v>999</v>
      </c>
      <c r="D1346">
        <v>8</v>
      </c>
      <c r="E1346">
        <v>2194</v>
      </c>
      <c r="F1346" t="s">
        <v>4913</v>
      </c>
      <c r="G1346" t="s">
        <v>6479</v>
      </c>
      <c r="H1346">
        <v>4319089</v>
      </c>
      <c r="I1346">
        <v>1658449</v>
      </c>
      <c r="J1346">
        <v>0.425518174431126</v>
      </c>
      <c r="K1346">
        <v>1837850.8664855601</v>
      </c>
      <c r="L1346">
        <v>1658449</v>
      </c>
      <c r="M1346">
        <v>599</v>
      </c>
    </row>
    <row r="1347" spans="1:13" ht="15">
      <c r="A1347" t="s">
        <v>3556</v>
      </c>
      <c r="B1347" s="1040" t="str">
        <f>CONCATENATE(LEFT(RIGHT(CONCATENATE("000",IFAData_TEA_1718!A1347),6),3),"-",(RIGHT(RIGHT(CONCATENATE("000",IFAData_TEA_1718!A1347),6),3)))</f>
        <v>108-909</v>
      </c>
      <c r="C1347" t="s">
        <v>999</v>
      </c>
      <c r="D1347">
        <v>9</v>
      </c>
      <c r="E1347">
        <v>2196</v>
      </c>
      <c r="F1347" t="s">
        <v>4917</v>
      </c>
      <c r="G1347" t="s">
        <v>4917</v>
      </c>
      <c r="H1347">
        <v>6721621</v>
      </c>
      <c r="I1347">
        <v>2429250</v>
      </c>
      <c r="J1347">
        <v>0.39699296925737398</v>
      </c>
      <c r="K1347">
        <v>2668436.2790127201</v>
      </c>
      <c r="L1347">
        <v>2429250</v>
      </c>
      <c r="M1347">
        <v>599</v>
      </c>
    </row>
    <row r="1348" spans="1:13" ht="15">
      <c r="A1348" t="s">
        <v>3556</v>
      </c>
      <c r="B1348" s="1040" t="str">
        <f>CONCATENATE(LEFT(RIGHT(CONCATENATE("000",IFAData_TEA_1718!A1348),6),3),"-",(RIGHT(RIGHT(CONCATENATE("000",IFAData_TEA_1718!A1348),6),3)))</f>
        <v>108-909</v>
      </c>
      <c r="C1348" t="s">
        <v>999</v>
      </c>
      <c r="D1348">
        <v>9</v>
      </c>
      <c r="E1348">
        <v>2196</v>
      </c>
      <c r="F1348" t="s">
        <v>4917</v>
      </c>
      <c r="G1348" t="s">
        <v>6269</v>
      </c>
      <c r="H1348">
        <v>6721621</v>
      </c>
      <c r="I1348">
        <v>2269478</v>
      </c>
      <c r="J1348">
        <v>0.37088270449080502</v>
      </c>
      <c r="K1348">
        <v>2492932.9750421899</v>
      </c>
      <c r="L1348">
        <v>2269478</v>
      </c>
      <c r="M1348">
        <v>599</v>
      </c>
    </row>
    <row r="1349" spans="1:13" ht="15">
      <c r="A1349" t="s">
        <v>3556</v>
      </c>
      <c r="B1349" s="1040" t="str">
        <f>CONCATENATE(LEFT(RIGHT(CONCATENATE("000",IFAData_TEA_1718!A1349),6),3),"-",(RIGHT(RIGHT(CONCATENATE("000",IFAData_TEA_1718!A1349),6),3)))</f>
        <v>108-909</v>
      </c>
      <c r="C1349" t="s">
        <v>999</v>
      </c>
      <c r="D1349">
        <v>9</v>
      </c>
      <c r="E1349">
        <v>2196</v>
      </c>
      <c r="F1349" t="s">
        <v>4917</v>
      </c>
      <c r="G1349" t="s">
        <v>6479</v>
      </c>
      <c r="H1349">
        <v>6721621</v>
      </c>
      <c r="I1349">
        <v>1420398</v>
      </c>
      <c r="J1349">
        <v>0.232124326251821</v>
      </c>
      <c r="K1349">
        <v>1560251.74594509</v>
      </c>
      <c r="L1349">
        <v>1420398</v>
      </c>
      <c r="M1349">
        <v>599</v>
      </c>
    </row>
    <row r="1350" spans="1:13" ht="15">
      <c r="A1350" t="s">
        <v>3556</v>
      </c>
      <c r="B1350" s="1040" t="str">
        <f>CONCATENATE(LEFT(RIGHT(CONCATENATE("000",IFAData_TEA_1718!A1350),6),3),"-",(RIGHT(RIGHT(CONCATENATE("000",IFAData_TEA_1718!A1350),6),3)))</f>
        <v>108-909</v>
      </c>
      <c r="C1350" t="s">
        <v>999</v>
      </c>
      <c r="D1350">
        <v>10</v>
      </c>
      <c r="E1350">
        <v>2195</v>
      </c>
      <c r="F1350" t="s">
        <v>4918</v>
      </c>
      <c r="G1350" t="s">
        <v>4918</v>
      </c>
      <c r="H1350">
        <v>5985990</v>
      </c>
      <c r="I1350">
        <v>4532700</v>
      </c>
      <c r="J1350">
        <v>0.71617236232282699</v>
      </c>
      <c r="K1350">
        <v>4287000.5991408201</v>
      </c>
      <c r="L1350">
        <v>4287000.5991408201</v>
      </c>
      <c r="M1350">
        <v>599</v>
      </c>
    </row>
    <row r="1351" spans="1:13" ht="15">
      <c r="A1351" t="s">
        <v>3556</v>
      </c>
      <c r="B1351" s="1040" t="str">
        <f>CONCATENATE(LEFT(RIGHT(CONCATENATE("000",IFAData_TEA_1718!A1351),6),3),"-",(RIGHT(RIGHT(CONCATENATE("000",IFAData_TEA_1718!A1351),6),3)))</f>
        <v>108-909</v>
      </c>
      <c r="C1351" t="s">
        <v>999</v>
      </c>
      <c r="D1351">
        <v>10</v>
      </c>
      <c r="E1351">
        <v>2195</v>
      </c>
      <c r="F1351" t="s">
        <v>4918</v>
      </c>
      <c r="G1351" t="s">
        <v>6479</v>
      </c>
      <c r="H1351">
        <v>5985990</v>
      </c>
      <c r="I1351">
        <v>1432084</v>
      </c>
      <c r="J1351">
        <v>0.22627109257721101</v>
      </c>
      <c r="K1351">
        <v>1354456.49745626</v>
      </c>
      <c r="L1351">
        <v>1354456.49745626</v>
      </c>
      <c r="M1351">
        <v>599</v>
      </c>
    </row>
    <row r="1352" spans="1:13" ht="15">
      <c r="A1352" t="s">
        <v>3556</v>
      </c>
      <c r="B1352" s="1040" t="str">
        <f>CONCATENATE(LEFT(RIGHT(CONCATENATE("000",IFAData_TEA_1718!A1352),6),3),"-",(RIGHT(RIGHT(CONCATENATE("000",IFAData_TEA_1718!A1352),6),3)))</f>
        <v>108-909</v>
      </c>
      <c r="C1352" t="s">
        <v>999</v>
      </c>
      <c r="D1352">
        <v>10</v>
      </c>
      <c r="E1352">
        <v>2195</v>
      </c>
      <c r="F1352" t="s">
        <v>4918</v>
      </c>
      <c r="G1352" t="s">
        <v>8412</v>
      </c>
      <c r="H1352">
        <v>5985990</v>
      </c>
      <c r="I1352">
        <v>364279</v>
      </c>
      <c r="J1352">
        <v>5.75565450999619E-2</v>
      </c>
      <c r="K1352">
        <v>344532.90340292099</v>
      </c>
      <c r="L1352">
        <v>344532.90340292099</v>
      </c>
      <c r="M1352">
        <v>599</v>
      </c>
    </row>
    <row r="1353" spans="1:13" ht="15">
      <c r="A1353" t="s">
        <v>3557</v>
      </c>
      <c r="B1353" s="1040" t="str">
        <f>CONCATENATE(LEFT(RIGHT(CONCATENATE("000",IFAData_TEA_1718!A1353),6),3),"-",(RIGHT(RIGHT(CONCATENATE("000",IFAData_TEA_1718!A1353),6),3)))</f>
        <v>108-910</v>
      </c>
      <c r="C1353" t="s">
        <v>75</v>
      </c>
      <c r="D1353">
        <v>1</v>
      </c>
      <c r="E1353">
        <v>2218</v>
      </c>
      <c r="F1353" t="s">
        <v>4919</v>
      </c>
      <c r="G1353" t="s">
        <v>4919</v>
      </c>
      <c r="H1353">
        <v>426618</v>
      </c>
      <c r="I1353">
        <v>0</v>
      </c>
      <c r="J1353">
        <v>0</v>
      </c>
      <c r="K1353">
        <v>0</v>
      </c>
      <c r="L1353">
        <v>0</v>
      </c>
      <c r="M1353">
        <v>599</v>
      </c>
    </row>
    <row r="1354" spans="1:13" ht="15">
      <c r="A1354" t="s">
        <v>3557</v>
      </c>
      <c r="B1354" s="1040" t="str">
        <f>CONCATENATE(LEFT(RIGHT(CONCATENATE("000",IFAData_TEA_1718!A1354),6),3),"-",(RIGHT(RIGHT(CONCATENATE("000",IFAData_TEA_1718!A1354),6),3)))</f>
        <v>108-910</v>
      </c>
      <c r="C1354" t="s">
        <v>75</v>
      </c>
      <c r="D1354">
        <v>1</v>
      </c>
      <c r="E1354">
        <v>2218</v>
      </c>
      <c r="F1354" t="s">
        <v>4919</v>
      </c>
      <c r="G1354" t="s">
        <v>4920</v>
      </c>
      <c r="H1354">
        <v>426618</v>
      </c>
      <c r="I1354">
        <v>402500</v>
      </c>
      <c r="J1354">
        <v>1</v>
      </c>
      <c r="K1354">
        <v>426618</v>
      </c>
      <c r="L1354">
        <v>402500</v>
      </c>
      <c r="M1354">
        <v>599</v>
      </c>
    </row>
    <row r="1355" spans="1:13" ht="15">
      <c r="A1355" t="s">
        <v>3557</v>
      </c>
      <c r="B1355" s="1040" t="str">
        <f>CONCATENATE(LEFT(RIGHT(CONCATENATE("000",IFAData_TEA_1718!A1355),6),3),"-",(RIGHT(RIGHT(CONCATENATE("000",IFAData_TEA_1718!A1355),6),3)))</f>
        <v>108-910</v>
      </c>
      <c r="C1355" t="s">
        <v>75</v>
      </c>
      <c r="D1355">
        <v>6</v>
      </c>
      <c r="E1355">
        <v>2220</v>
      </c>
      <c r="F1355" t="s">
        <v>4921</v>
      </c>
      <c r="G1355" t="s">
        <v>4921</v>
      </c>
      <c r="H1355">
        <v>448118</v>
      </c>
      <c r="I1355">
        <v>0</v>
      </c>
      <c r="J1355">
        <v>0</v>
      </c>
      <c r="K1355">
        <v>0</v>
      </c>
      <c r="L1355">
        <v>0</v>
      </c>
      <c r="M1355">
        <v>599</v>
      </c>
    </row>
    <row r="1356" spans="1:13" ht="15">
      <c r="A1356" t="s">
        <v>3557</v>
      </c>
      <c r="B1356" s="1040" t="str">
        <f>CONCATENATE(LEFT(RIGHT(CONCATENATE("000",IFAData_TEA_1718!A1356),6),3),"-",(RIGHT(RIGHT(CONCATENATE("000",IFAData_TEA_1718!A1356),6),3)))</f>
        <v>108-910</v>
      </c>
      <c r="C1356" t="s">
        <v>75</v>
      </c>
      <c r="D1356">
        <v>6</v>
      </c>
      <c r="E1356">
        <v>2220</v>
      </c>
      <c r="F1356" t="s">
        <v>4921</v>
      </c>
      <c r="G1356" t="s">
        <v>4922</v>
      </c>
      <c r="H1356">
        <v>448118</v>
      </c>
      <c r="I1356">
        <v>431663</v>
      </c>
      <c r="J1356">
        <v>1</v>
      </c>
      <c r="K1356">
        <v>448118</v>
      </c>
      <c r="L1356">
        <v>431663</v>
      </c>
      <c r="M1356">
        <v>599</v>
      </c>
    </row>
    <row r="1357" spans="1:13" ht="15">
      <c r="A1357" t="s">
        <v>3557</v>
      </c>
      <c r="B1357" s="1040" t="str">
        <f>CONCATENATE(LEFT(RIGHT(CONCATENATE("000",IFAData_TEA_1718!A1357),6),3),"-",(RIGHT(RIGHT(CONCATENATE("000",IFAData_TEA_1718!A1357),6),3)))</f>
        <v>108-910</v>
      </c>
      <c r="C1357" t="s">
        <v>75</v>
      </c>
      <c r="D1357">
        <v>6</v>
      </c>
      <c r="E1357">
        <v>2220</v>
      </c>
      <c r="F1357" t="s">
        <v>4921</v>
      </c>
      <c r="G1357" t="s">
        <v>4923</v>
      </c>
      <c r="H1357">
        <v>448118</v>
      </c>
      <c r="I1357">
        <v>0</v>
      </c>
      <c r="J1357">
        <v>0</v>
      </c>
      <c r="K1357">
        <v>0</v>
      </c>
      <c r="L1357">
        <v>0</v>
      </c>
      <c r="M1357">
        <v>599</v>
      </c>
    </row>
    <row r="1358" spans="1:13" ht="15">
      <c r="A1358" t="s">
        <v>3557</v>
      </c>
      <c r="B1358" s="1040" t="str">
        <f>CONCATENATE(LEFT(RIGHT(CONCATENATE("000",IFAData_TEA_1718!A1358),6),3),"-",(RIGHT(RIGHT(CONCATENATE("000",IFAData_TEA_1718!A1358),6),3)))</f>
        <v>108-910</v>
      </c>
      <c r="C1358" t="s">
        <v>75</v>
      </c>
      <c r="D1358">
        <v>7</v>
      </c>
      <c r="E1358">
        <v>2217</v>
      </c>
      <c r="F1358" t="s">
        <v>4924</v>
      </c>
      <c r="G1358" t="s">
        <v>4924</v>
      </c>
      <c r="H1358">
        <v>267450</v>
      </c>
      <c r="I1358">
        <v>0</v>
      </c>
      <c r="J1358">
        <v>0</v>
      </c>
      <c r="K1358">
        <v>0</v>
      </c>
      <c r="L1358">
        <v>0</v>
      </c>
      <c r="M1358">
        <v>599</v>
      </c>
    </row>
    <row r="1359" spans="1:13" ht="15">
      <c r="A1359" t="s">
        <v>3557</v>
      </c>
      <c r="B1359" s="1040" t="str">
        <f>CONCATENATE(LEFT(RIGHT(CONCATENATE("000",IFAData_TEA_1718!A1359),6),3),"-",(RIGHT(RIGHT(CONCATENATE("000",IFAData_TEA_1718!A1359),6),3)))</f>
        <v>108-910</v>
      </c>
      <c r="C1359" t="s">
        <v>75</v>
      </c>
      <c r="D1359">
        <v>7</v>
      </c>
      <c r="E1359">
        <v>2217</v>
      </c>
      <c r="F1359" t="s">
        <v>4924</v>
      </c>
      <c r="G1359" t="s">
        <v>4925</v>
      </c>
      <c r="H1359">
        <v>267450</v>
      </c>
      <c r="I1359">
        <v>229175</v>
      </c>
      <c r="J1359">
        <v>1</v>
      </c>
      <c r="K1359">
        <v>267450</v>
      </c>
      <c r="L1359">
        <v>229175</v>
      </c>
      <c r="M1359">
        <v>599</v>
      </c>
    </row>
    <row r="1360" spans="1:13" ht="15">
      <c r="A1360" t="s">
        <v>3557</v>
      </c>
      <c r="B1360" s="1040" t="str">
        <f>CONCATENATE(LEFT(RIGHT(CONCATENATE("000",IFAData_TEA_1718!A1360),6),3),"-",(RIGHT(RIGHT(CONCATENATE("000",IFAData_TEA_1718!A1360),6),3)))</f>
        <v>108-910</v>
      </c>
      <c r="C1360" t="s">
        <v>75</v>
      </c>
      <c r="D1360">
        <v>8</v>
      </c>
      <c r="E1360">
        <v>2221</v>
      </c>
      <c r="F1360" t="s">
        <v>4926</v>
      </c>
      <c r="G1360" t="s">
        <v>4926</v>
      </c>
      <c r="H1360">
        <v>486219</v>
      </c>
      <c r="I1360">
        <v>0</v>
      </c>
      <c r="J1360">
        <v>0</v>
      </c>
      <c r="K1360">
        <v>0</v>
      </c>
      <c r="L1360">
        <v>0</v>
      </c>
      <c r="M1360">
        <v>599</v>
      </c>
    </row>
    <row r="1361" spans="1:13" ht="15">
      <c r="A1361" t="s">
        <v>3557</v>
      </c>
      <c r="B1361" s="1040" t="str">
        <f>CONCATENATE(LEFT(RIGHT(CONCATENATE("000",IFAData_TEA_1718!A1361),6),3),"-",(RIGHT(RIGHT(CONCATENATE("000",IFAData_TEA_1718!A1361),6),3)))</f>
        <v>108-910</v>
      </c>
      <c r="C1361" t="s">
        <v>75</v>
      </c>
      <c r="D1361">
        <v>8</v>
      </c>
      <c r="E1361">
        <v>2221</v>
      </c>
      <c r="F1361" t="s">
        <v>4926</v>
      </c>
      <c r="G1361" t="s">
        <v>8413</v>
      </c>
      <c r="H1361">
        <v>486219</v>
      </c>
      <c r="I1361">
        <v>404600</v>
      </c>
      <c r="J1361">
        <v>1</v>
      </c>
      <c r="K1361">
        <v>486219</v>
      </c>
      <c r="L1361">
        <v>404600</v>
      </c>
      <c r="M1361">
        <v>599</v>
      </c>
    </row>
    <row r="1362" spans="1:13" ht="15">
      <c r="A1362" t="s">
        <v>3557</v>
      </c>
      <c r="B1362" s="1040" t="str">
        <f>CONCATENATE(LEFT(RIGHT(CONCATENATE("000",IFAData_TEA_1718!A1362),6),3),"-",(RIGHT(RIGHT(CONCATENATE("000",IFAData_TEA_1718!A1362),6),3)))</f>
        <v>108-910</v>
      </c>
      <c r="C1362" t="s">
        <v>75</v>
      </c>
      <c r="D1362">
        <v>10</v>
      </c>
      <c r="E1362">
        <v>2219</v>
      </c>
      <c r="F1362" t="s">
        <v>4927</v>
      </c>
      <c r="G1362" t="s">
        <v>4927</v>
      </c>
      <c r="H1362">
        <v>428983</v>
      </c>
      <c r="I1362">
        <v>481006</v>
      </c>
      <c r="J1362">
        <v>1</v>
      </c>
      <c r="K1362">
        <v>428983</v>
      </c>
      <c r="L1362">
        <v>428983</v>
      </c>
      <c r="M1362">
        <v>599</v>
      </c>
    </row>
    <row r="1363" spans="1:13" ht="15">
      <c r="A1363" t="s">
        <v>3558</v>
      </c>
      <c r="B1363" s="1040" t="str">
        <f>CONCATENATE(LEFT(RIGHT(CONCATENATE("000",IFAData_TEA_1718!A1363),6),3),"-",(RIGHT(RIGHT(CONCATENATE("000",IFAData_TEA_1718!A1363),6),3)))</f>
        <v>108-911</v>
      </c>
      <c r="C1363" t="s">
        <v>2602</v>
      </c>
      <c r="D1363">
        <v>10</v>
      </c>
      <c r="E1363">
        <v>2327</v>
      </c>
      <c r="F1363" t="s">
        <v>4928</v>
      </c>
      <c r="G1363" t="s">
        <v>4928</v>
      </c>
      <c r="H1363">
        <v>570407</v>
      </c>
      <c r="I1363">
        <v>564912</v>
      </c>
      <c r="J1363">
        <v>1</v>
      </c>
      <c r="K1363">
        <v>570407</v>
      </c>
      <c r="L1363">
        <v>564912</v>
      </c>
      <c r="M1363">
        <v>599</v>
      </c>
    </row>
    <row r="1364" spans="1:13" ht="15">
      <c r="A1364" t="s">
        <v>3559</v>
      </c>
      <c r="B1364" s="1040" t="str">
        <f>CONCATENATE(LEFT(RIGHT(CONCATENATE("000",IFAData_TEA_1718!A1364),6),3),"-",(RIGHT(RIGHT(CONCATENATE("000",IFAData_TEA_1718!A1364),6),3)))</f>
        <v>108-912</v>
      </c>
      <c r="C1364" t="s">
        <v>1897</v>
      </c>
      <c r="D1364">
        <v>2</v>
      </c>
      <c r="E1364">
        <v>1981</v>
      </c>
      <c r="F1364" t="s">
        <v>4929</v>
      </c>
      <c r="G1364" t="s">
        <v>4929</v>
      </c>
      <c r="H1364">
        <v>3415997</v>
      </c>
      <c r="I1364">
        <v>0</v>
      </c>
      <c r="J1364">
        <v>0</v>
      </c>
      <c r="K1364">
        <v>0</v>
      </c>
      <c r="L1364">
        <v>0</v>
      </c>
      <c r="M1364">
        <v>599</v>
      </c>
    </row>
    <row r="1365" spans="1:13" ht="15">
      <c r="A1365" t="s">
        <v>3559</v>
      </c>
      <c r="B1365" s="1040" t="str">
        <f>CONCATENATE(LEFT(RIGHT(CONCATENATE("000",IFAData_TEA_1718!A1365),6),3),"-",(RIGHT(RIGHT(CONCATENATE("000",IFAData_TEA_1718!A1365),6),3)))</f>
        <v>108-912</v>
      </c>
      <c r="C1365" t="s">
        <v>1897</v>
      </c>
      <c r="D1365">
        <v>2</v>
      </c>
      <c r="E1365">
        <v>1981</v>
      </c>
      <c r="F1365" t="s">
        <v>4929</v>
      </c>
      <c r="G1365" t="s">
        <v>4930</v>
      </c>
      <c r="H1365">
        <v>3415997</v>
      </c>
      <c r="I1365">
        <v>0</v>
      </c>
      <c r="J1365">
        <v>0</v>
      </c>
      <c r="K1365">
        <v>0</v>
      </c>
      <c r="L1365">
        <v>0</v>
      </c>
      <c r="M1365">
        <v>599</v>
      </c>
    </row>
    <row r="1366" spans="1:13" ht="15">
      <c r="A1366" t="s">
        <v>3559</v>
      </c>
      <c r="B1366" s="1040" t="str">
        <f>CONCATENATE(LEFT(RIGHT(CONCATENATE("000",IFAData_TEA_1718!A1366),6),3),"-",(RIGHT(RIGHT(CONCATENATE("000",IFAData_TEA_1718!A1366),6),3)))</f>
        <v>108-912</v>
      </c>
      <c r="C1366" t="s">
        <v>1897</v>
      </c>
      <c r="D1366">
        <v>2</v>
      </c>
      <c r="E1366">
        <v>1981</v>
      </c>
      <c r="F1366" t="s">
        <v>4929</v>
      </c>
      <c r="G1366" t="s">
        <v>4931</v>
      </c>
      <c r="H1366">
        <v>3415997</v>
      </c>
      <c r="I1366">
        <v>1703349</v>
      </c>
      <c r="J1366">
        <v>0.46517564224371399</v>
      </c>
      <c r="K1366">
        <v>1589038.5983776001</v>
      </c>
      <c r="L1366">
        <v>1589038.5983776001</v>
      </c>
      <c r="M1366">
        <v>599</v>
      </c>
    </row>
    <row r="1367" spans="1:13" ht="15">
      <c r="A1367" t="s">
        <v>3559</v>
      </c>
      <c r="B1367" s="1040" t="str">
        <f>CONCATENATE(LEFT(RIGHT(CONCATENATE("000",IFAData_TEA_1718!A1367),6),3),"-",(RIGHT(RIGHT(CONCATENATE("000",IFAData_TEA_1718!A1367),6),3)))</f>
        <v>108-912</v>
      </c>
      <c r="C1367" t="s">
        <v>1897</v>
      </c>
      <c r="D1367">
        <v>2</v>
      </c>
      <c r="E1367">
        <v>1981</v>
      </c>
      <c r="F1367" t="s">
        <v>4929</v>
      </c>
      <c r="G1367" t="s">
        <v>4932</v>
      </c>
      <c r="H1367">
        <v>3415997</v>
      </c>
      <c r="I1367">
        <v>1742642</v>
      </c>
      <c r="J1367">
        <v>0.47590635363091699</v>
      </c>
      <c r="K1367">
        <v>1625694.67628415</v>
      </c>
      <c r="L1367">
        <v>1625694.67628415</v>
      </c>
      <c r="M1367">
        <v>599</v>
      </c>
    </row>
    <row r="1368" spans="1:13" ht="15">
      <c r="A1368" t="s">
        <v>3559</v>
      </c>
      <c r="B1368" s="1040" t="str">
        <f>CONCATENATE(LEFT(RIGHT(CONCATENATE("000",IFAData_TEA_1718!A1368),6),3),"-",(RIGHT(RIGHT(CONCATENATE("000",IFAData_TEA_1718!A1368),6),3)))</f>
        <v>108-912</v>
      </c>
      <c r="C1368" t="s">
        <v>1897</v>
      </c>
      <c r="D1368">
        <v>2</v>
      </c>
      <c r="E1368">
        <v>1981</v>
      </c>
      <c r="F1368" t="s">
        <v>4929</v>
      </c>
      <c r="G1368" t="s">
        <v>6270</v>
      </c>
      <c r="H1368">
        <v>3415997</v>
      </c>
      <c r="I1368">
        <v>129605</v>
      </c>
      <c r="J1368">
        <v>3.53944430137315E-2</v>
      </c>
      <c r="K1368">
        <v>120907.311151578</v>
      </c>
      <c r="L1368">
        <v>120907.311151578</v>
      </c>
      <c r="M1368">
        <v>599</v>
      </c>
    </row>
    <row r="1369" spans="1:13" ht="15">
      <c r="A1369" t="s">
        <v>3559</v>
      </c>
      <c r="B1369" s="1040" t="str">
        <f>CONCATENATE(LEFT(RIGHT(CONCATENATE("000",IFAData_TEA_1718!A1369),6),3),"-",(RIGHT(RIGHT(CONCATENATE("000",IFAData_TEA_1718!A1369),6),3)))</f>
        <v>108-912</v>
      </c>
      <c r="C1369" t="s">
        <v>1897</v>
      </c>
      <c r="D1369">
        <v>2</v>
      </c>
      <c r="E1369">
        <v>1981</v>
      </c>
      <c r="F1369" t="s">
        <v>4929</v>
      </c>
      <c r="G1369" t="s">
        <v>8414</v>
      </c>
      <c r="H1369">
        <v>3415997</v>
      </c>
      <c r="I1369">
        <v>86137</v>
      </c>
      <c r="J1369">
        <v>2.35235611116376E-2</v>
      </c>
      <c r="K1369">
        <v>80356.414186670605</v>
      </c>
      <c r="L1369">
        <v>80356.414186670605</v>
      </c>
      <c r="M1369">
        <v>599</v>
      </c>
    </row>
    <row r="1370" spans="1:13" ht="15">
      <c r="A1370" t="s">
        <v>3559</v>
      </c>
      <c r="B1370" s="1040" t="str">
        <f>CONCATENATE(LEFT(RIGHT(CONCATENATE("000",IFAData_TEA_1718!A1370),6),3),"-",(RIGHT(RIGHT(CONCATENATE("000",IFAData_TEA_1718!A1370),6),3)))</f>
        <v>108-912</v>
      </c>
      <c r="C1370" t="s">
        <v>1897</v>
      </c>
      <c r="D1370">
        <v>4</v>
      </c>
      <c r="E1370">
        <v>1982</v>
      </c>
      <c r="F1370" t="s">
        <v>4933</v>
      </c>
      <c r="G1370" t="s">
        <v>4933</v>
      </c>
      <c r="H1370">
        <v>3469419</v>
      </c>
      <c r="I1370">
        <v>0</v>
      </c>
      <c r="J1370">
        <v>0</v>
      </c>
      <c r="K1370">
        <v>0</v>
      </c>
      <c r="L1370">
        <v>0</v>
      </c>
      <c r="M1370">
        <v>599</v>
      </c>
    </row>
    <row r="1371" spans="1:13" ht="15">
      <c r="A1371" t="s">
        <v>3559</v>
      </c>
      <c r="B1371" s="1040" t="str">
        <f>CONCATENATE(LEFT(RIGHT(CONCATENATE("000",IFAData_TEA_1718!A1371),6),3),"-",(RIGHT(RIGHT(CONCATENATE("000",IFAData_TEA_1718!A1371),6),3)))</f>
        <v>108-912</v>
      </c>
      <c r="C1371" t="s">
        <v>1897</v>
      </c>
      <c r="D1371">
        <v>4</v>
      </c>
      <c r="E1371">
        <v>1982</v>
      </c>
      <c r="F1371" t="s">
        <v>4933</v>
      </c>
      <c r="G1371" t="s">
        <v>4930</v>
      </c>
      <c r="H1371">
        <v>3469419</v>
      </c>
      <c r="I1371">
        <v>0</v>
      </c>
      <c r="J1371">
        <v>0</v>
      </c>
      <c r="K1371">
        <v>0</v>
      </c>
      <c r="L1371">
        <v>0</v>
      </c>
      <c r="M1371">
        <v>599</v>
      </c>
    </row>
    <row r="1372" spans="1:13" ht="15">
      <c r="A1372" t="s">
        <v>3559</v>
      </c>
      <c r="B1372" s="1040" t="str">
        <f>CONCATENATE(LEFT(RIGHT(CONCATENATE("000",IFAData_TEA_1718!A1372),6),3),"-",(RIGHT(RIGHT(CONCATENATE("000",IFAData_TEA_1718!A1372),6),3)))</f>
        <v>108-912</v>
      </c>
      <c r="C1372" t="s">
        <v>1897</v>
      </c>
      <c r="D1372">
        <v>4</v>
      </c>
      <c r="E1372">
        <v>1982</v>
      </c>
      <c r="F1372" t="s">
        <v>4933</v>
      </c>
      <c r="G1372" t="s">
        <v>4932</v>
      </c>
      <c r="H1372">
        <v>3469419</v>
      </c>
      <c r="I1372">
        <v>3607231</v>
      </c>
      <c r="J1372">
        <v>0.93077558030412</v>
      </c>
      <c r="K1372">
        <v>3229250.4830431398</v>
      </c>
      <c r="L1372">
        <v>3229250.4830431398</v>
      </c>
      <c r="M1372">
        <v>599</v>
      </c>
    </row>
    <row r="1373" spans="1:13" ht="15">
      <c r="A1373" t="s">
        <v>3559</v>
      </c>
      <c r="B1373" s="1040" t="str">
        <f>CONCATENATE(LEFT(RIGHT(CONCATENATE("000",IFAData_TEA_1718!A1373),6),3),"-",(RIGHT(RIGHT(CONCATENATE("000",IFAData_TEA_1718!A1373),6),3)))</f>
        <v>108-912</v>
      </c>
      <c r="C1373" t="s">
        <v>1897</v>
      </c>
      <c r="D1373">
        <v>4</v>
      </c>
      <c r="E1373">
        <v>1982</v>
      </c>
      <c r="F1373" t="s">
        <v>4933</v>
      </c>
      <c r="G1373" t="s">
        <v>6270</v>
      </c>
      <c r="H1373">
        <v>3469419</v>
      </c>
      <c r="I1373">
        <v>268280</v>
      </c>
      <c r="J1373">
        <v>6.9224419695880099E-2</v>
      </c>
      <c r="K1373">
        <v>240168.51695686101</v>
      </c>
      <c r="L1373">
        <v>240168.51695686101</v>
      </c>
      <c r="M1373">
        <v>599</v>
      </c>
    </row>
    <row r="1374" spans="1:13" ht="15">
      <c r="A1374" t="s">
        <v>3559</v>
      </c>
      <c r="B1374" s="1040" t="str">
        <f>CONCATENATE(LEFT(RIGHT(CONCATENATE("000",IFAData_TEA_1718!A1374),6),3),"-",(RIGHT(RIGHT(CONCATENATE("000",IFAData_TEA_1718!A1374),6),3)))</f>
        <v>108-912</v>
      </c>
      <c r="C1374" t="s">
        <v>1897</v>
      </c>
      <c r="D1374">
        <v>7</v>
      </c>
      <c r="E1374">
        <v>1983</v>
      </c>
      <c r="F1374" t="s">
        <v>4934</v>
      </c>
      <c r="G1374" t="s">
        <v>4934</v>
      </c>
      <c r="H1374">
        <v>5218175</v>
      </c>
      <c r="I1374">
        <v>0</v>
      </c>
      <c r="J1374">
        <v>0</v>
      </c>
      <c r="K1374">
        <v>0</v>
      </c>
      <c r="L1374">
        <v>0</v>
      </c>
      <c r="M1374">
        <v>599</v>
      </c>
    </row>
    <row r="1375" spans="1:13" ht="15">
      <c r="A1375" t="s">
        <v>3559</v>
      </c>
      <c r="B1375" s="1040" t="str">
        <f>CONCATENATE(LEFT(RIGHT(CONCATENATE("000",IFAData_TEA_1718!A1375),6),3),"-",(RIGHT(RIGHT(CONCATENATE("000",IFAData_TEA_1718!A1375),6),3)))</f>
        <v>108-912</v>
      </c>
      <c r="C1375" t="s">
        <v>1897</v>
      </c>
      <c r="D1375">
        <v>7</v>
      </c>
      <c r="E1375">
        <v>1983</v>
      </c>
      <c r="F1375" t="s">
        <v>4934</v>
      </c>
      <c r="G1375" t="s">
        <v>4931</v>
      </c>
      <c r="H1375">
        <v>5218175</v>
      </c>
      <c r="I1375">
        <v>1313189</v>
      </c>
      <c r="J1375">
        <v>0.34511314691846201</v>
      </c>
      <c r="K1375">
        <v>1800860.7954212499</v>
      </c>
      <c r="L1375">
        <v>1313189</v>
      </c>
      <c r="M1375">
        <v>599</v>
      </c>
    </row>
    <row r="1376" spans="1:13" ht="15">
      <c r="A1376" t="s">
        <v>3559</v>
      </c>
      <c r="B1376" s="1040" t="str">
        <f>CONCATENATE(LEFT(RIGHT(CONCATENATE("000",IFAData_TEA_1718!A1376),6),3),"-",(RIGHT(RIGHT(CONCATENATE("000",IFAData_TEA_1718!A1376),6),3)))</f>
        <v>108-912</v>
      </c>
      <c r="C1376" t="s">
        <v>1897</v>
      </c>
      <c r="D1376">
        <v>7</v>
      </c>
      <c r="E1376">
        <v>1983</v>
      </c>
      <c r="F1376" t="s">
        <v>4934</v>
      </c>
      <c r="G1376" t="s">
        <v>4935</v>
      </c>
      <c r="H1376">
        <v>5218175</v>
      </c>
      <c r="I1376">
        <v>788038</v>
      </c>
      <c r="J1376">
        <v>0.20710063370263601</v>
      </c>
      <c r="K1376">
        <v>1080687.34927125</v>
      </c>
      <c r="L1376">
        <v>788038</v>
      </c>
      <c r="M1376">
        <v>599</v>
      </c>
    </row>
    <row r="1377" spans="1:13" ht="15">
      <c r="A1377" t="s">
        <v>3559</v>
      </c>
      <c r="B1377" s="1040" t="str">
        <f>CONCATENATE(LEFT(RIGHT(CONCATENATE("000",IFAData_TEA_1718!A1377),6),3),"-",(RIGHT(RIGHT(CONCATENATE("000",IFAData_TEA_1718!A1377),6),3)))</f>
        <v>108-912</v>
      </c>
      <c r="C1377" t="s">
        <v>1897</v>
      </c>
      <c r="D1377">
        <v>7</v>
      </c>
      <c r="E1377">
        <v>1983</v>
      </c>
      <c r="F1377" t="s">
        <v>4934</v>
      </c>
      <c r="G1377" t="s">
        <v>4936</v>
      </c>
      <c r="H1377">
        <v>5218175</v>
      </c>
      <c r="I1377">
        <v>1637625</v>
      </c>
      <c r="J1377">
        <v>0.43037667633702897</v>
      </c>
      <c r="K1377">
        <v>2245780.8130449802</v>
      </c>
      <c r="L1377">
        <v>1637625</v>
      </c>
      <c r="M1377">
        <v>599</v>
      </c>
    </row>
    <row r="1378" spans="1:13" ht="15">
      <c r="A1378" t="s">
        <v>3559</v>
      </c>
      <c r="B1378" s="1040" t="str">
        <f>CONCATENATE(LEFT(RIGHT(CONCATENATE("000",IFAData_TEA_1718!A1378),6),3),"-",(RIGHT(RIGHT(CONCATENATE("000",IFAData_TEA_1718!A1378),6),3)))</f>
        <v>108-912</v>
      </c>
      <c r="C1378" t="s">
        <v>1897</v>
      </c>
      <c r="D1378">
        <v>7</v>
      </c>
      <c r="E1378">
        <v>1983</v>
      </c>
      <c r="F1378" t="s">
        <v>4934</v>
      </c>
      <c r="G1378" t="s">
        <v>8414</v>
      </c>
      <c r="H1378">
        <v>5218175</v>
      </c>
      <c r="I1378">
        <v>66245</v>
      </c>
      <c r="J1378">
        <v>1.7409543041872502E-2</v>
      </c>
      <c r="K1378">
        <v>90846.0422625231</v>
      </c>
      <c r="L1378">
        <v>66245</v>
      </c>
      <c r="M1378">
        <v>599</v>
      </c>
    </row>
    <row r="1379" spans="1:13" ht="15">
      <c r="A1379" t="s">
        <v>3559</v>
      </c>
      <c r="B1379" s="1040" t="str">
        <f>CONCATENATE(LEFT(RIGHT(CONCATENATE("000",IFAData_TEA_1718!A1379),6),3),"-",(RIGHT(RIGHT(CONCATENATE("000",IFAData_TEA_1718!A1379),6),3)))</f>
        <v>108-912</v>
      </c>
      <c r="C1379" t="s">
        <v>1897</v>
      </c>
      <c r="D1379">
        <v>8</v>
      </c>
      <c r="E1379">
        <v>1984</v>
      </c>
      <c r="F1379" t="s">
        <v>4937</v>
      </c>
      <c r="G1379" t="s">
        <v>4937</v>
      </c>
      <c r="H1379">
        <v>5556579</v>
      </c>
      <c r="I1379">
        <v>0</v>
      </c>
      <c r="J1379">
        <v>0</v>
      </c>
      <c r="K1379">
        <v>0</v>
      </c>
      <c r="L1379">
        <v>0</v>
      </c>
      <c r="M1379">
        <v>599</v>
      </c>
    </row>
    <row r="1380" spans="1:13" ht="15">
      <c r="A1380" t="s">
        <v>3559</v>
      </c>
      <c r="B1380" s="1040" t="str">
        <f>CONCATENATE(LEFT(RIGHT(CONCATENATE("000",IFAData_TEA_1718!A1380),6),3),"-",(RIGHT(RIGHT(CONCATENATE("000",IFAData_TEA_1718!A1380),6),3)))</f>
        <v>108-912</v>
      </c>
      <c r="C1380" t="s">
        <v>1897</v>
      </c>
      <c r="D1380">
        <v>8</v>
      </c>
      <c r="E1380">
        <v>1984</v>
      </c>
      <c r="F1380" t="s">
        <v>4937</v>
      </c>
      <c r="G1380" t="s">
        <v>4936</v>
      </c>
      <c r="H1380">
        <v>5556579</v>
      </c>
      <c r="I1380">
        <v>3558950</v>
      </c>
      <c r="J1380">
        <v>0.66745221713900305</v>
      </c>
      <c r="K1380">
        <v>3708750.9732580301</v>
      </c>
      <c r="L1380">
        <v>3558950</v>
      </c>
      <c r="M1380">
        <v>599</v>
      </c>
    </row>
    <row r="1381" spans="1:13" ht="15">
      <c r="A1381" t="s">
        <v>3559</v>
      </c>
      <c r="B1381" s="1040" t="str">
        <f>CONCATENATE(LEFT(RIGHT(CONCATENATE("000",IFAData_TEA_1718!A1381),6),3),"-",(RIGHT(RIGHT(CONCATENATE("000",IFAData_TEA_1718!A1381),6),3)))</f>
        <v>108-912</v>
      </c>
      <c r="C1381" t="s">
        <v>1897</v>
      </c>
      <c r="D1381">
        <v>8</v>
      </c>
      <c r="E1381">
        <v>1984</v>
      </c>
      <c r="F1381" t="s">
        <v>4937</v>
      </c>
      <c r="G1381" t="s">
        <v>4938</v>
      </c>
      <c r="H1381">
        <v>5556579</v>
      </c>
      <c r="I1381">
        <v>1773192</v>
      </c>
      <c r="J1381">
        <v>0.33254778286099701</v>
      </c>
      <c r="K1381">
        <v>1847828.0267419701</v>
      </c>
      <c r="L1381">
        <v>1773192</v>
      </c>
      <c r="M1381">
        <v>599</v>
      </c>
    </row>
    <row r="1382" spans="1:13" ht="15">
      <c r="A1382" t="s">
        <v>3559</v>
      </c>
      <c r="B1382" s="1040" t="str">
        <f>CONCATENATE(LEFT(RIGHT(CONCATENATE("000",IFAData_TEA_1718!A1382),6),3),"-",(RIGHT(RIGHT(CONCATENATE("000",IFAData_TEA_1718!A1382),6),3)))</f>
        <v>108-912</v>
      </c>
      <c r="C1382" t="s">
        <v>1897</v>
      </c>
      <c r="D1382">
        <v>8</v>
      </c>
      <c r="E1382">
        <v>1984</v>
      </c>
      <c r="F1382" t="s">
        <v>4937</v>
      </c>
      <c r="G1382" t="s">
        <v>6270</v>
      </c>
      <c r="H1382">
        <v>5556579</v>
      </c>
      <c r="I1382">
        <v>0</v>
      </c>
      <c r="J1382">
        <v>0</v>
      </c>
      <c r="K1382">
        <v>0</v>
      </c>
      <c r="L1382">
        <v>0</v>
      </c>
      <c r="M1382">
        <v>599</v>
      </c>
    </row>
    <row r="1383" spans="1:13" ht="15">
      <c r="A1383" t="s">
        <v>3559</v>
      </c>
      <c r="B1383" s="1040" t="str">
        <f>CONCATENATE(LEFT(RIGHT(CONCATENATE("000",IFAData_TEA_1718!A1383),6),3),"-",(RIGHT(RIGHT(CONCATENATE("000",IFAData_TEA_1718!A1383),6),3)))</f>
        <v>108-912</v>
      </c>
      <c r="C1383" t="s">
        <v>1897</v>
      </c>
      <c r="D1383">
        <v>9</v>
      </c>
      <c r="E1383">
        <v>1985</v>
      </c>
      <c r="F1383" t="s">
        <v>4939</v>
      </c>
      <c r="G1383" t="s">
        <v>4939</v>
      </c>
      <c r="H1383">
        <v>5948498</v>
      </c>
      <c r="I1383">
        <v>2349975</v>
      </c>
      <c r="J1383">
        <v>0.41391141109537399</v>
      </c>
      <c r="K1383">
        <v>2462151.2010780098</v>
      </c>
      <c r="L1383">
        <v>2349975</v>
      </c>
      <c r="M1383">
        <v>599</v>
      </c>
    </row>
    <row r="1384" spans="1:13" ht="15">
      <c r="A1384" t="s">
        <v>3559</v>
      </c>
      <c r="B1384" s="1040" t="str">
        <f>CONCATENATE(LEFT(RIGHT(CONCATENATE("000",IFAData_TEA_1718!A1384),6),3),"-",(RIGHT(RIGHT(CONCATENATE("000",IFAData_TEA_1718!A1384),6),3)))</f>
        <v>108-912</v>
      </c>
      <c r="C1384" t="s">
        <v>1897</v>
      </c>
      <c r="D1384">
        <v>9</v>
      </c>
      <c r="E1384">
        <v>1985</v>
      </c>
      <c r="F1384" t="s">
        <v>4939</v>
      </c>
      <c r="G1384" t="s">
        <v>4938</v>
      </c>
      <c r="H1384">
        <v>5948498</v>
      </c>
      <c r="I1384">
        <v>2193358</v>
      </c>
      <c r="J1384">
        <v>0.38632577147302799</v>
      </c>
      <c r="K1384">
        <v>2298058.0789557602</v>
      </c>
      <c r="L1384">
        <v>2193358</v>
      </c>
      <c r="M1384">
        <v>599</v>
      </c>
    </row>
    <row r="1385" spans="1:13" ht="15">
      <c r="A1385" t="s">
        <v>3559</v>
      </c>
      <c r="B1385" s="1040" t="str">
        <f>CONCATENATE(LEFT(RIGHT(CONCATENATE("000",IFAData_TEA_1718!A1385),6),3),"-",(RIGHT(RIGHT(CONCATENATE("000",IFAData_TEA_1718!A1385),6),3)))</f>
        <v>108-912</v>
      </c>
      <c r="C1385" t="s">
        <v>1897</v>
      </c>
      <c r="D1385">
        <v>9</v>
      </c>
      <c r="E1385">
        <v>1985</v>
      </c>
      <c r="F1385" t="s">
        <v>4939</v>
      </c>
      <c r="G1385" t="s">
        <v>6270</v>
      </c>
      <c r="H1385">
        <v>5948498</v>
      </c>
      <c r="I1385">
        <v>1024764</v>
      </c>
      <c r="J1385">
        <v>0.180496181142242</v>
      </c>
      <c r="K1385">
        <v>1073681.17253226</v>
      </c>
      <c r="L1385">
        <v>1024764</v>
      </c>
      <c r="M1385">
        <v>599</v>
      </c>
    </row>
    <row r="1386" spans="1:13" ht="15">
      <c r="A1386" t="s">
        <v>3559</v>
      </c>
      <c r="B1386" s="1040" t="str">
        <f>CONCATENATE(LEFT(RIGHT(CONCATENATE("000",IFAData_TEA_1718!A1386),6),3),"-",(RIGHT(RIGHT(CONCATENATE("000",IFAData_TEA_1718!A1386),6),3)))</f>
        <v>108-912</v>
      </c>
      <c r="C1386" t="s">
        <v>1897</v>
      </c>
      <c r="D1386">
        <v>9</v>
      </c>
      <c r="E1386">
        <v>1985</v>
      </c>
      <c r="F1386" t="s">
        <v>4939</v>
      </c>
      <c r="G1386" t="s">
        <v>8414</v>
      </c>
      <c r="H1386">
        <v>5948498</v>
      </c>
      <c r="I1386">
        <v>109386</v>
      </c>
      <c r="J1386">
        <v>1.9266636289355699E-2</v>
      </c>
      <c r="K1386">
        <v>114607.54743396</v>
      </c>
      <c r="L1386">
        <v>109386</v>
      </c>
      <c r="M1386">
        <v>599</v>
      </c>
    </row>
    <row r="1387" spans="1:13" ht="15">
      <c r="A1387" t="s">
        <v>3560</v>
      </c>
      <c r="B1387" s="1040" t="str">
        <f>CONCATENATE(LEFT(RIGHT(CONCATENATE("000",IFAData_TEA_1718!A1387),6),3),"-",(RIGHT(RIGHT(CONCATENATE("000",IFAData_TEA_1718!A1387),6),3)))</f>
        <v>108-913</v>
      </c>
      <c r="C1387" t="s">
        <v>141</v>
      </c>
      <c r="D1387">
        <v>4</v>
      </c>
      <c r="E1387">
        <v>2440</v>
      </c>
      <c r="F1387" t="s">
        <v>4940</v>
      </c>
      <c r="G1387" t="s">
        <v>4940</v>
      </c>
      <c r="H1387">
        <v>1471397</v>
      </c>
      <c r="I1387">
        <v>0</v>
      </c>
      <c r="J1387">
        <v>0</v>
      </c>
      <c r="K1387">
        <v>0</v>
      </c>
      <c r="L1387">
        <v>0</v>
      </c>
      <c r="M1387">
        <v>599</v>
      </c>
    </row>
    <row r="1388" spans="1:13" ht="15">
      <c r="A1388" t="s">
        <v>3560</v>
      </c>
      <c r="B1388" s="1040" t="str">
        <f>CONCATENATE(LEFT(RIGHT(CONCATENATE("000",IFAData_TEA_1718!A1388),6),3),"-",(RIGHT(RIGHT(CONCATENATE("000",IFAData_TEA_1718!A1388),6),3)))</f>
        <v>108-913</v>
      </c>
      <c r="C1388" t="s">
        <v>141</v>
      </c>
      <c r="D1388">
        <v>4</v>
      </c>
      <c r="E1388">
        <v>2440</v>
      </c>
      <c r="F1388" t="s">
        <v>4940</v>
      </c>
      <c r="G1388" t="s">
        <v>4941</v>
      </c>
      <c r="H1388">
        <v>1471397</v>
      </c>
      <c r="I1388">
        <v>0</v>
      </c>
      <c r="J1388">
        <v>0</v>
      </c>
      <c r="K1388">
        <v>0</v>
      </c>
      <c r="L1388">
        <v>0</v>
      </c>
      <c r="M1388">
        <v>599</v>
      </c>
    </row>
    <row r="1389" spans="1:13" ht="15">
      <c r="A1389" t="s">
        <v>3560</v>
      </c>
      <c r="B1389" s="1040" t="str">
        <f>CONCATENATE(LEFT(RIGHT(CONCATENATE("000",IFAData_TEA_1718!A1389),6),3),"-",(RIGHT(RIGHT(CONCATENATE("000",IFAData_TEA_1718!A1389),6),3)))</f>
        <v>108-913</v>
      </c>
      <c r="C1389" t="s">
        <v>141</v>
      </c>
      <c r="D1389">
        <v>4</v>
      </c>
      <c r="E1389">
        <v>2440</v>
      </c>
      <c r="F1389" t="s">
        <v>4940</v>
      </c>
      <c r="G1389" t="s">
        <v>6272</v>
      </c>
      <c r="H1389">
        <v>1471397</v>
      </c>
      <c r="I1389">
        <v>1144583</v>
      </c>
      <c r="J1389">
        <v>1</v>
      </c>
      <c r="K1389">
        <v>1471397</v>
      </c>
      <c r="L1389">
        <v>1144583</v>
      </c>
      <c r="M1389">
        <v>599</v>
      </c>
    </row>
    <row r="1390" spans="1:13" ht="15">
      <c r="A1390" t="s">
        <v>3560</v>
      </c>
      <c r="B1390" s="1040" t="str">
        <f>CONCATENATE(LEFT(RIGHT(CONCATENATE("000",IFAData_TEA_1718!A1390),6),3),"-",(RIGHT(RIGHT(CONCATENATE("000",IFAData_TEA_1718!A1390),6),3)))</f>
        <v>108-913</v>
      </c>
      <c r="C1390" t="s">
        <v>141</v>
      </c>
      <c r="D1390">
        <v>8</v>
      </c>
      <c r="E1390">
        <v>2441</v>
      </c>
      <c r="F1390" t="s">
        <v>4942</v>
      </c>
      <c r="G1390" t="s">
        <v>4942</v>
      </c>
      <c r="H1390">
        <v>1506042</v>
      </c>
      <c r="I1390">
        <v>0</v>
      </c>
      <c r="J1390">
        <v>0</v>
      </c>
      <c r="K1390">
        <v>0</v>
      </c>
      <c r="L1390">
        <v>0</v>
      </c>
      <c r="M1390">
        <v>599</v>
      </c>
    </row>
    <row r="1391" spans="1:13" ht="15">
      <c r="A1391" t="s">
        <v>3560</v>
      </c>
      <c r="B1391" s="1040" t="str">
        <f>CONCATENATE(LEFT(RIGHT(CONCATENATE("000",IFAData_TEA_1718!A1391),6),3),"-",(RIGHT(RIGHT(CONCATENATE("000",IFAData_TEA_1718!A1391),6),3)))</f>
        <v>108-913</v>
      </c>
      <c r="C1391" t="s">
        <v>141</v>
      </c>
      <c r="D1391">
        <v>8</v>
      </c>
      <c r="E1391">
        <v>2441</v>
      </c>
      <c r="F1391" t="s">
        <v>4942</v>
      </c>
      <c r="G1391" t="s">
        <v>6271</v>
      </c>
      <c r="H1391">
        <v>1506042</v>
      </c>
      <c r="I1391">
        <v>827250</v>
      </c>
      <c r="J1391">
        <v>1</v>
      </c>
      <c r="K1391">
        <v>1506042</v>
      </c>
      <c r="L1391">
        <v>827250</v>
      </c>
      <c r="M1391">
        <v>599</v>
      </c>
    </row>
    <row r="1392" spans="1:13" ht="15">
      <c r="A1392" t="s">
        <v>3560</v>
      </c>
      <c r="B1392" s="1040" t="str">
        <f>CONCATENATE(LEFT(RIGHT(CONCATENATE("000",IFAData_TEA_1718!A1392),6),3),"-",(RIGHT(RIGHT(CONCATENATE("000",IFAData_TEA_1718!A1392),6),3)))</f>
        <v>108-913</v>
      </c>
      <c r="C1392" t="s">
        <v>141</v>
      </c>
      <c r="D1392">
        <v>9</v>
      </c>
      <c r="E1392">
        <v>2442</v>
      </c>
      <c r="F1392" t="s">
        <v>4943</v>
      </c>
      <c r="G1392" t="s">
        <v>4943</v>
      </c>
      <c r="H1392">
        <v>1586343</v>
      </c>
      <c r="I1392">
        <v>632400</v>
      </c>
      <c r="J1392">
        <v>0.45042735042734999</v>
      </c>
      <c r="K1392">
        <v>714532.27435897395</v>
      </c>
      <c r="L1392">
        <v>632400</v>
      </c>
      <c r="M1392">
        <v>599</v>
      </c>
    </row>
    <row r="1393" spans="1:13" ht="15">
      <c r="A1393" t="s">
        <v>3560</v>
      </c>
      <c r="B1393" s="1040" t="str">
        <f>CONCATENATE(LEFT(RIGHT(CONCATENATE("000",IFAData_TEA_1718!A1393),6),3),"-",(RIGHT(RIGHT(CONCATENATE("000",IFAData_TEA_1718!A1393),6),3)))</f>
        <v>108-913</v>
      </c>
      <c r="C1393" t="s">
        <v>141</v>
      </c>
      <c r="D1393">
        <v>9</v>
      </c>
      <c r="E1393">
        <v>2442</v>
      </c>
      <c r="F1393" t="s">
        <v>4943</v>
      </c>
      <c r="G1393" t="s">
        <v>8415</v>
      </c>
      <c r="H1393">
        <v>1586343</v>
      </c>
      <c r="I1393">
        <v>771600</v>
      </c>
      <c r="J1393">
        <v>0.54957264957264995</v>
      </c>
      <c r="K1393">
        <v>871810.72564102605</v>
      </c>
      <c r="L1393">
        <v>771600</v>
      </c>
      <c r="M1393">
        <v>599</v>
      </c>
    </row>
    <row r="1394" spans="1:13" ht="15">
      <c r="A1394" t="s">
        <v>3561</v>
      </c>
      <c r="B1394" s="1040" t="str">
        <f>CONCATENATE(LEFT(RIGHT(CONCATENATE("000",IFAData_TEA_1718!A1394),6),3),"-",(RIGHT(RIGHT(CONCATENATE("000",IFAData_TEA_1718!A1394),6),3)))</f>
        <v>108-914</v>
      </c>
      <c r="C1394" t="s">
        <v>2299</v>
      </c>
      <c r="D1394">
        <v>1</v>
      </c>
      <c r="E1394">
        <v>1993</v>
      </c>
      <c r="F1394" t="s">
        <v>4944</v>
      </c>
      <c r="G1394" t="s">
        <v>4944</v>
      </c>
      <c r="H1394">
        <v>163370</v>
      </c>
      <c r="I1394">
        <v>0</v>
      </c>
      <c r="J1394">
        <v>0</v>
      </c>
      <c r="K1394">
        <v>0</v>
      </c>
      <c r="L1394">
        <v>0</v>
      </c>
      <c r="M1394">
        <v>599</v>
      </c>
    </row>
    <row r="1395" spans="1:13" ht="15">
      <c r="A1395" t="s">
        <v>3561</v>
      </c>
      <c r="B1395" s="1040" t="str">
        <f>CONCATENATE(LEFT(RIGHT(CONCATENATE("000",IFAData_TEA_1718!A1395),6),3),"-",(RIGHT(RIGHT(CONCATENATE("000",IFAData_TEA_1718!A1395),6),3)))</f>
        <v>108-914</v>
      </c>
      <c r="C1395" t="s">
        <v>2299</v>
      </c>
      <c r="D1395">
        <v>1</v>
      </c>
      <c r="E1395">
        <v>1993</v>
      </c>
      <c r="F1395" t="s">
        <v>4944</v>
      </c>
      <c r="G1395" t="s">
        <v>4945</v>
      </c>
      <c r="H1395">
        <v>163370</v>
      </c>
      <c r="I1395">
        <v>140798</v>
      </c>
      <c r="J1395">
        <v>1</v>
      </c>
      <c r="K1395">
        <v>163370</v>
      </c>
      <c r="L1395">
        <v>140798</v>
      </c>
      <c r="M1395">
        <v>599</v>
      </c>
    </row>
    <row r="1396" spans="1:13" ht="15">
      <c r="A1396" t="s">
        <v>3561</v>
      </c>
      <c r="B1396" s="1040" t="str">
        <f>CONCATENATE(LEFT(RIGHT(CONCATENATE("000",IFAData_TEA_1718!A1396),6),3),"-",(RIGHT(RIGHT(CONCATENATE("000",IFAData_TEA_1718!A1396),6),3)))</f>
        <v>108-914</v>
      </c>
      <c r="C1396" t="s">
        <v>2299</v>
      </c>
      <c r="D1396">
        <v>4</v>
      </c>
      <c r="E1396">
        <v>1994</v>
      </c>
      <c r="F1396" t="s">
        <v>4946</v>
      </c>
      <c r="G1396" t="s">
        <v>4946</v>
      </c>
      <c r="H1396">
        <v>173535</v>
      </c>
      <c r="I1396">
        <v>0</v>
      </c>
      <c r="J1396">
        <v>0</v>
      </c>
      <c r="K1396">
        <v>0</v>
      </c>
      <c r="L1396">
        <v>0</v>
      </c>
      <c r="M1396">
        <v>599</v>
      </c>
    </row>
    <row r="1397" spans="1:13" ht="15">
      <c r="A1397" t="s">
        <v>3561</v>
      </c>
      <c r="B1397" s="1040" t="str">
        <f>CONCATENATE(LEFT(RIGHT(CONCATENATE("000",IFAData_TEA_1718!A1397),6),3),"-",(RIGHT(RIGHT(CONCATENATE("000",IFAData_TEA_1718!A1397),6),3)))</f>
        <v>108-914</v>
      </c>
      <c r="C1397" t="s">
        <v>2299</v>
      </c>
      <c r="D1397">
        <v>4</v>
      </c>
      <c r="E1397">
        <v>1994</v>
      </c>
      <c r="F1397" t="s">
        <v>4946</v>
      </c>
      <c r="G1397" t="s">
        <v>4945</v>
      </c>
      <c r="H1397">
        <v>173535</v>
      </c>
      <c r="I1397">
        <v>175217</v>
      </c>
      <c r="J1397">
        <v>1</v>
      </c>
      <c r="K1397">
        <v>173535</v>
      </c>
      <c r="L1397">
        <v>173535</v>
      </c>
      <c r="M1397">
        <v>599</v>
      </c>
    </row>
    <row r="1398" spans="1:13" ht="15">
      <c r="A1398" t="s">
        <v>3562</v>
      </c>
      <c r="B1398" s="1040" t="str">
        <f>CONCATENATE(LEFT(RIGHT(CONCATENATE("000",IFAData_TEA_1718!A1398),6),3),"-",(RIGHT(RIGHT(CONCATENATE("000",IFAData_TEA_1718!A1398),6),3)))</f>
        <v>108-915</v>
      </c>
      <c r="C1398" t="s">
        <v>2242</v>
      </c>
      <c r="D1398">
        <v>4</v>
      </c>
      <c r="E1398">
        <v>2115</v>
      </c>
      <c r="F1398" t="s">
        <v>4947</v>
      </c>
      <c r="G1398" t="s">
        <v>4947</v>
      </c>
      <c r="H1398">
        <v>99356</v>
      </c>
      <c r="I1398">
        <v>0</v>
      </c>
      <c r="J1398">
        <v>0</v>
      </c>
      <c r="K1398">
        <v>0</v>
      </c>
      <c r="L1398">
        <v>0</v>
      </c>
      <c r="M1398">
        <v>599</v>
      </c>
    </row>
    <row r="1399" spans="1:13" ht="15">
      <c r="A1399" t="s">
        <v>3562</v>
      </c>
      <c r="B1399" s="1040" t="str">
        <f>CONCATENATE(LEFT(RIGHT(CONCATENATE("000",IFAData_TEA_1718!A1399),6),3),"-",(RIGHT(RIGHT(CONCATENATE("000",IFAData_TEA_1718!A1399),6),3)))</f>
        <v>108-915</v>
      </c>
      <c r="C1399" t="s">
        <v>2242</v>
      </c>
      <c r="D1399">
        <v>4</v>
      </c>
      <c r="E1399">
        <v>2115</v>
      </c>
      <c r="F1399" t="s">
        <v>4947</v>
      </c>
      <c r="G1399" t="s">
        <v>4948</v>
      </c>
      <c r="H1399">
        <v>99356</v>
      </c>
      <c r="I1399">
        <v>80125</v>
      </c>
      <c r="J1399">
        <v>1</v>
      </c>
      <c r="K1399">
        <v>99356</v>
      </c>
      <c r="L1399">
        <v>80125</v>
      </c>
      <c r="M1399">
        <v>599</v>
      </c>
    </row>
    <row r="1400" spans="1:13" ht="15">
      <c r="A1400" t="s">
        <v>3562</v>
      </c>
      <c r="B1400" s="1040" t="str">
        <f>CONCATENATE(LEFT(RIGHT(CONCATENATE("000",IFAData_TEA_1718!A1400),6),3),"-",(RIGHT(RIGHT(CONCATENATE("000",IFAData_TEA_1718!A1400),6),3)))</f>
        <v>108-915</v>
      </c>
      <c r="C1400" t="s">
        <v>2242</v>
      </c>
      <c r="D1400">
        <v>5</v>
      </c>
      <c r="E1400">
        <v>2116</v>
      </c>
      <c r="F1400" t="s">
        <v>4949</v>
      </c>
      <c r="G1400" t="s">
        <v>4949</v>
      </c>
      <c r="H1400">
        <v>110000</v>
      </c>
      <c r="I1400">
        <v>0</v>
      </c>
      <c r="J1400">
        <v>0</v>
      </c>
      <c r="K1400">
        <v>0</v>
      </c>
      <c r="L1400">
        <v>0</v>
      </c>
      <c r="M1400">
        <v>599</v>
      </c>
    </row>
    <row r="1401" spans="1:13" ht="15">
      <c r="A1401" t="s">
        <v>3562</v>
      </c>
      <c r="B1401" s="1040" t="str">
        <f>CONCATENATE(LEFT(RIGHT(CONCATENATE("000",IFAData_TEA_1718!A1401),6),3),"-",(RIGHT(RIGHT(CONCATENATE("000",IFAData_TEA_1718!A1401),6),3)))</f>
        <v>108-915</v>
      </c>
      <c r="C1401" t="s">
        <v>2242</v>
      </c>
      <c r="D1401">
        <v>5</v>
      </c>
      <c r="E1401">
        <v>2116</v>
      </c>
      <c r="F1401" t="s">
        <v>4949</v>
      </c>
      <c r="G1401" t="s">
        <v>4948</v>
      </c>
      <c r="H1401">
        <v>110000</v>
      </c>
      <c r="I1401">
        <v>92138</v>
      </c>
      <c r="J1401">
        <v>1</v>
      </c>
      <c r="K1401">
        <v>110000</v>
      </c>
      <c r="L1401">
        <v>92138</v>
      </c>
      <c r="M1401">
        <v>599</v>
      </c>
    </row>
    <row r="1402" spans="1:13" ht="15">
      <c r="A1402" t="s">
        <v>3562</v>
      </c>
      <c r="B1402" s="1040" t="str">
        <f>CONCATENATE(LEFT(RIGHT(CONCATENATE("000",IFAData_TEA_1718!A1402),6),3),"-",(RIGHT(RIGHT(CONCATENATE("000",IFAData_TEA_1718!A1402),6),3)))</f>
        <v>108-915</v>
      </c>
      <c r="C1402" t="s">
        <v>2242</v>
      </c>
      <c r="D1402">
        <v>9</v>
      </c>
      <c r="E1402">
        <v>2117</v>
      </c>
      <c r="F1402" t="s">
        <v>4950</v>
      </c>
      <c r="G1402" t="s">
        <v>4950</v>
      </c>
      <c r="H1402">
        <v>152606</v>
      </c>
      <c r="I1402">
        <v>65000</v>
      </c>
      <c r="J1402">
        <v>0.45638055116728099</v>
      </c>
      <c r="K1402">
        <v>69646.410391434096</v>
      </c>
      <c r="L1402">
        <v>65000</v>
      </c>
      <c r="M1402">
        <v>599</v>
      </c>
    </row>
    <row r="1403" spans="1:13" ht="15">
      <c r="A1403" t="s">
        <v>3562</v>
      </c>
      <c r="B1403" s="1040" t="str">
        <f>CONCATENATE(LEFT(RIGHT(CONCATENATE("000",IFAData_TEA_1718!A1403),6),3),"-",(RIGHT(RIGHT(CONCATENATE("000",IFAData_TEA_1718!A1403),6),3)))</f>
        <v>108-915</v>
      </c>
      <c r="C1403" t="s">
        <v>2242</v>
      </c>
      <c r="D1403">
        <v>9</v>
      </c>
      <c r="E1403">
        <v>2117</v>
      </c>
      <c r="F1403" t="s">
        <v>4950</v>
      </c>
      <c r="G1403" t="s">
        <v>8416</v>
      </c>
      <c r="H1403">
        <v>152606</v>
      </c>
      <c r="I1403">
        <v>77425</v>
      </c>
      <c r="J1403">
        <v>0.54361944883271895</v>
      </c>
      <c r="K1403">
        <v>82959.589608565904</v>
      </c>
      <c r="L1403">
        <v>77425</v>
      </c>
      <c r="M1403">
        <v>599</v>
      </c>
    </row>
    <row r="1404" spans="1:13" ht="15">
      <c r="A1404" t="s">
        <v>3562</v>
      </c>
      <c r="B1404" s="1040" t="str">
        <f>CONCATENATE(LEFT(RIGHT(CONCATENATE("000",IFAData_TEA_1718!A1404),6),3),"-",(RIGHT(RIGHT(CONCATENATE("000",IFAData_TEA_1718!A1404),6),3)))</f>
        <v>108-915</v>
      </c>
      <c r="C1404" t="s">
        <v>2242</v>
      </c>
      <c r="D1404">
        <v>10</v>
      </c>
      <c r="E1404">
        <v>2118</v>
      </c>
      <c r="F1404" t="s">
        <v>4951</v>
      </c>
      <c r="G1404" t="s">
        <v>4951</v>
      </c>
      <c r="H1404">
        <v>184727</v>
      </c>
      <c r="I1404">
        <v>629750</v>
      </c>
      <c r="J1404">
        <v>1</v>
      </c>
      <c r="K1404">
        <v>184727</v>
      </c>
      <c r="L1404">
        <v>184727</v>
      </c>
      <c r="M1404">
        <v>599</v>
      </c>
    </row>
    <row r="1405" spans="1:13" ht="15">
      <c r="A1405" t="s">
        <v>3563</v>
      </c>
      <c r="B1405" s="1040" t="str">
        <f>CONCATENATE(LEFT(RIGHT(CONCATENATE("000",IFAData_TEA_1718!A1405),6),3),"-",(RIGHT(RIGHT(CONCATENATE("000",IFAData_TEA_1718!A1405),6),3)))</f>
        <v>108-916</v>
      </c>
      <c r="C1405" t="s">
        <v>2364</v>
      </c>
      <c r="D1405">
        <v>1</v>
      </c>
      <c r="E1405">
        <v>2413</v>
      </c>
      <c r="F1405" t="s">
        <v>4952</v>
      </c>
      <c r="G1405" t="s">
        <v>4952</v>
      </c>
      <c r="H1405">
        <v>401791</v>
      </c>
      <c r="I1405">
        <v>0</v>
      </c>
      <c r="J1405">
        <v>0</v>
      </c>
      <c r="K1405"/>
      <c r="L1405">
        <v>0</v>
      </c>
      <c r="M1405">
        <v>599</v>
      </c>
    </row>
    <row r="1406" spans="1:13" ht="15">
      <c r="A1406" t="s">
        <v>3563</v>
      </c>
      <c r="B1406" s="1040" t="str">
        <f>CONCATENATE(LEFT(RIGHT(CONCATENATE("000",IFAData_TEA_1718!A1406),6),3),"-",(RIGHT(RIGHT(CONCATENATE("000",IFAData_TEA_1718!A1406),6),3)))</f>
        <v>108-916</v>
      </c>
      <c r="C1406" t="s">
        <v>2364</v>
      </c>
      <c r="D1406">
        <v>4</v>
      </c>
      <c r="E1406">
        <v>2414</v>
      </c>
      <c r="F1406" t="s">
        <v>4953</v>
      </c>
      <c r="G1406" t="s">
        <v>4953</v>
      </c>
      <c r="H1406">
        <v>511379</v>
      </c>
      <c r="I1406">
        <v>0</v>
      </c>
      <c r="J1406">
        <v>0</v>
      </c>
      <c r="K1406">
        <v>0</v>
      </c>
      <c r="L1406">
        <v>0</v>
      </c>
      <c r="M1406">
        <v>599</v>
      </c>
    </row>
    <row r="1407" spans="1:13" ht="15">
      <c r="A1407" t="s">
        <v>3563</v>
      </c>
      <c r="B1407" s="1040" t="str">
        <f>CONCATENATE(LEFT(RIGHT(CONCATENATE("000",IFAData_TEA_1718!A1407),6),3),"-",(RIGHT(RIGHT(CONCATENATE("000",IFAData_TEA_1718!A1407),6),3)))</f>
        <v>108-916</v>
      </c>
      <c r="C1407" t="s">
        <v>2364</v>
      </c>
      <c r="D1407">
        <v>4</v>
      </c>
      <c r="E1407">
        <v>2414</v>
      </c>
      <c r="F1407" t="s">
        <v>4953</v>
      </c>
      <c r="G1407" t="s">
        <v>4954</v>
      </c>
      <c r="H1407">
        <v>511379</v>
      </c>
      <c r="I1407">
        <v>484774</v>
      </c>
      <c r="J1407">
        <v>0.51241358899012701</v>
      </c>
      <c r="K1407">
        <v>262037.54872418201</v>
      </c>
      <c r="L1407">
        <v>262037.54872418201</v>
      </c>
      <c r="M1407">
        <v>599</v>
      </c>
    </row>
    <row r="1408" spans="1:13" ht="15">
      <c r="A1408" t="s">
        <v>3563</v>
      </c>
      <c r="B1408" s="1040" t="str">
        <f>CONCATENATE(LEFT(RIGHT(CONCATENATE("000",IFAData_TEA_1718!A1408),6),3),"-",(RIGHT(RIGHT(CONCATENATE("000",IFAData_TEA_1718!A1408),6),3)))</f>
        <v>108-916</v>
      </c>
      <c r="C1408" t="s">
        <v>2364</v>
      </c>
      <c r="D1408">
        <v>4</v>
      </c>
      <c r="E1408">
        <v>2414</v>
      </c>
      <c r="F1408" t="s">
        <v>4953</v>
      </c>
      <c r="G1408" t="s">
        <v>6480</v>
      </c>
      <c r="H1408">
        <v>511379</v>
      </c>
      <c r="I1408">
        <v>461286</v>
      </c>
      <c r="J1408">
        <v>0.48758641100987299</v>
      </c>
      <c r="K1408">
        <v>249341.45127581799</v>
      </c>
      <c r="L1408">
        <v>249341.45127581799</v>
      </c>
      <c r="M1408">
        <v>599</v>
      </c>
    </row>
    <row r="1409" spans="1:13" ht="15">
      <c r="A1409" t="s">
        <v>3563</v>
      </c>
      <c r="B1409" s="1040" t="str">
        <f>CONCATENATE(LEFT(RIGHT(CONCATENATE("000",IFAData_TEA_1718!A1409),6),3),"-",(RIGHT(RIGHT(CONCATENATE("000",IFAData_TEA_1718!A1409),6),3)))</f>
        <v>108-916</v>
      </c>
      <c r="C1409" t="s">
        <v>2364</v>
      </c>
      <c r="D1409">
        <v>5</v>
      </c>
      <c r="E1409">
        <v>2412</v>
      </c>
      <c r="F1409" t="s">
        <v>4955</v>
      </c>
      <c r="G1409" t="s">
        <v>4955</v>
      </c>
      <c r="H1409">
        <v>164762</v>
      </c>
      <c r="I1409">
        <v>0</v>
      </c>
      <c r="J1409">
        <v>0</v>
      </c>
      <c r="K1409">
        <v>0</v>
      </c>
      <c r="L1409">
        <v>0</v>
      </c>
      <c r="M1409">
        <v>599</v>
      </c>
    </row>
    <row r="1410" spans="1:13" ht="15">
      <c r="A1410" t="s">
        <v>3563</v>
      </c>
      <c r="B1410" s="1040" t="str">
        <f>CONCATENATE(LEFT(RIGHT(CONCATENATE("000",IFAData_TEA_1718!A1410),6),3),"-",(RIGHT(RIGHT(CONCATENATE("000",IFAData_TEA_1718!A1410),6),3)))</f>
        <v>108-916</v>
      </c>
      <c r="C1410" t="s">
        <v>2364</v>
      </c>
      <c r="D1410">
        <v>5</v>
      </c>
      <c r="E1410">
        <v>2412</v>
      </c>
      <c r="F1410" t="s">
        <v>4955</v>
      </c>
      <c r="G1410" t="s">
        <v>4954</v>
      </c>
      <c r="H1410">
        <v>164762</v>
      </c>
      <c r="I1410">
        <v>159001</v>
      </c>
      <c r="J1410">
        <v>0.50273021895502301</v>
      </c>
      <c r="K1410">
        <v>82830.836335467597</v>
      </c>
      <c r="L1410">
        <v>82830.836335467597</v>
      </c>
      <c r="M1410">
        <v>599</v>
      </c>
    </row>
    <row r="1411" spans="1:13" ht="15">
      <c r="A1411" t="s">
        <v>3563</v>
      </c>
      <c r="B1411" s="1040" t="str">
        <f>CONCATENATE(LEFT(RIGHT(CONCATENATE("000",IFAData_TEA_1718!A1411),6),3),"-",(RIGHT(RIGHT(CONCATENATE("000",IFAData_TEA_1718!A1411),6),3)))</f>
        <v>108-916</v>
      </c>
      <c r="C1411" t="s">
        <v>2364</v>
      </c>
      <c r="D1411">
        <v>5</v>
      </c>
      <c r="E1411">
        <v>2412</v>
      </c>
      <c r="F1411" t="s">
        <v>4955</v>
      </c>
      <c r="G1411" t="s">
        <v>6480</v>
      </c>
      <c r="H1411">
        <v>164762</v>
      </c>
      <c r="I1411">
        <v>157274</v>
      </c>
      <c r="J1411">
        <v>0.49726978104497699</v>
      </c>
      <c r="K1411">
        <v>81931.163664532403</v>
      </c>
      <c r="L1411">
        <v>81931.163664532403</v>
      </c>
      <c r="M1411">
        <v>599</v>
      </c>
    </row>
    <row r="1412" spans="1:13" ht="15">
      <c r="A1412" t="s">
        <v>3563</v>
      </c>
      <c r="B1412" s="1040" t="str">
        <f>CONCATENATE(LEFT(RIGHT(CONCATENATE("000",IFAData_TEA_1718!A1412),6),3),"-",(RIGHT(RIGHT(CONCATENATE("000",IFAData_TEA_1718!A1412),6),3)))</f>
        <v>108-916</v>
      </c>
      <c r="C1412" t="s">
        <v>2364</v>
      </c>
      <c r="D1412">
        <v>7</v>
      </c>
      <c r="E1412">
        <v>2415</v>
      </c>
      <c r="F1412" t="s">
        <v>4956</v>
      </c>
      <c r="G1412" t="s">
        <v>4956</v>
      </c>
      <c r="H1412">
        <v>753475</v>
      </c>
      <c r="I1412">
        <v>0</v>
      </c>
      <c r="J1412">
        <v>0</v>
      </c>
      <c r="K1412">
        <v>0</v>
      </c>
      <c r="L1412">
        <v>0</v>
      </c>
      <c r="M1412">
        <v>599</v>
      </c>
    </row>
    <row r="1413" spans="1:13" ht="15">
      <c r="A1413" t="s">
        <v>3563</v>
      </c>
      <c r="B1413" s="1040" t="str">
        <f>CONCATENATE(LEFT(RIGHT(CONCATENATE("000",IFAData_TEA_1718!A1413),6),3),"-",(RIGHT(RIGHT(CONCATENATE("000",IFAData_TEA_1718!A1413),6),3)))</f>
        <v>108-916</v>
      </c>
      <c r="C1413" t="s">
        <v>2364</v>
      </c>
      <c r="D1413">
        <v>7</v>
      </c>
      <c r="E1413">
        <v>2415</v>
      </c>
      <c r="F1413" t="s">
        <v>4956</v>
      </c>
      <c r="G1413" t="s">
        <v>4957</v>
      </c>
      <c r="H1413">
        <v>753475</v>
      </c>
      <c r="I1413">
        <v>296893</v>
      </c>
      <c r="J1413">
        <v>0.41301278297050698</v>
      </c>
      <c r="K1413">
        <v>311194.806648703</v>
      </c>
      <c r="L1413">
        <v>296893</v>
      </c>
      <c r="M1413">
        <v>599</v>
      </c>
    </row>
    <row r="1414" spans="1:13" ht="15">
      <c r="A1414" t="s">
        <v>3563</v>
      </c>
      <c r="B1414" s="1040" t="str">
        <f>CONCATENATE(LEFT(RIGHT(CONCATENATE("000",IFAData_TEA_1718!A1414),6),3),"-",(RIGHT(RIGHT(CONCATENATE("000",IFAData_TEA_1718!A1414),6),3)))</f>
        <v>108-916</v>
      </c>
      <c r="C1414" t="s">
        <v>2364</v>
      </c>
      <c r="D1414">
        <v>7</v>
      </c>
      <c r="E1414">
        <v>2415</v>
      </c>
      <c r="F1414" t="s">
        <v>4956</v>
      </c>
      <c r="G1414" t="s">
        <v>4958</v>
      </c>
      <c r="H1414">
        <v>753475</v>
      </c>
      <c r="I1414">
        <v>421954</v>
      </c>
      <c r="J1414">
        <v>0.58698721702949297</v>
      </c>
      <c r="K1414">
        <v>442280.193351297</v>
      </c>
      <c r="L1414">
        <v>421954</v>
      </c>
      <c r="M1414">
        <v>599</v>
      </c>
    </row>
    <row r="1415" spans="1:13" ht="15">
      <c r="A1415" t="s">
        <v>3563</v>
      </c>
      <c r="B1415" s="1040" t="str">
        <f>CONCATENATE(LEFT(RIGHT(CONCATENATE("000",IFAData_TEA_1718!A1415),6),3),"-",(RIGHT(RIGHT(CONCATENATE("000",IFAData_TEA_1718!A1415),6),3)))</f>
        <v>108-916</v>
      </c>
      <c r="C1415" t="s">
        <v>2364</v>
      </c>
      <c r="D1415">
        <v>7</v>
      </c>
      <c r="E1415">
        <v>2415</v>
      </c>
      <c r="F1415" t="s">
        <v>4956</v>
      </c>
      <c r="G1415" t="s">
        <v>6273</v>
      </c>
      <c r="H1415">
        <v>753475</v>
      </c>
      <c r="I1415">
        <v>0</v>
      </c>
      <c r="J1415">
        <v>0</v>
      </c>
      <c r="K1415">
        <v>0</v>
      </c>
      <c r="L1415">
        <v>0</v>
      </c>
      <c r="M1415">
        <v>599</v>
      </c>
    </row>
    <row r="1416" spans="1:13" ht="15">
      <c r="A1416" t="s">
        <v>3563</v>
      </c>
      <c r="B1416" s="1040" t="str">
        <f>CONCATENATE(LEFT(RIGHT(CONCATENATE("000",IFAData_TEA_1718!A1416),6),3),"-",(RIGHT(RIGHT(CONCATENATE("000",IFAData_TEA_1718!A1416),6),3)))</f>
        <v>108-916</v>
      </c>
      <c r="C1416" t="s">
        <v>2364</v>
      </c>
      <c r="D1416">
        <v>8</v>
      </c>
      <c r="E1416">
        <v>2416</v>
      </c>
      <c r="F1416" t="s">
        <v>4959</v>
      </c>
      <c r="G1416" t="s">
        <v>4959</v>
      </c>
      <c r="H1416">
        <v>913768</v>
      </c>
      <c r="I1416">
        <v>0</v>
      </c>
      <c r="J1416">
        <v>0</v>
      </c>
      <c r="K1416">
        <v>0</v>
      </c>
      <c r="L1416">
        <v>0</v>
      </c>
      <c r="M1416">
        <v>599</v>
      </c>
    </row>
    <row r="1417" spans="1:13" ht="15">
      <c r="A1417" t="s">
        <v>3563</v>
      </c>
      <c r="B1417" s="1040" t="str">
        <f>CONCATENATE(LEFT(RIGHT(CONCATENATE("000",IFAData_TEA_1718!A1417),6),3),"-",(RIGHT(RIGHT(CONCATENATE("000",IFAData_TEA_1718!A1417),6),3)))</f>
        <v>108-916</v>
      </c>
      <c r="C1417" t="s">
        <v>2364</v>
      </c>
      <c r="D1417">
        <v>8</v>
      </c>
      <c r="E1417">
        <v>2416</v>
      </c>
      <c r="F1417" t="s">
        <v>4959</v>
      </c>
      <c r="G1417" t="s">
        <v>4958</v>
      </c>
      <c r="H1417">
        <v>913768</v>
      </c>
      <c r="I1417">
        <v>256095</v>
      </c>
      <c r="J1417">
        <v>0.270700653774398</v>
      </c>
      <c r="K1417">
        <v>247357.594998124</v>
      </c>
      <c r="L1417">
        <v>247357.594998124</v>
      </c>
      <c r="M1417">
        <v>599</v>
      </c>
    </row>
    <row r="1418" spans="1:13" ht="15">
      <c r="A1418" t="s">
        <v>3563</v>
      </c>
      <c r="B1418" s="1040" t="str">
        <f>CONCATENATE(LEFT(RIGHT(CONCATENATE("000",IFAData_TEA_1718!A1418),6),3),"-",(RIGHT(RIGHT(CONCATENATE("000",IFAData_TEA_1718!A1418),6),3)))</f>
        <v>108-916</v>
      </c>
      <c r="C1418" t="s">
        <v>2364</v>
      </c>
      <c r="D1418">
        <v>8</v>
      </c>
      <c r="E1418">
        <v>2416</v>
      </c>
      <c r="F1418" t="s">
        <v>4959</v>
      </c>
      <c r="G1418" t="s">
        <v>6273</v>
      </c>
      <c r="H1418">
        <v>913768</v>
      </c>
      <c r="I1418">
        <v>689950</v>
      </c>
      <c r="J1418">
        <v>0.729299346225602</v>
      </c>
      <c r="K1418">
        <v>666410.40500187594</v>
      </c>
      <c r="L1418">
        <v>666410.40500187594</v>
      </c>
      <c r="M1418">
        <v>599</v>
      </c>
    </row>
    <row r="1419" spans="1:13" ht="15">
      <c r="A1419" t="s">
        <v>3563</v>
      </c>
      <c r="B1419" s="1040" t="str">
        <f>CONCATENATE(LEFT(RIGHT(CONCATENATE("000",IFAData_TEA_1718!A1419),6),3),"-",(RIGHT(RIGHT(CONCATENATE("000",IFAData_TEA_1718!A1419),6),3)))</f>
        <v>108-916</v>
      </c>
      <c r="C1419" t="s">
        <v>2364</v>
      </c>
      <c r="D1419">
        <v>9</v>
      </c>
      <c r="E1419">
        <v>2417</v>
      </c>
      <c r="F1419" t="s">
        <v>4960</v>
      </c>
      <c r="G1419" t="s">
        <v>4960</v>
      </c>
      <c r="H1419">
        <v>1075060</v>
      </c>
      <c r="I1419">
        <v>722019</v>
      </c>
      <c r="J1419">
        <v>0.718842435278504</v>
      </c>
      <c r="K1419">
        <v>772798.74847050896</v>
      </c>
      <c r="L1419">
        <v>722019</v>
      </c>
      <c r="M1419">
        <v>599</v>
      </c>
    </row>
    <row r="1420" spans="1:13" ht="15">
      <c r="A1420" t="s">
        <v>3563</v>
      </c>
      <c r="B1420" s="1040" t="str">
        <f>CONCATENATE(LEFT(RIGHT(CONCATENATE("000",IFAData_TEA_1718!A1420),6),3),"-",(RIGHT(RIGHT(CONCATENATE("000",IFAData_TEA_1718!A1420),6),3)))</f>
        <v>108-916</v>
      </c>
      <c r="C1420" t="s">
        <v>2364</v>
      </c>
      <c r="D1420">
        <v>9</v>
      </c>
      <c r="E1420">
        <v>2417</v>
      </c>
      <c r="F1420" t="s">
        <v>4960</v>
      </c>
      <c r="G1420" t="s">
        <v>6481</v>
      </c>
      <c r="H1420">
        <v>1075060</v>
      </c>
      <c r="I1420">
        <v>282400</v>
      </c>
      <c r="J1420">
        <v>0.281157564721496</v>
      </c>
      <c r="K1420">
        <v>302261.25152949098</v>
      </c>
      <c r="L1420">
        <v>282400</v>
      </c>
      <c r="M1420">
        <v>599</v>
      </c>
    </row>
    <row r="1421" spans="1:13" ht="15">
      <c r="A1421" t="s">
        <v>3564</v>
      </c>
      <c r="B1421" s="1040" t="str">
        <f>CONCATENATE(LEFT(RIGHT(CONCATENATE("000",IFAData_TEA_1718!A1421),6),3),"-",(RIGHT(RIGHT(CONCATENATE("000",IFAData_TEA_1718!A1421),6),3)))</f>
        <v>109-901</v>
      </c>
      <c r="C1421" t="s">
        <v>2150</v>
      </c>
      <c r="D1421">
        <v>9</v>
      </c>
      <c r="E1421">
        <v>1541</v>
      </c>
      <c r="F1421" t="s">
        <v>4961</v>
      </c>
      <c r="G1421" t="s">
        <v>4961</v>
      </c>
      <c r="H1421">
        <v>100000</v>
      </c>
      <c r="I1421">
        <v>0</v>
      </c>
      <c r="J1421">
        <v>0</v>
      </c>
      <c r="K1421">
        <v>0</v>
      </c>
      <c r="L1421">
        <v>0</v>
      </c>
      <c r="M1421">
        <v>599</v>
      </c>
    </row>
    <row r="1422" spans="1:13" ht="15">
      <c r="A1422" t="s">
        <v>3564</v>
      </c>
      <c r="B1422" s="1040" t="str">
        <f>CONCATENATE(LEFT(RIGHT(CONCATENATE("000",IFAData_TEA_1718!A1422),6),3),"-",(RIGHT(RIGHT(CONCATENATE("000",IFAData_TEA_1718!A1422),6),3)))</f>
        <v>109-901</v>
      </c>
      <c r="C1422" t="s">
        <v>2150</v>
      </c>
      <c r="D1422">
        <v>9</v>
      </c>
      <c r="E1422">
        <v>1541</v>
      </c>
      <c r="F1422" t="s">
        <v>4961</v>
      </c>
      <c r="G1422" t="s">
        <v>6274</v>
      </c>
      <c r="H1422">
        <v>100000</v>
      </c>
      <c r="I1422">
        <v>236963</v>
      </c>
      <c r="J1422">
        <v>1</v>
      </c>
      <c r="K1422">
        <v>100000</v>
      </c>
      <c r="L1422">
        <v>100000</v>
      </c>
      <c r="M1422">
        <v>599</v>
      </c>
    </row>
    <row r="1423" spans="1:13" ht="15">
      <c r="A1423" t="s">
        <v>3565</v>
      </c>
      <c r="B1423" s="1040" t="str">
        <f>CONCATENATE(LEFT(RIGHT(CONCATENATE("000",IFAData_TEA_1718!A1423),6),3),"-",(RIGHT(RIGHT(CONCATENATE("000",IFAData_TEA_1718!A1423),6),3)))</f>
        <v>109-902</v>
      </c>
      <c r="C1423" t="s">
        <v>898</v>
      </c>
      <c r="D1423">
        <v>6</v>
      </c>
      <c r="E1423">
        <v>1656</v>
      </c>
      <c r="F1423" t="s">
        <v>4962</v>
      </c>
      <c r="G1423" t="s">
        <v>4962</v>
      </c>
      <c r="H1423">
        <v>93778</v>
      </c>
      <c r="I1423">
        <v>0</v>
      </c>
      <c r="J1423">
        <v>0</v>
      </c>
      <c r="K1423">
        <v>0</v>
      </c>
      <c r="L1423">
        <v>0</v>
      </c>
      <c r="M1423">
        <v>599</v>
      </c>
    </row>
    <row r="1424" spans="1:13" ht="15">
      <c r="A1424" t="s">
        <v>3565</v>
      </c>
      <c r="B1424" s="1040" t="str">
        <f>CONCATENATE(LEFT(RIGHT(CONCATENATE("000",IFAData_TEA_1718!A1424),6),3),"-",(RIGHT(RIGHT(CONCATENATE("000",IFAData_TEA_1718!A1424),6),3)))</f>
        <v>109-902</v>
      </c>
      <c r="C1424" t="s">
        <v>898</v>
      </c>
      <c r="D1424">
        <v>6</v>
      </c>
      <c r="E1424">
        <v>1656</v>
      </c>
      <c r="F1424" t="s">
        <v>4962</v>
      </c>
      <c r="G1424" t="s">
        <v>4963</v>
      </c>
      <c r="H1424">
        <v>93778</v>
      </c>
      <c r="I1424">
        <v>89975</v>
      </c>
      <c r="J1424">
        <v>1</v>
      </c>
      <c r="K1424">
        <v>93778</v>
      </c>
      <c r="L1424">
        <v>89975</v>
      </c>
      <c r="M1424">
        <v>599</v>
      </c>
    </row>
    <row r="1425" spans="1:13" ht="15">
      <c r="A1425" t="s">
        <v>4964</v>
      </c>
      <c r="B1425" s="1040" t="str">
        <f>CONCATENATE(LEFT(RIGHT(CONCATENATE("000",IFAData_TEA_1718!A1425),6),3),"-",(RIGHT(RIGHT(CONCATENATE("000",IFAData_TEA_1718!A1425),6),3)))</f>
        <v>109-903</v>
      </c>
      <c r="C1425" t="s">
        <v>667</v>
      </c>
      <c r="D1425">
        <v>3</v>
      </c>
      <c r="E1425">
        <v>1727</v>
      </c>
      <c r="F1425" t="s">
        <v>4965</v>
      </c>
      <c r="G1425" t="s">
        <v>4965</v>
      </c>
      <c r="H1425">
        <v>111000</v>
      </c>
      <c r="I1425">
        <v>0</v>
      </c>
      <c r="J1425">
        <v>0</v>
      </c>
      <c r="K1425"/>
      <c r="L1425">
        <v>0</v>
      </c>
      <c r="M1425">
        <v>199</v>
      </c>
    </row>
    <row r="1426" spans="1:13" ht="15">
      <c r="A1426" t="s">
        <v>3566</v>
      </c>
      <c r="B1426" s="1040" t="str">
        <f>CONCATENATE(LEFT(RIGHT(CONCATENATE("000",IFAData_TEA_1718!A1426),6),3),"-",(RIGHT(RIGHT(CONCATENATE("000",IFAData_TEA_1718!A1426),6),3)))</f>
        <v>109-904</v>
      </c>
      <c r="C1426" t="s">
        <v>2376</v>
      </c>
      <c r="D1426">
        <v>1</v>
      </c>
      <c r="E1426">
        <v>1892</v>
      </c>
      <c r="F1426" t="s">
        <v>4966</v>
      </c>
      <c r="G1426" t="s">
        <v>4966</v>
      </c>
      <c r="H1426">
        <v>373075</v>
      </c>
      <c r="I1426">
        <v>0</v>
      </c>
      <c r="J1426">
        <v>0</v>
      </c>
      <c r="K1426">
        <v>0</v>
      </c>
      <c r="L1426">
        <v>0</v>
      </c>
      <c r="M1426">
        <v>599</v>
      </c>
    </row>
    <row r="1427" spans="1:13" ht="15">
      <c r="A1427" t="s">
        <v>3566</v>
      </c>
      <c r="B1427" s="1040" t="str">
        <f>CONCATENATE(LEFT(RIGHT(CONCATENATE("000",IFAData_TEA_1718!A1427),6),3),"-",(RIGHT(RIGHT(CONCATENATE("000",IFAData_TEA_1718!A1427),6),3)))</f>
        <v>109-904</v>
      </c>
      <c r="C1427" t="s">
        <v>2376</v>
      </c>
      <c r="D1427">
        <v>1</v>
      </c>
      <c r="E1427">
        <v>1892</v>
      </c>
      <c r="F1427" t="s">
        <v>4966</v>
      </c>
      <c r="G1427" t="s">
        <v>4967</v>
      </c>
      <c r="H1427">
        <v>373075</v>
      </c>
      <c r="I1427">
        <v>0</v>
      </c>
      <c r="J1427">
        <v>0</v>
      </c>
      <c r="K1427">
        <v>0</v>
      </c>
      <c r="L1427">
        <v>0</v>
      </c>
      <c r="M1427">
        <v>599</v>
      </c>
    </row>
    <row r="1428" spans="1:13" ht="15">
      <c r="A1428" t="s">
        <v>3566</v>
      </c>
      <c r="B1428" s="1040" t="str">
        <f>CONCATENATE(LEFT(RIGHT(CONCATENATE("000",IFAData_TEA_1718!A1428),6),3),"-",(RIGHT(RIGHT(CONCATENATE("000",IFAData_TEA_1718!A1428),6),3)))</f>
        <v>109-904</v>
      </c>
      <c r="C1428" t="s">
        <v>2376</v>
      </c>
      <c r="D1428">
        <v>1</v>
      </c>
      <c r="E1428">
        <v>1892</v>
      </c>
      <c r="F1428" t="s">
        <v>4966</v>
      </c>
      <c r="G1428" t="s">
        <v>4968</v>
      </c>
      <c r="H1428">
        <v>373075</v>
      </c>
      <c r="I1428">
        <v>0</v>
      </c>
      <c r="J1428">
        <v>0</v>
      </c>
      <c r="K1428">
        <v>0</v>
      </c>
      <c r="L1428">
        <v>0</v>
      </c>
      <c r="M1428">
        <v>599</v>
      </c>
    </row>
    <row r="1429" spans="1:13" ht="15">
      <c r="A1429" t="s">
        <v>3566</v>
      </c>
      <c r="B1429" s="1040" t="str">
        <f>CONCATENATE(LEFT(RIGHT(CONCATENATE("000",IFAData_TEA_1718!A1429),6),3),"-",(RIGHT(RIGHT(CONCATENATE("000",IFAData_TEA_1718!A1429),6),3)))</f>
        <v>109-904</v>
      </c>
      <c r="C1429" t="s">
        <v>2376</v>
      </c>
      <c r="D1429">
        <v>1</v>
      </c>
      <c r="E1429">
        <v>1892</v>
      </c>
      <c r="F1429" t="s">
        <v>4966</v>
      </c>
      <c r="G1429" t="s">
        <v>4969</v>
      </c>
      <c r="H1429">
        <v>373075</v>
      </c>
      <c r="I1429">
        <v>0</v>
      </c>
      <c r="J1429">
        <v>0</v>
      </c>
      <c r="K1429">
        <v>0</v>
      </c>
      <c r="L1429">
        <v>0</v>
      </c>
      <c r="M1429">
        <v>599</v>
      </c>
    </row>
    <row r="1430" spans="1:13" ht="15">
      <c r="A1430" t="s">
        <v>3566</v>
      </c>
      <c r="B1430" s="1040" t="str">
        <f>CONCATENATE(LEFT(RIGHT(CONCATENATE("000",IFAData_TEA_1718!A1430),6),3),"-",(RIGHT(RIGHT(CONCATENATE("000",IFAData_TEA_1718!A1430),6),3)))</f>
        <v>109-904</v>
      </c>
      <c r="C1430" t="s">
        <v>2376</v>
      </c>
      <c r="D1430">
        <v>1</v>
      </c>
      <c r="E1430">
        <v>1892</v>
      </c>
      <c r="F1430" t="s">
        <v>4966</v>
      </c>
      <c r="G1430" t="s">
        <v>4970</v>
      </c>
      <c r="H1430">
        <v>373075</v>
      </c>
      <c r="I1430">
        <v>602243</v>
      </c>
      <c r="J1430">
        <v>0.99662079978817897</v>
      </c>
      <c r="K1430">
        <v>371814.30488097499</v>
      </c>
      <c r="L1430">
        <v>371814.30488097499</v>
      </c>
      <c r="M1430">
        <v>599</v>
      </c>
    </row>
    <row r="1431" spans="1:13" ht="15">
      <c r="A1431" t="s">
        <v>3566</v>
      </c>
      <c r="B1431" s="1040" t="str">
        <f>CONCATENATE(LEFT(RIGHT(CONCATENATE("000",IFAData_TEA_1718!A1431),6),3),"-",(RIGHT(RIGHT(CONCATENATE("000",IFAData_TEA_1718!A1431),6),3)))</f>
        <v>109-904</v>
      </c>
      <c r="C1431" t="s">
        <v>2376</v>
      </c>
      <c r="D1431">
        <v>1</v>
      </c>
      <c r="E1431">
        <v>1892</v>
      </c>
      <c r="F1431" t="s">
        <v>4966</v>
      </c>
      <c r="G1431" t="s">
        <v>6275</v>
      </c>
      <c r="H1431">
        <v>373075</v>
      </c>
      <c r="I1431">
        <v>2042</v>
      </c>
      <c r="J1431">
        <v>3.3792002118205799E-3</v>
      </c>
      <c r="K1431">
        <v>1260.6951190249599</v>
      </c>
      <c r="L1431">
        <v>1260.6951190249599</v>
      </c>
      <c r="M1431">
        <v>599</v>
      </c>
    </row>
    <row r="1432" spans="1:13" ht="15">
      <c r="A1432" t="s">
        <v>3566</v>
      </c>
      <c r="B1432" s="1040" t="str">
        <f>CONCATENATE(LEFT(RIGHT(CONCATENATE("000",IFAData_TEA_1718!A1432),6),3),"-",(RIGHT(RIGHT(CONCATENATE("000",IFAData_TEA_1718!A1432),6),3)))</f>
        <v>109-904</v>
      </c>
      <c r="C1432" t="s">
        <v>2376</v>
      </c>
      <c r="D1432">
        <v>6</v>
      </c>
      <c r="E1432">
        <v>1893</v>
      </c>
      <c r="F1432" t="s">
        <v>4967</v>
      </c>
      <c r="G1432" t="s">
        <v>4967</v>
      </c>
      <c r="H1432">
        <v>449169</v>
      </c>
      <c r="I1432">
        <v>0</v>
      </c>
      <c r="J1432">
        <v>0</v>
      </c>
      <c r="K1432">
        <v>0</v>
      </c>
      <c r="L1432">
        <v>0</v>
      </c>
      <c r="M1432">
        <v>599</v>
      </c>
    </row>
    <row r="1433" spans="1:13" ht="15">
      <c r="A1433" t="s">
        <v>3566</v>
      </c>
      <c r="B1433" s="1040" t="str">
        <f>CONCATENATE(LEFT(RIGHT(CONCATENATE("000",IFAData_TEA_1718!A1433),6),3),"-",(RIGHT(RIGHT(CONCATENATE("000",IFAData_TEA_1718!A1433),6),3)))</f>
        <v>109-904</v>
      </c>
      <c r="C1433" t="s">
        <v>2376</v>
      </c>
      <c r="D1433">
        <v>6</v>
      </c>
      <c r="E1433">
        <v>1893</v>
      </c>
      <c r="F1433" t="s">
        <v>4967</v>
      </c>
      <c r="G1433" t="s">
        <v>4969</v>
      </c>
      <c r="H1433">
        <v>449169</v>
      </c>
      <c r="I1433">
        <v>821538</v>
      </c>
      <c r="J1433">
        <v>0.53082280513469005</v>
      </c>
      <c r="K1433">
        <v>238429.14855954301</v>
      </c>
      <c r="L1433">
        <v>238429.14855954301</v>
      </c>
      <c r="M1433">
        <v>599</v>
      </c>
    </row>
    <row r="1434" spans="1:13" ht="15">
      <c r="A1434" t="s">
        <v>3566</v>
      </c>
      <c r="B1434" s="1040" t="str">
        <f>CONCATENATE(LEFT(RIGHT(CONCATENATE("000",IFAData_TEA_1718!A1434),6),3),"-",(RIGHT(RIGHT(CONCATENATE("000",IFAData_TEA_1718!A1434),6),3)))</f>
        <v>109-904</v>
      </c>
      <c r="C1434" t="s">
        <v>2376</v>
      </c>
      <c r="D1434">
        <v>6</v>
      </c>
      <c r="E1434">
        <v>1893</v>
      </c>
      <c r="F1434" t="s">
        <v>4967</v>
      </c>
      <c r="G1434" t="s">
        <v>6275</v>
      </c>
      <c r="H1434">
        <v>449169</v>
      </c>
      <c r="I1434">
        <v>726131</v>
      </c>
      <c r="J1434">
        <v>0.46917719486531001</v>
      </c>
      <c r="K1434">
        <v>210739.85144045699</v>
      </c>
      <c r="L1434">
        <v>210739.85144045699</v>
      </c>
      <c r="M1434">
        <v>599</v>
      </c>
    </row>
    <row r="1435" spans="1:13" ht="15">
      <c r="A1435" t="s">
        <v>3567</v>
      </c>
      <c r="B1435" s="1040" t="str">
        <f>CONCATENATE(LEFT(RIGHT(CONCATENATE("000",IFAData_TEA_1718!A1435),6),3),"-",(RIGHT(RIGHT(CONCATENATE("000",IFAData_TEA_1718!A1435),6),3)))</f>
        <v>109-905</v>
      </c>
      <c r="C1435" t="s">
        <v>2381</v>
      </c>
      <c r="D1435">
        <v>4</v>
      </c>
      <c r="E1435">
        <v>1906</v>
      </c>
      <c r="F1435" t="s">
        <v>4971</v>
      </c>
      <c r="G1435" t="s">
        <v>4971</v>
      </c>
      <c r="H1435">
        <v>105808</v>
      </c>
      <c r="I1435">
        <v>0</v>
      </c>
      <c r="J1435">
        <v>0</v>
      </c>
      <c r="K1435">
        <v>0</v>
      </c>
      <c r="L1435">
        <v>0</v>
      </c>
      <c r="M1435">
        <v>599</v>
      </c>
    </row>
    <row r="1436" spans="1:13" ht="15">
      <c r="A1436" t="s">
        <v>3567</v>
      </c>
      <c r="B1436" s="1040" t="str">
        <f>CONCATENATE(LEFT(RIGHT(CONCATENATE("000",IFAData_TEA_1718!A1436),6),3),"-",(RIGHT(RIGHT(CONCATENATE("000",IFAData_TEA_1718!A1436),6),3)))</f>
        <v>109-905</v>
      </c>
      <c r="C1436" t="s">
        <v>2381</v>
      </c>
      <c r="D1436">
        <v>4</v>
      </c>
      <c r="E1436">
        <v>1906</v>
      </c>
      <c r="F1436" t="s">
        <v>4971</v>
      </c>
      <c r="G1436" t="s">
        <v>4972</v>
      </c>
      <c r="H1436">
        <v>105808</v>
      </c>
      <c r="I1436">
        <v>87920</v>
      </c>
      <c r="J1436">
        <v>1</v>
      </c>
      <c r="K1436">
        <v>105808</v>
      </c>
      <c r="L1436">
        <v>87920</v>
      </c>
      <c r="M1436">
        <v>599</v>
      </c>
    </row>
    <row r="1437" spans="1:13" ht="15">
      <c r="A1437" t="s">
        <v>3567</v>
      </c>
      <c r="B1437" s="1040" t="str">
        <f>CONCATENATE(LEFT(RIGHT(CONCATENATE("000",IFAData_TEA_1718!A1437),6),3),"-",(RIGHT(RIGHT(CONCATENATE("000",IFAData_TEA_1718!A1437),6),3)))</f>
        <v>109-905</v>
      </c>
      <c r="C1437" t="s">
        <v>2381</v>
      </c>
      <c r="D1437">
        <v>5</v>
      </c>
      <c r="E1437">
        <v>1907</v>
      </c>
      <c r="F1437" t="s">
        <v>4973</v>
      </c>
      <c r="G1437" t="s">
        <v>4973</v>
      </c>
      <c r="H1437">
        <v>109410</v>
      </c>
      <c r="I1437">
        <v>0</v>
      </c>
      <c r="J1437">
        <v>0</v>
      </c>
      <c r="K1437">
        <v>0</v>
      </c>
      <c r="L1437">
        <v>0</v>
      </c>
      <c r="M1437">
        <v>599</v>
      </c>
    </row>
    <row r="1438" spans="1:13" ht="15">
      <c r="A1438" t="s">
        <v>3567</v>
      </c>
      <c r="B1438" s="1040" t="str">
        <f>CONCATENATE(LEFT(RIGHT(CONCATENATE("000",IFAData_TEA_1718!A1438),6),3),"-",(RIGHT(RIGHT(CONCATENATE("000",IFAData_TEA_1718!A1438),6),3)))</f>
        <v>109-905</v>
      </c>
      <c r="C1438" t="s">
        <v>2381</v>
      </c>
      <c r="D1438">
        <v>5</v>
      </c>
      <c r="E1438">
        <v>1907</v>
      </c>
      <c r="F1438" t="s">
        <v>4973</v>
      </c>
      <c r="G1438" t="s">
        <v>4974</v>
      </c>
      <c r="H1438">
        <v>109410</v>
      </c>
      <c r="I1438">
        <v>106250</v>
      </c>
      <c r="J1438">
        <v>0.75112226503128199</v>
      </c>
      <c r="K1438">
        <v>82180.287017072595</v>
      </c>
      <c r="L1438">
        <v>82180.287017072595</v>
      </c>
      <c r="M1438">
        <v>599</v>
      </c>
    </row>
    <row r="1439" spans="1:13" ht="15">
      <c r="A1439" t="s">
        <v>3567</v>
      </c>
      <c r="B1439" s="1040" t="str">
        <f>CONCATENATE(LEFT(RIGHT(CONCATENATE("000",IFAData_TEA_1718!A1439),6),3),"-",(RIGHT(RIGHT(CONCATENATE("000",IFAData_TEA_1718!A1439),6),3)))</f>
        <v>109-905</v>
      </c>
      <c r="C1439" t="s">
        <v>2381</v>
      </c>
      <c r="D1439">
        <v>5</v>
      </c>
      <c r="E1439">
        <v>1907</v>
      </c>
      <c r="F1439" t="s">
        <v>4973</v>
      </c>
      <c r="G1439" t="s">
        <v>8417</v>
      </c>
      <c r="H1439">
        <v>109410</v>
      </c>
      <c r="I1439">
        <v>35205</v>
      </c>
      <c r="J1439">
        <v>0.24887773496871801</v>
      </c>
      <c r="K1439">
        <v>27229.712982927402</v>
      </c>
      <c r="L1439">
        <v>27229.712982927402</v>
      </c>
      <c r="M1439">
        <v>599</v>
      </c>
    </row>
    <row r="1440" spans="1:13" ht="15">
      <c r="A1440" t="s">
        <v>3567</v>
      </c>
      <c r="B1440" s="1040" t="str">
        <f>CONCATENATE(LEFT(RIGHT(CONCATENATE("000",IFAData_TEA_1718!A1440),6),3),"-",(RIGHT(RIGHT(CONCATENATE("000",IFAData_TEA_1718!A1440),6),3)))</f>
        <v>109-905</v>
      </c>
      <c r="C1440" t="s">
        <v>2381</v>
      </c>
      <c r="D1440">
        <v>10</v>
      </c>
      <c r="E1440">
        <v>1905</v>
      </c>
      <c r="F1440" t="s">
        <v>4974</v>
      </c>
      <c r="G1440" t="s">
        <v>4974</v>
      </c>
      <c r="H1440">
        <v>100000</v>
      </c>
      <c r="I1440">
        <v>237881</v>
      </c>
      <c r="J1440">
        <v>0.72902543671468001</v>
      </c>
      <c r="K1440">
        <v>72902.543671467996</v>
      </c>
      <c r="L1440">
        <v>72902.543671467996</v>
      </c>
      <c r="M1440">
        <v>599</v>
      </c>
    </row>
    <row r="1441" spans="1:13" ht="15">
      <c r="A1441" t="s">
        <v>3567</v>
      </c>
      <c r="B1441" s="1040" t="str">
        <f>CONCATENATE(LEFT(RIGHT(CONCATENATE("000",IFAData_TEA_1718!A1441),6),3),"-",(RIGHT(RIGHT(CONCATENATE("000",IFAData_TEA_1718!A1441),6),3)))</f>
        <v>109-905</v>
      </c>
      <c r="C1441" t="s">
        <v>2381</v>
      </c>
      <c r="D1441">
        <v>10</v>
      </c>
      <c r="E1441">
        <v>1905</v>
      </c>
      <c r="F1441" t="s">
        <v>4974</v>
      </c>
      <c r="G1441" t="s">
        <v>8417</v>
      </c>
      <c r="H1441">
        <v>100000</v>
      </c>
      <c r="I1441">
        <v>88419</v>
      </c>
      <c r="J1441">
        <v>0.27097456328531999</v>
      </c>
      <c r="K1441">
        <v>27097.456328532</v>
      </c>
      <c r="L1441">
        <v>27097.456328532</v>
      </c>
      <c r="M1441">
        <v>599</v>
      </c>
    </row>
    <row r="1442" spans="1:13" ht="15">
      <c r="A1442" t="s">
        <v>3568</v>
      </c>
      <c r="B1442" s="1040" t="str">
        <f>CONCATENATE(LEFT(RIGHT(CONCATENATE("000",IFAData_TEA_1718!A1442),6),3),"-",(RIGHT(RIGHT(CONCATENATE("000",IFAData_TEA_1718!A1442),6),3)))</f>
        <v>109-907</v>
      </c>
      <c r="C1442" t="s">
        <v>404</v>
      </c>
      <c r="D1442">
        <v>2</v>
      </c>
      <c r="E1442">
        <v>1931</v>
      </c>
      <c r="F1442" t="s">
        <v>4975</v>
      </c>
      <c r="G1442" t="s">
        <v>4975</v>
      </c>
      <c r="H1442">
        <v>110751</v>
      </c>
      <c r="I1442">
        <v>115500</v>
      </c>
      <c r="J1442">
        <v>1</v>
      </c>
      <c r="K1442">
        <v>110751</v>
      </c>
      <c r="L1442">
        <v>110751</v>
      </c>
      <c r="M1442">
        <v>599</v>
      </c>
    </row>
    <row r="1443" spans="1:13" ht="15">
      <c r="A1443" t="s">
        <v>3568</v>
      </c>
      <c r="B1443" s="1040" t="str">
        <f>CONCATENATE(LEFT(RIGHT(CONCATENATE("000",IFAData_TEA_1718!A1443),6),3),"-",(RIGHT(RIGHT(CONCATENATE("000",IFAData_TEA_1718!A1443),6),3)))</f>
        <v>109-907</v>
      </c>
      <c r="C1443" t="s">
        <v>404</v>
      </c>
      <c r="D1443">
        <v>11</v>
      </c>
      <c r="E1443">
        <v>2585</v>
      </c>
      <c r="F1443" t="s">
        <v>8418</v>
      </c>
      <c r="G1443" t="s">
        <v>8418</v>
      </c>
      <c r="H1443">
        <v>153617</v>
      </c>
      <c r="I1443">
        <v>212023</v>
      </c>
      <c r="J1443">
        <v>1</v>
      </c>
      <c r="K1443">
        <v>153617</v>
      </c>
      <c r="L1443">
        <v>153617</v>
      </c>
      <c r="M1443">
        <v>599</v>
      </c>
    </row>
    <row r="1444" spans="1:13" ht="15">
      <c r="A1444" t="s">
        <v>3569</v>
      </c>
      <c r="B1444" s="1040" t="str">
        <f>CONCATENATE(LEFT(RIGHT(CONCATENATE("000",IFAData_TEA_1718!A1444),6),3),"-",(RIGHT(RIGHT(CONCATENATE("000",IFAData_TEA_1718!A1444),6),3)))</f>
        <v>109-908</v>
      </c>
      <c r="C1444" t="s">
        <v>2152</v>
      </c>
      <c r="D1444">
        <v>5</v>
      </c>
      <c r="E1444">
        <v>2053</v>
      </c>
      <c r="F1444" t="s">
        <v>4976</v>
      </c>
      <c r="G1444" t="s">
        <v>4976</v>
      </c>
      <c r="H1444">
        <v>99613</v>
      </c>
      <c r="I1444">
        <v>99688</v>
      </c>
      <c r="J1444">
        <v>1</v>
      </c>
      <c r="K1444">
        <v>99613</v>
      </c>
      <c r="L1444">
        <v>99613</v>
      </c>
      <c r="M1444">
        <v>199</v>
      </c>
    </row>
    <row r="1445" spans="1:13" ht="15">
      <c r="A1445" t="s">
        <v>3569</v>
      </c>
      <c r="B1445" s="1040" t="str">
        <f>CONCATENATE(LEFT(RIGHT(CONCATENATE("000",IFAData_TEA_1718!A1445),6),3),"-",(RIGHT(RIGHT(CONCATENATE("000",IFAData_TEA_1718!A1445),6),3)))</f>
        <v>109-908</v>
      </c>
      <c r="C1445" t="s">
        <v>2152</v>
      </c>
      <c r="D1445">
        <v>9</v>
      </c>
      <c r="E1445">
        <v>2054</v>
      </c>
      <c r="F1445" t="s">
        <v>4977</v>
      </c>
      <c r="G1445" t="s">
        <v>4977</v>
      </c>
      <c r="H1445">
        <v>100000</v>
      </c>
      <c r="I1445">
        <v>78960</v>
      </c>
      <c r="J1445">
        <v>1</v>
      </c>
      <c r="K1445">
        <v>100000</v>
      </c>
      <c r="L1445">
        <v>78960</v>
      </c>
      <c r="M1445">
        <v>599</v>
      </c>
    </row>
    <row r="1446" spans="1:13" ht="15">
      <c r="A1446" t="s">
        <v>3570</v>
      </c>
      <c r="B1446" s="1040" t="str">
        <f>CONCATENATE(LEFT(RIGHT(CONCATENATE("000",IFAData_TEA_1718!A1446),6),3),"-",(RIGHT(RIGHT(CONCATENATE("000",IFAData_TEA_1718!A1446),6),3)))</f>
        <v>109-910</v>
      </c>
      <c r="C1446" t="s">
        <v>2243</v>
      </c>
      <c r="D1446">
        <v>5</v>
      </c>
      <c r="E1446">
        <v>2121</v>
      </c>
      <c r="F1446" t="s">
        <v>4978</v>
      </c>
      <c r="G1446" t="s">
        <v>4978</v>
      </c>
      <c r="H1446">
        <v>100000</v>
      </c>
      <c r="I1446">
        <v>87191</v>
      </c>
      <c r="J1446">
        <v>1</v>
      </c>
      <c r="K1446">
        <v>100000</v>
      </c>
      <c r="L1446">
        <v>87191</v>
      </c>
      <c r="M1446">
        <v>199</v>
      </c>
    </row>
    <row r="1447" spans="1:13" ht="15">
      <c r="A1447" t="s">
        <v>3570</v>
      </c>
      <c r="B1447" s="1040" t="str">
        <f>CONCATENATE(LEFT(RIGHT(CONCATENATE("000",IFAData_TEA_1718!A1447),6),3),"-",(RIGHT(RIGHT(CONCATENATE("000",IFAData_TEA_1718!A1447),6),3)))</f>
        <v>109-910</v>
      </c>
      <c r="C1447" t="s">
        <v>2243</v>
      </c>
      <c r="D1447">
        <v>10</v>
      </c>
      <c r="E1447">
        <v>2120</v>
      </c>
      <c r="F1447" t="s">
        <v>4979</v>
      </c>
      <c r="G1447" t="s">
        <v>4979</v>
      </c>
      <c r="H1447">
        <v>85000</v>
      </c>
      <c r="I1447">
        <v>90000</v>
      </c>
      <c r="J1447">
        <v>1</v>
      </c>
      <c r="K1447">
        <v>85000</v>
      </c>
      <c r="L1447">
        <v>85000</v>
      </c>
      <c r="M1447">
        <v>599</v>
      </c>
    </row>
    <row r="1448" spans="1:13" ht="15">
      <c r="A1448" t="s">
        <v>3571</v>
      </c>
      <c r="B1448" s="1040" t="str">
        <f>CONCATENATE(LEFT(RIGHT(CONCATENATE("000",IFAData_TEA_1718!A1448),6),3),"-",(RIGHT(RIGHT(CONCATENATE("000",IFAData_TEA_1718!A1448),6),3)))</f>
        <v>109-912</v>
      </c>
      <c r="C1448" t="s">
        <v>2419</v>
      </c>
      <c r="D1448">
        <v>5</v>
      </c>
      <c r="E1448">
        <v>1581</v>
      </c>
      <c r="F1448" t="s">
        <v>4980</v>
      </c>
      <c r="G1448" t="s">
        <v>4980</v>
      </c>
      <c r="H1448">
        <v>88897</v>
      </c>
      <c r="I1448">
        <v>0</v>
      </c>
      <c r="J1448">
        <v>0</v>
      </c>
      <c r="K1448">
        <v>0</v>
      </c>
      <c r="L1448">
        <v>0</v>
      </c>
      <c r="M1448">
        <v>599</v>
      </c>
    </row>
    <row r="1449" spans="1:13" ht="15">
      <c r="A1449" t="s">
        <v>3571</v>
      </c>
      <c r="B1449" s="1040" t="str">
        <f>CONCATENATE(LEFT(RIGHT(CONCATENATE("000",IFAData_TEA_1718!A1449),6),3),"-",(RIGHT(RIGHT(CONCATENATE("000",IFAData_TEA_1718!A1449),6),3)))</f>
        <v>109-912</v>
      </c>
      <c r="C1449" t="s">
        <v>2419</v>
      </c>
      <c r="D1449">
        <v>5</v>
      </c>
      <c r="E1449">
        <v>1581</v>
      </c>
      <c r="F1449" t="s">
        <v>4980</v>
      </c>
      <c r="G1449" t="s">
        <v>4981</v>
      </c>
      <c r="H1449">
        <v>88897</v>
      </c>
      <c r="I1449">
        <v>88872</v>
      </c>
      <c r="J1449">
        <v>1</v>
      </c>
      <c r="K1449">
        <v>88897</v>
      </c>
      <c r="L1449">
        <v>88872</v>
      </c>
      <c r="M1449">
        <v>599</v>
      </c>
    </row>
    <row r="1450" spans="1:13" ht="15">
      <c r="A1450" t="s">
        <v>4982</v>
      </c>
      <c r="B1450" s="1040" t="str">
        <f>CONCATENATE(LEFT(RIGHT(CONCATENATE("000",IFAData_TEA_1718!A1450),6),3),"-",(RIGHT(RIGHT(CONCATENATE("000",IFAData_TEA_1718!A1450),6),3)))</f>
        <v>109-913</v>
      </c>
      <c r="C1450" t="s">
        <v>1346</v>
      </c>
      <c r="D1450">
        <v>5</v>
      </c>
      <c r="E1450">
        <v>1625</v>
      </c>
      <c r="F1450" t="s">
        <v>4983</v>
      </c>
      <c r="G1450" t="s">
        <v>4983</v>
      </c>
      <c r="H1450">
        <v>91413</v>
      </c>
      <c r="I1450">
        <v>0</v>
      </c>
      <c r="J1450">
        <v>0</v>
      </c>
      <c r="K1450">
        <v>0</v>
      </c>
      <c r="L1450">
        <v>0</v>
      </c>
      <c r="M1450">
        <v>599</v>
      </c>
    </row>
    <row r="1451" spans="1:13" ht="15">
      <c r="A1451" t="s">
        <v>4982</v>
      </c>
      <c r="B1451" s="1040" t="str">
        <f>CONCATENATE(LEFT(RIGHT(CONCATENATE("000",IFAData_TEA_1718!A1451),6),3),"-",(RIGHT(RIGHT(CONCATENATE("000",IFAData_TEA_1718!A1451),6),3)))</f>
        <v>109-913</v>
      </c>
      <c r="C1451" t="s">
        <v>1346</v>
      </c>
      <c r="D1451">
        <v>5</v>
      </c>
      <c r="E1451">
        <v>1625</v>
      </c>
      <c r="F1451" t="s">
        <v>4983</v>
      </c>
      <c r="G1451" t="s">
        <v>4984</v>
      </c>
      <c r="H1451">
        <v>91413</v>
      </c>
      <c r="I1451">
        <v>0</v>
      </c>
      <c r="J1451">
        <v>0</v>
      </c>
      <c r="K1451">
        <v>0</v>
      </c>
      <c r="L1451">
        <v>0</v>
      </c>
      <c r="M1451">
        <v>599</v>
      </c>
    </row>
    <row r="1452" spans="1:13" ht="15">
      <c r="A1452" t="s">
        <v>4982</v>
      </c>
      <c r="B1452" s="1040" t="str">
        <f>CONCATENATE(LEFT(RIGHT(CONCATENATE("000",IFAData_TEA_1718!A1452),6),3),"-",(RIGHT(RIGHT(CONCATENATE("000",IFAData_TEA_1718!A1452),6),3)))</f>
        <v>109-913</v>
      </c>
      <c r="C1452" t="s">
        <v>1346</v>
      </c>
      <c r="D1452">
        <v>5</v>
      </c>
      <c r="E1452">
        <v>1625</v>
      </c>
      <c r="F1452" t="s">
        <v>4983</v>
      </c>
      <c r="G1452" t="s">
        <v>6830</v>
      </c>
      <c r="H1452">
        <v>91413</v>
      </c>
      <c r="I1452">
        <v>58882</v>
      </c>
      <c r="J1452">
        <v>1</v>
      </c>
      <c r="K1452">
        <v>91413</v>
      </c>
      <c r="L1452">
        <v>58882</v>
      </c>
      <c r="M1452">
        <v>599</v>
      </c>
    </row>
    <row r="1453" spans="1:13" ht="15">
      <c r="A1453" t="s">
        <v>4985</v>
      </c>
      <c r="B1453" s="1040" t="str">
        <f>CONCATENATE(LEFT(RIGHT(CONCATENATE("000",IFAData_TEA_1718!A1453),6),3),"-",(RIGHT(RIGHT(CONCATENATE("000",IFAData_TEA_1718!A1453),6),3)))</f>
        <v>109-914</v>
      </c>
      <c r="C1453" t="s">
        <v>2594</v>
      </c>
      <c r="D1453">
        <v>5</v>
      </c>
      <c r="E1453">
        <v>2185</v>
      </c>
      <c r="F1453" t="s">
        <v>4986</v>
      </c>
      <c r="G1453" t="s">
        <v>4986</v>
      </c>
      <c r="H1453">
        <v>99258</v>
      </c>
      <c r="I1453">
        <v>89380</v>
      </c>
      <c r="J1453">
        <v>1</v>
      </c>
      <c r="K1453">
        <v>99258</v>
      </c>
      <c r="L1453">
        <v>89380</v>
      </c>
      <c r="M1453">
        <v>199</v>
      </c>
    </row>
    <row r="1454" spans="1:13" ht="15">
      <c r="A1454" t="s">
        <v>3572</v>
      </c>
      <c r="B1454" s="1040" t="str">
        <f>CONCATENATE(LEFT(RIGHT(CONCATENATE("000",IFAData_TEA_1718!A1454),6),3),"-",(RIGHT(RIGHT(CONCATENATE("000",IFAData_TEA_1718!A1454),6),3)))</f>
        <v>110-906</v>
      </c>
      <c r="C1454" t="s">
        <v>1929</v>
      </c>
      <c r="D1454">
        <v>4</v>
      </c>
      <c r="E1454">
        <v>2344</v>
      </c>
      <c r="F1454" t="s">
        <v>4987</v>
      </c>
      <c r="G1454" t="s">
        <v>4987</v>
      </c>
      <c r="H1454">
        <v>97293</v>
      </c>
      <c r="I1454">
        <v>0</v>
      </c>
      <c r="J1454">
        <v>0</v>
      </c>
      <c r="K1454"/>
      <c r="L1454">
        <v>0</v>
      </c>
      <c r="M1454">
        <v>199</v>
      </c>
    </row>
    <row r="1455" spans="1:13" ht="15">
      <c r="A1455" t="s">
        <v>3572</v>
      </c>
      <c r="B1455" s="1040" t="str">
        <f>CONCATENATE(LEFT(RIGHT(CONCATENATE("000",IFAData_TEA_1718!A1455),6),3),"-",(RIGHT(RIGHT(CONCATENATE("000",IFAData_TEA_1718!A1455),6),3)))</f>
        <v>110-906</v>
      </c>
      <c r="C1455" t="s">
        <v>1929</v>
      </c>
      <c r="D1455">
        <v>10</v>
      </c>
      <c r="E1455">
        <v>2343</v>
      </c>
      <c r="F1455" t="s">
        <v>4988</v>
      </c>
      <c r="G1455" t="s">
        <v>4988</v>
      </c>
      <c r="H1455">
        <v>51451</v>
      </c>
      <c r="I1455">
        <v>47924</v>
      </c>
      <c r="J1455">
        <v>1</v>
      </c>
      <c r="K1455">
        <v>51451</v>
      </c>
      <c r="L1455">
        <v>47924</v>
      </c>
      <c r="M1455">
        <v>599</v>
      </c>
    </row>
    <row r="1456" spans="1:13" ht="15">
      <c r="A1456" t="s">
        <v>3573</v>
      </c>
      <c r="B1456" s="1040" t="str">
        <f>CONCATENATE(LEFT(RIGHT(CONCATENATE("000",IFAData_TEA_1718!A1456),6),3),"-",(RIGHT(RIGHT(CONCATENATE("000",IFAData_TEA_1718!A1456),6),3)))</f>
        <v>111-902</v>
      </c>
      <c r="C1456" t="s">
        <v>1566</v>
      </c>
      <c r="D1456">
        <v>2</v>
      </c>
      <c r="E1456">
        <v>2023</v>
      </c>
      <c r="F1456" t="s">
        <v>4989</v>
      </c>
      <c r="G1456" t="s">
        <v>4989</v>
      </c>
      <c r="H1456">
        <v>100000</v>
      </c>
      <c r="I1456">
        <v>0</v>
      </c>
      <c r="J1456">
        <v>0</v>
      </c>
      <c r="K1456">
        <v>0</v>
      </c>
      <c r="L1456">
        <v>0</v>
      </c>
      <c r="M1456">
        <v>599</v>
      </c>
    </row>
    <row r="1457" spans="1:13" ht="15">
      <c r="A1457" t="s">
        <v>3573</v>
      </c>
      <c r="B1457" s="1040" t="str">
        <f>CONCATENATE(LEFT(RIGHT(CONCATENATE("000",IFAData_TEA_1718!A1457),6),3),"-",(RIGHT(RIGHT(CONCATENATE("000",IFAData_TEA_1718!A1457),6),3)))</f>
        <v>111-902</v>
      </c>
      <c r="C1457" t="s">
        <v>1566</v>
      </c>
      <c r="D1457">
        <v>2</v>
      </c>
      <c r="E1457">
        <v>2023</v>
      </c>
      <c r="F1457" t="s">
        <v>4989</v>
      </c>
      <c r="G1457" t="s">
        <v>4990</v>
      </c>
      <c r="H1457">
        <v>100000</v>
      </c>
      <c r="I1457">
        <v>93880</v>
      </c>
      <c r="J1457">
        <v>1</v>
      </c>
      <c r="K1457">
        <v>100000</v>
      </c>
      <c r="L1457">
        <v>93880</v>
      </c>
      <c r="M1457">
        <v>599</v>
      </c>
    </row>
    <row r="1458" spans="1:13" ht="15">
      <c r="A1458" t="s">
        <v>3573</v>
      </c>
      <c r="B1458" s="1040" t="str">
        <f>CONCATENATE(LEFT(RIGHT(CONCATENATE("000",IFAData_TEA_1718!A1458),6),3),"-",(RIGHT(RIGHT(CONCATENATE("000",IFAData_TEA_1718!A1458),6),3)))</f>
        <v>111-902</v>
      </c>
      <c r="C1458" t="s">
        <v>1566</v>
      </c>
      <c r="D1458">
        <v>3</v>
      </c>
      <c r="E1458">
        <v>2024</v>
      </c>
      <c r="F1458" t="s">
        <v>4991</v>
      </c>
      <c r="G1458" t="s">
        <v>4991</v>
      </c>
      <c r="H1458">
        <v>100000</v>
      </c>
      <c r="I1458">
        <v>155000</v>
      </c>
      <c r="J1458">
        <v>1</v>
      </c>
      <c r="K1458">
        <v>100000</v>
      </c>
      <c r="L1458">
        <v>100000</v>
      </c>
      <c r="M1458">
        <v>599</v>
      </c>
    </row>
    <row r="1459" spans="1:13" ht="15">
      <c r="A1459" t="s">
        <v>3574</v>
      </c>
      <c r="B1459" s="1040" t="str">
        <f>CONCATENATE(LEFT(RIGHT(CONCATENATE("000",IFAData_TEA_1718!A1459),6),3),"-",(RIGHT(RIGHT(CONCATENATE("000",IFAData_TEA_1718!A1459),6),3)))</f>
        <v>111-903</v>
      </c>
      <c r="C1459" t="s">
        <v>605</v>
      </c>
      <c r="D1459">
        <v>3</v>
      </c>
      <c r="E1459">
        <v>2394</v>
      </c>
      <c r="F1459" t="s">
        <v>4992</v>
      </c>
      <c r="G1459" t="s">
        <v>4992</v>
      </c>
      <c r="H1459">
        <v>142382</v>
      </c>
      <c r="I1459">
        <v>0</v>
      </c>
      <c r="J1459">
        <v>0</v>
      </c>
      <c r="K1459">
        <v>0</v>
      </c>
      <c r="L1459">
        <v>0</v>
      </c>
      <c r="M1459">
        <v>599</v>
      </c>
    </row>
    <row r="1460" spans="1:13" ht="15">
      <c r="A1460" t="s">
        <v>3574</v>
      </c>
      <c r="B1460" s="1040" t="str">
        <f>CONCATENATE(LEFT(RIGHT(CONCATENATE("000",IFAData_TEA_1718!A1460),6),3),"-",(RIGHT(RIGHT(CONCATENATE("000",IFAData_TEA_1718!A1460),6),3)))</f>
        <v>111-903</v>
      </c>
      <c r="C1460" t="s">
        <v>605</v>
      </c>
      <c r="D1460">
        <v>3</v>
      </c>
      <c r="E1460">
        <v>2394</v>
      </c>
      <c r="F1460" t="s">
        <v>4992</v>
      </c>
      <c r="G1460" t="s">
        <v>4993</v>
      </c>
      <c r="H1460">
        <v>142382</v>
      </c>
      <c r="I1460">
        <v>210063</v>
      </c>
      <c r="J1460">
        <v>1</v>
      </c>
      <c r="K1460">
        <v>142382</v>
      </c>
      <c r="L1460">
        <v>142382</v>
      </c>
      <c r="M1460">
        <v>599</v>
      </c>
    </row>
    <row r="1461" spans="1:13" ht="15">
      <c r="A1461" t="s">
        <v>3575</v>
      </c>
      <c r="B1461" s="1040" t="str">
        <f>CONCATENATE(LEFT(RIGHT(CONCATENATE("000",IFAData_TEA_1718!A1461),6),3),"-",(RIGHT(RIGHT(CONCATENATE("000",IFAData_TEA_1718!A1461),6),3)))</f>
        <v>112-901</v>
      </c>
      <c r="C1461" t="s">
        <v>220</v>
      </c>
      <c r="D1461">
        <v>10</v>
      </c>
      <c r="E1461">
        <v>2387</v>
      </c>
      <c r="F1461" t="s">
        <v>4994</v>
      </c>
      <c r="G1461" t="s">
        <v>4994</v>
      </c>
      <c r="H1461">
        <v>922406</v>
      </c>
      <c r="I1461">
        <v>725733</v>
      </c>
      <c r="J1461">
        <v>0.34914476171965603</v>
      </c>
      <c r="K1461">
        <v>322053.22307878098</v>
      </c>
      <c r="L1461">
        <v>322053.22307878098</v>
      </c>
      <c r="M1461">
        <v>599</v>
      </c>
    </row>
    <row r="1462" spans="1:13" ht="15">
      <c r="A1462" t="s">
        <v>3575</v>
      </c>
      <c r="B1462" s="1040" t="str">
        <f>CONCATENATE(LEFT(RIGHT(CONCATENATE("000",IFAData_TEA_1718!A1462),6),3),"-",(RIGHT(RIGHT(CONCATENATE("000",IFAData_TEA_1718!A1462),6),3)))</f>
        <v>112-901</v>
      </c>
      <c r="C1462" t="s">
        <v>220</v>
      </c>
      <c r="D1462">
        <v>10</v>
      </c>
      <c r="E1462">
        <v>2387</v>
      </c>
      <c r="F1462" t="s">
        <v>4994</v>
      </c>
      <c r="G1462" t="s">
        <v>8419</v>
      </c>
      <c r="H1462">
        <v>922406</v>
      </c>
      <c r="I1462">
        <v>1352869</v>
      </c>
      <c r="J1462">
        <v>0.65085523828034397</v>
      </c>
      <c r="K1462">
        <v>600352.77692121896</v>
      </c>
      <c r="L1462">
        <v>600352.77692121896</v>
      </c>
      <c r="M1462">
        <v>599</v>
      </c>
    </row>
    <row r="1463" spans="1:13" ht="15">
      <c r="A1463" t="s">
        <v>3576</v>
      </c>
      <c r="B1463" s="1040" t="str">
        <f>CONCATENATE(LEFT(RIGHT(CONCATENATE("000",IFAData_TEA_1718!A1463),6),3),"-",(RIGHT(RIGHT(CONCATENATE("000",IFAData_TEA_1718!A1463),6),3)))</f>
        <v>112-905</v>
      </c>
      <c r="C1463" t="s">
        <v>422</v>
      </c>
      <c r="D1463">
        <v>5</v>
      </c>
      <c r="E1463">
        <v>1742</v>
      </c>
      <c r="F1463" t="s">
        <v>4995</v>
      </c>
      <c r="G1463" t="s">
        <v>4995</v>
      </c>
      <c r="H1463">
        <v>100000</v>
      </c>
      <c r="I1463">
        <v>0</v>
      </c>
      <c r="J1463">
        <v>0</v>
      </c>
      <c r="K1463">
        <v>0</v>
      </c>
      <c r="L1463">
        <v>0</v>
      </c>
      <c r="M1463">
        <v>599</v>
      </c>
    </row>
    <row r="1464" spans="1:13" ht="15">
      <c r="A1464" t="s">
        <v>3576</v>
      </c>
      <c r="B1464" s="1040" t="str">
        <f>CONCATENATE(LEFT(RIGHT(CONCATENATE("000",IFAData_TEA_1718!A1464),6),3),"-",(RIGHT(RIGHT(CONCATENATE("000",IFAData_TEA_1718!A1464),6),3)))</f>
        <v>112-905</v>
      </c>
      <c r="C1464" t="s">
        <v>422</v>
      </c>
      <c r="D1464">
        <v>5</v>
      </c>
      <c r="E1464">
        <v>1742</v>
      </c>
      <c r="F1464" t="s">
        <v>4995</v>
      </c>
      <c r="G1464" t="s">
        <v>4996</v>
      </c>
      <c r="H1464">
        <v>100000</v>
      </c>
      <c r="I1464">
        <v>95838</v>
      </c>
      <c r="J1464">
        <v>1</v>
      </c>
      <c r="K1464">
        <v>100000</v>
      </c>
      <c r="L1464">
        <v>95838</v>
      </c>
      <c r="M1464">
        <v>599</v>
      </c>
    </row>
    <row r="1465" spans="1:13" ht="15">
      <c r="A1465" t="s">
        <v>3577</v>
      </c>
      <c r="B1465" s="1040" t="str">
        <f>CONCATENATE(LEFT(RIGHT(CONCATENATE("000",IFAData_TEA_1718!A1465),6),3),"-",(RIGHT(RIGHT(CONCATENATE("000",IFAData_TEA_1718!A1465),6),3)))</f>
        <v>112-907</v>
      </c>
      <c r="C1465" t="s">
        <v>2238</v>
      </c>
      <c r="D1465">
        <v>4</v>
      </c>
      <c r="E1465">
        <v>2107</v>
      </c>
      <c r="F1465" t="s">
        <v>4997</v>
      </c>
      <c r="G1465" t="s">
        <v>4997</v>
      </c>
      <c r="H1465">
        <v>98475</v>
      </c>
      <c r="I1465">
        <v>0</v>
      </c>
      <c r="J1465">
        <v>0</v>
      </c>
      <c r="K1465">
        <v>0</v>
      </c>
      <c r="L1465">
        <v>0</v>
      </c>
      <c r="M1465">
        <v>599</v>
      </c>
    </row>
    <row r="1466" spans="1:13" ht="15">
      <c r="A1466" t="s">
        <v>3577</v>
      </c>
      <c r="B1466" s="1040" t="str">
        <f>CONCATENATE(LEFT(RIGHT(CONCATENATE("000",IFAData_TEA_1718!A1466),6),3),"-",(RIGHT(RIGHT(CONCATENATE("000",IFAData_TEA_1718!A1466),6),3)))</f>
        <v>112-907</v>
      </c>
      <c r="C1466" t="s">
        <v>2238</v>
      </c>
      <c r="D1466">
        <v>4</v>
      </c>
      <c r="E1466">
        <v>2107</v>
      </c>
      <c r="F1466" t="s">
        <v>4997</v>
      </c>
      <c r="G1466" t="s">
        <v>4998</v>
      </c>
      <c r="H1466">
        <v>98475</v>
      </c>
      <c r="I1466">
        <v>79460</v>
      </c>
      <c r="J1466">
        <v>1</v>
      </c>
      <c r="K1466">
        <v>98475</v>
      </c>
      <c r="L1466">
        <v>79460</v>
      </c>
      <c r="M1466">
        <v>599</v>
      </c>
    </row>
    <row r="1467" spans="1:13" ht="15">
      <c r="A1467" t="s">
        <v>3577</v>
      </c>
      <c r="B1467" s="1040" t="str">
        <f>CONCATENATE(LEFT(RIGHT(CONCATENATE("000",IFAData_TEA_1718!A1467),6),3),"-",(RIGHT(RIGHT(CONCATENATE("000",IFAData_TEA_1718!A1467),6),3)))</f>
        <v>112-907</v>
      </c>
      <c r="C1467" t="s">
        <v>2238</v>
      </c>
      <c r="D1467">
        <v>6</v>
      </c>
      <c r="E1467">
        <v>2106</v>
      </c>
      <c r="F1467" t="s">
        <v>4999</v>
      </c>
      <c r="G1467" t="s">
        <v>4999</v>
      </c>
      <c r="H1467">
        <v>94341</v>
      </c>
      <c r="I1467">
        <v>0</v>
      </c>
      <c r="J1467">
        <v>0</v>
      </c>
      <c r="K1467">
        <v>0</v>
      </c>
      <c r="L1467">
        <v>0</v>
      </c>
      <c r="M1467">
        <v>599</v>
      </c>
    </row>
    <row r="1468" spans="1:13" ht="15">
      <c r="A1468" t="s">
        <v>3577</v>
      </c>
      <c r="B1468" s="1040" t="str">
        <f>CONCATENATE(LEFT(RIGHT(CONCATENATE("000",IFAData_TEA_1718!A1468),6),3),"-",(RIGHT(RIGHT(CONCATENATE("000",IFAData_TEA_1718!A1468),6),3)))</f>
        <v>112-907</v>
      </c>
      <c r="C1468" t="s">
        <v>2238</v>
      </c>
      <c r="D1468">
        <v>6</v>
      </c>
      <c r="E1468">
        <v>2106</v>
      </c>
      <c r="F1468" t="s">
        <v>4999</v>
      </c>
      <c r="G1468" t="s">
        <v>4998</v>
      </c>
      <c r="H1468">
        <v>94341</v>
      </c>
      <c r="I1468">
        <v>99640</v>
      </c>
      <c r="J1468">
        <v>1</v>
      </c>
      <c r="K1468">
        <v>94341</v>
      </c>
      <c r="L1468">
        <v>94341</v>
      </c>
      <c r="M1468">
        <v>599</v>
      </c>
    </row>
    <row r="1469" spans="1:13" ht="15">
      <c r="A1469" t="s">
        <v>3578</v>
      </c>
      <c r="B1469" s="1040" t="str">
        <f>CONCATENATE(LEFT(RIGHT(CONCATENATE("000",IFAData_TEA_1718!A1469),6),3),"-",(RIGHT(RIGHT(CONCATENATE("000",IFAData_TEA_1718!A1469),6),3)))</f>
        <v>112-910</v>
      </c>
      <c r="C1469" t="s">
        <v>1942</v>
      </c>
      <c r="D1469">
        <v>5</v>
      </c>
      <c r="E1469">
        <v>2386</v>
      </c>
      <c r="F1469" t="s">
        <v>5000</v>
      </c>
      <c r="G1469" t="s">
        <v>5000</v>
      </c>
      <c r="H1469">
        <v>100000</v>
      </c>
      <c r="I1469">
        <v>0</v>
      </c>
      <c r="J1469">
        <v>0</v>
      </c>
      <c r="K1469">
        <v>0</v>
      </c>
      <c r="L1469">
        <v>0</v>
      </c>
      <c r="M1469">
        <v>599</v>
      </c>
    </row>
    <row r="1470" spans="1:13" ht="15">
      <c r="A1470" t="s">
        <v>3578</v>
      </c>
      <c r="B1470" s="1040" t="str">
        <f>CONCATENATE(LEFT(RIGHT(CONCATENATE("000",IFAData_TEA_1718!A1470),6),3),"-",(RIGHT(RIGHT(CONCATENATE("000",IFAData_TEA_1718!A1470),6),3)))</f>
        <v>112-910</v>
      </c>
      <c r="C1470" t="s">
        <v>1942</v>
      </c>
      <c r="D1470">
        <v>5</v>
      </c>
      <c r="E1470">
        <v>2386</v>
      </c>
      <c r="F1470" t="s">
        <v>5000</v>
      </c>
      <c r="G1470" t="s">
        <v>5001</v>
      </c>
      <c r="H1470">
        <v>100000</v>
      </c>
      <c r="I1470">
        <v>83823</v>
      </c>
      <c r="J1470">
        <v>1</v>
      </c>
      <c r="K1470">
        <v>100000</v>
      </c>
      <c r="L1470">
        <v>83823</v>
      </c>
      <c r="M1470">
        <v>599</v>
      </c>
    </row>
    <row r="1471" spans="1:13" ht="15">
      <c r="A1471" t="s">
        <v>3579</v>
      </c>
      <c r="B1471" s="1040" t="str">
        <f>CONCATENATE(LEFT(RIGHT(CONCATENATE("000",IFAData_TEA_1718!A1471),6),3),"-",(RIGHT(RIGHT(CONCATENATE("000",IFAData_TEA_1718!A1471),6),3)))</f>
        <v>114-901</v>
      </c>
      <c r="C1471" t="s">
        <v>1572</v>
      </c>
      <c r="D1471">
        <v>10</v>
      </c>
      <c r="E1471">
        <v>1608</v>
      </c>
      <c r="F1471" t="s">
        <v>5002</v>
      </c>
      <c r="G1471" t="s">
        <v>5002</v>
      </c>
      <c r="H1471">
        <v>889573</v>
      </c>
      <c r="I1471">
        <v>381800</v>
      </c>
      <c r="J1471">
        <v>9.3868457297227703E-2</v>
      </c>
      <c r="K1471">
        <v>83502.845163266698</v>
      </c>
      <c r="L1471">
        <v>83502.845163266698</v>
      </c>
      <c r="M1471">
        <v>599</v>
      </c>
    </row>
    <row r="1472" spans="1:13" ht="15">
      <c r="A1472" t="s">
        <v>3579</v>
      </c>
      <c r="B1472" s="1040" t="str">
        <f>CONCATENATE(LEFT(RIGHT(CONCATENATE("000",IFAData_TEA_1718!A1472),6),3),"-",(RIGHT(RIGHT(CONCATENATE("000",IFAData_TEA_1718!A1472),6),3)))</f>
        <v>114-901</v>
      </c>
      <c r="C1472" t="s">
        <v>1572</v>
      </c>
      <c r="D1472">
        <v>10</v>
      </c>
      <c r="E1472">
        <v>1608</v>
      </c>
      <c r="F1472" t="s">
        <v>5002</v>
      </c>
      <c r="G1472" t="s">
        <v>8420</v>
      </c>
      <c r="H1472">
        <v>889573</v>
      </c>
      <c r="I1472">
        <v>3685594</v>
      </c>
      <c r="J1472">
        <v>0.90613154270277196</v>
      </c>
      <c r="K1472">
        <v>806070.15483673301</v>
      </c>
      <c r="L1472">
        <v>806070.15483673301</v>
      </c>
      <c r="M1472">
        <v>599</v>
      </c>
    </row>
    <row r="1473" spans="1:13" ht="15">
      <c r="A1473" t="s">
        <v>3580</v>
      </c>
      <c r="B1473" s="1040" t="str">
        <f>CONCATENATE(LEFT(RIGHT(CONCATENATE("000",IFAData_TEA_1718!A1473),6),3),"-",(RIGHT(RIGHT(CONCATENATE("000",IFAData_TEA_1718!A1473),6),3)))</f>
        <v>116-901</v>
      </c>
      <c r="C1473" t="s">
        <v>651</v>
      </c>
      <c r="D1473">
        <v>5</v>
      </c>
      <c r="E1473">
        <v>1658</v>
      </c>
      <c r="F1473" t="s">
        <v>5003</v>
      </c>
      <c r="G1473" t="s">
        <v>5003</v>
      </c>
      <c r="H1473">
        <v>490385</v>
      </c>
      <c r="I1473">
        <v>0</v>
      </c>
      <c r="J1473">
        <v>0</v>
      </c>
      <c r="K1473">
        <v>0</v>
      </c>
      <c r="L1473">
        <v>0</v>
      </c>
      <c r="M1473">
        <v>599</v>
      </c>
    </row>
    <row r="1474" spans="1:13" ht="15">
      <c r="A1474" t="s">
        <v>3580</v>
      </c>
      <c r="B1474" s="1040" t="str">
        <f>CONCATENATE(LEFT(RIGHT(CONCATENATE("000",IFAData_TEA_1718!A1474),6),3),"-",(RIGHT(RIGHT(CONCATENATE("000",IFAData_TEA_1718!A1474),6),3)))</f>
        <v>116-901</v>
      </c>
      <c r="C1474" t="s">
        <v>651</v>
      </c>
      <c r="D1474">
        <v>5</v>
      </c>
      <c r="E1474">
        <v>1658</v>
      </c>
      <c r="F1474" t="s">
        <v>5003</v>
      </c>
      <c r="G1474" t="s">
        <v>5004</v>
      </c>
      <c r="H1474">
        <v>490385</v>
      </c>
      <c r="I1474">
        <v>259661</v>
      </c>
      <c r="J1474">
        <v>0.30638899901827499</v>
      </c>
      <c r="K1474">
        <v>150248.569283577</v>
      </c>
      <c r="L1474">
        <v>150248.569283577</v>
      </c>
      <c r="M1474">
        <v>599</v>
      </c>
    </row>
    <row r="1475" spans="1:13" ht="15">
      <c r="A1475" t="s">
        <v>3580</v>
      </c>
      <c r="B1475" s="1040" t="str">
        <f>CONCATENATE(LEFT(RIGHT(CONCATENATE("000",IFAData_TEA_1718!A1475),6),3),"-",(RIGHT(RIGHT(CONCATENATE("000",IFAData_TEA_1718!A1475),6),3)))</f>
        <v>116-901</v>
      </c>
      <c r="C1475" t="s">
        <v>651</v>
      </c>
      <c r="D1475">
        <v>5</v>
      </c>
      <c r="E1475">
        <v>1658</v>
      </c>
      <c r="F1475" t="s">
        <v>5003</v>
      </c>
      <c r="G1475" t="s">
        <v>5005</v>
      </c>
      <c r="H1475">
        <v>490385</v>
      </c>
      <c r="I1475">
        <v>282747</v>
      </c>
      <c r="J1475">
        <v>0.33362950271862302</v>
      </c>
      <c r="K1475">
        <v>163606.90369067201</v>
      </c>
      <c r="L1475">
        <v>163606.90369067201</v>
      </c>
      <c r="M1475">
        <v>599</v>
      </c>
    </row>
    <row r="1476" spans="1:13" ht="15">
      <c r="A1476" t="s">
        <v>3580</v>
      </c>
      <c r="B1476" s="1040" t="str">
        <f>CONCATENATE(LEFT(RIGHT(CONCATENATE("000",IFAData_TEA_1718!A1476),6),3),"-",(RIGHT(RIGHT(CONCATENATE("000",IFAData_TEA_1718!A1476),6),3)))</f>
        <v>116-901</v>
      </c>
      <c r="C1476" t="s">
        <v>651</v>
      </c>
      <c r="D1476">
        <v>5</v>
      </c>
      <c r="E1476">
        <v>1658</v>
      </c>
      <c r="F1476" t="s">
        <v>5003</v>
      </c>
      <c r="G1476" t="s">
        <v>6277</v>
      </c>
      <c r="H1476">
        <v>490385</v>
      </c>
      <c r="I1476">
        <v>305080</v>
      </c>
      <c r="J1476">
        <v>0.359981498263102</v>
      </c>
      <c r="K1476">
        <v>176529.52702575101</v>
      </c>
      <c r="L1476">
        <v>176529.52702575101</v>
      </c>
      <c r="M1476">
        <v>599</v>
      </c>
    </row>
    <row r="1477" spans="1:13" ht="15">
      <c r="A1477" t="s">
        <v>3580</v>
      </c>
      <c r="B1477" s="1040" t="str">
        <f>CONCATENATE(LEFT(RIGHT(CONCATENATE("000",IFAData_TEA_1718!A1477),6),3),"-",(RIGHT(RIGHT(CONCATENATE("000",IFAData_TEA_1718!A1477),6),3)))</f>
        <v>116-901</v>
      </c>
      <c r="C1477" t="s">
        <v>651</v>
      </c>
      <c r="D1477">
        <v>9</v>
      </c>
      <c r="E1477">
        <v>1657</v>
      </c>
      <c r="F1477" t="s">
        <v>5006</v>
      </c>
      <c r="G1477" t="s">
        <v>5006</v>
      </c>
      <c r="H1477">
        <v>355698</v>
      </c>
      <c r="I1477">
        <v>0</v>
      </c>
      <c r="J1477">
        <v>0</v>
      </c>
      <c r="K1477">
        <v>0</v>
      </c>
      <c r="L1477">
        <v>0</v>
      </c>
      <c r="M1477">
        <v>599</v>
      </c>
    </row>
    <row r="1478" spans="1:13" ht="15">
      <c r="A1478" t="s">
        <v>3580</v>
      </c>
      <c r="B1478" s="1040" t="str">
        <f>CONCATENATE(LEFT(RIGHT(CONCATENATE("000",IFAData_TEA_1718!A1478),6),3),"-",(RIGHT(RIGHT(CONCATENATE("000",IFAData_TEA_1718!A1478),6),3)))</f>
        <v>116-901</v>
      </c>
      <c r="C1478" t="s">
        <v>651</v>
      </c>
      <c r="D1478">
        <v>9</v>
      </c>
      <c r="E1478">
        <v>1657</v>
      </c>
      <c r="F1478" t="s">
        <v>5006</v>
      </c>
      <c r="G1478" t="s">
        <v>6276</v>
      </c>
      <c r="H1478">
        <v>355698</v>
      </c>
      <c r="I1478">
        <v>276593</v>
      </c>
      <c r="J1478">
        <v>0.40753832371679599</v>
      </c>
      <c r="K1478">
        <v>144960.56666941699</v>
      </c>
      <c r="L1478">
        <v>144960.56666941699</v>
      </c>
      <c r="M1478">
        <v>599</v>
      </c>
    </row>
    <row r="1479" spans="1:13" ht="15">
      <c r="A1479" t="s">
        <v>3580</v>
      </c>
      <c r="B1479" s="1040" t="str">
        <f>CONCATENATE(LEFT(RIGHT(CONCATENATE("000",IFAData_TEA_1718!A1479),6),3),"-",(RIGHT(RIGHT(CONCATENATE("000",IFAData_TEA_1718!A1479),6),3)))</f>
        <v>116-901</v>
      </c>
      <c r="C1479" t="s">
        <v>651</v>
      </c>
      <c r="D1479">
        <v>9</v>
      </c>
      <c r="E1479">
        <v>1657</v>
      </c>
      <c r="F1479" t="s">
        <v>5006</v>
      </c>
      <c r="G1479" t="s">
        <v>6482</v>
      </c>
      <c r="H1479">
        <v>355698</v>
      </c>
      <c r="I1479">
        <v>402099</v>
      </c>
      <c r="J1479">
        <v>0.59246167628320401</v>
      </c>
      <c r="K1479">
        <v>210737.43333058301</v>
      </c>
      <c r="L1479">
        <v>210737.43333058301</v>
      </c>
      <c r="M1479">
        <v>599</v>
      </c>
    </row>
    <row r="1480" spans="1:13" ht="15">
      <c r="A1480" t="s">
        <v>3581</v>
      </c>
      <c r="B1480" s="1040" t="str">
        <f>CONCATENATE(LEFT(RIGHT(CONCATENATE("000",IFAData_TEA_1718!A1480),6),3),"-",(RIGHT(RIGHT(CONCATENATE("000",IFAData_TEA_1718!A1480),6),3)))</f>
        <v>116-902</v>
      </c>
      <c r="C1480" t="s">
        <v>1578</v>
      </c>
      <c r="D1480">
        <v>9</v>
      </c>
      <c r="E1480">
        <v>1670</v>
      </c>
      <c r="F1480" t="s">
        <v>5007</v>
      </c>
      <c r="G1480" t="s">
        <v>5007</v>
      </c>
      <c r="H1480">
        <v>123500</v>
      </c>
      <c r="I1480">
        <v>0</v>
      </c>
      <c r="J1480">
        <v>0</v>
      </c>
      <c r="K1480">
        <v>0</v>
      </c>
      <c r="L1480">
        <v>0</v>
      </c>
      <c r="M1480">
        <v>599</v>
      </c>
    </row>
    <row r="1481" spans="1:13" ht="15">
      <c r="A1481" t="s">
        <v>3581</v>
      </c>
      <c r="B1481" s="1040" t="str">
        <f>CONCATENATE(LEFT(RIGHT(CONCATENATE("000",IFAData_TEA_1718!A1481),6),3),"-",(RIGHT(RIGHT(CONCATENATE("000",IFAData_TEA_1718!A1481),6),3)))</f>
        <v>116-902</v>
      </c>
      <c r="C1481" t="s">
        <v>1578</v>
      </c>
      <c r="D1481">
        <v>9</v>
      </c>
      <c r="E1481">
        <v>1670</v>
      </c>
      <c r="F1481" t="s">
        <v>5007</v>
      </c>
      <c r="G1481" t="s">
        <v>6278</v>
      </c>
      <c r="H1481">
        <v>123500</v>
      </c>
      <c r="I1481">
        <v>433765</v>
      </c>
      <c r="J1481">
        <v>1</v>
      </c>
      <c r="K1481">
        <v>123500</v>
      </c>
      <c r="L1481">
        <v>123500</v>
      </c>
      <c r="M1481">
        <v>599</v>
      </c>
    </row>
    <row r="1482" spans="1:13" ht="15">
      <c r="A1482" t="s">
        <v>3582</v>
      </c>
      <c r="B1482" s="1040" t="str">
        <f>CONCATENATE(LEFT(RIGHT(CONCATENATE("000",IFAData_TEA_1718!A1482),6),3),"-",(RIGHT(RIGHT(CONCATENATE("000",IFAData_TEA_1718!A1482),6),3)))</f>
        <v>116-903</v>
      </c>
      <c r="C1482" t="s">
        <v>1550</v>
      </c>
      <c r="D1482">
        <v>5</v>
      </c>
      <c r="E1482">
        <v>1711</v>
      </c>
      <c r="F1482" t="s">
        <v>5008</v>
      </c>
      <c r="G1482" t="s">
        <v>5008</v>
      </c>
      <c r="H1482">
        <v>568204</v>
      </c>
      <c r="I1482">
        <v>0</v>
      </c>
      <c r="J1482">
        <v>0</v>
      </c>
      <c r="K1482">
        <v>0</v>
      </c>
      <c r="L1482">
        <v>0</v>
      </c>
      <c r="M1482">
        <v>599</v>
      </c>
    </row>
    <row r="1483" spans="1:13" ht="15">
      <c r="A1483" t="s">
        <v>3582</v>
      </c>
      <c r="B1483" s="1040" t="str">
        <f>CONCATENATE(LEFT(RIGHT(CONCATENATE("000",IFAData_TEA_1718!A1483),6),3),"-",(RIGHT(RIGHT(CONCATENATE("000",IFAData_TEA_1718!A1483),6),3)))</f>
        <v>116-903</v>
      </c>
      <c r="C1483" t="s">
        <v>1550</v>
      </c>
      <c r="D1483">
        <v>5</v>
      </c>
      <c r="E1483">
        <v>1711</v>
      </c>
      <c r="F1483" t="s">
        <v>5008</v>
      </c>
      <c r="G1483" t="s">
        <v>5009</v>
      </c>
      <c r="H1483">
        <v>568204</v>
      </c>
      <c r="I1483">
        <v>169453</v>
      </c>
      <c r="J1483">
        <v>0.154980743217598</v>
      </c>
      <c r="K1483">
        <v>88060.678219211797</v>
      </c>
      <c r="L1483">
        <v>88060.678219211797</v>
      </c>
      <c r="M1483">
        <v>599</v>
      </c>
    </row>
    <row r="1484" spans="1:13" ht="15">
      <c r="A1484" t="s">
        <v>3582</v>
      </c>
      <c r="B1484" s="1040" t="str">
        <f>CONCATENATE(LEFT(RIGHT(CONCATENATE("000",IFAData_TEA_1718!A1484),6),3),"-",(RIGHT(RIGHT(CONCATENATE("000",IFAData_TEA_1718!A1484),6),3)))</f>
        <v>116-903</v>
      </c>
      <c r="C1484" t="s">
        <v>1550</v>
      </c>
      <c r="D1484">
        <v>5</v>
      </c>
      <c r="E1484">
        <v>1711</v>
      </c>
      <c r="F1484" t="s">
        <v>5008</v>
      </c>
      <c r="G1484" t="s">
        <v>5010</v>
      </c>
      <c r="H1484">
        <v>568204</v>
      </c>
      <c r="I1484">
        <v>187478</v>
      </c>
      <c r="J1484">
        <v>0.171466304975118</v>
      </c>
      <c r="K1484">
        <v>97427.840352082203</v>
      </c>
      <c r="L1484">
        <v>97427.840352082203</v>
      </c>
      <c r="M1484">
        <v>599</v>
      </c>
    </row>
    <row r="1485" spans="1:13" ht="15">
      <c r="A1485" t="s">
        <v>3582</v>
      </c>
      <c r="B1485" s="1040" t="str">
        <f>CONCATENATE(LEFT(RIGHT(CONCATENATE("000",IFAData_TEA_1718!A1485),6),3),"-",(RIGHT(RIGHT(CONCATENATE("000",IFAData_TEA_1718!A1485),6),3)))</f>
        <v>116-903</v>
      </c>
      <c r="C1485" t="s">
        <v>1550</v>
      </c>
      <c r="D1485">
        <v>5</v>
      </c>
      <c r="E1485">
        <v>1711</v>
      </c>
      <c r="F1485" t="s">
        <v>5008</v>
      </c>
      <c r="G1485" t="s">
        <v>6279</v>
      </c>
      <c r="H1485">
        <v>568204</v>
      </c>
      <c r="I1485">
        <v>370204</v>
      </c>
      <c r="J1485">
        <v>0.338586457968448</v>
      </c>
      <c r="K1485">
        <v>192386.17976350401</v>
      </c>
      <c r="L1485">
        <v>192386.17976350401</v>
      </c>
      <c r="M1485">
        <v>599</v>
      </c>
    </row>
    <row r="1486" spans="1:13" ht="15">
      <c r="A1486" t="s">
        <v>3582</v>
      </c>
      <c r="B1486" s="1040" t="str">
        <f>CONCATENATE(LEFT(RIGHT(CONCATENATE("000",IFAData_TEA_1718!A1486),6),3),"-",(RIGHT(RIGHT(CONCATENATE("000",IFAData_TEA_1718!A1486),6),3)))</f>
        <v>116-903</v>
      </c>
      <c r="C1486" t="s">
        <v>1550</v>
      </c>
      <c r="D1486">
        <v>5</v>
      </c>
      <c r="E1486">
        <v>1711</v>
      </c>
      <c r="F1486" t="s">
        <v>5008</v>
      </c>
      <c r="G1486" t="s">
        <v>8421</v>
      </c>
      <c r="H1486">
        <v>568204</v>
      </c>
      <c r="I1486">
        <v>366246</v>
      </c>
      <c r="J1486">
        <v>0.33496649383883598</v>
      </c>
      <c r="K1486">
        <v>190329.30166520199</v>
      </c>
      <c r="L1486">
        <v>190329.30166520199</v>
      </c>
      <c r="M1486">
        <v>599</v>
      </c>
    </row>
    <row r="1487" spans="1:13" ht="15">
      <c r="A1487" t="s">
        <v>3583</v>
      </c>
      <c r="B1487" s="1040" t="str">
        <f>CONCATENATE(LEFT(RIGHT(CONCATENATE("000",IFAData_TEA_1718!A1487),6),3),"-",(RIGHT(RIGHT(CONCATENATE("000",IFAData_TEA_1718!A1487),6),3)))</f>
        <v>116-906</v>
      </c>
      <c r="C1487" t="s">
        <v>2125</v>
      </c>
      <c r="D1487">
        <v>4</v>
      </c>
      <c r="E1487">
        <v>2033</v>
      </c>
      <c r="F1487" t="s">
        <v>5011</v>
      </c>
      <c r="G1487" t="s">
        <v>5011</v>
      </c>
      <c r="H1487">
        <v>179503</v>
      </c>
      <c r="I1487">
        <v>0</v>
      </c>
      <c r="J1487">
        <v>0</v>
      </c>
      <c r="K1487">
        <v>0</v>
      </c>
      <c r="L1487">
        <v>0</v>
      </c>
      <c r="M1487">
        <v>599</v>
      </c>
    </row>
    <row r="1488" spans="1:13" ht="15">
      <c r="A1488" t="s">
        <v>3583</v>
      </c>
      <c r="B1488" s="1040" t="str">
        <f>CONCATENATE(LEFT(RIGHT(CONCATENATE("000",IFAData_TEA_1718!A1488),6),3),"-",(RIGHT(RIGHT(CONCATENATE("000",IFAData_TEA_1718!A1488),6),3)))</f>
        <v>116-906</v>
      </c>
      <c r="C1488" t="s">
        <v>2125</v>
      </c>
      <c r="D1488">
        <v>4</v>
      </c>
      <c r="E1488">
        <v>2033</v>
      </c>
      <c r="F1488" t="s">
        <v>5011</v>
      </c>
      <c r="G1488" t="s">
        <v>5012</v>
      </c>
      <c r="H1488">
        <v>179503</v>
      </c>
      <c r="I1488">
        <v>236680</v>
      </c>
      <c r="J1488">
        <v>1</v>
      </c>
      <c r="K1488">
        <v>179503</v>
      </c>
      <c r="L1488">
        <v>179503</v>
      </c>
      <c r="M1488">
        <v>599</v>
      </c>
    </row>
    <row r="1489" spans="1:13" ht="15">
      <c r="A1489" t="s">
        <v>3584</v>
      </c>
      <c r="B1489" s="1040" t="str">
        <f>CONCATENATE(LEFT(RIGHT(CONCATENATE("000",IFAData_TEA_1718!A1489),6),3),"-",(RIGHT(RIGHT(CONCATENATE("000",IFAData_TEA_1718!A1489),6),3)))</f>
        <v>116-908</v>
      </c>
      <c r="C1489" t="s">
        <v>77</v>
      </c>
      <c r="D1489">
        <v>1</v>
      </c>
      <c r="E1489">
        <v>2223</v>
      </c>
      <c r="F1489" t="s">
        <v>5013</v>
      </c>
      <c r="G1489" t="s">
        <v>5013</v>
      </c>
      <c r="H1489">
        <v>647776</v>
      </c>
      <c r="I1489">
        <v>0</v>
      </c>
      <c r="J1489">
        <v>0</v>
      </c>
      <c r="K1489">
        <v>0</v>
      </c>
      <c r="L1489">
        <v>0</v>
      </c>
      <c r="M1489">
        <v>599</v>
      </c>
    </row>
    <row r="1490" spans="1:13" ht="15">
      <c r="A1490" t="s">
        <v>3584</v>
      </c>
      <c r="B1490" s="1040" t="str">
        <f>CONCATENATE(LEFT(RIGHT(CONCATENATE("000",IFAData_TEA_1718!A1490),6),3),"-",(RIGHT(RIGHT(CONCATENATE("000",IFAData_TEA_1718!A1490),6),3)))</f>
        <v>116-908</v>
      </c>
      <c r="C1490" t="s">
        <v>77</v>
      </c>
      <c r="D1490">
        <v>1</v>
      </c>
      <c r="E1490">
        <v>2223</v>
      </c>
      <c r="F1490" t="s">
        <v>5013</v>
      </c>
      <c r="G1490" t="s">
        <v>5014</v>
      </c>
      <c r="H1490">
        <v>647776</v>
      </c>
      <c r="I1490">
        <v>0</v>
      </c>
      <c r="J1490">
        <v>0</v>
      </c>
      <c r="K1490">
        <v>0</v>
      </c>
      <c r="L1490">
        <v>0</v>
      </c>
      <c r="M1490">
        <v>599</v>
      </c>
    </row>
    <row r="1491" spans="1:13" ht="15">
      <c r="A1491" t="s">
        <v>3584</v>
      </c>
      <c r="B1491" s="1040" t="str">
        <f>CONCATENATE(LEFT(RIGHT(CONCATENATE("000",IFAData_TEA_1718!A1491),6),3),"-",(RIGHT(RIGHT(CONCATENATE("000",IFAData_TEA_1718!A1491),6),3)))</f>
        <v>116-908</v>
      </c>
      <c r="C1491" t="s">
        <v>77</v>
      </c>
      <c r="D1491">
        <v>1</v>
      </c>
      <c r="E1491">
        <v>2223</v>
      </c>
      <c r="F1491" t="s">
        <v>5013</v>
      </c>
      <c r="G1491" t="s">
        <v>8422</v>
      </c>
      <c r="H1491">
        <v>647776</v>
      </c>
      <c r="I1491">
        <v>823350</v>
      </c>
      <c r="J1491">
        <v>1</v>
      </c>
      <c r="K1491">
        <v>647776</v>
      </c>
      <c r="L1491">
        <v>647776</v>
      </c>
      <c r="M1491">
        <v>599</v>
      </c>
    </row>
    <row r="1492" spans="1:13" ht="15">
      <c r="A1492" t="s">
        <v>3584</v>
      </c>
      <c r="B1492" s="1040" t="str">
        <f>CONCATENATE(LEFT(RIGHT(CONCATENATE("000",IFAData_TEA_1718!A1492),6),3),"-",(RIGHT(RIGHT(CONCATENATE("000",IFAData_TEA_1718!A1492),6),3)))</f>
        <v>116-908</v>
      </c>
      <c r="C1492" t="s">
        <v>77</v>
      </c>
      <c r="D1492">
        <v>6</v>
      </c>
      <c r="E1492">
        <v>2224</v>
      </c>
      <c r="F1492" t="s">
        <v>5015</v>
      </c>
      <c r="G1492" t="s">
        <v>5015</v>
      </c>
      <c r="H1492">
        <v>685070</v>
      </c>
      <c r="I1492">
        <v>0</v>
      </c>
      <c r="J1492">
        <v>0</v>
      </c>
      <c r="K1492">
        <v>0</v>
      </c>
      <c r="L1492">
        <v>0</v>
      </c>
      <c r="M1492">
        <v>599</v>
      </c>
    </row>
    <row r="1493" spans="1:13" ht="15">
      <c r="A1493" t="s">
        <v>3584</v>
      </c>
      <c r="B1493" s="1040" t="str">
        <f>CONCATENATE(LEFT(RIGHT(CONCATENATE("000",IFAData_TEA_1718!A1493),6),3),"-",(RIGHT(RIGHT(CONCATENATE("000",IFAData_TEA_1718!A1493),6),3)))</f>
        <v>116-908</v>
      </c>
      <c r="C1493" t="s">
        <v>77</v>
      </c>
      <c r="D1493">
        <v>6</v>
      </c>
      <c r="E1493">
        <v>2224</v>
      </c>
      <c r="F1493" t="s">
        <v>5015</v>
      </c>
      <c r="G1493" t="s">
        <v>5016</v>
      </c>
      <c r="H1493">
        <v>685070</v>
      </c>
      <c r="I1493">
        <v>319780</v>
      </c>
      <c r="J1493">
        <v>1</v>
      </c>
      <c r="K1493">
        <v>685070</v>
      </c>
      <c r="L1493">
        <v>319780</v>
      </c>
      <c r="M1493">
        <v>599</v>
      </c>
    </row>
    <row r="1494" spans="1:13" ht="15">
      <c r="A1494" t="s">
        <v>3585</v>
      </c>
      <c r="B1494" s="1040" t="str">
        <f>CONCATENATE(LEFT(RIGHT(CONCATENATE("000",IFAData_TEA_1718!A1494),6),3),"-",(RIGHT(RIGHT(CONCATENATE("000",IFAData_TEA_1718!A1494),6),3)))</f>
        <v>116-909</v>
      </c>
      <c r="C1494" t="s">
        <v>1131</v>
      </c>
      <c r="D1494">
        <v>5</v>
      </c>
      <c r="E1494">
        <v>2461</v>
      </c>
      <c r="F1494" t="s">
        <v>5017</v>
      </c>
      <c r="G1494" t="s">
        <v>5017</v>
      </c>
      <c r="H1494">
        <v>144000</v>
      </c>
      <c r="I1494">
        <v>0</v>
      </c>
      <c r="J1494">
        <v>0</v>
      </c>
      <c r="K1494">
        <v>0</v>
      </c>
      <c r="L1494">
        <v>0</v>
      </c>
      <c r="M1494">
        <v>599</v>
      </c>
    </row>
    <row r="1495" spans="1:13" ht="15">
      <c r="A1495" t="s">
        <v>3585</v>
      </c>
      <c r="B1495" s="1040" t="str">
        <f>CONCATENATE(LEFT(RIGHT(CONCATENATE("000",IFAData_TEA_1718!A1495),6),3),"-",(RIGHT(RIGHT(CONCATENATE("000",IFAData_TEA_1718!A1495),6),3)))</f>
        <v>116-909</v>
      </c>
      <c r="C1495" t="s">
        <v>1131</v>
      </c>
      <c r="D1495">
        <v>5</v>
      </c>
      <c r="E1495">
        <v>2461</v>
      </c>
      <c r="F1495" t="s">
        <v>5017</v>
      </c>
      <c r="G1495" t="s">
        <v>5018</v>
      </c>
      <c r="H1495">
        <v>144000</v>
      </c>
      <c r="I1495">
        <v>120300</v>
      </c>
      <c r="J1495">
        <v>1</v>
      </c>
      <c r="K1495">
        <v>144000</v>
      </c>
      <c r="L1495">
        <v>120300</v>
      </c>
      <c r="M1495">
        <v>599</v>
      </c>
    </row>
    <row r="1496" spans="1:13" ht="15">
      <c r="A1496" t="s">
        <v>3586</v>
      </c>
      <c r="B1496" s="1040" t="str">
        <f>CONCATENATE(LEFT(RIGHT(CONCATENATE("000",IFAData_TEA_1718!A1496),6),3),"-",(RIGHT(RIGHT(CONCATENATE("000",IFAData_TEA_1718!A1496),6),3)))</f>
        <v>116-915</v>
      </c>
      <c r="C1496" t="s">
        <v>799</v>
      </c>
      <c r="D1496">
        <v>2</v>
      </c>
      <c r="E1496">
        <v>1614</v>
      </c>
      <c r="F1496" t="s">
        <v>5019</v>
      </c>
      <c r="G1496" t="s">
        <v>5019</v>
      </c>
      <c r="H1496">
        <v>93784</v>
      </c>
      <c r="I1496">
        <v>0</v>
      </c>
      <c r="J1496">
        <v>0</v>
      </c>
      <c r="K1496"/>
      <c r="L1496">
        <v>0</v>
      </c>
      <c r="M1496">
        <v>199</v>
      </c>
    </row>
    <row r="1497" spans="1:13" ht="15">
      <c r="A1497" t="s">
        <v>3586</v>
      </c>
      <c r="B1497" s="1040" t="str">
        <f>CONCATENATE(LEFT(RIGHT(CONCATENATE("000",IFAData_TEA_1718!A1497),6),3),"-",(RIGHT(RIGHT(CONCATENATE("000",IFAData_TEA_1718!A1497),6),3)))</f>
        <v>116-915</v>
      </c>
      <c r="C1497" t="s">
        <v>799</v>
      </c>
      <c r="D1497">
        <v>9</v>
      </c>
      <c r="E1497">
        <v>1615</v>
      </c>
      <c r="F1497" t="s">
        <v>5020</v>
      </c>
      <c r="G1497" t="s">
        <v>5020</v>
      </c>
      <c r="H1497">
        <v>144241</v>
      </c>
      <c r="I1497">
        <v>70573</v>
      </c>
      <c r="J1497">
        <v>9.4952922466706696E-2</v>
      </c>
      <c r="K1497">
        <v>13696.104489520199</v>
      </c>
      <c r="L1497">
        <v>13696.104489520199</v>
      </c>
      <c r="M1497">
        <v>599</v>
      </c>
    </row>
    <row r="1498" spans="1:13" ht="15">
      <c r="A1498" t="s">
        <v>3586</v>
      </c>
      <c r="B1498" s="1040" t="str">
        <f>CONCATENATE(LEFT(RIGHT(CONCATENATE("000",IFAData_TEA_1718!A1498),6),3),"-",(RIGHT(RIGHT(CONCATENATE("000",IFAData_TEA_1718!A1498),6),3)))</f>
        <v>116-915</v>
      </c>
      <c r="C1498" t="s">
        <v>799</v>
      </c>
      <c r="D1498">
        <v>9</v>
      </c>
      <c r="E1498">
        <v>1615</v>
      </c>
      <c r="F1498" t="s">
        <v>5020</v>
      </c>
      <c r="G1498" t="s">
        <v>5020</v>
      </c>
      <c r="H1498">
        <v>144241</v>
      </c>
      <c r="I1498">
        <v>70573</v>
      </c>
      <c r="J1498">
        <v>9.4952922466706696E-2</v>
      </c>
      <c r="K1498">
        <v>13696.104489520199</v>
      </c>
      <c r="L1498">
        <v>13696.104489520199</v>
      </c>
      <c r="M1498">
        <v>599</v>
      </c>
    </row>
    <row r="1499" spans="1:13" ht="15">
      <c r="A1499" t="s">
        <v>3586</v>
      </c>
      <c r="B1499" s="1040" t="str">
        <f>CONCATENATE(LEFT(RIGHT(CONCATENATE("000",IFAData_TEA_1718!A1499),6),3),"-",(RIGHT(RIGHT(CONCATENATE("000",IFAData_TEA_1718!A1499),6),3)))</f>
        <v>116-915</v>
      </c>
      <c r="C1499" t="s">
        <v>799</v>
      </c>
      <c r="D1499">
        <v>9</v>
      </c>
      <c r="E1499">
        <v>1615</v>
      </c>
      <c r="F1499" t="s">
        <v>5020</v>
      </c>
      <c r="G1499" t="s">
        <v>6483</v>
      </c>
      <c r="H1499">
        <v>144241</v>
      </c>
      <c r="I1499">
        <v>65448</v>
      </c>
      <c r="J1499">
        <v>8.8057456387017993E-2</v>
      </c>
      <c r="K1499">
        <v>12701.495566719899</v>
      </c>
      <c r="L1499">
        <v>12701.495566719899</v>
      </c>
      <c r="M1499">
        <v>599</v>
      </c>
    </row>
    <row r="1500" spans="1:13" ht="15">
      <c r="A1500" t="s">
        <v>3586</v>
      </c>
      <c r="B1500" s="1040" t="str">
        <f>CONCATENATE(LEFT(RIGHT(CONCATENATE("000",IFAData_TEA_1718!A1500),6),3),"-",(RIGHT(RIGHT(CONCATENATE("000",IFAData_TEA_1718!A1500),6),3)))</f>
        <v>116-915</v>
      </c>
      <c r="C1500" t="s">
        <v>799</v>
      </c>
      <c r="D1500">
        <v>9</v>
      </c>
      <c r="E1500">
        <v>1615</v>
      </c>
      <c r="F1500" t="s">
        <v>5020</v>
      </c>
      <c r="G1500" t="s">
        <v>6483</v>
      </c>
      <c r="H1500">
        <v>144241</v>
      </c>
      <c r="I1500">
        <v>65448</v>
      </c>
      <c r="J1500">
        <v>8.8057456387017993E-2</v>
      </c>
      <c r="K1500">
        <v>12701.495566719899</v>
      </c>
      <c r="L1500">
        <v>12701.495566719899</v>
      </c>
      <c r="M1500">
        <v>599</v>
      </c>
    </row>
    <row r="1501" spans="1:13" ht="15">
      <c r="A1501" t="s">
        <v>3586</v>
      </c>
      <c r="B1501" s="1040" t="str">
        <f>CONCATENATE(LEFT(RIGHT(CONCATENATE("000",IFAData_TEA_1718!A1501),6),3),"-",(RIGHT(RIGHT(CONCATENATE("000",IFAData_TEA_1718!A1501),6),3)))</f>
        <v>116-915</v>
      </c>
      <c r="C1501" t="s">
        <v>799</v>
      </c>
      <c r="D1501">
        <v>9</v>
      </c>
      <c r="E1501">
        <v>1615</v>
      </c>
      <c r="F1501" t="s">
        <v>5020</v>
      </c>
      <c r="G1501" t="s">
        <v>8423</v>
      </c>
      <c r="H1501">
        <v>144241</v>
      </c>
      <c r="I1501">
        <v>235600</v>
      </c>
      <c r="J1501">
        <v>0.31698962114627499</v>
      </c>
      <c r="K1501">
        <v>45722.899943759898</v>
      </c>
      <c r="L1501">
        <v>45722.899943759898</v>
      </c>
      <c r="M1501">
        <v>599</v>
      </c>
    </row>
    <row r="1502" spans="1:13" ht="15">
      <c r="A1502" t="s">
        <v>3586</v>
      </c>
      <c r="B1502" s="1040" t="str">
        <f>CONCATENATE(LEFT(RIGHT(CONCATENATE("000",IFAData_TEA_1718!A1502),6),3),"-",(RIGHT(RIGHT(CONCATENATE("000",IFAData_TEA_1718!A1502),6),3)))</f>
        <v>116-915</v>
      </c>
      <c r="C1502" t="s">
        <v>799</v>
      </c>
      <c r="D1502">
        <v>9</v>
      </c>
      <c r="E1502">
        <v>1615</v>
      </c>
      <c r="F1502" t="s">
        <v>5020</v>
      </c>
      <c r="G1502" t="s">
        <v>8423</v>
      </c>
      <c r="H1502">
        <v>144241</v>
      </c>
      <c r="I1502">
        <v>235600</v>
      </c>
      <c r="J1502">
        <v>0.31698962114627499</v>
      </c>
      <c r="K1502">
        <v>45722.899943759898</v>
      </c>
      <c r="L1502">
        <v>45722.899943759898</v>
      </c>
      <c r="M1502">
        <v>599</v>
      </c>
    </row>
    <row r="1503" spans="1:13" ht="15">
      <c r="A1503" t="s">
        <v>3586</v>
      </c>
      <c r="B1503" s="1040" t="str">
        <f>CONCATENATE(LEFT(RIGHT(CONCATENATE("000",IFAData_TEA_1718!A1503),6),3),"-",(RIGHT(RIGHT(CONCATENATE("000",IFAData_TEA_1718!A1503),6),3)))</f>
        <v>116-915</v>
      </c>
      <c r="C1503" t="s">
        <v>799</v>
      </c>
      <c r="D1503">
        <v>11</v>
      </c>
      <c r="E1503">
        <v>2597</v>
      </c>
      <c r="F1503" t="s">
        <v>5020</v>
      </c>
      <c r="G1503" t="s">
        <v>5020</v>
      </c>
      <c r="H1503">
        <v>144241</v>
      </c>
      <c r="I1503">
        <v>70573</v>
      </c>
      <c r="J1503">
        <v>9.4952922466706696E-2</v>
      </c>
      <c r="K1503">
        <v>13696.104489520199</v>
      </c>
      <c r="L1503">
        <v>13696.104489520199</v>
      </c>
      <c r="M1503">
        <v>599</v>
      </c>
    </row>
    <row r="1504" spans="1:13" ht="15">
      <c r="A1504" t="s">
        <v>3586</v>
      </c>
      <c r="B1504" s="1040" t="str">
        <f>CONCATENATE(LEFT(RIGHT(CONCATENATE("000",IFAData_TEA_1718!A1504),6),3),"-",(RIGHT(RIGHT(CONCATENATE("000",IFAData_TEA_1718!A1504),6),3)))</f>
        <v>116-915</v>
      </c>
      <c r="C1504" t="s">
        <v>799</v>
      </c>
      <c r="D1504">
        <v>11</v>
      </c>
      <c r="E1504">
        <v>2597</v>
      </c>
      <c r="F1504" t="s">
        <v>5020</v>
      </c>
      <c r="G1504" t="s">
        <v>5020</v>
      </c>
      <c r="H1504">
        <v>144241</v>
      </c>
      <c r="I1504">
        <v>70573</v>
      </c>
      <c r="J1504">
        <v>9.4952922466706696E-2</v>
      </c>
      <c r="K1504">
        <v>13696.104489520199</v>
      </c>
      <c r="L1504">
        <v>13696.104489520199</v>
      </c>
      <c r="M1504">
        <v>599</v>
      </c>
    </row>
    <row r="1505" spans="1:13" ht="15">
      <c r="A1505" t="s">
        <v>3586</v>
      </c>
      <c r="B1505" s="1040" t="str">
        <f>CONCATENATE(LEFT(RIGHT(CONCATENATE("000",IFAData_TEA_1718!A1505),6),3),"-",(RIGHT(RIGHT(CONCATENATE("000",IFAData_TEA_1718!A1505),6),3)))</f>
        <v>116-915</v>
      </c>
      <c r="C1505" t="s">
        <v>799</v>
      </c>
      <c r="D1505">
        <v>11</v>
      </c>
      <c r="E1505">
        <v>2597</v>
      </c>
      <c r="F1505" t="s">
        <v>5020</v>
      </c>
      <c r="G1505" t="s">
        <v>6483</v>
      </c>
      <c r="H1505">
        <v>144241</v>
      </c>
      <c r="I1505">
        <v>65448</v>
      </c>
      <c r="J1505">
        <v>8.8057456387017993E-2</v>
      </c>
      <c r="K1505">
        <v>12701.495566719899</v>
      </c>
      <c r="L1505">
        <v>12701.495566719899</v>
      </c>
      <c r="M1505">
        <v>599</v>
      </c>
    </row>
    <row r="1506" spans="1:13" ht="15">
      <c r="A1506" t="s">
        <v>3586</v>
      </c>
      <c r="B1506" s="1040" t="str">
        <f>CONCATENATE(LEFT(RIGHT(CONCATENATE("000",IFAData_TEA_1718!A1506),6),3),"-",(RIGHT(RIGHT(CONCATENATE("000",IFAData_TEA_1718!A1506),6),3)))</f>
        <v>116-915</v>
      </c>
      <c r="C1506" t="s">
        <v>799</v>
      </c>
      <c r="D1506">
        <v>11</v>
      </c>
      <c r="E1506">
        <v>2597</v>
      </c>
      <c r="F1506" t="s">
        <v>5020</v>
      </c>
      <c r="G1506" t="s">
        <v>6483</v>
      </c>
      <c r="H1506">
        <v>144241</v>
      </c>
      <c r="I1506">
        <v>65448</v>
      </c>
      <c r="J1506">
        <v>8.8057456387017993E-2</v>
      </c>
      <c r="K1506">
        <v>12701.495566719899</v>
      </c>
      <c r="L1506">
        <v>12701.495566719899</v>
      </c>
      <c r="M1506">
        <v>599</v>
      </c>
    </row>
    <row r="1507" spans="1:13" ht="15">
      <c r="A1507" t="s">
        <v>3586</v>
      </c>
      <c r="B1507" s="1040" t="str">
        <f>CONCATENATE(LEFT(RIGHT(CONCATENATE("000",IFAData_TEA_1718!A1507),6),3),"-",(RIGHT(RIGHT(CONCATENATE("000",IFAData_TEA_1718!A1507),6),3)))</f>
        <v>116-915</v>
      </c>
      <c r="C1507" t="s">
        <v>799</v>
      </c>
      <c r="D1507">
        <v>11</v>
      </c>
      <c r="E1507">
        <v>2597</v>
      </c>
      <c r="F1507" t="s">
        <v>5020</v>
      </c>
      <c r="G1507" t="s">
        <v>8423</v>
      </c>
      <c r="H1507">
        <v>144241</v>
      </c>
      <c r="I1507">
        <v>235600</v>
      </c>
      <c r="J1507">
        <v>0.31698962114627499</v>
      </c>
      <c r="K1507">
        <v>45722.899943759898</v>
      </c>
      <c r="L1507">
        <v>45722.899943759898</v>
      </c>
      <c r="M1507">
        <v>599</v>
      </c>
    </row>
    <row r="1508" spans="1:13" ht="15">
      <c r="A1508" t="s">
        <v>3586</v>
      </c>
      <c r="B1508" s="1040" t="str">
        <f>CONCATENATE(LEFT(RIGHT(CONCATENATE("000",IFAData_TEA_1718!A1508),6),3),"-",(RIGHT(RIGHT(CONCATENATE("000",IFAData_TEA_1718!A1508),6),3)))</f>
        <v>116-915</v>
      </c>
      <c r="C1508" t="s">
        <v>799</v>
      </c>
      <c r="D1508">
        <v>11</v>
      </c>
      <c r="E1508">
        <v>2597</v>
      </c>
      <c r="F1508" t="s">
        <v>5020</v>
      </c>
      <c r="G1508" t="s">
        <v>8423</v>
      </c>
      <c r="H1508">
        <v>144241</v>
      </c>
      <c r="I1508">
        <v>235600</v>
      </c>
      <c r="J1508">
        <v>0.31698962114627499</v>
      </c>
      <c r="K1508">
        <v>45722.899943759898</v>
      </c>
      <c r="L1508">
        <v>45722.899943759898</v>
      </c>
      <c r="M1508">
        <v>599</v>
      </c>
    </row>
    <row r="1509" spans="1:13" ht="15">
      <c r="A1509" t="s">
        <v>3587</v>
      </c>
      <c r="B1509" s="1040" t="str">
        <f>CONCATENATE(LEFT(RIGHT(CONCATENATE("000",IFAData_TEA_1718!A1509),6),3),"-",(RIGHT(RIGHT(CONCATENATE("000",IFAData_TEA_1718!A1509),6),3)))</f>
        <v>116-916</v>
      </c>
      <c r="C1509" t="s">
        <v>1347</v>
      </c>
      <c r="D1509">
        <v>5</v>
      </c>
      <c r="E1509">
        <v>1626</v>
      </c>
      <c r="F1509" t="s">
        <v>5021</v>
      </c>
      <c r="G1509" t="s">
        <v>5021</v>
      </c>
      <c r="H1509">
        <v>139355</v>
      </c>
      <c r="I1509">
        <v>0</v>
      </c>
      <c r="J1509">
        <v>0</v>
      </c>
      <c r="K1509">
        <v>0</v>
      </c>
      <c r="L1509">
        <v>0</v>
      </c>
      <c r="M1509">
        <v>599</v>
      </c>
    </row>
    <row r="1510" spans="1:13" ht="15">
      <c r="A1510" t="s">
        <v>3587</v>
      </c>
      <c r="B1510" s="1040" t="str">
        <f>CONCATENATE(LEFT(RIGHT(CONCATENATE("000",IFAData_TEA_1718!A1510),6),3),"-",(RIGHT(RIGHT(CONCATENATE("000",IFAData_TEA_1718!A1510),6),3)))</f>
        <v>116-916</v>
      </c>
      <c r="C1510" t="s">
        <v>1347</v>
      </c>
      <c r="D1510">
        <v>5</v>
      </c>
      <c r="E1510">
        <v>1626</v>
      </c>
      <c r="F1510" t="s">
        <v>5021</v>
      </c>
      <c r="G1510" t="s">
        <v>5022</v>
      </c>
      <c r="H1510">
        <v>139355</v>
      </c>
      <c r="I1510">
        <v>0</v>
      </c>
      <c r="J1510">
        <v>0</v>
      </c>
      <c r="K1510">
        <v>0</v>
      </c>
      <c r="L1510">
        <v>0</v>
      </c>
      <c r="M1510">
        <v>599</v>
      </c>
    </row>
    <row r="1511" spans="1:13" ht="15">
      <c r="A1511" t="s">
        <v>3587</v>
      </c>
      <c r="B1511" s="1040" t="str">
        <f>CONCATENATE(LEFT(RIGHT(CONCATENATE("000",IFAData_TEA_1718!A1511),6),3),"-",(RIGHT(RIGHT(CONCATENATE("000",IFAData_TEA_1718!A1511),6),3)))</f>
        <v>116-916</v>
      </c>
      <c r="C1511" t="s">
        <v>1347</v>
      </c>
      <c r="D1511">
        <v>5</v>
      </c>
      <c r="E1511">
        <v>1626</v>
      </c>
      <c r="F1511" t="s">
        <v>5021</v>
      </c>
      <c r="G1511" t="s">
        <v>6280</v>
      </c>
      <c r="H1511">
        <v>139355</v>
      </c>
      <c r="I1511">
        <v>129205</v>
      </c>
      <c r="J1511">
        <v>1</v>
      </c>
      <c r="K1511">
        <v>139355</v>
      </c>
      <c r="L1511">
        <v>129205</v>
      </c>
      <c r="M1511">
        <v>599</v>
      </c>
    </row>
    <row r="1512" spans="1:13" ht="15">
      <c r="A1512" t="s">
        <v>5941</v>
      </c>
      <c r="B1512" s="1040" t="str">
        <f>CONCATENATE(LEFT(RIGHT(CONCATENATE("000",IFAData_TEA_1718!A1512),6),3),"-",(RIGHT(RIGHT(CONCATENATE("000",IFAData_TEA_1718!A1512),6),3)))</f>
        <v>117-903</v>
      </c>
      <c r="C1512" t="s">
        <v>1046</v>
      </c>
      <c r="D1512">
        <v>11</v>
      </c>
      <c r="E1512">
        <v>2494</v>
      </c>
      <c r="F1512" t="s">
        <v>8424</v>
      </c>
      <c r="G1512" t="s">
        <v>8424</v>
      </c>
      <c r="H1512">
        <v>175424</v>
      </c>
      <c r="I1512">
        <v>234612</v>
      </c>
      <c r="J1512">
        <v>1</v>
      </c>
      <c r="K1512">
        <v>175424</v>
      </c>
      <c r="L1512">
        <v>175424</v>
      </c>
      <c r="M1512">
        <v>599</v>
      </c>
    </row>
    <row r="1513" spans="1:13" ht="15">
      <c r="A1513" t="s">
        <v>3588</v>
      </c>
      <c r="B1513" s="1040" t="str">
        <f>CONCATENATE(LEFT(RIGHT(CONCATENATE("000",IFAData_TEA_1718!A1513),6),3),"-",(RIGHT(RIGHT(CONCATENATE("000",IFAData_TEA_1718!A1513),6),3)))</f>
        <v>120-902</v>
      </c>
      <c r="C1513" t="s">
        <v>1481</v>
      </c>
      <c r="D1513">
        <v>2</v>
      </c>
      <c r="E1513">
        <v>1840</v>
      </c>
      <c r="F1513" t="s">
        <v>5023</v>
      </c>
      <c r="G1513" t="s">
        <v>5023</v>
      </c>
      <c r="H1513">
        <v>137438</v>
      </c>
      <c r="I1513">
        <v>0</v>
      </c>
      <c r="J1513">
        <v>0</v>
      </c>
      <c r="K1513"/>
      <c r="L1513">
        <v>0</v>
      </c>
      <c r="M1513">
        <v>599</v>
      </c>
    </row>
    <row r="1514" spans="1:13" ht="15">
      <c r="A1514" t="s">
        <v>3588</v>
      </c>
      <c r="B1514" s="1040" t="str">
        <f>CONCATENATE(LEFT(RIGHT(CONCATENATE("000",IFAData_TEA_1718!A1514),6),3),"-",(RIGHT(RIGHT(CONCATENATE("000",IFAData_TEA_1718!A1514),6),3)))</f>
        <v>120-902</v>
      </c>
      <c r="C1514" t="s">
        <v>1481</v>
      </c>
      <c r="D1514">
        <v>9</v>
      </c>
      <c r="E1514">
        <v>1841</v>
      </c>
      <c r="F1514" t="s">
        <v>5024</v>
      </c>
      <c r="G1514" t="s">
        <v>5024</v>
      </c>
      <c r="H1514">
        <v>152500</v>
      </c>
      <c r="I1514">
        <v>0</v>
      </c>
      <c r="J1514">
        <v>0</v>
      </c>
      <c r="K1514">
        <v>0</v>
      </c>
      <c r="L1514">
        <v>0</v>
      </c>
      <c r="M1514">
        <v>599</v>
      </c>
    </row>
    <row r="1515" spans="1:13" ht="15">
      <c r="A1515" t="s">
        <v>3588</v>
      </c>
      <c r="B1515" s="1040" t="str">
        <f>CONCATENATE(LEFT(RIGHT(CONCATENATE("000",IFAData_TEA_1718!A1515),6),3),"-",(RIGHT(RIGHT(CONCATENATE("000",IFAData_TEA_1718!A1515),6),3)))</f>
        <v>120-902</v>
      </c>
      <c r="C1515" t="s">
        <v>1481</v>
      </c>
      <c r="D1515">
        <v>9</v>
      </c>
      <c r="E1515">
        <v>1841</v>
      </c>
      <c r="F1515" t="s">
        <v>5024</v>
      </c>
      <c r="G1515" t="s">
        <v>6484</v>
      </c>
      <c r="H1515">
        <v>152500</v>
      </c>
      <c r="I1515">
        <v>348416</v>
      </c>
      <c r="J1515">
        <v>1</v>
      </c>
      <c r="K1515">
        <v>152500</v>
      </c>
      <c r="L1515">
        <v>152500</v>
      </c>
      <c r="M1515">
        <v>599</v>
      </c>
    </row>
    <row r="1516" spans="1:13" ht="15">
      <c r="A1516" t="s">
        <v>3589</v>
      </c>
      <c r="B1516" s="1040" t="str">
        <f>CONCATENATE(LEFT(RIGHT(CONCATENATE("000",IFAData_TEA_1718!A1516),6),3),"-",(RIGHT(RIGHT(CONCATENATE("000",IFAData_TEA_1718!A1516),6),3)))</f>
        <v>121-903</v>
      </c>
      <c r="C1516" t="s">
        <v>1447</v>
      </c>
      <c r="D1516">
        <v>2</v>
      </c>
      <c r="E1516">
        <v>1651</v>
      </c>
      <c r="F1516" t="s">
        <v>5025</v>
      </c>
      <c r="G1516" t="s">
        <v>5025</v>
      </c>
      <c r="H1516">
        <v>409486</v>
      </c>
      <c r="I1516">
        <v>0</v>
      </c>
      <c r="J1516">
        <v>0</v>
      </c>
      <c r="K1516">
        <v>0</v>
      </c>
      <c r="L1516">
        <v>0</v>
      </c>
      <c r="M1516">
        <v>599</v>
      </c>
    </row>
    <row r="1517" spans="1:13" ht="15">
      <c r="A1517" t="s">
        <v>3589</v>
      </c>
      <c r="B1517" s="1040" t="str">
        <f>CONCATENATE(LEFT(RIGHT(CONCATENATE("000",IFAData_TEA_1718!A1517),6),3),"-",(RIGHT(RIGHT(CONCATENATE("000",IFAData_TEA_1718!A1517),6),3)))</f>
        <v>121-903</v>
      </c>
      <c r="C1517" t="s">
        <v>1447</v>
      </c>
      <c r="D1517">
        <v>2</v>
      </c>
      <c r="E1517">
        <v>1651</v>
      </c>
      <c r="F1517" t="s">
        <v>5025</v>
      </c>
      <c r="G1517" t="s">
        <v>5026</v>
      </c>
      <c r="H1517">
        <v>409486</v>
      </c>
      <c r="I1517">
        <v>0</v>
      </c>
      <c r="J1517">
        <v>0</v>
      </c>
      <c r="K1517">
        <v>0</v>
      </c>
      <c r="L1517">
        <v>0</v>
      </c>
      <c r="M1517">
        <v>599</v>
      </c>
    </row>
    <row r="1518" spans="1:13" ht="15">
      <c r="A1518" t="s">
        <v>3589</v>
      </c>
      <c r="B1518" s="1040" t="str">
        <f>CONCATENATE(LEFT(RIGHT(CONCATENATE("000",IFAData_TEA_1718!A1518),6),3),"-",(RIGHT(RIGHT(CONCATENATE("000",IFAData_TEA_1718!A1518),6),3)))</f>
        <v>121-903</v>
      </c>
      <c r="C1518" t="s">
        <v>1447</v>
      </c>
      <c r="D1518">
        <v>2</v>
      </c>
      <c r="E1518">
        <v>1651</v>
      </c>
      <c r="F1518" t="s">
        <v>5025</v>
      </c>
      <c r="G1518" t="s">
        <v>6485</v>
      </c>
      <c r="H1518">
        <v>409486</v>
      </c>
      <c r="I1518">
        <v>296059</v>
      </c>
      <c r="J1518">
        <v>1</v>
      </c>
      <c r="K1518">
        <v>409486</v>
      </c>
      <c r="L1518">
        <v>296059</v>
      </c>
      <c r="M1518">
        <v>599</v>
      </c>
    </row>
    <row r="1519" spans="1:13" ht="15">
      <c r="A1519" t="s">
        <v>3589</v>
      </c>
      <c r="B1519" s="1040" t="str">
        <f>CONCATENATE(LEFT(RIGHT(CONCATENATE("000",IFAData_TEA_1718!A1519),6),3),"-",(RIGHT(RIGHT(CONCATENATE("000",IFAData_TEA_1718!A1519),6),3)))</f>
        <v>121-903</v>
      </c>
      <c r="C1519" t="s">
        <v>1447</v>
      </c>
      <c r="D1519">
        <v>3</v>
      </c>
      <c r="E1519">
        <v>1650</v>
      </c>
      <c r="F1519" t="s">
        <v>5027</v>
      </c>
      <c r="G1519" t="s">
        <v>5027</v>
      </c>
      <c r="H1519">
        <v>319854</v>
      </c>
      <c r="I1519">
        <v>0</v>
      </c>
      <c r="J1519">
        <v>0</v>
      </c>
      <c r="K1519">
        <v>0</v>
      </c>
      <c r="L1519">
        <v>0</v>
      </c>
      <c r="M1519">
        <v>599</v>
      </c>
    </row>
    <row r="1520" spans="1:13" ht="15">
      <c r="A1520" t="s">
        <v>3589</v>
      </c>
      <c r="B1520" s="1040" t="str">
        <f>CONCATENATE(LEFT(RIGHT(CONCATENATE("000",IFAData_TEA_1718!A1520),6),3),"-",(RIGHT(RIGHT(CONCATENATE("000",IFAData_TEA_1718!A1520),6),3)))</f>
        <v>121-903</v>
      </c>
      <c r="C1520" t="s">
        <v>1447</v>
      </c>
      <c r="D1520">
        <v>3</v>
      </c>
      <c r="E1520">
        <v>1650</v>
      </c>
      <c r="F1520" t="s">
        <v>5027</v>
      </c>
      <c r="G1520" t="s">
        <v>5026</v>
      </c>
      <c r="H1520">
        <v>319854</v>
      </c>
      <c r="I1520">
        <v>0</v>
      </c>
      <c r="J1520">
        <v>0</v>
      </c>
      <c r="K1520">
        <v>0</v>
      </c>
      <c r="L1520">
        <v>0</v>
      </c>
      <c r="M1520">
        <v>599</v>
      </c>
    </row>
    <row r="1521" spans="1:13" ht="15">
      <c r="A1521" t="s">
        <v>3589</v>
      </c>
      <c r="B1521" s="1040" t="str">
        <f>CONCATENATE(LEFT(RIGHT(CONCATENATE("000",IFAData_TEA_1718!A1521),6),3),"-",(RIGHT(RIGHT(CONCATENATE("000",IFAData_TEA_1718!A1521),6),3)))</f>
        <v>121-903</v>
      </c>
      <c r="C1521" t="s">
        <v>1447</v>
      </c>
      <c r="D1521">
        <v>3</v>
      </c>
      <c r="E1521">
        <v>1650</v>
      </c>
      <c r="F1521" t="s">
        <v>5027</v>
      </c>
      <c r="G1521" t="s">
        <v>6485</v>
      </c>
      <c r="H1521">
        <v>319854</v>
      </c>
      <c r="I1521">
        <v>539841</v>
      </c>
      <c r="J1521">
        <v>1</v>
      </c>
      <c r="K1521">
        <v>319854</v>
      </c>
      <c r="L1521">
        <v>319854</v>
      </c>
      <c r="M1521">
        <v>599</v>
      </c>
    </row>
    <row r="1522" spans="1:13" ht="15">
      <c r="A1522" t="s">
        <v>3590</v>
      </c>
      <c r="B1522" s="1040" t="str">
        <f>CONCATENATE(LEFT(RIGHT(CONCATENATE("000",IFAData_TEA_1718!A1522),6),3),"-",(RIGHT(RIGHT(CONCATENATE("000",IFAData_TEA_1718!A1522),6),3)))</f>
        <v>121-904</v>
      </c>
      <c r="C1522" t="s">
        <v>406</v>
      </c>
      <c r="D1522">
        <v>1</v>
      </c>
      <c r="E1522">
        <v>1935</v>
      </c>
      <c r="F1522" t="s">
        <v>5028</v>
      </c>
      <c r="G1522" t="s">
        <v>5028</v>
      </c>
      <c r="H1522">
        <v>422458</v>
      </c>
      <c r="I1522">
        <v>0</v>
      </c>
      <c r="J1522">
        <v>0</v>
      </c>
      <c r="K1522">
        <v>0</v>
      </c>
      <c r="L1522">
        <v>0</v>
      </c>
      <c r="M1522">
        <v>599</v>
      </c>
    </row>
    <row r="1523" spans="1:13" ht="15">
      <c r="A1523" t="s">
        <v>3590</v>
      </c>
      <c r="B1523" s="1040" t="str">
        <f>CONCATENATE(LEFT(RIGHT(CONCATENATE("000",IFAData_TEA_1718!A1523),6),3),"-",(RIGHT(RIGHT(CONCATENATE("000",IFAData_TEA_1718!A1523),6),3)))</f>
        <v>121-904</v>
      </c>
      <c r="C1523" t="s">
        <v>406</v>
      </c>
      <c r="D1523">
        <v>1</v>
      </c>
      <c r="E1523">
        <v>1935</v>
      </c>
      <c r="F1523" t="s">
        <v>5028</v>
      </c>
      <c r="G1523" t="s">
        <v>5029</v>
      </c>
      <c r="H1523">
        <v>422458</v>
      </c>
      <c r="I1523">
        <v>0</v>
      </c>
      <c r="J1523">
        <v>0</v>
      </c>
      <c r="K1523">
        <v>0</v>
      </c>
      <c r="L1523">
        <v>0</v>
      </c>
      <c r="M1523">
        <v>599</v>
      </c>
    </row>
    <row r="1524" spans="1:13" ht="15">
      <c r="A1524" t="s">
        <v>3590</v>
      </c>
      <c r="B1524" s="1040" t="str">
        <f>CONCATENATE(LEFT(RIGHT(CONCATENATE("000",IFAData_TEA_1718!A1524),6),3),"-",(RIGHT(RIGHT(CONCATENATE("000",IFAData_TEA_1718!A1524),6),3)))</f>
        <v>121-904</v>
      </c>
      <c r="C1524" t="s">
        <v>406</v>
      </c>
      <c r="D1524">
        <v>1</v>
      </c>
      <c r="E1524">
        <v>1935</v>
      </c>
      <c r="F1524" t="s">
        <v>5028</v>
      </c>
      <c r="G1524" t="s">
        <v>5030</v>
      </c>
      <c r="H1524">
        <v>422458</v>
      </c>
      <c r="I1524">
        <v>526250</v>
      </c>
      <c r="J1524">
        <v>1</v>
      </c>
      <c r="K1524">
        <v>422458</v>
      </c>
      <c r="L1524">
        <v>422458</v>
      </c>
      <c r="M1524">
        <v>599</v>
      </c>
    </row>
    <row r="1525" spans="1:13" ht="15">
      <c r="A1525" t="s">
        <v>3590</v>
      </c>
      <c r="B1525" s="1040" t="str">
        <f>CONCATENATE(LEFT(RIGHT(CONCATENATE("000",IFAData_TEA_1718!A1525),6),3),"-",(RIGHT(RIGHT(CONCATENATE("000",IFAData_TEA_1718!A1525),6),3)))</f>
        <v>121-904</v>
      </c>
      <c r="C1525" t="s">
        <v>406</v>
      </c>
      <c r="D1525">
        <v>2</v>
      </c>
      <c r="E1525">
        <v>1934</v>
      </c>
      <c r="F1525" t="s">
        <v>5031</v>
      </c>
      <c r="G1525" t="s">
        <v>5031</v>
      </c>
      <c r="H1525">
        <v>410042</v>
      </c>
      <c r="I1525">
        <v>0</v>
      </c>
      <c r="J1525">
        <v>0</v>
      </c>
      <c r="K1525">
        <v>0</v>
      </c>
      <c r="L1525">
        <v>0</v>
      </c>
      <c r="M1525">
        <v>599</v>
      </c>
    </row>
    <row r="1526" spans="1:13" ht="15">
      <c r="A1526" t="s">
        <v>3590</v>
      </c>
      <c r="B1526" s="1040" t="str">
        <f>CONCATENATE(LEFT(RIGHT(CONCATENATE("000",IFAData_TEA_1718!A1526),6),3),"-",(RIGHT(RIGHT(CONCATENATE("000",IFAData_TEA_1718!A1526),6),3)))</f>
        <v>121-904</v>
      </c>
      <c r="C1526" t="s">
        <v>406</v>
      </c>
      <c r="D1526">
        <v>2</v>
      </c>
      <c r="E1526">
        <v>1934</v>
      </c>
      <c r="F1526" t="s">
        <v>5031</v>
      </c>
      <c r="G1526" t="s">
        <v>5032</v>
      </c>
      <c r="H1526">
        <v>410042</v>
      </c>
      <c r="I1526">
        <v>439153</v>
      </c>
      <c r="J1526">
        <v>1</v>
      </c>
      <c r="K1526">
        <v>410042</v>
      </c>
      <c r="L1526">
        <v>410042</v>
      </c>
      <c r="M1526">
        <v>599</v>
      </c>
    </row>
    <row r="1527" spans="1:13" ht="15">
      <c r="A1527" t="s">
        <v>3590</v>
      </c>
      <c r="B1527" s="1040" t="str">
        <f>CONCATENATE(LEFT(RIGHT(CONCATENATE("000",IFAData_TEA_1718!A1527),6),3),"-",(RIGHT(RIGHT(CONCATENATE("000",IFAData_TEA_1718!A1527),6),3)))</f>
        <v>121-904</v>
      </c>
      <c r="C1527" t="s">
        <v>406</v>
      </c>
      <c r="D1527">
        <v>3</v>
      </c>
      <c r="E1527">
        <v>1933</v>
      </c>
      <c r="F1527" t="s">
        <v>5033</v>
      </c>
      <c r="G1527" t="s">
        <v>5033</v>
      </c>
      <c r="H1527">
        <v>359938</v>
      </c>
      <c r="I1527">
        <v>0</v>
      </c>
      <c r="J1527">
        <v>0</v>
      </c>
      <c r="K1527">
        <v>0</v>
      </c>
      <c r="L1527">
        <v>0</v>
      </c>
      <c r="M1527">
        <v>599</v>
      </c>
    </row>
    <row r="1528" spans="1:13" ht="15">
      <c r="A1528" t="s">
        <v>3590</v>
      </c>
      <c r="B1528" s="1040" t="str">
        <f>CONCATENATE(LEFT(RIGHT(CONCATENATE("000",IFAData_TEA_1718!A1528),6),3),"-",(RIGHT(RIGHT(CONCATENATE("000",IFAData_TEA_1718!A1528),6),3)))</f>
        <v>121-904</v>
      </c>
      <c r="C1528" t="s">
        <v>406</v>
      </c>
      <c r="D1528">
        <v>3</v>
      </c>
      <c r="E1528">
        <v>1933</v>
      </c>
      <c r="F1528" t="s">
        <v>5033</v>
      </c>
      <c r="G1528" t="s">
        <v>5032</v>
      </c>
      <c r="H1528">
        <v>359938</v>
      </c>
      <c r="I1528">
        <v>349601</v>
      </c>
      <c r="J1528">
        <v>1</v>
      </c>
      <c r="K1528">
        <v>359938</v>
      </c>
      <c r="L1528">
        <v>349601</v>
      </c>
      <c r="M1528">
        <v>599</v>
      </c>
    </row>
    <row r="1529" spans="1:13" ht="15">
      <c r="A1529" t="s">
        <v>3591</v>
      </c>
      <c r="B1529" s="1040" t="str">
        <f>CONCATENATE(LEFT(RIGHT(CONCATENATE("000",IFAData_TEA_1718!A1529),6),3),"-",(RIGHT(RIGHT(CONCATENATE("000",IFAData_TEA_1718!A1529),6),3)))</f>
        <v>121-905</v>
      </c>
      <c r="C1529" t="s">
        <v>2017</v>
      </c>
      <c r="D1529">
        <v>3</v>
      </c>
      <c r="E1529">
        <v>1962</v>
      </c>
      <c r="F1529" t="s">
        <v>5034</v>
      </c>
      <c r="G1529" t="s">
        <v>5034</v>
      </c>
      <c r="H1529">
        <v>413051</v>
      </c>
      <c r="I1529">
        <v>0</v>
      </c>
      <c r="J1529">
        <v>0</v>
      </c>
      <c r="K1529">
        <v>0</v>
      </c>
      <c r="L1529">
        <v>0</v>
      </c>
      <c r="M1529">
        <v>599</v>
      </c>
    </row>
    <row r="1530" spans="1:13" ht="15">
      <c r="A1530" t="s">
        <v>3591</v>
      </c>
      <c r="B1530" s="1040" t="str">
        <f>CONCATENATE(LEFT(RIGHT(CONCATENATE("000",IFAData_TEA_1718!A1530),6),3),"-",(RIGHT(RIGHT(CONCATENATE("000",IFAData_TEA_1718!A1530),6),3)))</f>
        <v>121-905</v>
      </c>
      <c r="C1530" t="s">
        <v>2017</v>
      </c>
      <c r="D1530">
        <v>3</v>
      </c>
      <c r="E1530">
        <v>1962</v>
      </c>
      <c r="F1530" t="s">
        <v>5034</v>
      </c>
      <c r="G1530" t="s">
        <v>5035</v>
      </c>
      <c r="H1530">
        <v>413051</v>
      </c>
      <c r="I1530">
        <v>402195</v>
      </c>
      <c r="J1530">
        <v>0.57421237555840798</v>
      </c>
      <c r="K1530">
        <v>237178.99593677599</v>
      </c>
      <c r="L1530">
        <v>237178.99593677599</v>
      </c>
      <c r="M1530">
        <v>599</v>
      </c>
    </row>
    <row r="1531" spans="1:13" ht="15">
      <c r="A1531" t="s">
        <v>3591</v>
      </c>
      <c r="B1531" s="1040" t="str">
        <f>CONCATENATE(LEFT(RIGHT(CONCATENATE("000",IFAData_TEA_1718!A1531),6),3),"-",(RIGHT(RIGHT(CONCATENATE("000",IFAData_TEA_1718!A1531),6),3)))</f>
        <v>121-905</v>
      </c>
      <c r="C1531" t="s">
        <v>2017</v>
      </c>
      <c r="D1531">
        <v>3</v>
      </c>
      <c r="E1531">
        <v>1962</v>
      </c>
      <c r="F1531" t="s">
        <v>5034</v>
      </c>
      <c r="G1531" t="s">
        <v>6281</v>
      </c>
      <c r="H1531">
        <v>413051</v>
      </c>
      <c r="I1531">
        <v>298234</v>
      </c>
      <c r="J1531">
        <v>0.42578762444159202</v>
      </c>
      <c r="K1531">
        <v>175872.00406322401</v>
      </c>
      <c r="L1531">
        <v>175872.00406322401</v>
      </c>
      <c r="M1531">
        <v>599</v>
      </c>
    </row>
    <row r="1532" spans="1:13" ht="15">
      <c r="A1532" t="s">
        <v>3592</v>
      </c>
      <c r="B1532" s="1040" t="str">
        <f>CONCATENATE(LEFT(RIGHT(CONCATENATE("000",IFAData_TEA_1718!A1532),6),3),"-",(RIGHT(RIGHT(CONCATENATE("000",IFAData_TEA_1718!A1532),6),3)))</f>
        <v>123-905</v>
      </c>
      <c r="C1532" t="s">
        <v>390</v>
      </c>
      <c r="D1532">
        <v>1</v>
      </c>
      <c r="E1532">
        <v>2129</v>
      </c>
      <c r="F1532" t="s">
        <v>5036</v>
      </c>
      <c r="G1532" t="s">
        <v>5036</v>
      </c>
      <c r="H1532">
        <v>285609</v>
      </c>
      <c r="I1532">
        <v>0</v>
      </c>
      <c r="J1532">
        <v>0</v>
      </c>
      <c r="K1532"/>
      <c r="L1532">
        <v>0</v>
      </c>
      <c r="M1532">
        <v>599</v>
      </c>
    </row>
    <row r="1533" spans="1:13" ht="15">
      <c r="A1533" t="s">
        <v>3592</v>
      </c>
      <c r="B1533" s="1040" t="str">
        <f>CONCATENATE(LEFT(RIGHT(CONCATENATE("000",IFAData_TEA_1718!A1533),6),3),"-",(RIGHT(RIGHT(CONCATENATE("000",IFAData_TEA_1718!A1533),6),3)))</f>
        <v>123-905</v>
      </c>
      <c r="C1533" t="s">
        <v>390</v>
      </c>
      <c r="D1533">
        <v>2</v>
      </c>
      <c r="E1533">
        <v>2130</v>
      </c>
      <c r="F1533" t="s">
        <v>5038</v>
      </c>
      <c r="G1533" t="s">
        <v>5038</v>
      </c>
      <c r="H1533">
        <v>539458</v>
      </c>
      <c r="I1533">
        <v>0</v>
      </c>
      <c r="J1533">
        <v>0</v>
      </c>
      <c r="K1533">
        <v>0</v>
      </c>
      <c r="L1533">
        <v>0</v>
      </c>
      <c r="M1533">
        <v>599</v>
      </c>
    </row>
    <row r="1534" spans="1:13" ht="15">
      <c r="A1534" t="s">
        <v>3592</v>
      </c>
      <c r="B1534" s="1040" t="str">
        <f>CONCATENATE(LEFT(RIGHT(CONCATENATE("000",IFAData_TEA_1718!A1534),6),3),"-",(RIGHT(RIGHT(CONCATENATE("000",IFAData_TEA_1718!A1534),6),3)))</f>
        <v>123-905</v>
      </c>
      <c r="C1534" t="s">
        <v>390</v>
      </c>
      <c r="D1534">
        <v>2</v>
      </c>
      <c r="E1534">
        <v>2130</v>
      </c>
      <c r="F1534" t="s">
        <v>5038</v>
      </c>
      <c r="G1534" t="s">
        <v>5037</v>
      </c>
      <c r="H1534">
        <v>539458</v>
      </c>
      <c r="I1534">
        <v>521321</v>
      </c>
      <c r="J1534">
        <v>1</v>
      </c>
      <c r="K1534">
        <v>539458</v>
      </c>
      <c r="L1534">
        <v>521321</v>
      </c>
      <c r="M1534">
        <v>599</v>
      </c>
    </row>
    <row r="1535" spans="1:13" ht="15">
      <c r="A1535" t="s">
        <v>3593</v>
      </c>
      <c r="B1535" s="1040" t="str">
        <f>CONCATENATE(LEFT(RIGHT(CONCATENATE("000",IFAData_TEA_1718!A1535),6),3),"-",(RIGHT(RIGHT(CONCATENATE("000",IFAData_TEA_1718!A1535),6),3)))</f>
        <v>123-914</v>
      </c>
      <c r="C1535" t="s">
        <v>1734</v>
      </c>
      <c r="D1535">
        <v>2</v>
      </c>
      <c r="E1535">
        <v>1864</v>
      </c>
      <c r="F1535" t="s">
        <v>5039</v>
      </c>
      <c r="G1535" t="s">
        <v>5039</v>
      </c>
      <c r="H1535">
        <v>512950</v>
      </c>
      <c r="I1535">
        <v>0</v>
      </c>
      <c r="J1535">
        <v>0</v>
      </c>
      <c r="K1535"/>
      <c r="L1535">
        <v>0</v>
      </c>
      <c r="M1535">
        <v>599</v>
      </c>
    </row>
    <row r="1536" spans="1:13" ht="15">
      <c r="A1536" t="s">
        <v>3593</v>
      </c>
      <c r="B1536" s="1040" t="str">
        <f>CONCATENATE(LEFT(RIGHT(CONCATENATE("000",IFAData_TEA_1718!A1536),6),3),"-",(RIGHT(RIGHT(CONCATENATE("000",IFAData_TEA_1718!A1536),6),3)))</f>
        <v>123-914</v>
      </c>
      <c r="C1536" t="s">
        <v>1734</v>
      </c>
      <c r="D1536">
        <v>2</v>
      </c>
      <c r="E1536">
        <v>1864</v>
      </c>
      <c r="F1536" t="s">
        <v>5039</v>
      </c>
      <c r="G1536" t="s">
        <v>5040</v>
      </c>
      <c r="H1536">
        <v>512950</v>
      </c>
      <c r="I1536">
        <v>0</v>
      </c>
      <c r="J1536">
        <v>0</v>
      </c>
      <c r="K1536"/>
      <c r="L1536">
        <v>0</v>
      </c>
      <c r="M1536">
        <v>599</v>
      </c>
    </row>
    <row r="1537" spans="1:13" ht="15">
      <c r="A1537" t="s">
        <v>3594</v>
      </c>
      <c r="B1537" s="1040" t="str">
        <f>CONCATENATE(LEFT(RIGHT(CONCATENATE("000",IFAData_TEA_1718!A1537),6),3),"-",(RIGHT(RIGHT(CONCATENATE("000",IFAData_TEA_1718!A1537),6),3)))</f>
        <v>125-901</v>
      </c>
      <c r="C1537" t="s">
        <v>701</v>
      </c>
      <c r="D1537">
        <v>3</v>
      </c>
      <c r="E1537">
        <v>1551</v>
      </c>
      <c r="F1537" t="s">
        <v>5041</v>
      </c>
      <c r="G1537" t="s">
        <v>5041</v>
      </c>
      <c r="H1537">
        <v>1313562</v>
      </c>
      <c r="I1537">
        <v>0</v>
      </c>
      <c r="J1537">
        <v>0</v>
      </c>
      <c r="K1537">
        <v>0</v>
      </c>
      <c r="L1537">
        <v>0</v>
      </c>
      <c r="M1537">
        <v>599</v>
      </c>
    </row>
    <row r="1538" spans="1:13" ht="15">
      <c r="A1538" t="s">
        <v>3594</v>
      </c>
      <c r="B1538" s="1040" t="str">
        <f>CONCATENATE(LEFT(RIGHT(CONCATENATE("000",IFAData_TEA_1718!A1538),6),3),"-",(RIGHT(RIGHT(CONCATENATE("000",IFAData_TEA_1718!A1538),6),3)))</f>
        <v>125-901</v>
      </c>
      <c r="C1538" t="s">
        <v>701</v>
      </c>
      <c r="D1538">
        <v>3</v>
      </c>
      <c r="E1538">
        <v>1551</v>
      </c>
      <c r="F1538" t="s">
        <v>5041</v>
      </c>
      <c r="G1538" t="s">
        <v>5042</v>
      </c>
      <c r="H1538">
        <v>1313562</v>
      </c>
      <c r="I1538">
        <v>0</v>
      </c>
      <c r="J1538">
        <v>0</v>
      </c>
      <c r="K1538">
        <v>0</v>
      </c>
      <c r="L1538">
        <v>0</v>
      </c>
      <c r="M1538">
        <v>599</v>
      </c>
    </row>
    <row r="1539" spans="1:13" ht="15">
      <c r="A1539" t="s">
        <v>3594</v>
      </c>
      <c r="B1539" s="1040" t="str">
        <f>CONCATENATE(LEFT(RIGHT(CONCATENATE("000",IFAData_TEA_1718!A1539),6),3),"-",(RIGHT(RIGHT(CONCATENATE("000",IFAData_TEA_1718!A1539),6),3)))</f>
        <v>125-901</v>
      </c>
      <c r="C1539" t="s">
        <v>701</v>
      </c>
      <c r="D1539">
        <v>3</v>
      </c>
      <c r="E1539">
        <v>1551</v>
      </c>
      <c r="F1539" t="s">
        <v>5041</v>
      </c>
      <c r="G1539" t="s">
        <v>5043</v>
      </c>
      <c r="H1539">
        <v>1313562</v>
      </c>
      <c r="I1539">
        <v>0</v>
      </c>
      <c r="J1539">
        <v>0</v>
      </c>
      <c r="K1539">
        <v>0</v>
      </c>
      <c r="L1539">
        <v>0</v>
      </c>
      <c r="M1539">
        <v>599</v>
      </c>
    </row>
    <row r="1540" spans="1:13" ht="15">
      <c r="A1540" t="s">
        <v>3594</v>
      </c>
      <c r="B1540" s="1040" t="str">
        <f>CONCATENATE(LEFT(RIGHT(CONCATENATE("000",IFAData_TEA_1718!A1540),6),3),"-",(RIGHT(RIGHT(CONCATENATE("000",IFAData_TEA_1718!A1540),6),3)))</f>
        <v>125-901</v>
      </c>
      <c r="C1540" t="s">
        <v>701</v>
      </c>
      <c r="D1540">
        <v>3</v>
      </c>
      <c r="E1540">
        <v>1551</v>
      </c>
      <c r="F1540" t="s">
        <v>5041</v>
      </c>
      <c r="G1540" t="s">
        <v>5044</v>
      </c>
      <c r="H1540">
        <v>1313562</v>
      </c>
      <c r="I1540">
        <v>1260425</v>
      </c>
      <c r="J1540">
        <v>1</v>
      </c>
      <c r="K1540">
        <v>1313562</v>
      </c>
      <c r="L1540">
        <v>1260425</v>
      </c>
      <c r="M1540">
        <v>599</v>
      </c>
    </row>
    <row r="1541" spans="1:13" ht="15">
      <c r="A1541" t="s">
        <v>3594</v>
      </c>
      <c r="B1541" s="1040" t="str">
        <f>CONCATENATE(LEFT(RIGHT(CONCATENATE("000",IFAData_TEA_1718!A1541),6),3),"-",(RIGHT(RIGHT(CONCATENATE("000",IFAData_TEA_1718!A1541),6),3)))</f>
        <v>125-901</v>
      </c>
      <c r="C1541" t="s">
        <v>701</v>
      </c>
      <c r="D1541">
        <v>6</v>
      </c>
      <c r="E1541">
        <v>1549</v>
      </c>
      <c r="F1541" t="s">
        <v>5045</v>
      </c>
      <c r="G1541" t="s">
        <v>5045</v>
      </c>
      <c r="H1541">
        <v>1226843</v>
      </c>
      <c r="I1541">
        <v>0</v>
      </c>
      <c r="J1541">
        <v>0</v>
      </c>
      <c r="K1541">
        <v>0</v>
      </c>
      <c r="L1541">
        <v>0</v>
      </c>
      <c r="M1541">
        <v>599</v>
      </c>
    </row>
    <row r="1542" spans="1:13" ht="15">
      <c r="A1542" t="s">
        <v>3594</v>
      </c>
      <c r="B1542" s="1040" t="str">
        <f>CONCATENATE(LEFT(RIGHT(CONCATENATE("000",IFAData_TEA_1718!A1542),6),3),"-",(RIGHT(RIGHT(CONCATENATE("000",IFAData_TEA_1718!A1542),6),3)))</f>
        <v>125-901</v>
      </c>
      <c r="C1542" t="s">
        <v>701</v>
      </c>
      <c r="D1542">
        <v>6</v>
      </c>
      <c r="E1542">
        <v>1549</v>
      </c>
      <c r="F1542" t="s">
        <v>5045</v>
      </c>
      <c r="G1542" t="s">
        <v>5046</v>
      </c>
      <c r="H1542">
        <v>1226843</v>
      </c>
      <c r="I1542">
        <v>0</v>
      </c>
      <c r="J1542">
        <v>0</v>
      </c>
      <c r="K1542">
        <v>0</v>
      </c>
      <c r="L1542">
        <v>0</v>
      </c>
      <c r="M1542">
        <v>599</v>
      </c>
    </row>
    <row r="1543" spans="1:13" ht="15">
      <c r="A1543" t="s">
        <v>3594</v>
      </c>
      <c r="B1543" s="1040" t="str">
        <f>CONCATENATE(LEFT(RIGHT(CONCATENATE("000",IFAData_TEA_1718!A1543),6),3),"-",(RIGHT(RIGHT(CONCATENATE("000",IFAData_TEA_1718!A1543),6),3)))</f>
        <v>125-901</v>
      </c>
      <c r="C1543" t="s">
        <v>701</v>
      </c>
      <c r="D1543">
        <v>6</v>
      </c>
      <c r="E1543">
        <v>1549</v>
      </c>
      <c r="F1543" t="s">
        <v>5045</v>
      </c>
      <c r="G1543" t="s">
        <v>5043</v>
      </c>
      <c r="H1543">
        <v>1226843</v>
      </c>
      <c r="I1543">
        <v>800800</v>
      </c>
      <c r="J1543">
        <v>0.71289949256654495</v>
      </c>
      <c r="K1543">
        <v>874615.75215881795</v>
      </c>
      <c r="L1543">
        <v>800800</v>
      </c>
      <c r="M1543">
        <v>599</v>
      </c>
    </row>
    <row r="1544" spans="1:13" ht="15">
      <c r="A1544" t="s">
        <v>3594</v>
      </c>
      <c r="B1544" s="1040" t="str">
        <f>CONCATENATE(LEFT(RIGHT(CONCATENATE("000",IFAData_TEA_1718!A1544),6),3),"-",(RIGHT(RIGHT(CONCATENATE("000",IFAData_TEA_1718!A1544),6),3)))</f>
        <v>125-901</v>
      </c>
      <c r="C1544" t="s">
        <v>701</v>
      </c>
      <c r="D1544">
        <v>6</v>
      </c>
      <c r="E1544">
        <v>1549</v>
      </c>
      <c r="F1544" t="s">
        <v>5045</v>
      </c>
      <c r="G1544" t="s">
        <v>6487</v>
      </c>
      <c r="H1544">
        <v>1226843</v>
      </c>
      <c r="I1544">
        <v>322500</v>
      </c>
      <c r="J1544">
        <v>0.287100507433455</v>
      </c>
      <c r="K1544">
        <v>352227.24784118199</v>
      </c>
      <c r="L1544">
        <v>322500</v>
      </c>
      <c r="M1544">
        <v>599</v>
      </c>
    </row>
    <row r="1545" spans="1:13" ht="15">
      <c r="A1545" t="s">
        <v>3594</v>
      </c>
      <c r="B1545" s="1040" t="str">
        <f>CONCATENATE(LEFT(RIGHT(CONCATENATE("000",IFAData_TEA_1718!A1545),6),3),"-",(RIGHT(RIGHT(CONCATENATE("000",IFAData_TEA_1718!A1545),6),3)))</f>
        <v>125-901</v>
      </c>
      <c r="C1545" t="s">
        <v>701</v>
      </c>
      <c r="D1545">
        <v>9</v>
      </c>
      <c r="E1545">
        <v>1550</v>
      </c>
      <c r="F1545" t="s">
        <v>5047</v>
      </c>
      <c r="G1545" t="s">
        <v>5047</v>
      </c>
      <c r="H1545">
        <v>1240465</v>
      </c>
      <c r="I1545">
        <v>650000</v>
      </c>
      <c r="J1545">
        <v>0.56005514389109101</v>
      </c>
      <c r="K1545">
        <v>694728.80406686198</v>
      </c>
      <c r="L1545">
        <v>650000</v>
      </c>
      <c r="M1545">
        <v>599</v>
      </c>
    </row>
    <row r="1546" spans="1:13" ht="15">
      <c r="A1546" t="s">
        <v>3594</v>
      </c>
      <c r="B1546" s="1040" t="str">
        <f>CONCATENATE(LEFT(RIGHT(CONCATENATE("000",IFAData_TEA_1718!A1546),6),3),"-",(RIGHT(RIGHT(CONCATENATE("000",IFAData_TEA_1718!A1546),6),3)))</f>
        <v>125-901</v>
      </c>
      <c r="C1546" t="s">
        <v>701</v>
      </c>
      <c r="D1546">
        <v>9</v>
      </c>
      <c r="E1546">
        <v>1550</v>
      </c>
      <c r="F1546" t="s">
        <v>5047</v>
      </c>
      <c r="G1546" t="s">
        <v>6486</v>
      </c>
      <c r="H1546">
        <v>1240465</v>
      </c>
      <c r="I1546">
        <v>322200</v>
      </c>
      <c r="J1546">
        <v>0.27761502671032201</v>
      </c>
      <c r="K1546">
        <v>344371.72410822002</v>
      </c>
      <c r="L1546">
        <v>322200</v>
      </c>
      <c r="M1546">
        <v>599</v>
      </c>
    </row>
    <row r="1547" spans="1:13" ht="15">
      <c r="A1547" t="s">
        <v>3594</v>
      </c>
      <c r="B1547" s="1040" t="str">
        <f>CONCATENATE(LEFT(RIGHT(CONCATENATE("000",IFAData_TEA_1718!A1547),6),3),"-",(RIGHT(RIGHT(CONCATENATE("000",IFAData_TEA_1718!A1547),6),3)))</f>
        <v>125-901</v>
      </c>
      <c r="C1547" t="s">
        <v>701</v>
      </c>
      <c r="D1547">
        <v>9</v>
      </c>
      <c r="E1547">
        <v>1550</v>
      </c>
      <c r="F1547" t="s">
        <v>5047</v>
      </c>
      <c r="G1547" t="s">
        <v>8425</v>
      </c>
      <c r="H1547">
        <v>1240465</v>
      </c>
      <c r="I1547">
        <v>188400</v>
      </c>
      <c r="J1547">
        <v>0.16232982939858701</v>
      </c>
      <c r="K1547">
        <v>201364.471824918</v>
      </c>
      <c r="L1547">
        <v>188400</v>
      </c>
      <c r="M1547">
        <v>599</v>
      </c>
    </row>
    <row r="1548" spans="1:13" ht="15">
      <c r="A1548" t="s">
        <v>3595</v>
      </c>
      <c r="B1548" s="1040" t="str">
        <f>CONCATENATE(LEFT(RIGHT(CONCATENATE("000",IFAData_TEA_1718!A1548),6),3),"-",(RIGHT(RIGHT(CONCATENATE("000",IFAData_TEA_1718!A1548),6),3)))</f>
        <v>125-902</v>
      </c>
      <c r="C1548" t="s">
        <v>2681</v>
      </c>
      <c r="D1548">
        <v>4</v>
      </c>
      <c r="E1548">
        <v>1607</v>
      </c>
      <c r="F1548" t="s">
        <v>5048</v>
      </c>
      <c r="G1548" t="s">
        <v>5048</v>
      </c>
      <c r="H1548">
        <v>148749</v>
      </c>
      <c r="I1548">
        <v>0</v>
      </c>
      <c r="J1548">
        <v>0</v>
      </c>
      <c r="K1548"/>
      <c r="L1548">
        <v>0</v>
      </c>
      <c r="M1548">
        <v>599</v>
      </c>
    </row>
    <row r="1549" spans="1:13" ht="15">
      <c r="A1549" t="s">
        <v>3595</v>
      </c>
      <c r="B1549" s="1040" t="str">
        <f>CONCATENATE(LEFT(RIGHT(CONCATENATE("000",IFAData_TEA_1718!A1549),6),3),"-",(RIGHT(RIGHT(CONCATENATE("000",IFAData_TEA_1718!A1549),6),3)))</f>
        <v>125-902</v>
      </c>
      <c r="C1549" t="s">
        <v>2681</v>
      </c>
      <c r="D1549">
        <v>4</v>
      </c>
      <c r="E1549">
        <v>1607</v>
      </c>
      <c r="F1549" t="s">
        <v>5048</v>
      </c>
      <c r="G1549" t="s">
        <v>5049</v>
      </c>
      <c r="H1549">
        <v>148749</v>
      </c>
      <c r="I1549">
        <v>0</v>
      </c>
      <c r="J1549">
        <v>0</v>
      </c>
      <c r="K1549"/>
      <c r="L1549">
        <v>0</v>
      </c>
      <c r="M1549">
        <v>599</v>
      </c>
    </row>
    <row r="1550" spans="1:13" ht="15">
      <c r="A1550" t="s">
        <v>3595</v>
      </c>
      <c r="B1550" s="1040" t="str">
        <f>CONCATENATE(LEFT(RIGHT(CONCATENATE("000",IFAData_TEA_1718!A1550),6),3),"-",(RIGHT(RIGHT(CONCATENATE("000",IFAData_TEA_1718!A1550),6),3)))</f>
        <v>125-902</v>
      </c>
      <c r="C1550" t="s">
        <v>2681</v>
      </c>
      <c r="D1550">
        <v>6</v>
      </c>
      <c r="E1550">
        <v>1605</v>
      </c>
      <c r="F1550" t="s">
        <v>5050</v>
      </c>
      <c r="G1550" t="s">
        <v>5050</v>
      </c>
      <c r="H1550">
        <v>134002</v>
      </c>
      <c r="I1550">
        <v>0</v>
      </c>
      <c r="J1550">
        <v>0</v>
      </c>
      <c r="K1550">
        <v>0</v>
      </c>
      <c r="L1550">
        <v>0</v>
      </c>
      <c r="M1550">
        <v>599</v>
      </c>
    </row>
    <row r="1551" spans="1:13" ht="15">
      <c r="A1551" t="s">
        <v>3595</v>
      </c>
      <c r="B1551" s="1040" t="str">
        <f>CONCATENATE(LEFT(RIGHT(CONCATENATE("000",IFAData_TEA_1718!A1551),6),3),"-",(RIGHT(RIGHT(CONCATENATE("000",IFAData_TEA_1718!A1551),6),3)))</f>
        <v>125-902</v>
      </c>
      <c r="C1551" t="s">
        <v>2681</v>
      </c>
      <c r="D1551">
        <v>6</v>
      </c>
      <c r="E1551">
        <v>1605</v>
      </c>
      <c r="F1551" t="s">
        <v>5050</v>
      </c>
      <c r="G1551" t="s">
        <v>5051</v>
      </c>
      <c r="H1551">
        <v>134002</v>
      </c>
      <c r="I1551">
        <v>127938</v>
      </c>
      <c r="J1551">
        <v>1</v>
      </c>
      <c r="K1551">
        <v>134002</v>
      </c>
      <c r="L1551">
        <v>127938</v>
      </c>
      <c r="M1551">
        <v>599</v>
      </c>
    </row>
    <row r="1552" spans="1:13" ht="15">
      <c r="A1552" t="s">
        <v>3595</v>
      </c>
      <c r="B1552" s="1040" t="str">
        <f>CONCATENATE(LEFT(RIGHT(CONCATENATE("000",IFAData_TEA_1718!A1552),6),3),"-",(RIGHT(RIGHT(CONCATENATE("000",IFAData_TEA_1718!A1552),6),3)))</f>
        <v>125-902</v>
      </c>
      <c r="C1552" t="s">
        <v>2681</v>
      </c>
      <c r="D1552">
        <v>10</v>
      </c>
      <c r="E1552">
        <v>1606</v>
      </c>
      <c r="F1552" t="s">
        <v>5052</v>
      </c>
      <c r="G1552" t="s">
        <v>5052</v>
      </c>
      <c r="H1552">
        <v>142643</v>
      </c>
      <c r="I1552">
        <v>89675</v>
      </c>
      <c r="J1552">
        <v>1</v>
      </c>
      <c r="K1552">
        <v>142643</v>
      </c>
      <c r="L1552">
        <v>89675</v>
      </c>
      <c r="M1552">
        <v>599</v>
      </c>
    </row>
    <row r="1553" spans="1:13" ht="15">
      <c r="A1553" t="s">
        <v>3596</v>
      </c>
      <c r="B1553" s="1040" t="str">
        <f>CONCATENATE(LEFT(RIGHT(CONCATENATE("000",IFAData_TEA_1718!A1553),6),3),"-",(RIGHT(RIGHT(CONCATENATE("000",IFAData_TEA_1718!A1553),6),3)))</f>
        <v>125-903</v>
      </c>
      <c r="C1553" t="s">
        <v>1016</v>
      </c>
      <c r="D1553">
        <v>2</v>
      </c>
      <c r="E1553">
        <v>2163</v>
      </c>
      <c r="F1553" t="s">
        <v>5053</v>
      </c>
      <c r="G1553" t="s">
        <v>5053</v>
      </c>
      <c r="H1553">
        <v>340500</v>
      </c>
      <c r="I1553">
        <v>0</v>
      </c>
      <c r="J1553">
        <v>0</v>
      </c>
      <c r="K1553">
        <v>0</v>
      </c>
      <c r="L1553">
        <v>0</v>
      </c>
      <c r="M1553">
        <v>599</v>
      </c>
    </row>
    <row r="1554" spans="1:13" ht="15">
      <c r="A1554" t="s">
        <v>3596</v>
      </c>
      <c r="B1554" s="1040" t="str">
        <f>CONCATENATE(LEFT(RIGHT(CONCATENATE("000",IFAData_TEA_1718!A1554),6),3),"-",(RIGHT(RIGHT(CONCATENATE("000",IFAData_TEA_1718!A1554),6),3)))</f>
        <v>125-903</v>
      </c>
      <c r="C1554" t="s">
        <v>1016</v>
      </c>
      <c r="D1554">
        <v>2</v>
      </c>
      <c r="E1554">
        <v>2163</v>
      </c>
      <c r="F1554" t="s">
        <v>5053</v>
      </c>
      <c r="G1554" t="s">
        <v>5054</v>
      </c>
      <c r="H1554">
        <v>340500</v>
      </c>
      <c r="I1554">
        <v>410507</v>
      </c>
      <c r="J1554">
        <v>1</v>
      </c>
      <c r="K1554">
        <v>340500</v>
      </c>
      <c r="L1554">
        <v>340500</v>
      </c>
      <c r="M1554">
        <v>599</v>
      </c>
    </row>
    <row r="1555" spans="1:13" ht="15">
      <c r="A1555" t="s">
        <v>3596</v>
      </c>
      <c r="B1555" s="1040" t="str">
        <f>CONCATENATE(LEFT(RIGHT(CONCATENATE("000",IFAData_TEA_1718!A1555),6),3),"-",(RIGHT(RIGHT(CONCATENATE("000",IFAData_TEA_1718!A1555),6),3)))</f>
        <v>125-903</v>
      </c>
      <c r="C1555" t="s">
        <v>1016</v>
      </c>
      <c r="D1555">
        <v>6</v>
      </c>
      <c r="E1555">
        <v>2162</v>
      </c>
      <c r="F1555" t="s">
        <v>5055</v>
      </c>
      <c r="G1555" t="s">
        <v>5055</v>
      </c>
      <c r="H1555">
        <v>318941</v>
      </c>
      <c r="I1555">
        <v>0</v>
      </c>
      <c r="J1555">
        <v>0</v>
      </c>
      <c r="K1555">
        <v>0</v>
      </c>
      <c r="L1555">
        <v>0</v>
      </c>
      <c r="M1555">
        <v>599</v>
      </c>
    </row>
    <row r="1556" spans="1:13" ht="15">
      <c r="A1556" t="s">
        <v>3596</v>
      </c>
      <c r="B1556" s="1040" t="str">
        <f>CONCATENATE(LEFT(RIGHT(CONCATENATE("000",IFAData_TEA_1718!A1556),6),3),"-",(RIGHT(RIGHT(CONCATENATE("000",IFAData_TEA_1718!A1556),6),3)))</f>
        <v>125-903</v>
      </c>
      <c r="C1556" t="s">
        <v>1016</v>
      </c>
      <c r="D1556">
        <v>6</v>
      </c>
      <c r="E1556">
        <v>2162</v>
      </c>
      <c r="F1556" t="s">
        <v>5055</v>
      </c>
      <c r="G1556" t="s">
        <v>5054</v>
      </c>
      <c r="H1556">
        <v>318941</v>
      </c>
      <c r="I1556">
        <v>344450</v>
      </c>
      <c r="J1556">
        <v>1</v>
      </c>
      <c r="K1556">
        <v>318941</v>
      </c>
      <c r="L1556">
        <v>318941</v>
      </c>
      <c r="M1556">
        <v>599</v>
      </c>
    </row>
    <row r="1557" spans="1:13" ht="15">
      <c r="A1557" t="s">
        <v>3596</v>
      </c>
      <c r="B1557" s="1040" t="str">
        <f>CONCATENATE(LEFT(RIGHT(CONCATENATE("000",IFAData_TEA_1718!A1557),6),3),"-",(RIGHT(RIGHT(CONCATENATE("000",IFAData_TEA_1718!A1557),6),3)))</f>
        <v>125-903</v>
      </c>
      <c r="C1557" t="s">
        <v>1016</v>
      </c>
      <c r="D1557">
        <v>9</v>
      </c>
      <c r="E1557">
        <v>2164</v>
      </c>
      <c r="F1557" t="s">
        <v>5056</v>
      </c>
      <c r="G1557" t="s">
        <v>5056</v>
      </c>
      <c r="H1557">
        <v>408114</v>
      </c>
      <c r="I1557">
        <v>166400</v>
      </c>
      <c r="J1557">
        <v>0.43378519290928103</v>
      </c>
      <c r="K1557">
        <v>177033.810218978</v>
      </c>
      <c r="L1557">
        <v>166400</v>
      </c>
      <c r="M1557">
        <v>599</v>
      </c>
    </row>
    <row r="1558" spans="1:13" ht="15">
      <c r="A1558" t="s">
        <v>3596</v>
      </c>
      <c r="B1558" s="1040" t="str">
        <f>CONCATENATE(LEFT(RIGHT(CONCATENATE("000",IFAData_TEA_1718!A1558),6),3),"-",(RIGHT(RIGHT(CONCATENATE("000",IFAData_TEA_1718!A1558),6),3)))</f>
        <v>125-903</v>
      </c>
      <c r="C1558" t="s">
        <v>1016</v>
      </c>
      <c r="D1558">
        <v>9</v>
      </c>
      <c r="E1558">
        <v>2164</v>
      </c>
      <c r="F1558" t="s">
        <v>5056</v>
      </c>
      <c r="G1558" t="s">
        <v>6282</v>
      </c>
      <c r="H1558">
        <v>408114</v>
      </c>
      <c r="I1558">
        <v>217200</v>
      </c>
      <c r="J1558">
        <v>0.56621480709071903</v>
      </c>
      <c r="K1558">
        <v>231080.189781022</v>
      </c>
      <c r="L1558">
        <v>217200</v>
      </c>
      <c r="M1558">
        <v>599</v>
      </c>
    </row>
    <row r="1559" spans="1:13" ht="15">
      <c r="A1559" t="s">
        <v>3597</v>
      </c>
      <c r="B1559" s="1040" t="str">
        <f>CONCATENATE(LEFT(RIGHT(CONCATENATE("000",IFAData_TEA_1718!A1559),6),3),"-",(RIGHT(RIGHT(CONCATENATE("000",IFAData_TEA_1718!A1559),6),3)))</f>
        <v>125-905</v>
      </c>
      <c r="C1559" t="s">
        <v>2102</v>
      </c>
      <c r="D1559">
        <v>3</v>
      </c>
      <c r="E1559">
        <v>2209</v>
      </c>
      <c r="F1559" t="s">
        <v>5057</v>
      </c>
      <c r="G1559" t="s">
        <v>5057</v>
      </c>
      <c r="H1559">
        <v>228901</v>
      </c>
      <c r="I1559">
        <v>0</v>
      </c>
      <c r="J1559">
        <v>0</v>
      </c>
      <c r="K1559">
        <v>0</v>
      </c>
      <c r="L1559">
        <v>0</v>
      </c>
      <c r="M1559">
        <v>599</v>
      </c>
    </row>
    <row r="1560" spans="1:13" ht="15">
      <c r="A1560" t="s">
        <v>3597</v>
      </c>
      <c r="B1560" s="1040" t="str">
        <f>CONCATENATE(LEFT(RIGHT(CONCATENATE("000",IFAData_TEA_1718!A1560),6),3),"-",(RIGHT(RIGHT(CONCATENATE("000",IFAData_TEA_1718!A1560),6),3)))</f>
        <v>125-905</v>
      </c>
      <c r="C1560" t="s">
        <v>2102</v>
      </c>
      <c r="D1560">
        <v>3</v>
      </c>
      <c r="E1560">
        <v>2209</v>
      </c>
      <c r="F1560" t="s">
        <v>5057</v>
      </c>
      <c r="G1560" t="s">
        <v>5058</v>
      </c>
      <c r="H1560">
        <v>228901</v>
      </c>
      <c r="I1560">
        <v>0</v>
      </c>
      <c r="J1560">
        <v>0</v>
      </c>
      <c r="K1560">
        <v>0</v>
      </c>
      <c r="L1560">
        <v>0</v>
      </c>
      <c r="M1560">
        <v>599</v>
      </c>
    </row>
    <row r="1561" spans="1:13" ht="15">
      <c r="A1561" t="s">
        <v>3597</v>
      </c>
      <c r="B1561" s="1040" t="str">
        <f>CONCATENATE(LEFT(RIGHT(CONCATENATE("000",IFAData_TEA_1718!A1561),6),3),"-",(RIGHT(RIGHT(CONCATENATE("000",IFAData_TEA_1718!A1561),6),3)))</f>
        <v>125-905</v>
      </c>
      <c r="C1561" t="s">
        <v>2102</v>
      </c>
      <c r="D1561">
        <v>3</v>
      </c>
      <c r="E1561">
        <v>2209</v>
      </c>
      <c r="F1561" t="s">
        <v>5057</v>
      </c>
      <c r="G1561" t="s">
        <v>8426</v>
      </c>
      <c r="H1561">
        <v>228901</v>
      </c>
      <c r="I1561">
        <v>78739</v>
      </c>
      <c r="J1561">
        <v>1</v>
      </c>
      <c r="K1561">
        <v>228901</v>
      </c>
      <c r="L1561">
        <v>78739</v>
      </c>
      <c r="M1561">
        <v>599</v>
      </c>
    </row>
    <row r="1562" spans="1:13" ht="15">
      <c r="A1562" t="s">
        <v>3598</v>
      </c>
      <c r="B1562" s="1040" t="str">
        <f>CONCATENATE(LEFT(RIGHT(CONCATENATE("000",IFAData_TEA_1718!A1562),6),3),"-",(RIGHT(RIGHT(CONCATENATE("000",IFAData_TEA_1718!A1562),6),3)))</f>
        <v>126-901</v>
      </c>
      <c r="C1562" t="s">
        <v>1051</v>
      </c>
      <c r="D1562">
        <v>3</v>
      </c>
      <c r="E1562">
        <v>1562</v>
      </c>
      <c r="F1562" t="s">
        <v>5059</v>
      </c>
      <c r="G1562" t="s">
        <v>5059</v>
      </c>
      <c r="H1562">
        <v>590835</v>
      </c>
      <c r="I1562">
        <v>0</v>
      </c>
      <c r="J1562">
        <v>0</v>
      </c>
      <c r="K1562">
        <v>0</v>
      </c>
      <c r="L1562">
        <v>0</v>
      </c>
      <c r="M1562">
        <v>599</v>
      </c>
    </row>
    <row r="1563" spans="1:13" ht="15">
      <c r="A1563" t="s">
        <v>3598</v>
      </c>
      <c r="B1563" s="1040" t="str">
        <f>CONCATENATE(LEFT(RIGHT(CONCATENATE("000",IFAData_TEA_1718!A1563),6),3),"-",(RIGHT(RIGHT(CONCATENATE("000",IFAData_TEA_1718!A1563),6),3)))</f>
        <v>126-901</v>
      </c>
      <c r="C1563" t="s">
        <v>1051</v>
      </c>
      <c r="D1563">
        <v>3</v>
      </c>
      <c r="E1563">
        <v>1562</v>
      </c>
      <c r="F1563" t="s">
        <v>5059</v>
      </c>
      <c r="G1563" t="s">
        <v>5060</v>
      </c>
      <c r="H1563">
        <v>590835</v>
      </c>
      <c r="I1563">
        <v>495000</v>
      </c>
      <c r="J1563">
        <v>0.74648360978360995</v>
      </c>
      <c r="K1563">
        <v>441048.64358649898</v>
      </c>
      <c r="L1563">
        <v>441048.64358649898</v>
      </c>
      <c r="M1563">
        <v>599</v>
      </c>
    </row>
    <row r="1564" spans="1:13" ht="15">
      <c r="A1564" t="s">
        <v>3598</v>
      </c>
      <c r="B1564" s="1040" t="str">
        <f>CONCATENATE(LEFT(RIGHT(CONCATENATE("000",IFAData_TEA_1718!A1564),6),3),"-",(RIGHT(RIGHT(CONCATENATE("000",IFAData_TEA_1718!A1564),6),3)))</f>
        <v>126-901</v>
      </c>
      <c r="C1564" t="s">
        <v>1051</v>
      </c>
      <c r="D1564">
        <v>3</v>
      </c>
      <c r="E1564">
        <v>1562</v>
      </c>
      <c r="F1564" t="s">
        <v>5059</v>
      </c>
      <c r="G1564" t="s">
        <v>8427</v>
      </c>
      <c r="H1564">
        <v>590835</v>
      </c>
      <c r="I1564">
        <v>168109</v>
      </c>
      <c r="J1564">
        <v>0.25351639021639</v>
      </c>
      <c r="K1564">
        <v>149786.35641350099</v>
      </c>
      <c r="L1564">
        <v>149786.35641350099</v>
      </c>
      <c r="M1564">
        <v>599</v>
      </c>
    </row>
    <row r="1565" spans="1:13" ht="15">
      <c r="A1565" t="s">
        <v>3598</v>
      </c>
      <c r="B1565" s="1040" t="str">
        <f>CONCATENATE(LEFT(RIGHT(CONCATENATE("000",IFAData_TEA_1718!A1565),6),3),"-",(RIGHT(RIGHT(CONCATENATE("000",IFAData_TEA_1718!A1565),6),3)))</f>
        <v>126-901</v>
      </c>
      <c r="C1565" t="s">
        <v>1051</v>
      </c>
      <c r="D1565">
        <v>3</v>
      </c>
      <c r="E1565">
        <v>1561</v>
      </c>
      <c r="F1565" t="s">
        <v>5061</v>
      </c>
      <c r="G1565" t="s">
        <v>5061</v>
      </c>
      <c r="H1565">
        <v>87080</v>
      </c>
      <c r="I1565">
        <v>0</v>
      </c>
      <c r="J1565">
        <v>0</v>
      </c>
      <c r="K1565"/>
      <c r="L1565">
        <v>0</v>
      </c>
      <c r="M1565">
        <v>599</v>
      </c>
    </row>
    <row r="1566" spans="1:13" ht="15">
      <c r="A1566" t="s">
        <v>3598</v>
      </c>
      <c r="B1566" s="1040" t="str">
        <f>CONCATENATE(LEFT(RIGHT(CONCATENATE("000",IFAData_TEA_1718!A1566),6),3),"-",(RIGHT(RIGHT(CONCATENATE("000",IFAData_TEA_1718!A1566),6),3)))</f>
        <v>126-901</v>
      </c>
      <c r="C1566" t="s">
        <v>1051</v>
      </c>
      <c r="D1566">
        <v>5</v>
      </c>
      <c r="E1566">
        <v>1564</v>
      </c>
      <c r="F1566" t="s">
        <v>5062</v>
      </c>
      <c r="G1566" t="s">
        <v>5062</v>
      </c>
      <c r="H1566">
        <v>793345</v>
      </c>
      <c r="I1566">
        <v>0</v>
      </c>
      <c r="J1566">
        <v>0</v>
      </c>
      <c r="K1566">
        <v>0</v>
      </c>
      <c r="L1566">
        <v>0</v>
      </c>
      <c r="M1566">
        <v>599</v>
      </c>
    </row>
    <row r="1567" spans="1:13" ht="15">
      <c r="A1567" t="s">
        <v>3598</v>
      </c>
      <c r="B1567" s="1040" t="str">
        <f>CONCATENATE(LEFT(RIGHT(CONCATENATE("000",IFAData_TEA_1718!A1567),6),3),"-",(RIGHT(RIGHT(CONCATENATE("000",IFAData_TEA_1718!A1567),6),3)))</f>
        <v>126-901</v>
      </c>
      <c r="C1567" t="s">
        <v>1051</v>
      </c>
      <c r="D1567">
        <v>5</v>
      </c>
      <c r="E1567">
        <v>1564</v>
      </c>
      <c r="F1567" t="s">
        <v>5062</v>
      </c>
      <c r="G1567" t="s">
        <v>5063</v>
      </c>
      <c r="H1567">
        <v>793345</v>
      </c>
      <c r="I1567">
        <v>532729</v>
      </c>
      <c r="J1567">
        <v>0.57113313421058798</v>
      </c>
      <c r="K1567">
        <v>453105.616360299</v>
      </c>
      <c r="L1567">
        <v>453105.616360299</v>
      </c>
      <c r="M1567">
        <v>599</v>
      </c>
    </row>
    <row r="1568" spans="1:13" ht="15">
      <c r="A1568" t="s">
        <v>3598</v>
      </c>
      <c r="B1568" s="1040" t="str">
        <f>CONCATENATE(LEFT(RIGHT(CONCATENATE("000",IFAData_TEA_1718!A1568),6),3),"-",(RIGHT(RIGHT(CONCATENATE("000",IFAData_TEA_1718!A1568),6),3)))</f>
        <v>126-901</v>
      </c>
      <c r="C1568" t="s">
        <v>1051</v>
      </c>
      <c r="D1568">
        <v>5</v>
      </c>
      <c r="E1568">
        <v>1564</v>
      </c>
      <c r="F1568" t="s">
        <v>5062</v>
      </c>
      <c r="G1568" t="s">
        <v>5064</v>
      </c>
      <c r="H1568">
        <v>793345</v>
      </c>
      <c r="I1568">
        <v>400029</v>
      </c>
      <c r="J1568">
        <v>0.42886686578941202</v>
      </c>
      <c r="K1568">
        <v>340239.383639701</v>
      </c>
      <c r="L1568">
        <v>340239.383639701</v>
      </c>
      <c r="M1568">
        <v>599</v>
      </c>
    </row>
    <row r="1569" spans="1:13" ht="15">
      <c r="A1569" t="s">
        <v>3598</v>
      </c>
      <c r="B1569" s="1040" t="str">
        <f>CONCATENATE(LEFT(RIGHT(CONCATENATE("000",IFAData_TEA_1718!A1569),6),3),"-",(RIGHT(RIGHT(CONCATENATE("000",IFAData_TEA_1718!A1569),6),3)))</f>
        <v>126-901</v>
      </c>
      <c r="C1569" t="s">
        <v>1051</v>
      </c>
      <c r="D1569">
        <v>9</v>
      </c>
      <c r="E1569">
        <v>1563</v>
      </c>
      <c r="F1569" t="s">
        <v>5065</v>
      </c>
      <c r="G1569" t="s">
        <v>5065</v>
      </c>
      <c r="H1569">
        <v>760564</v>
      </c>
      <c r="I1569">
        <v>0</v>
      </c>
      <c r="J1569">
        <v>0</v>
      </c>
      <c r="K1569">
        <v>0</v>
      </c>
      <c r="L1569">
        <v>0</v>
      </c>
      <c r="M1569">
        <v>599</v>
      </c>
    </row>
    <row r="1570" spans="1:13" ht="15">
      <c r="A1570" t="s">
        <v>3598</v>
      </c>
      <c r="B1570" s="1040" t="str">
        <f>CONCATENATE(LEFT(RIGHT(CONCATENATE("000",IFAData_TEA_1718!A1570),6),3),"-",(RIGHT(RIGHT(CONCATENATE("000",IFAData_TEA_1718!A1570),6),3)))</f>
        <v>126-901</v>
      </c>
      <c r="C1570" t="s">
        <v>1051</v>
      </c>
      <c r="D1570">
        <v>9</v>
      </c>
      <c r="E1570">
        <v>1563</v>
      </c>
      <c r="F1570" t="s">
        <v>5065</v>
      </c>
      <c r="G1570" t="s">
        <v>6283</v>
      </c>
      <c r="H1570">
        <v>760564</v>
      </c>
      <c r="I1570">
        <v>400586</v>
      </c>
      <c r="J1570">
        <v>0.33726031664512801</v>
      </c>
      <c r="K1570">
        <v>256508.055468885</v>
      </c>
      <c r="L1570">
        <v>256508.055468885</v>
      </c>
      <c r="M1570">
        <v>599</v>
      </c>
    </row>
    <row r="1571" spans="1:13" ht="15">
      <c r="A1571" t="s">
        <v>3598</v>
      </c>
      <c r="B1571" s="1040" t="str">
        <f>CONCATENATE(LEFT(RIGHT(CONCATENATE("000",IFAData_TEA_1718!A1571),6),3),"-",(RIGHT(RIGHT(CONCATENATE("000",IFAData_TEA_1718!A1571),6),3)))</f>
        <v>126-901</v>
      </c>
      <c r="C1571" t="s">
        <v>1051</v>
      </c>
      <c r="D1571">
        <v>9</v>
      </c>
      <c r="E1571">
        <v>1563</v>
      </c>
      <c r="F1571" t="s">
        <v>5065</v>
      </c>
      <c r="G1571" t="s">
        <v>6488</v>
      </c>
      <c r="H1571">
        <v>760564</v>
      </c>
      <c r="I1571">
        <v>378249</v>
      </c>
      <c r="J1571">
        <v>0.31845440806893599</v>
      </c>
      <c r="K1571">
        <v>242204.958418542</v>
      </c>
      <c r="L1571">
        <v>242204.958418542</v>
      </c>
      <c r="M1571">
        <v>599</v>
      </c>
    </row>
    <row r="1572" spans="1:13" ht="15">
      <c r="A1572" t="s">
        <v>3598</v>
      </c>
      <c r="B1572" s="1040" t="str">
        <f>CONCATENATE(LEFT(RIGHT(CONCATENATE("000",IFAData_TEA_1718!A1572),6),3),"-",(RIGHT(RIGHT(CONCATENATE("000",IFAData_TEA_1718!A1572),6),3)))</f>
        <v>126-901</v>
      </c>
      <c r="C1572" t="s">
        <v>1051</v>
      </c>
      <c r="D1572">
        <v>9</v>
      </c>
      <c r="E1572">
        <v>1563</v>
      </c>
      <c r="F1572" t="s">
        <v>5065</v>
      </c>
      <c r="G1572" t="s">
        <v>8427</v>
      </c>
      <c r="H1572">
        <v>760564</v>
      </c>
      <c r="I1572">
        <v>408930</v>
      </c>
      <c r="J1572">
        <v>0.344285275285936</v>
      </c>
      <c r="K1572">
        <v>261850.98611257301</v>
      </c>
      <c r="L1572">
        <v>261850.98611257301</v>
      </c>
      <c r="M1572">
        <v>599</v>
      </c>
    </row>
    <row r="1573" spans="1:13" ht="15">
      <c r="A1573" t="s">
        <v>3599</v>
      </c>
      <c r="B1573" s="1040" t="str">
        <f>CONCATENATE(LEFT(RIGHT(CONCATENATE("000",IFAData_TEA_1718!A1573),6),3),"-",(RIGHT(RIGHT(CONCATENATE("000",IFAData_TEA_1718!A1573),6),3)))</f>
        <v>126-902</v>
      </c>
      <c r="C1573" t="s">
        <v>1449</v>
      </c>
      <c r="D1573">
        <v>1</v>
      </c>
      <c r="E1573">
        <v>1653</v>
      </c>
      <c r="F1573" t="s">
        <v>5066</v>
      </c>
      <c r="G1573" t="s">
        <v>5066</v>
      </c>
      <c r="H1573">
        <v>584119</v>
      </c>
      <c r="I1573">
        <v>0</v>
      </c>
      <c r="J1573">
        <v>0</v>
      </c>
      <c r="K1573">
        <v>0</v>
      </c>
      <c r="L1573">
        <v>0</v>
      </c>
      <c r="M1573">
        <v>599</v>
      </c>
    </row>
    <row r="1574" spans="1:13" ht="15">
      <c r="A1574" t="s">
        <v>3599</v>
      </c>
      <c r="B1574" s="1040" t="str">
        <f>CONCATENATE(LEFT(RIGHT(CONCATENATE("000",IFAData_TEA_1718!A1574),6),3),"-",(RIGHT(RIGHT(CONCATENATE("000",IFAData_TEA_1718!A1574),6),3)))</f>
        <v>126-902</v>
      </c>
      <c r="C1574" t="s">
        <v>1449</v>
      </c>
      <c r="D1574">
        <v>1</v>
      </c>
      <c r="E1574">
        <v>1653</v>
      </c>
      <c r="F1574" t="s">
        <v>5066</v>
      </c>
      <c r="G1574" t="s">
        <v>5067</v>
      </c>
      <c r="H1574">
        <v>584119</v>
      </c>
      <c r="I1574">
        <v>314218</v>
      </c>
      <c r="J1574">
        <v>1</v>
      </c>
      <c r="K1574">
        <v>584119</v>
      </c>
      <c r="L1574">
        <v>314218</v>
      </c>
      <c r="M1574">
        <v>599</v>
      </c>
    </row>
    <row r="1575" spans="1:13" ht="15">
      <c r="A1575" t="s">
        <v>3599</v>
      </c>
      <c r="B1575" s="1040" t="str">
        <f>CONCATENATE(LEFT(RIGHT(CONCATENATE("000",IFAData_TEA_1718!A1575),6),3),"-",(RIGHT(RIGHT(CONCATENATE("000",IFAData_TEA_1718!A1575),6),3)))</f>
        <v>126-902</v>
      </c>
      <c r="C1575" t="s">
        <v>1449</v>
      </c>
      <c r="D1575">
        <v>9</v>
      </c>
      <c r="E1575">
        <v>1654</v>
      </c>
      <c r="F1575" t="s">
        <v>5068</v>
      </c>
      <c r="G1575" t="s">
        <v>5068</v>
      </c>
      <c r="H1575">
        <v>2156750</v>
      </c>
      <c r="I1575">
        <v>145600</v>
      </c>
      <c r="J1575">
        <v>3.9655584710157399E-2</v>
      </c>
      <c r="K1575">
        <v>85527.182323632107</v>
      </c>
      <c r="L1575">
        <v>85527.182323632107</v>
      </c>
      <c r="M1575">
        <v>599</v>
      </c>
    </row>
    <row r="1576" spans="1:13" ht="15">
      <c r="A1576" t="s">
        <v>3599</v>
      </c>
      <c r="B1576" s="1040" t="str">
        <f>CONCATENATE(LEFT(RIGHT(CONCATENATE("000",IFAData_TEA_1718!A1576),6),3),"-",(RIGHT(RIGHT(CONCATENATE("000",IFAData_TEA_1718!A1576),6),3)))</f>
        <v>126-902</v>
      </c>
      <c r="C1576" t="s">
        <v>1449</v>
      </c>
      <c r="D1576">
        <v>9</v>
      </c>
      <c r="E1576">
        <v>1654</v>
      </c>
      <c r="F1576" t="s">
        <v>5068</v>
      </c>
      <c r="G1576" t="s">
        <v>6489</v>
      </c>
      <c r="H1576">
        <v>2156750</v>
      </c>
      <c r="I1576">
        <v>3486967</v>
      </c>
      <c r="J1576">
        <v>0.94970958276115103</v>
      </c>
      <c r="K1576">
        <v>2048286.14262011</v>
      </c>
      <c r="L1576">
        <v>2048286.14262011</v>
      </c>
      <c r="M1576">
        <v>599</v>
      </c>
    </row>
    <row r="1577" spans="1:13" ht="15">
      <c r="A1577" t="s">
        <v>3599</v>
      </c>
      <c r="B1577" s="1040" t="str">
        <f>CONCATENATE(LEFT(RIGHT(CONCATENATE("000",IFAData_TEA_1718!A1577),6),3),"-",(RIGHT(RIGHT(CONCATENATE("000",IFAData_TEA_1718!A1577),6),3)))</f>
        <v>126-902</v>
      </c>
      <c r="C1577" t="s">
        <v>1449</v>
      </c>
      <c r="D1577">
        <v>9</v>
      </c>
      <c r="E1577">
        <v>1654</v>
      </c>
      <c r="F1577" t="s">
        <v>5068</v>
      </c>
      <c r="G1577" t="s">
        <v>8428</v>
      </c>
      <c r="H1577">
        <v>2156750</v>
      </c>
      <c r="I1577">
        <v>39047</v>
      </c>
      <c r="J1577">
        <v>1.06348325286917E-2</v>
      </c>
      <c r="K1577">
        <v>22936.675056255899</v>
      </c>
      <c r="L1577">
        <v>22936.675056255899</v>
      </c>
      <c r="M1577">
        <v>599</v>
      </c>
    </row>
    <row r="1578" spans="1:13" ht="15">
      <c r="A1578" t="s">
        <v>5069</v>
      </c>
      <c r="B1578" s="1040" t="str">
        <f>CONCATENATE(LEFT(RIGHT(CONCATENATE("000",IFAData_TEA_1718!A1578),6),3),"-",(RIGHT(RIGHT(CONCATENATE("000",IFAData_TEA_1718!A1578),6),3)))</f>
        <v>126-904</v>
      </c>
      <c r="C1578" t="s">
        <v>865</v>
      </c>
      <c r="D1578">
        <v>6</v>
      </c>
      <c r="E1578">
        <v>1858</v>
      </c>
      <c r="F1578" t="s">
        <v>5070</v>
      </c>
      <c r="G1578" t="s">
        <v>5070</v>
      </c>
      <c r="H1578">
        <v>262527</v>
      </c>
      <c r="I1578">
        <v>0</v>
      </c>
      <c r="J1578">
        <v>0</v>
      </c>
      <c r="K1578"/>
      <c r="L1578">
        <v>0</v>
      </c>
      <c r="M1578">
        <v>199</v>
      </c>
    </row>
    <row r="1579" spans="1:13" ht="15">
      <c r="A1579" t="s">
        <v>3600</v>
      </c>
      <c r="B1579" s="1040" t="str">
        <f>CONCATENATE(LEFT(RIGHT(CONCATENATE("000",IFAData_TEA_1718!A1579),6),3),"-",(RIGHT(RIGHT(CONCATENATE("000",IFAData_TEA_1718!A1579),6),3)))</f>
        <v>126-905</v>
      </c>
      <c r="C1579" t="s">
        <v>407</v>
      </c>
      <c r="D1579">
        <v>2</v>
      </c>
      <c r="E1579">
        <v>1936</v>
      </c>
      <c r="F1579" t="s">
        <v>5071</v>
      </c>
      <c r="G1579" t="s">
        <v>5071</v>
      </c>
      <c r="H1579">
        <v>787721</v>
      </c>
      <c r="I1579">
        <v>0</v>
      </c>
      <c r="J1579">
        <v>0</v>
      </c>
      <c r="K1579">
        <v>0</v>
      </c>
      <c r="L1579">
        <v>0</v>
      </c>
      <c r="M1579">
        <v>599</v>
      </c>
    </row>
    <row r="1580" spans="1:13" ht="15">
      <c r="A1580" t="s">
        <v>3600</v>
      </c>
      <c r="B1580" s="1040" t="str">
        <f>CONCATENATE(LEFT(RIGHT(CONCATENATE("000",IFAData_TEA_1718!A1580),6),3),"-",(RIGHT(RIGHT(CONCATENATE("000",IFAData_TEA_1718!A1580),6),3)))</f>
        <v>126-905</v>
      </c>
      <c r="C1580" t="s">
        <v>407</v>
      </c>
      <c r="D1580">
        <v>2</v>
      </c>
      <c r="E1580">
        <v>1936</v>
      </c>
      <c r="F1580" t="s">
        <v>5071</v>
      </c>
      <c r="G1580" t="s">
        <v>5072</v>
      </c>
      <c r="H1580">
        <v>787721</v>
      </c>
      <c r="I1580">
        <v>761884</v>
      </c>
      <c r="J1580">
        <v>1</v>
      </c>
      <c r="K1580">
        <v>787721</v>
      </c>
      <c r="L1580">
        <v>761884</v>
      </c>
      <c r="M1580">
        <v>599</v>
      </c>
    </row>
    <row r="1581" spans="1:13" ht="15">
      <c r="A1581" t="s">
        <v>3601</v>
      </c>
      <c r="B1581" s="1040" t="str">
        <f>CONCATENATE(LEFT(RIGHT(CONCATENATE("000",IFAData_TEA_1718!A1581),6),3),"-",(RIGHT(RIGHT(CONCATENATE("000",IFAData_TEA_1718!A1581),6),3)))</f>
        <v>126-906</v>
      </c>
      <c r="C1581" t="s">
        <v>2034</v>
      </c>
      <c r="D1581">
        <v>9</v>
      </c>
      <c r="E1581">
        <v>1949</v>
      </c>
      <c r="F1581" t="s">
        <v>5073</v>
      </c>
      <c r="G1581" t="s">
        <v>5073</v>
      </c>
      <c r="H1581">
        <v>196049</v>
      </c>
      <c r="I1581">
        <v>0</v>
      </c>
      <c r="J1581">
        <v>0</v>
      </c>
      <c r="K1581">
        <v>0</v>
      </c>
      <c r="L1581">
        <v>0</v>
      </c>
      <c r="M1581">
        <v>599</v>
      </c>
    </row>
    <row r="1582" spans="1:13" ht="15">
      <c r="A1582" t="s">
        <v>3601</v>
      </c>
      <c r="B1582" s="1040" t="str">
        <f>CONCATENATE(LEFT(RIGHT(CONCATENATE("000",IFAData_TEA_1718!A1582),6),3),"-",(RIGHT(RIGHT(CONCATENATE("000",IFAData_TEA_1718!A1582),6),3)))</f>
        <v>126-906</v>
      </c>
      <c r="C1582" t="s">
        <v>2034</v>
      </c>
      <c r="D1582">
        <v>9</v>
      </c>
      <c r="E1582">
        <v>1949</v>
      </c>
      <c r="F1582" t="s">
        <v>5073</v>
      </c>
      <c r="G1582" t="s">
        <v>5074</v>
      </c>
      <c r="H1582">
        <v>196049</v>
      </c>
      <c r="I1582">
        <v>841679</v>
      </c>
      <c r="J1582">
        <v>1</v>
      </c>
      <c r="K1582">
        <v>196049</v>
      </c>
      <c r="L1582">
        <v>196049</v>
      </c>
      <c r="M1582">
        <v>599</v>
      </c>
    </row>
    <row r="1583" spans="1:13" ht="15">
      <c r="A1583" t="s">
        <v>3602</v>
      </c>
      <c r="B1583" s="1040" t="str">
        <f>CONCATENATE(LEFT(RIGHT(CONCATENATE("000",IFAData_TEA_1718!A1583),6),3),"-",(RIGHT(RIGHT(CONCATENATE("000",IFAData_TEA_1718!A1583),6),3)))</f>
        <v>126-907</v>
      </c>
      <c r="C1583" t="s">
        <v>2695</v>
      </c>
      <c r="D1583">
        <v>4</v>
      </c>
      <c r="E1583">
        <v>2248</v>
      </c>
      <c r="F1583" t="s">
        <v>5075</v>
      </c>
      <c r="G1583" t="s">
        <v>5075</v>
      </c>
      <c r="H1583">
        <v>140320</v>
      </c>
      <c r="I1583">
        <v>0</v>
      </c>
      <c r="J1583">
        <v>0</v>
      </c>
      <c r="K1583">
        <v>0</v>
      </c>
      <c r="L1583">
        <v>0</v>
      </c>
      <c r="M1583">
        <v>599</v>
      </c>
    </row>
    <row r="1584" spans="1:13" ht="15">
      <c r="A1584" t="s">
        <v>3602</v>
      </c>
      <c r="B1584" s="1040" t="str">
        <f>CONCATENATE(LEFT(RIGHT(CONCATENATE("000",IFAData_TEA_1718!A1584),6),3),"-",(RIGHT(RIGHT(CONCATENATE("000",IFAData_TEA_1718!A1584),6),3)))</f>
        <v>126-907</v>
      </c>
      <c r="C1584" t="s">
        <v>2695</v>
      </c>
      <c r="D1584">
        <v>4</v>
      </c>
      <c r="E1584">
        <v>2248</v>
      </c>
      <c r="F1584" t="s">
        <v>5075</v>
      </c>
      <c r="G1584" t="s">
        <v>5076</v>
      </c>
      <c r="H1584">
        <v>140320</v>
      </c>
      <c r="I1584">
        <v>264500</v>
      </c>
      <c r="J1584">
        <v>1</v>
      </c>
      <c r="K1584">
        <v>140320</v>
      </c>
      <c r="L1584">
        <v>140320</v>
      </c>
      <c r="M1584">
        <v>599</v>
      </c>
    </row>
    <row r="1585" spans="1:13" ht="15">
      <c r="A1585" t="s">
        <v>3603</v>
      </c>
      <c r="B1585" s="1040" t="str">
        <f>CONCATENATE(LEFT(RIGHT(CONCATENATE("000",IFAData_TEA_1718!A1585),6),3),"-",(RIGHT(RIGHT(CONCATENATE("000",IFAData_TEA_1718!A1585),6),3)))</f>
        <v>126-908</v>
      </c>
      <c r="C1585" t="s">
        <v>2644</v>
      </c>
      <c r="D1585">
        <v>3</v>
      </c>
      <c r="E1585">
        <v>2422</v>
      </c>
      <c r="F1585" t="s">
        <v>5077</v>
      </c>
      <c r="G1585" t="s">
        <v>5077</v>
      </c>
      <c r="H1585">
        <v>198161</v>
      </c>
      <c r="I1585">
        <v>0</v>
      </c>
      <c r="J1585">
        <v>0</v>
      </c>
      <c r="K1585">
        <v>0</v>
      </c>
      <c r="L1585">
        <v>0</v>
      </c>
      <c r="M1585">
        <v>599</v>
      </c>
    </row>
    <row r="1586" spans="1:13" ht="15">
      <c r="A1586" t="s">
        <v>3603</v>
      </c>
      <c r="B1586" s="1040" t="str">
        <f>CONCATENATE(LEFT(RIGHT(CONCATENATE("000",IFAData_TEA_1718!A1586),6),3),"-",(RIGHT(RIGHT(CONCATENATE("000",IFAData_TEA_1718!A1586),6),3)))</f>
        <v>126-908</v>
      </c>
      <c r="C1586" t="s">
        <v>2644</v>
      </c>
      <c r="D1586">
        <v>3</v>
      </c>
      <c r="E1586">
        <v>2422</v>
      </c>
      <c r="F1586" t="s">
        <v>5077</v>
      </c>
      <c r="G1586" t="s">
        <v>5078</v>
      </c>
      <c r="H1586">
        <v>198161</v>
      </c>
      <c r="I1586">
        <v>0</v>
      </c>
      <c r="J1586">
        <v>0</v>
      </c>
      <c r="K1586">
        <v>0</v>
      </c>
      <c r="L1586">
        <v>0</v>
      </c>
      <c r="M1586">
        <v>599</v>
      </c>
    </row>
    <row r="1587" spans="1:13" ht="15">
      <c r="A1587" t="s">
        <v>3603</v>
      </c>
      <c r="B1587" s="1040" t="str">
        <f>CONCATENATE(LEFT(RIGHT(CONCATENATE("000",IFAData_TEA_1718!A1587),6),3),"-",(RIGHT(RIGHT(CONCATENATE("000",IFAData_TEA_1718!A1587),6),3)))</f>
        <v>126-908</v>
      </c>
      <c r="C1587" t="s">
        <v>2644</v>
      </c>
      <c r="D1587">
        <v>3</v>
      </c>
      <c r="E1587">
        <v>2422</v>
      </c>
      <c r="F1587" t="s">
        <v>5077</v>
      </c>
      <c r="G1587" t="s">
        <v>5079</v>
      </c>
      <c r="H1587">
        <v>198161</v>
      </c>
      <c r="I1587">
        <v>162600</v>
      </c>
      <c r="J1587">
        <v>0.524353748516588</v>
      </c>
      <c r="K1587">
        <v>103906.463159796</v>
      </c>
      <c r="L1587">
        <v>103906.463159796</v>
      </c>
      <c r="M1587">
        <v>599</v>
      </c>
    </row>
    <row r="1588" spans="1:13" ht="15">
      <c r="A1588" t="s">
        <v>3603</v>
      </c>
      <c r="B1588" s="1040" t="str">
        <f>CONCATENATE(LEFT(RIGHT(CONCATENATE("000",IFAData_TEA_1718!A1588),6),3),"-",(RIGHT(RIGHT(CONCATENATE("000",IFAData_TEA_1718!A1588),6),3)))</f>
        <v>126-908</v>
      </c>
      <c r="C1588" t="s">
        <v>2644</v>
      </c>
      <c r="D1588">
        <v>3</v>
      </c>
      <c r="E1588">
        <v>2422</v>
      </c>
      <c r="F1588" t="s">
        <v>5077</v>
      </c>
      <c r="G1588" t="s">
        <v>5080</v>
      </c>
      <c r="H1588">
        <v>198161</v>
      </c>
      <c r="I1588">
        <v>114250</v>
      </c>
      <c r="J1588">
        <v>0.36843429131623801</v>
      </c>
      <c r="K1588">
        <v>73009.307601516994</v>
      </c>
      <c r="L1588">
        <v>73009.307601516994</v>
      </c>
      <c r="M1588">
        <v>599</v>
      </c>
    </row>
    <row r="1589" spans="1:13" ht="15">
      <c r="A1589" t="s">
        <v>3603</v>
      </c>
      <c r="B1589" s="1040" t="str">
        <f>CONCATENATE(LEFT(RIGHT(CONCATENATE("000",IFAData_TEA_1718!A1589),6),3),"-",(RIGHT(RIGHT(CONCATENATE("000",IFAData_TEA_1718!A1589),6),3)))</f>
        <v>126-908</v>
      </c>
      <c r="C1589" t="s">
        <v>2644</v>
      </c>
      <c r="D1589">
        <v>3</v>
      </c>
      <c r="E1589">
        <v>2422</v>
      </c>
      <c r="F1589" t="s">
        <v>5077</v>
      </c>
      <c r="G1589" t="s">
        <v>6490</v>
      </c>
      <c r="H1589">
        <v>198161</v>
      </c>
      <c r="I1589">
        <v>33246</v>
      </c>
      <c r="J1589">
        <v>0.10721196016717401</v>
      </c>
      <c r="K1589">
        <v>21245.2292386874</v>
      </c>
      <c r="L1589">
        <v>21245.2292386874</v>
      </c>
      <c r="M1589">
        <v>599</v>
      </c>
    </row>
    <row r="1590" spans="1:13" ht="15">
      <c r="A1590" t="s">
        <v>3603</v>
      </c>
      <c r="B1590" s="1040" t="str">
        <f>CONCATENATE(LEFT(RIGHT(CONCATENATE("000",IFAData_TEA_1718!A1590),6),3),"-",(RIGHT(RIGHT(CONCATENATE("000",IFAData_TEA_1718!A1590),6),3)))</f>
        <v>126-908</v>
      </c>
      <c r="C1590" t="s">
        <v>2644</v>
      </c>
      <c r="D1590">
        <v>3</v>
      </c>
      <c r="E1590">
        <v>2423</v>
      </c>
      <c r="F1590" t="s">
        <v>5081</v>
      </c>
      <c r="G1590" t="s">
        <v>5081</v>
      </c>
      <c r="H1590">
        <v>260380</v>
      </c>
      <c r="I1590">
        <v>0</v>
      </c>
      <c r="J1590">
        <v>0</v>
      </c>
      <c r="K1590">
        <v>0</v>
      </c>
      <c r="L1590">
        <v>0</v>
      </c>
      <c r="M1590">
        <v>599</v>
      </c>
    </row>
    <row r="1591" spans="1:13" ht="15">
      <c r="A1591" t="s">
        <v>3603</v>
      </c>
      <c r="B1591" s="1040" t="str">
        <f>CONCATENATE(LEFT(RIGHT(CONCATENATE("000",IFAData_TEA_1718!A1591),6),3),"-",(RIGHT(RIGHT(CONCATENATE("000",IFAData_TEA_1718!A1591),6),3)))</f>
        <v>126-908</v>
      </c>
      <c r="C1591" t="s">
        <v>2644</v>
      </c>
      <c r="D1591">
        <v>3</v>
      </c>
      <c r="E1591">
        <v>2423</v>
      </c>
      <c r="F1591" t="s">
        <v>5081</v>
      </c>
      <c r="G1591" t="s">
        <v>5078</v>
      </c>
      <c r="H1591">
        <v>260380</v>
      </c>
      <c r="I1591">
        <v>120750</v>
      </c>
      <c r="J1591">
        <v>0.33416632765734899</v>
      </c>
      <c r="K1591">
        <v>87010.228395420505</v>
      </c>
      <c r="L1591">
        <v>87010.228395420505</v>
      </c>
      <c r="M1591">
        <v>599</v>
      </c>
    </row>
    <row r="1592" spans="1:13" ht="15">
      <c r="A1592" t="s">
        <v>3603</v>
      </c>
      <c r="B1592" s="1040" t="str">
        <f>CONCATENATE(LEFT(RIGHT(CONCATENATE("000",IFAData_TEA_1718!A1592),6),3),"-",(RIGHT(RIGHT(CONCATENATE("000",IFAData_TEA_1718!A1592),6),3)))</f>
        <v>126-908</v>
      </c>
      <c r="C1592" t="s">
        <v>2644</v>
      </c>
      <c r="D1592">
        <v>3</v>
      </c>
      <c r="E1592">
        <v>2423</v>
      </c>
      <c r="F1592" t="s">
        <v>5081</v>
      </c>
      <c r="G1592" t="s">
        <v>5079</v>
      </c>
      <c r="H1592">
        <v>260380</v>
      </c>
      <c r="I1592">
        <v>162600</v>
      </c>
      <c r="J1592">
        <v>0.44998298034852902</v>
      </c>
      <c r="K1592">
        <v>117166.56842315001</v>
      </c>
      <c r="L1592">
        <v>117166.56842315001</v>
      </c>
      <c r="M1592">
        <v>599</v>
      </c>
    </row>
    <row r="1593" spans="1:13" ht="15">
      <c r="A1593" t="s">
        <v>3603</v>
      </c>
      <c r="B1593" s="1040" t="str">
        <f>CONCATENATE(LEFT(RIGHT(CONCATENATE("000",IFAData_TEA_1718!A1593),6),3),"-",(RIGHT(RIGHT(CONCATENATE("000",IFAData_TEA_1718!A1593),6),3)))</f>
        <v>126-908</v>
      </c>
      <c r="C1593" t="s">
        <v>2644</v>
      </c>
      <c r="D1593">
        <v>3</v>
      </c>
      <c r="E1593">
        <v>2423</v>
      </c>
      <c r="F1593" t="s">
        <v>5081</v>
      </c>
      <c r="G1593" t="s">
        <v>5080</v>
      </c>
      <c r="H1593">
        <v>260380</v>
      </c>
      <c r="I1593">
        <v>13537</v>
      </c>
      <c r="J1593">
        <v>3.7462605196666901E-2</v>
      </c>
      <c r="K1593">
        <v>9754.5131411081293</v>
      </c>
      <c r="L1593">
        <v>9754.5131411081293</v>
      </c>
      <c r="M1593">
        <v>599</v>
      </c>
    </row>
    <row r="1594" spans="1:13" ht="15">
      <c r="A1594" t="s">
        <v>3603</v>
      </c>
      <c r="B1594" s="1040" t="str">
        <f>CONCATENATE(LEFT(RIGHT(CONCATENATE("000",IFAData_TEA_1718!A1594),6),3),"-",(RIGHT(RIGHT(CONCATENATE("000",IFAData_TEA_1718!A1594),6),3)))</f>
        <v>126-908</v>
      </c>
      <c r="C1594" t="s">
        <v>2644</v>
      </c>
      <c r="D1594">
        <v>3</v>
      </c>
      <c r="E1594">
        <v>2423</v>
      </c>
      <c r="F1594" t="s">
        <v>5081</v>
      </c>
      <c r="G1594" t="s">
        <v>6490</v>
      </c>
      <c r="H1594">
        <v>260380</v>
      </c>
      <c r="I1594">
        <v>64460</v>
      </c>
      <c r="J1594">
        <v>0.17838808679745499</v>
      </c>
      <c r="K1594">
        <v>46448.690040321402</v>
      </c>
      <c r="L1594">
        <v>46448.690040321402</v>
      </c>
      <c r="M1594">
        <v>599</v>
      </c>
    </row>
    <row r="1595" spans="1:13" ht="15">
      <c r="A1595" t="s">
        <v>3603</v>
      </c>
      <c r="B1595" s="1040" t="str">
        <f>CONCATENATE(LEFT(RIGHT(CONCATENATE("000",IFAData_TEA_1718!A1595),6),3),"-",(RIGHT(RIGHT(CONCATENATE("000",IFAData_TEA_1718!A1595),6),3)))</f>
        <v>126-908</v>
      </c>
      <c r="C1595" t="s">
        <v>2644</v>
      </c>
      <c r="D1595">
        <v>8</v>
      </c>
      <c r="E1595">
        <v>2424</v>
      </c>
      <c r="F1595" t="s">
        <v>5078</v>
      </c>
      <c r="G1595" t="s">
        <v>5078</v>
      </c>
      <c r="H1595">
        <v>338505</v>
      </c>
      <c r="I1595">
        <v>368245</v>
      </c>
      <c r="J1595">
        <v>0.82802855697341005</v>
      </c>
      <c r="K1595">
        <v>280291.80667828402</v>
      </c>
      <c r="L1595">
        <v>280291.80667828402</v>
      </c>
      <c r="M1595">
        <v>599</v>
      </c>
    </row>
    <row r="1596" spans="1:13" ht="15">
      <c r="A1596" t="s">
        <v>3603</v>
      </c>
      <c r="B1596" s="1040" t="str">
        <f>CONCATENATE(LEFT(RIGHT(CONCATENATE("000",IFAData_TEA_1718!A1596),6),3),"-",(RIGHT(RIGHT(CONCATENATE("000",IFAData_TEA_1718!A1596),6),3)))</f>
        <v>126-908</v>
      </c>
      <c r="C1596" t="s">
        <v>2644</v>
      </c>
      <c r="D1596">
        <v>8</v>
      </c>
      <c r="E1596">
        <v>2424</v>
      </c>
      <c r="F1596" t="s">
        <v>5078</v>
      </c>
      <c r="G1596" t="s">
        <v>6490</v>
      </c>
      <c r="H1596">
        <v>338505</v>
      </c>
      <c r="I1596">
        <v>76480</v>
      </c>
      <c r="J1596">
        <v>0.17197144302658901</v>
      </c>
      <c r="K1596">
        <v>58213.193321715698</v>
      </c>
      <c r="L1596">
        <v>58213.193321715698</v>
      </c>
      <c r="M1596">
        <v>599</v>
      </c>
    </row>
    <row r="1597" spans="1:13" ht="15">
      <c r="A1597" t="s">
        <v>3603</v>
      </c>
      <c r="B1597" s="1040" t="str">
        <f>CONCATENATE(LEFT(RIGHT(CONCATENATE("000",IFAData_TEA_1718!A1597),6),3),"-",(RIGHT(RIGHT(CONCATENATE("000",IFAData_TEA_1718!A1597),6),3)))</f>
        <v>126-908</v>
      </c>
      <c r="C1597" t="s">
        <v>2644</v>
      </c>
      <c r="D1597">
        <v>11</v>
      </c>
      <c r="E1597">
        <v>2481</v>
      </c>
      <c r="F1597" t="s">
        <v>8429</v>
      </c>
      <c r="G1597" t="s">
        <v>8429</v>
      </c>
      <c r="H1597">
        <v>475845</v>
      </c>
      <c r="I1597">
        <v>992824</v>
      </c>
      <c r="J1597">
        <v>1</v>
      </c>
      <c r="K1597">
        <v>475845</v>
      </c>
      <c r="L1597">
        <v>475845</v>
      </c>
      <c r="M1597">
        <v>599</v>
      </c>
    </row>
    <row r="1598" spans="1:13" ht="15">
      <c r="A1598" t="s">
        <v>3604</v>
      </c>
      <c r="B1598" s="1040" t="str">
        <f>CONCATENATE(LEFT(RIGHT(CONCATENATE("000",IFAData_TEA_1718!A1598),6),3),"-",(RIGHT(RIGHT(CONCATENATE("000",IFAData_TEA_1718!A1598),6),3)))</f>
        <v>126-911</v>
      </c>
      <c r="C1598" t="s">
        <v>2322</v>
      </c>
      <c r="D1598">
        <v>1</v>
      </c>
      <c r="E1598">
        <v>1847</v>
      </c>
      <c r="F1598" t="s">
        <v>5082</v>
      </c>
      <c r="G1598" t="s">
        <v>5082</v>
      </c>
      <c r="H1598">
        <v>212707</v>
      </c>
      <c r="I1598">
        <v>0</v>
      </c>
      <c r="J1598">
        <v>0</v>
      </c>
      <c r="K1598">
        <v>0</v>
      </c>
      <c r="L1598">
        <v>0</v>
      </c>
      <c r="M1598">
        <v>599</v>
      </c>
    </row>
    <row r="1599" spans="1:13" ht="15">
      <c r="A1599" t="s">
        <v>3604</v>
      </c>
      <c r="B1599" s="1040" t="str">
        <f>CONCATENATE(LEFT(RIGHT(CONCATENATE("000",IFAData_TEA_1718!A1599),6),3),"-",(RIGHT(RIGHT(CONCATENATE("000",IFAData_TEA_1718!A1599),6),3)))</f>
        <v>126-911</v>
      </c>
      <c r="C1599" t="s">
        <v>2322</v>
      </c>
      <c r="D1599">
        <v>1</v>
      </c>
      <c r="E1599">
        <v>1847</v>
      </c>
      <c r="F1599" t="s">
        <v>5082</v>
      </c>
      <c r="G1599" t="s">
        <v>5083</v>
      </c>
      <c r="H1599">
        <v>212707</v>
      </c>
      <c r="I1599">
        <v>0</v>
      </c>
      <c r="J1599">
        <v>0</v>
      </c>
      <c r="K1599">
        <v>0</v>
      </c>
      <c r="L1599">
        <v>0</v>
      </c>
      <c r="M1599">
        <v>599</v>
      </c>
    </row>
    <row r="1600" spans="1:13" ht="15">
      <c r="A1600" t="s">
        <v>3604</v>
      </c>
      <c r="B1600" s="1040" t="str">
        <f>CONCATENATE(LEFT(RIGHT(CONCATENATE("000",IFAData_TEA_1718!A1600),6),3),"-",(RIGHT(RIGHT(CONCATENATE("000",IFAData_TEA_1718!A1600),6),3)))</f>
        <v>126-911</v>
      </c>
      <c r="C1600" t="s">
        <v>2322</v>
      </c>
      <c r="D1600">
        <v>1</v>
      </c>
      <c r="E1600">
        <v>1847</v>
      </c>
      <c r="F1600" t="s">
        <v>5082</v>
      </c>
      <c r="G1600" t="s">
        <v>6284</v>
      </c>
      <c r="H1600">
        <v>212707</v>
      </c>
      <c r="I1600">
        <v>196885</v>
      </c>
      <c r="J1600">
        <v>1</v>
      </c>
      <c r="K1600">
        <v>212707</v>
      </c>
      <c r="L1600">
        <v>196885</v>
      </c>
      <c r="M1600">
        <v>599</v>
      </c>
    </row>
    <row r="1601" spans="1:13" ht="15">
      <c r="A1601" t="s">
        <v>3604</v>
      </c>
      <c r="B1601" s="1040" t="str">
        <f>CONCATENATE(LEFT(RIGHT(CONCATENATE("000",IFAData_TEA_1718!A1601),6),3),"-",(RIGHT(RIGHT(CONCATENATE("000",IFAData_TEA_1718!A1601),6),3)))</f>
        <v>126-911</v>
      </c>
      <c r="C1601" t="s">
        <v>2322</v>
      </c>
      <c r="D1601">
        <v>4</v>
      </c>
      <c r="E1601">
        <v>1848</v>
      </c>
      <c r="F1601" t="s">
        <v>5084</v>
      </c>
      <c r="G1601" t="s">
        <v>5084</v>
      </c>
      <c r="H1601">
        <v>279766</v>
      </c>
      <c r="I1601">
        <v>0</v>
      </c>
      <c r="J1601">
        <v>0</v>
      </c>
      <c r="K1601">
        <v>0</v>
      </c>
      <c r="L1601">
        <v>0</v>
      </c>
      <c r="M1601">
        <v>599</v>
      </c>
    </row>
    <row r="1602" spans="1:13" ht="15">
      <c r="A1602" t="s">
        <v>3604</v>
      </c>
      <c r="B1602" s="1040" t="str">
        <f>CONCATENATE(LEFT(RIGHT(CONCATENATE("000",IFAData_TEA_1718!A1602),6),3),"-",(RIGHT(RIGHT(CONCATENATE("000",IFAData_TEA_1718!A1602),6),3)))</f>
        <v>126-911</v>
      </c>
      <c r="C1602" t="s">
        <v>2322</v>
      </c>
      <c r="D1602">
        <v>4</v>
      </c>
      <c r="E1602">
        <v>1848</v>
      </c>
      <c r="F1602" t="s">
        <v>5084</v>
      </c>
      <c r="G1602" t="s">
        <v>5083</v>
      </c>
      <c r="H1602">
        <v>279766</v>
      </c>
      <c r="I1602">
        <v>0</v>
      </c>
      <c r="J1602">
        <v>0</v>
      </c>
      <c r="K1602">
        <v>0</v>
      </c>
      <c r="L1602">
        <v>0</v>
      </c>
      <c r="M1602">
        <v>599</v>
      </c>
    </row>
    <row r="1603" spans="1:13" ht="15">
      <c r="A1603" t="s">
        <v>3604</v>
      </c>
      <c r="B1603" s="1040" t="str">
        <f>CONCATENATE(LEFT(RIGHT(CONCATENATE("000",IFAData_TEA_1718!A1603),6),3),"-",(RIGHT(RIGHT(CONCATENATE("000",IFAData_TEA_1718!A1603),6),3)))</f>
        <v>126-911</v>
      </c>
      <c r="C1603" t="s">
        <v>2322</v>
      </c>
      <c r="D1603">
        <v>4</v>
      </c>
      <c r="E1603">
        <v>1848</v>
      </c>
      <c r="F1603" t="s">
        <v>5084</v>
      </c>
      <c r="G1603" t="s">
        <v>6284</v>
      </c>
      <c r="H1603">
        <v>279766</v>
      </c>
      <c r="I1603">
        <v>254428</v>
      </c>
      <c r="J1603">
        <v>1</v>
      </c>
      <c r="K1603">
        <v>279766</v>
      </c>
      <c r="L1603">
        <v>254428</v>
      </c>
      <c r="M1603">
        <v>599</v>
      </c>
    </row>
    <row r="1604" spans="1:13" ht="15">
      <c r="A1604" t="s">
        <v>3605</v>
      </c>
      <c r="B1604" s="1040" t="str">
        <f>CONCATENATE(LEFT(RIGHT(CONCATENATE("000",IFAData_TEA_1718!A1604),6),3),"-",(RIGHT(RIGHT(CONCATENATE("000",IFAData_TEA_1718!A1604),6),3)))</f>
        <v>127-905</v>
      </c>
      <c r="C1604" t="s">
        <v>144</v>
      </c>
      <c r="D1604">
        <v>6</v>
      </c>
      <c r="E1604">
        <v>2042</v>
      </c>
      <c r="F1604" t="s">
        <v>5085</v>
      </c>
      <c r="G1604" t="s">
        <v>5085</v>
      </c>
      <c r="H1604">
        <v>100000</v>
      </c>
      <c r="I1604">
        <v>0</v>
      </c>
      <c r="J1604">
        <v>0</v>
      </c>
      <c r="K1604">
        <v>0</v>
      </c>
      <c r="L1604">
        <v>0</v>
      </c>
      <c r="M1604">
        <v>599</v>
      </c>
    </row>
    <row r="1605" spans="1:13" ht="15">
      <c r="A1605" t="s">
        <v>3605</v>
      </c>
      <c r="B1605" s="1040" t="str">
        <f>CONCATENATE(LEFT(RIGHT(CONCATENATE("000",IFAData_TEA_1718!A1605),6),3),"-",(RIGHT(RIGHT(CONCATENATE("000",IFAData_TEA_1718!A1605),6),3)))</f>
        <v>127-905</v>
      </c>
      <c r="C1605" t="s">
        <v>144</v>
      </c>
      <c r="D1605">
        <v>6</v>
      </c>
      <c r="E1605">
        <v>2042</v>
      </c>
      <c r="F1605" t="s">
        <v>5085</v>
      </c>
      <c r="G1605" t="s">
        <v>5086</v>
      </c>
      <c r="H1605">
        <v>100000</v>
      </c>
      <c r="I1605">
        <v>92500</v>
      </c>
      <c r="J1605">
        <v>1</v>
      </c>
      <c r="K1605">
        <v>100000</v>
      </c>
      <c r="L1605">
        <v>92500</v>
      </c>
      <c r="M1605">
        <v>599</v>
      </c>
    </row>
    <row r="1606" spans="1:13" ht="15">
      <c r="A1606" t="s">
        <v>3606</v>
      </c>
      <c r="B1606" s="1040" t="str">
        <f>CONCATENATE(LEFT(RIGHT(CONCATENATE("000",IFAData_TEA_1718!A1606),6),3),"-",(RIGHT(RIGHT(CONCATENATE("000",IFAData_TEA_1718!A1606),6),3)))</f>
        <v>127-906</v>
      </c>
      <c r="C1606" t="s">
        <v>1939</v>
      </c>
      <c r="D1606">
        <v>5</v>
      </c>
      <c r="E1606">
        <v>2382</v>
      </c>
      <c r="F1606" t="s">
        <v>5087</v>
      </c>
      <c r="G1606" t="s">
        <v>5087</v>
      </c>
      <c r="H1606">
        <v>187854</v>
      </c>
      <c r="I1606">
        <v>0</v>
      </c>
      <c r="J1606">
        <v>0</v>
      </c>
      <c r="K1606">
        <v>0</v>
      </c>
      <c r="L1606">
        <v>0</v>
      </c>
      <c r="M1606">
        <v>599</v>
      </c>
    </row>
    <row r="1607" spans="1:13" ht="15">
      <c r="A1607" t="s">
        <v>3606</v>
      </c>
      <c r="B1607" s="1040" t="str">
        <f>CONCATENATE(LEFT(RIGHT(CONCATENATE("000",IFAData_TEA_1718!A1607),6),3),"-",(RIGHT(RIGHT(CONCATENATE("000",IFAData_TEA_1718!A1607),6),3)))</f>
        <v>127-906</v>
      </c>
      <c r="C1607" t="s">
        <v>1939</v>
      </c>
      <c r="D1607">
        <v>5</v>
      </c>
      <c r="E1607">
        <v>2382</v>
      </c>
      <c r="F1607" t="s">
        <v>5087</v>
      </c>
      <c r="G1607" t="s">
        <v>5088</v>
      </c>
      <c r="H1607">
        <v>187854</v>
      </c>
      <c r="I1607">
        <v>108675</v>
      </c>
      <c r="J1607">
        <v>0.64658634538152604</v>
      </c>
      <c r="K1607">
        <v>121463.831325301</v>
      </c>
      <c r="L1607">
        <v>108675</v>
      </c>
      <c r="M1607">
        <v>599</v>
      </c>
    </row>
    <row r="1608" spans="1:13" ht="15">
      <c r="A1608" t="s">
        <v>3606</v>
      </c>
      <c r="B1608" s="1040" t="str">
        <f>CONCATENATE(LEFT(RIGHT(CONCATENATE("000",IFAData_TEA_1718!A1608),6),3),"-",(RIGHT(RIGHT(CONCATENATE("000",IFAData_TEA_1718!A1608),6),3)))</f>
        <v>127-906</v>
      </c>
      <c r="C1608" t="s">
        <v>1939</v>
      </c>
      <c r="D1608">
        <v>5</v>
      </c>
      <c r="E1608">
        <v>2382</v>
      </c>
      <c r="F1608" t="s">
        <v>5087</v>
      </c>
      <c r="G1608" t="s">
        <v>6491</v>
      </c>
      <c r="H1608">
        <v>187854</v>
      </c>
      <c r="I1608">
        <v>59400</v>
      </c>
      <c r="J1608">
        <v>0.35341365461847402</v>
      </c>
      <c r="K1608">
        <v>66390.168674698798</v>
      </c>
      <c r="L1608">
        <v>59400</v>
      </c>
      <c r="M1608">
        <v>599</v>
      </c>
    </row>
    <row r="1609" spans="1:13" ht="15">
      <c r="A1609" t="s">
        <v>3606</v>
      </c>
      <c r="B1609" s="1040" t="str">
        <f>CONCATENATE(LEFT(RIGHT(CONCATENATE("000",IFAData_TEA_1718!A1609),6),3),"-",(RIGHT(RIGHT(CONCATENATE("000",IFAData_TEA_1718!A1609),6),3)))</f>
        <v>127-906</v>
      </c>
      <c r="C1609" t="s">
        <v>1939</v>
      </c>
      <c r="D1609">
        <v>10</v>
      </c>
      <c r="E1609">
        <v>2381</v>
      </c>
      <c r="F1609" t="s">
        <v>5089</v>
      </c>
      <c r="G1609" t="s">
        <v>5089</v>
      </c>
      <c r="H1609">
        <v>143981</v>
      </c>
      <c r="I1609">
        <v>164608</v>
      </c>
      <c r="J1609">
        <v>0.41317476493355898</v>
      </c>
      <c r="K1609">
        <v>59489.315829898696</v>
      </c>
      <c r="L1609">
        <v>59489.315829898696</v>
      </c>
      <c r="M1609">
        <v>599</v>
      </c>
    </row>
    <row r="1610" spans="1:13" ht="15">
      <c r="A1610" t="s">
        <v>3606</v>
      </c>
      <c r="B1610" s="1040" t="str">
        <f>CONCATENATE(LEFT(RIGHT(CONCATENATE("000",IFAData_TEA_1718!A1610),6),3),"-",(RIGHT(RIGHT(CONCATENATE("000",IFAData_TEA_1718!A1610),6),3)))</f>
        <v>127-906</v>
      </c>
      <c r="C1610" t="s">
        <v>1939</v>
      </c>
      <c r="D1610">
        <v>10</v>
      </c>
      <c r="E1610">
        <v>2381</v>
      </c>
      <c r="F1610" t="s">
        <v>5089</v>
      </c>
      <c r="G1610" t="s">
        <v>6491</v>
      </c>
      <c r="H1610">
        <v>143981</v>
      </c>
      <c r="I1610">
        <v>233790</v>
      </c>
      <c r="J1610">
        <v>0.58682523506644102</v>
      </c>
      <c r="K1610">
        <v>84491.684170101304</v>
      </c>
      <c r="L1610">
        <v>84491.684170101304</v>
      </c>
      <c r="M1610">
        <v>599</v>
      </c>
    </row>
    <row r="1611" spans="1:13" ht="15">
      <c r="A1611" t="s">
        <v>5090</v>
      </c>
      <c r="B1611" s="1040" t="str">
        <f>CONCATENATE(LEFT(RIGHT(CONCATENATE("000",IFAData_TEA_1718!A1611),6),3),"-",(RIGHT(RIGHT(CONCATENATE("000",IFAData_TEA_1718!A1611),6),3)))</f>
        <v>128-901</v>
      </c>
      <c r="C1611" t="s">
        <v>409</v>
      </c>
      <c r="D1611">
        <v>2</v>
      </c>
      <c r="E1611">
        <v>1940</v>
      </c>
      <c r="F1611" t="s">
        <v>5091</v>
      </c>
      <c r="G1611" t="s">
        <v>5091</v>
      </c>
      <c r="H1611">
        <v>91832</v>
      </c>
      <c r="I1611">
        <v>0</v>
      </c>
      <c r="J1611">
        <v>0</v>
      </c>
      <c r="K1611"/>
      <c r="L1611">
        <v>0</v>
      </c>
      <c r="M1611">
        <v>599</v>
      </c>
    </row>
    <row r="1612" spans="1:13" ht="15">
      <c r="A1612" t="s">
        <v>3607</v>
      </c>
      <c r="B1612" s="1040" t="str">
        <f>CONCATENATE(LEFT(RIGHT(CONCATENATE("000",IFAData_TEA_1718!A1612),6),3),"-",(RIGHT(RIGHT(CONCATENATE("000",IFAData_TEA_1718!A1612),6),3)))</f>
        <v>128-902</v>
      </c>
      <c r="C1612" t="s">
        <v>414</v>
      </c>
      <c r="D1612">
        <v>6</v>
      </c>
      <c r="E1612">
        <v>1954</v>
      </c>
      <c r="F1612" t="s">
        <v>5092</v>
      </c>
      <c r="G1612" t="s">
        <v>5092</v>
      </c>
      <c r="H1612">
        <v>195337</v>
      </c>
      <c r="I1612">
        <v>0</v>
      </c>
      <c r="J1612">
        <v>0</v>
      </c>
      <c r="K1612">
        <v>0</v>
      </c>
      <c r="L1612">
        <v>0</v>
      </c>
      <c r="M1612">
        <v>599</v>
      </c>
    </row>
    <row r="1613" spans="1:13" ht="15">
      <c r="A1613" t="s">
        <v>3607</v>
      </c>
      <c r="B1613" s="1040" t="str">
        <f>CONCATENATE(LEFT(RIGHT(CONCATENATE("000",IFAData_TEA_1718!A1613),6),3),"-",(RIGHT(RIGHT(CONCATENATE("000",IFAData_TEA_1718!A1613),6),3)))</f>
        <v>128-902</v>
      </c>
      <c r="C1613" t="s">
        <v>414</v>
      </c>
      <c r="D1613">
        <v>6</v>
      </c>
      <c r="E1613">
        <v>1954</v>
      </c>
      <c r="F1613" t="s">
        <v>5092</v>
      </c>
      <c r="G1613" t="s">
        <v>5093</v>
      </c>
      <c r="H1613">
        <v>195337</v>
      </c>
      <c r="I1613">
        <v>202875</v>
      </c>
      <c r="J1613">
        <v>1</v>
      </c>
      <c r="K1613">
        <v>195337</v>
      </c>
      <c r="L1613">
        <v>195337</v>
      </c>
      <c r="M1613">
        <v>599</v>
      </c>
    </row>
    <row r="1614" spans="1:13" ht="15">
      <c r="A1614" t="s">
        <v>3608</v>
      </c>
      <c r="B1614" s="1040" t="str">
        <f>CONCATENATE(LEFT(RIGHT(CONCATENATE("000",IFAData_TEA_1718!A1614),6),3),"-",(RIGHT(RIGHT(CONCATENATE("000",IFAData_TEA_1718!A1614),6),3)))</f>
        <v>128-904</v>
      </c>
      <c r="C1614" t="s">
        <v>893</v>
      </c>
      <c r="D1614">
        <v>3</v>
      </c>
      <c r="E1614">
        <v>1809</v>
      </c>
      <c r="F1614" t="s">
        <v>5094</v>
      </c>
      <c r="G1614" t="s">
        <v>5094</v>
      </c>
      <c r="H1614">
        <v>114000</v>
      </c>
      <c r="I1614">
        <v>0</v>
      </c>
      <c r="J1614">
        <v>0</v>
      </c>
      <c r="K1614"/>
      <c r="L1614">
        <v>0</v>
      </c>
      <c r="M1614">
        <v>199</v>
      </c>
    </row>
    <row r="1615" spans="1:13" ht="15">
      <c r="A1615" t="s">
        <v>3608</v>
      </c>
      <c r="B1615" s="1040" t="str">
        <f>CONCATENATE(LEFT(RIGHT(CONCATENATE("000",IFAData_TEA_1718!A1615),6),3),"-",(RIGHT(RIGHT(CONCATENATE("000",IFAData_TEA_1718!A1615),6),3)))</f>
        <v>128-904</v>
      </c>
      <c r="C1615" t="s">
        <v>893</v>
      </c>
      <c r="D1615">
        <v>5</v>
      </c>
      <c r="E1615">
        <v>1808</v>
      </c>
      <c r="F1615" t="s">
        <v>5095</v>
      </c>
      <c r="G1615" t="s">
        <v>5095</v>
      </c>
      <c r="H1615">
        <v>95588</v>
      </c>
      <c r="I1615">
        <v>0</v>
      </c>
      <c r="J1615">
        <v>0</v>
      </c>
      <c r="K1615">
        <v>0</v>
      </c>
      <c r="L1615">
        <v>0</v>
      </c>
      <c r="M1615">
        <v>199</v>
      </c>
    </row>
    <row r="1616" spans="1:13" ht="15">
      <c r="A1616" t="s">
        <v>3608</v>
      </c>
      <c r="B1616" s="1040" t="str">
        <f>CONCATENATE(LEFT(RIGHT(CONCATENATE("000",IFAData_TEA_1718!A1616),6),3),"-",(RIGHT(RIGHT(CONCATENATE("000",IFAData_TEA_1718!A1616),6),3)))</f>
        <v>128-904</v>
      </c>
      <c r="C1616" t="s">
        <v>893</v>
      </c>
      <c r="D1616">
        <v>5</v>
      </c>
      <c r="E1616">
        <v>1808</v>
      </c>
      <c r="F1616" t="s">
        <v>5095</v>
      </c>
      <c r="G1616" t="s">
        <v>5096</v>
      </c>
      <c r="H1616">
        <v>95588</v>
      </c>
      <c r="I1616">
        <v>0</v>
      </c>
      <c r="J1616">
        <v>0</v>
      </c>
      <c r="K1616">
        <v>0</v>
      </c>
      <c r="L1616">
        <v>0</v>
      </c>
      <c r="M1616">
        <v>599</v>
      </c>
    </row>
    <row r="1617" spans="1:13" ht="15">
      <c r="A1617" t="s">
        <v>3608</v>
      </c>
      <c r="B1617" s="1040" t="str">
        <f>CONCATENATE(LEFT(RIGHT(CONCATENATE("000",IFAData_TEA_1718!A1617),6),3),"-",(RIGHT(RIGHT(CONCATENATE("000",IFAData_TEA_1718!A1617),6),3)))</f>
        <v>128-904</v>
      </c>
      <c r="C1617" t="s">
        <v>893</v>
      </c>
      <c r="D1617">
        <v>5</v>
      </c>
      <c r="E1617">
        <v>1808</v>
      </c>
      <c r="F1617" t="s">
        <v>5095</v>
      </c>
      <c r="G1617" t="s">
        <v>5097</v>
      </c>
      <c r="H1617">
        <v>95588</v>
      </c>
      <c r="I1617">
        <v>46205</v>
      </c>
      <c r="J1617">
        <v>1</v>
      </c>
      <c r="K1617">
        <v>95588</v>
      </c>
      <c r="L1617">
        <v>46205</v>
      </c>
      <c r="M1617">
        <v>599</v>
      </c>
    </row>
    <row r="1618" spans="1:13" ht="15">
      <c r="A1618" t="s">
        <v>3608</v>
      </c>
      <c r="B1618" s="1040" t="str">
        <f>CONCATENATE(LEFT(RIGHT(CONCATENATE("000",IFAData_TEA_1718!A1618),6),3),"-",(RIGHT(RIGHT(CONCATENATE("000",IFAData_TEA_1718!A1618),6),3)))</f>
        <v>128-904</v>
      </c>
      <c r="C1618" t="s">
        <v>893</v>
      </c>
      <c r="D1618">
        <v>5</v>
      </c>
      <c r="E1618">
        <v>1808</v>
      </c>
      <c r="F1618" t="s">
        <v>5095</v>
      </c>
      <c r="G1618" t="s">
        <v>5098</v>
      </c>
      <c r="H1618">
        <v>95588</v>
      </c>
      <c r="I1618">
        <v>0</v>
      </c>
      <c r="J1618">
        <v>0</v>
      </c>
      <c r="K1618">
        <v>0</v>
      </c>
      <c r="L1618">
        <v>0</v>
      </c>
      <c r="M1618">
        <v>599</v>
      </c>
    </row>
    <row r="1619" spans="1:13" ht="15">
      <c r="A1619" t="s">
        <v>3609</v>
      </c>
      <c r="B1619" s="1040" t="str">
        <f>CONCATENATE(LEFT(RIGHT(CONCATENATE("000",IFAData_TEA_1718!A1619),6),3),"-",(RIGHT(RIGHT(CONCATENATE("000",IFAData_TEA_1718!A1619),6),3)))</f>
        <v>129-901</v>
      </c>
      <c r="C1619" t="s">
        <v>416</v>
      </c>
      <c r="D1619">
        <v>2</v>
      </c>
      <c r="E1619">
        <v>1728</v>
      </c>
      <c r="F1619" t="s">
        <v>5099</v>
      </c>
      <c r="G1619" t="s">
        <v>5099</v>
      </c>
      <c r="H1619">
        <v>347484</v>
      </c>
      <c r="I1619">
        <v>0</v>
      </c>
      <c r="J1619">
        <v>0</v>
      </c>
      <c r="K1619">
        <v>0</v>
      </c>
      <c r="L1619">
        <v>0</v>
      </c>
      <c r="M1619">
        <v>599</v>
      </c>
    </row>
    <row r="1620" spans="1:13" ht="15">
      <c r="A1620" t="s">
        <v>3609</v>
      </c>
      <c r="B1620" s="1040" t="str">
        <f>CONCATENATE(LEFT(RIGHT(CONCATENATE("000",IFAData_TEA_1718!A1620),6),3),"-",(RIGHT(RIGHT(CONCATENATE("000",IFAData_TEA_1718!A1620),6),3)))</f>
        <v>129-901</v>
      </c>
      <c r="C1620" t="s">
        <v>416</v>
      </c>
      <c r="D1620">
        <v>2</v>
      </c>
      <c r="E1620">
        <v>1728</v>
      </c>
      <c r="F1620" t="s">
        <v>5099</v>
      </c>
      <c r="G1620" t="s">
        <v>5100</v>
      </c>
      <c r="H1620">
        <v>347484</v>
      </c>
      <c r="I1620">
        <v>0</v>
      </c>
      <c r="J1620">
        <v>0</v>
      </c>
      <c r="K1620">
        <v>0</v>
      </c>
      <c r="L1620">
        <v>0</v>
      </c>
      <c r="M1620">
        <v>599</v>
      </c>
    </row>
    <row r="1621" spans="1:13" ht="15">
      <c r="A1621" t="s">
        <v>3609</v>
      </c>
      <c r="B1621" s="1040" t="str">
        <f>CONCATENATE(LEFT(RIGHT(CONCATENATE("000",IFAData_TEA_1718!A1621),6),3),"-",(RIGHT(RIGHT(CONCATENATE("000",IFAData_TEA_1718!A1621),6),3)))</f>
        <v>129-901</v>
      </c>
      <c r="C1621" t="s">
        <v>416</v>
      </c>
      <c r="D1621">
        <v>2</v>
      </c>
      <c r="E1621">
        <v>1728</v>
      </c>
      <c r="F1621" t="s">
        <v>5099</v>
      </c>
      <c r="G1621" t="s">
        <v>5101</v>
      </c>
      <c r="H1621">
        <v>347484</v>
      </c>
      <c r="I1621">
        <v>213439</v>
      </c>
      <c r="J1621">
        <v>1</v>
      </c>
      <c r="K1621">
        <v>347484</v>
      </c>
      <c r="L1621">
        <v>213439</v>
      </c>
      <c r="M1621">
        <v>599</v>
      </c>
    </row>
    <row r="1622" spans="1:13" ht="15">
      <c r="A1622" t="s">
        <v>3609</v>
      </c>
      <c r="B1622" s="1040" t="str">
        <f>CONCATENATE(LEFT(RIGHT(CONCATENATE("000",IFAData_TEA_1718!A1622),6),3),"-",(RIGHT(RIGHT(CONCATENATE("000",IFAData_TEA_1718!A1622),6),3)))</f>
        <v>129-901</v>
      </c>
      <c r="C1622" t="s">
        <v>416</v>
      </c>
      <c r="D1622">
        <v>6</v>
      </c>
      <c r="E1622">
        <v>1729</v>
      </c>
      <c r="F1622" t="s">
        <v>5102</v>
      </c>
      <c r="G1622" t="s">
        <v>5102</v>
      </c>
      <c r="H1622">
        <v>483733</v>
      </c>
      <c r="I1622">
        <v>1993533</v>
      </c>
      <c r="J1622">
        <v>1</v>
      </c>
      <c r="K1622">
        <v>483733</v>
      </c>
      <c r="L1622">
        <v>483733</v>
      </c>
      <c r="M1622">
        <v>599</v>
      </c>
    </row>
    <row r="1623" spans="1:13" ht="15">
      <c r="A1623" t="s">
        <v>3609</v>
      </c>
      <c r="B1623" s="1040" t="str">
        <f>CONCATENATE(LEFT(RIGHT(CONCATENATE("000",IFAData_TEA_1718!A1623),6),3),"-",(RIGHT(RIGHT(CONCATENATE("000",IFAData_TEA_1718!A1623),6),3)))</f>
        <v>129-901</v>
      </c>
      <c r="C1623" t="s">
        <v>416</v>
      </c>
      <c r="D1623">
        <v>6</v>
      </c>
      <c r="E1623">
        <v>1729</v>
      </c>
      <c r="F1623" t="s">
        <v>5102</v>
      </c>
      <c r="G1623" t="s">
        <v>5103</v>
      </c>
      <c r="H1623">
        <v>483733</v>
      </c>
      <c r="I1623">
        <v>0</v>
      </c>
      <c r="J1623">
        <v>0</v>
      </c>
      <c r="K1623">
        <v>0</v>
      </c>
      <c r="L1623">
        <v>0</v>
      </c>
      <c r="M1623">
        <v>599</v>
      </c>
    </row>
    <row r="1624" spans="1:13" ht="15">
      <c r="A1624" t="s">
        <v>3609</v>
      </c>
      <c r="B1624" s="1040" t="str">
        <f>CONCATENATE(LEFT(RIGHT(CONCATENATE("000",IFAData_TEA_1718!A1624),6),3),"-",(RIGHT(RIGHT(CONCATENATE("000",IFAData_TEA_1718!A1624),6),3)))</f>
        <v>129-901</v>
      </c>
      <c r="C1624" t="s">
        <v>416</v>
      </c>
      <c r="D1624">
        <v>6</v>
      </c>
      <c r="E1624">
        <v>1729</v>
      </c>
      <c r="F1624" t="s">
        <v>5102</v>
      </c>
      <c r="G1624" t="s">
        <v>8430</v>
      </c>
      <c r="H1624">
        <v>483733</v>
      </c>
      <c r="I1624">
        <v>0</v>
      </c>
      <c r="J1624">
        <v>0</v>
      </c>
      <c r="K1624">
        <v>0</v>
      </c>
      <c r="L1624">
        <v>0</v>
      </c>
      <c r="M1624">
        <v>599</v>
      </c>
    </row>
    <row r="1625" spans="1:13" ht="15">
      <c r="A1625" t="s">
        <v>3609</v>
      </c>
      <c r="B1625" s="1040" t="str">
        <f>CONCATENATE(LEFT(RIGHT(CONCATENATE("000",IFAData_TEA_1718!A1625),6),3),"-",(RIGHT(RIGHT(CONCATENATE("000",IFAData_TEA_1718!A1625),6),3)))</f>
        <v>129-901</v>
      </c>
      <c r="C1625" t="s">
        <v>416</v>
      </c>
      <c r="D1625">
        <v>9</v>
      </c>
      <c r="E1625">
        <v>1730</v>
      </c>
      <c r="F1625" t="s">
        <v>5104</v>
      </c>
      <c r="G1625" t="s">
        <v>5104</v>
      </c>
      <c r="H1625">
        <v>538407</v>
      </c>
      <c r="I1625">
        <v>200000</v>
      </c>
      <c r="J1625">
        <v>0.27090726844201202</v>
      </c>
      <c r="K1625">
        <v>145858.369680059</v>
      </c>
      <c r="L1625">
        <v>145858.369680059</v>
      </c>
      <c r="M1625">
        <v>599</v>
      </c>
    </row>
    <row r="1626" spans="1:13" ht="15">
      <c r="A1626" t="s">
        <v>3609</v>
      </c>
      <c r="B1626" s="1040" t="str">
        <f>CONCATENATE(LEFT(RIGHT(CONCATENATE("000",IFAData_TEA_1718!A1626),6),3),"-",(RIGHT(RIGHT(CONCATENATE("000",IFAData_TEA_1718!A1626),6),3)))</f>
        <v>129-901</v>
      </c>
      <c r="C1626" t="s">
        <v>416</v>
      </c>
      <c r="D1626">
        <v>9</v>
      </c>
      <c r="E1626">
        <v>1730</v>
      </c>
      <c r="F1626" t="s">
        <v>5104</v>
      </c>
      <c r="G1626" t="s">
        <v>6492</v>
      </c>
      <c r="H1626">
        <v>538407</v>
      </c>
      <c r="I1626">
        <v>281080</v>
      </c>
      <c r="J1626">
        <v>0.38073307506840398</v>
      </c>
      <c r="K1626">
        <v>204989.35274835399</v>
      </c>
      <c r="L1626">
        <v>204989.35274835399</v>
      </c>
      <c r="M1626">
        <v>599</v>
      </c>
    </row>
    <row r="1627" spans="1:13" ht="15">
      <c r="A1627" t="s">
        <v>3609</v>
      </c>
      <c r="B1627" s="1040" t="str">
        <f>CONCATENATE(LEFT(RIGHT(CONCATENATE("000",IFAData_TEA_1718!A1627),6),3),"-",(RIGHT(RIGHT(CONCATENATE("000",IFAData_TEA_1718!A1627),6),3)))</f>
        <v>129-901</v>
      </c>
      <c r="C1627" t="s">
        <v>416</v>
      </c>
      <c r="D1627">
        <v>9</v>
      </c>
      <c r="E1627">
        <v>1730</v>
      </c>
      <c r="F1627" t="s">
        <v>5104</v>
      </c>
      <c r="G1627" t="s">
        <v>6493</v>
      </c>
      <c r="H1627">
        <v>538407</v>
      </c>
      <c r="I1627">
        <v>257180</v>
      </c>
      <c r="J1627">
        <v>0.348359656489584</v>
      </c>
      <c r="K1627">
        <v>187559.27757158701</v>
      </c>
      <c r="L1627">
        <v>187559.27757158701</v>
      </c>
      <c r="M1627">
        <v>599</v>
      </c>
    </row>
    <row r="1628" spans="1:13" ht="15">
      <c r="A1628" t="s">
        <v>3609</v>
      </c>
      <c r="B1628" s="1040" t="str">
        <f>CONCATENATE(LEFT(RIGHT(CONCATENATE("000",IFAData_TEA_1718!A1628),6),3),"-",(RIGHT(RIGHT(CONCATENATE("000",IFAData_TEA_1718!A1628),6),3)))</f>
        <v>129-901</v>
      </c>
      <c r="C1628" t="s">
        <v>416</v>
      </c>
      <c r="D1628">
        <v>11</v>
      </c>
      <c r="E1628">
        <v>2484</v>
      </c>
      <c r="F1628" t="s">
        <v>8431</v>
      </c>
      <c r="G1628" t="s">
        <v>8431</v>
      </c>
      <c r="H1628">
        <v>224250</v>
      </c>
      <c r="I1628">
        <v>130000</v>
      </c>
      <c r="J1628">
        <v>0.58732905336110297</v>
      </c>
      <c r="K1628">
        <v>131708.540216227</v>
      </c>
      <c r="L1628">
        <v>130000</v>
      </c>
      <c r="M1628">
        <v>599</v>
      </c>
    </row>
    <row r="1629" spans="1:13" ht="15">
      <c r="A1629" t="s">
        <v>3609</v>
      </c>
      <c r="B1629" s="1040" t="str">
        <f>CONCATENATE(LEFT(RIGHT(CONCATENATE("000",IFAData_TEA_1718!A1629),6),3),"-",(RIGHT(RIGHT(CONCATENATE("000",IFAData_TEA_1718!A1629),6),3)))</f>
        <v>129-901</v>
      </c>
      <c r="C1629" t="s">
        <v>416</v>
      </c>
      <c r="D1629">
        <v>11</v>
      </c>
      <c r="E1629">
        <v>2484</v>
      </c>
      <c r="F1629" t="s">
        <v>8431</v>
      </c>
      <c r="G1629" t="s">
        <v>8430</v>
      </c>
      <c r="H1629">
        <v>224250</v>
      </c>
      <c r="I1629">
        <v>91341</v>
      </c>
      <c r="J1629">
        <v>0.41267094663889697</v>
      </c>
      <c r="K1629">
        <v>92541.459783772501</v>
      </c>
      <c r="L1629">
        <v>91341</v>
      </c>
      <c r="M1629">
        <v>599</v>
      </c>
    </row>
    <row r="1630" spans="1:13" ht="15">
      <c r="A1630" t="s">
        <v>3609</v>
      </c>
      <c r="B1630" s="1040" t="str">
        <f>CONCATENATE(LEFT(RIGHT(CONCATENATE("000",IFAData_TEA_1718!A1630),6),3),"-",(RIGHT(RIGHT(CONCATENATE("000",IFAData_TEA_1718!A1630),6),3)))</f>
        <v>129-901</v>
      </c>
      <c r="C1630" t="s">
        <v>416</v>
      </c>
      <c r="D1630">
        <v>11</v>
      </c>
      <c r="E1630">
        <v>2485</v>
      </c>
      <c r="F1630" t="s">
        <v>8432</v>
      </c>
      <c r="G1630" t="s">
        <v>8432</v>
      </c>
      <c r="H1630">
        <v>598147</v>
      </c>
      <c r="I1630">
        <v>810500</v>
      </c>
      <c r="J1630">
        <v>1</v>
      </c>
      <c r="K1630">
        <v>598147</v>
      </c>
      <c r="L1630">
        <v>598147</v>
      </c>
      <c r="M1630">
        <v>599</v>
      </c>
    </row>
    <row r="1631" spans="1:13" ht="15">
      <c r="A1631" t="s">
        <v>3610</v>
      </c>
      <c r="B1631" s="1040" t="str">
        <f>CONCATENATE(LEFT(RIGHT(CONCATENATE("000",IFAData_TEA_1718!A1631),6),3),"-",(RIGHT(RIGHT(CONCATENATE("000",IFAData_TEA_1718!A1631),6),3)))</f>
        <v>129-902</v>
      </c>
      <c r="C1631" t="s">
        <v>111</v>
      </c>
      <c r="D1631">
        <v>1</v>
      </c>
      <c r="E1631">
        <v>1817</v>
      </c>
      <c r="F1631" t="s">
        <v>5105</v>
      </c>
      <c r="G1631" t="s">
        <v>5105</v>
      </c>
      <c r="H1631">
        <v>553750</v>
      </c>
      <c r="I1631">
        <v>0</v>
      </c>
      <c r="J1631">
        <v>0</v>
      </c>
      <c r="K1631">
        <v>0</v>
      </c>
      <c r="L1631">
        <v>0</v>
      </c>
      <c r="M1631">
        <v>599</v>
      </c>
    </row>
    <row r="1632" spans="1:13" ht="15">
      <c r="A1632" t="s">
        <v>3610</v>
      </c>
      <c r="B1632" s="1040" t="str">
        <f>CONCATENATE(LEFT(RIGHT(CONCATENATE("000",IFAData_TEA_1718!A1632),6),3),"-",(RIGHT(RIGHT(CONCATENATE("000",IFAData_TEA_1718!A1632),6),3)))</f>
        <v>129-902</v>
      </c>
      <c r="C1632" t="s">
        <v>111</v>
      </c>
      <c r="D1632">
        <v>1</v>
      </c>
      <c r="E1632">
        <v>1817</v>
      </c>
      <c r="F1632" t="s">
        <v>5105</v>
      </c>
      <c r="G1632" t="s">
        <v>5106</v>
      </c>
      <c r="H1632">
        <v>553750</v>
      </c>
      <c r="I1632">
        <v>0</v>
      </c>
      <c r="J1632">
        <v>0</v>
      </c>
      <c r="K1632">
        <v>0</v>
      </c>
      <c r="L1632">
        <v>0</v>
      </c>
      <c r="M1632">
        <v>599</v>
      </c>
    </row>
    <row r="1633" spans="1:13" ht="15">
      <c r="A1633" t="s">
        <v>3610</v>
      </c>
      <c r="B1633" s="1040" t="str">
        <f>CONCATENATE(LEFT(RIGHT(CONCATENATE("000",IFAData_TEA_1718!A1633),6),3),"-",(RIGHT(RIGHT(CONCATENATE("000",IFAData_TEA_1718!A1633),6),3)))</f>
        <v>129-902</v>
      </c>
      <c r="C1633" t="s">
        <v>111</v>
      </c>
      <c r="D1633">
        <v>1</v>
      </c>
      <c r="E1633">
        <v>1817</v>
      </c>
      <c r="F1633" t="s">
        <v>5105</v>
      </c>
      <c r="G1633" t="s">
        <v>5107</v>
      </c>
      <c r="H1633">
        <v>553750</v>
      </c>
      <c r="I1633">
        <v>0</v>
      </c>
      <c r="J1633">
        <v>0</v>
      </c>
      <c r="K1633">
        <v>0</v>
      </c>
      <c r="L1633">
        <v>0</v>
      </c>
      <c r="M1633">
        <v>599</v>
      </c>
    </row>
    <row r="1634" spans="1:13" ht="15">
      <c r="A1634" t="s">
        <v>3610</v>
      </c>
      <c r="B1634" s="1040" t="str">
        <f>CONCATENATE(LEFT(RIGHT(CONCATENATE("000",IFAData_TEA_1718!A1634),6),3),"-",(RIGHT(RIGHT(CONCATENATE("000",IFAData_TEA_1718!A1634),6),3)))</f>
        <v>129-902</v>
      </c>
      <c r="C1634" t="s">
        <v>111</v>
      </c>
      <c r="D1634">
        <v>1</v>
      </c>
      <c r="E1634">
        <v>1817</v>
      </c>
      <c r="F1634" t="s">
        <v>5105</v>
      </c>
      <c r="G1634" t="s">
        <v>5108</v>
      </c>
      <c r="H1634">
        <v>553750</v>
      </c>
      <c r="I1634">
        <v>0</v>
      </c>
      <c r="J1634">
        <v>0</v>
      </c>
      <c r="K1634">
        <v>0</v>
      </c>
      <c r="L1634">
        <v>0</v>
      </c>
      <c r="M1634">
        <v>599</v>
      </c>
    </row>
    <row r="1635" spans="1:13" ht="15">
      <c r="A1635" t="s">
        <v>3610</v>
      </c>
      <c r="B1635" s="1040" t="str">
        <f>CONCATENATE(LEFT(RIGHT(CONCATENATE("000",IFAData_TEA_1718!A1635),6),3),"-",(RIGHT(RIGHT(CONCATENATE("000",IFAData_TEA_1718!A1635),6),3)))</f>
        <v>129-902</v>
      </c>
      <c r="C1635" t="s">
        <v>111</v>
      </c>
      <c r="D1635">
        <v>1</v>
      </c>
      <c r="E1635">
        <v>1817</v>
      </c>
      <c r="F1635" t="s">
        <v>5105</v>
      </c>
      <c r="G1635" t="s">
        <v>6285</v>
      </c>
      <c r="H1635">
        <v>553750</v>
      </c>
      <c r="I1635">
        <v>666249</v>
      </c>
      <c r="J1635">
        <v>1</v>
      </c>
      <c r="K1635">
        <v>553750</v>
      </c>
      <c r="L1635">
        <v>553750</v>
      </c>
      <c r="M1635">
        <v>599</v>
      </c>
    </row>
    <row r="1636" spans="1:13" ht="15">
      <c r="A1636" t="s">
        <v>3610</v>
      </c>
      <c r="B1636" s="1040" t="str">
        <f>CONCATENATE(LEFT(RIGHT(CONCATENATE("000",IFAData_TEA_1718!A1636),6),3),"-",(RIGHT(RIGHT(CONCATENATE("000",IFAData_TEA_1718!A1636),6),3)))</f>
        <v>129-902</v>
      </c>
      <c r="C1636" t="s">
        <v>111</v>
      </c>
      <c r="D1636">
        <v>9</v>
      </c>
      <c r="E1636">
        <v>1818</v>
      </c>
      <c r="F1636" t="s">
        <v>5109</v>
      </c>
      <c r="G1636" t="s">
        <v>5109</v>
      </c>
      <c r="H1636">
        <v>1954750</v>
      </c>
      <c r="I1636">
        <v>1930250</v>
      </c>
      <c r="J1636">
        <v>0.62261770708308495</v>
      </c>
      <c r="K1636">
        <v>1217061.9629206599</v>
      </c>
      <c r="L1636">
        <v>1217061.9629206599</v>
      </c>
      <c r="M1636">
        <v>599</v>
      </c>
    </row>
    <row r="1637" spans="1:13" ht="15">
      <c r="A1637" t="s">
        <v>3610</v>
      </c>
      <c r="B1637" s="1040" t="str">
        <f>CONCATENATE(LEFT(RIGHT(CONCATENATE("000",IFAData_TEA_1718!A1637),6),3),"-",(RIGHT(RIGHT(CONCATENATE("000",IFAData_TEA_1718!A1637),6),3)))</f>
        <v>129-902</v>
      </c>
      <c r="C1637" t="s">
        <v>111</v>
      </c>
      <c r="D1637">
        <v>9</v>
      </c>
      <c r="E1637">
        <v>1818</v>
      </c>
      <c r="F1637" t="s">
        <v>5109</v>
      </c>
      <c r="G1637" t="s">
        <v>6285</v>
      </c>
      <c r="H1637">
        <v>1954750</v>
      </c>
      <c r="I1637">
        <v>0</v>
      </c>
      <c r="J1637">
        <v>0</v>
      </c>
      <c r="K1637">
        <v>0</v>
      </c>
      <c r="L1637">
        <v>0</v>
      </c>
      <c r="M1637">
        <v>599</v>
      </c>
    </row>
    <row r="1638" spans="1:13" ht="15">
      <c r="A1638" t="s">
        <v>3610</v>
      </c>
      <c r="B1638" s="1040" t="str">
        <f>CONCATENATE(LEFT(RIGHT(CONCATENATE("000",IFAData_TEA_1718!A1638),6),3),"-",(RIGHT(RIGHT(CONCATENATE("000",IFAData_TEA_1718!A1638),6),3)))</f>
        <v>129-902</v>
      </c>
      <c r="C1638" t="s">
        <v>111</v>
      </c>
      <c r="D1638">
        <v>9</v>
      </c>
      <c r="E1638">
        <v>1818</v>
      </c>
      <c r="F1638" t="s">
        <v>5109</v>
      </c>
      <c r="G1638" t="s">
        <v>8433</v>
      </c>
      <c r="H1638">
        <v>1954750</v>
      </c>
      <c r="I1638">
        <v>1169967</v>
      </c>
      <c r="J1638">
        <v>0.377382292916915</v>
      </c>
      <c r="K1638">
        <v>737688.03707933996</v>
      </c>
      <c r="L1638">
        <v>737688.03707933996</v>
      </c>
      <c r="M1638">
        <v>599</v>
      </c>
    </row>
    <row r="1639" spans="1:13" ht="15">
      <c r="A1639" t="s">
        <v>3610</v>
      </c>
      <c r="B1639" s="1040" t="str">
        <f>CONCATENATE(LEFT(RIGHT(CONCATENATE("000",IFAData_TEA_1718!A1639),6),3),"-",(RIGHT(RIGHT(CONCATENATE("000",IFAData_TEA_1718!A1639),6),3)))</f>
        <v>129-902</v>
      </c>
      <c r="C1639" t="s">
        <v>111</v>
      </c>
      <c r="D1639">
        <v>10</v>
      </c>
      <c r="E1639">
        <v>1819</v>
      </c>
      <c r="F1639" t="s">
        <v>5110</v>
      </c>
      <c r="G1639" t="s">
        <v>5110</v>
      </c>
      <c r="H1639">
        <v>2007613</v>
      </c>
      <c r="I1639">
        <v>2472613</v>
      </c>
      <c r="J1639">
        <v>1</v>
      </c>
      <c r="K1639">
        <v>2007613</v>
      </c>
      <c r="L1639">
        <v>2007613</v>
      </c>
      <c r="M1639">
        <v>599</v>
      </c>
    </row>
    <row r="1640" spans="1:13" ht="15">
      <c r="A1640" t="s">
        <v>3610</v>
      </c>
      <c r="B1640" s="1040" t="str">
        <f>CONCATENATE(LEFT(RIGHT(CONCATENATE("000",IFAData_TEA_1718!A1640),6),3),"-",(RIGHT(RIGHT(CONCATENATE("000",IFAData_TEA_1718!A1640),6),3)))</f>
        <v>129-902</v>
      </c>
      <c r="C1640" t="s">
        <v>111</v>
      </c>
      <c r="D1640">
        <v>10</v>
      </c>
      <c r="E1640">
        <v>1819</v>
      </c>
      <c r="F1640" t="s">
        <v>5110</v>
      </c>
      <c r="G1640" t="s">
        <v>6285</v>
      </c>
      <c r="H1640">
        <v>2007613</v>
      </c>
      <c r="I1640">
        <v>0</v>
      </c>
      <c r="J1640">
        <v>0</v>
      </c>
      <c r="K1640">
        <v>0</v>
      </c>
      <c r="L1640">
        <v>0</v>
      </c>
      <c r="M1640">
        <v>599</v>
      </c>
    </row>
    <row r="1641" spans="1:13" ht="15">
      <c r="A1641" t="s">
        <v>3610</v>
      </c>
      <c r="B1641" s="1040" t="str">
        <f>CONCATENATE(LEFT(RIGHT(CONCATENATE("000",IFAData_TEA_1718!A1641),6),3),"-",(RIGHT(RIGHT(CONCATENATE("000",IFAData_TEA_1718!A1641),6),3)))</f>
        <v>129-902</v>
      </c>
      <c r="C1641" t="s">
        <v>111</v>
      </c>
      <c r="D1641">
        <v>10</v>
      </c>
      <c r="E1641">
        <v>1816</v>
      </c>
      <c r="F1641" t="s">
        <v>5111</v>
      </c>
      <c r="G1641" t="s">
        <v>5111</v>
      </c>
      <c r="H1641">
        <v>497282</v>
      </c>
      <c r="I1641">
        <v>815908</v>
      </c>
      <c r="J1641">
        <v>1</v>
      </c>
      <c r="K1641">
        <v>497282</v>
      </c>
      <c r="L1641">
        <v>497282</v>
      </c>
      <c r="M1641">
        <v>599</v>
      </c>
    </row>
    <row r="1642" spans="1:13" ht="15">
      <c r="A1642" t="s">
        <v>3610</v>
      </c>
      <c r="B1642" s="1040" t="str">
        <f>CONCATENATE(LEFT(RIGHT(CONCATENATE("000",IFAData_TEA_1718!A1642),6),3),"-",(RIGHT(RIGHT(CONCATENATE("000",IFAData_TEA_1718!A1642),6),3)))</f>
        <v>129-902</v>
      </c>
      <c r="C1642" t="s">
        <v>111</v>
      </c>
      <c r="D1642">
        <v>11</v>
      </c>
      <c r="E1642">
        <v>2520</v>
      </c>
      <c r="F1642" t="s">
        <v>8434</v>
      </c>
      <c r="G1642" t="s">
        <v>8434</v>
      </c>
      <c r="H1642">
        <v>175339</v>
      </c>
      <c r="I1642">
        <v>241002</v>
      </c>
      <c r="J1642">
        <v>1</v>
      </c>
      <c r="K1642">
        <v>175339</v>
      </c>
      <c r="L1642">
        <v>175339</v>
      </c>
      <c r="M1642">
        <v>599</v>
      </c>
    </row>
    <row r="1643" spans="1:13" ht="15">
      <c r="A1643" t="s">
        <v>3610</v>
      </c>
      <c r="B1643" s="1040" t="str">
        <f>CONCATENATE(LEFT(RIGHT(CONCATENATE("000",IFAData_TEA_1718!A1643),6),3),"-",(RIGHT(RIGHT(CONCATENATE("000",IFAData_TEA_1718!A1643),6),3)))</f>
        <v>129-902</v>
      </c>
      <c r="C1643" t="s">
        <v>111</v>
      </c>
      <c r="D1643">
        <v>11</v>
      </c>
      <c r="E1643">
        <v>2520</v>
      </c>
      <c r="F1643" t="s">
        <v>8434</v>
      </c>
      <c r="G1643" t="s">
        <v>8435</v>
      </c>
      <c r="H1643">
        <v>175339</v>
      </c>
      <c r="I1643">
        <v>0</v>
      </c>
      <c r="J1643">
        <v>0</v>
      </c>
      <c r="K1643">
        <v>0</v>
      </c>
      <c r="L1643">
        <v>0</v>
      </c>
      <c r="M1643">
        <v>599</v>
      </c>
    </row>
    <row r="1644" spans="1:13" ht="15">
      <c r="A1644" t="s">
        <v>3610</v>
      </c>
      <c r="B1644" s="1040" t="str">
        <f>CONCATENATE(LEFT(RIGHT(CONCATENATE("000",IFAData_TEA_1718!A1644),6),3),"-",(RIGHT(RIGHT(CONCATENATE("000",IFAData_TEA_1718!A1644),6),3)))</f>
        <v>129-902</v>
      </c>
      <c r="C1644" t="s">
        <v>111</v>
      </c>
      <c r="D1644">
        <v>11</v>
      </c>
      <c r="E1644">
        <v>2520</v>
      </c>
      <c r="F1644" t="s">
        <v>8434</v>
      </c>
      <c r="G1644" t="s">
        <v>8436</v>
      </c>
      <c r="H1644">
        <v>175339</v>
      </c>
      <c r="I1644">
        <v>0</v>
      </c>
      <c r="J1644">
        <v>0</v>
      </c>
      <c r="K1644">
        <v>0</v>
      </c>
      <c r="L1644">
        <v>0</v>
      </c>
      <c r="M1644">
        <v>599</v>
      </c>
    </row>
    <row r="1645" spans="1:13" ht="15">
      <c r="A1645" t="s">
        <v>3610</v>
      </c>
      <c r="B1645" s="1040" t="str">
        <f>CONCATENATE(LEFT(RIGHT(CONCATENATE("000",IFAData_TEA_1718!A1645),6),3),"-",(RIGHT(RIGHT(CONCATENATE("000",IFAData_TEA_1718!A1645),6),3)))</f>
        <v>129-902</v>
      </c>
      <c r="C1645" t="s">
        <v>111</v>
      </c>
      <c r="D1645">
        <v>11</v>
      </c>
      <c r="E1645">
        <v>2520</v>
      </c>
      <c r="F1645" t="s">
        <v>8434</v>
      </c>
      <c r="G1645" t="s">
        <v>8437</v>
      </c>
      <c r="H1645">
        <v>175339</v>
      </c>
      <c r="I1645">
        <v>0</v>
      </c>
      <c r="J1645">
        <v>0</v>
      </c>
      <c r="K1645">
        <v>0</v>
      </c>
      <c r="L1645">
        <v>0</v>
      </c>
      <c r="M1645">
        <v>599</v>
      </c>
    </row>
    <row r="1646" spans="1:13" ht="15">
      <c r="A1646" t="s">
        <v>3610</v>
      </c>
      <c r="B1646" s="1040" t="str">
        <f>CONCATENATE(LEFT(RIGHT(CONCATENATE("000",IFAData_TEA_1718!A1646),6),3),"-",(RIGHT(RIGHT(CONCATENATE("000",IFAData_TEA_1718!A1646),6),3)))</f>
        <v>129-902</v>
      </c>
      <c r="C1646" t="s">
        <v>111</v>
      </c>
      <c r="D1646">
        <v>11</v>
      </c>
      <c r="E1646">
        <v>2520</v>
      </c>
      <c r="F1646" t="s">
        <v>8434</v>
      </c>
      <c r="G1646" t="s">
        <v>8438</v>
      </c>
      <c r="H1646">
        <v>175339</v>
      </c>
      <c r="I1646">
        <v>0</v>
      </c>
      <c r="J1646">
        <v>0</v>
      </c>
      <c r="K1646">
        <v>0</v>
      </c>
      <c r="L1646">
        <v>0</v>
      </c>
      <c r="M1646">
        <v>599</v>
      </c>
    </row>
    <row r="1647" spans="1:13" ht="15">
      <c r="A1647" t="s">
        <v>3610</v>
      </c>
      <c r="B1647" s="1040" t="str">
        <f>CONCATENATE(LEFT(RIGHT(CONCATENATE("000",IFAData_TEA_1718!A1647),6),3),"-",(RIGHT(RIGHT(CONCATENATE("000",IFAData_TEA_1718!A1647),6),3)))</f>
        <v>129-902</v>
      </c>
      <c r="C1647" t="s">
        <v>111</v>
      </c>
      <c r="D1647">
        <v>11</v>
      </c>
      <c r="E1647">
        <v>2521</v>
      </c>
      <c r="F1647" t="s">
        <v>8439</v>
      </c>
      <c r="G1647" t="s">
        <v>8439</v>
      </c>
      <c r="H1647">
        <v>248004</v>
      </c>
      <c r="I1647">
        <v>248002</v>
      </c>
      <c r="J1647">
        <v>1</v>
      </c>
      <c r="K1647">
        <v>248004</v>
      </c>
      <c r="L1647">
        <v>248002</v>
      </c>
      <c r="M1647">
        <v>599</v>
      </c>
    </row>
    <row r="1648" spans="1:13" ht="15">
      <c r="A1648" t="s">
        <v>3611</v>
      </c>
      <c r="B1648" s="1040" t="str">
        <f>CONCATENATE(LEFT(RIGHT(CONCATENATE("000",IFAData_TEA_1718!A1648),6),3),"-",(RIGHT(RIGHT(CONCATENATE("000",IFAData_TEA_1718!A1648),6),3)))</f>
        <v>129-903</v>
      </c>
      <c r="C1648" t="s">
        <v>411</v>
      </c>
      <c r="D1648">
        <v>3</v>
      </c>
      <c r="E1648">
        <v>1947</v>
      </c>
      <c r="F1648" t="s">
        <v>5112</v>
      </c>
      <c r="G1648" t="s">
        <v>5112</v>
      </c>
      <c r="H1648">
        <v>709521</v>
      </c>
      <c r="I1648">
        <v>0</v>
      </c>
      <c r="J1648">
        <v>0</v>
      </c>
      <c r="K1648"/>
      <c r="L1648">
        <v>0</v>
      </c>
      <c r="M1648">
        <v>199</v>
      </c>
    </row>
    <row r="1649" spans="1:13" ht="15">
      <c r="A1649" t="s">
        <v>3611</v>
      </c>
      <c r="B1649" s="1040" t="str">
        <f>CONCATENATE(LEFT(RIGHT(CONCATENATE("000",IFAData_TEA_1718!A1649),6),3),"-",(RIGHT(RIGHT(CONCATENATE("000",IFAData_TEA_1718!A1649),6),3)))</f>
        <v>129-903</v>
      </c>
      <c r="C1649" t="s">
        <v>411</v>
      </c>
      <c r="D1649">
        <v>6</v>
      </c>
      <c r="E1649">
        <v>1948</v>
      </c>
      <c r="F1649" t="s">
        <v>5113</v>
      </c>
      <c r="G1649" t="s">
        <v>5113</v>
      </c>
      <c r="H1649">
        <v>812500</v>
      </c>
      <c r="I1649">
        <v>0</v>
      </c>
      <c r="J1649">
        <v>0</v>
      </c>
      <c r="K1649">
        <v>0</v>
      </c>
      <c r="L1649">
        <v>0</v>
      </c>
      <c r="M1649">
        <v>599</v>
      </c>
    </row>
    <row r="1650" spans="1:13" ht="15">
      <c r="A1650" t="s">
        <v>3611</v>
      </c>
      <c r="B1650" s="1040" t="str">
        <f>CONCATENATE(LEFT(RIGHT(CONCATENATE("000",IFAData_TEA_1718!A1650),6),3),"-",(RIGHT(RIGHT(CONCATENATE("000",IFAData_TEA_1718!A1650),6),3)))</f>
        <v>129-903</v>
      </c>
      <c r="C1650" t="s">
        <v>411</v>
      </c>
      <c r="D1650">
        <v>6</v>
      </c>
      <c r="E1650">
        <v>1948</v>
      </c>
      <c r="F1650" t="s">
        <v>5113</v>
      </c>
      <c r="G1650" t="s">
        <v>5114</v>
      </c>
      <c r="H1650">
        <v>812500</v>
      </c>
      <c r="I1650">
        <v>0</v>
      </c>
      <c r="J1650">
        <v>0</v>
      </c>
      <c r="K1650">
        <v>0</v>
      </c>
      <c r="L1650">
        <v>0</v>
      </c>
      <c r="M1650">
        <v>599</v>
      </c>
    </row>
    <row r="1651" spans="1:13" ht="15">
      <c r="A1651" t="s">
        <v>3611</v>
      </c>
      <c r="B1651" s="1040" t="str">
        <f>CONCATENATE(LEFT(RIGHT(CONCATENATE("000",IFAData_TEA_1718!A1651),6),3),"-",(RIGHT(RIGHT(CONCATENATE("000",IFAData_TEA_1718!A1651),6),3)))</f>
        <v>129-903</v>
      </c>
      <c r="C1651" t="s">
        <v>411</v>
      </c>
      <c r="D1651">
        <v>6</v>
      </c>
      <c r="E1651">
        <v>1948</v>
      </c>
      <c r="F1651" t="s">
        <v>5113</v>
      </c>
      <c r="G1651" t="s">
        <v>6286</v>
      </c>
      <c r="H1651">
        <v>812500</v>
      </c>
      <c r="I1651">
        <v>68902</v>
      </c>
      <c r="J1651">
        <v>4.8311868247753499E-2</v>
      </c>
      <c r="K1651">
        <v>39253.392951299698</v>
      </c>
      <c r="L1651">
        <v>39253.392951299698</v>
      </c>
      <c r="M1651">
        <v>599</v>
      </c>
    </row>
    <row r="1652" spans="1:13" ht="15">
      <c r="A1652" t="s">
        <v>3611</v>
      </c>
      <c r="B1652" s="1040" t="str">
        <f>CONCATENATE(LEFT(RIGHT(CONCATENATE("000",IFAData_TEA_1718!A1652),6),3),"-",(RIGHT(RIGHT(CONCATENATE("000",IFAData_TEA_1718!A1652),6),3)))</f>
        <v>129-903</v>
      </c>
      <c r="C1652" t="s">
        <v>411</v>
      </c>
      <c r="D1652">
        <v>6</v>
      </c>
      <c r="E1652">
        <v>1948</v>
      </c>
      <c r="F1652" t="s">
        <v>5113</v>
      </c>
      <c r="G1652" t="s">
        <v>6494</v>
      </c>
      <c r="H1652">
        <v>812500</v>
      </c>
      <c r="I1652">
        <v>1357290</v>
      </c>
      <c r="J1652">
        <v>0.95168813175224698</v>
      </c>
      <c r="K1652">
        <v>773246.60704869998</v>
      </c>
      <c r="L1652">
        <v>773246.60704869998</v>
      </c>
      <c r="M1652">
        <v>599</v>
      </c>
    </row>
    <row r="1653" spans="1:13" ht="15">
      <c r="A1653" t="s">
        <v>3611</v>
      </c>
      <c r="B1653" s="1040" t="str">
        <f>CONCATENATE(LEFT(RIGHT(CONCATENATE("000",IFAData_TEA_1718!A1653),6),3),"-",(RIGHT(RIGHT(CONCATENATE("000",IFAData_TEA_1718!A1653),6),3)))</f>
        <v>129-903</v>
      </c>
      <c r="C1653" t="s">
        <v>411</v>
      </c>
      <c r="D1653">
        <v>11</v>
      </c>
      <c r="E1653">
        <v>2488</v>
      </c>
      <c r="F1653" t="s">
        <v>6494</v>
      </c>
      <c r="G1653" t="s">
        <v>6494</v>
      </c>
      <c r="H1653">
        <v>895315</v>
      </c>
      <c r="I1653">
        <v>1891258</v>
      </c>
      <c r="J1653">
        <v>1</v>
      </c>
      <c r="K1653">
        <v>895315</v>
      </c>
      <c r="L1653">
        <v>895315</v>
      </c>
      <c r="M1653">
        <v>599</v>
      </c>
    </row>
    <row r="1654" spans="1:13" ht="15">
      <c r="A1654" t="s">
        <v>3612</v>
      </c>
      <c r="B1654" s="1040" t="str">
        <f>CONCATENATE(LEFT(RIGHT(CONCATENATE("000",IFAData_TEA_1718!A1654),6),3),"-",(RIGHT(RIGHT(CONCATENATE("000",IFAData_TEA_1718!A1654),6),3)))</f>
        <v>129-904</v>
      </c>
      <c r="C1654" t="s">
        <v>413</v>
      </c>
      <c r="D1654">
        <v>3</v>
      </c>
      <c r="E1654">
        <v>1953</v>
      </c>
      <c r="F1654" t="s">
        <v>5115</v>
      </c>
      <c r="G1654" t="s">
        <v>5115</v>
      </c>
      <c r="H1654">
        <v>438984</v>
      </c>
      <c r="I1654">
        <v>0</v>
      </c>
      <c r="J1654">
        <v>0</v>
      </c>
      <c r="K1654"/>
      <c r="L1654">
        <v>0</v>
      </c>
      <c r="M1654">
        <v>599</v>
      </c>
    </row>
    <row r="1655" spans="1:13" ht="15">
      <c r="A1655" t="s">
        <v>3612</v>
      </c>
      <c r="B1655" s="1040" t="str">
        <f>CONCATENATE(LEFT(RIGHT(CONCATENATE("000",IFAData_TEA_1718!A1655),6),3),"-",(RIGHT(RIGHT(CONCATENATE("000",IFAData_TEA_1718!A1655),6),3)))</f>
        <v>129-904</v>
      </c>
      <c r="C1655" t="s">
        <v>413</v>
      </c>
      <c r="D1655">
        <v>9</v>
      </c>
      <c r="E1655">
        <v>1952</v>
      </c>
      <c r="F1655" t="s">
        <v>5118</v>
      </c>
      <c r="G1655" t="s">
        <v>5118</v>
      </c>
      <c r="H1655">
        <v>395867</v>
      </c>
      <c r="I1655">
        <v>0</v>
      </c>
      <c r="J1655">
        <v>0</v>
      </c>
      <c r="K1655">
        <v>0</v>
      </c>
      <c r="L1655">
        <v>0</v>
      </c>
      <c r="M1655">
        <v>599</v>
      </c>
    </row>
    <row r="1656" spans="1:13" ht="15">
      <c r="A1656" t="s">
        <v>3612</v>
      </c>
      <c r="B1656" s="1040" t="str">
        <f>CONCATENATE(LEFT(RIGHT(CONCATENATE("000",IFAData_TEA_1718!A1656),6),3),"-",(RIGHT(RIGHT(CONCATENATE("000",IFAData_TEA_1718!A1656),6),3)))</f>
        <v>129-904</v>
      </c>
      <c r="C1656" t="s">
        <v>413</v>
      </c>
      <c r="D1656">
        <v>9</v>
      </c>
      <c r="E1656">
        <v>1952</v>
      </c>
      <c r="F1656" t="s">
        <v>5118</v>
      </c>
      <c r="G1656" t="s">
        <v>6288</v>
      </c>
      <c r="H1656">
        <v>395867</v>
      </c>
      <c r="I1656">
        <v>370895</v>
      </c>
      <c r="J1656">
        <v>0.21739385275280401</v>
      </c>
      <c r="K1656">
        <v>86059.052307694103</v>
      </c>
      <c r="L1656">
        <v>86059.052307694103</v>
      </c>
      <c r="M1656">
        <v>599</v>
      </c>
    </row>
    <row r="1657" spans="1:13" ht="15">
      <c r="A1657" t="s">
        <v>3612</v>
      </c>
      <c r="B1657" s="1040" t="str">
        <f>CONCATENATE(LEFT(RIGHT(CONCATENATE("000",IFAData_TEA_1718!A1657),6),3),"-",(RIGHT(RIGHT(CONCATENATE("000",IFAData_TEA_1718!A1657),6),3)))</f>
        <v>129-904</v>
      </c>
      <c r="C1657" t="s">
        <v>413</v>
      </c>
      <c r="D1657">
        <v>9</v>
      </c>
      <c r="E1657">
        <v>1952</v>
      </c>
      <c r="F1657" t="s">
        <v>5118</v>
      </c>
      <c r="G1657" t="s">
        <v>6287</v>
      </c>
      <c r="H1657">
        <v>395867</v>
      </c>
      <c r="I1657">
        <v>309619</v>
      </c>
      <c r="J1657">
        <v>0.18147795817002199</v>
      </c>
      <c r="K1657">
        <v>71841.134866892098</v>
      </c>
      <c r="L1657">
        <v>71841.134866892098</v>
      </c>
      <c r="M1657">
        <v>599</v>
      </c>
    </row>
    <row r="1658" spans="1:13" ht="15">
      <c r="A1658" t="s">
        <v>3612</v>
      </c>
      <c r="B1658" s="1040" t="str">
        <f>CONCATENATE(LEFT(RIGHT(CONCATENATE("000",IFAData_TEA_1718!A1658),6),3),"-",(RIGHT(RIGHT(CONCATENATE("000",IFAData_TEA_1718!A1658),6),3)))</f>
        <v>129-904</v>
      </c>
      <c r="C1658" t="s">
        <v>413</v>
      </c>
      <c r="D1658">
        <v>9</v>
      </c>
      <c r="E1658">
        <v>1952</v>
      </c>
      <c r="F1658" t="s">
        <v>5118</v>
      </c>
      <c r="G1658" t="s">
        <v>6495</v>
      </c>
      <c r="H1658">
        <v>395867</v>
      </c>
      <c r="I1658">
        <v>1025583</v>
      </c>
      <c r="J1658">
        <v>0.60112818907717402</v>
      </c>
      <c r="K1658">
        <v>237966.812825414</v>
      </c>
      <c r="L1658">
        <v>237966.812825414</v>
      </c>
      <c r="M1658">
        <v>599</v>
      </c>
    </row>
    <row r="1659" spans="1:13" ht="15">
      <c r="A1659" t="s">
        <v>3613</v>
      </c>
      <c r="B1659" s="1040" t="str">
        <f>CONCATENATE(LEFT(RIGHT(CONCATENATE("000",IFAData_TEA_1718!A1659),6),3),"-",(RIGHT(RIGHT(CONCATENATE("000",IFAData_TEA_1718!A1659),6),3)))</f>
        <v>129-910</v>
      </c>
      <c r="C1659" t="s">
        <v>1246</v>
      </c>
      <c r="D1659">
        <v>2</v>
      </c>
      <c r="E1659">
        <v>2321</v>
      </c>
      <c r="F1659" t="s">
        <v>5119</v>
      </c>
      <c r="G1659" t="s">
        <v>5119</v>
      </c>
      <c r="H1659">
        <v>170846</v>
      </c>
      <c r="I1659">
        <v>0</v>
      </c>
      <c r="J1659">
        <v>0</v>
      </c>
      <c r="K1659"/>
      <c r="L1659">
        <v>0</v>
      </c>
      <c r="M1659">
        <v>199</v>
      </c>
    </row>
    <row r="1660" spans="1:13" ht="15">
      <c r="A1660" t="s">
        <v>3613</v>
      </c>
      <c r="B1660" s="1040" t="str">
        <f>CONCATENATE(LEFT(RIGHT(CONCATENATE("000",IFAData_TEA_1718!A1660),6),3),"-",(RIGHT(RIGHT(CONCATENATE("000",IFAData_TEA_1718!A1660),6),3)))</f>
        <v>129-910</v>
      </c>
      <c r="C1660" t="s">
        <v>1246</v>
      </c>
      <c r="D1660">
        <v>6</v>
      </c>
      <c r="E1660">
        <v>2322</v>
      </c>
      <c r="F1660" t="s">
        <v>5120</v>
      </c>
      <c r="G1660" t="s">
        <v>5120</v>
      </c>
      <c r="H1660">
        <v>186248</v>
      </c>
      <c r="I1660">
        <v>0</v>
      </c>
      <c r="J1660">
        <v>0</v>
      </c>
      <c r="K1660">
        <v>0</v>
      </c>
      <c r="L1660">
        <v>0</v>
      </c>
      <c r="M1660">
        <v>599</v>
      </c>
    </row>
    <row r="1661" spans="1:13" ht="15">
      <c r="A1661" t="s">
        <v>3613</v>
      </c>
      <c r="B1661" s="1040" t="str">
        <f>CONCATENATE(LEFT(RIGHT(CONCATENATE("000",IFAData_TEA_1718!A1661),6),3),"-",(RIGHT(RIGHT(CONCATENATE("000",IFAData_TEA_1718!A1661),6),3)))</f>
        <v>129-910</v>
      </c>
      <c r="C1661" t="s">
        <v>1246</v>
      </c>
      <c r="D1661">
        <v>6</v>
      </c>
      <c r="E1661">
        <v>2322</v>
      </c>
      <c r="F1661" t="s">
        <v>5120</v>
      </c>
      <c r="G1661" t="s">
        <v>5121</v>
      </c>
      <c r="H1661">
        <v>186248</v>
      </c>
      <c r="I1661">
        <v>0</v>
      </c>
      <c r="J1661">
        <v>0</v>
      </c>
      <c r="K1661">
        <v>0</v>
      </c>
      <c r="L1661">
        <v>0</v>
      </c>
      <c r="M1661">
        <v>599</v>
      </c>
    </row>
    <row r="1662" spans="1:13" ht="15">
      <c r="A1662" t="s">
        <v>3613</v>
      </c>
      <c r="B1662" s="1040" t="str">
        <f>CONCATENATE(LEFT(RIGHT(CONCATENATE("000",IFAData_TEA_1718!A1662),6),3),"-",(RIGHT(RIGHT(CONCATENATE("000",IFAData_TEA_1718!A1662),6),3)))</f>
        <v>129-910</v>
      </c>
      <c r="C1662" t="s">
        <v>1246</v>
      </c>
      <c r="D1662">
        <v>6</v>
      </c>
      <c r="E1662">
        <v>2322</v>
      </c>
      <c r="F1662" t="s">
        <v>5120</v>
      </c>
      <c r="G1662" t="s">
        <v>5122</v>
      </c>
      <c r="H1662">
        <v>186248</v>
      </c>
      <c r="I1662">
        <v>36173</v>
      </c>
      <c r="J1662">
        <v>7.0434684404012696E-2</v>
      </c>
      <c r="K1662">
        <v>13118.3191008786</v>
      </c>
      <c r="L1662">
        <v>13118.3191008786</v>
      </c>
      <c r="M1662">
        <v>599</v>
      </c>
    </row>
    <row r="1663" spans="1:13" ht="15">
      <c r="A1663" t="s">
        <v>3613</v>
      </c>
      <c r="B1663" s="1040" t="str">
        <f>CONCATENATE(LEFT(RIGHT(CONCATENATE("000",IFAData_TEA_1718!A1663),6),3),"-",(RIGHT(RIGHT(CONCATENATE("000",IFAData_TEA_1718!A1663),6),3)))</f>
        <v>129-910</v>
      </c>
      <c r="C1663" t="s">
        <v>1246</v>
      </c>
      <c r="D1663">
        <v>6</v>
      </c>
      <c r="E1663">
        <v>2322</v>
      </c>
      <c r="F1663" t="s">
        <v>5120</v>
      </c>
      <c r="G1663" t="s">
        <v>8440</v>
      </c>
      <c r="H1663">
        <v>186248</v>
      </c>
      <c r="I1663">
        <v>477395</v>
      </c>
      <c r="J1663">
        <v>0.92956531559598699</v>
      </c>
      <c r="K1663">
        <v>173129.68089912101</v>
      </c>
      <c r="L1663">
        <v>173129.68089912101</v>
      </c>
      <c r="M1663">
        <v>599</v>
      </c>
    </row>
    <row r="1664" spans="1:13" ht="15">
      <c r="A1664" t="s">
        <v>3614</v>
      </c>
      <c r="B1664" s="1040" t="str">
        <f>CONCATENATE(LEFT(RIGHT(CONCATENATE("000",IFAData_TEA_1718!A1664),6),3),"-",(RIGHT(RIGHT(CONCATENATE("000",IFAData_TEA_1718!A1664),6),3)))</f>
        <v>133-901</v>
      </c>
      <c r="C1664" t="s">
        <v>659</v>
      </c>
      <c r="D1664">
        <v>6</v>
      </c>
      <c r="E1664">
        <v>1674</v>
      </c>
      <c r="F1664" t="s">
        <v>5123</v>
      </c>
      <c r="G1664" t="s">
        <v>5123</v>
      </c>
      <c r="H1664">
        <v>140055</v>
      </c>
      <c r="I1664">
        <v>0</v>
      </c>
      <c r="J1664">
        <v>0</v>
      </c>
      <c r="K1664">
        <v>0</v>
      </c>
      <c r="L1664">
        <v>0</v>
      </c>
      <c r="M1664">
        <v>599</v>
      </c>
    </row>
    <row r="1665" spans="1:13" ht="15">
      <c r="A1665" t="s">
        <v>3614</v>
      </c>
      <c r="B1665" s="1040" t="str">
        <f>CONCATENATE(LEFT(RIGHT(CONCATENATE("000",IFAData_TEA_1718!A1665),6),3),"-",(RIGHT(RIGHT(CONCATENATE("000",IFAData_TEA_1718!A1665),6),3)))</f>
        <v>133-901</v>
      </c>
      <c r="C1665" t="s">
        <v>659</v>
      </c>
      <c r="D1665">
        <v>6</v>
      </c>
      <c r="E1665">
        <v>1674</v>
      </c>
      <c r="F1665" t="s">
        <v>5123</v>
      </c>
      <c r="G1665" t="s">
        <v>5124</v>
      </c>
      <c r="H1665">
        <v>140055</v>
      </c>
      <c r="I1665">
        <v>129475</v>
      </c>
      <c r="J1665">
        <v>1</v>
      </c>
      <c r="K1665">
        <v>140055</v>
      </c>
      <c r="L1665">
        <v>129475</v>
      </c>
      <c r="M1665">
        <v>599</v>
      </c>
    </row>
    <row r="1666" spans="1:13" ht="15">
      <c r="A1666" t="s">
        <v>3615</v>
      </c>
      <c r="B1666" s="1040" t="str">
        <f>CONCATENATE(LEFT(RIGHT(CONCATENATE("000",IFAData_TEA_1718!A1666),6),3),"-",(RIGHT(RIGHT(CONCATENATE("000",IFAData_TEA_1718!A1666),6),3)))</f>
        <v>137-901</v>
      </c>
      <c r="C1666" t="s">
        <v>2016</v>
      </c>
      <c r="D1666">
        <v>6</v>
      </c>
      <c r="E1666">
        <v>1961</v>
      </c>
      <c r="F1666" t="s">
        <v>5125</v>
      </c>
      <c r="G1666" t="s">
        <v>5125</v>
      </c>
      <c r="H1666">
        <v>1060285</v>
      </c>
      <c r="I1666">
        <v>0</v>
      </c>
      <c r="J1666">
        <v>0</v>
      </c>
      <c r="K1666">
        <v>0</v>
      </c>
      <c r="L1666">
        <v>0</v>
      </c>
      <c r="M1666">
        <v>599</v>
      </c>
    </row>
    <row r="1667" spans="1:13" ht="15">
      <c r="A1667" t="s">
        <v>3615</v>
      </c>
      <c r="B1667" s="1040" t="str">
        <f>CONCATENATE(LEFT(RIGHT(CONCATENATE("000",IFAData_TEA_1718!A1667),6),3),"-",(RIGHT(RIGHT(CONCATENATE("000",IFAData_TEA_1718!A1667),6),3)))</f>
        <v>137-901</v>
      </c>
      <c r="C1667" t="s">
        <v>2016</v>
      </c>
      <c r="D1667">
        <v>6</v>
      </c>
      <c r="E1667">
        <v>1961</v>
      </c>
      <c r="F1667" t="s">
        <v>5125</v>
      </c>
      <c r="G1667" t="s">
        <v>5126</v>
      </c>
      <c r="H1667">
        <v>1060285</v>
      </c>
      <c r="I1667">
        <v>714000</v>
      </c>
      <c r="J1667">
        <v>0.63494886616273905</v>
      </c>
      <c r="K1667">
        <v>673226.75855936005</v>
      </c>
      <c r="L1667">
        <v>673226.75855936005</v>
      </c>
      <c r="M1667">
        <v>599</v>
      </c>
    </row>
    <row r="1668" spans="1:13" ht="15">
      <c r="A1668" t="s">
        <v>3615</v>
      </c>
      <c r="B1668" s="1040" t="str">
        <f>CONCATENATE(LEFT(RIGHT(CONCATENATE("000",IFAData_TEA_1718!A1668),6),3),"-",(RIGHT(RIGHT(CONCATENATE("000",IFAData_TEA_1718!A1668),6),3)))</f>
        <v>137-901</v>
      </c>
      <c r="C1668" t="s">
        <v>2016</v>
      </c>
      <c r="D1668">
        <v>6</v>
      </c>
      <c r="E1668">
        <v>1961</v>
      </c>
      <c r="F1668" t="s">
        <v>5125</v>
      </c>
      <c r="G1668" t="s">
        <v>5127</v>
      </c>
      <c r="H1668">
        <v>1060285</v>
      </c>
      <c r="I1668">
        <v>175600</v>
      </c>
      <c r="J1668">
        <v>0.156158292574478</v>
      </c>
      <c r="K1668">
        <v>165572.29524233</v>
      </c>
      <c r="L1668">
        <v>165572.29524233</v>
      </c>
      <c r="M1668">
        <v>599</v>
      </c>
    </row>
    <row r="1669" spans="1:13" ht="15">
      <c r="A1669" t="s">
        <v>3615</v>
      </c>
      <c r="B1669" s="1040" t="str">
        <f>CONCATENATE(LEFT(RIGHT(CONCATENATE("000",IFAData_TEA_1718!A1669),6),3),"-",(RIGHT(RIGHT(CONCATENATE("000",IFAData_TEA_1718!A1669),6),3)))</f>
        <v>137-901</v>
      </c>
      <c r="C1669" t="s">
        <v>2016</v>
      </c>
      <c r="D1669">
        <v>6</v>
      </c>
      <c r="E1669">
        <v>1961</v>
      </c>
      <c r="F1669" t="s">
        <v>5125</v>
      </c>
      <c r="G1669" t="s">
        <v>6496</v>
      </c>
      <c r="H1669">
        <v>1060285</v>
      </c>
      <c r="I1669">
        <v>234900</v>
      </c>
      <c r="J1669">
        <v>0.20889284126278301</v>
      </c>
      <c r="K1669">
        <v>221485.94619831</v>
      </c>
      <c r="L1669">
        <v>221485.94619831</v>
      </c>
      <c r="M1669">
        <v>599</v>
      </c>
    </row>
    <row r="1670" spans="1:13" ht="15">
      <c r="A1670" t="s">
        <v>3615</v>
      </c>
      <c r="B1670" s="1040" t="str">
        <f>CONCATENATE(LEFT(RIGHT(CONCATENATE("000",IFAData_TEA_1718!A1670),6),3),"-",(RIGHT(RIGHT(CONCATENATE("000",IFAData_TEA_1718!A1670),6),3)))</f>
        <v>137-901</v>
      </c>
      <c r="C1670" t="s">
        <v>2016</v>
      </c>
      <c r="D1670">
        <v>9</v>
      </c>
      <c r="E1670">
        <v>1960</v>
      </c>
      <c r="F1670" t="s">
        <v>5128</v>
      </c>
      <c r="G1670" t="s">
        <v>5128</v>
      </c>
      <c r="H1670">
        <v>889358</v>
      </c>
      <c r="I1670">
        <v>657638</v>
      </c>
      <c r="J1670">
        <v>0.46821271406002302</v>
      </c>
      <c r="K1670">
        <v>416408.72295099398</v>
      </c>
      <c r="L1670">
        <v>416408.72295099398</v>
      </c>
      <c r="M1670">
        <v>599</v>
      </c>
    </row>
    <row r="1671" spans="1:13" ht="15">
      <c r="A1671" t="s">
        <v>3615</v>
      </c>
      <c r="B1671" s="1040" t="str">
        <f>CONCATENATE(LEFT(RIGHT(CONCATENATE("000",IFAData_TEA_1718!A1671),6),3),"-",(RIGHT(RIGHT(CONCATENATE("000",IFAData_TEA_1718!A1671),6),3)))</f>
        <v>137-901</v>
      </c>
      <c r="C1671" t="s">
        <v>2016</v>
      </c>
      <c r="D1671">
        <v>9</v>
      </c>
      <c r="E1671">
        <v>1960</v>
      </c>
      <c r="F1671" t="s">
        <v>5128</v>
      </c>
      <c r="G1671" t="s">
        <v>6290</v>
      </c>
      <c r="H1671">
        <v>889358</v>
      </c>
      <c r="I1671">
        <v>354550</v>
      </c>
      <c r="J1671">
        <v>0.25242582966614002</v>
      </c>
      <c r="K1671">
        <v>224496.931020219</v>
      </c>
      <c r="L1671">
        <v>224496.931020219</v>
      </c>
      <c r="M1671">
        <v>599</v>
      </c>
    </row>
    <row r="1672" spans="1:13" ht="15">
      <c r="A1672" t="s">
        <v>3615</v>
      </c>
      <c r="B1672" s="1040" t="str">
        <f>CONCATENATE(LEFT(RIGHT(CONCATENATE("000",IFAData_TEA_1718!A1672),6),3),"-",(RIGHT(RIGHT(CONCATENATE("000",IFAData_TEA_1718!A1672),6),3)))</f>
        <v>137-901</v>
      </c>
      <c r="C1672" t="s">
        <v>2016</v>
      </c>
      <c r="D1672">
        <v>9</v>
      </c>
      <c r="E1672">
        <v>1960</v>
      </c>
      <c r="F1672" t="s">
        <v>5128</v>
      </c>
      <c r="G1672" t="s">
        <v>6289</v>
      </c>
      <c r="H1672">
        <v>889358</v>
      </c>
      <c r="I1672">
        <v>303475</v>
      </c>
      <c r="J1672">
        <v>0.21606241336322601</v>
      </c>
      <c r="K1672">
        <v>192156.835823892</v>
      </c>
      <c r="L1672">
        <v>192156.835823892</v>
      </c>
      <c r="M1672">
        <v>599</v>
      </c>
    </row>
    <row r="1673" spans="1:13" ht="15">
      <c r="A1673" t="s">
        <v>3615</v>
      </c>
      <c r="B1673" s="1040" t="str">
        <f>CONCATENATE(LEFT(RIGHT(CONCATENATE("000",IFAData_TEA_1718!A1673),6),3),"-",(RIGHT(RIGHT(CONCATENATE("000",IFAData_TEA_1718!A1673),6),3)))</f>
        <v>137-901</v>
      </c>
      <c r="C1673" t="s">
        <v>2016</v>
      </c>
      <c r="D1673">
        <v>9</v>
      </c>
      <c r="E1673">
        <v>1960</v>
      </c>
      <c r="F1673" t="s">
        <v>5128</v>
      </c>
      <c r="G1673" t="s">
        <v>6496</v>
      </c>
      <c r="H1673">
        <v>889358</v>
      </c>
      <c r="I1673">
        <v>61200</v>
      </c>
      <c r="J1673">
        <v>4.3572023058998099E-2</v>
      </c>
      <c r="K1673">
        <v>38751.127283704402</v>
      </c>
      <c r="L1673">
        <v>38751.127283704402</v>
      </c>
      <c r="M1673">
        <v>599</v>
      </c>
    </row>
    <row r="1674" spans="1:13" ht="15">
      <c r="A1674" t="s">
        <v>3615</v>
      </c>
      <c r="B1674" s="1040" t="str">
        <f>CONCATENATE(LEFT(RIGHT(CONCATENATE("000",IFAData_TEA_1718!A1674),6),3),"-",(RIGHT(RIGHT(CONCATENATE("000",IFAData_TEA_1718!A1674),6),3)))</f>
        <v>137-901</v>
      </c>
      <c r="C1674" t="s">
        <v>2016</v>
      </c>
      <c r="D1674">
        <v>9</v>
      </c>
      <c r="E1674">
        <v>1960</v>
      </c>
      <c r="F1674" t="s">
        <v>5128</v>
      </c>
      <c r="G1674" t="s">
        <v>8441</v>
      </c>
      <c r="H1674">
        <v>889358</v>
      </c>
      <c r="I1674">
        <v>27708</v>
      </c>
      <c r="J1674">
        <v>1.9727019851613101E-2</v>
      </c>
      <c r="K1674">
        <v>17544.3829211909</v>
      </c>
      <c r="L1674">
        <v>17544.3829211909</v>
      </c>
      <c r="M1674">
        <v>599</v>
      </c>
    </row>
    <row r="1675" spans="1:13" ht="15">
      <c r="A1675" t="s">
        <v>3615</v>
      </c>
      <c r="B1675" s="1040" t="str">
        <f>CONCATENATE(LEFT(RIGHT(CONCATENATE("000",IFAData_TEA_1718!A1675),6),3),"-",(RIGHT(RIGHT(CONCATENATE("000",IFAData_TEA_1718!A1675),6),3)))</f>
        <v>137-901</v>
      </c>
      <c r="C1675" t="s">
        <v>2016</v>
      </c>
      <c r="D1675">
        <v>10</v>
      </c>
      <c r="E1675">
        <v>1959</v>
      </c>
      <c r="F1675" t="s">
        <v>5129</v>
      </c>
      <c r="G1675" t="s">
        <v>5129</v>
      </c>
      <c r="H1675">
        <v>861411</v>
      </c>
      <c r="I1675">
        <v>799125</v>
      </c>
      <c r="J1675">
        <v>0.92345533209146702</v>
      </c>
      <c r="K1675">
        <v>795474.581072242</v>
      </c>
      <c r="L1675">
        <v>795474.581072242</v>
      </c>
      <c r="M1675">
        <v>599</v>
      </c>
    </row>
    <row r="1676" spans="1:13" ht="15">
      <c r="A1676" t="s">
        <v>3615</v>
      </c>
      <c r="B1676" s="1040" t="str">
        <f>CONCATENATE(LEFT(RIGHT(CONCATENATE("000",IFAData_TEA_1718!A1676),6),3),"-",(RIGHT(RIGHT(CONCATENATE("000",IFAData_TEA_1718!A1676),6),3)))</f>
        <v>137-901</v>
      </c>
      <c r="C1676" t="s">
        <v>2016</v>
      </c>
      <c r="D1676">
        <v>10</v>
      </c>
      <c r="E1676">
        <v>1959</v>
      </c>
      <c r="F1676" t="s">
        <v>5129</v>
      </c>
      <c r="G1676" t="s">
        <v>8441</v>
      </c>
      <c r="H1676">
        <v>861411</v>
      </c>
      <c r="I1676">
        <v>66239</v>
      </c>
      <c r="J1676">
        <v>7.6544667908533301E-2</v>
      </c>
      <c r="K1676">
        <v>65936.418927757593</v>
      </c>
      <c r="L1676">
        <v>65936.418927757593</v>
      </c>
      <c r="M1676">
        <v>599</v>
      </c>
    </row>
    <row r="1677" spans="1:13" ht="15">
      <c r="A1677" t="s">
        <v>3615</v>
      </c>
      <c r="B1677" s="1040" t="str">
        <f>CONCATENATE(LEFT(RIGHT(CONCATENATE("000",IFAData_TEA_1718!A1677),6),3),"-",(RIGHT(RIGHT(CONCATENATE("000",IFAData_TEA_1718!A1677),6),3)))</f>
        <v>137-901</v>
      </c>
      <c r="C1677" t="s">
        <v>2016</v>
      </c>
      <c r="D1677">
        <v>11</v>
      </c>
      <c r="E1677">
        <v>2577</v>
      </c>
      <c r="F1677" t="s">
        <v>8442</v>
      </c>
      <c r="G1677" t="s">
        <v>8442</v>
      </c>
      <c r="H1677">
        <v>323272</v>
      </c>
      <c r="I1677">
        <v>322477</v>
      </c>
      <c r="J1677">
        <v>1</v>
      </c>
      <c r="K1677">
        <v>323272</v>
      </c>
      <c r="L1677">
        <v>322477</v>
      </c>
      <c r="M1677">
        <v>599</v>
      </c>
    </row>
    <row r="1678" spans="1:13" ht="15">
      <c r="A1678" t="s">
        <v>3616</v>
      </c>
      <c r="B1678" s="1040" t="str">
        <f>CONCATENATE(LEFT(RIGHT(CONCATENATE("000",IFAData_TEA_1718!A1678),6),3),"-",(RIGHT(RIGHT(CONCATENATE("000",IFAData_TEA_1718!A1678),6),3)))</f>
        <v>138-902</v>
      </c>
      <c r="C1678" t="s">
        <v>1691</v>
      </c>
      <c r="D1678">
        <v>6</v>
      </c>
      <c r="E1678">
        <v>1971</v>
      </c>
      <c r="F1678" t="s">
        <v>5130</v>
      </c>
      <c r="G1678" t="s">
        <v>5130</v>
      </c>
      <c r="H1678">
        <v>88605</v>
      </c>
      <c r="I1678">
        <v>0</v>
      </c>
      <c r="J1678">
        <v>0</v>
      </c>
      <c r="K1678"/>
      <c r="L1678">
        <v>0</v>
      </c>
      <c r="M1678">
        <v>599</v>
      </c>
    </row>
    <row r="1679" spans="1:13" ht="15">
      <c r="A1679" t="s">
        <v>3617</v>
      </c>
      <c r="B1679" s="1040" t="str">
        <f>CONCATENATE(LEFT(RIGHT(CONCATENATE("000",IFAData_TEA_1718!A1679),6),3),"-",(RIGHT(RIGHT(CONCATENATE("000",IFAData_TEA_1718!A1679),6),3)))</f>
        <v>139-908</v>
      </c>
      <c r="C1679" t="s">
        <v>612</v>
      </c>
      <c r="D1679">
        <v>4</v>
      </c>
      <c r="E1679">
        <v>2267</v>
      </c>
      <c r="F1679" t="s">
        <v>5131</v>
      </c>
      <c r="G1679" t="s">
        <v>5131</v>
      </c>
      <c r="H1679">
        <v>84250</v>
      </c>
      <c r="I1679">
        <v>0</v>
      </c>
      <c r="J1679">
        <v>0</v>
      </c>
      <c r="K1679">
        <v>0</v>
      </c>
      <c r="L1679">
        <v>0</v>
      </c>
      <c r="M1679">
        <v>599</v>
      </c>
    </row>
    <row r="1680" spans="1:13" ht="15">
      <c r="A1680" t="s">
        <v>3617</v>
      </c>
      <c r="B1680" s="1040" t="str">
        <f>CONCATENATE(LEFT(RIGHT(CONCATENATE("000",IFAData_TEA_1718!A1680),6),3),"-",(RIGHT(RIGHT(CONCATENATE("000",IFAData_TEA_1718!A1680),6),3)))</f>
        <v>139-908</v>
      </c>
      <c r="C1680" t="s">
        <v>612</v>
      </c>
      <c r="D1680">
        <v>4</v>
      </c>
      <c r="E1680">
        <v>2267</v>
      </c>
      <c r="F1680" t="s">
        <v>5131</v>
      </c>
      <c r="G1680" t="s">
        <v>5132</v>
      </c>
      <c r="H1680">
        <v>84250</v>
      </c>
      <c r="I1680">
        <v>74392</v>
      </c>
      <c r="J1680">
        <v>1</v>
      </c>
      <c r="K1680">
        <v>84250</v>
      </c>
      <c r="L1680">
        <v>74392</v>
      </c>
      <c r="M1680">
        <v>599</v>
      </c>
    </row>
    <row r="1681" spans="1:13" ht="15">
      <c r="A1681" t="s">
        <v>3618</v>
      </c>
      <c r="B1681" s="1040" t="str">
        <f>CONCATENATE(LEFT(RIGHT(CONCATENATE("000",IFAData_TEA_1718!A1681),6),3),"-",(RIGHT(RIGHT(CONCATENATE("000",IFAData_TEA_1718!A1681),6),3)))</f>
        <v>139-909</v>
      </c>
      <c r="C1681" t="s">
        <v>198</v>
      </c>
      <c r="D1681">
        <v>1</v>
      </c>
      <c r="E1681">
        <v>2177</v>
      </c>
      <c r="F1681" t="s">
        <v>5133</v>
      </c>
      <c r="G1681" t="s">
        <v>5133</v>
      </c>
      <c r="H1681">
        <v>824548</v>
      </c>
      <c r="I1681">
        <v>0</v>
      </c>
      <c r="J1681">
        <v>0</v>
      </c>
      <c r="K1681"/>
      <c r="L1681">
        <v>0</v>
      </c>
      <c r="M1681">
        <v>599</v>
      </c>
    </row>
    <row r="1682" spans="1:13" ht="15">
      <c r="A1682" t="s">
        <v>3618</v>
      </c>
      <c r="B1682" s="1040" t="str">
        <f>CONCATENATE(LEFT(RIGHT(CONCATENATE("000",IFAData_TEA_1718!A1682),6),3),"-",(RIGHT(RIGHT(CONCATENATE("000",IFAData_TEA_1718!A1682),6),3)))</f>
        <v>139-909</v>
      </c>
      <c r="C1682" t="s">
        <v>198</v>
      </c>
      <c r="D1682">
        <v>10</v>
      </c>
      <c r="E1682">
        <v>2176</v>
      </c>
      <c r="F1682" t="s">
        <v>5137</v>
      </c>
      <c r="G1682" t="s">
        <v>5137</v>
      </c>
      <c r="H1682">
        <v>493697</v>
      </c>
      <c r="I1682">
        <v>99450</v>
      </c>
      <c r="J1682">
        <v>0.315009264978382</v>
      </c>
      <c r="K1682">
        <v>155519.129092032</v>
      </c>
      <c r="L1682">
        <v>99450</v>
      </c>
      <c r="M1682">
        <v>599</v>
      </c>
    </row>
    <row r="1683" spans="1:13" ht="15">
      <c r="A1683" t="s">
        <v>3618</v>
      </c>
      <c r="B1683" s="1040" t="str">
        <f>CONCATENATE(LEFT(RIGHT(CONCATENATE("000",IFAData_TEA_1718!A1683),6),3),"-",(RIGHT(RIGHT(CONCATENATE("000",IFAData_TEA_1718!A1683),6),3)))</f>
        <v>139-909</v>
      </c>
      <c r="C1683" t="s">
        <v>198</v>
      </c>
      <c r="D1683">
        <v>10</v>
      </c>
      <c r="E1683">
        <v>2176</v>
      </c>
      <c r="F1683" t="s">
        <v>5137</v>
      </c>
      <c r="G1683" t="s">
        <v>8443</v>
      </c>
      <c r="H1683">
        <v>493697</v>
      </c>
      <c r="I1683">
        <v>216255</v>
      </c>
      <c r="J1683">
        <v>0.684990735021618</v>
      </c>
      <c r="K1683">
        <v>338177.87090796803</v>
      </c>
      <c r="L1683">
        <v>216255</v>
      </c>
      <c r="M1683">
        <v>599</v>
      </c>
    </row>
    <row r="1684" spans="1:13" ht="15">
      <c r="A1684" t="s">
        <v>3618</v>
      </c>
      <c r="B1684" s="1040" t="str">
        <f>CONCATENATE(LEFT(RIGHT(CONCATENATE("000",IFAData_TEA_1718!A1684),6),3),"-",(RIGHT(RIGHT(CONCATENATE("000",IFAData_TEA_1718!A1684),6),3)))</f>
        <v>139-909</v>
      </c>
      <c r="C1684" t="s">
        <v>198</v>
      </c>
      <c r="D1684">
        <v>10</v>
      </c>
      <c r="E1684">
        <v>2175</v>
      </c>
      <c r="F1684" t="s">
        <v>5138</v>
      </c>
      <c r="G1684" t="s">
        <v>5138</v>
      </c>
      <c r="H1684">
        <v>185701</v>
      </c>
      <c r="I1684">
        <v>0</v>
      </c>
      <c r="J1684">
        <v>0</v>
      </c>
      <c r="K1684">
        <v>0</v>
      </c>
      <c r="L1684">
        <v>0</v>
      </c>
      <c r="M1684">
        <v>599</v>
      </c>
    </row>
    <row r="1685" spans="1:13" ht="15">
      <c r="A1685" t="s">
        <v>3618</v>
      </c>
      <c r="B1685" s="1040" t="str">
        <f>CONCATENATE(LEFT(RIGHT(CONCATENATE("000",IFAData_TEA_1718!A1685),6),3),"-",(RIGHT(RIGHT(CONCATENATE("000",IFAData_TEA_1718!A1685),6),3)))</f>
        <v>139-909</v>
      </c>
      <c r="C1685" t="s">
        <v>198</v>
      </c>
      <c r="D1685">
        <v>10</v>
      </c>
      <c r="E1685">
        <v>2175</v>
      </c>
      <c r="F1685" t="s">
        <v>5138</v>
      </c>
      <c r="G1685" t="s">
        <v>8443</v>
      </c>
      <c r="H1685">
        <v>185701</v>
      </c>
      <c r="I1685">
        <v>378983</v>
      </c>
      <c r="J1685">
        <v>1</v>
      </c>
      <c r="K1685">
        <v>185701</v>
      </c>
      <c r="L1685">
        <v>185701</v>
      </c>
      <c r="M1685">
        <v>599</v>
      </c>
    </row>
    <row r="1686" spans="1:13" ht="15">
      <c r="A1686" t="s">
        <v>3619</v>
      </c>
      <c r="B1686" s="1040" t="str">
        <f>CONCATENATE(LEFT(RIGHT(CONCATENATE("000",IFAData_TEA_1718!A1686),6),3),"-",(RIGHT(RIGHT(CONCATENATE("000",IFAData_TEA_1718!A1686),6),3)))</f>
        <v>139-912</v>
      </c>
      <c r="C1686" t="s">
        <v>2101</v>
      </c>
      <c r="D1686">
        <v>6</v>
      </c>
      <c r="E1686">
        <v>2208</v>
      </c>
      <c r="F1686" t="s">
        <v>5139</v>
      </c>
      <c r="G1686" t="s">
        <v>5139</v>
      </c>
      <c r="H1686">
        <v>229112</v>
      </c>
      <c r="I1686">
        <v>0</v>
      </c>
      <c r="J1686">
        <v>0</v>
      </c>
      <c r="K1686">
        <v>0</v>
      </c>
      <c r="L1686">
        <v>0</v>
      </c>
      <c r="M1686">
        <v>599</v>
      </c>
    </row>
    <row r="1687" spans="1:13" ht="15">
      <c r="A1687" t="s">
        <v>3619</v>
      </c>
      <c r="B1687" s="1040" t="str">
        <f>CONCATENATE(LEFT(RIGHT(CONCATENATE("000",IFAData_TEA_1718!A1687),6),3),"-",(RIGHT(RIGHT(CONCATENATE("000",IFAData_TEA_1718!A1687),6),3)))</f>
        <v>139-912</v>
      </c>
      <c r="C1687" t="s">
        <v>2101</v>
      </c>
      <c r="D1687">
        <v>6</v>
      </c>
      <c r="E1687">
        <v>2208</v>
      </c>
      <c r="F1687" t="s">
        <v>5139</v>
      </c>
      <c r="G1687" t="s">
        <v>5140</v>
      </c>
      <c r="H1687">
        <v>229112</v>
      </c>
      <c r="I1687">
        <v>257208</v>
      </c>
      <c r="J1687">
        <v>0.76074309156139697</v>
      </c>
      <c r="K1687">
        <v>174295.37119381499</v>
      </c>
      <c r="L1687">
        <v>174295.37119381499</v>
      </c>
      <c r="M1687">
        <v>599</v>
      </c>
    </row>
    <row r="1688" spans="1:13" ht="15">
      <c r="A1688" t="s">
        <v>3619</v>
      </c>
      <c r="B1688" s="1040" t="str">
        <f>CONCATENATE(LEFT(RIGHT(CONCATENATE("000",IFAData_TEA_1718!A1688),6),3),"-",(RIGHT(RIGHT(CONCATENATE("000",IFAData_TEA_1718!A1688),6),3)))</f>
        <v>139-912</v>
      </c>
      <c r="C1688" t="s">
        <v>2101</v>
      </c>
      <c r="D1688">
        <v>6</v>
      </c>
      <c r="E1688">
        <v>2208</v>
      </c>
      <c r="F1688" t="s">
        <v>5139</v>
      </c>
      <c r="G1688" t="s">
        <v>5141</v>
      </c>
      <c r="H1688">
        <v>229112</v>
      </c>
      <c r="I1688">
        <v>80893</v>
      </c>
      <c r="J1688">
        <v>0.23925690843860301</v>
      </c>
      <c r="K1688">
        <v>54816.628806185101</v>
      </c>
      <c r="L1688">
        <v>54816.628806185101</v>
      </c>
      <c r="M1688">
        <v>599</v>
      </c>
    </row>
    <row r="1689" spans="1:13" ht="15">
      <c r="A1689" t="s">
        <v>5142</v>
      </c>
      <c r="B1689" s="1040" t="str">
        <f>CONCATENATE(LEFT(RIGHT(CONCATENATE("000",IFAData_TEA_1718!A1689),6),3),"-",(RIGHT(RIGHT(CONCATENATE("000",IFAData_TEA_1718!A1689),6),3)))</f>
        <v>140-905</v>
      </c>
      <c r="C1689" t="s">
        <v>826</v>
      </c>
      <c r="D1689">
        <v>2</v>
      </c>
      <c r="E1689">
        <v>2161</v>
      </c>
      <c r="F1689" t="s">
        <v>5143</v>
      </c>
      <c r="G1689" t="s">
        <v>5143</v>
      </c>
      <c r="H1689">
        <v>187763</v>
      </c>
      <c r="I1689">
        <v>0</v>
      </c>
      <c r="J1689">
        <v>0</v>
      </c>
      <c r="K1689">
        <v>0</v>
      </c>
      <c r="L1689">
        <v>0</v>
      </c>
      <c r="M1689">
        <v>599</v>
      </c>
    </row>
    <row r="1690" spans="1:13" ht="15">
      <c r="A1690" t="s">
        <v>5142</v>
      </c>
      <c r="B1690" s="1040" t="str">
        <f>CONCATENATE(LEFT(RIGHT(CONCATENATE("000",IFAData_TEA_1718!A1690),6),3),"-",(RIGHT(RIGHT(CONCATENATE("000",IFAData_TEA_1718!A1690),6),3)))</f>
        <v>140-905</v>
      </c>
      <c r="C1690" t="s">
        <v>826</v>
      </c>
      <c r="D1690">
        <v>2</v>
      </c>
      <c r="E1690">
        <v>2161</v>
      </c>
      <c r="F1690" t="s">
        <v>5143</v>
      </c>
      <c r="G1690" t="s">
        <v>5144</v>
      </c>
      <c r="H1690">
        <v>187763</v>
      </c>
      <c r="I1690">
        <v>192375</v>
      </c>
      <c r="J1690">
        <v>1</v>
      </c>
      <c r="K1690">
        <v>187763</v>
      </c>
      <c r="L1690">
        <v>187763</v>
      </c>
      <c r="M1690">
        <v>599</v>
      </c>
    </row>
    <row r="1691" spans="1:13" ht="15">
      <c r="A1691" t="s">
        <v>3620</v>
      </c>
      <c r="B1691" s="1040" t="str">
        <f>CONCATENATE(LEFT(RIGHT(CONCATENATE("000",IFAData_TEA_1718!A1691),6),3),"-",(RIGHT(RIGHT(CONCATENATE("000",IFAData_TEA_1718!A1691),6),3)))</f>
        <v>141-901</v>
      </c>
      <c r="C1691" t="s">
        <v>947</v>
      </c>
      <c r="D1691">
        <v>9</v>
      </c>
      <c r="E1691">
        <v>2002</v>
      </c>
      <c r="F1691" t="s">
        <v>5145</v>
      </c>
      <c r="G1691" t="s">
        <v>5145</v>
      </c>
      <c r="H1691">
        <v>800000</v>
      </c>
      <c r="I1691">
        <v>0</v>
      </c>
      <c r="J1691">
        <v>0</v>
      </c>
      <c r="K1691">
        <v>0</v>
      </c>
      <c r="L1691">
        <v>0</v>
      </c>
      <c r="M1691">
        <v>599</v>
      </c>
    </row>
    <row r="1692" spans="1:13" ht="15">
      <c r="A1692" t="s">
        <v>3620</v>
      </c>
      <c r="B1692" s="1040" t="str">
        <f>CONCATENATE(LEFT(RIGHT(CONCATENATE("000",IFAData_TEA_1718!A1692),6),3),"-",(RIGHT(RIGHT(CONCATENATE("000",IFAData_TEA_1718!A1692),6),3)))</f>
        <v>141-901</v>
      </c>
      <c r="C1692" t="s">
        <v>947</v>
      </c>
      <c r="D1692">
        <v>9</v>
      </c>
      <c r="E1692">
        <v>2002</v>
      </c>
      <c r="F1692" t="s">
        <v>5145</v>
      </c>
      <c r="G1692" t="s">
        <v>5146</v>
      </c>
      <c r="H1692">
        <v>800000</v>
      </c>
      <c r="I1692">
        <v>268802</v>
      </c>
      <c r="J1692">
        <v>9.8696576010668502E-2</v>
      </c>
      <c r="K1692">
        <v>78957.260808534804</v>
      </c>
      <c r="L1692">
        <v>78957.260808534804</v>
      </c>
      <c r="M1692">
        <v>599</v>
      </c>
    </row>
    <row r="1693" spans="1:13" ht="15">
      <c r="A1693" t="s">
        <v>3620</v>
      </c>
      <c r="B1693" s="1040" t="str">
        <f>CONCATENATE(LEFT(RIGHT(CONCATENATE("000",IFAData_TEA_1718!A1693),6),3),"-",(RIGHT(RIGHT(CONCATENATE("000",IFAData_TEA_1718!A1693),6),3)))</f>
        <v>141-901</v>
      </c>
      <c r="C1693" t="s">
        <v>947</v>
      </c>
      <c r="D1693">
        <v>9</v>
      </c>
      <c r="E1693">
        <v>2002</v>
      </c>
      <c r="F1693" t="s">
        <v>5145</v>
      </c>
      <c r="G1693" t="s">
        <v>5147</v>
      </c>
      <c r="H1693">
        <v>800000</v>
      </c>
      <c r="I1693">
        <v>2454717</v>
      </c>
      <c r="J1693">
        <v>0.90130342398933205</v>
      </c>
      <c r="K1693">
        <v>721042.73919146496</v>
      </c>
      <c r="L1693">
        <v>721042.73919146496</v>
      </c>
      <c r="M1693">
        <v>599</v>
      </c>
    </row>
    <row r="1694" spans="1:13" ht="15">
      <c r="A1694" t="s">
        <v>3621</v>
      </c>
      <c r="B1694" s="1040" t="str">
        <f>CONCATENATE(LEFT(RIGHT(CONCATENATE("000",IFAData_TEA_1718!A1694),6),3),"-",(RIGHT(RIGHT(CONCATENATE("000",IFAData_TEA_1718!A1694),6),3)))</f>
        <v>142-901</v>
      </c>
      <c r="C1694" t="s">
        <v>1102</v>
      </c>
      <c r="D1694">
        <v>2</v>
      </c>
      <c r="E1694">
        <v>1726</v>
      </c>
      <c r="F1694" t="s">
        <v>5148</v>
      </c>
      <c r="G1694" t="s">
        <v>5148</v>
      </c>
      <c r="H1694">
        <v>282771</v>
      </c>
      <c r="I1694">
        <v>0</v>
      </c>
      <c r="J1694">
        <v>0</v>
      </c>
      <c r="K1694">
        <v>0</v>
      </c>
      <c r="L1694">
        <v>0</v>
      </c>
      <c r="M1694">
        <v>599</v>
      </c>
    </row>
    <row r="1695" spans="1:13" ht="15">
      <c r="A1695" t="s">
        <v>3621</v>
      </c>
      <c r="B1695" s="1040" t="str">
        <f>CONCATENATE(LEFT(RIGHT(CONCATENATE("000",IFAData_TEA_1718!A1695),6),3),"-",(RIGHT(RIGHT(CONCATENATE("000",IFAData_TEA_1718!A1695),6),3)))</f>
        <v>142-901</v>
      </c>
      <c r="C1695" t="s">
        <v>1102</v>
      </c>
      <c r="D1695">
        <v>2</v>
      </c>
      <c r="E1695">
        <v>1726</v>
      </c>
      <c r="F1695" t="s">
        <v>5148</v>
      </c>
      <c r="G1695" t="s">
        <v>5149</v>
      </c>
      <c r="H1695">
        <v>282771</v>
      </c>
      <c r="I1695">
        <v>235550</v>
      </c>
      <c r="J1695">
        <v>1</v>
      </c>
      <c r="K1695">
        <v>282771</v>
      </c>
      <c r="L1695">
        <v>235550</v>
      </c>
      <c r="M1695">
        <v>599</v>
      </c>
    </row>
    <row r="1696" spans="1:13" ht="15">
      <c r="A1696" t="s">
        <v>3622</v>
      </c>
      <c r="B1696" s="1040" t="str">
        <f>CONCATENATE(LEFT(RIGHT(CONCATENATE("000",IFAData_TEA_1718!A1696),6),3),"-",(RIGHT(RIGHT(CONCATENATE("000",IFAData_TEA_1718!A1696),6),3)))</f>
        <v>146-901</v>
      </c>
      <c r="C1696" t="s">
        <v>1164</v>
      </c>
      <c r="D1696">
        <v>5</v>
      </c>
      <c r="E1696">
        <v>1694</v>
      </c>
      <c r="F1696" t="s">
        <v>5150</v>
      </c>
      <c r="G1696" t="s">
        <v>5150</v>
      </c>
      <c r="H1696">
        <v>754473</v>
      </c>
      <c r="I1696">
        <v>0</v>
      </c>
      <c r="J1696">
        <v>0</v>
      </c>
      <c r="K1696">
        <v>0</v>
      </c>
      <c r="L1696">
        <v>0</v>
      </c>
      <c r="M1696">
        <v>599</v>
      </c>
    </row>
    <row r="1697" spans="1:13" ht="15">
      <c r="A1697" t="s">
        <v>3622</v>
      </c>
      <c r="B1697" s="1040" t="str">
        <f>CONCATENATE(LEFT(RIGHT(CONCATENATE("000",IFAData_TEA_1718!A1697),6),3),"-",(RIGHT(RIGHT(CONCATENATE("000",IFAData_TEA_1718!A1697),6),3)))</f>
        <v>146-901</v>
      </c>
      <c r="C1697" t="s">
        <v>1164</v>
      </c>
      <c r="D1697">
        <v>5</v>
      </c>
      <c r="E1697">
        <v>1694</v>
      </c>
      <c r="F1697" t="s">
        <v>5150</v>
      </c>
      <c r="G1697" t="s">
        <v>5151</v>
      </c>
      <c r="H1697">
        <v>754473</v>
      </c>
      <c r="I1697">
        <v>157321</v>
      </c>
      <c r="J1697">
        <v>7.3347466260240093E-2</v>
      </c>
      <c r="K1697">
        <v>55338.682911762102</v>
      </c>
      <c r="L1697">
        <v>55338.682911762102</v>
      </c>
      <c r="M1697">
        <v>599</v>
      </c>
    </row>
    <row r="1698" spans="1:13" ht="15">
      <c r="A1698" t="s">
        <v>3622</v>
      </c>
      <c r="B1698" s="1040" t="str">
        <f>CONCATENATE(LEFT(RIGHT(CONCATENATE("000",IFAData_TEA_1718!A1698),6),3),"-",(RIGHT(RIGHT(CONCATENATE("000",IFAData_TEA_1718!A1698),6),3)))</f>
        <v>146-901</v>
      </c>
      <c r="C1698" t="s">
        <v>1164</v>
      </c>
      <c r="D1698">
        <v>5</v>
      </c>
      <c r="E1698">
        <v>1694</v>
      </c>
      <c r="F1698" t="s">
        <v>5150</v>
      </c>
      <c r="G1698" t="s">
        <v>5152</v>
      </c>
      <c r="H1698">
        <v>754473</v>
      </c>
      <c r="I1698">
        <v>822734</v>
      </c>
      <c r="J1698">
        <v>0.38358168525595698</v>
      </c>
      <c r="K1698">
        <v>289402.02482011798</v>
      </c>
      <c r="L1698">
        <v>289402.02482011798</v>
      </c>
      <c r="M1698">
        <v>599</v>
      </c>
    </row>
    <row r="1699" spans="1:13" ht="15">
      <c r="A1699" t="s">
        <v>3622</v>
      </c>
      <c r="B1699" s="1040" t="str">
        <f>CONCATENATE(LEFT(RIGHT(CONCATENATE("000",IFAData_TEA_1718!A1699),6),3),"-",(RIGHT(RIGHT(CONCATENATE("000",IFAData_TEA_1718!A1699),6),3)))</f>
        <v>146-901</v>
      </c>
      <c r="C1699" t="s">
        <v>1164</v>
      </c>
      <c r="D1699">
        <v>5</v>
      </c>
      <c r="E1699">
        <v>1694</v>
      </c>
      <c r="F1699" t="s">
        <v>5150</v>
      </c>
      <c r="G1699" t="s">
        <v>5153</v>
      </c>
      <c r="H1699">
        <v>754473</v>
      </c>
      <c r="I1699">
        <v>232039</v>
      </c>
      <c r="J1699">
        <v>0.10818309522288699</v>
      </c>
      <c r="K1699">
        <v>81621.224402097505</v>
      </c>
      <c r="L1699">
        <v>81621.224402097505</v>
      </c>
      <c r="M1699">
        <v>599</v>
      </c>
    </row>
    <row r="1700" spans="1:13" ht="15">
      <c r="A1700" t="s">
        <v>3622</v>
      </c>
      <c r="B1700" s="1040" t="str">
        <f>CONCATENATE(LEFT(RIGHT(CONCATENATE("000",IFAData_TEA_1718!A1700),6),3),"-",(RIGHT(RIGHT(CONCATENATE("000",IFAData_TEA_1718!A1700),6),3)))</f>
        <v>146-901</v>
      </c>
      <c r="C1700" t="s">
        <v>1164</v>
      </c>
      <c r="D1700">
        <v>5</v>
      </c>
      <c r="E1700">
        <v>1694</v>
      </c>
      <c r="F1700" t="s">
        <v>5150</v>
      </c>
      <c r="G1700" t="s">
        <v>6497</v>
      </c>
      <c r="H1700">
        <v>754473</v>
      </c>
      <c r="I1700">
        <v>275696</v>
      </c>
      <c r="J1700">
        <v>0.12853721409146401</v>
      </c>
      <c r="K1700">
        <v>96977.857527228902</v>
      </c>
      <c r="L1700">
        <v>96977.857527228902</v>
      </c>
      <c r="M1700">
        <v>599</v>
      </c>
    </row>
    <row r="1701" spans="1:13" ht="15">
      <c r="A1701" t="s">
        <v>3622</v>
      </c>
      <c r="B1701" s="1040" t="str">
        <f>CONCATENATE(LEFT(RIGHT(CONCATENATE("000",IFAData_TEA_1718!A1701),6),3),"-",(RIGHT(RIGHT(CONCATENATE("000",IFAData_TEA_1718!A1701),6),3)))</f>
        <v>146-901</v>
      </c>
      <c r="C1701" t="s">
        <v>1164</v>
      </c>
      <c r="D1701">
        <v>5</v>
      </c>
      <c r="E1701">
        <v>1694</v>
      </c>
      <c r="F1701" t="s">
        <v>5150</v>
      </c>
      <c r="G1701" t="s">
        <v>8444</v>
      </c>
      <c r="H1701">
        <v>754473</v>
      </c>
      <c r="I1701">
        <v>657083</v>
      </c>
      <c r="J1701">
        <v>0.30635053916945199</v>
      </c>
      <c r="K1701">
        <v>231133.21033879399</v>
      </c>
      <c r="L1701">
        <v>231133.21033879399</v>
      </c>
      <c r="M1701">
        <v>599</v>
      </c>
    </row>
    <row r="1702" spans="1:13" ht="15">
      <c r="A1702" t="s">
        <v>3622</v>
      </c>
      <c r="B1702" s="1040" t="str">
        <f>CONCATENATE(LEFT(RIGHT(CONCATENATE("000",IFAData_TEA_1718!A1702),6),3),"-",(RIGHT(RIGHT(CONCATENATE("000",IFAData_TEA_1718!A1702),6),3)))</f>
        <v>146-901</v>
      </c>
      <c r="C1702" t="s">
        <v>1164</v>
      </c>
      <c r="D1702">
        <v>11</v>
      </c>
      <c r="E1702">
        <v>2511</v>
      </c>
      <c r="F1702" t="s">
        <v>8445</v>
      </c>
      <c r="G1702" t="s">
        <v>8445</v>
      </c>
      <c r="H1702">
        <v>961727</v>
      </c>
      <c r="I1702">
        <v>1575500</v>
      </c>
      <c r="J1702">
        <v>1</v>
      </c>
      <c r="K1702">
        <v>961727</v>
      </c>
      <c r="L1702">
        <v>961727</v>
      </c>
      <c r="M1702">
        <v>599</v>
      </c>
    </row>
    <row r="1703" spans="1:13" ht="15">
      <c r="A1703" t="s">
        <v>3623</v>
      </c>
      <c r="B1703" s="1040" t="str">
        <f>CONCATENATE(LEFT(RIGHT(CONCATENATE("000",IFAData_TEA_1718!A1703),6),3),"-",(RIGHT(RIGHT(CONCATENATE("000",IFAData_TEA_1718!A1703),6),3)))</f>
        <v>146-902</v>
      </c>
      <c r="C1703" t="s">
        <v>2664</v>
      </c>
      <c r="D1703">
        <v>1</v>
      </c>
      <c r="E1703">
        <v>1747</v>
      </c>
      <c r="F1703" t="s">
        <v>5154</v>
      </c>
      <c r="G1703" t="s">
        <v>5154</v>
      </c>
      <c r="H1703">
        <v>967500</v>
      </c>
      <c r="I1703">
        <v>0</v>
      </c>
      <c r="J1703">
        <v>0</v>
      </c>
      <c r="K1703"/>
      <c r="L1703">
        <v>0</v>
      </c>
      <c r="M1703">
        <v>599</v>
      </c>
    </row>
    <row r="1704" spans="1:13" ht="15">
      <c r="A1704" t="s">
        <v>3623</v>
      </c>
      <c r="B1704" s="1040" t="str">
        <f>CONCATENATE(LEFT(RIGHT(CONCATENATE("000",IFAData_TEA_1718!A1704),6),3),"-",(RIGHT(RIGHT(CONCATENATE("000",IFAData_TEA_1718!A1704),6),3)))</f>
        <v>146-902</v>
      </c>
      <c r="C1704" t="s">
        <v>2664</v>
      </c>
      <c r="D1704">
        <v>11</v>
      </c>
      <c r="E1704">
        <v>2550</v>
      </c>
      <c r="F1704" t="s">
        <v>8446</v>
      </c>
      <c r="G1704" t="s">
        <v>8446</v>
      </c>
      <c r="H1704">
        <v>1222658</v>
      </c>
      <c r="I1704">
        <v>3896451</v>
      </c>
      <c r="J1704">
        <v>1</v>
      </c>
      <c r="K1704">
        <v>1222658</v>
      </c>
      <c r="L1704">
        <v>1222658</v>
      </c>
      <c r="M1704">
        <v>599</v>
      </c>
    </row>
    <row r="1705" spans="1:13" ht="15">
      <c r="A1705" t="s">
        <v>3624</v>
      </c>
      <c r="B1705" s="1040" t="str">
        <f>CONCATENATE(LEFT(RIGHT(CONCATENATE("000",IFAData_TEA_1718!A1705),6),3),"-",(RIGHT(RIGHT(CONCATENATE("000",IFAData_TEA_1718!A1705),6),3)))</f>
        <v>146-904</v>
      </c>
      <c r="C1705" t="s">
        <v>1735</v>
      </c>
      <c r="D1705">
        <v>9</v>
      </c>
      <c r="E1705">
        <v>1865</v>
      </c>
      <c r="F1705" t="s">
        <v>5158</v>
      </c>
      <c r="G1705" t="s">
        <v>5158</v>
      </c>
      <c r="H1705">
        <v>80675</v>
      </c>
      <c r="I1705">
        <v>0</v>
      </c>
      <c r="J1705">
        <v>0</v>
      </c>
      <c r="K1705">
        <v>0</v>
      </c>
      <c r="L1705">
        <v>0</v>
      </c>
      <c r="M1705">
        <v>599</v>
      </c>
    </row>
    <row r="1706" spans="1:13" ht="15">
      <c r="A1706" t="s">
        <v>3624</v>
      </c>
      <c r="B1706" s="1040" t="str">
        <f>CONCATENATE(LEFT(RIGHT(CONCATENATE("000",IFAData_TEA_1718!A1706),6),3),"-",(RIGHT(RIGHT(CONCATENATE("000",IFAData_TEA_1718!A1706),6),3)))</f>
        <v>146-904</v>
      </c>
      <c r="C1706" t="s">
        <v>1735</v>
      </c>
      <c r="D1706">
        <v>9</v>
      </c>
      <c r="E1706">
        <v>1865</v>
      </c>
      <c r="F1706" t="s">
        <v>5158</v>
      </c>
      <c r="G1706" t="s">
        <v>6498</v>
      </c>
      <c r="H1706">
        <v>80675</v>
      </c>
      <c r="I1706">
        <v>39525</v>
      </c>
      <c r="J1706">
        <v>0.33645456480102098</v>
      </c>
      <c r="K1706">
        <v>27143.472015322401</v>
      </c>
      <c r="L1706">
        <v>27143.472015322401</v>
      </c>
      <c r="M1706">
        <v>599</v>
      </c>
    </row>
    <row r="1707" spans="1:13" ht="15">
      <c r="A1707" t="s">
        <v>3624</v>
      </c>
      <c r="B1707" s="1040" t="str">
        <f>CONCATENATE(LEFT(RIGHT(CONCATENATE("000",IFAData_TEA_1718!A1707),6),3),"-",(RIGHT(RIGHT(CONCATENATE("000",IFAData_TEA_1718!A1707),6),3)))</f>
        <v>146-904</v>
      </c>
      <c r="C1707" t="s">
        <v>1735</v>
      </c>
      <c r="D1707">
        <v>9</v>
      </c>
      <c r="E1707">
        <v>1865</v>
      </c>
      <c r="F1707" t="s">
        <v>5158</v>
      </c>
      <c r="G1707" t="s">
        <v>8447</v>
      </c>
      <c r="H1707">
        <v>80675</v>
      </c>
      <c r="I1707">
        <v>77950</v>
      </c>
      <c r="J1707">
        <v>0.66354543519897802</v>
      </c>
      <c r="K1707">
        <v>53531.527984677603</v>
      </c>
      <c r="L1707">
        <v>53531.527984677603</v>
      </c>
      <c r="M1707">
        <v>599</v>
      </c>
    </row>
    <row r="1708" spans="1:13" ht="15">
      <c r="A1708" t="s">
        <v>3625</v>
      </c>
      <c r="B1708" s="1040" t="str">
        <f>CONCATENATE(LEFT(RIGHT(CONCATENATE("000",IFAData_TEA_1718!A1708),6),3),"-",(RIGHT(RIGHT(CONCATENATE("000",IFAData_TEA_1718!A1708),6),3)))</f>
        <v>146-905</v>
      </c>
      <c r="C1708" t="s">
        <v>2384</v>
      </c>
      <c r="D1708">
        <v>2</v>
      </c>
      <c r="E1708">
        <v>1913</v>
      </c>
      <c r="F1708" t="s">
        <v>5159</v>
      </c>
      <c r="G1708" t="s">
        <v>5159</v>
      </c>
      <c r="H1708">
        <v>159897</v>
      </c>
      <c r="I1708">
        <v>0</v>
      </c>
      <c r="J1708">
        <v>0</v>
      </c>
      <c r="K1708"/>
      <c r="L1708">
        <v>0</v>
      </c>
      <c r="M1708">
        <v>599</v>
      </c>
    </row>
    <row r="1709" spans="1:13" ht="15">
      <c r="A1709" t="s">
        <v>3626</v>
      </c>
      <c r="B1709" s="1040" t="str">
        <f>CONCATENATE(LEFT(RIGHT(CONCATENATE("000",IFAData_TEA_1718!A1709),6),3),"-",(RIGHT(RIGHT(CONCATENATE("000",IFAData_TEA_1718!A1709),6),3)))</f>
        <v>147-901</v>
      </c>
      <c r="C1709" t="s">
        <v>1554</v>
      </c>
      <c r="D1709">
        <v>4</v>
      </c>
      <c r="E1709">
        <v>1718</v>
      </c>
      <c r="F1709" t="s">
        <v>5161</v>
      </c>
      <c r="G1709" t="s">
        <v>5161</v>
      </c>
      <c r="H1709">
        <v>100000</v>
      </c>
      <c r="I1709">
        <v>0</v>
      </c>
      <c r="J1709">
        <v>0</v>
      </c>
      <c r="K1709">
        <v>0</v>
      </c>
      <c r="L1709">
        <v>0</v>
      </c>
      <c r="M1709">
        <v>599</v>
      </c>
    </row>
    <row r="1710" spans="1:13" ht="15">
      <c r="A1710" t="s">
        <v>3626</v>
      </c>
      <c r="B1710" s="1040" t="str">
        <f>CONCATENATE(LEFT(RIGHT(CONCATENATE("000",IFAData_TEA_1718!A1710),6),3),"-",(RIGHT(RIGHT(CONCATENATE("000",IFAData_TEA_1718!A1710),6),3)))</f>
        <v>147-901</v>
      </c>
      <c r="C1710" t="s">
        <v>1554</v>
      </c>
      <c r="D1710">
        <v>4</v>
      </c>
      <c r="E1710">
        <v>1718</v>
      </c>
      <c r="F1710" t="s">
        <v>5161</v>
      </c>
      <c r="G1710" t="s">
        <v>5162</v>
      </c>
      <c r="H1710">
        <v>100000</v>
      </c>
      <c r="I1710">
        <v>90278</v>
      </c>
      <c r="J1710">
        <v>1</v>
      </c>
      <c r="K1710">
        <v>100000</v>
      </c>
      <c r="L1710">
        <v>90278</v>
      </c>
      <c r="M1710">
        <v>599</v>
      </c>
    </row>
    <row r="1711" spans="1:13" ht="15">
      <c r="A1711" t="s">
        <v>5987</v>
      </c>
      <c r="B1711" s="1040" t="str">
        <f>CONCATENATE(LEFT(RIGHT(CONCATENATE("000",IFAData_TEA_1718!A1711),6),3),"-",(RIGHT(RIGHT(CONCATENATE("000",IFAData_TEA_1718!A1711),6),3)))</f>
        <v>147-903</v>
      </c>
      <c r="C1711" t="s">
        <v>546</v>
      </c>
      <c r="D1711">
        <v>11</v>
      </c>
      <c r="E1711">
        <v>2574</v>
      </c>
      <c r="F1711" t="s">
        <v>8448</v>
      </c>
      <c r="G1711" t="s">
        <v>8448</v>
      </c>
      <c r="H1711">
        <v>141879</v>
      </c>
      <c r="I1711">
        <v>141879</v>
      </c>
      <c r="J1711">
        <v>1</v>
      </c>
      <c r="K1711">
        <v>141879</v>
      </c>
      <c r="L1711">
        <v>141879</v>
      </c>
      <c r="M1711">
        <v>599</v>
      </c>
    </row>
    <row r="1712" spans="1:13" ht="15">
      <c r="A1712" t="s">
        <v>5987</v>
      </c>
      <c r="B1712" s="1040" t="str">
        <f>CONCATENATE(LEFT(RIGHT(CONCATENATE("000",IFAData_TEA_1718!A1712),6),3),"-",(RIGHT(RIGHT(CONCATENATE("000",IFAData_TEA_1718!A1712),6),3)))</f>
        <v>147-903</v>
      </c>
      <c r="C1712" t="s">
        <v>546</v>
      </c>
      <c r="D1712">
        <v>11</v>
      </c>
      <c r="E1712">
        <v>2573</v>
      </c>
      <c r="F1712" t="s">
        <v>8449</v>
      </c>
      <c r="G1712" t="s">
        <v>8449</v>
      </c>
      <c r="H1712">
        <v>65066</v>
      </c>
      <c r="I1712">
        <v>65066</v>
      </c>
      <c r="J1712">
        <v>1</v>
      </c>
      <c r="K1712">
        <v>65066</v>
      </c>
      <c r="L1712">
        <v>65066</v>
      </c>
      <c r="M1712">
        <v>599</v>
      </c>
    </row>
    <row r="1713" spans="1:13" ht="15">
      <c r="A1713" t="s">
        <v>5987</v>
      </c>
      <c r="B1713" s="1040" t="str">
        <f>CONCATENATE(LEFT(RIGHT(CONCATENATE("000",IFAData_TEA_1718!A1713),6),3),"-",(RIGHT(RIGHT(CONCATENATE("000",IFAData_TEA_1718!A1713),6),3)))</f>
        <v>147-903</v>
      </c>
      <c r="C1713" t="s">
        <v>546</v>
      </c>
      <c r="D1713">
        <v>11</v>
      </c>
      <c r="E1713">
        <v>2575</v>
      </c>
      <c r="F1713" t="s">
        <v>8450</v>
      </c>
      <c r="G1713" t="s">
        <v>8450</v>
      </c>
      <c r="H1713">
        <v>123874</v>
      </c>
      <c r="I1713">
        <v>253504</v>
      </c>
      <c r="J1713">
        <v>1</v>
      </c>
      <c r="K1713">
        <v>123874</v>
      </c>
      <c r="L1713">
        <v>123874</v>
      </c>
      <c r="M1713">
        <v>599</v>
      </c>
    </row>
    <row r="1714" spans="1:13" ht="15">
      <c r="A1714" t="s">
        <v>5163</v>
      </c>
      <c r="B1714" s="1040" t="str">
        <f>CONCATENATE(LEFT(RIGHT(CONCATENATE("000",IFAData_TEA_1718!A1714),6),3),"-",(RIGHT(RIGHT(CONCATENATE("000",IFAData_TEA_1718!A1714),6),3)))</f>
        <v>152-901</v>
      </c>
      <c r="C1714" t="s">
        <v>586</v>
      </c>
      <c r="D1714">
        <v>1</v>
      </c>
      <c r="E1714">
        <v>2040</v>
      </c>
      <c r="F1714" t="s">
        <v>5164</v>
      </c>
      <c r="G1714" t="s">
        <v>5164</v>
      </c>
      <c r="H1714">
        <v>112803</v>
      </c>
      <c r="I1714">
        <v>0</v>
      </c>
      <c r="J1714">
        <v>0</v>
      </c>
      <c r="K1714"/>
      <c r="L1714">
        <v>0</v>
      </c>
      <c r="M1714">
        <v>599</v>
      </c>
    </row>
    <row r="1715" spans="1:13" ht="15">
      <c r="A1715" t="s">
        <v>5995</v>
      </c>
      <c r="B1715" s="1040" t="str">
        <f>CONCATENATE(LEFT(RIGHT(CONCATENATE("000",IFAData_TEA_1718!A1715),6),3),"-",(RIGHT(RIGHT(CONCATENATE("000",IFAData_TEA_1718!A1715),6),3)))</f>
        <v>152-903</v>
      </c>
      <c r="C1715" t="s">
        <v>555</v>
      </c>
      <c r="D1715">
        <v>11</v>
      </c>
      <c r="E1715">
        <v>2541</v>
      </c>
      <c r="F1715" t="s">
        <v>8451</v>
      </c>
      <c r="G1715" t="s">
        <v>8451</v>
      </c>
      <c r="H1715">
        <v>290364</v>
      </c>
      <c r="I1715">
        <v>736912</v>
      </c>
      <c r="J1715">
        <v>1</v>
      </c>
      <c r="K1715">
        <v>290364</v>
      </c>
      <c r="L1715">
        <v>290364</v>
      </c>
      <c r="M1715">
        <v>599</v>
      </c>
    </row>
    <row r="1716" spans="1:13" ht="15">
      <c r="A1716" t="s">
        <v>3627</v>
      </c>
      <c r="B1716" s="1040" t="str">
        <f>CONCATENATE(LEFT(RIGHT(CONCATENATE("000",IFAData_TEA_1718!A1716),6),3),"-",(RIGHT(RIGHT(CONCATENATE("000",IFAData_TEA_1718!A1716),6),3)))</f>
        <v>152-906</v>
      </c>
      <c r="C1716" t="s">
        <v>587</v>
      </c>
      <c r="D1716">
        <v>5</v>
      </c>
      <c r="E1716">
        <v>2041</v>
      </c>
      <c r="F1716" t="s">
        <v>5165</v>
      </c>
      <c r="G1716" t="s">
        <v>5165</v>
      </c>
      <c r="H1716">
        <v>445840</v>
      </c>
      <c r="I1716">
        <v>0</v>
      </c>
      <c r="J1716">
        <v>0</v>
      </c>
      <c r="K1716">
        <v>0</v>
      </c>
      <c r="L1716">
        <v>0</v>
      </c>
      <c r="M1716">
        <v>599</v>
      </c>
    </row>
    <row r="1717" spans="1:13" ht="15">
      <c r="A1717" t="s">
        <v>3627</v>
      </c>
      <c r="B1717" s="1040" t="str">
        <f>CONCATENATE(LEFT(RIGHT(CONCATENATE("000",IFAData_TEA_1718!A1717),6),3),"-",(RIGHT(RIGHT(CONCATENATE("000",IFAData_TEA_1718!A1717),6),3)))</f>
        <v>152-906</v>
      </c>
      <c r="C1717" t="s">
        <v>587</v>
      </c>
      <c r="D1717">
        <v>5</v>
      </c>
      <c r="E1717">
        <v>2041</v>
      </c>
      <c r="F1717" t="s">
        <v>5165</v>
      </c>
      <c r="G1717" t="s">
        <v>5166</v>
      </c>
      <c r="H1717">
        <v>445840</v>
      </c>
      <c r="I1717">
        <v>666300</v>
      </c>
      <c r="J1717">
        <v>1</v>
      </c>
      <c r="K1717">
        <v>445840</v>
      </c>
      <c r="L1717">
        <v>445840</v>
      </c>
      <c r="M1717">
        <v>599</v>
      </c>
    </row>
    <row r="1718" spans="1:13" ht="15">
      <c r="A1718" t="s">
        <v>3628</v>
      </c>
      <c r="B1718" s="1040" t="str">
        <f>CONCATENATE(LEFT(RIGHT(CONCATENATE("000",IFAData_TEA_1718!A1718),6),3),"-",(RIGHT(RIGHT(CONCATENATE("000",IFAData_TEA_1718!A1718),6),3)))</f>
        <v>152-907</v>
      </c>
      <c r="C1718" t="s">
        <v>2303</v>
      </c>
      <c r="D1718">
        <v>1</v>
      </c>
      <c r="E1718">
        <v>1825</v>
      </c>
      <c r="F1718" t="s">
        <v>5167</v>
      </c>
      <c r="G1718" t="s">
        <v>5167</v>
      </c>
      <c r="H1718">
        <v>125335</v>
      </c>
      <c r="I1718">
        <v>0</v>
      </c>
      <c r="J1718">
        <v>0</v>
      </c>
      <c r="K1718"/>
      <c r="L1718">
        <v>0</v>
      </c>
      <c r="M1718">
        <v>599</v>
      </c>
    </row>
    <row r="1719" spans="1:13" ht="15">
      <c r="A1719" t="s">
        <v>3628</v>
      </c>
      <c r="B1719" s="1040" t="str">
        <f>CONCATENATE(LEFT(RIGHT(CONCATENATE("000",IFAData_TEA_1718!A1719),6),3),"-",(RIGHT(RIGHT(CONCATENATE("000",IFAData_TEA_1718!A1719),6),3)))</f>
        <v>152-907</v>
      </c>
      <c r="C1719" t="s">
        <v>2303</v>
      </c>
      <c r="D1719">
        <v>2</v>
      </c>
      <c r="E1719">
        <v>1826</v>
      </c>
      <c r="F1719" t="s">
        <v>5169</v>
      </c>
      <c r="G1719" t="s">
        <v>5169</v>
      </c>
      <c r="H1719">
        <v>596622</v>
      </c>
      <c r="I1719">
        <v>0</v>
      </c>
      <c r="J1719">
        <v>0</v>
      </c>
      <c r="K1719"/>
      <c r="L1719">
        <v>0</v>
      </c>
      <c r="M1719">
        <v>599</v>
      </c>
    </row>
    <row r="1720" spans="1:13" ht="15">
      <c r="A1720" t="s">
        <v>3628</v>
      </c>
      <c r="B1720" s="1040" t="str">
        <f>CONCATENATE(LEFT(RIGHT(CONCATENATE("000",IFAData_TEA_1718!A1720),6),3),"-",(RIGHT(RIGHT(CONCATENATE("000",IFAData_TEA_1718!A1720),6),3)))</f>
        <v>152-907</v>
      </c>
      <c r="C1720" t="s">
        <v>2303</v>
      </c>
      <c r="D1720">
        <v>9</v>
      </c>
      <c r="E1720">
        <v>1828</v>
      </c>
      <c r="F1720" t="s">
        <v>5171</v>
      </c>
      <c r="G1720" t="s">
        <v>5171</v>
      </c>
      <c r="H1720">
        <v>1482602</v>
      </c>
      <c r="I1720">
        <v>0</v>
      </c>
      <c r="J1720">
        <v>0</v>
      </c>
      <c r="K1720">
        <v>0</v>
      </c>
      <c r="L1720">
        <v>0</v>
      </c>
      <c r="M1720">
        <v>599</v>
      </c>
    </row>
    <row r="1721" spans="1:13" ht="15">
      <c r="A1721" t="s">
        <v>3628</v>
      </c>
      <c r="B1721" s="1040" t="str">
        <f>CONCATENATE(LEFT(RIGHT(CONCATENATE("000",IFAData_TEA_1718!A1721),6),3),"-",(RIGHT(RIGHT(CONCATENATE("000",IFAData_TEA_1718!A1721),6),3)))</f>
        <v>152-907</v>
      </c>
      <c r="C1721" t="s">
        <v>2303</v>
      </c>
      <c r="D1721">
        <v>9</v>
      </c>
      <c r="E1721">
        <v>1828</v>
      </c>
      <c r="F1721" t="s">
        <v>5171</v>
      </c>
      <c r="G1721" t="s">
        <v>6292</v>
      </c>
      <c r="H1721">
        <v>1482602</v>
      </c>
      <c r="I1721">
        <v>4009236</v>
      </c>
      <c r="J1721">
        <v>1</v>
      </c>
      <c r="K1721">
        <v>1482602</v>
      </c>
      <c r="L1721">
        <v>1482602</v>
      </c>
      <c r="M1721">
        <v>599</v>
      </c>
    </row>
    <row r="1722" spans="1:13" ht="15">
      <c r="A1722" t="s">
        <v>3628</v>
      </c>
      <c r="B1722" s="1040" t="str">
        <f>CONCATENATE(LEFT(RIGHT(CONCATENATE("000",IFAData_TEA_1718!A1722),6),3),"-",(RIGHT(RIGHT(CONCATENATE("000",IFAData_TEA_1718!A1722),6),3)))</f>
        <v>152-907</v>
      </c>
      <c r="C1722" t="s">
        <v>2303</v>
      </c>
      <c r="D1722">
        <v>10</v>
      </c>
      <c r="E1722">
        <v>1827</v>
      </c>
      <c r="F1722" t="s">
        <v>5172</v>
      </c>
      <c r="G1722" t="s">
        <v>5172</v>
      </c>
      <c r="H1722">
        <v>664408</v>
      </c>
      <c r="I1722">
        <v>221908</v>
      </c>
      <c r="J1722">
        <v>0.41462553321088702</v>
      </c>
      <c r="K1722">
        <v>275480.52126957901</v>
      </c>
      <c r="L1722">
        <v>221908</v>
      </c>
      <c r="M1722">
        <v>599</v>
      </c>
    </row>
    <row r="1723" spans="1:13" ht="15">
      <c r="A1723" t="s">
        <v>3628</v>
      </c>
      <c r="B1723" s="1040" t="str">
        <f>CONCATENATE(LEFT(RIGHT(CONCATENATE("000",IFAData_TEA_1718!A1723),6),3),"-",(RIGHT(RIGHT(CONCATENATE("000",IFAData_TEA_1718!A1723),6),3)))</f>
        <v>152-907</v>
      </c>
      <c r="C1723" t="s">
        <v>2303</v>
      </c>
      <c r="D1723">
        <v>10</v>
      </c>
      <c r="E1723">
        <v>1827</v>
      </c>
      <c r="F1723" t="s">
        <v>5172</v>
      </c>
      <c r="G1723" t="s">
        <v>6500</v>
      </c>
      <c r="H1723">
        <v>664408</v>
      </c>
      <c r="I1723">
        <v>313293</v>
      </c>
      <c r="J1723">
        <v>0.58537446678911298</v>
      </c>
      <c r="K1723">
        <v>388927.47873042099</v>
      </c>
      <c r="L1723">
        <v>313293</v>
      </c>
      <c r="M1723">
        <v>599</v>
      </c>
    </row>
    <row r="1724" spans="1:13" ht="15">
      <c r="A1724" t="s">
        <v>3629</v>
      </c>
      <c r="B1724" s="1040" t="str">
        <f>CONCATENATE(LEFT(RIGHT(CONCATENATE("000",IFAData_TEA_1718!A1724),6),3),"-",(RIGHT(RIGHT(CONCATENATE("000",IFAData_TEA_1718!A1724),6),3)))</f>
        <v>152-909</v>
      </c>
      <c r="C1724" t="s">
        <v>1248</v>
      </c>
      <c r="D1724">
        <v>2</v>
      </c>
      <c r="E1724">
        <v>2325</v>
      </c>
      <c r="F1724" t="s">
        <v>5173</v>
      </c>
      <c r="G1724" t="s">
        <v>5173</v>
      </c>
      <c r="H1724">
        <v>281008</v>
      </c>
      <c r="I1724">
        <v>0</v>
      </c>
      <c r="J1724">
        <v>0</v>
      </c>
      <c r="K1724">
        <v>0</v>
      </c>
      <c r="L1724">
        <v>0</v>
      </c>
      <c r="M1724">
        <v>599</v>
      </c>
    </row>
    <row r="1725" spans="1:13" ht="15">
      <c r="A1725" t="s">
        <v>3629</v>
      </c>
      <c r="B1725" s="1040" t="str">
        <f>CONCATENATE(LEFT(RIGHT(CONCATENATE("000",IFAData_TEA_1718!A1725),6),3),"-",(RIGHT(RIGHT(CONCATENATE("000",IFAData_TEA_1718!A1725),6),3)))</f>
        <v>152-909</v>
      </c>
      <c r="C1725" t="s">
        <v>1248</v>
      </c>
      <c r="D1725">
        <v>2</v>
      </c>
      <c r="E1725">
        <v>2325</v>
      </c>
      <c r="F1725" t="s">
        <v>5173</v>
      </c>
      <c r="G1725" t="s">
        <v>5174</v>
      </c>
      <c r="H1725">
        <v>281008</v>
      </c>
      <c r="I1725">
        <v>204777</v>
      </c>
      <c r="J1725">
        <v>0.57115881839404903</v>
      </c>
      <c r="K1725">
        <v>160500.197239275</v>
      </c>
      <c r="L1725">
        <v>160500.197239275</v>
      </c>
      <c r="M1725">
        <v>599</v>
      </c>
    </row>
    <row r="1726" spans="1:13" ht="15">
      <c r="A1726" t="s">
        <v>3629</v>
      </c>
      <c r="B1726" s="1040" t="str">
        <f>CONCATENATE(LEFT(RIGHT(CONCATENATE("000",IFAData_TEA_1718!A1726),6),3),"-",(RIGHT(RIGHT(CONCATENATE("000",IFAData_TEA_1718!A1726),6),3)))</f>
        <v>152-909</v>
      </c>
      <c r="C1726" t="s">
        <v>1248</v>
      </c>
      <c r="D1726">
        <v>2</v>
      </c>
      <c r="E1726">
        <v>2325</v>
      </c>
      <c r="F1726" t="s">
        <v>5173</v>
      </c>
      <c r="G1726" t="s">
        <v>5175</v>
      </c>
      <c r="H1726">
        <v>281008</v>
      </c>
      <c r="I1726">
        <v>51267</v>
      </c>
      <c r="J1726">
        <v>0.14299261705468699</v>
      </c>
      <c r="K1726">
        <v>40182.069333303603</v>
      </c>
      <c r="L1726">
        <v>40182.069333303603</v>
      </c>
      <c r="M1726">
        <v>599</v>
      </c>
    </row>
    <row r="1727" spans="1:13" ht="15">
      <c r="A1727" t="s">
        <v>3629</v>
      </c>
      <c r="B1727" s="1040" t="str">
        <f>CONCATENATE(LEFT(RIGHT(CONCATENATE("000",IFAData_TEA_1718!A1727),6),3),"-",(RIGHT(RIGHT(CONCATENATE("000",IFAData_TEA_1718!A1727),6),3)))</f>
        <v>152-909</v>
      </c>
      <c r="C1727" t="s">
        <v>1248</v>
      </c>
      <c r="D1727">
        <v>2</v>
      </c>
      <c r="E1727">
        <v>2325</v>
      </c>
      <c r="F1727" t="s">
        <v>5173</v>
      </c>
      <c r="G1727" t="s">
        <v>8452</v>
      </c>
      <c r="H1727">
        <v>281008</v>
      </c>
      <c r="I1727">
        <v>102485</v>
      </c>
      <c r="J1727">
        <v>0.28584856455126401</v>
      </c>
      <c r="K1727">
        <v>80325.733427421495</v>
      </c>
      <c r="L1727">
        <v>80325.733427421495</v>
      </c>
      <c r="M1727">
        <v>599</v>
      </c>
    </row>
    <row r="1728" spans="1:13" ht="15">
      <c r="A1728" t="s">
        <v>3629</v>
      </c>
      <c r="B1728" s="1040" t="str">
        <f>CONCATENATE(LEFT(RIGHT(CONCATENATE("000",IFAData_TEA_1718!A1728),6),3),"-",(RIGHT(RIGHT(CONCATENATE("000",IFAData_TEA_1718!A1728),6),3)))</f>
        <v>152-909</v>
      </c>
      <c r="C1728" t="s">
        <v>1248</v>
      </c>
      <c r="D1728">
        <v>5</v>
      </c>
      <c r="E1728">
        <v>2326</v>
      </c>
      <c r="F1728" t="s">
        <v>5176</v>
      </c>
      <c r="G1728" t="s">
        <v>5176</v>
      </c>
      <c r="H1728">
        <v>289979</v>
      </c>
      <c r="I1728">
        <v>0</v>
      </c>
      <c r="J1728">
        <v>0</v>
      </c>
      <c r="K1728">
        <v>0</v>
      </c>
      <c r="L1728">
        <v>0</v>
      </c>
      <c r="M1728">
        <v>599</v>
      </c>
    </row>
    <row r="1729" spans="1:13" ht="15">
      <c r="A1729" t="s">
        <v>3629</v>
      </c>
      <c r="B1729" s="1040" t="str">
        <f>CONCATENATE(LEFT(RIGHT(CONCATENATE("000",IFAData_TEA_1718!A1729),6),3),"-",(RIGHT(RIGHT(CONCATENATE("000",IFAData_TEA_1718!A1729),6),3)))</f>
        <v>152-909</v>
      </c>
      <c r="C1729" t="s">
        <v>1248</v>
      </c>
      <c r="D1729">
        <v>5</v>
      </c>
      <c r="E1729">
        <v>2326</v>
      </c>
      <c r="F1729" t="s">
        <v>5176</v>
      </c>
      <c r="G1729" t="s">
        <v>5174</v>
      </c>
      <c r="H1729">
        <v>289979</v>
      </c>
      <c r="I1729">
        <v>130473</v>
      </c>
      <c r="J1729">
        <v>0.26527313538439001</v>
      </c>
      <c r="K1729">
        <v>76923.6385256301</v>
      </c>
      <c r="L1729">
        <v>76923.6385256301</v>
      </c>
      <c r="M1729">
        <v>599</v>
      </c>
    </row>
    <row r="1730" spans="1:13" ht="15">
      <c r="A1730" t="s">
        <v>3629</v>
      </c>
      <c r="B1730" s="1040" t="str">
        <f>CONCATENATE(LEFT(RIGHT(CONCATENATE("000",IFAData_TEA_1718!A1730),6),3),"-",(RIGHT(RIGHT(CONCATENATE("000",IFAData_TEA_1718!A1730),6),3)))</f>
        <v>152-909</v>
      </c>
      <c r="C1730" t="s">
        <v>1248</v>
      </c>
      <c r="D1730">
        <v>5</v>
      </c>
      <c r="E1730">
        <v>2326</v>
      </c>
      <c r="F1730" t="s">
        <v>5176</v>
      </c>
      <c r="G1730" t="s">
        <v>5175</v>
      </c>
      <c r="H1730">
        <v>289979</v>
      </c>
      <c r="I1730">
        <v>138833</v>
      </c>
      <c r="J1730">
        <v>0.28227039467798698</v>
      </c>
      <c r="K1730">
        <v>81852.486778328093</v>
      </c>
      <c r="L1730">
        <v>81852.486778328093</v>
      </c>
      <c r="M1730">
        <v>599</v>
      </c>
    </row>
    <row r="1731" spans="1:13" ht="15">
      <c r="A1731" t="s">
        <v>3629</v>
      </c>
      <c r="B1731" s="1040" t="str">
        <f>CONCATENATE(LEFT(RIGHT(CONCATENATE("000",IFAData_TEA_1718!A1731),6),3),"-",(RIGHT(RIGHT(CONCATENATE("000",IFAData_TEA_1718!A1731),6),3)))</f>
        <v>152-909</v>
      </c>
      <c r="C1731" t="s">
        <v>1248</v>
      </c>
      <c r="D1731">
        <v>5</v>
      </c>
      <c r="E1731">
        <v>2326</v>
      </c>
      <c r="F1731" t="s">
        <v>5176</v>
      </c>
      <c r="G1731" t="s">
        <v>8452</v>
      </c>
      <c r="H1731">
        <v>289979</v>
      </c>
      <c r="I1731">
        <v>222538</v>
      </c>
      <c r="J1731">
        <v>0.45245646993762301</v>
      </c>
      <c r="K1731">
        <v>131202.87469604201</v>
      </c>
      <c r="L1731">
        <v>131202.87469604201</v>
      </c>
      <c r="M1731">
        <v>599</v>
      </c>
    </row>
    <row r="1732" spans="1:13" ht="15">
      <c r="A1732" t="s">
        <v>3630</v>
      </c>
      <c r="B1732" s="1040" t="str">
        <f>CONCATENATE(LEFT(RIGHT(CONCATENATE("000",IFAData_TEA_1718!A1732),6),3),"-",(RIGHT(RIGHT(CONCATENATE("000",IFAData_TEA_1718!A1732),6),3)))</f>
        <v>152-910</v>
      </c>
      <c r="C1732" t="s">
        <v>557</v>
      </c>
      <c r="D1732">
        <v>10</v>
      </c>
      <c r="E1732">
        <v>1923</v>
      </c>
      <c r="F1732" t="s">
        <v>5177</v>
      </c>
      <c r="G1732" t="s">
        <v>5177</v>
      </c>
      <c r="H1732">
        <v>220668</v>
      </c>
      <c r="I1732">
        <v>528724</v>
      </c>
      <c r="J1732">
        <v>0.66221121161491003</v>
      </c>
      <c r="K1732">
        <v>146128.82364463899</v>
      </c>
      <c r="L1732">
        <v>146128.82364463899</v>
      </c>
      <c r="M1732">
        <v>599</v>
      </c>
    </row>
    <row r="1733" spans="1:13" ht="15">
      <c r="A1733" t="s">
        <v>3630</v>
      </c>
      <c r="B1733" s="1040" t="str">
        <f>CONCATENATE(LEFT(RIGHT(CONCATENATE("000",IFAData_TEA_1718!A1733),6),3),"-",(RIGHT(RIGHT(CONCATENATE("000",IFAData_TEA_1718!A1733),6),3)))</f>
        <v>152-910</v>
      </c>
      <c r="C1733" t="s">
        <v>557</v>
      </c>
      <c r="D1733">
        <v>10</v>
      </c>
      <c r="E1733">
        <v>1923</v>
      </c>
      <c r="F1733" t="s">
        <v>5177</v>
      </c>
      <c r="G1733" t="s">
        <v>6501</v>
      </c>
      <c r="H1733">
        <v>220668</v>
      </c>
      <c r="I1733">
        <v>269698</v>
      </c>
      <c r="J1733">
        <v>0.33778878838509002</v>
      </c>
      <c r="K1733">
        <v>74539.176355360905</v>
      </c>
      <c r="L1733">
        <v>74539.176355360905</v>
      </c>
      <c r="M1733">
        <v>599</v>
      </c>
    </row>
    <row r="1734" spans="1:13" ht="15">
      <c r="A1734" t="s">
        <v>3631</v>
      </c>
      <c r="B1734" s="1040" t="str">
        <f>CONCATENATE(LEFT(RIGHT(CONCATENATE("000",IFAData_TEA_1718!A1734),6),3),"-",(RIGHT(RIGHT(CONCATENATE("000",IFAData_TEA_1718!A1734),6),3)))</f>
        <v>154-901</v>
      </c>
      <c r="C1734" t="s">
        <v>37</v>
      </c>
      <c r="D1734">
        <v>3</v>
      </c>
      <c r="E1734">
        <v>2049</v>
      </c>
      <c r="F1734" t="s">
        <v>5178</v>
      </c>
      <c r="G1734" t="s">
        <v>5178</v>
      </c>
      <c r="H1734">
        <v>471642</v>
      </c>
      <c r="I1734">
        <v>0</v>
      </c>
      <c r="J1734">
        <v>0</v>
      </c>
      <c r="K1734">
        <v>0</v>
      </c>
      <c r="L1734">
        <v>0</v>
      </c>
      <c r="M1734">
        <v>599</v>
      </c>
    </row>
    <row r="1735" spans="1:13" ht="15">
      <c r="A1735" t="s">
        <v>3631</v>
      </c>
      <c r="B1735" s="1040" t="str">
        <f>CONCATENATE(LEFT(RIGHT(CONCATENATE("000",IFAData_TEA_1718!A1735),6),3),"-",(RIGHT(RIGHT(CONCATENATE("000",IFAData_TEA_1718!A1735),6),3)))</f>
        <v>154-901</v>
      </c>
      <c r="C1735" t="s">
        <v>37</v>
      </c>
      <c r="D1735">
        <v>3</v>
      </c>
      <c r="E1735">
        <v>2049</v>
      </c>
      <c r="F1735" t="s">
        <v>5178</v>
      </c>
      <c r="G1735" t="s">
        <v>5179</v>
      </c>
      <c r="H1735">
        <v>471642</v>
      </c>
      <c r="I1735">
        <v>0</v>
      </c>
      <c r="J1735">
        <v>0</v>
      </c>
      <c r="K1735">
        <v>0</v>
      </c>
      <c r="L1735">
        <v>0</v>
      </c>
      <c r="M1735">
        <v>599</v>
      </c>
    </row>
    <row r="1736" spans="1:13" ht="15">
      <c r="A1736" t="s">
        <v>3631</v>
      </c>
      <c r="B1736" s="1040" t="str">
        <f>CONCATENATE(LEFT(RIGHT(CONCATENATE("000",IFAData_TEA_1718!A1736),6),3),"-",(RIGHT(RIGHT(CONCATENATE("000",IFAData_TEA_1718!A1736),6),3)))</f>
        <v>154-901</v>
      </c>
      <c r="C1736" t="s">
        <v>37</v>
      </c>
      <c r="D1736">
        <v>3</v>
      </c>
      <c r="E1736">
        <v>2049</v>
      </c>
      <c r="F1736" t="s">
        <v>5178</v>
      </c>
      <c r="G1736" t="s">
        <v>8453</v>
      </c>
      <c r="H1736">
        <v>471642</v>
      </c>
      <c r="I1736">
        <v>404293</v>
      </c>
      <c r="J1736">
        <v>1</v>
      </c>
      <c r="K1736">
        <v>471642</v>
      </c>
      <c r="L1736">
        <v>404293</v>
      </c>
      <c r="M1736">
        <v>599</v>
      </c>
    </row>
    <row r="1737" spans="1:13" ht="15">
      <c r="A1737" t="s">
        <v>3631</v>
      </c>
      <c r="B1737" s="1040" t="str">
        <f>CONCATENATE(LEFT(RIGHT(CONCATENATE("000",IFAData_TEA_1718!A1737),6),3),"-",(RIGHT(RIGHT(CONCATENATE("000",IFAData_TEA_1718!A1737),6),3)))</f>
        <v>154-901</v>
      </c>
      <c r="C1737" t="s">
        <v>37</v>
      </c>
      <c r="D1737">
        <v>6</v>
      </c>
      <c r="E1737">
        <v>2050</v>
      </c>
      <c r="F1737" t="s">
        <v>5180</v>
      </c>
      <c r="G1737" t="s">
        <v>5180</v>
      </c>
      <c r="H1737">
        <v>471900</v>
      </c>
      <c r="I1737">
        <v>0</v>
      </c>
      <c r="J1737">
        <v>0</v>
      </c>
      <c r="K1737">
        <v>0</v>
      </c>
      <c r="L1737">
        <v>0</v>
      </c>
      <c r="M1737">
        <v>599</v>
      </c>
    </row>
    <row r="1738" spans="1:13" ht="15">
      <c r="A1738" t="s">
        <v>3631</v>
      </c>
      <c r="B1738" s="1040" t="str">
        <f>CONCATENATE(LEFT(RIGHT(CONCATENATE("000",IFAData_TEA_1718!A1738),6),3),"-",(RIGHT(RIGHT(CONCATENATE("000",IFAData_TEA_1718!A1738),6),3)))</f>
        <v>154-901</v>
      </c>
      <c r="C1738" t="s">
        <v>37</v>
      </c>
      <c r="D1738">
        <v>6</v>
      </c>
      <c r="E1738">
        <v>2050</v>
      </c>
      <c r="F1738" t="s">
        <v>5180</v>
      </c>
      <c r="G1738" t="s">
        <v>5181</v>
      </c>
      <c r="H1738">
        <v>471900</v>
      </c>
      <c r="I1738">
        <v>443180</v>
      </c>
      <c r="J1738">
        <v>1</v>
      </c>
      <c r="K1738">
        <v>471900</v>
      </c>
      <c r="L1738">
        <v>443180</v>
      </c>
      <c r="M1738">
        <v>599</v>
      </c>
    </row>
    <row r="1739" spans="1:13" ht="15">
      <c r="A1739" t="s">
        <v>3632</v>
      </c>
      <c r="B1739" s="1040" t="str">
        <f>CONCATENATE(LEFT(RIGHT(CONCATENATE("000",IFAData_TEA_1718!A1739),6),3),"-",(RIGHT(RIGHT(CONCATENATE("000",IFAData_TEA_1718!A1739),6),3)))</f>
        <v>154-903</v>
      </c>
      <c r="C1739" t="s">
        <v>562</v>
      </c>
      <c r="D1739">
        <v>9</v>
      </c>
      <c r="E1739">
        <v>2150</v>
      </c>
      <c r="F1739" t="s">
        <v>5182</v>
      </c>
      <c r="G1739" t="s">
        <v>5182</v>
      </c>
      <c r="H1739">
        <v>100000</v>
      </c>
      <c r="I1739">
        <v>0</v>
      </c>
      <c r="J1739">
        <v>0</v>
      </c>
      <c r="K1739">
        <v>0</v>
      </c>
      <c r="L1739">
        <v>0</v>
      </c>
      <c r="M1739">
        <v>599</v>
      </c>
    </row>
    <row r="1740" spans="1:13" ht="15">
      <c r="A1740" t="s">
        <v>3632</v>
      </c>
      <c r="B1740" s="1040" t="str">
        <f>CONCATENATE(LEFT(RIGHT(CONCATENATE("000",IFAData_TEA_1718!A1740),6),3),"-",(RIGHT(RIGHT(CONCATENATE("000",IFAData_TEA_1718!A1740),6),3)))</f>
        <v>154-903</v>
      </c>
      <c r="C1740" t="s">
        <v>562</v>
      </c>
      <c r="D1740">
        <v>9</v>
      </c>
      <c r="E1740">
        <v>2150</v>
      </c>
      <c r="F1740" t="s">
        <v>5182</v>
      </c>
      <c r="G1740" t="s">
        <v>5183</v>
      </c>
      <c r="H1740">
        <v>100000</v>
      </c>
      <c r="I1740">
        <v>361728</v>
      </c>
      <c r="J1740">
        <v>1</v>
      </c>
      <c r="K1740">
        <v>100000</v>
      </c>
      <c r="L1740">
        <v>100000</v>
      </c>
      <c r="M1740">
        <v>599</v>
      </c>
    </row>
    <row r="1741" spans="1:13" ht="15">
      <c r="A1741" t="s">
        <v>3633</v>
      </c>
      <c r="B1741" s="1040" t="str">
        <f>CONCATENATE(LEFT(RIGHT(CONCATENATE("000",IFAData_TEA_1718!A1741),6),3),"-",(RIGHT(RIGHT(CONCATENATE("000",IFAData_TEA_1718!A1741),6),3)))</f>
        <v>159-901</v>
      </c>
      <c r="C1741" t="s">
        <v>1062</v>
      </c>
      <c r="D1741">
        <v>1</v>
      </c>
      <c r="E1741">
        <v>1774</v>
      </c>
      <c r="F1741" t="s">
        <v>5184</v>
      </c>
      <c r="G1741" t="s">
        <v>5184</v>
      </c>
      <c r="H1741">
        <v>1514140</v>
      </c>
      <c r="I1741">
        <v>0</v>
      </c>
      <c r="J1741">
        <v>0</v>
      </c>
      <c r="K1741"/>
      <c r="L1741">
        <v>0</v>
      </c>
      <c r="M1741">
        <v>599</v>
      </c>
    </row>
    <row r="1742" spans="1:13" ht="15">
      <c r="A1742" t="s">
        <v>3633</v>
      </c>
      <c r="B1742" s="1040" t="str">
        <f>CONCATENATE(LEFT(RIGHT(CONCATENATE("000",IFAData_TEA_1718!A1742),6),3),"-",(RIGHT(RIGHT(CONCATENATE("000",IFAData_TEA_1718!A1742),6),3)))</f>
        <v>159-901</v>
      </c>
      <c r="C1742" t="s">
        <v>1062</v>
      </c>
      <c r="D1742">
        <v>4</v>
      </c>
      <c r="E1742">
        <v>1773</v>
      </c>
      <c r="F1742" t="s">
        <v>5186</v>
      </c>
      <c r="G1742" t="s">
        <v>5186</v>
      </c>
      <c r="H1742">
        <v>1415215</v>
      </c>
      <c r="I1742">
        <v>0</v>
      </c>
      <c r="J1742">
        <v>0</v>
      </c>
      <c r="K1742">
        <v>0</v>
      </c>
      <c r="L1742">
        <v>0</v>
      </c>
      <c r="M1742">
        <v>599</v>
      </c>
    </row>
    <row r="1743" spans="1:13" ht="15">
      <c r="A1743" t="s">
        <v>3633</v>
      </c>
      <c r="B1743" s="1040" t="str">
        <f>CONCATENATE(LEFT(RIGHT(CONCATENATE("000",IFAData_TEA_1718!A1743),6),3),"-",(RIGHT(RIGHT(CONCATENATE("000",IFAData_TEA_1718!A1743),6),3)))</f>
        <v>159-901</v>
      </c>
      <c r="C1743" t="s">
        <v>1062</v>
      </c>
      <c r="D1743">
        <v>4</v>
      </c>
      <c r="E1743">
        <v>1773</v>
      </c>
      <c r="F1743" t="s">
        <v>5186</v>
      </c>
      <c r="G1743" t="s">
        <v>5185</v>
      </c>
      <c r="H1743">
        <v>1415215</v>
      </c>
      <c r="I1743">
        <v>0</v>
      </c>
      <c r="J1743">
        <v>0</v>
      </c>
      <c r="K1743">
        <v>0</v>
      </c>
      <c r="L1743">
        <v>0</v>
      </c>
      <c r="M1743">
        <v>599</v>
      </c>
    </row>
    <row r="1744" spans="1:13" ht="15">
      <c r="A1744" t="s">
        <v>3633</v>
      </c>
      <c r="B1744" s="1040" t="str">
        <f>CONCATENATE(LEFT(RIGHT(CONCATENATE("000",IFAData_TEA_1718!A1744),6),3),"-",(RIGHT(RIGHT(CONCATENATE("000",IFAData_TEA_1718!A1744),6),3)))</f>
        <v>159-901</v>
      </c>
      <c r="C1744" t="s">
        <v>1062</v>
      </c>
      <c r="D1744">
        <v>4</v>
      </c>
      <c r="E1744">
        <v>1773</v>
      </c>
      <c r="F1744" t="s">
        <v>5186</v>
      </c>
      <c r="G1744" t="s">
        <v>6293</v>
      </c>
      <c r="H1744">
        <v>1415215</v>
      </c>
      <c r="I1744">
        <v>1217400</v>
      </c>
      <c r="J1744">
        <v>1</v>
      </c>
      <c r="K1744">
        <v>1415215</v>
      </c>
      <c r="L1744">
        <v>1217400</v>
      </c>
      <c r="M1744">
        <v>599</v>
      </c>
    </row>
    <row r="1745" spans="1:13" ht="15">
      <c r="A1745" t="s">
        <v>3633</v>
      </c>
      <c r="B1745" s="1040" t="str">
        <f>CONCATENATE(LEFT(RIGHT(CONCATENATE("000",IFAData_TEA_1718!A1745),6),3),"-",(RIGHT(RIGHT(CONCATENATE("000",IFAData_TEA_1718!A1745),6),3)))</f>
        <v>159-901</v>
      </c>
      <c r="C1745" t="s">
        <v>1062</v>
      </c>
      <c r="D1745">
        <v>9</v>
      </c>
      <c r="E1745">
        <v>1775</v>
      </c>
      <c r="F1745" t="s">
        <v>5187</v>
      </c>
      <c r="G1745" t="s">
        <v>5187</v>
      </c>
      <c r="H1745">
        <v>1955528</v>
      </c>
      <c r="I1745">
        <v>766500</v>
      </c>
      <c r="J1745">
        <v>0.43320993585214901</v>
      </c>
      <c r="K1745">
        <v>847154.15943708096</v>
      </c>
      <c r="L1745">
        <v>766500</v>
      </c>
      <c r="M1745">
        <v>599</v>
      </c>
    </row>
    <row r="1746" spans="1:13" ht="15">
      <c r="A1746" t="s">
        <v>3633</v>
      </c>
      <c r="B1746" s="1040" t="str">
        <f>CONCATENATE(LEFT(RIGHT(CONCATENATE("000",IFAData_TEA_1718!A1746),6),3),"-",(RIGHT(RIGHT(CONCATENATE("000",IFAData_TEA_1718!A1746),6),3)))</f>
        <v>159-901</v>
      </c>
      <c r="C1746" t="s">
        <v>1062</v>
      </c>
      <c r="D1746">
        <v>9</v>
      </c>
      <c r="E1746">
        <v>1775</v>
      </c>
      <c r="F1746" t="s">
        <v>5187</v>
      </c>
      <c r="G1746" t="s">
        <v>6502</v>
      </c>
      <c r="H1746">
        <v>1955528</v>
      </c>
      <c r="I1746">
        <v>1002850</v>
      </c>
      <c r="J1746">
        <v>0.56679006414785105</v>
      </c>
      <c r="K1746">
        <v>1108373.8405629201</v>
      </c>
      <c r="L1746">
        <v>1002850</v>
      </c>
      <c r="M1746">
        <v>599</v>
      </c>
    </row>
    <row r="1747" spans="1:13" ht="15">
      <c r="A1747" t="s">
        <v>3634</v>
      </c>
      <c r="B1747" s="1040" t="str">
        <f>CONCATENATE(LEFT(RIGHT(CONCATENATE("000",IFAData_TEA_1718!A1747),6),3),"-",(RIGHT(RIGHT(CONCATENATE("000",IFAData_TEA_1718!A1747),6),3)))</f>
        <v>160-901</v>
      </c>
      <c r="C1747" t="s">
        <v>1854</v>
      </c>
      <c r="D1747">
        <v>2</v>
      </c>
      <c r="E1747">
        <v>1632</v>
      </c>
      <c r="F1747" t="s">
        <v>5188</v>
      </c>
      <c r="G1747" t="s">
        <v>5188</v>
      </c>
      <c r="H1747">
        <v>348110</v>
      </c>
      <c r="I1747">
        <v>0</v>
      </c>
      <c r="J1747">
        <v>0</v>
      </c>
      <c r="K1747">
        <v>0</v>
      </c>
      <c r="L1747">
        <v>0</v>
      </c>
      <c r="M1747">
        <v>599</v>
      </c>
    </row>
    <row r="1748" spans="1:13" ht="15">
      <c r="A1748" t="s">
        <v>3634</v>
      </c>
      <c r="B1748" s="1040" t="str">
        <f>CONCATENATE(LEFT(RIGHT(CONCATENATE("000",IFAData_TEA_1718!A1748),6),3),"-",(RIGHT(RIGHT(CONCATENATE("000",IFAData_TEA_1718!A1748),6),3)))</f>
        <v>160-901</v>
      </c>
      <c r="C1748" t="s">
        <v>1854</v>
      </c>
      <c r="D1748">
        <v>2</v>
      </c>
      <c r="E1748">
        <v>1632</v>
      </c>
      <c r="F1748" t="s">
        <v>5188</v>
      </c>
      <c r="G1748" t="s">
        <v>5189</v>
      </c>
      <c r="H1748">
        <v>348110</v>
      </c>
      <c r="I1748">
        <v>0</v>
      </c>
      <c r="J1748">
        <v>0</v>
      </c>
      <c r="K1748">
        <v>0</v>
      </c>
      <c r="L1748">
        <v>0</v>
      </c>
      <c r="M1748">
        <v>599</v>
      </c>
    </row>
    <row r="1749" spans="1:13" ht="15">
      <c r="A1749" t="s">
        <v>3634</v>
      </c>
      <c r="B1749" s="1040" t="str">
        <f>CONCATENATE(LEFT(RIGHT(CONCATENATE("000",IFAData_TEA_1718!A1749),6),3),"-",(RIGHT(RIGHT(CONCATENATE("000",IFAData_TEA_1718!A1749),6),3)))</f>
        <v>160-901</v>
      </c>
      <c r="C1749" t="s">
        <v>1854</v>
      </c>
      <c r="D1749">
        <v>2</v>
      </c>
      <c r="E1749">
        <v>1632</v>
      </c>
      <c r="F1749" t="s">
        <v>5188</v>
      </c>
      <c r="G1749" t="s">
        <v>5190</v>
      </c>
      <c r="H1749">
        <v>348110</v>
      </c>
      <c r="I1749">
        <v>54933</v>
      </c>
      <c r="J1749">
        <v>8.7458446371938406E-2</v>
      </c>
      <c r="K1749">
        <v>30445.1597665355</v>
      </c>
      <c r="L1749">
        <v>30445.1597665355</v>
      </c>
      <c r="M1749">
        <v>599</v>
      </c>
    </row>
    <row r="1750" spans="1:13" ht="15">
      <c r="A1750" t="s">
        <v>3634</v>
      </c>
      <c r="B1750" s="1040" t="str">
        <f>CONCATENATE(LEFT(RIGHT(CONCATENATE("000",IFAData_TEA_1718!A1750),6),3),"-",(RIGHT(RIGHT(CONCATENATE("000",IFAData_TEA_1718!A1750),6),3)))</f>
        <v>160-901</v>
      </c>
      <c r="C1750" t="s">
        <v>1854</v>
      </c>
      <c r="D1750">
        <v>2</v>
      </c>
      <c r="E1750">
        <v>1632</v>
      </c>
      <c r="F1750" t="s">
        <v>5188</v>
      </c>
      <c r="G1750" t="s">
        <v>5191</v>
      </c>
      <c r="H1750">
        <v>348110</v>
      </c>
      <c r="I1750">
        <v>573171</v>
      </c>
      <c r="J1750">
        <v>0.912541553628062</v>
      </c>
      <c r="K1750">
        <v>317664.84023346403</v>
      </c>
      <c r="L1750">
        <v>317664.84023346403</v>
      </c>
      <c r="M1750">
        <v>599</v>
      </c>
    </row>
    <row r="1751" spans="1:13" ht="15">
      <c r="A1751" t="s">
        <v>3634</v>
      </c>
      <c r="B1751" s="1040" t="str">
        <f>CONCATENATE(LEFT(RIGHT(CONCATENATE("000",IFAData_TEA_1718!A1751),6),3),"-",(RIGHT(RIGHT(CONCATENATE("000",IFAData_TEA_1718!A1751),6),3)))</f>
        <v>160-901</v>
      </c>
      <c r="C1751" t="s">
        <v>1854</v>
      </c>
      <c r="D1751">
        <v>9</v>
      </c>
      <c r="E1751">
        <v>1631</v>
      </c>
      <c r="F1751" t="s">
        <v>5192</v>
      </c>
      <c r="G1751" t="s">
        <v>5192</v>
      </c>
      <c r="H1751">
        <v>309622</v>
      </c>
      <c r="I1751">
        <v>0</v>
      </c>
      <c r="J1751">
        <v>0</v>
      </c>
      <c r="K1751">
        <v>0</v>
      </c>
      <c r="L1751">
        <v>0</v>
      </c>
      <c r="M1751">
        <v>599</v>
      </c>
    </row>
    <row r="1752" spans="1:13" ht="15">
      <c r="A1752" t="s">
        <v>3634</v>
      </c>
      <c r="B1752" s="1040" t="str">
        <f>CONCATENATE(LEFT(RIGHT(CONCATENATE("000",IFAData_TEA_1718!A1752),6),3),"-",(RIGHT(RIGHT(CONCATENATE("000",IFAData_TEA_1718!A1752),6),3)))</f>
        <v>160-901</v>
      </c>
      <c r="C1752" t="s">
        <v>1854</v>
      </c>
      <c r="D1752">
        <v>9</v>
      </c>
      <c r="E1752">
        <v>1631</v>
      </c>
      <c r="F1752" t="s">
        <v>5192</v>
      </c>
      <c r="G1752" t="s">
        <v>6294</v>
      </c>
      <c r="H1752">
        <v>309622</v>
      </c>
      <c r="I1752">
        <v>770228</v>
      </c>
      <c r="J1752">
        <v>1</v>
      </c>
      <c r="K1752">
        <v>309622</v>
      </c>
      <c r="L1752">
        <v>309622</v>
      </c>
      <c r="M1752">
        <v>599</v>
      </c>
    </row>
    <row r="1753" spans="1:13" ht="15">
      <c r="A1753" t="s">
        <v>3635</v>
      </c>
      <c r="B1753" s="1040" t="str">
        <f>CONCATENATE(LEFT(RIGHT(CONCATENATE("000",IFAData_TEA_1718!A1753),6),3),"-",(RIGHT(RIGHT(CONCATENATE("000",IFAData_TEA_1718!A1753),6),3)))</f>
        <v>160-905</v>
      </c>
      <c r="C1753" t="s">
        <v>2228</v>
      </c>
      <c r="D1753">
        <v>6</v>
      </c>
      <c r="E1753">
        <v>2032</v>
      </c>
      <c r="F1753" t="s">
        <v>5193</v>
      </c>
      <c r="G1753" t="s">
        <v>5193</v>
      </c>
      <c r="H1753">
        <v>100000</v>
      </c>
      <c r="I1753">
        <v>93230</v>
      </c>
      <c r="J1753">
        <v>1</v>
      </c>
      <c r="K1753">
        <v>100000</v>
      </c>
      <c r="L1753">
        <v>93230</v>
      </c>
      <c r="M1753">
        <v>599</v>
      </c>
    </row>
    <row r="1754" spans="1:13" ht="15">
      <c r="A1754" t="s">
        <v>3636</v>
      </c>
      <c r="B1754" s="1040" t="str">
        <f>CONCATENATE(LEFT(RIGHT(CONCATENATE("000",IFAData_TEA_1718!A1754),6),3),"-",(RIGHT(RIGHT(CONCATENATE("000",IFAData_TEA_1718!A1754),6),3)))</f>
        <v>161-901</v>
      </c>
      <c r="C1754" t="s">
        <v>417</v>
      </c>
      <c r="D1754">
        <v>5</v>
      </c>
      <c r="E1754">
        <v>1731</v>
      </c>
      <c r="F1754" t="s">
        <v>5194</v>
      </c>
      <c r="G1754" t="s">
        <v>5194</v>
      </c>
      <c r="H1754">
        <v>257868</v>
      </c>
      <c r="I1754">
        <v>0</v>
      </c>
      <c r="J1754">
        <v>0</v>
      </c>
      <c r="K1754">
        <v>0</v>
      </c>
      <c r="L1754">
        <v>0</v>
      </c>
      <c r="M1754">
        <v>599</v>
      </c>
    </row>
    <row r="1755" spans="1:13" ht="15">
      <c r="A1755" t="s">
        <v>3636</v>
      </c>
      <c r="B1755" s="1040" t="str">
        <f>CONCATENATE(LEFT(RIGHT(CONCATENATE("000",IFAData_TEA_1718!A1755),6),3),"-",(RIGHT(RIGHT(CONCATENATE("000",IFAData_TEA_1718!A1755),6),3)))</f>
        <v>161-901</v>
      </c>
      <c r="C1755" t="s">
        <v>417</v>
      </c>
      <c r="D1755">
        <v>5</v>
      </c>
      <c r="E1755">
        <v>1731</v>
      </c>
      <c r="F1755" t="s">
        <v>5194</v>
      </c>
      <c r="G1755" t="s">
        <v>5195</v>
      </c>
      <c r="H1755">
        <v>257868</v>
      </c>
      <c r="I1755">
        <v>0</v>
      </c>
      <c r="J1755">
        <v>0</v>
      </c>
      <c r="K1755">
        <v>0</v>
      </c>
      <c r="L1755">
        <v>0</v>
      </c>
      <c r="M1755">
        <v>599</v>
      </c>
    </row>
    <row r="1756" spans="1:13" ht="15">
      <c r="A1756" t="s">
        <v>3636</v>
      </c>
      <c r="B1756" s="1040" t="str">
        <f>CONCATENATE(LEFT(RIGHT(CONCATENATE("000",IFAData_TEA_1718!A1756),6),3),"-",(RIGHT(RIGHT(CONCATENATE("000",IFAData_TEA_1718!A1756),6),3)))</f>
        <v>161-901</v>
      </c>
      <c r="C1756" t="s">
        <v>417</v>
      </c>
      <c r="D1756">
        <v>5</v>
      </c>
      <c r="E1756">
        <v>1731</v>
      </c>
      <c r="F1756" t="s">
        <v>5194</v>
      </c>
      <c r="G1756" t="s">
        <v>6295</v>
      </c>
      <c r="H1756">
        <v>257868</v>
      </c>
      <c r="I1756">
        <v>233150</v>
      </c>
      <c r="J1756">
        <v>1</v>
      </c>
      <c r="K1756">
        <v>257868</v>
      </c>
      <c r="L1756">
        <v>233150</v>
      </c>
      <c r="M1756">
        <v>599</v>
      </c>
    </row>
    <row r="1757" spans="1:13" ht="15">
      <c r="A1757" t="s">
        <v>3637</v>
      </c>
      <c r="B1757" s="1040" t="str">
        <f>CONCATENATE(LEFT(RIGHT(CONCATENATE("000",IFAData_TEA_1718!A1757),6),3),"-",(RIGHT(RIGHT(CONCATENATE("000",IFAData_TEA_1718!A1757),6),3)))</f>
        <v>161-906</v>
      </c>
      <c r="C1757" t="s">
        <v>1899</v>
      </c>
      <c r="D1757">
        <v>5</v>
      </c>
      <c r="E1757">
        <v>1988</v>
      </c>
      <c r="F1757" t="s">
        <v>5196</v>
      </c>
      <c r="G1757" t="s">
        <v>5196</v>
      </c>
      <c r="H1757">
        <v>575000</v>
      </c>
      <c r="I1757">
        <v>0</v>
      </c>
      <c r="J1757">
        <v>0</v>
      </c>
      <c r="K1757">
        <v>0</v>
      </c>
      <c r="L1757">
        <v>0</v>
      </c>
      <c r="M1757">
        <v>599</v>
      </c>
    </row>
    <row r="1758" spans="1:13" ht="15">
      <c r="A1758" t="s">
        <v>3637</v>
      </c>
      <c r="B1758" s="1040" t="str">
        <f>CONCATENATE(LEFT(RIGHT(CONCATENATE("000",IFAData_TEA_1718!A1758),6),3),"-",(RIGHT(RIGHT(CONCATENATE("000",IFAData_TEA_1718!A1758),6),3)))</f>
        <v>161-906</v>
      </c>
      <c r="C1758" t="s">
        <v>1899</v>
      </c>
      <c r="D1758">
        <v>5</v>
      </c>
      <c r="E1758">
        <v>1988</v>
      </c>
      <c r="F1758" t="s">
        <v>5196</v>
      </c>
      <c r="G1758" t="s">
        <v>5197</v>
      </c>
      <c r="H1758">
        <v>575000</v>
      </c>
      <c r="I1758">
        <v>0</v>
      </c>
      <c r="J1758">
        <v>0</v>
      </c>
      <c r="K1758">
        <v>0</v>
      </c>
      <c r="L1758">
        <v>0</v>
      </c>
      <c r="M1758">
        <v>599</v>
      </c>
    </row>
    <row r="1759" spans="1:13" ht="15">
      <c r="A1759" t="s">
        <v>3637</v>
      </c>
      <c r="B1759" s="1040" t="str">
        <f>CONCATENATE(LEFT(RIGHT(CONCATENATE("000",IFAData_TEA_1718!A1759),6),3),"-",(RIGHT(RIGHT(CONCATENATE("000",IFAData_TEA_1718!A1759),6),3)))</f>
        <v>161-906</v>
      </c>
      <c r="C1759" t="s">
        <v>1899</v>
      </c>
      <c r="D1759">
        <v>5</v>
      </c>
      <c r="E1759">
        <v>1988</v>
      </c>
      <c r="F1759" t="s">
        <v>5196</v>
      </c>
      <c r="G1759" t="s">
        <v>6503</v>
      </c>
      <c r="H1759">
        <v>575000</v>
      </c>
      <c r="I1759">
        <v>482700</v>
      </c>
      <c r="J1759">
        <v>1</v>
      </c>
      <c r="K1759">
        <v>575000</v>
      </c>
      <c r="L1759">
        <v>482700</v>
      </c>
      <c r="M1759">
        <v>599</v>
      </c>
    </row>
    <row r="1760" spans="1:13" ht="15">
      <c r="A1760" t="s">
        <v>3637</v>
      </c>
      <c r="B1760" s="1040" t="str">
        <f>CONCATENATE(LEFT(RIGHT(CONCATENATE("000",IFAData_TEA_1718!A1760),6),3),"-",(RIGHT(RIGHT(CONCATENATE("000",IFAData_TEA_1718!A1760),6),3)))</f>
        <v>161-906</v>
      </c>
      <c r="C1760" t="s">
        <v>1899</v>
      </c>
      <c r="D1760">
        <v>10</v>
      </c>
      <c r="E1760">
        <v>1989</v>
      </c>
      <c r="F1760" t="s">
        <v>5198</v>
      </c>
      <c r="G1760" t="s">
        <v>5198</v>
      </c>
      <c r="H1760">
        <v>634429</v>
      </c>
      <c r="I1760">
        <v>578975</v>
      </c>
      <c r="J1760">
        <v>0.62050210326072397</v>
      </c>
      <c r="K1760">
        <v>393664.528869598</v>
      </c>
      <c r="L1760">
        <v>393664.528869598</v>
      </c>
      <c r="M1760">
        <v>599</v>
      </c>
    </row>
    <row r="1761" spans="1:13" ht="15">
      <c r="A1761" t="s">
        <v>3637</v>
      </c>
      <c r="B1761" s="1040" t="str">
        <f>CONCATENATE(LEFT(RIGHT(CONCATENATE("000",IFAData_TEA_1718!A1761),6),3),"-",(RIGHT(RIGHT(CONCATENATE("000",IFAData_TEA_1718!A1761),6),3)))</f>
        <v>161-906</v>
      </c>
      <c r="C1761" t="s">
        <v>1899</v>
      </c>
      <c r="D1761">
        <v>10</v>
      </c>
      <c r="E1761">
        <v>1989</v>
      </c>
      <c r="F1761" t="s">
        <v>5198</v>
      </c>
      <c r="G1761" t="s">
        <v>8454</v>
      </c>
      <c r="H1761">
        <v>634429</v>
      </c>
      <c r="I1761">
        <v>354100</v>
      </c>
      <c r="J1761">
        <v>0.37949789673927597</v>
      </c>
      <c r="K1761">
        <v>240764.471130402</v>
      </c>
      <c r="L1761">
        <v>240764.471130402</v>
      </c>
      <c r="M1761">
        <v>599</v>
      </c>
    </row>
    <row r="1762" spans="1:13" ht="15">
      <c r="A1762" t="s">
        <v>3638</v>
      </c>
      <c r="B1762" s="1040" t="str">
        <f>CONCATENATE(LEFT(RIGHT(CONCATENATE("000",IFAData_TEA_1718!A1762),6),3),"-",(RIGHT(RIGHT(CONCATENATE("000",IFAData_TEA_1718!A1762),6),3)))</f>
        <v>161-907</v>
      </c>
      <c r="C1762" t="s">
        <v>1257</v>
      </c>
      <c r="D1762">
        <v>4</v>
      </c>
      <c r="E1762">
        <v>2036</v>
      </c>
      <c r="F1762" t="s">
        <v>5199</v>
      </c>
      <c r="G1762" t="s">
        <v>5199</v>
      </c>
      <c r="H1762">
        <v>336827</v>
      </c>
      <c r="I1762">
        <v>0</v>
      </c>
      <c r="J1762">
        <v>0</v>
      </c>
      <c r="K1762">
        <v>0</v>
      </c>
      <c r="L1762">
        <v>0</v>
      </c>
      <c r="M1762">
        <v>599</v>
      </c>
    </row>
    <row r="1763" spans="1:13" ht="15">
      <c r="A1763" t="s">
        <v>3638</v>
      </c>
      <c r="B1763" s="1040" t="str">
        <f>CONCATENATE(LEFT(RIGHT(CONCATENATE("000",IFAData_TEA_1718!A1763),6),3),"-",(RIGHT(RIGHT(CONCATENATE("000",IFAData_TEA_1718!A1763),6),3)))</f>
        <v>161-907</v>
      </c>
      <c r="C1763" t="s">
        <v>1257</v>
      </c>
      <c r="D1763">
        <v>4</v>
      </c>
      <c r="E1763">
        <v>2036</v>
      </c>
      <c r="F1763" t="s">
        <v>5199</v>
      </c>
      <c r="G1763" t="s">
        <v>5200</v>
      </c>
      <c r="H1763">
        <v>336827</v>
      </c>
      <c r="I1763">
        <v>0</v>
      </c>
      <c r="J1763">
        <v>0</v>
      </c>
      <c r="K1763">
        <v>0</v>
      </c>
      <c r="L1763">
        <v>0</v>
      </c>
      <c r="M1763">
        <v>599</v>
      </c>
    </row>
    <row r="1764" spans="1:13" ht="15">
      <c r="A1764" t="s">
        <v>3638</v>
      </c>
      <c r="B1764" s="1040" t="str">
        <f>CONCATENATE(LEFT(RIGHT(CONCATENATE("000",IFAData_TEA_1718!A1764),6),3),"-",(RIGHT(RIGHT(CONCATENATE("000",IFAData_TEA_1718!A1764),6),3)))</f>
        <v>161-907</v>
      </c>
      <c r="C1764" t="s">
        <v>1257</v>
      </c>
      <c r="D1764">
        <v>4</v>
      </c>
      <c r="E1764">
        <v>2036</v>
      </c>
      <c r="F1764" t="s">
        <v>5199</v>
      </c>
      <c r="G1764" t="s">
        <v>6296</v>
      </c>
      <c r="H1764">
        <v>336827</v>
      </c>
      <c r="I1764">
        <v>571050</v>
      </c>
      <c r="J1764">
        <v>1</v>
      </c>
      <c r="K1764">
        <v>336827</v>
      </c>
      <c r="L1764">
        <v>336827</v>
      </c>
      <c r="M1764">
        <v>599</v>
      </c>
    </row>
    <row r="1765" spans="1:13" ht="15">
      <c r="A1765" t="s">
        <v>3638</v>
      </c>
      <c r="B1765" s="1040" t="str">
        <f>CONCATENATE(LEFT(RIGHT(CONCATENATE("000",IFAData_TEA_1718!A1765),6),3),"-",(RIGHT(RIGHT(CONCATENATE("000",IFAData_TEA_1718!A1765),6),3)))</f>
        <v>161-907</v>
      </c>
      <c r="C1765" t="s">
        <v>1257</v>
      </c>
      <c r="D1765">
        <v>6</v>
      </c>
      <c r="E1765">
        <v>2035</v>
      </c>
      <c r="F1765" t="s">
        <v>5201</v>
      </c>
      <c r="G1765" t="s">
        <v>5201</v>
      </c>
      <c r="H1765">
        <v>330640</v>
      </c>
      <c r="I1765">
        <v>0</v>
      </c>
      <c r="J1765">
        <v>0</v>
      </c>
      <c r="K1765">
        <v>0</v>
      </c>
      <c r="L1765">
        <v>0</v>
      </c>
      <c r="M1765">
        <v>599</v>
      </c>
    </row>
    <row r="1766" spans="1:13" ht="15">
      <c r="A1766" t="s">
        <v>3638</v>
      </c>
      <c r="B1766" s="1040" t="str">
        <f>CONCATENATE(LEFT(RIGHT(CONCATENATE("000",IFAData_TEA_1718!A1766),6),3),"-",(RIGHT(RIGHT(CONCATENATE("000",IFAData_TEA_1718!A1766),6),3)))</f>
        <v>161-907</v>
      </c>
      <c r="C1766" t="s">
        <v>1257</v>
      </c>
      <c r="D1766">
        <v>6</v>
      </c>
      <c r="E1766">
        <v>2035</v>
      </c>
      <c r="F1766" t="s">
        <v>5201</v>
      </c>
      <c r="G1766" t="s">
        <v>5202</v>
      </c>
      <c r="H1766">
        <v>330640</v>
      </c>
      <c r="I1766">
        <v>0</v>
      </c>
      <c r="J1766">
        <v>0</v>
      </c>
      <c r="K1766">
        <v>0</v>
      </c>
      <c r="L1766">
        <v>0</v>
      </c>
      <c r="M1766">
        <v>599</v>
      </c>
    </row>
    <row r="1767" spans="1:13" ht="15">
      <c r="A1767" t="s">
        <v>3638</v>
      </c>
      <c r="B1767" s="1040" t="str">
        <f>CONCATENATE(LEFT(RIGHT(CONCATENATE("000",IFAData_TEA_1718!A1767),6),3),"-",(RIGHT(RIGHT(CONCATENATE("000",IFAData_TEA_1718!A1767),6),3)))</f>
        <v>161-907</v>
      </c>
      <c r="C1767" t="s">
        <v>1257</v>
      </c>
      <c r="D1767">
        <v>6</v>
      </c>
      <c r="E1767">
        <v>2035</v>
      </c>
      <c r="F1767" t="s">
        <v>5201</v>
      </c>
      <c r="G1767" t="s">
        <v>5203</v>
      </c>
      <c r="H1767">
        <v>330640</v>
      </c>
      <c r="I1767">
        <v>249280</v>
      </c>
      <c r="J1767">
        <v>0.657245306897279</v>
      </c>
      <c r="K1767">
        <v>217311.588272516</v>
      </c>
      <c r="L1767">
        <v>217311.588272516</v>
      </c>
      <c r="M1767">
        <v>599</v>
      </c>
    </row>
    <row r="1768" spans="1:13" ht="15">
      <c r="A1768" t="s">
        <v>3638</v>
      </c>
      <c r="B1768" s="1040" t="str">
        <f>CONCATENATE(LEFT(RIGHT(CONCATENATE("000",IFAData_TEA_1718!A1768),6),3),"-",(RIGHT(RIGHT(CONCATENATE("000",IFAData_TEA_1718!A1768),6),3)))</f>
        <v>161-907</v>
      </c>
      <c r="C1768" t="s">
        <v>1257</v>
      </c>
      <c r="D1768">
        <v>6</v>
      </c>
      <c r="E1768">
        <v>2035</v>
      </c>
      <c r="F1768" t="s">
        <v>5201</v>
      </c>
      <c r="G1768" t="s">
        <v>6504</v>
      </c>
      <c r="H1768">
        <v>330640</v>
      </c>
      <c r="I1768">
        <v>130000</v>
      </c>
      <c r="J1768">
        <v>0.342754693102721</v>
      </c>
      <c r="K1768">
        <v>113328.411727484</v>
      </c>
      <c r="L1768">
        <v>113328.411727484</v>
      </c>
      <c r="M1768">
        <v>599</v>
      </c>
    </row>
    <row r="1769" spans="1:13" ht="15">
      <c r="A1769" t="s">
        <v>3639</v>
      </c>
      <c r="B1769" s="1040" t="str">
        <f>CONCATENATE(LEFT(RIGHT(CONCATENATE("000",IFAData_TEA_1718!A1769),6),3),"-",(RIGHT(RIGHT(CONCATENATE("000",IFAData_TEA_1718!A1769),6),3)))</f>
        <v>161-908</v>
      </c>
      <c r="C1769" t="s">
        <v>2064</v>
      </c>
      <c r="D1769">
        <v>2</v>
      </c>
      <c r="E1769">
        <v>2069</v>
      </c>
      <c r="F1769" t="s">
        <v>5204</v>
      </c>
      <c r="G1769" t="s">
        <v>5204</v>
      </c>
      <c r="H1769">
        <v>177063</v>
      </c>
      <c r="I1769">
        <v>0</v>
      </c>
      <c r="J1769">
        <v>0</v>
      </c>
      <c r="K1769">
        <v>0</v>
      </c>
      <c r="L1769">
        <v>0</v>
      </c>
      <c r="M1769">
        <v>599</v>
      </c>
    </row>
    <row r="1770" spans="1:13" ht="15">
      <c r="A1770" t="s">
        <v>3639</v>
      </c>
      <c r="B1770" s="1040" t="str">
        <f>CONCATENATE(LEFT(RIGHT(CONCATENATE("000",IFAData_TEA_1718!A1770),6),3),"-",(RIGHT(RIGHT(CONCATENATE("000",IFAData_TEA_1718!A1770),6),3)))</f>
        <v>161-908</v>
      </c>
      <c r="C1770" t="s">
        <v>2064</v>
      </c>
      <c r="D1770">
        <v>2</v>
      </c>
      <c r="E1770">
        <v>2069</v>
      </c>
      <c r="F1770" t="s">
        <v>5204</v>
      </c>
      <c r="G1770" t="s">
        <v>5205</v>
      </c>
      <c r="H1770">
        <v>177063</v>
      </c>
      <c r="I1770">
        <v>304888</v>
      </c>
      <c r="J1770">
        <v>1</v>
      </c>
      <c r="K1770">
        <v>177063</v>
      </c>
      <c r="L1770">
        <v>177063</v>
      </c>
      <c r="M1770">
        <v>599</v>
      </c>
    </row>
    <row r="1771" spans="1:13" ht="15">
      <c r="A1771" t="s">
        <v>3640</v>
      </c>
      <c r="B1771" s="1040" t="str">
        <f>CONCATENATE(LEFT(RIGHT(CONCATENATE("000",IFAData_TEA_1718!A1771),6),3),"-",(RIGHT(RIGHT(CONCATENATE("000",IFAData_TEA_1718!A1771),6),3)))</f>
        <v>161-909</v>
      </c>
      <c r="C1771" t="s">
        <v>819</v>
      </c>
      <c r="D1771">
        <v>5</v>
      </c>
      <c r="E1771">
        <v>2081</v>
      </c>
      <c r="F1771" t="s">
        <v>5206</v>
      </c>
      <c r="G1771" t="s">
        <v>5206</v>
      </c>
      <c r="H1771">
        <v>241790</v>
      </c>
      <c r="I1771">
        <v>283625</v>
      </c>
      <c r="J1771">
        <v>0.49695562661526999</v>
      </c>
      <c r="K1771">
        <v>120158.900959306</v>
      </c>
      <c r="L1771">
        <v>120158.900959306</v>
      </c>
      <c r="M1771">
        <v>599</v>
      </c>
    </row>
    <row r="1772" spans="1:13" ht="15">
      <c r="A1772" t="s">
        <v>3640</v>
      </c>
      <c r="B1772" s="1040" t="str">
        <f>CONCATENATE(LEFT(RIGHT(CONCATENATE("000",IFAData_TEA_1718!A1772),6),3),"-",(RIGHT(RIGHT(CONCATENATE("000",IFAData_TEA_1718!A1772),6),3)))</f>
        <v>161-909</v>
      </c>
      <c r="C1772" t="s">
        <v>819</v>
      </c>
      <c r="D1772">
        <v>5</v>
      </c>
      <c r="E1772">
        <v>2081</v>
      </c>
      <c r="F1772" t="s">
        <v>5206</v>
      </c>
      <c r="G1772" t="s">
        <v>5207</v>
      </c>
      <c r="H1772">
        <v>241790</v>
      </c>
      <c r="I1772">
        <v>0</v>
      </c>
      <c r="J1772">
        <v>0</v>
      </c>
      <c r="K1772">
        <v>0</v>
      </c>
      <c r="L1772">
        <v>0</v>
      </c>
      <c r="M1772">
        <v>599</v>
      </c>
    </row>
    <row r="1773" spans="1:13" ht="15">
      <c r="A1773" t="s">
        <v>3640</v>
      </c>
      <c r="B1773" s="1040" t="str">
        <f>CONCATENATE(LEFT(RIGHT(CONCATENATE("000",IFAData_TEA_1718!A1773),6),3),"-",(RIGHT(RIGHT(CONCATENATE("000",IFAData_TEA_1718!A1773),6),3)))</f>
        <v>161-909</v>
      </c>
      <c r="C1773" t="s">
        <v>819</v>
      </c>
      <c r="D1773">
        <v>5</v>
      </c>
      <c r="E1773">
        <v>2081</v>
      </c>
      <c r="F1773" t="s">
        <v>5206</v>
      </c>
      <c r="G1773" t="s">
        <v>8455</v>
      </c>
      <c r="H1773">
        <v>241790</v>
      </c>
      <c r="I1773">
        <v>287100</v>
      </c>
      <c r="J1773">
        <v>0.50304437338472996</v>
      </c>
      <c r="K1773">
        <v>121631.099040694</v>
      </c>
      <c r="L1773">
        <v>121631.099040694</v>
      </c>
      <c r="M1773">
        <v>599</v>
      </c>
    </row>
    <row r="1774" spans="1:13" ht="15">
      <c r="A1774" t="s">
        <v>3640</v>
      </c>
      <c r="B1774" s="1040" t="str">
        <f>CONCATENATE(LEFT(RIGHT(CONCATENATE("000",IFAData_TEA_1718!A1774),6),3),"-",(RIGHT(RIGHT(CONCATENATE("000",IFAData_TEA_1718!A1774),6),3)))</f>
        <v>161-909</v>
      </c>
      <c r="C1774" t="s">
        <v>819</v>
      </c>
      <c r="D1774">
        <v>11</v>
      </c>
      <c r="E1774">
        <v>2522</v>
      </c>
      <c r="F1774" t="s">
        <v>8456</v>
      </c>
      <c r="G1774" t="s">
        <v>8456</v>
      </c>
      <c r="H1774">
        <v>330174</v>
      </c>
      <c r="I1774">
        <v>650091</v>
      </c>
      <c r="J1774">
        <v>1</v>
      </c>
      <c r="K1774">
        <v>330174</v>
      </c>
      <c r="L1774">
        <v>330174</v>
      </c>
      <c r="M1774">
        <v>599</v>
      </c>
    </row>
    <row r="1775" spans="1:13" ht="15">
      <c r="A1775" t="s">
        <v>3641</v>
      </c>
      <c r="B1775" s="1040" t="str">
        <f>CONCATENATE(LEFT(RIGHT(CONCATENATE("000",IFAData_TEA_1718!A1775),6),3),"-",(RIGHT(RIGHT(CONCATENATE("000",IFAData_TEA_1718!A1775),6),3)))</f>
        <v>161-910</v>
      </c>
      <c r="C1775" t="s">
        <v>1750</v>
      </c>
      <c r="D1775">
        <v>10</v>
      </c>
      <c r="E1775">
        <v>2119</v>
      </c>
      <c r="F1775" t="s">
        <v>5208</v>
      </c>
      <c r="G1775" t="s">
        <v>5208</v>
      </c>
      <c r="H1775">
        <v>185967</v>
      </c>
      <c r="I1775">
        <v>356600</v>
      </c>
      <c r="J1775">
        <v>0.52428686107133304</v>
      </c>
      <c r="K1775">
        <v>97500.054692852602</v>
      </c>
      <c r="L1775">
        <v>97500.054692852602</v>
      </c>
      <c r="M1775">
        <v>599</v>
      </c>
    </row>
    <row r="1776" spans="1:13" ht="15">
      <c r="A1776" t="s">
        <v>3641</v>
      </c>
      <c r="B1776" s="1040" t="str">
        <f>CONCATENATE(LEFT(RIGHT(CONCATENATE("000",IFAData_TEA_1718!A1776),6),3),"-",(RIGHT(RIGHT(CONCATENATE("000",IFAData_TEA_1718!A1776),6),3)))</f>
        <v>161-910</v>
      </c>
      <c r="C1776" t="s">
        <v>1750</v>
      </c>
      <c r="D1776">
        <v>10</v>
      </c>
      <c r="E1776">
        <v>2119</v>
      </c>
      <c r="F1776" t="s">
        <v>5208</v>
      </c>
      <c r="G1776" t="s">
        <v>8457</v>
      </c>
      <c r="H1776">
        <v>185967</v>
      </c>
      <c r="I1776">
        <v>323562</v>
      </c>
      <c r="J1776">
        <v>0.47571313892866701</v>
      </c>
      <c r="K1776">
        <v>88466.945307147398</v>
      </c>
      <c r="L1776">
        <v>88466.945307147398</v>
      </c>
      <c r="M1776">
        <v>599</v>
      </c>
    </row>
    <row r="1777" spans="1:13" ht="15">
      <c r="A1777" t="s">
        <v>3642</v>
      </c>
      <c r="B1777" s="1040" t="str">
        <f>CONCATENATE(LEFT(RIGHT(CONCATENATE("000",IFAData_TEA_1718!A1777),6),3),"-",(RIGHT(RIGHT(CONCATENATE("000",IFAData_TEA_1718!A1777),6),3)))</f>
        <v>161-912</v>
      </c>
      <c r="C1777" t="s">
        <v>1740</v>
      </c>
      <c r="D1777">
        <v>2</v>
      </c>
      <c r="E1777">
        <v>2238</v>
      </c>
      <c r="F1777" t="s">
        <v>5209</v>
      </c>
      <c r="G1777" t="s">
        <v>5209</v>
      </c>
      <c r="H1777">
        <v>154071</v>
      </c>
      <c r="I1777">
        <v>0</v>
      </c>
      <c r="J1777">
        <v>0</v>
      </c>
      <c r="K1777">
        <v>0</v>
      </c>
      <c r="L1777">
        <v>0</v>
      </c>
      <c r="M1777">
        <v>599</v>
      </c>
    </row>
    <row r="1778" spans="1:13" ht="15">
      <c r="A1778" t="s">
        <v>3642</v>
      </c>
      <c r="B1778" s="1040" t="str">
        <f>CONCATENATE(LEFT(RIGHT(CONCATENATE("000",IFAData_TEA_1718!A1778),6),3),"-",(RIGHT(RIGHT(CONCATENATE("000",IFAData_TEA_1718!A1778),6),3)))</f>
        <v>161-912</v>
      </c>
      <c r="C1778" t="s">
        <v>1740</v>
      </c>
      <c r="D1778">
        <v>2</v>
      </c>
      <c r="E1778">
        <v>2238</v>
      </c>
      <c r="F1778" t="s">
        <v>5209</v>
      </c>
      <c r="G1778" t="s">
        <v>5210</v>
      </c>
      <c r="H1778">
        <v>154071</v>
      </c>
      <c r="I1778">
        <v>139600</v>
      </c>
      <c r="J1778">
        <v>1</v>
      </c>
      <c r="K1778">
        <v>154071</v>
      </c>
      <c r="L1778">
        <v>139600</v>
      </c>
      <c r="M1778">
        <v>599</v>
      </c>
    </row>
    <row r="1779" spans="1:13" ht="15">
      <c r="A1779" t="s">
        <v>3642</v>
      </c>
      <c r="B1779" s="1040" t="str">
        <f>CONCATENATE(LEFT(RIGHT(CONCATENATE("000",IFAData_TEA_1718!A1779),6),3),"-",(RIGHT(RIGHT(CONCATENATE("000",IFAData_TEA_1718!A1779),6),3)))</f>
        <v>161-912</v>
      </c>
      <c r="C1779" t="s">
        <v>1740</v>
      </c>
      <c r="D1779">
        <v>6</v>
      </c>
      <c r="E1779">
        <v>2236</v>
      </c>
      <c r="F1779" t="s">
        <v>5211</v>
      </c>
      <c r="G1779" t="s">
        <v>5211</v>
      </c>
      <c r="H1779">
        <v>120494</v>
      </c>
      <c r="I1779">
        <v>0</v>
      </c>
      <c r="J1779">
        <v>0</v>
      </c>
      <c r="K1779"/>
      <c r="L1779">
        <v>0</v>
      </c>
      <c r="M1779">
        <v>599</v>
      </c>
    </row>
    <row r="1780" spans="1:13" ht="15">
      <c r="A1780" t="s">
        <v>3642</v>
      </c>
      <c r="B1780" s="1040" t="str">
        <f>CONCATENATE(LEFT(RIGHT(CONCATENATE("000",IFAData_TEA_1718!A1780),6),3),"-",(RIGHT(RIGHT(CONCATENATE("000",IFAData_TEA_1718!A1780),6),3)))</f>
        <v>161-912</v>
      </c>
      <c r="C1780" t="s">
        <v>1740</v>
      </c>
      <c r="D1780">
        <v>10</v>
      </c>
      <c r="E1780">
        <v>2237</v>
      </c>
      <c r="F1780" t="s">
        <v>5212</v>
      </c>
      <c r="G1780" t="s">
        <v>5212</v>
      </c>
      <c r="H1780">
        <v>131250</v>
      </c>
      <c r="I1780">
        <v>900000</v>
      </c>
      <c r="J1780">
        <v>1</v>
      </c>
      <c r="K1780">
        <v>131250</v>
      </c>
      <c r="L1780">
        <v>131250</v>
      </c>
      <c r="M1780">
        <v>599</v>
      </c>
    </row>
    <row r="1781" spans="1:13" ht="15">
      <c r="A1781" t="s">
        <v>3643</v>
      </c>
      <c r="B1781" s="1040" t="str">
        <f>CONCATENATE(LEFT(RIGHT(CONCATENATE("000",IFAData_TEA_1718!A1781),6),3),"-",(RIGHT(RIGHT(CONCATENATE("000",IFAData_TEA_1718!A1781),6),3)))</f>
        <v>161-914</v>
      </c>
      <c r="C1781" t="s">
        <v>136</v>
      </c>
      <c r="D1781">
        <v>2</v>
      </c>
      <c r="E1781">
        <v>2430</v>
      </c>
      <c r="F1781" t="s">
        <v>5213</v>
      </c>
      <c r="G1781" t="s">
        <v>5213</v>
      </c>
      <c r="H1781">
        <v>1464892</v>
      </c>
      <c r="I1781">
        <v>0</v>
      </c>
      <c r="J1781">
        <v>0</v>
      </c>
      <c r="K1781"/>
      <c r="L1781">
        <v>0</v>
      </c>
      <c r="M1781">
        <v>599</v>
      </c>
    </row>
    <row r="1782" spans="1:13" ht="15">
      <c r="A1782" t="s">
        <v>3643</v>
      </c>
      <c r="B1782" s="1040" t="str">
        <f>CONCATENATE(LEFT(RIGHT(CONCATENATE("000",IFAData_TEA_1718!A1782),6),3),"-",(RIGHT(RIGHT(CONCATENATE("000",IFAData_TEA_1718!A1782),6),3)))</f>
        <v>161-914</v>
      </c>
      <c r="C1782" t="s">
        <v>136</v>
      </c>
      <c r="D1782">
        <v>6</v>
      </c>
      <c r="E1782">
        <v>2429</v>
      </c>
      <c r="F1782" t="s">
        <v>5214</v>
      </c>
      <c r="G1782" t="s">
        <v>5214</v>
      </c>
      <c r="H1782">
        <v>908082</v>
      </c>
      <c r="I1782">
        <v>0</v>
      </c>
      <c r="J1782">
        <v>0</v>
      </c>
      <c r="K1782">
        <v>0</v>
      </c>
      <c r="L1782">
        <v>0</v>
      </c>
      <c r="M1782">
        <v>599</v>
      </c>
    </row>
    <row r="1783" spans="1:13" ht="15">
      <c r="A1783" t="s">
        <v>3643</v>
      </c>
      <c r="B1783" s="1040" t="str">
        <f>CONCATENATE(LEFT(RIGHT(CONCATENATE("000",IFAData_TEA_1718!A1783),6),3),"-",(RIGHT(RIGHT(CONCATENATE("000",IFAData_TEA_1718!A1783),6),3)))</f>
        <v>161-914</v>
      </c>
      <c r="C1783" t="s">
        <v>136</v>
      </c>
      <c r="D1783">
        <v>6</v>
      </c>
      <c r="E1783">
        <v>2429</v>
      </c>
      <c r="F1783" t="s">
        <v>5214</v>
      </c>
      <c r="G1783" t="s">
        <v>5215</v>
      </c>
      <c r="H1783">
        <v>908082</v>
      </c>
      <c r="I1783">
        <v>0</v>
      </c>
      <c r="J1783">
        <v>0</v>
      </c>
      <c r="K1783">
        <v>0</v>
      </c>
      <c r="L1783">
        <v>0</v>
      </c>
      <c r="M1783">
        <v>599</v>
      </c>
    </row>
    <row r="1784" spans="1:13" ht="15">
      <c r="A1784" t="s">
        <v>3643</v>
      </c>
      <c r="B1784" s="1040" t="str">
        <f>CONCATENATE(LEFT(RIGHT(CONCATENATE("000",IFAData_TEA_1718!A1784),6),3),"-",(RIGHT(RIGHT(CONCATENATE("000",IFAData_TEA_1718!A1784),6),3)))</f>
        <v>161-914</v>
      </c>
      <c r="C1784" t="s">
        <v>136</v>
      </c>
      <c r="D1784">
        <v>6</v>
      </c>
      <c r="E1784">
        <v>2429</v>
      </c>
      <c r="F1784" t="s">
        <v>5214</v>
      </c>
      <c r="G1784" t="s">
        <v>5216</v>
      </c>
      <c r="H1784">
        <v>908082</v>
      </c>
      <c r="I1784">
        <v>1893756</v>
      </c>
      <c r="J1784">
        <v>0.90271665011790703</v>
      </c>
      <c r="K1784">
        <v>819740.74107236904</v>
      </c>
      <c r="L1784">
        <v>819740.74107236904</v>
      </c>
      <c r="M1784">
        <v>599</v>
      </c>
    </row>
    <row r="1785" spans="1:13" ht="15">
      <c r="A1785" t="s">
        <v>3643</v>
      </c>
      <c r="B1785" s="1040" t="str">
        <f>CONCATENATE(LEFT(RIGHT(CONCATENATE("000",IFAData_TEA_1718!A1785),6),3),"-",(RIGHT(RIGHT(CONCATENATE("000",IFAData_TEA_1718!A1785),6),3)))</f>
        <v>161-914</v>
      </c>
      <c r="C1785" t="s">
        <v>136</v>
      </c>
      <c r="D1785">
        <v>6</v>
      </c>
      <c r="E1785">
        <v>2429</v>
      </c>
      <c r="F1785" t="s">
        <v>5214</v>
      </c>
      <c r="G1785" t="s">
        <v>6505</v>
      </c>
      <c r="H1785">
        <v>908082</v>
      </c>
      <c r="I1785">
        <v>204085</v>
      </c>
      <c r="J1785">
        <v>9.7283349882093098E-2</v>
      </c>
      <c r="K1785">
        <v>88341.258927630799</v>
      </c>
      <c r="L1785">
        <v>88341.258927630799</v>
      </c>
      <c r="M1785">
        <v>599</v>
      </c>
    </row>
    <row r="1786" spans="1:13" ht="15">
      <c r="A1786" t="s">
        <v>3643</v>
      </c>
      <c r="B1786" s="1040" t="str">
        <f>CONCATENATE(LEFT(RIGHT(CONCATENATE("000",IFAData_TEA_1718!A1786),6),3),"-",(RIGHT(RIGHT(CONCATENATE("000",IFAData_TEA_1718!A1786),6),3)))</f>
        <v>161-914</v>
      </c>
      <c r="C1786" t="s">
        <v>136</v>
      </c>
      <c r="D1786">
        <v>10</v>
      </c>
      <c r="E1786">
        <v>2431</v>
      </c>
      <c r="F1786" t="s">
        <v>5217</v>
      </c>
      <c r="G1786" t="s">
        <v>5217</v>
      </c>
      <c r="H1786">
        <v>2267241</v>
      </c>
      <c r="I1786">
        <v>0</v>
      </c>
      <c r="J1786">
        <v>0</v>
      </c>
      <c r="K1786">
        <v>0</v>
      </c>
      <c r="L1786">
        <v>0</v>
      </c>
      <c r="M1786">
        <v>599</v>
      </c>
    </row>
    <row r="1787" spans="1:13" ht="15">
      <c r="A1787" t="s">
        <v>3643</v>
      </c>
      <c r="B1787" s="1040" t="str">
        <f>CONCATENATE(LEFT(RIGHT(CONCATENATE("000",IFAData_TEA_1718!A1787),6),3),"-",(RIGHT(RIGHT(CONCATENATE("000",IFAData_TEA_1718!A1787),6),3)))</f>
        <v>161-914</v>
      </c>
      <c r="C1787" t="s">
        <v>136</v>
      </c>
      <c r="D1787">
        <v>10</v>
      </c>
      <c r="E1787">
        <v>2431</v>
      </c>
      <c r="F1787" t="s">
        <v>5217</v>
      </c>
      <c r="G1787" t="s">
        <v>6505</v>
      </c>
      <c r="H1787">
        <v>2267241</v>
      </c>
      <c r="I1787">
        <v>2107066</v>
      </c>
      <c r="J1787">
        <v>1</v>
      </c>
      <c r="K1787">
        <v>2267241</v>
      </c>
      <c r="L1787">
        <v>2107066</v>
      </c>
      <c r="M1787">
        <v>599</v>
      </c>
    </row>
    <row r="1788" spans="1:13" ht="15">
      <c r="A1788" t="s">
        <v>3644</v>
      </c>
      <c r="B1788" s="1040" t="str">
        <f>CONCATENATE(LEFT(RIGHT(CONCATENATE("000",IFAData_TEA_1718!A1788),6),3),"-",(RIGHT(RIGHT(CONCATENATE("000",IFAData_TEA_1718!A1788),6),3)))</f>
        <v>161-916</v>
      </c>
      <c r="C1788" t="s">
        <v>1430</v>
      </c>
      <c r="D1788">
        <v>3</v>
      </c>
      <c r="E1788">
        <v>2444</v>
      </c>
      <c r="F1788" t="s">
        <v>5218</v>
      </c>
      <c r="G1788" t="s">
        <v>5218</v>
      </c>
      <c r="H1788">
        <v>489842</v>
      </c>
      <c r="I1788">
        <v>35546</v>
      </c>
      <c r="J1788">
        <v>5.0847918290859898E-2</v>
      </c>
      <c r="K1788">
        <v>24907.445991431399</v>
      </c>
      <c r="L1788">
        <v>24907.445991431399</v>
      </c>
      <c r="M1788">
        <v>599</v>
      </c>
    </row>
    <row r="1789" spans="1:13" ht="15">
      <c r="A1789" t="s">
        <v>3644</v>
      </c>
      <c r="B1789" s="1040" t="str">
        <f>CONCATENATE(LEFT(RIGHT(CONCATENATE("000",IFAData_TEA_1718!A1789),6),3),"-",(RIGHT(RIGHT(CONCATENATE("000",IFAData_TEA_1718!A1789),6),3)))</f>
        <v>161-916</v>
      </c>
      <c r="C1789" t="s">
        <v>1430</v>
      </c>
      <c r="D1789">
        <v>3</v>
      </c>
      <c r="E1789">
        <v>2444</v>
      </c>
      <c r="F1789" t="s">
        <v>5218</v>
      </c>
      <c r="G1789" t="s">
        <v>5219</v>
      </c>
      <c r="H1789">
        <v>489842</v>
      </c>
      <c r="I1789">
        <v>663519</v>
      </c>
      <c r="J1789">
        <v>0.94915208170914001</v>
      </c>
      <c r="K1789">
        <v>464934.55400856899</v>
      </c>
      <c r="L1789">
        <v>464934.55400856899</v>
      </c>
      <c r="M1789">
        <v>599</v>
      </c>
    </row>
    <row r="1790" spans="1:13" ht="15">
      <c r="A1790" t="s">
        <v>3645</v>
      </c>
      <c r="B1790" s="1040" t="str">
        <f>CONCATENATE(LEFT(RIGHT(CONCATENATE("000",IFAData_TEA_1718!A1790),6),3),"-",(RIGHT(RIGHT(CONCATENATE("000",IFAData_TEA_1718!A1790),6),3)))</f>
        <v>161-919</v>
      </c>
      <c r="C1790" t="s">
        <v>1752</v>
      </c>
      <c r="D1790">
        <v>9</v>
      </c>
      <c r="E1790">
        <v>1645</v>
      </c>
      <c r="F1790" t="s">
        <v>5220</v>
      </c>
      <c r="G1790" t="s">
        <v>5220</v>
      </c>
      <c r="H1790">
        <v>204185</v>
      </c>
      <c r="I1790">
        <v>0</v>
      </c>
      <c r="J1790">
        <v>0</v>
      </c>
      <c r="K1790">
        <v>0</v>
      </c>
      <c r="L1790">
        <v>0</v>
      </c>
      <c r="M1790">
        <v>599</v>
      </c>
    </row>
    <row r="1791" spans="1:13" ht="15">
      <c r="A1791" t="s">
        <v>3645</v>
      </c>
      <c r="B1791" s="1040" t="str">
        <f>CONCATENATE(LEFT(RIGHT(CONCATENATE("000",IFAData_TEA_1718!A1791),6),3),"-",(RIGHT(RIGHT(CONCATENATE("000",IFAData_TEA_1718!A1791),6),3)))</f>
        <v>161-919</v>
      </c>
      <c r="C1791" t="s">
        <v>1752</v>
      </c>
      <c r="D1791">
        <v>9</v>
      </c>
      <c r="E1791">
        <v>1645</v>
      </c>
      <c r="F1791" t="s">
        <v>5220</v>
      </c>
      <c r="G1791" t="s">
        <v>6506</v>
      </c>
      <c r="H1791">
        <v>204185</v>
      </c>
      <c r="I1791">
        <v>417450</v>
      </c>
      <c r="J1791">
        <v>1</v>
      </c>
      <c r="K1791">
        <v>204185</v>
      </c>
      <c r="L1791">
        <v>204185</v>
      </c>
      <c r="M1791">
        <v>599</v>
      </c>
    </row>
    <row r="1792" spans="1:13" ht="15">
      <c r="A1792" t="s">
        <v>3646</v>
      </c>
      <c r="B1792" s="1040" t="str">
        <f>CONCATENATE(LEFT(RIGHT(CONCATENATE("000",IFAData_TEA_1718!A1792),6),3),"-",(RIGHT(RIGHT(CONCATENATE("000",IFAData_TEA_1718!A1792),6),3)))</f>
        <v>161-920</v>
      </c>
      <c r="C1792" t="s">
        <v>1160</v>
      </c>
      <c r="D1792">
        <v>2</v>
      </c>
      <c r="E1792">
        <v>1688</v>
      </c>
      <c r="F1792" t="s">
        <v>5221</v>
      </c>
      <c r="G1792" t="s">
        <v>5221</v>
      </c>
      <c r="H1792">
        <v>361316</v>
      </c>
      <c r="I1792">
        <v>0</v>
      </c>
      <c r="J1792">
        <v>0</v>
      </c>
      <c r="K1792">
        <v>0</v>
      </c>
      <c r="L1792">
        <v>0</v>
      </c>
      <c r="M1792">
        <v>599</v>
      </c>
    </row>
    <row r="1793" spans="1:13" ht="15">
      <c r="A1793" t="s">
        <v>3646</v>
      </c>
      <c r="B1793" s="1040" t="str">
        <f>CONCATENATE(LEFT(RIGHT(CONCATENATE("000",IFAData_TEA_1718!A1793),6),3),"-",(RIGHT(RIGHT(CONCATENATE("000",IFAData_TEA_1718!A1793),6),3)))</f>
        <v>161-920</v>
      </c>
      <c r="C1793" t="s">
        <v>1160</v>
      </c>
      <c r="D1793">
        <v>2</v>
      </c>
      <c r="E1793">
        <v>1688</v>
      </c>
      <c r="F1793" t="s">
        <v>5221</v>
      </c>
      <c r="G1793" t="s">
        <v>5222</v>
      </c>
      <c r="H1793">
        <v>361316</v>
      </c>
      <c r="I1793">
        <v>0</v>
      </c>
      <c r="J1793">
        <v>0</v>
      </c>
      <c r="K1793">
        <v>0</v>
      </c>
      <c r="L1793">
        <v>0</v>
      </c>
      <c r="M1793">
        <v>599</v>
      </c>
    </row>
    <row r="1794" spans="1:13" ht="15">
      <c r="A1794" t="s">
        <v>3646</v>
      </c>
      <c r="B1794" s="1040" t="str">
        <f>CONCATENATE(LEFT(RIGHT(CONCATENATE("000",IFAData_TEA_1718!A1794),6),3),"-",(RIGHT(RIGHT(CONCATENATE("000",IFAData_TEA_1718!A1794),6),3)))</f>
        <v>161-920</v>
      </c>
      <c r="C1794" t="s">
        <v>1160</v>
      </c>
      <c r="D1794">
        <v>2</v>
      </c>
      <c r="E1794">
        <v>1688</v>
      </c>
      <c r="F1794" t="s">
        <v>5221</v>
      </c>
      <c r="G1794" t="s">
        <v>8458</v>
      </c>
      <c r="H1794">
        <v>361316</v>
      </c>
      <c r="I1794">
        <v>259950</v>
      </c>
      <c r="J1794">
        <v>1</v>
      </c>
      <c r="K1794">
        <v>361316</v>
      </c>
      <c r="L1794">
        <v>259950</v>
      </c>
      <c r="M1794">
        <v>599</v>
      </c>
    </row>
    <row r="1795" spans="1:13" ht="15">
      <c r="A1795" t="s">
        <v>3646</v>
      </c>
      <c r="B1795" s="1040" t="str">
        <f>CONCATENATE(LEFT(RIGHT(CONCATENATE("000",IFAData_TEA_1718!A1795),6),3),"-",(RIGHT(RIGHT(CONCATENATE("000",IFAData_TEA_1718!A1795),6),3)))</f>
        <v>161-920</v>
      </c>
      <c r="C1795" t="s">
        <v>1160</v>
      </c>
      <c r="D1795">
        <v>6</v>
      </c>
      <c r="E1795">
        <v>1689</v>
      </c>
      <c r="F1795" t="s">
        <v>5223</v>
      </c>
      <c r="G1795" t="s">
        <v>5223</v>
      </c>
      <c r="H1795">
        <v>361625</v>
      </c>
      <c r="I1795">
        <v>0</v>
      </c>
      <c r="J1795">
        <v>0</v>
      </c>
      <c r="K1795">
        <v>0</v>
      </c>
      <c r="L1795">
        <v>0</v>
      </c>
      <c r="M1795">
        <v>599</v>
      </c>
    </row>
    <row r="1796" spans="1:13" ht="15">
      <c r="A1796" t="s">
        <v>3646</v>
      </c>
      <c r="B1796" s="1040" t="str">
        <f>CONCATENATE(LEFT(RIGHT(CONCATENATE("000",IFAData_TEA_1718!A1796),6),3),"-",(RIGHT(RIGHT(CONCATENATE("000",IFAData_TEA_1718!A1796),6),3)))</f>
        <v>161-920</v>
      </c>
      <c r="C1796" t="s">
        <v>1160</v>
      </c>
      <c r="D1796">
        <v>6</v>
      </c>
      <c r="E1796">
        <v>1689</v>
      </c>
      <c r="F1796" t="s">
        <v>5223</v>
      </c>
      <c r="G1796" t="s">
        <v>5222</v>
      </c>
      <c r="H1796">
        <v>361625</v>
      </c>
      <c r="I1796">
        <v>0</v>
      </c>
      <c r="J1796">
        <v>0</v>
      </c>
      <c r="K1796">
        <v>0</v>
      </c>
      <c r="L1796">
        <v>0</v>
      </c>
      <c r="M1796">
        <v>599</v>
      </c>
    </row>
    <row r="1797" spans="1:13" ht="15">
      <c r="A1797" t="s">
        <v>3646</v>
      </c>
      <c r="B1797" s="1040" t="str">
        <f>CONCATENATE(LEFT(RIGHT(CONCATENATE("000",IFAData_TEA_1718!A1797),6),3),"-",(RIGHT(RIGHT(CONCATENATE("000",IFAData_TEA_1718!A1797),6),3)))</f>
        <v>161-920</v>
      </c>
      <c r="C1797" t="s">
        <v>1160</v>
      </c>
      <c r="D1797">
        <v>6</v>
      </c>
      <c r="E1797">
        <v>1689</v>
      </c>
      <c r="F1797" t="s">
        <v>5223</v>
      </c>
      <c r="G1797" t="s">
        <v>5224</v>
      </c>
      <c r="H1797">
        <v>361625</v>
      </c>
      <c r="I1797">
        <v>0</v>
      </c>
      <c r="J1797">
        <v>0</v>
      </c>
      <c r="K1797">
        <v>0</v>
      </c>
      <c r="L1797">
        <v>0</v>
      </c>
      <c r="M1797">
        <v>599</v>
      </c>
    </row>
    <row r="1798" spans="1:13" ht="15">
      <c r="A1798" t="s">
        <v>3646</v>
      </c>
      <c r="B1798" s="1040" t="str">
        <f>CONCATENATE(LEFT(RIGHT(CONCATENATE("000",IFAData_TEA_1718!A1798),6),3),"-",(RIGHT(RIGHT(CONCATENATE("000",IFAData_TEA_1718!A1798),6),3)))</f>
        <v>161-920</v>
      </c>
      <c r="C1798" t="s">
        <v>1160</v>
      </c>
      <c r="D1798">
        <v>6</v>
      </c>
      <c r="E1798">
        <v>1689</v>
      </c>
      <c r="F1798" t="s">
        <v>5223</v>
      </c>
      <c r="G1798" t="s">
        <v>8458</v>
      </c>
      <c r="H1798">
        <v>361625</v>
      </c>
      <c r="I1798">
        <v>346223</v>
      </c>
      <c r="J1798">
        <v>1</v>
      </c>
      <c r="K1798">
        <v>361625</v>
      </c>
      <c r="L1798">
        <v>346223</v>
      </c>
      <c r="M1798">
        <v>599</v>
      </c>
    </row>
    <row r="1799" spans="1:13" ht="15">
      <c r="A1799" t="s">
        <v>3646</v>
      </c>
      <c r="B1799" s="1040" t="str">
        <f>CONCATENATE(LEFT(RIGHT(CONCATENATE("000",IFAData_TEA_1718!A1799),6),3),"-",(RIGHT(RIGHT(CONCATENATE("000",IFAData_TEA_1718!A1799),6),3)))</f>
        <v>161-920</v>
      </c>
      <c r="C1799" t="s">
        <v>1160</v>
      </c>
      <c r="D1799">
        <v>9</v>
      </c>
      <c r="E1799">
        <v>1690</v>
      </c>
      <c r="F1799" t="s">
        <v>5225</v>
      </c>
      <c r="G1799" t="s">
        <v>5225</v>
      </c>
      <c r="H1799">
        <v>535250</v>
      </c>
      <c r="I1799">
        <v>547575</v>
      </c>
      <c r="J1799">
        <v>0.46888446471003797</v>
      </c>
      <c r="K1799">
        <v>250970.40973604799</v>
      </c>
      <c r="L1799">
        <v>250970.40973604799</v>
      </c>
      <c r="M1799">
        <v>599</v>
      </c>
    </row>
    <row r="1800" spans="1:13" ht="15">
      <c r="A1800" t="s">
        <v>3646</v>
      </c>
      <c r="B1800" s="1040" t="str">
        <f>CONCATENATE(LEFT(RIGHT(CONCATENATE("000",IFAData_TEA_1718!A1800),6),3),"-",(RIGHT(RIGHT(CONCATENATE("000",IFAData_TEA_1718!A1800),6),3)))</f>
        <v>161-920</v>
      </c>
      <c r="C1800" t="s">
        <v>1160</v>
      </c>
      <c r="D1800">
        <v>9</v>
      </c>
      <c r="E1800">
        <v>1690</v>
      </c>
      <c r="F1800" t="s">
        <v>5225</v>
      </c>
      <c r="G1800" t="s">
        <v>6297</v>
      </c>
      <c r="H1800">
        <v>535250</v>
      </c>
      <c r="I1800">
        <v>298900</v>
      </c>
      <c r="J1800">
        <v>0.25594588230257098</v>
      </c>
      <c r="K1800">
        <v>136995.033502451</v>
      </c>
      <c r="L1800">
        <v>136995.033502451</v>
      </c>
      <c r="M1800">
        <v>599</v>
      </c>
    </row>
    <row r="1801" spans="1:13" ht="15">
      <c r="A1801" t="s">
        <v>3646</v>
      </c>
      <c r="B1801" s="1040" t="str">
        <f>CONCATENATE(LEFT(RIGHT(CONCATENATE("000",IFAData_TEA_1718!A1801),6),3),"-",(RIGHT(RIGHT(CONCATENATE("000",IFAData_TEA_1718!A1801),6),3)))</f>
        <v>161-920</v>
      </c>
      <c r="C1801" t="s">
        <v>1160</v>
      </c>
      <c r="D1801">
        <v>9</v>
      </c>
      <c r="E1801">
        <v>1690</v>
      </c>
      <c r="F1801" t="s">
        <v>5225</v>
      </c>
      <c r="G1801" t="s">
        <v>6507</v>
      </c>
      <c r="H1801">
        <v>535250</v>
      </c>
      <c r="I1801">
        <v>321350</v>
      </c>
      <c r="J1801">
        <v>0.27516965298739099</v>
      </c>
      <c r="K1801">
        <v>147284.55676150101</v>
      </c>
      <c r="L1801">
        <v>147284.55676150101</v>
      </c>
      <c r="M1801">
        <v>599</v>
      </c>
    </row>
    <row r="1802" spans="1:13" ht="15">
      <c r="A1802" t="s">
        <v>3647</v>
      </c>
      <c r="B1802" s="1040" t="str">
        <f>CONCATENATE(LEFT(RIGHT(CONCATENATE("000",IFAData_TEA_1718!A1802),6),3),"-",(RIGHT(RIGHT(CONCATENATE("000",IFAData_TEA_1718!A1802),6),3)))</f>
        <v>161-921</v>
      </c>
      <c r="C1802" t="s">
        <v>1552</v>
      </c>
      <c r="D1802">
        <v>2</v>
      </c>
      <c r="E1802">
        <v>1715</v>
      </c>
      <c r="F1802" t="s">
        <v>5226</v>
      </c>
      <c r="G1802" t="s">
        <v>5226</v>
      </c>
      <c r="H1802">
        <v>141220</v>
      </c>
      <c r="I1802">
        <v>0</v>
      </c>
      <c r="J1802">
        <v>0</v>
      </c>
      <c r="K1802"/>
      <c r="L1802">
        <v>0</v>
      </c>
      <c r="M1802">
        <v>599</v>
      </c>
    </row>
    <row r="1803" spans="1:13" ht="15">
      <c r="A1803" t="s">
        <v>3647</v>
      </c>
      <c r="B1803" s="1040" t="str">
        <f>CONCATENATE(LEFT(RIGHT(CONCATENATE("000",IFAData_TEA_1718!A1803),6),3),"-",(RIGHT(RIGHT(CONCATENATE("000",IFAData_TEA_1718!A1803),6),3)))</f>
        <v>161-921</v>
      </c>
      <c r="C1803" t="s">
        <v>1552</v>
      </c>
      <c r="D1803">
        <v>3</v>
      </c>
      <c r="E1803">
        <v>1716</v>
      </c>
      <c r="F1803" t="s">
        <v>5227</v>
      </c>
      <c r="G1803" t="s">
        <v>5227</v>
      </c>
      <c r="H1803">
        <v>590544</v>
      </c>
      <c r="I1803">
        <v>0</v>
      </c>
      <c r="J1803">
        <v>0</v>
      </c>
      <c r="K1803">
        <v>0</v>
      </c>
      <c r="L1803">
        <v>0</v>
      </c>
      <c r="M1803">
        <v>599</v>
      </c>
    </row>
    <row r="1804" spans="1:13" ht="15">
      <c r="A1804" t="s">
        <v>3647</v>
      </c>
      <c r="B1804" s="1040" t="str">
        <f>CONCATENATE(LEFT(RIGHT(CONCATENATE("000",IFAData_TEA_1718!A1804),6),3),"-",(RIGHT(RIGHT(CONCATENATE("000",IFAData_TEA_1718!A1804),6),3)))</f>
        <v>161-921</v>
      </c>
      <c r="C1804" t="s">
        <v>1552</v>
      </c>
      <c r="D1804">
        <v>3</v>
      </c>
      <c r="E1804">
        <v>1716</v>
      </c>
      <c r="F1804" t="s">
        <v>5227</v>
      </c>
      <c r="G1804" t="s">
        <v>5228</v>
      </c>
      <c r="H1804">
        <v>590544</v>
      </c>
      <c r="I1804">
        <v>0</v>
      </c>
      <c r="J1804">
        <v>0</v>
      </c>
      <c r="K1804">
        <v>0</v>
      </c>
      <c r="L1804">
        <v>0</v>
      </c>
      <c r="M1804">
        <v>599</v>
      </c>
    </row>
    <row r="1805" spans="1:13" ht="15">
      <c r="A1805" t="s">
        <v>3647</v>
      </c>
      <c r="B1805" s="1040" t="str">
        <f>CONCATENATE(LEFT(RIGHT(CONCATENATE("000",IFAData_TEA_1718!A1805),6),3),"-",(RIGHT(RIGHT(CONCATENATE("000",IFAData_TEA_1718!A1805),6),3)))</f>
        <v>161-921</v>
      </c>
      <c r="C1805" t="s">
        <v>1552</v>
      </c>
      <c r="D1805">
        <v>3</v>
      </c>
      <c r="E1805">
        <v>1716</v>
      </c>
      <c r="F1805" t="s">
        <v>5227</v>
      </c>
      <c r="G1805" t="s">
        <v>5229</v>
      </c>
      <c r="H1805">
        <v>590544</v>
      </c>
      <c r="I1805">
        <v>47307</v>
      </c>
      <c r="J1805">
        <v>6.1641399169983901E-2</v>
      </c>
      <c r="K1805">
        <v>36401.958431439001</v>
      </c>
      <c r="L1805">
        <v>36401.958431439001</v>
      </c>
      <c r="M1805">
        <v>599</v>
      </c>
    </row>
    <row r="1806" spans="1:13" ht="15">
      <c r="A1806" t="s">
        <v>3647</v>
      </c>
      <c r="B1806" s="1040" t="str">
        <f>CONCATENATE(LEFT(RIGHT(CONCATENATE("000",IFAData_TEA_1718!A1806),6),3),"-",(RIGHT(RIGHT(CONCATENATE("000",IFAData_TEA_1718!A1806),6),3)))</f>
        <v>161-921</v>
      </c>
      <c r="C1806" t="s">
        <v>1552</v>
      </c>
      <c r="D1806">
        <v>3</v>
      </c>
      <c r="E1806">
        <v>1716</v>
      </c>
      <c r="F1806" t="s">
        <v>5227</v>
      </c>
      <c r="G1806" t="s">
        <v>6508</v>
      </c>
      <c r="H1806">
        <v>590544</v>
      </c>
      <c r="I1806">
        <v>720148</v>
      </c>
      <c r="J1806">
        <v>0.93835860083001599</v>
      </c>
      <c r="K1806">
        <v>554142.04156856099</v>
      </c>
      <c r="L1806">
        <v>554142.04156856099</v>
      </c>
      <c r="M1806">
        <v>599</v>
      </c>
    </row>
    <row r="1807" spans="1:13" ht="15">
      <c r="A1807" t="s">
        <v>3648</v>
      </c>
      <c r="B1807" s="1040" t="str">
        <f>CONCATENATE(LEFT(RIGHT(CONCATENATE("000",IFAData_TEA_1718!A1807),6),3),"-",(RIGHT(RIGHT(CONCATENATE("000",IFAData_TEA_1718!A1807),6),3)))</f>
        <v>161-922</v>
      </c>
      <c r="C1807" t="s">
        <v>2698</v>
      </c>
      <c r="D1807">
        <v>3</v>
      </c>
      <c r="E1807">
        <v>2252</v>
      </c>
      <c r="F1807" t="s">
        <v>5230</v>
      </c>
      <c r="G1807" t="s">
        <v>5230</v>
      </c>
      <c r="H1807">
        <v>486000</v>
      </c>
      <c r="I1807">
        <v>0</v>
      </c>
      <c r="J1807">
        <v>0</v>
      </c>
      <c r="K1807">
        <v>0</v>
      </c>
      <c r="L1807">
        <v>0</v>
      </c>
      <c r="M1807">
        <v>599</v>
      </c>
    </row>
    <row r="1808" spans="1:13" ht="15">
      <c r="A1808" t="s">
        <v>3648</v>
      </c>
      <c r="B1808" s="1040" t="str">
        <f>CONCATENATE(LEFT(RIGHT(CONCATENATE("000",IFAData_TEA_1718!A1808),6),3),"-",(RIGHT(RIGHT(CONCATENATE("000",IFAData_TEA_1718!A1808),6),3)))</f>
        <v>161-922</v>
      </c>
      <c r="C1808" t="s">
        <v>2698</v>
      </c>
      <c r="D1808">
        <v>3</v>
      </c>
      <c r="E1808">
        <v>2252</v>
      </c>
      <c r="F1808" t="s">
        <v>5230</v>
      </c>
      <c r="G1808" t="s">
        <v>5231</v>
      </c>
      <c r="H1808">
        <v>486000</v>
      </c>
      <c r="I1808">
        <v>1080401</v>
      </c>
      <c r="J1808">
        <v>1</v>
      </c>
      <c r="K1808">
        <v>486000</v>
      </c>
      <c r="L1808">
        <v>486000</v>
      </c>
      <c r="M1808">
        <v>599</v>
      </c>
    </row>
    <row r="1809" spans="1:13" ht="15">
      <c r="A1809" t="s">
        <v>3648</v>
      </c>
      <c r="B1809" s="1040" t="str">
        <f>CONCATENATE(LEFT(RIGHT(CONCATENATE("000",IFAData_TEA_1718!A1809),6),3),"-",(RIGHT(RIGHT(CONCATENATE("000",IFAData_TEA_1718!A1809),6),3)))</f>
        <v>161-922</v>
      </c>
      <c r="C1809" t="s">
        <v>2698</v>
      </c>
      <c r="D1809">
        <v>3</v>
      </c>
      <c r="E1809">
        <v>2252</v>
      </c>
      <c r="F1809" t="s">
        <v>5230</v>
      </c>
      <c r="G1809" t="s">
        <v>5232</v>
      </c>
      <c r="H1809">
        <v>486000</v>
      </c>
      <c r="I1809">
        <v>0</v>
      </c>
      <c r="J1809">
        <v>0</v>
      </c>
      <c r="K1809">
        <v>0</v>
      </c>
      <c r="L1809">
        <v>0</v>
      </c>
      <c r="M1809">
        <v>599</v>
      </c>
    </row>
    <row r="1810" spans="1:13" ht="15">
      <c r="A1810" t="s">
        <v>3649</v>
      </c>
      <c r="B1810" s="1040" t="str">
        <f>CONCATENATE(LEFT(RIGHT(CONCATENATE("000",IFAData_TEA_1718!A1810),6),3),"-",(RIGHT(RIGHT(CONCATENATE("000",IFAData_TEA_1718!A1810),6),3)))</f>
        <v>161-923</v>
      </c>
      <c r="C1810" t="s">
        <v>1348</v>
      </c>
      <c r="D1810">
        <v>3</v>
      </c>
      <c r="E1810">
        <v>1628</v>
      </c>
      <c r="F1810" t="s">
        <v>5233</v>
      </c>
      <c r="G1810" t="s">
        <v>5233</v>
      </c>
      <c r="H1810">
        <v>96640</v>
      </c>
      <c r="I1810">
        <v>0</v>
      </c>
      <c r="J1810">
        <v>0</v>
      </c>
      <c r="K1810">
        <v>0</v>
      </c>
      <c r="L1810">
        <v>0</v>
      </c>
      <c r="M1810">
        <v>599</v>
      </c>
    </row>
    <row r="1811" spans="1:13" ht="15">
      <c r="A1811" t="s">
        <v>3649</v>
      </c>
      <c r="B1811" s="1040" t="str">
        <f>CONCATENATE(LEFT(RIGHT(CONCATENATE("000",IFAData_TEA_1718!A1811),6),3),"-",(RIGHT(RIGHT(CONCATENATE("000",IFAData_TEA_1718!A1811),6),3)))</f>
        <v>161-923</v>
      </c>
      <c r="C1811" t="s">
        <v>1348</v>
      </c>
      <c r="D1811">
        <v>3</v>
      </c>
      <c r="E1811">
        <v>1628</v>
      </c>
      <c r="F1811" t="s">
        <v>5233</v>
      </c>
      <c r="G1811" t="s">
        <v>5234</v>
      </c>
      <c r="H1811">
        <v>96640</v>
      </c>
      <c r="I1811">
        <v>0</v>
      </c>
      <c r="J1811">
        <v>0</v>
      </c>
      <c r="K1811">
        <v>0</v>
      </c>
      <c r="L1811">
        <v>0</v>
      </c>
      <c r="M1811">
        <v>599</v>
      </c>
    </row>
    <row r="1812" spans="1:13" ht="15">
      <c r="A1812" t="s">
        <v>3649</v>
      </c>
      <c r="B1812" s="1040" t="str">
        <f>CONCATENATE(LEFT(RIGHT(CONCATENATE("000",IFAData_TEA_1718!A1812),6),3),"-",(RIGHT(RIGHT(CONCATENATE("000",IFAData_TEA_1718!A1812),6),3)))</f>
        <v>161-923</v>
      </c>
      <c r="C1812" t="s">
        <v>1348</v>
      </c>
      <c r="D1812">
        <v>3</v>
      </c>
      <c r="E1812">
        <v>1628</v>
      </c>
      <c r="F1812" t="s">
        <v>5233</v>
      </c>
      <c r="G1812" t="s">
        <v>6298</v>
      </c>
      <c r="H1812">
        <v>96640</v>
      </c>
      <c r="I1812">
        <v>38270</v>
      </c>
      <c r="J1812">
        <v>0.75426701880247504</v>
      </c>
      <c r="K1812">
        <v>72892.3646970712</v>
      </c>
      <c r="L1812">
        <v>38270</v>
      </c>
      <c r="M1812">
        <v>599</v>
      </c>
    </row>
    <row r="1813" spans="1:13" ht="15">
      <c r="A1813" t="s">
        <v>3649</v>
      </c>
      <c r="B1813" s="1040" t="str">
        <f>CONCATENATE(LEFT(RIGHT(CONCATENATE("000",IFAData_TEA_1718!A1813),6),3),"-",(RIGHT(RIGHT(CONCATENATE("000",IFAData_TEA_1718!A1813),6),3)))</f>
        <v>161-923</v>
      </c>
      <c r="C1813" t="s">
        <v>1348</v>
      </c>
      <c r="D1813">
        <v>3</v>
      </c>
      <c r="E1813">
        <v>1628</v>
      </c>
      <c r="F1813" t="s">
        <v>5233</v>
      </c>
      <c r="G1813" t="s">
        <v>8459</v>
      </c>
      <c r="H1813">
        <v>96640</v>
      </c>
      <c r="I1813">
        <v>12468</v>
      </c>
      <c r="J1813">
        <v>0.24573298119752501</v>
      </c>
      <c r="K1813">
        <v>23747.6353029288</v>
      </c>
      <c r="L1813">
        <v>12468</v>
      </c>
      <c r="M1813">
        <v>599</v>
      </c>
    </row>
    <row r="1814" spans="1:13" ht="15">
      <c r="A1814" t="s">
        <v>3649</v>
      </c>
      <c r="B1814" s="1040" t="str">
        <f>CONCATENATE(LEFT(RIGHT(CONCATENATE("000",IFAData_TEA_1718!A1814),6),3),"-",(RIGHT(RIGHT(CONCATENATE("000",IFAData_TEA_1718!A1814),6),3)))</f>
        <v>161-923</v>
      </c>
      <c r="C1814" t="s">
        <v>1348</v>
      </c>
      <c r="D1814">
        <v>5</v>
      </c>
      <c r="E1814">
        <v>1627</v>
      </c>
      <c r="F1814" t="s">
        <v>5235</v>
      </c>
      <c r="G1814" t="s">
        <v>5235</v>
      </c>
      <c r="H1814">
        <v>47466</v>
      </c>
      <c r="I1814">
        <v>0</v>
      </c>
      <c r="J1814">
        <v>0</v>
      </c>
      <c r="K1814"/>
      <c r="L1814">
        <v>0</v>
      </c>
      <c r="M1814">
        <v>599</v>
      </c>
    </row>
    <row r="1815" spans="1:13" ht="15">
      <c r="A1815" t="s">
        <v>3649</v>
      </c>
      <c r="B1815" s="1040" t="str">
        <f>CONCATENATE(LEFT(RIGHT(CONCATENATE("000",IFAData_TEA_1718!A1815),6),3),"-",(RIGHT(RIGHT(CONCATENATE("000",IFAData_TEA_1718!A1815),6),3)))</f>
        <v>161-923</v>
      </c>
      <c r="C1815" t="s">
        <v>1348</v>
      </c>
      <c r="D1815">
        <v>9</v>
      </c>
      <c r="E1815">
        <v>1629</v>
      </c>
      <c r="F1815" t="s">
        <v>5234</v>
      </c>
      <c r="G1815" t="s">
        <v>5234</v>
      </c>
      <c r="H1815">
        <v>109337</v>
      </c>
      <c r="I1815">
        <v>0</v>
      </c>
      <c r="J1815">
        <v>0</v>
      </c>
      <c r="K1815">
        <v>0</v>
      </c>
      <c r="L1815">
        <v>0</v>
      </c>
      <c r="M1815">
        <v>599</v>
      </c>
    </row>
    <row r="1816" spans="1:13" ht="15">
      <c r="A1816" t="s">
        <v>3649</v>
      </c>
      <c r="B1816" s="1040" t="str">
        <f>CONCATENATE(LEFT(RIGHT(CONCATENATE("000",IFAData_TEA_1718!A1816),6),3),"-",(RIGHT(RIGHT(CONCATENATE("000",IFAData_TEA_1718!A1816),6),3)))</f>
        <v>161-923</v>
      </c>
      <c r="C1816" t="s">
        <v>1348</v>
      </c>
      <c r="D1816">
        <v>9</v>
      </c>
      <c r="E1816">
        <v>1629</v>
      </c>
      <c r="F1816" t="s">
        <v>5234</v>
      </c>
      <c r="G1816" t="s">
        <v>6298</v>
      </c>
      <c r="H1816">
        <v>109337</v>
      </c>
      <c r="I1816">
        <v>0</v>
      </c>
      <c r="J1816">
        <v>0</v>
      </c>
      <c r="K1816">
        <v>0</v>
      </c>
      <c r="L1816">
        <v>0</v>
      </c>
      <c r="M1816">
        <v>599</v>
      </c>
    </row>
    <row r="1817" spans="1:13" ht="15">
      <c r="A1817" t="s">
        <v>3649</v>
      </c>
      <c r="B1817" s="1040" t="str">
        <f>CONCATENATE(LEFT(RIGHT(CONCATENATE("000",IFAData_TEA_1718!A1817),6),3),"-",(RIGHT(RIGHT(CONCATENATE("000",IFAData_TEA_1718!A1817),6),3)))</f>
        <v>161-923</v>
      </c>
      <c r="C1817" t="s">
        <v>1348</v>
      </c>
      <c r="D1817">
        <v>9</v>
      </c>
      <c r="E1817">
        <v>1629</v>
      </c>
      <c r="F1817" t="s">
        <v>5234</v>
      </c>
      <c r="G1817" t="s">
        <v>8459</v>
      </c>
      <c r="H1817">
        <v>109337</v>
      </c>
      <c r="I1817">
        <v>78913</v>
      </c>
      <c r="J1817">
        <v>1</v>
      </c>
      <c r="K1817">
        <v>109337</v>
      </c>
      <c r="L1817">
        <v>78913</v>
      </c>
      <c r="M1817">
        <v>599</v>
      </c>
    </row>
    <row r="1818" spans="1:13" ht="15">
      <c r="A1818" t="s">
        <v>3650</v>
      </c>
      <c r="B1818" s="1040" t="str">
        <f>CONCATENATE(LEFT(RIGHT(CONCATENATE("000",IFAData_TEA_1718!A1818),6),3),"-",(RIGHT(RIGHT(CONCATENATE("000",IFAData_TEA_1718!A1818),6),3)))</f>
        <v>163-901</v>
      </c>
      <c r="C1818" t="s">
        <v>2669</v>
      </c>
      <c r="D1818">
        <v>2</v>
      </c>
      <c r="E1818">
        <v>1758</v>
      </c>
      <c r="F1818" t="s">
        <v>5236</v>
      </c>
      <c r="G1818" t="s">
        <v>5236</v>
      </c>
      <c r="H1818">
        <v>429904</v>
      </c>
      <c r="I1818">
        <v>0</v>
      </c>
      <c r="J1818">
        <v>0</v>
      </c>
      <c r="K1818">
        <v>0</v>
      </c>
      <c r="L1818">
        <v>0</v>
      </c>
      <c r="M1818">
        <v>599</v>
      </c>
    </row>
    <row r="1819" spans="1:13" ht="15">
      <c r="A1819" t="s">
        <v>3650</v>
      </c>
      <c r="B1819" s="1040" t="str">
        <f>CONCATENATE(LEFT(RIGHT(CONCATENATE("000",IFAData_TEA_1718!A1819),6),3),"-",(RIGHT(RIGHT(CONCATENATE("000",IFAData_TEA_1718!A1819),6),3)))</f>
        <v>163-901</v>
      </c>
      <c r="C1819" t="s">
        <v>2669</v>
      </c>
      <c r="D1819">
        <v>2</v>
      </c>
      <c r="E1819">
        <v>1758</v>
      </c>
      <c r="F1819" t="s">
        <v>5236</v>
      </c>
      <c r="G1819" t="s">
        <v>5237</v>
      </c>
      <c r="H1819">
        <v>429904</v>
      </c>
      <c r="I1819">
        <v>386593</v>
      </c>
      <c r="J1819">
        <v>1</v>
      </c>
      <c r="K1819">
        <v>429904</v>
      </c>
      <c r="L1819">
        <v>386593</v>
      </c>
      <c r="M1819">
        <v>599</v>
      </c>
    </row>
    <row r="1820" spans="1:13" ht="15">
      <c r="A1820" t="s">
        <v>3650</v>
      </c>
      <c r="B1820" s="1040" t="str">
        <f>CONCATENATE(LEFT(RIGHT(CONCATENATE("000",IFAData_TEA_1718!A1820),6),3),"-",(RIGHT(RIGHT(CONCATENATE("000",IFAData_TEA_1718!A1820),6),3)))</f>
        <v>163-901</v>
      </c>
      <c r="C1820" t="s">
        <v>2669</v>
      </c>
      <c r="D1820">
        <v>9</v>
      </c>
      <c r="E1820">
        <v>1757</v>
      </c>
      <c r="F1820" t="s">
        <v>5238</v>
      </c>
      <c r="G1820" t="s">
        <v>5238</v>
      </c>
      <c r="H1820">
        <v>417950</v>
      </c>
      <c r="I1820">
        <v>158100</v>
      </c>
      <c r="J1820">
        <v>0.43243982494529498</v>
      </c>
      <c r="K1820">
        <v>180738.22483588601</v>
      </c>
      <c r="L1820">
        <v>158100</v>
      </c>
      <c r="M1820">
        <v>599</v>
      </c>
    </row>
    <row r="1821" spans="1:13" ht="15">
      <c r="A1821" t="s">
        <v>3650</v>
      </c>
      <c r="B1821" s="1040" t="str">
        <f>CONCATENATE(LEFT(RIGHT(CONCATENATE("000",IFAData_TEA_1718!A1821),6),3),"-",(RIGHT(RIGHT(CONCATENATE("000",IFAData_TEA_1718!A1821),6),3)))</f>
        <v>163-901</v>
      </c>
      <c r="C1821" t="s">
        <v>2669</v>
      </c>
      <c r="D1821">
        <v>9</v>
      </c>
      <c r="E1821">
        <v>1757</v>
      </c>
      <c r="F1821" t="s">
        <v>5238</v>
      </c>
      <c r="G1821" t="s">
        <v>6509</v>
      </c>
      <c r="H1821">
        <v>417950</v>
      </c>
      <c r="I1821">
        <v>207500</v>
      </c>
      <c r="J1821">
        <v>0.56756017505470502</v>
      </c>
      <c r="K1821">
        <v>237211.77516411399</v>
      </c>
      <c r="L1821">
        <v>207500</v>
      </c>
      <c r="M1821">
        <v>599</v>
      </c>
    </row>
    <row r="1822" spans="1:13" ht="15">
      <c r="A1822" t="s">
        <v>3650</v>
      </c>
      <c r="B1822" s="1040" t="str">
        <f>CONCATENATE(LEFT(RIGHT(CONCATENATE("000",IFAData_TEA_1718!A1822),6),3),"-",(RIGHT(RIGHT(CONCATENATE("000",IFAData_TEA_1718!A1822),6),3)))</f>
        <v>163-901</v>
      </c>
      <c r="C1822" t="s">
        <v>2669</v>
      </c>
      <c r="D1822">
        <v>10</v>
      </c>
      <c r="E1822">
        <v>1756</v>
      </c>
      <c r="F1822" t="s">
        <v>5239</v>
      </c>
      <c r="G1822" t="s">
        <v>5239</v>
      </c>
      <c r="H1822">
        <v>403194</v>
      </c>
      <c r="I1822">
        <v>179575</v>
      </c>
      <c r="J1822">
        <v>0.45844566305169199</v>
      </c>
      <c r="K1822">
        <v>184842.540668464</v>
      </c>
      <c r="L1822">
        <v>179575</v>
      </c>
      <c r="M1822">
        <v>599</v>
      </c>
    </row>
    <row r="1823" spans="1:13" ht="15">
      <c r="A1823" t="s">
        <v>3650</v>
      </c>
      <c r="B1823" s="1040" t="str">
        <f>CONCATENATE(LEFT(RIGHT(CONCATENATE("000",IFAData_TEA_1718!A1823),6),3),"-",(RIGHT(RIGHT(CONCATENATE("000",IFAData_TEA_1718!A1823),6),3)))</f>
        <v>163-901</v>
      </c>
      <c r="C1823" t="s">
        <v>2669</v>
      </c>
      <c r="D1823">
        <v>10</v>
      </c>
      <c r="E1823">
        <v>1756</v>
      </c>
      <c r="F1823" t="s">
        <v>5239</v>
      </c>
      <c r="G1823" t="s">
        <v>8460</v>
      </c>
      <c r="H1823">
        <v>403194</v>
      </c>
      <c r="I1823">
        <v>212129</v>
      </c>
      <c r="J1823">
        <v>0.54155433694830801</v>
      </c>
      <c r="K1823">
        <v>218351.459331536</v>
      </c>
      <c r="L1823">
        <v>212129</v>
      </c>
      <c r="M1823">
        <v>599</v>
      </c>
    </row>
    <row r="1824" spans="1:13" ht="15">
      <c r="A1824" t="s">
        <v>3651</v>
      </c>
      <c r="B1824" s="1040" t="str">
        <f>CONCATENATE(LEFT(RIGHT(CONCATENATE("000",IFAData_TEA_1718!A1824),6),3),"-",(RIGHT(RIGHT(CONCATENATE("000",IFAData_TEA_1718!A1824),6),3)))</f>
        <v>163-902</v>
      </c>
      <c r="C1824" t="s">
        <v>2178</v>
      </c>
      <c r="D1824">
        <v>6</v>
      </c>
      <c r="E1824">
        <v>1760</v>
      </c>
      <c r="F1824" t="s">
        <v>5240</v>
      </c>
      <c r="G1824" t="s">
        <v>5240</v>
      </c>
      <c r="H1824">
        <v>100000</v>
      </c>
      <c r="I1824">
        <v>0</v>
      </c>
      <c r="J1824">
        <v>0</v>
      </c>
      <c r="K1824">
        <v>0</v>
      </c>
      <c r="L1824">
        <v>0</v>
      </c>
      <c r="M1824">
        <v>599</v>
      </c>
    </row>
    <row r="1825" spans="1:13" ht="15">
      <c r="A1825" t="s">
        <v>3651</v>
      </c>
      <c r="B1825" s="1040" t="str">
        <f>CONCATENATE(LEFT(RIGHT(CONCATENATE("000",IFAData_TEA_1718!A1825),6),3),"-",(RIGHT(RIGHT(CONCATENATE("000",IFAData_TEA_1718!A1825),6),3)))</f>
        <v>163-902</v>
      </c>
      <c r="C1825" t="s">
        <v>2178</v>
      </c>
      <c r="D1825">
        <v>6</v>
      </c>
      <c r="E1825">
        <v>1760</v>
      </c>
      <c r="F1825" t="s">
        <v>5240</v>
      </c>
      <c r="G1825" t="s">
        <v>5241</v>
      </c>
      <c r="H1825">
        <v>100000</v>
      </c>
      <c r="I1825">
        <v>89252</v>
      </c>
      <c r="J1825">
        <v>1</v>
      </c>
      <c r="K1825">
        <v>100000</v>
      </c>
      <c r="L1825">
        <v>89252</v>
      </c>
      <c r="M1825">
        <v>599</v>
      </c>
    </row>
    <row r="1826" spans="1:13" ht="15">
      <c r="A1826" t="s">
        <v>3651</v>
      </c>
      <c r="B1826" s="1040" t="str">
        <f>CONCATENATE(LEFT(RIGHT(CONCATENATE("000",IFAData_TEA_1718!A1826),6),3),"-",(RIGHT(RIGHT(CONCATENATE("000",IFAData_TEA_1718!A1826),6),3)))</f>
        <v>163-902</v>
      </c>
      <c r="C1826" t="s">
        <v>2178</v>
      </c>
      <c r="D1826">
        <v>9</v>
      </c>
      <c r="E1826">
        <v>1761</v>
      </c>
      <c r="F1826" t="s">
        <v>5242</v>
      </c>
      <c r="G1826" t="s">
        <v>5242</v>
      </c>
      <c r="H1826">
        <v>100000</v>
      </c>
      <c r="I1826">
        <v>0</v>
      </c>
      <c r="J1826">
        <v>0</v>
      </c>
      <c r="K1826">
        <v>0</v>
      </c>
      <c r="L1826">
        <v>0</v>
      </c>
      <c r="M1826">
        <v>599</v>
      </c>
    </row>
    <row r="1827" spans="1:13" ht="15">
      <c r="A1827" t="s">
        <v>3651</v>
      </c>
      <c r="B1827" s="1040" t="str">
        <f>CONCATENATE(LEFT(RIGHT(CONCATENATE("000",IFAData_TEA_1718!A1827),6),3),"-",(RIGHT(RIGHT(CONCATENATE("000",IFAData_TEA_1718!A1827),6),3)))</f>
        <v>163-902</v>
      </c>
      <c r="C1827" t="s">
        <v>2178</v>
      </c>
      <c r="D1827">
        <v>9</v>
      </c>
      <c r="E1827">
        <v>1761</v>
      </c>
      <c r="F1827" t="s">
        <v>5242</v>
      </c>
      <c r="G1827" t="s">
        <v>6299</v>
      </c>
      <c r="H1827">
        <v>100000</v>
      </c>
      <c r="I1827">
        <v>141322</v>
      </c>
      <c r="J1827">
        <v>1</v>
      </c>
      <c r="K1827">
        <v>100000</v>
      </c>
      <c r="L1827">
        <v>100000</v>
      </c>
      <c r="M1827">
        <v>599</v>
      </c>
    </row>
    <row r="1828" spans="1:13" ht="15">
      <c r="A1828" t="s">
        <v>3652</v>
      </c>
      <c r="B1828" s="1040" t="str">
        <f>CONCATENATE(LEFT(RIGHT(CONCATENATE("000",IFAData_TEA_1718!A1828),6),3),"-",(RIGHT(RIGHT(CONCATENATE("000",IFAData_TEA_1718!A1828),6),3)))</f>
        <v>163-903</v>
      </c>
      <c r="C1828" t="s">
        <v>2244</v>
      </c>
      <c r="D1828">
        <v>4</v>
      </c>
      <c r="E1828">
        <v>2125</v>
      </c>
      <c r="F1828" t="s">
        <v>5243</v>
      </c>
      <c r="G1828" t="s">
        <v>5243</v>
      </c>
      <c r="H1828">
        <v>240522</v>
      </c>
      <c r="I1828">
        <v>0</v>
      </c>
      <c r="J1828">
        <v>0</v>
      </c>
      <c r="K1828"/>
      <c r="L1828">
        <v>0</v>
      </c>
      <c r="M1828">
        <v>599</v>
      </c>
    </row>
    <row r="1829" spans="1:13" ht="15">
      <c r="A1829" t="s">
        <v>3652</v>
      </c>
      <c r="B1829" s="1040" t="str">
        <f>CONCATENATE(LEFT(RIGHT(CONCATENATE("000",IFAData_TEA_1718!A1829),6),3),"-",(RIGHT(RIGHT(CONCATENATE("000",IFAData_TEA_1718!A1829),6),3)))</f>
        <v>163-903</v>
      </c>
      <c r="C1829" t="s">
        <v>2244</v>
      </c>
      <c r="D1829">
        <v>8</v>
      </c>
      <c r="E1829">
        <v>2126</v>
      </c>
      <c r="F1829" t="s">
        <v>5245</v>
      </c>
      <c r="G1829" t="s">
        <v>5245</v>
      </c>
      <c r="H1829">
        <v>260720</v>
      </c>
      <c r="I1829">
        <v>0</v>
      </c>
      <c r="J1829">
        <v>0</v>
      </c>
      <c r="K1829">
        <v>0</v>
      </c>
      <c r="L1829">
        <v>0</v>
      </c>
      <c r="M1829">
        <v>599</v>
      </c>
    </row>
    <row r="1830" spans="1:13" ht="15">
      <c r="A1830" t="s">
        <v>3652</v>
      </c>
      <c r="B1830" s="1040" t="str">
        <f>CONCATENATE(LEFT(RIGHT(CONCATENATE("000",IFAData_TEA_1718!A1830),6),3),"-",(RIGHT(RIGHT(CONCATENATE("000",IFAData_TEA_1718!A1830),6),3)))</f>
        <v>163-903</v>
      </c>
      <c r="C1830" t="s">
        <v>2244</v>
      </c>
      <c r="D1830">
        <v>8</v>
      </c>
      <c r="E1830">
        <v>2126</v>
      </c>
      <c r="F1830" t="s">
        <v>5245</v>
      </c>
      <c r="G1830" t="s">
        <v>6510</v>
      </c>
      <c r="H1830">
        <v>260720</v>
      </c>
      <c r="I1830">
        <v>246300</v>
      </c>
      <c r="J1830">
        <v>1</v>
      </c>
      <c r="K1830">
        <v>260720</v>
      </c>
      <c r="L1830">
        <v>246300</v>
      </c>
      <c r="M1830">
        <v>599</v>
      </c>
    </row>
    <row r="1831" spans="1:13" ht="15">
      <c r="A1831" t="s">
        <v>3653</v>
      </c>
      <c r="B1831" s="1040" t="str">
        <f>CONCATENATE(LEFT(RIGHT(CONCATENATE("000",IFAData_TEA_1718!A1831),6),3),"-",(RIGHT(RIGHT(CONCATENATE("000",IFAData_TEA_1718!A1831),6),3)))</f>
        <v>163-904</v>
      </c>
      <c r="C1831" t="s">
        <v>2378</v>
      </c>
      <c r="D1831">
        <v>2</v>
      </c>
      <c r="E1831">
        <v>1898</v>
      </c>
      <c r="F1831" t="s">
        <v>5246</v>
      </c>
      <c r="G1831" t="s">
        <v>5246</v>
      </c>
      <c r="H1831">
        <v>468918</v>
      </c>
      <c r="I1831">
        <v>0</v>
      </c>
      <c r="J1831">
        <v>0</v>
      </c>
      <c r="K1831">
        <v>0</v>
      </c>
      <c r="L1831">
        <v>0</v>
      </c>
      <c r="M1831">
        <v>599</v>
      </c>
    </row>
    <row r="1832" spans="1:13" ht="15">
      <c r="A1832" t="s">
        <v>3653</v>
      </c>
      <c r="B1832" s="1040" t="str">
        <f>CONCATENATE(LEFT(RIGHT(CONCATENATE("000",IFAData_TEA_1718!A1832),6),3),"-",(RIGHT(RIGHT(CONCATENATE("000",IFAData_TEA_1718!A1832),6),3)))</f>
        <v>163-904</v>
      </c>
      <c r="C1832" t="s">
        <v>2378</v>
      </c>
      <c r="D1832">
        <v>2</v>
      </c>
      <c r="E1832">
        <v>1898</v>
      </c>
      <c r="F1832" t="s">
        <v>5246</v>
      </c>
      <c r="G1832" t="s">
        <v>5247</v>
      </c>
      <c r="H1832">
        <v>468918</v>
      </c>
      <c r="I1832">
        <v>0</v>
      </c>
      <c r="J1832">
        <v>0</v>
      </c>
      <c r="K1832">
        <v>0</v>
      </c>
      <c r="L1832">
        <v>0</v>
      </c>
      <c r="M1832">
        <v>599</v>
      </c>
    </row>
    <row r="1833" spans="1:13" ht="15">
      <c r="A1833" t="s">
        <v>3653</v>
      </c>
      <c r="B1833" s="1040" t="str">
        <f>CONCATENATE(LEFT(RIGHT(CONCATENATE("000",IFAData_TEA_1718!A1833),6),3),"-",(RIGHT(RIGHT(CONCATENATE("000",IFAData_TEA_1718!A1833),6),3)))</f>
        <v>163-904</v>
      </c>
      <c r="C1833" t="s">
        <v>2378</v>
      </c>
      <c r="D1833">
        <v>2</v>
      </c>
      <c r="E1833">
        <v>1898</v>
      </c>
      <c r="F1833" t="s">
        <v>5246</v>
      </c>
      <c r="G1833" t="s">
        <v>5248</v>
      </c>
      <c r="H1833">
        <v>468918</v>
      </c>
      <c r="I1833">
        <v>406971</v>
      </c>
      <c r="J1833">
        <v>1</v>
      </c>
      <c r="K1833">
        <v>468918</v>
      </c>
      <c r="L1833">
        <v>406971</v>
      </c>
      <c r="M1833">
        <v>599</v>
      </c>
    </row>
    <row r="1834" spans="1:13" ht="15">
      <c r="A1834" t="s">
        <v>3653</v>
      </c>
      <c r="B1834" s="1040" t="str">
        <f>CONCATENATE(LEFT(RIGHT(CONCATENATE("000",IFAData_TEA_1718!A1834),6),3),"-",(RIGHT(RIGHT(CONCATENATE("000",IFAData_TEA_1718!A1834),6),3)))</f>
        <v>163-904</v>
      </c>
      <c r="C1834" t="s">
        <v>2378</v>
      </c>
      <c r="D1834">
        <v>5</v>
      </c>
      <c r="E1834">
        <v>1897</v>
      </c>
      <c r="F1834" t="s">
        <v>5249</v>
      </c>
      <c r="G1834" t="s">
        <v>5249</v>
      </c>
      <c r="H1834">
        <v>351045</v>
      </c>
      <c r="I1834">
        <v>0</v>
      </c>
      <c r="J1834">
        <v>0</v>
      </c>
      <c r="K1834">
        <v>0</v>
      </c>
      <c r="L1834">
        <v>0</v>
      </c>
      <c r="M1834">
        <v>599</v>
      </c>
    </row>
    <row r="1835" spans="1:13" ht="15">
      <c r="A1835" t="s">
        <v>3653</v>
      </c>
      <c r="B1835" s="1040" t="str">
        <f>CONCATENATE(LEFT(RIGHT(CONCATENATE("000",IFAData_TEA_1718!A1835),6),3),"-",(RIGHT(RIGHT(CONCATENATE("000",IFAData_TEA_1718!A1835),6),3)))</f>
        <v>163-904</v>
      </c>
      <c r="C1835" t="s">
        <v>2378</v>
      </c>
      <c r="D1835">
        <v>5</v>
      </c>
      <c r="E1835">
        <v>1897</v>
      </c>
      <c r="F1835" t="s">
        <v>5249</v>
      </c>
      <c r="G1835" t="s">
        <v>5250</v>
      </c>
      <c r="H1835">
        <v>351045</v>
      </c>
      <c r="I1835">
        <v>332414</v>
      </c>
      <c r="J1835">
        <v>0.52825589137838103</v>
      </c>
      <c r="K1835">
        <v>185441.58938892401</v>
      </c>
      <c r="L1835">
        <v>185441.58938892401</v>
      </c>
      <c r="M1835">
        <v>599</v>
      </c>
    </row>
    <row r="1836" spans="1:13" ht="15">
      <c r="A1836" t="s">
        <v>3653</v>
      </c>
      <c r="B1836" s="1040" t="str">
        <f>CONCATENATE(LEFT(RIGHT(CONCATENATE("000",IFAData_TEA_1718!A1836),6),3),"-",(RIGHT(RIGHT(CONCATENATE("000",IFAData_TEA_1718!A1836),6),3)))</f>
        <v>163-904</v>
      </c>
      <c r="C1836" t="s">
        <v>2378</v>
      </c>
      <c r="D1836">
        <v>5</v>
      </c>
      <c r="E1836">
        <v>1897</v>
      </c>
      <c r="F1836" t="s">
        <v>5249</v>
      </c>
      <c r="G1836" t="s">
        <v>5248</v>
      </c>
      <c r="H1836">
        <v>351045</v>
      </c>
      <c r="I1836">
        <v>0</v>
      </c>
      <c r="J1836">
        <v>0</v>
      </c>
      <c r="K1836">
        <v>0</v>
      </c>
      <c r="L1836">
        <v>0</v>
      </c>
      <c r="M1836">
        <v>599</v>
      </c>
    </row>
    <row r="1837" spans="1:13" ht="15">
      <c r="A1837" t="s">
        <v>3653</v>
      </c>
      <c r="B1837" s="1040" t="str">
        <f>CONCATENATE(LEFT(RIGHT(CONCATENATE("000",IFAData_TEA_1718!A1837),6),3),"-",(RIGHT(RIGHT(CONCATENATE("000",IFAData_TEA_1718!A1837),6),3)))</f>
        <v>163-904</v>
      </c>
      <c r="C1837" t="s">
        <v>2378</v>
      </c>
      <c r="D1837">
        <v>5</v>
      </c>
      <c r="E1837">
        <v>1897</v>
      </c>
      <c r="F1837" t="s">
        <v>5249</v>
      </c>
      <c r="G1837" t="s">
        <v>8461</v>
      </c>
      <c r="H1837">
        <v>351045</v>
      </c>
      <c r="I1837">
        <v>296853</v>
      </c>
      <c r="J1837">
        <v>0.47174410862161797</v>
      </c>
      <c r="K1837">
        <v>165603.41061107599</v>
      </c>
      <c r="L1837">
        <v>165603.41061107599</v>
      </c>
      <c r="M1837">
        <v>599</v>
      </c>
    </row>
    <row r="1838" spans="1:13" ht="15">
      <c r="A1838" t="s">
        <v>3654</v>
      </c>
      <c r="B1838" s="1040" t="str">
        <f>CONCATENATE(LEFT(RIGHT(CONCATENATE("000",IFAData_TEA_1718!A1838),6),3),"-",(RIGHT(RIGHT(CONCATENATE("000",IFAData_TEA_1718!A1838),6),3)))</f>
        <v>163-908</v>
      </c>
      <c r="C1838" t="s">
        <v>823</v>
      </c>
      <c r="D1838">
        <v>2</v>
      </c>
      <c r="E1838">
        <v>2085</v>
      </c>
      <c r="F1838" t="s">
        <v>5251</v>
      </c>
      <c r="G1838" t="s">
        <v>5251</v>
      </c>
      <c r="H1838">
        <v>528404</v>
      </c>
      <c r="I1838">
        <v>0</v>
      </c>
      <c r="J1838">
        <v>0</v>
      </c>
      <c r="K1838">
        <v>0</v>
      </c>
      <c r="L1838">
        <v>0</v>
      </c>
      <c r="M1838">
        <v>599</v>
      </c>
    </row>
    <row r="1839" spans="1:13" ht="15">
      <c r="A1839" t="s">
        <v>3654</v>
      </c>
      <c r="B1839" s="1040" t="str">
        <f>CONCATENATE(LEFT(RIGHT(CONCATENATE("000",IFAData_TEA_1718!A1839),6),3),"-",(RIGHT(RIGHT(CONCATENATE("000",IFAData_TEA_1718!A1839),6),3)))</f>
        <v>163-908</v>
      </c>
      <c r="C1839" t="s">
        <v>823</v>
      </c>
      <c r="D1839">
        <v>2</v>
      </c>
      <c r="E1839">
        <v>2085</v>
      </c>
      <c r="F1839" t="s">
        <v>5251</v>
      </c>
      <c r="G1839" t="s">
        <v>5252</v>
      </c>
      <c r="H1839">
        <v>528404</v>
      </c>
      <c r="I1839">
        <v>15490</v>
      </c>
      <c r="J1839">
        <v>2.6899039171183099E-2</v>
      </c>
      <c r="K1839">
        <v>14213.5598942098</v>
      </c>
      <c r="L1839">
        <v>14213.5598942098</v>
      </c>
      <c r="M1839">
        <v>599</v>
      </c>
    </row>
    <row r="1840" spans="1:13" ht="15">
      <c r="A1840" t="s">
        <v>3654</v>
      </c>
      <c r="B1840" s="1040" t="str">
        <f>CONCATENATE(LEFT(RIGHT(CONCATENATE("000",IFAData_TEA_1718!A1840),6),3),"-",(RIGHT(RIGHT(CONCATENATE("000",IFAData_TEA_1718!A1840),6),3)))</f>
        <v>163-908</v>
      </c>
      <c r="C1840" t="s">
        <v>823</v>
      </c>
      <c r="D1840">
        <v>2</v>
      </c>
      <c r="E1840">
        <v>2085</v>
      </c>
      <c r="F1840" t="s">
        <v>5251</v>
      </c>
      <c r="G1840" t="s">
        <v>5253</v>
      </c>
      <c r="H1840">
        <v>528404</v>
      </c>
      <c r="I1840">
        <v>76125</v>
      </c>
      <c r="J1840">
        <v>0.13219427739872899</v>
      </c>
      <c r="K1840">
        <v>69851.984954598098</v>
      </c>
      <c r="L1840">
        <v>69851.984954598098</v>
      </c>
      <c r="M1840">
        <v>599</v>
      </c>
    </row>
    <row r="1841" spans="1:13" ht="15">
      <c r="A1841" t="s">
        <v>3654</v>
      </c>
      <c r="B1841" s="1040" t="str">
        <f>CONCATENATE(LEFT(RIGHT(CONCATENATE("000",IFAData_TEA_1718!A1841),6),3),"-",(RIGHT(RIGHT(CONCATENATE("000",IFAData_TEA_1718!A1841),6),3)))</f>
        <v>163-908</v>
      </c>
      <c r="C1841" t="s">
        <v>823</v>
      </c>
      <c r="D1841">
        <v>2</v>
      </c>
      <c r="E1841">
        <v>2085</v>
      </c>
      <c r="F1841" t="s">
        <v>5251</v>
      </c>
      <c r="G1841" t="s">
        <v>6512</v>
      </c>
      <c r="H1841">
        <v>528404</v>
      </c>
      <c r="I1841">
        <v>484242</v>
      </c>
      <c r="J1841">
        <v>0.84090668343008801</v>
      </c>
      <c r="K1841">
        <v>444338.45515119203</v>
      </c>
      <c r="L1841">
        <v>444338.45515119203</v>
      </c>
      <c r="M1841">
        <v>599</v>
      </c>
    </row>
    <row r="1842" spans="1:13" ht="15">
      <c r="A1842" t="s">
        <v>3654</v>
      </c>
      <c r="B1842" s="1040" t="str">
        <f>CONCATENATE(LEFT(RIGHT(CONCATENATE("000",IFAData_TEA_1718!A1842),6),3),"-",(RIGHT(RIGHT(CONCATENATE("000",IFAData_TEA_1718!A1842),6),3)))</f>
        <v>163-908</v>
      </c>
      <c r="C1842" t="s">
        <v>823</v>
      </c>
      <c r="D1842">
        <v>5</v>
      </c>
      <c r="E1842">
        <v>2086</v>
      </c>
      <c r="F1842" t="s">
        <v>5254</v>
      </c>
      <c r="G1842" t="s">
        <v>5254</v>
      </c>
      <c r="H1842">
        <v>728095</v>
      </c>
      <c r="I1842">
        <v>0</v>
      </c>
      <c r="J1842">
        <v>0</v>
      </c>
      <c r="K1842">
        <v>0</v>
      </c>
      <c r="L1842">
        <v>0</v>
      </c>
      <c r="M1842">
        <v>599</v>
      </c>
    </row>
    <row r="1843" spans="1:13" ht="15">
      <c r="A1843" t="s">
        <v>3654</v>
      </c>
      <c r="B1843" s="1040" t="str">
        <f>CONCATENATE(LEFT(RIGHT(CONCATENATE("000",IFAData_TEA_1718!A1843),6),3),"-",(RIGHT(RIGHT(CONCATENATE("000",IFAData_TEA_1718!A1843),6),3)))</f>
        <v>163-908</v>
      </c>
      <c r="C1843" t="s">
        <v>823</v>
      </c>
      <c r="D1843">
        <v>5</v>
      </c>
      <c r="E1843">
        <v>2086</v>
      </c>
      <c r="F1843" t="s">
        <v>5254</v>
      </c>
      <c r="G1843" t="s">
        <v>5252</v>
      </c>
      <c r="H1843">
        <v>728095</v>
      </c>
      <c r="I1843">
        <v>144616</v>
      </c>
      <c r="J1843">
        <v>0.20799617996726499</v>
      </c>
      <c r="K1843">
        <v>151440.97865326601</v>
      </c>
      <c r="L1843">
        <v>144616</v>
      </c>
      <c r="M1843">
        <v>599</v>
      </c>
    </row>
    <row r="1844" spans="1:13" ht="15">
      <c r="A1844" t="s">
        <v>3654</v>
      </c>
      <c r="B1844" s="1040" t="str">
        <f>CONCATENATE(LEFT(RIGHT(CONCATENATE("000",IFAData_TEA_1718!A1844),6),3),"-",(RIGHT(RIGHT(CONCATENATE("000",IFAData_TEA_1718!A1844),6),3)))</f>
        <v>163-908</v>
      </c>
      <c r="C1844" t="s">
        <v>823</v>
      </c>
      <c r="D1844">
        <v>5</v>
      </c>
      <c r="E1844">
        <v>2086</v>
      </c>
      <c r="F1844" t="s">
        <v>5254</v>
      </c>
      <c r="G1844" t="s">
        <v>5253</v>
      </c>
      <c r="H1844">
        <v>728095</v>
      </c>
      <c r="I1844">
        <v>218983</v>
      </c>
      <c r="J1844">
        <v>0.31495565827966199</v>
      </c>
      <c r="K1844">
        <v>229317.64001513101</v>
      </c>
      <c r="L1844">
        <v>218983</v>
      </c>
      <c r="M1844">
        <v>599</v>
      </c>
    </row>
    <row r="1845" spans="1:13" ht="15">
      <c r="A1845" t="s">
        <v>3654</v>
      </c>
      <c r="B1845" s="1040" t="str">
        <f>CONCATENATE(LEFT(RIGHT(CONCATENATE("000",IFAData_TEA_1718!A1845),6),3),"-",(RIGHT(RIGHT(CONCATENATE("000",IFAData_TEA_1718!A1845),6),3)))</f>
        <v>163-908</v>
      </c>
      <c r="C1845" t="s">
        <v>823</v>
      </c>
      <c r="D1845">
        <v>5</v>
      </c>
      <c r="E1845">
        <v>2086</v>
      </c>
      <c r="F1845" t="s">
        <v>5254</v>
      </c>
      <c r="G1845" t="s">
        <v>6512</v>
      </c>
      <c r="H1845">
        <v>728095</v>
      </c>
      <c r="I1845">
        <v>331683</v>
      </c>
      <c r="J1845">
        <v>0.47704816175307302</v>
      </c>
      <c r="K1845">
        <v>347336.38133160397</v>
      </c>
      <c r="L1845">
        <v>331683</v>
      </c>
      <c r="M1845">
        <v>599</v>
      </c>
    </row>
    <row r="1846" spans="1:13" ht="15">
      <c r="A1846" t="s">
        <v>3654</v>
      </c>
      <c r="B1846" s="1040" t="str">
        <f>CONCATENATE(LEFT(RIGHT(CONCATENATE("000",IFAData_TEA_1718!A1846),6),3),"-",(RIGHT(RIGHT(CONCATENATE("000",IFAData_TEA_1718!A1846),6),3)))</f>
        <v>163-908</v>
      </c>
      <c r="C1846" t="s">
        <v>823</v>
      </c>
      <c r="D1846">
        <v>9</v>
      </c>
      <c r="E1846">
        <v>2087</v>
      </c>
      <c r="F1846" t="s">
        <v>5255</v>
      </c>
      <c r="G1846" t="s">
        <v>5255</v>
      </c>
      <c r="H1846">
        <v>778750</v>
      </c>
      <c r="I1846">
        <v>1635499</v>
      </c>
      <c r="J1846">
        <v>0.64026637916320195</v>
      </c>
      <c r="K1846">
        <v>498607.442773344</v>
      </c>
      <c r="L1846">
        <v>498607.442773344</v>
      </c>
      <c r="M1846">
        <v>599</v>
      </c>
    </row>
    <row r="1847" spans="1:13" ht="15">
      <c r="A1847" t="s">
        <v>3654</v>
      </c>
      <c r="B1847" s="1040" t="str">
        <f>CONCATENATE(LEFT(RIGHT(CONCATENATE("000",IFAData_TEA_1718!A1847),6),3),"-",(RIGHT(RIGHT(CONCATENATE("000",IFAData_TEA_1718!A1847),6),3)))</f>
        <v>163-908</v>
      </c>
      <c r="C1847" t="s">
        <v>823</v>
      </c>
      <c r="D1847">
        <v>9</v>
      </c>
      <c r="E1847">
        <v>2087</v>
      </c>
      <c r="F1847" t="s">
        <v>5255</v>
      </c>
      <c r="G1847" t="s">
        <v>6300</v>
      </c>
      <c r="H1847">
        <v>778750</v>
      </c>
      <c r="I1847">
        <v>99183</v>
      </c>
      <c r="J1847">
        <v>3.8828235470974803E-2</v>
      </c>
      <c r="K1847">
        <v>30237.488373021701</v>
      </c>
      <c r="L1847">
        <v>30237.488373021701</v>
      </c>
      <c r="M1847">
        <v>599</v>
      </c>
    </row>
    <row r="1848" spans="1:13" ht="15">
      <c r="A1848" t="s">
        <v>3654</v>
      </c>
      <c r="B1848" s="1040" t="str">
        <f>CONCATENATE(LEFT(RIGHT(CONCATENATE("000",IFAData_TEA_1718!A1848),6),3),"-",(RIGHT(RIGHT(CONCATENATE("000",IFAData_TEA_1718!A1848),6),3)))</f>
        <v>163-908</v>
      </c>
      <c r="C1848" t="s">
        <v>823</v>
      </c>
      <c r="D1848">
        <v>9</v>
      </c>
      <c r="E1848">
        <v>2087</v>
      </c>
      <c r="F1848" t="s">
        <v>5255</v>
      </c>
      <c r="G1848" t="s">
        <v>6301</v>
      </c>
      <c r="H1848">
        <v>778750</v>
      </c>
      <c r="I1848">
        <v>225117</v>
      </c>
      <c r="J1848">
        <v>8.8128972550935603E-2</v>
      </c>
      <c r="K1848">
        <v>68630.437374041096</v>
      </c>
      <c r="L1848">
        <v>68630.437374041096</v>
      </c>
      <c r="M1848">
        <v>599</v>
      </c>
    </row>
    <row r="1849" spans="1:13" ht="15">
      <c r="A1849" t="s">
        <v>3654</v>
      </c>
      <c r="B1849" s="1040" t="str">
        <f>CONCATENATE(LEFT(RIGHT(CONCATENATE("000",IFAData_TEA_1718!A1849),6),3),"-",(RIGHT(RIGHT(CONCATENATE("000",IFAData_TEA_1718!A1849),6),3)))</f>
        <v>163-908</v>
      </c>
      <c r="C1849" t="s">
        <v>823</v>
      </c>
      <c r="D1849">
        <v>9</v>
      </c>
      <c r="E1849">
        <v>2087</v>
      </c>
      <c r="F1849" t="s">
        <v>5255</v>
      </c>
      <c r="G1849" t="s">
        <v>6511</v>
      </c>
      <c r="H1849">
        <v>778750</v>
      </c>
      <c r="I1849">
        <v>594605</v>
      </c>
      <c r="J1849">
        <v>0.23277641281488801</v>
      </c>
      <c r="K1849">
        <v>181274.63147959401</v>
      </c>
      <c r="L1849">
        <v>181274.63147959401</v>
      </c>
      <c r="M1849">
        <v>599</v>
      </c>
    </row>
    <row r="1850" spans="1:13" ht="15">
      <c r="A1850" t="s">
        <v>3654</v>
      </c>
      <c r="B1850" s="1040" t="str">
        <f>CONCATENATE(LEFT(RIGHT(CONCATENATE("000",IFAData_TEA_1718!A1850),6),3),"-",(RIGHT(RIGHT(CONCATENATE("000",IFAData_TEA_1718!A1850),6),3)))</f>
        <v>163-908</v>
      </c>
      <c r="C1850" t="s">
        <v>823</v>
      </c>
      <c r="D1850">
        <v>11</v>
      </c>
      <c r="E1850">
        <v>2538</v>
      </c>
      <c r="F1850" t="s">
        <v>8462</v>
      </c>
      <c r="G1850" t="s">
        <v>8462</v>
      </c>
      <c r="H1850">
        <v>1050671</v>
      </c>
      <c r="I1850">
        <v>2823500</v>
      </c>
      <c r="J1850">
        <v>1</v>
      </c>
      <c r="K1850">
        <v>1050671</v>
      </c>
      <c r="L1850">
        <v>1050671</v>
      </c>
      <c r="M1850">
        <v>599</v>
      </c>
    </row>
    <row r="1851" spans="1:13" ht="15">
      <c r="A1851" t="s">
        <v>3655</v>
      </c>
      <c r="B1851" s="1040" t="str">
        <f>CONCATENATE(LEFT(RIGHT(CONCATENATE("000",IFAData_TEA_1718!A1851),6),3),"-",(RIGHT(RIGHT(CONCATENATE("000",IFAData_TEA_1718!A1851),6),3)))</f>
        <v>165-901</v>
      </c>
      <c r="C1851" t="s">
        <v>2236</v>
      </c>
      <c r="D1851">
        <v>1</v>
      </c>
      <c r="E1851">
        <v>2103</v>
      </c>
      <c r="F1851" t="s">
        <v>5256</v>
      </c>
      <c r="G1851" t="s">
        <v>5256</v>
      </c>
      <c r="H1851">
        <v>1268572</v>
      </c>
      <c r="I1851">
        <v>0</v>
      </c>
      <c r="J1851">
        <v>0</v>
      </c>
      <c r="K1851">
        <v>0</v>
      </c>
      <c r="L1851">
        <v>0</v>
      </c>
      <c r="M1851">
        <v>599</v>
      </c>
    </row>
    <row r="1852" spans="1:13" ht="15">
      <c r="A1852" t="s">
        <v>3655</v>
      </c>
      <c r="B1852" s="1040" t="str">
        <f>CONCATENATE(LEFT(RIGHT(CONCATENATE("000",IFAData_TEA_1718!A1852),6),3),"-",(RIGHT(RIGHT(CONCATENATE("000",IFAData_TEA_1718!A1852),6),3)))</f>
        <v>165-901</v>
      </c>
      <c r="C1852" t="s">
        <v>2236</v>
      </c>
      <c r="D1852">
        <v>1</v>
      </c>
      <c r="E1852">
        <v>2103</v>
      </c>
      <c r="F1852" t="s">
        <v>5256</v>
      </c>
      <c r="G1852" t="s">
        <v>5257</v>
      </c>
      <c r="H1852">
        <v>1268572</v>
      </c>
      <c r="I1852">
        <v>80614</v>
      </c>
      <c r="J1852">
        <v>1</v>
      </c>
      <c r="K1852">
        <v>1268572</v>
      </c>
      <c r="L1852">
        <v>80614</v>
      </c>
      <c r="M1852">
        <v>599</v>
      </c>
    </row>
    <row r="1853" spans="1:13" ht="15">
      <c r="A1853" t="s">
        <v>3655</v>
      </c>
      <c r="B1853" s="1040" t="str">
        <f>CONCATENATE(LEFT(RIGHT(CONCATENATE("000",IFAData_TEA_1718!A1853),6),3),"-",(RIGHT(RIGHT(CONCATENATE("000",IFAData_TEA_1718!A1853),6),3)))</f>
        <v>165-901</v>
      </c>
      <c r="C1853" t="s">
        <v>2236</v>
      </c>
      <c r="D1853">
        <v>1</v>
      </c>
      <c r="E1853">
        <v>2104</v>
      </c>
      <c r="F1853" t="s">
        <v>5258</v>
      </c>
      <c r="G1853" t="s">
        <v>5259</v>
      </c>
      <c r="H1853">
        <v>1498095</v>
      </c>
      <c r="I1853">
        <v>102710</v>
      </c>
      <c r="J1853">
        <v>1</v>
      </c>
      <c r="K1853">
        <v>1498095</v>
      </c>
      <c r="L1853">
        <v>102710</v>
      </c>
      <c r="M1853">
        <v>599</v>
      </c>
    </row>
    <row r="1854" spans="1:13" ht="15">
      <c r="A1854" t="s">
        <v>3655</v>
      </c>
      <c r="B1854" s="1040" t="str">
        <f>CONCATENATE(LEFT(RIGHT(CONCATENATE("000",IFAData_TEA_1718!A1854),6),3),"-",(RIGHT(RIGHT(CONCATENATE("000",IFAData_TEA_1718!A1854),6),3)))</f>
        <v>165-901</v>
      </c>
      <c r="C1854" t="s">
        <v>2236</v>
      </c>
      <c r="D1854">
        <v>1</v>
      </c>
      <c r="E1854">
        <v>2104</v>
      </c>
      <c r="F1854" t="s">
        <v>5258</v>
      </c>
      <c r="G1854" t="s">
        <v>5258</v>
      </c>
      <c r="H1854">
        <v>1498095</v>
      </c>
      <c r="I1854">
        <v>0</v>
      </c>
      <c r="J1854">
        <v>0</v>
      </c>
      <c r="K1854">
        <v>0</v>
      </c>
      <c r="L1854">
        <v>0</v>
      </c>
      <c r="M1854">
        <v>599</v>
      </c>
    </row>
    <row r="1855" spans="1:13" ht="15">
      <c r="A1855" t="s">
        <v>3656</v>
      </c>
      <c r="B1855" s="1040" t="str">
        <f>CONCATENATE(LEFT(RIGHT(CONCATENATE("000",IFAData_TEA_1718!A1855),6),3),"-",(RIGHT(RIGHT(CONCATENATE("000",IFAData_TEA_1718!A1855),6),3)))</f>
        <v>166-901</v>
      </c>
      <c r="C1855" t="s">
        <v>652</v>
      </c>
      <c r="D1855">
        <v>3</v>
      </c>
      <c r="E1855">
        <v>1660</v>
      </c>
      <c r="F1855" t="s">
        <v>5260</v>
      </c>
      <c r="G1855" t="s">
        <v>5260</v>
      </c>
      <c r="H1855">
        <v>407753</v>
      </c>
      <c r="I1855">
        <v>0</v>
      </c>
      <c r="J1855">
        <v>0</v>
      </c>
      <c r="K1855">
        <v>0</v>
      </c>
      <c r="L1855">
        <v>0</v>
      </c>
      <c r="M1855">
        <v>599</v>
      </c>
    </row>
    <row r="1856" spans="1:13" ht="15">
      <c r="A1856" t="s">
        <v>3656</v>
      </c>
      <c r="B1856" s="1040" t="str">
        <f>CONCATENATE(LEFT(RIGHT(CONCATENATE("000",IFAData_TEA_1718!A1856),6),3),"-",(RIGHT(RIGHT(CONCATENATE("000",IFAData_TEA_1718!A1856),6),3)))</f>
        <v>166-901</v>
      </c>
      <c r="C1856" t="s">
        <v>652</v>
      </c>
      <c r="D1856">
        <v>3</v>
      </c>
      <c r="E1856">
        <v>1660</v>
      </c>
      <c r="F1856" t="s">
        <v>5260</v>
      </c>
      <c r="G1856" t="s">
        <v>5261</v>
      </c>
      <c r="H1856">
        <v>407753</v>
      </c>
      <c r="I1856">
        <v>0</v>
      </c>
      <c r="J1856">
        <v>0</v>
      </c>
      <c r="K1856">
        <v>0</v>
      </c>
      <c r="L1856">
        <v>0</v>
      </c>
      <c r="M1856">
        <v>599</v>
      </c>
    </row>
    <row r="1857" spans="1:13" ht="15">
      <c r="A1857" t="s">
        <v>3656</v>
      </c>
      <c r="B1857" s="1040" t="str">
        <f>CONCATENATE(LEFT(RIGHT(CONCATENATE("000",IFAData_TEA_1718!A1857),6),3),"-",(RIGHT(RIGHT(CONCATENATE("000",IFAData_TEA_1718!A1857),6),3)))</f>
        <v>166-901</v>
      </c>
      <c r="C1857" t="s">
        <v>652</v>
      </c>
      <c r="D1857">
        <v>3</v>
      </c>
      <c r="E1857">
        <v>1660</v>
      </c>
      <c r="F1857" t="s">
        <v>5260</v>
      </c>
      <c r="G1857" t="s">
        <v>6513</v>
      </c>
      <c r="H1857">
        <v>407753</v>
      </c>
      <c r="I1857">
        <v>495250</v>
      </c>
      <c r="J1857">
        <v>1</v>
      </c>
      <c r="K1857">
        <v>407753</v>
      </c>
      <c r="L1857">
        <v>407753</v>
      </c>
      <c r="M1857">
        <v>599</v>
      </c>
    </row>
    <row r="1858" spans="1:13" ht="15">
      <c r="A1858" t="s">
        <v>3656</v>
      </c>
      <c r="B1858" s="1040" t="str">
        <f>CONCATENATE(LEFT(RIGHT(CONCATENATE("000",IFAData_TEA_1718!A1858),6),3),"-",(RIGHT(RIGHT(CONCATENATE("000",IFAData_TEA_1718!A1858),6),3)))</f>
        <v>166-901</v>
      </c>
      <c r="C1858" t="s">
        <v>652</v>
      </c>
      <c r="D1858">
        <v>6</v>
      </c>
      <c r="E1858">
        <v>1659</v>
      </c>
      <c r="F1858" t="s">
        <v>5262</v>
      </c>
      <c r="G1858" t="s">
        <v>5262</v>
      </c>
      <c r="H1858">
        <v>390173</v>
      </c>
      <c r="I1858">
        <v>0</v>
      </c>
      <c r="J1858">
        <v>0</v>
      </c>
      <c r="K1858">
        <v>0</v>
      </c>
      <c r="L1858">
        <v>0</v>
      </c>
      <c r="M1858">
        <v>599</v>
      </c>
    </row>
    <row r="1859" spans="1:13" ht="15">
      <c r="A1859" t="s">
        <v>3656</v>
      </c>
      <c r="B1859" s="1040" t="str">
        <f>CONCATENATE(LEFT(RIGHT(CONCATENATE("000",IFAData_TEA_1718!A1859),6),3),"-",(RIGHT(RIGHT(CONCATENATE("000",IFAData_TEA_1718!A1859),6),3)))</f>
        <v>166-901</v>
      </c>
      <c r="C1859" t="s">
        <v>652</v>
      </c>
      <c r="D1859">
        <v>6</v>
      </c>
      <c r="E1859">
        <v>1659</v>
      </c>
      <c r="F1859" t="s">
        <v>5262</v>
      </c>
      <c r="G1859" t="s">
        <v>5263</v>
      </c>
      <c r="H1859">
        <v>390173</v>
      </c>
      <c r="I1859">
        <v>709848</v>
      </c>
      <c r="J1859">
        <v>1</v>
      </c>
      <c r="K1859">
        <v>390173</v>
      </c>
      <c r="L1859">
        <v>390173</v>
      </c>
      <c r="M1859">
        <v>599</v>
      </c>
    </row>
    <row r="1860" spans="1:13" ht="15">
      <c r="A1860" t="s">
        <v>3657</v>
      </c>
      <c r="B1860" s="1040" t="str">
        <f>CONCATENATE(LEFT(RIGHT(CONCATENATE("000",IFAData_TEA_1718!A1860),6),3),"-",(RIGHT(RIGHT(CONCATENATE("000",IFAData_TEA_1718!A1860),6),3)))</f>
        <v>166-907</v>
      </c>
      <c r="C1860" t="s">
        <v>2637</v>
      </c>
      <c r="D1860">
        <v>4</v>
      </c>
      <c r="E1860">
        <v>1649</v>
      </c>
      <c r="F1860" t="s">
        <v>5264</v>
      </c>
      <c r="G1860" t="s">
        <v>5264</v>
      </c>
      <c r="H1860">
        <v>100000</v>
      </c>
      <c r="I1860">
        <v>0</v>
      </c>
      <c r="J1860">
        <v>0</v>
      </c>
      <c r="K1860">
        <v>0</v>
      </c>
      <c r="L1860">
        <v>0</v>
      </c>
      <c r="M1860">
        <v>599</v>
      </c>
    </row>
    <row r="1861" spans="1:13" ht="15">
      <c r="A1861" t="s">
        <v>3657</v>
      </c>
      <c r="B1861" s="1040" t="str">
        <f>CONCATENATE(LEFT(RIGHT(CONCATENATE("000",IFAData_TEA_1718!A1861),6),3),"-",(RIGHT(RIGHT(CONCATENATE("000",IFAData_TEA_1718!A1861),6),3)))</f>
        <v>166-907</v>
      </c>
      <c r="C1861" t="s">
        <v>2637</v>
      </c>
      <c r="D1861">
        <v>4</v>
      </c>
      <c r="E1861">
        <v>1649</v>
      </c>
      <c r="F1861" t="s">
        <v>5264</v>
      </c>
      <c r="G1861" t="s">
        <v>5265</v>
      </c>
      <c r="H1861">
        <v>100000</v>
      </c>
      <c r="I1861">
        <v>85536</v>
      </c>
      <c r="J1861">
        <v>1</v>
      </c>
      <c r="K1861">
        <v>100000</v>
      </c>
      <c r="L1861">
        <v>85536</v>
      </c>
      <c r="M1861">
        <v>599</v>
      </c>
    </row>
    <row r="1862" spans="1:13" ht="15">
      <c r="A1862" t="s">
        <v>3658</v>
      </c>
      <c r="B1862" s="1040" t="str">
        <f>CONCATENATE(LEFT(RIGHT(CONCATENATE("000",IFAData_TEA_1718!A1862),6),3),"-",(RIGHT(RIGHT(CONCATENATE("000",IFAData_TEA_1718!A1862),6),3)))</f>
        <v>167-901</v>
      </c>
      <c r="C1862" t="s">
        <v>860</v>
      </c>
      <c r="D1862">
        <v>2</v>
      </c>
      <c r="E1862">
        <v>1849</v>
      </c>
      <c r="F1862" t="s">
        <v>5266</v>
      </c>
      <c r="G1862" t="s">
        <v>5266</v>
      </c>
      <c r="H1862">
        <v>149754</v>
      </c>
      <c r="I1862">
        <v>0</v>
      </c>
      <c r="J1862">
        <v>0</v>
      </c>
      <c r="K1862">
        <v>0</v>
      </c>
      <c r="L1862">
        <v>0</v>
      </c>
      <c r="M1862">
        <v>599</v>
      </c>
    </row>
    <row r="1863" spans="1:13" ht="15">
      <c r="A1863" t="s">
        <v>3658</v>
      </c>
      <c r="B1863" s="1040" t="str">
        <f>CONCATENATE(LEFT(RIGHT(CONCATENATE("000",IFAData_TEA_1718!A1863),6),3),"-",(RIGHT(RIGHT(CONCATENATE("000",IFAData_TEA_1718!A1863),6),3)))</f>
        <v>167-901</v>
      </c>
      <c r="C1863" t="s">
        <v>860</v>
      </c>
      <c r="D1863">
        <v>2</v>
      </c>
      <c r="E1863">
        <v>1849</v>
      </c>
      <c r="F1863" t="s">
        <v>5266</v>
      </c>
      <c r="G1863" t="s">
        <v>5267</v>
      </c>
      <c r="H1863">
        <v>149754</v>
      </c>
      <c r="I1863">
        <v>147050</v>
      </c>
      <c r="J1863">
        <v>1</v>
      </c>
      <c r="K1863">
        <v>149754</v>
      </c>
      <c r="L1863">
        <v>147050</v>
      </c>
      <c r="M1863">
        <v>599</v>
      </c>
    </row>
    <row r="1864" spans="1:13" ht="15">
      <c r="A1864" t="s">
        <v>3659</v>
      </c>
      <c r="B1864" s="1040" t="str">
        <f>CONCATENATE(LEFT(RIGHT(CONCATENATE("000",IFAData_TEA_1718!A1864),6),3),"-",(RIGHT(RIGHT(CONCATENATE("000",IFAData_TEA_1718!A1864),6),3)))</f>
        <v>167-904</v>
      </c>
      <c r="C1864" t="s">
        <v>73</v>
      </c>
      <c r="D1864">
        <v>6</v>
      </c>
      <c r="E1864">
        <v>2212</v>
      </c>
      <c r="F1864" t="s">
        <v>5268</v>
      </c>
      <c r="G1864" t="s">
        <v>5268</v>
      </c>
      <c r="H1864">
        <v>73691</v>
      </c>
      <c r="I1864">
        <v>0</v>
      </c>
      <c r="J1864">
        <v>0</v>
      </c>
      <c r="K1864"/>
      <c r="L1864">
        <v>0</v>
      </c>
      <c r="M1864">
        <v>599</v>
      </c>
    </row>
    <row r="1865" spans="1:13" ht="15">
      <c r="A1865" t="s">
        <v>3660</v>
      </c>
      <c r="B1865" s="1040" t="str">
        <f>CONCATENATE(LEFT(RIGHT(CONCATENATE("000",IFAData_TEA_1718!A1865),6),3),"-",(RIGHT(RIGHT(CONCATENATE("000",IFAData_TEA_1718!A1865),6),3)))</f>
        <v>169-901</v>
      </c>
      <c r="C1865" t="s">
        <v>1366</v>
      </c>
      <c r="D1865">
        <v>9</v>
      </c>
      <c r="E1865">
        <v>1630</v>
      </c>
      <c r="F1865" t="s">
        <v>5269</v>
      </c>
      <c r="G1865" t="s">
        <v>5269</v>
      </c>
      <c r="H1865">
        <v>357946</v>
      </c>
      <c r="I1865">
        <v>0</v>
      </c>
      <c r="J1865">
        <v>0</v>
      </c>
      <c r="K1865">
        <v>0</v>
      </c>
      <c r="L1865">
        <v>0</v>
      </c>
      <c r="M1865">
        <v>599</v>
      </c>
    </row>
    <row r="1866" spans="1:13" ht="15">
      <c r="A1866" t="s">
        <v>3660</v>
      </c>
      <c r="B1866" s="1040" t="str">
        <f>CONCATENATE(LEFT(RIGHT(CONCATENATE("000",IFAData_TEA_1718!A1866),6),3),"-",(RIGHT(RIGHT(CONCATENATE("000",IFAData_TEA_1718!A1866),6),3)))</f>
        <v>169-901</v>
      </c>
      <c r="C1866" t="s">
        <v>1366</v>
      </c>
      <c r="D1866">
        <v>9</v>
      </c>
      <c r="E1866">
        <v>1630</v>
      </c>
      <c r="F1866" t="s">
        <v>5269</v>
      </c>
      <c r="G1866" t="s">
        <v>5270</v>
      </c>
      <c r="H1866">
        <v>357946</v>
      </c>
      <c r="I1866">
        <v>549968</v>
      </c>
      <c r="J1866">
        <v>1</v>
      </c>
      <c r="K1866">
        <v>357946</v>
      </c>
      <c r="L1866">
        <v>357946</v>
      </c>
      <c r="M1866">
        <v>599</v>
      </c>
    </row>
    <row r="1867" spans="1:13" ht="15">
      <c r="A1867" t="s">
        <v>3661</v>
      </c>
      <c r="B1867" s="1040" t="str">
        <f>CONCATENATE(LEFT(RIGHT(CONCATENATE("000",IFAData_TEA_1718!A1867),6),3),"-",(RIGHT(RIGHT(CONCATENATE("000",IFAData_TEA_1718!A1867),6),3)))</f>
        <v>170-902</v>
      </c>
      <c r="C1867" t="s">
        <v>1553</v>
      </c>
      <c r="D1867">
        <v>1</v>
      </c>
      <c r="E1867">
        <v>1717</v>
      </c>
      <c r="F1867" t="s">
        <v>5271</v>
      </c>
      <c r="G1867" t="s">
        <v>5271</v>
      </c>
      <c r="H1867">
        <v>398132</v>
      </c>
      <c r="I1867">
        <v>0</v>
      </c>
      <c r="J1867">
        <v>0</v>
      </c>
      <c r="K1867">
        <v>0</v>
      </c>
      <c r="L1867">
        <v>0</v>
      </c>
      <c r="M1867">
        <v>599</v>
      </c>
    </row>
    <row r="1868" spans="1:13" ht="15">
      <c r="A1868" t="s">
        <v>3661</v>
      </c>
      <c r="B1868" s="1040" t="str">
        <f>CONCATENATE(LEFT(RIGHT(CONCATENATE("000",IFAData_TEA_1718!A1868),6),3),"-",(RIGHT(RIGHT(CONCATENATE("000",IFAData_TEA_1718!A1868),6),3)))</f>
        <v>170-902</v>
      </c>
      <c r="C1868" t="s">
        <v>1553</v>
      </c>
      <c r="D1868">
        <v>1</v>
      </c>
      <c r="E1868">
        <v>1717</v>
      </c>
      <c r="F1868" t="s">
        <v>5271</v>
      </c>
      <c r="G1868" t="s">
        <v>5272</v>
      </c>
      <c r="H1868">
        <v>398132</v>
      </c>
      <c r="I1868">
        <v>0</v>
      </c>
      <c r="J1868">
        <v>0</v>
      </c>
      <c r="K1868">
        <v>0</v>
      </c>
      <c r="L1868">
        <v>0</v>
      </c>
      <c r="M1868">
        <v>599</v>
      </c>
    </row>
    <row r="1869" spans="1:13" ht="15">
      <c r="A1869" t="s">
        <v>3661</v>
      </c>
      <c r="B1869" s="1040" t="str">
        <f>CONCATENATE(LEFT(RIGHT(CONCATENATE("000",IFAData_TEA_1718!A1869),6),3),"-",(RIGHT(RIGHT(CONCATENATE("000",IFAData_TEA_1718!A1869),6),3)))</f>
        <v>170-902</v>
      </c>
      <c r="C1869" t="s">
        <v>1553</v>
      </c>
      <c r="D1869">
        <v>1</v>
      </c>
      <c r="E1869">
        <v>1717</v>
      </c>
      <c r="F1869" t="s">
        <v>5271</v>
      </c>
      <c r="G1869" t="s">
        <v>5273</v>
      </c>
      <c r="H1869">
        <v>398132</v>
      </c>
      <c r="I1869">
        <v>0</v>
      </c>
      <c r="J1869">
        <v>0</v>
      </c>
      <c r="K1869">
        <v>0</v>
      </c>
      <c r="L1869">
        <v>0</v>
      </c>
      <c r="M1869">
        <v>599</v>
      </c>
    </row>
    <row r="1870" spans="1:13" ht="15">
      <c r="A1870" t="s">
        <v>3661</v>
      </c>
      <c r="B1870" s="1040" t="str">
        <f>CONCATENATE(LEFT(RIGHT(CONCATENATE("000",IFAData_TEA_1718!A1870),6),3),"-",(RIGHT(RIGHT(CONCATENATE("000",IFAData_TEA_1718!A1870),6),3)))</f>
        <v>170-902</v>
      </c>
      <c r="C1870" t="s">
        <v>1553</v>
      </c>
      <c r="D1870">
        <v>1</v>
      </c>
      <c r="E1870">
        <v>1717</v>
      </c>
      <c r="F1870" t="s">
        <v>5271</v>
      </c>
      <c r="G1870" t="s">
        <v>5274</v>
      </c>
      <c r="H1870">
        <v>398132</v>
      </c>
      <c r="I1870">
        <v>108726</v>
      </c>
      <c r="J1870">
        <v>0.27147836682513699</v>
      </c>
      <c r="K1870">
        <v>108084.225140825</v>
      </c>
      <c r="L1870">
        <v>108084.225140825</v>
      </c>
      <c r="M1870">
        <v>599</v>
      </c>
    </row>
    <row r="1871" spans="1:13" ht="15">
      <c r="A1871" t="s">
        <v>3661</v>
      </c>
      <c r="B1871" s="1040" t="str">
        <f>CONCATENATE(LEFT(RIGHT(CONCATENATE("000",IFAData_TEA_1718!A1871),6),3),"-",(RIGHT(RIGHT(CONCATENATE("000",IFAData_TEA_1718!A1871),6),3)))</f>
        <v>170-902</v>
      </c>
      <c r="C1871" t="s">
        <v>1553</v>
      </c>
      <c r="D1871">
        <v>1</v>
      </c>
      <c r="E1871">
        <v>1717</v>
      </c>
      <c r="F1871" t="s">
        <v>5271</v>
      </c>
      <c r="G1871" t="s">
        <v>5275</v>
      </c>
      <c r="H1871">
        <v>398132</v>
      </c>
      <c r="I1871">
        <v>59825</v>
      </c>
      <c r="J1871">
        <v>0.149377272182494</v>
      </c>
      <c r="K1871">
        <v>59471.872128560601</v>
      </c>
      <c r="L1871">
        <v>59471.872128560601</v>
      </c>
      <c r="M1871">
        <v>599</v>
      </c>
    </row>
    <row r="1872" spans="1:13" ht="15">
      <c r="A1872" t="s">
        <v>3661</v>
      </c>
      <c r="B1872" s="1040" t="str">
        <f>CONCATENATE(LEFT(RIGHT(CONCATENATE("000",IFAData_TEA_1718!A1872),6),3),"-",(RIGHT(RIGHT(CONCATENATE("000",IFAData_TEA_1718!A1872),6),3)))</f>
        <v>170-902</v>
      </c>
      <c r="C1872" t="s">
        <v>1553</v>
      </c>
      <c r="D1872">
        <v>1</v>
      </c>
      <c r="E1872">
        <v>1717</v>
      </c>
      <c r="F1872" t="s">
        <v>5271</v>
      </c>
      <c r="G1872" t="s">
        <v>6302</v>
      </c>
      <c r="H1872">
        <v>398132</v>
      </c>
      <c r="I1872">
        <v>157414</v>
      </c>
      <c r="J1872">
        <v>0.39304762095002199</v>
      </c>
      <c r="K1872">
        <v>156484.835424074</v>
      </c>
      <c r="L1872">
        <v>156484.835424074</v>
      </c>
      <c r="M1872">
        <v>599</v>
      </c>
    </row>
    <row r="1873" spans="1:13" ht="15">
      <c r="A1873" t="s">
        <v>3661</v>
      </c>
      <c r="B1873" s="1040" t="str">
        <f>CONCATENATE(LEFT(RIGHT(CONCATENATE("000",IFAData_TEA_1718!A1873),6),3),"-",(RIGHT(RIGHT(CONCATENATE("000",IFAData_TEA_1718!A1873),6),3)))</f>
        <v>170-902</v>
      </c>
      <c r="C1873" t="s">
        <v>1553</v>
      </c>
      <c r="D1873">
        <v>1</v>
      </c>
      <c r="E1873">
        <v>1717</v>
      </c>
      <c r="F1873" t="s">
        <v>5271</v>
      </c>
      <c r="G1873" t="s">
        <v>6514</v>
      </c>
      <c r="H1873">
        <v>398132</v>
      </c>
      <c r="I1873">
        <v>70073</v>
      </c>
      <c r="J1873">
        <v>0.174965542727019</v>
      </c>
      <c r="K1873">
        <v>69659.381456993302</v>
      </c>
      <c r="L1873">
        <v>69659.381456993302</v>
      </c>
      <c r="M1873">
        <v>599</v>
      </c>
    </row>
    <row r="1874" spans="1:13" ht="15">
      <c r="A1874" t="s">
        <v>3661</v>
      </c>
      <c r="B1874" s="1040" t="str">
        <f>CONCATENATE(LEFT(RIGHT(CONCATENATE("000",IFAData_TEA_1718!A1874),6),3),"-",(RIGHT(RIGHT(CONCATENATE("000",IFAData_TEA_1718!A1874),6),3)))</f>
        <v>170-902</v>
      </c>
      <c r="C1874" t="s">
        <v>1553</v>
      </c>
      <c r="D1874">
        <v>1</v>
      </c>
      <c r="E1874">
        <v>1717</v>
      </c>
      <c r="F1874" t="s">
        <v>5271</v>
      </c>
      <c r="G1874" t="s">
        <v>8463</v>
      </c>
      <c r="H1874">
        <v>398132</v>
      </c>
      <c r="I1874">
        <v>4458</v>
      </c>
      <c r="J1874">
        <v>1.1131197315329E-2</v>
      </c>
      <c r="K1874">
        <v>4431.6858495465603</v>
      </c>
      <c r="L1874">
        <v>4431.6858495465603</v>
      </c>
      <c r="M1874">
        <v>599</v>
      </c>
    </row>
    <row r="1875" spans="1:13" ht="15">
      <c r="A1875" t="s">
        <v>3662</v>
      </c>
      <c r="B1875" s="1040" t="str">
        <f>CONCATENATE(LEFT(RIGHT(CONCATENATE("000",IFAData_TEA_1718!A1875),6),3),"-",(RIGHT(RIGHT(CONCATENATE("000",IFAData_TEA_1718!A1875),6),3)))</f>
        <v>170-904</v>
      </c>
      <c r="C1875" t="s">
        <v>1127</v>
      </c>
      <c r="D1875">
        <v>2</v>
      </c>
      <c r="E1875">
        <v>2457</v>
      </c>
      <c r="F1875" t="s">
        <v>5276</v>
      </c>
      <c r="G1875" t="s">
        <v>5276</v>
      </c>
      <c r="H1875">
        <v>890114</v>
      </c>
      <c r="I1875">
        <v>1971028</v>
      </c>
      <c r="J1875">
        <v>0.88766851838924898</v>
      </c>
      <c r="K1875">
        <v>790126.17557752796</v>
      </c>
      <c r="L1875">
        <v>790126.17557752796</v>
      </c>
      <c r="M1875">
        <v>599</v>
      </c>
    </row>
    <row r="1876" spans="1:13" ht="15">
      <c r="A1876" t="s">
        <v>3662</v>
      </c>
      <c r="B1876" s="1040" t="str">
        <f>CONCATENATE(LEFT(RIGHT(CONCATENATE("000",IFAData_TEA_1718!A1876),6),3),"-",(RIGHT(RIGHT(CONCATENATE("000",IFAData_TEA_1718!A1876),6),3)))</f>
        <v>170-904</v>
      </c>
      <c r="C1876" t="s">
        <v>1127</v>
      </c>
      <c r="D1876">
        <v>2</v>
      </c>
      <c r="E1876">
        <v>2457</v>
      </c>
      <c r="F1876" t="s">
        <v>5276</v>
      </c>
      <c r="G1876" t="s">
        <v>5277</v>
      </c>
      <c r="H1876">
        <v>890114</v>
      </c>
      <c r="I1876">
        <v>0</v>
      </c>
      <c r="J1876">
        <v>0</v>
      </c>
      <c r="K1876">
        <v>0</v>
      </c>
      <c r="L1876">
        <v>0</v>
      </c>
      <c r="M1876">
        <v>599</v>
      </c>
    </row>
    <row r="1877" spans="1:13" ht="15">
      <c r="A1877" t="s">
        <v>3662</v>
      </c>
      <c r="B1877" s="1040" t="str">
        <f>CONCATENATE(LEFT(RIGHT(CONCATENATE("000",IFAData_TEA_1718!A1877),6),3),"-",(RIGHT(RIGHT(CONCATENATE("000",IFAData_TEA_1718!A1877),6),3)))</f>
        <v>170-904</v>
      </c>
      <c r="C1877" t="s">
        <v>1127</v>
      </c>
      <c r="D1877">
        <v>2</v>
      </c>
      <c r="E1877">
        <v>2457</v>
      </c>
      <c r="F1877" t="s">
        <v>5276</v>
      </c>
      <c r="G1877" t="s">
        <v>5278</v>
      </c>
      <c r="H1877">
        <v>890114</v>
      </c>
      <c r="I1877">
        <v>0</v>
      </c>
      <c r="J1877">
        <v>0</v>
      </c>
      <c r="K1877">
        <v>0</v>
      </c>
      <c r="L1877">
        <v>0</v>
      </c>
      <c r="M1877">
        <v>599</v>
      </c>
    </row>
    <row r="1878" spans="1:13" ht="15">
      <c r="A1878" t="s">
        <v>3662</v>
      </c>
      <c r="B1878" s="1040" t="str">
        <f>CONCATENATE(LEFT(RIGHT(CONCATENATE("000",IFAData_TEA_1718!A1878),6),3),"-",(RIGHT(RIGHT(CONCATENATE("000",IFAData_TEA_1718!A1878),6),3)))</f>
        <v>170-904</v>
      </c>
      <c r="C1878" t="s">
        <v>1127</v>
      </c>
      <c r="D1878">
        <v>2</v>
      </c>
      <c r="E1878">
        <v>2457</v>
      </c>
      <c r="F1878" t="s">
        <v>5276</v>
      </c>
      <c r="G1878" t="s">
        <v>6303</v>
      </c>
      <c r="H1878">
        <v>890114</v>
      </c>
      <c r="I1878">
        <v>237566</v>
      </c>
      <c r="J1878">
        <v>0.10698978362542801</v>
      </c>
      <c r="K1878">
        <v>95233.104261964298</v>
      </c>
      <c r="L1878">
        <v>95233.104261964298</v>
      </c>
      <c r="M1878">
        <v>599</v>
      </c>
    </row>
    <row r="1879" spans="1:13" ht="15">
      <c r="A1879" t="s">
        <v>3662</v>
      </c>
      <c r="B1879" s="1040" t="str">
        <f>CONCATENATE(LEFT(RIGHT(CONCATENATE("000",IFAData_TEA_1718!A1879),6),3),"-",(RIGHT(RIGHT(CONCATENATE("000",IFAData_TEA_1718!A1879),6),3)))</f>
        <v>170-904</v>
      </c>
      <c r="C1879" t="s">
        <v>1127</v>
      </c>
      <c r="D1879">
        <v>2</v>
      </c>
      <c r="E1879">
        <v>2457</v>
      </c>
      <c r="F1879" t="s">
        <v>5276</v>
      </c>
      <c r="G1879" t="s">
        <v>8464</v>
      </c>
      <c r="H1879">
        <v>890114</v>
      </c>
      <c r="I1879">
        <v>11861</v>
      </c>
      <c r="J1879">
        <v>5.3416979853228297E-3</v>
      </c>
      <c r="K1879">
        <v>4754.7201605076398</v>
      </c>
      <c r="L1879">
        <v>4754.7201605076398</v>
      </c>
      <c r="M1879">
        <v>599</v>
      </c>
    </row>
    <row r="1880" spans="1:13" ht="15">
      <c r="A1880" t="s">
        <v>3662</v>
      </c>
      <c r="B1880" s="1040" t="str">
        <f>CONCATENATE(LEFT(RIGHT(CONCATENATE("000",IFAData_TEA_1718!A1880),6),3),"-",(RIGHT(RIGHT(CONCATENATE("000",IFAData_TEA_1718!A1880),6),3)))</f>
        <v>170-904</v>
      </c>
      <c r="C1880" t="s">
        <v>1127</v>
      </c>
      <c r="D1880">
        <v>6</v>
      </c>
      <c r="E1880">
        <v>2455</v>
      </c>
      <c r="F1880" t="s">
        <v>5279</v>
      </c>
      <c r="G1880" t="s">
        <v>5279</v>
      </c>
      <c r="H1880">
        <v>700706</v>
      </c>
      <c r="I1880">
        <v>0</v>
      </c>
      <c r="J1880">
        <v>0</v>
      </c>
      <c r="K1880">
        <v>0</v>
      </c>
      <c r="L1880">
        <v>0</v>
      </c>
      <c r="M1880">
        <v>599</v>
      </c>
    </row>
    <row r="1881" spans="1:13" ht="15">
      <c r="A1881" t="s">
        <v>3662</v>
      </c>
      <c r="B1881" s="1040" t="str">
        <f>CONCATENATE(LEFT(RIGHT(CONCATENATE("000",IFAData_TEA_1718!A1881),6),3),"-",(RIGHT(RIGHT(CONCATENATE("000",IFAData_TEA_1718!A1881),6),3)))</f>
        <v>170-904</v>
      </c>
      <c r="C1881" t="s">
        <v>1127</v>
      </c>
      <c r="D1881">
        <v>6</v>
      </c>
      <c r="E1881">
        <v>2455</v>
      </c>
      <c r="F1881" t="s">
        <v>5279</v>
      </c>
      <c r="G1881" t="s">
        <v>5280</v>
      </c>
      <c r="H1881">
        <v>700706</v>
      </c>
      <c r="I1881">
        <v>428008</v>
      </c>
      <c r="J1881">
        <v>0.92535867788607096</v>
      </c>
      <c r="K1881">
        <v>648404.37774683698</v>
      </c>
      <c r="L1881">
        <v>428008</v>
      </c>
      <c r="M1881">
        <v>599</v>
      </c>
    </row>
    <row r="1882" spans="1:13" ht="15">
      <c r="A1882" t="s">
        <v>3662</v>
      </c>
      <c r="B1882" s="1040" t="str">
        <f>CONCATENATE(LEFT(RIGHT(CONCATENATE("000",IFAData_TEA_1718!A1882),6),3),"-",(RIGHT(RIGHT(CONCATENATE("000",IFAData_TEA_1718!A1882),6),3)))</f>
        <v>170-904</v>
      </c>
      <c r="C1882" t="s">
        <v>1127</v>
      </c>
      <c r="D1882">
        <v>6</v>
      </c>
      <c r="E1882">
        <v>2455</v>
      </c>
      <c r="F1882" t="s">
        <v>5279</v>
      </c>
      <c r="G1882" t="s">
        <v>6303</v>
      </c>
      <c r="H1882">
        <v>700706</v>
      </c>
      <c r="I1882">
        <v>34524</v>
      </c>
      <c r="J1882">
        <v>7.4641322113929404E-2</v>
      </c>
      <c r="K1882">
        <v>52301.622253162997</v>
      </c>
      <c r="L1882">
        <v>34524</v>
      </c>
      <c r="M1882">
        <v>599</v>
      </c>
    </row>
    <row r="1883" spans="1:13" ht="15">
      <c r="A1883" t="s">
        <v>3662</v>
      </c>
      <c r="B1883" s="1040" t="str">
        <f>CONCATENATE(LEFT(RIGHT(CONCATENATE("000",IFAData_TEA_1718!A1883),6),3),"-",(RIGHT(RIGHT(CONCATENATE("000",IFAData_TEA_1718!A1883),6),3)))</f>
        <v>170-904</v>
      </c>
      <c r="C1883" t="s">
        <v>1127</v>
      </c>
      <c r="D1883">
        <v>9</v>
      </c>
      <c r="E1883">
        <v>2456</v>
      </c>
      <c r="F1883" t="s">
        <v>5281</v>
      </c>
      <c r="G1883" t="s">
        <v>5281</v>
      </c>
      <c r="H1883">
        <v>798894</v>
      </c>
      <c r="I1883">
        <v>0</v>
      </c>
      <c r="J1883">
        <v>0</v>
      </c>
      <c r="K1883">
        <v>0</v>
      </c>
      <c r="L1883">
        <v>0</v>
      </c>
      <c r="M1883">
        <v>599</v>
      </c>
    </row>
    <row r="1884" spans="1:13" ht="15">
      <c r="A1884" t="s">
        <v>3662</v>
      </c>
      <c r="B1884" s="1040" t="str">
        <f>CONCATENATE(LEFT(RIGHT(CONCATENATE("000",IFAData_TEA_1718!A1884),6),3),"-",(RIGHT(RIGHT(CONCATENATE("000",IFAData_TEA_1718!A1884),6),3)))</f>
        <v>170-904</v>
      </c>
      <c r="C1884" t="s">
        <v>1127</v>
      </c>
      <c r="D1884">
        <v>9</v>
      </c>
      <c r="E1884">
        <v>2456</v>
      </c>
      <c r="F1884" t="s">
        <v>5281</v>
      </c>
      <c r="G1884" t="s">
        <v>5282</v>
      </c>
      <c r="H1884">
        <v>798894</v>
      </c>
      <c r="I1884">
        <v>165970</v>
      </c>
      <c r="J1884">
        <v>0.18294269111046399</v>
      </c>
      <c r="K1884">
        <v>146151.818272003</v>
      </c>
      <c r="L1884">
        <v>146151.818272003</v>
      </c>
      <c r="M1884">
        <v>599</v>
      </c>
    </row>
    <row r="1885" spans="1:13" ht="15">
      <c r="A1885" t="s">
        <v>3662</v>
      </c>
      <c r="B1885" s="1040" t="str">
        <f>CONCATENATE(LEFT(RIGHT(CONCATENATE("000",IFAData_TEA_1718!A1885),6),3),"-",(RIGHT(RIGHT(CONCATENATE("000",IFAData_TEA_1718!A1885),6),3)))</f>
        <v>170-904</v>
      </c>
      <c r="C1885" t="s">
        <v>1127</v>
      </c>
      <c r="D1885">
        <v>9</v>
      </c>
      <c r="E1885">
        <v>2456</v>
      </c>
      <c r="F1885" t="s">
        <v>5281</v>
      </c>
      <c r="G1885" t="s">
        <v>6303</v>
      </c>
      <c r="H1885">
        <v>798894</v>
      </c>
      <c r="I1885">
        <v>741254</v>
      </c>
      <c r="J1885">
        <v>0.81705730888953598</v>
      </c>
      <c r="K1885">
        <v>652742.18172799703</v>
      </c>
      <c r="L1885">
        <v>652742.18172799703</v>
      </c>
      <c r="M1885">
        <v>599</v>
      </c>
    </row>
    <row r="1886" spans="1:13" ht="15">
      <c r="A1886" t="s">
        <v>3662</v>
      </c>
      <c r="B1886" s="1040" t="str">
        <f>CONCATENATE(LEFT(RIGHT(CONCATENATE("000",IFAData_TEA_1718!A1886),6),3),"-",(RIGHT(RIGHT(CONCATENATE("000",IFAData_TEA_1718!A1886),6),3)))</f>
        <v>170-904</v>
      </c>
      <c r="C1886" t="s">
        <v>1127</v>
      </c>
      <c r="D1886">
        <v>10</v>
      </c>
      <c r="E1886">
        <v>2454</v>
      </c>
      <c r="F1886" t="s">
        <v>5283</v>
      </c>
      <c r="G1886" t="s">
        <v>5283</v>
      </c>
      <c r="H1886">
        <v>258116</v>
      </c>
      <c r="I1886">
        <v>226864</v>
      </c>
      <c r="J1886">
        <v>0.53124143825592196</v>
      </c>
      <c r="K1886">
        <v>137121.915076865</v>
      </c>
      <c r="L1886">
        <v>137121.915076865</v>
      </c>
      <c r="M1886">
        <v>599</v>
      </c>
    </row>
    <row r="1887" spans="1:13" ht="15">
      <c r="A1887" t="s">
        <v>3662</v>
      </c>
      <c r="B1887" s="1040" t="str">
        <f>CONCATENATE(LEFT(RIGHT(CONCATENATE("000",IFAData_TEA_1718!A1887),6),3),"-",(RIGHT(RIGHT(CONCATENATE("000",IFAData_TEA_1718!A1887),6),3)))</f>
        <v>170-904</v>
      </c>
      <c r="C1887" t="s">
        <v>1127</v>
      </c>
      <c r="D1887">
        <v>10</v>
      </c>
      <c r="E1887">
        <v>2454</v>
      </c>
      <c r="F1887" t="s">
        <v>5283</v>
      </c>
      <c r="G1887" t="s">
        <v>6515</v>
      </c>
      <c r="H1887">
        <v>258116</v>
      </c>
      <c r="I1887">
        <v>200181</v>
      </c>
      <c r="J1887">
        <v>0.46875856174407798</v>
      </c>
      <c r="K1887">
        <v>120994.084923135</v>
      </c>
      <c r="L1887">
        <v>120994.084923135</v>
      </c>
      <c r="M1887">
        <v>599</v>
      </c>
    </row>
    <row r="1888" spans="1:13" ht="15">
      <c r="A1888" t="s">
        <v>3663</v>
      </c>
      <c r="B1888" s="1040" t="str">
        <f>CONCATENATE(LEFT(RIGHT(CONCATENATE("000",IFAData_TEA_1718!A1888),6),3),"-",(RIGHT(RIGHT(CONCATENATE("000",IFAData_TEA_1718!A1888),6),3)))</f>
        <v>170-906</v>
      </c>
      <c r="C1888" t="s">
        <v>288</v>
      </c>
      <c r="D1888">
        <v>3</v>
      </c>
      <c r="E1888">
        <v>2052</v>
      </c>
      <c r="F1888" t="s">
        <v>5284</v>
      </c>
      <c r="G1888" t="s">
        <v>5284</v>
      </c>
      <c r="H1888">
        <v>1530990</v>
      </c>
      <c r="I1888">
        <v>0</v>
      </c>
      <c r="J1888">
        <v>0</v>
      </c>
      <c r="K1888">
        <v>0</v>
      </c>
      <c r="L1888">
        <v>0</v>
      </c>
      <c r="M1888">
        <v>599</v>
      </c>
    </row>
    <row r="1889" spans="1:13" ht="15">
      <c r="A1889" t="s">
        <v>3663</v>
      </c>
      <c r="B1889" s="1040" t="str">
        <f>CONCATENATE(LEFT(RIGHT(CONCATENATE("000",IFAData_TEA_1718!A1889),6),3),"-",(RIGHT(RIGHT(CONCATENATE("000",IFAData_TEA_1718!A1889),6),3)))</f>
        <v>170-906</v>
      </c>
      <c r="C1889" t="s">
        <v>288</v>
      </c>
      <c r="D1889">
        <v>3</v>
      </c>
      <c r="E1889">
        <v>2052</v>
      </c>
      <c r="F1889" t="s">
        <v>5284</v>
      </c>
      <c r="G1889" t="s">
        <v>5285</v>
      </c>
      <c r="H1889">
        <v>1530990</v>
      </c>
      <c r="I1889">
        <v>0</v>
      </c>
      <c r="J1889">
        <v>0</v>
      </c>
      <c r="K1889">
        <v>0</v>
      </c>
      <c r="L1889">
        <v>0</v>
      </c>
      <c r="M1889">
        <v>599</v>
      </c>
    </row>
    <row r="1890" spans="1:13" ht="15">
      <c r="A1890" t="s">
        <v>3663</v>
      </c>
      <c r="B1890" s="1040" t="str">
        <f>CONCATENATE(LEFT(RIGHT(CONCATENATE("000",IFAData_TEA_1718!A1890),6),3),"-",(RIGHT(RIGHT(CONCATENATE("000",IFAData_TEA_1718!A1890),6),3)))</f>
        <v>170-906</v>
      </c>
      <c r="C1890" t="s">
        <v>288</v>
      </c>
      <c r="D1890">
        <v>3</v>
      </c>
      <c r="E1890">
        <v>2052</v>
      </c>
      <c r="F1890" t="s">
        <v>5284</v>
      </c>
      <c r="G1890" t="s">
        <v>5286</v>
      </c>
      <c r="H1890">
        <v>1530990</v>
      </c>
      <c r="I1890">
        <v>887685</v>
      </c>
      <c r="J1890">
        <v>0.233796474320143</v>
      </c>
      <c r="K1890">
        <v>357940.06421939598</v>
      </c>
      <c r="L1890">
        <v>357940.06421939598</v>
      </c>
      <c r="M1890">
        <v>599</v>
      </c>
    </row>
    <row r="1891" spans="1:13" ht="15">
      <c r="A1891" t="s">
        <v>3663</v>
      </c>
      <c r="B1891" s="1040" t="str">
        <f>CONCATENATE(LEFT(RIGHT(CONCATENATE("000",IFAData_TEA_1718!A1891),6),3),"-",(RIGHT(RIGHT(CONCATENATE("000",IFAData_TEA_1718!A1891),6),3)))</f>
        <v>170-906</v>
      </c>
      <c r="C1891" t="s">
        <v>288</v>
      </c>
      <c r="D1891">
        <v>3</v>
      </c>
      <c r="E1891">
        <v>2052</v>
      </c>
      <c r="F1891" t="s">
        <v>5284</v>
      </c>
      <c r="G1891" t="s">
        <v>6516</v>
      </c>
      <c r="H1891">
        <v>1530990</v>
      </c>
      <c r="I1891">
        <v>203696</v>
      </c>
      <c r="J1891">
        <v>5.3648993317579802E-2</v>
      </c>
      <c r="K1891">
        <v>82136.072279281507</v>
      </c>
      <c r="L1891">
        <v>82136.072279281507</v>
      </c>
      <c r="M1891">
        <v>599</v>
      </c>
    </row>
    <row r="1892" spans="1:13" ht="15">
      <c r="A1892" t="s">
        <v>3663</v>
      </c>
      <c r="B1892" s="1040" t="str">
        <f>CONCATENATE(LEFT(RIGHT(CONCATENATE("000",IFAData_TEA_1718!A1892),6),3),"-",(RIGHT(RIGHT(CONCATENATE("000",IFAData_TEA_1718!A1892),6),3)))</f>
        <v>170-906</v>
      </c>
      <c r="C1892" t="s">
        <v>288</v>
      </c>
      <c r="D1892">
        <v>3</v>
      </c>
      <c r="E1892">
        <v>2052</v>
      </c>
      <c r="F1892" t="s">
        <v>5284</v>
      </c>
      <c r="G1892" t="s">
        <v>8465</v>
      </c>
      <c r="H1892">
        <v>1530990</v>
      </c>
      <c r="I1892">
        <v>2705447</v>
      </c>
      <c r="J1892">
        <v>0.71255453236227695</v>
      </c>
      <c r="K1892">
        <v>1090913.8635013199</v>
      </c>
      <c r="L1892">
        <v>1090913.8635013199</v>
      </c>
      <c r="M1892">
        <v>599</v>
      </c>
    </row>
    <row r="1893" spans="1:13" ht="15">
      <c r="A1893" t="s">
        <v>3663</v>
      </c>
      <c r="B1893" s="1040" t="str">
        <f>CONCATENATE(LEFT(RIGHT(CONCATENATE("000",IFAData_TEA_1718!A1893),6),3),"-",(RIGHT(RIGHT(CONCATENATE("000",IFAData_TEA_1718!A1893),6),3)))</f>
        <v>170-906</v>
      </c>
      <c r="C1893" t="s">
        <v>288</v>
      </c>
      <c r="D1893">
        <v>9</v>
      </c>
      <c r="E1893">
        <v>2051</v>
      </c>
      <c r="F1893" t="s">
        <v>5285</v>
      </c>
      <c r="G1893" t="s">
        <v>5285</v>
      </c>
      <c r="H1893">
        <v>617287</v>
      </c>
      <c r="I1893">
        <v>0</v>
      </c>
      <c r="J1893">
        <v>0</v>
      </c>
      <c r="K1893">
        <v>0</v>
      </c>
      <c r="L1893">
        <v>0</v>
      </c>
      <c r="M1893">
        <v>599</v>
      </c>
    </row>
    <row r="1894" spans="1:13" ht="15">
      <c r="A1894" t="s">
        <v>3663</v>
      </c>
      <c r="B1894" s="1040" t="str">
        <f>CONCATENATE(LEFT(RIGHT(CONCATENATE("000",IFAData_TEA_1718!A1894),6),3),"-",(RIGHT(RIGHT(CONCATENATE("000",IFAData_TEA_1718!A1894),6),3)))</f>
        <v>170-906</v>
      </c>
      <c r="C1894" t="s">
        <v>288</v>
      </c>
      <c r="D1894">
        <v>9</v>
      </c>
      <c r="E1894">
        <v>2051</v>
      </c>
      <c r="F1894" t="s">
        <v>5285</v>
      </c>
      <c r="G1894" t="s">
        <v>6516</v>
      </c>
      <c r="H1894">
        <v>617287</v>
      </c>
      <c r="I1894">
        <v>15387</v>
      </c>
      <c r="J1894">
        <v>7.6585387705126101E-2</v>
      </c>
      <c r="K1894">
        <v>47275.164220334198</v>
      </c>
      <c r="L1894">
        <v>15387</v>
      </c>
      <c r="M1894">
        <v>599</v>
      </c>
    </row>
    <row r="1895" spans="1:13" ht="15">
      <c r="A1895" t="s">
        <v>3663</v>
      </c>
      <c r="B1895" s="1040" t="str">
        <f>CONCATENATE(LEFT(RIGHT(CONCATENATE("000",IFAData_TEA_1718!A1895),6),3),"-",(RIGHT(RIGHT(CONCATENATE("000",IFAData_TEA_1718!A1895),6),3)))</f>
        <v>170-906</v>
      </c>
      <c r="C1895" t="s">
        <v>288</v>
      </c>
      <c r="D1895">
        <v>9</v>
      </c>
      <c r="E1895">
        <v>2051</v>
      </c>
      <c r="F1895" t="s">
        <v>5285</v>
      </c>
      <c r="G1895" t="s">
        <v>8465</v>
      </c>
      <c r="H1895">
        <v>617287</v>
      </c>
      <c r="I1895">
        <v>185526</v>
      </c>
      <c r="J1895">
        <v>0.92341461229487398</v>
      </c>
      <c r="K1895">
        <v>570011.83577966597</v>
      </c>
      <c r="L1895">
        <v>185526</v>
      </c>
      <c r="M1895">
        <v>599</v>
      </c>
    </row>
    <row r="1896" spans="1:13" ht="15">
      <c r="A1896" t="s">
        <v>3664</v>
      </c>
      <c r="B1896" s="1040" t="str">
        <f>CONCATENATE(LEFT(RIGHT(CONCATENATE("000",IFAData_TEA_1718!A1896),6),3),"-",(RIGHT(RIGHT(CONCATENATE("000",IFAData_TEA_1718!A1896),6),3)))</f>
        <v>170-907</v>
      </c>
      <c r="C1896" t="s">
        <v>1935</v>
      </c>
      <c r="D1896">
        <v>2</v>
      </c>
      <c r="E1896">
        <v>2373</v>
      </c>
      <c r="F1896" t="s">
        <v>5287</v>
      </c>
      <c r="G1896" t="s">
        <v>5287</v>
      </c>
      <c r="H1896">
        <v>605123</v>
      </c>
      <c r="I1896">
        <v>0</v>
      </c>
      <c r="J1896">
        <v>0</v>
      </c>
      <c r="K1896"/>
      <c r="L1896">
        <v>0</v>
      </c>
      <c r="M1896">
        <v>199</v>
      </c>
    </row>
    <row r="1897" spans="1:13" ht="15">
      <c r="A1897" t="s">
        <v>3664</v>
      </c>
      <c r="B1897" s="1040" t="str">
        <f>CONCATENATE(LEFT(RIGHT(CONCATENATE("000",IFAData_TEA_1718!A1897),6),3),"-",(RIGHT(RIGHT(CONCATENATE("000",IFAData_TEA_1718!A1897),6),3)))</f>
        <v>170-907</v>
      </c>
      <c r="C1897" t="s">
        <v>1935</v>
      </c>
      <c r="D1897">
        <v>6</v>
      </c>
      <c r="E1897">
        <v>2374</v>
      </c>
      <c r="F1897" t="s">
        <v>5288</v>
      </c>
      <c r="G1897" t="s">
        <v>5288</v>
      </c>
      <c r="H1897">
        <v>687496</v>
      </c>
      <c r="I1897">
        <v>78221</v>
      </c>
      <c r="J1897">
        <v>0.109994276770861</v>
      </c>
      <c r="K1897">
        <v>75620.625302860106</v>
      </c>
      <c r="L1897">
        <v>75620.625302860106</v>
      </c>
      <c r="M1897">
        <v>599</v>
      </c>
    </row>
    <row r="1898" spans="1:13" ht="15">
      <c r="A1898" t="s">
        <v>3664</v>
      </c>
      <c r="B1898" s="1040" t="str">
        <f>CONCATENATE(LEFT(RIGHT(CONCATENATE("000",IFAData_TEA_1718!A1898),6),3),"-",(RIGHT(RIGHT(CONCATENATE("000",IFAData_TEA_1718!A1898),6),3)))</f>
        <v>170-907</v>
      </c>
      <c r="C1898" t="s">
        <v>1935</v>
      </c>
      <c r="D1898">
        <v>6</v>
      </c>
      <c r="E1898">
        <v>2374</v>
      </c>
      <c r="F1898" t="s">
        <v>5288</v>
      </c>
      <c r="G1898" t="s">
        <v>5289</v>
      </c>
      <c r="H1898">
        <v>687496</v>
      </c>
      <c r="I1898">
        <v>632916</v>
      </c>
      <c r="J1898">
        <v>0.89000572322913896</v>
      </c>
      <c r="K1898">
        <v>611875.37469713995</v>
      </c>
      <c r="L1898">
        <v>611875.37469713995</v>
      </c>
      <c r="M1898">
        <v>599</v>
      </c>
    </row>
    <row r="1899" spans="1:13" ht="15">
      <c r="A1899" t="s">
        <v>3664</v>
      </c>
      <c r="B1899" s="1040" t="str">
        <f>CONCATENATE(LEFT(RIGHT(CONCATENATE("000",IFAData_TEA_1718!A1899),6),3),"-",(RIGHT(RIGHT(CONCATENATE("000",IFAData_TEA_1718!A1899),6),3)))</f>
        <v>170-907</v>
      </c>
      <c r="C1899" t="s">
        <v>1935</v>
      </c>
      <c r="D1899">
        <v>9</v>
      </c>
      <c r="E1899">
        <v>2372</v>
      </c>
      <c r="F1899" t="s">
        <v>5290</v>
      </c>
      <c r="G1899" t="s">
        <v>5290</v>
      </c>
      <c r="H1899">
        <v>565041</v>
      </c>
      <c r="I1899">
        <v>0</v>
      </c>
      <c r="J1899">
        <v>0</v>
      </c>
      <c r="K1899">
        <v>0</v>
      </c>
      <c r="L1899">
        <v>0</v>
      </c>
      <c r="M1899">
        <v>599</v>
      </c>
    </row>
    <row r="1900" spans="1:13" ht="15">
      <c r="A1900" t="s">
        <v>3664</v>
      </c>
      <c r="B1900" s="1040" t="str">
        <f>CONCATENATE(LEFT(RIGHT(CONCATENATE("000",IFAData_TEA_1718!A1900),6),3),"-",(RIGHT(RIGHT(CONCATENATE("000",IFAData_TEA_1718!A1900),6),3)))</f>
        <v>170-907</v>
      </c>
      <c r="C1900" t="s">
        <v>1935</v>
      </c>
      <c r="D1900">
        <v>9</v>
      </c>
      <c r="E1900">
        <v>2372</v>
      </c>
      <c r="F1900" t="s">
        <v>5290</v>
      </c>
      <c r="G1900" t="s">
        <v>8466</v>
      </c>
      <c r="H1900">
        <v>565041</v>
      </c>
      <c r="I1900">
        <v>475713</v>
      </c>
      <c r="J1900">
        <v>1</v>
      </c>
      <c r="K1900">
        <v>565041</v>
      </c>
      <c r="L1900">
        <v>475713</v>
      </c>
      <c r="M1900">
        <v>599</v>
      </c>
    </row>
    <row r="1901" spans="1:13" ht="15">
      <c r="A1901" t="s">
        <v>3664</v>
      </c>
      <c r="B1901" s="1040" t="str">
        <f>CONCATENATE(LEFT(RIGHT(CONCATENATE("000",IFAData_TEA_1718!A1901),6),3),"-",(RIGHT(RIGHT(CONCATENATE("000",IFAData_TEA_1718!A1901),6),3)))</f>
        <v>170-907</v>
      </c>
      <c r="C1901" t="s">
        <v>1935</v>
      </c>
      <c r="D1901">
        <v>9</v>
      </c>
      <c r="E1901">
        <v>2371</v>
      </c>
      <c r="F1901" t="s">
        <v>5291</v>
      </c>
      <c r="G1901" t="s">
        <v>5291</v>
      </c>
      <c r="H1901">
        <v>207452</v>
      </c>
      <c r="I1901">
        <v>0</v>
      </c>
      <c r="J1901">
        <v>0</v>
      </c>
      <c r="K1901">
        <v>0</v>
      </c>
      <c r="L1901">
        <v>0</v>
      </c>
      <c r="M1901">
        <v>599</v>
      </c>
    </row>
    <row r="1902" spans="1:13" ht="15">
      <c r="A1902" t="s">
        <v>3664</v>
      </c>
      <c r="B1902" s="1040" t="str">
        <f>CONCATENATE(LEFT(RIGHT(CONCATENATE("000",IFAData_TEA_1718!A1902),6),3),"-",(RIGHT(RIGHT(CONCATENATE("000",IFAData_TEA_1718!A1902),6),3)))</f>
        <v>170-907</v>
      </c>
      <c r="C1902" t="s">
        <v>1935</v>
      </c>
      <c r="D1902">
        <v>9</v>
      </c>
      <c r="E1902">
        <v>2371</v>
      </c>
      <c r="F1902" t="s">
        <v>5291</v>
      </c>
      <c r="G1902" t="s">
        <v>8466</v>
      </c>
      <c r="H1902">
        <v>207452</v>
      </c>
      <c r="I1902">
        <v>419717</v>
      </c>
      <c r="J1902">
        <v>1</v>
      </c>
      <c r="K1902">
        <v>207452</v>
      </c>
      <c r="L1902">
        <v>207452</v>
      </c>
      <c r="M1902">
        <v>599</v>
      </c>
    </row>
    <row r="1903" spans="1:13" ht="15">
      <c r="A1903" t="s">
        <v>3664</v>
      </c>
      <c r="B1903" s="1040" t="str">
        <f>CONCATENATE(LEFT(RIGHT(CONCATENATE("000",IFAData_TEA_1718!A1903),6),3),"-",(RIGHT(RIGHT(CONCATENATE("000",IFAData_TEA_1718!A1903),6),3)))</f>
        <v>170-907</v>
      </c>
      <c r="C1903" t="s">
        <v>1935</v>
      </c>
      <c r="D1903">
        <v>11</v>
      </c>
      <c r="E1903">
        <v>2483</v>
      </c>
      <c r="F1903" t="s">
        <v>8467</v>
      </c>
      <c r="G1903" t="s">
        <v>8467</v>
      </c>
      <c r="H1903">
        <v>875292</v>
      </c>
      <c r="I1903">
        <v>3146856</v>
      </c>
      <c r="J1903">
        <v>1</v>
      </c>
      <c r="K1903">
        <v>875292</v>
      </c>
      <c r="L1903">
        <v>875292</v>
      </c>
      <c r="M1903">
        <v>599</v>
      </c>
    </row>
    <row r="1904" spans="1:13" ht="15">
      <c r="A1904" t="s">
        <v>3665</v>
      </c>
      <c r="B1904" s="1040" t="str">
        <f>CONCATENATE(LEFT(RIGHT(CONCATENATE("000",IFAData_TEA_1718!A1904),6),3),"-",(RIGHT(RIGHT(CONCATENATE("000",IFAData_TEA_1718!A1904),6),3)))</f>
        <v>170-908</v>
      </c>
      <c r="C1904" t="s">
        <v>1142</v>
      </c>
      <c r="D1904">
        <v>5</v>
      </c>
      <c r="E1904">
        <v>2136</v>
      </c>
      <c r="F1904" t="s">
        <v>5292</v>
      </c>
      <c r="G1904" t="s">
        <v>5292</v>
      </c>
      <c r="H1904">
        <v>342303</v>
      </c>
      <c r="I1904">
        <v>0</v>
      </c>
      <c r="J1904">
        <v>0</v>
      </c>
      <c r="K1904">
        <v>0</v>
      </c>
      <c r="L1904">
        <v>0</v>
      </c>
      <c r="M1904">
        <v>599</v>
      </c>
    </row>
    <row r="1905" spans="1:13" ht="15">
      <c r="A1905" t="s">
        <v>3665</v>
      </c>
      <c r="B1905" s="1040" t="str">
        <f>CONCATENATE(LEFT(RIGHT(CONCATENATE("000",IFAData_TEA_1718!A1905),6),3),"-",(RIGHT(RIGHT(CONCATENATE("000",IFAData_TEA_1718!A1905),6),3)))</f>
        <v>170-908</v>
      </c>
      <c r="C1905" t="s">
        <v>1142</v>
      </c>
      <c r="D1905">
        <v>5</v>
      </c>
      <c r="E1905">
        <v>2136</v>
      </c>
      <c r="F1905" t="s">
        <v>5292</v>
      </c>
      <c r="G1905" t="s">
        <v>5293</v>
      </c>
      <c r="H1905">
        <v>342303</v>
      </c>
      <c r="I1905">
        <v>300700</v>
      </c>
      <c r="J1905">
        <v>1</v>
      </c>
      <c r="K1905">
        <v>342303</v>
      </c>
      <c r="L1905">
        <v>300700</v>
      </c>
      <c r="M1905">
        <v>599</v>
      </c>
    </row>
    <row r="1906" spans="1:13" ht="15">
      <c r="A1906" t="s">
        <v>3665</v>
      </c>
      <c r="B1906" s="1040" t="str">
        <f>CONCATENATE(LEFT(RIGHT(CONCATENATE("000",IFAData_TEA_1718!A1906),6),3),"-",(RIGHT(RIGHT(CONCATENATE("000",IFAData_TEA_1718!A1906),6),3)))</f>
        <v>170-908</v>
      </c>
      <c r="C1906" t="s">
        <v>1142</v>
      </c>
      <c r="D1906">
        <v>6</v>
      </c>
      <c r="E1906">
        <v>2139</v>
      </c>
      <c r="F1906" t="s">
        <v>5294</v>
      </c>
      <c r="G1906" t="s">
        <v>5294</v>
      </c>
      <c r="H1906">
        <v>945263</v>
      </c>
      <c r="I1906">
        <v>0</v>
      </c>
      <c r="J1906">
        <v>0</v>
      </c>
      <c r="K1906">
        <v>0</v>
      </c>
      <c r="L1906">
        <v>0</v>
      </c>
      <c r="M1906">
        <v>599</v>
      </c>
    </row>
    <row r="1907" spans="1:13" ht="15">
      <c r="A1907" t="s">
        <v>3665</v>
      </c>
      <c r="B1907" s="1040" t="str">
        <f>CONCATENATE(LEFT(RIGHT(CONCATENATE("000",IFAData_TEA_1718!A1907),6),3),"-",(RIGHT(RIGHT(CONCATENATE("000",IFAData_TEA_1718!A1907),6),3)))</f>
        <v>170-908</v>
      </c>
      <c r="C1907" t="s">
        <v>1142</v>
      </c>
      <c r="D1907">
        <v>6</v>
      </c>
      <c r="E1907">
        <v>2139</v>
      </c>
      <c r="F1907" t="s">
        <v>5294</v>
      </c>
      <c r="G1907" t="s">
        <v>5295</v>
      </c>
      <c r="H1907">
        <v>945263</v>
      </c>
      <c r="I1907">
        <v>624000</v>
      </c>
      <c r="J1907">
        <v>1</v>
      </c>
      <c r="K1907">
        <v>945263</v>
      </c>
      <c r="L1907">
        <v>624000</v>
      </c>
      <c r="M1907">
        <v>599</v>
      </c>
    </row>
    <row r="1908" spans="1:13" ht="15">
      <c r="A1908" t="s">
        <v>3665</v>
      </c>
      <c r="B1908" s="1040" t="str">
        <f>CONCATENATE(LEFT(RIGHT(CONCATENATE("000",IFAData_TEA_1718!A1908),6),3),"-",(RIGHT(RIGHT(CONCATENATE("000",IFAData_TEA_1718!A1908),6),3)))</f>
        <v>170-908</v>
      </c>
      <c r="C1908" t="s">
        <v>1142</v>
      </c>
      <c r="D1908">
        <v>9</v>
      </c>
      <c r="E1908">
        <v>2138</v>
      </c>
      <c r="F1908" t="s">
        <v>5296</v>
      </c>
      <c r="G1908" t="s">
        <v>5296</v>
      </c>
      <c r="H1908">
        <v>571354</v>
      </c>
      <c r="I1908">
        <v>0</v>
      </c>
      <c r="J1908">
        <v>0</v>
      </c>
      <c r="K1908">
        <v>0</v>
      </c>
      <c r="L1908">
        <v>0</v>
      </c>
      <c r="M1908">
        <v>599</v>
      </c>
    </row>
    <row r="1909" spans="1:13" ht="15">
      <c r="A1909" t="s">
        <v>3665</v>
      </c>
      <c r="B1909" s="1040" t="str">
        <f>CONCATENATE(LEFT(RIGHT(CONCATENATE("000",IFAData_TEA_1718!A1909),6),3),"-",(RIGHT(RIGHT(CONCATENATE("000",IFAData_TEA_1718!A1909),6),3)))</f>
        <v>170-908</v>
      </c>
      <c r="C1909" t="s">
        <v>1142</v>
      </c>
      <c r="D1909">
        <v>9</v>
      </c>
      <c r="E1909">
        <v>2138</v>
      </c>
      <c r="F1909" t="s">
        <v>5296</v>
      </c>
      <c r="G1909" t="s">
        <v>6304</v>
      </c>
      <c r="H1909">
        <v>571354</v>
      </c>
      <c r="I1909">
        <v>782088</v>
      </c>
      <c r="J1909">
        <v>1</v>
      </c>
      <c r="K1909">
        <v>571354</v>
      </c>
      <c r="L1909">
        <v>571354</v>
      </c>
      <c r="M1909">
        <v>599</v>
      </c>
    </row>
    <row r="1910" spans="1:13" ht="15">
      <c r="A1910" t="s">
        <v>3665</v>
      </c>
      <c r="B1910" s="1040" t="str">
        <f>CONCATENATE(LEFT(RIGHT(CONCATENATE("000",IFAData_TEA_1718!A1910),6),3),"-",(RIGHT(RIGHT(CONCATENATE("000",IFAData_TEA_1718!A1910),6),3)))</f>
        <v>170-908</v>
      </c>
      <c r="C1910" t="s">
        <v>1142</v>
      </c>
      <c r="D1910">
        <v>9</v>
      </c>
      <c r="E1910">
        <v>2137</v>
      </c>
      <c r="F1910" t="s">
        <v>5297</v>
      </c>
      <c r="G1910" t="s">
        <v>5297</v>
      </c>
      <c r="H1910">
        <v>527036</v>
      </c>
      <c r="I1910">
        <v>0</v>
      </c>
      <c r="J1910">
        <v>0</v>
      </c>
      <c r="K1910">
        <v>0</v>
      </c>
      <c r="L1910">
        <v>0</v>
      </c>
      <c r="M1910">
        <v>599</v>
      </c>
    </row>
    <row r="1911" spans="1:13" ht="15">
      <c r="A1911" t="s">
        <v>3665</v>
      </c>
      <c r="B1911" s="1040" t="str">
        <f>CONCATENATE(LEFT(RIGHT(CONCATENATE("000",IFAData_TEA_1718!A1911),6),3),"-",(RIGHT(RIGHT(CONCATENATE("000",IFAData_TEA_1718!A1911),6),3)))</f>
        <v>170-908</v>
      </c>
      <c r="C1911" t="s">
        <v>1142</v>
      </c>
      <c r="D1911">
        <v>9</v>
      </c>
      <c r="E1911">
        <v>2137</v>
      </c>
      <c r="F1911" t="s">
        <v>5297</v>
      </c>
      <c r="G1911" t="s">
        <v>6304</v>
      </c>
      <c r="H1911">
        <v>527036</v>
      </c>
      <c r="I1911">
        <v>1870444</v>
      </c>
      <c r="J1911">
        <v>1</v>
      </c>
      <c r="K1911">
        <v>527036</v>
      </c>
      <c r="L1911">
        <v>527036</v>
      </c>
      <c r="M1911">
        <v>599</v>
      </c>
    </row>
    <row r="1912" spans="1:13" ht="15">
      <c r="A1912" t="s">
        <v>3665</v>
      </c>
      <c r="B1912" s="1040" t="str">
        <f>CONCATENATE(LEFT(RIGHT(CONCATENATE("000",IFAData_TEA_1718!A1912),6),3),"-",(RIGHT(RIGHT(CONCATENATE("000",IFAData_TEA_1718!A1912),6),3)))</f>
        <v>170-908</v>
      </c>
      <c r="C1912" t="s">
        <v>1142</v>
      </c>
      <c r="D1912">
        <v>9</v>
      </c>
      <c r="E1912">
        <v>2140</v>
      </c>
      <c r="F1912" t="s">
        <v>5298</v>
      </c>
      <c r="G1912" t="s">
        <v>5298</v>
      </c>
      <c r="H1912">
        <v>1003527</v>
      </c>
      <c r="I1912">
        <v>839688</v>
      </c>
      <c r="J1912">
        <v>0.56286222582111201</v>
      </c>
      <c r="K1912">
        <v>564847.44089158298</v>
      </c>
      <c r="L1912">
        <v>564847.44089158298</v>
      </c>
      <c r="M1912">
        <v>599</v>
      </c>
    </row>
    <row r="1913" spans="1:13" ht="15">
      <c r="A1913" t="s">
        <v>3665</v>
      </c>
      <c r="B1913" s="1040" t="str">
        <f>CONCATENATE(LEFT(RIGHT(CONCATENATE("000",IFAData_TEA_1718!A1913),6),3),"-",(RIGHT(RIGHT(CONCATENATE("000",IFAData_TEA_1718!A1913),6),3)))</f>
        <v>170-908</v>
      </c>
      <c r="C1913" t="s">
        <v>1142</v>
      </c>
      <c r="D1913">
        <v>9</v>
      </c>
      <c r="E1913">
        <v>2140</v>
      </c>
      <c r="F1913" t="s">
        <v>5298</v>
      </c>
      <c r="G1913" t="s">
        <v>6517</v>
      </c>
      <c r="H1913">
        <v>1003527</v>
      </c>
      <c r="I1913">
        <v>331050</v>
      </c>
      <c r="J1913">
        <v>0.221910447521078</v>
      </c>
      <c r="K1913">
        <v>222693.12566948499</v>
      </c>
      <c r="L1913">
        <v>222693.12566948499</v>
      </c>
      <c r="M1913">
        <v>599</v>
      </c>
    </row>
    <row r="1914" spans="1:13" ht="15">
      <c r="A1914" t="s">
        <v>3665</v>
      </c>
      <c r="B1914" s="1040" t="str">
        <f>CONCATENATE(LEFT(RIGHT(CONCATENATE("000",IFAData_TEA_1718!A1914),6),3),"-",(RIGHT(RIGHT(CONCATENATE("000",IFAData_TEA_1718!A1914),6),3)))</f>
        <v>170-908</v>
      </c>
      <c r="C1914" t="s">
        <v>1142</v>
      </c>
      <c r="D1914">
        <v>9</v>
      </c>
      <c r="E1914">
        <v>2140</v>
      </c>
      <c r="F1914" t="s">
        <v>5298</v>
      </c>
      <c r="G1914" t="s">
        <v>8468</v>
      </c>
      <c r="H1914">
        <v>1003527</v>
      </c>
      <c r="I1914">
        <v>321080</v>
      </c>
      <c r="J1914">
        <v>0.215227326657809</v>
      </c>
      <c r="K1914">
        <v>215986.433438932</v>
      </c>
      <c r="L1914">
        <v>215986.433438932</v>
      </c>
      <c r="M1914">
        <v>599</v>
      </c>
    </row>
    <row r="1915" spans="1:13" ht="15">
      <c r="A1915" t="s">
        <v>3665</v>
      </c>
      <c r="B1915" s="1040" t="str">
        <f>CONCATENATE(LEFT(RIGHT(CONCATENATE("000",IFAData_TEA_1718!A1915),6),3),"-",(RIGHT(RIGHT(CONCATENATE("000",IFAData_TEA_1718!A1915),6),3)))</f>
        <v>170-908</v>
      </c>
      <c r="C1915" t="s">
        <v>1142</v>
      </c>
      <c r="D1915">
        <v>10</v>
      </c>
      <c r="E1915">
        <v>2141</v>
      </c>
      <c r="F1915" t="s">
        <v>5299</v>
      </c>
      <c r="G1915" t="s">
        <v>5299</v>
      </c>
      <c r="H1915">
        <v>2229297</v>
      </c>
      <c r="I1915">
        <v>615200</v>
      </c>
      <c r="J1915">
        <v>0.37362562615087902</v>
      </c>
      <c r="K1915">
        <v>832922.48750127503</v>
      </c>
      <c r="L1915">
        <v>615200</v>
      </c>
      <c r="M1915">
        <v>599</v>
      </c>
    </row>
    <row r="1916" spans="1:13" ht="15">
      <c r="A1916" t="s">
        <v>3665</v>
      </c>
      <c r="B1916" s="1040" t="str">
        <f>CONCATENATE(LEFT(RIGHT(CONCATENATE("000",IFAData_TEA_1718!A1916),6),3),"-",(RIGHT(RIGHT(CONCATENATE("000",IFAData_TEA_1718!A1916),6),3)))</f>
        <v>170-908</v>
      </c>
      <c r="C1916" t="s">
        <v>1142</v>
      </c>
      <c r="D1916">
        <v>10</v>
      </c>
      <c r="E1916">
        <v>2141</v>
      </c>
      <c r="F1916" t="s">
        <v>5299</v>
      </c>
      <c r="G1916" t="s">
        <v>8468</v>
      </c>
      <c r="H1916">
        <v>2229297</v>
      </c>
      <c r="I1916">
        <v>1031368</v>
      </c>
      <c r="J1916">
        <v>0.62637437384912098</v>
      </c>
      <c r="K1916">
        <v>1396374.5124987201</v>
      </c>
      <c r="L1916">
        <v>1031368</v>
      </c>
      <c r="M1916">
        <v>599</v>
      </c>
    </row>
    <row r="1917" spans="1:13" ht="15">
      <c r="A1917" t="s">
        <v>3665</v>
      </c>
      <c r="B1917" s="1040" t="str">
        <f>CONCATENATE(LEFT(RIGHT(CONCATENATE("000",IFAData_TEA_1718!A1917),6),3),"-",(RIGHT(RIGHT(CONCATENATE("000",IFAData_TEA_1718!A1917),6),3)))</f>
        <v>170-908</v>
      </c>
      <c r="C1917" t="s">
        <v>1142</v>
      </c>
      <c r="D1917">
        <v>11</v>
      </c>
      <c r="E1917">
        <v>2593</v>
      </c>
      <c r="F1917" t="s">
        <v>8469</v>
      </c>
      <c r="G1917" t="s">
        <v>8469</v>
      </c>
      <c r="H1917">
        <v>3206980</v>
      </c>
      <c r="I1917">
        <v>4726100</v>
      </c>
      <c r="J1917">
        <v>1</v>
      </c>
      <c r="K1917">
        <v>3206980</v>
      </c>
      <c r="L1917">
        <v>3206980</v>
      </c>
      <c r="M1917">
        <v>599</v>
      </c>
    </row>
    <row r="1918" spans="1:13" ht="15">
      <c r="A1918" t="s">
        <v>3666</v>
      </c>
      <c r="B1918" s="1040" t="str">
        <f>CONCATENATE(LEFT(RIGHT(CONCATENATE("000",IFAData_TEA_1718!A1918),6),3),"-",(RIGHT(RIGHT(CONCATENATE("000",IFAData_TEA_1718!A1918),6),3)))</f>
        <v>174-901</v>
      </c>
      <c r="C1918" t="s">
        <v>1161</v>
      </c>
      <c r="D1918">
        <v>5</v>
      </c>
      <c r="E1918">
        <v>1691</v>
      </c>
      <c r="F1918" t="s">
        <v>5300</v>
      </c>
      <c r="G1918" t="s">
        <v>5300</v>
      </c>
      <c r="H1918">
        <v>91693</v>
      </c>
      <c r="I1918">
        <v>0</v>
      </c>
      <c r="J1918">
        <v>0</v>
      </c>
      <c r="K1918">
        <v>0</v>
      </c>
      <c r="L1918">
        <v>0</v>
      </c>
      <c r="M1918">
        <v>599</v>
      </c>
    </row>
    <row r="1919" spans="1:13" ht="15">
      <c r="A1919" t="s">
        <v>3666</v>
      </c>
      <c r="B1919" s="1040" t="str">
        <f>CONCATENATE(LEFT(RIGHT(CONCATENATE("000",IFAData_TEA_1718!A1919),6),3),"-",(RIGHT(RIGHT(CONCATENATE("000",IFAData_TEA_1718!A1919),6),3)))</f>
        <v>174-901</v>
      </c>
      <c r="C1919" t="s">
        <v>1161</v>
      </c>
      <c r="D1919">
        <v>5</v>
      </c>
      <c r="E1919">
        <v>1691</v>
      </c>
      <c r="F1919" t="s">
        <v>5300</v>
      </c>
      <c r="G1919" t="s">
        <v>5301</v>
      </c>
      <c r="H1919">
        <v>91693</v>
      </c>
      <c r="I1919">
        <v>81000</v>
      </c>
      <c r="J1919">
        <v>1</v>
      </c>
      <c r="K1919">
        <v>91693</v>
      </c>
      <c r="L1919">
        <v>81000</v>
      </c>
      <c r="M1919">
        <v>599</v>
      </c>
    </row>
    <row r="1920" spans="1:13" ht="15">
      <c r="A1920" t="s">
        <v>3667</v>
      </c>
      <c r="B1920" s="1040" t="str">
        <f>CONCATENATE(LEFT(RIGHT(CONCATENATE("000",IFAData_TEA_1718!A1920),6),3),"-",(RIGHT(RIGHT(CONCATENATE("000",IFAData_TEA_1718!A1920),6),3)))</f>
        <v>174-903</v>
      </c>
      <c r="C1920" t="s">
        <v>453</v>
      </c>
      <c r="D1920">
        <v>5</v>
      </c>
      <c r="E1920">
        <v>1844</v>
      </c>
      <c r="F1920" t="s">
        <v>5302</v>
      </c>
      <c r="G1920" t="s">
        <v>5302</v>
      </c>
      <c r="H1920">
        <v>152414</v>
      </c>
      <c r="I1920">
        <v>0</v>
      </c>
      <c r="J1920">
        <v>0</v>
      </c>
      <c r="K1920">
        <v>0</v>
      </c>
      <c r="L1920">
        <v>0</v>
      </c>
      <c r="M1920">
        <v>599</v>
      </c>
    </row>
    <row r="1921" spans="1:13" ht="15">
      <c r="A1921" t="s">
        <v>3667</v>
      </c>
      <c r="B1921" s="1040" t="str">
        <f>CONCATENATE(LEFT(RIGHT(CONCATENATE("000",IFAData_TEA_1718!A1921),6),3),"-",(RIGHT(RIGHT(CONCATENATE("000",IFAData_TEA_1718!A1921),6),3)))</f>
        <v>174-903</v>
      </c>
      <c r="C1921" t="s">
        <v>453</v>
      </c>
      <c r="D1921">
        <v>5</v>
      </c>
      <c r="E1921">
        <v>1844</v>
      </c>
      <c r="F1921" t="s">
        <v>5302</v>
      </c>
      <c r="G1921" t="s">
        <v>5303</v>
      </c>
      <c r="H1921">
        <v>152414</v>
      </c>
      <c r="I1921">
        <v>140062</v>
      </c>
      <c r="J1921">
        <v>1</v>
      </c>
      <c r="K1921">
        <v>152414</v>
      </c>
      <c r="L1921">
        <v>140062</v>
      </c>
      <c r="M1921">
        <v>599</v>
      </c>
    </row>
    <row r="1922" spans="1:13" ht="15">
      <c r="A1922" t="s">
        <v>3668</v>
      </c>
      <c r="B1922" s="1040" t="str">
        <f>CONCATENATE(LEFT(RIGHT(CONCATENATE("000",IFAData_TEA_1718!A1922),6),3),"-",(RIGHT(RIGHT(CONCATENATE("000",IFAData_TEA_1718!A1922),6),3)))</f>
        <v>174-906</v>
      </c>
      <c r="C1922" t="s">
        <v>1130</v>
      </c>
      <c r="D1922">
        <v>4</v>
      </c>
      <c r="E1922">
        <v>2460</v>
      </c>
      <c r="F1922" t="s">
        <v>5304</v>
      </c>
      <c r="G1922" t="s">
        <v>5304</v>
      </c>
      <c r="H1922">
        <v>188922</v>
      </c>
      <c r="I1922">
        <v>0</v>
      </c>
      <c r="J1922">
        <v>0</v>
      </c>
      <c r="K1922">
        <v>0</v>
      </c>
      <c r="L1922">
        <v>0</v>
      </c>
      <c r="M1922">
        <v>599</v>
      </c>
    </row>
    <row r="1923" spans="1:13" ht="15">
      <c r="A1923" t="s">
        <v>3668</v>
      </c>
      <c r="B1923" s="1040" t="str">
        <f>CONCATENATE(LEFT(RIGHT(CONCATENATE("000",IFAData_TEA_1718!A1923),6),3),"-",(RIGHT(RIGHT(CONCATENATE("000",IFAData_TEA_1718!A1923),6),3)))</f>
        <v>174-906</v>
      </c>
      <c r="C1923" t="s">
        <v>1130</v>
      </c>
      <c r="D1923">
        <v>4</v>
      </c>
      <c r="E1923">
        <v>2460</v>
      </c>
      <c r="F1923" t="s">
        <v>5304</v>
      </c>
      <c r="G1923" t="s">
        <v>5305</v>
      </c>
      <c r="H1923">
        <v>188922</v>
      </c>
      <c r="I1923">
        <v>174350</v>
      </c>
      <c r="J1923">
        <v>1</v>
      </c>
      <c r="K1923">
        <v>188922</v>
      </c>
      <c r="L1923">
        <v>174350</v>
      </c>
      <c r="M1923">
        <v>599</v>
      </c>
    </row>
    <row r="1924" spans="1:13" ht="15">
      <c r="A1924" t="s">
        <v>3669</v>
      </c>
      <c r="B1924" s="1040" t="str">
        <f>CONCATENATE(LEFT(RIGHT(CONCATENATE("000",IFAData_TEA_1718!A1924),6),3),"-",(RIGHT(RIGHT(CONCATENATE("000",IFAData_TEA_1718!A1924),6),3)))</f>
        <v>174-908</v>
      </c>
      <c r="C1924" t="s">
        <v>2257</v>
      </c>
      <c r="D1924">
        <v>10</v>
      </c>
      <c r="E1924">
        <v>1675</v>
      </c>
      <c r="F1924" t="s">
        <v>5306</v>
      </c>
      <c r="G1924" t="s">
        <v>5306</v>
      </c>
      <c r="H1924">
        <v>176552</v>
      </c>
      <c r="I1924">
        <v>352444</v>
      </c>
      <c r="J1924">
        <v>0.513284904550247</v>
      </c>
      <c r="K1924">
        <v>90621.476468155306</v>
      </c>
      <c r="L1924">
        <v>90621.476468155306</v>
      </c>
      <c r="M1924">
        <v>599</v>
      </c>
    </row>
    <row r="1925" spans="1:13" ht="15">
      <c r="A1925" t="s">
        <v>3669</v>
      </c>
      <c r="B1925" s="1040" t="str">
        <f>CONCATENATE(LEFT(RIGHT(CONCATENATE("000",IFAData_TEA_1718!A1925),6),3),"-",(RIGHT(RIGHT(CONCATENATE("000",IFAData_TEA_1718!A1925),6),3)))</f>
        <v>174-908</v>
      </c>
      <c r="C1925" t="s">
        <v>2257</v>
      </c>
      <c r="D1925">
        <v>10</v>
      </c>
      <c r="E1925">
        <v>1675</v>
      </c>
      <c r="F1925" t="s">
        <v>5306</v>
      </c>
      <c r="G1925" t="s">
        <v>8470</v>
      </c>
      <c r="H1925">
        <v>176552</v>
      </c>
      <c r="I1925">
        <v>334200</v>
      </c>
      <c r="J1925">
        <v>0.486715095449753</v>
      </c>
      <c r="K1925">
        <v>85930.523531844694</v>
      </c>
      <c r="L1925">
        <v>85930.523531844694</v>
      </c>
      <c r="M1925">
        <v>599</v>
      </c>
    </row>
    <row r="1926" spans="1:13" ht="15">
      <c r="A1926" t="s">
        <v>5307</v>
      </c>
      <c r="B1926" s="1040" t="str">
        <f>CONCATENATE(LEFT(RIGHT(CONCATENATE("000",IFAData_TEA_1718!A1926),6),3),"-",(RIGHT(RIGHT(CONCATENATE("000",IFAData_TEA_1718!A1926),6),3)))</f>
        <v>174-909</v>
      </c>
      <c r="C1926" t="s">
        <v>2258</v>
      </c>
      <c r="D1926">
        <v>10</v>
      </c>
      <c r="E1926">
        <v>2072</v>
      </c>
      <c r="F1926" t="s">
        <v>5308</v>
      </c>
      <c r="G1926" t="s">
        <v>5308</v>
      </c>
      <c r="H1926">
        <v>100000</v>
      </c>
      <c r="I1926">
        <v>187222</v>
      </c>
      <c r="J1926">
        <v>1</v>
      </c>
      <c r="K1926">
        <v>100000</v>
      </c>
      <c r="L1926">
        <v>100000</v>
      </c>
      <c r="M1926">
        <v>599</v>
      </c>
    </row>
    <row r="1927" spans="1:13" ht="15">
      <c r="A1927" t="s">
        <v>3670</v>
      </c>
      <c r="B1927" s="1040" t="str">
        <f>CONCATENATE(LEFT(RIGHT(CONCATENATE("000",IFAData_TEA_1718!A1927),6),3),"-",(RIGHT(RIGHT(CONCATENATE("000",IFAData_TEA_1718!A1927),6),3)))</f>
        <v>175-903</v>
      </c>
      <c r="C1927" t="s">
        <v>1101</v>
      </c>
      <c r="D1927">
        <v>2</v>
      </c>
      <c r="E1927">
        <v>1725</v>
      </c>
      <c r="F1927" t="s">
        <v>5309</v>
      </c>
      <c r="G1927" t="s">
        <v>5309</v>
      </c>
      <c r="H1927">
        <v>1169000</v>
      </c>
      <c r="I1927">
        <v>0</v>
      </c>
      <c r="J1927">
        <v>0</v>
      </c>
      <c r="K1927">
        <v>0</v>
      </c>
      <c r="L1927">
        <v>0</v>
      </c>
      <c r="M1927">
        <v>599</v>
      </c>
    </row>
    <row r="1928" spans="1:13" ht="15">
      <c r="A1928" t="s">
        <v>3670</v>
      </c>
      <c r="B1928" s="1040" t="str">
        <f>CONCATENATE(LEFT(RIGHT(CONCATENATE("000",IFAData_TEA_1718!A1928),6),3),"-",(RIGHT(RIGHT(CONCATENATE("000",IFAData_TEA_1718!A1928),6),3)))</f>
        <v>175-903</v>
      </c>
      <c r="C1928" t="s">
        <v>1101</v>
      </c>
      <c r="D1928">
        <v>2</v>
      </c>
      <c r="E1928">
        <v>1725</v>
      </c>
      <c r="F1928" t="s">
        <v>5309</v>
      </c>
      <c r="G1928" t="s">
        <v>5310</v>
      </c>
      <c r="H1928">
        <v>1169000</v>
      </c>
      <c r="I1928">
        <v>0</v>
      </c>
      <c r="J1928">
        <v>0</v>
      </c>
      <c r="K1928">
        <v>0</v>
      </c>
      <c r="L1928">
        <v>0</v>
      </c>
      <c r="M1928">
        <v>599</v>
      </c>
    </row>
    <row r="1929" spans="1:13" ht="15">
      <c r="A1929" t="s">
        <v>3670</v>
      </c>
      <c r="B1929" s="1040" t="str">
        <f>CONCATENATE(LEFT(RIGHT(CONCATENATE("000",IFAData_TEA_1718!A1929),6),3),"-",(RIGHT(RIGHT(CONCATENATE("000",IFAData_TEA_1718!A1929),6),3)))</f>
        <v>175-903</v>
      </c>
      <c r="C1929" t="s">
        <v>1101</v>
      </c>
      <c r="D1929">
        <v>2</v>
      </c>
      <c r="E1929">
        <v>1725</v>
      </c>
      <c r="F1929" t="s">
        <v>5309</v>
      </c>
      <c r="G1929" t="s">
        <v>6518</v>
      </c>
      <c r="H1929">
        <v>1169000</v>
      </c>
      <c r="I1929">
        <v>1479600</v>
      </c>
      <c r="J1929">
        <v>1</v>
      </c>
      <c r="K1929">
        <v>1169000</v>
      </c>
      <c r="L1929">
        <v>1169000</v>
      </c>
      <c r="M1929">
        <v>599</v>
      </c>
    </row>
    <row r="1930" spans="1:13" ht="15">
      <c r="A1930" t="s">
        <v>3670</v>
      </c>
      <c r="B1930" s="1040" t="str">
        <f>CONCATENATE(LEFT(RIGHT(CONCATENATE("000",IFAData_TEA_1718!A1930),6),3),"-",(RIGHT(RIGHT(CONCATENATE("000",IFAData_TEA_1718!A1930),6),3)))</f>
        <v>175-903</v>
      </c>
      <c r="C1930" t="s">
        <v>1101</v>
      </c>
      <c r="D1930">
        <v>11</v>
      </c>
      <c r="E1930">
        <v>2516</v>
      </c>
      <c r="F1930" t="s">
        <v>8471</v>
      </c>
      <c r="G1930" t="s">
        <v>8471</v>
      </c>
      <c r="H1930">
        <v>1389149</v>
      </c>
      <c r="I1930">
        <v>2116695</v>
      </c>
      <c r="J1930">
        <v>1</v>
      </c>
      <c r="K1930">
        <v>1389149</v>
      </c>
      <c r="L1930">
        <v>1389149</v>
      </c>
      <c r="M1930">
        <v>599</v>
      </c>
    </row>
    <row r="1931" spans="1:13" ht="15">
      <c r="A1931" t="s">
        <v>3671</v>
      </c>
      <c r="B1931" s="1040" t="str">
        <f>CONCATENATE(LEFT(RIGHT(CONCATENATE("000",IFAData_TEA_1718!A1931),6),3),"-",(RIGHT(RIGHT(CONCATENATE("000",IFAData_TEA_1718!A1931),6),3)))</f>
        <v>175-904</v>
      </c>
      <c r="C1931" t="s">
        <v>2663</v>
      </c>
      <c r="D1931">
        <v>4</v>
      </c>
      <c r="E1931">
        <v>1746</v>
      </c>
      <c r="F1931" t="s">
        <v>5311</v>
      </c>
      <c r="G1931" t="s">
        <v>5311</v>
      </c>
      <c r="H1931">
        <v>123498</v>
      </c>
      <c r="I1931">
        <v>0</v>
      </c>
      <c r="J1931">
        <v>0</v>
      </c>
      <c r="K1931"/>
      <c r="L1931">
        <v>0</v>
      </c>
      <c r="M1931">
        <v>199</v>
      </c>
    </row>
    <row r="1932" spans="1:13" ht="15">
      <c r="A1932" t="s">
        <v>3671</v>
      </c>
      <c r="B1932" s="1040" t="str">
        <f>CONCATENATE(LEFT(RIGHT(CONCATENATE("000",IFAData_TEA_1718!A1932),6),3),"-",(RIGHT(RIGHT(CONCATENATE("000",IFAData_TEA_1718!A1932),6),3)))</f>
        <v>175-904</v>
      </c>
      <c r="C1932" t="s">
        <v>2663</v>
      </c>
      <c r="D1932">
        <v>9</v>
      </c>
      <c r="E1932">
        <v>1745</v>
      </c>
      <c r="F1932" t="s">
        <v>5313</v>
      </c>
      <c r="G1932" t="s">
        <v>5313</v>
      </c>
      <c r="H1932">
        <v>45525</v>
      </c>
      <c r="I1932">
        <v>0</v>
      </c>
      <c r="J1932">
        <v>0</v>
      </c>
      <c r="K1932">
        <v>0</v>
      </c>
      <c r="L1932">
        <v>0</v>
      </c>
      <c r="M1932">
        <v>599</v>
      </c>
    </row>
    <row r="1933" spans="1:13" ht="15">
      <c r="A1933" t="s">
        <v>3671</v>
      </c>
      <c r="B1933" s="1040" t="str">
        <f>CONCATENATE(LEFT(RIGHT(CONCATENATE("000",IFAData_TEA_1718!A1933),6),3),"-",(RIGHT(RIGHT(CONCATENATE("000",IFAData_TEA_1718!A1933),6),3)))</f>
        <v>175-904</v>
      </c>
      <c r="C1933" t="s">
        <v>2663</v>
      </c>
      <c r="D1933">
        <v>9</v>
      </c>
      <c r="E1933">
        <v>1745</v>
      </c>
      <c r="F1933" t="s">
        <v>5313</v>
      </c>
      <c r="G1933" t="s">
        <v>8472</v>
      </c>
      <c r="H1933">
        <v>45525</v>
      </c>
      <c r="I1933">
        <v>310200</v>
      </c>
      <c r="J1933">
        <v>1</v>
      </c>
      <c r="K1933">
        <v>45525</v>
      </c>
      <c r="L1933">
        <v>45525</v>
      </c>
      <c r="M1933">
        <v>599</v>
      </c>
    </row>
    <row r="1934" spans="1:13" ht="15">
      <c r="A1934" t="s">
        <v>3672</v>
      </c>
      <c r="B1934" s="1040" t="str">
        <f>CONCATENATE(LEFT(RIGHT(CONCATENATE("000",IFAData_TEA_1718!A1934),6),3),"-",(RIGHT(RIGHT(CONCATENATE("000",IFAData_TEA_1718!A1934),6),3)))</f>
        <v>175-907</v>
      </c>
      <c r="C1934" t="s">
        <v>2517</v>
      </c>
      <c r="D1934">
        <v>5</v>
      </c>
      <c r="E1934">
        <v>1956</v>
      </c>
      <c r="F1934" t="s">
        <v>5314</v>
      </c>
      <c r="G1934" t="s">
        <v>5314</v>
      </c>
      <c r="H1934">
        <v>172700</v>
      </c>
      <c r="I1934">
        <v>0</v>
      </c>
      <c r="J1934">
        <v>0</v>
      </c>
      <c r="K1934">
        <v>0</v>
      </c>
      <c r="L1934">
        <v>0</v>
      </c>
      <c r="M1934">
        <v>599</v>
      </c>
    </row>
    <row r="1935" spans="1:13" ht="15">
      <c r="A1935" t="s">
        <v>3672</v>
      </c>
      <c r="B1935" s="1040" t="str">
        <f>CONCATENATE(LEFT(RIGHT(CONCATENATE("000",IFAData_TEA_1718!A1935),6),3),"-",(RIGHT(RIGHT(CONCATENATE("000",IFAData_TEA_1718!A1935),6),3)))</f>
        <v>175-907</v>
      </c>
      <c r="C1935" t="s">
        <v>2517</v>
      </c>
      <c r="D1935">
        <v>5</v>
      </c>
      <c r="E1935">
        <v>1956</v>
      </c>
      <c r="F1935" t="s">
        <v>5314</v>
      </c>
      <c r="G1935" t="s">
        <v>5315</v>
      </c>
      <c r="H1935">
        <v>172700</v>
      </c>
      <c r="I1935">
        <v>155675</v>
      </c>
      <c r="J1935">
        <v>1</v>
      </c>
      <c r="K1935">
        <v>172700</v>
      </c>
      <c r="L1935">
        <v>155675</v>
      </c>
      <c r="M1935">
        <v>599</v>
      </c>
    </row>
    <row r="1936" spans="1:13" ht="15">
      <c r="A1936" t="s">
        <v>3673</v>
      </c>
      <c r="B1936" s="1040" t="str">
        <f>CONCATENATE(LEFT(RIGHT(CONCATENATE("000",IFAData_TEA_1718!A1936),6),3),"-",(RIGHT(RIGHT(CONCATENATE("000",IFAData_TEA_1718!A1936),6),3)))</f>
        <v>175-911</v>
      </c>
      <c r="C1936" t="s">
        <v>80</v>
      </c>
      <c r="D1936">
        <v>2</v>
      </c>
      <c r="E1936">
        <v>2234</v>
      </c>
      <c r="F1936" t="s">
        <v>5316</v>
      </c>
      <c r="G1936" t="s">
        <v>5316</v>
      </c>
      <c r="H1936">
        <v>81645</v>
      </c>
      <c r="I1936">
        <v>0</v>
      </c>
      <c r="J1936">
        <v>0</v>
      </c>
      <c r="K1936">
        <v>0</v>
      </c>
      <c r="L1936">
        <v>0</v>
      </c>
      <c r="M1936">
        <v>599</v>
      </c>
    </row>
    <row r="1937" spans="1:13" ht="15">
      <c r="A1937" t="s">
        <v>3673</v>
      </c>
      <c r="B1937" s="1040" t="str">
        <f>CONCATENATE(LEFT(RIGHT(CONCATENATE("000",IFAData_TEA_1718!A1937),6),3),"-",(RIGHT(RIGHT(CONCATENATE("000",IFAData_TEA_1718!A1937),6),3)))</f>
        <v>175-911</v>
      </c>
      <c r="C1937" t="s">
        <v>80</v>
      </c>
      <c r="D1937">
        <v>2</v>
      </c>
      <c r="E1937">
        <v>2234</v>
      </c>
      <c r="F1937" t="s">
        <v>5316</v>
      </c>
      <c r="G1937" t="s">
        <v>5317</v>
      </c>
      <c r="H1937">
        <v>81645</v>
      </c>
      <c r="I1937">
        <v>0</v>
      </c>
      <c r="J1937">
        <v>0</v>
      </c>
      <c r="K1937">
        <v>0</v>
      </c>
      <c r="L1937">
        <v>0</v>
      </c>
      <c r="M1937">
        <v>599</v>
      </c>
    </row>
    <row r="1938" spans="1:13" ht="15">
      <c r="A1938" t="s">
        <v>3673</v>
      </c>
      <c r="B1938" s="1040" t="str">
        <f>CONCATENATE(LEFT(RIGHT(CONCATENATE("000",IFAData_TEA_1718!A1938),6),3),"-",(RIGHT(RIGHT(CONCATENATE("000",IFAData_TEA_1718!A1938),6),3)))</f>
        <v>175-911</v>
      </c>
      <c r="C1938" t="s">
        <v>80</v>
      </c>
      <c r="D1938">
        <v>2</v>
      </c>
      <c r="E1938">
        <v>2234</v>
      </c>
      <c r="F1938" t="s">
        <v>5316</v>
      </c>
      <c r="G1938" t="s">
        <v>6305</v>
      </c>
      <c r="H1938">
        <v>81645</v>
      </c>
      <c r="I1938">
        <v>68164</v>
      </c>
      <c r="J1938">
        <v>1</v>
      </c>
      <c r="K1938">
        <v>81645</v>
      </c>
      <c r="L1938">
        <v>68164</v>
      </c>
      <c r="M1938">
        <v>599</v>
      </c>
    </row>
    <row r="1939" spans="1:13" ht="15">
      <c r="A1939" t="s">
        <v>3673</v>
      </c>
      <c r="B1939" s="1040" t="str">
        <f>CONCATENATE(LEFT(RIGHT(CONCATENATE("000",IFAData_TEA_1718!A1939),6),3),"-",(RIGHT(RIGHT(CONCATENATE("000",IFAData_TEA_1718!A1939),6),3)))</f>
        <v>175-911</v>
      </c>
      <c r="C1939" t="s">
        <v>80</v>
      </c>
      <c r="D1939">
        <v>9</v>
      </c>
      <c r="E1939">
        <v>2235</v>
      </c>
      <c r="F1939" t="s">
        <v>5318</v>
      </c>
      <c r="G1939" t="s">
        <v>5318</v>
      </c>
      <c r="H1939">
        <v>173838</v>
      </c>
      <c r="I1939">
        <v>0</v>
      </c>
      <c r="J1939">
        <v>0</v>
      </c>
      <c r="K1939">
        <v>0</v>
      </c>
      <c r="L1939">
        <v>0</v>
      </c>
      <c r="M1939">
        <v>599</v>
      </c>
    </row>
    <row r="1940" spans="1:13" ht="15">
      <c r="A1940" t="s">
        <v>3673</v>
      </c>
      <c r="B1940" s="1040" t="str">
        <f>CONCATENATE(LEFT(RIGHT(CONCATENATE("000",IFAData_TEA_1718!A1940),6),3),"-",(RIGHT(RIGHT(CONCATENATE("000",IFAData_TEA_1718!A1940),6),3)))</f>
        <v>175-911</v>
      </c>
      <c r="C1940" t="s">
        <v>80</v>
      </c>
      <c r="D1940">
        <v>9</v>
      </c>
      <c r="E1940">
        <v>2235</v>
      </c>
      <c r="F1940" t="s">
        <v>5318</v>
      </c>
      <c r="G1940" t="s">
        <v>5319</v>
      </c>
      <c r="H1940">
        <v>173838</v>
      </c>
      <c r="I1940">
        <v>480935</v>
      </c>
      <c r="J1940">
        <v>1</v>
      </c>
      <c r="K1940">
        <v>173838</v>
      </c>
      <c r="L1940">
        <v>173838</v>
      </c>
      <c r="M1940">
        <v>599</v>
      </c>
    </row>
    <row r="1941" spans="1:13" ht="15">
      <c r="A1941" t="s">
        <v>3673</v>
      </c>
      <c r="B1941" s="1040" t="str">
        <f>CONCATENATE(LEFT(RIGHT(CONCATENATE("000",IFAData_TEA_1718!A1941),6),3),"-",(RIGHT(RIGHT(CONCATENATE("000",IFAData_TEA_1718!A1941),6),3)))</f>
        <v>175-911</v>
      </c>
      <c r="C1941" t="s">
        <v>80</v>
      </c>
      <c r="D1941">
        <v>10</v>
      </c>
      <c r="E1941">
        <v>2233</v>
      </c>
      <c r="F1941" t="s">
        <v>5319</v>
      </c>
      <c r="G1941" t="s">
        <v>5319</v>
      </c>
      <c r="H1941">
        <v>62309</v>
      </c>
      <c r="I1941">
        <v>40315</v>
      </c>
      <c r="J1941">
        <v>1</v>
      </c>
      <c r="K1941">
        <v>62309</v>
      </c>
      <c r="L1941">
        <v>40315</v>
      </c>
      <c r="M1941">
        <v>599</v>
      </c>
    </row>
    <row r="1942" spans="1:13" ht="15">
      <c r="A1942" t="s">
        <v>3674</v>
      </c>
      <c r="B1942" s="1040" t="str">
        <f>CONCATENATE(LEFT(RIGHT(CONCATENATE("000",IFAData_TEA_1718!A1942),6),3),"-",(RIGHT(RIGHT(CONCATENATE("000",IFAData_TEA_1718!A1942),6),3)))</f>
        <v>176-902</v>
      </c>
      <c r="C1942" t="s">
        <v>2286</v>
      </c>
      <c r="D1942">
        <v>3</v>
      </c>
      <c r="E1942">
        <v>2146</v>
      </c>
      <c r="F1942" t="s">
        <v>5320</v>
      </c>
      <c r="G1942" t="s">
        <v>5320</v>
      </c>
      <c r="H1942">
        <v>343700</v>
      </c>
      <c r="I1942">
        <v>0</v>
      </c>
      <c r="J1942">
        <v>0</v>
      </c>
      <c r="K1942">
        <v>0</v>
      </c>
      <c r="L1942">
        <v>0</v>
      </c>
      <c r="M1942">
        <v>599</v>
      </c>
    </row>
    <row r="1943" spans="1:13" ht="15">
      <c r="A1943" t="s">
        <v>3674</v>
      </c>
      <c r="B1943" s="1040" t="str">
        <f>CONCATENATE(LEFT(RIGHT(CONCATENATE("000",IFAData_TEA_1718!A1943),6),3),"-",(RIGHT(RIGHT(CONCATENATE("000",IFAData_TEA_1718!A1943),6),3)))</f>
        <v>176-902</v>
      </c>
      <c r="C1943" t="s">
        <v>2286</v>
      </c>
      <c r="D1943">
        <v>3</v>
      </c>
      <c r="E1943">
        <v>2146</v>
      </c>
      <c r="F1943" t="s">
        <v>5320</v>
      </c>
      <c r="G1943" t="s">
        <v>5321</v>
      </c>
      <c r="H1943">
        <v>343700</v>
      </c>
      <c r="I1943">
        <v>0</v>
      </c>
      <c r="J1943">
        <v>0</v>
      </c>
      <c r="K1943">
        <v>0</v>
      </c>
      <c r="L1943">
        <v>0</v>
      </c>
      <c r="M1943">
        <v>599</v>
      </c>
    </row>
    <row r="1944" spans="1:13" ht="15">
      <c r="A1944" t="s">
        <v>3674</v>
      </c>
      <c r="B1944" s="1040" t="str">
        <f>CONCATENATE(LEFT(RIGHT(CONCATENATE("000",IFAData_TEA_1718!A1944),6),3),"-",(RIGHT(RIGHT(CONCATENATE("000",IFAData_TEA_1718!A1944),6),3)))</f>
        <v>176-902</v>
      </c>
      <c r="C1944" t="s">
        <v>2286</v>
      </c>
      <c r="D1944">
        <v>3</v>
      </c>
      <c r="E1944">
        <v>2146</v>
      </c>
      <c r="F1944" t="s">
        <v>5320</v>
      </c>
      <c r="G1944" t="s">
        <v>6519</v>
      </c>
      <c r="H1944">
        <v>343700</v>
      </c>
      <c r="I1944">
        <v>741500</v>
      </c>
      <c r="J1944">
        <v>1</v>
      </c>
      <c r="K1944">
        <v>343700</v>
      </c>
      <c r="L1944">
        <v>343700</v>
      </c>
      <c r="M1944">
        <v>599</v>
      </c>
    </row>
    <row r="1945" spans="1:13" ht="15">
      <c r="A1945" t="s">
        <v>3675</v>
      </c>
      <c r="B1945" s="1040" t="str">
        <f>CONCATENATE(LEFT(RIGHT(CONCATENATE("000",IFAData_TEA_1718!A1945),6),3),"-",(RIGHT(RIGHT(CONCATENATE("000",IFAData_TEA_1718!A1945),6),3)))</f>
        <v>176-903</v>
      </c>
      <c r="C1945" t="s">
        <v>2670</v>
      </c>
      <c r="D1945">
        <v>6</v>
      </c>
      <c r="E1945">
        <v>1759</v>
      </c>
      <c r="F1945" t="s">
        <v>5322</v>
      </c>
      <c r="G1945" t="s">
        <v>5322</v>
      </c>
      <c r="H1945">
        <v>173765</v>
      </c>
      <c r="I1945">
        <v>0</v>
      </c>
      <c r="J1945">
        <v>0</v>
      </c>
      <c r="K1945">
        <v>0</v>
      </c>
      <c r="L1945">
        <v>0</v>
      </c>
      <c r="M1945">
        <v>599</v>
      </c>
    </row>
    <row r="1946" spans="1:13" ht="15">
      <c r="A1946" t="s">
        <v>3675</v>
      </c>
      <c r="B1946" s="1040" t="str">
        <f>CONCATENATE(LEFT(RIGHT(CONCATENATE("000",IFAData_TEA_1718!A1946),6),3),"-",(RIGHT(RIGHT(CONCATENATE("000",IFAData_TEA_1718!A1946),6),3)))</f>
        <v>176-903</v>
      </c>
      <c r="C1946" t="s">
        <v>2670</v>
      </c>
      <c r="D1946">
        <v>6</v>
      </c>
      <c r="E1946">
        <v>1759</v>
      </c>
      <c r="F1946" t="s">
        <v>5322</v>
      </c>
      <c r="G1946" t="s">
        <v>5323</v>
      </c>
      <c r="H1946">
        <v>173765</v>
      </c>
      <c r="I1946">
        <v>567718</v>
      </c>
      <c r="J1946">
        <v>1</v>
      </c>
      <c r="K1946">
        <v>173765</v>
      </c>
      <c r="L1946">
        <v>173765</v>
      </c>
      <c r="M1946">
        <v>599</v>
      </c>
    </row>
    <row r="1947" spans="1:13" ht="15">
      <c r="A1947" t="s">
        <v>3676</v>
      </c>
      <c r="B1947" s="1040" t="str">
        <f>CONCATENATE(LEFT(RIGHT(CONCATENATE("000",IFAData_TEA_1718!A1947),6),3),"-",(RIGHT(RIGHT(CONCATENATE("000",IFAData_TEA_1718!A1947),6),3)))</f>
        <v>177-901</v>
      </c>
      <c r="C1947" t="s">
        <v>3914</v>
      </c>
      <c r="D1947">
        <v>5</v>
      </c>
      <c r="E1947">
        <v>2264</v>
      </c>
      <c r="F1947" t="s">
        <v>5324</v>
      </c>
      <c r="G1947" t="s">
        <v>5324</v>
      </c>
      <c r="H1947">
        <v>100000</v>
      </c>
      <c r="I1947">
        <v>0</v>
      </c>
      <c r="J1947">
        <v>0</v>
      </c>
      <c r="K1947">
        <v>0</v>
      </c>
      <c r="L1947">
        <v>0</v>
      </c>
      <c r="M1947">
        <v>599</v>
      </c>
    </row>
    <row r="1948" spans="1:13" ht="15">
      <c r="A1948" t="s">
        <v>3676</v>
      </c>
      <c r="B1948" s="1040" t="str">
        <f>CONCATENATE(LEFT(RIGHT(CONCATENATE("000",IFAData_TEA_1718!A1948),6),3),"-",(RIGHT(RIGHT(CONCATENATE("000",IFAData_TEA_1718!A1948),6),3)))</f>
        <v>177-901</v>
      </c>
      <c r="C1948" t="s">
        <v>3914</v>
      </c>
      <c r="D1948">
        <v>5</v>
      </c>
      <c r="E1948">
        <v>2264</v>
      </c>
      <c r="F1948" t="s">
        <v>5324</v>
      </c>
      <c r="G1948" t="s">
        <v>5325</v>
      </c>
      <c r="H1948">
        <v>100000</v>
      </c>
      <c r="I1948">
        <v>75850</v>
      </c>
      <c r="J1948">
        <v>1</v>
      </c>
      <c r="K1948">
        <v>100000</v>
      </c>
      <c r="L1948">
        <v>75850</v>
      </c>
      <c r="M1948">
        <v>599</v>
      </c>
    </row>
    <row r="1949" spans="1:13" ht="15">
      <c r="A1949" t="s">
        <v>3677</v>
      </c>
      <c r="B1949" s="1040" t="str">
        <f>CONCATENATE(LEFT(RIGHT(CONCATENATE("000",IFAData_TEA_1718!A1949),6),3),"-",(RIGHT(RIGHT(CONCATENATE("000",IFAData_TEA_1718!A1949),6),3)))</f>
        <v>178-904</v>
      </c>
      <c r="C1949" t="s">
        <v>1100</v>
      </c>
      <c r="D1949">
        <v>1</v>
      </c>
      <c r="E1949">
        <v>1724</v>
      </c>
      <c r="F1949" t="s">
        <v>5326</v>
      </c>
      <c r="G1949" t="s">
        <v>5326</v>
      </c>
      <c r="H1949">
        <v>3668595</v>
      </c>
      <c r="I1949">
        <v>0</v>
      </c>
      <c r="J1949">
        <v>0</v>
      </c>
      <c r="K1949"/>
      <c r="L1949">
        <v>0</v>
      </c>
      <c r="M1949">
        <v>599</v>
      </c>
    </row>
    <row r="1950" spans="1:13" ht="15">
      <c r="A1950" t="s">
        <v>3677</v>
      </c>
      <c r="B1950" s="1040" t="str">
        <f>CONCATENATE(LEFT(RIGHT(CONCATENATE("000",IFAData_TEA_1718!A1950),6),3),"-",(RIGHT(RIGHT(CONCATENATE("000",IFAData_TEA_1718!A1950),6),3)))</f>
        <v>178-904</v>
      </c>
      <c r="C1950" t="s">
        <v>1100</v>
      </c>
      <c r="D1950">
        <v>9</v>
      </c>
      <c r="E1950">
        <v>1723</v>
      </c>
      <c r="F1950" t="s">
        <v>5327</v>
      </c>
      <c r="G1950" t="s">
        <v>5327</v>
      </c>
      <c r="H1950">
        <v>822393</v>
      </c>
      <c r="I1950">
        <v>0</v>
      </c>
      <c r="J1950">
        <v>0</v>
      </c>
      <c r="K1950">
        <v>0</v>
      </c>
      <c r="L1950">
        <v>0</v>
      </c>
      <c r="M1950">
        <v>199</v>
      </c>
    </row>
    <row r="1951" spans="1:13" ht="15">
      <c r="A1951" t="s">
        <v>3677</v>
      </c>
      <c r="B1951" s="1040" t="str">
        <f>CONCATENATE(LEFT(RIGHT(CONCATENATE("000",IFAData_TEA_1718!A1951),6),3),"-",(RIGHT(RIGHT(CONCATENATE("000",IFAData_TEA_1718!A1951),6),3)))</f>
        <v>178-904</v>
      </c>
      <c r="C1951" t="s">
        <v>1100</v>
      </c>
      <c r="D1951">
        <v>9</v>
      </c>
      <c r="E1951">
        <v>1723</v>
      </c>
      <c r="F1951" t="s">
        <v>5327</v>
      </c>
      <c r="G1951" t="s">
        <v>5328</v>
      </c>
      <c r="H1951">
        <v>822393</v>
      </c>
      <c r="I1951">
        <v>807028</v>
      </c>
      <c r="J1951">
        <v>0.86819867397204897</v>
      </c>
      <c r="K1951">
        <v>714000.51208389504</v>
      </c>
      <c r="L1951">
        <v>714000.51208389504</v>
      </c>
      <c r="M1951">
        <v>599</v>
      </c>
    </row>
    <row r="1952" spans="1:13" ht="15">
      <c r="A1952" t="s">
        <v>3677</v>
      </c>
      <c r="B1952" s="1040" t="str">
        <f>CONCATENATE(LEFT(RIGHT(CONCATENATE("000",IFAData_TEA_1718!A1952),6),3),"-",(RIGHT(RIGHT(CONCATENATE("000",IFAData_TEA_1718!A1952),6),3)))</f>
        <v>178-904</v>
      </c>
      <c r="C1952" t="s">
        <v>1100</v>
      </c>
      <c r="D1952">
        <v>9</v>
      </c>
      <c r="E1952">
        <v>1723</v>
      </c>
      <c r="F1952" t="s">
        <v>5327</v>
      </c>
      <c r="G1952" t="s">
        <v>8473</v>
      </c>
      <c r="H1952">
        <v>822393</v>
      </c>
      <c r="I1952">
        <v>122515</v>
      </c>
      <c r="J1952">
        <v>0.131801326027951</v>
      </c>
      <c r="K1952">
        <v>108392.487916105</v>
      </c>
      <c r="L1952">
        <v>108392.487916105</v>
      </c>
      <c r="M1952">
        <v>599</v>
      </c>
    </row>
    <row r="1953" spans="1:13" ht="15">
      <c r="A1953" t="s">
        <v>3677</v>
      </c>
      <c r="B1953" s="1040" t="str">
        <f>CONCATENATE(LEFT(RIGHT(CONCATENATE("000",IFAData_TEA_1718!A1953),6),3),"-",(RIGHT(RIGHT(CONCATENATE("000",IFAData_TEA_1718!A1953),6),3)))</f>
        <v>178-904</v>
      </c>
      <c r="C1953" t="s">
        <v>1100</v>
      </c>
      <c r="D1953">
        <v>9</v>
      </c>
      <c r="E1953">
        <v>1721</v>
      </c>
      <c r="F1953" t="s">
        <v>5329</v>
      </c>
      <c r="G1953" t="s">
        <v>5329</v>
      </c>
      <c r="H1953">
        <v>379812</v>
      </c>
      <c r="I1953">
        <v>0</v>
      </c>
      <c r="J1953">
        <v>0</v>
      </c>
      <c r="K1953">
        <v>0</v>
      </c>
      <c r="L1953">
        <v>0</v>
      </c>
      <c r="M1953">
        <v>199</v>
      </c>
    </row>
    <row r="1954" spans="1:13" ht="15">
      <c r="A1954" t="s">
        <v>3677</v>
      </c>
      <c r="B1954" s="1040" t="str">
        <f>CONCATENATE(LEFT(RIGHT(CONCATENATE("000",IFAData_TEA_1718!A1954),6),3),"-",(RIGHT(RIGHT(CONCATENATE("000",IFAData_TEA_1718!A1954),6),3)))</f>
        <v>178-904</v>
      </c>
      <c r="C1954" t="s">
        <v>1100</v>
      </c>
      <c r="D1954">
        <v>9</v>
      </c>
      <c r="E1954">
        <v>1721</v>
      </c>
      <c r="F1954" t="s">
        <v>5329</v>
      </c>
      <c r="G1954" t="s">
        <v>5328</v>
      </c>
      <c r="H1954">
        <v>379812</v>
      </c>
      <c r="I1954">
        <v>365037</v>
      </c>
      <c r="J1954">
        <v>0.86818897487977398</v>
      </c>
      <c r="K1954">
        <v>329748.590927037</v>
      </c>
      <c r="L1954">
        <v>329748.590927037</v>
      </c>
      <c r="M1954">
        <v>599</v>
      </c>
    </row>
    <row r="1955" spans="1:13" ht="15">
      <c r="A1955" t="s">
        <v>3677</v>
      </c>
      <c r="B1955" s="1040" t="str">
        <f>CONCATENATE(LEFT(RIGHT(CONCATENATE("000",IFAData_TEA_1718!A1955),6),3),"-",(RIGHT(RIGHT(CONCATENATE("000",IFAData_TEA_1718!A1955),6),3)))</f>
        <v>178-904</v>
      </c>
      <c r="C1955" t="s">
        <v>1100</v>
      </c>
      <c r="D1955">
        <v>9</v>
      </c>
      <c r="E1955">
        <v>1721</v>
      </c>
      <c r="F1955" t="s">
        <v>5329</v>
      </c>
      <c r="G1955" t="s">
        <v>8473</v>
      </c>
      <c r="H1955">
        <v>379812</v>
      </c>
      <c r="I1955">
        <v>55421</v>
      </c>
      <c r="J1955">
        <v>0.13181102512022599</v>
      </c>
      <c r="K1955">
        <v>50063.409072963303</v>
      </c>
      <c r="L1955">
        <v>50063.409072963303</v>
      </c>
      <c r="M1955">
        <v>599</v>
      </c>
    </row>
    <row r="1956" spans="1:13" ht="15">
      <c r="A1956" t="s">
        <v>3678</v>
      </c>
      <c r="B1956" s="1040" t="str">
        <f>CONCATENATE(LEFT(RIGHT(CONCATENATE("000",IFAData_TEA_1718!A1956),6),3),"-",(RIGHT(RIGHT(CONCATENATE("000",IFAData_TEA_1718!A1956),6),3)))</f>
        <v>178-909</v>
      </c>
      <c r="C1956" t="s">
        <v>2699</v>
      </c>
      <c r="D1956">
        <v>1</v>
      </c>
      <c r="E1956">
        <v>2253</v>
      </c>
      <c r="F1956" t="s">
        <v>5330</v>
      </c>
      <c r="G1956" t="s">
        <v>5330</v>
      </c>
      <c r="H1956">
        <v>485685</v>
      </c>
      <c r="I1956">
        <v>0</v>
      </c>
      <c r="J1956">
        <v>0</v>
      </c>
      <c r="K1956">
        <v>0</v>
      </c>
      <c r="L1956">
        <v>0</v>
      </c>
      <c r="M1956">
        <v>599</v>
      </c>
    </row>
    <row r="1957" spans="1:13" ht="15">
      <c r="A1957" t="s">
        <v>3678</v>
      </c>
      <c r="B1957" s="1040" t="str">
        <f>CONCATENATE(LEFT(RIGHT(CONCATENATE("000",IFAData_TEA_1718!A1957),6),3),"-",(RIGHT(RIGHT(CONCATENATE("000",IFAData_TEA_1718!A1957),6),3)))</f>
        <v>178-909</v>
      </c>
      <c r="C1957" t="s">
        <v>2699</v>
      </c>
      <c r="D1957">
        <v>1</v>
      </c>
      <c r="E1957">
        <v>2253</v>
      </c>
      <c r="F1957" t="s">
        <v>5330</v>
      </c>
      <c r="G1957" t="s">
        <v>5331</v>
      </c>
      <c r="H1957">
        <v>485685</v>
      </c>
      <c r="I1957">
        <v>347817</v>
      </c>
      <c r="J1957">
        <v>1</v>
      </c>
      <c r="K1957">
        <v>485685</v>
      </c>
      <c r="L1957">
        <v>347817</v>
      </c>
      <c r="M1957">
        <v>599</v>
      </c>
    </row>
    <row r="1958" spans="1:13" ht="15">
      <c r="A1958" t="s">
        <v>3678</v>
      </c>
      <c r="B1958" s="1040" t="str">
        <f>CONCATENATE(LEFT(RIGHT(CONCATENATE("000",IFAData_TEA_1718!A1958),6),3),"-",(RIGHT(RIGHT(CONCATENATE("000",IFAData_TEA_1718!A1958),6),3)))</f>
        <v>178-909</v>
      </c>
      <c r="C1958" t="s">
        <v>2699</v>
      </c>
      <c r="D1958">
        <v>7</v>
      </c>
      <c r="E1958">
        <v>2256</v>
      </c>
      <c r="F1958" t="s">
        <v>5332</v>
      </c>
      <c r="G1958" t="s">
        <v>5332</v>
      </c>
      <c r="H1958">
        <v>883718</v>
      </c>
      <c r="I1958">
        <v>0</v>
      </c>
      <c r="J1958">
        <v>0</v>
      </c>
      <c r="K1958">
        <v>0</v>
      </c>
      <c r="L1958">
        <v>0</v>
      </c>
      <c r="M1958">
        <v>599</v>
      </c>
    </row>
    <row r="1959" spans="1:13" ht="15">
      <c r="A1959" t="s">
        <v>3678</v>
      </c>
      <c r="B1959" s="1040" t="str">
        <f>CONCATENATE(LEFT(RIGHT(CONCATENATE("000",IFAData_TEA_1718!A1959),6),3),"-",(RIGHT(RIGHT(CONCATENATE("000",IFAData_TEA_1718!A1959),6),3)))</f>
        <v>178-909</v>
      </c>
      <c r="C1959" t="s">
        <v>2699</v>
      </c>
      <c r="D1959">
        <v>7</v>
      </c>
      <c r="E1959">
        <v>2256</v>
      </c>
      <c r="F1959" t="s">
        <v>5332</v>
      </c>
      <c r="G1959" t="s">
        <v>5333</v>
      </c>
      <c r="H1959">
        <v>883718</v>
      </c>
      <c r="I1959">
        <v>389144</v>
      </c>
      <c r="J1959">
        <v>0.45662441226961598</v>
      </c>
      <c r="K1959">
        <v>403527.21236208099</v>
      </c>
      <c r="L1959">
        <v>389144</v>
      </c>
      <c r="M1959">
        <v>599</v>
      </c>
    </row>
    <row r="1960" spans="1:13" ht="15">
      <c r="A1960" t="s">
        <v>3678</v>
      </c>
      <c r="B1960" s="1040" t="str">
        <f>CONCATENATE(LEFT(RIGHT(CONCATENATE("000",IFAData_TEA_1718!A1960),6),3),"-",(RIGHT(RIGHT(CONCATENATE("000",IFAData_TEA_1718!A1960),6),3)))</f>
        <v>178-909</v>
      </c>
      <c r="C1960" t="s">
        <v>2699</v>
      </c>
      <c r="D1960">
        <v>7</v>
      </c>
      <c r="E1960">
        <v>2256</v>
      </c>
      <c r="F1960" t="s">
        <v>5332</v>
      </c>
      <c r="G1960" t="s">
        <v>5334</v>
      </c>
      <c r="H1960">
        <v>883718</v>
      </c>
      <c r="I1960">
        <v>463075</v>
      </c>
      <c r="J1960">
        <v>0.54337558773038397</v>
      </c>
      <c r="K1960">
        <v>480190.78763791901</v>
      </c>
      <c r="L1960">
        <v>463075</v>
      </c>
      <c r="M1960">
        <v>599</v>
      </c>
    </row>
    <row r="1961" spans="1:13" ht="15">
      <c r="A1961" t="s">
        <v>3678</v>
      </c>
      <c r="B1961" s="1040" t="str">
        <f>CONCATENATE(LEFT(RIGHT(CONCATENATE("000",IFAData_TEA_1718!A1961),6),3),"-",(RIGHT(RIGHT(CONCATENATE("000",IFAData_TEA_1718!A1961),6),3)))</f>
        <v>178-909</v>
      </c>
      <c r="C1961" t="s">
        <v>2699</v>
      </c>
      <c r="D1961">
        <v>9</v>
      </c>
      <c r="E1961">
        <v>2255</v>
      </c>
      <c r="F1961" t="s">
        <v>5335</v>
      </c>
      <c r="G1961" t="s">
        <v>5335</v>
      </c>
      <c r="H1961">
        <v>829400</v>
      </c>
      <c r="I1961">
        <v>71575</v>
      </c>
      <c r="J1961">
        <v>0.102209846131877</v>
      </c>
      <c r="K1961">
        <v>84772.846381778596</v>
      </c>
      <c r="L1961">
        <v>71575</v>
      </c>
      <c r="M1961">
        <v>599</v>
      </c>
    </row>
    <row r="1962" spans="1:13" ht="15">
      <c r="A1962" t="s">
        <v>3678</v>
      </c>
      <c r="B1962" s="1040" t="str">
        <f>CONCATENATE(LEFT(RIGHT(CONCATENATE("000",IFAData_TEA_1718!A1962),6),3),"-",(RIGHT(RIGHT(CONCATENATE("000",IFAData_TEA_1718!A1962),6),3)))</f>
        <v>178-909</v>
      </c>
      <c r="C1962" t="s">
        <v>2699</v>
      </c>
      <c r="D1962">
        <v>9</v>
      </c>
      <c r="E1962">
        <v>2255</v>
      </c>
      <c r="F1962" t="s">
        <v>5335</v>
      </c>
      <c r="G1962" t="s">
        <v>6306</v>
      </c>
      <c r="H1962">
        <v>829400</v>
      </c>
      <c r="I1962">
        <v>368500</v>
      </c>
      <c r="J1962">
        <v>0.52622184141944195</v>
      </c>
      <c r="K1962">
        <v>436448.39527328598</v>
      </c>
      <c r="L1962">
        <v>368500</v>
      </c>
      <c r="M1962">
        <v>599</v>
      </c>
    </row>
    <row r="1963" spans="1:13" ht="15">
      <c r="A1963" t="s">
        <v>3678</v>
      </c>
      <c r="B1963" s="1040" t="str">
        <f>CONCATENATE(LEFT(RIGHT(CONCATENATE("000",IFAData_TEA_1718!A1963),6),3),"-",(RIGHT(RIGHT(CONCATENATE("000",IFAData_TEA_1718!A1963),6),3)))</f>
        <v>178-909</v>
      </c>
      <c r="C1963" t="s">
        <v>2699</v>
      </c>
      <c r="D1963">
        <v>9</v>
      </c>
      <c r="E1963">
        <v>2255</v>
      </c>
      <c r="F1963" t="s">
        <v>5335</v>
      </c>
      <c r="G1963" t="s">
        <v>6520</v>
      </c>
      <c r="H1963">
        <v>829400</v>
      </c>
      <c r="I1963">
        <v>260200</v>
      </c>
      <c r="J1963">
        <v>0.37156831244868099</v>
      </c>
      <c r="K1963">
        <v>308178.75834493601</v>
      </c>
      <c r="L1963">
        <v>260200</v>
      </c>
      <c r="M1963">
        <v>599</v>
      </c>
    </row>
    <row r="1964" spans="1:13" ht="15">
      <c r="A1964" t="s">
        <v>3678</v>
      </c>
      <c r="B1964" s="1040" t="str">
        <f>CONCATENATE(LEFT(RIGHT(CONCATENATE("000",IFAData_TEA_1718!A1964),6),3),"-",(RIGHT(RIGHT(CONCATENATE("000",IFAData_TEA_1718!A1964),6),3)))</f>
        <v>178-909</v>
      </c>
      <c r="C1964" t="s">
        <v>2699</v>
      </c>
      <c r="D1964">
        <v>10</v>
      </c>
      <c r="E1964">
        <v>2254</v>
      </c>
      <c r="F1964" t="s">
        <v>5336</v>
      </c>
      <c r="G1964" t="s">
        <v>5336</v>
      </c>
      <c r="H1964">
        <v>707375</v>
      </c>
      <c r="I1964">
        <v>437600</v>
      </c>
      <c r="J1964">
        <v>0.62324551971070896</v>
      </c>
      <c r="K1964">
        <v>440868.29950536299</v>
      </c>
      <c r="L1964">
        <v>437600</v>
      </c>
      <c r="M1964">
        <v>599</v>
      </c>
    </row>
    <row r="1965" spans="1:13" ht="15">
      <c r="A1965" t="s">
        <v>3678</v>
      </c>
      <c r="B1965" s="1040" t="str">
        <f>CONCATENATE(LEFT(RIGHT(CONCATENATE("000",IFAData_TEA_1718!A1965),6),3),"-",(RIGHT(RIGHT(CONCATENATE("000",IFAData_TEA_1718!A1965),6),3)))</f>
        <v>178-909</v>
      </c>
      <c r="C1965" t="s">
        <v>2699</v>
      </c>
      <c r="D1965">
        <v>10</v>
      </c>
      <c r="E1965">
        <v>2254</v>
      </c>
      <c r="F1965" t="s">
        <v>5336</v>
      </c>
      <c r="G1965" t="s">
        <v>8474</v>
      </c>
      <c r="H1965">
        <v>707375</v>
      </c>
      <c r="I1965">
        <v>264531</v>
      </c>
      <c r="J1965">
        <v>0.37675448028929098</v>
      </c>
      <c r="K1965">
        <v>266506.70049463701</v>
      </c>
      <c r="L1965">
        <v>264531</v>
      </c>
      <c r="M1965">
        <v>599</v>
      </c>
    </row>
    <row r="1966" spans="1:13" ht="15">
      <c r="A1966" t="s">
        <v>3679</v>
      </c>
      <c r="B1966" s="1040" t="str">
        <f>CONCATENATE(LEFT(RIGHT(CONCATENATE("000",IFAData_TEA_1718!A1966),6),3),"-",(RIGHT(RIGHT(CONCATENATE("000",IFAData_TEA_1718!A1966),6),3)))</f>
        <v>178-913</v>
      </c>
      <c r="C1966" t="s">
        <v>321</v>
      </c>
      <c r="D1966">
        <v>9</v>
      </c>
      <c r="E1966">
        <v>1592</v>
      </c>
      <c r="F1966" t="s">
        <v>5337</v>
      </c>
      <c r="G1966" t="s">
        <v>5337</v>
      </c>
      <c r="H1966">
        <v>156610</v>
      </c>
      <c r="I1966">
        <v>0</v>
      </c>
      <c r="J1966">
        <v>0</v>
      </c>
      <c r="K1966">
        <v>0</v>
      </c>
      <c r="L1966">
        <v>0</v>
      </c>
      <c r="M1966">
        <v>599</v>
      </c>
    </row>
    <row r="1967" spans="1:13" ht="15">
      <c r="A1967" t="s">
        <v>3679</v>
      </c>
      <c r="B1967" s="1040" t="str">
        <f>CONCATENATE(LEFT(RIGHT(CONCATENATE("000",IFAData_TEA_1718!A1967),6),3),"-",(RIGHT(RIGHT(CONCATENATE("000",IFAData_TEA_1718!A1967),6),3)))</f>
        <v>178-913</v>
      </c>
      <c r="C1967" t="s">
        <v>321</v>
      </c>
      <c r="D1967">
        <v>9</v>
      </c>
      <c r="E1967">
        <v>1592</v>
      </c>
      <c r="F1967" t="s">
        <v>5337</v>
      </c>
      <c r="G1967" t="s">
        <v>6307</v>
      </c>
      <c r="H1967">
        <v>156610</v>
      </c>
      <c r="I1967">
        <v>150428</v>
      </c>
      <c r="J1967">
        <v>1</v>
      </c>
      <c r="K1967">
        <v>156610</v>
      </c>
      <c r="L1967">
        <v>150428</v>
      </c>
      <c r="M1967">
        <v>599</v>
      </c>
    </row>
    <row r="1968" spans="1:13" ht="15">
      <c r="A1968" t="s">
        <v>3680</v>
      </c>
      <c r="B1968" s="1040" t="str">
        <f>CONCATENATE(LEFT(RIGHT(CONCATENATE("000",IFAData_TEA_1718!A1968),6),3),"-",(RIGHT(RIGHT(CONCATENATE("000",IFAData_TEA_1718!A1968),6),3)))</f>
        <v>178-915</v>
      </c>
      <c r="C1968" t="s">
        <v>323</v>
      </c>
      <c r="D1968">
        <v>10</v>
      </c>
      <c r="E1968">
        <v>2445</v>
      </c>
      <c r="F1968" t="s">
        <v>5338</v>
      </c>
      <c r="G1968" t="s">
        <v>5338</v>
      </c>
      <c r="H1968">
        <v>243416</v>
      </c>
      <c r="I1968">
        <v>349200</v>
      </c>
      <c r="J1968">
        <v>0.68553928304998202</v>
      </c>
      <c r="K1968">
        <v>166871.23012289501</v>
      </c>
      <c r="L1968">
        <v>166871.23012289501</v>
      </c>
      <c r="M1968">
        <v>599</v>
      </c>
    </row>
    <row r="1969" spans="1:13" ht="15">
      <c r="A1969" t="s">
        <v>3680</v>
      </c>
      <c r="B1969" s="1040" t="str">
        <f>CONCATENATE(LEFT(RIGHT(CONCATENATE("000",IFAData_TEA_1718!A1969),6),3),"-",(RIGHT(RIGHT(CONCATENATE("000",IFAData_TEA_1718!A1969),6),3)))</f>
        <v>178-915</v>
      </c>
      <c r="C1969" t="s">
        <v>323</v>
      </c>
      <c r="D1969">
        <v>10</v>
      </c>
      <c r="E1969">
        <v>2445</v>
      </c>
      <c r="F1969" t="s">
        <v>5338</v>
      </c>
      <c r="G1969" t="s">
        <v>6831</v>
      </c>
      <c r="H1969">
        <v>243416</v>
      </c>
      <c r="I1969">
        <v>160180</v>
      </c>
      <c r="J1969">
        <v>0.31446071695001798</v>
      </c>
      <c r="K1969">
        <v>76544.7698771055</v>
      </c>
      <c r="L1969">
        <v>76544.7698771055</v>
      </c>
      <c r="M1969">
        <v>599</v>
      </c>
    </row>
    <row r="1970" spans="1:13" ht="15">
      <c r="A1970" t="s">
        <v>3681</v>
      </c>
      <c r="B1970" s="1040" t="str">
        <f>CONCATENATE(LEFT(RIGHT(CONCATENATE("000",IFAData_TEA_1718!A1970),6),3),"-",(RIGHT(RIGHT(CONCATENATE("000",IFAData_TEA_1718!A1970),6),3)))</f>
        <v>179-901</v>
      </c>
      <c r="C1970" t="s">
        <v>996</v>
      </c>
      <c r="D1970">
        <v>1</v>
      </c>
      <c r="E1970">
        <v>2186</v>
      </c>
      <c r="F1970" t="s">
        <v>5339</v>
      </c>
      <c r="G1970" t="s">
        <v>5339</v>
      </c>
      <c r="H1970">
        <v>477623</v>
      </c>
      <c r="I1970">
        <v>0</v>
      </c>
      <c r="J1970">
        <v>0</v>
      </c>
      <c r="K1970"/>
      <c r="L1970">
        <v>0</v>
      </c>
      <c r="M1970">
        <v>599</v>
      </c>
    </row>
    <row r="1971" spans="1:13" ht="15">
      <c r="A1971" t="s">
        <v>3681</v>
      </c>
      <c r="B1971" s="1040" t="str">
        <f>CONCATENATE(LEFT(RIGHT(CONCATENATE("000",IFAData_TEA_1718!A1971),6),3),"-",(RIGHT(RIGHT(CONCATENATE("000",IFAData_TEA_1718!A1971),6),3)))</f>
        <v>179-901</v>
      </c>
      <c r="C1971" t="s">
        <v>996</v>
      </c>
      <c r="D1971">
        <v>1</v>
      </c>
      <c r="E1971">
        <v>2186</v>
      </c>
      <c r="F1971" t="s">
        <v>5339</v>
      </c>
      <c r="G1971" t="s">
        <v>5340</v>
      </c>
      <c r="H1971">
        <v>477623</v>
      </c>
      <c r="I1971">
        <v>0</v>
      </c>
      <c r="J1971">
        <v>0</v>
      </c>
      <c r="K1971"/>
      <c r="L1971">
        <v>0</v>
      </c>
      <c r="M1971">
        <v>599</v>
      </c>
    </row>
    <row r="1972" spans="1:13" ht="15">
      <c r="A1972" t="s">
        <v>3682</v>
      </c>
      <c r="B1972" s="1040" t="str">
        <f>CONCATENATE(LEFT(RIGHT(CONCATENATE("000",IFAData_TEA_1718!A1972),6),3),"-",(RIGHT(RIGHT(CONCATENATE("000",IFAData_TEA_1718!A1972),6),3)))</f>
        <v>181-901</v>
      </c>
      <c r="C1972" t="s">
        <v>1855</v>
      </c>
      <c r="D1972">
        <v>6</v>
      </c>
      <c r="E1972">
        <v>1633</v>
      </c>
      <c r="F1972" t="s">
        <v>5341</v>
      </c>
      <c r="G1972" t="s">
        <v>5341</v>
      </c>
      <c r="H1972">
        <v>649545</v>
      </c>
      <c r="I1972">
        <v>0</v>
      </c>
      <c r="J1972">
        <v>0</v>
      </c>
      <c r="K1972">
        <v>0</v>
      </c>
      <c r="L1972">
        <v>0</v>
      </c>
      <c r="M1972">
        <v>599</v>
      </c>
    </row>
    <row r="1973" spans="1:13" ht="15">
      <c r="A1973" t="s">
        <v>3682</v>
      </c>
      <c r="B1973" s="1040" t="str">
        <f>CONCATENATE(LEFT(RIGHT(CONCATENATE("000",IFAData_TEA_1718!A1973),6),3),"-",(RIGHT(RIGHT(CONCATENATE("000",IFAData_TEA_1718!A1973),6),3)))</f>
        <v>181-901</v>
      </c>
      <c r="C1973" t="s">
        <v>1855</v>
      </c>
      <c r="D1973">
        <v>6</v>
      </c>
      <c r="E1973">
        <v>1633</v>
      </c>
      <c r="F1973" t="s">
        <v>5341</v>
      </c>
      <c r="G1973" t="s">
        <v>5342</v>
      </c>
      <c r="H1973">
        <v>649545</v>
      </c>
      <c r="I1973">
        <v>0</v>
      </c>
      <c r="J1973">
        <v>0</v>
      </c>
      <c r="K1973">
        <v>0</v>
      </c>
      <c r="L1973">
        <v>0</v>
      </c>
      <c r="M1973">
        <v>599</v>
      </c>
    </row>
    <row r="1974" spans="1:13" ht="15">
      <c r="A1974" t="s">
        <v>3682</v>
      </c>
      <c r="B1974" s="1040" t="str">
        <f>CONCATENATE(LEFT(RIGHT(CONCATENATE("000",IFAData_TEA_1718!A1974),6),3),"-",(RIGHT(RIGHT(CONCATENATE("000",IFAData_TEA_1718!A1974),6),3)))</f>
        <v>181-901</v>
      </c>
      <c r="C1974" t="s">
        <v>1855</v>
      </c>
      <c r="D1974">
        <v>6</v>
      </c>
      <c r="E1974">
        <v>1633</v>
      </c>
      <c r="F1974" t="s">
        <v>5341</v>
      </c>
      <c r="G1974" t="s">
        <v>5343</v>
      </c>
      <c r="H1974">
        <v>649545</v>
      </c>
      <c r="I1974">
        <v>17545</v>
      </c>
      <c r="J1974">
        <v>2.9031430722517799E-2</v>
      </c>
      <c r="K1974">
        <v>18857.220668657799</v>
      </c>
      <c r="L1974">
        <v>17545</v>
      </c>
      <c r="M1974">
        <v>599</v>
      </c>
    </row>
    <row r="1975" spans="1:13" ht="15">
      <c r="A1975" t="s">
        <v>3682</v>
      </c>
      <c r="B1975" s="1040" t="str">
        <f>CONCATENATE(LEFT(RIGHT(CONCATENATE("000",IFAData_TEA_1718!A1975),6),3),"-",(RIGHT(RIGHT(CONCATENATE("000",IFAData_TEA_1718!A1975),6),3)))</f>
        <v>181-901</v>
      </c>
      <c r="C1975" t="s">
        <v>1855</v>
      </c>
      <c r="D1975">
        <v>6</v>
      </c>
      <c r="E1975">
        <v>1633</v>
      </c>
      <c r="F1975" t="s">
        <v>5341</v>
      </c>
      <c r="G1975" t="s">
        <v>8475</v>
      </c>
      <c r="H1975">
        <v>649545</v>
      </c>
      <c r="I1975">
        <v>586800</v>
      </c>
      <c r="J1975">
        <v>0.97096856927748199</v>
      </c>
      <c r="K1975">
        <v>630687.77933134197</v>
      </c>
      <c r="L1975">
        <v>586800</v>
      </c>
      <c r="M1975">
        <v>599</v>
      </c>
    </row>
    <row r="1976" spans="1:13" ht="15">
      <c r="A1976" t="s">
        <v>3683</v>
      </c>
      <c r="B1976" s="1040" t="str">
        <f>CONCATENATE(LEFT(RIGHT(CONCATENATE("000",IFAData_TEA_1718!A1976),6),3),"-",(RIGHT(RIGHT(CONCATENATE("000",IFAData_TEA_1718!A1976),6),3)))</f>
        <v>181-907</v>
      </c>
      <c r="C1976" t="s">
        <v>135</v>
      </c>
      <c r="D1976">
        <v>6</v>
      </c>
      <c r="E1976">
        <v>2428</v>
      </c>
      <c r="F1976" t="s">
        <v>5344</v>
      </c>
      <c r="G1976" t="s">
        <v>5344</v>
      </c>
      <c r="H1976">
        <v>1258064</v>
      </c>
      <c r="I1976">
        <v>0</v>
      </c>
      <c r="J1976">
        <v>0</v>
      </c>
      <c r="K1976">
        <v>0</v>
      </c>
      <c r="L1976">
        <v>0</v>
      </c>
      <c r="M1976">
        <v>599</v>
      </c>
    </row>
    <row r="1977" spans="1:13" ht="15">
      <c r="A1977" t="s">
        <v>3683</v>
      </c>
      <c r="B1977" s="1040" t="str">
        <f>CONCATENATE(LEFT(RIGHT(CONCATENATE("000",IFAData_TEA_1718!A1977),6),3),"-",(RIGHT(RIGHT(CONCATENATE("000",IFAData_TEA_1718!A1977),6),3)))</f>
        <v>181-907</v>
      </c>
      <c r="C1977" t="s">
        <v>135</v>
      </c>
      <c r="D1977">
        <v>6</v>
      </c>
      <c r="E1977">
        <v>2428</v>
      </c>
      <c r="F1977" t="s">
        <v>5344</v>
      </c>
      <c r="G1977" t="s">
        <v>5345</v>
      </c>
      <c r="H1977">
        <v>1258064</v>
      </c>
      <c r="I1977">
        <v>0</v>
      </c>
      <c r="J1977">
        <v>0</v>
      </c>
      <c r="K1977">
        <v>0</v>
      </c>
      <c r="L1977">
        <v>0</v>
      </c>
      <c r="M1977">
        <v>599</v>
      </c>
    </row>
    <row r="1978" spans="1:13" ht="15">
      <c r="A1978" t="s">
        <v>3683</v>
      </c>
      <c r="B1978" s="1040" t="str">
        <f>CONCATENATE(LEFT(RIGHT(CONCATENATE("000",IFAData_TEA_1718!A1978),6),3),"-",(RIGHT(RIGHT(CONCATENATE("000",IFAData_TEA_1718!A1978),6),3)))</f>
        <v>181-907</v>
      </c>
      <c r="C1978" t="s">
        <v>135</v>
      </c>
      <c r="D1978">
        <v>6</v>
      </c>
      <c r="E1978">
        <v>2428</v>
      </c>
      <c r="F1978" t="s">
        <v>5344</v>
      </c>
      <c r="G1978" t="s">
        <v>5346</v>
      </c>
      <c r="H1978">
        <v>1258064</v>
      </c>
      <c r="I1978">
        <v>759200</v>
      </c>
      <c r="J1978">
        <v>0.72222222222222199</v>
      </c>
      <c r="K1978">
        <v>908601.77777777798</v>
      </c>
      <c r="L1978">
        <v>759200</v>
      </c>
      <c r="M1978">
        <v>599</v>
      </c>
    </row>
    <row r="1979" spans="1:13" ht="15">
      <c r="A1979" t="s">
        <v>3683</v>
      </c>
      <c r="B1979" s="1040" t="str">
        <f>CONCATENATE(LEFT(RIGHT(CONCATENATE("000",IFAData_TEA_1718!A1979),6),3),"-",(RIGHT(RIGHT(CONCATENATE("000",IFAData_TEA_1718!A1979),6),3)))</f>
        <v>181-907</v>
      </c>
      <c r="C1979" t="s">
        <v>135</v>
      </c>
      <c r="D1979">
        <v>6</v>
      </c>
      <c r="E1979">
        <v>2428</v>
      </c>
      <c r="F1979" t="s">
        <v>5344</v>
      </c>
      <c r="G1979" t="s">
        <v>6521</v>
      </c>
      <c r="H1979">
        <v>1258064</v>
      </c>
      <c r="I1979">
        <v>292000</v>
      </c>
      <c r="J1979">
        <v>0.27777777777777801</v>
      </c>
      <c r="K1979">
        <v>349462.22222222202</v>
      </c>
      <c r="L1979">
        <v>292000</v>
      </c>
      <c r="M1979">
        <v>599</v>
      </c>
    </row>
    <row r="1980" spans="1:13" ht="15">
      <c r="A1980" t="s">
        <v>6046</v>
      </c>
      <c r="B1980" s="1040" t="str">
        <f>CONCATENATE(LEFT(RIGHT(CONCATENATE("000",IFAData_TEA_1718!A1980),6),3),"-",(RIGHT(RIGHT(CONCATENATE("000",IFAData_TEA_1718!A1980),6),3)))</f>
        <v>181-908</v>
      </c>
      <c r="C1980" t="s">
        <v>3915</v>
      </c>
      <c r="D1980">
        <v>11</v>
      </c>
      <c r="E1980">
        <v>2536</v>
      </c>
      <c r="F1980" t="s">
        <v>8476</v>
      </c>
      <c r="G1980" t="s">
        <v>8476</v>
      </c>
      <c r="H1980">
        <v>531973</v>
      </c>
      <c r="I1980">
        <v>425958</v>
      </c>
      <c r="J1980">
        <v>1</v>
      </c>
      <c r="K1980">
        <v>531973</v>
      </c>
      <c r="L1980">
        <v>425958</v>
      </c>
      <c r="M1980">
        <v>599</v>
      </c>
    </row>
    <row r="1981" spans="1:13" ht="15">
      <c r="A1981" t="s">
        <v>3684</v>
      </c>
      <c r="B1981" s="1040" t="str">
        <f>CONCATENATE(LEFT(RIGHT(CONCATENATE("000",IFAData_TEA_1718!A1981),6),3),"-",(RIGHT(RIGHT(CONCATENATE("000",IFAData_TEA_1718!A1981),6),3)))</f>
        <v>182-903</v>
      </c>
      <c r="C1981" t="s">
        <v>2240</v>
      </c>
      <c r="D1981">
        <v>2</v>
      </c>
      <c r="E1981">
        <v>2110</v>
      </c>
      <c r="F1981" t="s">
        <v>5347</v>
      </c>
      <c r="G1981" t="s">
        <v>5347</v>
      </c>
      <c r="H1981">
        <v>772750</v>
      </c>
      <c r="I1981">
        <v>0</v>
      </c>
      <c r="J1981">
        <v>0</v>
      </c>
      <c r="K1981">
        <v>0</v>
      </c>
      <c r="L1981">
        <v>0</v>
      </c>
      <c r="M1981">
        <v>599</v>
      </c>
    </row>
    <row r="1982" spans="1:13" ht="15">
      <c r="A1982" t="s">
        <v>3684</v>
      </c>
      <c r="B1982" s="1040" t="str">
        <f>CONCATENATE(LEFT(RIGHT(CONCATENATE("000",IFAData_TEA_1718!A1982),6),3),"-",(RIGHT(RIGHT(CONCATENATE("000",IFAData_TEA_1718!A1982),6),3)))</f>
        <v>182-903</v>
      </c>
      <c r="C1982" t="s">
        <v>2240</v>
      </c>
      <c r="D1982">
        <v>2</v>
      </c>
      <c r="E1982">
        <v>2110</v>
      </c>
      <c r="F1982" t="s">
        <v>5347</v>
      </c>
      <c r="G1982" t="s">
        <v>5348</v>
      </c>
      <c r="H1982">
        <v>772750</v>
      </c>
      <c r="I1982">
        <v>0</v>
      </c>
      <c r="J1982">
        <v>0</v>
      </c>
      <c r="K1982">
        <v>0</v>
      </c>
      <c r="L1982">
        <v>0</v>
      </c>
      <c r="M1982">
        <v>599</v>
      </c>
    </row>
    <row r="1983" spans="1:13" ht="15">
      <c r="A1983" t="s">
        <v>3684</v>
      </c>
      <c r="B1983" s="1040" t="str">
        <f>CONCATENATE(LEFT(RIGHT(CONCATENATE("000",IFAData_TEA_1718!A1983),6),3),"-",(RIGHT(RIGHT(CONCATENATE("000",IFAData_TEA_1718!A1983),6),3)))</f>
        <v>182-903</v>
      </c>
      <c r="C1983" t="s">
        <v>2240</v>
      </c>
      <c r="D1983">
        <v>2</v>
      </c>
      <c r="E1983">
        <v>2110</v>
      </c>
      <c r="F1983" t="s">
        <v>5347</v>
      </c>
      <c r="G1983" t="s">
        <v>5349</v>
      </c>
      <c r="H1983">
        <v>772750</v>
      </c>
      <c r="I1983">
        <v>293827</v>
      </c>
      <c r="J1983">
        <v>0.19300629938845401</v>
      </c>
      <c r="K1983">
        <v>149145.61785242701</v>
      </c>
      <c r="L1983">
        <v>149145.61785242701</v>
      </c>
      <c r="M1983">
        <v>599</v>
      </c>
    </row>
    <row r="1984" spans="1:13" ht="15">
      <c r="A1984" t="s">
        <v>3684</v>
      </c>
      <c r="B1984" s="1040" t="str">
        <f>CONCATENATE(LEFT(RIGHT(CONCATENATE("000",IFAData_TEA_1718!A1984),6),3),"-",(RIGHT(RIGHT(CONCATENATE("000",IFAData_TEA_1718!A1984),6),3)))</f>
        <v>182-903</v>
      </c>
      <c r="C1984" t="s">
        <v>2240</v>
      </c>
      <c r="D1984">
        <v>2</v>
      </c>
      <c r="E1984">
        <v>2110</v>
      </c>
      <c r="F1984" t="s">
        <v>5347</v>
      </c>
      <c r="G1984" t="s">
        <v>5350</v>
      </c>
      <c r="H1984">
        <v>772750</v>
      </c>
      <c r="I1984">
        <v>42248</v>
      </c>
      <c r="J1984">
        <v>2.7751466463474699E-2</v>
      </c>
      <c r="K1984">
        <v>21444.945709650099</v>
      </c>
      <c r="L1984">
        <v>21444.945709650099</v>
      </c>
      <c r="M1984">
        <v>599</v>
      </c>
    </row>
    <row r="1985" spans="1:13" ht="15">
      <c r="A1985" t="s">
        <v>3684</v>
      </c>
      <c r="B1985" s="1040" t="str">
        <f>CONCATENATE(LEFT(RIGHT(CONCATENATE("000",IFAData_TEA_1718!A1985),6),3),"-",(RIGHT(RIGHT(CONCATENATE("000",IFAData_TEA_1718!A1985),6),3)))</f>
        <v>182-903</v>
      </c>
      <c r="C1985" t="s">
        <v>2240</v>
      </c>
      <c r="D1985">
        <v>2</v>
      </c>
      <c r="E1985">
        <v>2110</v>
      </c>
      <c r="F1985" t="s">
        <v>5347</v>
      </c>
      <c r="G1985" t="s">
        <v>6308</v>
      </c>
      <c r="H1985">
        <v>772750</v>
      </c>
      <c r="I1985">
        <v>590432</v>
      </c>
      <c r="J1985">
        <v>0.38783738512976501</v>
      </c>
      <c r="K1985">
        <v>299701.33935902599</v>
      </c>
      <c r="L1985">
        <v>299701.33935902599</v>
      </c>
      <c r="M1985">
        <v>599</v>
      </c>
    </row>
    <row r="1986" spans="1:13" ht="15">
      <c r="A1986" t="s">
        <v>3684</v>
      </c>
      <c r="B1986" s="1040" t="str">
        <f>CONCATENATE(LEFT(RIGHT(CONCATENATE("000",IFAData_TEA_1718!A1986),6),3),"-",(RIGHT(RIGHT(CONCATENATE("000",IFAData_TEA_1718!A1986),6),3)))</f>
        <v>182-903</v>
      </c>
      <c r="C1986" t="s">
        <v>2240</v>
      </c>
      <c r="D1986">
        <v>2</v>
      </c>
      <c r="E1986">
        <v>2110</v>
      </c>
      <c r="F1986" t="s">
        <v>5347</v>
      </c>
      <c r="G1986" t="s">
        <v>6523</v>
      </c>
      <c r="H1986">
        <v>772750</v>
      </c>
      <c r="I1986">
        <v>218992</v>
      </c>
      <c r="J1986">
        <v>0.143849392723188</v>
      </c>
      <c r="K1986">
        <v>111159.618226844</v>
      </c>
      <c r="L1986">
        <v>111159.618226844</v>
      </c>
      <c r="M1986">
        <v>599</v>
      </c>
    </row>
    <row r="1987" spans="1:13" ht="15">
      <c r="A1987" t="s">
        <v>3684</v>
      </c>
      <c r="B1987" s="1040" t="str">
        <f>CONCATENATE(LEFT(RIGHT(CONCATENATE("000",IFAData_TEA_1718!A1987),6),3),"-",(RIGHT(RIGHT(CONCATENATE("000",IFAData_TEA_1718!A1987),6),3)))</f>
        <v>182-903</v>
      </c>
      <c r="C1987" t="s">
        <v>2240</v>
      </c>
      <c r="D1987">
        <v>2</v>
      </c>
      <c r="E1987">
        <v>2110</v>
      </c>
      <c r="F1987" t="s">
        <v>5347</v>
      </c>
      <c r="G1987" t="s">
        <v>6522</v>
      </c>
      <c r="H1987">
        <v>772750</v>
      </c>
      <c r="I1987">
        <v>376871</v>
      </c>
      <c r="J1987">
        <v>0.24755545629511899</v>
      </c>
      <c r="K1987">
        <v>191298.478852053</v>
      </c>
      <c r="L1987">
        <v>191298.478852053</v>
      </c>
      <c r="M1987">
        <v>599</v>
      </c>
    </row>
    <row r="1988" spans="1:13" ht="15">
      <c r="A1988" t="s">
        <v>3684</v>
      </c>
      <c r="B1988" s="1040" t="str">
        <f>CONCATENATE(LEFT(RIGHT(CONCATENATE("000",IFAData_TEA_1718!A1988),6),3),"-",(RIGHT(RIGHT(CONCATENATE("000",IFAData_TEA_1718!A1988),6),3)))</f>
        <v>182-903</v>
      </c>
      <c r="C1988" t="s">
        <v>2240</v>
      </c>
      <c r="D1988">
        <v>11</v>
      </c>
      <c r="E1988">
        <v>2514</v>
      </c>
      <c r="F1988" t="s">
        <v>8477</v>
      </c>
      <c r="G1988" t="s">
        <v>8477</v>
      </c>
      <c r="H1988">
        <v>744217</v>
      </c>
      <c r="I1988">
        <v>1177764</v>
      </c>
      <c r="J1988">
        <v>1</v>
      </c>
      <c r="K1988">
        <v>744217</v>
      </c>
      <c r="L1988">
        <v>744217</v>
      </c>
      <c r="M1988">
        <v>599</v>
      </c>
    </row>
    <row r="1989" spans="1:13" ht="15">
      <c r="A1989" t="s">
        <v>3685</v>
      </c>
      <c r="B1989" s="1040" t="str">
        <f>CONCATENATE(LEFT(RIGHT(CONCATENATE("000",IFAData_TEA_1718!A1989),6),3),"-",(RIGHT(RIGHT(CONCATENATE("000",IFAData_TEA_1718!A1989),6),3)))</f>
        <v>183-904</v>
      </c>
      <c r="C1989" t="s">
        <v>454</v>
      </c>
      <c r="D1989">
        <v>1</v>
      </c>
      <c r="E1989">
        <v>1845</v>
      </c>
      <c r="F1989" t="s">
        <v>5351</v>
      </c>
      <c r="G1989" t="s">
        <v>5351</v>
      </c>
      <c r="H1989">
        <v>100000</v>
      </c>
      <c r="I1989">
        <v>0</v>
      </c>
      <c r="J1989">
        <v>0</v>
      </c>
      <c r="K1989">
        <v>0</v>
      </c>
      <c r="L1989">
        <v>0</v>
      </c>
      <c r="M1989">
        <v>599</v>
      </c>
    </row>
    <row r="1990" spans="1:13" ht="15">
      <c r="A1990" t="s">
        <v>3685</v>
      </c>
      <c r="B1990" s="1040" t="str">
        <f>CONCATENATE(LEFT(RIGHT(CONCATENATE("000",IFAData_TEA_1718!A1990),6),3),"-",(RIGHT(RIGHT(CONCATENATE("000",IFAData_TEA_1718!A1990),6),3)))</f>
        <v>183-904</v>
      </c>
      <c r="C1990" t="s">
        <v>454</v>
      </c>
      <c r="D1990">
        <v>1</v>
      </c>
      <c r="E1990">
        <v>1845</v>
      </c>
      <c r="F1990" t="s">
        <v>5351</v>
      </c>
      <c r="G1990" t="s">
        <v>5352</v>
      </c>
      <c r="H1990">
        <v>100000</v>
      </c>
      <c r="I1990">
        <v>0</v>
      </c>
      <c r="J1990">
        <v>0</v>
      </c>
      <c r="K1990">
        <v>0</v>
      </c>
      <c r="L1990">
        <v>0</v>
      </c>
      <c r="M1990">
        <v>599</v>
      </c>
    </row>
    <row r="1991" spans="1:13" ht="15">
      <c r="A1991" t="s">
        <v>3685</v>
      </c>
      <c r="B1991" s="1040" t="str">
        <f>CONCATENATE(LEFT(RIGHT(CONCATENATE("000",IFAData_TEA_1718!A1991),6),3),"-",(RIGHT(RIGHT(CONCATENATE("000",IFAData_TEA_1718!A1991),6),3)))</f>
        <v>183-904</v>
      </c>
      <c r="C1991" t="s">
        <v>454</v>
      </c>
      <c r="D1991">
        <v>1</v>
      </c>
      <c r="E1991">
        <v>1845</v>
      </c>
      <c r="F1991" t="s">
        <v>5351</v>
      </c>
      <c r="G1991" t="s">
        <v>6524</v>
      </c>
      <c r="H1991">
        <v>100000</v>
      </c>
      <c r="I1991">
        <v>95372</v>
      </c>
      <c r="J1991">
        <v>1</v>
      </c>
      <c r="K1991">
        <v>100000</v>
      </c>
      <c r="L1991">
        <v>95372</v>
      </c>
      <c r="M1991">
        <v>599</v>
      </c>
    </row>
    <row r="1992" spans="1:13" ht="15">
      <c r="A1992" t="s">
        <v>3686</v>
      </c>
      <c r="B1992" s="1040" t="str">
        <f>CONCATENATE(LEFT(RIGHT(CONCATENATE("000",IFAData_TEA_1718!A1992),6),3),"-",(RIGHT(RIGHT(CONCATENATE("000",IFAData_TEA_1718!A1992),6),3)))</f>
        <v>184-901</v>
      </c>
      <c r="C1992" t="s">
        <v>1003</v>
      </c>
      <c r="D1992">
        <v>5</v>
      </c>
      <c r="E1992">
        <v>2202</v>
      </c>
      <c r="F1992" t="s">
        <v>5353</v>
      </c>
      <c r="G1992" t="s">
        <v>5353</v>
      </c>
      <c r="H1992">
        <v>107925</v>
      </c>
      <c r="I1992">
        <v>0</v>
      </c>
      <c r="J1992">
        <v>0</v>
      </c>
      <c r="K1992">
        <v>0</v>
      </c>
      <c r="L1992">
        <v>0</v>
      </c>
      <c r="M1992">
        <v>599</v>
      </c>
    </row>
    <row r="1993" spans="1:13" ht="15">
      <c r="A1993" t="s">
        <v>3686</v>
      </c>
      <c r="B1993" s="1040" t="str">
        <f>CONCATENATE(LEFT(RIGHT(CONCATENATE("000",IFAData_TEA_1718!A1993),6),3),"-",(RIGHT(RIGHT(CONCATENATE("000",IFAData_TEA_1718!A1993),6),3)))</f>
        <v>184-901</v>
      </c>
      <c r="C1993" t="s">
        <v>1003</v>
      </c>
      <c r="D1993">
        <v>5</v>
      </c>
      <c r="E1993">
        <v>2202</v>
      </c>
      <c r="F1993" t="s">
        <v>5353</v>
      </c>
      <c r="G1993" t="s">
        <v>5354</v>
      </c>
      <c r="H1993">
        <v>107925</v>
      </c>
      <c r="I1993">
        <v>112591</v>
      </c>
      <c r="J1993">
        <v>1</v>
      </c>
      <c r="K1993">
        <v>107925</v>
      </c>
      <c r="L1993">
        <v>107925</v>
      </c>
      <c r="M1993">
        <v>599</v>
      </c>
    </row>
    <row r="1994" spans="1:13" ht="15">
      <c r="A1994" t="s">
        <v>3687</v>
      </c>
      <c r="B1994" s="1040" t="str">
        <f>CONCATENATE(LEFT(RIGHT(CONCATENATE("000",IFAData_TEA_1718!A1994),6),3),"-",(RIGHT(RIGHT(CONCATENATE("000",IFAData_TEA_1718!A1994),6),3)))</f>
        <v>184-902</v>
      </c>
      <c r="C1994" t="s">
        <v>1937</v>
      </c>
      <c r="D1994">
        <v>2</v>
      </c>
      <c r="E1994">
        <v>2378</v>
      </c>
      <c r="F1994" t="s">
        <v>5355</v>
      </c>
      <c r="G1994" t="s">
        <v>5355</v>
      </c>
      <c r="H1994">
        <v>700070</v>
      </c>
      <c r="I1994">
        <v>0</v>
      </c>
      <c r="J1994">
        <v>0</v>
      </c>
      <c r="K1994">
        <v>0</v>
      </c>
      <c r="L1994">
        <v>0</v>
      </c>
      <c r="M1994">
        <v>599</v>
      </c>
    </row>
    <row r="1995" spans="1:13" ht="15">
      <c r="A1995" t="s">
        <v>3687</v>
      </c>
      <c r="B1995" s="1040" t="str">
        <f>CONCATENATE(LEFT(RIGHT(CONCATENATE("000",IFAData_TEA_1718!A1995),6),3),"-",(RIGHT(RIGHT(CONCATENATE("000",IFAData_TEA_1718!A1995),6),3)))</f>
        <v>184-902</v>
      </c>
      <c r="C1995" t="s">
        <v>1937</v>
      </c>
      <c r="D1995">
        <v>2</v>
      </c>
      <c r="E1995">
        <v>2378</v>
      </c>
      <c r="F1995" t="s">
        <v>5355</v>
      </c>
      <c r="G1995" t="s">
        <v>5356</v>
      </c>
      <c r="H1995">
        <v>700070</v>
      </c>
      <c r="I1995">
        <v>0</v>
      </c>
      <c r="J1995">
        <v>0</v>
      </c>
      <c r="K1995">
        <v>0</v>
      </c>
      <c r="L1995">
        <v>0</v>
      </c>
      <c r="M1995">
        <v>599</v>
      </c>
    </row>
    <row r="1996" spans="1:13" ht="15">
      <c r="A1996" t="s">
        <v>3687</v>
      </c>
      <c r="B1996" s="1040" t="str">
        <f>CONCATENATE(LEFT(RIGHT(CONCATENATE("000",IFAData_TEA_1718!A1996),6),3),"-",(RIGHT(RIGHT(CONCATENATE("000",IFAData_TEA_1718!A1996),6),3)))</f>
        <v>184-902</v>
      </c>
      <c r="C1996" t="s">
        <v>1937</v>
      </c>
      <c r="D1996">
        <v>2</v>
      </c>
      <c r="E1996">
        <v>2378</v>
      </c>
      <c r="F1996" t="s">
        <v>5355</v>
      </c>
      <c r="G1996" t="s">
        <v>5357</v>
      </c>
      <c r="H1996">
        <v>700070</v>
      </c>
      <c r="I1996">
        <v>0</v>
      </c>
      <c r="J1996">
        <v>0</v>
      </c>
      <c r="K1996">
        <v>0</v>
      </c>
      <c r="L1996">
        <v>0</v>
      </c>
      <c r="M1996">
        <v>599</v>
      </c>
    </row>
    <row r="1997" spans="1:13" ht="15">
      <c r="A1997" t="s">
        <v>3687</v>
      </c>
      <c r="B1997" s="1040" t="str">
        <f>CONCATENATE(LEFT(RIGHT(CONCATENATE("000",IFAData_TEA_1718!A1997),6),3),"-",(RIGHT(RIGHT(CONCATENATE("000",IFAData_TEA_1718!A1997),6),3)))</f>
        <v>184-902</v>
      </c>
      <c r="C1997" t="s">
        <v>1937</v>
      </c>
      <c r="D1997">
        <v>2</v>
      </c>
      <c r="E1997">
        <v>2378</v>
      </c>
      <c r="F1997" t="s">
        <v>5355</v>
      </c>
      <c r="G1997" t="s">
        <v>5358</v>
      </c>
      <c r="H1997">
        <v>700070</v>
      </c>
      <c r="I1997">
        <v>0</v>
      </c>
      <c r="J1997">
        <v>0</v>
      </c>
      <c r="K1997">
        <v>0</v>
      </c>
      <c r="L1997">
        <v>0</v>
      </c>
      <c r="M1997">
        <v>599</v>
      </c>
    </row>
    <row r="1998" spans="1:13" ht="15">
      <c r="A1998" t="s">
        <v>3687</v>
      </c>
      <c r="B1998" s="1040" t="str">
        <f>CONCATENATE(LEFT(RIGHT(CONCATENATE("000",IFAData_TEA_1718!A1998),6),3),"-",(RIGHT(RIGHT(CONCATENATE("000",IFAData_TEA_1718!A1998),6),3)))</f>
        <v>184-902</v>
      </c>
      <c r="C1998" t="s">
        <v>1937</v>
      </c>
      <c r="D1998">
        <v>2</v>
      </c>
      <c r="E1998">
        <v>2378</v>
      </c>
      <c r="F1998" t="s">
        <v>5355</v>
      </c>
      <c r="G1998" t="s">
        <v>6309</v>
      </c>
      <c r="H1998">
        <v>700070</v>
      </c>
      <c r="I1998">
        <v>177496</v>
      </c>
      <c r="J1998">
        <v>0.35795515275450202</v>
      </c>
      <c r="K1998">
        <v>250593.66378884399</v>
      </c>
      <c r="L1998">
        <v>177496</v>
      </c>
      <c r="M1998">
        <v>599</v>
      </c>
    </row>
    <row r="1999" spans="1:13" ht="15">
      <c r="A1999" t="s">
        <v>3687</v>
      </c>
      <c r="B1999" s="1040" t="str">
        <f>CONCATENATE(LEFT(RIGHT(CONCATENATE("000",IFAData_TEA_1718!A1999),6),3),"-",(RIGHT(RIGHT(CONCATENATE("000",IFAData_TEA_1718!A1999),6),3)))</f>
        <v>184-902</v>
      </c>
      <c r="C1999" t="s">
        <v>1937</v>
      </c>
      <c r="D1999">
        <v>2</v>
      </c>
      <c r="E1999">
        <v>2378</v>
      </c>
      <c r="F1999" t="s">
        <v>5355</v>
      </c>
      <c r="G1999" t="s">
        <v>6310</v>
      </c>
      <c r="H1999">
        <v>700070</v>
      </c>
      <c r="I1999">
        <v>71252</v>
      </c>
      <c r="J1999">
        <v>0.14369349474953699</v>
      </c>
      <c r="K1999">
        <v>100595.504869308</v>
      </c>
      <c r="L1999">
        <v>71252</v>
      </c>
      <c r="M1999">
        <v>599</v>
      </c>
    </row>
    <row r="2000" spans="1:13" ht="15">
      <c r="A2000" t="s">
        <v>3687</v>
      </c>
      <c r="B2000" s="1040" t="str">
        <f>CONCATENATE(LEFT(RIGHT(CONCATENATE("000",IFAData_TEA_1718!A2000),6),3),"-",(RIGHT(RIGHT(CONCATENATE("000",IFAData_TEA_1718!A2000),6),3)))</f>
        <v>184-902</v>
      </c>
      <c r="C2000" t="s">
        <v>1937</v>
      </c>
      <c r="D2000">
        <v>2</v>
      </c>
      <c r="E2000">
        <v>2378</v>
      </c>
      <c r="F2000" t="s">
        <v>5355</v>
      </c>
      <c r="G2000" t="s">
        <v>8478</v>
      </c>
      <c r="H2000">
        <v>700070</v>
      </c>
      <c r="I2000">
        <v>247113</v>
      </c>
      <c r="J2000">
        <v>0.49835135249596202</v>
      </c>
      <c r="K2000">
        <v>348880.83134184801</v>
      </c>
      <c r="L2000">
        <v>247113</v>
      </c>
      <c r="M2000">
        <v>599</v>
      </c>
    </row>
    <row r="2001" spans="1:13" ht="15">
      <c r="A2001" t="s">
        <v>3687</v>
      </c>
      <c r="B2001" s="1040" t="str">
        <f>CONCATENATE(LEFT(RIGHT(CONCATENATE("000",IFAData_TEA_1718!A2001),6),3),"-",(RIGHT(RIGHT(CONCATENATE("000",IFAData_TEA_1718!A2001),6),3)))</f>
        <v>184-902</v>
      </c>
      <c r="C2001" t="s">
        <v>1937</v>
      </c>
      <c r="D2001">
        <v>9</v>
      </c>
      <c r="E2001">
        <v>2379</v>
      </c>
      <c r="F2001" t="s">
        <v>5359</v>
      </c>
      <c r="G2001" t="s">
        <v>5359</v>
      </c>
      <c r="H2001">
        <v>824218</v>
      </c>
      <c r="I2001">
        <v>1014500</v>
      </c>
      <c r="J2001">
        <v>0.56504664350040401</v>
      </c>
      <c r="K2001">
        <v>465721.61441261601</v>
      </c>
      <c r="L2001">
        <v>465721.61441261601</v>
      </c>
      <c r="M2001">
        <v>599</v>
      </c>
    </row>
    <row r="2002" spans="1:13" ht="15">
      <c r="A2002" t="s">
        <v>3687</v>
      </c>
      <c r="B2002" s="1040" t="str">
        <f>CONCATENATE(LEFT(RIGHT(CONCATENATE("000",IFAData_TEA_1718!A2002),6),3),"-",(RIGHT(RIGHT(CONCATENATE("000",IFAData_TEA_1718!A2002),6),3)))</f>
        <v>184-902</v>
      </c>
      <c r="C2002" t="s">
        <v>1937</v>
      </c>
      <c r="D2002">
        <v>9</v>
      </c>
      <c r="E2002">
        <v>2379</v>
      </c>
      <c r="F2002" t="s">
        <v>5359</v>
      </c>
      <c r="G2002" t="s">
        <v>6310</v>
      </c>
      <c r="H2002">
        <v>824218</v>
      </c>
      <c r="I2002">
        <v>202807</v>
      </c>
      <c r="J2002">
        <v>0.11295753043704899</v>
      </c>
      <c r="K2002">
        <v>93101.629821763796</v>
      </c>
      <c r="L2002">
        <v>93101.629821763796</v>
      </c>
      <c r="M2002">
        <v>599</v>
      </c>
    </row>
    <row r="2003" spans="1:13" ht="15">
      <c r="A2003" t="s">
        <v>3687</v>
      </c>
      <c r="B2003" s="1040" t="str">
        <f>CONCATENATE(LEFT(RIGHT(CONCATENATE("000",IFAData_TEA_1718!A2003),6),3),"-",(RIGHT(RIGHT(CONCATENATE("000",IFAData_TEA_1718!A2003),6),3)))</f>
        <v>184-902</v>
      </c>
      <c r="C2003" t="s">
        <v>1937</v>
      </c>
      <c r="D2003">
        <v>9</v>
      </c>
      <c r="E2003">
        <v>2379</v>
      </c>
      <c r="F2003" t="s">
        <v>5359</v>
      </c>
      <c r="G2003" t="s">
        <v>6525</v>
      </c>
      <c r="H2003">
        <v>824218</v>
      </c>
      <c r="I2003">
        <v>578120</v>
      </c>
      <c r="J2003">
        <v>0.32199582606254701</v>
      </c>
      <c r="K2003">
        <v>265394.75576561998</v>
      </c>
      <c r="L2003">
        <v>265394.75576561998</v>
      </c>
      <c r="M2003">
        <v>599</v>
      </c>
    </row>
    <row r="2004" spans="1:13" ht="15">
      <c r="A2004" t="s">
        <v>3688</v>
      </c>
      <c r="B2004" s="1040" t="str">
        <f>CONCATENATE(LEFT(RIGHT(CONCATENATE("000",IFAData_TEA_1718!A2004),6),3),"-",(RIGHT(RIGHT(CONCATENATE("000",IFAData_TEA_1718!A2004),6),3)))</f>
        <v>184-903</v>
      </c>
      <c r="C2004" t="s">
        <v>140</v>
      </c>
      <c r="D2004">
        <v>6</v>
      </c>
      <c r="E2004">
        <v>2439</v>
      </c>
      <c r="F2004" t="s">
        <v>5360</v>
      </c>
      <c r="G2004" t="s">
        <v>5360</v>
      </c>
      <c r="H2004">
        <v>240000</v>
      </c>
      <c r="I2004">
        <v>5072691</v>
      </c>
      <c r="J2004">
        <v>0.89421023100163499</v>
      </c>
      <c r="K2004">
        <v>214610.45544039199</v>
      </c>
      <c r="L2004">
        <v>214610.45544039199</v>
      </c>
      <c r="M2004">
        <v>599</v>
      </c>
    </row>
    <row r="2005" spans="1:13" ht="15">
      <c r="A2005" t="s">
        <v>3688</v>
      </c>
      <c r="B2005" s="1040" t="str">
        <f>CONCATENATE(LEFT(RIGHT(CONCATENATE("000",IFAData_TEA_1718!A2005),6),3),"-",(RIGHT(RIGHT(CONCATENATE("000",IFAData_TEA_1718!A2005),6),3)))</f>
        <v>184-903</v>
      </c>
      <c r="C2005" t="s">
        <v>140</v>
      </c>
      <c r="D2005">
        <v>6</v>
      </c>
      <c r="E2005">
        <v>2439</v>
      </c>
      <c r="F2005" t="s">
        <v>5360</v>
      </c>
      <c r="G2005" t="s">
        <v>5361</v>
      </c>
      <c r="H2005">
        <v>240000</v>
      </c>
      <c r="I2005">
        <v>0</v>
      </c>
      <c r="J2005">
        <v>0</v>
      </c>
      <c r="K2005">
        <v>0</v>
      </c>
      <c r="L2005">
        <v>0</v>
      </c>
      <c r="M2005">
        <v>599</v>
      </c>
    </row>
    <row r="2006" spans="1:13" ht="15">
      <c r="A2006" t="s">
        <v>3688</v>
      </c>
      <c r="B2006" s="1040" t="str">
        <f>CONCATENATE(LEFT(RIGHT(CONCATENATE("000",IFAData_TEA_1718!A2006),6),3),"-",(RIGHT(RIGHT(CONCATENATE("000",IFAData_TEA_1718!A2006),6),3)))</f>
        <v>184-903</v>
      </c>
      <c r="C2006" t="s">
        <v>140</v>
      </c>
      <c r="D2006">
        <v>6</v>
      </c>
      <c r="E2006">
        <v>2439</v>
      </c>
      <c r="F2006" t="s">
        <v>5360</v>
      </c>
      <c r="G2006" t="s">
        <v>5362</v>
      </c>
      <c r="H2006">
        <v>240000</v>
      </c>
      <c r="I2006">
        <v>195903</v>
      </c>
      <c r="J2006">
        <v>3.4533636463154001E-2</v>
      </c>
      <c r="K2006">
        <v>8288.0727511569694</v>
      </c>
      <c r="L2006">
        <v>8288.0727511569694</v>
      </c>
      <c r="M2006">
        <v>599</v>
      </c>
    </row>
    <row r="2007" spans="1:13" ht="15">
      <c r="A2007" t="s">
        <v>3688</v>
      </c>
      <c r="B2007" s="1040" t="str">
        <f>CONCATENATE(LEFT(RIGHT(CONCATENATE("000",IFAData_TEA_1718!A2007),6),3),"-",(RIGHT(RIGHT(CONCATENATE("000",IFAData_TEA_1718!A2007),6),3)))</f>
        <v>184-903</v>
      </c>
      <c r="C2007" t="s">
        <v>140</v>
      </c>
      <c r="D2007">
        <v>6</v>
      </c>
      <c r="E2007">
        <v>2439</v>
      </c>
      <c r="F2007" t="s">
        <v>5360</v>
      </c>
      <c r="G2007" t="s">
        <v>5363</v>
      </c>
      <c r="H2007">
        <v>240000</v>
      </c>
      <c r="I2007">
        <v>0</v>
      </c>
      <c r="J2007">
        <v>0</v>
      </c>
      <c r="K2007">
        <v>0</v>
      </c>
      <c r="L2007">
        <v>0</v>
      </c>
      <c r="M2007">
        <v>599</v>
      </c>
    </row>
    <row r="2008" spans="1:13" ht="15">
      <c r="A2008" t="s">
        <v>3688</v>
      </c>
      <c r="B2008" s="1040" t="str">
        <f>CONCATENATE(LEFT(RIGHT(CONCATENATE("000",IFAData_TEA_1718!A2008),6),3),"-",(RIGHT(RIGHT(CONCATENATE("000",IFAData_TEA_1718!A2008),6),3)))</f>
        <v>184-903</v>
      </c>
      <c r="C2008" t="s">
        <v>140</v>
      </c>
      <c r="D2008">
        <v>6</v>
      </c>
      <c r="E2008">
        <v>2439</v>
      </c>
      <c r="F2008" t="s">
        <v>5360</v>
      </c>
      <c r="G2008" t="s">
        <v>5364</v>
      </c>
      <c r="H2008">
        <v>240000</v>
      </c>
      <c r="I2008">
        <v>226037</v>
      </c>
      <c r="J2008">
        <v>3.9845635774959802E-2</v>
      </c>
      <c r="K2008">
        <v>9562.9525859903497</v>
      </c>
      <c r="L2008">
        <v>9562.9525859903497</v>
      </c>
      <c r="M2008">
        <v>599</v>
      </c>
    </row>
    <row r="2009" spans="1:13" ht="15">
      <c r="A2009" t="s">
        <v>3688</v>
      </c>
      <c r="B2009" s="1040" t="str">
        <f>CONCATENATE(LEFT(RIGHT(CONCATENATE("000",IFAData_TEA_1718!A2009),6),3),"-",(RIGHT(RIGHT(CONCATENATE("000",IFAData_TEA_1718!A2009),6),3)))</f>
        <v>184-903</v>
      </c>
      <c r="C2009" t="s">
        <v>140</v>
      </c>
      <c r="D2009">
        <v>6</v>
      </c>
      <c r="E2009">
        <v>2439</v>
      </c>
      <c r="F2009" t="s">
        <v>5360</v>
      </c>
      <c r="G2009" t="s">
        <v>5365</v>
      </c>
      <c r="H2009">
        <v>240000</v>
      </c>
      <c r="I2009">
        <v>61995</v>
      </c>
      <c r="J2009">
        <v>1.0928432910844801E-2</v>
      </c>
      <c r="K2009">
        <v>2622.82389860276</v>
      </c>
      <c r="L2009">
        <v>2622.82389860276</v>
      </c>
      <c r="M2009">
        <v>599</v>
      </c>
    </row>
    <row r="2010" spans="1:13" ht="15">
      <c r="A2010" t="s">
        <v>3688</v>
      </c>
      <c r="B2010" s="1040" t="str">
        <f>CONCATENATE(LEFT(RIGHT(CONCATENATE("000",IFAData_TEA_1718!A2010),6),3),"-",(RIGHT(RIGHT(CONCATENATE("000",IFAData_TEA_1718!A2010),6),3)))</f>
        <v>184-903</v>
      </c>
      <c r="C2010" t="s">
        <v>140</v>
      </c>
      <c r="D2010">
        <v>6</v>
      </c>
      <c r="E2010">
        <v>2439</v>
      </c>
      <c r="F2010" t="s">
        <v>5360</v>
      </c>
      <c r="G2010" t="s">
        <v>6526</v>
      </c>
      <c r="H2010">
        <v>240000</v>
      </c>
      <c r="I2010">
        <v>116191</v>
      </c>
      <c r="J2010">
        <v>2.0482063849406699E-2</v>
      </c>
      <c r="K2010">
        <v>4915.6953238576198</v>
      </c>
      <c r="L2010">
        <v>4915.6953238576198</v>
      </c>
      <c r="M2010">
        <v>599</v>
      </c>
    </row>
    <row r="2011" spans="1:13" ht="15">
      <c r="A2011" t="s">
        <v>3689</v>
      </c>
      <c r="B2011" s="1040" t="str">
        <f>CONCATENATE(LEFT(RIGHT(CONCATENATE("000",IFAData_TEA_1718!A2011),6),3),"-",(RIGHT(RIGHT(CONCATENATE("000",IFAData_TEA_1718!A2011),6),3)))</f>
        <v>184-904</v>
      </c>
      <c r="C2011" t="s">
        <v>2239</v>
      </c>
      <c r="D2011">
        <v>3</v>
      </c>
      <c r="E2011">
        <v>2108</v>
      </c>
      <c r="F2011" t="s">
        <v>5366</v>
      </c>
      <c r="G2011" t="s">
        <v>5366</v>
      </c>
      <c r="H2011">
        <v>166883</v>
      </c>
      <c r="I2011">
        <v>0</v>
      </c>
      <c r="J2011">
        <v>0</v>
      </c>
      <c r="K2011">
        <v>0</v>
      </c>
      <c r="L2011">
        <v>0</v>
      </c>
      <c r="M2011">
        <v>599</v>
      </c>
    </row>
    <row r="2012" spans="1:13" ht="15">
      <c r="A2012" t="s">
        <v>3689</v>
      </c>
      <c r="B2012" s="1040" t="str">
        <f>CONCATENATE(LEFT(RIGHT(CONCATENATE("000",IFAData_TEA_1718!A2012),6),3),"-",(RIGHT(RIGHT(CONCATENATE("000",IFAData_TEA_1718!A2012),6),3)))</f>
        <v>184-904</v>
      </c>
      <c r="C2012" t="s">
        <v>2239</v>
      </c>
      <c r="D2012">
        <v>3</v>
      </c>
      <c r="E2012">
        <v>2108</v>
      </c>
      <c r="F2012" t="s">
        <v>5366</v>
      </c>
      <c r="G2012" t="s">
        <v>5367</v>
      </c>
      <c r="H2012">
        <v>166883</v>
      </c>
      <c r="I2012">
        <v>0</v>
      </c>
      <c r="J2012">
        <v>0</v>
      </c>
      <c r="K2012">
        <v>0</v>
      </c>
      <c r="L2012">
        <v>0</v>
      </c>
      <c r="M2012">
        <v>599</v>
      </c>
    </row>
    <row r="2013" spans="1:13" ht="15">
      <c r="A2013" t="s">
        <v>3689</v>
      </c>
      <c r="B2013" s="1040" t="str">
        <f>CONCATENATE(LEFT(RIGHT(CONCATENATE("000",IFAData_TEA_1718!A2013),6),3),"-",(RIGHT(RIGHT(CONCATENATE("000",IFAData_TEA_1718!A2013),6),3)))</f>
        <v>184-904</v>
      </c>
      <c r="C2013" t="s">
        <v>2239</v>
      </c>
      <c r="D2013">
        <v>3</v>
      </c>
      <c r="E2013">
        <v>2108</v>
      </c>
      <c r="F2013" t="s">
        <v>5366</v>
      </c>
      <c r="G2013" t="s">
        <v>6313</v>
      </c>
      <c r="H2013">
        <v>166883</v>
      </c>
      <c r="I2013">
        <v>377650</v>
      </c>
      <c r="J2013">
        <v>1</v>
      </c>
      <c r="K2013">
        <v>166883</v>
      </c>
      <c r="L2013">
        <v>166883</v>
      </c>
      <c r="M2013">
        <v>599</v>
      </c>
    </row>
    <row r="2014" spans="1:13" ht="15">
      <c r="A2014" t="s">
        <v>3689</v>
      </c>
      <c r="B2014" s="1040" t="str">
        <f>CONCATENATE(LEFT(RIGHT(CONCATENATE("000",IFAData_TEA_1718!A2014),6),3),"-",(RIGHT(RIGHT(CONCATENATE("000",IFAData_TEA_1718!A2014),6),3)))</f>
        <v>184-904</v>
      </c>
      <c r="C2014" t="s">
        <v>2239</v>
      </c>
      <c r="D2014">
        <v>9</v>
      </c>
      <c r="E2014">
        <v>2109</v>
      </c>
      <c r="F2014" t="s">
        <v>5368</v>
      </c>
      <c r="G2014" t="s">
        <v>5368</v>
      </c>
      <c r="H2014">
        <v>193685</v>
      </c>
      <c r="I2014">
        <v>0</v>
      </c>
      <c r="J2014">
        <v>0</v>
      </c>
      <c r="K2014">
        <v>0</v>
      </c>
      <c r="L2014">
        <v>0</v>
      </c>
      <c r="M2014">
        <v>599</v>
      </c>
    </row>
    <row r="2015" spans="1:13" ht="15">
      <c r="A2015" t="s">
        <v>3689</v>
      </c>
      <c r="B2015" s="1040" t="str">
        <f>CONCATENATE(LEFT(RIGHT(CONCATENATE("000",IFAData_TEA_1718!A2015),6),3),"-",(RIGHT(RIGHT(CONCATENATE("000",IFAData_TEA_1718!A2015),6),3)))</f>
        <v>184-904</v>
      </c>
      <c r="C2015" t="s">
        <v>2239</v>
      </c>
      <c r="D2015">
        <v>9</v>
      </c>
      <c r="E2015">
        <v>2109</v>
      </c>
      <c r="F2015" t="s">
        <v>5368</v>
      </c>
      <c r="G2015" t="s">
        <v>6312</v>
      </c>
      <c r="H2015">
        <v>193685</v>
      </c>
      <c r="I2015">
        <v>188600</v>
      </c>
      <c r="J2015">
        <v>0.29322139303482597</v>
      </c>
      <c r="K2015">
        <v>56792.585509950201</v>
      </c>
      <c r="L2015">
        <v>56792.585509950201</v>
      </c>
      <c r="M2015">
        <v>599</v>
      </c>
    </row>
    <row r="2016" spans="1:13" ht="15">
      <c r="A2016" t="s">
        <v>3689</v>
      </c>
      <c r="B2016" s="1040" t="str">
        <f>CONCATENATE(LEFT(RIGHT(CONCATENATE("000",IFAData_TEA_1718!A2016),6),3),"-",(RIGHT(RIGHT(CONCATENATE("000",IFAData_TEA_1718!A2016),6),3)))</f>
        <v>184-904</v>
      </c>
      <c r="C2016" t="s">
        <v>2239</v>
      </c>
      <c r="D2016">
        <v>9</v>
      </c>
      <c r="E2016">
        <v>2109</v>
      </c>
      <c r="F2016" t="s">
        <v>5368</v>
      </c>
      <c r="G2016" t="s">
        <v>6311</v>
      </c>
      <c r="H2016">
        <v>193685</v>
      </c>
      <c r="I2016">
        <v>454600</v>
      </c>
      <c r="J2016">
        <v>0.70677860696517403</v>
      </c>
      <c r="K2016">
        <v>136892.41449005</v>
      </c>
      <c r="L2016">
        <v>136892.41449005</v>
      </c>
      <c r="M2016">
        <v>599</v>
      </c>
    </row>
    <row r="2017" spans="1:13" ht="15">
      <c r="A2017" t="s">
        <v>3690</v>
      </c>
      <c r="B2017" s="1040" t="str">
        <f>CONCATENATE(LEFT(RIGHT(CONCATENATE("000",IFAData_TEA_1718!A2017),6),3),"-",(RIGHT(RIGHT(CONCATENATE("000",IFAData_TEA_1718!A2017),6),3)))</f>
        <v>184-908</v>
      </c>
      <c r="C2017" t="s">
        <v>2593</v>
      </c>
      <c r="D2017">
        <v>6</v>
      </c>
      <c r="E2017">
        <v>2184</v>
      </c>
      <c r="F2017" t="s">
        <v>5369</v>
      </c>
      <c r="G2017" t="s">
        <v>5369</v>
      </c>
      <c r="H2017">
        <v>242636</v>
      </c>
      <c r="I2017">
        <v>0</v>
      </c>
      <c r="J2017">
        <v>0</v>
      </c>
      <c r="K2017">
        <v>0</v>
      </c>
      <c r="L2017">
        <v>0</v>
      </c>
      <c r="M2017">
        <v>599</v>
      </c>
    </row>
    <row r="2018" spans="1:13" ht="15">
      <c r="A2018" t="s">
        <v>3690</v>
      </c>
      <c r="B2018" s="1040" t="str">
        <f>CONCATENATE(LEFT(RIGHT(CONCATENATE("000",IFAData_TEA_1718!A2018),6),3),"-",(RIGHT(RIGHT(CONCATENATE("000",IFAData_TEA_1718!A2018),6),3)))</f>
        <v>184-908</v>
      </c>
      <c r="C2018" t="s">
        <v>2593</v>
      </c>
      <c r="D2018">
        <v>6</v>
      </c>
      <c r="E2018">
        <v>2184</v>
      </c>
      <c r="F2018" t="s">
        <v>5369</v>
      </c>
      <c r="G2018" t="s">
        <v>5370</v>
      </c>
      <c r="H2018">
        <v>242636</v>
      </c>
      <c r="I2018">
        <v>577080</v>
      </c>
      <c r="J2018">
        <v>1</v>
      </c>
      <c r="K2018">
        <v>242636</v>
      </c>
      <c r="L2018">
        <v>242636</v>
      </c>
      <c r="M2018">
        <v>599</v>
      </c>
    </row>
    <row r="2019" spans="1:13" ht="15">
      <c r="A2019" t="s">
        <v>3690</v>
      </c>
      <c r="B2019" s="1040" t="str">
        <f>CONCATENATE(LEFT(RIGHT(CONCATENATE("000",IFAData_TEA_1718!A2019),6),3),"-",(RIGHT(RIGHT(CONCATENATE("000",IFAData_TEA_1718!A2019),6),3)))</f>
        <v>184-908</v>
      </c>
      <c r="C2019" t="s">
        <v>2593</v>
      </c>
      <c r="D2019">
        <v>9</v>
      </c>
      <c r="E2019">
        <v>2183</v>
      </c>
      <c r="F2019" t="s">
        <v>5371</v>
      </c>
      <c r="G2019" t="s">
        <v>5371</v>
      </c>
      <c r="H2019">
        <v>201241</v>
      </c>
      <c r="I2019">
        <v>0</v>
      </c>
      <c r="J2019">
        <v>0</v>
      </c>
      <c r="K2019">
        <v>0</v>
      </c>
      <c r="L2019">
        <v>0</v>
      </c>
      <c r="M2019">
        <v>599</v>
      </c>
    </row>
    <row r="2020" spans="1:13" ht="15">
      <c r="A2020" t="s">
        <v>3690</v>
      </c>
      <c r="B2020" s="1040" t="str">
        <f>CONCATENATE(LEFT(RIGHT(CONCATENATE("000",IFAData_TEA_1718!A2020),6),3),"-",(RIGHT(RIGHT(CONCATENATE("000",IFAData_TEA_1718!A2020),6),3)))</f>
        <v>184-908</v>
      </c>
      <c r="C2020" t="s">
        <v>2593</v>
      </c>
      <c r="D2020">
        <v>9</v>
      </c>
      <c r="E2020">
        <v>2183</v>
      </c>
      <c r="F2020" t="s">
        <v>5371</v>
      </c>
      <c r="G2020" t="s">
        <v>6314</v>
      </c>
      <c r="H2020">
        <v>201241</v>
      </c>
      <c r="I2020">
        <v>231450</v>
      </c>
      <c r="J2020">
        <v>1</v>
      </c>
      <c r="K2020">
        <v>201241</v>
      </c>
      <c r="L2020">
        <v>201241</v>
      </c>
      <c r="M2020">
        <v>599</v>
      </c>
    </row>
    <row r="2021" spans="1:13" ht="15">
      <c r="A2021" t="s">
        <v>3690</v>
      </c>
      <c r="B2021" s="1040" t="str">
        <f>CONCATENATE(LEFT(RIGHT(CONCATENATE("000",IFAData_TEA_1718!A2021),6),3),"-",(RIGHT(RIGHT(CONCATENATE("000",IFAData_TEA_1718!A2021),6),3)))</f>
        <v>184-908</v>
      </c>
      <c r="C2021" t="s">
        <v>2593</v>
      </c>
      <c r="D2021">
        <v>11</v>
      </c>
      <c r="E2021">
        <v>2600</v>
      </c>
      <c r="F2021" t="s">
        <v>8479</v>
      </c>
      <c r="G2021" t="s">
        <v>8479</v>
      </c>
      <c r="H2021">
        <v>188521</v>
      </c>
      <c r="I2021">
        <v>219250</v>
      </c>
      <c r="J2021">
        <v>1</v>
      </c>
      <c r="K2021">
        <v>188521</v>
      </c>
      <c r="L2021">
        <v>188521</v>
      </c>
      <c r="M2021">
        <v>599</v>
      </c>
    </row>
    <row r="2022" spans="1:13" ht="15">
      <c r="A2022" t="s">
        <v>3691</v>
      </c>
      <c r="B2022" s="1040" t="str">
        <f>CONCATENATE(LEFT(RIGHT(CONCATENATE("000",IFAData_TEA_1718!A2022),6),3),"-",(RIGHT(RIGHT(CONCATENATE("000",IFAData_TEA_1718!A2022),6),3)))</f>
        <v>184-909</v>
      </c>
      <c r="C2022" t="s">
        <v>1856</v>
      </c>
      <c r="D2022">
        <v>5</v>
      </c>
      <c r="E2022">
        <v>1634</v>
      </c>
      <c r="F2022" t="s">
        <v>5372</v>
      </c>
      <c r="G2022" t="s">
        <v>5372</v>
      </c>
      <c r="H2022">
        <v>167169</v>
      </c>
      <c r="I2022">
        <v>0</v>
      </c>
      <c r="J2022">
        <v>0</v>
      </c>
      <c r="K2022">
        <v>0</v>
      </c>
      <c r="L2022">
        <v>0</v>
      </c>
      <c r="M2022">
        <v>599</v>
      </c>
    </row>
    <row r="2023" spans="1:13" ht="15">
      <c r="A2023" t="s">
        <v>3691</v>
      </c>
      <c r="B2023" s="1040" t="str">
        <f>CONCATENATE(LEFT(RIGHT(CONCATENATE("000",IFAData_TEA_1718!A2023),6),3),"-",(RIGHT(RIGHT(CONCATENATE("000",IFAData_TEA_1718!A2023),6),3)))</f>
        <v>184-909</v>
      </c>
      <c r="C2023" t="s">
        <v>1856</v>
      </c>
      <c r="D2023">
        <v>5</v>
      </c>
      <c r="E2023">
        <v>1634</v>
      </c>
      <c r="F2023" t="s">
        <v>5372</v>
      </c>
      <c r="G2023" t="s">
        <v>5373</v>
      </c>
      <c r="H2023">
        <v>167169</v>
      </c>
      <c r="I2023">
        <v>228095</v>
      </c>
      <c r="J2023">
        <v>0.91590072237681697</v>
      </c>
      <c r="K2023">
        <v>153110.20785901</v>
      </c>
      <c r="L2023">
        <v>153110.20785901</v>
      </c>
      <c r="M2023">
        <v>599</v>
      </c>
    </row>
    <row r="2024" spans="1:13" ht="15">
      <c r="A2024" t="s">
        <v>3691</v>
      </c>
      <c r="B2024" s="1040" t="str">
        <f>CONCATENATE(LEFT(RIGHT(CONCATENATE("000",IFAData_TEA_1718!A2024),6),3),"-",(RIGHT(RIGHT(CONCATENATE("000",IFAData_TEA_1718!A2024),6),3)))</f>
        <v>184-909</v>
      </c>
      <c r="C2024" t="s">
        <v>1856</v>
      </c>
      <c r="D2024">
        <v>5</v>
      </c>
      <c r="E2024">
        <v>1634</v>
      </c>
      <c r="F2024" t="s">
        <v>5372</v>
      </c>
      <c r="G2024" t="s">
        <v>6527</v>
      </c>
      <c r="H2024">
        <v>167169</v>
      </c>
      <c r="I2024">
        <v>20944</v>
      </c>
      <c r="J2024">
        <v>8.4099277623183505E-2</v>
      </c>
      <c r="K2024">
        <v>14058.792140989999</v>
      </c>
      <c r="L2024">
        <v>14058.792140989999</v>
      </c>
      <c r="M2024">
        <v>599</v>
      </c>
    </row>
    <row r="2025" spans="1:13" ht="15">
      <c r="A2025" t="s">
        <v>6784</v>
      </c>
      <c r="B2025" s="1040" t="str">
        <f>CONCATENATE(LEFT(RIGHT(CONCATENATE("000",IFAData_TEA_1718!A2025),6),3),"-",(RIGHT(RIGHT(CONCATENATE("000",IFAData_TEA_1718!A2025),6),3)))</f>
        <v>187-903</v>
      </c>
      <c r="C2025" t="s">
        <v>444</v>
      </c>
      <c r="D2025">
        <v>11</v>
      </c>
      <c r="E2025">
        <v>2524</v>
      </c>
      <c r="F2025" t="s">
        <v>8480</v>
      </c>
      <c r="G2025" t="s">
        <v>8480</v>
      </c>
      <c r="H2025">
        <v>40895</v>
      </c>
      <c r="I2025">
        <v>48588</v>
      </c>
      <c r="J2025">
        <v>1</v>
      </c>
      <c r="K2025">
        <v>40895</v>
      </c>
      <c r="L2025">
        <v>40895</v>
      </c>
      <c r="M2025">
        <v>599</v>
      </c>
    </row>
    <row r="2026" spans="1:13" ht="15">
      <c r="A2026" t="s">
        <v>3692</v>
      </c>
      <c r="B2026" s="1040" t="str">
        <f>CONCATENATE(LEFT(RIGHT(CONCATENATE("000",IFAData_TEA_1718!A2026),6),3),"-",(RIGHT(RIGHT(CONCATENATE("000",IFAData_TEA_1718!A2026),6),3)))</f>
        <v>187-907</v>
      </c>
      <c r="C2026" t="s">
        <v>2226</v>
      </c>
      <c r="D2026">
        <v>1</v>
      </c>
      <c r="E2026">
        <v>2028</v>
      </c>
      <c r="F2026" t="s">
        <v>5374</v>
      </c>
      <c r="G2026" t="s">
        <v>5374</v>
      </c>
      <c r="H2026">
        <v>925000</v>
      </c>
      <c r="I2026">
        <v>0</v>
      </c>
      <c r="J2026">
        <v>0</v>
      </c>
      <c r="K2026">
        <v>0</v>
      </c>
      <c r="L2026">
        <v>0</v>
      </c>
      <c r="M2026">
        <v>599</v>
      </c>
    </row>
    <row r="2027" spans="1:13" ht="15">
      <c r="A2027" t="s">
        <v>3692</v>
      </c>
      <c r="B2027" s="1040" t="str">
        <f>CONCATENATE(LEFT(RIGHT(CONCATENATE("000",IFAData_TEA_1718!A2027),6),3),"-",(RIGHT(RIGHT(CONCATENATE("000",IFAData_TEA_1718!A2027),6),3)))</f>
        <v>187-907</v>
      </c>
      <c r="C2027" t="s">
        <v>2226</v>
      </c>
      <c r="D2027">
        <v>1</v>
      </c>
      <c r="E2027">
        <v>2028</v>
      </c>
      <c r="F2027" t="s">
        <v>5374</v>
      </c>
      <c r="G2027" t="s">
        <v>5375</v>
      </c>
      <c r="H2027">
        <v>925000</v>
      </c>
      <c r="I2027">
        <v>0</v>
      </c>
      <c r="J2027">
        <v>0</v>
      </c>
      <c r="K2027">
        <v>0</v>
      </c>
      <c r="L2027">
        <v>0</v>
      </c>
      <c r="M2027">
        <v>599</v>
      </c>
    </row>
    <row r="2028" spans="1:13" ht="15">
      <c r="A2028" t="s">
        <v>3692</v>
      </c>
      <c r="B2028" s="1040" t="str">
        <f>CONCATENATE(LEFT(RIGHT(CONCATENATE("000",IFAData_TEA_1718!A2028),6),3),"-",(RIGHT(RIGHT(CONCATENATE("000",IFAData_TEA_1718!A2028),6),3)))</f>
        <v>187-907</v>
      </c>
      <c r="C2028" t="s">
        <v>2226</v>
      </c>
      <c r="D2028">
        <v>1</v>
      </c>
      <c r="E2028">
        <v>2028</v>
      </c>
      <c r="F2028" t="s">
        <v>5374</v>
      </c>
      <c r="G2028" t="s">
        <v>6315</v>
      </c>
      <c r="H2028">
        <v>925000</v>
      </c>
      <c r="I2028">
        <v>863950</v>
      </c>
      <c r="J2028">
        <v>1</v>
      </c>
      <c r="K2028">
        <v>925000</v>
      </c>
      <c r="L2028">
        <v>863950</v>
      </c>
      <c r="M2028">
        <v>599</v>
      </c>
    </row>
    <row r="2029" spans="1:13" ht="15">
      <c r="A2029" t="s">
        <v>3692</v>
      </c>
      <c r="B2029" s="1040" t="str">
        <f>CONCATENATE(LEFT(RIGHT(CONCATENATE("000",IFAData_TEA_1718!A2029),6),3),"-",(RIGHT(RIGHT(CONCATENATE("000",IFAData_TEA_1718!A2029),6),3)))</f>
        <v>187-907</v>
      </c>
      <c r="C2029" t="s">
        <v>2226</v>
      </c>
      <c r="D2029">
        <v>9</v>
      </c>
      <c r="E2029">
        <v>2029</v>
      </c>
      <c r="F2029" t="s">
        <v>5376</v>
      </c>
      <c r="G2029" t="s">
        <v>5376</v>
      </c>
      <c r="H2029">
        <v>954000</v>
      </c>
      <c r="I2029">
        <v>894400</v>
      </c>
      <c r="J2029">
        <v>0.31004140356131599</v>
      </c>
      <c r="K2029">
        <v>295779.49899749598</v>
      </c>
      <c r="L2029">
        <v>295779.49899749598</v>
      </c>
      <c r="M2029">
        <v>599</v>
      </c>
    </row>
    <row r="2030" spans="1:13" ht="15">
      <c r="A2030" t="s">
        <v>3692</v>
      </c>
      <c r="B2030" s="1040" t="str">
        <f>CONCATENATE(LEFT(RIGHT(CONCATENATE("000",IFAData_TEA_1718!A2030),6),3),"-",(RIGHT(RIGHT(CONCATENATE("000",IFAData_TEA_1718!A2030),6),3)))</f>
        <v>187-907</v>
      </c>
      <c r="C2030" t="s">
        <v>2226</v>
      </c>
      <c r="D2030">
        <v>9</v>
      </c>
      <c r="E2030">
        <v>2029</v>
      </c>
      <c r="F2030" t="s">
        <v>5376</v>
      </c>
      <c r="G2030" t="s">
        <v>6528</v>
      </c>
      <c r="H2030">
        <v>954000</v>
      </c>
      <c r="I2030">
        <v>382213</v>
      </c>
      <c r="J2030">
        <v>0.13249312944921901</v>
      </c>
      <c r="K2030">
        <v>126398.445494555</v>
      </c>
      <c r="L2030">
        <v>126398.445494555</v>
      </c>
      <c r="M2030">
        <v>599</v>
      </c>
    </row>
    <row r="2031" spans="1:13" ht="15">
      <c r="A2031" t="s">
        <v>3692</v>
      </c>
      <c r="B2031" s="1040" t="str">
        <f>CONCATENATE(LEFT(RIGHT(CONCATENATE("000",IFAData_TEA_1718!A2031),6),3),"-",(RIGHT(RIGHT(CONCATENATE("000",IFAData_TEA_1718!A2031),6),3)))</f>
        <v>187-907</v>
      </c>
      <c r="C2031" t="s">
        <v>2226</v>
      </c>
      <c r="D2031">
        <v>9</v>
      </c>
      <c r="E2031">
        <v>2029</v>
      </c>
      <c r="F2031" t="s">
        <v>5376</v>
      </c>
      <c r="G2031" t="s">
        <v>8481</v>
      </c>
      <c r="H2031">
        <v>954000</v>
      </c>
      <c r="I2031">
        <v>1608163</v>
      </c>
      <c r="J2031">
        <v>0.55746546698946498</v>
      </c>
      <c r="K2031">
        <v>531822.05550794897</v>
      </c>
      <c r="L2031">
        <v>531822.05550794897</v>
      </c>
      <c r="M2031">
        <v>599</v>
      </c>
    </row>
    <row r="2032" spans="1:13" ht="15">
      <c r="A2032" t="s">
        <v>3693</v>
      </c>
      <c r="B2032" s="1040" t="str">
        <f>CONCATENATE(LEFT(RIGHT(CONCATENATE("000",IFAData_TEA_1718!A2032),6),3),"-",(RIGHT(RIGHT(CONCATENATE("000",IFAData_TEA_1718!A2032),6),3)))</f>
        <v>188-901</v>
      </c>
      <c r="C2032" t="s">
        <v>1054</v>
      </c>
      <c r="D2032">
        <v>1</v>
      </c>
      <c r="E2032">
        <v>1571</v>
      </c>
      <c r="F2032" t="s">
        <v>5377</v>
      </c>
      <c r="G2032" t="s">
        <v>5377</v>
      </c>
      <c r="H2032">
        <v>2142810</v>
      </c>
      <c r="I2032">
        <v>0</v>
      </c>
      <c r="J2032">
        <v>0</v>
      </c>
      <c r="K2032"/>
      <c r="L2032">
        <v>0</v>
      </c>
      <c r="M2032">
        <v>599</v>
      </c>
    </row>
    <row r="2033" spans="1:13" ht="15">
      <c r="A2033" t="s">
        <v>3693</v>
      </c>
      <c r="B2033" s="1040" t="str">
        <f>CONCATENATE(LEFT(RIGHT(CONCATENATE("000",IFAData_TEA_1718!A2033),6),3),"-",(RIGHT(RIGHT(CONCATENATE("000",IFAData_TEA_1718!A2033),6),3)))</f>
        <v>188-901</v>
      </c>
      <c r="C2033" t="s">
        <v>1054</v>
      </c>
      <c r="D2033">
        <v>11</v>
      </c>
      <c r="E2033">
        <v>2579</v>
      </c>
      <c r="F2033" t="s">
        <v>8482</v>
      </c>
      <c r="G2033" t="s">
        <v>8482</v>
      </c>
      <c r="H2033">
        <v>2787250</v>
      </c>
      <c r="I2033">
        <v>2787250</v>
      </c>
      <c r="J2033">
        <v>1</v>
      </c>
      <c r="K2033">
        <v>2787250</v>
      </c>
      <c r="L2033">
        <v>2787250</v>
      </c>
      <c r="M2033">
        <v>599</v>
      </c>
    </row>
    <row r="2034" spans="1:13" ht="15">
      <c r="A2034" t="s">
        <v>3693</v>
      </c>
      <c r="B2034" s="1040" t="str">
        <f>CONCATENATE(LEFT(RIGHT(CONCATENATE("000",IFAData_TEA_1718!A2034),6),3),"-",(RIGHT(RIGHT(CONCATENATE("000",IFAData_TEA_1718!A2034),6),3)))</f>
        <v>188-901</v>
      </c>
      <c r="C2034" t="s">
        <v>1054</v>
      </c>
      <c r="D2034">
        <v>11</v>
      </c>
      <c r="E2034">
        <v>2580</v>
      </c>
      <c r="F2034" t="s">
        <v>8483</v>
      </c>
      <c r="G2034" t="s">
        <v>8483</v>
      </c>
      <c r="H2034">
        <v>1025288</v>
      </c>
      <c r="I2034">
        <v>1025288</v>
      </c>
      <c r="J2034">
        <v>1</v>
      </c>
      <c r="K2034">
        <v>1025288</v>
      </c>
      <c r="L2034">
        <v>1025288</v>
      </c>
      <c r="M2034">
        <v>599</v>
      </c>
    </row>
    <row r="2035" spans="1:13" ht="15">
      <c r="A2035" t="s">
        <v>3694</v>
      </c>
      <c r="B2035" s="1040" t="str">
        <f>CONCATENATE(LEFT(RIGHT(CONCATENATE("000",IFAData_TEA_1718!A2035),6),3),"-",(RIGHT(RIGHT(CONCATENATE("000",IFAData_TEA_1718!A2035),6),3)))</f>
        <v>188-902</v>
      </c>
      <c r="C2035" t="s">
        <v>2696</v>
      </c>
      <c r="D2035">
        <v>1</v>
      </c>
      <c r="E2035">
        <v>2249</v>
      </c>
      <c r="F2035" t="s">
        <v>5380</v>
      </c>
      <c r="G2035" t="s">
        <v>5380</v>
      </c>
      <c r="H2035">
        <v>331772</v>
      </c>
      <c r="I2035">
        <v>0</v>
      </c>
      <c r="J2035">
        <v>0</v>
      </c>
      <c r="K2035"/>
      <c r="L2035">
        <v>0</v>
      </c>
      <c r="M2035">
        <v>599</v>
      </c>
    </row>
    <row r="2036" spans="1:13" ht="15">
      <c r="A2036" t="s">
        <v>3695</v>
      </c>
      <c r="B2036" s="1040" t="str">
        <f>CONCATENATE(LEFT(RIGHT(CONCATENATE("000",IFAData_TEA_1718!A2036),6),3),"-",(RIGHT(RIGHT(CONCATENATE("000",IFAData_TEA_1718!A2036),6),3)))</f>
        <v>189-901</v>
      </c>
      <c r="C2036" t="s">
        <v>292</v>
      </c>
      <c r="D2036">
        <v>6</v>
      </c>
      <c r="E2036">
        <v>2064</v>
      </c>
      <c r="F2036" t="s">
        <v>5382</v>
      </c>
      <c r="G2036" t="s">
        <v>5382</v>
      </c>
      <c r="H2036">
        <v>141412</v>
      </c>
      <c r="I2036">
        <v>0</v>
      </c>
      <c r="J2036">
        <v>0</v>
      </c>
      <c r="K2036">
        <v>0</v>
      </c>
      <c r="L2036">
        <v>0</v>
      </c>
      <c r="M2036">
        <v>599</v>
      </c>
    </row>
    <row r="2037" spans="1:13" ht="15">
      <c r="A2037" t="s">
        <v>3695</v>
      </c>
      <c r="B2037" s="1040" t="str">
        <f>CONCATENATE(LEFT(RIGHT(CONCATENATE("000",IFAData_TEA_1718!A2037),6),3),"-",(RIGHT(RIGHT(CONCATENATE("000",IFAData_TEA_1718!A2037),6),3)))</f>
        <v>189-901</v>
      </c>
      <c r="C2037" t="s">
        <v>292</v>
      </c>
      <c r="D2037">
        <v>6</v>
      </c>
      <c r="E2037">
        <v>2064</v>
      </c>
      <c r="F2037" t="s">
        <v>5382</v>
      </c>
      <c r="G2037" t="s">
        <v>5383</v>
      </c>
      <c r="H2037">
        <v>141412</v>
      </c>
      <c r="I2037">
        <v>100000</v>
      </c>
      <c r="J2037">
        <v>0.59577003276735196</v>
      </c>
      <c r="K2037">
        <v>84249.031873696804</v>
      </c>
      <c r="L2037">
        <v>84249.031873696804</v>
      </c>
      <c r="M2037">
        <v>599</v>
      </c>
    </row>
    <row r="2038" spans="1:13" ht="15">
      <c r="A2038" t="s">
        <v>3695</v>
      </c>
      <c r="B2038" s="1040" t="str">
        <f>CONCATENATE(LEFT(RIGHT(CONCATENATE("000",IFAData_TEA_1718!A2038),6),3),"-",(RIGHT(RIGHT(CONCATENATE("000",IFAData_TEA_1718!A2038),6),3)))</f>
        <v>189-901</v>
      </c>
      <c r="C2038" t="s">
        <v>292</v>
      </c>
      <c r="D2038">
        <v>6</v>
      </c>
      <c r="E2038">
        <v>2064</v>
      </c>
      <c r="F2038" t="s">
        <v>5382</v>
      </c>
      <c r="G2038" t="s">
        <v>6316</v>
      </c>
      <c r="H2038">
        <v>141412</v>
      </c>
      <c r="I2038">
        <v>67850</v>
      </c>
      <c r="J2038">
        <v>0.40422996723264798</v>
      </c>
      <c r="K2038">
        <v>57162.968126303203</v>
      </c>
      <c r="L2038">
        <v>57162.968126303203</v>
      </c>
      <c r="M2038">
        <v>599</v>
      </c>
    </row>
    <row r="2039" spans="1:13" ht="15">
      <c r="A2039" t="s">
        <v>3695</v>
      </c>
      <c r="B2039" s="1040" t="str">
        <f>CONCATENATE(LEFT(RIGHT(CONCATENATE("000",IFAData_TEA_1718!A2039),6),3),"-",(RIGHT(RIGHT(CONCATENATE("000",IFAData_TEA_1718!A2039),6),3)))</f>
        <v>189-901</v>
      </c>
      <c r="C2039" t="s">
        <v>292</v>
      </c>
      <c r="D2039">
        <v>9</v>
      </c>
      <c r="E2039">
        <v>2063</v>
      </c>
      <c r="F2039" t="s">
        <v>5384</v>
      </c>
      <c r="G2039" t="s">
        <v>5384</v>
      </c>
      <c r="H2039">
        <v>100000</v>
      </c>
      <c r="I2039">
        <v>0</v>
      </c>
      <c r="J2039">
        <v>0</v>
      </c>
      <c r="K2039">
        <v>0</v>
      </c>
      <c r="L2039">
        <v>0</v>
      </c>
      <c r="M2039">
        <v>599</v>
      </c>
    </row>
    <row r="2040" spans="1:13" ht="15">
      <c r="A2040" t="s">
        <v>3695</v>
      </c>
      <c r="B2040" s="1040" t="str">
        <f>CONCATENATE(LEFT(RIGHT(CONCATENATE("000",IFAData_TEA_1718!A2040),6),3),"-",(RIGHT(RIGHT(CONCATENATE("000",IFAData_TEA_1718!A2040),6),3)))</f>
        <v>189-901</v>
      </c>
      <c r="C2040" t="s">
        <v>292</v>
      </c>
      <c r="D2040">
        <v>9</v>
      </c>
      <c r="E2040">
        <v>2063</v>
      </c>
      <c r="F2040" t="s">
        <v>5384</v>
      </c>
      <c r="G2040" t="s">
        <v>6316</v>
      </c>
      <c r="H2040">
        <v>100000</v>
      </c>
      <c r="I2040">
        <v>142780</v>
      </c>
      <c r="J2040">
        <v>1</v>
      </c>
      <c r="K2040">
        <v>100000</v>
      </c>
      <c r="L2040">
        <v>100000</v>
      </c>
      <c r="M2040">
        <v>599</v>
      </c>
    </row>
    <row r="2041" spans="1:13" ht="15">
      <c r="A2041" t="s">
        <v>3696</v>
      </c>
      <c r="B2041" s="1040" t="str">
        <f>CONCATENATE(LEFT(RIGHT(CONCATENATE("000",IFAData_TEA_1718!A2041),6),3),"-",(RIGHT(RIGHT(CONCATENATE("000",IFAData_TEA_1718!A2041),6),3)))</f>
        <v>189-902</v>
      </c>
      <c r="C2041" t="s">
        <v>2103</v>
      </c>
      <c r="D2041">
        <v>2</v>
      </c>
      <c r="E2041">
        <v>2210</v>
      </c>
      <c r="F2041" t="s">
        <v>5385</v>
      </c>
      <c r="G2041" t="s">
        <v>5385</v>
      </c>
      <c r="H2041">
        <v>292085</v>
      </c>
      <c r="I2041">
        <v>750</v>
      </c>
      <c r="J2041">
        <v>3.3715441672285901E-3</v>
      </c>
      <c r="K2041">
        <v>984.77747808496304</v>
      </c>
      <c r="L2041">
        <v>750</v>
      </c>
      <c r="M2041">
        <v>599</v>
      </c>
    </row>
    <row r="2042" spans="1:13" ht="15">
      <c r="A2042" t="s">
        <v>3696</v>
      </c>
      <c r="B2042" s="1040" t="str">
        <f>CONCATENATE(LEFT(RIGHT(CONCATENATE("000",IFAData_TEA_1718!A2042),6),3),"-",(RIGHT(RIGHT(CONCATENATE("000",IFAData_TEA_1718!A2042),6),3)))</f>
        <v>189-902</v>
      </c>
      <c r="C2042" t="s">
        <v>2103</v>
      </c>
      <c r="D2042">
        <v>2</v>
      </c>
      <c r="E2042">
        <v>2210</v>
      </c>
      <c r="F2042" t="s">
        <v>5385</v>
      </c>
      <c r="G2042" t="s">
        <v>5386</v>
      </c>
      <c r="H2042">
        <v>292085</v>
      </c>
      <c r="I2042">
        <v>0</v>
      </c>
      <c r="J2042">
        <v>0</v>
      </c>
      <c r="K2042">
        <v>0</v>
      </c>
      <c r="L2042">
        <v>0</v>
      </c>
      <c r="M2042">
        <v>599</v>
      </c>
    </row>
    <row r="2043" spans="1:13" ht="15">
      <c r="A2043" t="s">
        <v>3696</v>
      </c>
      <c r="B2043" s="1040" t="str">
        <f>CONCATENATE(LEFT(RIGHT(CONCATENATE("000",IFAData_TEA_1718!A2043),6),3),"-",(RIGHT(RIGHT(CONCATENATE("000",IFAData_TEA_1718!A2043),6),3)))</f>
        <v>189-902</v>
      </c>
      <c r="C2043" t="s">
        <v>2103</v>
      </c>
      <c r="D2043">
        <v>2</v>
      </c>
      <c r="E2043">
        <v>2210</v>
      </c>
      <c r="F2043" t="s">
        <v>5385</v>
      </c>
      <c r="G2043" t="s">
        <v>8484</v>
      </c>
      <c r="H2043">
        <v>292085</v>
      </c>
      <c r="I2043">
        <v>221700</v>
      </c>
      <c r="J2043">
        <v>0.99662845583277104</v>
      </c>
      <c r="K2043">
        <v>291100.22252191498</v>
      </c>
      <c r="L2043">
        <v>221700</v>
      </c>
      <c r="M2043">
        <v>599</v>
      </c>
    </row>
    <row r="2044" spans="1:13" ht="15">
      <c r="A2044" t="s">
        <v>3696</v>
      </c>
      <c r="B2044" s="1040" t="str">
        <f>CONCATENATE(LEFT(RIGHT(CONCATENATE("000",IFAData_TEA_1718!A2044),6),3),"-",(RIGHT(RIGHT(CONCATENATE("000",IFAData_TEA_1718!A2044),6),3)))</f>
        <v>189-902</v>
      </c>
      <c r="C2044" t="s">
        <v>2103</v>
      </c>
      <c r="D2044">
        <v>4</v>
      </c>
      <c r="E2044">
        <v>2211</v>
      </c>
      <c r="F2044" t="s">
        <v>5387</v>
      </c>
      <c r="G2044" t="s">
        <v>5387</v>
      </c>
      <c r="H2044">
        <v>333511</v>
      </c>
      <c r="I2044">
        <v>0</v>
      </c>
      <c r="J2044">
        <v>0</v>
      </c>
      <c r="K2044">
        <v>0</v>
      </c>
      <c r="L2044">
        <v>0</v>
      </c>
      <c r="M2044">
        <v>599</v>
      </c>
    </row>
    <row r="2045" spans="1:13" ht="15">
      <c r="A2045" t="s">
        <v>3696</v>
      </c>
      <c r="B2045" s="1040" t="str">
        <f>CONCATENATE(LEFT(RIGHT(CONCATENATE("000",IFAData_TEA_1718!A2045),6),3),"-",(RIGHT(RIGHT(CONCATENATE("000",IFAData_TEA_1718!A2045),6),3)))</f>
        <v>189-902</v>
      </c>
      <c r="C2045" t="s">
        <v>2103</v>
      </c>
      <c r="D2045">
        <v>4</v>
      </c>
      <c r="E2045">
        <v>2211</v>
      </c>
      <c r="F2045" t="s">
        <v>5387</v>
      </c>
      <c r="G2045" t="s">
        <v>5386</v>
      </c>
      <c r="H2045">
        <v>333511</v>
      </c>
      <c r="I2045">
        <v>0</v>
      </c>
      <c r="J2045">
        <v>0</v>
      </c>
      <c r="K2045">
        <v>0</v>
      </c>
      <c r="L2045">
        <v>0</v>
      </c>
      <c r="M2045">
        <v>599</v>
      </c>
    </row>
    <row r="2046" spans="1:13" ht="15">
      <c r="A2046" t="s">
        <v>3696</v>
      </c>
      <c r="B2046" s="1040" t="str">
        <f>CONCATENATE(LEFT(RIGHT(CONCATENATE("000",IFAData_TEA_1718!A2046),6),3),"-",(RIGHT(RIGHT(CONCATENATE("000",IFAData_TEA_1718!A2046),6),3)))</f>
        <v>189-902</v>
      </c>
      <c r="C2046" t="s">
        <v>2103</v>
      </c>
      <c r="D2046">
        <v>4</v>
      </c>
      <c r="E2046">
        <v>2211</v>
      </c>
      <c r="F2046" t="s">
        <v>5387</v>
      </c>
      <c r="G2046" t="s">
        <v>8484</v>
      </c>
      <c r="H2046">
        <v>333511</v>
      </c>
      <c r="I2046">
        <v>223321</v>
      </c>
      <c r="J2046">
        <v>1</v>
      </c>
      <c r="K2046">
        <v>333511</v>
      </c>
      <c r="L2046">
        <v>223321</v>
      </c>
      <c r="M2046">
        <v>599</v>
      </c>
    </row>
    <row r="2047" spans="1:13" ht="15">
      <c r="A2047" t="s">
        <v>3697</v>
      </c>
      <c r="B2047" s="1040" t="str">
        <f>CONCATENATE(LEFT(RIGHT(CONCATENATE("000",IFAData_TEA_1718!A2047),6),3),"-",(RIGHT(RIGHT(CONCATENATE("000",IFAData_TEA_1718!A2047),6),3)))</f>
        <v>194-903</v>
      </c>
      <c r="C2047" t="s">
        <v>2697</v>
      </c>
      <c r="D2047">
        <v>3</v>
      </c>
      <c r="E2047">
        <v>2251</v>
      </c>
      <c r="F2047" t="s">
        <v>5388</v>
      </c>
      <c r="G2047" t="s">
        <v>5388</v>
      </c>
      <c r="H2047">
        <v>172500</v>
      </c>
      <c r="I2047">
        <v>0</v>
      </c>
      <c r="J2047">
        <v>0</v>
      </c>
      <c r="K2047">
        <v>0</v>
      </c>
      <c r="L2047">
        <v>0</v>
      </c>
      <c r="M2047">
        <v>599</v>
      </c>
    </row>
    <row r="2048" spans="1:13" ht="15">
      <c r="A2048" t="s">
        <v>3697</v>
      </c>
      <c r="B2048" s="1040" t="str">
        <f>CONCATENATE(LEFT(RIGHT(CONCATENATE("000",IFAData_TEA_1718!A2048),6),3),"-",(RIGHT(RIGHT(CONCATENATE("000",IFAData_TEA_1718!A2048),6),3)))</f>
        <v>194-903</v>
      </c>
      <c r="C2048" t="s">
        <v>2697</v>
      </c>
      <c r="D2048">
        <v>3</v>
      </c>
      <c r="E2048">
        <v>2251</v>
      </c>
      <c r="F2048" t="s">
        <v>5388</v>
      </c>
      <c r="G2048" t="s">
        <v>5389</v>
      </c>
      <c r="H2048">
        <v>172500</v>
      </c>
      <c r="I2048">
        <v>0</v>
      </c>
      <c r="J2048">
        <v>0</v>
      </c>
      <c r="K2048">
        <v>0</v>
      </c>
      <c r="L2048">
        <v>0</v>
      </c>
      <c r="M2048">
        <v>599</v>
      </c>
    </row>
    <row r="2049" spans="1:13" ht="15">
      <c r="A2049" t="s">
        <v>3697</v>
      </c>
      <c r="B2049" s="1040" t="str">
        <f>CONCATENATE(LEFT(RIGHT(CONCATENATE("000",IFAData_TEA_1718!A2049),6),3),"-",(RIGHT(RIGHT(CONCATENATE("000",IFAData_TEA_1718!A2049),6),3)))</f>
        <v>194-903</v>
      </c>
      <c r="C2049" t="s">
        <v>2697</v>
      </c>
      <c r="D2049">
        <v>3</v>
      </c>
      <c r="E2049">
        <v>2251</v>
      </c>
      <c r="F2049" t="s">
        <v>5388</v>
      </c>
      <c r="G2049" t="s">
        <v>6317</v>
      </c>
      <c r="H2049">
        <v>172500</v>
      </c>
      <c r="I2049">
        <v>240730</v>
      </c>
      <c r="J2049">
        <v>1</v>
      </c>
      <c r="K2049">
        <v>172500</v>
      </c>
      <c r="L2049">
        <v>172500</v>
      </c>
      <c r="M2049">
        <v>599</v>
      </c>
    </row>
    <row r="2050" spans="1:13" ht="15">
      <c r="A2050" t="s">
        <v>3697</v>
      </c>
      <c r="B2050" s="1040" t="str">
        <f>CONCATENATE(LEFT(RIGHT(CONCATENATE("000",IFAData_TEA_1718!A2050),6),3),"-",(RIGHT(RIGHT(CONCATENATE("000",IFAData_TEA_1718!A2050),6),3)))</f>
        <v>194-903</v>
      </c>
      <c r="C2050" t="s">
        <v>2697</v>
      </c>
      <c r="D2050">
        <v>5</v>
      </c>
      <c r="E2050">
        <v>2250</v>
      </c>
      <c r="F2050" t="s">
        <v>5390</v>
      </c>
      <c r="G2050" t="s">
        <v>5390</v>
      </c>
      <c r="H2050">
        <v>166474</v>
      </c>
      <c r="I2050">
        <v>0</v>
      </c>
      <c r="J2050">
        <v>0</v>
      </c>
      <c r="K2050">
        <v>0</v>
      </c>
      <c r="L2050">
        <v>0</v>
      </c>
      <c r="M2050">
        <v>599</v>
      </c>
    </row>
    <row r="2051" spans="1:13" ht="15">
      <c r="A2051" t="s">
        <v>3697</v>
      </c>
      <c r="B2051" s="1040" t="str">
        <f>CONCATENATE(LEFT(RIGHT(CONCATENATE("000",IFAData_TEA_1718!A2051),6),3),"-",(RIGHT(RIGHT(CONCATENATE("000",IFAData_TEA_1718!A2051),6),3)))</f>
        <v>194-903</v>
      </c>
      <c r="C2051" t="s">
        <v>2697</v>
      </c>
      <c r="D2051">
        <v>5</v>
      </c>
      <c r="E2051">
        <v>2250</v>
      </c>
      <c r="F2051" t="s">
        <v>5390</v>
      </c>
      <c r="G2051" t="s">
        <v>5391</v>
      </c>
      <c r="H2051">
        <v>166474</v>
      </c>
      <c r="I2051">
        <v>194425</v>
      </c>
      <c r="J2051">
        <v>1</v>
      </c>
      <c r="K2051">
        <v>166474</v>
      </c>
      <c r="L2051">
        <v>166474</v>
      </c>
      <c r="M2051">
        <v>599</v>
      </c>
    </row>
    <row r="2052" spans="1:13" ht="15">
      <c r="A2052" t="s">
        <v>3698</v>
      </c>
      <c r="B2052" s="1040" t="str">
        <f>CONCATENATE(LEFT(RIGHT(CONCATENATE("000",IFAData_TEA_1718!A2052),6),3),"-",(RIGHT(RIGHT(CONCATENATE("000",IFAData_TEA_1718!A2052),6),3)))</f>
        <v>194-905</v>
      </c>
      <c r="C2052" t="s">
        <v>2668</v>
      </c>
      <c r="D2052">
        <v>4</v>
      </c>
      <c r="E2052">
        <v>1753</v>
      </c>
      <c r="F2052" t="s">
        <v>5392</v>
      </c>
      <c r="G2052" t="s">
        <v>5392</v>
      </c>
      <c r="H2052">
        <v>109658</v>
      </c>
      <c r="I2052">
        <v>0</v>
      </c>
      <c r="J2052">
        <v>0</v>
      </c>
      <c r="K2052">
        <v>0</v>
      </c>
      <c r="L2052">
        <v>0</v>
      </c>
      <c r="M2052">
        <v>599</v>
      </c>
    </row>
    <row r="2053" spans="1:13" ht="15">
      <c r="A2053" t="s">
        <v>3698</v>
      </c>
      <c r="B2053" s="1040" t="str">
        <f>CONCATENATE(LEFT(RIGHT(CONCATENATE("000",IFAData_TEA_1718!A2053),6),3),"-",(RIGHT(RIGHT(CONCATENATE("000",IFAData_TEA_1718!A2053),6),3)))</f>
        <v>194-905</v>
      </c>
      <c r="C2053" t="s">
        <v>2668</v>
      </c>
      <c r="D2053">
        <v>4</v>
      </c>
      <c r="E2053">
        <v>1753</v>
      </c>
      <c r="F2053" t="s">
        <v>5392</v>
      </c>
      <c r="G2053" t="s">
        <v>5393</v>
      </c>
      <c r="H2053">
        <v>109658</v>
      </c>
      <c r="I2053">
        <v>81333</v>
      </c>
      <c r="J2053">
        <v>1</v>
      </c>
      <c r="K2053">
        <v>109658</v>
      </c>
      <c r="L2053">
        <v>81333</v>
      </c>
      <c r="M2053">
        <v>599</v>
      </c>
    </row>
    <row r="2054" spans="1:13" ht="15">
      <c r="A2054" t="s">
        <v>3698</v>
      </c>
      <c r="B2054" s="1040" t="str">
        <f>CONCATENATE(LEFT(RIGHT(CONCATENATE("000",IFAData_TEA_1718!A2054),6),3),"-",(RIGHT(RIGHT(CONCATENATE("000",IFAData_TEA_1718!A2054),6),3)))</f>
        <v>194-905</v>
      </c>
      <c r="C2054" t="s">
        <v>2668</v>
      </c>
      <c r="D2054">
        <v>8</v>
      </c>
      <c r="E2054">
        <v>1755</v>
      </c>
      <c r="F2054" t="s">
        <v>5394</v>
      </c>
      <c r="G2054" t="s">
        <v>5394</v>
      </c>
      <c r="H2054">
        <v>116500</v>
      </c>
      <c r="I2054">
        <v>0</v>
      </c>
      <c r="J2054">
        <v>0</v>
      </c>
      <c r="K2054">
        <v>0</v>
      </c>
      <c r="L2054">
        <v>0</v>
      </c>
      <c r="M2054">
        <v>599</v>
      </c>
    </row>
    <row r="2055" spans="1:13" ht="15">
      <c r="A2055" t="s">
        <v>3698</v>
      </c>
      <c r="B2055" s="1040" t="str">
        <f>CONCATENATE(LEFT(RIGHT(CONCATENATE("000",IFAData_TEA_1718!A2055),6),3),"-",(RIGHT(RIGHT(CONCATENATE("000",IFAData_TEA_1718!A2055),6),3)))</f>
        <v>194-905</v>
      </c>
      <c r="C2055" t="s">
        <v>2668</v>
      </c>
      <c r="D2055">
        <v>8</v>
      </c>
      <c r="E2055">
        <v>1755</v>
      </c>
      <c r="F2055" t="s">
        <v>5394</v>
      </c>
      <c r="G2055" t="s">
        <v>6529</v>
      </c>
      <c r="H2055">
        <v>116500</v>
      </c>
      <c r="I2055">
        <v>102350</v>
      </c>
      <c r="J2055">
        <v>1</v>
      </c>
      <c r="K2055">
        <v>116500</v>
      </c>
      <c r="L2055">
        <v>102350</v>
      </c>
      <c r="M2055">
        <v>599</v>
      </c>
    </row>
    <row r="2056" spans="1:13" ht="15">
      <c r="A2056" t="s">
        <v>3698</v>
      </c>
      <c r="B2056" s="1040" t="str">
        <f>CONCATENATE(LEFT(RIGHT(CONCATENATE("000",IFAData_TEA_1718!A2056),6),3),"-",(RIGHT(RIGHT(CONCATENATE("000",IFAData_TEA_1718!A2056),6),3)))</f>
        <v>194-905</v>
      </c>
      <c r="C2056" t="s">
        <v>2668</v>
      </c>
      <c r="D2056">
        <v>9</v>
      </c>
      <c r="E2056">
        <v>1754</v>
      </c>
      <c r="F2056" t="s">
        <v>5393</v>
      </c>
      <c r="G2056" t="s">
        <v>5393</v>
      </c>
      <c r="H2056">
        <v>115000</v>
      </c>
      <c r="I2056">
        <v>170684</v>
      </c>
      <c r="J2056">
        <v>1</v>
      </c>
      <c r="K2056">
        <v>115000</v>
      </c>
      <c r="L2056">
        <v>115000</v>
      </c>
      <c r="M2056">
        <v>599</v>
      </c>
    </row>
    <row r="2057" spans="1:13" ht="15">
      <c r="A2057" t="s">
        <v>3699</v>
      </c>
      <c r="B2057" s="1040" t="str">
        <f>CONCATENATE(LEFT(RIGHT(CONCATENATE("000",IFAData_TEA_1718!A2057),6),3),"-",(RIGHT(RIGHT(CONCATENATE("000",IFAData_TEA_1718!A2057),6),3)))</f>
        <v>195-902</v>
      </c>
      <c r="C2057" t="s">
        <v>2120</v>
      </c>
      <c r="D2057">
        <v>5</v>
      </c>
      <c r="E2057">
        <v>1590</v>
      </c>
      <c r="F2057" t="s">
        <v>5395</v>
      </c>
      <c r="G2057" t="s">
        <v>5395</v>
      </c>
      <c r="H2057">
        <v>100000</v>
      </c>
      <c r="I2057">
        <v>0</v>
      </c>
      <c r="J2057">
        <v>0</v>
      </c>
      <c r="K2057">
        <v>0</v>
      </c>
      <c r="L2057">
        <v>0</v>
      </c>
      <c r="M2057">
        <v>599</v>
      </c>
    </row>
    <row r="2058" spans="1:13" ht="15">
      <c r="A2058" t="s">
        <v>3699</v>
      </c>
      <c r="B2058" s="1040" t="str">
        <f>CONCATENATE(LEFT(RIGHT(CONCATENATE("000",IFAData_TEA_1718!A2058),6),3),"-",(RIGHT(RIGHT(CONCATENATE("000",IFAData_TEA_1718!A2058),6),3)))</f>
        <v>195-902</v>
      </c>
      <c r="C2058" t="s">
        <v>2120</v>
      </c>
      <c r="D2058">
        <v>5</v>
      </c>
      <c r="E2058">
        <v>1590</v>
      </c>
      <c r="F2058" t="s">
        <v>5395</v>
      </c>
      <c r="G2058" t="s">
        <v>5396</v>
      </c>
      <c r="H2058">
        <v>100000</v>
      </c>
      <c r="I2058">
        <v>94000</v>
      </c>
      <c r="J2058">
        <v>1</v>
      </c>
      <c r="K2058">
        <v>100000</v>
      </c>
      <c r="L2058">
        <v>94000</v>
      </c>
      <c r="M2058">
        <v>599</v>
      </c>
    </row>
    <row r="2059" spans="1:13" ht="15">
      <c r="A2059" t="s">
        <v>3700</v>
      </c>
      <c r="B2059" s="1040" t="str">
        <f>CONCATENATE(LEFT(RIGHT(CONCATENATE("000",IFAData_TEA_1718!A2059),6),3),"-",(RIGHT(RIGHT(CONCATENATE("000",IFAData_TEA_1718!A2059),6),3)))</f>
        <v>199-902</v>
      </c>
      <c r="C2059" t="s">
        <v>613</v>
      </c>
      <c r="D2059">
        <v>5</v>
      </c>
      <c r="E2059">
        <v>2270</v>
      </c>
      <c r="F2059" t="s">
        <v>5397</v>
      </c>
      <c r="G2059" t="s">
        <v>5397</v>
      </c>
      <c r="H2059">
        <v>491500</v>
      </c>
      <c r="I2059">
        <v>0</v>
      </c>
      <c r="J2059">
        <v>0</v>
      </c>
      <c r="K2059">
        <v>0</v>
      </c>
      <c r="L2059">
        <v>0</v>
      </c>
      <c r="M2059">
        <v>599</v>
      </c>
    </row>
    <row r="2060" spans="1:13" ht="15">
      <c r="A2060" t="s">
        <v>3700</v>
      </c>
      <c r="B2060" s="1040" t="str">
        <f>CONCATENATE(LEFT(RIGHT(CONCATENATE("000",IFAData_TEA_1718!A2060),6),3),"-",(RIGHT(RIGHT(CONCATENATE("000",IFAData_TEA_1718!A2060),6),3)))</f>
        <v>199-902</v>
      </c>
      <c r="C2060" t="s">
        <v>613</v>
      </c>
      <c r="D2060">
        <v>5</v>
      </c>
      <c r="E2060">
        <v>2270</v>
      </c>
      <c r="F2060" t="s">
        <v>5397</v>
      </c>
      <c r="G2060" t="s">
        <v>5398</v>
      </c>
      <c r="H2060">
        <v>491500</v>
      </c>
      <c r="I2060">
        <v>705311</v>
      </c>
      <c r="J2060">
        <v>0.94446705999876801</v>
      </c>
      <c r="K2060">
        <v>464205.55998939503</v>
      </c>
      <c r="L2060">
        <v>464205.55998939503</v>
      </c>
      <c r="M2060">
        <v>599</v>
      </c>
    </row>
    <row r="2061" spans="1:13" ht="15">
      <c r="A2061" t="s">
        <v>3700</v>
      </c>
      <c r="B2061" s="1040" t="str">
        <f>CONCATENATE(LEFT(RIGHT(CONCATENATE("000",IFAData_TEA_1718!A2061),6),3),"-",(RIGHT(RIGHT(CONCATENATE("000",IFAData_TEA_1718!A2061),6),3)))</f>
        <v>199-902</v>
      </c>
      <c r="C2061" t="s">
        <v>613</v>
      </c>
      <c r="D2061">
        <v>5</v>
      </c>
      <c r="E2061">
        <v>2270</v>
      </c>
      <c r="F2061" t="s">
        <v>5397</v>
      </c>
      <c r="G2061" t="s">
        <v>5399</v>
      </c>
      <c r="H2061">
        <v>491500</v>
      </c>
      <c r="I2061">
        <v>0</v>
      </c>
      <c r="J2061">
        <v>0</v>
      </c>
      <c r="K2061">
        <v>0</v>
      </c>
      <c r="L2061">
        <v>0</v>
      </c>
      <c r="M2061">
        <v>599</v>
      </c>
    </row>
    <row r="2062" spans="1:13" ht="15">
      <c r="A2062" t="s">
        <v>3700</v>
      </c>
      <c r="B2062" s="1040" t="str">
        <f>CONCATENATE(LEFT(RIGHT(CONCATENATE("000",IFAData_TEA_1718!A2062),6),3),"-",(RIGHT(RIGHT(CONCATENATE("000",IFAData_TEA_1718!A2062),6),3)))</f>
        <v>199-902</v>
      </c>
      <c r="C2062" t="s">
        <v>613</v>
      </c>
      <c r="D2062">
        <v>5</v>
      </c>
      <c r="E2062">
        <v>2270</v>
      </c>
      <c r="F2062" t="s">
        <v>5397</v>
      </c>
      <c r="G2062" t="s">
        <v>8485</v>
      </c>
      <c r="H2062">
        <v>491500</v>
      </c>
      <c r="I2062">
        <v>41471</v>
      </c>
      <c r="J2062">
        <v>5.5532940001232003E-2</v>
      </c>
      <c r="K2062">
        <v>27294.4400106055</v>
      </c>
      <c r="L2062">
        <v>27294.4400106055</v>
      </c>
      <c r="M2062">
        <v>599</v>
      </c>
    </row>
    <row r="2063" spans="1:13" ht="15">
      <c r="A2063" t="s">
        <v>3700</v>
      </c>
      <c r="B2063" s="1040" t="str">
        <f>CONCATENATE(LEFT(RIGHT(CONCATENATE("000",IFAData_TEA_1718!A2063),6),3),"-",(RIGHT(RIGHT(CONCATENATE("000",IFAData_TEA_1718!A2063),6),3)))</f>
        <v>199-902</v>
      </c>
      <c r="C2063" t="s">
        <v>613</v>
      </c>
      <c r="D2063">
        <v>9</v>
      </c>
      <c r="E2063">
        <v>2271</v>
      </c>
      <c r="F2063" t="s">
        <v>5400</v>
      </c>
      <c r="G2063" t="s">
        <v>5400</v>
      </c>
      <c r="H2063">
        <v>523367</v>
      </c>
      <c r="I2063">
        <v>0</v>
      </c>
      <c r="J2063">
        <v>0</v>
      </c>
      <c r="K2063">
        <v>0</v>
      </c>
      <c r="L2063">
        <v>0</v>
      </c>
      <c r="M2063">
        <v>599</v>
      </c>
    </row>
    <row r="2064" spans="1:13" ht="15">
      <c r="A2064" t="s">
        <v>3700</v>
      </c>
      <c r="B2064" s="1040" t="str">
        <f>CONCATENATE(LEFT(RIGHT(CONCATENATE("000",IFAData_TEA_1718!A2064),6),3),"-",(RIGHT(RIGHT(CONCATENATE("000",IFAData_TEA_1718!A2064),6),3)))</f>
        <v>199-902</v>
      </c>
      <c r="C2064" t="s">
        <v>613</v>
      </c>
      <c r="D2064">
        <v>9</v>
      </c>
      <c r="E2064">
        <v>2271</v>
      </c>
      <c r="F2064" t="s">
        <v>5400</v>
      </c>
      <c r="G2064" t="s">
        <v>6318</v>
      </c>
      <c r="H2064">
        <v>523367</v>
      </c>
      <c r="I2064">
        <v>838298</v>
      </c>
      <c r="J2064">
        <v>1</v>
      </c>
      <c r="K2064">
        <v>523367</v>
      </c>
      <c r="L2064">
        <v>523367</v>
      </c>
      <c r="M2064">
        <v>599</v>
      </c>
    </row>
    <row r="2065" spans="1:13" ht="15">
      <c r="A2065" t="s">
        <v>3701</v>
      </c>
      <c r="B2065" s="1040" t="str">
        <f>CONCATENATE(LEFT(RIGHT(CONCATENATE("000",IFAData_TEA_1718!A2065),6),3),"-",(RIGHT(RIGHT(CONCATENATE("000",IFAData_TEA_1718!A2065),6),3)))</f>
        <v>200-902</v>
      </c>
      <c r="C2065" t="s">
        <v>2237</v>
      </c>
      <c r="D2065">
        <v>4</v>
      </c>
      <c r="E2065">
        <v>2105</v>
      </c>
      <c r="F2065" t="s">
        <v>5401</v>
      </c>
      <c r="G2065" t="s">
        <v>5401</v>
      </c>
      <c r="H2065">
        <v>116481</v>
      </c>
      <c r="I2065">
        <v>0</v>
      </c>
      <c r="J2065">
        <v>0</v>
      </c>
      <c r="K2065">
        <v>0</v>
      </c>
      <c r="L2065">
        <v>0</v>
      </c>
      <c r="M2065">
        <v>599</v>
      </c>
    </row>
    <row r="2066" spans="1:13" ht="15">
      <c r="A2066" t="s">
        <v>3701</v>
      </c>
      <c r="B2066" s="1040" t="str">
        <f>CONCATENATE(LEFT(RIGHT(CONCATENATE("000",IFAData_TEA_1718!A2066),6),3),"-",(RIGHT(RIGHT(CONCATENATE("000",IFAData_TEA_1718!A2066),6),3)))</f>
        <v>200-902</v>
      </c>
      <c r="C2066" t="s">
        <v>2237</v>
      </c>
      <c r="D2066">
        <v>4</v>
      </c>
      <c r="E2066">
        <v>2105</v>
      </c>
      <c r="F2066" t="s">
        <v>5401</v>
      </c>
      <c r="G2066" t="s">
        <v>5402</v>
      </c>
      <c r="H2066">
        <v>116481</v>
      </c>
      <c r="I2066">
        <v>103665</v>
      </c>
      <c r="J2066">
        <v>1</v>
      </c>
      <c r="K2066">
        <v>116481</v>
      </c>
      <c r="L2066">
        <v>103665</v>
      </c>
      <c r="M2066">
        <v>599</v>
      </c>
    </row>
    <row r="2067" spans="1:13" ht="15">
      <c r="A2067" t="s">
        <v>3701</v>
      </c>
      <c r="B2067" s="1040" t="str">
        <f>CONCATENATE(LEFT(RIGHT(CONCATENATE("000",IFAData_TEA_1718!A2067),6),3),"-",(RIGHT(RIGHT(CONCATENATE("000",IFAData_TEA_1718!A2067),6),3)))</f>
        <v>200-902</v>
      </c>
      <c r="C2067" t="s">
        <v>2237</v>
      </c>
      <c r="D2067">
        <v>11</v>
      </c>
      <c r="E2067">
        <v>2565</v>
      </c>
      <c r="F2067" t="s">
        <v>8486</v>
      </c>
      <c r="G2067" t="s">
        <v>8486</v>
      </c>
      <c r="H2067">
        <v>100000</v>
      </c>
      <c r="I2067">
        <v>406750</v>
      </c>
      <c r="J2067">
        <v>1</v>
      </c>
      <c r="K2067">
        <v>100000</v>
      </c>
      <c r="L2067">
        <v>100000</v>
      </c>
      <c r="M2067">
        <v>599</v>
      </c>
    </row>
    <row r="2068" spans="1:13" ht="15">
      <c r="A2068" t="s">
        <v>5403</v>
      </c>
      <c r="B2068" s="1040" t="str">
        <f>CONCATENATE(LEFT(RIGHT(CONCATENATE("000",IFAData_TEA_1718!A2068),6),3),"-",(RIGHT(RIGHT(CONCATENATE("000",IFAData_TEA_1718!A2068),6),3)))</f>
        <v>200-904</v>
      </c>
      <c r="C2068" t="s">
        <v>1129</v>
      </c>
      <c r="D2068">
        <v>2</v>
      </c>
      <c r="E2068">
        <v>2459</v>
      </c>
      <c r="F2068" t="s">
        <v>5404</v>
      </c>
      <c r="G2068" t="s">
        <v>5404</v>
      </c>
      <c r="H2068">
        <v>177666</v>
      </c>
      <c r="I2068">
        <v>0</v>
      </c>
      <c r="J2068">
        <v>0</v>
      </c>
      <c r="K2068"/>
      <c r="L2068">
        <v>0</v>
      </c>
      <c r="M2068">
        <v>199</v>
      </c>
    </row>
    <row r="2069" spans="1:13" ht="15">
      <c r="A2069" t="s">
        <v>3702</v>
      </c>
      <c r="B2069" s="1040" t="str">
        <f>CONCATENATE(LEFT(RIGHT(CONCATENATE("000",IFAData_TEA_1718!A2069),6),3),"-",(RIGHT(RIGHT(CONCATENATE("000",IFAData_TEA_1718!A2069),6),3)))</f>
        <v>200-906</v>
      </c>
      <c r="C2069" t="s">
        <v>262</v>
      </c>
      <c r="D2069">
        <v>4</v>
      </c>
      <c r="E2069">
        <v>2158</v>
      </c>
      <c r="F2069" t="s">
        <v>5405</v>
      </c>
      <c r="G2069" t="s">
        <v>5405</v>
      </c>
      <c r="H2069">
        <v>100000</v>
      </c>
      <c r="I2069">
        <v>0</v>
      </c>
      <c r="J2069">
        <v>0</v>
      </c>
      <c r="K2069">
        <v>0</v>
      </c>
      <c r="L2069">
        <v>0</v>
      </c>
      <c r="M2069">
        <v>599</v>
      </c>
    </row>
    <row r="2070" spans="1:13" ht="15">
      <c r="A2070" t="s">
        <v>3702</v>
      </c>
      <c r="B2070" s="1040" t="str">
        <f>CONCATENATE(LEFT(RIGHT(CONCATENATE("000",IFAData_TEA_1718!A2070),6),3),"-",(RIGHT(RIGHT(CONCATENATE("000",IFAData_TEA_1718!A2070),6),3)))</f>
        <v>200-906</v>
      </c>
      <c r="C2070" t="s">
        <v>262</v>
      </c>
      <c r="D2070">
        <v>4</v>
      </c>
      <c r="E2070">
        <v>2158</v>
      </c>
      <c r="F2070" t="s">
        <v>5405</v>
      </c>
      <c r="G2070" t="s">
        <v>5406</v>
      </c>
      <c r="H2070">
        <v>100000</v>
      </c>
      <c r="I2070">
        <v>86450</v>
      </c>
      <c r="J2070">
        <v>1</v>
      </c>
      <c r="K2070">
        <v>100000</v>
      </c>
      <c r="L2070">
        <v>86450</v>
      </c>
      <c r="M2070">
        <v>599</v>
      </c>
    </row>
    <row r="2071" spans="1:13" ht="15">
      <c r="A2071" t="s">
        <v>5407</v>
      </c>
      <c r="B2071" s="1040" t="str">
        <f>CONCATENATE(LEFT(RIGHT(CONCATENATE("000",IFAData_TEA_1718!A2071),6),3),"-",(RIGHT(RIGHT(CONCATENATE("000",IFAData_TEA_1718!A2071),6),3)))</f>
        <v>201-907</v>
      </c>
      <c r="C2071" t="s">
        <v>2153</v>
      </c>
      <c r="D2071">
        <v>5</v>
      </c>
      <c r="E2071">
        <v>2122</v>
      </c>
      <c r="F2071" t="s">
        <v>5408</v>
      </c>
      <c r="G2071" t="s">
        <v>5408</v>
      </c>
      <c r="H2071">
        <v>59747</v>
      </c>
      <c r="I2071">
        <v>0</v>
      </c>
      <c r="J2071">
        <v>0</v>
      </c>
      <c r="K2071"/>
      <c r="L2071">
        <v>0</v>
      </c>
      <c r="M2071">
        <v>199</v>
      </c>
    </row>
    <row r="2072" spans="1:13" ht="15">
      <c r="A2072" t="s">
        <v>3703</v>
      </c>
      <c r="B2072" s="1040" t="str">
        <f>CONCATENATE(LEFT(RIGHT(CONCATENATE("000",IFAData_TEA_1718!A2072),6),3),"-",(RIGHT(RIGHT(CONCATENATE("000",IFAData_TEA_1718!A2072),6),3)))</f>
        <v>201-908</v>
      </c>
      <c r="C2072" t="s">
        <v>1362</v>
      </c>
      <c r="D2072">
        <v>5</v>
      </c>
      <c r="E2072">
        <v>2167</v>
      </c>
      <c r="F2072" t="s">
        <v>5409</v>
      </c>
      <c r="G2072" t="s">
        <v>5409</v>
      </c>
      <c r="H2072">
        <v>112110</v>
      </c>
      <c r="I2072">
        <v>0</v>
      </c>
      <c r="J2072">
        <v>0</v>
      </c>
      <c r="K2072">
        <v>0</v>
      </c>
      <c r="L2072">
        <v>0</v>
      </c>
      <c r="M2072">
        <v>599</v>
      </c>
    </row>
    <row r="2073" spans="1:13" ht="15">
      <c r="A2073" t="s">
        <v>3703</v>
      </c>
      <c r="B2073" s="1040" t="str">
        <f>CONCATENATE(LEFT(RIGHT(CONCATENATE("000",IFAData_TEA_1718!A2073),6),3),"-",(RIGHT(RIGHT(CONCATENATE("000",IFAData_TEA_1718!A2073),6),3)))</f>
        <v>201-908</v>
      </c>
      <c r="C2073" t="s">
        <v>1362</v>
      </c>
      <c r="D2073">
        <v>5</v>
      </c>
      <c r="E2073">
        <v>2167</v>
      </c>
      <c r="F2073" t="s">
        <v>5409</v>
      </c>
      <c r="G2073" t="s">
        <v>6319</v>
      </c>
      <c r="H2073">
        <v>112110</v>
      </c>
      <c r="I2073">
        <v>115969</v>
      </c>
      <c r="J2073">
        <v>1</v>
      </c>
      <c r="K2073">
        <v>112110</v>
      </c>
      <c r="L2073">
        <v>112110</v>
      </c>
      <c r="M2073">
        <v>599</v>
      </c>
    </row>
    <row r="2074" spans="1:13" ht="15">
      <c r="A2074" t="s">
        <v>3703</v>
      </c>
      <c r="B2074" s="1040" t="str">
        <f>CONCATENATE(LEFT(RIGHT(CONCATENATE("000",IFAData_TEA_1718!A2074),6),3),"-",(RIGHT(RIGHT(CONCATENATE("000",IFAData_TEA_1718!A2074),6),3)))</f>
        <v>201-908</v>
      </c>
      <c r="C2074" t="s">
        <v>1362</v>
      </c>
      <c r="D2074">
        <v>8</v>
      </c>
      <c r="E2074">
        <v>2169</v>
      </c>
      <c r="F2074" t="s">
        <v>5410</v>
      </c>
      <c r="G2074" t="s">
        <v>5410</v>
      </c>
      <c r="H2074">
        <v>126133</v>
      </c>
      <c r="I2074">
        <v>0</v>
      </c>
      <c r="J2074">
        <v>0</v>
      </c>
      <c r="K2074">
        <v>0</v>
      </c>
      <c r="L2074">
        <v>0</v>
      </c>
      <c r="M2074">
        <v>599</v>
      </c>
    </row>
    <row r="2075" spans="1:13" ht="15">
      <c r="A2075" t="s">
        <v>3703</v>
      </c>
      <c r="B2075" s="1040" t="str">
        <f>CONCATENATE(LEFT(RIGHT(CONCATENATE("000",IFAData_TEA_1718!A2075),6),3),"-",(RIGHT(RIGHT(CONCATENATE("000",IFAData_TEA_1718!A2075),6),3)))</f>
        <v>201-908</v>
      </c>
      <c r="C2075" t="s">
        <v>1362</v>
      </c>
      <c r="D2075">
        <v>8</v>
      </c>
      <c r="E2075">
        <v>2169</v>
      </c>
      <c r="F2075" t="s">
        <v>5410</v>
      </c>
      <c r="G2075" t="s">
        <v>6530</v>
      </c>
      <c r="H2075">
        <v>126133</v>
      </c>
      <c r="I2075">
        <v>106731</v>
      </c>
      <c r="J2075">
        <v>1</v>
      </c>
      <c r="K2075">
        <v>126133</v>
      </c>
      <c r="L2075">
        <v>106731</v>
      </c>
      <c r="M2075">
        <v>599</v>
      </c>
    </row>
    <row r="2076" spans="1:13" ht="15">
      <c r="A2076" t="s">
        <v>3703</v>
      </c>
      <c r="B2076" s="1040" t="str">
        <f>CONCATENATE(LEFT(RIGHT(CONCATENATE("000",IFAData_TEA_1718!A2076),6),3),"-",(RIGHT(RIGHT(CONCATENATE("000",IFAData_TEA_1718!A2076),6),3)))</f>
        <v>201-908</v>
      </c>
      <c r="C2076" t="s">
        <v>1362</v>
      </c>
      <c r="D2076">
        <v>10</v>
      </c>
      <c r="E2076">
        <v>2168</v>
      </c>
      <c r="F2076" t="s">
        <v>5411</v>
      </c>
      <c r="G2076" t="s">
        <v>5411</v>
      </c>
      <c r="H2076">
        <v>123590</v>
      </c>
      <c r="I2076">
        <v>100000</v>
      </c>
      <c r="J2076">
        <v>0.330449609739011</v>
      </c>
      <c r="K2076">
        <v>40840.267267644398</v>
      </c>
      <c r="L2076">
        <v>40840.267267644398</v>
      </c>
      <c r="M2076">
        <v>599</v>
      </c>
    </row>
    <row r="2077" spans="1:13" ht="15">
      <c r="A2077" t="s">
        <v>3703</v>
      </c>
      <c r="B2077" s="1040" t="str">
        <f>CONCATENATE(LEFT(RIGHT(CONCATENATE("000",IFAData_TEA_1718!A2077),6),3),"-",(RIGHT(RIGHT(CONCATENATE("000",IFAData_TEA_1718!A2077),6),3)))</f>
        <v>201-908</v>
      </c>
      <c r="C2077" t="s">
        <v>1362</v>
      </c>
      <c r="D2077">
        <v>10</v>
      </c>
      <c r="E2077">
        <v>2168</v>
      </c>
      <c r="F2077" t="s">
        <v>5411</v>
      </c>
      <c r="G2077" t="s">
        <v>8487</v>
      </c>
      <c r="H2077">
        <v>123590</v>
      </c>
      <c r="I2077">
        <v>202618</v>
      </c>
      <c r="J2077">
        <v>0.66955039026098895</v>
      </c>
      <c r="K2077">
        <v>82749.732732355595</v>
      </c>
      <c r="L2077">
        <v>82749.732732355595</v>
      </c>
      <c r="M2077">
        <v>599</v>
      </c>
    </row>
    <row r="2078" spans="1:13" ht="15">
      <c r="A2078" t="s">
        <v>3704</v>
      </c>
      <c r="B2078" s="1040" t="str">
        <f>CONCATENATE(LEFT(RIGHT(CONCATENATE("000",IFAData_TEA_1718!A2078),6),3),"-",(RIGHT(RIGHT(CONCATENATE("000",IFAData_TEA_1718!A2078),6),3)))</f>
        <v>201-913</v>
      </c>
      <c r="C2078" t="s">
        <v>654</v>
      </c>
      <c r="D2078">
        <v>4</v>
      </c>
      <c r="E2078">
        <v>1663</v>
      </c>
      <c r="F2078" t="s">
        <v>5412</v>
      </c>
      <c r="G2078" t="s">
        <v>5412</v>
      </c>
      <c r="H2078">
        <v>113895</v>
      </c>
      <c r="I2078">
        <v>0</v>
      </c>
      <c r="J2078">
        <v>0</v>
      </c>
      <c r="K2078">
        <v>0</v>
      </c>
      <c r="L2078">
        <v>0</v>
      </c>
      <c r="M2078">
        <v>599</v>
      </c>
    </row>
    <row r="2079" spans="1:13" ht="15">
      <c r="A2079" t="s">
        <v>3704</v>
      </c>
      <c r="B2079" s="1040" t="str">
        <f>CONCATENATE(LEFT(RIGHT(CONCATENATE("000",IFAData_TEA_1718!A2079),6),3),"-",(RIGHT(RIGHT(CONCATENATE("000",IFAData_TEA_1718!A2079),6),3)))</f>
        <v>201-913</v>
      </c>
      <c r="C2079" t="s">
        <v>654</v>
      </c>
      <c r="D2079">
        <v>4</v>
      </c>
      <c r="E2079">
        <v>1663</v>
      </c>
      <c r="F2079" t="s">
        <v>5412</v>
      </c>
      <c r="G2079" t="s">
        <v>5413</v>
      </c>
      <c r="H2079">
        <v>113895</v>
      </c>
      <c r="I2079">
        <v>102206</v>
      </c>
      <c r="J2079">
        <v>1</v>
      </c>
      <c r="K2079">
        <v>113895</v>
      </c>
      <c r="L2079">
        <v>102206</v>
      </c>
      <c r="M2079">
        <v>599</v>
      </c>
    </row>
    <row r="2080" spans="1:13" ht="15">
      <c r="A2080" t="s">
        <v>3704</v>
      </c>
      <c r="B2080" s="1040" t="str">
        <f>CONCATENATE(LEFT(RIGHT(CONCATENATE("000",IFAData_TEA_1718!A2080),6),3),"-",(RIGHT(RIGHT(CONCATENATE("000",IFAData_TEA_1718!A2080),6),3)))</f>
        <v>201-913</v>
      </c>
      <c r="C2080" t="s">
        <v>654</v>
      </c>
      <c r="D2080">
        <v>8</v>
      </c>
      <c r="E2080">
        <v>1664</v>
      </c>
      <c r="F2080" t="s">
        <v>5414</v>
      </c>
      <c r="G2080" t="s">
        <v>5414</v>
      </c>
      <c r="H2080">
        <v>134790</v>
      </c>
      <c r="I2080">
        <v>0</v>
      </c>
      <c r="J2080">
        <v>0</v>
      </c>
      <c r="K2080">
        <v>0</v>
      </c>
      <c r="L2080">
        <v>0</v>
      </c>
      <c r="M2080">
        <v>599</v>
      </c>
    </row>
    <row r="2081" spans="1:13" ht="15">
      <c r="A2081" t="s">
        <v>3704</v>
      </c>
      <c r="B2081" s="1040" t="str">
        <f>CONCATENATE(LEFT(RIGHT(CONCATENATE("000",IFAData_TEA_1718!A2081),6),3),"-",(RIGHT(RIGHT(CONCATENATE("000",IFAData_TEA_1718!A2081),6),3)))</f>
        <v>201-913</v>
      </c>
      <c r="C2081" t="s">
        <v>654</v>
      </c>
      <c r="D2081">
        <v>8</v>
      </c>
      <c r="E2081">
        <v>1664</v>
      </c>
      <c r="F2081" t="s">
        <v>5414</v>
      </c>
      <c r="G2081" t="s">
        <v>6531</v>
      </c>
      <c r="H2081">
        <v>134790</v>
      </c>
      <c r="I2081">
        <v>100800</v>
      </c>
      <c r="J2081">
        <v>1</v>
      </c>
      <c r="K2081">
        <v>134790</v>
      </c>
      <c r="L2081">
        <v>100800</v>
      </c>
      <c r="M2081">
        <v>599</v>
      </c>
    </row>
    <row r="2082" spans="1:13" ht="15">
      <c r="A2082" t="s">
        <v>3704</v>
      </c>
      <c r="B2082" s="1040" t="str">
        <f>CONCATENATE(LEFT(RIGHT(CONCATENATE("000",IFAData_TEA_1718!A2082),6),3),"-",(RIGHT(RIGHT(CONCATENATE("000",IFAData_TEA_1718!A2082),6),3)))</f>
        <v>201-913</v>
      </c>
      <c r="C2082" t="s">
        <v>654</v>
      </c>
      <c r="D2082">
        <v>11</v>
      </c>
      <c r="E2082">
        <v>2495</v>
      </c>
      <c r="F2082" t="s">
        <v>8488</v>
      </c>
      <c r="G2082" t="s">
        <v>8488</v>
      </c>
      <c r="H2082">
        <v>94075</v>
      </c>
      <c r="I2082">
        <v>94075</v>
      </c>
      <c r="J2082">
        <v>1</v>
      </c>
      <c r="K2082">
        <v>94075</v>
      </c>
      <c r="L2082">
        <v>94075</v>
      </c>
      <c r="M2082">
        <v>599</v>
      </c>
    </row>
    <row r="2083" spans="1:13" ht="15">
      <c r="A2083" t="s">
        <v>3704</v>
      </c>
      <c r="B2083" s="1040" t="str">
        <f>CONCATENATE(LEFT(RIGHT(CONCATENATE("000",IFAData_TEA_1718!A2083),6),3),"-",(RIGHT(RIGHT(CONCATENATE("000",IFAData_TEA_1718!A2083),6),3)))</f>
        <v>201-913</v>
      </c>
      <c r="C2083" t="s">
        <v>654</v>
      </c>
      <c r="D2083">
        <v>11</v>
      </c>
      <c r="E2083">
        <v>2496</v>
      </c>
      <c r="F2083" t="s">
        <v>8489</v>
      </c>
      <c r="G2083" t="s">
        <v>8489</v>
      </c>
      <c r="H2083">
        <v>52893</v>
      </c>
      <c r="I2083">
        <v>389786</v>
      </c>
      <c r="J2083">
        <v>1</v>
      </c>
      <c r="K2083">
        <v>52893</v>
      </c>
      <c r="L2083">
        <v>52893</v>
      </c>
      <c r="M2083">
        <v>599</v>
      </c>
    </row>
    <row r="2084" spans="1:13" ht="15">
      <c r="A2084" t="s">
        <v>3705</v>
      </c>
      <c r="B2084" s="1040" t="str">
        <f>CONCATENATE(LEFT(RIGHT(CONCATENATE("000",IFAData_TEA_1718!A2084),6),3),"-",(RIGHT(RIGHT(CONCATENATE("000",IFAData_TEA_1718!A2084),6),3)))</f>
        <v>202-905</v>
      </c>
      <c r="C2084" t="s">
        <v>1530</v>
      </c>
      <c r="D2084">
        <v>9</v>
      </c>
      <c r="E2084">
        <v>2446</v>
      </c>
      <c r="F2084" t="s">
        <v>5415</v>
      </c>
      <c r="G2084" t="s">
        <v>5415</v>
      </c>
      <c r="H2084">
        <v>142579</v>
      </c>
      <c r="I2084">
        <v>0</v>
      </c>
      <c r="J2084">
        <v>0</v>
      </c>
      <c r="K2084">
        <v>0</v>
      </c>
      <c r="L2084">
        <v>0</v>
      </c>
      <c r="M2084">
        <v>599</v>
      </c>
    </row>
    <row r="2085" spans="1:13" ht="15">
      <c r="A2085" t="s">
        <v>3705</v>
      </c>
      <c r="B2085" s="1040" t="str">
        <f>CONCATENATE(LEFT(RIGHT(CONCATENATE("000",IFAData_TEA_1718!A2085),6),3),"-",(RIGHT(RIGHT(CONCATENATE("000",IFAData_TEA_1718!A2085),6),3)))</f>
        <v>202-905</v>
      </c>
      <c r="C2085" t="s">
        <v>1530</v>
      </c>
      <c r="D2085">
        <v>9</v>
      </c>
      <c r="E2085">
        <v>2446</v>
      </c>
      <c r="F2085" t="s">
        <v>5415</v>
      </c>
      <c r="G2085" t="s">
        <v>6320</v>
      </c>
      <c r="H2085">
        <v>142579</v>
      </c>
      <c r="I2085">
        <v>549925</v>
      </c>
      <c r="J2085">
        <v>1</v>
      </c>
      <c r="K2085">
        <v>142579</v>
      </c>
      <c r="L2085">
        <v>142579</v>
      </c>
      <c r="M2085">
        <v>599</v>
      </c>
    </row>
    <row r="2086" spans="1:13" ht="15">
      <c r="A2086" t="s">
        <v>3706</v>
      </c>
      <c r="B2086" s="1040" t="str">
        <f>CONCATENATE(LEFT(RIGHT(CONCATENATE("000",IFAData_TEA_1718!A2086),6),3),"-",(RIGHT(RIGHT(CONCATENATE("000",IFAData_TEA_1718!A2086),6),3)))</f>
        <v>203-901</v>
      </c>
      <c r="C2086" t="s">
        <v>2070</v>
      </c>
      <c r="D2086">
        <v>9</v>
      </c>
      <c r="E2086">
        <v>2283</v>
      </c>
      <c r="F2086" t="s">
        <v>5416</v>
      </c>
      <c r="G2086" t="s">
        <v>5416</v>
      </c>
      <c r="H2086">
        <v>152660</v>
      </c>
      <c r="I2086">
        <v>0</v>
      </c>
      <c r="J2086">
        <v>0</v>
      </c>
      <c r="K2086"/>
      <c r="L2086">
        <v>0</v>
      </c>
      <c r="M2086">
        <v>599</v>
      </c>
    </row>
    <row r="2087" spans="1:13" ht="15">
      <c r="A2087" t="s">
        <v>3707</v>
      </c>
      <c r="B2087" s="1040" t="str">
        <f>CONCATENATE(LEFT(RIGHT(CONCATENATE("000",IFAData_TEA_1718!A2087),6),3),"-",(RIGHT(RIGHT(CONCATENATE("000",IFAData_TEA_1718!A2087),6),3)))</f>
        <v>204-904</v>
      </c>
      <c r="C2087" t="s">
        <v>351</v>
      </c>
      <c r="D2087">
        <v>9</v>
      </c>
      <c r="E2087">
        <v>2330</v>
      </c>
      <c r="F2087" t="s">
        <v>5417</v>
      </c>
      <c r="G2087" t="s">
        <v>5417</v>
      </c>
      <c r="H2087">
        <v>436757</v>
      </c>
      <c r="I2087">
        <v>187025</v>
      </c>
      <c r="J2087">
        <v>0.420867275754984</v>
      </c>
      <c r="K2087">
        <v>183816.72875692</v>
      </c>
      <c r="L2087">
        <v>183816.72875692</v>
      </c>
      <c r="M2087">
        <v>599</v>
      </c>
    </row>
    <row r="2088" spans="1:13" ht="15">
      <c r="A2088" t="s">
        <v>3707</v>
      </c>
      <c r="B2088" s="1040" t="str">
        <f>CONCATENATE(LEFT(RIGHT(CONCATENATE("000",IFAData_TEA_1718!A2088),6),3),"-",(RIGHT(RIGHT(CONCATENATE("000",IFAData_TEA_1718!A2088),6),3)))</f>
        <v>204-904</v>
      </c>
      <c r="C2088" t="s">
        <v>351</v>
      </c>
      <c r="D2088">
        <v>9</v>
      </c>
      <c r="E2088">
        <v>2330</v>
      </c>
      <c r="F2088" t="s">
        <v>5417</v>
      </c>
      <c r="G2088" t="s">
        <v>6532</v>
      </c>
      <c r="H2088">
        <v>436757</v>
      </c>
      <c r="I2088">
        <v>244465</v>
      </c>
      <c r="J2088">
        <v>0.55012601827264995</v>
      </c>
      <c r="K2088">
        <v>240271.389362708</v>
      </c>
      <c r="L2088">
        <v>240271.389362708</v>
      </c>
      <c r="M2088">
        <v>599</v>
      </c>
    </row>
    <row r="2089" spans="1:13" ht="15">
      <c r="A2089" t="s">
        <v>3707</v>
      </c>
      <c r="B2089" s="1040" t="str">
        <f>CONCATENATE(LEFT(RIGHT(CONCATENATE("000",IFAData_TEA_1718!A2089),6),3),"-",(RIGHT(RIGHT(CONCATENATE("000",IFAData_TEA_1718!A2089),6),3)))</f>
        <v>204-904</v>
      </c>
      <c r="C2089" t="s">
        <v>351</v>
      </c>
      <c r="D2089">
        <v>9</v>
      </c>
      <c r="E2089">
        <v>2330</v>
      </c>
      <c r="F2089" t="s">
        <v>5417</v>
      </c>
      <c r="G2089" t="s">
        <v>8490</v>
      </c>
      <c r="H2089">
        <v>436757</v>
      </c>
      <c r="I2089">
        <v>12890</v>
      </c>
      <c r="J2089">
        <v>2.9006705972366001E-2</v>
      </c>
      <c r="K2089">
        <v>12668.881880372701</v>
      </c>
      <c r="L2089">
        <v>12668.881880372701</v>
      </c>
      <c r="M2089">
        <v>599</v>
      </c>
    </row>
    <row r="2090" spans="1:13" ht="15">
      <c r="A2090" t="s">
        <v>3707</v>
      </c>
      <c r="B2090" s="1040" t="str">
        <f>CONCATENATE(LEFT(RIGHT(CONCATENATE("000",IFAData_TEA_1718!A2090),6),3),"-",(RIGHT(RIGHT(CONCATENATE("000",IFAData_TEA_1718!A2090),6),3)))</f>
        <v>204-904</v>
      </c>
      <c r="C2090" t="s">
        <v>351</v>
      </c>
      <c r="D2090">
        <v>10</v>
      </c>
      <c r="E2090">
        <v>2329</v>
      </c>
      <c r="F2090" t="s">
        <v>5418</v>
      </c>
      <c r="G2090" t="s">
        <v>5418</v>
      </c>
      <c r="H2090">
        <v>132650</v>
      </c>
      <c r="I2090">
        <v>63600</v>
      </c>
      <c r="J2090">
        <v>0.39736588901245801</v>
      </c>
      <c r="K2090">
        <v>52710.585177502602</v>
      </c>
      <c r="L2090">
        <v>52710.585177502602</v>
      </c>
      <c r="M2090">
        <v>599</v>
      </c>
    </row>
    <row r="2091" spans="1:13" ht="15">
      <c r="A2091" t="s">
        <v>3707</v>
      </c>
      <c r="B2091" s="1040" t="str">
        <f>CONCATENATE(LEFT(RIGHT(CONCATENATE("000",IFAData_TEA_1718!A2091),6),3),"-",(RIGHT(RIGHT(CONCATENATE("000",IFAData_TEA_1718!A2091),6),3)))</f>
        <v>204-904</v>
      </c>
      <c r="C2091" t="s">
        <v>351</v>
      </c>
      <c r="D2091">
        <v>10</v>
      </c>
      <c r="E2091">
        <v>2329</v>
      </c>
      <c r="F2091" t="s">
        <v>5418</v>
      </c>
      <c r="G2091" t="s">
        <v>8490</v>
      </c>
      <c r="H2091">
        <v>132650</v>
      </c>
      <c r="I2091">
        <v>96454</v>
      </c>
      <c r="J2091">
        <v>0.60263411098754205</v>
      </c>
      <c r="K2091">
        <v>79939.414822497405</v>
      </c>
      <c r="L2091">
        <v>79939.414822497405</v>
      </c>
      <c r="M2091">
        <v>599</v>
      </c>
    </row>
    <row r="2092" spans="1:13" ht="15">
      <c r="A2092" t="s">
        <v>3708</v>
      </c>
      <c r="B2092" s="1040" t="str">
        <f>CONCATENATE(LEFT(RIGHT(CONCATENATE("000",IFAData_TEA_1718!A2092),6),3),"-",(RIGHT(RIGHT(CONCATENATE("000",IFAData_TEA_1718!A2092),6),3)))</f>
        <v>205-901</v>
      </c>
      <c r="C2092" t="s">
        <v>2420</v>
      </c>
      <c r="D2092">
        <v>5</v>
      </c>
      <c r="E2092">
        <v>1582</v>
      </c>
      <c r="F2092" t="s">
        <v>5419</v>
      </c>
      <c r="G2092" t="s">
        <v>5419</v>
      </c>
      <c r="H2092">
        <v>270047</v>
      </c>
      <c r="I2092">
        <v>0</v>
      </c>
      <c r="J2092">
        <v>0</v>
      </c>
      <c r="K2092">
        <v>0</v>
      </c>
      <c r="L2092">
        <v>0</v>
      </c>
      <c r="M2092">
        <v>599</v>
      </c>
    </row>
    <row r="2093" spans="1:13" ht="15">
      <c r="A2093" t="s">
        <v>3708</v>
      </c>
      <c r="B2093" s="1040" t="str">
        <f>CONCATENATE(LEFT(RIGHT(CONCATENATE("000",IFAData_TEA_1718!A2093),6),3),"-",(RIGHT(RIGHT(CONCATENATE("000",IFAData_TEA_1718!A2093),6),3)))</f>
        <v>205-901</v>
      </c>
      <c r="C2093" t="s">
        <v>2420</v>
      </c>
      <c r="D2093">
        <v>5</v>
      </c>
      <c r="E2093">
        <v>1582</v>
      </c>
      <c r="F2093" t="s">
        <v>5419</v>
      </c>
      <c r="G2093" t="s">
        <v>5420</v>
      </c>
      <c r="H2093">
        <v>270047</v>
      </c>
      <c r="I2093">
        <v>155350</v>
      </c>
      <c r="J2093">
        <v>1</v>
      </c>
      <c r="K2093">
        <v>270047</v>
      </c>
      <c r="L2093">
        <v>155350</v>
      </c>
      <c r="M2093">
        <v>599</v>
      </c>
    </row>
    <row r="2094" spans="1:13" ht="15">
      <c r="A2094" t="s">
        <v>3709</v>
      </c>
      <c r="B2094" s="1040" t="str">
        <f>CONCATENATE(LEFT(RIGHT(CONCATENATE("000",IFAData_TEA_1718!A2094),6),3),"-",(RIGHT(RIGHT(CONCATENATE("000",IFAData_TEA_1718!A2094),6),3)))</f>
        <v>205-904</v>
      </c>
      <c r="C2094" t="s">
        <v>2066</v>
      </c>
      <c r="D2094">
        <v>3</v>
      </c>
      <c r="E2094">
        <v>2075</v>
      </c>
      <c r="F2094" t="s">
        <v>5421</v>
      </c>
      <c r="G2094" t="s">
        <v>5421</v>
      </c>
      <c r="H2094">
        <v>513813</v>
      </c>
      <c r="I2094">
        <v>0</v>
      </c>
      <c r="J2094">
        <v>0</v>
      </c>
      <c r="K2094">
        <v>0</v>
      </c>
      <c r="L2094">
        <v>0</v>
      </c>
      <c r="M2094">
        <v>599</v>
      </c>
    </row>
    <row r="2095" spans="1:13" ht="15">
      <c r="A2095" t="s">
        <v>3709</v>
      </c>
      <c r="B2095" s="1040" t="str">
        <f>CONCATENATE(LEFT(RIGHT(CONCATENATE("000",IFAData_TEA_1718!A2095),6),3),"-",(RIGHT(RIGHT(CONCATENATE("000",IFAData_TEA_1718!A2095),6),3)))</f>
        <v>205-904</v>
      </c>
      <c r="C2095" t="s">
        <v>2066</v>
      </c>
      <c r="D2095">
        <v>3</v>
      </c>
      <c r="E2095">
        <v>2075</v>
      </c>
      <c r="F2095" t="s">
        <v>5421</v>
      </c>
      <c r="G2095" t="s">
        <v>5422</v>
      </c>
      <c r="H2095">
        <v>513813</v>
      </c>
      <c r="I2095">
        <v>146805</v>
      </c>
      <c r="J2095">
        <v>0.226307505661349</v>
      </c>
      <c r="K2095">
        <v>116279.73840637501</v>
      </c>
      <c r="L2095">
        <v>116279.73840637501</v>
      </c>
      <c r="M2095">
        <v>599</v>
      </c>
    </row>
    <row r="2096" spans="1:13" ht="15">
      <c r="A2096" t="s">
        <v>3709</v>
      </c>
      <c r="B2096" s="1040" t="str">
        <f>CONCATENATE(LEFT(RIGHT(CONCATENATE("000",IFAData_TEA_1718!A2096),6),3),"-",(RIGHT(RIGHT(CONCATENATE("000",IFAData_TEA_1718!A2096),6),3)))</f>
        <v>205-904</v>
      </c>
      <c r="C2096" t="s">
        <v>2066</v>
      </c>
      <c r="D2096">
        <v>3</v>
      </c>
      <c r="E2096">
        <v>2075</v>
      </c>
      <c r="F2096" t="s">
        <v>5421</v>
      </c>
      <c r="G2096" t="s">
        <v>5423</v>
      </c>
      <c r="H2096">
        <v>513813</v>
      </c>
      <c r="I2096">
        <v>57083</v>
      </c>
      <c r="J2096">
        <v>8.7996398935096004E-2</v>
      </c>
      <c r="K2096">
        <v>45213.693726038502</v>
      </c>
      <c r="L2096">
        <v>45213.693726038502</v>
      </c>
      <c r="M2096">
        <v>599</v>
      </c>
    </row>
    <row r="2097" spans="1:13" ht="15">
      <c r="A2097" t="s">
        <v>3709</v>
      </c>
      <c r="B2097" s="1040" t="str">
        <f>CONCATENATE(LEFT(RIGHT(CONCATENATE("000",IFAData_TEA_1718!A2097),6),3),"-",(RIGHT(RIGHT(CONCATENATE("000",IFAData_TEA_1718!A2097),6),3)))</f>
        <v>205-904</v>
      </c>
      <c r="C2097" t="s">
        <v>2066</v>
      </c>
      <c r="D2097">
        <v>3</v>
      </c>
      <c r="E2097">
        <v>2075</v>
      </c>
      <c r="F2097" t="s">
        <v>5421</v>
      </c>
      <c r="G2097" t="s">
        <v>6533</v>
      </c>
      <c r="H2097">
        <v>513813</v>
      </c>
      <c r="I2097">
        <v>359750</v>
      </c>
      <c r="J2097">
        <v>0.55457324451939805</v>
      </c>
      <c r="K2097">
        <v>284946.942486246</v>
      </c>
      <c r="L2097">
        <v>284946.942486246</v>
      </c>
      <c r="M2097">
        <v>599</v>
      </c>
    </row>
    <row r="2098" spans="1:13" ht="15">
      <c r="A2098" t="s">
        <v>3709</v>
      </c>
      <c r="B2098" s="1040" t="str">
        <f>CONCATENATE(LEFT(RIGHT(CONCATENATE("000",IFAData_TEA_1718!A2098),6),3),"-",(RIGHT(RIGHT(CONCATENATE("000",IFAData_TEA_1718!A2098),6),3)))</f>
        <v>205-904</v>
      </c>
      <c r="C2098" t="s">
        <v>2066</v>
      </c>
      <c r="D2098">
        <v>3</v>
      </c>
      <c r="E2098">
        <v>2075</v>
      </c>
      <c r="F2098" t="s">
        <v>5421</v>
      </c>
      <c r="G2098" t="s">
        <v>8491</v>
      </c>
      <c r="H2098">
        <v>513813</v>
      </c>
      <c r="I2098">
        <v>85059</v>
      </c>
      <c r="J2098">
        <v>0.13112285088415701</v>
      </c>
      <c r="K2098">
        <v>67372.625381341393</v>
      </c>
      <c r="L2098">
        <v>67372.625381341393</v>
      </c>
      <c r="M2098">
        <v>599</v>
      </c>
    </row>
    <row r="2099" spans="1:13" ht="15">
      <c r="A2099" t="s">
        <v>3709</v>
      </c>
      <c r="B2099" s="1040" t="str">
        <f>CONCATENATE(LEFT(RIGHT(CONCATENATE("000",IFAData_TEA_1718!A2099),6),3),"-",(RIGHT(RIGHT(CONCATENATE("000",IFAData_TEA_1718!A2099),6),3)))</f>
        <v>205-904</v>
      </c>
      <c r="C2099" t="s">
        <v>2066</v>
      </c>
      <c r="D2099">
        <v>9</v>
      </c>
      <c r="E2099">
        <v>2074</v>
      </c>
      <c r="F2099" t="s">
        <v>5422</v>
      </c>
      <c r="G2099" t="s">
        <v>5422</v>
      </c>
      <c r="H2099">
        <v>425296</v>
      </c>
      <c r="I2099">
        <v>128585</v>
      </c>
      <c r="J2099">
        <v>0.255631100773344</v>
      </c>
      <c r="K2099">
        <v>108718.88463450001</v>
      </c>
      <c r="L2099">
        <v>108718.88463450001</v>
      </c>
      <c r="M2099">
        <v>599</v>
      </c>
    </row>
    <row r="2100" spans="1:13" ht="15">
      <c r="A2100" t="s">
        <v>3709</v>
      </c>
      <c r="B2100" s="1040" t="str">
        <f>CONCATENATE(LEFT(RIGHT(CONCATENATE("000",IFAData_TEA_1718!A2100),6),3),"-",(RIGHT(RIGHT(CONCATENATE("000",IFAData_TEA_1718!A2100),6),3)))</f>
        <v>205-904</v>
      </c>
      <c r="C2100" t="s">
        <v>2066</v>
      </c>
      <c r="D2100">
        <v>9</v>
      </c>
      <c r="E2100">
        <v>2074</v>
      </c>
      <c r="F2100" t="s">
        <v>5422</v>
      </c>
      <c r="G2100" t="s">
        <v>6533</v>
      </c>
      <c r="H2100">
        <v>425296</v>
      </c>
      <c r="I2100">
        <v>283200</v>
      </c>
      <c r="J2100">
        <v>0.56301067573209296</v>
      </c>
      <c r="K2100">
        <v>239446.18834615601</v>
      </c>
      <c r="L2100">
        <v>239446.18834615601</v>
      </c>
      <c r="M2100">
        <v>599</v>
      </c>
    </row>
    <row r="2101" spans="1:13" ht="15">
      <c r="A2101" t="s">
        <v>3709</v>
      </c>
      <c r="B2101" s="1040" t="str">
        <f>CONCATENATE(LEFT(RIGHT(CONCATENATE("000",IFAData_TEA_1718!A2101),6),3),"-",(RIGHT(RIGHT(CONCATENATE("000",IFAData_TEA_1718!A2101),6),3)))</f>
        <v>205-904</v>
      </c>
      <c r="C2101" t="s">
        <v>2066</v>
      </c>
      <c r="D2101">
        <v>9</v>
      </c>
      <c r="E2101">
        <v>2074</v>
      </c>
      <c r="F2101" t="s">
        <v>5422</v>
      </c>
      <c r="G2101" t="s">
        <v>8491</v>
      </c>
      <c r="H2101">
        <v>425296</v>
      </c>
      <c r="I2101">
        <v>91225</v>
      </c>
      <c r="J2101">
        <v>0.18135822349456299</v>
      </c>
      <c r="K2101">
        <v>77130.927019343595</v>
      </c>
      <c r="L2101">
        <v>77130.927019343595</v>
      </c>
      <c r="M2101">
        <v>599</v>
      </c>
    </row>
    <row r="2102" spans="1:13" ht="15">
      <c r="A2102" t="s">
        <v>3709</v>
      </c>
      <c r="B2102" s="1040" t="str">
        <f>CONCATENATE(LEFT(RIGHT(CONCATENATE("000",IFAData_TEA_1718!A2102),6),3),"-",(RIGHT(RIGHT(CONCATENATE("000",IFAData_TEA_1718!A2102),6),3)))</f>
        <v>205-904</v>
      </c>
      <c r="C2102" t="s">
        <v>2066</v>
      </c>
      <c r="D2102">
        <v>10</v>
      </c>
      <c r="E2102">
        <v>2073</v>
      </c>
      <c r="F2102" t="s">
        <v>5423</v>
      </c>
      <c r="G2102" t="s">
        <v>5423</v>
      </c>
      <c r="H2102">
        <v>383389</v>
      </c>
      <c r="I2102">
        <v>177307</v>
      </c>
      <c r="J2102">
        <v>0.61276844280708098</v>
      </c>
      <c r="K2102">
        <v>234928.68051936399</v>
      </c>
      <c r="L2102">
        <v>177307</v>
      </c>
      <c r="M2102">
        <v>599</v>
      </c>
    </row>
    <row r="2103" spans="1:13" ht="15">
      <c r="A2103" t="s">
        <v>3709</v>
      </c>
      <c r="B2103" s="1040" t="str">
        <f>CONCATENATE(LEFT(RIGHT(CONCATENATE("000",IFAData_TEA_1718!A2103),6),3),"-",(RIGHT(RIGHT(CONCATENATE("000",IFAData_TEA_1718!A2103),6),3)))</f>
        <v>205-904</v>
      </c>
      <c r="C2103" t="s">
        <v>2066</v>
      </c>
      <c r="D2103">
        <v>10</v>
      </c>
      <c r="E2103">
        <v>2073</v>
      </c>
      <c r="F2103" t="s">
        <v>5423</v>
      </c>
      <c r="G2103" t="s">
        <v>8491</v>
      </c>
      <c r="H2103">
        <v>383389</v>
      </c>
      <c r="I2103">
        <v>112047</v>
      </c>
      <c r="J2103">
        <v>0.38723155719291902</v>
      </c>
      <c r="K2103">
        <v>148460.31948063601</v>
      </c>
      <c r="L2103">
        <v>112047</v>
      </c>
      <c r="M2103">
        <v>599</v>
      </c>
    </row>
    <row r="2104" spans="1:13" ht="15">
      <c r="A2104" t="s">
        <v>3710</v>
      </c>
      <c r="B2104" s="1040" t="str">
        <f>CONCATENATE(LEFT(RIGHT(CONCATENATE("000",IFAData_TEA_1718!A2104),6),3),"-",(RIGHT(RIGHT(CONCATENATE("000",IFAData_TEA_1718!A2104),6),3)))</f>
        <v>205-905</v>
      </c>
      <c r="C2104" t="s">
        <v>260</v>
      </c>
      <c r="D2104">
        <v>3</v>
      </c>
      <c r="E2104">
        <v>2155</v>
      </c>
      <c r="F2104" t="s">
        <v>5424</v>
      </c>
      <c r="G2104" t="s">
        <v>5424</v>
      </c>
      <c r="H2104">
        <v>175026</v>
      </c>
      <c r="I2104">
        <v>0</v>
      </c>
      <c r="J2104">
        <v>0</v>
      </c>
      <c r="K2104">
        <v>0</v>
      </c>
      <c r="L2104">
        <v>0</v>
      </c>
      <c r="M2104">
        <v>599</v>
      </c>
    </row>
    <row r="2105" spans="1:13" ht="15">
      <c r="A2105" t="s">
        <v>3710</v>
      </c>
      <c r="B2105" s="1040" t="str">
        <f>CONCATENATE(LEFT(RIGHT(CONCATENATE("000",IFAData_TEA_1718!A2105),6),3),"-",(RIGHT(RIGHT(CONCATENATE("000",IFAData_TEA_1718!A2105),6),3)))</f>
        <v>205-905</v>
      </c>
      <c r="C2105" t="s">
        <v>260</v>
      </c>
      <c r="D2105">
        <v>3</v>
      </c>
      <c r="E2105">
        <v>2155</v>
      </c>
      <c r="F2105" t="s">
        <v>5424</v>
      </c>
      <c r="G2105" t="s">
        <v>5425</v>
      </c>
      <c r="H2105">
        <v>175026</v>
      </c>
      <c r="I2105">
        <v>113764</v>
      </c>
      <c r="J2105">
        <v>0.68293502860470301</v>
      </c>
      <c r="K2105">
        <v>119531.386316567</v>
      </c>
      <c r="L2105">
        <v>113764</v>
      </c>
      <c r="M2105">
        <v>599</v>
      </c>
    </row>
    <row r="2106" spans="1:13" ht="15">
      <c r="A2106" t="s">
        <v>3710</v>
      </c>
      <c r="B2106" s="1040" t="str">
        <f>CONCATENATE(LEFT(RIGHT(CONCATENATE("000",IFAData_TEA_1718!A2106),6),3),"-",(RIGHT(RIGHT(CONCATENATE("000",IFAData_TEA_1718!A2106),6),3)))</f>
        <v>205-905</v>
      </c>
      <c r="C2106" t="s">
        <v>260</v>
      </c>
      <c r="D2106">
        <v>3</v>
      </c>
      <c r="E2106">
        <v>2155</v>
      </c>
      <c r="F2106" t="s">
        <v>5424</v>
      </c>
      <c r="G2106" t="s">
        <v>8492</v>
      </c>
      <c r="H2106">
        <v>175026</v>
      </c>
      <c r="I2106">
        <v>52817</v>
      </c>
      <c r="J2106">
        <v>0.31706497139529699</v>
      </c>
      <c r="K2106">
        <v>55494.613683433301</v>
      </c>
      <c r="L2106">
        <v>52817</v>
      </c>
      <c r="M2106">
        <v>599</v>
      </c>
    </row>
    <row r="2107" spans="1:13" ht="15">
      <c r="A2107" t="s">
        <v>3710</v>
      </c>
      <c r="B2107" s="1040" t="str">
        <f>CONCATENATE(LEFT(RIGHT(CONCATENATE("000",IFAData_TEA_1718!A2107),6),3),"-",(RIGHT(RIGHT(CONCATENATE("000",IFAData_TEA_1718!A2107),6),3)))</f>
        <v>205-905</v>
      </c>
      <c r="C2107" t="s">
        <v>260</v>
      </c>
      <c r="D2107">
        <v>5</v>
      </c>
      <c r="E2107">
        <v>2156</v>
      </c>
      <c r="F2107" t="s">
        <v>5426</v>
      </c>
      <c r="G2107" t="s">
        <v>5426</v>
      </c>
      <c r="H2107">
        <v>274260</v>
      </c>
      <c r="I2107">
        <v>0</v>
      </c>
      <c r="J2107">
        <v>0</v>
      </c>
      <c r="K2107">
        <v>0</v>
      </c>
      <c r="L2107">
        <v>0</v>
      </c>
      <c r="M2107">
        <v>599</v>
      </c>
    </row>
    <row r="2108" spans="1:13" ht="15">
      <c r="A2108" t="s">
        <v>3710</v>
      </c>
      <c r="B2108" s="1040" t="str">
        <f>CONCATENATE(LEFT(RIGHT(CONCATENATE("000",IFAData_TEA_1718!A2108),6),3),"-",(RIGHT(RIGHT(CONCATENATE("000",IFAData_TEA_1718!A2108),6),3)))</f>
        <v>205-905</v>
      </c>
      <c r="C2108" t="s">
        <v>260</v>
      </c>
      <c r="D2108">
        <v>5</v>
      </c>
      <c r="E2108">
        <v>2156</v>
      </c>
      <c r="F2108" t="s">
        <v>5426</v>
      </c>
      <c r="G2108" t="s">
        <v>5425</v>
      </c>
      <c r="H2108">
        <v>274260</v>
      </c>
      <c r="I2108">
        <v>161342</v>
      </c>
      <c r="J2108">
        <v>0.68293488198841901</v>
      </c>
      <c r="K2108">
        <v>187301.72073414401</v>
      </c>
      <c r="L2108">
        <v>161342</v>
      </c>
      <c r="M2108">
        <v>599</v>
      </c>
    </row>
    <row r="2109" spans="1:13" ht="15">
      <c r="A2109" t="s">
        <v>3710</v>
      </c>
      <c r="B2109" s="1040" t="str">
        <f>CONCATENATE(LEFT(RIGHT(CONCATENATE("000",IFAData_TEA_1718!A2109),6),3),"-",(RIGHT(RIGHT(CONCATENATE("000",IFAData_TEA_1718!A2109),6),3)))</f>
        <v>205-905</v>
      </c>
      <c r="C2109" t="s">
        <v>260</v>
      </c>
      <c r="D2109">
        <v>5</v>
      </c>
      <c r="E2109">
        <v>2156</v>
      </c>
      <c r="F2109" t="s">
        <v>5426</v>
      </c>
      <c r="G2109" t="s">
        <v>8492</v>
      </c>
      <c r="H2109">
        <v>274260</v>
      </c>
      <c r="I2109">
        <v>74906</v>
      </c>
      <c r="J2109">
        <v>0.31706511801158099</v>
      </c>
      <c r="K2109">
        <v>86958.279265856196</v>
      </c>
      <c r="L2109">
        <v>74906</v>
      </c>
      <c r="M2109">
        <v>599</v>
      </c>
    </row>
    <row r="2110" spans="1:13" ht="15">
      <c r="A2110" t="s">
        <v>3710</v>
      </c>
      <c r="B2110" s="1040" t="str">
        <f>CONCATENATE(LEFT(RIGHT(CONCATENATE("000",IFAData_TEA_1718!A2110),6),3),"-",(RIGHT(RIGHT(CONCATENATE("000",IFAData_TEA_1718!A2110),6),3)))</f>
        <v>205-905</v>
      </c>
      <c r="C2110" t="s">
        <v>260</v>
      </c>
      <c r="D2110">
        <v>11</v>
      </c>
      <c r="E2110">
        <v>2551</v>
      </c>
      <c r="F2110" t="s">
        <v>8493</v>
      </c>
      <c r="G2110" t="s">
        <v>8493</v>
      </c>
      <c r="H2110">
        <v>230344</v>
      </c>
      <c r="I2110">
        <v>1180812</v>
      </c>
      <c r="J2110">
        <v>1</v>
      </c>
      <c r="K2110">
        <v>230344</v>
      </c>
      <c r="L2110">
        <v>230344</v>
      </c>
      <c r="M2110">
        <v>599</v>
      </c>
    </row>
    <row r="2111" spans="1:13" ht="15">
      <c r="A2111" t="s">
        <v>3711</v>
      </c>
      <c r="B2111" s="1040" t="str">
        <f>CONCATENATE(LEFT(RIGHT(CONCATENATE("000",IFAData_TEA_1718!A2111),6),3),"-",(RIGHT(RIGHT(CONCATENATE("000",IFAData_TEA_1718!A2111),6),3)))</f>
        <v>205-906</v>
      </c>
      <c r="C2111" t="s">
        <v>267</v>
      </c>
      <c r="D2111">
        <v>5</v>
      </c>
      <c r="E2111">
        <v>2337</v>
      </c>
      <c r="F2111" t="s">
        <v>5427</v>
      </c>
      <c r="G2111" t="s">
        <v>5427</v>
      </c>
      <c r="H2111">
        <v>463509</v>
      </c>
      <c r="I2111">
        <v>0</v>
      </c>
      <c r="J2111">
        <v>0</v>
      </c>
      <c r="K2111">
        <v>0</v>
      </c>
      <c r="L2111">
        <v>0</v>
      </c>
      <c r="M2111">
        <v>599</v>
      </c>
    </row>
    <row r="2112" spans="1:13" ht="15">
      <c r="A2112" t="s">
        <v>3711</v>
      </c>
      <c r="B2112" s="1040" t="str">
        <f>CONCATENATE(LEFT(RIGHT(CONCATENATE("000",IFAData_TEA_1718!A2112),6),3),"-",(RIGHT(RIGHT(CONCATENATE("000",IFAData_TEA_1718!A2112),6),3)))</f>
        <v>205-906</v>
      </c>
      <c r="C2112" t="s">
        <v>267</v>
      </c>
      <c r="D2112">
        <v>5</v>
      </c>
      <c r="E2112">
        <v>2337</v>
      </c>
      <c r="F2112" t="s">
        <v>5427</v>
      </c>
      <c r="G2112" t="s">
        <v>5428</v>
      </c>
      <c r="H2112">
        <v>463509</v>
      </c>
      <c r="I2112">
        <v>0</v>
      </c>
      <c r="J2112">
        <v>0</v>
      </c>
      <c r="K2112">
        <v>0</v>
      </c>
      <c r="L2112">
        <v>0</v>
      </c>
      <c r="M2112">
        <v>599</v>
      </c>
    </row>
    <row r="2113" spans="1:13" ht="15">
      <c r="A2113" t="s">
        <v>3711</v>
      </c>
      <c r="B2113" s="1040" t="str">
        <f>CONCATENATE(LEFT(RIGHT(CONCATENATE("000",IFAData_TEA_1718!A2113),6),3),"-",(RIGHT(RIGHT(CONCATENATE("000",IFAData_TEA_1718!A2113),6),3)))</f>
        <v>205-906</v>
      </c>
      <c r="C2113" t="s">
        <v>267</v>
      </c>
      <c r="D2113">
        <v>5</v>
      </c>
      <c r="E2113">
        <v>2337</v>
      </c>
      <c r="F2113" t="s">
        <v>5427</v>
      </c>
      <c r="G2113" t="s">
        <v>5429</v>
      </c>
      <c r="H2113">
        <v>463509</v>
      </c>
      <c r="I2113">
        <v>309000</v>
      </c>
      <c r="J2113">
        <v>0.73663507956373997</v>
      </c>
      <c r="K2113">
        <v>341436.98909351003</v>
      </c>
      <c r="L2113">
        <v>309000</v>
      </c>
      <c r="M2113">
        <v>599</v>
      </c>
    </row>
    <row r="2114" spans="1:13" ht="15">
      <c r="A2114" t="s">
        <v>3711</v>
      </c>
      <c r="B2114" s="1040" t="str">
        <f>CONCATENATE(LEFT(RIGHT(CONCATENATE("000",IFAData_TEA_1718!A2114),6),3),"-",(RIGHT(RIGHT(CONCATENATE("000",IFAData_TEA_1718!A2114),6),3)))</f>
        <v>205-906</v>
      </c>
      <c r="C2114" t="s">
        <v>267</v>
      </c>
      <c r="D2114">
        <v>5</v>
      </c>
      <c r="E2114">
        <v>2337</v>
      </c>
      <c r="F2114" t="s">
        <v>5427</v>
      </c>
      <c r="G2114" t="s">
        <v>8494</v>
      </c>
      <c r="H2114">
        <v>463509</v>
      </c>
      <c r="I2114">
        <v>110475</v>
      </c>
      <c r="J2114">
        <v>0.26336492043625997</v>
      </c>
      <c r="K2114">
        <v>122072.01090649</v>
      </c>
      <c r="L2114">
        <v>110475</v>
      </c>
      <c r="M2114">
        <v>599</v>
      </c>
    </row>
    <row r="2115" spans="1:13" ht="15">
      <c r="A2115" t="s">
        <v>3711</v>
      </c>
      <c r="B2115" s="1040" t="str">
        <f>CONCATENATE(LEFT(RIGHT(CONCATENATE("000",IFAData_TEA_1718!A2115),6),3),"-",(RIGHT(RIGHT(CONCATENATE("000",IFAData_TEA_1718!A2115),6),3)))</f>
        <v>205-906</v>
      </c>
      <c r="C2115" t="s">
        <v>267</v>
      </c>
      <c r="D2115">
        <v>10</v>
      </c>
      <c r="E2115">
        <v>2336</v>
      </c>
      <c r="F2115" t="s">
        <v>5430</v>
      </c>
      <c r="G2115" t="s">
        <v>5430</v>
      </c>
      <c r="H2115">
        <v>359677</v>
      </c>
      <c r="I2115">
        <v>367081</v>
      </c>
      <c r="J2115">
        <v>1</v>
      </c>
      <c r="K2115">
        <v>359677</v>
      </c>
      <c r="L2115">
        <v>359677</v>
      </c>
      <c r="M2115">
        <v>199</v>
      </c>
    </row>
    <row r="2116" spans="1:13" ht="15">
      <c r="A2116" t="s">
        <v>3712</v>
      </c>
      <c r="B2116" s="1040" t="str">
        <f>CONCATENATE(LEFT(RIGHT(CONCATENATE("000",IFAData_TEA_1718!A2116),6),3),"-",(RIGHT(RIGHT(CONCATENATE("000",IFAData_TEA_1718!A2116),6),3)))</f>
        <v>205-907</v>
      </c>
      <c r="C2116" t="s">
        <v>601</v>
      </c>
      <c r="D2116">
        <v>4</v>
      </c>
      <c r="E2116">
        <v>2389</v>
      </c>
      <c r="F2116" t="s">
        <v>5431</v>
      </c>
      <c r="G2116" t="s">
        <v>5431</v>
      </c>
      <c r="H2116">
        <v>347528</v>
      </c>
      <c r="I2116">
        <v>0</v>
      </c>
      <c r="J2116">
        <v>0</v>
      </c>
      <c r="K2116">
        <v>0</v>
      </c>
      <c r="L2116">
        <v>0</v>
      </c>
      <c r="M2116">
        <v>599</v>
      </c>
    </row>
    <row r="2117" spans="1:13" ht="15">
      <c r="A2117" t="s">
        <v>3712</v>
      </c>
      <c r="B2117" s="1040" t="str">
        <f>CONCATENATE(LEFT(RIGHT(CONCATENATE("000",IFAData_TEA_1718!A2117),6),3),"-",(RIGHT(RIGHT(CONCATENATE("000",IFAData_TEA_1718!A2117),6),3)))</f>
        <v>205-907</v>
      </c>
      <c r="C2117" t="s">
        <v>601</v>
      </c>
      <c r="D2117">
        <v>4</v>
      </c>
      <c r="E2117">
        <v>2389</v>
      </c>
      <c r="F2117" t="s">
        <v>5431</v>
      </c>
      <c r="G2117" t="s">
        <v>5432</v>
      </c>
      <c r="H2117">
        <v>347528</v>
      </c>
      <c r="I2117">
        <v>0</v>
      </c>
      <c r="J2117">
        <v>0</v>
      </c>
      <c r="K2117">
        <v>0</v>
      </c>
      <c r="L2117">
        <v>0</v>
      </c>
      <c r="M2117">
        <v>599</v>
      </c>
    </row>
    <row r="2118" spans="1:13" ht="15">
      <c r="A2118" t="s">
        <v>3712</v>
      </c>
      <c r="B2118" s="1040" t="str">
        <f>CONCATENATE(LEFT(RIGHT(CONCATENATE("000",IFAData_TEA_1718!A2118),6),3),"-",(RIGHT(RIGHT(CONCATENATE("000",IFAData_TEA_1718!A2118),6),3)))</f>
        <v>205-907</v>
      </c>
      <c r="C2118" t="s">
        <v>601</v>
      </c>
      <c r="D2118">
        <v>4</v>
      </c>
      <c r="E2118">
        <v>2389</v>
      </c>
      <c r="F2118" t="s">
        <v>5431</v>
      </c>
      <c r="G2118" t="s">
        <v>6534</v>
      </c>
      <c r="H2118">
        <v>347528</v>
      </c>
      <c r="I2118">
        <v>293750</v>
      </c>
      <c r="J2118">
        <v>1</v>
      </c>
      <c r="K2118">
        <v>347528</v>
      </c>
      <c r="L2118">
        <v>293750</v>
      </c>
      <c r="M2118">
        <v>599</v>
      </c>
    </row>
    <row r="2119" spans="1:13" ht="15">
      <c r="A2119" t="s">
        <v>3712</v>
      </c>
      <c r="B2119" s="1040" t="str">
        <f>CONCATENATE(LEFT(RIGHT(CONCATENATE("000",IFAData_TEA_1718!A2119),6),3),"-",(RIGHT(RIGHT(CONCATENATE("000",IFAData_TEA_1718!A2119),6),3)))</f>
        <v>205-907</v>
      </c>
      <c r="C2119" t="s">
        <v>601</v>
      </c>
      <c r="D2119">
        <v>10</v>
      </c>
      <c r="E2119">
        <v>2388</v>
      </c>
      <c r="F2119" t="s">
        <v>5433</v>
      </c>
      <c r="G2119" t="s">
        <v>5433</v>
      </c>
      <c r="H2119">
        <v>284438</v>
      </c>
      <c r="I2119">
        <v>675237</v>
      </c>
      <c r="J2119">
        <v>0.797869549805034</v>
      </c>
      <c r="K2119">
        <v>226944.419007444</v>
      </c>
      <c r="L2119">
        <v>226944.419007444</v>
      </c>
      <c r="M2119">
        <v>599</v>
      </c>
    </row>
    <row r="2120" spans="1:13" ht="15">
      <c r="A2120" t="s">
        <v>3712</v>
      </c>
      <c r="B2120" s="1040" t="str">
        <f>CONCATENATE(LEFT(RIGHT(CONCATENATE("000",IFAData_TEA_1718!A2120),6),3),"-",(RIGHT(RIGHT(CONCATENATE("000",IFAData_TEA_1718!A2120),6),3)))</f>
        <v>205-907</v>
      </c>
      <c r="C2120" t="s">
        <v>601</v>
      </c>
      <c r="D2120">
        <v>10</v>
      </c>
      <c r="E2120">
        <v>2388</v>
      </c>
      <c r="F2120" t="s">
        <v>5433</v>
      </c>
      <c r="G2120" t="s">
        <v>8495</v>
      </c>
      <c r="H2120">
        <v>284438</v>
      </c>
      <c r="I2120">
        <v>171063</v>
      </c>
      <c r="J2120">
        <v>0.202130450194966</v>
      </c>
      <c r="K2120">
        <v>57493.580992555799</v>
      </c>
      <c r="L2120">
        <v>57493.580992555799</v>
      </c>
      <c r="M2120">
        <v>599</v>
      </c>
    </row>
    <row r="2121" spans="1:13" ht="15">
      <c r="A2121" t="s">
        <v>3713</v>
      </c>
      <c r="B2121" s="1040" t="str">
        <f>CONCATENATE(LEFT(RIGHT(CONCATENATE("000",IFAData_TEA_1718!A2121),6),3),"-",(RIGHT(RIGHT(CONCATENATE("000",IFAData_TEA_1718!A2121),6),3)))</f>
        <v>206-901</v>
      </c>
      <c r="C2121" t="s">
        <v>1404</v>
      </c>
      <c r="D2121">
        <v>2</v>
      </c>
      <c r="E2121">
        <v>2302</v>
      </c>
      <c r="F2121" t="s">
        <v>5434</v>
      </c>
      <c r="G2121" t="s">
        <v>5434</v>
      </c>
      <c r="H2121">
        <v>190287</v>
      </c>
      <c r="I2121">
        <v>0</v>
      </c>
      <c r="J2121">
        <v>0</v>
      </c>
      <c r="K2121">
        <v>0</v>
      </c>
      <c r="L2121">
        <v>0</v>
      </c>
      <c r="M2121">
        <v>599</v>
      </c>
    </row>
    <row r="2122" spans="1:13" ht="15">
      <c r="A2122" t="s">
        <v>3713</v>
      </c>
      <c r="B2122" s="1040" t="str">
        <f>CONCATENATE(LEFT(RIGHT(CONCATENATE("000",IFAData_TEA_1718!A2122),6),3),"-",(RIGHT(RIGHT(CONCATENATE("000",IFAData_TEA_1718!A2122),6),3)))</f>
        <v>206-901</v>
      </c>
      <c r="C2122" t="s">
        <v>1404</v>
      </c>
      <c r="D2122">
        <v>2</v>
      </c>
      <c r="E2122">
        <v>2302</v>
      </c>
      <c r="F2122" t="s">
        <v>5434</v>
      </c>
      <c r="G2122" t="s">
        <v>5435</v>
      </c>
      <c r="H2122">
        <v>190287</v>
      </c>
      <c r="I2122">
        <v>180300</v>
      </c>
      <c r="J2122">
        <v>1</v>
      </c>
      <c r="K2122">
        <v>190287</v>
      </c>
      <c r="L2122">
        <v>180300</v>
      </c>
      <c r="M2122">
        <v>599</v>
      </c>
    </row>
    <row r="2123" spans="1:13" ht="15">
      <c r="A2123" t="s">
        <v>6794</v>
      </c>
      <c r="B2123" s="1040" t="str">
        <f>CONCATENATE(LEFT(RIGHT(CONCATENATE("000",IFAData_TEA_1718!A2123),6),3),"-",(RIGHT(RIGHT(CONCATENATE("000",IFAData_TEA_1718!A2123),6),3)))</f>
        <v>206-902</v>
      </c>
      <c r="C2123" t="s">
        <v>354</v>
      </c>
      <c r="D2123">
        <v>11</v>
      </c>
      <c r="E2123">
        <v>2559</v>
      </c>
      <c r="F2123" t="s">
        <v>8496</v>
      </c>
      <c r="G2123" t="s">
        <v>8496</v>
      </c>
      <c r="H2123">
        <v>100000</v>
      </c>
      <c r="I2123">
        <v>150066</v>
      </c>
      <c r="J2123">
        <v>1</v>
      </c>
      <c r="K2123">
        <v>100000</v>
      </c>
      <c r="L2123">
        <v>100000</v>
      </c>
      <c r="M2123">
        <v>599</v>
      </c>
    </row>
    <row r="2124" spans="1:13" ht="15">
      <c r="A2124" t="s">
        <v>3714</v>
      </c>
      <c r="B2124" s="1040" t="str">
        <f>CONCATENATE(LEFT(RIGHT(CONCATENATE("000",IFAData_TEA_1718!A2124),6),3),"-",(RIGHT(RIGHT(CONCATENATE("000",IFAData_TEA_1718!A2124),6),3)))</f>
        <v>210-901</v>
      </c>
      <c r="C2124" t="s">
        <v>1776</v>
      </c>
      <c r="D2124">
        <v>9</v>
      </c>
      <c r="E2124">
        <v>1673</v>
      </c>
      <c r="F2124" t="s">
        <v>5436</v>
      </c>
      <c r="G2124" t="s">
        <v>5436</v>
      </c>
      <c r="H2124">
        <v>246712</v>
      </c>
      <c r="I2124">
        <v>0</v>
      </c>
      <c r="J2124">
        <v>0</v>
      </c>
      <c r="K2124">
        <v>0</v>
      </c>
      <c r="L2124">
        <v>0</v>
      </c>
      <c r="M2124">
        <v>599</v>
      </c>
    </row>
    <row r="2125" spans="1:13" ht="15">
      <c r="A2125" t="s">
        <v>3714</v>
      </c>
      <c r="B2125" s="1040" t="str">
        <f>CONCATENATE(LEFT(RIGHT(CONCATENATE("000",IFAData_TEA_1718!A2125),6),3),"-",(RIGHT(RIGHT(CONCATENATE("000",IFAData_TEA_1718!A2125),6),3)))</f>
        <v>210-901</v>
      </c>
      <c r="C2125" t="s">
        <v>1776</v>
      </c>
      <c r="D2125">
        <v>9</v>
      </c>
      <c r="E2125">
        <v>1673</v>
      </c>
      <c r="F2125" t="s">
        <v>5436</v>
      </c>
      <c r="G2125" t="s">
        <v>6535</v>
      </c>
      <c r="H2125">
        <v>246712</v>
      </c>
      <c r="I2125">
        <v>1236400</v>
      </c>
      <c r="J2125">
        <v>1</v>
      </c>
      <c r="K2125">
        <v>246712</v>
      </c>
      <c r="L2125">
        <v>246712</v>
      </c>
      <c r="M2125">
        <v>599</v>
      </c>
    </row>
    <row r="2126" spans="1:13" ht="15">
      <c r="A2126" t="s">
        <v>3715</v>
      </c>
      <c r="B2126" s="1040" t="str">
        <f>CONCATENATE(LEFT(RIGHT(CONCATENATE("000",IFAData_TEA_1718!A2126),6),3),"-",(RIGHT(RIGHT(CONCATENATE("000",IFAData_TEA_1718!A2126),6),3)))</f>
        <v>210-903</v>
      </c>
      <c r="C2126" t="s">
        <v>1249</v>
      </c>
      <c r="D2126">
        <v>4</v>
      </c>
      <c r="E2126">
        <v>2328</v>
      </c>
      <c r="F2126" t="s">
        <v>5437</v>
      </c>
      <c r="G2126" t="s">
        <v>5437</v>
      </c>
      <c r="H2126">
        <v>176318</v>
      </c>
      <c r="I2126">
        <v>0</v>
      </c>
      <c r="J2126">
        <v>0</v>
      </c>
      <c r="K2126">
        <v>0</v>
      </c>
      <c r="L2126">
        <v>0</v>
      </c>
      <c r="M2126">
        <v>599</v>
      </c>
    </row>
    <row r="2127" spans="1:13" ht="15">
      <c r="A2127" t="s">
        <v>3715</v>
      </c>
      <c r="B2127" s="1040" t="str">
        <f>CONCATENATE(LEFT(RIGHT(CONCATENATE("000",IFAData_TEA_1718!A2127),6),3),"-",(RIGHT(RIGHT(CONCATENATE("000",IFAData_TEA_1718!A2127),6),3)))</f>
        <v>210-903</v>
      </c>
      <c r="C2127" t="s">
        <v>1249</v>
      </c>
      <c r="D2127">
        <v>4</v>
      </c>
      <c r="E2127">
        <v>2328</v>
      </c>
      <c r="F2127" t="s">
        <v>5437</v>
      </c>
      <c r="G2127" t="s">
        <v>5438</v>
      </c>
      <c r="H2127">
        <v>176318</v>
      </c>
      <c r="I2127">
        <v>0</v>
      </c>
      <c r="J2127">
        <v>0</v>
      </c>
      <c r="K2127">
        <v>0</v>
      </c>
      <c r="L2127">
        <v>0</v>
      </c>
      <c r="M2127">
        <v>599</v>
      </c>
    </row>
    <row r="2128" spans="1:13" ht="15">
      <c r="A2128" t="s">
        <v>3715</v>
      </c>
      <c r="B2128" s="1040" t="str">
        <f>CONCATENATE(LEFT(RIGHT(CONCATENATE("000",IFAData_TEA_1718!A2128),6),3),"-",(RIGHT(RIGHT(CONCATENATE("000",IFAData_TEA_1718!A2128),6),3)))</f>
        <v>210-903</v>
      </c>
      <c r="C2128" t="s">
        <v>1249</v>
      </c>
      <c r="D2128">
        <v>4</v>
      </c>
      <c r="E2128">
        <v>2328</v>
      </c>
      <c r="F2128" t="s">
        <v>5437</v>
      </c>
      <c r="G2128" t="s">
        <v>6321</v>
      </c>
      <c r="H2128">
        <v>176318</v>
      </c>
      <c r="I2128">
        <v>156050</v>
      </c>
      <c r="J2128">
        <v>1</v>
      </c>
      <c r="K2128">
        <v>176318</v>
      </c>
      <c r="L2128">
        <v>156050</v>
      </c>
      <c r="M2128">
        <v>599</v>
      </c>
    </row>
    <row r="2129" spans="1:13" ht="15">
      <c r="A2129" t="s">
        <v>3716</v>
      </c>
      <c r="B2129" s="1040" t="str">
        <f>CONCATENATE(LEFT(RIGHT(CONCATENATE("000",IFAData_TEA_1718!A2129),6),3),"-",(RIGHT(RIGHT(CONCATENATE("000",IFAData_TEA_1718!A2129),6),3)))</f>
        <v>212-901</v>
      </c>
      <c r="C2129" t="s">
        <v>2115</v>
      </c>
      <c r="D2129">
        <v>6</v>
      </c>
      <c r="E2129">
        <v>1584</v>
      </c>
      <c r="F2129" t="s">
        <v>5439</v>
      </c>
      <c r="G2129" t="s">
        <v>5439</v>
      </c>
      <c r="H2129">
        <v>219258</v>
      </c>
      <c r="I2129">
        <v>0</v>
      </c>
      <c r="J2129">
        <v>0</v>
      </c>
      <c r="K2129">
        <v>0</v>
      </c>
      <c r="L2129">
        <v>0</v>
      </c>
      <c r="M2129">
        <v>599</v>
      </c>
    </row>
    <row r="2130" spans="1:13" ht="15">
      <c r="A2130" t="s">
        <v>3716</v>
      </c>
      <c r="B2130" s="1040" t="str">
        <f>CONCATENATE(LEFT(RIGHT(CONCATENATE("000",IFAData_TEA_1718!A2130),6),3),"-",(RIGHT(RIGHT(CONCATENATE("000",IFAData_TEA_1718!A2130),6),3)))</f>
        <v>212-901</v>
      </c>
      <c r="C2130" t="s">
        <v>2115</v>
      </c>
      <c r="D2130">
        <v>6</v>
      </c>
      <c r="E2130">
        <v>1584</v>
      </c>
      <c r="F2130" t="s">
        <v>5439</v>
      </c>
      <c r="G2130" t="s">
        <v>5440</v>
      </c>
      <c r="H2130">
        <v>219258</v>
      </c>
      <c r="I2130">
        <v>69208</v>
      </c>
      <c r="J2130">
        <v>0.19214036841155499</v>
      </c>
      <c r="K2130">
        <v>42128.312897180702</v>
      </c>
      <c r="L2130">
        <v>42128.312897180702</v>
      </c>
      <c r="M2130">
        <v>599</v>
      </c>
    </row>
    <row r="2131" spans="1:13" ht="15">
      <c r="A2131" t="s">
        <v>3716</v>
      </c>
      <c r="B2131" s="1040" t="str">
        <f>CONCATENATE(LEFT(RIGHT(CONCATENATE("000",IFAData_TEA_1718!A2131),6),3),"-",(RIGHT(RIGHT(CONCATENATE("000",IFAData_TEA_1718!A2131),6),3)))</f>
        <v>212-901</v>
      </c>
      <c r="C2131" t="s">
        <v>2115</v>
      </c>
      <c r="D2131">
        <v>6</v>
      </c>
      <c r="E2131">
        <v>1584</v>
      </c>
      <c r="F2131" t="s">
        <v>5439</v>
      </c>
      <c r="G2131" t="s">
        <v>5441</v>
      </c>
      <c r="H2131">
        <v>219258</v>
      </c>
      <c r="I2131">
        <v>190566</v>
      </c>
      <c r="J2131">
        <v>0.529063423978678</v>
      </c>
      <c r="K2131">
        <v>116001.38821471699</v>
      </c>
      <c r="L2131">
        <v>116001.38821471699</v>
      </c>
      <c r="M2131">
        <v>599</v>
      </c>
    </row>
    <row r="2132" spans="1:13" ht="15">
      <c r="A2132" t="s">
        <v>3716</v>
      </c>
      <c r="B2132" s="1040" t="str">
        <f>CONCATENATE(LEFT(RIGHT(CONCATENATE("000",IFAData_TEA_1718!A2132),6),3),"-",(RIGHT(RIGHT(CONCATENATE("000",IFAData_TEA_1718!A2132),6),3)))</f>
        <v>212-901</v>
      </c>
      <c r="C2132" t="s">
        <v>2115</v>
      </c>
      <c r="D2132">
        <v>6</v>
      </c>
      <c r="E2132">
        <v>1584</v>
      </c>
      <c r="F2132" t="s">
        <v>5439</v>
      </c>
      <c r="G2132" t="s">
        <v>8497</v>
      </c>
      <c r="H2132">
        <v>219258</v>
      </c>
      <c r="I2132">
        <v>100421</v>
      </c>
      <c r="J2132">
        <v>0.27879620760976698</v>
      </c>
      <c r="K2132">
        <v>61128.298888102297</v>
      </c>
      <c r="L2132">
        <v>61128.298888102297</v>
      </c>
      <c r="M2132">
        <v>599</v>
      </c>
    </row>
    <row r="2133" spans="1:13" ht="15">
      <c r="A2133" t="s">
        <v>3717</v>
      </c>
      <c r="B2133" s="1040" t="str">
        <f>CONCATENATE(LEFT(RIGHT(CONCATENATE("000",IFAData_TEA_1718!A2133),6),3),"-",(RIGHT(RIGHT(CONCATENATE("000",IFAData_TEA_1718!A2133),6),3)))</f>
        <v>212-903</v>
      </c>
      <c r="C2133" t="s">
        <v>1996</v>
      </c>
      <c r="D2133">
        <v>10</v>
      </c>
      <c r="E2133">
        <v>2021</v>
      </c>
      <c r="F2133" t="s">
        <v>5442</v>
      </c>
      <c r="G2133" t="s">
        <v>5442</v>
      </c>
      <c r="H2133">
        <v>863361</v>
      </c>
      <c r="I2133">
        <v>1026286</v>
      </c>
      <c r="J2133">
        <v>1</v>
      </c>
      <c r="K2133">
        <v>863361</v>
      </c>
      <c r="L2133">
        <v>863361</v>
      </c>
      <c r="M2133">
        <v>599</v>
      </c>
    </row>
    <row r="2134" spans="1:13" ht="15">
      <c r="A2134" t="s">
        <v>3718</v>
      </c>
      <c r="B2134" s="1040" t="str">
        <f>CONCATENATE(LEFT(RIGHT(CONCATENATE("000",IFAData_TEA_1718!A2134),6),3),"-",(RIGHT(RIGHT(CONCATENATE("000",IFAData_TEA_1718!A2134),6),3)))</f>
        <v>212-906</v>
      </c>
      <c r="C2134" t="s">
        <v>1334</v>
      </c>
      <c r="D2134">
        <v>2</v>
      </c>
      <c r="E2134">
        <v>2451</v>
      </c>
      <c r="F2134" t="s">
        <v>5443</v>
      </c>
      <c r="G2134" t="s">
        <v>5443</v>
      </c>
      <c r="H2134">
        <v>962500</v>
      </c>
      <c r="I2134">
        <v>0</v>
      </c>
      <c r="J2134">
        <v>0</v>
      </c>
      <c r="K2134">
        <v>0</v>
      </c>
      <c r="L2134">
        <v>0</v>
      </c>
      <c r="M2134">
        <v>599</v>
      </c>
    </row>
    <row r="2135" spans="1:13" ht="15">
      <c r="A2135" t="s">
        <v>3718</v>
      </c>
      <c r="B2135" s="1040" t="str">
        <f>CONCATENATE(LEFT(RIGHT(CONCATENATE("000",IFAData_TEA_1718!A2135),6),3),"-",(RIGHT(RIGHT(CONCATENATE("000",IFAData_TEA_1718!A2135),6),3)))</f>
        <v>212-906</v>
      </c>
      <c r="C2135" t="s">
        <v>1334</v>
      </c>
      <c r="D2135">
        <v>2</v>
      </c>
      <c r="E2135">
        <v>2451</v>
      </c>
      <c r="F2135" t="s">
        <v>5443</v>
      </c>
      <c r="G2135" t="s">
        <v>5444</v>
      </c>
      <c r="H2135">
        <v>962500</v>
      </c>
      <c r="I2135">
        <v>0</v>
      </c>
      <c r="J2135">
        <v>0</v>
      </c>
      <c r="K2135">
        <v>0</v>
      </c>
      <c r="L2135">
        <v>0</v>
      </c>
      <c r="M2135">
        <v>599</v>
      </c>
    </row>
    <row r="2136" spans="1:13" ht="15">
      <c r="A2136" t="s">
        <v>3718</v>
      </c>
      <c r="B2136" s="1040" t="str">
        <f>CONCATENATE(LEFT(RIGHT(CONCATENATE("000",IFAData_TEA_1718!A2136),6),3),"-",(RIGHT(RIGHT(CONCATENATE("000",IFAData_TEA_1718!A2136),6),3)))</f>
        <v>212-906</v>
      </c>
      <c r="C2136" t="s">
        <v>1334</v>
      </c>
      <c r="D2136">
        <v>2</v>
      </c>
      <c r="E2136">
        <v>2451</v>
      </c>
      <c r="F2136" t="s">
        <v>5443</v>
      </c>
      <c r="G2136" t="s">
        <v>8498</v>
      </c>
      <c r="H2136">
        <v>962500</v>
      </c>
      <c r="I2136">
        <v>1089212</v>
      </c>
      <c r="J2136">
        <v>1</v>
      </c>
      <c r="K2136">
        <v>962500</v>
      </c>
      <c r="L2136">
        <v>962500</v>
      </c>
      <c r="M2136">
        <v>599</v>
      </c>
    </row>
    <row r="2137" spans="1:13" ht="15">
      <c r="A2137" t="s">
        <v>3719</v>
      </c>
      <c r="B2137" s="1040" t="str">
        <f>CONCATENATE(LEFT(RIGHT(CONCATENATE("000",IFAData_TEA_1718!A2137),6),3),"-",(RIGHT(RIGHT(CONCATENATE("000",IFAData_TEA_1718!A2137),6),3)))</f>
        <v>212-909</v>
      </c>
      <c r="C2137" t="s">
        <v>660</v>
      </c>
      <c r="D2137">
        <v>9</v>
      </c>
      <c r="E2137">
        <v>1681</v>
      </c>
      <c r="F2137" t="s">
        <v>5445</v>
      </c>
      <c r="G2137" t="s">
        <v>5445</v>
      </c>
      <c r="H2137">
        <v>722890</v>
      </c>
      <c r="I2137">
        <v>0</v>
      </c>
      <c r="J2137">
        <v>0</v>
      </c>
      <c r="K2137">
        <v>0</v>
      </c>
      <c r="L2137">
        <v>0</v>
      </c>
      <c r="M2137">
        <v>599</v>
      </c>
    </row>
    <row r="2138" spans="1:13" ht="15">
      <c r="A2138" t="s">
        <v>3719</v>
      </c>
      <c r="B2138" s="1040" t="str">
        <f>CONCATENATE(LEFT(RIGHT(CONCATENATE("000",IFAData_TEA_1718!A2138),6),3),"-",(RIGHT(RIGHT(CONCATENATE("000",IFAData_TEA_1718!A2138),6),3)))</f>
        <v>212-909</v>
      </c>
      <c r="C2138" t="s">
        <v>660</v>
      </c>
      <c r="D2138">
        <v>9</v>
      </c>
      <c r="E2138">
        <v>1681</v>
      </c>
      <c r="F2138" t="s">
        <v>5445</v>
      </c>
      <c r="G2138" t="s">
        <v>6322</v>
      </c>
      <c r="H2138">
        <v>722890</v>
      </c>
      <c r="I2138">
        <v>279801</v>
      </c>
      <c r="J2138">
        <v>0.26938885150064801</v>
      </c>
      <c r="K2138">
        <v>194738.50686130399</v>
      </c>
      <c r="L2138">
        <v>194738.50686130399</v>
      </c>
      <c r="M2138">
        <v>599</v>
      </c>
    </row>
    <row r="2139" spans="1:13" ht="15">
      <c r="A2139" t="s">
        <v>3719</v>
      </c>
      <c r="B2139" s="1040" t="str">
        <f>CONCATENATE(LEFT(RIGHT(CONCATENATE("000",IFAData_TEA_1718!A2139),6),3),"-",(RIGHT(RIGHT(CONCATENATE("000",IFAData_TEA_1718!A2139),6),3)))</f>
        <v>212-909</v>
      </c>
      <c r="C2139" t="s">
        <v>660</v>
      </c>
      <c r="D2139">
        <v>9</v>
      </c>
      <c r="E2139">
        <v>1681</v>
      </c>
      <c r="F2139" t="s">
        <v>5445</v>
      </c>
      <c r="G2139" t="s">
        <v>6323</v>
      </c>
      <c r="H2139">
        <v>722890</v>
      </c>
      <c r="I2139">
        <v>758850</v>
      </c>
      <c r="J2139">
        <v>0.73061114849935205</v>
      </c>
      <c r="K2139">
        <v>528151.49313869595</v>
      </c>
      <c r="L2139">
        <v>528151.49313869595</v>
      </c>
      <c r="M2139">
        <v>599</v>
      </c>
    </row>
    <row r="2140" spans="1:13" ht="15">
      <c r="A2140" t="s">
        <v>3720</v>
      </c>
      <c r="B2140" s="1040" t="str">
        <f>CONCATENATE(LEFT(RIGHT(CONCATENATE("000",IFAData_TEA_1718!A2140),6),3),"-",(RIGHT(RIGHT(CONCATENATE("000",IFAData_TEA_1718!A2140),6),3)))</f>
        <v>214-901</v>
      </c>
      <c r="C2140" t="s">
        <v>2693</v>
      </c>
      <c r="D2140">
        <v>2</v>
      </c>
      <c r="E2140">
        <v>2239</v>
      </c>
      <c r="F2140" t="s">
        <v>5446</v>
      </c>
      <c r="G2140" t="s">
        <v>5446</v>
      </c>
      <c r="H2140">
        <v>595803</v>
      </c>
      <c r="I2140">
        <v>0</v>
      </c>
      <c r="J2140">
        <v>0</v>
      </c>
      <c r="K2140"/>
      <c r="L2140">
        <v>0</v>
      </c>
      <c r="M2140">
        <v>199</v>
      </c>
    </row>
    <row r="2141" spans="1:13" ht="15">
      <c r="A2141" t="s">
        <v>3720</v>
      </c>
      <c r="B2141" s="1040" t="str">
        <f>CONCATENATE(LEFT(RIGHT(CONCATENATE("000",IFAData_TEA_1718!A2141),6),3),"-",(RIGHT(RIGHT(CONCATENATE("000",IFAData_TEA_1718!A2141),6),3)))</f>
        <v>214-901</v>
      </c>
      <c r="C2141" t="s">
        <v>2693</v>
      </c>
      <c r="D2141">
        <v>4</v>
      </c>
      <c r="E2141">
        <v>2242</v>
      </c>
      <c r="F2141" t="s">
        <v>5447</v>
      </c>
      <c r="G2141" t="s">
        <v>5447</v>
      </c>
      <c r="H2141">
        <v>1967288</v>
      </c>
      <c r="I2141">
        <v>0</v>
      </c>
      <c r="J2141">
        <v>0</v>
      </c>
      <c r="K2141">
        <v>0</v>
      </c>
      <c r="L2141">
        <v>0</v>
      </c>
      <c r="M2141">
        <v>599</v>
      </c>
    </row>
    <row r="2142" spans="1:13" ht="15">
      <c r="A2142" t="s">
        <v>3720</v>
      </c>
      <c r="B2142" s="1040" t="str">
        <f>CONCATENATE(LEFT(RIGHT(CONCATENATE("000",IFAData_TEA_1718!A2142),6),3),"-",(RIGHT(RIGHT(CONCATENATE("000",IFAData_TEA_1718!A2142),6),3)))</f>
        <v>214-901</v>
      </c>
      <c r="C2142" t="s">
        <v>2693</v>
      </c>
      <c r="D2142">
        <v>4</v>
      </c>
      <c r="E2142">
        <v>2242</v>
      </c>
      <c r="F2142" t="s">
        <v>5447</v>
      </c>
      <c r="G2142" t="s">
        <v>5448</v>
      </c>
      <c r="H2142">
        <v>1967288</v>
      </c>
      <c r="I2142">
        <v>0</v>
      </c>
      <c r="J2142">
        <v>0</v>
      </c>
      <c r="K2142">
        <v>0</v>
      </c>
      <c r="L2142">
        <v>0</v>
      </c>
      <c r="M2142">
        <v>599</v>
      </c>
    </row>
    <row r="2143" spans="1:13" ht="15">
      <c r="A2143" t="s">
        <v>3720</v>
      </c>
      <c r="B2143" s="1040" t="str">
        <f>CONCATENATE(LEFT(RIGHT(CONCATENATE("000",IFAData_TEA_1718!A2143),6),3),"-",(RIGHT(RIGHT(CONCATENATE("000",IFAData_TEA_1718!A2143),6),3)))</f>
        <v>214-901</v>
      </c>
      <c r="C2143" t="s">
        <v>2693</v>
      </c>
      <c r="D2143">
        <v>4</v>
      </c>
      <c r="E2143">
        <v>2242</v>
      </c>
      <c r="F2143" t="s">
        <v>5447</v>
      </c>
      <c r="G2143" t="s">
        <v>6324</v>
      </c>
      <c r="H2143">
        <v>1967288</v>
      </c>
      <c r="I2143">
        <v>1688550</v>
      </c>
      <c r="J2143">
        <v>1</v>
      </c>
      <c r="K2143">
        <v>1967288</v>
      </c>
      <c r="L2143">
        <v>1688550</v>
      </c>
      <c r="M2143">
        <v>599</v>
      </c>
    </row>
    <row r="2144" spans="1:13" ht="15">
      <c r="A2144" t="s">
        <v>3720</v>
      </c>
      <c r="B2144" s="1040" t="str">
        <f>CONCATENATE(LEFT(RIGHT(CONCATENATE("000",IFAData_TEA_1718!A2144),6),3),"-",(RIGHT(RIGHT(CONCATENATE("000",IFAData_TEA_1718!A2144),6),3)))</f>
        <v>214-901</v>
      </c>
      <c r="C2144" t="s">
        <v>2693</v>
      </c>
      <c r="D2144">
        <v>6</v>
      </c>
      <c r="E2144">
        <v>2241</v>
      </c>
      <c r="F2144" t="s">
        <v>5449</v>
      </c>
      <c r="G2144" t="s">
        <v>5449</v>
      </c>
      <c r="H2144">
        <v>1797043</v>
      </c>
      <c r="I2144">
        <v>0</v>
      </c>
      <c r="J2144">
        <v>0</v>
      </c>
      <c r="K2144">
        <v>0</v>
      </c>
      <c r="L2144">
        <v>0</v>
      </c>
      <c r="M2144">
        <v>599</v>
      </c>
    </row>
    <row r="2145" spans="1:13" ht="15">
      <c r="A2145" t="s">
        <v>3720</v>
      </c>
      <c r="B2145" s="1040" t="str">
        <f>CONCATENATE(LEFT(RIGHT(CONCATENATE("000",IFAData_TEA_1718!A2145),6),3),"-",(RIGHT(RIGHT(CONCATENATE("000",IFAData_TEA_1718!A2145),6),3)))</f>
        <v>214-901</v>
      </c>
      <c r="C2145" t="s">
        <v>2693</v>
      </c>
      <c r="D2145">
        <v>6</v>
      </c>
      <c r="E2145">
        <v>2241</v>
      </c>
      <c r="F2145" t="s">
        <v>5449</v>
      </c>
      <c r="G2145" t="s">
        <v>5450</v>
      </c>
      <c r="H2145">
        <v>1797043</v>
      </c>
      <c r="I2145">
        <v>548501</v>
      </c>
      <c r="J2145">
        <v>0.59148223992891402</v>
      </c>
      <c r="K2145">
        <v>1062919.0188885799</v>
      </c>
      <c r="L2145">
        <v>548501</v>
      </c>
      <c r="M2145">
        <v>599</v>
      </c>
    </row>
    <row r="2146" spans="1:13" ht="15">
      <c r="A2146" t="s">
        <v>3720</v>
      </c>
      <c r="B2146" s="1040" t="str">
        <f>CONCATENATE(LEFT(RIGHT(CONCATENATE("000",IFAData_TEA_1718!A2146),6),3),"-",(RIGHT(RIGHT(CONCATENATE("000",IFAData_TEA_1718!A2146),6),3)))</f>
        <v>214-901</v>
      </c>
      <c r="C2146" t="s">
        <v>2693</v>
      </c>
      <c r="D2146">
        <v>6</v>
      </c>
      <c r="E2146">
        <v>2241</v>
      </c>
      <c r="F2146" t="s">
        <v>5449</v>
      </c>
      <c r="G2146" t="s">
        <v>5451</v>
      </c>
      <c r="H2146">
        <v>1797043</v>
      </c>
      <c r="I2146">
        <v>378832</v>
      </c>
      <c r="J2146">
        <v>0.40851776007108598</v>
      </c>
      <c r="K2146">
        <v>734123.98111142404</v>
      </c>
      <c r="L2146">
        <v>378832</v>
      </c>
      <c r="M2146">
        <v>599</v>
      </c>
    </row>
    <row r="2147" spans="1:13" ht="15">
      <c r="A2147" t="s">
        <v>3720</v>
      </c>
      <c r="B2147" s="1040" t="str">
        <f>CONCATENATE(LEFT(RIGHT(CONCATENATE("000",IFAData_TEA_1718!A2147),6),3),"-",(RIGHT(RIGHT(CONCATENATE("000",IFAData_TEA_1718!A2147),6),3)))</f>
        <v>214-901</v>
      </c>
      <c r="C2147" t="s">
        <v>2693</v>
      </c>
      <c r="D2147">
        <v>7</v>
      </c>
      <c r="E2147">
        <v>2240</v>
      </c>
      <c r="F2147" t="s">
        <v>5452</v>
      </c>
      <c r="G2147" t="s">
        <v>5452</v>
      </c>
      <c r="H2147">
        <v>1469426</v>
      </c>
      <c r="I2147">
        <v>0</v>
      </c>
      <c r="J2147">
        <v>0</v>
      </c>
      <c r="K2147">
        <v>0</v>
      </c>
      <c r="L2147">
        <v>0</v>
      </c>
      <c r="M2147">
        <v>599</v>
      </c>
    </row>
    <row r="2148" spans="1:13" ht="15">
      <c r="A2148" t="s">
        <v>3720</v>
      </c>
      <c r="B2148" s="1040" t="str">
        <f>CONCATENATE(LEFT(RIGHT(CONCATENATE("000",IFAData_TEA_1718!A2148),6),3),"-",(RIGHT(RIGHT(CONCATENATE("000",IFAData_TEA_1718!A2148),6),3)))</f>
        <v>214-901</v>
      </c>
      <c r="C2148" t="s">
        <v>2693</v>
      </c>
      <c r="D2148">
        <v>7</v>
      </c>
      <c r="E2148">
        <v>2240</v>
      </c>
      <c r="F2148" t="s">
        <v>5452</v>
      </c>
      <c r="G2148" t="s">
        <v>5453</v>
      </c>
      <c r="H2148">
        <v>1469426</v>
      </c>
      <c r="I2148">
        <v>1356025</v>
      </c>
      <c r="J2148">
        <v>1</v>
      </c>
      <c r="K2148">
        <v>1469426</v>
      </c>
      <c r="L2148">
        <v>1356025</v>
      </c>
      <c r="M2148">
        <v>599</v>
      </c>
    </row>
    <row r="2149" spans="1:13" ht="15">
      <c r="A2149" t="s">
        <v>3720</v>
      </c>
      <c r="B2149" s="1040" t="str">
        <f>CONCATENATE(LEFT(RIGHT(CONCATENATE("000",IFAData_TEA_1718!A2149),6),3),"-",(RIGHT(RIGHT(CONCATENATE("000",IFAData_TEA_1718!A2149),6),3)))</f>
        <v>214-901</v>
      </c>
      <c r="C2149" t="s">
        <v>2693</v>
      </c>
      <c r="D2149">
        <v>8</v>
      </c>
      <c r="E2149">
        <v>2244</v>
      </c>
      <c r="F2149" t="s">
        <v>5454</v>
      </c>
      <c r="G2149" t="s">
        <v>5454</v>
      </c>
      <c r="H2149">
        <v>2370209</v>
      </c>
      <c r="I2149">
        <v>0</v>
      </c>
      <c r="J2149">
        <v>0</v>
      </c>
      <c r="K2149">
        <v>0</v>
      </c>
      <c r="L2149">
        <v>0</v>
      </c>
      <c r="M2149">
        <v>599</v>
      </c>
    </row>
    <row r="2150" spans="1:13" ht="15">
      <c r="A2150" t="s">
        <v>3720</v>
      </c>
      <c r="B2150" s="1040" t="str">
        <f>CONCATENATE(LEFT(RIGHT(CONCATENATE("000",IFAData_TEA_1718!A2150),6),3),"-",(RIGHT(RIGHT(CONCATENATE("000",IFAData_TEA_1718!A2150),6),3)))</f>
        <v>214-901</v>
      </c>
      <c r="C2150" t="s">
        <v>2693</v>
      </c>
      <c r="D2150">
        <v>8</v>
      </c>
      <c r="E2150">
        <v>2244</v>
      </c>
      <c r="F2150" t="s">
        <v>5454</v>
      </c>
      <c r="G2150" t="s">
        <v>6536</v>
      </c>
      <c r="H2150">
        <v>2370209</v>
      </c>
      <c r="I2150">
        <v>2119075</v>
      </c>
      <c r="J2150">
        <v>1</v>
      </c>
      <c r="K2150">
        <v>2370209</v>
      </c>
      <c r="L2150">
        <v>2119075</v>
      </c>
      <c r="M2150">
        <v>599</v>
      </c>
    </row>
    <row r="2151" spans="1:13" ht="15">
      <c r="A2151" t="s">
        <v>3720</v>
      </c>
      <c r="B2151" s="1040" t="str">
        <f>CONCATENATE(LEFT(RIGHT(CONCATENATE("000",IFAData_TEA_1718!A2151),6),3),"-",(RIGHT(RIGHT(CONCATENATE("000",IFAData_TEA_1718!A2151),6),3)))</f>
        <v>214-901</v>
      </c>
      <c r="C2151" t="s">
        <v>2693</v>
      </c>
      <c r="D2151">
        <v>10</v>
      </c>
      <c r="E2151">
        <v>2243</v>
      </c>
      <c r="F2151" t="s">
        <v>5455</v>
      </c>
      <c r="G2151" t="s">
        <v>5455</v>
      </c>
      <c r="H2151">
        <v>2133360</v>
      </c>
      <c r="I2151">
        <v>1893560</v>
      </c>
      <c r="J2151">
        <v>0.90317472431029899</v>
      </c>
      <c r="K2151">
        <v>1926796.8298546199</v>
      </c>
      <c r="L2151">
        <v>1893560</v>
      </c>
      <c r="M2151">
        <v>599</v>
      </c>
    </row>
    <row r="2152" spans="1:13" ht="15">
      <c r="A2152" t="s">
        <v>3720</v>
      </c>
      <c r="B2152" s="1040" t="str">
        <f>CONCATENATE(LEFT(RIGHT(CONCATENATE("000",IFAData_TEA_1718!A2152),6),3),"-",(RIGHT(RIGHT(CONCATENATE("000",IFAData_TEA_1718!A2152),6),3)))</f>
        <v>214-901</v>
      </c>
      <c r="C2152" t="s">
        <v>2693</v>
      </c>
      <c r="D2152">
        <v>10</v>
      </c>
      <c r="E2152">
        <v>2243</v>
      </c>
      <c r="F2152" t="s">
        <v>5455</v>
      </c>
      <c r="G2152" t="s">
        <v>8499</v>
      </c>
      <c r="H2152">
        <v>2133360</v>
      </c>
      <c r="I2152">
        <v>203000</v>
      </c>
      <c r="J2152">
        <v>9.6825275689701201E-2</v>
      </c>
      <c r="K2152">
        <v>206563.17014538101</v>
      </c>
      <c r="L2152">
        <v>203000</v>
      </c>
      <c r="M2152">
        <v>599</v>
      </c>
    </row>
    <row r="2153" spans="1:13" ht="15">
      <c r="A2153" t="s">
        <v>3721</v>
      </c>
      <c r="B2153" s="1040" t="str">
        <f>CONCATENATE(LEFT(RIGHT(CONCATENATE("000",IFAData_TEA_1718!A2153),6),3),"-",(RIGHT(RIGHT(CONCATENATE("000",IFAData_TEA_1718!A2153),6),3)))</f>
        <v>214-903</v>
      </c>
      <c r="C2153" t="s">
        <v>608</v>
      </c>
      <c r="D2153">
        <v>4</v>
      </c>
      <c r="E2153">
        <v>2262</v>
      </c>
      <c r="F2153" t="s">
        <v>5456</v>
      </c>
      <c r="G2153" t="s">
        <v>5456</v>
      </c>
      <c r="H2153">
        <v>1385266</v>
      </c>
      <c r="I2153">
        <v>0</v>
      </c>
      <c r="J2153">
        <v>0</v>
      </c>
      <c r="K2153">
        <v>0</v>
      </c>
      <c r="L2153">
        <v>0</v>
      </c>
      <c r="M2153">
        <v>599</v>
      </c>
    </row>
    <row r="2154" spans="1:13" ht="15">
      <c r="A2154" t="s">
        <v>3721</v>
      </c>
      <c r="B2154" s="1040" t="str">
        <f>CONCATENATE(LEFT(RIGHT(CONCATENATE("000",IFAData_TEA_1718!A2154),6),3),"-",(RIGHT(RIGHT(CONCATENATE("000",IFAData_TEA_1718!A2154),6),3)))</f>
        <v>214-903</v>
      </c>
      <c r="C2154" t="s">
        <v>608</v>
      </c>
      <c r="D2154">
        <v>4</v>
      </c>
      <c r="E2154">
        <v>2262</v>
      </c>
      <c r="F2154" t="s">
        <v>5456</v>
      </c>
      <c r="G2154" t="s">
        <v>5457</v>
      </c>
      <c r="H2154">
        <v>1385266</v>
      </c>
      <c r="I2154">
        <v>0</v>
      </c>
      <c r="J2154">
        <v>0</v>
      </c>
      <c r="K2154">
        <v>0</v>
      </c>
      <c r="L2154">
        <v>0</v>
      </c>
      <c r="M2154">
        <v>599</v>
      </c>
    </row>
    <row r="2155" spans="1:13" ht="15">
      <c r="A2155" t="s">
        <v>3721</v>
      </c>
      <c r="B2155" s="1040" t="str">
        <f>CONCATENATE(LEFT(RIGHT(CONCATENATE("000",IFAData_TEA_1718!A2155),6),3),"-",(RIGHT(RIGHT(CONCATENATE("000",IFAData_TEA_1718!A2155),6),3)))</f>
        <v>214-903</v>
      </c>
      <c r="C2155" t="s">
        <v>608</v>
      </c>
      <c r="D2155">
        <v>4</v>
      </c>
      <c r="E2155">
        <v>2262</v>
      </c>
      <c r="F2155" t="s">
        <v>5456</v>
      </c>
      <c r="G2155" t="s">
        <v>6325</v>
      </c>
      <c r="H2155">
        <v>1385266</v>
      </c>
      <c r="I2155">
        <v>1184750</v>
      </c>
      <c r="J2155">
        <v>1</v>
      </c>
      <c r="K2155">
        <v>1385266</v>
      </c>
      <c r="L2155">
        <v>1184750</v>
      </c>
      <c r="M2155">
        <v>599</v>
      </c>
    </row>
    <row r="2156" spans="1:13" ht="15">
      <c r="A2156" t="s">
        <v>3721</v>
      </c>
      <c r="B2156" s="1040" t="str">
        <f>CONCATENATE(LEFT(RIGHT(CONCATENATE("000",IFAData_TEA_1718!A2156),6),3),"-",(RIGHT(RIGHT(CONCATENATE("000",IFAData_TEA_1718!A2156),6),3)))</f>
        <v>214-903</v>
      </c>
      <c r="C2156" t="s">
        <v>608</v>
      </c>
      <c r="D2156">
        <v>7</v>
      </c>
      <c r="E2156">
        <v>2260</v>
      </c>
      <c r="F2156" t="s">
        <v>5458</v>
      </c>
      <c r="G2156" t="s">
        <v>5458</v>
      </c>
      <c r="H2156">
        <v>816105</v>
      </c>
      <c r="I2156">
        <v>0</v>
      </c>
      <c r="J2156">
        <v>0</v>
      </c>
      <c r="K2156">
        <v>0</v>
      </c>
      <c r="L2156">
        <v>0</v>
      </c>
      <c r="M2156">
        <v>599</v>
      </c>
    </row>
    <row r="2157" spans="1:13" ht="15">
      <c r="A2157" t="s">
        <v>3721</v>
      </c>
      <c r="B2157" s="1040" t="str">
        <f>CONCATENATE(LEFT(RIGHT(CONCATENATE("000",IFAData_TEA_1718!A2157),6),3),"-",(RIGHT(RIGHT(CONCATENATE("000",IFAData_TEA_1718!A2157),6),3)))</f>
        <v>214-903</v>
      </c>
      <c r="C2157" t="s">
        <v>608</v>
      </c>
      <c r="D2157">
        <v>7</v>
      </c>
      <c r="E2157">
        <v>2260</v>
      </c>
      <c r="F2157" t="s">
        <v>5458</v>
      </c>
      <c r="G2157" t="s">
        <v>5459</v>
      </c>
      <c r="H2157">
        <v>816105</v>
      </c>
      <c r="I2157">
        <v>738475</v>
      </c>
      <c r="J2157">
        <v>1</v>
      </c>
      <c r="K2157">
        <v>816105</v>
      </c>
      <c r="L2157">
        <v>738475</v>
      </c>
      <c r="M2157">
        <v>599</v>
      </c>
    </row>
    <row r="2158" spans="1:13" ht="15">
      <c r="A2158" t="s">
        <v>3721</v>
      </c>
      <c r="B2158" s="1040" t="str">
        <f>CONCATENATE(LEFT(RIGHT(CONCATENATE("000",IFAData_TEA_1718!A2158),6),3),"-",(RIGHT(RIGHT(CONCATENATE("000",IFAData_TEA_1718!A2158),6),3)))</f>
        <v>214-903</v>
      </c>
      <c r="C2158" t="s">
        <v>608</v>
      </c>
      <c r="D2158">
        <v>8</v>
      </c>
      <c r="E2158">
        <v>2263</v>
      </c>
      <c r="F2158" t="s">
        <v>5460</v>
      </c>
      <c r="G2158" t="s">
        <v>5460</v>
      </c>
      <c r="H2158">
        <v>1448810</v>
      </c>
      <c r="I2158">
        <v>630713</v>
      </c>
      <c r="J2158">
        <v>0.47766342803350198</v>
      </c>
      <c r="K2158">
        <v>692043.55116921803</v>
      </c>
      <c r="L2158">
        <v>630713</v>
      </c>
      <c r="M2158">
        <v>599</v>
      </c>
    </row>
    <row r="2159" spans="1:13" ht="15">
      <c r="A2159" t="s">
        <v>3721</v>
      </c>
      <c r="B2159" s="1040" t="str">
        <f>CONCATENATE(LEFT(RIGHT(CONCATENATE("000",IFAData_TEA_1718!A2159),6),3),"-",(RIGHT(RIGHT(CONCATENATE("000",IFAData_TEA_1718!A2159),6),3)))</f>
        <v>214-903</v>
      </c>
      <c r="C2159" t="s">
        <v>608</v>
      </c>
      <c r="D2159">
        <v>8</v>
      </c>
      <c r="E2159">
        <v>2263</v>
      </c>
      <c r="F2159" t="s">
        <v>5460</v>
      </c>
      <c r="G2159" t="s">
        <v>5461</v>
      </c>
      <c r="H2159">
        <v>1448810</v>
      </c>
      <c r="I2159">
        <v>355625</v>
      </c>
      <c r="J2159">
        <v>0.26932861157834698</v>
      </c>
      <c r="K2159">
        <v>390205.98574082501</v>
      </c>
      <c r="L2159">
        <v>355625</v>
      </c>
      <c r="M2159">
        <v>599</v>
      </c>
    </row>
    <row r="2160" spans="1:13" ht="15">
      <c r="A2160" t="s">
        <v>3721</v>
      </c>
      <c r="B2160" s="1040" t="str">
        <f>CONCATENATE(LEFT(RIGHT(CONCATENATE("000",IFAData_TEA_1718!A2160),6),3),"-",(RIGHT(RIGHT(CONCATENATE("000",IFAData_TEA_1718!A2160),6),3)))</f>
        <v>214-903</v>
      </c>
      <c r="C2160" t="s">
        <v>608</v>
      </c>
      <c r="D2160">
        <v>8</v>
      </c>
      <c r="E2160">
        <v>2263</v>
      </c>
      <c r="F2160" t="s">
        <v>5460</v>
      </c>
      <c r="G2160" t="s">
        <v>5462</v>
      </c>
      <c r="H2160">
        <v>1448810</v>
      </c>
      <c r="I2160">
        <v>334075</v>
      </c>
      <c r="J2160">
        <v>0.25300796038815099</v>
      </c>
      <c r="K2160">
        <v>366560.46308995702</v>
      </c>
      <c r="L2160">
        <v>334075</v>
      </c>
      <c r="M2160">
        <v>599</v>
      </c>
    </row>
    <row r="2161" spans="1:13" ht="15">
      <c r="A2161" t="s">
        <v>3721</v>
      </c>
      <c r="B2161" s="1040" t="str">
        <f>CONCATENATE(LEFT(RIGHT(CONCATENATE("000",IFAData_TEA_1718!A2161),6),3),"-",(RIGHT(RIGHT(CONCATENATE("000",IFAData_TEA_1718!A2161),6),3)))</f>
        <v>214-903</v>
      </c>
      <c r="C2161" t="s">
        <v>608</v>
      </c>
      <c r="D2161">
        <v>9</v>
      </c>
      <c r="E2161">
        <v>2261</v>
      </c>
      <c r="F2161" t="s">
        <v>5463</v>
      </c>
      <c r="G2161" t="s">
        <v>5463</v>
      </c>
      <c r="H2161">
        <v>1016430</v>
      </c>
      <c r="I2161">
        <v>400400</v>
      </c>
      <c r="J2161">
        <v>0.42901532197578501</v>
      </c>
      <c r="K2161">
        <v>436064.04371584702</v>
      </c>
      <c r="L2161">
        <v>400400</v>
      </c>
      <c r="M2161">
        <v>599</v>
      </c>
    </row>
    <row r="2162" spans="1:13" ht="15">
      <c r="A2162" t="s">
        <v>3721</v>
      </c>
      <c r="B2162" s="1040" t="str">
        <f>CONCATENATE(LEFT(RIGHT(CONCATENATE("000",IFAData_TEA_1718!A2162),6),3),"-",(RIGHT(RIGHT(CONCATENATE("000",IFAData_TEA_1718!A2162),6),3)))</f>
        <v>214-903</v>
      </c>
      <c r="C2162" t="s">
        <v>608</v>
      </c>
      <c r="D2162">
        <v>9</v>
      </c>
      <c r="E2162">
        <v>2261</v>
      </c>
      <c r="F2162" t="s">
        <v>5463</v>
      </c>
      <c r="G2162" t="s">
        <v>6537</v>
      </c>
      <c r="H2162">
        <v>1016430</v>
      </c>
      <c r="I2162">
        <v>532900</v>
      </c>
      <c r="J2162">
        <v>0.57098467802421504</v>
      </c>
      <c r="K2162">
        <v>580365.95628415304</v>
      </c>
      <c r="L2162">
        <v>532900</v>
      </c>
      <c r="M2162">
        <v>599</v>
      </c>
    </row>
    <row r="2163" spans="1:13" ht="15">
      <c r="A2163" t="s">
        <v>3721</v>
      </c>
      <c r="B2163" s="1040" t="str">
        <f>CONCATENATE(LEFT(RIGHT(CONCATENATE("000",IFAData_TEA_1718!A2163),6),3),"-",(RIGHT(RIGHT(CONCATENATE("000",IFAData_TEA_1718!A2163),6),3)))</f>
        <v>214-903</v>
      </c>
      <c r="C2163" t="s">
        <v>608</v>
      </c>
      <c r="D2163">
        <v>10</v>
      </c>
      <c r="E2163">
        <v>2259</v>
      </c>
      <c r="F2163" t="s">
        <v>5464</v>
      </c>
      <c r="G2163" t="s">
        <v>5464</v>
      </c>
      <c r="H2163">
        <v>623963</v>
      </c>
      <c r="I2163">
        <v>618862</v>
      </c>
      <c r="J2163">
        <v>1</v>
      </c>
      <c r="K2163">
        <v>623963</v>
      </c>
      <c r="L2163">
        <v>618862</v>
      </c>
      <c r="M2163">
        <v>599</v>
      </c>
    </row>
    <row r="2164" spans="1:13" ht="15">
      <c r="A2164" t="s">
        <v>3721</v>
      </c>
      <c r="B2164" s="1040" t="str">
        <f>CONCATENATE(LEFT(RIGHT(CONCATENATE("000",IFAData_TEA_1718!A2164),6),3),"-",(RIGHT(RIGHT(CONCATENATE("000",IFAData_TEA_1718!A2164),6),3)))</f>
        <v>214-903</v>
      </c>
      <c r="C2164" t="s">
        <v>608</v>
      </c>
      <c r="D2164">
        <v>11</v>
      </c>
      <c r="E2164">
        <v>2477</v>
      </c>
      <c r="F2164" t="s">
        <v>8500</v>
      </c>
      <c r="G2164" t="s">
        <v>8500</v>
      </c>
      <c r="H2164">
        <v>1318001</v>
      </c>
      <c r="I2164">
        <v>1316250</v>
      </c>
      <c r="J2164">
        <v>1</v>
      </c>
      <c r="K2164">
        <v>1318001</v>
      </c>
      <c r="L2164">
        <v>1316250</v>
      </c>
      <c r="M2164">
        <v>599</v>
      </c>
    </row>
    <row r="2165" spans="1:13" ht="15">
      <c r="A2165" t="s">
        <v>3722</v>
      </c>
      <c r="B2165" s="1040" t="str">
        <f>CONCATENATE(LEFT(RIGHT(CONCATENATE("000",IFAData_TEA_1718!A2165),6),3),"-",(RIGHT(RIGHT(CONCATENATE("000",IFAData_TEA_1718!A2165),6),3)))</f>
        <v>220-901</v>
      </c>
      <c r="C2165" t="s">
        <v>2421</v>
      </c>
      <c r="D2165">
        <v>1</v>
      </c>
      <c r="E2165">
        <v>1583</v>
      </c>
      <c r="F2165" t="s">
        <v>5465</v>
      </c>
      <c r="G2165" t="s">
        <v>5465</v>
      </c>
      <c r="H2165">
        <v>5173531</v>
      </c>
      <c r="I2165">
        <v>0</v>
      </c>
      <c r="J2165">
        <v>0</v>
      </c>
      <c r="K2165">
        <v>0</v>
      </c>
      <c r="L2165">
        <v>0</v>
      </c>
      <c r="M2165">
        <v>599</v>
      </c>
    </row>
    <row r="2166" spans="1:13" ht="15">
      <c r="A2166" t="s">
        <v>3722</v>
      </c>
      <c r="B2166" s="1040" t="str">
        <f>CONCATENATE(LEFT(RIGHT(CONCATENATE("000",IFAData_TEA_1718!A2166),6),3),"-",(RIGHT(RIGHT(CONCATENATE("000",IFAData_TEA_1718!A2166),6),3)))</f>
        <v>220-901</v>
      </c>
      <c r="C2166" t="s">
        <v>2421</v>
      </c>
      <c r="D2166">
        <v>1</v>
      </c>
      <c r="E2166">
        <v>1583</v>
      </c>
      <c r="F2166" t="s">
        <v>5465</v>
      </c>
      <c r="G2166" t="s">
        <v>5466</v>
      </c>
      <c r="H2166">
        <v>5173531</v>
      </c>
      <c r="I2166">
        <v>0</v>
      </c>
      <c r="J2166">
        <v>0</v>
      </c>
      <c r="K2166">
        <v>0</v>
      </c>
      <c r="L2166">
        <v>0</v>
      </c>
      <c r="M2166">
        <v>599</v>
      </c>
    </row>
    <row r="2167" spans="1:13" ht="15">
      <c r="A2167" t="s">
        <v>3722</v>
      </c>
      <c r="B2167" s="1040" t="str">
        <f>CONCATENATE(LEFT(RIGHT(CONCATENATE("000",IFAData_TEA_1718!A2167),6),3),"-",(RIGHT(RIGHT(CONCATENATE("000",IFAData_TEA_1718!A2167),6),3)))</f>
        <v>220-901</v>
      </c>
      <c r="C2167" t="s">
        <v>2421</v>
      </c>
      <c r="D2167">
        <v>1</v>
      </c>
      <c r="E2167">
        <v>1583</v>
      </c>
      <c r="F2167" t="s">
        <v>5465</v>
      </c>
      <c r="G2167" t="s">
        <v>5467</v>
      </c>
      <c r="H2167">
        <v>5173531</v>
      </c>
      <c r="I2167">
        <v>337135</v>
      </c>
      <c r="J2167">
        <v>1</v>
      </c>
      <c r="K2167">
        <v>5173531</v>
      </c>
      <c r="L2167">
        <v>337135</v>
      </c>
      <c r="M2167">
        <v>599</v>
      </c>
    </row>
    <row r="2168" spans="1:13" ht="15">
      <c r="A2168" t="s">
        <v>3722</v>
      </c>
      <c r="B2168" s="1040" t="str">
        <f>CONCATENATE(LEFT(RIGHT(CONCATENATE("000",IFAData_TEA_1718!A2168),6),3),"-",(RIGHT(RIGHT(CONCATENATE("000",IFAData_TEA_1718!A2168),6),3)))</f>
        <v>220-901</v>
      </c>
      <c r="C2168" t="s">
        <v>2421</v>
      </c>
      <c r="D2168">
        <v>1</v>
      </c>
      <c r="E2168">
        <v>1583</v>
      </c>
      <c r="F2168" t="s">
        <v>5465</v>
      </c>
      <c r="G2168" t="s">
        <v>5468</v>
      </c>
      <c r="H2168">
        <v>5173531</v>
      </c>
      <c r="I2168">
        <v>0</v>
      </c>
      <c r="J2168">
        <v>0</v>
      </c>
      <c r="K2168">
        <v>0</v>
      </c>
      <c r="L2168">
        <v>0</v>
      </c>
      <c r="M2168">
        <v>599</v>
      </c>
    </row>
    <row r="2169" spans="1:13" ht="15">
      <c r="A2169" t="s">
        <v>3723</v>
      </c>
      <c r="B2169" s="1040" t="str">
        <f>CONCATENATE(LEFT(RIGHT(CONCATENATE("000",IFAData_TEA_1718!A2169),6),3),"-",(RIGHT(RIGHT(CONCATENATE("000",IFAData_TEA_1718!A2169),6),3)))</f>
        <v>220-902</v>
      </c>
      <c r="C2169" t="s">
        <v>797</v>
      </c>
      <c r="D2169">
        <v>1</v>
      </c>
      <c r="E2169">
        <v>1609</v>
      </c>
      <c r="F2169" t="s">
        <v>5469</v>
      </c>
      <c r="G2169" t="s">
        <v>5469</v>
      </c>
      <c r="H2169">
        <v>796895</v>
      </c>
      <c r="I2169">
        <v>0</v>
      </c>
      <c r="J2169">
        <v>0</v>
      </c>
      <c r="K2169"/>
      <c r="L2169">
        <v>0</v>
      </c>
      <c r="M2169">
        <v>599</v>
      </c>
    </row>
    <row r="2170" spans="1:13" ht="15">
      <c r="A2170" t="s">
        <v>3723</v>
      </c>
      <c r="B2170" s="1040" t="str">
        <f>CONCATENATE(LEFT(RIGHT(CONCATENATE("000",IFAData_TEA_1718!A2170),6),3),"-",(RIGHT(RIGHT(CONCATENATE("000",IFAData_TEA_1718!A2170),6),3)))</f>
        <v>220-902</v>
      </c>
      <c r="C2170" t="s">
        <v>797</v>
      </c>
      <c r="D2170">
        <v>1</v>
      </c>
      <c r="E2170">
        <v>1611</v>
      </c>
      <c r="F2170" t="s">
        <v>5474</v>
      </c>
      <c r="G2170" t="s">
        <v>5474</v>
      </c>
      <c r="H2170">
        <v>1775156</v>
      </c>
      <c r="I2170">
        <v>0</v>
      </c>
      <c r="J2170">
        <v>0</v>
      </c>
      <c r="K2170"/>
      <c r="L2170">
        <v>0</v>
      </c>
      <c r="M2170">
        <v>599</v>
      </c>
    </row>
    <row r="2171" spans="1:13" ht="15">
      <c r="A2171" t="s">
        <v>3723</v>
      </c>
      <c r="B2171" s="1040" t="str">
        <f>CONCATENATE(LEFT(RIGHT(CONCATENATE("000",IFAData_TEA_1718!A2171),6),3),"-",(RIGHT(RIGHT(CONCATENATE("000",IFAData_TEA_1718!A2171),6),3)))</f>
        <v>220-902</v>
      </c>
      <c r="C2171" t="s">
        <v>797</v>
      </c>
      <c r="D2171">
        <v>9</v>
      </c>
      <c r="E2171">
        <v>1612</v>
      </c>
      <c r="F2171" t="s">
        <v>5476</v>
      </c>
      <c r="G2171" t="s">
        <v>5476</v>
      </c>
      <c r="H2171">
        <v>3559977</v>
      </c>
      <c r="I2171">
        <v>0</v>
      </c>
      <c r="J2171">
        <v>0</v>
      </c>
      <c r="K2171">
        <v>0</v>
      </c>
      <c r="L2171">
        <v>0</v>
      </c>
      <c r="M2171">
        <v>599</v>
      </c>
    </row>
    <row r="2172" spans="1:13" ht="15">
      <c r="A2172" t="s">
        <v>3723</v>
      </c>
      <c r="B2172" s="1040" t="str">
        <f>CONCATENATE(LEFT(RIGHT(CONCATENATE("000",IFAData_TEA_1718!A2172),6),3),"-",(RIGHT(RIGHT(CONCATENATE("000",IFAData_TEA_1718!A2172),6),3)))</f>
        <v>220-902</v>
      </c>
      <c r="C2172" t="s">
        <v>797</v>
      </c>
      <c r="D2172">
        <v>9</v>
      </c>
      <c r="E2172">
        <v>1612</v>
      </c>
      <c r="F2172" t="s">
        <v>5476</v>
      </c>
      <c r="G2172" t="s">
        <v>5477</v>
      </c>
      <c r="H2172">
        <v>3559977</v>
      </c>
      <c r="I2172">
        <v>3583522</v>
      </c>
      <c r="J2172">
        <v>1</v>
      </c>
      <c r="K2172">
        <v>3559977</v>
      </c>
      <c r="L2172">
        <v>3559977</v>
      </c>
      <c r="M2172">
        <v>599</v>
      </c>
    </row>
    <row r="2173" spans="1:13" ht="15">
      <c r="A2173" t="s">
        <v>3723</v>
      </c>
      <c r="B2173" s="1040" t="str">
        <f>CONCATENATE(LEFT(RIGHT(CONCATENATE("000",IFAData_TEA_1718!A2173),6),3),"-",(RIGHT(RIGHT(CONCATENATE("000",IFAData_TEA_1718!A2173),6),3)))</f>
        <v>220-902</v>
      </c>
      <c r="C2173" t="s">
        <v>797</v>
      </c>
      <c r="D2173">
        <v>9</v>
      </c>
      <c r="E2173">
        <v>1610</v>
      </c>
      <c r="F2173" t="s">
        <v>5472</v>
      </c>
      <c r="G2173" t="s">
        <v>5472</v>
      </c>
      <c r="H2173">
        <v>1653470</v>
      </c>
      <c r="I2173">
        <v>886317</v>
      </c>
      <c r="J2173">
        <v>0.23597873117071999</v>
      </c>
      <c r="K2173">
        <v>390183.75262885098</v>
      </c>
      <c r="L2173">
        <v>390183.75262885098</v>
      </c>
      <c r="M2173">
        <v>599</v>
      </c>
    </row>
    <row r="2174" spans="1:13" ht="15">
      <c r="A2174" t="s">
        <v>3723</v>
      </c>
      <c r="B2174" s="1040" t="str">
        <f>CONCATENATE(LEFT(RIGHT(CONCATENATE("000",IFAData_TEA_1718!A2174),6),3),"-",(RIGHT(RIGHT(CONCATENATE("000",IFAData_TEA_1718!A2174),6),3)))</f>
        <v>220-902</v>
      </c>
      <c r="C2174" t="s">
        <v>797</v>
      </c>
      <c r="D2174">
        <v>9</v>
      </c>
      <c r="E2174">
        <v>1610</v>
      </c>
      <c r="F2174" t="s">
        <v>5472</v>
      </c>
      <c r="G2174" t="s">
        <v>6326</v>
      </c>
      <c r="H2174">
        <v>1653470</v>
      </c>
      <c r="I2174">
        <v>2869602</v>
      </c>
      <c r="J2174">
        <v>0.76402126882928001</v>
      </c>
      <c r="K2174">
        <v>1263286.2473711499</v>
      </c>
      <c r="L2174">
        <v>1263286.2473711499</v>
      </c>
      <c r="M2174">
        <v>599</v>
      </c>
    </row>
    <row r="2175" spans="1:13" ht="15">
      <c r="A2175" t="s">
        <v>3723</v>
      </c>
      <c r="B2175" s="1040" t="str">
        <f>CONCATENATE(LEFT(RIGHT(CONCATENATE("000",IFAData_TEA_1718!A2175),6),3),"-",(RIGHT(RIGHT(CONCATENATE("000",IFAData_TEA_1718!A2175),6),3)))</f>
        <v>220-902</v>
      </c>
      <c r="C2175" t="s">
        <v>797</v>
      </c>
      <c r="D2175">
        <v>11</v>
      </c>
      <c r="E2175">
        <v>2549</v>
      </c>
      <c r="F2175" t="s">
        <v>8501</v>
      </c>
      <c r="G2175" t="s">
        <v>8501</v>
      </c>
      <c r="H2175">
        <v>1621471</v>
      </c>
      <c r="I2175">
        <v>2598396</v>
      </c>
      <c r="J2175">
        <v>1</v>
      </c>
      <c r="K2175">
        <v>1621471</v>
      </c>
      <c r="L2175">
        <v>1621471</v>
      </c>
      <c r="M2175">
        <v>599</v>
      </c>
    </row>
    <row r="2176" spans="1:13" ht="15">
      <c r="A2176" t="s">
        <v>3724</v>
      </c>
      <c r="B2176" s="1040" t="str">
        <f>CONCATENATE(LEFT(RIGHT(CONCATENATE("000",IFAData_TEA_1718!A2176),6),3),"-",(RIGHT(RIGHT(CONCATENATE("000",IFAData_TEA_1718!A2176),6),3)))</f>
        <v>220-904</v>
      </c>
      <c r="C2176" t="s">
        <v>2568</v>
      </c>
      <c r="D2176">
        <v>9</v>
      </c>
      <c r="E2176">
        <v>1804</v>
      </c>
      <c r="F2176" t="s">
        <v>5478</v>
      </c>
      <c r="G2176" t="s">
        <v>5478</v>
      </c>
      <c r="H2176">
        <v>784151</v>
      </c>
      <c r="I2176">
        <v>0</v>
      </c>
      <c r="J2176">
        <v>0</v>
      </c>
      <c r="K2176">
        <v>0</v>
      </c>
      <c r="L2176">
        <v>0</v>
      </c>
      <c r="M2176">
        <v>599</v>
      </c>
    </row>
    <row r="2177" spans="1:13" ht="15">
      <c r="A2177" t="s">
        <v>3724</v>
      </c>
      <c r="B2177" s="1040" t="str">
        <f>CONCATENATE(LEFT(RIGHT(CONCATENATE("000",IFAData_TEA_1718!A2177),6),3),"-",(RIGHT(RIGHT(CONCATENATE("000",IFAData_TEA_1718!A2177),6),3)))</f>
        <v>220-904</v>
      </c>
      <c r="C2177" t="s">
        <v>2568</v>
      </c>
      <c r="D2177">
        <v>9</v>
      </c>
      <c r="E2177">
        <v>1804</v>
      </c>
      <c r="F2177" t="s">
        <v>5478</v>
      </c>
      <c r="G2177" t="s">
        <v>5479</v>
      </c>
      <c r="H2177">
        <v>784151</v>
      </c>
      <c r="I2177">
        <v>385713</v>
      </c>
      <c r="J2177">
        <v>0.53849171557650299</v>
      </c>
      <c r="K2177">
        <v>422258.81726103101</v>
      </c>
      <c r="L2177">
        <v>385713</v>
      </c>
      <c r="M2177">
        <v>599</v>
      </c>
    </row>
    <row r="2178" spans="1:13" ht="15">
      <c r="A2178" t="s">
        <v>3724</v>
      </c>
      <c r="B2178" s="1040" t="str">
        <f>CONCATENATE(LEFT(RIGHT(CONCATENATE("000",IFAData_TEA_1718!A2178),6),3),"-",(RIGHT(RIGHT(CONCATENATE("000",IFAData_TEA_1718!A2178),6),3)))</f>
        <v>220-904</v>
      </c>
      <c r="C2178" t="s">
        <v>2568</v>
      </c>
      <c r="D2178">
        <v>9</v>
      </c>
      <c r="E2178">
        <v>1804</v>
      </c>
      <c r="F2178" t="s">
        <v>5478</v>
      </c>
      <c r="G2178" t="s">
        <v>6327</v>
      </c>
      <c r="H2178">
        <v>784151</v>
      </c>
      <c r="I2178">
        <v>330571</v>
      </c>
      <c r="J2178">
        <v>0.46150828442349701</v>
      </c>
      <c r="K2178">
        <v>361892.18273896899</v>
      </c>
      <c r="L2178">
        <v>330571</v>
      </c>
      <c r="M2178">
        <v>599</v>
      </c>
    </row>
    <row r="2179" spans="1:13" ht="15">
      <c r="A2179" t="s">
        <v>3724</v>
      </c>
      <c r="B2179" s="1040" t="str">
        <f>CONCATENATE(LEFT(RIGHT(CONCATENATE("000",IFAData_TEA_1718!A2179),6),3),"-",(RIGHT(RIGHT(CONCATENATE("000",IFAData_TEA_1718!A2179),6),3)))</f>
        <v>220-904</v>
      </c>
      <c r="C2179" t="s">
        <v>2568</v>
      </c>
      <c r="D2179">
        <v>9</v>
      </c>
      <c r="E2179">
        <v>1803</v>
      </c>
      <c r="F2179" t="s">
        <v>5480</v>
      </c>
      <c r="G2179" t="s">
        <v>5480</v>
      </c>
      <c r="H2179">
        <v>357599</v>
      </c>
      <c r="I2179">
        <v>450482</v>
      </c>
      <c r="J2179">
        <v>0.32446078297207898</v>
      </c>
      <c r="K2179">
        <v>116026.851530032</v>
      </c>
      <c r="L2179">
        <v>116026.851530032</v>
      </c>
      <c r="M2179">
        <v>599</v>
      </c>
    </row>
    <row r="2180" spans="1:13" ht="15">
      <c r="A2180" t="s">
        <v>3724</v>
      </c>
      <c r="B2180" s="1040" t="str">
        <f>CONCATENATE(LEFT(RIGHT(CONCATENATE("000",IFAData_TEA_1718!A2180),6),3),"-",(RIGHT(RIGHT(CONCATENATE("000",IFAData_TEA_1718!A2180),6),3)))</f>
        <v>220-904</v>
      </c>
      <c r="C2180" t="s">
        <v>2568</v>
      </c>
      <c r="D2180">
        <v>9</v>
      </c>
      <c r="E2180">
        <v>1803</v>
      </c>
      <c r="F2180" t="s">
        <v>5480</v>
      </c>
      <c r="G2180" t="s">
        <v>8502</v>
      </c>
      <c r="H2180">
        <v>357599</v>
      </c>
      <c r="I2180">
        <v>937920</v>
      </c>
      <c r="J2180">
        <v>0.67553921702792097</v>
      </c>
      <c r="K2180">
        <v>241572.148469968</v>
      </c>
      <c r="L2180">
        <v>241572.148469968</v>
      </c>
      <c r="M2180">
        <v>599</v>
      </c>
    </row>
    <row r="2181" spans="1:13" ht="15">
      <c r="A2181" t="s">
        <v>3724</v>
      </c>
      <c r="B2181" s="1040" t="str">
        <f>CONCATENATE(LEFT(RIGHT(CONCATENATE("000",IFAData_TEA_1718!A2181),6),3),"-",(RIGHT(RIGHT(CONCATENATE("000",IFAData_TEA_1718!A2181),6),3)))</f>
        <v>220-904</v>
      </c>
      <c r="C2181" t="s">
        <v>2568</v>
      </c>
      <c r="D2181">
        <v>11</v>
      </c>
      <c r="E2181">
        <v>2493</v>
      </c>
      <c r="F2181" t="s">
        <v>8503</v>
      </c>
      <c r="G2181" t="s">
        <v>8503</v>
      </c>
      <c r="H2181">
        <v>1307135</v>
      </c>
      <c r="I2181">
        <v>2056151</v>
      </c>
      <c r="J2181">
        <v>1</v>
      </c>
      <c r="K2181">
        <v>1307135</v>
      </c>
      <c r="L2181">
        <v>1307135</v>
      </c>
      <c r="M2181">
        <v>599</v>
      </c>
    </row>
    <row r="2182" spans="1:13" ht="15">
      <c r="A2182" t="s">
        <v>3725</v>
      </c>
      <c r="B2182" s="1040" t="str">
        <f>CONCATENATE(LEFT(RIGHT(CONCATENATE("000",IFAData_TEA_1718!A2182),6),3),"-",(RIGHT(RIGHT(CONCATENATE("000",IFAData_TEA_1718!A2182),6),3)))</f>
        <v>220-907</v>
      </c>
      <c r="C2182" t="s">
        <v>412</v>
      </c>
      <c r="D2182">
        <v>2</v>
      </c>
      <c r="E2182">
        <v>1950</v>
      </c>
      <c r="F2182" t="s">
        <v>5481</v>
      </c>
      <c r="G2182" t="s">
        <v>5481</v>
      </c>
      <c r="H2182">
        <v>1280601</v>
      </c>
      <c r="I2182">
        <v>0</v>
      </c>
      <c r="J2182">
        <v>0</v>
      </c>
      <c r="K2182">
        <v>0</v>
      </c>
      <c r="L2182">
        <v>0</v>
      </c>
      <c r="M2182">
        <v>599</v>
      </c>
    </row>
    <row r="2183" spans="1:13" ht="15">
      <c r="A2183" t="s">
        <v>3725</v>
      </c>
      <c r="B2183" s="1040" t="str">
        <f>CONCATENATE(LEFT(RIGHT(CONCATENATE("000",IFAData_TEA_1718!A2183),6),3),"-",(RIGHT(RIGHT(CONCATENATE("000",IFAData_TEA_1718!A2183),6),3)))</f>
        <v>220-907</v>
      </c>
      <c r="C2183" t="s">
        <v>412</v>
      </c>
      <c r="D2183">
        <v>2</v>
      </c>
      <c r="E2183">
        <v>1950</v>
      </c>
      <c r="F2183" t="s">
        <v>5481</v>
      </c>
      <c r="G2183" t="s">
        <v>5482</v>
      </c>
      <c r="H2183">
        <v>1280601</v>
      </c>
      <c r="I2183">
        <v>0</v>
      </c>
      <c r="J2183">
        <v>0</v>
      </c>
      <c r="K2183">
        <v>0</v>
      </c>
      <c r="L2183">
        <v>0</v>
      </c>
      <c r="M2183">
        <v>599</v>
      </c>
    </row>
    <row r="2184" spans="1:13" ht="15">
      <c r="A2184" t="s">
        <v>3725</v>
      </c>
      <c r="B2184" s="1040" t="str">
        <f>CONCATENATE(LEFT(RIGHT(CONCATENATE("000",IFAData_TEA_1718!A2184),6),3),"-",(RIGHT(RIGHT(CONCATENATE("000",IFAData_TEA_1718!A2184),6),3)))</f>
        <v>220-907</v>
      </c>
      <c r="C2184" t="s">
        <v>412</v>
      </c>
      <c r="D2184">
        <v>2</v>
      </c>
      <c r="E2184">
        <v>1950</v>
      </c>
      <c r="F2184" t="s">
        <v>5481</v>
      </c>
      <c r="G2184" t="s">
        <v>5483</v>
      </c>
      <c r="H2184">
        <v>1280601</v>
      </c>
      <c r="I2184">
        <v>0</v>
      </c>
      <c r="J2184">
        <v>0</v>
      </c>
      <c r="K2184">
        <v>0</v>
      </c>
      <c r="L2184">
        <v>0</v>
      </c>
      <c r="M2184">
        <v>599</v>
      </c>
    </row>
    <row r="2185" spans="1:13" ht="15">
      <c r="A2185" t="s">
        <v>3725</v>
      </c>
      <c r="B2185" s="1040" t="str">
        <f>CONCATENATE(LEFT(RIGHT(CONCATENATE("000",IFAData_TEA_1718!A2185),6),3),"-",(RIGHT(RIGHT(CONCATENATE("000",IFAData_TEA_1718!A2185),6),3)))</f>
        <v>220-907</v>
      </c>
      <c r="C2185" t="s">
        <v>412</v>
      </c>
      <c r="D2185">
        <v>2</v>
      </c>
      <c r="E2185">
        <v>1950</v>
      </c>
      <c r="F2185" t="s">
        <v>5481</v>
      </c>
      <c r="G2185" t="s">
        <v>5484</v>
      </c>
      <c r="H2185">
        <v>1280601</v>
      </c>
      <c r="I2185">
        <v>0</v>
      </c>
      <c r="J2185">
        <v>0</v>
      </c>
      <c r="K2185">
        <v>0</v>
      </c>
      <c r="L2185">
        <v>0</v>
      </c>
      <c r="M2185">
        <v>599</v>
      </c>
    </row>
    <row r="2186" spans="1:13" ht="15">
      <c r="A2186" t="s">
        <v>3725</v>
      </c>
      <c r="B2186" s="1040" t="str">
        <f>CONCATENATE(LEFT(RIGHT(CONCATENATE("000",IFAData_TEA_1718!A2186),6),3),"-",(RIGHT(RIGHT(CONCATENATE("000",IFAData_TEA_1718!A2186),6),3)))</f>
        <v>220-907</v>
      </c>
      <c r="C2186" t="s">
        <v>412</v>
      </c>
      <c r="D2186">
        <v>2</v>
      </c>
      <c r="E2186">
        <v>1950</v>
      </c>
      <c r="F2186" t="s">
        <v>5481</v>
      </c>
      <c r="G2186" t="s">
        <v>5485</v>
      </c>
      <c r="H2186">
        <v>1280601</v>
      </c>
      <c r="I2186">
        <v>0</v>
      </c>
      <c r="J2186">
        <v>0</v>
      </c>
      <c r="K2186">
        <v>0</v>
      </c>
      <c r="L2186">
        <v>0</v>
      </c>
      <c r="M2186">
        <v>599</v>
      </c>
    </row>
    <row r="2187" spans="1:13" ht="15">
      <c r="A2187" t="s">
        <v>3725</v>
      </c>
      <c r="B2187" s="1040" t="str">
        <f>CONCATENATE(LEFT(RIGHT(CONCATENATE("000",IFAData_TEA_1718!A2187),6),3),"-",(RIGHT(RIGHT(CONCATENATE("000",IFAData_TEA_1718!A2187),6),3)))</f>
        <v>220-907</v>
      </c>
      <c r="C2187" t="s">
        <v>412</v>
      </c>
      <c r="D2187">
        <v>2</v>
      </c>
      <c r="E2187">
        <v>1950</v>
      </c>
      <c r="F2187" t="s">
        <v>5481</v>
      </c>
      <c r="G2187" t="s">
        <v>5486</v>
      </c>
      <c r="H2187">
        <v>1280601</v>
      </c>
      <c r="I2187">
        <v>0</v>
      </c>
      <c r="J2187">
        <v>0</v>
      </c>
      <c r="K2187">
        <v>0</v>
      </c>
      <c r="L2187">
        <v>0</v>
      </c>
      <c r="M2187">
        <v>599</v>
      </c>
    </row>
    <row r="2188" spans="1:13" ht="15">
      <c r="A2188" t="s">
        <v>3725</v>
      </c>
      <c r="B2188" s="1040" t="str">
        <f>CONCATENATE(LEFT(RIGHT(CONCATENATE("000",IFAData_TEA_1718!A2188),6),3),"-",(RIGHT(RIGHT(CONCATENATE("000",IFAData_TEA_1718!A2188),6),3)))</f>
        <v>220-907</v>
      </c>
      <c r="C2188" t="s">
        <v>412</v>
      </c>
      <c r="D2188">
        <v>2</v>
      </c>
      <c r="E2188">
        <v>1950</v>
      </c>
      <c r="F2188" t="s">
        <v>5481</v>
      </c>
      <c r="G2188" t="s">
        <v>5487</v>
      </c>
      <c r="H2188">
        <v>1280601</v>
      </c>
      <c r="I2188">
        <v>361019</v>
      </c>
      <c r="J2188">
        <v>0.143967462673116</v>
      </c>
      <c r="K2188">
        <v>184364.87666665501</v>
      </c>
      <c r="L2188">
        <v>184364.87666665501</v>
      </c>
      <c r="M2188">
        <v>599</v>
      </c>
    </row>
    <row r="2189" spans="1:13" ht="15">
      <c r="A2189" t="s">
        <v>3725</v>
      </c>
      <c r="B2189" s="1040" t="str">
        <f>CONCATENATE(LEFT(RIGHT(CONCATENATE("000",IFAData_TEA_1718!A2189),6),3),"-",(RIGHT(RIGHT(CONCATENATE("000",IFAData_TEA_1718!A2189),6),3)))</f>
        <v>220-907</v>
      </c>
      <c r="C2189" t="s">
        <v>412</v>
      </c>
      <c r="D2189">
        <v>2</v>
      </c>
      <c r="E2189">
        <v>1950</v>
      </c>
      <c r="F2189" t="s">
        <v>5481</v>
      </c>
      <c r="G2189" t="s">
        <v>5488</v>
      </c>
      <c r="H2189">
        <v>1280601</v>
      </c>
      <c r="I2189">
        <v>474027</v>
      </c>
      <c r="J2189">
        <v>0.18903288865281101</v>
      </c>
      <c r="K2189">
        <v>242075.70624167801</v>
      </c>
      <c r="L2189">
        <v>242075.70624167801</v>
      </c>
      <c r="M2189">
        <v>599</v>
      </c>
    </row>
    <row r="2190" spans="1:13" ht="15">
      <c r="A2190" t="s">
        <v>3725</v>
      </c>
      <c r="B2190" s="1040" t="str">
        <f>CONCATENATE(LEFT(RIGHT(CONCATENATE("000",IFAData_TEA_1718!A2190),6),3),"-",(RIGHT(RIGHT(CONCATENATE("000",IFAData_TEA_1718!A2190),6),3)))</f>
        <v>220-907</v>
      </c>
      <c r="C2190" t="s">
        <v>412</v>
      </c>
      <c r="D2190">
        <v>2</v>
      </c>
      <c r="E2190">
        <v>1950</v>
      </c>
      <c r="F2190" t="s">
        <v>5481</v>
      </c>
      <c r="G2190" t="s">
        <v>5489</v>
      </c>
      <c r="H2190">
        <v>1280601</v>
      </c>
      <c r="I2190">
        <v>0</v>
      </c>
      <c r="J2190">
        <v>0</v>
      </c>
      <c r="K2190">
        <v>0</v>
      </c>
      <c r="L2190">
        <v>0</v>
      </c>
      <c r="M2190">
        <v>599</v>
      </c>
    </row>
    <row r="2191" spans="1:13" ht="15">
      <c r="A2191" t="s">
        <v>3725</v>
      </c>
      <c r="B2191" s="1040" t="str">
        <f>CONCATENATE(LEFT(RIGHT(CONCATENATE("000",IFAData_TEA_1718!A2191),6),3),"-",(RIGHT(RIGHT(CONCATENATE("000",IFAData_TEA_1718!A2191),6),3)))</f>
        <v>220-907</v>
      </c>
      <c r="C2191" t="s">
        <v>412</v>
      </c>
      <c r="D2191">
        <v>2</v>
      </c>
      <c r="E2191">
        <v>1950</v>
      </c>
      <c r="F2191" t="s">
        <v>5481</v>
      </c>
      <c r="G2191" t="s">
        <v>5490</v>
      </c>
      <c r="H2191">
        <v>1280601</v>
      </c>
      <c r="I2191">
        <v>0</v>
      </c>
      <c r="J2191">
        <v>0</v>
      </c>
      <c r="K2191">
        <v>0</v>
      </c>
      <c r="L2191">
        <v>0</v>
      </c>
      <c r="M2191">
        <v>599</v>
      </c>
    </row>
    <row r="2192" spans="1:13" ht="15">
      <c r="A2192" t="s">
        <v>3725</v>
      </c>
      <c r="B2192" s="1040" t="str">
        <f>CONCATENATE(LEFT(RIGHT(CONCATENATE("000",IFAData_TEA_1718!A2192),6),3),"-",(RIGHT(RIGHT(CONCATENATE("000",IFAData_TEA_1718!A2192),6),3)))</f>
        <v>220-907</v>
      </c>
      <c r="C2192" t="s">
        <v>412</v>
      </c>
      <c r="D2192">
        <v>2</v>
      </c>
      <c r="E2192">
        <v>1950</v>
      </c>
      <c r="F2192" t="s">
        <v>5481</v>
      </c>
      <c r="G2192" t="s">
        <v>5491</v>
      </c>
      <c r="H2192">
        <v>1280601</v>
      </c>
      <c r="I2192">
        <v>0</v>
      </c>
      <c r="J2192">
        <v>0</v>
      </c>
      <c r="K2192">
        <v>0</v>
      </c>
      <c r="L2192">
        <v>0</v>
      </c>
      <c r="M2192">
        <v>599</v>
      </c>
    </row>
    <row r="2193" spans="1:13" ht="15">
      <c r="A2193" t="s">
        <v>3725</v>
      </c>
      <c r="B2193" s="1040" t="str">
        <f>CONCATENATE(LEFT(RIGHT(CONCATENATE("000",IFAData_TEA_1718!A2193),6),3),"-",(RIGHT(RIGHT(CONCATENATE("000",IFAData_TEA_1718!A2193),6),3)))</f>
        <v>220-907</v>
      </c>
      <c r="C2193" t="s">
        <v>412</v>
      </c>
      <c r="D2193">
        <v>2</v>
      </c>
      <c r="E2193">
        <v>1950</v>
      </c>
      <c r="F2193" t="s">
        <v>5481</v>
      </c>
      <c r="G2193" t="s">
        <v>5492</v>
      </c>
      <c r="H2193">
        <v>1280601</v>
      </c>
      <c r="I2193">
        <v>0</v>
      </c>
      <c r="J2193">
        <v>0</v>
      </c>
      <c r="K2193">
        <v>0</v>
      </c>
      <c r="L2193">
        <v>0</v>
      </c>
      <c r="M2193">
        <v>599</v>
      </c>
    </row>
    <row r="2194" spans="1:13" ht="15">
      <c r="A2194" t="s">
        <v>3725</v>
      </c>
      <c r="B2194" s="1040" t="str">
        <f>CONCATENATE(LEFT(RIGHT(CONCATENATE("000",IFAData_TEA_1718!A2194),6),3),"-",(RIGHT(RIGHT(CONCATENATE("000",IFAData_TEA_1718!A2194),6),3)))</f>
        <v>220-907</v>
      </c>
      <c r="C2194" t="s">
        <v>412</v>
      </c>
      <c r="D2194">
        <v>2</v>
      </c>
      <c r="E2194">
        <v>1950</v>
      </c>
      <c r="F2194" t="s">
        <v>5481</v>
      </c>
      <c r="G2194" t="s">
        <v>5493</v>
      </c>
      <c r="H2194">
        <v>1280601</v>
      </c>
      <c r="I2194">
        <v>376216</v>
      </c>
      <c r="J2194">
        <v>0.15002773520792201</v>
      </c>
      <c r="K2194">
        <v>192125.66773500101</v>
      </c>
      <c r="L2194">
        <v>192125.66773500101</v>
      </c>
      <c r="M2194">
        <v>599</v>
      </c>
    </row>
    <row r="2195" spans="1:13" ht="15">
      <c r="A2195" t="s">
        <v>3725</v>
      </c>
      <c r="B2195" s="1040" t="str">
        <f>CONCATENATE(LEFT(RIGHT(CONCATENATE("000",IFAData_TEA_1718!A2195),6),3),"-",(RIGHT(RIGHT(CONCATENATE("000",IFAData_TEA_1718!A2195),6),3)))</f>
        <v>220-907</v>
      </c>
      <c r="C2195" t="s">
        <v>412</v>
      </c>
      <c r="D2195">
        <v>2</v>
      </c>
      <c r="E2195">
        <v>1950</v>
      </c>
      <c r="F2195" t="s">
        <v>5481</v>
      </c>
      <c r="G2195" t="s">
        <v>6329</v>
      </c>
      <c r="H2195">
        <v>1280601</v>
      </c>
      <c r="I2195">
        <v>136065</v>
      </c>
      <c r="J2195">
        <v>5.4260115973446002E-2</v>
      </c>
      <c r="K2195">
        <v>69485.558775710902</v>
      </c>
      <c r="L2195">
        <v>69485.558775710902</v>
      </c>
      <c r="M2195">
        <v>599</v>
      </c>
    </row>
    <row r="2196" spans="1:13" ht="15">
      <c r="A2196" t="s">
        <v>3725</v>
      </c>
      <c r="B2196" s="1040" t="str">
        <f>CONCATENATE(LEFT(RIGHT(CONCATENATE("000",IFAData_TEA_1718!A2196),6),3),"-",(RIGHT(RIGHT(CONCATENATE("000",IFAData_TEA_1718!A2196),6),3)))</f>
        <v>220-907</v>
      </c>
      <c r="C2196" t="s">
        <v>412</v>
      </c>
      <c r="D2196">
        <v>2</v>
      </c>
      <c r="E2196">
        <v>1950</v>
      </c>
      <c r="F2196" t="s">
        <v>5481</v>
      </c>
      <c r="G2196" t="s">
        <v>6539</v>
      </c>
      <c r="H2196">
        <v>1280601</v>
      </c>
      <c r="I2196">
        <v>6201</v>
      </c>
      <c r="J2196">
        <v>2.47284003344974E-3</v>
      </c>
      <c r="K2196">
        <v>3166.72141967577</v>
      </c>
      <c r="L2196">
        <v>3166.72141967577</v>
      </c>
      <c r="M2196">
        <v>599</v>
      </c>
    </row>
    <row r="2197" spans="1:13" ht="15">
      <c r="A2197" t="s">
        <v>3725</v>
      </c>
      <c r="B2197" s="1040" t="str">
        <f>CONCATENATE(LEFT(RIGHT(CONCATENATE("000",IFAData_TEA_1718!A2197),6),3),"-",(RIGHT(RIGHT(CONCATENATE("000",IFAData_TEA_1718!A2197),6),3)))</f>
        <v>220-907</v>
      </c>
      <c r="C2197" t="s">
        <v>412</v>
      </c>
      <c r="D2197">
        <v>2</v>
      </c>
      <c r="E2197">
        <v>1950</v>
      </c>
      <c r="F2197" t="s">
        <v>5481</v>
      </c>
      <c r="G2197" t="s">
        <v>6538</v>
      </c>
      <c r="H2197">
        <v>1280601</v>
      </c>
      <c r="I2197">
        <v>1154115</v>
      </c>
      <c r="J2197">
        <v>0.46023895745925603</v>
      </c>
      <c r="K2197">
        <v>589382.46916127997</v>
      </c>
      <c r="L2197">
        <v>589382.46916127997</v>
      </c>
      <c r="M2197">
        <v>599</v>
      </c>
    </row>
    <row r="2198" spans="1:13" ht="15">
      <c r="A2198" t="s">
        <v>3725</v>
      </c>
      <c r="B2198" s="1040" t="str">
        <f>CONCATENATE(LEFT(RIGHT(CONCATENATE("000",IFAData_TEA_1718!A2198),6),3),"-",(RIGHT(RIGHT(CONCATENATE("000",IFAData_TEA_1718!A2198),6),3)))</f>
        <v>220-907</v>
      </c>
      <c r="C2198" t="s">
        <v>412</v>
      </c>
      <c r="D2198">
        <v>10</v>
      </c>
      <c r="E2198">
        <v>1951</v>
      </c>
      <c r="F2198" t="s">
        <v>5494</v>
      </c>
      <c r="G2198" t="s">
        <v>5494</v>
      </c>
      <c r="H2198">
        <v>6801638</v>
      </c>
      <c r="I2198">
        <v>2124644</v>
      </c>
      <c r="J2198">
        <v>0.30128994976477702</v>
      </c>
      <c r="K2198">
        <v>2049265.1713382001</v>
      </c>
      <c r="L2198">
        <v>2049265.1713382001</v>
      </c>
      <c r="M2198">
        <v>599</v>
      </c>
    </row>
    <row r="2199" spans="1:13" ht="15">
      <c r="A2199" t="s">
        <v>3725</v>
      </c>
      <c r="B2199" s="1040" t="str">
        <f>CONCATENATE(LEFT(RIGHT(CONCATENATE("000",IFAData_TEA_1718!A2199),6),3),"-",(RIGHT(RIGHT(CONCATENATE("000",IFAData_TEA_1718!A2199),6),3)))</f>
        <v>220-907</v>
      </c>
      <c r="C2199" t="s">
        <v>412</v>
      </c>
      <c r="D2199">
        <v>10</v>
      </c>
      <c r="E2199">
        <v>1951</v>
      </c>
      <c r="F2199" t="s">
        <v>5494</v>
      </c>
      <c r="G2199" t="s">
        <v>6328</v>
      </c>
      <c r="H2199">
        <v>6801638</v>
      </c>
      <c r="I2199">
        <v>4927181</v>
      </c>
      <c r="J2199">
        <v>0.69871005023522303</v>
      </c>
      <c r="K2199">
        <v>4752372.8286618004</v>
      </c>
      <c r="L2199">
        <v>4752372.8286618004</v>
      </c>
      <c r="M2199">
        <v>599</v>
      </c>
    </row>
    <row r="2200" spans="1:13" ht="15">
      <c r="A2200" t="s">
        <v>3726</v>
      </c>
      <c r="B2200" s="1040" t="str">
        <f>CONCATENATE(LEFT(RIGHT(CONCATENATE("000",IFAData_TEA_1718!A2200),6),3),"-",(RIGHT(RIGHT(CONCATENATE("000",IFAData_TEA_1718!A2200),6),3)))</f>
        <v>220-908</v>
      </c>
      <c r="C2200" t="s">
        <v>290</v>
      </c>
      <c r="D2200">
        <v>1</v>
      </c>
      <c r="E2200">
        <v>2058</v>
      </c>
      <c r="F2200" t="s">
        <v>5495</v>
      </c>
      <c r="G2200" t="s">
        <v>5495</v>
      </c>
      <c r="H2200">
        <v>2772030</v>
      </c>
      <c r="I2200">
        <v>0</v>
      </c>
      <c r="J2200">
        <v>0</v>
      </c>
      <c r="K2200"/>
      <c r="L2200">
        <v>0</v>
      </c>
      <c r="M2200">
        <v>599</v>
      </c>
    </row>
    <row r="2201" spans="1:13" ht="15">
      <c r="A2201" t="s">
        <v>3726</v>
      </c>
      <c r="B2201" s="1040" t="str">
        <f>CONCATENATE(LEFT(RIGHT(CONCATENATE("000",IFAData_TEA_1718!A2201),6),3),"-",(RIGHT(RIGHT(CONCATENATE("000",IFAData_TEA_1718!A2201),6),3)))</f>
        <v>220-908</v>
      </c>
      <c r="C2201" t="s">
        <v>290</v>
      </c>
      <c r="D2201">
        <v>6</v>
      </c>
      <c r="E2201">
        <v>2057</v>
      </c>
      <c r="F2201" t="s">
        <v>5499</v>
      </c>
      <c r="G2201" t="s">
        <v>5499</v>
      </c>
      <c r="H2201">
        <v>2346513</v>
      </c>
      <c r="I2201">
        <v>0</v>
      </c>
      <c r="J2201">
        <v>0</v>
      </c>
      <c r="K2201">
        <v>0</v>
      </c>
      <c r="L2201">
        <v>0</v>
      </c>
      <c r="M2201">
        <v>599</v>
      </c>
    </row>
    <row r="2202" spans="1:13" ht="15">
      <c r="A2202" t="s">
        <v>3726</v>
      </c>
      <c r="B2202" s="1040" t="str">
        <f>CONCATENATE(LEFT(RIGHT(CONCATENATE("000",IFAData_TEA_1718!A2202),6),3),"-",(RIGHT(RIGHT(CONCATENATE("000",IFAData_TEA_1718!A2202),6),3)))</f>
        <v>220-908</v>
      </c>
      <c r="C2202" t="s">
        <v>290</v>
      </c>
      <c r="D2202">
        <v>6</v>
      </c>
      <c r="E2202">
        <v>2057</v>
      </c>
      <c r="F2202" t="s">
        <v>5499</v>
      </c>
      <c r="G2202" t="s">
        <v>5500</v>
      </c>
      <c r="H2202">
        <v>2346513</v>
      </c>
      <c r="I2202">
        <v>0</v>
      </c>
      <c r="J2202">
        <v>0</v>
      </c>
      <c r="K2202">
        <v>0</v>
      </c>
      <c r="L2202">
        <v>0</v>
      </c>
      <c r="M2202">
        <v>599</v>
      </c>
    </row>
    <row r="2203" spans="1:13" ht="15">
      <c r="A2203" t="s">
        <v>3726</v>
      </c>
      <c r="B2203" s="1040" t="str">
        <f>CONCATENATE(LEFT(RIGHT(CONCATENATE("000",IFAData_TEA_1718!A2203),6),3),"-",(RIGHT(RIGHT(CONCATENATE("000",IFAData_TEA_1718!A2203),6),3)))</f>
        <v>220-908</v>
      </c>
      <c r="C2203" t="s">
        <v>290</v>
      </c>
      <c r="D2203">
        <v>6</v>
      </c>
      <c r="E2203">
        <v>2057</v>
      </c>
      <c r="F2203" t="s">
        <v>5499</v>
      </c>
      <c r="G2203" t="s">
        <v>5501</v>
      </c>
      <c r="H2203">
        <v>2346513</v>
      </c>
      <c r="I2203">
        <v>2142911</v>
      </c>
      <c r="J2203">
        <v>0.622588495202412</v>
      </c>
      <c r="K2203">
        <v>1460911.9976429001</v>
      </c>
      <c r="L2203">
        <v>1460911.9976429001</v>
      </c>
      <c r="M2203">
        <v>599</v>
      </c>
    </row>
    <row r="2204" spans="1:13" ht="15">
      <c r="A2204" t="s">
        <v>3726</v>
      </c>
      <c r="B2204" s="1040" t="str">
        <f>CONCATENATE(LEFT(RIGHT(CONCATENATE("000",IFAData_TEA_1718!A2204),6),3),"-",(RIGHT(RIGHT(CONCATENATE("000",IFAData_TEA_1718!A2204),6),3)))</f>
        <v>220-908</v>
      </c>
      <c r="C2204" t="s">
        <v>290</v>
      </c>
      <c r="D2204">
        <v>6</v>
      </c>
      <c r="E2204">
        <v>2057</v>
      </c>
      <c r="F2204" t="s">
        <v>5499</v>
      </c>
      <c r="G2204" t="s">
        <v>8504</v>
      </c>
      <c r="H2204">
        <v>2346513</v>
      </c>
      <c r="I2204">
        <v>1299027</v>
      </c>
      <c r="J2204">
        <v>0.377411504797588</v>
      </c>
      <c r="K2204">
        <v>885601.002357102</v>
      </c>
      <c r="L2204">
        <v>885601.002357102</v>
      </c>
      <c r="M2204">
        <v>599</v>
      </c>
    </row>
    <row r="2205" spans="1:13" ht="15">
      <c r="A2205" t="s">
        <v>3726</v>
      </c>
      <c r="B2205" s="1040" t="str">
        <f>CONCATENATE(LEFT(RIGHT(CONCATENATE("000",IFAData_TEA_1718!A2205),6),3),"-",(RIGHT(RIGHT(CONCATENATE("000",IFAData_TEA_1718!A2205),6),3)))</f>
        <v>220-908</v>
      </c>
      <c r="C2205" t="s">
        <v>290</v>
      </c>
      <c r="D2205">
        <v>6</v>
      </c>
      <c r="E2205">
        <v>2056</v>
      </c>
      <c r="F2205" t="s">
        <v>5502</v>
      </c>
      <c r="G2205" t="s">
        <v>5502</v>
      </c>
      <c r="H2205">
        <v>2153875</v>
      </c>
      <c r="I2205">
        <v>64375</v>
      </c>
      <c r="J2205">
        <v>9.6126235884748893E-3</v>
      </c>
      <c r="K2205">
        <v>20704.389631626302</v>
      </c>
      <c r="L2205">
        <v>20704.389631626302</v>
      </c>
      <c r="M2205">
        <v>599</v>
      </c>
    </row>
    <row r="2206" spans="1:13" ht="15">
      <c r="A2206" t="s">
        <v>3726</v>
      </c>
      <c r="B2206" s="1040" t="str">
        <f>CONCATENATE(LEFT(RIGHT(CONCATENATE("000",IFAData_TEA_1718!A2206),6),3),"-",(RIGHT(RIGHT(CONCATENATE("000",IFAData_TEA_1718!A2206),6),3)))</f>
        <v>220-908</v>
      </c>
      <c r="C2206" t="s">
        <v>290</v>
      </c>
      <c r="D2206">
        <v>6</v>
      </c>
      <c r="E2206">
        <v>2056</v>
      </c>
      <c r="F2206" t="s">
        <v>5502</v>
      </c>
      <c r="G2206" t="s">
        <v>5500</v>
      </c>
      <c r="H2206">
        <v>2153875</v>
      </c>
      <c r="I2206">
        <v>0</v>
      </c>
      <c r="J2206">
        <v>0</v>
      </c>
      <c r="K2206">
        <v>0</v>
      </c>
      <c r="L2206">
        <v>0</v>
      </c>
      <c r="M2206">
        <v>599</v>
      </c>
    </row>
    <row r="2207" spans="1:13" ht="15">
      <c r="A2207" t="s">
        <v>3726</v>
      </c>
      <c r="B2207" s="1040" t="str">
        <f>CONCATENATE(LEFT(RIGHT(CONCATENATE("000",IFAData_TEA_1718!A2207),6),3),"-",(RIGHT(RIGHT(CONCATENATE("000",IFAData_TEA_1718!A2207),6),3)))</f>
        <v>220-908</v>
      </c>
      <c r="C2207" t="s">
        <v>290</v>
      </c>
      <c r="D2207">
        <v>6</v>
      </c>
      <c r="E2207">
        <v>2056</v>
      </c>
      <c r="F2207" t="s">
        <v>5502</v>
      </c>
      <c r="G2207" t="s">
        <v>5497</v>
      </c>
      <c r="H2207">
        <v>2153875</v>
      </c>
      <c r="I2207">
        <v>4930790</v>
      </c>
      <c r="J2207">
        <v>0.73627694390393905</v>
      </c>
      <c r="K2207">
        <v>1585848.5025511</v>
      </c>
      <c r="L2207">
        <v>1585848.5025511</v>
      </c>
      <c r="M2207">
        <v>599</v>
      </c>
    </row>
    <row r="2208" spans="1:13" ht="15">
      <c r="A2208" t="s">
        <v>3726</v>
      </c>
      <c r="B2208" s="1040" t="str">
        <f>CONCATENATE(LEFT(RIGHT(CONCATENATE("000",IFAData_TEA_1718!A2208),6),3),"-",(RIGHT(RIGHT(CONCATENATE("000",IFAData_TEA_1718!A2208),6),3)))</f>
        <v>220-908</v>
      </c>
      <c r="C2208" t="s">
        <v>290</v>
      </c>
      <c r="D2208">
        <v>6</v>
      </c>
      <c r="E2208">
        <v>2056</v>
      </c>
      <c r="F2208" t="s">
        <v>5502</v>
      </c>
      <c r="G2208" t="s">
        <v>8504</v>
      </c>
      <c r="H2208">
        <v>2153875</v>
      </c>
      <c r="I2208">
        <v>1701758</v>
      </c>
      <c r="J2208">
        <v>0.25411043250758603</v>
      </c>
      <c r="K2208">
        <v>547322.10781727696</v>
      </c>
      <c r="L2208">
        <v>547322.10781727696</v>
      </c>
      <c r="M2208">
        <v>599</v>
      </c>
    </row>
    <row r="2209" spans="1:13" ht="15">
      <c r="A2209" t="s">
        <v>3726</v>
      </c>
      <c r="B2209" s="1040" t="str">
        <f>CONCATENATE(LEFT(RIGHT(CONCATENATE("000",IFAData_TEA_1718!A2209),6),3),"-",(RIGHT(RIGHT(CONCATENATE("000",IFAData_TEA_1718!A2209),6),3)))</f>
        <v>220-908</v>
      </c>
      <c r="C2209" t="s">
        <v>290</v>
      </c>
      <c r="D2209">
        <v>9</v>
      </c>
      <c r="E2209">
        <v>2060</v>
      </c>
      <c r="F2209" t="s">
        <v>5503</v>
      </c>
      <c r="G2209" t="s">
        <v>5503</v>
      </c>
      <c r="H2209">
        <v>4155279</v>
      </c>
      <c r="I2209">
        <v>0</v>
      </c>
      <c r="J2209">
        <v>0</v>
      </c>
      <c r="K2209">
        <v>0</v>
      </c>
      <c r="L2209">
        <v>0</v>
      </c>
      <c r="M2209">
        <v>599</v>
      </c>
    </row>
    <row r="2210" spans="1:13" ht="15">
      <c r="A2210" t="s">
        <v>3726</v>
      </c>
      <c r="B2210" s="1040" t="str">
        <f>CONCATENATE(LEFT(RIGHT(CONCATENATE("000",IFAData_TEA_1718!A2210),6),3),"-",(RIGHT(RIGHT(CONCATENATE("000",IFAData_TEA_1718!A2210),6),3)))</f>
        <v>220-908</v>
      </c>
      <c r="C2210" t="s">
        <v>290</v>
      </c>
      <c r="D2210">
        <v>9</v>
      </c>
      <c r="E2210">
        <v>2060</v>
      </c>
      <c r="F2210" t="s">
        <v>5503</v>
      </c>
      <c r="G2210" t="s">
        <v>5504</v>
      </c>
      <c r="H2210">
        <v>4155279</v>
      </c>
      <c r="I2210">
        <v>5112471</v>
      </c>
      <c r="J2210">
        <v>1</v>
      </c>
      <c r="K2210">
        <v>4155279</v>
      </c>
      <c r="L2210">
        <v>4155279</v>
      </c>
      <c r="M2210">
        <v>599</v>
      </c>
    </row>
    <row r="2211" spans="1:13" ht="15">
      <c r="A2211" t="s">
        <v>3726</v>
      </c>
      <c r="B2211" s="1040" t="str">
        <f>CONCATENATE(LEFT(RIGHT(CONCATENATE("000",IFAData_TEA_1718!A2211),6),3),"-",(RIGHT(RIGHT(CONCATENATE("000",IFAData_TEA_1718!A2211),6),3)))</f>
        <v>220-908</v>
      </c>
      <c r="C2211" t="s">
        <v>290</v>
      </c>
      <c r="D2211">
        <v>9</v>
      </c>
      <c r="E2211">
        <v>2059</v>
      </c>
      <c r="F2211" t="s">
        <v>5505</v>
      </c>
      <c r="G2211" t="s">
        <v>5505</v>
      </c>
      <c r="H2211">
        <v>3920147</v>
      </c>
      <c r="I2211">
        <v>0</v>
      </c>
      <c r="J2211">
        <v>0</v>
      </c>
      <c r="K2211">
        <v>0</v>
      </c>
      <c r="L2211">
        <v>0</v>
      </c>
      <c r="M2211">
        <v>599</v>
      </c>
    </row>
    <row r="2212" spans="1:13" ht="15">
      <c r="A2212" t="s">
        <v>3726</v>
      </c>
      <c r="B2212" s="1040" t="str">
        <f>CONCATENATE(LEFT(RIGHT(CONCATENATE("000",IFAData_TEA_1718!A2212),6),3),"-",(RIGHT(RIGHT(CONCATENATE("000",IFAData_TEA_1718!A2212),6),3)))</f>
        <v>220-908</v>
      </c>
      <c r="C2212" t="s">
        <v>290</v>
      </c>
      <c r="D2212">
        <v>9</v>
      </c>
      <c r="E2212">
        <v>2059</v>
      </c>
      <c r="F2212" t="s">
        <v>5505</v>
      </c>
      <c r="G2212" t="s">
        <v>6330</v>
      </c>
      <c r="H2212">
        <v>3920147</v>
      </c>
      <c r="I2212">
        <v>4529400</v>
      </c>
      <c r="J2212">
        <v>1</v>
      </c>
      <c r="K2212">
        <v>3920147</v>
      </c>
      <c r="L2212">
        <v>3920147</v>
      </c>
      <c r="M2212">
        <v>599</v>
      </c>
    </row>
    <row r="2213" spans="1:13" ht="15">
      <c r="A2213" t="s">
        <v>3726</v>
      </c>
      <c r="B2213" s="1040" t="str">
        <f>CONCATENATE(LEFT(RIGHT(CONCATENATE("000",IFAData_TEA_1718!A2213),6),3),"-",(RIGHT(RIGHT(CONCATENATE("000",IFAData_TEA_1718!A2213),6),3)))</f>
        <v>220-908</v>
      </c>
      <c r="C2213" t="s">
        <v>290</v>
      </c>
      <c r="D2213">
        <v>10</v>
      </c>
      <c r="E2213">
        <v>2061</v>
      </c>
      <c r="F2213" t="s">
        <v>5506</v>
      </c>
      <c r="G2213" t="s">
        <v>5506</v>
      </c>
      <c r="H2213">
        <v>4627576</v>
      </c>
      <c r="I2213">
        <v>0</v>
      </c>
      <c r="J2213">
        <v>0</v>
      </c>
      <c r="K2213">
        <v>0</v>
      </c>
      <c r="L2213">
        <v>0</v>
      </c>
      <c r="M2213">
        <v>599</v>
      </c>
    </row>
    <row r="2214" spans="1:13" ht="15">
      <c r="A2214" t="s">
        <v>3726</v>
      </c>
      <c r="B2214" s="1040" t="str">
        <f>CONCATENATE(LEFT(RIGHT(CONCATENATE("000",IFAData_TEA_1718!A2214),6),3),"-",(RIGHT(RIGHT(CONCATENATE("000",IFAData_TEA_1718!A2214),6),3)))</f>
        <v>220-908</v>
      </c>
      <c r="C2214" t="s">
        <v>290</v>
      </c>
      <c r="D2214">
        <v>10</v>
      </c>
      <c r="E2214">
        <v>2061</v>
      </c>
      <c r="F2214" t="s">
        <v>5506</v>
      </c>
      <c r="G2214" t="s">
        <v>6540</v>
      </c>
      <c r="H2214">
        <v>4627576</v>
      </c>
      <c r="I2214">
        <v>2123100</v>
      </c>
      <c r="J2214">
        <v>1</v>
      </c>
      <c r="K2214">
        <v>4627576</v>
      </c>
      <c r="L2214">
        <v>2123100</v>
      </c>
      <c r="M2214">
        <v>599</v>
      </c>
    </row>
    <row r="2215" spans="1:13" ht="15">
      <c r="A2215" t="s">
        <v>3726</v>
      </c>
      <c r="B2215" s="1040" t="str">
        <f>CONCATENATE(LEFT(RIGHT(CONCATENATE("000",IFAData_TEA_1718!A2215),6),3),"-",(RIGHT(RIGHT(CONCATENATE("000",IFAData_TEA_1718!A2215),6),3)))</f>
        <v>220-908</v>
      </c>
      <c r="C2215" t="s">
        <v>290</v>
      </c>
      <c r="D2215">
        <v>11</v>
      </c>
      <c r="E2215">
        <v>2546</v>
      </c>
      <c r="F2215" t="s">
        <v>8505</v>
      </c>
      <c r="G2215" t="s">
        <v>8505</v>
      </c>
      <c r="H2215">
        <v>658427</v>
      </c>
      <c r="I2215">
        <v>909854</v>
      </c>
      <c r="J2215">
        <v>1</v>
      </c>
      <c r="K2215">
        <v>658427</v>
      </c>
      <c r="L2215">
        <v>658427</v>
      </c>
      <c r="M2215">
        <v>599</v>
      </c>
    </row>
    <row r="2216" spans="1:13" ht="15">
      <c r="A2216" t="s">
        <v>3726</v>
      </c>
      <c r="B2216" s="1040" t="str">
        <f>CONCATENATE(LEFT(RIGHT(CONCATENATE("000",IFAData_TEA_1718!A2216),6),3),"-",(RIGHT(RIGHT(CONCATENATE("000",IFAData_TEA_1718!A2216),6),3)))</f>
        <v>220-908</v>
      </c>
      <c r="C2216" t="s">
        <v>290</v>
      </c>
      <c r="D2216">
        <v>11</v>
      </c>
      <c r="E2216">
        <v>2547</v>
      </c>
      <c r="F2216" t="s">
        <v>8506</v>
      </c>
      <c r="G2216" t="s">
        <v>8506</v>
      </c>
      <c r="H2216">
        <v>2024619</v>
      </c>
      <c r="I2216">
        <v>2024619</v>
      </c>
      <c r="J2216">
        <v>1</v>
      </c>
      <c r="K2216">
        <v>2024619</v>
      </c>
      <c r="L2216">
        <v>2024619</v>
      </c>
      <c r="M2216">
        <v>599</v>
      </c>
    </row>
    <row r="2217" spans="1:13" ht="15">
      <c r="A2217" t="s">
        <v>3726</v>
      </c>
      <c r="B2217" s="1040" t="str">
        <f>CONCATENATE(LEFT(RIGHT(CONCATENATE("000",IFAData_TEA_1718!A2217),6),3),"-",(RIGHT(RIGHT(CONCATENATE("000",IFAData_TEA_1718!A2217),6),3)))</f>
        <v>220-908</v>
      </c>
      <c r="C2217" t="s">
        <v>290</v>
      </c>
      <c r="D2217">
        <v>11</v>
      </c>
      <c r="E2217">
        <v>2548</v>
      </c>
      <c r="F2217" t="s">
        <v>8507</v>
      </c>
      <c r="G2217" t="s">
        <v>8507</v>
      </c>
      <c r="H2217">
        <v>1895868</v>
      </c>
      <c r="I2217">
        <v>1895864</v>
      </c>
      <c r="J2217">
        <v>1</v>
      </c>
      <c r="K2217">
        <v>1895868</v>
      </c>
      <c r="L2217">
        <v>1895864</v>
      </c>
      <c r="M2217">
        <v>599</v>
      </c>
    </row>
    <row r="2218" spans="1:13" ht="15">
      <c r="A2218" t="s">
        <v>3727</v>
      </c>
      <c r="B2218" s="1040" t="str">
        <f>CONCATENATE(LEFT(RIGHT(CONCATENATE("000",IFAData_TEA_1718!A2218),6),3),"-",(RIGHT(RIGHT(CONCATENATE("000",IFAData_TEA_1718!A2218),6),3)))</f>
        <v>220-910</v>
      </c>
      <c r="C2218" t="s">
        <v>2301</v>
      </c>
      <c r="D2218">
        <v>2</v>
      </c>
      <c r="E2218">
        <v>2000</v>
      </c>
      <c r="F2218" t="s">
        <v>5507</v>
      </c>
      <c r="G2218" t="s">
        <v>5507</v>
      </c>
      <c r="H2218">
        <v>425000</v>
      </c>
      <c r="I2218">
        <v>0</v>
      </c>
      <c r="J2218">
        <v>0</v>
      </c>
      <c r="K2218">
        <v>0</v>
      </c>
      <c r="L2218">
        <v>0</v>
      </c>
      <c r="M2218">
        <v>599</v>
      </c>
    </row>
    <row r="2219" spans="1:13" ht="15">
      <c r="A2219" t="s">
        <v>3727</v>
      </c>
      <c r="B2219" s="1040" t="str">
        <f>CONCATENATE(LEFT(RIGHT(CONCATENATE("000",IFAData_TEA_1718!A2219),6),3),"-",(RIGHT(RIGHT(CONCATENATE("000",IFAData_TEA_1718!A2219),6),3)))</f>
        <v>220-910</v>
      </c>
      <c r="C2219" t="s">
        <v>2301</v>
      </c>
      <c r="D2219">
        <v>2</v>
      </c>
      <c r="E2219">
        <v>2000</v>
      </c>
      <c r="F2219" t="s">
        <v>5507</v>
      </c>
      <c r="G2219" t="s">
        <v>5508</v>
      </c>
      <c r="H2219">
        <v>425000</v>
      </c>
      <c r="I2219">
        <v>399856</v>
      </c>
      <c r="J2219">
        <v>1</v>
      </c>
      <c r="K2219">
        <v>425000</v>
      </c>
      <c r="L2219">
        <v>399856</v>
      </c>
      <c r="M2219">
        <v>599</v>
      </c>
    </row>
    <row r="2220" spans="1:13" ht="15">
      <c r="A2220" t="s">
        <v>3727</v>
      </c>
      <c r="B2220" s="1040" t="str">
        <f>CONCATENATE(LEFT(RIGHT(CONCATENATE("000",IFAData_TEA_1718!A2220),6),3),"-",(RIGHT(RIGHT(CONCATENATE("000",IFAData_TEA_1718!A2220),6),3)))</f>
        <v>220-910</v>
      </c>
      <c r="C2220" t="s">
        <v>2301</v>
      </c>
      <c r="D2220">
        <v>5</v>
      </c>
      <c r="E2220">
        <v>2001</v>
      </c>
      <c r="F2220" t="s">
        <v>5509</v>
      </c>
      <c r="G2220" t="s">
        <v>5509</v>
      </c>
      <c r="H2220">
        <v>464180</v>
      </c>
      <c r="I2220">
        <v>0</v>
      </c>
      <c r="J2220">
        <v>0</v>
      </c>
      <c r="K2220">
        <v>0</v>
      </c>
      <c r="L2220">
        <v>0</v>
      </c>
      <c r="M2220">
        <v>599</v>
      </c>
    </row>
    <row r="2221" spans="1:13" ht="15">
      <c r="A2221" t="s">
        <v>3727</v>
      </c>
      <c r="B2221" s="1040" t="str">
        <f>CONCATENATE(LEFT(RIGHT(CONCATENATE("000",IFAData_TEA_1718!A2221),6),3),"-",(RIGHT(RIGHT(CONCATENATE("000",IFAData_TEA_1718!A2221),6),3)))</f>
        <v>220-910</v>
      </c>
      <c r="C2221" t="s">
        <v>2301</v>
      </c>
      <c r="D2221">
        <v>5</v>
      </c>
      <c r="E2221">
        <v>2001</v>
      </c>
      <c r="F2221" t="s">
        <v>5509</v>
      </c>
      <c r="G2221" t="s">
        <v>5510</v>
      </c>
      <c r="H2221">
        <v>464180</v>
      </c>
      <c r="I2221">
        <v>0</v>
      </c>
      <c r="J2221">
        <v>0</v>
      </c>
      <c r="K2221">
        <v>0</v>
      </c>
      <c r="L2221">
        <v>0</v>
      </c>
      <c r="M2221">
        <v>599</v>
      </c>
    </row>
    <row r="2222" spans="1:13" ht="15">
      <c r="A2222" t="s">
        <v>3727</v>
      </c>
      <c r="B2222" s="1040" t="str">
        <f>CONCATENATE(LEFT(RIGHT(CONCATENATE("000",IFAData_TEA_1718!A2222),6),3),"-",(RIGHT(RIGHT(CONCATENATE("000",IFAData_TEA_1718!A2222),6),3)))</f>
        <v>220-910</v>
      </c>
      <c r="C2222" t="s">
        <v>2301</v>
      </c>
      <c r="D2222">
        <v>5</v>
      </c>
      <c r="E2222">
        <v>2001</v>
      </c>
      <c r="F2222" t="s">
        <v>5509</v>
      </c>
      <c r="G2222" t="s">
        <v>8508</v>
      </c>
      <c r="H2222">
        <v>464180</v>
      </c>
      <c r="I2222">
        <v>635048</v>
      </c>
      <c r="J2222">
        <v>1</v>
      </c>
      <c r="K2222">
        <v>464180</v>
      </c>
      <c r="L2222">
        <v>464180</v>
      </c>
      <c r="M2222">
        <v>599</v>
      </c>
    </row>
    <row r="2223" spans="1:13" ht="15">
      <c r="A2223" t="s">
        <v>3727</v>
      </c>
      <c r="B2223" s="1040" t="str">
        <f>CONCATENATE(LEFT(RIGHT(CONCATENATE("000",IFAData_TEA_1718!A2223),6),3),"-",(RIGHT(RIGHT(CONCATENATE("000",IFAData_TEA_1718!A2223),6),3)))</f>
        <v>220-910</v>
      </c>
      <c r="C2223" t="s">
        <v>2301</v>
      </c>
      <c r="D2223">
        <v>9</v>
      </c>
      <c r="E2223">
        <v>1999</v>
      </c>
      <c r="F2223" t="s">
        <v>5511</v>
      </c>
      <c r="G2223" t="s">
        <v>5511</v>
      </c>
      <c r="H2223">
        <v>335046</v>
      </c>
      <c r="I2223">
        <v>0</v>
      </c>
      <c r="J2223">
        <v>0</v>
      </c>
      <c r="K2223">
        <v>0</v>
      </c>
      <c r="L2223">
        <v>0</v>
      </c>
      <c r="M2223">
        <v>599</v>
      </c>
    </row>
    <row r="2224" spans="1:13" ht="15">
      <c r="A2224" t="s">
        <v>3727</v>
      </c>
      <c r="B2224" s="1040" t="str">
        <f>CONCATENATE(LEFT(RIGHT(CONCATENATE("000",IFAData_TEA_1718!A2224),6),3),"-",(RIGHT(RIGHT(CONCATENATE("000",IFAData_TEA_1718!A2224),6),3)))</f>
        <v>220-910</v>
      </c>
      <c r="C2224" t="s">
        <v>2301</v>
      </c>
      <c r="D2224">
        <v>9</v>
      </c>
      <c r="E2224">
        <v>1999</v>
      </c>
      <c r="F2224" t="s">
        <v>5511</v>
      </c>
      <c r="G2224" t="s">
        <v>6331</v>
      </c>
      <c r="H2224">
        <v>335046</v>
      </c>
      <c r="I2224">
        <v>414656</v>
      </c>
      <c r="J2224">
        <v>1</v>
      </c>
      <c r="K2224">
        <v>335046</v>
      </c>
      <c r="L2224">
        <v>335046</v>
      </c>
      <c r="M2224">
        <v>599</v>
      </c>
    </row>
    <row r="2225" spans="1:13" ht="15">
      <c r="A2225" t="s">
        <v>3727</v>
      </c>
      <c r="B2225" s="1040" t="str">
        <f>CONCATENATE(LEFT(RIGHT(CONCATENATE("000",IFAData_TEA_1718!A2225),6),3),"-",(RIGHT(RIGHT(CONCATENATE("000",IFAData_TEA_1718!A2225),6),3)))</f>
        <v>220-910</v>
      </c>
      <c r="C2225" t="s">
        <v>2301</v>
      </c>
      <c r="D2225">
        <v>9</v>
      </c>
      <c r="E2225">
        <v>1998</v>
      </c>
      <c r="F2225" t="s">
        <v>5512</v>
      </c>
      <c r="G2225" t="s">
        <v>5512</v>
      </c>
      <c r="H2225">
        <v>83579</v>
      </c>
      <c r="I2225">
        <v>140000</v>
      </c>
      <c r="J2225">
        <v>0.231462346036207</v>
      </c>
      <c r="K2225">
        <v>19345.3914193602</v>
      </c>
      <c r="L2225">
        <v>19345.3914193602</v>
      </c>
      <c r="M2225">
        <v>599</v>
      </c>
    </row>
    <row r="2226" spans="1:13" ht="15">
      <c r="A2226" t="s">
        <v>3727</v>
      </c>
      <c r="B2226" s="1040" t="str">
        <f>CONCATENATE(LEFT(RIGHT(CONCATENATE("000",IFAData_TEA_1718!A2226),6),3),"-",(RIGHT(RIGHT(CONCATENATE("000",IFAData_TEA_1718!A2226),6),3)))</f>
        <v>220-910</v>
      </c>
      <c r="C2226" t="s">
        <v>2301</v>
      </c>
      <c r="D2226">
        <v>9</v>
      </c>
      <c r="E2226">
        <v>1998</v>
      </c>
      <c r="F2226" t="s">
        <v>5512</v>
      </c>
      <c r="G2226" t="s">
        <v>6541</v>
      </c>
      <c r="H2226">
        <v>83579</v>
      </c>
      <c r="I2226">
        <v>357450</v>
      </c>
      <c r="J2226">
        <v>0.59097296850458803</v>
      </c>
      <c r="K2226">
        <v>49392.929734644997</v>
      </c>
      <c r="L2226">
        <v>49392.929734644997</v>
      </c>
      <c r="M2226">
        <v>599</v>
      </c>
    </row>
    <row r="2227" spans="1:13" ht="15">
      <c r="A2227" t="s">
        <v>3727</v>
      </c>
      <c r="B2227" s="1040" t="str">
        <f>CONCATENATE(LEFT(RIGHT(CONCATENATE("000",IFAData_TEA_1718!A2227),6),3),"-",(RIGHT(RIGHT(CONCATENATE("000",IFAData_TEA_1718!A2227),6),3)))</f>
        <v>220-910</v>
      </c>
      <c r="C2227" t="s">
        <v>2301</v>
      </c>
      <c r="D2227">
        <v>9</v>
      </c>
      <c r="E2227">
        <v>1998</v>
      </c>
      <c r="F2227" t="s">
        <v>5512</v>
      </c>
      <c r="G2227" t="s">
        <v>8509</v>
      </c>
      <c r="H2227">
        <v>83579</v>
      </c>
      <c r="I2227">
        <v>107400</v>
      </c>
      <c r="J2227">
        <v>0.17756468545920501</v>
      </c>
      <c r="K2227">
        <v>14840.6788459949</v>
      </c>
      <c r="L2227">
        <v>14840.6788459949</v>
      </c>
      <c r="M2227">
        <v>599</v>
      </c>
    </row>
    <row r="2228" spans="1:13" ht="15">
      <c r="A2228" t="s">
        <v>3728</v>
      </c>
      <c r="B2228" s="1040" t="str">
        <f>CONCATENATE(LEFT(RIGHT(CONCATENATE("000",IFAData_TEA_1718!A2228),6),3),"-",(RIGHT(RIGHT(CONCATENATE("000",IFAData_TEA_1718!A2228),6),3)))</f>
        <v>220-912</v>
      </c>
      <c r="C2228" t="s">
        <v>419</v>
      </c>
      <c r="D2228">
        <v>1</v>
      </c>
      <c r="E2228">
        <v>1733</v>
      </c>
      <c r="F2228" t="s">
        <v>5513</v>
      </c>
      <c r="G2228" t="s">
        <v>5513</v>
      </c>
      <c r="H2228">
        <v>1863688</v>
      </c>
      <c r="I2228">
        <v>0</v>
      </c>
      <c r="J2228">
        <v>0</v>
      </c>
      <c r="K2228">
        <v>0</v>
      </c>
      <c r="L2228">
        <v>0</v>
      </c>
      <c r="M2228">
        <v>599</v>
      </c>
    </row>
    <row r="2229" spans="1:13" ht="15">
      <c r="A2229" t="s">
        <v>3728</v>
      </c>
      <c r="B2229" s="1040" t="str">
        <f>CONCATENATE(LEFT(RIGHT(CONCATENATE("000",IFAData_TEA_1718!A2229),6),3),"-",(RIGHT(RIGHT(CONCATENATE("000",IFAData_TEA_1718!A2229),6),3)))</f>
        <v>220-912</v>
      </c>
      <c r="C2229" t="s">
        <v>419</v>
      </c>
      <c r="D2229">
        <v>1</v>
      </c>
      <c r="E2229">
        <v>1733</v>
      </c>
      <c r="F2229" t="s">
        <v>5513</v>
      </c>
      <c r="G2229" t="s">
        <v>5514</v>
      </c>
      <c r="H2229">
        <v>1863688</v>
      </c>
      <c r="I2229">
        <v>0</v>
      </c>
      <c r="J2229">
        <v>0</v>
      </c>
      <c r="K2229">
        <v>0</v>
      </c>
      <c r="L2229">
        <v>0</v>
      </c>
      <c r="M2229">
        <v>599</v>
      </c>
    </row>
    <row r="2230" spans="1:13" ht="15">
      <c r="A2230" t="s">
        <v>3728</v>
      </c>
      <c r="B2230" s="1040" t="str">
        <f>CONCATENATE(LEFT(RIGHT(CONCATENATE("000",IFAData_TEA_1718!A2230),6),3),"-",(RIGHT(RIGHT(CONCATENATE("000",IFAData_TEA_1718!A2230),6),3)))</f>
        <v>220-912</v>
      </c>
      <c r="C2230" t="s">
        <v>419</v>
      </c>
      <c r="D2230">
        <v>1</v>
      </c>
      <c r="E2230">
        <v>1733</v>
      </c>
      <c r="F2230" t="s">
        <v>5513</v>
      </c>
      <c r="G2230" t="s">
        <v>5515</v>
      </c>
      <c r="H2230">
        <v>1863688</v>
      </c>
      <c r="I2230">
        <v>641593</v>
      </c>
      <c r="J2230">
        <v>0.38123275714031901</v>
      </c>
      <c r="K2230">
        <v>710498.91468932701</v>
      </c>
      <c r="L2230">
        <v>641593</v>
      </c>
      <c r="M2230">
        <v>599</v>
      </c>
    </row>
    <row r="2231" spans="1:13" ht="15">
      <c r="A2231" t="s">
        <v>3728</v>
      </c>
      <c r="B2231" s="1040" t="str">
        <f>CONCATENATE(LEFT(RIGHT(CONCATENATE("000",IFAData_TEA_1718!A2231),6),3),"-",(RIGHT(RIGHT(CONCATENATE("000",IFAData_TEA_1718!A2231),6),3)))</f>
        <v>220-912</v>
      </c>
      <c r="C2231" t="s">
        <v>419</v>
      </c>
      <c r="D2231">
        <v>1</v>
      </c>
      <c r="E2231">
        <v>1733</v>
      </c>
      <c r="F2231" t="s">
        <v>5513</v>
      </c>
      <c r="G2231" t="s">
        <v>6333</v>
      </c>
      <c r="H2231">
        <v>1863688</v>
      </c>
      <c r="I2231">
        <v>1041350</v>
      </c>
      <c r="J2231">
        <v>0.61876724285968099</v>
      </c>
      <c r="K2231">
        <v>1153189.0853106701</v>
      </c>
      <c r="L2231">
        <v>1041350</v>
      </c>
      <c r="M2231">
        <v>599</v>
      </c>
    </row>
    <row r="2232" spans="1:13" ht="15">
      <c r="A2232" t="s">
        <v>3728</v>
      </c>
      <c r="B2232" s="1040" t="str">
        <f>CONCATENATE(LEFT(RIGHT(CONCATENATE("000",IFAData_TEA_1718!A2232),6),3),"-",(RIGHT(RIGHT(CONCATENATE("000",IFAData_TEA_1718!A2232),6),3)))</f>
        <v>220-912</v>
      </c>
      <c r="C2232" t="s">
        <v>419</v>
      </c>
      <c r="D2232">
        <v>9</v>
      </c>
      <c r="E2232">
        <v>1735</v>
      </c>
      <c r="F2232" t="s">
        <v>5516</v>
      </c>
      <c r="G2232" t="s">
        <v>5516</v>
      </c>
      <c r="H2232">
        <v>3761388</v>
      </c>
      <c r="I2232">
        <v>1561804</v>
      </c>
      <c r="J2232">
        <v>0.41064735558031201</v>
      </c>
      <c r="K2232">
        <v>1544604.03551152</v>
      </c>
      <c r="L2232">
        <v>1544604.03551152</v>
      </c>
      <c r="M2232">
        <v>599</v>
      </c>
    </row>
    <row r="2233" spans="1:13" ht="15">
      <c r="A2233" t="s">
        <v>3728</v>
      </c>
      <c r="B2233" s="1040" t="str">
        <f>CONCATENATE(LEFT(RIGHT(CONCATENATE("000",IFAData_TEA_1718!A2233),6),3),"-",(RIGHT(RIGHT(CONCATENATE("000",IFAData_TEA_1718!A2233),6),3)))</f>
        <v>220-912</v>
      </c>
      <c r="C2233" t="s">
        <v>419</v>
      </c>
      <c r="D2233">
        <v>9</v>
      </c>
      <c r="E2233">
        <v>1735</v>
      </c>
      <c r="F2233" t="s">
        <v>5516</v>
      </c>
      <c r="G2233" t="s">
        <v>6332</v>
      </c>
      <c r="H2233">
        <v>3761388</v>
      </c>
      <c r="I2233">
        <v>1259219</v>
      </c>
      <c r="J2233">
        <v>0.331088249515615</v>
      </c>
      <c r="K2233">
        <v>1245351.36866904</v>
      </c>
      <c r="L2233">
        <v>1245351.36866904</v>
      </c>
      <c r="M2233">
        <v>599</v>
      </c>
    </row>
    <row r="2234" spans="1:13" ht="15">
      <c r="A2234" t="s">
        <v>3728</v>
      </c>
      <c r="B2234" s="1040" t="str">
        <f>CONCATENATE(LEFT(RIGHT(CONCATENATE("000",IFAData_TEA_1718!A2234),6),3),"-",(RIGHT(RIGHT(CONCATENATE("000",IFAData_TEA_1718!A2234),6),3)))</f>
        <v>220-912</v>
      </c>
      <c r="C2234" t="s">
        <v>419</v>
      </c>
      <c r="D2234">
        <v>9</v>
      </c>
      <c r="E2234">
        <v>1735</v>
      </c>
      <c r="F2234" t="s">
        <v>5516</v>
      </c>
      <c r="G2234" t="s">
        <v>6543</v>
      </c>
      <c r="H2234">
        <v>3761388</v>
      </c>
      <c r="I2234">
        <v>982250</v>
      </c>
      <c r="J2234">
        <v>0.25826439490407299</v>
      </c>
      <c r="K2234">
        <v>971432.595819443</v>
      </c>
      <c r="L2234">
        <v>971432.595819443</v>
      </c>
      <c r="M2234">
        <v>599</v>
      </c>
    </row>
    <row r="2235" spans="1:13" ht="15">
      <c r="A2235" t="s">
        <v>3728</v>
      </c>
      <c r="B2235" s="1040" t="str">
        <f>CONCATENATE(LEFT(RIGHT(CONCATENATE("000",IFAData_TEA_1718!A2235),6),3),"-",(RIGHT(RIGHT(CONCATENATE("000",IFAData_TEA_1718!A2235),6),3)))</f>
        <v>220-912</v>
      </c>
      <c r="C2235" t="s">
        <v>419</v>
      </c>
      <c r="D2235">
        <v>10</v>
      </c>
      <c r="E2235">
        <v>1734</v>
      </c>
      <c r="F2235" t="s">
        <v>5517</v>
      </c>
      <c r="G2235" t="s">
        <v>5517</v>
      </c>
      <c r="H2235">
        <v>3735112</v>
      </c>
      <c r="I2235">
        <v>280000</v>
      </c>
      <c r="J2235">
        <v>7.7248837818823898E-2</v>
      </c>
      <c r="K2235">
        <v>288533.06112314301</v>
      </c>
      <c r="L2235">
        <v>280000</v>
      </c>
      <c r="M2235">
        <v>599</v>
      </c>
    </row>
    <row r="2236" spans="1:13" ht="15">
      <c r="A2236" t="s">
        <v>3728</v>
      </c>
      <c r="B2236" s="1040" t="str">
        <f>CONCATENATE(LEFT(RIGHT(CONCATENATE("000",IFAData_TEA_1718!A2236),6),3),"-",(RIGHT(RIGHT(CONCATENATE("000",IFAData_TEA_1718!A2236),6),3)))</f>
        <v>220-912</v>
      </c>
      <c r="C2236" t="s">
        <v>419</v>
      </c>
      <c r="D2236">
        <v>10</v>
      </c>
      <c r="E2236">
        <v>1734</v>
      </c>
      <c r="F2236" t="s">
        <v>5517</v>
      </c>
      <c r="G2236" t="s">
        <v>6542</v>
      </c>
      <c r="H2236">
        <v>3735112</v>
      </c>
      <c r="I2236">
        <v>3344650</v>
      </c>
      <c r="J2236">
        <v>0.92275116218117603</v>
      </c>
      <c r="K2236">
        <v>3446578.9388768598</v>
      </c>
      <c r="L2236">
        <v>3344650</v>
      </c>
      <c r="M2236">
        <v>599</v>
      </c>
    </row>
    <row r="2237" spans="1:13" ht="15">
      <c r="A2237" t="s">
        <v>3729</v>
      </c>
      <c r="B2237" s="1040" t="str">
        <f>CONCATENATE(LEFT(RIGHT(CONCATENATE("000",IFAData_TEA_1718!A2237),6),3),"-",(RIGHT(RIGHT(CONCATENATE("000",IFAData_TEA_1718!A2237),6),3)))</f>
        <v>220-914</v>
      </c>
      <c r="C2237" t="s">
        <v>2516</v>
      </c>
      <c r="D2237">
        <v>1</v>
      </c>
      <c r="E2237">
        <v>1955</v>
      </c>
      <c r="F2237" t="s">
        <v>5518</v>
      </c>
      <c r="G2237" t="s">
        <v>5518</v>
      </c>
      <c r="H2237">
        <v>565360</v>
      </c>
      <c r="I2237">
        <v>0</v>
      </c>
      <c r="J2237">
        <v>0</v>
      </c>
      <c r="K2237">
        <v>0</v>
      </c>
      <c r="L2237">
        <v>0</v>
      </c>
      <c r="M2237">
        <v>599</v>
      </c>
    </row>
    <row r="2238" spans="1:13" ht="15">
      <c r="A2238" t="s">
        <v>3729</v>
      </c>
      <c r="B2238" s="1040" t="str">
        <f>CONCATENATE(LEFT(RIGHT(CONCATENATE("000",IFAData_TEA_1718!A2238),6),3),"-",(RIGHT(RIGHT(CONCATENATE("000",IFAData_TEA_1718!A2238),6),3)))</f>
        <v>220-914</v>
      </c>
      <c r="C2238" t="s">
        <v>2516</v>
      </c>
      <c r="D2238">
        <v>1</v>
      </c>
      <c r="E2238">
        <v>1955</v>
      </c>
      <c r="F2238" t="s">
        <v>5518</v>
      </c>
      <c r="G2238" t="s">
        <v>5519</v>
      </c>
      <c r="H2238">
        <v>565360</v>
      </c>
      <c r="I2238">
        <v>0</v>
      </c>
      <c r="J2238">
        <v>0</v>
      </c>
      <c r="K2238">
        <v>0</v>
      </c>
      <c r="L2238">
        <v>0</v>
      </c>
      <c r="M2238">
        <v>599</v>
      </c>
    </row>
    <row r="2239" spans="1:13" ht="15">
      <c r="A2239" t="s">
        <v>3729</v>
      </c>
      <c r="B2239" s="1040" t="str">
        <f>CONCATENATE(LEFT(RIGHT(CONCATENATE("000",IFAData_TEA_1718!A2239),6),3),"-",(RIGHT(RIGHT(CONCATENATE("000",IFAData_TEA_1718!A2239),6),3)))</f>
        <v>220-914</v>
      </c>
      <c r="C2239" t="s">
        <v>2516</v>
      </c>
      <c r="D2239">
        <v>1</v>
      </c>
      <c r="E2239">
        <v>1955</v>
      </c>
      <c r="F2239" t="s">
        <v>5518</v>
      </c>
      <c r="G2239" t="s">
        <v>5520</v>
      </c>
      <c r="H2239">
        <v>565360</v>
      </c>
      <c r="I2239">
        <v>0</v>
      </c>
      <c r="J2239">
        <v>0</v>
      </c>
      <c r="K2239">
        <v>0</v>
      </c>
      <c r="L2239">
        <v>0</v>
      </c>
      <c r="M2239">
        <v>599</v>
      </c>
    </row>
    <row r="2240" spans="1:13" ht="15">
      <c r="A2240" t="s">
        <v>3729</v>
      </c>
      <c r="B2240" s="1040" t="str">
        <f>CONCATENATE(LEFT(RIGHT(CONCATENATE("000",IFAData_TEA_1718!A2240),6),3),"-",(RIGHT(RIGHT(CONCATENATE("000",IFAData_TEA_1718!A2240),6),3)))</f>
        <v>220-914</v>
      </c>
      <c r="C2240" t="s">
        <v>2516</v>
      </c>
      <c r="D2240">
        <v>1</v>
      </c>
      <c r="E2240">
        <v>1955</v>
      </c>
      <c r="F2240" t="s">
        <v>5518</v>
      </c>
      <c r="G2240" t="s">
        <v>6334</v>
      </c>
      <c r="H2240">
        <v>565360</v>
      </c>
      <c r="I2240">
        <v>481154</v>
      </c>
      <c r="J2240">
        <v>1</v>
      </c>
      <c r="K2240">
        <v>565360</v>
      </c>
      <c r="L2240">
        <v>481154</v>
      </c>
      <c r="M2240">
        <v>599</v>
      </c>
    </row>
    <row r="2241" spans="1:13" ht="15">
      <c r="A2241" t="s">
        <v>3730</v>
      </c>
      <c r="B2241" s="1040" t="str">
        <f>CONCATENATE(LEFT(RIGHT(CONCATENATE("000",IFAData_TEA_1718!A2241),6),3),"-",(RIGHT(RIGHT(CONCATENATE("000",IFAData_TEA_1718!A2241),6),3)))</f>
        <v>220-915</v>
      </c>
      <c r="C2241" t="s">
        <v>2119</v>
      </c>
      <c r="D2241">
        <v>3</v>
      </c>
      <c r="E2241">
        <v>1588</v>
      </c>
      <c r="F2241" t="s">
        <v>5521</v>
      </c>
      <c r="G2241" t="s">
        <v>5521</v>
      </c>
      <c r="H2241">
        <v>1377910</v>
      </c>
      <c r="I2241">
        <v>0</v>
      </c>
      <c r="J2241">
        <v>0</v>
      </c>
      <c r="K2241">
        <v>0</v>
      </c>
      <c r="L2241">
        <v>0</v>
      </c>
      <c r="M2241">
        <v>599</v>
      </c>
    </row>
    <row r="2242" spans="1:13" ht="15">
      <c r="A2242" t="s">
        <v>3730</v>
      </c>
      <c r="B2242" s="1040" t="str">
        <f>CONCATENATE(LEFT(RIGHT(CONCATENATE("000",IFAData_TEA_1718!A2242),6),3),"-",(RIGHT(RIGHT(CONCATENATE("000",IFAData_TEA_1718!A2242),6),3)))</f>
        <v>220-915</v>
      </c>
      <c r="C2242" t="s">
        <v>2119</v>
      </c>
      <c r="D2242">
        <v>3</v>
      </c>
      <c r="E2242">
        <v>1588</v>
      </c>
      <c r="F2242" t="s">
        <v>5521</v>
      </c>
      <c r="G2242" t="s">
        <v>5522</v>
      </c>
      <c r="H2242">
        <v>1377910</v>
      </c>
      <c r="I2242">
        <v>0</v>
      </c>
      <c r="J2242">
        <v>0</v>
      </c>
      <c r="K2242">
        <v>0</v>
      </c>
      <c r="L2242">
        <v>0</v>
      </c>
      <c r="M2242">
        <v>599</v>
      </c>
    </row>
    <row r="2243" spans="1:13" ht="15">
      <c r="A2243" t="s">
        <v>3730</v>
      </c>
      <c r="B2243" s="1040" t="str">
        <f>CONCATENATE(LEFT(RIGHT(CONCATENATE("000",IFAData_TEA_1718!A2243),6),3),"-",(RIGHT(RIGHT(CONCATENATE("000",IFAData_TEA_1718!A2243),6),3)))</f>
        <v>220-915</v>
      </c>
      <c r="C2243" t="s">
        <v>2119</v>
      </c>
      <c r="D2243">
        <v>3</v>
      </c>
      <c r="E2243">
        <v>1588</v>
      </c>
      <c r="F2243" t="s">
        <v>5521</v>
      </c>
      <c r="G2243" t="s">
        <v>5523</v>
      </c>
      <c r="H2243">
        <v>1377910</v>
      </c>
      <c r="I2243">
        <v>0</v>
      </c>
      <c r="J2243">
        <v>0</v>
      </c>
      <c r="K2243">
        <v>0</v>
      </c>
      <c r="L2243">
        <v>0</v>
      </c>
      <c r="M2243">
        <v>599</v>
      </c>
    </row>
    <row r="2244" spans="1:13" ht="15">
      <c r="A2244" t="s">
        <v>3730</v>
      </c>
      <c r="B2244" s="1040" t="str">
        <f>CONCATENATE(LEFT(RIGHT(CONCATENATE("000",IFAData_TEA_1718!A2244),6),3),"-",(RIGHT(RIGHT(CONCATENATE("000",IFAData_TEA_1718!A2244),6),3)))</f>
        <v>220-915</v>
      </c>
      <c r="C2244" t="s">
        <v>2119</v>
      </c>
      <c r="D2244">
        <v>3</v>
      </c>
      <c r="E2244">
        <v>1588</v>
      </c>
      <c r="F2244" t="s">
        <v>5521</v>
      </c>
      <c r="G2244" t="s">
        <v>5524</v>
      </c>
      <c r="H2244">
        <v>1377910</v>
      </c>
      <c r="I2244">
        <v>1982163</v>
      </c>
      <c r="J2244">
        <v>1</v>
      </c>
      <c r="K2244">
        <v>1377910</v>
      </c>
      <c r="L2244">
        <v>1377910</v>
      </c>
      <c r="M2244">
        <v>599</v>
      </c>
    </row>
    <row r="2245" spans="1:13" ht="15">
      <c r="A2245" t="s">
        <v>3731</v>
      </c>
      <c r="B2245" s="1040" t="str">
        <f>CONCATENATE(LEFT(RIGHT(CONCATENATE("000",IFAData_TEA_1718!A2245),6),3),"-",(RIGHT(RIGHT(CONCATENATE("000",IFAData_TEA_1718!A2245),6),3)))</f>
        <v>220-916</v>
      </c>
      <c r="C2245" t="s">
        <v>1267</v>
      </c>
      <c r="D2245">
        <v>2</v>
      </c>
      <c r="E2245">
        <v>1920</v>
      </c>
      <c r="F2245" t="s">
        <v>5525</v>
      </c>
      <c r="G2245" t="s">
        <v>5525</v>
      </c>
      <c r="H2245">
        <v>4462566</v>
      </c>
      <c r="I2245">
        <v>0</v>
      </c>
      <c r="J2245">
        <v>0</v>
      </c>
      <c r="K2245">
        <v>0</v>
      </c>
      <c r="L2245">
        <v>0</v>
      </c>
      <c r="M2245">
        <v>599</v>
      </c>
    </row>
    <row r="2246" spans="1:13" ht="15">
      <c r="A2246" t="s">
        <v>3731</v>
      </c>
      <c r="B2246" s="1040" t="str">
        <f>CONCATENATE(LEFT(RIGHT(CONCATENATE("000",IFAData_TEA_1718!A2246),6),3),"-",(RIGHT(RIGHT(CONCATENATE("000",IFAData_TEA_1718!A2246),6),3)))</f>
        <v>220-916</v>
      </c>
      <c r="C2246" t="s">
        <v>1267</v>
      </c>
      <c r="D2246">
        <v>2</v>
      </c>
      <c r="E2246">
        <v>1920</v>
      </c>
      <c r="F2246" t="s">
        <v>5525</v>
      </c>
      <c r="G2246" t="s">
        <v>5526</v>
      </c>
      <c r="H2246">
        <v>4462566</v>
      </c>
      <c r="I2246">
        <v>531727</v>
      </c>
      <c r="J2246">
        <v>6.96898585237955E-2</v>
      </c>
      <c r="K2246">
        <v>310995.59319310001</v>
      </c>
      <c r="L2246">
        <v>310995.59319310001</v>
      </c>
      <c r="M2246">
        <v>599</v>
      </c>
    </row>
    <row r="2247" spans="1:13" ht="15">
      <c r="A2247" t="s">
        <v>3731</v>
      </c>
      <c r="B2247" s="1040" t="str">
        <f>CONCATENATE(LEFT(RIGHT(CONCATENATE("000",IFAData_TEA_1718!A2247),6),3),"-",(RIGHT(RIGHT(CONCATENATE("000",IFAData_TEA_1718!A2247),6),3)))</f>
        <v>220-916</v>
      </c>
      <c r="C2247" t="s">
        <v>1267</v>
      </c>
      <c r="D2247">
        <v>2</v>
      </c>
      <c r="E2247">
        <v>1920</v>
      </c>
      <c r="F2247" t="s">
        <v>5525</v>
      </c>
      <c r="G2247" t="s">
        <v>5527</v>
      </c>
      <c r="H2247">
        <v>4462566</v>
      </c>
      <c r="I2247">
        <v>316297</v>
      </c>
      <c r="J2247">
        <v>4.1454906712468903E-2</v>
      </c>
      <c r="K2247">
        <v>184995.25722823499</v>
      </c>
      <c r="L2247">
        <v>184995.25722823499</v>
      </c>
      <c r="M2247">
        <v>599</v>
      </c>
    </row>
    <row r="2248" spans="1:13" ht="15">
      <c r="A2248" t="s">
        <v>3731</v>
      </c>
      <c r="B2248" s="1040" t="str">
        <f>CONCATENATE(LEFT(RIGHT(CONCATENATE("000",IFAData_TEA_1718!A2248),6),3),"-",(RIGHT(RIGHT(CONCATENATE("000",IFAData_TEA_1718!A2248),6),3)))</f>
        <v>220-916</v>
      </c>
      <c r="C2248" t="s">
        <v>1267</v>
      </c>
      <c r="D2248">
        <v>2</v>
      </c>
      <c r="E2248">
        <v>1920</v>
      </c>
      <c r="F2248" t="s">
        <v>5525</v>
      </c>
      <c r="G2248" t="s">
        <v>6335</v>
      </c>
      <c r="H2248">
        <v>4462566</v>
      </c>
      <c r="I2248">
        <v>3569886</v>
      </c>
      <c r="J2248">
        <v>0.46788079274905803</v>
      </c>
      <c r="K2248">
        <v>2087948.91777499</v>
      </c>
      <c r="L2248">
        <v>2087948.91777499</v>
      </c>
      <c r="M2248">
        <v>599</v>
      </c>
    </row>
    <row r="2249" spans="1:13" ht="15">
      <c r="A2249" t="s">
        <v>3731</v>
      </c>
      <c r="B2249" s="1040" t="str">
        <f>CONCATENATE(LEFT(RIGHT(CONCATENATE("000",IFAData_TEA_1718!A2249),6),3),"-",(RIGHT(RIGHT(CONCATENATE("000",IFAData_TEA_1718!A2249),6),3)))</f>
        <v>220-916</v>
      </c>
      <c r="C2249" t="s">
        <v>1267</v>
      </c>
      <c r="D2249">
        <v>2</v>
      </c>
      <c r="E2249">
        <v>1920</v>
      </c>
      <c r="F2249" t="s">
        <v>5525</v>
      </c>
      <c r="G2249" t="s">
        <v>8510</v>
      </c>
      <c r="H2249">
        <v>4462566</v>
      </c>
      <c r="I2249">
        <v>3211995</v>
      </c>
      <c r="J2249">
        <v>0.42097444201467799</v>
      </c>
      <c r="K2249">
        <v>1878626.2318036701</v>
      </c>
      <c r="L2249">
        <v>1878626.2318036701</v>
      </c>
      <c r="M2249">
        <v>599</v>
      </c>
    </row>
    <row r="2250" spans="1:13" ht="15">
      <c r="A2250" t="s">
        <v>3732</v>
      </c>
      <c r="B2250" s="1040" t="str">
        <f>CONCATENATE(LEFT(RIGHT(CONCATENATE("000",IFAData_TEA_1718!A2250),6),3),"-",(RIGHT(RIGHT(CONCATENATE("000",IFAData_TEA_1718!A2250),6),3)))</f>
        <v>220-917</v>
      </c>
      <c r="C2250" t="s">
        <v>657</v>
      </c>
      <c r="D2250">
        <v>5</v>
      </c>
      <c r="E2250">
        <v>1668</v>
      </c>
      <c r="F2250" t="s">
        <v>5528</v>
      </c>
      <c r="G2250" t="s">
        <v>5528</v>
      </c>
      <c r="H2250">
        <v>711722</v>
      </c>
      <c r="I2250">
        <v>0</v>
      </c>
      <c r="J2250">
        <v>0</v>
      </c>
      <c r="K2250"/>
      <c r="L2250">
        <v>0</v>
      </c>
      <c r="M2250">
        <v>199</v>
      </c>
    </row>
    <row r="2251" spans="1:13" ht="15">
      <c r="A2251" t="s">
        <v>3732</v>
      </c>
      <c r="B2251" s="1040" t="str">
        <f>CONCATENATE(LEFT(RIGHT(CONCATENATE("000",IFAData_TEA_1718!A2251),6),3),"-",(RIGHT(RIGHT(CONCATENATE("000",IFAData_TEA_1718!A2251),6),3)))</f>
        <v>220-917</v>
      </c>
      <c r="C2251" t="s">
        <v>657</v>
      </c>
      <c r="D2251">
        <v>10</v>
      </c>
      <c r="E2251">
        <v>1669</v>
      </c>
      <c r="F2251" t="s">
        <v>5531</v>
      </c>
      <c r="G2251" t="s">
        <v>5531</v>
      </c>
      <c r="H2251">
        <v>843841</v>
      </c>
      <c r="I2251">
        <v>1566212</v>
      </c>
      <c r="J2251">
        <v>1</v>
      </c>
      <c r="K2251">
        <v>843841</v>
      </c>
      <c r="L2251">
        <v>843841</v>
      </c>
      <c r="M2251">
        <v>599</v>
      </c>
    </row>
    <row r="2252" spans="1:13" ht="15">
      <c r="A2252" t="s">
        <v>3733</v>
      </c>
      <c r="B2252" s="1040" t="str">
        <f>CONCATENATE(LEFT(RIGHT(CONCATENATE("000",IFAData_TEA_1718!A2252),6),3),"-",(RIGHT(RIGHT(CONCATENATE("000",IFAData_TEA_1718!A2252),6),3)))</f>
        <v>220-918</v>
      </c>
      <c r="C2252" t="s">
        <v>1280</v>
      </c>
      <c r="D2252">
        <v>10</v>
      </c>
      <c r="E2252">
        <v>1772</v>
      </c>
      <c r="F2252" t="s">
        <v>5532</v>
      </c>
      <c r="G2252" t="s">
        <v>5532</v>
      </c>
      <c r="H2252">
        <v>4072151</v>
      </c>
      <c r="I2252">
        <v>4355311</v>
      </c>
      <c r="J2252">
        <v>0.53251222673252796</v>
      </c>
      <c r="K2252">
        <v>2168470.19660109</v>
      </c>
      <c r="L2252">
        <v>2168470.19660109</v>
      </c>
      <c r="M2252">
        <v>599</v>
      </c>
    </row>
    <row r="2253" spans="1:13" ht="15">
      <c r="A2253" t="s">
        <v>3733</v>
      </c>
      <c r="B2253" s="1040" t="str">
        <f>CONCATENATE(LEFT(RIGHT(CONCATENATE("000",IFAData_TEA_1718!A2253),6),3),"-",(RIGHT(RIGHT(CONCATENATE("000",IFAData_TEA_1718!A2253),6),3)))</f>
        <v>220-918</v>
      </c>
      <c r="C2253" t="s">
        <v>1280</v>
      </c>
      <c r="D2253">
        <v>10</v>
      </c>
      <c r="E2253">
        <v>1772</v>
      </c>
      <c r="F2253" t="s">
        <v>5532</v>
      </c>
      <c r="G2253" t="s">
        <v>6336</v>
      </c>
      <c r="H2253">
        <v>4072151</v>
      </c>
      <c r="I2253">
        <v>0</v>
      </c>
      <c r="J2253">
        <v>0</v>
      </c>
      <c r="K2253">
        <v>0</v>
      </c>
      <c r="L2253">
        <v>0</v>
      </c>
      <c r="M2253">
        <v>599</v>
      </c>
    </row>
    <row r="2254" spans="1:13" ht="15">
      <c r="A2254" t="s">
        <v>3733</v>
      </c>
      <c r="B2254" s="1040" t="str">
        <f>CONCATENATE(LEFT(RIGHT(CONCATENATE("000",IFAData_TEA_1718!A2254),6),3),"-",(RIGHT(RIGHT(CONCATENATE("000",IFAData_TEA_1718!A2254),6),3)))</f>
        <v>220-918</v>
      </c>
      <c r="C2254" t="s">
        <v>1280</v>
      </c>
      <c r="D2254">
        <v>10</v>
      </c>
      <c r="E2254">
        <v>1772</v>
      </c>
      <c r="F2254" t="s">
        <v>5532</v>
      </c>
      <c r="G2254" t="s">
        <v>6544</v>
      </c>
      <c r="H2254">
        <v>4072151</v>
      </c>
      <c r="I2254">
        <v>1979315</v>
      </c>
      <c r="J2254">
        <v>0.242005550936568</v>
      </c>
      <c r="K2254">
        <v>985483.146251895</v>
      </c>
      <c r="L2254">
        <v>985483.146251895</v>
      </c>
      <c r="M2254">
        <v>599</v>
      </c>
    </row>
    <row r="2255" spans="1:13" ht="15">
      <c r="A2255" t="s">
        <v>3733</v>
      </c>
      <c r="B2255" s="1040" t="str">
        <f>CONCATENATE(LEFT(RIGHT(CONCATENATE("000",IFAData_TEA_1718!A2255),6),3),"-",(RIGHT(RIGHT(CONCATENATE("000",IFAData_TEA_1718!A2255),6),3)))</f>
        <v>220-918</v>
      </c>
      <c r="C2255" t="s">
        <v>1280</v>
      </c>
      <c r="D2255">
        <v>10</v>
      </c>
      <c r="E2255">
        <v>1772</v>
      </c>
      <c r="F2255" t="s">
        <v>5532</v>
      </c>
      <c r="G2255" t="s">
        <v>8511</v>
      </c>
      <c r="H2255">
        <v>4072151</v>
      </c>
      <c r="I2255">
        <v>1844174</v>
      </c>
      <c r="J2255">
        <v>0.22548222233090401</v>
      </c>
      <c r="K2255">
        <v>918197.65714701405</v>
      </c>
      <c r="L2255">
        <v>918197.65714701405</v>
      </c>
      <c r="M2255">
        <v>599</v>
      </c>
    </row>
    <row r="2256" spans="1:13" ht="15">
      <c r="A2256" t="s">
        <v>5533</v>
      </c>
      <c r="B2256" s="1040" t="str">
        <f>CONCATENATE(LEFT(RIGHT(CONCATENATE("000",IFAData_TEA_1718!A2256),6),3),"-",(RIGHT(RIGHT(CONCATENATE("000",IFAData_TEA_1718!A2256),6),3)))</f>
        <v>220-919</v>
      </c>
      <c r="C2256" t="s">
        <v>656</v>
      </c>
      <c r="D2256">
        <v>1</v>
      </c>
      <c r="E2256">
        <v>1666</v>
      </c>
      <c r="F2256" t="s">
        <v>5534</v>
      </c>
      <c r="G2256" t="s">
        <v>5534</v>
      </c>
      <c r="H2256">
        <v>602473</v>
      </c>
      <c r="I2256">
        <v>0</v>
      </c>
      <c r="J2256">
        <v>0</v>
      </c>
      <c r="K2256"/>
      <c r="L2256">
        <v>0</v>
      </c>
      <c r="M2256">
        <v>599</v>
      </c>
    </row>
    <row r="2257" spans="1:13" ht="15">
      <c r="A2257" t="s">
        <v>5533</v>
      </c>
      <c r="B2257" s="1040" t="str">
        <f>CONCATENATE(LEFT(RIGHT(CONCATENATE("000",IFAData_TEA_1718!A2257),6),3),"-",(RIGHT(RIGHT(CONCATENATE("000",IFAData_TEA_1718!A2257),6),3)))</f>
        <v>220-919</v>
      </c>
      <c r="C2257" t="s">
        <v>656</v>
      </c>
      <c r="D2257">
        <v>1</v>
      </c>
      <c r="E2257">
        <v>1667</v>
      </c>
      <c r="F2257" t="s">
        <v>5535</v>
      </c>
      <c r="G2257" t="s">
        <v>5535</v>
      </c>
      <c r="H2257">
        <v>693277</v>
      </c>
      <c r="I2257">
        <v>197593</v>
      </c>
      <c r="J2257">
        <v>1</v>
      </c>
      <c r="K2257">
        <v>693277</v>
      </c>
      <c r="L2257">
        <v>197593</v>
      </c>
      <c r="M2257">
        <v>599</v>
      </c>
    </row>
    <row r="2258" spans="1:13" ht="15">
      <c r="A2258" t="s">
        <v>3734</v>
      </c>
      <c r="B2258" s="1040" t="str">
        <f>CONCATENATE(LEFT(RIGHT(CONCATENATE("000",IFAData_TEA_1718!A2258),6),3),"-",(RIGHT(RIGHT(CONCATENATE("000",IFAData_TEA_1718!A2258),6),3)))</f>
        <v>220-920</v>
      </c>
      <c r="C2258" t="s">
        <v>1333</v>
      </c>
      <c r="D2258">
        <v>1</v>
      </c>
      <c r="E2258">
        <v>2449</v>
      </c>
      <c r="F2258" t="s">
        <v>5536</v>
      </c>
      <c r="G2258" t="s">
        <v>5536</v>
      </c>
      <c r="H2258">
        <v>729878</v>
      </c>
      <c r="I2258">
        <v>0</v>
      </c>
      <c r="J2258">
        <v>0</v>
      </c>
      <c r="K2258">
        <v>0</v>
      </c>
      <c r="L2258">
        <v>0</v>
      </c>
      <c r="M2258">
        <v>599</v>
      </c>
    </row>
    <row r="2259" spans="1:13" ht="15">
      <c r="A2259" t="s">
        <v>3734</v>
      </c>
      <c r="B2259" s="1040" t="str">
        <f>CONCATENATE(LEFT(RIGHT(CONCATENATE("000",IFAData_TEA_1718!A2259),6),3),"-",(RIGHT(RIGHT(CONCATENATE("000",IFAData_TEA_1718!A2259),6),3)))</f>
        <v>220-920</v>
      </c>
      <c r="C2259" t="s">
        <v>1333</v>
      </c>
      <c r="D2259">
        <v>1</v>
      </c>
      <c r="E2259">
        <v>2449</v>
      </c>
      <c r="F2259" t="s">
        <v>5536</v>
      </c>
      <c r="G2259" t="s">
        <v>5537</v>
      </c>
      <c r="H2259">
        <v>729878</v>
      </c>
      <c r="I2259">
        <v>106137</v>
      </c>
      <c r="J2259">
        <v>9.5898060028786494E-2</v>
      </c>
      <c r="K2259">
        <v>69993.884257690603</v>
      </c>
      <c r="L2259">
        <v>69993.884257690603</v>
      </c>
      <c r="M2259">
        <v>599</v>
      </c>
    </row>
    <row r="2260" spans="1:13" ht="15">
      <c r="A2260" t="s">
        <v>3734</v>
      </c>
      <c r="B2260" s="1040" t="str">
        <f>CONCATENATE(LEFT(RIGHT(CONCATENATE("000",IFAData_TEA_1718!A2260),6),3),"-",(RIGHT(RIGHT(CONCATENATE("000",IFAData_TEA_1718!A2260),6),3)))</f>
        <v>220-920</v>
      </c>
      <c r="C2260" t="s">
        <v>1333</v>
      </c>
      <c r="D2260">
        <v>1</v>
      </c>
      <c r="E2260">
        <v>2449</v>
      </c>
      <c r="F2260" t="s">
        <v>5536</v>
      </c>
      <c r="G2260" t="s">
        <v>5538</v>
      </c>
      <c r="H2260">
        <v>729878</v>
      </c>
      <c r="I2260">
        <v>96444</v>
      </c>
      <c r="J2260">
        <v>8.7140134933305899E-2</v>
      </c>
      <c r="K2260">
        <v>63601.667404851403</v>
      </c>
      <c r="L2260">
        <v>63601.667404851403</v>
      </c>
      <c r="M2260">
        <v>599</v>
      </c>
    </row>
    <row r="2261" spans="1:13" ht="15">
      <c r="A2261" t="s">
        <v>3734</v>
      </c>
      <c r="B2261" s="1040" t="str">
        <f>CONCATENATE(LEFT(RIGHT(CONCATENATE("000",IFAData_TEA_1718!A2261),6),3),"-",(RIGHT(RIGHT(CONCATENATE("000",IFAData_TEA_1718!A2261),6),3)))</f>
        <v>220-920</v>
      </c>
      <c r="C2261" t="s">
        <v>1333</v>
      </c>
      <c r="D2261">
        <v>1</v>
      </c>
      <c r="E2261">
        <v>2449</v>
      </c>
      <c r="F2261" t="s">
        <v>5536</v>
      </c>
      <c r="G2261" t="s">
        <v>5539</v>
      </c>
      <c r="H2261">
        <v>729878</v>
      </c>
      <c r="I2261">
        <v>602778</v>
      </c>
      <c r="J2261">
        <v>0.54462855392588705</v>
      </c>
      <c r="K2261">
        <v>397512.39968231902</v>
      </c>
      <c r="L2261">
        <v>397512.39968231902</v>
      </c>
      <c r="M2261">
        <v>599</v>
      </c>
    </row>
    <row r="2262" spans="1:13" ht="15">
      <c r="A2262" t="s">
        <v>3734</v>
      </c>
      <c r="B2262" s="1040" t="str">
        <f>CONCATENATE(LEFT(RIGHT(CONCATENATE("000",IFAData_TEA_1718!A2262),6),3),"-",(RIGHT(RIGHT(CONCATENATE("000",IFAData_TEA_1718!A2262),6),3)))</f>
        <v>220-920</v>
      </c>
      <c r="C2262" t="s">
        <v>1333</v>
      </c>
      <c r="D2262">
        <v>1</v>
      </c>
      <c r="E2262">
        <v>2449</v>
      </c>
      <c r="F2262" t="s">
        <v>5536</v>
      </c>
      <c r="G2262" t="s">
        <v>5540</v>
      </c>
      <c r="H2262">
        <v>729878</v>
      </c>
      <c r="I2262">
        <v>6383</v>
      </c>
      <c r="J2262">
        <v>5.7672377885538903E-3</v>
      </c>
      <c r="K2262">
        <v>4209.3799826341401</v>
      </c>
      <c r="L2262">
        <v>4209.3799826341401</v>
      </c>
      <c r="M2262">
        <v>599</v>
      </c>
    </row>
    <row r="2263" spans="1:13" ht="15">
      <c r="A2263" t="s">
        <v>3734</v>
      </c>
      <c r="B2263" s="1040" t="str">
        <f>CONCATENATE(LEFT(RIGHT(CONCATENATE("000",IFAData_TEA_1718!A2263),6),3),"-",(RIGHT(RIGHT(CONCATENATE("000",IFAData_TEA_1718!A2263),6),3)))</f>
        <v>220-920</v>
      </c>
      <c r="C2263" t="s">
        <v>1333</v>
      </c>
      <c r="D2263">
        <v>1</v>
      </c>
      <c r="E2263">
        <v>2449</v>
      </c>
      <c r="F2263" t="s">
        <v>5536</v>
      </c>
      <c r="G2263" t="s">
        <v>6338</v>
      </c>
      <c r="H2263">
        <v>729878</v>
      </c>
      <c r="I2263">
        <v>204686</v>
      </c>
      <c r="J2263">
        <v>0.18494012752435199</v>
      </c>
      <c r="K2263">
        <v>134983.73039721901</v>
      </c>
      <c r="L2263">
        <v>134983.73039721901</v>
      </c>
      <c r="M2263">
        <v>599</v>
      </c>
    </row>
    <row r="2264" spans="1:13" ht="15">
      <c r="A2264" t="s">
        <v>3734</v>
      </c>
      <c r="B2264" s="1040" t="str">
        <f>CONCATENATE(LEFT(RIGHT(CONCATENATE("000",IFAData_TEA_1718!A2264),6),3),"-",(RIGHT(RIGHT(CONCATENATE("000",IFAData_TEA_1718!A2264),6),3)))</f>
        <v>220-920</v>
      </c>
      <c r="C2264" t="s">
        <v>1333</v>
      </c>
      <c r="D2264">
        <v>1</v>
      </c>
      <c r="E2264">
        <v>2449</v>
      </c>
      <c r="F2264" t="s">
        <v>5536</v>
      </c>
      <c r="G2264" t="s">
        <v>6337</v>
      </c>
      <c r="H2264">
        <v>729878</v>
      </c>
      <c r="I2264">
        <v>36562</v>
      </c>
      <c r="J2264">
        <v>3.3034897074276599E-2</v>
      </c>
      <c r="K2264">
        <v>24111.444606778801</v>
      </c>
      <c r="L2264">
        <v>24111.444606778801</v>
      </c>
      <c r="M2264">
        <v>599</v>
      </c>
    </row>
    <row r="2265" spans="1:13" ht="15">
      <c r="A2265" t="s">
        <v>3734</v>
      </c>
      <c r="B2265" s="1040" t="str">
        <f>CONCATENATE(LEFT(RIGHT(CONCATENATE("000",IFAData_TEA_1718!A2265),6),3),"-",(RIGHT(RIGHT(CONCATENATE("000",IFAData_TEA_1718!A2265),6),3)))</f>
        <v>220-920</v>
      </c>
      <c r="C2265" t="s">
        <v>1333</v>
      </c>
      <c r="D2265">
        <v>1</v>
      </c>
      <c r="E2265">
        <v>2449</v>
      </c>
      <c r="F2265" t="s">
        <v>5536</v>
      </c>
      <c r="G2265" t="s">
        <v>6545</v>
      </c>
      <c r="H2265">
        <v>729878</v>
      </c>
      <c r="I2265">
        <v>53779</v>
      </c>
      <c r="J2265">
        <v>4.8590988724837803E-2</v>
      </c>
      <c r="K2265">
        <v>35465.493668507203</v>
      </c>
      <c r="L2265">
        <v>35465.493668507203</v>
      </c>
      <c r="M2265">
        <v>599</v>
      </c>
    </row>
    <row r="2266" spans="1:13" ht="15">
      <c r="A2266" t="s">
        <v>3734</v>
      </c>
      <c r="B2266" s="1040" t="str">
        <f>CONCATENATE(LEFT(RIGHT(CONCATENATE("000",IFAData_TEA_1718!A2266),6),3),"-",(RIGHT(RIGHT(CONCATENATE("000",IFAData_TEA_1718!A2266),6),3)))</f>
        <v>220-920</v>
      </c>
      <c r="C2266" t="s">
        <v>1333</v>
      </c>
      <c r="D2266">
        <v>9</v>
      </c>
      <c r="E2266">
        <v>2450</v>
      </c>
      <c r="F2266" t="s">
        <v>5537</v>
      </c>
      <c r="G2266" t="s">
        <v>5537</v>
      </c>
      <c r="H2266">
        <v>1433532</v>
      </c>
      <c r="I2266">
        <v>0</v>
      </c>
      <c r="J2266">
        <v>0</v>
      </c>
      <c r="K2266">
        <v>0</v>
      </c>
      <c r="L2266">
        <v>0</v>
      </c>
      <c r="M2266">
        <v>599</v>
      </c>
    </row>
    <row r="2267" spans="1:13" ht="15">
      <c r="A2267" t="s">
        <v>3734</v>
      </c>
      <c r="B2267" s="1040" t="str">
        <f>CONCATENATE(LEFT(RIGHT(CONCATENATE("000",IFAData_TEA_1718!A2267),6),3),"-",(RIGHT(RIGHT(CONCATENATE("000",IFAData_TEA_1718!A2267),6),3)))</f>
        <v>220-920</v>
      </c>
      <c r="C2267" t="s">
        <v>1333</v>
      </c>
      <c r="D2267">
        <v>9</v>
      </c>
      <c r="E2267">
        <v>2450</v>
      </c>
      <c r="F2267" t="s">
        <v>5537</v>
      </c>
      <c r="G2267" t="s">
        <v>5539</v>
      </c>
      <c r="H2267">
        <v>1433532</v>
      </c>
      <c r="I2267">
        <v>533995</v>
      </c>
      <c r="J2267">
        <v>0.647247837638663</v>
      </c>
      <c r="K2267">
        <v>927850.48718582699</v>
      </c>
      <c r="L2267">
        <v>533995</v>
      </c>
      <c r="M2267">
        <v>599</v>
      </c>
    </row>
    <row r="2268" spans="1:13" ht="15">
      <c r="A2268" t="s">
        <v>3734</v>
      </c>
      <c r="B2268" s="1040" t="str">
        <f>CONCATENATE(LEFT(RIGHT(CONCATENATE("000",IFAData_TEA_1718!A2268),6),3),"-",(RIGHT(RIGHT(CONCATENATE("000",IFAData_TEA_1718!A2268),6),3)))</f>
        <v>220-920</v>
      </c>
      <c r="C2268" t="s">
        <v>1333</v>
      </c>
      <c r="D2268">
        <v>9</v>
      </c>
      <c r="E2268">
        <v>2450</v>
      </c>
      <c r="F2268" t="s">
        <v>5537</v>
      </c>
      <c r="G2268" t="s">
        <v>5540</v>
      </c>
      <c r="H2268">
        <v>1433532</v>
      </c>
      <c r="I2268">
        <v>344</v>
      </c>
      <c r="J2268">
        <v>4.1695756729501199E-4</v>
      </c>
      <c r="K2268">
        <v>597.72201535955298</v>
      </c>
      <c r="L2268">
        <v>344</v>
      </c>
      <c r="M2268">
        <v>599</v>
      </c>
    </row>
    <row r="2269" spans="1:13" ht="15">
      <c r="A2269" t="s">
        <v>3734</v>
      </c>
      <c r="B2269" s="1040" t="str">
        <f>CONCATENATE(LEFT(RIGHT(CONCATENATE("000",IFAData_TEA_1718!A2269),6),3),"-",(RIGHT(RIGHT(CONCATENATE("000",IFAData_TEA_1718!A2269),6),3)))</f>
        <v>220-920</v>
      </c>
      <c r="C2269" t="s">
        <v>1333</v>
      </c>
      <c r="D2269">
        <v>9</v>
      </c>
      <c r="E2269">
        <v>2450</v>
      </c>
      <c r="F2269" t="s">
        <v>5537</v>
      </c>
      <c r="G2269" t="s">
        <v>6337</v>
      </c>
      <c r="H2269">
        <v>1433532</v>
      </c>
      <c r="I2269">
        <v>290685</v>
      </c>
      <c r="J2269">
        <v>0.35233520479404201</v>
      </c>
      <c r="K2269">
        <v>505083.79079881299</v>
      </c>
      <c r="L2269">
        <v>290685</v>
      </c>
      <c r="M2269">
        <v>599</v>
      </c>
    </row>
    <row r="2270" spans="1:13" ht="15">
      <c r="A2270" t="s">
        <v>6103</v>
      </c>
      <c r="B2270" s="1040" t="str">
        <f>CONCATENATE(LEFT(RIGHT(CONCATENATE("000",IFAData_TEA_1718!A2270),6),3),"-",(RIGHT(RIGHT(CONCATENATE("000",IFAData_TEA_1718!A2270),6),3)))</f>
        <v>221-901</v>
      </c>
      <c r="C2270" t="s">
        <v>1281</v>
      </c>
      <c r="D2270">
        <v>11</v>
      </c>
      <c r="E2270">
        <v>2582</v>
      </c>
      <c r="F2270" t="s">
        <v>8512</v>
      </c>
      <c r="G2270" t="s">
        <v>8512</v>
      </c>
      <c r="H2270">
        <v>2870323</v>
      </c>
      <c r="I2270">
        <v>2894270</v>
      </c>
      <c r="J2270">
        <v>1</v>
      </c>
      <c r="K2270">
        <v>2870323</v>
      </c>
      <c r="L2270">
        <v>2870323</v>
      </c>
      <c r="M2270">
        <v>599</v>
      </c>
    </row>
    <row r="2271" spans="1:13" ht="15">
      <c r="A2271" t="s">
        <v>3735</v>
      </c>
      <c r="B2271" s="1040" t="str">
        <f>CONCATENATE(LEFT(RIGHT(CONCATENATE("000",IFAData_TEA_1718!A2271),6),3),"-",(RIGHT(RIGHT(CONCATENATE("000",IFAData_TEA_1718!A2271),6),3)))</f>
        <v>223-902</v>
      </c>
      <c r="C2271" t="s">
        <v>822</v>
      </c>
      <c r="D2271">
        <v>5</v>
      </c>
      <c r="E2271">
        <v>2084</v>
      </c>
      <c r="F2271" t="s">
        <v>5541</v>
      </c>
      <c r="G2271" t="s">
        <v>5541</v>
      </c>
      <c r="H2271">
        <v>100000</v>
      </c>
      <c r="I2271">
        <v>0</v>
      </c>
      <c r="J2271">
        <v>0</v>
      </c>
      <c r="K2271">
        <v>0</v>
      </c>
      <c r="L2271">
        <v>0</v>
      </c>
      <c r="M2271">
        <v>599</v>
      </c>
    </row>
    <row r="2272" spans="1:13" ht="15">
      <c r="A2272" t="s">
        <v>3735</v>
      </c>
      <c r="B2272" s="1040" t="str">
        <f>CONCATENATE(LEFT(RIGHT(CONCATENATE("000",IFAData_TEA_1718!A2272),6),3),"-",(RIGHT(RIGHT(CONCATENATE("000",IFAData_TEA_1718!A2272),6),3)))</f>
        <v>223-902</v>
      </c>
      <c r="C2272" t="s">
        <v>822</v>
      </c>
      <c r="D2272">
        <v>5</v>
      </c>
      <c r="E2272">
        <v>2084</v>
      </c>
      <c r="F2272" t="s">
        <v>5541</v>
      </c>
      <c r="G2272" t="s">
        <v>5542</v>
      </c>
      <c r="H2272">
        <v>100000</v>
      </c>
      <c r="I2272">
        <v>91225</v>
      </c>
      <c r="J2272">
        <v>1</v>
      </c>
      <c r="K2272">
        <v>100000</v>
      </c>
      <c r="L2272">
        <v>91225</v>
      </c>
      <c r="M2272">
        <v>599</v>
      </c>
    </row>
    <row r="2273" spans="1:13" ht="15">
      <c r="A2273" t="s">
        <v>3736</v>
      </c>
      <c r="B2273" s="1040" t="str">
        <f>CONCATENATE(LEFT(RIGHT(CONCATENATE("000",IFAData_TEA_1718!A2273),6),3),"-",(RIGHT(RIGHT(CONCATENATE("000",IFAData_TEA_1718!A2273),6),3)))</f>
        <v>225-906</v>
      </c>
      <c r="C2273" t="s">
        <v>660</v>
      </c>
      <c r="D2273">
        <v>6</v>
      </c>
      <c r="E2273">
        <v>1680</v>
      </c>
      <c r="F2273" t="s">
        <v>5543</v>
      </c>
      <c r="G2273" t="s">
        <v>5543</v>
      </c>
      <c r="H2273">
        <v>178703</v>
      </c>
      <c r="I2273">
        <v>0</v>
      </c>
      <c r="J2273">
        <v>0</v>
      </c>
      <c r="K2273">
        <v>0</v>
      </c>
      <c r="L2273">
        <v>0</v>
      </c>
      <c r="M2273">
        <v>599</v>
      </c>
    </row>
    <row r="2274" spans="1:13" ht="15">
      <c r="A2274" t="s">
        <v>3736</v>
      </c>
      <c r="B2274" s="1040" t="str">
        <f>CONCATENATE(LEFT(RIGHT(CONCATENATE("000",IFAData_TEA_1718!A2274),6),3),"-",(RIGHT(RIGHT(CONCATENATE("000",IFAData_TEA_1718!A2274),6),3)))</f>
        <v>225-906</v>
      </c>
      <c r="C2274" t="s">
        <v>660</v>
      </c>
      <c r="D2274">
        <v>6</v>
      </c>
      <c r="E2274">
        <v>1680</v>
      </c>
      <c r="F2274" t="s">
        <v>5543</v>
      </c>
      <c r="G2274" t="s">
        <v>5544</v>
      </c>
      <c r="H2274">
        <v>178703</v>
      </c>
      <c r="I2274">
        <v>161935</v>
      </c>
      <c r="J2274">
        <v>1</v>
      </c>
      <c r="K2274">
        <v>178703</v>
      </c>
      <c r="L2274">
        <v>161935</v>
      </c>
      <c r="M2274">
        <v>599</v>
      </c>
    </row>
    <row r="2275" spans="1:13" ht="15">
      <c r="A2275" t="s">
        <v>3736</v>
      </c>
      <c r="B2275" s="1040" t="str">
        <f>CONCATENATE(LEFT(RIGHT(CONCATENATE("000",IFAData_TEA_1718!A2275),6),3),"-",(RIGHT(RIGHT(CONCATENATE("000",IFAData_TEA_1718!A2275),6),3)))</f>
        <v>225-906</v>
      </c>
      <c r="C2275" t="s">
        <v>660</v>
      </c>
      <c r="D2275">
        <v>8</v>
      </c>
      <c r="E2275">
        <v>1679</v>
      </c>
      <c r="F2275" t="s">
        <v>5545</v>
      </c>
      <c r="G2275" t="s">
        <v>5545</v>
      </c>
      <c r="H2275">
        <v>163986</v>
      </c>
      <c r="I2275">
        <v>0</v>
      </c>
      <c r="J2275">
        <v>0</v>
      </c>
      <c r="K2275">
        <v>0</v>
      </c>
      <c r="L2275">
        <v>0</v>
      </c>
      <c r="M2275">
        <v>599</v>
      </c>
    </row>
    <row r="2276" spans="1:13" ht="15">
      <c r="A2276" t="s">
        <v>3736</v>
      </c>
      <c r="B2276" s="1040" t="str">
        <f>CONCATENATE(LEFT(RIGHT(CONCATENATE("000",IFAData_TEA_1718!A2276),6),3),"-",(RIGHT(RIGHT(CONCATENATE("000",IFAData_TEA_1718!A2276),6),3)))</f>
        <v>225-906</v>
      </c>
      <c r="C2276" t="s">
        <v>660</v>
      </c>
      <c r="D2276">
        <v>8</v>
      </c>
      <c r="E2276">
        <v>1679</v>
      </c>
      <c r="F2276" t="s">
        <v>5545</v>
      </c>
      <c r="G2276" t="s">
        <v>6546</v>
      </c>
      <c r="H2276">
        <v>163986</v>
      </c>
      <c r="I2276">
        <v>130325</v>
      </c>
      <c r="J2276">
        <v>1</v>
      </c>
      <c r="K2276">
        <v>163986</v>
      </c>
      <c r="L2276">
        <v>130325</v>
      </c>
      <c r="M2276">
        <v>599</v>
      </c>
    </row>
    <row r="2277" spans="1:13" ht="15">
      <c r="A2277" t="s">
        <v>3737</v>
      </c>
      <c r="B2277" s="1040" t="str">
        <f>CONCATENATE(LEFT(RIGHT(CONCATENATE("000",IFAData_TEA_1718!A2277),6),3),"-",(RIGHT(RIGHT(CONCATENATE("000",IFAData_TEA_1718!A2277),6),3)))</f>
        <v>226-903</v>
      </c>
      <c r="C2277" t="s">
        <v>2027</v>
      </c>
      <c r="D2277">
        <v>1</v>
      </c>
      <c r="E2277">
        <v>2278</v>
      </c>
      <c r="F2277" t="s">
        <v>5546</v>
      </c>
      <c r="G2277" t="s">
        <v>5546</v>
      </c>
      <c r="H2277">
        <v>1247036</v>
      </c>
      <c r="I2277">
        <v>0</v>
      </c>
      <c r="J2277">
        <v>0</v>
      </c>
      <c r="K2277"/>
      <c r="L2277">
        <v>0</v>
      </c>
      <c r="M2277">
        <v>599</v>
      </c>
    </row>
    <row r="2278" spans="1:13" ht="15">
      <c r="A2278" t="s">
        <v>3737</v>
      </c>
      <c r="B2278" s="1040" t="str">
        <f>CONCATENATE(LEFT(RIGHT(CONCATENATE("000",IFAData_TEA_1718!A2278),6),3),"-",(RIGHT(RIGHT(CONCATENATE("000",IFAData_TEA_1718!A2278),6),3)))</f>
        <v>226-903</v>
      </c>
      <c r="C2278" t="s">
        <v>2027</v>
      </c>
      <c r="D2278">
        <v>1</v>
      </c>
      <c r="E2278">
        <v>2277</v>
      </c>
      <c r="F2278" t="s">
        <v>5548</v>
      </c>
      <c r="G2278" t="s">
        <v>5548</v>
      </c>
      <c r="H2278">
        <v>726000</v>
      </c>
      <c r="I2278">
        <v>0</v>
      </c>
      <c r="J2278">
        <v>0</v>
      </c>
      <c r="K2278">
        <v>0</v>
      </c>
      <c r="L2278">
        <v>0</v>
      </c>
      <c r="M2278">
        <v>599</v>
      </c>
    </row>
    <row r="2279" spans="1:13" ht="15">
      <c r="A2279" t="s">
        <v>3737</v>
      </c>
      <c r="B2279" s="1040" t="str">
        <f>CONCATENATE(LEFT(RIGHT(CONCATENATE("000",IFAData_TEA_1718!A2279),6),3),"-",(RIGHT(RIGHT(CONCATENATE("000",IFAData_TEA_1718!A2279),6),3)))</f>
        <v>226-903</v>
      </c>
      <c r="C2279" t="s">
        <v>2027</v>
      </c>
      <c r="D2279">
        <v>1</v>
      </c>
      <c r="E2279">
        <v>2277</v>
      </c>
      <c r="F2279" t="s">
        <v>5548</v>
      </c>
      <c r="G2279" t="s">
        <v>5549</v>
      </c>
      <c r="H2279">
        <v>726000</v>
      </c>
      <c r="I2279">
        <v>0</v>
      </c>
      <c r="J2279">
        <v>0</v>
      </c>
      <c r="K2279">
        <v>0</v>
      </c>
      <c r="L2279">
        <v>0</v>
      </c>
      <c r="M2279">
        <v>599</v>
      </c>
    </row>
    <row r="2280" spans="1:13" ht="15">
      <c r="A2280" t="s">
        <v>3737</v>
      </c>
      <c r="B2280" s="1040" t="str">
        <f>CONCATENATE(LEFT(RIGHT(CONCATENATE("000",IFAData_TEA_1718!A2280),6),3),"-",(RIGHT(RIGHT(CONCATENATE("000",IFAData_TEA_1718!A2280),6),3)))</f>
        <v>226-903</v>
      </c>
      <c r="C2280" t="s">
        <v>2027</v>
      </c>
      <c r="D2280">
        <v>1</v>
      </c>
      <c r="E2280">
        <v>2277</v>
      </c>
      <c r="F2280" t="s">
        <v>5548</v>
      </c>
      <c r="G2280" t="s">
        <v>6339</v>
      </c>
      <c r="H2280">
        <v>726000</v>
      </c>
      <c r="I2280">
        <v>663900</v>
      </c>
      <c r="J2280">
        <v>1</v>
      </c>
      <c r="K2280">
        <v>726000</v>
      </c>
      <c r="L2280">
        <v>663900</v>
      </c>
      <c r="M2280">
        <v>599</v>
      </c>
    </row>
    <row r="2281" spans="1:13" ht="15">
      <c r="A2281" t="s">
        <v>3737</v>
      </c>
      <c r="B2281" s="1040" t="str">
        <f>CONCATENATE(LEFT(RIGHT(CONCATENATE("000",IFAData_TEA_1718!A2281),6),3),"-",(RIGHT(RIGHT(CONCATENATE("000",IFAData_TEA_1718!A2281),6),3)))</f>
        <v>226-903</v>
      </c>
      <c r="C2281" t="s">
        <v>2027</v>
      </c>
      <c r="D2281">
        <v>10</v>
      </c>
      <c r="E2281">
        <v>2279</v>
      </c>
      <c r="F2281" t="s">
        <v>5550</v>
      </c>
      <c r="G2281" t="s">
        <v>5550</v>
      </c>
      <c r="H2281">
        <v>3492500</v>
      </c>
      <c r="I2281">
        <v>3960125</v>
      </c>
      <c r="J2281">
        <v>0.46757758768278901</v>
      </c>
      <c r="K2281">
        <v>1633014.7249821399</v>
      </c>
      <c r="L2281">
        <v>1633014.7249821399</v>
      </c>
      <c r="M2281">
        <v>599</v>
      </c>
    </row>
    <row r="2282" spans="1:13" ht="15">
      <c r="A2282" t="s">
        <v>3737</v>
      </c>
      <c r="B2282" s="1040" t="str">
        <f>CONCATENATE(LEFT(RIGHT(CONCATENATE("000",IFAData_TEA_1718!A2282),6),3),"-",(RIGHT(RIGHT(CONCATENATE("000",IFAData_TEA_1718!A2282),6),3)))</f>
        <v>226-903</v>
      </c>
      <c r="C2282" t="s">
        <v>2027</v>
      </c>
      <c r="D2282">
        <v>10</v>
      </c>
      <c r="E2282">
        <v>2279</v>
      </c>
      <c r="F2282" t="s">
        <v>5550</v>
      </c>
      <c r="G2282" t="s">
        <v>6340</v>
      </c>
      <c r="H2282">
        <v>3492500</v>
      </c>
      <c r="I2282">
        <v>4509325</v>
      </c>
      <c r="J2282">
        <v>0.53242241231721099</v>
      </c>
      <c r="K2282">
        <v>1859485.2750178601</v>
      </c>
      <c r="L2282">
        <v>1859485.2750178601</v>
      </c>
      <c r="M2282">
        <v>599</v>
      </c>
    </row>
    <row r="2283" spans="1:13" ht="15">
      <c r="A2283" t="s">
        <v>3738</v>
      </c>
      <c r="B2283" s="1040" t="str">
        <f>CONCATENATE(LEFT(RIGHT(CONCATENATE("000",IFAData_TEA_1718!A2283),6),3),"-",(RIGHT(RIGHT(CONCATENATE("000",IFAData_TEA_1718!A2283),6),3)))</f>
        <v>226-906</v>
      </c>
      <c r="C2283" t="s">
        <v>137</v>
      </c>
      <c r="D2283">
        <v>1</v>
      </c>
      <c r="E2283">
        <v>2432</v>
      </c>
      <c r="F2283" t="s">
        <v>5551</v>
      </c>
      <c r="G2283" t="s">
        <v>5551</v>
      </c>
      <c r="H2283">
        <v>216359</v>
      </c>
      <c r="I2283">
        <v>0</v>
      </c>
      <c r="J2283">
        <v>0</v>
      </c>
      <c r="K2283">
        <v>0</v>
      </c>
      <c r="L2283">
        <v>0</v>
      </c>
      <c r="M2283">
        <v>599</v>
      </c>
    </row>
    <row r="2284" spans="1:13" ht="15">
      <c r="A2284" t="s">
        <v>3738</v>
      </c>
      <c r="B2284" s="1040" t="str">
        <f>CONCATENATE(LEFT(RIGHT(CONCATENATE("000",IFAData_TEA_1718!A2284),6),3),"-",(RIGHT(RIGHT(CONCATENATE("000",IFAData_TEA_1718!A2284),6),3)))</f>
        <v>226-906</v>
      </c>
      <c r="C2284" t="s">
        <v>137</v>
      </c>
      <c r="D2284">
        <v>1</v>
      </c>
      <c r="E2284">
        <v>2432</v>
      </c>
      <c r="F2284" t="s">
        <v>5551</v>
      </c>
      <c r="G2284" t="s">
        <v>5552</v>
      </c>
      <c r="H2284">
        <v>216359</v>
      </c>
      <c r="I2284">
        <v>0</v>
      </c>
      <c r="J2284">
        <v>0</v>
      </c>
      <c r="K2284">
        <v>0</v>
      </c>
      <c r="L2284">
        <v>0</v>
      </c>
      <c r="M2284">
        <v>599</v>
      </c>
    </row>
    <row r="2285" spans="1:13" ht="15">
      <c r="A2285" t="s">
        <v>3738</v>
      </c>
      <c r="B2285" s="1040" t="str">
        <f>CONCATENATE(LEFT(RIGHT(CONCATENATE("000",IFAData_TEA_1718!A2285),6),3),"-",(RIGHT(RIGHT(CONCATENATE("000",IFAData_TEA_1718!A2285),6),3)))</f>
        <v>226-906</v>
      </c>
      <c r="C2285" t="s">
        <v>137</v>
      </c>
      <c r="D2285">
        <v>1</v>
      </c>
      <c r="E2285">
        <v>2432</v>
      </c>
      <c r="F2285" t="s">
        <v>5551</v>
      </c>
      <c r="G2285" t="s">
        <v>6341</v>
      </c>
      <c r="H2285">
        <v>216359</v>
      </c>
      <c r="I2285">
        <v>194725</v>
      </c>
      <c r="J2285">
        <v>1</v>
      </c>
      <c r="K2285">
        <v>216359</v>
      </c>
      <c r="L2285">
        <v>194725</v>
      </c>
      <c r="M2285">
        <v>599</v>
      </c>
    </row>
    <row r="2286" spans="1:13" ht="15">
      <c r="A2286" t="s">
        <v>3739</v>
      </c>
      <c r="B2286" s="1040" t="str">
        <f>CONCATENATE(LEFT(RIGHT(CONCATENATE("000",IFAData_TEA_1718!A2286),6),3),"-",(RIGHT(RIGHT(CONCATENATE("000",IFAData_TEA_1718!A2286),6),3)))</f>
        <v>226-907</v>
      </c>
      <c r="C2286" t="s">
        <v>1731</v>
      </c>
      <c r="D2286">
        <v>4</v>
      </c>
      <c r="E2286">
        <v>1860</v>
      </c>
      <c r="F2286" t="s">
        <v>5553</v>
      </c>
      <c r="G2286" t="s">
        <v>5553</v>
      </c>
      <c r="H2286">
        <v>498900</v>
      </c>
      <c r="I2286">
        <v>0</v>
      </c>
      <c r="J2286">
        <v>0</v>
      </c>
      <c r="K2286">
        <v>0</v>
      </c>
      <c r="L2286">
        <v>0</v>
      </c>
      <c r="M2286">
        <v>599</v>
      </c>
    </row>
    <row r="2287" spans="1:13" ht="15">
      <c r="A2287" t="s">
        <v>3739</v>
      </c>
      <c r="B2287" s="1040" t="str">
        <f>CONCATENATE(LEFT(RIGHT(CONCATENATE("000",IFAData_TEA_1718!A2287),6),3),"-",(RIGHT(RIGHT(CONCATENATE("000",IFAData_TEA_1718!A2287),6),3)))</f>
        <v>226-907</v>
      </c>
      <c r="C2287" t="s">
        <v>1731</v>
      </c>
      <c r="D2287">
        <v>4</v>
      </c>
      <c r="E2287">
        <v>1860</v>
      </c>
      <c r="F2287" t="s">
        <v>5553</v>
      </c>
      <c r="G2287" t="s">
        <v>5554</v>
      </c>
      <c r="H2287">
        <v>498900</v>
      </c>
      <c r="I2287">
        <v>653925</v>
      </c>
      <c r="J2287">
        <v>1</v>
      </c>
      <c r="K2287">
        <v>498900</v>
      </c>
      <c r="L2287">
        <v>498900</v>
      </c>
      <c r="M2287">
        <v>599</v>
      </c>
    </row>
    <row r="2288" spans="1:13" ht="15">
      <c r="A2288" t="s">
        <v>3740</v>
      </c>
      <c r="B2288" s="1040" t="str">
        <f>CONCATENATE(LEFT(RIGHT(CONCATENATE("000",IFAData_TEA_1718!A2288),6),3),"-",(RIGHT(RIGHT(CONCATENATE("000",IFAData_TEA_1718!A2288),6),3)))</f>
        <v>226-908</v>
      </c>
      <c r="C2288" t="s">
        <v>2645</v>
      </c>
      <c r="D2288">
        <v>5</v>
      </c>
      <c r="E2288">
        <v>2425</v>
      </c>
      <c r="F2288" t="s">
        <v>5555</v>
      </c>
      <c r="G2288" t="s">
        <v>5555</v>
      </c>
      <c r="H2288">
        <v>100000</v>
      </c>
      <c r="I2288">
        <v>0</v>
      </c>
      <c r="J2288">
        <v>0</v>
      </c>
      <c r="K2288">
        <v>0</v>
      </c>
      <c r="L2288">
        <v>0</v>
      </c>
      <c r="M2288">
        <v>599</v>
      </c>
    </row>
    <row r="2289" spans="1:13" ht="15">
      <c r="A2289" t="s">
        <v>3740</v>
      </c>
      <c r="B2289" s="1040" t="str">
        <f>CONCATENATE(LEFT(RIGHT(CONCATENATE("000",IFAData_TEA_1718!A2289),6),3),"-",(RIGHT(RIGHT(CONCATENATE("000",IFAData_TEA_1718!A2289),6),3)))</f>
        <v>226-908</v>
      </c>
      <c r="C2289" t="s">
        <v>2645</v>
      </c>
      <c r="D2289">
        <v>5</v>
      </c>
      <c r="E2289">
        <v>2425</v>
      </c>
      <c r="F2289" t="s">
        <v>5555</v>
      </c>
      <c r="G2289" t="s">
        <v>5556</v>
      </c>
      <c r="H2289">
        <v>100000</v>
      </c>
      <c r="I2289">
        <v>91235</v>
      </c>
      <c r="J2289">
        <v>1</v>
      </c>
      <c r="K2289">
        <v>100000</v>
      </c>
      <c r="L2289">
        <v>91235</v>
      </c>
      <c r="M2289">
        <v>599</v>
      </c>
    </row>
    <row r="2290" spans="1:13" ht="15">
      <c r="A2290" t="s">
        <v>3741</v>
      </c>
      <c r="B2290" s="1040" t="str">
        <f>CONCATENATE(LEFT(RIGHT(CONCATENATE("000",IFAData_TEA_1718!A2290),6),3),"-",(RIGHT(RIGHT(CONCATENATE("000",IFAData_TEA_1718!A2290),6),3)))</f>
        <v>227-904</v>
      </c>
      <c r="C2290" t="s">
        <v>998</v>
      </c>
      <c r="D2290">
        <v>1</v>
      </c>
      <c r="E2290">
        <v>2189</v>
      </c>
      <c r="F2290" t="s">
        <v>5557</v>
      </c>
      <c r="G2290" t="s">
        <v>5557</v>
      </c>
      <c r="H2290">
        <v>906295</v>
      </c>
      <c r="I2290">
        <v>0</v>
      </c>
      <c r="J2290">
        <v>0</v>
      </c>
      <c r="K2290"/>
      <c r="L2290">
        <v>0</v>
      </c>
      <c r="M2290">
        <v>599</v>
      </c>
    </row>
    <row r="2291" spans="1:13" ht="15">
      <c r="A2291" t="s">
        <v>3741</v>
      </c>
      <c r="B2291" s="1040" t="str">
        <f>CONCATENATE(LEFT(RIGHT(CONCATENATE("000",IFAData_TEA_1718!A2291),6),3),"-",(RIGHT(RIGHT(CONCATENATE("000",IFAData_TEA_1718!A2291),6),3)))</f>
        <v>227-904</v>
      </c>
      <c r="C2291" t="s">
        <v>998</v>
      </c>
      <c r="D2291">
        <v>1</v>
      </c>
      <c r="E2291">
        <v>2188</v>
      </c>
      <c r="F2291" t="s">
        <v>5560</v>
      </c>
      <c r="G2291" t="s">
        <v>5560</v>
      </c>
      <c r="H2291">
        <v>743639</v>
      </c>
      <c r="I2291">
        <v>0</v>
      </c>
      <c r="J2291">
        <v>0</v>
      </c>
      <c r="K2291"/>
      <c r="L2291">
        <v>0</v>
      </c>
      <c r="M2291">
        <v>599</v>
      </c>
    </row>
    <row r="2292" spans="1:13" ht="15">
      <c r="A2292" t="s">
        <v>3741</v>
      </c>
      <c r="B2292" s="1040" t="str">
        <f>CONCATENATE(LEFT(RIGHT(CONCATENATE("000",IFAData_TEA_1718!A2292),6),3),"-",(RIGHT(RIGHT(CONCATENATE("000",IFAData_TEA_1718!A2292),6),3)))</f>
        <v>227-904</v>
      </c>
      <c r="C2292" t="s">
        <v>998</v>
      </c>
      <c r="D2292">
        <v>9</v>
      </c>
      <c r="E2292">
        <v>2190</v>
      </c>
      <c r="F2292" t="s">
        <v>5563</v>
      </c>
      <c r="G2292" t="s">
        <v>5563</v>
      </c>
      <c r="H2292">
        <v>5151250</v>
      </c>
      <c r="I2292">
        <v>3585517</v>
      </c>
      <c r="J2292">
        <v>0.50506449595844705</v>
      </c>
      <c r="K2292">
        <v>2601713.48480595</v>
      </c>
      <c r="L2292">
        <v>2601713.48480595</v>
      </c>
      <c r="M2292">
        <v>599</v>
      </c>
    </row>
    <row r="2293" spans="1:13" ht="15">
      <c r="A2293" t="s">
        <v>3741</v>
      </c>
      <c r="B2293" s="1040" t="str">
        <f>CONCATENATE(LEFT(RIGHT(CONCATENATE("000",IFAData_TEA_1718!A2293),6),3),"-",(RIGHT(RIGHT(CONCATENATE("000",IFAData_TEA_1718!A2293),6),3)))</f>
        <v>227-904</v>
      </c>
      <c r="C2293" t="s">
        <v>998</v>
      </c>
      <c r="D2293">
        <v>9</v>
      </c>
      <c r="E2293">
        <v>2190</v>
      </c>
      <c r="F2293" t="s">
        <v>5563</v>
      </c>
      <c r="G2293" t="s">
        <v>6342</v>
      </c>
      <c r="H2293">
        <v>5151250</v>
      </c>
      <c r="I2293">
        <v>3513610</v>
      </c>
      <c r="J2293">
        <v>0.49493550404155301</v>
      </c>
      <c r="K2293">
        <v>2549536.51519405</v>
      </c>
      <c r="L2293">
        <v>2549536.51519405</v>
      </c>
      <c r="M2293">
        <v>599</v>
      </c>
    </row>
    <row r="2294" spans="1:13" ht="15">
      <c r="A2294" t="s">
        <v>3742</v>
      </c>
      <c r="B2294" s="1040" t="str">
        <f>CONCATENATE(LEFT(RIGHT(CONCATENATE("000",IFAData_TEA_1718!A2294),6),3),"-",(RIGHT(RIGHT(CONCATENATE("000",IFAData_TEA_1718!A2294),6),3)))</f>
        <v>227-910</v>
      </c>
      <c r="C2294" t="s">
        <v>2667</v>
      </c>
      <c r="D2294">
        <v>1</v>
      </c>
      <c r="E2294">
        <v>1751</v>
      </c>
      <c r="F2294" t="s">
        <v>5564</v>
      </c>
      <c r="G2294" t="s">
        <v>5564</v>
      </c>
      <c r="H2294">
        <v>1138000</v>
      </c>
      <c r="I2294">
        <v>0</v>
      </c>
      <c r="J2294">
        <v>0</v>
      </c>
      <c r="K2294">
        <v>0</v>
      </c>
      <c r="L2294">
        <v>0</v>
      </c>
      <c r="M2294">
        <v>599</v>
      </c>
    </row>
    <row r="2295" spans="1:13" ht="15">
      <c r="A2295" t="s">
        <v>3742</v>
      </c>
      <c r="B2295" s="1040" t="str">
        <f>CONCATENATE(LEFT(RIGHT(CONCATENATE("000",IFAData_TEA_1718!A2295),6),3),"-",(RIGHT(RIGHT(CONCATENATE("000",IFAData_TEA_1718!A2295),6),3)))</f>
        <v>227-910</v>
      </c>
      <c r="C2295" t="s">
        <v>2667</v>
      </c>
      <c r="D2295">
        <v>1</v>
      </c>
      <c r="E2295">
        <v>1751</v>
      </c>
      <c r="F2295" t="s">
        <v>5564</v>
      </c>
      <c r="G2295" t="s">
        <v>5565</v>
      </c>
      <c r="H2295">
        <v>1138000</v>
      </c>
      <c r="I2295">
        <v>0</v>
      </c>
      <c r="J2295">
        <v>0</v>
      </c>
      <c r="K2295">
        <v>0</v>
      </c>
      <c r="L2295">
        <v>0</v>
      </c>
      <c r="M2295">
        <v>599</v>
      </c>
    </row>
    <row r="2296" spans="1:13" ht="15">
      <c r="A2296" t="s">
        <v>3742</v>
      </c>
      <c r="B2296" s="1040" t="str">
        <f>CONCATENATE(LEFT(RIGHT(CONCATENATE("000",IFAData_TEA_1718!A2296),6),3),"-",(RIGHT(RIGHT(CONCATENATE("000",IFAData_TEA_1718!A2296),6),3)))</f>
        <v>227-910</v>
      </c>
      <c r="C2296" t="s">
        <v>2667</v>
      </c>
      <c r="D2296">
        <v>1</v>
      </c>
      <c r="E2296">
        <v>1751</v>
      </c>
      <c r="F2296" t="s">
        <v>5564</v>
      </c>
      <c r="G2296" t="s">
        <v>5566</v>
      </c>
      <c r="H2296">
        <v>1138000</v>
      </c>
      <c r="I2296">
        <v>2931908</v>
      </c>
      <c r="J2296">
        <v>1</v>
      </c>
      <c r="K2296">
        <v>1138000</v>
      </c>
      <c r="L2296">
        <v>1138000</v>
      </c>
      <c r="M2296">
        <v>599</v>
      </c>
    </row>
    <row r="2297" spans="1:13" ht="15">
      <c r="A2297" t="s">
        <v>5567</v>
      </c>
      <c r="B2297" s="1040" t="str">
        <f>CONCATENATE(LEFT(RIGHT(CONCATENATE("000",IFAData_TEA_1718!A2297),6),3),"-",(RIGHT(RIGHT(CONCATENATE("000",IFAData_TEA_1718!A2297),6),3)))</f>
        <v>229-901</v>
      </c>
      <c r="C2297" t="s">
        <v>1547</v>
      </c>
      <c r="D2297">
        <v>5</v>
      </c>
      <c r="E2297">
        <v>1707</v>
      </c>
      <c r="F2297" t="s">
        <v>5568</v>
      </c>
      <c r="G2297" t="s">
        <v>5568</v>
      </c>
      <c r="H2297">
        <v>158074</v>
      </c>
      <c r="I2297">
        <v>0</v>
      </c>
      <c r="J2297">
        <v>0</v>
      </c>
      <c r="K2297"/>
      <c r="L2297">
        <v>0</v>
      </c>
      <c r="M2297">
        <v>199</v>
      </c>
    </row>
    <row r="2298" spans="1:13" ht="15">
      <c r="A2298" t="s">
        <v>3743</v>
      </c>
      <c r="B2298" s="1040" t="str">
        <f>CONCATENATE(LEFT(RIGHT(CONCATENATE("000",IFAData_TEA_1718!A2298),6),3),"-",(RIGHT(RIGHT(CONCATENATE("000",IFAData_TEA_1718!A2298),6),3)))</f>
        <v>229-904</v>
      </c>
      <c r="C2298" t="s">
        <v>1917</v>
      </c>
      <c r="D2298">
        <v>9</v>
      </c>
      <c r="E2298">
        <v>2436</v>
      </c>
      <c r="F2298" t="s">
        <v>5569</v>
      </c>
      <c r="G2298" t="s">
        <v>5569</v>
      </c>
      <c r="H2298">
        <v>281704</v>
      </c>
      <c r="I2298">
        <v>150371</v>
      </c>
      <c r="J2298">
        <v>0.51590381204305102</v>
      </c>
      <c r="K2298">
        <v>145332.16746777599</v>
      </c>
      <c r="L2298">
        <v>145332.16746777599</v>
      </c>
      <c r="M2298">
        <v>599</v>
      </c>
    </row>
    <row r="2299" spans="1:13" ht="15">
      <c r="A2299" t="s">
        <v>3743</v>
      </c>
      <c r="B2299" s="1040" t="str">
        <f>CONCATENATE(LEFT(RIGHT(CONCATENATE("000",IFAData_TEA_1718!A2299),6),3),"-",(RIGHT(RIGHT(CONCATENATE("000",IFAData_TEA_1718!A2299),6),3)))</f>
        <v>229-904</v>
      </c>
      <c r="C2299" t="s">
        <v>1917</v>
      </c>
      <c r="D2299">
        <v>9</v>
      </c>
      <c r="E2299">
        <v>2436</v>
      </c>
      <c r="F2299" t="s">
        <v>5569</v>
      </c>
      <c r="G2299" t="s">
        <v>6832</v>
      </c>
      <c r="H2299">
        <v>281704</v>
      </c>
      <c r="I2299">
        <v>141100</v>
      </c>
      <c r="J2299">
        <v>0.48409618795694898</v>
      </c>
      <c r="K2299">
        <v>136371.83253222401</v>
      </c>
      <c r="L2299">
        <v>136371.83253222401</v>
      </c>
      <c r="M2299">
        <v>599</v>
      </c>
    </row>
    <row r="2300" spans="1:13" ht="15">
      <c r="A2300" t="s">
        <v>3743</v>
      </c>
      <c r="B2300" s="1040" t="str">
        <f>CONCATENATE(LEFT(RIGHT(CONCATENATE("000",IFAData_TEA_1718!A2300),6),3),"-",(RIGHT(RIGHT(CONCATENATE("000",IFAData_TEA_1718!A2300),6),3)))</f>
        <v>229-904</v>
      </c>
      <c r="C2300" t="s">
        <v>1917</v>
      </c>
      <c r="D2300">
        <v>10</v>
      </c>
      <c r="E2300">
        <v>2437</v>
      </c>
      <c r="F2300" t="s">
        <v>5570</v>
      </c>
      <c r="G2300" t="s">
        <v>5570</v>
      </c>
      <c r="H2300">
        <v>287703</v>
      </c>
      <c r="I2300">
        <v>280055</v>
      </c>
      <c r="J2300">
        <v>1</v>
      </c>
      <c r="K2300">
        <v>287703</v>
      </c>
      <c r="L2300">
        <v>280055</v>
      </c>
      <c r="M2300">
        <v>599</v>
      </c>
    </row>
    <row r="2301" spans="1:13" ht="15">
      <c r="A2301" t="s">
        <v>3744</v>
      </c>
      <c r="B2301" s="1040" t="str">
        <f>CONCATENATE(LEFT(RIGHT(CONCATENATE("000",IFAData_TEA_1718!A2301),6),3),"-",(RIGHT(RIGHT(CONCATENATE("000",IFAData_TEA_1718!A2301),6),3)))</f>
        <v>229-905</v>
      </c>
      <c r="C2301" t="s">
        <v>1938</v>
      </c>
      <c r="D2301">
        <v>5</v>
      </c>
      <c r="E2301">
        <v>2380</v>
      </c>
      <c r="F2301" t="s">
        <v>5571</v>
      </c>
      <c r="G2301" t="s">
        <v>5571</v>
      </c>
      <c r="H2301">
        <v>103335</v>
      </c>
      <c r="I2301">
        <v>0</v>
      </c>
      <c r="J2301">
        <v>0</v>
      </c>
      <c r="K2301">
        <v>0</v>
      </c>
      <c r="L2301">
        <v>0</v>
      </c>
      <c r="M2301">
        <v>599</v>
      </c>
    </row>
    <row r="2302" spans="1:13" ht="15">
      <c r="A2302" t="s">
        <v>3744</v>
      </c>
      <c r="B2302" s="1040" t="str">
        <f>CONCATENATE(LEFT(RIGHT(CONCATENATE("000",IFAData_TEA_1718!A2302),6),3),"-",(RIGHT(RIGHT(CONCATENATE("000",IFAData_TEA_1718!A2302),6),3)))</f>
        <v>229-905</v>
      </c>
      <c r="C2302" t="s">
        <v>1938</v>
      </c>
      <c r="D2302">
        <v>5</v>
      </c>
      <c r="E2302">
        <v>2380</v>
      </c>
      <c r="F2302" t="s">
        <v>5571</v>
      </c>
      <c r="G2302" t="s">
        <v>5572</v>
      </c>
      <c r="H2302">
        <v>103335</v>
      </c>
      <c r="I2302">
        <v>189231</v>
      </c>
      <c r="J2302">
        <v>1</v>
      </c>
      <c r="K2302">
        <v>103335</v>
      </c>
      <c r="L2302">
        <v>103335</v>
      </c>
      <c r="M2302">
        <v>599</v>
      </c>
    </row>
    <row r="2303" spans="1:13" ht="15">
      <c r="A2303" t="s">
        <v>3745</v>
      </c>
      <c r="B2303" s="1040" t="str">
        <f>CONCATENATE(LEFT(RIGHT(CONCATENATE("000",IFAData_TEA_1718!A2303),6),3),"-",(RIGHT(RIGHT(CONCATENATE("000",IFAData_TEA_1718!A2303),6),3)))</f>
        <v>229-906</v>
      </c>
      <c r="C2303" t="s">
        <v>2184</v>
      </c>
      <c r="D2303">
        <v>2</v>
      </c>
      <c r="E2303">
        <v>1685</v>
      </c>
      <c r="F2303" t="s">
        <v>5573</v>
      </c>
      <c r="G2303" t="s">
        <v>5573</v>
      </c>
      <c r="H2303">
        <v>71236</v>
      </c>
      <c r="I2303">
        <v>66658</v>
      </c>
      <c r="J2303">
        <v>1</v>
      </c>
      <c r="K2303">
        <v>71236</v>
      </c>
      <c r="L2303">
        <v>66658</v>
      </c>
      <c r="M2303">
        <v>599</v>
      </c>
    </row>
    <row r="2304" spans="1:13" ht="15">
      <c r="A2304" t="s">
        <v>3746</v>
      </c>
      <c r="B2304" s="1040" t="str">
        <f>CONCATENATE(LEFT(RIGHT(CONCATENATE("000",IFAData_TEA_1718!A2304),6),3),"-",(RIGHT(RIGHT(CONCATENATE("000",IFAData_TEA_1718!A2304),6),3)))</f>
        <v>230-903</v>
      </c>
      <c r="C2304" t="s">
        <v>1017</v>
      </c>
      <c r="D2304">
        <v>2</v>
      </c>
      <c r="E2304">
        <v>2165</v>
      </c>
      <c r="F2304" t="s">
        <v>5574</v>
      </c>
      <c r="G2304" t="s">
        <v>5574</v>
      </c>
      <c r="H2304">
        <v>184136</v>
      </c>
      <c r="I2304">
        <v>0</v>
      </c>
      <c r="J2304">
        <v>0</v>
      </c>
      <c r="K2304">
        <v>0</v>
      </c>
      <c r="L2304">
        <v>0</v>
      </c>
      <c r="M2304">
        <v>599</v>
      </c>
    </row>
    <row r="2305" spans="1:13" ht="15">
      <c r="A2305" t="s">
        <v>3746</v>
      </c>
      <c r="B2305" s="1040" t="str">
        <f>CONCATENATE(LEFT(RIGHT(CONCATENATE("000",IFAData_TEA_1718!A2305),6),3),"-",(RIGHT(RIGHT(CONCATENATE("000",IFAData_TEA_1718!A2305),6),3)))</f>
        <v>230-903</v>
      </c>
      <c r="C2305" t="s">
        <v>1017</v>
      </c>
      <c r="D2305">
        <v>2</v>
      </c>
      <c r="E2305">
        <v>2165</v>
      </c>
      <c r="F2305" t="s">
        <v>5574</v>
      </c>
      <c r="G2305" t="s">
        <v>5575</v>
      </c>
      <c r="H2305">
        <v>184136</v>
      </c>
      <c r="I2305">
        <v>146263</v>
      </c>
      <c r="J2305">
        <v>0.86446407990779905</v>
      </c>
      <c r="K2305">
        <v>159178.957817902</v>
      </c>
      <c r="L2305">
        <v>146263</v>
      </c>
      <c r="M2305">
        <v>599</v>
      </c>
    </row>
    <row r="2306" spans="1:13" ht="15">
      <c r="A2306" t="s">
        <v>3746</v>
      </c>
      <c r="B2306" s="1040" t="str">
        <f>CONCATENATE(LEFT(RIGHT(CONCATENATE("000",IFAData_TEA_1718!A2306),6),3),"-",(RIGHT(RIGHT(CONCATENATE("000",IFAData_TEA_1718!A2306),6),3)))</f>
        <v>230-903</v>
      </c>
      <c r="C2306" t="s">
        <v>1017</v>
      </c>
      <c r="D2306">
        <v>2</v>
      </c>
      <c r="E2306">
        <v>2165</v>
      </c>
      <c r="F2306" t="s">
        <v>5574</v>
      </c>
      <c r="G2306" t="s">
        <v>6547</v>
      </c>
      <c r="H2306">
        <v>184136</v>
      </c>
      <c r="I2306">
        <v>22932</v>
      </c>
      <c r="J2306">
        <v>0.135535920092201</v>
      </c>
      <c r="K2306">
        <v>24957.042182097601</v>
      </c>
      <c r="L2306">
        <v>22932</v>
      </c>
      <c r="M2306">
        <v>599</v>
      </c>
    </row>
    <row r="2307" spans="1:13" ht="15">
      <c r="A2307" t="s">
        <v>3746</v>
      </c>
      <c r="B2307" s="1040" t="str">
        <f>CONCATENATE(LEFT(RIGHT(CONCATENATE("000",IFAData_TEA_1718!A2307),6),3),"-",(RIGHT(RIGHT(CONCATENATE("000",IFAData_TEA_1718!A2307),6),3)))</f>
        <v>230-903</v>
      </c>
      <c r="C2307" t="s">
        <v>1017</v>
      </c>
      <c r="D2307">
        <v>9</v>
      </c>
      <c r="E2307">
        <v>2166</v>
      </c>
      <c r="F2307" t="s">
        <v>5576</v>
      </c>
      <c r="G2307" t="s">
        <v>5576</v>
      </c>
      <c r="H2307">
        <v>202862</v>
      </c>
      <c r="I2307">
        <v>106969</v>
      </c>
      <c r="J2307">
        <v>0.27461606789860399</v>
      </c>
      <c r="K2307">
        <v>55709.164766046597</v>
      </c>
      <c r="L2307">
        <v>55709.164766046597</v>
      </c>
      <c r="M2307">
        <v>599</v>
      </c>
    </row>
    <row r="2308" spans="1:13" ht="15">
      <c r="A2308" t="s">
        <v>3746</v>
      </c>
      <c r="B2308" s="1040" t="str">
        <f>CONCATENATE(LEFT(RIGHT(CONCATENATE("000",IFAData_TEA_1718!A2308),6),3),"-",(RIGHT(RIGHT(CONCATENATE("000",IFAData_TEA_1718!A2308),6),3)))</f>
        <v>230-903</v>
      </c>
      <c r="C2308" t="s">
        <v>1017</v>
      </c>
      <c r="D2308">
        <v>9</v>
      </c>
      <c r="E2308">
        <v>2166</v>
      </c>
      <c r="F2308" t="s">
        <v>5576</v>
      </c>
      <c r="G2308" t="s">
        <v>6547</v>
      </c>
      <c r="H2308">
        <v>202862</v>
      </c>
      <c r="I2308">
        <v>282553</v>
      </c>
      <c r="J2308">
        <v>0.72538393210139596</v>
      </c>
      <c r="K2308">
        <v>147152.835233953</v>
      </c>
      <c r="L2308">
        <v>147152.835233953</v>
      </c>
      <c r="M2308">
        <v>599</v>
      </c>
    </row>
    <row r="2309" spans="1:13" ht="15">
      <c r="A2309" t="s">
        <v>3747</v>
      </c>
      <c r="B2309" s="1040" t="str">
        <f>CONCATENATE(LEFT(RIGHT(CONCATENATE("000",IFAData_TEA_1718!A2309),6),3),"-",(RIGHT(RIGHT(CONCATENATE("000",IFAData_TEA_1718!A2309),6),3)))</f>
        <v>230-905</v>
      </c>
      <c r="C2309" t="s">
        <v>827</v>
      </c>
      <c r="D2309">
        <v>1</v>
      </c>
      <c r="E2309">
        <v>1874</v>
      </c>
      <c r="F2309" t="s">
        <v>5577</v>
      </c>
      <c r="G2309" t="s">
        <v>5577</v>
      </c>
      <c r="H2309">
        <v>223024</v>
      </c>
      <c r="I2309">
        <v>0</v>
      </c>
      <c r="J2309">
        <v>0</v>
      </c>
      <c r="K2309">
        <v>0</v>
      </c>
      <c r="L2309">
        <v>0</v>
      </c>
      <c r="M2309">
        <v>599</v>
      </c>
    </row>
    <row r="2310" spans="1:13" ht="15">
      <c r="A2310" t="s">
        <v>3747</v>
      </c>
      <c r="B2310" s="1040" t="str">
        <f>CONCATENATE(LEFT(RIGHT(CONCATENATE("000",IFAData_TEA_1718!A2310),6),3),"-",(RIGHT(RIGHT(CONCATENATE("000",IFAData_TEA_1718!A2310),6),3)))</f>
        <v>230-905</v>
      </c>
      <c r="C2310" t="s">
        <v>827</v>
      </c>
      <c r="D2310">
        <v>1</v>
      </c>
      <c r="E2310">
        <v>1874</v>
      </c>
      <c r="F2310" t="s">
        <v>5577</v>
      </c>
      <c r="G2310" t="s">
        <v>5578</v>
      </c>
      <c r="H2310">
        <v>223024</v>
      </c>
      <c r="I2310">
        <v>206020</v>
      </c>
      <c r="J2310">
        <v>1</v>
      </c>
      <c r="K2310">
        <v>223024</v>
      </c>
      <c r="L2310">
        <v>206020</v>
      </c>
      <c r="M2310">
        <v>599</v>
      </c>
    </row>
    <row r="2311" spans="1:13" ht="15">
      <c r="A2311" t="s">
        <v>3748</v>
      </c>
      <c r="B2311" s="1040" t="str">
        <f>CONCATENATE(LEFT(RIGHT(CONCATENATE("000",IFAData_TEA_1718!A2311),6),3),"-",(RIGHT(RIGHT(CONCATENATE("000",IFAData_TEA_1718!A2311),6),3)))</f>
        <v>230-906</v>
      </c>
      <c r="C2311" t="s">
        <v>1536</v>
      </c>
      <c r="D2311">
        <v>8</v>
      </c>
      <c r="E2311">
        <v>2142</v>
      </c>
      <c r="F2311" t="s">
        <v>5579</v>
      </c>
      <c r="G2311" t="s">
        <v>5579</v>
      </c>
      <c r="H2311">
        <v>207500</v>
      </c>
      <c r="I2311">
        <v>0</v>
      </c>
      <c r="J2311">
        <v>0</v>
      </c>
      <c r="K2311">
        <v>0</v>
      </c>
      <c r="L2311">
        <v>0</v>
      </c>
      <c r="M2311">
        <v>599</v>
      </c>
    </row>
    <row r="2312" spans="1:13" ht="15">
      <c r="A2312" t="s">
        <v>3748</v>
      </c>
      <c r="B2312" s="1040" t="str">
        <f>CONCATENATE(LEFT(RIGHT(CONCATENATE("000",IFAData_TEA_1718!A2312),6),3),"-",(RIGHT(RIGHT(CONCATENATE("000",IFAData_TEA_1718!A2312),6),3)))</f>
        <v>230-906</v>
      </c>
      <c r="C2312" t="s">
        <v>1536</v>
      </c>
      <c r="D2312">
        <v>8</v>
      </c>
      <c r="E2312">
        <v>2142</v>
      </c>
      <c r="F2312" t="s">
        <v>5579</v>
      </c>
      <c r="G2312" t="s">
        <v>6548</v>
      </c>
      <c r="H2312">
        <v>207500</v>
      </c>
      <c r="I2312">
        <v>264206</v>
      </c>
      <c r="J2312">
        <v>1</v>
      </c>
      <c r="K2312">
        <v>207500</v>
      </c>
      <c r="L2312">
        <v>207500</v>
      </c>
      <c r="M2312">
        <v>599</v>
      </c>
    </row>
    <row r="2313" spans="1:13" ht="15">
      <c r="A2313" t="s">
        <v>3749</v>
      </c>
      <c r="B2313" s="1040" t="str">
        <f>CONCATENATE(LEFT(RIGHT(CONCATENATE("000",IFAData_TEA_1718!A2313),6),3),"-",(RIGHT(RIGHT(CONCATENATE("000",IFAData_TEA_1718!A2313),6),3)))</f>
        <v>232-901</v>
      </c>
      <c r="C2313" t="s">
        <v>2472</v>
      </c>
      <c r="D2313">
        <v>2</v>
      </c>
      <c r="E2313">
        <v>1970</v>
      </c>
      <c r="F2313" t="s">
        <v>5580</v>
      </c>
      <c r="G2313" t="s">
        <v>5580</v>
      </c>
      <c r="H2313">
        <v>52660</v>
      </c>
      <c r="I2313">
        <v>0</v>
      </c>
      <c r="J2313">
        <v>0</v>
      </c>
      <c r="K2313">
        <v>0</v>
      </c>
      <c r="L2313">
        <v>0</v>
      </c>
      <c r="M2313">
        <v>599</v>
      </c>
    </row>
    <row r="2314" spans="1:13" ht="15">
      <c r="A2314" t="s">
        <v>3749</v>
      </c>
      <c r="B2314" s="1040" t="str">
        <f>CONCATENATE(LEFT(RIGHT(CONCATENATE("000",IFAData_TEA_1718!A2314),6),3),"-",(RIGHT(RIGHT(CONCATENATE("000",IFAData_TEA_1718!A2314),6),3)))</f>
        <v>232-901</v>
      </c>
      <c r="C2314" t="s">
        <v>2472</v>
      </c>
      <c r="D2314">
        <v>2</v>
      </c>
      <c r="E2314">
        <v>1970</v>
      </c>
      <c r="F2314" t="s">
        <v>5580</v>
      </c>
      <c r="G2314" t="s">
        <v>5581</v>
      </c>
      <c r="H2314">
        <v>52660</v>
      </c>
      <c r="I2314">
        <v>51153</v>
      </c>
      <c r="J2314">
        <v>1</v>
      </c>
      <c r="K2314">
        <v>52660</v>
      </c>
      <c r="L2314">
        <v>51153</v>
      </c>
      <c r="M2314">
        <v>599</v>
      </c>
    </row>
    <row r="2315" spans="1:13" ht="15">
      <c r="A2315" t="s">
        <v>3749</v>
      </c>
      <c r="B2315" s="1040" t="str">
        <f>CONCATENATE(LEFT(RIGHT(CONCATENATE("000",IFAData_TEA_1718!A2315),6),3),"-",(RIGHT(RIGHT(CONCATENATE("000",IFAData_TEA_1718!A2315),6),3)))</f>
        <v>232-901</v>
      </c>
      <c r="C2315" t="s">
        <v>2472</v>
      </c>
      <c r="D2315">
        <v>5</v>
      </c>
      <c r="E2315">
        <v>1969</v>
      </c>
      <c r="F2315" t="s">
        <v>5582</v>
      </c>
      <c r="G2315" t="s">
        <v>5582</v>
      </c>
      <c r="H2315">
        <v>39885</v>
      </c>
      <c r="I2315">
        <v>0</v>
      </c>
      <c r="J2315">
        <v>0</v>
      </c>
      <c r="K2315">
        <v>0</v>
      </c>
      <c r="L2315">
        <v>0</v>
      </c>
      <c r="M2315">
        <v>599</v>
      </c>
    </row>
    <row r="2316" spans="1:13" ht="15">
      <c r="A2316" t="s">
        <v>3749</v>
      </c>
      <c r="B2316" s="1040" t="str">
        <f>CONCATENATE(LEFT(RIGHT(CONCATENATE("000",IFAData_TEA_1718!A2316),6),3),"-",(RIGHT(RIGHT(CONCATENATE("000",IFAData_TEA_1718!A2316),6),3)))</f>
        <v>232-901</v>
      </c>
      <c r="C2316" t="s">
        <v>2472</v>
      </c>
      <c r="D2316">
        <v>5</v>
      </c>
      <c r="E2316">
        <v>1969</v>
      </c>
      <c r="F2316" t="s">
        <v>5582</v>
      </c>
      <c r="G2316" t="s">
        <v>5581</v>
      </c>
      <c r="H2316">
        <v>39885</v>
      </c>
      <c r="I2316">
        <v>38515</v>
      </c>
      <c r="J2316">
        <v>1</v>
      </c>
      <c r="K2316">
        <v>39885</v>
      </c>
      <c r="L2316">
        <v>38515</v>
      </c>
      <c r="M2316">
        <v>599</v>
      </c>
    </row>
    <row r="2317" spans="1:13" ht="15">
      <c r="A2317" t="s">
        <v>3750</v>
      </c>
      <c r="B2317" s="1040" t="str">
        <f>CONCATENATE(LEFT(RIGHT(CONCATENATE("000",IFAData_TEA_1718!A2317),6),3),"-",(RIGHT(RIGHT(CONCATENATE("000",IFAData_TEA_1718!A2317),6),3)))</f>
        <v>232-902</v>
      </c>
      <c r="C2317" t="s">
        <v>615</v>
      </c>
      <c r="D2317">
        <v>5</v>
      </c>
      <c r="E2317">
        <v>2274</v>
      </c>
      <c r="F2317" t="s">
        <v>5583</v>
      </c>
      <c r="G2317" t="s">
        <v>5583</v>
      </c>
      <c r="H2317">
        <v>124225</v>
      </c>
      <c r="I2317">
        <v>0</v>
      </c>
      <c r="J2317">
        <v>0</v>
      </c>
      <c r="K2317">
        <v>0</v>
      </c>
      <c r="L2317">
        <v>0</v>
      </c>
      <c r="M2317">
        <v>599</v>
      </c>
    </row>
    <row r="2318" spans="1:13" ht="15">
      <c r="A2318" t="s">
        <v>3750</v>
      </c>
      <c r="B2318" s="1040" t="str">
        <f>CONCATENATE(LEFT(RIGHT(CONCATENATE("000",IFAData_TEA_1718!A2318),6),3),"-",(RIGHT(RIGHT(CONCATENATE("000",IFAData_TEA_1718!A2318),6),3)))</f>
        <v>232-902</v>
      </c>
      <c r="C2318" t="s">
        <v>615</v>
      </c>
      <c r="D2318">
        <v>5</v>
      </c>
      <c r="E2318">
        <v>2274</v>
      </c>
      <c r="F2318" t="s">
        <v>5583</v>
      </c>
      <c r="G2318" t="s">
        <v>5584</v>
      </c>
      <c r="H2318">
        <v>124225</v>
      </c>
      <c r="I2318">
        <v>114350</v>
      </c>
      <c r="J2318">
        <v>1</v>
      </c>
      <c r="K2318">
        <v>124225</v>
      </c>
      <c r="L2318">
        <v>114350</v>
      </c>
      <c r="M2318">
        <v>599</v>
      </c>
    </row>
    <row r="2319" spans="1:13" ht="15">
      <c r="A2319" t="s">
        <v>3751</v>
      </c>
      <c r="B2319" s="1040" t="str">
        <f>CONCATENATE(LEFT(RIGHT(CONCATENATE("000",IFAData_TEA_1718!A2319),6),3),"-",(RIGHT(RIGHT(CONCATENATE("000",IFAData_TEA_1718!A2319),6),3)))</f>
        <v>232-903</v>
      </c>
      <c r="C2319" t="s">
        <v>296</v>
      </c>
      <c r="D2319">
        <v>2</v>
      </c>
      <c r="E2319">
        <v>2409</v>
      </c>
      <c r="F2319" t="s">
        <v>5585</v>
      </c>
      <c r="G2319" t="s">
        <v>5585</v>
      </c>
      <c r="H2319">
        <v>1300000</v>
      </c>
      <c r="I2319">
        <v>0</v>
      </c>
      <c r="J2319">
        <v>0</v>
      </c>
      <c r="K2319">
        <v>0</v>
      </c>
      <c r="L2319">
        <v>0</v>
      </c>
      <c r="M2319">
        <v>599</v>
      </c>
    </row>
    <row r="2320" spans="1:13" ht="15">
      <c r="A2320" t="s">
        <v>3751</v>
      </c>
      <c r="B2320" s="1040" t="str">
        <f>CONCATENATE(LEFT(RIGHT(CONCATENATE("000",IFAData_TEA_1718!A2320),6),3),"-",(RIGHT(RIGHT(CONCATENATE("000",IFAData_TEA_1718!A2320),6),3)))</f>
        <v>232-903</v>
      </c>
      <c r="C2320" t="s">
        <v>296</v>
      </c>
      <c r="D2320">
        <v>2</v>
      </c>
      <c r="E2320">
        <v>2409</v>
      </c>
      <c r="F2320" t="s">
        <v>5585</v>
      </c>
      <c r="G2320" t="s">
        <v>5586</v>
      </c>
      <c r="H2320">
        <v>1300000</v>
      </c>
      <c r="I2320">
        <v>0</v>
      </c>
      <c r="J2320">
        <v>0</v>
      </c>
      <c r="K2320">
        <v>0</v>
      </c>
      <c r="L2320">
        <v>0</v>
      </c>
      <c r="M2320">
        <v>599</v>
      </c>
    </row>
    <row r="2321" spans="1:13" ht="15">
      <c r="A2321" t="s">
        <v>3751</v>
      </c>
      <c r="B2321" s="1040" t="str">
        <f>CONCATENATE(LEFT(RIGHT(CONCATENATE("000",IFAData_TEA_1718!A2321),6),3),"-",(RIGHT(RIGHT(CONCATENATE("000",IFAData_TEA_1718!A2321),6),3)))</f>
        <v>232-903</v>
      </c>
      <c r="C2321" t="s">
        <v>296</v>
      </c>
      <c r="D2321">
        <v>2</v>
      </c>
      <c r="E2321">
        <v>2409</v>
      </c>
      <c r="F2321" t="s">
        <v>5585</v>
      </c>
      <c r="G2321" t="s">
        <v>5587</v>
      </c>
      <c r="H2321">
        <v>1300000</v>
      </c>
      <c r="I2321">
        <v>126208</v>
      </c>
      <c r="J2321">
        <v>0.10319516795952299</v>
      </c>
      <c r="K2321">
        <v>134153.71834737901</v>
      </c>
      <c r="L2321">
        <v>126208</v>
      </c>
      <c r="M2321">
        <v>599</v>
      </c>
    </row>
    <row r="2322" spans="1:13" ht="15">
      <c r="A2322" t="s">
        <v>3751</v>
      </c>
      <c r="B2322" s="1040" t="str">
        <f>CONCATENATE(LEFT(RIGHT(CONCATENATE("000",IFAData_TEA_1718!A2322),6),3),"-",(RIGHT(RIGHT(CONCATENATE("000",IFAData_TEA_1718!A2322),6),3)))</f>
        <v>232-903</v>
      </c>
      <c r="C2322" t="s">
        <v>296</v>
      </c>
      <c r="D2322">
        <v>2</v>
      </c>
      <c r="E2322">
        <v>2409</v>
      </c>
      <c r="F2322" t="s">
        <v>5585</v>
      </c>
      <c r="G2322" t="s">
        <v>5588</v>
      </c>
      <c r="H2322">
        <v>1300000</v>
      </c>
      <c r="I2322">
        <v>1096795</v>
      </c>
      <c r="J2322">
        <v>0.89680483204047701</v>
      </c>
      <c r="K2322">
        <v>1165846.2816526201</v>
      </c>
      <c r="L2322">
        <v>1096795</v>
      </c>
      <c r="M2322">
        <v>599</v>
      </c>
    </row>
    <row r="2323" spans="1:13" ht="15">
      <c r="A2323" t="s">
        <v>3751</v>
      </c>
      <c r="B2323" s="1040" t="str">
        <f>CONCATENATE(LEFT(RIGHT(CONCATENATE("000",IFAData_TEA_1718!A2323),6),3),"-",(RIGHT(RIGHT(CONCATENATE("000",IFAData_TEA_1718!A2323),6),3)))</f>
        <v>232-903</v>
      </c>
      <c r="C2323" t="s">
        <v>296</v>
      </c>
      <c r="D2323">
        <v>4</v>
      </c>
      <c r="E2323">
        <v>2408</v>
      </c>
      <c r="F2323" t="s">
        <v>5589</v>
      </c>
      <c r="G2323" t="s">
        <v>5589</v>
      </c>
      <c r="H2323">
        <v>1100156</v>
      </c>
      <c r="I2323">
        <v>0</v>
      </c>
      <c r="J2323">
        <v>0</v>
      </c>
      <c r="K2323">
        <v>0</v>
      </c>
      <c r="L2323">
        <v>0</v>
      </c>
      <c r="M2323">
        <v>599</v>
      </c>
    </row>
    <row r="2324" spans="1:13" ht="15">
      <c r="A2324" t="s">
        <v>3751</v>
      </c>
      <c r="B2324" s="1040" t="str">
        <f>CONCATENATE(LEFT(RIGHT(CONCATENATE("000",IFAData_TEA_1718!A2324),6),3),"-",(RIGHT(RIGHT(CONCATENATE("000",IFAData_TEA_1718!A2324),6),3)))</f>
        <v>232-903</v>
      </c>
      <c r="C2324" t="s">
        <v>296</v>
      </c>
      <c r="D2324">
        <v>4</v>
      </c>
      <c r="E2324">
        <v>2408</v>
      </c>
      <c r="F2324" t="s">
        <v>5589</v>
      </c>
      <c r="G2324" t="s">
        <v>5586</v>
      </c>
      <c r="H2324">
        <v>1100156</v>
      </c>
      <c r="I2324">
        <v>0</v>
      </c>
      <c r="J2324">
        <v>0</v>
      </c>
      <c r="K2324">
        <v>0</v>
      </c>
      <c r="L2324">
        <v>0</v>
      </c>
      <c r="M2324">
        <v>599</v>
      </c>
    </row>
    <row r="2325" spans="1:13" ht="15">
      <c r="A2325" t="s">
        <v>3751</v>
      </c>
      <c r="B2325" s="1040" t="str">
        <f>CONCATENATE(LEFT(RIGHT(CONCATENATE("000",IFAData_TEA_1718!A2325),6),3),"-",(RIGHT(RIGHT(CONCATENATE("000",IFAData_TEA_1718!A2325),6),3)))</f>
        <v>232-903</v>
      </c>
      <c r="C2325" t="s">
        <v>296</v>
      </c>
      <c r="D2325">
        <v>4</v>
      </c>
      <c r="E2325">
        <v>2408</v>
      </c>
      <c r="F2325" t="s">
        <v>5589</v>
      </c>
      <c r="G2325" t="s">
        <v>5587</v>
      </c>
      <c r="H2325">
        <v>1100156</v>
      </c>
      <c r="I2325">
        <v>129450</v>
      </c>
      <c r="J2325">
        <v>0.12717484207527299</v>
      </c>
      <c r="K2325">
        <v>139912.16555816401</v>
      </c>
      <c r="L2325">
        <v>129450</v>
      </c>
      <c r="M2325">
        <v>599</v>
      </c>
    </row>
    <row r="2326" spans="1:13" ht="15">
      <c r="A2326" t="s">
        <v>3751</v>
      </c>
      <c r="B2326" s="1040" t="str">
        <f>CONCATENATE(LEFT(RIGHT(CONCATENATE("000",IFAData_TEA_1718!A2326),6),3),"-",(RIGHT(RIGHT(CONCATENATE("000",IFAData_TEA_1718!A2326),6),3)))</f>
        <v>232-903</v>
      </c>
      <c r="C2326" t="s">
        <v>296</v>
      </c>
      <c r="D2326">
        <v>4</v>
      </c>
      <c r="E2326">
        <v>2408</v>
      </c>
      <c r="F2326" t="s">
        <v>5589</v>
      </c>
      <c r="G2326" t="s">
        <v>5588</v>
      </c>
      <c r="H2326">
        <v>1100156</v>
      </c>
      <c r="I2326">
        <v>888440</v>
      </c>
      <c r="J2326">
        <v>0.87282515792472704</v>
      </c>
      <c r="K2326">
        <v>960243.83444183599</v>
      </c>
      <c r="L2326">
        <v>888440</v>
      </c>
      <c r="M2326">
        <v>599</v>
      </c>
    </row>
    <row r="2327" spans="1:13" ht="15">
      <c r="A2327" t="s">
        <v>3752</v>
      </c>
      <c r="B2327" s="1040" t="str">
        <f>CONCATENATE(LEFT(RIGHT(CONCATENATE("000",IFAData_TEA_1718!A2327),6),3),"-",(RIGHT(RIGHT(CONCATENATE("000",IFAData_TEA_1718!A2327),6),3)))</f>
        <v>233-901</v>
      </c>
      <c r="C2327" t="s">
        <v>2146</v>
      </c>
      <c r="D2327">
        <v>4</v>
      </c>
      <c r="E2327">
        <v>2298</v>
      </c>
      <c r="F2327" t="s">
        <v>5590</v>
      </c>
      <c r="G2327" t="s">
        <v>5590</v>
      </c>
      <c r="H2327">
        <v>2143670</v>
      </c>
      <c r="I2327">
        <v>0</v>
      </c>
      <c r="J2327">
        <v>0</v>
      </c>
      <c r="K2327">
        <v>0</v>
      </c>
      <c r="L2327">
        <v>0</v>
      </c>
      <c r="M2327">
        <v>599</v>
      </c>
    </row>
    <row r="2328" spans="1:13" ht="15">
      <c r="A2328" t="s">
        <v>3752</v>
      </c>
      <c r="B2328" s="1040" t="str">
        <f>CONCATENATE(LEFT(RIGHT(CONCATENATE("000",IFAData_TEA_1718!A2328),6),3),"-",(RIGHT(RIGHT(CONCATENATE("000",IFAData_TEA_1718!A2328),6),3)))</f>
        <v>233-901</v>
      </c>
      <c r="C2328" t="s">
        <v>2146</v>
      </c>
      <c r="D2328">
        <v>4</v>
      </c>
      <c r="E2328">
        <v>2298</v>
      </c>
      <c r="F2328" t="s">
        <v>5590</v>
      </c>
      <c r="G2328" t="s">
        <v>5591</v>
      </c>
      <c r="H2328">
        <v>2143670</v>
      </c>
      <c r="I2328">
        <v>0</v>
      </c>
      <c r="J2328">
        <v>0</v>
      </c>
      <c r="K2328">
        <v>0</v>
      </c>
      <c r="L2328">
        <v>0</v>
      </c>
      <c r="M2328">
        <v>599</v>
      </c>
    </row>
    <row r="2329" spans="1:13" ht="15">
      <c r="A2329" t="s">
        <v>3752</v>
      </c>
      <c r="B2329" s="1040" t="str">
        <f>CONCATENATE(LEFT(RIGHT(CONCATENATE("000",IFAData_TEA_1718!A2329),6),3),"-",(RIGHT(RIGHT(CONCATENATE("000",IFAData_TEA_1718!A2329),6),3)))</f>
        <v>233-901</v>
      </c>
      <c r="C2329" t="s">
        <v>2146</v>
      </c>
      <c r="D2329">
        <v>4</v>
      </c>
      <c r="E2329">
        <v>2298</v>
      </c>
      <c r="F2329" t="s">
        <v>5590</v>
      </c>
      <c r="G2329" t="s">
        <v>5592</v>
      </c>
      <c r="H2329">
        <v>2143670</v>
      </c>
      <c r="I2329">
        <v>1939625</v>
      </c>
      <c r="J2329">
        <v>1</v>
      </c>
      <c r="K2329">
        <v>2143670</v>
      </c>
      <c r="L2329">
        <v>1939625</v>
      </c>
      <c r="M2329">
        <v>599</v>
      </c>
    </row>
    <row r="2330" spans="1:13" ht="15">
      <c r="A2330" t="s">
        <v>3752</v>
      </c>
      <c r="B2330" s="1040" t="str">
        <f>CONCATENATE(LEFT(RIGHT(CONCATENATE("000",IFAData_TEA_1718!A2330),6),3),"-",(RIGHT(RIGHT(CONCATENATE("000",IFAData_TEA_1718!A2330),6),3)))</f>
        <v>233-901</v>
      </c>
      <c r="C2330" t="s">
        <v>2146</v>
      </c>
      <c r="D2330">
        <v>8</v>
      </c>
      <c r="E2330">
        <v>2297</v>
      </c>
      <c r="F2330" t="s">
        <v>5593</v>
      </c>
      <c r="G2330" t="s">
        <v>5593</v>
      </c>
      <c r="H2330">
        <v>1506687</v>
      </c>
      <c r="I2330">
        <v>0</v>
      </c>
      <c r="J2330">
        <v>0</v>
      </c>
      <c r="K2330">
        <v>0</v>
      </c>
      <c r="L2330">
        <v>0</v>
      </c>
      <c r="M2330">
        <v>599</v>
      </c>
    </row>
    <row r="2331" spans="1:13" ht="15">
      <c r="A2331" t="s">
        <v>3752</v>
      </c>
      <c r="B2331" s="1040" t="str">
        <f>CONCATENATE(LEFT(RIGHT(CONCATENATE("000",IFAData_TEA_1718!A2331),6),3),"-",(RIGHT(RIGHT(CONCATENATE("000",IFAData_TEA_1718!A2331),6),3)))</f>
        <v>233-901</v>
      </c>
      <c r="C2331" t="s">
        <v>2146</v>
      </c>
      <c r="D2331">
        <v>8</v>
      </c>
      <c r="E2331">
        <v>2297</v>
      </c>
      <c r="F2331" t="s">
        <v>5593</v>
      </c>
      <c r="G2331" t="s">
        <v>5594</v>
      </c>
      <c r="H2331">
        <v>1506687</v>
      </c>
      <c r="I2331">
        <v>321755</v>
      </c>
      <c r="J2331">
        <v>0.19390868022409299</v>
      </c>
      <c r="K2331">
        <v>292159.687680798</v>
      </c>
      <c r="L2331">
        <v>292159.687680798</v>
      </c>
      <c r="M2331">
        <v>599</v>
      </c>
    </row>
    <row r="2332" spans="1:13" ht="15">
      <c r="A2332" t="s">
        <v>3752</v>
      </c>
      <c r="B2332" s="1040" t="str">
        <f>CONCATENATE(LEFT(RIGHT(CONCATENATE("000",IFAData_TEA_1718!A2332),6),3),"-",(RIGHT(RIGHT(CONCATENATE("000",IFAData_TEA_1718!A2332),6),3)))</f>
        <v>233-901</v>
      </c>
      <c r="C2332" t="s">
        <v>2146</v>
      </c>
      <c r="D2332">
        <v>8</v>
      </c>
      <c r="E2332">
        <v>2297</v>
      </c>
      <c r="F2332" t="s">
        <v>5593</v>
      </c>
      <c r="G2332" t="s">
        <v>6343</v>
      </c>
      <c r="H2332">
        <v>1506687</v>
      </c>
      <c r="I2332">
        <v>1064050</v>
      </c>
      <c r="J2332">
        <v>0.64125975102934196</v>
      </c>
      <c r="K2332">
        <v>966177.73049914697</v>
      </c>
      <c r="L2332">
        <v>966177.73049914697</v>
      </c>
      <c r="M2332">
        <v>599</v>
      </c>
    </row>
    <row r="2333" spans="1:13" ht="15">
      <c r="A2333" t="s">
        <v>3752</v>
      </c>
      <c r="B2333" s="1040" t="str">
        <f>CONCATENATE(LEFT(RIGHT(CONCATENATE("000",IFAData_TEA_1718!A2333),6),3),"-",(RIGHT(RIGHT(CONCATENATE("000",IFAData_TEA_1718!A2333),6),3)))</f>
        <v>233-901</v>
      </c>
      <c r="C2333" t="s">
        <v>2146</v>
      </c>
      <c r="D2333">
        <v>8</v>
      </c>
      <c r="E2333">
        <v>2297</v>
      </c>
      <c r="F2333" t="s">
        <v>5593</v>
      </c>
      <c r="G2333" t="s">
        <v>8513</v>
      </c>
      <c r="H2333">
        <v>1506687</v>
      </c>
      <c r="I2333">
        <v>273507</v>
      </c>
      <c r="J2333">
        <v>0.16483156874656499</v>
      </c>
      <c r="K2333">
        <v>248349.58182005599</v>
      </c>
      <c r="L2333">
        <v>248349.58182005599</v>
      </c>
      <c r="M2333">
        <v>599</v>
      </c>
    </row>
    <row r="2334" spans="1:13" ht="15">
      <c r="A2334" t="s">
        <v>3752</v>
      </c>
      <c r="B2334" s="1040" t="str">
        <f>CONCATENATE(LEFT(RIGHT(CONCATENATE("000",IFAData_TEA_1718!A2334),6),3),"-",(RIGHT(RIGHT(CONCATENATE("000",IFAData_TEA_1718!A2334),6),3)))</f>
        <v>233-901</v>
      </c>
      <c r="C2334" t="s">
        <v>2146</v>
      </c>
      <c r="D2334">
        <v>9</v>
      </c>
      <c r="E2334">
        <v>2296</v>
      </c>
      <c r="F2334" t="s">
        <v>5595</v>
      </c>
      <c r="G2334" t="s">
        <v>5595</v>
      </c>
      <c r="H2334">
        <v>866517</v>
      </c>
      <c r="I2334">
        <v>432800</v>
      </c>
      <c r="J2334">
        <v>0.56723460026212302</v>
      </c>
      <c r="K2334">
        <v>491518.424115334</v>
      </c>
      <c r="L2334">
        <v>432800</v>
      </c>
      <c r="M2334">
        <v>599</v>
      </c>
    </row>
    <row r="2335" spans="1:13" ht="15">
      <c r="A2335" t="s">
        <v>3752</v>
      </c>
      <c r="B2335" s="1040" t="str">
        <f>CONCATENATE(LEFT(RIGHT(CONCATENATE("000",IFAData_TEA_1718!A2335),6),3),"-",(RIGHT(RIGHT(CONCATENATE("000",IFAData_TEA_1718!A2335),6),3)))</f>
        <v>233-901</v>
      </c>
      <c r="C2335" t="s">
        <v>2146</v>
      </c>
      <c r="D2335">
        <v>9</v>
      </c>
      <c r="E2335">
        <v>2296</v>
      </c>
      <c r="F2335" t="s">
        <v>5595</v>
      </c>
      <c r="G2335" t="s">
        <v>6549</v>
      </c>
      <c r="H2335">
        <v>866517</v>
      </c>
      <c r="I2335">
        <v>330200</v>
      </c>
      <c r="J2335">
        <v>0.43276539973787698</v>
      </c>
      <c r="K2335">
        <v>374998.575884666</v>
      </c>
      <c r="L2335">
        <v>330200</v>
      </c>
      <c r="M2335">
        <v>599</v>
      </c>
    </row>
    <row r="2336" spans="1:13" ht="15">
      <c r="A2336" t="s">
        <v>3753</v>
      </c>
      <c r="B2336" s="1040" t="str">
        <f>CONCATENATE(LEFT(RIGHT(CONCATENATE("000",IFAData_TEA_1718!A2336),6),3),"-",(RIGHT(RIGHT(CONCATENATE("000",IFAData_TEA_1718!A2336),6),3)))</f>
        <v>234-902</v>
      </c>
      <c r="C2336" t="s">
        <v>1146</v>
      </c>
      <c r="D2336">
        <v>10</v>
      </c>
      <c r="E2336">
        <v>1661</v>
      </c>
      <c r="F2336" t="s">
        <v>5596</v>
      </c>
      <c r="G2336" t="s">
        <v>5596</v>
      </c>
      <c r="H2336">
        <v>944380</v>
      </c>
      <c r="I2336">
        <v>438964</v>
      </c>
      <c r="J2336">
        <v>0.39313893899308799</v>
      </c>
      <c r="K2336">
        <v>371272.551206292</v>
      </c>
      <c r="L2336">
        <v>371272.551206292</v>
      </c>
      <c r="M2336">
        <v>599</v>
      </c>
    </row>
    <row r="2337" spans="1:13" ht="15">
      <c r="A2337" t="s">
        <v>3753</v>
      </c>
      <c r="B2337" s="1040" t="str">
        <f>CONCATENATE(LEFT(RIGHT(CONCATENATE("000",IFAData_TEA_1718!A2337),6),3),"-",(RIGHT(RIGHT(CONCATENATE("000",IFAData_TEA_1718!A2337),6),3)))</f>
        <v>234-902</v>
      </c>
      <c r="C2337" t="s">
        <v>1146</v>
      </c>
      <c r="D2337">
        <v>10</v>
      </c>
      <c r="E2337">
        <v>1661</v>
      </c>
      <c r="F2337" t="s">
        <v>5596</v>
      </c>
      <c r="G2337" t="s">
        <v>6345</v>
      </c>
      <c r="H2337">
        <v>944380</v>
      </c>
      <c r="I2337">
        <v>283532</v>
      </c>
      <c r="J2337">
        <v>0.25393305521771298</v>
      </c>
      <c r="K2337">
        <v>239809.29868650399</v>
      </c>
      <c r="L2337">
        <v>239809.29868650399</v>
      </c>
      <c r="M2337">
        <v>599</v>
      </c>
    </row>
    <row r="2338" spans="1:13" ht="15">
      <c r="A2338" t="s">
        <v>3753</v>
      </c>
      <c r="B2338" s="1040" t="str">
        <f>CONCATENATE(LEFT(RIGHT(CONCATENATE("000",IFAData_TEA_1718!A2338),6),3),"-",(RIGHT(RIGHT(CONCATENATE("000",IFAData_TEA_1718!A2338),6),3)))</f>
        <v>234-902</v>
      </c>
      <c r="C2338" t="s">
        <v>1146</v>
      </c>
      <c r="D2338">
        <v>10</v>
      </c>
      <c r="E2338">
        <v>1661</v>
      </c>
      <c r="F2338" t="s">
        <v>5596</v>
      </c>
      <c r="G2338" t="s">
        <v>6344</v>
      </c>
      <c r="H2338">
        <v>944380</v>
      </c>
      <c r="I2338">
        <v>394066</v>
      </c>
      <c r="J2338">
        <v>0.35292800578919897</v>
      </c>
      <c r="K2338">
        <v>333298.15010720398</v>
      </c>
      <c r="L2338">
        <v>333298.15010720398</v>
      </c>
      <c r="M2338">
        <v>599</v>
      </c>
    </row>
    <row r="2339" spans="1:13" ht="15">
      <c r="A2339" t="s">
        <v>3754</v>
      </c>
      <c r="B2339" s="1040" t="str">
        <f>CONCATENATE(LEFT(RIGHT(CONCATENATE("000",IFAData_TEA_1718!A2339),6),3),"-",(RIGHT(RIGHT(CONCATENATE("000",IFAData_TEA_1718!A2339),6),3)))</f>
        <v>234-904</v>
      </c>
      <c r="C2339" t="s">
        <v>864</v>
      </c>
      <c r="D2339">
        <v>5</v>
      </c>
      <c r="E2339">
        <v>1857</v>
      </c>
      <c r="F2339" t="s">
        <v>5597</v>
      </c>
      <c r="G2339" t="s">
        <v>5597</v>
      </c>
      <c r="H2339">
        <v>287500</v>
      </c>
      <c r="I2339">
        <v>0</v>
      </c>
      <c r="J2339">
        <v>0</v>
      </c>
      <c r="K2339">
        <v>0</v>
      </c>
      <c r="L2339">
        <v>0</v>
      </c>
      <c r="M2339">
        <v>599</v>
      </c>
    </row>
    <row r="2340" spans="1:13" ht="15">
      <c r="A2340" t="s">
        <v>3754</v>
      </c>
      <c r="B2340" s="1040" t="str">
        <f>CONCATENATE(LEFT(RIGHT(CONCATENATE("000",IFAData_TEA_1718!A2340),6),3),"-",(RIGHT(RIGHT(CONCATENATE("000",IFAData_TEA_1718!A2340),6),3)))</f>
        <v>234-904</v>
      </c>
      <c r="C2340" t="s">
        <v>864</v>
      </c>
      <c r="D2340">
        <v>5</v>
      </c>
      <c r="E2340">
        <v>1857</v>
      </c>
      <c r="F2340" t="s">
        <v>5597</v>
      </c>
      <c r="G2340" t="s">
        <v>5598</v>
      </c>
      <c r="H2340">
        <v>287500</v>
      </c>
      <c r="I2340">
        <v>544412</v>
      </c>
      <c r="J2340">
        <v>1</v>
      </c>
      <c r="K2340">
        <v>287500</v>
      </c>
      <c r="L2340">
        <v>287500</v>
      </c>
      <c r="M2340">
        <v>599</v>
      </c>
    </row>
    <row r="2341" spans="1:13" ht="15">
      <c r="A2341" t="s">
        <v>3755</v>
      </c>
      <c r="B2341" s="1040" t="str">
        <f>CONCATENATE(LEFT(RIGHT(CONCATENATE("000",IFAData_TEA_1718!A2341),6),3),"-",(RIGHT(RIGHT(CONCATENATE("000",IFAData_TEA_1718!A2341),6),3)))</f>
        <v>234-905</v>
      </c>
      <c r="C2341" t="s">
        <v>2065</v>
      </c>
      <c r="D2341">
        <v>2</v>
      </c>
      <c r="E2341">
        <v>2070</v>
      </c>
      <c r="F2341" t="s">
        <v>5599</v>
      </c>
      <c r="G2341" t="s">
        <v>5599</v>
      </c>
      <c r="H2341">
        <v>95558</v>
      </c>
      <c r="I2341">
        <v>0</v>
      </c>
      <c r="J2341">
        <v>0</v>
      </c>
      <c r="K2341">
        <v>0</v>
      </c>
      <c r="L2341">
        <v>0</v>
      </c>
      <c r="M2341">
        <v>599</v>
      </c>
    </row>
    <row r="2342" spans="1:13" ht="15">
      <c r="A2342" t="s">
        <v>3755</v>
      </c>
      <c r="B2342" s="1040" t="str">
        <f>CONCATENATE(LEFT(RIGHT(CONCATENATE("000",IFAData_TEA_1718!A2342),6),3),"-",(RIGHT(RIGHT(CONCATENATE("000",IFAData_TEA_1718!A2342),6),3)))</f>
        <v>234-905</v>
      </c>
      <c r="C2342" t="s">
        <v>2065</v>
      </c>
      <c r="D2342">
        <v>2</v>
      </c>
      <c r="E2342">
        <v>2070</v>
      </c>
      <c r="F2342" t="s">
        <v>5599</v>
      </c>
      <c r="G2342" t="s">
        <v>5600</v>
      </c>
      <c r="H2342">
        <v>95558</v>
      </c>
      <c r="I2342">
        <v>59142</v>
      </c>
      <c r="J2342">
        <v>1</v>
      </c>
      <c r="K2342">
        <v>95558</v>
      </c>
      <c r="L2342">
        <v>59142</v>
      </c>
      <c r="M2342">
        <v>599</v>
      </c>
    </row>
    <row r="2343" spans="1:13" ht="15">
      <c r="A2343" t="s">
        <v>3755</v>
      </c>
      <c r="B2343" s="1040" t="str">
        <f>CONCATENATE(LEFT(RIGHT(CONCATENATE("000",IFAData_TEA_1718!A2343),6),3),"-",(RIGHT(RIGHT(CONCATENATE("000",IFAData_TEA_1718!A2343),6),3)))</f>
        <v>234-905</v>
      </c>
      <c r="C2343" t="s">
        <v>2065</v>
      </c>
      <c r="D2343">
        <v>10</v>
      </c>
      <c r="E2343">
        <v>2071</v>
      </c>
      <c r="F2343" t="s">
        <v>5601</v>
      </c>
      <c r="G2343" t="s">
        <v>5601</v>
      </c>
      <c r="H2343">
        <v>121250</v>
      </c>
      <c r="I2343">
        <v>59812</v>
      </c>
      <c r="J2343">
        <v>0.43011031050898202</v>
      </c>
      <c r="K2343">
        <v>52150.875149214</v>
      </c>
      <c r="L2343">
        <v>52150.875149214</v>
      </c>
      <c r="M2343">
        <v>599</v>
      </c>
    </row>
    <row r="2344" spans="1:13" ht="15">
      <c r="A2344" t="s">
        <v>3755</v>
      </c>
      <c r="B2344" s="1040" t="str">
        <f>CONCATENATE(LEFT(RIGHT(CONCATENATE("000",IFAData_TEA_1718!A2344),6),3),"-",(RIGHT(RIGHT(CONCATENATE("000",IFAData_TEA_1718!A2344),6),3)))</f>
        <v>234-905</v>
      </c>
      <c r="C2344" t="s">
        <v>2065</v>
      </c>
      <c r="D2344">
        <v>10</v>
      </c>
      <c r="E2344">
        <v>2071</v>
      </c>
      <c r="F2344" t="s">
        <v>5601</v>
      </c>
      <c r="G2344" t="s">
        <v>8514</v>
      </c>
      <c r="H2344">
        <v>121250</v>
      </c>
      <c r="I2344">
        <v>79250</v>
      </c>
      <c r="J2344">
        <v>0.56988968949101804</v>
      </c>
      <c r="K2344">
        <v>69099.124850786</v>
      </c>
      <c r="L2344">
        <v>69099.124850786</v>
      </c>
      <c r="M2344">
        <v>599</v>
      </c>
    </row>
    <row r="2345" spans="1:13" ht="15">
      <c r="A2345" t="s">
        <v>3756</v>
      </c>
      <c r="B2345" s="1040" t="str">
        <f>CONCATENATE(LEFT(RIGHT(CONCATENATE("000",IFAData_TEA_1718!A2345),6),3),"-",(RIGHT(RIGHT(CONCATENATE("000",IFAData_TEA_1718!A2345),6),3)))</f>
        <v>234-906</v>
      </c>
      <c r="C2345" t="s">
        <v>1147</v>
      </c>
      <c r="D2345">
        <v>9</v>
      </c>
      <c r="E2345">
        <v>2421</v>
      </c>
      <c r="F2345" t="s">
        <v>5602</v>
      </c>
      <c r="G2345" t="s">
        <v>5602</v>
      </c>
      <c r="H2345">
        <v>518746</v>
      </c>
      <c r="I2345">
        <v>0</v>
      </c>
      <c r="J2345">
        <v>0</v>
      </c>
      <c r="K2345">
        <v>0</v>
      </c>
      <c r="L2345">
        <v>0</v>
      </c>
      <c r="M2345">
        <v>599</v>
      </c>
    </row>
    <row r="2346" spans="1:13" ht="15">
      <c r="A2346" t="s">
        <v>3756</v>
      </c>
      <c r="B2346" s="1040" t="str">
        <f>CONCATENATE(LEFT(RIGHT(CONCATENATE("000",IFAData_TEA_1718!A2346),6),3),"-",(RIGHT(RIGHT(CONCATENATE("000",IFAData_TEA_1718!A2346),6),3)))</f>
        <v>234-906</v>
      </c>
      <c r="C2346" t="s">
        <v>1147</v>
      </c>
      <c r="D2346">
        <v>9</v>
      </c>
      <c r="E2346">
        <v>2421</v>
      </c>
      <c r="F2346" t="s">
        <v>5602</v>
      </c>
      <c r="G2346" t="s">
        <v>6347</v>
      </c>
      <c r="H2346">
        <v>518746</v>
      </c>
      <c r="I2346">
        <v>284063</v>
      </c>
      <c r="J2346">
        <v>0.38130797213310602</v>
      </c>
      <c r="K2346">
        <v>197801.98531215999</v>
      </c>
      <c r="L2346">
        <v>197801.98531215999</v>
      </c>
      <c r="M2346">
        <v>599</v>
      </c>
    </row>
    <row r="2347" spans="1:13" ht="15">
      <c r="A2347" t="s">
        <v>3756</v>
      </c>
      <c r="B2347" s="1040" t="str">
        <f>CONCATENATE(LEFT(RIGHT(CONCATENATE("000",IFAData_TEA_1718!A2347),6),3),"-",(RIGHT(RIGHT(CONCATENATE("000",IFAData_TEA_1718!A2347),6),3)))</f>
        <v>234-906</v>
      </c>
      <c r="C2347" t="s">
        <v>1147</v>
      </c>
      <c r="D2347">
        <v>9</v>
      </c>
      <c r="E2347">
        <v>2421</v>
      </c>
      <c r="F2347" t="s">
        <v>5602</v>
      </c>
      <c r="G2347" t="s">
        <v>6346</v>
      </c>
      <c r="H2347">
        <v>518746</v>
      </c>
      <c r="I2347">
        <v>219730</v>
      </c>
      <c r="J2347">
        <v>0.294951474556022</v>
      </c>
      <c r="K2347">
        <v>153004.89762003801</v>
      </c>
      <c r="L2347">
        <v>153004.89762003801</v>
      </c>
      <c r="M2347">
        <v>599</v>
      </c>
    </row>
    <row r="2348" spans="1:13" ht="15">
      <c r="A2348" t="s">
        <v>3756</v>
      </c>
      <c r="B2348" s="1040" t="str">
        <f>CONCATENATE(LEFT(RIGHT(CONCATENATE("000",IFAData_TEA_1718!A2348),6),3),"-",(RIGHT(RIGHT(CONCATENATE("000",IFAData_TEA_1718!A2348),6),3)))</f>
        <v>234-906</v>
      </c>
      <c r="C2348" t="s">
        <v>1147</v>
      </c>
      <c r="D2348">
        <v>9</v>
      </c>
      <c r="E2348">
        <v>2421</v>
      </c>
      <c r="F2348" t="s">
        <v>5602</v>
      </c>
      <c r="G2348" t="s">
        <v>6550</v>
      </c>
      <c r="H2348">
        <v>518746</v>
      </c>
      <c r="I2348">
        <v>241177</v>
      </c>
      <c r="J2348">
        <v>0.32374055331087198</v>
      </c>
      <c r="K2348">
        <v>167939.11706780101</v>
      </c>
      <c r="L2348">
        <v>167939.11706780101</v>
      </c>
      <c r="M2348">
        <v>599</v>
      </c>
    </row>
    <row r="2349" spans="1:13" ht="15">
      <c r="A2349" t="s">
        <v>3757</v>
      </c>
      <c r="B2349" s="1040" t="str">
        <f>CONCATENATE(LEFT(RIGHT(CONCATENATE("000",IFAData_TEA_1718!A2349),6),3),"-",(RIGHT(RIGHT(CONCATENATE("000",IFAData_TEA_1718!A2349),6),3)))</f>
        <v>234-909</v>
      </c>
      <c r="C2349" t="s">
        <v>1478</v>
      </c>
      <c r="D2349">
        <v>6</v>
      </c>
      <c r="E2349">
        <v>1832</v>
      </c>
      <c r="F2349" t="s">
        <v>5603</v>
      </c>
      <c r="G2349" t="s">
        <v>5603</v>
      </c>
      <c r="H2349">
        <v>95608</v>
      </c>
      <c r="I2349">
        <v>0</v>
      </c>
      <c r="J2349">
        <v>0</v>
      </c>
      <c r="K2349">
        <v>0</v>
      </c>
      <c r="L2349">
        <v>0</v>
      </c>
      <c r="M2349">
        <v>599</v>
      </c>
    </row>
    <row r="2350" spans="1:13" ht="15">
      <c r="A2350" t="s">
        <v>3757</v>
      </c>
      <c r="B2350" s="1040" t="str">
        <f>CONCATENATE(LEFT(RIGHT(CONCATENATE("000",IFAData_TEA_1718!A2350),6),3),"-",(RIGHT(RIGHT(CONCATENATE("000",IFAData_TEA_1718!A2350),6),3)))</f>
        <v>234-909</v>
      </c>
      <c r="C2350" t="s">
        <v>1478</v>
      </c>
      <c r="D2350">
        <v>6</v>
      </c>
      <c r="E2350">
        <v>1832</v>
      </c>
      <c r="F2350" t="s">
        <v>5603</v>
      </c>
      <c r="G2350" t="s">
        <v>5604</v>
      </c>
      <c r="H2350">
        <v>95608</v>
      </c>
      <c r="I2350">
        <v>88150</v>
      </c>
      <c r="J2350">
        <v>1</v>
      </c>
      <c r="K2350">
        <v>95608</v>
      </c>
      <c r="L2350">
        <v>88150</v>
      </c>
      <c r="M2350">
        <v>599</v>
      </c>
    </row>
    <row r="2351" spans="1:13" ht="15">
      <c r="A2351" t="s">
        <v>3757</v>
      </c>
      <c r="B2351" s="1040" t="str">
        <f>CONCATENATE(LEFT(RIGHT(CONCATENATE("000",IFAData_TEA_1718!A2351),6),3),"-",(RIGHT(RIGHT(CONCATENATE("000",IFAData_TEA_1718!A2351),6),3)))</f>
        <v>234-909</v>
      </c>
      <c r="C2351" t="s">
        <v>1478</v>
      </c>
      <c r="D2351">
        <v>11</v>
      </c>
      <c r="E2351">
        <v>2594</v>
      </c>
      <c r="F2351" t="s">
        <v>8515</v>
      </c>
      <c r="G2351" t="s">
        <v>8515</v>
      </c>
      <c r="H2351">
        <v>81458</v>
      </c>
      <c r="I2351">
        <v>79685</v>
      </c>
      <c r="J2351">
        <v>1</v>
      </c>
      <c r="K2351">
        <v>81458</v>
      </c>
      <c r="L2351">
        <v>79685</v>
      </c>
      <c r="M2351">
        <v>599</v>
      </c>
    </row>
    <row r="2352" spans="1:13" ht="15">
      <c r="A2352" t="s">
        <v>3758</v>
      </c>
      <c r="B2352" s="1040" t="str">
        <f>CONCATENATE(LEFT(RIGHT(CONCATENATE("000",IFAData_TEA_1718!A2352),6),3),"-",(RIGHT(RIGHT(CONCATENATE("000",IFAData_TEA_1718!A2352),6),3)))</f>
        <v>235-901</v>
      </c>
      <c r="C2352" t="s">
        <v>1344</v>
      </c>
      <c r="D2352">
        <v>3</v>
      </c>
      <c r="E2352">
        <v>1620</v>
      </c>
      <c r="F2352" t="s">
        <v>5605</v>
      </c>
      <c r="G2352" t="s">
        <v>5605</v>
      </c>
      <c r="H2352">
        <v>239379</v>
      </c>
      <c r="I2352">
        <v>0</v>
      </c>
      <c r="J2352">
        <v>0</v>
      </c>
      <c r="K2352">
        <v>0</v>
      </c>
      <c r="L2352">
        <v>0</v>
      </c>
      <c r="M2352">
        <v>599</v>
      </c>
    </row>
    <row r="2353" spans="1:13" ht="15">
      <c r="A2353" t="s">
        <v>3758</v>
      </c>
      <c r="B2353" s="1040" t="str">
        <f>CONCATENATE(LEFT(RIGHT(CONCATENATE("000",IFAData_TEA_1718!A2353),6),3),"-",(RIGHT(RIGHT(CONCATENATE("000",IFAData_TEA_1718!A2353),6),3)))</f>
        <v>235-901</v>
      </c>
      <c r="C2353" t="s">
        <v>1344</v>
      </c>
      <c r="D2353">
        <v>3</v>
      </c>
      <c r="E2353">
        <v>1620</v>
      </c>
      <c r="F2353" t="s">
        <v>5605</v>
      </c>
      <c r="G2353" t="s">
        <v>5606</v>
      </c>
      <c r="H2353">
        <v>239379</v>
      </c>
      <c r="I2353">
        <v>0</v>
      </c>
      <c r="J2353">
        <v>0</v>
      </c>
      <c r="K2353">
        <v>0</v>
      </c>
      <c r="L2353">
        <v>0</v>
      </c>
      <c r="M2353">
        <v>599</v>
      </c>
    </row>
    <row r="2354" spans="1:13" ht="15">
      <c r="A2354" t="s">
        <v>3758</v>
      </c>
      <c r="B2354" s="1040" t="str">
        <f>CONCATENATE(LEFT(RIGHT(CONCATENATE("000",IFAData_TEA_1718!A2354),6),3),"-",(RIGHT(RIGHT(CONCATENATE("000",IFAData_TEA_1718!A2354),6),3)))</f>
        <v>235-901</v>
      </c>
      <c r="C2354" t="s">
        <v>1344</v>
      </c>
      <c r="D2354">
        <v>3</v>
      </c>
      <c r="E2354">
        <v>1620</v>
      </c>
      <c r="F2354" t="s">
        <v>5605</v>
      </c>
      <c r="G2354" t="s">
        <v>6551</v>
      </c>
      <c r="H2354">
        <v>239379</v>
      </c>
      <c r="I2354">
        <v>74000</v>
      </c>
      <c r="J2354">
        <v>1</v>
      </c>
      <c r="K2354">
        <v>239379</v>
      </c>
      <c r="L2354">
        <v>74000</v>
      </c>
      <c r="M2354">
        <v>599</v>
      </c>
    </row>
    <row r="2355" spans="1:13" ht="15">
      <c r="A2355" t="s">
        <v>3758</v>
      </c>
      <c r="B2355" s="1040" t="str">
        <f>CONCATENATE(LEFT(RIGHT(CONCATENATE("000",IFAData_TEA_1718!A2355),6),3),"-",(RIGHT(RIGHT(CONCATENATE("000",IFAData_TEA_1718!A2355),6),3)))</f>
        <v>235-901</v>
      </c>
      <c r="C2355" t="s">
        <v>1344</v>
      </c>
      <c r="D2355">
        <v>6</v>
      </c>
      <c r="E2355">
        <v>1619</v>
      </c>
      <c r="F2355" t="s">
        <v>5607</v>
      </c>
      <c r="G2355" t="s">
        <v>5607</v>
      </c>
      <c r="H2355">
        <v>218942</v>
      </c>
      <c r="I2355">
        <v>0</v>
      </c>
      <c r="J2355">
        <v>0</v>
      </c>
      <c r="K2355">
        <v>0</v>
      </c>
      <c r="L2355">
        <v>0</v>
      </c>
      <c r="M2355">
        <v>599</v>
      </c>
    </row>
    <row r="2356" spans="1:13" ht="15">
      <c r="A2356" t="s">
        <v>3758</v>
      </c>
      <c r="B2356" s="1040" t="str">
        <f>CONCATENATE(LEFT(RIGHT(CONCATENATE("000",IFAData_TEA_1718!A2356),6),3),"-",(RIGHT(RIGHT(CONCATENATE("000",IFAData_TEA_1718!A2356),6),3)))</f>
        <v>235-901</v>
      </c>
      <c r="C2356" t="s">
        <v>1344</v>
      </c>
      <c r="D2356">
        <v>6</v>
      </c>
      <c r="E2356">
        <v>1619</v>
      </c>
      <c r="F2356" t="s">
        <v>5607</v>
      </c>
      <c r="G2356" t="s">
        <v>5606</v>
      </c>
      <c r="H2356">
        <v>218942</v>
      </c>
      <c r="I2356">
        <v>78177</v>
      </c>
      <c r="J2356">
        <v>0.52333964828191004</v>
      </c>
      <c r="K2356">
        <v>114581.029274138</v>
      </c>
      <c r="L2356">
        <v>78177</v>
      </c>
      <c r="M2356">
        <v>599</v>
      </c>
    </row>
    <row r="2357" spans="1:13" ht="15">
      <c r="A2357" t="s">
        <v>3758</v>
      </c>
      <c r="B2357" s="1040" t="str">
        <f>CONCATENATE(LEFT(RIGHT(CONCATENATE("000",IFAData_TEA_1718!A2357),6),3),"-",(RIGHT(RIGHT(CONCATENATE("000",IFAData_TEA_1718!A2357),6),3)))</f>
        <v>235-901</v>
      </c>
      <c r="C2357" t="s">
        <v>1344</v>
      </c>
      <c r="D2357">
        <v>6</v>
      </c>
      <c r="E2357">
        <v>1619</v>
      </c>
      <c r="F2357" t="s">
        <v>5607</v>
      </c>
      <c r="G2357" t="s">
        <v>5608</v>
      </c>
      <c r="H2357">
        <v>218942</v>
      </c>
      <c r="I2357">
        <v>0</v>
      </c>
      <c r="J2357">
        <v>0</v>
      </c>
      <c r="K2357">
        <v>0</v>
      </c>
      <c r="L2357">
        <v>0</v>
      </c>
      <c r="M2357">
        <v>599</v>
      </c>
    </row>
    <row r="2358" spans="1:13" ht="15">
      <c r="A2358" t="s">
        <v>3758</v>
      </c>
      <c r="B2358" s="1040" t="str">
        <f>CONCATENATE(LEFT(RIGHT(CONCATENATE("000",IFAData_TEA_1718!A2358),6),3),"-",(RIGHT(RIGHT(CONCATENATE("000",IFAData_TEA_1718!A2358),6),3)))</f>
        <v>235-901</v>
      </c>
      <c r="C2358" t="s">
        <v>1344</v>
      </c>
      <c r="D2358">
        <v>6</v>
      </c>
      <c r="E2358">
        <v>1619</v>
      </c>
      <c r="F2358" t="s">
        <v>5607</v>
      </c>
      <c r="G2358" t="s">
        <v>6551</v>
      </c>
      <c r="H2358">
        <v>218942</v>
      </c>
      <c r="I2358">
        <v>71204</v>
      </c>
      <c r="J2358">
        <v>0.47666035171809001</v>
      </c>
      <c r="K2358">
        <v>104360.970725862</v>
      </c>
      <c r="L2358">
        <v>71204</v>
      </c>
      <c r="M2358">
        <v>599</v>
      </c>
    </row>
    <row r="2359" spans="1:13" ht="15">
      <c r="A2359" t="s">
        <v>3758</v>
      </c>
      <c r="B2359" s="1040" t="str">
        <f>CONCATENATE(LEFT(RIGHT(CONCATENATE("000",IFAData_TEA_1718!A2359),6),3),"-",(RIGHT(RIGHT(CONCATENATE("000",IFAData_TEA_1718!A2359),6),3)))</f>
        <v>235-901</v>
      </c>
      <c r="C2359" t="s">
        <v>1344</v>
      </c>
      <c r="D2359">
        <v>10</v>
      </c>
      <c r="E2359">
        <v>1618</v>
      </c>
      <c r="F2359" t="s">
        <v>5609</v>
      </c>
      <c r="G2359" t="s">
        <v>5609</v>
      </c>
      <c r="H2359">
        <v>191935</v>
      </c>
      <c r="I2359">
        <v>137168</v>
      </c>
      <c r="J2359">
        <v>0.30898982708751899</v>
      </c>
      <c r="K2359">
        <v>59305.962462043099</v>
      </c>
      <c r="L2359">
        <v>59305.962462043099</v>
      </c>
      <c r="M2359">
        <v>599</v>
      </c>
    </row>
    <row r="2360" spans="1:13" ht="15">
      <c r="A2360" t="s">
        <v>3758</v>
      </c>
      <c r="B2360" s="1040" t="str">
        <f>CONCATENATE(LEFT(RIGHT(CONCATENATE("000",IFAData_TEA_1718!A2360),6),3),"-",(RIGHT(RIGHT(CONCATENATE("000",IFAData_TEA_1718!A2360),6),3)))</f>
        <v>235-901</v>
      </c>
      <c r="C2360" t="s">
        <v>1344</v>
      </c>
      <c r="D2360">
        <v>10</v>
      </c>
      <c r="E2360">
        <v>1618</v>
      </c>
      <c r="F2360" t="s">
        <v>5609</v>
      </c>
      <c r="G2360" t="s">
        <v>6551</v>
      </c>
      <c r="H2360">
        <v>191935</v>
      </c>
      <c r="I2360">
        <v>306756</v>
      </c>
      <c r="J2360">
        <v>0.69101017291248101</v>
      </c>
      <c r="K2360">
        <v>132629.03753795699</v>
      </c>
      <c r="L2360">
        <v>132629.03753795699</v>
      </c>
      <c r="M2360">
        <v>599</v>
      </c>
    </row>
    <row r="2361" spans="1:13" ht="15">
      <c r="A2361" t="s">
        <v>3759</v>
      </c>
      <c r="B2361" s="1040" t="str">
        <f>CONCATENATE(LEFT(RIGHT(CONCATENATE("000",IFAData_TEA_1718!A2361),6),3),"-",(RIGHT(RIGHT(CONCATENATE("000",IFAData_TEA_1718!A2361),6),3)))</f>
        <v>235-902</v>
      </c>
      <c r="C2361" t="s">
        <v>134</v>
      </c>
      <c r="D2361">
        <v>2</v>
      </c>
      <c r="E2361">
        <v>2426</v>
      </c>
      <c r="F2361" t="s">
        <v>5610</v>
      </c>
      <c r="G2361" t="s">
        <v>5610</v>
      </c>
      <c r="H2361">
        <v>2126212</v>
      </c>
      <c r="I2361">
        <v>0</v>
      </c>
      <c r="J2361">
        <v>0</v>
      </c>
      <c r="K2361">
        <v>0</v>
      </c>
      <c r="L2361">
        <v>0</v>
      </c>
      <c r="M2361">
        <v>599</v>
      </c>
    </row>
    <row r="2362" spans="1:13" ht="15">
      <c r="A2362" t="s">
        <v>3759</v>
      </c>
      <c r="B2362" s="1040" t="str">
        <f>CONCATENATE(LEFT(RIGHT(CONCATENATE("000",IFAData_TEA_1718!A2362),6),3),"-",(RIGHT(RIGHT(CONCATENATE("000",IFAData_TEA_1718!A2362),6),3)))</f>
        <v>235-902</v>
      </c>
      <c r="C2362" t="s">
        <v>134</v>
      </c>
      <c r="D2362">
        <v>2</v>
      </c>
      <c r="E2362">
        <v>2426</v>
      </c>
      <c r="F2362" t="s">
        <v>5610</v>
      </c>
      <c r="G2362" t="s">
        <v>5611</v>
      </c>
      <c r="H2362">
        <v>2126212</v>
      </c>
      <c r="I2362">
        <v>0</v>
      </c>
      <c r="J2362">
        <v>0</v>
      </c>
      <c r="K2362">
        <v>0</v>
      </c>
      <c r="L2362">
        <v>0</v>
      </c>
      <c r="M2362">
        <v>599</v>
      </c>
    </row>
    <row r="2363" spans="1:13" ht="15">
      <c r="A2363" t="s">
        <v>3759</v>
      </c>
      <c r="B2363" s="1040" t="str">
        <f>CONCATENATE(LEFT(RIGHT(CONCATENATE("000",IFAData_TEA_1718!A2363),6),3),"-",(RIGHT(RIGHT(CONCATENATE("000",IFAData_TEA_1718!A2363),6),3)))</f>
        <v>235-902</v>
      </c>
      <c r="C2363" t="s">
        <v>134</v>
      </c>
      <c r="D2363">
        <v>2</v>
      </c>
      <c r="E2363">
        <v>2426</v>
      </c>
      <c r="F2363" t="s">
        <v>5610</v>
      </c>
      <c r="G2363" t="s">
        <v>6348</v>
      </c>
      <c r="H2363">
        <v>2126212</v>
      </c>
      <c r="I2363">
        <v>1690321</v>
      </c>
      <c r="J2363">
        <v>1</v>
      </c>
      <c r="K2363">
        <v>2126212</v>
      </c>
      <c r="L2363">
        <v>1690321</v>
      </c>
      <c r="M2363">
        <v>599</v>
      </c>
    </row>
    <row r="2364" spans="1:13" ht="15">
      <c r="A2364" t="s">
        <v>3759</v>
      </c>
      <c r="B2364" s="1040" t="str">
        <f>CONCATENATE(LEFT(RIGHT(CONCATENATE("000",IFAData_TEA_1718!A2364),6),3),"-",(RIGHT(RIGHT(CONCATENATE("000",IFAData_TEA_1718!A2364),6),3)))</f>
        <v>235-902</v>
      </c>
      <c r="C2364" t="s">
        <v>134</v>
      </c>
      <c r="D2364">
        <v>9</v>
      </c>
      <c r="E2364">
        <v>2427</v>
      </c>
      <c r="F2364" t="s">
        <v>5612</v>
      </c>
      <c r="G2364" t="s">
        <v>5612</v>
      </c>
      <c r="H2364">
        <v>3088095</v>
      </c>
      <c r="I2364">
        <v>0</v>
      </c>
      <c r="J2364">
        <v>0</v>
      </c>
      <c r="K2364">
        <v>0</v>
      </c>
      <c r="L2364">
        <v>0</v>
      </c>
      <c r="M2364">
        <v>599</v>
      </c>
    </row>
    <row r="2365" spans="1:13" ht="15">
      <c r="A2365" t="s">
        <v>3759</v>
      </c>
      <c r="B2365" s="1040" t="str">
        <f>CONCATENATE(LEFT(RIGHT(CONCATENATE("000",IFAData_TEA_1718!A2365),6),3),"-",(RIGHT(RIGHT(CONCATENATE("000",IFAData_TEA_1718!A2365),6),3)))</f>
        <v>235-902</v>
      </c>
      <c r="C2365" t="s">
        <v>134</v>
      </c>
      <c r="D2365">
        <v>9</v>
      </c>
      <c r="E2365">
        <v>2427</v>
      </c>
      <c r="F2365" t="s">
        <v>5612</v>
      </c>
      <c r="G2365" t="s">
        <v>8516</v>
      </c>
      <c r="H2365">
        <v>3088095</v>
      </c>
      <c r="I2365">
        <v>3693050</v>
      </c>
      <c r="J2365">
        <v>1</v>
      </c>
      <c r="K2365">
        <v>3088095</v>
      </c>
      <c r="L2365">
        <v>3088095</v>
      </c>
      <c r="M2365">
        <v>599</v>
      </c>
    </row>
    <row r="2366" spans="1:13" ht="15">
      <c r="A2366" t="s">
        <v>3760</v>
      </c>
      <c r="B2366" s="1040" t="str">
        <f>CONCATENATE(LEFT(RIGHT(CONCATENATE("000",IFAData_TEA_1718!A2366),6),3),"-",(RIGHT(RIGHT(CONCATENATE("000",IFAData_TEA_1718!A2366),6),3)))</f>
        <v>236-901</v>
      </c>
      <c r="C2366" t="s">
        <v>1144</v>
      </c>
      <c r="D2366">
        <v>2</v>
      </c>
      <c r="E2366">
        <v>2145</v>
      </c>
      <c r="F2366" t="s">
        <v>5613</v>
      </c>
      <c r="G2366" t="s">
        <v>5613</v>
      </c>
      <c r="H2366">
        <v>227546</v>
      </c>
      <c r="I2366">
        <v>0</v>
      </c>
      <c r="J2366">
        <v>0</v>
      </c>
      <c r="K2366">
        <v>0</v>
      </c>
      <c r="L2366">
        <v>0</v>
      </c>
      <c r="M2366">
        <v>599</v>
      </c>
    </row>
    <row r="2367" spans="1:13" ht="15">
      <c r="A2367" t="s">
        <v>3760</v>
      </c>
      <c r="B2367" s="1040" t="str">
        <f>CONCATENATE(LEFT(RIGHT(CONCATENATE("000",IFAData_TEA_1718!A2367),6),3),"-",(RIGHT(RIGHT(CONCATENATE("000",IFAData_TEA_1718!A2367),6),3)))</f>
        <v>236-901</v>
      </c>
      <c r="C2367" t="s">
        <v>1144</v>
      </c>
      <c r="D2367">
        <v>2</v>
      </c>
      <c r="E2367">
        <v>2145</v>
      </c>
      <c r="F2367" t="s">
        <v>5613</v>
      </c>
      <c r="G2367" t="s">
        <v>5614</v>
      </c>
      <c r="H2367">
        <v>227546</v>
      </c>
      <c r="I2367">
        <v>268975</v>
      </c>
      <c r="J2367">
        <v>1</v>
      </c>
      <c r="K2367">
        <v>227546</v>
      </c>
      <c r="L2367">
        <v>227546</v>
      </c>
      <c r="M2367">
        <v>599</v>
      </c>
    </row>
    <row r="2368" spans="1:13" ht="15">
      <c r="A2368" t="s">
        <v>3760</v>
      </c>
      <c r="B2368" s="1040" t="str">
        <f>CONCATENATE(LEFT(RIGHT(CONCATENATE("000",IFAData_TEA_1718!A2368),6),3),"-",(RIGHT(RIGHT(CONCATENATE("000",IFAData_TEA_1718!A2368),6),3)))</f>
        <v>236-901</v>
      </c>
      <c r="C2368" t="s">
        <v>1144</v>
      </c>
      <c r="D2368">
        <v>6</v>
      </c>
      <c r="E2368">
        <v>2144</v>
      </c>
      <c r="F2368" t="s">
        <v>5615</v>
      </c>
      <c r="G2368" t="s">
        <v>5615</v>
      </c>
      <c r="H2368">
        <v>207728</v>
      </c>
      <c r="I2368">
        <v>0</v>
      </c>
      <c r="J2368">
        <v>0</v>
      </c>
      <c r="K2368">
        <v>0</v>
      </c>
      <c r="L2368">
        <v>0</v>
      </c>
      <c r="M2368">
        <v>599</v>
      </c>
    </row>
    <row r="2369" spans="1:13" ht="15">
      <c r="A2369" t="s">
        <v>3760</v>
      </c>
      <c r="B2369" s="1040" t="str">
        <f>CONCATENATE(LEFT(RIGHT(CONCATENATE("000",IFAData_TEA_1718!A2369),6),3),"-",(RIGHT(RIGHT(CONCATENATE("000",IFAData_TEA_1718!A2369),6),3)))</f>
        <v>236-901</v>
      </c>
      <c r="C2369" t="s">
        <v>1144</v>
      </c>
      <c r="D2369">
        <v>6</v>
      </c>
      <c r="E2369">
        <v>2144</v>
      </c>
      <c r="F2369" t="s">
        <v>5615</v>
      </c>
      <c r="G2369" t="s">
        <v>5616</v>
      </c>
      <c r="H2369">
        <v>207728</v>
      </c>
      <c r="I2369">
        <v>322492</v>
      </c>
      <c r="J2369">
        <v>1</v>
      </c>
      <c r="K2369">
        <v>207728</v>
      </c>
      <c r="L2369">
        <v>207728</v>
      </c>
      <c r="M2369">
        <v>599</v>
      </c>
    </row>
    <row r="2370" spans="1:13" ht="15">
      <c r="A2370" t="s">
        <v>3761</v>
      </c>
      <c r="B2370" s="1040" t="str">
        <f>CONCATENATE(LEFT(RIGHT(CONCATENATE("000",IFAData_TEA_1718!A2370),6),3),"-",(RIGHT(RIGHT(CONCATENATE("000",IFAData_TEA_1718!A2370),6),3)))</f>
        <v>236-902</v>
      </c>
      <c r="C2370" t="s">
        <v>93</v>
      </c>
      <c r="D2370">
        <v>10</v>
      </c>
      <c r="E2370">
        <v>1919</v>
      </c>
      <c r="F2370" t="s">
        <v>5617</v>
      </c>
      <c r="G2370" t="s">
        <v>5617</v>
      </c>
      <c r="H2370">
        <v>470421</v>
      </c>
      <c r="I2370">
        <v>483397</v>
      </c>
      <c r="J2370">
        <v>1</v>
      </c>
      <c r="K2370">
        <v>470421</v>
      </c>
      <c r="L2370">
        <v>470421</v>
      </c>
      <c r="M2370">
        <v>199</v>
      </c>
    </row>
    <row r="2371" spans="1:13" ht="15">
      <c r="A2371" t="s">
        <v>3762</v>
      </c>
      <c r="B2371" s="1040" t="str">
        <f>CONCATENATE(LEFT(RIGHT(CONCATENATE("000",IFAData_TEA_1718!A2371),6),3),"-",(RIGHT(RIGHT(CONCATENATE("000",IFAData_TEA_1718!A2371),6),3)))</f>
        <v>237-902</v>
      </c>
      <c r="C2371" t="s">
        <v>2371</v>
      </c>
      <c r="D2371">
        <v>6</v>
      </c>
      <c r="E2371">
        <v>1882</v>
      </c>
      <c r="F2371" t="s">
        <v>5618</v>
      </c>
      <c r="G2371" t="s">
        <v>5618</v>
      </c>
      <c r="H2371">
        <v>361936</v>
      </c>
      <c r="I2371">
        <v>0</v>
      </c>
      <c r="J2371">
        <v>0</v>
      </c>
      <c r="K2371">
        <v>0</v>
      </c>
      <c r="L2371">
        <v>0</v>
      </c>
      <c r="M2371">
        <v>599</v>
      </c>
    </row>
    <row r="2372" spans="1:13" ht="15">
      <c r="A2372" t="s">
        <v>3762</v>
      </c>
      <c r="B2372" s="1040" t="str">
        <f>CONCATENATE(LEFT(RIGHT(CONCATENATE("000",IFAData_TEA_1718!A2372),6),3),"-",(RIGHT(RIGHT(CONCATENATE("000",IFAData_TEA_1718!A2372),6),3)))</f>
        <v>237-902</v>
      </c>
      <c r="C2372" t="s">
        <v>2371</v>
      </c>
      <c r="D2372">
        <v>6</v>
      </c>
      <c r="E2372">
        <v>1882</v>
      </c>
      <c r="F2372" t="s">
        <v>5618</v>
      </c>
      <c r="G2372" t="s">
        <v>5619</v>
      </c>
      <c r="H2372">
        <v>361936</v>
      </c>
      <c r="I2372">
        <v>0</v>
      </c>
      <c r="J2372">
        <v>0</v>
      </c>
      <c r="K2372">
        <v>0</v>
      </c>
      <c r="L2372">
        <v>0</v>
      </c>
      <c r="M2372">
        <v>599</v>
      </c>
    </row>
    <row r="2373" spans="1:13" ht="15">
      <c r="A2373" t="s">
        <v>3762</v>
      </c>
      <c r="B2373" s="1040" t="str">
        <f>CONCATENATE(LEFT(RIGHT(CONCATENATE("000",IFAData_TEA_1718!A2373),6),3),"-",(RIGHT(RIGHT(CONCATENATE("000",IFAData_TEA_1718!A2373),6),3)))</f>
        <v>237-902</v>
      </c>
      <c r="C2373" t="s">
        <v>2371</v>
      </c>
      <c r="D2373">
        <v>6</v>
      </c>
      <c r="E2373">
        <v>1882</v>
      </c>
      <c r="F2373" t="s">
        <v>5618</v>
      </c>
      <c r="G2373" t="s">
        <v>6349</v>
      </c>
      <c r="H2373">
        <v>361936</v>
      </c>
      <c r="I2373">
        <v>375642</v>
      </c>
      <c r="J2373">
        <v>1</v>
      </c>
      <c r="K2373">
        <v>361936</v>
      </c>
      <c r="L2373">
        <v>361936</v>
      </c>
      <c r="M2373">
        <v>599</v>
      </c>
    </row>
    <row r="2374" spans="1:13" ht="15">
      <c r="A2374" t="s">
        <v>3762</v>
      </c>
      <c r="B2374" s="1040" t="str">
        <f>CONCATENATE(LEFT(RIGHT(CONCATENATE("000",IFAData_TEA_1718!A2374),6),3),"-",(RIGHT(RIGHT(CONCATENATE("000",IFAData_TEA_1718!A2374),6),3)))</f>
        <v>237-902</v>
      </c>
      <c r="C2374" t="s">
        <v>2371</v>
      </c>
      <c r="D2374">
        <v>9</v>
      </c>
      <c r="E2374">
        <v>1881</v>
      </c>
      <c r="F2374" t="s">
        <v>5620</v>
      </c>
      <c r="G2374" t="s">
        <v>5620</v>
      </c>
      <c r="H2374">
        <v>294703</v>
      </c>
      <c r="I2374">
        <v>0</v>
      </c>
      <c r="J2374">
        <v>0</v>
      </c>
      <c r="K2374">
        <v>0</v>
      </c>
      <c r="L2374">
        <v>0</v>
      </c>
      <c r="M2374">
        <v>599</v>
      </c>
    </row>
    <row r="2375" spans="1:13" ht="15">
      <c r="A2375" t="s">
        <v>3762</v>
      </c>
      <c r="B2375" s="1040" t="str">
        <f>CONCATENATE(LEFT(RIGHT(CONCATENATE("000",IFAData_TEA_1718!A2375),6),3),"-",(RIGHT(RIGHT(CONCATENATE("000",IFAData_TEA_1718!A2375),6),3)))</f>
        <v>237-902</v>
      </c>
      <c r="C2375" t="s">
        <v>2371</v>
      </c>
      <c r="D2375">
        <v>9</v>
      </c>
      <c r="E2375">
        <v>1881</v>
      </c>
      <c r="F2375" t="s">
        <v>5620</v>
      </c>
      <c r="G2375" t="s">
        <v>6552</v>
      </c>
      <c r="H2375">
        <v>294703</v>
      </c>
      <c r="I2375">
        <v>480288</v>
      </c>
      <c r="J2375">
        <v>1</v>
      </c>
      <c r="K2375">
        <v>294703</v>
      </c>
      <c r="L2375">
        <v>294703</v>
      </c>
      <c r="M2375">
        <v>599</v>
      </c>
    </row>
    <row r="2376" spans="1:13" ht="15">
      <c r="A2376" t="s">
        <v>3763</v>
      </c>
      <c r="B2376" s="1040" t="str">
        <f>CONCATENATE(LEFT(RIGHT(CONCATENATE("000",IFAData_TEA_1718!A2376),6),3),"-",(RIGHT(RIGHT(CONCATENATE("000",IFAData_TEA_1718!A2376),6),3)))</f>
        <v>237-904</v>
      </c>
      <c r="C2376" t="s">
        <v>138</v>
      </c>
      <c r="D2376">
        <v>6</v>
      </c>
      <c r="E2376">
        <v>2433</v>
      </c>
      <c r="F2376" t="s">
        <v>5621</v>
      </c>
      <c r="G2376" t="s">
        <v>5621</v>
      </c>
      <c r="H2376">
        <v>1125381</v>
      </c>
      <c r="I2376">
        <v>0</v>
      </c>
      <c r="J2376">
        <v>0</v>
      </c>
      <c r="K2376">
        <v>0</v>
      </c>
      <c r="L2376">
        <v>0</v>
      </c>
      <c r="M2376">
        <v>599</v>
      </c>
    </row>
    <row r="2377" spans="1:13" ht="15">
      <c r="A2377" t="s">
        <v>3763</v>
      </c>
      <c r="B2377" s="1040" t="str">
        <f>CONCATENATE(LEFT(RIGHT(CONCATENATE("000",IFAData_TEA_1718!A2377),6),3),"-",(RIGHT(RIGHT(CONCATENATE("000",IFAData_TEA_1718!A2377),6),3)))</f>
        <v>237-904</v>
      </c>
      <c r="C2377" t="s">
        <v>138</v>
      </c>
      <c r="D2377">
        <v>6</v>
      </c>
      <c r="E2377">
        <v>2433</v>
      </c>
      <c r="F2377" t="s">
        <v>5621</v>
      </c>
      <c r="G2377" t="s">
        <v>5622</v>
      </c>
      <c r="H2377">
        <v>1125381</v>
      </c>
      <c r="I2377">
        <v>0</v>
      </c>
      <c r="J2377">
        <v>0</v>
      </c>
      <c r="K2377">
        <v>0</v>
      </c>
      <c r="L2377">
        <v>0</v>
      </c>
      <c r="M2377">
        <v>599</v>
      </c>
    </row>
    <row r="2378" spans="1:13" ht="15">
      <c r="A2378" t="s">
        <v>3763</v>
      </c>
      <c r="B2378" s="1040" t="str">
        <f>CONCATENATE(LEFT(RIGHT(CONCATENATE("000",IFAData_TEA_1718!A2378),6),3),"-",(RIGHT(RIGHT(CONCATENATE("000",IFAData_TEA_1718!A2378),6),3)))</f>
        <v>237-904</v>
      </c>
      <c r="C2378" t="s">
        <v>138</v>
      </c>
      <c r="D2378">
        <v>6</v>
      </c>
      <c r="E2378">
        <v>2433</v>
      </c>
      <c r="F2378" t="s">
        <v>5621</v>
      </c>
      <c r="G2378" t="s">
        <v>5623</v>
      </c>
      <c r="H2378">
        <v>1125381</v>
      </c>
      <c r="I2378">
        <v>935587</v>
      </c>
      <c r="J2378">
        <v>0.98745088271271997</v>
      </c>
      <c r="K2378">
        <v>1111258.4618381199</v>
      </c>
      <c r="L2378">
        <v>935587</v>
      </c>
      <c r="M2378">
        <v>599</v>
      </c>
    </row>
    <row r="2379" spans="1:13" ht="15">
      <c r="A2379" t="s">
        <v>3763</v>
      </c>
      <c r="B2379" s="1040" t="str">
        <f>CONCATENATE(LEFT(RIGHT(CONCATENATE("000",IFAData_TEA_1718!A2379),6),3),"-",(RIGHT(RIGHT(CONCATENATE("000",IFAData_TEA_1718!A2379),6),3)))</f>
        <v>237-904</v>
      </c>
      <c r="C2379" t="s">
        <v>138</v>
      </c>
      <c r="D2379">
        <v>6</v>
      </c>
      <c r="E2379">
        <v>2433</v>
      </c>
      <c r="F2379" t="s">
        <v>5621</v>
      </c>
      <c r="G2379" t="s">
        <v>5624</v>
      </c>
      <c r="H2379">
        <v>1125381</v>
      </c>
      <c r="I2379">
        <v>0</v>
      </c>
      <c r="J2379">
        <v>0</v>
      </c>
      <c r="K2379">
        <v>0</v>
      </c>
      <c r="L2379">
        <v>0</v>
      </c>
      <c r="M2379">
        <v>599</v>
      </c>
    </row>
    <row r="2380" spans="1:13" ht="15">
      <c r="A2380" t="s">
        <v>3763</v>
      </c>
      <c r="B2380" s="1040" t="str">
        <f>CONCATENATE(LEFT(RIGHT(CONCATENATE("000",IFAData_TEA_1718!A2380),6),3),"-",(RIGHT(RIGHT(CONCATENATE("000",IFAData_TEA_1718!A2380),6),3)))</f>
        <v>237-904</v>
      </c>
      <c r="C2380" t="s">
        <v>138</v>
      </c>
      <c r="D2380">
        <v>6</v>
      </c>
      <c r="E2380">
        <v>2433</v>
      </c>
      <c r="F2380" t="s">
        <v>5621</v>
      </c>
      <c r="G2380" t="s">
        <v>5625</v>
      </c>
      <c r="H2380">
        <v>1125381</v>
      </c>
      <c r="I2380">
        <v>11890</v>
      </c>
      <c r="J2380">
        <v>1.2549117287279799E-2</v>
      </c>
      <c r="K2380">
        <v>14122.5381618762</v>
      </c>
      <c r="L2380">
        <v>11890</v>
      </c>
      <c r="M2380">
        <v>599</v>
      </c>
    </row>
    <row r="2381" spans="1:13" ht="15">
      <c r="A2381" t="s">
        <v>3763</v>
      </c>
      <c r="B2381" s="1040" t="str">
        <f>CONCATENATE(LEFT(RIGHT(CONCATENATE("000",IFAData_TEA_1718!A2381),6),3),"-",(RIGHT(RIGHT(CONCATENATE("000",IFAData_TEA_1718!A2381),6),3)))</f>
        <v>237-904</v>
      </c>
      <c r="C2381" t="s">
        <v>138</v>
      </c>
      <c r="D2381">
        <v>9</v>
      </c>
      <c r="E2381">
        <v>2434</v>
      </c>
      <c r="F2381" t="s">
        <v>5626</v>
      </c>
      <c r="G2381" t="s">
        <v>5626</v>
      </c>
      <c r="H2381">
        <v>1234114</v>
      </c>
      <c r="I2381">
        <v>1761689</v>
      </c>
      <c r="J2381">
        <v>0.59773080061548001</v>
      </c>
      <c r="K2381">
        <v>737667.94927077205</v>
      </c>
      <c r="L2381">
        <v>737667.94927077205</v>
      </c>
      <c r="M2381">
        <v>599</v>
      </c>
    </row>
    <row r="2382" spans="1:13" ht="15">
      <c r="A2382" t="s">
        <v>3763</v>
      </c>
      <c r="B2382" s="1040" t="str">
        <f>CONCATENATE(LEFT(RIGHT(CONCATENATE("000",IFAData_TEA_1718!A2382),6),3),"-",(RIGHT(RIGHT(CONCATENATE("000",IFAData_TEA_1718!A2382),6),3)))</f>
        <v>237-904</v>
      </c>
      <c r="C2382" t="s">
        <v>138</v>
      </c>
      <c r="D2382">
        <v>9</v>
      </c>
      <c r="E2382">
        <v>2434</v>
      </c>
      <c r="F2382" t="s">
        <v>5626</v>
      </c>
      <c r="G2382" t="s">
        <v>6350</v>
      </c>
      <c r="H2382">
        <v>1234114</v>
      </c>
      <c r="I2382">
        <v>233918</v>
      </c>
      <c r="J2382">
        <v>7.9367012803265399E-2</v>
      </c>
      <c r="K2382">
        <v>97947.941638688993</v>
      </c>
      <c r="L2382">
        <v>97947.941638688993</v>
      </c>
      <c r="M2382">
        <v>599</v>
      </c>
    </row>
    <row r="2383" spans="1:13" ht="15">
      <c r="A2383" t="s">
        <v>3763</v>
      </c>
      <c r="B2383" s="1040" t="str">
        <f>CONCATENATE(LEFT(RIGHT(CONCATENATE("000",IFAData_TEA_1718!A2383),6),3),"-",(RIGHT(RIGHT(CONCATENATE("000",IFAData_TEA_1718!A2383),6),3)))</f>
        <v>237-904</v>
      </c>
      <c r="C2383" t="s">
        <v>138</v>
      </c>
      <c r="D2383">
        <v>9</v>
      </c>
      <c r="E2383">
        <v>2434</v>
      </c>
      <c r="F2383" t="s">
        <v>5626</v>
      </c>
      <c r="G2383" t="s">
        <v>6554</v>
      </c>
      <c r="H2383">
        <v>1234114</v>
      </c>
      <c r="I2383">
        <v>170381</v>
      </c>
      <c r="J2383">
        <v>5.7809279356155402E-2</v>
      </c>
      <c r="K2383">
        <v>71343.240983342301</v>
      </c>
      <c r="L2383">
        <v>71343.240983342301</v>
      </c>
      <c r="M2383">
        <v>599</v>
      </c>
    </row>
    <row r="2384" spans="1:13" ht="15">
      <c r="A2384" t="s">
        <v>3763</v>
      </c>
      <c r="B2384" s="1040" t="str">
        <f>CONCATENATE(LEFT(RIGHT(CONCATENATE("000",IFAData_TEA_1718!A2384),6),3),"-",(RIGHT(RIGHT(CONCATENATE("000",IFAData_TEA_1718!A2384),6),3)))</f>
        <v>237-904</v>
      </c>
      <c r="C2384" t="s">
        <v>138</v>
      </c>
      <c r="D2384">
        <v>9</v>
      </c>
      <c r="E2384">
        <v>2434</v>
      </c>
      <c r="F2384" t="s">
        <v>5626</v>
      </c>
      <c r="G2384" t="s">
        <v>6553</v>
      </c>
      <c r="H2384">
        <v>1234114</v>
      </c>
      <c r="I2384">
        <v>781307</v>
      </c>
      <c r="J2384">
        <v>0.26509290722509998</v>
      </c>
      <c r="K2384">
        <v>327154.86810719699</v>
      </c>
      <c r="L2384">
        <v>327154.86810719699</v>
      </c>
      <c r="M2384">
        <v>599</v>
      </c>
    </row>
    <row r="2385" spans="1:13" ht="15">
      <c r="A2385" t="s">
        <v>3764</v>
      </c>
      <c r="B2385" s="1040" t="str">
        <f>CONCATENATE(LEFT(RIGHT(CONCATENATE("000",IFAData_TEA_1718!A2385),6),3),"-",(RIGHT(RIGHT(CONCATENATE("000",IFAData_TEA_1718!A2385),6),3)))</f>
        <v>237-905</v>
      </c>
      <c r="C2385" t="s">
        <v>94</v>
      </c>
      <c r="D2385">
        <v>9</v>
      </c>
      <c r="E2385">
        <v>2269</v>
      </c>
      <c r="F2385" t="s">
        <v>5627</v>
      </c>
      <c r="G2385" t="s">
        <v>5627</v>
      </c>
      <c r="H2385">
        <v>402311</v>
      </c>
      <c r="I2385">
        <v>0</v>
      </c>
      <c r="J2385">
        <v>0</v>
      </c>
      <c r="K2385">
        <v>0</v>
      </c>
      <c r="L2385">
        <v>0</v>
      </c>
      <c r="M2385">
        <v>599</v>
      </c>
    </row>
    <row r="2386" spans="1:13" ht="15">
      <c r="A2386" t="s">
        <v>3764</v>
      </c>
      <c r="B2386" s="1040" t="str">
        <f>CONCATENATE(LEFT(RIGHT(CONCATENATE("000",IFAData_TEA_1718!A2386),6),3),"-",(RIGHT(RIGHT(CONCATENATE("000",IFAData_TEA_1718!A2386),6),3)))</f>
        <v>237-905</v>
      </c>
      <c r="C2386" t="s">
        <v>94</v>
      </c>
      <c r="D2386">
        <v>9</v>
      </c>
      <c r="E2386">
        <v>2269</v>
      </c>
      <c r="F2386" t="s">
        <v>5627</v>
      </c>
      <c r="G2386" t="s">
        <v>5628</v>
      </c>
      <c r="H2386">
        <v>402311</v>
      </c>
      <c r="I2386">
        <v>255700</v>
      </c>
      <c r="J2386">
        <v>0.53531576721614904</v>
      </c>
      <c r="K2386">
        <v>215363.421624496</v>
      </c>
      <c r="L2386">
        <v>215363.421624496</v>
      </c>
      <c r="M2386">
        <v>599</v>
      </c>
    </row>
    <row r="2387" spans="1:13" ht="15">
      <c r="A2387" t="s">
        <v>3764</v>
      </c>
      <c r="B2387" s="1040" t="str">
        <f>CONCATENATE(LEFT(RIGHT(CONCATENATE("000",IFAData_TEA_1718!A2387),6),3),"-",(RIGHT(RIGHT(CONCATENATE("000",IFAData_TEA_1718!A2387),6),3)))</f>
        <v>237-905</v>
      </c>
      <c r="C2387" t="s">
        <v>94</v>
      </c>
      <c r="D2387">
        <v>9</v>
      </c>
      <c r="E2387">
        <v>2269</v>
      </c>
      <c r="F2387" t="s">
        <v>5627</v>
      </c>
      <c r="G2387" t="s">
        <v>6351</v>
      </c>
      <c r="H2387">
        <v>402311</v>
      </c>
      <c r="I2387">
        <v>221962</v>
      </c>
      <c r="J2387">
        <v>0.46468423278385101</v>
      </c>
      <c r="K2387">
        <v>186947.578375504</v>
      </c>
      <c r="L2387">
        <v>186947.578375504</v>
      </c>
      <c r="M2387">
        <v>599</v>
      </c>
    </row>
    <row r="2388" spans="1:13" ht="15">
      <c r="A2388" t="s">
        <v>3764</v>
      </c>
      <c r="B2388" s="1040" t="str">
        <f>CONCATENATE(LEFT(RIGHT(CONCATENATE("000",IFAData_TEA_1718!A2388),6),3),"-",(RIGHT(RIGHT(CONCATENATE("000",IFAData_TEA_1718!A2388),6),3)))</f>
        <v>237-905</v>
      </c>
      <c r="C2388" t="s">
        <v>94</v>
      </c>
      <c r="D2388">
        <v>9</v>
      </c>
      <c r="E2388">
        <v>2268</v>
      </c>
      <c r="F2388" t="s">
        <v>5629</v>
      </c>
      <c r="G2388" t="s">
        <v>5629</v>
      </c>
      <c r="H2388">
        <v>70170</v>
      </c>
      <c r="I2388">
        <v>0</v>
      </c>
      <c r="J2388">
        <v>0</v>
      </c>
      <c r="K2388">
        <v>0</v>
      </c>
      <c r="L2388">
        <v>0</v>
      </c>
      <c r="M2388">
        <v>599</v>
      </c>
    </row>
    <row r="2389" spans="1:13" ht="15">
      <c r="A2389" t="s">
        <v>3764</v>
      </c>
      <c r="B2389" s="1040" t="str">
        <f>CONCATENATE(LEFT(RIGHT(CONCATENATE("000",IFAData_TEA_1718!A2389),6),3),"-",(RIGHT(RIGHT(CONCATENATE("000",IFAData_TEA_1718!A2389),6),3)))</f>
        <v>237-905</v>
      </c>
      <c r="C2389" t="s">
        <v>94</v>
      </c>
      <c r="D2389">
        <v>9</v>
      </c>
      <c r="E2389">
        <v>2268</v>
      </c>
      <c r="F2389" t="s">
        <v>5629</v>
      </c>
      <c r="G2389" t="s">
        <v>6352</v>
      </c>
      <c r="H2389">
        <v>70170</v>
      </c>
      <c r="I2389">
        <v>213787</v>
      </c>
      <c r="J2389">
        <v>0.16067964558137901</v>
      </c>
      <c r="K2389">
        <v>11274.890730445401</v>
      </c>
      <c r="L2389">
        <v>11274.890730445401</v>
      </c>
      <c r="M2389">
        <v>599</v>
      </c>
    </row>
    <row r="2390" spans="1:13" ht="15">
      <c r="A2390" t="s">
        <v>3764</v>
      </c>
      <c r="B2390" s="1040" t="str">
        <f>CONCATENATE(LEFT(RIGHT(CONCATENATE("000",IFAData_TEA_1718!A2390),6),3),"-",(RIGHT(RIGHT(CONCATENATE("000",IFAData_TEA_1718!A2390),6),3)))</f>
        <v>237-905</v>
      </c>
      <c r="C2390" t="s">
        <v>94</v>
      </c>
      <c r="D2390">
        <v>9</v>
      </c>
      <c r="E2390">
        <v>2268</v>
      </c>
      <c r="F2390" t="s">
        <v>5629</v>
      </c>
      <c r="G2390" t="s">
        <v>6555</v>
      </c>
      <c r="H2390">
        <v>70170</v>
      </c>
      <c r="I2390">
        <v>24001</v>
      </c>
      <c r="J2390">
        <v>1.80388525663332E-2</v>
      </c>
      <c r="K2390">
        <v>1265.7862845796001</v>
      </c>
      <c r="L2390">
        <v>1265.7862845796001</v>
      </c>
      <c r="M2390">
        <v>599</v>
      </c>
    </row>
    <row r="2391" spans="1:13" ht="15">
      <c r="A2391" t="s">
        <v>3764</v>
      </c>
      <c r="B2391" s="1040" t="str">
        <f>CONCATENATE(LEFT(RIGHT(CONCATENATE("000",IFAData_TEA_1718!A2391),6),3),"-",(RIGHT(RIGHT(CONCATENATE("000",IFAData_TEA_1718!A2391),6),3)))</f>
        <v>237-905</v>
      </c>
      <c r="C2391" t="s">
        <v>94</v>
      </c>
      <c r="D2391">
        <v>9</v>
      </c>
      <c r="E2391">
        <v>2268</v>
      </c>
      <c r="F2391" t="s">
        <v>5629</v>
      </c>
      <c r="G2391" t="s">
        <v>8517</v>
      </c>
      <c r="H2391">
        <v>70170</v>
      </c>
      <c r="I2391">
        <v>1092729</v>
      </c>
      <c r="J2391">
        <v>0.82128150185228799</v>
      </c>
      <c r="K2391">
        <v>57629.322984974999</v>
      </c>
      <c r="L2391">
        <v>57629.322984974999</v>
      </c>
      <c r="M2391">
        <v>599</v>
      </c>
    </row>
    <row r="2392" spans="1:13" ht="15">
      <c r="A2392" t="s">
        <v>3765</v>
      </c>
      <c r="B2392" s="1040" t="str">
        <f>CONCATENATE(LEFT(RIGHT(CONCATENATE("000",IFAData_TEA_1718!A2392),6),3),"-",(RIGHT(RIGHT(CONCATENATE("000",IFAData_TEA_1718!A2392),6),3)))</f>
        <v>240-901</v>
      </c>
      <c r="C2392" t="s">
        <v>2345</v>
      </c>
      <c r="D2392">
        <v>3</v>
      </c>
      <c r="E2392">
        <v>2010</v>
      </c>
      <c r="F2392" t="s">
        <v>5630</v>
      </c>
      <c r="G2392" t="s">
        <v>5630</v>
      </c>
      <c r="H2392">
        <v>5155243</v>
      </c>
      <c r="I2392">
        <v>0</v>
      </c>
      <c r="J2392">
        <v>0</v>
      </c>
      <c r="K2392">
        <v>0</v>
      </c>
      <c r="L2392">
        <v>0</v>
      </c>
      <c r="M2392">
        <v>599</v>
      </c>
    </row>
    <row r="2393" spans="1:13" ht="15">
      <c r="A2393" t="s">
        <v>3765</v>
      </c>
      <c r="B2393" s="1040" t="str">
        <f>CONCATENATE(LEFT(RIGHT(CONCATENATE("000",IFAData_TEA_1718!A2393),6),3),"-",(RIGHT(RIGHT(CONCATENATE("000",IFAData_TEA_1718!A2393),6),3)))</f>
        <v>240-901</v>
      </c>
      <c r="C2393" t="s">
        <v>2345</v>
      </c>
      <c r="D2393">
        <v>3</v>
      </c>
      <c r="E2393">
        <v>2010</v>
      </c>
      <c r="F2393" t="s">
        <v>5630</v>
      </c>
      <c r="G2393" t="s">
        <v>5631</v>
      </c>
      <c r="H2393">
        <v>5155243</v>
      </c>
      <c r="I2393">
        <v>2860770</v>
      </c>
      <c r="J2393">
        <v>0.58299431285203296</v>
      </c>
      <c r="K2393">
        <v>3005477.3503702502</v>
      </c>
      <c r="L2393">
        <v>2860770</v>
      </c>
      <c r="M2393">
        <v>599</v>
      </c>
    </row>
    <row r="2394" spans="1:13" ht="15">
      <c r="A2394" t="s">
        <v>3765</v>
      </c>
      <c r="B2394" s="1040" t="str">
        <f>CONCATENATE(LEFT(RIGHT(CONCATENATE("000",IFAData_TEA_1718!A2394),6),3),"-",(RIGHT(RIGHT(CONCATENATE("000",IFAData_TEA_1718!A2394),6),3)))</f>
        <v>240-901</v>
      </c>
      <c r="C2394" t="s">
        <v>2345</v>
      </c>
      <c r="D2394">
        <v>3</v>
      </c>
      <c r="E2394">
        <v>2010</v>
      </c>
      <c r="F2394" t="s">
        <v>5630</v>
      </c>
      <c r="G2394" t="s">
        <v>5632</v>
      </c>
      <c r="H2394">
        <v>5155243</v>
      </c>
      <c r="I2394">
        <v>0</v>
      </c>
      <c r="J2394">
        <v>0</v>
      </c>
      <c r="K2394">
        <v>0</v>
      </c>
      <c r="L2394">
        <v>0</v>
      </c>
      <c r="M2394">
        <v>599</v>
      </c>
    </row>
    <row r="2395" spans="1:13" ht="15">
      <c r="A2395" t="s">
        <v>3765</v>
      </c>
      <c r="B2395" s="1040" t="str">
        <f>CONCATENATE(LEFT(RIGHT(CONCATENATE("000",IFAData_TEA_1718!A2395),6),3),"-",(RIGHT(RIGHT(CONCATENATE("000",IFAData_TEA_1718!A2395),6),3)))</f>
        <v>240-901</v>
      </c>
      <c r="C2395" t="s">
        <v>2345</v>
      </c>
      <c r="D2395">
        <v>3</v>
      </c>
      <c r="E2395">
        <v>2010</v>
      </c>
      <c r="F2395" t="s">
        <v>5630</v>
      </c>
      <c r="G2395" t="s">
        <v>5633</v>
      </c>
      <c r="H2395">
        <v>5155243</v>
      </c>
      <c r="I2395">
        <v>0</v>
      </c>
      <c r="J2395">
        <v>0</v>
      </c>
      <c r="K2395">
        <v>0</v>
      </c>
      <c r="L2395">
        <v>0</v>
      </c>
      <c r="M2395">
        <v>599</v>
      </c>
    </row>
    <row r="2396" spans="1:13" ht="15">
      <c r="A2396" t="s">
        <v>3765</v>
      </c>
      <c r="B2396" s="1040" t="str">
        <f>CONCATENATE(LEFT(RIGHT(CONCATENATE("000",IFAData_TEA_1718!A2396),6),3),"-",(RIGHT(RIGHT(CONCATENATE("000",IFAData_TEA_1718!A2396),6),3)))</f>
        <v>240-901</v>
      </c>
      <c r="C2396" t="s">
        <v>2345</v>
      </c>
      <c r="D2396">
        <v>3</v>
      </c>
      <c r="E2396">
        <v>2010</v>
      </c>
      <c r="F2396" t="s">
        <v>5630</v>
      </c>
      <c r="G2396" t="s">
        <v>5634</v>
      </c>
      <c r="H2396">
        <v>5155243</v>
      </c>
      <c r="I2396">
        <v>1233546</v>
      </c>
      <c r="J2396">
        <v>0.25138347460347199</v>
      </c>
      <c r="K2396">
        <v>1295942.8977652299</v>
      </c>
      <c r="L2396">
        <v>1233546</v>
      </c>
      <c r="M2396">
        <v>599</v>
      </c>
    </row>
    <row r="2397" spans="1:13" ht="15">
      <c r="A2397" t="s">
        <v>3765</v>
      </c>
      <c r="B2397" s="1040" t="str">
        <f>CONCATENATE(LEFT(RIGHT(CONCATENATE("000",IFAData_TEA_1718!A2397),6),3),"-",(RIGHT(RIGHT(CONCATENATE("000",IFAData_TEA_1718!A2397),6),3)))</f>
        <v>240-901</v>
      </c>
      <c r="C2397" t="s">
        <v>2345</v>
      </c>
      <c r="D2397">
        <v>3</v>
      </c>
      <c r="E2397">
        <v>2010</v>
      </c>
      <c r="F2397" t="s">
        <v>5630</v>
      </c>
      <c r="G2397" t="s">
        <v>6353</v>
      </c>
      <c r="H2397">
        <v>5155243</v>
      </c>
      <c r="I2397">
        <v>812713</v>
      </c>
      <c r="J2397">
        <v>0.165622212544495</v>
      </c>
      <c r="K2397">
        <v>853822.75186451897</v>
      </c>
      <c r="L2397">
        <v>812713</v>
      </c>
      <c r="M2397">
        <v>599</v>
      </c>
    </row>
    <row r="2398" spans="1:13" ht="15">
      <c r="A2398" t="s">
        <v>3765</v>
      </c>
      <c r="B2398" s="1040" t="str">
        <f>CONCATENATE(LEFT(RIGHT(CONCATENATE("000",IFAData_TEA_1718!A2398),6),3),"-",(RIGHT(RIGHT(CONCATENATE("000",IFAData_TEA_1718!A2398),6),3)))</f>
        <v>240-901</v>
      </c>
      <c r="C2398" t="s">
        <v>2345</v>
      </c>
      <c r="D2398">
        <v>5</v>
      </c>
      <c r="E2398">
        <v>2011</v>
      </c>
      <c r="F2398" t="s">
        <v>5631</v>
      </c>
      <c r="G2398" t="s">
        <v>5631</v>
      </c>
      <c r="H2398">
        <v>5174604</v>
      </c>
      <c r="I2398">
        <v>983981</v>
      </c>
      <c r="J2398">
        <v>0.22312337486969999</v>
      </c>
      <c r="K2398">
        <v>1154575.1080942501</v>
      </c>
      <c r="L2398">
        <v>983981</v>
      </c>
      <c r="M2398">
        <v>599</v>
      </c>
    </row>
    <row r="2399" spans="1:13" ht="15">
      <c r="A2399" t="s">
        <v>3765</v>
      </c>
      <c r="B2399" s="1040" t="str">
        <f>CONCATENATE(LEFT(RIGHT(CONCATENATE("000",IFAData_TEA_1718!A2399),6),3),"-",(RIGHT(RIGHT(CONCATENATE("000",IFAData_TEA_1718!A2399),6),3)))</f>
        <v>240-901</v>
      </c>
      <c r="C2399" t="s">
        <v>2345</v>
      </c>
      <c r="D2399">
        <v>5</v>
      </c>
      <c r="E2399">
        <v>2011</v>
      </c>
      <c r="F2399" t="s">
        <v>5631</v>
      </c>
      <c r="G2399" t="s">
        <v>5632</v>
      </c>
      <c r="H2399">
        <v>5174604</v>
      </c>
      <c r="I2399">
        <v>0</v>
      </c>
      <c r="J2399">
        <v>0</v>
      </c>
      <c r="K2399">
        <v>0</v>
      </c>
      <c r="L2399">
        <v>0</v>
      </c>
      <c r="M2399">
        <v>599</v>
      </c>
    </row>
    <row r="2400" spans="1:13" ht="15">
      <c r="A2400" t="s">
        <v>3765</v>
      </c>
      <c r="B2400" s="1040" t="str">
        <f>CONCATENATE(LEFT(RIGHT(CONCATENATE("000",IFAData_TEA_1718!A2400),6),3),"-",(RIGHT(RIGHT(CONCATENATE("000",IFAData_TEA_1718!A2400),6),3)))</f>
        <v>240-901</v>
      </c>
      <c r="C2400" t="s">
        <v>2345</v>
      </c>
      <c r="D2400">
        <v>5</v>
      </c>
      <c r="E2400">
        <v>2011</v>
      </c>
      <c r="F2400" t="s">
        <v>5631</v>
      </c>
      <c r="G2400" t="s">
        <v>5633</v>
      </c>
      <c r="H2400">
        <v>5174604</v>
      </c>
      <c r="I2400">
        <v>822500</v>
      </c>
      <c r="J2400">
        <v>0.186506625463631</v>
      </c>
      <c r="K2400">
        <v>965097.93015060399</v>
      </c>
      <c r="L2400">
        <v>822500</v>
      </c>
      <c r="M2400">
        <v>599</v>
      </c>
    </row>
    <row r="2401" spans="1:13" ht="15">
      <c r="A2401" t="s">
        <v>3765</v>
      </c>
      <c r="B2401" s="1040" t="str">
        <f>CONCATENATE(LEFT(RIGHT(CONCATENATE("000",IFAData_TEA_1718!A2401),6),3),"-",(RIGHT(RIGHT(CONCATENATE("000",IFAData_TEA_1718!A2401),6),3)))</f>
        <v>240-901</v>
      </c>
      <c r="C2401" t="s">
        <v>2345</v>
      </c>
      <c r="D2401">
        <v>5</v>
      </c>
      <c r="E2401">
        <v>2011</v>
      </c>
      <c r="F2401" t="s">
        <v>5631</v>
      </c>
      <c r="G2401" t="s">
        <v>5634</v>
      </c>
      <c r="H2401">
        <v>5174604</v>
      </c>
      <c r="I2401">
        <v>50400</v>
      </c>
      <c r="J2401">
        <v>1.14284910922395E-2</v>
      </c>
      <c r="K2401">
        <v>59137.915719866804</v>
      </c>
      <c r="L2401">
        <v>50400</v>
      </c>
      <c r="M2401">
        <v>599</v>
      </c>
    </row>
    <row r="2402" spans="1:13" ht="15">
      <c r="A2402" t="s">
        <v>3765</v>
      </c>
      <c r="B2402" s="1040" t="str">
        <f>CONCATENATE(LEFT(RIGHT(CONCATENATE("000",IFAData_TEA_1718!A2402),6),3),"-",(RIGHT(RIGHT(CONCATENATE("000",IFAData_TEA_1718!A2402),6),3)))</f>
        <v>240-901</v>
      </c>
      <c r="C2402" t="s">
        <v>2345</v>
      </c>
      <c r="D2402">
        <v>5</v>
      </c>
      <c r="E2402">
        <v>2011</v>
      </c>
      <c r="F2402" t="s">
        <v>5631</v>
      </c>
      <c r="G2402" t="s">
        <v>6353</v>
      </c>
      <c r="H2402">
        <v>5174604</v>
      </c>
      <c r="I2402">
        <v>2553150</v>
      </c>
      <c r="J2402">
        <v>0.57894150857443005</v>
      </c>
      <c r="K2402">
        <v>2995793.04603528</v>
      </c>
      <c r="L2402">
        <v>2553150</v>
      </c>
      <c r="M2402">
        <v>599</v>
      </c>
    </row>
    <row r="2403" spans="1:13" ht="15">
      <c r="A2403" t="s">
        <v>3765</v>
      </c>
      <c r="B2403" s="1040" t="str">
        <f>CONCATENATE(LEFT(RIGHT(CONCATENATE("000",IFAData_TEA_1718!A2403),6),3),"-",(RIGHT(RIGHT(CONCATENATE("000",IFAData_TEA_1718!A2403),6),3)))</f>
        <v>240-901</v>
      </c>
      <c r="C2403" t="s">
        <v>2345</v>
      </c>
      <c r="D2403">
        <v>7</v>
      </c>
      <c r="E2403">
        <v>2008</v>
      </c>
      <c r="F2403" t="s">
        <v>5635</v>
      </c>
      <c r="G2403" t="s">
        <v>5635</v>
      </c>
      <c r="H2403">
        <v>2084063</v>
      </c>
      <c r="I2403">
        <v>0</v>
      </c>
      <c r="J2403">
        <v>0</v>
      </c>
      <c r="K2403">
        <v>0</v>
      </c>
      <c r="L2403">
        <v>0</v>
      </c>
      <c r="M2403">
        <v>199</v>
      </c>
    </row>
    <row r="2404" spans="1:13" ht="15">
      <c r="A2404" t="s">
        <v>3765</v>
      </c>
      <c r="B2404" s="1040" t="str">
        <f>CONCATENATE(LEFT(RIGHT(CONCATENATE("000",IFAData_TEA_1718!A2404),6),3),"-",(RIGHT(RIGHT(CONCATENATE("000",IFAData_TEA_1718!A2404),6),3)))</f>
        <v>240-901</v>
      </c>
      <c r="C2404" t="s">
        <v>2345</v>
      </c>
      <c r="D2404">
        <v>7</v>
      </c>
      <c r="E2404">
        <v>2008</v>
      </c>
      <c r="F2404" t="s">
        <v>5635</v>
      </c>
      <c r="G2404" t="s">
        <v>5636</v>
      </c>
      <c r="H2404">
        <v>2084063</v>
      </c>
      <c r="I2404">
        <v>1726869</v>
      </c>
      <c r="J2404">
        <v>1</v>
      </c>
      <c r="K2404">
        <v>2084063</v>
      </c>
      <c r="L2404">
        <v>1726869</v>
      </c>
      <c r="M2404">
        <v>599</v>
      </c>
    </row>
    <row r="2405" spans="1:13" ht="15">
      <c r="A2405" t="s">
        <v>3765</v>
      </c>
      <c r="B2405" s="1040" t="str">
        <f>CONCATENATE(LEFT(RIGHT(CONCATENATE("000",IFAData_TEA_1718!A2405),6),3),"-",(RIGHT(RIGHT(CONCATENATE("000",IFAData_TEA_1718!A2405),6),3)))</f>
        <v>240-901</v>
      </c>
      <c r="C2405" t="s">
        <v>2345</v>
      </c>
      <c r="D2405">
        <v>7</v>
      </c>
      <c r="E2405">
        <v>2006</v>
      </c>
      <c r="F2405" t="s">
        <v>5637</v>
      </c>
      <c r="G2405" t="s">
        <v>5637</v>
      </c>
      <c r="H2405">
        <v>434993</v>
      </c>
      <c r="I2405">
        <v>0</v>
      </c>
      <c r="J2405">
        <v>0</v>
      </c>
      <c r="K2405">
        <v>0</v>
      </c>
      <c r="L2405">
        <v>0</v>
      </c>
      <c r="M2405">
        <v>199</v>
      </c>
    </row>
    <row r="2406" spans="1:13" ht="15">
      <c r="A2406" t="s">
        <v>3765</v>
      </c>
      <c r="B2406" s="1040" t="str">
        <f>CONCATENATE(LEFT(RIGHT(CONCATENATE("000",IFAData_TEA_1718!A2406),6),3),"-",(RIGHT(RIGHT(CONCATENATE("000",IFAData_TEA_1718!A2406),6),3)))</f>
        <v>240-901</v>
      </c>
      <c r="C2406" t="s">
        <v>2345</v>
      </c>
      <c r="D2406">
        <v>7</v>
      </c>
      <c r="E2406">
        <v>2006</v>
      </c>
      <c r="F2406" t="s">
        <v>5637</v>
      </c>
      <c r="G2406" t="s">
        <v>5636</v>
      </c>
      <c r="H2406">
        <v>434993</v>
      </c>
      <c r="I2406">
        <v>358600</v>
      </c>
      <c r="J2406">
        <v>1</v>
      </c>
      <c r="K2406">
        <v>434993</v>
      </c>
      <c r="L2406">
        <v>358600</v>
      </c>
      <c r="M2406">
        <v>599</v>
      </c>
    </row>
    <row r="2407" spans="1:13" ht="15">
      <c r="A2407" t="s">
        <v>3765</v>
      </c>
      <c r="B2407" s="1040" t="str">
        <f>CONCATENATE(LEFT(RIGHT(CONCATENATE("000",IFAData_TEA_1718!A2407),6),3),"-",(RIGHT(RIGHT(CONCATENATE("000",IFAData_TEA_1718!A2407),6),3)))</f>
        <v>240-901</v>
      </c>
      <c r="C2407" t="s">
        <v>2345</v>
      </c>
      <c r="D2407">
        <v>7</v>
      </c>
      <c r="E2407">
        <v>2007</v>
      </c>
      <c r="F2407" t="s">
        <v>5638</v>
      </c>
      <c r="G2407" t="s">
        <v>5638</v>
      </c>
      <c r="H2407">
        <v>1646500</v>
      </c>
      <c r="I2407">
        <v>0</v>
      </c>
      <c r="J2407">
        <v>0</v>
      </c>
      <c r="K2407">
        <v>0</v>
      </c>
      <c r="L2407">
        <v>0</v>
      </c>
      <c r="M2407">
        <v>199</v>
      </c>
    </row>
    <row r="2408" spans="1:13" ht="15">
      <c r="A2408" t="s">
        <v>3765</v>
      </c>
      <c r="B2408" s="1040" t="str">
        <f>CONCATENATE(LEFT(RIGHT(CONCATENATE("000",IFAData_TEA_1718!A2408),6),3),"-",(RIGHT(RIGHT(CONCATENATE("000",IFAData_TEA_1718!A2408),6),3)))</f>
        <v>240-901</v>
      </c>
      <c r="C2408" t="s">
        <v>2345</v>
      </c>
      <c r="D2408">
        <v>7</v>
      </c>
      <c r="E2408">
        <v>2007</v>
      </c>
      <c r="F2408" t="s">
        <v>5638</v>
      </c>
      <c r="G2408" t="s">
        <v>5636</v>
      </c>
      <c r="H2408">
        <v>1646500</v>
      </c>
      <c r="I2408">
        <v>1367704</v>
      </c>
      <c r="J2408">
        <v>1</v>
      </c>
      <c r="K2408">
        <v>1646500</v>
      </c>
      <c r="L2408">
        <v>1367704</v>
      </c>
      <c r="M2408">
        <v>599</v>
      </c>
    </row>
    <row r="2409" spans="1:13" ht="15">
      <c r="A2409" t="s">
        <v>3765</v>
      </c>
      <c r="B2409" s="1040" t="str">
        <f>CONCATENATE(LEFT(RIGHT(CONCATENATE("000",IFAData_TEA_1718!A2409),6),3),"-",(RIGHT(RIGHT(CONCATENATE("000",IFAData_TEA_1718!A2409),6),3)))</f>
        <v>240-901</v>
      </c>
      <c r="C2409" t="s">
        <v>2345</v>
      </c>
      <c r="D2409">
        <v>7</v>
      </c>
      <c r="E2409">
        <v>2004</v>
      </c>
      <c r="F2409" t="s">
        <v>5639</v>
      </c>
      <c r="G2409" t="s">
        <v>5639</v>
      </c>
      <c r="H2409">
        <v>158336</v>
      </c>
      <c r="I2409">
        <v>0</v>
      </c>
      <c r="J2409">
        <v>0</v>
      </c>
      <c r="K2409">
        <v>0</v>
      </c>
      <c r="L2409">
        <v>0</v>
      </c>
      <c r="M2409">
        <v>199</v>
      </c>
    </row>
    <row r="2410" spans="1:13" ht="15">
      <c r="A2410" t="s">
        <v>3765</v>
      </c>
      <c r="B2410" s="1040" t="str">
        <f>CONCATENATE(LEFT(RIGHT(CONCATENATE("000",IFAData_TEA_1718!A2410),6),3),"-",(RIGHT(RIGHT(CONCATENATE("000",IFAData_TEA_1718!A2410),6),3)))</f>
        <v>240-901</v>
      </c>
      <c r="C2410" t="s">
        <v>2345</v>
      </c>
      <c r="D2410">
        <v>7</v>
      </c>
      <c r="E2410">
        <v>2004</v>
      </c>
      <c r="F2410" t="s">
        <v>5639</v>
      </c>
      <c r="G2410" t="s">
        <v>5636</v>
      </c>
      <c r="H2410">
        <v>158336</v>
      </c>
      <c r="I2410">
        <v>125893</v>
      </c>
      <c r="J2410">
        <v>1</v>
      </c>
      <c r="K2410">
        <v>158336</v>
      </c>
      <c r="L2410">
        <v>125893</v>
      </c>
      <c r="M2410">
        <v>599</v>
      </c>
    </row>
    <row r="2411" spans="1:13" ht="15">
      <c r="A2411" t="s">
        <v>3765</v>
      </c>
      <c r="B2411" s="1040" t="str">
        <f>CONCATENATE(LEFT(RIGHT(CONCATENATE("000",IFAData_TEA_1718!A2411),6),3),"-",(RIGHT(RIGHT(CONCATENATE("000",IFAData_TEA_1718!A2411),6),3)))</f>
        <v>240-901</v>
      </c>
      <c r="C2411" t="s">
        <v>2345</v>
      </c>
      <c r="D2411">
        <v>7</v>
      </c>
      <c r="E2411">
        <v>2003</v>
      </c>
      <c r="F2411" t="s">
        <v>5640</v>
      </c>
      <c r="G2411" t="s">
        <v>5640</v>
      </c>
      <c r="H2411">
        <v>87600</v>
      </c>
      <c r="I2411">
        <v>0</v>
      </c>
      <c r="J2411">
        <v>0</v>
      </c>
      <c r="K2411">
        <v>0</v>
      </c>
      <c r="L2411">
        <v>0</v>
      </c>
      <c r="M2411">
        <v>199</v>
      </c>
    </row>
    <row r="2412" spans="1:13" ht="15">
      <c r="A2412" t="s">
        <v>3765</v>
      </c>
      <c r="B2412" s="1040" t="str">
        <f>CONCATENATE(LEFT(RIGHT(CONCATENATE("000",IFAData_TEA_1718!A2412),6),3),"-",(RIGHT(RIGHT(CONCATENATE("000",IFAData_TEA_1718!A2412),6),3)))</f>
        <v>240-901</v>
      </c>
      <c r="C2412" t="s">
        <v>2345</v>
      </c>
      <c r="D2412">
        <v>7</v>
      </c>
      <c r="E2412">
        <v>2003</v>
      </c>
      <c r="F2412" t="s">
        <v>5640</v>
      </c>
      <c r="G2412" t="s">
        <v>5636</v>
      </c>
      <c r="H2412">
        <v>87600</v>
      </c>
      <c r="I2412">
        <v>68369</v>
      </c>
      <c r="J2412">
        <v>1</v>
      </c>
      <c r="K2412">
        <v>87600</v>
      </c>
      <c r="L2412">
        <v>68369</v>
      </c>
      <c r="M2412">
        <v>599</v>
      </c>
    </row>
    <row r="2413" spans="1:13" ht="15">
      <c r="A2413" t="s">
        <v>3765</v>
      </c>
      <c r="B2413" s="1040" t="str">
        <f>CONCATENATE(LEFT(RIGHT(CONCATENATE("000",IFAData_TEA_1718!A2413),6),3),"-",(RIGHT(RIGHT(CONCATENATE("000",IFAData_TEA_1718!A2413),6),3)))</f>
        <v>240-901</v>
      </c>
      <c r="C2413" t="s">
        <v>2345</v>
      </c>
      <c r="D2413">
        <v>7</v>
      </c>
      <c r="E2413">
        <v>2005</v>
      </c>
      <c r="F2413" t="s">
        <v>5641</v>
      </c>
      <c r="G2413" t="s">
        <v>5641</v>
      </c>
      <c r="H2413">
        <v>325863</v>
      </c>
      <c r="I2413">
        <v>0</v>
      </c>
      <c r="J2413">
        <v>0</v>
      </c>
      <c r="K2413">
        <v>0</v>
      </c>
      <c r="L2413">
        <v>0</v>
      </c>
      <c r="M2413">
        <v>199</v>
      </c>
    </row>
    <row r="2414" spans="1:13" ht="15">
      <c r="A2414" t="s">
        <v>3765</v>
      </c>
      <c r="B2414" s="1040" t="str">
        <f>CONCATENATE(LEFT(RIGHT(CONCATENATE("000",IFAData_TEA_1718!A2414),6),3),"-",(RIGHT(RIGHT(CONCATENATE("000",IFAData_TEA_1718!A2414),6),3)))</f>
        <v>240-901</v>
      </c>
      <c r="C2414" t="s">
        <v>2345</v>
      </c>
      <c r="D2414">
        <v>7</v>
      </c>
      <c r="E2414">
        <v>2005</v>
      </c>
      <c r="F2414" t="s">
        <v>5641</v>
      </c>
      <c r="G2414" t="s">
        <v>5636</v>
      </c>
      <c r="H2414">
        <v>325863</v>
      </c>
      <c r="I2414">
        <v>265798</v>
      </c>
      <c r="J2414">
        <v>1</v>
      </c>
      <c r="K2414">
        <v>325863</v>
      </c>
      <c r="L2414">
        <v>265798</v>
      </c>
      <c r="M2414">
        <v>599</v>
      </c>
    </row>
    <row r="2415" spans="1:13" ht="15">
      <c r="A2415" t="s">
        <v>3765</v>
      </c>
      <c r="B2415" s="1040" t="str">
        <f>CONCATENATE(LEFT(RIGHT(CONCATENATE("000",IFAData_TEA_1718!A2415),6),3),"-",(RIGHT(RIGHT(CONCATENATE("000",IFAData_TEA_1718!A2415),6),3)))</f>
        <v>240-901</v>
      </c>
      <c r="C2415" t="s">
        <v>2345</v>
      </c>
      <c r="D2415">
        <v>8</v>
      </c>
      <c r="E2415">
        <v>2009</v>
      </c>
      <c r="F2415" t="s">
        <v>5642</v>
      </c>
      <c r="G2415" t="s">
        <v>5642</v>
      </c>
      <c r="H2415">
        <v>4074803</v>
      </c>
      <c r="I2415">
        <v>0</v>
      </c>
      <c r="J2415">
        <v>0</v>
      </c>
      <c r="K2415">
        <v>0</v>
      </c>
      <c r="L2415">
        <v>0</v>
      </c>
      <c r="M2415">
        <v>599</v>
      </c>
    </row>
    <row r="2416" spans="1:13" ht="15">
      <c r="A2416" t="s">
        <v>3765</v>
      </c>
      <c r="B2416" s="1040" t="str">
        <f>CONCATENATE(LEFT(RIGHT(CONCATENATE("000",IFAData_TEA_1718!A2416),6),3),"-",(RIGHT(RIGHT(CONCATENATE("000",IFAData_TEA_1718!A2416),6),3)))</f>
        <v>240-901</v>
      </c>
      <c r="C2416" t="s">
        <v>2345</v>
      </c>
      <c r="D2416">
        <v>8</v>
      </c>
      <c r="E2416">
        <v>2009</v>
      </c>
      <c r="F2416" t="s">
        <v>5642</v>
      </c>
      <c r="G2416" t="s">
        <v>6353</v>
      </c>
      <c r="H2416">
        <v>4074803</v>
      </c>
      <c r="I2416">
        <v>3951750</v>
      </c>
      <c r="J2416">
        <v>1</v>
      </c>
      <c r="K2416">
        <v>4074803</v>
      </c>
      <c r="L2416">
        <v>3951750</v>
      </c>
      <c r="M2416">
        <v>599</v>
      </c>
    </row>
    <row r="2417" spans="1:13" ht="15">
      <c r="A2417" t="s">
        <v>3766</v>
      </c>
      <c r="B2417" s="1040" t="str">
        <f>CONCATENATE(LEFT(RIGHT(CONCATENATE("000",IFAData_TEA_1718!A2417),6),3),"-",(RIGHT(RIGHT(CONCATENATE("000",IFAData_TEA_1718!A2417),6),3)))</f>
        <v>240-903</v>
      </c>
      <c r="C2417" t="s">
        <v>2362</v>
      </c>
      <c r="D2417">
        <v>3</v>
      </c>
      <c r="E2417">
        <v>2405</v>
      </c>
      <c r="F2417" t="s">
        <v>5643</v>
      </c>
      <c r="G2417" t="s">
        <v>5643</v>
      </c>
      <c r="H2417">
        <v>986173</v>
      </c>
      <c r="I2417">
        <v>2796180</v>
      </c>
      <c r="J2417">
        <v>0.87684726592413298</v>
      </c>
      <c r="K2417">
        <v>864723.09877819999</v>
      </c>
      <c r="L2417">
        <v>864723.09877819999</v>
      </c>
      <c r="M2417">
        <v>599</v>
      </c>
    </row>
    <row r="2418" spans="1:13" ht="15">
      <c r="A2418" t="s">
        <v>3766</v>
      </c>
      <c r="B2418" s="1040" t="str">
        <f>CONCATENATE(LEFT(RIGHT(CONCATENATE("000",IFAData_TEA_1718!A2418),6),3),"-",(RIGHT(RIGHT(CONCATENATE("000",IFAData_TEA_1718!A2418),6),3)))</f>
        <v>240-903</v>
      </c>
      <c r="C2418" t="s">
        <v>2362</v>
      </c>
      <c r="D2418">
        <v>3</v>
      </c>
      <c r="E2418">
        <v>2405</v>
      </c>
      <c r="F2418" t="s">
        <v>5643</v>
      </c>
      <c r="G2418" t="s">
        <v>5644</v>
      </c>
      <c r="H2418">
        <v>986173</v>
      </c>
      <c r="I2418">
        <v>0</v>
      </c>
      <c r="J2418">
        <v>0</v>
      </c>
      <c r="K2418">
        <v>0</v>
      </c>
      <c r="L2418">
        <v>0</v>
      </c>
      <c r="M2418">
        <v>599</v>
      </c>
    </row>
    <row r="2419" spans="1:13" ht="15">
      <c r="A2419" t="s">
        <v>3766</v>
      </c>
      <c r="B2419" s="1040" t="str">
        <f>CONCATENATE(LEFT(RIGHT(CONCATENATE("000",IFAData_TEA_1718!A2419),6),3),"-",(RIGHT(RIGHT(CONCATENATE("000",IFAData_TEA_1718!A2419),6),3)))</f>
        <v>240-903</v>
      </c>
      <c r="C2419" t="s">
        <v>2362</v>
      </c>
      <c r="D2419">
        <v>3</v>
      </c>
      <c r="E2419">
        <v>2405</v>
      </c>
      <c r="F2419" t="s">
        <v>5643</v>
      </c>
      <c r="G2419" t="s">
        <v>5645</v>
      </c>
      <c r="H2419">
        <v>986173</v>
      </c>
      <c r="I2419">
        <v>0</v>
      </c>
      <c r="J2419">
        <v>0</v>
      </c>
      <c r="K2419">
        <v>0</v>
      </c>
      <c r="L2419">
        <v>0</v>
      </c>
      <c r="M2419">
        <v>599</v>
      </c>
    </row>
    <row r="2420" spans="1:13" ht="15">
      <c r="A2420" t="s">
        <v>3766</v>
      </c>
      <c r="B2420" s="1040" t="str">
        <f>CONCATENATE(LEFT(RIGHT(CONCATENATE("000",IFAData_TEA_1718!A2420),6),3),"-",(RIGHT(RIGHT(CONCATENATE("000",IFAData_TEA_1718!A2420),6),3)))</f>
        <v>240-903</v>
      </c>
      <c r="C2420" t="s">
        <v>2362</v>
      </c>
      <c r="D2420">
        <v>3</v>
      </c>
      <c r="E2420">
        <v>2405</v>
      </c>
      <c r="F2420" t="s">
        <v>5643</v>
      </c>
      <c r="G2420" t="s">
        <v>6354</v>
      </c>
      <c r="H2420">
        <v>986173</v>
      </c>
      <c r="I2420">
        <v>392722</v>
      </c>
      <c r="J2420">
        <v>0.12315273407586701</v>
      </c>
      <c r="K2420">
        <v>121449.9012218</v>
      </c>
      <c r="L2420">
        <v>121449.9012218</v>
      </c>
      <c r="M2420">
        <v>599</v>
      </c>
    </row>
    <row r="2421" spans="1:13" ht="15">
      <c r="A2421" t="s">
        <v>3766</v>
      </c>
      <c r="B2421" s="1040" t="str">
        <f>CONCATENATE(LEFT(RIGHT(CONCATENATE("000",IFAData_TEA_1718!A2421),6),3),"-",(RIGHT(RIGHT(CONCATENATE("000",IFAData_TEA_1718!A2421),6),3)))</f>
        <v>240-903</v>
      </c>
      <c r="C2421" t="s">
        <v>2362</v>
      </c>
      <c r="D2421">
        <v>3</v>
      </c>
      <c r="E2421">
        <v>2407</v>
      </c>
      <c r="F2421" t="s">
        <v>5646</v>
      </c>
      <c r="G2421" t="s">
        <v>5646</v>
      </c>
      <c r="H2421">
        <v>1098957</v>
      </c>
      <c r="I2421">
        <v>0</v>
      </c>
      <c r="J2421">
        <v>0</v>
      </c>
      <c r="K2421">
        <v>0</v>
      </c>
      <c r="L2421">
        <v>0</v>
      </c>
      <c r="M2421">
        <v>599</v>
      </c>
    </row>
    <row r="2422" spans="1:13" ht="15">
      <c r="A2422" t="s">
        <v>3766</v>
      </c>
      <c r="B2422" s="1040" t="str">
        <f>CONCATENATE(LEFT(RIGHT(CONCATENATE("000",IFAData_TEA_1718!A2422),6),3),"-",(RIGHT(RIGHT(CONCATENATE("000",IFAData_TEA_1718!A2422),6),3)))</f>
        <v>240-903</v>
      </c>
      <c r="C2422" t="s">
        <v>2362</v>
      </c>
      <c r="D2422">
        <v>3</v>
      </c>
      <c r="E2422">
        <v>2407</v>
      </c>
      <c r="F2422" t="s">
        <v>5646</v>
      </c>
      <c r="G2422" t="s">
        <v>5644</v>
      </c>
      <c r="H2422">
        <v>1098957</v>
      </c>
      <c r="I2422">
        <v>0</v>
      </c>
      <c r="J2422">
        <v>0</v>
      </c>
      <c r="K2422">
        <v>0</v>
      </c>
      <c r="L2422">
        <v>0</v>
      </c>
      <c r="M2422">
        <v>599</v>
      </c>
    </row>
    <row r="2423" spans="1:13" ht="15">
      <c r="A2423" t="s">
        <v>3766</v>
      </c>
      <c r="B2423" s="1040" t="str">
        <f>CONCATENATE(LEFT(RIGHT(CONCATENATE("000",IFAData_TEA_1718!A2423),6),3),"-",(RIGHT(RIGHT(CONCATENATE("000",IFAData_TEA_1718!A2423),6),3)))</f>
        <v>240-903</v>
      </c>
      <c r="C2423" t="s">
        <v>2362</v>
      </c>
      <c r="D2423">
        <v>3</v>
      </c>
      <c r="E2423">
        <v>2407</v>
      </c>
      <c r="F2423" t="s">
        <v>5646</v>
      </c>
      <c r="G2423" t="s">
        <v>6354</v>
      </c>
      <c r="H2423">
        <v>1098957</v>
      </c>
      <c r="I2423">
        <v>1918625</v>
      </c>
      <c r="J2423">
        <v>1</v>
      </c>
      <c r="K2423">
        <v>1098957</v>
      </c>
      <c r="L2423">
        <v>1098957</v>
      </c>
      <c r="M2423">
        <v>599</v>
      </c>
    </row>
    <row r="2424" spans="1:13" ht="15">
      <c r="A2424" t="s">
        <v>3766</v>
      </c>
      <c r="B2424" s="1040" t="str">
        <f>CONCATENATE(LEFT(RIGHT(CONCATENATE("000",IFAData_TEA_1718!A2424),6),3),"-",(RIGHT(RIGHT(CONCATENATE("000",IFAData_TEA_1718!A2424),6),3)))</f>
        <v>240-903</v>
      </c>
      <c r="C2424" t="s">
        <v>2362</v>
      </c>
      <c r="D2424">
        <v>5</v>
      </c>
      <c r="E2424">
        <v>2404</v>
      </c>
      <c r="F2424" t="s">
        <v>5647</v>
      </c>
      <c r="G2424" t="s">
        <v>5647</v>
      </c>
      <c r="H2424">
        <v>827517</v>
      </c>
      <c r="I2424">
        <v>0</v>
      </c>
      <c r="J2424">
        <v>0</v>
      </c>
      <c r="K2424">
        <v>0</v>
      </c>
      <c r="L2424">
        <v>0</v>
      </c>
      <c r="M2424">
        <v>599</v>
      </c>
    </row>
    <row r="2425" spans="1:13" ht="15">
      <c r="A2425" t="s">
        <v>3766</v>
      </c>
      <c r="B2425" s="1040" t="str">
        <f>CONCATENATE(LEFT(RIGHT(CONCATENATE("000",IFAData_TEA_1718!A2425),6),3),"-",(RIGHT(RIGHT(CONCATENATE("000",IFAData_TEA_1718!A2425),6),3)))</f>
        <v>240-903</v>
      </c>
      <c r="C2425" t="s">
        <v>2362</v>
      </c>
      <c r="D2425">
        <v>5</v>
      </c>
      <c r="E2425">
        <v>2404</v>
      </c>
      <c r="F2425" t="s">
        <v>5647</v>
      </c>
      <c r="G2425" t="s">
        <v>5644</v>
      </c>
      <c r="H2425">
        <v>827517</v>
      </c>
      <c r="I2425">
        <v>0</v>
      </c>
      <c r="J2425">
        <v>0</v>
      </c>
      <c r="K2425">
        <v>0</v>
      </c>
      <c r="L2425">
        <v>0</v>
      </c>
      <c r="M2425">
        <v>599</v>
      </c>
    </row>
    <row r="2426" spans="1:13" ht="15">
      <c r="A2426" t="s">
        <v>3766</v>
      </c>
      <c r="B2426" s="1040" t="str">
        <f>CONCATENATE(LEFT(RIGHT(CONCATENATE("000",IFAData_TEA_1718!A2426),6),3),"-",(RIGHT(RIGHT(CONCATENATE("000",IFAData_TEA_1718!A2426),6),3)))</f>
        <v>240-903</v>
      </c>
      <c r="C2426" t="s">
        <v>2362</v>
      </c>
      <c r="D2426">
        <v>5</v>
      </c>
      <c r="E2426">
        <v>2404</v>
      </c>
      <c r="F2426" t="s">
        <v>5647</v>
      </c>
      <c r="G2426" t="s">
        <v>5648</v>
      </c>
      <c r="H2426">
        <v>827517</v>
      </c>
      <c r="I2426">
        <v>56368</v>
      </c>
      <c r="J2426">
        <v>5.1178081893284003E-2</v>
      </c>
      <c r="K2426">
        <v>42350.732794084703</v>
      </c>
      <c r="L2426">
        <v>42350.732794084703</v>
      </c>
      <c r="M2426">
        <v>599</v>
      </c>
    </row>
    <row r="2427" spans="1:13" ht="15">
      <c r="A2427" t="s">
        <v>3766</v>
      </c>
      <c r="B2427" s="1040" t="str">
        <f>CONCATENATE(LEFT(RIGHT(CONCATENATE("000",IFAData_TEA_1718!A2427),6),3),"-",(RIGHT(RIGHT(CONCATENATE("000",IFAData_TEA_1718!A2427),6),3)))</f>
        <v>240-903</v>
      </c>
      <c r="C2427" t="s">
        <v>2362</v>
      </c>
      <c r="D2427">
        <v>5</v>
      </c>
      <c r="E2427">
        <v>2404</v>
      </c>
      <c r="F2427" t="s">
        <v>5647</v>
      </c>
      <c r="G2427" t="s">
        <v>5649</v>
      </c>
      <c r="H2427">
        <v>827517</v>
      </c>
      <c r="I2427">
        <v>219083</v>
      </c>
      <c r="J2427">
        <v>0.19891157599039</v>
      </c>
      <c r="K2427">
        <v>164602.71062884</v>
      </c>
      <c r="L2427">
        <v>164602.71062884</v>
      </c>
      <c r="M2427">
        <v>599</v>
      </c>
    </row>
    <row r="2428" spans="1:13" ht="15">
      <c r="A2428" t="s">
        <v>3766</v>
      </c>
      <c r="B2428" s="1040" t="str">
        <f>CONCATENATE(LEFT(RIGHT(CONCATENATE("000",IFAData_TEA_1718!A2428),6),3),"-",(RIGHT(RIGHT(CONCATENATE("000",IFAData_TEA_1718!A2428),6),3)))</f>
        <v>240-903</v>
      </c>
      <c r="C2428" t="s">
        <v>2362</v>
      </c>
      <c r="D2428">
        <v>5</v>
      </c>
      <c r="E2428">
        <v>2404</v>
      </c>
      <c r="F2428" t="s">
        <v>5647</v>
      </c>
      <c r="G2428" t="s">
        <v>6354</v>
      </c>
      <c r="H2428">
        <v>827517</v>
      </c>
      <c r="I2428">
        <v>717937</v>
      </c>
      <c r="J2428">
        <v>0.65183505854773305</v>
      </c>
      <c r="K2428">
        <v>539404.592144244</v>
      </c>
      <c r="L2428">
        <v>539404.592144244</v>
      </c>
      <c r="M2428">
        <v>599</v>
      </c>
    </row>
    <row r="2429" spans="1:13" ht="15">
      <c r="A2429" t="s">
        <v>3766</v>
      </c>
      <c r="B2429" s="1040" t="str">
        <f>CONCATENATE(LEFT(RIGHT(CONCATENATE("000",IFAData_TEA_1718!A2429),6),3),"-",(RIGHT(RIGHT(CONCATENATE("000",IFAData_TEA_1718!A2429),6),3)))</f>
        <v>240-903</v>
      </c>
      <c r="C2429" t="s">
        <v>2362</v>
      </c>
      <c r="D2429">
        <v>5</v>
      </c>
      <c r="E2429">
        <v>2404</v>
      </c>
      <c r="F2429" t="s">
        <v>5647</v>
      </c>
      <c r="G2429" t="s">
        <v>8518</v>
      </c>
      <c r="H2429">
        <v>827517</v>
      </c>
      <c r="I2429">
        <v>108021</v>
      </c>
      <c r="J2429">
        <v>9.8075283568592603E-2</v>
      </c>
      <c r="K2429">
        <v>81158.964432830995</v>
      </c>
      <c r="L2429">
        <v>81158.964432830995</v>
      </c>
      <c r="M2429">
        <v>599</v>
      </c>
    </row>
    <row r="2430" spans="1:13" ht="15">
      <c r="A2430" t="s">
        <v>3766</v>
      </c>
      <c r="B2430" s="1040" t="str">
        <f>CONCATENATE(LEFT(RIGHT(CONCATENATE("000",IFAData_TEA_1718!A2430),6),3),"-",(RIGHT(RIGHT(CONCATENATE("000",IFAData_TEA_1718!A2430),6),3)))</f>
        <v>240-903</v>
      </c>
      <c r="C2430" t="s">
        <v>2362</v>
      </c>
      <c r="D2430">
        <v>5</v>
      </c>
      <c r="E2430">
        <v>2406</v>
      </c>
      <c r="F2430" t="s">
        <v>5650</v>
      </c>
      <c r="G2430" t="s">
        <v>5650</v>
      </c>
      <c r="H2430">
        <v>1047970</v>
      </c>
      <c r="I2430">
        <v>0</v>
      </c>
      <c r="J2430">
        <v>0</v>
      </c>
      <c r="K2430">
        <v>0</v>
      </c>
      <c r="L2430">
        <v>0</v>
      </c>
      <c r="M2430">
        <v>599</v>
      </c>
    </row>
    <row r="2431" spans="1:13" ht="15">
      <c r="A2431" t="s">
        <v>3766</v>
      </c>
      <c r="B2431" s="1040" t="str">
        <f>CONCATENATE(LEFT(RIGHT(CONCATENATE("000",IFAData_TEA_1718!A2431),6),3),"-",(RIGHT(RIGHT(CONCATENATE("000",IFAData_TEA_1718!A2431),6),3)))</f>
        <v>240-903</v>
      </c>
      <c r="C2431" t="s">
        <v>2362</v>
      </c>
      <c r="D2431">
        <v>5</v>
      </c>
      <c r="E2431">
        <v>2406</v>
      </c>
      <c r="F2431" t="s">
        <v>5650</v>
      </c>
      <c r="G2431" t="s">
        <v>5649</v>
      </c>
      <c r="H2431">
        <v>1047970</v>
      </c>
      <c r="I2431">
        <v>1451781</v>
      </c>
      <c r="J2431">
        <v>1</v>
      </c>
      <c r="K2431">
        <v>1047970</v>
      </c>
      <c r="L2431">
        <v>1047970</v>
      </c>
      <c r="M2431">
        <v>599</v>
      </c>
    </row>
    <row r="2432" spans="1:13" ht="15">
      <c r="A2432" t="s">
        <v>3766</v>
      </c>
      <c r="B2432" s="1040" t="str">
        <f>CONCATENATE(LEFT(RIGHT(CONCATENATE("000",IFAData_TEA_1718!A2432),6),3),"-",(RIGHT(RIGHT(CONCATENATE("000",IFAData_TEA_1718!A2432),6),3)))</f>
        <v>240-903</v>
      </c>
      <c r="C2432" t="s">
        <v>2362</v>
      </c>
      <c r="D2432">
        <v>5</v>
      </c>
      <c r="E2432">
        <v>2406</v>
      </c>
      <c r="F2432" t="s">
        <v>5650</v>
      </c>
      <c r="G2432" t="s">
        <v>5651</v>
      </c>
      <c r="H2432">
        <v>1047970</v>
      </c>
      <c r="I2432">
        <v>0</v>
      </c>
      <c r="J2432">
        <v>0</v>
      </c>
      <c r="K2432">
        <v>0</v>
      </c>
      <c r="L2432">
        <v>0</v>
      </c>
      <c r="M2432">
        <v>599</v>
      </c>
    </row>
    <row r="2433" spans="1:13" ht="15">
      <c r="A2433" t="s">
        <v>3767</v>
      </c>
      <c r="B2433" s="1040" t="str">
        <f>CONCATENATE(LEFT(RIGHT(CONCATENATE("000",IFAData_TEA_1718!A2433),6),3),"-",(RIGHT(RIGHT(CONCATENATE("000",IFAData_TEA_1718!A2433),6),3)))</f>
        <v>243-901</v>
      </c>
      <c r="C2433" t="s">
        <v>1448</v>
      </c>
      <c r="D2433">
        <v>2</v>
      </c>
      <c r="E2433">
        <v>1652</v>
      </c>
      <c r="F2433" t="s">
        <v>5652</v>
      </c>
      <c r="G2433" t="s">
        <v>5652</v>
      </c>
      <c r="H2433">
        <v>871498</v>
      </c>
      <c r="I2433">
        <v>0</v>
      </c>
      <c r="J2433">
        <v>0</v>
      </c>
      <c r="K2433">
        <v>0</v>
      </c>
      <c r="L2433">
        <v>0</v>
      </c>
      <c r="M2433">
        <v>599</v>
      </c>
    </row>
    <row r="2434" spans="1:13" ht="15">
      <c r="A2434" t="s">
        <v>3767</v>
      </c>
      <c r="B2434" s="1040" t="str">
        <f>CONCATENATE(LEFT(RIGHT(CONCATENATE("000",IFAData_TEA_1718!A2434),6),3),"-",(RIGHT(RIGHT(CONCATENATE("000",IFAData_TEA_1718!A2434),6),3)))</f>
        <v>243-901</v>
      </c>
      <c r="C2434" t="s">
        <v>1448</v>
      </c>
      <c r="D2434">
        <v>2</v>
      </c>
      <c r="E2434">
        <v>1652</v>
      </c>
      <c r="F2434" t="s">
        <v>5652</v>
      </c>
      <c r="G2434" t="s">
        <v>5653</v>
      </c>
      <c r="H2434">
        <v>871498</v>
      </c>
      <c r="I2434">
        <v>0</v>
      </c>
      <c r="J2434">
        <v>0</v>
      </c>
      <c r="K2434">
        <v>0</v>
      </c>
      <c r="L2434">
        <v>0</v>
      </c>
      <c r="M2434">
        <v>599</v>
      </c>
    </row>
    <row r="2435" spans="1:13" ht="15">
      <c r="A2435" t="s">
        <v>3767</v>
      </c>
      <c r="B2435" s="1040" t="str">
        <f>CONCATENATE(LEFT(RIGHT(CONCATENATE("000",IFAData_TEA_1718!A2435),6),3),"-",(RIGHT(RIGHT(CONCATENATE("000",IFAData_TEA_1718!A2435),6),3)))</f>
        <v>243-901</v>
      </c>
      <c r="C2435" t="s">
        <v>1448</v>
      </c>
      <c r="D2435">
        <v>2</v>
      </c>
      <c r="E2435">
        <v>1652</v>
      </c>
      <c r="F2435" t="s">
        <v>5652</v>
      </c>
      <c r="G2435" t="s">
        <v>5654</v>
      </c>
      <c r="H2435">
        <v>871498</v>
      </c>
      <c r="I2435">
        <v>642238</v>
      </c>
      <c r="J2435">
        <v>1</v>
      </c>
      <c r="K2435">
        <v>871498</v>
      </c>
      <c r="L2435">
        <v>642238</v>
      </c>
      <c r="M2435">
        <v>599</v>
      </c>
    </row>
    <row r="2436" spans="1:13" ht="15">
      <c r="A2436" t="s">
        <v>3767</v>
      </c>
      <c r="B2436" s="1040" t="str">
        <f>CONCATENATE(LEFT(RIGHT(CONCATENATE("000",IFAData_TEA_1718!A2436),6),3),"-",(RIGHT(RIGHT(CONCATENATE("000",IFAData_TEA_1718!A2436),6),3)))</f>
        <v>243-901</v>
      </c>
      <c r="C2436" t="s">
        <v>1448</v>
      </c>
      <c r="D2436">
        <v>11</v>
      </c>
      <c r="E2436">
        <v>2517</v>
      </c>
      <c r="F2436" t="s">
        <v>8519</v>
      </c>
      <c r="G2436" t="s">
        <v>8519</v>
      </c>
      <c r="H2436">
        <v>752432</v>
      </c>
      <c r="I2436">
        <v>2195969</v>
      </c>
      <c r="J2436">
        <v>1</v>
      </c>
      <c r="K2436">
        <v>752432</v>
      </c>
      <c r="L2436">
        <v>752432</v>
      </c>
      <c r="M2436">
        <v>599</v>
      </c>
    </row>
    <row r="2437" spans="1:13" ht="15">
      <c r="A2437" t="s">
        <v>6140</v>
      </c>
      <c r="B2437" s="1040" t="str">
        <f>CONCATENATE(LEFT(RIGHT(CONCATENATE("000",IFAData_TEA_1718!A2437),6),3),"-",(RIGHT(RIGHT(CONCATENATE("000",IFAData_TEA_1718!A2437),6),3)))</f>
        <v>243-903</v>
      </c>
      <c r="C2437" t="s">
        <v>2338</v>
      </c>
      <c r="D2437">
        <v>11</v>
      </c>
      <c r="E2437">
        <v>2591</v>
      </c>
      <c r="F2437" t="s">
        <v>8520</v>
      </c>
      <c r="G2437" t="s">
        <v>8520</v>
      </c>
      <c r="H2437">
        <v>204122</v>
      </c>
      <c r="I2437">
        <v>203493</v>
      </c>
      <c r="J2437">
        <v>1</v>
      </c>
      <c r="K2437">
        <v>204122</v>
      </c>
      <c r="L2437">
        <v>203493</v>
      </c>
      <c r="M2437">
        <v>599</v>
      </c>
    </row>
    <row r="2438" spans="1:13" ht="15">
      <c r="A2438" t="s">
        <v>3768</v>
      </c>
      <c r="B2438" s="1040" t="str">
        <f>CONCATENATE(LEFT(RIGHT(CONCATENATE("000",IFAData_TEA_1718!A2438),6),3),"-",(RIGHT(RIGHT(CONCATENATE("000",IFAData_TEA_1718!A2438),6),3)))</f>
        <v>243-905</v>
      </c>
      <c r="C2438" t="s">
        <v>1609</v>
      </c>
      <c r="D2438">
        <v>9</v>
      </c>
      <c r="E2438">
        <v>2453</v>
      </c>
      <c r="F2438" t="s">
        <v>5655</v>
      </c>
      <c r="G2438" t="s">
        <v>5655</v>
      </c>
      <c r="H2438">
        <v>3370543</v>
      </c>
      <c r="I2438">
        <v>0</v>
      </c>
      <c r="J2438">
        <v>0</v>
      </c>
      <c r="K2438">
        <v>0</v>
      </c>
      <c r="L2438">
        <v>0</v>
      </c>
      <c r="M2438">
        <v>599</v>
      </c>
    </row>
    <row r="2439" spans="1:13" ht="15">
      <c r="A2439" t="s">
        <v>3768</v>
      </c>
      <c r="B2439" s="1040" t="str">
        <f>CONCATENATE(LEFT(RIGHT(CONCATENATE("000",IFAData_TEA_1718!A2439),6),3),"-",(RIGHT(RIGHT(CONCATENATE("000",IFAData_TEA_1718!A2439),6),3)))</f>
        <v>243-905</v>
      </c>
      <c r="C2439" t="s">
        <v>1609</v>
      </c>
      <c r="D2439">
        <v>9</v>
      </c>
      <c r="E2439">
        <v>2453</v>
      </c>
      <c r="F2439" t="s">
        <v>5655</v>
      </c>
      <c r="G2439" t="s">
        <v>6355</v>
      </c>
      <c r="H2439">
        <v>3370543</v>
      </c>
      <c r="I2439">
        <v>4319700</v>
      </c>
      <c r="J2439">
        <v>1</v>
      </c>
      <c r="K2439">
        <v>3370543</v>
      </c>
      <c r="L2439">
        <v>3370543</v>
      </c>
      <c r="M2439">
        <v>599</v>
      </c>
    </row>
    <row r="2440" spans="1:13" ht="15">
      <c r="A2440" t="s">
        <v>3769</v>
      </c>
      <c r="B2440" s="1040" t="str">
        <f>CONCATENATE(LEFT(RIGHT(CONCATENATE("000",IFAData_TEA_1718!A2440),6),3),"-",(RIGHT(RIGHT(CONCATENATE("000",IFAData_TEA_1718!A2440),6),3)))</f>
        <v>243-906</v>
      </c>
      <c r="C2440" t="s">
        <v>1162</v>
      </c>
      <c r="D2440">
        <v>5</v>
      </c>
      <c r="E2440">
        <v>1693</v>
      </c>
      <c r="F2440" t="s">
        <v>5656</v>
      </c>
      <c r="G2440" t="s">
        <v>5656</v>
      </c>
      <c r="H2440">
        <v>347638</v>
      </c>
      <c r="I2440">
        <v>646697</v>
      </c>
      <c r="J2440">
        <v>1</v>
      </c>
      <c r="K2440">
        <v>347638</v>
      </c>
      <c r="L2440">
        <v>347638</v>
      </c>
      <c r="M2440">
        <v>599</v>
      </c>
    </row>
    <row r="2441" spans="1:13" ht="15">
      <c r="A2441" t="s">
        <v>3770</v>
      </c>
      <c r="B2441" s="1040" t="str">
        <f>CONCATENATE(LEFT(RIGHT(CONCATENATE("000",IFAData_TEA_1718!A2441),6),3),"-",(RIGHT(RIGHT(CONCATENATE("000",IFAData_TEA_1718!A2441),6),3)))</f>
        <v>244-905</v>
      </c>
      <c r="C2441" t="s">
        <v>2289</v>
      </c>
      <c r="D2441">
        <v>8</v>
      </c>
      <c r="E2441">
        <v>2151</v>
      </c>
      <c r="F2441" t="s">
        <v>5657</v>
      </c>
      <c r="G2441" t="s">
        <v>5657</v>
      </c>
      <c r="H2441">
        <v>100000</v>
      </c>
      <c r="I2441">
        <v>127447</v>
      </c>
      <c r="J2441">
        <v>1</v>
      </c>
      <c r="K2441">
        <v>100000</v>
      </c>
      <c r="L2441">
        <v>100000</v>
      </c>
      <c r="M2441">
        <v>599</v>
      </c>
    </row>
    <row r="2442" spans="1:13" ht="15">
      <c r="A2442" t="s">
        <v>3771</v>
      </c>
      <c r="B2442" s="1040" t="str">
        <f>CONCATENATE(LEFT(RIGHT(CONCATENATE("000",IFAData_TEA_1718!A2442),6),3),"-",(RIGHT(RIGHT(CONCATENATE("000",IFAData_TEA_1718!A2442),6),3)))</f>
        <v>245-901</v>
      </c>
      <c r="C2442" t="s">
        <v>2346</v>
      </c>
      <c r="D2442">
        <v>4</v>
      </c>
      <c r="E2442">
        <v>2013</v>
      </c>
      <c r="F2442" t="s">
        <v>5658</v>
      </c>
      <c r="G2442" t="s">
        <v>5658</v>
      </c>
      <c r="H2442">
        <v>98474</v>
      </c>
      <c r="I2442">
        <v>0</v>
      </c>
      <c r="J2442">
        <v>0</v>
      </c>
      <c r="K2442">
        <v>0</v>
      </c>
      <c r="L2442">
        <v>0</v>
      </c>
      <c r="M2442">
        <v>599</v>
      </c>
    </row>
    <row r="2443" spans="1:13" ht="15">
      <c r="A2443" t="s">
        <v>3771</v>
      </c>
      <c r="B2443" s="1040" t="str">
        <f>CONCATENATE(LEFT(RIGHT(CONCATENATE("000",IFAData_TEA_1718!A2443),6),3),"-",(RIGHT(RIGHT(CONCATENATE("000",IFAData_TEA_1718!A2443),6),3)))</f>
        <v>245-901</v>
      </c>
      <c r="C2443" t="s">
        <v>2346</v>
      </c>
      <c r="D2443">
        <v>4</v>
      </c>
      <c r="E2443">
        <v>2013</v>
      </c>
      <c r="F2443" t="s">
        <v>5658</v>
      </c>
      <c r="G2443" t="s">
        <v>5659</v>
      </c>
      <c r="H2443">
        <v>98474</v>
      </c>
      <c r="I2443">
        <v>78487</v>
      </c>
      <c r="J2443">
        <v>1</v>
      </c>
      <c r="K2443">
        <v>98474</v>
      </c>
      <c r="L2443">
        <v>78487</v>
      </c>
      <c r="M2443">
        <v>599</v>
      </c>
    </row>
    <row r="2444" spans="1:13" ht="15">
      <c r="A2444" t="s">
        <v>3771</v>
      </c>
      <c r="B2444" s="1040" t="str">
        <f>CONCATENATE(LEFT(RIGHT(CONCATENATE("000",IFAData_TEA_1718!A2444),6),3),"-",(RIGHT(RIGHT(CONCATENATE("000",IFAData_TEA_1718!A2444),6),3)))</f>
        <v>245-901</v>
      </c>
      <c r="C2444" t="s">
        <v>2346</v>
      </c>
      <c r="D2444">
        <v>5</v>
      </c>
      <c r="E2444">
        <v>2012</v>
      </c>
      <c r="F2444" t="s">
        <v>5660</v>
      </c>
      <c r="G2444" t="s">
        <v>5660</v>
      </c>
      <c r="H2444">
        <v>92936</v>
      </c>
      <c r="I2444">
        <v>0</v>
      </c>
      <c r="J2444">
        <v>0</v>
      </c>
      <c r="K2444">
        <v>0</v>
      </c>
      <c r="L2444">
        <v>0</v>
      </c>
      <c r="M2444">
        <v>599</v>
      </c>
    </row>
    <row r="2445" spans="1:13" ht="15">
      <c r="A2445" t="s">
        <v>3771</v>
      </c>
      <c r="B2445" s="1040" t="str">
        <f>CONCATENATE(LEFT(RIGHT(CONCATENATE("000",IFAData_TEA_1718!A2445),6),3),"-",(RIGHT(RIGHT(CONCATENATE("000",IFAData_TEA_1718!A2445),6),3)))</f>
        <v>245-901</v>
      </c>
      <c r="C2445" t="s">
        <v>2346</v>
      </c>
      <c r="D2445">
        <v>5</v>
      </c>
      <c r="E2445">
        <v>2012</v>
      </c>
      <c r="F2445" t="s">
        <v>5660</v>
      </c>
      <c r="G2445" t="s">
        <v>5659</v>
      </c>
      <c r="H2445">
        <v>92936</v>
      </c>
      <c r="I2445">
        <v>83857</v>
      </c>
      <c r="J2445">
        <v>1</v>
      </c>
      <c r="K2445">
        <v>92936</v>
      </c>
      <c r="L2445">
        <v>83857</v>
      </c>
      <c r="M2445">
        <v>599</v>
      </c>
    </row>
    <row r="2446" spans="1:13" ht="15">
      <c r="A2446" t="s">
        <v>3771</v>
      </c>
      <c r="B2446" s="1040" t="str">
        <f>CONCATENATE(LEFT(RIGHT(CONCATENATE("000",IFAData_TEA_1718!A2446),6),3),"-",(RIGHT(RIGHT(CONCATENATE("000",IFAData_TEA_1718!A2446),6),3)))</f>
        <v>245-901</v>
      </c>
      <c r="C2446" t="s">
        <v>2346</v>
      </c>
      <c r="D2446">
        <v>8</v>
      </c>
      <c r="E2446">
        <v>2014</v>
      </c>
      <c r="F2446" t="s">
        <v>5661</v>
      </c>
      <c r="G2446" t="s">
        <v>5661</v>
      </c>
      <c r="H2446">
        <v>98876</v>
      </c>
      <c r="I2446">
        <v>0</v>
      </c>
      <c r="J2446">
        <v>0</v>
      </c>
      <c r="K2446">
        <v>0</v>
      </c>
      <c r="L2446">
        <v>0</v>
      </c>
      <c r="M2446">
        <v>599</v>
      </c>
    </row>
    <row r="2447" spans="1:13" ht="15">
      <c r="A2447" t="s">
        <v>3771</v>
      </c>
      <c r="B2447" s="1040" t="str">
        <f>CONCATENATE(LEFT(RIGHT(CONCATENATE("000",IFAData_TEA_1718!A2447),6),3),"-",(RIGHT(RIGHT(CONCATENATE("000",IFAData_TEA_1718!A2447),6),3)))</f>
        <v>245-901</v>
      </c>
      <c r="C2447" t="s">
        <v>2346</v>
      </c>
      <c r="D2447">
        <v>8</v>
      </c>
      <c r="E2447">
        <v>2014</v>
      </c>
      <c r="F2447" t="s">
        <v>5661</v>
      </c>
      <c r="G2447" t="s">
        <v>6556</v>
      </c>
      <c r="H2447">
        <v>98876</v>
      </c>
      <c r="I2447">
        <v>84700</v>
      </c>
      <c r="J2447">
        <v>1</v>
      </c>
      <c r="K2447">
        <v>98876</v>
      </c>
      <c r="L2447">
        <v>84700</v>
      </c>
      <c r="M2447">
        <v>599</v>
      </c>
    </row>
    <row r="2448" spans="1:13" ht="15">
      <c r="A2448" t="s">
        <v>3771</v>
      </c>
      <c r="B2448" s="1040" t="str">
        <f>CONCATENATE(LEFT(RIGHT(CONCATENATE("000",IFAData_TEA_1718!A2448),6),3),"-",(RIGHT(RIGHT(CONCATENATE("000",IFAData_TEA_1718!A2448),6),3)))</f>
        <v>245-901</v>
      </c>
      <c r="C2448" t="s">
        <v>2346</v>
      </c>
      <c r="D2448">
        <v>9</v>
      </c>
      <c r="E2448">
        <v>2015</v>
      </c>
      <c r="F2448" t="s">
        <v>5662</v>
      </c>
      <c r="G2448" t="s">
        <v>5662</v>
      </c>
      <c r="H2448">
        <v>100000</v>
      </c>
      <c r="I2448">
        <v>40000</v>
      </c>
      <c r="J2448">
        <v>0.39820806371328998</v>
      </c>
      <c r="K2448">
        <v>39820.806371329003</v>
      </c>
      <c r="L2448">
        <v>39820.806371329003</v>
      </c>
      <c r="M2448">
        <v>599</v>
      </c>
    </row>
    <row r="2449" spans="1:13" ht="15">
      <c r="A2449" t="s">
        <v>3771</v>
      </c>
      <c r="B2449" s="1040" t="str">
        <f>CONCATENATE(LEFT(RIGHT(CONCATENATE("000",IFAData_TEA_1718!A2449),6),3),"-",(RIGHT(RIGHT(CONCATENATE("000",IFAData_TEA_1718!A2449),6),3)))</f>
        <v>245-901</v>
      </c>
      <c r="C2449" t="s">
        <v>2346</v>
      </c>
      <c r="D2449">
        <v>9</v>
      </c>
      <c r="E2449">
        <v>2015</v>
      </c>
      <c r="F2449" t="s">
        <v>5662</v>
      </c>
      <c r="G2449" t="s">
        <v>6556</v>
      </c>
      <c r="H2449">
        <v>100000</v>
      </c>
      <c r="I2449">
        <v>60450</v>
      </c>
      <c r="J2449">
        <v>0.60179193628671002</v>
      </c>
      <c r="K2449">
        <v>60179.193628670997</v>
      </c>
      <c r="L2449">
        <v>60179.193628670997</v>
      </c>
      <c r="M2449">
        <v>599</v>
      </c>
    </row>
    <row r="2450" spans="1:13" ht="15">
      <c r="A2450" t="s">
        <v>3771</v>
      </c>
      <c r="B2450" s="1040" t="str">
        <f>CONCATENATE(LEFT(RIGHT(CONCATENATE("000",IFAData_TEA_1718!A2450),6),3),"-",(RIGHT(RIGHT(CONCATENATE("000",IFAData_TEA_1718!A2450),6),3)))</f>
        <v>245-901</v>
      </c>
      <c r="C2450" t="s">
        <v>2346</v>
      </c>
      <c r="D2450">
        <v>10</v>
      </c>
      <c r="E2450">
        <v>2016</v>
      </c>
      <c r="F2450" t="s">
        <v>5663</v>
      </c>
      <c r="G2450" t="s">
        <v>5663</v>
      </c>
      <c r="H2450">
        <v>108827</v>
      </c>
      <c r="I2450">
        <v>116288</v>
      </c>
      <c r="J2450">
        <v>1</v>
      </c>
      <c r="K2450">
        <v>108827</v>
      </c>
      <c r="L2450">
        <v>108827</v>
      </c>
      <c r="M2450">
        <v>599</v>
      </c>
    </row>
    <row r="2451" spans="1:13" ht="15">
      <c r="A2451" t="s">
        <v>3772</v>
      </c>
      <c r="B2451" s="1040" t="str">
        <f>CONCATENATE(LEFT(RIGHT(CONCATENATE("000",IFAData_TEA_1718!A2451),6),3),"-",(RIGHT(RIGHT(CONCATENATE("000",IFAData_TEA_1718!A2451),6),3)))</f>
        <v>245-902</v>
      </c>
      <c r="C2451" t="s">
        <v>840</v>
      </c>
      <c r="D2451">
        <v>1</v>
      </c>
      <c r="E2451">
        <v>2047</v>
      </c>
      <c r="F2451" t="s">
        <v>5664</v>
      </c>
      <c r="G2451" t="s">
        <v>5664</v>
      </c>
      <c r="H2451">
        <v>412085</v>
      </c>
      <c r="I2451">
        <v>0</v>
      </c>
      <c r="J2451">
        <v>0</v>
      </c>
      <c r="K2451">
        <v>0</v>
      </c>
      <c r="L2451">
        <v>0</v>
      </c>
      <c r="M2451">
        <v>199</v>
      </c>
    </row>
    <row r="2452" spans="1:13" ht="15">
      <c r="A2452" t="s">
        <v>3772</v>
      </c>
      <c r="B2452" s="1040" t="str">
        <f>CONCATENATE(LEFT(RIGHT(CONCATENATE("000",IFAData_TEA_1718!A2452),6),3),"-",(RIGHT(RIGHT(CONCATENATE("000",IFAData_TEA_1718!A2452),6),3)))</f>
        <v>245-902</v>
      </c>
      <c r="C2452" t="s">
        <v>840</v>
      </c>
      <c r="D2452">
        <v>1</v>
      </c>
      <c r="E2452">
        <v>2047</v>
      </c>
      <c r="F2452" t="s">
        <v>5664</v>
      </c>
      <c r="G2452" t="s">
        <v>5665</v>
      </c>
      <c r="H2452">
        <v>412085</v>
      </c>
      <c r="I2452">
        <v>391532</v>
      </c>
      <c r="J2452">
        <v>1</v>
      </c>
      <c r="K2452">
        <v>412085</v>
      </c>
      <c r="L2452">
        <v>391532</v>
      </c>
      <c r="M2452">
        <v>599</v>
      </c>
    </row>
    <row r="2453" spans="1:13" ht="15">
      <c r="A2453" t="s">
        <v>3772</v>
      </c>
      <c r="B2453" s="1040" t="str">
        <f>CONCATENATE(LEFT(RIGHT(CONCATENATE("000",IFAData_TEA_1718!A2453),6),3),"-",(RIGHT(RIGHT(CONCATENATE("000",IFAData_TEA_1718!A2453),6),3)))</f>
        <v>245-902</v>
      </c>
      <c r="C2453" t="s">
        <v>840</v>
      </c>
      <c r="D2453">
        <v>6</v>
      </c>
      <c r="E2453">
        <v>2046</v>
      </c>
      <c r="F2453" t="s">
        <v>5666</v>
      </c>
      <c r="G2453" t="s">
        <v>5666</v>
      </c>
      <c r="H2453">
        <v>342241</v>
      </c>
      <c r="I2453">
        <v>0</v>
      </c>
      <c r="J2453">
        <v>0</v>
      </c>
      <c r="K2453">
        <v>0</v>
      </c>
      <c r="L2453">
        <v>0</v>
      </c>
      <c r="M2453">
        <v>599</v>
      </c>
    </row>
    <row r="2454" spans="1:13" ht="15">
      <c r="A2454" t="s">
        <v>3772</v>
      </c>
      <c r="B2454" s="1040" t="str">
        <f>CONCATENATE(LEFT(RIGHT(CONCATENATE("000",IFAData_TEA_1718!A2454),6),3),"-",(RIGHT(RIGHT(CONCATENATE("000",IFAData_TEA_1718!A2454),6),3)))</f>
        <v>245-902</v>
      </c>
      <c r="C2454" t="s">
        <v>840</v>
      </c>
      <c r="D2454">
        <v>6</v>
      </c>
      <c r="E2454">
        <v>2046</v>
      </c>
      <c r="F2454" t="s">
        <v>5666</v>
      </c>
      <c r="G2454" t="s">
        <v>5667</v>
      </c>
      <c r="H2454">
        <v>342241</v>
      </c>
      <c r="I2454">
        <v>0</v>
      </c>
      <c r="J2454">
        <v>0</v>
      </c>
      <c r="K2454">
        <v>0</v>
      </c>
      <c r="L2454">
        <v>0</v>
      </c>
      <c r="M2454">
        <v>599</v>
      </c>
    </row>
    <row r="2455" spans="1:13" ht="15">
      <c r="A2455" t="s">
        <v>3772</v>
      </c>
      <c r="B2455" s="1040" t="str">
        <f>CONCATENATE(LEFT(RIGHT(CONCATENATE("000",IFAData_TEA_1718!A2455),6),3),"-",(RIGHT(RIGHT(CONCATENATE("000",IFAData_TEA_1718!A2455),6),3)))</f>
        <v>245-902</v>
      </c>
      <c r="C2455" t="s">
        <v>840</v>
      </c>
      <c r="D2455">
        <v>6</v>
      </c>
      <c r="E2455">
        <v>2046</v>
      </c>
      <c r="F2455" t="s">
        <v>5666</v>
      </c>
      <c r="G2455" t="s">
        <v>8521</v>
      </c>
      <c r="H2455">
        <v>342241</v>
      </c>
      <c r="I2455">
        <v>284700</v>
      </c>
      <c r="J2455">
        <v>1</v>
      </c>
      <c r="K2455">
        <v>342241</v>
      </c>
      <c r="L2455">
        <v>284700</v>
      </c>
      <c r="M2455">
        <v>599</v>
      </c>
    </row>
    <row r="2456" spans="1:13" ht="15">
      <c r="A2456" t="s">
        <v>3773</v>
      </c>
      <c r="B2456" s="1040" t="str">
        <f>CONCATENATE(LEFT(RIGHT(CONCATENATE("000",IFAData_TEA_1718!A2456),6),3),"-",(RIGHT(RIGHT(CONCATENATE("000",IFAData_TEA_1718!A2456),6),3)))</f>
        <v>245-903</v>
      </c>
      <c r="C2456" t="s">
        <v>78</v>
      </c>
      <c r="D2456">
        <v>2</v>
      </c>
      <c r="E2456">
        <v>2228</v>
      </c>
      <c r="F2456" t="s">
        <v>5668</v>
      </c>
      <c r="G2456" t="s">
        <v>5668</v>
      </c>
      <c r="H2456">
        <v>679270</v>
      </c>
      <c r="I2456">
        <v>0</v>
      </c>
      <c r="J2456">
        <v>0</v>
      </c>
      <c r="K2456">
        <v>0</v>
      </c>
      <c r="L2456">
        <v>0</v>
      </c>
      <c r="M2456">
        <v>599</v>
      </c>
    </row>
    <row r="2457" spans="1:13" ht="15">
      <c r="A2457" t="s">
        <v>3773</v>
      </c>
      <c r="B2457" s="1040" t="str">
        <f>CONCATENATE(LEFT(RIGHT(CONCATENATE("000",IFAData_TEA_1718!A2457),6),3),"-",(RIGHT(RIGHT(CONCATENATE("000",IFAData_TEA_1718!A2457),6),3)))</f>
        <v>245-903</v>
      </c>
      <c r="C2457" t="s">
        <v>78</v>
      </c>
      <c r="D2457">
        <v>2</v>
      </c>
      <c r="E2457">
        <v>2228</v>
      </c>
      <c r="F2457" t="s">
        <v>5668</v>
      </c>
      <c r="G2457" t="s">
        <v>5669</v>
      </c>
      <c r="H2457">
        <v>679270</v>
      </c>
      <c r="I2457">
        <v>0</v>
      </c>
      <c r="J2457">
        <v>0</v>
      </c>
      <c r="K2457">
        <v>0</v>
      </c>
      <c r="L2457">
        <v>0</v>
      </c>
      <c r="M2457">
        <v>599</v>
      </c>
    </row>
    <row r="2458" spans="1:13" ht="15">
      <c r="A2458" t="s">
        <v>3773</v>
      </c>
      <c r="B2458" s="1040" t="str">
        <f>CONCATENATE(LEFT(RIGHT(CONCATENATE("000",IFAData_TEA_1718!A2458),6),3),"-",(RIGHT(RIGHT(CONCATENATE("000",IFAData_TEA_1718!A2458),6),3)))</f>
        <v>245-903</v>
      </c>
      <c r="C2458" t="s">
        <v>78</v>
      </c>
      <c r="D2458">
        <v>2</v>
      </c>
      <c r="E2458">
        <v>2228</v>
      </c>
      <c r="F2458" t="s">
        <v>5668</v>
      </c>
      <c r="G2458" t="s">
        <v>5670</v>
      </c>
      <c r="H2458">
        <v>679270</v>
      </c>
      <c r="I2458">
        <v>643625</v>
      </c>
      <c r="J2458">
        <v>1</v>
      </c>
      <c r="K2458">
        <v>679270</v>
      </c>
      <c r="L2458">
        <v>643625</v>
      </c>
      <c r="M2458">
        <v>599</v>
      </c>
    </row>
    <row r="2459" spans="1:13" ht="15">
      <c r="A2459" t="s">
        <v>3773</v>
      </c>
      <c r="B2459" s="1040" t="str">
        <f>CONCATENATE(LEFT(RIGHT(CONCATENATE("000",IFAData_TEA_1718!A2459),6),3),"-",(RIGHT(RIGHT(CONCATENATE("000",IFAData_TEA_1718!A2459),6),3)))</f>
        <v>245-903</v>
      </c>
      <c r="C2459" t="s">
        <v>78</v>
      </c>
      <c r="D2459">
        <v>2</v>
      </c>
      <c r="E2459">
        <v>2228</v>
      </c>
      <c r="F2459" t="s">
        <v>5668</v>
      </c>
      <c r="G2459" t="s">
        <v>6356</v>
      </c>
      <c r="H2459">
        <v>679270</v>
      </c>
      <c r="I2459">
        <v>0</v>
      </c>
      <c r="J2459">
        <v>0</v>
      </c>
      <c r="K2459">
        <v>0</v>
      </c>
      <c r="L2459">
        <v>0</v>
      </c>
      <c r="M2459">
        <v>599</v>
      </c>
    </row>
    <row r="2460" spans="1:13" ht="15">
      <c r="A2460" t="s">
        <v>3773</v>
      </c>
      <c r="B2460" s="1040" t="str">
        <f>CONCATENATE(LEFT(RIGHT(CONCATENATE("000",IFAData_TEA_1718!A2460),6),3),"-",(RIGHT(RIGHT(CONCATENATE("000",IFAData_TEA_1718!A2460),6),3)))</f>
        <v>245-903</v>
      </c>
      <c r="C2460" t="s">
        <v>78</v>
      </c>
      <c r="D2460">
        <v>3</v>
      </c>
      <c r="E2460">
        <v>2226</v>
      </c>
      <c r="F2460" t="s">
        <v>5671</v>
      </c>
      <c r="G2460" t="s">
        <v>5671</v>
      </c>
      <c r="H2460">
        <v>415048</v>
      </c>
      <c r="I2460">
        <v>0</v>
      </c>
      <c r="J2460">
        <v>0</v>
      </c>
      <c r="K2460">
        <v>0</v>
      </c>
      <c r="L2460">
        <v>0</v>
      </c>
      <c r="M2460">
        <v>599</v>
      </c>
    </row>
    <row r="2461" spans="1:13" ht="15">
      <c r="A2461" t="s">
        <v>3773</v>
      </c>
      <c r="B2461" s="1040" t="str">
        <f>CONCATENATE(LEFT(RIGHT(CONCATENATE("000",IFAData_TEA_1718!A2461),6),3),"-",(RIGHT(RIGHT(CONCATENATE("000",IFAData_TEA_1718!A2461),6),3)))</f>
        <v>245-903</v>
      </c>
      <c r="C2461" t="s">
        <v>78</v>
      </c>
      <c r="D2461">
        <v>3</v>
      </c>
      <c r="E2461">
        <v>2226</v>
      </c>
      <c r="F2461" t="s">
        <v>5671</v>
      </c>
      <c r="G2461" t="s">
        <v>5669</v>
      </c>
      <c r="H2461">
        <v>415048</v>
      </c>
      <c r="I2461">
        <v>0</v>
      </c>
      <c r="J2461">
        <v>0</v>
      </c>
      <c r="K2461">
        <v>0</v>
      </c>
      <c r="L2461">
        <v>0</v>
      </c>
      <c r="M2461">
        <v>599</v>
      </c>
    </row>
    <row r="2462" spans="1:13" ht="15">
      <c r="A2462" t="s">
        <v>3773</v>
      </c>
      <c r="B2462" s="1040" t="str">
        <f>CONCATENATE(LEFT(RIGHT(CONCATENATE("000",IFAData_TEA_1718!A2462),6),3),"-",(RIGHT(RIGHT(CONCATENATE("000",IFAData_TEA_1718!A2462),6),3)))</f>
        <v>245-903</v>
      </c>
      <c r="C2462" t="s">
        <v>78</v>
      </c>
      <c r="D2462">
        <v>3</v>
      </c>
      <c r="E2462">
        <v>2226</v>
      </c>
      <c r="F2462" t="s">
        <v>5671</v>
      </c>
      <c r="G2462" t="s">
        <v>6356</v>
      </c>
      <c r="H2462">
        <v>415048</v>
      </c>
      <c r="I2462">
        <v>351188</v>
      </c>
      <c r="J2462">
        <v>1</v>
      </c>
      <c r="K2462">
        <v>415048</v>
      </c>
      <c r="L2462">
        <v>351188</v>
      </c>
      <c r="M2462">
        <v>599</v>
      </c>
    </row>
    <row r="2463" spans="1:13" ht="15">
      <c r="A2463" t="s">
        <v>3773</v>
      </c>
      <c r="B2463" s="1040" t="str">
        <f>CONCATENATE(LEFT(RIGHT(CONCATENATE("000",IFAData_TEA_1718!A2463),6),3),"-",(RIGHT(RIGHT(CONCATENATE("000",IFAData_TEA_1718!A2463),6),3)))</f>
        <v>245-903</v>
      </c>
      <c r="C2463" t="s">
        <v>78</v>
      </c>
      <c r="D2463">
        <v>5</v>
      </c>
      <c r="E2463">
        <v>2225</v>
      </c>
      <c r="F2463" t="s">
        <v>5672</v>
      </c>
      <c r="G2463" t="s">
        <v>5672</v>
      </c>
      <c r="H2463">
        <v>198867</v>
      </c>
      <c r="I2463">
        <v>0</v>
      </c>
      <c r="J2463">
        <v>0</v>
      </c>
      <c r="K2463">
        <v>0</v>
      </c>
      <c r="L2463">
        <v>0</v>
      </c>
      <c r="M2463">
        <v>599</v>
      </c>
    </row>
    <row r="2464" spans="1:13" ht="15">
      <c r="A2464" t="s">
        <v>3773</v>
      </c>
      <c r="B2464" s="1040" t="str">
        <f>CONCATENATE(LEFT(RIGHT(CONCATENATE("000",IFAData_TEA_1718!A2464),6),3),"-",(RIGHT(RIGHT(CONCATENATE("000",IFAData_TEA_1718!A2464),6),3)))</f>
        <v>245-903</v>
      </c>
      <c r="C2464" t="s">
        <v>78</v>
      </c>
      <c r="D2464">
        <v>5</v>
      </c>
      <c r="E2464">
        <v>2225</v>
      </c>
      <c r="F2464" t="s">
        <v>5672</v>
      </c>
      <c r="G2464" t="s">
        <v>5669</v>
      </c>
      <c r="H2464">
        <v>198867</v>
      </c>
      <c r="I2464">
        <v>0</v>
      </c>
      <c r="J2464">
        <v>0</v>
      </c>
      <c r="K2464">
        <v>0</v>
      </c>
      <c r="L2464">
        <v>0</v>
      </c>
      <c r="M2464">
        <v>599</v>
      </c>
    </row>
    <row r="2465" spans="1:13" ht="15">
      <c r="A2465" t="s">
        <v>3773</v>
      </c>
      <c r="B2465" s="1040" t="str">
        <f>CONCATENATE(LEFT(RIGHT(CONCATENATE("000",IFAData_TEA_1718!A2465),6),3),"-",(RIGHT(RIGHT(CONCATENATE("000",IFAData_TEA_1718!A2465),6),3)))</f>
        <v>245-903</v>
      </c>
      <c r="C2465" t="s">
        <v>78</v>
      </c>
      <c r="D2465">
        <v>5</v>
      </c>
      <c r="E2465">
        <v>2225</v>
      </c>
      <c r="F2465" t="s">
        <v>5672</v>
      </c>
      <c r="G2465" t="s">
        <v>5673</v>
      </c>
      <c r="H2465">
        <v>198867</v>
      </c>
      <c r="I2465">
        <v>46200</v>
      </c>
      <c r="J2465">
        <v>0.29148264984227101</v>
      </c>
      <c r="K2465">
        <v>57966.280126183003</v>
      </c>
      <c r="L2465">
        <v>46200</v>
      </c>
      <c r="M2465">
        <v>599</v>
      </c>
    </row>
    <row r="2466" spans="1:13" ht="15">
      <c r="A2466" t="s">
        <v>3773</v>
      </c>
      <c r="B2466" s="1040" t="str">
        <f>CONCATENATE(LEFT(RIGHT(CONCATENATE("000",IFAData_TEA_1718!A2466),6),3),"-",(RIGHT(RIGHT(CONCATENATE("000",IFAData_TEA_1718!A2466),6),3)))</f>
        <v>245-903</v>
      </c>
      <c r="C2466" t="s">
        <v>78</v>
      </c>
      <c r="D2466">
        <v>5</v>
      </c>
      <c r="E2466">
        <v>2225</v>
      </c>
      <c r="F2466" t="s">
        <v>5672</v>
      </c>
      <c r="G2466" t="s">
        <v>6356</v>
      </c>
      <c r="H2466">
        <v>198867</v>
      </c>
      <c r="I2466">
        <v>112300</v>
      </c>
      <c r="J2466">
        <v>0.70851735015772899</v>
      </c>
      <c r="K2466">
        <v>140900.719873817</v>
      </c>
      <c r="L2466">
        <v>112300</v>
      </c>
      <c r="M2466">
        <v>599</v>
      </c>
    </row>
    <row r="2467" spans="1:13" ht="15">
      <c r="A2467" t="s">
        <v>3773</v>
      </c>
      <c r="B2467" s="1040" t="str">
        <f>CONCATENATE(LEFT(RIGHT(CONCATENATE("000",IFAData_TEA_1718!A2467),6),3),"-",(RIGHT(RIGHT(CONCATENATE("000",IFAData_TEA_1718!A2467),6),3)))</f>
        <v>245-903</v>
      </c>
      <c r="C2467" t="s">
        <v>78</v>
      </c>
      <c r="D2467">
        <v>9</v>
      </c>
      <c r="E2467">
        <v>2227</v>
      </c>
      <c r="F2467" t="s">
        <v>5674</v>
      </c>
      <c r="G2467" t="s">
        <v>5674</v>
      </c>
      <c r="H2467">
        <v>540475</v>
      </c>
      <c r="I2467">
        <v>249900</v>
      </c>
      <c r="J2467">
        <v>0.47356452529846499</v>
      </c>
      <c r="K2467">
        <v>255949.78681068801</v>
      </c>
      <c r="L2467">
        <v>249900</v>
      </c>
      <c r="M2467">
        <v>599</v>
      </c>
    </row>
    <row r="2468" spans="1:13" ht="15">
      <c r="A2468" t="s">
        <v>3773</v>
      </c>
      <c r="B2468" s="1040" t="str">
        <f>CONCATENATE(LEFT(RIGHT(CONCATENATE("000",IFAData_TEA_1718!A2468),6),3),"-",(RIGHT(RIGHT(CONCATENATE("000",IFAData_TEA_1718!A2468),6),3)))</f>
        <v>245-903</v>
      </c>
      <c r="C2468" t="s">
        <v>78</v>
      </c>
      <c r="D2468">
        <v>9</v>
      </c>
      <c r="E2468">
        <v>2227</v>
      </c>
      <c r="F2468" t="s">
        <v>5674</v>
      </c>
      <c r="G2468" t="s">
        <v>6557</v>
      </c>
      <c r="H2468">
        <v>540475</v>
      </c>
      <c r="I2468">
        <v>277800</v>
      </c>
      <c r="J2468">
        <v>0.52643547470153496</v>
      </c>
      <c r="K2468">
        <v>284525.21318931202</v>
      </c>
      <c r="L2468">
        <v>277800</v>
      </c>
      <c r="M2468">
        <v>599</v>
      </c>
    </row>
    <row r="2469" spans="1:13" ht="15">
      <c r="A2469" t="s">
        <v>3774</v>
      </c>
      <c r="B2469" s="1040" t="str">
        <f>CONCATENATE(LEFT(RIGHT(CONCATENATE("000",IFAData_TEA_1718!A2469),6),3),"-",(RIGHT(RIGHT(CONCATENATE("000",IFAData_TEA_1718!A2469),6),3)))</f>
        <v>245-904</v>
      </c>
      <c r="C2469" t="s">
        <v>534</v>
      </c>
      <c r="D2469">
        <v>6</v>
      </c>
      <c r="E2469">
        <v>2300</v>
      </c>
      <c r="F2469" t="s">
        <v>5675</v>
      </c>
      <c r="G2469" t="s">
        <v>5675</v>
      </c>
      <c r="H2469">
        <v>99319</v>
      </c>
      <c r="I2469">
        <v>0</v>
      </c>
      <c r="J2469">
        <v>0</v>
      </c>
      <c r="K2469">
        <v>0</v>
      </c>
      <c r="L2469">
        <v>0</v>
      </c>
      <c r="M2469">
        <v>599</v>
      </c>
    </row>
    <row r="2470" spans="1:13" ht="15">
      <c r="A2470" t="s">
        <v>3774</v>
      </c>
      <c r="B2470" s="1040" t="str">
        <f>CONCATENATE(LEFT(RIGHT(CONCATENATE("000",IFAData_TEA_1718!A2470),6),3),"-",(RIGHT(RIGHT(CONCATENATE("000",IFAData_TEA_1718!A2470),6),3)))</f>
        <v>245-904</v>
      </c>
      <c r="C2470" t="s">
        <v>534</v>
      </c>
      <c r="D2470">
        <v>6</v>
      </c>
      <c r="E2470">
        <v>2300</v>
      </c>
      <c r="F2470" t="s">
        <v>5675</v>
      </c>
      <c r="G2470" t="s">
        <v>5676</v>
      </c>
      <c r="H2470">
        <v>99319</v>
      </c>
      <c r="I2470">
        <v>86400</v>
      </c>
      <c r="J2470">
        <v>1</v>
      </c>
      <c r="K2470">
        <v>99319</v>
      </c>
      <c r="L2470">
        <v>86400</v>
      </c>
      <c r="M2470">
        <v>599</v>
      </c>
    </row>
    <row r="2471" spans="1:13" ht="15">
      <c r="A2471" t="s">
        <v>3774</v>
      </c>
      <c r="B2471" s="1040" t="str">
        <f>CONCATENATE(LEFT(RIGHT(CONCATENATE("000",IFAData_TEA_1718!A2471),6),3),"-",(RIGHT(RIGHT(CONCATENATE("000",IFAData_TEA_1718!A2471),6),3)))</f>
        <v>245-904</v>
      </c>
      <c r="C2471" t="s">
        <v>534</v>
      </c>
      <c r="D2471">
        <v>9</v>
      </c>
      <c r="E2471">
        <v>2301</v>
      </c>
      <c r="F2471" t="s">
        <v>5677</v>
      </c>
      <c r="G2471" t="s">
        <v>5677</v>
      </c>
      <c r="H2471">
        <v>100000</v>
      </c>
      <c r="I2471">
        <v>0</v>
      </c>
      <c r="J2471">
        <v>0</v>
      </c>
      <c r="K2471">
        <v>0</v>
      </c>
      <c r="L2471">
        <v>0</v>
      </c>
      <c r="M2471">
        <v>599</v>
      </c>
    </row>
    <row r="2472" spans="1:13" ht="15">
      <c r="A2472" t="s">
        <v>3774</v>
      </c>
      <c r="B2472" s="1040" t="str">
        <f>CONCATENATE(LEFT(RIGHT(CONCATENATE("000",IFAData_TEA_1718!A2472),6),3),"-",(RIGHT(RIGHT(CONCATENATE("000",IFAData_TEA_1718!A2472),6),3)))</f>
        <v>245-904</v>
      </c>
      <c r="C2472" t="s">
        <v>534</v>
      </c>
      <c r="D2472">
        <v>9</v>
      </c>
      <c r="E2472">
        <v>2301</v>
      </c>
      <c r="F2472" t="s">
        <v>5677</v>
      </c>
      <c r="G2472" t="s">
        <v>6558</v>
      </c>
      <c r="H2472">
        <v>100000</v>
      </c>
      <c r="I2472">
        <v>145561</v>
      </c>
      <c r="J2472">
        <v>1</v>
      </c>
      <c r="K2472">
        <v>100000</v>
      </c>
      <c r="L2472">
        <v>100000</v>
      </c>
      <c r="M2472">
        <v>599</v>
      </c>
    </row>
    <row r="2473" spans="1:13" ht="15">
      <c r="A2473" t="s">
        <v>3774</v>
      </c>
      <c r="B2473" s="1040" t="str">
        <f>CONCATENATE(LEFT(RIGHT(CONCATENATE("000",IFAData_TEA_1718!A2473),6),3),"-",(RIGHT(RIGHT(CONCATENATE("000",IFAData_TEA_1718!A2473),6),3)))</f>
        <v>245-904</v>
      </c>
      <c r="C2473" t="s">
        <v>534</v>
      </c>
      <c r="D2473">
        <v>11</v>
      </c>
      <c r="E2473">
        <v>2502</v>
      </c>
      <c r="F2473" t="s">
        <v>8522</v>
      </c>
      <c r="G2473" t="s">
        <v>8522</v>
      </c>
      <c r="H2473">
        <v>100000</v>
      </c>
      <c r="I2473">
        <v>155400</v>
      </c>
      <c r="J2473">
        <v>1</v>
      </c>
      <c r="K2473">
        <v>100000</v>
      </c>
      <c r="L2473">
        <v>100000</v>
      </c>
      <c r="M2473">
        <v>599</v>
      </c>
    </row>
    <row r="2474" spans="1:13" ht="15">
      <c r="A2474" t="s">
        <v>3775</v>
      </c>
      <c r="B2474" s="1040" t="str">
        <f>CONCATENATE(LEFT(RIGHT(CONCATENATE("000",IFAData_TEA_1718!A2474),6),3),"-",(RIGHT(RIGHT(CONCATENATE("000",IFAData_TEA_1718!A2474),6),3)))</f>
        <v>246-902</v>
      </c>
      <c r="C2474" t="s">
        <v>109</v>
      </c>
      <c r="D2474">
        <v>2</v>
      </c>
      <c r="E2474">
        <v>1813</v>
      </c>
      <c r="F2474" t="s">
        <v>5678</v>
      </c>
      <c r="G2474" t="s">
        <v>5678</v>
      </c>
      <c r="H2474">
        <v>231000</v>
      </c>
      <c r="I2474">
        <v>0</v>
      </c>
      <c r="J2474">
        <v>0</v>
      </c>
      <c r="K2474">
        <v>0</v>
      </c>
      <c r="L2474">
        <v>0</v>
      </c>
      <c r="M2474">
        <v>599</v>
      </c>
    </row>
    <row r="2475" spans="1:13" ht="15">
      <c r="A2475" t="s">
        <v>3775</v>
      </c>
      <c r="B2475" s="1040" t="str">
        <f>CONCATENATE(LEFT(RIGHT(CONCATENATE("000",IFAData_TEA_1718!A2475),6),3),"-",(RIGHT(RIGHT(CONCATENATE("000",IFAData_TEA_1718!A2475),6),3)))</f>
        <v>246-902</v>
      </c>
      <c r="C2475" t="s">
        <v>109</v>
      </c>
      <c r="D2475">
        <v>2</v>
      </c>
      <c r="E2475">
        <v>1813</v>
      </c>
      <c r="F2475" t="s">
        <v>5678</v>
      </c>
      <c r="G2475" t="s">
        <v>5679</v>
      </c>
      <c r="H2475">
        <v>231000</v>
      </c>
      <c r="I2475">
        <v>476576</v>
      </c>
      <c r="J2475">
        <v>1</v>
      </c>
      <c r="K2475">
        <v>231000</v>
      </c>
      <c r="L2475">
        <v>231000</v>
      </c>
      <c r="M2475">
        <v>599</v>
      </c>
    </row>
    <row r="2476" spans="1:13" ht="15">
      <c r="A2476" t="s">
        <v>3777</v>
      </c>
      <c r="B2476" s="1040" t="str">
        <f>CONCATENATE(LEFT(RIGHT(CONCATENATE("000",IFAData_TEA_1718!A2476),6),3),"-",(RIGHT(RIGHT(CONCATENATE("000",IFAData_TEA_1718!A2476),6),3)))</f>
        <v>246-905</v>
      </c>
      <c r="C2476" t="s">
        <v>1018</v>
      </c>
      <c r="D2476">
        <v>2</v>
      </c>
      <c r="E2476">
        <v>1859</v>
      </c>
      <c r="F2476" t="s">
        <v>5680</v>
      </c>
      <c r="G2476" t="s">
        <v>5680</v>
      </c>
      <c r="H2476">
        <v>99992</v>
      </c>
      <c r="I2476">
        <v>0</v>
      </c>
      <c r="J2476">
        <v>0</v>
      </c>
      <c r="K2476">
        <v>0</v>
      </c>
      <c r="L2476">
        <v>0</v>
      </c>
      <c r="M2476">
        <v>599</v>
      </c>
    </row>
    <row r="2477" spans="1:13" ht="15">
      <c r="A2477" t="s">
        <v>3777</v>
      </c>
      <c r="B2477" s="1040" t="str">
        <f>CONCATENATE(LEFT(RIGHT(CONCATENATE("000",IFAData_TEA_1718!A2477),6),3),"-",(RIGHT(RIGHT(CONCATENATE("000",IFAData_TEA_1718!A2477),6),3)))</f>
        <v>246-905</v>
      </c>
      <c r="C2477" t="s">
        <v>1018</v>
      </c>
      <c r="D2477">
        <v>2</v>
      </c>
      <c r="E2477">
        <v>1859</v>
      </c>
      <c r="F2477" t="s">
        <v>5680</v>
      </c>
      <c r="G2477" t="s">
        <v>5681</v>
      </c>
      <c r="H2477">
        <v>99992</v>
      </c>
      <c r="I2477">
        <v>65783</v>
      </c>
      <c r="J2477">
        <v>1</v>
      </c>
      <c r="K2477">
        <v>99992</v>
      </c>
      <c r="L2477">
        <v>65783</v>
      </c>
      <c r="M2477">
        <v>599</v>
      </c>
    </row>
    <row r="2478" spans="1:13" ht="15">
      <c r="A2478" t="s">
        <v>3778</v>
      </c>
      <c r="B2478" s="1040" t="str">
        <f>CONCATENATE(LEFT(RIGHT(CONCATENATE("000",IFAData_TEA_1718!A2478),6),3),"-",(RIGHT(RIGHT(CONCATENATE("000",IFAData_TEA_1718!A2478),6),3)))</f>
        <v>246-906</v>
      </c>
      <c r="C2478" t="s">
        <v>1268</v>
      </c>
      <c r="D2478">
        <v>3</v>
      </c>
      <c r="E2478">
        <v>1921</v>
      </c>
      <c r="F2478" t="s">
        <v>5682</v>
      </c>
      <c r="G2478" t="s">
        <v>5682</v>
      </c>
      <c r="H2478">
        <v>502075</v>
      </c>
      <c r="I2478">
        <v>975280</v>
      </c>
      <c r="J2478">
        <v>0.95090358655857099</v>
      </c>
      <c r="K2478">
        <v>477424.918221395</v>
      </c>
      <c r="L2478">
        <v>477424.918221395</v>
      </c>
      <c r="M2478">
        <v>599</v>
      </c>
    </row>
    <row r="2479" spans="1:13" ht="15">
      <c r="A2479" t="s">
        <v>3778</v>
      </c>
      <c r="B2479" s="1040" t="str">
        <f>CONCATENATE(LEFT(RIGHT(CONCATENATE("000",IFAData_TEA_1718!A2479),6),3),"-",(RIGHT(RIGHT(CONCATENATE("000",IFAData_TEA_1718!A2479),6),3)))</f>
        <v>246-906</v>
      </c>
      <c r="C2479" t="s">
        <v>1268</v>
      </c>
      <c r="D2479">
        <v>3</v>
      </c>
      <c r="E2479">
        <v>1921</v>
      </c>
      <c r="F2479" t="s">
        <v>5682</v>
      </c>
      <c r="G2479" t="s">
        <v>5683</v>
      </c>
      <c r="H2479">
        <v>502075</v>
      </c>
      <c r="I2479">
        <v>0</v>
      </c>
      <c r="J2479">
        <v>0</v>
      </c>
      <c r="K2479">
        <v>0</v>
      </c>
      <c r="L2479">
        <v>0</v>
      </c>
      <c r="M2479">
        <v>599</v>
      </c>
    </row>
    <row r="2480" spans="1:13" ht="15">
      <c r="A2480" t="s">
        <v>3778</v>
      </c>
      <c r="B2480" s="1040" t="str">
        <f>CONCATENATE(LEFT(RIGHT(CONCATENATE("000",IFAData_TEA_1718!A2480),6),3),"-",(RIGHT(RIGHT(CONCATENATE("000",IFAData_TEA_1718!A2480),6),3)))</f>
        <v>246-906</v>
      </c>
      <c r="C2480" t="s">
        <v>1268</v>
      </c>
      <c r="D2480">
        <v>3</v>
      </c>
      <c r="E2480">
        <v>1921</v>
      </c>
      <c r="F2480" t="s">
        <v>5682</v>
      </c>
      <c r="G2480" t="s">
        <v>5684</v>
      </c>
      <c r="H2480">
        <v>502075</v>
      </c>
      <c r="I2480">
        <v>50355</v>
      </c>
      <c r="J2480">
        <v>4.9096413441429003E-2</v>
      </c>
      <c r="K2480">
        <v>24650.081778605501</v>
      </c>
      <c r="L2480">
        <v>24650.081778605501</v>
      </c>
      <c r="M2480">
        <v>599</v>
      </c>
    </row>
    <row r="2481" spans="1:13" ht="15">
      <c r="A2481" t="s">
        <v>3778</v>
      </c>
      <c r="B2481" s="1040" t="str">
        <f>CONCATENATE(LEFT(RIGHT(CONCATENATE("000",IFAData_TEA_1718!A2481),6),3),"-",(RIGHT(RIGHT(CONCATENATE("000",IFAData_TEA_1718!A2481),6),3)))</f>
        <v>246-906</v>
      </c>
      <c r="C2481" t="s">
        <v>1268</v>
      </c>
      <c r="D2481">
        <v>9</v>
      </c>
      <c r="E2481">
        <v>1922</v>
      </c>
      <c r="F2481" t="s">
        <v>5685</v>
      </c>
      <c r="G2481" t="s">
        <v>5685</v>
      </c>
      <c r="H2481">
        <v>1273250</v>
      </c>
      <c r="I2481">
        <v>0</v>
      </c>
      <c r="J2481">
        <v>0</v>
      </c>
      <c r="K2481">
        <v>0</v>
      </c>
      <c r="L2481">
        <v>0</v>
      </c>
      <c r="M2481">
        <v>599</v>
      </c>
    </row>
    <row r="2482" spans="1:13" ht="15">
      <c r="A2482" t="s">
        <v>3778</v>
      </c>
      <c r="B2482" s="1040" t="str">
        <f>CONCATENATE(LEFT(RIGHT(CONCATENATE("000",IFAData_TEA_1718!A2482),6),3),"-",(RIGHT(RIGHT(CONCATENATE("000",IFAData_TEA_1718!A2482),6),3)))</f>
        <v>246-906</v>
      </c>
      <c r="C2482" t="s">
        <v>1268</v>
      </c>
      <c r="D2482">
        <v>9</v>
      </c>
      <c r="E2482">
        <v>1922</v>
      </c>
      <c r="F2482" t="s">
        <v>5685</v>
      </c>
      <c r="G2482" t="s">
        <v>5686</v>
      </c>
      <c r="H2482">
        <v>1273250</v>
      </c>
      <c r="I2482">
        <v>25335</v>
      </c>
      <c r="J2482">
        <v>1.8658186587757499E-2</v>
      </c>
      <c r="K2482">
        <v>23756.536072862302</v>
      </c>
      <c r="L2482">
        <v>23756.536072862302</v>
      </c>
      <c r="M2482">
        <v>599</v>
      </c>
    </row>
    <row r="2483" spans="1:13" ht="15">
      <c r="A2483" t="s">
        <v>3778</v>
      </c>
      <c r="B2483" s="1040" t="str">
        <f>CONCATENATE(LEFT(RIGHT(CONCATENATE("000",IFAData_TEA_1718!A2483),6),3),"-",(RIGHT(RIGHT(CONCATENATE("000",IFAData_TEA_1718!A2483),6),3)))</f>
        <v>246-906</v>
      </c>
      <c r="C2483" t="s">
        <v>1268</v>
      </c>
      <c r="D2483">
        <v>9</v>
      </c>
      <c r="E2483">
        <v>1922</v>
      </c>
      <c r="F2483" t="s">
        <v>5685</v>
      </c>
      <c r="G2483" t="s">
        <v>6357</v>
      </c>
      <c r="H2483">
        <v>1273250</v>
      </c>
      <c r="I2483">
        <v>1114176</v>
      </c>
      <c r="J2483">
        <v>0.82054484703380104</v>
      </c>
      <c r="K2483">
        <v>1044758.72648579</v>
      </c>
      <c r="L2483">
        <v>1044758.72648579</v>
      </c>
      <c r="M2483">
        <v>599</v>
      </c>
    </row>
    <row r="2484" spans="1:13" ht="15">
      <c r="A2484" t="s">
        <v>3778</v>
      </c>
      <c r="B2484" s="1040" t="str">
        <f>CONCATENATE(LEFT(RIGHT(CONCATENATE("000",IFAData_TEA_1718!A2484),6),3),"-",(RIGHT(RIGHT(CONCATENATE("000",IFAData_TEA_1718!A2484),6),3)))</f>
        <v>246-906</v>
      </c>
      <c r="C2484" t="s">
        <v>1268</v>
      </c>
      <c r="D2484">
        <v>9</v>
      </c>
      <c r="E2484">
        <v>1922</v>
      </c>
      <c r="F2484" t="s">
        <v>5685</v>
      </c>
      <c r="G2484" t="s">
        <v>6559</v>
      </c>
      <c r="H2484">
        <v>1273250</v>
      </c>
      <c r="I2484">
        <v>218338</v>
      </c>
      <c r="J2484">
        <v>0.16079696637844099</v>
      </c>
      <c r="K2484">
        <v>204734.73744135001</v>
      </c>
      <c r="L2484">
        <v>204734.73744135001</v>
      </c>
      <c r="M2484">
        <v>599</v>
      </c>
    </row>
    <row r="2485" spans="1:13" ht="15">
      <c r="A2485" t="s">
        <v>3779</v>
      </c>
      <c r="B2485" s="1040" t="str">
        <f>CONCATENATE(LEFT(RIGHT(CONCATENATE("000",IFAData_TEA_1718!A2485),6),3),"-",(RIGHT(RIGHT(CONCATENATE("000",IFAData_TEA_1718!A2485),6),3)))</f>
        <v>246-908</v>
      </c>
      <c r="C2485" t="s">
        <v>2467</v>
      </c>
      <c r="D2485">
        <v>1</v>
      </c>
      <c r="E2485">
        <v>2020</v>
      </c>
      <c r="F2485" t="s">
        <v>5687</v>
      </c>
      <c r="G2485" t="s">
        <v>5687</v>
      </c>
      <c r="H2485">
        <v>293067</v>
      </c>
      <c r="I2485">
        <v>0</v>
      </c>
      <c r="J2485">
        <v>0</v>
      </c>
      <c r="K2485">
        <v>0</v>
      </c>
      <c r="L2485">
        <v>0</v>
      </c>
      <c r="M2485">
        <v>599</v>
      </c>
    </row>
    <row r="2486" spans="1:13" ht="15">
      <c r="A2486" t="s">
        <v>3779</v>
      </c>
      <c r="B2486" s="1040" t="str">
        <f>CONCATENATE(LEFT(RIGHT(CONCATENATE("000",IFAData_TEA_1718!A2486),6),3),"-",(RIGHT(RIGHT(CONCATENATE("000",IFAData_TEA_1718!A2486),6),3)))</f>
        <v>246-908</v>
      </c>
      <c r="C2486" t="s">
        <v>2467</v>
      </c>
      <c r="D2486">
        <v>1</v>
      </c>
      <c r="E2486">
        <v>2020</v>
      </c>
      <c r="F2486" t="s">
        <v>5687</v>
      </c>
      <c r="G2486" t="s">
        <v>5688</v>
      </c>
      <c r="H2486">
        <v>293067</v>
      </c>
      <c r="I2486">
        <v>0</v>
      </c>
      <c r="J2486">
        <v>0</v>
      </c>
      <c r="K2486">
        <v>0</v>
      </c>
      <c r="L2486">
        <v>0</v>
      </c>
      <c r="M2486">
        <v>599</v>
      </c>
    </row>
    <row r="2487" spans="1:13" ht="15">
      <c r="A2487" t="s">
        <v>3779</v>
      </c>
      <c r="B2487" s="1040" t="str">
        <f>CONCATENATE(LEFT(RIGHT(CONCATENATE("000",IFAData_TEA_1718!A2487),6),3),"-",(RIGHT(RIGHT(CONCATENATE("000",IFAData_TEA_1718!A2487),6),3)))</f>
        <v>246-908</v>
      </c>
      <c r="C2487" t="s">
        <v>2467</v>
      </c>
      <c r="D2487">
        <v>1</v>
      </c>
      <c r="E2487">
        <v>2020</v>
      </c>
      <c r="F2487" t="s">
        <v>5687</v>
      </c>
      <c r="G2487" t="s">
        <v>5689</v>
      </c>
      <c r="H2487">
        <v>293067</v>
      </c>
      <c r="I2487">
        <v>132290</v>
      </c>
      <c r="J2487">
        <v>0.140987520115953</v>
      </c>
      <c r="K2487">
        <v>41318.789557821998</v>
      </c>
      <c r="L2487">
        <v>41318.789557821998</v>
      </c>
      <c r="M2487">
        <v>599</v>
      </c>
    </row>
    <row r="2488" spans="1:13" ht="15">
      <c r="A2488" t="s">
        <v>3779</v>
      </c>
      <c r="B2488" s="1040" t="str">
        <f>CONCATENATE(LEFT(RIGHT(CONCATENATE("000",IFAData_TEA_1718!A2488),6),3),"-",(RIGHT(RIGHT(CONCATENATE("000",IFAData_TEA_1718!A2488),6),3)))</f>
        <v>246-908</v>
      </c>
      <c r="C2488" t="s">
        <v>2467</v>
      </c>
      <c r="D2488">
        <v>1</v>
      </c>
      <c r="E2488">
        <v>2020</v>
      </c>
      <c r="F2488" t="s">
        <v>5687</v>
      </c>
      <c r="G2488" t="s">
        <v>5690</v>
      </c>
      <c r="H2488">
        <v>293067</v>
      </c>
      <c r="I2488">
        <v>805521</v>
      </c>
      <c r="J2488">
        <v>0.85848067269878803</v>
      </c>
      <c r="K2488">
        <v>251592.35530581599</v>
      </c>
      <c r="L2488">
        <v>251592.35530581599</v>
      </c>
      <c r="M2488">
        <v>599</v>
      </c>
    </row>
    <row r="2489" spans="1:13" ht="15">
      <c r="A2489" t="s">
        <v>3779</v>
      </c>
      <c r="B2489" s="1040" t="str">
        <f>CONCATENATE(LEFT(RIGHT(CONCATENATE("000",IFAData_TEA_1718!A2489),6),3),"-",(RIGHT(RIGHT(CONCATENATE("000",IFAData_TEA_1718!A2489),6),3)))</f>
        <v>246-908</v>
      </c>
      <c r="C2489" t="s">
        <v>2467</v>
      </c>
      <c r="D2489">
        <v>1</v>
      </c>
      <c r="E2489">
        <v>2020</v>
      </c>
      <c r="F2489" t="s">
        <v>5687</v>
      </c>
      <c r="G2489" t="s">
        <v>6358</v>
      </c>
      <c r="H2489">
        <v>293067</v>
      </c>
      <c r="I2489">
        <v>499</v>
      </c>
      <c r="J2489">
        <v>5.3180718525860297E-4</v>
      </c>
      <c r="K2489">
        <v>155.855136362183</v>
      </c>
      <c r="L2489">
        <v>155.855136362183</v>
      </c>
      <c r="M2489">
        <v>599</v>
      </c>
    </row>
    <row r="2490" spans="1:13" ht="15">
      <c r="A2490" t="s">
        <v>5691</v>
      </c>
      <c r="B2490" s="1040" t="str">
        <f>CONCATENATE(LEFT(RIGHT(CONCATENATE("000",IFAData_TEA_1718!A2490),6),3),"-",(RIGHT(RIGHT(CONCATENATE("000",IFAData_TEA_1718!A2490),6),3)))</f>
        <v>246-909</v>
      </c>
      <c r="C2490" t="s">
        <v>611</v>
      </c>
      <c r="D2490">
        <v>2</v>
      </c>
      <c r="E2490">
        <v>2266</v>
      </c>
      <c r="F2490" t="s">
        <v>5692</v>
      </c>
      <c r="G2490" t="s">
        <v>5692</v>
      </c>
      <c r="H2490">
        <v>4872062</v>
      </c>
      <c r="I2490">
        <v>0</v>
      </c>
      <c r="J2490">
        <v>0</v>
      </c>
      <c r="K2490"/>
      <c r="L2490">
        <v>0</v>
      </c>
      <c r="M2490">
        <v>599</v>
      </c>
    </row>
    <row r="2491" spans="1:13" ht="15">
      <c r="A2491" t="s">
        <v>3780</v>
      </c>
      <c r="B2491" s="1040" t="str">
        <f>CONCATENATE(LEFT(RIGHT(CONCATENATE("000",IFAData_TEA_1718!A2491),6),3),"-",(RIGHT(RIGHT(CONCATENATE("000",IFAData_TEA_1718!A2491),6),3)))</f>
        <v>246-911</v>
      </c>
      <c r="C2491" t="s">
        <v>602</v>
      </c>
      <c r="D2491">
        <v>5</v>
      </c>
      <c r="E2491">
        <v>2390</v>
      </c>
      <c r="F2491" t="s">
        <v>5693</v>
      </c>
      <c r="G2491" t="s">
        <v>5693</v>
      </c>
      <c r="H2491">
        <v>472480</v>
      </c>
      <c r="I2491">
        <v>0</v>
      </c>
      <c r="J2491">
        <v>0</v>
      </c>
      <c r="K2491">
        <v>0</v>
      </c>
      <c r="L2491">
        <v>0</v>
      </c>
      <c r="M2491">
        <v>599</v>
      </c>
    </row>
    <row r="2492" spans="1:13" ht="15">
      <c r="A2492" t="s">
        <v>3780</v>
      </c>
      <c r="B2492" s="1040" t="str">
        <f>CONCATENATE(LEFT(RIGHT(CONCATENATE("000",IFAData_TEA_1718!A2492),6),3),"-",(RIGHT(RIGHT(CONCATENATE("000",IFAData_TEA_1718!A2492),6),3)))</f>
        <v>246-911</v>
      </c>
      <c r="C2492" t="s">
        <v>602</v>
      </c>
      <c r="D2492">
        <v>5</v>
      </c>
      <c r="E2492">
        <v>2390</v>
      </c>
      <c r="F2492" t="s">
        <v>5693</v>
      </c>
      <c r="G2492" t="s">
        <v>5694</v>
      </c>
      <c r="H2492">
        <v>472480</v>
      </c>
      <c r="I2492">
        <v>0</v>
      </c>
      <c r="J2492">
        <v>0</v>
      </c>
      <c r="K2492">
        <v>0</v>
      </c>
      <c r="L2492">
        <v>0</v>
      </c>
      <c r="M2492">
        <v>599</v>
      </c>
    </row>
    <row r="2493" spans="1:13" ht="15">
      <c r="A2493" t="s">
        <v>3780</v>
      </c>
      <c r="B2493" s="1040" t="str">
        <f>CONCATENATE(LEFT(RIGHT(CONCATENATE("000",IFAData_TEA_1718!A2493),6),3),"-",(RIGHT(RIGHT(CONCATENATE("000",IFAData_TEA_1718!A2493),6),3)))</f>
        <v>246-911</v>
      </c>
      <c r="C2493" t="s">
        <v>602</v>
      </c>
      <c r="D2493">
        <v>5</v>
      </c>
      <c r="E2493">
        <v>2390</v>
      </c>
      <c r="F2493" t="s">
        <v>5693</v>
      </c>
      <c r="G2493" t="s">
        <v>5695</v>
      </c>
      <c r="H2493">
        <v>472480</v>
      </c>
      <c r="I2493">
        <v>0</v>
      </c>
      <c r="J2493">
        <v>0</v>
      </c>
      <c r="K2493">
        <v>0</v>
      </c>
      <c r="L2493">
        <v>0</v>
      </c>
      <c r="M2493">
        <v>599</v>
      </c>
    </row>
    <row r="2494" spans="1:13" ht="15">
      <c r="A2494" t="s">
        <v>3780</v>
      </c>
      <c r="B2494" s="1040" t="str">
        <f>CONCATENATE(LEFT(RIGHT(CONCATENATE("000",IFAData_TEA_1718!A2494),6),3),"-",(RIGHT(RIGHT(CONCATENATE("000",IFAData_TEA_1718!A2494),6),3)))</f>
        <v>246-911</v>
      </c>
      <c r="C2494" t="s">
        <v>602</v>
      </c>
      <c r="D2494">
        <v>5</v>
      </c>
      <c r="E2494">
        <v>2390</v>
      </c>
      <c r="F2494" t="s">
        <v>5693</v>
      </c>
      <c r="G2494" t="s">
        <v>5696</v>
      </c>
      <c r="H2494">
        <v>472480</v>
      </c>
      <c r="I2494">
        <v>519425</v>
      </c>
      <c r="J2494">
        <v>1</v>
      </c>
      <c r="K2494">
        <v>472480</v>
      </c>
      <c r="L2494">
        <v>472480</v>
      </c>
      <c r="M2494">
        <v>599</v>
      </c>
    </row>
    <row r="2495" spans="1:13" ht="15">
      <c r="A2495" t="s">
        <v>3781</v>
      </c>
      <c r="B2495" s="1040" t="str">
        <f>CONCATENATE(LEFT(RIGHT(CONCATENATE("000",IFAData_TEA_1718!A2495),6),3),"-",(RIGHT(RIGHT(CONCATENATE("000",IFAData_TEA_1718!A2495),6),3)))</f>
        <v>246-912</v>
      </c>
      <c r="C2495" t="s">
        <v>604</v>
      </c>
      <c r="D2495">
        <v>1</v>
      </c>
      <c r="E2495">
        <v>2393</v>
      </c>
      <c r="F2495" t="s">
        <v>5697</v>
      </c>
      <c r="G2495" t="s">
        <v>5697</v>
      </c>
      <c r="H2495">
        <v>114342</v>
      </c>
      <c r="I2495">
        <v>0</v>
      </c>
      <c r="J2495">
        <v>0</v>
      </c>
      <c r="K2495">
        <v>0</v>
      </c>
      <c r="L2495">
        <v>0</v>
      </c>
      <c r="M2495">
        <v>599</v>
      </c>
    </row>
    <row r="2496" spans="1:13" ht="15">
      <c r="A2496" t="s">
        <v>3781</v>
      </c>
      <c r="B2496" s="1040" t="str">
        <f>CONCATENATE(LEFT(RIGHT(CONCATENATE("000",IFAData_TEA_1718!A2496),6),3),"-",(RIGHT(RIGHT(CONCATENATE("000",IFAData_TEA_1718!A2496),6),3)))</f>
        <v>246-912</v>
      </c>
      <c r="C2496" t="s">
        <v>604</v>
      </c>
      <c r="D2496">
        <v>1</v>
      </c>
      <c r="E2496">
        <v>2393</v>
      </c>
      <c r="F2496" t="s">
        <v>5697</v>
      </c>
      <c r="G2496" t="s">
        <v>5698</v>
      </c>
      <c r="H2496">
        <v>114342</v>
      </c>
      <c r="I2496">
        <v>0</v>
      </c>
      <c r="J2496">
        <v>0</v>
      </c>
      <c r="K2496">
        <v>0</v>
      </c>
      <c r="L2496">
        <v>0</v>
      </c>
      <c r="M2496">
        <v>599</v>
      </c>
    </row>
    <row r="2497" spans="1:13" ht="15">
      <c r="A2497" t="s">
        <v>3781</v>
      </c>
      <c r="B2497" s="1040" t="str">
        <f>CONCATENATE(LEFT(RIGHT(CONCATENATE("000",IFAData_TEA_1718!A2497),6),3),"-",(RIGHT(RIGHT(CONCATENATE("000",IFAData_TEA_1718!A2497),6),3)))</f>
        <v>246-912</v>
      </c>
      <c r="C2497" t="s">
        <v>604</v>
      </c>
      <c r="D2497">
        <v>1</v>
      </c>
      <c r="E2497">
        <v>2393</v>
      </c>
      <c r="F2497" t="s">
        <v>5697</v>
      </c>
      <c r="G2497" t="s">
        <v>6359</v>
      </c>
      <c r="H2497">
        <v>114342</v>
      </c>
      <c r="I2497">
        <v>141361</v>
      </c>
      <c r="J2497">
        <v>1</v>
      </c>
      <c r="K2497">
        <v>114342</v>
      </c>
      <c r="L2497">
        <v>114342</v>
      </c>
      <c r="M2497">
        <v>599</v>
      </c>
    </row>
    <row r="2498" spans="1:13" ht="15">
      <c r="A2498" t="s">
        <v>3781</v>
      </c>
      <c r="B2498" s="1040" t="str">
        <f>CONCATENATE(LEFT(RIGHT(CONCATENATE("000",IFAData_TEA_1718!A2498),6),3),"-",(RIGHT(RIGHT(CONCATENATE("000",IFAData_TEA_1718!A2498),6),3)))</f>
        <v>246-912</v>
      </c>
      <c r="C2498" t="s">
        <v>604</v>
      </c>
      <c r="D2498">
        <v>11</v>
      </c>
      <c r="E2498">
        <v>2589</v>
      </c>
      <c r="F2498" t="s">
        <v>8523</v>
      </c>
      <c r="G2498" t="s">
        <v>8523</v>
      </c>
      <c r="H2498">
        <v>129006</v>
      </c>
      <c r="I2498">
        <v>225292</v>
      </c>
      <c r="J2498">
        <v>1</v>
      </c>
      <c r="K2498">
        <v>129006</v>
      </c>
      <c r="L2498">
        <v>129006</v>
      </c>
      <c r="M2498">
        <v>599</v>
      </c>
    </row>
    <row r="2499" spans="1:13" ht="15">
      <c r="A2499" t="s">
        <v>3783</v>
      </c>
      <c r="B2499" s="1040" t="str">
        <f>CONCATENATE(LEFT(RIGHT(CONCATENATE("000",IFAData_TEA_1718!A2499),6),3),"-",(RIGHT(RIGHT(CONCATENATE("000",IFAData_TEA_1718!A2499),6),3)))</f>
        <v>247-901</v>
      </c>
      <c r="C2499" t="s">
        <v>110</v>
      </c>
      <c r="D2499">
        <v>5</v>
      </c>
      <c r="E2499">
        <v>1815</v>
      </c>
      <c r="F2499" t="s">
        <v>5702</v>
      </c>
      <c r="G2499" t="s">
        <v>5702</v>
      </c>
      <c r="H2499">
        <v>825000</v>
      </c>
      <c r="I2499">
        <v>0</v>
      </c>
      <c r="J2499">
        <v>0</v>
      </c>
      <c r="K2499">
        <v>0</v>
      </c>
      <c r="L2499">
        <v>0</v>
      </c>
      <c r="M2499">
        <v>599</v>
      </c>
    </row>
    <row r="2500" spans="1:13" ht="15">
      <c r="A2500" t="s">
        <v>3783</v>
      </c>
      <c r="B2500" s="1040" t="str">
        <f>CONCATENATE(LEFT(RIGHT(CONCATENATE("000",IFAData_TEA_1718!A2500),6),3),"-",(RIGHT(RIGHT(CONCATENATE("000",IFAData_TEA_1718!A2500),6),3)))</f>
        <v>247-901</v>
      </c>
      <c r="C2500" t="s">
        <v>110</v>
      </c>
      <c r="D2500">
        <v>5</v>
      </c>
      <c r="E2500">
        <v>1815</v>
      </c>
      <c r="F2500" t="s">
        <v>5702</v>
      </c>
      <c r="G2500" t="s">
        <v>5703</v>
      </c>
      <c r="H2500">
        <v>825000</v>
      </c>
      <c r="I2500">
        <v>0</v>
      </c>
      <c r="J2500">
        <v>0</v>
      </c>
      <c r="K2500">
        <v>0</v>
      </c>
      <c r="L2500">
        <v>0</v>
      </c>
      <c r="M2500">
        <v>599</v>
      </c>
    </row>
    <row r="2501" spans="1:13" ht="15">
      <c r="A2501" t="s">
        <v>3783</v>
      </c>
      <c r="B2501" s="1040" t="str">
        <f>CONCATENATE(LEFT(RIGHT(CONCATENATE("000",IFAData_TEA_1718!A2501),6),3),"-",(RIGHT(RIGHT(CONCATENATE("000",IFAData_TEA_1718!A2501),6),3)))</f>
        <v>247-901</v>
      </c>
      <c r="C2501" t="s">
        <v>110</v>
      </c>
      <c r="D2501">
        <v>5</v>
      </c>
      <c r="E2501">
        <v>1815</v>
      </c>
      <c r="F2501" t="s">
        <v>5702</v>
      </c>
      <c r="G2501" t="s">
        <v>5704</v>
      </c>
      <c r="H2501">
        <v>825000</v>
      </c>
      <c r="I2501">
        <v>862458</v>
      </c>
      <c r="J2501">
        <v>0.68717646355795503</v>
      </c>
      <c r="K2501">
        <v>566920.58243531303</v>
      </c>
      <c r="L2501">
        <v>566920.58243531303</v>
      </c>
      <c r="M2501">
        <v>599</v>
      </c>
    </row>
    <row r="2502" spans="1:13" ht="15">
      <c r="A2502" t="s">
        <v>3783</v>
      </c>
      <c r="B2502" s="1040" t="str">
        <f>CONCATENATE(LEFT(RIGHT(CONCATENATE("000",IFAData_TEA_1718!A2502),6),3),"-",(RIGHT(RIGHT(CONCATENATE("000",IFAData_TEA_1718!A2502),6),3)))</f>
        <v>247-901</v>
      </c>
      <c r="C2502" t="s">
        <v>110</v>
      </c>
      <c r="D2502">
        <v>5</v>
      </c>
      <c r="E2502">
        <v>1815</v>
      </c>
      <c r="F2502" t="s">
        <v>5702</v>
      </c>
      <c r="G2502" t="s">
        <v>6560</v>
      </c>
      <c r="H2502">
        <v>825000</v>
      </c>
      <c r="I2502">
        <v>392617</v>
      </c>
      <c r="J2502">
        <v>0.31282353644204502</v>
      </c>
      <c r="K2502">
        <v>258079.417564687</v>
      </c>
      <c r="L2502">
        <v>258079.417564687</v>
      </c>
      <c r="M2502">
        <v>599</v>
      </c>
    </row>
    <row r="2503" spans="1:13" ht="15">
      <c r="A2503" t="s">
        <v>3783</v>
      </c>
      <c r="B2503" s="1040" t="str">
        <f>CONCATENATE(LEFT(RIGHT(CONCATENATE("000",IFAData_TEA_1718!A2503),6),3),"-",(RIGHT(RIGHT(CONCATENATE("000",IFAData_TEA_1718!A2503),6),3)))</f>
        <v>247-901</v>
      </c>
      <c r="C2503" t="s">
        <v>110</v>
      </c>
      <c r="D2503">
        <v>9</v>
      </c>
      <c r="E2503">
        <v>1814</v>
      </c>
      <c r="F2503" t="s">
        <v>5705</v>
      </c>
      <c r="G2503" t="s">
        <v>5705</v>
      </c>
      <c r="H2503">
        <v>812750</v>
      </c>
      <c r="I2503">
        <v>458316</v>
      </c>
      <c r="J2503">
        <v>0.53255960148316706</v>
      </c>
      <c r="K2503">
        <v>432837.81610544398</v>
      </c>
      <c r="L2503">
        <v>432837.81610544398</v>
      </c>
      <c r="M2503">
        <v>599</v>
      </c>
    </row>
    <row r="2504" spans="1:13" ht="15">
      <c r="A2504" t="s">
        <v>3783</v>
      </c>
      <c r="B2504" s="1040" t="str">
        <f>CONCATENATE(LEFT(RIGHT(CONCATENATE("000",IFAData_TEA_1718!A2504),6),3),"-",(RIGHT(RIGHT(CONCATENATE("000",IFAData_TEA_1718!A2504),6),3)))</f>
        <v>247-901</v>
      </c>
      <c r="C2504" t="s">
        <v>110</v>
      </c>
      <c r="D2504">
        <v>9</v>
      </c>
      <c r="E2504">
        <v>1814</v>
      </c>
      <c r="F2504" t="s">
        <v>5705</v>
      </c>
      <c r="G2504" t="s">
        <v>8524</v>
      </c>
      <c r="H2504">
        <v>812750</v>
      </c>
      <c r="I2504">
        <v>402275</v>
      </c>
      <c r="J2504">
        <v>0.467440398516833</v>
      </c>
      <c r="K2504">
        <v>379912.18389455602</v>
      </c>
      <c r="L2504">
        <v>379912.18389455602</v>
      </c>
      <c r="M2504">
        <v>599</v>
      </c>
    </row>
    <row r="2505" spans="1:13" ht="15">
      <c r="A2505" t="s">
        <v>3784</v>
      </c>
      <c r="B2505" s="1040" t="str">
        <f>CONCATENATE(LEFT(RIGHT(CONCATENATE("000",IFAData_TEA_1718!A2505),6),3),"-",(RIGHT(RIGHT(CONCATENATE("000",IFAData_TEA_1718!A2505),6),3)))</f>
        <v>247-903</v>
      </c>
      <c r="C2505" t="s">
        <v>1900</v>
      </c>
      <c r="D2505">
        <v>2</v>
      </c>
      <c r="E2505">
        <v>1991</v>
      </c>
      <c r="F2505" t="s">
        <v>5706</v>
      </c>
      <c r="G2505" t="s">
        <v>5706</v>
      </c>
      <c r="H2505">
        <v>437879</v>
      </c>
      <c r="I2505">
        <v>0</v>
      </c>
      <c r="J2505">
        <v>0</v>
      </c>
      <c r="K2505">
        <v>0</v>
      </c>
      <c r="L2505">
        <v>0</v>
      </c>
      <c r="M2505">
        <v>599</v>
      </c>
    </row>
    <row r="2506" spans="1:13" ht="15">
      <c r="A2506" t="s">
        <v>3784</v>
      </c>
      <c r="B2506" s="1040" t="str">
        <f>CONCATENATE(LEFT(RIGHT(CONCATENATE("000",IFAData_TEA_1718!A2506),6),3),"-",(RIGHT(RIGHT(CONCATENATE("000",IFAData_TEA_1718!A2506),6),3)))</f>
        <v>247-903</v>
      </c>
      <c r="C2506" t="s">
        <v>1900</v>
      </c>
      <c r="D2506">
        <v>2</v>
      </c>
      <c r="E2506">
        <v>1991</v>
      </c>
      <c r="F2506" t="s">
        <v>5706</v>
      </c>
      <c r="G2506" t="s">
        <v>5707</v>
      </c>
      <c r="H2506">
        <v>437879</v>
      </c>
      <c r="I2506">
        <v>338000</v>
      </c>
      <c r="J2506">
        <v>0.85236442866365403</v>
      </c>
      <c r="K2506">
        <v>373232.48365881201</v>
      </c>
      <c r="L2506">
        <v>338000</v>
      </c>
      <c r="M2506">
        <v>599</v>
      </c>
    </row>
    <row r="2507" spans="1:13" ht="15">
      <c r="A2507" t="s">
        <v>3784</v>
      </c>
      <c r="B2507" s="1040" t="str">
        <f>CONCATENATE(LEFT(RIGHT(CONCATENATE("000",IFAData_TEA_1718!A2507),6),3),"-",(RIGHT(RIGHT(CONCATENATE("000",IFAData_TEA_1718!A2507),6),3)))</f>
        <v>247-903</v>
      </c>
      <c r="C2507" t="s">
        <v>1900</v>
      </c>
      <c r="D2507">
        <v>2</v>
      </c>
      <c r="E2507">
        <v>1991</v>
      </c>
      <c r="F2507" t="s">
        <v>5706</v>
      </c>
      <c r="G2507" t="s">
        <v>8525</v>
      </c>
      <c r="H2507">
        <v>437879</v>
      </c>
      <c r="I2507">
        <v>58544</v>
      </c>
      <c r="J2507">
        <v>0.147635571336346</v>
      </c>
      <c r="K2507">
        <v>64646.516341187897</v>
      </c>
      <c r="L2507">
        <v>58544</v>
      </c>
      <c r="M2507">
        <v>599</v>
      </c>
    </row>
    <row r="2508" spans="1:13" ht="15">
      <c r="A2508" t="s">
        <v>3784</v>
      </c>
      <c r="B2508" s="1040" t="str">
        <f>CONCATENATE(LEFT(RIGHT(CONCATENATE("000",IFAData_TEA_1718!A2508),6),3),"-",(RIGHT(RIGHT(CONCATENATE("000",IFAData_TEA_1718!A2508),6),3)))</f>
        <v>247-903</v>
      </c>
      <c r="C2508" t="s">
        <v>1900</v>
      </c>
      <c r="D2508">
        <v>9</v>
      </c>
      <c r="E2508">
        <v>1992</v>
      </c>
      <c r="F2508" t="s">
        <v>5708</v>
      </c>
      <c r="G2508" t="s">
        <v>5708</v>
      </c>
      <c r="H2508">
        <v>706725</v>
      </c>
      <c r="I2508">
        <v>0</v>
      </c>
      <c r="J2508">
        <v>0</v>
      </c>
      <c r="K2508">
        <v>0</v>
      </c>
      <c r="L2508">
        <v>0</v>
      </c>
      <c r="M2508">
        <v>599</v>
      </c>
    </row>
    <row r="2509" spans="1:13" ht="15">
      <c r="A2509" t="s">
        <v>3784</v>
      </c>
      <c r="B2509" s="1040" t="str">
        <f>CONCATENATE(LEFT(RIGHT(CONCATENATE("000",IFAData_TEA_1718!A2509),6),3),"-",(RIGHT(RIGHT(CONCATENATE("000",IFAData_TEA_1718!A2509),6),3)))</f>
        <v>247-903</v>
      </c>
      <c r="C2509" t="s">
        <v>1900</v>
      </c>
      <c r="D2509">
        <v>9</v>
      </c>
      <c r="E2509">
        <v>1992</v>
      </c>
      <c r="F2509" t="s">
        <v>5708</v>
      </c>
      <c r="G2509" t="s">
        <v>5709</v>
      </c>
      <c r="H2509">
        <v>706725</v>
      </c>
      <c r="I2509">
        <v>770975</v>
      </c>
      <c r="J2509">
        <v>0.65095514511873398</v>
      </c>
      <c r="K2509">
        <v>460046.27493403701</v>
      </c>
      <c r="L2509">
        <v>460046.27493403701</v>
      </c>
      <c r="M2509">
        <v>599</v>
      </c>
    </row>
    <row r="2510" spans="1:13" ht="15">
      <c r="A2510" t="s">
        <v>3784</v>
      </c>
      <c r="B2510" s="1040" t="str">
        <f>CONCATENATE(LEFT(RIGHT(CONCATENATE("000",IFAData_TEA_1718!A2510),6),3),"-",(RIGHT(RIGHT(CONCATENATE("000",IFAData_TEA_1718!A2510),6),3)))</f>
        <v>247-903</v>
      </c>
      <c r="C2510" t="s">
        <v>1900</v>
      </c>
      <c r="D2510">
        <v>9</v>
      </c>
      <c r="E2510">
        <v>1992</v>
      </c>
      <c r="F2510" t="s">
        <v>5708</v>
      </c>
      <c r="G2510" t="s">
        <v>6362</v>
      </c>
      <c r="H2510">
        <v>706725</v>
      </c>
      <c r="I2510">
        <v>413400</v>
      </c>
      <c r="J2510">
        <v>0.34904485488126602</v>
      </c>
      <c r="K2510">
        <v>246678.72506596299</v>
      </c>
      <c r="L2510">
        <v>246678.72506596299</v>
      </c>
      <c r="M2510">
        <v>599</v>
      </c>
    </row>
    <row r="2511" spans="1:13" ht="15">
      <c r="A2511" t="s">
        <v>3784</v>
      </c>
      <c r="B2511" s="1040" t="str">
        <f>CONCATENATE(LEFT(RIGHT(CONCATENATE("000",IFAData_TEA_1718!A2511),6),3),"-",(RIGHT(RIGHT(CONCATENATE("000",IFAData_TEA_1718!A2511),6),3)))</f>
        <v>247-903</v>
      </c>
      <c r="C2511" t="s">
        <v>1900</v>
      </c>
      <c r="D2511">
        <v>10</v>
      </c>
      <c r="E2511">
        <v>1990</v>
      </c>
      <c r="F2511" t="s">
        <v>5710</v>
      </c>
      <c r="G2511" t="s">
        <v>5710</v>
      </c>
      <c r="H2511">
        <v>294937</v>
      </c>
      <c r="I2511">
        <v>376573</v>
      </c>
      <c r="J2511">
        <v>0.59668267547230203</v>
      </c>
      <c r="K2511">
        <v>175983.79825577399</v>
      </c>
      <c r="L2511">
        <v>175983.79825577399</v>
      </c>
      <c r="M2511">
        <v>599</v>
      </c>
    </row>
    <row r="2512" spans="1:13" ht="15">
      <c r="A2512" t="s">
        <v>3784</v>
      </c>
      <c r="B2512" s="1040" t="str">
        <f>CONCATENATE(LEFT(RIGHT(CONCATENATE("000",IFAData_TEA_1718!A2512),6),3),"-",(RIGHT(RIGHT(CONCATENATE("000",IFAData_TEA_1718!A2512),6),3)))</f>
        <v>247-903</v>
      </c>
      <c r="C2512" t="s">
        <v>1900</v>
      </c>
      <c r="D2512">
        <v>10</v>
      </c>
      <c r="E2512">
        <v>1990</v>
      </c>
      <c r="F2512" t="s">
        <v>5710</v>
      </c>
      <c r="G2512" t="s">
        <v>6833</v>
      </c>
      <c r="H2512">
        <v>294937</v>
      </c>
      <c r="I2512">
        <v>165435</v>
      </c>
      <c r="J2512">
        <v>0.262132968685382</v>
      </c>
      <c r="K2512">
        <v>77312.711385160495</v>
      </c>
      <c r="L2512">
        <v>77312.711385160495</v>
      </c>
      <c r="M2512">
        <v>599</v>
      </c>
    </row>
    <row r="2513" spans="1:13" ht="15">
      <c r="A2513" t="s">
        <v>3784</v>
      </c>
      <c r="B2513" s="1040" t="str">
        <f>CONCATENATE(LEFT(RIGHT(CONCATENATE("000",IFAData_TEA_1718!A2513),6),3),"-",(RIGHT(RIGHT(CONCATENATE("000",IFAData_TEA_1718!A2513),6),3)))</f>
        <v>247-903</v>
      </c>
      <c r="C2513" t="s">
        <v>1900</v>
      </c>
      <c r="D2513">
        <v>10</v>
      </c>
      <c r="E2513">
        <v>1990</v>
      </c>
      <c r="F2513" t="s">
        <v>5710</v>
      </c>
      <c r="G2513" t="s">
        <v>8525</v>
      </c>
      <c r="H2513">
        <v>294937</v>
      </c>
      <c r="I2513">
        <v>89103</v>
      </c>
      <c r="J2513">
        <v>0.14118435584231601</v>
      </c>
      <c r="K2513">
        <v>41640.490359065203</v>
      </c>
      <c r="L2513">
        <v>41640.490359065203</v>
      </c>
      <c r="M2513">
        <v>599</v>
      </c>
    </row>
    <row r="2514" spans="1:13" ht="15">
      <c r="A2514" t="s">
        <v>3785</v>
      </c>
      <c r="B2514" s="1040" t="str">
        <f>CONCATENATE(LEFT(RIGHT(CONCATENATE("000",IFAData_TEA_1718!A2514),6),3),"-",(RIGHT(RIGHT(CONCATENATE("000",IFAData_TEA_1718!A2514),6),3)))</f>
        <v>247-904</v>
      </c>
      <c r="C2514" t="s">
        <v>1005</v>
      </c>
      <c r="D2514">
        <v>5</v>
      </c>
      <c r="E2514">
        <v>2206</v>
      </c>
      <c r="F2514" t="s">
        <v>5711</v>
      </c>
      <c r="G2514" t="s">
        <v>5711</v>
      </c>
      <c r="H2514">
        <v>154875</v>
      </c>
      <c r="I2514">
        <v>0</v>
      </c>
      <c r="J2514">
        <v>0</v>
      </c>
      <c r="K2514">
        <v>0</v>
      </c>
      <c r="L2514">
        <v>0</v>
      </c>
      <c r="M2514">
        <v>599</v>
      </c>
    </row>
    <row r="2515" spans="1:13" ht="15">
      <c r="A2515" t="s">
        <v>3785</v>
      </c>
      <c r="B2515" s="1040" t="str">
        <f>CONCATENATE(LEFT(RIGHT(CONCATENATE("000",IFAData_TEA_1718!A2515),6),3),"-",(RIGHT(RIGHT(CONCATENATE("000",IFAData_TEA_1718!A2515),6),3)))</f>
        <v>247-904</v>
      </c>
      <c r="C2515" t="s">
        <v>1005</v>
      </c>
      <c r="D2515">
        <v>5</v>
      </c>
      <c r="E2515">
        <v>2206</v>
      </c>
      <c r="F2515" t="s">
        <v>5711</v>
      </c>
      <c r="G2515" t="s">
        <v>5712</v>
      </c>
      <c r="H2515">
        <v>154875</v>
      </c>
      <c r="I2515">
        <v>145900</v>
      </c>
      <c r="J2515">
        <v>1</v>
      </c>
      <c r="K2515">
        <v>154875</v>
      </c>
      <c r="L2515">
        <v>145900</v>
      </c>
      <c r="M2515">
        <v>599</v>
      </c>
    </row>
    <row r="2516" spans="1:13" ht="15">
      <c r="A2516" t="s">
        <v>3786</v>
      </c>
      <c r="B2516" s="1040" t="str">
        <f>CONCATENATE(LEFT(RIGHT(CONCATENATE("000",IFAData_TEA_1718!A2516),6),3),"-",(RIGHT(RIGHT(CONCATENATE("000",IFAData_TEA_1718!A2516),6),3)))</f>
        <v>247-906</v>
      </c>
      <c r="C2516" t="s">
        <v>1941</v>
      </c>
      <c r="D2516">
        <v>3</v>
      </c>
      <c r="E2516">
        <v>2385</v>
      </c>
      <c r="F2516" t="s">
        <v>5713</v>
      </c>
      <c r="G2516" t="s">
        <v>5713</v>
      </c>
      <c r="H2516">
        <v>184365</v>
      </c>
      <c r="I2516">
        <v>0</v>
      </c>
      <c r="J2516">
        <v>0</v>
      </c>
      <c r="K2516">
        <v>0</v>
      </c>
      <c r="L2516">
        <v>0</v>
      </c>
      <c r="M2516">
        <v>599</v>
      </c>
    </row>
    <row r="2517" spans="1:13" ht="15">
      <c r="A2517" t="s">
        <v>3786</v>
      </c>
      <c r="B2517" s="1040" t="str">
        <f>CONCATENATE(LEFT(RIGHT(CONCATENATE("000",IFAData_TEA_1718!A2517),6),3),"-",(RIGHT(RIGHT(CONCATENATE("000",IFAData_TEA_1718!A2517),6),3)))</f>
        <v>247-906</v>
      </c>
      <c r="C2517" t="s">
        <v>1941</v>
      </c>
      <c r="D2517">
        <v>3</v>
      </c>
      <c r="E2517">
        <v>2385</v>
      </c>
      <c r="F2517" t="s">
        <v>5713</v>
      </c>
      <c r="G2517" t="s">
        <v>5714</v>
      </c>
      <c r="H2517">
        <v>184365</v>
      </c>
      <c r="I2517">
        <v>0</v>
      </c>
      <c r="J2517">
        <v>0</v>
      </c>
      <c r="K2517">
        <v>0</v>
      </c>
      <c r="L2517">
        <v>0</v>
      </c>
      <c r="M2517">
        <v>599</v>
      </c>
    </row>
    <row r="2518" spans="1:13" ht="15">
      <c r="A2518" t="s">
        <v>3786</v>
      </c>
      <c r="B2518" s="1040" t="str">
        <f>CONCATENATE(LEFT(RIGHT(CONCATENATE("000",IFAData_TEA_1718!A2518),6),3),"-",(RIGHT(RIGHT(CONCATENATE("000",IFAData_TEA_1718!A2518),6),3)))</f>
        <v>247-906</v>
      </c>
      <c r="C2518" t="s">
        <v>1941</v>
      </c>
      <c r="D2518">
        <v>3</v>
      </c>
      <c r="E2518">
        <v>2385</v>
      </c>
      <c r="F2518" t="s">
        <v>5713</v>
      </c>
      <c r="G2518" t="s">
        <v>6561</v>
      </c>
      <c r="H2518">
        <v>184365</v>
      </c>
      <c r="I2518">
        <v>167700</v>
      </c>
      <c r="J2518">
        <v>1</v>
      </c>
      <c r="K2518">
        <v>184365</v>
      </c>
      <c r="L2518">
        <v>167700</v>
      </c>
      <c r="M2518">
        <v>599</v>
      </c>
    </row>
    <row r="2519" spans="1:13" ht="15">
      <c r="A2519" t="s">
        <v>3786</v>
      </c>
      <c r="B2519" s="1040" t="str">
        <f>CONCATENATE(LEFT(RIGHT(CONCATENATE("000",IFAData_TEA_1718!A2519),6),3),"-",(RIGHT(RIGHT(CONCATENATE("000",IFAData_TEA_1718!A2519),6),3)))</f>
        <v>247-906</v>
      </c>
      <c r="C2519" t="s">
        <v>1941</v>
      </c>
      <c r="D2519">
        <v>9</v>
      </c>
      <c r="E2519">
        <v>2384</v>
      </c>
      <c r="F2519" t="s">
        <v>5715</v>
      </c>
      <c r="G2519" t="s">
        <v>5715</v>
      </c>
      <c r="H2519">
        <v>179000</v>
      </c>
      <c r="I2519">
        <v>0</v>
      </c>
      <c r="J2519">
        <v>0</v>
      </c>
      <c r="K2519">
        <v>0</v>
      </c>
      <c r="L2519">
        <v>0</v>
      </c>
      <c r="M2519">
        <v>599</v>
      </c>
    </row>
    <row r="2520" spans="1:13" ht="15">
      <c r="A2520" t="s">
        <v>3786</v>
      </c>
      <c r="B2520" s="1040" t="str">
        <f>CONCATENATE(LEFT(RIGHT(CONCATENATE("000",IFAData_TEA_1718!A2520),6),3),"-",(RIGHT(RIGHT(CONCATENATE("000",IFAData_TEA_1718!A2520),6),3)))</f>
        <v>247-906</v>
      </c>
      <c r="C2520" t="s">
        <v>1941</v>
      </c>
      <c r="D2520">
        <v>9</v>
      </c>
      <c r="E2520">
        <v>2384</v>
      </c>
      <c r="F2520" t="s">
        <v>5715</v>
      </c>
      <c r="G2520" t="s">
        <v>6363</v>
      </c>
      <c r="H2520">
        <v>179000</v>
      </c>
      <c r="I2520">
        <v>325125</v>
      </c>
      <c r="J2520">
        <v>1</v>
      </c>
      <c r="K2520">
        <v>179000</v>
      </c>
      <c r="L2520">
        <v>179000</v>
      </c>
      <c r="M2520">
        <v>599</v>
      </c>
    </row>
    <row r="2521" spans="1:13" ht="15">
      <c r="A2521" s="2006" t="s">
        <v>3786</v>
      </c>
      <c r="B2521" s="1040" t="str">
        <f>CONCATENATE(LEFT(RIGHT(CONCATENATE("000",IFAData_TEA_1718!A2521),6),3),"-",(RIGHT(RIGHT(CONCATENATE("000",IFAData_TEA_1718!A2521),6),3)))</f>
        <v>247-906</v>
      </c>
      <c r="C2521" s="2006" t="s">
        <v>1941</v>
      </c>
      <c r="D2521" s="2006">
        <v>11</v>
      </c>
      <c r="E2521" s="2006">
        <v>2584</v>
      </c>
      <c r="F2521" s="2006" t="s">
        <v>8526</v>
      </c>
      <c r="G2521" s="2006" t="s">
        <v>8526</v>
      </c>
      <c r="H2521" s="2007">
        <v>187054</v>
      </c>
      <c r="I2521" s="2007">
        <v>252813</v>
      </c>
      <c r="J2521" s="2008">
        <v>1</v>
      </c>
      <c r="K2521" s="2007">
        <v>187054</v>
      </c>
      <c r="L2521" s="2007">
        <v>187054</v>
      </c>
      <c r="M2521" s="2006">
        <v>599</v>
      </c>
    </row>
    <row r="2522" spans="1:13" ht="15">
      <c r="A2522" s="2006" t="s">
        <v>3787</v>
      </c>
      <c r="B2522" s="1040" t="str">
        <f>CONCATENATE(LEFT(RIGHT(CONCATENATE("000",IFAData_TEA_1718!A2522),6),3),"-",(RIGHT(RIGHT(CONCATENATE("000",IFAData_TEA_1718!A2522),6),3)))</f>
        <v>249-901</v>
      </c>
      <c r="C2522" s="2006" t="s">
        <v>1053</v>
      </c>
      <c r="D2522" s="2006">
        <v>5</v>
      </c>
      <c r="E2522" s="2006">
        <v>1570</v>
      </c>
      <c r="F2522" s="2006" t="s">
        <v>5716</v>
      </c>
      <c r="G2522" s="2006" t="s">
        <v>5716</v>
      </c>
      <c r="H2522" s="2007">
        <v>283052</v>
      </c>
      <c r="I2522" s="2007">
        <v>0</v>
      </c>
      <c r="J2522" s="2008">
        <v>0</v>
      </c>
      <c r="K2522" s="2007">
        <v>0</v>
      </c>
      <c r="L2522" s="2007">
        <v>0</v>
      </c>
      <c r="M2522" s="2006">
        <v>599</v>
      </c>
    </row>
    <row r="2523" spans="1:13" ht="15">
      <c r="A2523" s="2006" t="s">
        <v>3787</v>
      </c>
      <c r="B2523" s="1040" t="str">
        <f>CONCATENATE(LEFT(RIGHT(CONCATENATE("000",IFAData_TEA_1718!A2523),6),3),"-",(RIGHT(RIGHT(CONCATENATE("000",IFAData_TEA_1718!A2523),6),3)))</f>
        <v>249-901</v>
      </c>
      <c r="C2523" s="2006" t="s">
        <v>1053</v>
      </c>
      <c r="D2523" s="2006">
        <v>5</v>
      </c>
      <c r="E2523" s="2006">
        <v>1570</v>
      </c>
      <c r="F2523" s="2006" t="s">
        <v>5716</v>
      </c>
      <c r="G2523" s="2006" t="s">
        <v>5717</v>
      </c>
      <c r="H2523" s="2007">
        <v>283052</v>
      </c>
      <c r="I2523" s="2007">
        <v>0</v>
      </c>
      <c r="J2523" s="2008">
        <v>0</v>
      </c>
      <c r="K2523" s="2007">
        <v>0</v>
      </c>
      <c r="L2523" s="2007">
        <v>0</v>
      </c>
      <c r="M2523" s="2006">
        <v>599</v>
      </c>
    </row>
    <row r="2524" spans="1:13" ht="15">
      <c r="A2524" s="2006" t="s">
        <v>3787</v>
      </c>
      <c r="B2524" s="1040" t="str">
        <f>CONCATENATE(LEFT(RIGHT(CONCATENATE("000",IFAData_TEA_1718!A2524),6),3),"-",(RIGHT(RIGHT(CONCATENATE("000",IFAData_TEA_1718!A2524),6),3)))</f>
        <v>249-901</v>
      </c>
      <c r="C2524" s="2006" t="s">
        <v>1053</v>
      </c>
      <c r="D2524" s="2006">
        <v>5</v>
      </c>
      <c r="E2524" s="2006">
        <v>1570</v>
      </c>
      <c r="F2524" s="2006" t="s">
        <v>5716</v>
      </c>
      <c r="G2524" s="2006" t="s">
        <v>6364</v>
      </c>
      <c r="H2524" s="2007">
        <v>283052</v>
      </c>
      <c r="I2524" s="2007">
        <v>352324</v>
      </c>
      <c r="J2524" s="2008">
        <v>1</v>
      </c>
      <c r="K2524" s="2007">
        <v>283052</v>
      </c>
      <c r="L2524" s="2007">
        <v>283052</v>
      </c>
      <c r="M2524" s="2006">
        <v>599</v>
      </c>
    </row>
    <row r="2525" spans="1:13" ht="15">
      <c r="A2525" s="2006" t="s">
        <v>3787</v>
      </c>
      <c r="B2525" s="1040" t="str">
        <f>CONCATENATE(LEFT(RIGHT(CONCATENATE("000",IFAData_TEA_1718!A2525),6),3),"-",(RIGHT(RIGHT(CONCATENATE("000",IFAData_TEA_1718!A2525),6),3)))</f>
        <v>249-901</v>
      </c>
      <c r="C2525" s="2006" t="s">
        <v>1053</v>
      </c>
      <c r="D2525" s="2006">
        <v>9</v>
      </c>
      <c r="E2525" s="2006">
        <v>1569</v>
      </c>
      <c r="F2525" s="2006" t="s">
        <v>5718</v>
      </c>
      <c r="G2525" s="2006" t="s">
        <v>5718</v>
      </c>
      <c r="H2525" s="2007">
        <v>183118</v>
      </c>
      <c r="I2525" s="2007">
        <v>0</v>
      </c>
      <c r="J2525" s="2008">
        <v>0</v>
      </c>
      <c r="K2525" s="2007">
        <v>0</v>
      </c>
      <c r="L2525" s="2007">
        <v>0</v>
      </c>
      <c r="M2525" s="2006">
        <v>599</v>
      </c>
    </row>
    <row r="2526" spans="1:13" ht="15">
      <c r="A2526" s="2006" t="s">
        <v>3787</v>
      </c>
      <c r="B2526" s="1040" t="str">
        <f>CONCATENATE(LEFT(RIGHT(CONCATENATE("000",IFAData_TEA_1718!A2526),6),3),"-",(RIGHT(RIGHT(CONCATENATE("000",IFAData_TEA_1718!A2526),6),3)))</f>
        <v>249-901</v>
      </c>
      <c r="C2526" s="2006" t="s">
        <v>1053</v>
      </c>
      <c r="D2526" s="2006">
        <v>9</v>
      </c>
      <c r="E2526" s="2006">
        <v>1569</v>
      </c>
      <c r="F2526" s="2006" t="s">
        <v>5718</v>
      </c>
      <c r="G2526" s="2006" t="s">
        <v>6364</v>
      </c>
      <c r="H2526" s="2007">
        <v>183118</v>
      </c>
      <c r="I2526" s="2007">
        <v>330010</v>
      </c>
      <c r="J2526" s="2008">
        <v>1</v>
      </c>
      <c r="K2526" s="2007">
        <v>183118</v>
      </c>
      <c r="L2526" s="2007">
        <v>183118</v>
      </c>
      <c r="M2526" s="2006">
        <v>599</v>
      </c>
    </row>
    <row r="2527" spans="1:13" ht="15">
      <c r="A2527" s="2006" t="s">
        <v>3788</v>
      </c>
      <c r="B2527" s="1040" t="str">
        <f>CONCATENATE(LEFT(RIGHT(CONCATENATE("000",IFAData_TEA_1718!A2527),6),3),"-",(RIGHT(RIGHT(CONCATENATE("000",IFAData_TEA_1718!A2527),6),3)))</f>
        <v>249-906</v>
      </c>
      <c r="C2527" s="2006" t="s">
        <v>1365</v>
      </c>
      <c r="D2527" s="2006">
        <v>2</v>
      </c>
      <c r="E2527" s="2006">
        <v>2173</v>
      </c>
      <c r="F2527" s="2006" t="s">
        <v>5719</v>
      </c>
      <c r="G2527" s="2006" t="s">
        <v>5719</v>
      </c>
      <c r="H2527" s="2007">
        <v>191624</v>
      </c>
      <c r="I2527" s="2007">
        <v>0</v>
      </c>
      <c r="J2527" s="2008">
        <v>0</v>
      </c>
      <c r="K2527" s="2007">
        <v>0</v>
      </c>
      <c r="L2527" s="2007">
        <v>0</v>
      </c>
      <c r="M2527" s="2006">
        <v>599</v>
      </c>
    </row>
    <row r="2528" spans="1:13" ht="15">
      <c r="A2528" s="2006" t="s">
        <v>3788</v>
      </c>
      <c r="B2528" s="1040" t="str">
        <f>CONCATENATE(LEFT(RIGHT(CONCATENATE("000",IFAData_TEA_1718!A2528),6),3),"-",(RIGHT(RIGHT(CONCATENATE("000",IFAData_TEA_1718!A2528),6),3)))</f>
        <v>249-906</v>
      </c>
      <c r="C2528" s="2006" t="s">
        <v>1365</v>
      </c>
      <c r="D2528" s="2006">
        <v>2</v>
      </c>
      <c r="E2528" s="2006">
        <v>2173</v>
      </c>
      <c r="F2528" s="2006" t="s">
        <v>5719</v>
      </c>
      <c r="G2528" s="2006" t="s">
        <v>5720</v>
      </c>
      <c r="H2528" s="2007">
        <v>191624</v>
      </c>
      <c r="I2528" s="2007">
        <v>135227</v>
      </c>
      <c r="J2528" s="2008">
        <v>1</v>
      </c>
      <c r="K2528" s="2007">
        <v>191624</v>
      </c>
      <c r="L2528" s="2007">
        <v>135227</v>
      </c>
      <c r="M2528" s="2006">
        <v>599</v>
      </c>
    </row>
    <row r="2529" spans="1:13" ht="15">
      <c r="A2529" s="2006" t="s">
        <v>3788</v>
      </c>
      <c r="B2529" s="1040" t="str">
        <f>CONCATENATE(LEFT(RIGHT(CONCATENATE("000",IFAData_TEA_1718!A2529),6),3),"-",(RIGHT(RIGHT(CONCATENATE("000",IFAData_TEA_1718!A2529),6),3)))</f>
        <v>249-906</v>
      </c>
      <c r="C2529" s="2006" t="s">
        <v>1365</v>
      </c>
      <c r="D2529" s="2006">
        <v>5</v>
      </c>
      <c r="E2529" s="2006">
        <v>2174</v>
      </c>
      <c r="F2529" s="2006" t="s">
        <v>5721</v>
      </c>
      <c r="G2529" s="2006" t="s">
        <v>5721</v>
      </c>
      <c r="H2529" s="2007">
        <v>221531</v>
      </c>
      <c r="I2529" s="2007">
        <v>0</v>
      </c>
      <c r="J2529" s="2008">
        <v>0</v>
      </c>
      <c r="K2529" s="2007">
        <v>0</v>
      </c>
      <c r="L2529" s="2007">
        <v>0</v>
      </c>
      <c r="M2529" s="2006">
        <v>599</v>
      </c>
    </row>
    <row r="2530" spans="1:13" ht="15">
      <c r="A2530" s="2006" t="s">
        <v>3788</v>
      </c>
      <c r="B2530" s="1040" t="str">
        <f>CONCATENATE(LEFT(RIGHT(CONCATENATE("000",IFAData_TEA_1718!A2530),6),3),"-",(RIGHT(RIGHT(CONCATENATE("000",IFAData_TEA_1718!A2530),6),3)))</f>
        <v>249-906</v>
      </c>
      <c r="C2530" s="2006" t="s">
        <v>1365</v>
      </c>
      <c r="D2530" s="2006">
        <v>5</v>
      </c>
      <c r="E2530" s="2006">
        <v>2174</v>
      </c>
      <c r="F2530" s="2006" t="s">
        <v>5721</v>
      </c>
      <c r="G2530" s="2006" t="s">
        <v>5720</v>
      </c>
      <c r="H2530" s="2007">
        <v>221531</v>
      </c>
      <c r="I2530" s="2007">
        <v>308436</v>
      </c>
      <c r="J2530" s="2008">
        <v>1</v>
      </c>
      <c r="K2530" s="2007">
        <v>221531</v>
      </c>
      <c r="L2530" s="2007">
        <v>221531</v>
      </c>
      <c r="M2530" s="2006">
        <v>599</v>
      </c>
    </row>
    <row r="2531" spans="1:13" ht="15">
      <c r="A2531" s="2006" t="s">
        <v>3789</v>
      </c>
      <c r="B2531" s="1040" t="str">
        <f>CONCATENATE(LEFT(RIGHT(CONCATENATE("000",IFAData_TEA_1718!A2531),6),3),"-",(RIGHT(RIGHT(CONCATENATE("000",IFAData_TEA_1718!A2531),6),3)))</f>
        <v>249-908</v>
      </c>
      <c r="C2531" s="2006" t="s">
        <v>1927</v>
      </c>
      <c r="D2531" s="2006">
        <v>1</v>
      </c>
      <c r="E2531" s="2006">
        <v>2340</v>
      </c>
      <c r="F2531" s="2006" t="s">
        <v>5722</v>
      </c>
      <c r="G2531" s="2006" t="s">
        <v>5722</v>
      </c>
      <c r="H2531" s="2007">
        <v>100000</v>
      </c>
      <c r="I2531" s="2007">
        <v>0</v>
      </c>
      <c r="J2531" s="2008">
        <v>0</v>
      </c>
      <c r="K2531" s="2007">
        <v>0</v>
      </c>
      <c r="L2531" s="2007">
        <v>0</v>
      </c>
      <c r="M2531" s="2006">
        <v>599</v>
      </c>
    </row>
    <row r="2532" spans="1:13" ht="15">
      <c r="A2532" s="2006" t="s">
        <v>3789</v>
      </c>
      <c r="B2532" s="1040" t="str">
        <f>CONCATENATE(LEFT(RIGHT(CONCATENATE("000",IFAData_TEA_1718!A2532),6),3),"-",(RIGHT(RIGHT(CONCATENATE("000",IFAData_TEA_1718!A2532),6),3)))</f>
        <v>249-908</v>
      </c>
      <c r="C2532" s="2006" t="s">
        <v>1927</v>
      </c>
      <c r="D2532" s="2006">
        <v>1</v>
      </c>
      <c r="E2532" s="2006">
        <v>2340</v>
      </c>
      <c r="F2532" s="2006" t="s">
        <v>5722</v>
      </c>
      <c r="G2532" s="2006" t="s">
        <v>5723</v>
      </c>
      <c r="H2532" s="2007">
        <v>100000</v>
      </c>
      <c r="I2532" s="2007">
        <v>74779</v>
      </c>
      <c r="J2532" s="2008">
        <v>1</v>
      </c>
      <c r="K2532" s="2007">
        <v>100000</v>
      </c>
      <c r="L2532" s="2007">
        <v>74779</v>
      </c>
      <c r="M2532" s="2006">
        <v>599</v>
      </c>
    </row>
    <row r="2533" spans="1:13" ht="15">
      <c r="A2533" s="2006" t="s">
        <v>3789</v>
      </c>
      <c r="B2533" s="1040" t="str">
        <f>CONCATENATE(LEFT(RIGHT(CONCATENATE("000",IFAData_TEA_1718!A2533),6),3),"-",(RIGHT(RIGHT(CONCATENATE("000",IFAData_TEA_1718!A2533),6),3)))</f>
        <v>249-908</v>
      </c>
      <c r="C2533" s="2006" t="s">
        <v>1927</v>
      </c>
      <c r="D2533" s="2006">
        <v>5</v>
      </c>
      <c r="E2533" s="2006">
        <v>2341</v>
      </c>
      <c r="F2533" s="2006" t="s">
        <v>5724</v>
      </c>
      <c r="G2533" s="2006" t="s">
        <v>5724</v>
      </c>
      <c r="H2533" s="2007">
        <v>100000</v>
      </c>
      <c r="I2533" s="2007">
        <v>0</v>
      </c>
      <c r="J2533" s="2008">
        <v>0</v>
      </c>
      <c r="K2533" s="2007">
        <v>0</v>
      </c>
      <c r="L2533" s="2007">
        <v>0</v>
      </c>
      <c r="M2533" s="2006">
        <v>599</v>
      </c>
    </row>
    <row r="2534" spans="1:13" ht="15">
      <c r="A2534" s="2006" t="s">
        <v>3789</v>
      </c>
      <c r="B2534" s="1040" t="str">
        <f>CONCATENATE(LEFT(RIGHT(CONCATENATE("000",IFAData_TEA_1718!A2534),6),3),"-",(RIGHT(RIGHT(CONCATENATE("000",IFAData_TEA_1718!A2534),6),3)))</f>
        <v>249-908</v>
      </c>
      <c r="C2534" s="2006" t="s">
        <v>1927</v>
      </c>
      <c r="D2534" s="2006">
        <v>5</v>
      </c>
      <c r="E2534" s="2006">
        <v>2341</v>
      </c>
      <c r="F2534" s="2006" t="s">
        <v>5724</v>
      </c>
      <c r="G2534" s="2006" t="s">
        <v>5723</v>
      </c>
      <c r="H2534" s="2007">
        <v>100000</v>
      </c>
      <c r="I2534" s="2007">
        <v>113530</v>
      </c>
      <c r="J2534" s="2008">
        <v>1</v>
      </c>
      <c r="K2534" s="2007">
        <v>100000</v>
      </c>
      <c r="L2534" s="2007">
        <v>100000</v>
      </c>
      <c r="M2534" s="2006">
        <v>599</v>
      </c>
    </row>
    <row r="2535" spans="1:13" ht="15">
      <c r="A2535" s="2006" t="s">
        <v>3790</v>
      </c>
      <c r="B2535" s="1040" t="str">
        <f>CONCATENATE(LEFT(RIGHT(CONCATENATE("000",IFAData_TEA_1718!A2535),6),3),"-",(RIGHT(RIGHT(CONCATENATE("000",IFAData_TEA_1718!A2535),6),3)))</f>
        <v>252-901</v>
      </c>
      <c r="C2535" s="2006" t="s">
        <v>862</v>
      </c>
      <c r="D2535" s="2006">
        <v>2</v>
      </c>
      <c r="E2535" s="2006">
        <v>1851</v>
      </c>
      <c r="F2535" s="2006" t="s">
        <v>5725</v>
      </c>
      <c r="G2535" s="2006" t="s">
        <v>5725</v>
      </c>
      <c r="H2535" s="2007">
        <v>126142</v>
      </c>
      <c r="I2535" s="2007">
        <v>0</v>
      </c>
      <c r="J2535" s="2008">
        <v>0</v>
      </c>
      <c r="L2535" s="2007">
        <v>0</v>
      </c>
      <c r="M2535" s="2006">
        <v>599</v>
      </c>
    </row>
    <row r="2536" spans="1:13" ht="15">
      <c r="A2536" s="2006" t="s">
        <v>3790</v>
      </c>
      <c r="B2536" s="1040" t="str">
        <f>CONCATENATE(LEFT(RIGHT(CONCATENATE("000",IFAData_TEA_1718!A2536),6),3),"-",(RIGHT(RIGHT(CONCATENATE("000",IFAData_TEA_1718!A2536),6),3)))</f>
        <v>252-901</v>
      </c>
      <c r="C2536" s="2006" t="s">
        <v>862</v>
      </c>
      <c r="D2536" s="2006">
        <v>6</v>
      </c>
      <c r="E2536" s="2006">
        <v>1852</v>
      </c>
      <c r="F2536" s="2006" t="s">
        <v>5726</v>
      </c>
      <c r="G2536" s="2006" t="s">
        <v>5726</v>
      </c>
      <c r="H2536" s="2007">
        <v>486964</v>
      </c>
      <c r="I2536" s="2007">
        <v>0</v>
      </c>
      <c r="J2536" s="2008">
        <v>0</v>
      </c>
      <c r="K2536" s="2007">
        <v>0</v>
      </c>
      <c r="L2536" s="2007">
        <v>0</v>
      </c>
      <c r="M2536" s="2006">
        <v>599</v>
      </c>
    </row>
    <row r="2537" spans="1:13" ht="15">
      <c r="A2537" s="2006" t="s">
        <v>3790</v>
      </c>
      <c r="B2537" s="1040" t="str">
        <f>CONCATENATE(LEFT(RIGHT(CONCATENATE("000",IFAData_TEA_1718!A2537),6),3),"-",(RIGHT(RIGHT(CONCATENATE("000",IFAData_TEA_1718!A2537),6),3)))</f>
        <v>252-901</v>
      </c>
      <c r="C2537" s="2006" t="s">
        <v>862</v>
      </c>
      <c r="D2537" s="2006">
        <v>6</v>
      </c>
      <c r="E2537" s="2006">
        <v>1852</v>
      </c>
      <c r="F2537" s="2006" t="s">
        <v>5726</v>
      </c>
      <c r="G2537" s="2006" t="s">
        <v>5727</v>
      </c>
      <c r="H2537" s="2007">
        <v>486964</v>
      </c>
      <c r="I2537" s="2007">
        <v>458139</v>
      </c>
      <c r="J2537" s="2008">
        <v>1</v>
      </c>
      <c r="K2537" s="2007">
        <v>486964</v>
      </c>
      <c r="L2537" s="2007">
        <v>458139</v>
      </c>
      <c r="M2537" s="2006">
        <v>599</v>
      </c>
    </row>
    <row r="2538" spans="1:13" ht="15">
      <c r="A2538" s="2006" t="s">
        <v>3790</v>
      </c>
      <c r="B2538" s="1040" t="str">
        <f>CONCATENATE(LEFT(RIGHT(CONCATENATE("000",IFAData_TEA_1718!A2538),6),3),"-",(RIGHT(RIGHT(CONCATENATE("000",IFAData_TEA_1718!A2538),6),3)))</f>
        <v>252-901</v>
      </c>
      <c r="C2538" s="2006" t="s">
        <v>862</v>
      </c>
      <c r="D2538" s="2006">
        <v>9</v>
      </c>
      <c r="E2538" s="2006">
        <v>1853</v>
      </c>
      <c r="F2538" s="2006" t="s">
        <v>5728</v>
      </c>
      <c r="G2538" s="2006" t="s">
        <v>5728</v>
      </c>
      <c r="H2538" s="2007">
        <v>557500</v>
      </c>
      <c r="I2538" s="2007">
        <v>0</v>
      </c>
      <c r="J2538" s="2008">
        <v>0</v>
      </c>
      <c r="K2538" s="2007">
        <v>0</v>
      </c>
      <c r="L2538" s="2007">
        <v>0</v>
      </c>
      <c r="M2538" s="2006">
        <v>599</v>
      </c>
    </row>
    <row r="2539" spans="1:13" ht="15">
      <c r="A2539" s="2006" t="s">
        <v>3790</v>
      </c>
      <c r="B2539" s="1040" t="str">
        <f>CONCATENATE(LEFT(RIGHT(CONCATENATE("000",IFAData_TEA_1718!A2539),6),3),"-",(RIGHT(RIGHT(CONCATENATE("000",IFAData_TEA_1718!A2539),6),3)))</f>
        <v>252-901</v>
      </c>
      <c r="C2539" s="2006" t="s">
        <v>862</v>
      </c>
      <c r="D2539" s="2006">
        <v>9</v>
      </c>
      <c r="E2539" s="2006">
        <v>1853</v>
      </c>
      <c r="F2539" s="2006" t="s">
        <v>5728</v>
      </c>
      <c r="G2539" s="2006" t="s">
        <v>5729</v>
      </c>
      <c r="H2539" s="2007">
        <v>557500</v>
      </c>
      <c r="I2539" s="2007">
        <v>1906457</v>
      </c>
      <c r="J2539" s="2008">
        <v>1</v>
      </c>
      <c r="K2539" s="2007">
        <v>557500</v>
      </c>
      <c r="L2539" s="2007">
        <v>557500</v>
      </c>
      <c r="M2539" s="2006">
        <v>599</v>
      </c>
    </row>
    <row r="2540" spans="1:13" ht="15">
      <c r="A2540" s="2006" t="s">
        <v>3791</v>
      </c>
      <c r="B2540" s="1040" t="str">
        <f>CONCATENATE(LEFT(RIGHT(CONCATENATE("000",IFAData_TEA_1718!A2540),6),3),"-",(RIGHT(RIGHT(CONCATENATE("000",IFAData_TEA_1718!A2540),6),3)))</f>
        <v>252-903</v>
      </c>
      <c r="C2540" s="2006" t="s">
        <v>825</v>
      </c>
      <c r="D2540" s="2006">
        <v>4</v>
      </c>
      <c r="E2540" s="2006">
        <v>2160</v>
      </c>
      <c r="F2540" s="2006" t="s">
        <v>5730</v>
      </c>
      <c r="G2540" s="2006" t="s">
        <v>5730</v>
      </c>
      <c r="H2540" s="2007">
        <v>195206</v>
      </c>
      <c r="I2540" s="2007">
        <v>0</v>
      </c>
      <c r="J2540" s="2008">
        <v>0</v>
      </c>
      <c r="L2540" s="2007">
        <v>0</v>
      </c>
      <c r="M2540" s="2006">
        <v>599</v>
      </c>
    </row>
    <row r="2541" spans="1:13" ht="15">
      <c r="A2541" s="2006" t="s">
        <v>3791</v>
      </c>
      <c r="B2541" s="1040" t="str">
        <f>CONCATENATE(LEFT(RIGHT(CONCATENATE("000",IFAData_TEA_1718!A2541),6),3),"-",(RIGHT(RIGHT(CONCATENATE("000",IFAData_TEA_1718!A2541),6),3)))</f>
        <v>252-903</v>
      </c>
      <c r="C2541" s="2006" t="s">
        <v>825</v>
      </c>
      <c r="D2541" s="2006">
        <v>4</v>
      </c>
      <c r="E2541" s="2006">
        <v>2160</v>
      </c>
      <c r="F2541" s="2006" t="s">
        <v>5730</v>
      </c>
      <c r="G2541" s="2006" t="s">
        <v>5731</v>
      </c>
      <c r="H2541" s="2007">
        <v>195206</v>
      </c>
      <c r="I2541" s="2007">
        <v>0</v>
      </c>
      <c r="J2541" s="2008">
        <v>0</v>
      </c>
      <c r="L2541" s="2007">
        <v>0</v>
      </c>
      <c r="M2541" s="2006">
        <v>599</v>
      </c>
    </row>
    <row r="2542" spans="1:13" ht="15">
      <c r="A2542" s="2006" t="s">
        <v>3791</v>
      </c>
      <c r="B2542" s="1040" t="str">
        <f>CONCATENATE(LEFT(RIGHT(CONCATENATE("000",IFAData_TEA_1718!A2542),6),3),"-",(RIGHT(RIGHT(CONCATENATE("000",IFAData_TEA_1718!A2542),6),3)))</f>
        <v>252-903</v>
      </c>
      <c r="C2542" s="2006" t="s">
        <v>825</v>
      </c>
      <c r="D2542" s="2006">
        <v>5</v>
      </c>
      <c r="E2542" s="2006">
        <v>2159</v>
      </c>
      <c r="F2542" s="2006" t="s">
        <v>5732</v>
      </c>
      <c r="G2542" s="2006" t="s">
        <v>5732</v>
      </c>
      <c r="H2542" s="2007">
        <v>188253</v>
      </c>
      <c r="I2542" s="2007">
        <v>0</v>
      </c>
      <c r="J2542" s="2008">
        <v>0</v>
      </c>
      <c r="K2542" s="2007">
        <v>0</v>
      </c>
      <c r="L2542" s="2007">
        <v>0</v>
      </c>
      <c r="M2542" s="2006">
        <v>599</v>
      </c>
    </row>
    <row r="2543" spans="1:13" ht="15">
      <c r="A2543" s="2006" t="s">
        <v>3791</v>
      </c>
      <c r="B2543" s="1040" t="str">
        <f>CONCATENATE(LEFT(RIGHT(CONCATENATE("000",IFAData_TEA_1718!A2543),6),3),"-",(RIGHT(RIGHT(CONCATENATE("000",IFAData_TEA_1718!A2543),6),3)))</f>
        <v>252-903</v>
      </c>
      <c r="C2543" s="2006" t="s">
        <v>825</v>
      </c>
      <c r="D2543" s="2006">
        <v>5</v>
      </c>
      <c r="E2543" s="2006">
        <v>2159</v>
      </c>
      <c r="F2543" s="2006" t="s">
        <v>5732</v>
      </c>
      <c r="G2543" s="2006" t="s">
        <v>5733</v>
      </c>
      <c r="H2543" s="2007">
        <v>188253</v>
      </c>
      <c r="I2543" s="2007">
        <v>189000</v>
      </c>
      <c r="J2543" s="2008">
        <v>1</v>
      </c>
      <c r="K2543" s="2007">
        <v>188253</v>
      </c>
      <c r="L2543" s="2007">
        <v>188253</v>
      </c>
      <c r="M2543" s="2006">
        <v>599</v>
      </c>
    </row>
    <row r="2544" spans="1:13" ht="15">
      <c r="A2544" s="2006" t="s">
        <v>3792</v>
      </c>
      <c r="B2544" s="1040" t="str">
        <f>CONCATENATE(LEFT(RIGHT(CONCATENATE("000",IFAData_TEA_1718!A2544),6),3),"-",(RIGHT(RIGHT(CONCATENATE("000",IFAData_TEA_1718!A2544),6),3)))</f>
        <v>254-901</v>
      </c>
      <c r="C2544" s="2006" t="s">
        <v>420</v>
      </c>
      <c r="D2544" s="2006">
        <v>2</v>
      </c>
      <c r="E2544" s="2006">
        <v>1739</v>
      </c>
      <c r="F2544" s="2006" t="s">
        <v>5734</v>
      </c>
      <c r="G2544" s="2006" t="s">
        <v>5734</v>
      </c>
      <c r="H2544" s="2007">
        <v>396447</v>
      </c>
      <c r="I2544" s="2007">
        <v>0</v>
      </c>
      <c r="J2544" s="2008">
        <v>0</v>
      </c>
      <c r="K2544" s="2007">
        <v>0</v>
      </c>
      <c r="L2544" s="2007">
        <v>0</v>
      </c>
      <c r="M2544" s="2006">
        <v>599</v>
      </c>
    </row>
    <row r="2545" spans="1:13" ht="15">
      <c r="A2545" s="2006" t="s">
        <v>3792</v>
      </c>
      <c r="B2545" s="1040" t="str">
        <f>CONCATENATE(LEFT(RIGHT(CONCATENATE("000",IFAData_TEA_1718!A2545),6),3),"-",(RIGHT(RIGHT(CONCATENATE("000",IFAData_TEA_1718!A2545),6),3)))</f>
        <v>254-901</v>
      </c>
      <c r="C2545" s="2006" t="s">
        <v>420</v>
      </c>
      <c r="D2545" s="2006">
        <v>2</v>
      </c>
      <c r="E2545" s="2006">
        <v>1739</v>
      </c>
      <c r="F2545" s="2006" t="s">
        <v>5734</v>
      </c>
      <c r="G2545" s="2006" t="s">
        <v>5735</v>
      </c>
      <c r="H2545" s="2007">
        <v>396447</v>
      </c>
      <c r="I2545" s="2007">
        <v>0</v>
      </c>
      <c r="J2545" s="2008">
        <v>0</v>
      </c>
      <c r="K2545" s="2007">
        <v>0</v>
      </c>
      <c r="L2545" s="2007">
        <v>0</v>
      </c>
      <c r="M2545" s="2006">
        <v>599</v>
      </c>
    </row>
    <row r="2546" spans="1:13" ht="15">
      <c r="A2546" s="2006" t="s">
        <v>3792</v>
      </c>
      <c r="B2546" s="1040" t="str">
        <f>CONCATENATE(LEFT(RIGHT(CONCATENATE("000",IFAData_TEA_1718!A2546),6),3),"-",(RIGHT(RIGHT(CONCATENATE("000",IFAData_TEA_1718!A2546),6),3)))</f>
        <v>254-901</v>
      </c>
      <c r="C2546" s="2006" t="s">
        <v>420</v>
      </c>
      <c r="D2546" s="2006">
        <v>2</v>
      </c>
      <c r="E2546" s="2006">
        <v>1739</v>
      </c>
      <c r="F2546" s="2006" t="s">
        <v>5734</v>
      </c>
      <c r="G2546" s="2006" t="s">
        <v>5736</v>
      </c>
      <c r="H2546" s="2007">
        <v>396447</v>
      </c>
      <c r="I2546" s="2007">
        <v>0</v>
      </c>
      <c r="J2546" s="2008">
        <v>0</v>
      </c>
      <c r="K2546" s="2007">
        <v>0</v>
      </c>
      <c r="L2546" s="2007">
        <v>0</v>
      </c>
      <c r="M2546" s="2006">
        <v>599</v>
      </c>
    </row>
    <row r="2547" spans="1:13" ht="15">
      <c r="A2547" s="2006" t="s">
        <v>3792</v>
      </c>
      <c r="B2547" s="1040" t="str">
        <f>CONCATENATE(LEFT(RIGHT(CONCATENATE("000",IFAData_TEA_1718!A2547),6),3),"-",(RIGHT(RIGHT(CONCATENATE("000",IFAData_TEA_1718!A2547),6),3)))</f>
        <v>254-901</v>
      </c>
      <c r="C2547" s="2006" t="s">
        <v>420</v>
      </c>
      <c r="D2547" s="2006">
        <v>2</v>
      </c>
      <c r="E2547" s="2006">
        <v>1739</v>
      </c>
      <c r="F2547" s="2006" t="s">
        <v>5734</v>
      </c>
      <c r="G2547" s="2006" t="s">
        <v>6365</v>
      </c>
      <c r="H2547" s="2007">
        <v>396447</v>
      </c>
      <c r="I2547" s="2007">
        <v>455450</v>
      </c>
      <c r="J2547" s="2008">
        <v>1</v>
      </c>
      <c r="K2547" s="2007">
        <v>396447</v>
      </c>
      <c r="L2547" s="2007">
        <v>396447</v>
      </c>
      <c r="M2547" s="2006">
        <v>599</v>
      </c>
    </row>
    <row r="2548" spans="1:13" ht="15">
      <c r="A2548" s="2006" t="s">
        <v>3792</v>
      </c>
      <c r="B2548" s="1040" t="str">
        <f>CONCATENATE(LEFT(RIGHT(CONCATENATE("000",IFAData_TEA_1718!A2548),6),3),"-",(RIGHT(RIGHT(CONCATENATE("000",IFAData_TEA_1718!A2548),6),3)))</f>
        <v>254-901</v>
      </c>
      <c r="C2548" s="2006" t="s">
        <v>420</v>
      </c>
      <c r="D2548" s="2006">
        <v>4</v>
      </c>
      <c r="E2548" s="2006">
        <v>1736</v>
      </c>
      <c r="F2548" s="2006" t="s">
        <v>5737</v>
      </c>
      <c r="G2548" s="2006" t="s">
        <v>5737</v>
      </c>
      <c r="H2548" s="2007">
        <v>192712</v>
      </c>
      <c r="I2548" s="2007">
        <v>0</v>
      </c>
      <c r="J2548" s="2008">
        <v>0</v>
      </c>
      <c r="K2548" s="2007">
        <v>0</v>
      </c>
      <c r="L2548" s="2007">
        <v>0</v>
      </c>
      <c r="M2548" s="2006">
        <v>599</v>
      </c>
    </row>
    <row r="2549" spans="1:13" ht="15">
      <c r="A2549" s="2006" t="s">
        <v>3792</v>
      </c>
      <c r="B2549" s="1040" t="str">
        <f>CONCATENATE(LEFT(RIGHT(CONCATENATE("000",IFAData_TEA_1718!A2549),6),3),"-",(RIGHT(RIGHT(CONCATENATE("000",IFAData_TEA_1718!A2549),6),3)))</f>
        <v>254-901</v>
      </c>
      <c r="C2549" s="2006" t="s">
        <v>420</v>
      </c>
      <c r="D2549" s="2006">
        <v>4</v>
      </c>
      <c r="E2549" s="2006">
        <v>1736</v>
      </c>
      <c r="F2549" s="2006" t="s">
        <v>5737</v>
      </c>
      <c r="G2549" s="2006" t="s">
        <v>5735</v>
      </c>
      <c r="H2549" s="2007">
        <v>192712</v>
      </c>
      <c r="I2549" s="2007">
        <v>0</v>
      </c>
      <c r="J2549" s="2008">
        <v>0</v>
      </c>
      <c r="K2549" s="2007">
        <v>0</v>
      </c>
      <c r="L2549" s="2007">
        <v>0</v>
      </c>
      <c r="M2549" s="2006">
        <v>599</v>
      </c>
    </row>
    <row r="2550" spans="1:13" ht="15">
      <c r="A2550" s="2006" t="s">
        <v>3792</v>
      </c>
      <c r="B2550" s="1040" t="str">
        <f>CONCATENATE(LEFT(RIGHT(CONCATENATE("000",IFAData_TEA_1718!A2550),6),3),"-",(RIGHT(RIGHT(CONCATENATE("000",IFAData_TEA_1718!A2550),6),3)))</f>
        <v>254-901</v>
      </c>
      <c r="C2550" s="2006" t="s">
        <v>420</v>
      </c>
      <c r="D2550" s="2006">
        <v>4</v>
      </c>
      <c r="E2550" s="2006">
        <v>1736</v>
      </c>
      <c r="F2550" s="2006" t="s">
        <v>5737</v>
      </c>
      <c r="G2550" s="2006" t="s">
        <v>5736</v>
      </c>
      <c r="H2550" s="2007">
        <v>192712</v>
      </c>
      <c r="I2550" s="2007">
        <v>0</v>
      </c>
      <c r="J2550" s="2008">
        <v>0</v>
      </c>
      <c r="K2550" s="2007">
        <v>0</v>
      </c>
      <c r="L2550" s="2007">
        <v>0</v>
      </c>
      <c r="M2550" s="2006">
        <v>599</v>
      </c>
    </row>
    <row r="2551" spans="1:13" ht="15">
      <c r="A2551" s="2006" t="s">
        <v>3792</v>
      </c>
      <c r="B2551" s="1040" t="str">
        <f>CONCATENATE(LEFT(RIGHT(CONCATENATE("000",IFAData_TEA_1718!A2551),6),3),"-",(RIGHT(RIGHT(CONCATENATE("000",IFAData_TEA_1718!A2551),6),3)))</f>
        <v>254-901</v>
      </c>
      <c r="C2551" s="2006" t="s">
        <v>420</v>
      </c>
      <c r="D2551" s="2006">
        <v>4</v>
      </c>
      <c r="E2551" s="2006">
        <v>1736</v>
      </c>
      <c r="F2551" s="2006" t="s">
        <v>5737</v>
      </c>
      <c r="G2551" s="2006" t="s">
        <v>6365</v>
      </c>
      <c r="H2551" s="2007">
        <v>192712</v>
      </c>
      <c r="I2551" s="2007">
        <v>154300</v>
      </c>
      <c r="J2551" s="2008">
        <v>1</v>
      </c>
      <c r="K2551" s="2007">
        <v>192712</v>
      </c>
      <c r="L2551" s="2007">
        <v>154300</v>
      </c>
      <c r="M2551" s="2006">
        <v>599</v>
      </c>
    </row>
    <row r="2552" spans="1:13" ht="15">
      <c r="A2552" s="2006" t="s">
        <v>3792</v>
      </c>
      <c r="B2552" s="1040" t="str">
        <f>CONCATENATE(LEFT(RIGHT(CONCATENATE("000",IFAData_TEA_1718!A2552),6),3),"-",(RIGHT(RIGHT(CONCATENATE("000",IFAData_TEA_1718!A2552),6),3)))</f>
        <v>254-901</v>
      </c>
      <c r="C2552" s="2006" t="s">
        <v>420</v>
      </c>
      <c r="D2552" s="2006">
        <v>5</v>
      </c>
      <c r="E2552" s="2006">
        <v>1737</v>
      </c>
      <c r="F2552" s="2006" t="s">
        <v>5738</v>
      </c>
      <c r="G2552" s="2006" t="s">
        <v>5738</v>
      </c>
      <c r="H2552" s="2007">
        <v>197353</v>
      </c>
      <c r="I2552" s="2007">
        <v>0</v>
      </c>
      <c r="J2552" s="2008">
        <v>0</v>
      </c>
      <c r="K2552" s="2007">
        <v>0</v>
      </c>
      <c r="L2552" s="2007">
        <v>0</v>
      </c>
      <c r="M2552" s="2006">
        <v>599</v>
      </c>
    </row>
    <row r="2553" spans="1:13" ht="15">
      <c r="A2553" s="2006" t="s">
        <v>3792</v>
      </c>
      <c r="B2553" s="1040" t="str">
        <f>CONCATENATE(LEFT(RIGHT(CONCATENATE("000",IFAData_TEA_1718!A2553),6),3),"-",(RIGHT(RIGHT(CONCATENATE("000",IFAData_TEA_1718!A2553),6),3)))</f>
        <v>254-901</v>
      </c>
      <c r="C2553" s="2006" t="s">
        <v>420</v>
      </c>
      <c r="D2553" s="2006">
        <v>5</v>
      </c>
      <c r="E2553" s="2006">
        <v>1737</v>
      </c>
      <c r="F2553" s="2006" t="s">
        <v>5738</v>
      </c>
      <c r="G2553" s="2006" t="s">
        <v>5735</v>
      </c>
      <c r="H2553" s="2007">
        <v>197353</v>
      </c>
      <c r="I2553" s="2007">
        <v>0</v>
      </c>
      <c r="J2553" s="2008">
        <v>0</v>
      </c>
      <c r="K2553" s="2007">
        <v>0</v>
      </c>
      <c r="L2553" s="2007">
        <v>0</v>
      </c>
      <c r="M2553" s="2006">
        <v>599</v>
      </c>
    </row>
    <row r="2554" spans="1:13" ht="15">
      <c r="A2554" s="2006" t="s">
        <v>3792</v>
      </c>
      <c r="B2554" s="1040" t="str">
        <f>CONCATENATE(LEFT(RIGHT(CONCATENATE("000",IFAData_TEA_1718!A2554),6),3),"-",(RIGHT(RIGHT(CONCATENATE("000",IFAData_TEA_1718!A2554),6),3)))</f>
        <v>254-901</v>
      </c>
      <c r="C2554" s="2006" t="s">
        <v>420</v>
      </c>
      <c r="D2554" s="2006">
        <v>5</v>
      </c>
      <c r="E2554" s="2006">
        <v>1737</v>
      </c>
      <c r="F2554" s="2006" t="s">
        <v>5738</v>
      </c>
      <c r="G2554" s="2006" t="s">
        <v>5736</v>
      </c>
      <c r="H2554" s="2007">
        <v>197353</v>
      </c>
      <c r="I2554" s="2007">
        <v>100700</v>
      </c>
      <c r="J2554" s="2008">
        <v>0.56844482077335601</v>
      </c>
      <c r="K2554" s="2007">
        <v>112184.290714084</v>
      </c>
      <c r="L2554" s="2007">
        <v>100700</v>
      </c>
      <c r="M2554" s="2006">
        <v>599</v>
      </c>
    </row>
    <row r="2555" spans="1:13" ht="15">
      <c r="A2555" s="2006" t="s">
        <v>3792</v>
      </c>
      <c r="B2555" s="1040" t="str">
        <f>CONCATENATE(LEFT(RIGHT(CONCATENATE("000",IFAData_TEA_1718!A2555),6),3),"-",(RIGHT(RIGHT(CONCATENATE("000",IFAData_TEA_1718!A2555),6),3)))</f>
        <v>254-901</v>
      </c>
      <c r="C2555" s="2006" t="s">
        <v>420</v>
      </c>
      <c r="D2555" s="2006">
        <v>5</v>
      </c>
      <c r="E2555" s="2006">
        <v>1737</v>
      </c>
      <c r="F2555" s="2006" t="s">
        <v>5738</v>
      </c>
      <c r="G2555" s="2006" t="s">
        <v>6365</v>
      </c>
      <c r="H2555" s="2007">
        <v>197353</v>
      </c>
      <c r="I2555" s="2007">
        <v>76450</v>
      </c>
      <c r="J2555" s="2008">
        <v>0.43155517922664399</v>
      </c>
      <c r="K2555" s="2007">
        <v>85168.709285915902</v>
      </c>
      <c r="L2555" s="2007">
        <v>76450</v>
      </c>
      <c r="M2555" s="2006">
        <v>599</v>
      </c>
    </row>
    <row r="2556" spans="1:13" ht="15">
      <c r="A2556" s="2006" t="s">
        <v>3792</v>
      </c>
      <c r="B2556" s="1040" t="str">
        <f>CONCATENATE(LEFT(RIGHT(CONCATENATE("000",IFAData_TEA_1718!A2556),6),3),"-",(RIGHT(RIGHT(CONCATENATE("000",IFAData_TEA_1718!A2556),6),3)))</f>
        <v>254-901</v>
      </c>
      <c r="C2556" s="2006" t="s">
        <v>420</v>
      </c>
      <c r="D2556" s="2006">
        <v>6</v>
      </c>
      <c r="E2556" s="2006">
        <v>1738</v>
      </c>
      <c r="F2556" s="2006" t="s">
        <v>5739</v>
      </c>
      <c r="G2556" s="2006" t="s">
        <v>5739</v>
      </c>
      <c r="H2556" s="2007">
        <v>209248</v>
      </c>
      <c r="I2556" s="2007">
        <v>0</v>
      </c>
      <c r="J2556" s="2008">
        <v>0</v>
      </c>
      <c r="K2556" s="2007">
        <v>0</v>
      </c>
      <c r="L2556" s="2007">
        <v>0</v>
      </c>
      <c r="M2556" s="2006">
        <v>599</v>
      </c>
    </row>
    <row r="2557" spans="1:13" ht="15">
      <c r="A2557" s="2006" t="s">
        <v>3792</v>
      </c>
      <c r="B2557" s="1040" t="str">
        <f>CONCATENATE(LEFT(RIGHT(CONCATENATE("000",IFAData_TEA_1718!A2557),6),3),"-",(RIGHT(RIGHT(CONCATENATE("000",IFAData_TEA_1718!A2557),6),3)))</f>
        <v>254-901</v>
      </c>
      <c r="C2557" s="2006" t="s">
        <v>420</v>
      </c>
      <c r="D2557" s="2006">
        <v>6</v>
      </c>
      <c r="E2557" s="2006">
        <v>1738</v>
      </c>
      <c r="F2557" s="2006" t="s">
        <v>5739</v>
      </c>
      <c r="G2557" s="2006" t="s">
        <v>5736</v>
      </c>
      <c r="H2557" s="2007">
        <v>209248</v>
      </c>
      <c r="I2557" s="2007">
        <v>173496</v>
      </c>
      <c r="J2557" s="2008">
        <v>1</v>
      </c>
      <c r="K2557" s="2007">
        <v>209248</v>
      </c>
      <c r="L2557" s="2007">
        <v>173496</v>
      </c>
      <c r="M2557" s="2006">
        <v>599</v>
      </c>
    </row>
    <row r="2558" spans="1:13" ht="15">
      <c r="A2558" s="2006" t="s">
        <v>3792</v>
      </c>
      <c r="B2558" s="1040" t="str">
        <f>CONCATENATE(LEFT(RIGHT(CONCATENATE("000",IFAData_TEA_1718!A2558),6),3),"-",(RIGHT(RIGHT(CONCATENATE("000",IFAData_TEA_1718!A2558),6),3)))</f>
        <v>254-901</v>
      </c>
      <c r="C2558" s="2006" t="s">
        <v>420</v>
      </c>
      <c r="D2558" s="2006">
        <v>8</v>
      </c>
      <c r="E2558" s="2006">
        <v>1740</v>
      </c>
      <c r="F2558" s="2006" t="s">
        <v>5740</v>
      </c>
      <c r="G2558" s="2006" t="s">
        <v>5740</v>
      </c>
      <c r="H2558" s="2007">
        <v>464096</v>
      </c>
      <c r="I2558" s="2007">
        <v>0</v>
      </c>
      <c r="J2558" s="2008">
        <v>0</v>
      </c>
      <c r="K2558" s="2007">
        <v>0</v>
      </c>
      <c r="L2558" s="2007">
        <v>0</v>
      </c>
      <c r="M2558" s="2006">
        <v>599</v>
      </c>
    </row>
    <row r="2559" spans="1:13" ht="15">
      <c r="A2559" s="2006" t="s">
        <v>3792</v>
      </c>
      <c r="B2559" s="1040" t="str">
        <f>CONCATENATE(LEFT(RIGHT(CONCATENATE("000",IFAData_TEA_1718!A2559),6),3),"-",(RIGHT(RIGHT(CONCATENATE("000",IFAData_TEA_1718!A2559),6),3)))</f>
        <v>254-901</v>
      </c>
      <c r="C2559" s="2006" t="s">
        <v>420</v>
      </c>
      <c r="D2559" s="2006">
        <v>8</v>
      </c>
      <c r="E2559" s="2006">
        <v>1740</v>
      </c>
      <c r="F2559" s="2006" t="s">
        <v>5740</v>
      </c>
      <c r="G2559" s="2006" t="s">
        <v>6366</v>
      </c>
      <c r="H2559" s="2007">
        <v>464096</v>
      </c>
      <c r="I2559" s="2007">
        <v>562519</v>
      </c>
      <c r="J2559" s="2008">
        <v>1</v>
      </c>
      <c r="K2559" s="2007">
        <v>464096</v>
      </c>
      <c r="L2559" s="2007">
        <v>464096</v>
      </c>
      <c r="M2559" s="2006">
        <v>599</v>
      </c>
    </row>
    <row r="2560" spans="1:13" ht="15">
      <c r="A2560" s="2006" t="s">
        <v>3793</v>
      </c>
      <c r="B2560" s="1040" t="str">
        <f>CONCATENATE(LEFT(RIGHT(CONCATENATE("000",IFAData_TEA_1718!A2560),6),3),"-",(RIGHT(RIGHT(CONCATENATE("000",IFAData_TEA_1718!A2560),6),3)))</f>
        <v>254-902</v>
      </c>
      <c r="C2560" s="2006" t="s">
        <v>1898</v>
      </c>
      <c r="D2560" s="2006">
        <v>4</v>
      </c>
      <c r="E2560" s="2006">
        <v>1987</v>
      </c>
      <c r="F2560" s="2006" t="s">
        <v>5741</v>
      </c>
      <c r="G2560" s="2006" t="s">
        <v>5741</v>
      </c>
      <c r="H2560" s="2007">
        <v>100000</v>
      </c>
      <c r="I2560" s="2007">
        <v>0</v>
      </c>
      <c r="J2560" s="2008">
        <v>0</v>
      </c>
      <c r="K2560" s="2007">
        <v>0</v>
      </c>
      <c r="L2560" s="2007">
        <v>0</v>
      </c>
      <c r="M2560" s="2006">
        <v>599</v>
      </c>
    </row>
    <row r="2561" spans="1:13" ht="15">
      <c r="A2561" s="2006" t="s">
        <v>3793</v>
      </c>
      <c r="B2561" s="1040" t="str">
        <f>CONCATENATE(LEFT(RIGHT(CONCATENATE("000",IFAData_TEA_1718!A2561),6),3),"-",(RIGHT(RIGHT(CONCATENATE("000",IFAData_TEA_1718!A2561),6),3)))</f>
        <v>254-902</v>
      </c>
      <c r="C2561" s="2006" t="s">
        <v>1898</v>
      </c>
      <c r="D2561" s="2006">
        <v>4</v>
      </c>
      <c r="E2561" s="2006">
        <v>1987</v>
      </c>
      <c r="F2561" s="2006" t="s">
        <v>5741</v>
      </c>
      <c r="G2561" s="2006" t="s">
        <v>5742</v>
      </c>
      <c r="H2561" s="2007">
        <v>100000</v>
      </c>
      <c r="I2561" s="2007">
        <v>0</v>
      </c>
      <c r="J2561" s="2008">
        <v>0</v>
      </c>
      <c r="K2561" s="2007">
        <v>0</v>
      </c>
      <c r="L2561" s="2007">
        <v>0</v>
      </c>
      <c r="M2561" s="2006">
        <v>599</v>
      </c>
    </row>
    <row r="2562" spans="1:13" ht="15">
      <c r="A2562" s="2006" t="s">
        <v>3793</v>
      </c>
      <c r="B2562" s="1040" t="str">
        <f>CONCATENATE(LEFT(RIGHT(CONCATENATE("000",IFAData_TEA_1718!A2562),6),3),"-",(RIGHT(RIGHT(CONCATENATE("000",IFAData_TEA_1718!A2562),6),3)))</f>
        <v>254-902</v>
      </c>
      <c r="C2562" s="2006" t="s">
        <v>1898</v>
      </c>
      <c r="D2562" s="2006">
        <v>4</v>
      </c>
      <c r="E2562" s="2006">
        <v>1987</v>
      </c>
      <c r="F2562" s="2006" t="s">
        <v>5741</v>
      </c>
      <c r="G2562" s="2006" t="s">
        <v>6562</v>
      </c>
      <c r="H2562" s="2007">
        <v>100000</v>
      </c>
      <c r="I2562" s="2007">
        <v>79800</v>
      </c>
      <c r="J2562" s="2008">
        <v>1</v>
      </c>
      <c r="K2562" s="2007">
        <v>100000</v>
      </c>
      <c r="L2562" s="2007">
        <v>79800</v>
      </c>
      <c r="M2562" s="2006">
        <v>599</v>
      </c>
    </row>
    <row r="2563" spans="1:13" ht="15">
      <c r="A2563" s="2006" t="s">
        <v>3793</v>
      </c>
      <c r="B2563" s="1040" t="str">
        <f>CONCATENATE(LEFT(RIGHT(CONCATENATE("000",IFAData_TEA_1718!A2563),6),3),"-",(RIGHT(RIGHT(CONCATENATE("000",IFAData_TEA_1718!A2563),6),3)))</f>
        <v>254-902</v>
      </c>
      <c r="C2563" s="2006" t="s">
        <v>1898</v>
      </c>
      <c r="D2563" s="2006">
        <v>8</v>
      </c>
      <c r="E2563" s="2006">
        <v>1986</v>
      </c>
      <c r="F2563" s="2006" t="s">
        <v>5742</v>
      </c>
      <c r="G2563" s="2006" t="s">
        <v>5742</v>
      </c>
      <c r="H2563" s="2007">
        <v>95242</v>
      </c>
      <c r="I2563" s="2007">
        <v>0</v>
      </c>
      <c r="J2563" s="2008">
        <v>0</v>
      </c>
      <c r="K2563" s="2007">
        <v>0</v>
      </c>
      <c r="L2563" s="2007">
        <v>0</v>
      </c>
      <c r="M2563" s="2006">
        <v>599</v>
      </c>
    </row>
    <row r="2564" spans="1:13" ht="15">
      <c r="A2564" s="2006" t="s">
        <v>3793</v>
      </c>
      <c r="B2564" s="1040" t="str">
        <f>CONCATENATE(LEFT(RIGHT(CONCATENATE("000",IFAData_TEA_1718!A2564),6),3),"-",(RIGHT(RIGHT(CONCATENATE("000",IFAData_TEA_1718!A2564),6),3)))</f>
        <v>254-902</v>
      </c>
      <c r="C2564" s="2006" t="s">
        <v>1898</v>
      </c>
      <c r="D2564" s="2006">
        <v>8</v>
      </c>
      <c r="E2564" s="2006">
        <v>1986</v>
      </c>
      <c r="F2564" s="2006" t="s">
        <v>5742</v>
      </c>
      <c r="G2564" s="2006" t="s">
        <v>6562</v>
      </c>
      <c r="H2564" s="2007">
        <v>95242</v>
      </c>
      <c r="I2564" s="2007">
        <v>91300</v>
      </c>
      <c r="J2564" s="2008">
        <v>1</v>
      </c>
      <c r="K2564" s="2007">
        <v>95242</v>
      </c>
      <c r="L2564" s="2007">
        <v>91300</v>
      </c>
      <c r="M2564" s="2006">
        <v>599</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85546875" defaultRowHeight="12.75"/>
  <cols>
    <col min="1" max="2" width="11.42578125" style="2006" customWidth="1"/>
    <col min="3" max="3" width="24.42578125" style="2006" bestFit="1" customWidth="1"/>
    <col min="4" max="4" width="8.5703125" style="2006" customWidth="1"/>
    <col min="5" max="5" width="11.42578125" style="2006" customWidth="1"/>
    <col min="6" max="6" width="15.5703125" style="2006" customWidth="1"/>
    <col min="7" max="7" width="15.85546875" style="2006" customWidth="1"/>
    <col min="8" max="8" width="15.42578125" style="2007" bestFit="1" customWidth="1"/>
    <col min="9" max="9" width="19.42578125" style="2007" bestFit="1" customWidth="1"/>
    <col min="10" max="10" width="15" style="2008" bestFit="1" customWidth="1"/>
    <col min="11" max="12" width="12" style="2007" bestFit="1" customWidth="1"/>
    <col min="13" max="13" width="8.85546875" style="2006" bestFit="1" customWidth="1"/>
    <col min="14" max="243" width="8.85546875" style="2006"/>
    <col min="244" max="244" width="11.42578125" style="2006" customWidth="1"/>
    <col min="245" max="245" width="24.42578125" style="2006" bestFit="1" customWidth="1"/>
    <col min="246" max="246" width="8.5703125" style="2006" customWidth="1"/>
    <col min="247" max="247" width="11.42578125" style="2006" customWidth="1"/>
    <col min="248" max="248" width="15.5703125" style="2006" customWidth="1"/>
    <col min="249" max="249" width="15.85546875" style="2006" customWidth="1"/>
    <col min="250" max="250" width="15.42578125" style="2006" bestFit="1" customWidth="1"/>
    <col min="251" max="251" width="19.42578125" style="2006" bestFit="1" customWidth="1"/>
    <col min="252" max="252" width="15" style="2006" bestFit="1" customWidth="1"/>
    <col min="253" max="254" width="12" style="2006" bestFit="1" customWidth="1"/>
    <col min="255" max="255" width="8.85546875" style="2006" bestFit="1" customWidth="1"/>
    <col min="256" max="499" width="8.85546875" style="2006"/>
    <col min="500" max="500" width="11.42578125" style="2006" customWidth="1"/>
    <col min="501" max="501" width="24.42578125" style="2006" bestFit="1" customWidth="1"/>
    <col min="502" max="502" width="8.5703125" style="2006" customWidth="1"/>
    <col min="503" max="503" width="11.42578125" style="2006" customWidth="1"/>
    <col min="504" max="504" width="15.5703125" style="2006" customWidth="1"/>
    <col min="505" max="505" width="15.85546875" style="2006" customWidth="1"/>
    <col min="506" max="506" width="15.42578125" style="2006" bestFit="1" customWidth="1"/>
    <col min="507" max="507" width="19.42578125" style="2006" bestFit="1" customWidth="1"/>
    <col min="508" max="508" width="15" style="2006" bestFit="1" customWidth="1"/>
    <col min="509" max="510" width="12" style="2006" bestFit="1" customWidth="1"/>
    <col min="511" max="511" width="8.85546875" style="2006" bestFit="1" customWidth="1"/>
    <col min="512" max="755" width="8.85546875" style="2006"/>
    <col min="756" max="756" width="11.42578125" style="2006" customWidth="1"/>
    <col min="757" max="757" width="24.42578125" style="2006" bestFit="1" customWidth="1"/>
    <col min="758" max="758" width="8.5703125" style="2006" customWidth="1"/>
    <col min="759" max="759" width="11.42578125" style="2006" customWidth="1"/>
    <col min="760" max="760" width="15.5703125" style="2006" customWidth="1"/>
    <col min="761" max="761" width="15.85546875" style="2006" customWidth="1"/>
    <col min="762" max="762" width="15.42578125" style="2006" bestFit="1" customWidth="1"/>
    <col min="763" max="763" width="19.42578125" style="2006" bestFit="1" customWidth="1"/>
    <col min="764" max="764" width="15" style="2006" bestFit="1" customWidth="1"/>
    <col min="765" max="766" width="12" style="2006" bestFit="1" customWidth="1"/>
    <col min="767" max="767" width="8.85546875" style="2006" bestFit="1" customWidth="1"/>
    <col min="768" max="1011" width="8.85546875" style="2006"/>
    <col min="1012" max="1012" width="11.42578125" style="2006" customWidth="1"/>
    <col min="1013" max="1013" width="24.42578125" style="2006" bestFit="1" customWidth="1"/>
    <col min="1014" max="1014" width="8.5703125" style="2006" customWidth="1"/>
    <col min="1015" max="1015" width="11.42578125" style="2006" customWidth="1"/>
    <col min="1016" max="1016" width="15.5703125" style="2006" customWidth="1"/>
    <col min="1017" max="1017" width="15.85546875" style="2006" customWidth="1"/>
    <col min="1018" max="1018" width="15.42578125" style="2006" bestFit="1" customWidth="1"/>
    <col min="1019" max="1019" width="19.42578125" style="2006" bestFit="1" customWidth="1"/>
    <col min="1020" max="1020" width="15" style="2006" bestFit="1" customWidth="1"/>
    <col min="1021" max="1022" width="12" style="2006" bestFit="1" customWidth="1"/>
    <col min="1023" max="1023" width="8.85546875" style="2006" bestFit="1" customWidth="1"/>
    <col min="1024" max="1267" width="8.85546875" style="2006"/>
    <col min="1268" max="1268" width="11.42578125" style="2006" customWidth="1"/>
    <col min="1269" max="1269" width="24.42578125" style="2006" bestFit="1" customWidth="1"/>
    <col min="1270" max="1270" width="8.5703125" style="2006" customWidth="1"/>
    <col min="1271" max="1271" width="11.42578125" style="2006" customWidth="1"/>
    <col min="1272" max="1272" width="15.5703125" style="2006" customWidth="1"/>
    <col min="1273" max="1273" width="15.85546875" style="2006" customWidth="1"/>
    <col min="1274" max="1274" width="15.42578125" style="2006" bestFit="1" customWidth="1"/>
    <col min="1275" max="1275" width="19.42578125" style="2006" bestFit="1" customWidth="1"/>
    <col min="1276" max="1276" width="15" style="2006" bestFit="1" customWidth="1"/>
    <col min="1277" max="1278" width="12" style="2006" bestFit="1" customWidth="1"/>
    <col min="1279" max="1279" width="8.85546875" style="2006" bestFit="1" customWidth="1"/>
    <col min="1280" max="1523" width="8.85546875" style="2006"/>
    <col min="1524" max="1524" width="11.42578125" style="2006" customWidth="1"/>
    <col min="1525" max="1525" width="24.42578125" style="2006" bestFit="1" customWidth="1"/>
    <col min="1526" max="1526" width="8.5703125" style="2006" customWidth="1"/>
    <col min="1527" max="1527" width="11.42578125" style="2006" customWidth="1"/>
    <col min="1528" max="1528" width="15.5703125" style="2006" customWidth="1"/>
    <col min="1529" max="1529" width="15.85546875" style="2006" customWidth="1"/>
    <col min="1530" max="1530" width="15.42578125" style="2006" bestFit="1" customWidth="1"/>
    <col min="1531" max="1531" width="19.42578125" style="2006" bestFit="1" customWidth="1"/>
    <col min="1532" max="1532" width="15" style="2006" bestFit="1" customWidth="1"/>
    <col min="1533" max="1534" width="12" style="2006" bestFit="1" customWidth="1"/>
    <col min="1535" max="1535" width="8.85546875" style="2006" bestFit="1" customWidth="1"/>
    <col min="1536" max="1779" width="8.85546875" style="2006"/>
    <col min="1780" max="1780" width="11.42578125" style="2006" customWidth="1"/>
    <col min="1781" max="1781" width="24.42578125" style="2006" bestFit="1" customWidth="1"/>
    <col min="1782" max="1782" width="8.5703125" style="2006" customWidth="1"/>
    <col min="1783" max="1783" width="11.42578125" style="2006" customWidth="1"/>
    <col min="1784" max="1784" width="15.5703125" style="2006" customWidth="1"/>
    <col min="1785" max="1785" width="15.85546875" style="2006" customWidth="1"/>
    <col min="1786" max="1786" width="15.42578125" style="2006" bestFit="1" customWidth="1"/>
    <col min="1787" max="1787" width="19.42578125" style="2006" bestFit="1" customWidth="1"/>
    <col min="1788" max="1788" width="15" style="2006" bestFit="1" customWidth="1"/>
    <col min="1789" max="1790" width="12" style="2006" bestFit="1" customWidth="1"/>
    <col min="1791" max="1791" width="8.85546875" style="2006" bestFit="1" customWidth="1"/>
    <col min="1792" max="2035" width="8.85546875" style="2006"/>
    <col min="2036" max="2036" width="11.42578125" style="2006" customWidth="1"/>
    <col min="2037" max="2037" width="24.42578125" style="2006" bestFit="1" customWidth="1"/>
    <col min="2038" max="2038" width="8.5703125" style="2006" customWidth="1"/>
    <col min="2039" max="2039" width="11.42578125" style="2006" customWidth="1"/>
    <col min="2040" max="2040" width="15.5703125" style="2006" customWidth="1"/>
    <col min="2041" max="2041" width="15.85546875" style="2006" customWidth="1"/>
    <col min="2042" max="2042" width="15.42578125" style="2006" bestFit="1" customWidth="1"/>
    <col min="2043" max="2043" width="19.42578125" style="2006" bestFit="1" customWidth="1"/>
    <col min="2044" max="2044" width="15" style="2006" bestFit="1" customWidth="1"/>
    <col min="2045" max="2046" width="12" style="2006" bestFit="1" customWidth="1"/>
    <col min="2047" max="2047" width="8.85546875" style="2006" bestFit="1" customWidth="1"/>
    <col min="2048" max="2291" width="8.85546875" style="2006"/>
    <col min="2292" max="2292" width="11.42578125" style="2006" customWidth="1"/>
    <col min="2293" max="2293" width="24.42578125" style="2006" bestFit="1" customWidth="1"/>
    <col min="2294" max="2294" width="8.5703125" style="2006" customWidth="1"/>
    <col min="2295" max="2295" width="11.42578125" style="2006" customWidth="1"/>
    <col min="2296" max="2296" width="15.5703125" style="2006" customWidth="1"/>
    <col min="2297" max="2297" width="15.85546875" style="2006" customWidth="1"/>
    <col min="2298" max="2298" width="15.42578125" style="2006" bestFit="1" customWidth="1"/>
    <col min="2299" max="2299" width="19.42578125" style="2006" bestFit="1" customWidth="1"/>
    <col min="2300" max="2300" width="15" style="2006" bestFit="1" customWidth="1"/>
    <col min="2301" max="2302" width="12" style="2006" bestFit="1" customWidth="1"/>
    <col min="2303" max="2303" width="8.85546875" style="2006" bestFit="1" customWidth="1"/>
    <col min="2304" max="2547" width="8.85546875" style="2006"/>
    <col min="2548" max="2548" width="11.42578125" style="2006" customWidth="1"/>
    <col min="2549" max="2549" width="24.42578125" style="2006" bestFit="1" customWidth="1"/>
    <col min="2550" max="2550" width="8.5703125" style="2006" customWidth="1"/>
    <col min="2551" max="2551" width="11.42578125" style="2006" customWidth="1"/>
    <col min="2552" max="2552" width="15.5703125" style="2006" customWidth="1"/>
    <col min="2553" max="2553" width="15.85546875" style="2006" customWidth="1"/>
    <col min="2554" max="2554" width="15.42578125" style="2006" bestFit="1" customWidth="1"/>
    <col min="2555" max="2555" width="19.42578125" style="2006" bestFit="1" customWidth="1"/>
    <col min="2556" max="2556" width="15" style="2006" bestFit="1" customWidth="1"/>
    <col min="2557" max="2558" width="12" style="2006" bestFit="1" customWidth="1"/>
    <col min="2559" max="2559" width="8.85546875" style="2006" bestFit="1" customWidth="1"/>
    <col min="2560" max="2803" width="8.85546875" style="2006"/>
    <col min="2804" max="2804" width="11.42578125" style="2006" customWidth="1"/>
    <col min="2805" max="2805" width="24.42578125" style="2006" bestFit="1" customWidth="1"/>
    <col min="2806" max="2806" width="8.5703125" style="2006" customWidth="1"/>
    <col min="2807" max="2807" width="11.42578125" style="2006" customWidth="1"/>
    <col min="2808" max="2808" width="15.5703125" style="2006" customWidth="1"/>
    <col min="2809" max="2809" width="15.85546875" style="2006" customWidth="1"/>
    <col min="2810" max="2810" width="15.42578125" style="2006" bestFit="1" customWidth="1"/>
    <col min="2811" max="2811" width="19.42578125" style="2006" bestFit="1" customWidth="1"/>
    <col min="2812" max="2812" width="15" style="2006" bestFit="1" customWidth="1"/>
    <col min="2813" max="2814" width="12" style="2006" bestFit="1" customWidth="1"/>
    <col min="2815" max="2815" width="8.85546875" style="2006" bestFit="1" customWidth="1"/>
    <col min="2816" max="3059" width="8.85546875" style="2006"/>
    <col min="3060" max="3060" width="11.42578125" style="2006" customWidth="1"/>
    <col min="3061" max="3061" width="24.42578125" style="2006" bestFit="1" customWidth="1"/>
    <col min="3062" max="3062" width="8.5703125" style="2006" customWidth="1"/>
    <col min="3063" max="3063" width="11.42578125" style="2006" customWidth="1"/>
    <col min="3064" max="3064" width="15.5703125" style="2006" customWidth="1"/>
    <col min="3065" max="3065" width="15.85546875" style="2006" customWidth="1"/>
    <col min="3066" max="3066" width="15.42578125" style="2006" bestFit="1" customWidth="1"/>
    <col min="3067" max="3067" width="19.42578125" style="2006" bestFit="1" customWidth="1"/>
    <col min="3068" max="3068" width="15" style="2006" bestFit="1" customWidth="1"/>
    <col min="3069" max="3070" width="12" style="2006" bestFit="1" customWidth="1"/>
    <col min="3071" max="3071" width="8.85546875" style="2006" bestFit="1" customWidth="1"/>
    <col min="3072" max="3315" width="8.85546875" style="2006"/>
    <col min="3316" max="3316" width="11.42578125" style="2006" customWidth="1"/>
    <col min="3317" max="3317" width="24.42578125" style="2006" bestFit="1" customWidth="1"/>
    <col min="3318" max="3318" width="8.5703125" style="2006" customWidth="1"/>
    <col min="3319" max="3319" width="11.42578125" style="2006" customWidth="1"/>
    <col min="3320" max="3320" width="15.5703125" style="2006" customWidth="1"/>
    <col min="3321" max="3321" width="15.85546875" style="2006" customWidth="1"/>
    <col min="3322" max="3322" width="15.42578125" style="2006" bestFit="1" customWidth="1"/>
    <col min="3323" max="3323" width="19.42578125" style="2006" bestFit="1" customWidth="1"/>
    <col min="3324" max="3324" width="15" style="2006" bestFit="1" customWidth="1"/>
    <col min="3325" max="3326" width="12" style="2006" bestFit="1" customWidth="1"/>
    <col min="3327" max="3327" width="8.85546875" style="2006" bestFit="1" customWidth="1"/>
    <col min="3328" max="3571" width="8.85546875" style="2006"/>
    <col min="3572" max="3572" width="11.42578125" style="2006" customWidth="1"/>
    <col min="3573" max="3573" width="24.42578125" style="2006" bestFit="1" customWidth="1"/>
    <col min="3574" max="3574" width="8.5703125" style="2006" customWidth="1"/>
    <col min="3575" max="3575" width="11.42578125" style="2006" customWidth="1"/>
    <col min="3576" max="3576" width="15.5703125" style="2006" customWidth="1"/>
    <col min="3577" max="3577" width="15.85546875" style="2006" customWidth="1"/>
    <col min="3578" max="3578" width="15.42578125" style="2006" bestFit="1" customWidth="1"/>
    <col min="3579" max="3579" width="19.42578125" style="2006" bestFit="1" customWidth="1"/>
    <col min="3580" max="3580" width="15" style="2006" bestFit="1" customWidth="1"/>
    <col min="3581" max="3582" width="12" style="2006" bestFit="1" customWidth="1"/>
    <col min="3583" max="3583" width="8.85546875" style="2006" bestFit="1" customWidth="1"/>
    <col min="3584" max="3827" width="8.85546875" style="2006"/>
    <col min="3828" max="3828" width="11.42578125" style="2006" customWidth="1"/>
    <col min="3829" max="3829" width="24.42578125" style="2006" bestFit="1" customWidth="1"/>
    <col min="3830" max="3830" width="8.5703125" style="2006" customWidth="1"/>
    <col min="3831" max="3831" width="11.42578125" style="2006" customWidth="1"/>
    <col min="3832" max="3832" width="15.5703125" style="2006" customWidth="1"/>
    <col min="3833" max="3833" width="15.85546875" style="2006" customWidth="1"/>
    <col min="3834" max="3834" width="15.42578125" style="2006" bestFit="1" customWidth="1"/>
    <col min="3835" max="3835" width="19.42578125" style="2006" bestFit="1" customWidth="1"/>
    <col min="3836" max="3836" width="15" style="2006" bestFit="1" customWidth="1"/>
    <col min="3837" max="3838" width="12" style="2006" bestFit="1" customWidth="1"/>
    <col min="3839" max="3839" width="8.85546875" style="2006" bestFit="1" customWidth="1"/>
    <col min="3840" max="4083" width="8.85546875" style="2006"/>
    <col min="4084" max="4084" width="11.42578125" style="2006" customWidth="1"/>
    <col min="4085" max="4085" width="24.42578125" style="2006" bestFit="1" customWidth="1"/>
    <col min="4086" max="4086" width="8.5703125" style="2006" customWidth="1"/>
    <col min="4087" max="4087" width="11.42578125" style="2006" customWidth="1"/>
    <col min="4088" max="4088" width="15.5703125" style="2006" customWidth="1"/>
    <col min="4089" max="4089" width="15.85546875" style="2006" customWidth="1"/>
    <col min="4090" max="4090" width="15.42578125" style="2006" bestFit="1" customWidth="1"/>
    <col min="4091" max="4091" width="19.42578125" style="2006" bestFit="1" customWidth="1"/>
    <col min="4092" max="4092" width="15" style="2006" bestFit="1" customWidth="1"/>
    <col min="4093" max="4094" width="12" style="2006" bestFit="1" customWidth="1"/>
    <col min="4095" max="4095" width="8.85546875" style="2006" bestFit="1" customWidth="1"/>
    <col min="4096" max="4339" width="8.85546875" style="2006"/>
    <col min="4340" max="4340" width="11.42578125" style="2006" customWidth="1"/>
    <col min="4341" max="4341" width="24.42578125" style="2006" bestFit="1" customWidth="1"/>
    <col min="4342" max="4342" width="8.5703125" style="2006" customWidth="1"/>
    <col min="4343" max="4343" width="11.42578125" style="2006" customWidth="1"/>
    <col min="4344" max="4344" width="15.5703125" style="2006" customWidth="1"/>
    <col min="4345" max="4345" width="15.85546875" style="2006" customWidth="1"/>
    <col min="4346" max="4346" width="15.42578125" style="2006" bestFit="1" customWidth="1"/>
    <col min="4347" max="4347" width="19.42578125" style="2006" bestFit="1" customWidth="1"/>
    <col min="4348" max="4348" width="15" style="2006" bestFit="1" customWidth="1"/>
    <col min="4349" max="4350" width="12" style="2006" bestFit="1" customWidth="1"/>
    <col min="4351" max="4351" width="8.85546875" style="2006" bestFit="1" customWidth="1"/>
    <col min="4352" max="4595" width="8.85546875" style="2006"/>
    <col min="4596" max="4596" width="11.42578125" style="2006" customWidth="1"/>
    <col min="4597" max="4597" width="24.42578125" style="2006" bestFit="1" customWidth="1"/>
    <col min="4598" max="4598" width="8.5703125" style="2006" customWidth="1"/>
    <col min="4599" max="4599" width="11.42578125" style="2006" customWidth="1"/>
    <col min="4600" max="4600" width="15.5703125" style="2006" customWidth="1"/>
    <col min="4601" max="4601" width="15.85546875" style="2006" customWidth="1"/>
    <col min="4602" max="4602" width="15.42578125" style="2006" bestFit="1" customWidth="1"/>
    <col min="4603" max="4603" width="19.42578125" style="2006" bestFit="1" customWidth="1"/>
    <col min="4604" max="4604" width="15" style="2006" bestFit="1" customWidth="1"/>
    <col min="4605" max="4606" width="12" style="2006" bestFit="1" customWidth="1"/>
    <col min="4607" max="4607" width="8.85546875" style="2006" bestFit="1" customWidth="1"/>
    <col min="4608" max="4851" width="8.85546875" style="2006"/>
    <col min="4852" max="4852" width="11.42578125" style="2006" customWidth="1"/>
    <col min="4853" max="4853" width="24.42578125" style="2006" bestFit="1" customWidth="1"/>
    <col min="4854" max="4854" width="8.5703125" style="2006" customWidth="1"/>
    <col min="4855" max="4855" width="11.42578125" style="2006" customWidth="1"/>
    <col min="4856" max="4856" width="15.5703125" style="2006" customWidth="1"/>
    <col min="4857" max="4857" width="15.85546875" style="2006" customWidth="1"/>
    <col min="4858" max="4858" width="15.42578125" style="2006" bestFit="1" customWidth="1"/>
    <col min="4859" max="4859" width="19.42578125" style="2006" bestFit="1" customWidth="1"/>
    <col min="4860" max="4860" width="15" style="2006" bestFit="1" customWidth="1"/>
    <col min="4861" max="4862" width="12" style="2006" bestFit="1" customWidth="1"/>
    <col min="4863" max="4863" width="8.85546875" style="2006" bestFit="1" customWidth="1"/>
    <col min="4864" max="5107" width="8.85546875" style="2006"/>
    <col min="5108" max="5108" width="11.42578125" style="2006" customWidth="1"/>
    <col min="5109" max="5109" width="24.42578125" style="2006" bestFit="1" customWidth="1"/>
    <col min="5110" max="5110" width="8.5703125" style="2006" customWidth="1"/>
    <col min="5111" max="5111" width="11.42578125" style="2006" customWidth="1"/>
    <col min="5112" max="5112" width="15.5703125" style="2006" customWidth="1"/>
    <col min="5113" max="5113" width="15.85546875" style="2006" customWidth="1"/>
    <col min="5114" max="5114" width="15.42578125" style="2006" bestFit="1" customWidth="1"/>
    <col min="5115" max="5115" width="19.42578125" style="2006" bestFit="1" customWidth="1"/>
    <col min="5116" max="5116" width="15" style="2006" bestFit="1" customWidth="1"/>
    <col min="5117" max="5118" width="12" style="2006" bestFit="1" customWidth="1"/>
    <col min="5119" max="5119" width="8.85546875" style="2006" bestFit="1" customWidth="1"/>
    <col min="5120" max="5363" width="8.85546875" style="2006"/>
    <col min="5364" max="5364" width="11.42578125" style="2006" customWidth="1"/>
    <col min="5365" max="5365" width="24.42578125" style="2006" bestFit="1" customWidth="1"/>
    <col min="5366" max="5366" width="8.5703125" style="2006" customWidth="1"/>
    <col min="5367" max="5367" width="11.42578125" style="2006" customWidth="1"/>
    <col min="5368" max="5368" width="15.5703125" style="2006" customWidth="1"/>
    <col min="5369" max="5369" width="15.85546875" style="2006" customWidth="1"/>
    <col min="5370" max="5370" width="15.42578125" style="2006" bestFit="1" customWidth="1"/>
    <col min="5371" max="5371" width="19.42578125" style="2006" bestFit="1" customWidth="1"/>
    <col min="5372" max="5372" width="15" style="2006" bestFit="1" customWidth="1"/>
    <col min="5373" max="5374" width="12" style="2006" bestFit="1" customWidth="1"/>
    <col min="5375" max="5375" width="8.85546875" style="2006" bestFit="1" customWidth="1"/>
    <col min="5376" max="5619" width="8.85546875" style="2006"/>
    <col min="5620" max="5620" width="11.42578125" style="2006" customWidth="1"/>
    <col min="5621" max="5621" width="24.42578125" style="2006" bestFit="1" customWidth="1"/>
    <col min="5622" max="5622" width="8.5703125" style="2006" customWidth="1"/>
    <col min="5623" max="5623" width="11.42578125" style="2006" customWidth="1"/>
    <col min="5624" max="5624" width="15.5703125" style="2006" customWidth="1"/>
    <col min="5625" max="5625" width="15.85546875" style="2006" customWidth="1"/>
    <col min="5626" max="5626" width="15.42578125" style="2006" bestFit="1" customWidth="1"/>
    <col min="5627" max="5627" width="19.42578125" style="2006" bestFit="1" customWidth="1"/>
    <col min="5628" max="5628" width="15" style="2006" bestFit="1" customWidth="1"/>
    <col min="5629" max="5630" width="12" style="2006" bestFit="1" customWidth="1"/>
    <col min="5631" max="5631" width="8.85546875" style="2006" bestFit="1" customWidth="1"/>
    <col min="5632" max="5875" width="8.85546875" style="2006"/>
    <col min="5876" max="5876" width="11.42578125" style="2006" customWidth="1"/>
    <col min="5877" max="5877" width="24.42578125" style="2006" bestFit="1" customWidth="1"/>
    <col min="5878" max="5878" width="8.5703125" style="2006" customWidth="1"/>
    <col min="5879" max="5879" width="11.42578125" style="2006" customWidth="1"/>
    <col min="5880" max="5880" width="15.5703125" style="2006" customWidth="1"/>
    <col min="5881" max="5881" width="15.85546875" style="2006" customWidth="1"/>
    <col min="5882" max="5882" width="15.42578125" style="2006" bestFit="1" customWidth="1"/>
    <col min="5883" max="5883" width="19.42578125" style="2006" bestFit="1" customWidth="1"/>
    <col min="5884" max="5884" width="15" style="2006" bestFit="1" customWidth="1"/>
    <col min="5885" max="5886" width="12" style="2006" bestFit="1" customWidth="1"/>
    <col min="5887" max="5887" width="8.85546875" style="2006" bestFit="1" customWidth="1"/>
    <col min="5888" max="6131" width="8.85546875" style="2006"/>
    <col min="6132" max="6132" width="11.42578125" style="2006" customWidth="1"/>
    <col min="6133" max="6133" width="24.42578125" style="2006" bestFit="1" customWidth="1"/>
    <col min="6134" max="6134" width="8.5703125" style="2006" customWidth="1"/>
    <col min="6135" max="6135" width="11.42578125" style="2006" customWidth="1"/>
    <col min="6136" max="6136" width="15.5703125" style="2006" customWidth="1"/>
    <col min="6137" max="6137" width="15.85546875" style="2006" customWidth="1"/>
    <col min="6138" max="6138" width="15.42578125" style="2006" bestFit="1" customWidth="1"/>
    <col min="6139" max="6139" width="19.42578125" style="2006" bestFit="1" customWidth="1"/>
    <col min="6140" max="6140" width="15" style="2006" bestFit="1" customWidth="1"/>
    <col min="6141" max="6142" width="12" style="2006" bestFit="1" customWidth="1"/>
    <col min="6143" max="6143" width="8.85546875" style="2006" bestFit="1" customWidth="1"/>
    <col min="6144" max="6387" width="8.85546875" style="2006"/>
    <col min="6388" max="6388" width="11.42578125" style="2006" customWidth="1"/>
    <col min="6389" max="6389" width="24.42578125" style="2006" bestFit="1" customWidth="1"/>
    <col min="6390" max="6390" width="8.5703125" style="2006" customWidth="1"/>
    <col min="6391" max="6391" width="11.42578125" style="2006" customWidth="1"/>
    <col min="6392" max="6392" width="15.5703125" style="2006" customWidth="1"/>
    <col min="6393" max="6393" width="15.85546875" style="2006" customWidth="1"/>
    <col min="6394" max="6394" width="15.42578125" style="2006" bestFit="1" customWidth="1"/>
    <col min="6395" max="6395" width="19.42578125" style="2006" bestFit="1" customWidth="1"/>
    <col min="6396" max="6396" width="15" style="2006" bestFit="1" customWidth="1"/>
    <col min="6397" max="6398" width="12" style="2006" bestFit="1" customWidth="1"/>
    <col min="6399" max="6399" width="8.85546875" style="2006" bestFit="1" customWidth="1"/>
    <col min="6400" max="6643" width="8.85546875" style="2006"/>
    <col min="6644" max="6644" width="11.42578125" style="2006" customWidth="1"/>
    <col min="6645" max="6645" width="24.42578125" style="2006" bestFit="1" customWidth="1"/>
    <col min="6646" max="6646" width="8.5703125" style="2006" customWidth="1"/>
    <col min="6647" max="6647" width="11.42578125" style="2006" customWidth="1"/>
    <col min="6648" max="6648" width="15.5703125" style="2006" customWidth="1"/>
    <col min="6649" max="6649" width="15.85546875" style="2006" customWidth="1"/>
    <col min="6650" max="6650" width="15.42578125" style="2006" bestFit="1" customWidth="1"/>
    <col min="6651" max="6651" width="19.42578125" style="2006" bestFit="1" customWidth="1"/>
    <col min="6652" max="6652" width="15" style="2006" bestFit="1" customWidth="1"/>
    <col min="6653" max="6654" width="12" style="2006" bestFit="1" customWidth="1"/>
    <col min="6655" max="6655" width="8.85546875" style="2006" bestFit="1" customWidth="1"/>
    <col min="6656" max="6899" width="8.85546875" style="2006"/>
    <col min="6900" max="6900" width="11.42578125" style="2006" customWidth="1"/>
    <col min="6901" max="6901" width="24.42578125" style="2006" bestFit="1" customWidth="1"/>
    <col min="6902" max="6902" width="8.5703125" style="2006" customWidth="1"/>
    <col min="6903" max="6903" width="11.42578125" style="2006" customWidth="1"/>
    <col min="6904" max="6904" width="15.5703125" style="2006" customWidth="1"/>
    <col min="6905" max="6905" width="15.85546875" style="2006" customWidth="1"/>
    <col min="6906" max="6906" width="15.42578125" style="2006" bestFit="1" customWidth="1"/>
    <col min="6907" max="6907" width="19.42578125" style="2006" bestFit="1" customWidth="1"/>
    <col min="6908" max="6908" width="15" style="2006" bestFit="1" customWidth="1"/>
    <col min="6909" max="6910" width="12" style="2006" bestFit="1" customWidth="1"/>
    <col min="6911" max="6911" width="8.85546875" style="2006" bestFit="1" customWidth="1"/>
    <col min="6912" max="7155" width="8.85546875" style="2006"/>
    <col min="7156" max="7156" width="11.42578125" style="2006" customWidth="1"/>
    <col min="7157" max="7157" width="24.42578125" style="2006" bestFit="1" customWidth="1"/>
    <col min="7158" max="7158" width="8.5703125" style="2006" customWidth="1"/>
    <col min="7159" max="7159" width="11.42578125" style="2006" customWidth="1"/>
    <col min="7160" max="7160" width="15.5703125" style="2006" customWidth="1"/>
    <col min="7161" max="7161" width="15.85546875" style="2006" customWidth="1"/>
    <col min="7162" max="7162" width="15.42578125" style="2006" bestFit="1" customWidth="1"/>
    <col min="7163" max="7163" width="19.42578125" style="2006" bestFit="1" customWidth="1"/>
    <col min="7164" max="7164" width="15" style="2006" bestFit="1" customWidth="1"/>
    <col min="7165" max="7166" width="12" style="2006" bestFit="1" customWidth="1"/>
    <col min="7167" max="7167" width="8.85546875" style="2006" bestFit="1" customWidth="1"/>
    <col min="7168" max="7411" width="8.85546875" style="2006"/>
    <col min="7412" max="7412" width="11.42578125" style="2006" customWidth="1"/>
    <col min="7413" max="7413" width="24.42578125" style="2006" bestFit="1" customWidth="1"/>
    <col min="7414" max="7414" width="8.5703125" style="2006" customWidth="1"/>
    <col min="7415" max="7415" width="11.42578125" style="2006" customWidth="1"/>
    <col min="7416" max="7416" width="15.5703125" style="2006" customWidth="1"/>
    <col min="7417" max="7417" width="15.85546875" style="2006" customWidth="1"/>
    <col min="7418" max="7418" width="15.42578125" style="2006" bestFit="1" customWidth="1"/>
    <col min="7419" max="7419" width="19.42578125" style="2006" bestFit="1" customWidth="1"/>
    <col min="7420" max="7420" width="15" style="2006" bestFit="1" customWidth="1"/>
    <col min="7421" max="7422" width="12" style="2006" bestFit="1" customWidth="1"/>
    <col min="7423" max="7423" width="8.85546875" style="2006" bestFit="1" customWidth="1"/>
    <col min="7424" max="7667" width="8.85546875" style="2006"/>
    <col min="7668" max="7668" width="11.42578125" style="2006" customWidth="1"/>
    <col min="7669" max="7669" width="24.42578125" style="2006" bestFit="1" customWidth="1"/>
    <col min="7670" max="7670" width="8.5703125" style="2006" customWidth="1"/>
    <col min="7671" max="7671" width="11.42578125" style="2006" customWidth="1"/>
    <col min="7672" max="7672" width="15.5703125" style="2006" customWidth="1"/>
    <col min="7673" max="7673" width="15.85546875" style="2006" customWidth="1"/>
    <col min="7674" max="7674" width="15.42578125" style="2006" bestFit="1" customWidth="1"/>
    <col min="7675" max="7675" width="19.42578125" style="2006" bestFit="1" customWidth="1"/>
    <col min="7676" max="7676" width="15" style="2006" bestFit="1" customWidth="1"/>
    <col min="7677" max="7678" width="12" style="2006" bestFit="1" customWidth="1"/>
    <col min="7679" max="7679" width="8.85546875" style="2006" bestFit="1" customWidth="1"/>
    <col min="7680" max="7923" width="8.85546875" style="2006"/>
    <col min="7924" max="7924" width="11.42578125" style="2006" customWidth="1"/>
    <col min="7925" max="7925" width="24.42578125" style="2006" bestFit="1" customWidth="1"/>
    <col min="7926" max="7926" width="8.5703125" style="2006" customWidth="1"/>
    <col min="7927" max="7927" width="11.42578125" style="2006" customWidth="1"/>
    <col min="7928" max="7928" width="15.5703125" style="2006" customWidth="1"/>
    <col min="7929" max="7929" width="15.85546875" style="2006" customWidth="1"/>
    <col min="7930" max="7930" width="15.42578125" style="2006" bestFit="1" customWidth="1"/>
    <col min="7931" max="7931" width="19.42578125" style="2006" bestFit="1" customWidth="1"/>
    <col min="7932" max="7932" width="15" style="2006" bestFit="1" customWidth="1"/>
    <col min="7933" max="7934" width="12" style="2006" bestFit="1" customWidth="1"/>
    <col min="7935" max="7935" width="8.85546875" style="2006" bestFit="1" customWidth="1"/>
    <col min="7936" max="8179" width="8.85546875" style="2006"/>
    <col min="8180" max="8180" width="11.42578125" style="2006" customWidth="1"/>
    <col min="8181" max="8181" width="24.42578125" style="2006" bestFit="1" customWidth="1"/>
    <col min="8182" max="8182" width="8.5703125" style="2006" customWidth="1"/>
    <col min="8183" max="8183" width="11.42578125" style="2006" customWidth="1"/>
    <col min="8184" max="8184" width="15.5703125" style="2006" customWidth="1"/>
    <col min="8185" max="8185" width="15.85546875" style="2006" customWidth="1"/>
    <col min="8186" max="8186" width="15.42578125" style="2006" bestFit="1" customWidth="1"/>
    <col min="8187" max="8187" width="19.42578125" style="2006" bestFit="1" customWidth="1"/>
    <col min="8188" max="8188" width="15" style="2006" bestFit="1" customWidth="1"/>
    <col min="8189" max="8190" width="12" style="2006" bestFit="1" customWidth="1"/>
    <col min="8191" max="8191" width="8.85546875" style="2006" bestFit="1" customWidth="1"/>
    <col min="8192" max="8435" width="8.85546875" style="2006"/>
    <col min="8436" max="8436" width="11.42578125" style="2006" customWidth="1"/>
    <col min="8437" max="8437" width="24.42578125" style="2006" bestFit="1" customWidth="1"/>
    <col min="8438" max="8438" width="8.5703125" style="2006" customWidth="1"/>
    <col min="8439" max="8439" width="11.42578125" style="2006" customWidth="1"/>
    <col min="8440" max="8440" width="15.5703125" style="2006" customWidth="1"/>
    <col min="8441" max="8441" width="15.85546875" style="2006" customWidth="1"/>
    <col min="8442" max="8442" width="15.42578125" style="2006" bestFit="1" customWidth="1"/>
    <col min="8443" max="8443" width="19.42578125" style="2006" bestFit="1" customWidth="1"/>
    <col min="8444" max="8444" width="15" style="2006" bestFit="1" customWidth="1"/>
    <col min="8445" max="8446" width="12" style="2006" bestFit="1" customWidth="1"/>
    <col min="8447" max="8447" width="8.85546875" style="2006" bestFit="1" customWidth="1"/>
    <col min="8448" max="8691" width="8.85546875" style="2006"/>
    <col min="8692" max="8692" width="11.42578125" style="2006" customWidth="1"/>
    <col min="8693" max="8693" width="24.42578125" style="2006" bestFit="1" customWidth="1"/>
    <col min="8694" max="8694" width="8.5703125" style="2006" customWidth="1"/>
    <col min="8695" max="8695" width="11.42578125" style="2006" customWidth="1"/>
    <col min="8696" max="8696" width="15.5703125" style="2006" customWidth="1"/>
    <col min="8697" max="8697" width="15.85546875" style="2006" customWidth="1"/>
    <col min="8698" max="8698" width="15.42578125" style="2006" bestFit="1" customWidth="1"/>
    <col min="8699" max="8699" width="19.42578125" style="2006" bestFit="1" customWidth="1"/>
    <col min="8700" max="8700" width="15" style="2006" bestFit="1" customWidth="1"/>
    <col min="8701" max="8702" width="12" style="2006" bestFit="1" customWidth="1"/>
    <col min="8703" max="8703" width="8.85546875" style="2006" bestFit="1" customWidth="1"/>
    <col min="8704" max="8947" width="8.85546875" style="2006"/>
    <col min="8948" max="8948" width="11.42578125" style="2006" customWidth="1"/>
    <col min="8949" max="8949" width="24.42578125" style="2006" bestFit="1" customWidth="1"/>
    <col min="8950" max="8950" width="8.5703125" style="2006" customWidth="1"/>
    <col min="8951" max="8951" width="11.42578125" style="2006" customWidth="1"/>
    <col min="8952" max="8952" width="15.5703125" style="2006" customWidth="1"/>
    <col min="8953" max="8953" width="15.85546875" style="2006" customWidth="1"/>
    <col min="8954" max="8954" width="15.42578125" style="2006" bestFit="1" customWidth="1"/>
    <col min="8955" max="8955" width="19.42578125" style="2006" bestFit="1" customWidth="1"/>
    <col min="8956" max="8956" width="15" style="2006" bestFit="1" customWidth="1"/>
    <col min="8957" max="8958" width="12" style="2006" bestFit="1" customWidth="1"/>
    <col min="8959" max="8959" width="8.85546875" style="2006" bestFit="1" customWidth="1"/>
    <col min="8960" max="9203" width="8.85546875" style="2006"/>
    <col min="9204" max="9204" width="11.42578125" style="2006" customWidth="1"/>
    <col min="9205" max="9205" width="24.42578125" style="2006" bestFit="1" customWidth="1"/>
    <col min="9206" max="9206" width="8.5703125" style="2006" customWidth="1"/>
    <col min="9207" max="9207" width="11.42578125" style="2006" customWidth="1"/>
    <col min="9208" max="9208" width="15.5703125" style="2006" customWidth="1"/>
    <col min="9209" max="9209" width="15.85546875" style="2006" customWidth="1"/>
    <col min="9210" max="9210" width="15.42578125" style="2006" bestFit="1" customWidth="1"/>
    <col min="9211" max="9211" width="19.42578125" style="2006" bestFit="1" customWidth="1"/>
    <col min="9212" max="9212" width="15" style="2006" bestFit="1" customWidth="1"/>
    <col min="9213" max="9214" width="12" style="2006" bestFit="1" customWidth="1"/>
    <col min="9215" max="9215" width="8.85546875" style="2006" bestFit="1" customWidth="1"/>
    <col min="9216" max="9459" width="8.85546875" style="2006"/>
    <col min="9460" max="9460" width="11.42578125" style="2006" customWidth="1"/>
    <col min="9461" max="9461" width="24.42578125" style="2006" bestFit="1" customWidth="1"/>
    <col min="9462" max="9462" width="8.5703125" style="2006" customWidth="1"/>
    <col min="9463" max="9463" width="11.42578125" style="2006" customWidth="1"/>
    <col min="9464" max="9464" width="15.5703125" style="2006" customWidth="1"/>
    <col min="9465" max="9465" width="15.85546875" style="2006" customWidth="1"/>
    <col min="9466" max="9466" width="15.42578125" style="2006" bestFit="1" customWidth="1"/>
    <col min="9467" max="9467" width="19.42578125" style="2006" bestFit="1" customWidth="1"/>
    <col min="9468" max="9468" width="15" style="2006" bestFit="1" customWidth="1"/>
    <col min="9469" max="9470" width="12" style="2006" bestFit="1" customWidth="1"/>
    <col min="9471" max="9471" width="8.85546875" style="2006" bestFit="1" customWidth="1"/>
    <col min="9472" max="9715" width="8.85546875" style="2006"/>
    <col min="9716" max="9716" width="11.42578125" style="2006" customWidth="1"/>
    <col min="9717" max="9717" width="24.42578125" style="2006" bestFit="1" customWidth="1"/>
    <col min="9718" max="9718" width="8.5703125" style="2006" customWidth="1"/>
    <col min="9719" max="9719" width="11.42578125" style="2006" customWidth="1"/>
    <col min="9720" max="9720" width="15.5703125" style="2006" customWidth="1"/>
    <col min="9721" max="9721" width="15.85546875" style="2006" customWidth="1"/>
    <col min="9722" max="9722" width="15.42578125" style="2006" bestFit="1" customWidth="1"/>
    <col min="9723" max="9723" width="19.42578125" style="2006" bestFit="1" customWidth="1"/>
    <col min="9724" max="9724" width="15" style="2006" bestFit="1" customWidth="1"/>
    <col min="9725" max="9726" width="12" style="2006" bestFit="1" customWidth="1"/>
    <col min="9727" max="9727" width="8.85546875" style="2006" bestFit="1" customWidth="1"/>
    <col min="9728" max="9971" width="8.85546875" style="2006"/>
    <col min="9972" max="9972" width="11.42578125" style="2006" customWidth="1"/>
    <col min="9973" max="9973" width="24.42578125" style="2006" bestFit="1" customWidth="1"/>
    <col min="9974" max="9974" width="8.5703125" style="2006" customWidth="1"/>
    <col min="9975" max="9975" width="11.42578125" style="2006" customWidth="1"/>
    <col min="9976" max="9976" width="15.5703125" style="2006" customWidth="1"/>
    <col min="9977" max="9977" width="15.85546875" style="2006" customWidth="1"/>
    <col min="9978" max="9978" width="15.42578125" style="2006" bestFit="1" customWidth="1"/>
    <col min="9979" max="9979" width="19.42578125" style="2006" bestFit="1" customWidth="1"/>
    <col min="9980" max="9980" width="15" style="2006" bestFit="1" customWidth="1"/>
    <col min="9981" max="9982" width="12" style="2006" bestFit="1" customWidth="1"/>
    <col min="9983" max="9983" width="8.85546875" style="2006" bestFit="1" customWidth="1"/>
    <col min="9984" max="10227" width="8.85546875" style="2006"/>
    <col min="10228" max="10228" width="11.42578125" style="2006" customWidth="1"/>
    <col min="10229" max="10229" width="24.42578125" style="2006" bestFit="1" customWidth="1"/>
    <col min="10230" max="10230" width="8.5703125" style="2006" customWidth="1"/>
    <col min="10231" max="10231" width="11.42578125" style="2006" customWidth="1"/>
    <col min="10232" max="10232" width="15.5703125" style="2006" customWidth="1"/>
    <col min="10233" max="10233" width="15.85546875" style="2006" customWidth="1"/>
    <col min="10234" max="10234" width="15.42578125" style="2006" bestFit="1" customWidth="1"/>
    <col min="10235" max="10235" width="19.42578125" style="2006" bestFit="1" customWidth="1"/>
    <col min="10236" max="10236" width="15" style="2006" bestFit="1" customWidth="1"/>
    <col min="10237" max="10238" width="12" style="2006" bestFit="1" customWidth="1"/>
    <col min="10239" max="10239" width="8.85546875" style="2006" bestFit="1" customWidth="1"/>
    <col min="10240" max="10483" width="8.85546875" style="2006"/>
    <col min="10484" max="10484" width="11.42578125" style="2006" customWidth="1"/>
    <col min="10485" max="10485" width="24.42578125" style="2006" bestFit="1" customWidth="1"/>
    <col min="10486" max="10486" width="8.5703125" style="2006" customWidth="1"/>
    <col min="10487" max="10487" width="11.42578125" style="2006" customWidth="1"/>
    <col min="10488" max="10488" width="15.5703125" style="2006" customWidth="1"/>
    <col min="10489" max="10489" width="15.85546875" style="2006" customWidth="1"/>
    <col min="10490" max="10490" width="15.42578125" style="2006" bestFit="1" customWidth="1"/>
    <col min="10491" max="10491" width="19.42578125" style="2006" bestFit="1" customWidth="1"/>
    <col min="10492" max="10492" width="15" style="2006" bestFit="1" customWidth="1"/>
    <col min="10493" max="10494" width="12" style="2006" bestFit="1" customWidth="1"/>
    <col min="10495" max="10495" width="8.85546875" style="2006" bestFit="1" customWidth="1"/>
    <col min="10496" max="10739" width="8.85546875" style="2006"/>
    <col min="10740" max="10740" width="11.42578125" style="2006" customWidth="1"/>
    <col min="10741" max="10741" width="24.42578125" style="2006" bestFit="1" customWidth="1"/>
    <col min="10742" max="10742" width="8.5703125" style="2006" customWidth="1"/>
    <col min="10743" max="10743" width="11.42578125" style="2006" customWidth="1"/>
    <col min="10744" max="10744" width="15.5703125" style="2006" customWidth="1"/>
    <col min="10745" max="10745" width="15.85546875" style="2006" customWidth="1"/>
    <col min="10746" max="10746" width="15.42578125" style="2006" bestFit="1" customWidth="1"/>
    <col min="10747" max="10747" width="19.42578125" style="2006" bestFit="1" customWidth="1"/>
    <col min="10748" max="10748" width="15" style="2006" bestFit="1" customWidth="1"/>
    <col min="10749" max="10750" width="12" style="2006" bestFit="1" customWidth="1"/>
    <col min="10751" max="10751" width="8.85546875" style="2006" bestFit="1" customWidth="1"/>
    <col min="10752" max="10995" width="8.85546875" style="2006"/>
    <col min="10996" max="10996" width="11.42578125" style="2006" customWidth="1"/>
    <col min="10997" max="10997" width="24.42578125" style="2006" bestFit="1" customWidth="1"/>
    <col min="10998" max="10998" width="8.5703125" style="2006" customWidth="1"/>
    <col min="10999" max="10999" width="11.42578125" style="2006" customWidth="1"/>
    <col min="11000" max="11000" width="15.5703125" style="2006" customWidth="1"/>
    <col min="11001" max="11001" width="15.85546875" style="2006" customWidth="1"/>
    <col min="11002" max="11002" width="15.42578125" style="2006" bestFit="1" customWidth="1"/>
    <col min="11003" max="11003" width="19.42578125" style="2006" bestFit="1" customWidth="1"/>
    <col min="11004" max="11004" width="15" style="2006" bestFit="1" customWidth="1"/>
    <col min="11005" max="11006" width="12" style="2006" bestFit="1" customWidth="1"/>
    <col min="11007" max="11007" width="8.85546875" style="2006" bestFit="1" customWidth="1"/>
    <col min="11008" max="11251" width="8.85546875" style="2006"/>
    <col min="11252" max="11252" width="11.42578125" style="2006" customWidth="1"/>
    <col min="11253" max="11253" width="24.42578125" style="2006" bestFit="1" customWidth="1"/>
    <col min="11254" max="11254" width="8.5703125" style="2006" customWidth="1"/>
    <col min="11255" max="11255" width="11.42578125" style="2006" customWidth="1"/>
    <col min="11256" max="11256" width="15.5703125" style="2006" customWidth="1"/>
    <col min="11257" max="11257" width="15.85546875" style="2006" customWidth="1"/>
    <col min="11258" max="11258" width="15.42578125" style="2006" bestFit="1" customWidth="1"/>
    <col min="11259" max="11259" width="19.42578125" style="2006" bestFit="1" customWidth="1"/>
    <col min="11260" max="11260" width="15" style="2006" bestFit="1" customWidth="1"/>
    <col min="11261" max="11262" width="12" style="2006" bestFit="1" customWidth="1"/>
    <col min="11263" max="11263" width="8.85546875" style="2006" bestFit="1" customWidth="1"/>
    <col min="11264" max="11507" width="8.85546875" style="2006"/>
    <col min="11508" max="11508" width="11.42578125" style="2006" customWidth="1"/>
    <col min="11509" max="11509" width="24.42578125" style="2006" bestFit="1" customWidth="1"/>
    <col min="11510" max="11510" width="8.5703125" style="2006" customWidth="1"/>
    <col min="11511" max="11511" width="11.42578125" style="2006" customWidth="1"/>
    <col min="11512" max="11512" width="15.5703125" style="2006" customWidth="1"/>
    <col min="11513" max="11513" width="15.85546875" style="2006" customWidth="1"/>
    <col min="11514" max="11514" width="15.42578125" style="2006" bestFit="1" customWidth="1"/>
    <col min="11515" max="11515" width="19.42578125" style="2006" bestFit="1" customWidth="1"/>
    <col min="11516" max="11516" width="15" style="2006" bestFit="1" customWidth="1"/>
    <col min="11517" max="11518" width="12" style="2006" bestFit="1" customWidth="1"/>
    <col min="11519" max="11519" width="8.85546875" style="2006" bestFit="1" customWidth="1"/>
    <col min="11520" max="11763" width="8.85546875" style="2006"/>
    <col min="11764" max="11764" width="11.42578125" style="2006" customWidth="1"/>
    <col min="11765" max="11765" width="24.42578125" style="2006" bestFit="1" customWidth="1"/>
    <col min="11766" max="11766" width="8.5703125" style="2006" customWidth="1"/>
    <col min="11767" max="11767" width="11.42578125" style="2006" customWidth="1"/>
    <col min="11768" max="11768" width="15.5703125" style="2006" customWidth="1"/>
    <col min="11769" max="11769" width="15.85546875" style="2006" customWidth="1"/>
    <col min="11770" max="11770" width="15.42578125" style="2006" bestFit="1" customWidth="1"/>
    <col min="11771" max="11771" width="19.42578125" style="2006" bestFit="1" customWidth="1"/>
    <col min="11772" max="11772" width="15" style="2006" bestFit="1" customWidth="1"/>
    <col min="11773" max="11774" width="12" style="2006" bestFit="1" customWidth="1"/>
    <col min="11775" max="11775" width="8.85546875" style="2006" bestFit="1" customWidth="1"/>
    <col min="11776" max="12019" width="8.85546875" style="2006"/>
    <col min="12020" max="12020" width="11.42578125" style="2006" customWidth="1"/>
    <col min="12021" max="12021" width="24.42578125" style="2006" bestFit="1" customWidth="1"/>
    <col min="12022" max="12022" width="8.5703125" style="2006" customWidth="1"/>
    <col min="12023" max="12023" width="11.42578125" style="2006" customWidth="1"/>
    <col min="12024" max="12024" width="15.5703125" style="2006" customWidth="1"/>
    <col min="12025" max="12025" width="15.85546875" style="2006" customWidth="1"/>
    <col min="12026" max="12026" width="15.42578125" style="2006" bestFit="1" customWidth="1"/>
    <col min="12027" max="12027" width="19.42578125" style="2006" bestFit="1" customWidth="1"/>
    <col min="12028" max="12028" width="15" style="2006" bestFit="1" customWidth="1"/>
    <col min="12029" max="12030" width="12" style="2006" bestFit="1" customWidth="1"/>
    <col min="12031" max="12031" width="8.85546875" style="2006" bestFit="1" customWidth="1"/>
    <col min="12032" max="12275" width="8.85546875" style="2006"/>
    <col min="12276" max="12276" width="11.42578125" style="2006" customWidth="1"/>
    <col min="12277" max="12277" width="24.42578125" style="2006" bestFit="1" customWidth="1"/>
    <col min="12278" max="12278" width="8.5703125" style="2006" customWidth="1"/>
    <col min="12279" max="12279" width="11.42578125" style="2006" customWidth="1"/>
    <col min="12280" max="12280" width="15.5703125" style="2006" customWidth="1"/>
    <col min="12281" max="12281" width="15.85546875" style="2006" customWidth="1"/>
    <col min="12282" max="12282" width="15.42578125" style="2006" bestFit="1" customWidth="1"/>
    <col min="12283" max="12283" width="19.42578125" style="2006" bestFit="1" customWidth="1"/>
    <col min="12284" max="12284" width="15" style="2006" bestFit="1" customWidth="1"/>
    <col min="12285" max="12286" width="12" style="2006" bestFit="1" customWidth="1"/>
    <col min="12287" max="12287" width="8.85546875" style="2006" bestFit="1" customWidth="1"/>
    <col min="12288" max="12531" width="8.85546875" style="2006"/>
    <col min="12532" max="12532" width="11.42578125" style="2006" customWidth="1"/>
    <col min="12533" max="12533" width="24.42578125" style="2006" bestFit="1" customWidth="1"/>
    <col min="12534" max="12534" width="8.5703125" style="2006" customWidth="1"/>
    <col min="12535" max="12535" width="11.42578125" style="2006" customWidth="1"/>
    <col min="12536" max="12536" width="15.5703125" style="2006" customWidth="1"/>
    <col min="12537" max="12537" width="15.85546875" style="2006" customWidth="1"/>
    <col min="12538" max="12538" width="15.42578125" style="2006" bestFit="1" customWidth="1"/>
    <col min="12539" max="12539" width="19.42578125" style="2006" bestFit="1" customWidth="1"/>
    <col min="12540" max="12540" width="15" style="2006" bestFit="1" customWidth="1"/>
    <col min="12541" max="12542" width="12" style="2006" bestFit="1" customWidth="1"/>
    <col min="12543" max="12543" width="8.85546875" style="2006" bestFit="1" customWidth="1"/>
    <col min="12544" max="12787" width="8.85546875" style="2006"/>
    <col min="12788" max="12788" width="11.42578125" style="2006" customWidth="1"/>
    <col min="12789" max="12789" width="24.42578125" style="2006" bestFit="1" customWidth="1"/>
    <col min="12790" max="12790" width="8.5703125" style="2006" customWidth="1"/>
    <col min="12791" max="12791" width="11.42578125" style="2006" customWidth="1"/>
    <col min="12792" max="12792" width="15.5703125" style="2006" customWidth="1"/>
    <col min="12793" max="12793" width="15.85546875" style="2006" customWidth="1"/>
    <col min="12794" max="12794" width="15.42578125" style="2006" bestFit="1" customWidth="1"/>
    <col min="12795" max="12795" width="19.42578125" style="2006" bestFit="1" customWidth="1"/>
    <col min="12796" max="12796" width="15" style="2006" bestFit="1" customWidth="1"/>
    <col min="12797" max="12798" width="12" style="2006" bestFit="1" customWidth="1"/>
    <col min="12799" max="12799" width="8.85546875" style="2006" bestFit="1" customWidth="1"/>
    <col min="12800" max="13043" width="8.85546875" style="2006"/>
    <col min="13044" max="13044" width="11.42578125" style="2006" customWidth="1"/>
    <col min="13045" max="13045" width="24.42578125" style="2006" bestFit="1" customWidth="1"/>
    <col min="13046" max="13046" width="8.5703125" style="2006" customWidth="1"/>
    <col min="13047" max="13047" width="11.42578125" style="2006" customWidth="1"/>
    <col min="13048" max="13048" width="15.5703125" style="2006" customWidth="1"/>
    <col min="13049" max="13049" width="15.85546875" style="2006" customWidth="1"/>
    <col min="13050" max="13050" width="15.42578125" style="2006" bestFit="1" customWidth="1"/>
    <col min="13051" max="13051" width="19.42578125" style="2006" bestFit="1" customWidth="1"/>
    <col min="13052" max="13052" width="15" style="2006" bestFit="1" customWidth="1"/>
    <col min="13053" max="13054" width="12" style="2006" bestFit="1" customWidth="1"/>
    <col min="13055" max="13055" width="8.85546875" style="2006" bestFit="1" customWidth="1"/>
    <col min="13056" max="13299" width="8.85546875" style="2006"/>
    <col min="13300" max="13300" width="11.42578125" style="2006" customWidth="1"/>
    <col min="13301" max="13301" width="24.42578125" style="2006" bestFit="1" customWidth="1"/>
    <col min="13302" max="13302" width="8.5703125" style="2006" customWidth="1"/>
    <col min="13303" max="13303" width="11.42578125" style="2006" customWidth="1"/>
    <col min="13304" max="13304" width="15.5703125" style="2006" customWidth="1"/>
    <col min="13305" max="13305" width="15.85546875" style="2006" customWidth="1"/>
    <col min="13306" max="13306" width="15.42578125" style="2006" bestFit="1" customWidth="1"/>
    <col min="13307" max="13307" width="19.42578125" style="2006" bestFit="1" customWidth="1"/>
    <col min="13308" max="13308" width="15" style="2006" bestFit="1" customWidth="1"/>
    <col min="13309" max="13310" width="12" style="2006" bestFit="1" customWidth="1"/>
    <col min="13311" max="13311" width="8.85546875" style="2006" bestFit="1" customWidth="1"/>
    <col min="13312" max="13555" width="8.85546875" style="2006"/>
    <col min="13556" max="13556" width="11.42578125" style="2006" customWidth="1"/>
    <col min="13557" max="13557" width="24.42578125" style="2006" bestFit="1" customWidth="1"/>
    <col min="13558" max="13558" width="8.5703125" style="2006" customWidth="1"/>
    <col min="13559" max="13559" width="11.42578125" style="2006" customWidth="1"/>
    <col min="13560" max="13560" width="15.5703125" style="2006" customWidth="1"/>
    <col min="13561" max="13561" width="15.85546875" style="2006" customWidth="1"/>
    <col min="13562" max="13562" width="15.42578125" style="2006" bestFit="1" customWidth="1"/>
    <col min="13563" max="13563" width="19.42578125" style="2006" bestFit="1" customWidth="1"/>
    <col min="13564" max="13564" width="15" style="2006" bestFit="1" customWidth="1"/>
    <col min="13565" max="13566" width="12" style="2006" bestFit="1" customWidth="1"/>
    <col min="13567" max="13567" width="8.85546875" style="2006" bestFit="1" customWidth="1"/>
    <col min="13568" max="13811" width="8.85546875" style="2006"/>
    <col min="13812" max="13812" width="11.42578125" style="2006" customWidth="1"/>
    <col min="13813" max="13813" width="24.42578125" style="2006" bestFit="1" customWidth="1"/>
    <col min="13814" max="13814" width="8.5703125" style="2006" customWidth="1"/>
    <col min="13815" max="13815" width="11.42578125" style="2006" customWidth="1"/>
    <col min="13816" max="13816" width="15.5703125" style="2006" customWidth="1"/>
    <col min="13817" max="13817" width="15.85546875" style="2006" customWidth="1"/>
    <col min="13818" max="13818" width="15.42578125" style="2006" bestFit="1" customWidth="1"/>
    <col min="13819" max="13819" width="19.42578125" style="2006" bestFit="1" customWidth="1"/>
    <col min="13820" max="13820" width="15" style="2006" bestFit="1" customWidth="1"/>
    <col min="13821" max="13822" width="12" style="2006" bestFit="1" customWidth="1"/>
    <col min="13823" max="13823" width="8.85546875" style="2006" bestFit="1" customWidth="1"/>
    <col min="13824" max="14067" width="8.85546875" style="2006"/>
    <col min="14068" max="14068" width="11.42578125" style="2006" customWidth="1"/>
    <col min="14069" max="14069" width="24.42578125" style="2006" bestFit="1" customWidth="1"/>
    <col min="14070" max="14070" width="8.5703125" style="2006" customWidth="1"/>
    <col min="14071" max="14071" width="11.42578125" style="2006" customWidth="1"/>
    <col min="14072" max="14072" width="15.5703125" style="2006" customWidth="1"/>
    <col min="14073" max="14073" width="15.85546875" style="2006" customWidth="1"/>
    <col min="14074" max="14074" width="15.42578125" style="2006" bestFit="1" customWidth="1"/>
    <col min="14075" max="14075" width="19.42578125" style="2006" bestFit="1" customWidth="1"/>
    <col min="14076" max="14076" width="15" style="2006" bestFit="1" customWidth="1"/>
    <col min="14077" max="14078" width="12" style="2006" bestFit="1" customWidth="1"/>
    <col min="14079" max="14079" width="8.85546875" style="2006" bestFit="1" customWidth="1"/>
    <col min="14080" max="14323" width="8.85546875" style="2006"/>
    <col min="14324" max="14324" width="11.42578125" style="2006" customWidth="1"/>
    <col min="14325" max="14325" width="24.42578125" style="2006" bestFit="1" customWidth="1"/>
    <col min="14326" max="14326" width="8.5703125" style="2006" customWidth="1"/>
    <col min="14327" max="14327" width="11.42578125" style="2006" customWidth="1"/>
    <col min="14328" max="14328" width="15.5703125" style="2006" customWidth="1"/>
    <col min="14329" max="14329" width="15.85546875" style="2006" customWidth="1"/>
    <col min="14330" max="14330" width="15.42578125" style="2006" bestFit="1" customWidth="1"/>
    <col min="14331" max="14331" width="19.42578125" style="2006" bestFit="1" customWidth="1"/>
    <col min="14332" max="14332" width="15" style="2006" bestFit="1" customWidth="1"/>
    <col min="14333" max="14334" width="12" style="2006" bestFit="1" customWidth="1"/>
    <col min="14335" max="14335" width="8.85546875" style="2006" bestFit="1" customWidth="1"/>
    <col min="14336" max="14579" width="8.85546875" style="2006"/>
    <col min="14580" max="14580" width="11.42578125" style="2006" customWidth="1"/>
    <col min="14581" max="14581" width="24.42578125" style="2006" bestFit="1" customWidth="1"/>
    <col min="14582" max="14582" width="8.5703125" style="2006" customWidth="1"/>
    <col min="14583" max="14583" width="11.42578125" style="2006" customWidth="1"/>
    <col min="14584" max="14584" width="15.5703125" style="2006" customWidth="1"/>
    <col min="14585" max="14585" width="15.85546875" style="2006" customWidth="1"/>
    <col min="14586" max="14586" width="15.42578125" style="2006" bestFit="1" customWidth="1"/>
    <col min="14587" max="14587" width="19.42578125" style="2006" bestFit="1" customWidth="1"/>
    <col min="14588" max="14588" width="15" style="2006" bestFit="1" customWidth="1"/>
    <col min="14589" max="14590" width="12" style="2006" bestFit="1" customWidth="1"/>
    <col min="14591" max="14591" width="8.85546875" style="2006" bestFit="1" customWidth="1"/>
    <col min="14592" max="14835" width="8.85546875" style="2006"/>
    <col min="14836" max="14836" width="11.42578125" style="2006" customWidth="1"/>
    <col min="14837" max="14837" width="24.42578125" style="2006" bestFit="1" customWidth="1"/>
    <col min="14838" max="14838" width="8.5703125" style="2006" customWidth="1"/>
    <col min="14839" max="14839" width="11.42578125" style="2006" customWidth="1"/>
    <col min="14840" max="14840" width="15.5703125" style="2006" customWidth="1"/>
    <col min="14841" max="14841" width="15.85546875" style="2006" customWidth="1"/>
    <col min="14842" max="14842" width="15.42578125" style="2006" bestFit="1" customWidth="1"/>
    <col min="14843" max="14843" width="19.42578125" style="2006" bestFit="1" customWidth="1"/>
    <col min="14844" max="14844" width="15" style="2006" bestFit="1" customWidth="1"/>
    <col min="14845" max="14846" width="12" style="2006" bestFit="1" customWidth="1"/>
    <col min="14847" max="14847" width="8.85546875" style="2006" bestFit="1" customWidth="1"/>
    <col min="14848" max="15091" width="8.85546875" style="2006"/>
    <col min="15092" max="15092" width="11.42578125" style="2006" customWidth="1"/>
    <col min="15093" max="15093" width="24.42578125" style="2006" bestFit="1" customWidth="1"/>
    <col min="15094" max="15094" width="8.5703125" style="2006" customWidth="1"/>
    <col min="15095" max="15095" width="11.42578125" style="2006" customWidth="1"/>
    <col min="15096" max="15096" width="15.5703125" style="2006" customWidth="1"/>
    <col min="15097" max="15097" width="15.85546875" style="2006" customWidth="1"/>
    <col min="15098" max="15098" width="15.42578125" style="2006" bestFit="1" customWidth="1"/>
    <col min="15099" max="15099" width="19.42578125" style="2006" bestFit="1" customWidth="1"/>
    <col min="15100" max="15100" width="15" style="2006" bestFit="1" customWidth="1"/>
    <col min="15101" max="15102" width="12" style="2006" bestFit="1" customWidth="1"/>
    <col min="15103" max="15103" width="8.85546875" style="2006" bestFit="1" customWidth="1"/>
    <col min="15104" max="15347" width="8.85546875" style="2006"/>
    <col min="15348" max="15348" width="11.42578125" style="2006" customWidth="1"/>
    <col min="15349" max="15349" width="24.42578125" style="2006" bestFit="1" customWidth="1"/>
    <col min="15350" max="15350" width="8.5703125" style="2006" customWidth="1"/>
    <col min="15351" max="15351" width="11.42578125" style="2006" customWidth="1"/>
    <col min="15352" max="15352" width="15.5703125" style="2006" customWidth="1"/>
    <col min="15353" max="15353" width="15.85546875" style="2006" customWidth="1"/>
    <col min="15354" max="15354" width="15.42578125" style="2006" bestFit="1" customWidth="1"/>
    <col min="15355" max="15355" width="19.42578125" style="2006" bestFit="1" customWidth="1"/>
    <col min="15356" max="15356" width="15" style="2006" bestFit="1" customWidth="1"/>
    <col min="15357" max="15358" width="12" style="2006" bestFit="1" customWidth="1"/>
    <col min="15359" max="15359" width="8.85546875" style="2006" bestFit="1" customWidth="1"/>
    <col min="15360" max="15603" width="8.85546875" style="2006"/>
    <col min="15604" max="15604" width="11.42578125" style="2006" customWidth="1"/>
    <col min="15605" max="15605" width="24.42578125" style="2006" bestFit="1" customWidth="1"/>
    <col min="15606" max="15606" width="8.5703125" style="2006" customWidth="1"/>
    <col min="15607" max="15607" width="11.42578125" style="2006" customWidth="1"/>
    <col min="15608" max="15608" width="15.5703125" style="2006" customWidth="1"/>
    <col min="15609" max="15609" width="15.85546875" style="2006" customWidth="1"/>
    <col min="15610" max="15610" width="15.42578125" style="2006" bestFit="1" customWidth="1"/>
    <col min="15611" max="15611" width="19.42578125" style="2006" bestFit="1" customWidth="1"/>
    <col min="15612" max="15612" width="15" style="2006" bestFit="1" customWidth="1"/>
    <col min="15613" max="15614" width="12" style="2006" bestFit="1" customWidth="1"/>
    <col min="15615" max="15615" width="8.85546875" style="2006" bestFit="1" customWidth="1"/>
    <col min="15616" max="15859" width="8.85546875" style="2006"/>
    <col min="15860" max="15860" width="11.42578125" style="2006" customWidth="1"/>
    <col min="15861" max="15861" width="24.42578125" style="2006" bestFit="1" customWidth="1"/>
    <col min="15862" max="15862" width="8.5703125" style="2006" customWidth="1"/>
    <col min="15863" max="15863" width="11.42578125" style="2006" customWidth="1"/>
    <col min="15864" max="15864" width="15.5703125" style="2006" customWidth="1"/>
    <col min="15865" max="15865" width="15.85546875" style="2006" customWidth="1"/>
    <col min="15866" max="15866" width="15.42578125" style="2006" bestFit="1" customWidth="1"/>
    <col min="15867" max="15867" width="19.42578125" style="2006" bestFit="1" customWidth="1"/>
    <col min="15868" max="15868" width="15" style="2006" bestFit="1" customWidth="1"/>
    <col min="15869" max="15870" width="12" style="2006" bestFit="1" customWidth="1"/>
    <col min="15871" max="15871" width="8.85546875" style="2006" bestFit="1" customWidth="1"/>
    <col min="15872" max="16115" width="8.85546875" style="2006"/>
    <col min="16116" max="16116" width="11.42578125" style="2006" customWidth="1"/>
    <col min="16117" max="16117" width="24.42578125" style="2006" bestFit="1" customWidth="1"/>
    <col min="16118" max="16118" width="8.5703125" style="2006" customWidth="1"/>
    <col min="16119" max="16119" width="11.42578125" style="2006" customWidth="1"/>
    <col min="16120" max="16120" width="15.5703125" style="2006" customWidth="1"/>
    <col min="16121" max="16121" width="15.85546875" style="2006" customWidth="1"/>
    <col min="16122" max="16122" width="15.42578125" style="2006" bestFit="1" customWidth="1"/>
    <col min="16123" max="16123" width="19.42578125" style="2006" bestFit="1" customWidth="1"/>
    <col min="16124" max="16124" width="15" style="2006" bestFit="1" customWidth="1"/>
    <col min="16125" max="16126" width="12" style="2006" bestFit="1" customWidth="1"/>
    <col min="16127" max="16127" width="8.85546875" style="2006" bestFit="1" customWidth="1"/>
    <col min="16128" max="16384" width="8.85546875" style="2006"/>
  </cols>
  <sheetData>
    <row r="1" spans="1:13" s="2005" customFormat="1" ht="60">
      <c r="A1" s="958" t="s">
        <v>4040</v>
      </c>
      <c r="B1" s="958"/>
      <c r="C1" s="958" t="s">
        <v>8290</v>
      </c>
      <c r="D1" s="958" t="s">
        <v>8291</v>
      </c>
      <c r="E1" s="958" t="s">
        <v>4043</v>
      </c>
      <c r="F1" s="958" t="s">
        <v>4044</v>
      </c>
      <c r="G1" s="958" t="s">
        <v>4045</v>
      </c>
      <c r="H1" s="2002" t="s">
        <v>8292</v>
      </c>
      <c r="I1" s="960" t="s">
        <v>8293</v>
      </c>
      <c r="J1" s="2003" t="s">
        <v>8294</v>
      </c>
      <c r="K1" s="2002" t="s">
        <v>8295</v>
      </c>
      <c r="L1" s="2002" t="s">
        <v>8296</v>
      </c>
      <c r="M1" s="2004" t="s">
        <v>8297</v>
      </c>
    </row>
    <row r="2" spans="1:13" ht="15">
      <c r="A2" t="s">
        <v>3365</v>
      </c>
      <c r="B2" s="1040" t="str">
        <f>CONCATENATE(LEFT(RIGHT(CONCATENATE("000",IFAData_TEA_1819!A2),6),3),"-",(RIGHT(RIGHT(CONCATENATE("000",IFAData_TEA_1819!A2),6),3)))</f>
        <v>001-903</v>
      </c>
      <c r="C2" t="s">
        <v>280</v>
      </c>
      <c r="D2">
        <v>10</v>
      </c>
      <c r="E2">
        <v>1801</v>
      </c>
      <c r="F2" t="s">
        <v>4052</v>
      </c>
      <c r="G2" t="s">
        <v>4052</v>
      </c>
      <c r="H2">
        <v>319250</v>
      </c>
      <c r="I2">
        <v>620731</v>
      </c>
      <c r="J2">
        <v>0.63334663155392301</v>
      </c>
      <c r="K2">
        <v>202195.91212359001</v>
      </c>
      <c r="L2">
        <v>202195.91212359001</v>
      </c>
      <c r="M2">
        <v>599</v>
      </c>
    </row>
    <row r="3" spans="1:13" ht="15">
      <c r="A3" t="s">
        <v>3365</v>
      </c>
      <c r="B3" s="1040" t="str">
        <f>CONCATENATE(LEFT(RIGHT(CONCATENATE("000",IFAData_TEA_1819!A3),6),3),"-",(RIGHT(RIGHT(CONCATENATE("000",IFAData_TEA_1819!A3),6),3)))</f>
        <v>001-903</v>
      </c>
      <c r="C3" t="s">
        <v>280</v>
      </c>
      <c r="D3">
        <v>10</v>
      </c>
      <c r="E3">
        <v>1801</v>
      </c>
      <c r="F3" t="s">
        <v>4052</v>
      </c>
      <c r="G3" t="s">
        <v>8298</v>
      </c>
      <c r="H3">
        <v>319250</v>
      </c>
      <c r="I3">
        <v>359350</v>
      </c>
      <c r="J3">
        <v>0.36665336844607699</v>
      </c>
      <c r="K3">
        <v>117054.08787641001</v>
      </c>
      <c r="L3">
        <v>117054.08787641001</v>
      </c>
      <c r="M3">
        <v>599</v>
      </c>
    </row>
    <row r="4" spans="1:13" ht="15">
      <c r="A4" t="s">
        <v>5753</v>
      </c>
      <c r="B4" s="1040" t="str">
        <f>CONCATENATE(LEFT(RIGHT(CONCATENATE("000",IFAData_TEA_1819!A4),6),3),"-",(RIGHT(RIGHT(CONCATENATE("000",IFAData_TEA_1819!A4),6),3)))</f>
        <v>001-904</v>
      </c>
      <c r="C4" t="s">
        <v>281</v>
      </c>
      <c r="D4">
        <v>11</v>
      </c>
      <c r="E4">
        <v>2543</v>
      </c>
      <c r="F4" t="s">
        <v>8299</v>
      </c>
      <c r="G4" t="s">
        <v>8299</v>
      </c>
      <c r="H4">
        <v>195039</v>
      </c>
      <c r="I4">
        <v>392462</v>
      </c>
      <c r="J4">
        <v>1</v>
      </c>
      <c r="K4">
        <v>195039</v>
      </c>
      <c r="L4">
        <v>195039</v>
      </c>
      <c r="M4">
        <v>599</v>
      </c>
    </row>
    <row r="5" spans="1:13" ht="15">
      <c r="A5" t="s">
        <v>3366</v>
      </c>
      <c r="B5" s="1040" t="str">
        <f>CONCATENATE(LEFT(RIGHT(CONCATENATE("000",IFAData_TEA_1819!A5),6),3),"-",(RIGHT(RIGHT(CONCATENATE("000",IFAData_TEA_1819!A5),6),3)))</f>
        <v>001-907</v>
      </c>
      <c r="C5" t="s">
        <v>283</v>
      </c>
      <c r="D5">
        <v>10</v>
      </c>
      <c r="E5">
        <v>2170</v>
      </c>
      <c r="F5" t="s">
        <v>4053</v>
      </c>
      <c r="G5" t="s">
        <v>4053</v>
      </c>
      <c r="H5">
        <v>751572</v>
      </c>
      <c r="I5">
        <v>1288315</v>
      </c>
      <c r="J5">
        <v>0.39833747136103498</v>
      </c>
      <c r="K5">
        <v>299379.290025756</v>
      </c>
      <c r="L5">
        <v>299379.290025756</v>
      </c>
      <c r="M5">
        <v>599</v>
      </c>
    </row>
    <row r="6" spans="1:13" ht="15">
      <c r="A6" t="s">
        <v>3366</v>
      </c>
      <c r="B6" s="1040" t="str">
        <f>CONCATENATE(LEFT(RIGHT(CONCATENATE("000",IFAData_TEA_1819!A6),6),3),"-",(RIGHT(RIGHT(CONCATENATE("000",IFAData_TEA_1819!A6),6),3)))</f>
        <v>001-907</v>
      </c>
      <c r="C6" t="s">
        <v>283</v>
      </c>
      <c r="D6">
        <v>10</v>
      </c>
      <c r="E6">
        <v>2170</v>
      </c>
      <c r="F6" t="s">
        <v>4053</v>
      </c>
      <c r="G6" t="s">
        <v>6395</v>
      </c>
      <c r="H6">
        <v>751572</v>
      </c>
      <c r="I6">
        <v>1945915</v>
      </c>
      <c r="J6">
        <v>0.60166252863896497</v>
      </c>
      <c r="K6">
        <v>452192.709974244</v>
      </c>
      <c r="L6">
        <v>452192.709974244</v>
      </c>
      <c r="M6">
        <v>599</v>
      </c>
    </row>
    <row r="7" spans="1:13" ht="15">
      <c r="A7" t="s">
        <v>5755</v>
      </c>
      <c r="B7" s="1040" t="str">
        <f>CONCATENATE(LEFT(RIGHT(CONCATENATE("000",IFAData_TEA_1819!A7),6),3),"-",(RIGHT(RIGHT(CONCATENATE("000",IFAData_TEA_1819!A7),6),3)))</f>
        <v>001-909</v>
      </c>
      <c r="C7" t="s">
        <v>1189</v>
      </c>
      <c r="D7">
        <v>11</v>
      </c>
      <c r="E7">
        <v>2578</v>
      </c>
      <c r="F7" t="s">
        <v>8300</v>
      </c>
      <c r="G7" t="s">
        <v>8300</v>
      </c>
      <c r="H7">
        <v>100000</v>
      </c>
      <c r="I7">
        <v>202300</v>
      </c>
      <c r="J7">
        <v>1</v>
      </c>
      <c r="K7">
        <v>100000</v>
      </c>
      <c r="L7">
        <v>100000</v>
      </c>
      <c r="M7">
        <v>599</v>
      </c>
    </row>
    <row r="8" spans="1:13" ht="15">
      <c r="A8" t="s">
        <v>3367</v>
      </c>
      <c r="B8" s="1040" t="str">
        <f>CONCATENATE(LEFT(RIGHT(CONCATENATE("000",IFAData_TEA_1819!A8),6),3),"-",(RIGHT(RIGHT(CONCATENATE("000",IFAData_TEA_1819!A8),6),3)))</f>
        <v>003-902</v>
      </c>
      <c r="C8" t="s">
        <v>2382</v>
      </c>
      <c r="D8">
        <v>4</v>
      </c>
      <c r="E8">
        <v>1909</v>
      </c>
      <c r="F8" t="s">
        <v>4054</v>
      </c>
      <c r="G8" t="s">
        <v>4054</v>
      </c>
      <c r="H8">
        <v>522310</v>
      </c>
      <c r="I8">
        <v>0</v>
      </c>
      <c r="J8">
        <v>0</v>
      </c>
      <c r="K8">
        <v>0</v>
      </c>
      <c r="L8">
        <v>0</v>
      </c>
      <c r="M8">
        <v>599</v>
      </c>
    </row>
    <row r="9" spans="1:13" ht="15">
      <c r="A9" t="s">
        <v>3367</v>
      </c>
      <c r="B9" s="1040" t="str">
        <f>CONCATENATE(LEFT(RIGHT(CONCATENATE("000",IFAData_TEA_1819!A9),6),3),"-",(RIGHT(RIGHT(CONCATENATE("000",IFAData_TEA_1819!A9),6),3)))</f>
        <v>003-902</v>
      </c>
      <c r="C9" t="s">
        <v>2382</v>
      </c>
      <c r="D9">
        <v>4</v>
      </c>
      <c r="E9">
        <v>1909</v>
      </c>
      <c r="F9" t="s">
        <v>4054</v>
      </c>
      <c r="G9" t="s">
        <v>4055</v>
      </c>
      <c r="H9">
        <v>522310</v>
      </c>
      <c r="I9">
        <v>0</v>
      </c>
      <c r="J9">
        <v>0</v>
      </c>
      <c r="K9">
        <v>0</v>
      </c>
      <c r="L9">
        <v>0</v>
      </c>
      <c r="M9">
        <v>599</v>
      </c>
    </row>
    <row r="10" spans="1:13" ht="15">
      <c r="A10" t="s">
        <v>3367</v>
      </c>
      <c r="B10" s="1040" t="str">
        <f>CONCATENATE(LEFT(RIGHT(CONCATENATE("000",IFAData_TEA_1819!A10),6),3),"-",(RIGHT(RIGHT(CONCATENATE("000",IFAData_TEA_1819!A10),6),3)))</f>
        <v>003-902</v>
      </c>
      <c r="C10" t="s">
        <v>2382</v>
      </c>
      <c r="D10">
        <v>4</v>
      </c>
      <c r="E10">
        <v>1909</v>
      </c>
      <c r="F10" t="s">
        <v>4054</v>
      </c>
      <c r="G10" t="s">
        <v>4056</v>
      </c>
      <c r="H10">
        <v>522310</v>
      </c>
      <c r="I10">
        <v>448755</v>
      </c>
      <c r="J10">
        <v>1</v>
      </c>
      <c r="K10">
        <v>522310</v>
      </c>
      <c r="L10">
        <v>448755</v>
      </c>
      <c r="M10">
        <v>599</v>
      </c>
    </row>
    <row r="11" spans="1:13" ht="15">
      <c r="A11" t="s">
        <v>3367</v>
      </c>
      <c r="B11" s="1040" t="str">
        <f>CONCATENATE(LEFT(RIGHT(CONCATENATE("000",IFAData_TEA_1819!A11),6),3),"-",(RIGHT(RIGHT(CONCATENATE("000",IFAData_TEA_1819!A11),6),3)))</f>
        <v>003-902</v>
      </c>
      <c r="C11" t="s">
        <v>2382</v>
      </c>
      <c r="D11">
        <v>9</v>
      </c>
      <c r="E11">
        <v>1910</v>
      </c>
      <c r="F11" t="s">
        <v>4057</v>
      </c>
      <c r="G11" t="s">
        <v>4057</v>
      </c>
      <c r="H11">
        <v>578788</v>
      </c>
      <c r="I11">
        <v>0</v>
      </c>
      <c r="J11">
        <v>0</v>
      </c>
      <c r="K11">
        <v>0</v>
      </c>
      <c r="L11">
        <v>0</v>
      </c>
      <c r="M11">
        <v>599</v>
      </c>
    </row>
    <row r="12" spans="1:13" ht="15">
      <c r="A12" t="s">
        <v>3367</v>
      </c>
      <c r="B12" s="1040" t="str">
        <f>CONCATENATE(LEFT(RIGHT(CONCATENATE("000",IFAData_TEA_1819!A12),6),3),"-",(RIGHT(RIGHT(CONCATENATE("000",IFAData_TEA_1819!A12),6),3)))</f>
        <v>003-902</v>
      </c>
      <c r="C12" t="s">
        <v>2382</v>
      </c>
      <c r="D12">
        <v>9</v>
      </c>
      <c r="E12">
        <v>1910</v>
      </c>
      <c r="F12" t="s">
        <v>4057</v>
      </c>
      <c r="G12" t="s">
        <v>6396</v>
      </c>
      <c r="H12">
        <v>578788</v>
      </c>
      <c r="I12">
        <v>517843</v>
      </c>
      <c r="J12">
        <v>1</v>
      </c>
      <c r="K12">
        <v>578788</v>
      </c>
      <c r="L12">
        <v>517843</v>
      </c>
      <c r="M12">
        <v>599</v>
      </c>
    </row>
    <row r="13" spans="1:13" ht="15">
      <c r="A13" t="s">
        <v>3367</v>
      </c>
      <c r="B13" s="1040" t="str">
        <f>CONCATENATE(LEFT(RIGHT(CONCATENATE("000",IFAData_TEA_1819!A13),6),3),"-",(RIGHT(RIGHT(CONCATENATE("000",IFAData_TEA_1819!A13),6),3)))</f>
        <v>003-902</v>
      </c>
      <c r="C13" t="s">
        <v>2382</v>
      </c>
      <c r="D13">
        <v>10</v>
      </c>
      <c r="E13">
        <v>1908</v>
      </c>
      <c r="F13" t="s">
        <v>4058</v>
      </c>
      <c r="G13" t="s">
        <v>4058</v>
      </c>
      <c r="H13">
        <v>61268</v>
      </c>
      <c r="I13">
        <v>154975</v>
      </c>
      <c r="J13">
        <v>0.70122213323559901</v>
      </c>
      <c r="K13">
        <v>42962.477659078701</v>
      </c>
      <c r="L13">
        <v>42962.477659078701</v>
      </c>
      <c r="M13">
        <v>599</v>
      </c>
    </row>
    <row r="14" spans="1:13" ht="15">
      <c r="A14" t="s">
        <v>3367</v>
      </c>
      <c r="B14" s="1040" t="str">
        <f>CONCATENATE(LEFT(RIGHT(CONCATENATE("000",IFAData_TEA_1819!A14),6),3),"-",(RIGHT(RIGHT(CONCATENATE("000",IFAData_TEA_1819!A14),6),3)))</f>
        <v>003-902</v>
      </c>
      <c r="C14" t="s">
        <v>2382</v>
      </c>
      <c r="D14">
        <v>10</v>
      </c>
      <c r="E14">
        <v>1908</v>
      </c>
      <c r="F14" t="s">
        <v>4058</v>
      </c>
      <c r="G14" t="s">
        <v>8301</v>
      </c>
      <c r="H14">
        <v>61268</v>
      </c>
      <c r="I14">
        <v>66032</v>
      </c>
      <c r="J14">
        <v>0.29877786676440099</v>
      </c>
      <c r="K14">
        <v>18305.522340921299</v>
      </c>
      <c r="L14">
        <v>18305.522340921299</v>
      </c>
      <c r="M14">
        <v>599</v>
      </c>
    </row>
    <row r="15" spans="1:13" ht="15">
      <c r="A15" t="s">
        <v>3367</v>
      </c>
      <c r="B15" s="1040" t="str">
        <f>CONCATENATE(LEFT(RIGHT(CONCATENATE("000",IFAData_TEA_1819!A15),6),3),"-",(RIGHT(RIGHT(CONCATENATE("000",IFAData_TEA_1819!A15),6),3)))</f>
        <v>003-902</v>
      </c>
      <c r="C15" t="s">
        <v>2382</v>
      </c>
      <c r="D15">
        <v>10</v>
      </c>
      <c r="E15">
        <v>1908</v>
      </c>
      <c r="F15" t="s">
        <v>4058</v>
      </c>
      <c r="G15" t="s">
        <v>8302</v>
      </c>
      <c r="H15">
        <v>61268</v>
      </c>
      <c r="I15">
        <v>0</v>
      </c>
      <c r="J15">
        <v>0</v>
      </c>
      <c r="K15">
        <v>0</v>
      </c>
      <c r="L15">
        <v>0</v>
      </c>
      <c r="M15">
        <v>599</v>
      </c>
    </row>
    <row r="16" spans="1:13" ht="15">
      <c r="A16" t="s">
        <v>3368</v>
      </c>
      <c r="B16" s="1040" t="str">
        <f>CONCATENATE(LEFT(RIGHT(CONCATENATE("000",IFAData_TEA_1819!A16),6),3),"-",(RIGHT(RIGHT(CONCATENATE("000",IFAData_TEA_1819!A16),6),3)))</f>
        <v>003-904</v>
      </c>
      <c r="C16" t="s">
        <v>1266</v>
      </c>
      <c r="D16">
        <v>3</v>
      </c>
      <c r="E16">
        <v>1916</v>
      </c>
      <c r="F16" t="s">
        <v>4059</v>
      </c>
      <c r="G16" t="s">
        <v>4059</v>
      </c>
      <c r="H16">
        <v>73837</v>
      </c>
      <c r="I16">
        <v>0</v>
      </c>
      <c r="J16">
        <v>0</v>
      </c>
      <c r="K16">
        <v>0</v>
      </c>
      <c r="L16">
        <v>0</v>
      </c>
      <c r="M16">
        <v>599</v>
      </c>
    </row>
    <row r="17" spans="1:13" ht="15">
      <c r="A17" t="s">
        <v>3368</v>
      </c>
      <c r="B17" s="1040" t="str">
        <f>CONCATENATE(LEFT(RIGHT(CONCATENATE("000",IFAData_TEA_1819!A17),6),3),"-",(RIGHT(RIGHT(CONCATENATE("000",IFAData_TEA_1819!A17),6),3)))</f>
        <v>003-904</v>
      </c>
      <c r="C17" t="s">
        <v>1266</v>
      </c>
      <c r="D17">
        <v>3</v>
      </c>
      <c r="E17">
        <v>1916</v>
      </c>
      <c r="F17" t="s">
        <v>4059</v>
      </c>
      <c r="G17" t="s">
        <v>4060</v>
      </c>
      <c r="H17">
        <v>73837</v>
      </c>
      <c r="I17">
        <v>447111</v>
      </c>
      <c r="J17">
        <v>1</v>
      </c>
      <c r="K17">
        <v>73837</v>
      </c>
      <c r="L17">
        <v>73837</v>
      </c>
      <c r="M17">
        <v>599</v>
      </c>
    </row>
    <row r="18" spans="1:13" ht="15">
      <c r="A18" t="s">
        <v>3368</v>
      </c>
      <c r="B18" s="1040" t="str">
        <f>CONCATENATE(LEFT(RIGHT(CONCATENATE("000",IFAData_TEA_1819!A18),6),3),"-",(RIGHT(RIGHT(CONCATENATE("000",IFAData_TEA_1819!A18),6),3)))</f>
        <v>003-904</v>
      </c>
      <c r="C18" t="s">
        <v>1266</v>
      </c>
      <c r="D18">
        <v>3</v>
      </c>
      <c r="E18">
        <v>1917</v>
      </c>
      <c r="F18" t="s">
        <v>4061</v>
      </c>
      <c r="G18" t="s">
        <v>4061</v>
      </c>
      <c r="H18">
        <v>254314</v>
      </c>
      <c r="I18">
        <v>0</v>
      </c>
      <c r="J18">
        <v>0</v>
      </c>
      <c r="K18">
        <v>0</v>
      </c>
      <c r="L18">
        <v>0</v>
      </c>
      <c r="M18">
        <v>599</v>
      </c>
    </row>
    <row r="19" spans="1:13" ht="15">
      <c r="A19" t="s">
        <v>3368</v>
      </c>
      <c r="B19" s="1040" t="str">
        <f>CONCATENATE(LEFT(RIGHT(CONCATENATE("000",IFAData_TEA_1819!A19),6),3),"-",(RIGHT(RIGHT(CONCATENATE("000",IFAData_TEA_1819!A19),6),3)))</f>
        <v>003-904</v>
      </c>
      <c r="C19" t="s">
        <v>1266</v>
      </c>
      <c r="D19">
        <v>3</v>
      </c>
      <c r="E19">
        <v>1917</v>
      </c>
      <c r="F19" t="s">
        <v>4061</v>
      </c>
      <c r="G19" t="s">
        <v>4060</v>
      </c>
      <c r="H19">
        <v>254314</v>
      </c>
      <c r="I19">
        <v>205578</v>
      </c>
      <c r="J19">
        <v>1</v>
      </c>
      <c r="K19">
        <v>254314</v>
      </c>
      <c r="L19">
        <v>205578</v>
      </c>
      <c r="M19">
        <v>599</v>
      </c>
    </row>
    <row r="20" spans="1:13" ht="15">
      <c r="A20" t="s">
        <v>3368</v>
      </c>
      <c r="B20" s="1040" t="str">
        <f>CONCATENATE(LEFT(RIGHT(CONCATENATE("000",IFAData_TEA_1819!A20),6),3),"-",(RIGHT(RIGHT(CONCATENATE("000",IFAData_TEA_1819!A20),6),3)))</f>
        <v>003-904</v>
      </c>
      <c r="C20" t="s">
        <v>1266</v>
      </c>
      <c r="D20">
        <v>9</v>
      </c>
      <c r="E20">
        <v>1918</v>
      </c>
      <c r="F20" t="s">
        <v>4062</v>
      </c>
      <c r="G20" t="s">
        <v>4062</v>
      </c>
      <c r="H20">
        <v>393008</v>
      </c>
      <c r="I20">
        <v>0</v>
      </c>
      <c r="J20">
        <v>0</v>
      </c>
      <c r="K20">
        <v>0</v>
      </c>
      <c r="L20">
        <v>0</v>
      </c>
      <c r="M20">
        <v>599</v>
      </c>
    </row>
    <row r="21" spans="1:13" ht="15">
      <c r="A21" t="s">
        <v>3368</v>
      </c>
      <c r="B21" s="1040" t="str">
        <f>CONCATENATE(LEFT(RIGHT(CONCATENATE("000",IFAData_TEA_1819!A21),6),3),"-",(RIGHT(RIGHT(CONCATENATE("000",IFAData_TEA_1819!A21),6),3)))</f>
        <v>003-904</v>
      </c>
      <c r="C21" t="s">
        <v>1266</v>
      </c>
      <c r="D21">
        <v>9</v>
      </c>
      <c r="E21">
        <v>1918</v>
      </c>
      <c r="F21" t="s">
        <v>4062</v>
      </c>
      <c r="G21" t="s">
        <v>6177</v>
      </c>
      <c r="H21">
        <v>393008</v>
      </c>
      <c r="I21">
        <v>428130</v>
      </c>
      <c r="J21">
        <v>0.818745099539118</v>
      </c>
      <c r="K21">
        <v>321773.37407967</v>
      </c>
      <c r="L21">
        <v>321773.37407967</v>
      </c>
      <c r="M21">
        <v>599</v>
      </c>
    </row>
    <row r="22" spans="1:13" ht="15">
      <c r="A22" t="s">
        <v>3368</v>
      </c>
      <c r="B22" s="1040" t="str">
        <f>CONCATENATE(LEFT(RIGHT(CONCATENATE("000",IFAData_TEA_1819!A22),6),3),"-",(RIGHT(RIGHT(CONCATENATE("000",IFAData_TEA_1819!A22),6),3)))</f>
        <v>003-904</v>
      </c>
      <c r="C22" t="s">
        <v>1266</v>
      </c>
      <c r="D22">
        <v>9</v>
      </c>
      <c r="E22">
        <v>1918</v>
      </c>
      <c r="F22" t="s">
        <v>4062</v>
      </c>
      <c r="G22" t="s">
        <v>6397</v>
      </c>
      <c r="H22">
        <v>393008</v>
      </c>
      <c r="I22">
        <v>94780</v>
      </c>
      <c r="J22">
        <v>0.181254900460882</v>
      </c>
      <c r="K22">
        <v>71234.625920330494</v>
      </c>
      <c r="L22">
        <v>71234.625920330494</v>
      </c>
      <c r="M22">
        <v>599</v>
      </c>
    </row>
    <row r="23" spans="1:13" ht="15">
      <c r="A23" t="s">
        <v>3369</v>
      </c>
      <c r="B23" s="1040" t="str">
        <f>CONCATENATE(LEFT(RIGHT(CONCATENATE("000",IFAData_TEA_1819!A23),6),3),"-",(RIGHT(RIGHT(CONCATENATE("000",IFAData_TEA_1819!A23),6),3)))</f>
        <v>003-905</v>
      </c>
      <c r="C23" t="s">
        <v>1192</v>
      </c>
      <c r="D23">
        <v>10</v>
      </c>
      <c r="E23">
        <v>1762</v>
      </c>
      <c r="F23" t="s">
        <v>4063</v>
      </c>
      <c r="G23" t="s">
        <v>4063</v>
      </c>
      <c r="H23">
        <v>437500</v>
      </c>
      <c r="I23">
        <v>160950</v>
      </c>
      <c r="J23">
        <v>0.39138871866701702</v>
      </c>
      <c r="K23">
        <v>171232.56441682001</v>
      </c>
      <c r="L23">
        <v>160950</v>
      </c>
      <c r="M23">
        <v>599</v>
      </c>
    </row>
    <row r="24" spans="1:13" ht="15">
      <c r="A24" t="s">
        <v>3369</v>
      </c>
      <c r="B24" s="1040" t="str">
        <f>CONCATENATE(LEFT(RIGHT(CONCATENATE("000",IFAData_TEA_1819!A24),6),3),"-",(RIGHT(RIGHT(CONCATENATE("000",IFAData_TEA_1819!A24),6),3)))</f>
        <v>003-905</v>
      </c>
      <c r="C24" t="s">
        <v>1192</v>
      </c>
      <c r="D24">
        <v>10</v>
      </c>
      <c r="E24">
        <v>1762</v>
      </c>
      <c r="F24" t="s">
        <v>4063</v>
      </c>
      <c r="G24" t="s">
        <v>8303</v>
      </c>
      <c r="H24">
        <v>437500</v>
      </c>
      <c r="I24">
        <v>250278</v>
      </c>
      <c r="J24">
        <v>0.60861128133298303</v>
      </c>
      <c r="K24">
        <v>266267.43558317999</v>
      </c>
      <c r="L24">
        <v>250278</v>
      </c>
      <c r="M24">
        <v>599</v>
      </c>
    </row>
    <row r="25" spans="1:13" ht="15">
      <c r="A25" t="s">
        <v>3370</v>
      </c>
      <c r="B25" s="1040" t="str">
        <f>CONCATENATE(LEFT(RIGHT(CONCATENATE("000",IFAData_TEA_1819!A25),6),3),"-",(RIGHT(RIGHT(CONCATENATE("000",IFAData_TEA_1819!A25),6),3)))</f>
        <v>003-907</v>
      </c>
      <c r="C25" t="s">
        <v>1194</v>
      </c>
      <c r="D25">
        <v>9</v>
      </c>
      <c r="E25">
        <v>1676</v>
      </c>
      <c r="F25" t="s">
        <v>4064</v>
      </c>
      <c r="G25" t="s">
        <v>4064</v>
      </c>
      <c r="H25">
        <v>393343</v>
      </c>
      <c r="I25">
        <v>325515</v>
      </c>
      <c r="J25">
        <v>0.56543255768709699</v>
      </c>
      <c r="K25">
        <v>222408.938538316</v>
      </c>
      <c r="L25">
        <v>222408.938538316</v>
      </c>
      <c r="M25">
        <v>599</v>
      </c>
    </row>
    <row r="26" spans="1:13" ht="15">
      <c r="A26" t="s">
        <v>3370</v>
      </c>
      <c r="B26" s="1040" t="str">
        <f>CONCATENATE(LEFT(RIGHT(CONCATENATE("000",IFAData_TEA_1819!A26),6),3),"-",(RIGHT(RIGHT(CONCATENATE("000",IFAData_TEA_1819!A26),6),3)))</f>
        <v>003-907</v>
      </c>
      <c r="C26" t="s">
        <v>1194</v>
      </c>
      <c r="D26">
        <v>9</v>
      </c>
      <c r="E26">
        <v>1676</v>
      </c>
      <c r="F26" t="s">
        <v>4064</v>
      </c>
      <c r="G26" t="s">
        <v>6398</v>
      </c>
      <c r="H26">
        <v>393343</v>
      </c>
      <c r="I26">
        <v>250177</v>
      </c>
      <c r="J26">
        <v>0.43456744231290301</v>
      </c>
      <c r="K26">
        <v>170934.061461684</v>
      </c>
      <c r="L26">
        <v>170934.061461684</v>
      </c>
      <c r="M26">
        <v>599</v>
      </c>
    </row>
    <row r="27" spans="1:13" ht="15">
      <c r="A27" t="s">
        <v>5761</v>
      </c>
      <c r="B27" s="1040" t="str">
        <f>CONCATENATE(LEFT(RIGHT(CONCATENATE("000",IFAData_TEA_1819!A27),6),3),"-",(RIGHT(RIGHT(CONCATENATE("000",IFAData_TEA_1819!A27),6),3)))</f>
        <v>005-902</v>
      </c>
      <c r="C27" t="s">
        <v>1197</v>
      </c>
      <c r="D27">
        <v>11</v>
      </c>
      <c r="E27">
        <v>2552</v>
      </c>
      <c r="F27" t="s">
        <v>8304</v>
      </c>
      <c r="G27" t="s">
        <v>8304</v>
      </c>
      <c r="H27">
        <v>229248</v>
      </c>
      <c r="I27">
        <v>529150</v>
      </c>
      <c r="J27">
        <v>1</v>
      </c>
      <c r="K27">
        <v>229248</v>
      </c>
      <c r="L27">
        <v>229248</v>
      </c>
      <c r="M27">
        <v>599</v>
      </c>
    </row>
    <row r="28" spans="1:13" ht="15">
      <c r="A28" t="s">
        <v>3371</v>
      </c>
      <c r="B28" s="1040" t="str">
        <f>CONCATENATE(LEFT(RIGHT(CONCATENATE("000",IFAData_TEA_1819!A28),6),3),"-",(RIGHT(RIGHT(CONCATENATE("000",IFAData_TEA_1819!A28),6),3)))</f>
        <v>005-904</v>
      </c>
      <c r="C28" t="s">
        <v>1128</v>
      </c>
      <c r="D28">
        <v>6</v>
      </c>
      <c r="E28">
        <v>2458</v>
      </c>
      <c r="F28" t="s">
        <v>4065</v>
      </c>
      <c r="G28" t="s">
        <v>4065</v>
      </c>
      <c r="H28">
        <v>108848</v>
      </c>
      <c r="I28">
        <v>0</v>
      </c>
      <c r="J28">
        <v>0</v>
      </c>
      <c r="K28">
        <v>0</v>
      </c>
      <c r="L28">
        <v>0</v>
      </c>
      <c r="M28">
        <v>599</v>
      </c>
    </row>
    <row r="29" spans="1:13" ht="15">
      <c r="A29" t="s">
        <v>3371</v>
      </c>
      <c r="B29" s="1040" t="str">
        <f>CONCATENATE(LEFT(RIGHT(CONCATENATE("000",IFAData_TEA_1819!A29),6),3),"-",(RIGHT(RIGHT(CONCATENATE("000",IFAData_TEA_1819!A29),6),3)))</f>
        <v>005-904</v>
      </c>
      <c r="C29" t="s">
        <v>1128</v>
      </c>
      <c r="D29">
        <v>6</v>
      </c>
      <c r="E29">
        <v>2458</v>
      </c>
      <c r="F29" t="s">
        <v>4065</v>
      </c>
      <c r="G29" t="s">
        <v>4066</v>
      </c>
      <c r="H29">
        <v>108848</v>
      </c>
      <c r="I29">
        <v>169186</v>
      </c>
      <c r="J29">
        <v>1</v>
      </c>
      <c r="K29">
        <v>108848</v>
      </c>
      <c r="L29">
        <v>108848</v>
      </c>
      <c r="M29">
        <v>599</v>
      </c>
    </row>
    <row r="30" spans="1:13" ht="15">
      <c r="A30" t="s">
        <v>3372</v>
      </c>
      <c r="B30" s="1040" t="str">
        <f>CONCATENATE(LEFT(RIGHT(CONCATENATE("000",IFAData_TEA_1819!A30),6),3),"-",(RIGHT(RIGHT(CONCATENATE("000",IFAData_TEA_1819!A30),6),3)))</f>
        <v>007-901</v>
      </c>
      <c r="C30" t="s">
        <v>661</v>
      </c>
      <c r="D30">
        <v>4</v>
      </c>
      <c r="E30">
        <v>1684</v>
      </c>
      <c r="F30" t="s">
        <v>4067</v>
      </c>
      <c r="G30" t="s">
        <v>4067</v>
      </c>
      <c r="H30">
        <v>121726</v>
      </c>
      <c r="I30">
        <v>0</v>
      </c>
      <c r="J30">
        <v>0</v>
      </c>
      <c r="K30">
        <v>0</v>
      </c>
      <c r="L30">
        <v>0</v>
      </c>
      <c r="M30">
        <v>599</v>
      </c>
    </row>
    <row r="31" spans="1:13" ht="15">
      <c r="A31" t="s">
        <v>3372</v>
      </c>
      <c r="B31" s="1040" t="str">
        <f>CONCATENATE(LEFT(RIGHT(CONCATENATE("000",IFAData_TEA_1819!A31),6),3),"-",(RIGHT(RIGHT(CONCATENATE("000",IFAData_TEA_1819!A31),6),3)))</f>
        <v>007-901</v>
      </c>
      <c r="C31" t="s">
        <v>661</v>
      </c>
      <c r="D31">
        <v>4</v>
      </c>
      <c r="E31">
        <v>1684</v>
      </c>
      <c r="F31" t="s">
        <v>4067</v>
      </c>
      <c r="G31" t="s">
        <v>4068</v>
      </c>
      <c r="H31">
        <v>121726</v>
      </c>
      <c r="I31">
        <v>0</v>
      </c>
      <c r="J31">
        <v>0</v>
      </c>
      <c r="K31">
        <v>0</v>
      </c>
      <c r="L31">
        <v>0</v>
      </c>
      <c r="M31">
        <v>599</v>
      </c>
    </row>
    <row r="32" spans="1:13" ht="15">
      <c r="A32" t="s">
        <v>3372</v>
      </c>
      <c r="B32" s="1040" t="str">
        <f>CONCATENATE(LEFT(RIGHT(CONCATENATE("000",IFAData_TEA_1819!A32),6),3),"-",(RIGHT(RIGHT(CONCATENATE("000",IFAData_TEA_1819!A32),6),3)))</f>
        <v>007-901</v>
      </c>
      <c r="C32" t="s">
        <v>661</v>
      </c>
      <c r="D32">
        <v>4</v>
      </c>
      <c r="E32">
        <v>1684</v>
      </c>
      <c r="F32" t="s">
        <v>4067</v>
      </c>
      <c r="G32" t="s">
        <v>4069</v>
      </c>
      <c r="H32">
        <v>121726</v>
      </c>
      <c r="I32">
        <v>105437</v>
      </c>
      <c r="J32">
        <v>1</v>
      </c>
      <c r="K32">
        <v>121726</v>
      </c>
      <c r="L32">
        <v>105437</v>
      </c>
      <c r="M32">
        <v>599</v>
      </c>
    </row>
    <row r="33" spans="1:13" ht="15">
      <c r="A33" t="s">
        <v>3372</v>
      </c>
      <c r="B33" s="1040" t="str">
        <f>CONCATENATE(LEFT(RIGHT(CONCATENATE("000",IFAData_TEA_1819!A33),6),3),"-",(RIGHT(RIGHT(CONCATENATE("000",IFAData_TEA_1819!A33),6),3)))</f>
        <v>007-901</v>
      </c>
      <c r="C33" t="s">
        <v>661</v>
      </c>
      <c r="D33">
        <v>5</v>
      </c>
      <c r="E33">
        <v>1683</v>
      </c>
      <c r="F33" t="s">
        <v>4070</v>
      </c>
      <c r="G33" t="s">
        <v>4070</v>
      </c>
      <c r="H33">
        <v>116170</v>
      </c>
      <c r="I33">
        <v>0</v>
      </c>
      <c r="J33">
        <v>0</v>
      </c>
      <c r="K33">
        <v>0</v>
      </c>
      <c r="L33">
        <v>0</v>
      </c>
      <c r="M33">
        <v>599</v>
      </c>
    </row>
    <row r="34" spans="1:13" ht="15">
      <c r="A34" t="s">
        <v>3372</v>
      </c>
      <c r="B34" s="1040" t="str">
        <f>CONCATENATE(LEFT(RIGHT(CONCATENATE("000",IFAData_TEA_1819!A34),6),3),"-",(RIGHT(RIGHT(CONCATENATE("000",IFAData_TEA_1819!A34),6),3)))</f>
        <v>007-901</v>
      </c>
      <c r="C34" t="s">
        <v>661</v>
      </c>
      <c r="D34">
        <v>5</v>
      </c>
      <c r="E34">
        <v>1683</v>
      </c>
      <c r="F34" t="s">
        <v>4070</v>
      </c>
      <c r="G34" t="s">
        <v>4068</v>
      </c>
      <c r="H34">
        <v>116170</v>
      </c>
      <c r="I34">
        <v>0</v>
      </c>
      <c r="J34">
        <v>0</v>
      </c>
      <c r="K34">
        <v>0</v>
      </c>
      <c r="L34">
        <v>0</v>
      </c>
      <c r="M34">
        <v>599</v>
      </c>
    </row>
    <row r="35" spans="1:13" ht="15">
      <c r="A35" t="s">
        <v>3372</v>
      </c>
      <c r="B35" s="1040" t="str">
        <f>CONCATENATE(LEFT(RIGHT(CONCATENATE("000",IFAData_TEA_1819!A35),6),3),"-",(RIGHT(RIGHT(CONCATENATE("000",IFAData_TEA_1819!A35),6),3)))</f>
        <v>007-901</v>
      </c>
      <c r="C35" t="s">
        <v>661</v>
      </c>
      <c r="D35">
        <v>5</v>
      </c>
      <c r="E35">
        <v>1683</v>
      </c>
      <c r="F35" t="s">
        <v>4070</v>
      </c>
      <c r="G35" t="s">
        <v>4069</v>
      </c>
      <c r="H35">
        <v>116170</v>
      </c>
      <c r="I35">
        <v>103521</v>
      </c>
      <c r="J35">
        <v>1</v>
      </c>
      <c r="K35">
        <v>116170</v>
      </c>
      <c r="L35">
        <v>103521</v>
      </c>
      <c r="M35">
        <v>599</v>
      </c>
    </row>
    <row r="36" spans="1:13" ht="15">
      <c r="A36" t="s">
        <v>3372</v>
      </c>
      <c r="B36" s="1040" t="str">
        <f>CONCATENATE(LEFT(RIGHT(CONCATENATE("000",IFAData_TEA_1819!A36),6),3),"-",(RIGHT(RIGHT(CONCATENATE("000",IFAData_TEA_1819!A36),6),3)))</f>
        <v>007-901</v>
      </c>
      <c r="C36" t="s">
        <v>661</v>
      </c>
      <c r="D36">
        <v>9</v>
      </c>
      <c r="E36">
        <v>1682</v>
      </c>
      <c r="F36" t="s">
        <v>4071</v>
      </c>
      <c r="G36" t="s">
        <v>4071</v>
      </c>
      <c r="H36">
        <v>35459</v>
      </c>
      <c r="I36">
        <v>0</v>
      </c>
      <c r="J36">
        <v>0</v>
      </c>
      <c r="K36">
        <v>0</v>
      </c>
      <c r="L36">
        <v>0</v>
      </c>
      <c r="M36">
        <v>599</v>
      </c>
    </row>
    <row r="37" spans="1:13" ht="15">
      <c r="A37" t="s">
        <v>3372</v>
      </c>
      <c r="B37" s="1040" t="str">
        <f>CONCATENATE(LEFT(RIGHT(CONCATENATE("000",IFAData_TEA_1819!A37),6),3),"-",(RIGHT(RIGHT(CONCATENATE("000",IFAData_TEA_1819!A37),6),3)))</f>
        <v>007-901</v>
      </c>
      <c r="C37" t="s">
        <v>661</v>
      </c>
      <c r="D37">
        <v>9</v>
      </c>
      <c r="E37">
        <v>1682</v>
      </c>
      <c r="F37" t="s">
        <v>4071</v>
      </c>
      <c r="G37" t="s">
        <v>8305</v>
      </c>
      <c r="H37">
        <v>35459</v>
      </c>
      <c r="I37">
        <v>13371</v>
      </c>
      <c r="J37">
        <v>1</v>
      </c>
      <c r="K37">
        <v>35459</v>
      </c>
      <c r="L37">
        <v>13371</v>
      </c>
      <c r="M37">
        <v>599</v>
      </c>
    </row>
    <row r="38" spans="1:13" ht="15">
      <c r="A38" t="s">
        <v>3373</v>
      </c>
      <c r="B38" s="1040" t="str">
        <f>CONCATENATE(LEFT(RIGHT(CONCATENATE("000",IFAData_TEA_1819!A38),6),3),"-",(RIGHT(RIGHT(CONCATENATE("000",IFAData_TEA_1819!A38),6),3)))</f>
        <v>007-904</v>
      </c>
      <c r="C38" t="s">
        <v>1200</v>
      </c>
      <c r="D38">
        <v>10</v>
      </c>
      <c r="E38">
        <v>2048</v>
      </c>
      <c r="F38" t="s">
        <v>4072</v>
      </c>
      <c r="G38" t="s">
        <v>4072</v>
      </c>
      <c r="H38">
        <v>399219</v>
      </c>
      <c r="I38">
        <v>375950</v>
      </c>
      <c r="J38">
        <v>0.55544064416044903</v>
      </c>
      <c r="K38">
        <v>221742.45852109001</v>
      </c>
      <c r="L38">
        <v>221742.45852109001</v>
      </c>
      <c r="M38">
        <v>599</v>
      </c>
    </row>
    <row r="39" spans="1:13" ht="15">
      <c r="A39" t="s">
        <v>3373</v>
      </c>
      <c r="B39" s="1040" t="str">
        <f>CONCATENATE(LEFT(RIGHT(CONCATENATE("000",IFAData_TEA_1819!A39),6),3),"-",(RIGHT(RIGHT(CONCATENATE("000",IFAData_TEA_1819!A39),6),3)))</f>
        <v>007-904</v>
      </c>
      <c r="C39" t="s">
        <v>1200</v>
      </c>
      <c r="D39">
        <v>10</v>
      </c>
      <c r="E39">
        <v>2048</v>
      </c>
      <c r="F39" t="s">
        <v>4072</v>
      </c>
      <c r="G39" t="s">
        <v>8306</v>
      </c>
      <c r="H39">
        <v>399219</v>
      </c>
      <c r="I39">
        <v>300900</v>
      </c>
      <c r="J39">
        <v>0.44455935583955097</v>
      </c>
      <c r="K39">
        <v>177476.54147890999</v>
      </c>
      <c r="L39">
        <v>177476.54147890999</v>
      </c>
      <c r="M39">
        <v>599</v>
      </c>
    </row>
    <row r="40" spans="1:13" ht="15">
      <c r="A40" t="s">
        <v>3374</v>
      </c>
      <c r="B40" s="1040" t="str">
        <f>CONCATENATE(LEFT(RIGHT(CONCATENATE("000",IFAData_TEA_1819!A40),6),3),"-",(RIGHT(RIGHT(CONCATENATE("000",IFAData_TEA_1819!A40),6),3)))</f>
        <v>007-905</v>
      </c>
      <c r="C40" t="s">
        <v>1001</v>
      </c>
      <c r="D40">
        <v>3</v>
      </c>
      <c r="E40">
        <v>2200</v>
      </c>
      <c r="F40" t="s">
        <v>4073</v>
      </c>
      <c r="G40" t="s">
        <v>4073</v>
      </c>
      <c r="H40">
        <v>450000</v>
      </c>
      <c r="I40">
        <v>0</v>
      </c>
      <c r="J40">
        <v>0</v>
      </c>
      <c r="K40">
        <v>0</v>
      </c>
      <c r="L40">
        <v>0</v>
      </c>
      <c r="M40">
        <v>599</v>
      </c>
    </row>
    <row r="41" spans="1:13" ht="15">
      <c r="A41" t="s">
        <v>3374</v>
      </c>
      <c r="B41" s="1040" t="str">
        <f>CONCATENATE(LEFT(RIGHT(CONCATENATE("000",IFAData_TEA_1819!A41),6),3),"-",(RIGHT(RIGHT(CONCATENATE("000",IFAData_TEA_1819!A41),6),3)))</f>
        <v>007-905</v>
      </c>
      <c r="C41" t="s">
        <v>1001</v>
      </c>
      <c r="D41">
        <v>3</v>
      </c>
      <c r="E41">
        <v>2200</v>
      </c>
      <c r="F41" t="s">
        <v>4073</v>
      </c>
      <c r="G41" t="s">
        <v>4074</v>
      </c>
      <c r="H41">
        <v>450000</v>
      </c>
      <c r="I41">
        <v>394181</v>
      </c>
      <c r="J41">
        <v>0.62148074688495702</v>
      </c>
      <c r="K41">
        <v>279666.33609823103</v>
      </c>
      <c r="L41">
        <v>279666.33609823103</v>
      </c>
      <c r="M41">
        <v>599</v>
      </c>
    </row>
    <row r="42" spans="1:13" ht="15">
      <c r="A42" t="s">
        <v>3374</v>
      </c>
      <c r="B42" s="1040" t="str">
        <f>CONCATENATE(LEFT(RIGHT(CONCATENATE("000",IFAData_TEA_1819!A42),6),3),"-",(RIGHT(RIGHT(CONCATENATE("000",IFAData_TEA_1819!A42),6),3)))</f>
        <v>007-905</v>
      </c>
      <c r="C42" t="s">
        <v>1001</v>
      </c>
      <c r="D42">
        <v>3</v>
      </c>
      <c r="E42">
        <v>2200</v>
      </c>
      <c r="F42" t="s">
        <v>4073</v>
      </c>
      <c r="G42" t="s">
        <v>6399</v>
      </c>
      <c r="H42">
        <v>450000</v>
      </c>
      <c r="I42">
        <v>240080</v>
      </c>
      <c r="J42">
        <v>0.37851925311504298</v>
      </c>
      <c r="K42">
        <v>170333.663901769</v>
      </c>
      <c r="L42">
        <v>170333.663901769</v>
      </c>
      <c r="M42">
        <v>599</v>
      </c>
    </row>
    <row r="43" spans="1:13" ht="15">
      <c r="A43" t="s">
        <v>3374</v>
      </c>
      <c r="B43" s="1040" t="str">
        <f>CONCATENATE(LEFT(RIGHT(CONCATENATE("000",IFAData_TEA_1819!A43),6),3),"-",(RIGHT(RIGHT(CONCATENATE("000",IFAData_TEA_1819!A43),6),3)))</f>
        <v>007-905</v>
      </c>
      <c r="C43" t="s">
        <v>1001</v>
      </c>
      <c r="D43">
        <v>6</v>
      </c>
      <c r="E43">
        <v>2199</v>
      </c>
      <c r="F43" t="s">
        <v>4075</v>
      </c>
      <c r="G43" t="s">
        <v>4075</v>
      </c>
      <c r="H43">
        <v>406232</v>
      </c>
      <c r="I43">
        <v>0</v>
      </c>
      <c r="J43">
        <v>0</v>
      </c>
      <c r="K43">
        <v>0</v>
      </c>
      <c r="L43">
        <v>0</v>
      </c>
      <c r="M43">
        <v>599</v>
      </c>
    </row>
    <row r="44" spans="1:13" ht="15">
      <c r="A44" t="s">
        <v>3374</v>
      </c>
      <c r="B44" s="1040" t="str">
        <f>CONCATENATE(LEFT(RIGHT(CONCATENATE("000",IFAData_TEA_1819!A44),6),3),"-",(RIGHT(RIGHT(CONCATENATE("000",IFAData_TEA_1819!A44),6),3)))</f>
        <v>007-905</v>
      </c>
      <c r="C44" t="s">
        <v>1001</v>
      </c>
      <c r="D44">
        <v>6</v>
      </c>
      <c r="E44">
        <v>2199</v>
      </c>
      <c r="F44" t="s">
        <v>4075</v>
      </c>
      <c r="G44" t="s">
        <v>4074</v>
      </c>
      <c r="H44">
        <v>406232</v>
      </c>
      <c r="I44">
        <v>327882</v>
      </c>
      <c r="J44">
        <v>0.43947474590424301</v>
      </c>
      <c r="K44">
        <v>178528.704978172</v>
      </c>
      <c r="L44">
        <v>178528.704978172</v>
      </c>
      <c r="M44">
        <v>599</v>
      </c>
    </row>
    <row r="45" spans="1:13" ht="15">
      <c r="A45" t="s">
        <v>3374</v>
      </c>
      <c r="B45" s="1040" t="str">
        <f>CONCATENATE(LEFT(RIGHT(CONCATENATE("000",IFAData_TEA_1819!A45),6),3),"-",(RIGHT(RIGHT(CONCATENATE("000",IFAData_TEA_1819!A45),6),3)))</f>
        <v>007-905</v>
      </c>
      <c r="C45" t="s">
        <v>1001</v>
      </c>
      <c r="D45">
        <v>6</v>
      </c>
      <c r="E45">
        <v>2199</v>
      </c>
      <c r="F45" t="s">
        <v>4075</v>
      </c>
      <c r="G45" t="s">
        <v>6399</v>
      </c>
      <c r="H45">
        <v>406232</v>
      </c>
      <c r="I45">
        <v>418195</v>
      </c>
      <c r="J45">
        <v>0.56052525409575704</v>
      </c>
      <c r="K45">
        <v>227703.29502182701</v>
      </c>
      <c r="L45">
        <v>227703.29502182701</v>
      </c>
      <c r="M45">
        <v>599</v>
      </c>
    </row>
    <row r="46" spans="1:13" ht="15">
      <c r="A46" t="s">
        <v>3374</v>
      </c>
      <c r="B46" s="1040" t="str">
        <f>CONCATENATE(LEFT(RIGHT(CONCATENATE("000",IFAData_TEA_1819!A46),6),3),"-",(RIGHT(RIGHT(CONCATENATE("000",IFAData_TEA_1819!A46),6),3)))</f>
        <v>007-905</v>
      </c>
      <c r="C46" t="s">
        <v>1001</v>
      </c>
      <c r="D46">
        <v>9</v>
      </c>
      <c r="E46">
        <v>2198</v>
      </c>
      <c r="F46" t="s">
        <v>4076</v>
      </c>
      <c r="G46" t="s">
        <v>4076</v>
      </c>
      <c r="H46">
        <v>212024</v>
      </c>
      <c r="I46">
        <v>0</v>
      </c>
      <c r="J46">
        <v>0</v>
      </c>
      <c r="K46">
        <v>0</v>
      </c>
      <c r="L46">
        <v>0</v>
      </c>
      <c r="M46">
        <v>599</v>
      </c>
    </row>
    <row r="47" spans="1:13" ht="15">
      <c r="A47" t="s">
        <v>3374</v>
      </c>
      <c r="B47" s="1040" t="str">
        <f>CONCATENATE(LEFT(RIGHT(CONCATENATE("000",IFAData_TEA_1819!A47),6),3),"-",(RIGHT(RIGHT(CONCATENATE("000",IFAData_TEA_1819!A47),6),3)))</f>
        <v>007-905</v>
      </c>
      <c r="C47" t="s">
        <v>1001</v>
      </c>
      <c r="D47">
        <v>9</v>
      </c>
      <c r="E47">
        <v>2198</v>
      </c>
      <c r="F47" t="s">
        <v>4076</v>
      </c>
      <c r="G47" t="s">
        <v>6400</v>
      </c>
      <c r="H47">
        <v>212024</v>
      </c>
      <c r="I47">
        <v>262951</v>
      </c>
      <c r="J47">
        <v>1</v>
      </c>
      <c r="K47">
        <v>212024</v>
      </c>
      <c r="L47">
        <v>212024</v>
      </c>
      <c r="M47">
        <v>599</v>
      </c>
    </row>
    <row r="48" spans="1:13" ht="15">
      <c r="A48" t="s">
        <v>3375</v>
      </c>
      <c r="B48" s="1040" t="str">
        <f>CONCATENATE(LEFT(RIGHT(CONCATENATE("000",IFAData_TEA_1819!A48),6),3),"-",(RIGHT(RIGHT(CONCATENATE("000",IFAData_TEA_1819!A48),6),3)))</f>
        <v>007-906</v>
      </c>
      <c r="C48" t="s">
        <v>1004</v>
      </c>
      <c r="D48">
        <v>5</v>
      </c>
      <c r="E48">
        <v>2205</v>
      </c>
      <c r="F48" t="s">
        <v>4077</v>
      </c>
      <c r="G48" t="s">
        <v>4077</v>
      </c>
      <c r="H48">
        <v>362375</v>
      </c>
      <c r="I48">
        <v>0</v>
      </c>
      <c r="J48">
        <v>0</v>
      </c>
      <c r="K48">
        <v>0</v>
      </c>
      <c r="L48">
        <v>0</v>
      </c>
      <c r="M48">
        <v>599</v>
      </c>
    </row>
    <row r="49" spans="1:13" ht="15">
      <c r="A49" t="s">
        <v>3375</v>
      </c>
      <c r="B49" s="1040" t="str">
        <f>CONCATENATE(LEFT(RIGHT(CONCATENATE("000",IFAData_TEA_1819!A49),6),3),"-",(RIGHT(RIGHT(CONCATENATE("000",IFAData_TEA_1819!A49),6),3)))</f>
        <v>007-906</v>
      </c>
      <c r="C49" t="s">
        <v>1004</v>
      </c>
      <c r="D49">
        <v>5</v>
      </c>
      <c r="E49">
        <v>2205</v>
      </c>
      <c r="F49" t="s">
        <v>4077</v>
      </c>
      <c r="G49" t="s">
        <v>4078</v>
      </c>
      <c r="H49">
        <v>362375</v>
      </c>
      <c r="I49">
        <v>0</v>
      </c>
      <c r="J49">
        <v>0</v>
      </c>
      <c r="K49">
        <v>0</v>
      </c>
      <c r="L49">
        <v>0</v>
      </c>
      <c r="M49">
        <v>599</v>
      </c>
    </row>
    <row r="50" spans="1:13" ht="15">
      <c r="A50" t="s">
        <v>3375</v>
      </c>
      <c r="B50" s="1040" t="str">
        <f>CONCATENATE(LEFT(RIGHT(CONCATENATE("000",IFAData_TEA_1819!A50),6),3),"-",(RIGHT(RIGHT(CONCATENATE("000",IFAData_TEA_1819!A50),6),3)))</f>
        <v>007-906</v>
      </c>
      <c r="C50" t="s">
        <v>1004</v>
      </c>
      <c r="D50">
        <v>5</v>
      </c>
      <c r="E50">
        <v>2205</v>
      </c>
      <c r="F50" t="s">
        <v>4077</v>
      </c>
      <c r="G50" t="s">
        <v>6401</v>
      </c>
      <c r="H50">
        <v>362375</v>
      </c>
      <c r="I50">
        <v>137384</v>
      </c>
      <c r="J50">
        <v>0.43696784063765298</v>
      </c>
      <c r="K50">
        <v>158346.22125106899</v>
      </c>
      <c r="L50">
        <v>137384</v>
      </c>
      <c r="M50">
        <v>599</v>
      </c>
    </row>
    <row r="51" spans="1:13" ht="15">
      <c r="A51" t="s">
        <v>3375</v>
      </c>
      <c r="B51" s="1040" t="str">
        <f>CONCATENATE(LEFT(RIGHT(CONCATENATE("000",IFAData_TEA_1819!A51),6),3),"-",(RIGHT(RIGHT(CONCATENATE("000",IFAData_TEA_1819!A51),6),3)))</f>
        <v>007-906</v>
      </c>
      <c r="C51" t="s">
        <v>1004</v>
      </c>
      <c r="D51">
        <v>5</v>
      </c>
      <c r="E51">
        <v>2205</v>
      </c>
      <c r="F51" t="s">
        <v>4077</v>
      </c>
      <c r="G51" t="s">
        <v>6823</v>
      </c>
      <c r="H51">
        <v>362375</v>
      </c>
      <c r="I51">
        <v>177019</v>
      </c>
      <c r="J51">
        <v>0.56303215936234696</v>
      </c>
      <c r="K51">
        <v>204028.77874893101</v>
      </c>
      <c r="L51">
        <v>177019</v>
      </c>
      <c r="M51">
        <v>599</v>
      </c>
    </row>
    <row r="52" spans="1:13" ht="15">
      <c r="A52" t="s">
        <v>3375</v>
      </c>
      <c r="B52" s="1040" t="str">
        <f>CONCATENATE(LEFT(RIGHT(CONCATENATE("000",IFAData_TEA_1819!A52),6),3),"-",(RIGHT(RIGHT(CONCATENATE("000",IFAData_TEA_1819!A52),6),3)))</f>
        <v>007-906</v>
      </c>
      <c r="C52" t="s">
        <v>1004</v>
      </c>
      <c r="D52">
        <v>6</v>
      </c>
      <c r="E52">
        <v>2203</v>
      </c>
      <c r="F52" t="s">
        <v>4079</v>
      </c>
      <c r="G52" t="s">
        <v>4079</v>
      </c>
      <c r="H52">
        <v>28625</v>
      </c>
      <c r="I52">
        <v>0</v>
      </c>
      <c r="J52">
        <v>0</v>
      </c>
      <c r="K52">
        <v>0</v>
      </c>
      <c r="L52">
        <v>0</v>
      </c>
      <c r="M52">
        <v>599</v>
      </c>
    </row>
    <row r="53" spans="1:13" ht="15">
      <c r="A53" t="s">
        <v>3375</v>
      </c>
      <c r="B53" s="1040" t="str">
        <f>CONCATENATE(LEFT(RIGHT(CONCATENATE("000",IFAData_TEA_1819!A53),6),3),"-",(RIGHT(RIGHT(CONCATENATE("000",IFAData_TEA_1819!A53),6),3)))</f>
        <v>007-906</v>
      </c>
      <c r="C53" t="s">
        <v>1004</v>
      </c>
      <c r="D53">
        <v>6</v>
      </c>
      <c r="E53">
        <v>2203</v>
      </c>
      <c r="F53" t="s">
        <v>4079</v>
      </c>
      <c r="G53" t="s">
        <v>6401</v>
      </c>
      <c r="H53">
        <v>28625</v>
      </c>
      <c r="I53">
        <v>27952</v>
      </c>
      <c r="J53">
        <v>1</v>
      </c>
      <c r="K53">
        <v>28625</v>
      </c>
      <c r="L53">
        <v>27952</v>
      </c>
      <c r="M53">
        <v>599</v>
      </c>
    </row>
    <row r="54" spans="1:13" ht="15">
      <c r="A54" t="s">
        <v>3375</v>
      </c>
      <c r="B54" s="1040" t="str">
        <f>CONCATENATE(LEFT(RIGHT(CONCATENATE("000",IFAData_TEA_1819!A54),6),3),"-",(RIGHT(RIGHT(CONCATENATE("000",IFAData_TEA_1819!A54),6),3)))</f>
        <v>007-906</v>
      </c>
      <c r="C54" t="s">
        <v>1004</v>
      </c>
      <c r="D54">
        <v>8</v>
      </c>
      <c r="E54">
        <v>2204</v>
      </c>
      <c r="F54" t="s">
        <v>4078</v>
      </c>
      <c r="G54" t="s">
        <v>4078</v>
      </c>
      <c r="H54">
        <v>308669</v>
      </c>
      <c r="I54">
        <v>0</v>
      </c>
      <c r="J54">
        <v>0</v>
      </c>
      <c r="K54">
        <v>0</v>
      </c>
      <c r="L54">
        <v>0</v>
      </c>
      <c r="M54">
        <v>599</v>
      </c>
    </row>
    <row r="55" spans="1:13" ht="15">
      <c r="A55" t="s">
        <v>3375</v>
      </c>
      <c r="B55" s="1040" t="str">
        <f>CONCATENATE(LEFT(RIGHT(CONCATENATE("000",IFAData_TEA_1819!A55),6),3),"-",(RIGHT(RIGHT(CONCATENATE("000",IFAData_TEA_1819!A55),6),3)))</f>
        <v>007-906</v>
      </c>
      <c r="C55" t="s">
        <v>1004</v>
      </c>
      <c r="D55">
        <v>8</v>
      </c>
      <c r="E55">
        <v>2204</v>
      </c>
      <c r="F55" t="s">
        <v>4078</v>
      </c>
      <c r="G55" t="s">
        <v>6401</v>
      </c>
      <c r="H55">
        <v>308669</v>
      </c>
      <c r="I55">
        <v>118339</v>
      </c>
      <c r="J55">
        <v>0.43696551214828999</v>
      </c>
      <c r="K55">
        <v>134877.70766930099</v>
      </c>
      <c r="L55">
        <v>118339</v>
      </c>
      <c r="M55">
        <v>599</v>
      </c>
    </row>
    <row r="56" spans="1:13" ht="15">
      <c r="A56" t="s">
        <v>3375</v>
      </c>
      <c r="B56" s="1040" t="str">
        <f>CONCATENATE(LEFT(RIGHT(CONCATENATE("000",IFAData_TEA_1819!A56),6),3),"-",(RIGHT(RIGHT(CONCATENATE("000",IFAData_TEA_1819!A56),6),3)))</f>
        <v>007-906</v>
      </c>
      <c r="C56" t="s">
        <v>1004</v>
      </c>
      <c r="D56">
        <v>8</v>
      </c>
      <c r="E56">
        <v>2204</v>
      </c>
      <c r="F56" t="s">
        <v>4078</v>
      </c>
      <c r="G56" t="s">
        <v>6823</v>
      </c>
      <c r="H56">
        <v>308669</v>
      </c>
      <c r="I56">
        <v>152481</v>
      </c>
      <c r="J56">
        <v>0.56303448785170995</v>
      </c>
      <c r="K56">
        <v>173791.29233069901</v>
      </c>
      <c r="L56">
        <v>152481</v>
      </c>
      <c r="M56">
        <v>599</v>
      </c>
    </row>
    <row r="57" spans="1:13" ht="15">
      <c r="A57" t="s">
        <v>3375</v>
      </c>
      <c r="B57" s="1040" t="str">
        <f>CONCATENATE(LEFT(RIGHT(CONCATENATE("000",IFAData_TEA_1819!A57),6),3),"-",(RIGHT(RIGHT(CONCATENATE("000",IFAData_TEA_1819!A57),6),3)))</f>
        <v>007-906</v>
      </c>
      <c r="C57" t="s">
        <v>1004</v>
      </c>
      <c r="D57">
        <v>11</v>
      </c>
      <c r="E57">
        <v>2482</v>
      </c>
      <c r="F57" t="s">
        <v>8307</v>
      </c>
      <c r="G57" t="s">
        <v>8307</v>
      </c>
      <c r="H57">
        <v>410232</v>
      </c>
      <c r="I57">
        <v>1345200</v>
      </c>
      <c r="J57">
        <v>1</v>
      </c>
      <c r="K57">
        <v>410232</v>
      </c>
      <c r="L57">
        <v>410232</v>
      </c>
      <c r="M57">
        <v>599</v>
      </c>
    </row>
    <row r="58" spans="1:13" ht="15">
      <c r="A58" t="s">
        <v>3376</v>
      </c>
      <c r="B58" s="1040" t="str">
        <f>CONCATENATE(LEFT(RIGHT(CONCATENATE("000",IFAData_TEA_1819!A58),6),3),"-",(RIGHT(RIGHT(CONCATENATE("000",IFAData_TEA_1819!A58),6),3)))</f>
        <v>009-901</v>
      </c>
      <c r="C58" t="s">
        <v>1204</v>
      </c>
      <c r="D58">
        <v>9</v>
      </c>
      <c r="E58">
        <v>2123</v>
      </c>
      <c r="F58" t="s">
        <v>4080</v>
      </c>
      <c r="G58" t="s">
        <v>4080</v>
      </c>
      <c r="H58">
        <v>263987</v>
      </c>
      <c r="I58">
        <v>270086</v>
      </c>
      <c r="J58">
        <v>1</v>
      </c>
      <c r="K58">
        <v>263987</v>
      </c>
      <c r="L58">
        <v>263987</v>
      </c>
      <c r="M58">
        <v>599</v>
      </c>
    </row>
    <row r="59" spans="1:13" ht="15">
      <c r="A59" t="s">
        <v>3377</v>
      </c>
      <c r="B59" s="1040" t="str">
        <f>CONCATENATE(LEFT(RIGHT(CONCATENATE("000",IFAData_TEA_1819!A59),6),3),"-",(RIGHT(RIGHT(CONCATENATE("000",IFAData_TEA_1819!A59),6),3)))</f>
        <v>010-902</v>
      </c>
      <c r="C59" t="s">
        <v>2121</v>
      </c>
      <c r="D59">
        <v>6</v>
      </c>
      <c r="E59">
        <v>1591</v>
      </c>
      <c r="F59" t="s">
        <v>4081</v>
      </c>
      <c r="G59" t="s">
        <v>4081</v>
      </c>
      <c r="H59">
        <v>691574</v>
      </c>
      <c r="I59">
        <v>0</v>
      </c>
      <c r="J59">
        <v>0</v>
      </c>
      <c r="K59">
        <v>0</v>
      </c>
      <c r="L59">
        <v>0</v>
      </c>
      <c r="M59">
        <v>599</v>
      </c>
    </row>
    <row r="60" spans="1:13" ht="15">
      <c r="A60" t="s">
        <v>3377</v>
      </c>
      <c r="B60" s="1040" t="str">
        <f>CONCATENATE(LEFT(RIGHT(CONCATENATE("000",IFAData_TEA_1819!A60),6),3),"-",(RIGHT(RIGHT(CONCATENATE("000",IFAData_TEA_1819!A60),6),3)))</f>
        <v>010-902</v>
      </c>
      <c r="C60" t="s">
        <v>2121</v>
      </c>
      <c r="D60">
        <v>6</v>
      </c>
      <c r="E60">
        <v>1591</v>
      </c>
      <c r="F60" t="s">
        <v>4081</v>
      </c>
      <c r="G60" t="s">
        <v>4082</v>
      </c>
      <c r="H60">
        <v>691574</v>
      </c>
      <c r="I60">
        <v>1259992</v>
      </c>
      <c r="J60">
        <v>1</v>
      </c>
      <c r="K60">
        <v>691574</v>
      </c>
      <c r="L60">
        <v>691574</v>
      </c>
      <c r="M60">
        <v>599</v>
      </c>
    </row>
    <row r="61" spans="1:13" ht="15">
      <c r="A61" t="s">
        <v>3378</v>
      </c>
      <c r="B61" s="1040" t="str">
        <f>CONCATENATE(LEFT(RIGHT(CONCATENATE("000",IFAData_TEA_1819!A61),6),3),"-",(RIGHT(RIGHT(CONCATENATE("000",IFAData_TEA_1819!A61),6),3)))</f>
        <v>011-901</v>
      </c>
      <c r="C61" t="s">
        <v>2123</v>
      </c>
      <c r="D61">
        <v>3</v>
      </c>
      <c r="E61">
        <v>1596</v>
      </c>
      <c r="F61" t="s">
        <v>4083</v>
      </c>
      <c r="G61" t="s">
        <v>4083</v>
      </c>
      <c r="H61">
        <v>1423475</v>
      </c>
      <c r="I61">
        <v>2729412</v>
      </c>
      <c r="J61">
        <v>0.78205504733311904</v>
      </c>
      <c r="K61">
        <v>1113235.80850251</v>
      </c>
      <c r="L61">
        <v>1113235.80850251</v>
      </c>
      <c r="M61">
        <v>599</v>
      </c>
    </row>
    <row r="62" spans="1:13" ht="15">
      <c r="A62" t="s">
        <v>3378</v>
      </c>
      <c r="B62" s="1040" t="str">
        <f>CONCATENATE(LEFT(RIGHT(CONCATENATE("000",IFAData_TEA_1819!A62),6),3),"-",(RIGHT(RIGHT(CONCATENATE("000",IFAData_TEA_1819!A62),6),3)))</f>
        <v>011-901</v>
      </c>
      <c r="C62" t="s">
        <v>2123</v>
      </c>
      <c r="D62">
        <v>3</v>
      </c>
      <c r="E62">
        <v>1596</v>
      </c>
      <c r="F62" t="s">
        <v>4083</v>
      </c>
      <c r="G62" t="s">
        <v>4084</v>
      </c>
      <c r="H62">
        <v>1423475</v>
      </c>
      <c r="I62">
        <v>0</v>
      </c>
      <c r="J62">
        <v>0</v>
      </c>
      <c r="K62">
        <v>0</v>
      </c>
      <c r="L62">
        <v>0</v>
      </c>
      <c r="M62">
        <v>599</v>
      </c>
    </row>
    <row r="63" spans="1:13" ht="15">
      <c r="A63" t="s">
        <v>3378</v>
      </c>
      <c r="B63" s="1040" t="str">
        <f>CONCATENATE(LEFT(RIGHT(CONCATENATE("000",IFAData_TEA_1819!A63),6),3),"-",(RIGHT(RIGHT(CONCATENATE("000",IFAData_TEA_1819!A63),6),3)))</f>
        <v>011-901</v>
      </c>
      <c r="C63" t="s">
        <v>2123</v>
      </c>
      <c r="D63">
        <v>3</v>
      </c>
      <c r="E63">
        <v>1596</v>
      </c>
      <c r="F63" t="s">
        <v>4083</v>
      </c>
      <c r="G63" t="s">
        <v>4085</v>
      </c>
      <c r="H63">
        <v>1423475</v>
      </c>
      <c r="I63">
        <v>0</v>
      </c>
      <c r="J63">
        <v>0</v>
      </c>
      <c r="K63">
        <v>0</v>
      </c>
      <c r="L63">
        <v>0</v>
      </c>
      <c r="M63">
        <v>599</v>
      </c>
    </row>
    <row r="64" spans="1:13" ht="15">
      <c r="A64" t="s">
        <v>3378</v>
      </c>
      <c r="B64" s="1040" t="str">
        <f>CONCATENATE(LEFT(RIGHT(CONCATENATE("000",IFAData_TEA_1819!A64),6),3),"-",(RIGHT(RIGHT(CONCATENATE("000",IFAData_TEA_1819!A64),6),3)))</f>
        <v>011-901</v>
      </c>
      <c r="C64" t="s">
        <v>2123</v>
      </c>
      <c r="D64">
        <v>3</v>
      </c>
      <c r="E64">
        <v>1596</v>
      </c>
      <c r="F64" t="s">
        <v>4083</v>
      </c>
      <c r="G64" t="s">
        <v>4086</v>
      </c>
      <c r="H64">
        <v>1423475</v>
      </c>
      <c r="I64">
        <v>699181</v>
      </c>
      <c r="J64">
        <v>0.20033546787711701</v>
      </c>
      <c r="K64">
        <v>285172.53013637901</v>
      </c>
      <c r="L64">
        <v>285172.53013637901</v>
      </c>
      <c r="M64">
        <v>599</v>
      </c>
    </row>
    <row r="65" spans="1:13" ht="15">
      <c r="A65" t="s">
        <v>3378</v>
      </c>
      <c r="B65" s="1040" t="str">
        <f>CONCATENATE(LEFT(RIGHT(CONCATENATE("000",IFAData_TEA_1819!A65),6),3),"-",(RIGHT(RIGHT(CONCATENATE("000",IFAData_TEA_1819!A65),6),3)))</f>
        <v>011-901</v>
      </c>
      <c r="C65" t="s">
        <v>2123</v>
      </c>
      <c r="D65">
        <v>3</v>
      </c>
      <c r="E65">
        <v>1596</v>
      </c>
      <c r="F65" t="s">
        <v>4083</v>
      </c>
      <c r="G65" t="s">
        <v>6179</v>
      </c>
      <c r="H65">
        <v>1423475</v>
      </c>
      <c r="I65">
        <v>56770</v>
      </c>
      <c r="J65">
        <v>1.6266237943227801E-2</v>
      </c>
      <c r="K65">
        <v>23154.583056236101</v>
      </c>
      <c r="L65">
        <v>23154.583056236101</v>
      </c>
      <c r="M65">
        <v>599</v>
      </c>
    </row>
    <row r="66" spans="1:13" ht="15">
      <c r="A66" t="s">
        <v>3378</v>
      </c>
      <c r="B66" s="1040" t="str">
        <f>CONCATENATE(LEFT(RIGHT(CONCATENATE("000",IFAData_TEA_1819!A66),6),3),"-",(RIGHT(RIGHT(CONCATENATE("000",IFAData_TEA_1819!A66),6),3)))</f>
        <v>011-901</v>
      </c>
      <c r="C66" t="s">
        <v>2123</v>
      </c>
      <c r="D66">
        <v>3</v>
      </c>
      <c r="E66">
        <v>1596</v>
      </c>
      <c r="F66" t="s">
        <v>4083</v>
      </c>
      <c r="G66" t="s">
        <v>6402</v>
      </c>
      <c r="H66">
        <v>1423475</v>
      </c>
      <c r="I66">
        <v>4688</v>
      </c>
      <c r="J66">
        <v>1.34324684653605E-3</v>
      </c>
      <c r="K66">
        <v>1912.0783048729099</v>
      </c>
      <c r="L66">
        <v>1912.0783048729099</v>
      </c>
      <c r="M66">
        <v>599</v>
      </c>
    </row>
    <row r="67" spans="1:13" ht="15">
      <c r="A67" t="s">
        <v>3378</v>
      </c>
      <c r="B67" s="1040" t="str">
        <f>CONCATENATE(LEFT(RIGHT(CONCATENATE("000",IFAData_TEA_1819!A67),6),3),"-",(RIGHT(RIGHT(CONCATENATE("000",IFAData_TEA_1819!A67),6),3)))</f>
        <v>011-901</v>
      </c>
      <c r="C67" t="s">
        <v>2123</v>
      </c>
      <c r="D67">
        <v>9</v>
      </c>
      <c r="E67">
        <v>1595</v>
      </c>
      <c r="F67" t="s">
        <v>4087</v>
      </c>
      <c r="G67" t="s">
        <v>4087</v>
      </c>
      <c r="H67">
        <v>1091461</v>
      </c>
      <c r="I67">
        <v>0</v>
      </c>
      <c r="J67">
        <v>0</v>
      </c>
      <c r="K67">
        <v>0</v>
      </c>
      <c r="L67">
        <v>0</v>
      </c>
      <c r="M67">
        <v>599</v>
      </c>
    </row>
    <row r="68" spans="1:13" ht="15">
      <c r="A68" t="s">
        <v>3378</v>
      </c>
      <c r="B68" s="1040" t="str">
        <f>CONCATENATE(LEFT(RIGHT(CONCATENATE("000",IFAData_TEA_1819!A68),6),3),"-",(RIGHT(RIGHT(CONCATENATE("000",IFAData_TEA_1819!A68),6),3)))</f>
        <v>011-901</v>
      </c>
      <c r="C68" t="s">
        <v>2123</v>
      </c>
      <c r="D68">
        <v>9</v>
      </c>
      <c r="E68">
        <v>1595</v>
      </c>
      <c r="F68" t="s">
        <v>4087</v>
      </c>
      <c r="G68" t="s">
        <v>6178</v>
      </c>
      <c r="H68">
        <v>1091461</v>
      </c>
      <c r="I68">
        <v>261351</v>
      </c>
      <c r="J68">
        <v>0.16947052255210501</v>
      </c>
      <c r="K68">
        <v>184970.46601524399</v>
      </c>
      <c r="L68">
        <v>184970.46601524399</v>
      </c>
      <c r="M68">
        <v>599</v>
      </c>
    </row>
    <row r="69" spans="1:13" ht="15">
      <c r="A69" t="s">
        <v>3378</v>
      </c>
      <c r="B69" s="1040" t="str">
        <f>CONCATENATE(LEFT(RIGHT(CONCATENATE("000",IFAData_TEA_1819!A69),6),3),"-",(RIGHT(RIGHT(CONCATENATE("000",IFAData_TEA_1819!A69),6),3)))</f>
        <v>011-901</v>
      </c>
      <c r="C69" t="s">
        <v>2123</v>
      </c>
      <c r="D69">
        <v>9</v>
      </c>
      <c r="E69">
        <v>1595</v>
      </c>
      <c r="F69" t="s">
        <v>4087</v>
      </c>
      <c r="G69" t="s">
        <v>4088</v>
      </c>
      <c r="H69">
        <v>1091461</v>
      </c>
      <c r="I69">
        <v>314138</v>
      </c>
      <c r="J69">
        <v>0.203699741012942</v>
      </c>
      <c r="K69">
        <v>222330.32302572599</v>
      </c>
      <c r="L69">
        <v>222330.32302572599</v>
      </c>
      <c r="M69">
        <v>599</v>
      </c>
    </row>
    <row r="70" spans="1:13" ht="15">
      <c r="A70" t="s">
        <v>3378</v>
      </c>
      <c r="B70" s="1040" t="str">
        <f>CONCATENATE(LEFT(RIGHT(CONCATENATE("000",IFAData_TEA_1819!A70),6),3),"-",(RIGHT(RIGHT(CONCATENATE("000",IFAData_TEA_1819!A70),6),3)))</f>
        <v>011-901</v>
      </c>
      <c r="C70" t="s">
        <v>2123</v>
      </c>
      <c r="D70">
        <v>9</v>
      </c>
      <c r="E70">
        <v>1595</v>
      </c>
      <c r="F70" t="s">
        <v>4087</v>
      </c>
      <c r="G70" t="s">
        <v>4086</v>
      </c>
      <c r="H70">
        <v>1091461</v>
      </c>
      <c r="I70">
        <v>30485</v>
      </c>
      <c r="J70">
        <v>1.9767702744588399E-2</v>
      </c>
      <c r="K70">
        <v>21575.676605311201</v>
      </c>
      <c r="L70">
        <v>21575.676605311201</v>
      </c>
      <c r="M70">
        <v>599</v>
      </c>
    </row>
    <row r="71" spans="1:13" ht="15">
      <c r="A71" t="s">
        <v>3378</v>
      </c>
      <c r="B71" s="1040" t="str">
        <f>CONCATENATE(LEFT(RIGHT(CONCATENATE("000",IFAData_TEA_1819!A71),6),3),"-",(RIGHT(RIGHT(CONCATENATE("000",IFAData_TEA_1819!A71),6),3)))</f>
        <v>011-901</v>
      </c>
      <c r="C71" t="s">
        <v>2123</v>
      </c>
      <c r="D71">
        <v>9</v>
      </c>
      <c r="E71">
        <v>1595</v>
      </c>
      <c r="F71" t="s">
        <v>4087</v>
      </c>
      <c r="G71" t="s">
        <v>6179</v>
      </c>
      <c r="H71">
        <v>1091461</v>
      </c>
      <c r="I71">
        <v>917299</v>
      </c>
      <c r="J71">
        <v>0.59481364474030596</v>
      </c>
      <c r="K71">
        <v>649215.89550189895</v>
      </c>
      <c r="L71">
        <v>649215.89550189895</v>
      </c>
      <c r="M71">
        <v>599</v>
      </c>
    </row>
    <row r="72" spans="1:13" ht="15">
      <c r="A72" t="s">
        <v>3378</v>
      </c>
      <c r="B72" s="1040" t="str">
        <f>CONCATENATE(LEFT(RIGHT(CONCATENATE("000",IFAData_TEA_1819!A72),6),3),"-",(RIGHT(RIGHT(CONCATENATE("000",IFAData_TEA_1819!A72),6),3)))</f>
        <v>011-901</v>
      </c>
      <c r="C72" t="s">
        <v>2123</v>
      </c>
      <c r="D72">
        <v>9</v>
      </c>
      <c r="E72">
        <v>1595</v>
      </c>
      <c r="F72" t="s">
        <v>4087</v>
      </c>
      <c r="G72" t="s">
        <v>6402</v>
      </c>
      <c r="H72">
        <v>1091461</v>
      </c>
      <c r="I72">
        <v>18889</v>
      </c>
      <c r="J72">
        <v>1.2248388950058401E-2</v>
      </c>
      <c r="K72">
        <v>13368.6388518197</v>
      </c>
      <c r="L72">
        <v>13368.6388518197</v>
      </c>
      <c r="M72">
        <v>599</v>
      </c>
    </row>
    <row r="73" spans="1:13" ht="15">
      <c r="A73" t="s">
        <v>3378</v>
      </c>
      <c r="B73" s="1040" t="str">
        <f>CONCATENATE(LEFT(RIGHT(CONCATENATE("000",IFAData_TEA_1819!A73),6),3),"-",(RIGHT(RIGHT(CONCATENATE("000",IFAData_TEA_1819!A73),6),3)))</f>
        <v>011-901</v>
      </c>
      <c r="C73" t="s">
        <v>2123</v>
      </c>
      <c r="D73">
        <v>9</v>
      </c>
      <c r="E73">
        <v>1594</v>
      </c>
      <c r="F73" t="s">
        <v>4089</v>
      </c>
      <c r="G73" t="s">
        <v>4089</v>
      </c>
      <c r="H73">
        <v>871791</v>
      </c>
      <c r="I73">
        <v>0</v>
      </c>
      <c r="J73">
        <v>0</v>
      </c>
      <c r="K73">
        <v>0</v>
      </c>
      <c r="L73">
        <v>0</v>
      </c>
      <c r="M73">
        <v>599</v>
      </c>
    </row>
    <row r="74" spans="1:13" ht="15">
      <c r="A74" t="s">
        <v>3378</v>
      </c>
      <c r="B74" s="1040" t="str">
        <f>CONCATENATE(LEFT(RIGHT(CONCATENATE("000",IFAData_TEA_1819!A74),6),3),"-",(RIGHT(RIGHT(CONCATENATE("000",IFAData_TEA_1819!A74),6),3)))</f>
        <v>011-901</v>
      </c>
      <c r="C74" t="s">
        <v>2123</v>
      </c>
      <c r="D74">
        <v>9</v>
      </c>
      <c r="E74">
        <v>1594</v>
      </c>
      <c r="F74" t="s">
        <v>4089</v>
      </c>
      <c r="G74" t="s">
        <v>4090</v>
      </c>
      <c r="H74">
        <v>871791</v>
      </c>
      <c r="I74">
        <v>0</v>
      </c>
      <c r="J74">
        <v>0</v>
      </c>
      <c r="K74">
        <v>0</v>
      </c>
      <c r="L74">
        <v>0</v>
      </c>
      <c r="M74">
        <v>599</v>
      </c>
    </row>
    <row r="75" spans="1:13" ht="15">
      <c r="A75" t="s">
        <v>3378</v>
      </c>
      <c r="B75" s="1040" t="str">
        <f>CONCATENATE(LEFT(RIGHT(CONCATENATE("000",IFAData_TEA_1819!A75),6),3),"-",(RIGHT(RIGHT(CONCATENATE("000",IFAData_TEA_1819!A75),6),3)))</f>
        <v>011-901</v>
      </c>
      <c r="C75" t="s">
        <v>2123</v>
      </c>
      <c r="D75">
        <v>9</v>
      </c>
      <c r="E75">
        <v>1594</v>
      </c>
      <c r="F75" t="s">
        <v>4089</v>
      </c>
      <c r="G75" t="s">
        <v>6180</v>
      </c>
      <c r="H75">
        <v>871791</v>
      </c>
      <c r="I75">
        <v>1296964</v>
      </c>
      <c r="J75">
        <v>1</v>
      </c>
      <c r="K75">
        <v>871791</v>
      </c>
      <c r="L75">
        <v>871791</v>
      </c>
      <c r="M75">
        <v>599</v>
      </c>
    </row>
    <row r="76" spans="1:13" ht="15">
      <c r="A76" t="s">
        <v>3378</v>
      </c>
      <c r="B76" s="1040" t="str">
        <f>CONCATENATE(LEFT(RIGHT(CONCATENATE("000",IFAData_TEA_1819!A76),6),3),"-",(RIGHT(RIGHT(CONCATENATE("000",IFAData_TEA_1819!A76),6),3)))</f>
        <v>011-901</v>
      </c>
      <c r="C76" t="s">
        <v>2123</v>
      </c>
      <c r="D76">
        <v>10</v>
      </c>
      <c r="E76">
        <v>1597</v>
      </c>
      <c r="F76" t="s">
        <v>4091</v>
      </c>
      <c r="G76" t="s">
        <v>4091</v>
      </c>
      <c r="H76">
        <v>2083922</v>
      </c>
      <c r="I76">
        <v>1811832</v>
      </c>
      <c r="J76">
        <v>0.58339263324448498</v>
      </c>
      <c r="K76">
        <v>1215744.7430561101</v>
      </c>
      <c r="L76">
        <v>1215744.7430561101</v>
      </c>
      <c r="M76">
        <v>599</v>
      </c>
    </row>
    <row r="77" spans="1:13" ht="15">
      <c r="A77" t="s">
        <v>3378</v>
      </c>
      <c r="B77" s="1040" t="str">
        <f>CONCATENATE(LEFT(RIGHT(CONCATENATE("000",IFAData_TEA_1819!A77),6),3),"-",(RIGHT(RIGHT(CONCATENATE("000",IFAData_TEA_1819!A77),6),3)))</f>
        <v>011-901</v>
      </c>
      <c r="C77" t="s">
        <v>2123</v>
      </c>
      <c r="D77">
        <v>10</v>
      </c>
      <c r="E77">
        <v>1597</v>
      </c>
      <c r="F77" t="s">
        <v>4091</v>
      </c>
      <c r="G77" t="s">
        <v>6403</v>
      </c>
      <c r="H77">
        <v>2083922</v>
      </c>
      <c r="I77">
        <v>326200</v>
      </c>
      <c r="J77">
        <v>0.10503329059446501</v>
      </c>
      <c r="K77">
        <v>218881.185002199</v>
      </c>
      <c r="L77">
        <v>218881.185002199</v>
      </c>
      <c r="M77">
        <v>599</v>
      </c>
    </row>
    <row r="78" spans="1:13" ht="15">
      <c r="A78" t="s">
        <v>3378</v>
      </c>
      <c r="B78" s="1040" t="str">
        <f>CONCATENATE(LEFT(RIGHT(CONCATENATE("000",IFAData_TEA_1819!A78),6),3),"-",(RIGHT(RIGHT(CONCATENATE("000",IFAData_TEA_1819!A78),6),3)))</f>
        <v>011-901</v>
      </c>
      <c r="C78" t="s">
        <v>2123</v>
      </c>
      <c r="D78">
        <v>10</v>
      </c>
      <c r="E78">
        <v>1597</v>
      </c>
      <c r="F78" t="s">
        <v>4091</v>
      </c>
      <c r="G78" t="s">
        <v>8308</v>
      </c>
      <c r="H78">
        <v>2083922</v>
      </c>
      <c r="I78">
        <v>967650</v>
      </c>
      <c r="J78">
        <v>0.31157407616104899</v>
      </c>
      <c r="K78">
        <v>649296.07194168598</v>
      </c>
      <c r="L78">
        <v>649296.07194168598</v>
      </c>
      <c r="M78">
        <v>599</v>
      </c>
    </row>
    <row r="79" spans="1:13" ht="15">
      <c r="A79" t="s">
        <v>3379</v>
      </c>
      <c r="B79" s="1040" t="str">
        <f>CONCATENATE(LEFT(RIGHT(CONCATENATE("000",IFAData_TEA_1819!A79),6),3),"-",(RIGHT(RIGHT(CONCATENATE("000",IFAData_TEA_1819!A79),6),3)))</f>
        <v>011-902</v>
      </c>
      <c r="C79" t="s">
        <v>890</v>
      </c>
      <c r="D79">
        <v>1</v>
      </c>
      <c r="E79">
        <v>1799</v>
      </c>
      <c r="F79" t="s">
        <v>4092</v>
      </c>
      <c r="G79" t="s">
        <v>4092</v>
      </c>
      <c r="H79">
        <v>597138</v>
      </c>
      <c r="I79">
        <v>0</v>
      </c>
      <c r="J79">
        <v>0</v>
      </c>
      <c r="K79">
        <v>0</v>
      </c>
      <c r="L79">
        <v>0</v>
      </c>
      <c r="M79">
        <v>599</v>
      </c>
    </row>
    <row r="80" spans="1:13" ht="15">
      <c r="A80" t="s">
        <v>3379</v>
      </c>
      <c r="B80" s="1040" t="str">
        <f>CONCATENATE(LEFT(RIGHT(CONCATENATE("000",IFAData_TEA_1819!A80),6),3),"-",(RIGHT(RIGHT(CONCATENATE("000",IFAData_TEA_1819!A80),6),3)))</f>
        <v>011-902</v>
      </c>
      <c r="C80" t="s">
        <v>890</v>
      </c>
      <c r="D80">
        <v>1</v>
      </c>
      <c r="E80">
        <v>1799</v>
      </c>
      <c r="F80" t="s">
        <v>4092</v>
      </c>
      <c r="G80" t="s">
        <v>4093</v>
      </c>
      <c r="H80">
        <v>597138</v>
      </c>
      <c r="I80">
        <v>0</v>
      </c>
      <c r="J80">
        <v>0</v>
      </c>
      <c r="K80">
        <v>0</v>
      </c>
      <c r="L80">
        <v>0</v>
      </c>
      <c r="M80">
        <v>599</v>
      </c>
    </row>
    <row r="81" spans="1:13" ht="15">
      <c r="A81" t="s">
        <v>3379</v>
      </c>
      <c r="B81" s="1040" t="str">
        <f>CONCATENATE(LEFT(RIGHT(CONCATENATE("000",IFAData_TEA_1819!A81),6),3),"-",(RIGHT(RIGHT(CONCATENATE("000",IFAData_TEA_1819!A81),6),3)))</f>
        <v>011-902</v>
      </c>
      <c r="C81" t="s">
        <v>890</v>
      </c>
      <c r="D81">
        <v>1</v>
      </c>
      <c r="E81">
        <v>1799</v>
      </c>
      <c r="F81" t="s">
        <v>4092</v>
      </c>
      <c r="G81" t="s">
        <v>6404</v>
      </c>
      <c r="H81">
        <v>597138</v>
      </c>
      <c r="I81">
        <v>955965</v>
      </c>
      <c r="J81">
        <v>1</v>
      </c>
      <c r="K81">
        <v>597138</v>
      </c>
      <c r="L81">
        <v>597138</v>
      </c>
      <c r="M81">
        <v>599</v>
      </c>
    </row>
    <row r="82" spans="1:13" ht="15">
      <c r="A82" t="s">
        <v>3379</v>
      </c>
      <c r="B82" s="1040" t="str">
        <f>CONCATENATE(LEFT(RIGHT(CONCATENATE("000",IFAData_TEA_1819!A82),6),3),"-",(RIGHT(RIGHT(CONCATENATE("000",IFAData_TEA_1819!A82),6),3)))</f>
        <v>011-902</v>
      </c>
      <c r="C82" t="s">
        <v>890</v>
      </c>
      <c r="D82">
        <v>9</v>
      </c>
      <c r="E82">
        <v>1800</v>
      </c>
      <c r="F82" t="s">
        <v>4094</v>
      </c>
      <c r="G82" t="s">
        <v>4094</v>
      </c>
      <c r="H82">
        <v>945091</v>
      </c>
      <c r="I82">
        <v>0</v>
      </c>
      <c r="J82">
        <v>0</v>
      </c>
      <c r="K82">
        <v>0</v>
      </c>
      <c r="L82">
        <v>0</v>
      </c>
      <c r="M82">
        <v>599</v>
      </c>
    </row>
    <row r="83" spans="1:13" ht="15">
      <c r="A83" t="s">
        <v>3379</v>
      </c>
      <c r="B83" s="1040" t="str">
        <f>CONCATENATE(LEFT(RIGHT(CONCATENATE("000",IFAData_TEA_1819!A83),6),3),"-",(RIGHT(RIGHT(CONCATENATE("000",IFAData_TEA_1819!A83),6),3)))</f>
        <v>011-902</v>
      </c>
      <c r="C83" t="s">
        <v>890</v>
      </c>
      <c r="D83">
        <v>9</v>
      </c>
      <c r="E83">
        <v>1800</v>
      </c>
      <c r="F83" t="s">
        <v>4094</v>
      </c>
      <c r="G83" t="s">
        <v>4095</v>
      </c>
      <c r="H83">
        <v>945091</v>
      </c>
      <c r="I83">
        <v>267943</v>
      </c>
      <c r="J83">
        <v>0.123326113231933</v>
      </c>
      <c r="K83">
        <v>116554.399680481</v>
      </c>
      <c r="L83">
        <v>116554.399680481</v>
      </c>
      <c r="M83">
        <v>599</v>
      </c>
    </row>
    <row r="84" spans="1:13" ht="15">
      <c r="A84" t="s">
        <v>3379</v>
      </c>
      <c r="B84" s="1040" t="str">
        <f>CONCATENATE(LEFT(RIGHT(CONCATENATE("000",IFAData_TEA_1819!A84),6),3),"-",(RIGHT(RIGHT(CONCATENATE("000",IFAData_TEA_1819!A84),6),3)))</f>
        <v>011-902</v>
      </c>
      <c r="C84" t="s">
        <v>890</v>
      </c>
      <c r="D84">
        <v>9</v>
      </c>
      <c r="E84">
        <v>1800</v>
      </c>
      <c r="F84" t="s">
        <v>4094</v>
      </c>
      <c r="G84" t="s">
        <v>4096</v>
      </c>
      <c r="H84">
        <v>945091</v>
      </c>
      <c r="I84">
        <v>325039</v>
      </c>
      <c r="J84">
        <v>0.14960568672737901</v>
      </c>
      <c r="K84">
        <v>141390.98807486601</v>
      </c>
      <c r="L84">
        <v>141390.98807486601</v>
      </c>
      <c r="M84">
        <v>599</v>
      </c>
    </row>
    <row r="85" spans="1:13" ht="15">
      <c r="A85" t="s">
        <v>3379</v>
      </c>
      <c r="B85" s="1040" t="str">
        <f>CONCATENATE(LEFT(RIGHT(CONCATENATE("000",IFAData_TEA_1819!A85),6),3),"-",(RIGHT(RIGHT(CONCATENATE("000",IFAData_TEA_1819!A85),6),3)))</f>
        <v>011-902</v>
      </c>
      <c r="C85" t="s">
        <v>890</v>
      </c>
      <c r="D85">
        <v>9</v>
      </c>
      <c r="E85">
        <v>1800</v>
      </c>
      <c r="F85" t="s">
        <v>4094</v>
      </c>
      <c r="G85" t="s">
        <v>8309</v>
      </c>
      <c r="H85">
        <v>945091</v>
      </c>
      <c r="I85">
        <v>1579656</v>
      </c>
      <c r="J85">
        <v>0.72706820004068795</v>
      </c>
      <c r="K85">
        <v>687145.61224465398</v>
      </c>
      <c r="L85">
        <v>687145.61224465398</v>
      </c>
      <c r="M85">
        <v>599</v>
      </c>
    </row>
    <row r="86" spans="1:13" ht="15">
      <c r="A86" t="s">
        <v>3380</v>
      </c>
      <c r="B86" s="1040" t="str">
        <f>CONCATENATE(LEFT(RIGHT(CONCATENATE("000",IFAData_TEA_1819!A86),6),3),"-",(RIGHT(RIGHT(CONCATENATE("000",IFAData_TEA_1819!A86),6),3)))</f>
        <v>011-904</v>
      </c>
      <c r="C86" t="s">
        <v>1928</v>
      </c>
      <c r="D86">
        <v>6</v>
      </c>
      <c r="E86">
        <v>2342</v>
      </c>
      <c r="F86" t="s">
        <v>4097</v>
      </c>
      <c r="G86" t="s">
        <v>4097</v>
      </c>
      <c r="H86">
        <v>449656</v>
      </c>
      <c r="I86">
        <v>0</v>
      </c>
      <c r="J86">
        <v>0</v>
      </c>
      <c r="K86">
        <v>0</v>
      </c>
      <c r="L86">
        <v>0</v>
      </c>
      <c r="M86">
        <v>599</v>
      </c>
    </row>
    <row r="87" spans="1:13" ht="15">
      <c r="A87" t="s">
        <v>3380</v>
      </c>
      <c r="B87" s="1040" t="str">
        <f>CONCATENATE(LEFT(RIGHT(CONCATENATE("000",IFAData_TEA_1819!A87),6),3),"-",(RIGHT(RIGHT(CONCATENATE("000",IFAData_TEA_1819!A87),6),3)))</f>
        <v>011-904</v>
      </c>
      <c r="C87" t="s">
        <v>1928</v>
      </c>
      <c r="D87">
        <v>6</v>
      </c>
      <c r="E87">
        <v>2342</v>
      </c>
      <c r="F87" t="s">
        <v>4097</v>
      </c>
      <c r="G87" t="s">
        <v>4098</v>
      </c>
      <c r="H87">
        <v>449656</v>
      </c>
      <c r="I87">
        <v>934965</v>
      </c>
      <c r="J87">
        <v>0.77743427108443297</v>
      </c>
      <c r="K87">
        <v>349577.98459874198</v>
      </c>
      <c r="L87">
        <v>349577.98459874198</v>
      </c>
      <c r="M87">
        <v>599</v>
      </c>
    </row>
    <row r="88" spans="1:13" ht="15">
      <c r="A88" t="s">
        <v>3380</v>
      </c>
      <c r="B88" s="1040" t="str">
        <f>CONCATENATE(LEFT(RIGHT(CONCATENATE("000",IFAData_TEA_1819!A88),6),3),"-",(RIGHT(RIGHT(CONCATENATE("000",IFAData_TEA_1819!A88),6),3)))</f>
        <v>011-904</v>
      </c>
      <c r="C88" t="s">
        <v>1928</v>
      </c>
      <c r="D88">
        <v>6</v>
      </c>
      <c r="E88">
        <v>2342</v>
      </c>
      <c r="F88" t="s">
        <v>4097</v>
      </c>
      <c r="G88" t="s">
        <v>4099</v>
      </c>
      <c r="H88">
        <v>449656</v>
      </c>
      <c r="I88">
        <v>0</v>
      </c>
      <c r="J88">
        <v>0</v>
      </c>
      <c r="K88">
        <v>0</v>
      </c>
      <c r="L88">
        <v>0</v>
      </c>
      <c r="M88">
        <v>599</v>
      </c>
    </row>
    <row r="89" spans="1:13" ht="15">
      <c r="A89" t="s">
        <v>3380</v>
      </c>
      <c r="B89" s="1040" t="str">
        <f>CONCATENATE(LEFT(RIGHT(CONCATENATE("000",IFAData_TEA_1819!A89),6),3),"-",(RIGHT(RIGHT(CONCATENATE("000",IFAData_TEA_1819!A89),6),3)))</f>
        <v>011-904</v>
      </c>
      <c r="C89" t="s">
        <v>1928</v>
      </c>
      <c r="D89">
        <v>6</v>
      </c>
      <c r="E89">
        <v>2342</v>
      </c>
      <c r="F89" t="s">
        <v>4097</v>
      </c>
      <c r="G89" t="s">
        <v>6181</v>
      </c>
      <c r="H89">
        <v>449656</v>
      </c>
      <c r="I89">
        <v>267664</v>
      </c>
      <c r="J89">
        <v>0.222565728915567</v>
      </c>
      <c r="K89">
        <v>100078.015401258</v>
      </c>
      <c r="L89">
        <v>100078.015401258</v>
      </c>
      <c r="M89">
        <v>599</v>
      </c>
    </row>
    <row r="90" spans="1:13" ht="15">
      <c r="A90" t="s">
        <v>3381</v>
      </c>
      <c r="B90" s="1040" t="str">
        <f>CONCATENATE(LEFT(RIGHT(CONCATENATE("000",IFAData_TEA_1819!A90),6),3),"-",(RIGHT(RIGHT(CONCATENATE("000",IFAData_TEA_1819!A90),6),3)))</f>
        <v>011-905</v>
      </c>
      <c r="C90" t="s">
        <v>818</v>
      </c>
      <c r="D90">
        <v>5</v>
      </c>
      <c r="E90">
        <v>2080</v>
      </c>
      <c r="F90" t="s">
        <v>4100</v>
      </c>
      <c r="G90" t="s">
        <v>4100</v>
      </c>
      <c r="H90">
        <v>100000</v>
      </c>
      <c r="I90">
        <v>0</v>
      </c>
      <c r="J90">
        <v>0</v>
      </c>
      <c r="K90">
        <v>0</v>
      </c>
      <c r="L90">
        <v>0</v>
      </c>
      <c r="M90">
        <v>599</v>
      </c>
    </row>
    <row r="91" spans="1:13" ht="15">
      <c r="A91" t="s">
        <v>3381</v>
      </c>
      <c r="B91" s="1040" t="str">
        <f>CONCATENATE(LEFT(RIGHT(CONCATENATE("000",IFAData_TEA_1819!A91),6),3),"-",(RIGHT(RIGHT(CONCATENATE("000",IFAData_TEA_1819!A91),6),3)))</f>
        <v>011-905</v>
      </c>
      <c r="C91" t="s">
        <v>818</v>
      </c>
      <c r="D91">
        <v>5</v>
      </c>
      <c r="E91">
        <v>2080</v>
      </c>
      <c r="F91" t="s">
        <v>4100</v>
      </c>
      <c r="G91" t="s">
        <v>4101</v>
      </c>
      <c r="H91">
        <v>100000</v>
      </c>
      <c r="I91">
        <v>94075</v>
      </c>
      <c r="J91">
        <v>1</v>
      </c>
      <c r="K91">
        <v>100000</v>
      </c>
      <c r="L91">
        <v>94075</v>
      </c>
      <c r="M91">
        <v>599</v>
      </c>
    </row>
    <row r="92" spans="1:13" ht="15">
      <c r="A92" t="s">
        <v>3382</v>
      </c>
      <c r="B92" s="1040" t="str">
        <f>CONCATENATE(LEFT(RIGHT(CONCATENATE("000",IFAData_TEA_1819!A92),6),3),"-",(RIGHT(RIGHT(CONCATENATE("000",IFAData_TEA_1819!A92),6),3)))</f>
        <v>013-901</v>
      </c>
      <c r="C92" t="s">
        <v>2124</v>
      </c>
      <c r="D92">
        <v>6</v>
      </c>
      <c r="E92">
        <v>1599</v>
      </c>
      <c r="F92" t="s">
        <v>4102</v>
      </c>
      <c r="G92" t="s">
        <v>4102</v>
      </c>
      <c r="H92">
        <v>855519</v>
      </c>
      <c r="I92">
        <v>0</v>
      </c>
      <c r="J92">
        <v>0</v>
      </c>
      <c r="K92">
        <v>0</v>
      </c>
      <c r="L92">
        <v>0</v>
      </c>
      <c r="M92">
        <v>599</v>
      </c>
    </row>
    <row r="93" spans="1:13" ht="15">
      <c r="A93" t="s">
        <v>3382</v>
      </c>
      <c r="B93" s="1040" t="str">
        <f>CONCATENATE(LEFT(RIGHT(CONCATENATE("000",IFAData_TEA_1819!A93),6),3),"-",(RIGHT(RIGHT(CONCATENATE("000",IFAData_TEA_1819!A93),6),3)))</f>
        <v>013-901</v>
      </c>
      <c r="C93" t="s">
        <v>2124</v>
      </c>
      <c r="D93">
        <v>6</v>
      </c>
      <c r="E93">
        <v>1599</v>
      </c>
      <c r="F93" t="s">
        <v>4102</v>
      </c>
      <c r="G93" t="s">
        <v>4103</v>
      </c>
      <c r="H93">
        <v>855519</v>
      </c>
      <c r="I93">
        <v>0</v>
      </c>
      <c r="J93">
        <v>0</v>
      </c>
      <c r="K93">
        <v>0</v>
      </c>
      <c r="L93">
        <v>0</v>
      </c>
      <c r="M93">
        <v>599</v>
      </c>
    </row>
    <row r="94" spans="1:13" ht="15">
      <c r="A94" t="s">
        <v>3382</v>
      </c>
      <c r="B94" s="1040" t="str">
        <f>CONCATENATE(LEFT(RIGHT(CONCATENATE("000",IFAData_TEA_1819!A94),6),3),"-",(RIGHT(RIGHT(CONCATENATE("000",IFAData_TEA_1819!A94),6),3)))</f>
        <v>013-901</v>
      </c>
      <c r="C94" t="s">
        <v>2124</v>
      </c>
      <c r="D94">
        <v>6</v>
      </c>
      <c r="E94">
        <v>1599</v>
      </c>
      <c r="F94" t="s">
        <v>4102</v>
      </c>
      <c r="G94" t="s">
        <v>4104</v>
      </c>
      <c r="H94">
        <v>855519</v>
      </c>
      <c r="I94">
        <v>592250</v>
      </c>
      <c r="J94">
        <v>0.71540738056411202</v>
      </c>
      <c r="K94">
        <v>612044.60681282799</v>
      </c>
      <c r="L94">
        <v>592250</v>
      </c>
      <c r="M94">
        <v>599</v>
      </c>
    </row>
    <row r="95" spans="1:13" ht="15">
      <c r="A95" t="s">
        <v>3382</v>
      </c>
      <c r="B95" s="1040" t="str">
        <f>CONCATENATE(LEFT(RIGHT(CONCATENATE("000",IFAData_TEA_1819!A95),6),3),"-",(RIGHT(RIGHT(CONCATENATE("000",IFAData_TEA_1819!A95),6),3)))</f>
        <v>013-901</v>
      </c>
      <c r="C95" t="s">
        <v>2124</v>
      </c>
      <c r="D95">
        <v>6</v>
      </c>
      <c r="E95">
        <v>1599</v>
      </c>
      <c r="F95" t="s">
        <v>4102</v>
      </c>
      <c r="G95" t="s">
        <v>6405</v>
      </c>
      <c r="H95">
        <v>855519</v>
      </c>
      <c r="I95">
        <v>235600</v>
      </c>
      <c r="J95">
        <v>0.28459261943588798</v>
      </c>
      <c r="K95">
        <v>243474.39318717201</v>
      </c>
      <c r="L95">
        <v>235600</v>
      </c>
      <c r="M95">
        <v>599</v>
      </c>
    </row>
    <row r="96" spans="1:13" ht="15">
      <c r="A96" t="s">
        <v>3382</v>
      </c>
      <c r="B96" s="1040" t="str">
        <f>CONCATENATE(LEFT(RIGHT(CONCATENATE("000",IFAData_TEA_1819!A96),6),3),"-",(RIGHT(RIGHT(CONCATENATE("000",IFAData_TEA_1819!A96),6),3)))</f>
        <v>013-901</v>
      </c>
      <c r="C96" t="s">
        <v>2124</v>
      </c>
      <c r="D96">
        <v>9</v>
      </c>
      <c r="E96">
        <v>1598</v>
      </c>
      <c r="F96" t="s">
        <v>4105</v>
      </c>
      <c r="G96" t="s">
        <v>4105</v>
      </c>
      <c r="H96">
        <v>605485</v>
      </c>
      <c r="I96">
        <v>465000</v>
      </c>
      <c r="J96">
        <v>0.60879811468970901</v>
      </c>
      <c r="K96">
        <v>368618.12647289899</v>
      </c>
      <c r="L96">
        <v>368618.12647289899</v>
      </c>
      <c r="M96">
        <v>599</v>
      </c>
    </row>
    <row r="97" spans="1:13" ht="15">
      <c r="A97" t="s">
        <v>3382</v>
      </c>
      <c r="B97" s="1040" t="str">
        <f>CONCATENATE(LEFT(RIGHT(CONCATENATE("000",IFAData_TEA_1819!A97),6),3),"-",(RIGHT(RIGHT(CONCATENATE("000",IFAData_TEA_1819!A97),6),3)))</f>
        <v>013-901</v>
      </c>
      <c r="C97" t="s">
        <v>2124</v>
      </c>
      <c r="D97">
        <v>9</v>
      </c>
      <c r="E97">
        <v>1598</v>
      </c>
      <c r="F97" t="s">
        <v>4105</v>
      </c>
      <c r="G97" t="s">
        <v>6182</v>
      </c>
      <c r="H97">
        <v>605485</v>
      </c>
      <c r="I97">
        <v>298800</v>
      </c>
      <c r="J97">
        <v>0.39120188531029099</v>
      </c>
      <c r="K97">
        <v>236866.87352710101</v>
      </c>
      <c r="L97">
        <v>236866.87352710101</v>
      </c>
      <c r="M97">
        <v>599</v>
      </c>
    </row>
    <row r="98" spans="1:13" ht="15">
      <c r="A98" t="s">
        <v>3383</v>
      </c>
      <c r="B98" s="1040" t="str">
        <f>CONCATENATE(LEFT(RIGHT(CONCATENATE("000",IFAData_TEA_1819!A98),6),3),"-",(RIGHT(RIGHT(CONCATENATE("000",IFAData_TEA_1819!A98),6),3)))</f>
        <v>013-905</v>
      </c>
      <c r="C98" t="s">
        <v>1828</v>
      </c>
      <c r="D98">
        <v>3</v>
      </c>
      <c r="E98">
        <v>2338</v>
      </c>
      <c r="F98" t="s">
        <v>4106</v>
      </c>
      <c r="G98" t="s">
        <v>4106</v>
      </c>
      <c r="H98">
        <v>176917</v>
      </c>
      <c r="I98">
        <v>0</v>
      </c>
      <c r="J98">
        <v>0</v>
      </c>
      <c r="K98">
        <v>0</v>
      </c>
      <c r="L98">
        <v>0</v>
      </c>
      <c r="M98">
        <v>599</v>
      </c>
    </row>
    <row r="99" spans="1:13" ht="15">
      <c r="A99" t="s">
        <v>3383</v>
      </c>
      <c r="B99" s="1040" t="str">
        <f>CONCATENATE(LEFT(RIGHT(CONCATENATE("000",IFAData_TEA_1819!A99),6),3),"-",(RIGHT(RIGHT(CONCATENATE("000",IFAData_TEA_1819!A99),6),3)))</f>
        <v>013-905</v>
      </c>
      <c r="C99" t="s">
        <v>1828</v>
      </c>
      <c r="D99">
        <v>3</v>
      </c>
      <c r="E99">
        <v>2338</v>
      </c>
      <c r="F99" t="s">
        <v>4106</v>
      </c>
      <c r="G99" t="s">
        <v>4107</v>
      </c>
      <c r="H99">
        <v>176917</v>
      </c>
      <c r="I99">
        <v>0</v>
      </c>
      <c r="J99">
        <v>0</v>
      </c>
      <c r="K99">
        <v>0</v>
      </c>
      <c r="L99">
        <v>0</v>
      </c>
      <c r="M99">
        <v>599</v>
      </c>
    </row>
    <row r="100" spans="1:13" ht="15">
      <c r="A100" t="s">
        <v>3383</v>
      </c>
      <c r="B100" s="1040" t="str">
        <f>CONCATENATE(LEFT(RIGHT(CONCATENATE("000",IFAData_TEA_1819!A100),6),3),"-",(RIGHT(RIGHT(CONCATENATE("000",IFAData_TEA_1819!A100),6),3)))</f>
        <v>013-905</v>
      </c>
      <c r="C100" t="s">
        <v>1828</v>
      </c>
      <c r="D100">
        <v>3</v>
      </c>
      <c r="E100">
        <v>2338</v>
      </c>
      <c r="F100" t="s">
        <v>4106</v>
      </c>
      <c r="G100" t="s">
        <v>6406</v>
      </c>
      <c r="H100">
        <v>176917</v>
      </c>
      <c r="I100">
        <v>159345</v>
      </c>
      <c r="J100">
        <v>1</v>
      </c>
      <c r="K100">
        <v>176917</v>
      </c>
      <c r="L100">
        <v>159345</v>
      </c>
      <c r="M100">
        <v>599</v>
      </c>
    </row>
    <row r="101" spans="1:13" ht="15">
      <c r="A101" t="s">
        <v>3383</v>
      </c>
      <c r="B101" s="1040" t="str">
        <f>CONCATENATE(LEFT(RIGHT(CONCATENATE("000",IFAData_TEA_1819!A101),6),3),"-",(RIGHT(RIGHT(CONCATENATE("000",IFAData_TEA_1819!A101),6),3)))</f>
        <v>013-905</v>
      </c>
      <c r="C101" t="s">
        <v>1828</v>
      </c>
      <c r="D101">
        <v>9</v>
      </c>
      <c r="E101">
        <v>2339</v>
      </c>
      <c r="F101" t="s">
        <v>4108</v>
      </c>
      <c r="G101" t="s">
        <v>4108</v>
      </c>
      <c r="H101">
        <v>182500</v>
      </c>
      <c r="I101">
        <v>0</v>
      </c>
      <c r="J101">
        <v>0</v>
      </c>
      <c r="K101">
        <v>0</v>
      </c>
      <c r="L101">
        <v>0</v>
      </c>
      <c r="M101">
        <v>599</v>
      </c>
    </row>
    <row r="102" spans="1:13" ht="15">
      <c r="A102" t="s">
        <v>3383</v>
      </c>
      <c r="B102" s="1040" t="str">
        <f>CONCATENATE(LEFT(RIGHT(CONCATENATE("000",IFAData_TEA_1819!A102),6),3),"-",(RIGHT(RIGHT(CONCATENATE("000",IFAData_TEA_1819!A102),6),3)))</f>
        <v>013-905</v>
      </c>
      <c r="C102" t="s">
        <v>1828</v>
      </c>
      <c r="D102">
        <v>9</v>
      </c>
      <c r="E102">
        <v>2339</v>
      </c>
      <c r="F102" t="s">
        <v>4108</v>
      </c>
      <c r="G102" t="s">
        <v>6183</v>
      </c>
      <c r="H102">
        <v>182500</v>
      </c>
      <c r="I102">
        <v>234073</v>
      </c>
      <c r="J102">
        <v>1</v>
      </c>
      <c r="K102">
        <v>182500</v>
      </c>
      <c r="L102">
        <v>182500</v>
      </c>
      <c r="M102">
        <v>599</v>
      </c>
    </row>
    <row r="103" spans="1:13" ht="15">
      <c r="A103" t="s">
        <v>3383</v>
      </c>
      <c r="B103" s="1040" t="str">
        <f>CONCATENATE(LEFT(RIGHT(CONCATENATE("000",IFAData_TEA_1819!A103),6),3),"-",(RIGHT(RIGHT(CONCATENATE("000",IFAData_TEA_1819!A103),6),3)))</f>
        <v>013-905</v>
      </c>
      <c r="C103" t="s">
        <v>1828</v>
      </c>
      <c r="D103">
        <v>11</v>
      </c>
      <c r="E103">
        <v>2567</v>
      </c>
      <c r="F103" t="s">
        <v>8310</v>
      </c>
      <c r="G103" t="s">
        <v>8310</v>
      </c>
      <c r="H103">
        <v>199592</v>
      </c>
      <c r="I103">
        <v>381788</v>
      </c>
      <c r="J103">
        <v>1</v>
      </c>
      <c r="K103">
        <v>199592</v>
      </c>
      <c r="L103">
        <v>199592</v>
      </c>
      <c r="M103">
        <v>599</v>
      </c>
    </row>
    <row r="104" spans="1:13" ht="15">
      <c r="A104" t="s">
        <v>3384</v>
      </c>
      <c r="B104" s="1040" t="str">
        <f>CONCATENATE(LEFT(RIGHT(CONCATENATE("000",IFAData_TEA_1819!A104),6),3),"-",(RIGHT(RIGHT(CONCATENATE("000",IFAData_TEA_1819!A104),6),3)))</f>
        <v>014-902</v>
      </c>
      <c r="C104" t="s">
        <v>2122</v>
      </c>
      <c r="D104">
        <v>2</v>
      </c>
      <c r="E104">
        <v>1593</v>
      </c>
      <c r="F104" t="s">
        <v>4109</v>
      </c>
      <c r="G104" t="s">
        <v>4109</v>
      </c>
      <c r="H104">
        <v>134523</v>
      </c>
      <c r="I104">
        <v>0</v>
      </c>
      <c r="J104">
        <v>0</v>
      </c>
      <c r="K104">
        <v>0</v>
      </c>
      <c r="L104">
        <v>0</v>
      </c>
      <c r="M104">
        <v>599</v>
      </c>
    </row>
    <row r="105" spans="1:13" ht="15">
      <c r="A105" t="s">
        <v>3384</v>
      </c>
      <c r="B105" s="1040" t="str">
        <f>CONCATENATE(LEFT(RIGHT(CONCATENATE("000",IFAData_TEA_1819!A105),6),3),"-",(RIGHT(RIGHT(CONCATENATE("000",IFAData_TEA_1819!A105),6),3)))</f>
        <v>014-902</v>
      </c>
      <c r="C105" t="s">
        <v>2122</v>
      </c>
      <c r="D105">
        <v>2</v>
      </c>
      <c r="E105">
        <v>1593</v>
      </c>
      <c r="F105" t="s">
        <v>4109</v>
      </c>
      <c r="G105" t="s">
        <v>4110</v>
      </c>
      <c r="H105">
        <v>134523</v>
      </c>
      <c r="I105">
        <v>113297</v>
      </c>
      <c r="J105">
        <v>1</v>
      </c>
      <c r="K105">
        <v>134523</v>
      </c>
      <c r="L105">
        <v>113297</v>
      </c>
      <c r="M105">
        <v>599</v>
      </c>
    </row>
    <row r="106" spans="1:13" ht="15">
      <c r="A106" t="s">
        <v>3385</v>
      </c>
      <c r="B106" s="1040" t="str">
        <f>CONCATENATE(LEFT(RIGHT(CONCATENATE("000",IFAData_TEA_1819!A106),6),3),"-",(RIGHT(RIGHT(CONCATENATE("000",IFAData_TEA_1819!A106),6),3)))</f>
        <v>014-903</v>
      </c>
      <c r="C106" t="s">
        <v>2680</v>
      </c>
      <c r="D106">
        <v>1</v>
      </c>
      <c r="E106">
        <v>1603</v>
      </c>
      <c r="F106" t="s">
        <v>4111</v>
      </c>
      <c r="G106" t="s">
        <v>4111</v>
      </c>
      <c r="H106">
        <v>428025</v>
      </c>
      <c r="I106">
        <v>0</v>
      </c>
      <c r="J106">
        <v>0</v>
      </c>
      <c r="K106"/>
      <c r="L106">
        <v>0</v>
      </c>
      <c r="M106">
        <v>599</v>
      </c>
    </row>
    <row r="107" spans="1:13" ht="15">
      <c r="A107" t="s">
        <v>3385</v>
      </c>
      <c r="B107" s="1040" t="str">
        <f>CONCATENATE(LEFT(RIGHT(CONCATENATE("000",IFAData_TEA_1819!A107),6),3),"-",(RIGHT(RIGHT(CONCATENATE("000",IFAData_TEA_1819!A107),6),3)))</f>
        <v>014-903</v>
      </c>
      <c r="C107" t="s">
        <v>2680</v>
      </c>
      <c r="D107">
        <v>2</v>
      </c>
      <c r="E107">
        <v>1604</v>
      </c>
      <c r="F107" t="s">
        <v>4113</v>
      </c>
      <c r="G107" t="s">
        <v>4113</v>
      </c>
      <c r="H107">
        <v>1175975</v>
      </c>
      <c r="I107">
        <v>0</v>
      </c>
      <c r="J107">
        <v>0</v>
      </c>
      <c r="K107"/>
      <c r="L107">
        <v>0</v>
      </c>
      <c r="M107">
        <v>599</v>
      </c>
    </row>
    <row r="108" spans="1:13" ht="15">
      <c r="A108" t="s">
        <v>3386</v>
      </c>
      <c r="B108" s="1040" t="str">
        <f>CONCATENATE(LEFT(RIGHT(CONCATENATE("000",IFAData_TEA_1819!A108),6),3),"-",(RIGHT(RIGHT(CONCATENATE("000",IFAData_TEA_1819!A108),6),3)))</f>
        <v>014-905</v>
      </c>
      <c r="C108" t="s">
        <v>2377</v>
      </c>
      <c r="D108">
        <v>2</v>
      </c>
      <c r="E108">
        <v>1894</v>
      </c>
      <c r="F108" t="s">
        <v>4115</v>
      </c>
      <c r="G108" t="s">
        <v>4115</v>
      </c>
      <c r="H108">
        <v>88580</v>
      </c>
      <c r="I108">
        <v>70000</v>
      </c>
      <c r="J108">
        <v>0.44942088908292499</v>
      </c>
      <c r="K108">
        <v>39809.702354965499</v>
      </c>
      <c r="L108">
        <v>39809.702354965499</v>
      </c>
      <c r="M108">
        <v>599</v>
      </c>
    </row>
    <row r="109" spans="1:13" ht="15">
      <c r="A109" t="s">
        <v>3386</v>
      </c>
      <c r="B109" s="1040" t="str">
        <f>CONCATENATE(LEFT(RIGHT(CONCATENATE("000",IFAData_TEA_1819!A109),6),3),"-",(RIGHT(RIGHT(CONCATENATE("000",IFAData_TEA_1819!A109),6),3)))</f>
        <v>014-905</v>
      </c>
      <c r="C109" t="s">
        <v>2377</v>
      </c>
      <c r="D109">
        <v>2</v>
      </c>
      <c r="E109">
        <v>1894</v>
      </c>
      <c r="F109" t="s">
        <v>4115</v>
      </c>
      <c r="G109" t="s">
        <v>4116</v>
      </c>
      <c r="H109">
        <v>88580</v>
      </c>
      <c r="I109">
        <v>64750</v>
      </c>
      <c r="J109">
        <v>0.41571432240170503</v>
      </c>
      <c r="K109">
        <v>36823.974678343096</v>
      </c>
      <c r="L109">
        <v>36823.974678343096</v>
      </c>
      <c r="M109">
        <v>599</v>
      </c>
    </row>
    <row r="110" spans="1:13" ht="15">
      <c r="A110" t="s">
        <v>3386</v>
      </c>
      <c r="B110" s="1040" t="str">
        <f>CONCATENATE(LEFT(RIGHT(CONCATENATE("000",IFAData_TEA_1819!A110),6),3),"-",(RIGHT(RIGHT(CONCATENATE("000",IFAData_TEA_1819!A110),6),3)))</f>
        <v>014-905</v>
      </c>
      <c r="C110" t="s">
        <v>2377</v>
      </c>
      <c r="D110">
        <v>2</v>
      </c>
      <c r="E110">
        <v>1894</v>
      </c>
      <c r="F110" t="s">
        <v>4115</v>
      </c>
      <c r="G110" t="s">
        <v>8311</v>
      </c>
      <c r="H110">
        <v>88580</v>
      </c>
      <c r="I110">
        <v>21006</v>
      </c>
      <c r="J110">
        <v>0.13486478851537001</v>
      </c>
      <c r="K110">
        <v>11946.322966691499</v>
      </c>
      <c r="L110">
        <v>11946.322966691499</v>
      </c>
      <c r="M110">
        <v>599</v>
      </c>
    </row>
    <row r="111" spans="1:13" ht="15">
      <c r="A111" t="s">
        <v>3386</v>
      </c>
      <c r="B111" s="1040" t="str">
        <f>CONCATENATE(LEFT(RIGHT(CONCATENATE("000",IFAData_TEA_1819!A111),6),3),"-",(RIGHT(RIGHT(CONCATENATE("000",IFAData_TEA_1819!A111),6),3)))</f>
        <v>014-905</v>
      </c>
      <c r="C111" t="s">
        <v>2377</v>
      </c>
      <c r="D111">
        <v>4</v>
      </c>
      <c r="E111">
        <v>1895</v>
      </c>
      <c r="F111" t="s">
        <v>4117</v>
      </c>
      <c r="G111" t="s">
        <v>4117</v>
      </c>
      <c r="H111">
        <v>114590</v>
      </c>
      <c r="I111">
        <v>0</v>
      </c>
      <c r="J111">
        <v>0</v>
      </c>
      <c r="K111">
        <v>0</v>
      </c>
      <c r="L111">
        <v>0</v>
      </c>
      <c r="M111">
        <v>599</v>
      </c>
    </row>
    <row r="112" spans="1:13" ht="15">
      <c r="A112" t="s">
        <v>3386</v>
      </c>
      <c r="B112" s="1040" t="str">
        <f>CONCATENATE(LEFT(RIGHT(CONCATENATE("000",IFAData_TEA_1819!A112),6),3),"-",(RIGHT(RIGHT(CONCATENATE("000",IFAData_TEA_1819!A112),6),3)))</f>
        <v>014-905</v>
      </c>
      <c r="C112" t="s">
        <v>2377</v>
      </c>
      <c r="D112">
        <v>4</v>
      </c>
      <c r="E112">
        <v>1895</v>
      </c>
      <c r="F112" t="s">
        <v>4117</v>
      </c>
      <c r="G112" t="s">
        <v>4116</v>
      </c>
      <c r="H112">
        <v>114590</v>
      </c>
      <c r="I112">
        <v>117175</v>
      </c>
      <c r="J112">
        <v>0.61709377402808097</v>
      </c>
      <c r="K112">
        <v>70712.775565877804</v>
      </c>
      <c r="L112">
        <v>70712.775565877804</v>
      </c>
      <c r="M112">
        <v>599</v>
      </c>
    </row>
    <row r="113" spans="1:13" ht="15">
      <c r="A113" t="s">
        <v>3386</v>
      </c>
      <c r="B113" s="1040" t="str">
        <f>CONCATENATE(LEFT(RIGHT(CONCATENATE("000",IFAData_TEA_1819!A113),6),3),"-",(RIGHT(RIGHT(CONCATENATE("000",IFAData_TEA_1819!A113),6),3)))</f>
        <v>014-905</v>
      </c>
      <c r="C113" t="s">
        <v>2377</v>
      </c>
      <c r="D113">
        <v>4</v>
      </c>
      <c r="E113">
        <v>1895</v>
      </c>
      <c r="F113" t="s">
        <v>4117</v>
      </c>
      <c r="G113" t="s">
        <v>8311</v>
      </c>
      <c r="H113">
        <v>114590</v>
      </c>
      <c r="I113">
        <v>72707</v>
      </c>
      <c r="J113">
        <v>0.38290622597191898</v>
      </c>
      <c r="K113">
        <v>43877.224434122203</v>
      </c>
      <c r="L113">
        <v>43877.224434122203</v>
      </c>
      <c r="M113">
        <v>599</v>
      </c>
    </row>
    <row r="114" spans="1:13" ht="15">
      <c r="A114" t="s">
        <v>3386</v>
      </c>
      <c r="B114" s="1040" t="str">
        <f>CONCATENATE(LEFT(RIGHT(CONCATENATE("000",IFAData_TEA_1819!A114),6),3),"-",(RIGHT(RIGHT(CONCATENATE("000",IFAData_TEA_1819!A114),6),3)))</f>
        <v>014-905</v>
      </c>
      <c r="C114" t="s">
        <v>2377</v>
      </c>
      <c r="D114">
        <v>9</v>
      </c>
      <c r="E114">
        <v>1896</v>
      </c>
      <c r="F114" t="s">
        <v>4118</v>
      </c>
      <c r="G114" t="s">
        <v>4118</v>
      </c>
      <c r="H114">
        <v>137250</v>
      </c>
      <c r="I114">
        <v>0</v>
      </c>
      <c r="J114">
        <v>0</v>
      </c>
      <c r="K114">
        <v>0</v>
      </c>
      <c r="L114">
        <v>0</v>
      </c>
      <c r="M114">
        <v>599</v>
      </c>
    </row>
    <row r="115" spans="1:13" ht="15">
      <c r="A115" t="s">
        <v>3386</v>
      </c>
      <c r="B115" s="1040" t="str">
        <f>CONCATENATE(LEFT(RIGHT(CONCATENATE("000",IFAData_TEA_1819!A115),6),3),"-",(RIGHT(RIGHT(CONCATENATE("000",IFAData_TEA_1819!A115),6),3)))</f>
        <v>014-905</v>
      </c>
      <c r="C115" t="s">
        <v>2377</v>
      </c>
      <c r="D115">
        <v>9</v>
      </c>
      <c r="E115">
        <v>1896</v>
      </c>
      <c r="F115" t="s">
        <v>4118</v>
      </c>
      <c r="G115" t="s">
        <v>8311</v>
      </c>
      <c r="H115">
        <v>137250</v>
      </c>
      <c r="I115">
        <v>306173</v>
      </c>
      <c r="J115">
        <v>1</v>
      </c>
      <c r="K115">
        <v>137250</v>
      </c>
      <c r="L115">
        <v>137250</v>
      </c>
      <c r="M115">
        <v>599</v>
      </c>
    </row>
    <row r="116" spans="1:13" ht="15">
      <c r="A116" t="s">
        <v>3387</v>
      </c>
      <c r="B116" s="1040" t="str">
        <f>CONCATENATE(LEFT(RIGHT(CONCATENATE("000",IFAData_TEA_1819!A116),6),3),"-",(RIGHT(RIGHT(CONCATENATE("000",IFAData_TEA_1819!A116),6),3)))</f>
        <v>014-906</v>
      </c>
      <c r="C116" t="s">
        <v>2518</v>
      </c>
      <c r="D116">
        <v>2</v>
      </c>
      <c r="E116">
        <v>1957</v>
      </c>
      <c r="F116" t="s">
        <v>4119</v>
      </c>
      <c r="G116" t="s">
        <v>4119</v>
      </c>
      <c r="H116">
        <v>5126526</v>
      </c>
      <c r="I116">
        <v>0</v>
      </c>
      <c r="J116">
        <v>0</v>
      </c>
      <c r="K116"/>
      <c r="L116">
        <v>0</v>
      </c>
      <c r="M116">
        <v>599</v>
      </c>
    </row>
    <row r="117" spans="1:13" ht="15">
      <c r="A117" t="s">
        <v>3387</v>
      </c>
      <c r="B117" s="1040" t="str">
        <f>CONCATENATE(LEFT(RIGHT(CONCATENATE("000",IFAData_TEA_1819!A117),6),3),"-",(RIGHT(RIGHT(CONCATENATE("000",IFAData_TEA_1819!A117),6),3)))</f>
        <v>014-906</v>
      </c>
      <c r="C117" t="s">
        <v>2518</v>
      </c>
      <c r="D117">
        <v>6</v>
      </c>
      <c r="E117">
        <v>1958</v>
      </c>
      <c r="F117" t="s">
        <v>4122</v>
      </c>
      <c r="G117" t="s">
        <v>4122</v>
      </c>
      <c r="H117">
        <v>7058303</v>
      </c>
      <c r="I117">
        <v>0</v>
      </c>
      <c r="J117">
        <v>0</v>
      </c>
      <c r="K117">
        <v>0</v>
      </c>
      <c r="L117">
        <v>0</v>
      </c>
      <c r="M117">
        <v>599</v>
      </c>
    </row>
    <row r="118" spans="1:13" ht="15">
      <c r="A118" t="s">
        <v>3387</v>
      </c>
      <c r="B118" s="1040" t="str">
        <f>CONCATENATE(LEFT(RIGHT(CONCATENATE("000",IFAData_TEA_1819!A118),6),3),"-",(RIGHT(RIGHT(CONCATENATE("000",IFAData_TEA_1819!A118),6),3)))</f>
        <v>014-906</v>
      </c>
      <c r="C118" t="s">
        <v>2518</v>
      </c>
      <c r="D118">
        <v>6</v>
      </c>
      <c r="E118">
        <v>1958</v>
      </c>
      <c r="F118" t="s">
        <v>4122</v>
      </c>
      <c r="G118" t="s">
        <v>4123</v>
      </c>
      <c r="H118">
        <v>7058303</v>
      </c>
      <c r="I118">
        <v>4444665</v>
      </c>
      <c r="J118">
        <v>0.71893993899953501</v>
      </c>
      <c r="K118">
        <v>5074495.9282602398</v>
      </c>
      <c r="L118">
        <v>4444665</v>
      </c>
      <c r="M118">
        <v>599</v>
      </c>
    </row>
    <row r="119" spans="1:13" ht="15">
      <c r="A119" t="s">
        <v>3387</v>
      </c>
      <c r="B119" s="1040" t="str">
        <f>CONCATENATE(LEFT(RIGHT(CONCATENATE("000",IFAData_TEA_1819!A119),6),3),"-",(RIGHT(RIGHT(CONCATENATE("000",IFAData_TEA_1819!A119),6),3)))</f>
        <v>014-906</v>
      </c>
      <c r="C119" t="s">
        <v>2518</v>
      </c>
      <c r="D119">
        <v>6</v>
      </c>
      <c r="E119">
        <v>1958</v>
      </c>
      <c r="F119" t="s">
        <v>4122</v>
      </c>
      <c r="G119" t="s">
        <v>4124</v>
      </c>
      <c r="H119">
        <v>7058303</v>
      </c>
      <c r="I119">
        <v>1317800</v>
      </c>
      <c r="J119">
        <v>0.21315870861214201</v>
      </c>
      <c r="K119">
        <v>1504538.75247321</v>
      </c>
      <c r="L119">
        <v>1317800</v>
      </c>
      <c r="M119">
        <v>599</v>
      </c>
    </row>
    <row r="120" spans="1:13" ht="15">
      <c r="A120" t="s">
        <v>3387</v>
      </c>
      <c r="B120" s="1040" t="str">
        <f>CONCATENATE(LEFT(RIGHT(CONCATENATE("000",IFAData_TEA_1819!A120),6),3),"-",(RIGHT(RIGHT(CONCATENATE("000",IFAData_TEA_1819!A120),6),3)))</f>
        <v>014-906</v>
      </c>
      <c r="C120" t="s">
        <v>2518</v>
      </c>
      <c r="D120">
        <v>6</v>
      </c>
      <c r="E120">
        <v>1958</v>
      </c>
      <c r="F120" t="s">
        <v>4122</v>
      </c>
      <c r="G120" t="s">
        <v>8312</v>
      </c>
      <c r="H120">
        <v>7058303</v>
      </c>
      <c r="I120">
        <v>419783</v>
      </c>
      <c r="J120">
        <v>6.7901352388322206E-2</v>
      </c>
      <c r="K120">
        <v>479268.31926655199</v>
      </c>
      <c r="L120">
        <v>419783</v>
      </c>
      <c r="M120">
        <v>599</v>
      </c>
    </row>
    <row r="121" spans="1:13" ht="15">
      <c r="A121" t="s">
        <v>3388</v>
      </c>
      <c r="B121" s="1040" t="str">
        <f>CONCATENATE(LEFT(RIGHT(CONCATENATE("000",IFAData_TEA_1819!A121),6),3),"-",(RIGHT(RIGHT(CONCATENATE("000",IFAData_TEA_1819!A121),6),3)))</f>
        <v>014-907</v>
      </c>
      <c r="C121" t="s">
        <v>1402</v>
      </c>
      <c r="D121">
        <v>2</v>
      </c>
      <c r="E121">
        <v>2257</v>
      </c>
      <c r="F121" t="s">
        <v>4125</v>
      </c>
      <c r="G121" t="s">
        <v>4125</v>
      </c>
      <c r="H121">
        <v>188100</v>
      </c>
      <c r="I121">
        <v>0</v>
      </c>
      <c r="J121">
        <v>0</v>
      </c>
      <c r="K121">
        <v>0</v>
      </c>
      <c r="L121">
        <v>0</v>
      </c>
      <c r="M121">
        <v>599</v>
      </c>
    </row>
    <row r="122" spans="1:13" ht="15">
      <c r="A122" t="s">
        <v>3388</v>
      </c>
      <c r="B122" s="1040" t="str">
        <f>CONCATENATE(LEFT(RIGHT(CONCATENATE("000",IFAData_TEA_1819!A122),6),3),"-",(RIGHT(RIGHT(CONCATENATE("000",IFAData_TEA_1819!A122),6),3)))</f>
        <v>014-907</v>
      </c>
      <c r="C122" t="s">
        <v>1402</v>
      </c>
      <c r="D122">
        <v>2</v>
      </c>
      <c r="E122">
        <v>2257</v>
      </c>
      <c r="F122" t="s">
        <v>4125</v>
      </c>
      <c r="G122" t="s">
        <v>6185</v>
      </c>
      <c r="H122">
        <v>188100</v>
      </c>
      <c r="I122">
        <v>453000</v>
      </c>
      <c r="J122">
        <v>1</v>
      </c>
      <c r="K122">
        <v>188100</v>
      </c>
      <c r="L122">
        <v>188100</v>
      </c>
      <c r="M122">
        <v>599</v>
      </c>
    </row>
    <row r="123" spans="1:13" ht="15">
      <c r="A123" t="s">
        <v>3388</v>
      </c>
      <c r="B123" s="1040" t="str">
        <f>CONCATENATE(LEFT(RIGHT(CONCATENATE("000",IFAData_TEA_1819!A123),6),3),"-",(RIGHT(RIGHT(CONCATENATE("000",IFAData_TEA_1819!A123),6),3)))</f>
        <v>014-907</v>
      </c>
      <c r="C123" t="s">
        <v>1402</v>
      </c>
      <c r="D123">
        <v>9</v>
      </c>
      <c r="E123">
        <v>2258</v>
      </c>
      <c r="F123" t="s">
        <v>4126</v>
      </c>
      <c r="G123" t="s">
        <v>4126</v>
      </c>
      <c r="H123">
        <v>192381</v>
      </c>
      <c r="I123">
        <v>0</v>
      </c>
      <c r="J123">
        <v>0</v>
      </c>
      <c r="K123">
        <v>0</v>
      </c>
      <c r="L123">
        <v>0</v>
      </c>
      <c r="M123">
        <v>599</v>
      </c>
    </row>
    <row r="124" spans="1:13" ht="15">
      <c r="A124" t="s">
        <v>3388</v>
      </c>
      <c r="B124" s="1040" t="str">
        <f>CONCATENATE(LEFT(RIGHT(CONCATENATE("000",IFAData_TEA_1819!A124),6),3),"-",(RIGHT(RIGHT(CONCATENATE("000",IFAData_TEA_1819!A124),6),3)))</f>
        <v>014-907</v>
      </c>
      <c r="C124" t="s">
        <v>1402</v>
      </c>
      <c r="D124">
        <v>9</v>
      </c>
      <c r="E124">
        <v>2258</v>
      </c>
      <c r="F124" t="s">
        <v>4126</v>
      </c>
      <c r="G124" t="s">
        <v>8313</v>
      </c>
      <c r="H124">
        <v>192381</v>
      </c>
      <c r="I124">
        <v>226200</v>
      </c>
      <c r="J124">
        <v>1</v>
      </c>
      <c r="K124">
        <v>192381</v>
      </c>
      <c r="L124">
        <v>192381</v>
      </c>
      <c r="M124">
        <v>599</v>
      </c>
    </row>
    <row r="125" spans="1:13" ht="15">
      <c r="A125" t="s">
        <v>3388</v>
      </c>
      <c r="B125" s="1040" t="str">
        <f>CONCATENATE(LEFT(RIGHT(CONCATENATE("000",IFAData_TEA_1819!A125),6),3),"-",(RIGHT(RIGHT(CONCATENATE("000",IFAData_TEA_1819!A125),6),3)))</f>
        <v>014-907</v>
      </c>
      <c r="C125" t="s">
        <v>1402</v>
      </c>
      <c r="D125">
        <v>11</v>
      </c>
      <c r="E125">
        <v>2566</v>
      </c>
      <c r="F125" t="s">
        <v>6185</v>
      </c>
      <c r="G125" t="s">
        <v>6185</v>
      </c>
      <c r="H125">
        <v>210073</v>
      </c>
      <c r="I125">
        <v>303545</v>
      </c>
      <c r="J125">
        <v>1</v>
      </c>
      <c r="K125">
        <v>210073</v>
      </c>
      <c r="L125">
        <v>210073</v>
      </c>
      <c r="M125">
        <v>599</v>
      </c>
    </row>
    <row r="126" spans="1:13" ht="15">
      <c r="A126" t="s">
        <v>3389</v>
      </c>
      <c r="B126" s="1040" t="str">
        <f>CONCATENATE(LEFT(RIGHT(CONCATENATE("000",IFAData_TEA_1819!A126),6),3),"-",(RIGHT(RIGHT(CONCATENATE("000",IFAData_TEA_1819!A126),6),3)))</f>
        <v>014-908</v>
      </c>
      <c r="C126" t="s">
        <v>2025</v>
      </c>
      <c r="D126">
        <v>1</v>
      </c>
      <c r="E126">
        <v>2275</v>
      </c>
      <c r="F126" t="s">
        <v>4127</v>
      </c>
      <c r="G126" t="s">
        <v>4127</v>
      </c>
      <c r="H126">
        <v>211190</v>
      </c>
      <c r="I126">
        <v>0</v>
      </c>
      <c r="J126">
        <v>0</v>
      </c>
      <c r="K126">
        <v>0</v>
      </c>
      <c r="L126">
        <v>0</v>
      </c>
      <c r="M126">
        <v>599</v>
      </c>
    </row>
    <row r="127" spans="1:13" ht="15">
      <c r="A127" t="s">
        <v>3389</v>
      </c>
      <c r="B127" s="1040" t="str">
        <f>CONCATENATE(LEFT(RIGHT(CONCATENATE("000",IFAData_TEA_1819!A127),6),3),"-",(RIGHT(RIGHT(CONCATENATE("000",IFAData_TEA_1819!A127),6),3)))</f>
        <v>014-908</v>
      </c>
      <c r="C127" t="s">
        <v>2025</v>
      </c>
      <c r="D127">
        <v>1</v>
      </c>
      <c r="E127">
        <v>2275</v>
      </c>
      <c r="F127" t="s">
        <v>4127</v>
      </c>
      <c r="G127" t="s">
        <v>4128</v>
      </c>
      <c r="H127">
        <v>211190</v>
      </c>
      <c r="I127">
        <v>478950</v>
      </c>
      <c r="J127">
        <v>0.50589551269254296</v>
      </c>
      <c r="K127">
        <v>106840.073325538</v>
      </c>
      <c r="L127">
        <v>106840.073325538</v>
      </c>
      <c r="M127">
        <v>599</v>
      </c>
    </row>
    <row r="128" spans="1:13" ht="15">
      <c r="A128" t="s">
        <v>3389</v>
      </c>
      <c r="B128" s="1040" t="str">
        <f>CONCATENATE(LEFT(RIGHT(CONCATENATE("000",IFAData_TEA_1819!A128),6),3),"-",(RIGHT(RIGHT(CONCATENATE("000",IFAData_TEA_1819!A128),6),3)))</f>
        <v>014-908</v>
      </c>
      <c r="C128" t="s">
        <v>2025</v>
      </c>
      <c r="D128">
        <v>1</v>
      </c>
      <c r="E128">
        <v>2275</v>
      </c>
      <c r="F128" t="s">
        <v>4127</v>
      </c>
      <c r="G128" t="s">
        <v>4129</v>
      </c>
      <c r="H128">
        <v>211190</v>
      </c>
      <c r="I128">
        <v>66472</v>
      </c>
      <c r="J128">
        <v>7.0211684976925995E-2</v>
      </c>
      <c r="K128">
        <v>14828.005750277</v>
      </c>
      <c r="L128">
        <v>14828.005750277</v>
      </c>
      <c r="M128">
        <v>599</v>
      </c>
    </row>
    <row r="129" spans="1:13" ht="15">
      <c r="A129" t="s">
        <v>3389</v>
      </c>
      <c r="B129" s="1040" t="str">
        <f>CONCATENATE(LEFT(RIGHT(CONCATENATE("000",IFAData_TEA_1819!A129),6),3),"-",(RIGHT(RIGHT(CONCATENATE("000",IFAData_TEA_1819!A129),6),3)))</f>
        <v>014-908</v>
      </c>
      <c r="C129" t="s">
        <v>2025</v>
      </c>
      <c r="D129">
        <v>1</v>
      </c>
      <c r="E129">
        <v>2275</v>
      </c>
      <c r="F129" t="s">
        <v>4127</v>
      </c>
      <c r="G129" t="s">
        <v>6407</v>
      </c>
      <c r="H129">
        <v>211190</v>
      </c>
      <c r="I129">
        <v>401315</v>
      </c>
      <c r="J129">
        <v>0.423892802330531</v>
      </c>
      <c r="K129">
        <v>89521.920924184902</v>
      </c>
      <c r="L129">
        <v>89521.920924184902</v>
      </c>
      <c r="M129">
        <v>599</v>
      </c>
    </row>
    <row r="130" spans="1:13" ht="15">
      <c r="A130" t="s">
        <v>3390</v>
      </c>
      <c r="B130" s="1040" t="str">
        <f>CONCATENATE(LEFT(RIGHT(CONCATENATE("000",IFAData_TEA_1819!A130),6),3),"-",(RIGHT(RIGHT(CONCATENATE("000",IFAData_TEA_1819!A130),6),3)))</f>
        <v>014-909</v>
      </c>
      <c r="C130" t="s">
        <v>603</v>
      </c>
      <c r="D130">
        <v>1</v>
      </c>
      <c r="E130">
        <v>2391</v>
      </c>
      <c r="F130" t="s">
        <v>4130</v>
      </c>
      <c r="G130" t="s">
        <v>4130</v>
      </c>
      <c r="H130">
        <v>767280</v>
      </c>
      <c r="I130">
        <v>0</v>
      </c>
      <c r="J130">
        <v>0</v>
      </c>
      <c r="K130"/>
      <c r="L130">
        <v>0</v>
      </c>
      <c r="M130">
        <v>599</v>
      </c>
    </row>
    <row r="131" spans="1:13" ht="15">
      <c r="A131" t="s">
        <v>3390</v>
      </c>
      <c r="B131" s="1040" t="str">
        <f>CONCATENATE(LEFT(RIGHT(CONCATENATE("000",IFAData_TEA_1819!A131),6),3),"-",(RIGHT(RIGHT(CONCATENATE("000",IFAData_TEA_1819!A131),6),3)))</f>
        <v>014-909</v>
      </c>
      <c r="C131" t="s">
        <v>603</v>
      </c>
      <c r="D131">
        <v>9</v>
      </c>
      <c r="E131">
        <v>2392</v>
      </c>
      <c r="F131" t="s">
        <v>4133</v>
      </c>
      <c r="G131" t="s">
        <v>4133</v>
      </c>
      <c r="H131">
        <v>1498738</v>
      </c>
      <c r="I131">
        <v>1436386</v>
      </c>
      <c r="J131">
        <v>0.46084747481099397</v>
      </c>
      <c r="K131">
        <v>690689.62270327995</v>
      </c>
      <c r="L131">
        <v>690689.62270327995</v>
      </c>
      <c r="M131">
        <v>599</v>
      </c>
    </row>
    <row r="132" spans="1:13" ht="15">
      <c r="A132" t="s">
        <v>3390</v>
      </c>
      <c r="B132" s="1040" t="str">
        <f>CONCATENATE(LEFT(RIGHT(CONCATENATE("000",IFAData_TEA_1819!A132),6),3),"-",(RIGHT(RIGHT(CONCATENATE("000",IFAData_TEA_1819!A132),6),3)))</f>
        <v>014-909</v>
      </c>
      <c r="C132" t="s">
        <v>603</v>
      </c>
      <c r="D132">
        <v>9</v>
      </c>
      <c r="E132">
        <v>2392</v>
      </c>
      <c r="F132" t="s">
        <v>4133</v>
      </c>
      <c r="G132" t="s">
        <v>6187</v>
      </c>
      <c r="H132">
        <v>1498738</v>
      </c>
      <c r="I132">
        <v>294650</v>
      </c>
      <c r="J132">
        <v>9.4534970720307407E-2</v>
      </c>
      <c r="K132">
        <v>141683.15294741199</v>
      </c>
      <c r="L132">
        <v>141683.15294741199</v>
      </c>
      <c r="M132">
        <v>599</v>
      </c>
    </row>
    <row r="133" spans="1:13" ht="15">
      <c r="A133" t="s">
        <v>3390</v>
      </c>
      <c r="B133" s="1040" t="str">
        <f>CONCATENATE(LEFT(RIGHT(CONCATENATE("000",IFAData_TEA_1819!A133),6),3),"-",(RIGHT(RIGHT(CONCATENATE("000",IFAData_TEA_1819!A133),6),3)))</f>
        <v>014-909</v>
      </c>
      <c r="C133" t="s">
        <v>603</v>
      </c>
      <c r="D133">
        <v>9</v>
      </c>
      <c r="E133">
        <v>2392</v>
      </c>
      <c r="F133" t="s">
        <v>4133</v>
      </c>
      <c r="G133" t="s">
        <v>4134</v>
      </c>
      <c r="H133">
        <v>1498738</v>
      </c>
      <c r="I133">
        <v>1385800</v>
      </c>
      <c r="J133">
        <v>0.444617554468698</v>
      </c>
      <c r="K133">
        <v>666365.22434930794</v>
      </c>
      <c r="L133">
        <v>666365.22434930794</v>
      </c>
      <c r="M133">
        <v>599</v>
      </c>
    </row>
    <row r="134" spans="1:13" ht="15">
      <c r="A134" t="s">
        <v>3391</v>
      </c>
      <c r="B134" s="1040" t="str">
        <f>CONCATENATE(LEFT(RIGHT(CONCATENATE("000",IFAData_TEA_1819!A134),6),3),"-",(RIGHT(RIGHT(CONCATENATE("000",IFAData_TEA_1819!A134),6),3)))</f>
        <v>014-910</v>
      </c>
      <c r="C134" t="s">
        <v>2312</v>
      </c>
      <c r="D134">
        <v>3</v>
      </c>
      <c r="E134">
        <v>2403</v>
      </c>
      <c r="F134" t="s">
        <v>4135</v>
      </c>
      <c r="G134" t="s">
        <v>4135</v>
      </c>
      <c r="H134">
        <v>290625</v>
      </c>
      <c r="I134">
        <v>0</v>
      </c>
      <c r="J134">
        <v>0</v>
      </c>
      <c r="K134">
        <v>0</v>
      </c>
      <c r="L134">
        <v>0</v>
      </c>
      <c r="M134">
        <v>599</v>
      </c>
    </row>
    <row r="135" spans="1:13" ht="15">
      <c r="A135" t="s">
        <v>3391</v>
      </c>
      <c r="B135" s="1040" t="str">
        <f>CONCATENATE(LEFT(RIGHT(CONCATENATE("000",IFAData_TEA_1819!A135),6),3),"-",(RIGHT(RIGHT(CONCATENATE("000",IFAData_TEA_1819!A135),6),3)))</f>
        <v>014-910</v>
      </c>
      <c r="C135" t="s">
        <v>2312</v>
      </c>
      <c r="D135">
        <v>3</v>
      </c>
      <c r="E135">
        <v>2403</v>
      </c>
      <c r="F135" t="s">
        <v>4135</v>
      </c>
      <c r="G135" t="s">
        <v>4136</v>
      </c>
      <c r="H135">
        <v>290625</v>
      </c>
      <c r="I135">
        <v>557766</v>
      </c>
      <c r="J135">
        <v>1</v>
      </c>
      <c r="K135">
        <v>290625</v>
      </c>
      <c r="L135">
        <v>290625</v>
      </c>
      <c r="M135">
        <v>599</v>
      </c>
    </row>
    <row r="136" spans="1:13" ht="15">
      <c r="A136" t="s">
        <v>3391</v>
      </c>
      <c r="B136" s="1040" t="str">
        <f>CONCATENATE(LEFT(RIGHT(CONCATENATE("000",IFAData_TEA_1819!A136),6),3),"-",(RIGHT(RIGHT(CONCATENATE("000",IFAData_TEA_1819!A136),6),3)))</f>
        <v>014-910</v>
      </c>
      <c r="C136" t="s">
        <v>2312</v>
      </c>
      <c r="D136">
        <v>9</v>
      </c>
      <c r="E136">
        <v>2402</v>
      </c>
      <c r="F136" t="s">
        <v>4137</v>
      </c>
      <c r="G136" t="s">
        <v>4137</v>
      </c>
      <c r="H136">
        <v>284227</v>
      </c>
      <c r="I136">
        <v>0</v>
      </c>
      <c r="J136">
        <v>0</v>
      </c>
      <c r="K136">
        <v>0</v>
      </c>
      <c r="L136">
        <v>0</v>
      </c>
      <c r="M136">
        <v>599</v>
      </c>
    </row>
    <row r="137" spans="1:13" ht="15">
      <c r="A137" t="s">
        <v>3391</v>
      </c>
      <c r="B137" s="1040" t="str">
        <f>CONCATENATE(LEFT(RIGHT(CONCATENATE("000",IFAData_TEA_1819!A137),6),3),"-",(RIGHT(RIGHT(CONCATENATE("000",IFAData_TEA_1819!A137),6),3)))</f>
        <v>014-910</v>
      </c>
      <c r="C137" t="s">
        <v>2312</v>
      </c>
      <c r="D137">
        <v>9</v>
      </c>
      <c r="E137">
        <v>2402</v>
      </c>
      <c r="F137" t="s">
        <v>4137</v>
      </c>
      <c r="G137" t="s">
        <v>4138</v>
      </c>
      <c r="H137">
        <v>284227</v>
      </c>
      <c r="I137">
        <v>347958</v>
      </c>
      <c r="J137">
        <v>0.47033999683698702</v>
      </c>
      <c r="K137">
        <v>133683.32628098599</v>
      </c>
      <c r="L137">
        <v>133683.32628098599</v>
      </c>
      <c r="M137">
        <v>599</v>
      </c>
    </row>
    <row r="138" spans="1:13" ht="15">
      <c r="A138" t="s">
        <v>3391</v>
      </c>
      <c r="B138" s="1040" t="str">
        <f>CONCATENATE(LEFT(RIGHT(CONCATENATE("000",IFAData_TEA_1819!A138),6),3),"-",(RIGHT(RIGHT(CONCATENATE("000",IFAData_TEA_1819!A138),6),3)))</f>
        <v>014-910</v>
      </c>
      <c r="C138" t="s">
        <v>2312</v>
      </c>
      <c r="D138">
        <v>9</v>
      </c>
      <c r="E138">
        <v>2402</v>
      </c>
      <c r="F138" t="s">
        <v>4137</v>
      </c>
      <c r="G138" t="s">
        <v>4139</v>
      </c>
      <c r="H138">
        <v>284227</v>
      </c>
      <c r="I138">
        <v>391843</v>
      </c>
      <c r="J138">
        <v>0.52966000316301298</v>
      </c>
      <c r="K138">
        <v>150543.67371901401</v>
      </c>
      <c r="L138">
        <v>150543.67371901401</v>
      </c>
      <c r="M138">
        <v>599</v>
      </c>
    </row>
    <row r="139" spans="1:13" ht="15">
      <c r="A139" t="s">
        <v>3392</v>
      </c>
      <c r="B139" s="1040" t="str">
        <f>CONCATENATE(LEFT(RIGHT(CONCATENATE("000",IFAData_TEA_1819!A139),6),3),"-",(RIGHT(RIGHT(CONCATENATE("000",IFAData_TEA_1819!A139),6),3)))</f>
        <v>015-904</v>
      </c>
      <c r="C139" t="s">
        <v>724</v>
      </c>
      <c r="D139">
        <v>2</v>
      </c>
      <c r="E139">
        <v>1868</v>
      </c>
      <c r="F139" t="s">
        <v>4140</v>
      </c>
      <c r="G139" t="s">
        <v>4140</v>
      </c>
      <c r="H139">
        <v>3489913</v>
      </c>
      <c r="I139">
        <v>0</v>
      </c>
      <c r="J139">
        <v>0</v>
      </c>
      <c r="K139">
        <v>0</v>
      </c>
      <c r="L139">
        <v>0</v>
      </c>
      <c r="M139">
        <v>599</v>
      </c>
    </row>
    <row r="140" spans="1:13" ht="15">
      <c r="A140" t="s">
        <v>3392</v>
      </c>
      <c r="B140" s="1040" t="str">
        <f>CONCATENATE(LEFT(RIGHT(CONCATENATE("000",IFAData_TEA_1819!A140),6),3),"-",(RIGHT(RIGHT(CONCATENATE("000",IFAData_TEA_1819!A140),6),3)))</f>
        <v>015-904</v>
      </c>
      <c r="C140" t="s">
        <v>724</v>
      </c>
      <c r="D140">
        <v>2</v>
      </c>
      <c r="E140">
        <v>1868</v>
      </c>
      <c r="F140" t="s">
        <v>4140</v>
      </c>
      <c r="G140" t="s">
        <v>4141</v>
      </c>
      <c r="H140">
        <v>3489913</v>
      </c>
      <c r="I140">
        <v>0</v>
      </c>
      <c r="J140">
        <v>0</v>
      </c>
      <c r="K140">
        <v>0</v>
      </c>
      <c r="L140">
        <v>0</v>
      </c>
      <c r="M140">
        <v>599</v>
      </c>
    </row>
    <row r="141" spans="1:13" ht="15">
      <c r="A141" t="s">
        <v>3392</v>
      </c>
      <c r="B141" s="1040" t="str">
        <f>CONCATENATE(LEFT(RIGHT(CONCATENATE("000",IFAData_TEA_1819!A141),6),3),"-",(RIGHT(RIGHT(CONCATENATE("000",IFAData_TEA_1819!A141),6),3)))</f>
        <v>015-904</v>
      </c>
      <c r="C141" t="s">
        <v>724</v>
      </c>
      <c r="D141">
        <v>2</v>
      </c>
      <c r="E141">
        <v>1868</v>
      </c>
      <c r="F141" t="s">
        <v>4140</v>
      </c>
      <c r="G141" t="s">
        <v>4142</v>
      </c>
      <c r="H141">
        <v>3489913</v>
      </c>
      <c r="I141">
        <v>0</v>
      </c>
      <c r="J141">
        <v>0</v>
      </c>
      <c r="K141">
        <v>0</v>
      </c>
      <c r="L141">
        <v>0</v>
      </c>
      <c r="M141">
        <v>599</v>
      </c>
    </row>
    <row r="142" spans="1:13" ht="15">
      <c r="A142" t="s">
        <v>3392</v>
      </c>
      <c r="B142" s="1040" t="str">
        <f>CONCATENATE(LEFT(RIGHT(CONCATENATE("000",IFAData_TEA_1819!A142),6),3),"-",(RIGHT(RIGHT(CONCATENATE("000",IFAData_TEA_1819!A142),6),3)))</f>
        <v>015-904</v>
      </c>
      <c r="C142" t="s">
        <v>724</v>
      </c>
      <c r="D142">
        <v>2</v>
      </c>
      <c r="E142">
        <v>1868</v>
      </c>
      <c r="F142" t="s">
        <v>4140</v>
      </c>
      <c r="G142" t="s">
        <v>4143</v>
      </c>
      <c r="H142">
        <v>3489913</v>
      </c>
      <c r="I142">
        <v>0</v>
      </c>
      <c r="J142">
        <v>0</v>
      </c>
      <c r="K142">
        <v>0</v>
      </c>
      <c r="L142">
        <v>0</v>
      </c>
      <c r="M142">
        <v>599</v>
      </c>
    </row>
    <row r="143" spans="1:13" ht="15">
      <c r="A143" t="s">
        <v>3392</v>
      </c>
      <c r="B143" s="1040" t="str">
        <f>CONCATENATE(LEFT(RIGHT(CONCATENATE("000",IFAData_TEA_1819!A143),6),3),"-",(RIGHT(RIGHT(CONCATENATE("000",IFAData_TEA_1819!A143),6),3)))</f>
        <v>015-904</v>
      </c>
      <c r="C143" t="s">
        <v>724</v>
      </c>
      <c r="D143">
        <v>2</v>
      </c>
      <c r="E143">
        <v>1868</v>
      </c>
      <c r="F143" t="s">
        <v>4140</v>
      </c>
      <c r="G143" t="s">
        <v>4144</v>
      </c>
      <c r="H143">
        <v>3489913</v>
      </c>
      <c r="I143">
        <v>0</v>
      </c>
      <c r="J143">
        <v>0</v>
      </c>
      <c r="K143">
        <v>0</v>
      </c>
      <c r="L143">
        <v>0</v>
      </c>
      <c r="M143">
        <v>599</v>
      </c>
    </row>
    <row r="144" spans="1:13" ht="15">
      <c r="A144" t="s">
        <v>3392</v>
      </c>
      <c r="B144" s="1040" t="str">
        <f>CONCATENATE(LEFT(RIGHT(CONCATENATE("000",IFAData_TEA_1819!A144),6),3),"-",(RIGHT(RIGHT(CONCATENATE("000",IFAData_TEA_1819!A144),6),3)))</f>
        <v>015-904</v>
      </c>
      <c r="C144" t="s">
        <v>724</v>
      </c>
      <c r="D144">
        <v>2</v>
      </c>
      <c r="E144">
        <v>1868</v>
      </c>
      <c r="F144" t="s">
        <v>4140</v>
      </c>
      <c r="G144" t="s">
        <v>8314</v>
      </c>
      <c r="H144">
        <v>3489913</v>
      </c>
      <c r="I144">
        <v>158458</v>
      </c>
      <c r="J144">
        <v>6.3479892572366206E-2</v>
      </c>
      <c r="K144">
        <v>221539.302326904</v>
      </c>
      <c r="L144">
        <v>158458</v>
      </c>
      <c r="M144">
        <v>599</v>
      </c>
    </row>
    <row r="145" spans="1:13" ht="15">
      <c r="A145" t="s">
        <v>3392</v>
      </c>
      <c r="B145" s="1040" t="str">
        <f>CONCATENATE(LEFT(RIGHT(CONCATENATE("000",IFAData_TEA_1819!A145),6),3),"-",(RIGHT(RIGHT(CONCATENATE("000",IFAData_TEA_1819!A145),6),3)))</f>
        <v>015-904</v>
      </c>
      <c r="C145" t="s">
        <v>724</v>
      </c>
      <c r="D145">
        <v>2</v>
      </c>
      <c r="E145">
        <v>1868</v>
      </c>
      <c r="F145" t="s">
        <v>4140</v>
      </c>
      <c r="G145" t="s">
        <v>8315</v>
      </c>
      <c r="H145">
        <v>3489913</v>
      </c>
      <c r="I145">
        <v>2337734</v>
      </c>
      <c r="J145">
        <v>0.93652010742763403</v>
      </c>
      <c r="K145">
        <v>3268373.6976731</v>
      </c>
      <c r="L145">
        <v>2337734</v>
      </c>
      <c r="M145">
        <v>599</v>
      </c>
    </row>
    <row r="146" spans="1:13" ht="15">
      <c r="A146" t="s">
        <v>3392</v>
      </c>
      <c r="B146" s="1040" t="str">
        <f>CONCATENATE(LEFT(RIGHT(CONCATENATE("000",IFAData_TEA_1819!A146),6),3),"-",(RIGHT(RIGHT(CONCATENATE("000",IFAData_TEA_1819!A146),6),3)))</f>
        <v>015-904</v>
      </c>
      <c r="C146" t="s">
        <v>724</v>
      </c>
      <c r="D146">
        <v>4</v>
      </c>
      <c r="E146">
        <v>1869</v>
      </c>
      <c r="F146" t="s">
        <v>4145</v>
      </c>
      <c r="G146" t="s">
        <v>4145</v>
      </c>
      <c r="H146">
        <v>3515081</v>
      </c>
      <c r="I146">
        <v>0</v>
      </c>
      <c r="J146">
        <v>0</v>
      </c>
      <c r="K146"/>
      <c r="L146">
        <v>0</v>
      </c>
      <c r="M146">
        <v>599</v>
      </c>
    </row>
    <row r="147" spans="1:13" ht="15">
      <c r="A147" t="s">
        <v>3392</v>
      </c>
      <c r="B147" s="1040" t="str">
        <f>CONCATENATE(LEFT(RIGHT(CONCATENATE("000",IFAData_TEA_1819!A147),6),3),"-",(RIGHT(RIGHT(CONCATENATE("000",IFAData_TEA_1819!A147),6),3)))</f>
        <v>015-904</v>
      </c>
      <c r="C147" t="s">
        <v>724</v>
      </c>
      <c r="D147">
        <v>4</v>
      </c>
      <c r="E147">
        <v>1869</v>
      </c>
      <c r="F147" t="s">
        <v>4145</v>
      </c>
      <c r="G147" t="s">
        <v>4141</v>
      </c>
      <c r="H147">
        <v>3515081</v>
      </c>
      <c r="I147">
        <v>0</v>
      </c>
      <c r="J147">
        <v>0</v>
      </c>
      <c r="K147"/>
      <c r="L147">
        <v>0</v>
      </c>
      <c r="M147">
        <v>599</v>
      </c>
    </row>
    <row r="148" spans="1:13" ht="15">
      <c r="A148" t="s">
        <v>3392</v>
      </c>
      <c r="B148" s="1040" t="str">
        <f>CONCATENATE(LEFT(RIGHT(CONCATENATE("000",IFAData_TEA_1819!A148),6),3),"-",(RIGHT(RIGHT(CONCATENATE("000",IFAData_TEA_1819!A148),6),3)))</f>
        <v>015-904</v>
      </c>
      <c r="C148" t="s">
        <v>724</v>
      </c>
      <c r="D148">
        <v>4</v>
      </c>
      <c r="E148">
        <v>1869</v>
      </c>
      <c r="F148" t="s">
        <v>4145</v>
      </c>
      <c r="G148" t="s">
        <v>4146</v>
      </c>
      <c r="H148">
        <v>3515081</v>
      </c>
      <c r="I148">
        <v>0</v>
      </c>
      <c r="J148">
        <v>0</v>
      </c>
      <c r="K148"/>
      <c r="L148">
        <v>0</v>
      </c>
      <c r="M148">
        <v>599</v>
      </c>
    </row>
    <row r="149" spans="1:13" ht="15">
      <c r="A149" t="s">
        <v>3392</v>
      </c>
      <c r="B149" s="1040" t="str">
        <f>CONCATENATE(LEFT(RIGHT(CONCATENATE("000",IFAData_TEA_1819!A149),6),3),"-",(RIGHT(RIGHT(CONCATENATE("000",IFAData_TEA_1819!A149),6),3)))</f>
        <v>015-904</v>
      </c>
      <c r="C149" t="s">
        <v>724</v>
      </c>
      <c r="D149">
        <v>4</v>
      </c>
      <c r="E149">
        <v>1869</v>
      </c>
      <c r="F149" t="s">
        <v>4145</v>
      </c>
      <c r="G149" t="s">
        <v>4143</v>
      </c>
      <c r="H149">
        <v>3515081</v>
      </c>
      <c r="I149">
        <v>0</v>
      </c>
      <c r="J149">
        <v>0</v>
      </c>
      <c r="K149"/>
      <c r="L149">
        <v>0</v>
      </c>
      <c r="M149">
        <v>599</v>
      </c>
    </row>
    <row r="150" spans="1:13" ht="15">
      <c r="A150" t="s">
        <v>3392</v>
      </c>
      <c r="B150" s="1040" t="str">
        <f>CONCATENATE(LEFT(RIGHT(CONCATENATE("000",IFAData_TEA_1819!A150),6),3),"-",(RIGHT(RIGHT(CONCATENATE("000",IFAData_TEA_1819!A150),6),3)))</f>
        <v>015-904</v>
      </c>
      <c r="C150" t="s">
        <v>724</v>
      </c>
      <c r="D150">
        <v>4</v>
      </c>
      <c r="E150">
        <v>1869</v>
      </c>
      <c r="F150" t="s">
        <v>4145</v>
      </c>
      <c r="G150" t="s">
        <v>4144</v>
      </c>
      <c r="H150">
        <v>3515081</v>
      </c>
      <c r="I150">
        <v>0</v>
      </c>
      <c r="J150">
        <v>0</v>
      </c>
      <c r="K150"/>
      <c r="L150">
        <v>0</v>
      </c>
      <c r="M150">
        <v>599</v>
      </c>
    </row>
    <row r="151" spans="1:13" ht="15">
      <c r="A151" t="s">
        <v>3392</v>
      </c>
      <c r="B151" s="1040" t="str">
        <f>CONCATENATE(LEFT(RIGHT(CONCATENATE("000",IFAData_TEA_1819!A151),6),3),"-",(RIGHT(RIGHT(CONCATENATE("000",IFAData_TEA_1819!A151),6),3)))</f>
        <v>015-904</v>
      </c>
      <c r="C151" t="s">
        <v>724</v>
      </c>
      <c r="D151">
        <v>4</v>
      </c>
      <c r="E151">
        <v>1869</v>
      </c>
      <c r="F151" t="s">
        <v>4145</v>
      </c>
      <c r="G151" t="s">
        <v>6188</v>
      </c>
      <c r="H151">
        <v>3515081</v>
      </c>
      <c r="I151">
        <v>0</v>
      </c>
      <c r="J151">
        <v>0</v>
      </c>
      <c r="K151"/>
      <c r="L151">
        <v>0</v>
      </c>
      <c r="M151">
        <v>599</v>
      </c>
    </row>
    <row r="152" spans="1:13" ht="15">
      <c r="A152" t="s">
        <v>3392</v>
      </c>
      <c r="B152" s="1040" t="str">
        <f>CONCATENATE(LEFT(RIGHT(CONCATENATE("000",IFAData_TEA_1819!A152),6),3),"-",(RIGHT(RIGHT(CONCATENATE("000",IFAData_TEA_1819!A152),6),3)))</f>
        <v>015-904</v>
      </c>
      <c r="C152" t="s">
        <v>724</v>
      </c>
      <c r="D152">
        <v>5</v>
      </c>
      <c r="E152">
        <v>1867</v>
      </c>
      <c r="F152" t="s">
        <v>4147</v>
      </c>
      <c r="G152" t="s">
        <v>4147</v>
      </c>
      <c r="H152">
        <v>3411660</v>
      </c>
      <c r="I152">
        <v>0</v>
      </c>
      <c r="J152">
        <v>0</v>
      </c>
      <c r="K152">
        <v>0</v>
      </c>
      <c r="L152">
        <v>0</v>
      </c>
      <c r="M152">
        <v>599</v>
      </c>
    </row>
    <row r="153" spans="1:13" ht="15">
      <c r="A153" t="s">
        <v>3392</v>
      </c>
      <c r="B153" s="1040" t="str">
        <f>CONCATENATE(LEFT(RIGHT(CONCATENATE("000",IFAData_TEA_1819!A153),6),3),"-",(RIGHT(RIGHT(CONCATENATE("000",IFAData_TEA_1819!A153),6),3)))</f>
        <v>015-904</v>
      </c>
      <c r="C153" t="s">
        <v>724</v>
      </c>
      <c r="D153">
        <v>5</v>
      </c>
      <c r="E153">
        <v>1867</v>
      </c>
      <c r="F153" t="s">
        <v>4147</v>
      </c>
      <c r="G153" t="s">
        <v>4141</v>
      </c>
      <c r="H153">
        <v>3411660</v>
      </c>
      <c r="I153">
        <v>0</v>
      </c>
      <c r="J153">
        <v>0</v>
      </c>
      <c r="K153">
        <v>0</v>
      </c>
      <c r="L153">
        <v>0</v>
      </c>
      <c r="M153">
        <v>599</v>
      </c>
    </row>
    <row r="154" spans="1:13" ht="15">
      <c r="A154" t="s">
        <v>3392</v>
      </c>
      <c r="B154" s="1040" t="str">
        <f>CONCATENATE(LEFT(RIGHT(CONCATENATE("000",IFAData_TEA_1819!A154),6),3),"-",(RIGHT(RIGHT(CONCATENATE("000",IFAData_TEA_1819!A154),6),3)))</f>
        <v>015-904</v>
      </c>
      <c r="C154" t="s">
        <v>724</v>
      </c>
      <c r="D154">
        <v>5</v>
      </c>
      <c r="E154">
        <v>1867</v>
      </c>
      <c r="F154" t="s">
        <v>4147</v>
      </c>
      <c r="G154" t="s">
        <v>4142</v>
      </c>
      <c r="H154">
        <v>3411660</v>
      </c>
      <c r="I154">
        <v>0</v>
      </c>
      <c r="J154">
        <v>0</v>
      </c>
      <c r="K154">
        <v>0</v>
      </c>
      <c r="L154">
        <v>0</v>
      </c>
      <c r="M154">
        <v>599</v>
      </c>
    </row>
    <row r="155" spans="1:13" ht="15">
      <c r="A155" t="s">
        <v>3392</v>
      </c>
      <c r="B155" s="1040" t="str">
        <f>CONCATENATE(LEFT(RIGHT(CONCATENATE("000",IFAData_TEA_1819!A155),6),3),"-",(RIGHT(RIGHT(CONCATENATE("000",IFAData_TEA_1819!A155),6),3)))</f>
        <v>015-904</v>
      </c>
      <c r="C155" t="s">
        <v>724</v>
      </c>
      <c r="D155">
        <v>5</v>
      </c>
      <c r="E155">
        <v>1867</v>
      </c>
      <c r="F155" t="s">
        <v>4147</v>
      </c>
      <c r="G155" t="s">
        <v>4148</v>
      </c>
      <c r="H155">
        <v>3411660</v>
      </c>
      <c r="I155">
        <v>236050</v>
      </c>
      <c r="J155">
        <v>7.4874516590708401E-2</v>
      </c>
      <c r="K155">
        <v>255446.39327185601</v>
      </c>
      <c r="L155">
        <v>236050</v>
      </c>
      <c r="M155">
        <v>599</v>
      </c>
    </row>
    <row r="156" spans="1:13" ht="15">
      <c r="A156" t="s">
        <v>3392</v>
      </c>
      <c r="B156" s="1040" t="str">
        <f>CONCATENATE(LEFT(RIGHT(CONCATENATE("000",IFAData_TEA_1819!A156),6),3),"-",(RIGHT(RIGHT(CONCATENATE("000",IFAData_TEA_1819!A156),6),3)))</f>
        <v>015-904</v>
      </c>
      <c r="C156" t="s">
        <v>724</v>
      </c>
      <c r="D156">
        <v>5</v>
      </c>
      <c r="E156">
        <v>1867</v>
      </c>
      <c r="F156" t="s">
        <v>4147</v>
      </c>
      <c r="G156" t="s">
        <v>4144</v>
      </c>
      <c r="H156">
        <v>3411660</v>
      </c>
      <c r="I156">
        <v>0</v>
      </c>
      <c r="J156">
        <v>0</v>
      </c>
      <c r="K156">
        <v>0</v>
      </c>
      <c r="L156">
        <v>0</v>
      </c>
      <c r="M156">
        <v>599</v>
      </c>
    </row>
    <row r="157" spans="1:13" ht="15">
      <c r="A157" t="s">
        <v>3392</v>
      </c>
      <c r="B157" s="1040" t="str">
        <f>CONCATENATE(LEFT(RIGHT(CONCATENATE("000",IFAData_TEA_1819!A157),6),3),"-",(RIGHT(RIGHT(CONCATENATE("000",IFAData_TEA_1819!A157),6),3)))</f>
        <v>015-904</v>
      </c>
      <c r="C157" t="s">
        <v>724</v>
      </c>
      <c r="D157">
        <v>5</v>
      </c>
      <c r="E157">
        <v>1867</v>
      </c>
      <c r="F157" t="s">
        <v>4147</v>
      </c>
      <c r="G157" t="s">
        <v>8314</v>
      </c>
      <c r="H157">
        <v>3411660</v>
      </c>
      <c r="I157">
        <v>185142</v>
      </c>
      <c r="J157">
        <v>5.8726616185710401E-2</v>
      </c>
      <c r="K157">
        <v>200355.24737614099</v>
      </c>
      <c r="L157">
        <v>185142</v>
      </c>
      <c r="M157">
        <v>599</v>
      </c>
    </row>
    <row r="158" spans="1:13" ht="15">
      <c r="A158" t="s">
        <v>3392</v>
      </c>
      <c r="B158" s="1040" t="str">
        <f>CONCATENATE(LEFT(RIGHT(CONCATENATE("000",IFAData_TEA_1819!A158),6),3),"-",(RIGHT(RIGHT(CONCATENATE("000",IFAData_TEA_1819!A158),6),3)))</f>
        <v>015-904</v>
      </c>
      <c r="C158" t="s">
        <v>724</v>
      </c>
      <c r="D158">
        <v>5</v>
      </c>
      <c r="E158">
        <v>1867</v>
      </c>
      <c r="F158" t="s">
        <v>4147</v>
      </c>
      <c r="G158" t="s">
        <v>8315</v>
      </c>
      <c r="H158">
        <v>3411660</v>
      </c>
      <c r="I158">
        <v>2731416</v>
      </c>
      <c r="J158">
        <v>0.86639886722358095</v>
      </c>
      <c r="K158">
        <v>2955858.3593520001</v>
      </c>
      <c r="L158">
        <v>2731416</v>
      </c>
      <c r="M158">
        <v>599</v>
      </c>
    </row>
    <row r="159" spans="1:13" ht="15">
      <c r="A159" t="s">
        <v>3392</v>
      </c>
      <c r="B159" s="1040" t="str">
        <f>CONCATENATE(LEFT(RIGHT(CONCATENATE("000",IFAData_TEA_1819!A159),6),3),"-",(RIGHT(RIGHT(CONCATENATE("000",IFAData_TEA_1819!A159),6),3)))</f>
        <v>015-904</v>
      </c>
      <c r="C159" t="s">
        <v>724</v>
      </c>
      <c r="D159">
        <v>8</v>
      </c>
      <c r="E159">
        <v>1866</v>
      </c>
      <c r="F159" t="s">
        <v>4149</v>
      </c>
      <c r="G159" t="s">
        <v>4149</v>
      </c>
      <c r="H159">
        <v>3182950</v>
      </c>
      <c r="I159">
        <v>0</v>
      </c>
      <c r="J159">
        <v>0</v>
      </c>
      <c r="K159">
        <v>0</v>
      </c>
      <c r="L159">
        <v>0</v>
      </c>
      <c r="M159">
        <v>599</v>
      </c>
    </row>
    <row r="160" spans="1:13" ht="15">
      <c r="A160" t="s">
        <v>3392</v>
      </c>
      <c r="B160" s="1040" t="str">
        <f>CONCATENATE(LEFT(RIGHT(CONCATENATE("000",IFAData_TEA_1819!A160),6),3),"-",(RIGHT(RIGHT(CONCATENATE("000",IFAData_TEA_1819!A160),6),3)))</f>
        <v>015-904</v>
      </c>
      <c r="C160" t="s">
        <v>724</v>
      </c>
      <c r="D160">
        <v>8</v>
      </c>
      <c r="E160">
        <v>1866</v>
      </c>
      <c r="F160" t="s">
        <v>4149</v>
      </c>
      <c r="G160" t="s">
        <v>4150</v>
      </c>
      <c r="H160">
        <v>3182950</v>
      </c>
      <c r="I160">
        <v>327213</v>
      </c>
      <c r="J160">
        <v>0.115460263063923</v>
      </c>
      <c r="K160">
        <v>367504.24431931297</v>
      </c>
      <c r="L160">
        <v>327213</v>
      </c>
      <c r="M160">
        <v>599</v>
      </c>
    </row>
    <row r="161" spans="1:13" ht="15">
      <c r="A161" t="s">
        <v>3392</v>
      </c>
      <c r="B161" s="1040" t="str">
        <f>CONCATENATE(LEFT(RIGHT(CONCATENATE("000",IFAData_TEA_1819!A161),6),3),"-",(RIGHT(RIGHT(CONCATENATE("000",IFAData_TEA_1819!A161),6),3)))</f>
        <v>015-904</v>
      </c>
      <c r="C161" t="s">
        <v>724</v>
      </c>
      <c r="D161">
        <v>8</v>
      </c>
      <c r="E161">
        <v>1866</v>
      </c>
      <c r="F161" t="s">
        <v>4149</v>
      </c>
      <c r="G161" t="s">
        <v>4151</v>
      </c>
      <c r="H161">
        <v>3182950</v>
      </c>
      <c r="I161">
        <v>340300</v>
      </c>
      <c r="J161">
        <v>0.120078137239819</v>
      </c>
      <c r="K161">
        <v>382202.70692748198</v>
      </c>
      <c r="L161">
        <v>340300</v>
      </c>
      <c r="M161">
        <v>599</v>
      </c>
    </row>
    <row r="162" spans="1:13" ht="15">
      <c r="A162" t="s">
        <v>3392</v>
      </c>
      <c r="B162" s="1040" t="str">
        <f>CONCATENATE(LEFT(RIGHT(CONCATENATE("000",IFAData_TEA_1819!A162),6),3),"-",(RIGHT(RIGHT(CONCATENATE("000",IFAData_TEA_1819!A162),6),3)))</f>
        <v>015-904</v>
      </c>
      <c r="C162" t="s">
        <v>724</v>
      </c>
      <c r="D162">
        <v>8</v>
      </c>
      <c r="E162">
        <v>1866</v>
      </c>
      <c r="F162" t="s">
        <v>4149</v>
      </c>
      <c r="G162" t="s">
        <v>6189</v>
      </c>
      <c r="H162">
        <v>3182950</v>
      </c>
      <c r="I162">
        <v>1388575</v>
      </c>
      <c r="J162">
        <v>0.489972081744877</v>
      </c>
      <c r="K162">
        <v>1559556.63758986</v>
      </c>
      <c r="L162">
        <v>1388575</v>
      </c>
      <c r="M162">
        <v>599</v>
      </c>
    </row>
    <row r="163" spans="1:13" ht="15">
      <c r="A163" t="s">
        <v>3392</v>
      </c>
      <c r="B163" s="1040" t="str">
        <f>CONCATENATE(LEFT(RIGHT(CONCATENATE("000",IFAData_TEA_1819!A163),6),3),"-",(RIGHT(RIGHT(CONCATENATE("000",IFAData_TEA_1819!A163),6),3)))</f>
        <v>015-904</v>
      </c>
      <c r="C163" t="s">
        <v>724</v>
      </c>
      <c r="D163">
        <v>8</v>
      </c>
      <c r="E163">
        <v>1866</v>
      </c>
      <c r="F163" t="s">
        <v>4149</v>
      </c>
      <c r="G163" t="s">
        <v>6190</v>
      </c>
      <c r="H163">
        <v>3182950</v>
      </c>
      <c r="I163">
        <v>777900</v>
      </c>
      <c r="J163">
        <v>0.27448951795138199</v>
      </c>
      <c r="K163">
        <v>873686.41116334999</v>
      </c>
      <c r="L163">
        <v>777900</v>
      </c>
      <c r="M163">
        <v>599</v>
      </c>
    </row>
    <row r="164" spans="1:13" ht="15">
      <c r="A164" t="s">
        <v>3392</v>
      </c>
      <c r="B164" s="1040" t="str">
        <f>CONCATENATE(LEFT(RIGHT(CONCATENATE("000",IFAData_TEA_1819!A164),6),3),"-",(RIGHT(RIGHT(CONCATENATE("000",IFAData_TEA_1819!A164),6),3)))</f>
        <v>015-904</v>
      </c>
      <c r="C164" t="s">
        <v>724</v>
      </c>
      <c r="D164">
        <v>11</v>
      </c>
      <c r="E164">
        <v>2479</v>
      </c>
      <c r="F164" t="s">
        <v>8316</v>
      </c>
      <c r="G164" t="s">
        <v>8316</v>
      </c>
      <c r="H164">
        <v>1216400</v>
      </c>
      <c r="I164">
        <v>5365600</v>
      </c>
      <c r="J164">
        <v>1</v>
      </c>
      <c r="K164">
        <v>1216400</v>
      </c>
      <c r="L164">
        <v>1216400</v>
      </c>
      <c r="M164">
        <v>599</v>
      </c>
    </row>
    <row r="165" spans="1:13" ht="15">
      <c r="A165" t="s">
        <v>3392</v>
      </c>
      <c r="B165" s="1040" t="str">
        <f>CONCATENATE(LEFT(RIGHT(CONCATENATE("000",IFAData_TEA_1819!A165),6),3),"-",(RIGHT(RIGHT(CONCATENATE("000",IFAData_TEA_1819!A165),6),3)))</f>
        <v>015-904</v>
      </c>
      <c r="C165" t="s">
        <v>724</v>
      </c>
      <c r="D165">
        <v>11</v>
      </c>
      <c r="E165">
        <v>2478</v>
      </c>
      <c r="F165" t="s">
        <v>8317</v>
      </c>
      <c r="G165" t="s">
        <v>8317</v>
      </c>
      <c r="H165">
        <v>1221412</v>
      </c>
      <c r="I165">
        <v>0</v>
      </c>
      <c r="J165">
        <v>0</v>
      </c>
      <c r="K165"/>
      <c r="L165">
        <v>0</v>
      </c>
      <c r="M165">
        <v>599</v>
      </c>
    </row>
    <row r="166" spans="1:13" ht="15">
      <c r="A166" t="s">
        <v>3393</v>
      </c>
      <c r="B166" s="1040" t="str">
        <f>CONCATENATE(LEFT(RIGHT(CONCATENATE("000",IFAData_TEA_1819!A166),6),3),"-",(RIGHT(RIGHT(CONCATENATE("000",IFAData_TEA_1819!A166),6),3)))</f>
        <v>015-905</v>
      </c>
      <c r="C166" t="s">
        <v>888</v>
      </c>
      <c r="D166">
        <v>1</v>
      </c>
      <c r="E166">
        <v>1790</v>
      </c>
      <c r="F166" t="s">
        <v>4152</v>
      </c>
      <c r="G166" t="s">
        <v>4152</v>
      </c>
      <c r="H166">
        <v>394754</v>
      </c>
      <c r="I166">
        <v>0</v>
      </c>
      <c r="J166">
        <v>0</v>
      </c>
      <c r="K166">
        <v>0</v>
      </c>
      <c r="L166">
        <v>0</v>
      </c>
      <c r="M166">
        <v>599</v>
      </c>
    </row>
    <row r="167" spans="1:13" ht="15">
      <c r="A167" t="s">
        <v>3393</v>
      </c>
      <c r="B167" s="1040" t="str">
        <f>CONCATENATE(LEFT(RIGHT(CONCATENATE("000",IFAData_TEA_1819!A167),6),3),"-",(RIGHT(RIGHT(CONCATENATE("000",IFAData_TEA_1819!A167),6),3)))</f>
        <v>015-905</v>
      </c>
      <c r="C167" t="s">
        <v>888</v>
      </c>
      <c r="D167">
        <v>1</v>
      </c>
      <c r="E167">
        <v>1790</v>
      </c>
      <c r="F167" t="s">
        <v>4152</v>
      </c>
      <c r="G167" t="s">
        <v>4153</v>
      </c>
      <c r="H167">
        <v>394754</v>
      </c>
      <c r="I167">
        <v>0</v>
      </c>
      <c r="J167">
        <v>0</v>
      </c>
      <c r="K167">
        <v>0</v>
      </c>
      <c r="L167">
        <v>0</v>
      </c>
      <c r="M167">
        <v>599</v>
      </c>
    </row>
    <row r="168" spans="1:13" ht="15">
      <c r="A168" t="s">
        <v>3393</v>
      </c>
      <c r="B168" s="1040" t="str">
        <f>CONCATENATE(LEFT(RIGHT(CONCATENATE("000",IFAData_TEA_1819!A168),6),3),"-",(RIGHT(RIGHT(CONCATENATE("000",IFAData_TEA_1819!A168),6),3)))</f>
        <v>015-905</v>
      </c>
      <c r="C168" t="s">
        <v>888</v>
      </c>
      <c r="D168">
        <v>1</v>
      </c>
      <c r="E168">
        <v>1790</v>
      </c>
      <c r="F168" t="s">
        <v>4152</v>
      </c>
      <c r="G168" t="s">
        <v>6191</v>
      </c>
      <c r="H168">
        <v>394754</v>
      </c>
      <c r="I168">
        <v>272248</v>
      </c>
      <c r="J168">
        <v>1</v>
      </c>
      <c r="K168">
        <v>394754</v>
      </c>
      <c r="L168">
        <v>272248</v>
      </c>
      <c r="M168">
        <v>599</v>
      </c>
    </row>
    <row r="169" spans="1:13" ht="15">
      <c r="A169" t="s">
        <v>3393</v>
      </c>
      <c r="B169" s="1040" t="str">
        <f>CONCATENATE(LEFT(RIGHT(CONCATENATE("000",IFAData_TEA_1819!A169),6),3),"-",(RIGHT(RIGHT(CONCATENATE("000",IFAData_TEA_1819!A169),6),3)))</f>
        <v>015-905</v>
      </c>
      <c r="C169" t="s">
        <v>888</v>
      </c>
      <c r="D169">
        <v>1</v>
      </c>
      <c r="E169">
        <v>1789</v>
      </c>
      <c r="F169" t="s">
        <v>4154</v>
      </c>
      <c r="G169" t="s">
        <v>4154</v>
      </c>
      <c r="H169">
        <v>355472</v>
      </c>
      <c r="I169">
        <v>0</v>
      </c>
      <c r="J169">
        <v>0</v>
      </c>
      <c r="K169">
        <v>0</v>
      </c>
      <c r="L169">
        <v>0</v>
      </c>
      <c r="M169">
        <v>599</v>
      </c>
    </row>
    <row r="170" spans="1:13" ht="15">
      <c r="A170" t="s">
        <v>3393</v>
      </c>
      <c r="B170" s="1040" t="str">
        <f>CONCATENATE(LEFT(RIGHT(CONCATENATE("000",IFAData_TEA_1819!A170),6),3),"-",(RIGHT(RIGHT(CONCATENATE("000",IFAData_TEA_1819!A170),6),3)))</f>
        <v>015-905</v>
      </c>
      <c r="C170" t="s">
        <v>888</v>
      </c>
      <c r="D170">
        <v>1</v>
      </c>
      <c r="E170">
        <v>1789</v>
      </c>
      <c r="F170" t="s">
        <v>4154</v>
      </c>
      <c r="G170" t="s">
        <v>4153</v>
      </c>
      <c r="H170">
        <v>355472</v>
      </c>
      <c r="I170">
        <v>0</v>
      </c>
      <c r="J170">
        <v>0</v>
      </c>
      <c r="K170">
        <v>0</v>
      </c>
      <c r="L170">
        <v>0</v>
      </c>
      <c r="M170">
        <v>599</v>
      </c>
    </row>
    <row r="171" spans="1:13" ht="15">
      <c r="A171" t="s">
        <v>3393</v>
      </c>
      <c r="B171" s="1040" t="str">
        <f>CONCATENATE(LEFT(RIGHT(CONCATENATE("000",IFAData_TEA_1819!A171),6),3),"-",(RIGHT(RIGHT(CONCATENATE("000",IFAData_TEA_1819!A171),6),3)))</f>
        <v>015-905</v>
      </c>
      <c r="C171" t="s">
        <v>888</v>
      </c>
      <c r="D171">
        <v>1</v>
      </c>
      <c r="E171">
        <v>1789</v>
      </c>
      <c r="F171" t="s">
        <v>4154</v>
      </c>
      <c r="G171" t="s">
        <v>4155</v>
      </c>
      <c r="H171">
        <v>355472</v>
      </c>
      <c r="I171">
        <v>323752</v>
      </c>
      <c r="J171">
        <v>1</v>
      </c>
      <c r="K171">
        <v>355472</v>
      </c>
      <c r="L171">
        <v>323752</v>
      </c>
      <c r="M171">
        <v>599</v>
      </c>
    </row>
    <row r="172" spans="1:13" ht="15">
      <c r="A172" t="s">
        <v>3393</v>
      </c>
      <c r="B172" s="1040" t="str">
        <f>CONCATENATE(LEFT(RIGHT(CONCATENATE("000",IFAData_TEA_1819!A172),6),3),"-",(RIGHT(RIGHT(CONCATENATE("000",IFAData_TEA_1819!A172),6),3)))</f>
        <v>015-905</v>
      </c>
      <c r="C172" t="s">
        <v>888</v>
      </c>
      <c r="D172">
        <v>1</v>
      </c>
      <c r="E172">
        <v>1789</v>
      </c>
      <c r="F172" t="s">
        <v>4154</v>
      </c>
      <c r="G172" t="s">
        <v>6191</v>
      </c>
      <c r="H172">
        <v>355472</v>
      </c>
      <c r="I172">
        <v>0</v>
      </c>
      <c r="J172">
        <v>0</v>
      </c>
      <c r="K172">
        <v>0</v>
      </c>
      <c r="L172">
        <v>0</v>
      </c>
      <c r="M172">
        <v>599</v>
      </c>
    </row>
    <row r="173" spans="1:13" ht="15">
      <c r="A173" t="s">
        <v>3393</v>
      </c>
      <c r="B173" s="1040" t="str">
        <f>CONCATENATE(LEFT(RIGHT(CONCATENATE("000",IFAData_TEA_1819!A173),6),3),"-",(RIGHT(RIGHT(CONCATENATE("000",IFAData_TEA_1819!A173),6),3)))</f>
        <v>015-905</v>
      </c>
      <c r="C173" t="s">
        <v>888</v>
      </c>
      <c r="D173">
        <v>2</v>
      </c>
      <c r="E173">
        <v>1791</v>
      </c>
      <c r="F173" t="s">
        <v>4156</v>
      </c>
      <c r="G173" t="s">
        <v>4156</v>
      </c>
      <c r="H173">
        <v>591537</v>
      </c>
      <c r="I173">
        <v>0</v>
      </c>
      <c r="J173">
        <v>0</v>
      </c>
      <c r="K173">
        <v>0</v>
      </c>
      <c r="L173">
        <v>0</v>
      </c>
      <c r="M173">
        <v>599</v>
      </c>
    </row>
    <row r="174" spans="1:13" ht="15">
      <c r="A174" t="s">
        <v>3393</v>
      </c>
      <c r="B174" s="1040" t="str">
        <f>CONCATENATE(LEFT(RIGHT(CONCATENATE("000",IFAData_TEA_1819!A174),6),3),"-",(RIGHT(RIGHT(CONCATENATE("000",IFAData_TEA_1819!A174),6),3)))</f>
        <v>015-905</v>
      </c>
      <c r="C174" t="s">
        <v>888</v>
      </c>
      <c r="D174">
        <v>2</v>
      </c>
      <c r="E174">
        <v>1791</v>
      </c>
      <c r="F174" t="s">
        <v>4156</v>
      </c>
      <c r="G174" t="s">
        <v>4153</v>
      </c>
      <c r="H174">
        <v>591537</v>
      </c>
      <c r="I174">
        <v>0</v>
      </c>
      <c r="J174">
        <v>0</v>
      </c>
      <c r="K174">
        <v>0</v>
      </c>
      <c r="L174">
        <v>0</v>
      </c>
      <c r="M174">
        <v>599</v>
      </c>
    </row>
    <row r="175" spans="1:13" ht="15">
      <c r="A175" t="s">
        <v>3393</v>
      </c>
      <c r="B175" s="1040" t="str">
        <f>CONCATENATE(LEFT(RIGHT(CONCATENATE("000",IFAData_TEA_1819!A175),6),3),"-",(RIGHT(RIGHT(CONCATENATE("000",IFAData_TEA_1819!A175),6),3)))</f>
        <v>015-905</v>
      </c>
      <c r="C175" t="s">
        <v>888</v>
      </c>
      <c r="D175">
        <v>2</v>
      </c>
      <c r="E175">
        <v>1791</v>
      </c>
      <c r="F175" t="s">
        <v>4156</v>
      </c>
      <c r="G175" t="s">
        <v>6191</v>
      </c>
      <c r="H175">
        <v>591537</v>
      </c>
      <c r="I175">
        <v>424852</v>
      </c>
      <c r="J175">
        <v>1</v>
      </c>
      <c r="K175">
        <v>591537</v>
      </c>
      <c r="L175">
        <v>424852</v>
      </c>
      <c r="M175">
        <v>599</v>
      </c>
    </row>
    <row r="176" spans="1:13" ht="15">
      <c r="A176" t="s">
        <v>3393</v>
      </c>
      <c r="B176" s="1040" t="str">
        <f>CONCATENATE(LEFT(RIGHT(CONCATENATE("000",IFAData_TEA_1819!A176),6),3),"-",(RIGHT(RIGHT(CONCATENATE("000",IFAData_TEA_1819!A176),6),3)))</f>
        <v>015-905</v>
      </c>
      <c r="C176" t="s">
        <v>888</v>
      </c>
      <c r="D176">
        <v>2</v>
      </c>
      <c r="E176">
        <v>1792</v>
      </c>
      <c r="F176" t="s">
        <v>4157</v>
      </c>
      <c r="G176" t="s">
        <v>4157</v>
      </c>
      <c r="H176">
        <v>892783</v>
      </c>
      <c r="I176">
        <v>0</v>
      </c>
      <c r="J176">
        <v>0</v>
      </c>
      <c r="K176"/>
      <c r="L176">
        <v>0</v>
      </c>
      <c r="M176">
        <v>199</v>
      </c>
    </row>
    <row r="177" spans="1:13" ht="15">
      <c r="A177" t="s">
        <v>3393</v>
      </c>
      <c r="B177" s="1040" t="str">
        <f>CONCATENATE(LEFT(RIGHT(CONCATENATE("000",IFAData_TEA_1819!A177),6),3),"-",(RIGHT(RIGHT(CONCATENATE("000",IFAData_TEA_1819!A177),6),3)))</f>
        <v>015-905</v>
      </c>
      <c r="C177" t="s">
        <v>888</v>
      </c>
      <c r="D177">
        <v>5</v>
      </c>
      <c r="E177">
        <v>1793</v>
      </c>
      <c r="F177" t="s">
        <v>4158</v>
      </c>
      <c r="G177" t="s">
        <v>4158</v>
      </c>
      <c r="H177">
        <v>2880403</v>
      </c>
      <c r="I177">
        <v>0</v>
      </c>
      <c r="J177">
        <v>0</v>
      </c>
      <c r="K177">
        <v>0</v>
      </c>
      <c r="L177">
        <v>0</v>
      </c>
      <c r="M177">
        <v>599</v>
      </c>
    </row>
    <row r="178" spans="1:13" ht="15">
      <c r="A178" t="s">
        <v>3393</v>
      </c>
      <c r="B178" s="1040" t="str">
        <f>CONCATENATE(LEFT(RIGHT(CONCATENATE("000",IFAData_TEA_1819!A178),6),3),"-",(RIGHT(RIGHT(CONCATENATE("000",IFAData_TEA_1819!A178),6),3)))</f>
        <v>015-905</v>
      </c>
      <c r="C178" t="s">
        <v>888</v>
      </c>
      <c r="D178">
        <v>5</v>
      </c>
      <c r="E178">
        <v>1793</v>
      </c>
      <c r="F178" t="s">
        <v>4158</v>
      </c>
      <c r="G178" t="s">
        <v>4153</v>
      </c>
      <c r="H178">
        <v>2880403</v>
      </c>
      <c r="I178">
        <v>0</v>
      </c>
      <c r="J178">
        <v>0</v>
      </c>
      <c r="K178">
        <v>0</v>
      </c>
      <c r="L178">
        <v>0</v>
      </c>
      <c r="M178">
        <v>599</v>
      </c>
    </row>
    <row r="179" spans="1:13" ht="15">
      <c r="A179" t="s">
        <v>3393</v>
      </c>
      <c r="B179" s="1040" t="str">
        <f>CONCATENATE(LEFT(RIGHT(CONCATENATE("000",IFAData_TEA_1819!A179),6),3),"-",(RIGHT(RIGHT(CONCATENATE("000",IFAData_TEA_1819!A179),6),3)))</f>
        <v>015-905</v>
      </c>
      <c r="C179" t="s">
        <v>888</v>
      </c>
      <c r="D179">
        <v>5</v>
      </c>
      <c r="E179">
        <v>1793</v>
      </c>
      <c r="F179" t="s">
        <v>4158</v>
      </c>
      <c r="G179" t="s">
        <v>4155</v>
      </c>
      <c r="H179">
        <v>2880403</v>
      </c>
      <c r="I179">
        <v>2669918</v>
      </c>
      <c r="J179">
        <v>1</v>
      </c>
      <c r="K179">
        <v>2880403</v>
      </c>
      <c r="L179">
        <v>2669918</v>
      </c>
      <c r="M179">
        <v>599</v>
      </c>
    </row>
    <row r="180" spans="1:13" ht="15">
      <c r="A180" t="s">
        <v>3393</v>
      </c>
      <c r="B180" s="1040" t="str">
        <f>CONCATENATE(LEFT(RIGHT(CONCATENATE("000",IFAData_TEA_1819!A180),6),3),"-",(RIGHT(RIGHT(CONCATENATE("000",IFAData_TEA_1819!A180),6),3)))</f>
        <v>015-905</v>
      </c>
      <c r="C180" t="s">
        <v>888</v>
      </c>
      <c r="D180">
        <v>5</v>
      </c>
      <c r="E180">
        <v>1793</v>
      </c>
      <c r="F180" t="s">
        <v>4158</v>
      </c>
      <c r="G180" t="s">
        <v>6191</v>
      </c>
      <c r="H180">
        <v>2880403</v>
      </c>
      <c r="I180">
        <v>0</v>
      </c>
      <c r="J180">
        <v>0</v>
      </c>
      <c r="K180">
        <v>0</v>
      </c>
      <c r="L180">
        <v>0</v>
      </c>
      <c r="M180">
        <v>599</v>
      </c>
    </row>
    <row r="181" spans="1:13" ht="15">
      <c r="A181" t="s">
        <v>3393</v>
      </c>
      <c r="B181" s="1040" t="str">
        <f>CONCATENATE(LEFT(RIGHT(CONCATENATE("000",IFAData_TEA_1819!A181),6),3),"-",(RIGHT(RIGHT(CONCATENATE("000",IFAData_TEA_1819!A181),6),3)))</f>
        <v>015-905</v>
      </c>
      <c r="C181" t="s">
        <v>888</v>
      </c>
      <c r="D181">
        <v>7</v>
      </c>
      <c r="E181">
        <v>1794</v>
      </c>
      <c r="F181" t="s">
        <v>4159</v>
      </c>
      <c r="G181" t="s">
        <v>4159</v>
      </c>
      <c r="H181">
        <v>3107457</v>
      </c>
      <c r="I181">
        <v>0</v>
      </c>
      <c r="J181">
        <v>0</v>
      </c>
      <c r="K181">
        <v>0</v>
      </c>
      <c r="L181">
        <v>0</v>
      </c>
      <c r="M181">
        <v>599</v>
      </c>
    </row>
    <row r="182" spans="1:13" ht="15">
      <c r="A182" t="s">
        <v>3393</v>
      </c>
      <c r="B182" s="1040" t="str">
        <f>CONCATENATE(LEFT(RIGHT(CONCATENATE("000",IFAData_TEA_1819!A182),6),3),"-",(RIGHT(RIGHT(CONCATENATE("000",IFAData_TEA_1819!A182),6),3)))</f>
        <v>015-905</v>
      </c>
      <c r="C182" t="s">
        <v>888</v>
      </c>
      <c r="D182">
        <v>7</v>
      </c>
      <c r="E182">
        <v>1794</v>
      </c>
      <c r="F182" t="s">
        <v>4159</v>
      </c>
      <c r="G182" t="s">
        <v>4160</v>
      </c>
      <c r="H182">
        <v>3107457</v>
      </c>
      <c r="I182">
        <v>2760058</v>
      </c>
      <c r="J182">
        <v>1</v>
      </c>
      <c r="K182">
        <v>3107457</v>
      </c>
      <c r="L182">
        <v>2760058</v>
      </c>
      <c r="M182">
        <v>599</v>
      </c>
    </row>
    <row r="183" spans="1:13" ht="15">
      <c r="A183" t="s">
        <v>3394</v>
      </c>
      <c r="B183" s="1040" t="str">
        <f>CONCATENATE(LEFT(RIGHT(CONCATENATE("000",IFAData_TEA_1819!A183),6),3),"-",(RIGHT(RIGHT(CONCATENATE("000",IFAData_TEA_1819!A183),6),3)))</f>
        <v>015-907</v>
      </c>
      <c r="C183" t="s">
        <v>2028</v>
      </c>
      <c r="D183">
        <v>1</v>
      </c>
      <c r="E183">
        <v>2281</v>
      </c>
      <c r="F183" t="s">
        <v>4161</v>
      </c>
      <c r="G183" t="s">
        <v>4161</v>
      </c>
      <c r="H183">
        <v>13875000</v>
      </c>
      <c r="I183">
        <v>0</v>
      </c>
      <c r="J183">
        <v>0</v>
      </c>
      <c r="K183">
        <v>0</v>
      </c>
      <c r="L183">
        <v>0</v>
      </c>
      <c r="M183">
        <v>599</v>
      </c>
    </row>
    <row r="184" spans="1:13" ht="15">
      <c r="A184" t="s">
        <v>3394</v>
      </c>
      <c r="B184" s="1040" t="str">
        <f>CONCATENATE(LEFT(RIGHT(CONCATENATE("000",IFAData_TEA_1819!A184),6),3),"-",(RIGHT(RIGHT(CONCATENATE("000",IFAData_TEA_1819!A184),6),3)))</f>
        <v>015-907</v>
      </c>
      <c r="C184" t="s">
        <v>2028</v>
      </c>
      <c r="D184">
        <v>1</v>
      </c>
      <c r="E184">
        <v>2281</v>
      </c>
      <c r="F184" t="s">
        <v>4161</v>
      </c>
      <c r="G184" t="s">
        <v>4162</v>
      </c>
      <c r="H184">
        <v>13875000</v>
      </c>
      <c r="I184">
        <v>0</v>
      </c>
      <c r="J184">
        <v>0</v>
      </c>
      <c r="K184">
        <v>0</v>
      </c>
      <c r="L184">
        <v>0</v>
      </c>
      <c r="M184">
        <v>599</v>
      </c>
    </row>
    <row r="185" spans="1:13" ht="15">
      <c r="A185" t="s">
        <v>3394</v>
      </c>
      <c r="B185" s="1040" t="str">
        <f>CONCATENATE(LEFT(RIGHT(CONCATENATE("000",IFAData_TEA_1819!A185),6),3),"-",(RIGHT(RIGHT(CONCATENATE("000",IFAData_TEA_1819!A185),6),3)))</f>
        <v>015-907</v>
      </c>
      <c r="C185" t="s">
        <v>2028</v>
      </c>
      <c r="D185">
        <v>1</v>
      </c>
      <c r="E185">
        <v>2281</v>
      </c>
      <c r="F185" t="s">
        <v>4161</v>
      </c>
      <c r="G185" t="s">
        <v>4163</v>
      </c>
      <c r="H185">
        <v>13875000</v>
      </c>
      <c r="I185">
        <v>0</v>
      </c>
      <c r="J185">
        <v>0</v>
      </c>
      <c r="K185">
        <v>0</v>
      </c>
      <c r="L185">
        <v>0</v>
      </c>
      <c r="M185">
        <v>599</v>
      </c>
    </row>
    <row r="186" spans="1:13" ht="15">
      <c r="A186" t="s">
        <v>3394</v>
      </c>
      <c r="B186" s="1040" t="str">
        <f>CONCATENATE(LEFT(RIGHT(CONCATENATE("000",IFAData_TEA_1819!A186),6),3),"-",(RIGHT(RIGHT(CONCATENATE("000",IFAData_TEA_1819!A186),6),3)))</f>
        <v>015-907</v>
      </c>
      <c r="C186" t="s">
        <v>2028</v>
      </c>
      <c r="D186">
        <v>1</v>
      </c>
      <c r="E186">
        <v>2281</v>
      </c>
      <c r="F186" t="s">
        <v>4161</v>
      </c>
      <c r="G186" t="s">
        <v>4164</v>
      </c>
      <c r="H186">
        <v>13875000</v>
      </c>
      <c r="I186">
        <v>0</v>
      </c>
      <c r="J186">
        <v>0</v>
      </c>
      <c r="K186">
        <v>0</v>
      </c>
      <c r="L186">
        <v>0</v>
      </c>
      <c r="M186">
        <v>599</v>
      </c>
    </row>
    <row r="187" spans="1:13" ht="15">
      <c r="A187" t="s">
        <v>3394</v>
      </c>
      <c r="B187" s="1040" t="str">
        <f>CONCATENATE(LEFT(RIGHT(CONCATENATE("000",IFAData_TEA_1819!A187),6),3),"-",(RIGHT(RIGHT(CONCATENATE("000",IFAData_TEA_1819!A187),6),3)))</f>
        <v>015-907</v>
      </c>
      <c r="C187" t="s">
        <v>2028</v>
      </c>
      <c r="D187">
        <v>1</v>
      </c>
      <c r="E187">
        <v>2281</v>
      </c>
      <c r="F187" t="s">
        <v>4161</v>
      </c>
      <c r="G187" t="s">
        <v>6192</v>
      </c>
      <c r="H187">
        <v>13875000</v>
      </c>
      <c r="I187">
        <v>12972655</v>
      </c>
      <c r="J187">
        <v>1</v>
      </c>
      <c r="K187">
        <v>13875000</v>
      </c>
      <c r="L187">
        <v>12972655</v>
      </c>
      <c r="M187">
        <v>599</v>
      </c>
    </row>
    <row r="188" spans="1:13" ht="15">
      <c r="A188" t="s">
        <v>3394</v>
      </c>
      <c r="B188" s="1040" t="str">
        <f>CONCATENATE(LEFT(RIGHT(CONCATENATE("000",IFAData_TEA_1819!A188),6),3),"-",(RIGHT(RIGHT(CONCATENATE("000",IFAData_TEA_1819!A188),6),3)))</f>
        <v>015-907</v>
      </c>
      <c r="C188" t="s">
        <v>2028</v>
      </c>
      <c r="D188">
        <v>3</v>
      </c>
      <c r="E188">
        <v>2282</v>
      </c>
      <c r="F188" t="s">
        <v>4165</v>
      </c>
      <c r="G188" t="s">
        <v>4165</v>
      </c>
      <c r="H188">
        <v>14004279</v>
      </c>
      <c r="I188">
        <v>0</v>
      </c>
      <c r="J188">
        <v>0</v>
      </c>
      <c r="K188">
        <v>0</v>
      </c>
      <c r="L188">
        <v>0</v>
      </c>
      <c r="M188">
        <v>599</v>
      </c>
    </row>
    <row r="189" spans="1:13" ht="15">
      <c r="A189" t="s">
        <v>3394</v>
      </c>
      <c r="B189" s="1040" t="str">
        <f>CONCATENATE(LEFT(RIGHT(CONCATENATE("000",IFAData_TEA_1819!A189),6),3),"-",(RIGHT(RIGHT(CONCATENATE("000",IFAData_TEA_1819!A189),6),3)))</f>
        <v>015-907</v>
      </c>
      <c r="C189" t="s">
        <v>2028</v>
      </c>
      <c r="D189">
        <v>3</v>
      </c>
      <c r="E189">
        <v>2282</v>
      </c>
      <c r="F189" t="s">
        <v>4165</v>
      </c>
      <c r="G189" t="s">
        <v>4162</v>
      </c>
      <c r="H189">
        <v>14004279</v>
      </c>
      <c r="I189">
        <v>0</v>
      </c>
      <c r="J189">
        <v>0</v>
      </c>
      <c r="K189">
        <v>0</v>
      </c>
      <c r="L189">
        <v>0</v>
      </c>
      <c r="M189">
        <v>599</v>
      </c>
    </row>
    <row r="190" spans="1:13" ht="15">
      <c r="A190" t="s">
        <v>3394</v>
      </c>
      <c r="B190" s="1040" t="str">
        <f>CONCATENATE(LEFT(RIGHT(CONCATENATE("000",IFAData_TEA_1819!A190),6),3),"-",(RIGHT(RIGHT(CONCATENATE("000",IFAData_TEA_1819!A190),6),3)))</f>
        <v>015-907</v>
      </c>
      <c r="C190" t="s">
        <v>2028</v>
      </c>
      <c r="D190">
        <v>3</v>
      </c>
      <c r="E190">
        <v>2282</v>
      </c>
      <c r="F190" t="s">
        <v>4165</v>
      </c>
      <c r="G190" t="s">
        <v>4163</v>
      </c>
      <c r="H190">
        <v>14004279</v>
      </c>
      <c r="I190">
        <v>0</v>
      </c>
      <c r="J190">
        <v>0</v>
      </c>
      <c r="K190">
        <v>0</v>
      </c>
      <c r="L190">
        <v>0</v>
      </c>
      <c r="M190">
        <v>599</v>
      </c>
    </row>
    <row r="191" spans="1:13" ht="15">
      <c r="A191" t="s">
        <v>3394</v>
      </c>
      <c r="B191" s="1040" t="str">
        <f>CONCATENATE(LEFT(RIGHT(CONCATENATE("000",IFAData_TEA_1819!A191),6),3),"-",(RIGHT(RIGHT(CONCATENATE("000",IFAData_TEA_1819!A191),6),3)))</f>
        <v>015-907</v>
      </c>
      <c r="C191" t="s">
        <v>2028</v>
      </c>
      <c r="D191">
        <v>3</v>
      </c>
      <c r="E191">
        <v>2282</v>
      </c>
      <c r="F191" t="s">
        <v>4165</v>
      </c>
      <c r="G191" t="s">
        <v>4164</v>
      </c>
      <c r="H191">
        <v>14004279</v>
      </c>
      <c r="I191">
        <v>2937058</v>
      </c>
      <c r="J191">
        <v>0.25558821678917698</v>
      </c>
      <c r="K191">
        <v>3579328.6970281298</v>
      </c>
      <c r="L191">
        <v>2937058</v>
      </c>
      <c r="M191">
        <v>599</v>
      </c>
    </row>
    <row r="192" spans="1:13" ht="15">
      <c r="A192" t="s">
        <v>3394</v>
      </c>
      <c r="B192" s="1040" t="str">
        <f>CONCATENATE(LEFT(RIGHT(CONCATENATE("000",IFAData_TEA_1819!A192),6),3),"-",(RIGHT(RIGHT(CONCATENATE("000",IFAData_TEA_1819!A192),6),3)))</f>
        <v>015-907</v>
      </c>
      <c r="C192" t="s">
        <v>2028</v>
      </c>
      <c r="D192">
        <v>3</v>
      </c>
      <c r="E192">
        <v>2282</v>
      </c>
      <c r="F192" t="s">
        <v>4165</v>
      </c>
      <c r="G192" t="s">
        <v>6192</v>
      </c>
      <c r="H192">
        <v>14004279</v>
      </c>
      <c r="I192">
        <v>8554309</v>
      </c>
      <c r="J192">
        <v>0.74441178321082302</v>
      </c>
      <c r="K192">
        <v>10424950.3029719</v>
      </c>
      <c r="L192">
        <v>8554309</v>
      </c>
      <c r="M192">
        <v>599</v>
      </c>
    </row>
    <row r="193" spans="1:13" ht="15">
      <c r="A193" t="s">
        <v>3394</v>
      </c>
      <c r="B193" s="1040" t="str">
        <f>CONCATENATE(LEFT(RIGHT(CONCATENATE("000",IFAData_TEA_1819!A193),6),3),"-",(RIGHT(RIGHT(CONCATENATE("000",IFAData_TEA_1819!A193),6),3)))</f>
        <v>015-907</v>
      </c>
      <c r="C193" t="s">
        <v>2028</v>
      </c>
      <c r="D193">
        <v>5</v>
      </c>
      <c r="E193">
        <v>2280</v>
      </c>
      <c r="F193" t="s">
        <v>4166</v>
      </c>
      <c r="G193" t="s">
        <v>4166</v>
      </c>
      <c r="H193">
        <v>8227563</v>
      </c>
      <c r="I193">
        <v>0</v>
      </c>
      <c r="J193">
        <v>0</v>
      </c>
      <c r="K193">
        <v>0</v>
      </c>
      <c r="L193">
        <v>0</v>
      </c>
      <c r="M193">
        <v>599</v>
      </c>
    </row>
    <row r="194" spans="1:13" ht="15">
      <c r="A194" t="s">
        <v>3394</v>
      </c>
      <c r="B194" s="1040" t="str">
        <f>CONCATENATE(LEFT(RIGHT(CONCATENATE("000",IFAData_TEA_1819!A194),6),3),"-",(RIGHT(RIGHT(CONCATENATE("000",IFAData_TEA_1819!A194),6),3)))</f>
        <v>015-907</v>
      </c>
      <c r="C194" t="s">
        <v>2028</v>
      </c>
      <c r="D194">
        <v>5</v>
      </c>
      <c r="E194">
        <v>2280</v>
      </c>
      <c r="F194" t="s">
        <v>4166</v>
      </c>
      <c r="G194" t="s">
        <v>4163</v>
      </c>
      <c r="H194">
        <v>8227563</v>
      </c>
      <c r="I194">
        <v>0</v>
      </c>
      <c r="J194">
        <v>0</v>
      </c>
      <c r="K194">
        <v>0</v>
      </c>
      <c r="L194">
        <v>0</v>
      </c>
      <c r="M194">
        <v>599</v>
      </c>
    </row>
    <row r="195" spans="1:13" ht="15">
      <c r="A195" t="s">
        <v>3394</v>
      </c>
      <c r="B195" s="1040" t="str">
        <f>CONCATENATE(LEFT(RIGHT(CONCATENATE("000",IFAData_TEA_1819!A195),6),3),"-",(RIGHT(RIGHT(CONCATENATE("000",IFAData_TEA_1819!A195),6),3)))</f>
        <v>015-907</v>
      </c>
      <c r="C195" t="s">
        <v>2028</v>
      </c>
      <c r="D195">
        <v>5</v>
      </c>
      <c r="E195">
        <v>2280</v>
      </c>
      <c r="F195" t="s">
        <v>4166</v>
      </c>
      <c r="G195" t="s">
        <v>4167</v>
      </c>
      <c r="H195">
        <v>8227563</v>
      </c>
      <c r="I195">
        <v>0</v>
      </c>
      <c r="J195">
        <v>0</v>
      </c>
      <c r="K195">
        <v>0</v>
      </c>
      <c r="L195">
        <v>0</v>
      </c>
      <c r="M195">
        <v>599</v>
      </c>
    </row>
    <row r="196" spans="1:13" ht="15">
      <c r="A196" t="s">
        <v>3394</v>
      </c>
      <c r="B196" s="1040" t="str">
        <f>CONCATENATE(LEFT(RIGHT(CONCATENATE("000",IFAData_TEA_1819!A196),6),3),"-",(RIGHT(RIGHT(CONCATENATE("000",IFAData_TEA_1819!A196),6),3)))</f>
        <v>015-907</v>
      </c>
      <c r="C196" t="s">
        <v>2028</v>
      </c>
      <c r="D196">
        <v>5</v>
      </c>
      <c r="E196">
        <v>2280</v>
      </c>
      <c r="F196" t="s">
        <v>4166</v>
      </c>
      <c r="G196" t="s">
        <v>6192</v>
      </c>
      <c r="H196">
        <v>8227563</v>
      </c>
      <c r="I196">
        <v>4660962</v>
      </c>
      <c r="J196">
        <v>0.72808055095262003</v>
      </c>
      <c r="K196">
        <v>5990328.6020373898</v>
      </c>
      <c r="L196">
        <v>4660962</v>
      </c>
      <c r="M196">
        <v>599</v>
      </c>
    </row>
    <row r="197" spans="1:13" ht="15">
      <c r="A197" t="s">
        <v>3394</v>
      </c>
      <c r="B197" s="1040" t="str">
        <f>CONCATENATE(LEFT(RIGHT(CONCATENATE("000",IFAData_TEA_1819!A197),6),3),"-",(RIGHT(RIGHT(CONCATENATE("000",IFAData_TEA_1819!A197),6),3)))</f>
        <v>015-907</v>
      </c>
      <c r="C197" t="s">
        <v>2028</v>
      </c>
      <c r="D197">
        <v>5</v>
      </c>
      <c r="E197">
        <v>2280</v>
      </c>
      <c r="F197" t="s">
        <v>4166</v>
      </c>
      <c r="G197" t="s">
        <v>6408</v>
      </c>
      <c r="H197">
        <v>8227563</v>
      </c>
      <c r="I197">
        <v>1740750</v>
      </c>
      <c r="J197">
        <v>0.27191944904738002</v>
      </c>
      <c r="K197">
        <v>2237234.3979626098</v>
      </c>
      <c r="L197">
        <v>1740750</v>
      </c>
      <c r="M197">
        <v>599</v>
      </c>
    </row>
    <row r="198" spans="1:13" ht="15">
      <c r="A198" t="s">
        <v>3394</v>
      </c>
      <c r="B198" s="1040" t="str">
        <f>CONCATENATE(LEFT(RIGHT(CONCATENATE("000",IFAData_TEA_1819!A198),6),3),"-",(RIGHT(RIGHT(CONCATENATE("000",IFAData_TEA_1819!A198),6),3)))</f>
        <v>015-907</v>
      </c>
      <c r="C198" t="s">
        <v>2028</v>
      </c>
      <c r="D198">
        <v>11</v>
      </c>
      <c r="E198">
        <v>2588</v>
      </c>
      <c r="F198" t="s">
        <v>8318</v>
      </c>
      <c r="G198" t="s">
        <v>8318</v>
      </c>
      <c r="H198">
        <v>4681761</v>
      </c>
      <c r="I198">
        <v>8292470</v>
      </c>
      <c r="J198">
        <v>1</v>
      </c>
      <c r="K198">
        <v>4681761</v>
      </c>
      <c r="L198">
        <v>4681761</v>
      </c>
      <c r="M198">
        <v>599</v>
      </c>
    </row>
    <row r="199" spans="1:13" ht="15">
      <c r="A199" t="s">
        <v>3394</v>
      </c>
      <c r="B199" s="1040" t="str">
        <f>CONCATENATE(LEFT(RIGHT(CONCATENATE("000",IFAData_TEA_1819!A199),6),3),"-",(RIGHT(RIGHT(CONCATENATE("000",IFAData_TEA_1819!A199),6),3)))</f>
        <v>015-907</v>
      </c>
      <c r="C199" t="s">
        <v>2028</v>
      </c>
      <c r="D199">
        <v>11</v>
      </c>
      <c r="E199">
        <v>2537</v>
      </c>
      <c r="F199" t="s">
        <v>6408</v>
      </c>
      <c r="G199" t="s">
        <v>6408</v>
      </c>
      <c r="H199">
        <v>7169125</v>
      </c>
      <c r="I199">
        <v>4326966</v>
      </c>
      <c r="J199">
        <v>1</v>
      </c>
      <c r="K199">
        <v>7169125</v>
      </c>
      <c r="L199">
        <v>4326966</v>
      </c>
      <c r="M199">
        <v>599</v>
      </c>
    </row>
    <row r="200" spans="1:13" ht="15">
      <c r="A200" t="s">
        <v>3395</v>
      </c>
      <c r="B200" s="1040" t="str">
        <f>CONCATENATE(LEFT(RIGHT(CONCATENATE("000",IFAData_TEA_1819!A200),6),3),"-",(RIGHT(RIGHT(CONCATENATE("000",IFAData_TEA_1819!A200),6),3)))</f>
        <v>015-908</v>
      </c>
      <c r="C200" t="s">
        <v>1932</v>
      </c>
      <c r="D200">
        <v>3</v>
      </c>
      <c r="E200">
        <v>2358</v>
      </c>
      <c r="F200" t="s">
        <v>4168</v>
      </c>
      <c r="G200" t="s">
        <v>4168</v>
      </c>
      <c r="H200">
        <v>2400433</v>
      </c>
      <c r="I200">
        <v>0</v>
      </c>
      <c r="J200">
        <v>0</v>
      </c>
      <c r="K200">
        <v>0</v>
      </c>
      <c r="L200">
        <v>0</v>
      </c>
      <c r="M200">
        <v>599</v>
      </c>
    </row>
    <row r="201" spans="1:13" ht="15">
      <c r="A201" t="s">
        <v>3395</v>
      </c>
      <c r="B201" s="1040" t="str">
        <f>CONCATENATE(LEFT(RIGHT(CONCATENATE("000",IFAData_TEA_1819!A201),6),3),"-",(RIGHT(RIGHT(CONCATENATE("000",IFAData_TEA_1819!A201),6),3)))</f>
        <v>015-908</v>
      </c>
      <c r="C201" t="s">
        <v>1932</v>
      </c>
      <c r="D201">
        <v>3</v>
      </c>
      <c r="E201">
        <v>2358</v>
      </c>
      <c r="F201" t="s">
        <v>4168</v>
      </c>
      <c r="G201" t="s">
        <v>4169</v>
      </c>
      <c r="H201">
        <v>2400433</v>
      </c>
      <c r="I201">
        <v>0</v>
      </c>
      <c r="J201">
        <v>0</v>
      </c>
      <c r="K201">
        <v>0</v>
      </c>
      <c r="L201">
        <v>0</v>
      </c>
      <c r="M201">
        <v>599</v>
      </c>
    </row>
    <row r="202" spans="1:13" ht="15">
      <c r="A202" t="s">
        <v>3395</v>
      </c>
      <c r="B202" s="1040" t="str">
        <f>CONCATENATE(LEFT(RIGHT(CONCATENATE("000",IFAData_TEA_1819!A202),6),3),"-",(RIGHT(RIGHT(CONCATENATE("000",IFAData_TEA_1819!A202),6),3)))</f>
        <v>015-908</v>
      </c>
      <c r="C202" t="s">
        <v>1932</v>
      </c>
      <c r="D202">
        <v>3</v>
      </c>
      <c r="E202">
        <v>2358</v>
      </c>
      <c r="F202" t="s">
        <v>4168</v>
      </c>
      <c r="G202" t="s">
        <v>4170</v>
      </c>
      <c r="H202">
        <v>2400433</v>
      </c>
      <c r="I202">
        <v>181088</v>
      </c>
      <c r="J202">
        <v>8.2223477425412805E-2</v>
      </c>
      <c r="K202">
        <v>197371.948586716</v>
      </c>
      <c r="L202">
        <v>181088</v>
      </c>
      <c r="M202">
        <v>599</v>
      </c>
    </row>
    <row r="203" spans="1:13" ht="15">
      <c r="A203" t="s">
        <v>3395</v>
      </c>
      <c r="B203" s="1040" t="str">
        <f>CONCATENATE(LEFT(RIGHT(CONCATENATE("000",IFAData_TEA_1819!A203),6),3),"-",(RIGHT(RIGHT(CONCATENATE("000",IFAData_TEA_1819!A203),6),3)))</f>
        <v>015-908</v>
      </c>
      <c r="C203" t="s">
        <v>1932</v>
      </c>
      <c r="D203">
        <v>3</v>
      </c>
      <c r="E203">
        <v>2358</v>
      </c>
      <c r="F203" t="s">
        <v>4168</v>
      </c>
      <c r="G203" t="s">
        <v>4171</v>
      </c>
      <c r="H203">
        <v>2400433</v>
      </c>
      <c r="I203">
        <v>2021300</v>
      </c>
      <c r="J203">
        <v>0.91777652257458697</v>
      </c>
      <c r="K203">
        <v>2203061.05141328</v>
      </c>
      <c r="L203">
        <v>2021300</v>
      </c>
      <c r="M203">
        <v>599</v>
      </c>
    </row>
    <row r="204" spans="1:13" ht="15">
      <c r="A204" t="s">
        <v>3395</v>
      </c>
      <c r="B204" s="1040" t="str">
        <f>CONCATENATE(LEFT(RIGHT(CONCATENATE("000",IFAData_TEA_1819!A204),6),3),"-",(RIGHT(RIGHT(CONCATENATE("000",IFAData_TEA_1819!A204),6),3)))</f>
        <v>015-908</v>
      </c>
      <c r="C204" t="s">
        <v>1932</v>
      </c>
      <c r="D204">
        <v>6</v>
      </c>
      <c r="E204">
        <v>2357</v>
      </c>
      <c r="F204" t="s">
        <v>4172</v>
      </c>
      <c r="G204" t="s">
        <v>4172</v>
      </c>
      <c r="H204">
        <v>2270472</v>
      </c>
      <c r="I204">
        <v>0</v>
      </c>
      <c r="J204">
        <v>0</v>
      </c>
      <c r="K204">
        <v>0</v>
      </c>
      <c r="L204">
        <v>0</v>
      </c>
      <c r="M204">
        <v>599</v>
      </c>
    </row>
    <row r="205" spans="1:13" ht="15">
      <c r="A205" t="s">
        <v>3395</v>
      </c>
      <c r="B205" s="1040" t="str">
        <f>CONCATENATE(LEFT(RIGHT(CONCATENATE("000",IFAData_TEA_1819!A205),6),3),"-",(RIGHT(RIGHT(CONCATENATE("000",IFAData_TEA_1819!A205),6),3)))</f>
        <v>015-908</v>
      </c>
      <c r="C205" t="s">
        <v>1932</v>
      </c>
      <c r="D205">
        <v>6</v>
      </c>
      <c r="E205">
        <v>2357</v>
      </c>
      <c r="F205" t="s">
        <v>4172</v>
      </c>
      <c r="G205" t="s">
        <v>4170</v>
      </c>
      <c r="H205">
        <v>2270472</v>
      </c>
      <c r="I205">
        <v>1347458</v>
      </c>
      <c r="J205">
        <v>0.66494704438481</v>
      </c>
      <c r="K205">
        <v>1509743.6457584701</v>
      </c>
      <c r="L205">
        <v>1347458</v>
      </c>
      <c r="M205">
        <v>599</v>
      </c>
    </row>
    <row r="206" spans="1:13" ht="15">
      <c r="A206" t="s">
        <v>3395</v>
      </c>
      <c r="B206" s="1040" t="str">
        <f>CONCATENATE(LEFT(RIGHT(CONCATENATE("000",IFAData_TEA_1819!A206),6),3),"-",(RIGHT(RIGHT(CONCATENATE("000",IFAData_TEA_1819!A206),6),3)))</f>
        <v>015-908</v>
      </c>
      <c r="C206" t="s">
        <v>1932</v>
      </c>
      <c r="D206">
        <v>6</v>
      </c>
      <c r="E206">
        <v>2357</v>
      </c>
      <c r="F206" t="s">
        <v>4172</v>
      </c>
      <c r="G206" t="s">
        <v>4173</v>
      </c>
      <c r="H206">
        <v>2270472</v>
      </c>
      <c r="I206">
        <v>412218</v>
      </c>
      <c r="J206">
        <v>0.20342240035846601</v>
      </c>
      <c r="K206">
        <v>461864.864186686</v>
      </c>
      <c r="L206">
        <v>412218</v>
      </c>
      <c r="M206">
        <v>599</v>
      </c>
    </row>
    <row r="207" spans="1:13" ht="15">
      <c r="A207" t="s">
        <v>3395</v>
      </c>
      <c r="B207" s="1040" t="str">
        <f>CONCATENATE(LEFT(RIGHT(CONCATENATE("000",IFAData_TEA_1819!A207),6),3),"-",(RIGHT(RIGHT(CONCATENATE("000",IFAData_TEA_1819!A207),6),3)))</f>
        <v>015-908</v>
      </c>
      <c r="C207" t="s">
        <v>1932</v>
      </c>
      <c r="D207">
        <v>6</v>
      </c>
      <c r="E207">
        <v>2357</v>
      </c>
      <c r="F207" t="s">
        <v>4172</v>
      </c>
      <c r="G207" t="s">
        <v>4174</v>
      </c>
      <c r="H207">
        <v>2270472</v>
      </c>
      <c r="I207">
        <v>266738</v>
      </c>
      <c r="J207">
        <v>0.13163055525672401</v>
      </c>
      <c r="K207">
        <v>298863.49005484598</v>
      </c>
      <c r="L207">
        <v>266738</v>
      </c>
      <c r="M207">
        <v>599</v>
      </c>
    </row>
    <row r="208" spans="1:13" ht="15">
      <c r="A208" t="s">
        <v>3395</v>
      </c>
      <c r="B208" s="1040" t="str">
        <f>CONCATENATE(LEFT(RIGHT(CONCATENATE("000",IFAData_TEA_1819!A208),6),3),"-",(RIGHT(RIGHT(CONCATENATE("000",IFAData_TEA_1819!A208),6),3)))</f>
        <v>015-908</v>
      </c>
      <c r="C208" t="s">
        <v>1932</v>
      </c>
      <c r="D208">
        <v>8</v>
      </c>
      <c r="E208">
        <v>2356</v>
      </c>
      <c r="F208" t="s">
        <v>4175</v>
      </c>
      <c r="G208" t="s">
        <v>4175</v>
      </c>
      <c r="H208">
        <v>1990738</v>
      </c>
      <c r="I208">
        <v>413050</v>
      </c>
      <c r="J208">
        <v>0.16069058241534201</v>
      </c>
      <c r="K208">
        <v>319892.84865635401</v>
      </c>
      <c r="L208">
        <v>319892.84865635401</v>
      </c>
      <c r="M208">
        <v>599</v>
      </c>
    </row>
    <row r="209" spans="1:13" ht="15">
      <c r="A209" t="s">
        <v>3395</v>
      </c>
      <c r="B209" s="1040" t="str">
        <f>CONCATENATE(LEFT(RIGHT(CONCATENATE("000",IFAData_TEA_1819!A209),6),3),"-",(RIGHT(RIGHT(CONCATENATE("000",IFAData_TEA_1819!A209),6),3)))</f>
        <v>015-908</v>
      </c>
      <c r="C209" t="s">
        <v>1932</v>
      </c>
      <c r="D209">
        <v>8</v>
      </c>
      <c r="E209">
        <v>2356</v>
      </c>
      <c r="F209" t="s">
        <v>4175</v>
      </c>
      <c r="G209" t="s">
        <v>4170</v>
      </c>
      <c r="H209">
        <v>1990738</v>
      </c>
      <c r="I209">
        <v>1328818</v>
      </c>
      <c r="J209">
        <v>0.51695566721702002</v>
      </c>
      <c r="K209">
        <v>1029123.29104428</v>
      </c>
      <c r="L209">
        <v>1029123.29104428</v>
      </c>
      <c r="M209">
        <v>599</v>
      </c>
    </row>
    <row r="210" spans="1:13" ht="15">
      <c r="A210" t="s">
        <v>3395</v>
      </c>
      <c r="B210" s="1040" t="str">
        <f>CONCATENATE(LEFT(RIGHT(CONCATENATE("000",IFAData_TEA_1819!A210),6),3),"-",(RIGHT(RIGHT(CONCATENATE("000",IFAData_TEA_1819!A210),6),3)))</f>
        <v>015-908</v>
      </c>
      <c r="C210" t="s">
        <v>1932</v>
      </c>
      <c r="D210">
        <v>8</v>
      </c>
      <c r="E210">
        <v>2356</v>
      </c>
      <c r="F210" t="s">
        <v>4175</v>
      </c>
      <c r="G210" t="s">
        <v>4176</v>
      </c>
      <c r="H210">
        <v>1990738</v>
      </c>
      <c r="I210">
        <v>828600</v>
      </c>
      <c r="J210">
        <v>0.32235375036763703</v>
      </c>
      <c r="K210">
        <v>641721.86029937002</v>
      </c>
      <c r="L210">
        <v>641721.86029937002</v>
      </c>
      <c r="M210">
        <v>599</v>
      </c>
    </row>
    <row r="211" spans="1:13" ht="15">
      <c r="A211" t="s">
        <v>3396</v>
      </c>
      <c r="B211" s="1040" t="str">
        <f>CONCATENATE(LEFT(RIGHT(CONCATENATE("000",IFAData_TEA_1819!A211),6),3),"-",(RIGHT(RIGHT(CONCATENATE("000",IFAData_TEA_1819!A211),6),3)))</f>
        <v>015-909</v>
      </c>
      <c r="C211" t="s">
        <v>1931</v>
      </c>
      <c r="D211">
        <v>4</v>
      </c>
      <c r="E211">
        <v>2354</v>
      </c>
      <c r="F211" t="s">
        <v>4177</v>
      </c>
      <c r="G211" t="s">
        <v>4177</v>
      </c>
      <c r="H211">
        <v>637500</v>
      </c>
      <c r="I211">
        <v>0</v>
      </c>
      <c r="J211">
        <v>0</v>
      </c>
      <c r="K211">
        <v>0</v>
      </c>
      <c r="L211">
        <v>0</v>
      </c>
      <c r="M211">
        <v>599</v>
      </c>
    </row>
    <row r="212" spans="1:13" ht="15">
      <c r="A212" t="s">
        <v>3396</v>
      </c>
      <c r="B212" s="1040" t="str">
        <f>CONCATENATE(LEFT(RIGHT(CONCATENATE("000",IFAData_TEA_1819!A212),6),3),"-",(RIGHT(RIGHT(CONCATENATE("000",IFAData_TEA_1819!A212),6),3)))</f>
        <v>015-909</v>
      </c>
      <c r="C212" t="s">
        <v>1931</v>
      </c>
      <c r="D212">
        <v>4</v>
      </c>
      <c r="E212">
        <v>2354</v>
      </c>
      <c r="F212" t="s">
        <v>4177</v>
      </c>
      <c r="G212" t="s">
        <v>4178</v>
      </c>
      <c r="H212">
        <v>637500</v>
      </c>
      <c r="I212">
        <v>409783</v>
      </c>
      <c r="J212">
        <v>0.76404584465248304</v>
      </c>
      <c r="K212">
        <v>487079.22596595797</v>
      </c>
      <c r="L212">
        <v>409783</v>
      </c>
      <c r="M212">
        <v>599</v>
      </c>
    </row>
    <row r="213" spans="1:13" ht="15">
      <c r="A213" t="s">
        <v>3396</v>
      </c>
      <c r="B213" s="1040" t="str">
        <f>CONCATENATE(LEFT(RIGHT(CONCATENATE("000",IFAData_TEA_1819!A213),6),3),"-",(RIGHT(RIGHT(CONCATENATE("000",IFAData_TEA_1819!A213),6),3)))</f>
        <v>015-909</v>
      </c>
      <c r="C213" t="s">
        <v>1931</v>
      </c>
      <c r="D213">
        <v>4</v>
      </c>
      <c r="E213">
        <v>2354</v>
      </c>
      <c r="F213" t="s">
        <v>4177</v>
      </c>
      <c r="G213" t="s">
        <v>4179</v>
      </c>
      <c r="H213">
        <v>637500</v>
      </c>
      <c r="I213">
        <v>0</v>
      </c>
      <c r="J213">
        <v>0</v>
      </c>
      <c r="K213">
        <v>0</v>
      </c>
      <c r="L213">
        <v>0</v>
      </c>
      <c r="M213">
        <v>599</v>
      </c>
    </row>
    <row r="214" spans="1:13" ht="15">
      <c r="A214" t="s">
        <v>3396</v>
      </c>
      <c r="B214" s="1040" t="str">
        <f>CONCATENATE(LEFT(RIGHT(CONCATENATE("000",IFAData_TEA_1819!A214),6),3),"-",(RIGHT(RIGHT(CONCATENATE("000",IFAData_TEA_1819!A214),6),3)))</f>
        <v>015-909</v>
      </c>
      <c r="C214" t="s">
        <v>1931</v>
      </c>
      <c r="D214">
        <v>4</v>
      </c>
      <c r="E214">
        <v>2354</v>
      </c>
      <c r="F214" t="s">
        <v>4177</v>
      </c>
      <c r="G214" t="s">
        <v>6409</v>
      </c>
      <c r="H214">
        <v>637500</v>
      </c>
      <c r="I214">
        <v>126550</v>
      </c>
      <c r="J214">
        <v>0.23595415534751699</v>
      </c>
      <c r="K214">
        <v>150420.774034042</v>
      </c>
      <c r="L214">
        <v>126550</v>
      </c>
      <c r="M214">
        <v>599</v>
      </c>
    </row>
    <row r="215" spans="1:13" ht="15">
      <c r="A215" t="s">
        <v>3396</v>
      </c>
      <c r="B215" s="1040" t="str">
        <f>CONCATENATE(LEFT(RIGHT(CONCATENATE("000",IFAData_TEA_1819!A215),6),3),"-",(RIGHT(RIGHT(CONCATENATE("000",IFAData_TEA_1819!A215),6),3)))</f>
        <v>015-909</v>
      </c>
      <c r="C215" t="s">
        <v>1931</v>
      </c>
      <c r="D215">
        <v>5</v>
      </c>
      <c r="E215">
        <v>2353</v>
      </c>
      <c r="F215" t="s">
        <v>4180</v>
      </c>
      <c r="G215" t="s">
        <v>4180</v>
      </c>
      <c r="H215">
        <v>460677</v>
      </c>
      <c r="I215">
        <v>0</v>
      </c>
      <c r="J215">
        <v>0</v>
      </c>
      <c r="K215">
        <v>0</v>
      </c>
      <c r="L215">
        <v>0</v>
      </c>
      <c r="M215">
        <v>599</v>
      </c>
    </row>
    <row r="216" spans="1:13" ht="15">
      <c r="A216" t="s">
        <v>3396</v>
      </c>
      <c r="B216" s="1040" t="str">
        <f>CONCATENATE(LEFT(RIGHT(CONCATENATE("000",IFAData_TEA_1819!A216),6),3),"-",(RIGHT(RIGHT(CONCATENATE("000",IFAData_TEA_1819!A216),6),3)))</f>
        <v>015-909</v>
      </c>
      <c r="C216" t="s">
        <v>1931</v>
      </c>
      <c r="D216">
        <v>5</v>
      </c>
      <c r="E216">
        <v>2353</v>
      </c>
      <c r="F216" t="s">
        <v>4180</v>
      </c>
      <c r="G216" t="s">
        <v>4178</v>
      </c>
      <c r="H216">
        <v>460677</v>
      </c>
      <c r="I216">
        <v>261292</v>
      </c>
      <c r="J216">
        <v>0.43645632714013</v>
      </c>
      <c r="K216">
        <v>201065.39141793401</v>
      </c>
      <c r="L216">
        <v>201065.39141793401</v>
      </c>
      <c r="M216">
        <v>599</v>
      </c>
    </row>
    <row r="217" spans="1:13" ht="15">
      <c r="A217" t="s">
        <v>3396</v>
      </c>
      <c r="B217" s="1040" t="str">
        <f>CONCATENATE(LEFT(RIGHT(CONCATENATE("000",IFAData_TEA_1819!A217),6),3),"-",(RIGHT(RIGHT(CONCATENATE("000",IFAData_TEA_1819!A217),6),3)))</f>
        <v>015-909</v>
      </c>
      <c r="C217" t="s">
        <v>1931</v>
      </c>
      <c r="D217">
        <v>5</v>
      </c>
      <c r="E217">
        <v>2353</v>
      </c>
      <c r="F217" t="s">
        <v>4180</v>
      </c>
      <c r="G217" t="s">
        <v>4179</v>
      </c>
      <c r="H217">
        <v>460677</v>
      </c>
      <c r="I217">
        <v>241075</v>
      </c>
      <c r="J217">
        <v>0.40268630139960898</v>
      </c>
      <c r="K217">
        <v>185508.31726986801</v>
      </c>
      <c r="L217">
        <v>185508.31726986801</v>
      </c>
      <c r="M217">
        <v>599</v>
      </c>
    </row>
    <row r="218" spans="1:13" ht="15">
      <c r="A218" t="s">
        <v>3396</v>
      </c>
      <c r="B218" s="1040" t="str">
        <f>CONCATENATE(LEFT(RIGHT(CONCATENATE("000",IFAData_TEA_1819!A218),6),3),"-",(RIGHT(RIGHT(CONCATENATE("000",IFAData_TEA_1819!A218),6),3)))</f>
        <v>015-909</v>
      </c>
      <c r="C218" t="s">
        <v>1931</v>
      </c>
      <c r="D218">
        <v>5</v>
      </c>
      <c r="E218">
        <v>2353</v>
      </c>
      <c r="F218" t="s">
        <v>4180</v>
      </c>
      <c r="G218" t="s">
        <v>6409</v>
      </c>
      <c r="H218">
        <v>460677</v>
      </c>
      <c r="I218">
        <v>96300</v>
      </c>
      <c r="J218">
        <v>0.16085737146026099</v>
      </c>
      <c r="K218">
        <v>74103.291312198606</v>
      </c>
      <c r="L218">
        <v>74103.291312198606</v>
      </c>
      <c r="M218">
        <v>599</v>
      </c>
    </row>
    <row r="219" spans="1:13" ht="15">
      <c r="A219" t="s">
        <v>3396</v>
      </c>
      <c r="B219" s="1040" t="str">
        <f>CONCATENATE(LEFT(RIGHT(CONCATENATE("000",IFAData_TEA_1819!A219),6),3),"-",(RIGHT(RIGHT(CONCATENATE("000",IFAData_TEA_1819!A219),6),3)))</f>
        <v>015-909</v>
      </c>
      <c r="C219" t="s">
        <v>1931</v>
      </c>
      <c r="D219">
        <v>6</v>
      </c>
      <c r="E219">
        <v>2351</v>
      </c>
      <c r="F219" t="s">
        <v>4181</v>
      </c>
      <c r="G219" t="s">
        <v>4181</v>
      </c>
      <c r="H219">
        <v>230217</v>
      </c>
      <c r="I219">
        <v>0</v>
      </c>
      <c r="J219">
        <v>0</v>
      </c>
      <c r="K219">
        <v>0</v>
      </c>
      <c r="L219">
        <v>0</v>
      </c>
      <c r="M219">
        <v>599</v>
      </c>
    </row>
    <row r="220" spans="1:13" ht="15">
      <c r="A220" t="s">
        <v>3396</v>
      </c>
      <c r="B220" s="1040" t="str">
        <f>CONCATENATE(LEFT(RIGHT(CONCATENATE("000",IFAData_TEA_1819!A220),6),3),"-",(RIGHT(RIGHT(CONCATENATE("000",IFAData_TEA_1819!A220),6),3)))</f>
        <v>015-909</v>
      </c>
      <c r="C220" t="s">
        <v>1931</v>
      </c>
      <c r="D220">
        <v>6</v>
      </c>
      <c r="E220">
        <v>2351</v>
      </c>
      <c r="F220" t="s">
        <v>4181</v>
      </c>
      <c r="G220" t="s">
        <v>4182</v>
      </c>
      <c r="H220">
        <v>230217</v>
      </c>
      <c r="I220">
        <v>231956</v>
      </c>
      <c r="J220">
        <v>1</v>
      </c>
      <c r="K220">
        <v>230217</v>
      </c>
      <c r="L220">
        <v>230217</v>
      </c>
      <c r="M220">
        <v>599</v>
      </c>
    </row>
    <row r="221" spans="1:13" ht="15">
      <c r="A221" t="s">
        <v>3396</v>
      </c>
      <c r="B221" s="1040" t="str">
        <f>CONCATENATE(LEFT(RIGHT(CONCATENATE("000",IFAData_TEA_1819!A221),6),3),"-",(RIGHT(RIGHT(CONCATENATE("000",IFAData_TEA_1819!A221),6),3)))</f>
        <v>015-909</v>
      </c>
      <c r="C221" t="s">
        <v>1931</v>
      </c>
      <c r="D221">
        <v>7</v>
      </c>
      <c r="E221">
        <v>2352</v>
      </c>
      <c r="F221" t="s">
        <v>4183</v>
      </c>
      <c r="G221" t="s">
        <v>4183</v>
      </c>
      <c r="H221">
        <v>305924</v>
      </c>
      <c r="I221">
        <v>0</v>
      </c>
      <c r="J221">
        <v>0</v>
      </c>
      <c r="K221">
        <v>0</v>
      </c>
      <c r="L221">
        <v>0</v>
      </c>
      <c r="M221">
        <v>599</v>
      </c>
    </row>
    <row r="222" spans="1:13" ht="15">
      <c r="A222" t="s">
        <v>3396</v>
      </c>
      <c r="B222" s="1040" t="str">
        <f>CONCATENATE(LEFT(RIGHT(CONCATENATE("000",IFAData_TEA_1819!A222),6),3),"-",(RIGHT(RIGHT(CONCATENATE("000",IFAData_TEA_1819!A222),6),3)))</f>
        <v>015-909</v>
      </c>
      <c r="C222" t="s">
        <v>1931</v>
      </c>
      <c r="D222">
        <v>7</v>
      </c>
      <c r="E222">
        <v>2352</v>
      </c>
      <c r="F222" t="s">
        <v>4183</v>
      </c>
      <c r="G222" t="s">
        <v>6193</v>
      </c>
      <c r="H222">
        <v>305924</v>
      </c>
      <c r="I222">
        <v>257963</v>
      </c>
      <c r="J222">
        <v>1</v>
      </c>
      <c r="K222">
        <v>305924</v>
      </c>
      <c r="L222">
        <v>257963</v>
      </c>
      <c r="M222">
        <v>599</v>
      </c>
    </row>
    <row r="223" spans="1:13" ht="15">
      <c r="A223" t="s">
        <v>3396</v>
      </c>
      <c r="B223" s="1040" t="str">
        <f>CONCATENATE(LEFT(RIGHT(CONCATENATE("000",IFAData_TEA_1819!A223),6),3),"-",(RIGHT(RIGHT(CONCATENATE("000",IFAData_TEA_1819!A223),6),3)))</f>
        <v>015-909</v>
      </c>
      <c r="C223" t="s">
        <v>1931</v>
      </c>
      <c r="D223">
        <v>10</v>
      </c>
      <c r="E223">
        <v>2355</v>
      </c>
      <c r="F223" t="s">
        <v>4179</v>
      </c>
      <c r="G223" t="s">
        <v>4179</v>
      </c>
      <c r="H223">
        <v>732634</v>
      </c>
      <c r="I223">
        <v>731900</v>
      </c>
      <c r="J223">
        <v>1</v>
      </c>
      <c r="K223">
        <v>732634</v>
      </c>
      <c r="L223">
        <v>731900</v>
      </c>
      <c r="M223">
        <v>599</v>
      </c>
    </row>
    <row r="224" spans="1:13" ht="15">
      <c r="A224" t="s">
        <v>3397</v>
      </c>
      <c r="B224" s="1040" t="str">
        <f>CONCATENATE(LEFT(RIGHT(CONCATENATE("000",IFAData_TEA_1819!A224),6),3),"-",(RIGHT(RIGHT(CONCATENATE("000",IFAData_TEA_1819!A224),6),3)))</f>
        <v>015-910</v>
      </c>
      <c r="C224" t="s">
        <v>2287</v>
      </c>
      <c r="D224">
        <v>1</v>
      </c>
      <c r="E224">
        <v>2147</v>
      </c>
      <c r="F224" t="s">
        <v>4184</v>
      </c>
      <c r="G224" t="s">
        <v>4184</v>
      </c>
      <c r="H224">
        <v>6051325</v>
      </c>
      <c r="I224">
        <v>0</v>
      </c>
      <c r="J224">
        <v>0</v>
      </c>
      <c r="K224"/>
      <c r="L224">
        <v>0</v>
      </c>
      <c r="M224">
        <v>599</v>
      </c>
    </row>
    <row r="225" spans="1:13" ht="15">
      <c r="A225" t="s">
        <v>3398</v>
      </c>
      <c r="B225" s="1040" t="str">
        <f>CONCATENATE(LEFT(RIGHT(CONCATENATE("000",IFAData_TEA_1819!A225),6),3),"-",(RIGHT(RIGHT(CONCATENATE("000",IFAData_TEA_1819!A225),6),3)))</f>
        <v>015-911</v>
      </c>
      <c r="C225" t="s">
        <v>1064</v>
      </c>
      <c r="D225">
        <v>3</v>
      </c>
      <c r="E225">
        <v>1780</v>
      </c>
      <c r="F225" t="s">
        <v>4189</v>
      </c>
      <c r="G225" t="s">
        <v>4189</v>
      </c>
      <c r="H225">
        <v>1803880</v>
      </c>
      <c r="I225">
        <v>0</v>
      </c>
      <c r="J225">
        <v>0</v>
      </c>
      <c r="K225">
        <v>0</v>
      </c>
      <c r="L225">
        <v>0</v>
      </c>
      <c r="M225">
        <v>599</v>
      </c>
    </row>
    <row r="226" spans="1:13" ht="15">
      <c r="A226" t="s">
        <v>3398</v>
      </c>
      <c r="B226" s="1040" t="str">
        <f>CONCATENATE(LEFT(RIGHT(CONCATENATE("000",IFAData_TEA_1819!A226),6),3),"-",(RIGHT(RIGHT(CONCATENATE("000",IFAData_TEA_1819!A226),6),3)))</f>
        <v>015-911</v>
      </c>
      <c r="C226" t="s">
        <v>1064</v>
      </c>
      <c r="D226">
        <v>3</v>
      </c>
      <c r="E226">
        <v>1780</v>
      </c>
      <c r="F226" t="s">
        <v>4189</v>
      </c>
      <c r="G226" t="s">
        <v>4190</v>
      </c>
      <c r="H226">
        <v>1803880</v>
      </c>
      <c r="I226">
        <v>0</v>
      </c>
      <c r="J226">
        <v>0</v>
      </c>
      <c r="K226">
        <v>0</v>
      </c>
      <c r="L226">
        <v>0</v>
      </c>
      <c r="M226">
        <v>599</v>
      </c>
    </row>
    <row r="227" spans="1:13" ht="15">
      <c r="A227" t="s">
        <v>3398</v>
      </c>
      <c r="B227" s="1040" t="str">
        <f>CONCATENATE(LEFT(RIGHT(CONCATENATE("000",IFAData_TEA_1819!A227),6),3),"-",(RIGHT(RIGHT(CONCATENATE("000",IFAData_TEA_1819!A227),6),3)))</f>
        <v>015-911</v>
      </c>
      <c r="C227" t="s">
        <v>1064</v>
      </c>
      <c r="D227">
        <v>3</v>
      </c>
      <c r="E227">
        <v>1780</v>
      </c>
      <c r="F227" t="s">
        <v>4189</v>
      </c>
      <c r="G227" t="s">
        <v>4191</v>
      </c>
      <c r="H227">
        <v>1803880</v>
      </c>
      <c r="I227">
        <v>1801833</v>
      </c>
      <c r="J227">
        <v>1</v>
      </c>
      <c r="K227">
        <v>1803880</v>
      </c>
      <c r="L227">
        <v>1801833</v>
      </c>
      <c r="M227">
        <v>599</v>
      </c>
    </row>
    <row r="228" spans="1:13" ht="15">
      <c r="A228" t="s">
        <v>3398</v>
      </c>
      <c r="B228" s="1040" t="str">
        <f>CONCATENATE(LEFT(RIGHT(CONCATENATE("000",IFAData_TEA_1819!A228),6),3),"-",(RIGHT(RIGHT(CONCATENATE("000",IFAData_TEA_1819!A228),6),3)))</f>
        <v>015-911</v>
      </c>
      <c r="C228" t="s">
        <v>1064</v>
      </c>
      <c r="D228">
        <v>6</v>
      </c>
      <c r="E228">
        <v>1779</v>
      </c>
      <c r="F228" t="s">
        <v>4192</v>
      </c>
      <c r="G228" t="s">
        <v>4192</v>
      </c>
      <c r="H228">
        <v>1625293</v>
      </c>
      <c r="I228">
        <v>0</v>
      </c>
      <c r="J228">
        <v>0</v>
      </c>
      <c r="K228">
        <v>0</v>
      </c>
      <c r="L228">
        <v>0</v>
      </c>
      <c r="M228">
        <v>599</v>
      </c>
    </row>
    <row r="229" spans="1:13" ht="15">
      <c r="A229" t="s">
        <v>3398</v>
      </c>
      <c r="B229" s="1040" t="str">
        <f>CONCATENATE(LEFT(RIGHT(CONCATENATE("000",IFAData_TEA_1819!A229),6),3),"-",(RIGHT(RIGHT(CONCATENATE("000",IFAData_TEA_1819!A229),6),3)))</f>
        <v>015-911</v>
      </c>
      <c r="C229" t="s">
        <v>1064</v>
      </c>
      <c r="D229">
        <v>6</v>
      </c>
      <c r="E229">
        <v>1779</v>
      </c>
      <c r="F229" t="s">
        <v>4192</v>
      </c>
      <c r="G229" t="s">
        <v>4193</v>
      </c>
      <c r="H229">
        <v>1625293</v>
      </c>
      <c r="I229">
        <v>1643950</v>
      </c>
      <c r="J229">
        <v>1</v>
      </c>
      <c r="K229">
        <v>1625293</v>
      </c>
      <c r="L229">
        <v>1625293</v>
      </c>
      <c r="M229">
        <v>599</v>
      </c>
    </row>
    <row r="230" spans="1:13" ht="15">
      <c r="A230" t="s">
        <v>3398</v>
      </c>
      <c r="B230" s="1040" t="str">
        <f>CONCATENATE(LEFT(RIGHT(CONCATENATE("000",IFAData_TEA_1819!A230),6),3),"-",(RIGHT(RIGHT(CONCATENATE("000",IFAData_TEA_1819!A230),6),3)))</f>
        <v>015-911</v>
      </c>
      <c r="C230" t="s">
        <v>1064</v>
      </c>
      <c r="D230">
        <v>9</v>
      </c>
      <c r="E230">
        <v>1781</v>
      </c>
      <c r="F230" t="s">
        <v>4194</v>
      </c>
      <c r="G230" t="s">
        <v>4194</v>
      </c>
      <c r="H230">
        <v>2096250</v>
      </c>
      <c r="I230">
        <v>3014513</v>
      </c>
      <c r="J230">
        <v>0.49273551291102002</v>
      </c>
      <c r="K230">
        <v>1032896.8189397299</v>
      </c>
      <c r="L230">
        <v>1032896.8189397299</v>
      </c>
      <c r="M230">
        <v>599</v>
      </c>
    </row>
    <row r="231" spans="1:13" ht="15">
      <c r="A231" t="s">
        <v>3398</v>
      </c>
      <c r="B231" s="1040" t="str">
        <f>CONCATENATE(LEFT(RIGHT(CONCATENATE("000",IFAData_TEA_1819!A231),6),3),"-",(RIGHT(RIGHT(CONCATENATE("000",IFAData_TEA_1819!A231),6),3)))</f>
        <v>015-911</v>
      </c>
      <c r="C231" t="s">
        <v>1064</v>
      </c>
      <c r="D231">
        <v>9</v>
      </c>
      <c r="E231">
        <v>1781</v>
      </c>
      <c r="F231" t="s">
        <v>4194</v>
      </c>
      <c r="G231" t="s">
        <v>6194</v>
      </c>
      <c r="H231">
        <v>2096250</v>
      </c>
      <c r="I231">
        <v>349050</v>
      </c>
      <c r="J231">
        <v>5.7053769806795197E-2</v>
      </c>
      <c r="K231">
        <v>119598.964957494</v>
      </c>
      <c r="L231">
        <v>119598.964957494</v>
      </c>
      <c r="M231">
        <v>599</v>
      </c>
    </row>
    <row r="232" spans="1:13" ht="15">
      <c r="A232" t="s">
        <v>3398</v>
      </c>
      <c r="B232" s="1040" t="str">
        <f>CONCATENATE(LEFT(RIGHT(CONCATENATE("000",IFAData_TEA_1819!A232),6),3),"-",(RIGHT(RIGHT(CONCATENATE("000",IFAData_TEA_1819!A232),6),3)))</f>
        <v>015-911</v>
      </c>
      <c r="C232" t="s">
        <v>1064</v>
      </c>
      <c r="D232">
        <v>9</v>
      </c>
      <c r="E232">
        <v>1781</v>
      </c>
      <c r="F232" t="s">
        <v>4194</v>
      </c>
      <c r="G232" t="s">
        <v>6195</v>
      </c>
      <c r="H232">
        <v>2096250</v>
      </c>
      <c r="I232">
        <v>337400</v>
      </c>
      <c r="J232">
        <v>5.5149525663408402E-2</v>
      </c>
      <c r="K232">
        <v>115607.19317191999</v>
      </c>
      <c r="L232">
        <v>115607.19317191999</v>
      </c>
      <c r="M232">
        <v>599</v>
      </c>
    </row>
    <row r="233" spans="1:13" ht="15">
      <c r="A233" t="s">
        <v>3398</v>
      </c>
      <c r="B233" s="1040" t="str">
        <f>CONCATENATE(LEFT(RIGHT(CONCATENATE("000",IFAData_TEA_1819!A233),6),3),"-",(RIGHT(RIGHT(CONCATENATE("000",IFAData_TEA_1819!A233),6),3)))</f>
        <v>015-911</v>
      </c>
      <c r="C233" t="s">
        <v>1064</v>
      </c>
      <c r="D233">
        <v>9</v>
      </c>
      <c r="E233">
        <v>1781</v>
      </c>
      <c r="F233" t="s">
        <v>4194</v>
      </c>
      <c r="G233" t="s">
        <v>6410</v>
      </c>
      <c r="H233">
        <v>2096250</v>
      </c>
      <c r="I233">
        <v>2416950</v>
      </c>
      <c r="J233">
        <v>0.39506119161877601</v>
      </c>
      <c r="K233">
        <v>828147.02293085901</v>
      </c>
      <c r="L233">
        <v>828147.02293085901</v>
      </c>
      <c r="M233">
        <v>599</v>
      </c>
    </row>
    <row r="234" spans="1:13" ht="15">
      <c r="A234" t="s">
        <v>3398</v>
      </c>
      <c r="B234" s="1040" t="str">
        <f>CONCATENATE(LEFT(RIGHT(CONCATENATE("000",IFAData_TEA_1819!A234),6),3),"-",(RIGHT(RIGHT(CONCATENATE("000",IFAData_TEA_1819!A234),6),3)))</f>
        <v>015-911</v>
      </c>
      <c r="C234" t="s">
        <v>1064</v>
      </c>
      <c r="D234">
        <v>11</v>
      </c>
      <c r="E234">
        <v>2545</v>
      </c>
      <c r="F234" t="s">
        <v>8319</v>
      </c>
      <c r="G234" t="s">
        <v>8319</v>
      </c>
      <c r="H234">
        <v>2345966</v>
      </c>
      <c r="I234">
        <v>2387912</v>
      </c>
      <c r="J234">
        <v>1</v>
      </c>
      <c r="K234">
        <v>2345966</v>
      </c>
      <c r="L234">
        <v>2345966</v>
      </c>
      <c r="M234">
        <v>599</v>
      </c>
    </row>
    <row r="235" spans="1:13" ht="15">
      <c r="A235" t="s">
        <v>3399</v>
      </c>
      <c r="B235" s="1040" t="str">
        <f>CONCATENATE(LEFT(RIGHT(CONCATENATE("000",IFAData_TEA_1819!A235),6),3),"-",(RIGHT(RIGHT(CONCATENATE("000",IFAData_TEA_1819!A235),6),3)))</f>
        <v>015-912</v>
      </c>
      <c r="C235" t="s">
        <v>1934</v>
      </c>
      <c r="D235">
        <v>4</v>
      </c>
      <c r="E235">
        <v>2369</v>
      </c>
      <c r="F235" t="s">
        <v>4195</v>
      </c>
      <c r="G235" t="s">
        <v>4195</v>
      </c>
      <c r="H235">
        <v>2212705</v>
      </c>
      <c r="I235">
        <v>0</v>
      </c>
      <c r="J235">
        <v>0</v>
      </c>
      <c r="K235">
        <v>0</v>
      </c>
      <c r="L235">
        <v>0</v>
      </c>
      <c r="M235">
        <v>599</v>
      </c>
    </row>
    <row r="236" spans="1:13" ht="15">
      <c r="A236" t="s">
        <v>3399</v>
      </c>
      <c r="B236" s="1040" t="str">
        <f>CONCATENATE(LEFT(RIGHT(CONCATENATE("000",IFAData_TEA_1819!A236),6),3),"-",(RIGHT(RIGHT(CONCATENATE("000",IFAData_TEA_1819!A236),6),3)))</f>
        <v>015-912</v>
      </c>
      <c r="C236" t="s">
        <v>1934</v>
      </c>
      <c r="D236">
        <v>4</v>
      </c>
      <c r="E236">
        <v>2369</v>
      </c>
      <c r="F236" t="s">
        <v>4195</v>
      </c>
      <c r="G236" t="s">
        <v>4196</v>
      </c>
      <c r="H236">
        <v>2212705</v>
      </c>
      <c r="I236">
        <v>320775</v>
      </c>
      <c r="J236">
        <v>0.162052590366011</v>
      </c>
      <c r="K236">
        <v>358574.576965824</v>
      </c>
      <c r="L236">
        <v>320775</v>
      </c>
      <c r="M236">
        <v>599</v>
      </c>
    </row>
    <row r="237" spans="1:13" ht="15">
      <c r="A237" t="s">
        <v>3399</v>
      </c>
      <c r="B237" s="1040" t="str">
        <f>CONCATENATE(LEFT(RIGHT(CONCATENATE("000",IFAData_TEA_1819!A237),6),3),"-",(RIGHT(RIGHT(CONCATENATE("000",IFAData_TEA_1819!A237),6),3)))</f>
        <v>015-912</v>
      </c>
      <c r="C237" t="s">
        <v>1934</v>
      </c>
      <c r="D237">
        <v>4</v>
      </c>
      <c r="E237">
        <v>2369</v>
      </c>
      <c r="F237" t="s">
        <v>4195</v>
      </c>
      <c r="G237" t="s">
        <v>6411</v>
      </c>
      <c r="H237">
        <v>2212705</v>
      </c>
      <c r="I237">
        <v>1658675</v>
      </c>
      <c r="J237">
        <v>0.83794740963398895</v>
      </c>
      <c r="K237">
        <v>1854130.42303418</v>
      </c>
      <c r="L237">
        <v>1658675</v>
      </c>
      <c r="M237">
        <v>599</v>
      </c>
    </row>
    <row r="238" spans="1:13" ht="15">
      <c r="A238" t="s">
        <v>3399</v>
      </c>
      <c r="B238" s="1040" t="str">
        <f>CONCATENATE(LEFT(RIGHT(CONCATENATE("000",IFAData_TEA_1819!A238),6),3),"-",(RIGHT(RIGHT(CONCATENATE("000",IFAData_TEA_1819!A238),6),3)))</f>
        <v>015-912</v>
      </c>
      <c r="C238" t="s">
        <v>1934</v>
      </c>
      <c r="D238">
        <v>6</v>
      </c>
      <c r="E238">
        <v>2368</v>
      </c>
      <c r="F238" t="s">
        <v>4197</v>
      </c>
      <c r="G238" t="s">
        <v>4197</v>
      </c>
      <c r="H238">
        <v>1856996</v>
      </c>
      <c r="I238">
        <v>0</v>
      </c>
      <c r="J238">
        <v>0</v>
      </c>
      <c r="K238">
        <v>0</v>
      </c>
      <c r="L238">
        <v>0</v>
      </c>
      <c r="M238">
        <v>599</v>
      </c>
    </row>
    <row r="239" spans="1:13" ht="15">
      <c r="A239" t="s">
        <v>3399</v>
      </c>
      <c r="B239" s="1040" t="str">
        <f>CONCATENATE(LEFT(RIGHT(CONCATENATE("000",IFAData_TEA_1819!A239),6),3),"-",(RIGHT(RIGHT(CONCATENATE("000",IFAData_TEA_1819!A239),6),3)))</f>
        <v>015-912</v>
      </c>
      <c r="C239" t="s">
        <v>1934</v>
      </c>
      <c r="D239">
        <v>6</v>
      </c>
      <c r="E239">
        <v>2368</v>
      </c>
      <c r="F239" t="s">
        <v>4197</v>
      </c>
      <c r="G239" t="s">
        <v>4198</v>
      </c>
      <c r="H239">
        <v>1856996</v>
      </c>
      <c r="I239">
        <v>0</v>
      </c>
      <c r="J239">
        <v>0</v>
      </c>
      <c r="K239">
        <v>0</v>
      </c>
      <c r="L239">
        <v>0</v>
      </c>
      <c r="M239">
        <v>599</v>
      </c>
    </row>
    <row r="240" spans="1:13" ht="15">
      <c r="A240" t="s">
        <v>3399</v>
      </c>
      <c r="B240" s="1040" t="str">
        <f>CONCATENATE(LEFT(RIGHT(CONCATENATE("000",IFAData_TEA_1819!A240),6),3),"-",(RIGHT(RIGHT(CONCATENATE("000",IFAData_TEA_1819!A240),6),3)))</f>
        <v>015-912</v>
      </c>
      <c r="C240" t="s">
        <v>1934</v>
      </c>
      <c r="D240">
        <v>6</v>
      </c>
      <c r="E240">
        <v>2368</v>
      </c>
      <c r="F240" t="s">
        <v>4197</v>
      </c>
      <c r="G240" t="s">
        <v>4199</v>
      </c>
      <c r="H240">
        <v>1856996</v>
      </c>
      <c r="I240">
        <v>1239525</v>
      </c>
      <c r="J240">
        <v>0.71793052518787703</v>
      </c>
      <c r="K240">
        <v>1333194.1135517899</v>
      </c>
      <c r="L240">
        <v>1239525</v>
      </c>
      <c r="M240">
        <v>599</v>
      </c>
    </row>
    <row r="241" spans="1:13" ht="15">
      <c r="A241" t="s">
        <v>3399</v>
      </c>
      <c r="B241" s="1040" t="str">
        <f>CONCATENATE(LEFT(RIGHT(CONCATENATE("000",IFAData_TEA_1819!A241),6),3),"-",(RIGHT(RIGHT(CONCATENATE("000",IFAData_TEA_1819!A241),6),3)))</f>
        <v>015-912</v>
      </c>
      <c r="C241" t="s">
        <v>1934</v>
      </c>
      <c r="D241">
        <v>6</v>
      </c>
      <c r="E241">
        <v>2368</v>
      </c>
      <c r="F241" t="s">
        <v>4197</v>
      </c>
      <c r="G241" t="s">
        <v>6411</v>
      </c>
      <c r="H241">
        <v>1856996</v>
      </c>
      <c r="I241">
        <v>487000</v>
      </c>
      <c r="J241">
        <v>0.28206947481212302</v>
      </c>
      <c r="K241">
        <v>523801.88644821203</v>
      </c>
      <c r="L241">
        <v>487000</v>
      </c>
      <c r="M241">
        <v>599</v>
      </c>
    </row>
    <row r="242" spans="1:13" ht="15">
      <c r="A242" t="s">
        <v>3399</v>
      </c>
      <c r="B242" s="1040" t="str">
        <f>CONCATENATE(LEFT(RIGHT(CONCATENATE("000",IFAData_TEA_1819!A242),6),3),"-",(RIGHT(RIGHT(CONCATENATE("000",IFAData_TEA_1819!A242),6),3)))</f>
        <v>015-912</v>
      </c>
      <c r="C242" t="s">
        <v>1934</v>
      </c>
      <c r="D242">
        <v>8</v>
      </c>
      <c r="E242">
        <v>2370</v>
      </c>
      <c r="F242" t="s">
        <v>4200</v>
      </c>
      <c r="G242" t="s">
        <v>4200</v>
      </c>
      <c r="H242">
        <v>2355500</v>
      </c>
      <c r="I242">
        <v>0</v>
      </c>
      <c r="J242">
        <v>0</v>
      </c>
      <c r="K242">
        <v>0</v>
      </c>
      <c r="L242">
        <v>0</v>
      </c>
      <c r="M242">
        <v>599</v>
      </c>
    </row>
    <row r="243" spans="1:13" ht="15">
      <c r="A243" t="s">
        <v>3399</v>
      </c>
      <c r="B243" s="1040" t="str">
        <f>CONCATENATE(LEFT(RIGHT(CONCATENATE("000",IFAData_TEA_1819!A243),6),3),"-",(RIGHT(RIGHT(CONCATENATE("000",IFAData_TEA_1819!A243),6),3)))</f>
        <v>015-912</v>
      </c>
      <c r="C243" t="s">
        <v>1934</v>
      </c>
      <c r="D243">
        <v>8</v>
      </c>
      <c r="E243">
        <v>2370</v>
      </c>
      <c r="F243" t="s">
        <v>4200</v>
      </c>
      <c r="G243" t="s">
        <v>6196</v>
      </c>
      <c r="H243">
        <v>2355500</v>
      </c>
      <c r="I243">
        <v>1246600</v>
      </c>
      <c r="J243">
        <v>0.55630675859606804</v>
      </c>
      <c r="K243">
        <v>1310380.5698730401</v>
      </c>
      <c r="L243">
        <v>1246600</v>
      </c>
      <c r="M243">
        <v>599</v>
      </c>
    </row>
    <row r="244" spans="1:13" ht="15">
      <c r="A244" t="s">
        <v>3399</v>
      </c>
      <c r="B244" s="1040" t="str">
        <f>CONCATENATE(LEFT(RIGHT(CONCATENATE("000",IFAData_TEA_1819!A244),6),3),"-",(RIGHT(RIGHT(CONCATENATE("000",IFAData_TEA_1819!A244),6),3)))</f>
        <v>015-912</v>
      </c>
      <c r="C244" t="s">
        <v>1934</v>
      </c>
      <c r="D244">
        <v>8</v>
      </c>
      <c r="E244">
        <v>2370</v>
      </c>
      <c r="F244" t="s">
        <v>4200</v>
      </c>
      <c r="G244" t="s">
        <v>6411</v>
      </c>
      <c r="H244">
        <v>2355500</v>
      </c>
      <c r="I244">
        <v>994250</v>
      </c>
      <c r="J244">
        <v>0.44369324140393201</v>
      </c>
      <c r="K244">
        <v>1045119.43012696</v>
      </c>
      <c r="L244">
        <v>994250</v>
      </c>
      <c r="M244">
        <v>599</v>
      </c>
    </row>
    <row r="245" spans="1:13" ht="15">
      <c r="A245" t="s">
        <v>3399</v>
      </c>
      <c r="B245" s="1040" t="str">
        <f>CONCATENATE(LEFT(RIGHT(CONCATENATE("000",IFAData_TEA_1819!A245),6),3),"-",(RIGHT(RIGHT(CONCATENATE("000",IFAData_TEA_1819!A245),6),3)))</f>
        <v>015-912</v>
      </c>
      <c r="C245" t="s">
        <v>1934</v>
      </c>
      <c r="D245">
        <v>9</v>
      </c>
      <c r="E245">
        <v>2366</v>
      </c>
      <c r="F245" t="s">
        <v>4201</v>
      </c>
      <c r="G245" t="s">
        <v>4201</v>
      </c>
      <c r="H245">
        <v>907250</v>
      </c>
      <c r="I245">
        <v>0</v>
      </c>
      <c r="J245">
        <v>0</v>
      </c>
      <c r="K245">
        <v>0</v>
      </c>
      <c r="L245">
        <v>0</v>
      </c>
      <c r="M245">
        <v>599</v>
      </c>
    </row>
    <row r="246" spans="1:13" ht="15">
      <c r="A246" t="s">
        <v>3399</v>
      </c>
      <c r="B246" s="1040" t="str">
        <f>CONCATENATE(LEFT(RIGHT(CONCATENATE("000",IFAData_TEA_1819!A246),6),3),"-",(RIGHT(RIGHT(CONCATENATE("000",IFAData_TEA_1819!A246),6),3)))</f>
        <v>015-912</v>
      </c>
      <c r="C246" t="s">
        <v>1934</v>
      </c>
      <c r="D246">
        <v>9</v>
      </c>
      <c r="E246">
        <v>2366</v>
      </c>
      <c r="F246" t="s">
        <v>4201</v>
      </c>
      <c r="G246" t="s">
        <v>6196</v>
      </c>
      <c r="H246">
        <v>907250</v>
      </c>
      <c r="I246">
        <v>493750</v>
      </c>
      <c r="J246">
        <v>0.58981633567268898</v>
      </c>
      <c r="K246">
        <v>535110.87053904706</v>
      </c>
      <c r="L246">
        <v>493750</v>
      </c>
      <c r="M246">
        <v>599</v>
      </c>
    </row>
    <row r="247" spans="1:13" ht="15">
      <c r="A247" t="s">
        <v>3399</v>
      </c>
      <c r="B247" s="1040" t="str">
        <f>CONCATENATE(LEFT(RIGHT(CONCATENATE("000",IFAData_TEA_1819!A247),6),3),"-",(RIGHT(RIGHT(CONCATENATE("000",IFAData_TEA_1819!A247),6),3)))</f>
        <v>015-912</v>
      </c>
      <c r="C247" t="s">
        <v>1934</v>
      </c>
      <c r="D247">
        <v>9</v>
      </c>
      <c r="E247">
        <v>2366</v>
      </c>
      <c r="F247" t="s">
        <v>4201</v>
      </c>
      <c r="G247" t="s">
        <v>6411</v>
      </c>
      <c r="H247">
        <v>907250</v>
      </c>
      <c r="I247">
        <v>343375</v>
      </c>
      <c r="J247">
        <v>0.41018366432731102</v>
      </c>
      <c r="K247">
        <v>372139.129460953</v>
      </c>
      <c r="L247">
        <v>343375</v>
      </c>
      <c r="M247">
        <v>599</v>
      </c>
    </row>
    <row r="248" spans="1:13" ht="15">
      <c r="A248" t="s">
        <v>3399</v>
      </c>
      <c r="B248" s="1040" t="str">
        <f>CONCATENATE(LEFT(RIGHT(CONCATENATE("000",IFAData_TEA_1819!A248),6),3),"-",(RIGHT(RIGHT(CONCATENATE("000",IFAData_TEA_1819!A248),6),3)))</f>
        <v>015-912</v>
      </c>
      <c r="C248" t="s">
        <v>1934</v>
      </c>
      <c r="D248">
        <v>9</v>
      </c>
      <c r="E248">
        <v>2367</v>
      </c>
      <c r="F248" t="s">
        <v>4202</v>
      </c>
      <c r="G248" t="s">
        <v>4202</v>
      </c>
      <c r="H248">
        <v>1378513</v>
      </c>
      <c r="I248">
        <v>0</v>
      </c>
      <c r="J248">
        <v>0</v>
      </c>
      <c r="K248">
        <v>0</v>
      </c>
      <c r="L248">
        <v>0</v>
      </c>
      <c r="M248">
        <v>599</v>
      </c>
    </row>
    <row r="249" spans="1:13" ht="15">
      <c r="A249" t="s">
        <v>3399</v>
      </c>
      <c r="B249" s="1040" t="str">
        <f>CONCATENATE(LEFT(RIGHT(CONCATENATE("000",IFAData_TEA_1819!A249),6),3),"-",(RIGHT(RIGHT(CONCATENATE("000",IFAData_TEA_1819!A249),6),3)))</f>
        <v>015-912</v>
      </c>
      <c r="C249" t="s">
        <v>1934</v>
      </c>
      <c r="D249">
        <v>9</v>
      </c>
      <c r="E249">
        <v>2367</v>
      </c>
      <c r="F249" t="s">
        <v>4202</v>
      </c>
      <c r="G249" t="s">
        <v>6824</v>
      </c>
      <c r="H249">
        <v>1378513</v>
      </c>
      <c r="I249">
        <v>1206394</v>
      </c>
      <c r="J249">
        <v>1</v>
      </c>
      <c r="K249">
        <v>1378513</v>
      </c>
      <c r="L249">
        <v>1206394</v>
      </c>
      <c r="M249">
        <v>599</v>
      </c>
    </row>
    <row r="250" spans="1:13" ht="15">
      <c r="A250" t="s">
        <v>3399</v>
      </c>
      <c r="B250" s="1040" t="str">
        <f>CONCATENATE(LEFT(RIGHT(CONCATENATE("000",IFAData_TEA_1819!A250),6),3),"-",(RIGHT(RIGHT(CONCATENATE("000",IFAData_TEA_1819!A250),6),3)))</f>
        <v>015-912</v>
      </c>
      <c r="C250" t="s">
        <v>1934</v>
      </c>
      <c r="D250">
        <v>11</v>
      </c>
      <c r="E250">
        <v>2595</v>
      </c>
      <c r="F250" t="s">
        <v>6824</v>
      </c>
      <c r="G250" t="s">
        <v>6824</v>
      </c>
      <c r="H250">
        <v>2550985</v>
      </c>
      <c r="I250">
        <v>1769174</v>
      </c>
      <c r="J250">
        <v>1</v>
      </c>
      <c r="K250">
        <v>2550985</v>
      </c>
      <c r="L250">
        <v>1769174</v>
      </c>
      <c r="M250">
        <v>599</v>
      </c>
    </row>
    <row r="251" spans="1:13" ht="15">
      <c r="A251" t="s">
        <v>3400</v>
      </c>
      <c r="B251" s="1040" t="str">
        <f>CONCATENATE(LEFT(RIGHT(CONCATENATE("000",IFAData_TEA_1819!A251),6),3),"-",(RIGHT(RIGHT(CONCATENATE("000",IFAData_TEA_1819!A251),6),3)))</f>
        <v>015-915</v>
      </c>
      <c r="C251" t="s">
        <v>2289</v>
      </c>
      <c r="D251">
        <v>1</v>
      </c>
      <c r="E251">
        <v>2152</v>
      </c>
      <c r="F251" t="s">
        <v>4203</v>
      </c>
      <c r="G251" t="s">
        <v>4203</v>
      </c>
      <c r="H251">
        <v>1368888</v>
      </c>
      <c r="I251">
        <v>0</v>
      </c>
      <c r="J251">
        <v>0</v>
      </c>
      <c r="K251">
        <v>0</v>
      </c>
      <c r="L251">
        <v>0</v>
      </c>
      <c r="M251">
        <v>599</v>
      </c>
    </row>
    <row r="252" spans="1:13" ht="15">
      <c r="A252" t="s">
        <v>3400</v>
      </c>
      <c r="B252" s="1040" t="str">
        <f>CONCATENATE(LEFT(RIGHT(CONCATENATE("000",IFAData_TEA_1819!A252),6),3),"-",(RIGHT(RIGHT(CONCATENATE("000",IFAData_TEA_1819!A252),6),3)))</f>
        <v>015-915</v>
      </c>
      <c r="C252" t="s">
        <v>2289</v>
      </c>
      <c r="D252">
        <v>1</v>
      </c>
      <c r="E252">
        <v>2152</v>
      </c>
      <c r="F252" t="s">
        <v>4203</v>
      </c>
      <c r="G252" t="s">
        <v>4204</v>
      </c>
      <c r="H252">
        <v>1368888</v>
      </c>
      <c r="I252">
        <v>0</v>
      </c>
      <c r="J252">
        <v>0</v>
      </c>
      <c r="K252">
        <v>0</v>
      </c>
      <c r="L252">
        <v>0</v>
      </c>
      <c r="M252">
        <v>599</v>
      </c>
    </row>
    <row r="253" spans="1:13" ht="15">
      <c r="A253" t="s">
        <v>3400</v>
      </c>
      <c r="B253" s="1040" t="str">
        <f>CONCATENATE(LEFT(RIGHT(CONCATENATE("000",IFAData_TEA_1819!A253),6),3),"-",(RIGHT(RIGHT(CONCATENATE("000",IFAData_TEA_1819!A253),6),3)))</f>
        <v>015-915</v>
      </c>
      <c r="C253" t="s">
        <v>2289</v>
      </c>
      <c r="D253">
        <v>1</v>
      </c>
      <c r="E253">
        <v>2152</v>
      </c>
      <c r="F253" t="s">
        <v>4203</v>
      </c>
      <c r="G253" t="s">
        <v>4205</v>
      </c>
      <c r="H253">
        <v>1368888</v>
      </c>
      <c r="I253">
        <v>0</v>
      </c>
      <c r="J253">
        <v>0</v>
      </c>
      <c r="K253">
        <v>0</v>
      </c>
      <c r="L253">
        <v>0</v>
      </c>
      <c r="M253">
        <v>599</v>
      </c>
    </row>
    <row r="254" spans="1:13" ht="15">
      <c r="A254" t="s">
        <v>3400</v>
      </c>
      <c r="B254" s="1040" t="str">
        <f>CONCATENATE(LEFT(RIGHT(CONCATENATE("000",IFAData_TEA_1819!A254),6),3),"-",(RIGHT(RIGHT(CONCATENATE("000",IFAData_TEA_1819!A254),6),3)))</f>
        <v>015-915</v>
      </c>
      <c r="C254" t="s">
        <v>2289</v>
      </c>
      <c r="D254">
        <v>1</v>
      </c>
      <c r="E254">
        <v>2152</v>
      </c>
      <c r="F254" t="s">
        <v>4203</v>
      </c>
      <c r="G254" t="s">
        <v>4206</v>
      </c>
      <c r="H254">
        <v>1368888</v>
      </c>
      <c r="I254">
        <v>0</v>
      </c>
      <c r="J254">
        <v>0</v>
      </c>
      <c r="K254">
        <v>0</v>
      </c>
      <c r="L254">
        <v>0</v>
      </c>
      <c r="M254">
        <v>599</v>
      </c>
    </row>
    <row r="255" spans="1:13" ht="15">
      <c r="A255" t="s">
        <v>3400</v>
      </c>
      <c r="B255" s="1040" t="str">
        <f>CONCATENATE(LEFT(RIGHT(CONCATENATE("000",IFAData_TEA_1819!A255),6),3),"-",(RIGHT(RIGHT(CONCATENATE("000",IFAData_TEA_1819!A255),6),3)))</f>
        <v>015-915</v>
      </c>
      <c r="C255" t="s">
        <v>2289</v>
      </c>
      <c r="D255">
        <v>1</v>
      </c>
      <c r="E255">
        <v>2152</v>
      </c>
      <c r="F255" t="s">
        <v>4203</v>
      </c>
      <c r="G255" t="s">
        <v>4207</v>
      </c>
      <c r="H255">
        <v>1368888</v>
      </c>
      <c r="I255">
        <v>610890</v>
      </c>
      <c r="J255">
        <v>0.52506181975705302</v>
      </c>
      <c r="K255">
        <v>718750.82432359306</v>
      </c>
      <c r="L255">
        <v>610890</v>
      </c>
      <c r="M255">
        <v>599</v>
      </c>
    </row>
    <row r="256" spans="1:13" ht="15">
      <c r="A256" t="s">
        <v>3400</v>
      </c>
      <c r="B256" s="1040" t="str">
        <f>CONCATENATE(LEFT(RIGHT(CONCATENATE("000",IFAData_TEA_1819!A256),6),3),"-",(RIGHT(RIGHT(CONCATENATE("000",IFAData_TEA_1819!A256),6),3)))</f>
        <v>015-915</v>
      </c>
      <c r="C256" t="s">
        <v>2289</v>
      </c>
      <c r="D256">
        <v>1</v>
      </c>
      <c r="E256">
        <v>2152</v>
      </c>
      <c r="F256" t="s">
        <v>4203</v>
      </c>
      <c r="G256" t="s">
        <v>4208</v>
      </c>
      <c r="H256">
        <v>1368888</v>
      </c>
      <c r="I256">
        <v>163465</v>
      </c>
      <c r="J256">
        <v>0.140498666481014</v>
      </c>
      <c r="K256">
        <v>192326.93856186201</v>
      </c>
      <c r="L256">
        <v>163465</v>
      </c>
      <c r="M256">
        <v>599</v>
      </c>
    </row>
    <row r="257" spans="1:13" ht="15">
      <c r="A257" t="s">
        <v>3400</v>
      </c>
      <c r="B257" s="1040" t="str">
        <f>CONCATENATE(LEFT(RIGHT(CONCATENATE("000",IFAData_TEA_1819!A257),6),3),"-",(RIGHT(RIGHT(CONCATENATE("000",IFAData_TEA_1819!A257),6),3)))</f>
        <v>015-915</v>
      </c>
      <c r="C257" t="s">
        <v>2289</v>
      </c>
      <c r="D257">
        <v>1</v>
      </c>
      <c r="E257">
        <v>2152</v>
      </c>
      <c r="F257" t="s">
        <v>4203</v>
      </c>
      <c r="G257" t="s">
        <v>8320</v>
      </c>
      <c r="H257">
        <v>1368888</v>
      </c>
      <c r="I257">
        <v>198598</v>
      </c>
      <c r="J257">
        <v>0.170695587225378</v>
      </c>
      <c r="K257">
        <v>233663.14100577301</v>
      </c>
      <c r="L257">
        <v>198598</v>
      </c>
      <c r="M257">
        <v>599</v>
      </c>
    </row>
    <row r="258" spans="1:13" ht="15">
      <c r="A258" t="s">
        <v>3400</v>
      </c>
      <c r="B258" s="1040" t="str">
        <f>CONCATENATE(LEFT(RIGHT(CONCATENATE("000",IFAData_TEA_1819!A258),6),3),"-",(RIGHT(RIGHT(CONCATENATE("000",IFAData_TEA_1819!A258),6),3)))</f>
        <v>015-915</v>
      </c>
      <c r="C258" t="s">
        <v>2289</v>
      </c>
      <c r="D258">
        <v>1</v>
      </c>
      <c r="E258">
        <v>2152</v>
      </c>
      <c r="F258" t="s">
        <v>4203</v>
      </c>
      <c r="G258" t="s">
        <v>8321</v>
      </c>
      <c r="H258">
        <v>1368888</v>
      </c>
      <c r="I258">
        <v>190510</v>
      </c>
      <c r="J258">
        <v>0.16374392653655501</v>
      </c>
      <c r="K258">
        <v>224147.09610877201</v>
      </c>
      <c r="L258">
        <v>190510</v>
      </c>
      <c r="M258">
        <v>599</v>
      </c>
    </row>
    <row r="259" spans="1:13" ht="15">
      <c r="A259" t="s">
        <v>3400</v>
      </c>
      <c r="B259" s="1040" t="str">
        <f>CONCATENATE(LEFT(RIGHT(CONCATENATE("000",IFAData_TEA_1819!A259),6),3),"-",(RIGHT(RIGHT(CONCATENATE("000",IFAData_TEA_1819!A259),6),3)))</f>
        <v>015-915</v>
      </c>
      <c r="C259" t="s">
        <v>2289</v>
      </c>
      <c r="D259">
        <v>1</v>
      </c>
      <c r="E259">
        <v>2153</v>
      </c>
      <c r="F259" t="s">
        <v>4209</v>
      </c>
      <c r="G259" t="s">
        <v>4209</v>
      </c>
      <c r="H259">
        <v>3069626</v>
      </c>
      <c r="I259">
        <v>0</v>
      </c>
      <c r="J259">
        <v>0</v>
      </c>
      <c r="K259">
        <v>0</v>
      </c>
      <c r="L259">
        <v>0</v>
      </c>
      <c r="M259">
        <v>599</v>
      </c>
    </row>
    <row r="260" spans="1:13" ht="15">
      <c r="A260" t="s">
        <v>3400</v>
      </c>
      <c r="B260" s="1040" t="str">
        <f>CONCATENATE(LEFT(RIGHT(CONCATENATE("000",IFAData_TEA_1819!A260),6),3),"-",(RIGHT(RIGHT(CONCATENATE("000",IFAData_TEA_1819!A260),6),3)))</f>
        <v>015-915</v>
      </c>
      <c r="C260" t="s">
        <v>2289</v>
      </c>
      <c r="D260">
        <v>1</v>
      </c>
      <c r="E260">
        <v>2153</v>
      </c>
      <c r="F260" t="s">
        <v>4209</v>
      </c>
      <c r="G260" t="s">
        <v>4204</v>
      </c>
      <c r="H260">
        <v>3069626</v>
      </c>
      <c r="I260">
        <v>0</v>
      </c>
      <c r="J260">
        <v>0</v>
      </c>
      <c r="K260">
        <v>0</v>
      </c>
      <c r="L260">
        <v>0</v>
      </c>
      <c r="M260">
        <v>599</v>
      </c>
    </row>
    <row r="261" spans="1:13" ht="15">
      <c r="A261" t="s">
        <v>3400</v>
      </c>
      <c r="B261" s="1040" t="str">
        <f>CONCATENATE(LEFT(RIGHT(CONCATENATE("000",IFAData_TEA_1819!A261),6),3),"-",(RIGHT(RIGHT(CONCATENATE("000",IFAData_TEA_1819!A261),6),3)))</f>
        <v>015-915</v>
      </c>
      <c r="C261" t="s">
        <v>2289</v>
      </c>
      <c r="D261">
        <v>1</v>
      </c>
      <c r="E261">
        <v>2153</v>
      </c>
      <c r="F261" t="s">
        <v>4209</v>
      </c>
      <c r="G261" t="s">
        <v>4205</v>
      </c>
      <c r="H261">
        <v>3069626</v>
      </c>
      <c r="I261">
        <v>0</v>
      </c>
      <c r="J261">
        <v>0</v>
      </c>
      <c r="K261">
        <v>0</v>
      </c>
      <c r="L261">
        <v>0</v>
      </c>
      <c r="M261">
        <v>599</v>
      </c>
    </row>
    <row r="262" spans="1:13" ht="15">
      <c r="A262" t="s">
        <v>3400</v>
      </c>
      <c r="B262" s="1040" t="str">
        <f>CONCATENATE(LEFT(RIGHT(CONCATENATE("000",IFAData_TEA_1819!A262),6),3),"-",(RIGHT(RIGHT(CONCATENATE("000",IFAData_TEA_1819!A262),6),3)))</f>
        <v>015-915</v>
      </c>
      <c r="C262" t="s">
        <v>2289</v>
      </c>
      <c r="D262">
        <v>1</v>
      </c>
      <c r="E262">
        <v>2153</v>
      </c>
      <c r="F262" t="s">
        <v>4209</v>
      </c>
      <c r="G262" t="s">
        <v>4210</v>
      </c>
      <c r="H262">
        <v>3069626</v>
      </c>
      <c r="I262">
        <v>0</v>
      </c>
      <c r="J262">
        <v>0</v>
      </c>
      <c r="K262">
        <v>0</v>
      </c>
      <c r="L262">
        <v>0</v>
      </c>
      <c r="M262">
        <v>599</v>
      </c>
    </row>
    <row r="263" spans="1:13" ht="15">
      <c r="A263" t="s">
        <v>3400</v>
      </c>
      <c r="B263" s="1040" t="str">
        <f>CONCATENATE(LEFT(RIGHT(CONCATENATE("000",IFAData_TEA_1819!A263),6),3),"-",(RIGHT(RIGHT(CONCATENATE("000",IFAData_TEA_1819!A263),6),3)))</f>
        <v>015-915</v>
      </c>
      <c r="C263" t="s">
        <v>2289</v>
      </c>
      <c r="D263">
        <v>1</v>
      </c>
      <c r="E263">
        <v>2153</v>
      </c>
      <c r="F263" t="s">
        <v>4209</v>
      </c>
      <c r="G263" t="s">
        <v>4206</v>
      </c>
      <c r="H263">
        <v>3069626</v>
      </c>
      <c r="I263">
        <v>0</v>
      </c>
      <c r="J263">
        <v>0</v>
      </c>
      <c r="K263">
        <v>0</v>
      </c>
      <c r="L263">
        <v>0</v>
      </c>
      <c r="M263">
        <v>599</v>
      </c>
    </row>
    <row r="264" spans="1:13" ht="15">
      <c r="A264" t="s">
        <v>3400</v>
      </c>
      <c r="B264" s="1040" t="str">
        <f>CONCATENATE(LEFT(RIGHT(CONCATENATE("000",IFAData_TEA_1819!A264),6),3),"-",(RIGHT(RIGHT(CONCATENATE("000",IFAData_TEA_1819!A264),6),3)))</f>
        <v>015-915</v>
      </c>
      <c r="C264" t="s">
        <v>2289</v>
      </c>
      <c r="D264">
        <v>1</v>
      </c>
      <c r="E264">
        <v>2153</v>
      </c>
      <c r="F264" t="s">
        <v>4209</v>
      </c>
      <c r="G264" t="s">
        <v>4207</v>
      </c>
      <c r="H264">
        <v>3069626</v>
      </c>
      <c r="I264">
        <v>106235</v>
      </c>
      <c r="J264">
        <v>0.14621661833381699</v>
      </c>
      <c r="K264">
        <v>448830.33326956199</v>
      </c>
      <c r="L264">
        <v>106235</v>
      </c>
      <c r="M264">
        <v>599</v>
      </c>
    </row>
    <row r="265" spans="1:13" ht="15">
      <c r="A265" t="s">
        <v>3400</v>
      </c>
      <c r="B265" s="1040" t="str">
        <f>CONCATENATE(LEFT(RIGHT(CONCATENATE("000",IFAData_TEA_1819!A265),6),3),"-",(RIGHT(RIGHT(CONCATENATE("000",IFAData_TEA_1819!A265),6),3)))</f>
        <v>015-915</v>
      </c>
      <c r="C265" t="s">
        <v>2289</v>
      </c>
      <c r="D265">
        <v>1</v>
      </c>
      <c r="E265">
        <v>2153</v>
      </c>
      <c r="F265" t="s">
        <v>4209</v>
      </c>
      <c r="G265" t="s">
        <v>4208</v>
      </c>
      <c r="H265">
        <v>3069626</v>
      </c>
      <c r="I265">
        <v>278894</v>
      </c>
      <c r="J265">
        <v>0.38385595663944699</v>
      </c>
      <c r="K265">
        <v>1178294.22475532</v>
      </c>
      <c r="L265">
        <v>278894</v>
      </c>
      <c r="M265">
        <v>599</v>
      </c>
    </row>
    <row r="266" spans="1:13" ht="15">
      <c r="A266" t="s">
        <v>3400</v>
      </c>
      <c r="B266" s="1040" t="str">
        <f>CONCATENATE(LEFT(RIGHT(CONCATENATE("000",IFAData_TEA_1819!A266),6),3),"-",(RIGHT(RIGHT(CONCATENATE("000",IFAData_TEA_1819!A266),6),3)))</f>
        <v>015-915</v>
      </c>
      <c r="C266" t="s">
        <v>2289</v>
      </c>
      <c r="D266">
        <v>1</v>
      </c>
      <c r="E266">
        <v>2153</v>
      </c>
      <c r="F266" t="s">
        <v>4209</v>
      </c>
      <c r="G266" t="s">
        <v>6197</v>
      </c>
      <c r="H266">
        <v>3069626</v>
      </c>
      <c r="I266">
        <v>273763</v>
      </c>
      <c r="J266">
        <v>0.37679390111470601</v>
      </c>
      <c r="K266">
        <v>1156616.35550313</v>
      </c>
      <c r="L266">
        <v>273763</v>
      </c>
      <c r="M266">
        <v>599</v>
      </c>
    </row>
    <row r="267" spans="1:13" ht="15">
      <c r="A267" t="s">
        <v>3400</v>
      </c>
      <c r="B267" s="1040" t="str">
        <f>CONCATENATE(LEFT(RIGHT(CONCATENATE("000",IFAData_TEA_1819!A267),6),3),"-",(RIGHT(RIGHT(CONCATENATE("000",IFAData_TEA_1819!A267),6),3)))</f>
        <v>015-915</v>
      </c>
      <c r="C267" t="s">
        <v>2289</v>
      </c>
      <c r="D267">
        <v>1</v>
      </c>
      <c r="E267">
        <v>2153</v>
      </c>
      <c r="F267" t="s">
        <v>4209</v>
      </c>
      <c r="G267" t="s">
        <v>8320</v>
      </c>
      <c r="H267">
        <v>3069626</v>
      </c>
      <c r="I267">
        <v>34537</v>
      </c>
      <c r="J267">
        <v>4.7535024684850102E-2</v>
      </c>
      <c r="K267">
        <v>145914.747683258</v>
      </c>
      <c r="L267">
        <v>34537</v>
      </c>
      <c r="M267">
        <v>599</v>
      </c>
    </row>
    <row r="268" spans="1:13" ht="15">
      <c r="A268" t="s">
        <v>3400</v>
      </c>
      <c r="B268" s="1040" t="str">
        <f>CONCATENATE(LEFT(RIGHT(CONCATENATE("000",IFAData_TEA_1819!A268),6),3),"-",(RIGHT(RIGHT(CONCATENATE("000",IFAData_TEA_1819!A268),6),3)))</f>
        <v>015-915</v>
      </c>
      <c r="C268" t="s">
        <v>2289</v>
      </c>
      <c r="D268">
        <v>1</v>
      </c>
      <c r="E268">
        <v>2153</v>
      </c>
      <c r="F268" t="s">
        <v>4209</v>
      </c>
      <c r="G268" t="s">
        <v>8321</v>
      </c>
      <c r="H268">
        <v>3069626</v>
      </c>
      <c r="I268">
        <v>33130</v>
      </c>
      <c r="J268">
        <v>4.5598499227179103E-2</v>
      </c>
      <c r="K268">
        <v>139970.33878872899</v>
      </c>
      <c r="L268">
        <v>33130</v>
      </c>
      <c r="M268">
        <v>599</v>
      </c>
    </row>
    <row r="269" spans="1:13" ht="15">
      <c r="A269" t="s">
        <v>3401</v>
      </c>
      <c r="B269" s="1040" t="str">
        <f>CONCATENATE(LEFT(RIGHT(CONCATENATE("000",IFAData_TEA_1819!A269),6),3),"-",(RIGHT(RIGHT(CONCATENATE("000",IFAData_TEA_1819!A269),6),3)))</f>
        <v>015-916</v>
      </c>
      <c r="C269" t="s">
        <v>408</v>
      </c>
      <c r="D269">
        <v>1</v>
      </c>
      <c r="E269">
        <v>1937</v>
      </c>
      <c r="F269" t="s">
        <v>4211</v>
      </c>
      <c r="G269" t="s">
        <v>4211</v>
      </c>
      <c r="H269">
        <v>738000</v>
      </c>
      <c r="I269">
        <v>0</v>
      </c>
      <c r="J269">
        <v>0</v>
      </c>
      <c r="K269"/>
      <c r="L269">
        <v>0</v>
      </c>
      <c r="M269">
        <v>599</v>
      </c>
    </row>
    <row r="270" spans="1:13" ht="15">
      <c r="A270" t="s">
        <v>3401</v>
      </c>
      <c r="B270" s="1040" t="str">
        <f>CONCATENATE(LEFT(RIGHT(CONCATENATE("000",IFAData_TEA_1819!A270),6),3),"-",(RIGHT(RIGHT(CONCATENATE("000",IFAData_TEA_1819!A270),6),3)))</f>
        <v>015-916</v>
      </c>
      <c r="C270" t="s">
        <v>408</v>
      </c>
      <c r="D270">
        <v>6</v>
      </c>
      <c r="E270">
        <v>1938</v>
      </c>
      <c r="F270" t="s">
        <v>4212</v>
      </c>
      <c r="G270" t="s">
        <v>4212</v>
      </c>
      <c r="H270">
        <v>3992710</v>
      </c>
      <c r="I270">
        <v>0</v>
      </c>
      <c r="J270">
        <v>0</v>
      </c>
      <c r="K270">
        <v>0</v>
      </c>
      <c r="L270">
        <v>0</v>
      </c>
      <c r="M270">
        <v>599</v>
      </c>
    </row>
    <row r="271" spans="1:13" ht="15">
      <c r="A271" t="s">
        <v>3401</v>
      </c>
      <c r="B271" s="1040" t="str">
        <f>CONCATENATE(LEFT(RIGHT(CONCATENATE("000",IFAData_TEA_1819!A271),6),3),"-",(RIGHT(RIGHT(CONCATENATE("000",IFAData_TEA_1819!A271),6),3)))</f>
        <v>015-916</v>
      </c>
      <c r="C271" t="s">
        <v>408</v>
      </c>
      <c r="D271">
        <v>6</v>
      </c>
      <c r="E271">
        <v>1938</v>
      </c>
      <c r="F271" t="s">
        <v>4212</v>
      </c>
      <c r="G271" t="s">
        <v>4213</v>
      </c>
      <c r="H271">
        <v>3992710</v>
      </c>
      <c r="I271">
        <v>3772070</v>
      </c>
      <c r="J271">
        <v>0.68608089201956501</v>
      </c>
      <c r="K271">
        <v>2739322.0383754401</v>
      </c>
      <c r="L271">
        <v>2739322.0383754401</v>
      </c>
      <c r="M271">
        <v>599</v>
      </c>
    </row>
    <row r="272" spans="1:13" ht="15">
      <c r="A272" t="s">
        <v>3401</v>
      </c>
      <c r="B272" s="1040" t="str">
        <f>CONCATENATE(LEFT(RIGHT(CONCATENATE("000",IFAData_TEA_1819!A272),6),3),"-",(RIGHT(RIGHT(CONCATENATE("000",IFAData_TEA_1819!A272),6),3)))</f>
        <v>015-916</v>
      </c>
      <c r="C272" t="s">
        <v>408</v>
      </c>
      <c r="D272">
        <v>6</v>
      </c>
      <c r="E272">
        <v>1938</v>
      </c>
      <c r="F272" t="s">
        <v>4212</v>
      </c>
      <c r="G272" t="s">
        <v>4214</v>
      </c>
      <c r="H272">
        <v>3992710</v>
      </c>
      <c r="I272">
        <v>0</v>
      </c>
      <c r="J272">
        <v>0</v>
      </c>
      <c r="K272">
        <v>0</v>
      </c>
      <c r="L272">
        <v>0</v>
      </c>
      <c r="M272">
        <v>599</v>
      </c>
    </row>
    <row r="273" spans="1:13" ht="15">
      <c r="A273" t="s">
        <v>3401</v>
      </c>
      <c r="B273" s="1040" t="str">
        <f>CONCATENATE(LEFT(RIGHT(CONCATENATE("000",IFAData_TEA_1819!A273),6),3),"-",(RIGHT(RIGHT(CONCATENATE("000",IFAData_TEA_1819!A273),6),3)))</f>
        <v>015-916</v>
      </c>
      <c r="C273" t="s">
        <v>408</v>
      </c>
      <c r="D273">
        <v>6</v>
      </c>
      <c r="E273">
        <v>1938</v>
      </c>
      <c r="F273" t="s">
        <v>4212</v>
      </c>
      <c r="G273" t="s">
        <v>4215</v>
      </c>
      <c r="H273">
        <v>3992710</v>
      </c>
      <c r="I273">
        <v>262301</v>
      </c>
      <c r="J273">
        <v>4.7708474142214699E-2</v>
      </c>
      <c r="K273">
        <v>190486.10179236199</v>
      </c>
      <c r="L273">
        <v>190486.10179236199</v>
      </c>
      <c r="M273">
        <v>599</v>
      </c>
    </row>
    <row r="274" spans="1:13" ht="15">
      <c r="A274" t="s">
        <v>3401</v>
      </c>
      <c r="B274" s="1040" t="str">
        <f>CONCATENATE(LEFT(RIGHT(CONCATENATE("000",IFAData_TEA_1819!A274),6),3),"-",(RIGHT(RIGHT(CONCATENATE("000",IFAData_TEA_1819!A274),6),3)))</f>
        <v>015-916</v>
      </c>
      <c r="C274" t="s">
        <v>408</v>
      </c>
      <c r="D274">
        <v>6</v>
      </c>
      <c r="E274">
        <v>1938</v>
      </c>
      <c r="F274" t="s">
        <v>4212</v>
      </c>
      <c r="G274" t="s">
        <v>8322</v>
      </c>
      <c r="H274">
        <v>3992710</v>
      </c>
      <c r="I274">
        <v>878471</v>
      </c>
      <c r="J274">
        <v>0.15978021810128601</v>
      </c>
      <c r="K274">
        <v>637956.07461518701</v>
      </c>
      <c r="L274">
        <v>637956.07461518701</v>
      </c>
      <c r="M274">
        <v>599</v>
      </c>
    </row>
    <row r="275" spans="1:13" ht="15">
      <c r="A275" t="s">
        <v>3401</v>
      </c>
      <c r="B275" s="1040" t="str">
        <f>CONCATENATE(LEFT(RIGHT(CONCATENATE("000",IFAData_TEA_1819!A275),6),3),"-",(RIGHT(RIGHT(CONCATENATE("000",IFAData_TEA_1819!A275),6),3)))</f>
        <v>015-916</v>
      </c>
      <c r="C275" t="s">
        <v>408</v>
      </c>
      <c r="D275">
        <v>6</v>
      </c>
      <c r="E275">
        <v>1938</v>
      </c>
      <c r="F275" t="s">
        <v>4212</v>
      </c>
      <c r="G275" t="s">
        <v>8323</v>
      </c>
      <c r="H275">
        <v>3992710</v>
      </c>
      <c r="I275">
        <v>585154</v>
      </c>
      <c r="J275">
        <v>0.106430415736934</v>
      </c>
      <c r="K275">
        <v>424945.78521701402</v>
      </c>
      <c r="L275">
        <v>424945.78521701402</v>
      </c>
      <c r="M275">
        <v>599</v>
      </c>
    </row>
    <row r="276" spans="1:13" ht="15">
      <c r="A276" t="s">
        <v>3401</v>
      </c>
      <c r="B276" s="1040" t="str">
        <f>CONCATENATE(LEFT(RIGHT(CONCATENATE("000",IFAData_TEA_1819!A276),6),3),"-",(RIGHT(RIGHT(CONCATENATE("000",IFAData_TEA_1819!A276),6),3)))</f>
        <v>015-916</v>
      </c>
      <c r="C276" t="s">
        <v>408</v>
      </c>
      <c r="D276">
        <v>9</v>
      </c>
      <c r="E276">
        <v>1939</v>
      </c>
      <c r="F276" t="s">
        <v>4213</v>
      </c>
      <c r="G276" t="s">
        <v>4213</v>
      </c>
      <c r="H276">
        <v>4799160</v>
      </c>
      <c r="I276">
        <v>7565766</v>
      </c>
      <c r="J276">
        <v>0.71861579261660702</v>
      </c>
      <c r="K276">
        <v>3448752.1672939202</v>
      </c>
      <c r="L276">
        <v>3448752.1672939202</v>
      </c>
      <c r="M276">
        <v>599</v>
      </c>
    </row>
    <row r="277" spans="1:13" ht="15">
      <c r="A277" t="s">
        <v>3401</v>
      </c>
      <c r="B277" s="1040" t="str">
        <f>CONCATENATE(LEFT(RIGHT(CONCATENATE("000",IFAData_TEA_1819!A277),6),3),"-",(RIGHT(RIGHT(CONCATENATE("000",IFAData_TEA_1819!A277),6),3)))</f>
        <v>015-916</v>
      </c>
      <c r="C277" t="s">
        <v>408</v>
      </c>
      <c r="D277">
        <v>9</v>
      </c>
      <c r="E277">
        <v>1939</v>
      </c>
      <c r="F277" t="s">
        <v>4213</v>
      </c>
      <c r="G277" t="s">
        <v>8322</v>
      </c>
      <c r="H277">
        <v>4799160</v>
      </c>
      <c r="I277">
        <v>1804379</v>
      </c>
      <c r="J277">
        <v>0.17138452937425799</v>
      </c>
      <c r="K277">
        <v>822501.77799176297</v>
      </c>
      <c r="L277">
        <v>822501.77799176297</v>
      </c>
      <c r="M277">
        <v>599</v>
      </c>
    </row>
    <row r="278" spans="1:13" ht="15">
      <c r="A278" t="s">
        <v>3401</v>
      </c>
      <c r="B278" s="1040" t="str">
        <f>CONCATENATE(LEFT(RIGHT(CONCATENATE("000",IFAData_TEA_1819!A278),6),3),"-",(RIGHT(RIGHT(CONCATENATE("000",IFAData_TEA_1819!A278),6),3)))</f>
        <v>015-916</v>
      </c>
      <c r="C278" t="s">
        <v>408</v>
      </c>
      <c r="D278">
        <v>9</v>
      </c>
      <c r="E278">
        <v>1939</v>
      </c>
      <c r="F278" t="s">
        <v>4213</v>
      </c>
      <c r="G278" t="s">
        <v>8323</v>
      </c>
      <c r="H278">
        <v>4799160</v>
      </c>
      <c r="I278">
        <v>1158104</v>
      </c>
      <c r="J278">
        <v>0.109999678009135</v>
      </c>
      <c r="K278">
        <v>527906.05471432197</v>
      </c>
      <c r="L278">
        <v>527906.05471432197</v>
      </c>
      <c r="M278">
        <v>599</v>
      </c>
    </row>
    <row r="279" spans="1:13" ht="15">
      <c r="A279" t="s">
        <v>3401</v>
      </c>
      <c r="B279" s="1040" t="str">
        <f>CONCATENATE(LEFT(RIGHT(CONCATENATE("000",IFAData_TEA_1819!A279),6),3),"-",(RIGHT(RIGHT(CONCATENATE("000",IFAData_TEA_1819!A279),6),3)))</f>
        <v>015-916</v>
      </c>
      <c r="C279" t="s">
        <v>408</v>
      </c>
      <c r="D279">
        <v>11</v>
      </c>
      <c r="E279">
        <v>2553</v>
      </c>
      <c r="F279" t="s">
        <v>8322</v>
      </c>
      <c r="G279" t="s">
        <v>8322</v>
      </c>
      <c r="H279">
        <v>5380531</v>
      </c>
      <c r="I279">
        <v>6490845</v>
      </c>
      <c r="J279">
        <v>1</v>
      </c>
      <c r="K279">
        <v>5380531</v>
      </c>
      <c r="L279">
        <v>5380531</v>
      </c>
      <c r="M279">
        <v>599</v>
      </c>
    </row>
    <row r="280" spans="1:13" ht="15">
      <c r="A280" t="s">
        <v>3402</v>
      </c>
      <c r="B280" s="1040" t="str">
        <f>CONCATENATE(LEFT(RIGHT(CONCATENATE("000",IFAData_TEA_1819!A280),6),3),"-",(RIGHT(RIGHT(CONCATENATE("000",IFAData_TEA_1819!A280),6),3)))</f>
        <v>015-917</v>
      </c>
      <c r="C280" t="s">
        <v>1933</v>
      </c>
      <c r="D280">
        <v>2</v>
      </c>
      <c r="E280">
        <v>2362</v>
      </c>
      <c r="F280" t="s">
        <v>4216</v>
      </c>
      <c r="G280" t="s">
        <v>4216</v>
      </c>
      <c r="H280">
        <v>520585</v>
      </c>
      <c r="I280">
        <v>0</v>
      </c>
      <c r="J280">
        <v>0</v>
      </c>
      <c r="K280"/>
      <c r="L280">
        <v>0</v>
      </c>
      <c r="M280">
        <v>199</v>
      </c>
    </row>
    <row r="281" spans="1:13" ht="15">
      <c r="A281" t="s">
        <v>3402</v>
      </c>
      <c r="B281" s="1040" t="str">
        <f>CONCATENATE(LEFT(RIGHT(CONCATENATE("000",IFAData_TEA_1819!A281),6),3),"-",(RIGHT(RIGHT(CONCATENATE("000",IFAData_TEA_1819!A281),6),3)))</f>
        <v>015-917</v>
      </c>
      <c r="C281" t="s">
        <v>1933</v>
      </c>
      <c r="D281">
        <v>3</v>
      </c>
      <c r="E281">
        <v>2360</v>
      </c>
      <c r="F281" t="s">
        <v>4217</v>
      </c>
      <c r="G281" t="s">
        <v>4217</v>
      </c>
      <c r="H281">
        <v>441314</v>
      </c>
      <c r="I281">
        <v>0</v>
      </c>
      <c r="J281">
        <v>0</v>
      </c>
      <c r="K281">
        <v>0</v>
      </c>
      <c r="L281">
        <v>0</v>
      </c>
      <c r="M281">
        <v>199</v>
      </c>
    </row>
    <row r="282" spans="1:13" ht="15">
      <c r="A282" t="s">
        <v>3402</v>
      </c>
      <c r="B282" s="1040" t="str">
        <f>CONCATENATE(LEFT(RIGHT(CONCATENATE("000",IFAData_TEA_1819!A282),6),3),"-",(RIGHT(RIGHT(CONCATENATE("000",IFAData_TEA_1819!A282),6),3)))</f>
        <v>015-917</v>
      </c>
      <c r="C282" t="s">
        <v>1933</v>
      </c>
      <c r="D282">
        <v>3</v>
      </c>
      <c r="E282">
        <v>2360</v>
      </c>
      <c r="F282" t="s">
        <v>4217</v>
      </c>
      <c r="G282" t="s">
        <v>4218</v>
      </c>
      <c r="H282">
        <v>441314</v>
      </c>
      <c r="I282">
        <v>64584</v>
      </c>
      <c r="J282">
        <v>1</v>
      </c>
      <c r="K282">
        <v>441314</v>
      </c>
      <c r="L282">
        <v>64584</v>
      </c>
      <c r="M282">
        <v>599</v>
      </c>
    </row>
    <row r="283" spans="1:13" ht="15">
      <c r="A283" t="s">
        <v>3402</v>
      </c>
      <c r="B283" s="1040" t="str">
        <f>CONCATENATE(LEFT(RIGHT(CONCATENATE("000",IFAData_TEA_1819!A283),6),3),"-",(RIGHT(RIGHT(CONCATENATE("000",IFAData_TEA_1819!A283),6),3)))</f>
        <v>015-917</v>
      </c>
      <c r="C283" t="s">
        <v>1933</v>
      </c>
      <c r="D283">
        <v>4</v>
      </c>
      <c r="E283">
        <v>2359</v>
      </c>
      <c r="F283" t="s">
        <v>4219</v>
      </c>
      <c r="G283" t="s">
        <v>4219</v>
      </c>
      <c r="H283">
        <v>366250</v>
      </c>
      <c r="I283">
        <v>0</v>
      </c>
      <c r="J283">
        <v>0</v>
      </c>
      <c r="K283"/>
      <c r="L283">
        <v>0</v>
      </c>
      <c r="M283">
        <v>199</v>
      </c>
    </row>
    <row r="284" spans="1:13" ht="15">
      <c r="A284" t="s">
        <v>3402</v>
      </c>
      <c r="B284" s="1040" t="str">
        <f>CONCATENATE(LEFT(RIGHT(CONCATENATE("000",IFAData_TEA_1819!A284),6),3),"-",(RIGHT(RIGHT(CONCATENATE("000",IFAData_TEA_1819!A284),6),3)))</f>
        <v>015-917</v>
      </c>
      <c r="C284" t="s">
        <v>1933</v>
      </c>
      <c r="D284">
        <v>4</v>
      </c>
      <c r="E284">
        <v>2361</v>
      </c>
      <c r="F284" t="s">
        <v>4220</v>
      </c>
      <c r="G284" t="s">
        <v>4220</v>
      </c>
      <c r="H284">
        <v>518175</v>
      </c>
      <c r="I284">
        <v>0</v>
      </c>
      <c r="J284">
        <v>0</v>
      </c>
      <c r="K284">
        <v>0</v>
      </c>
      <c r="L284">
        <v>0</v>
      </c>
      <c r="M284">
        <v>599</v>
      </c>
    </row>
    <row r="285" spans="1:13" ht="15">
      <c r="A285" t="s">
        <v>3402</v>
      </c>
      <c r="B285" s="1040" t="str">
        <f>CONCATENATE(LEFT(RIGHT(CONCATENATE("000",IFAData_TEA_1819!A285),6),3),"-",(RIGHT(RIGHT(CONCATENATE("000",IFAData_TEA_1819!A285),6),3)))</f>
        <v>015-917</v>
      </c>
      <c r="C285" t="s">
        <v>1933</v>
      </c>
      <c r="D285">
        <v>4</v>
      </c>
      <c r="E285">
        <v>2361</v>
      </c>
      <c r="F285" t="s">
        <v>4220</v>
      </c>
      <c r="G285" t="s">
        <v>4221</v>
      </c>
      <c r="H285">
        <v>518175</v>
      </c>
      <c r="I285">
        <v>441170</v>
      </c>
      <c r="J285">
        <v>1</v>
      </c>
      <c r="K285">
        <v>518175</v>
      </c>
      <c r="L285">
        <v>441170</v>
      </c>
      <c r="M285">
        <v>599</v>
      </c>
    </row>
    <row r="286" spans="1:13" ht="15">
      <c r="A286" t="s">
        <v>3402</v>
      </c>
      <c r="B286" s="1040" t="str">
        <f>CONCATENATE(LEFT(RIGHT(CONCATENATE("000",IFAData_TEA_1819!A286),6),3),"-",(RIGHT(RIGHT(CONCATENATE("000",IFAData_TEA_1819!A286),6),3)))</f>
        <v>015-917</v>
      </c>
      <c r="C286" t="s">
        <v>1933</v>
      </c>
      <c r="D286">
        <v>6</v>
      </c>
      <c r="E286">
        <v>2363</v>
      </c>
      <c r="F286" t="s">
        <v>4222</v>
      </c>
      <c r="G286" t="s">
        <v>4222</v>
      </c>
      <c r="H286">
        <v>1121000</v>
      </c>
      <c r="I286">
        <v>0</v>
      </c>
      <c r="J286">
        <v>0</v>
      </c>
      <c r="K286">
        <v>0</v>
      </c>
      <c r="L286">
        <v>0</v>
      </c>
      <c r="M286">
        <v>599</v>
      </c>
    </row>
    <row r="287" spans="1:13" ht="15">
      <c r="A287" t="s">
        <v>3402</v>
      </c>
      <c r="B287" s="1040" t="str">
        <f>CONCATENATE(LEFT(RIGHT(CONCATENATE("000",IFAData_TEA_1819!A287),6),3),"-",(RIGHT(RIGHT(CONCATENATE("000",IFAData_TEA_1819!A287),6),3)))</f>
        <v>015-917</v>
      </c>
      <c r="C287" t="s">
        <v>1933</v>
      </c>
      <c r="D287">
        <v>6</v>
      </c>
      <c r="E287">
        <v>2363</v>
      </c>
      <c r="F287" t="s">
        <v>4222</v>
      </c>
      <c r="G287" t="s">
        <v>4223</v>
      </c>
      <c r="H287">
        <v>1121000</v>
      </c>
      <c r="I287">
        <v>350875</v>
      </c>
      <c r="J287">
        <v>0.36496255460786398</v>
      </c>
      <c r="K287">
        <v>409123.02371541498</v>
      </c>
      <c r="L287">
        <v>350875</v>
      </c>
      <c r="M287">
        <v>599</v>
      </c>
    </row>
    <row r="288" spans="1:13" ht="15">
      <c r="A288" t="s">
        <v>3402</v>
      </c>
      <c r="B288" s="1040" t="str">
        <f>CONCATENATE(LEFT(RIGHT(CONCATENATE("000",IFAData_TEA_1819!A288),6),3),"-",(RIGHT(RIGHT(CONCATENATE("000",IFAData_TEA_1819!A288),6),3)))</f>
        <v>015-917</v>
      </c>
      <c r="C288" t="s">
        <v>1933</v>
      </c>
      <c r="D288">
        <v>6</v>
      </c>
      <c r="E288">
        <v>2363</v>
      </c>
      <c r="F288" t="s">
        <v>4222</v>
      </c>
      <c r="G288" t="s">
        <v>4224</v>
      </c>
      <c r="H288">
        <v>1121000</v>
      </c>
      <c r="I288">
        <v>610525</v>
      </c>
      <c r="J288">
        <v>0.63503744539213602</v>
      </c>
      <c r="K288">
        <v>711876.97628458496</v>
      </c>
      <c r="L288">
        <v>610525</v>
      </c>
      <c r="M288">
        <v>599</v>
      </c>
    </row>
    <row r="289" spans="1:13" ht="15">
      <c r="A289" t="s">
        <v>3402</v>
      </c>
      <c r="B289" s="1040" t="str">
        <f>CONCATENATE(LEFT(RIGHT(CONCATENATE("000",IFAData_TEA_1819!A289),6),3),"-",(RIGHT(RIGHT(CONCATENATE("000",IFAData_TEA_1819!A289),6),3)))</f>
        <v>015-917</v>
      </c>
      <c r="C289" t="s">
        <v>1933</v>
      </c>
      <c r="D289">
        <v>7</v>
      </c>
      <c r="E289">
        <v>2365</v>
      </c>
      <c r="F289" t="s">
        <v>4225</v>
      </c>
      <c r="G289" t="s">
        <v>4225</v>
      </c>
      <c r="H289">
        <v>1207669</v>
      </c>
      <c r="I289">
        <v>0</v>
      </c>
      <c r="J289">
        <v>0</v>
      </c>
      <c r="K289">
        <v>0</v>
      </c>
      <c r="L289">
        <v>0</v>
      </c>
      <c r="M289">
        <v>599</v>
      </c>
    </row>
    <row r="290" spans="1:13" ht="15">
      <c r="A290" t="s">
        <v>3402</v>
      </c>
      <c r="B290" s="1040" t="str">
        <f>CONCATENATE(LEFT(RIGHT(CONCATENATE("000",IFAData_TEA_1819!A290),6),3),"-",(RIGHT(RIGHT(CONCATENATE("000",IFAData_TEA_1819!A290),6),3)))</f>
        <v>015-917</v>
      </c>
      <c r="C290" t="s">
        <v>1933</v>
      </c>
      <c r="D290">
        <v>7</v>
      </c>
      <c r="E290">
        <v>2365</v>
      </c>
      <c r="F290" t="s">
        <v>4225</v>
      </c>
      <c r="G290" t="s">
        <v>4226</v>
      </c>
      <c r="H290">
        <v>1207669</v>
      </c>
      <c r="I290">
        <v>1057413</v>
      </c>
      <c r="J290">
        <v>1</v>
      </c>
      <c r="K290">
        <v>1207669</v>
      </c>
      <c r="L290">
        <v>1057413</v>
      </c>
      <c r="M290">
        <v>599</v>
      </c>
    </row>
    <row r="291" spans="1:13" ht="15">
      <c r="A291" t="s">
        <v>3402</v>
      </c>
      <c r="B291" s="1040" t="str">
        <f>CONCATENATE(LEFT(RIGHT(CONCATENATE("000",IFAData_TEA_1819!A291),6),3),"-",(RIGHT(RIGHT(CONCATENATE("000",IFAData_TEA_1819!A291),6),3)))</f>
        <v>015-917</v>
      </c>
      <c r="C291" t="s">
        <v>1933</v>
      </c>
      <c r="D291">
        <v>8</v>
      </c>
      <c r="E291">
        <v>2364</v>
      </c>
      <c r="F291" t="s">
        <v>4227</v>
      </c>
      <c r="G291" t="s">
        <v>4227</v>
      </c>
      <c r="H291">
        <v>1193500</v>
      </c>
      <c r="I291">
        <v>712460</v>
      </c>
      <c r="J291">
        <v>0.42102961555621898</v>
      </c>
      <c r="K291">
        <v>502498.84616634698</v>
      </c>
      <c r="L291">
        <v>502498.84616634698</v>
      </c>
      <c r="M291">
        <v>599</v>
      </c>
    </row>
    <row r="292" spans="1:13" ht="15">
      <c r="A292" t="s">
        <v>3402</v>
      </c>
      <c r="B292" s="1040" t="str">
        <f>CONCATENATE(LEFT(RIGHT(CONCATENATE("000",IFAData_TEA_1819!A292),6),3),"-",(RIGHT(RIGHT(CONCATENATE("000",IFAData_TEA_1819!A292),6),3)))</f>
        <v>015-917</v>
      </c>
      <c r="C292" t="s">
        <v>1933</v>
      </c>
      <c r="D292">
        <v>8</v>
      </c>
      <c r="E292">
        <v>2364</v>
      </c>
      <c r="F292" t="s">
        <v>4227</v>
      </c>
      <c r="G292" t="s">
        <v>6413</v>
      </c>
      <c r="H292">
        <v>1193500</v>
      </c>
      <c r="I292">
        <v>345075</v>
      </c>
      <c r="J292">
        <v>0.20392273894402799</v>
      </c>
      <c r="K292">
        <v>243381.78892969701</v>
      </c>
      <c r="L292">
        <v>243381.78892969701</v>
      </c>
      <c r="M292">
        <v>599</v>
      </c>
    </row>
    <row r="293" spans="1:13" ht="15">
      <c r="A293" t="s">
        <v>3402</v>
      </c>
      <c r="B293" s="1040" t="str">
        <f>CONCATENATE(LEFT(RIGHT(CONCATENATE("000",IFAData_TEA_1819!A293),6),3),"-",(RIGHT(RIGHT(CONCATENATE("000",IFAData_TEA_1819!A293),6),3)))</f>
        <v>015-917</v>
      </c>
      <c r="C293" t="s">
        <v>1933</v>
      </c>
      <c r="D293">
        <v>8</v>
      </c>
      <c r="E293">
        <v>2364</v>
      </c>
      <c r="F293" t="s">
        <v>4227</v>
      </c>
      <c r="G293" t="s">
        <v>6412</v>
      </c>
      <c r="H293">
        <v>1193500</v>
      </c>
      <c r="I293">
        <v>634650</v>
      </c>
      <c r="J293">
        <v>0.375047645499753</v>
      </c>
      <c r="K293">
        <v>447619.36490395601</v>
      </c>
      <c r="L293">
        <v>447619.36490395601</v>
      </c>
      <c r="M293">
        <v>599</v>
      </c>
    </row>
    <row r="294" spans="1:13" ht="15">
      <c r="A294" t="s">
        <v>3403</v>
      </c>
      <c r="B294" s="1040" t="str">
        <f>CONCATENATE(LEFT(RIGHT(CONCATENATE("000",IFAData_TEA_1819!A294),6),3),"-",(RIGHT(RIGHT(CONCATENATE("000",IFAData_TEA_1819!A294),6),3)))</f>
        <v>016-902</v>
      </c>
      <c r="C294" t="s">
        <v>798</v>
      </c>
      <c r="D294">
        <v>2</v>
      </c>
      <c r="E294">
        <v>1613</v>
      </c>
      <c r="F294" t="s">
        <v>4228</v>
      </c>
      <c r="G294" t="s">
        <v>4228</v>
      </c>
      <c r="H294">
        <v>248495</v>
      </c>
      <c r="I294">
        <v>0</v>
      </c>
      <c r="J294">
        <v>0</v>
      </c>
      <c r="K294">
        <v>0</v>
      </c>
      <c r="L294">
        <v>0</v>
      </c>
      <c r="M294">
        <v>599</v>
      </c>
    </row>
    <row r="295" spans="1:13" ht="15">
      <c r="A295" t="s">
        <v>3403</v>
      </c>
      <c r="B295" s="1040" t="str">
        <f>CONCATENATE(LEFT(RIGHT(CONCATENATE("000",IFAData_TEA_1819!A295),6),3),"-",(RIGHT(RIGHT(CONCATENATE("000",IFAData_TEA_1819!A295),6),3)))</f>
        <v>016-902</v>
      </c>
      <c r="C295" t="s">
        <v>798</v>
      </c>
      <c r="D295">
        <v>2</v>
      </c>
      <c r="E295">
        <v>1613</v>
      </c>
      <c r="F295" t="s">
        <v>4228</v>
      </c>
      <c r="G295" t="s">
        <v>4229</v>
      </c>
      <c r="H295">
        <v>248495</v>
      </c>
      <c r="I295">
        <v>0</v>
      </c>
      <c r="J295">
        <v>0</v>
      </c>
      <c r="K295">
        <v>0</v>
      </c>
      <c r="L295">
        <v>0</v>
      </c>
      <c r="M295">
        <v>599</v>
      </c>
    </row>
    <row r="296" spans="1:13" ht="15">
      <c r="A296" t="s">
        <v>3403</v>
      </c>
      <c r="B296" s="1040" t="str">
        <f>CONCATENATE(LEFT(RIGHT(CONCATENATE("000",IFAData_TEA_1819!A296),6),3),"-",(RIGHT(RIGHT(CONCATENATE("000",IFAData_TEA_1819!A296),6),3)))</f>
        <v>016-902</v>
      </c>
      <c r="C296" t="s">
        <v>798</v>
      </c>
      <c r="D296">
        <v>2</v>
      </c>
      <c r="E296">
        <v>1613</v>
      </c>
      <c r="F296" t="s">
        <v>4228</v>
      </c>
      <c r="G296" t="s">
        <v>6198</v>
      </c>
      <c r="H296">
        <v>248495</v>
      </c>
      <c r="I296">
        <v>601452</v>
      </c>
      <c r="J296">
        <v>1</v>
      </c>
      <c r="K296">
        <v>248495</v>
      </c>
      <c r="L296">
        <v>248495</v>
      </c>
      <c r="M296">
        <v>599</v>
      </c>
    </row>
    <row r="297" spans="1:13" ht="15">
      <c r="A297" t="s">
        <v>3404</v>
      </c>
      <c r="B297" s="1040" t="str">
        <f>CONCATENATE(LEFT(RIGHT(CONCATENATE("000",IFAData_TEA_1819!A297),6),3),"-",(RIGHT(RIGHT(CONCATENATE("000",IFAData_TEA_1819!A297),6),3)))</f>
        <v>018-901</v>
      </c>
      <c r="C297" t="s">
        <v>1165</v>
      </c>
      <c r="D297">
        <v>2</v>
      </c>
      <c r="E297">
        <v>1695</v>
      </c>
      <c r="F297" t="s">
        <v>4230</v>
      </c>
      <c r="G297" t="s">
        <v>4230</v>
      </c>
      <c r="H297">
        <v>314735</v>
      </c>
      <c r="I297">
        <v>0</v>
      </c>
      <c r="J297">
        <v>0</v>
      </c>
      <c r="K297">
        <v>0</v>
      </c>
      <c r="L297">
        <v>0</v>
      </c>
      <c r="M297">
        <v>599</v>
      </c>
    </row>
    <row r="298" spans="1:13" ht="15">
      <c r="A298" t="s">
        <v>3404</v>
      </c>
      <c r="B298" s="1040" t="str">
        <f>CONCATENATE(LEFT(RIGHT(CONCATENATE("000",IFAData_TEA_1819!A298),6),3),"-",(RIGHT(RIGHT(CONCATENATE("000",IFAData_TEA_1819!A298),6),3)))</f>
        <v>018-901</v>
      </c>
      <c r="C298" t="s">
        <v>1165</v>
      </c>
      <c r="D298">
        <v>2</v>
      </c>
      <c r="E298">
        <v>1695</v>
      </c>
      <c r="F298" t="s">
        <v>4230</v>
      </c>
      <c r="G298" t="s">
        <v>4231</v>
      </c>
      <c r="H298">
        <v>314735</v>
      </c>
      <c r="I298">
        <v>524950</v>
      </c>
      <c r="J298">
        <v>1</v>
      </c>
      <c r="K298">
        <v>314735</v>
      </c>
      <c r="L298">
        <v>314735</v>
      </c>
      <c r="M298">
        <v>599</v>
      </c>
    </row>
    <row r="299" spans="1:13" ht="15">
      <c r="A299" t="s">
        <v>3405</v>
      </c>
      <c r="B299" s="1040" t="str">
        <f>CONCATENATE(LEFT(RIGHT(CONCATENATE("000",IFAData_TEA_1819!A299),6),3),"-",(RIGHT(RIGHT(CONCATENATE("000",IFAData_TEA_1819!A299),6),3)))</f>
        <v>018-902</v>
      </c>
      <c r="C299" t="s">
        <v>2682</v>
      </c>
      <c r="D299">
        <v>9</v>
      </c>
      <c r="E299">
        <v>2095</v>
      </c>
      <c r="F299" t="s">
        <v>4232</v>
      </c>
      <c r="G299" t="s">
        <v>4232</v>
      </c>
      <c r="H299">
        <v>125707</v>
      </c>
      <c r="I299">
        <v>0</v>
      </c>
      <c r="J299">
        <v>0</v>
      </c>
      <c r="K299">
        <v>0</v>
      </c>
      <c r="L299">
        <v>0</v>
      </c>
      <c r="M299">
        <v>599</v>
      </c>
    </row>
    <row r="300" spans="1:13" ht="15">
      <c r="A300" t="s">
        <v>3405</v>
      </c>
      <c r="B300" s="1040" t="str">
        <f>CONCATENATE(LEFT(RIGHT(CONCATENATE("000",IFAData_TEA_1819!A300),6),3),"-",(RIGHT(RIGHT(CONCATENATE("000",IFAData_TEA_1819!A300),6),3)))</f>
        <v>018-902</v>
      </c>
      <c r="C300" t="s">
        <v>2682</v>
      </c>
      <c r="D300">
        <v>9</v>
      </c>
      <c r="E300">
        <v>2095</v>
      </c>
      <c r="F300" t="s">
        <v>4232</v>
      </c>
      <c r="G300" t="s">
        <v>4233</v>
      </c>
      <c r="H300">
        <v>125707</v>
      </c>
      <c r="I300">
        <v>81920</v>
      </c>
      <c r="J300">
        <v>0.275702381433168</v>
      </c>
      <c r="K300">
        <v>34657.719262819199</v>
      </c>
      <c r="L300">
        <v>34657.719262819199</v>
      </c>
      <c r="M300">
        <v>599</v>
      </c>
    </row>
    <row r="301" spans="1:13" ht="15">
      <c r="A301" t="s">
        <v>3405</v>
      </c>
      <c r="B301" s="1040" t="str">
        <f>CONCATENATE(LEFT(RIGHT(CONCATENATE("000",IFAData_TEA_1819!A301),6),3),"-",(RIGHT(RIGHT(CONCATENATE("000",IFAData_TEA_1819!A301),6),3)))</f>
        <v>018-902</v>
      </c>
      <c r="C301" t="s">
        <v>2682</v>
      </c>
      <c r="D301">
        <v>9</v>
      </c>
      <c r="E301">
        <v>2095</v>
      </c>
      <c r="F301" t="s">
        <v>4232</v>
      </c>
      <c r="G301" t="s">
        <v>8324</v>
      </c>
      <c r="H301">
        <v>125707</v>
      </c>
      <c r="I301">
        <v>215212</v>
      </c>
      <c r="J301">
        <v>0.72429761856683195</v>
      </c>
      <c r="K301">
        <v>91049.280737180801</v>
      </c>
      <c r="L301">
        <v>91049.280737180801</v>
      </c>
      <c r="M301">
        <v>599</v>
      </c>
    </row>
    <row r="302" spans="1:13" ht="15">
      <c r="A302" t="s">
        <v>3406</v>
      </c>
      <c r="B302" s="1040" t="str">
        <f>CONCATENATE(LEFT(RIGHT(CONCATENATE("000",IFAData_TEA_1819!A302),6),3),"-",(RIGHT(RIGHT(CONCATENATE("000",IFAData_TEA_1819!A302),6),3)))</f>
        <v>018-904</v>
      </c>
      <c r="C302" t="s">
        <v>2684</v>
      </c>
      <c r="D302">
        <v>9</v>
      </c>
      <c r="E302">
        <v>2410</v>
      </c>
      <c r="F302" t="s">
        <v>4234</v>
      </c>
      <c r="G302" t="s">
        <v>4234</v>
      </c>
      <c r="H302">
        <v>161705</v>
      </c>
      <c r="I302">
        <v>0</v>
      </c>
      <c r="J302">
        <v>0</v>
      </c>
      <c r="K302">
        <v>0</v>
      </c>
      <c r="L302">
        <v>0</v>
      </c>
      <c r="M302">
        <v>599</v>
      </c>
    </row>
    <row r="303" spans="1:13" ht="15">
      <c r="A303" t="s">
        <v>3406</v>
      </c>
      <c r="B303" s="1040" t="str">
        <f>CONCATENATE(LEFT(RIGHT(CONCATENATE("000",IFAData_TEA_1819!A303),6),3),"-",(RIGHT(RIGHT(CONCATENATE("000",IFAData_TEA_1819!A303),6),3)))</f>
        <v>018-904</v>
      </c>
      <c r="C303" t="s">
        <v>2684</v>
      </c>
      <c r="D303">
        <v>9</v>
      </c>
      <c r="E303">
        <v>2410</v>
      </c>
      <c r="F303" t="s">
        <v>4234</v>
      </c>
      <c r="G303" t="s">
        <v>6414</v>
      </c>
      <c r="H303">
        <v>161705</v>
      </c>
      <c r="I303">
        <v>407425</v>
      </c>
      <c r="J303">
        <v>1</v>
      </c>
      <c r="K303">
        <v>161705</v>
      </c>
      <c r="L303">
        <v>161705</v>
      </c>
      <c r="M303">
        <v>599</v>
      </c>
    </row>
    <row r="304" spans="1:13" ht="15">
      <c r="A304" t="s">
        <v>4235</v>
      </c>
      <c r="B304" s="1040" t="str">
        <f>CONCATENATE(LEFT(RIGHT(CONCATENATE("000",IFAData_TEA_1819!A304),6),3),"-",(RIGHT(RIGHT(CONCATENATE("000",IFAData_TEA_1819!A304),6),3)))</f>
        <v>018-905</v>
      </c>
      <c r="C304" t="s">
        <v>2024</v>
      </c>
      <c r="D304">
        <v>5</v>
      </c>
      <c r="E304">
        <v>2435</v>
      </c>
      <c r="F304" t="s">
        <v>4236</v>
      </c>
      <c r="G304" t="s">
        <v>4236</v>
      </c>
      <c r="H304">
        <v>100000</v>
      </c>
      <c r="I304">
        <v>106830</v>
      </c>
      <c r="J304">
        <v>1</v>
      </c>
      <c r="K304">
        <v>100000</v>
      </c>
      <c r="L304">
        <v>100000</v>
      </c>
      <c r="M304">
        <v>199</v>
      </c>
    </row>
    <row r="305" spans="1:13" ht="15">
      <c r="A305" t="s">
        <v>4237</v>
      </c>
      <c r="B305" s="1040" t="str">
        <f>CONCATENATE(LEFT(RIGHT(CONCATENATE("000",IFAData_TEA_1819!A305),6),3),"-",(RIGHT(RIGHT(CONCATENATE("000",IFAData_TEA_1819!A305),6),3)))</f>
        <v>019-901</v>
      </c>
      <c r="C305" t="s">
        <v>2666</v>
      </c>
      <c r="D305">
        <v>4</v>
      </c>
      <c r="E305">
        <v>1750</v>
      </c>
      <c r="F305" t="s">
        <v>4238</v>
      </c>
      <c r="G305" t="s">
        <v>4238</v>
      </c>
      <c r="H305">
        <v>243750</v>
      </c>
      <c r="I305">
        <v>0</v>
      </c>
      <c r="J305">
        <v>0</v>
      </c>
      <c r="K305"/>
      <c r="L305">
        <v>0</v>
      </c>
      <c r="M305">
        <v>199</v>
      </c>
    </row>
    <row r="306" spans="1:13" ht="15">
      <c r="A306" t="s">
        <v>3407</v>
      </c>
      <c r="B306" s="1040" t="str">
        <f>CONCATENATE(LEFT(RIGHT(CONCATENATE("000",IFAData_TEA_1819!A306),6),3),"-",(RIGHT(RIGHT(CONCATENATE("000",IFAData_TEA_1819!A306),6),3)))</f>
        <v>019-902</v>
      </c>
      <c r="C306" t="s">
        <v>2379</v>
      </c>
      <c r="D306">
        <v>4</v>
      </c>
      <c r="E306">
        <v>1902</v>
      </c>
      <c r="F306" t="s">
        <v>4241</v>
      </c>
      <c r="G306" t="s">
        <v>4241</v>
      </c>
      <c r="H306">
        <v>271149</v>
      </c>
      <c r="I306">
        <v>0</v>
      </c>
      <c r="J306">
        <v>0</v>
      </c>
      <c r="K306">
        <v>0</v>
      </c>
      <c r="L306">
        <v>0</v>
      </c>
      <c r="M306">
        <v>599</v>
      </c>
    </row>
    <row r="307" spans="1:13" ht="15">
      <c r="A307" t="s">
        <v>3407</v>
      </c>
      <c r="B307" s="1040" t="str">
        <f>CONCATENATE(LEFT(RIGHT(CONCATENATE("000",IFAData_TEA_1819!A307),6),3),"-",(RIGHT(RIGHT(CONCATENATE("000",IFAData_TEA_1819!A307),6),3)))</f>
        <v>019-902</v>
      </c>
      <c r="C307" t="s">
        <v>2379</v>
      </c>
      <c r="D307">
        <v>4</v>
      </c>
      <c r="E307">
        <v>1902</v>
      </c>
      <c r="F307" t="s">
        <v>4241</v>
      </c>
      <c r="G307" t="s">
        <v>4242</v>
      </c>
      <c r="H307">
        <v>271149</v>
      </c>
      <c r="I307">
        <v>0</v>
      </c>
      <c r="J307">
        <v>0</v>
      </c>
      <c r="K307">
        <v>0</v>
      </c>
      <c r="L307">
        <v>0</v>
      </c>
      <c r="M307">
        <v>599</v>
      </c>
    </row>
    <row r="308" spans="1:13" ht="15">
      <c r="A308" t="s">
        <v>3407</v>
      </c>
      <c r="B308" s="1040" t="str">
        <f>CONCATENATE(LEFT(RIGHT(CONCATENATE("000",IFAData_TEA_1819!A308),6),3),"-",(RIGHT(RIGHT(CONCATENATE("000",IFAData_TEA_1819!A308),6),3)))</f>
        <v>019-902</v>
      </c>
      <c r="C308" t="s">
        <v>2379</v>
      </c>
      <c r="D308">
        <v>4</v>
      </c>
      <c r="E308">
        <v>1902</v>
      </c>
      <c r="F308" t="s">
        <v>4241</v>
      </c>
      <c r="G308" t="s">
        <v>6415</v>
      </c>
      <c r="H308">
        <v>271149</v>
      </c>
      <c r="I308">
        <v>241836</v>
      </c>
      <c r="J308">
        <v>1</v>
      </c>
      <c r="K308">
        <v>271149</v>
      </c>
      <c r="L308">
        <v>241836</v>
      </c>
      <c r="M308">
        <v>599</v>
      </c>
    </row>
    <row r="309" spans="1:13" ht="15">
      <c r="A309" t="s">
        <v>3407</v>
      </c>
      <c r="B309" s="1040" t="str">
        <f>CONCATENATE(LEFT(RIGHT(CONCATENATE("000",IFAData_TEA_1819!A309),6),3),"-",(RIGHT(RIGHT(CONCATENATE("000",IFAData_TEA_1819!A309),6),3)))</f>
        <v>019-902</v>
      </c>
      <c r="C309" t="s">
        <v>2379</v>
      </c>
      <c r="D309">
        <v>6</v>
      </c>
      <c r="E309">
        <v>1900</v>
      </c>
      <c r="F309" t="s">
        <v>4243</v>
      </c>
      <c r="G309" t="s">
        <v>4243</v>
      </c>
      <c r="H309">
        <v>233415</v>
      </c>
      <c r="I309">
        <v>0</v>
      </c>
      <c r="J309">
        <v>0</v>
      </c>
      <c r="K309">
        <v>0</v>
      </c>
      <c r="L309">
        <v>0</v>
      </c>
      <c r="M309">
        <v>599</v>
      </c>
    </row>
    <row r="310" spans="1:13" ht="15">
      <c r="A310" t="s">
        <v>3407</v>
      </c>
      <c r="B310" s="1040" t="str">
        <f>CONCATENATE(LEFT(RIGHT(CONCATENATE("000",IFAData_TEA_1819!A310),6),3),"-",(RIGHT(RIGHT(CONCATENATE("000",IFAData_TEA_1819!A310),6),3)))</f>
        <v>019-902</v>
      </c>
      <c r="C310" t="s">
        <v>2379</v>
      </c>
      <c r="D310">
        <v>6</v>
      </c>
      <c r="E310">
        <v>1900</v>
      </c>
      <c r="F310" t="s">
        <v>4243</v>
      </c>
      <c r="G310" t="s">
        <v>4244</v>
      </c>
      <c r="H310">
        <v>233415</v>
      </c>
      <c r="I310">
        <v>199100</v>
      </c>
      <c r="J310">
        <v>1</v>
      </c>
      <c r="K310">
        <v>233415</v>
      </c>
      <c r="L310">
        <v>199100</v>
      </c>
      <c r="M310">
        <v>599</v>
      </c>
    </row>
    <row r="311" spans="1:13" ht="15">
      <c r="A311" t="s">
        <v>3407</v>
      </c>
      <c r="B311" s="1040" t="str">
        <f>CONCATENATE(LEFT(RIGHT(CONCATENATE("000",IFAData_TEA_1819!A311),6),3),"-",(RIGHT(RIGHT(CONCATENATE("000",IFAData_TEA_1819!A311),6),3)))</f>
        <v>019-902</v>
      </c>
      <c r="C311" t="s">
        <v>2379</v>
      </c>
      <c r="D311">
        <v>9</v>
      </c>
      <c r="E311">
        <v>1901</v>
      </c>
      <c r="F311" t="s">
        <v>4245</v>
      </c>
      <c r="G311" t="s">
        <v>4245</v>
      </c>
      <c r="H311">
        <v>245486</v>
      </c>
      <c r="I311">
        <v>0</v>
      </c>
      <c r="J311">
        <v>0</v>
      </c>
      <c r="K311">
        <v>0</v>
      </c>
      <c r="L311">
        <v>0</v>
      </c>
      <c r="M311">
        <v>599</v>
      </c>
    </row>
    <row r="312" spans="1:13" ht="15">
      <c r="A312" t="s">
        <v>3407</v>
      </c>
      <c r="B312" s="1040" t="str">
        <f>CONCATENATE(LEFT(RIGHT(CONCATENATE("000",IFAData_TEA_1819!A312),6),3),"-",(RIGHT(RIGHT(CONCATENATE("000",IFAData_TEA_1819!A312),6),3)))</f>
        <v>019-902</v>
      </c>
      <c r="C312" t="s">
        <v>2379</v>
      </c>
      <c r="D312">
        <v>9</v>
      </c>
      <c r="E312">
        <v>1901</v>
      </c>
      <c r="F312" t="s">
        <v>4245</v>
      </c>
      <c r="G312" t="s">
        <v>6415</v>
      </c>
      <c r="H312">
        <v>245486</v>
      </c>
      <c r="I312">
        <v>208826</v>
      </c>
      <c r="J312">
        <v>1</v>
      </c>
      <c r="K312">
        <v>245486</v>
      </c>
      <c r="L312">
        <v>208826</v>
      </c>
      <c r="M312">
        <v>599</v>
      </c>
    </row>
    <row r="313" spans="1:13" ht="15">
      <c r="A313" t="s">
        <v>3408</v>
      </c>
      <c r="B313" s="1040" t="str">
        <f>CONCATENATE(LEFT(RIGHT(CONCATENATE("000",IFAData_TEA_1819!A313),6),3),"-",(RIGHT(RIGHT(CONCATENATE("000",IFAData_TEA_1819!A313),6),3)))</f>
        <v>019-903</v>
      </c>
      <c r="C313" t="s">
        <v>2067</v>
      </c>
      <c r="D313">
        <v>5</v>
      </c>
      <c r="E313">
        <v>2076</v>
      </c>
      <c r="F313" t="s">
        <v>4246</v>
      </c>
      <c r="G313" t="s">
        <v>4246</v>
      </c>
      <c r="H313">
        <v>71216</v>
      </c>
      <c r="I313">
        <v>0</v>
      </c>
      <c r="J313">
        <v>0</v>
      </c>
      <c r="K313">
        <v>0</v>
      </c>
      <c r="L313">
        <v>0</v>
      </c>
      <c r="M313">
        <v>599</v>
      </c>
    </row>
    <row r="314" spans="1:13" ht="15">
      <c r="A314" t="s">
        <v>3408</v>
      </c>
      <c r="B314" s="1040" t="str">
        <f>CONCATENATE(LEFT(RIGHT(CONCATENATE("000",IFAData_TEA_1819!A314),6),3),"-",(RIGHT(RIGHT(CONCATENATE("000",IFAData_TEA_1819!A314),6),3)))</f>
        <v>019-903</v>
      </c>
      <c r="C314" t="s">
        <v>2067</v>
      </c>
      <c r="D314">
        <v>5</v>
      </c>
      <c r="E314">
        <v>2076</v>
      </c>
      <c r="F314" t="s">
        <v>4246</v>
      </c>
      <c r="G314" t="s">
        <v>4247</v>
      </c>
      <c r="H314">
        <v>71216</v>
      </c>
      <c r="I314">
        <v>63500</v>
      </c>
      <c r="J314">
        <v>1</v>
      </c>
      <c r="K314">
        <v>71216</v>
      </c>
      <c r="L314">
        <v>63500</v>
      </c>
      <c r="M314">
        <v>599</v>
      </c>
    </row>
    <row r="315" spans="1:13" ht="15">
      <c r="A315" t="s">
        <v>3409</v>
      </c>
      <c r="B315" s="1040" t="str">
        <f>CONCATENATE(LEFT(RIGHT(CONCATENATE("000",IFAData_TEA_1819!A315),6),3),"-",(RIGHT(RIGHT(CONCATENATE("000",IFAData_TEA_1819!A315),6),3)))</f>
        <v>019-905</v>
      </c>
      <c r="C315" t="s">
        <v>1398</v>
      </c>
      <c r="D315">
        <v>9</v>
      </c>
      <c r="E315">
        <v>2134</v>
      </c>
      <c r="F315" t="s">
        <v>4248</v>
      </c>
      <c r="G315" t="s">
        <v>4248</v>
      </c>
      <c r="H315">
        <v>323346</v>
      </c>
      <c r="I315">
        <v>110520</v>
      </c>
      <c r="J315">
        <v>0.24010219333310201</v>
      </c>
      <c r="K315">
        <v>77636.083805485105</v>
      </c>
      <c r="L315">
        <v>77636.083805485105</v>
      </c>
      <c r="M315">
        <v>599</v>
      </c>
    </row>
    <row r="316" spans="1:13" ht="15">
      <c r="A316" t="s">
        <v>3409</v>
      </c>
      <c r="B316" s="1040" t="str">
        <f>CONCATENATE(LEFT(RIGHT(CONCATENATE("000",IFAData_TEA_1819!A316),6),3),"-",(RIGHT(RIGHT(CONCATENATE("000",IFAData_TEA_1819!A316),6),3)))</f>
        <v>019-905</v>
      </c>
      <c r="C316" t="s">
        <v>1398</v>
      </c>
      <c r="D316">
        <v>9</v>
      </c>
      <c r="E316">
        <v>2134</v>
      </c>
      <c r="F316" t="s">
        <v>4248</v>
      </c>
      <c r="G316" t="s">
        <v>6199</v>
      </c>
      <c r="H316">
        <v>323346</v>
      </c>
      <c r="I316">
        <v>221730</v>
      </c>
      <c r="J316">
        <v>0.48170339601654599</v>
      </c>
      <c r="K316">
        <v>155756.866288366</v>
      </c>
      <c r="L316">
        <v>155756.866288366</v>
      </c>
      <c r="M316">
        <v>599</v>
      </c>
    </row>
    <row r="317" spans="1:13" ht="15">
      <c r="A317" t="s">
        <v>3409</v>
      </c>
      <c r="B317" s="1040" t="str">
        <f>CONCATENATE(LEFT(RIGHT(CONCATENATE("000",IFAData_TEA_1819!A317),6),3),"-",(RIGHT(RIGHT(CONCATENATE("000",IFAData_TEA_1819!A317),6),3)))</f>
        <v>019-905</v>
      </c>
      <c r="C317" t="s">
        <v>1398</v>
      </c>
      <c r="D317">
        <v>9</v>
      </c>
      <c r="E317">
        <v>2134</v>
      </c>
      <c r="F317" t="s">
        <v>4248</v>
      </c>
      <c r="G317" t="s">
        <v>6416</v>
      </c>
      <c r="H317">
        <v>323346</v>
      </c>
      <c r="I317">
        <v>128054</v>
      </c>
      <c r="J317">
        <v>0.278194410650353</v>
      </c>
      <c r="K317">
        <v>89953.049906148997</v>
      </c>
      <c r="L317">
        <v>89953.049906148997</v>
      </c>
      <c r="M317">
        <v>599</v>
      </c>
    </row>
    <row r="318" spans="1:13" ht="15">
      <c r="A318" t="s">
        <v>5775</v>
      </c>
      <c r="B318" s="1040" t="str">
        <f>CONCATENATE(LEFT(RIGHT(CONCATENATE("000",IFAData_TEA_1819!A318),6),3),"-",(RIGHT(RIGHT(CONCATENATE("000",IFAData_TEA_1819!A318),6),3)))</f>
        <v>019-907</v>
      </c>
      <c r="C318" t="s">
        <v>1400</v>
      </c>
      <c r="D318">
        <v>11</v>
      </c>
      <c r="E318">
        <v>2532</v>
      </c>
      <c r="F318" t="s">
        <v>8325</v>
      </c>
      <c r="G318" t="s">
        <v>8325</v>
      </c>
      <c r="H318">
        <v>1436162</v>
      </c>
      <c r="I318">
        <v>2452975</v>
      </c>
      <c r="J318">
        <v>1</v>
      </c>
      <c r="K318">
        <v>1436162</v>
      </c>
      <c r="L318">
        <v>1436162</v>
      </c>
      <c r="M318">
        <v>599</v>
      </c>
    </row>
    <row r="319" spans="1:13" ht="15">
      <c r="A319" t="s">
        <v>5776</v>
      </c>
      <c r="B319" s="1040" t="str">
        <f>CONCATENATE(LEFT(RIGHT(CONCATENATE("000",IFAData_TEA_1819!A319),6),3),"-",(RIGHT(RIGHT(CONCATENATE("000",IFAData_TEA_1819!A319),6),3)))</f>
        <v>019-908</v>
      </c>
      <c r="C319" t="s">
        <v>2486</v>
      </c>
      <c r="D319">
        <v>11</v>
      </c>
      <c r="E319">
        <v>2507</v>
      </c>
      <c r="F319" t="s">
        <v>8326</v>
      </c>
      <c r="G319" t="s">
        <v>8326</v>
      </c>
      <c r="H319">
        <v>590702</v>
      </c>
      <c r="I319">
        <v>892073</v>
      </c>
      <c r="J319">
        <v>1</v>
      </c>
      <c r="K319">
        <v>590702</v>
      </c>
      <c r="L319">
        <v>590702</v>
      </c>
      <c r="M319">
        <v>599</v>
      </c>
    </row>
    <row r="320" spans="1:13" ht="15">
      <c r="A320" t="s">
        <v>3410</v>
      </c>
      <c r="B320" s="1040" t="str">
        <f>CONCATENATE(LEFT(RIGHT(CONCATENATE("000",IFAData_TEA_1819!A320),6),3),"-",(RIGHT(RIGHT(CONCATENATE("000",IFAData_TEA_1819!A320),6),3)))</f>
        <v>019-909</v>
      </c>
      <c r="C320" t="s">
        <v>266</v>
      </c>
      <c r="D320">
        <v>5</v>
      </c>
      <c r="E320">
        <v>2335</v>
      </c>
      <c r="F320" t="s">
        <v>4249</v>
      </c>
      <c r="G320" t="s">
        <v>4249</v>
      </c>
      <c r="H320">
        <v>130653</v>
      </c>
      <c r="I320">
        <v>0</v>
      </c>
      <c r="J320">
        <v>0</v>
      </c>
      <c r="K320">
        <v>0</v>
      </c>
      <c r="L320">
        <v>0</v>
      </c>
      <c r="M320">
        <v>599</v>
      </c>
    </row>
    <row r="321" spans="1:13" ht="15">
      <c r="A321" t="s">
        <v>3410</v>
      </c>
      <c r="B321" s="1040" t="str">
        <f>CONCATENATE(LEFT(RIGHT(CONCATENATE("000",IFAData_TEA_1819!A321),6),3),"-",(RIGHT(RIGHT(CONCATENATE("000",IFAData_TEA_1819!A321),6),3)))</f>
        <v>019-909</v>
      </c>
      <c r="C321" t="s">
        <v>266</v>
      </c>
      <c r="D321">
        <v>5</v>
      </c>
      <c r="E321">
        <v>2335</v>
      </c>
      <c r="F321" t="s">
        <v>4249</v>
      </c>
      <c r="G321" t="s">
        <v>4250</v>
      </c>
      <c r="H321">
        <v>130653</v>
      </c>
      <c r="I321">
        <v>123125</v>
      </c>
      <c r="J321">
        <v>1</v>
      </c>
      <c r="K321">
        <v>130653</v>
      </c>
      <c r="L321">
        <v>123125</v>
      </c>
      <c r="M321">
        <v>599</v>
      </c>
    </row>
    <row r="322" spans="1:13" ht="15">
      <c r="A322" t="s">
        <v>3411</v>
      </c>
      <c r="B322" s="1040" t="str">
        <f>CONCATENATE(LEFT(RIGHT(CONCATENATE("000",IFAData_TEA_1819!A322),6),3),"-",(RIGHT(RIGHT(CONCATENATE("000",IFAData_TEA_1819!A322),6),3)))</f>
        <v>019-910</v>
      </c>
      <c r="C322" t="s">
        <v>289</v>
      </c>
      <c r="D322">
        <v>5</v>
      </c>
      <c r="E322">
        <v>2055</v>
      </c>
      <c r="F322" t="s">
        <v>4251</v>
      </c>
      <c r="G322" t="s">
        <v>4251</v>
      </c>
      <c r="H322">
        <v>82900</v>
      </c>
      <c r="I322">
        <v>0</v>
      </c>
      <c r="J322">
        <v>0</v>
      </c>
      <c r="K322">
        <v>0</v>
      </c>
      <c r="L322">
        <v>0</v>
      </c>
      <c r="M322">
        <v>599</v>
      </c>
    </row>
    <row r="323" spans="1:13" ht="15">
      <c r="A323" t="s">
        <v>3411</v>
      </c>
      <c r="B323" s="1040" t="str">
        <f>CONCATENATE(LEFT(RIGHT(CONCATENATE("000",IFAData_TEA_1819!A323),6),3),"-",(RIGHT(RIGHT(CONCATENATE("000",IFAData_TEA_1819!A323),6),3)))</f>
        <v>019-910</v>
      </c>
      <c r="C323" t="s">
        <v>289</v>
      </c>
      <c r="D323">
        <v>5</v>
      </c>
      <c r="E323">
        <v>2055</v>
      </c>
      <c r="F323" t="s">
        <v>4251</v>
      </c>
      <c r="G323" t="s">
        <v>4252</v>
      </c>
      <c r="H323">
        <v>82900</v>
      </c>
      <c r="I323">
        <v>71731</v>
      </c>
      <c r="J323">
        <v>1</v>
      </c>
      <c r="K323">
        <v>82900</v>
      </c>
      <c r="L323">
        <v>71731</v>
      </c>
      <c r="M323">
        <v>599</v>
      </c>
    </row>
    <row r="324" spans="1:13" ht="15">
      <c r="A324" t="s">
        <v>3412</v>
      </c>
      <c r="B324" s="1040" t="str">
        <f>CONCATENATE(LEFT(RIGHT(CONCATENATE("000",IFAData_TEA_1819!A324),6),3),"-",(RIGHT(RIGHT(CONCATENATE("000",IFAData_TEA_1819!A324),6),3)))</f>
        <v>020-901</v>
      </c>
      <c r="C324" t="s">
        <v>1052</v>
      </c>
      <c r="D324">
        <v>5</v>
      </c>
      <c r="E324">
        <v>1567</v>
      </c>
      <c r="F324" t="s">
        <v>4253</v>
      </c>
      <c r="G324" t="s">
        <v>4253</v>
      </c>
      <c r="H324">
        <v>532173</v>
      </c>
      <c r="I324">
        <v>0</v>
      </c>
      <c r="J324">
        <v>0</v>
      </c>
      <c r="K324">
        <v>0</v>
      </c>
      <c r="L324">
        <v>0</v>
      </c>
      <c r="M324">
        <v>599</v>
      </c>
    </row>
    <row r="325" spans="1:13" ht="15">
      <c r="A325" t="s">
        <v>3412</v>
      </c>
      <c r="B325" s="1040" t="str">
        <f>CONCATENATE(LEFT(RIGHT(CONCATENATE("000",IFAData_TEA_1819!A325),6),3),"-",(RIGHT(RIGHT(CONCATENATE("000",IFAData_TEA_1819!A325),6),3)))</f>
        <v>020-901</v>
      </c>
      <c r="C325" t="s">
        <v>1052</v>
      </c>
      <c r="D325">
        <v>5</v>
      </c>
      <c r="E325">
        <v>1567</v>
      </c>
      <c r="F325" t="s">
        <v>4253</v>
      </c>
      <c r="G325" t="s">
        <v>4254</v>
      </c>
      <c r="H325">
        <v>532173</v>
      </c>
      <c r="I325">
        <v>0</v>
      </c>
      <c r="J325">
        <v>0</v>
      </c>
      <c r="K325">
        <v>0</v>
      </c>
      <c r="L325">
        <v>0</v>
      </c>
      <c r="M325">
        <v>599</v>
      </c>
    </row>
    <row r="326" spans="1:13" ht="15">
      <c r="A326" t="s">
        <v>3412</v>
      </c>
      <c r="B326" s="1040" t="str">
        <f>CONCATENATE(LEFT(RIGHT(CONCATENATE("000",IFAData_TEA_1819!A326),6),3),"-",(RIGHT(RIGHT(CONCATENATE("000",IFAData_TEA_1819!A326),6),3)))</f>
        <v>020-901</v>
      </c>
      <c r="C326" t="s">
        <v>1052</v>
      </c>
      <c r="D326">
        <v>5</v>
      </c>
      <c r="E326">
        <v>1567</v>
      </c>
      <c r="F326" t="s">
        <v>4253</v>
      </c>
      <c r="G326" t="s">
        <v>4255</v>
      </c>
      <c r="H326">
        <v>532173</v>
      </c>
      <c r="I326">
        <v>0</v>
      </c>
      <c r="J326">
        <v>0</v>
      </c>
      <c r="K326">
        <v>0</v>
      </c>
      <c r="L326">
        <v>0</v>
      </c>
      <c r="M326">
        <v>599</v>
      </c>
    </row>
    <row r="327" spans="1:13" ht="15">
      <c r="A327" t="s">
        <v>3412</v>
      </c>
      <c r="B327" s="1040" t="str">
        <f>CONCATENATE(LEFT(RIGHT(CONCATENATE("000",IFAData_TEA_1819!A327),6),3),"-",(RIGHT(RIGHT(CONCATENATE("000",IFAData_TEA_1819!A327),6),3)))</f>
        <v>020-901</v>
      </c>
      <c r="C327" t="s">
        <v>1052</v>
      </c>
      <c r="D327">
        <v>5</v>
      </c>
      <c r="E327">
        <v>1567</v>
      </c>
      <c r="F327" t="s">
        <v>4253</v>
      </c>
      <c r="G327" t="s">
        <v>4256</v>
      </c>
      <c r="H327">
        <v>532173</v>
      </c>
      <c r="I327">
        <v>143485</v>
      </c>
      <c r="J327">
        <v>0.221155461569643</v>
      </c>
      <c r="K327">
        <v>117692.965449902</v>
      </c>
      <c r="L327">
        <v>117692.965449902</v>
      </c>
      <c r="M327">
        <v>599</v>
      </c>
    </row>
    <row r="328" spans="1:13" ht="15">
      <c r="A328" t="s">
        <v>3412</v>
      </c>
      <c r="B328" s="1040" t="str">
        <f>CONCATENATE(LEFT(RIGHT(CONCATENATE("000",IFAData_TEA_1819!A328),6),3),"-",(RIGHT(RIGHT(CONCATENATE("000",IFAData_TEA_1819!A328),6),3)))</f>
        <v>020-901</v>
      </c>
      <c r="C328" t="s">
        <v>1052</v>
      </c>
      <c r="D328">
        <v>5</v>
      </c>
      <c r="E328">
        <v>1567</v>
      </c>
      <c r="F328" t="s">
        <v>4253</v>
      </c>
      <c r="G328" t="s">
        <v>6200</v>
      </c>
      <c r="H328">
        <v>532173</v>
      </c>
      <c r="I328">
        <v>449058</v>
      </c>
      <c r="J328">
        <v>0.69213945193951298</v>
      </c>
      <c r="K328">
        <v>368337.928557006</v>
      </c>
      <c r="L328">
        <v>368337.928557006</v>
      </c>
      <c r="M328">
        <v>599</v>
      </c>
    </row>
    <row r="329" spans="1:13" ht="15">
      <c r="A329" t="s">
        <v>3412</v>
      </c>
      <c r="B329" s="1040" t="str">
        <f>CONCATENATE(LEFT(RIGHT(CONCATENATE("000",IFAData_TEA_1819!A329),6),3),"-",(RIGHT(RIGHT(CONCATENATE("000",IFAData_TEA_1819!A329),6),3)))</f>
        <v>020-901</v>
      </c>
      <c r="C329" t="s">
        <v>1052</v>
      </c>
      <c r="D329">
        <v>5</v>
      </c>
      <c r="E329">
        <v>1567</v>
      </c>
      <c r="F329" t="s">
        <v>4253</v>
      </c>
      <c r="G329" t="s">
        <v>6418</v>
      </c>
      <c r="H329">
        <v>532173</v>
      </c>
      <c r="I329">
        <v>24674</v>
      </c>
      <c r="J329">
        <v>3.8030385467257101E-2</v>
      </c>
      <c r="K329">
        <v>20238.744325266602</v>
      </c>
      <c r="L329">
        <v>20238.744325266602</v>
      </c>
      <c r="M329">
        <v>599</v>
      </c>
    </row>
    <row r="330" spans="1:13" ht="15">
      <c r="A330" t="s">
        <v>3412</v>
      </c>
      <c r="B330" s="1040" t="str">
        <f>CONCATENATE(LEFT(RIGHT(CONCATENATE("000",IFAData_TEA_1819!A330),6),3),"-",(RIGHT(RIGHT(CONCATENATE("000",IFAData_TEA_1819!A330),6),3)))</f>
        <v>020-901</v>
      </c>
      <c r="C330" t="s">
        <v>1052</v>
      </c>
      <c r="D330">
        <v>5</v>
      </c>
      <c r="E330">
        <v>1567</v>
      </c>
      <c r="F330" t="s">
        <v>4253</v>
      </c>
      <c r="G330" t="s">
        <v>6417</v>
      </c>
      <c r="H330">
        <v>532173</v>
      </c>
      <c r="I330">
        <v>31580</v>
      </c>
      <c r="J330">
        <v>4.8674701023586703E-2</v>
      </c>
      <c r="K330">
        <v>25903.3616678252</v>
      </c>
      <c r="L330">
        <v>25903.3616678252</v>
      </c>
      <c r="M330">
        <v>599</v>
      </c>
    </row>
    <row r="331" spans="1:13" ht="15">
      <c r="A331" t="s">
        <v>3412</v>
      </c>
      <c r="B331" s="1040" t="str">
        <f>CONCATENATE(LEFT(RIGHT(CONCATENATE("000",IFAData_TEA_1819!A331),6),3),"-",(RIGHT(RIGHT(CONCATENATE("000",IFAData_TEA_1819!A331),6),3)))</f>
        <v>020-901</v>
      </c>
      <c r="C331" t="s">
        <v>1052</v>
      </c>
      <c r="D331">
        <v>5</v>
      </c>
      <c r="E331">
        <v>1566</v>
      </c>
      <c r="F331" t="s">
        <v>4257</v>
      </c>
      <c r="G331" t="s">
        <v>4257</v>
      </c>
      <c r="H331">
        <v>348271</v>
      </c>
      <c r="I331">
        <v>182626</v>
      </c>
      <c r="J331">
        <v>0.34709147960415199</v>
      </c>
      <c r="K331">
        <v>120881.896693217</v>
      </c>
      <c r="L331">
        <v>120881.896693217</v>
      </c>
      <c r="M331">
        <v>599</v>
      </c>
    </row>
    <row r="332" spans="1:13" ht="15">
      <c r="A332" t="s">
        <v>3412</v>
      </c>
      <c r="B332" s="1040" t="str">
        <f>CONCATENATE(LEFT(RIGHT(CONCATENATE("000",IFAData_TEA_1819!A332),6),3),"-",(RIGHT(RIGHT(CONCATENATE("000",IFAData_TEA_1819!A332),6),3)))</f>
        <v>020-901</v>
      </c>
      <c r="C332" t="s">
        <v>1052</v>
      </c>
      <c r="D332">
        <v>5</v>
      </c>
      <c r="E332">
        <v>1566</v>
      </c>
      <c r="F332" t="s">
        <v>4257</v>
      </c>
      <c r="G332" t="s">
        <v>4254</v>
      </c>
      <c r="H332">
        <v>348271</v>
      </c>
      <c r="I332">
        <v>0</v>
      </c>
      <c r="J332">
        <v>0</v>
      </c>
      <c r="K332">
        <v>0</v>
      </c>
      <c r="L332">
        <v>0</v>
      </c>
      <c r="M332">
        <v>599</v>
      </c>
    </row>
    <row r="333" spans="1:13" ht="15">
      <c r="A333" t="s">
        <v>3412</v>
      </c>
      <c r="B333" s="1040" t="str">
        <f>CONCATENATE(LEFT(RIGHT(CONCATENATE("000",IFAData_TEA_1819!A333),6),3),"-",(RIGHT(RIGHT(CONCATENATE("000",IFAData_TEA_1819!A333),6),3)))</f>
        <v>020-901</v>
      </c>
      <c r="C333" t="s">
        <v>1052</v>
      </c>
      <c r="D333">
        <v>5</v>
      </c>
      <c r="E333">
        <v>1566</v>
      </c>
      <c r="F333" t="s">
        <v>4257</v>
      </c>
      <c r="G333" t="s">
        <v>4256</v>
      </c>
      <c r="H333">
        <v>348271</v>
      </c>
      <c r="I333">
        <v>205766</v>
      </c>
      <c r="J333">
        <v>0.391070413808701</v>
      </c>
      <c r="K333">
        <v>136198.48408756999</v>
      </c>
      <c r="L333">
        <v>136198.48408756999</v>
      </c>
      <c r="M333">
        <v>599</v>
      </c>
    </row>
    <row r="334" spans="1:13" ht="15">
      <c r="A334" t="s">
        <v>3412</v>
      </c>
      <c r="B334" s="1040" t="str">
        <f>CONCATENATE(LEFT(RIGHT(CONCATENATE("000",IFAData_TEA_1819!A334),6),3),"-",(RIGHT(RIGHT(CONCATENATE("000",IFAData_TEA_1819!A334),6),3)))</f>
        <v>020-901</v>
      </c>
      <c r="C334" t="s">
        <v>1052</v>
      </c>
      <c r="D334">
        <v>5</v>
      </c>
      <c r="E334">
        <v>1566</v>
      </c>
      <c r="F334" t="s">
        <v>4257</v>
      </c>
      <c r="G334" t="s">
        <v>6200</v>
      </c>
      <c r="H334">
        <v>348271</v>
      </c>
      <c r="I334">
        <v>137769</v>
      </c>
      <c r="J334">
        <v>0.26183810658714701</v>
      </c>
      <c r="K334">
        <v>91190.6192192124</v>
      </c>
      <c r="L334">
        <v>91190.6192192124</v>
      </c>
      <c r="M334">
        <v>599</v>
      </c>
    </row>
    <row r="335" spans="1:13" ht="15">
      <c r="A335" t="s">
        <v>3412</v>
      </c>
      <c r="B335" s="1040" t="str">
        <f>CONCATENATE(LEFT(RIGHT(CONCATENATE("000",IFAData_TEA_1819!A335),6),3),"-",(RIGHT(RIGHT(CONCATENATE("000",IFAData_TEA_1819!A335),6),3)))</f>
        <v>020-901</v>
      </c>
      <c r="C335" t="s">
        <v>1052</v>
      </c>
      <c r="D335">
        <v>6</v>
      </c>
      <c r="E335">
        <v>1565</v>
      </c>
      <c r="F335" t="s">
        <v>4258</v>
      </c>
      <c r="G335" t="s">
        <v>4258</v>
      </c>
      <c r="H335">
        <v>310452</v>
      </c>
      <c r="I335">
        <v>0</v>
      </c>
      <c r="J335">
        <v>0</v>
      </c>
      <c r="K335">
        <v>0</v>
      </c>
      <c r="L335">
        <v>0</v>
      </c>
      <c r="M335">
        <v>599</v>
      </c>
    </row>
    <row r="336" spans="1:13" ht="15">
      <c r="A336" t="s">
        <v>3412</v>
      </c>
      <c r="B336" s="1040" t="str">
        <f>CONCATENATE(LEFT(RIGHT(CONCATENATE("000",IFAData_TEA_1819!A336),6),3),"-",(RIGHT(RIGHT(CONCATENATE("000",IFAData_TEA_1819!A336),6),3)))</f>
        <v>020-901</v>
      </c>
      <c r="C336" t="s">
        <v>1052</v>
      </c>
      <c r="D336">
        <v>6</v>
      </c>
      <c r="E336">
        <v>1565</v>
      </c>
      <c r="F336" t="s">
        <v>4258</v>
      </c>
      <c r="G336" t="s">
        <v>4255</v>
      </c>
      <c r="H336">
        <v>310452</v>
      </c>
      <c r="I336">
        <v>93051</v>
      </c>
      <c r="J336">
        <v>0.10477760474551299</v>
      </c>
      <c r="K336">
        <v>32528.416948454</v>
      </c>
      <c r="L336">
        <v>32528.416948454</v>
      </c>
      <c r="M336">
        <v>599</v>
      </c>
    </row>
    <row r="337" spans="1:13" ht="15">
      <c r="A337" t="s">
        <v>3412</v>
      </c>
      <c r="B337" s="1040" t="str">
        <f>CONCATENATE(LEFT(RIGHT(CONCATENATE("000",IFAData_TEA_1819!A337),6),3),"-",(RIGHT(RIGHT(CONCATENATE("000",IFAData_TEA_1819!A337),6),3)))</f>
        <v>020-901</v>
      </c>
      <c r="C337" t="s">
        <v>1052</v>
      </c>
      <c r="D337">
        <v>6</v>
      </c>
      <c r="E337">
        <v>1565</v>
      </c>
      <c r="F337" t="s">
        <v>4258</v>
      </c>
      <c r="G337" t="s">
        <v>4259</v>
      </c>
      <c r="H337">
        <v>310452</v>
      </c>
      <c r="I337">
        <v>595734</v>
      </c>
      <c r="J337">
        <v>0.67081043283214004</v>
      </c>
      <c r="K337">
        <v>208254.44049360399</v>
      </c>
      <c r="L337">
        <v>208254.44049360399</v>
      </c>
      <c r="M337">
        <v>599</v>
      </c>
    </row>
    <row r="338" spans="1:13" ht="15">
      <c r="A338" t="s">
        <v>3412</v>
      </c>
      <c r="B338" s="1040" t="str">
        <f>CONCATENATE(LEFT(RIGHT(CONCATENATE("000",IFAData_TEA_1819!A338),6),3),"-",(RIGHT(RIGHT(CONCATENATE("000",IFAData_TEA_1819!A338),6),3)))</f>
        <v>020-901</v>
      </c>
      <c r="C338" t="s">
        <v>1052</v>
      </c>
      <c r="D338">
        <v>6</v>
      </c>
      <c r="E338">
        <v>1565</v>
      </c>
      <c r="F338" t="s">
        <v>4258</v>
      </c>
      <c r="G338" t="s">
        <v>6200</v>
      </c>
      <c r="H338">
        <v>310452</v>
      </c>
      <c r="I338">
        <v>171901</v>
      </c>
      <c r="J338">
        <v>0.19356455098127301</v>
      </c>
      <c r="K338">
        <v>60092.501981238202</v>
      </c>
      <c r="L338">
        <v>60092.501981238202</v>
      </c>
      <c r="M338">
        <v>599</v>
      </c>
    </row>
    <row r="339" spans="1:13" ht="15">
      <c r="A339" t="s">
        <v>3412</v>
      </c>
      <c r="B339" s="1040" t="str">
        <f>CONCATENATE(LEFT(RIGHT(CONCATENATE("000",IFAData_TEA_1819!A339),6),3),"-",(RIGHT(RIGHT(CONCATENATE("000",IFAData_TEA_1819!A339),6),3)))</f>
        <v>020-901</v>
      </c>
      <c r="C339" t="s">
        <v>1052</v>
      </c>
      <c r="D339">
        <v>6</v>
      </c>
      <c r="E339">
        <v>1565</v>
      </c>
      <c r="F339" t="s">
        <v>4258</v>
      </c>
      <c r="G339" t="s">
        <v>6418</v>
      </c>
      <c r="H339">
        <v>310452</v>
      </c>
      <c r="I339">
        <v>12016</v>
      </c>
      <c r="J339">
        <v>1.3530297349003099E-2</v>
      </c>
      <c r="K339">
        <v>4200.5078725926996</v>
      </c>
      <c r="L339">
        <v>4200.5078725926996</v>
      </c>
      <c r="M339">
        <v>599</v>
      </c>
    </row>
    <row r="340" spans="1:13" ht="15">
      <c r="A340" t="s">
        <v>3412</v>
      </c>
      <c r="B340" s="1040" t="str">
        <f>CONCATENATE(LEFT(RIGHT(CONCATENATE("000",IFAData_TEA_1819!A340),6),3),"-",(RIGHT(RIGHT(CONCATENATE("000",IFAData_TEA_1819!A340),6),3)))</f>
        <v>020-901</v>
      </c>
      <c r="C340" t="s">
        <v>1052</v>
      </c>
      <c r="D340">
        <v>6</v>
      </c>
      <c r="E340">
        <v>1565</v>
      </c>
      <c r="F340" t="s">
        <v>4258</v>
      </c>
      <c r="G340" t="s">
        <v>6417</v>
      </c>
      <c r="H340">
        <v>310452</v>
      </c>
      <c r="I340">
        <v>15379</v>
      </c>
      <c r="J340">
        <v>1.7317114092070401E-2</v>
      </c>
      <c r="K340">
        <v>5376.13270411145</v>
      </c>
      <c r="L340">
        <v>5376.13270411145</v>
      </c>
      <c r="M340">
        <v>599</v>
      </c>
    </row>
    <row r="341" spans="1:13" ht="15">
      <c r="A341" t="s">
        <v>3412</v>
      </c>
      <c r="B341" s="1040" t="str">
        <f>CONCATENATE(LEFT(RIGHT(CONCATENATE("000",IFAData_TEA_1819!A341),6),3),"-",(RIGHT(RIGHT(CONCATENATE("000",IFAData_TEA_1819!A341),6),3)))</f>
        <v>020-901</v>
      </c>
      <c r="C341" t="s">
        <v>1052</v>
      </c>
      <c r="D341">
        <v>10</v>
      </c>
      <c r="E341">
        <v>1568</v>
      </c>
      <c r="F341" t="s">
        <v>4260</v>
      </c>
      <c r="G341" t="s">
        <v>4260</v>
      </c>
      <c r="H341">
        <v>750900</v>
      </c>
      <c r="I341">
        <v>835127</v>
      </c>
      <c r="J341">
        <v>1</v>
      </c>
      <c r="K341">
        <v>750900</v>
      </c>
      <c r="L341">
        <v>750900</v>
      </c>
      <c r="M341">
        <v>599</v>
      </c>
    </row>
    <row r="342" spans="1:13" ht="15">
      <c r="A342" t="s">
        <v>3412</v>
      </c>
      <c r="B342" s="1040" t="str">
        <f>CONCATENATE(LEFT(RIGHT(CONCATENATE("000",IFAData_TEA_1819!A342),6),3),"-",(RIGHT(RIGHT(CONCATENATE("000",IFAData_TEA_1819!A342),6),3)))</f>
        <v>020-901</v>
      </c>
      <c r="C342" t="s">
        <v>1052</v>
      </c>
      <c r="D342">
        <v>11</v>
      </c>
      <c r="E342">
        <v>2501</v>
      </c>
      <c r="F342" t="s">
        <v>6417</v>
      </c>
      <c r="G342" t="s">
        <v>6417</v>
      </c>
      <c r="H342">
        <v>2121839</v>
      </c>
      <c r="I342">
        <v>3932792</v>
      </c>
      <c r="J342">
        <v>1</v>
      </c>
      <c r="K342">
        <v>2121839</v>
      </c>
      <c r="L342">
        <v>2121839</v>
      </c>
      <c r="M342">
        <v>599</v>
      </c>
    </row>
    <row r="343" spans="1:13" ht="15">
      <c r="A343" t="s">
        <v>3412</v>
      </c>
      <c r="B343" s="1040" t="str">
        <f>CONCATENATE(LEFT(RIGHT(CONCATENATE("000",IFAData_TEA_1819!A343),6),3),"-",(RIGHT(RIGHT(CONCATENATE("000",IFAData_TEA_1819!A343),6),3)))</f>
        <v>020-901</v>
      </c>
      <c r="C343" t="s">
        <v>1052</v>
      </c>
      <c r="D343">
        <v>11</v>
      </c>
      <c r="E343">
        <v>2500</v>
      </c>
      <c r="F343" t="s">
        <v>8327</v>
      </c>
      <c r="G343" t="s">
        <v>8327</v>
      </c>
      <c r="H343">
        <v>3082328</v>
      </c>
      <c r="I343">
        <v>2786552</v>
      </c>
      <c r="J343">
        <v>1</v>
      </c>
      <c r="K343">
        <v>3082328</v>
      </c>
      <c r="L343">
        <v>2786552</v>
      </c>
      <c r="M343">
        <v>599</v>
      </c>
    </row>
    <row r="344" spans="1:13" ht="15">
      <c r="A344" t="s">
        <v>3413</v>
      </c>
      <c r="B344" s="1040" t="str">
        <f>CONCATENATE(LEFT(RIGHT(CONCATENATE("000",IFAData_TEA_1819!A344),6),3),"-",(RIGHT(RIGHT(CONCATENATE("000",IFAData_TEA_1819!A344),6),3)))</f>
        <v>020-904</v>
      </c>
      <c r="C344" t="s">
        <v>2662</v>
      </c>
      <c r="D344">
        <v>4</v>
      </c>
      <c r="E344">
        <v>1744</v>
      </c>
      <c r="F344" t="s">
        <v>4261</v>
      </c>
      <c r="G344" t="s">
        <v>4261</v>
      </c>
      <c r="H344">
        <v>187870</v>
      </c>
      <c r="I344">
        <v>0</v>
      </c>
      <c r="J344">
        <v>0</v>
      </c>
      <c r="K344">
        <v>0</v>
      </c>
      <c r="L344">
        <v>0</v>
      </c>
      <c r="M344">
        <v>599</v>
      </c>
    </row>
    <row r="345" spans="1:13" ht="15">
      <c r="A345" t="s">
        <v>3413</v>
      </c>
      <c r="B345" s="1040" t="str">
        <f>CONCATENATE(LEFT(RIGHT(CONCATENATE("000",IFAData_TEA_1819!A345),6),3),"-",(RIGHT(RIGHT(CONCATENATE("000",IFAData_TEA_1819!A345),6),3)))</f>
        <v>020-904</v>
      </c>
      <c r="C345" t="s">
        <v>2662</v>
      </c>
      <c r="D345">
        <v>4</v>
      </c>
      <c r="E345">
        <v>1744</v>
      </c>
      <c r="F345" t="s">
        <v>4261</v>
      </c>
      <c r="G345" t="s">
        <v>4262</v>
      </c>
      <c r="H345">
        <v>187870</v>
      </c>
      <c r="I345">
        <v>0</v>
      </c>
      <c r="J345">
        <v>0</v>
      </c>
      <c r="K345">
        <v>0</v>
      </c>
      <c r="L345">
        <v>0</v>
      </c>
      <c r="M345">
        <v>599</v>
      </c>
    </row>
    <row r="346" spans="1:13" ht="15">
      <c r="A346" t="s">
        <v>3413</v>
      </c>
      <c r="B346" s="1040" t="str">
        <f>CONCATENATE(LEFT(RIGHT(CONCATENATE("000",IFAData_TEA_1819!A346),6),3),"-",(RIGHT(RIGHT(CONCATENATE("000",IFAData_TEA_1819!A346),6),3)))</f>
        <v>020-904</v>
      </c>
      <c r="C346" t="s">
        <v>2662</v>
      </c>
      <c r="D346">
        <v>4</v>
      </c>
      <c r="E346">
        <v>1744</v>
      </c>
      <c r="F346" t="s">
        <v>4261</v>
      </c>
      <c r="G346" t="s">
        <v>6419</v>
      </c>
      <c r="H346">
        <v>187870</v>
      </c>
      <c r="I346">
        <v>195697</v>
      </c>
      <c r="J346">
        <v>1</v>
      </c>
      <c r="K346">
        <v>187870</v>
      </c>
      <c r="L346">
        <v>187870</v>
      </c>
      <c r="M346">
        <v>599</v>
      </c>
    </row>
    <row r="347" spans="1:13" ht="15">
      <c r="A347" t="s">
        <v>3414</v>
      </c>
      <c r="B347" s="1040" t="str">
        <f>CONCATENATE(LEFT(RIGHT(CONCATENATE("000",IFAData_TEA_1819!A347),6),3),"-",(RIGHT(RIGHT(CONCATENATE("000",IFAData_TEA_1819!A347),6),3)))</f>
        <v>020-907</v>
      </c>
      <c r="C347" t="s">
        <v>1548</v>
      </c>
      <c r="D347">
        <v>3</v>
      </c>
      <c r="E347">
        <v>1708</v>
      </c>
      <c r="F347" t="s">
        <v>4263</v>
      </c>
      <c r="G347" t="s">
        <v>4263</v>
      </c>
      <c r="H347">
        <v>361373</v>
      </c>
      <c r="I347">
        <v>0</v>
      </c>
      <c r="J347">
        <v>0</v>
      </c>
      <c r="K347">
        <v>0</v>
      </c>
      <c r="L347">
        <v>0</v>
      </c>
      <c r="M347">
        <v>599</v>
      </c>
    </row>
    <row r="348" spans="1:13" ht="15">
      <c r="A348" t="s">
        <v>3414</v>
      </c>
      <c r="B348" s="1040" t="str">
        <f>CONCATENATE(LEFT(RIGHT(CONCATENATE("000",IFAData_TEA_1819!A348),6),3),"-",(RIGHT(RIGHT(CONCATENATE("000",IFAData_TEA_1819!A348),6),3)))</f>
        <v>020-907</v>
      </c>
      <c r="C348" t="s">
        <v>1548</v>
      </c>
      <c r="D348">
        <v>3</v>
      </c>
      <c r="E348">
        <v>1708</v>
      </c>
      <c r="F348" t="s">
        <v>4263</v>
      </c>
      <c r="G348" t="s">
        <v>4264</v>
      </c>
      <c r="H348">
        <v>361373</v>
      </c>
      <c r="I348">
        <v>0</v>
      </c>
      <c r="J348">
        <v>0</v>
      </c>
      <c r="K348">
        <v>0</v>
      </c>
      <c r="L348">
        <v>0</v>
      </c>
      <c r="M348">
        <v>599</v>
      </c>
    </row>
    <row r="349" spans="1:13" ht="15">
      <c r="A349" t="s">
        <v>3414</v>
      </c>
      <c r="B349" s="1040" t="str">
        <f>CONCATENATE(LEFT(RIGHT(CONCATENATE("000",IFAData_TEA_1819!A349),6),3),"-",(RIGHT(RIGHT(CONCATENATE("000",IFAData_TEA_1819!A349),6),3)))</f>
        <v>020-907</v>
      </c>
      <c r="C349" t="s">
        <v>1548</v>
      </c>
      <c r="D349">
        <v>3</v>
      </c>
      <c r="E349">
        <v>1708</v>
      </c>
      <c r="F349" t="s">
        <v>4263</v>
      </c>
      <c r="G349" t="s">
        <v>4265</v>
      </c>
      <c r="H349">
        <v>361373</v>
      </c>
      <c r="I349">
        <v>0</v>
      </c>
      <c r="J349">
        <v>0</v>
      </c>
      <c r="K349">
        <v>0</v>
      </c>
      <c r="L349">
        <v>0</v>
      </c>
      <c r="M349">
        <v>599</v>
      </c>
    </row>
    <row r="350" spans="1:13" ht="15">
      <c r="A350" t="s">
        <v>3414</v>
      </c>
      <c r="B350" s="1040" t="str">
        <f>CONCATENATE(LEFT(RIGHT(CONCATENATE("000",IFAData_TEA_1819!A350),6),3),"-",(RIGHT(RIGHT(CONCATENATE("000",IFAData_TEA_1819!A350),6),3)))</f>
        <v>020-907</v>
      </c>
      <c r="C350" t="s">
        <v>1548</v>
      </c>
      <c r="D350">
        <v>3</v>
      </c>
      <c r="E350">
        <v>1708</v>
      </c>
      <c r="F350" t="s">
        <v>4263</v>
      </c>
      <c r="G350" t="s">
        <v>6420</v>
      </c>
      <c r="H350">
        <v>361373</v>
      </c>
      <c r="I350">
        <v>349518</v>
      </c>
      <c r="J350">
        <v>1</v>
      </c>
      <c r="K350">
        <v>361373</v>
      </c>
      <c r="L350">
        <v>349518</v>
      </c>
      <c r="M350">
        <v>599</v>
      </c>
    </row>
    <row r="351" spans="1:13" ht="15">
      <c r="A351" t="s">
        <v>3415</v>
      </c>
      <c r="B351" s="1040" t="str">
        <f>CONCATENATE(LEFT(RIGHT(CONCATENATE("000",IFAData_TEA_1819!A351),6),3),"-",(RIGHT(RIGHT(CONCATENATE("000",IFAData_TEA_1819!A351),6),3)))</f>
        <v>020-908</v>
      </c>
      <c r="C351" t="s">
        <v>273</v>
      </c>
      <c r="D351">
        <v>1</v>
      </c>
      <c r="E351">
        <v>2180</v>
      </c>
      <c r="F351" t="s">
        <v>4266</v>
      </c>
      <c r="G351" t="s">
        <v>4266</v>
      </c>
      <c r="H351">
        <v>1598791</v>
      </c>
      <c r="I351">
        <v>0</v>
      </c>
      <c r="J351">
        <v>0</v>
      </c>
      <c r="K351">
        <v>0</v>
      </c>
      <c r="L351">
        <v>0</v>
      </c>
      <c r="M351">
        <v>599</v>
      </c>
    </row>
    <row r="352" spans="1:13" ht="15">
      <c r="A352" t="s">
        <v>3415</v>
      </c>
      <c r="B352" s="1040" t="str">
        <f>CONCATENATE(LEFT(RIGHT(CONCATENATE("000",IFAData_TEA_1819!A352),6),3),"-",(RIGHT(RIGHT(CONCATENATE("000",IFAData_TEA_1819!A352),6),3)))</f>
        <v>020-908</v>
      </c>
      <c r="C352" t="s">
        <v>273</v>
      </c>
      <c r="D352">
        <v>1</v>
      </c>
      <c r="E352">
        <v>2180</v>
      </c>
      <c r="F352" t="s">
        <v>4266</v>
      </c>
      <c r="G352" t="s">
        <v>4267</v>
      </c>
      <c r="H352">
        <v>1598791</v>
      </c>
      <c r="I352">
        <v>0</v>
      </c>
      <c r="J352">
        <v>0</v>
      </c>
      <c r="K352">
        <v>0</v>
      </c>
      <c r="L352">
        <v>0</v>
      </c>
      <c r="M352">
        <v>599</v>
      </c>
    </row>
    <row r="353" spans="1:13" ht="15">
      <c r="A353" t="s">
        <v>3415</v>
      </c>
      <c r="B353" s="1040" t="str">
        <f>CONCATENATE(LEFT(RIGHT(CONCATENATE("000",IFAData_TEA_1819!A353),6),3),"-",(RIGHT(RIGHT(CONCATENATE("000",IFAData_TEA_1819!A353),6),3)))</f>
        <v>020-908</v>
      </c>
      <c r="C353" t="s">
        <v>273</v>
      </c>
      <c r="D353">
        <v>1</v>
      </c>
      <c r="E353">
        <v>2180</v>
      </c>
      <c r="F353" t="s">
        <v>4266</v>
      </c>
      <c r="G353" t="s">
        <v>4268</v>
      </c>
      <c r="H353">
        <v>1598791</v>
      </c>
      <c r="I353">
        <v>0</v>
      </c>
      <c r="J353">
        <v>0</v>
      </c>
      <c r="K353">
        <v>0</v>
      </c>
      <c r="L353">
        <v>0</v>
      </c>
      <c r="M353">
        <v>599</v>
      </c>
    </row>
    <row r="354" spans="1:13" ht="15">
      <c r="A354" t="s">
        <v>3415</v>
      </c>
      <c r="B354" s="1040" t="str">
        <f>CONCATENATE(LEFT(RIGHT(CONCATENATE("000",IFAData_TEA_1819!A354),6),3),"-",(RIGHT(RIGHT(CONCATENATE("000",IFAData_TEA_1819!A354),6),3)))</f>
        <v>020-908</v>
      </c>
      <c r="C354" t="s">
        <v>273</v>
      </c>
      <c r="D354">
        <v>1</v>
      </c>
      <c r="E354">
        <v>2180</v>
      </c>
      <c r="F354" t="s">
        <v>4266</v>
      </c>
      <c r="G354" t="s">
        <v>4269</v>
      </c>
      <c r="H354">
        <v>1598791</v>
      </c>
      <c r="I354">
        <v>0</v>
      </c>
      <c r="J354">
        <v>0</v>
      </c>
      <c r="K354">
        <v>0</v>
      </c>
      <c r="L354">
        <v>0</v>
      </c>
      <c r="M354">
        <v>599</v>
      </c>
    </row>
    <row r="355" spans="1:13" ht="15">
      <c r="A355" t="s">
        <v>3415</v>
      </c>
      <c r="B355" s="1040" t="str">
        <f>CONCATENATE(LEFT(RIGHT(CONCATENATE("000",IFAData_TEA_1819!A355),6),3),"-",(RIGHT(RIGHT(CONCATENATE("000",IFAData_TEA_1819!A355),6),3)))</f>
        <v>020-908</v>
      </c>
      <c r="C355" t="s">
        <v>273</v>
      </c>
      <c r="D355">
        <v>1</v>
      </c>
      <c r="E355">
        <v>2180</v>
      </c>
      <c r="F355" t="s">
        <v>4266</v>
      </c>
      <c r="G355" t="s">
        <v>4270</v>
      </c>
      <c r="H355">
        <v>1598791</v>
      </c>
      <c r="I355">
        <v>236044</v>
      </c>
      <c r="J355">
        <v>0.20139963720693699</v>
      </c>
      <c r="K355">
        <v>321995.927369716</v>
      </c>
      <c r="L355">
        <v>236044</v>
      </c>
      <c r="M355">
        <v>599</v>
      </c>
    </row>
    <row r="356" spans="1:13" ht="15">
      <c r="A356" t="s">
        <v>3415</v>
      </c>
      <c r="B356" s="1040" t="str">
        <f>CONCATENATE(LEFT(RIGHT(CONCATENATE("000",IFAData_TEA_1819!A356),6),3),"-",(RIGHT(RIGHT(CONCATENATE("000",IFAData_TEA_1819!A356),6),3)))</f>
        <v>020-908</v>
      </c>
      <c r="C356" t="s">
        <v>273</v>
      </c>
      <c r="D356">
        <v>1</v>
      </c>
      <c r="E356">
        <v>2180</v>
      </c>
      <c r="F356" t="s">
        <v>4266</v>
      </c>
      <c r="G356" t="s">
        <v>4271</v>
      </c>
      <c r="H356">
        <v>1598791</v>
      </c>
      <c r="I356">
        <v>41482</v>
      </c>
      <c r="J356">
        <v>3.5393654363670202E-2</v>
      </c>
      <c r="K356">
        <v>56587.056053746601</v>
      </c>
      <c r="L356">
        <v>41482</v>
      </c>
      <c r="M356">
        <v>599</v>
      </c>
    </row>
    <row r="357" spans="1:13" ht="15">
      <c r="A357" t="s">
        <v>3415</v>
      </c>
      <c r="B357" s="1040" t="str">
        <f>CONCATENATE(LEFT(RIGHT(CONCATENATE("000",IFAData_TEA_1819!A357),6),3),"-",(RIGHT(RIGHT(CONCATENATE("000",IFAData_TEA_1819!A357),6),3)))</f>
        <v>020-908</v>
      </c>
      <c r="C357" t="s">
        <v>273</v>
      </c>
      <c r="D357">
        <v>1</v>
      </c>
      <c r="E357">
        <v>2180</v>
      </c>
      <c r="F357" t="s">
        <v>4266</v>
      </c>
      <c r="G357" t="s">
        <v>6201</v>
      </c>
      <c r="H357">
        <v>1598791</v>
      </c>
      <c r="I357">
        <v>5241</v>
      </c>
      <c r="J357">
        <v>4.47177432428512E-3</v>
      </c>
      <c r="K357">
        <v>7149.4325436981298</v>
      </c>
      <c r="L357">
        <v>5241</v>
      </c>
      <c r="M357">
        <v>599</v>
      </c>
    </row>
    <row r="358" spans="1:13" ht="15">
      <c r="A358" t="s">
        <v>3415</v>
      </c>
      <c r="B358" s="1040" t="str">
        <f>CONCATENATE(LEFT(RIGHT(CONCATENATE("000",IFAData_TEA_1819!A358),6),3),"-",(RIGHT(RIGHT(CONCATENATE("000",IFAData_TEA_1819!A358),6),3)))</f>
        <v>020-908</v>
      </c>
      <c r="C358" t="s">
        <v>273</v>
      </c>
      <c r="D358">
        <v>1</v>
      </c>
      <c r="E358">
        <v>2180</v>
      </c>
      <c r="F358" t="s">
        <v>4266</v>
      </c>
      <c r="G358" t="s">
        <v>4272</v>
      </c>
      <c r="H358">
        <v>1598791</v>
      </c>
      <c r="I358">
        <v>207121</v>
      </c>
      <c r="J358">
        <v>0.17672168857474899</v>
      </c>
      <c r="K358">
        <v>282541.04519811098</v>
      </c>
      <c r="L358">
        <v>207121</v>
      </c>
      <c r="M358">
        <v>599</v>
      </c>
    </row>
    <row r="359" spans="1:13" ht="15">
      <c r="A359" t="s">
        <v>3415</v>
      </c>
      <c r="B359" s="1040" t="str">
        <f>CONCATENATE(LEFT(RIGHT(CONCATENATE("000",IFAData_TEA_1819!A359),6),3),"-",(RIGHT(RIGHT(CONCATENATE("000",IFAData_TEA_1819!A359),6),3)))</f>
        <v>020-908</v>
      </c>
      <c r="C359" t="s">
        <v>273</v>
      </c>
      <c r="D359">
        <v>1</v>
      </c>
      <c r="E359">
        <v>2180</v>
      </c>
      <c r="F359" t="s">
        <v>4266</v>
      </c>
      <c r="G359" t="s">
        <v>6202</v>
      </c>
      <c r="H359">
        <v>1598791</v>
      </c>
      <c r="I359">
        <v>35550</v>
      </c>
      <c r="J359">
        <v>3.0332298650703301E-2</v>
      </c>
      <c r="K359">
        <v>48495.006092056603</v>
      </c>
      <c r="L359">
        <v>35550</v>
      </c>
      <c r="M359">
        <v>599</v>
      </c>
    </row>
    <row r="360" spans="1:13" ht="15">
      <c r="A360" t="s">
        <v>3415</v>
      </c>
      <c r="B360" s="1040" t="str">
        <f>CONCATENATE(LEFT(RIGHT(CONCATENATE("000",IFAData_TEA_1819!A360),6),3),"-",(RIGHT(RIGHT(CONCATENATE("000",IFAData_TEA_1819!A360),6),3)))</f>
        <v>020-908</v>
      </c>
      <c r="C360" t="s">
        <v>273</v>
      </c>
      <c r="D360">
        <v>1</v>
      </c>
      <c r="E360">
        <v>2180</v>
      </c>
      <c r="F360" t="s">
        <v>4266</v>
      </c>
      <c r="G360" t="s">
        <v>8328</v>
      </c>
      <c r="H360">
        <v>1598791</v>
      </c>
      <c r="I360">
        <v>646580</v>
      </c>
      <c r="J360">
        <v>0.55168094687965497</v>
      </c>
      <c r="K360">
        <v>882022.53274267097</v>
      </c>
      <c r="L360">
        <v>646580</v>
      </c>
      <c r="M360">
        <v>599</v>
      </c>
    </row>
    <row r="361" spans="1:13" ht="15">
      <c r="A361" t="s">
        <v>3416</v>
      </c>
      <c r="B361" s="1040" t="str">
        <f>CONCATENATE(LEFT(RIGHT(CONCATENATE("000",IFAData_TEA_1819!A361),6),3),"-",(RIGHT(RIGHT(CONCATENATE("000",IFAData_TEA_1819!A361),6),3)))</f>
        <v>020-910</v>
      </c>
      <c r="C361" t="s">
        <v>2493</v>
      </c>
      <c r="D361">
        <v>10</v>
      </c>
      <c r="E361">
        <v>1743</v>
      </c>
      <c r="F361" t="s">
        <v>4273</v>
      </c>
      <c r="G361" t="s">
        <v>4273</v>
      </c>
      <c r="H361">
        <v>100000</v>
      </c>
      <c r="I361">
        <v>167606</v>
      </c>
      <c r="J361">
        <v>1</v>
      </c>
      <c r="K361">
        <v>100000</v>
      </c>
      <c r="L361">
        <v>100000</v>
      </c>
      <c r="M361">
        <v>199</v>
      </c>
    </row>
    <row r="362" spans="1:13" ht="15">
      <c r="A362" t="s">
        <v>3417</v>
      </c>
      <c r="B362" s="1040" t="str">
        <f>CONCATENATE(LEFT(RIGHT(CONCATENATE("000",IFAData_TEA_1819!A362),6),3),"-",(RIGHT(RIGHT(CONCATENATE("000",IFAData_TEA_1819!A362),6),3)))</f>
        <v>021-901</v>
      </c>
      <c r="C362" t="s">
        <v>1169</v>
      </c>
      <c r="D362">
        <v>2</v>
      </c>
      <c r="E362">
        <v>1705</v>
      </c>
      <c r="F362" t="s">
        <v>4274</v>
      </c>
      <c r="G362" t="s">
        <v>4274</v>
      </c>
      <c r="H362">
        <v>1632000</v>
      </c>
      <c r="I362">
        <v>0</v>
      </c>
      <c r="J362">
        <v>0</v>
      </c>
      <c r="K362"/>
      <c r="L362">
        <v>0</v>
      </c>
      <c r="M362">
        <v>599</v>
      </c>
    </row>
    <row r="363" spans="1:13" ht="15">
      <c r="A363" t="s">
        <v>3418</v>
      </c>
      <c r="B363" s="1040" t="str">
        <f>CONCATENATE(LEFT(RIGHT(CONCATENATE("000",IFAData_TEA_1819!A363),6),3),"-",(RIGHT(RIGHT(CONCATENATE("000",IFAData_TEA_1819!A363),6),3)))</f>
        <v>021-902</v>
      </c>
      <c r="C363" t="s">
        <v>2636</v>
      </c>
      <c r="D363">
        <v>2</v>
      </c>
      <c r="E363">
        <v>1647</v>
      </c>
      <c r="F363" t="s">
        <v>4277</v>
      </c>
      <c r="G363" t="s">
        <v>4277</v>
      </c>
      <c r="H363">
        <v>1547958</v>
      </c>
      <c r="I363">
        <v>0</v>
      </c>
      <c r="J363">
        <v>0</v>
      </c>
      <c r="K363"/>
      <c r="L363">
        <v>0</v>
      </c>
      <c r="M363">
        <v>199</v>
      </c>
    </row>
    <row r="364" spans="1:13" ht="15">
      <c r="A364" t="s">
        <v>3418</v>
      </c>
      <c r="B364" s="1040" t="str">
        <f>CONCATENATE(LEFT(RIGHT(CONCATENATE("000",IFAData_TEA_1819!A364),6),3),"-",(RIGHT(RIGHT(CONCATENATE("000",IFAData_TEA_1819!A364),6),3)))</f>
        <v>021-902</v>
      </c>
      <c r="C364" t="s">
        <v>2636</v>
      </c>
      <c r="D364">
        <v>6</v>
      </c>
      <c r="E364">
        <v>1646</v>
      </c>
      <c r="F364" t="s">
        <v>4278</v>
      </c>
      <c r="G364" t="s">
        <v>4278</v>
      </c>
      <c r="H364">
        <v>424846</v>
      </c>
      <c r="I364">
        <v>0</v>
      </c>
      <c r="J364">
        <v>0</v>
      </c>
      <c r="K364"/>
      <c r="L364">
        <v>0</v>
      </c>
      <c r="M364">
        <v>599</v>
      </c>
    </row>
    <row r="365" spans="1:13" ht="15">
      <c r="A365" t="s">
        <v>3418</v>
      </c>
      <c r="B365" s="1040" t="str">
        <f>CONCATENATE(LEFT(RIGHT(CONCATENATE("000",IFAData_TEA_1819!A365),6),3),"-",(RIGHT(RIGHT(CONCATENATE("000",IFAData_TEA_1819!A365),6),3)))</f>
        <v>021-902</v>
      </c>
      <c r="C365" t="s">
        <v>2636</v>
      </c>
      <c r="D365">
        <v>9</v>
      </c>
      <c r="E365">
        <v>1648</v>
      </c>
      <c r="F365" t="s">
        <v>4279</v>
      </c>
      <c r="G365" t="s">
        <v>4279</v>
      </c>
      <c r="H365">
        <v>2150873</v>
      </c>
      <c r="I365">
        <v>156234</v>
      </c>
      <c r="J365">
        <v>5.2367785871081901E-2</v>
      </c>
      <c r="K365">
        <v>112636.45669989201</v>
      </c>
      <c r="L365">
        <v>112636.45669989201</v>
      </c>
      <c r="M365">
        <v>599</v>
      </c>
    </row>
    <row r="366" spans="1:13" ht="15">
      <c r="A366" t="s">
        <v>3418</v>
      </c>
      <c r="B366" s="1040" t="str">
        <f>CONCATENATE(LEFT(RIGHT(CONCATENATE("000",IFAData_TEA_1819!A366),6),3),"-",(RIGHT(RIGHT(CONCATENATE("000",IFAData_TEA_1819!A366),6),3)))</f>
        <v>021-902</v>
      </c>
      <c r="C366" t="s">
        <v>2636</v>
      </c>
      <c r="D366">
        <v>9</v>
      </c>
      <c r="E366">
        <v>1648</v>
      </c>
      <c r="F366" t="s">
        <v>4279</v>
      </c>
      <c r="G366" t="s">
        <v>8527</v>
      </c>
      <c r="H366">
        <v>2150873</v>
      </c>
      <c r="I366">
        <v>2827165</v>
      </c>
      <c r="J366">
        <v>0.94763221412891796</v>
      </c>
      <c r="K366">
        <v>2038236.5433001099</v>
      </c>
      <c r="L366">
        <v>2038236.5433001099</v>
      </c>
      <c r="M366">
        <v>599</v>
      </c>
    </row>
    <row r="367" spans="1:13" ht="15">
      <c r="A367" t="s">
        <v>3419</v>
      </c>
      <c r="B367" s="1040" t="str">
        <f>CONCATENATE(LEFT(RIGHT(CONCATENATE("000",IFAData_TEA_1819!A367),6),3),"-",(RIGHT(RIGHT(CONCATENATE("000",IFAData_TEA_1819!A367),6),3)))</f>
        <v>025-904</v>
      </c>
      <c r="C367" t="s">
        <v>1343</v>
      </c>
      <c r="D367">
        <v>2</v>
      </c>
      <c r="E367">
        <v>1616</v>
      </c>
      <c r="F367" t="s">
        <v>4280</v>
      </c>
      <c r="G367" t="s">
        <v>4280</v>
      </c>
      <c r="H367">
        <v>100000</v>
      </c>
      <c r="I367">
        <v>0</v>
      </c>
      <c r="J367">
        <v>0</v>
      </c>
      <c r="K367"/>
      <c r="L367">
        <v>0</v>
      </c>
      <c r="M367">
        <v>199</v>
      </c>
    </row>
    <row r="368" spans="1:13" ht="15">
      <c r="A368" t="s">
        <v>3419</v>
      </c>
      <c r="B368" s="1040" t="str">
        <f>CONCATENATE(LEFT(RIGHT(CONCATENATE("000",IFAData_TEA_1819!A368),6),3),"-",(RIGHT(RIGHT(CONCATENATE("000",IFAData_TEA_1819!A368),6),3)))</f>
        <v>025-904</v>
      </c>
      <c r="C368" t="s">
        <v>1343</v>
      </c>
      <c r="D368">
        <v>4</v>
      </c>
      <c r="E368">
        <v>1617</v>
      </c>
      <c r="F368" t="s">
        <v>4281</v>
      </c>
      <c r="G368" t="s">
        <v>4281</v>
      </c>
      <c r="H368">
        <v>100000</v>
      </c>
      <c r="I368">
        <v>0</v>
      </c>
      <c r="J368">
        <v>0</v>
      </c>
      <c r="K368">
        <v>0</v>
      </c>
      <c r="L368">
        <v>0</v>
      </c>
      <c r="M368">
        <v>599</v>
      </c>
    </row>
    <row r="369" spans="1:13" ht="15">
      <c r="A369" t="s">
        <v>3419</v>
      </c>
      <c r="B369" s="1040" t="str">
        <f>CONCATENATE(LEFT(RIGHT(CONCATENATE("000",IFAData_TEA_1819!A369),6),3),"-",(RIGHT(RIGHT(CONCATENATE("000",IFAData_TEA_1819!A369),6),3)))</f>
        <v>025-904</v>
      </c>
      <c r="C369" t="s">
        <v>1343</v>
      </c>
      <c r="D369">
        <v>4</v>
      </c>
      <c r="E369">
        <v>1617</v>
      </c>
      <c r="F369" t="s">
        <v>4281</v>
      </c>
      <c r="G369" t="s">
        <v>4282</v>
      </c>
      <c r="H369">
        <v>100000</v>
      </c>
      <c r="I369">
        <v>94365</v>
      </c>
      <c r="J369">
        <v>1</v>
      </c>
      <c r="K369">
        <v>100000</v>
      </c>
      <c r="L369">
        <v>94365</v>
      </c>
      <c r="M369">
        <v>599</v>
      </c>
    </row>
    <row r="370" spans="1:13" ht="15">
      <c r="A370" t="s">
        <v>3420</v>
      </c>
      <c r="B370" s="1040" t="str">
        <f>CONCATENATE(LEFT(RIGHT(CONCATENATE("000",IFAData_TEA_1819!A370),6),3),"-",(RIGHT(RIGHT(CONCATENATE("000",IFAData_TEA_1819!A370),6),3)))</f>
        <v>025-905</v>
      </c>
      <c r="C370" t="s">
        <v>2068</v>
      </c>
      <c r="D370">
        <v>1</v>
      </c>
      <c r="E370">
        <v>2077</v>
      </c>
      <c r="F370" t="s">
        <v>4283</v>
      </c>
      <c r="G370" t="s">
        <v>4283</v>
      </c>
      <c r="H370">
        <v>92069</v>
      </c>
      <c r="I370">
        <v>0</v>
      </c>
      <c r="J370">
        <v>0</v>
      </c>
      <c r="K370">
        <v>0</v>
      </c>
      <c r="L370">
        <v>0</v>
      </c>
      <c r="M370">
        <v>599</v>
      </c>
    </row>
    <row r="371" spans="1:13" ht="15">
      <c r="A371" t="s">
        <v>3420</v>
      </c>
      <c r="B371" s="1040" t="str">
        <f>CONCATENATE(LEFT(RIGHT(CONCATENATE("000",IFAData_TEA_1819!A371),6),3),"-",(RIGHT(RIGHT(CONCATENATE("000",IFAData_TEA_1819!A371),6),3)))</f>
        <v>025-905</v>
      </c>
      <c r="C371" t="s">
        <v>2068</v>
      </c>
      <c r="D371">
        <v>1</v>
      </c>
      <c r="E371">
        <v>2077</v>
      </c>
      <c r="F371" t="s">
        <v>4283</v>
      </c>
      <c r="G371" t="s">
        <v>4284</v>
      </c>
      <c r="H371">
        <v>92069</v>
      </c>
      <c r="I371">
        <v>90766</v>
      </c>
      <c r="J371">
        <v>1</v>
      </c>
      <c r="K371">
        <v>92069</v>
      </c>
      <c r="L371">
        <v>90766</v>
      </c>
      <c r="M371">
        <v>599</v>
      </c>
    </row>
    <row r="372" spans="1:13" ht="15">
      <c r="A372" t="s">
        <v>3421</v>
      </c>
      <c r="B372" s="1040" t="str">
        <f>CONCATENATE(LEFT(RIGHT(CONCATENATE("000",IFAData_TEA_1819!A372),6),3),"-",(RIGHT(RIGHT(CONCATENATE("000",IFAData_TEA_1819!A372),6),3)))</f>
        <v>025-906</v>
      </c>
      <c r="C372" t="s">
        <v>2675</v>
      </c>
      <c r="D372">
        <v>2</v>
      </c>
      <c r="E372">
        <v>2470</v>
      </c>
      <c r="F372" t="s">
        <v>4285</v>
      </c>
      <c r="G372" t="s">
        <v>4285</v>
      </c>
      <c r="H372">
        <v>43725</v>
      </c>
      <c r="I372">
        <v>0</v>
      </c>
      <c r="J372">
        <v>0</v>
      </c>
      <c r="K372"/>
      <c r="L372">
        <v>0</v>
      </c>
      <c r="M372">
        <v>599</v>
      </c>
    </row>
    <row r="373" spans="1:13" ht="15">
      <c r="A373" t="s">
        <v>3421</v>
      </c>
      <c r="B373" s="1040" t="str">
        <f>CONCATENATE(LEFT(RIGHT(CONCATENATE("000",IFAData_TEA_1819!A373),6),3),"-",(RIGHT(RIGHT(CONCATENATE("000",IFAData_TEA_1819!A373),6),3)))</f>
        <v>025-906</v>
      </c>
      <c r="C373" t="s">
        <v>2675</v>
      </c>
      <c r="D373">
        <v>9</v>
      </c>
      <c r="E373">
        <v>2471</v>
      </c>
      <c r="F373" t="s">
        <v>4286</v>
      </c>
      <c r="G373" t="s">
        <v>4286</v>
      </c>
      <c r="H373">
        <v>100000</v>
      </c>
      <c r="I373">
        <v>0</v>
      </c>
      <c r="J373">
        <v>0</v>
      </c>
      <c r="K373">
        <v>0</v>
      </c>
      <c r="L373">
        <v>0</v>
      </c>
      <c r="M373">
        <v>599</v>
      </c>
    </row>
    <row r="374" spans="1:13" ht="15">
      <c r="A374" t="s">
        <v>3421</v>
      </c>
      <c r="B374" s="1040" t="str">
        <f>CONCATENATE(LEFT(RIGHT(CONCATENATE("000",IFAData_TEA_1819!A374),6),3),"-",(RIGHT(RIGHT(CONCATENATE("000",IFAData_TEA_1819!A374),6),3)))</f>
        <v>025-906</v>
      </c>
      <c r="C374" t="s">
        <v>2675</v>
      </c>
      <c r="D374">
        <v>9</v>
      </c>
      <c r="E374">
        <v>2471</v>
      </c>
      <c r="F374" t="s">
        <v>4286</v>
      </c>
      <c r="G374" t="s">
        <v>6421</v>
      </c>
      <c r="H374">
        <v>100000</v>
      </c>
      <c r="I374">
        <v>169022</v>
      </c>
      <c r="J374">
        <v>1</v>
      </c>
      <c r="K374">
        <v>100000</v>
      </c>
      <c r="L374">
        <v>100000</v>
      </c>
      <c r="M374">
        <v>599</v>
      </c>
    </row>
    <row r="375" spans="1:13" ht="15">
      <c r="A375" t="s">
        <v>3421</v>
      </c>
      <c r="B375" s="1040" t="str">
        <f>CONCATENATE(LEFT(RIGHT(CONCATENATE("000",IFAData_TEA_1819!A375),6),3),"-",(RIGHT(RIGHT(CONCATENATE("000",IFAData_TEA_1819!A375),6),3)))</f>
        <v>025-906</v>
      </c>
      <c r="C375" t="s">
        <v>2675</v>
      </c>
      <c r="D375">
        <v>10</v>
      </c>
      <c r="E375">
        <v>2472</v>
      </c>
      <c r="F375" t="s">
        <v>4287</v>
      </c>
      <c r="G375" t="s">
        <v>4287</v>
      </c>
      <c r="H375">
        <v>100000</v>
      </c>
      <c r="I375">
        <v>35753</v>
      </c>
      <c r="J375">
        <v>0.38822290268638598</v>
      </c>
      <c r="K375">
        <v>38822.290268638601</v>
      </c>
      <c r="L375">
        <v>35753</v>
      </c>
      <c r="M375">
        <v>599</v>
      </c>
    </row>
    <row r="376" spans="1:13" ht="15">
      <c r="A376" t="s">
        <v>3421</v>
      </c>
      <c r="B376" s="1040" t="str">
        <f>CONCATENATE(LEFT(RIGHT(CONCATENATE("000",IFAData_TEA_1819!A376),6),3),"-",(RIGHT(RIGHT(CONCATENATE("000",IFAData_TEA_1819!A376),6),3)))</f>
        <v>025-906</v>
      </c>
      <c r="C376" t="s">
        <v>2675</v>
      </c>
      <c r="D376">
        <v>10</v>
      </c>
      <c r="E376">
        <v>2472</v>
      </c>
      <c r="F376" t="s">
        <v>4287</v>
      </c>
      <c r="G376" t="s">
        <v>6421</v>
      </c>
      <c r="H376">
        <v>100000</v>
      </c>
      <c r="I376">
        <v>56341</v>
      </c>
      <c r="J376">
        <v>0.61177709731361396</v>
      </c>
      <c r="K376">
        <v>61177.709731361399</v>
      </c>
      <c r="L376">
        <v>56341</v>
      </c>
      <c r="M376">
        <v>599</v>
      </c>
    </row>
    <row r="377" spans="1:13" ht="15">
      <c r="A377" t="s">
        <v>3422</v>
      </c>
      <c r="B377" s="1040" t="str">
        <f>CONCATENATE(LEFT(RIGHT(CONCATENATE("000",IFAData_TEA_1819!A377),6),3),"-",(RIGHT(RIGHT(CONCATENATE("000",IFAData_TEA_1819!A377),6),3)))</f>
        <v>025-908</v>
      </c>
      <c r="C377" t="s">
        <v>2416</v>
      </c>
      <c r="D377">
        <v>4</v>
      </c>
      <c r="E377">
        <v>1636</v>
      </c>
      <c r="F377" t="s">
        <v>4288</v>
      </c>
      <c r="G377" t="s">
        <v>4288</v>
      </c>
      <c r="H377">
        <v>100000</v>
      </c>
      <c r="I377">
        <v>0</v>
      </c>
      <c r="J377">
        <v>0</v>
      </c>
      <c r="K377">
        <v>0</v>
      </c>
      <c r="L377">
        <v>0</v>
      </c>
      <c r="M377">
        <v>599</v>
      </c>
    </row>
    <row r="378" spans="1:13" ht="15">
      <c r="A378" t="s">
        <v>3422</v>
      </c>
      <c r="B378" s="1040" t="str">
        <f>CONCATENATE(LEFT(RIGHT(CONCATENATE("000",IFAData_TEA_1819!A378),6),3),"-",(RIGHT(RIGHT(CONCATENATE("000",IFAData_TEA_1819!A378),6),3)))</f>
        <v>025-908</v>
      </c>
      <c r="C378" t="s">
        <v>2416</v>
      </c>
      <c r="D378">
        <v>4</v>
      </c>
      <c r="E378">
        <v>1636</v>
      </c>
      <c r="F378" t="s">
        <v>4288</v>
      </c>
      <c r="G378" t="s">
        <v>4289</v>
      </c>
      <c r="H378">
        <v>100000</v>
      </c>
      <c r="I378">
        <v>94168</v>
      </c>
      <c r="J378">
        <v>1</v>
      </c>
      <c r="K378">
        <v>100000</v>
      </c>
      <c r="L378">
        <v>94168</v>
      </c>
      <c r="M378">
        <v>599</v>
      </c>
    </row>
    <row r="379" spans="1:13" ht="15">
      <c r="A379" t="s">
        <v>3423</v>
      </c>
      <c r="B379" s="1040" t="str">
        <f>CONCATENATE(LEFT(RIGHT(CONCATENATE("000",IFAData_TEA_1819!A379),6),3),"-",(RIGHT(RIGHT(CONCATENATE("000",IFAData_TEA_1819!A379),6),3)))</f>
        <v>025-909</v>
      </c>
      <c r="C379" t="s">
        <v>1063</v>
      </c>
      <c r="D379">
        <v>1</v>
      </c>
      <c r="E379">
        <v>1777</v>
      </c>
      <c r="F379" t="s">
        <v>4290</v>
      </c>
      <c r="G379" t="s">
        <v>4290</v>
      </c>
      <c r="H379">
        <v>209945</v>
      </c>
      <c r="I379">
        <v>0</v>
      </c>
      <c r="J379">
        <v>0</v>
      </c>
      <c r="K379">
        <v>0</v>
      </c>
      <c r="L379">
        <v>0</v>
      </c>
      <c r="M379">
        <v>599</v>
      </c>
    </row>
    <row r="380" spans="1:13" ht="15">
      <c r="A380" t="s">
        <v>3423</v>
      </c>
      <c r="B380" s="1040" t="str">
        <f>CONCATENATE(LEFT(RIGHT(CONCATENATE("000",IFAData_TEA_1819!A380),6),3),"-",(RIGHT(RIGHT(CONCATENATE("000",IFAData_TEA_1819!A380),6),3)))</f>
        <v>025-909</v>
      </c>
      <c r="C380" t="s">
        <v>1063</v>
      </c>
      <c r="D380">
        <v>1</v>
      </c>
      <c r="E380">
        <v>1777</v>
      </c>
      <c r="F380" t="s">
        <v>4290</v>
      </c>
      <c r="G380" t="s">
        <v>4291</v>
      </c>
      <c r="H380">
        <v>209945</v>
      </c>
      <c r="I380">
        <v>0</v>
      </c>
      <c r="J380">
        <v>0</v>
      </c>
      <c r="K380">
        <v>0</v>
      </c>
      <c r="L380">
        <v>0</v>
      </c>
      <c r="M380">
        <v>599</v>
      </c>
    </row>
    <row r="381" spans="1:13" ht="15">
      <c r="A381" t="s">
        <v>3423</v>
      </c>
      <c r="B381" s="1040" t="str">
        <f>CONCATENATE(LEFT(RIGHT(CONCATENATE("000",IFAData_TEA_1819!A381),6),3),"-",(RIGHT(RIGHT(CONCATENATE("000",IFAData_TEA_1819!A381),6),3)))</f>
        <v>025-909</v>
      </c>
      <c r="C381" t="s">
        <v>1063</v>
      </c>
      <c r="D381">
        <v>1</v>
      </c>
      <c r="E381">
        <v>1777</v>
      </c>
      <c r="F381" t="s">
        <v>4290</v>
      </c>
      <c r="G381" t="s">
        <v>4292</v>
      </c>
      <c r="H381">
        <v>209945</v>
      </c>
      <c r="I381">
        <v>363000</v>
      </c>
      <c r="J381">
        <v>1</v>
      </c>
      <c r="K381">
        <v>209945</v>
      </c>
      <c r="L381">
        <v>209945</v>
      </c>
      <c r="M381">
        <v>599</v>
      </c>
    </row>
    <row r="382" spans="1:13" ht="15">
      <c r="A382" t="s">
        <v>3423</v>
      </c>
      <c r="B382" s="1040" t="str">
        <f>CONCATENATE(LEFT(RIGHT(CONCATENATE("000",IFAData_TEA_1819!A382),6),3),"-",(RIGHT(RIGHT(CONCATENATE("000",IFAData_TEA_1819!A382),6),3)))</f>
        <v>025-909</v>
      </c>
      <c r="C382" t="s">
        <v>1063</v>
      </c>
      <c r="D382">
        <v>9</v>
      </c>
      <c r="E382">
        <v>1778</v>
      </c>
      <c r="F382" t="s">
        <v>4293</v>
      </c>
      <c r="G382" t="s">
        <v>4293</v>
      </c>
      <c r="H382">
        <v>323704</v>
      </c>
      <c r="I382">
        <v>0</v>
      </c>
      <c r="J382">
        <v>0</v>
      </c>
      <c r="K382">
        <v>0</v>
      </c>
      <c r="L382">
        <v>0</v>
      </c>
      <c r="M382">
        <v>599</v>
      </c>
    </row>
    <row r="383" spans="1:13" ht="15">
      <c r="A383" t="s">
        <v>3423</v>
      </c>
      <c r="B383" s="1040" t="str">
        <f>CONCATENATE(LEFT(RIGHT(CONCATENATE("000",IFAData_TEA_1819!A383),6),3),"-",(RIGHT(RIGHT(CONCATENATE("000",IFAData_TEA_1819!A383),6),3)))</f>
        <v>025-909</v>
      </c>
      <c r="C383" t="s">
        <v>1063</v>
      </c>
      <c r="D383">
        <v>9</v>
      </c>
      <c r="E383">
        <v>1778</v>
      </c>
      <c r="F383" t="s">
        <v>4293</v>
      </c>
      <c r="G383" t="s">
        <v>4294</v>
      </c>
      <c r="H383">
        <v>323704</v>
      </c>
      <c r="I383">
        <v>424950</v>
      </c>
      <c r="J383">
        <v>0.40382970635750298</v>
      </c>
      <c r="K383">
        <v>130721.291266749</v>
      </c>
      <c r="L383">
        <v>130721.291266749</v>
      </c>
      <c r="M383">
        <v>599</v>
      </c>
    </row>
    <row r="384" spans="1:13" ht="15">
      <c r="A384" t="s">
        <v>3423</v>
      </c>
      <c r="B384" s="1040" t="str">
        <f>CONCATENATE(LEFT(RIGHT(CONCATENATE("000",IFAData_TEA_1819!A384),6),3),"-",(RIGHT(RIGHT(CONCATENATE("000",IFAData_TEA_1819!A384),6),3)))</f>
        <v>025-909</v>
      </c>
      <c r="C384" t="s">
        <v>1063</v>
      </c>
      <c r="D384">
        <v>9</v>
      </c>
      <c r="E384">
        <v>1778</v>
      </c>
      <c r="F384" t="s">
        <v>4293</v>
      </c>
      <c r="G384" t="s">
        <v>6422</v>
      </c>
      <c r="H384">
        <v>323704</v>
      </c>
      <c r="I384">
        <v>627350</v>
      </c>
      <c r="J384">
        <v>0.59617029364249696</v>
      </c>
      <c r="K384">
        <v>192982.708733251</v>
      </c>
      <c r="L384">
        <v>192982.708733251</v>
      </c>
      <c r="M384">
        <v>599</v>
      </c>
    </row>
    <row r="385" spans="1:13" ht="15">
      <c r="A385" t="s">
        <v>3423</v>
      </c>
      <c r="B385" s="1040" t="str">
        <f>CONCATENATE(LEFT(RIGHT(CONCATENATE("000",IFAData_TEA_1819!A385),6),3),"-",(RIGHT(RIGHT(CONCATENATE("000",IFAData_TEA_1819!A385),6),3)))</f>
        <v>025-909</v>
      </c>
      <c r="C385" t="s">
        <v>1063</v>
      </c>
      <c r="D385">
        <v>10</v>
      </c>
      <c r="E385">
        <v>1776</v>
      </c>
      <c r="F385" t="s">
        <v>4295</v>
      </c>
      <c r="G385" t="s">
        <v>4295</v>
      </c>
      <c r="H385">
        <v>160450</v>
      </c>
      <c r="I385">
        <v>102581</v>
      </c>
      <c r="J385">
        <v>1</v>
      </c>
      <c r="K385">
        <v>160450</v>
      </c>
      <c r="L385">
        <v>102581</v>
      </c>
      <c r="M385">
        <v>599</v>
      </c>
    </row>
    <row r="386" spans="1:13" ht="15">
      <c r="A386" t="s">
        <v>3424</v>
      </c>
      <c r="B386" s="1040" t="str">
        <f>CONCATENATE(LEFT(RIGHT(CONCATENATE("000",IFAData_TEA_1819!A386),6),3),"-",(RIGHT(RIGHT(CONCATENATE("000",IFAData_TEA_1819!A386),6),3)))</f>
        <v>026-903</v>
      </c>
      <c r="C386" t="s">
        <v>1597</v>
      </c>
      <c r="D386">
        <v>9</v>
      </c>
      <c r="E386">
        <v>2345</v>
      </c>
      <c r="F386" t="s">
        <v>4296</v>
      </c>
      <c r="G386" t="s">
        <v>4296</v>
      </c>
      <c r="H386">
        <v>110365</v>
      </c>
      <c r="I386">
        <v>0</v>
      </c>
      <c r="J386">
        <v>0</v>
      </c>
      <c r="K386">
        <v>0</v>
      </c>
      <c r="L386">
        <v>0</v>
      </c>
      <c r="M386">
        <v>599</v>
      </c>
    </row>
    <row r="387" spans="1:13" ht="15">
      <c r="A387" t="s">
        <v>3424</v>
      </c>
      <c r="B387" s="1040" t="str">
        <f>CONCATENATE(LEFT(RIGHT(CONCATENATE("000",IFAData_TEA_1819!A387),6),3),"-",(RIGHT(RIGHT(CONCATENATE("000",IFAData_TEA_1819!A387),6),3)))</f>
        <v>026-903</v>
      </c>
      <c r="C387" t="s">
        <v>1597</v>
      </c>
      <c r="D387">
        <v>9</v>
      </c>
      <c r="E387">
        <v>2345</v>
      </c>
      <c r="F387" t="s">
        <v>4296</v>
      </c>
      <c r="G387" t="s">
        <v>6423</v>
      </c>
      <c r="H387">
        <v>110365</v>
      </c>
      <c r="I387">
        <v>514450</v>
      </c>
      <c r="J387">
        <v>1</v>
      </c>
      <c r="K387">
        <v>110365</v>
      </c>
      <c r="L387">
        <v>110365</v>
      </c>
      <c r="M387">
        <v>599</v>
      </c>
    </row>
    <row r="388" spans="1:13" ht="15">
      <c r="A388" t="s">
        <v>3425</v>
      </c>
      <c r="B388" s="1040" t="str">
        <f>CONCATENATE(LEFT(RIGHT(CONCATENATE("000",IFAData_TEA_1819!A388),6),3),"-",(RIGHT(RIGHT(CONCATENATE("000",IFAData_TEA_1819!A388),6),3)))</f>
        <v>027-903</v>
      </c>
      <c r="C388" t="s">
        <v>133</v>
      </c>
      <c r="D388">
        <v>2</v>
      </c>
      <c r="E388">
        <v>1655</v>
      </c>
      <c r="F388" t="s">
        <v>4297</v>
      </c>
      <c r="G388" t="s">
        <v>4297</v>
      </c>
      <c r="H388">
        <v>546449</v>
      </c>
      <c r="I388">
        <v>0</v>
      </c>
      <c r="J388">
        <v>0</v>
      </c>
      <c r="K388">
        <v>0</v>
      </c>
      <c r="L388">
        <v>0</v>
      </c>
      <c r="M388">
        <v>599</v>
      </c>
    </row>
    <row r="389" spans="1:13" ht="15">
      <c r="A389" t="s">
        <v>3425</v>
      </c>
      <c r="B389" s="1040" t="str">
        <f>CONCATENATE(LEFT(RIGHT(CONCATENATE("000",IFAData_TEA_1819!A389),6),3),"-",(RIGHT(RIGHT(CONCATENATE("000",IFAData_TEA_1819!A389),6),3)))</f>
        <v>027-903</v>
      </c>
      <c r="C389" t="s">
        <v>133</v>
      </c>
      <c r="D389">
        <v>2</v>
      </c>
      <c r="E389">
        <v>1655</v>
      </c>
      <c r="F389" t="s">
        <v>4297</v>
      </c>
      <c r="G389" t="s">
        <v>4298</v>
      </c>
      <c r="H389">
        <v>546449</v>
      </c>
      <c r="I389">
        <v>0</v>
      </c>
      <c r="J389">
        <v>0</v>
      </c>
      <c r="K389">
        <v>0</v>
      </c>
      <c r="L389">
        <v>0</v>
      </c>
      <c r="M389">
        <v>599</v>
      </c>
    </row>
    <row r="390" spans="1:13" ht="15">
      <c r="A390" t="s">
        <v>3425</v>
      </c>
      <c r="B390" s="1040" t="str">
        <f>CONCATENATE(LEFT(RIGHT(CONCATENATE("000",IFAData_TEA_1819!A390),6),3),"-",(RIGHT(RIGHT(CONCATENATE("000",IFAData_TEA_1819!A390),6),3)))</f>
        <v>027-903</v>
      </c>
      <c r="C390" t="s">
        <v>133</v>
      </c>
      <c r="D390">
        <v>2</v>
      </c>
      <c r="E390">
        <v>1655</v>
      </c>
      <c r="F390" t="s">
        <v>4297</v>
      </c>
      <c r="G390" t="s">
        <v>6424</v>
      </c>
      <c r="H390">
        <v>546449</v>
      </c>
      <c r="I390">
        <v>489373</v>
      </c>
      <c r="J390">
        <v>1</v>
      </c>
      <c r="K390">
        <v>546449</v>
      </c>
      <c r="L390">
        <v>489373</v>
      </c>
      <c r="M390">
        <v>599</v>
      </c>
    </row>
    <row r="391" spans="1:13" ht="15">
      <c r="A391" t="s">
        <v>4299</v>
      </c>
      <c r="B391" s="1040" t="str">
        <f>CONCATENATE(LEFT(RIGHT(CONCATENATE("000",IFAData_TEA_1819!A391),6),3),"-",(RIGHT(RIGHT(CONCATENATE("000",IFAData_TEA_1819!A391),6),3)))</f>
        <v>027-904</v>
      </c>
      <c r="C391" t="s">
        <v>291</v>
      </c>
      <c r="D391">
        <v>1</v>
      </c>
      <c r="E391">
        <v>2062</v>
      </c>
      <c r="F391" t="s">
        <v>4300</v>
      </c>
      <c r="G391" t="s">
        <v>4300</v>
      </c>
      <c r="H391">
        <v>539135</v>
      </c>
      <c r="I391">
        <v>0</v>
      </c>
      <c r="J391">
        <v>0</v>
      </c>
      <c r="K391"/>
      <c r="L391">
        <v>0</v>
      </c>
      <c r="M391">
        <v>599</v>
      </c>
    </row>
    <row r="392" spans="1:13" ht="15">
      <c r="A392" t="s">
        <v>3426</v>
      </c>
      <c r="B392" s="1040" t="str">
        <f>CONCATENATE(LEFT(RIGHT(CONCATENATE("000",IFAData_TEA_1819!A392),6),3),"-",(RIGHT(RIGHT(CONCATENATE("000",IFAData_TEA_1819!A392),6),3)))</f>
        <v>028-902</v>
      </c>
      <c r="C392" t="s">
        <v>2227</v>
      </c>
      <c r="D392">
        <v>1</v>
      </c>
      <c r="E392">
        <v>2030</v>
      </c>
      <c r="F392" t="s">
        <v>4304</v>
      </c>
      <c r="G392" t="s">
        <v>4304</v>
      </c>
      <c r="H392">
        <v>930541</v>
      </c>
      <c r="I392">
        <v>0</v>
      </c>
      <c r="J392">
        <v>0</v>
      </c>
      <c r="K392">
        <v>0</v>
      </c>
      <c r="L392">
        <v>0</v>
      </c>
      <c r="M392">
        <v>599</v>
      </c>
    </row>
    <row r="393" spans="1:13" ht="15">
      <c r="A393" t="s">
        <v>3426</v>
      </c>
      <c r="B393" s="1040" t="str">
        <f>CONCATENATE(LEFT(RIGHT(CONCATENATE("000",IFAData_TEA_1819!A393),6),3),"-",(RIGHT(RIGHT(CONCATENATE("000",IFAData_TEA_1819!A393),6),3)))</f>
        <v>028-902</v>
      </c>
      <c r="C393" t="s">
        <v>2227</v>
      </c>
      <c r="D393">
        <v>1</v>
      </c>
      <c r="E393">
        <v>2030</v>
      </c>
      <c r="F393" t="s">
        <v>4304</v>
      </c>
      <c r="G393" t="s">
        <v>4305</v>
      </c>
      <c r="H393">
        <v>930541</v>
      </c>
      <c r="I393">
        <v>953379</v>
      </c>
      <c r="J393">
        <v>0.842284980245535</v>
      </c>
      <c r="K393">
        <v>783780.70780265995</v>
      </c>
      <c r="L393">
        <v>783780.70780265995</v>
      </c>
      <c r="M393">
        <v>599</v>
      </c>
    </row>
    <row r="394" spans="1:13" ht="15">
      <c r="A394" t="s">
        <v>3426</v>
      </c>
      <c r="B394" s="1040" t="str">
        <f>CONCATENATE(LEFT(RIGHT(CONCATENATE("000",IFAData_TEA_1819!A394),6),3),"-",(RIGHT(RIGHT(CONCATENATE("000",IFAData_TEA_1819!A394),6),3)))</f>
        <v>028-902</v>
      </c>
      <c r="C394" t="s">
        <v>2227</v>
      </c>
      <c r="D394">
        <v>1</v>
      </c>
      <c r="E394">
        <v>2030</v>
      </c>
      <c r="F394" t="s">
        <v>4304</v>
      </c>
      <c r="G394" t="s">
        <v>4306</v>
      </c>
      <c r="H394">
        <v>930541</v>
      </c>
      <c r="I394">
        <v>178517</v>
      </c>
      <c r="J394">
        <v>0.157715019754465</v>
      </c>
      <c r="K394">
        <v>146760.29219733999</v>
      </c>
      <c r="L394">
        <v>146760.29219733999</v>
      </c>
      <c r="M394">
        <v>599</v>
      </c>
    </row>
    <row r="395" spans="1:13" ht="15">
      <c r="A395" t="s">
        <v>3426</v>
      </c>
      <c r="B395" s="1040" t="str">
        <f>CONCATENATE(LEFT(RIGHT(CONCATENATE("000",IFAData_TEA_1819!A395),6),3),"-",(RIGHT(RIGHT(CONCATENATE("000",IFAData_TEA_1819!A395),6),3)))</f>
        <v>028-902</v>
      </c>
      <c r="C395" t="s">
        <v>2227</v>
      </c>
      <c r="D395">
        <v>6</v>
      </c>
      <c r="E395">
        <v>2031</v>
      </c>
      <c r="F395" t="s">
        <v>4307</v>
      </c>
      <c r="G395" t="s">
        <v>4307</v>
      </c>
      <c r="H395">
        <v>954099</v>
      </c>
      <c r="I395">
        <v>0</v>
      </c>
      <c r="J395">
        <v>0</v>
      </c>
      <c r="K395">
        <v>0</v>
      </c>
      <c r="L395">
        <v>0</v>
      </c>
      <c r="M395">
        <v>599</v>
      </c>
    </row>
    <row r="396" spans="1:13" ht="15">
      <c r="A396" t="s">
        <v>3426</v>
      </c>
      <c r="B396" s="1040" t="str">
        <f>CONCATENATE(LEFT(RIGHT(CONCATENATE("000",IFAData_TEA_1819!A396),6),3),"-",(RIGHT(RIGHT(CONCATENATE("000",IFAData_TEA_1819!A396),6),3)))</f>
        <v>028-902</v>
      </c>
      <c r="C396" t="s">
        <v>2227</v>
      </c>
      <c r="D396">
        <v>6</v>
      </c>
      <c r="E396">
        <v>2031</v>
      </c>
      <c r="F396" t="s">
        <v>4307</v>
      </c>
      <c r="G396" t="s">
        <v>4308</v>
      </c>
      <c r="H396">
        <v>954099</v>
      </c>
      <c r="I396">
        <v>1023655</v>
      </c>
      <c r="J396">
        <v>1</v>
      </c>
      <c r="K396">
        <v>954099</v>
      </c>
      <c r="L396">
        <v>954099</v>
      </c>
      <c r="M396">
        <v>599</v>
      </c>
    </row>
    <row r="397" spans="1:13" ht="15">
      <c r="A397" t="s">
        <v>3426</v>
      </c>
      <c r="B397" s="1040" t="str">
        <f>CONCATENATE(LEFT(RIGHT(CONCATENATE("000",IFAData_TEA_1819!A397),6),3),"-",(RIGHT(RIGHT(CONCATENATE("000",IFAData_TEA_1819!A397),6),3)))</f>
        <v>028-902</v>
      </c>
      <c r="C397" t="s">
        <v>2227</v>
      </c>
      <c r="D397">
        <v>6</v>
      </c>
      <c r="E397">
        <v>2031</v>
      </c>
      <c r="F397" t="s">
        <v>4307</v>
      </c>
      <c r="G397" t="s">
        <v>4309</v>
      </c>
      <c r="H397">
        <v>954099</v>
      </c>
      <c r="I397">
        <v>0</v>
      </c>
      <c r="J397">
        <v>0</v>
      </c>
      <c r="K397">
        <v>0</v>
      </c>
      <c r="L397">
        <v>0</v>
      </c>
      <c r="M397">
        <v>599</v>
      </c>
    </row>
    <row r="398" spans="1:13" ht="15">
      <c r="A398" t="s">
        <v>3427</v>
      </c>
      <c r="B398" s="1040" t="str">
        <f>CONCATENATE(LEFT(RIGHT(CONCATENATE("000",IFAData_TEA_1819!A398),6),3),"-",(RIGHT(RIGHT(CONCATENATE("000",IFAData_TEA_1819!A398),6),3)))</f>
        <v>028-903</v>
      </c>
      <c r="C398" t="s">
        <v>838</v>
      </c>
      <c r="D398">
        <v>5</v>
      </c>
      <c r="E398">
        <v>2043</v>
      </c>
      <c r="F398" t="s">
        <v>4310</v>
      </c>
      <c r="G398" t="s">
        <v>4310</v>
      </c>
      <c r="H398">
        <v>352232</v>
      </c>
      <c r="I398">
        <v>0</v>
      </c>
      <c r="J398">
        <v>0</v>
      </c>
      <c r="K398">
        <v>0</v>
      </c>
      <c r="L398">
        <v>0</v>
      </c>
      <c r="M398">
        <v>599</v>
      </c>
    </row>
    <row r="399" spans="1:13" ht="15">
      <c r="A399" t="s">
        <v>3427</v>
      </c>
      <c r="B399" s="1040" t="str">
        <f>CONCATENATE(LEFT(RIGHT(CONCATENATE("000",IFAData_TEA_1819!A399),6),3),"-",(RIGHT(RIGHT(CONCATENATE("000",IFAData_TEA_1819!A399),6),3)))</f>
        <v>028-903</v>
      </c>
      <c r="C399" t="s">
        <v>838</v>
      </c>
      <c r="D399">
        <v>5</v>
      </c>
      <c r="E399">
        <v>2043</v>
      </c>
      <c r="F399" t="s">
        <v>4310</v>
      </c>
      <c r="G399" t="s">
        <v>4311</v>
      </c>
      <c r="H399">
        <v>352232</v>
      </c>
      <c r="I399">
        <v>0</v>
      </c>
      <c r="J399">
        <v>0</v>
      </c>
      <c r="K399">
        <v>0</v>
      </c>
      <c r="L399">
        <v>0</v>
      </c>
      <c r="M399">
        <v>599</v>
      </c>
    </row>
    <row r="400" spans="1:13" ht="15">
      <c r="A400" t="s">
        <v>3427</v>
      </c>
      <c r="B400" s="1040" t="str">
        <f>CONCATENATE(LEFT(RIGHT(CONCATENATE("000",IFAData_TEA_1819!A400),6),3),"-",(RIGHT(RIGHT(CONCATENATE("000",IFAData_TEA_1819!A400),6),3)))</f>
        <v>028-903</v>
      </c>
      <c r="C400" t="s">
        <v>838</v>
      </c>
      <c r="D400">
        <v>5</v>
      </c>
      <c r="E400">
        <v>2043</v>
      </c>
      <c r="F400" t="s">
        <v>4310</v>
      </c>
      <c r="G400" t="s">
        <v>6425</v>
      </c>
      <c r="H400">
        <v>352232</v>
      </c>
      <c r="I400">
        <v>338150</v>
      </c>
      <c r="J400">
        <v>1</v>
      </c>
      <c r="K400">
        <v>352232</v>
      </c>
      <c r="L400">
        <v>338150</v>
      </c>
      <c r="M400">
        <v>599</v>
      </c>
    </row>
    <row r="401" spans="1:13" ht="15">
      <c r="A401" t="s">
        <v>3428</v>
      </c>
      <c r="B401" s="1040" t="str">
        <f>CONCATENATE(LEFT(RIGHT(CONCATENATE("000",IFAData_TEA_1819!A401),6),3),"-",(RIGHT(RIGHT(CONCATENATE("000",IFAData_TEA_1819!A401),6),3)))</f>
        <v>030-902</v>
      </c>
      <c r="C401" t="s">
        <v>31</v>
      </c>
      <c r="D401">
        <v>4</v>
      </c>
      <c r="E401">
        <v>1703</v>
      </c>
      <c r="F401" t="s">
        <v>4312</v>
      </c>
      <c r="G401" t="s">
        <v>4312</v>
      </c>
      <c r="H401">
        <v>375000</v>
      </c>
      <c r="I401">
        <v>0</v>
      </c>
      <c r="J401">
        <v>0</v>
      </c>
      <c r="K401">
        <v>0</v>
      </c>
      <c r="L401">
        <v>0</v>
      </c>
      <c r="M401">
        <v>599</v>
      </c>
    </row>
    <row r="402" spans="1:13" ht="15">
      <c r="A402" t="s">
        <v>3428</v>
      </c>
      <c r="B402" s="1040" t="str">
        <f>CONCATENATE(LEFT(RIGHT(CONCATENATE("000",IFAData_TEA_1819!A402),6),3),"-",(RIGHT(RIGHT(CONCATENATE("000",IFAData_TEA_1819!A402),6),3)))</f>
        <v>030-902</v>
      </c>
      <c r="C402" t="s">
        <v>31</v>
      </c>
      <c r="D402">
        <v>4</v>
      </c>
      <c r="E402">
        <v>1703</v>
      </c>
      <c r="F402" t="s">
        <v>4312</v>
      </c>
      <c r="G402" t="s">
        <v>4313</v>
      </c>
      <c r="H402">
        <v>375000</v>
      </c>
      <c r="I402">
        <v>0</v>
      </c>
      <c r="J402">
        <v>0</v>
      </c>
      <c r="K402">
        <v>0</v>
      </c>
      <c r="L402">
        <v>0</v>
      </c>
      <c r="M402">
        <v>599</v>
      </c>
    </row>
    <row r="403" spans="1:13" ht="15">
      <c r="A403" t="s">
        <v>3428</v>
      </c>
      <c r="B403" s="1040" t="str">
        <f>CONCATENATE(LEFT(RIGHT(CONCATENATE("000",IFAData_TEA_1819!A403),6),3),"-",(RIGHT(RIGHT(CONCATENATE("000",IFAData_TEA_1819!A403),6),3)))</f>
        <v>030-902</v>
      </c>
      <c r="C403" t="s">
        <v>31</v>
      </c>
      <c r="D403">
        <v>4</v>
      </c>
      <c r="E403">
        <v>1703</v>
      </c>
      <c r="F403" t="s">
        <v>4312</v>
      </c>
      <c r="G403" t="s">
        <v>6204</v>
      </c>
      <c r="H403">
        <v>375000</v>
      </c>
      <c r="I403">
        <v>433251</v>
      </c>
      <c r="J403">
        <v>1</v>
      </c>
      <c r="K403">
        <v>375000</v>
      </c>
      <c r="L403">
        <v>375000</v>
      </c>
      <c r="M403">
        <v>599</v>
      </c>
    </row>
    <row r="404" spans="1:13" ht="15">
      <c r="A404" t="s">
        <v>3428</v>
      </c>
      <c r="B404" s="1040" t="str">
        <f>CONCATENATE(LEFT(RIGHT(CONCATENATE("000",IFAData_TEA_1819!A404),6),3),"-",(RIGHT(RIGHT(CONCATENATE("000",IFAData_TEA_1819!A404),6),3)))</f>
        <v>030-902</v>
      </c>
      <c r="C404" t="s">
        <v>31</v>
      </c>
      <c r="D404">
        <v>9</v>
      </c>
      <c r="E404">
        <v>1702</v>
      </c>
      <c r="F404" t="s">
        <v>4314</v>
      </c>
      <c r="G404" t="s">
        <v>4314</v>
      </c>
      <c r="H404">
        <v>342278</v>
      </c>
      <c r="I404">
        <v>0</v>
      </c>
      <c r="J404">
        <v>0</v>
      </c>
      <c r="K404">
        <v>0</v>
      </c>
      <c r="L404">
        <v>0</v>
      </c>
      <c r="M404">
        <v>599</v>
      </c>
    </row>
    <row r="405" spans="1:13" ht="15">
      <c r="A405" t="s">
        <v>3428</v>
      </c>
      <c r="B405" s="1040" t="str">
        <f>CONCATENATE(LEFT(RIGHT(CONCATENATE("000",IFAData_TEA_1819!A405),6),3),"-",(RIGHT(RIGHT(CONCATENATE("000",IFAData_TEA_1819!A405),6),3)))</f>
        <v>030-902</v>
      </c>
      <c r="C405" t="s">
        <v>31</v>
      </c>
      <c r="D405">
        <v>9</v>
      </c>
      <c r="E405">
        <v>1702</v>
      </c>
      <c r="F405" t="s">
        <v>4314</v>
      </c>
      <c r="G405" t="s">
        <v>6204</v>
      </c>
      <c r="H405">
        <v>342278</v>
      </c>
      <c r="I405">
        <v>97000</v>
      </c>
      <c r="J405">
        <v>0.23135394530029499</v>
      </c>
      <c r="K405">
        <v>79187.3656894944</v>
      </c>
      <c r="L405">
        <v>79187.3656894944</v>
      </c>
      <c r="M405">
        <v>599</v>
      </c>
    </row>
    <row r="406" spans="1:13" ht="15">
      <c r="A406" t="s">
        <v>3428</v>
      </c>
      <c r="B406" s="1040" t="str">
        <f>CONCATENATE(LEFT(RIGHT(CONCATENATE("000",IFAData_TEA_1819!A406),6),3),"-",(RIGHT(RIGHT(CONCATENATE("000",IFAData_TEA_1819!A406),6),3)))</f>
        <v>030-902</v>
      </c>
      <c r="C406" t="s">
        <v>31</v>
      </c>
      <c r="D406">
        <v>9</v>
      </c>
      <c r="E406">
        <v>1702</v>
      </c>
      <c r="F406" t="s">
        <v>4314</v>
      </c>
      <c r="G406" t="s">
        <v>6205</v>
      </c>
      <c r="H406">
        <v>342278</v>
      </c>
      <c r="I406">
        <v>322271</v>
      </c>
      <c r="J406">
        <v>0.76864605469970504</v>
      </c>
      <c r="K406">
        <v>263090.63431050599</v>
      </c>
      <c r="L406">
        <v>263090.63431050599</v>
      </c>
      <c r="M406">
        <v>599</v>
      </c>
    </row>
    <row r="407" spans="1:13" ht="15">
      <c r="A407" t="s">
        <v>3429</v>
      </c>
      <c r="B407" s="1040" t="str">
        <f>CONCATENATE(LEFT(RIGHT(CONCATENATE("000",IFAData_TEA_1819!A407),6),3),"-",(RIGHT(RIGHT(CONCATENATE("000",IFAData_TEA_1819!A407),6),3)))</f>
        <v>030-903</v>
      </c>
      <c r="C407" t="s">
        <v>1601</v>
      </c>
      <c r="D407">
        <v>9</v>
      </c>
      <c r="E407">
        <v>1589</v>
      </c>
      <c r="F407" t="s">
        <v>4315</v>
      </c>
      <c r="G407" t="s">
        <v>4315</v>
      </c>
      <c r="H407">
        <v>94523</v>
      </c>
      <c r="I407">
        <v>94640</v>
      </c>
      <c r="J407">
        <v>0.52287870584205398</v>
      </c>
      <c r="K407">
        <v>49424.063912308397</v>
      </c>
      <c r="L407">
        <v>49424.063912308397</v>
      </c>
      <c r="M407">
        <v>599</v>
      </c>
    </row>
    <row r="408" spans="1:13" ht="15">
      <c r="A408" t="s">
        <v>3429</v>
      </c>
      <c r="B408" s="1040" t="str">
        <f>CONCATENATE(LEFT(RIGHT(CONCATENATE("000",IFAData_TEA_1819!A408),6),3),"-",(RIGHT(RIGHT(CONCATENATE("000",IFAData_TEA_1819!A408),6),3)))</f>
        <v>030-903</v>
      </c>
      <c r="C408" t="s">
        <v>1601</v>
      </c>
      <c r="D408">
        <v>9</v>
      </c>
      <c r="E408">
        <v>1589</v>
      </c>
      <c r="F408" t="s">
        <v>4315</v>
      </c>
      <c r="G408" t="s">
        <v>8329</v>
      </c>
      <c r="H408">
        <v>94523</v>
      </c>
      <c r="I408">
        <v>86358</v>
      </c>
      <c r="J408">
        <v>0.47712129415794702</v>
      </c>
      <c r="K408">
        <v>45098.936087691603</v>
      </c>
      <c r="L408">
        <v>45098.936087691603</v>
      </c>
      <c r="M408">
        <v>599</v>
      </c>
    </row>
    <row r="409" spans="1:13" ht="15">
      <c r="A409" t="s">
        <v>3430</v>
      </c>
      <c r="B409" s="1040" t="str">
        <f>CONCATENATE(LEFT(RIGHT(CONCATENATE("000",IFAData_TEA_1819!A409),6),3),"-",(RIGHT(RIGHT(CONCATENATE("000",IFAData_TEA_1819!A409),6),3)))</f>
        <v>031-901</v>
      </c>
      <c r="C409" t="s">
        <v>2635</v>
      </c>
      <c r="D409">
        <v>3</v>
      </c>
      <c r="E409">
        <v>1642</v>
      </c>
      <c r="F409" t="s">
        <v>4316</v>
      </c>
      <c r="G409" t="s">
        <v>4316</v>
      </c>
      <c r="H409">
        <v>2472263</v>
      </c>
      <c r="I409">
        <v>0</v>
      </c>
      <c r="J409">
        <v>0</v>
      </c>
      <c r="K409">
        <v>0</v>
      </c>
      <c r="L409">
        <v>0</v>
      </c>
      <c r="M409">
        <v>599</v>
      </c>
    </row>
    <row r="410" spans="1:13" ht="15">
      <c r="A410" t="s">
        <v>3430</v>
      </c>
      <c r="B410" s="1040" t="str">
        <f>CONCATENATE(LEFT(RIGHT(CONCATENATE("000",IFAData_TEA_1819!A410),6),3),"-",(RIGHT(RIGHT(CONCATENATE("000",IFAData_TEA_1819!A410),6),3)))</f>
        <v>031-901</v>
      </c>
      <c r="C410" t="s">
        <v>2635</v>
      </c>
      <c r="D410">
        <v>3</v>
      </c>
      <c r="E410">
        <v>1642</v>
      </c>
      <c r="F410" t="s">
        <v>4316</v>
      </c>
      <c r="G410" t="s">
        <v>4317</v>
      </c>
      <c r="H410">
        <v>2472263</v>
      </c>
      <c r="I410">
        <v>0</v>
      </c>
      <c r="J410">
        <v>0</v>
      </c>
      <c r="K410">
        <v>0</v>
      </c>
      <c r="L410">
        <v>0</v>
      </c>
      <c r="M410">
        <v>599</v>
      </c>
    </row>
    <row r="411" spans="1:13" ht="15">
      <c r="A411" t="s">
        <v>3430</v>
      </c>
      <c r="B411" s="1040" t="str">
        <f>CONCATENATE(LEFT(RIGHT(CONCATENATE("000",IFAData_TEA_1819!A411),6),3),"-",(RIGHT(RIGHT(CONCATENATE("000",IFAData_TEA_1819!A411),6),3)))</f>
        <v>031-901</v>
      </c>
      <c r="C411" t="s">
        <v>2635</v>
      </c>
      <c r="D411">
        <v>3</v>
      </c>
      <c r="E411">
        <v>1642</v>
      </c>
      <c r="F411" t="s">
        <v>4316</v>
      </c>
      <c r="G411" t="s">
        <v>4318</v>
      </c>
      <c r="H411">
        <v>2472263</v>
      </c>
      <c r="I411">
        <v>2075677</v>
      </c>
      <c r="J411">
        <v>0.89296517022969002</v>
      </c>
      <c r="K411">
        <v>2207644.7506475602</v>
      </c>
      <c r="L411">
        <v>2075677</v>
      </c>
      <c r="M411">
        <v>599</v>
      </c>
    </row>
    <row r="412" spans="1:13" ht="15">
      <c r="A412" t="s">
        <v>3430</v>
      </c>
      <c r="B412" s="1040" t="str">
        <f>CONCATENATE(LEFT(RIGHT(CONCATENATE("000",IFAData_TEA_1819!A412),6),3),"-",(RIGHT(RIGHT(CONCATENATE("000",IFAData_TEA_1819!A412),6),3)))</f>
        <v>031-901</v>
      </c>
      <c r="C412" t="s">
        <v>2635</v>
      </c>
      <c r="D412">
        <v>3</v>
      </c>
      <c r="E412">
        <v>1642</v>
      </c>
      <c r="F412" t="s">
        <v>4316</v>
      </c>
      <c r="G412" t="s">
        <v>6206</v>
      </c>
      <c r="H412">
        <v>2472263</v>
      </c>
      <c r="I412">
        <v>248800</v>
      </c>
      <c r="J412">
        <v>0.10703482977030999</v>
      </c>
      <c r="K412">
        <v>264618.249352435</v>
      </c>
      <c r="L412">
        <v>248800</v>
      </c>
      <c r="M412">
        <v>599</v>
      </c>
    </row>
    <row r="413" spans="1:13" ht="15">
      <c r="A413" t="s">
        <v>3430</v>
      </c>
      <c r="B413" s="1040" t="str">
        <f>CONCATENATE(LEFT(RIGHT(CONCATENATE("000",IFAData_TEA_1819!A413),6),3),"-",(RIGHT(RIGHT(CONCATENATE("000",IFAData_TEA_1819!A413),6),3)))</f>
        <v>031-901</v>
      </c>
      <c r="C413" t="s">
        <v>2635</v>
      </c>
      <c r="D413">
        <v>5</v>
      </c>
      <c r="E413">
        <v>1643</v>
      </c>
      <c r="F413" t="s">
        <v>4319</v>
      </c>
      <c r="G413" t="s">
        <v>4319</v>
      </c>
      <c r="H413">
        <v>3118521</v>
      </c>
      <c r="I413">
        <v>0</v>
      </c>
      <c r="J413">
        <v>0</v>
      </c>
      <c r="K413">
        <v>0</v>
      </c>
      <c r="L413">
        <v>0</v>
      </c>
      <c r="M413">
        <v>599</v>
      </c>
    </row>
    <row r="414" spans="1:13" ht="15">
      <c r="A414" t="s">
        <v>3430</v>
      </c>
      <c r="B414" s="1040" t="str">
        <f>CONCATENATE(LEFT(RIGHT(CONCATENATE("000",IFAData_TEA_1819!A414),6),3),"-",(RIGHT(RIGHT(CONCATENATE("000",IFAData_TEA_1819!A414),6),3)))</f>
        <v>031-901</v>
      </c>
      <c r="C414" t="s">
        <v>2635</v>
      </c>
      <c r="D414">
        <v>5</v>
      </c>
      <c r="E414">
        <v>1643</v>
      </c>
      <c r="F414" t="s">
        <v>4319</v>
      </c>
      <c r="G414" t="s">
        <v>4317</v>
      </c>
      <c r="H414">
        <v>3118521</v>
      </c>
      <c r="I414">
        <v>0</v>
      </c>
      <c r="J414">
        <v>0</v>
      </c>
      <c r="K414">
        <v>0</v>
      </c>
      <c r="L414">
        <v>0</v>
      </c>
      <c r="M414">
        <v>599</v>
      </c>
    </row>
    <row r="415" spans="1:13" ht="15">
      <c r="A415" t="s">
        <v>3430</v>
      </c>
      <c r="B415" s="1040" t="str">
        <f>CONCATENATE(LEFT(RIGHT(CONCATENATE("000",IFAData_TEA_1819!A415),6),3),"-",(RIGHT(RIGHT(CONCATENATE("000",IFAData_TEA_1819!A415),6),3)))</f>
        <v>031-901</v>
      </c>
      <c r="C415" t="s">
        <v>2635</v>
      </c>
      <c r="D415">
        <v>5</v>
      </c>
      <c r="E415">
        <v>1643</v>
      </c>
      <c r="F415" t="s">
        <v>4319</v>
      </c>
      <c r="G415" t="s">
        <v>4320</v>
      </c>
      <c r="H415">
        <v>3118521</v>
      </c>
      <c r="I415">
        <v>0</v>
      </c>
      <c r="J415">
        <v>0</v>
      </c>
      <c r="K415">
        <v>0</v>
      </c>
      <c r="L415">
        <v>0</v>
      </c>
      <c r="M415">
        <v>599</v>
      </c>
    </row>
    <row r="416" spans="1:13" ht="15">
      <c r="A416" t="s">
        <v>3430</v>
      </c>
      <c r="B416" s="1040" t="str">
        <f>CONCATENATE(LEFT(RIGHT(CONCATENATE("000",IFAData_TEA_1819!A416),6),3),"-",(RIGHT(RIGHT(CONCATENATE("000",IFAData_TEA_1819!A416),6),3)))</f>
        <v>031-901</v>
      </c>
      <c r="C416" t="s">
        <v>2635</v>
      </c>
      <c r="D416">
        <v>5</v>
      </c>
      <c r="E416">
        <v>1643</v>
      </c>
      <c r="F416" t="s">
        <v>4319</v>
      </c>
      <c r="G416" t="s">
        <v>4318</v>
      </c>
      <c r="H416">
        <v>3118521</v>
      </c>
      <c r="I416">
        <v>2454697</v>
      </c>
      <c r="J416">
        <v>1</v>
      </c>
      <c r="K416">
        <v>3118521</v>
      </c>
      <c r="L416">
        <v>2454697</v>
      </c>
      <c r="M416">
        <v>599</v>
      </c>
    </row>
    <row r="417" spans="1:13" ht="15">
      <c r="A417" t="s">
        <v>3430</v>
      </c>
      <c r="B417" s="1040" t="str">
        <f>CONCATENATE(LEFT(RIGHT(CONCATENATE("000",IFAData_TEA_1819!A417),6),3),"-",(RIGHT(RIGHT(CONCATENATE("000",IFAData_TEA_1819!A417),6),3)))</f>
        <v>031-901</v>
      </c>
      <c r="C417" t="s">
        <v>2635</v>
      </c>
      <c r="D417">
        <v>5</v>
      </c>
      <c r="E417">
        <v>1643</v>
      </c>
      <c r="F417" t="s">
        <v>4319</v>
      </c>
      <c r="G417" t="s">
        <v>6206</v>
      </c>
      <c r="H417">
        <v>3118521</v>
      </c>
      <c r="I417">
        <v>0</v>
      </c>
      <c r="J417">
        <v>0</v>
      </c>
      <c r="K417">
        <v>0</v>
      </c>
      <c r="L417">
        <v>0</v>
      </c>
      <c r="M417">
        <v>599</v>
      </c>
    </row>
    <row r="418" spans="1:13" ht="15">
      <c r="A418" t="s">
        <v>3430</v>
      </c>
      <c r="B418" s="1040" t="str">
        <f>CONCATENATE(LEFT(RIGHT(CONCATENATE("000",IFAData_TEA_1819!A418),6),3),"-",(RIGHT(RIGHT(CONCATENATE("000",IFAData_TEA_1819!A418),6),3)))</f>
        <v>031-901</v>
      </c>
      <c r="C418" t="s">
        <v>2635</v>
      </c>
      <c r="D418">
        <v>8</v>
      </c>
      <c r="E418">
        <v>1644</v>
      </c>
      <c r="F418" t="s">
        <v>4321</v>
      </c>
      <c r="G418" t="s">
        <v>4321</v>
      </c>
      <c r="H418">
        <v>9847713</v>
      </c>
      <c r="I418">
        <v>0</v>
      </c>
      <c r="J418">
        <v>0</v>
      </c>
      <c r="K418">
        <v>0</v>
      </c>
      <c r="L418">
        <v>0</v>
      </c>
      <c r="M418">
        <v>599</v>
      </c>
    </row>
    <row r="419" spans="1:13" ht="15">
      <c r="A419" t="s">
        <v>3430</v>
      </c>
      <c r="B419" s="1040" t="str">
        <f>CONCATENATE(LEFT(RIGHT(CONCATENATE("000",IFAData_TEA_1819!A419),6),3),"-",(RIGHT(RIGHT(CONCATENATE("000",IFAData_TEA_1819!A419),6),3)))</f>
        <v>031-901</v>
      </c>
      <c r="C419" t="s">
        <v>2635</v>
      </c>
      <c r="D419">
        <v>8</v>
      </c>
      <c r="E419">
        <v>1644</v>
      </c>
      <c r="F419" t="s">
        <v>4321</v>
      </c>
      <c r="G419" t="s">
        <v>4320</v>
      </c>
      <c r="H419">
        <v>9847713</v>
      </c>
      <c r="I419">
        <v>9197125</v>
      </c>
      <c r="J419">
        <v>1</v>
      </c>
      <c r="K419">
        <v>9847713</v>
      </c>
      <c r="L419">
        <v>9197125</v>
      </c>
      <c r="M419">
        <v>599</v>
      </c>
    </row>
    <row r="420" spans="1:13" ht="15">
      <c r="A420" t="s">
        <v>3430</v>
      </c>
      <c r="B420" s="1040" t="str">
        <f>CONCATENATE(LEFT(RIGHT(CONCATENATE("000",IFAData_TEA_1819!A420),6),3),"-",(RIGHT(RIGHT(CONCATENATE("000",IFAData_TEA_1819!A420),6),3)))</f>
        <v>031-901</v>
      </c>
      <c r="C420" t="s">
        <v>2635</v>
      </c>
      <c r="D420">
        <v>10</v>
      </c>
      <c r="E420">
        <v>1641</v>
      </c>
      <c r="F420" t="s">
        <v>4322</v>
      </c>
      <c r="G420" t="s">
        <v>4322</v>
      </c>
      <c r="H420">
        <v>1323878</v>
      </c>
      <c r="I420">
        <v>1245300</v>
      </c>
      <c r="J420">
        <v>1</v>
      </c>
      <c r="K420">
        <v>1323878</v>
      </c>
      <c r="L420">
        <v>1245300</v>
      </c>
      <c r="M420">
        <v>199</v>
      </c>
    </row>
    <row r="421" spans="1:13" ht="15">
      <c r="A421" t="s">
        <v>3430</v>
      </c>
      <c r="B421" s="1040" t="str">
        <f>CONCATENATE(LEFT(RIGHT(CONCATENATE("000",IFAData_TEA_1819!A421),6),3),"-",(RIGHT(RIGHT(CONCATENATE("000",IFAData_TEA_1819!A421),6),3)))</f>
        <v>031-901</v>
      </c>
      <c r="C421" t="s">
        <v>2635</v>
      </c>
      <c r="D421">
        <v>10</v>
      </c>
      <c r="E421">
        <v>1638</v>
      </c>
      <c r="F421" t="s">
        <v>4323</v>
      </c>
      <c r="G421" t="s">
        <v>4323</v>
      </c>
      <c r="H421">
        <v>414217</v>
      </c>
      <c r="I421">
        <v>386161</v>
      </c>
      <c r="J421">
        <v>1</v>
      </c>
      <c r="K421">
        <v>414217</v>
      </c>
      <c r="L421">
        <v>386161</v>
      </c>
      <c r="M421">
        <v>199</v>
      </c>
    </row>
    <row r="422" spans="1:13" ht="15">
      <c r="A422" t="s">
        <v>3430</v>
      </c>
      <c r="B422" s="1040" t="str">
        <f>CONCATENATE(LEFT(RIGHT(CONCATENATE("000",IFAData_TEA_1819!A422),6),3),"-",(RIGHT(RIGHT(CONCATENATE("000",IFAData_TEA_1819!A422),6),3)))</f>
        <v>031-901</v>
      </c>
      <c r="C422" t="s">
        <v>2635</v>
      </c>
      <c r="D422">
        <v>10</v>
      </c>
      <c r="E422">
        <v>1640</v>
      </c>
      <c r="F422" t="s">
        <v>4324</v>
      </c>
      <c r="G422" t="s">
        <v>4324</v>
      </c>
      <c r="H422">
        <v>651339</v>
      </c>
      <c r="I422">
        <v>544198</v>
      </c>
      <c r="J422">
        <v>1</v>
      </c>
      <c r="K422">
        <v>651339</v>
      </c>
      <c r="L422">
        <v>544198</v>
      </c>
      <c r="M422">
        <v>199</v>
      </c>
    </row>
    <row r="423" spans="1:13" ht="15">
      <c r="A423" t="s">
        <v>3430</v>
      </c>
      <c r="B423" s="1040" t="str">
        <f>CONCATENATE(LEFT(RIGHT(CONCATENATE("000",IFAData_TEA_1819!A423),6),3),"-",(RIGHT(RIGHT(CONCATENATE("000",IFAData_TEA_1819!A423),6),3)))</f>
        <v>031-901</v>
      </c>
      <c r="C423" t="s">
        <v>2635</v>
      </c>
      <c r="D423">
        <v>10</v>
      </c>
      <c r="E423">
        <v>1639</v>
      </c>
      <c r="F423" t="s">
        <v>4325</v>
      </c>
      <c r="G423" t="s">
        <v>4325</v>
      </c>
      <c r="H423">
        <v>427251</v>
      </c>
      <c r="I423">
        <v>367105</v>
      </c>
      <c r="J423">
        <v>1</v>
      </c>
      <c r="K423">
        <v>427251</v>
      </c>
      <c r="L423">
        <v>367105</v>
      </c>
      <c r="M423">
        <v>199</v>
      </c>
    </row>
    <row r="424" spans="1:13" ht="15">
      <c r="A424" t="s">
        <v>3430</v>
      </c>
      <c r="B424" s="1040" t="str">
        <f>CONCATENATE(LEFT(RIGHT(CONCATENATE("000",IFAData_TEA_1819!A424),6),3),"-",(RIGHT(RIGHT(CONCATENATE("000",IFAData_TEA_1819!A424),6),3)))</f>
        <v>031-901</v>
      </c>
      <c r="C424" t="s">
        <v>2635</v>
      </c>
      <c r="D424">
        <v>10</v>
      </c>
      <c r="E424">
        <v>1637</v>
      </c>
      <c r="F424" t="s">
        <v>4326</v>
      </c>
      <c r="G424" t="s">
        <v>4326</v>
      </c>
      <c r="H424">
        <v>276579</v>
      </c>
      <c r="I424">
        <v>198207</v>
      </c>
      <c r="J424">
        <v>1</v>
      </c>
      <c r="K424">
        <v>276579</v>
      </c>
      <c r="L424">
        <v>198207</v>
      </c>
      <c r="M424">
        <v>199</v>
      </c>
    </row>
    <row r="425" spans="1:13" ht="15">
      <c r="A425" t="s">
        <v>3431</v>
      </c>
      <c r="B425" s="1040" t="str">
        <f>CONCATENATE(LEFT(RIGHT(CONCATENATE("000",IFAData_TEA_1819!A425),6),3),"-",(RIGHT(RIGHT(CONCATENATE("000",IFAData_TEA_1819!A425),6),3)))</f>
        <v>031-903</v>
      </c>
      <c r="C425" t="s">
        <v>34</v>
      </c>
      <c r="D425">
        <v>3</v>
      </c>
      <c r="E425">
        <v>1872</v>
      </c>
      <c r="F425" t="s">
        <v>4327</v>
      </c>
      <c r="G425" t="s">
        <v>4327</v>
      </c>
      <c r="H425">
        <v>3617370</v>
      </c>
      <c r="I425">
        <v>0</v>
      </c>
      <c r="J425">
        <v>0</v>
      </c>
      <c r="K425">
        <v>0</v>
      </c>
      <c r="L425">
        <v>0</v>
      </c>
      <c r="M425">
        <v>599</v>
      </c>
    </row>
    <row r="426" spans="1:13" ht="15">
      <c r="A426" t="s">
        <v>3431</v>
      </c>
      <c r="B426" s="1040" t="str">
        <f>CONCATENATE(LEFT(RIGHT(CONCATENATE("000",IFAData_TEA_1819!A426),6),3),"-",(RIGHT(RIGHT(CONCATENATE("000",IFAData_TEA_1819!A426),6),3)))</f>
        <v>031-903</v>
      </c>
      <c r="C426" t="s">
        <v>34</v>
      </c>
      <c r="D426">
        <v>3</v>
      </c>
      <c r="E426">
        <v>1872</v>
      </c>
      <c r="F426" t="s">
        <v>4327</v>
      </c>
      <c r="G426" t="s">
        <v>4328</v>
      </c>
      <c r="H426">
        <v>3617370</v>
      </c>
      <c r="I426">
        <v>0</v>
      </c>
      <c r="J426">
        <v>0</v>
      </c>
      <c r="K426">
        <v>0</v>
      </c>
      <c r="L426">
        <v>0</v>
      </c>
      <c r="M426">
        <v>599</v>
      </c>
    </row>
    <row r="427" spans="1:13" ht="15">
      <c r="A427" t="s">
        <v>3431</v>
      </c>
      <c r="B427" s="1040" t="str">
        <f>CONCATENATE(LEFT(RIGHT(CONCATENATE("000",IFAData_TEA_1819!A427),6),3),"-",(RIGHT(RIGHT(CONCATENATE("000",IFAData_TEA_1819!A427),6),3)))</f>
        <v>031-903</v>
      </c>
      <c r="C427" t="s">
        <v>34</v>
      </c>
      <c r="D427">
        <v>3</v>
      </c>
      <c r="E427">
        <v>1872</v>
      </c>
      <c r="F427" t="s">
        <v>4327</v>
      </c>
      <c r="G427" t="s">
        <v>6207</v>
      </c>
      <c r="H427">
        <v>3617370</v>
      </c>
      <c r="I427">
        <v>2849456</v>
      </c>
      <c r="J427">
        <v>1</v>
      </c>
      <c r="K427">
        <v>3617370</v>
      </c>
      <c r="L427">
        <v>2849456</v>
      </c>
      <c r="M427">
        <v>599</v>
      </c>
    </row>
    <row r="428" spans="1:13" ht="15">
      <c r="A428" t="s">
        <v>3431</v>
      </c>
      <c r="B428" s="1040" t="str">
        <f>CONCATENATE(LEFT(RIGHT(CONCATENATE("000",IFAData_TEA_1819!A428),6),3),"-",(RIGHT(RIGHT(CONCATENATE("000",IFAData_TEA_1819!A428),6),3)))</f>
        <v>031-903</v>
      </c>
      <c r="C428" t="s">
        <v>34</v>
      </c>
      <c r="D428">
        <v>5</v>
      </c>
      <c r="E428">
        <v>1871</v>
      </c>
      <c r="F428" t="s">
        <v>4329</v>
      </c>
      <c r="G428" t="s">
        <v>4329</v>
      </c>
      <c r="H428">
        <v>830941</v>
      </c>
      <c r="I428">
        <v>0</v>
      </c>
      <c r="J428">
        <v>0</v>
      </c>
      <c r="K428">
        <v>0</v>
      </c>
      <c r="L428">
        <v>0</v>
      </c>
      <c r="M428">
        <v>599</v>
      </c>
    </row>
    <row r="429" spans="1:13" ht="15">
      <c r="A429" t="s">
        <v>3431</v>
      </c>
      <c r="B429" s="1040" t="str">
        <f>CONCATENATE(LEFT(RIGHT(CONCATENATE("000",IFAData_TEA_1819!A429),6),3),"-",(RIGHT(RIGHT(CONCATENATE("000",IFAData_TEA_1819!A429),6),3)))</f>
        <v>031-903</v>
      </c>
      <c r="C429" t="s">
        <v>34</v>
      </c>
      <c r="D429">
        <v>5</v>
      </c>
      <c r="E429">
        <v>1871</v>
      </c>
      <c r="F429" t="s">
        <v>4329</v>
      </c>
      <c r="G429" t="s">
        <v>4330</v>
      </c>
      <c r="H429">
        <v>830941</v>
      </c>
      <c r="I429">
        <v>755325</v>
      </c>
      <c r="J429">
        <v>1</v>
      </c>
      <c r="K429">
        <v>830941</v>
      </c>
      <c r="L429">
        <v>755325</v>
      </c>
      <c r="M429">
        <v>599</v>
      </c>
    </row>
    <row r="430" spans="1:13" ht="15">
      <c r="A430" t="s">
        <v>3431</v>
      </c>
      <c r="B430" s="1040" t="str">
        <f>CONCATENATE(LEFT(RIGHT(CONCATENATE("000",IFAData_TEA_1819!A430),6),3),"-",(RIGHT(RIGHT(CONCATENATE("000",IFAData_TEA_1819!A430),6),3)))</f>
        <v>031-903</v>
      </c>
      <c r="C430" t="s">
        <v>34</v>
      </c>
      <c r="D430">
        <v>9</v>
      </c>
      <c r="E430">
        <v>1870</v>
      </c>
      <c r="F430" t="s">
        <v>4331</v>
      </c>
      <c r="G430" t="s">
        <v>4331</v>
      </c>
      <c r="H430">
        <v>462864</v>
      </c>
      <c r="I430">
        <v>451424</v>
      </c>
      <c r="J430">
        <v>1</v>
      </c>
      <c r="K430">
        <v>462864</v>
      </c>
      <c r="L430">
        <v>451424</v>
      </c>
      <c r="M430">
        <v>199</v>
      </c>
    </row>
    <row r="431" spans="1:13" ht="15">
      <c r="A431" t="s">
        <v>3431</v>
      </c>
      <c r="B431" s="1040" t="str">
        <f>CONCATENATE(LEFT(RIGHT(CONCATENATE("000",IFAData_TEA_1819!A431),6),3),"-",(RIGHT(RIGHT(CONCATENATE("000",IFAData_TEA_1819!A431),6),3)))</f>
        <v>031-903</v>
      </c>
      <c r="C431" t="s">
        <v>34</v>
      </c>
      <c r="D431">
        <v>10</v>
      </c>
      <c r="E431">
        <v>1873</v>
      </c>
      <c r="F431" t="s">
        <v>4332</v>
      </c>
      <c r="G431" t="s">
        <v>4332</v>
      </c>
      <c r="H431">
        <v>3813436</v>
      </c>
      <c r="I431">
        <v>3882748</v>
      </c>
      <c r="J431">
        <v>1</v>
      </c>
      <c r="K431">
        <v>3813436</v>
      </c>
      <c r="L431">
        <v>3813436</v>
      </c>
      <c r="M431">
        <v>599</v>
      </c>
    </row>
    <row r="432" spans="1:13" ht="15">
      <c r="A432" t="s">
        <v>3432</v>
      </c>
      <c r="B432" s="1040" t="str">
        <f>CONCATENATE(LEFT(RIGHT(CONCATENATE("000",IFAData_TEA_1819!A432),6),3),"-",(RIGHT(RIGHT(CONCATENATE("000",IFAData_TEA_1819!A432),6),3)))</f>
        <v>031-905</v>
      </c>
      <c r="C432" t="s">
        <v>1881</v>
      </c>
      <c r="D432">
        <v>1</v>
      </c>
      <c r="E432">
        <v>1978</v>
      </c>
      <c r="F432" t="s">
        <v>4333</v>
      </c>
      <c r="G432" t="s">
        <v>4333</v>
      </c>
      <c r="H432">
        <v>531801</v>
      </c>
      <c r="I432">
        <v>0</v>
      </c>
      <c r="J432">
        <v>0</v>
      </c>
      <c r="K432">
        <v>0</v>
      </c>
      <c r="L432">
        <v>0</v>
      </c>
      <c r="M432">
        <v>599</v>
      </c>
    </row>
    <row r="433" spans="1:13" ht="15">
      <c r="A433" t="s">
        <v>3432</v>
      </c>
      <c r="B433" s="1040" t="str">
        <f>CONCATENATE(LEFT(RIGHT(CONCATENATE("000",IFAData_TEA_1819!A433),6),3),"-",(RIGHT(RIGHT(CONCATENATE("000",IFAData_TEA_1819!A433),6),3)))</f>
        <v>031-905</v>
      </c>
      <c r="C433" t="s">
        <v>1881</v>
      </c>
      <c r="D433">
        <v>1</v>
      </c>
      <c r="E433">
        <v>1978</v>
      </c>
      <c r="F433" t="s">
        <v>4333</v>
      </c>
      <c r="G433" t="s">
        <v>4334</v>
      </c>
      <c r="H433">
        <v>531801</v>
      </c>
      <c r="I433">
        <v>0</v>
      </c>
      <c r="J433">
        <v>0</v>
      </c>
      <c r="K433">
        <v>0</v>
      </c>
      <c r="L433">
        <v>0</v>
      </c>
      <c r="M433">
        <v>599</v>
      </c>
    </row>
    <row r="434" spans="1:13" ht="15">
      <c r="A434" t="s">
        <v>3432</v>
      </c>
      <c r="B434" s="1040" t="str">
        <f>CONCATENATE(LEFT(RIGHT(CONCATENATE("000",IFAData_TEA_1819!A434),6),3),"-",(RIGHT(RIGHT(CONCATENATE("000",IFAData_TEA_1819!A434),6),3)))</f>
        <v>031-905</v>
      </c>
      <c r="C434" t="s">
        <v>1881</v>
      </c>
      <c r="D434">
        <v>1</v>
      </c>
      <c r="E434">
        <v>1978</v>
      </c>
      <c r="F434" t="s">
        <v>4333</v>
      </c>
      <c r="G434" t="s">
        <v>8330</v>
      </c>
      <c r="H434">
        <v>531801</v>
      </c>
      <c r="I434">
        <v>326571</v>
      </c>
      <c r="J434">
        <v>1</v>
      </c>
      <c r="K434">
        <v>531801</v>
      </c>
      <c r="L434">
        <v>326571</v>
      </c>
      <c r="M434">
        <v>599</v>
      </c>
    </row>
    <row r="435" spans="1:13" ht="15">
      <c r="A435" t="s">
        <v>3432</v>
      </c>
      <c r="B435" s="1040" t="str">
        <f>CONCATENATE(LEFT(RIGHT(CONCATENATE("000",IFAData_TEA_1819!A435),6),3),"-",(RIGHT(RIGHT(CONCATENATE("000",IFAData_TEA_1819!A435),6),3)))</f>
        <v>031-905</v>
      </c>
      <c r="C435" t="s">
        <v>1881</v>
      </c>
      <c r="D435">
        <v>3</v>
      </c>
      <c r="E435">
        <v>1975</v>
      </c>
      <c r="F435" t="s">
        <v>4335</v>
      </c>
      <c r="G435" t="s">
        <v>4335</v>
      </c>
      <c r="H435">
        <v>124856</v>
      </c>
      <c r="I435">
        <v>0</v>
      </c>
      <c r="J435">
        <v>0</v>
      </c>
      <c r="K435">
        <v>0</v>
      </c>
      <c r="L435">
        <v>0</v>
      </c>
      <c r="M435">
        <v>199</v>
      </c>
    </row>
    <row r="436" spans="1:13" ht="15">
      <c r="A436" t="s">
        <v>3432</v>
      </c>
      <c r="B436" s="1040" t="str">
        <f>CONCATENATE(LEFT(RIGHT(CONCATENATE("000",IFAData_TEA_1819!A436),6),3),"-",(RIGHT(RIGHT(CONCATENATE("000",IFAData_TEA_1819!A436),6),3)))</f>
        <v>031-905</v>
      </c>
      <c r="C436" t="s">
        <v>1881</v>
      </c>
      <c r="D436">
        <v>3</v>
      </c>
      <c r="E436">
        <v>1975</v>
      </c>
      <c r="F436" t="s">
        <v>4335</v>
      </c>
      <c r="G436" t="s">
        <v>4336</v>
      </c>
      <c r="H436">
        <v>124856</v>
      </c>
      <c r="I436">
        <v>0</v>
      </c>
      <c r="J436">
        <v>0</v>
      </c>
      <c r="K436">
        <v>0</v>
      </c>
      <c r="L436">
        <v>0</v>
      </c>
      <c r="M436">
        <v>599</v>
      </c>
    </row>
    <row r="437" spans="1:13" ht="15">
      <c r="A437" t="s">
        <v>3432</v>
      </c>
      <c r="B437" s="1040" t="str">
        <f>CONCATENATE(LEFT(RIGHT(CONCATENATE("000",IFAData_TEA_1819!A437),6),3),"-",(RIGHT(RIGHT(CONCATENATE("000",IFAData_TEA_1819!A437),6),3)))</f>
        <v>031-905</v>
      </c>
      <c r="C437" t="s">
        <v>1881</v>
      </c>
      <c r="D437">
        <v>3</v>
      </c>
      <c r="E437">
        <v>1975</v>
      </c>
      <c r="F437" t="s">
        <v>4335</v>
      </c>
      <c r="G437" t="s">
        <v>6208</v>
      </c>
      <c r="H437">
        <v>124856</v>
      </c>
      <c r="I437">
        <v>106072</v>
      </c>
      <c r="J437">
        <v>1</v>
      </c>
      <c r="K437">
        <v>124856</v>
      </c>
      <c r="L437">
        <v>106072</v>
      </c>
      <c r="M437">
        <v>599</v>
      </c>
    </row>
    <row r="438" spans="1:13" ht="15">
      <c r="A438" t="s">
        <v>3432</v>
      </c>
      <c r="B438" s="1040" t="str">
        <f>CONCATENATE(LEFT(RIGHT(CONCATENATE("000",IFAData_TEA_1819!A438),6),3),"-",(RIGHT(RIGHT(CONCATENATE("000",IFAData_TEA_1819!A438),6),3)))</f>
        <v>031-905</v>
      </c>
      <c r="C438" t="s">
        <v>1881</v>
      </c>
      <c r="D438">
        <v>4</v>
      </c>
      <c r="E438">
        <v>1976</v>
      </c>
      <c r="F438" t="s">
        <v>4337</v>
      </c>
      <c r="G438" t="s">
        <v>4337</v>
      </c>
      <c r="H438">
        <v>159423</v>
      </c>
      <c r="I438">
        <v>0</v>
      </c>
      <c r="J438">
        <v>0</v>
      </c>
      <c r="K438"/>
      <c r="L438">
        <v>0</v>
      </c>
      <c r="M438">
        <v>199</v>
      </c>
    </row>
    <row r="439" spans="1:13" ht="15">
      <c r="A439" t="s">
        <v>3432</v>
      </c>
      <c r="B439" s="1040" t="str">
        <f>CONCATENATE(LEFT(RIGHT(CONCATENATE("000",IFAData_TEA_1819!A439),6),3),"-",(RIGHT(RIGHT(CONCATENATE("000",IFAData_TEA_1819!A439),6),3)))</f>
        <v>031-905</v>
      </c>
      <c r="C439" t="s">
        <v>1881</v>
      </c>
      <c r="D439">
        <v>5</v>
      </c>
      <c r="E439">
        <v>1979</v>
      </c>
      <c r="F439" t="s">
        <v>4338</v>
      </c>
      <c r="G439" t="s">
        <v>4338</v>
      </c>
      <c r="H439">
        <v>562519</v>
      </c>
      <c r="I439">
        <v>0</v>
      </c>
      <c r="J439">
        <v>0</v>
      </c>
      <c r="K439">
        <v>0</v>
      </c>
      <c r="L439">
        <v>0</v>
      </c>
      <c r="M439">
        <v>199</v>
      </c>
    </row>
    <row r="440" spans="1:13" ht="15">
      <c r="A440" t="s">
        <v>3432</v>
      </c>
      <c r="B440" s="1040" t="str">
        <f>CONCATENATE(LEFT(RIGHT(CONCATENATE("000",IFAData_TEA_1819!A440),6),3),"-",(RIGHT(RIGHT(CONCATENATE("000",IFAData_TEA_1819!A440),6),3)))</f>
        <v>031-905</v>
      </c>
      <c r="C440" t="s">
        <v>1881</v>
      </c>
      <c r="D440">
        <v>5</v>
      </c>
      <c r="E440">
        <v>1979</v>
      </c>
      <c r="F440" t="s">
        <v>4338</v>
      </c>
      <c r="G440" t="s">
        <v>4336</v>
      </c>
      <c r="H440">
        <v>562519</v>
      </c>
      <c r="I440">
        <v>0</v>
      </c>
      <c r="J440">
        <v>0</v>
      </c>
      <c r="K440">
        <v>0</v>
      </c>
      <c r="L440">
        <v>0</v>
      </c>
      <c r="M440">
        <v>599</v>
      </c>
    </row>
    <row r="441" spans="1:13" ht="15">
      <c r="A441" t="s">
        <v>3432</v>
      </c>
      <c r="B441" s="1040" t="str">
        <f>CONCATENATE(LEFT(RIGHT(CONCATENATE("000",IFAData_TEA_1819!A441),6),3),"-",(RIGHT(RIGHT(CONCATENATE("000",IFAData_TEA_1819!A441),6),3)))</f>
        <v>031-905</v>
      </c>
      <c r="C441" t="s">
        <v>1881</v>
      </c>
      <c r="D441">
        <v>5</v>
      </c>
      <c r="E441">
        <v>1979</v>
      </c>
      <c r="F441" t="s">
        <v>4338</v>
      </c>
      <c r="G441" t="s">
        <v>6208</v>
      </c>
      <c r="H441">
        <v>562519</v>
      </c>
      <c r="I441">
        <v>451866</v>
      </c>
      <c r="J441">
        <v>1</v>
      </c>
      <c r="K441">
        <v>562519</v>
      </c>
      <c r="L441">
        <v>451866</v>
      </c>
      <c r="M441">
        <v>599</v>
      </c>
    </row>
    <row r="442" spans="1:13" ht="15">
      <c r="A442" t="s">
        <v>3432</v>
      </c>
      <c r="B442" s="1040" t="str">
        <f>CONCATENATE(LEFT(RIGHT(CONCATENATE("000",IFAData_TEA_1819!A442),6),3),"-",(RIGHT(RIGHT(CONCATENATE("000",IFAData_TEA_1819!A442),6),3)))</f>
        <v>031-905</v>
      </c>
      <c r="C442" t="s">
        <v>1881</v>
      </c>
      <c r="D442">
        <v>6</v>
      </c>
      <c r="E442">
        <v>1974</v>
      </c>
      <c r="F442" t="s">
        <v>4339</v>
      </c>
      <c r="G442" t="s">
        <v>4339</v>
      </c>
      <c r="H442">
        <v>89560</v>
      </c>
      <c r="I442">
        <v>0</v>
      </c>
      <c r="J442">
        <v>0</v>
      </c>
      <c r="K442">
        <v>0</v>
      </c>
      <c r="L442">
        <v>0</v>
      </c>
      <c r="M442">
        <v>199</v>
      </c>
    </row>
    <row r="443" spans="1:13" ht="15">
      <c r="A443" t="s">
        <v>3432</v>
      </c>
      <c r="B443" s="1040" t="str">
        <f>CONCATENATE(LEFT(RIGHT(CONCATENATE("000",IFAData_TEA_1819!A443),6),3),"-",(RIGHT(RIGHT(CONCATENATE("000",IFAData_TEA_1819!A443),6),3)))</f>
        <v>031-905</v>
      </c>
      <c r="C443" t="s">
        <v>1881</v>
      </c>
      <c r="D443">
        <v>6</v>
      </c>
      <c r="E443">
        <v>1974</v>
      </c>
      <c r="F443" t="s">
        <v>4339</v>
      </c>
      <c r="G443" t="s">
        <v>4336</v>
      </c>
      <c r="H443">
        <v>89560</v>
      </c>
      <c r="I443">
        <v>0</v>
      </c>
      <c r="J443">
        <v>0</v>
      </c>
      <c r="K443">
        <v>0</v>
      </c>
      <c r="L443">
        <v>0</v>
      </c>
      <c r="M443">
        <v>599</v>
      </c>
    </row>
    <row r="444" spans="1:13" ht="15">
      <c r="A444" t="s">
        <v>3432</v>
      </c>
      <c r="B444" s="1040" t="str">
        <f>CONCATENATE(LEFT(RIGHT(CONCATENATE("000",IFAData_TEA_1819!A444),6),3),"-",(RIGHT(RIGHT(CONCATENATE("000",IFAData_TEA_1819!A444),6),3)))</f>
        <v>031-905</v>
      </c>
      <c r="C444" t="s">
        <v>1881</v>
      </c>
      <c r="D444">
        <v>6</v>
      </c>
      <c r="E444">
        <v>1974</v>
      </c>
      <c r="F444" t="s">
        <v>4339</v>
      </c>
      <c r="G444" t="s">
        <v>6208</v>
      </c>
      <c r="H444">
        <v>89560</v>
      </c>
      <c r="I444">
        <v>61582</v>
      </c>
      <c r="J444">
        <v>1</v>
      </c>
      <c r="K444">
        <v>89560</v>
      </c>
      <c r="L444">
        <v>61582</v>
      </c>
      <c r="M444">
        <v>599</v>
      </c>
    </row>
    <row r="445" spans="1:13" ht="15">
      <c r="A445" t="s">
        <v>3432</v>
      </c>
      <c r="B445" s="1040" t="str">
        <f>CONCATENATE(LEFT(RIGHT(CONCATENATE("000",IFAData_TEA_1819!A445),6),3),"-",(RIGHT(RIGHT(CONCATENATE("000",IFAData_TEA_1819!A445),6),3)))</f>
        <v>031-905</v>
      </c>
      <c r="C445" t="s">
        <v>1881</v>
      </c>
      <c r="D445">
        <v>8</v>
      </c>
      <c r="E445">
        <v>1977</v>
      </c>
      <c r="F445" t="s">
        <v>4340</v>
      </c>
      <c r="G445" t="s">
        <v>4340</v>
      </c>
      <c r="H445">
        <v>520989</v>
      </c>
      <c r="I445">
        <v>0</v>
      </c>
      <c r="J445">
        <v>0</v>
      </c>
      <c r="K445">
        <v>0</v>
      </c>
      <c r="L445">
        <v>0</v>
      </c>
      <c r="M445">
        <v>599</v>
      </c>
    </row>
    <row r="446" spans="1:13" ht="15">
      <c r="A446" t="s">
        <v>3432</v>
      </c>
      <c r="B446" s="1040" t="str">
        <f>CONCATENATE(LEFT(RIGHT(CONCATENATE("000",IFAData_TEA_1819!A446),6),3),"-",(RIGHT(RIGHT(CONCATENATE("000",IFAData_TEA_1819!A446),6),3)))</f>
        <v>031-905</v>
      </c>
      <c r="C446" t="s">
        <v>1881</v>
      </c>
      <c r="D446">
        <v>8</v>
      </c>
      <c r="E446">
        <v>1977</v>
      </c>
      <c r="F446" t="s">
        <v>4340</v>
      </c>
      <c r="G446" t="s">
        <v>6210</v>
      </c>
      <c r="H446">
        <v>520989</v>
      </c>
      <c r="I446">
        <v>165200</v>
      </c>
      <c r="J446">
        <v>0.42692854373950101</v>
      </c>
      <c r="K446">
        <v>222425.07507429901</v>
      </c>
      <c r="L446">
        <v>165200</v>
      </c>
      <c r="M446">
        <v>599</v>
      </c>
    </row>
    <row r="447" spans="1:13" ht="15">
      <c r="A447" t="s">
        <v>3432</v>
      </c>
      <c r="B447" s="1040" t="str">
        <f>CONCATENATE(LEFT(RIGHT(CONCATENATE("000",IFAData_TEA_1819!A447),6),3),"-",(RIGHT(RIGHT(CONCATENATE("000",IFAData_TEA_1819!A447),6),3)))</f>
        <v>031-905</v>
      </c>
      <c r="C447" t="s">
        <v>1881</v>
      </c>
      <c r="D447">
        <v>8</v>
      </c>
      <c r="E447">
        <v>1977</v>
      </c>
      <c r="F447" t="s">
        <v>4340</v>
      </c>
      <c r="G447" t="s">
        <v>6209</v>
      </c>
      <c r="H447">
        <v>520989</v>
      </c>
      <c r="I447">
        <v>221750</v>
      </c>
      <c r="J447">
        <v>0.57307145626049905</v>
      </c>
      <c r="K447">
        <v>298563.92492570099</v>
      </c>
      <c r="L447">
        <v>221750</v>
      </c>
      <c r="M447">
        <v>599</v>
      </c>
    </row>
    <row r="448" spans="1:13" ht="15">
      <c r="A448" t="s">
        <v>3432</v>
      </c>
      <c r="B448" s="1040" t="str">
        <f>CONCATENATE(LEFT(RIGHT(CONCATENATE("000",IFAData_TEA_1819!A448),6),3),"-",(RIGHT(RIGHT(CONCATENATE("000",IFAData_TEA_1819!A448),6),3)))</f>
        <v>031-905</v>
      </c>
      <c r="C448" t="s">
        <v>1881</v>
      </c>
      <c r="D448">
        <v>9</v>
      </c>
      <c r="E448">
        <v>1980</v>
      </c>
      <c r="F448" t="s">
        <v>4341</v>
      </c>
      <c r="G448" t="s">
        <v>4341</v>
      </c>
      <c r="H448">
        <v>790500</v>
      </c>
      <c r="I448">
        <v>0</v>
      </c>
      <c r="J448">
        <v>0</v>
      </c>
      <c r="K448">
        <v>0</v>
      </c>
      <c r="L448">
        <v>0</v>
      </c>
      <c r="M448">
        <v>599</v>
      </c>
    </row>
    <row r="449" spans="1:13" ht="15">
      <c r="A449" t="s">
        <v>3432</v>
      </c>
      <c r="B449" s="1040" t="str">
        <f>CONCATENATE(LEFT(RIGHT(CONCATENATE("000",IFAData_TEA_1819!A449),6),3),"-",(RIGHT(RIGHT(CONCATENATE("000",IFAData_TEA_1819!A449),6),3)))</f>
        <v>031-905</v>
      </c>
      <c r="C449" t="s">
        <v>1881</v>
      </c>
      <c r="D449">
        <v>9</v>
      </c>
      <c r="E449">
        <v>1980</v>
      </c>
      <c r="F449" t="s">
        <v>4341</v>
      </c>
      <c r="G449" t="s">
        <v>8330</v>
      </c>
      <c r="H449">
        <v>790500</v>
      </c>
      <c r="I449">
        <v>219579</v>
      </c>
      <c r="J449">
        <v>0.36766299024327398</v>
      </c>
      <c r="K449">
        <v>290637.59378730803</v>
      </c>
      <c r="L449">
        <v>219579</v>
      </c>
      <c r="M449">
        <v>599</v>
      </c>
    </row>
    <row r="450" spans="1:13" ht="15">
      <c r="A450" t="s">
        <v>3432</v>
      </c>
      <c r="B450" s="1040" t="str">
        <f>CONCATENATE(LEFT(RIGHT(CONCATENATE("000",IFAData_TEA_1819!A450),6),3),"-",(RIGHT(RIGHT(CONCATENATE("000",IFAData_TEA_1819!A450),6),3)))</f>
        <v>031-905</v>
      </c>
      <c r="C450" t="s">
        <v>1881</v>
      </c>
      <c r="D450">
        <v>9</v>
      </c>
      <c r="E450">
        <v>1980</v>
      </c>
      <c r="F450" t="s">
        <v>4341</v>
      </c>
      <c r="G450" t="s">
        <v>8331</v>
      </c>
      <c r="H450">
        <v>790500</v>
      </c>
      <c r="I450">
        <v>377650</v>
      </c>
      <c r="J450">
        <v>0.63233700975672602</v>
      </c>
      <c r="K450">
        <v>499862.40621269197</v>
      </c>
      <c r="L450">
        <v>377650</v>
      </c>
      <c r="M450">
        <v>599</v>
      </c>
    </row>
    <row r="451" spans="1:13" ht="15">
      <c r="A451" t="s">
        <v>3433</v>
      </c>
      <c r="B451" s="1040" t="str">
        <f>CONCATENATE(LEFT(RIGHT(CONCATENATE("000",IFAData_TEA_1819!A451),6),3),"-",(RIGHT(RIGHT(CONCATENATE("000",IFAData_TEA_1819!A451),6),3)))</f>
        <v>031-906</v>
      </c>
      <c r="C451" t="s">
        <v>36</v>
      </c>
      <c r="D451">
        <v>1</v>
      </c>
      <c r="E451">
        <v>2037</v>
      </c>
      <c r="F451" t="s">
        <v>4342</v>
      </c>
      <c r="G451" t="s">
        <v>4342</v>
      </c>
      <c r="H451">
        <v>680974</v>
      </c>
      <c r="I451">
        <v>0</v>
      </c>
      <c r="J451">
        <v>0</v>
      </c>
      <c r="K451"/>
      <c r="L451">
        <v>0</v>
      </c>
      <c r="M451">
        <v>599</v>
      </c>
    </row>
    <row r="452" spans="1:13" ht="15">
      <c r="A452" t="s">
        <v>3433</v>
      </c>
      <c r="B452" s="1040" t="str">
        <f>CONCATENATE(LEFT(RIGHT(CONCATENATE("000",IFAData_TEA_1819!A452),6),3),"-",(RIGHT(RIGHT(CONCATENATE("000",IFAData_TEA_1819!A452),6),3)))</f>
        <v>031-906</v>
      </c>
      <c r="C452" t="s">
        <v>36</v>
      </c>
      <c r="D452">
        <v>4</v>
      </c>
      <c r="E452">
        <v>2038</v>
      </c>
      <c r="F452" t="s">
        <v>4344</v>
      </c>
      <c r="G452" t="s">
        <v>4344</v>
      </c>
      <c r="H452">
        <v>1668879</v>
      </c>
      <c r="I452">
        <v>0</v>
      </c>
      <c r="J452">
        <v>0</v>
      </c>
      <c r="K452">
        <v>0</v>
      </c>
      <c r="L452">
        <v>0</v>
      </c>
      <c r="M452">
        <v>599</v>
      </c>
    </row>
    <row r="453" spans="1:13" ht="15">
      <c r="A453" t="s">
        <v>3433</v>
      </c>
      <c r="B453" s="1040" t="str">
        <f>CONCATENATE(LEFT(RIGHT(CONCATENATE("000",IFAData_TEA_1819!A453),6),3),"-",(RIGHT(RIGHT(CONCATENATE("000",IFAData_TEA_1819!A453),6),3)))</f>
        <v>031-906</v>
      </c>
      <c r="C453" t="s">
        <v>36</v>
      </c>
      <c r="D453">
        <v>4</v>
      </c>
      <c r="E453">
        <v>2038</v>
      </c>
      <c r="F453" t="s">
        <v>4344</v>
      </c>
      <c r="G453" t="s">
        <v>4343</v>
      </c>
      <c r="H453">
        <v>1668879</v>
      </c>
      <c r="I453">
        <v>0</v>
      </c>
      <c r="J453">
        <v>0</v>
      </c>
      <c r="K453">
        <v>0</v>
      </c>
      <c r="L453">
        <v>0</v>
      </c>
      <c r="M453">
        <v>599</v>
      </c>
    </row>
    <row r="454" spans="1:13" ht="15">
      <c r="A454" t="s">
        <v>3433</v>
      </c>
      <c r="B454" s="1040" t="str">
        <f>CONCATENATE(LEFT(RIGHT(CONCATENATE("000",IFAData_TEA_1819!A454),6),3),"-",(RIGHT(RIGHT(CONCATENATE("000",IFAData_TEA_1819!A454),6),3)))</f>
        <v>031-906</v>
      </c>
      <c r="C454" t="s">
        <v>36</v>
      </c>
      <c r="D454">
        <v>4</v>
      </c>
      <c r="E454">
        <v>2038</v>
      </c>
      <c r="F454" t="s">
        <v>4344</v>
      </c>
      <c r="G454" t="s">
        <v>6426</v>
      </c>
      <c r="H454">
        <v>1668879</v>
      </c>
      <c r="I454">
        <v>1416250</v>
      </c>
      <c r="J454">
        <v>1</v>
      </c>
      <c r="K454">
        <v>1668879</v>
      </c>
      <c r="L454">
        <v>1416250</v>
      </c>
      <c r="M454">
        <v>599</v>
      </c>
    </row>
    <row r="455" spans="1:13" ht="15">
      <c r="A455" t="s">
        <v>3433</v>
      </c>
      <c r="B455" s="1040" t="str">
        <f>CONCATENATE(LEFT(RIGHT(CONCATENATE("000",IFAData_TEA_1819!A455),6),3),"-",(RIGHT(RIGHT(CONCATENATE("000",IFAData_TEA_1819!A455),6),3)))</f>
        <v>031-906</v>
      </c>
      <c r="C455" t="s">
        <v>36</v>
      </c>
      <c r="D455">
        <v>8</v>
      </c>
      <c r="E455">
        <v>2039</v>
      </c>
      <c r="F455" t="s">
        <v>4345</v>
      </c>
      <c r="G455" t="s">
        <v>4345</v>
      </c>
      <c r="H455">
        <v>1935141</v>
      </c>
      <c r="I455">
        <v>0</v>
      </c>
      <c r="J455">
        <v>0</v>
      </c>
      <c r="K455">
        <v>0</v>
      </c>
      <c r="L455">
        <v>0</v>
      </c>
      <c r="M455">
        <v>599</v>
      </c>
    </row>
    <row r="456" spans="1:13" ht="15">
      <c r="A456" t="s">
        <v>3433</v>
      </c>
      <c r="B456" s="1040" t="str">
        <f>CONCATENATE(LEFT(RIGHT(CONCATENATE("000",IFAData_TEA_1819!A456),6),3),"-",(RIGHT(RIGHT(CONCATENATE("000",IFAData_TEA_1819!A456),6),3)))</f>
        <v>031-906</v>
      </c>
      <c r="C456" t="s">
        <v>36</v>
      </c>
      <c r="D456">
        <v>8</v>
      </c>
      <c r="E456">
        <v>2039</v>
      </c>
      <c r="F456" t="s">
        <v>4345</v>
      </c>
      <c r="G456" t="s">
        <v>6426</v>
      </c>
      <c r="H456">
        <v>1935141</v>
      </c>
      <c r="I456">
        <v>1893281</v>
      </c>
      <c r="J456">
        <v>1</v>
      </c>
      <c r="K456">
        <v>1935141</v>
      </c>
      <c r="L456">
        <v>1893281</v>
      </c>
      <c r="M456">
        <v>599</v>
      </c>
    </row>
    <row r="457" spans="1:13" ht="15">
      <c r="A457" t="s">
        <v>3434</v>
      </c>
      <c r="B457" s="1040" t="str">
        <f>CONCATENATE(LEFT(RIGHT(CONCATENATE("000",IFAData_TEA_1819!A457),6),3),"-",(RIGHT(RIGHT(CONCATENATE("000",IFAData_TEA_1819!A457),6),3)))</f>
        <v>031-911</v>
      </c>
      <c r="C457" t="s">
        <v>2694</v>
      </c>
      <c r="D457">
        <v>4</v>
      </c>
      <c r="E457">
        <v>2247</v>
      </c>
      <c r="F457" t="s">
        <v>4346</v>
      </c>
      <c r="G457" t="s">
        <v>4346</v>
      </c>
      <c r="H457">
        <v>501695</v>
      </c>
      <c r="I457">
        <v>0</v>
      </c>
      <c r="J457">
        <v>0</v>
      </c>
      <c r="K457">
        <v>0</v>
      </c>
      <c r="L457">
        <v>0</v>
      </c>
      <c r="M457">
        <v>599</v>
      </c>
    </row>
    <row r="458" spans="1:13" ht="15">
      <c r="A458" t="s">
        <v>3434</v>
      </c>
      <c r="B458" s="1040" t="str">
        <f>CONCATENATE(LEFT(RIGHT(CONCATENATE("000",IFAData_TEA_1819!A458),6),3),"-",(RIGHT(RIGHT(CONCATENATE("000",IFAData_TEA_1819!A458),6),3)))</f>
        <v>031-911</v>
      </c>
      <c r="C458" t="s">
        <v>2694</v>
      </c>
      <c r="D458">
        <v>4</v>
      </c>
      <c r="E458">
        <v>2247</v>
      </c>
      <c r="F458" t="s">
        <v>4346</v>
      </c>
      <c r="G458" t="s">
        <v>4347</v>
      </c>
      <c r="H458">
        <v>501695</v>
      </c>
      <c r="I458">
        <v>0</v>
      </c>
      <c r="J458">
        <v>0</v>
      </c>
      <c r="K458">
        <v>0</v>
      </c>
      <c r="L458">
        <v>0</v>
      </c>
      <c r="M458">
        <v>599</v>
      </c>
    </row>
    <row r="459" spans="1:13" ht="15">
      <c r="A459" t="s">
        <v>3434</v>
      </c>
      <c r="B459" s="1040" t="str">
        <f>CONCATENATE(LEFT(RIGHT(CONCATENATE("000",IFAData_TEA_1819!A459),6),3),"-",(RIGHT(RIGHT(CONCATENATE("000",IFAData_TEA_1819!A459),6),3)))</f>
        <v>031-911</v>
      </c>
      <c r="C459" t="s">
        <v>2694</v>
      </c>
      <c r="D459">
        <v>4</v>
      </c>
      <c r="E459">
        <v>2247</v>
      </c>
      <c r="F459" t="s">
        <v>4346</v>
      </c>
      <c r="G459" t="s">
        <v>6211</v>
      </c>
      <c r="H459">
        <v>501695</v>
      </c>
      <c r="I459">
        <v>442155</v>
      </c>
      <c r="J459">
        <v>1</v>
      </c>
      <c r="K459">
        <v>501695</v>
      </c>
      <c r="L459">
        <v>442155</v>
      </c>
      <c r="M459">
        <v>599</v>
      </c>
    </row>
    <row r="460" spans="1:13" ht="15">
      <c r="A460" t="s">
        <v>3434</v>
      </c>
      <c r="B460" s="1040" t="str">
        <f>CONCATENATE(LEFT(RIGHT(CONCATENATE("000",IFAData_TEA_1819!A460),6),3),"-",(RIGHT(RIGHT(CONCATENATE("000",IFAData_TEA_1819!A460),6),3)))</f>
        <v>031-911</v>
      </c>
      <c r="C460" t="s">
        <v>2694</v>
      </c>
      <c r="D460">
        <v>5</v>
      </c>
      <c r="E460">
        <v>2246</v>
      </c>
      <c r="F460" t="s">
        <v>4348</v>
      </c>
      <c r="G460" t="s">
        <v>4348</v>
      </c>
      <c r="H460">
        <v>476290</v>
      </c>
      <c r="I460">
        <v>0</v>
      </c>
      <c r="J460">
        <v>0</v>
      </c>
      <c r="K460">
        <v>0</v>
      </c>
      <c r="L460">
        <v>0</v>
      </c>
      <c r="M460">
        <v>599</v>
      </c>
    </row>
    <row r="461" spans="1:13" ht="15">
      <c r="A461" t="s">
        <v>3434</v>
      </c>
      <c r="B461" s="1040" t="str">
        <f>CONCATENATE(LEFT(RIGHT(CONCATENATE("000",IFAData_TEA_1819!A461),6),3),"-",(RIGHT(RIGHT(CONCATENATE("000",IFAData_TEA_1819!A461),6),3)))</f>
        <v>031-911</v>
      </c>
      <c r="C461" t="s">
        <v>2694</v>
      </c>
      <c r="D461">
        <v>5</v>
      </c>
      <c r="E461">
        <v>2246</v>
      </c>
      <c r="F461" t="s">
        <v>4348</v>
      </c>
      <c r="G461" t="s">
        <v>4349</v>
      </c>
      <c r="H461">
        <v>476290</v>
      </c>
      <c r="I461">
        <v>260000</v>
      </c>
      <c r="J461">
        <v>0.62111801242235998</v>
      </c>
      <c r="K461">
        <v>295832.29813664599</v>
      </c>
      <c r="L461">
        <v>260000</v>
      </c>
      <c r="M461">
        <v>599</v>
      </c>
    </row>
    <row r="462" spans="1:13" ht="15">
      <c r="A462" t="s">
        <v>3434</v>
      </c>
      <c r="B462" s="1040" t="str">
        <f>CONCATENATE(LEFT(RIGHT(CONCATENATE("000",IFAData_TEA_1819!A462),6),3),"-",(RIGHT(RIGHT(CONCATENATE("000",IFAData_TEA_1819!A462),6),3)))</f>
        <v>031-911</v>
      </c>
      <c r="C462" t="s">
        <v>2694</v>
      </c>
      <c r="D462">
        <v>5</v>
      </c>
      <c r="E462">
        <v>2246</v>
      </c>
      <c r="F462" t="s">
        <v>4348</v>
      </c>
      <c r="G462" t="s">
        <v>6427</v>
      </c>
      <c r="H462">
        <v>476290</v>
      </c>
      <c r="I462">
        <v>158600</v>
      </c>
      <c r="J462">
        <v>0.37888198757764002</v>
      </c>
      <c r="K462">
        <v>180457.70186335401</v>
      </c>
      <c r="L462">
        <v>158600</v>
      </c>
      <c r="M462">
        <v>599</v>
      </c>
    </row>
    <row r="463" spans="1:13" ht="15">
      <c r="A463" t="s">
        <v>3434</v>
      </c>
      <c r="B463" s="1040" t="str">
        <f>CONCATENATE(LEFT(RIGHT(CONCATENATE("000",IFAData_TEA_1819!A463),6),3),"-",(RIGHT(RIGHT(CONCATENATE("000",IFAData_TEA_1819!A463),6),3)))</f>
        <v>031-911</v>
      </c>
      <c r="C463" t="s">
        <v>2694</v>
      </c>
      <c r="D463">
        <v>8</v>
      </c>
      <c r="E463">
        <v>2245</v>
      </c>
      <c r="F463" t="s">
        <v>4350</v>
      </c>
      <c r="G463" t="s">
        <v>4350</v>
      </c>
      <c r="H463">
        <v>262428</v>
      </c>
      <c r="I463">
        <v>259300</v>
      </c>
      <c r="J463">
        <v>1</v>
      </c>
      <c r="K463">
        <v>262428</v>
      </c>
      <c r="L463">
        <v>259300</v>
      </c>
      <c r="M463">
        <v>599</v>
      </c>
    </row>
    <row r="464" spans="1:13" ht="15">
      <c r="A464" t="s">
        <v>3434</v>
      </c>
      <c r="B464" s="1040" t="str">
        <f>CONCATENATE(LEFT(RIGHT(CONCATENATE("000",IFAData_TEA_1819!A464),6),3),"-",(RIGHT(RIGHT(CONCATENATE("000",IFAData_TEA_1819!A464),6),3)))</f>
        <v>031-911</v>
      </c>
      <c r="C464" t="s">
        <v>2694</v>
      </c>
      <c r="D464">
        <v>11</v>
      </c>
      <c r="E464">
        <v>2480</v>
      </c>
      <c r="F464" t="s">
        <v>8332</v>
      </c>
      <c r="G464" t="s">
        <v>8332</v>
      </c>
      <c r="H464">
        <v>489203</v>
      </c>
      <c r="I464">
        <v>850850</v>
      </c>
      <c r="J464">
        <v>1</v>
      </c>
      <c r="K464">
        <v>489203</v>
      </c>
      <c r="L464">
        <v>489203</v>
      </c>
      <c r="M464">
        <v>599</v>
      </c>
    </row>
    <row r="465" spans="1:13" ht="15">
      <c r="A465" t="s">
        <v>3435</v>
      </c>
      <c r="B465" s="1040" t="str">
        <f>CONCATENATE(LEFT(RIGHT(CONCATENATE("000",IFAData_TEA_1819!A465),6),3),"-",(RIGHT(RIGHT(CONCATENATE("000",IFAData_TEA_1819!A465),6),3)))</f>
        <v>031-912</v>
      </c>
      <c r="C465" t="s">
        <v>39</v>
      </c>
      <c r="D465">
        <v>2</v>
      </c>
      <c r="E465">
        <v>2284</v>
      </c>
      <c r="F465" t="s">
        <v>4351</v>
      </c>
      <c r="G465" t="s">
        <v>4351</v>
      </c>
      <c r="H465">
        <v>1925904</v>
      </c>
      <c r="I465">
        <v>0</v>
      </c>
      <c r="J465">
        <v>0</v>
      </c>
      <c r="K465"/>
      <c r="L465">
        <v>0</v>
      </c>
      <c r="M465">
        <v>599</v>
      </c>
    </row>
    <row r="466" spans="1:13" ht="15">
      <c r="A466" t="s">
        <v>3435</v>
      </c>
      <c r="B466" s="1040" t="str">
        <f>CONCATENATE(LEFT(RIGHT(CONCATENATE("000",IFAData_TEA_1819!A466),6),3),"-",(RIGHT(RIGHT(CONCATENATE("000",IFAData_TEA_1819!A466),6),3)))</f>
        <v>031-912</v>
      </c>
      <c r="C466" t="s">
        <v>39</v>
      </c>
      <c r="D466">
        <v>4</v>
      </c>
      <c r="E466">
        <v>2285</v>
      </c>
      <c r="F466" t="s">
        <v>4353</v>
      </c>
      <c r="G466" t="s">
        <v>4353</v>
      </c>
      <c r="H466">
        <v>1943392</v>
      </c>
      <c r="I466">
        <v>0</v>
      </c>
      <c r="J466">
        <v>0</v>
      </c>
      <c r="K466">
        <v>0</v>
      </c>
      <c r="L466">
        <v>0</v>
      </c>
      <c r="M466">
        <v>599</v>
      </c>
    </row>
    <row r="467" spans="1:13" ht="15">
      <c r="A467" t="s">
        <v>3435</v>
      </c>
      <c r="B467" s="1040" t="str">
        <f>CONCATENATE(LEFT(RIGHT(CONCATENATE("000",IFAData_TEA_1819!A467),6),3),"-",(RIGHT(RIGHT(CONCATENATE("000",IFAData_TEA_1819!A467),6),3)))</f>
        <v>031-912</v>
      </c>
      <c r="C467" t="s">
        <v>39</v>
      </c>
      <c r="D467">
        <v>4</v>
      </c>
      <c r="E467">
        <v>2285</v>
      </c>
      <c r="F467" t="s">
        <v>4353</v>
      </c>
      <c r="G467" t="s">
        <v>4352</v>
      </c>
      <c r="H467">
        <v>1943392</v>
      </c>
      <c r="I467">
        <v>0</v>
      </c>
      <c r="J467">
        <v>0</v>
      </c>
      <c r="K467">
        <v>0</v>
      </c>
      <c r="L467">
        <v>0</v>
      </c>
      <c r="M467">
        <v>599</v>
      </c>
    </row>
    <row r="468" spans="1:13" ht="15">
      <c r="A468" t="s">
        <v>3435</v>
      </c>
      <c r="B468" s="1040" t="str">
        <f>CONCATENATE(LEFT(RIGHT(CONCATENATE("000",IFAData_TEA_1819!A468),6),3),"-",(RIGHT(RIGHT(CONCATENATE("000",IFAData_TEA_1819!A468),6),3)))</f>
        <v>031-912</v>
      </c>
      <c r="C468" t="s">
        <v>39</v>
      </c>
      <c r="D468">
        <v>4</v>
      </c>
      <c r="E468">
        <v>2285</v>
      </c>
      <c r="F468" t="s">
        <v>4353</v>
      </c>
      <c r="G468" t="s">
        <v>4354</v>
      </c>
      <c r="H468">
        <v>1943392</v>
      </c>
      <c r="I468">
        <v>1075900</v>
      </c>
      <c r="J468">
        <v>0.66586911732577903</v>
      </c>
      <c r="K468">
        <v>1294044.7156579799</v>
      </c>
      <c r="L468">
        <v>1075900</v>
      </c>
      <c r="M468">
        <v>599</v>
      </c>
    </row>
    <row r="469" spans="1:13" ht="15">
      <c r="A469" t="s">
        <v>3435</v>
      </c>
      <c r="B469" s="1040" t="str">
        <f>CONCATENATE(LEFT(RIGHT(CONCATENATE("000",IFAData_TEA_1819!A469),6),3),"-",(RIGHT(RIGHT(CONCATENATE("000",IFAData_TEA_1819!A469),6),3)))</f>
        <v>031-912</v>
      </c>
      <c r="C469" t="s">
        <v>39</v>
      </c>
      <c r="D469">
        <v>4</v>
      </c>
      <c r="E469">
        <v>2285</v>
      </c>
      <c r="F469" t="s">
        <v>4353</v>
      </c>
      <c r="G469" t="s">
        <v>6212</v>
      </c>
      <c r="H469">
        <v>1943392</v>
      </c>
      <c r="I469">
        <v>539883</v>
      </c>
      <c r="J469">
        <v>0.33413088267421998</v>
      </c>
      <c r="K469">
        <v>649347.284342019</v>
      </c>
      <c r="L469">
        <v>539883</v>
      </c>
      <c r="M469">
        <v>599</v>
      </c>
    </row>
    <row r="470" spans="1:13" ht="15">
      <c r="A470" t="s">
        <v>3435</v>
      </c>
      <c r="B470" s="1040" t="str">
        <f>CONCATENATE(LEFT(RIGHT(CONCATENATE("000",IFAData_TEA_1819!A470),6),3),"-",(RIGHT(RIGHT(CONCATENATE("000",IFAData_TEA_1819!A470),6),3)))</f>
        <v>031-912</v>
      </c>
      <c r="C470" t="s">
        <v>39</v>
      </c>
      <c r="D470">
        <v>9</v>
      </c>
      <c r="E470">
        <v>2287</v>
      </c>
      <c r="F470" t="s">
        <v>4358</v>
      </c>
      <c r="G470" t="s">
        <v>4358</v>
      </c>
      <c r="H470">
        <v>2359625</v>
      </c>
      <c r="I470">
        <v>0</v>
      </c>
      <c r="J470">
        <v>0</v>
      </c>
      <c r="K470">
        <v>0</v>
      </c>
      <c r="L470">
        <v>0</v>
      </c>
      <c r="M470">
        <v>599</v>
      </c>
    </row>
    <row r="471" spans="1:13" ht="15">
      <c r="A471" t="s">
        <v>3435</v>
      </c>
      <c r="B471" s="1040" t="str">
        <f>CONCATENATE(LEFT(RIGHT(CONCATENATE("000",IFAData_TEA_1819!A471),6),3),"-",(RIGHT(RIGHT(CONCATENATE("000",IFAData_TEA_1819!A471),6),3)))</f>
        <v>031-912</v>
      </c>
      <c r="C471" t="s">
        <v>39</v>
      </c>
      <c r="D471">
        <v>9</v>
      </c>
      <c r="E471">
        <v>2287</v>
      </c>
      <c r="F471" t="s">
        <v>4358</v>
      </c>
      <c r="G471" t="s">
        <v>6428</v>
      </c>
      <c r="H471">
        <v>2359625</v>
      </c>
      <c r="I471">
        <v>2086000</v>
      </c>
      <c r="J471">
        <v>1</v>
      </c>
      <c r="K471">
        <v>2359625</v>
      </c>
      <c r="L471">
        <v>2086000</v>
      </c>
      <c r="M471">
        <v>599</v>
      </c>
    </row>
    <row r="472" spans="1:13" ht="15">
      <c r="A472" t="s">
        <v>3436</v>
      </c>
      <c r="B472" s="1040" t="str">
        <f>CONCATENATE(LEFT(RIGHT(CONCATENATE("000",IFAData_TEA_1819!A472),6),3),"-",(RIGHT(RIGHT(CONCATENATE("000",IFAData_TEA_1819!A472),6),3)))</f>
        <v>031-913</v>
      </c>
      <c r="C472" t="s">
        <v>86</v>
      </c>
      <c r="D472">
        <v>4</v>
      </c>
      <c r="E472">
        <v>2310</v>
      </c>
      <c r="F472" t="s">
        <v>4359</v>
      </c>
      <c r="G472" t="s">
        <v>4359</v>
      </c>
      <c r="H472">
        <v>103380</v>
      </c>
      <c r="I472">
        <v>0</v>
      </c>
      <c r="J472">
        <v>0</v>
      </c>
      <c r="K472">
        <v>0</v>
      </c>
      <c r="L472">
        <v>0</v>
      </c>
      <c r="M472">
        <v>599</v>
      </c>
    </row>
    <row r="473" spans="1:13" ht="15">
      <c r="A473" t="s">
        <v>3436</v>
      </c>
      <c r="B473" s="1040" t="str">
        <f>CONCATENATE(LEFT(RIGHT(CONCATENATE("000",IFAData_TEA_1819!A473),6),3),"-",(RIGHT(RIGHT(CONCATENATE("000",IFAData_TEA_1819!A473),6),3)))</f>
        <v>031-913</v>
      </c>
      <c r="C473" t="s">
        <v>86</v>
      </c>
      <c r="D473">
        <v>4</v>
      </c>
      <c r="E473">
        <v>2310</v>
      </c>
      <c r="F473" t="s">
        <v>4359</v>
      </c>
      <c r="G473" t="s">
        <v>4360</v>
      </c>
      <c r="H473">
        <v>103380</v>
      </c>
      <c r="I473">
        <v>102863</v>
      </c>
      <c r="J473">
        <v>1</v>
      </c>
      <c r="K473">
        <v>103380</v>
      </c>
      <c r="L473">
        <v>102863</v>
      </c>
      <c r="M473">
        <v>599</v>
      </c>
    </row>
    <row r="474" spans="1:13" ht="15">
      <c r="A474" t="s">
        <v>3436</v>
      </c>
      <c r="B474" s="1040" t="str">
        <f>CONCATENATE(LEFT(RIGHT(CONCATENATE("000",IFAData_TEA_1819!A474),6),3),"-",(RIGHT(RIGHT(CONCATENATE("000",IFAData_TEA_1819!A474),6),3)))</f>
        <v>031-913</v>
      </c>
      <c r="C474" t="s">
        <v>86</v>
      </c>
      <c r="D474">
        <v>7</v>
      </c>
      <c r="E474">
        <v>2311</v>
      </c>
      <c r="F474" t="s">
        <v>4361</v>
      </c>
      <c r="G474" t="s">
        <v>4361</v>
      </c>
      <c r="H474">
        <v>128701</v>
      </c>
      <c r="I474">
        <v>0</v>
      </c>
      <c r="J474">
        <v>0</v>
      </c>
      <c r="K474">
        <v>0</v>
      </c>
      <c r="L474">
        <v>0</v>
      </c>
      <c r="M474">
        <v>599</v>
      </c>
    </row>
    <row r="475" spans="1:13" ht="15">
      <c r="A475" t="s">
        <v>3436</v>
      </c>
      <c r="B475" s="1040" t="str">
        <f>CONCATENATE(LEFT(RIGHT(CONCATENATE("000",IFAData_TEA_1819!A475),6),3),"-",(RIGHT(RIGHT(CONCATENATE("000",IFAData_TEA_1819!A475),6),3)))</f>
        <v>031-913</v>
      </c>
      <c r="C475" t="s">
        <v>86</v>
      </c>
      <c r="D475">
        <v>7</v>
      </c>
      <c r="E475">
        <v>2311</v>
      </c>
      <c r="F475" t="s">
        <v>4361</v>
      </c>
      <c r="G475" t="s">
        <v>6429</v>
      </c>
      <c r="H475">
        <v>128701</v>
      </c>
      <c r="I475">
        <v>113150</v>
      </c>
      <c r="J475">
        <v>1</v>
      </c>
      <c r="K475">
        <v>128701</v>
      </c>
      <c r="L475">
        <v>113150</v>
      </c>
      <c r="M475">
        <v>599</v>
      </c>
    </row>
    <row r="476" spans="1:13" ht="15">
      <c r="A476" t="s">
        <v>3436</v>
      </c>
      <c r="B476" s="1040" t="str">
        <f>CONCATENATE(LEFT(RIGHT(CONCATENATE("000",IFAData_TEA_1819!A476),6),3),"-",(RIGHT(RIGHT(CONCATENATE("000",IFAData_TEA_1819!A476),6),3)))</f>
        <v>031-913</v>
      </c>
      <c r="C476" t="s">
        <v>86</v>
      </c>
      <c r="D476">
        <v>10</v>
      </c>
      <c r="E476">
        <v>2309</v>
      </c>
      <c r="F476" t="s">
        <v>4362</v>
      </c>
      <c r="G476" t="s">
        <v>4362</v>
      </c>
      <c r="H476">
        <v>60163</v>
      </c>
      <c r="I476">
        <v>51200</v>
      </c>
      <c r="J476">
        <v>1</v>
      </c>
      <c r="K476">
        <v>60163</v>
      </c>
      <c r="L476">
        <v>51200</v>
      </c>
      <c r="M476">
        <v>599</v>
      </c>
    </row>
    <row r="477" spans="1:13" ht="15">
      <c r="A477" t="s">
        <v>3436</v>
      </c>
      <c r="B477" s="1040" t="str">
        <f>CONCATENATE(LEFT(RIGHT(CONCATENATE("000",IFAData_TEA_1819!A477),6),3),"-",(RIGHT(RIGHT(CONCATENATE("000",IFAData_TEA_1819!A477),6),3)))</f>
        <v>031-913</v>
      </c>
      <c r="C477" t="s">
        <v>86</v>
      </c>
      <c r="D477">
        <v>11</v>
      </c>
      <c r="E477">
        <v>2602</v>
      </c>
      <c r="F477" t="s">
        <v>8333</v>
      </c>
      <c r="G477" t="s">
        <v>8333</v>
      </c>
      <c r="H477">
        <v>160322</v>
      </c>
      <c r="I477">
        <v>145562</v>
      </c>
      <c r="J477">
        <v>1</v>
      </c>
      <c r="K477">
        <v>160322</v>
      </c>
      <c r="L477">
        <v>145562</v>
      </c>
      <c r="M477">
        <v>599</v>
      </c>
    </row>
    <row r="478" spans="1:13" ht="15">
      <c r="A478" t="s">
        <v>3437</v>
      </c>
      <c r="B478" s="1040" t="str">
        <f>CONCATENATE(LEFT(RIGHT(CONCATENATE("000",IFAData_TEA_1819!A478),6),3),"-",(RIGHT(RIGHT(CONCATENATE("000",IFAData_TEA_1819!A478),6),3)))</f>
        <v>031-914</v>
      </c>
      <c r="C478" t="s">
        <v>87</v>
      </c>
      <c r="D478">
        <v>1</v>
      </c>
      <c r="E478">
        <v>2314</v>
      </c>
      <c r="F478" t="s">
        <v>4363</v>
      </c>
      <c r="G478" t="s">
        <v>4363</v>
      </c>
      <c r="H478">
        <v>290250</v>
      </c>
      <c r="I478">
        <v>0</v>
      </c>
      <c r="J478">
        <v>0</v>
      </c>
      <c r="K478">
        <v>0</v>
      </c>
      <c r="L478">
        <v>0</v>
      </c>
      <c r="M478">
        <v>599</v>
      </c>
    </row>
    <row r="479" spans="1:13" ht="15">
      <c r="A479" t="s">
        <v>3437</v>
      </c>
      <c r="B479" s="1040" t="str">
        <f>CONCATENATE(LEFT(RIGHT(CONCATENATE("000",IFAData_TEA_1819!A479),6),3),"-",(RIGHT(RIGHT(CONCATENATE("000",IFAData_TEA_1819!A479),6),3)))</f>
        <v>031-914</v>
      </c>
      <c r="C479" t="s">
        <v>87</v>
      </c>
      <c r="D479">
        <v>1</v>
      </c>
      <c r="E479">
        <v>2314</v>
      </c>
      <c r="F479" t="s">
        <v>4363</v>
      </c>
      <c r="G479" t="s">
        <v>4364</v>
      </c>
      <c r="H479">
        <v>290250</v>
      </c>
      <c r="I479">
        <v>0</v>
      </c>
      <c r="J479">
        <v>0</v>
      </c>
      <c r="K479">
        <v>0</v>
      </c>
      <c r="L479">
        <v>0</v>
      </c>
      <c r="M479">
        <v>599</v>
      </c>
    </row>
    <row r="480" spans="1:13" ht="15">
      <c r="A480" t="s">
        <v>3437</v>
      </c>
      <c r="B480" s="1040" t="str">
        <f>CONCATENATE(LEFT(RIGHT(CONCATENATE("000",IFAData_TEA_1819!A480),6),3),"-",(RIGHT(RIGHT(CONCATENATE("000",IFAData_TEA_1819!A480),6),3)))</f>
        <v>031-914</v>
      </c>
      <c r="C480" t="s">
        <v>87</v>
      </c>
      <c r="D480">
        <v>1</v>
      </c>
      <c r="E480">
        <v>2314</v>
      </c>
      <c r="F480" t="s">
        <v>4363</v>
      </c>
      <c r="G480" t="s">
        <v>8334</v>
      </c>
      <c r="H480">
        <v>290250</v>
      </c>
      <c r="I480">
        <v>268280</v>
      </c>
      <c r="J480">
        <v>1</v>
      </c>
      <c r="K480">
        <v>290250</v>
      </c>
      <c r="L480">
        <v>268280</v>
      </c>
      <c r="M480">
        <v>599</v>
      </c>
    </row>
    <row r="481" spans="1:13" ht="15">
      <c r="A481" t="s">
        <v>3437</v>
      </c>
      <c r="B481" s="1040" t="str">
        <f>CONCATENATE(LEFT(RIGHT(CONCATENATE("000",IFAData_TEA_1819!A481),6),3),"-",(RIGHT(RIGHT(CONCATENATE("000",IFAData_TEA_1819!A481),6),3)))</f>
        <v>031-914</v>
      </c>
      <c r="C481" t="s">
        <v>87</v>
      </c>
      <c r="D481">
        <v>4</v>
      </c>
      <c r="E481">
        <v>2315</v>
      </c>
      <c r="F481" t="s">
        <v>4365</v>
      </c>
      <c r="G481" t="s">
        <v>4365</v>
      </c>
      <c r="H481">
        <v>307688</v>
      </c>
      <c r="I481">
        <v>0</v>
      </c>
      <c r="J481">
        <v>0</v>
      </c>
      <c r="K481">
        <v>0</v>
      </c>
      <c r="L481">
        <v>0</v>
      </c>
      <c r="M481">
        <v>599</v>
      </c>
    </row>
    <row r="482" spans="1:13" ht="15">
      <c r="A482" t="s">
        <v>3437</v>
      </c>
      <c r="B482" s="1040" t="str">
        <f>CONCATENATE(LEFT(RIGHT(CONCATENATE("000",IFAData_TEA_1819!A482),6),3),"-",(RIGHT(RIGHT(CONCATENATE("000",IFAData_TEA_1819!A482),6),3)))</f>
        <v>031-914</v>
      </c>
      <c r="C482" t="s">
        <v>87</v>
      </c>
      <c r="D482">
        <v>4</v>
      </c>
      <c r="E482">
        <v>2315</v>
      </c>
      <c r="F482" t="s">
        <v>4365</v>
      </c>
      <c r="G482" t="s">
        <v>4364</v>
      </c>
      <c r="H482">
        <v>307688</v>
      </c>
      <c r="I482">
        <v>0</v>
      </c>
      <c r="J482">
        <v>0</v>
      </c>
      <c r="K482">
        <v>0</v>
      </c>
      <c r="L482">
        <v>0</v>
      </c>
      <c r="M482">
        <v>599</v>
      </c>
    </row>
    <row r="483" spans="1:13" ht="15">
      <c r="A483" t="s">
        <v>3437</v>
      </c>
      <c r="B483" s="1040" t="str">
        <f>CONCATENATE(LEFT(RIGHT(CONCATENATE("000",IFAData_TEA_1819!A483),6),3),"-",(RIGHT(RIGHT(CONCATENATE("000",IFAData_TEA_1819!A483),6),3)))</f>
        <v>031-914</v>
      </c>
      <c r="C483" t="s">
        <v>87</v>
      </c>
      <c r="D483">
        <v>4</v>
      </c>
      <c r="E483">
        <v>2315</v>
      </c>
      <c r="F483" t="s">
        <v>4365</v>
      </c>
      <c r="G483" t="s">
        <v>8334</v>
      </c>
      <c r="H483">
        <v>307688</v>
      </c>
      <c r="I483">
        <v>267840</v>
      </c>
      <c r="J483">
        <v>1</v>
      </c>
      <c r="K483">
        <v>307688</v>
      </c>
      <c r="L483">
        <v>267840</v>
      </c>
      <c r="M483">
        <v>599</v>
      </c>
    </row>
    <row r="484" spans="1:13" ht="15">
      <c r="A484" t="s">
        <v>3437</v>
      </c>
      <c r="B484" s="1040" t="str">
        <f>CONCATENATE(LEFT(RIGHT(CONCATENATE("000",IFAData_TEA_1819!A484),6),3),"-",(RIGHT(RIGHT(CONCATENATE("000",IFAData_TEA_1819!A484),6),3)))</f>
        <v>031-914</v>
      </c>
      <c r="C484" t="s">
        <v>87</v>
      </c>
      <c r="D484">
        <v>5</v>
      </c>
      <c r="E484">
        <v>2312</v>
      </c>
      <c r="F484" t="s">
        <v>4366</v>
      </c>
      <c r="G484" t="s">
        <v>4366</v>
      </c>
      <c r="H484">
        <v>265690</v>
      </c>
      <c r="I484">
        <v>0</v>
      </c>
      <c r="J484">
        <v>0</v>
      </c>
      <c r="K484">
        <v>0</v>
      </c>
      <c r="L484">
        <v>0</v>
      </c>
      <c r="M484">
        <v>599</v>
      </c>
    </row>
    <row r="485" spans="1:13" ht="15">
      <c r="A485" t="s">
        <v>3437</v>
      </c>
      <c r="B485" s="1040" t="str">
        <f>CONCATENATE(LEFT(RIGHT(CONCATENATE("000",IFAData_TEA_1819!A485),6),3),"-",(RIGHT(RIGHT(CONCATENATE("000",IFAData_TEA_1819!A485),6),3)))</f>
        <v>031-914</v>
      </c>
      <c r="C485" t="s">
        <v>87</v>
      </c>
      <c r="D485">
        <v>5</v>
      </c>
      <c r="E485">
        <v>2312</v>
      </c>
      <c r="F485" t="s">
        <v>4366</v>
      </c>
      <c r="G485" t="s">
        <v>4364</v>
      </c>
      <c r="H485">
        <v>265690</v>
      </c>
      <c r="I485">
        <v>0</v>
      </c>
      <c r="J485">
        <v>0</v>
      </c>
      <c r="K485">
        <v>0</v>
      </c>
      <c r="L485">
        <v>0</v>
      </c>
      <c r="M485">
        <v>599</v>
      </c>
    </row>
    <row r="486" spans="1:13" ht="15">
      <c r="A486" t="s">
        <v>3437</v>
      </c>
      <c r="B486" s="1040" t="str">
        <f>CONCATENATE(LEFT(RIGHT(CONCATENATE("000",IFAData_TEA_1819!A486),6),3),"-",(RIGHT(RIGHT(CONCATENATE("000",IFAData_TEA_1819!A486),6),3)))</f>
        <v>031-914</v>
      </c>
      <c r="C486" t="s">
        <v>87</v>
      </c>
      <c r="D486">
        <v>5</v>
      </c>
      <c r="E486">
        <v>2312</v>
      </c>
      <c r="F486" t="s">
        <v>4366</v>
      </c>
      <c r="G486" t="s">
        <v>8334</v>
      </c>
      <c r="H486">
        <v>265690</v>
      </c>
      <c r="I486">
        <v>245480</v>
      </c>
      <c r="J486">
        <v>1</v>
      </c>
      <c r="K486">
        <v>265690</v>
      </c>
      <c r="L486">
        <v>245480</v>
      </c>
      <c r="M486">
        <v>599</v>
      </c>
    </row>
    <row r="487" spans="1:13" ht="15">
      <c r="A487" t="s">
        <v>3437</v>
      </c>
      <c r="B487" s="1040" t="str">
        <f>CONCATENATE(LEFT(RIGHT(CONCATENATE("000",IFAData_TEA_1819!A487),6),3),"-",(RIGHT(RIGHT(CONCATENATE("000",IFAData_TEA_1819!A487),6),3)))</f>
        <v>031-914</v>
      </c>
      <c r="C487" t="s">
        <v>87</v>
      </c>
      <c r="D487">
        <v>9</v>
      </c>
      <c r="E487">
        <v>2313</v>
      </c>
      <c r="F487" t="s">
        <v>4367</v>
      </c>
      <c r="G487" t="s">
        <v>4367</v>
      </c>
      <c r="H487">
        <v>284877</v>
      </c>
      <c r="I487">
        <v>0</v>
      </c>
      <c r="J487">
        <v>0</v>
      </c>
      <c r="K487">
        <v>0</v>
      </c>
      <c r="L487">
        <v>0</v>
      </c>
      <c r="M487">
        <v>599</v>
      </c>
    </row>
    <row r="488" spans="1:13" ht="15">
      <c r="A488" t="s">
        <v>3437</v>
      </c>
      <c r="B488" s="1040" t="str">
        <f>CONCATENATE(LEFT(RIGHT(CONCATENATE("000",IFAData_TEA_1819!A488),6),3),"-",(RIGHT(RIGHT(CONCATENATE("000",IFAData_TEA_1819!A488),6),3)))</f>
        <v>031-914</v>
      </c>
      <c r="C488" t="s">
        <v>87</v>
      </c>
      <c r="D488">
        <v>9</v>
      </c>
      <c r="E488">
        <v>2313</v>
      </c>
      <c r="F488" t="s">
        <v>4367</v>
      </c>
      <c r="G488" t="s">
        <v>8335</v>
      </c>
      <c r="H488">
        <v>284877</v>
      </c>
      <c r="I488">
        <v>254800</v>
      </c>
      <c r="J488">
        <v>1</v>
      </c>
      <c r="K488">
        <v>284877</v>
      </c>
      <c r="L488">
        <v>254800</v>
      </c>
      <c r="M488">
        <v>599</v>
      </c>
    </row>
    <row r="489" spans="1:13" ht="15">
      <c r="A489" t="s">
        <v>5791</v>
      </c>
      <c r="B489" s="1040" t="str">
        <f>CONCATENATE(LEFT(RIGHT(CONCATENATE("000",IFAData_TEA_1819!A489),6),3),"-",(RIGHT(RIGHT(CONCATENATE("000",IFAData_TEA_1819!A489),6),3)))</f>
        <v>032-902</v>
      </c>
      <c r="C489" t="s">
        <v>1604</v>
      </c>
      <c r="D489">
        <v>11</v>
      </c>
      <c r="E489">
        <v>2586</v>
      </c>
      <c r="F489" t="s">
        <v>8336</v>
      </c>
      <c r="G489" t="s">
        <v>8336</v>
      </c>
      <c r="H489">
        <v>294575</v>
      </c>
      <c r="I489">
        <v>834125</v>
      </c>
      <c r="J489">
        <v>1</v>
      </c>
      <c r="K489">
        <v>294575</v>
      </c>
      <c r="L489">
        <v>294575</v>
      </c>
      <c r="M489">
        <v>599</v>
      </c>
    </row>
    <row r="490" spans="1:13" ht="15">
      <c r="A490" t="s">
        <v>4368</v>
      </c>
      <c r="B490" s="1040" t="str">
        <f>CONCATENATE(LEFT(RIGHT(CONCATENATE("000",IFAData_TEA_1819!A490),6),3),"-",(RIGHT(RIGHT(CONCATENATE("000",IFAData_TEA_1819!A490),6),3)))</f>
        <v>034-906</v>
      </c>
      <c r="C490" t="s">
        <v>821</v>
      </c>
      <c r="D490">
        <v>4</v>
      </c>
      <c r="E490">
        <v>2083</v>
      </c>
      <c r="F490" t="s">
        <v>4369</v>
      </c>
      <c r="G490" t="s">
        <v>4369</v>
      </c>
      <c r="H490">
        <v>80006</v>
      </c>
      <c r="I490">
        <v>79815</v>
      </c>
      <c r="J490">
        <v>1</v>
      </c>
      <c r="K490">
        <v>80006</v>
      </c>
      <c r="L490">
        <v>79815</v>
      </c>
      <c r="M490">
        <v>199</v>
      </c>
    </row>
    <row r="491" spans="1:13" ht="15">
      <c r="A491" t="s">
        <v>5798</v>
      </c>
      <c r="B491" s="1040" t="str">
        <f>CONCATENATE(LEFT(RIGHT(CONCATENATE("000",IFAData_TEA_1819!A491),6),3),"-",(RIGHT(RIGHT(CONCATENATE("000",IFAData_TEA_1819!A491),6),3)))</f>
        <v>034-909</v>
      </c>
      <c r="C491" t="s">
        <v>1708</v>
      </c>
      <c r="D491">
        <v>11</v>
      </c>
      <c r="E491">
        <v>2557</v>
      </c>
      <c r="F491" t="s">
        <v>8337</v>
      </c>
      <c r="G491" t="s">
        <v>8337</v>
      </c>
      <c r="H491">
        <v>23190</v>
      </c>
      <c r="I491">
        <v>23304</v>
      </c>
      <c r="J491">
        <v>1</v>
      </c>
      <c r="K491">
        <v>23190</v>
      </c>
      <c r="L491">
        <v>23190</v>
      </c>
      <c r="M491">
        <v>599</v>
      </c>
    </row>
    <row r="492" spans="1:13" ht="15">
      <c r="A492" t="s">
        <v>3438</v>
      </c>
      <c r="B492" s="1040" t="str">
        <f>CONCATENATE(LEFT(RIGHT(CONCATENATE("000",IFAData_TEA_1819!A492),6),3),"-",(RIGHT(RIGHT(CONCATENATE("000",IFAData_TEA_1819!A492),6),3)))</f>
        <v>035-903</v>
      </c>
      <c r="C492" t="s">
        <v>389</v>
      </c>
      <c r="D492">
        <v>3</v>
      </c>
      <c r="E492">
        <v>2128</v>
      </c>
      <c r="F492" t="s">
        <v>4370</v>
      </c>
      <c r="G492" t="s">
        <v>4370</v>
      </c>
      <c r="H492">
        <v>100000</v>
      </c>
      <c r="I492">
        <v>0</v>
      </c>
      <c r="J492">
        <v>0</v>
      </c>
      <c r="K492"/>
      <c r="L492">
        <v>0</v>
      </c>
      <c r="M492">
        <v>599</v>
      </c>
    </row>
    <row r="493" spans="1:13" ht="15">
      <c r="A493" t="s">
        <v>3439</v>
      </c>
      <c r="B493" s="1040" t="str">
        <f>CONCATENATE(LEFT(RIGHT(CONCATENATE("000",IFAData_TEA_1819!A493),6),3),"-",(RIGHT(RIGHT(CONCATENATE("000",IFAData_TEA_1819!A493),6),3)))</f>
        <v>036-901</v>
      </c>
      <c r="C493" t="s">
        <v>1055</v>
      </c>
      <c r="D493">
        <v>3</v>
      </c>
      <c r="E493">
        <v>1573</v>
      </c>
      <c r="F493" t="s">
        <v>4371</v>
      </c>
      <c r="G493" t="s">
        <v>4371</v>
      </c>
      <c r="H493">
        <v>342500</v>
      </c>
      <c r="I493">
        <v>0</v>
      </c>
      <c r="J493">
        <v>0</v>
      </c>
      <c r="K493">
        <v>0</v>
      </c>
      <c r="L493">
        <v>0</v>
      </c>
      <c r="M493">
        <v>599</v>
      </c>
    </row>
    <row r="494" spans="1:13" ht="15">
      <c r="A494" t="s">
        <v>3439</v>
      </c>
      <c r="B494" s="1040" t="str">
        <f>CONCATENATE(LEFT(RIGHT(CONCATENATE("000",IFAData_TEA_1819!A494),6),3),"-",(RIGHT(RIGHT(CONCATENATE("000",IFAData_TEA_1819!A494),6),3)))</f>
        <v>036-901</v>
      </c>
      <c r="C494" t="s">
        <v>1055</v>
      </c>
      <c r="D494">
        <v>3</v>
      </c>
      <c r="E494">
        <v>1573</v>
      </c>
      <c r="F494" t="s">
        <v>4371</v>
      </c>
      <c r="G494" t="s">
        <v>4372</v>
      </c>
      <c r="H494">
        <v>342500</v>
      </c>
      <c r="I494">
        <v>513522</v>
      </c>
      <c r="J494">
        <v>1</v>
      </c>
      <c r="K494">
        <v>342500</v>
      </c>
      <c r="L494">
        <v>342500</v>
      </c>
      <c r="M494">
        <v>599</v>
      </c>
    </row>
    <row r="495" spans="1:13" ht="15">
      <c r="A495" t="s">
        <v>3439</v>
      </c>
      <c r="B495" s="1040" t="str">
        <f>CONCATENATE(LEFT(RIGHT(CONCATENATE("000",IFAData_TEA_1819!A495),6),3),"-",(RIGHT(RIGHT(CONCATENATE("000",IFAData_TEA_1819!A495),6),3)))</f>
        <v>036-901</v>
      </c>
      <c r="C495" t="s">
        <v>1055</v>
      </c>
      <c r="D495">
        <v>10</v>
      </c>
      <c r="E495">
        <v>1572</v>
      </c>
      <c r="F495" t="s">
        <v>4373</v>
      </c>
      <c r="G495" t="s">
        <v>4373</v>
      </c>
      <c r="H495">
        <v>321500</v>
      </c>
      <c r="I495">
        <v>722012</v>
      </c>
      <c r="J495">
        <v>1</v>
      </c>
      <c r="K495">
        <v>321500</v>
      </c>
      <c r="L495">
        <v>321500</v>
      </c>
      <c r="M495">
        <v>599</v>
      </c>
    </row>
    <row r="496" spans="1:13" ht="15">
      <c r="A496" t="s">
        <v>3440</v>
      </c>
      <c r="B496" s="1040" t="str">
        <f>CONCATENATE(LEFT(RIGHT(CONCATENATE("000",IFAData_TEA_1819!A496),6),3),"-",(RIGHT(RIGHT(CONCATENATE("000",IFAData_TEA_1819!A496),6),3)))</f>
        <v>036-903</v>
      </c>
      <c r="C496" t="s">
        <v>2369</v>
      </c>
      <c r="D496">
        <v>9</v>
      </c>
      <c r="E496">
        <v>1782</v>
      </c>
      <c r="F496" t="s">
        <v>4374</v>
      </c>
      <c r="G496" t="s">
        <v>4374</v>
      </c>
      <c r="H496">
        <v>300000</v>
      </c>
      <c r="I496">
        <v>0</v>
      </c>
      <c r="J496">
        <v>0</v>
      </c>
      <c r="K496">
        <v>0</v>
      </c>
      <c r="L496">
        <v>0</v>
      </c>
      <c r="M496">
        <v>599</v>
      </c>
    </row>
    <row r="497" spans="1:13" ht="15">
      <c r="A497" t="s">
        <v>3440</v>
      </c>
      <c r="B497" s="1040" t="str">
        <f>CONCATENATE(LEFT(RIGHT(CONCATENATE("000",IFAData_TEA_1819!A497),6),3),"-",(RIGHT(RIGHT(CONCATENATE("000",IFAData_TEA_1819!A497),6),3)))</f>
        <v>036-903</v>
      </c>
      <c r="C497" t="s">
        <v>2369</v>
      </c>
      <c r="D497">
        <v>9</v>
      </c>
      <c r="E497">
        <v>1782</v>
      </c>
      <c r="F497" t="s">
        <v>4374</v>
      </c>
      <c r="G497" t="s">
        <v>8528</v>
      </c>
      <c r="H497">
        <v>300000</v>
      </c>
      <c r="I497">
        <v>501926</v>
      </c>
      <c r="J497">
        <v>1</v>
      </c>
      <c r="K497">
        <v>300000</v>
      </c>
      <c r="L497">
        <v>300000</v>
      </c>
      <c r="M497">
        <v>599</v>
      </c>
    </row>
    <row r="498" spans="1:13" ht="15">
      <c r="A498" t="s">
        <v>3440</v>
      </c>
      <c r="B498" s="1040" t="str">
        <f>CONCATENATE(LEFT(RIGHT(CONCATENATE("000",IFAData_TEA_1819!A498),6),3),"-",(RIGHT(RIGHT(CONCATENATE("000",IFAData_TEA_1819!A498),6),3)))</f>
        <v>036-903</v>
      </c>
      <c r="C498" t="s">
        <v>2369</v>
      </c>
      <c r="D498">
        <v>11</v>
      </c>
      <c r="E498">
        <v>2497</v>
      </c>
      <c r="F498" t="s">
        <v>8338</v>
      </c>
      <c r="G498" t="s">
        <v>8338</v>
      </c>
      <c r="H498">
        <v>337922</v>
      </c>
      <c r="I498">
        <v>411388</v>
      </c>
      <c r="J498">
        <v>1</v>
      </c>
      <c r="K498">
        <v>337922</v>
      </c>
      <c r="L498">
        <v>337922</v>
      </c>
      <c r="M498">
        <v>599</v>
      </c>
    </row>
    <row r="499" spans="1:13" ht="15">
      <c r="A499" t="s">
        <v>3441</v>
      </c>
      <c r="B499" s="1040" t="str">
        <f>CONCATENATE(LEFT(RIGHT(CONCATENATE("000",IFAData_TEA_1819!A499),6),3),"-",(RIGHT(RIGHT(CONCATENATE("000",IFAData_TEA_1819!A499),6),3)))</f>
        <v>037-904</v>
      </c>
      <c r="C499" t="s">
        <v>405</v>
      </c>
      <c r="D499">
        <v>2</v>
      </c>
      <c r="E499">
        <v>1932</v>
      </c>
      <c r="F499" t="s">
        <v>4375</v>
      </c>
      <c r="G499" t="s">
        <v>4375</v>
      </c>
      <c r="H499">
        <v>895013</v>
      </c>
      <c r="I499">
        <v>0</v>
      </c>
      <c r="J499">
        <v>0</v>
      </c>
      <c r="K499"/>
      <c r="L499">
        <v>0</v>
      </c>
      <c r="M499">
        <v>599</v>
      </c>
    </row>
    <row r="500" spans="1:13" ht="15">
      <c r="A500" t="s">
        <v>3441</v>
      </c>
      <c r="B500" s="1040" t="str">
        <f>CONCATENATE(LEFT(RIGHT(CONCATENATE("000",IFAData_TEA_1819!A500),6),3),"-",(RIGHT(RIGHT(CONCATENATE("000",IFAData_TEA_1819!A500),6),3)))</f>
        <v>037-904</v>
      </c>
      <c r="C500" t="s">
        <v>405</v>
      </c>
      <c r="D500">
        <v>11</v>
      </c>
      <c r="E500">
        <v>2506</v>
      </c>
      <c r="F500" t="s">
        <v>8339</v>
      </c>
      <c r="G500" t="s">
        <v>8339</v>
      </c>
      <c r="H500">
        <v>1145766</v>
      </c>
      <c r="I500">
        <v>3318156</v>
      </c>
      <c r="J500">
        <v>1</v>
      </c>
      <c r="K500">
        <v>1145766</v>
      </c>
      <c r="L500">
        <v>1145766</v>
      </c>
      <c r="M500">
        <v>599</v>
      </c>
    </row>
    <row r="501" spans="1:13" ht="15">
      <c r="A501" t="s">
        <v>3442</v>
      </c>
      <c r="B501" s="1040" t="str">
        <f>CONCATENATE(LEFT(RIGHT(CONCATENATE("000",IFAData_TEA_1819!A501),6),3),"-",(RIGHT(RIGHT(CONCATENATE("000",IFAData_TEA_1819!A501),6),3)))</f>
        <v>037-907</v>
      </c>
      <c r="C501" t="s">
        <v>614</v>
      </c>
      <c r="D501">
        <v>1</v>
      </c>
      <c r="E501">
        <v>2272</v>
      </c>
      <c r="F501" t="s">
        <v>4378</v>
      </c>
      <c r="G501" t="s">
        <v>4378</v>
      </c>
      <c r="H501">
        <v>30292</v>
      </c>
      <c r="I501">
        <v>0</v>
      </c>
      <c r="J501">
        <v>0</v>
      </c>
      <c r="K501"/>
      <c r="L501">
        <v>0</v>
      </c>
      <c r="M501">
        <v>599</v>
      </c>
    </row>
    <row r="502" spans="1:13" ht="15">
      <c r="A502" t="s">
        <v>3442</v>
      </c>
      <c r="B502" s="1040" t="str">
        <f>CONCATENATE(LEFT(RIGHT(CONCATENATE("000",IFAData_TEA_1819!A502),6),3),"-",(RIGHT(RIGHT(CONCATENATE("000",IFAData_TEA_1819!A502),6),3)))</f>
        <v>037-907</v>
      </c>
      <c r="C502" t="s">
        <v>614</v>
      </c>
      <c r="D502">
        <v>5</v>
      </c>
      <c r="E502">
        <v>2273</v>
      </c>
      <c r="F502" t="s">
        <v>4380</v>
      </c>
      <c r="G502" t="s">
        <v>4380</v>
      </c>
      <c r="H502">
        <v>387158</v>
      </c>
      <c r="I502">
        <v>0</v>
      </c>
      <c r="J502">
        <v>0</v>
      </c>
      <c r="K502">
        <v>0</v>
      </c>
      <c r="L502">
        <v>0</v>
      </c>
      <c r="M502">
        <v>599</v>
      </c>
    </row>
    <row r="503" spans="1:13" ht="15">
      <c r="A503" t="s">
        <v>3442</v>
      </c>
      <c r="B503" s="1040" t="str">
        <f>CONCATENATE(LEFT(RIGHT(CONCATENATE("000",IFAData_TEA_1819!A503),6),3),"-",(RIGHT(RIGHT(CONCATENATE("000",IFAData_TEA_1819!A503),6),3)))</f>
        <v>037-907</v>
      </c>
      <c r="C503" t="s">
        <v>614</v>
      </c>
      <c r="D503">
        <v>5</v>
      </c>
      <c r="E503">
        <v>2273</v>
      </c>
      <c r="F503" t="s">
        <v>4380</v>
      </c>
      <c r="G503" t="s">
        <v>4381</v>
      </c>
      <c r="H503">
        <v>387158</v>
      </c>
      <c r="I503">
        <v>379650</v>
      </c>
      <c r="J503">
        <v>1</v>
      </c>
      <c r="K503">
        <v>387158</v>
      </c>
      <c r="L503">
        <v>379650</v>
      </c>
      <c r="M503">
        <v>599</v>
      </c>
    </row>
    <row r="504" spans="1:13" ht="15">
      <c r="A504" t="s">
        <v>4382</v>
      </c>
      <c r="B504" s="1040" t="str">
        <f>CONCATENATE(LEFT(RIGHT(CONCATENATE("000",IFAData_TEA_1819!A504),6),3),"-",(RIGHT(RIGHT(CONCATENATE("000",IFAData_TEA_1819!A504),6),3)))</f>
        <v>037-908</v>
      </c>
      <c r="C504" t="s">
        <v>1143</v>
      </c>
      <c r="D504">
        <v>6</v>
      </c>
      <c r="E504">
        <v>2143</v>
      </c>
      <c r="F504" t="s">
        <v>4383</v>
      </c>
      <c r="G504" t="s">
        <v>4383</v>
      </c>
      <c r="H504">
        <v>100400</v>
      </c>
      <c r="I504">
        <v>0</v>
      </c>
      <c r="J504">
        <v>0</v>
      </c>
      <c r="K504"/>
      <c r="L504">
        <v>0</v>
      </c>
      <c r="M504">
        <v>199</v>
      </c>
    </row>
    <row r="505" spans="1:13" ht="15">
      <c r="A505" t="s">
        <v>4382</v>
      </c>
      <c r="B505" s="1040" t="str">
        <f>CONCATENATE(LEFT(RIGHT(CONCATENATE("000",IFAData_TEA_1819!A505),6),3),"-",(RIGHT(RIGHT(CONCATENATE("000",IFAData_TEA_1819!A505),6),3)))</f>
        <v>037-908</v>
      </c>
      <c r="C505" t="s">
        <v>1143</v>
      </c>
      <c r="D505">
        <v>11</v>
      </c>
      <c r="E505">
        <v>2558</v>
      </c>
      <c r="F505" t="s">
        <v>8340</v>
      </c>
      <c r="G505" t="s">
        <v>8340</v>
      </c>
      <c r="H505">
        <v>126332</v>
      </c>
      <c r="I505">
        <v>433055</v>
      </c>
      <c r="J505">
        <v>1</v>
      </c>
      <c r="K505">
        <v>126332</v>
      </c>
      <c r="L505">
        <v>126332</v>
      </c>
      <c r="M505">
        <v>599</v>
      </c>
    </row>
    <row r="506" spans="1:13" ht="15">
      <c r="A506" t="s">
        <v>3443</v>
      </c>
      <c r="B506" s="1040" t="str">
        <f>CONCATENATE(LEFT(RIGHT(CONCATENATE("000",IFAData_TEA_1819!A506),6),3),"-",(RIGHT(RIGHT(CONCATENATE("000",IFAData_TEA_1819!A506),6),3)))</f>
        <v>038-901</v>
      </c>
      <c r="C506" t="s">
        <v>2185</v>
      </c>
      <c r="D506">
        <v>2</v>
      </c>
      <c r="E506">
        <v>1686</v>
      </c>
      <c r="F506" t="s">
        <v>4384</v>
      </c>
      <c r="G506" t="s">
        <v>4384</v>
      </c>
      <c r="H506">
        <v>143416</v>
      </c>
      <c r="I506">
        <v>0</v>
      </c>
      <c r="J506">
        <v>0</v>
      </c>
      <c r="K506"/>
      <c r="L506">
        <v>0</v>
      </c>
      <c r="M506">
        <v>599</v>
      </c>
    </row>
    <row r="507" spans="1:13" ht="15">
      <c r="A507" t="s">
        <v>3443</v>
      </c>
      <c r="B507" s="1040" t="str">
        <f>CONCATENATE(LEFT(RIGHT(CONCATENATE("000",IFAData_TEA_1819!A507),6),3),"-",(RIGHT(RIGHT(CONCATENATE("000",IFAData_TEA_1819!A507),6),3)))</f>
        <v>038-901</v>
      </c>
      <c r="C507" t="s">
        <v>2185</v>
      </c>
      <c r="D507">
        <v>5</v>
      </c>
      <c r="E507">
        <v>1687</v>
      </c>
      <c r="F507" t="s">
        <v>4386</v>
      </c>
      <c r="G507" t="s">
        <v>4386</v>
      </c>
      <c r="H507">
        <v>198700</v>
      </c>
      <c r="I507">
        <v>0</v>
      </c>
      <c r="J507">
        <v>0</v>
      </c>
      <c r="K507">
        <v>0</v>
      </c>
      <c r="L507">
        <v>0</v>
      </c>
      <c r="M507">
        <v>599</v>
      </c>
    </row>
    <row r="508" spans="1:13" ht="15">
      <c r="A508" t="s">
        <v>3443</v>
      </c>
      <c r="B508" s="1040" t="str">
        <f>CONCATENATE(LEFT(RIGHT(CONCATENATE("000",IFAData_TEA_1819!A508),6),3),"-",(RIGHT(RIGHT(CONCATENATE("000",IFAData_TEA_1819!A508),6),3)))</f>
        <v>038-901</v>
      </c>
      <c r="C508" t="s">
        <v>2185</v>
      </c>
      <c r="D508">
        <v>5</v>
      </c>
      <c r="E508">
        <v>1687</v>
      </c>
      <c r="F508" t="s">
        <v>4386</v>
      </c>
      <c r="G508" t="s">
        <v>4385</v>
      </c>
      <c r="H508">
        <v>198700</v>
      </c>
      <c r="I508">
        <v>163950</v>
      </c>
      <c r="J508">
        <v>1</v>
      </c>
      <c r="K508">
        <v>198700</v>
      </c>
      <c r="L508">
        <v>163950</v>
      </c>
      <c r="M508">
        <v>599</v>
      </c>
    </row>
    <row r="509" spans="1:13" ht="15">
      <c r="A509" t="s">
        <v>3444</v>
      </c>
      <c r="B509" s="1040" t="str">
        <f>CONCATENATE(LEFT(RIGHT(CONCATENATE("000",IFAData_TEA_1819!A509),6),3),"-",(RIGHT(RIGHT(CONCATENATE("000",IFAData_TEA_1819!A509),6),3)))</f>
        <v>039-903</v>
      </c>
      <c r="C509" t="s">
        <v>3912</v>
      </c>
      <c r="D509">
        <v>5</v>
      </c>
      <c r="E509">
        <v>2187</v>
      </c>
      <c r="F509" t="s">
        <v>4387</v>
      </c>
      <c r="G509" t="s">
        <v>4387</v>
      </c>
      <c r="H509">
        <v>232853</v>
      </c>
      <c r="I509">
        <v>0</v>
      </c>
      <c r="J509">
        <v>0</v>
      </c>
      <c r="K509">
        <v>0</v>
      </c>
      <c r="L509">
        <v>0</v>
      </c>
      <c r="M509">
        <v>599</v>
      </c>
    </row>
    <row r="510" spans="1:13" ht="15">
      <c r="A510" t="s">
        <v>3444</v>
      </c>
      <c r="B510" s="1040" t="str">
        <f>CONCATENATE(LEFT(RIGHT(CONCATENATE("000",IFAData_TEA_1819!A510),6),3),"-",(RIGHT(RIGHT(CONCATENATE("000",IFAData_TEA_1819!A510),6),3)))</f>
        <v>039-903</v>
      </c>
      <c r="C510" t="s">
        <v>3912</v>
      </c>
      <c r="D510">
        <v>5</v>
      </c>
      <c r="E510">
        <v>2187</v>
      </c>
      <c r="F510" t="s">
        <v>4387</v>
      </c>
      <c r="G510" t="s">
        <v>4388</v>
      </c>
      <c r="H510">
        <v>232853</v>
      </c>
      <c r="I510">
        <v>0</v>
      </c>
      <c r="J510">
        <v>0</v>
      </c>
      <c r="K510">
        <v>0</v>
      </c>
      <c r="L510">
        <v>0</v>
      </c>
      <c r="M510">
        <v>599</v>
      </c>
    </row>
    <row r="511" spans="1:13" ht="15">
      <c r="A511" t="s">
        <v>3444</v>
      </c>
      <c r="B511" s="1040" t="str">
        <f>CONCATENATE(LEFT(RIGHT(CONCATENATE("000",IFAData_TEA_1819!A511),6),3),"-",(RIGHT(RIGHT(CONCATENATE("000",IFAData_TEA_1819!A511),6),3)))</f>
        <v>039-903</v>
      </c>
      <c r="C511" t="s">
        <v>3912</v>
      </c>
      <c r="D511">
        <v>5</v>
      </c>
      <c r="E511">
        <v>2187</v>
      </c>
      <c r="F511" t="s">
        <v>4387</v>
      </c>
      <c r="G511" t="s">
        <v>6430</v>
      </c>
      <c r="H511">
        <v>232853</v>
      </c>
      <c r="I511">
        <v>200107</v>
      </c>
      <c r="J511">
        <v>1</v>
      </c>
      <c r="K511">
        <v>232853</v>
      </c>
      <c r="L511">
        <v>200107</v>
      </c>
      <c r="M511">
        <v>599</v>
      </c>
    </row>
    <row r="512" spans="1:13" ht="15">
      <c r="A512" t="s">
        <v>4389</v>
      </c>
      <c r="B512" s="1040" t="str">
        <f>CONCATENATE(LEFT(RIGHT(CONCATENATE("000",IFAData_TEA_1819!A512),6),3),"-",(RIGHT(RIGHT(CONCATENATE("000",IFAData_TEA_1819!A512),6),3)))</f>
        <v>042-901</v>
      </c>
      <c r="C512" t="s">
        <v>1168</v>
      </c>
      <c r="D512">
        <v>2</v>
      </c>
      <c r="E512">
        <v>1704</v>
      </c>
      <c r="F512" t="s">
        <v>4390</v>
      </c>
      <c r="G512" t="s">
        <v>4390</v>
      </c>
      <c r="H512">
        <v>71550</v>
      </c>
      <c r="I512">
        <v>0</v>
      </c>
      <c r="J512">
        <v>0</v>
      </c>
      <c r="K512"/>
      <c r="L512">
        <v>0</v>
      </c>
      <c r="M512">
        <v>599</v>
      </c>
    </row>
    <row r="513" spans="1:13" ht="15">
      <c r="A513" t="s">
        <v>3445</v>
      </c>
      <c r="B513" s="1040" t="str">
        <f>CONCATENATE(LEFT(RIGHT(CONCATENATE("000",IFAData_TEA_1819!A513),6),3),"-",(RIGHT(RIGHT(CONCATENATE("000",IFAData_TEA_1819!A513),6),3)))</f>
        <v>042-903</v>
      </c>
      <c r="C513" t="s">
        <v>84</v>
      </c>
      <c r="D513">
        <v>6</v>
      </c>
      <c r="E513">
        <v>2306</v>
      </c>
      <c r="F513" t="s">
        <v>4391</v>
      </c>
      <c r="G513" t="s">
        <v>4391</v>
      </c>
      <c r="H513">
        <v>100000</v>
      </c>
      <c r="I513">
        <v>0</v>
      </c>
      <c r="J513">
        <v>0</v>
      </c>
      <c r="K513">
        <v>0</v>
      </c>
      <c r="L513">
        <v>0</v>
      </c>
      <c r="M513">
        <v>599</v>
      </c>
    </row>
    <row r="514" spans="1:13" ht="15">
      <c r="A514" t="s">
        <v>3445</v>
      </c>
      <c r="B514" s="1040" t="str">
        <f>CONCATENATE(LEFT(RIGHT(CONCATENATE("000",IFAData_TEA_1819!A514),6),3),"-",(RIGHT(RIGHT(CONCATENATE("000",IFAData_TEA_1819!A514),6),3)))</f>
        <v>042-903</v>
      </c>
      <c r="C514" t="s">
        <v>84</v>
      </c>
      <c r="D514">
        <v>6</v>
      </c>
      <c r="E514">
        <v>2306</v>
      </c>
      <c r="F514" t="s">
        <v>4391</v>
      </c>
      <c r="G514" t="s">
        <v>4392</v>
      </c>
      <c r="H514">
        <v>100000</v>
      </c>
      <c r="I514">
        <v>93315</v>
      </c>
      <c r="J514">
        <v>1</v>
      </c>
      <c r="K514">
        <v>100000</v>
      </c>
      <c r="L514">
        <v>93315</v>
      </c>
      <c r="M514">
        <v>599</v>
      </c>
    </row>
    <row r="515" spans="1:13" ht="15">
      <c r="A515" t="s">
        <v>5806</v>
      </c>
      <c r="B515" s="1040" t="str">
        <f>CONCATENATE(LEFT(RIGHT(CONCATENATE("000",IFAData_TEA_1819!A515),6),3),"-",(RIGHT(RIGHT(CONCATENATE("000",IFAData_TEA_1819!A515),6),3)))</f>
        <v>042-905</v>
      </c>
      <c r="C515" t="s">
        <v>1030</v>
      </c>
      <c r="D515">
        <v>11</v>
      </c>
      <c r="E515">
        <v>2587</v>
      </c>
      <c r="F515" t="s">
        <v>8341</v>
      </c>
      <c r="G515" t="s">
        <v>8341</v>
      </c>
      <c r="H515">
        <v>56550</v>
      </c>
      <c r="I515">
        <v>53802</v>
      </c>
      <c r="J515">
        <v>1</v>
      </c>
      <c r="K515">
        <v>56550</v>
      </c>
      <c r="L515">
        <v>53802</v>
      </c>
      <c r="M515">
        <v>599</v>
      </c>
    </row>
    <row r="516" spans="1:13" ht="15">
      <c r="A516" t="s">
        <v>3446</v>
      </c>
      <c r="B516" s="1040" t="str">
        <f>CONCATENATE(LEFT(RIGHT(CONCATENATE("000",IFAData_TEA_1819!A516),6),3),"-",(RIGHT(RIGHT(CONCATENATE("000",IFAData_TEA_1819!A516),6),3)))</f>
        <v>043-901</v>
      </c>
      <c r="C516" t="s">
        <v>1957</v>
      </c>
      <c r="D516">
        <v>1</v>
      </c>
      <c r="E516">
        <v>1560</v>
      </c>
      <c r="F516" t="s">
        <v>4393</v>
      </c>
      <c r="G516" t="s">
        <v>4393</v>
      </c>
      <c r="H516">
        <v>1385015</v>
      </c>
      <c r="I516">
        <v>0</v>
      </c>
      <c r="J516">
        <v>0</v>
      </c>
      <c r="K516"/>
      <c r="L516">
        <v>0</v>
      </c>
      <c r="M516">
        <v>599</v>
      </c>
    </row>
    <row r="517" spans="1:13" ht="15">
      <c r="A517" t="s">
        <v>3447</v>
      </c>
      <c r="B517" s="1040" t="str">
        <f>CONCATENATE(LEFT(RIGHT(CONCATENATE("000",IFAData_TEA_1819!A517),6),3),"-",(RIGHT(RIGHT(CONCATENATE("000",IFAData_TEA_1819!A517),6),3)))</f>
        <v>043-902</v>
      </c>
      <c r="C517" t="s">
        <v>1056</v>
      </c>
      <c r="D517">
        <v>2</v>
      </c>
      <c r="E517">
        <v>1575</v>
      </c>
      <c r="F517" t="s">
        <v>4396</v>
      </c>
      <c r="G517" t="s">
        <v>4396</v>
      </c>
      <c r="H517">
        <v>200000</v>
      </c>
      <c r="I517">
        <v>0</v>
      </c>
      <c r="J517">
        <v>0</v>
      </c>
      <c r="K517">
        <v>0</v>
      </c>
      <c r="L517">
        <v>0</v>
      </c>
      <c r="M517">
        <v>599</v>
      </c>
    </row>
    <row r="518" spans="1:13" ht="15">
      <c r="A518" t="s">
        <v>3447</v>
      </c>
      <c r="B518" s="1040" t="str">
        <f>CONCATENATE(LEFT(RIGHT(CONCATENATE("000",IFAData_TEA_1819!A518),6),3),"-",(RIGHT(RIGHT(CONCATENATE("000",IFAData_TEA_1819!A518),6),3)))</f>
        <v>043-902</v>
      </c>
      <c r="C518" t="s">
        <v>1056</v>
      </c>
      <c r="D518">
        <v>2</v>
      </c>
      <c r="E518">
        <v>1575</v>
      </c>
      <c r="F518" t="s">
        <v>4396</v>
      </c>
      <c r="G518" t="s">
        <v>4397</v>
      </c>
      <c r="H518">
        <v>200000</v>
      </c>
      <c r="I518">
        <v>492784</v>
      </c>
      <c r="J518">
        <v>1</v>
      </c>
      <c r="K518">
        <v>200000</v>
      </c>
      <c r="L518">
        <v>200000</v>
      </c>
      <c r="M518">
        <v>599</v>
      </c>
    </row>
    <row r="519" spans="1:13" ht="15">
      <c r="A519" t="s">
        <v>3447</v>
      </c>
      <c r="B519" s="1040" t="str">
        <f>CONCATENATE(LEFT(RIGHT(CONCATENATE("000",IFAData_TEA_1819!A519),6),3),"-",(RIGHT(RIGHT(CONCATENATE("000",IFAData_TEA_1819!A519),6),3)))</f>
        <v>043-902</v>
      </c>
      <c r="C519" t="s">
        <v>1056</v>
      </c>
      <c r="D519">
        <v>9</v>
      </c>
      <c r="E519">
        <v>1578</v>
      </c>
      <c r="F519" t="s">
        <v>4398</v>
      </c>
      <c r="G519" t="s">
        <v>4398</v>
      </c>
      <c r="H519">
        <v>634691</v>
      </c>
      <c r="I519">
        <v>0</v>
      </c>
      <c r="J519">
        <v>0</v>
      </c>
      <c r="K519">
        <v>0</v>
      </c>
      <c r="L519">
        <v>0</v>
      </c>
      <c r="M519">
        <v>599</v>
      </c>
    </row>
    <row r="520" spans="1:13" ht="15">
      <c r="A520" t="s">
        <v>3447</v>
      </c>
      <c r="B520" s="1040" t="str">
        <f>CONCATENATE(LEFT(RIGHT(CONCATENATE("000",IFAData_TEA_1819!A520),6),3),"-",(RIGHT(RIGHT(CONCATENATE("000",IFAData_TEA_1819!A520),6),3)))</f>
        <v>043-902</v>
      </c>
      <c r="C520" t="s">
        <v>1056</v>
      </c>
      <c r="D520">
        <v>9</v>
      </c>
      <c r="E520">
        <v>1578</v>
      </c>
      <c r="F520" t="s">
        <v>4398</v>
      </c>
      <c r="G520" t="s">
        <v>6214</v>
      </c>
      <c r="H520">
        <v>634691</v>
      </c>
      <c r="I520">
        <v>131066</v>
      </c>
      <c r="J520">
        <v>0.15170272904257801</v>
      </c>
      <c r="K520">
        <v>96284.356798762907</v>
      </c>
      <c r="L520">
        <v>96284.356798762907</v>
      </c>
      <c r="M520">
        <v>599</v>
      </c>
    </row>
    <row r="521" spans="1:13" ht="15">
      <c r="A521" t="s">
        <v>3447</v>
      </c>
      <c r="B521" s="1040" t="str">
        <f>CONCATENATE(LEFT(RIGHT(CONCATENATE("000",IFAData_TEA_1819!A521),6),3),"-",(RIGHT(RIGHT(CONCATENATE("000",IFAData_TEA_1819!A521),6),3)))</f>
        <v>043-902</v>
      </c>
      <c r="C521" t="s">
        <v>1056</v>
      </c>
      <c r="D521">
        <v>9</v>
      </c>
      <c r="E521">
        <v>1578</v>
      </c>
      <c r="F521" t="s">
        <v>4398</v>
      </c>
      <c r="G521" t="s">
        <v>6825</v>
      </c>
      <c r="H521">
        <v>634691</v>
      </c>
      <c r="I521">
        <v>732900</v>
      </c>
      <c r="J521">
        <v>0.84829727095742202</v>
      </c>
      <c r="K521">
        <v>538406.64320123696</v>
      </c>
      <c r="L521">
        <v>538406.64320123696</v>
      </c>
      <c r="M521">
        <v>599</v>
      </c>
    </row>
    <row r="522" spans="1:13" ht="15">
      <c r="A522" t="s">
        <v>3447</v>
      </c>
      <c r="B522" s="1040" t="str">
        <f>CONCATENATE(LEFT(RIGHT(CONCATENATE("000",IFAData_TEA_1819!A522),6),3),"-",(RIGHT(RIGHT(CONCATENATE("000",IFAData_TEA_1819!A522),6),3)))</f>
        <v>043-902</v>
      </c>
      <c r="C522" t="s">
        <v>1056</v>
      </c>
      <c r="D522">
        <v>10</v>
      </c>
      <c r="E522">
        <v>1574</v>
      </c>
      <c r="F522" t="s">
        <v>4399</v>
      </c>
      <c r="G522" t="s">
        <v>4399</v>
      </c>
      <c r="H522">
        <v>180500</v>
      </c>
      <c r="I522">
        <v>180500</v>
      </c>
      <c r="J522">
        <v>1</v>
      </c>
      <c r="K522">
        <v>180500</v>
      </c>
      <c r="L522">
        <v>180500</v>
      </c>
      <c r="M522">
        <v>599</v>
      </c>
    </row>
    <row r="523" spans="1:13" ht="15">
      <c r="A523" t="s">
        <v>3447</v>
      </c>
      <c r="B523" s="1040" t="str">
        <f>CONCATENATE(LEFT(RIGHT(CONCATENATE("000",IFAData_TEA_1819!A523),6),3),"-",(RIGHT(RIGHT(CONCATENATE("000",IFAData_TEA_1819!A523),6),3)))</f>
        <v>043-902</v>
      </c>
      <c r="C523" t="s">
        <v>1056</v>
      </c>
      <c r="D523">
        <v>10</v>
      </c>
      <c r="E523">
        <v>1576</v>
      </c>
      <c r="F523" t="s">
        <v>4400</v>
      </c>
      <c r="G523" t="s">
        <v>4400</v>
      </c>
      <c r="H523">
        <v>261525</v>
      </c>
      <c r="I523">
        <v>261525</v>
      </c>
      <c r="J523">
        <v>1</v>
      </c>
      <c r="K523">
        <v>261525</v>
      </c>
      <c r="L523">
        <v>261525</v>
      </c>
      <c r="M523">
        <v>599</v>
      </c>
    </row>
    <row r="524" spans="1:13" ht="15">
      <c r="A524" t="s">
        <v>3447</v>
      </c>
      <c r="B524" s="1040" t="str">
        <f>CONCATENATE(LEFT(RIGHT(CONCATENATE("000",IFAData_TEA_1819!A524),6),3),"-",(RIGHT(RIGHT(CONCATENATE("000",IFAData_TEA_1819!A524),6),3)))</f>
        <v>043-902</v>
      </c>
      <c r="C524" t="s">
        <v>1056</v>
      </c>
      <c r="D524">
        <v>10</v>
      </c>
      <c r="E524">
        <v>1577</v>
      </c>
      <c r="F524" t="s">
        <v>4401</v>
      </c>
      <c r="G524" t="s">
        <v>4401</v>
      </c>
      <c r="H524">
        <v>285928</v>
      </c>
      <c r="I524">
        <v>844750</v>
      </c>
      <c r="J524">
        <v>1</v>
      </c>
      <c r="K524">
        <v>285928</v>
      </c>
      <c r="L524">
        <v>285928</v>
      </c>
      <c r="M524">
        <v>599</v>
      </c>
    </row>
    <row r="525" spans="1:13" ht="15">
      <c r="A525" t="s">
        <v>3447</v>
      </c>
      <c r="B525" s="1040" t="str">
        <f>CONCATENATE(LEFT(RIGHT(CONCATENATE("000",IFAData_TEA_1819!A525),6),3),"-",(RIGHT(RIGHT(CONCATENATE("000",IFAData_TEA_1819!A525),6),3)))</f>
        <v>043-902</v>
      </c>
      <c r="C525" t="s">
        <v>1056</v>
      </c>
      <c r="D525">
        <v>11</v>
      </c>
      <c r="E525">
        <v>2504</v>
      </c>
      <c r="F525" t="s">
        <v>8342</v>
      </c>
      <c r="G525" t="s">
        <v>8342</v>
      </c>
      <c r="H525">
        <v>156800</v>
      </c>
      <c r="I525">
        <v>156800</v>
      </c>
      <c r="J525">
        <v>1</v>
      </c>
      <c r="K525">
        <v>156800</v>
      </c>
      <c r="L525">
        <v>156800</v>
      </c>
      <c r="M525">
        <v>599</v>
      </c>
    </row>
    <row r="526" spans="1:13" ht="15">
      <c r="A526" t="s">
        <v>3447</v>
      </c>
      <c r="B526" s="1040" t="str">
        <f>CONCATENATE(LEFT(RIGHT(CONCATENATE("000",IFAData_TEA_1819!A526),6),3),"-",(RIGHT(RIGHT(CONCATENATE("000",IFAData_TEA_1819!A526),6),3)))</f>
        <v>043-902</v>
      </c>
      <c r="C526" t="s">
        <v>1056</v>
      </c>
      <c r="D526">
        <v>11</v>
      </c>
      <c r="E526">
        <v>2503</v>
      </c>
      <c r="F526" t="s">
        <v>8343</v>
      </c>
      <c r="G526" t="s">
        <v>8343</v>
      </c>
      <c r="H526">
        <v>107088</v>
      </c>
      <c r="I526">
        <v>247888</v>
      </c>
      <c r="J526">
        <v>1</v>
      </c>
      <c r="K526">
        <v>107088</v>
      </c>
      <c r="L526">
        <v>107088</v>
      </c>
      <c r="M526">
        <v>599</v>
      </c>
    </row>
    <row r="527" spans="1:13" ht="15">
      <c r="A527" t="s">
        <v>3447</v>
      </c>
      <c r="B527" s="1040" t="str">
        <f>CONCATENATE(LEFT(RIGHT(CONCATENATE("000",IFAData_TEA_1819!A527),6),3),"-",(RIGHT(RIGHT(CONCATENATE("000",IFAData_TEA_1819!A527),6),3)))</f>
        <v>043-902</v>
      </c>
      <c r="C527" t="s">
        <v>1056</v>
      </c>
      <c r="D527">
        <v>11</v>
      </c>
      <c r="E527">
        <v>2505</v>
      </c>
      <c r="F527" t="s">
        <v>8344</v>
      </c>
      <c r="G527" t="s">
        <v>8344</v>
      </c>
      <c r="H527">
        <v>465516</v>
      </c>
      <c r="I527">
        <v>1008950</v>
      </c>
      <c r="J527">
        <v>1</v>
      </c>
      <c r="K527">
        <v>465516</v>
      </c>
      <c r="L527">
        <v>465516</v>
      </c>
      <c r="M527">
        <v>599</v>
      </c>
    </row>
    <row r="528" spans="1:13" ht="15">
      <c r="A528" t="s">
        <v>3448</v>
      </c>
      <c r="B528" s="1040" t="str">
        <f>CONCATENATE(LEFT(RIGHT(CONCATENATE("000",IFAData_TEA_1819!A528),6),3),"-",(RIGHT(RIGHT(CONCATENATE("000",IFAData_TEA_1819!A528),6),3)))</f>
        <v>043-903</v>
      </c>
      <c r="C528" t="s">
        <v>658</v>
      </c>
      <c r="D528">
        <v>6</v>
      </c>
      <c r="E528">
        <v>1671</v>
      </c>
      <c r="F528" t="s">
        <v>4402</v>
      </c>
      <c r="G528" t="s">
        <v>4402</v>
      </c>
      <c r="H528">
        <v>129550</v>
      </c>
      <c r="I528">
        <v>0</v>
      </c>
      <c r="J528">
        <v>0</v>
      </c>
      <c r="K528">
        <v>0</v>
      </c>
      <c r="L528">
        <v>0</v>
      </c>
      <c r="M528">
        <v>599</v>
      </c>
    </row>
    <row r="529" spans="1:13" ht="15">
      <c r="A529" t="s">
        <v>3448</v>
      </c>
      <c r="B529" s="1040" t="str">
        <f>CONCATENATE(LEFT(RIGHT(CONCATENATE("000",IFAData_TEA_1819!A529),6),3),"-",(RIGHT(RIGHT(CONCATENATE("000",IFAData_TEA_1819!A529),6),3)))</f>
        <v>043-903</v>
      </c>
      <c r="C529" t="s">
        <v>658</v>
      </c>
      <c r="D529">
        <v>6</v>
      </c>
      <c r="E529">
        <v>1671</v>
      </c>
      <c r="F529" t="s">
        <v>4402</v>
      </c>
      <c r="G529" t="s">
        <v>4403</v>
      </c>
      <c r="H529">
        <v>129550</v>
      </c>
      <c r="I529">
        <v>103443</v>
      </c>
      <c r="J529">
        <v>0.85938239912269798</v>
      </c>
      <c r="K529">
        <v>111332.98980634499</v>
      </c>
      <c r="L529">
        <v>103443</v>
      </c>
      <c r="M529">
        <v>599</v>
      </c>
    </row>
    <row r="530" spans="1:13" ht="15">
      <c r="A530" t="s">
        <v>3448</v>
      </c>
      <c r="B530" s="1040" t="str">
        <f>CONCATENATE(LEFT(RIGHT(CONCATENATE("000",IFAData_TEA_1819!A530),6),3),"-",(RIGHT(RIGHT(CONCATENATE("000",IFAData_TEA_1819!A530),6),3)))</f>
        <v>043-903</v>
      </c>
      <c r="C530" t="s">
        <v>658</v>
      </c>
      <c r="D530">
        <v>6</v>
      </c>
      <c r="E530">
        <v>1671</v>
      </c>
      <c r="F530" t="s">
        <v>4402</v>
      </c>
      <c r="G530" t="s">
        <v>6215</v>
      </c>
      <c r="H530">
        <v>129550</v>
      </c>
      <c r="I530">
        <v>16926</v>
      </c>
      <c r="J530">
        <v>0.14061760087730199</v>
      </c>
      <c r="K530">
        <v>18217.0101936545</v>
      </c>
      <c r="L530">
        <v>16926</v>
      </c>
      <c r="M530">
        <v>599</v>
      </c>
    </row>
    <row r="531" spans="1:13" ht="15">
      <c r="A531" t="s">
        <v>3448</v>
      </c>
      <c r="B531" s="1040" t="str">
        <f>CONCATENATE(LEFT(RIGHT(CONCATENATE("000",IFAData_TEA_1819!A531),6),3),"-",(RIGHT(RIGHT(CONCATENATE("000",IFAData_TEA_1819!A531),6),3)))</f>
        <v>043-903</v>
      </c>
      <c r="C531" t="s">
        <v>658</v>
      </c>
      <c r="D531">
        <v>6</v>
      </c>
      <c r="E531">
        <v>1672</v>
      </c>
      <c r="F531" t="s">
        <v>4404</v>
      </c>
      <c r="G531" t="s">
        <v>4404</v>
      </c>
      <c r="H531">
        <v>143455</v>
      </c>
      <c r="I531">
        <v>0</v>
      </c>
      <c r="J531">
        <v>0</v>
      </c>
      <c r="K531">
        <v>0</v>
      </c>
      <c r="L531">
        <v>0</v>
      </c>
      <c r="M531">
        <v>599</v>
      </c>
    </row>
    <row r="532" spans="1:13" ht="15">
      <c r="A532" t="s">
        <v>3448</v>
      </c>
      <c r="B532" s="1040" t="str">
        <f>CONCATENATE(LEFT(RIGHT(CONCATENATE("000",IFAData_TEA_1819!A532),6),3),"-",(RIGHT(RIGHT(CONCATENATE("000",IFAData_TEA_1819!A532),6),3)))</f>
        <v>043-903</v>
      </c>
      <c r="C532" t="s">
        <v>658</v>
      </c>
      <c r="D532">
        <v>6</v>
      </c>
      <c r="E532">
        <v>1672</v>
      </c>
      <c r="F532" t="s">
        <v>4404</v>
      </c>
      <c r="G532" t="s">
        <v>4403</v>
      </c>
      <c r="H532">
        <v>143455</v>
      </c>
      <c r="I532">
        <v>447476</v>
      </c>
      <c r="J532">
        <v>0.92439585683180703</v>
      </c>
      <c r="K532">
        <v>132609.20764180701</v>
      </c>
      <c r="L532">
        <v>132609.20764180701</v>
      </c>
      <c r="M532">
        <v>599</v>
      </c>
    </row>
    <row r="533" spans="1:13" ht="15">
      <c r="A533" t="s">
        <v>3448</v>
      </c>
      <c r="B533" s="1040" t="str">
        <f>CONCATENATE(LEFT(RIGHT(CONCATENATE("000",IFAData_TEA_1819!A533),6),3),"-",(RIGHT(RIGHT(CONCATENATE("000",IFAData_TEA_1819!A533),6),3)))</f>
        <v>043-903</v>
      </c>
      <c r="C533" t="s">
        <v>658</v>
      </c>
      <c r="D533">
        <v>6</v>
      </c>
      <c r="E533">
        <v>1672</v>
      </c>
      <c r="F533" t="s">
        <v>4404</v>
      </c>
      <c r="G533" t="s">
        <v>6215</v>
      </c>
      <c r="H533">
        <v>143455</v>
      </c>
      <c r="I533">
        <v>36598</v>
      </c>
      <c r="J533">
        <v>7.5604143168193305E-2</v>
      </c>
      <c r="K533">
        <v>10845.792358193199</v>
      </c>
      <c r="L533">
        <v>10845.792358193199</v>
      </c>
      <c r="M533">
        <v>599</v>
      </c>
    </row>
    <row r="534" spans="1:13" ht="15">
      <c r="A534" t="s">
        <v>3449</v>
      </c>
      <c r="B534" s="1040" t="str">
        <f>CONCATENATE(LEFT(RIGHT(CONCATENATE("000",IFAData_TEA_1819!A534),6),3),"-",(RIGHT(RIGHT(CONCATENATE("000",IFAData_TEA_1819!A534),6),3)))</f>
        <v>043-904</v>
      </c>
      <c r="C534" t="s">
        <v>108</v>
      </c>
      <c r="D534">
        <v>3</v>
      </c>
      <c r="E534">
        <v>1811</v>
      </c>
      <c r="F534" t="s">
        <v>4405</v>
      </c>
      <c r="G534" t="s">
        <v>4405</v>
      </c>
      <c r="H534">
        <v>172081</v>
      </c>
      <c r="I534">
        <v>0</v>
      </c>
      <c r="J534">
        <v>0</v>
      </c>
      <c r="K534">
        <v>0</v>
      </c>
      <c r="L534">
        <v>0</v>
      </c>
      <c r="M534">
        <v>599</v>
      </c>
    </row>
    <row r="535" spans="1:13" ht="15">
      <c r="A535" t="s">
        <v>3449</v>
      </c>
      <c r="B535" s="1040" t="str">
        <f>CONCATENATE(LEFT(RIGHT(CONCATENATE("000",IFAData_TEA_1819!A535),6),3),"-",(RIGHT(RIGHT(CONCATENATE("000",IFAData_TEA_1819!A535),6),3)))</f>
        <v>043-904</v>
      </c>
      <c r="C535" t="s">
        <v>108</v>
      </c>
      <c r="D535">
        <v>3</v>
      </c>
      <c r="E535">
        <v>1811</v>
      </c>
      <c r="F535" t="s">
        <v>4405</v>
      </c>
      <c r="G535" t="s">
        <v>4406</v>
      </c>
      <c r="H535">
        <v>172081</v>
      </c>
      <c r="I535">
        <v>0</v>
      </c>
      <c r="J535">
        <v>0</v>
      </c>
      <c r="K535">
        <v>0</v>
      </c>
      <c r="L535">
        <v>0</v>
      </c>
      <c r="M535">
        <v>599</v>
      </c>
    </row>
    <row r="536" spans="1:13" ht="15">
      <c r="A536" t="s">
        <v>3449</v>
      </c>
      <c r="B536" s="1040" t="str">
        <f>CONCATENATE(LEFT(RIGHT(CONCATENATE("000",IFAData_TEA_1819!A536),6),3),"-",(RIGHT(RIGHT(CONCATENATE("000",IFAData_TEA_1819!A536),6),3)))</f>
        <v>043-904</v>
      </c>
      <c r="C536" t="s">
        <v>108</v>
      </c>
      <c r="D536">
        <v>3</v>
      </c>
      <c r="E536">
        <v>1811</v>
      </c>
      <c r="F536" t="s">
        <v>4405</v>
      </c>
      <c r="G536" t="s">
        <v>8529</v>
      </c>
      <c r="H536">
        <v>172081</v>
      </c>
      <c r="I536">
        <v>602294</v>
      </c>
      <c r="J536">
        <v>1</v>
      </c>
      <c r="K536">
        <v>172081</v>
      </c>
      <c r="L536">
        <v>172081</v>
      </c>
      <c r="M536">
        <v>599</v>
      </c>
    </row>
    <row r="537" spans="1:13" ht="15">
      <c r="A537" t="s">
        <v>3450</v>
      </c>
      <c r="B537" s="1040" t="str">
        <f>CONCATENATE(LEFT(RIGHT(CONCATENATE("000",IFAData_TEA_1819!A537),6),3),"-",(RIGHT(RIGHT(CONCATENATE("000",IFAData_TEA_1819!A537),6),3)))</f>
        <v>043-905</v>
      </c>
      <c r="C537" t="s">
        <v>1477</v>
      </c>
      <c r="D537">
        <v>1</v>
      </c>
      <c r="E537">
        <v>1831</v>
      </c>
      <c r="F537" t="s">
        <v>4407</v>
      </c>
      <c r="G537" t="s">
        <v>4407</v>
      </c>
      <c r="H537">
        <v>569214</v>
      </c>
      <c r="I537">
        <v>0</v>
      </c>
      <c r="J537">
        <v>0</v>
      </c>
      <c r="K537">
        <v>0</v>
      </c>
      <c r="L537">
        <v>0</v>
      </c>
      <c r="M537">
        <v>599</v>
      </c>
    </row>
    <row r="538" spans="1:13" ht="15">
      <c r="A538" t="s">
        <v>3450</v>
      </c>
      <c r="B538" s="1040" t="str">
        <f>CONCATENATE(LEFT(RIGHT(CONCATENATE("000",IFAData_TEA_1819!A538),6),3),"-",(RIGHT(RIGHT(CONCATENATE("000",IFAData_TEA_1819!A538),6),3)))</f>
        <v>043-905</v>
      </c>
      <c r="C538" t="s">
        <v>1477</v>
      </c>
      <c r="D538">
        <v>1</v>
      </c>
      <c r="E538">
        <v>1831</v>
      </c>
      <c r="F538" t="s">
        <v>4407</v>
      </c>
      <c r="G538" t="s">
        <v>4408</v>
      </c>
      <c r="H538">
        <v>569214</v>
      </c>
      <c r="I538">
        <v>0</v>
      </c>
      <c r="J538">
        <v>0</v>
      </c>
      <c r="K538">
        <v>0</v>
      </c>
      <c r="L538">
        <v>0</v>
      </c>
      <c r="M538">
        <v>599</v>
      </c>
    </row>
    <row r="539" spans="1:13" ht="15">
      <c r="A539" t="s">
        <v>3450</v>
      </c>
      <c r="B539" s="1040" t="str">
        <f>CONCATENATE(LEFT(RIGHT(CONCATENATE("000",IFAData_TEA_1819!A539),6),3),"-",(RIGHT(RIGHT(CONCATENATE("000",IFAData_TEA_1819!A539),6),3)))</f>
        <v>043-905</v>
      </c>
      <c r="C539" t="s">
        <v>1477</v>
      </c>
      <c r="D539">
        <v>1</v>
      </c>
      <c r="E539">
        <v>1831</v>
      </c>
      <c r="F539" t="s">
        <v>4407</v>
      </c>
      <c r="G539" t="s">
        <v>4409</v>
      </c>
      <c r="H539">
        <v>569214</v>
      </c>
      <c r="I539">
        <v>0</v>
      </c>
      <c r="J539">
        <v>0</v>
      </c>
      <c r="K539">
        <v>0</v>
      </c>
      <c r="L539">
        <v>0</v>
      </c>
      <c r="M539">
        <v>599</v>
      </c>
    </row>
    <row r="540" spans="1:13" ht="15">
      <c r="A540" t="s">
        <v>3450</v>
      </c>
      <c r="B540" s="1040" t="str">
        <f>CONCATENATE(LEFT(RIGHT(CONCATENATE("000",IFAData_TEA_1819!A540),6),3),"-",(RIGHT(RIGHT(CONCATENATE("000",IFAData_TEA_1819!A540),6),3)))</f>
        <v>043-905</v>
      </c>
      <c r="C540" t="s">
        <v>1477</v>
      </c>
      <c r="D540">
        <v>1</v>
      </c>
      <c r="E540">
        <v>1831</v>
      </c>
      <c r="F540" t="s">
        <v>4407</v>
      </c>
      <c r="G540" t="s">
        <v>4410</v>
      </c>
      <c r="H540">
        <v>569214</v>
      </c>
      <c r="I540">
        <v>0</v>
      </c>
      <c r="J540">
        <v>0</v>
      </c>
      <c r="K540">
        <v>0</v>
      </c>
      <c r="L540">
        <v>0</v>
      </c>
      <c r="M540">
        <v>599</v>
      </c>
    </row>
    <row r="541" spans="1:13" ht="15">
      <c r="A541" t="s">
        <v>3450</v>
      </c>
      <c r="B541" s="1040" t="str">
        <f>CONCATENATE(LEFT(RIGHT(CONCATENATE("000",IFAData_TEA_1819!A541),6),3),"-",(RIGHT(RIGHT(CONCATENATE("000",IFAData_TEA_1819!A541),6),3)))</f>
        <v>043-905</v>
      </c>
      <c r="C541" t="s">
        <v>1477</v>
      </c>
      <c r="D541">
        <v>1</v>
      </c>
      <c r="E541">
        <v>1831</v>
      </c>
      <c r="F541" t="s">
        <v>4407</v>
      </c>
      <c r="G541" t="s">
        <v>4411</v>
      </c>
      <c r="H541">
        <v>569214</v>
      </c>
      <c r="I541">
        <v>9154</v>
      </c>
      <c r="J541">
        <v>2.9495540547507301E-2</v>
      </c>
      <c r="K541">
        <v>16789.274617208801</v>
      </c>
      <c r="L541">
        <v>9154</v>
      </c>
      <c r="M541">
        <v>599</v>
      </c>
    </row>
    <row r="542" spans="1:13" ht="15">
      <c r="A542" t="s">
        <v>3450</v>
      </c>
      <c r="B542" s="1040" t="str">
        <f>CONCATENATE(LEFT(RIGHT(CONCATENATE("000",IFAData_TEA_1819!A542),6),3),"-",(RIGHT(RIGHT(CONCATENATE("000",IFAData_TEA_1819!A542),6),3)))</f>
        <v>043-905</v>
      </c>
      <c r="C542" t="s">
        <v>1477</v>
      </c>
      <c r="D542">
        <v>1</v>
      </c>
      <c r="E542">
        <v>1831</v>
      </c>
      <c r="F542" t="s">
        <v>4407</v>
      </c>
      <c r="G542" t="s">
        <v>4412</v>
      </c>
      <c r="H542">
        <v>569214</v>
      </c>
      <c r="I542">
        <v>8406</v>
      </c>
      <c r="J542">
        <v>2.7085374026911399E-2</v>
      </c>
      <c r="K542">
        <v>15417.374091354301</v>
      </c>
      <c r="L542">
        <v>8406</v>
      </c>
      <c r="M542">
        <v>599</v>
      </c>
    </row>
    <row r="543" spans="1:13" ht="15">
      <c r="A543" t="s">
        <v>3450</v>
      </c>
      <c r="B543" s="1040" t="str">
        <f>CONCATENATE(LEFT(RIGHT(CONCATENATE("000",IFAData_TEA_1819!A543),6),3),"-",(RIGHT(RIGHT(CONCATENATE("000",IFAData_TEA_1819!A543),6),3)))</f>
        <v>043-905</v>
      </c>
      <c r="C543" t="s">
        <v>1477</v>
      </c>
      <c r="D543">
        <v>1</v>
      </c>
      <c r="E543">
        <v>1831</v>
      </c>
      <c r="F543" t="s">
        <v>4407</v>
      </c>
      <c r="G543" t="s">
        <v>4413</v>
      </c>
      <c r="H543">
        <v>569214</v>
      </c>
      <c r="I543">
        <v>314</v>
      </c>
      <c r="J543">
        <v>1.01175439500954E-3</v>
      </c>
      <c r="K543">
        <v>575.90476620095899</v>
      </c>
      <c r="L543">
        <v>314</v>
      </c>
      <c r="M543">
        <v>599</v>
      </c>
    </row>
    <row r="544" spans="1:13" ht="15">
      <c r="A544" t="s">
        <v>3450</v>
      </c>
      <c r="B544" s="1040" t="str">
        <f>CONCATENATE(LEFT(RIGHT(CONCATENATE("000",IFAData_TEA_1819!A544),6),3),"-",(RIGHT(RIGHT(CONCATENATE("000",IFAData_TEA_1819!A544),6),3)))</f>
        <v>043-905</v>
      </c>
      <c r="C544" t="s">
        <v>1477</v>
      </c>
      <c r="D544">
        <v>1</v>
      </c>
      <c r="E544">
        <v>1831</v>
      </c>
      <c r="F544" t="s">
        <v>4407</v>
      </c>
      <c r="G544" t="s">
        <v>4414</v>
      </c>
      <c r="H544">
        <v>569214</v>
      </c>
      <c r="I544">
        <v>76674</v>
      </c>
      <c r="J544">
        <v>0.247054956952106</v>
      </c>
      <c r="K544">
        <v>140627.14026653601</v>
      </c>
      <c r="L544">
        <v>76674</v>
      </c>
      <c r="M544">
        <v>599</v>
      </c>
    </row>
    <row r="545" spans="1:13" ht="15">
      <c r="A545" t="s">
        <v>3450</v>
      </c>
      <c r="B545" s="1040" t="str">
        <f>CONCATENATE(LEFT(RIGHT(CONCATENATE("000",IFAData_TEA_1819!A545),6),3),"-",(RIGHT(RIGHT(CONCATENATE("000",IFAData_TEA_1819!A545),6),3)))</f>
        <v>043-905</v>
      </c>
      <c r="C545" t="s">
        <v>1477</v>
      </c>
      <c r="D545">
        <v>1</v>
      </c>
      <c r="E545">
        <v>1831</v>
      </c>
      <c r="F545" t="s">
        <v>4407</v>
      </c>
      <c r="G545" t="s">
        <v>6216</v>
      </c>
      <c r="H545">
        <v>569214</v>
      </c>
      <c r="I545">
        <v>215804</v>
      </c>
      <c r="J545">
        <v>0.69535237407846595</v>
      </c>
      <c r="K545">
        <v>395804.30625869997</v>
      </c>
      <c r="L545">
        <v>215804</v>
      </c>
      <c r="M545">
        <v>599</v>
      </c>
    </row>
    <row r="546" spans="1:13" ht="15">
      <c r="A546" t="s">
        <v>3450</v>
      </c>
      <c r="B546" s="1040" t="str">
        <f>CONCATENATE(LEFT(RIGHT(CONCATENATE("000",IFAData_TEA_1819!A546),6),3),"-",(RIGHT(RIGHT(CONCATENATE("000",IFAData_TEA_1819!A546),6),3)))</f>
        <v>043-905</v>
      </c>
      <c r="C546" t="s">
        <v>1477</v>
      </c>
      <c r="D546">
        <v>2</v>
      </c>
      <c r="E546">
        <v>1830</v>
      </c>
      <c r="F546" t="s">
        <v>4415</v>
      </c>
      <c r="G546" t="s">
        <v>4415</v>
      </c>
      <c r="H546">
        <v>364536</v>
      </c>
      <c r="I546">
        <v>0</v>
      </c>
      <c r="J546">
        <v>0</v>
      </c>
      <c r="K546">
        <v>0</v>
      </c>
      <c r="L546">
        <v>0</v>
      </c>
      <c r="M546">
        <v>599</v>
      </c>
    </row>
    <row r="547" spans="1:13" ht="15">
      <c r="A547" t="s">
        <v>3450</v>
      </c>
      <c r="B547" s="1040" t="str">
        <f>CONCATENATE(LEFT(RIGHT(CONCATENATE("000",IFAData_TEA_1819!A547),6),3),"-",(RIGHT(RIGHT(CONCATENATE("000",IFAData_TEA_1819!A547),6),3)))</f>
        <v>043-905</v>
      </c>
      <c r="C547" t="s">
        <v>1477</v>
      </c>
      <c r="D547">
        <v>2</v>
      </c>
      <c r="E547">
        <v>1830</v>
      </c>
      <c r="F547" t="s">
        <v>4415</v>
      </c>
      <c r="G547" t="s">
        <v>4408</v>
      </c>
      <c r="H547">
        <v>364536</v>
      </c>
      <c r="I547">
        <v>0</v>
      </c>
      <c r="J547">
        <v>0</v>
      </c>
      <c r="K547">
        <v>0</v>
      </c>
      <c r="L547">
        <v>0</v>
      </c>
      <c r="M547">
        <v>599</v>
      </c>
    </row>
    <row r="548" spans="1:13" ht="15">
      <c r="A548" t="s">
        <v>3450</v>
      </c>
      <c r="B548" s="1040" t="str">
        <f>CONCATENATE(LEFT(RIGHT(CONCATENATE("000",IFAData_TEA_1819!A548),6),3),"-",(RIGHT(RIGHT(CONCATENATE("000",IFAData_TEA_1819!A548),6),3)))</f>
        <v>043-905</v>
      </c>
      <c r="C548" t="s">
        <v>1477</v>
      </c>
      <c r="D548">
        <v>2</v>
      </c>
      <c r="E548">
        <v>1830</v>
      </c>
      <c r="F548" t="s">
        <v>4415</v>
      </c>
      <c r="G548" t="s">
        <v>4409</v>
      </c>
      <c r="H548">
        <v>364536</v>
      </c>
      <c r="I548">
        <v>0</v>
      </c>
      <c r="J548">
        <v>0</v>
      </c>
      <c r="K548">
        <v>0</v>
      </c>
      <c r="L548">
        <v>0</v>
      </c>
      <c r="M548">
        <v>599</v>
      </c>
    </row>
    <row r="549" spans="1:13" ht="15">
      <c r="A549" t="s">
        <v>3450</v>
      </c>
      <c r="B549" s="1040" t="str">
        <f>CONCATENATE(LEFT(RIGHT(CONCATENATE("000",IFAData_TEA_1819!A549),6),3),"-",(RIGHT(RIGHT(CONCATENATE("000",IFAData_TEA_1819!A549),6),3)))</f>
        <v>043-905</v>
      </c>
      <c r="C549" t="s">
        <v>1477</v>
      </c>
      <c r="D549">
        <v>2</v>
      </c>
      <c r="E549">
        <v>1830</v>
      </c>
      <c r="F549" t="s">
        <v>4415</v>
      </c>
      <c r="G549" t="s">
        <v>4416</v>
      </c>
      <c r="H549">
        <v>364536</v>
      </c>
      <c r="I549">
        <v>1218856</v>
      </c>
      <c r="J549">
        <v>0.96633904510617097</v>
      </c>
      <c r="K549">
        <v>352265.370146823</v>
      </c>
      <c r="L549">
        <v>352265.370146823</v>
      </c>
      <c r="M549">
        <v>599</v>
      </c>
    </row>
    <row r="550" spans="1:13" ht="15">
      <c r="A550" t="s">
        <v>3450</v>
      </c>
      <c r="B550" s="1040" t="str">
        <f>CONCATENATE(LEFT(RIGHT(CONCATENATE("000",IFAData_TEA_1819!A550),6),3),"-",(RIGHT(RIGHT(CONCATENATE("000",IFAData_TEA_1819!A550),6),3)))</f>
        <v>043-905</v>
      </c>
      <c r="C550" t="s">
        <v>1477</v>
      </c>
      <c r="D550">
        <v>2</v>
      </c>
      <c r="E550">
        <v>1830</v>
      </c>
      <c r="F550" t="s">
        <v>4415</v>
      </c>
      <c r="G550" t="s">
        <v>4411</v>
      </c>
      <c r="H550">
        <v>364536</v>
      </c>
      <c r="I550">
        <v>21755</v>
      </c>
      <c r="J550">
        <v>1.7247899609375301E-2</v>
      </c>
      <c r="K550">
        <v>6287.4803320032397</v>
      </c>
      <c r="L550">
        <v>6287.4803320032397</v>
      </c>
      <c r="M550">
        <v>599</v>
      </c>
    </row>
    <row r="551" spans="1:13" ht="15">
      <c r="A551" t="s">
        <v>3450</v>
      </c>
      <c r="B551" s="1040" t="str">
        <f>CONCATENATE(LEFT(RIGHT(CONCATENATE("000",IFAData_TEA_1819!A551),6),3),"-",(RIGHT(RIGHT(CONCATENATE("000",IFAData_TEA_1819!A551),6),3)))</f>
        <v>043-905</v>
      </c>
      <c r="C551" t="s">
        <v>1477</v>
      </c>
      <c r="D551">
        <v>2</v>
      </c>
      <c r="E551">
        <v>1830</v>
      </c>
      <c r="F551" t="s">
        <v>4415</v>
      </c>
      <c r="G551" t="s">
        <v>4412</v>
      </c>
      <c r="H551">
        <v>364536</v>
      </c>
      <c r="I551">
        <v>19956</v>
      </c>
      <c r="J551">
        <v>1.58216081178898E-2</v>
      </c>
      <c r="K551">
        <v>5767.5457368630896</v>
      </c>
      <c r="L551">
        <v>5767.5457368630896</v>
      </c>
      <c r="M551">
        <v>599</v>
      </c>
    </row>
    <row r="552" spans="1:13" ht="15">
      <c r="A552" t="s">
        <v>3450</v>
      </c>
      <c r="B552" s="1040" t="str">
        <f>CONCATENATE(LEFT(RIGHT(CONCATENATE("000",IFAData_TEA_1819!A552),6),3),"-",(RIGHT(RIGHT(CONCATENATE("000",IFAData_TEA_1819!A552),6),3)))</f>
        <v>043-905</v>
      </c>
      <c r="C552" t="s">
        <v>1477</v>
      </c>
      <c r="D552">
        <v>2</v>
      </c>
      <c r="E552">
        <v>1830</v>
      </c>
      <c r="F552" t="s">
        <v>4415</v>
      </c>
      <c r="G552" t="s">
        <v>4413</v>
      </c>
      <c r="H552">
        <v>364536</v>
      </c>
      <c r="I552">
        <v>746</v>
      </c>
      <c r="J552">
        <v>5.9144716656373204E-4</v>
      </c>
      <c r="K552">
        <v>215.60378431047599</v>
      </c>
      <c r="L552">
        <v>215.60378431047599</v>
      </c>
      <c r="M552">
        <v>599</v>
      </c>
    </row>
    <row r="553" spans="1:13" ht="15">
      <c r="A553" t="s">
        <v>3451</v>
      </c>
      <c r="B553" s="1040" t="str">
        <f>CONCATENATE(LEFT(RIGHT(CONCATENATE("000",IFAData_TEA_1819!A553),6),3),"-",(RIGHT(RIGHT(CONCATENATE("000",IFAData_TEA_1819!A553),6),3)))</f>
        <v>043-907</v>
      </c>
      <c r="C553" t="s">
        <v>820</v>
      </c>
      <c r="D553">
        <v>1</v>
      </c>
      <c r="E553">
        <v>2082</v>
      </c>
      <c r="F553" t="s">
        <v>4417</v>
      </c>
      <c r="G553" t="s">
        <v>4417</v>
      </c>
      <c r="H553">
        <v>1347187</v>
      </c>
      <c r="I553">
        <v>0</v>
      </c>
      <c r="J553">
        <v>0</v>
      </c>
      <c r="K553"/>
      <c r="L553">
        <v>0</v>
      </c>
      <c r="M553">
        <v>599</v>
      </c>
    </row>
    <row r="554" spans="1:13" ht="15">
      <c r="A554" t="s">
        <v>3452</v>
      </c>
      <c r="B554" s="1040" t="str">
        <f>CONCATENATE(LEFT(RIGHT(CONCATENATE("000",IFAData_TEA_1819!A554),6),3),"-",(RIGHT(RIGHT(CONCATENATE("000",IFAData_TEA_1819!A554),6),3)))</f>
        <v>043-908</v>
      </c>
      <c r="C554" t="s">
        <v>2199</v>
      </c>
      <c r="D554">
        <v>9</v>
      </c>
      <c r="E554">
        <v>2089</v>
      </c>
      <c r="F554" t="s">
        <v>4419</v>
      </c>
      <c r="G554" t="s">
        <v>4419</v>
      </c>
      <c r="H554">
        <v>334507</v>
      </c>
      <c r="I554">
        <v>0</v>
      </c>
      <c r="J554">
        <v>0</v>
      </c>
      <c r="K554">
        <v>0</v>
      </c>
      <c r="L554">
        <v>0</v>
      </c>
      <c r="M554">
        <v>599</v>
      </c>
    </row>
    <row r="555" spans="1:13" ht="15">
      <c r="A555" t="s">
        <v>3452</v>
      </c>
      <c r="B555" s="1040" t="str">
        <f>CONCATENATE(LEFT(RIGHT(CONCATENATE("000",IFAData_TEA_1819!A555),6),3),"-",(RIGHT(RIGHT(CONCATENATE("000",IFAData_TEA_1819!A555),6),3)))</f>
        <v>043-908</v>
      </c>
      <c r="C555" t="s">
        <v>2199</v>
      </c>
      <c r="D555">
        <v>9</v>
      </c>
      <c r="E555">
        <v>2089</v>
      </c>
      <c r="F555" t="s">
        <v>4419</v>
      </c>
      <c r="G555" t="s">
        <v>6826</v>
      </c>
      <c r="H555">
        <v>334507</v>
      </c>
      <c r="I555">
        <v>540068</v>
      </c>
      <c r="J555">
        <v>1</v>
      </c>
      <c r="K555">
        <v>334507</v>
      </c>
      <c r="L555">
        <v>334507</v>
      </c>
      <c r="M555">
        <v>599</v>
      </c>
    </row>
    <row r="556" spans="1:13" ht="15">
      <c r="A556" t="s">
        <v>3452</v>
      </c>
      <c r="B556" s="1040" t="str">
        <f>CONCATENATE(LEFT(RIGHT(CONCATENATE("000",IFAData_TEA_1819!A556),6),3),"-",(RIGHT(RIGHT(CONCATENATE("000",IFAData_TEA_1819!A556),6),3)))</f>
        <v>043-908</v>
      </c>
      <c r="C556" t="s">
        <v>2199</v>
      </c>
      <c r="D556">
        <v>10</v>
      </c>
      <c r="E556">
        <v>2088</v>
      </c>
      <c r="F556" t="s">
        <v>4420</v>
      </c>
      <c r="G556" t="s">
        <v>4420</v>
      </c>
      <c r="H556">
        <v>121098</v>
      </c>
      <c r="I556">
        <v>221098</v>
      </c>
      <c r="J556">
        <v>0.775148738049244</v>
      </c>
      <c r="K556">
        <v>93868.961880287301</v>
      </c>
      <c r="L556">
        <v>93868.961880287301</v>
      </c>
      <c r="M556">
        <v>599</v>
      </c>
    </row>
    <row r="557" spans="1:13" ht="15">
      <c r="A557" t="s">
        <v>3452</v>
      </c>
      <c r="B557" s="1040" t="str">
        <f>CONCATENATE(LEFT(RIGHT(CONCATENATE("000",IFAData_TEA_1819!A557),6),3),"-",(RIGHT(RIGHT(CONCATENATE("000",IFAData_TEA_1819!A557),6),3)))</f>
        <v>043-908</v>
      </c>
      <c r="C557" t="s">
        <v>2199</v>
      </c>
      <c r="D557">
        <v>10</v>
      </c>
      <c r="E557">
        <v>2088</v>
      </c>
      <c r="F557" t="s">
        <v>4420</v>
      </c>
      <c r="G557" t="s">
        <v>8345</v>
      </c>
      <c r="H557">
        <v>121098</v>
      </c>
      <c r="I557">
        <v>64135</v>
      </c>
      <c r="J557">
        <v>0.224851261950756</v>
      </c>
      <c r="K557">
        <v>27229.038119712699</v>
      </c>
      <c r="L557">
        <v>27229.038119712699</v>
      </c>
      <c r="M557">
        <v>599</v>
      </c>
    </row>
    <row r="558" spans="1:13" ht="15">
      <c r="A558" t="s">
        <v>3452</v>
      </c>
      <c r="B558" s="1040" t="str">
        <f>CONCATENATE(LEFT(RIGHT(CONCATENATE("000",IFAData_TEA_1819!A558),6),3),"-",(RIGHT(RIGHT(CONCATENATE("000",IFAData_TEA_1819!A558),6),3)))</f>
        <v>043-908</v>
      </c>
      <c r="C558" t="s">
        <v>2199</v>
      </c>
      <c r="D558">
        <v>11</v>
      </c>
      <c r="E558">
        <v>2515</v>
      </c>
      <c r="F558" t="s">
        <v>8346</v>
      </c>
      <c r="G558" t="s">
        <v>8346</v>
      </c>
      <c r="H558">
        <v>561949</v>
      </c>
      <c r="I558">
        <v>859350</v>
      </c>
      <c r="J558">
        <v>1</v>
      </c>
      <c r="K558">
        <v>561949</v>
      </c>
      <c r="L558">
        <v>561949</v>
      </c>
      <c r="M558">
        <v>599</v>
      </c>
    </row>
    <row r="559" spans="1:13" ht="15">
      <c r="A559" t="s">
        <v>3453</v>
      </c>
      <c r="B559" s="1040" t="str">
        <f>CONCATENATE(LEFT(RIGHT(CONCATENATE("000",IFAData_TEA_1819!A559),6),3),"-",(RIGHT(RIGHT(CONCATENATE("000",IFAData_TEA_1819!A559),6),3)))</f>
        <v>043-911</v>
      </c>
      <c r="C559" t="s">
        <v>74</v>
      </c>
      <c r="D559">
        <v>2</v>
      </c>
      <c r="E559">
        <v>2214</v>
      </c>
      <c r="F559" t="s">
        <v>4421</v>
      </c>
      <c r="G559" t="s">
        <v>4421</v>
      </c>
      <c r="H559">
        <v>470750</v>
      </c>
      <c r="I559">
        <v>0</v>
      </c>
      <c r="J559">
        <v>0</v>
      </c>
      <c r="K559"/>
      <c r="L559">
        <v>0</v>
      </c>
      <c r="M559">
        <v>599</v>
      </c>
    </row>
    <row r="560" spans="1:13" ht="15">
      <c r="A560" t="s">
        <v>3453</v>
      </c>
      <c r="B560" s="1040" t="str">
        <f>CONCATENATE(LEFT(RIGHT(CONCATENATE("000",IFAData_TEA_1819!A560),6),3),"-",(RIGHT(RIGHT(CONCATENATE("000",IFAData_TEA_1819!A560),6),3)))</f>
        <v>043-911</v>
      </c>
      <c r="C560" t="s">
        <v>74</v>
      </c>
      <c r="D560">
        <v>6</v>
      </c>
      <c r="E560">
        <v>2215</v>
      </c>
      <c r="F560" t="s">
        <v>4423</v>
      </c>
      <c r="G560" t="s">
        <v>4423</v>
      </c>
      <c r="H560">
        <v>556250</v>
      </c>
      <c r="I560">
        <v>0</v>
      </c>
      <c r="J560">
        <v>0</v>
      </c>
      <c r="K560">
        <v>0</v>
      </c>
      <c r="L560">
        <v>0</v>
      </c>
      <c r="M560">
        <v>599</v>
      </c>
    </row>
    <row r="561" spans="1:13" ht="15">
      <c r="A561" t="s">
        <v>3453</v>
      </c>
      <c r="B561" s="1040" t="str">
        <f>CONCATENATE(LEFT(RIGHT(CONCATENATE("000",IFAData_TEA_1819!A561),6),3),"-",(RIGHT(RIGHT(CONCATENATE("000",IFAData_TEA_1819!A561),6),3)))</f>
        <v>043-911</v>
      </c>
      <c r="C561" t="s">
        <v>74</v>
      </c>
      <c r="D561">
        <v>6</v>
      </c>
      <c r="E561">
        <v>2215</v>
      </c>
      <c r="F561" t="s">
        <v>4423</v>
      </c>
      <c r="G561" t="s">
        <v>4424</v>
      </c>
      <c r="H561">
        <v>556250</v>
      </c>
      <c r="I561">
        <v>1110089</v>
      </c>
      <c r="J561">
        <v>0.50020682569865604</v>
      </c>
      <c r="K561">
        <v>278240.04679487803</v>
      </c>
      <c r="L561">
        <v>278240.04679487803</v>
      </c>
      <c r="M561">
        <v>599</v>
      </c>
    </row>
    <row r="562" spans="1:13" ht="15">
      <c r="A562" t="s">
        <v>3453</v>
      </c>
      <c r="B562" s="1040" t="str">
        <f>CONCATENATE(LEFT(RIGHT(CONCATENATE("000",IFAData_TEA_1819!A562),6),3),"-",(RIGHT(RIGHT(CONCATENATE("000",IFAData_TEA_1819!A562),6),3)))</f>
        <v>043-911</v>
      </c>
      <c r="C562" t="s">
        <v>74</v>
      </c>
      <c r="D562">
        <v>6</v>
      </c>
      <c r="E562">
        <v>2215</v>
      </c>
      <c r="F562" t="s">
        <v>4423</v>
      </c>
      <c r="G562" t="s">
        <v>4425</v>
      </c>
      <c r="H562">
        <v>556250</v>
      </c>
      <c r="I562">
        <v>0</v>
      </c>
      <c r="J562">
        <v>0</v>
      </c>
      <c r="K562">
        <v>0</v>
      </c>
      <c r="L562">
        <v>0</v>
      </c>
      <c r="M562">
        <v>599</v>
      </c>
    </row>
    <row r="563" spans="1:13" ht="15">
      <c r="A563" t="s">
        <v>3453</v>
      </c>
      <c r="B563" s="1040" t="str">
        <f>CONCATENATE(LEFT(RIGHT(CONCATENATE("000",IFAData_TEA_1819!A563),6),3),"-",(RIGHT(RIGHT(CONCATENATE("000",IFAData_TEA_1819!A563),6),3)))</f>
        <v>043-911</v>
      </c>
      <c r="C563" t="s">
        <v>74</v>
      </c>
      <c r="D563">
        <v>6</v>
      </c>
      <c r="E563">
        <v>2215</v>
      </c>
      <c r="F563" t="s">
        <v>4423</v>
      </c>
      <c r="G563" t="s">
        <v>6218</v>
      </c>
      <c r="H563">
        <v>556250</v>
      </c>
      <c r="I563">
        <v>578825</v>
      </c>
      <c r="J563">
        <v>0.26081892162252301</v>
      </c>
      <c r="K563">
        <v>145080.52515252799</v>
      </c>
      <c r="L563">
        <v>145080.52515252799</v>
      </c>
      <c r="M563">
        <v>599</v>
      </c>
    </row>
    <row r="564" spans="1:13" ht="15">
      <c r="A564" t="s">
        <v>3453</v>
      </c>
      <c r="B564" s="1040" t="str">
        <f>CONCATENATE(LEFT(RIGHT(CONCATENATE("000",IFAData_TEA_1819!A564),6),3),"-",(RIGHT(RIGHT(CONCATENATE("000",IFAData_TEA_1819!A564),6),3)))</f>
        <v>043-911</v>
      </c>
      <c r="C564" t="s">
        <v>74</v>
      </c>
      <c r="D564">
        <v>6</v>
      </c>
      <c r="E564">
        <v>2215</v>
      </c>
      <c r="F564" t="s">
        <v>4423</v>
      </c>
      <c r="G564" t="s">
        <v>8347</v>
      </c>
      <c r="H564">
        <v>556250</v>
      </c>
      <c r="I564">
        <v>530346</v>
      </c>
      <c r="J564">
        <v>0.238974252678821</v>
      </c>
      <c r="K564">
        <v>132929.42805259401</v>
      </c>
      <c r="L564">
        <v>132929.42805259401</v>
      </c>
      <c r="M564">
        <v>599</v>
      </c>
    </row>
    <row r="565" spans="1:13" ht="15">
      <c r="A565" t="s">
        <v>3453</v>
      </c>
      <c r="B565" s="1040" t="str">
        <f>CONCATENATE(LEFT(RIGHT(CONCATENATE("000",IFAData_TEA_1819!A565),6),3),"-",(RIGHT(RIGHT(CONCATENATE("000",IFAData_TEA_1819!A565),6),3)))</f>
        <v>043-911</v>
      </c>
      <c r="C565" t="s">
        <v>74</v>
      </c>
      <c r="D565">
        <v>9</v>
      </c>
      <c r="E565">
        <v>2216</v>
      </c>
      <c r="F565" t="s">
        <v>4426</v>
      </c>
      <c r="G565" t="s">
        <v>4426</v>
      </c>
      <c r="H565">
        <v>607244</v>
      </c>
      <c r="I565">
        <v>0</v>
      </c>
      <c r="J565">
        <v>0</v>
      </c>
      <c r="K565">
        <v>0</v>
      </c>
      <c r="L565">
        <v>0</v>
      </c>
      <c r="M565">
        <v>599</v>
      </c>
    </row>
    <row r="566" spans="1:13" ht="15">
      <c r="A566" t="s">
        <v>3453</v>
      </c>
      <c r="B566" s="1040" t="str">
        <f>CONCATENATE(LEFT(RIGHT(CONCATENATE("000",IFAData_TEA_1819!A566),6),3),"-",(RIGHT(RIGHT(CONCATENATE("000",IFAData_TEA_1819!A566),6),3)))</f>
        <v>043-911</v>
      </c>
      <c r="C566" t="s">
        <v>74</v>
      </c>
      <c r="D566">
        <v>9</v>
      </c>
      <c r="E566">
        <v>2216</v>
      </c>
      <c r="F566" t="s">
        <v>4426</v>
      </c>
      <c r="G566" t="s">
        <v>6431</v>
      </c>
      <c r="H566">
        <v>607244</v>
      </c>
      <c r="I566">
        <v>575744</v>
      </c>
      <c r="J566">
        <v>1</v>
      </c>
      <c r="K566">
        <v>607244</v>
      </c>
      <c r="L566">
        <v>575744</v>
      </c>
      <c r="M566">
        <v>599</v>
      </c>
    </row>
    <row r="567" spans="1:13" ht="15">
      <c r="A567" t="s">
        <v>3453</v>
      </c>
      <c r="B567" s="1040" t="str">
        <f>CONCATENATE(LEFT(RIGHT(CONCATENATE("000",IFAData_TEA_1819!A567),6),3),"-",(RIGHT(RIGHT(CONCATENATE("000",IFAData_TEA_1819!A567),6),3)))</f>
        <v>043-911</v>
      </c>
      <c r="C567" t="s">
        <v>74</v>
      </c>
      <c r="D567">
        <v>10</v>
      </c>
      <c r="E567">
        <v>2213</v>
      </c>
      <c r="F567" t="s">
        <v>4427</v>
      </c>
      <c r="G567" t="s">
        <v>4427</v>
      </c>
      <c r="H567">
        <v>251143</v>
      </c>
      <c r="I567">
        <v>182100</v>
      </c>
      <c r="J567">
        <v>1</v>
      </c>
      <c r="K567">
        <v>251143</v>
      </c>
      <c r="L567">
        <v>182100</v>
      </c>
      <c r="M567">
        <v>599</v>
      </c>
    </row>
    <row r="568" spans="1:13" ht="15">
      <c r="A568" t="s">
        <v>3453</v>
      </c>
      <c r="B568" s="1040" t="str">
        <f>CONCATENATE(LEFT(RIGHT(CONCATENATE("000",IFAData_TEA_1819!A568),6),3),"-",(RIGHT(RIGHT(CONCATENATE("000",IFAData_TEA_1819!A568),6),3)))</f>
        <v>043-911</v>
      </c>
      <c r="C568" t="s">
        <v>74</v>
      </c>
      <c r="D568">
        <v>11</v>
      </c>
      <c r="E568">
        <v>2487</v>
      </c>
      <c r="F568" t="s">
        <v>8348</v>
      </c>
      <c r="G568" t="s">
        <v>8348</v>
      </c>
      <c r="H568">
        <v>903924</v>
      </c>
      <c r="I568">
        <v>821250</v>
      </c>
      <c r="J568">
        <v>1</v>
      </c>
      <c r="K568">
        <v>903924</v>
      </c>
      <c r="L568">
        <v>821250</v>
      </c>
      <c r="M568">
        <v>599</v>
      </c>
    </row>
    <row r="569" spans="1:13" ht="15">
      <c r="A569" t="s">
        <v>3454</v>
      </c>
      <c r="B569" s="1040" t="str">
        <f>CONCATENATE(LEFT(RIGHT(CONCATENATE("000",IFAData_TEA_1819!A569),6),3),"-",(RIGHT(RIGHT(CONCATENATE("000",IFAData_TEA_1819!A569),6),3)))</f>
        <v>043-912</v>
      </c>
      <c r="C569" t="s">
        <v>76</v>
      </c>
      <c r="D569">
        <v>2</v>
      </c>
      <c r="E569">
        <v>2222</v>
      </c>
      <c r="F569" t="s">
        <v>4428</v>
      </c>
      <c r="G569" t="s">
        <v>4428</v>
      </c>
      <c r="H569">
        <v>210750</v>
      </c>
      <c r="I569">
        <v>0</v>
      </c>
      <c r="J569">
        <v>0</v>
      </c>
      <c r="K569">
        <v>0</v>
      </c>
      <c r="L569">
        <v>0</v>
      </c>
      <c r="M569">
        <v>599</v>
      </c>
    </row>
    <row r="570" spans="1:13" ht="15">
      <c r="A570" t="s">
        <v>3454</v>
      </c>
      <c r="B570" s="1040" t="str">
        <f>CONCATENATE(LEFT(RIGHT(CONCATENATE("000",IFAData_TEA_1819!A570),6),3),"-",(RIGHT(RIGHT(CONCATENATE("000",IFAData_TEA_1819!A570),6),3)))</f>
        <v>043-912</v>
      </c>
      <c r="C570" t="s">
        <v>76</v>
      </c>
      <c r="D570">
        <v>2</v>
      </c>
      <c r="E570">
        <v>2222</v>
      </c>
      <c r="F570" t="s">
        <v>4428</v>
      </c>
      <c r="G570" t="s">
        <v>4429</v>
      </c>
      <c r="H570">
        <v>210750</v>
      </c>
      <c r="I570">
        <v>8323</v>
      </c>
      <c r="J570">
        <v>1.6904366335065101E-2</v>
      </c>
      <c r="K570">
        <v>3562.5952051149802</v>
      </c>
      <c r="L570">
        <v>3562.5952051149802</v>
      </c>
      <c r="M570">
        <v>599</v>
      </c>
    </row>
    <row r="571" spans="1:13" ht="15">
      <c r="A571" t="s">
        <v>3454</v>
      </c>
      <c r="B571" s="1040" t="str">
        <f>CONCATENATE(LEFT(RIGHT(CONCATENATE("000",IFAData_TEA_1819!A571),6),3),"-",(RIGHT(RIGHT(CONCATENATE("000",IFAData_TEA_1819!A571),6),3)))</f>
        <v>043-912</v>
      </c>
      <c r="C571" t="s">
        <v>76</v>
      </c>
      <c r="D571">
        <v>2</v>
      </c>
      <c r="E571">
        <v>2222</v>
      </c>
      <c r="F571" t="s">
        <v>4428</v>
      </c>
      <c r="G571" t="s">
        <v>4430</v>
      </c>
      <c r="H571">
        <v>210750</v>
      </c>
      <c r="I571">
        <v>0</v>
      </c>
      <c r="J571">
        <v>0</v>
      </c>
      <c r="K571">
        <v>0</v>
      </c>
      <c r="L571">
        <v>0</v>
      </c>
      <c r="M571">
        <v>599</v>
      </c>
    </row>
    <row r="572" spans="1:13" ht="15">
      <c r="A572" t="s">
        <v>3454</v>
      </c>
      <c r="B572" s="1040" t="str">
        <f>CONCATENATE(LEFT(RIGHT(CONCATENATE("000",IFAData_TEA_1819!A572),6),3),"-",(RIGHT(RIGHT(CONCATENATE("000",IFAData_TEA_1819!A572),6),3)))</f>
        <v>043-912</v>
      </c>
      <c r="C572" t="s">
        <v>76</v>
      </c>
      <c r="D572">
        <v>2</v>
      </c>
      <c r="E572">
        <v>2222</v>
      </c>
      <c r="F572" t="s">
        <v>4428</v>
      </c>
      <c r="G572" t="s">
        <v>4431</v>
      </c>
      <c r="H572">
        <v>210750</v>
      </c>
      <c r="I572">
        <v>970</v>
      </c>
      <c r="J572">
        <v>1.9701111792638699E-3</v>
      </c>
      <c r="K572">
        <v>415.20093102985999</v>
      </c>
      <c r="L572">
        <v>415.20093102985999</v>
      </c>
      <c r="M572">
        <v>599</v>
      </c>
    </row>
    <row r="573" spans="1:13" ht="15">
      <c r="A573" t="s">
        <v>3454</v>
      </c>
      <c r="B573" s="1040" t="str">
        <f>CONCATENATE(LEFT(RIGHT(CONCATENATE("000",IFAData_TEA_1819!A573),6),3),"-",(RIGHT(RIGHT(CONCATENATE("000",IFAData_TEA_1819!A573),6),3)))</f>
        <v>043-912</v>
      </c>
      <c r="C573" t="s">
        <v>76</v>
      </c>
      <c r="D573">
        <v>2</v>
      </c>
      <c r="E573">
        <v>2222</v>
      </c>
      <c r="F573" t="s">
        <v>4428</v>
      </c>
      <c r="G573" t="s">
        <v>6219</v>
      </c>
      <c r="H573">
        <v>210750</v>
      </c>
      <c r="I573">
        <v>423358</v>
      </c>
      <c r="J573">
        <v>0.85985807075339504</v>
      </c>
      <c r="K573">
        <v>181215.088411278</v>
      </c>
      <c r="L573">
        <v>181215.088411278</v>
      </c>
      <c r="M573">
        <v>599</v>
      </c>
    </row>
    <row r="574" spans="1:13" ht="15">
      <c r="A574" t="s">
        <v>3454</v>
      </c>
      <c r="B574" s="1040" t="str">
        <f>CONCATENATE(LEFT(RIGHT(CONCATENATE("000",IFAData_TEA_1819!A574),6),3),"-",(RIGHT(RIGHT(CONCATENATE("000",IFAData_TEA_1819!A574),6),3)))</f>
        <v>043-912</v>
      </c>
      <c r="C574" t="s">
        <v>76</v>
      </c>
      <c r="D574">
        <v>2</v>
      </c>
      <c r="E574">
        <v>2222</v>
      </c>
      <c r="F574" t="s">
        <v>4428</v>
      </c>
      <c r="G574" t="s">
        <v>8349</v>
      </c>
      <c r="H574">
        <v>210750</v>
      </c>
      <c r="I574">
        <v>59707</v>
      </c>
      <c r="J574">
        <v>0.121267451732276</v>
      </c>
      <c r="K574">
        <v>25557.1154525772</v>
      </c>
      <c r="L574">
        <v>25557.1154525772</v>
      </c>
      <c r="M574">
        <v>599</v>
      </c>
    </row>
    <row r="575" spans="1:13" ht="15">
      <c r="A575" t="s">
        <v>3455</v>
      </c>
      <c r="B575" s="1040" t="str">
        <f>CONCATENATE(LEFT(RIGHT(CONCATENATE("000",IFAData_TEA_1819!A575),6),3),"-",(RIGHT(RIGHT(CONCATENATE("000",IFAData_TEA_1819!A575),6),3)))</f>
        <v>043-914</v>
      </c>
      <c r="C575" t="s">
        <v>1132</v>
      </c>
      <c r="D575">
        <v>5</v>
      </c>
      <c r="E575">
        <v>2463</v>
      </c>
      <c r="F575" t="s">
        <v>4432</v>
      </c>
      <c r="G575" t="s">
        <v>4432</v>
      </c>
      <c r="H575">
        <v>440511</v>
      </c>
      <c r="I575">
        <v>0</v>
      </c>
      <c r="J575">
        <v>0</v>
      </c>
      <c r="K575">
        <v>0</v>
      </c>
      <c r="L575">
        <v>0</v>
      </c>
      <c r="M575">
        <v>599</v>
      </c>
    </row>
    <row r="576" spans="1:13" ht="15">
      <c r="A576" t="s">
        <v>3455</v>
      </c>
      <c r="B576" s="1040" t="str">
        <f>CONCATENATE(LEFT(RIGHT(CONCATENATE("000",IFAData_TEA_1819!A576),6),3),"-",(RIGHT(RIGHT(CONCATENATE("000",IFAData_TEA_1819!A576),6),3)))</f>
        <v>043-914</v>
      </c>
      <c r="C576" t="s">
        <v>1132</v>
      </c>
      <c r="D576">
        <v>5</v>
      </c>
      <c r="E576">
        <v>2463</v>
      </c>
      <c r="F576" t="s">
        <v>4432</v>
      </c>
      <c r="G576" t="s">
        <v>4433</v>
      </c>
      <c r="H576">
        <v>440511</v>
      </c>
      <c r="I576">
        <v>0</v>
      </c>
      <c r="J576">
        <v>0</v>
      </c>
      <c r="K576">
        <v>0</v>
      </c>
      <c r="L576">
        <v>0</v>
      </c>
      <c r="M576">
        <v>599</v>
      </c>
    </row>
    <row r="577" spans="1:13" ht="15">
      <c r="A577" t="s">
        <v>3455</v>
      </c>
      <c r="B577" s="1040" t="str">
        <f>CONCATENATE(LEFT(RIGHT(CONCATENATE("000",IFAData_TEA_1819!A577),6),3),"-",(RIGHT(RIGHT(CONCATENATE("000",IFAData_TEA_1819!A577),6),3)))</f>
        <v>043-914</v>
      </c>
      <c r="C577" t="s">
        <v>1132</v>
      </c>
      <c r="D577">
        <v>5</v>
      </c>
      <c r="E577">
        <v>2463</v>
      </c>
      <c r="F577" t="s">
        <v>4432</v>
      </c>
      <c r="G577" t="s">
        <v>4434</v>
      </c>
      <c r="H577">
        <v>440511</v>
      </c>
      <c r="I577">
        <v>211578</v>
      </c>
      <c r="J577">
        <v>3.0345444805634898E-2</v>
      </c>
      <c r="K577">
        <v>13367.502236775001</v>
      </c>
      <c r="L577">
        <v>13367.502236775001</v>
      </c>
      <c r="M577">
        <v>599</v>
      </c>
    </row>
    <row r="578" spans="1:13" ht="15">
      <c r="A578" t="s">
        <v>3455</v>
      </c>
      <c r="B578" s="1040" t="str">
        <f>CONCATENATE(LEFT(RIGHT(CONCATENATE("000",IFAData_TEA_1819!A578),6),3),"-",(RIGHT(RIGHT(CONCATENATE("000",IFAData_TEA_1819!A578),6),3)))</f>
        <v>043-914</v>
      </c>
      <c r="C578" t="s">
        <v>1132</v>
      </c>
      <c r="D578">
        <v>5</v>
      </c>
      <c r="E578">
        <v>2463</v>
      </c>
      <c r="F578" t="s">
        <v>4432</v>
      </c>
      <c r="G578" t="s">
        <v>4435</v>
      </c>
      <c r="H578">
        <v>440511</v>
      </c>
      <c r="I578">
        <v>100283</v>
      </c>
      <c r="J578">
        <v>1.43830277318222E-2</v>
      </c>
      <c r="K578">
        <v>6335.8819291727395</v>
      </c>
      <c r="L578">
        <v>6335.8819291727395</v>
      </c>
      <c r="M578">
        <v>599</v>
      </c>
    </row>
    <row r="579" spans="1:13" ht="15">
      <c r="A579" t="s">
        <v>3455</v>
      </c>
      <c r="B579" s="1040" t="str">
        <f>CONCATENATE(LEFT(RIGHT(CONCATENATE("000",IFAData_TEA_1819!A579),6),3),"-",(RIGHT(RIGHT(CONCATENATE("000",IFAData_TEA_1819!A579),6),3)))</f>
        <v>043-914</v>
      </c>
      <c r="C579" t="s">
        <v>1132</v>
      </c>
      <c r="D579">
        <v>5</v>
      </c>
      <c r="E579">
        <v>2463</v>
      </c>
      <c r="F579" t="s">
        <v>4432</v>
      </c>
      <c r="G579" t="s">
        <v>4436</v>
      </c>
      <c r="H579">
        <v>440511</v>
      </c>
      <c r="I579">
        <v>4732292</v>
      </c>
      <c r="J579">
        <v>0.67872607591596201</v>
      </c>
      <c r="K579">
        <v>298986.30242781597</v>
      </c>
      <c r="L579">
        <v>298986.30242781597</v>
      </c>
      <c r="M579">
        <v>599</v>
      </c>
    </row>
    <row r="580" spans="1:13" ht="15">
      <c r="A580" t="s">
        <v>3455</v>
      </c>
      <c r="B580" s="1040" t="str">
        <f>CONCATENATE(LEFT(RIGHT(CONCATENATE("000",IFAData_TEA_1819!A580),6),3),"-",(RIGHT(RIGHT(CONCATENATE("000",IFAData_TEA_1819!A580),6),3)))</f>
        <v>043-914</v>
      </c>
      <c r="C580" t="s">
        <v>1132</v>
      </c>
      <c r="D580">
        <v>5</v>
      </c>
      <c r="E580">
        <v>2463</v>
      </c>
      <c r="F580" t="s">
        <v>4432</v>
      </c>
      <c r="G580" t="s">
        <v>6432</v>
      </c>
      <c r="H580">
        <v>440511</v>
      </c>
      <c r="I580">
        <v>1874941</v>
      </c>
      <c r="J580">
        <v>0.26891226228304399</v>
      </c>
      <c r="K580">
        <v>118458.80957056599</v>
      </c>
      <c r="L580">
        <v>118458.80957056599</v>
      </c>
      <c r="M580">
        <v>599</v>
      </c>
    </row>
    <row r="581" spans="1:13" ht="15">
      <c r="A581" t="s">
        <v>3455</v>
      </c>
      <c r="B581" s="1040" t="str">
        <f>CONCATENATE(LEFT(RIGHT(CONCATENATE("000",IFAData_TEA_1819!A581),6),3),"-",(RIGHT(RIGHT(CONCATENATE("000",IFAData_TEA_1819!A581),6),3)))</f>
        <v>043-914</v>
      </c>
      <c r="C581" t="s">
        <v>1132</v>
      </c>
      <c r="D581">
        <v>5</v>
      </c>
      <c r="E581">
        <v>2463</v>
      </c>
      <c r="F581" t="s">
        <v>4432</v>
      </c>
      <c r="G581" t="s">
        <v>8350</v>
      </c>
      <c r="H581">
        <v>440511</v>
      </c>
      <c r="I581">
        <v>53221</v>
      </c>
      <c r="J581">
        <v>7.6331892635372904E-3</v>
      </c>
      <c r="K581">
        <v>3362.5038356700802</v>
      </c>
      <c r="L581">
        <v>3362.5038356700802</v>
      </c>
      <c r="M581">
        <v>599</v>
      </c>
    </row>
    <row r="582" spans="1:13" ht="15">
      <c r="A582" t="s">
        <v>3455</v>
      </c>
      <c r="B582" s="1040" t="str">
        <f>CONCATENATE(LEFT(RIGHT(CONCATENATE("000",IFAData_TEA_1819!A582),6),3),"-",(RIGHT(RIGHT(CONCATENATE("000",IFAData_TEA_1819!A582),6),3)))</f>
        <v>043-914</v>
      </c>
      <c r="C582" t="s">
        <v>1132</v>
      </c>
      <c r="D582">
        <v>9</v>
      </c>
      <c r="E582">
        <v>2465</v>
      </c>
      <c r="F582" t="s">
        <v>4437</v>
      </c>
      <c r="G582" t="s">
        <v>4437</v>
      </c>
      <c r="H582">
        <v>897102</v>
      </c>
      <c r="I582">
        <v>0</v>
      </c>
      <c r="J582">
        <v>0</v>
      </c>
      <c r="K582">
        <v>0</v>
      </c>
      <c r="L582">
        <v>0</v>
      </c>
      <c r="M582">
        <v>599</v>
      </c>
    </row>
    <row r="583" spans="1:13" ht="15">
      <c r="A583" t="s">
        <v>3455</v>
      </c>
      <c r="B583" s="1040" t="str">
        <f>CONCATENATE(LEFT(RIGHT(CONCATENATE("000",IFAData_TEA_1819!A583),6),3),"-",(RIGHT(RIGHT(CONCATENATE("000",IFAData_TEA_1819!A583),6),3)))</f>
        <v>043-914</v>
      </c>
      <c r="C583" t="s">
        <v>1132</v>
      </c>
      <c r="D583">
        <v>9</v>
      </c>
      <c r="E583">
        <v>2465</v>
      </c>
      <c r="F583" t="s">
        <v>4437</v>
      </c>
      <c r="G583" t="s">
        <v>4436</v>
      </c>
      <c r="H583">
        <v>897102</v>
      </c>
      <c r="I583">
        <v>2330077</v>
      </c>
      <c r="J583">
        <v>1</v>
      </c>
      <c r="K583">
        <v>897102</v>
      </c>
      <c r="L583">
        <v>897102</v>
      </c>
      <c r="M583">
        <v>599</v>
      </c>
    </row>
    <row r="584" spans="1:13" ht="15">
      <c r="A584" t="s">
        <v>3455</v>
      </c>
      <c r="B584" s="1040" t="str">
        <f>CONCATENATE(LEFT(RIGHT(CONCATENATE("000",IFAData_TEA_1819!A584),6),3),"-",(RIGHT(RIGHT(CONCATENATE("000",IFAData_TEA_1819!A584),6),3)))</f>
        <v>043-914</v>
      </c>
      <c r="C584" t="s">
        <v>1132</v>
      </c>
      <c r="D584">
        <v>9</v>
      </c>
      <c r="E584">
        <v>2464</v>
      </c>
      <c r="F584" t="s">
        <v>4438</v>
      </c>
      <c r="G584" t="s">
        <v>4438</v>
      </c>
      <c r="H584">
        <v>633540</v>
      </c>
      <c r="I584">
        <v>0</v>
      </c>
      <c r="J584">
        <v>0</v>
      </c>
      <c r="K584">
        <v>0</v>
      </c>
      <c r="L584">
        <v>0</v>
      </c>
      <c r="M584">
        <v>599</v>
      </c>
    </row>
    <row r="585" spans="1:13" ht="15">
      <c r="A585" t="s">
        <v>3455</v>
      </c>
      <c r="B585" s="1040" t="str">
        <f>CONCATENATE(LEFT(RIGHT(CONCATENATE("000",IFAData_TEA_1819!A585),6),3),"-",(RIGHT(RIGHT(CONCATENATE("000",IFAData_TEA_1819!A585),6),3)))</f>
        <v>043-914</v>
      </c>
      <c r="C585" t="s">
        <v>1132</v>
      </c>
      <c r="D585">
        <v>9</v>
      </c>
      <c r="E585">
        <v>2464</v>
      </c>
      <c r="F585" t="s">
        <v>4438</v>
      </c>
      <c r="G585" t="s">
        <v>6432</v>
      </c>
      <c r="H585">
        <v>633540</v>
      </c>
      <c r="I585">
        <v>1874941</v>
      </c>
      <c r="J585">
        <v>1</v>
      </c>
      <c r="K585">
        <v>633540</v>
      </c>
      <c r="L585">
        <v>633540</v>
      </c>
      <c r="M585">
        <v>599</v>
      </c>
    </row>
    <row r="586" spans="1:13" ht="15">
      <c r="A586" t="s">
        <v>3455</v>
      </c>
      <c r="B586" s="1040" t="str">
        <f>CONCATENATE(LEFT(RIGHT(CONCATENATE("000",IFAData_TEA_1819!A586),6),3),"-",(RIGHT(RIGHT(CONCATENATE("000",IFAData_TEA_1819!A586),6),3)))</f>
        <v>043-914</v>
      </c>
      <c r="C586" t="s">
        <v>1132</v>
      </c>
      <c r="D586">
        <v>10</v>
      </c>
      <c r="E586">
        <v>2462</v>
      </c>
      <c r="F586" t="s">
        <v>4439</v>
      </c>
      <c r="G586" t="s">
        <v>4439</v>
      </c>
      <c r="H586">
        <v>92075</v>
      </c>
      <c r="I586">
        <v>0</v>
      </c>
      <c r="J586">
        <v>0</v>
      </c>
      <c r="K586"/>
      <c r="L586">
        <v>0</v>
      </c>
      <c r="M586">
        <v>599</v>
      </c>
    </row>
    <row r="587" spans="1:13" ht="15">
      <c r="A587" t="s">
        <v>3455</v>
      </c>
      <c r="B587" s="1040" t="str">
        <f>CONCATENATE(LEFT(RIGHT(CONCATENATE("000",IFAData_TEA_1819!A587),6),3),"-",(RIGHT(RIGHT(CONCATENATE("000",IFAData_TEA_1819!A587),6),3)))</f>
        <v>043-914</v>
      </c>
      <c r="C587" t="s">
        <v>1132</v>
      </c>
      <c r="D587">
        <v>11</v>
      </c>
      <c r="E587">
        <v>2526</v>
      </c>
      <c r="F587" t="s">
        <v>8351</v>
      </c>
      <c r="G587" t="s">
        <v>8351</v>
      </c>
      <c r="H587">
        <v>532079</v>
      </c>
      <c r="I587">
        <v>629947</v>
      </c>
      <c r="J587">
        <v>1</v>
      </c>
      <c r="K587">
        <v>532079</v>
      </c>
      <c r="L587">
        <v>532079</v>
      </c>
      <c r="M587">
        <v>599</v>
      </c>
    </row>
    <row r="588" spans="1:13" ht="15">
      <c r="A588" t="s">
        <v>3456</v>
      </c>
      <c r="B588" s="1040" t="str">
        <f>CONCATENATE(LEFT(RIGHT(CONCATENATE("000",IFAData_TEA_1819!A588),6),3),"-",(RIGHT(RIGHT(CONCATENATE("000",IFAData_TEA_1819!A588),6),3)))</f>
        <v>043-917</v>
      </c>
      <c r="C588" t="s">
        <v>1345</v>
      </c>
      <c r="D588">
        <v>2</v>
      </c>
      <c r="E588">
        <v>1621</v>
      </c>
      <c r="F588" t="s">
        <v>4440</v>
      </c>
      <c r="G588" t="s">
        <v>4440</v>
      </c>
      <c r="H588">
        <v>95044</v>
      </c>
      <c r="I588">
        <v>0</v>
      </c>
      <c r="J588">
        <v>0</v>
      </c>
      <c r="K588"/>
      <c r="L588">
        <v>0</v>
      </c>
      <c r="M588">
        <v>199</v>
      </c>
    </row>
    <row r="589" spans="1:13" ht="15">
      <c r="A589" t="s">
        <v>3456</v>
      </c>
      <c r="B589" s="1040" t="str">
        <f>CONCATENATE(LEFT(RIGHT(CONCATENATE("000",IFAData_TEA_1819!A589),6),3),"-",(RIGHT(RIGHT(CONCATENATE("000",IFAData_TEA_1819!A589),6),3)))</f>
        <v>043-917</v>
      </c>
      <c r="C589" t="s">
        <v>1345</v>
      </c>
      <c r="D589">
        <v>4</v>
      </c>
      <c r="E589">
        <v>1623</v>
      </c>
      <c r="F589" t="s">
        <v>4441</v>
      </c>
      <c r="G589" t="s">
        <v>4441</v>
      </c>
      <c r="H589">
        <v>172750</v>
      </c>
      <c r="I589">
        <v>0</v>
      </c>
      <c r="J589">
        <v>0</v>
      </c>
      <c r="K589">
        <v>0</v>
      </c>
      <c r="L589">
        <v>0</v>
      </c>
      <c r="M589">
        <v>599</v>
      </c>
    </row>
    <row r="590" spans="1:13" ht="15">
      <c r="A590" t="s">
        <v>3456</v>
      </c>
      <c r="B590" s="1040" t="str">
        <f>CONCATENATE(LEFT(RIGHT(CONCATENATE("000",IFAData_TEA_1819!A590),6),3),"-",(RIGHT(RIGHT(CONCATENATE("000",IFAData_TEA_1819!A590),6),3)))</f>
        <v>043-917</v>
      </c>
      <c r="C590" t="s">
        <v>1345</v>
      </c>
      <c r="D590">
        <v>4</v>
      </c>
      <c r="E590">
        <v>1623</v>
      </c>
      <c r="F590" t="s">
        <v>4441</v>
      </c>
      <c r="G590" t="s">
        <v>4442</v>
      </c>
      <c r="H590">
        <v>172750</v>
      </c>
      <c r="I590">
        <v>0</v>
      </c>
      <c r="J590">
        <v>0</v>
      </c>
      <c r="K590">
        <v>0</v>
      </c>
      <c r="L590">
        <v>0</v>
      </c>
      <c r="M590">
        <v>599</v>
      </c>
    </row>
    <row r="591" spans="1:13" ht="15">
      <c r="A591" t="s">
        <v>3456</v>
      </c>
      <c r="B591" s="1040" t="str">
        <f>CONCATENATE(LEFT(RIGHT(CONCATENATE("000",IFAData_TEA_1819!A591),6),3),"-",(RIGHT(RIGHT(CONCATENATE("000",IFAData_TEA_1819!A591),6),3)))</f>
        <v>043-917</v>
      </c>
      <c r="C591" t="s">
        <v>1345</v>
      </c>
      <c r="D591">
        <v>4</v>
      </c>
      <c r="E591">
        <v>1623</v>
      </c>
      <c r="F591" t="s">
        <v>4441</v>
      </c>
      <c r="G591" t="s">
        <v>6433</v>
      </c>
      <c r="H591">
        <v>172750</v>
      </c>
      <c r="I591">
        <v>226613</v>
      </c>
      <c r="J591">
        <v>1</v>
      </c>
      <c r="K591">
        <v>172750</v>
      </c>
      <c r="L591">
        <v>172750</v>
      </c>
      <c r="M591">
        <v>599</v>
      </c>
    </row>
    <row r="592" spans="1:13" ht="15">
      <c r="A592" t="s">
        <v>3456</v>
      </c>
      <c r="B592" s="1040" t="str">
        <f>CONCATENATE(LEFT(RIGHT(CONCATENATE("000",IFAData_TEA_1819!A592),6),3),"-",(RIGHT(RIGHT(CONCATENATE("000",IFAData_TEA_1819!A592),6),3)))</f>
        <v>043-917</v>
      </c>
      <c r="C592" t="s">
        <v>1345</v>
      </c>
      <c r="D592">
        <v>6</v>
      </c>
      <c r="E592">
        <v>1624</v>
      </c>
      <c r="F592" t="s">
        <v>4443</v>
      </c>
      <c r="G592" t="s">
        <v>4443</v>
      </c>
      <c r="H592">
        <v>192252</v>
      </c>
      <c r="I592">
        <v>0</v>
      </c>
      <c r="J592">
        <v>0</v>
      </c>
      <c r="K592">
        <v>0</v>
      </c>
      <c r="L592">
        <v>0</v>
      </c>
      <c r="M592">
        <v>599</v>
      </c>
    </row>
    <row r="593" spans="1:13" ht="15">
      <c r="A593" t="s">
        <v>3456</v>
      </c>
      <c r="B593" s="1040" t="str">
        <f>CONCATENATE(LEFT(RIGHT(CONCATENATE("000",IFAData_TEA_1819!A593),6),3),"-",(RIGHT(RIGHT(CONCATENATE("000",IFAData_TEA_1819!A593),6),3)))</f>
        <v>043-917</v>
      </c>
      <c r="C593" t="s">
        <v>1345</v>
      </c>
      <c r="D593">
        <v>6</v>
      </c>
      <c r="E593">
        <v>1624</v>
      </c>
      <c r="F593" t="s">
        <v>4443</v>
      </c>
      <c r="G593" t="s">
        <v>4444</v>
      </c>
      <c r="H593">
        <v>192252</v>
      </c>
      <c r="I593">
        <v>213749</v>
      </c>
      <c r="J593">
        <v>1</v>
      </c>
      <c r="K593">
        <v>192252</v>
      </c>
      <c r="L593">
        <v>192252</v>
      </c>
      <c r="M593">
        <v>599</v>
      </c>
    </row>
    <row r="594" spans="1:13" ht="15">
      <c r="A594" t="s">
        <v>3456</v>
      </c>
      <c r="B594" s="1040" t="str">
        <f>CONCATENATE(LEFT(RIGHT(CONCATENATE("000",IFAData_TEA_1819!A594),6),3),"-",(RIGHT(RIGHT(CONCATENATE("000",IFAData_TEA_1819!A594),6),3)))</f>
        <v>043-917</v>
      </c>
      <c r="C594" t="s">
        <v>1345</v>
      </c>
      <c r="D594">
        <v>10</v>
      </c>
      <c r="E594">
        <v>1622</v>
      </c>
      <c r="F594" t="s">
        <v>4445</v>
      </c>
      <c r="G594" t="s">
        <v>4445</v>
      </c>
      <c r="H594">
        <v>158475</v>
      </c>
      <c r="I594">
        <v>345250</v>
      </c>
      <c r="J594">
        <v>1</v>
      </c>
      <c r="K594">
        <v>158475</v>
      </c>
      <c r="L594">
        <v>158475</v>
      </c>
      <c r="M594">
        <v>599</v>
      </c>
    </row>
    <row r="595" spans="1:13" ht="15">
      <c r="A595" t="s">
        <v>3457</v>
      </c>
      <c r="B595" s="1040" t="str">
        <f>CONCATENATE(LEFT(RIGHT(CONCATENATE("000",IFAData_TEA_1819!A595),6),3),"-",(RIGHT(RIGHT(CONCATENATE("000",IFAData_TEA_1819!A595),6),3)))</f>
        <v>043-918</v>
      </c>
      <c r="C595" t="s">
        <v>1551</v>
      </c>
      <c r="D595">
        <v>2</v>
      </c>
      <c r="E595">
        <v>1713</v>
      </c>
      <c r="F595" t="s">
        <v>4446</v>
      </c>
      <c r="G595" t="s">
        <v>4446</v>
      </c>
      <c r="H595">
        <v>245000</v>
      </c>
      <c r="I595">
        <v>0</v>
      </c>
      <c r="J595">
        <v>0</v>
      </c>
      <c r="K595">
        <v>0</v>
      </c>
      <c r="L595">
        <v>0</v>
      </c>
      <c r="M595">
        <v>599</v>
      </c>
    </row>
    <row r="596" spans="1:13" ht="15">
      <c r="A596" t="s">
        <v>3457</v>
      </c>
      <c r="B596" s="1040" t="str">
        <f>CONCATENATE(LEFT(RIGHT(CONCATENATE("000",IFAData_TEA_1819!A596),6),3),"-",(RIGHT(RIGHT(CONCATENATE("000",IFAData_TEA_1819!A596),6),3)))</f>
        <v>043-918</v>
      </c>
      <c r="C596" t="s">
        <v>1551</v>
      </c>
      <c r="D596">
        <v>2</v>
      </c>
      <c r="E596">
        <v>1713</v>
      </c>
      <c r="F596" t="s">
        <v>4446</v>
      </c>
      <c r="G596" t="s">
        <v>4447</v>
      </c>
      <c r="H596">
        <v>245000</v>
      </c>
      <c r="I596">
        <v>0</v>
      </c>
      <c r="J596">
        <v>0</v>
      </c>
      <c r="K596">
        <v>0</v>
      </c>
      <c r="L596">
        <v>0</v>
      </c>
      <c r="M596">
        <v>599</v>
      </c>
    </row>
    <row r="597" spans="1:13" ht="15">
      <c r="A597" t="s">
        <v>3457</v>
      </c>
      <c r="B597" s="1040" t="str">
        <f>CONCATENATE(LEFT(RIGHT(CONCATENATE("000",IFAData_TEA_1819!A597),6),3),"-",(RIGHT(RIGHT(CONCATENATE("000",IFAData_TEA_1819!A597),6),3)))</f>
        <v>043-918</v>
      </c>
      <c r="C597" t="s">
        <v>1551</v>
      </c>
      <c r="D597">
        <v>2</v>
      </c>
      <c r="E597">
        <v>1713</v>
      </c>
      <c r="F597" t="s">
        <v>4446</v>
      </c>
      <c r="G597" t="s">
        <v>4448</v>
      </c>
      <c r="H597">
        <v>245000</v>
      </c>
      <c r="I597">
        <v>0</v>
      </c>
      <c r="J597">
        <v>0</v>
      </c>
      <c r="K597">
        <v>0</v>
      </c>
      <c r="L597">
        <v>0</v>
      </c>
      <c r="M597">
        <v>599</v>
      </c>
    </row>
    <row r="598" spans="1:13" ht="15">
      <c r="A598" t="s">
        <v>3457</v>
      </c>
      <c r="B598" s="1040" t="str">
        <f>CONCATENATE(LEFT(RIGHT(CONCATENATE("000",IFAData_TEA_1819!A598),6),3),"-",(RIGHT(RIGHT(CONCATENATE("000",IFAData_TEA_1819!A598),6),3)))</f>
        <v>043-918</v>
      </c>
      <c r="C598" t="s">
        <v>1551</v>
      </c>
      <c r="D598">
        <v>2</v>
      </c>
      <c r="E598">
        <v>1713</v>
      </c>
      <c r="F598" t="s">
        <v>4446</v>
      </c>
      <c r="G598" t="s">
        <v>4449</v>
      </c>
      <c r="H598">
        <v>245000</v>
      </c>
      <c r="I598">
        <v>282405</v>
      </c>
      <c r="J598">
        <v>0.56623578169831601</v>
      </c>
      <c r="K598">
        <v>138727.76651608699</v>
      </c>
      <c r="L598">
        <v>138727.76651608699</v>
      </c>
      <c r="M598">
        <v>599</v>
      </c>
    </row>
    <row r="599" spans="1:13" ht="15">
      <c r="A599" t="s">
        <v>3457</v>
      </c>
      <c r="B599" s="1040" t="str">
        <f>CONCATENATE(LEFT(RIGHT(CONCATENATE("000",IFAData_TEA_1819!A599),6),3),"-",(RIGHT(RIGHT(CONCATENATE("000",IFAData_TEA_1819!A599),6),3)))</f>
        <v>043-918</v>
      </c>
      <c r="C599" t="s">
        <v>1551</v>
      </c>
      <c r="D599">
        <v>2</v>
      </c>
      <c r="E599">
        <v>1713</v>
      </c>
      <c r="F599" t="s">
        <v>4446</v>
      </c>
      <c r="G599" t="s">
        <v>4450</v>
      </c>
      <c r="H599">
        <v>245000</v>
      </c>
      <c r="I599">
        <v>0</v>
      </c>
      <c r="J599">
        <v>0</v>
      </c>
      <c r="K599">
        <v>0</v>
      </c>
      <c r="L599">
        <v>0</v>
      </c>
      <c r="M599">
        <v>599</v>
      </c>
    </row>
    <row r="600" spans="1:13" ht="15">
      <c r="A600" t="s">
        <v>3457</v>
      </c>
      <c r="B600" s="1040" t="str">
        <f>CONCATENATE(LEFT(RIGHT(CONCATENATE("000",IFAData_TEA_1819!A600),6),3),"-",(RIGHT(RIGHT(CONCATENATE("000",IFAData_TEA_1819!A600),6),3)))</f>
        <v>043-918</v>
      </c>
      <c r="C600" t="s">
        <v>1551</v>
      </c>
      <c r="D600">
        <v>2</v>
      </c>
      <c r="E600">
        <v>1713</v>
      </c>
      <c r="F600" t="s">
        <v>4446</v>
      </c>
      <c r="G600" t="s">
        <v>4451</v>
      </c>
      <c r="H600">
        <v>245000</v>
      </c>
      <c r="I600">
        <v>0</v>
      </c>
      <c r="J600">
        <v>0</v>
      </c>
      <c r="K600">
        <v>0</v>
      </c>
      <c r="L600">
        <v>0</v>
      </c>
      <c r="M600">
        <v>599</v>
      </c>
    </row>
    <row r="601" spans="1:13" ht="15">
      <c r="A601" t="s">
        <v>3457</v>
      </c>
      <c r="B601" s="1040" t="str">
        <f>CONCATENATE(LEFT(RIGHT(CONCATENATE("000",IFAData_TEA_1819!A601),6),3),"-",(RIGHT(RIGHT(CONCATENATE("000",IFAData_TEA_1819!A601),6),3)))</f>
        <v>043-918</v>
      </c>
      <c r="C601" t="s">
        <v>1551</v>
      </c>
      <c r="D601">
        <v>2</v>
      </c>
      <c r="E601">
        <v>1713</v>
      </c>
      <c r="F601" t="s">
        <v>4446</v>
      </c>
      <c r="G601" t="s">
        <v>6220</v>
      </c>
      <c r="H601">
        <v>245000</v>
      </c>
      <c r="I601">
        <v>84196</v>
      </c>
      <c r="J601">
        <v>0.168817081410993</v>
      </c>
      <c r="K601">
        <v>41360.184945693298</v>
      </c>
      <c r="L601">
        <v>41360.184945693298</v>
      </c>
      <c r="M601">
        <v>599</v>
      </c>
    </row>
    <row r="602" spans="1:13" ht="15">
      <c r="A602" t="s">
        <v>3457</v>
      </c>
      <c r="B602" s="1040" t="str">
        <f>CONCATENATE(LEFT(RIGHT(CONCATENATE("000",IFAData_TEA_1819!A602),6),3),"-",(RIGHT(RIGHT(CONCATENATE("000",IFAData_TEA_1819!A602),6),3)))</f>
        <v>043-918</v>
      </c>
      <c r="C602" t="s">
        <v>1551</v>
      </c>
      <c r="D602">
        <v>2</v>
      </c>
      <c r="E602">
        <v>1713</v>
      </c>
      <c r="F602" t="s">
        <v>4446</v>
      </c>
      <c r="G602" t="s">
        <v>6435</v>
      </c>
      <c r="H602">
        <v>245000</v>
      </c>
      <c r="I602">
        <v>70873</v>
      </c>
      <c r="J602">
        <v>0.14210381741224401</v>
      </c>
      <c r="K602">
        <v>34815.435265999797</v>
      </c>
      <c r="L602">
        <v>34815.435265999797</v>
      </c>
      <c r="M602">
        <v>599</v>
      </c>
    </row>
    <row r="603" spans="1:13" ht="15">
      <c r="A603" t="s">
        <v>3457</v>
      </c>
      <c r="B603" s="1040" t="str">
        <f>CONCATENATE(LEFT(RIGHT(CONCATENATE("000",IFAData_TEA_1819!A603),6),3),"-",(RIGHT(RIGHT(CONCATENATE("000",IFAData_TEA_1819!A603),6),3)))</f>
        <v>043-918</v>
      </c>
      <c r="C603" t="s">
        <v>1551</v>
      </c>
      <c r="D603">
        <v>2</v>
      </c>
      <c r="E603">
        <v>1713</v>
      </c>
      <c r="F603" t="s">
        <v>4446</v>
      </c>
      <c r="G603" t="s">
        <v>6434</v>
      </c>
      <c r="H603">
        <v>245000</v>
      </c>
      <c r="I603">
        <v>2959</v>
      </c>
      <c r="J603">
        <v>5.9329391407564203E-3</v>
      </c>
      <c r="K603">
        <v>1453.5700894853201</v>
      </c>
      <c r="L603">
        <v>1453.5700894853201</v>
      </c>
      <c r="M603">
        <v>599</v>
      </c>
    </row>
    <row r="604" spans="1:13" ht="15">
      <c r="A604" t="s">
        <v>3457</v>
      </c>
      <c r="B604" s="1040" t="str">
        <f>CONCATENATE(LEFT(RIGHT(CONCATENATE("000",IFAData_TEA_1819!A604),6),3),"-",(RIGHT(RIGHT(CONCATENATE("000",IFAData_TEA_1819!A604),6),3)))</f>
        <v>043-918</v>
      </c>
      <c r="C604" t="s">
        <v>1551</v>
      </c>
      <c r="D604">
        <v>2</v>
      </c>
      <c r="E604">
        <v>1713</v>
      </c>
      <c r="F604" t="s">
        <v>4446</v>
      </c>
      <c r="G604" t="s">
        <v>8352</v>
      </c>
      <c r="H604">
        <v>245000</v>
      </c>
      <c r="I604">
        <v>58308</v>
      </c>
      <c r="J604">
        <v>0.11691038033769</v>
      </c>
      <c r="K604">
        <v>28643.043182734102</v>
      </c>
      <c r="L604">
        <v>28643.043182734102</v>
      </c>
      <c r="M604">
        <v>599</v>
      </c>
    </row>
    <row r="605" spans="1:13" ht="15">
      <c r="A605" t="s">
        <v>3457</v>
      </c>
      <c r="B605" s="1040" t="str">
        <f>CONCATENATE(LEFT(RIGHT(CONCATENATE("000",IFAData_TEA_1819!A605),6),3),"-",(RIGHT(RIGHT(CONCATENATE("000",IFAData_TEA_1819!A605),6),3)))</f>
        <v>043-918</v>
      </c>
      <c r="C605" t="s">
        <v>1551</v>
      </c>
      <c r="D605">
        <v>5</v>
      </c>
      <c r="E605">
        <v>1712</v>
      </c>
      <c r="F605" t="s">
        <v>4448</v>
      </c>
      <c r="G605" t="s">
        <v>4448</v>
      </c>
      <c r="H605">
        <v>12352</v>
      </c>
      <c r="I605">
        <v>61013</v>
      </c>
      <c r="J605">
        <v>0.68357309312539205</v>
      </c>
      <c r="K605">
        <v>8443.4948462848406</v>
      </c>
      <c r="L605">
        <v>8443.4948462848406</v>
      </c>
      <c r="M605">
        <v>599</v>
      </c>
    </row>
    <row r="606" spans="1:13" ht="15">
      <c r="A606" t="s">
        <v>3457</v>
      </c>
      <c r="B606" s="1040" t="str">
        <f>CONCATENATE(LEFT(RIGHT(CONCATENATE("000",IFAData_TEA_1819!A606),6),3),"-",(RIGHT(RIGHT(CONCATENATE("000",IFAData_TEA_1819!A606),6),3)))</f>
        <v>043-918</v>
      </c>
      <c r="C606" t="s">
        <v>1551</v>
      </c>
      <c r="D606">
        <v>5</v>
      </c>
      <c r="E606">
        <v>1712</v>
      </c>
      <c r="F606" t="s">
        <v>4448</v>
      </c>
      <c r="G606" t="s">
        <v>6434</v>
      </c>
      <c r="H606">
        <v>12352</v>
      </c>
      <c r="I606">
        <v>28243</v>
      </c>
      <c r="J606">
        <v>0.316426906874608</v>
      </c>
      <c r="K606">
        <v>3908.5051537151598</v>
      </c>
      <c r="L606">
        <v>3908.5051537151598</v>
      </c>
      <c r="M606">
        <v>599</v>
      </c>
    </row>
    <row r="607" spans="1:13" ht="15">
      <c r="A607" t="s">
        <v>3457</v>
      </c>
      <c r="B607" s="1040" t="str">
        <f>CONCATENATE(LEFT(RIGHT(CONCATENATE("000",IFAData_TEA_1819!A607),6),3),"-",(RIGHT(RIGHT(CONCATENATE("000",IFAData_TEA_1819!A607),6),3)))</f>
        <v>043-918</v>
      </c>
      <c r="C607" t="s">
        <v>1551</v>
      </c>
      <c r="D607">
        <v>9</v>
      </c>
      <c r="E607">
        <v>1714</v>
      </c>
      <c r="F607" t="s">
        <v>4449</v>
      </c>
      <c r="G607" t="s">
        <v>4449</v>
      </c>
      <c r="H607">
        <v>347968</v>
      </c>
      <c r="I607">
        <v>0</v>
      </c>
      <c r="J607">
        <v>0</v>
      </c>
      <c r="K607">
        <v>0</v>
      </c>
      <c r="L607">
        <v>0</v>
      </c>
      <c r="M607">
        <v>599</v>
      </c>
    </row>
    <row r="608" spans="1:13" ht="15">
      <c r="A608" t="s">
        <v>3457</v>
      </c>
      <c r="B608" s="1040" t="str">
        <f>CONCATENATE(LEFT(RIGHT(CONCATENATE("000",IFAData_TEA_1819!A608),6),3),"-",(RIGHT(RIGHT(CONCATENATE("000",IFAData_TEA_1819!A608),6),3)))</f>
        <v>043-918</v>
      </c>
      <c r="C608" t="s">
        <v>1551</v>
      </c>
      <c r="D608">
        <v>9</v>
      </c>
      <c r="E608">
        <v>1714</v>
      </c>
      <c r="F608" t="s">
        <v>4449</v>
      </c>
      <c r="G608" t="s">
        <v>6220</v>
      </c>
      <c r="H608">
        <v>347968</v>
      </c>
      <c r="I608">
        <v>371560</v>
      </c>
      <c r="J608">
        <v>0.40196938602194598</v>
      </c>
      <c r="K608">
        <v>139872.483315285</v>
      </c>
      <c r="L608">
        <v>139872.483315285</v>
      </c>
      <c r="M608">
        <v>599</v>
      </c>
    </row>
    <row r="609" spans="1:13" ht="15">
      <c r="A609" t="s">
        <v>3457</v>
      </c>
      <c r="B609" s="1040" t="str">
        <f>CONCATENATE(LEFT(RIGHT(CONCATENATE("000",IFAData_TEA_1819!A609),6),3),"-",(RIGHT(RIGHT(CONCATENATE("000",IFAData_TEA_1819!A609),6),3)))</f>
        <v>043-918</v>
      </c>
      <c r="C609" t="s">
        <v>1551</v>
      </c>
      <c r="D609">
        <v>9</v>
      </c>
      <c r="E609">
        <v>1714</v>
      </c>
      <c r="F609" t="s">
        <v>4449</v>
      </c>
      <c r="G609" t="s">
        <v>6435</v>
      </c>
      <c r="H609">
        <v>347968</v>
      </c>
      <c r="I609">
        <v>312823</v>
      </c>
      <c r="J609">
        <v>0.33842520519846903</v>
      </c>
      <c r="K609">
        <v>117761.14180250101</v>
      </c>
      <c r="L609">
        <v>117761.14180250101</v>
      </c>
      <c r="M609">
        <v>599</v>
      </c>
    </row>
    <row r="610" spans="1:13" ht="15">
      <c r="A610" t="s">
        <v>3457</v>
      </c>
      <c r="B610" s="1040" t="str">
        <f>CONCATENATE(LEFT(RIGHT(CONCATENATE("000",IFAData_TEA_1819!A610),6),3),"-",(RIGHT(RIGHT(CONCATENATE("000",IFAData_TEA_1819!A610),6),3)))</f>
        <v>043-918</v>
      </c>
      <c r="C610" t="s">
        <v>1551</v>
      </c>
      <c r="D610">
        <v>9</v>
      </c>
      <c r="E610">
        <v>1714</v>
      </c>
      <c r="F610" t="s">
        <v>4449</v>
      </c>
      <c r="G610" t="s">
        <v>8352</v>
      </c>
      <c r="H610">
        <v>347968</v>
      </c>
      <c r="I610">
        <v>239966</v>
      </c>
      <c r="J610">
        <v>0.25960540877958399</v>
      </c>
      <c r="K610">
        <v>90334.374882214397</v>
      </c>
      <c r="L610">
        <v>90334.374882214397</v>
      </c>
      <c r="M610">
        <v>599</v>
      </c>
    </row>
    <row r="611" spans="1:13" ht="15">
      <c r="A611" t="s">
        <v>3458</v>
      </c>
      <c r="B611" s="1040" t="str">
        <f>CONCATENATE(LEFT(RIGHT(CONCATENATE("000",IFAData_TEA_1819!A611),6),3),"-",(RIGHT(RIGHT(CONCATENATE("000",IFAData_TEA_1819!A611),6),3)))</f>
        <v>045-902</v>
      </c>
      <c r="C611" t="s">
        <v>1549</v>
      </c>
      <c r="D611">
        <v>2</v>
      </c>
      <c r="E611">
        <v>1709</v>
      </c>
      <c r="F611" t="s">
        <v>4452</v>
      </c>
      <c r="G611" t="s">
        <v>4452</v>
      </c>
      <c r="H611">
        <v>289660</v>
      </c>
      <c r="I611">
        <v>0</v>
      </c>
      <c r="J611">
        <v>0</v>
      </c>
      <c r="K611"/>
      <c r="L611">
        <v>0</v>
      </c>
      <c r="M611">
        <v>599</v>
      </c>
    </row>
    <row r="612" spans="1:13" ht="15">
      <c r="A612" t="s">
        <v>3459</v>
      </c>
      <c r="B612" s="1040" t="str">
        <f>CONCATENATE(LEFT(RIGHT(CONCATENATE("000",IFAData_TEA_1819!A612),6),3),"-",(RIGHT(RIGHT(CONCATENATE("000",IFAData_TEA_1819!A612),6),3)))</f>
        <v>046-901</v>
      </c>
      <c r="C612" t="s">
        <v>2206</v>
      </c>
      <c r="D612">
        <v>9</v>
      </c>
      <c r="E612">
        <v>2135</v>
      </c>
      <c r="F612" t="s">
        <v>4454</v>
      </c>
      <c r="G612" t="s">
        <v>4454</v>
      </c>
      <c r="H612">
        <v>1200408</v>
      </c>
      <c r="I612">
        <v>0</v>
      </c>
      <c r="J612">
        <v>0</v>
      </c>
      <c r="K612">
        <v>0</v>
      </c>
      <c r="L612">
        <v>0</v>
      </c>
      <c r="M612">
        <v>599</v>
      </c>
    </row>
    <row r="613" spans="1:13" ht="15">
      <c r="A613" t="s">
        <v>3459</v>
      </c>
      <c r="B613" s="1040" t="str">
        <f>CONCATENATE(LEFT(RIGHT(CONCATENATE("000",IFAData_TEA_1819!A613),6),3),"-",(RIGHT(RIGHT(CONCATENATE("000",IFAData_TEA_1819!A613),6),3)))</f>
        <v>046-901</v>
      </c>
      <c r="C613" t="s">
        <v>2206</v>
      </c>
      <c r="D613">
        <v>9</v>
      </c>
      <c r="E613">
        <v>2135</v>
      </c>
      <c r="F613" t="s">
        <v>4454</v>
      </c>
      <c r="G613" t="s">
        <v>4455</v>
      </c>
      <c r="H613">
        <v>1200408</v>
      </c>
      <c r="I613">
        <v>705388</v>
      </c>
      <c r="J613">
        <v>0.61773130945677401</v>
      </c>
      <c r="K613">
        <v>741529.60572238697</v>
      </c>
      <c r="L613">
        <v>705388</v>
      </c>
      <c r="M613">
        <v>599</v>
      </c>
    </row>
    <row r="614" spans="1:13" ht="15">
      <c r="A614" t="s">
        <v>3459</v>
      </c>
      <c r="B614" s="1040" t="str">
        <f>CONCATENATE(LEFT(RIGHT(CONCATENATE("000",IFAData_TEA_1819!A614),6),3),"-",(RIGHT(RIGHT(CONCATENATE("000",IFAData_TEA_1819!A614),6),3)))</f>
        <v>046-901</v>
      </c>
      <c r="C614" t="s">
        <v>2206</v>
      </c>
      <c r="D614">
        <v>9</v>
      </c>
      <c r="E614">
        <v>2135</v>
      </c>
      <c r="F614" t="s">
        <v>4454</v>
      </c>
      <c r="G614" t="s">
        <v>4456</v>
      </c>
      <c r="H614">
        <v>1200408</v>
      </c>
      <c r="I614">
        <v>253288</v>
      </c>
      <c r="J614">
        <v>0.22181257394467599</v>
      </c>
      <c r="K614">
        <v>266265.58826378098</v>
      </c>
      <c r="L614">
        <v>253288</v>
      </c>
      <c r="M614">
        <v>599</v>
      </c>
    </row>
    <row r="615" spans="1:13" ht="15">
      <c r="A615" t="s">
        <v>3459</v>
      </c>
      <c r="B615" s="1040" t="str">
        <f>CONCATENATE(LEFT(RIGHT(CONCATENATE("000",IFAData_TEA_1819!A615),6),3),"-",(RIGHT(RIGHT(CONCATENATE("000",IFAData_TEA_1819!A615),6),3)))</f>
        <v>046-901</v>
      </c>
      <c r="C615" t="s">
        <v>2206</v>
      </c>
      <c r="D615">
        <v>9</v>
      </c>
      <c r="E615">
        <v>2135</v>
      </c>
      <c r="F615" t="s">
        <v>4454</v>
      </c>
      <c r="G615" t="s">
        <v>6221</v>
      </c>
      <c r="H615">
        <v>1200408</v>
      </c>
      <c r="I615">
        <v>183225</v>
      </c>
      <c r="J615">
        <v>0.160456116598549</v>
      </c>
      <c r="K615">
        <v>192612.806013831</v>
      </c>
      <c r="L615">
        <v>183225</v>
      </c>
      <c r="M615">
        <v>599</v>
      </c>
    </row>
    <row r="616" spans="1:13" ht="15">
      <c r="A616" t="s">
        <v>3460</v>
      </c>
      <c r="B616" s="1040" t="str">
        <f>CONCATENATE(LEFT(RIGHT(CONCATENATE("000",IFAData_TEA_1819!A616),6),3),"-",(RIGHT(RIGHT(CONCATENATE("000",IFAData_TEA_1819!A616),6),3)))</f>
        <v>047-901</v>
      </c>
      <c r="C616" t="s">
        <v>2208</v>
      </c>
      <c r="D616">
        <v>9</v>
      </c>
      <c r="E616">
        <v>1710</v>
      </c>
      <c r="F616" t="s">
        <v>4457</v>
      </c>
      <c r="G616" t="s">
        <v>4457</v>
      </c>
      <c r="H616">
        <v>312761</v>
      </c>
      <c r="I616">
        <v>0</v>
      </c>
      <c r="J616">
        <v>0</v>
      </c>
      <c r="K616">
        <v>0</v>
      </c>
      <c r="L616">
        <v>0</v>
      </c>
      <c r="M616">
        <v>599</v>
      </c>
    </row>
    <row r="617" spans="1:13" ht="15">
      <c r="A617" t="s">
        <v>3460</v>
      </c>
      <c r="B617" s="1040" t="str">
        <f>CONCATENATE(LEFT(RIGHT(CONCATENATE("000",IFAData_TEA_1819!A617),6),3),"-",(RIGHT(RIGHT(CONCATENATE("000",IFAData_TEA_1819!A617),6),3)))</f>
        <v>047-901</v>
      </c>
      <c r="C617" t="s">
        <v>2208</v>
      </c>
      <c r="D617">
        <v>9</v>
      </c>
      <c r="E617">
        <v>1710</v>
      </c>
      <c r="F617" t="s">
        <v>4457</v>
      </c>
      <c r="G617" t="s">
        <v>6222</v>
      </c>
      <c r="H617">
        <v>312761</v>
      </c>
      <c r="I617">
        <v>399750</v>
      </c>
      <c r="J617">
        <v>1</v>
      </c>
      <c r="K617">
        <v>312761</v>
      </c>
      <c r="L617">
        <v>312761</v>
      </c>
      <c r="M617">
        <v>599</v>
      </c>
    </row>
    <row r="618" spans="1:13" ht="15">
      <c r="A618" t="s">
        <v>3461</v>
      </c>
      <c r="B618" s="1040" t="str">
        <f>CONCATENATE(LEFT(RIGHT(CONCATENATE("000",IFAData_TEA_1819!A618),6),3),"-",(RIGHT(RIGHT(CONCATENATE("000",IFAData_TEA_1819!A618),6),3)))</f>
        <v>047-902</v>
      </c>
      <c r="C618" t="s">
        <v>2665</v>
      </c>
      <c r="D618">
        <v>2</v>
      </c>
      <c r="E618">
        <v>1748</v>
      </c>
      <c r="F618" t="s">
        <v>4458</v>
      </c>
      <c r="G618" t="s">
        <v>4458</v>
      </c>
      <c r="H618">
        <v>129726</v>
      </c>
      <c r="I618">
        <v>0</v>
      </c>
      <c r="J618">
        <v>0</v>
      </c>
      <c r="K618"/>
      <c r="L618">
        <v>0</v>
      </c>
      <c r="M618">
        <v>199</v>
      </c>
    </row>
    <row r="619" spans="1:13" ht="15">
      <c r="A619" t="s">
        <v>3461</v>
      </c>
      <c r="B619" s="1040" t="str">
        <f>CONCATENATE(LEFT(RIGHT(CONCATENATE("000",IFAData_TEA_1819!A619),6),3),"-",(RIGHT(RIGHT(CONCATENATE("000",IFAData_TEA_1819!A619),6),3)))</f>
        <v>047-902</v>
      </c>
      <c r="C619" t="s">
        <v>2665</v>
      </c>
      <c r="D619">
        <v>10</v>
      </c>
      <c r="E619">
        <v>1749</v>
      </c>
      <c r="F619" t="s">
        <v>4459</v>
      </c>
      <c r="G619" t="s">
        <v>4459</v>
      </c>
      <c r="H619">
        <v>157394</v>
      </c>
      <c r="I619">
        <v>387313</v>
      </c>
      <c r="J619">
        <v>1</v>
      </c>
      <c r="K619">
        <v>157394</v>
      </c>
      <c r="L619">
        <v>157394</v>
      </c>
      <c r="M619">
        <v>599</v>
      </c>
    </row>
    <row r="620" spans="1:13" ht="15">
      <c r="A620" t="s">
        <v>3461</v>
      </c>
      <c r="B620" s="1040" t="str">
        <f>CONCATENATE(LEFT(RIGHT(CONCATENATE("000",IFAData_TEA_1819!A620),6),3),"-",(RIGHT(RIGHT(CONCATENATE("000",IFAData_TEA_1819!A620),6),3)))</f>
        <v>047-902</v>
      </c>
      <c r="C620" t="s">
        <v>2665</v>
      </c>
      <c r="D620">
        <v>11</v>
      </c>
      <c r="E620">
        <v>2581</v>
      </c>
      <c r="F620" t="s">
        <v>8353</v>
      </c>
      <c r="G620" t="s">
        <v>8353</v>
      </c>
      <c r="H620">
        <v>36285</v>
      </c>
      <c r="I620">
        <v>36285</v>
      </c>
      <c r="J620">
        <v>1</v>
      </c>
      <c r="K620">
        <v>36285</v>
      </c>
      <c r="L620">
        <v>36285</v>
      </c>
      <c r="M620">
        <v>599</v>
      </c>
    </row>
    <row r="621" spans="1:13" ht="15">
      <c r="A621" t="s">
        <v>3462</v>
      </c>
      <c r="B621" s="1040" t="str">
        <f>CONCATENATE(LEFT(RIGHT(CONCATENATE("000",IFAData_TEA_1819!A621),6),3),"-",(RIGHT(RIGHT(CONCATENATE("000",IFAData_TEA_1819!A621),6),3)))</f>
        <v>047-903</v>
      </c>
      <c r="C621" t="s">
        <v>1733</v>
      </c>
      <c r="D621">
        <v>5</v>
      </c>
      <c r="E621">
        <v>1863</v>
      </c>
      <c r="F621" t="s">
        <v>4460</v>
      </c>
      <c r="G621" t="s">
        <v>4460</v>
      </c>
      <c r="H621">
        <v>100000</v>
      </c>
      <c r="I621">
        <v>0</v>
      </c>
      <c r="J621">
        <v>0</v>
      </c>
      <c r="K621">
        <v>0</v>
      </c>
      <c r="L621">
        <v>0</v>
      </c>
      <c r="M621">
        <v>599</v>
      </c>
    </row>
    <row r="622" spans="1:13" ht="15">
      <c r="A622" t="s">
        <v>3462</v>
      </c>
      <c r="B622" s="1040" t="str">
        <f>CONCATENATE(LEFT(RIGHT(CONCATENATE("000",IFAData_TEA_1819!A622),6),3),"-",(RIGHT(RIGHT(CONCATENATE("000",IFAData_TEA_1819!A622),6),3)))</f>
        <v>047-903</v>
      </c>
      <c r="C622" t="s">
        <v>1733</v>
      </c>
      <c r="D622">
        <v>5</v>
      </c>
      <c r="E622">
        <v>1863</v>
      </c>
      <c r="F622" t="s">
        <v>4460</v>
      </c>
      <c r="G622" t="s">
        <v>4461</v>
      </c>
      <c r="H622">
        <v>100000</v>
      </c>
      <c r="I622">
        <v>86038</v>
      </c>
      <c r="J622">
        <v>1</v>
      </c>
      <c r="K622">
        <v>100000</v>
      </c>
      <c r="L622">
        <v>86038</v>
      </c>
      <c r="M622">
        <v>599</v>
      </c>
    </row>
    <row r="623" spans="1:13" ht="15">
      <c r="A623" t="s">
        <v>3463</v>
      </c>
      <c r="B623" s="1040" t="str">
        <f>CONCATENATE(LEFT(RIGHT(CONCATENATE("000",IFAData_TEA_1819!A623),6),3),"-",(RIGHT(RIGHT(CONCATENATE("000",IFAData_TEA_1819!A623),6),3)))</f>
        <v>047-905</v>
      </c>
      <c r="C623" t="s">
        <v>2209</v>
      </c>
      <c r="D623">
        <v>10</v>
      </c>
      <c r="E623">
        <v>2332</v>
      </c>
      <c r="F623" t="s">
        <v>4462</v>
      </c>
      <c r="G623" t="s">
        <v>4462</v>
      </c>
      <c r="H623">
        <v>99680</v>
      </c>
      <c r="I623">
        <v>93775</v>
      </c>
      <c r="J623">
        <v>1</v>
      </c>
      <c r="K623">
        <v>99680</v>
      </c>
      <c r="L623">
        <v>93775</v>
      </c>
      <c r="M623">
        <v>599</v>
      </c>
    </row>
    <row r="624" spans="1:13" ht="15">
      <c r="A624" t="s">
        <v>3464</v>
      </c>
      <c r="B624" s="1040" t="str">
        <f>CONCATENATE(LEFT(RIGHT(CONCATENATE("000",IFAData_TEA_1819!A624),6),3),"-",(RIGHT(RIGHT(CONCATENATE("000",IFAData_TEA_1819!A624),6),3)))</f>
        <v>049-901</v>
      </c>
      <c r="C624" t="s">
        <v>1479</v>
      </c>
      <c r="D624">
        <v>1</v>
      </c>
      <c r="E624">
        <v>1833</v>
      </c>
      <c r="F624" t="s">
        <v>4463</v>
      </c>
      <c r="G624" t="s">
        <v>4463</v>
      </c>
      <c r="H624">
        <v>301682</v>
      </c>
      <c r="I624">
        <v>0</v>
      </c>
      <c r="J624">
        <v>0</v>
      </c>
      <c r="K624">
        <v>0</v>
      </c>
      <c r="L624">
        <v>0</v>
      </c>
      <c r="M624">
        <v>599</v>
      </c>
    </row>
    <row r="625" spans="1:13" ht="15">
      <c r="A625" t="s">
        <v>3464</v>
      </c>
      <c r="B625" s="1040" t="str">
        <f>CONCATENATE(LEFT(RIGHT(CONCATENATE("000",IFAData_TEA_1819!A625),6),3),"-",(RIGHT(RIGHT(CONCATENATE("000",IFAData_TEA_1819!A625),6),3)))</f>
        <v>049-901</v>
      </c>
      <c r="C625" t="s">
        <v>1479</v>
      </c>
      <c r="D625">
        <v>1</v>
      </c>
      <c r="E625">
        <v>1833</v>
      </c>
      <c r="F625" t="s">
        <v>4463</v>
      </c>
      <c r="G625" t="s">
        <v>4464</v>
      </c>
      <c r="H625">
        <v>301682</v>
      </c>
      <c r="I625">
        <v>0</v>
      </c>
      <c r="J625">
        <v>0</v>
      </c>
      <c r="K625">
        <v>0</v>
      </c>
      <c r="L625">
        <v>0</v>
      </c>
      <c r="M625">
        <v>599</v>
      </c>
    </row>
    <row r="626" spans="1:13" ht="15">
      <c r="A626" t="s">
        <v>3464</v>
      </c>
      <c r="B626" s="1040" t="str">
        <f>CONCATENATE(LEFT(RIGHT(CONCATENATE("000",IFAData_TEA_1819!A626),6),3),"-",(RIGHT(RIGHT(CONCATENATE("000",IFAData_TEA_1819!A626),6),3)))</f>
        <v>049-901</v>
      </c>
      <c r="C626" t="s">
        <v>1479</v>
      </c>
      <c r="D626">
        <v>1</v>
      </c>
      <c r="E626">
        <v>1833</v>
      </c>
      <c r="F626" t="s">
        <v>4463</v>
      </c>
      <c r="G626" t="s">
        <v>6223</v>
      </c>
      <c r="H626">
        <v>301682</v>
      </c>
      <c r="I626">
        <v>144752</v>
      </c>
      <c r="J626">
        <v>1</v>
      </c>
      <c r="K626">
        <v>301682</v>
      </c>
      <c r="L626">
        <v>144752</v>
      </c>
      <c r="M626">
        <v>599</v>
      </c>
    </row>
    <row r="627" spans="1:13" ht="15">
      <c r="A627" t="s">
        <v>3465</v>
      </c>
      <c r="B627" s="1040" t="str">
        <f>CONCATENATE(LEFT(RIGHT(CONCATENATE("000",IFAData_TEA_1819!A627),6),3),"-",(RIGHT(RIGHT(CONCATENATE("000",IFAData_TEA_1819!A627),6),3)))</f>
        <v>049-903</v>
      </c>
      <c r="C627" t="s">
        <v>2364</v>
      </c>
      <c r="D627">
        <v>6</v>
      </c>
      <c r="E627">
        <v>2411</v>
      </c>
      <c r="F627" t="s">
        <v>4465</v>
      </c>
      <c r="G627" t="s">
        <v>4465</v>
      </c>
      <c r="H627">
        <v>163056</v>
      </c>
      <c r="I627">
        <v>0</v>
      </c>
      <c r="J627">
        <v>0</v>
      </c>
      <c r="K627">
        <v>0</v>
      </c>
      <c r="L627">
        <v>0</v>
      </c>
      <c r="M627">
        <v>599</v>
      </c>
    </row>
    <row r="628" spans="1:13" ht="15">
      <c r="A628" t="s">
        <v>3465</v>
      </c>
      <c r="B628" s="1040" t="str">
        <f>CONCATENATE(LEFT(RIGHT(CONCATENATE("000",IFAData_TEA_1819!A628),6),3),"-",(RIGHT(RIGHT(CONCATENATE("000",IFAData_TEA_1819!A628),6),3)))</f>
        <v>049-903</v>
      </c>
      <c r="C628" t="s">
        <v>2364</v>
      </c>
      <c r="D628">
        <v>6</v>
      </c>
      <c r="E628">
        <v>2411</v>
      </c>
      <c r="F628" t="s">
        <v>4465</v>
      </c>
      <c r="G628" t="s">
        <v>4466</v>
      </c>
      <c r="H628">
        <v>163056</v>
      </c>
      <c r="I628">
        <v>157719</v>
      </c>
      <c r="J628">
        <v>1</v>
      </c>
      <c r="K628">
        <v>163056</v>
      </c>
      <c r="L628">
        <v>157719</v>
      </c>
      <c r="M628">
        <v>599</v>
      </c>
    </row>
    <row r="629" spans="1:13" ht="15">
      <c r="A629" t="s">
        <v>3466</v>
      </c>
      <c r="B629" s="1040" t="str">
        <f>CONCATENATE(LEFT(RIGHT(CONCATENATE("000",IFAData_TEA_1819!A629),6),3),"-",(RIGHT(RIGHT(CONCATENATE("000",IFAData_TEA_1819!A629),6),3)))</f>
        <v>049-906</v>
      </c>
      <c r="C629" t="s">
        <v>2214</v>
      </c>
      <c r="D629">
        <v>9</v>
      </c>
      <c r="E629">
        <v>1802</v>
      </c>
      <c r="F629" t="s">
        <v>4467</v>
      </c>
      <c r="G629" t="s">
        <v>4467</v>
      </c>
      <c r="H629">
        <v>43739</v>
      </c>
      <c r="I629">
        <v>0</v>
      </c>
      <c r="J629">
        <v>0</v>
      </c>
      <c r="K629">
        <v>0</v>
      </c>
      <c r="L629">
        <v>0</v>
      </c>
      <c r="M629">
        <v>599</v>
      </c>
    </row>
    <row r="630" spans="1:13" ht="15">
      <c r="A630" t="s">
        <v>3466</v>
      </c>
      <c r="B630" s="1040" t="str">
        <f>CONCATENATE(LEFT(RIGHT(CONCATENATE("000",IFAData_TEA_1819!A630),6),3),"-",(RIGHT(RIGHT(CONCATENATE("000",IFAData_TEA_1819!A630),6),3)))</f>
        <v>049-906</v>
      </c>
      <c r="C630" t="s">
        <v>2214</v>
      </c>
      <c r="D630">
        <v>9</v>
      </c>
      <c r="E630">
        <v>1802</v>
      </c>
      <c r="F630" t="s">
        <v>4467</v>
      </c>
      <c r="G630" t="s">
        <v>6827</v>
      </c>
      <c r="H630">
        <v>43739</v>
      </c>
      <c r="I630">
        <v>85983</v>
      </c>
      <c r="J630">
        <v>1</v>
      </c>
      <c r="K630">
        <v>43739</v>
      </c>
      <c r="L630">
        <v>43739</v>
      </c>
      <c r="M630">
        <v>599</v>
      </c>
    </row>
    <row r="631" spans="1:13" ht="15">
      <c r="A631" t="s">
        <v>5816</v>
      </c>
      <c r="B631" s="1040" t="str">
        <f>CONCATENATE(LEFT(RIGHT(CONCATENATE("000",IFAData_TEA_1819!A631),6),3),"-",(RIGHT(RIGHT(CONCATENATE("000",IFAData_TEA_1819!A631),6),3)))</f>
        <v>050-902</v>
      </c>
      <c r="C631" t="s">
        <v>2219</v>
      </c>
      <c r="D631">
        <v>11</v>
      </c>
      <c r="E631">
        <v>2576</v>
      </c>
      <c r="F631" t="s">
        <v>8354</v>
      </c>
      <c r="G631" t="s">
        <v>8354</v>
      </c>
      <c r="H631">
        <v>188872</v>
      </c>
      <c r="I631">
        <v>808151</v>
      </c>
      <c r="J631">
        <v>1</v>
      </c>
      <c r="K631">
        <v>188872</v>
      </c>
      <c r="L631">
        <v>188872</v>
      </c>
      <c r="M631">
        <v>599</v>
      </c>
    </row>
    <row r="632" spans="1:13" ht="15">
      <c r="A632" t="s">
        <v>5816</v>
      </c>
      <c r="B632" s="1040" t="str">
        <f>CONCATENATE(LEFT(RIGHT(CONCATENATE("000",IFAData_TEA_1819!A632),6),3),"-",(RIGHT(RIGHT(CONCATENATE("000",IFAData_TEA_1819!A632),6),3)))</f>
        <v>050-902</v>
      </c>
      <c r="C632" t="s">
        <v>2219</v>
      </c>
      <c r="D632">
        <v>11</v>
      </c>
      <c r="E632">
        <v>2596</v>
      </c>
      <c r="F632" t="s">
        <v>8355</v>
      </c>
      <c r="G632" t="s">
        <v>8355</v>
      </c>
      <c r="H632">
        <v>480835</v>
      </c>
      <c r="I632">
        <v>485835</v>
      </c>
      <c r="J632">
        <v>1</v>
      </c>
      <c r="K632">
        <v>480835</v>
      </c>
      <c r="L632">
        <v>480835</v>
      </c>
      <c r="M632">
        <v>599</v>
      </c>
    </row>
    <row r="633" spans="1:13" ht="15">
      <c r="A633" t="s">
        <v>3467</v>
      </c>
      <c r="B633" s="1040" t="str">
        <f>CONCATENATE(LEFT(RIGHT(CONCATENATE("000",IFAData_TEA_1819!A633),6),3),"-",(RIGHT(RIGHT(CONCATENATE("000",IFAData_TEA_1819!A633),6),3)))</f>
        <v>050-904</v>
      </c>
      <c r="C633" t="s">
        <v>261</v>
      </c>
      <c r="D633">
        <v>5</v>
      </c>
      <c r="E633">
        <v>2157</v>
      </c>
      <c r="F633" t="s">
        <v>4468</v>
      </c>
      <c r="G633" t="s">
        <v>4468</v>
      </c>
      <c r="H633">
        <v>93713</v>
      </c>
      <c r="I633">
        <v>0</v>
      </c>
      <c r="J633">
        <v>0</v>
      </c>
      <c r="K633"/>
      <c r="L633">
        <v>0</v>
      </c>
      <c r="M633">
        <v>599</v>
      </c>
    </row>
    <row r="634" spans="1:13" ht="15">
      <c r="A634" t="s">
        <v>3468</v>
      </c>
      <c r="B634" s="1040" t="str">
        <f>CONCATENATE(LEFT(RIGHT(CONCATENATE("000",IFAData_TEA_1819!A634),6),3),"-",(RIGHT(RIGHT(CONCATENATE("000",IFAData_TEA_1819!A634),6),3)))</f>
        <v>050-910</v>
      </c>
      <c r="C634" t="s">
        <v>2573</v>
      </c>
      <c r="D634">
        <v>1</v>
      </c>
      <c r="E634">
        <v>1720</v>
      </c>
      <c r="F634" t="s">
        <v>4469</v>
      </c>
      <c r="G634" t="s">
        <v>4469</v>
      </c>
      <c r="H634">
        <v>767600</v>
      </c>
      <c r="I634">
        <v>0</v>
      </c>
      <c r="J634">
        <v>0</v>
      </c>
      <c r="K634"/>
      <c r="L634">
        <v>0</v>
      </c>
      <c r="M634">
        <v>599</v>
      </c>
    </row>
    <row r="635" spans="1:13" ht="15">
      <c r="A635" t="s">
        <v>3469</v>
      </c>
      <c r="B635" s="1040" t="str">
        <f>CONCATENATE(LEFT(RIGHT(CONCATENATE("000",IFAData_TEA_1819!A635),6),3),"-",(RIGHT(RIGHT(CONCATENATE("000",IFAData_TEA_1819!A635),6),3)))</f>
        <v>057-906</v>
      </c>
      <c r="C635" t="s">
        <v>128</v>
      </c>
      <c r="D635">
        <v>9</v>
      </c>
      <c r="E635">
        <v>1752</v>
      </c>
      <c r="F635" t="s">
        <v>4473</v>
      </c>
      <c r="G635" t="s">
        <v>4473</v>
      </c>
      <c r="H635">
        <v>1796397</v>
      </c>
      <c r="I635">
        <v>0</v>
      </c>
      <c r="J635">
        <v>0</v>
      </c>
      <c r="K635">
        <v>0</v>
      </c>
      <c r="L635">
        <v>0</v>
      </c>
      <c r="M635">
        <v>599</v>
      </c>
    </row>
    <row r="636" spans="1:13" ht="15">
      <c r="A636" t="s">
        <v>3469</v>
      </c>
      <c r="B636" s="1040" t="str">
        <f>CONCATENATE(LEFT(RIGHT(CONCATENATE("000",IFAData_TEA_1819!A636),6),3),"-",(RIGHT(RIGHT(CONCATENATE("000",IFAData_TEA_1819!A636),6),3)))</f>
        <v>057-906</v>
      </c>
      <c r="C636" t="s">
        <v>128</v>
      </c>
      <c r="D636">
        <v>9</v>
      </c>
      <c r="E636">
        <v>1752</v>
      </c>
      <c r="F636" t="s">
        <v>4473</v>
      </c>
      <c r="G636" t="s">
        <v>6436</v>
      </c>
      <c r="H636">
        <v>1796397</v>
      </c>
      <c r="I636">
        <v>936230</v>
      </c>
      <c r="J636">
        <v>0.96102443030178597</v>
      </c>
      <c r="K636">
        <v>1726381.40352084</v>
      </c>
      <c r="L636">
        <v>936230</v>
      </c>
      <c r="M636">
        <v>599</v>
      </c>
    </row>
    <row r="637" spans="1:13" ht="15">
      <c r="A637" t="s">
        <v>3469</v>
      </c>
      <c r="B637" s="1040" t="str">
        <f>CONCATENATE(LEFT(RIGHT(CONCATENATE("000",IFAData_TEA_1819!A637),6),3),"-",(RIGHT(RIGHT(CONCATENATE("000",IFAData_TEA_1819!A637),6),3)))</f>
        <v>057-906</v>
      </c>
      <c r="C637" t="s">
        <v>128</v>
      </c>
      <c r="D637">
        <v>9</v>
      </c>
      <c r="E637">
        <v>1752</v>
      </c>
      <c r="F637" t="s">
        <v>4473</v>
      </c>
      <c r="G637" t="s">
        <v>6437</v>
      </c>
      <c r="H637">
        <v>1796397</v>
      </c>
      <c r="I637">
        <v>37970</v>
      </c>
      <c r="J637">
        <v>3.8975569698213898E-2</v>
      </c>
      <c r="K637">
        <v>70015.596479162399</v>
      </c>
      <c r="L637">
        <v>37970</v>
      </c>
      <c r="M637">
        <v>599</v>
      </c>
    </row>
    <row r="638" spans="1:13" ht="15">
      <c r="A638" t="s">
        <v>3469</v>
      </c>
      <c r="B638" s="1040" t="str">
        <f>CONCATENATE(LEFT(RIGHT(CONCATENATE("000",IFAData_TEA_1819!A638),6),3),"-",(RIGHT(RIGHT(CONCATENATE("000",IFAData_TEA_1819!A638),6),3)))</f>
        <v>057-906</v>
      </c>
      <c r="C638" t="s">
        <v>128</v>
      </c>
      <c r="D638">
        <v>11</v>
      </c>
      <c r="E638">
        <v>2512</v>
      </c>
      <c r="F638" t="s">
        <v>8356</v>
      </c>
      <c r="G638" t="s">
        <v>8356</v>
      </c>
      <c r="H638">
        <v>1559225</v>
      </c>
      <c r="I638">
        <v>1256780</v>
      </c>
      <c r="J638">
        <v>1</v>
      </c>
      <c r="K638">
        <v>1559225</v>
      </c>
      <c r="L638">
        <v>1256780</v>
      </c>
      <c r="M638">
        <v>599</v>
      </c>
    </row>
    <row r="639" spans="1:13" ht="15">
      <c r="A639" t="s">
        <v>3470</v>
      </c>
      <c r="B639" s="1040" t="str">
        <f>CONCATENATE(LEFT(RIGHT(CONCATENATE("000",IFAData_TEA_1819!A639),6),3),"-",(RIGHT(RIGHT(CONCATENATE("000",IFAData_TEA_1819!A639),6),3)))</f>
        <v>057-909</v>
      </c>
      <c r="C639" t="s">
        <v>1482</v>
      </c>
      <c r="D639">
        <v>1</v>
      </c>
      <c r="E639">
        <v>1842</v>
      </c>
      <c r="F639" t="s">
        <v>4474</v>
      </c>
      <c r="G639" t="s">
        <v>4474</v>
      </c>
      <c r="H639">
        <v>1619723</v>
      </c>
      <c r="I639">
        <v>0</v>
      </c>
      <c r="J639">
        <v>0</v>
      </c>
      <c r="K639"/>
      <c r="L639">
        <v>0</v>
      </c>
      <c r="M639">
        <v>599</v>
      </c>
    </row>
    <row r="640" spans="1:13" ht="15">
      <c r="A640" t="s">
        <v>3470</v>
      </c>
      <c r="B640" s="1040" t="str">
        <f>CONCATENATE(LEFT(RIGHT(CONCATENATE("000",IFAData_TEA_1819!A640),6),3),"-",(RIGHT(RIGHT(CONCATENATE("000",IFAData_TEA_1819!A640),6),3)))</f>
        <v>057-909</v>
      </c>
      <c r="C640" t="s">
        <v>1482</v>
      </c>
      <c r="D640">
        <v>1</v>
      </c>
      <c r="E640">
        <v>1843</v>
      </c>
      <c r="F640" t="s">
        <v>4479</v>
      </c>
      <c r="G640" t="s">
        <v>4479</v>
      </c>
      <c r="H640">
        <v>8781971</v>
      </c>
      <c r="I640">
        <v>0</v>
      </c>
      <c r="J640">
        <v>0</v>
      </c>
      <c r="K640"/>
      <c r="L640">
        <v>0</v>
      </c>
      <c r="M640">
        <v>599</v>
      </c>
    </row>
    <row r="641" spans="1:13" ht="15">
      <c r="A641" t="s">
        <v>3470</v>
      </c>
      <c r="B641" s="1040" t="str">
        <f>CONCATENATE(LEFT(RIGHT(CONCATENATE("000",IFAData_TEA_1819!A641),6),3),"-",(RIGHT(RIGHT(CONCATENATE("000",IFAData_TEA_1819!A641),6),3)))</f>
        <v>057-909</v>
      </c>
      <c r="C641" t="s">
        <v>1482</v>
      </c>
      <c r="D641">
        <v>11</v>
      </c>
      <c r="E641">
        <v>2519</v>
      </c>
      <c r="F641" t="s">
        <v>6225</v>
      </c>
      <c r="G641" t="s">
        <v>6225</v>
      </c>
      <c r="H641">
        <v>13500244</v>
      </c>
      <c r="I641">
        <v>11171807</v>
      </c>
      <c r="J641">
        <v>1</v>
      </c>
      <c r="K641">
        <v>13500244</v>
      </c>
      <c r="L641">
        <v>11171807</v>
      </c>
      <c r="M641">
        <v>599</v>
      </c>
    </row>
    <row r="642" spans="1:13" ht="15">
      <c r="A642" t="s">
        <v>3471</v>
      </c>
      <c r="B642" s="1040" t="str">
        <f>CONCATENATE(LEFT(RIGHT(CONCATENATE("000",IFAData_TEA_1819!A642),6),3),"-",(RIGHT(RIGHT(CONCATENATE("000",IFAData_TEA_1819!A642),6),3)))</f>
        <v>057-910</v>
      </c>
      <c r="C642" t="s">
        <v>863</v>
      </c>
      <c r="D642">
        <v>5</v>
      </c>
      <c r="E642">
        <v>1854</v>
      </c>
      <c r="F642" t="s">
        <v>4480</v>
      </c>
      <c r="G642" t="s">
        <v>4480</v>
      </c>
      <c r="H642">
        <v>1848646</v>
      </c>
      <c r="I642">
        <v>0</v>
      </c>
      <c r="J642">
        <v>0</v>
      </c>
      <c r="K642"/>
      <c r="L642">
        <v>0</v>
      </c>
      <c r="M642">
        <v>599</v>
      </c>
    </row>
    <row r="643" spans="1:13" ht="15">
      <c r="A643" t="s">
        <v>3471</v>
      </c>
      <c r="B643" s="1040" t="str">
        <f>CONCATENATE(LEFT(RIGHT(CONCATENATE("000",IFAData_TEA_1819!A643),6),3),"-",(RIGHT(RIGHT(CONCATENATE("000",IFAData_TEA_1819!A643),6),3)))</f>
        <v>057-910</v>
      </c>
      <c r="C643" t="s">
        <v>863</v>
      </c>
      <c r="D643">
        <v>5</v>
      </c>
      <c r="E643">
        <v>1855</v>
      </c>
      <c r="F643" t="s">
        <v>4481</v>
      </c>
      <c r="G643" t="s">
        <v>4481</v>
      </c>
      <c r="H643">
        <v>2988473</v>
      </c>
      <c r="I643">
        <v>0</v>
      </c>
      <c r="J643">
        <v>0</v>
      </c>
      <c r="K643">
        <v>0</v>
      </c>
      <c r="L643">
        <v>0</v>
      </c>
      <c r="M643">
        <v>599</v>
      </c>
    </row>
    <row r="644" spans="1:13" ht="15">
      <c r="A644" t="s">
        <v>3471</v>
      </c>
      <c r="B644" s="1040" t="str">
        <f>CONCATENATE(LEFT(RIGHT(CONCATENATE("000",IFAData_TEA_1819!A644),6),3),"-",(RIGHT(RIGHT(CONCATENATE("000",IFAData_TEA_1819!A644),6),3)))</f>
        <v>057-910</v>
      </c>
      <c r="C644" t="s">
        <v>863</v>
      </c>
      <c r="D644">
        <v>5</v>
      </c>
      <c r="E644">
        <v>1855</v>
      </c>
      <c r="F644" t="s">
        <v>4481</v>
      </c>
      <c r="G644" t="s">
        <v>4482</v>
      </c>
      <c r="H644">
        <v>2988473</v>
      </c>
      <c r="I644">
        <v>0</v>
      </c>
      <c r="J644">
        <v>0</v>
      </c>
      <c r="K644">
        <v>0</v>
      </c>
      <c r="L644">
        <v>0</v>
      </c>
      <c r="M644">
        <v>599</v>
      </c>
    </row>
    <row r="645" spans="1:13" ht="15">
      <c r="A645" t="s">
        <v>3471</v>
      </c>
      <c r="B645" s="1040" t="str">
        <f>CONCATENATE(LEFT(RIGHT(CONCATENATE("000",IFAData_TEA_1819!A645),6),3),"-",(RIGHT(RIGHT(CONCATENATE("000",IFAData_TEA_1819!A645),6),3)))</f>
        <v>057-910</v>
      </c>
      <c r="C645" t="s">
        <v>863</v>
      </c>
      <c r="D645">
        <v>5</v>
      </c>
      <c r="E645">
        <v>1855</v>
      </c>
      <c r="F645" t="s">
        <v>4481</v>
      </c>
      <c r="G645" t="s">
        <v>4483</v>
      </c>
      <c r="H645">
        <v>2988473</v>
      </c>
      <c r="I645">
        <v>5761263</v>
      </c>
      <c r="J645">
        <v>1</v>
      </c>
      <c r="K645">
        <v>2988473</v>
      </c>
      <c r="L645">
        <v>2988473</v>
      </c>
      <c r="M645">
        <v>599</v>
      </c>
    </row>
    <row r="646" spans="1:13" ht="15">
      <c r="A646" t="s">
        <v>3471</v>
      </c>
      <c r="B646" s="1040" t="str">
        <f>CONCATENATE(LEFT(RIGHT(CONCATENATE("000",IFAData_TEA_1819!A646),6),3),"-",(RIGHT(RIGHT(CONCATENATE("000",IFAData_TEA_1819!A646),6),3)))</f>
        <v>057-910</v>
      </c>
      <c r="C646" t="s">
        <v>863</v>
      </c>
      <c r="D646">
        <v>9</v>
      </c>
      <c r="E646">
        <v>1856</v>
      </c>
      <c r="F646" t="s">
        <v>4484</v>
      </c>
      <c r="G646" t="s">
        <v>4484</v>
      </c>
      <c r="H646">
        <v>5871653</v>
      </c>
      <c r="I646">
        <v>0</v>
      </c>
      <c r="J646">
        <v>0</v>
      </c>
      <c r="K646">
        <v>0</v>
      </c>
      <c r="L646">
        <v>0</v>
      </c>
      <c r="M646">
        <v>599</v>
      </c>
    </row>
    <row r="647" spans="1:13" ht="15">
      <c r="A647" t="s">
        <v>3471</v>
      </c>
      <c r="B647" s="1040" t="str">
        <f>CONCATENATE(LEFT(RIGHT(CONCATENATE("000",IFAData_TEA_1819!A647),6),3),"-",(RIGHT(RIGHT(CONCATENATE("000",IFAData_TEA_1819!A647),6),3)))</f>
        <v>057-910</v>
      </c>
      <c r="C647" t="s">
        <v>863</v>
      </c>
      <c r="D647">
        <v>9</v>
      </c>
      <c r="E647">
        <v>1856</v>
      </c>
      <c r="F647" t="s">
        <v>4484</v>
      </c>
      <c r="G647" t="s">
        <v>6226</v>
      </c>
      <c r="H647">
        <v>5871653</v>
      </c>
      <c r="I647">
        <v>7986102</v>
      </c>
      <c r="J647">
        <v>1</v>
      </c>
      <c r="K647">
        <v>5871653</v>
      </c>
      <c r="L647">
        <v>5871653</v>
      </c>
      <c r="M647">
        <v>599</v>
      </c>
    </row>
    <row r="648" spans="1:13" ht="15">
      <c r="A648" t="s">
        <v>3471</v>
      </c>
      <c r="B648" s="1040" t="str">
        <f>CONCATENATE(LEFT(RIGHT(CONCATENATE("000",IFAData_TEA_1819!A648),6),3),"-",(RIGHT(RIGHT(CONCATENATE("000",IFAData_TEA_1819!A648),6),3)))</f>
        <v>057-910</v>
      </c>
      <c r="C648" t="s">
        <v>863</v>
      </c>
      <c r="D648">
        <v>11</v>
      </c>
      <c r="E648">
        <v>2491</v>
      </c>
      <c r="F648" t="s">
        <v>8357</v>
      </c>
      <c r="G648" t="s">
        <v>8357</v>
      </c>
      <c r="H648">
        <v>318311</v>
      </c>
      <c r="I648">
        <v>683400</v>
      </c>
      <c r="J648">
        <v>1</v>
      </c>
      <c r="K648">
        <v>318311</v>
      </c>
      <c r="L648">
        <v>318311</v>
      </c>
      <c r="M648">
        <v>599</v>
      </c>
    </row>
    <row r="649" spans="1:13" ht="15">
      <c r="A649" t="s">
        <v>3471</v>
      </c>
      <c r="B649" s="1040" t="str">
        <f>CONCATENATE(LEFT(RIGHT(CONCATENATE("000",IFAData_TEA_1819!A649),6),3),"-",(RIGHT(RIGHT(CONCATENATE("000",IFAData_TEA_1819!A649),6),3)))</f>
        <v>057-910</v>
      </c>
      <c r="C649" t="s">
        <v>863</v>
      </c>
      <c r="D649">
        <v>11</v>
      </c>
      <c r="E649">
        <v>2492</v>
      </c>
      <c r="F649" t="s">
        <v>8358</v>
      </c>
      <c r="G649" t="s">
        <v>8358</v>
      </c>
      <c r="H649">
        <v>1071200</v>
      </c>
      <c r="I649">
        <v>1083100</v>
      </c>
      <c r="J649">
        <v>1</v>
      </c>
      <c r="K649">
        <v>1071200</v>
      </c>
      <c r="L649">
        <v>1071200</v>
      </c>
      <c r="M649">
        <v>599</v>
      </c>
    </row>
    <row r="650" spans="1:13" ht="15">
      <c r="A650" t="s">
        <v>3471</v>
      </c>
      <c r="B650" s="1040" t="str">
        <f>CONCATENATE(LEFT(RIGHT(CONCATENATE("000",IFAData_TEA_1819!A650),6),3),"-",(RIGHT(RIGHT(CONCATENATE("000",IFAData_TEA_1819!A650),6),3)))</f>
        <v>057-910</v>
      </c>
      <c r="C650" t="s">
        <v>863</v>
      </c>
      <c r="D650">
        <v>11</v>
      </c>
      <c r="E650">
        <v>2592</v>
      </c>
      <c r="F650" t="s">
        <v>8359</v>
      </c>
      <c r="G650" t="s">
        <v>8359</v>
      </c>
      <c r="H650">
        <v>5384850</v>
      </c>
      <c r="I650">
        <v>5027275</v>
      </c>
      <c r="J650">
        <v>1</v>
      </c>
      <c r="K650">
        <v>5384850</v>
      </c>
      <c r="L650">
        <v>5027275</v>
      </c>
      <c r="M650">
        <v>599</v>
      </c>
    </row>
    <row r="651" spans="1:13" ht="15">
      <c r="A651" t="s">
        <v>3472</v>
      </c>
      <c r="B651" s="1040" t="str">
        <f>CONCATENATE(LEFT(RIGHT(CONCATENATE("000",IFAData_TEA_1819!A651),6),3),"-",(RIGHT(RIGHT(CONCATENATE("000",IFAData_TEA_1819!A651),6),3)))</f>
        <v>057-912</v>
      </c>
      <c r="C651" t="s">
        <v>1269</v>
      </c>
      <c r="D651">
        <v>2</v>
      </c>
      <c r="E651">
        <v>1929</v>
      </c>
      <c r="F651" t="s">
        <v>4485</v>
      </c>
      <c r="G651" t="s">
        <v>4485</v>
      </c>
      <c r="H651">
        <v>6225000</v>
      </c>
      <c r="I651">
        <v>0</v>
      </c>
      <c r="J651">
        <v>0</v>
      </c>
      <c r="K651">
        <v>0</v>
      </c>
      <c r="L651">
        <v>0</v>
      </c>
      <c r="M651">
        <v>599</v>
      </c>
    </row>
    <row r="652" spans="1:13" ht="15">
      <c r="A652" t="s">
        <v>3472</v>
      </c>
      <c r="B652" s="1040" t="str">
        <f>CONCATENATE(LEFT(RIGHT(CONCATENATE("000",IFAData_TEA_1819!A652),6),3),"-",(RIGHT(RIGHT(CONCATENATE("000",IFAData_TEA_1819!A652),6),3)))</f>
        <v>057-912</v>
      </c>
      <c r="C652" t="s">
        <v>1269</v>
      </c>
      <c r="D652">
        <v>2</v>
      </c>
      <c r="E652">
        <v>1929</v>
      </c>
      <c r="F652" t="s">
        <v>4485</v>
      </c>
      <c r="G652" t="s">
        <v>4486</v>
      </c>
      <c r="H652">
        <v>6225000</v>
      </c>
      <c r="I652">
        <v>0</v>
      </c>
      <c r="J652">
        <v>0</v>
      </c>
      <c r="K652">
        <v>0</v>
      </c>
      <c r="L652">
        <v>0</v>
      </c>
      <c r="M652">
        <v>599</v>
      </c>
    </row>
    <row r="653" spans="1:13" ht="15">
      <c r="A653" t="s">
        <v>3472</v>
      </c>
      <c r="B653" s="1040" t="str">
        <f>CONCATENATE(LEFT(RIGHT(CONCATENATE("000",IFAData_TEA_1819!A653),6),3),"-",(RIGHT(RIGHT(CONCATENATE("000",IFAData_TEA_1819!A653),6),3)))</f>
        <v>057-912</v>
      </c>
      <c r="C653" t="s">
        <v>1269</v>
      </c>
      <c r="D653">
        <v>2</v>
      </c>
      <c r="E653">
        <v>1929</v>
      </c>
      <c r="F653" t="s">
        <v>4485</v>
      </c>
      <c r="G653" t="s">
        <v>4487</v>
      </c>
      <c r="H653">
        <v>6225000</v>
      </c>
      <c r="I653">
        <v>0</v>
      </c>
      <c r="J653">
        <v>0</v>
      </c>
      <c r="K653">
        <v>0</v>
      </c>
      <c r="L653">
        <v>0</v>
      </c>
      <c r="M653">
        <v>599</v>
      </c>
    </row>
    <row r="654" spans="1:13" ht="15">
      <c r="A654" t="s">
        <v>3472</v>
      </c>
      <c r="B654" s="1040" t="str">
        <f>CONCATENATE(LEFT(RIGHT(CONCATENATE("000",IFAData_TEA_1819!A654),6),3),"-",(RIGHT(RIGHT(CONCATENATE("000",IFAData_TEA_1819!A654),6),3)))</f>
        <v>057-912</v>
      </c>
      <c r="C654" t="s">
        <v>1269</v>
      </c>
      <c r="D654">
        <v>2</v>
      </c>
      <c r="E654">
        <v>1929</v>
      </c>
      <c r="F654" t="s">
        <v>4485</v>
      </c>
      <c r="G654" t="s">
        <v>4488</v>
      </c>
      <c r="H654">
        <v>6225000</v>
      </c>
      <c r="I654">
        <v>0</v>
      </c>
      <c r="J654">
        <v>0</v>
      </c>
      <c r="K654">
        <v>0</v>
      </c>
      <c r="L654">
        <v>0</v>
      </c>
      <c r="M654">
        <v>599</v>
      </c>
    </row>
    <row r="655" spans="1:13" ht="15">
      <c r="A655" t="s">
        <v>3472</v>
      </c>
      <c r="B655" s="1040" t="str">
        <f>CONCATENATE(LEFT(RIGHT(CONCATENATE("000",IFAData_TEA_1819!A655),6),3),"-",(RIGHT(RIGHT(CONCATENATE("000",IFAData_TEA_1819!A655),6),3)))</f>
        <v>057-912</v>
      </c>
      <c r="C655" t="s">
        <v>1269</v>
      </c>
      <c r="D655">
        <v>2</v>
      </c>
      <c r="E655">
        <v>1929</v>
      </c>
      <c r="F655" t="s">
        <v>4485</v>
      </c>
      <c r="G655" t="s">
        <v>4489</v>
      </c>
      <c r="H655">
        <v>6225000</v>
      </c>
      <c r="I655">
        <v>2724787</v>
      </c>
      <c r="J655">
        <v>0.18615718510519499</v>
      </c>
      <c r="K655">
        <v>1158828.47727984</v>
      </c>
      <c r="L655">
        <v>1158828.47727984</v>
      </c>
      <c r="M655">
        <v>599</v>
      </c>
    </row>
    <row r="656" spans="1:13" ht="15">
      <c r="A656" t="s">
        <v>3472</v>
      </c>
      <c r="B656" s="1040" t="str">
        <f>CONCATENATE(LEFT(RIGHT(CONCATENATE("000",IFAData_TEA_1819!A656),6),3),"-",(RIGHT(RIGHT(CONCATENATE("000",IFAData_TEA_1819!A656),6),3)))</f>
        <v>057-912</v>
      </c>
      <c r="C656" t="s">
        <v>1269</v>
      </c>
      <c r="D656">
        <v>2</v>
      </c>
      <c r="E656">
        <v>1929</v>
      </c>
      <c r="F656" t="s">
        <v>4485</v>
      </c>
      <c r="G656" t="s">
        <v>4490</v>
      </c>
      <c r="H656">
        <v>6225000</v>
      </c>
      <c r="I656">
        <v>9991273</v>
      </c>
      <c r="J656">
        <v>0.68260280796170103</v>
      </c>
      <c r="K656">
        <v>4249202.4795615897</v>
      </c>
      <c r="L656">
        <v>4249202.4795615897</v>
      </c>
      <c r="M656">
        <v>599</v>
      </c>
    </row>
    <row r="657" spans="1:13" ht="15">
      <c r="A657" t="s">
        <v>3472</v>
      </c>
      <c r="B657" s="1040" t="str">
        <f>CONCATENATE(LEFT(RIGHT(CONCATENATE("000",IFAData_TEA_1819!A657),6),3),"-",(RIGHT(RIGHT(CONCATENATE("000",IFAData_TEA_1819!A657),6),3)))</f>
        <v>057-912</v>
      </c>
      <c r="C657" t="s">
        <v>1269</v>
      </c>
      <c r="D657">
        <v>2</v>
      </c>
      <c r="E657">
        <v>1929</v>
      </c>
      <c r="F657" t="s">
        <v>4485</v>
      </c>
      <c r="G657" t="s">
        <v>6227</v>
      </c>
      <c r="H657">
        <v>6225000</v>
      </c>
      <c r="I657">
        <v>194787</v>
      </c>
      <c r="J657">
        <v>1.3307829057862401E-2</v>
      </c>
      <c r="K657">
        <v>82841.235885193295</v>
      </c>
      <c r="L657">
        <v>82841.235885193295</v>
      </c>
      <c r="M657">
        <v>599</v>
      </c>
    </row>
    <row r="658" spans="1:13" ht="15">
      <c r="A658" t="s">
        <v>3472</v>
      </c>
      <c r="B658" s="1040" t="str">
        <f>CONCATENATE(LEFT(RIGHT(CONCATENATE("000",IFAData_TEA_1819!A658),6),3),"-",(RIGHT(RIGHT(CONCATENATE("000",IFAData_TEA_1819!A658),6),3)))</f>
        <v>057-912</v>
      </c>
      <c r="C658" t="s">
        <v>1269</v>
      </c>
      <c r="D658">
        <v>2</v>
      </c>
      <c r="E658">
        <v>1929</v>
      </c>
      <c r="F658" t="s">
        <v>4485</v>
      </c>
      <c r="G658" t="s">
        <v>6439</v>
      </c>
      <c r="H658">
        <v>6225000</v>
      </c>
      <c r="I658">
        <v>1726176</v>
      </c>
      <c r="J658">
        <v>0.117932177875241</v>
      </c>
      <c r="K658">
        <v>734127.80727337801</v>
      </c>
      <c r="L658">
        <v>734127.80727337801</v>
      </c>
      <c r="M658">
        <v>599</v>
      </c>
    </row>
    <row r="659" spans="1:13" ht="15">
      <c r="A659" t="s">
        <v>3472</v>
      </c>
      <c r="B659" s="1040" t="str">
        <f>CONCATENATE(LEFT(RIGHT(CONCATENATE("000",IFAData_TEA_1819!A659),6),3),"-",(RIGHT(RIGHT(CONCATENATE("000",IFAData_TEA_1819!A659),6),3)))</f>
        <v>057-912</v>
      </c>
      <c r="C659" t="s">
        <v>1269</v>
      </c>
      <c r="D659">
        <v>9</v>
      </c>
      <c r="E659">
        <v>1928</v>
      </c>
      <c r="F659" t="s">
        <v>4491</v>
      </c>
      <c r="G659" t="s">
        <v>4491</v>
      </c>
      <c r="H659">
        <v>4239880</v>
      </c>
      <c r="I659">
        <v>1993307</v>
      </c>
      <c r="J659">
        <v>0.42264480193033899</v>
      </c>
      <c r="K659">
        <v>1791963.24280841</v>
      </c>
      <c r="L659">
        <v>1791963.24280841</v>
      </c>
      <c r="M659">
        <v>599</v>
      </c>
    </row>
    <row r="660" spans="1:13" ht="15">
      <c r="A660" t="s">
        <v>3472</v>
      </c>
      <c r="B660" s="1040" t="str">
        <f>CONCATENATE(LEFT(RIGHT(CONCATENATE("000",IFAData_TEA_1819!A660),6),3),"-",(RIGHT(RIGHT(CONCATENATE("000",IFAData_TEA_1819!A660),6),3)))</f>
        <v>057-912</v>
      </c>
      <c r="C660" t="s">
        <v>1269</v>
      </c>
      <c r="D660">
        <v>9</v>
      </c>
      <c r="E660">
        <v>1928</v>
      </c>
      <c r="F660" t="s">
        <v>4491</v>
      </c>
      <c r="G660" t="s">
        <v>6227</v>
      </c>
      <c r="H660">
        <v>4239880</v>
      </c>
      <c r="I660">
        <v>1495089</v>
      </c>
      <c r="J660">
        <v>0.31700665992405003</v>
      </c>
      <c r="K660">
        <v>1344070.1972787799</v>
      </c>
      <c r="L660">
        <v>1344070.1972787799</v>
      </c>
      <c r="M660">
        <v>599</v>
      </c>
    </row>
    <row r="661" spans="1:13" ht="15">
      <c r="A661" t="s">
        <v>3472</v>
      </c>
      <c r="B661" s="1040" t="str">
        <f>CONCATENATE(LEFT(RIGHT(CONCATENATE("000",IFAData_TEA_1819!A661),6),3),"-",(RIGHT(RIGHT(CONCATENATE("000",IFAData_TEA_1819!A661),6),3)))</f>
        <v>057-912</v>
      </c>
      <c r="C661" t="s">
        <v>1269</v>
      </c>
      <c r="D661">
        <v>9</v>
      </c>
      <c r="E661">
        <v>1928</v>
      </c>
      <c r="F661" t="s">
        <v>4491</v>
      </c>
      <c r="G661" t="s">
        <v>6438</v>
      </c>
      <c r="H661">
        <v>4239880</v>
      </c>
      <c r="I661">
        <v>1227874</v>
      </c>
      <c r="J661">
        <v>0.26034853814561099</v>
      </c>
      <c r="K661">
        <v>1103846.5599128101</v>
      </c>
      <c r="L661">
        <v>1103846.5599128101</v>
      </c>
      <c r="M661">
        <v>599</v>
      </c>
    </row>
    <row r="662" spans="1:13" ht="15">
      <c r="A662" t="s">
        <v>3472</v>
      </c>
      <c r="B662" s="1040" t="str">
        <f>CONCATENATE(LEFT(RIGHT(CONCATENATE("000",IFAData_TEA_1819!A662),6),3),"-",(RIGHT(RIGHT(CONCATENATE("000",IFAData_TEA_1819!A662),6),3)))</f>
        <v>057-912</v>
      </c>
      <c r="C662" t="s">
        <v>1269</v>
      </c>
      <c r="D662">
        <v>10</v>
      </c>
      <c r="E662">
        <v>1927</v>
      </c>
      <c r="F662" t="s">
        <v>4492</v>
      </c>
      <c r="G662" t="s">
        <v>4492</v>
      </c>
      <c r="H662">
        <v>3568037</v>
      </c>
      <c r="I662">
        <v>1868233</v>
      </c>
      <c r="J662">
        <v>0.506998309311811</v>
      </c>
      <c r="K662">
        <v>1808988.7265619901</v>
      </c>
      <c r="L662">
        <v>1808988.7265619901</v>
      </c>
      <c r="M662">
        <v>599</v>
      </c>
    </row>
    <row r="663" spans="1:13" ht="15">
      <c r="A663" t="s">
        <v>3472</v>
      </c>
      <c r="B663" s="1040" t="str">
        <f>CONCATENATE(LEFT(RIGHT(CONCATENATE("000",IFAData_TEA_1819!A663),6),3),"-",(RIGHT(RIGHT(CONCATENATE("000",IFAData_TEA_1819!A663),6),3)))</f>
        <v>057-912</v>
      </c>
      <c r="C663" t="s">
        <v>1269</v>
      </c>
      <c r="D663">
        <v>10</v>
      </c>
      <c r="E663">
        <v>1927</v>
      </c>
      <c r="F663" t="s">
        <v>4492</v>
      </c>
      <c r="G663" t="s">
        <v>6438</v>
      </c>
      <c r="H663">
        <v>3568037</v>
      </c>
      <c r="I663">
        <v>1778782</v>
      </c>
      <c r="J663">
        <v>0.48272322918730298</v>
      </c>
      <c r="K663">
        <v>1722374.34249978</v>
      </c>
      <c r="L663">
        <v>1722374.34249978</v>
      </c>
      <c r="M663">
        <v>599</v>
      </c>
    </row>
    <row r="664" spans="1:13" ht="15">
      <c r="A664" t="s">
        <v>3472</v>
      </c>
      <c r="B664" s="1040" t="str">
        <f>CONCATENATE(LEFT(RIGHT(CONCATENATE("000",IFAData_TEA_1819!A664),6),3),"-",(RIGHT(RIGHT(CONCATENATE("000",IFAData_TEA_1819!A664),6),3)))</f>
        <v>057-912</v>
      </c>
      <c r="C664" t="s">
        <v>1269</v>
      </c>
      <c r="D664">
        <v>10</v>
      </c>
      <c r="E664">
        <v>1927</v>
      </c>
      <c r="F664" t="s">
        <v>4492</v>
      </c>
      <c r="G664" t="s">
        <v>8530</v>
      </c>
      <c r="H664">
        <v>3568037</v>
      </c>
      <c r="I664">
        <v>37875</v>
      </c>
      <c r="J664">
        <v>1.0278461500886101E-2</v>
      </c>
      <c r="K664">
        <v>36673.930938236997</v>
      </c>
      <c r="L664">
        <v>36673.930938236997</v>
      </c>
      <c r="M664">
        <v>599</v>
      </c>
    </row>
    <row r="665" spans="1:13" ht="15">
      <c r="A665" t="s">
        <v>3472</v>
      </c>
      <c r="B665" s="1040" t="str">
        <f>CONCATENATE(LEFT(RIGHT(CONCATENATE("000",IFAData_TEA_1819!A665),6),3),"-",(RIGHT(RIGHT(CONCATENATE("000",IFAData_TEA_1819!A665),6),3)))</f>
        <v>057-912</v>
      </c>
      <c r="C665" t="s">
        <v>1269</v>
      </c>
      <c r="D665">
        <v>10</v>
      </c>
      <c r="E665">
        <v>1925</v>
      </c>
      <c r="F665" t="s">
        <v>4493</v>
      </c>
      <c r="G665" t="s">
        <v>4493</v>
      </c>
      <c r="H665">
        <v>223714</v>
      </c>
      <c r="I665">
        <v>222402</v>
      </c>
      <c r="J665">
        <v>0.79827281733212696</v>
      </c>
      <c r="K665">
        <v>178584.80505664001</v>
      </c>
      <c r="L665">
        <v>178584.80505664001</v>
      </c>
      <c r="M665">
        <v>599</v>
      </c>
    </row>
    <row r="666" spans="1:13" ht="15">
      <c r="A666" t="s">
        <v>3472</v>
      </c>
      <c r="B666" s="1040" t="str">
        <f>CONCATENATE(LEFT(RIGHT(CONCATENATE("000",IFAData_TEA_1819!A666),6),3),"-",(RIGHT(RIGHT(CONCATENATE("000",IFAData_TEA_1819!A666),6),3)))</f>
        <v>057-912</v>
      </c>
      <c r="C666" t="s">
        <v>1269</v>
      </c>
      <c r="D666">
        <v>10</v>
      </c>
      <c r="E666">
        <v>1925</v>
      </c>
      <c r="F666" t="s">
        <v>4493</v>
      </c>
      <c r="G666" t="s">
        <v>8530</v>
      </c>
      <c r="H666">
        <v>223714</v>
      </c>
      <c r="I666">
        <v>56202</v>
      </c>
      <c r="J666">
        <v>0.20172718266787301</v>
      </c>
      <c r="K666">
        <v>45129.194943360497</v>
      </c>
      <c r="L666">
        <v>45129.194943360497</v>
      </c>
      <c r="M666">
        <v>599</v>
      </c>
    </row>
    <row r="667" spans="1:13" ht="15">
      <c r="A667" t="s">
        <v>3472</v>
      </c>
      <c r="B667" s="1040" t="str">
        <f>CONCATENATE(LEFT(RIGHT(CONCATENATE("000",IFAData_TEA_1819!A667),6),3),"-",(RIGHT(RIGHT(CONCATENATE("000",IFAData_TEA_1819!A667),6),3)))</f>
        <v>057-912</v>
      </c>
      <c r="C667" t="s">
        <v>1269</v>
      </c>
      <c r="D667">
        <v>10</v>
      </c>
      <c r="E667">
        <v>1926</v>
      </c>
      <c r="F667" t="s">
        <v>4494</v>
      </c>
      <c r="G667" t="s">
        <v>4494</v>
      </c>
      <c r="H667">
        <v>1178718</v>
      </c>
      <c r="I667">
        <v>1301639</v>
      </c>
      <c r="J667">
        <v>1</v>
      </c>
      <c r="K667">
        <v>1178718</v>
      </c>
      <c r="L667">
        <v>1178718</v>
      </c>
      <c r="M667">
        <v>599</v>
      </c>
    </row>
    <row r="668" spans="1:13" ht="15">
      <c r="A668" t="s">
        <v>5826</v>
      </c>
      <c r="B668" s="1040" t="str">
        <f>CONCATENATE(LEFT(RIGHT(CONCATENATE("000",IFAData_TEA_1819!A668),6),3),"-",(RIGHT(RIGHT(CONCATENATE("000",IFAData_TEA_1819!A668),6),3)))</f>
        <v>057-913</v>
      </c>
      <c r="C668" t="s">
        <v>131</v>
      </c>
      <c r="D668">
        <v>11</v>
      </c>
      <c r="E668">
        <v>2510</v>
      </c>
      <c r="F668" t="s">
        <v>8360</v>
      </c>
      <c r="G668" t="s">
        <v>8360</v>
      </c>
      <c r="H668">
        <v>1673781</v>
      </c>
      <c r="I668">
        <v>2492888</v>
      </c>
      <c r="J668">
        <v>1</v>
      </c>
      <c r="K668">
        <v>1673781</v>
      </c>
      <c r="L668">
        <v>1673781</v>
      </c>
      <c r="M668">
        <v>599</v>
      </c>
    </row>
    <row r="669" spans="1:13" ht="15">
      <c r="A669" t="s">
        <v>3473</v>
      </c>
      <c r="B669" s="1040" t="str">
        <f>CONCATENATE(LEFT(RIGHT(CONCATENATE("000",IFAData_TEA_1819!A669),6),3),"-",(RIGHT(RIGHT(CONCATENATE("000",IFAData_TEA_1819!A669),6),3)))</f>
        <v>057-914</v>
      </c>
      <c r="C669" t="s">
        <v>2235</v>
      </c>
      <c r="D669">
        <v>1</v>
      </c>
      <c r="E669">
        <v>2097</v>
      </c>
      <c r="F669" t="s">
        <v>4495</v>
      </c>
      <c r="G669" t="s">
        <v>4495</v>
      </c>
      <c r="H669">
        <v>838538</v>
      </c>
      <c r="I669">
        <v>0</v>
      </c>
      <c r="J669">
        <v>0</v>
      </c>
      <c r="K669"/>
      <c r="L669">
        <v>0</v>
      </c>
      <c r="M669">
        <v>599</v>
      </c>
    </row>
    <row r="670" spans="1:13" ht="15">
      <c r="A670" t="s">
        <v>3473</v>
      </c>
      <c r="B670" s="1040" t="str">
        <f>CONCATENATE(LEFT(RIGHT(CONCATENATE("000",IFAData_TEA_1819!A670),6),3),"-",(RIGHT(RIGHT(CONCATENATE("000",IFAData_TEA_1819!A670),6),3)))</f>
        <v>057-914</v>
      </c>
      <c r="C670" t="s">
        <v>2235</v>
      </c>
      <c r="D670">
        <v>1</v>
      </c>
      <c r="E670">
        <v>2102</v>
      </c>
      <c r="F670" t="s">
        <v>4500</v>
      </c>
      <c r="G670" t="s">
        <v>4500</v>
      </c>
      <c r="H670">
        <v>5978212</v>
      </c>
      <c r="I670">
        <v>0</v>
      </c>
      <c r="J670">
        <v>0</v>
      </c>
      <c r="K670"/>
      <c r="L670">
        <v>0</v>
      </c>
      <c r="M670">
        <v>599</v>
      </c>
    </row>
    <row r="671" spans="1:13" ht="15">
      <c r="A671" t="s">
        <v>3473</v>
      </c>
      <c r="B671" s="1040" t="str">
        <f>CONCATENATE(LEFT(RIGHT(CONCATENATE("000",IFAData_TEA_1819!A671),6),3),"-",(RIGHT(RIGHT(CONCATENATE("000",IFAData_TEA_1819!A671),6),3)))</f>
        <v>057-914</v>
      </c>
      <c r="C671" t="s">
        <v>2235</v>
      </c>
      <c r="D671">
        <v>5</v>
      </c>
      <c r="E671">
        <v>2096</v>
      </c>
      <c r="F671" t="s">
        <v>4503</v>
      </c>
      <c r="G671" t="s">
        <v>4503</v>
      </c>
      <c r="H671">
        <v>684105</v>
      </c>
      <c r="I671">
        <v>0</v>
      </c>
      <c r="J671">
        <v>0</v>
      </c>
      <c r="K671">
        <v>0</v>
      </c>
      <c r="L671">
        <v>0</v>
      </c>
      <c r="M671">
        <v>599</v>
      </c>
    </row>
    <row r="672" spans="1:13" ht="15">
      <c r="A672" t="s">
        <v>3473</v>
      </c>
      <c r="B672" s="1040" t="str">
        <f>CONCATENATE(LEFT(RIGHT(CONCATENATE("000",IFAData_TEA_1819!A672),6),3),"-",(RIGHT(RIGHT(CONCATENATE("000",IFAData_TEA_1819!A672),6),3)))</f>
        <v>057-914</v>
      </c>
      <c r="C672" t="s">
        <v>2235</v>
      </c>
      <c r="D672">
        <v>5</v>
      </c>
      <c r="E672">
        <v>2096</v>
      </c>
      <c r="F672" t="s">
        <v>4503</v>
      </c>
      <c r="G672" t="s">
        <v>4504</v>
      </c>
      <c r="H672">
        <v>684105</v>
      </c>
      <c r="I672">
        <v>647150</v>
      </c>
      <c r="J672">
        <v>1</v>
      </c>
      <c r="K672">
        <v>684105</v>
      </c>
      <c r="L672">
        <v>647150</v>
      </c>
      <c r="M672">
        <v>599</v>
      </c>
    </row>
    <row r="673" spans="1:13" ht="15">
      <c r="A673" t="s">
        <v>3473</v>
      </c>
      <c r="B673" s="1040" t="str">
        <f>CONCATENATE(LEFT(RIGHT(CONCATENATE("000",IFAData_TEA_1819!A673),6),3),"-",(RIGHT(RIGHT(CONCATENATE("000",IFAData_TEA_1819!A673),6),3)))</f>
        <v>057-914</v>
      </c>
      <c r="C673" t="s">
        <v>2235</v>
      </c>
      <c r="D673">
        <v>6</v>
      </c>
      <c r="E673">
        <v>2101</v>
      </c>
      <c r="F673" t="s">
        <v>4505</v>
      </c>
      <c r="G673" t="s">
        <v>4505</v>
      </c>
      <c r="H673">
        <v>3859835</v>
      </c>
      <c r="I673">
        <v>0</v>
      </c>
      <c r="J673">
        <v>0</v>
      </c>
      <c r="K673">
        <v>0</v>
      </c>
      <c r="L673">
        <v>0</v>
      </c>
      <c r="M673">
        <v>599</v>
      </c>
    </row>
    <row r="674" spans="1:13" ht="15">
      <c r="A674" t="s">
        <v>3473</v>
      </c>
      <c r="B674" s="1040" t="str">
        <f>CONCATENATE(LEFT(RIGHT(CONCATENATE("000",IFAData_TEA_1819!A674),6),3),"-",(RIGHT(RIGHT(CONCATENATE("000",IFAData_TEA_1819!A674),6),3)))</f>
        <v>057-914</v>
      </c>
      <c r="C674" t="s">
        <v>2235</v>
      </c>
      <c r="D674">
        <v>6</v>
      </c>
      <c r="E674">
        <v>2101</v>
      </c>
      <c r="F674" t="s">
        <v>4505</v>
      </c>
      <c r="G674" t="s">
        <v>4501</v>
      </c>
      <c r="H674">
        <v>3859835</v>
      </c>
      <c r="I674">
        <v>568632</v>
      </c>
      <c r="J674">
        <v>0.114518732204376</v>
      </c>
      <c r="K674">
        <v>442023.41071807599</v>
      </c>
      <c r="L674">
        <v>442023.41071807599</v>
      </c>
      <c r="M674">
        <v>599</v>
      </c>
    </row>
    <row r="675" spans="1:13" ht="15">
      <c r="A675" t="s">
        <v>3473</v>
      </c>
      <c r="B675" s="1040" t="str">
        <f>CONCATENATE(LEFT(RIGHT(CONCATENATE("000",IFAData_TEA_1819!A675),6),3),"-",(RIGHT(RIGHT(CONCATENATE("000",IFAData_TEA_1819!A675),6),3)))</f>
        <v>057-914</v>
      </c>
      <c r="C675" t="s">
        <v>2235</v>
      </c>
      <c r="D675">
        <v>6</v>
      </c>
      <c r="E675">
        <v>2101</v>
      </c>
      <c r="F675" t="s">
        <v>4505</v>
      </c>
      <c r="G675" t="s">
        <v>4502</v>
      </c>
      <c r="H675">
        <v>3859835</v>
      </c>
      <c r="I675">
        <v>1816077</v>
      </c>
      <c r="J675">
        <v>0.36574592289129998</v>
      </c>
      <c r="K675">
        <v>1411718.9142831401</v>
      </c>
      <c r="L675">
        <v>1411718.9142831401</v>
      </c>
      <c r="M675">
        <v>599</v>
      </c>
    </row>
    <row r="676" spans="1:13" ht="15">
      <c r="A676" t="s">
        <v>3473</v>
      </c>
      <c r="B676" s="1040" t="str">
        <f>CONCATENATE(LEFT(RIGHT(CONCATENATE("000",IFAData_TEA_1819!A676),6),3),"-",(RIGHT(RIGHT(CONCATENATE("000",IFAData_TEA_1819!A676),6),3)))</f>
        <v>057-914</v>
      </c>
      <c r="C676" t="s">
        <v>2235</v>
      </c>
      <c r="D676">
        <v>6</v>
      </c>
      <c r="E676">
        <v>2101</v>
      </c>
      <c r="F676" t="s">
        <v>4505</v>
      </c>
      <c r="G676" t="s">
        <v>4504</v>
      </c>
      <c r="H676">
        <v>3859835</v>
      </c>
      <c r="I676">
        <v>1369115</v>
      </c>
      <c r="J676">
        <v>0.27573072574528701</v>
      </c>
      <c r="K676">
        <v>1064275.1058070599</v>
      </c>
      <c r="L676">
        <v>1064275.1058070599</v>
      </c>
      <c r="M676">
        <v>599</v>
      </c>
    </row>
    <row r="677" spans="1:13" ht="15">
      <c r="A677" t="s">
        <v>3473</v>
      </c>
      <c r="B677" s="1040" t="str">
        <f>CONCATENATE(LEFT(RIGHT(CONCATENATE("000",IFAData_TEA_1819!A677),6),3),"-",(RIGHT(RIGHT(CONCATENATE("000",IFAData_TEA_1819!A677),6),3)))</f>
        <v>057-914</v>
      </c>
      <c r="C677" t="s">
        <v>2235</v>
      </c>
      <c r="D677">
        <v>6</v>
      </c>
      <c r="E677">
        <v>2101</v>
      </c>
      <c r="F677" t="s">
        <v>4505</v>
      </c>
      <c r="G677" t="s">
        <v>4499</v>
      </c>
      <c r="H677">
        <v>3859835</v>
      </c>
      <c r="I677">
        <v>538593</v>
      </c>
      <c r="J677">
        <v>0.10846907584193501</v>
      </c>
      <c r="K677">
        <v>418672.73535235599</v>
      </c>
      <c r="L677">
        <v>418672.73535235599</v>
      </c>
      <c r="M677">
        <v>599</v>
      </c>
    </row>
    <row r="678" spans="1:13" ht="15">
      <c r="A678" t="s">
        <v>3473</v>
      </c>
      <c r="B678" s="1040" t="str">
        <f>CONCATENATE(LEFT(RIGHT(CONCATENATE("000",IFAData_TEA_1819!A678),6),3),"-",(RIGHT(RIGHT(CONCATENATE("000",IFAData_TEA_1819!A678),6),3)))</f>
        <v>057-914</v>
      </c>
      <c r="C678" t="s">
        <v>2235</v>
      </c>
      <c r="D678">
        <v>6</v>
      </c>
      <c r="E678">
        <v>2101</v>
      </c>
      <c r="F678" t="s">
        <v>4505</v>
      </c>
      <c r="G678" t="s">
        <v>6228</v>
      </c>
      <c r="H678">
        <v>3859835</v>
      </c>
      <c r="I678">
        <v>459260</v>
      </c>
      <c r="J678">
        <v>9.2491933187336506E-2</v>
      </c>
      <c r="K678">
        <v>357003.600934143</v>
      </c>
      <c r="L678">
        <v>357003.600934143</v>
      </c>
      <c r="M678">
        <v>599</v>
      </c>
    </row>
    <row r="679" spans="1:13" ht="15">
      <c r="A679" t="s">
        <v>3473</v>
      </c>
      <c r="B679" s="1040" t="str">
        <f>CONCATENATE(LEFT(RIGHT(CONCATENATE("000",IFAData_TEA_1819!A679),6),3),"-",(RIGHT(RIGHT(CONCATENATE("000",IFAData_TEA_1819!A679),6),3)))</f>
        <v>057-914</v>
      </c>
      <c r="C679" t="s">
        <v>2235</v>
      </c>
      <c r="D679">
        <v>6</v>
      </c>
      <c r="E679">
        <v>2101</v>
      </c>
      <c r="F679" t="s">
        <v>4505</v>
      </c>
      <c r="G679" t="s">
        <v>8361</v>
      </c>
      <c r="H679">
        <v>3859835</v>
      </c>
      <c r="I679">
        <v>213729</v>
      </c>
      <c r="J679">
        <v>4.3043610129765798E-2</v>
      </c>
      <c r="K679">
        <v>166141.23290522501</v>
      </c>
      <c r="L679">
        <v>166141.23290522501</v>
      </c>
      <c r="M679">
        <v>599</v>
      </c>
    </row>
    <row r="680" spans="1:13" ht="15">
      <c r="A680" t="s">
        <v>3473</v>
      </c>
      <c r="B680" s="1040" t="str">
        <f>CONCATENATE(LEFT(RIGHT(CONCATENATE("000",IFAData_TEA_1819!A680),6),3),"-",(RIGHT(RIGHT(CONCATENATE("000",IFAData_TEA_1819!A680),6),3)))</f>
        <v>057-914</v>
      </c>
      <c r="C680" t="s">
        <v>2235</v>
      </c>
      <c r="D680">
        <v>9</v>
      </c>
      <c r="E680">
        <v>2100</v>
      </c>
      <c r="F680" t="s">
        <v>4502</v>
      </c>
      <c r="G680" t="s">
        <v>4502</v>
      </c>
      <c r="H680">
        <v>3273731</v>
      </c>
      <c r="I680">
        <v>4814510</v>
      </c>
      <c r="J680">
        <v>0.578824783147043</v>
      </c>
      <c r="K680">
        <v>1894916.6361567499</v>
      </c>
      <c r="L680">
        <v>1894916.6361567499</v>
      </c>
      <c r="M680">
        <v>599</v>
      </c>
    </row>
    <row r="681" spans="1:13" ht="15">
      <c r="A681" t="s">
        <v>3473</v>
      </c>
      <c r="B681" s="1040" t="str">
        <f>CONCATENATE(LEFT(RIGHT(CONCATENATE("000",IFAData_TEA_1819!A681),6),3),"-",(RIGHT(RIGHT(CONCATENATE("000",IFAData_TEA_1819!A681),6),3)))</f>
        <v>057-914</v>
      </c>
      <c r="C681" t="s">
        <v>2235</v>
      </c>
      <c r="D681">
        <v>9</v>
      </c>
      <c r="E681">
        <v>2100</v>
      </c>
      <c r="F681" t="s">
        <v>4502</v>
      </c>
      <c r="G681" t="s">
        <v>6228</v>
      </c>
      <c r="H681">
        <v>3273731</v>
      </c>
      <c r="I681">
        <v>2382597</v>
      </c>
      <c r="J681">
        <v>0.286447881892819</v>
      </c>
      <c r="K681">
        <v>937753.31083685905</v>
      </c>
      <c r="L681">
        <v>937753.31083685905</v>
      </c>
      <c r="M681">
        <v>599</v>
      </c>
    </row>
    <row r="682" spans="1:13" ht="15">
      <c r="A682" t="s">
        <v>3473</v>
      </c>
      <c r="B682" s="1040" t="str">
        <f>CONCATENATE(LEFT(RIGHT(CONCATENATE("000",IFAData_TEA_1819!A682),6),3),"-",(RIGHT(RIGHT(CONCATENATE("000",IFAData_TEA_1819!A682),6),3)))</f>
        <v>057-914</v>
      </c>
      <c r="C682" t="s">
        <v>2235</v>
      </c>
      <c r="D682">
        <v>9</v>
      </c>
      <c r="E682">
        <v>2100</v>
      </c>
      <c r="F682" t="s">
        <v>4502</v>
      </c>
      <c r="G682" t="s">
        <v>8361</v>
      </c>
      <c r="H682">
        <v>3273731</v>
      </c>
      <c r="I682">
        <v>1120626</v>
      </c>
      <c r="J682">
        <v>0.134727334960139</v>
      </c>
      <c r="K682">
        <v>441061.05300638999</v>
      </c>
      <c r="L682">
        <v>441061.05300638999</v>
      </c>
      <c r="M682">
        <v>599</v>
      </c>
    </row>
    <row r="683" spans="1:13" ht="15">
      <c r="A683" t="s">
        <v>3473</v>
      </c>
      <c r="B683" s="1040" t="str">
        <f>CONCATENATE(LEFT(RIGHT(CONCATENATE("000",IFAData_TEA_1819!A683),6),3),"-",(RIGHT(RIGHT(CONCATENATE("000",IFAData_TEA_1819!A683),6),3)))</f>
        <v>057-914</v>
      </c>
      <c r="C683" t="s">
        <v>2235</v>
      </c>
      <c r="D683">
        <v>10</v>
      </c>
      <c r="E683">
        <v>2098</v>
      </c>
      <c r="F683" t="s">
        <v>4506</v>
      </c>
      <c r="G683" t="s">
        <v>4506</v>
      </c>
      <c r="H683">
        <v>1093194</v>
      </c>
      <c r="I683">
        <v>520000</v>
      </c>
      <c r="J683">
        <v>0.43008973987841698</v>
      </c>
      <c r="K683">
        <v>470171.52309664601</v>
      </c>
      <c r="L683">
        <v>470171.52309664601</v>
      </c>
      <c r="M683">
        <v>599</v>
      </c>
    </row>
    <row r="684" spans="1:13" ht="15">
      <c r="A684" t="s">
        <v>3473</v>
      </c>
      <c r="B684" s="1040" t="str">
        <f>CONCATENATE(LEFT(RIGHT(CONCATENATE("000",IFAData_TEA_1819!A684),6),3),"-",(RIGHT(RIGHT(CONCATENATE("000",IFAData_TEA_1819!A684),6),3)))</f>
        <v>057-914</v>
      </c>
      <c r="C684" t="s">
        <v>2235</v>
      </c>
      <c r="D684">
        <v>10</v>
      </c>
      <c r="E684">
        <v>2098</v>
      </c>
      <c r="F684" t="s">
        <v>4506</v>
      </c>
      <c r="G684" t="s">
        <v>6828</v>
      </c>
      <c r="H684">
        <v>1093194</v>
      </c>
      <c r="I684">
        <v>689050</v>
      </c>
      <c r="J684">
        <v>0.56991026012158297</v>
      </c>
      <c r="K684">
        <v>623022.47690335405</v>
      </c>
      <c r="L684">
        <v>623022.47690335405</v>
      </c>
      <c r="M684">
        <v>599</v>
      </c>
    </row>
    <row r="685" spans="1:13" ht="15">
      <c r="A685" t="s">
        <v>3473</v>
      </c>
      <c r="B685" s="1040" t="str">
        <f>CONCATENATE(LEFT(RIGHT(CONCATENATE("000",IFAData_TEA_1819!A685),6),3),"-",(RIGHT(RIGHT(CONCATENATE("000",IFAData_TEA_1819!A685),6),3)))</f>
        <v>057-914</v>
      </c>
      <c r="C685" t="s">
        <v>2235</v>
      </c>
      <c r="D685">
        <v>10</v>
      </c>
      <c r="E685">
        <v>2099</v>
      </c>
      <c r="F685" t="s">
        <v>4507</v>
      </c>
      <c r="G685" t="s">
        <v>4507</v>
      </c>
      <c r="H685">
        <v>2344293</v>
      </c>
      <c r="I685">
        <v>2105724</v>
      </c>
      <c r="J685">
        <v>0.66585758266443695</v>
      </c>
      <c r="K685">
        <v>1560965.27003716</v>
      </c>
      <c r="L685">
        <v>1560965.27003716</v>
      </c>
      <c r="M685">
        <v>599</v>
      </c>
    </row>
    <row r="686" spans="1:13" ht="15">
      <c r="A686" t="s">
        <v>3473</v>
      </c>
      <c r="B686" s="1040" t="str">
        <f>CONCATENATE(LEFT(RIGHT(CONCATENATE("000",IFAData_TEA_1819!A686),6),3),"-",(RIGHT(RIGHT(CONCATENATE("000",IFAData_TEA_1819!A686),6),3)))</f>
        <v>057-914</v>
      </c>
      <c r="C686" t="s">
        <v>2235</v>
      </c>
      <c r="D686">
        <v>10</v>
      </c>
      <c r="E686">
        <v>2099</v>
      </c>
      <c r="F686" t="s">
        <v>4507</v>
      </c>
      <c r="G686" t="s">
        <v>6829</v>
      </c>
      <c r="H686">
        <v>2344293</v>
      </c>
      <c r="I686">
        <v>1056700</v>
      </c>
      <c r="J686">
        <v>0.33414241733556299</v>
      </c>
      <c r="K686">
        <v>783327.72996283905</v>
      </c>
      <c r="L686">
        <v>783327.72996283905</v>
      </c>
      <c r="M686">
        <v>599</v>
      </c>
    </row>
    <row r="687" spans="1:13" ht="15">
      <c r="A687" t="s">
        <v>3473</v>
      </c>
      <c r="B687" s="1040" t="str">
        <f>CONCATENATE(LEFT(RIGHT(CONCATENATE("000",IFAData_TEA_1819!A687),6),3),"-",(RIGHT(RIGHT(CONCATENATE("000",IFAData_TEA_1819!A687),6),3)))</f>
        <v>057-914</v>
      </c>
      <c r="C687" t="s">
        <v>2235</v>
      </c>
      <c r="D687">
        <v>11</v>
      </c>
      <c r="E687">
        <v>2486</v>
      </c>
      <c r="F687" t="s">
        <v>8362</v>
      </c>
      <c r="G687" t="s">
        <v>8362</v>
      </c>
      <c r="H687">
        <v>3093300</v>
      </c>
      <c r="I687">
        <v>3031425</v>
      </c>
      <c r="J687">
        <v>1</v>
      </c>
      <c r="K687">
        <v>3093300</v>
      </c>
      <c r="L687">
        <v>3031425</v>
      </c>
      <c r="M687">
        <v>599</v>
      </c>
    </row>
    <row r="688" spans="1:13" ht="15">
      <c r="A688" t="s">
        <v>4508</v>
      </c>
      <c r="B688" s="1040" t="str">
        <f>CONCATENATE(LEFT(RIGHT(CONCATENATE("000",IFAData_TEA_1819!A688),6),3),"-",(RIGHT(RIGHT(CONCATENATE("000",IFAData_TEA_1819!A688),6),3)))</f>
        <v>059-901</v>
      </c>
      <c r="C688" t="s">
        <v>2372</v>
      </c>
      <c r="D688">
        <v>2</v>
      </c>
      <c r="E688">
        <v>1883</v>
      </c>
      <c r="F688" t="s">
        <v>4509</v>
      </c>
      <c r="G688" t="s">
        <v>4509</v>
      </c>
      <c r="H688">
        <v>1022728</v>
      </c>
      <c r="I688">
        <v>0</v>
      </c>
      <c r="J688">
        <v>0</v>
      </c>
      <c r="K688">
        <v>0</v>
      </c>
      <c r="L688">
        <v>0</v>
      </c>
      <c r="M688">
        <v>199</v>
      </c>
    </row>
    <row r="689" spans="1:13" ht="15">
      <c r="A689" t="s">
        <v>4508</v>
      </c>
      <c r="B689" s="1040" t="str">
        <f>CONCATENATE(LEFT(RIGHT(CONCATENATE("000",IFAData_TEA_1819!A689),6),3),"-",(RIGHT(RIGHT(CONCATENATE("000",IFAData_TEA_1819!A689),6),3)))</f>
        <v>059-901</v>
      </c>
      <c r="C689" t="s">
        <v>2372</v>
      </c>
      <c r="D689">
        <v>2</v>
      </c>
      <c r="E689">
        <v>1883</v>
      </c>
      <c r="F689" t="s">
        <v>4509</v>
      </c>
      <c r="G689" t="s">
        <v>4510</v>
      </c>
      <c r="H689">
        <v>1022728</v>
      </c>
      <c r="I689">
        <v>950246</v>
      </c>
      <c r="J689">
        <v>1</v>
      </c>
      <c r="K689">
        <v>1022728</v>
      </c>
      <c r="L689">
        <v>950246</v>
      </c>
      <c r="M689">
        <v>199</v>
      </c>
    </row>
    <row r="690" spans="1:13" ht="15">
      <c r="A690" t="s">
        <v>3474</v>
      </c>
      <c r="B690" s="1040" t="str">
        <f>CONCATENATE(LEFT(RIGHT(CONCATENATE("000",IFAData_TEA_1819!A690),6),3),"-",(RIGHT(RIGHT(CONCATENATE("000",IFAData_TEA_1819!A690),6),3)))</f>
        <v>060-902</v>
      </c>
      <c r="C690" t="s">
        <v>2617</v>
      </c>
      <c r="D690">
        <v>9</v>
      </c>
      <c r="E690">
        <v>1719</v>
      </c>
      <c r="F690" t="s">
        <v>4511</v>
      </c>
      <c r="G690" t="s">
        <v>4511</v>
      </c>
      <c r="H690">
        <v>201802</v>
      </c>
      <c r="I690">
        <v>47700</v>
      </c>
      <c r="J690">
        <v>0.25426439232409398</v>
      </c>
      <c r="K690">
        <v>51311.062899786797</v>
      </c>
      <c r="L690">
        <v>47700</v>
      </c>
      <c r="M690">
        <v>599</v>
      </c>
    </row>
    <row r="691" spans="1:13" ht="15">
      <c r="A691" t="s">
        <v>3474</v>
      </c>
      <c r="B691" s="1040" t="str">
        <f>CONCATENATE(LEFT(RIGHT(CONCATENATE("000",IFAData_TEA_1819!A691),6),3),"-",(RIGHT(RIGHT(CONCATENATE("000",IFAData_TEA_1819!A691),6),3)))</f>
        <v>060-902</v>
      </c>
      <c r="C691" t="s">
        <v>2617</v>
      </c>
      <c r="D691">
        <v>9</v>
      </c>
      <c r="E691">
        <v>1719</v>
      </c>
      <c r="F691" t="s">
        <v>4511</v>
      </c>
      <c r="G691" t="s">
        <v>6440</v>
      </c>
      <c r="H691">
        <v>201802</v>
      </c>
      <c r="I691">
        <v>139900</v>
      </c>
      <c r="J691">
        <v>0.74573560767590596</v>
      </c>
      <c r="K691">
        <v>150490.93710021299</v>
      </c>
      <c r="L691">
        <v>139900</v>
      </c>
      <c r="M691">
        <v>599</v>
      </c>
    </row>
    <row r="692" spans="1:13" ht="15">
      <c r="A692" t="s">
        <v>3475</v>
      </c>
      <c r="B692" s="1040" t="str">
        <f>CONCATENATE(LEFT(RIGHT(CONCATENATE("000",IFAData_TEA_1819!A692),6),3),"-",(RIGHT(RIGHT(CONCATENATE("000",IFAData_TEA_1819!A692),6),3)))</f>
        <v>060-914</v>
      </c>
      <c r="C692" t="s">
        <v>107</v>
      </c>
      <c r="D692">
        <v>5</v>
      </c>
      <c r="E692">
        <v>1810</v>
      </c>
      <c r="F692" t="s">
        <v>4512</v>
      </c>
      <c r="G692" t="s">
        <v>4512</v>
      </c>
      <c r="H692">
        <v>100000</v>
      </c>
      <c r="I692">
        <v>0</v>
      </c>
      <c r="J692">
        <v>0</v>
      </c>
      <c r="K692">
        <v>0</v>
      </c>
      <c r="L692">
        <v>0</v>
      </c>
      <c r="M692">
        <v>599</v>
      </c>
    </row>
    <row r="693" spans="1:13" ht="15">
      <c r="A693" t="s">
        <v>3475</v>
      </c>
      <c r="B693" s="1040" t="str">
        <f>CONCATENATE(LEFT(RIGHT(CONCATENATE("000",IFAData_TEA_1819!A693),6),3),"-",(RIGHT(RIGHT(CONCATENATE("000",IFAData_TEA_1819!A693),6),3)))</f>
        <v>060-914</v>
      </c>
      <c r="C693" t="s">
        <v>107</v>
      </c>
      <c r="D693">
        <v>5</v>
      </c>
      <c r="E693">
        <v>1810</v>
      </c>
      <c r="F693" t="s">
        <v>4512</v>
      </c>
      <c r="G693" t="s">
        <v>4513</v>
      </c>
      <c r="H693">
        <v>100000</v>
      </c>
      <c r="I693">
        <v>104700</v>
      </c>
      <c r="J693">
        <v>1</v>
      </c>
      <c r="K693">
        <v>100000</v>
      </c>
      <c r="L693">
        <v>100000</v>
      </c>
      <c r="M693">
        <v>599</v>
      </c>
    </row>
    <row r="694" spans="1:13" ht="15">
      <c r="A694" t="s">
        <v>3476</v>
      </c>
      <c r="B694" s="1040" t="str">
        <f>CONCATENATE(LEFT(RIGHT(CONCATENATE("000",IFAData_TEA_1819!A694),6),3),"-",(RIGHT(RIGHT(CONCATENATE("000",IFAData_TEA_1819!A694),6),3)))</f>
        <v>061-902</v>
      </c>
      <c r="C694" t="s">
        <v>2466</v>
      </c>
      <c r="D694">
        <v>1</v>
      </c>
      <c r="E694">
        <v>2019</v>
      </c>
      <c r="F694" t="s">
        <v>4514</v>
      </c>
      <c r="G694" t="s">
        <v>4514</v>
      </c>
      <c r="H694">
        <v>3797900</v>
      </c>
      <c r="I694">
        <v>0</v>
      </c>
      <c r="J694">
        <v>0</v>
      </c>
      <c r="K694">
        <v>0</v>
      </c>
      <c r="L694">
        <v>0</v>
      </c>
      <c r="M694">
        <v>599</v>
      </c>
    </row>
    <row r="695" spans="1:13" ht="15">
      <c r="A695" t="s">
        <v>3476</v>
      </c>
      <c r="B695" s="1040" t="str">
        <f>CONCATENATE(LEFT(RIGHT(CONCATENATE("000",IFAData_TEA_1819!A695),6),3),"-",(RIGHT(RIGHT(CONCATENATE("000",IFAData_TEA_1819!A695),6),3)))</f>
        <v>061-902</v>
      </c>
      <c r="C695" t="s">
        <v>2466</v>
      </c>
      <c r="D695">
        <v>1</v>
      </c>
      <c r="E695">
        <v>2019</v>
      </c>
      <c r="F695" t="s">
        <v>4514</v>
      </c>
      <c r="G695" t="s">
        <v>4515</v>
      </c>
      <c r="H695">
        <v>3797900</v>
      </c>
      <c r="I695">
        <v>0</v>
      </c>
      <c r="J695">
        <v>0</v>
      </c>
      <c r="K695">
        <v>0</v>
      </c>
      <c r="L695">
        <v>0</v>
      </c>
      <c r="M695">
        <v>599</v>
      </c>
    </row>
    <row r="696" spans="1:13" ht="15">
      <c r="A696" t="s">
        <v>3476</v>
      </c>
      <c r="B696" s="1040" t="str">
        <f>CONCATENATE(LEFT(RIGHT(CONCATENATE("000",IFAData_TEA_1819!A696),6),3),"-",(RIGHT(RIGHT(CONCATENATE("000",IFAData_TEA_1819!A696),6),3)))</f>
        <v>061-902</v>
      </c>
      <c r="C696" t="s">
        <v>2466</v>
      </c>
      <c r="D696">
        <v>1</v>
      </c>
      <c r="E696">
        <v>2019</v>
      </c>
      <c r="F696" t="s">
        <v>4514</v>
      </c>
      <c r="G696" t="s">
        <v>4516</v>
      </c>
      <c r="H696">
        <v>3797900</v>
      </c>
      <c r="I696">
        <v>1464543</v>
      </c>
      <c r="J696">
        <v>0.39351716632967698</v>
      </c>
      <c r="K696">
        <v>1494538.84600348</v>
      </c>
      <c r="L696">
        <v>1464543</v>
      </c>
      <c r="M696">
        <v>599</v>
      </c>
    </row>
    <row r="697" spans="1:13" ht="15">
      <c r="A697" t="s">
        <v>3476</v>
      </c>
      <c r="B697" s="1040" t="str">
        <f>CONCATENATE(LEFT(RIGHT(CONCATENATE("000",IFAData_TEA_1819!A697),6),3),"-",(RIGHT(RIGHT(CONCATENATE("000",IFAData_TEA_1819!A697),6),3)))</f>
        <v>061-902</v>
      </c>
      <c r="C697" t="s">
        <v>2466</v>
      </c>
      <c r="D697">
        <v>1</v>
      </c>
      <c r="E697">
        <v>2019</v>
      </c>
      <c r="F697" t="s">
        <v>4514</v>
      </c>
      <c r="G697" t="s">
        <v>6441</v>
      </c>
      <c r="H697">
        <v>3797900</v>
      </c>
      <c r="I697">
        <v>2257132</v>
      </c>
      <c r="J697">
        <v>0.60648283367032296</v>
      </c>
      <c r="K697">
        <v>2303361.1539965202</v>
      </c>
      <c r="L697">
        <v>2257132</v>
      </c>
      <c r="M697">
        <v>599</v>
      </c>
    </row>
    <row r="698" spans="1:13" ht="15">
      <c r="A698" t="s">
        <v>3476</v>
      </c>
      <c r="B698" s="1040" t="str">
        <f>CONCATENATE(LEFT(RIGHT(CONCATENATE("000",IFAData_TEA_1819!A698),6),3),"-",(RIGHT(RIGHT(CONCATENATE("000",IFAData_TEA_1819!A698),6),3)))</f>
        <v>061-902</v>
      </c>
      <c r="C698" t="s">
        <v>2466</v>
      </c>
      <c r="D698">
        <v>2</v>
      </c>
      <c r="E698">
        <v>2018</v>
      </c>
      <c r="F698" t="s">
        <v>4517</v>
      </c>
      <c r="G698" t="s">
        <v>4517</v>
      </c>
      <c r="H698">
        <v>1811486</v>
      </c>
      <c r="I698">
        <v>0</v>
      </c>
      <c r="J698">
        <v>0</v>
      </c>
      <c r="K698">
        <v>0</v>
      </c>
      <c r="L698">
        <v>0</v>
      </c>
      <c r="M698">
        <v>599</v>
      </c>
    </row>
    <row r="699" spans="1:13" ht="15">
      <c r="A699" t="s">
        <v>3476</v>
      </c>
      <c r="B699" s="1040" t="str">
        <f>CONCATENATE(LEFT(RIGHT(CONCATENATE("000",IFAData_TEA_1819!A699),6),3),"-",(RIGHT(RIGHT(CONCATENATE("000",IFAData_TEA_1819!A699),6),3)))</f>
        <v>061-902</v>
      </c>
      <c r="C699" t="s">
        <v>2466</v>
      </c>
      <c r="D699">
        <v>2</v>
      </c>
      <c r="E699">
        <v>2018</v>
      </c>
      <c r="F699" t="s">
        <v>4517</v>
      </c>
      <c r="G699" t="s">
        <v>4515</v>
      </c>
      <c r="H699">
        <v>1811486</v>
      </c>
      <c r="I699">
        <v>0</v>
      </c>
      <c r="J699">
        <v>0</v>
      </c>
      <c r="K699">
        <v>0</v>
      </c>
      <c r="L699">
        <v>0</v>
      </c>
      <c r="M699">
        <v>599</v>
      </c>
    </row>
    <row r="700" spans="1:13" ht="15">
      <c r="A700" t="s">
        <v>3476</v>
      </c>
      <c r="B700" s="1040" t="str">
        <f>CONCATENATE(LEFT(RIGHT(CONCATENATE("000",IFAData_TEA_1819!A700),6),3),"-",(RIGHT(RIGHT(CONCATENATE("000",IFAData_TEA_1819!A700),6),3)))</f>
        <v>061-902</v>
      </c>
      <c r="C700" t="s">
        <v>2466</v>
      </c>
      <c r="D700">
        <v>2</v>
      </c>
      <c r="E700">
        <v>2018</v>
      </c>
      <c r="F700" t="s">
        <v>4517</v>
      </c>
      <c r="G700" t="s">
        <v>4516</v>
      </c>
      <c r="H700">
        <v>1811486</v>
      </c>
      <c r="I700">
        <v>875161</v>
      </c>
      <c r="J700">
        <v>0.39351737565452399</v>
      </c>
      <c r="K700">
        <v>712851.216754911</v>
      </c>
      <c r="L700">
        <v>712851.216754911</v>
      </c>
      <c r="M700">
        <v>599</v>
      </c>
    </row>
    <row r="701" spans="1:13" ht="15">
      <c r="A701" t="s">
        <v>3476</v>
      </c>
      <c r="B701" s="1040" t="str">
        <f>CONCATENATE(LEFT(RIGHT(CONCATENATE("000",IFAData_TEA_1819!A701),6),3),"-",(RIGHT(RIGHT(CONCATENATE("000",IFAData_TEA_1819!A701),6),3)))</f>
        <v>061-902</v>
      </c>
      <c r="C701" t="s">
        <v>2466</v>
      </c>
      <c r="D701">
        <v>2</v>
      </c>
      <c r="E701">
        <v>2018</v>
      </c>
      <c r="F701" t="s">
        <v>4517</v>
      </c>
      <c r="G701" t="s">
        <v>6441</v>
      </c>
      <c r="H701">
        <v>1811486</v>
      </c>
      <c r="I701">
        <v>1348784</v>
      </c>
      <c r="J701">
        <v>0.60648262434547595</v>
      </c>
      <c r="K701">
        <v>1098634.7832450899</v>
      </c>
      <c r="L701">
        <v>1098634.7832450899</v>
      </c>
      <c r="M701">
        <v>599</v>
      </c>
    </row>
    <row r="702" spans="1:13" ht="15">
      <c r="A702" t="s">
        <v>4518</v>
      </c>
      <c r="B702" s="1040" t="str">
        <f>CONCATENATE(LEFT(RIGHT(CONCATENATE("000",IFAData_TEA_1819!A702),6),3),"-",(RIGHT(RIGHT(CONCATENATE("000",IFAData_TEA_1819!A702),6),3)))</f>
        <v>061-903</v>
      </c>
      <c r="C702" t="s">
        <v>1000</v>
      </c>
      <c r="D702">
        <v>1</v>
      </c>
      <c r="E702">
        <v>2197</v>
      </c>
      <c r="F702" t="s">
        <v>4519</v>
      </c>
      <c r="G702" t="s">
        <v>4519</v>
      </c>
      <c r="H702">
        <v>294250</v>
      </c>
      <c r="I702">
        <v>0</v>
      </c>
      <c r="J702">
        <v>0</v>
      </c>
      <c r="K702"/>
      <c r="L702">
        <v>0</v>
      </c>
      <c r="M702">
        <v>599</v>
      </c>
    </row>
    <row r="703" spans="1:13" ht="15">
      <c r="A703" t="s">
        <v>3477</v>
      </c>
      <c r="B703" s="1040" t="str">
        <f>CONCATENATE(LEFT(RIGHT(CONCATENATE("000",IFAData_TEA_1819!A703),6),3),"-",(RIGHT(RIGHT(CONCATENATE("000",IFAData_TEA_1819!A703),6),3)))</f>
        <v>061-905</v>
      </c>
      <c r="C703" t="s">
        <v>1692</v>
      </c>
      <c r="D703">
        <v>4</v>
      </c>
      <c r="E703">
        <v>1972</v>
      </c>
      <c r="F703" t="s">
        <v>4520</v>
      </c>
      <c r="G703" t="s">
        <v>4520</v>
      </c>
      <c r="H703">
        <v>90131</v>
      </c>
      <c r="I703">
        <v>0</v>
      </c>
      <c r="J703">
        <v>0</v>
      </c>
      <c r="K703">
        <v>0</v>
      </c>
      <c r="L703">
        <v>0</v>
      </c>
      <c r="M703">
        <v>599</v>
      </c>
    </row>
    <row r="704" spans="1:13" ht="15">
      <c r="A704" t="s">
        <v>3477</v>
      </c>
      <c r="B704" s="1040" t="str">
        <f>CONCATENATE(LEFT(RIGHT(CONCATENATE("000",IFAData_TEA_1819!A704),6),3),"-",(RIGHT(RIGHT(CONCATENATE("000",IFAData_TEA_1819!A704),6),3)))</f>
        <v>061-905</v>
      </c>
      <c r="C704" t="s">
        <v>1692</v>
      </c>
      <c r="D704">
        <v>4</v>
      </c>
      <c r="E704">
        <v>1972</v>
      </c>
      <c r="F704" t="s">
        <v>4520</v>
      </c>
      <c r="G704" t="s">
        <v>4521</v>
      </c>
      <c r="H704">
        <v>90131</v>
      </c>
      <c r="I704">
        <v>0</v>
      </c>
      <c r="J704">
        <v>0</v>
      </c>
      <c r="K704">
        <v>0</v>
      </c>
      <c r="L704">
        <v>0</v>
      </c>
      <c r="M704">
        <v>599</v>
      </c>
    </row>
    <row r="705" spans="1:13" ht="15">
      <c r="A705" t="s">
        <v>3477</v>
      </c>
      <c r="B705" s="1040" t="str">
        <f>CONCATENATE(LEFT(RIGHT(CONCATENATE("000",IFAData_TEA_1819!A705),6),3),"-",(RIGHT(RIGHT(CONCATENATE("000",IFAData_TEA_1819!A705),6),3)))</f>
        <v>061-905</v>
      </c>
      <c r="C705" t="s">
        <v>1692</v>
      </c>
      <c r="D705">
        <v>4</v>
      </c>
      <c r="E705">
        <v>1972</v>
      </c>
      <c r="F705" t="s">
        <v>4520</v>
      </c>
      <c r="G705" t="s">
        <v>6230</v>
      </c>
      <c r="H705">
        <v>90131</v>
      </c>
      <c r="I705">
        <v>63007</v>
      </c>
      <c r="J705">
        <v>1</v>
      </c>
      <c r="K705">
        <v>90131</v>
      </c>
      <c r="L705">
        <v>63007</v>
      </c>
      <c r="M705">
        <v>599</v>
      </c>
    </row>
    <row r="706" spans="1:13" ht="15">
      <c r="A706" t="s">
        <v>3477</v>
      </c>
      <c r="B706" s="1040" t="str">
        <f>CONCATENATE(LEFT(RIGHT(CONCATENATE("000",IFAData_TEA_1819!A706),6),3),"-",(RIGHT(RIGHT(CONCATENATE("000",IFAData_TEA_1819!A706),6),3)))</f>
        <v>061-905</v>
      </c>
      <c r="C706" t="s">
        <v>1692</v>
      </c>
      <c r="D706">
        <v>4</v>
      </c>
      <c r="E706">
        <v>1973</v>
      </c>
      <c r="F706" t="s">
        <v>4522</v>
      </c>
      <c r="G706" t="s">
        <v>4522</v>
      </c>
      <c r="H706">
        <v>236619</v>
      </c>
      <c r="I706">
        <v>0</v>
      </c>
      <c r="J706">
        <v>0</v>
      </c>
      <c r="K706">
        <v>0</v>
      </c>
      <c r="L706">
        <v>0</v>
      </c>
      <c r="M706">
        <v>599</v>
      </c>
    </row>
    <row r="707" spans="1:13" ht="15">
      <c r="A707" t="s">
        <v>3477</v>
      </c>
      <c r="B707" s="1040" t="str">
        <f>CONCATENATE(LEFT(RIGHT(CONCATENATE("000",IFAData_TEA_1819!A707),6),3),"-",(RIGHT(RIGHT(CONCATENATE("000",IFAData_TEA_1819!A707),6),3)))</f>
        <v>061-905</v>
      </c>
      <c r="C707" t="s">
        <v>1692</v>
      </c>
      <c r="D707">
        <v>4</v>
      </c>
      <c r="E707">
        <v>1973</v>
      </c>
      <c r="F707" t="s">
        <v>4522</v>
      </c>
      <c r="G707" t="s">
        <v>4523</v>
      </c>
      <c r="H707">
        <v>236619</v>
      </c>
      <c r="I707">
        <v>0</v>
      </c>
      <c r="J707">
        <v>0</v>
      </c>
      <c r="K707">
        <v>0</v>
      </c>
      <c r="L707">
        <v>0</v>
      </c>
      <c r="M707">
        <v>599</v>
      </c>
    </row>
    <row r="708" spans="1:13" ht="15">
      <c r="A708" t="s">
        <v>3477</v>
      </c>
      <c r="B708" s="1040" t="str">
        <f>CONCATENATE(LEFT(RIGHT(CONCATENATE("000",IFAData_TEA_1819!A708),6),3),"-",(RIGHT(RIGHT(CONCATENATE("000",IFAData_TEA_1819!A708),6),3)))</f>
        <v>061-905</v>
      </c>
      <c r="C708" t="s">
        <v>1692</v>
      </c>
      <c r="D708">
        <v>4</v>
      </c>
      <c r="E708">
        <v>1973</v>
      </c>
      <c r="F708" t="s">
        <v>4522</v>
      </c>
      <c r="G708" t="s">
        <v>4521</v>
      </c>
      <c r="H708">
        <v>236619</v>
      </c>
      <c r="I708">
        <v>0</v>
      </c>
      <c r="J708">
        <v>0</v>
      </c>
      <c r="K708">
        <v>0</v>
      </c>
      <c r="L708">
        <v>0</v>
      </c>
      <c r="M708">
        <v>599</v>
      </c>
    </row>
    <row r="709" spans="1:13" ht="15">
      <c r="A709" t="s">
        <v>3477</v>
      </c>
      <c r="B709" s="1040" t="str">
        <f>CONCATENATE(LEFT(RIGHT(CONCATENATE("000",IFAData_TEA_1819!A709),6),3),"-",(RIGHT(RIGHT(CONCATENATE("000",IFAData_TEA_1819!A709),6),3)))</f>
        <v>061-905</v>
      </c>
      <c r="C709" t="s">
        <v>1692</v>
      </c>
      <c r="D709">
        <v>4</v>
      </c>
      <c r="E709">
        <v>1973</v>
      </c>
      <c r="F709" t="s">
        <v>4522</v>
      </c>
      <c r="G709" t="s">
        <v>4524</v>
      </c>
      <c r="H709">
        <v>236619</v>
      </c>
      <c r="I709">
        <v>3000</v>
      </c>
      <c r="J709">
        <v>8.9500408718533094E-3</v>
      </c>
      <c r="K709">
        <v>2117.74972105706</v>
      </c>
      <c r="L709">
        <v>2117.74972105706</v>
      </c>
      <c r="M709">
        <v>599</v>
      </c>
    </row>
    <row r="710" spans="1:13" ht="15">
      <c r="A710" t="s">
        <v>3477</v>
      </c>
      <c r="B710" s="1040" t="str">
        <f>CONCATENATE(LEFT(RIGHT(CONCATENATE("000",IFAData_TEA_1819!A710),6),3),"-",(RIGHT(RIGHT(CONCATENATE("000",IFAData_TEA_1819!A710),6),3)))</f>
        <v>061-905</v>
      </c>
      <c r="C710" t="s">
        <v>1692</v>
      </c>
      <c r="D710">
        <v>4</v>
      </c>
      <c r="E710">
        <v>1973</v>
      </c>
      <c r="F710" t="s">
        <v>4522</v>
      </c>
      <c r="G710" t="s">
        <v>6230</v>
      </c>
      <c r="H710">
        <v>236619</v>
      </c>
      <c r="I710">
        <v>332194</v>
      </c>
      <c r="J710">
        <v>0.99104995912814697</v>
      </c>
      <c r="K710">
        <v>234501.25027894299</v>
      </c>
      <c r="L710">
        <v>234501.25027894299</v>
      </c>
      <c r="M710">
        <v>599</v>
      </c>
    </row>
    <row r="711" spans="1:13" ht="15">
      <c r="A711" t="s">
        <v>3478</v>
      </c>
      <c r="B711" s="1040" t="str">
        <f>CONCATENATE(LEFT(RIGHT(CONCATENATE("000",IFAData_TEA_1819!A711),6),3),"-",(RIGHT(RIGHT(CONCATENATE("000",IFAData_TEA_1819!A711),6),3)))</f>
        <v>061-906</v>
      </c>
      <c r="C711" t="s">
        <v>1002</v>
      </c>
      <c r="D711">
        <v>2</v>
      </c>
      <c r="E711">
        <v>2201</v>
      </c>
      <c r="F711" t="s">
        <v>4525</v>
      </c>
      <c r="G711" t="s">
        <v>4525</v>
      </c>
      <c r="H711">
        <v>139761</v>
      </c>
      <c r="I711">
        <v>0</v>
      </c>
      <c r="J711">
        <v>0</v>
      </c>
      <c r="K711"/>
      <c r="L711">
        <v>0</v>
      </c>
      <c r="M711">
        <v>599</v>
      </c>
    </row>
    <row r="712" spans="1:13" ht="15">
      <c r="A712" t="s">
        <v>3479</v>
      </c>
      <c r="B712" s="1040" t="str">
        <f>CONCATENATE(LEFT(RIGHT(CONCATENATE("000",IFAData_TEA_1819!A712),6),3),"-",(RIGHT(RIGHT(CONCATENATE("000",IFAData_TEA_1819!A712),6),3)))</f>
        <v>061-907</v>
      </c>
      <c r="C712" t="s">
        <v>2116</v>
      </c>
      <c r="D712">
        <v>1</v>
      </c>
      <c r="E712">
        <v>1585</v>
      </c>
      <c r="F712" t="s">
        <v>4527</v>
      </c>
      <c r="G712" t="s">
        <v>4527</v>
      </c>
      <c r="H712">
        <v>223500</v>
      </c>
      <c r="I712">
        <v>685000</v>
      </c>
      <c r="J712">
        <v>0.83193058905543704</v>
      </c>
      <c r="K712">
        <v>185936.48665389</v>
      </c>
      <c r="L712">
        <v>185936.48665389</v>
      </c>
      <c r="M712">
        <v>599</v>
      </c>
    </row>
    <row r="713" spans="1:13" ht="15">
      <c r="A713" t="s">
        <v>3479</v>
      </c>
      <c r="B713" s="1040" t="str">
        <f>CONCATENATE(LEFT(RIGHT(CONCATENATE("000",IFAData_TEA_1819!A713),6),3),"-",(RIGHT(RIGHT(CONCATENATE("000",IFAData_TEA_1819!A713),6),3)))</f>
        <v>061-907</v>
      </c>
      <c r="C713" t="s">
        <v>2116</v>
      </c>
      <c r="D713">
        <v>1</v>
      </c>
      <c r="E713">
        <v>1585</v>
      </c>
      <c r="F713" t="s">
        <v>4527</v>
      </c>
      <c r="G713" t="s">
        <v>4528</v>
      </c>
      <c r="H713">
        <v>223500</v>
      </c>
      <c r="I713">
        <v>0</v>
      </c>
      <c r="J713">
        <v>0</v>
      </c>
      <c r="K713">
        <v>0</v>
      </c>
      <c r="L713">
        <v>0</v>
      </c>
      <c r="M713">
        <v>599</v>
      </c>
    </row>
    <row r="714" spans="1:13" ht="15">
      <c r="A714" t="s">
        <v>3479</v>
      </c>
      <c r="B714" s="1040" t="str">
        <f>CONCATENATE(LEFT(RIGHT(CONCATENATE("000",IFAData_TEA_1819!A714),6),3),"-",(RIGHT(RIGHT(CONCATENATE("000",IFAData_TEA_1819!A714),6),3)))</f>
        <v>061-907</v>
      </c>
      <c r="C714" t="s">
        <v>2116</v>
      </c>
      <c r="D714">
        <v>1</v>
      </c>
      <c r="E714">
        <v>1585</v>
      </c>
      <c r="F714" t="s">
        <v>4527</v>
      </c>
      <c r="G714" t="s">
        <v>4529</v>
      </c>
      <c r="H714">
        <v>223500</v>
      </c>
      <c r="I714">
        <v>55270</v>
      </c>
      <c r="J714">
        <v>6.7125260813275897E-2</v>
      </c>
      <c r="K714">
        <v>15002.4957917672</v>
      </c>
      <c r="L714">
        <v>15002.4957917672</v>
      </c>
      <c r="M714">
        <v>599</v>
      </c>
    </row>
    <row r="715" spans="1:13" ht="15">
      <c r="A715" t="s">
        <v>3479</v>
      </c>
      <c r="B715" s="1040" t="str">
        <f>CONCATENATE(LEFT(RIGHT(CONCATENATE("000",IFAData_TEA_1819!A715),6),3),"-",(RIGHT(RIGHT(CONCATENATE("000",IFAData_TEA_1819!A715),6),3)))</f>
        <v>061-907</v>
      </c>
      <c r="C715" t="s">
        <v>2116</v>
      </c>
      <c r="D715">
        <v>1</v>
      </c>
      <c r="E715">
        <v>1585</v>
      </c>
      <c r="F715" t="s">
        <v>4527</v>
      </c>
      <c r="G715" t="s">
        <v>4530</v>
      </c>
      <c r="H715">
        <v>223500</v>
      </c>
      <c r="I715">
        <v>32240</v>
      </c>
      <c r="J715">
        <v>3.9155390060068997E-2</v>
      </c>
      <c r="K715">
        <v>8751.2296784254304</v>
      </c>
      <c r="L715">
        <v>8751.2296784254304</v>
      </c>
      <c r="M715">
        <v>599</v>
      </c>
    </row>
    <row r="716" spans="1:13" ht="15">
      <c r="A716" t="s">
        <v>3479</v>
      </c>
      <c r="B716" s="1040" t="str">
        <f>CONCATENATE(LEFT(RIGHT(CONCATENATE("000",IFAData_TEA_1819!A716),6),3),"-",(RIGHT(RIGHT(CONCATENATE("000",IFAData_TEA_1819!A716),6),3)))</f>
        <v>061-907</v>
      </c>
      <c r="C716" t="s">
        <v>2116</v>
      </c>
      <c r="D716">
        <v>1</v>
      </c>
      <c r="E716">
        <v>1585</v>
      </c>
      <c r="F716" t="s">
        <v>4527</v>
      </c>
      <c r="G716" t="s">
        <v>6231</v>
      </c>
      <c r="H716">
        <v>223500</v>
      </c>
      <c r="I716">
        <v>15654</v>
      </c>
      <c r="J716">
        <v>1.9011739330034801E-2</v>
      </c>
      <c r="K716">
        <v>4249.1237402627703</v>
      </c>
      <c r="L716">
        <v>4249.1237402627703</v>
      </c>
      <c r="M716">
        <v>599</v>
      </c>
    </row>
    <row r="717" spans="1:13" ht="15">
      <c r="A717" t="s">
        <v>3479</v>
      </c>
      <c r="B717" s="1040" t="str">
        <f>CONCATENATE(LEFT(RIGHT(CONCATENATE("000",IFAData_TEA_1819!A717),6),3),"-",(RIGHT(RIGHT(CONCATENATE("000",IFAData_TEA_1819!A717),6),3)))</f>
        <v>061-907</v>
      </c>
      <c r="C717" t="s">
        <v>2116</v>
      </c>
      <c r="D717">
        <v>1</v>
      </c>
      <c r="E717">
        <v>1585</v>
      </c>
      <c r="F717" t="s">
        <v>4527</v>
      </c>
      <c r="G717" t="s">
        <v>6442</v>
      </c>
      <c r="H717">
        <v>223500</v>
      </c>
      <c r="I717">
        <v>35222</v>
      </c>
      <c r="J717">
        <v>4.2777020741183398E-2</v>
      </c>
      <c r="K717">
        <v>9560.6641356544806</v>
      </c>
      <c r="L717">
        <v>9560.6641356544806</v>
      </c>
      <c r="M717">
        <v>599</v>
      </c>
    </row>
    <row r="718" spans="1:13" ht="15">
      <c r="A718" t="s">
        <v>3479</v>
      </c>
      <c r="B718" s="1040" t="str">
        <f>CONCATENATE(LEFT(RIGHT(CONCATENATE("000",IFAData_TEA_1819!A718),6),3),"-",(RIGHT(RIGHT(CONCATENATE("000",IFAData_TEA_1819!A718),6),3)))</f>
        <v>061-907</v>
      </c>
      <c r="C718" t="s">
        <v>2116</v>
      </c>
      <c r="D718">
        <v>9</v>
      </c>
      <c r="E718">
        <v>1586</v>
      </c>
      <c r="F718" t="s">
        <v>4531</v>
      </c>
      <c r="G718" t="s">
        <v>4531</v>
      </c>
      <c r="H718">
        <v>244398</v>
      </c>
      <c r="I718">
        <v>58739</v>
      </c>
      <c r="J718">
        <v>0.18248102618588299</v>
      </c>
      <c r="K718">
        <v>44597.997837777402</v>
      </c>
      <c r="L718">
        <v>44597.997837777402</v>
      </c>
      <c r="M718">
        <v>599</v>
      </c>
    </row>
    <row r="719" spans="1:13" ht="15">
      <c r="A719" t="s">
        <v>3479</v>
      </c>
      <c r="B719" s="1040" t="str">
        <f>CONCATENATE(LEFT(RIGHT(CONCATENATE("000",IFAData_TEA_1819!A719),6),3),"-",(RIGHT(RIGHT(CONCATENATE("000",IFAData_TEA_1819!A719),6),3)))</f>
        <v>061-907</v>
      </c>
      <c r="C719" t="s">
        <v>2116</v>
      </c>
      <c r="D719">
        <v>9</v>
      </c>
      <c r="E719">
        <v>1586</v>
      </c>
      <c r="F719" t="s">
        <v>4531</v>
      </c>
      <c r="G719" t="s">
        <v>8363</v>
      </c>
      <c r="H719">
        <v>244398</v>
      </c>
      <c r="I719">
        <v>263152</v>
      </c>
      <c r="J719">
        <v>0.81751897381411698</v>
      </c>
      <c r="K719">
        <v>199800.00216222301</v>
      </c>
      <c r="L719">
        <v>199800.00216222301</v>
      </c>
      <c r="M719">
        <v>599</v>
      </c>
    </row>
    <row r="720" spans="1:13" ht="15">
      <c r="A720" t="s">
        <v>3480</v>
      </c>
      <c r="B720" s="1040" t="str">
        <f>CONCATENATE(LEFT(RIGHT(CONCATENATE("000",IFAData_TEA_1819!A720),6),3),"-",(RIGHT(RIGHT(CONCATENATE("000",IFAData_TEA_1819!A720),6),3)))</f>
        <v>061-908</v>
      </c>
      <c r="C720" t="s">
        <v>2060</v>
      </c>
      <c r="D720">
        <v>1</v>
      </c>
      <c r="E720">
        <v>2303</v>
      </c>
      <c r="F720" t="s">
        <v>4532</v>
      </c>
      <c r="G720" t="s">
        <v>4532</v>
      </c>
      <c r="H720">
        <v>161107</v>
      </c>
      <c r="I720">
        <v>441080</v>
      </c>
      <c r="J720">
        <v>0.80511823599740795</v>
      </c>
      <c r="K720">
        <v>129710.183646834</v>
      </c>
      <c r="L720">
        <v>129710.183646834</v>
      </c>
      <c r="M720">
        <v>599</v>
      </c>
    </row>
    <row r="721" spans="1:13" ht="15">
      <c r="A721" t="s">
        <v>3480</v>
      </c>
      <c r="B721" s="1040" t="str">
        <f>CONCATENATE(LEFT(RIGHT(CONCATENATE("000",IFAData_TEA_1819!A721),6),3),"-",(RIGHT(RIGHT(CONCATENATE("000",IFAData_TEA_1819!A721),6),3)))</f>
        <v>061-908</v>
      </c>
      <c r="C721" t="s">
        <v>2060</v>
      </c>
      <c r="D721">
        <v>1</v>
      </c>
      <c r="E721">
        <v>2303</v>
      </c>
      <c r="F721" t="s">
        <v>4532</v>
      </c>
      <c r="G721" t="s">
        <v>4533</v>
      </c>
      <c r="H721">
        <v>161107</v>
      </c>
      <c r="I721">
        <v>29695</v>
      </c>
      <c r="J721">
        <v>5.4203287426188101E-2</v>
      </c>
      <c r="K721">
        <v>8732.5290273708797</v>
      </c>
      <c r="L721">
        <v>8732.5290273708797</v>
      </c>
      <c r="M721">
        <v>599</v>
      </c>
    </row>
    <row r="722" spans="1:13" ht="15">
      <c r="A722" t="s">
        <v>3480</v>
      </c>
      <c r="B722" s="1040" t="str">
        <f>CONCATENATE(LEFT(RIGHT(CONCATENATE("000",IFAData_TEA_1819!A722),6),3),"-",(RIGHT(RIGHT(CONCATENATE("000",IFAData_TEA_1819!A722),6),3)))</f>
        <v>061-908</v>
      </c>
      <c r="C722" t="s">
        <v>2060</v>
      </c>
      <c r="D722">
        <v>1</v>
      </c>
      <c r="E722">
        <v>2303</v>
      </c>
      <c r="F722" t="s">
        <v>4532</v>
      </c>
      <c r="G722" t="s">
        <v>4534</v>
      </c>
      <c r="H722">
        <v>161107</v>
      </c>
      <c r="I722">
        <v>14478</v>
      </c>
      <c r="J722">
        <v>2.64271828710675E-2</v>
      </c>
      <c r="K722">
        <v>4257.6041508090802</v>
      </c>
      <c r="L722">
        <v>4257.6041508090802</v>
      </c>
      <c r="M722">
        <v>599</v>
      </c>
    </row>
    <row r="723" spans="1:13" ht="15">
      <c r="A723" t="s">
        <v>3480</v>
      </c>
      <c r="B723" s="1040" t="str">
        <f>CONCATENATE(LEFT(RIGHT(CONCATENATE("000",IFAData_TEA_1819!A723),6),3),"-",(RIGHT(RIGHT(CONCATENATE("000",IFAData_TEA_1819!A723),6),3)))</f>
        <v>061-908</v>
      </c>
      <c r="C723" t="s">
        <v>2060</v>
      </c>
      <c r="D723">
        <v>1</v>
      </c>
      <c r="E723">
        <v>2303</v>
      </c>
      <c r="F723" t="s">
        <v>4532</v>
      </c>
      <c r="G723" t="s">
        <v>6232</v>
      </c>
      <c r="H723">
        <v>161107</v>
      </c>
      <c r="I723">
        <v>39925</v>
      </c>
      <c r="J723">
        <v>7.2876452281210896E-2</v>
      </c>
      <c r="K723">
        <v>11740.906597669</v>
      </c>
      <c r="L723">
        <v>11740.906597669</v>
      </c>
      <c r="M723">
        <v>599</v>
      </c>
    </row>
    <row r="724" spans="1:13" ht="15">
      <c r="A724" t="s">
        <v>3480</v>
      </c>
      <c r="B724" s="1040" t="str">
        <f>CONCATENATE(LEFT(RIGHT(CONCATENATE("000",IFAData_TEA_1819!A724),6),3),"-",(RIGHT(RIGHT(CONCATENATE("000",IFAData_TEA_1819!A724),6),3)))</f>
        <v>061-908</v>
      </c>
      <c r="C724" t="s">
        <v>2060</v>
      </c>
      <c r="D724">
        <v>1</v>
      </c>
      <c r="E724">
        <v>2303</v>
      </c>
      <c r="F724" t="s">
        <v>4532</v>
      </c>
      <c r="G724" t="s">
        <v>8531</v>
      </c>
      <c r="H724">
        <v>161107</v>
      </c>
      <c r="I724">
        <v>22667</v>
      </c>
      <c r="J724">
        <v>4.1374841424125397E-2</v>
      </c>
      <c r="K724">
        <v>6665.7765773165802</v>
      </c>
      <c r="L724">
        <v>6665.7765773165802</v>
      </c>
      <c r="M724">
        <v>599</v>
      </c>
    </row>
    <row r="725" spans="1:13" ht="15">
      <c r="A725" t="s">
        <v>3480</v>
      </c>
      <c r="B725" s="1040" t="str">
        <f>CONCATENATE(LEFT(RIGHT(CONCATENATE("000",IFAData_TEA_1819!A725),6),3),"-",(RIGHT(RIGHT(CONCATENATE("000",IFAData_TEA_1819!A725),6),3)))</f>
        <v>061-908</v>
      </c>
      <c r="C725" t="s">
        <v>2060</v>
      </c>
      <c r="D725">
        <v>5</v>
      </c>
      <c r="E725">
        <v>2304</v>
      </c>
      <c r="F725" t="s">
        <v>4535</v>
      </c>
      <c r="G725" t="s">
        <v>4535</v>
      </c>
      <c r="H725">
        <v>461721</v>
      </c>
      <c r="I725">
        <v>1386827</v>
      </c>
      <c r="J725">
        <v>1</v>
      </c>
      <c r="K725">
        <v>461721</v>
      </c>
      <c r="L725">
        <v>461721</v>
      </c>
      <c r="M725">
        <v>599</v>
      </c>
    </row>
    <row r="726" spans="1:13" ht="15">
      <c r="A726" t="s">
        <v>3480</v>
      </c>
      <c r="B726" s="1040" t="str">
        <f>CONCATENATE(LEFT(RIGHT(CONCATENATE("000",IFAData_TEA_1819!A726),6),3),"-",(RIGHT(RIGHT(CONCATENATE("000",IFAData_TEA_1819!A726),6),3)))</f>
        <v>061-908</v>
      </c>
      <c r="C726" t="s">
        <v>2060</v>
      </c>
      <c r="D726">
        <v>9</v>
      </c>
      <c r="E726">
        <v>2305</v>
      </c>
      <c r="F726" t="s">
        <v>4533</v>
      </c>
      <c r="G726" t="s">
        <v>4533</v>
      </c>
      <c r="H726">
        <v>566674</v>
      </c>
      <c r="I726">
        <v>346281</v>
      </c>
      <c r="J726">
        <v>0.41436934144806298</v>
      </c>
      <c r="K726">
        <v>234812.33219573999</v>
      </c>
      <c r="L726">
        <v>234812.33219573999</v>
      </c>
      <c r="M726">
        <v>599</v>
      </c>
    </row>
    <row r="727" spans="1:13" ht="15">
      <c r="A727" t="s">
        <v>3480</v>
      </c>
      <c r="B727" s="1040" t="str">
        <f>CONCATENATE(LEFT(RIGHT(CONCATENATE("000",IFAData_TEA_1819!A727),6),3),"-",(RIGHT(RIGHT(CONCATENATE("000",IFAData_TEA_1819!A727),6),3)))</f>
        <v>061-908</v>
      </c>
      <c r="C727" t="s">
        <v>2060</v>
      </c>
      <c r="D727">
        <v>9</v>
      </c>
      <c r="E727">
        <v>2305</v>
      </c>
      <c r="F727" t="s">
        <v>4533</v>
      </c>
      <c r="G727" t="s">
        <v>4534</v>
      </c>
      <c r="H727">
        <v>566674</v>
      </c>
      <c r="I727">
        <v>0</v>
      </c>
      <c r="J727">
        <v>0</v>
      </c>
      <c r="K727">
        <v>0</v>
      </c>
      <c r="L727">
        <v>0</v>
      </c>
      <c r="M727">
        <v>599</v>
      </c>
    </row>
    <row r="728" spans="1:13" ht="15">
      <c r="A728" t="s">
        <v>3480</v>
      </c>
      <c r="B728" s="1040" t="str">
        <f>CONCATENATE(LEFT(RIGHT(CONCATENATE("000",IFAData_TEA_1819!A728),6),3),"-",(RIGHT(RIGHT(CONCATENATE("000",IFAData_TEA_1819!A728),6),3)))</f>
        <v>061-908</v>
      </c>
      <c r="C728" t="s">
        <v>2060</v>
      </c>
      <c r="D728">
        <v>9</v>
      </c>
      <c r="E728">
        <v>2305</v>
      </c>
      <c r="F728" t="s">
        <v>4533</v>
      </c>
      <c r="G728" t="s">
        <v>6232</v>
      </c>
      <c r="H728">
        <v>566674</v>
      </c>
      <c r="I728">
        <v>312970</v>
      </c>
      <c r="J728">
        <v>0.37450848528507302</v>
      </c>
      <c r="K728">
        <v>212224.221390433</v>
      </c>
      <c r="L728">
        <v>212224.221390433</v>
      </c>
      <c r="M728">
        <v>599</v>
      </c>
    </row>
    <row r="729" spans="1:13" ht="15">
      <c r="A729" t="s">
        <v>3480</v>
      </c>
      <c r="B729" s="1040" t="str">
        <f>CONCATENATE(LEFT(RIGHT(CONCATENATE("000",IFAData_TEA_1819!A729),6),3),"-",(RIGHT(RIGHT(CONCATENATE("000",IFAData_TEA_1819!A729),6),3)))</f>
        <v>061-908</v>
      </c>
      <c r="C729" t="s">
        <v>2060</v>
      </c>
      <c r="D729">
        <v>9</v>
      </c>
      <c r="E729">
        <v>2305</v>
      </c>
      <c r="F729" t="s">
        <v>4533</v>
      </c>
      <c r="G729" t="s">
        <v>8531</v>
      </c>
      <c r="H729">
        <v>566674</v>
      </c>
      <c r="I729">
        <v>176431</v>
      </c>
      <c r="J729">
        <v>0.211122173266865</v>
      </c>
      <c r="K729">
        <v>119637.446413827</v>
      </c>
      <c r="L729">
        <v>119637.446413827</v>
      </c>
      <c r="M729">
        <v>599</v>
      </c>
    </row>
    <row r="730" spans="1:13" ht="15">
      <c r="A730" t="s">
        <v>3481</v>
      </c>
      <c r="B730" s="1040" t="str">
        <f>CONCATENATE(LEFT(RIGHT(CONCATENATE("000",IFAData_TEA_1819!A730),6),3),"-",(RIGHT(RIGHT(CONCATENATE("000",IFAData_TEA_1819!A730),6),3)))</f>
        <v>061-911</v>
      </c>
      <c r="C730" t="s">
        <v>1256</v>
      </c>
      <c r="D730">
        <v>1</v>
      </c>
      <c r="E730">
        <v>2154</v>
      </c>
      <c r="F730" t="s">
        <v>4536</v>
      </c>
      <c r="G730" t="s">
        <v>4536</v>
      </c>
      <c r="H730">
        <v>740900</v>
      </c>
      <c r="I730">
        <v>0</v>
      </c>
      <c r="J730">
        <v>0</v>
      </c>
      <c r="K730">
        <v>0</v>
      </c>
      <c r="L730">
        <v>0</v>
      </c>
      <c r="M730">
        <v>599</v>
      </c>
    </row>
    <row r="731" spans="1:13" ht="15">
      <c r="A731" t="s">
        <v>3481</v>
      </c>
      <c r="B731" s="1040" t="str">
        <f>CONCATENATE(LEFT(RIGHT(CONCATENATE("000",IFAData_TEA_1819!A731),6),3),"-",(RIGHT(RIGHT(CONCATENATE("000",IFAData_TEA_1819!A731),6),3)))</f>
        <v>061-911</v>
      </c>
      <c r="C731" t="s">
        <v>1256</v>
      </c>
      <c r="D731">
        <v>1</v>
      </c>
      <c r="E731">
        <v>2154</v>
      </c>
      <c r="F731" t="s">
        <v>4536</v>
      </c>
      <c r="G731" t="s">
        <v>4537</v>
      </c>
      <c r="H731">
        <v>740900</v>
      </c>
      <c r="I731">
        <v>0</v>
      </c>
      <c r="J731">
        <v>0</v>
      </c>
      <c r="K731">
        <v>0</v>
      </c>
      <c r="L731">
        <v>0</v>
      </c>
      <c r="M731">
        <v>599</v>
      </c>
    </row>
    <row r="732" spans="1:13" ht="15">
      <c r="A732" t="s">
        <v>3481</v>
      </c>
      <c r="B732" s="1040" t="str">
        <f>CONCATENATE(LEFT(RIGHT(CONCATENATE("000",IFAData_TEA_1819!A732),6),3),"-",(RIGHT(RIGHT(CONCATENATE("000",IFAData_TEA_1819!A732),6),3)))</f>
        <v>061-911</v>
      </c>
      <c r="C732" t="s">
        <v>1256</v>
      </c>
      <c r="D732">
        <v>1</v>
      </c>
      <c r="E732">
        <v>2154</v>
      </c>
      <c r="F732" t="s">
        <v>4536</v>
      </c>
      <c r="G732" t="s">
        <v>4538</v>
      </c>
      <c r="H732">
        <v>740900</v>
      </c>
      <c r="I732">
        <v>0</v>
      </c>
      <c r="J732">
        <v>0</v>
      </c>
      <c r="K732">
        <v>0</v>
      </c>
      <c r="L732">
        <v>0</v>
      </c>
      <c r="M732">
        <v>599</v>
      </c>
    </row>
    <row r="733" spans="1:13" ht="15">
      <c r="A733" t="s">
        <v>3481</v>
      </c>
      <c r="B733" s="1040" t="str">
        <f>CONCATENATE(LEFT(RIGHT(CONCATENATE("000",IFAData_TEA_1819!A733),6),3),"-",(RIGHT(RIGHT(CONCATENATE("000",IFAData_TEA_1819!A733),6),3)))</f>
        <v>061-911</v>
      </c>
      <c r="C733" t="s">
        <v>1256</v>
      </c>
      <c r="D733">
        <v>1</v>
      </c>
      <c r="E733">
        <v>2154</v>
      </c>
      <c r="F733" t="s">
        <v>4536</v>
      </c>
      <c r="G733" t="s">
        <v>6233</v>
      </c>
      <c r="H733">
        <v>740900</v>
      </c>
      <c r="I733">
        <v>1826093</v>
      </c>
      <c r="J733">
        <v>0.99131315160184497</v>
      </c>
      <c r="K733">
        <v>734463.91402180702</v>
      </c>
      <c r="L733">
        <v>734463.91402180702</v>
      </c>
      <c r="M733">
        <v>599</v>
      </c>
    </row>
    <row r="734" spans="1:13" ht="15">
      <c r="A734" t="s">
        <v>3481</v>
      </c>
      <c r="B734" s="1040" t="str">
        <f>CONCATENATE(LEFT(RIGHT(CONCATENATE("000",IFAData_TEA_1819!A734),6),3),"-",(RIGHT(RIGHT(CONCATENATE("000",IFAData_TEA_1819!A734),6),3)))</f>
        <v>061-911</v>
      </c>
      <c r="C734" t="s">
        <v>1256</v>
      </c>
      <c r="D734">
        <v>1</v>
      </c>
      <c r="E734">
        <v>2154</v>
      </c>
      <c r="F734" t="s">
        <v>4536</v>
      </c>
      <c r="G734" t="s">
        <v>6443</v>
      </c>
      <c r="H734">
        <v>740900</v>
      </c>
      <c r="I734">
        <v>16002</v>
      </c>
      <c r="J734">
        <v>8.6868483981553599E-3</v>
      </c>
      <c r="K734">
        <v>6436.0859781933104</v>
      </c>
      <c r="L734">
        <v>6436.0859781933104</v>
      </c>
      <c r="M734">
        <v>599</v>
      </c>
    </row>
    <row r="735" spans="1:13" ht="15">
      <c r="A735" t="s">
        <v>3482</v>
      </c>
      <c r="B735" s="1040" t="str">
        <f>CONCATENATE(LEFT(RIGHT(CONCATENATE("000",IFAData_TEA_1819!A735),6),3),"-",(RIGHT(RIGHT(CONCATENATE("000",IFAData_TEA_1819!A735),6),3)))</f>
        <v>061-912</v>
      </c>
      <c r="C735" t="s">
        <v>2300</v>
      </c>
      <c r="D735">
        <v>3</v>
      </c>
      <c r="E735">
        <v>1997</v>
      </c>
      <c r="F735" t="s">
        <v>4539</v>
      </c>
      <c r="G735" t="s">
        <v>4539</v>
      </c>
      <c r="H735">
        <v>661840</v>
      </c>
      <c r="I735">
        <v>0</v>
      </c>
      <c r="J735">
        <v>0</v>
      </c>
      <c r="K735">
        <v>0</v>
      </c>
      <c r="L735">
        <v>0</v>
      </c>
      <c r="M735">
        <v>599</v>
      </c>
    </row>
    <row r="736" spans="1:13" ht="15">
      <c r="A736" t="s">
        <v>3482</v>
      </c>
      <c r="B736" s="1040" t="str">
        <f>CONCATENATE(LEFT(RIGHT(CONCATENATE("000",IFAData_TEA_1819!A736),6),3),"-",(RIGHT(RIGHT(CONCATENATE("000",IFAData_TEA_1819!A736),6),3)))</f>
        <v>061-912</v>
      </c>
      <c r="C736" t="s">
        <v>2300</v>
      </c>
      <c r="D736">
        <v>3</v>
      </c>
      <c r="E736">
        <v>1997</v>
      </c>
      <c r="F736" t="s">
        <v>4539</v>
      </c>
      <c r="G736" t="s">
        <v>4540</v>
      </c>
      <c r="H736">
        <v>661840</v>
      </c>
      <c r="I736">
        <v>0</v>
      </c>
      <c r="J736">
        <v>0</v>
      </c>
      <c r="K736">
        <v>0</v>
      </c>
      <c r="L736">
        <v>0</v>
      </c>
      <c r="M736">
        <v>599</v>
      </c>
    </row>
    <row r="737" spans="1:13" ht="15">
      <c r="A737" t="s">
        <v>3482</v>
      </c>
      <c r="B737" s="1040" t="str">
        <f>CONCATENATE(LEFT(RIGHT(CONCATENATE("000",IFAData_TEA_1819!A737),6),3),"-",(RIGHT(RIGHT(CONCATENATE("000",IFAData_TEA_1819!A737),6),3)))</f>
        <v>061-912</v>
      </c>
      <c r="C737" t="s">
        <v>2300</v>
      </c>
      <c r="D737">
        <v>3</v>
      </c>
      <c r="E737">
        <v>1997</v>
      </c>
      <c r="F737" t="s">
        <v>4539</v>
      </c>
      <c r="G737" t="s">
        <v>4541</v>
      </c>
      <c r="H737">
        <v>661840</v>
      </c>
      <c r="I737">
        <v>561275</v>
      </c>
      <c r="J737">
        <v>0.98308555134411801</v>
      </c>
      <c r="K737">
        <v>650645.34130159102</v>
      </c>
      <c r="L737">
        <v>561275</v>
      </c>
      <c r="M737">
        <v>599</v>
      </c>
    </row>
    <row r="738" spans="1:13" ht="15">
      <c r="A738" t="s">
        <v>3482</v>
      </c>
      <c r="B738" s="1040" t="str">
        <f>CONCATENATE(LEFT(RIGHT(CONCATENATE("000",IFAData_TEA_1819!A738),6),3),"-",(RIGHT(RIGHT(CONCATENATE("000",IFAData_TEA_1819!A738),6),3)))</f>
        <v>061-912</v>
      </c>
      <c r="C738" t="s">
        <v>2300</v>
      </c>
      <c r="D738">
        <v>3</v>
      </c>
      <c r="E738">
        <v>1997</v>
      </c>
      <c r="F738" t="s">
        <v>4539</v>
      </c>
      <c r="G738" t="s">
        <v>4542</v>
      </c>
      <c r="H738">
        <v>661840</v>
      </c>
      <c r="I738">
        <v>0</v>
      </c>
      <c r="J738">
        <v>0</v>
      </c>
      <c r="K738">
        <v>0</v>
      </c>
      <c r="L738">
        <v>0</v>
      </c>
      <c r="M738">
        <v>599</v>
      </c>
    </row>
    <row r="739" spans="1:13" ht="15">
      <c r="A739" t="s">
        <v>3482</v>
      </c>
      <c r="B739" s="1040" t="str">
        <f>CONCATENATE(LEFT(RIGHT(CONCATENATE("000",IFAData_TEA_1819!A739),6),3),"-",(RIGHT(RIGHT(CONCATENATE("000",IFAData_TEA_1819!A739),6),3)))</f>
        <v>061-912</v>
      </c>
      <c r="C739" t="s">
        <v>2300</v>
      </c>
      <c r="D739">
        <v>3</v>
      </c>
      <c r="E739">
        <v>1997</v>
      </c>
      <c r="F739" t="s">
        <v>4539</v>
      </c>
      <c r="G739" t="s">
        <v>4543</v>
      </c>
      <c r="H739">
        <v>661840</v>
      </c>
      <c r="I739">
        <v>6340</v>
      </c>
      <c r="J739">
        <v>1.11046499407986E-2</v>
      </c>
      <c r="K739">
        <v>7349.5015168181199</v>
      </c>
      <c r="L739">
        <v>6340</v>
      </c>
      <c r="M739">
        <v>599</v>
      </c>
    </row>
    <row r="740" spans="1:13" ht="15">
      <c r="A740" t="s">
        <v>3482</v>
      </c>
      <c r="B740" s="1040" t="str">
        <f>CONCATENATE(LEFT(RIGHT(CONCATENATE("000",IFAData_TEA_1819!A740),6),3),"-",(RIGHT(RIGHT(CONCATENATE("000",IFAData_TEA_1819!A740),6),3)))</f>
        <v>061-912</v>
      </c>
      <c r="C740" t="s">
        <v>2300</v>
      </c>
      <c r="D740">
        <v>3</v>
      </c>
      <c r="E740">
        <v>1997</v>
      </c>
      <c r="F740" t="s">
        <v>4539</v>
      </c>
      <c r="G740" t="s">
        <v>6234</v>
      </c>
      <c r="H740">
        <v>661840</v>
      </c>
      <c r="I740">
        <v>3317</v>
      </c>
      <c r="J740">
        <v>5.8097987150834097E-3</v>
      </c>
      <c r="K740">
        <v>3845.1571815908001</v>
      </c>
      <c r="L740">
        <v>3317</v>
      </c>
      <c r="M740">
        <v>599</v>
      </c>
    </row>
    <row r="741" spans="1:13" ht="15">
      <c r="A741" t="s">
        <v>3482</v>
      </c>
      <c r="B741" s="1040" t="str">
        <f>CONCATENATE(LEFT(RIGHT(CONCATENATE("000",IFAData_TEA_1819!A741),6),3),"-",(RIGHT(RIGHT(CONCATENATE("000",IFAData_TEA_1819!A741),6),3)))</f>
        <v>061-912</v>
      </c>
      <c r="C741" t="s">
        <v>2300</v>
      </c>
      <c r="D741">
        <v>9</v>
      </c>
      <c r="E741">
        <v>1996</v>
      </c>
      <c r="F741" t="s">
        <v>4544</v>
      </c>
      <c r="G741" t="s">
        <v>4544</v>
      </c>
      <c r="H741">
        <v>296517</v>
      </c>
      <c r="I741">
        <v>0</v>
      </c>
      <c r="J741">
        <v>0</v>
      </c>
      <c r="K741">
        <v>0</v>
      </c>
      <c r="L741">
        <v>0</v>
      </c>
      <c r="M741">
        <v>599</v>
      </c>
    </row>
    <row r="742" spans="1:13" ht="15">
      <c r="A742" t="s">
        <v>3482</v>
      </c>
      <c r="B742" s="1040" t="str">
        <f>CONCATENATE(LEFT(RIGHT(CONCATENATE("000",IFAData_TEA_1819!A742),6),3),"-",(RIGHT(RIGHT(CONCATENATE("000",IFAData_TEA_1819!A742),6),3)))</f>
        <v>061-912</v>
      </c>
      <c r="C742" t="s">
        <v>2300</v>
      </c>
      <c r="D742">
        <v>9</v>
      </c>
      <c r="E742">
        <v>1996</v>
      </c>
      <c r="F742" t="s">
        <v>4544</v>
      </c>
      <c r="G742" t="s">
        <v>6234</v>
      </c>
      <c r="H742">
        <v>296517</v>
      </c>
      <c r="I742">
        <v>52934</v>
      </c>
      <c r="J742">
        <v>8.6859922089600194E-2</v>
      </c>
      <c r="K742">
        <v>25755.443518241998</v>
      </c>
      <c r="L742">
        <v>25755.443518241998</v>
      </c>
      <c r="M742">
        <v>599</v>
      </c>
    </row>
    <row r="743" spans="1:13" ht="15">
      <c r="A743" t="s">
        <v>3482</v>
      </c>
      <c r="B743" s="1040" t="str">
        <f>CONCATENATE(LEFT(RIGHT(CONCATENATE("000",IFAData_TEA_1819!A743),6),3),"-",(RIGHT(RIGHT(CONCATENATE("000",IFAData_TEA_1819!A743),6),3)))</f>
        <v>061-912</v>
      </c>
      <c r="C743" t="s">
        <v>2300</v>
      </c>
      <c r="D743">
        <v>9</v>
      </c>
      <c r="E743">
        <v>1996</v>
      </c>
      <c r="F743" t="s">
        <v>4544</v>
      </c>
      <c r="G743" t="s">
        <v>6444</v>
      </c>
      <c r="H743">
        <v>296517</v>
      </c>
      <c r="I743">
        <v>556484</v>
      </c>
      <c r="J743">
        <v>0.91314007791039997</v>
      </c>
      <c r="K743">
        <v>270761.55648175802</v>
      </c>
      <c r="L743">
        <v>270761.55648175802</v>
      </c>
      <c r="M743">
        <v>599</v>
      </c>
    </row>
    <row r="744" spans="1:13" ht="15">
      <c r="A744" t="s">
        <v>3482</v>
      </c>
      <c r="B744" s="1040" t="str">
        <f>CONCATENATE(LEFT(RIGHT(CONCATENATE("000",IFAData_TEA_1819!A744),6),3),"-",(RIGHT(RIGHT(CONCATENATE("000",IFAData_TEA_1819!A744),6),3)))</f>
        <v>061-912</v>
      </c>
      <c r="C744" t="s">
        <v>2300</v>
      </c>
      <c r="D744">
        <v>10</v>
      </c>
      <c r="E744">
        <v>1995</v>
      </c>
      <c r="F744" t="s">
        <v>4545</v>
      </c>
      <c r="G744" t="s">
        <v>4545</v>
      </c>
      <c r="H744">
        <v>177100</v>
      </c>
      <c r="I744">
        <v>0</v>
      </c>
      <c r="J744">
        <v>0</v>
      </c>
      <c r="K744">
        <v>0</v>
      </c>
      <c r="L744">
        <v>0</v>
      </c>
      <c r="M744">
        <v>599</v>
      </c>
    </row>
    <row r="745" spans="1:13" ht="15">
      <c r="A745" t="s">
        <v>3482</v>
      </c>
      <c r="B745" s="1040" t="str">
        <f>CONCATENATE(LEFT(RIGHT(CONCATENATE("000",IFAData_TEA_1819!A745),6),3),"-",(RIGHT(RIGHT(CONCATENATE("000",IFAData_TEA_1819!A745),6),3)))</f>
        <v>061-912</v>
      </c>
      <c r="C745" t="s">
        <v>2300</v>
      </c>
      <c r="D745">
        <v>10</v>
      </c>
      <c r="E745">
        <v>1995</v>
      </c>
      <c r="F745" t="s">
        <v>4545</v>
      </c>
      <c r="G745" t="s">
        <v>6234</v>
      </c>
      <c r="H745">
        <v>177100</v>
      </c>
      <c r="I745">
        <v>131766</v>
      </c>
      <c r="J745">
        <v>1</v>
      </c>
      <c r="K745">
        <v>177100</v>
      </c>
      <c r="L745">
        <v>131766</v>
      </c>
      <c r="M745">
        <v>599</v>
      </c>
    </row>
    <row r="746" spans="1:13" ht="15">
      <c r="A746" t="s">
        <v>3483</v>
      </c>
      <c r="B746" s="1040" t="str">
        <f>CONCATENATE(LEFT(RIGHT(CONCATENATE("000",IFAData_TEA_1819!A746),6),3),"-",(RIGHT(RIGHT(CONCATENATE("000",IFAData_TEA_1819!A746),6),3)))</f>
        <v>061-914</v>
      </c>
      <c r="C746" t="s">
        <v>1567</v>
      </c>
      <c r="D746">
        <v>5</v>
      </c>
      <c r="E746">
        <v>2026</v>
      </c>
      <c r="F746" t="s">
        <v>4546</v>
      </c>
      <c r="G746" t="s">
        <v>4546</v>
      </c>
      <c r="H746">
        <v>512028</v>
      </c>
      <c r="I746">
        <v>0</v>
      </c>
      <c r="J746">
        <v>0</v>
      </c>
      <c r="K746">
        <v>0</v>
      </c>
      <c r="L746">
        <v>0</v>
      </c>
      <c r="M746">
        <v>599</v>
      </c>
    </row>
    <row r="747" spans="1:13" ht="15">
      <c r="A747" t="s">
        <v>3483</v>
      </c>
      <c r="B747" s="1040" t="str">
        <f>CONCATENATE(LEFT(RIGHT(CONCATENATE("000",IFAData_TEA_1819!A747),6),3),"-",(RIGHT(RIGHT(CONCATENATE("000",IFAData_TEA_1819!A747),6),3)))</f>
        <v>061-914</v>
      </c>
      <c r="C747" t="s">
        <v>1567</v>
      </c>
      <c r="D747">
        <v>5</v>
      </c>
      <c r="E747">
        <v>2026</v>
      </c>
      <c r="F747" t="s">
        <v>4546</v>
      </c>
      <c r="G747" t="s">
        <v>4547</v>
      </c>
      <c r="H747">
        <v>512028</v>
      </c>
      <c r="I747">
        <v>0</v>
      </c>
      <c r="J747">
        <v>0</v>
      </c>
      <c r="K747">
        <v>0</v>
      </c>
      <c r="L747">
        <v>0</v>
      </c>
      <c r="M747">
        <v>599</v>
      </c>
    </row>
    <row r="748" spans="1:13" ht="15">
      <c r="A748" t="s">
        <v>3483</v>
      </c>
      <c r="B748" s="1040" t="str">
        <f>CONCATENATE(LEFT(RIGHT(CONCATENATE("000",IFAData_TEA_1819!A748),6),3),"-",(RIGHT(RIGHT(CONCATENATE("000",IFAData_TEA_1819!A748),6),3)))</f>
        <v>061-914</v>
      </c>
      <c r="C748" t="s">
        <v>1567</v>
      </c>
      <c r="D748">
        <v>5</v>
      </c>
      <c r="E748">
        <v>2026</v>
      </c>
      <c r="F748" t="s">
        <v>4546</v>
      </c>
      <c r="G748" t="s">
        <v>4548</v>
      </c>
      <c r="H748">
        <v>512028</v>
      </c>
      <c r="I748">
        <v>0</v>
      </c>
      <c r="J748">
        <v>0</v>
      </c>
      <c r="K748">
        <v>0</v>
      </c>
      <c r="L748">
        <v>0</v>
      </c>
      <c r="M748">
        <v>599</v>
      </c>
    </row>
    <row r="749" spans="1:13" ht="15">
      <c r="A749" t="s">
        <v>3483</v>
      </c>
      <c r="B749" s="1040" t="str">
        <f>CONCATENATE(LEFT(RIGHT(CONCATENATE("000",IFAData_TEA_1819!A749),6),3),"-",(RIGHT(RIGHT(CONCATENATE("000",IFAData_TEA_1819!A749),6),3)))</f>
        <v>061-914</v>
      </c>
      <c r="C749" t="s">
        <v>1567</v>
      </c>
      <c r="D749">
        <v>5</v>
      </c>
      <c r="E749">
        <v>2026</v>
      </c>
      <c r="F749" t="s">
        <v>4546</v>
      </c>
      <c r="G749" t="s">
        <v>4549</v>
      </c>
      <c r="H749">
        <v>512028</v>
      </c>
      <c r="I749">
        <v>0</v>
      </c>
      <c r="J749">
        <v>0</v>
      </c>
      <c r="K749">
        <v>0</v>
      </c>
      <c r="L749">
        <v>0</v>
      </c>
      <c r="M749">
        <v>599</v>
      </c>
    </row>
    <row r="750" spans="1:13" ht="15">
      <c r="A750" t="s">
        <v>3483</v>
      </c>
      <c r="B750" s="1040" t="str">
        <f>CONCATENATE(LEFT(RIGHT(CONCATENATE("000",IFAData_TEA_1819!A750),6),3),"-",(RIGHT(RIGHT(CONCATENATE("000",IFAData_TEA_1819!A750),6),3)))</f>
        <v>061-914</v>
      </c>
      <c r="C750" t="s">
        <v>1567</v>
      </c>
      <c r="D750">
        <v>5</v>
      </c>
      <c r="E750">
        <v>2026</v>
      </c>
      <c r="F750" t="s">
        <v>4546</v>
      </c>
      <c r="G750" t="s">
        <v>4550</v>
      </c>
      <c r="H750">
        <v>512028</v>
      </c>
      <c r="I750">
        <v>0</v>
      </c>
      <c r="J750">
        <v>0</v>
      </c>
      <c r="K750">
        <v>0</v>
      </c>
      <c r="L750">
        <v>0</v>
      </c>
      <c r="M750">
        <v>599</v>
      </c>
    </row>
    <row r="751" spans="1:13" ht="15">
      <c r="A751" t="s">
        <v>3483</v>
      </c>
      <c r="B751" s="1040" t="str">
        <f>CONCATENATE(LEFT(RIGHT(CONCATENATE("000",IFAData_TEA_1819!A751),6),3),"-",(RIGHT(RIGHT(CONCATENATE("000",IFAData_TEA_1819!A751),6),3)))</f>
        <v>061-914</v>
      </c>
      <c r="C751" t="s">
        <v>1567</v>
      </c>
      <c r="D751">
        <v>5</v>
      </c>
      <c r="E751">
        <v>2026</v>
      </c>
      <c r="F751" t="s">
        <v>4546</v>
      </c>
      <c r="G751" t="s">
        <v>4551</v>
      </c>
      <c r="H751">
        <v>512028</v>
      </c>
      <c r="I751">
        <v>580280</v>
      </c>
      <c r="J751">
        <v>0.48638608467080802</v>
      </c>
      <c r="K751">
        <v>249043.294161825</v>
      </c>
      <c r="L751">
        <v>249043.294161825</v>
      </c>
      <c r="M751">
        <v>599</v>
      </c>
    </row>
    <row r="752" spans="1:13" ht="15">
      <c r="A752" t="s">
        <v>3483</v>
      </c>
      <c r="B752" s="1040" t="str">
        <f>CONCATENATE(LEFT(RIGHT(CONCATENATE("000",IFAData_TEA_1819!A752),6),3),"-",(RIGHT(RIGHT(CONCATENATE("000",IFAData_TEA_1819!A752),6),3)))</f>
        <v>061-914</v>
      </c>
      <c r="C752" t="s">
        <v>1567</v>
      </c>
      <c r="D752">
        <v>5</v>
      </c>
      <c r="E752">
        <v>2026</v>
      </c>
      <c r="F752" t="s">
        <v>4546</v>
      </c>
      <c r="G752" t="s">
        <v>4552</v>
      </c>
      <c r="H752">
        <v>512028</v>
      </c>
      <c r="I752">
        <v>0</v>
      </c>
      <c r="J752">
        <v>0</v>
      </c>
      <c r="K752">
        <v>0</v>
      </c>
      <c r="L752">
        <v>0</v>
      </c>
      <c r="M752">
        <v>599</v>
      </c>
    </row>
    <row r="753" spans="1:13" ht="15">
      <c r="A753" t="s">
        <v>3483</v>
      </c>
      <c r="B753" s="1040" t="str">
        <f>CONCATENATE(LEFT(RIGHT(CONCATENATE("000",IFAData_TEA_1819!A753),6),3),"-",(RIGHT(RIGHT(CONCATENATE("000",IFAData_TEA_1819!A753),6),3)))</f>
        <v>061-914</v>
      </c>
      <c r="C753" t="s">
        <v>1567</v>
      </c>
      <c r="D753">
        <v>5</v>
      </c>
      <c r="E753">
        <v>2026</v>
      </c>
      <c r="F753" t="s">
        <v>4546</v>
      </c>
      <c r="G753" t="s">
        <v>4553</v>
      </c>
      <c r="H753">
        <v>512028</v>
      </c>
      <c r="I753">
        <v>333705</v>
      </c>
      <c r="J753">
        <v>0.27970887913605902</v>
      </c>
      <c r="K753">
        <v>143218.77796627799</v>
      </c>
      <c r="L753">
        <v>143218.77796627799</v>
      </c>
      <c r="M753">
        <v>599</v>
      </c>
    </row>
    <row r="754" spans="1:13" ht="15">
      <c r="A754" t="s">
        <v>3483</v>
      </c>
      <c r="B754" s="1040" t="str">
        <f>CONCATENATE(LEFT(RIGHT(CONCATENATE("000",IFAData_TEA_1819!A754),6),3),"-",(RIGHT(RIGHT(CONCATENATE("000",IFAData_TEA_1819!A754),6),3)))</f>
        <v>061-914</v>
      </c>
      <c r="C754" t="s">
        <v>1567</v>
      </c>
      <c r="D754">
        <v>5</v>
      </c>
      <c r="E754">
        <v>2026</v>
      </c>
      <c r="F754" t="s">
        <v>4546</v>
      </c>
      <c r="G754" t="s">
        <v>4554</v>
      </c>
      <c r="H754">
        <v>512028</v>
      </c>
      <c r="I754">
        <v>19199</v>
      </c>
      <c r="J754">
        <v>1.6092449230707299E-2</v>
      </c>
      <c r="K754">
        <v>8239.7845947006208</v>
      </c>
      <c r="L754">
        <v>8239.7845947006208</v>
      </c>
      <c r="M754">
        <v>599</v>
      </c>
    </row>
    <row r="755" spans="1:13" ht="15">
      <c r="A755" t="s">
        <v>3483</v>
      </c>
      <c r="B755" s="1040" t="str">
        <f>CONCATENATE(LEFT(RIGHT(CONCATENATE("000",IFAData_TEA_1819!A755),6),3),"-",(RIGHT(RIGHT(CONCATENATE("000",IFAData_TEA_1819!A755),6),3)))</f>
        <v>061-914</v>
      </c>
      <c r="C755" t="s">
        <v>1567</v>
      </c>
      <c r="D755">
        <v>5</v>
      </c>
      <c r="E755">
        <v>2026</v>
      </c>
      <c r="F755" t="s">
        <v>4546</v>
      </c>
      <c r="G755" t="s">
        <v>4555</v>
      </c>
      <c r="H755">
        <v>512028</v>
      </c>
      <c r="I755">
        <v>2</v>
      </c>
      <c r="J755">
        <v>1.67638410653756E-6</v>
      </c>
      <c r="K755">
        <v>0.858355601302215</v>
      </c>
      <c r="L755">
        <v>0.858355601302215</v>
      </c>
      <c r="M755">
        <v>599</v>
      </c>
    </row>
    <row r="756" spans="1:13" ht="15">
      <c r="A756" t="s">
        <v>3483</v>
      </c>
      <c r="B756" s="1040" t="str">
        <f>CONCATENATE(LEFT(RIGHT(CONCATENATE("000",IFAData_TEA_1819!A756),6),3),"-",(RIGHT(RIGHT(CONCATENATE("000",IFAData_TEA_1819!A756),6),3)))</f>
        <v>061-914</v>
      </c>
      <c r="C756" t="s">
        <v>1567</v>
      </c>
      <c r="D756">
        <v>5</v>
      </c>
      <c r="E756">
        <v>2026</v>
      </c>
      <c r="F756" t="s">
        <v>4546</v>
      </c>
      <c r="G756" t="s">
        <v>4556</v>
      </c>
      <c r="H756">
        <v>512028</v>
      </c>
      <c r="I756">
        <v>3</v>
      </c>
      <c r="J756">
        <v>2.5145761598063398E-6</v>
      </c>
      <c r="K756">
        <v>1.28753340195332</v>
      </c>
      <c r="L756">
        <v>1.28753340195332</v>
      </c>
      <c r="M756">
        <v>599</v>
      </c>
    </row>
    <row r="757" spans="1:13" ht="15">
      <c r="A757" t="s">
        <v>3483</v>
      </c>
      <c r="B757" s="1040" t="str">
        <f>CONCATENATE(LEFT(RIGHT(CONCATENATE("000",IFAData_TEA_1819!A757),6),3),"-",(RIGHT(RIGHT(CONCATENATE("000",IFAData_TEA_1819!A757),6),3)))</f>
        <v>061-914</v>
      </c>
      <c r="C757" t="s">
        <v>1567</v>
      </c>
      <c r="D757">
        <v>5</v>
      </c>
      <c r="E757">
        <v>2026</v>
      </c>
      <c r="F757" t="s">
        <v>4546</v>
      </c>
      <c r="G757" t="s">
        <v>6235</v>
      </c>
      <c r="H757">
        <v>512028</v>
      </c>
      <c r="I757">
        <v>2118</v>
      </c>
      <c r="J757">
        <v>1.7752907688232799E-3</v>
      </c>
      <c r="K757">
        <v>908.99858177904605</v>
      </c>
      <c r="L757">
        <v>908.99858177904605</v>
      </c>
      <c r="M757">
        <v>599</v>
      </c>
    </row>
    <row r="758" spans="1:13" ht="15">
      <c r="A758" t="s">
        <v>3483</v>
      </c>
      <c r="B758" s="1040" t="str">
        <f>CONCATENATE(LEFT(RIGHT(CONCATENATE("000",IFAData_TEA_1819!A758),6),3),"-",(RIGHT(RIGHT(CONCATENATE("000",IFAData_TEA_1819!A758),6),3)))</f>
        <v>061-914</v>
      </c>
      <c r="C758" t="s">
        <v>1567</v>
      </c>
      <c r="D758">
        <v>5</v>
      </c>
      <c r="E758">
        <v>2026</v>
      </c>
      <c r="F758" t="s">
        <v>4546</v>
      </c>
      <c r="G758" t="s">
        <v>6236</v>
      </c>
      <c r="H758">
        <v>512028</v>
      </c>
      <c r="I758">
        <v>44246</v>
      </c>
      <c r="J758">
        <v>3.7086645588930503E-2</v>
      </c>
      <c r="K758">
        <v>18989.400967608901</v>
      </c>
      <c r="L758">
        <v>18989.400967608901</v>
      </c>
      <c r="M758">
        <v>599</v>
      </c>
    </row>
    <row r="759" spans="1:13" ht="15">
      <c r="A759" t="s">
        <v>3483</v>
      </c>
      <c r="B759" s="1040" t="str">
        <f>CONCATENATE(LEFT(RIGHT(CONCATENATE("000",IFAData_TEA_1819!A759),6),3),"-",(RIGHT(RIGHT(CONCATENATE("000",IFAData_TEA_1819!A759),6),3)))</f>
        <v>061-914</v>
      </c>
      <c r="C759" t="s">
        <v>1567</v>
      </c>
      <c r="D759">
        <v>5</v>
      </c>
      <c r="E759">
        <v>2026</v>
      </c>
      <c r="F759" t="s">
        <v>4546</v>
      </c>
      <c r="G759" t="s">
        <v>6445</v>
      </c>
      <c r="H759">
        <v>512028</v>
      </c>
      <c r="I759">
        <v>212600</v>
      </c>
      <c r="J759">
        <v>0.178199630524943</v>
      </c>
      <c r="K759">
        <v>91243.200418425506</v>
      </c>
      <c r="L759">
        <v>91243.200418425506</v>
      </c>
      <c r="M759">
        <v>599</v>
      </c>
    </row>
    <row r="760" spans="1:13" ht="15">
      <c r="A760" t="s">
        <v>3483</v>
      </c>
      <c r="B760" s="1040" t="str">
        <f>CONCATENATE(LEFT(RIGHT(CONCATENATE("000",IFAData_TEA_1819!A760),6),3),"-",(RIGHT(RIGHT(CONCATENATE("000",IFAData_TEA_1819!A760),6),3)))</f>
        <v>061-914</v>
      </c>
      <c r="C760" t="s">
        <v>1567</v>
      </c>
      <c r="D760">
        <v>5</v>
      </c>
      <c r="E760">
        <v>2026</v>
      </c>
      <c r="F760" t="s">
        <v>4546</v>
      </c>
      <c r="G760" t="s">
        <v>8364</v>
      </c>
      <c r="H760">
        <v>512028</v>
      </c>
      <c r="I760">
        <v>891</v>
      </c>
      <c r="J760">
        <v>7.4682911946248403E-4</v>
      </c>
      <c r="K760">
        <v>382.39742038013702</v>
      </c>
      <c r="L760">
        <v>382.39742038013702</v>
      </c>
      <c r="M760">
        <v>599</v>
      </c>
    </row>
    <row r="761" spans="1:13" ht="15">
      <c r="A761" t="s">
        <v>3483</v>
      </c>
      <c r="B761" s="1040" t="str">
        <f>CONCATENATE(LEFT(RIGHT(CONCATENATE("000",IFAData_TEA_1819!A761),6),3),"-",(RIGHT(RIGHT(CONCATENATE("000",IFAData_TEA_1819!A761),6),3)))</f>
        <v>061-914</v>
      </c>
      <c r="C761" t="s">
        <v>1567</v>
      </c>
      <c r="D761">
        <v>9</v>
      </c>
      <c r="E761">
        <v>2027</v>
      </c>
      <c r="F761" t="s">
        <v>4551</v>
      </c>
      <c r="G761" t="s">
        <v>4551</v>
      </c>
      <c r="H761">
        <v>606882</v>
      </c>
      <c r="I761">
        <v>0</v>
      </c>
      <c r="J761">
        <v>0</v>
      </c>
      <c r="K761">
        <v>0</v>
      </c>
      <c r="L761">
        <v>0</v>
      </c>
      <c r="M761">
        <v>599</v>
      </c>
    </row>
    <row r="762" spans="1:13" ht="15">
      <c r="A762" t="s">
        <v>3483</v>
      </c>
      <c r="B762" s="1040" t="str">
        <f>CONCATENATE(LEFT(RIGHT(CONCATENATE("000",IFAData_TEA_1819!A762),6),3),"-",(RIGHT(RIGHT(CONCATENATE("000",IFAData_TEA_1819!A762),6),3)))</f>
        <v>061-914</v>
      </c>
      <c r="C762" t="s">
        <v>1567</v>
      </c>
      <c r="D762">
        <v>9</v>
      </c>
      <c r="E762">
        <v>2027</v>
      </c>
      <c r="F762" t="s">
        <v>4551</v>
      </c>
      <c r="G762" t="s">
        <v>6236</v>
      </c>
      <c r="H762">
        <v>606882</v>
      </c>
      <c r="I762">
        <v>102596</v>
      </c>
      <c r="J762">
        <v>0.12234024793349001</v>
      </c>
      <c r="K762">
        <v>74246.094346372294</v>
      </c>
      <c r="L762">
        <v>74246.094346372294</v>
      </c>
      <c r="M762">
        <v>599</v>
      </c>
    </row>
    <row r="763" spans="1:13" ht="15">
      <c r="A763" t="s">
        <v>3483</v>
      </c>
      <c r="B763" s="1040" t="str">
        <f>CONCATENATE(LEFT(RIGHT(CONCATENATE("000",IFAData_TEA_1819!A763),6),3),"-",(RIGHT(RIGHT(CONCATENATE("000",IFAData_TEA_1819!A763),6),3)))</f>
        <v>061-914</v>
      </c>
      <c r="C763" t="s">
        <v>1567</v>
      </c>
      <c r="D763">
        <v>9</v>
      </c>
      <c r="E763">
        <v>2027</v>
      </c>
      <c r="F763" t="s">
        <v>4551</v>
      </c>
      <c r="G763" t="s">
        <v>6445</v>
      </c>
      <c r="H763">
        <v>606882</v>
      </c>
      <c r="I763">
        <v>736016</v>
      </c>
      <c r="J763">
        <v>0.87765975206651003</v>
      </c>
      <c r="K763">
        <v>532635.90565362806</v>
      </c>
      <c r="L763">
        <v>532635.90565362806</v>
      </c>
      <c r="M763">
        <v>599</v>
      </c>
    </row>
    <row r="764" spans="1:13" ht="15">
      <c r="A764" t="s">
        <v>3483</v>
      </c>
      <c r="B764" s="1040" t="str">
        <f>CONCATENATE(LEFT(RIGHT(CONCATENATE("000",IFAData_TEA_1819!A764),6),3),"-",(RIGHT(RIGHT(CONCATENATE("000",IFAData_TEA_1819!A764),6),3)))</f>
        <v>061-914</v>
      </c>
      <c r="C764" t="s">
        <v>1567</v>
      </c>
      <c r="D764">
        <v>9</v>
      </c>
      <c r="E764">
        <v>2025</v>
      </c>
      <c r="F764" t="s">
        <v>4557</v>
      </c>
      <c r="G764" t="s">
        <v>4557</v>
      </c>
      <c r="H764">
        <v>353398</v>
      </c>
      <c r="I764">
        <v>320538</v>
      </c>
      <c r="J764">
        <v>0.60474760204967204</v>
      </c>
      <c r="K764">
        <v>213716.59306915</v>
      </c>
      <c r="L764">
        <v>213716.59306915</v>
      </c>
      <c r="M764">
        <v>599</v>
      </c>
    </row>
    <row r="765" spans="1:13" ht="15">
      <c r="A765" t="s">
        <v>3483</v>
      </c>
      <c r="B765" s="1040" t="str">
        <f>CONCATENATE(LEFT(RIGHT(CONCATENATE("000",IFAData_TEA_1819!A765),6),3),"-",(RIGHT(RIGHT(CONCATENATE("000",IFAData_TEA_1819!A765),6),3)))</f>
        <v>061-914</v>
      </c>
      <c r="C765" t="s">
        <v>1567</v>
      </c>
      <c r="D765">
        <v>9</v>
      </c>
      <c r="E765">
        <v>2025</v>
      </c>
      <c r="F765" t="s">
        <v>4557</v>
      </c>
      <c r="G765" t="s">
        <v>8364</v>
      </c>
      <c r="H765">
        <v>353398</v>
      </c>
      <c r="I765">
        <v>209498</v>
      </c>
      <c r="J765">
        <v>0.39525239795032802</v>
      </c>
      <c r="K765">
        <v>139681.40693085</v>
      </c>
      <c r="L765">
        <v>139681.40693085</v>
      </c>
      <c r="M765">
        <v>599</v>
      </c>
    </row>
    <row r="766" spans="1:13" ht="15">
      <c r="A766" t="s">
        <v>3484</v>
      </c>
      <c r="B766" s="1040" t="str">
        <f>CONCATENATE(LEFT(RIGHT(CONCATENATE("000",IFAData_TEA_1819!A766),6),3),"-",(RIGHT(RIGHT(CONCATENATE("000",IFAData_TEA_1819!A766),6),3)))</f>
        <v>062-901</v>
      </c>
      <c r="C766" t="s">
        <v>421</v>
      </c>
      <c r="D766">
        <v>6</v>
      </c>
      <c r="E766">
        <v>1741</v>
      </c>
      <c r="F766" t="s">
        <v>4558</v>
      </c>
      <c r="G766" t="s">
        <v>4558</v>
      </c>
      <c r="H766">
        <v>487605</v>
      </c>
      <c r="I766">
        <v>0</v>
      </c>
      <c r="J766">
        <v>0</v>
      </c>
      <c r="K766">
        <v>0</v>
      </c>
      <c r="L766">
        <v>0</v>
      </c>
      <c r="M766">
        <v>599</v>
      </c>
    </row>
    <row r="767" spans="1:13" ht="15">
      <c r="A767" t="s">
        <v>3484</v>
      </c>
      <c r="B767" s="1040" t="str">
        <f>CONCATENATE(LEFT(RIGHT(CONCATENATE("000",IFAData_TEA_1819!A767),6),3),"-",(RIGHT(RIGHT(CONCATENATE("000",IFAData_TEA_1819!A767),6),3)))</f>
        <v>062-901</v>
      </c>
      <c r="C767" t="s">
        <v>421</v>
      </c>
      <c r="D767">
        <v>6</v>
      </c>
      <c r="E767">
        <v>1741</v>
      </c>
      <c r="F767" t="s">
        <v>4558</v>
      </c>
      <c r="G767" t="s">
        <v>6237</v>
      </c>
      <c r="H767">
        <v>487605</v>
      </c>
      <c r="I767">
        <v>352901</v>
      </c>
      <c r="J767">
        <v>1</v>
      </c>
      <c r="K767">
        <v>487605</v>
      </c>
      <c r="L767">
        <v>352901</v>
      </c>
      <c r="M767">
        <v>599</v>
      </c>
    </row>
    <row r="768" spans="1:13" ht="15">
      <c r="A768" t="s">
        <v>3485</v>
      </c>
      <c r="B768" s="1040" t="str">
        <f>CONCATENATE(LEFT(RIGHT(CONCATENATE("000",IFAData_TEA_1819!A768),6),3),"-",(RIGHT(RIGHT(CONCATENATE("000",IFAData_TEA_1819!A768),6),3)))</f>
        <v>062-903</v>
      </c>
      <c r="C768" t="s">
        <v>2196</v>
      </c>
      <c r="D768">
        <v>3</v>
      </c>
      <c r="E768">
        <v>2466</v>
      </c>
      <c r="F768" t="s">
        <v>4559</v>
      </c>
      <c r="G768" t="s">
        <v>4559</v>
      </c>
      <c r="H768">
        <v>5516</v>
      </c>
      <c r="I768">
        <v>0</v>
      </c>
      <c r="J768">
        <v>0</v>
      </c>
      <c r="K768"/>
      <c r="L768">
        <v>0</v>
      </c>
      <c r="M768">
        <v>599</v>
      </c>
    </row>
    <row r="769" spans="1:13" ht="15">
      <c r="A769" t="s">
        <v>3485</v>
      </c>
      <c r="B769" s="1040" t="str">
        <f>CONCATENATE(LEFT(RIGHT(CONCATENATE("000",IFAData_TEA_1819!A769),6),3),"-",(RIGHT(RIGHT(CONCATENATE("000",IFAData_TEA_1819!A769),6),3)))</f>
        <v>062-903</v>
      </c>
      <c r="C769" t="s">
        <v>2196</v>
      </c>
      <c r="D769">
        <v>3</v>
      </c>
      <c r="E769">
        <v>2467</v>
      </c>
      <c r="F769" t="s">
        <v>4562</v>
      </c>
      <c r="G769" t="s">
        <v>4562</v>
      </c>
      <c r="H769">
        <v>324334</v>
      </c>
      <c r="I769">
        <v>0</v>
      </c>
      <c r="J769">
        <v>0</v>
      </c>
      <c r="K769"/>
      <c r="L769">
        <v>0</v>
      </c>
      <c r="M769">
        <v>599</v>
      </c>
    </row>
    <row r="770" spans="1:13" ht="15">
      <c r="A770" t="s">
        <v>3485</v>
      </c>
      <c r="B770" s="1040" t="str">
        <f>CONCATENATE(LEFT(RIGHT(CONCATENATE("000",IFAData_TEA_1819!A770),6),3),"-",(RIGHT(RIGHT(CONCATENATE("000",IFAData_TEA_1819!A770),6),3)))</f>
        <v>062-903</v>
      </c>
      <c r="C770" t="s">
        <v>2196</v>
      </c>
      <c r="D770">
        <v>3</v>
      </c>
      <c r="E770">
        <v>2467</v>
      </c>
      <c r="F770" t="s">
        <v>4562</v>
      </c>
      <c r="G770" t="s">
        <v>4560</v>
      </c>
      <c r="H770">
        <v>324334</v>
      </c>
      <c r="I770">
        <v>0</v>
      </c>
      <c r="J770">
        <v>0</v>
      </c>
      <c r="K770"/>
      <c r="L770">
        <v>0</v>
      </c>
      <c r="M770">
        <v>599</v>
      </c>
    </row>
    <row r="771" spans="1:13" ht="15">
      <c r="A771" t="s">
        <v>3485</v>
      </c>
      <c r="B771" s="1040" t="str">
        <f>CONCATENATE(LEFT(RIGHT(CONCATENATE("000",IFAData_TEA_1819!A771),6),3),"-",(RIGHT(RIGHT(CONCATENATE("000",IFAData_TEA_1819!A771),6),3)))</f>
        <v>062-903</v>
      </c>
      <c r="C771" t="s">
        <v>2196</v>
      </c>
      <c r="D771">
        <v>3</v>
      </c>
      <c r="E771">
        <v>2467</v>
      </c>
      <c r="F771" t="s">
        <v>4562</v>
      </c>
      <c r="G771" t="s">
        <v>4561</v>
      </c>
      <c r="H771">
        <v>324334</v>
      </c>
      <c r="I771">
        <v>0</v>
      </c>
      <c r="J771">
        <v>0</v>
      </c>
      <c r="K771"/>
      <c r="L771">
        <v>0</v>
      </c>
      <c r="M771">
        <v>599</v>
      </c>
    </row>
    <row r="772" spans="1:13" ht="15">
      <c r="A772" t="s">
        <v>3485</v>
      </c>
      <c r="B772" s="1040" t="str">
        <f>CONCATENATE(LEFT(RIGHT(CONCATENATE("000",IFAData_TEA_1819!A772),6),3),"-",(RIGHT(RIGHT(CONCATENATE("000",IFAData_TEA_1819!A772),6),3)))</f>
        <v>062-903</v>
      </c>
      <c r="C772" t="s">
        <v>2196</v>
      </c>
      <c r="D772">
        <v>9</v>
      </c>
      <c r="E772">
        <v>2468</v>
      </c>
      <c r="F772" t="s">
        <v>4563</v>
      </c>
      <c r="G772" t="s">
        <v>4563</v>
      </c>
      <c r="H772">
        <v>368750</v>
      </c>
      <c r="I772">
        <v>0</v>
      </c>
      <c r="J772">
        <v>0</v>
      </c>
      <c r="K772">
        <v>0</v>
      </c>
      <c r="L772">
        <v>0</v>
      </c>
      <c r="M772">
        <v>599</v>
      </c>
    </row>
    <row r="773" spans="1:13" ht="15">
      <c r="A773" t="s">
        <v>3485</v>
      </c>
      <c r="B773" s="1040" t="str">
        <f>CONCATENATE(LEFT(RIGHT(CONCATENATE("000",IFAData_TEA_1819!A773),6),3),"-",(RIGHT(RIGHT(CONCATENATE("000",IFAData_TEA_1819!A773),6),3)))</f>
        <v>062-903</v>
      </c>
      <c r="C773" t="s">
        <v>2196</v>
      </c>
      <c r="D773">
        <v>9</v>
      </c>
      <c r="E773">
        <v>2468</v>
      </c>
      <c r="F773" t="s">
        <v>4563</v>
      </c>
      <c r="G773" t="s">
        <v>6446</v>
      </c>
      <c r="H773">
        <v>368750</v>
      </c>
      <c r="I773">
        <v>456176</v>
      </c>
      <c r="J773">
        <v>1</v>
      </c>
      <c r="K773">
        <v>368750</v>
      </c>
      <c r="L773">
        <v>368750</v>
      </c>
      <c r="M773">
        <v>599</v>
      </c>
    </row>
    <row r="774" spans="1:13" ht="15">
      <c r="A774" t="s">
        <v>3486</v>
      </c>
      <c r="B774" s="1040" t="str">
        <f>CONCATENATE(LEFT(RIGHT(CONCATENATE("000",IFAData_TEA_1819!A774),6),3),"-",(RIGHT(RIGHT(CONCATENATE("000",IFAData_TEA_1819!A774),6),3)))</f>
        <v>064-903</v>
      </c>
      <c r="C774" t="s">
        <v>30</v>
      </c>
      <c r="D774">
        <v>4</v>
      </c>
      <c r="E774">
        <v>1665</v>
      </c>
      <c r="F774" t="s">
        <v>4564</v>
      </c>
      <c r="G774" t="s">
        <v>4564</v>
      </c>
      <c r="H774">
        <v>551763</v>
      </c>
      <c r="I774">
        <v>0</v>
      </c>
      <c r="J774">
        <v>0</v>
      </c>
      <c r="K774">
        <v>0</v>
      </c>
      <c r="L774">
        <v>0</v>
      </c>
      <c r="M774">
        <v>599</v>
      </c>
    </row>
    <row r="775" spans="1:13" ht="15">
      <c r="A775" t="s">
        <v>3486</v>
      </c>
      <c r="B775" s="1040" t="str">
        <f>CONCATENATE(LEFT(RIGHT(CONCATENATE("000",IFAData_TEA_1819!A775),6),3),"-",(RIGHT(RIGHT(CONCATENATE("000",IFAData_TEA_1819!A775),6),3)))</f>
        <v>064-903</v>
      </c>
      <c r="C775" t="s">
        <v>30</v>
      </c>
      <c r="D775">
        <v>4</v>
      </c>
      <c r="E775">
        <v>1665</v>
      </c>
      <c r="F775" t="s">
        <v>4564</v>
      </c>
      <c r="G775" t="s">
        <v>4565</v>
      </c>
      <c r="H775">
        <v>551763</v>
      </c>
      <c r="I775">
        <v>0</v>
      </c>
      <c r="J775">
        <v>0</v>
      </c>
      <c r="K775">
        <v>0</v>
      </c>
      <c r="L775">
        <v>0</v>
      </c>
      <c r="M775">
        <v>599</v>
      </c>
    </row>
    <row r="776" spans="1:13" ht="15">
      <c r="A776" t="s">
        <v>3486</v>
      </c>
      <c r="B776" s="1040" t="str">
        <f>CONCATENATE(LEFT(RIGHT(CONCATENATE("000",IFAData_TEA_1819!A776),6),3),"-",(RIGHT(RIGHT(CONCATENATE("000",IFAData_TEA_1819!A776),6),3)))</f>
        <v>064-903</v>
      </c>
      <c r="C776" t="s">
        <v>30</v>
      </c>
      <c r="D776">
        <v>4</v>
      </c>
      <c r="E776">
        <v>1665</v>
      </c>
      <c r="F776" t="s">
        <v>4564</v>
      </c>
      <c r="G776" t="s">
        <v>6238</v>
      </c>
      <c r="H776">
        <v>551763</v>
      </c>
      <c r="I776">
        <v>466450</v>
      </c>
      <c r="J776">
        <v>1</v>
      </c>
      <c r="K776">
        <v>551763</v>
      </c>
      <c r="L776">
        <v>466450</v>
      </c>
      <c r="M776">
        <v>599</v>
      </c>
    </row>
    <row r="777" spans="1:13" ht="15">
      <c r="A777" t="s">
        <v>3487</v>
      </c>
      <c r="B777" s="1040" t="str">
        <f>CONCATENATE(LEFT(RIGHT(CONCATENATE("000",IFAData_TEA_1819!A777),6),3),"-",(RIGHT(RIGHT(CONCATENATE("000",IFAData_TEA_1819!A777),6),3)))</f>
        <v>065-902</v>
      </c>
      <c r="C777" t="s">
        <v>2370</v>
      </c>
      <c r="D777">
        <v>6</v>
      </c>
      <c r="E777">
        <v>1880</v>
      </c>
      <c r="F777" t="s">
        <v>4566</v>
      </c>
      <c r="G777" t="s">
        <v>4566</v>
      </c>
      <c r="H777">
        <v>89335</v>
      </c>
      <c r="I777">
        <v>0</v>
      </c>
      <c r="J777">
        <v>0</v>
      </c>
      <c r="K777"/>
      <c r="L777">
        <v>0</v>
      </c>
      <c r="M777">
        <v>599</v>
      </c>
    </row>
    <row r="778" spans="1:13" ht="15">
      <c r="A778" t="s">
        <v>3488</v>
      </c>
      <c r="B778" s="1040" t="str">
        <f>CONCATENATE(LEFT(RIGHT(CONCATENATE("000",IFAData_TEA_1819!A778),6),3),"-",(RIGHT(RIGHT(CONCATENATE("000",IFAData_TEA_1819!A778),6),3)))</f>
        <v>066-902</v>
      </c>
      <c r="C778" t="s">
        <v>2030</v>
      </c>
      <c r="D778">
        <v>4</v>
      </c>
      <c r="E778">
        <v>2291</v>
      </c>
      <c r="F778" t="s">
        <v>4567</v>
      </c>
      <c r="G778" t="s">
        <v>4567</v>
      </c>
      <c r="H778">
        <v>395737</v>
      </c>
      <c r="I778">
        <v>0</v>
      </c>
      <c r="J778">
        <v>0</v>
      </c>
      <c r="K778">
        <v>0</v>
      </c>
      <c r="L778">
        <v>0</v>
      </c>
      <c r="M778">
        <v>599</v>
      </c>
    </row>
    <row r="779" spans="1:13" ht="15">
      <c r="A779" t="s">
        <v>3488</v>
      </c>
      <c r="B779" s="1040" t="str">
        <f>CONCATENATE(LEFT(RIGHT(CONCATENATE("000",IFAData_TEA_1819!A779),6),3),"-",(RIGHT(RIGHT(CONCATENATE("000",IFAData_TEA_1819!A779),6),3)))</f>
        <v>066-902</v>
      </c>
      <c r="C779" t="s">
        <v>2030</v>
      </c>
      <c r="D779">
        <v>4</v>
      </c>
      <c r="E779">
        <v>2291</v>
      </c>
      <c r="F779" t="s">
        <v>4567</v>
      </c>
      <c r="G779" t="s">
        <v>4568</v>
      </c>
      <c r="H779">
        <v>395737</v>
      </c>
      <c r="I779">
        <v>0</v>
      </c>
      <c r="J779">
        <v>0</v>
      </c>
      <c r="K779">
        <v>0</v>
      </c>
      <c r="L779">
        <v>0</v>
      </c>
      <c r="M779">
        <v>599</v>
      </c>
    </row>
    <row r="780" spans="1:13" ht="15">
      <c r="A780" t="s">
        <v>3488</v>
      </c>
      <c r="B780" s="1040" t="str">
        <f>CONCATENATE(LEFT(RIGHT(CONCATENATE("000",IFAData_TEA_1819!A780),6),3),"-",(RIGHT(RIGHT(CONCATENATE("000",IFAData_TEA_1819!A780),6),3)))</f>
        <v>066-902</v>
      </c>
      <c r="C780" t="s">
        <v>2030</v>
      </c>
      <c r="D780">
        <v>4</v>
      </c>
      <c r="E780">
        <v>2291</v>
      </c>
      <c r="F780" t="s">
        <v>4567</v>
      </c>
      <c r="G780" t="s">
        <v>6239</v>
      </c>
      <c r="H780">
        <v>395737</v>
      </c>
      <c r="I780">
        <v>321800</v>
      </c>
      <c r="J780">
        <v>1</v>
      </c>
      <c r="K780">
        <v>395737</v>
      </c>
      <c r="L780">
        <v>321800</v>
      </c>
      <c r="M780">
        <v>599</v>
      </c>
    </row>
    <row r="781" spans="1:13" ht="15">
      <c r="A781" t="s">
        <v>3488</v>
      </c>
      <c r="B781" s="1040" t="str">
        <f>CONCATENATE(LEFT(RIGHT(CONCATENATE("000",IFAData_TEA_1819!A781),6),3),"-",(RIGHT(RIGHT(CONCATENATE("000",IFAData_TEA_1819!A781),6),3)))</f>
        <v>066-902</v>
      </c>
      <c r="C781" t="s">
        <v>2030</v>
      </c>
      <c r="D781">
        <v>5</v>
      </c>
      <c r="E781">
        <v>2288</v>
      </c>
      <c r="F781" t="s">
        <v>4569</v>
      </c>
      <c r="G781" t="s">
        <v>4569</v>
      </c>
      <c r="H781">
        <v>221765</v>
      </c>
      <c r="I781">
        <v>0</v>
      </c>
      <c r="J781">
        <v>0</v>
      </c>
      <c r="K781">
        <v>0</v>
      </c>
      <c r="L781">
        <v>0</v>
      </c>
      <c r="M781">
        <v>599</v>
      </c>
    </row>
    <row r="782" spans="1:13" ht="15">
      <c r="A782" t="s">
        <v>3488</v>
      </c>
      <c r="B782" s="1040" t="str">
        <f>CONCATENATE(LEFT(RIGHT(CONCATENATE("000",IFAData_TEA_1819!A782),6),3),"-",(RIGHT(RIGHT(CONCATENATE("000",IFAData_TEA_1819!A782),6),3)))</f>
        <v>066-902</v>
      </c>
      <c r="C782" t="s">
        <v>2030</v>
      </c>
      <c r="D782">
        <v>5</v>
      </c>
      <c r="E782">
        <v>2288</v>
      </c>
      <c r="F782" t="s">
        <v>4569</v>
      </c>
      <c r="G782" t="s">
        <v>4568</v>
      </c>
      <c r="H782">
        <v>221765</v>
      </c>
      <c r="I782">
        <v>0</v>
      </c>
      <c r="J782">
        <v>0</v>
      </c>
      <c r="K782">
        <v>0</v>
      </c>
      <c r="L782">
        <v>0</v>
      </c>
      <c r="M782">
        <v>599</v>
      </c>
    </row>
    <row r="783" spans="1:13" ht="15">
      <c r="A783" t="s">
        <v>3488</v>
      </c>
      <c r="B783" s="1040" t="str">
        <f>CONCATENATE(LEFT(RIGHT(CONCATENATE("000",IFAData_TEA_1819!A783),6),3),"-",(RIGHT(RIGHT(CONCATENATE("000",IFAData_TEA_1819!A783),6),3)))</f>
        <v>066-902</v>
      </c>
      <c r="C783" t="s">
        <v>2030</v>
      </c>
      <c r="D783">
        <v>5</v>
      </c>
      <c r="E783">
        <v>2288</v>
      </c>
      <c r="F783" t="s">
        <v>4569</v>
      </c>
      <c r="G783" t="s">
        <v>6239</v>
      </c>
      <c r="H783">
        <v>221765</v>
      </c>
      <c r="I783">
        <v>202400</v>
      </c>
      <c r="J783">
        <v>1</v>
      </c>
      <c r="K783">
        <v>221765</v>
      </c>
      <c r="L783">
        <v>202400</v>
      </c>
      <c r="M783">
        <v>599</v>
      </c>
    </row>
    <row r="784" spans="1:13" ht="15">
      <c r="A784" t="s">
        <v>3488</v>
      </c>
      <c r="B784" s="1040" t="str">
        <f>CONCATENATE(LEFT(RIGHT(CONCATENATE("000",IFAData_TEA_1819!A784),6),3),"-",(RIGHT(RIGHT(CONCATENATE("000",IFAData_TEA_1819!A784),6),3)))</f>
        <v>066-902</v>
      </c>
      <c r="C784" t="s">
        <v>2030</v>
      </c>
      <c r="D784">
        <v>8</v>
      </c>
      <c r="E784">
        <v>2290</v>
      </c>
      <c r="F784" t="s">
        <v>4570</v>
      </c>
      <c r="G784" t="s">
        <v>4570</v>
      </c>
      <c r="H784">
        <v>346350</v>
      </c>
      <c r="I784">
        <v>0</v>
      </c>
      <c r="J784">
        <v>0</v>
      </c>
      <c r="K784">
        <v>0</v>
      </c>
      <c r="L784">
        <v>0</v>
      </c>
      <c r="M784">
        <v>599</v>
      </c>
    </row>
    <row r="785" spans="1:13" ht="15">
      <c r="A785" t="s">
        <v>3488</v>
      </c>
      <c r="B785" s="1040" t="str">
        <f>CONCATENATE(LEFT(RIGHT(CONCATENATE("000",IFAData_TEA_1819!A785),6),3),"-",(RIGHT(RIGHT(CONCATENATE("000",IFAData_TEA_1819!A785),6),3)))</f>
        <v>066-902</v>
      </c>
      <c r="C785" t="s">
        <v>2030</v>
      </c>
      <c r="D785">
        <v>8</v>
      </c>
      <c r="E785">
        <v>2290</v>
      </c>
      <c r="F785" t="s">
        <v>4570</v>
      </c>
      <c r="G785" t="s">
        <v>6447</v>
      </c>
      <c r="H785">
        <v>346350</v>
      </c>
      <c r="I785">
        <v>455600</v>
      </c>
      <c r="J785">
        <v>1</v>
      </c>
      <c r="K785">
        <v>346350</v>
      </c>
      <c r="L785">
        <v>346350</v>
      </c>
      <c r="M785">
        <v>599</v>
      </c>
    </row>
    <row r="786" spans="1:13" ht="15">
      <c r="A786" t="s">
        <v>3488</v>
      </c>
      <c r="B786" s="1040" t="str">
        <f>CONCATENATE(LEFT(RIGHT(CONCATENATE("000",IFAData_TEA_1819!A786),6),3),"-",(RIGHT(RIGHT(CONCATENATE("000",IFAData_TEA_1819!A786),6),3)))</f>
        <v>066-902</v>
      </c>
      <c r="C786" t="s">
        <v>2030</v>
      </c>
      <c r="D786">
        <v>10</v>
      </c>
      <c r="E786">
        <v>2289</v>
      </c>
      <c r="F786" t="s">
        <v>4571</v>
      </c>
      <c r="G786" t="s">
        <v>4571</v>
      </c>
      <c r="H786">
        <v>275767</v>
      </c>
      <c r="I786">
        <v>273481</v>
      </c>
      <c r="J786">
        <v>1</v>
      </c>
      <c r="K786">
        <v>275767</v>
      </c>
      <c r="L786">
        <v>273481</v>
      </c>
      <c r="M786">
        <v>599</v>
      </c>
    </row>
    <row r="787" spans="1:13" ht="15">
      <c r="A787" t="s">
        <v>4572</v>
      </c>
      <c r="B787" s="1040" t="str">
        <f>CONCATENATE(LEFT(RIGHT(CONCATENATE("000",IFAData_TEA_1819!A787),6),3),"-",(RIGHT(RIGHT(CONCATENATE("000",IFAData_TEA_1819!A787),6),3)))</f>
        <v>067-902</v>
      </c>
      <c r="C787" t="s">
        <v>2151</v>
      </c>
      <c r="D787">
        <v>5</v>
      </c>
      <c r="E787">
        <v>1692</v>
      </c>
      <c r="F787" t="s">
        <v>4573</v>
      </c>
      <c r="G787" t="s">
        <v>4573</v>
      </c>
      <c r="H787">
        <v>108854</v>
      </c>
      <c r="I787">
        <v>0</v>
      </c>
      <c r="J787">
        <v>0</v>
      </c>
      <c r="K787"/>
      <c r="L787">
        <v>0</v>
      </c>
      <c r="M787">
        <v>199</v>
      </c>
    </row>
    <row r="788" spans="1:13" ht="15">
      <c r="A788" t="s">
        <v>3489</v>
      </c>
      <c r="B788" s="1040" t="str">
        <f>CONCATENATE(LEFT(RIGHT(CONCATENATE("000",IFAData_TEA_1819!A788),6),3),"-",(RIGHT(RIGHT(CONCATENATE("000",IFAData_TEA_1819!A788),6),3)))</f>
        <v>070-901</v>
      </c>
      <c r="C788" t="s">
        <v>2117</v>
      </c>
      <c r="D788">
        <v>5</v>
      </c>
      <c r="E788">
        <v>1587</v>
      </c>
      <c r="F788" t="s">
        <v>4574</v>
      </c>
      <c r="G788" t="s">
        <v>4574</v>
      </c>
      <c r="H788">
        <v>100000</v>
      </c>
      <c r="I788">
        <v>0</v>
      </c>
      <c r="J788">
        <v>0</v>
      </c>
      <c r="K788">
        <v>0</v>
      </c>
      <c r="L788">
        <v>0</v>
      </c>
      <c r="M788">
        <v>599</v>
      </c>
    </row>
    <row r="789" spans="1:13" ht="15">
      <c r="A789" t="s">
        <v>3489</v>
      </c>
      <c r="B789" s="1040" t="str">
        <f>CONCATENATE(LEFT(RIGHT(CONCATENATE("000",IFAData_TEA_1819!A789),6),3),"-",(RIGHT(RIGHT(CONCATENATE("000",IFAData_TEA_1819!A789),6),3)))</f>
        <v>070-901</v>
      </c>
      <c r="C789" t="s">
        <v>2117</v>
      </c>
      <c r="D789">
        <v>5</v>
      </c>
      <c r="E789">
        <v>1587</v>
      </c>
      <c r="F789" t="s">
        <v>4574</v>
      </c>
      <c r="G789" t="s">
        <v>4575</v>
      </c>
      <c r="H789">
        <v>100000</v>
      </c>
      <c r="I789">
        <v>81900</v>
      </c>
      <c r="J789">
        <v>1</v>
      </c>
      <c r="K789">
        <v>100000</v>
      </c>
      <c r="L789">
        <v>81900</v>
      </c>
      <c r="M789">
        <v>599</v>
      </c>
    </row>
    <row r="790" spans="1:13" ht="15">
      <c r="A790" t="s">
        <v>3490</v>
      </c>
      <c r="B790" s="1040" t="str">
        <f>CONCATENATE(LEFT(RIGHT(CONCATENATE("000",IFAData_TEA_1819!A790),6),3),"-",(RIGHT(RIGHT(CONCATENATE("000",IFAData_TEA_1819!A790),6),3)))</f>
        <v>070-905</v>
      </c>
      <c r="C790" t="s">
        <v>1970</v>
      </c>
      <c r="D790">
        <v>9</v>
      </c>
      <c r="E790">
        <v>1812</v>
      </c>
      <c r="F790" t="s">
        <v>4576</v>
      </c>
      <c r="G790" t="s">
        <v>4576</v>
      </c>
      <c r="H790">
        <v>367965</v>
      </c>
      <c r="I790">
        <v>323175</v>
      </c>
      <c r="J790">
        <v>0.31664483359673501</v>
      </c>
      <c r="K790">
        <v>116514.216194422</v>
      </c>
      <c r="L790">
        <v>116514.216194422</v>
      </c>
      <c r="M790">
        <v>599</v>
      </c>
    </row>
    <row r="791" spans="1:13" ht="15">
      <c r="A791" t="s">
        <v>3490</v>
      </c>
      <c r="B791" s="1040" t="str">
        <f>CONCATENATE(LEFT(RIGHT(CONCATENATE("000",IFAData_TEA_1819!A791),6),3),"-",(RIGHT(RIGHT(CONCATENATE("000",IFAData_TEA_1819!A791),6),3)))</f>
        <v>070-905</v>
      </c>
      <c r="C791" t="s">
        <v>1970</v>
      </c>
      <c r="D791">
        <v>9</v>
      </c>
      <c r="E791">
        <v>1812</v>
      </c>
      <c r="F791" t="s">
        <v>4576</v>
      </c>
      <c r="G791" t="s">
        <v>4577</v>
      </c>
      <c r="H791">
        <v>367965</v>
      </c>
      <c r="I791">
        <v>553850</v>
      </c>
      <c r="J791">
        <v>0.54265874862706398</v>
      </c>
      <c r="K791">
        <v>199679.426438558</v>
      </c>
      <c r="L791">
        <v>199679.426438558</v>
      </c>
      <c r="M791">
        <v>599</v>
      </c>
    </row>
    <row r="792" spans="1:13" ht="15">
      <c r="A792" t="s">
        <v>3490</v>
      </c>
      <c r="B792" s="1040" t="str">
        <f>CONCATENATE(LEFT(RIGHT(CONCATENATE("000",IFAData_TEA_1819!A792),6),3),"-",(RIGHT(RIGHT(CONCATENATE("000",IFAData_TEA_1819!A792),6),3)))</f>
        <v>070-905</v>
      </c>
      <c r="C792" t="s">
        <v>1970</v>
      </c>
      <c r="D792">
        <v>9</v>
      </c>
      <c r="E792">
        <v>1812</v>
      </c>
      <c r="F792" t="s">
        <v>4576</v>
      </c>
      <c r="G792" t="s">
        <v>6240</v>
      </c>
      <c r="H792">
        <v>367965</v>
      </c>
      <c r="I792">
        <v>143598</v>
      </c>
      <c r="J792">
        <v>0.14069641777620101</v>
      </c>
      <c r="K792">
        <v>51771.357367019897</v>
      </c>
      <c r="L792">
        <v>51771.357367019897</v>
      </c>
      <c r="M792">
        <v>599</v>
      </c>
    </row>
    <row r="793" spans="1:13" ht="15">
      <c r="A793" t="s">
        <v>3491</v>
      </c>
      <c r="B793" s="1040" t="str">
        <f>CONCATENATE(LEFT(RIGHT(CONCATENATE("000",IFAData_TEA_1819!A793),6),3),"-",(RIGHT(RIGHT(CONCATENATE("000",IFAData_TEA_1819!A793),6),3)))</f>
        <v>070-907</v>
      </c>
      <c r="C793" t="s">
        <v>1270</v>
      </c>
      <c r="D793">
        <v>4</v>
      </c>
      <c r="E793">
        <v>1930</v>
      </c>
      <c r="F793" t="s">
        <v>4578</v>
      </c>
      <c r="G793" t="s">
        <v>4578</v>
      </c>
      <c r="H793">
        <v>137308</v>
      </c>
      <c r="I793">
        <v>0</v>
      </c>
      <c r="J793">
        <v>0</v>
      </c>
      <c r="K793">
        <v>0</v>
      </c>
      <c r="L793">
        <v>0</v>
      </c>
      <c r="M793">
        <v>599</v>
      </c>
    </row>
    <row r="794" spans="1:13" ht="15">
      <c r="A794" t="s">
        <v>3491</v>
      </c>
      <c r="B794" s="1040" t="str">
        <f>CONCATENATE(LEFT(RIGHT(CONCATENATE("000",IFAData_TEA_1819!A794),6),3),"-",(RIGHT(RIGHT(CONCATENATE("000",IFAData_TEA_1819!A794),6),3)))</f>
        <v>070-907</v>
      </c>
      <c r="C794" t="s">
        <v>1270</v>
      </c>
      <c r="D794">
        <v>4</v>
      </c>
      <c r="E794">
        <v>1930</v>
      </c>
      <c r="F794" t="s">
        <v>4578</v>
      </c>
      <c r="G794" t="s">
        <v>4579</v>
      </c>
      <c r="H794">
        <v>137308</v>
      </c>
      <c r="I794">
        <v>137327</v>
      </c>
      <c r="J794">
        <v>1</v>
      </c>
      <c r="K794">
        <v>137308</v>
      </c>
      <c r="L794">
        <v>137308</v>
      </c>
      <c r="M794">
        <v>599</v>
      </c>
    </row>
    <row r="795" spans="1:13" ht="15">
      <c r="A795" t="s">
        <v>3491</v>
      </c>
      <c r="B795" s="1040" t="str">
        <f>CONCATENATE(LEFT(RIGHT(CONCATENATE("000",IFAData_TEA_1819!A795),6),3),"-",(RIGHT(RIGHT(CONCATENATE("000",IFAData_TEA_1819!A795),6),3)))</f>
        <v>070-907</v>
      </c>
      <c r="C795" t="s">
        <v>1270</v>
      </c>
      <c r="D795">
        <v>11</v>
      </c>
      <c r="E795">
        <v>2563</v>
      </c>
      <c r="F795" t="s">
        <v>8365</v>
      </c>
      <c r="G795" t="s">
        <v>8365</v>
      </c>
      <c r="H795">
        <v>130375</v>
      </c>
      <c r="I795">
        <v>276981</v>
      </c>
      <c r="J795">
        <v>1</v>
      </c>
      <c r="K795">
        <v>130375</v>
      </c>
      <c r="L795">
        <v>130375</v>
      </c>
      <c r="M795">
        <v>599</v>
      </c>
    </row>
    <row r="796" spans="1:13" ht="15">
      <c r="A796" t="s">
        <v>3492</v>
      </c>
      <c r="B796" s="1040" t="str">
        <f>CONCATENATE(LEFT(RIGHT(CONCATENATE("000",IFAData_TEA_1819!A796),6),3),"-",(RIGHT(RIGHT(CONCATENATE("000",IFAData_TEA_1819!A796),6),3)))</f>
        <v>070-910</v>
      </c>
      <c r="C796" t="s">
        <v>1363</v>
      </c>
      <c r="D796">
        <v>5</v>
      </c>
      <c r="E796">
        <v>2171</v>
      </c>
      <c r="F796" t="s">
        <v>4580</v>
      </c>
      <c r="G796" t="s">
        <v>4580</v>
      </c>
      <c r="H796">
        <v>229000</v>
      </c>
      <c r="I796">
        <v>0</v>
      </c>
      <c r="J796">
        <v>0</v>
      </c>
      <c r="K796">
        <v>0</v>
      </c>
      <c r="L796">
        <v>0</v>
      </c>
      <c r="M796">
        <v>599</v>
      </c>
    </row>
    <row r="797" spans="1:13" ht="15">
      <c r="A797" t="s">
        <v>3492</v>
      </c>
      <c r="B797" s="1040" t="str">
        <f>CONCATENATE(LEFT(RIGHT(CONCATENATE("000",IFAData_TEA_1819!A797),6),3),"-",(RIGHT(RIGHT(CONCATENATE("000",IFAData_TEA_1819!A797),6),3)))</f>
        <v>070-910</v>
      </c>
      <c r="C797" t="s">
        <v>1363</v>
      </c>
      <c r="D797">
        <v>5</v>
      </c>
      <c r="E797">
        <v>2171</v>
      </c>
      <c r="F797" t="s">
        <v>4580</v>
      </c>
      <c r="G797" t="s">
        <v>4581</v>
      </c>
      <c r="H797">
        <v>229000</v>
      </c>
      <c r="I797">
        <v>0</v>
      </c>
      <c r="J797">
        <v>0</v>
      </c>
      <c r="K797">
        <v>0</v>
      </c>
      <c r="L797">
        <v>0</v>
      </c>
      <c r="M797">
        <v>599</v>
      </c>
    </row>
    <row r="798" spans="1:13" ht="15">
      <c r="A798" t="s">
        <v>3492</v>
      </c>
      <c r="B798" s="1040" t="str">
        <f>CONCATENATE(LEFT(RIGHT(CONCATENATE("000",IFAData_TEA_1819!A798),6),3),"-",(RIGHT(RIGHT(CONCATENATE("000",IFAData_TEA_1819!A798),6),3)))</f>
        <v>070-910</v>
      </c>
      <c r="C798" t="s">
        <v>1363</v>
      </c>
      <c r="D798">
        <v>5</v>
      </c>
      <c r="E798">
        <v>2171</v>
      </c>
      <c r="F798" t="s">
        <v>4580</v>
      </c>
      <c r="G798" t="s">
        <v>6448</v>
      </c>
      <c r="H798">
        <v>229000</v>
      </c>
      <c r="I798">
        <v>313788</v>
      </c>
      <c r="J798">
        <v>1</v>
      </c>
      <c r="K798">
        <v>229000</v>
      </c>
      <c r="L798">
        <v>229000</v>
      </c>
      <c r="M798">
        <v>599</v>
      </c>
    </row>
    <row r="799" spans="1:13" ht="15">
      <c r="A799" t="s">
        <v>3493</v>
      </c>
      <c r="B799" s="1040" t="str">
        <f>CONCATENATE(LEFT(RIGHT(CONCATENATE("000",IFAData_TEA_1819!A799),6),3),"-",(RIGHT(RIGHT(CONCATENATE("000",IFAData_TEA_1819!A799),6),3)))</f>
        <v>070-911</v>
      </c>
      <c r="C799" t="s">
        <v>79</v>
      </c>
      <c r="D799">
        <v>3</v>
      </c>
      <c r="E799">
        <v>2230</v>
      </c>
      <c r="F799" t="s">
        <v>4582</v>
      </c>
      <c r="G799" t="s">
        <v>4582</v>
      </c>
      <c r="H799">
        <v>350000</v>
      </c>
      <c r="I799">
        <v>295000</v>
      </c>
      <c r="J799">
        <v>1</v>
      </c>
      <c r="K799">
        <v>350000</v>
      </c>
      <c r="L799">
        <v>295000</v>
      </c>
      <c r="M799">
        <v>599</v>
      </c>
    </row>
    <row r="800" spans="1:13" ht="15">
      <c r="A800" t="s">
        <v>3493</v>
      </c>
      <c r="B800" s="1040" t="str">
        <f>CONCATENATE(LEFT(RIGHT(CONCATENATE("000",IFAData_TEA_1819!A800),6),3),"-",(RIGHT(RIGHT(CONCATENATE("000",IFAData_TEA_1819!A800),6),3)))</f>
        <v>070-911</v>
      </c>
      <c r="C800" t="s">
        <v>79</v>
      </c>
      <c r="D800">
        <v>3</v>
      </c>
      <c r="E800">
        <v>2230</v>
      </c>
      <c r="F800" t="s">
        <v>4582</v>
      </c>
      <c r="G800" t="s">
        <v>4583</v>
      </c>
      <c r="H800">
        <v>350000</v>
      </c>
      <c r="I800">
        <v>0</v>
      </c>
      <c r="J800">
        <v>0</v>
      </c>
      <c r="K800">
        <v>0</v>
      </c>
      <c r="L800">
        <v>0</v>
      </c>
      <c r="M800">
        <v>599</v>
      </c>
    </row>
    <row r="801" spans="1:13" ht="15">
      <c r="A801" t="s">
        <v>3493</v>
      </c>
      <c r="B801" s="1040" t="str">
        <f>CONCATENATE(LEFT(RIGHT(CONCATENATE("000",IFAData_TEA_1819!A801),6),3),"-",(RIGHT(RIGHT(CONCATENATE("000",IFAData_TEA_1819!A801),6),3)))</f>
        <v>070-911</v>
      </c>
      <c r="C801" t="s">
        <v>79</v>
      </c>
      <c r="D801">
        <v>6</v>
      </c>
      <c r="E801">
        <v>2229</v>
      </c>
      <c r="F801" t="s">
        <v>4584</v>
      </c>
      <c r="G801" t="s">
        <v>4584</v>
      </c>
      <c r="H801">
        <v>67680</v>
      </c>
      <c r="I801">
        <v>0</v>
      </c>
      <c r="J801">
        <v>0</v>
      </c>
      <c r="K801">
        <v>0</v>
      </c>
      <c r="L801">
        <v>0</v>
      </c>
      <c r="M801">
        <v>599</v>
      </c>
    </row>
    <row r="802" spans="1:13" ht="15">
      <c r="A802" t="s">
        <v>3493</v>
      </c>
      <c r="B802" s="1040" t="str">
        <f>CONCATENATE(LEFT(RIGHT(CONCATENATE("000",IFAData_TEA_1819!A802),6),3),"-",(RIGHT(RIGHT(CONCATENATE("000",IFAData_TEA_1819!A802),6),3)))</f>
        <v>070-911</v>
      </c>
      <c r="C802" t="s">
        <v>79</v>
      </c>
      <c r="D802">
        <v>6</v>
      </c>
      <c r="E802">
        <v>2229</v>
      </c>
      <c r="F802" t="s">
        <v>4584</v>
      </c>
      <c r="G802" t="s">
        <v>4585</v>
      </c>
      <c r="H802">
        <v>67680</v>
      </c>
      <c r="I802">
        <v>93079</v>
      </c>
      <c r="J802">
        <v>1</v>
      </c>
      <c r="K802">
        <v>67680</v>
      </c>
      <c r="L802">
        <v>67680</v>
      </c>
      <c r="M802">
        <v>599</v>
      </c>
    </row>
    <row r="803" spans="1:13" ht="15">
      <c r="A803" t="s">
        <v>3493</v>
      </c>
      <c r="B803" s="1040" t="str">
        <f>CONCATENATE(LEFT(RIGHT(CONCATENATE("000",IFAData_TEA_1819!A803),6),3),"-",(RIGHT(RIGHT(CONCATENATE("000",IFAData_TEA_1819!A803),6),3)))</f>
        <v>070-911</v>
      </c>
      <c r="C803" t="s">
        <v>79</v>
      </c>
      <c r="D803">
        <v>9</v>
      </c>
      <c r="E803">
        <v>2231</v>
      </c>
      <c r="F803" t="s">
        <v>4586</v>
      </c>
      <c r="G803" t="s">
        <v>4586</v>
      </c>
      <c r="H803">
        <v>1269033</v>
      </c>
      <c r="I803">
        <v>0</v>
      </c>
      <c r="J803">
        <v>0</v>
      </c>
      <c r="K803">
        <v>0</v>
      </c>
      <c r="L803">
        <v>0</v>
      </c>
      <c r="M803">
        <v>599</v>
      </c>
    </row>
    <row r="804" spans="1:13" ht="15">
      <c r="A804" t="s">
        <v>3493</v>
      </c>
      <c r="B804" s="1040" t="str">
        <f>CONCATENATE(LEFT(RIGHT(CONCATENATE("000",IFAData_TEA_1819!A804),6),3),"-",(RIGHT(RIGHT(CONCATENATE("000",IFAData_TEA_1819!A804),6),3)))</f>
        <v>070-911</v>
      </c>
      <c r="C804" t="s">
        <v>79</v>
      </c>
      <c r="D804">
        <v>9</v>
      </c>
      <c r="E804">
        <v>2231</v>
      </c>
      <c r="F804" t="s">
        <v>4586</v>
      </c>
      <c r="G804" t="s">
        <v>6241</v>
      </c>
      <c r="H804">
        <v>1269033</v>
      </c>
      <c r="I804">
        <v>646950</v>
      </c>
      <c r="J804">
        <v>0.373671400203542</v>
      </c>
      <c r="K804">
        <v>474201.33801450202</v>
      </c>
      <c r="L804">
        <v>474201.33801450202</v>
      </c>
      <c r="M804">
        <v>599</v>
      </c>
    </row>
    <row r="805" spans="1:13" ht="15">
      <c r="A805" t="s">
        <v>3493</v>
      </c>
      <c r="B805" s="1040" t="str">
        <f>CONCATENATE(LEFT(RIGHT(CONCATENATE("000",IFAData_TEA_1819!A805),6),3),"-",(RIGHT(RIGHT(CONCATENATE("000",IFAData_TEA_1819!A805),6),3)))</f>
        <v>070-911</v>
      </c>
      <c r="C805" t="s">
        <v>79</v>
      </c>
      <c r="D805">
        <v>9</v>
      </c>
      <c r="E805">
        <v>2231</v>
      </c>
      <c r="F805" t="s">
        <v>4586</v>
      </c>
      <c r="G805" t="s">
        <v>6242</v>
      </c>
      <c r="H805">
        <v>1269033</v>
      </c>
      <c r="I805">
        <v>627200</v>
      </c>
      <c r="J805">
        <v>0.36226401145012999</v>
      </c>
      <c r="K805">
        <v>459724.98524259299</v>
      </c>
      <c r="L805">
        <v>459724.98524259299</v>
      </c>
      <c r="M805">
        <v>599</v>
      </c>
    </row>
    <row r="806" spans="1:13" ht="15">
      <c r="A806" t="s">
        <v>3493</v>
      </c>
      <c r="B806" s="1040" t="str">
        <f>CONCATENATE(LEFT(RIGHT(CONCATENATE("000",IFAData_TEA_1819!A806),6),3),"-",(RIGHT(RIGHT(CONCATENATE("000",IFAData_TEA_1819!A806),6),3)))</f>
        <v>070-911</v>
      </c>
      <c r="C806" t="s">
        <v>79</v>
      </c>
      <c r="D806">
        <v>9</v>
      </c>
      <c r="E806">
        <v>2231</v>
      </c>
      <c r="F806" t="s">
        <v>4586</v>
      </c>
      <c r="G806" t="s">
        <v>6449</v>
      </c>
      <c r="H806">
        <v>1269033</v>
      </c>
      <c r="I806">
        <v>372800</v>
      </c>
      <c r="J806">
        <v>0.21532529252010299</v>
      </c>
      <c r="K806">
        <v>273254.901942664</v>
      </c>
      <c r="L806">
        <v>273254.901942664</v>
      </c>
      <c r="M806">
        <v>599</v>
      </c>
    </row>
    <row r="807" spans="1:13" ht="15">
      <c r="A807" t="s">
        <v>3493</v>
      </c>
      <c r="B807" s="1040" t="str">
        <f>CONCATENATE(LEFT(RIGHT(CONCATENATE("000",IFAData_TEA_1819!A807),6),3),"-",(RIGHT(RIGHT(CONCATENATE("000",IFAData_TEA_1819!A807),6),3)))</f>
        <v>070-911</v>
      </c>
      <c r="C807" t="s">
        <v>79</v>
      </c>
      <c r="D807">
        <v>9</v>
      </c>
      <c r="E807">
        <v>2231</v>
      </c>
      <c r="F807" t="s">
        <v>4586</v>
      </c>
      <c r="G807" t="s">
        <v>8366</v>
      </c>
      <c r="H807">
        <v>1269033</v>
      </c>
      <c r="I807">
        <v>84384</v>
      </c>
      <c r="J807">
        <v>4.8739295826224202E-2</v>
      </c>
      <c r="K807">
        <v>61851.774800240702</v>
      </c>
      <c r="L807">
        <v>61851.774800240702</v>
      </c>
      <c r="M807">
        <v>599</v>
      </c>
    </row>
    <row r="808" spans="1:13" ht="15">
      <c r="A808" t="s">
        <v>3493</v>
      </c>
      <c r="B808" s="1040" t="str">
        <f>CONCATENATE(LEFT(RIGHT(CONCATENATE("000",IFAData_TEA_1819!A808),6),3),"-",(RIGHT(RIGHT(CONCATENATE("000",IFAData_TEA_1819!A808),6),3)))</f>
        <v>070-911</v>
      </c>
      <c r="C808" t="s">
        <v>79</v>
      </c>
      <c r="D808">
        <v>10</v>
      </c>
      <c r="E808">
        <v>2232</v>
      </c>
      <c r="F808" t="s">
        <v>4587</v>
      </c>
      <c r="G808" t="s">
        <v>4587</v>
      </c>
      <c r="H808">
        <v>1279231</v>
      </c>
      <c r="I808">
        <v>0</v>
      </c>
      <c r="J808">
        <v>0</v>
      </c>
      <c r="K808">
        <v>0</v>
      </c>
      <c r="L808">
        <v>0</v>
      </c>
      <c r="M808">
        <v>599</v>
      </c>
    </row>
    <row r="809" spans="1:13" ht="15">
      <c r="A809" t="s">
        <v>3493</v>
      </c>
      <c r="B809" s="1040" t="str">
        <f>CONCATENATE(LEFT(RIGHT(CONCATENATE("000",IFAData_TEA_1819!A809),6),3),"-",(RIGHT(RIGHT(CONCATENATE("000",IFAData_TEA_1819!A809),6),3)))</f>
        <v>070-911</v>
      </c>
      <c r="C809" t="s">
        <v>79</v>
      </c>
      <c r="D809">
        <v>10</v>
      </c>
      <c r="E809">
        <v>2232</v>
      </c>
      <c r="F809" t="s">
        <v>4587</v>
      </c>
      <c r="G809" t="s">
        <v>8366</v>
      </c>
      <c r="H809">
        <v>1279231</v>
      </c>
      <c r="I809">
        <v>2269216</v>
      </c>
      <c r="J809">
        <v>1</v>
      </c>
      <c r="K809">
        <v>1279231</v>
      </c>
      <c r="L809">
        <v>1279231</v>
      </c>
      <c r="M809">
        <v>599</v>
      </c>
    </row>
    <row r="810" spans="1:13" ht="15">
      <c r="A810" t="s">
        <v>3494</v>
      </c>
      <c r="B810" s="1040" t="str">
        <f>CONCATENATE(LEFT(RIGHT(CONCATENATE("000",IFAData_TEA_1819!A810),6),3),"-",(RIGHT(RIGHT(CONCATENATE("000",IFAData_TEA_1819!A810),6),3)))</f>
        <v>070-912</v>
      </c>
      <c r="C810" t="s">
        <v>139</v>
      </c>
      <c r="D810">
        <v>1</v>
      </c>
      <c r="E810">
        <v>2438</v>
      </c>
      <c r="F810" t="s">
        <v>4588</v>
      </c>
      <c r="G810" t="s">
        <v>4588</v>
      </c>
      <c r="H810">
        <v>1270445</v>
      </c>
      <c r="I810">
        <v>0</v>
      </c>
      <c r="J810">
        <v>0</v>
      </c>
      <c r="K810"/>
      <c r="L810">
        <v>0</v>
      </c>
      <c r="M810">
        <v>599</v>
      </c>
    </row>
    <row r="811" spans="1:13" ht="15">
      <c r="A811" t="s">
        <v>3495</v>
      </c>
      <c r="B811" s="1040" t="str">
        <f>CONCATENATE(LEFT(RIGHT(CONCATENATE("000",IFAData_TEA_1819!A811),6),3),"-",(RIGHT(RIGHT(CONCATENATE("000",IFAData_TEA_1819!A811),6),3)))</f>
        <v>070-915</v>
      </c>
      <c r="C811" t="s">
        <v>1992</v>
      </c>
      <c r="D811">
        <v>4</v>
      </c>
      <c r="E811">
        <v>2078</v>
      </c>
      <c r="F811" t="s">
        <v>4591</v>
      </c>
      <c r="G811" t="s">
        <v>4591</v>
      </c>
      <c r="H811">
        <v>207500</v>
      </c>
      <c r="I811">
        <v>0</v>
      </c>
      <c r="J811">
        <v>0</v>
      </c>
      <c r="K811">
        <v>0</v>
      </c>
      <c r="L811">
        <v>0</v>
      </c>
      <c r="M811">
        <v>599</v>
      </c>
    </row>
    <row r="812" spans="1:13" ht="15">
      <c r="A812" t="s">
        <v>3495</v>
      </c>
      <c r="B812" s="1040" t="str">
        <f>CONCATENATE(LEFT(RIGHT(CONCATENATE("000",IFAData_TEA_1819!A812),6),3),"-",(RIGHT(RIGHT(CONCATENATE("000",IFAData_TEA_1819!A812),6),3)))</f>
        <v>070-915</v>
      </c>
      <c r="C812" t="s">
        <v>1992</v>
      </c>
      <c r="D812">
        <v>4</v>
      </c>
      <c r="E812">
        <v>2078</v>
      </c>
      <c r="F812" t="s">
        <v>4591</v>
      </c>
      <c r="G812" t="s">
        <v>4592</v>
      </c>
      <c r="H812">
        <v>207500</v>
      </c>
      <c r="I812">
        <v>131669</v>
      </c>
      <c r="J812">
        <v>0.421005342942743</v>
      </c>
      <c r="K812">
        <v>87358.608660619197</v>
      </c>
      <c r="L812">
        <v>87358.608660619197</v>
      </c>
      <c r="M812">
        <v>599</v>
      </c>
    </row>
    <row r="813" spans="1:13" ht="15">
      <c r="A813" t="s">
        <v>3495</v>
      </c>
      <c r="B813" s="1040" t="str">
        <f>CONCATENATE(LEFT(RIGHT(CONCATENATE("000",IFAData_TEA_1819!A813),6),3),"-",(RIGHT(RIGHT(CONCATENATE("000",IFAData_TEA_1819!A813),6),3)))</f>
        <v>070-915</v>
      </c>
      <c r="C813" t="s">
        <v>1992</v>
      </c>
      <c r="D813">
        <v>4</v>
      </c>
      <c r="E813">
        <v>2078</v>
      </c>
      <c r="F813" t="s">
        <v>4591</v>
      </c>
      <c r="G813" t="s">
        <v>4593</v>
      </c>
      <c r="H813">
        <v>207500</v>
      </c>
      <c r="I813">
        <v>59650</v>
      </c>
      <c r="J813">
        <v>0.19072802790736301</v>
      </c>
      <c r="K813">
        <v>39576.065790777902</v>
      </c>
      <c r="L813">
        <v>39576.065790777902</v>
      </c>
      <c r="M813">
        <v>599</v>
      </c>
    </row>
    <row r="814" spans="1:13" ht="15">
      <c r="A814" t="s">
        <v>3495</v>
      </c>
      <c r="B814" s="1040" t="str">
        <f>CONCATENATE(LEFT(RIGHT(CONCATENATE("000",IFAData_TEA_1819!A814),6),3),"-",(RIGHT(RIGHT(CONCATENATE("000",IFAData_TEA_1819!A814),6),3)))</f>
        <v>070-915</v>
      </c>
      <c r="C814" t="s">
        <v>1992</v>
      </c>
      <c r="D814">
        <v>4</v>
      </c>
      <c r="E814">
        <v>2078</v>
      </c>
      <c r="F814" t="s">
        <v>4591</v>
      </c>
      <c r="G814" t="s">
        <v>4594</v>
      </c>
      <c r="H814">
        <v>207500</v>
      </c>
      <c r="I814">
        <v>70397</v>
      </c>
      <c r="J814">
        <v>0.22509104745338901</v>
      </c>
      <c r="K814">
        <v>46706.392346578301</v>
      </c>
      <c r="L814">
        <v>46706.392346578301</v>
      </c>
      <c r="M814">
        <v>599</v>
      </c>
    </row>
    <row r="815" spans="1:13" ht="15">
      <c r="A815" t="s">
        <v>3495</v>
      </c>
      <c r="B815" s="1040" t="str">
        <f>CONCATENATE(LEFT(RIGHT(CONCATENATE("000",IFAData_TEA_1819!A815),6),3),"-",(RIGHT(RIGHT(CONCATENATE("000",IFAData_TEA_1819!A815),6),3)))</f>
        <v>070-915</v>
      </c>
      <c r="C815" t="s">
        <v>1992</v>
      </c>
      <c r="D815">
        <v>4</v>
      </c>
      <c r="E815">
        <v>2078</v>
      </c>
      <c r="F815" t="s">
        <v>4591</v>
      </c>
      <c r="G815" t="s">
        <v>6243</v>
      </c>
      <c r="H815">
        <v>207500</v>
      </c>
      <c r="I815">
        <v>51033</v>
      </c>
      <c r="J815">
        <v>0.16317558169650401</v>
      </c>
      <c r="K815">
        <v>33858.9332020246</v>
      </c>
      <c r="L815">
        <v>33858.9332020246</v>
      </c>
      <c r="M815">
        <v>599</v>
      </c>
    </row>
    <row r="816" spans="1:13" ht="15">
      <c r="A816" t="s">
        <v>3496</v>
      </c>
      <c r="B816" s="1040" t="str">
        <f>CONCATENATE(LEFT(RIGHT(CONCATENATE("000",IFAData_TEA_1819!A816),6),3),"-",(RIGHT(RIGHT(CONCATENATE("000",IFAData_TEA_1819!A816),6),3)))</f>
        <v>071-901</v>
      </c>
      <c r="C816" t="s">
        <v>1166</v>
      </c>
      <c r="D816">
        <v>2</v>
      </c>
      <c r="E816">
        <v>1696</v>
      </c>
      <c r="F816" t="s">
        <v>4595</v>
      </c>
      <c r="G816" t="s">
        <v>4595</v>
      </c>
      <c r="H816">
        <v>530747</v>
      </c>
      <c r="I816">
        <v>0</v>
      </c>
      <c r="J816">
        <v>0</v>
      </c>
      <c r="K816"/>
      <c r="L816">
        <v>0</v>
      </c>
      <c r="M816">
        <v>199</v>
      </c>
    </row>
    <row r="817" spans="1:13" ht="15">
      <c r="A817" t="s">
        <v>3496</v>
      </c>
      <c r="B817" s="1040" t="str">
        <f>CONCATENATE(LEFT(RIGHT(CONCATENATE("000",IFAData_TEA_1819!A817),6),3),"-",(RIGHT(RIGHT(CONCATENATE("000",IFAData_TEA_1819!A817),6),3)))</f>
        <v>071-901</v>
      </c>
      <c r="C817" t="s">
        <v>1166</v>
      </c>
      <c r="D817">
        <v>3</v>
      </c>
      <c r="E817">
        <v>1698</v>
      </c>
      <c r="F817" t="s">
        <v>4596</v>
      </c>
      <c r="G817" t="s">
        <v>4596</v>
      </c>
      <c r="H817">
        <v>1037938</v>
      </c>
      <c r="I817">
        <v>0</v>
      </c>
      <c r="J817">
        <v>0</v>
      </c>
      <c r="K817">
        <v>0</v>
      </c>
      <c r="L817">
        <v>0</v>
      </c>
      <c r="M817">
        <v>199</v>
      </c>
    </row>
    <row r="818" spans="1:13" ht="15">
      <c r="A818" t="s">
        <v>3496</v>
      </c>
      <c r="B818" s="1040" t="str">
        <f>CONCATENATE(LEFT(RIGHT(CONCATENATE("000",IFAData_TEA_1819!A818),6),3),"-",(RIGHT(RIGHT(CONCATENATE("000",IFAData_TEA_1819!A818),6),3)))</f>
        <v>071-901</v>
      </c>
      <c r="C818" t="s">
        <v>1166</v>
      </c>
      <c r="D818">
        <v>3</v>
      </c>
      <c r="E818">
        <v>1698</v>
      </c>
      <c r="F818" t="s">
        <v>4596</v>
      </c>
      <c r="G818" t="s">
        <v>4597</v>
      </c>
      <c r="H818">
        <v>1037938</v>
      </c>
      <c r="I818">
        <v>495000</v>
      </c>
      <c r="J818">
        <v>0.54746765793335905</v>
      </c>
      <c r="K818">
        <v>568237.48594003497</v>
      </c>
      <c r="L818">
        <v>495000</v>
      </c>
      <c r="M818">
        <v>599</v>
      </c>
    </row>
    <row r="819" spans="1:13" ht="15">
      <c r="A819" t="s">
        <v>3496</v>
      </c>
      <c r="B819" s="1040" t="str">
        <f>CONCATENATE(LEFT(RIGHT(CONCATENATE("000",IFAData_TEA_1819!A819),6),3),"-",(RIGHT(RIGHT(CONCATENATE("000",IFAData_TEA_1819!A819),6),3)))</f>
        <v>071-901</v>
      </c>
      <c r="C819" t="s">
        <v>1166</v>
      </c>
      <c r="D819">
        <v>3</v>
      </c>
      <c r="E819">
        <v>1698</v>
      </c>
      <c r="F819" t="s">
        <v>4596</v>
      </c>
      <c r="G819" t="s">
        <v>4598</v>
      </c>
      <c r="H819">
        <v>1037938</v>
      </c>
      <c r="I819">
        <v>0</v>
      </c>
      <c r="J819">
        <v>0</v>
      </c>
      <c r="K819">
        <v>0</v>
      </c>
      <c r="L819">
        <v>0</v>
      </c>
      <c r="M819">
        <v>599</v>
      </c>
    </row>
    <row r="820" spans="1:13" ht="15">
      <c r="A820" t="s">
        <v>3496</v>
      </c>
      <c r="B820" s="1040" t="str">
        <f>CONCATENATE(LEFT(RIGHT(CONCATENATE("000",IFAData_TEA_1819!A820),6),3),"-",(RIGHT(RIGHT(CONCATENATE("000",IFAData_TEA_1819!A820),6),3)))</f>
        <v>071-901</v>
      </c>
      <c r="C820" t="s">
        <v>1166</v>
      </c>
      <c r="D820">
        <v>3</v>
      </c>
      <c r="E820">
        <v>1698</v>
      </c>
      <c r="F820" t="s">
        <v>4596</v>
      </c>
      <c r="G820" t="s">
        <v>4599</v>
      </c>
      <c r="H820">
        <v>1037938</v>
      </c>
      <c r="I820">
        <v>287571</v>
      </c>
      <c r="J820">
        <v>0.31805216537283698</v>
      </c>
      <c r="K820">
        <v>330118.42842275102</v>
      </c>
      <c r="L820">
        <v>287571</v>
      </c>
      <c r="M820">
        <v>599</v>
      </c>
    </row>
    <row r="821" spans="1:13" ht="15">
      <c r="A821" t="s">
        <v>3496</v>
      </c>
      <c r="B821" s="1040" t="str">
        <f>CONCATENATE(LEFT(RIGHT(CONCATENATE("000",IFAData_TEA_1819!A821),6),3),"-",(RIGHT(RIGHT(CONCATENATE("000",IFAData_TEA_1819!A821),6),3)))</f>
        <v>071-901</v>
      </c>
      <c r="C821" t="s">
        <v>1166</v>
      </c>
      <c r="D821">
        <v>3</v>
      </c>
      <c r="E821">
        <v>1698</v>
      </c>
      <c r="F821" t="s">
        <v>4596</v>
      </c>
      <c r="G821" t="s">
        <v>6451</v>
      </c>
      <c r="H821">
        <v>1037938</v>
      </c>
      <c r="I821">
        <v>121592</v>
      </c>
      <c r="J821">
        <v>0.13448017669380399</v>
      </c>
      <c r="K821">
        <v>139582.08563721401</v>
      </c>
      <c r="L821">
        <v>121592</v>
      </c>
      <c r="M821">
        <v>599</v>
      </c>
    </row>
    <row r="822" spans="1:13" ht="15">
      <c r="A822" t="s">
        <v>3496</v>
      </c>
      <c r="B822" s="1040" t="str">
        <f>CONCATENATE(LEFT(RIGHT(CONCATENATE("000",IFAData_TEA_1819!A822),6),3),"-",(RIGHT(RIGHT(CONCATENATE("000",IFAData_TEA_1819!A822),6),3)))</f>
        <v>071-901</v>
      </c>
      <c r="C822" t="s">
        <v>1166</v>
      </c>
      <c r="D822">
        <v>4</v>
      </c>
      <c r="E822">
        <v>1697</v>
      </c>
      <c r="F822" t="s">
        <v>4600</v>
      </c>
      <c r="G822" t="s">
        <v>4600</v>
      </c>
      <c r="H822">
        <v>732644</v>
      </c>
      <c r="I822">
        <v>0</v>
      </c>
      <c r="J822">
        <v>0</v>
      </c>
      <c r="K822"/>
      <c r="L822">
        <v>0</v>
      </c>
      <c r="M822">
        <v>199</v>
      </c>
    </row>
    <row r="823" spans="1:13" ht="15">
      <c r="A823" t="s">
        <v>3496</v>
      </c>
      <c r="B823" s="1040" t="str">
        <f>CONCATENATE(LEFT(RIGHT(CONCATENATE("000",IFAData_TEA_1819!A823),6),3),"-",(RIGHT(RIGHT(CONCATENATE("000",IFAData_TEA_1819!A823),6),3)))</f>
        <v>071-901</v>
      </c>
      <c r="C823" t="s">
        <v>1166</v>
      </c>
      <c r="D823">
        <v>6</v>
      </c>
      <c r="E823">
        <v>1699</v>
      </c>
      <c r="F823" t="s">
        <v>4601</v>
      </c>
      <c r="G823" t="s">
        <v>4601</v>
      </c>
      <c r="H823">
        <v>1200698</v>
      </c>
      <c r="I823">
        <v>0</v>
      </c>
      <c r="J823">
        <v>0</v>
      </c>
      <c r="K823">
        <v>0</v>
      </c>
      <c r="L823">
        <v>0</v>
      </c>
      <c r="M823">
        <v>599</v>
      </c>
    </row>
    <row r="824" spans="1:13" ht="15">
      <c r="A824" t="s">
        <v>3496</v>
      </c>
      <c r="B824" s="1040" t="str">
        <f>CONCATENATE(LEFT(RIGHT(CONCATENATE("000",IFAData_TEA_1819!A824),6),3),"-",(RIGHT(RIGHT(CONCATENATE("000",IFAData_TEA_1819!A824),6),3)))</f>
        <v>071-901</v>
      </c>
      <c r="C824" t="s">
        <v>1166</v>
      </c>
      <c r="D824">
        <v>6</v>
      </c>
      <c r="E824">
        <v>1699</v>
      </c>
      <c r="F824" t="s">
        <v>4601</v>
      </c>
      <c r="G824" t="s">
        <v>4598</v>
      </c>
      <c r="H824">
        <v>1200698</v>
      </c>
      <c r="I824">
        <v>0</v>
      </c>
      <c r="J824">
        <v>0</v>
      </c>
      <c r="K824">
        <v>0</v>
      </c>
      <c r="L824">
        <v>0</v>
      </c>
      <c r="M824">
        <v>599</v>
      </c>
    </row>
    <row r="825" spans="1:13" ht="15">
      <c r="A825" t="s">
        <v>3496</v>
      </c>
      <c r="B825" s="1040" t="str">
        <f>CONCATENATE(LEFT(RIGHT(CONCATENATE("000",IFAData_TEA_1819!A825),6),3),"-",(RIGHT(RIGHT(CONCATENATE("000",IFAData_TEA_1819!A825),6),3)))</f>
        <v>071-901</v>
      </c>
      <c r="C825" t="s">
        <v>1166</v>
      </c>
      <c r="D825">
        <v>6</v>
      </c>
      <c r="E825">
        <v>1699</v>
      </c>
      <c r="F825" t="s">
        <v>4601</v>
      </c>
      <c r="G825" t="s">
        <v>4602</v>
      </c>
      <c r="H825">
        <v>1200698</v>
      </c>
      <c r="I825">
        <v>287905</v>
      </c>
      <c r="J825">
        <v>0.26500389352900999</v>
      </c>
      <c r="K825">
        <v>318189.644952495</v>
      </c>
      <c r="L825">
        <v>287905</v>
      </c>
      <c r="M825">
        <v>599</v>
      </c>
    </row>
    <row r="826" spans="1:13" ht="15">
      <c r="A826" t="s">
        <v>3496</v>
      </c>
      <c r="B826" s="1040" t="str">
        <f>CONCATENATE(LEFT(RIGHT(CONCATENATE("000",IFAData_TEA_1819!A826),6),3),"-",(RIGHT(RIGHT(CONCATENATE("000",IFAData_TEA_1819!A826),6),3)))</f>
        <v>071-901</v>
      </c>
      <c r="C826" t="s">
        <v>1166</v>
      </c>
      <c r="D826">
        <v>6</v>
      </c>
      <c r="E826">
        <v>1699</v>
      </c>
      <c r="F826" t="s">
        <v>4601</v>
      </c>
      <c r="G826" t="s">
        <v>6451</v>
      </c>
      <c r="H826">
        <v>1200698</v>
      </c>
      <c r="I826">
        <v>798513</v>
      </c>
      <c r="J826">
        <v>0.73499610647099001</v>
      </c>
      <c r="K826">
        <v>882508.355047505</v>
      </c>
      <c r="L826">
        <v>798513</v>
      </c>
      <c r="M826">
        <v>599</v>
      </c>
    </row>
    <row r="827" spans="1:13" ht="15">
      <c r="A827" t="s">
        <v>3496</v>
      </c>
      <c r="B827" s="1040" t="str">
        <f>CONCATENATE(LEFT(RIGHT(CONCATENATE("000",IFAData_TEA_1819!A827),6),3),"-",(RIGHT(RIGHT(CONCATENATE("000",IFAData_TEA_1819!A827),6),3)))</f>
        <v>071-901</v>
      </c>
      <c r="C827" t="s">
        <v>1166</v>
      </c>
      <c r="D827">
        <v>8</v>
      </c>
      <c r="E827">
        <v>1700</v>
      </c>
      <c r="F827" t="s">
        <v>4603</v>
      </c>
      <c r="G827" t="s">
        <v>4603</v>
      </c>
      <c r="H827">
        <v>2334930</v>
      </c>
      <c r="I827">
        <v>0</v>
      </c>
      <c r="J827">
        <v>0</v>
      </c>
      <c r="K827">
        <v>0</v>
      </c>
      <c r="L827">
        <v>0</v>
      </c>
      <c r="M827">
        <v>599</v>
      </c>
    </row>
    <row r="828" spans="1:13" ht="15">
      <c r="A828" t="s">
        <v>3496</v>
      </c>
      <c r="B828" s="1040" t="str">
        <f>CONCATENATE(LEFT(RIGHT(CONCATENATE("000",IFAData_TEA_1819!A828),6),3),"-",(RIGHT(RIGHT(CONCATENATE("000",IFAData_TEA_1819!A828),6),3)))</f>
        <v>071-901</v>
      </c>
      <c r="C828" t="s">
        <v>1166</v>
      </c>
      <c r="D828">
        <v>8</v>
      </c>
      <c r="E828">
        <v>1700</v>
      </c>
      <c r="F828" t="s">
        <v>4603</v>
      </c>
      <c r="G828" t="s">
        <v>4604</v>
      </c>
      <c r="H828">
        <v>2334930</v>
      </c>
      <c r="I828">
        <v>2192100</v>
      </c>
      <c r="J828">
        <v>1</v>
      </c>
      <c r="K828">
        <v>2334930</v>
      </c>
      <c r="L828">
        <v>2192100</v>
      </c>
      <c r="M828">
        <v>599</v>
      </c>
    </row>
    <row r="829" spans="1:13" ht="15">
      <c r="A829" t="s">
        <v>3496</v>
      </c>
      <c r="B829" s="1040" t="str">
        <f>CONCATENATE(LEFT(RIGHT(CONCATENATE("000",IFAData_TEA_1819!A829),6),3),"-",(RIGHT(RIGHT(CONCATENATE("000",IFAData_TEA_1819!A829),6),3)))</f>
        <v>071-901</v>
      </c>
      <c r="C829" t="s">
        <v>1166</v>
      </c>
      <c r="D829">
        <v>9</v>
      </c>
      <c r="E829">
        <v>1701</v>
      </c>
      <c r="F829" t="s">
        <v>4605</v>
      </c>
      <c r="G829" t="s">
        <v>4605</v>
      </c>
      <c r="H829">
        <v>2567970</v>
      </c>
      <c r="I829">
        <v>0</v>
      </c>
      <c r="J829">
        <v>0</v>
      </c>
      <c r="K829">
        <v>0</v>
      </c>
      <c r="L829">
        <v>0</v>
      </c>
      <c r="M829">
        <v>599</v>
      </c>
    </row>
    <row r="830" spans="1:13" ht="15">
      <c r="A830" t="s">
        <v>3496</v>
      </c>
      <c r="B830" s="1040" t="str">
        <f>CONCATENATE(LEFT(RIGHT(CONCATENATE("000",IFAData_TEA_1819!A830),6),3),"-",(RIGHT(RIGHT(CONCATENATE("000",IFAData_TEA_1819!A830),6),3)))</f>
        <v>071-901</v>
      </c>
      <c r="C830" t="s">
        <v>1166</v>
      </c>
      <c r="D830">
        <v>9</v>
      </c>
      <c r="E830">
        <v>1701</v>
      </c>
      <c r="F830" t="s">
        <v>4605</v>
      </c>
      <c r="G830" t="s">
        <v>6450</v>
      </c>
      <c r="H830">
        <v>2567970</v>
      </c>
      <c r="I830">
        <v>2227400</v>
      </c>
      <c r="J830">
        <v>1</v>
      </c>
      <c r="K830">
        <v>2567970</v>
      </c>
      <c r="L830">
        <v>2227400</v>
      </c>
      <c r="M830">
        <v>599</v>
      </c>
    </row>
    <row r="831" spans="1:13" ht="15">
      <c r="A831" t="s">
        <v>3496</v>
      </c>
      <c r="B831" s="1040" t="str">
        <f>CONCATENATE(LEFT(RIGHT(CONCATENATE("000",IFAData_TEA_1819!A831),6),3),"-",(RIGHT(RIGHT(CONCATENATE("000",IFAData_TEA_1819!A831),6),3)))</f>
        <v>071-901</v>
      </c>
      <c r="C831" t="s">
        <v>1166</v>
      </c>
      <c r="D831">
        <v>11</v>
      </c>
      <c r="E831">
        <v>2556</v>
      </c>
      <c r="F831" t="s">
        <v>8367</v>
      </c>
      <c r="G831" t="s">
        <v>8367</v>
      </c>
      <c r="H831">
        <v>2547117</v>
      </c>
      <c r="I831">
        <v>2547133</v>
      </c>
      <c r="J831">
        <v>1</v>
      </c>
      <c r="K831">
        <v>2547117</v>
      </c>
      <c r="L831">
        <v>2547117</v>
      </c>
      <c r="M831">
        <v>599</v>
      </c>
    </row>
    <row r="832" spans="1:13" ht="15">
      <c r="A832" t="s">
        <v>3497</v>
      </c>
      <c r="B832" s="1040" t="str">
        <f>CONCATENATE(LEFT(RIGHT(CONCATENATE("000",IFAData_TEA_1819!A832),6),3),"-",(RIGHT(RIGHT(CONCATENATE("000",IFAData_TEA_1819!A832),6),3)))</f>
        <v>071-902</v>
      </c>
      <c r="C832" t="s">
        <v>1973</v>
      </c>
      <c r="D832">
        <v>9</v>
      </c>
      <c r="E832">
        <v>1798</v>
      </c>
      <c r="F832" t="s">
        <v>4606</v>
      </c>
      <c r="G832" t="s">
        <v>4606</v>
      </c>
      <c r="H832">
        <v>9773773</v>
      </c>
      <c r="I832">
        <v>1527500</v>
      </c>
      <c r="J832">
        <v>0.23808688807578299</v>
      </c>
      <c r="K832">
        <v>2327007.1983291102</v>
      </c>
      <c r="L832">
        <v>1527500</v>
      </c>
      <c r="M832">
        <v>599</v>
      </c>
    </row>
    <row r="833" spans="1:13" ht="15">
      <c r="A833" t="s">
        <v>3497</v>
      </c>
      <c r="B833" s="1040" t="str">
        <f>CONCATENATE(LEFT(RIGHT(CONCATENATE("000",IFAData_TEA_1819!A833),6),3),"-",(RIGHT(RIGHT(CONCATENATE("000",IFAData_TEA_1819!A833),6),3)))</f>
        <v>071-902</v>
      </c>
      <c r="C833" t="s">
        <v>1973</v>
      </c>
      <c r="D833">
        <v>9</v>
      </c>
      <c r="E833">
        <v>1798</v>
      </c>
      <c r="F833" t="s">
        <v>4606</v>
      </c>
      <c r="G833" t="s">
        <v>6244</v>
      </c>
      <c r="H833">
        <v>9773773</v>
      </c>
      <c r="I833">
        <v>4888225</v>
      </c>
      <c r="J833">
        <v>0.76191311192421696</v>
      </c>
      <c r="K833">
        <v>7446765.8016708903</v>
      </c>
      <c r="L833">
        <v>4888225</v>
      </c>
      <c r="M833">
        <v>599</v>
      </c>
    </row>
    <row r="834" spans="1:13" ht="15">
      <c r="A834" t="s">
        <v>3498</v>
      </c>
      <c r="B834" s="1040" t="str">
        <f>CONCATENATE(LEFT(RIGHT(CONCATENATE("000",IFAData_TEA_1819!A834),6),3),"-",(RIGHT(RIGHT(CONCATENATE("000",IFAData_TEA_1819!A834),6),3)))</f>
        <v>071-903</v>
      </c>
      <c r="C834" t="s">
        <v>892</v>
      </c>
      <c r="D834">
        <v>2</v>
      </c>
      <c r="E834">
        <v>1807</v>
      </c>
      <c r="F834" t="s">
        <v>4607</v>
      </c>
      <c r="G834" t="s">
        <v>4607</v>
      </c>
      <c r="H834">
        <v>665953</v>
      </c>
      <c r="I834">
        <v>0</v>
      </c>
      <c r="J834">
        <v>0</v>
      </c>
      <c r="K834">
        <v>0</v>
      </c>
      <c r="L834">
        <v>0</v>
      </c>
      <c r="M834">
        <v>599</v>
      </c>
    </row>
    <row r="835" spans="1:13" ht="15">
      <c r="A835" t="s">
        <v>3498</v>
      </c>
      <c r="B835" s="1040" t="str">
        <f>CONCATENATE(LEFT(RIGHT(CONCATENATE("000",IFAData_TEA_1819!A835),6),3),"-",(RIGHT(RIGHT(CONCATENATE("000",IFAData_TEA_1819!A835),6),3)))</f>
        <v>071-903</v>
      </c>
      <c r="C835" t="s">
        <v>892</v>
      </c>
      <c r="D835">
        <v>2</v>
      </c>
      <c r="E835">
        <v>1807</v>
      </c>
      <c r="F835" t="s">
        <v>4607</v>
      </c>
      <c r="G835" t="s">
        <v>4608</v>
      </c>
      <c r="H835">
        <v>665953</v>
      </c>
      <c r="I835">
        <v>0</v>
      </c>
      <c r="J835">
        <v>0</v>
      </c>
      <c r="K835">
        <v>0</v>
      </c>
      <c r="L835">
        <v>0</v>
      </c>
      <c r="M835">
        <v>599</v>
      </c>
    </row>
    <row r="836" spans="1:13" ht="15">
      <c r="A836" t="s">
        <v>3498</v>
      </c>
      <c r="B836" s="1040" t="str">
        <f>CONCATENATE(LEFT(RIGHT(CONCATENATE("000",IFAData_TEA_1819!A836),6),3),"-",(RIGHT(RIGHT(CONCATENATE("000",IFAData_TEA_1819!A836),6),3)))</f>
        <v>071-903</v>
      </c>
      <c r="C836" t="s">
        <v>892</v>
      </c>
      <c r="D836">
        <v>2</v>
      </c>
      <c r="E836">
        <v>1807</v>
      </c>
      <c r="F836" t="s">
        <v>4607</v>
      </c>
      <c r="G836" t="s">
        <v>6453</v>
      </c>
      <c r="H836">
        <v>665953</v>
      </c>
      <c r="I836">
        <v>529500</v>
      </c>
      <c r="J836">
        <v>1</v>
      </c>
      <c r="K836">
        <v>665953</v>
      </c>
      <c r="L836">
        <v>529500</v>
      </c>
      <c r="M836">
        <v>599</v>
      </c>
    </row>
    <row r="837" spans="1:13" ht="15">
      <c r="A837" t="s">
        <v>3498</v>
      </c>
      <c r="B837" s="1040" t="str">
        <f>CONCATENATE(LEFT(RIGHT(CONCATENATE("000",IFAData_TEA_1819!A837),6),3),"-",(RIGHT(RIGHT(CONCATENATE("000",IFAData_TEA_1819!A837),6),3)))</f>
        <v>071-903</v>
      </c>
      <c r="C837" t="s">
        <v>892</v>
      </c>
      <c r="D837">
        <v>8</v>
      </c>
      <c r="E837">
        <v>1806</v>
      </c>
      <c r="F837" t="s">
        <v>4609</v>
      </c>
      <c r="G837" t="s">
        <v>4609</v>
      </c>
      <c r="H837">
        <v>601866</v>
      </c>
      <c r="I837">
        <v>0</v>
      </c>
      <c r="J837">
        <v>0</v>
      </c>
      <c r="K837">
        <v>0</v>
      </c>
      <c r="L837">
        <v>0</v>
      </c>
      <c r="M837">
        <v>599</v>
      </c>
    </row>
    <row r="838" spans="1:13" ht="15">
      <c r="A838" t="s">
        <v>3498</v>
      </c>
      <c r="B838" s="1040" t="str">
        <f>CONCATENATE(LEFT(RIGHT(CONCATENATE("000",IFAData_TEA_1819!A838),6),3),"-",(RIGHT(RIGHT(CONCATENATE("000",IFAData_TEA_1819!A838),6),3)))</f>
        <v>071-903</v>
      </c>
      <c r="C838" t="s">
        <v>892</v>
      </c>
      <c r="D838">
        <v>8</v>
      </c>
      <c r="E838">
        <v>1806</v>
      </c>
      <c r="F838" t="s">
        <v>4609</v>
      </c>
      <c r="G838" t="s">
        <v>6245</v>
      </c>
      <c r="H838">
        <v>601866</v>
      </c>
      <c r="I838">
        <v>592200</v>
      </c>
      <c r="J838">
        <v>1</v>
      </c>
      <c r="K838">
        <v>601866</v>
      </c>
      <c r="L838">
        <v>592200</v>
      </c>
      <c r="M838">
        <v>599</v>
      </c>
    </row>
    <row r="839" spans="1:13" ht="15">
      <c r="A839" t="s">
        <v>3498</v>
      </c>
      <c r="B839" s="1040" t="str">
        <f>CONCATENATE(LEFT(RIGHT(CONCATENATE("000",IFAData_TEA_1819!A839),6),3),"-",(RIGHT(RIGHT(CONCATENATE("000",IFAData_TEA_1819!A839),6),3)))</f>
        <v>071-903</v>
      </c>
      <c r="C839" t="s">
        <v>892</v>
      </c>
      <c r="D839">
        <v>9</v>
      </c>
      <c r="E839">
        <v>1805</v>
      </c>
      <c r="F839" t="s">
        <v>4610</v>
      </c>
      <c r="G839" t="s">
        <v>4610</v>
      </c>
      <c r="H839">
        <v>586545</v>
      </c>
      <c r="I839">
        <v>247885</v>
      </c>
      <c r="J839">
        <v>0.48884309336699</v>
      </c>
      <c r="K839">
        <v>286728.47219894099</v>
      </c>
      <c r="L839">
        <v>247885</v>
      </c>
      <c r="M839">
        <v>599</v>
      </c>
    </row>
    <row r="840" spans="1:13" ht="15">
      <c r="A840" t="s">
        <v>3498</v>
      </c>
      <c r="B840" s="1040" t="str">
        <f>CONCATENATE(LEFT(RIGHT(CONCATENATE("000",IFAData_TEA_1819!A840),6),3),"-",(RIGHT(RIGHT(CONCATENATE("000",IFAData_TEA_1819!A840),6),3)))</f>
        <v>071-903</v>
      </c>
      <c r="C840" t="s">
        <v>892</v>
      </c>
      <c r="D840">
        <v>9</v>
      </c>
      <c r="E840">
        <v>1805</v>
      </c>
      <c r="F840" t="s">
        <v>4610</v>
      </c>
      <c r="G840" t="s">
        <v>6452</v>
      </c>
      <c r="H840">
        <v>586545</v>
      </c>
      <c r="I840">
        <v>259200</v>
      </c>
      <c r="J840">
        <v>0.51115690663301006</v>
      </c>
      <c r="K840">
        <v>299816.52780105901</v>
      </c>
      <c r="L840">
        <v>259200</v>
      </c>
      <c r="M840">
        <v>599</v>
      </c>
    </row>
    <row r="841" spans="1:13" ht="15">
      <c r="A841" t="s">
        <v>4611</v>
      </c>
      <c r="B841" s="1040" t="str">
        <f>CONCATENATE(LEFT(RIGHT(CONCATENATE("000",IFAData_TEA_1819!A841),6),3),"-",(RIGHT(RIGHT(CONCATENATE("000",IFAData_TEA_1819!A841),6),3)))</f>
        <v>071-904</v>
      </c>
      <c r="C841" t="s">
        <v>2031</v>
      </c>
      <c r="D841">
        <v>2</v>
      </c>
      <c r="E841">
        <v>2293</v>
      </c>
      <c r="F841" t="s">
        <v>4612</v>
      </c>
      <c r="G841" t="s">
        <v>4612</v>
      </c>
      <c r="H841">
        <v>204473</v>
      </c>
      <c r="I841">
        <v>0</v>
      </c>
      <c r="J841">
        <v>0</v>
      </c>
      <c r="K841"/>
      <c r="L841">
        <v>0</v>
      </c>
      <c r="M841">
        <v>199</v>
      </c>
    </row>
    <row r="842" spans="1:13" ht="15">
      <c r="A842" t="s">
        <v>4611</v>
      </c>
      <c r="B842" s="1040" t="str">
        <f>CONCATENATE(LEFT(RIGHT(CONCATENATE("000",IFAData_TEA_1819!A842),6),3),"-",(RIGHT(RIGHT(CONCATENATE("000",IFAData_TEA_1819!A842),6),3)))</f>
        <v>071-904</v>
      </c>
      <c r="C842" t="s">
        <v>2031</v>
      </c>
      <c r="D842">
        <v>3</v>
      </c>
      <c r="E842">
        <v>2294</v>
      </c>
      <c r="F842" t="s">
        <v>4613</v>
      </c>
      <c r="G842" t="s">
        <v>4613</v>
      </c>
      <c r="H842">
        <v>828370</v>
      </c>
      <c r="I842">
        <v>0</v>
      </c>
      <c r="J842">
        <v>0</v>
      </c>
      <c r="K842"/>
      <c r="L842">
        <v>0</v>
      </c>
      <c r="M842">
        <v>199</v>
      </c>
    </row>
    <row r="843" spans="1:13" ht="15">
      <c r="A843" t="s">
        <v>4611</v>
      </c>
      <c r="B843" s="1040" t="str">
        <f>CONCATENATE(LEFT(RIGHT(CONCATENATE("000",IFAData_TEA_1819!A843),6),3),"-",(RIGHT(RIGHT(CONCATENATE("000",IFAData_TEA_1819!A843),6),3)))</f>
        <v>071-904</v>
      </c>
      <c r="C843" t="s">
        <v>2031</v>
      </c>
      <c r="D843">
        <v>7</v>
      </c>
      <c r="E843">
        <v>2292</v>
      </c>
      <c r="F843" t="s">
        <v>4615</v>
      </c>
      <c r="G843" t="s">
        <v>4615</v>
      </c>
      <c r="H843">
        <v>177544</v>
      </c>
      <c r="I843">
        <v>162624</v>
      </c>
      <c r="J843">
        <v>1</v>
      </c>
      <c r="K843">
        <v>177544</v>
      </c>
      <c r="L843">
        <v>162624</v>
      </c>
      <c r="M843">
        <v>199</v>
      </c>
    </row>
    <row r="844" spans="1:13" ht="15">
      <c r="A844" t="s">
        <v>4611</v>
      </c>
      <c r="B844" s="1040" t="str">
        <f>CONCATENATE(LEFT(RIGHT(CONCATENATE("000",IFAData_TEA_1819!A844),6),3),"-",(RIGHT(RIGHT(CONCATENATE("000",IFAData_TEA_1819!A844),6),3)))</f>
        <v>071-904</v>
      </c>
      <c r="C844" t="s">
        <v>2031</v>
      </c>
      <c r="D844">
        <v>8</v>
      </c>
      <c r="E844">
        <v>2295</v>
      </c>
      <c r="F844" t="s">
        <v>4616</v>
      </c>
      <c r="G844" t="s">
        <v>4616</v>
      </c>
      <c r="H844">
        <v>837604</v>
      </c>
      <c r="I844">
        <v>835821</v>
      </c>
      <c r="J844">
        <v>1</v>
      </c>
      <c r="K844">
        <v>837604</v>
      </c>
      <c r="L844">
        <v>835821</v>
      </c>
      <c r="M844">
        <v>199</v>
      </c>
    </row>
    <row r="845" spans="1:13" ht="15">
      <c r="A845" t="s">
        <v>4617</v>
      </c>
      <c r="B845" s="1040" t="str">
        <f>CONCATENATE(LEFT(RIGHT(CONCATENATE("000",IFAData_TEA_1819!A845),6),3),"-",(RIGHT(RIGHT(CONCATENATE("000",IFAData_TEA_1819!A845),6),3)))</f>
        <v>071-905</v>
      </c>
      <c r="C845" t="s">
        <v>760</v>
      </c>
      <c r="D845">
        <v>3</v>
      </c>
      <c r="E845">
        <v>2469</v>
      </c>
      <c r="F845" t="s">
        <v>4618</v>
      </c>
      <c r="G845" t="s">
        <v>4618</v>
      </c>
      <c r="H845">
        <v>5086781</v>
      </c>
      <c r="I845">
        <v>0</v>
      </c>
      <c r="J845">
        <v>0</v>
      </c>
      <c r="K845">
        <v>0</v>
      </c>
      <c r="L845">
        <v>0</v>
      </c>
      <c r="M845">
        <v>199</v>
      </c>
    </row>
    <row r="846" spans="1:13" ht="15">
      <c r="A846" t="s">
        <v>4617</v>
      </c>
      <c r="B846" s="1040" t="str">
        <f>CONCATENATE(LEFT(RIGHT(CONCATENATE("000",IFAData_TEA_1819!A846),6),3),"-",(RIGHT(RIGHT(CONCATENATE("000",IFAData_TEA_1819!A846),6),3)))</f>
        <v>071-905</v>
      </c>
      <c r="C846" t="s">
        <v>760</v>
      </c>
      <c r="D846">
        <v>3</v>
      </c>
      <c r="E846">
        <v>2469</v>
      </c>
      <c r="F846" t="s">
        <v>4618</v>
      </c>
      <c r="G846" t="s">
        <v>4619</v>
      </c>
      <c r="H846">
        <v>5086781</v>
      </c>
      <c r="I846">
        <v>3531025</v>
      </c>
      <c r="J846">
        <v>1</v>
      </c>
      <c r="K846">
        <v>5086781</v>
      </c>
      <c r="L846">
        <v>3531025</v>
      </c>
      <c r="M846">
        <v>199</v>
      </c>
    </row>
    <row r="847" spans="1:13" ht="15">
      <c r="A847" t="s">
        <v>4617</v>
      </c>
      <c r="B847" s="1040" t="str">
        <f>CONCATENATE(LEFT(RIGHT(CONCATENATE("000",IFAData_TEA_1819!A847),6),3),"-",(RIGHT(RIGHT(CONCATENATE("000",IFAData_TEA_1819!A847),6),3)))</f>
        <v>071-905</v>
      </c>
      <c r="C847" t="s">
        <v>760</v>
      </c>
      <c r="D847">
        <v>11</v>
      </c>
      <c r="E847">
        <v>2489</v>
      </c>
      <c r="F847" t="s">
        <v>8368</v>
      </c>
      <c r="G847" t="s">
        <v>8368</v>
      </c>
      <c r="H847">
        <v>9805840</v>
      </c>
      <c r="I847">
        <v>9913719</v>
      </c>
      <c r="J847">
        <v>1</v>
      </c>
      <c r="K847">
        <v>9805840</v>
      </c>
      <c r="L847">
        <v>9805840</v>
      </c>
      <c r="M847">
        <v>599</v>
      </c>
    </row>
    <row r="848" spans="1:13" ht="15">
      <c r="A848" t="s">
        <v>3499</v>
      </c>
      <c r="B848" s="1040" t="str">
        <f>CONCATENATE(LEFT(RIGHT(CONCATENATE("000",IFAData_TEA_1819!A848),6),3),"-",(RIGHT(RIGHT(CONCATENATE("000",IFAData_TEA_1819!A848),6),3)))</f>
        <v>071-906</v>
      </c>
      <c r="C848" t="s">
        <v>132</v>
      </c>
      <c r="D848">
        <v>2</v>
      </c>
      <c r="E848">
        <v>1580</v>
      </c>
      <c r="F848" t="s">
        <v>4620</v>
      </c>
      <c r="G848" t="s">
        <v>4620</v>
      </c>
      <c r="H848">
        <v>199299</v>
      </c>
      <c r="I848">
        <v>0</v>
      </c>
      <c r="J848">
        <v>0</v>
      </c>
      <c r="K848">
        <v>0</v>
      </c>
      <c r="L848">
        <v>0</v>
      </c>
      <c r="M848">
        <v>599</v>
      </c>
    </row>
    <row r="849" spans="1:13" ht="15">
      <c r="A849" t="s">
        <v>3499</v>
      </c>
      <c r="B849" s="1040" t="str">
        <f>CONCATENATE(LEFT(RIGHT(CONCATENATE("000",IFAData_TEA_1819!A849),6),3),"-",(RIGHT(RIGHT(CONCATENATE("000",IFAData_TEA_1819!A849),6),3)))</f>
        <v>071-906</v>
      </c>
      <c r="C849" t="s">
        <v>132</v>
      </c>
      <c r="D849">
        <v>2</v>
      </c>
      <c r="E849">
        <v>1580</v>
      </c>
      <c r="F849" t="s">
        <v>4620</v>
      </c>
      <c r="G849" t="s">
        <v>4621</v>
      </c>
      <c r="H849">
        <v>199299</v>
      </c>
      <c r="I849">
        <v>0</v>
      </c>
      <c r="J849">
        <v>0</v>
      </c>
      <c r="K849">
        <v>0</v>
      </c>
      <c r="L849">
        <v>0</v>
      </c>
      <c r="M849">
        <v>599</v>
      </c>
    </row>
    <row r="850" spans="1:13" ht="15">
      <c r="A850" t="s">
        <v>3499</v>
      </c>
      <c r="B850" s="1040" t="str">
        <f>CONCATENATE(LEFT(RIGHT(CONCATENATE("000",IFAData_TEA_1819!A850),6),3),"-",(RIGHT(RIGHT(CONCATENATE("000",IFAData_TEA_1819!A850),6),3)))</f>
        <v>071-906</v>
      </c>
      <c r="C850" t="s">
        <v>132</v>
      </c>
      <c r="D850">
        <v>2</v>
      </c>
      <c r="E850">
        <v>1580</v>
      </c>
      <c r="F850" t="s">
        <v>4620</v>
      </c>
      <c r="G850" t="s">
        <v>6454</v>
      </c>
      <c r="H850">
        <v>199299</v>
      </c>
      <c r="I850">
        <v>246300</v>
      </c>
      <c r="J850">
        <v>1</v>
      </c>
      <c r="K850">
        <v>199299</v>
      </c>
      <c r="L850">
        <v>199299</v>
      </c>
      <c r="M850">
        <v>599</v>
      </c>
    </row>
    <row r="851" spans="1:13" ht="15">
      <c r="A851" t="s">
        <v>3499</v>
      </c>
      <c r="B851" s="1040" t="str">
        <f>CONCATENATE(LEFT(RIGHT(CONCATENATE("000",IFAData_TEA_1819!A851),6),3),"-",(RIGHT(RIGHT(CONCATENATE("000",IFAData_TEA_1819!A851),6),3)))</f>
        <v>071-906</v>
      </c>
      <c r="C851" t="s">
        <v>132</v>
      </c>
      <c r="D851">
        <v>3</v>
      </c>
      <c r="E851">
        <v>1579</v>
      </c>
      <c r="F851" t="s">
        <v>4622</v>
      </c>
      <c r="G851" t="s">
        <v>4622</v>
      </c>
      <c r="H851">
        <v>91971</v>
      </c>
      <c r="I851">
        <v>0</v>
      </c>
      <c r="J851">
        <v>0</v>
      </c>
      <c r="K851"/>
      <c r="L851">
        <v>0</v>
      </c>
      <c r="M851">
        <v>199</v>
      </c>
    </row>
    <row r="852" spans="1:13" ht="15">
      <c r="A852" t="s">
        <v>3500</v>
      </c>
      <c r="B852" s="1040" t="str">
        <f>CONCATENATE(LEFT(RIGHT(CONCATENATE("000",IFAData_TEA_1819!A852),6),3),"-",(RIGHT(RIGHT(CONCATENATE("000",IFAData_TEA_1819!A852),6),3)))</f>
        <v>071-907</v>
      </c>
      <c r="C852" t="s">
        <v>653</v>
      </c>
      <c r="D852">
        <v>5</v>
      </c>
      <c r="E852">
        <v>1662</v>
      </c>
      <c r="F852" t="s">
        <v>4623</v>
      </c>
      <c r="G852" t="s">
        <v>4623</v>
      </c>
      <c r="H852">
        <v>1070895</v>
      </c>
      <c r="I852">
        <v>0</v>
      </c>
      <c r="J852">
        <v>0</v>
      </c>
      <c r="K852">
        <v>0</v>
      </c>
      <c r="L852">
        <v>0</v>
      </c>
      <c r="M852">
        <v>599</v>
      </c>
    </row>
    <row r="853" spans="1:13" ht="15">
      <c r="A853" t="s">
        <v>3500</v>
      </c>
      <c r="B853" s="1040" t="str">
        <f>CONCATENATE(LEFT(RIGHT(CONCATENATE("000",IFAData_TEA_1819!A853),6),3),"-",(RIGHT(RIGHT(CONCATENATE("000",IFAData_TEA_1819!A853),6),3)))</f>
        <v>071-907</v>
      </c>
      <c r="C853" t="s">
        <v>653</v>
      </c>
      <c r="D853">
        <v>5</v>
      </c>
      <c r="E853">
        <v>1662</v>
      </c>
      <c r="F853" t="s">
        <v>4623</v>
      </c>
      <c r="G853" t="s">
        <v>4624</v>
      </c>
      <c r="H853">
        <v>1070895</v>
      </c>
      <c r="I853">
        <v>0</v>
      </c>
      <c r="J853">
        <v>0</v>
      </c>
      <c r="K853">
        <v>0</v>
      </c>
      <c r="L853">
        <v>0</v>
      </c>
      <c r="M853">
        <v>599</v>
      </c>
    </row>
    <row r="854" spans="1:13" ht="15">
      <c r="A854" t="s">
        <v>3500</v>
      </c>
      <c r="B854" s="1040" t="str">
        <f>CONCATENATE(LEFT(RIGHT(CONCATENATE("000",IFAData_TEA_1819!A854),6),3),"-",(RIGHT(RIGHT(CONCATENATE("000",IFAData_TEA_1819!A854),6),3)))</f>
        <v>071-907</v>
      </c>
      <c r="C854" t="s">
        <v>653</v>
      </c>
      <c r="D854">
        <v>5</v>
      </c>
      <c r="E854">
        <v>1662</v>
      </c>
      <c r="F854" t="s">
        <v>4623</v>
      </c>
      <c r="G854" t="s">
        <v>4625</v>
      </c>
      <c r="H854">
        <v>1070895</v>
      </c>
      <c r="I854">
        <v>1519882</v>
      </c>
      <c r="J854">
        <v>0.84201423225331096</v>
      </c>
      <c r="K854">
        <v>901708.831248909</v>
      </c>
      <c r="L854">
        <v>901708.831248909</v>
      </c>
      <c r="M854">
        <v>599</v>
      </c>
    </row>
    <row r="855" spans="1:13" ht="15">
      <c r="A855" t="s">
        <v>3500</v>
      </c>
      <c r="B855" s="1040" t="str">
        <f>CONCATENATE(LEFT(RIGHT(CONCATENATE("000",IFAData_TEA_1819!A855),6),3),"-",(RIGHT(RIGHT(CONCATENATE("000",IFAData_TEA_1819!A855),6),3)))</f>
        <v>071-907</v>
      </c>
      <c r="C855" t="s">
        <v>653</v>
      </c>
      <c r="D855">
        <v>5</v>
      </c>
      <c r="E855">
        <v>1662</v>
      </c>
      <c r="F855" t="s">
        <v>4623</v>
      </c>
      <c r="G855" t="s">
        <v>4626</v>
      </c>
      <c r="H855">
        <v>1070895</v>
      </c>
      <c r="I855">
        <v>250713</v>
      </c>
      <c r="J855">
        <v>0.13889493671938</v>
      </c>
      <c r="K855">
        <v>148741.8932581</v>
      </c>
      <c r="L855">
        <v>148741.8932581</v>
      </c>
      <c r="M855">
        <v>599</v>
      </c>
    </row>
    <row r="856" spans="1:13" ht="15">
      <c r="A856" t="s">
        <v>3500</v>
      </c>
      <c r="B856" s="1040" t="str">
        <f>CONCATENATE(LEFT(RIGHT(CONCATENATE("000",IFAData_TEA_1819!A856),6),3),"-",(RIGHT(RIGHT(CONCATENATE("000",IFAData_TEA_1819!A856),6),3)))</f>
        <v>071-907</v>
      </c>
      <c r="C856" t="s">
        <v>653</v>
      </c>
      <c r="D856">
        <v>5</v>
      </c>
      <c r="E856">
        <v>1662</v>
      </c>
      <c r="F856" t="s">
        <v>4623</v>
      </c>
      <c r="G856" t="s">
        <v>8369</v>
      </c>
      <c r="H856">
        <v>1070895</v>
      </c>
      <c r="I856">
        <v>34460</v>
      </c>
      <c r="J856">
        <v>1.90908310273094E-2</v>
      </c>
      <c r="K856">
        <v>20444.275492990499</v>
      </c>
      <c r="L856">
        <v>20444.275492990499</v>
      </c>
      <c r="M856">
        <v>599</v>
      </c>
    </row>
    <row r="857" spans="1:13" ht="15">
      <c r="A857" t="s">
        <v>3500</v>
      </c>
      <c r="B857" s="1040" t="str">
        <f>CONCATENATE(LEFT(RIGHT(CONCATENATE("000",IFAData_TEA_1819!A857),6),3),"-",(RIGHT(RIGHT(CONCATENATE("000",IFAData_TEA_1819!A857),6),3)))</f>
        <v>071-907</v>
      </c>
      <c r="C857" t="s">
        <v>653</v>
      </c>
      <c r="D857">
        <v>11</v>
      </c>
      <c r="E857">
        <v>2539</v>
      </c>
      <c r="F857" t="s">
        <v>4626</v>
      </c>
      <c r="G857" t="s">
        <v>4626</v>
      </c>
      <c r="H857">
        <v>1193792</v>
      </c>
      <c r="I857">
        <v>677357</v>
      </c>
      <c r="J857">
        <v>0.769738733589172</v>
      </c>
      <c r="K857">
        <v>918907.94224888401</v>
      </c>
      <c r="L857">
        <v>677357</v>
      </c>
      <c r="M857">
        <v>599</v>
      </c>
    </row>
    <row r="858" spans="1:13" ht="15">
      <c r="A858" t="s">
        <v>3500</v>
      </c>
      <c r="B858" s="1040" t="str">
        <f>CONCATENATE(LEFT(RIGHT(CONCATENATE("000",IFAData_TEA_1819!A858),6),3),"-",(RIGHT(RIGHT(CONCATENATE("000",IFAData_TEA_1819!A858),6),3)))</f>
        <v>071-907</v>
      </c>
      <c r="C858" t="s">
        <v>653</v>
      </c>
      <c r="D858">
        <v>11</v>
      </c>
      <c r="E858">
        <v>2539</v>
      </c>
      <c r="F858" t="s">
        <v>4626</v>
      </c>
      <c r="G858" t="s">
        <v>8369</v>
      </c>
      <c r="H858">
        <v>1193792</v>
      </c>
      <c r="I858">
        <v>202626</v>
      </c>
      <c r="J858">
        <v>0.230261266410828</v>
      </c>
      <c r="K858">
        <v>274884.05775111599</v>
      </c>
      <c r="L858">
        <v>202626</v>
      </c>
      <c r="M858">
        <v>599</v>
      </c>
    </row>
    <row r="859" spans="1:13" ht="15">
      <c r="A859" t="s">
        <v>3500</v>
      </c>
      <c r="B859" s="1040" t="str">
        <f>CONCATENATE(LEFT(RIGHT(CONCATENATE("000",IFAData_TEA_1819!A859),6),3),"-",(RIGHT(RIGHT(CONCATENATE("000",IFAData_TEA_1819!A859),6),3)))</f>
        <v>071-907</v>
      </c>
      <c r="C859" t="s">
        <v>653</v>
      </c>
      <c r="D859">
        <v>11</v>
      </c>
      <c r="E859">
        <v>2540</v>
      </c>
      <c r="F859" t="s">
        <v>8370</v>
      </c>
      <c r="G859" t="s">
        <v>8370</v>
      </c>
      <c r="H859">
        <v>195054</v>
      </c>
      <c r="I859">
        <v>1028644</v>
      </c>
      <c r="J859">
        <v>1</v>
      </c>
      <c r="K859">
        <v>195054</v>
      </c>
      <c r="L859">
        <v>195054</v>
      </c>
      <c r="M859">
        <v>599</v>
      </c>
    </row>
    <row r="860" spans="1:13" ht="15">
      <c r="A860" t="s">
        <v>3501</v>
      </c>
      <c r="B860" s="1040" t="str">
        <f>CONCATENATE(LEFT(RIGHT(CONCATENATE("000",IFAData_TEA_1819!A860),6),3),"-",(RIGHT(RIGHT(CONCATENATE("000",IFAData_TEA_1819!A860),6),3)))</f>
        <v>071-908</v>
      </c>
      <c r="C860" t="s">
        <v>606</v>
      </c>
      <c r="D860">
        <v>1</v>
      </c>
      <c r="E860">
        <v>2396</v>
      </c>
      <c r="F860" t="s">
        <v>4627</v>
      </c>
      <c r="G860" t="s">
        <v>4627</v>
      </c>
      <c r="H860">
        <v>44910</v>
      </c>
      <c r="I860">
        <v>0</v>
      </c>
      <c r="J860">
        <v>0</v>
      </c>
      <c r="K860">
        <v>0</v>
      </c>
      <c r="L860">
        <v>0</v>
      </c>
      <c r="M860">
        <v>599</v>
      </c>
    </row>
    <row r="861" spans="1:13" ht="15">
      <c r="A861" t="s">
        <v>3501</v>
      </c>
      <c r="B861" s="1040" t="str">
        <f>CONCATENATE(LEFT(RIGHT(CONCATENATE("000",IFAData_TEA_1819!A861),6),3),"-",(RIGHT(RIGHT(CONCATENATE("000",IFAData_TEA_1819!A861),6),3)))</f>
        <v>071-908</v>
      </c>
      <c r="C861" t="s">
        <v>606</v>
      </c>
      <c r="D861">
        <v>1</v>
      </c>
      <c r="E861">
        <v>2396</v>
      </c>
      <c r="F861" t="s">
        <v>4627</v>
      </c>
      <c r="G861" t="s">
        <v>4628</v>
      </c>
      <c r="H861">
        <v>44910</v>
      </c>
      <c r="I861">
        <v>0</v>
      </c>
      <c r="J861">
        <v>0</v>
      </c>
      <c r="K861">
        <v>0</v>
      </c>
      <c r="L861">
        <v>0</v>
      </c>
      <c r="M861">
        <v>599</v>
      </c>
    </row>
    <row r="862" spans="1:13" ht="15">
      <c r="A862" t="s">
        <v>3501</v>
      </c>
      <c r="B862" s="1040" t="str">
        <f>CONCATENATE(LEFT(RIGHT(CONCATENATE("000",IFAData_TEA_1819!A862),6),3),"-",(RIGHT(RIGHT(CONCATENATE("000",IFAData_TEA_1819!A862),6),3)))</f>
        <v>071-908</v>
      </c>
      <c r="C862" t="s">
        <v>606</v>
      </c>
      <c r="D862">
        <v>1</v>
      </c>
      <c r="E862">
        <v>2396</v>
      </c>
      <c r="F862" t="s">
        <v>4627</v>
      </c>
      <c r="G862" t="s">
        <v>4629</v>
      </c>
      <c r="H862">
        <v>44910</v>
      </c>
      <c r="I862">
        <v>29535</v>
      </c>
      <c r="J862">
        <v>1</v>
      </c>
      <c r="K862">
        <v>44910</v>
      </c>
      <c r="L862">
        <v>29535</v>
      </c>
      <c r="M862">
        <v>599</v>
      </c>
    </row>
    <row r="863" spans="1:13" ht="15">
      <c r="A863" t="s">
        <v>3501</v>
      </c>
      <c r="B863" s="1040" t="str">
        <f>CONCATENATE(LEFT(RIGHT(CONCATENATE("000",IFAData_TEA_1819!A863),6),3),"-",(RIGHT(RIGHT(CONCATENATE("000",IFAData_TEA_1819!A863),6),3)))</f>
        <v>071-908</v>
      </c>
      <c r="C863" t="s">
        <v>606</v>
      </c>
      <c r="D863">
        <v>3</v>
      </c>
      <c r="E863">
        <v>2395</v>
      </c>
      <c r="F863" t="s">
        <v>4630</v>
      </c>
      <c r="G863" t="s">
        <v>4630</v>
      </c>
      <c r="H863">
        <v>37010</v>
      </c>
      <c r="I863">
        <v>0</v>
      </c>
      <c r="J863">
        <v>0</v>
      </c>
      <c r="K863">
        <v>0</v>
      </c>
      <c r="L863">
        <v>0</v>
      </c>
      <c r="M863">
        <v>599</v>
      </c>
    </row>
    <row r="864" spans="1:13" ht="15">
      <c r="A864" t="s">
        <v>3501</v>
      </c>
      <c r="B864" s="1040" t="str">
        <f>CONCATENATE(LEFT(RIGHT(CONCATENATE("000",IFAData_TEA_1819!A864),6),3),"-",(RIGHT(RIGHT(CONCATENATE("000",IFAData_TEA_1819!A864),6),3)))</f>
        <v>071-908</v>
      </c>
      <c r="C864" t="s">
        <v>606</v>
      </c>
      <c r="D864">
        <v>3</v>
      </c>
      <c r="E864">
        <v>2395</v>
      </c>
      <c r="F864" t="s">
        <v>4630</v>
      </c>
      <c r="G864" t="s">
        <v>4628</v>
      </c>
      <c r="H864">
        <v>37010</v>
      </c>
      <c r="I864">
        <v>0</v>
      </c>
      <c r="J864">
        <v>0</v>
      </c>
      <c r="K864">
        <v>0</v>
      </c>
      <c r="L864">
        <v>0</v>
      </c>
      <c r="M864">
        <v>599</v>
      </c>
    </row>
    <row r="865" spans="1:13" ht="15">
      <c r="A865" t="s">
        <v>3501</v>
      </c>
      <c r="B865" s="1040" t="str">
        <f>CONCATENATE(LEFT(RIGHT(CONCATENATE("000",IFAData_TEA_1819!A865),6),3),"-",(RIGHT(RIGHT(CONCATENATE("000",IFAData_TEA_1819!A865),6),3)))</f>
        <v>071-908</v>
      </c>
      <c r="C865" t="s">
        <v>606</v>
      </c>
      <c r="D865">
        <v>3</v>
      </c>
      <c r="E865">
        <v>2395</v>
      </c>
      <c r="F865" t="s">
        <v>4630</v>
      </c>
      <c r="G865" t="s">
        <v>4629</v>
      </c>
      <c r="H865">
        <v>37010</v>
      </c>
      <c r="I865">
        <v>28088</v>
      </c>
      <c r="J865">
        <v>1</v>
      </c>
      <c r="K865">
        <v>37010</v>
      </c>
      <c r="L865">
        <v>28088</v>
      </c>
      <c r="M865">
        <v>599</v>
      </c>
    </row>
    <row r="866" spans="1:13" ht="15">
      <c r="A866" t="s">
        <v>3501</v>
      </c>
      <c r="B866" s="1040" t="str">
        <f>CONCATENATE(LEFT(RIGHT(CONCATENATE("000",IFAData_TEA_1819!A866),6),3),"-",(RIGHT(RIGHT(CONCATENATE("000",IFAData_TEA_1819!A866),6),3)))</f>
        <v>071-908</v>
      </c>
      <c r="C866" t="s">
        <v>606</v>
      </c>
      <c r="D866">
        <v>4</v>
      </c>
      <c r="E866">
        <v>2397</v>
      </c>
      <c r="F866" t="s">
        <v>4631</v>
      </c>
      <c r="G866" t="s">
        <v>4631</v>
      </c>
      <c r="H866">
        <v>170176</v>
      </c>
      <c r="I866">
        <v>0</v>
      </c>
      <c r="J866">
        <v>0</v>
      </c>
      <c r="K866">
        <v>0</v>
      </c>
      <c r="L866">
        <v>0</v>
      </c>
      <c r="M866">
        <v>599</v>
      </c>
    </row>
    <row r="867" spans="1:13" ht="15">
      <c r="A867" t="s">
        <v>3501</v>
      </c>
      <c r="B867" s="1040" t="str">
        <f>CONCATENATE(LEFT(RIGHT(CONCATENATE("000",IFAData_TEA_1819!A867),6),3),"-",(RIGHT(RIGHT(CONCATENATE("000",IFAData_TEA_1819!A867),6),3)))</f>
        <v>071-908</v>
      </c>
      <c r="C867" t="s">
        <v>606</v>
      </c>
      <c r="D867">
        <v>4</v>
      </c>
      <c r="E867">
        <v>2397</v>
      </c>
      <c r="F867" t="s">
        <v>4631</v>
      </c>
      <c r="G867" t="s">
        <v>4628</v>
      </c>
      <c r="H867">
        <v>170176</v>
      </c>
      <c r="I867">
        <v>0</v>
      </c>
      <c r="J867">
        <v>0</v>
      </c>
      <c r="K867">
        <v>0</v>
      </c>
      <c r="L867">
        <v>0</v>
      </c>
      <c r="M867">
        <v>599</v>
      </c>
    </row>
    <row r="868" spans="1:13" ht="15">
      <c r="A868" t="s">
        <v>3501</v>
      </c>
      <c r="B868" s="1040" t="str">
        <f>CONCATENATE(LEFT(RIGHT(CONCATENATE("000",IFAData_TEA_1819!A868),6),3),"-",(RIGHT(RIGHT(CONCATENATE("000",IFAData_TEA_1819!A868),6),3)))</f>
        <v>071-908</v>
      </c>
      <c r="C868" t="s">
        <v>606</v>
      </c>
      <c r="D868">
        <v>4</v>
      </c>
      <c r="E868">
        <v>2397</v>
      </c>
      <c r="F868" t="s">
        <v>4631</v>
      </c>
      <c r="G868" t="s">
        <v>4629</v>
      </c>
      <c r="H868">
        <v>170176</v>
      </c>
      <c r="I868">
        <v>164213</v>
      </c>
      <c r="J868">
        <v>1</v>
      </c>
      <c r="K868">
        <v>170176</v>
      </c>
      <c r="L868">
        <v>164213</v>
      </c>
      <c r="M868">
        <v>599</v>
      </c>
    </row>
    <row r="869" spans="1:13" ht="15">
      <c r="A869" t="s">
        <v>3501</v>
      </c>
      <c r="B869" s="1040" t="str">
        <f>CONCATENATE(LEFT(RIGHT(CONCATENATE("000",IFAData_TEA_1819!A869),6),3),"-",(RIGHT(RIGHT(CONCATENATE("000",IFAData_TEA_1819!A869),6),3)))</f>
        <v>071-908</v>
      </c>
      <c r="C869" t="s">
        <v>606</v>
      </c>
      <c r="D869">
        <v>5</v>
      </c>
      <c r="E869">
        <v>2398</v>
      </c>
      <c r="F869" t="s">
        <v>4632</v>
      </c>
      <c r="G869" t="s">
        <v>4632</v>
      </c>
      <c r="H869">
        <v>229390</v>
      </c>
      <c r="I869">
        <v>0</v>
      </c>
      <c r="J869">
        <v>0</v>
      </c>
      <c r="K869">
        <v>0</v>
      </c>
      <c r="L869">
        <v>0</v>
      </c>
      <c r="M869">
        <v>599</v>
      </c>
    </row>
    <row r="870" spans="1:13" ht="15">
      <c r="A870" t="s">
        <v>3501</v>
      </c>
      <c r="B870" s="1040" t="str">
        <f>CONCATENATE(LEFT(RIGHT(CONCATENATE("000",IFAData_TEA_1819!A870),6),3),"-",(RIGHT(RIGHT(CONCATENATE("000",IFAData_TEA_1819!A870),6),3)))</f>
        <v>071-908</v>
      </c>
      <c r="C870" t="s">
        <v>606</v>
      </c>
      <c r="D870">
        <v>5</v>
      </c>
      <c r="E870">
        <v>2398</v>
      </c>
      <c r="F870" t="s">
        <v>4632</v>
      </c>
      <c r="G870" t="s">
        <v>4633</v>
      </c>
      <c r="H870">
        <v>229390</v>
      </c>
      <c r="I870">
        <v>0</v>
      </c>
      <c r="J870">
        <v>0</v>
      </c>
      <c r="K870">
        <v>0</v>
      </c>
      <c r="L870">
        <v>0</v>
      </c>
      <c r="M870">
        <v>599</v>
      </c>
    </row>
    <row r="871" spans="1:13" ht="15">
      <c r="A871" t="s">
        <v>3501</v>
      </c>
      <c r="B871" s="1040" t="str">
        <f>CONCATENATE(LEFT(RIGHT(CONCATENATE("000",IFAData_TEA_1819!A871),6),3),"-",(RIGHT(RIGHT(CONCATENATE("000",IFAData_TEA_1819!A871),6),3)))</f>
        <v>071-908</v>
      </c>
      <c r="C871" t="s">
        <v>606</v>
      </c>
      <c r="D871">
        <v>5</v>
      </c>
      <c r="E871">
        <v>2398</v>
      </c>
      <c r="F871" t="s">
        <v>4632</v>
      </c>
      <c r="G871" t="s">
        <v>6455</v>
      </c>
      <c r="H871">
        <v>229390</v>
      </c>
      <c r="I871">
        <v>198100</v>
      </c>
      <c r="J871">
        <v>1</v>
      </c>
      <c r="K871">
        <v>229390</v>
      </c>
      <c r="L871">
        <v>198100</v>
      </c>
      <c r="M871">
        <v>599</v>
      </c>
    </row>
    <row r="872" spans="1:13" ht="15">
      <c r="A872" t="s">
        <v>3501</v>
      </c>
      <c r="B872" s="1040" t="str">
        <f>CONCATENATE(LEFT(RIGHT(CONCATENATE("000",IFAData_TEA_1819!A872),6),3),"-",(RIGHT(RIGHT(CONCATENATE("000",IFAData_TEA_1819!A872),6),3)))</f>
        <v>071-908</v>
      </c>
      <c r="C872" t="s">
        <v>606</v>
      </c>
      <c r="D872">
        <v>8</v>
      </c>
      <c r="E872">
        <v>2399</v>
      </c>
      <c r="F872" t="s">
        <v>4634</v>
      </c>
      <c r="G872" t="s">
        <v>4634</v>
      </c>
      <c r="H872">
        <v>317310</v>
      </c>
      <c r="I872">
        <v>0</v>
      </c>
      <c r="J872">
        <v>0</v>
      </c>
      <c r="K872">
        <v>0</v>
      </c>
      <c r="L872">
        <v>0</v>
      </c>
      <c r="M872">
        <v>599</v>
      </c>
    </row>
    <row r="873" spans="1:13" ht="15">
      <c r="A873" t="s">
        <v>3501</v>
      </c>
      <c r="B873" s="1040" t="str">
        <f>CONCATENATE(LEFT(RIGHT(CONCATENATE("000",IFAData_TEA_1819!A873),6),3),"-",(RIGHT(RIGHT(CONCATENATE("000",IFAData_TEA_1819!A873),6),3)))</f>
        <v>071-908</v>
      </c>
      <c r="C873" t="s">
        <v>606</v>
      </c>
      <c r="D873">
        <v>8</v>
      </c>
      <c r="E873">
        <v>2399</v>
      </c>
      <c r="F873" t="s">
        <v>4634</v>
      </c>
      <c r="G873" t="s">
        <v>4635</v>
      </c>
      <c r="H873">
        <v>317310</v>
      </c>
      <c r="I873">
        <v>298100</v>
      </c>
      <c r="J873">
        <v>1</v>
      </c>
      <c r="K873">
        <v>317310</v>
      </c>
      <c r="L873">
        <v>298100</v>
      </c>
      <c r="M873">
        <v>599</v>
      </c>
    </row>
    <row r="874" spans="1:13" ht="15">
      <c r="A874" t="s">
        <v>3501</v>
      </c>
      <c r="B874" s="1040" t="str">
        <f>CONCATENATE(LEFT(RIGHT(CONCATENATE("000",IFAData_TEA_1819!A874),6),3),"-",(RIGHT(RIGHT(CONCATENATE("000",IFAData_TEA_1819!A874),6),3)))</f>
        <v>071-908</v>
      </c>
      <c r="C874" t="s">
        <v>606</v>
      </c>
      <c r="D874">
        <v>11</v>
      </c>
      <c r="E874">
        <v>2475</v>
      </c>
      <c r="F874" t="s">
        <v>8371</v>
      </c>
      <c r="G874" t="s">
        <v>8371</v>
      </c>
      <c r="H874">
        <v>147078</v>
      </c>
      <c r="I874">
        <v>200536</v>
      </c>
      <c r="J874">
        <v>1</v>
      </c>
      <c r="K874">
        <v>147078</v>
      </c>
      <c r="L874">
        <v>147078</v>
      </c>
      <c r="M874">
        <v>599</v>
      </c>
    </row>
    <row r="875" spans="1:13" ht="15">
      <c r="A875" t="s">
        <v>3502</v>
      </c>
      <c r="B875" s="1040" t="str">
        <f>CONCATENATE(LEFT(RIGHT(CONCATENATE("000",IFAData_TEA_1819!A875),6),3),"-",(RIGHT(RIGHT(CONCATENATE("000",IFAData_TEA_1819!A875),6),3)))</f>
        <v>071-909</v>
      </c>
      <c r="C875" t="s">
        <v>1930</v>
      </c>
      <c r="D875">
        <v>2</v>
      </c>
      <c r="E875">
        <v>2346</v>
      </c>
      <c r="F875" t="s">
        <v>4636</v>
      </c>
      <c r="G875" t="s">
        <v>4636</v>
      </c>
      <c r="H875">
        <v>1524945</v>
      </c>
      <c r="I875">
        <v>0</v>
      </c>
      <c r="J875">
        <v>0</v>
      </c>
      <c r="K875">
        <v>0</v>
      </c>
      <c r="L875">
        <v>0</v>
      </c>
      <c r="M875">
        <v>599</v>
      </c>
    </row>
    <row r="876" spans="1:13" ht="15">
      <c r="A876" t="s">
        <v>3502</v>
      </c>
      <c r="B876" s="1040" t="str">
        <f>CONCATENATE(LEFT(RIGHT(CONCATENATE("000",IFAData_TEA_1819!A876),6),3),"-",(RIGHT(RIGHT(CONCATENATE("000",IFAData_TEA_1819!A876),6),3)))</f>
        <v>071-909</v>
      </c>
      <c r="C876" t="s">
        <v>1930</v>
      </c>
      <c r="D876">
        <v>2</v>
      </c>
      <c r="E876">
        <v>2346</v>
      </c>
      <c r="F876" t="s">
        <v>4636</v>
      </c>
      <c r="G876" t="s">
        <v>4637</v>
      </c>
      <c r="H876">
        <v>1524945</v>
      </c>
      <c r="I876">
        <v>0</v>
      </c>
      <c r="J876">
        <v>0</v>
      </c>
      <c r="K876">
        <v>0</v>
      </c>
      <c r="L876">
        <v>0</v>
      </c>
      <c r="M876">
        <v>599</v>
      </c>
    </row>
    <row r="877" spans="1:13" ht="15">
      <c r="A877" t="s">
        <v>3502</v>
      </c>
      <c r="B877" s="1040" t="str">
        <f>CONCATENATE(LEFT(RIGHT(CONCATENATE("000",IFAData_TEA_1819!A877),6),3),"-",(RIGHT(RIGHT(CONCATENATE("000",IFAData_TEA_1819!A877),6),3)))</f>
        <v>071-909</v>
      </c>
      <c r="C877" t="s">
        <v>1930</v>
      </c>
      <c r="D877">
        <v>2</v>
      </c>
      <c r="E877">
        <v>2346</v>
      </c>
      <c r="F877" t="s">
        <v>4636</v>
      </c>
      <c r="G877" t="s">
        <v>4638</v>
      </c>
      <c r="H877">
        <v>1524945</v>
      </c>
      <c r="I877">
        <v>399250</v>
      </c>
      <c r="J877">
        <v>0.22116283179271801</v>
      </c>
      <c r="K877">
        <v>337261.15452814603</v>
      </c>
      <c r="L877">
        <v>337261.15452814603</v>
      </c>
      <c r="M877">
        <v>599</v>
      </c>
    </row>
    <row r="878" spans="1:13" ht="15">
      <c r="A878" t="s">
        <v>3502</v>
      </c>
      <c r="B878" s="1040" t="str">
        <f>CONCATENATE(LEFT(RIGHT(CONCATENATE("000",IFAData_TEA_1819!A878),6),3),"-",(RIGHT(RIGHT(CONCATENATE("000",IFAData_TEA_1819!A878),6),3)))</f>
        <v>071-909</v>
      </c>
      <c r="C878" t="s">
        <v>1930</v>
      </c>
      <c r="D878">
        <v>2</v>
      </c>
      <c r="E878">
        <v>2346</v>
      </c>
      <c r="F878" t="s">
        <v>4636</v>
      </c>
      <c r="G878" t="s">
        <v>4639</v>
      </c>
      <c r="H878">
        <v>1524945</v>
      </c>
      <c r="I878">
        <v>354114</v>
      </c>
      <c r="J878">
        <v>0.19615993742629101</v>
      </c>
      <c r="K878">
        <v>299133.11577853502</v>
      </c>
      <c r="L878">
        <v>299133.11577853502</v>
      </c>
      <c r="M878">
        <v>599</v>
      </c>
    </row>
    <row r="879" spans="1:13" ht="15">
      <c r="A879" t="s">
        <v>3502</v>
      </c>
      <c r="B879" s="1040" t="str">
        <f>CONCATENATE(LEFT(RIGHT(CONCATENATE("000",IFAData_TEA_1819!A879),6),3),"-",(RIGHT(RIGHT(CONCATENATE("000",IFAData_TEA_1819!A879),6),3)))</f>
        <v>071-909</v>
      </c>
      <c r="C879" t="s">
        <v>1930</v>
      </c>
      <c r="D879">
        <v>2</v>
      </c>
      <c r="E879">
        <v>2346</v>
      </c>
      <c r="F879" t="s">
        <v>4636</v>
      </c>
      <c r="G879" t="s">
        <v>6246</v>
      </c>
      <c r="H879">
        <v>1524945</v>
      </c>
      <c r="I879">
        <v>156876</v>
      </c>
      <c r="J879">
        <v>8.6900789982002305E-2</v>
      </c>
      <c r="K879">
        <v>132518.925179104</v>
      </c>
      <c r="L879">
        <v>132518.925179104</v>
      </c>
      <c r="M879">
        <v>599</v>
      </c>
    </row>
    <row r="880" spans="1:13" ht="15">
      <c r="A880" t="s">
        <v>3502</v>
      </c>
      <c r="B880" s="1040" t="str">
        <f>CONCATENATE(LEFT(RIGHT(CONCATENATE("000",IFAData_TEA_1819!A880),6),3),"-",(RIGHT(RIGHT(CONCATENATE("000",IFAData_TEA_1819!A880),6),3)))</f>
        <v>071-909</v>
      </c>
      <c r="C880" t="s">
        <v>1930</v>
      </c>
      <c r="D880">
        <v>2</v>
      </c>
      <c r="E880">
        <v>2346</v>
      </c>
      <c r="F880" t="s">
        <v>4636</v>
      </c>
      <c r="G880" t="s">
        <v>6456</v>
      </c>
      <c r="H880">
        <v>1524945</v>
      </c>
      <c r="I880">
        <v>894991</v>
      </c>
      <c r="J880">
        <v>0.49577644079898903</v>
      </c>
      <c r="K880">
        <v>756031.80451421498</v>
      </c>
      <c r="L880">
        <v>756031.80451421498</v>
      </c>
      <c r="M880">
        <v>599</v>
      </c>
    </row>
    <row r="881" spans="1:13" ht="15">
      <c r="A881" t="s">
        <v>3502</v>
      </c>
      <c r="B881" s="1040" t="str">
        <f>CONCATENATE(LEFT(RIGHT(CONCATENATE("000",IFAData_TEA_1819!A881),6),3),"-",(RIGHT(RIGHT(CONCATENATE("000",IFAData_TEA_1819!A881),6),3)))</f>
        <v>071-909</v>
      </c>
      <c r="C881" t="s">
        <v>1930</v>
      </c>
      <c r="D881">
        <v>4</v>
      </c>
      <c r="E881">
        <v>2347</v>
      </c>
      <c r="F881" t="s">
        <v>4640</v>
      </c>
      <c r="G881" t="s">
        <v>4640</v>
      </c>
      <c r="H881">
        <v>1767522</v>
      </c>
      <c r="I881">
        <v>0</v>
      </c>
      <c r="J881">
        <v>0</v>
      </c>
      <c r="K881">
        <v>0</v>
      </c>
      <c r="L881">
        <v>0</v>
      </c>
      <c r="M881">
        <v>599</v>
      </c>
    </row>
    <row r="882" spans="1:13" ht="15">
      <c r="A882" t="s">
        <v>3502</v>
      </c>
      <c r="B882" s="1040" t="str">
        <f>CONCATENATE(LEFT(RIGHT(CONCATENATE("000",IFAData_TEA_1819!A882),6),3),"-",(RIGHT(RIGHT(CONCATENATE("000",IFAData_TEA_1819!A882),6),3)))</f>
        <v>071-909</v>
      </c>
      <c r="C882" t="s">
        <v>1930</v>
      </c>
      <c r="D882">
        <v>4</v>
      </c>
      <c r="E882">
        <v>2347</v>
      </c>
      <c r="F882" t="s">
        <v>4640</v>
      </c>
      <c r="G882" t="s">
        <v>4637</v>
      </c>
      <c r="H882">
        <v>1767522</v>
      </c>
      <c r="I882">
        <v>190149</v>
      </c>
      <c r="J882">
        <v>9.9103141818045401E-2</v>
      </c>
      <c r="K882">
        <v>175166.983432515</v>
      </c>
      <c r="L882">
        <v>175166.983432515</v>
      </c>
      <c r="M882">
        <v>599</v>
      </c>
    </row>
    <row r="883" spans="1:13" ht="15">
      <c r="A883" t="s">
        <v>3502</v>
      </c>
      <c r="B883" s="1040" t="str">
        <f>CONCATENATE(LEFT(RIGHT(CONCATENATE("000",IFAData_TEA_1819!A883),6),3),"-",(RIGHT(RIGHT(CONCATENATE("000",IFAData_TEA_1819!A883),6),3)))</f>
        <v>071-909</v>
      </c>
      <c r="C883" t="s">
        <v>1930</v>
      </c>
      <c r="D883">
        <v>4</v>
      </c>
      <c r="E883">
        <v>2347</v>
      </c>
      <c r="F883" t="s">
        <v>4640</v>
      </c>
      <c r="G883" t="s">
        <v>4641</v>
      </c>
      <c r="H883">
        <v>1767522</v>
      </c>
      <c r="I883">
        <v>57909</v>
      </c>
      <c r="J883">
        <v>3.0181404264766998E-2</v>
      </c>
      <c r="K883">
        <v>53346.296028869598</v>
      </c>
      <c r="L883">
        <v>53346.296028869598</v>
      </c>
      <c r="M883">
        <v>599</v>
      </c>
    </row>
    <row r="884" spans="1:13" ht="15">
      <c r="A884" t="s">
        <v>3502</v>
      </c>
      <c r="B884" s="1040" t="str">
        <f>CONCATENATE(LEFT(RIGHT(CONCATENATE("000",IFAData_TEA_1819!A884),6),3),"-",(RIGHT(RIGHT(CONCATENATE("000",IFAData_TEA_1819!A884),6),3)))</f>
        <v>071-909</v>
      </c>
      <c r="C884" t="s">
        <v>1930</v>
      </c>
      <c r="D884">
        <v>4</v>
      </c>
      <c r="E884">
        <v>2347</v>
      </c>
      <c r="F884" t="s">
        <v>4640</v>
      </c>
      <c r="G884" t="s">
        <v>4639</v>
      </c>
      <c r="H884">
        <v>1767522</v>
      </c>
      <c r="I884">
        <v>1421853</v>
      </c>
      <c r="J884">
        <v>0.74105096268407</v>
      </c>
      <c r="K884">
        <v>1309823.87966527</v>
      </c>
      <c r="L884">
        <v>1309823.87966527</v>
      </c>
      <c r="M884">
        <v>599</v>
      </c>
    </row>
    <row r="885" spans="1:13" ht="15">
      <c r="A885" t="s">
        <v>3502</v>
      </c>
      <c r="B885" s="1040" t="str">
        <f>CONCATENATE(LEFT(RIGHT(CONCATENATE("000",IFAData_TEA_1819!A885),6),3),"-",(RIGHT(RIGHT(CONCATENATE("000",IFAData_TEA_1819!A885),6),3)))</f>
        <v>071-909</v>
      </c>
      <c r="C885" t="s">
        <v>1930</v>
      </c>
      <c r="D885">
        <v>4</v>
      </c>
      <c r="E885">
        <v>2347</v>
      </c>
      <c r="F885" t="s">
        <v>4640</v>
      </c>
      <c r="G885" t="s">
        <v>6246</v>
      </c>
      <c r="H885">
        <v>1767522</v>
      </c>
      <c r="I885">
        <v>173259</v>
      </c>
      <c r="J885">
        <v>9.0300297389167006E-2</v>
      </c>
      <c r="K885">
        <v>159607.76224189499</v>
      </c>
      <c r="L885">
        <v>159607.76224189499</v>
      </c>
      <c r="M885">
        <v>599</v>
      </c>
    </row>
    <row r="886" spans="1:13" ht="15">
      <c r="A886" t="s">
        <v>3502</v>
      </c>
      <c r="B886" s="1040" t="str">
        <f>CONCATENATE(LEFT(RIGHT(CONCATENATE("000",IFAData_TEA_1819!A886),6),3),"-",(RIGHT(RIGHT(CONCATENATE("000",IFAData_TEA_1819!A886),6),3)))</f>
        <v>071-909</v>
      </c>
      <c r="C886" t="s">
        <v>1930</v>
      </c>
      <c r="D886">
        <v>4</v>
      </c>
      <c r="E886">
        <v>2347</v>
      </c>
      <c r="F886" t="s">
        <v>4640</v>
      </c>
      <c r="G886" t="s">
        <v>8532</v>
      </c>
      <c r="H886">
        <v>1767522</v>
      </c>
      <c r="I886">
        <v>75528</v>
      </c>
      <c r="J886">
        <v>3.9364193843950401E-2</v>
      </c>
      <c r="K886">
        <v>69577.078631446901</v>
      </c>
      <c r="L886">
        <v>69577.078631446901</v>
      </c>
      <c r="M886">
        <v>599</v>
      </c>
    </row>
    <row r="887" spans="1:13" ht="15">
      <c r="A887" t="s">
        <v>3502</v>
      </c>
      <c r="B887" s="1040" t="str">
        <f>CONCATENATE(LEFT(RIGHT(CONCATENATE("000",IFAData_TEA_1819!A887),6),3),"-",(RIGHT(RIGHT(CONCATENATE("000",IFAData_TEA_1819!A887),6),3)))</f>
        <v>071-909</v>
      </c>
      <c r="C887" t="s">
        <v>1930</v>
      </c>
      <c r="D887">
        <v>4</v>
      </c>
      <c r="E887">
        <v>2349</v>
      </c>
      <c r="F887" t="s">
        <v>4642</v>
      </c>
      <c r="G887" t="s">
        <v>4642</v>
      </c>
      <c r="H887">
        <v>3395093</v>
      </c>
      <c r="I887">
        <v>0</v>
      </c>
      <c r="J887">
        <v>0</v>
      </c>
      <c r="K887">
        <v>0</v>
      </c>
      <c r="L887">
        <v>0</v>
      </c>
      <c r="M887">
        <v>599</v>
      </c>
    </row>
    <row r="888" spans="1:13" ht="15">
      <c r="A888" t="s">
        <v>3502</v>
      </c>
      <c r="B888" s="1040" t="str">
        <f>CONCATENATE(LEFT(RIGHT(CONCATENATE("000",IFAData_TEA_1819!A888),6),3),"-",(RIGHT(RIGHT(CONCATENATE("000",IFAData_TEA_1819!A888),6),3)))</f>
        <v>071-909</v>
      </c>
      <c r="C888" t="s">
        <v>1930</v>
      </c>
      <c r="D888">
        <v>4</v>
      </c>
      <c r="E888">
        <v>2349</v>
      </c>
      <c r="F888" t="s">
        <v>4642</v>
      </c>
      <c r="G888" t="s">
        <v>4637</v>
      </c>
      <c r="H888">
        <v>3395093</v>
      </c>
      <c r="I888">
        <v>424036</v>
      </c>
      <c r="J888">
        <v>7.7833961948297697E-2</v>
      </c>
      <c r="K888">
        <v>264253.53937293199</v>
      </c>
      <c r="L888">
        <v>264253.53937293199</v>
      </c>
      <c r="M888">
        <v>599</v>
      </c>
    </row>
    <row r="889" spans="1:13" ht="15">
      <c r="A889" t="s">
        <v>3502</v>
      </c>
      <c r="B889" s="1040" t="str">
        <f>CONCATENATE(LEFT(RIGHT(CONCATENATE("000",IFAData_TEA_1819!A889),6),3),"-",(RIGHT(RIGHT(CONCATENATE("000",IFAData_TEA_1819!A889),6),3)))</f>
        <v>071-909</v>
      </c>
      <c r="C889" t="s">
        <v>1930</v>
      </c>
      <c r="D889">
        <v>4</v>
      </c>
      <c r="E889">
        <v>2349</v>
      </c>
      <c r="F889" t="s">
        <v>4642</v>
      </c>
      <c r="G889" t="s">
        <v>4638</v>
      </c>
      <c r="H889">
        <v>3395093</v>
      </c>
      <c r="I889">
        <v>0</v>
      </c>
      <c r="J889">
        <v>0</v>
      </c>
      <c r="K889">
        <v>0</v>
      </c>
      <c r="L889">
        <v>0</v>
      </c>
      <c r="M889">
        <v>599</v>
      </c>
    </row>
    <row r="890" spans="1:13" ht="15">
      <c r="A890" t="s">
        <v>3502</v>
      </c>
      <c r="B890" s="1040" t="str">
        <f>CONCATENATE(LEFT(RIGHT(CONCATENATE("000",IFAData_TEA_1819!A890),6),3),"-",(RIGHT(RIGHT(CONCATENATE("000",IFAData_TEA_1819!A890),6),3)))</f>
        <v>071-909</v>
      </c>
      <c r="C890" t="s">
        <v>1930</v>
      </c>
      <c r="D890">
        <v>4</v>
      </c>
      <c r="E890">
        <v>2349</v>
      </c>
      <c r="F890" t="s">
        <v>4642</v>
      </c>
      <c r="G890" t="s">
        <v>4639</v>
      </c>
      <c r="H890">
        <v>3395093</v>
      </c>
      <c r="I890">
        <v>2620630</v>
      </c>
      <c r="J890">
        <v>0.48102994958109102</v>
      </c>
      <c r="K890">
        <v>1633141.41461311</v>
      </c>
      <c r="L890">
        <v>1633141.41461311</v>
      </c>
      <c r="M890">
        <v>599</v>
      </c>
    </row>
    <row r="891" spans="1:13" ht="15">
      <c r="A891" t="s">
        <v>3502</v>
      </c>
      <c r="B891" s="1040" t="str">
        <f>CONCATENATE(LEFT(RIGHT(CONCATENATE("000",IFAData_TEA_1819!A891),6),3),"-",(RIGHT(RIGHT(CONCATENATE("000",IFAData_TEA_1819!A891),6),3)))</f>
        <v>071-909</v>
      </c>
      <c r="C891" t="s">
        <v>1930</v>
      </c>
      <c r="D891">
        <v>4</v>
      </c>
      <c r="E891">
        <v>2349</v>
      </c>
      <c r="F891" t="s">
        <v>4642</v>
      </c>
      <c r="G891" t="s">
        <v>6246</v>
      </c>
      <c r="H891">
        <v>3395093</v>
      </c>
      <c r="I891">
        <v>268938</v>
      </c>
      <c r="J891">
        <v>4.9364936133845398E-2</v>
      </c>
      <c r="K891">
        <v>167598.549113466</v>
      </c>
      <c r="L891">
        <v>167598.549113466</v>
      </c>
      <c r="M891">
        <v>599</v>
      </c>
    </row>
    <row r="892" spans="1:13" ht="15">
      <c r="A892" t="s">
        <v>3502</v>
      </c>
      <c r="B892" s="1040" t="str">
        <f>CONCATENATE(LEFT(RIGHT(CONCATENATE("000",IFAData_TEA_1819!A892),6),3),"-",(RIGHT(RIGHT(CONCATENATE("000",IFAData_TEA_1819!A892),6),3)))</f>
        <v>071-909</v>
      </c>
      <c r="C892" t="s">
        <v>1930</v>
      </c>
      <c r="D892">
        <v>4</v>
      </c>
      <c r="E892">
        <v>2349</v>
      </c>
      <c r="F892" t="s">
        <v>4642</v>
      </c>
      <c r="G892" t="s">
        <v>6456</v>
      </c>
      <c r="H892">
        <v>3395093</v>
      </c>
      <c r="I892">
        <v>2134352</v>
      </c>
      <c r="J892">
        <v>0.39177115233676602</v>
      </c>
      <c r="K892">
        <v>1330099.49690049</v>
      </c>
      <c r="L892">
        <v>1330099.49690049</v>
      </c>
      <c r="M892">
        <v>599</v>
      </c>
    </row>
    <row r="893" spans="1:13" ht="15">
      <c r="A893" t="s">
        <v>3502</v>
      </c>
      <c r="B893" s="1040" t="str">
        <f>CONCATENATE(LEFT(RIGHT(CONCATENATE("000",IFAData_TEA_1819!A893),6),3),"-",(RIGHT(RIGHT(CONCATENATE("000",IFAData_TEA_1819!A893),6),3)))</f>
        <v>071-909</v>
      </c>
      <c r="C893" t="s">
        <v>1930</v>
      </c>
      <c r="D893">
        <v>5</v>
      </c>
      <c r="E893">
        <v>2348</v>
      </c>
      <c r="F893" t="s">
        <v>4643</v>
      </c>
      <c r="G893" t="s">
        <v>4643</v>
      </c>
      <c r="H893">
        <v>2358164</v>
      </c>
      <c r="I893">
        <v>0</v>
      </c>
      <c r="J893">
        <v>0</v>
      </c>
      <c r="K893">
        <v>0</v>
      </c>
      <c r="L893">
        <v>0</v>
      </c>
      <c r="M893">
        <v>599</v>
      </c>
    </row>
    <row r="894" spans="1:13" ht="15">
      <c r="A894" t="s">
        <v>3502</v>
      </c>
      <c r="B894" s="1040" t="str">
        <f>CONCATENATE(LEFT(RIGHT(CONCATENATE("000",IFAData_TEA_1819!A894),6),3),"-",(RIGHT(RIGHT(CONCATENATE("000",IFAData_TEA_1819!A894),6),3)))</f>
        <v>071-909</v>
      </c>
      <c r="C894" t="s">
        <v>1930</v>
      </c>
      <c r="D894">
        <v>5</v>
      </c>
      <c r="E894">
        <v>2348</v>
      </c>
      <c r="F894" t="s">
        <v>4643</v>
      </c>
      <c r="G894" t="s">
        <v>4638</v>
      </c>
      <c r="H894">
        <v>2358164</v>
      </c>
      <c r="I894">
        <v>0</v>
      </c>
      <c r="J894">
        <v>0</v>
      </c>
      <c r="K894">
        <v>0</v>
      </c>
      <c r="L894">
        <v>0</v>
      </c>
      <c r="M894">
        <v>599</v>
      </c>
    </row>
    <row r="895" spans="1:13" ht="15">
      <c r="A895" t="s">
        <v>3502</v>
      </c>
      <c r="B895" s="1040" t="str">
        <f>CONCATENATE(LEFT(RIGHT(CONCATENATE("000",IFAData_TEA_1819!A895),6),3),"-",(RIGHT(RIGHT(CONCATENATE("000",IFAData_TEA_1819!A895),6),3)))</f>
        <v>071-909</v>
      </c>
      <c r="C895" t="s">
        <v>1930</v>
      </c>
      <c r="D895">
        <v>5</v>
      </c>
      <c r="E895">
        <v>2348</v>
      </c>
      <c r="F895" t="s">
        <v>4643</v>
      </c>
      <c r="G895" t="s">
        <v>4644</v>
      </c>
      <c r="H895">
        <v>2358164</v>
      </c>
      <c r="I895">
        <v>102457</v>
      </c>
      <c r="J895">
        <v>4.91112878261699E-2</v>
      </c>
      <c r="K895">
        <v>115812.470945312</v>
      </c>
      <c r="L895">
        <v>102457</v>
      </c>
      <c r="M895">
        <v>599</v>
      </c>
    </row>
    <row r="896" spans="1:13" ht="15">
      <c r="A896" t="s">
        <v>3502</v>
      </c>
      <c r="B896" s="1040" t="str">
        <f>CONCATENATE(LEFT(RIGHT(CONCATENATE("000",IFAData_TEA_1819!A896),6),3),"-",(RIGHT(RIGHT(CONCATENATE("000",IFAData_TEA_1819!A896),6),3)))</f>
        <v>071-909</v>
      </c>
      <c r="C896" t="s">
        <v>1930</v>
      </c>
      <c r="D896">
        <v>5</v>
      </c>
      <c r="E896">
        <v>2348</v>
      </c>
      <c r="F896" t="s">
        <v>4643</v>
      </c>
      <c r="G896" t="s">
        <v>4645</v>
      </c>
      <c r="H896">
        <v>2358164</v>
      </c>
      <c r="I896">
        <v>496383</v>
      </c>
      <c r="J896">
        <v>0.23793404437976601</v>
      </c>
      <c r="K896">
        <v>561087.49783076695</v>
      </c>
      <c r="L896">
        <v>496383</v>
      </c>
      <c r="M896">
        <v>599</v>
      </c>
    </row>
    <row r="897" spans="1:13" ht="15">
      <c r="A897" t="s">
        <v>3502</v>
      </c>
      <c r="B897" s="1040" t="str">
        <f>CONCATENATE(LEFT(RIGHT(CONCATENATE("000",IFAData_TEA_1819!A897),6),3),"-",(RIGHT(RIGHT(CONCATENATE("000",IFAData_TEA_1819!A897),6),3)))</f>
        <v>071-909</v>
      </c>
      <c r="C897" t="s">
        <v>1930</v>
      </c>
      <c r="D897">
        <v>5</v>
      </c>
      <c r="E897">
        <v>2348</v>
      </c>
      <c r="F897" t="s">
        <v>4643</v>
      </c>
      <c r="G897" t="s">
        <v>6456</v>
      </c>
      <c r="H897">
        <v>2358164</v>
      </c>
      <c r="I897">
        <v>1446666</v>
      </c>
      <c r="J897">
        <v>0.69343851873794804</v>
      </c>
      <c r="K897">
        <v>1635241.7511011499</v>
      </c>
      <c r="L897">
        <v>1446666</v>
      </c>
      <c r="M897">
        <v>599</v>
      </c>
    </row>
    <row r="898" spans="1:13" ht="15">
      <c r="A898" t="s">
        <v>3502</v>
      </c>
      <c r="B898" s="1040" t="str">
        <f>CONCATENATE(LEFT(RIGHT(CONCATENATE("000",IFAData_TEA_1819!A898),6),3),"-",(RIGHT(RIGHT(CONCATENATE("000",IFAData_TEA_1819!A898),6),3)))</f>
        <v>071-909</v>
      </c>
      <c r="C898" t="s">
        <v>1930</v>
      </c>
      <c r="D898">
        <v>5</v>
      </c>
      <c r="E898">
        <v>2348</v>
      </c>
      <c r="F898" t="s">
        <v>4643</v>
      </c>
      <c r="G898" t="s">
        <v>8372</v>
      </c>
      <c r="H898">
        <v>2358164</v>
      </c>
      <c r="I898">
        <v>40715</v>
      </c>
      <c r="J898">
        <v>1.9516149056116299E-2</v>
      </c>
      <c r="K898">
        <v>46022.280122767399</v>
      </c>
      <c r="L898">
        <v>40715</v>
      </c>
      <c r="M898">
        <v>599</v>
      </c>
    </row>
    <row r="899" spans="1:13" ht="15">
      <c r="A899" t="s">
        <v>3502</v>
      </c>
      <c r="B899" s="1040" t="str">
        <f>CONCATENATE(LEFT(RIGHT(CONCATENATE("000",IFAData_TEA_1819!A899),6),3),"-",(RIGHT(RIGHT(CONCATENATE("000",IFAData_TEA_1819!A899),6),3)))</f>
        <v>071-909</v>
      </c>
      <c r="C899" t="s">
        <v>1930</v>
      </c>
      <c r="D899">
        <v>8</v>
      </c>
      <c r="E899">
        <v>2350</v>
      </c>
      <c r="F899" t="s">
        <v>4646</v>
      </c>
      <c r="G899" t="s">
        <v>4646</v>
      </c>
      <c r="H899">
        <v>4042418</v>
      </c>
      <c r="I899">
        <v>0</v>
      </c>
      <c r="J899">
        <v>0</v>
      </c>
      <c r="K899">
        <v>0</v>
      </c>
      <c r="L899">
        <v>0</v>
      </c>
      <c r="M899">
        <v>599</v>
      </c>
    </row>
    <row r="900" spans="1:13" ht="15">
      <c r="A900" t="s">
        <v>3502</v>
      </c>
      <c r="B900" s="1040" t="str">
        <f>CONCATENATE(LEFT(RIGHT(CONCATENATE("000",IFAData_TEA_1819!A900),6),3),"-",(RIGHT(RIGHT(CONCATENATE("000",IFAData_TEA_1819!A900),6),3)))</f>
        <v>071-909</v>
      </c>
      <c r="C900" t="s">
        <v>1930</v>
      </c>
      <c r="D900">
        <v>8</v>
      </c>
      <c r="E900">
        <v>2350</v>
      </c>
      <c r="F900" t="s">
        <v>4646</v>
      </c>
      <c r="G900" t="s">
        <v>4647</v>
      </c>
      <c r="H900">
        <v>4042418</v>
      </c>
      <c r="I900">
        <v>3297524</v>
      </c>
      <c r="J900">
        <v>1</v>
      </c>
      <c r="K900">
        <v>4042418</v>
      </c>
      <c r="L900">
        <v>3297524</v>
      </c>
      <c r="M900">
        <v>599</v>
      </c>
    </row>
    <row r="901" spans="1:13" ht="15">
      <c r="A901" t="s">
        <v>3502</v>
      </c>
      <c r="B901" s="1040" t="str">
        <f>CONCATENATE(LEFT(RIGHT(CONCATENATE("000",IFAData_TEA_1819!A901),6),3),"-",(RIGHT(RIGHT(CONCATENATE("000",IFAData_TEA_1819!A901),6),3)))</f>
        <v>071-909</v>
      </c>
      <c r="C901" t="s">
        <v>1930</v>
      </c>
      <c r="D901">
        <v>11</v>
      </c>
      <c r="E901">
        <v>2568</v>
      </c>
      <c r="F901" t="s">
        <v>4645</v>
      </c>
      <c r="G901" t="s">
        <v>4645</v>
      </c>
      <c r="H901">
        <v>2371274</v>
      </c>
      <c r="I901">
        <v>612752</v>
      </c>
      <c r="J901">
        <v>0.30983656458990499</v>
      </c>
      <c r="K901">
        <v>734707.38986136205</v>
      </c>
      <c r="L901">
        <v>612752</v>
      </c>
      <c r="M901">
        <v>599</v>
      </c>
    </row>
    <row r="902" spans="1:13" ht="15">
      <c r="A902" t="s">
        <v>3502</v>
      </c>
      <c r="B902" s="1040" t="str">
        <f>CONCATENATE(LEFT(RIGHT(CONCATENATE("000",IFAData_TEA_1819!A902),6),3),"-",(RIGHT(RIGHT(CONCATENATE("000",IFAData_TEA_1819!A902),6),3)))</f>
        <v>071-909</v>
      </c>
      <c r="C902" t="s">
        <v>1930</v>
      </c>
      <c r="D902">
        <v>11</v>
      </c>
      <c r="E902">
        <v>2568</v>
      </c>
      <c r="F902" t="s">
        <v>4645</v>
      </c>
      <c r="G902" t="s">
        <v>8372</v>
      </c>
      <c r="H902">
        <v>2371274</v>
      </c>
      <c r="I902">
        <v>1364910</v>
      </c>
      <c r="J902">
        <v>0.69016343541009495</v>
      </c>
      <c r="K902">
        <v>1636566.61013864</v>
      </c>
      <c r="L902">
        <v>1364910</v>
      </c>
      <c r="M902">
        <v>599</v>
      </c>
    </row>
    <row r="903" spans="1:13" ht="15">
      <c r="A903" t="s">
        <v>3502</v>
      </c>
      <c r="B903" s="1040" t="str">
        <f>CONCATENATE(LEFT(RIGHT(CONCATENATE("000",IFAData_TEA_1819!A903),6),3),"-",(RIGHT(RIGHT(CONCATENATE("000",IFAData_TEA_1819!A903),6),3)))</f>
        <v>071-909</v>
      </c>
      <c r="C903" t="s">
        <v>1930</v>
      </c>
      <c r="D903">
        <v>11</v>
      </c>
      <c r="E903">
        <v>2569</v>
      </c>
      <c r="F903" t="s">
        <v>8373</v>
      </c>
      <c r="G903" t="s">
        <v>8373</v>
      </c>
      <c r="H903">
        <v>5574209</v>
      </c>
      <c r="I903">
        <v>0</v>
      </c>
      <c r="J903">
        <v>0</v>
      </c>
      <c r="K903">
        <v>0</v>
      </c>
      <c r="L903">
        <v>0</v>
      </c>
      <c r="M903">
        <v>599</v>
      </c>
    </row>
    <row r="904" spans="1:13" ht="15">
      <c r="A904" t="s">
        <v>3502</v>
      </c>
      <c r="B904" s="1040" t="str">
        <f>CONCATENATE(LEFT(RIGHT(CONCATENATE("000",IFAData_TEA_1819!A904),6),3),"-",(RIGHT(RIGHT(CONCATENATE("000",IFAData_TEA_1819!A904),6),3)))</f>
        <v>071-909</v>
      </c>
      <c r="C904" t="s">
        <v>1930</v>
      </c>
      <c r="D904">
        <v>11</v>
      </c>
      <c r="E904">
        <v>2569</v>
      </c>
      <c r="F904" t="s">
        <v>8373</v>
      </c>
      <c r="G904" t="s">
        <v>8374</v>
      </c>
      <c r="H904">
        <v>5574209</v>
      </c>
      <c r="I904">
        <v>5280330</v>
      </c>
      <c r="J904">
        <v>1</v>
      </c>
      <c r="K904">
        <v>5574209</v>
      </c>
      <c r="L904">
        <v>5280330</v>
      </c>
      <c r="M904">
        <v>599</v>
      </c>
    </row>
    <row r="905" spans="1:13" ht="15">
      <c r="A905" t="s">
        <v>3502</v>
      </c>
      <c r="B905" s="1040" t="str">
        <f>CONCATENATE(LEFT(RIGHT(CONCATENATE("000",IFAData_TEA_1819!A905),6),3),"-",(RIGHT(RIGHT(CONCATENATE("000",IFAData_TEA_1819!A905),6),3)))</f>
        <v>071-909</v>
      </c>
      <c r="C905" t="s">
        <v>1930</v>
      </c>
      <c r="D905">
        <v>11</v>
      </c>
      <c r="E905">
        <v>2570</v>
      </c>
      <c r="F905" t="s">
        <v>8375</v>
      </c>
      <c r="G905" t="s">
        <v>8375</v>
      </c>
      <c r="H905">
        <v>2675851</v>
      </c>
      <c r="I905">
        <v>4340317</v>
      </c>
      <c r="J905">
        <v>1</v>
      </c>
      <c r="K905">
        <v>2675851</v>
      </c>
      <c r="L905">
        <v>2675851</v>
      </c>
      <c r="M905">
        <v>599</v>
      </c>
    </row>
    <row r="906" spans="1:13" ht="15">
      <c r="A906" t="s">
        <v>3503</v>
      </c>
      <c r="B906" s="1040" t="str">
        <f>CONCATENATE(LEFT(RIGHT(CONCATENATE("000",IFAData_TEA_1819!A906),6),3),"-",(RIGHT(RIGHT(CONCATENATE("000",IFAData_TEA_1819!A906),6),3)))</f>
        <v>072-903</v>
      </c>
      <c r="C906" t="s">
        <v>2099</v>
      </c>
      <c r="D906">
        <v>2</v>
      </c>
      <c r="E906">
        <v>2383</v>
      </c>
      <c r="F906" t="s">
        <v>4648</v>
      </c>
      <c r="G906" t="s">
        <v>4648</v>
      </c>
      <c r="H906">
        <v>583662</v>
      </c>
      <c r="I906">
        <v>0</v>
      </c>
      <c r="J906">
        <v>0</v>
      </c>
      <c r="K906"/>
      <c r="L906">
        <v>0</v>
      </c>
      <c r="M906">
        <v>599</v>
      </c>
    </row>
    <row r="907" spans="1:13" ht="15">
      <c r="A907" t="s">
        <v>3504</v>
      </c>
      <c r="B907" s="1040" t="str">
        <f>CONCATENATE(LEFT(RIGHT(CONCATENATE("000",IFAData_TEA_1819!A907),6),3),"-",(RIGHT(RIGHT(CONCATENATE("000",IFAData_TEA_1819!A907),6),3)))</f>
        <v>072-909</v>
      </c>
      <c r="C907" t="s">
        <v>2468</v>
      </c>
      <c r="D907">
        <v>5</v>
      </c>
      <c r="E907">
        <v>2022</v>
      </c>
      <c r="F907" t="s">
        <v>4651</v>
      </c>
      <c r="G907" t="s">
        <v>4651</v>
      </c>
      <c r="H907">
        <v>100000</v>
      </c>
      <c r="I907">
        <v>0</v>
      </c>
      <c r="J907">
        <v>0</v>
      </c>
      <c r="K907">
        <v>0</v>
      </c>
      <c r="L907">
        <v>0</v>
      </c>
      <c r="M907">
        <v>599</v>
      </c>
    </row>
    <row r="908" spans="1:13" ht="15">
      <c r="A908" t="s">
        <v>3504</v>
      </c>
      <c r="B908" s="1040" t="str">
        <f>CONCATENATE(LEFT(RIGHT(CONCATENATE("000",IFAData_TEA_1819!A908),6),3),"-",(RIGHT(RIGHT(CONCATENATE("000",IFAData_TEA_1819!A908),6),3)))</f>
        <v>072-909</v>
      </c>
      <c r="C908" t="s">
        <v>2468</v>
      </c>
      <c r="D908">
        <v>5</v>
      </c>
      <c r="E908">
        <v>2022</v>
      </c>
      <c r="F908" t="s">
        <v>4651</v>
      </c>
      <c r="G908" t="s">
        <v>4652</v>
      </c>
      <c r="H908">
        <v>100000</v>
      </c>
      <c r="I908">
        <v>89851</v>
      </c>
      <c r="J908">
        <v>1</v>
      </c>
      <c r="K908">
        <v>100000</v>
      </c>
      <c r="L908">
        <v>89851</v>
      </c>
      <c r="M908">
        <v>599</v>
      </c>
    </row>
    <row r="909" spans="1:13" ht="15">
      <c r="A909" t="s">
        <v>4653</v>
      </c>
      <c r="B909" s="1040" t="str">
        <f>CONCATENATE(LEFT(RIGHT(CONCATENATE("000",IFAData_TEA_1819!A909),6),3),"-",(RIGHT(RIGHT(CONCATENATE("000",IFAData_TEA_1819!A909),6),3)))</f>
        <v>073-903</v>
      </c>
      <c r="C909" t="s">
        <v>2063</v>
      </c>
      <c r="D909">
        <v>2</v>
      </c>
      <c r="E909">
        <v>2068</v>
      </c>
      <c r="F909" t="s">
        <v>4654</v>
      </c>
      <c r="G909" t="s">
        <v>4654</v>
      </c>
      <c r="H909">
        <v>386120</v>
      </c>
      <c r="I909">
        <v>0</v>
      </c>
      <c r="J909">
        <v>0</v>
      </c>
      <c r="K909"/>
      <c r="L909">
        <v>0</v>
      </c>
      <c r="M909">
        <v>199</v>
      </c>
    </row>
    <row r="910" spans="1:13" ht="15">
      <c r="A910" t="s">
        <v>4655</v>
      </c>
      <c r="B910" s="1040" t="str">
        <f>CONCATENATE(LEFT(RIGHT(CONCATENATE("000",IFAData_TEA_1819!A910),6),3),"-",(RIGHT(RIGHT(CONCATENATE("000",IFAData_TEA_1819!A910),6),3)))</f>
        <v>073-904</v>
      </c>
      <c r="C910" t="s">
        <v>1332</v>
      </c>
      <c r="D910">
        <v>4</v>
      </c>
      <c r="E910">
        <v>2448</v>
      </c>
      <c r="F910" t="s">
        <v>4656</v>
      </c>
      <c r="G910" t="s">
        <v>4656</v>
      </c>
      <c r="H910">
        <v>100000</v>
      </c>
      <c r="I910">
        <v>0</v>
      </c>
      <c r="J910">
        <v>0</v>
      </c>
      <c r="K910">
        <v>0</v>
      </c>
      <c r="L910">
        <v>0</v>
      </c>
      <c r="M910">
        <v>199</v>
      </c>
    </row>
    <row r="911" spans="1:13" ht="15">
      <c r="A911" t="s">
        <v>4655</v>
      </c>
      <c r="B911" s="1040" t="str">
        <f>CONCATENATE(LEFT(RIGHT(CONCATENATE("000",IFAData_TEA_1819!A911),6),3),"-",(RIGHT(RIGHT(CONCATENATE("000",IFAData_TEA_1819!A911),6),3)))</f>
        <v>073-904</v>
      </c>
      <c r="C911" t="s">
        <v>1332</v>
      </c>
      <c r="D911">
        <v>4</v>
      </c>
      <c r="E911">
        <v>2448</v>
      </c>
      <c r="F911" t="s">
        <v>4656</v>
      </c>
      <c r="G911" t="s">
        <v>4657</v>
      </c>
      <c r="H911">
        <v>100000</v>
      </c>
      <c r="I911">
        <v>95510</v>
      </c>
      <c r="J911">
        <v>1</v>
      </c>
      <c r="K911">
        <v>100000</v>
      </c>
      <c r="L911">
        <v>95510</v>
      </c>
      <c r="M911">
        <v>199</v>
      </c>
    </row>
    <row r="912" spans="1:13" ht="15">
      <c r="A912" t="s">
        <v>4655</v>
      </c>
      <c r="B912" s="1040" t="str">
        <f>CONCATENATE(LEFT(RIGHT(CONCATENATE("000",IFAData_TEA_1819!A912),6),3),"-",(RIGHT(RIGHT(CONCATENATE("000",IFAData_TEA_1819!A912),6),3)))</f>
        <v>073-904</v>
      </c>
      <c r="C912" t="s">
        <v>1332</v>
      </c>
      <c r="D912">
        <v>8</v>
      </c>
      <c r="E912">
        <v>2447</v>
      </c>
      <c r="F912" t="s">
        <v>4658</v>
      </c>
      <c r="G912" t="s">
        <v>4658</v>
      </c>
      <c r="H912">
        <v>91803</v>
      </c>
      <c r="I912">
        <v>91759</v>
      </c>
      <c r="J912">
        <v>1</v>
      </c>
      <c r="K912">
        <v>91803</v>
      </c>
      <c r="L912">
        <v>91759</v>
      </c>
      <c r="M912">
        <v>199</v>
      </c>
    </row>
    <row r="913" spans="1:13" ht="15">
      <c r="A913" t="s">
        <v>5847</v>
      </c>
      <c r="B913" s="1040" t="str">
        <f>CONCATENATE(LEFT(RIGHT(CONCATENATE("000",IFAData_TEA_1819!A913),6),3),"-",(RIGHT(RIGHT(CONCATENATE("000",IFAData_TEA_1819!A913),6),3)))</f>
        <v>074-903</v>
      </c>
      <c r="C913" t="s">
        <v>1</v>
      </c>
      <c r="D913">
        <v>11</v>
      </c>
      <c r="E913">
        <v>2590</v>
      </c>
      <c r="F913" t="s">
        <v>8376</v>
      </c>
      <c r="G913" t="s">
        <v>8376</v>
      </c>
      <c r="H913">
        <v>352788</v>
      </c>
      <c r="I913">
        <v>355488</v>
      </c>
      <c r="J913">
        <v>1</v>
      </c>
      <c r="K913">
        <v>352788</v>
      </c>
      <c r="L913">
        <v>352788</v>
      </c>
      <c r="M913">
        <v>599</v>
      </c>
    </row>
    <row r="914" spans="1:13" ht="15">
      <c r="A914" t="s">
        <v>3505</v>
      </c>
      <c r="B914" s="1040" t="str">
        <f>CONCATENATE(LEFT(RIGHT(CONCATENATE("000",IFAData_TEA_1819!A914),6),3),"-",(RIGHT(RIGHT(CONCATENATE("000",IFAData_TEA_1819!A914),6),3)))</f>
        <v>074-904</v>
      </c>
      <c r="C914" t="s">
        <v>2180</v>
      </c>
      <c r="D914">
        <v>5</v>
      </c>
      <c r="E914">
        <v>1765</v>
      </c>
      <c r="F914" t="s">
        <v>4659</v>
      </c>
      <c r="G914" t="s">
        <v>4659</v>
      </c>
      <c r="H914">
        <v>100000</v>
      </c>
      <c r="I914">
        <v>0</v>
      </c>
      <c r="J914">
        <v>0</v>
      </c>
      <c r="K914">
        <v>0</v>
      </c>
      <c r="L914">
        <v>0</v>
      </c>
      <c r="M914">
        <v>599</v>
      </c>
    </row>
    <row r="915" spans="1:13" ht="15">
      <c r="A915" t="s">
        <v>3505</v>
      </c>
      <c r="B915" s="1040" t="str">
        <f>CONCATENATE(LEFT(RIGHT(CONCATENATE("000",IFAData_TEA_1819!A915),6),3),"-",(RIGHT(RIGHT(CONCATENATE("000",IFAData_TEA_1819!A915),6),3)))</f>
        <v>074-904</v>
      </c>
      <c r="C915" t="s">
        <v>2180</v>
      </c>
      <c r="D915">
        <v>5</v>
      </c>
      <c r="E915">
        <v>1765</v>
      </c>
      <c r="F915" t="s">
        <v>4659</v>
      </c>
      <c r="G915" t="s">
        <v>4660</v>
      </c>
      <c r="H915">
        <v>100000</v>
      </c>
      <c r="I915">
        <v>96575</v>
      </c>
      <c r="J915">
        <v>1</v>
      </c>
      <c r="K915">
        <v>100000</v>
      </c>
      <c r="L915">
        <v>96575</v>
      </c>
      <c r="M915">
        <v>599</v>
      </c>
    </row>
    <row r="916" spans="1:13" ht="15">
      <c r="A916" t="s">
        <v>3505</v>
      </c>
      <c r="B916" s="1040" t="str">
        <f>CONCATENATE(LEFT(RIGHT(CONCATENATE("000",IFAData_TEA_1819!A916),6),3),"-",(RIGHT(RIGHT(CONCATENATE("000",IFAData_TEA_1819!A916),6),3)))</f>
        <v>074-904</v>
      </c>
      <c r="C916" t="s">
        <v>2180</v>
      </c>
      <c r="D916">
        <v>11</v>
      </c>
      <c r="E916">
        <v>2555</v>
      </c>
      <c r="F916" t="s">
        <v>8377</v>
      </c>
      <c r="G916" t="s">
        <v>8377</v>
      </c>
      <c r="H916">
        <v>100000</v>
      </c>
      <c r="I916">
        <v>196900</v>
      </c>
      <c r="J916">
        <v>1</v>
      </c>
      <c r="K916">
        <v>100000</v>
      </c>
      <c r="L916">
        <v>100000</v>
      </c>
      <c r="M916">
        <v>599</v>
      </c>
    </row>
    <row r="917" spans="1:13" ht="15">
      <c r="A917" t="s">
        <v>3506</v>
      </c>
      <c r="B917" s="1040" t="str">
        <f>CONCATENATE(LEFT(RIGHT(CONCATENATE("000",IFAData_TEA_1819!A917),6),3),"-",(RIGHT(RIGHT(CONCATENATE("000",IFAData_TEA_1819!A917),6),3)))</f>
        <v>074-905</v>
      </c>
      <c r="C917" t="s">
        <v>1065</v>
      </c>
      <c r="D917">
        <v>5</v>
      </c>
      <c r="E917">
        <v>1784</v>
      </c>
      <c r="F917" t="s">
        <v>4661</v>
      </c>
      <c r="G917" t="s">
        <v>4661</v>
      </c>
      <c r="H917">
        <v>110298</v>
      </c>
      <c r="I917">
        <v>0</v>
      </c>
      <c r="J917">
        <v>0</v>
      </c>
      <c r="K917">
        <v>0</v>
      </c>
      <c r="L917">
        <v>0</v>
      </c>
      <c r="M917">
        <v>599</v>
      </c>
    </row>
    <row r="918" spans="1:13" ht="15">
      <c r="A918" t="s">
        <v>3506</v>
      </c>
      <c r="B918" s="1040" t="str">
        <f>CONCATENATE(LEFT(RIGHT(CONCATENATE("000",IFAData_TEA_1819!A918),6),3),"-",(RIGHT(RIGHT(CONCATENATE("000",IFAData_TEA_1819!A918),6),3)))</f>
        <v>074-905</v>
      </c>
      <c r="C918" t="s">
        <v>1065</v>
      </c>
      <c r="D918">
        <v>5</v>
      </c>
      <c r="E918">
        <v>1784</v>
      </c>
      <c r="F918" t="s">
        <v>4661</v>
      </c>
      <c r="G918" t="s">
        <v>4662</v>
      </c>
      <c r="H918">
        <v>110298</v>
      </c>
      <c r="I918">
        <v>88320</v>
      </c>
      <c r="J918">
        <v>1</v>
      </c>
      <c r="K918">
        <v>110298</v>
      </c>
      <c r="L918">
        <v>88320</v>
      </c>
      <c r="M918">
        <v>599</v>
      </c>
    </row>
    <row r="919" spans="1:13" ht="15">
      <c r="A919" t="s">
        <v>3506</v>
      </c>
      <c r="B919" s="1040" t="str">
        <f>CONCATENATE(LEFT(RIGHT(CONCATENATE("000",IFAData_TEA_1819!A919),6),3),"-",(RIGHT(RIGHT(CONCATENATE("000",IFAData_TEA_1819!A919),6),3)))</f>
        <v>074-905</v>
      </c>
      <c r="C919" t="s">
        <v>1065</v>
      </c>
      <c r="D919">
        <v>6</v>
      </c>
      <c r="E919">
        <v>1783</v>
      </c>
      <c r="F919" t="s">
        <v>4663</v>
      </c>
      <c r="G919" t="s">
        <v>4663</v>
      </c>
      <c r="H919">
        <v>79936</v>
      </c>
      <c r="I919">
        <v>0</v>
      </c>
      <c r="J919">
        <v>0</v>
      </c>
      <c r="K919">
        <v>0</v>
      </c>
      <c r="L919">
        <v>0</v>
      </c>
      <c r="M919">
        <v>599</v>
      </c>
    </row>
    <row r="920" spans="1:13" ht="15">
      <c r="A920" t="s">
        <v>3506</v>
      </c>
      <c r="B920" s="1040" t="str">
        <f>CONCATENATE(LEFT(RIGHT(CONCATENATE("000",IFAData_TEA_1819!A920),6),3),"-",(RIGHT(RIGHT(CONCATENATE("000",IFAData_TEA_1819!A920),6),3)))</f>
        <v>074-905</v>
      </c>
      <c r="C920" t="s">
        <v>1065</v>
      </c>
      <c r="D920">
        <v>6</v>
      </c>
      <c r="E920">
        <v>1783</v>
      </c>
      <c r="F920" t="s">
        <v>4663</v>
      </c>
      <c r="G920" t="s">
        <v>4662</v>
      </c>
      <c r="H920">
        <v>79936</v>
      </c>
      <c r="I920">
        <v>68991</v>
      </c>
      <c r="J920">
        <v>1</v>
      </c>
      <c r="K920">
        <v>79936</v>
      </c>
      <c r="L920">
        <v>68991</v>
      </c>
      <c r="M920">
        <v>599</v>
      </c>
    </row>
    <row r="921" spans="1:13" ht="15">
      <c r="A921" t="s">
        <v>3507</v>
      </c>
      <c r="B921" s="1040" t="str">
        <f>CONCATENATE(LEFT(RIGHT(CONCATENATE("000",IFAData_TEA_1819!A921),6),3),"-",(RIGHT(RIGHT(CONCATENATE("000",IFAData_TEA_1819!A921),6),3)))</f>
        <v>074-907</v>
      </c>
      <c r="C921" t="s">
        <v>2</v>
      </c>
      <c r="D921">
        <v>9</v>
      </c>
      <c r="E921">
        <v>1899</v>
      </c>
      <c r="F921" t="s">
        <v>4664</v>
      </c>
      <c r="G921" t="s">
        <v>4664</v>
      </c>
      <c r="H921">
        <v>162500</v>
      </c>
      <c r="I921">
        <v>0</v>
      </c>
      <c r="J921">
        <v>0</v>
      </c>
      <c r="K921">
        <v>0</v>
      </c>
      <c r="L921">
        <v>0</v>
      </c>
      <c r="M921">
        <v>599</v>
      </c>
    </row>
    <row r="922" spans="1:13" ht="15">
      <c r="A922" t="s">
        <v>3507</v>
      </c>
      <c r="B922" s="1040" t="str">
        <f>CONCATENATE(LEFT(RIGHT(CONCATENATE("000",IFAData_TEA_1819!A922),6),3),"-",(RIGHT(RIGHT(CONCATENATE("000",IFAData_TEA_1819!A922),6),3)))</f>
        <v>074-907</v>
      </c>
      <c r="C922" t="s">
        <v>2</v>
      </c>
      <c r="D922">
        <v>9</v>
      </c>
      <c r="E922">
        <v>1899</v>
      </c>
      <c r="F922" t="s">
        <v>4664</v>
      </c>
      <c r="G922" t="s">
        <v>6247</v>
      </c>
      <c r="H922">
        <v>162500</v>
      </c>
      <c r="I922">
        <v>566889</v>
      </c>
      <c r="J922">
        <v>1</v>
      </c>
      <c r="K922">
        <v>162500</v>
      </c>
      <c r="L922">
        <v>162500</v>
      </c>
      <c r="M922">
        <v>599</v>
      </c>
    </row>
    <row r="923" spans="1:13" ht="15">
      <c r="A923" t="s">
        <v>3508</v>
      </c>
      <c r="B923" s="1040" t="str">
        <f>CONCATENATE(LEFT(RIGHT(CONCATENATE("000",IFAData_TEA_1819!A923),6),3),"-",(RIGHT(RIGHT(CONCATENATE("000",IFAData_TEA_1819!A923),6),3)))</f>
        <v>074-912</v>
      </c>
      <c r="C923" t="s">
        <v>5</v>
      </c>
      <c r="D923">
        <v>9</v>
      </c>
      <c r="E923">
        <v>2400</v>
      </c>
      <c r="F923" t="s">
        <v>4665</v>
      </c>
      <c r="G923" t="s">
        <v>4665</v>
      </c>
      <c r="H923">
        <v>25828</v>
      </c>
      <c r="I923">
        <v>0</v>
      </c>
      <c r="J923">
        <v>0</v>
      </c>
      <c r="K923">
        <v>0</v>
      </c>
      <c r="L923">
        <v>0</v>
      </c>
      <c r="M923">
        <v>599</v>
      </c>
    </row>
    <row r="924" spans="1:13" ht="15">
      <c r="A924" t="s">
        <v>3508</v>
      </c>
      <c r="B924" s="1040" t="str">
        <f>CONCATENATE(LEFT(RIGHT(CONCATENATE("000",IFAData_TEA_1819!A924),6),3),"-",(RIGHT(RIGHT(CONCATENATE("000",IFAData_TEA_1819!A924),6),3)))</f>
        <v>074-912</v>
      </c>
      <c r="C924" t="s">
        <v>5</v>
      </c>
      <c r="D924">
        <v>9</v>
      </c>
      <c r="E924">
        <v>2400</v>
      </c>
      <c r="F924" t="s">
        <v>4665</v>
      </c>
      <c r="G924" t="s">
        <v>6457</v>
      </c>
      <c r="H924">
        <v>25828</v>
      </c>
      <c r="I924">
        <v>28007</v>
      </c>
      <c r="J924">
        <v>1</v>
      </c>
      <c r="K924">
        <v>25828</v>
      </c>
      <c r="L924">
        <v>25828</v>
      </c>
      <c r="M924">
        <v>599</v>
      </c>
    </row>
    <row r="925" spans="1:13" ht="15">
      <c r="A925" t="s">
        <v>3509</v>
      </c>
      <c r="B925" s="1040" t="str">
        <f>CONCATENATE(LEFT(RIGHT(CONCATENATE("000",IFAData_TEA_1819!A925),6),3),"-",(RIGHT(RIGHT(CONCATENATE("000",IFAData_TEA_1819!A925),6),3)))</f>
        <v>074-917</v>
      </c>
      <c r="C925" t="s">
        <v>2026</v>
      </c>
      <c r="D925">
        <v>5</v>
      </c>
      <c r="E925">
        <v>2276</v>
      </c>
      <c r="F925" t="s">
        <v>4666</v>
      </c>
      <c r="G925" t="s">
        <v>4666</v>
      </c>
      <c r="H925">
        <v>45485</v>
      </c>
      <c r="I925">
        <v>0</v>
      </c>
      <c r="J925">
        <v>0</v>
      </c>
      <c r="K925"/>
      <c r="L925">
        <v>0</v>
      </c>
      <c r="M925">
        <v>599</v>
      </c>
    </row>
    <row r="926" spans="1:13" ht="15">
      <c r="A926" t="s">
        <v>3509</v>
      </c>
      <c r="B926" s="1040" t="str">
        <f>CONCATENATE(LEFT(RIGHT(CONCATENATE("000",IFAData_TEA_1819!A926),6),3),"-",(RIGHT(RIGHT(CONCATENATE("000",IFAData_TEA_1819!A926),6),3)))</f>
        <v>074-917</v>
      </c>
      <c r="C926" t="s">
        <v>2026</v>
      </c>
      <c r="D926">
        <v>11</v>
      </c>
      <c r="E926">
        <v>2571</v>
      </c>
      <c r="F926" t="s">
        <v>8378</v>
      </c>
      <c r="G926" t="s">
        <v>8378</v>
      </c>
      <c r="H926">
        <v>114528</v>
      </c>
      <c r="I926">
        <v>252200</v>
      </c>
      <c r="J926">
        <v>1</v>
      </c>
      <c r="K926">
        <v>114528</v>
      </c>
      <c r="L926">
        <v>114528</v>
      </c>
      <c r="M926">
        <v>599</v>
      </c>
    </row>
    <row r="927" spans="1:13" ht="15">
      <c r="A927" t="s">
        <v>3510</v>
      </c>
      <c r="B927" s="1040" t="str">
        <f>CONCATENATE(LEFT(RIGHT(CONCATENATE("000",IFAData_TEA_1819!A927),6),3),"-",(RIGHT(RIGHT(CONCATENATE("000",IFAData_TEA_1819!A927),6),3)))</f>
        <v>076-904</v>
      </c>
      <c r="C927" t="s">
        <v>610</v>
      </c>
      <c r="D927">
        <v>6</v>
      </c>
      <c r="E927">
        <v>2265</v>
      </c>
      <c r="F927" t="s">
        <v>4667</v>
      </c>
      <c r="G927" t="s">
        <v>4667</v>
      </c>
      <c r="H927">
        <v>42457</v>
      </c>
      <c r="I927">
        <v>0</v>
      </c>
      <c r="J927">
        <v>0</v>
      </c>
      <c r="K927"/>
      <c r="L927">
        <v>0</v>
      </c>
      <c r="M927">
        <v>599</v>
      </c>
    </row>
    <row r="928" spans="1:13" ht="15">
      <c r="A928" t="s">
        <v>3511</v>
      </c>
      <c r="B928" s="1040" t="str">
        <f>CONCATENATE(LEFT(RIGHT(CONCATENATE("000",IFAData_TEA_1819!A928),6),3),"-",(RIGHT(RIGHT(CONCATENATE("000",IFAData_TEA_1819!A928),6),3)))</f>
        <v>079-906</v>
      </c>
      <c r="C928" t="s">
        <v>894</v>
      </c>
      <c r="D928">
        <v>3</v>
      </c>
      <c r="E928">
        <v>2132</v>
      </c>
      <c r="F928" t="s">
        <v>4668</v>
      </c>
      <c r="G928" t="s">
        <v>4668</v>
      </c>
      <c r="H928">
        <v>559413</v>
      </c>
      <c r="I928">
        <v>0</v>
      </c>
      <c r="J928">
        <v>0</v>
      </c>
      <c r="K928">
        <v>0</v>
      </c>
      <c r="L928">
        <v>0</v>
      </c>
      <c r="M928">
        <v>599</v>
      </c>
    </row>
    <row r="929" spans="1:13" ht="15">
      <c r="A929" t="s">
        <v>3511</v>
      </c>
      <c r="B929" s="1040" t="str">
        <f>CONCATENATE(LEFT(RIGHT(CONCATENATE("000",IFAData_TEA_1819!A929),6),3),"-",(RIGHT(RIGHT(CONCATENATE("000",IFAData_TEA_1819!A929),6),3)))</f>
        <v>079-906</v>
      </c>
      <c r="C929" t="s">
        <v>894</v>
      </c>
      <c r="D929">
        <v>3</v>
      </c>
      <c r="E929">
        <v>2132</v>
      </c>
      <c r="F929" t="s">
        <v>4668</v>
      </c>
      <c r="G929" t="s">
        <v>4669</v>
      </c>
      <c r="H929">
        <v>559413</v>
      </c>
      <c r="I929">
        <v>0</v>
      </c>
      <c r="J929">
        <v>0</v>
      </c>
      <c r="K929">
        <v>0</v>
      </c>
      <c r="L929">
        <v>0</v>
      </c>
      <c r="M929">
        <v>599</v>
      </c>
    </row>
    <row r="930" spans="1:13" ht="15">
      <c r="A930" t="s">
        <v>3511</v>
      </c>
      <c r="B930" s="1040" t="str">
        <f>CONCATENATE(LEFT(RIGHT(CONCATENATE("000",IFAData_TEA_1819!A930),6),3),"-",(RIGHT(RIGHT(CONCATENATE("000",IFAData_TEA_1819!A930),6),3)))</f>
        <v>079-906</v>
      </c>
      <c r="C930" t="s">
        <v>894</v>
      </c>
      <c r="D930">
        <v>3</v>
      </c>
      <c r="E930">
        <v>2132</v>
      </c>
      <c r="F930" t="s">
        <v>4668</v>
      </c>
      <c r="G930" t="s">
        <v>4670</v>
      </c>
      <c r="H930">
        <v>559413</v>
      </c>
      <c r="I930">
        <v>149813</v>
      </c>
      <c r="J930">
        <v>0.141975255992911</v>
      </c>
      <c r="K930">
        <v>79422.803880762498</v>
      </c>
      <c r="L930">
        <v>79422.803880762498</v>
      </c>
      <c r="M930">
        <v>599</v>
      </c>
    </row>
    <row r="931" spans="1:13" ht="15">
      <c r="A931" t="s">
        <v>3511</v>
      </c>
      <c r="B931" s="1040" t="str">
        <f>CONCATENATE(LEFT(RIGHT(CONCATENATE("000",IFAData_TEA_1819!A931),6),3),"-",(RIGHT(RIGHT(CONCATENATE("000",IFAData_TEA_1819!A931),6),3)))</f>
        <v>079-906</v>
      </c>
      <c r="C931" t="s">
        <v>894</v>
      </c>
      <c r="D931">
        <v>3</v>
      </c>
      <c r="E931">
        <v>2132</v>
      </c>
      <c r="F931" t="s">
        <v>4668</v>
      </c>
      <c r="G931" t="s">
        <v>6249</v>
      </c>
      <c r="H931">
        <v>559413</v>
      </c>
      <c r="I931">
        <v>905392</v>
      </c>
      <c r="J931">
        <v>0.85802474400708895</v>
      </c>
      <c r="K931">
        <v>479990.19611923798</v>
      </c>
      <c r="L931">
        <v>479990.19611923798</v>
      </c>
      <c r="M931">
        <v>599</v>
      </c>
    </row>
    <row r="932" spans="1:13" ht="15">
      <c r="A932" t="s">
        <v>3511</v>
      </c>
      <c r="B932" s="1040" t="str">
        <f>CONCATENATE(LEFT(RIGHT(CONCATENATE("000",IFAData_TEA_1819!A932),6),3),"-",(RIGHT(RIGHT(CONCATENATE("000",IFAData_TEA_1819!A932),6),3)))</f>
        <v>079-906</v>
      </c>
      <c r="C932" t="s">
        <v>894</v>
      </c>
      <c r="D932">
        <v>9</v>
      </c>
      <c r="E932">
        <v>2131</v>
      </c>
      <c r="F932" t="s">
        <v>4671</v>
      </c>
      <c r="G932" t="s">
        <v>4671</v>
      </c>
      <c r="H932">
        <v>338364</v>
      </c>
      <c r="I932">
        <v>0</v>
      </c>
      <c r="J932">
        <v>0</v>
      </c>
      <c r="K932">
        <v>0</v>
      </c>
      <c r="L932">
        <v>0</v>
      </c>
      <c r="M932">
        <v>599</v>
      </c>
    </row>
    <row r="933" spans="1:13" ht="15">
      <c r="A933" t="s">
        <v>3511</v>
      </c>
      <c r="B933" s="1040" t="str">
        <f>CONCATENATE(LEFT(RIGHT(CONCATENATE("000",IFAData_TEA_1819!A933),6),3),"-",(RIGHT(RIGHT(CONCATENATE("000",IFAData_TEA_1819!A933),6),3)))</f>
        <v>079-906</v>
      </c>
      <c r="C933" t="s">
        <v>894</v>
      </c>
      <c r="D933">
        <v>9</v>
      </c>
      <c r="E933">
        <v>2131</v>
      </c>
      <c r="F933" t="s">
        <v>4671</v>
      </c>
      <c r="G933" t="s">
        <v>6248</v>
      </c>
      <c r="H933">
        <v>338364</v>
      </c>
      <c r="I933">
        <v>380185</v>
      </c>
      <c r="J933">
        <v>1</v>
      </c>
      <c r="K933">
        <v>338364</v>
      </c>
      <c r="L933">
        <v>338364</v>
      </c>
      <c r="M933">
        <v>599</v>
      </c>
    </row>
    <row r="934" spans="1:13" ht="15">
      <c r="A934" t="s">
        <v>3511</v>
      </c>
      <c r="B934" s="1040" t="str">
        <f>CONCATENATE(LEFT(RIGHT(CONCATENATE("000",IFAData_TEA_1819!A934),6),3),"-",(RIGHT(RIGHT(CONCATENATE("000",IFAData_TEA_1819!A934),6),3)))</f>
        <v>079-906</v>
      </c>
      <c r="C934" t="s">
        <v>894</v>
      </c>
      <c r="D934">
        <v>10</v>
      </c>
      <c r="E934">
        <v>2133</v>
      </c>
      <c r="F934" t="s">
        <v>4672</v>
      </c>
      <c r="G934" t="s">
        <v>4672</v>
      </c>
      <c r="H934">
        <v>639148</v>
      </c>
      <c r="I934">
        <v>0</v>
      </c>
      <c r="J934">
        <v>0</v>
      </c>
      <c r="K934">
        <v>0</v>
      </c>
      <c r="L934">
        <v>0</v>
      </c>
      <c r="M934">
        <v>599</v>
      </c>
    </row>
    <row r="935" spans="1:13" ht="15">
      <c r="A935" t="s">
        <v>3511</v>
      </c>
      <c r="B935" s="1040" t="str">
        <f>CONCATENATE(LEFT(RIGHT(CONCATENATE("000",IFAData_TEA_1819!A935),6),3),"-",(RIGHT(RIGHT(CONCATENATE("000",IFAData_TEA_1819!A935),6),3)))</f>
        <v>079-906</v>
      </c>
      <c r="C935" t="s">
        <v>894</v>
      </c>
      <c r="D935">
        <v>10</v>
      </c>
      <c r="E935">
        <v>2133</v>
      </c>
      <c r="F935" t="s">
        <v>4672</v>
      </c>
      <c r="G935" t="s">
        <v>6248</v>
      </c>
      <c r="H935">
        <v>639148</v>
      </c>
      <c r="I935">
        <v>87958</v>
      </c>
      <c r="J935">
        <v>7.5789339447628307E-2</v>
      </c>
      <c r="K935">
        <v>48440.604729272702</v>
      </c>
      <c r="L935">
        <v>48440.604729272702</v>
      </c>
      <c r="M935">
        <v>599</v>
      </c>
    </row>
    <row r="936" spans="1:13" ht="15">
      <c r="A936" t="s">
        <v>3511</v>
      </c>
      <c r="B936" s="1040" t="str">
        <f>CONCATENATE(LEFT(RIGHT(CONCATENATE("000",IFAData_TEA_1819!A936),6),3),"-",(RIGHT(RIGHT(CONCATENATE("000",IFAData_TEA_1819!A936),6),3)))</f>
        <v>079-906</v>
      </c>
      <c r="C936" t="s">
        <v>894</v>
      </c>
      <c r="D936">
        <v>10</v>
      </c>
      <c r="E936">
        <v>2133</v>
      </c>
      <c r="F936" t="s">
        <v>4672</v>
      </c>
      <c r="G936" t="s">
        <v>8379</v>
      </c>
      <c r="H936">
        <v>639148</v>
      </c>
      <c r="I936">
        <v>1072601</v>
      </c>
      <c r="J936">
        <v>0.924210660552372</v>
      </c>
      <c r="K936">
        <v>590707.39527072699</v>
      </c>
      <c r="L936">
        <v>590707.39527072699</v>
      </c>
      <c r="M936">
        <v>599</v>
      </c>
    </row>
    <row r="937" spans="1:13" ht="15">
      <c r="A937" t="s">
        <v>3511</v>
      </c>
      <c r="B937" s="1040" t="str">
        <f>CONCATENATE(LEFT(RIGHT(CONCATENATE("000",IFAData_TEA_1819!A937),6),3),"-",(RIGHT(RIGHT(CONCATENATE("000",IFAData_TEA_1819!A937),6),3)))</f>
        <v>079-906</v>
      </c>
      <c r="C937" t="s">
        <v>894</v>
      </c>
      <c r="D937">
        <v>11</v>
      </c>
      <c r="E937">
        <v>2572</v>
      </c>
      <c r="F937" t="s">
        <v>8380</v>
      </c>
      <c r="G937" t="s">
        <v>8380</v>
      </c>
      <c r="H937">
        <v>557250</v>
      </c>
      <c r="I937">
        <v>136250</v>
      </c>
      <c r="J937">
        <v>0.195000822939253</v>
      </c>
      <c r="K937">
        <v>108664.20858289899</v>
      </c>
      <c r="L937">
        <v>108664.20858289899</v>
      </c>
      <c r="M937">
        <v>599</v>
      </c>
    </row>
    <row r="938" spans="1:13" ht="15">
      <c r="A938" t="s">
        <v>3511</v>
      </c>
      <c r="B938" s="1040" t="str">
        <f>CONCATENATE(LEFT(RIGHT(CONCATENATE("000",IFAData_TEA_1819!A938),6),3),"-",(RIGHT(RIGHT(CONCATENATE("000",IFAData_TEA_1819!A938),6),3)))</f>
        <v>079-906</v>
      </c>
      <c r="C938" t="s">
        <v>894</v>
      </c>
      <c r="D938">
        <v>11</v>
      </c>
      <c r="E938">
        <v>2572</v>
      </c>
      <c r="F938" t="s">
        <v>8380</v>
      </c>
      <c r="G938" t="s">
        <v>8379</v>
      </c>
      <c r="H938">
        <v>557250</v>
      </c>
      <c r="I938">
        <v>562465</v>
      </c>
      <c r="J938">
        <v>0.80499917706074697</v>
      </c>
      <c r="K938">
        <v>448585.79141710099</v>
      </c>
      <c r="L938">
        <v>448585.79141710099</v>
      </c>
      <c r="M938">
        <v>599</v>
      </c>
    </row>
    <row r="939" spans="1:13" ht="15">
      <c r="A939" t="s">
        <v>3512</v>
      </c>
      <c r="B939" s="1040" t="str">
        <f>CONCATENATE(LEFT(RIGHT(CONCATENATE("000",IFAData_TEA_1819!A939),6),3),"-",(RIGHT(RIGHT(CONCATENATE("000",IFAData_TEA_1819!A939),6),3)))</f>
        <v>079-907</v>
      </c>
      <c r="C939" t="s">
        <v>112</v>
      </c>
      <c r="D939">
        <v>1</v>
      </c>
      <c r="E939">
        <v>1822</v>
      </c>
      <c r="F939" t="s">
        <v>4673</v>
      </c>
      <c r="G939" t="s">
        <v>4673</v>
      </c>
      <c r="H939">
        <v>4738980</v>
      </c>
      <c r="I939">
        <v>0</v>
      </c>
      <c r="J939">
        <v>0</v>
      </c>
      <c r="K939">
        <v>0</v>
      </c>
      <c r="L939">
        <v>0</v>
      </c>
      <c r="M939">
        <v>599</v>
      </c>
    </row>
    <row r="940" spans="1:13" ht="15">
      <c r="A940" t="s">
        <v>3512</v>
      </c>
      <c r="B940" s="1040" t="str">
        <f>CONCATENATE(LEFT(RIGHT(CONCATENATE("000",IFAData_TEA_1819!A940),6),3),"-",(RIGHT(RIGHT(CONCATENATE("000",IFAData_TEA_1819!A940),6),3)))</f>
        <v>079-907</v>
      </c>
      <c r="C940" t="s">
        <v>112</v>
      </c>
      <c r="D940">
        <v>1</v>
      </c>
      <c r="E940">
        <v>1822</v>
      </c>
      <c r="F940" t="s">
        <v>4673</v>
      </c>
      <c r="G940" t="s">
        <v>4674</v>
      </c>
      <c r="H940">
        <v>4738980</v>
      </c>
      <c r="I940">
        <v>0</v>
      </c>
      <c r="J940">
        <v>0</v>
      </c>
      <c r="K940">
        <v>0</v>
      </c>
      <c r="L940">
        <v>0</v>
      </c>
      <c r="M940">
        <v>599</v>
      </c>
    </row>
    <row r="941" spans="1:13" ht="15">
      <c r="A941" t="s">
        <v>3512</v>
      </c>
      <c r="B941" s="1040" t="str">
        <f>CONCATENATE(LEFT(RIGHT(CONCATENATE("000",IFAData_TEA_1819!A941),6),3),"-",(RIGHT(RIGHT(CONCATENATE("000",IFAData_TEA_1819!A941),6),3)))</f>
        <v>079-907</v>
      </c>
      <c r="C941" t="s">
        <v>112</v>
      </c>
      <c r="D941">
        <v>1</v>
      </c>
      <c r="E941">
        <v>1822</v>
      </c>
      <c r="F941" t="s">
        <v>4673</v>
      </c>
      <c r="G941" t="s">
        <v>4675</v>
      </c>
      <c r="H941">
        <v>4738980</v>
      </c>
      <c r="I941">
        <v>4618234</v>
      </c>
      <c r="J941">
        <v>0.85678405757415899</v>
      </c>
      <c r="K941">
        <v>4060282.5131627899</v>
      </c>
      <c r="L941">
        <v>4060282.5131627899</v>
      </c>
      <c r="M941">
        <v>599</v>
      </c>
    </row>
    <row r="942" spans="1:13" ht="15">
      <c r="A942" t="s">
        <v>3512</v>
      </c>
      <c r="B942" s="1040" t="str">
        <f>CONCATENATE(LEFT(RIGHT(CONCATENATE("000",IFAData_TEA_1819!A942),6),3),"-",(RIGHT(RIGHT(CONCATENATE("000",IFAData_TEA_1819!A942),6),3)))</f>
        <v>079-907</v>
      </c>
      <c r="C942" t="s">
        <v>112</v>
      </c>
      <c r="D942">
        <v>1</v>
      </c>
      <c r="E942">
        <v>1822</v>
      </c>
      <c r="F942" t="s">
        <v>4673</v>
      </c>
      <c r="G942" t="s">
        <v>4676</v>
      </c>
      <c r="H942">
        <v>4738980</v>
      </c>
      <c r="I942">
        <v>139158</v>
      </c>
      <c r="J942">
        <v>2.5816871965323701E-2</v>
      </c>
      <c r="K942">
        <v>122345.63990623</v>
      </c>
      <c r="L942">
        <v>122345.63990623</v>
      </c>
      <c r="M942">
        <v>599</v>
      </c>
    </row>
    <row r="943" spans="1:13" ht="15">
      <c r="A943" t="s">
        <v>3512</v>
      </c>
      <c r="B943" s="1040" t="str">
        <f>CONCATENATE(LEFT(RIGHT(CONCATENATE("000",IFAData_TEA_1819!A943),6),3),"-",(RIGHT(RIGHT(CONCATENATE("000",IFAData_TEA_1819!A943),6),3)))</f>
        <v>079-907</v>
      </c>
      <c r="C943" t="s">
        <v>112</v>
      </c>
      <c r="D943">
        <v>1</v>
      </c>
      <c r="E943">
        <v>1822</v>
      </c>
      <c r="F943" t="s">
        <v>4673</v>
      </c>
      <c r="G943" t="s">
        <v>8381</v>
      </c>
      <c r="H943">
        <v>4738980</v>
      </c>
      <c r="I943">
        <v>632804</v>
      </c>
      <c r="J943">
        <v>0.11739907046051801</v>
      </c>
      <c r="K943">
        <v>556351.84693098394</v>
      </c>
      <c r="L943">
        <v>556351.84693098394</v>
      </c>
      <c r="M943">
        <v>599</v>
      </c>
    </row>
    <row r="944" spans="1:13" ht="15">
      <c r="A944" t="s">
        <v>3512</v>
      </c>
      <c r="B944" s="1040" t="str">
        <f>CONCATENATE(LEFT(RIGHT(CONCATENATE("000",IFAData_TEA_1819!A944),6),3),"-",(RIGHT(RIGHT(CONCATENATE("000",IFAData_TEA_1819!A944),6),3)))</f>
        <v>079-907</v>
      </c>
      <c r="C944" t="s">
        <v>112</v>
      </c>
      <c r="D944">
        <v>2</v>
      </c>
      <c r="E944">
        <v>1821</v>
      </c>
      <c r="F944" t="s">
        <v>4677</v>
      </c>
      <c r="G944" t="s">
        <v>4677</v>
      </c>
      <c r="H944">
        <v>2155774</v>
      </c>
      <c r="I944">
        <v>0</v>
      </c>
      <c r="J944">
        <v>0</v>
      </c>
      <c r="K944">
        <v>0</v>
      </c>
      <c r="L944">
        <v>0</v>
      </c>
      <c r="M944">
        <v>599</v>
      </c>
    </row>
    <row r="945" spans="1:13" ht="15">
      <c r="A945" t="s">
        <v>3512</v>
      </c>
      <c r="B945" s="1040" t="str">
        <f>CONCATENATE(LEFT(RIGHT(CONCATENATE("000",IFAData_TEA_1819!A945),6),3),"-",(RIGHT(RIGHT(CONCATENATE("000",IFAData_TEA_1819!A945),6),3)))</f>
        <v>079-907</v>
      </c>
      <c r="C945" t="s">
        <v>112</v>
      </c>
      <c r="D945">
        <v>2</v>
      </c>
      <c r="E945">
        <v>1821</v>
      </c>
      <c r="F945" t="s">
        <v>4677</v>
      </c>
      <c r="G945" t="s">
        <v>4678</v>
      </c>
      <c r="H945">
        <v>2155774</v>
      </c>
      <c r="I945">
        <v>0</v>
      </c>
      <c r="J945">
        <v>0</v>
      </c>
      <c r="K945">
        <v>0</v>
      </c>
      <c r="L945">
        <v>0</v>
      </c>
      <c r="M945">
        <v>599</v>
      </c>
    </row>
    <row r="946" spans="1:13" ht="15">
      <c r="A946" t="s">
        <v>3512</v>
      </c>
      <c r="B946" s="1040" t="str">
        <f>CONCATENATE(LEFT(RIGHT(CONCATENATE("000",IFAData_TEA_1819!A946),6),3),"-",(RIGHT(RIGHT(CONCATENATE("000",IFAData_TEA_1819!A946),6),3)))</f>
        <v>079-907</v>
      </c>
      <c r="C946" t="s">
        <v>112</v>
      </c>
      <c r="D946">
        <v>2</v>
      </c>
      <c r="E946">
        <v>1821</v>
      </c>
      <c r="F946" t="s">
        <v>4677</v>
      </c>
      <c r="G946" t="s">
        <v>4674</v>
      </c>
      <c r="H946">
        <v>2155774</v>
      </c>
      <c r="I946">
        <v>2025278</v>
      </c>
      <c r="J946">
        <v>0.76465779936396805</v>
      </c>
      <c r="K946">
        <v>1648429.4027660601</v>
      </c>
      <c r="L946">
        <v>1648429.4027660601</v>
      </c>
      <c r="M946">
        <v>599</v>
      </c>
    </row>
    <row r="947" spans="1:13" ht="15">
      <c r="A947" t="s">
        <v>3512</v>
      </c>
      <c r="B947" s="1040" t="str">
        <f>CONCATENATE(LEFT(RIGHT(CONCATENATE("000",IFAData_TEA_1819!A947),6),3),"-",(RIGHT(RIGHT(CONCATENATE("000",IFAData_TEA_1819!A947),6),3)))</f>
        <v>079-907</v>
      </c>
      <c r="C947" t="s">
        <v>112</v>
      </c>
      <c r="D947">
        <v>2</v>
      </c>
      <c r="E947">
        <v>1821</v>
      </c>
      <c r="F947" t="s">
        <v>4677</v>
      </c>
      <c r="G947" t="s">
        <v>4676</v>
      </c>
      <c r="H947">
        <v>2155774</v>
      </c>
      <c r="I947">
        <v>154662</v>
      </c>
      <c r="J947">
        <v>5.8393714129729303E-2</v>
      </c>
      <c r="K947">
        <v>125883.65068430299</v>
      </c>
      <c r="L947">
        <v>125883.65068430299</v>
      </c>
      <c r="M947">
        <v>599</v>
      </c>
    </row>
    <row r="948" spans="1:13" ht="15">
      <c r="A948" t="s">
        <v>3512</v>
      </c>
      <c r="B948" s="1040" t="str">
        <f>CONCATENATE(LEFT(RIGHT(CONCATENATE("000",IFAData_TEA_1819!A948),6),3),"-",(RIGHT(RIGHT(CONCATENATE("000",IFAData_TEA_1819!A948),6),3)))</f>
        <v>079-907</v>
      </c>
      <c r="C948" t="s">
        <v>112</v>
      </c>
      <c r="D948">
        <v>2</v>
      </c>
      <c r="E948">
        <v>1821</v>
      </c>
      <c r="F948" t="s">
        <v>4677</v>
      </c>
      <c r="G948" t="s">
        <v>4679</v>
      </c>
      <c r="H948">
        <v>2155774</v>
      </c>
      <c r="I948">
        <v>7063</v>
      </c>
      <c r="J948">
        <v>2.6666847894006199E-3</v>
      </c>
      <c r="K948">
        <v>5748.7697351853303</v>
      </c>
      <c r="L948">
        <v>5748.7697351853303</v>
      </c>
      <c r="M948">
        <v>599</v>
      </c>
    </row>
    <row r="949" spans="1:13" ht="15">
      <c r="A949" t="s">
        <v>3512</v>
      </c>
      <c r="B949" s="1040" t="str">
        <f>CONCATENATE(LEFT(RIGHT(CONCATENATE("000",IFAData_TEA_1819!A949),6),3),"-",(RIGHT(RIGHT(CONCATENATE("000",IFAData_TEA_1819!A949),6),3)))</f>
        <v>079-907</v>
      </c>
      <c r="C949" t="s">
        <v>112</v>
      </c>
      <c r="D949">
        <v>2</v>
      </c>
      <c r="E949">
        <v>1821</v>
      </c>
      <c r="F949" t="s">
        <v>4677</v>
      </c>
      <c r="G949" t="s">
        <v>8381</v>
      </c>
      <c r="H949">
        <v>2155774</v>
      </c>
      <c r="I949">
        <v>461604</v>
      </c>
      <c r="J949">
        <v>0.174281801716902</v>
      </c>
      <c r="K949">
        <v>375712.17681445403</v>
      </c>
      <c r="L949">
        <v>375712.17681445403</v>
      </c>
      <c r="M949">
        <v>599</v>
      </c>
    </row>
    <row r="950" spans="1:13" ht="15">
      <c r="A950" t="s">
        <v>3512</v>
      </c>
      <c r="B950" s="1040" t="str">
        <f>CONCATENATE(LEFT(RIGHT(CONCATENATE("000",IFAData_TEA_1819!A950),6),3),"-",(RIGHT(RIGHT(CONCATENATE("000",IFAData_TEA_1819!A950),6),3)))</f>
        <v>079-907</v>
      </c>
      <c r="C950" t="s">
        <v>112</v>
      </c>
      <c r="D950">
        <v>9</v>
      </c>
      <c r="E950">
        <v>1823</v>
      </c>
      <c r="F950" t="s">
        <v>4680</v>
      </c>
      <c r="G950" t="s">
        <v>4680</v>
      </c>
      <c r="H950">
        <v>7005446</v>
      </c>
      <c r="I950">
        <v>0</v>
      </c>
      <c r="J950">
        <v>0</v>
      </c>
      <c r="K950">
        <v>0</v>
      </c>
      <c r="L950">
        <v>0</v>
      </c>
      <c r="M950">
        <v>599</v>
      </c>
    </row>
    <row r="951" spans="1:13" ht="15">
      <c r="A951" t="s">
        <v>3512</v>
      </c>
      <c r="B951" s="1040" t="str">
        <f>CONCATENATE(LEFT(RIGHT(CONCATENATE("000",IFAData_TEA_1819!A951),6),3),"-",(RIGHT(RIGHT(CONCATENATE("000",IFAData_TEA_1819!A951),6),3)))</f>
        <v>079-907</v>
      </c>
      <c r="C951" t="s">
        <v>112</v>
      </c>
      <c r="D951">
        <v>9</v>
      </c>
      <c r="E951">
        <v>1823</v>
      </c>
      <c r="F951" t="s">
        <v>4680</v>
      </c>
      <c r="G951" t="s">
        <v>6458</v>
      </c>
      <c r="H951">
        <v>7005446</v>
      </c>
      <c r="I951">
        <v>5148588</v>
      </c>
      <c r="J951">
        <v>1</v>
      </c>
      <c r="K951">
        <v>7005446</v>
      </c>
      <c r="L951">
        <v>5148588</v>
      </c>
      <c r="M951">
        <v>599</v>
      </c>
    </row>
    <row r="952" spans="1:13" ht="15">
      <c r="A952" t="s">
        <v>3512</v>
      </c>
      <c r="B952" s="1040" t="str">
        <f>CONCATENATE(LEFT(RIGHT(CONCATENATE("000",IFAData_TEA_1819!A952),6),3),"-",(RIGHT(RIGHT(CONCATENATE("000",IFAData_TEA_1819!A952),6),3)))</f>
        <v>079-907</v>
      </c>
      <c r="C952" t="s">
        <v>112</v>
      </c>
      <c r="D952">
        <v>10</v>
      </c>
      <c r="E952">
        <v>1824</v>
      </c>
      <c r="F952" t="s">
        <v>4681</v>
      </c>
      <c r="G952" t="s">
        <v>4681</v>
      </c>
      <c r="H952">
        <v>8781990</v>
      </c>
      <c r="I952">
        <v>6041085</v>
      </c>
      <c r="J952">
        <v>0.62332382832039901</v>
      </c>
      <c r="K952">
        <v>5474023.6270714598</v>
      </c>
      <c r="L952">
        <v>5474023.6270714598</v>
      </c>
      <c r="M952">
        <v>599</v>
      </c>
    </row>
    <row r="953" spans="1:13" ht="15">
      <c r="A953" t="s">
        <v>3512</v>
      </c>
      <c r="B953" s="1040" t="str">
        <f>CONCATENATE(LEFT(RIGHT(CONCATENATE("000",IFAData_TEA_1819!A953),6),3),"-",(RIGHT(RIGHT(CONCATENATE("000",IFAData_TEA_1819!A953),6),3)))</f>
        <v>079-907</v>
      </c>
      <c r="C953" t="s">
        <v>112</v>
      </c>
      <c r="D953">
        <v>10</v>
      </c>
      <c r="E953">
        <v>1824</v>
      </c>
      <c r="F953" t="s">
        <v>4681</v>
      </c>
      <c r="G953" t="s">
        <v>8381</v>
      </c>
      <c r="H953">
        <v>8781990</v>
      </c>
      <c r="I953">
        <v>3650643</v>
      </c>
      <c r="J953">
        <v>0.37667617167960099</v>
      </c>
      <c r="K953">
        <v>3307966.3729285402</v>
      </c>
      <c r="L953">
        <v>3307966.3729285402</v>
      </c>
      <c r="M953">
        <v>599</v>
      </c>
    </row>
    <row r="954" spans="1:13" ht="15">
      <c r="A954" t="s">
        <v>3512</v>
      </c>
      <c r="B954" s="1040" t="str">
        <f>CONCATENATE(LEFT(RIGHT(CONCATENATE("000",IFAData_TEA_1819!A954),6),3),"-",(RIGHT(RIGHT(CONCATENATE("000",IFAData_TEA_1819!A954),6),3)))</f>
        <v>079-907</v>
      </c>
      <c r="C954" t="s">
        <v>112</v>
      </c>
      <c r="D954">
        <v>10</v>
      </c>
      <c r="E954">
        <v>1820</v>
      </c>
      <c r="F954" t="s">
        <v>4675</v>
      </c>
      <c r="G954" t="s">
        <v>4675</v>
      </c>
      <c r="H954">
        <v>653006</v>
      </c>
      <c r="I954">
        <v>653006</v>
      </c>
      <c r="J954">
        <v>1</v>
      </c>
      <c r="K954">
        <v>653006</v>
      </c>
      <c r="L954">
        <v>653006</v>
      </c>
      <c r="M954">
        <v>599</v>
      </c>
    </row>
    <row r="955" spans="1:13" ht="15">
      <c r="A955" t="s">
        <v>3513</v>
      </c>
      <c r="B955" s="1040" t="str">
        <f>CONCATENATE(LEFT(RIGHT(CONCATENATE("000",IFAData_TEA_1819!A955),6),3),"-",(RIGHT(RIGHT(CONCATENATE("000",IFAData_TEA_1819!A955),6),3)))</f>
        <v>082-902</v>
      </c>
      <c r="C955" t="s">
        <v>2179</v>
      </c>
      <c r="D955">
        <v>5</v>
      </c>
      <c r="E955">
        <v>1764</v>
      </c>
      <c r="F955" t="s">
        <v>4682</v>
      </c>
      <c r="G955" t="s">
        <v>4682</v>
      </c>
      <c r="H955">
        <v>192327</v>
      </c>
      <c r="I955">
        <v>0</v>
      </c>
      <c r="J955">
        <v>0</v>
      </c>
      <c r="K955">
        <v>0</v>
      </c>
      <c r="L955">
        <v>0</v>
      </c>
      <c r="M955">
        <v>599</v>
      </c>
    </row>
    <row r="956" spans="1:13" ht="15">
      <c r="A956" t="s">
        <v>3513</v>
      </c>
      <c r="B956" s="1040" t="str">
        <f>CONCATENATE(LEFT(RIGHT(CONCATENATE("000",IFAData_TEA_1819!A956),6),3),"-",(RIGHT(RIGHT(CONCATENATE("000",IFAData_TEA_1819!A956),6),3)))</f>
        <v>082-902</v>
      </c>
      <c r="C956" t="s">
        <v>2179</v>
      </c>
      <c r="D956">
        <v>5</v>
      </c>
      <c r="E956">
        <v>1764</v>
      </c>
      <c r="F956" t="s">
        <v>4682</v>
      </c>
      <c r="G956" t="s">
        <v>4683</v>
      </c>
      <c r="H956">
        <v>192327</v>
      </c>
      <c r="I956">
        <v>0</v>
      </c>
      <c r="J956">
        <v>0</v>
      </c>
      <c r="K956">
        <v>0</v>
      </c>
      <c r="L956">
        <v>0</v>
      </c>
      <c r="M956">
        <v>599</v>
      </c>
    </row>
    <row r="957" spans="1:13" ht="15">
      <c r="A957" t="s">
        <v>3513</v>
      </c>
      <c r="B957" s="1040" t="str">
        <f>CONCATENATE(LEFT(RIGHT(CONCATENATE("000",IFAData_TEA_1819!A957),6),3),"-",(RIGHT(RIGHT(CONCATENATE("000",IFAData_TEA_1819!A957),6),3)))</f>
        <v>082-902</v>
      </c>
      <c r="C957" t="s">
        <v>2179</v>
      </c>
      <c r="D957">
        <v>5</v>
      </c>
      <c r="E957">
        <v>1764</v>
      </c>
      <c r="F957" t="s">
        <v>4682</v>
      </c>
      <c r="G957" t="s">
        <v>4684</v>
      </c>
      <c r="H957">
        <v>192327</v>
      </c>
      <c r="I957">
        <v>0</v>
      </c>
      <c r="J957">
        <v>0</v>
      </c>
      <c r="K957">
        <v>0</v>
      </c>
      <c r="L957">
        <v>0</v>
      </c>
      <c r="M957">
        <v>599</v>
      </c>
    </row>
    <row r="958" spans="1:13" ht="15">
      <c r="A958" t="s">
        <v>3513</v>
      </c>
      <c r="B958" s="1040" t="str">
        <f>CONCATENATE(LEFT(RIGHT(CONCATENATE("000",IFAData_TEA_1819!A958),6),3),"-",(RIGHT(RIGHT(CONCATENATE("000",IFAData_TEA_1819!A958),6),3)))</f>
        <v>082-902</v>
      </c>
      <c r="C958" t="s">
        <v>2179</v>
      </c>
      <c r="D958">
        <v>5</v>
      </c>
      <c r="E958">
        <v>1764</v>
      </c>
      <c r="F958" t="s">
        <v>4682</v>
      </c>
      <c r="G958" t="s">
        <v>8382</v>
      </c>
      <c r="H958">
        <v>192327</v>
      </c>
      <c r="I958">
        <v>177800</v>
      </c>
      <c r="J958">
        <v>1</v>
      </c>
      <c r="K958">
        <v>192327</v>
      </c>
      <c r="L958">
        <v>177800</v>
      </c>
      <c r="M958">
        <v>599</v>
      </c>
    </row>
    <row r="959" spans="1:13" ht="15">
      <c r="A959" t="s">
        <v>3513</v>
      </c>
      <c r="B959" s="1040" t="str">
        <f>CONCATENATE(LEFT(RIGHT(CONCATENATE("000",IFAData_TEA_1819!A959),6),3),"-",(RIGHT(RIGHT(CONCATENATE("000",IFAData_TEA_1819!A959),6),3)))</f>
        <v>082-902</v>
      </c>
      <c r="C959" t="s">
        <v>2179</v>
      </c>
      <c r="D959">
        <v>9</v>
      </c>
      <c r="E959">
        <v>1763</v>
      </c>
      <c r="F959" t="s">
        <v>4685</v>
      </c>
      <c r="G959" t="s">
        <v>4685</v>
      </c>
      <c r="H959">
        <v>183808</v>
      </c>
      <c r="I959">
        <v>0</v>
      </c>
      <c r="J959">
        <v>0</v>
      </c>
      <c r="K959">
        <v>0</v>
      </c>
      <c r="L959">
        <v>0</v>
      </c>
      <c r="M959">
        <v>599</v>
      </c>
    </row>
    <row r="960" spans="1:13" ht="15">
      <c r="A960" t="s">
        <v>3513</v>
      </c>
      <c r="B960" s="1040" t="str">
        <f>CONCATENATE(LEFT(RIGHT(CONCATENATE("000",IFAData_TEA_1819!A960),6),3),"-",(RIGHT(RIGHT(CONCATENATE("000",IFAData_TEA_1819!A960),6),3)))</f>
        <v>082-902</v>
      </c>
      <c r="C960" t="s">
        <v>2179</v>
      </c>
      <c r="D960">
        <v>9</v>
      </c>
      <c r="E960">
        <v>1763</v>
      </c>
      <c r="F960" t="s">
        <v>4685</v>
      </c>
      <c r="G960" t="s">
        <v>8382</v>
      </c>
      <c r="H960">
        <v>183808</v>
      </c>
      <c r="I960">
        <v>180000</v>
      </c>
      <c r="J960">
        <v>1</v>
      </c>
      <c r="K960">
        <v>183808</v>
      </c>
      <c r="L960">
        <v>180000</v>
      </c>
      <c r="M960">
        <v>599</v>
      </c>
    </row>
    <row r="961" spans="1:13" ht="15">
      <c r="A961" t="s">
        <v>3514</v>
      </c>
      <c r="B961" s="1040" t="str">
        <f>CONCATENATE(LEFT(RIGHT(CONCATENATE("000",IFAData_TEA_1819!A961),6),3),"-",(RIGHT(RIGHT(CONCATENATE("000",IFAData_TEA_1819!A961),6),3)))</f>
        <v>082-903</v>
      </c>
      <c r="C961" t="s">
        <v>2592</v>
      </c>
      <c r="D961">
        <v>6</v>
      </c>
      <c r="E961">
        <v>2182</v>
      </c>
      <c r="F961" t="s">
        <v>4686</v>
      </c>
      <c r="G961" t="s">
        <v>4686</v>
      </c>
      <c r="H961">
        <v>496016</v>
      </c>
      <c r="I961">
        <v>0</v>
      </c>
      <c r="J961">
        <v>0</v>
      </c>
      <c r="K961">
        <v>0</v>
      </c>
      <c r="L961">
        <v>0</v>
      </c>
      <c r="M961">
        <v>599</v>
      </c>
    </row>
    <row r="962" spans="1:13" ht="15">
      <c r="A962" t="s">
        <v>3514</v>
      </c>
      <c r="B962" s="1040" t="str">
        <f>CONCATENATE(LEFT(RIGHT(CONCATENATE("000",IFAData_TEA_1819!A962),6),3),"-",(RIGHT(RIGHT(CONCATENATE("000",IFAData_TEA_1819!A962),6),3)))</f>
        <v>082-903</v>
      </c>
      <c r="C962" t="s">
        <v>2592</v>
      </c>
      <c r="D962">
        <v>6</v>
      </c>
      <c r="E962">
        <v>2182</v>
      </c>
      <c r="F962" t="s">
        <v>4686</v>
      </c>
      <c r="G962" t="s">
        <v>4687</v>
      </c>
      <c r="H962">
        <v>496016</v>
      </c>
      <c r="I962">
        <v>169639</v>
      </c>
      <c r="J962">
        <v>0.29426948263150998</v>
      </c>
      <c r="K962">
        <v>145962.37169695101</v>
      </c>
      <c r="L962">
        <v>145962.37169695101</v>
      </c>
      <c r="M962">
        <v>599</v>
      </c>
    </row>
    <row r="963" spans="1:13" ht="15">
      <c r="A963" t="s">
        <v>3514</v>
      </c>
      <c r="B963" s="1040" t="str">
        <f>CONCATENATE(LEFT(RIGHT(CONCATENATE("000",IFAData_TEA_1819!A963),6),3),"-",(RIGHT(RIGHT(CONCATENATE("000",IFAData_TEA_1819!A963),6),3)))</f>
        <v>082-903</v>
      </c>
      <c r="C963" t="s">
        <v>2592</v>
      </c>
      <c r="D963">
        <v>6</v>
      </c>
      <c r="E963">
        <v>2182</v>
      </c>
      <c r="F963" t="s">
        <v>4686</v>
      </c>
      <c r="G963" t="s">
        <v>4688</v>
      </c>
      <c r="H963">
        <v>496016</v>
      </c>
      <c r="I963">
        <v>299800</v>
      </c>
      <c r="J963">
        <v>0.52005724445986401</v>
      </c>
      <c r="K963">
        <v>257956.71416800399</v>
      </c>
      <c r="L963">
        <v>257956.71416800399</v>
      </c>
      <c r="M963">
        <v>599</v>
      </c>
    </row>
    <row r="964" spans="1:13" ht="15">
      <c r="A964" t="s">
        <v>3514</v>
      </c>
      <c r="B964" s="1040" t="str">
        <f>CONCATENATE(LEFT(RIGHT(CONCATENATE("000",IFAData_TEA_1819!A964),6),3),"-",(RIGHT(RIGHT(CONCATENATE("000",IFAData_TEA_1819!A964),6),3)))</f>
        <v>082-903</v>
      </c>
      <c r="C964" t="s">
        <v>2592</v>
      </c>
      <c r="D964">
        <v>6</v>
      </c>
      <c r="E964">
        <v>2182</v>
      </c>
      <c r="F964" t="s">
        <v>4686</v>
      </c>
      <c r="G964" t="s">
        <v>6459</v>
      </c>
      <c r="H964">
        <v>496016</v>
      </c>
      <c r="I964">
        <v>107036</v>
      </c>
      <c r="J964">
        <v>0.18567327290862601</v>
      </c>
      <c r="K964">
        <v>92096.914135044906</v>
      </c>
      <c r="L964">
        <v>92096.914135044906</v>
      </c>
      <c r="M964">
        <v>599</v>
      </c>
    </row>
    <row r="965" spans="1:13" ht="15">
      <c r="A965" t="s">
        <v>3514</v>
      </c>
      <c r="B965" s="1040" t="str">
        <f>CONCATENATE(LEFT(RIGHT(CONCATENATE("000",IFAData_TEA_1819!A965),6),3),"-",(RIGHT(RIGHT(CONCATENATE("000",IFAData_TEA_1819!A965),6),3)))</f>
        <v>082-903</v>
      </c>
      <c r="C965" t="s">
        <v>2592</v>
      </c>
      <c r="D965">
        <v>9</v>
      </c>
      <c r="E965">
        <v>2181</v>
      </c>
      <c r="F965" t="s">
        <v>4689</v>
      </c>
      <c r="G965" t="s">
        <v>4689</v>
      </c>
      <c r="H965">
        <v>285496</v>
      </c>
      <c r="I965">
        <v>0</v>
      </c>
      <c r="J965">
        <v>0</v>
      </c>
      <c r="K965">
        <v>0</v>
      </c>
      <c r="L965">
        <v>0</v>
      </c>
      <c r="M965">
        <v>599</v>
      </c>
    </row>
    <row r="966" spans="1:13" ht="15">
      <c r="A966" t="s">
        <v>3514</v>
      </c>
      <c r="B966" s="1040" t="str">
        <f>CONCATENATE(LEFT(RIGHT(CONCATENATE("000",IFAData_TEA_1819!A966),6),3),"-",(RIGHT(RIGHT(CONCATENATE("000",IFAData_TEA_1819!A966),6),3)))</f>
        <v>082-903</v>
      </c>
      <c r="C966" t="s">
        <v>2592</v>
      </c>
      <c r="D966">
        <v>9</v>
      </c>
      <c r="E966">
        <v>2181</v>
      </c>
      <c r="F966" t="s">
        <v>4689</v>
      </c>
      <c r="G966" t="s">
        <v>8383</v>
      </c>
      <c r="H966">
        <v>285496</v>
      </c>
      <c r="I966">
        <v>508200</v>
      </c>
      <c r="J966">
        <v>1</v>
      </c>
      <c r="K966">
        <v>285496</v>
      </c>
      <c r="L966">
        <v>285496</v>
      </c>
      <c r="M966">
        <v>599</v>
      </c>
    </row>
    <row r="967" spans="1:13" ht="15">
      <c r="A967" t="s">
        <v>5864</v>
      </c>
      <c r="B967" s="1040" t="str">
        <f>CONCATENATE(LEFT(RIGHT(CONCATENATE("000",IFAData_TEA_1819!A967),6),3),"-",(RIGHT(RIGHT(CONCATENATE("000",IFAData_TEA_1819!A967),6),3)))</f>
        <v>084-901</v>
      </c>
      <c r="C967" t="s">
        <v>364</v>
      </c>
      <c r="D967">
        <v>11</v>
      </c>
      <c r="E967">
        <v>2527</v>
      </c>
      <c r="F967" t="s">
        <v>8384</v>
      </c>
      <c r="G967" t="s">
        <v>8384</v>
      </c>
      <c r="H967">
        <v>2081125</v>
      </c>
      <c r="I967">
        <v>2497350</v>
      </c>
      <c r="J967">
        <v>1</v>
      </c>
      <c r="K967">
        <v>2081125</v>
      </c>
      <c r="L967">
        <v>2081125</v>
      </c>
      <c r="M967">
        <v>599</v>
      </c>
    </row>
    <row r="968" spans="1:13" ht="15">
      <c r="A968" t="s">
        <v>3515</v>
      </c>
      <c r="B968" s="1040" t="str">
        <f>CONCATENATE(LEFT(RIGHT(CONCATENATE("000",IFAData_TEA_1819!A968),6),3),"-",(RIGHT(RIGHT(CONCATENATE("000",IFAData_TEA_1819!A968),6),3)))</f>
        <v>084-909</v>
      </c>
      <c r="C968" t="s">
        <v>85</v>
      </c>
      <c r="D968">
        <v>1</v>
      </c>
      <c r="E968">
        <v>2307</v>
      </c>
      <c r="F968" t="s">
        <v>4690</v>
      </c>
      <c r="G968" t="s">
        <v>4690</v>
      </c>
      <c r="H968">
        <v>1012578</v>
      </c>
      <c r="I968">
        <v>0</v>
      </c>
      <c r="J968">
        <v>0</v>
      </c>
      <c r="K968">
        <v>0</v>
      </c>
      <c r="L968">
        <v>0</v>
      </c>
      <c r="M968">
        <v>599</v>
      </c>
    </row>
    <row r="969" spans="1:13" ht="15">
      <c r="A969" t="s">
        <v>3515</v>
      </c>
      <c r="B969" s="1040" t="str">
        <f>CONCATENATE(LEFT(RIGHT(CONCATENATE("000",IFAData_TEA_1819!A969),6),3),"-",(RIGHT(RIGHT(CONCATENATE("000",IFAData_TEA_1819!A969),6),3)))</f>
        <v>084-909</v>
      </c>
      <c r="C969" t="s">
        <v>85</v>
      </c>
      <c r="D969">
        <v>1</v>
      </c>
      <c r="E969">
        <v>2307</v>
      </c>
      <c r="F969" t="s">
        <v>4690</v>
      </c>
      <c r="G969" t="s">
        <v>4691</v>
      </c>
      <c r="H969">
        <v>1012578</v>
      </c>
      <c r="I969">
        <v>0</v>
      </c>
      <c r="J969">
        <v>0</v>
      </c>
      <c r="K969">
        <v>0</v>
      </c>
      <c r="L969">
        <v>0</v>
      </c>
      <c r="M969">
        <v>599</v>
      </c>
    </row>
    <row r="970" spans="1:13" ht="15">
      <c r="A970" t="s">
        <v>3515</v>
      </c>
      <c r="B970" s="1040" t="str">
        <f>CONCATENATE(LEFT(RIGHT(CONCATENATE("000",IFAData_TEA_1819!A970),6),3),"-",(RIGHT(RIGHT(CONCATENATE("000",IFAData_TEA_1819!A970),6),3)))</f>
        <v>084-909</v>
      </c>
      <c r="C970" t="s">
        <v>85</v>
      </c>
      <c r="D970">
        <v>1</v>
      </c>
      <c r="E970">
        <v>2307</v>
      </c>
      <c r="F970" t="s">
        <v>4690</v>
      </c>
      <c r="G970" t="s">
        <v>4692</v>
      </c>
      <c r="H970">
        <v>1012578</v>
      </c>
      <c r="I970">
        <v>181928</v>
      </c>
      <c r="J970">
        <v>1</v>
      </c>
      <c r="K970">
        <v>1012578</v>
      </c>
      <c r="L970">
        <v>181928</v>
      </c>
      <c r="M970">
        <v>599</v>
      </c>
    </row>
    <row r="971" spans="1:13" ht="15">
      <c r="A971" t="s">
        <v>3515</v>
      </c>
      <c r="B971" s="1040" t="str">
        <f>CONCATENATE(LEFT(RIGHT(CONCATENATE("000",IFAData_TEA_1819!A971),6),3),"-",(RIGHT(RIGHT(CONCATENATE("000",IFAData_TEA_1819!A971),6),3)))</f>
        <v>084-909</v>
      </c>
      <c r="C971" t="s">
        <v>85</v>
      </c>
      <c r="D971">
        <v>1</v>
      </c>
      <c r="E971">
        <v>2307</v>
      </c>
      <c r="F971" t="s">
        <v>4690</v>
      </c>
      <c r="G971" t="s">
        <v>4693</v>
      </c>
      <c r="H971">
        <v>1012578</v>
      </c>
      <c r="I971">
        <v>0</v>
      </c>
      <c r="J971">
        <v>0</v>
      </c>
      <c r="K971">
        <v>0</v>
      </c>
      <c r="L971">
        <v>0</v>
      </c>
      <c r="M971">
        <v>599</v>
      </c>
    </row>
    <row r="972" spans="1:13" ht="15">
      <c r="A972" t="s">
        <v>3515</v>
      </c>
      <c r="B972" s="1040" t="str">
        <f>CONCATENATE(LEFT(RIGHT(CONCATENATE("000",IFAData_TEA_1819!A972),6),3),"-",(RIGHT(RIGHT(CONCATENATE("000",IFAData_TEA_1819!A972),6),3)))</f>
        <v>084-909</v>
      </c>
      <c r="C972" t="s">
        <v>85</v>
      </c>
      <c r="D972">
        <v>10</v>
      </c>
      <c r="E972">
        <v>2308</v>
      </c>
      <c r="F972" t="s">
        <v>4694</v>
      </c>
      <c r="G972" t="s">
        <v>4694</v>
      </c>
      <c r="H972">
        <v>1049443</v>
      </c>
      <c r="I972">
        <v>0</v>
      </c>
      <c r="J972">
        <v>0</v>
      </c>
      <c r="K972">
        <v>0</v>
      </c>
      <c r="L972">
        <v>0</v>
      </c>
      <c r="M972">
        <v>599</v>
      </c>
    </row>
    <row r="973" spans="1:13" ht="15">
      <c r="A973" t="s">
        <v>3515</v>
      </c>
      <c r="B973" s="1040" t="str">
        <f>CONCATENATE(LEFT(RIGHT(CONCATENATE("000",IFAData_TEA_1819!A973),6),3),"-",(RIGHT(RIGHT(CONCATENATE("000",IFAData_TEA_1819!A973),6),3)))</f>
        <v>084-909</v>
      </c>
      <c r="C973" t="s">
        <v>85</v>
      </c>
      <c r="D973">
        <v>10</v>
      </c>
      <c r="E973">
        <v>2308</v>
      </c>
      <c r="F973" t="s">
        <v>4694</v>
      </c>
      <c r="G973" t="s">
        <v>6250</v>
      </c>
      <c r="H973">
        <v>1049443</v>
      </c>
      <c r="I973">
        <v>264280</v>
      </c>
      <c r="J973">
        <v>0.247471720728144</v>
      </c>
      <c r="K973">
        <v>259707.465016106</v>
      </c>
      <c r="L973">
        <v>259707.465016106</v>
      </c>
      <c r="M973">
        <v>599</v>
      </c>
    </row>
    <row r="974" spans="1:13" ht="15">
      <c r="A974" t="s">
        <v>3515</v>
      </c>
      <c r="B974" s="1040" t="str">
        <f>CONCATENATE(LEFT(RIGHT(CONCATENATE("000",IFAData_TEA_1819!A974),6),3),"-",(RIGHT(RIGHT(CONCATENATE("000",IFAData_TEA_1819!A974),6),3)))</f>
        <v>084-909</v>
      </c>
      <c r="C974" t="s">
        <v>85</v>
      </c>
      <c r="D974">
        <v>10</v>
      </c>
      <c r="E974">
        <v>2308</v>
      </c>
      <c r="F974" t="s">
        <v>4694</v>
      </c>
      <c r="G974" t="s">
        <v>8385</v>
      </c>
      <c r="H974">
        <v>1049443</v>
      </c>
      <c r="I974">
        <v>803640</v>
      </c>
      <c r="J974">
        <v>0.75252827927185595</v>
      </c>
      <c r="K974">
        <v>789735.53498389397</v>
      </c>
      <c r="L974">
        <v>789735.53498389397</v>
      </c>
      <c r="M974">
        <v>599</v>
      </c>
    </row>
    <row r="975" spans="1:13" ht="15">
      <c r="A975" t="s">
        <v>3515</v>
      </c>
      <c r="B975" s="1040" t="str">
        <f>CONCATENATE(LEFT(RIGHT(CONCATENATE("000",IFAData_TEA_1819!A975),6),3),"-",(RIGHT(RIGHT(CONCATENATE("000",IFAData_TEA_1819!A975),6),3)))</f>
        <v>084-909</v>
      </c>
      <c r="C975" t="s">
        <v>85</v>
      </c>
      <c r="D975">
        <v>11</v>
      </c>
      <c r="E975">
        <v>2523</v>
      </c>
      <c r="F975" t="s">
        <v>8386</v>
      </c>
      <c r="G975" t="s">
        <v>8386</v>
      </c>
      <c r="H975">
        <v>235500</v>
      </c>
      <c r="I975">
        <v>62437</v>
      </c>
      <c r="J975">
        <v>0.17936306391193399</v>
      </c>
      <c r="K975">
        <v>42240.001551260502</v>
      </c>
      <c r="L975">
        <v>42240.001551260502</v>
      </c>
      <c r="M975">
        <v>599</v>
      </c>
    </row>
    <row r="976" spans="1:13" ht="15">
      <c r="A976" t="s">
        <v>3515</v>
      </c>
      <c r="B976" s="1040" t="str">
        <f>CONCATENATE(LEFT(RIGHT(CONCATENATE("000",IFAData_TEA_1819!A976),6),3),"-",(RIGHT(RIGHT(CONCATENATE("000",IFAData_TEA_1819!A976),6),3)))</f>
        <v>084-909</v>
      </c>
      <c r="C976" t="s">
        <v>85</v>
      </c>
      <c r="D976">
        <v>11</v>
      </c>
      <c r="E976">
        <v>2523</v>
      </c>
      <c r="F976" t="s">
        <v>8386</v>
      </c>
      <c r="G976" t="s">
        <v>8385</v>
      </c>
      <c r="H976">
        <v>235500</v>
      </c>
      <c r="I976">
        <v>285667</v>
      </c>
      <c r="J976">
        <v>0.82063693608806598</v>
      </c>
      <c r="K976">
        <v>193259.998448739</v>
      </c>
      <c r="L976">
        <v>193259.998448739</v>
      </c>
      <c r="M976">
        <v>599</v>
      </c>
    </row>
    <row r="977" spans="1:13" ht="15">
      <c r="A977" t="s">
        <v>3516</v>
      </c>
      <c r="B977" s="1040" t="str">
        <f>CONCATENATE(LEFT(RIGHT(CONCATENATE("000",IFAData_TEA_1819!A977),6),3),"-",(RIGHT(RIGHT(CONCATENATE("000",IFAData_TEA_1819!A977),6),3)))</f>
        <v>084-911</v>
      </c>
      <c r="C977" t="s">
        <v>1476</v>
      </c>
      <c r="D977">
        <v>2</v>
      </c>
      <c r="E977">
        <v>1829</v>
      </c>
      <c r="F977" t="s">
        <v>4695</v>
      </c>
      <c r="G977" t="s">
        <v>4695</v>
      </c>
      <c r="H977">
        <v>1100400</v>
      </c>
      <c r="I977">
        <v>0</v>
      </c>
      <c r="J977">
        <v>0</v>
      </c>
      <c r="K977"/>
      <c r="L977">
        <v>0</v>
      </c>
      <c r="M977">
        <v>599</v>
      </c>
    </row>
    <row r="978" spans="1:13" ht="15">
      <c r="A978" t="s">
        <v>3517</v>
      </c>
      <c r="B978" s="1040" t="str">
        <f>CONCATENATE(LEFT(RIGHT(CONCATENATE("000",IFAData_TEA_1819!A978),6),3),"-",(RIGHT(RIGHT(CONCATENATE("000",IFAData_TEA_1819!A978),6),3)))</f>
        <v>089-901</v>
      </c>
      <c r="C978" t="s">
        <v>861</v>
      </c>
      <c r="D978">
        <v>2</v>
      </c>
      <c r="E978">
        <v>1850</v>
      </c>
      <c r="F978" t="s">
        <v>4698</v>
      </c>
      <c r="G978" t="s">
        <v>4698</v>
      </c>
      <c r="H978">
        <v>566258</v>
      </c>
      <c r="I978">
        <v>0</v>
      </c>
      <c r="J978">
        <v>0</v>
      </c>
      <c r="K978"/>
      <c r="L978">
        <v>0</v>
      </c>
      <c r="M978">
        <v>599</v>
      </c>
    </row>
    <row r="979" spans="1:13" ht="15">
      <c r="A979" t="s">
        <v>3518</v>
      </c>
      <c r="B979" s="1040" t="str">
        <f>CONCATENATE(LEFT(RIGHT(CONCATENATE("000",IFAData_TEA_1819!A979),6),3),"-",(RIGHT(RIGHT(CONCATENATE("000",IFAData_TEA_1819!A979),6),3)))</f>
        <v>090-904</v>
      </c>
      <c r="C979" t="s">
        <v>1364</v>
      </c>
      <c r="D979">
        <v>1</v>
      </c>
      <c r="E979">
        <v>2172</v>
      </c>
      <c r="F979" t="s">
        <v>4700</v>
      </c>
      <c r="G979" t="s">
        <v>4700</v>
      </c>
      <c r="H979">
        <v>779066</v>
      </c>
      <c r="I979">
        <v>0</v>
      </c>
      <c r="J979">
        <v>0</v>
      </c>
      <c r="K979">
        <v>0</v>
      </c>
      <c r="L979">
        <v>0</v>
      </c>
      <c r="M979">
        <v>599</v>
      </c>
    </row>
    <row r="980" spans="1:13" ht="15">
      <c r="A980" t="s">
        <v>3518</v>
      </c>
      <c r="B980" s="1040" t="str">
        <f>CONCATENATE(LEFT(RIGHT(CONCATENATE("000",IFAData_TEA_1819!A980),6),3),"-",(RIGHT(RIGHT(CONCATENATE("000",IFAData_TEA_1819!A980),6),3)))</f>
        <v>090-904</v>
      </c>
      <c r="C980" t="s">
        <v>1364</v>
      </c>
      <c r="D980">
        <v>1</v>
      </c>
      <c r="E980">
        <v>2172</v>
      </c>
      <c r="F980" t="s">
        <v>4700</v>
      </c>
      <c r="G980" t="s">
        <v>4701</v>
      </c>
      <c r="H980">
        <v>779066</v>
      </c>
      <c r="I980">
        <v>0</v>
      </c>
      <c r="J980">
        <v>0</v>
      </c>
      <c r="K980">
        <v>0</v>
      </c>
      <c r="L980">
        <v>0</v>
      </c>
      <c r="M980">
        <v>599</v>
      </c>
    </row>
    <row r="981" spans="1:13" ht="15">
      <c r="A981" t="s">
        <v>3518</v>
      </c>
      <c r="B981" s="1040" t="str">
        <f>CONCATENATE(LEFT(RIGHT(CONCATENATE("000",IFAData_TEA_1819!A981),6),3),"-",(RIGHT(RIGHT(CONCATENATE("000",IFAData_TEA_1819!A981),6),3)))</f>
        <v>090-904</v>
      </c>
      <c r="C981" t="s">
        <v>1364</v>
      </c>
      <c r="D981">
        <v>1</v>
      </c>
      <c r="E981">
        <v>2172</v>
      </c>
      <c r="F981" t="s">
        <v>4700</v>
      </c>
      <c r="G981" t="s">
        <v>4702</v>
      </c>
      <c r="H981">
        <v>779066</v>
      </c>
      <c r="I981">
        <v>530850</v>
      </c>
      <c r="J981">
        <v>1</v>
      </c>
      <c r="K981">
        <v>779066</v>
      </c>
      <c r="L981">
        <v>530850</v>
      </c>
      <c r="M981">
        <v>599</v>
      </c>
    </row>
    <row r="982" spans="1:13" ht="15">
      <c r="A982" t="s">
        <v>3519</v>
      </c>
      <c r="B982" s="1040" t="str">
        <f>CONCATENATE(LEFT(RIGHT(CONCATENATE("000",IFAData_TEA_1819!A982),6),3),"-",(RIGHT(RIGHT(CONCATENATE("000",IFAData_TEA_1819!A982),6),3)))</f>
        <v>091-901</v>
      </c>
      <c r="C982" t="s">
        <v>1560</v>
      </c>
      <c r="D982">
        <v>2</v>
      </c>
      <c r="E982">
        <v>1601</v>
      </c>
      <c r="F982" t="s">
        <v>4703</v>
      </c>
      <c r="G982" t="s">
        <v>4703</v>
      </c>
      <c r="H982">
        <v>85000</v>
      </c>
      <c r="I982">
        <v>0</v>
      </c>
      <c r="J982">
        <v>0</v>
      </c>
      <c r="K982">
        <v>0</v>
      </c>
      <c r="L982">
        <v>0</v>
      </c>
      <c r="M982">
        <v>599</v>
      </c>
    </row>
    <row r="983" spans="1:13" ht="15">
      <c r="A983" t="s">
        <v>3519</v>
      </c>
      <c r="B983" s="1040" t="str">
        <f>CONCATENATE(LEFT(RIGHT(CONCATENATE("000",IFAData_TEA_1819!A983),6),3),"-",(RIGHT(RIGHT(CONCATENATE("000",IFAData_TEA_1819!A983),6),3)))</f>
        <v>091-901</v>
      </c>
      <c r="C983" t="s">
        <v>1560</v>
      </c>
      <c r="D983">
        <v>2</v>
      </c>
      <c r="E983">
        <v>1601</v>
      </c>
      <c r="F983" t="s">
        <v>4703</v>
      </c>
      <c r="G983" t="s">
        <v>4704</v>
      </c>
      <c r="H983">
        <v>85000</v>
      </c>
      <c r="I983">
        <v>0</v>
      </c>
      <c r="J983">
        <v>0</v>
      </c>
      <c r="K983">
        <v>0</v>
      </c>
      <c r="L983">
        <v>0</v>
      </c>
      <c r="M983">
        <v>599</v>
      </c>
    </row>
    <row r="984" spans="1:13" ht="15">
      <c r="A984" t="s">
        <v>3519</v>
      </c>
      <c r="B984" s="1040" t="str">
        <f>CONCATENATE(LEFT(RIGHT(CONCATENATE("000",IFAData_TEA_1819!A984),6),3),"-",(RIGHT(RIGHT(CONCATENATE("000",IFAData_TEA_1819!A984),6),3)))</f>
        <v>091-901</v>
      </c>
      <c r="C984" t="s">
        <v>1560</v>
      </c>
      <c r="D984">
        <v>2</v>
      </c>
      <c r="E984">
        <v>1601</v>
      </c>
      <c r="F984" t="s">
        <v>4703</v>
      </c>
      <c r="G984" t="s">
        <v>4705</v>
      </c>
      <c r="H984">
        <v>85000</v>
      </c>
      <c r="I984">
        <v>0</v>
      </c>
      <c r="J984">
        <v>0</v>
      </c>
      <c r="K984">
        <v>0</v>
      </c>
      <c r="L984">
        <v>0</v>
      </c>
      <c r="M984">
        <v>599</v>
      </c>
    </row>
    <row r="985" spans="1:13" ht="15">
      <c r="A985" t="s">
        <v>3519</v>
      </c>
      <c r="B985" s="1040" t="str">
        <f>CONCATENATE(LEFT(RIGHT(CONCATENATE("000",IFAData_TEA_1819!A985),6),3),"-",(RIGHT(RIGHT(CONCATENATE("000",IFAData_TEA_1819!A985),6),3)))</f>
        <v>091-901</v>
      </c>
      <c r="C985" t="s">
        <v>1560</v>
      </c>
      <c r="D985">
        <v>2</v>
      </c>
      <c r="E985">
        <v>1601</v>
      </c>
      <c r="F985" t="s">
        <v>4703</v>
      </c>
      <c r="G985" t="s">
        <v>8387</v>
      </c>
      <c r="H985">
        <v>85000</v>
      </c>
      <c r="I985">
        <v>209626</v>
      </c>
      <c r="J985">
        <v>1</v>
      </c>
      <c r="K985">
        <v>85000</v>
      </c>
      <c r="L985">
        <v>85000</v>
      </c>
      <c r="M985">
        <v>599</v>
      </c>
    </row>
    <row r="986" spans="1:13" ht="15">
      <c r="A986" t="s">
        <v>3519</v>
      </c>
      <c r="B986" s="1040" t="str">
        <f>CONCATENATE(LEFT(RIGHT(CONCATENATE("000",IFAData_TEA_1819!A986),6),3),"-",(RIGHT(RIGHT(CONCATENATE("000",IFAData_TEA_1819!A986),6),3)))</f>
        <v>091-901</v>
      </c>
      <c r="C986" t="s">
        <v>1560</v>
      </c>
      <c r="D986">
        <v>3</v>
      </c>
      <c r="E986">
        <v>1600</v>
      </c>
      <c r="F986" t="s">
        <v>4706</v>
      </c>
      <c r="G986" t="s">
        <v>4706</v>
      </c>
      <c r="H986">
        <v>51750</v>
      </c>
      <c r="I986">
        <v>0</v>
      </c>
      <c r="J986">
        <v>0</v>
      </c>
      <c r="K986">
        <v>0</v>
      </c>
      <c r="L986">
        <v>0</v>
      </c>
      <c r="M986">
        <v>599</v>
      </c>
    </row>
    <row r="987" spans="1:13" ht="15">
      <c r="A987" t="s">
        <v>3519</v>
      </c>
      <c r="B987" s="1040" t="str">
        <f>CONCATENATE(LEFT(RIGHT(CONCATENATE("000",IFAData_TEA_1819!A987),6),3),"-",(RIGHT(RIGHT(CONCATENATE("000",IFAData_TEA_1819!A987),6),3)))</f>
        <v>091-901</v>
      </c>
      <c r="C987" t="s">
        <v>1560</v>
      </c>
      <c r="D987">
        <v>3</v>
      </c>
      <c r="E987">
        <v>1600</v>
      </c>
      <c r="F987" t="s">
        <v>4706</v>
      </c>
      <c r="G987" t="s">
        <v>4705</v>
      </c>
      <c r="H987">
        <v>51750</v>
      </c>
      <c r="I987">
        <v>43675</v>
      </c>
      <c r="J987">
        <v>1</v>
      </c>
      <c r="K987">
        <v>51750</v>
      </c>
      <c r="L987">
        <v>43675</v>
      </c>
      <c r="M987">
        <v>599</v>
      </c>
    </row>
    <row r="988" spans="1:13" ht="15">
      <c r="A988" t="s">
        <v>3519</v>
      </c>
      <c r="B988" s="1040" t="str">
        <f>CONCATENATE(LEFT(RIGHT(CONCATENATE("000",IFAData_TEA_1819!A988),6),3),"-",(RIGHT(RIGHT(CONCATENATE("000",IFAData_TEA_1819!A988),6),3)))</f>
        <v>091-901</v>
      </c>
      <c r="C988" t="s">
        <v>1560</v>
      </c>
      <c r="D988">
        <v>9</v>
      </c>
      <c r="E988">
        <v>1602</v>
      </c>
      <c r="F988" t="s">
        <v>4704</v>
      </c>
      <c r="G988" t="s">
        <v>4704</v>
      </c>
      <c r="H988">
        <v>180464</v>
      </c>
      <c r="I988">
        <v>0</v>
      </c>
      <c r="J988">
        <v>0</v>
      </c>
      <c r="K988">
        <v>0</v>
      </c>
      <c r="L988">
        <v>0</v>
      </c>
      <c r="M988">
        <v>599</v>
      </c>
    </row>
    <row r="989" spans="1:13" ht="15">
      <c r="A989" t="s">
        <v>3519</v>
      </c>
      <c r="B989" s="1040" t="str">
        <f>CONCATENATE(LEFT(RIGHT(CONCATENATE("000",IFAData_TEA_1819!A989),6),3),"-",(RIGHT(RIGHT(CONCATENATE("000",IFAData_TEA_1819!A989),6),3)))</f>
        <v>091-901</v>
      </c>
      <c r="C989" t="s">
        <v>1560</v>
      </c>
      <c r="D989">
        <v>9</v>
      </c>
      <c r="E989">
        <v>1602</v>
      </c>
      <c r="F989" t="s">
        <v>4704</v>
      </c>
      <c r="G989" t="s">
        <v>8387</v>
      </c>
      <c r="H989">
        <v>180464</v>
      </c>
      <c r="I989">
        <v>353556</v>
      </c>
      <c r="J989">
        <v>1</v>
      </c>
      <c r="K989">
        <v>180464</v>
      </c>
      <c r="L989">
        <v>180464</v>
      </c>
      <c r="M989">
        <v>599</v>
      </c>
    </row>
    <row r="990" spans="1:13" ht="15">
      <c r="A990" t="s">
        <v>4707</v>
      </c>
      <c r="B990" s="1040" t="str">
        <f>CONCATENATE(LEFT(RIGHT(CONCATENATE("000",IFAData_TEA_1819!A990),6),3),"-",(RIGHT(RIGHT(CONCATENATE("000",IFAData_TEA_1819!A990),6),3)))</f>
        <v>091-902</v>
      </c>
      <c r="C990" t="s">
        <v>1445</v>
      </c>
      <c r="D990">
        <v>9</v>
      </c>
      <c r="E990">
        <v>1706</v>
      </c>
      <c r="F990" t="s">
        <v>4708</v>
      </c>
      <c r="G990" t="s">
        <v>4708</v>
      </c>
      <c r="H990">
        <v>147510</v>
      </c>
      <c r="I990">
        <v>0</v>
      </c>
      <c r="J990">
        <v>0</v>
      </c>
      <c r="K990"/>
      <c r="L990">
        <v>0</v>
      </c>
      <c r="M990">
        <v>199</v>
      </c>
    </row>
    <row r="991" spans="1:13" ht="15">
      <c r="A991" t="s">
        <v>4707</v>
      </c>
      <c r="B991" s="1040" t="str">
        <f>CONCATENATE(LEFT(RIGHT(CONCATENATE("000",IFAData_TEA_1819!A991),6),3),"-",(RIGHT(RIGHT(CONCATENATE("000",IFAData_TEA_1819!A991),6),3)))</f>
        <v>091-902</v>
      </c>
      <c r="C991" t="s">
        <v>1445</v>
      </c>
      <c r="D991">
        <v>11</v>
      </c>
      <c r="E991">
        <v>2529</v>
      </c>
      <c r="F991" t="s">
        <v>8388</v>
      </c>
      <c r="G991" t="s">
        <v>8388</v>
      </c>
      <c r="H991">
        <v>126123</v>
      </c>
      <c r="I991">
        <v>299116</v>
      </c>
      <c r="J991">
        <v>1</v>
      </c>
      <c r="K991">
        <v>126123</v>
      </c>
      <c r="L991">
        <v>126123</v>
      </c>
      <c r="M991">
        <v>599</v>
      </c>
    </row>
    <row r="992" spans="1:13" ht="15">
      <c r="A992" t="s">
        <v>3520</v>
      </c>
      <c r="B992" s="1040" t="str">
        <f>CONCATENATE(LEFT(RIGHT(CONCATENATE("000",IFAData_TEA_1819!A992),6),3),"-",(RIGHT(RIGHT(CONCATENATE("000",IFAData_TEA_1819!A992),6),3)))</f>
        <v>091-905</v>
      </c>
      <c r="C992" t="s">
        <v>2380</v>
      </c>
      <c r="D992">
        <v>5</v>
      </c>
      <c r="E992">
        <v>1904</v>
      </c>
      <c r="F992" t="s">
        <v>4709</v>
      </c>
      <c r="G992" t="s">
        <v>4709</v>
      </c>
      <c r="H992">
        <v>308470</v>
      </c>
      <c r="I992">
        <v>0</v>
      </c>
      <c r="J992">
        <v>0</v>
      </c>
      <c r="K992">
        <v>0</v>
      </c>
      <c r="L992">
        <v>0</v>
      </c>
      <c r="M992">
        <v>599</v>
      </c>
    </row>
    <row r="993" spans="1:13" ht="15">
      <c r="A993" t="s">
        <v>3520</v>
      </c>
      <c r="B993" s="1040" t="str">
        <f>CONCATENATE(LEFT(RIGHT(CONCATENATE("000",IFAData_TEA_1819!A993),6),3),"-",(RIGHT(RIGHT(CONCATENATE("000",IFAData_TEA_1819!A993),6),3)))</f>
        <v>091-905</v>
      </c>
      <c r="C993" t="s">
        <v>2380</v>
      </c>
      <c r="D993">
        <v>5</v>
      </c>
      <c r="E993">
        <v>1904</v>
      </c>
      <c r="F993" t="s">
        <v>4709</v>
      </c>
      <c r="G993" t="s">
        <v>4710</v>
      </c>
      <c r="H993">
        <v>308470</v>
      </c>
      <c r="I993">
        <v>0</v>
      </c>
      <c r="J993">
        <v>0</v>
      </c>
      <c r="K993">
        <v>0</v>
      </c>
      <c r="L993">
        <v>0</v>
      </c>
      <c r="M993">
        <v>599</v>
      </c>
    </row>
    <row r="994" spans="1:13" ht="15">
      <c r="A994" t="s">
        <v>3520</v>
      </c>
      <c r="B994" s="1040" t="str">
        <f>CONCATENATE(LEFT(RIGHT(CONCATENATE("000",IFAData_TEA_1819!A994),6),3),"-",(RIGHT(RIGHT(CONCATENATE("000",IFAData_TEA_1819!A994),6),3)))</f>
        <v>091-905</v>
      </c>
      <c r="C994" t="s">
        <v>2380</v>
      </c>
      <c r="D994">
        <v>5</v>
      </c>
      <c r="E994">
        <v>1904</v>
      </c>
      <c r="F994" t="s">
        <v>4709</v>
      </c>
      <c r="G994" t="s">
        <v>4711</v>
      </c>
      <c r="H994">
        <v>308470</v>
      </c>
      <c r="I994">
        <v>31406</v>
      </c>
      <c r="J994">
        <v>6.3338086143507999E-2</v>
      </c>
      <c r="K994">
        <v>19537.8994326879</v>
      </c>
      <c r="L994">
        <v>19537.8994326879</v>
      </c>
      <c r="M994">
        <v>599</v>
      </c>
    </row>
    <row r="995" spans="1:13" ht="15">
      <c r="A995" t="s">
        <v>3520</v>
      </c>
      <c r="B995" s="1040" t="str">
        <f>CONCATENATE(LEFT(RIGHT(CONCATENATE("000",IFAData_TEA_1819!A995),6),3),"-",(RIGHT(RIGHT(CONCATENATE("000",IFAData_TEA_1819!A995),6),3)))</f>
        <v>091-905</v>
      </c>
      <c r="C995" t="s">
        <v>2380</v>
      </c>
      <c r="D995">
        <v>5</v>
      </c>
      <c r="E995">
        <v>1904</v>
      </c>
      <c r="F995" t="s">
        <v>4709</v>
      </c>
      <c r="G995" t="s">
        <v>6460</v>
      </c>
      <c r="H995">
        <v>308470</v>
      </c>
      <c r="I995">
        <v>464441</v>
      </c>
      <c r="J995">
        <v>0.936661913856492</v>
      </c>
      <c r="K995">
        <v>288932.10056731198</v>
      </c>
      <c r="L995">
        <v>288932.10056731198</v>
      </c>
      <c r="M995">
        <v>599</v>
      </c>
    </row>
    <row r="996" spans="1:13" ht="15">
      <c r="A996" t="s">
        <v>3520</v>
      </c>
      <c r="B996" s="1040" t="str">
        <f>CONCATENATE(LEFT(RIGHT(CONCATENATE("000",IFAData_TEA_1819!A996),6),3),"-",(RIGHT(RIGHT(CONCATENATE("000",IFAData_TEA_1819!A996),6),3)))</f>
        <v>091-905</v>
      </c>
      <c r="C996" t="s">
        <v>2380</v>
      </c>
      <c r="D996">
        <v>5</v>
      </c>
      <c r="E996">
        <v>1903</v>
      </c>
      <c r="F996" t="s">
        <v>4712</v>
      </c>
      <c r="G996" t="s">
        <v>4712</v>
      </c>
      <c r="H996">
        <v>153973</v>
      </c>
      <c r="I996">
        <v>152757</v>
      </c>
      <c r="J996">
        <v>1</v>
      </c>
      <c r="K996">
        <v>153973</v>
      </c>
      <c r="L996">
        <v>152757</v>
      </c>
      <c r="M996">
        <v>599</v>
      </c>
    </row>
    <row r="997" spans="1:13" ht="15">
      <c r="A997" t="s">
        <v>3521</v>
      </c>
      <c r="B997" s="1040" t="str">
        <f>CONCATENATE(LEFT(RIGHT(CONCATENATE("000",IFAData_TEA_1819!A997),6),3),"-",(RIGHT(RIGHT(CONCATENATE("000",IFAData_TEA_1819!A997),6),3)))</f>
        <v>091-906</v>
      </c>
      <c r="C997" t="s">
        <v>1648</v>
      </c>
      <c r="D997">
        <v>9</v>
      </c>
      <c r="E997">
        <v>2331</v>
      </c>
      <c r="F997" t="s">
        <v>4713</v>
      </c>
      <c r="G997" t="s">
        <v>4713</v>
      </c>
      <c r="H997">
        <v>1512500</v>
      </c>
      <c r="I997">
        <v>955993</v>
      </c>
      <c r="J997">
        <v>0.26605712421869498</v>
      </c>
      <c r="K997">
        <v>402411.40038077597</v>
      </c>
      <c r="L997">
        <v>402411.40038077597</v>
      </c>
      <c r="M997">
        <v>599</v>
      </c>
    </row>
    <row r="998" spans="1:13" ht="15">
      <c r="A998" t="s">
        <v>3521</v>
      </c>
      <c r="B998" s="1040" t="str">
        <f>CONCATENATE(LEFT(RIGHT(CONCATENATE("000",IFAData_TEA_1819!A998),6),3),"-",(RIGHT(RIGHT(CONCATENATE("000",IFAData_TEA_1819!A998),6),3)))</f>
        <v>091-906</v>
      </c>
      <c r="C998" t="s">
        <v>1648</v>
      </c>
      <c r="D998">
        <v>9</v>
      </c>
      <c r="E998">
        <v>2331</v>
      </c>
      <c r="F998" t="s">
        <v>4713</v>
      </c>
      <c r="G998" t="s">
        <v>4714</v>
      </c>
      <c r="H998">
        <v>1512500</v>
      </c>
      <c r="I998">
        <v>155489</v>
      </c>
      <c r="J998">
        <v>4.3273283578060401E-2</v>
      </c>
      <c r="K998">
        <v>65450.841411816298</v>
      </c>
      <c r="L998">
        <v>65450.841411816298</v>
      </c>
      <c r="M998">
        <v>599</v>
      </c>
    </row>
    <row r="999" spans="1:13" ht="15">
      <c r="A999" t="s">
        <v>3521</v>
      </c>
      <c r="B999" s="1040" t="str">
        <f>CONCATENATE(LEFT(RIGHT(CONCATENATE("000",IFAData_TEA_1819!A999),6),3),"-",(RIGHT(RIGHT(CONCATENATE("000",IFAData_TEA_1819!A999),6),3)))</f>
        <v>091-906</v>
      </c>
      <c r="C999" t="s">
        <v>1648</v>
      </c>
      <c r="D999">
        <v>9</v>
      </c>
      <c r="E999">
        <v>2331</v>
      </c>
      <c r="F999" t="s">
        <v>4713</v>
      </c>
      <c r="G999" t="s">
        <v>4715</v>
      </c>
      <c r="H999">
        <v>1512500</v>
      </c>
      <c r="I999">
        <v>1881711</v>
      </c>
      <c r="J999">
        <v>0.52368858063885904</v>
      </c>
      <c r="K999">
        <v>792078.97821627394</v>
      </c>
      <c r="L999">
        <v>792078.97821627394</v>
      </c>
      <c r="M999">
        <v>599</v>
      </c>
    </row>
    <row r="1000" spans="1:13" ht="15">
      <c r="A1000" t="s">
        <v>3521</v>
      </c>
      <c r="B1000" s="1040" t="str">
        <f>CONCATENATE(LEFT(RIGHT(CONCATENATE("000",IFAData_TEA_1819!A1000),6),3),"-",(RIGHT(RIGHT(CONCATENATE("000",IFAData_TEA_1819!A1000),6),3)))</f>
        <v>091-906</v>
      </c>
      <c r="C1000" t="s">
        <v>1648</v>
      </c>
      <c r="D1000">
        <v>9</v>
      </c>
      <c r="E1000">
        <v>2331</v>
      </c>
      <c r="F1000" t="s">
        <v>4713</v>
      </c>
      <c r="G1000" t="s">
        <v>6461</v>
      </c>
      <c r="H1000">
        <v>1512500</v>
      </c>
      <c r="I1000">
        <v>599994</v>
      </c>
      <c r="J1000">
        <v>0.16698101156438599</v>
      </c>
      <c r="K1000">
        <v>252558.77999113299</v>
      </c>
      <c r="L1000">
        <v>252558.77999113299</v>
      </c>
      <c r="M1000">
        <v>599</v>
      </c>
    </row>
    <row r="1001" spans="1:13" ht="15">
      <c r="A1001" t="s">
        <v>5880</v>
      </c>
      <c r="B1001" s="1040" t="str">
        <f>CONCATENATE(LEFT(RIGHT(CONCATENATE("000",IFAData_TEA_1819!A1001),6),3),"-",(RIGHT(RIGHT(CONCATENATE("000",IFAData_TEA_1819!A1001),6),3)))</f>
        <v>091-907</v>
      </c>
      <c r="C1001" t="s">
        <v>1649</v>
      </c>
      <c r="D1001">
        <v>11</v>
      </c>
      <c r="E1001">
        <v>2561</v>
      </c>
      <c r="F1001" t="s">
        <v>8389</v>
      </c>
      <c r="G1001" t="s">
        <v>8389</v>
      </c>
      <c r="H1001">
        <v>93975</v>
      </c>
      <c r="I1001">
        <v>87375</v>
      </c>
      <c r="J1001">
        <v>1</v>
      </c>
      <c r="K1001">
        <v>93975</v>
      </c>
      <c r="L1001">
        <v>87375</v>
      </c>
      <c r="M1001">
        <v>599</v>
      </c>
    </row>
    <row r="1002" spans="1:13" ht="15">
      <c r="A1002" t="s">
        <v>3522</v>
      </c>
      <c r="B1002" s="1040" t="str">
        <f>CONCATENATE(LEFT(RIGHT(CONCATENATE("000",IFAData_TEA_1819!A1002),6),3),"-",(RIGHT(RIGHT(CONCATENATE("000",IFAData_TEA_1819!A1002),6),3)))</f>
        <v>091-908</v>
      </c>
      <c r="C1002" t="s">
        <v>2365</v>
      </c>
      <c r="D1002">
        <v>5</v>
      </c>
      <c r="E1002">
        <v>2420</v>
      </c>
      <c r="F1002" t="s">
        <v>4716</v>
      </c>
      <c r="G1002" t="s">
        <v>4716</v>
      </c>
      <c r="H1002">
        <v>304630</v>
      </c>
      <c r="I1002">
        <v>0</v>
      </c>
      <c r="J1002">
        <v>0</v>
      </c>
      <c r="K1002">
        <v>0</v>
      </c>
      <c r="L1002">
        <v>0</v>
      </c>
      <c r="M1002">
        <v>599</v>
      </c>
    </row>
    <row r="1003" spans="1:13" ht="15">
      <c r="A1003" t="s">
        <v>3522</v>
      </c>
      <c r="B1003" s="1040" t="str">
        <f>CONCATENATE(LEFT(RIGHT(CONCATENATE("000",IFAData_TEA_1819!A1003),6),3),"-",(RIGHT(RIGHT(CONCATENATE("000",IFAData_TEA_1819!A1003),6),3)))</f>
        <v>091-908</v>
      </c>
      <c r="C1003" t="s">
        <v>2365</v>
      </c>
      <c r="D1003">
        <v>5</v>
      </c>
      <c r="E1003">
        <v>2420</v>
      </c>
      <c r="F1003" t="s">
        <v>4716</v>
      </c>
      <c r="G1003" t="s">
        <v>4717</v>
      </c>
      <c r="H1003">
        <v>304630</v>
      </c>
      <c r="I1003">
        <v>427576</v>
      </c>
      <c r="J1003">
        <v>1</v>
      </c>
      <c r="K1003">
        <v>304630</v>
      </c>
      <c r="L1003">
        <v>304630</v>
      </c>
      <c r="M1003">
        <v>599</v>
      </c>
    </row>
    <row r="1004" spans="1:13" ht="15">
      <c r="A1004" t="s">
        <v>3522</v>
      </c>
      <c r="B1004" s="1040" t="str">
        <f>CONCATENATE(LEFT(RIGHT(CONCATENATE("000",IFAData_TEA_1819!A1004),6),3),"-",(RIGHT(RIGHT(CONCATENATE("000",IFAData_TEA_1819!A1004),6),3)))</f>
        <v>091-908</v>
      </c>
      <c r="C1004" t="s">
        <v>2365</v>
      </c>
      <c r="D1004">
        <v>6</v>
      </c>
      <c r="E1004">
        <v>2418</v>
      </c>
      <c r="F1004" t="s">
        <v>4718</v>
      </c>
      <c r="G1004" t="s">
        <v>4718</v>
      </c>
      <c r="H1004">
        <v>15230</v>
      </c>
      <c r="I1004">
        <v>0</v>
      </c>
      <c r="J1004">
        <v>0</v>
      </c>
      <c r="K1004">
        <v>0</v>
      </c>
      <c r="L1004">
        <v>0</v>
      </c>
      <c r="M1004">
        <v>599</v>
      </c>
    </row>
    <row r="1005" spans="1:13" ht="15">
      <c r="A1005" t="s">
        <v>3522</v>
      </c>
      <c r="B1005" s="1040" t="str">
        <f>CONCATENATE(LEFT(RIGHT(CONCATENATE("000",IFAData_TEA_1819!A1005),6),3),"-",(RIGHT(RIGHT(CONCATENATE("000",IFAData_TEA_1819!A1005),6),3)))</f>
        <v>091-908</v>
      </c>
      <c r="C1005" t="s">
        <v>2365</v>
      </c>
      <c r="D1005">
        <v>6</v>
      </c>
      <c r="E1005">
        <v>2418</v>
      </c>
      <c r="F1005" t="s">
        <v>4718</v>
      </c>
      <c r="G1005" t="s">
        <v>4719</v>
      </c>
      <c r="H1005">
        <v>15230</v>
      </c>
      <c r="I1005">
        <v>276950</v>
      </c>
      <c r="J1005">
        <v>1</v>
      </c>
      <c r="K1005">
        <v>15230</v>
      </c>
      <c r="L1005">
        <v>15230</v>
      </c>
      <c r="M1005">
        <v>599</v>
      </c>
    </row>
    <row r="1006" spans="1:13" ht="15">
      <c r="A1006" t="s">
        <v>3522</v>
      </c>
      <c r="B1006" s="1040" t="str">
        <f>CONCATENATE(LEFT(RIGHT(CONCATENATE("000",IFAData_TEA_1819!A1006),6),3),"-",(RIGHT(RIGHT(CONCATENATE("000",IFAData_TEA_1819!A1006),6),3)))</f>
        <v>091-908</v>
      </c>
      <c r="C1006" t="s">
        <v>2365</v>
      </c>
      <c r="D1006">
        <v>9</v>
      </c>
      <c r="E1006">
        <v>2419</v>
      </c>
      <c r="F1006" t="s">
        <v>4720</v>
      </c>
      <c r="G1006" t="s">
        <v>4720</v>
      </c>
      <c r="H1006">
        <v>292584</v>
      </c>
      <c r="I1006">
        <v>0</v>
      </c>
      <c r="J1006">
        <v>0</v>
      </c>
      <c r="K1006"/>
      <c r="L1006">
        <v>0</v>
      </c>
      <c r="M1006">
        <v>599</v>
      </c>
    </row>
    <row r="1007" spans="1:13" ht="15">
      <c r="A1007" t="s">
        <v>3523</v>
      </c>
      <c r="B1007" s="1040" t="str">
        <f>CONCATENATE(LEFT(RIGHT(CONCATENATE("000",IFAData_TEA_1819!A1007),6),3),"-",(RIGHT(RIGHT(CONCATENATE("000",IFAData_TEA_1819!A1007),6),3)))</f>
        <v>091-909</v>
      </c>
      <c r="C1007" t="s">
        <v>1335</v>
      </c>
      <c r="D1007">
        <v>5</v>
      </c>
      <c r="E1007">
        <v>2452</v>
      </c>
      <c r="F1007" t="s">
        <v>4721</v>
      </c>
      <c r="G1007" t="s">
        <v>4721</v>
      </c>
      <c r="H1007">
        <v>323783</v>
      </c>
      <c r="I1007">
        <v>0</v>
      </c>
      <c r="J1007">
        <v>0</v>
      </c>
      <c r="K1007">
        <v>0</v>
      </c>
      <c r="L1007">
        <v>0</v>
      </c>
      <c r="M1007">
        <v>599</v>
      </c>
    </row>
    <row r="1008" spans="1:13" ht="15">
      <c r="A1008" t="s">
        <v>3523</v>
      </c>
      <c r="B1008" s="1040" t="str">
        <f>CONCATENATE(LEFT(RIGHT(CONCATENATE("000",IFAData_TEA_1819!A1008),6),3),"-",(RIGHT(RIGHT(CONCATENATE("000",IFAData_TEA_1819!A1008),6),3)))</f>
        <v>091-909</v>
      </c>
      <c r="C1008" t="s">
        <v>1335</v>
      </c>
      <c r="D1008">
        <v>5</v>
      </c>
      <c r="E1008">
        <v>2452</v>
      </c>
      <c r="F1008" t="s">
        <v>4721</v>
      </c>
      <c r="G1008" t="s">
        <v>4722</v>
      </c>
      <c r="H1008">
        <v>323783</v>
      </c>
      <c r="I1008">
        <v>337800</v>
      </c>
      <c r="J1008">
        <v>1</v>
      </c>
      <c r="K1008">
        <v>323783</v>
      </c>
      <c r="L1008">
        <v>323783</v>
      </c>
      <c r="M1008">
        <v>599</v>
      </c>
    </row>
    <row r="1009" spans="1:13" ht="15">
      <c r="A1009" t="s">
        <v>3524</v>
      </c>
      <c r="B1009" s="1040" t="str">
        <f>CONCATENATE(LEFT(RIGHT(CONCATENATE("000",IFAData_TEA_1819!A1009),6),3),"-",(RIGHT(RIGHT(CONCATENATE("000",IFAData_TEA_1819!A1009),6),3)))</f>
        <v>091-913</v>
      </c>
      <c r="C1009" t="s">
        <v>2100</v>
      </c>
      <c r="D1009">
        <v>2</v>
      </c>
      <c r="E1009">
        <v>2207</v>
      </c>
      <c r="F1009" t="s">
        <v>4723</v>
      </c>
      <c r="G1009" t="s">
        <v>4723</v>
      </c>
      <c r="H1009">
        <v>315852</v>
      </c>
      <c r="I1009">
        <v>0</v>
      </c>
      <c r="J1009">
        <v>0</v>
      </c>
      <c r="K1009">
        <v>0</v>
      </c>
      <c r="L1009">
        <v>0</v>
      </c>
      <c r="M1009">
        <v>599</v>
      </c>
    </row>
    <row r="1010" spans="1:13" ht="15">
      <c r="A1010" t="s">
        <v>3524</v>
      </c>
      <c r="B1010" s="1040" t="str">
        <f>CONCATENATE(LEFT(RIGHT(CONCATENATE("000",IFAData_TEA_1819!A1010),6),3),"-",(RIGHT(RIGHT(CONCATENATE("000",IFAData_TEA_1819!A1010),6),3)))</f>
        <v>091-913</v>
      </c>
      <c r="C1010" t="s">
        <v>2100</v>
      </c>
      <c r="D1010">
        <v>2</v>
      </c>
      <c r="E1010">
        <v>2207</v>
      </c>
      <c r="F1010" t="s">
        <v>4723</v>
      </c>
      <c r="G1010" t="s">
        <v>4724</v>
      </c>
      <c r="H1010">
        <v>315852</v>
      </c>
      <c r="I1010">
        <v>0</v>
      </c>
      <c r="J1010">
        <v>0</v>
      </c>
      <c r="K1010">
        <v>0</v>
      </c>
      <c r="L1010">
        <v>0</v>
      </c>
      <c r="M1010">
        <v>599</v>
      </c>
    </row>
    <row r="1011" spans="1:13" ht="15">
      <c r="A1011" t="s">
        <v>3524</v>
      </c>
      <c r="B1011" s="1040" t="str">
        <f>CONCATENATE(LEFT(RIGHT(CONCATENATE("000",IFAData_TEA_1819!A1011),6),3),"-",(RIGHT(RIGHT(CONCATENATE("000",IFAData_TEA_1819!A1011),6),3)))</f>
        <v>091-913</v>
      </c>
      <c r="C1011" t="s">
        <v>2100</v>
      </c>
      <c r="D1011">
        <v>2</v>
      </c>
      <c r="E1011">
        <v>2207</v>
      </c>
      <c r="F1011" t="s">
        <v>4723</v>
      </c>
      <c r="G1011" t="s">
        <v>6251</v>
      </c>
      <c r="H1011">
        <v>315852</v>
      </c>
      <c r="I1011">
        <v>666924</v>
      </c>
      <c r="J1011">
        <v>1</v>
      </c>
      <c r="K1011">
        <v>315852</v>
      </c>
      <c r="L1011">
        <v>315852</v>
      </c>
      <c r="M1011">
        <v>599</v>
      </c>
    </row>
    <row r="1012" spans="1:13" ht="15">
      <c r="A1012" t="s">
        <v>3525</v>
      </c>
      <c r="B1012" s="1040" t="str">
        <f>CONCATENATE(LEFT(RIGHT(CONCATENATE("000",IFAData_TEA_1819!A1012),6),3),"-",(RIGHT(RIGHT(CONCATENATE("000",IFAData_TEA_1819!A1012),6),3)))</f>
        <v>091-917</v>
      </c>
      <c r="C1012" t="s">
        <v>1732</v>
      </c>
      <c r="D1012">
        <v>3</v>
      </c>
      <c r="E1012">
        <v>1862</v>
      </c>
      <c r="F1012" t="s">
        <v>4725</v>
      </c>
      <c r="G1012" t="s">
        <v>4725</v>
      </c>
      <c r="H1012">
        <v>145000</v>
      </c>
      <c r="I1012">
        <v>0</v>
      </c>
      <c r="J1012">
        <v>0</v>
      </c>
      <c r="K1012">
        <v>0</v>
      </c>
      <c r="L1012">
        <v>0</v>
      </c>
      <c r="M1012">
        <v>599</v>
      </c>
    </row>
    <row r="1013" spans="1:13" ht="15">
      <c r="A1013" t="s">
        <v>3525</v>
      </c>
      <c r="B1013" s="1040" t="str">
        <f>CONCATENATE(LEFT(RIGHT(CONCATENATE("000",IFAData_TEA_1819!A1013),6),3),"-",(RIGHT(RIGHT(CONCATENATE("000",IFAData_TEA_1819!A1013),6),3)))</f>
        <v>091-917</v>
      </c>
      <c r="C1013" t="s">
        <v>1732</v>
      </c>
      <c r="D1013">
        <v>3</v>
      </c>
      <c r="E1013">
        <v>1862</v>
      </c>
      <c r="F1013" t="s">
        <v>4725</v>
      </c>
      <c r="G1013" t="s">
        <v>4726</v>
      </c>
      <c r="H1013">
        <v>145000</v>
      </c>
      <c r="I1013">
        <v>146075</v>
      </c>
      <c r="J1013">
        <v>1</v>
      </c>
      <c r="K1013">
        <v>145000</v>
      </c>
      <c r="L1013">
        <v>145000</v>
      </c>
      <c r="M1013">
        <v>599</v>
      </c>
    </row>
    <row r="1014" spans="1:13" ht="15">
      <c r="A1014" t="s">
        <v>3525</v>
      </c>
      <c r="B1014" s="1040" t="str">
        <f>CONCATENATE(LEFT(RIGHT(CONCATENATE("000",IFAData_TEA_1819!A1014),6),3),"-",(RIGHT(RIGHT(CONCATENATE("000",IFAData_TEA_1819!A1014),6),3)))</f>
        <v>091-917</v>
      </c>
      <c r="C1014" t="s">
        <v>1732</v>
      </c>
      <c r="D1014">
        <v>9</v>
      </c>
      <c r="E1014">
        <v>1861</v>
      </c>
      <c r="F1014" t="s">
        <v>4727</v>
      </c>
      <c r="G1014" t="s">
        <v>4727</v>
      </c>
      <c r="H1014">
        <v>129415</v>
      </c>
      <c r="I1014">
        <v>0</v>
      </c>
      <c r="J1014">
        <v>0</v>
      </c>
      <c r="K1014">
        <v>0</v>
      </c>
      <c r="L1014">
        <v>0</v>
      </c>
      <c r="M1014">
        <v>599</v>
      </c>
    </row>
    <row r="1015" spans="1:13" ht="15">
      <c r="A1015" t="s">
        <v>3525</v>
      </c>
      <c r="B1015" s="1040" t="str">
        <f>CONCATENATE(LEFT(RIGHT(CONCATENATE("000",IFAData_TEA_1819!A1015),6),3),"-",(RIGHT(RIGHT(CONCATENATE("000",IFAData_TEA_1819!A1015),6),3)))</f>
        <v>091-917</v>
      </c>
      <c r="C1015" t="s">
        <v>1732</v>
      </c>
      <c r="D1015">
        <v>9</v>
      </c>
      <c r="E1015">
        <v>1861</v>
      </c>
      <c r="F1015" t="s">
        <v>4727</v>
      </c>
      <c r="G1015" t="s">
        <v>6462</v>
      </c>
      <c r="H1015">
        <v>129415</v>
      </c>
      <c r="I1015">
        <v>108548</v>
      </c>
      <c r="J1015">
        <v>1</v>
      </c>
      <c r="K1015">
        <v>129415</v>
      </c>
      <c r="L1015">
        <v>108548</v>
      </c>
      <c r="M1015">
        <v>599</v>
      </c>
    </row>
    <row r="1016" spans="1:13" ht="15">
      <c r="A1016" t="s">
        <v>3525</v>
      </c>
      <c r="B1016" s="1040" t="str">
        <f>CONCATENATE(LEFT(RIGHT(CONCATENATE("000",IFAData_TEA_1819!A1016),6),3),"-",(RIGHT(RIGHT(CONCATENATE("000",IFAData_TEA_1819!A1016),6),3)))</f>
        <v>091-917</v>
      </c>
      <c r="C1016" t="s">
        <v>1732</v>
      </c>
      <c r="D1016">
        <v>11</v>
      </c>
      <c r="E1016">
        <v>2533</v>
      </c>
      <c r="F1016" t="s">
        <v>8390</v>
      </c>
      <c r="G1016" t="s">
        <v>8390</v>
      </c>
      <c r="H1016">
        <v>31500</v>
      </c>
      <c r="I1016">
        <v>31500</v>
      </c>
      <c r="J1016">
        <v>1</v>
      </c>
      <c r="K1016">
        <v>31500</v>
      </c>
      <c r="L1016">
        <v>31500</v>
      </c>
      <c r="M1016">
        <v>599</v>
      </c>
    </row>
    <row r="1017" spans="1:13" ht="15">
      <c r="A1017" t="s">
        <v>3525</v>
      </c>
      <c r="B1017" s="1040" t="str">
        <f>CONCATENATE(LEFT(RIGHT(CONCATENATE("000",IFAData_TEA_1819!A1017),6),3),"-",(RIGHT(RIGHT(CONCATENATE("000",IFAData_TEA_1819!A1017),6),3)))</f>
        <v>091-917</v>
      </c>
      <c r="C1017" t="s">
        <v>1732</v>
      </c>
      <c r="D1017">
        <v>11</v>
      </c>
      <c r="E1017">
        <v>2534</v>
      </c>
      <c r="F1017" t="s">
        <v>8391</v>
      </c>
      <c r="G1017" t="s">
        <v>8391</v>
      </c>
      <c r="H1017">
        <v>156750</v>
      </c>
      <c r="I1017">
        <v>110700</v>
      </c>
      <c r="J1017">
        <v>1</v>
      </c>
      <c r="K1017">
        <v>156750</v>
      </c>
      <c r="L1017">
        <v>110700</v>
      </c>
      <c r="M1017">
        <v>599</v>
      </c>
    </row>
    <row r="1018" spans="1:13" ht="15">
      <c r="A1018" t="s">
        <v>4728</v>
      </c>
      <c r="B1018" s="1040" t="str">
        <f>CONCATENATE(LEFT(RIGHT(CONCATENATE("000",IFAData_TEA_1819!A1018),6),3),"-",(RIGHT(RIGHT(CONCATENATE("000",IFAData_TEA_1819!A1018),6),3)))</f>
        <v>092-903</v>
      </c>
      <c r="C1018" t="s">
        <v>2126</v>
      </c>
      <c r="D1018">
        <v>1</v>
      </c>
      <c r="E1018">
        <v>2034</v>
      </c>
      <c r="F1018" t="s">
        <v>4729</v>
      </c>
      <c r="G1018" t="s">
        <v>4729</v>
      </c>
      <c r="H1018">
        <v>346003</v>
      </c>
      <c r="I1018">
        <v>0</v>
      </c>
      <c r="J1018">
        <v>0</v>
      </c>
      <c r="K1018"/>
      <c r="L1018">
        <v>0</v>
      </c>
      <c r="M1018">
        <v>599</v>
      </c>
    </row>
    <row r="1019" spans="1:13" ht="15">
      <c r="A1019" t="s">
        <v>3526</v>
      </c>
      <c r="B1019" s="1040" t="str">
        <f>CONCATENATE(LEFT(RIGHT(CONCATENATE("000",IFAData_TEA_1819!A1019),6),3),"-",(RIGHT(RIGHT(CONCATENATE("000",IFAData_TEA_1819!A1019),6),3)))</f>
        <v>092-907</v>
      </c>
      <c r="C1019" t="s">
        <v>1936</v>
      </c>
      <c r="D1019">
        <v>2</v>
      </c>
      <c r="E1019">
        <v>2375</v>
      </c>
      <c r="F1019" t="s">
        <v>4730</v>
      </c>
      <c r="G1019" t="s">
        <v>4730</v>
      </c>
      <c r="H1019">
        <v>398517</v>
      </c>
      <c r="I1019">
        <v>0</v>
      </c>
      <c r="J1019">
        <v>0</v>
      </c>
      <c r="K1019">
        <v>0</v>
      </c>
      <c r="L1019">
        <v>0</v>
      </c>
      <c r="M1019">
        <v>599</v>
      </c>
    </row>
    <row r="1020" spans="1:13" ht="15">
      <c r="A1020" t="s">
        <v>3526</v>
      </c>
      <c r="B1020" s="1040" t="str">
        <f>CONCATENATE(LEFT(RIGHT(CONCATENATE("000",IFAData_TEA_1819!A1020),6),3),"-",(RIGHT(RIGHT(CONCATENATE("000",IFAData_TEA_1819!A1020),6),3)))</f>
        <v>092-907</v>
      </c>
      <c r="C1020" t="s">
        <v>1936</v>
      </c>
      <c r="D1020">
        <v>2</v>
      </c>
      <c r="E1020">
        <v>2375</v>
      </c>
      <c r="F1020" t="s">
        <v>4730</v>
      </c>
      <c r="G1020" t="s">
        <v>4731</v>
      </c>
      <c r="H1020">
        <v>398517</v>
      </c>
      <c r="I1020">
        <v>0</v>
      </c>
      <c r="J1020">
        <v>0</v>
      </c>
      <c r="K1020">
        <v>0</v>
      </c>
      <c r="L1020">
        <v>0</v>
      </c>
      <c r="M1020">
        <v>599</v>
      </c>
    </row>
    <row r="1021" spans="1:13" ht="15">
      <c r="A1021" t="s">
        <v>3526</v>
      </c>
      <c r="B1021" s="1040" t="str">
        <f>CONCATENATE(LEFT(RIGHT(CONCATENATE("000",IFAData_TEA_1819!A1021),6),3),"-",(RIGHT(RIGHT(CONCATENATE("000",IFAData_TEA_1819!A1021),6),3)))</f>
        <v>092-907</v>
      </c>
      <c r="C1021" t="s">
        <v>1936</v>
      </c>
      <c r="D1021">
        <v>2</v>
      </c>
      <c r="E1021">
        <v>2375</v>
      </c>
      <c r="F1021" t="s">
        <v>4730</v>
      </c>
      <c r="G1021" t="s">
        <v>4732</v>
      </c>
      <c r="H1021">
        <v>398517</v>
      </c>
      <c r="I1021">
        <v>75968</v>
      </c>
      <c r="J1021">
        <v>0.114557320883549</v>
      </c>
      <c r="K1021">
        <v>45653.039846549204</v>
      </c>
      <c r="L1021">
        <v>45653.039846549204</v>
      </c>
      <c r="M1021">
        <v>599</v>
      </c>
    </row>
    <row r="1022" spans="1:13" ht="15">
      <c r="A1022" t="s">
        <v>3526</v>
      </c>
      <c r="B1022" s="1040" t="str">
        <f>CONCATENATE(LEFT(RIGHT(CONCATENATE("000",IFAData_TEA_1819!A1022),6),3),"-",(RIGHT(RIGHT(CONCATENATE("000",IFAData_TEA_1819!A1022),6),3)))</f>
        <v>092-907</v>
      </c>
      <c r="C1022" t="s">
        <v>1936</v>
      </c>
      <c r="D1022">
        <v>2</v>
      </c>
      <c r="E1022">
        <v>2375</v>
      </c>
      <c r="F1022" t="s">
        <v>4730</v>
      </c>
      <c r="G1022" t="s">
        <v>6463</v>
      </c>
      <c r="H1022">
        <v>398517</v>
      </c>
      <c r="I1022">
        <v>587176</v>
      </c>
      <c r="J1022">
        <v>0.88544267911645103</v>
      </c>
      <c r="K1022">
        <v>352863.96015345101</v>
      </c>
      <c r="L1022">
        <v>352863.96015345101</v>
      </c>
      <c r="M1022">
        <v>599</v>
      </c>
    </row>
    <row r="1023" spans="1:13" ht="15">
      <c r="A1023" t="s">
        <v>3526</v>
      </c>
      <c r="B1023" s="1040" t="str">
        <f>CONCATENATE(LEFT(RIGHT(CONCATENATE("000",IFAData_TEA_1819!A1023),6),3),"-",(RIGHT(RIGHT(CONCATENATE("000",IFAData_TEA_1819!A1023),6),3)))</f>
        <v>092-907</v>
      </c>
      <c r="C1023" t="s">
        <v>1936</v>
      </c>
      <c r="D1023">
        <v>9</v>
      </c>
      <c r="E1023">
        <v>2376</v>
      </c>
      <c r="F1023" t="s">
        <v>4733</v>
      </c>
      <c r="G1023" t="s">
        <v>4733</v>
      </c>
      <c r="H1023">
        <v>437500</v>
      </c>
      <c r="I1023">
        <v>1140259</v>
      </c>
      <c r="J1023">
        <v>0.47661620837608998</v>
      </c>
      <c r="K1023">
        <v>208519.59116453899</v>
      </c>
      <c r="L1023">
        <v>208519.59116453899</v>
      </c>
      <c r="M1023">
        <v>599</v>
      </c>
    </row>
    <row r="1024" spans="1:13" ht="15">
      <c r="A1024" t="s">
        <v>3526</v>
      </c>
      <c r="B1024" s="1040" t="str">
        <f>CONCATENATE(LEFT(RIGHT(CONCATENATE("000",IFAData_TEA_1819!A1024),6),3),"-",(RIGHT(RIGHT(CONCATENATE("000",IFAData_TEA_1819!A1024),6),3)))</f>
        <v>092-907</v>
      </c>
      <c r="C1024" t="s">
        <v>1936</v>
      </c>
      <c r="D1024">
        <v>9</v>
      </c>
      <c r="E1024">
        <v>2376</v>
      </c>
      <c r="F1024" t="s">
        <v>4733</v>
      </c>
      <c r="G1024" t="s">
        <v>6252</v>
      </c>
      <c r="H1024">
        <v>437500</v>
      </c>
      <c r="I1024">
        <v>446051</v>
      </c>
      <c r="J1024">
        <v>0.18644460281599501</v>
      </c>
      <c r="K1024">
        <v>81569.513731997693</v>
      </c>
      <c r="L1024">
        <v>81569.513731997693</v>
      </c>
      <c r="M1024">
        <v>599</v>
      </c>
    </row>
    <row r="1025" spans="1:13" ht="15">
      <c r="A1025" t="s">
        <v>3526</v>
      </c>
      <c r="B1025" s="1040" t="str">
        <f>CONCATENATE(LEFT(RIGHT(CONCATENATE("000",IFAData_TEA_1819!A1025),6),3),"-",(RIGHT(RIGHT(CONCATENATE("000",IFAData_TEA_1819!A1025),6),3)))</f>
        <v>092-907</v>
      </c>
      <c r="C1025" t="s">
        <v>1936</v>
      </c>
      <c r="D1025">
        <v>9</v>
      </c>
      <c r="E1025">
        <v>2376</v>
      </c>
      <c r="F1025" t="s">
        <v>4733</v>
      </c>
      <c r="G1025" t="s">
        <v>6464</v>
      </c>
      <c r="H1025">
        <v>437500</v>
      </c>
      <c r="I1025">
        <v>406218</v>
      </c>
      <c r="J1025">
        <v>0.169794829888752</v>
      </c>
      <c r="K1025">
        <v>74285.238076328998</v>
      </c>
      <c r="L1025">
        <v>74285.238076328998</v>
      </c>
      <c r="M1025">
        <v>599</v>
      </c>
    </row>
    <row r="1026" spans="1:13" ht="15">
      <c r="A1026" t="s">
        <v>3526</v>
      </c>
      <c r="B1026" s="1040" t="str">
        <f>CONCATENATE(LEFT(RIGHT(CONCATENATE("000",IFAData_TEA_1819!A1026),6),3),"-",(RIGHT(RIGHT(CONCATENATE("000",IFAData_TEA_1819!A1026),6),3)))</f>
        <v>092-907</v>
      </c>
      <c r="C1026" t="s">
        <v>1936</v>
      </c>
      <c r="D1026">
        <v>9</v>
      </c>
      <c r="E1026">
        <v>2376</v>
      </c>
      <c r="F1026" t="s">
        <v>4733</v>
      </c>
      <c r="G1026" t="s">
        <v>8392</v>
      </c>
      <c r="H1026">
        <v>437500</v>
      </c>
      <c r="I1026">
        <v>399877</v>
      </c>
      <c r="J1026">
        <v>0.16714435891916299</v>
      </c>
      <c r="K1026">
        <v>73125.657027133799</v>
      </c>
      <c r="L1026">
        <v>73125.657027133799</v>
      </c>
      <c r="M1026">
        <v>599</v>
      </c>
    </row>
    <row r="1027" spans="1:13" ht="15">
      <c r="A1027" t="s">
        <v>3526</v>
      </c>
      <c r="B1027" s="1040" t="str">
        <f>CONCATENATE(LEFT(RIGHT(CONCATENATE("000",IFAData_TEA_1819!A1027),6),3),"-",(RIGHT(RIGHT(CONCATENATE("000",IFAData_TEA_1819!A1027),6),3)))</f>
        <v>092-907</v>
      </c>
      <c r="C1027" t="s">
        <v>1936</v>
      </c>
      <c r="D1027">
        <v>10</v>
      </c>
      <c r="E1027">
        <v>2377</v>
      </c>
      <c r="F1027" t="s">
        <v>4734</v>
      </c>
      <c r="G1027" t="s">
        <v>4734</v>
      </c>
      <c r="H1027">
        <v>456338</v>
      </c>
      <c r="I1027">
        <v>266220</v>
      </c>
      <c r="J1027">
        <v>1</v>
      </c>
      <c r="K1027">
        <v>456338</v>
      </c>
      <c r="L1027">
        <v>266220</v>
      </c>
      <c r="M1027">
        <v>599</v>
      </c>
    </row>
    <row r="1028" spans="1:13" ht="15">
      <c r="A1028" t="s">
        <v>3527</v>
      </c>
      <c r="B1028" s="1040" t="str">
        <f>CONCATENATE(LEFT(RIGHT(CONCATENATE("000",IFAData_TEA_1819!A1028),6),3),"-",(RIGHT(RIGHT(CONCATENATE("000",IFAData_TEA_1819!A1028),6),3)))</f>
        <v>093-903</v>
      </c>
      <c r="C1028" t="s">
        <v>229</v>
      </c>
      <c r="D1028">
        <v>10</v>
      </c>
      <c r="E1028">
        <v>1924</v>
      </c>
      <c r="F1028" t="s">
        <v>4735</v>
      </c>
      <c r="G1028" t="s">
        <v>4735</v>
      </c>
      <c r="H1028">
        <v>119954</v>
      </c>
      <c r="I1028">
        <v>22000</v>
      </c>
      <c r="J1028">
        <v>3.7360957799099898E-2</v>
      </c>
      <c r="K1028">
        <v>4481.5963318332297</v>
      </c>
      <c r="L1028">
        <v>4481.5963318332297</v>
      </c>
      <c r="M1028">
        <v>599</v>
      </c>
    </row>
    <row r="1029" spans="1:13" ht="15">
      <c r="A1029" t="s">
        <v>3527</v>
      </c>
      <c r="B1029" s="1040" t="str">
        <f>CONCATENATE(LEFT(RIGHT(CONCATENATE("000",IFAData_TEA_1819!A1029),6),3),"-",(RIGHT(RIGHT(CONCATENATE("000",IFAData_TEA_1819!A1029),6),3)))</f>
        <v>093-903</v>
      </c>
      <c r="C1029" t="s">
        <v>229</v>
      </c>
      <c r="D1029">
        <v>10</v>
      </c>
      <c r="E1029">
        <v>1924</v>
      </c>
      <c r="F1029" t="s">
        <v>4735</v>
      </c>
      <c r="G1029" t="s">
        <v>8393</v>
      </c>
      <c r="H1029">
        <v>119954</v>
      </c>
      <c r="I1029">
        <v>566850</v>
      </c>
      <c r="J1029">
        <v>0.96263904220090002</v>
      </c>
      <c r="K1029">
        <v>115472.403668167</v>
      </c>
      <c r="L1029">
        <v>115472.403668167</v>
      </c>
      <c r="M1029">
        <v>599</v>
      </c>
    </row>
    <row r="1030" spans="1:13" ht="15">
      <c r="A1030" t="s">
        <v>3528</v>
      </c>
      <c r="B1030" s="1040" t="str">
        <f>CONCATENATE(LEFT(RIGHT(CONCATENATE("000",IFAData_TEA_1819!A1030),6),3),"-",(RIGHT(RIGHT(CONCATENATE("000",IFAData_TEA_1819!A1030),6),3)))</f>
        <v>094-901</v>
      </c>
      <c r="C1030" t="s">
        <v>1247</v>
      </c>
      <c r="D1030">
        <v>2</v>
      </c>
      <c r="E1030">
        <v>2324</v>
      </c>
      <c r="F1030" t="s">
        <v>4736</v>
      </c>
      <c r="G1030" t="s">
        <v>4736</v>
      </c>
      <c r="H1030">
        <v>1582356</v>
      </c>
      <c r="I1030">
        <v>0</v>
      </c>
      <c r="J1030">
        <v>0</v>
      </c>
      <c r="K1030">
        <v>0</v>
      </c>
      <c r="L1030">
        <v>0</v>
      </c>
      <c r="M1030">
        <v>599</v>
      </c>
    </row>
    <row r="1031" spans="1:13" ht="15">
      <c r="A1031" t="s">
        <v>3528</v>
      </c>
      <c r="B1031" s="1040" t="str">
        <f>CONCATENATE(LEFT(RIGHT(CONCATENATE("000",IFAData_TEA_1819!A1031),6),3),"-",(RIGHT(RIGHT(CONCATENATE("000",IFAData_TEA_1819!A1031),6),3)))</f>
        <v>094-901</v>
      </c>
      <c r="C1031" t="s">
        <v>1247</v>
      </c>
      <c r="D1031">
        <v>2</v>
      </c>
      <c r="E1031">
        <v>2324</v>
      </c>
      <c r="F1031" t="s">
        <v>4736</v>
      </c>
      <c r="G1031" t="s">
        <v>4737</v>
      </c>
      <c r="H1031">
        <v>1582356</v>
      </c>
      <c r="I1031">
        <v>0</v>
      </c>
      <c r="J1031">
        <v>0</v>
      </c>
      <c r="K1031">
        <v>0</v>
      </c>
      <c r="L1031">
        <v>0</v>
      </c>
      <c r="M1031">
        <v>599</v>
      </c>
    </row>
    <row r="1032" spans="1:13" ht="15">
      <c r="A1032" t="s">
        <v>3528</v>
      </c>
      <c r="B1032" s="1040" t="str">
        <f>CONCATENATE(LEFT(RIGHT(CONCATENATE("000",IFAData_TEA_1819!A1032),6),3),"-",(RIGHT(RIGHT(CONCATENATE("000",IFAData_TEA_1819!A1032),6),3)))</f>
        <v>094-901</v>
      </c>
      <c r="C1032" t="s">
        <v>1247</v>
      </c>
      <c r="D1032">
        <v>2</v>
      </c>
      <c r="E1032">
        <v>2324</v>
      </c>
      <c r="F1032" t="s">
        <v>4736</v>
      </c>
      <c r="G1032" t="s">
        <v>4738</v>
      </c>
      <c r="H1032">
        <v>1582356</v>
      </c>
      <c r="I1032">
        <v>1428863</v>
      </c>
      <c r="J1032">
        <v>1</v>
      </c>
      <c r="K1032">
        <v>1582356</v>
      </c>
      <c r="L1032">
        <v>1428863</v>
      </c>
      <c r="M1032">
        <v>599</v>
      </c>
    </row>
    <row r="1033" spans="1:13" ht="15">
      <c r="A1033" t="s">
        <v>3528</v>
      </c>
      <c r="B1033" s="1040" t="str">
        <f>CONCATENATE(LEFT(RIGHT(CONCATENATE("000",IFAData_TEA_1819!A1033),6),3),"-",(RIGHT(RIGHT(CONCATENATE("000",IFAData_TEA_1819!A1033),6),3)))</f>
        <v>094-901</v>
      </c>
      <c r="C1033" t="s">
        <v>1247</v>
      </c>
      <c r="D1033">
        <v>6</v>
      </c>
      <c r="E1033">
        <v>2323</v>
      </c>
      <c r="F1033" t="s">
        <v>4739</v>
      </c>
      <c r="G1033" t="s">
        <v>4739</v>
      </c>
      <c r="H1033">
        <v>931261</v>
      </c>
      <c r="I1033">
        <v>0</v>
      </c>
      <c r="J1033">
        <v>0</v>
      </c>
      <c r="K1033">
        <v>0</v>
      </c>
      <c r="L1033">
        <v>0</v>
      </c>
      <c r="M1033">
        <v>599</v>
      </c>
    </row>
    <row r="1034" spans="1:13" ht="15">
      <c r="A1034" t="s">
        <v>3528</v>
      </c>
      <c r="B1034" s="1040" t="str">
        <f>CONCATENATE(LEFT(RIGHT(CONCATENATE("000",IFAData_TEA_1819!A1034),6),3),"-",(RIGHT(RIGHT(CONCATENATE("000",IFAData_TEA_1819!A1034),6),3)))</f>
        <v>094-901</v>
      </c>
      <c r="C1034" t="s">
        <v>1247</v>
      </c>
      <c r="D1034">
        <v>6</v>
      </c>
      <c r="E1034">
        <v>2323</v>
      </c>
      <c r="F1034" t="s">
        <v>4739</v>
      </c>
      <c r="G1034" t="s">
        <v>4740</v>
      </c>
      <c r="H1034">
        <v>931261</v>
      </c>
      <c r="I1034">
        <v>0</v>
      </c>
      <c r="J1034">
        <v>0</v>
      </c>
      <c r="K1034">
        <v>0</v>
      </c>
      <c r="L1034">
        <v>0</v>
      </c>
      <c r="M1034">
        <v>599</v>
      </c>
    </row>
    <row r="1035" spans="1:13" ht="15">
      <c r="A1035" t="s">
        <v>3528</v>
      </c>
      <c r="B1035" s="1040" t="str">
        <f>CONCATENATE(LEFT(RIGHT(CONCATENATE("000",IFAData_TEA_1819!A1035),6),3),"-",(RIGHT(RIGHT(CONCATENATE("000",IFAData_TEA_1819!A1035),6),3)))</f>
        <v>094-901</v>
      </c>
      <c r="C1035" t="s">
        <v>1247</v>
      </c>
      <c r="D1035">
        <v>6</v>
      </c>
      <c r="E1035">
        <v>2323</v>
      </c>
      <c r="F1035" t="s">
        <v>4739</v>
      </c>
      <c r="G1035" t="s">
        <v>4741</v>
      </c>
      <c r="H1035">
        <v>931261</v>
      </c>
      <c r="I1035">
        <v>1043071</v>
      </c>
      <c r="J1035">
        <v>0.82325331035010696</v>
      </c>
      <c r="K1035">
        <v>766663.70104995102</v>
      </c>
      <c r="L1035">
        <v>766663.70104995102</v>
      </c>
      <c r="M1035">
        <v>599</v>
      </c>
    </row>
    <row r="1036" spans="1:13" ht="15">
      <c r="A1036" t="s">
        <v>3528</v>
      </c>
      <c r="B1036" s="1040" t="str">
        <f>CONCATENATE(LEFT(RIGHT(CONCATENATE("000",IFAData_TEA_1819!A1036),6),3),"-",(RIGHT(RIGHT(CONCATENATE("000",IFAData_TEA_1819!A1036),6),3)))</f>
        <v>094-901</v>
      </c>
      <c r="C1036" t="s">
        <v>1247</v>
      </c>
      <c r="D1036">
        <v>6</v>
      </c>
      <c r="E1036">
        <v>2323</v>
      </c>
      <c r="F1036" t="s">
        <v>4739</v>
      </c>
      <c r="G1036" t="s">
        <v>6465</v>
      </c>
      <c r="H1036">
        <v>931261</v>
      </c>
      <c r="I1036">
        <v>223940</v>
      </c>
      <c r="J1036">
        <v>0.17674668964989301</v>
      </c>
      <c r="K1036">
        <v>164597.29895004901</v>
      </c>
      <c r="L1036">
        <v>164597.29895004901</v>
      </c>
      <c r="M1036">
        <v>599</v>
      </c>
    </row>
    <row r="1037" spans="1:13" ht="15">
      <c r="A1037" t="s">
        <v>3529</v>
      </c>
      <c r="B1037" s="1040" t="str">
        <f>CONCATENATE(LEFT(RIGHT(CONCATENATE("000",IFAData_TEA_1819!A1037),6),3),"-",(RIGHT(RIGHT(CONCATENATE("000",IFAData_TEA_1819!A1037),6),3)))</f>
        <v>094-902</v>
      </c>
      <c r="C1037" t="s">
        <v>1245</v>
      </c>
      <c r="D1037">
        <v>1</v>
      </c>
      <c r="E1037">
        <v>2316</v>
      </c>
      <c r="F1037" t="s">
        <v>4742</v>
      </c>
      <c r="G1037" t="s">
        <v>4742</v>
      </c>
      <c r="H1037">
        <v>328404</v>
      </c>
      <c r="I1037">
        <v>0</v>
      </c>
      <c r="J1037">
        <v>0</v>
      </c>
      <c r="K1037"/>
      <c r="L1037">
        <v>0</v>
      </c>
      <c r="M1037">
        <v>599</v>
      </c>
    </row>
    <row r="1038" spans="1:13" ht="15">
      <c r="A1038" t="s">
        <v>3529</v>
      </c>
      <c r="B1038" s="1040" t="str">
        <f>CONCATENATE(LEFT(RIGHT(CONCATENATE("000",IFAData_TEA_1819!A1038),6),3),"-",(RIGHT(RIGHT(CONCATENATE("000",IFAData_TEA_1819!A1038),6),3)))</f>
        <v>094-902</v>
      </c>
      <c r="C1038" t="s">
        <v>1245</v>
      </c>
      <c r="D1038">
        <v>1</v>
      </c>
      <c r="E1038">
        <v>2317</v>
      </c>
      <c r="F1038" t="s">
        <v>4748</v>
      </c>
      <c r="G1038" t="s">
        <v>4748</v>
      </c>
      <c r="H1038">
        <v>445556</v>
      </c>
      <c r="I1038">
        <v>0</v>
      </c>
      <c r="J1038">
        <v>0</v>
      </c>
      <c r="K1038"/>
      <c r="L1038">
        <v>0</v>
      </c>
      <c r="M1038">
        <v>599</v>
      </c>
    </row>
    <row r="1039" spans="1:13" ht="15">
      <c r="A1039" t="s">
        <v>3529</v>
      </c>
      <c r="B1039" s="1040" t="str">
        <f>CONCATENATE(LEFT(RIGHT(CONCATENATE("000",IFAData_TEA_1819!A1039),6),3),"-",(RIGHT(RIGHT(CONCATENATE("000",IFAData_TEA_1819!A1039),6),3)))</f>
        <v>094-902</v>
      </c>
      <c r="C1039" t="s">
        <v>1245</v>
      </c>
      <c r="D1039">
        <v>6</v>
      </c>
      <c r="E1039">
        <v>2320</v>
      </c>
      <c r="F1039" t="s">
        <v>4749</v>
      </c>
      <c r="G1039" t="s">
        <v>4749</v>
      </c>
      <c r="H1039">
        <v>1730235</v>
      </c>
      <c r="I1039">
        <v>81088</v>
      </c>
      <c r="J1039">
        <v>3.6926563099120797E-2</v>
      </c>
      <c r="K1039">
        <v>63891.631903807298</v>
      </c>
      <c r="L1039">
        <v>63891.631903807298</v>
      </c>
      <c r="M1039">
        <v>599</v>
      </c>
    </row>
    <row r="1040" spans="1:13" ht="15">
      <c r="A1040" t="s">
        <v>3529</v>
      </c>
      <c r="B1040" s="1040" t="str">
        <f>CONCATENATE(LEFT(RIGHT(CONCATENATE("000",IFAData_TEA_1819!A1040),6),3),"-",(RIGHT(RIGHT(CONCATENATE("000",IFAData_TEA_1819!A1040),6),3)))</f>
        <v>094-902</v>
      </c>
      <c r="C1040" t="s">
        <v>1245</v>
      </c>
      <c r="D1040">
        <v>6</v>
      </c>
      <c r="E1040">
        <v>2320</v>
      </c>
      <c r="F1040" t="s">
        <v>4749</v>
      </c>
      <c r="G1040" t="s">
        <v>4745</v>
      </c>
      <c r="H1040">
        <v>1730235</v>
      </c>
      <c r="I1040">
        <v>2039650</v>
      </c>
      <c r="J1040">
        <v>0.92883366743688101</v>
      </c>
      <c r="K1040">
        <v>1607100.5205776501</v>
      </c>
      <c r="L1040">
        <v>1607100.5205776501</v>
      </c>
      <c r="M1040">
        <v>599</v>
      </c>
    </row>
    <row r="1041" spans="1:13" ht="15">
      <c r="A1041" t="s">
        <v>3529</v>
      </c>
      <c r="B1041" s="1040" t="str">
        <f>CONCATENATE(LEFT(RIGHT(CONCATENATE("000",IFAData_TEA_1819!A1041),6),3),"-",(RIGHT(RIGHT(CONCATENATE("000",IFAData_TEA_1819!A1041),6),3)))</f>
        <v>094-902</v>
      </c>
      <c r="C1041" t="s">
        <v>1245</v>
      </c>
      <c r="D1041">
        <v>6</v>
      </c>
      <c r="E1041">
        <v>2320</v>
      </c>
      <c r="F1041" t="s">
        <v>4749</v>
      </c>
      <c r="G1041" t="s">
        <v>4746</v>
      </c>
      <c r="H1041">
        <v>1730235</v>
      </c>
      <c r="I1041">
        <v>75188</v>
      </c>
      <c r="J1041">
        <v>3.4239769463998301E-2</v>
      </c>
      <c r="K1041">
        <v>59242.847518541203</v>
      </c>
      <c r="L1041">
        <v>59242.847518541203</v>
      </c>
      <c r="M1041">
        <v>599</v>
      </c>
    </row>
    <row r="1042" spans="1:13" ht="15">
      <c r="A1042" t="s">
        <v>3529</v>
      </c>
      <c r="B1042" s="1040" t="str">
        <f>CONCATENATE(LEFT(RIGHT(CONCATENATE("000",IFAData_TEA_1819!A1042),6),3),"-",(RIGHT(RIGHT(CONCATENATE("000",IFAData_TEA_1819!A1042),6),3)))</f>
        <v>094-902</v>
      </c>
      <c r="C1042" t="s">
        <v>1245</v>
      </c>
      <c r="D1042">
        <v>9</v>
      </c>
      <c r="E1042">
        <v>2319</v>
      </c>
      <c r="F1042" t="s">
        <v>4750</v>
      </c>
      <c r="G1042" t="s">
        <v>4750</v>
      </c>
      <c r="H1042">
        <v>1351905</v>
      </c>
      <c r="I1042">
        <v>0</v>
      </c>
      <c r="J1042">
        <v>0</v>
      </c>
      <c r="K1042">
        <v>0</v>
      </c>
      <c r="L1042">
        <v>0</v>
      </c>
      <c r="M1042">
        <v>599</v>
      </c>
    </row>
    <row r="1043" spans="1:13" ht="15">
      <c r="A1043" t="s">
        <v>3529</v>
      </c>
      <c r="B1043" s="1040" t="str">
        <f>CONCATENATE(LEFT(RIGHT(CONCATENATE("000",IFAData_TEA_1819!A1043),6),3),"-",(RIGHT(RIGHT(CONCATENATE("000",IFAData_TEA_1819!A1043),6),3)))</f>
        <v>094-902</v>
      </c>
      <c r="C1043" t="s">
        <v>1245</v>
      </c>
      <c r="D1043">
        <v>9</v>
      </c>
      <c r="E1043">
        <v>2319</v>
      </c>
      <c r="F1043" t="s">
        <v>4750</v>
      </c>
      <c r="G1043" t="s">
        <v>6253</v>
      </c>
      <c r="H1043">
        <v>1351905</v>
      </c>
      <c r="I1043">
        <v>0</v>
      </c>
      <c r="J1043">
        <v>0</v>
      </c>
      <c r="K1043">
        <v>0</v>
      </c>
      <c r="L1043">
        <v>0</v>
      </c>
      <c r="M1043">
        <v>599</v>
      </c>
    </row>
    <row r="1044" spans="1:13" ht="15">
      <c r="A1044" t="s">
        <v>3529</v>
      </c>
      <c r="B1044" s="1040" t="str">
        <f>CONCATENATE(LEFT(RIGHT(CONCATENATE("000",IFAData_TEA_1819!A1044),6),3),"-",(RIGHT(RIGHT(CONCATENATE("000",IFAData_TEA_1819!A1044),6),3)))</f>
        <v>094-902</v>
      </c>
      <c r="C1044" t="s">
        <v>1245</v>
      </c>
      <c r="D1044">
        <v>9</v>
      </c>
      <c r="E1044">
        <v>2319</v>
      </c>
      <c r="F1044" t="s">
        <v>4750</v>
      </c>
      <c r="G1044" t="s">
        <v>6466</v>
      </c>
      <c r="H1044">
        <v>1351905</v>
      </c>
      <c r="I1044">
        <v>1385550</v>
      </c>
      <c r="J1044">
        <v>1</v>
      </c>
      <c r="K1044">
        <v>1351905</v>
      </c>
      <c r="L1044">
        <v>1351905</v>
      </c>
      <c r="M1044">
        <v>599</v>
      </c>
    </row>
    <row r="1045" spans="1:13" ht="15">
      <c r="A1045" t="s">
        <v>3529</v>
      </c>
      <c r="B1045" s="1040" t="str">
        <f>CONCATENATE(LEFT(RIGHT(CONCATENATE("000",IFAData_TEA_1819!A1045),6),3),"-",(RIGHT(RIGHT(CONCATENATE("000",IFAData_TEA_1819!A1045),6),3)))</f>
        <v>094-902</v>
      </c>
      <c r="C1045" t="s">
        <v>1245</v>
      </c>
      <c r="D1045">
        <v>9</v>
      </c>
      <c r="E1045">
        <v>2318</v>
      </c>
      <c r="F1045" t="s">
        <v>4751</v>
      </c>
      <c r="G1045" t="s">
        <v>4751</v>
      </c>
      <c r="H1045">
        <v>1272470</v>
      </c>
      <c r="I1045">
        <v>0</v>
      </c>
      <c r="J1045">
        <v>0</v>
      </c>
      <c r="K1045">
        <v>0</v>
      </c>
      <c r="L1045">
        <v>0</v>
      </c>
      <c r="M1045">
        <v>599</v>
      </c>
    </row>
    <row r="1046" spans="1:13" ht="15">
      <c r="A1046" t="s">
        <v>3529</v>
      </c>
      <c r="B1046" s="1040" t="str">
        <f>CONCATENATE(LEFT(RIGHT(CONCATENATE("000",IFAData_TEA_1819!A1046),6),3),"-",(RIGHT(RIGHT(CONCATENATE("000",IFAData_TEA_1819!A1046),6),3)))</f>
        <v>094-902</v>
      </c>
      <c r="C1046" t="s">
        <v>1245</v>
      </c>
      <c r="D1046">
        <v>9</v>
      </c>
      <c r="E1046">
        <v>2318</v>
      </c>
      <c r="F1046" t="s">
        <v>4751</v>
      </c>
      <c r="G1046" t="s">
        <v>6466</v>
      </c>
      <c r="H1046">
        <v>1272470</v>
      </c>
      <c r="I1046">
        <v>2415000</v>
      </c>
      <c r="J1046">
        <v>1</v>
      </c>
      <c r="K1046">
        <v>1272470</v>
      </c>
      <c r="L1046">
        <v>1272470</v>
      </c>
      <c r="M1046">
        <v>599</v>
      </c>
    </row>
    <row r="1047" spans="1:13" ht="15">
      <c r="A1047" t="s">
        <v>3530</v>
      </c>
      <c r="B1047" s="1040" t="str">
        <f>CONCATENATE(LEFT(RIGHT(CONCATENATE("000",IFAData_TEA_1819!A1047),6),3),"-",(RIGHT(RIGHT(CONCATENATE("000",IFAData_TEA_1819!A1047),6),3)))</f>
        <v>094-903</v>
      </c>
      <c r="C1047" t="s">
        <v>232</v>
      </c>
      <c r="D1047">
        <v>9</v>
      </c>
      <c r="E1047">
        <v>2127</v>
      </c>
      <c r="F1047" t="s">
        <v>4752</v>
      </c>
      <c r="G1047" t="s">
        <v>4752</v>
      </c>
      <c r="H1047">
        <v>388765</v>
      </c>
      <c r="I1047">
        <v>0</v>
      </c>
      <c r="J1047">
        <v>0</v>
      </c>
      <c r="K1047">
        <v>0</v>
      </c>
      <c r="L1047">
        <v>0</v>
      </c>
      <c r="M1047">
        <v>599</v>
      </c>
    </row>
    <row r="1048" spans="1:13" ht="15">
      <c r="A1048" t="s">
        <v>3530</v>
      </c>
      <c r="B1048" s="1040" t="str">
        <f>CONCATENATE(LEFT(RIGHT(CONCATENATE("000",IFAData_TEA_1819!A1048),6),3),"-",(RIGHT(RIGHT(CONCATENATE("000",IFAData_TEA_1819!A1048),6),3)))</f>
        <v>094-903</v>
      </c>
      <c r="C1048" t="s">
        <v>232</v>
      </c>
      <c r="D1048">
        <v>9</v>
      </c>
      <c r="E1048">
        <v>2127</v>
      </c>
      <c r="F1048" t="s">
        <v>4752</v>
      </c>
      <c r="G1048" t="s">
        <v>4753</v>
      </c>
      <c r="H1048">
        <v>388765</v>
      </c>
      <c r="I1048">
        <v>593703</v>
      </c>
      <c r="J1048">
        <v>0.79667510258633001</v>
      </c>
      <c r="K1048">
        <v>309719.39625697403</v>
      </c>
      <c r="L1048">
        <v>309719.39625697403</v>
      </c>
      <c r="M1048">
        <v>599</v>
      </c>
    </row>
    <row r="1049" spans="1:13" ht="15">
      <c r="A1049" t="s">
        <v>3530</v>
      </c>
      <c r="B1049" s="1040" t="str">
        <f>CONCATENATE(LEFT(RIGHT(CONCATENATE("000",IFAData_TEA_1819!A1049),6),3),"-",(RIGHT(RIGHT(CONCATENATE("000",IFAData_TEA_1819!A1049),6),3)))</f>
        <v>094-903</v>
      </c>
      <c r="C1049" t="s">
        <v>232</v>
      </c>
      <c r="D1049">
        <v>9</v>
      </c>
      <c r="E1049">
        <v>2127</v>
      </c>
      <c r="F1049" t="s">
        <v>4752</v>
      </c>
      <c r="G1049" t="s">
        <v>4754</v>
      </c>
      <c r="H1049">
        <v>388765</v>
      </c>
      <c r="I1049">
        <v>151523</v>
      </c>
      <c r="J1049">
        <v>0.20332489741366999</v>
      </c>
      <c r="K1049">
        <v>79045.603743025596</v>
      </c>
      <c r="L1049">
        <v>79045.603743025596</v>
      </c>
      <c r="M1049">
        <v>599</v>
      </c>
    </row>
    <row r="1050" spans="1:13" ht="15">
      <c r="A1050" t="s">
        <v>4755</v>
      </c>
      <c r="B1050" s="1040" t="str">
        <f>CONCATENATE(LEFT(RIGHT(CONCATENATE("000",IFAData_TEA_1819!A1050),6),3),"-",(RIGHT(RIGHT(CONCATENATE("000",IFAData_TEA_1819!A1050),6),3)))</f>
        <v>094-904</v>
      </c>
      <c r="C1050" t="s">
        <v>293</v>
      </c>
      <c r="D1050">
        <v>1</v>
      </c>
      <c r="E1050">
        <v>2066</v>
      </c>
      <c r="F1050" t="s">
        <v>4756</v>
      </c>
      <c r="G1050" t="s">
        <v>4756</v>
      </c>
      <c r="H1050">
        <v>213569</v>
      </c>
      <c r="I1050">
        <v>0</v>
      </c>
      <c r="J1050">
        <v>0</v>
      </c>
      <c r="K1050"/>
      <c r="L1050">
        <v>0</v>
      </c>
      <c r="M1050">
        <v>599</v>
      </c>
    </row>
    <row r="1051" spans="1:13" ht="15">
      <c r="A1051" t="s">
        <v>4755</v>
      </c>
      <c r="B1051" s="1040" t="str">
        <f>CONCATENATE(LEFT(RIGHT(CONCATENATE("000",IFAData_TEA_1819!A1051),6),3),"-",(RIGHT(RIGHT(CONCATENATE("000",IFAData_TEA_1819!A1051),6),3)))</f>
        <v>094-904</v>
      </c>
      <c r="C1051" t="s">
        <v>293</v>
      </c>
      <c r="D1051">
        <v>3</v>
      </c>
      <c r="E1051">
        <v>2065</v>
      </c>
      <c r="F1051" t="s">
        <v>4757</v>
      </c>
      <c r="G1051" t="s">
        <v>4757</v>
      </c>
      <c r="H1051">
        <v>167150</v>
      </c>
      <c r="I1051">
        <v>0</v>
      </c>
      <c r="J1051">
        <v>0</v>
      </c>
      <c r="K1051"/>
      <c r="L1051">
        <v>0</v>
      </c>
      <c r="M1051">
        <v>199</v>
      </c>
    </row>
    <row r="1052" spans="1:13" ht="15">
      <c r="A1052" t="s">
        <v>4755</v>
      </c>
      <c r="B1052" s="1040" t="str">
        <f>CONCATENATE(LEFT(RIGHT(CONCATENATE("000",IFAData_TEA_1819!A1052),6),3),"-",(RIGHT(RIGHT(CONCATENATE("000",IFAData_TEA_1819!A1052),6),3)))</f>
        <v>094-904</v>
      </c>
      <c r="C1052" t="s">
        <v>293</v>
      </c>
      <c r="D1052">
        <v>5</v>
      </c>
      <c r="E1052">
        <v>2067</v>
      </c>
      <c r="F1052" t="s">
        <v>4758</v>
      </c>
      <c r="G1052" t="s">
        <v>4758</v>
      </c>
      <c r="H1052">
        <v>325000</v>
      </c>
      <c r="I1052">
        <v>0</v>
      </c>
      <c r="J1052">
        <v>0</v>
      </c>
      <c r="K1052"/>
      <c r="L1052">
        <v>0</v>
      </c>
      <c r="M1052">
        <v>599</v>
      </c>
    </row>
    <row r="1053" spans="1:13" ht="15">
      <c r="A1053" t="s">
        <v>3531</v>
      </c>
      <c r="B1053" s="1040" t="str">
        <f>CONCATENATE(LEFT(RIGHT(CONCATENATE("000",IFAData_TEA_1819!A1053),6),3),"-",(RIGHT(RIGHT(CONCATENATE("000",IFAData_TEA_1819!A1053),6),3)))</f>
        <v>097-903</v>
      </c>
      <c r="C1053" t="s">
        <v>2373</v>
      </c>
      <c r="D1053">
        <v>6</v>
      </c>
      <c r="E1053">
        <v>1884</v>
      </c>
      <c r="F1053" t="s">
        <v>4759</v>
      </c>
      <c r="G1053" t="s">
        <v>4759</v>
      </c>
      <c r="H1053">
        <v>176577</v>
      </c>
      <c r="I1053">
        <v>0</v>
      </c>
      <c r="J1053">
        <v>0</v>
      </c>
      <c r="K1053">
        <v>0</v>
      </c>
      <c r="L1053">
        <v>0</v>
      </c>
      <c r="M1053">
        <v>599</v>
      </c>
    </row>
    <row r="1054" spans="1:13" ht="15">
      <c r="A1054" t="s">
        <v>3531</v>
      </c>
      <c r="B1054" s="1040" t="str">
        <f>CONCATENATE(LEFT(RIGHT(CONCATENATE("000",IFAData_TEA_1819!A1054),6),3),"-",(RIGHT(RIGHT(CONCATENATE("000",IFAData_TEA_1819!A1054),6),3)))</f>
        <v>097-903</v>
      </c>
      <c r="C1054" t="s">
        <v>2373</v>
      </c>
      <c r="D1054">
        <v>6</v>
      </c>
      <c r="E1054">
        <v>1884</v>
      </c>
      <c r="F1054" t="s">
        <v>4759</v>
      </c>
      <c r="G1054" t="s">
        <v>4760</v>
      </c>
      <c r="H1054">
        <v>176577</v>
      </c>
      <c r="I1054">
        <v>210749</v>
      </c>
      <c r="J1054">
        <v>1</v>
      </c>
      <c r="K1054">
        <v>176577</v>
      </c>
      <c r="L1054">
        <v>176577</v>
      </c>
      <c r="M1054">
        <v>599</v>
      </c>
    </row>
    <row r="1055" spans="1:13" ht="15">
      <c r="A1055" t="s">
        <v>3532</v>
      </c>
      <c r="B1055" s="1040" t="str">
        <f>CONCATENATE(LEFT(RIGHT(CONCATENATE("000",IFAData_TEA_1819!A1055),6),3),"-",(RIGHT(RIGHT(CONCATENATE("000",IFAData_TEA_1819!A1055),6),3)))</f>
        <v>100-904</v>
      </c>
      <c r="C1055" t="s">
        <v>1494</v>
      </c>
      <c r="D1055">
        <v>2</v>
      </c>
      <c r="E1055">
        <v>2334</v>
      </c>
      <c r="F1055" t="s">
        <v>4761</v>
      </c>
      <c r="G1055" t="s">
        <v>4761</v>
      </c>
      <c r="H1055">
        <v>831475</v>
      </c>
      <c r="I1055">
        <v>0</v>
      </c>
      <c r="J1055">
        <v>0</v>
      </c>
      <c r="K1055">
        <v>0</v>
      </c>
      <c r="L1055">
        <v>0</v>
      </c>
      <c r="M1055">
        <v>599</v>
      </c>
    </row>
    <row r="1056" spans="1:13" ht="15">
      <c r="A1056" t="s">
        <v>3532</v>
      </c>
      <c r="B1056" s="1040" t="str">
        <f>CONCATENATE(LEFT(RIGHT(CONCATENATE("000",IFAData_TEA_1819!A1056),6),3),"-",(RIGHT(RIGHT(CONCATENATE("000",IFAData_TEA_1819!A1056),6),3)))</f>
        <v>100-904</v>
      </c>
      <c r="C1056" t="s">
        <v>1494</v>
      </c>
      <c r="D1056">
        <v>2</v>
      </c>
      <c r="E1056">
        <v>2334</v>
      </c>
      <c r="F1056" t="s">
        <v>4761</v>
      </c>
      <c r="G1056" t="s">
        <v>4762</v>
      </c>
      <c r="H1056">
        <v>831475</v>
      </c>
      <c r="I1056">
        <v>791299</v>
      </c>
      <c r="J1056">
        <v>0.52881734025860205</v>
      </c>
      <c r="K1056">
        <v>439698.39799152099</v>
      </c>
      <c r="L1056">
        <v>439698.39799152099</v>
      </c>
      <c r="M1056">
        <v>599</v>
      </c>
    </row>
    <row r="1057" spans="1:13" ht="15">
      <c r="A1057" t="s">
        <v>3532</v>
      </c>
      <c r="B1057" s="1040" t="str">
        <f>CONCATENATE(LEFT(RIGHT(CONCATENATE("000",IFAData_TEA_1819!A1057),6),3),"-",(RIGHT(RIGHT(CONCATENATE("000",IFAData_TEA_1819!A1057),6),3)))</f>
        <v>100-904</v>
      </c>
      <c r="C1057" t="s">
        <v>1494</v>
      </c>
      <c r="D1057">
        <v>2</v>
      </c>
      <c r="E1057">
        <v>2334</v>
      </c>
      <c r="F1057" t="s">
        <v>4761</v>
      </c>
      <c r="G1057" t="s">
        <v>8394</v>
      </c>
      <c r="H1057">
        <v>831475</v>
      </c>
      <c r="I1057">
        <v>705057</v>
      </c>
      <c r="J1057">
        <v>0.471182659741398</v>
      </c>
      <c r="K1057">
        <v>391776.60200847901</v>
      </c>
      <c r="L1057">
        <v>391776.60200847901</v>
      </c>
      <c r="M1057">
        <v>599</v>
      </c>
    </row>
    <row r="1058" spans="1:13" ht="15">
      <c r="A1058" t="s">
        <v>3532</v>
      </c>
      <c r="B1058" s="1040" t="str">
        <f>CONCATENATE(LEFT(RIGHT(CONCATENATE("000",IFAData_TEA_1819!A1058),6),3),"-",(RIGHT(RIGHT(CONCATENATE("000",IFAData_TEA_1819!A1058),6),3)))</f>
        <v>100-904</v>
      </c>
      <c r="C1058" t="s">
        <v>1494</v>
      </c>
      <c r="D1058">
        <v>3</v>
      </c>
      <c r="E1058">
        <v>2333</v>
      </c>
      <c r="F1058" t="s">
        <v>4763</v>
      </c>
      <c r="G1058" t="s">
        <v>4763</v>
      </c>
      <c r="H1058">
        <v>701598</v>
      </c>
      <c r="I1058">
        <v>0</v>
      </c>
      <c r="J1058">
        <v>0</v>
      </c>
      <c r="K1058">
        <v>0</v>
      </c>
      <c r="L1058">
        <v>0</v>
      </c>
      <c r="M1058">
        <v>599</v>
      </c>
    </row>
    <row r="1059" spans="1:13" ht="15">
      <c r="A1059" t="s">
        <v>3532</v>
      </c>
      <c r="B1059" s="1040" t="str">
        <f>CONCATENATE(LEFT(RIGHT(CONCATENATE("000",IFAData_TEA_1819!A1059),6),3),"-",(RIGHT(RIGHT(CONCATENATE("000",IFAData_TEA_1819!A1059),6),3)))</f>
        <v>100-904</v>
      </c>
      <c r="C1059" t="s">
        <v>1494</v>
      </c>
      <c r="D1059">
        <v>3</v>
      </c>
      <c r="E1059">
        <v>2333</v>
      </c>
      <c r="F1059" t="s">
        <v>4763</v>
      </c>
      <c r="G1059" t="s">
        <v>4764</v>
      </c>
      <c r="H1059">
        <v>701598</v>
      </c>
      <c r="I1059">
        <v>0</v>
      </c>
      <c r="J1059">
        <v>0</v>
      </c>
      <c r="K1059">
        <v>0</v>
      </c>
      <c r="L1059">
        <v>0</v>
      </c>
      <c r="M1059">
        <v>599</v>
      </c>
    </row>
    <row r="1060" spans="1:13" ht="15">
      <c r="A1060" t="s">
        <v>3532</v>
      </c>
      <c r="B1060" s="1040" t="str">
        <f>CONCATENATE(LEFT(RIGHT(CONCATENATE("000",IFAData_TEA_1819!A1060),6),3),"-",(RIGHT(RIGHT(CONCATENATE("000",IFAData_TEA_1819!A1060),6),3)))</f>
        <v>100-904</v>
      </c>
      <c r="C1060" t="s">
        <v>1494</v>
      </c>
      <c r="D1060">
        <v>3</v>
      </c>
      <c r="E1060">
        <v>2333</v>
      </c>
      <c r="F1060" t="s">
        <v>4763</v>
      </c>
      <c r="G1060" t="s">
        <v>8394</v>
      </c>
      <c r="H1060">
        <v>701598</v>
      </c>
      <c r="I1060">
        <v>645895</v>
      </c>
      <c r="J1060">
        <v>1</v>
      </c>
      <c r="K1060">
        <v>701598</v>
      </c>
      <c r="L1060">
        <v>645895</v>
      </c>
      <c r="M1060">
        <v>599</v>
      </c>
    </row>
    <row r="1061" spans="1:13" ht="15">
      <c r="A1061" t="s">
        <v>3533</v>
      </c>
      <c r="B1061" s="1040" t="str">
        <f>CONCATENATE(LEFT(RIGHT(CONCATENATE("000",IFAData_TEA_1819!A1061),6),3),"-",(RIGHT(RIGHT(CONCATENATE("000",IFAData_TEA_1819!A1061),6),3)))</f>
        <v>100-907</v>
      </c>
      <c r="C1061" t="s">
        <v>839</v>
      </c>
      <c r="D1061">
        <v>1</v>
      </c>
      <c r="E1061">
        <v>2045</v>
      </c>
      <c r="F1061" t="s">
        <v>4765</v>
      </c>
      <c r="G1061" t="s">
        <v>4765</v>
      </c>
      <c r="H1061">
        <v>855058</v>
      </c>
      <c r="I1061">
        <v>0</v>
      </c>
      <c r="J1061">
        <v>0</v>
      </c>
      <c r="K1061"/>
      <c r="L1061">
        <v>0</v>
      </c>
      <c r="M1061">
        <v>599</v>
      </c>
    </row>
    <row r="1062" spans="1:13" ht="15">
      <c r="A1062" t="s">
        <v>3533</v>
      </c>
      <c r="B1062" s="1040" t="str">
        <f>CONCATENATE(LEFT(RIGHT(CONCATENATE("000",IFAData_TEA_1819!A1062),6),3),"-",(RIGHT(RIGHT(CONCATENATE("000",IFAData_TEA_1819!A1062),6),3)))</f>
        <v>100-907</v>
      </c>
      <c r="C1062" t="s">
        <v>839</v>
      </c>
      <c r="D1062">
        <v>1</v>
      </c>
      <c r="E1062">
        <v>2045</v>
      </c>
      <c r="F1062" t="s">
        <v>4765</v>
      </c>
      <c r="G1062" t="s">
        <v>4766</v>
      </c>
      <c r="H1062">
        <v>855058</v>
      </c>
      <c r="I1062">
        <v>0</v>
      </c>
      <c r="J1062">
        <v>0</v>
      </c>
      <c r="K1062"/>
      <c r="L1062">
        <v>0</v>
      </c>
      <c r="M1062">
        <v>599</v>
      </c>
    </row>
    <row r="1063" spans="1:13" ht="15">
      <c r="A1063" t="s">
        <v>3533</v>
      </c>
      <c r="B1063" s="1040" t="str">
        <f>CONCATENATE(LEFT(RIGHT(CONCATENATE("000",IFAData_TEA_1819!A1063),6),3),"-",(RIGHT(RIGHT(CONCATENATE("000",IFAData_TEA_1819!A1063),6),3)))</f>
        <v>100-907</v>
      </c>
      <c r="C1063" t="s">
        <v>839</v>
      </c>
      <c r="D1063">
        <v>1</v>
      </c>
      <c r="E1063">
        <v>2045</v>
      </c>
      <c r="F1063" t="s">
        <v>4765</v>
      </c>
      <c r="G1063" t="s">
        <v>6467</v>
      </c>
      <c r="H1063">
        <v>855058</v>
      </c>
      <c r="I1063">
        <v>0</v>
      </c>
      <c r="J1063">
        <v>0</v>
      </c>
      <c r="K1063"/>
      <c r="L1063">
        <v>0</v>
      </c>
      <c r="M1063">
        <v>599</v>
      </c>
    </row>
    <row r="1064" spans="1:13" ht="15">
      <c r="A1064" t="s">
        <v>3533</v>
      </c>
      <c r="B1064" s="1040" t="str">
        <f>CONCATENATE(LEFT(RIGHT(CONCATENATE("000",IFAData_TEA_1819!A1064),6),3),"-",(RIGHT(RIGHT(CONCATENATE("000",IFAData_TEA_1819!A1064),6),3)))</f>
        <v>100-907</v>
      </c>
      <c r="C1064" t="s">
        <v>839</v>
      </c>
      <c r="D1064">
        <v>5</v>
      </c>
      <c r="E1064">
        <v>2044</v>
      </c>
      <c r="F1064" t="s">
        <v>4767</v>
      </c>
      <c r="G1064" t="s">
        <v>4767</v>
      </c>
      <c r="H1064">
        <v>663791</v>
      </c>
      <c r="I1064">
        <v>0</v>
      </c>
      <c r="J1064">
        <v>0</v>
      </c>
      <c r="K1064">
        <v>0</v>
      </c>
      <c r="L1064">
        <v>0</v>
      </c>
      <c r="M1064">
        <v>599</v>
      </c>
    </row>
    <row r="1065" spans="1:13" ht="15">
      <c r="A1065" t="s">
        <v>3533</v>
      </c>
      <c r="B1065" s="1040" t="str">
        <f>CONCATENATE(LEFT(RIGHT(CONCATENATE("000",IFAData_TEA_1819!A1065),6),3),"-",(RIGHT(RIGHT(CONCATENATE("000",IFAData_TEA_1819!A1065),6),3)))</f>
        <v>100-907</v>
      </c>
      <c r="C1065" t="s">
        <v>839</v>
      </c>
      <c r="D1065">
        <v>5</v>
      </c>
      <c r="E1065">
        <v>2044</v>
      </c>
      <c r="F1065" t="s">
        <v>4767</v>
      </c>
      <c r="G1065" t="s">
        <v>4766</v>
      </c>
      <c r="H1065">
        <v>663791</v>
      </c>
      <c r="I1065">
        <v>0</v>
      </c>
      <c r="J1065">
        <v>0</v>
      </c>
      <c r="K1065">
        <v>0</v>
      </c>
      <c r="L1065">
        <v>0</v>
      </c>
      <c r="M1065">
        <v>599</v>
      </c>
    </row>
    <row r="1066" spans="1:13" ht="15">
      <c r="A1066" t="s">
        <v>3533</v>
      </c>
      <c r="B1066" s="1040" t="str">
        <f>CONCATENATE(LEFT(RIGHT(CONCATENATE("000",IFAData_TEA_1819!A1066),6),3),"-",(RIGHT(RIGHT(CONCATENATE("000",IFAData_TEA_1819!A1066),6),3)))</f>
        <v>100-907</v>
      </c>
      <c r="C1066" t="s">
        <v>839</v>
      </c>
      <c r="D1066">
        <v>5</v>
      </c>
      <c r="E1066">
        <v>2044</v>
      </c>
      <c r="F1066" t="s">
        <v>4767</v>
      </c>
      <c r="G1066" t="s">
        <v>4768</v>
      </c>
      <c r="H1066">
        <v>663791</v>
      </c>
      <c r="I1066">
        <v>0</v>
      </c>
      <c r="J1066">
        <v>0</v>
      </c>
      <c r="K1066">
        <v>0</v>
      </c>
      <c r="L1066">
        <v>0</v>
      </c>
      <c r="M1066">
        <v>599</v>
      </c>
    </row>
    <row r="1067" spans="1:13" ht="15">
      <c r="A1067" t="s">
        <v>3533</v>
      </c>
      <c r="B1067" s="1040" t="str">
        <f>CONCATENATE(LEFT(RIGHT(CONCATENATE("000",IFAData_TEA_1819!A1067),6),3),"-",(RIGHT(RIGHT(CONCATENATE("000",IFAData_TEA_1819!A1067),6),3)))</f>
        <v>100-907</v>
      </c>
      <c r="C1067" t="s">
        <v>839</v>
      </c>
      <c r="D1067">
        <v>5</v>
      </c>
      <c r="E1067">
        <v>2044</v>
      </c>
      <c r="F1067" t="s">
        <v>4767</v>
      </c>
      <c r="G1067" t="s">
        <v>6467</v>
      </c>
      <c r="H1067">
        <v>663791</v>
      </c>
      <c r="I1067">
        <v>1553950</v>
      </c>
      <c r="J1067">
        <v>1</v>
      </c>
      <c r="K1067">
        <v>663791</v>
      </c>
      <c r="L1067">
        <v>663791</v>
      </c>
      <c r="M1067">
        <v>599</v>
      </c>
    </row>
    <row r="1068" spans="1:13" ht="15">
      <c r="A1068" t="s">
        <v>3534</v>
      </c>
      <c r="B1068" s="1040" t="str">
        <f>CONCATENATE(LEFT(RIGHT(CONCATENATE("000",IFAData_TEA_1819!A1068),6),3),"-",(RIGHT(RIGHT(CONCATENATE("000",IFAData_TEA_1819!A1068),6),3)))</f>
        <v>100-908</v>
      </c>
      <c r="C1068" t="s">
        <v>297</v>
      </c>
      <c r="D1068">
        <v>3</v>
      </c>
      <c r="E1068">
        <v>2443</v>
      </c>
      <c r="F1068" t="s">
        <v>4769</v>
      </c>
      <c r="G1068" t="s">
        <v>4769</v>
      </c>
      <c r="H1068">
        <v>1101</v>
      </c>
      <c r="I1068">
        <v>0</v>
      </c>
      <c r="J1068">
        <v>0</v>
      </c>
      <c r="K1068">
        <v>0</v>
      </c>
      <c r="L1068">
        <v>0</v>
      </c>
      <c r="M1068">
        <v>599</v>
      </c>
    </row>
    <row r="1069" spans="1:13" ht="15">
      <c r="A1069" t="s">
        <v>3534</v>
      </c>
      <c r="B1069" s="1040" t="str">
        <f>CONCATENATE(LEFT(RIGHT(CONCATENATE("000",IFAData_TEA_1819!A1069),6),3),"-",(RIGHT(RIGHT(CONCATENATE("000",IFAData_TEA_1819!A1069),6),3)))</f>
        <v>100-908</v>
      </c>
      <c r="C1069" t="s">
        <v>297</v>
      </c>
      <c r="D1069">
        <v>3</v>
      </c>
      <c r="E1069">
        <v>2443</v>
      </c>
      <c r="F1069" t="s">
        <v>4769</v>
      </c>
      <c r="G1069" t="s">
        <v>4770</v>
      </c>
      <c r="H1069">
        <v>1101</v>
      </c>
      <c r="I1069">
        <v>0</v>
      </c>
      <c r="J1069">
        <v>0</v>
      </c>
      <c r="K1069">
        <v>0</v>
      </c>
      <c r="L1069">
        <v>0</v>
      </c>
      <c r="M1069">
        <v>599</v>
      </c>
    </row>
    <row r="1070" spans="1:13" ht="15">
      <c r="A1070" t="s">
        <v>3534</v>
      </c>
      <c r="B1070" s="1040" t="str">
        <f>CONCATENATE(LEFT(RIGHT(CONCATENATE("000",IFAData_TEA_1819!A1070),6),3),"-",(RIGHT(RIGHT(CONCATENATE("000",IFAData_TEA_1819!A1070),6),3)))</f>
        <v>100-908</v>
      </c>
      <c r="C1070" t="s">
        <v>297</v>
      </c>
      <c r="D1070">
        <v>3</v>
      </c>
      <c r="E1070">
        <v>2443</v>
      </c>
      <c r="F1070" t="s">
        <v>4769</v>
      </c>
      <c r="G1070" t="s">
        <v>6468</v>
      </c>
      <c r="H1070">
        <v>1101</v>
      </c>
      <c r="I1070">
        <v>220940</v>
      </c>
      <c r="J1070">
        <v>1</v>
      </c>
      <c r="K1070">
        <v>1101</v>
      </c>
      <c r="L1070">
        <v>1101</v>
      </c>
      <c r="M1070">
        <v>599</v>
      </c>
    </row>
    <row r="1071" spans="1:13" ht="15">
      <c r="A1071" t="s">
        <v>3535</v>
      </c>
      <c r="B1071" s="1040" t="str">
        <f>CONCATENATE(LEFT(RIGHT(CONCATENATE("000",IFAData_TEA_1819!A1071),6),3),"-",(RIGHT(RIGHT(CONCATENATE("000",IFAData_TEA_1819!A1071),6),3)))</f>
        <v>101-902</v>
      </c>
      <c r="C1071" t="s">
        <v>699</v>
      </c>
      <c r="D1071">
        <v>1</v>
      </c>
      <c r="E1071">
        <v>1545</v>
      </c>
      <c r="F1071" t="s">
        <v>4771</v>
      </c>
      <c r="G1071" t="s">
        <v>4771</v>
      </c>
      <c r="H1071">
        <v>3458574</v>
      </c>
      <c r="I1071">
        <v>0</v>
      </c>
      <c r="J1071">
        <v>0</v>
      </c>
      <c r="K1071">
        <v>0</v>
      </c>
      <c r="L1071">
        <v>0</v>
      </c>
      <c r="M1071">
        <v>599</v>
      </c>
    </row>
    <row r="1072" spans="1:13" ht="15">
      <c r="A1072" t="s">
        <v>3535</v>
      </c>
      <c r="B1072" s="1040" t="str">
        <f>CONCATENATE(LEFT(RIGHT(CONCATENATE("000",IFAData_TEA_1819!A1072),6),3),"-",(RIGHT(RIGHT(CONCATENATE("000",IFAData_TEA_1819!A1072),6),3)))</f>
        <v>101-902</v>
      </c>
      <c r="C1072" t="s">
        <v>699</v>
      </c>
      <c r="D1072">
        <v>1</v>
      </c>
      <c r="E1072">
        <v>1545</v>
      </c>
      <c r="F1072" t="s">
        <v>4771</v>
      </c>
      <c r="G1072" t="s">
        <v>4772</v>
      </c>
      <c r="H1072">
        <v>3458574</v>
      </c>
      <c r="I1072">
        <v>0</v>
      </c>
      <c r="J1072">
        <v>0</v>
      </c>
      <c r="K1072">
        <v>0</v>
      </c>
      <c r="L1072">
        <v>0</v>
      </c>
      <c r="M1072">
        <v>599</v>
      </c>
    </row>
    <row r="1073" spans="1:13" ht="15">
      <c r="A1073" t="s">
        <v>3535</v>
      </c>
      <c r="B1073" s="1040" t="str">
        <f>CONCATENATE(LEFT(RIGHT(CONCATENATE("000",IFAData_TEA_1819!A1073),6),3),"-",(RIGHT(RIGHT(CONCATENATE("000",IFAData_TEA_1819!A1073),6),3)))</f>
        <v>101-902</v>
      </c>
      <c r="C1073" t="s">
        <v>699</v>
      </c>
      <c r="D1073">
        <v>1</v>
      </c>
      <c r="E1073">
        <v>1545</v>
      </c>
      <c r="F1073" t="s">
        <v>4771</v>
      </c>
      <c r="G1073" t="s">
        <v>4773</v>
      </c>
      <c r="H1073">
        <v>3458574</v>
      </c>
      <c r="I1073">
        <v>533691</v>
      </c>
      <c r="J1073">
        <v>0.10648196180710701</v>
      </c>
      <c r="K1073">
        <v>368275.74457505503</v>
      </c>
      <c r="L1073">
        <v>368275.74457505503</v>
      </c>
      <c r="M1073">
        <v>599</v>
      </c>
    </row>
    <row r="1074" spans="1:13" ht="15">
      <c r="A1074" t="s">
        <v>3535</v>
      </c>
      <c r="B1074" s="1040" t="str">
        <f>CONCATENATE(LEFT(RIGHT(CONCATENATE("000",IFAData_TEA_1819!A1074),6),3),"-",(RIGHT(RIGHT(CONCATENATE("000",IFAData_TEA_1819!A1074),6),3)))</f>
        <v>101-902</v>
      </c>
      <c r="C1074" t="s">
        <v>699</v>
      </c>
      <c r="D1074">
        <v>1</v>
      </c>
      <c r="E1074">
        <v>1545</v>
      </c>
      <c r="F1074" t="s">
        <v>4771</v>
      </c>
      <c r="G1074" t="s">
        <v>4774</v>
      </c>
      <c r="H1074">
        <v>3458574</v>
      </c>
      <c r="I1074">
        <v>426835</v>
      </c>
      <c r="J1074">
        <v>8.5162066004367099E-2</v>
      </c>
      <c r="K1074">
        <v>294539.30726898799</v>
      </c>
      <c r="L1074">
        <v>294539.30726898799</v>
      </c>
      <c r="M1074">
        <v>599</v>
      </c>
    </row>
    <row r="1075" spans="1:13" ht="15">
      <c r="A1075" t="s">
        <v>3535</v>
      </c>
      <c r="B1075" s="1040" t="str">
        <f>CONCATENATE(LEFT(RIGHT(CONCATENATE("000",IFAData_TEA_1819!A1075),6),3),"-",(RIGHT(RIGHT(CONCATENATE("000",IFAData_TEA_1819!A1075),6),3)))</f>
        <v>101-902</v>
      </c>
      <c r="C1075" t="s">
        <v>699</v>
      </c>
      <c r="D1075">
        <v>1</v>
      </c>
      <c r="E1075">
        <v>1545</v>
      </c>
      <c r="F1075" t="s">
        <v>4771</v>
      </c>
      <c r="G1075" t="s">
        <v>4775</v>
      </c>
      <c r="H1075">
        <v>3458574</v>
      </c>
      <c r="I1075">
        <v>3502484</v>
      </c>
      <c r="J1075">
        <v>0.69881517117209102</v>
      </c>
      <c r="K1075">
        <v>2416903.9818213498</v>
      </c>
      <c r="L1075">
        <v>2416903.9818213498</v>
      </c>
      <c r="M1075">
        <v>599</v>
      </c>
    </row>
    <row r="1076" spans="1:13" ht="15">
      <c r="A1076" t="s">
        <v>3535</v>
      </c>
      <c r="B1076" s="1040" t="str">
        <f>CONCATENATE(LEFT(RIGHT(CONCATENATE("000",IFAData_TEA_1819!A1076),6),3),"-",(RIGHT(RIGHT(CONCATENATE("000",IFAData_TEA_1819!A1076),6),3)))</f>
        <v>101-902</v>
      </c>
      <c r="C1076" t="s">
        <v>699</v>
      </c>
      <c r="D1076">
        <v>1</v>
      </c>
      <c r="E1076">
        <v>1545</v>
      </c>
      <c r="F1076" t="s">
        <v>4771</v>
      </c>
      <c r="G1076" t="s">
        <v>8395</v>
      </c>
      <c r="H1076">
        <v>3458574</v>
      </c>
      <c r="I1076">
        <v>549022</v>
      </c>
      <c r="J1076">
        <v>0.109540801016434</v>
      </c>
      <c r="K1076">
        <v>378854.96633461199</v>
      </c>
      <c r="L1076">
        <v>378854.96633461199</v>
      </c>
      <c r="M1076">
        <v>599</v>
      </c>
    </row>
    <row r="1077" spans="1:13" ht="15">
      <c r="A1077" t="s">
        <v>3535</v>
      </c>
      <c r="B1077" s="1040" t="str">
        <f>CONCATENATE(LEFT(RIGHT(CONCATENATE("000",IFAData_TEA_1819!A1077),6),3),"-",(RIGHT(RIGHT(CONCATENATE("000",IFAData_TEA_1819!A1077),6),3)))</f>
        <v>101-902</v>
      </c>
      <c r="C1077" t="s">
        <v>699</v>
      </c>
      <c r="D1077">
        <v>1</v>
      </c>
      <c r="E1077">
        <v>1548</v>
      </c>
      <c r="F1077" t="s">
        <v>4776</v>
      </c>
      <c r="G1077" t="s">
        <v>4776</v>
      </c>
      <c r="H1077">
        <v>6381926</v>
      </c>
      <c r="I1077">
        <v>0</v>
      </c>
      <c r="J1077">
        <v>0</v>
      </c>
      <c r="K1077">
        <v>0</v>
      </c>
      <c r="L1077">
        <v>0</v>
      </c>
      <c r="M1077">
        <v>599</v>
      </c>
    </row>
    <row r="1078" spans="1:13" ht="15">
      <c r="A1078" t="s">
        <v>3535</v>
      </c>
      <c r="B1078" s="1040" t="str">
        <f>CONCATENATE(LEFT(RIGHT(CONCATENATE("000",IFAData_TEA_1819!A1078),6),3),"-",(RIGHT(RIGHT(CONCATENATE("000",IFAData_TEA_1819!A1078),6),3)))</f>
        <v>101-902</v>
      </c>
      <c r="C1078" t="s">
        <v>699</v>
      </c>
      <c r="D1078">
        <v>1</v>
      </c>
      <c r="E1078">
        <v>1548</v>
      </c>
      <c r="F1078" t="s">
        <v>4776</v>
      </c>
      <c r="G1078" t="s">
        <v>4772</v>
      </c>
      <c r="H1078">
        <v>6381926</v>
      </c>
      <c r="I1078">
        <v>0</v>
      </c>
      <c r="J1078">
        <v>0</v>
      </c>
      <c r="K1078">
        <v>0</v>
      </c>
      <c r="L1078">
        <v>0</v>
      </c>
      <c r="M1078">
        <v>599</v>
      </c>
    </row>
    <row r="1079" spans="1:13" ht="15">
      <c r="A1079" t="s">
        <v>3535</v>
      </c>
      <c r="B1079" s="1040" t="str">
        <f>CONCATENATE(LEFT(RIGHT(CONCATENATE("000",IFAData_TEA_1819!A1079),6),3),"-",(RIGHT(RIGHT(CONCATENATE("000",IFAData_TEA_1819!A1079),6),3)))</f>
        <v>101-902</v>
      </c>
      <c r="C1079" t="s">
        <v>699</v>
      </c>
      <c r="D1079">
        <v>1</v>
      </c>
      <c r="E1079">
        <v>1548</v>
      </c>
      <c r="F1079" t="s">
        <v>4776</v>
      </c>
      <c r="G1079" t="s">
        <v>4773</v>
      </c>
      <c r="H1079">
        <v>6381926</v>
      </c>
      <c r="I1079">
        <v>286650</v>
      </c>
      <c r="J1079">
        <v>0.123457375011521</v>
      </c>
      <c r="K1079">
        <v>787895.83147777605</v>
      </c>
      <c r="L1079">
        <v>286650</v>
      </c>
      <c r="M1079">
        <v>599</v>
      </c>
    </row>
    <row r="1080" spans="1:13" ht="15">
      <c r="A1080" t="s">
        <v>3535</v>
      </c>
      <c r="B1080" s="1040" t="str">
        <f>CONCATENATE(LEFT(RIGHT(CONCATENATE("000",IFAData_TEA_1819!A1080),6),3),"-",(RIGHT(RIGHT(CONCATENATE("000",IFAData_TEA_1819!A1080),6),3)))</f>
        <v>101-902</v>
      </c>
      <c r="C1080" t="s">
        <v>699</v>
      </c>
      <c r="D1080">
        <v>1</v>
      </c>
      <c r="E1080">
        <v>1548</v>
      </c>
      <c r="F1080" t="s">
        <v>4776</v>
      </c>
      <c r="G1080" t="s">
        <v>4774</v>
      </c>
      <c r="H1080">
        <v>6381926</v>
      </c>
      <c r="I1080">
        <v>0</v>
      </c>
      <c r="J1080">
        <v>0</v>
      </c>
      <c r="K1080">
        <v>0</v>
      </c>
      <c r="L1080">
        <v>0</v>
      </c>
      <c r="M1080">
        <v>599</v>
      </c>
    </row>
    <row r="1081" spans="1:13" ht="15">
      <c r="A1081" t="s">
        <v>3535</v>
      </c>
      <c r="B1081" s="1040" t="str">
        <f>CONCATENATE(LEFT(RIGHT(CONCATENATE("000",IFAData_TEA_1819!A1081),6),3),"-",(RIGHT(RIGHT(CONCATENATE("000",IFAData_TEA_1819!A1081),6),3)))</f>
        <v>101-902</v>
      </c>
      <c r="C1081" t="s">
        <v>699</v>
      </c>
      <c r="D1081">
        <v>1</v>
      </c>
      <c r="E1081">
        <v>1548</v>
      </c>
      <c r="F1081" t="s">
        <v>4776</v>
      </c>
      <c r="G1081" t="s">
        <v>4775</v>
      </c>
      <c r="H1081">
        <v>6381926</v>
      </c>
      <c r="I1081">
        <v>1561075</v>
      </c>
      <c r="J1081">
        <v>0.67233986288543601</v>
      </c>
      <c r="K1081">
        <v>4290823.2517849999</v>
      </c>
      <c r="L1081">
        <v>1561075</v>
      </c>
      <c r="M1081">
        <v>599</v>
      </c>
    </row>
    <row r="1082" spans="1:13" ht="15">
      <c r="A1082" t="s">
        <v>3535</v>
      </c>
      <c r="B1082" s="1040" t="str">
        <f>CONCATENATE(LEFT(RIGHT(CONCATENATE("000",IFAData_TEA_1819!A1082),6),3),"-",(RIGHT(RIGHT(CONCATENATE("000",IFAData_TEA_1819!A1082),6),3)))</f>
        <v>101-902</v>
      </c>
      <c r="C1082" t="s">
        <v>699</v>
      </c>
      <c r="D1082">
        <v>1</v>
      </c>
      <c r="E1082">
        <v>1548</v>
      </c>
      <c r="F1082" t="s">
        <v>4776</v>
      </c>
      <c r="G1082" t="s">
        <v>8395</v>
      </c>
      <c r="H1082">
        <v>6381926</v>
      </c>
      <c r="I1082">
        <v>474129</v>
      </c>
      <c r="J1082">
        <v>0.204202762103044</v>
      </c>
      <c r="K1082">
        <v>1303206.91673723</v>
      </c>
      <c r="L1082">
        <v>474129</v>
      </c>
      <c r="M1082">
        <v>599</v>
      </c>
    </row>
    <row r="1083" spans="1:13" ht="15">
      <c r="A1083" t="s">
        <v>3535</v>
      </c>
      <c r="B1083" s="1040" t="str">
        <f>CONCATENATE(LEFT(RIGHT(CONCATENATE("000",IFAData_TEA_1819!A1083),6),3),"-",(RIGHT(RIGHT(CONCATENATE("000",IFAData_TEA_1819!A1083),6),3)))</f>
        <v>101-902</v>
      </c>
      <c r="C1083" t="s">
        <v>699</v>
      </c>
      <c r="D1083">
        <v>2</v>
      </c>
      <c r="E1083">
        <v>1543</v>
      </c>
      <c r="F1083" t="s">
        <v>4777</v>
      </c>
      <c r="G1083" t="s">
        <v>4777</v>
      </c>
      <c r="H1083">
        <v>871986</v>
      </c>
      <c r="I1083">
        <v>0</v>
      </c>
      <c r="J1083">
        <v>0</v>
      </c>
      <c r="K1083"/>
      <c r="L1083">
        <v>0</v>
      </c>
      <c r="M1083">
        <v>199</v>
      </c>
    </row>
    <row r="1084" spans="1:13" ht="15">
      <c r="A1084" t="s">
        <v>3535</v>
      </c>
      <c r="B1084" s="1040" t="str">
        <f>CONCATENATE(LEFT(RIGHT(CONCATENATE("000",IFAData_TEA_1819!A1084),6),3),"-",(RIGHT(RIGHT(CONCATENATE("000",IFAData_TEA_1819!A1084),6),3)))</f>
        <v>101-902</v>
      </c>
      <c r="C1084" t="s">
        <v>699</v>
      </c>
      <c r="D1084">
        <v>5</v>
      </c>
      <c r="E1084">
        <v>1546</v>
      </c>
      <c r="F1084" t="s">
        <v>4778</v>
      </c>
      <c r="G1084" t="s">
        <v>4778</v>
      </c>
      <c r="H1084">
        <v>5192317</v>
      </c>
      <c r="I1084">
        <v>0</v>
      </c>
      <c r="J1084">
        <v>0</v>
      </c>
      <c r="K1084">
        <v>0</v>
      </c>
      <c r="L1084">
        <v>0</v>
      </c>
      <c r="M1084">
        <v>599</v>
      </c>
    </row>
    <row r="1085" spans="1:13" ht="15">
      <c r="A1085" t="s">
        <v>3535</v>
      </c>
      <c r="B1085" s="1040" t="str">
        <f>CONCATENATE(LEFT(RIGHT(CONCATENATE("000",IFAData_TEA_1819!A1085),6),3),"-",(RIGHT(RIGHT(CONCATENATE("000",IFAData_TEA_1819!A1085),6),3)))</f>
        <v>101-902</v>
      </c>
      <c r="C1085" t="s">
        <v>699</v>
      </c>
      <c r="D1085">
        <v>5</v>
      </c>
      <c r="E1085">
        <v>1546</v>
      </c>
      <c r="F1085" t="s">
        <v>4778</v>
      </c>
      <c r="G1085" t="s">
        <v>4773</v>
      </c>
      <c r="H1085">
        <v>5192317</v>
      </c>
      <c r="I1085">
        <v>3931700</v>
      </c>
      <c r="J1085">
        <v>0.53860210035229605</v>
      </c>
      <c r="K1085">
        <v>2796592.8418949302</v>
      </c>
      <c r="L1085">
        <v>2796592.8418949302</v>
      </c>
      <c r="M1085">
        <v>599</v>
      </c>
    </row>
    <row r="1086" spans="1:13" ht="15">
      <c r="A1086" t="s">
        <v>3535</v>
      </c>
      <c r="B1086" s="1040" t="str">
        <f>CONCATENATE(LEFT(RIGHT(CONCATENATE("000",IFAData_TEA_1819!A1086),6),3),"-",(RIGHT(RIGHT(CONCATENATE("000",IFAData_TEA_1819!A1086),6),3)))</f>
        <v>101-902</v>
      </c>
      <c r="C1086" t="s">
        <v>699</v>
      </c>
      <c r="D1086">
        <v>5</v>
      </c>
      <c r="E1086">
        <v>1546</v>
      </c>
      <c r="F1086" t="s">
        <v>4778</v>
      </c>
      <c r="G1086" t="s">
        <v>4774</v>
      </c>
      <c r="H1086">
        <v>5192317</v>
      </c>
      <c r="I1086">
        <v>1033938</v>
      </c>
      <c r="J1086">
        <v>0.14163877672102501</v>
      </c>
      <c r="K1086">
        <v>735433.42822778004</v>
      </c>
      <c r="L1086">
        <v>735433.42822778004</v>
      </c>
      <c r="M1086">
        <v>599</v>
      </c>
    </row>
    <row r="1087" spans="1:13" ht="15">
      <c r="A1087" t="s">
        <v>3535</v>
      </c>
      <c r="B1087" s="1040" t="str">
        <f>CONCATENATE(LEFT(RIGHT(CONCATENATE("000",IFAData_TEA_1819!A1087),6),3),"-",(RIGHT(RIGHT(CONCATENATE("000",IFAData_TEA_1819!A1087),6),3)))</f>
        <v>101-902</v>
      </c>
      <c r="C1087" t="s">
        <v>699</v>
      </c>
      <c r="D1087">
        <v>5</v>
      </c>
      <c r="E1087">
        <v>1546</v>
      </c>
      <c r="F1087" t="s">
        <v>4778</v>
      </c>
      <c r="G1087" t="s">
        <v>8395</v>
      </c>
      <c r="H1087">
        <v>5192317</v>
      </c>
      <c r="I1087">
        <v>2334185</v>
      </c>
      <c r="J1087">
        <v>0.31975912292667902</v>
      </c>
      <c r="K1087">
        <v>1660290.7298772901</v>
      </c>
      <c r="L1087">
        <v>1660290.7298772901</v>
      </c>
      <c r="M1087">
        <v>599</v>
      </c>
    </row>
    <row r="1088" spans="1:13" ht="15">
      <c r="A1088" t="s">
        <v>3535</v>
      </c>
      <c r="B1088" s="1040" t="str">
        <f>CONCATENATE(LEFT(RIGHT(CONCATENATE("000",IFAData_TEA_1819!A1088),6),3),"-",(RIGHT(RIGHT(CONCATENATE("000",IFAData_TEA_1819!A1088),6),3)))</f>
        <v>101-902</v>
      </c>
      <c r="C1088" t="s">
        <v>699</v>
      </c>
      <c r="D1088">
        <v>5</v>
      </c>
      <c r="E1088">
        <v>1542</v>
      </c>
      <c r="F1088" t="s">
        <v>4779</v>
      </c>
      <c r="G1088" t="s">
        <v>4779</v>
      </c>
      <c r="H1088">
        <v>871410</v>
      </c>
      <c r="I1088">
        <v>0</v>
      </c>
      <c r="J1088">
        <v>0</v>
      </c>
      <c r="K1088">
        <v>0</v>
      </c>
      <c r="L1088">
        <v>0</v>
      </c>
      <c r="M1088">
        <v>199</v>
      </c>
    </row>
    <row r="1089" spans="1:13" ht="15">
      <c r="A1089" t="s">
        <v>3535</v>
      </c>
      <c r="B1089" s="1040" t="str">
        <f>CONCATENATE(LEFT(RIGHT(CONCATENATE("000",IFAData_TEA_1819!A1089),6),3),"-",(RIGHT(RIGHT(CONCATENATE("000",IFAData_TEA_1819!A1089),6),3)))</f>
        <v>101-902</v>
      </c>
      <c r="C1089" t="s">
        <v>699</v>
      </c>
      <c r="D1089">
        <v>5</v>
      </c>
      <c r="E1089">
        <v>1542</v>
      </c>
      <c r="F1089" t="s">
        <v>4779</v>
      </c>
      <c r="G1089" t="s">
        <v>4780</v>
      </c>
      <c r="H1089">
        <v>871410</v>
      </c>
      <c r="I1089">
        <v>331238</v>
      </c>
      <c r="J1089">
        <v>1</v>
      </c>
      <c r="K1089">
        <v>871410</v>
      </c>
      <c r="L1089">
        <v>331238</v>
      </c>
      <c r="M1089">
        <v>199</v>
      </c>
    </row>
    <row r="1090" spans="1:13" ht="15">
      <c r="A1090" t="s">
        <v>3535</v>
      </c>
      <c r="B1090" s="1040" t="str">
        <f>CONCATENATE(LEFT(RIGHT(CONCATENATE("000",IFAData_TEA_1819!A1090),6),3),"-",(RIGHT(RIGHT(CONCATENATE("000",IFAData_TEA_1819!A1090),6),3)))</f>
        <v>101-902</v>
      </c>
      <c r="C1090" t="s">
        <v>699</v>
      </c>
      <c r="D1090">
        <v>9</v>
      </c>
      <c r="E1090">
        <v>1547</v>
      </c>
      <c r="F1090" t="s">
        <v>4781</v>
      </c>
      <c r="G1090" t="s">
        <v>4781</v>
      </c>
      <c r="H1090">
        <v>6114066</v>
      </c>
      <c r="I1090">
        <v>0</v>
      </c>
      <c r="J1090">
        <v>0</v>
      </c>
      <c r="K1090">
        <v>0</v>
      </c>
      <c r="L1090">
        <v>0</v>
      </c>
      <c r="M1090">
        <v>599</v>
      </c>
    </row>
    <row r="1091" spans="1:13" ht="15">
      <c r="A1091" t="s">
        <v>3535</v>
      </c>
      <c r="B1091" s="1040" t="str">
        <f>CONCATENATE(LEFT(RIGHT(CONCATENATE("000",IFAData_TEA_1819!A1091),6),3),"-",(RIGHT(RIGHT(CONCATENATE("000",IFAData_TEA_1819!A1091),6),3)))</f>
        <v>101-902</v>
      </c>
      <c r="C1091" t="s">
        <v>699</v>
      </c>
      <c r="D1091">
        <v>9</v>
      </c>
      <c r="E1091">
        <v>1547</v>
      </c>
      <c r="F1091" t="s">
        <v>4781</v>
      </c>
      <c r="G1091" t="s">
        <v>8395</v>
      </c>
      <c r="H1091">
        <v>6114066</v>
      </c>
      <c r="I1091">
        <v>6116002</v>
      </c>
      <c r="J1091">
        <v>1</v>
      </c>
      <c r="K1091">
        <v>6114066</v>
      </c>
      <c r="L1091">
        <v>6114066</v>
      </c>
      <c r="M1091">
        <v>599</v>
      </c>
    </row>
    <row r="1092" spans="1:13" ht="15">
      <c r="A1092" t="s">
        <v>3535</v>
      </c>
      <c r="B1092" s="1040" t="str">
        <f>CONCATENATE(LEFT(RIGHT(CONCATENATE("000",IFAData_TEA_1819!A1092),6),3),"-",(RIGHT(RIGHT(CONCATENATE("000",IFAData_TEA_1819!A1092),6),3)))</f>
        <v>101-902</v>
      </c>
      <c r="C1092" t="s">
        <v>699</v>
      </c>
      <c r="D1092">
        <v>9</v>
      </c>
      <c r="E1092">
        <v>1544</v>
      </c>
      <c r="F1092" t="s">
        <v>4782</v>
      </c>
      <c r="G1092" t="s">
        <v>4782</v>
      </c>
      <c r="H1092">
        <v>1073703</v>
      </c>
      <c r="I1092">
        <v>0</v>
      </c>
      <c r="J1092">
        <v>0</v>
      </c>
      <c r="K1092"/>
      <c r="L1092">
        <v>0</v>
      </c>
      <c r="M1092">
        <v>199</v>
      </c>
    </row>
    <row r="1093" spans="1:13" ht="15">
      <c r="A1093" t="s">
        <v>3535</v>
      </c>
      <c r="B1093" s="1040" t="str">
        <f>CONCATENATE(LEFT(RIGHT(CONCATENATE("000",IFAData_TEA_1819!A1093),6),3),"-",(RIGHT(RIGHT(CONCATENATE("000",IFAData_TEA_1819!A1093),6),3)))</f>
        <v>101-902</v>
      </c>
      <c r="C1093" t="s">
        <v>699</v>
      </c>
      <c r="D1093">
        <v>11</v>
      </c>
      <c r="E1093">
        <v>2583</v>
      </c>
      <c r="F1093" t="s">
        <v>8396</v>
      </c>
      <c r="G1093" t="s">
        <v>8396</v>
      </c>
      <c r="H1093">
        <v>6464000</v>
      </c>
      <c r="I1093">
        <v>6451775</v>
      </c>
      <c r="J1093">
        <v>1</v>
      </c>
      <c r="K1093">
        <v>6464000</v>
      </c>
      <c r="L1093">
        <v>6451775</v>
      </c>
      <c r="M1093">
        <v>599</v>
      </c>
    </row>
    <row r="1094" spans="1:13" ht="15">
      <c r="A1094" t="s">
        <v>3536</v>
      </c>
      <c r="B1094" s="1040" t="str">
        <f>CONCATENATE(LEFT(RIGHT(CONCATENATE("000",IFAData_TEA_1819!A1094),6),3),"-",(RIGHT(RIGHT(CONCATENATE("000",IFAData_TEA_1819!A1094),6),3)))</f>
        <v>101-903</v>
      </c>
      <c r="C1094" t="s">
        <v>1987</v>
      </c>
      <c r="D1094">
        <v>1</v>
      </c>
      <c r="E1094">
        <v>1554</v>
      </c>
      <c r="F1094" t="s">
        <v>4783</v>
      </c>
      <c r="G1094" t="s">
        <v>4783</v>
      </c>
      <c r="H1094">
        <v>1417777</v>
      </c>
      <c r="I1094">
        <v>0</v>
      </c>
      <c r="J1094">
        <v>0</v>
      </c>
      <c r="K1094"/>
      <c r="L1094">
        <v>0</v>
      </c>
      <c r="M1094">
        <v>599</v>
      </c>
    </row>
    <row r="1095" spans="1:13" ht="15">
      <c r="A1095" t="s">
        <v>3536</v>
      </c>
      <c r="B1095" s="1040" t="str">
        <f>CONCATENATE(LEFT(RIGHT(CONCATENATE("000",IFAData_TEA_1819!A1095),6),3),"-",(RIGHT(RIGHT(CONCATENATE("000",IFAData_TEA_1819!A1095),6),3)))</f>
        <v>101-903</v>
      </c>
      <c r="C1095" t="s">
        <v>1987</v>
      </c>
      <c r="D1095">
        <v>2</v>
      </c>
      <c r="E1095">
        <v>1559</v>
      </c>
      <c r="F1095" t="s">
        <v>4788</v>
      </c>
      <c r="G1095" t="s">
        <v>4788</v>
      </c>
      <c r="H1095">
        <v>4312614</v>
      </c>
      <c r="I1095">
        <v>0</v>
      </c>
      <c r="J1095">
        <v>0</v>
      </c>
      <c r="K1095"/>
      <c r="L1095">
        <v>0</v>
      </c>
      <c r="M1095">
        <v>599</v>
      </c>
    </row>
    <row r="1096" spans="1:13" ht="15">
      <c r="A1096" t="s">
        <v>3536</v>
      </c>
      <c r="B1096" s="1040" t="str">
        <f>CONCATENATE(LEFT(RIGHT(CONCATENATE("000",IFAData_TEA_1819!A1096),6),3),"-",(RIGHT(RIGHT(CONCATENATE("000",IFAData_TEA_1819!A1096),6),3)))</f>
        <v>101-903</v>
      </c>
      <c r="C1096" t="s">
        <v>1987</v>
      </c>
      <c r="D1096">
        <v>3</v>
      </c>
      <c r="E1096">
        <v>1555</v>
      </c>
      <c r="F1096" t="s">
        <v>4789</v>
      </c>
      <c r="G1096" t="s">
        <v>4789</v>
      </c>
      <c r="H1096">
        <v>2098629</v>
      </c>
      <c r="I1096">
        <v>0</v>
      </c>
      <c r="J1096">
        <v>0</v>
      </c>
      <c r="K1096">
        <v>0</v>
      </c>
      <c r="L1096">
        <v>0</v>
      </c>
      <c r="M1096">
        <v>599</v>
      </c>
    </row>
    <row r="1097" spans="1:13" ht="15">
      <c r="A1097" t="s">
        <v>3536</v>
      </c>
      <c r="B1097" s="1040" t="str">
        <f>CONCATENATE(LEFT(RIGHT(CONCATENATE("000",IFAData_TEA_1819!A1097),6),3),"-",(RIGHT(RIGHT(CONCATENATE("000",IFAData_TEA_1819!A1097),6),3)))</f>
        <v>101-903</v>
      </c>
      <c r="C1097" t="s">
        <v>1987</v>
      </c>
      <c r="D1097">
        <v>3</v>
      </c>
      <c r="E1097">
        <v>1555</v>
      </c>
      <c r="F1097" t="s">
        <v>4789</v>
      </c>
      <c r="G1097" t="s">
        <v>4790</v>
      </c>
      <c r="H1097">
        <v>2098629</v>
      </c>
      <c r="I1097">
        <v>0</v>
      </c>
      <c r="J1097">
        <v>0</v>
      </c>
      <c r="K1097">
        <v>0</v>
      </c>
      <c r="L1097">
        <v>0</v>
      </c>
      <c r="M1097">
        <v>599</v>
      </c>
    </row>
    <row r="1098" spans="1:13" ht="15">
      <c r="A1098" t="s">
        <v>3536</v>
      </c>
      <c r="B1098" s="1040" t="str">
        <f>CONCATENATE(LEFT(RIGHT(CONCATENATE("000",IFAData_TEA_1819!A1098),6),3),"-",(RIGHT(RIGHT(CONCATENATE("000",IFAData_TEA_1819!A1098),6),3)))</f>
        <v>101-903</v>
      </c>
      <c r="C1098" t="s">
        <v>1987</v>
      </c>
      <c r="D1098">
        <v>3</v>
      </c>
      <c r="E1098">
        <v>1555</v>
      </c>
      <c r="F1098" t="s">
        <v>4789</v>
      </c>
      <c r="G1098" t="s">
        <v>4785</v>
      </c>
      <c r="H1098">
        <v>2098629</v>
      </c>
      <c r="I1098">
        <v>0</v>
      </c>
      <c r="J1098">
        <v>0</v>
      </c>
      <c r="K1098">
        <v>0</v>
      </c>
      <c r="L1098">
        <v>0</v>
      </c>
      <c r="M1098">
        <v>599</v>
      </c>
    </row>
    <row r="1099" spans="1:13" ht="15">
      <c r="A1099" t="s">
        <v>3536</v>
      </c>
      <c r="B1099" s="1040" t="str">
        <f>CONCATENATE(LEFT(RIGHT(CONCATENATE("000",IFAData_TEA_1819!A1099),6),3),"-",(RIGHT(RIGHT(CONCATENATE("000",IFAData_TEA_1819!A1099),6),3)))</f>
        <v>101-903</v>
      </c>
      <c r="C1099" t="s">
        <v>1987</v>
      </c>
      <c r="D1099">
        <v>3</v>
      </c>
      <c r="E1099">
        <v>1555</v>
      </c>
      <c r="F1099" t="s">
        <v>4789</v>
      </c>
      <c r="G1099" t="s">
        <v>6254</v>
      </c>
      <c r="H1099">
        <v>2098629</v>
      </c>
      <c r="I1099">
        <v>0</v>
      </c>
      <c r="J1099">
        <v>0</v>
      </c>
      <c r="K1099">
        <v>0</v>
      </c>
      <c r="L1099">
        <v>0</v>
      </c>
      <c r="M1099">
        <v>599</v>
      </c>
    </row>
    <row r="1100" spans="1:13" ht="15">
      <c r="A1100" t="s">
        <v>3536</v>
      </c>
      <c r="B1100" s="1040" t="str">
        <f>CONCATENATE(LEFT(RIGHT(CONCATENATE("000",IFAData_TEA_1819!A1100),6),3),"-",(RIGHT(RIGHT(CONCATENATE("000",IFAData_TEA_1819!A1100),6),3)))</f>
        <v>101-903</v>
      </c>
      <c r="C1100" t="s">
        <v>1987</v>
      </c>
      <c r="D1100">
        <v>3</v>
      </c>
      <c r="E1100">
        <v>1555</v>
      </c>
      <c r="F1100" t="s">
        <v>4789</v>
      </c>
      <c r="G1100" t="s">
        <v>6469</v>
      </c>
      <c r="H1100">
        <v>2098629</v>
      </c>
      <c r="I1100">
        <v>1338450</v>
      </c>
      <c r="J1100">
        <v>1</v>
      </c>
      <c r="K1100">
        <v>2098629</v>
      </c>
      <c r="L1100">
        <v>1338450</v>
      </c>
      <c r="M1100">
        <v>599</v>
      </c>
    </row>
    <row r="1101" spans="1:13" ht="15">
      <c r="A1101" t="s">
        <v>3536</v>
      </c>
      <c r="B1101" s="1040" t="str">
        <f>CONCATENATE(LEFT(RIGHT(CONCATENATE("000",IFAData_TEA_1819!A1101),6),3),"-",(RIGHT(RIGHT(CONCATENATE("000",IFAData_TEA_1819!A1101),6),3)))</f>
        <v>101-903</v>
      </c>
      <c r="C1101" t="s">
        <v>1987</v>
      </c>
      <c r="D1101">
        <v>3</v>
      </c>
      <c r="E1101">
        <v>1558</v>
      </c>
      <c r="F1101" t="s">
        <v>4791</v>
      </c>
      <c r="G1101" t="s">
        <v>4791</v>
      </c>
      <c r="H1101">
        <v>3113521</v>
      </c>
      <c r="I1101">
        <v>0</v>
      </c>
      <c r="J1101">
        <v>0</v>
      </c>
      <c r="K1101">
        <v>0</v>
      </c>
      <c r="L1101">
        <v>0</v>
      </c>
      <c r="M1101">
        <v>599</v>
      </c>
    </row>
    <row r="1102" spans="1:13" ht="15">
      <c r="A1102" t="s">
        <v>3536</v>
      </c>
      <c r="B1102" s="1040" t="str">
        <f>CONCATENATE(LEFT(RIGHT(CONCATENATE("000",IFAData_TEA_1819!A1102),6),3),"-",(RIGHT(RIGHT(CONCATENATE("000",IFAData_TEA_1819!A1102),6),3)))</f>
        <v>101-903</v>
      </c>
      <c r="C1102" t="s">
        <v>1987</v>
      </c>
      <c r="D1102">
        <v>3</v>
      </c>
      <c r="E1102">
        <v>1558</v>
      </c>
      <c r="F1102" t="s">
        <v>4791</v>
      </c>
      <c r="G1102" t="s">
        <v>4784</v>
      </c>
      <c r="H1102">
        <v>3113521</v>
      </c>
      <c r="I1102">
        <v>0</v>
      </c>
      <c r="J1102">
        <v>0</v>
      </c>
      <c r="K1102">
        <v>0</v>
      </c>
      <c r="L1102">
        <v>0</v>
      </c>
      <c r="M1102">
        <v>599</v>
      </c>
    </row>
    <row r="1103" spans="1:13" ht="15">
      <c r="A1103" t="s">
        <v>3536</v>
      </c>
      <c r="B1103" s="1040" t="str">
        <f>CONCATENATE(LEFT(RIGHT(CONCATENATE("000",IFAData_TEA_1819!A1103),6),3),"-",(RIGHT(RIGHT(CONCATENATE("000",IFAData_TEA_1819!A1103),6),3)))</f>
        <v>101-903</v>
      </c>
      <c r="C1103" t="s">
        <v>1987</v>
      </c>
      <c r="D1103">
        <v>3</v>
      </c>
      <c r="E1103">
        <v>1558</v>
      </c>
      <c r="F1103" t="s">
        <v>4791</v>
      </c>
      <c r="G1103" t="s">
        <v>4790</v>
      </c>
      <c r="H1103">
        <v>3113521</v>
      </c>
      <c r="I1103">
        <v>0</v>
      </c>
      <c r="J1103">
        <v>0</v>
      </c>
      <c r="K1103">
        <v>0</v>
      </c>
      <c r="L1103">
        <v>0</v>
      </c>
      <c r="M1103">
        <v>599</v>
      </c>
    </row>
    <row r="1104" spans="1:13" ht="15">
      <c r="A1104" t="s">
        <v>3536</v>
      </c>
      <c r="B1104" s="1040" t="str">
        <f>CONCATENATE(LEFT(RIGHT(CONCATENATE("000",IFAData_TEA_1819!A1104),6),3),"-",(RIGHT(RIGHT(CONCATENATE("000",IFAData_TEA_1819!A1104),6),3)))</f>
        <v>101-903</v>
      </c>
      <c r="C1104" t="s">
        <v>1987</v>
      </c>
      <c r="D1104">
        <v>3</v>
      </c>
      <c r="E1104">
        <v>1558</v>
      </c>
      <c r="F1104" t="s">
        <v>4791</v>
      </c>
      <c r="G1104" t="s">
        <v>4792</v>
      </c>
      <c r="H1104">
        <v>3113521</v>
      </c>
      <c r="I1104">
        <v>0</v>
      </c>
      <c r="J1104">
        <v>0</v>
      </c>
      <c r="K1104">
        <v>0</v>
      </c>
      <c r="L1104">
        <v>0</v>
      </c>
      <c r="M1104">
        <v>599</v>
      </c>
    </row>
    <row r="1105" spans="1:13" ht="15">
      <c r="A1105" t="s">
        <v>3536</v>
      </c>
      <c r="B1105" s="1040" t="str">
        <f>CONCATENATE(LEFT(RIGHT(CONCATENATE("000",IFAData_TEA_1819!A1105),6),3),"-",(RIGHT(RIGHT(CONCATENATE("000",IFAData_TEA_1819!A1105),6),3)))</f>
        <v>101-903</v>
      </c>
      <c r="C1105" t="s">
        <v>1987</v>
      </c>
      <c r="D1105">
        <v>3</v>
      </c>
      <c r="E1105">
        <v>1558</v>
      </c>
      <c r="F1105" t="s">
        <v>4791</v>
      </c>
      <c r="G1105" t="s">
        <v>4786</v>
      </c>
      <c r="H1105">
        <v>3113521</v>
      </c>
      <c r="I1105">
        <v>0</v>
      </c>
      <c r="J1105">
        <v>0</v>
      </c>
      <c r="K1105">
        <v>0</v>
      </c>
      <c r="L1105">
        <v>0</v>
      </c>
      <c r="M1105">
        <v>599</v>
      </c>
    </row>
    <row r="1106" spans="1:13" ht="15">
      <c r="A1106" t="s">
        <v>3536</v>
      </c>
      <c r="B1106" s="1040" t="str">
        <f>CONCATENATE(LEFT(RIGHT(CONCATENATE("000",IFAData_TEA_1819!A1106),6),3),"-",(RIGHT(RIGHT(CONCATENATE("000",IFAData_TEA_1819!A1106),6),3)))</f>
        <v>101-903</v>
      </c>
      <c r="C1106" t="s">
        <v>1987</v>
      </c>
      <c r="D1106">
        <v>3</v>
      </c>
      <c r="E1106">
        <v>1558</v>
      </c>
      <c r="F1106" t="s">
        <v>4791</v>
      </c>
      <c r="G1106" t="s">
        <v>4787</v>
      </c>
      <c r="H1106">
        <v>3113521</v>
      </c>
      <c r="I1106">
        <v>0</v>
      </c>
      <c r="J1106">
        <v>0</v>
      </c>
      <c r="K1106">
        <v>0</v>
      </c>
      <c r="L1106">
        <v>0</v>
      </c>
      <c r="M1106">
        <v>599</v>
      </c>
    </row>
    <row r="1107" spans="1:13" ht="15">
      <c r="A1107" t="s">
        <v>3536</v>
      </c>
      <c r="B1107" s="1040" t="str">
        <f>CONCATENATE(LEFT(RIGHT(CONCATENATE("000",IFAData_TEA_1819!A1107),6),3),"-",(RIGHT(RIGHT(CONCATENATE("000",IFAData_TEA_1819!A1107),6),3)))</f>
        <v>101-903</v>
      </c>
      <c r="C1107" t="s">
        <v>1987</v>
      </c>
      <c r="D1107">
        <v>3</v>
      </c>
      <c r="E1107">
        <v>1558</v>
      </c>
      <c r="F1107" t="s">
        <v>4791</v>
      </c>
      <c r="G1107" t="s">
        <v>6254</v>
      </c>
      <c r="H1107">
        <v>3113521</v>
      </c>
      <c r="I1107">
        <v>0</v>
      </c>
      <c r="J1107">
        <v>0</v>
      </c>
      <c r="K1107">
        <v>0</v>
      </c>
      <c r="L1107">
        <v>0</v>
      </c>
      <c r="M1107">
        <v>599</v>
      </c>
    </row>
    <row r="1108" spans="1:13" ht="15">
      <c r="A1108" t="s">
        <v>3536</v>
      </c>
      <c r="B1108" s="1040" t="str">
        <f>CONCATENATE(LEFT(RIGHT(CONCATENATE("000",IFAData_TEA_1819!A1108),6),3),"-",(RIGHT(RIGHT(CONCATENATE("000",IFAData_TEA_1819!A1108),6),3)))</f>
        <v>101-903</v>
      </c>
      <c r="C1108" t="s">
        <v>1987</v>
      </c>
      <c r="D1108">
        <v>3</v>
      </c>
      <c r="E1108">
        <v>1558</v>
      </c>
      <c r="F1108" t="s">
        <v>4791</v>
      </c>
      <c r="G1108" t="s">
        <v>6469</v>
      </c>
      <c r="H1108">
        <v>3113521</v>
      </c>
      <c r="I1108">
        <v>135151</v>
      </c>
      <c r="J1108">
        <v>1</v>
      </c>
      <c r="K1108">
        <v>3113521</v>
      </c>
      <c r="L1108">
        <v>135151</v>
      </c>
      <c r="M1108">
        <v>599</v>
      </c>
    </row>
    <row r="1109" spans="1:13" ht="15">
      <c r="A1109" t="s">
        <v>3536</v>
      </c>
      <c r="B1109" s="1040" t="str">
        <f>CONCATENATE(LEFT(RIGHT(CONCATENATE("000",IFAData_TEA_1819!A1109),6),3),"-",(RIGHT(RIGHT(CONCATENATE("000",IFAData_TEA_1819!A1109),6),3)))</f>
        <v>101-903</v>
      </c>
      <c r="C1109" t="s">
        <v>1987</v>
      </c>
      <c r="D1109">
        <v>5</v>
      </c>
      <c r="E1109">
        <v>1556</v>
      </c>
      <c r="F1109" t="s">
        <v>4793</v>
      </c>
      <c r="G1109" t="s">
        <v>4793</v>
      </c>
      <c r="H1109">
        <v>2380440</v>
      </c>
      <c r="I1109">
        <v>0</v>
      </c>
      <c r="J1109">
        <v>0</v>
      </c>
      <c r="K1109"/>
      <c r="L1109">
        <v>0</v>
      </c>
      <c r="M1109">
        <v>599</v>
      </c>
    </row>
    <row r="1110" spans="1:13" ht="15">
      <c r="A1110" t="s">
        <v>3536</v>
      </c>
      <c r="B1110" s="1040" t="str">
        <f>CONCATENATE(LEFT(RIGHT(CONCATENATE("000",IFAData_TEA_1819!A1110),6),3),"-",(RIGHT(RIGHT(CONCATENATE("000",IFAData_TEA_1819!A1110),6),3)))</f>
        <v>101-903</v>
      </c>
      <c r="C1110" t="s">
        <v>1987</v>
      </c>
      <c r="D1110">
        <v>6</v>
      </c>
      <c r="E1110">
        <v>1557</v>
      </c>
      <c r="F1110" t="s">
        <v>4794</v>
      </c>
      <c r="G1110" t="s">
        <v>4794</v>
      </c>
      <c r="H1110">
        <v>2566718</v>
      </c>
      <c r="I1110">
        <v>0</v>
      </c>
      <c r="J1110">
        <v>0</v>
      </c>
      <c r="K1110">
        <v>0</v>
      </c>
      <c r="L1110">
        <v>0</v>
      </c>
      <c r="M1110">
        <v>599</v>
      </c>
    </row>
    <row r="1111" spans="1:13" ht="15">
      <c r="A1111" t="s">
        <v>3536</v>
      </c>
      <c r="B1111" s="1040" t="str">
        <f>CONCATENATE(LEFT(RIGHT(CONCATENATE("000",IFAData_TEA_1819!A1111),6),3),"-",(RIGHT(RIGHT(CONCATENATE("000",IFAData_TEA_1819!A1111),6),3)))</f>
        <v>101-903</v>
      </c>
      <c r="C1111" t="s">
        <v>1987</v>
      </c>
      <c r="D1111">
        <v>6</v>
      </c>
      <c r="E1111">
        <v>1557</v>
      </c>
      <c r="F1111" t="s">
        <v>4794</v>
      </c>
      <c r="G1111" t="s">
        <v>4792</v>
      </c>
      <c r="H1111">
        <v>2566718</v>
      </c>
      <c r="I1111">
        <v>2476148</v>
      </c>
      <c r="J1111">
        <v>1</v>
      </c>
      <c r="K1111">
        <v>2566718</v>
      </c>
      <c r="L1111">
        <v>2476148</v>
      </c>
      <c r="M1111">
        <v>599</v>
      </c>
    </row>
    <row r="1112" spans="1:13" ht="15">
      <c r="A1112" t="s">
        <v>3536</v>
      </c>
      <c r="B1112" s="1040" t="str">
        <f>CONCATENATE(LEFT(RIGHT(CONCATENATE("000",IFAData_TEA_1819!A1112),6),3),"-",(RIGHT(RIGHT(CONCATENATE("000",IFAData_TEA_1819!A1112),6),3)))</f>
        <v>101-903</v>
      </c>
      <c r="C1112" t="s">
        <v>1987</v>
      </c>
      <c r="D1112">
        <v>10</v>
      </c>
      <c r="E1112">
        <v>1553</v>
      </c>
      <c r="F1112" t="s">
        <v>4795</v>
      </c>
      <c r="G1112" t="s">
        <v>4795</v>
      </c>
      <c r="H1112">
        <v>967583</v>
      </c>
      <c r="I1112">
        <v>1032089</v>
      </c>
      <c r="J1112">
        <v>1</v>
      </c>
      <c r="K1112">
        <v>967583</v>
      </c>
      <c r="L1112">
        <v>967583</v>
      </c>
      <c r="M1112">
        <v>599</v>
      </c>
    </row>
    <row r="1113" spans="1:13" ht="15">
      <c r="A1113" t="s">
        <v>3536</v>
      </c>
      <c r="B1113" s="1040" t="str">
        <f>CONCATENATE(LEFT(RIGHT(CONCATENATE("000",IFAData_TEA_1819!A1113),6),3),"-",(RIGHT(RIGHT(CONCATENATE("000",IFAData_TEA_1819!A1113),6),3)))</f>
        <v>101-903</v>
      </c>
      <c r="C1113" t="s">
        <v>1987</v>
      </c>
      <c r="D1113">
        <v>10</v>
      </c>
      <c r="E1113">
        <v>1552</v>
      </c>
      <c r="F1113" t="s">
        <v>4796</v>
      </c>
      <c r="G1113" t="s">
        <v>4796</v>
      </c>
      <c r="H1113">
        <v>901072</v>
      </c>
      <c r="I1113">
        <v>910461</v>
      </c>
      <c r="J1113">
        <v>1</v>
      </c>
      <c r="K1113">
        <v>901072</v>
      </c>
      <c r="L1113">
        <v>901072</v>
      </c>
      <c r="M1113">
        <v>599</v>
      </c>
    </row>
    <row r="1114" spans="1:13" ht="15">
      <c r="A1114" t="s">
        <v>3537</v>
      </c>
      <c r="B1114" s="1040" t="str">
        <f>CONCATENATE(LEFT(RIGHT(CONCATENATE("000",IFAData_TEA_1819!A1114),6),3),"-",(RIGHT(RIGHT(CONCATENATE("000",IFAData_TEA_1819!A1114),6),3)))</f>
        <v>101-905</v>
      </c>
      <c r="C1114" t="s">
        <v>480</v>
      </c>
      <c r="D1114">
        <v>10</v>
      </c>
      <c r="E1114">
        <v>1677</v>
      </c>
      <c r="F1114" t="s">
        <v>4797</v>
      </c>
      <c r="G1114" t="s">
        <v>4797</v>
      </c>
      <c r="H1114">
        <v>330868</v>
      </c>
      <c r="I1114">
        <v>1361951</v>
      </c>
      <c r="J1114">
        <v>1</v>
      </c>
      <c r="K1114">
        <v>330868</v>
      </c>
      <c r="L1114">
        <v>330868</v>
      </c>
      <c r="M1114">
        <v>599</v>
      </c>
    </row>
    <row r="1115" spans="1:13" ht="15">
      <c r="A1115" t="s">
        <v>3537</v>
      </c>
      <c r="B1115" s="1040" t="str">
        <f>CONCATENATE(LEFT(RIGHT(CONCATENATE("000",IFAData_TEA_1819!A1115),6),3),"-",(RIGHT(RIGHT(CONCATENATE("000",IFAData_TEA_1819!A1115),6),3)))</f>
        <v>101-905</v>
      </c>
      <c r="C1115" t="s">
        <v>480</v>
      </c>
      <c r="D1115">
        <v>10</v>
      </c>
      <c r="E1115">
        <v>1678</v>
      </c>
      <c r="F1115" t="s">
        <v>4798</v>
      </c>
      <c r="G1115" t="s">
        <v>4798</v>
      </c>
      <c r="H1115">
        <v>1101389</v>
      </c>
      <c r="I1115">
        <v>1112329</v>
      </c>
      <c r="J1115">
        <v>1</v>
      </c>
      <c r="K1115">
        <v>1101389</v>
      </c>
      <c r="L1115">
        <v>1101389</v>
      </c>
      <c r="M1115">
        <v>599</v>
      </c>
    </row>
    <row r="1116" spans="1:13" ht="15">
      <c r="A1116" t="s">
        <v>3537</v>
      </c>
      <c r="B1116" s="1040" t="str">
        <f>CONCATENATE(LEFT(RIGHT(CONCATENATE("000",IFAData_TEA_1819!A1116),6),3),"-",(RIGHT(RIGHT(CONCATENATE("000",IFAData_TEA_1819!A1116),6),3)))</f>
        <v>101-905</v>
      </c>
      <c r="C1116" t="s">
        <v>480</v>
      </c>
      <c r="D1116">
        <v>11</v>
      </c>
      <c r="E1116">
        <v>2542</v>
      </c>
      <c r="F1116" t="s">
        <v>8397</v>
      </c>
      <c r="G1116" t="s">
        <v>8397</v>
      </c>
      <c r="H1116">
        <v>721415</v>
      </c>
      <c r="I1116">
        <v>715432</v>
      </c>
      <c r="J1116">
        <v>1</v>
      </c>
      <c r="K1116">
        <v>721415</v>
      </c>
      <c r="L1116">
        <v>715432</v>
      </c>
      <c r="M1116">
        <v>599</v>
      </c>
    </row>
    <row r="1117" spans="1:13" ht="15">
      <c r="A1117" t="s">
        <v>3538</v>
      </c>
      <c r="B1117" s="1040" t="str">
        <f>CONCATENATE(LEFT(RIGHT(CONCATENATE("000",IFAData_TEA_1819!A1117),6),3),"-",(RIGHT(RIGHT(CONCATENATE("000",IFAData_TEA_1819!A1117),6),3)))</f>
        <v>101-906</v>
      </c>
      <c r="C1117" t="s">
        <v>418</v>
      </c>
      <c r="D1117">
        <v>3</v>
      </c>
      <c r="E1117">
        <v>1732</v>
      </c>
      <c r="F1117" t="s">
        <v>4799</v>
      </c>
      <c r="G1117" t="s">
        <v>4799</v>
      </c>
      <c r="H1117">
        <v>926340</v>
      </c>
      <c r="I1117">
        <v>0</v>
      </c>
      <c r="J1117">
        <v>0</v>
      </c>
      <c r="K1117">
        <v>0</v>
      </c>
      <c r="L1117">
        <v>0</v>
      </c>
      <c r="M1117">
        <v>599</v>
      </c>
    </row>
    <row r="1118" spans="1:13" ht="15">
      <c r="A1118" t="s">
        <v>3538</v>
      </c>
      <c r="B1118" s="1040" t="str">
        <f>CONCATENATE(LEFT(RIGHT(CONCATENATE("000",IFAData_TEA_1819!A1118),6),3),"-",(RIGHT(RIGHT(CONCATENATE("000",IFAData_TEA_1819!A1118),6),3)))</f>
        <v>101-906</v>
      </c>
      <c r="C1118" t="s">
        <v>418</v>
      </c>
      <c r="D1118">
        <v>3</v>
      </c>
      <c r="E1118">
        <v>1732</v>
      </c>
      <c r="F1118" t="s">
        <v>4799</v>
      </c>
      <c r="G1118" t="s">
        <v>4800</v>
      </c>
      <c r="H1118">
        <v>926340</v>
      </c>
      <c r="I1118">
        <v>1399429</v>
      </c>
      <c r="J1118">
        <v>0.69960711030856804</v>
      </c>
      <c r="K1118">
        <v>648074.05056323903</v>
      </c>
      <c r="L1118">
        <v>648074.05056323903</v>
      </c>
      <c r="M1118">
        <v>599</v>
      </c>
    </row>
    <row r="1119" spans="1:13" ht="15">
      <c r="A1119" t="s">
        <v>3538</v>
      </c>
      <c r="B1119" s="1040" t="str">
        <f>CONCATENATE(LEFT(RIGHT(CONCATENATE("000",IFAData_TEA_1819!A1119),6),3),"-",(RIGHT(RIGHT(CONCATENATE("000",IFAData_TEA_1819!A1119),6),3)))</f>
        <v>101-906</v>
      </c>
      <c r="C1119" t="s">
        <v>418</v>
      </c>
      <c r="D1119">
        <v>3</v>
      </c>
      <c r="E1119">
        <v>1732</v>
      </c>
      <c r="F1119" t="s">
        <v>4799</v>
      </c>
      <c r="G1119" t="s">
        <v>4801</v>
      </c>
      <c r="H1119">
        <v>926340</v>
      </c>
      <c r="I1119">
        <v>373146</v>
      </c>
      <c r="J1119">
        <v>0.18654436543990499</v>
      </c>
      <c r="K1119">
        <v>172803.50748160199</v>
      </c>
      <c r="L1119">
        <v>172803.50748160199</v>
      </c>
      <c r="M1119">
        <v>599</v>
      </c>
    </row>
    <row r="1120" spans="1:13" ht="15">
      <c r="A1120" t="s">
        <v>3538</v>
      </c>
      <c r="B1120" s="1040" t="str">
        <f>CONCATENATE(LEFT(RIGHT(CONCATENATE("000",IFAData_TEA_1819!A1120),6),3),"-",(RIGHT(RIGHT(CONCATENATE("000",IFAData_TEA_1819!A1120),6),3)))</f>
        <v>101-906</v>
      </c>
      <c r="C1120" t="s">
        <v>418</v>
      </c>
      <c r="D1120">
        <v>3</v>
      </c>
      <c r="E1120">
        <v>1732</v>
      </c>
      <c r="F1120" t="s">
        <v>4799</v>
      </c>
      <c r="G1120" t="s">
        <v>6470</v>
      </c>
      <c r="H1120">
        <v>926340</v>
      </c>
      <c r="I1120">
        <v>227732</v>
      </c>
      <c r="J1120">
        <v>0.113848524251527</v>
      </c>
      <c r="K1120">
        <v>105462.44195516</v>
      </c>
      <c r="L1120">
        <v>105462.44195516</v>
      </c>
      <c r="M1120">
        <v>599</v>
      </c>
    </row>
    <row r="1121" spans="1:13" ht="15">
      <c r="A1121" t="s">
        <v>3538</v>
      </c>
      <c r="B1121" s="1040" t="str">
        <f>CONCATENATE(LEFT(RIGHT(CONCATENATE("000",IFAData_TEA_1819!A1121),6),3),"-",(RIGHT(RIGHT(CONCATENATE("000",IFAData_TEA_1819!A1121),6),3)))</f>
        <v>101-906</v>
      </c>
      <c r="C1121" t="s">
        <v>418</v>
      </c>
      <c r="D1121">
        <v>11</v>
      </c>
      <c r="E1121">
        <v>2530</v>
      </c>
      <c r="F1121" t="s">
        <v>8398</v>
      </c>
      <c r="G1121" t="s">
        <v>8398</v>
      </c>
      <c r="H1121">
        <v>1333191</v>
      </c>
      <c r="I1121">
        <v>3097038</v>
      </c>
      <c r="J1121">
        <v>1</v>
      </c>
      <c r="K1121">
        <v>1333191</v>
      </c>
      <c r="L1121">
        <v>1333191</v>
      </c>
      <c r="M1121">
        <v>599</v>
      </c>
    </row>
    <row r="1122" spans="1:13" ht="15">
      <c r="A1122" t="s">
        <v>3539</v>
      </c>
      <c r="B1122" s="1040" t="str">
        <f>CONCATENATE(LEFT(RIGHT(CONCATENATE("000",IFAData_TEA_1819!A1122),6),3),"-",(RIGHT(RIGHT(CONCATENATE("000",IFAData_TEA_1819!A1122),6),3)))</f>
        <v>101-910</v>
      </c>
      <c r="C1122" t="s">
        <v>1480</v>
      </c>
      <c r="D1122">
        <v>1</v>
      </c>
      <c r="E1122">
        <v>1837</v>
      </c>
      <c r="F1122" t="s">
        <v>4802</v>
      </c>
      <c r="G1122" t="s">
        <v>4802</v>
      </c>
      <c r="H1122">
        <v>827390</v>
      </c>
      <c r="I1122">
        <v>0</v>
      </c>
      <c r="J1122">
        <v>0</v>
      </c>
      <c r="K1122">
        <v>0</v>
      </c>
      <c r="L1122">
        <v>0</v>
      </c>
      <c r="M1122">
        <v>599</v>
      </c>
    </row>
    <row r="1123" spans="1:13" ht="15">
      <c r="A1123" t="s">
        <v>3539</v>
      </c>
      <c r="B1123" s="1040" t="str">
        <f>CONCATENATE(LEFT(RIGHT(CONCATENATE("000",IFAData_TEA_1819!A1123),6),3),"-",(RIGHT(RIGHT(CONCATENATE("000",IFAData_TEA_1819!A1123),6),3)))</f>
        <v>101-910</v>
      </c>
      <c r="C1123" t="s">
        <v>1480</v>
      </c>
      <c r="D1123">
        <v>1</v>
      </c>
      <c r="E1123">
        <v>1837</v>
      </c>
      <c r="F1123" t="s">
        <v>4802</v>
      </c>
      <c r="G1123" t="s">
        <v>4803</v>
      </c>
      <c r="H1123">
        <v>827390</v>
      </c>
      <c r="I1123">
        <v>0</v>
      </c>
      <c r="J1123">
        <v>0</v>
      </c>
      <c r="K1123">
        <v>0</v>
      </c>
      <c r="L1123">
        <v>0</v>
      </c>
      <c r="M1123">
        <v>599</v>
      </c>
    </row>
    <row r="1124" spans="1:13" ht="15">
      <c r="A1124" t="s">
        <v>3539</v>
      </c>
      <c r="B1124" s="1040" t="str">
        <f>CONCATENATE(LEFT(RIGHT(CONCATENATE("000",IFAData_TEA_1819!A1124),6),3),"-",(RIGHT(RIGHT(CONCATENATE("000",IFAData_TEA_1819!A1124),6),3)))</f>
        <v>101-910</v>
      </c>
      <c r="C1124" t="s">
        <v>1480</v>
      </c>
      <c r="D1124">
        <v>1</v>
      </c>
      <c r="E1124">
        <v>1837</v>
      </c>
      <c r="F1124" t="s">
        <v>4802</v>
      </c>
      <c r="G1124" t="s">
        <v>4804</v>
      </c>
      <c r="H1124">
        <v>827390</v>
      </c>
      <c r="I1124">
        <v>1084759</v>
      </c>
      <c r="J1124">
        <v>1</v>
      </c>
      <c r="K1124">
        <v>827390</v>
      </c>
      <c r="L1124">
        <v>827390</v>
      </c>
      <c r="M1124">
        <v>599</v>
      </c>
    </row>
    <row r="1125" spans="1:13" ht="15">
      <c r="A1125" t="s">
        <v>3539</v>
      </c>
      <c r="B1125" s="1040" t="str">
        <f>CONCATENATE(LEFT(RIGHT(CONCATENATE("000",IFAData_TEA_1819!A1125),6),3),"-",(RIGHT(RIGHT(CONCATENATE("000",IFAData_TEA_1819!A1125),6),3)))</f>
        <v>101-910</v>
      </c>
      <c r="C1125" t="s">
        <v>1480</v>
      </c>
      <c r="D1125">
        <v>2</v>
      </c>
      <c r="E1125">
        <v>1839</v>
      </c>
      <c r="F1125" t="s">
        <v>4805</v>
      </c>
      <c r="G1125" t="s">
        <v>4805</v>
      </c>
      <c r="H1125">
        <v>1792083</v>
      </c>
      <c r="I1125">
        <v>0</v>
      </c>
      <c r="J1125">
        <v>0</v>
      </c>
      <c r="K1125"/>
      <c r="L1125">
        <v>0</v>
      </c>
      <c r="M1125">
        <v>599</v>
      </c>
    </row>
    <row r="1126" spans="1:13" ht="15">
      <c r="A1126" t="s">
        <v>3539</v>
      </c>
      <c r="B1126" s="1040" t="str">
        <f>CONCATENATE(LEFT(RIGHT(CONCATENATE("000",IFAData_TEA_1819!A1126),6),3),"-",(RIGHT(RIGHT(CONCATENATE("000",IFAData_TEA_1819!A1126),6),3)))</f>
        <v>101-910</v>
      </c>
      <c r="C1126" t="s">
        <v>1480</v>
      </c>
      <c r="D1126">
        <v>6</v>
      </c>
      <c r="E1126">
        <v>1838</v>
      </c>
      <c r="F1126" t="s">
        <v>4806</v>
      </c>
      <c r="G1126" t="s">
        <v>4806</v>
      </c>
      <c r="H1126">
        <v>907274</v>
      </c>
      <c r="I1126">
        <v>0</v>
      </c>
      <c r="J1126">
        <v>0</v>
      </c>
      <c r="K1126">
        <v>0</v>
      </c>
      <c r="L1126">
        <v>0</v>
      </c>
      <c r="M1126">
        <v>599</v>
      </c>
    </row>
    <row r="1127" spans="1:13" ht="15">
      <c r="A1127" t="s">
        <v>3539</v>
      </c>
      <c r="B1127" s="1040" t="str">
        <f>CONCATENATE(LEFT(RIGHT(CONCATENATE("000",IFAData_TEA_1819!A1127),6),3),"-",(RIGHT(RIGHT(CONCATENATE("000",IFAData_TEA_1819!A1127),6),3)))</f>
        <v>101-910</v>
      </c>
      <c r="C1127" t="s">
        <v>1480</v>
      </c>
      <c r="D1127">
        <v>6</v>
      </c>
      <c r="E1127">
        <v>1838</v>
      </c>
      <c r="F1127" t="s">
        <v>4806</v>
      </c>
      <c r="G1127" t="s">
        <v>4807</v>
      </c>
      <c r="H1127">
        <v>907274</v>
      </c>
      <c r="I1127">
        <v>1011821</v>
      </c>
      <c r="J1127">
        <v>0.578686720679357</v>
      </c>
      <c r="K1127">
        <v>525027.41581764305</v>
      </c>
      <c r="L1127">
        <v>525027.41581764305</v>
      </c>
      <c r="M1127">
        <v>599</v>
      </c>
    </row>
    <row r="1128" spans="1:13" ht="15">
      <c r="A1128" t="s">
        <v>3539</v>
      </c>
      <c r="B1128" s="1040" t="str">
        <f>CONCATENATE(LEFT(RIGHT(CONCATENATE("000",IFAData_TEA_1819!A1128),6),3),"-",(RIGHT(RIGHT(CONCATENATE("000",IFAData_TEA_1819!A1128),6),3)))</f>
        <v>101-910</v>
      </c>
      <c r="C1128" t="s">
        <v>1480</v>
      </c>
      <c r="D1128">
        <v>6</v>
      </c>
      <c r="E1128">
        <v>1838</v>
      </c>
      <c r="F1128" t="s">
        <v>4806</v>
      </c>
      <c r="G1128" t="s">
        <v>4808</v>
      </c>
      <c r="H1128">
        <v>907274</v>
      </c>
      <c r="I1128">
        <v>85895</v>
      </c>
      <c r="J1128">
        <v>4.9125582363632798E-2</v>
      </c>
      <c r="K1128">
        <v>44570.3636133826</v>
      </c>
      <c r="L1128">
        <v>44570.3636133826</v>
      </c>
      <c r="M1128">
        <v>599</v>
      </c>
    </row>
    <row r="1129" spans="1:13" ht="15">
      <c r="A1129" t="s">
        <v>3539</v>
      </c>
      <c r="B1129" s="1040" t="str">
        <f>CONCATENATE(LEFT(RIGHT(CONCATENATE("000",IFAData_TEA_1819!A1129),6),3),"-",(RIGHT(RIGHT(CONCATENATE("000",IFAData_TEA_1819!A1129),6),3)))</f>
        <v>101-910</v>
      </c>
      <c r="C1129" t="s">
        <v>1480</v>
      </c>
      <c r="D1129">
        <v>6</v>
      </c>
      <c r="E1129">
        <v>1838</v>
      </c>
      <c r="F1129" t="s">
        <v>4806</v>
      </c>
      <c r="G1129" t="s">
        <v>6255</v>
      </c>
      <c r="H1129">
        <v>907274</v>
      </c>
      <c r="I1129">
        <v>0</v>
      </c>
      <c r="J1129">
        <v>0</v>
      </c>
      <c r="K1129">
        <v>0</v>
      </c>
      <c r="L1129">
        <v>0</v>
      </c>
      <c r="M1129">
        <v>599</v>
      </c>
    </row>
    <row r="1130" spans="1:13" ht="15">
      <c r="A1130" t="s">
        <v>3539</v>
      </c>
      <c r="B1130" s="1040" t="str">
        <f>CONCATENATE(LEFT(RIGHT(CONCATENATE("000",IFAData_TEA_1819!A1130),6),3),"-",(RIGHT(RIGHT(CONCATENATE("000",IFAData_TEA_1819!A1130),6),3)))</f>
        <v>101-910</v>
      </c>
      <c r="C1130" t="s">
        <v>1480</v>
      </c>
      <c r="D1130">
        <v>6</v>
      </c>
      <c r="E1130">
        <v>1838</v>
      </c>
      <c r="F1130" t="s">
        <v>4806</v>
      </c>
      <c r="G1130" t="s">
        <v>8399</v>
      </c>
      <c r="H1130">
        <v>907274</v>
      </c>
      <c r="I1130">
        <v>143578</v>
      </c>
      <c r="J1130">
        <v>8.2115988877183493E-2</v>
      </c>
      <c r="K1130">
        <v>74501.701692557705</v>
      </c>
      <c r="L1130">
        <v>74501.701692557705</v>
      </c>
      <c r="M1130">
        <v>599</v>
      </c>
    </row>
    <row r="1131" spans="1:13" ht="15">
      <c r="A1131" t="s">
        <v>3539</v>
      </c>
      <c r="B1131" s="1040" t="str">
        <f>CONCATENATE(LEFT(RIGHT(CONCATENATE("000",IFAData_TEA_1819!A1131),6),3),"-",(RIGHT(RIGHT(CONCATENATE("000",IFAData_TEA_1819!A1131),6),3)))</f>
        <v>101-910</v>
      </c>
      <c r="C1131" t="s">
        <v>1480</v>
      </c>
      <c r="D1131">
        <v>6</v>
      </c>
      <c r="E1131">
        <v>1838</v>
      </c>
      <c r="F1131" t="s">
        <v>4806</v>
      </c>
      <c r="G1131" t="s">
        <v>8400</v>
      </c>
      <c r="H1131">
        <v>907274</v>
      </c>
      <c r="I1131">
        <v>507184</v>
      </c>
      <c r="J1131">
        <v>0.29007170807982702</v>
      </c>
      <c r="K1131">
        <v>263174.51887641702</v>
      </c>
      <c r="L1131">
        <v>263174.51887641702</v>
      </c>
      <c r="M1131">
        <v>599</v>
      </c>
    </row>
    <row r="1132" spans="1:13" ht="15">
      <c r="A1132" t="s">
        <v>3539</v>
      </c>
      <c r="B1132" s="1040" t="str">
        <f>CONCATENATE(LEFT(RIGHT(CONCATENATE("000",IFAData_TEA_1819!A1132),6),3),"-",(RIGHT(RIGHT(CONCATENATE("000",IFAData_TEA_1819!A1132),6),3)))</f>
        <v>101-910</v>
      </c>
      <c r="C1132" t="s">
        <v>1480</v>
      </c>
      <c r="D1132">
        <v>6</v>
      </c>
      <c r="E1132">
        <v>1834</v>
      </c>
      <c r="F1132" t="s">
        <v>4809</v>
      </c>
      <c r="G1132" t="s">
        <v>4809</v>
      </c>
      <c r="H1132">
        <v>608673</v>
      </c>
      <c r="I1132">
        <v>0</v>
      </c>
      <c r="J1132">
        <v>0</v>
      </c>
      <c r="K1132">
        <v>0</v>
      </c>
      <c r="L1132">
        <v>0</v>
      </c>
      <c r="M1132">
        <v>599</v>
      </c>
    </row>
    <row r="1133" spans="1:13" ht="15">
      <c r="A1133" t="s">
        <v>3539</v>
      </c>
      <c r="B1133" s="1040" t="str">
        <f>CONCATENATE(LEFT(RIGHT(CONCATENATE("000",IFAData_TEA_1819!A1133),6),3),"-",(RIGHT(RIGHT(CONCATENATE("000",IFAData_TEA_1819!A1133),6),3)))</f>
        <v>101-910</v>
      </c>
      <c r="C1133" t="s">
        <v>1480</v>
      </c>
      <c r="D1133">
        <v>6</v>
      </c>
      <c r="E1133">
        <v>1834</v>
      </c>
      <c r="F1133" t="s">
        <v>4809</v>
      </c>
      <c r="G1133" t="s">
        <v>4808</v>
      </c>
      <c r="H1133">
        <v>608673</v>
      </c>
      <c r="I1133">
        <v>1220160</v>
      </c>
      <c r="J1133">
        <v>0.84250007422695194</v>
      </c>
      <c r="K1133">
        <v>512807.04767994198</v>
      </c>
      <c r="L1133">
        <v>512807.04767994198</v>
      </c>
      <c r="M1133">
        <v>599</v>
      </c>
    </row>
    <row r="1134" spans="1:13" ht="15">
      <c r="A1134" t="s">
        <v>3539</v>
      </c>
      <c r="B1134" s="1040" t="str">
        <f>CONCATENATE(LEFT(RIGHT(CONCATENATE("000",IFAData_TEA_1819!A1134),6),3),"-",(RIGHT(RIGHT(CONCATENATE("000",IFAData_TEA_1819!A1134),6),3)))</f>
        <v>101-910</v>
      </c>
      <c r="C1134" t="s">
        <v>1480</v>
      </c>
      <c r="D1134">
        <v>6</v>
      </c>
      <c r="E1134">
        <v>1834</v>
      </c>
      <c r="F1134" t="s">
        <v>4809</v>
      </c>
      <c r="G1134" t="s">
        <v>4810</v>
      </c>
      <c r="H1134">
        <v>608673</v>
      </c>
      <c r="I1134">
        <v>228101</v>
      </c>
      <c r="J1134">
        <v>0.157499925773048</v>
      </c>
      <c r="K1134">
        <v>95865.952320058306</v>
      </c>
      <c r="L1134">
        <v>95865.952320058306</v>
      </c>
      <c r="M1134">
        <v>599</v>
      </c>
    </row>
    <row r="1135" spans="1:13" ht="15">
      <c r="A1135" t="s">
        <v>3539</v>
      </c>
      <c r="B1135" s="1040" t="str">
        <f>CONCATENATE(LEFT(RIGHT(CONCATENATE("000",IFAData_TEA_1819!A1135),6),3),"-",(RIGHT(RIGHT(CONCATENATE("000",IFAData_TEA_1819!A1135),6),3)))</f>
        <v>101-910</v>
      </c>
      <c r="C1135" t="s">
        <v>1480</v>
      </c>
      <c r="D1135">
        <v>9</v>
      </c>
      <c r="E1135">
        <v>1836</v>
      </c>
      <c r="F1135" t="s">
        <v>4811</v>
      </c>
      <c r="G1135" t="s">
        <v>4811</v>
      </c>
      <c r="H1135">
        <v>792979</v>
      </c>
      <c r="I1135">
        <v>0</v>
      </c>
      <c r="J1135">
        <v>0</v>
      </c>
      <c r="K1135"/>
      <c r="L1135">
        <v>0</v>
      </c>
      <c r="M1135">
        <v>599</v>
      </c>
    </row>
    <row r="1136" spans="1:13" ht="15">
      <c r="A1136" t="s">
        <v>3539</v>
      </c>
      <c r="B1136" s="1040" t="str">
        <f>CONCATENATE(LEFT(RIGHT(CONCATENATE("000",IFAData_TEA_1819!A1136),6),3),"-",(RIGHT(RIGHT(CONCATENATE("000",IFAData_TEA_1819!A1136),6),3)))</f>
        <v>101-910</v>
      </c>
      <c r="C1136" t="s">
        <v>1480</v>
      </c>
      <c r="D1136">
        <v>10</v>
      </c>
      <c r="E1136">
        <v>1835</v>
      </c>
      <c r="F1136" t="s">
        <v>4812</v>
      </c>
      <c r="G1136" t="s">
        <v>4812</v>
      </c>
      <c r="H1136">
        <v>663147</v>
      </c>
      <c r="I1136">
        <v>641474</v>
      </c>
      <c r="J1136">
        <v>1</v>
      </c>
      <c r="K1136">
        <v>663147</v>
      </c>
      <c r="L1136">
        <v>641474</v>
      </c>
      <c r="M1136">
        <v>599</v>
      </c>
    </row>
    <row r="1137" spans="1:13" ht="15">
      <c r="A1137" t="s">
        <v>3540</v>
      </c>
      <c r="B1137" s="1040" t="str">
        <f>CONCATENATE(LEFT(RIGHT(CONCATENATE("000",IFAData_TEA_1819!A1137),6),3),"-",(RIGHT(RIGHT(CONCATENATE("000",IFAData_TEA_1819!A1137),6),3)))</f>
        <v>101-913</v>
      </c>
      <c r="C1137" t="s">
        <v>2385</v>
      </c>
      <c r="D1137">
        <v>1</v>
      </c>
      <c r="E1137">
        <v>1914</v>
      </c>
      <c r="F1137" t="s">
        <v>4813</v>
      </c>
      <c r="G1137" t="s">
        <v>4813</v>
      </c>
      <c r="H1137">
        <v>1259509</v>
      </c>
      <c r="I1137">
        <v>0</v>
      </c>
      <c r="J1137">
        <v>0</v>
      </c>
      <c r="K1137"/>
      <c r="L1137">
        <v>0</v>
      </c>
      <c r="M1137">
        <v>599</v>
      </c>
    </row>
    <row r="1138" spans="1:13" ht="15">
      <c r="A1138" t="s">
        <v>3540</v>
      </c>
      <c r="B1138" s="1040" t="str">
        <f>CONCATENATE(LEFT(RIGHT(CONCATENATE("000",IFAData_TEA_1819!A1138),6),3),"-",(RIGHT(RIGHT(CONCATENATE("000",IFAData_TEA_1819!A1138),6),3)))</f>
        <v>101-913</v>
      </c>
      <c r="C1138" t="s">
        <v>2385</v>
      </c>
      <c r="D1138">
        <v>1</v>
      </c>
      <c r="E1138">
        <v>1915</v>
      </c>
      <c r="F1138" t="s">
        <v>4816</v>
      </c>
      <c r="G1138" t="s">
        <v>4816</v>
      </c>
      <c r="H1138">
        <v>1479767</v>
      </c>
      <c r="I1138">
        <v>0</v>
      </c>
      <c r="J1138">
        <v>0</v>
      </c>
      <c r="K1138"/>
      <c r="L1138">
        <v>0</v>
      </c>
      <c r="M1138">
        <v>599</v>
      </c>
    </row>
    <row r="1139" spans="1:13" ht="15">
      <c r="A1139" t="s">
        <v>3540</v>
      </c>
      <c r="B1139" s="1040" t="str">
        <f>CONCATENATE(LEFT(RIGHT(CONCATENATE("000",IFAData_TEA_1819!A1139),6),3),"-",(RIGHT(RIGHT(CONCATENATE("000",IFAData_TEA_1819!A1139),6),3)))</f>
        <v>101-913</v>
      </c>
      <c r="C1139" t="s">
        <v>2385</v>
      </c>
      <c r="D1139">
        <v>11</v>
      </c>
      <c r="E1139">
        <v>2544</v>
      </c>
      <c r="F1139" t="s">
        <v>8401</v>
      </c>
      <c r="G1139" t="s">
        <v>8401</v>
      </c>
      <c r="H1139">
        <v>2848025</v>
      </c>
      <c r="I1139">
        <v>2830550</v>
      </c>
      <c r="J1139">
        <v>1</v>
      </c>
      <c r="K1139">
        <v>2848025</v>
      </c>
      <c r="L1139">
        <v>2830550</v>
      </c>
      <c r="M1139">
        <v>599</v>
      </c>
    </row>
    <row r="1140" spans="1:13" ht="15">
      <c r="A1140" t="s">
        <v>3541</v>
      </c>
      <c r="B1140" s="1040" t="str">
        <f>CONCATENATE(LEFT(RIGHT(CONCATENATE("000",IFAData_TEA_1819!A1140),6),3),"-",(RIGHT(RIGHT(CONCATENATE("000",IFAData_TEA_1819!A1140),6),3)))</f>
        <v>101-914</v>
      </c>
      <c r="C1140" t="s">
        <v>410</v>
      </c>
      <c r="D1140">
        <v>1</v>
      </c>
      <c r="E1140">
        <v>1942</v>
      </c>
      <c r="F1140" t="s">
        <v>4817</v>
      </c>
      <c r="G1140" t="s">
        <v>4817</v>
      </c>
      <c r="H1140">
        <v>1428934</v>
      </c>
      <c r="I1140">
        <v>0</v>
      </c>
      <c r="J1140">
        <v>0</v>
      </c>
      <c r="K1140">
        <v>0</v>
      </c>
      <c r="L1140">
        <v>0</v>
      </c>
      <c r="M1140">
        <v>599</v>
      </c>
    </row>
    <row r="1141" spans="1:13" ht="15">
      <c r="A1141" t="s">
        <v>3541</v>
      </c>
      <c r="B1141" s="1040" t="str">
        <f>CONCATENATE(LEFT(RIGHT(CONCATENATE("000",IFAData_TEA_1819!A1141),6),3),"-",(RIGHT(RIGHT(CONCATENATE("000",IFAData_TEA_1819!A1141),6),3)))</f>
        <v>101-914</v>
      </c>
      <c r="C1141" t="s">
        <v>410</v>
      </c>
      <c r="D1141">
        <v>1</v>
      </c>
      <c r="E1141">
        <v>1942</v>
      </c>
      <c r="F1141" t="s">
        <v>4817</v>
      </c>
      <c r="G1141" t="s">
        <v>4818</v>
      </c>
      <c r="H1141">
        <v>1428934</v>
      </c>
      <c r="I1141">
        <v>1937252</v>
      </c>
      <c r="J1141">
        <v>1</v>
      </c>
      <c r="K1141">
        <v>1428934</v>
      </c>
      <c r="L1141">
        <v>1428934</v>
      </c>
      <c r="M1141">
        <v>599</v>
      </c>
    </row>
    <row r="1142" spans="1:13" ht="15">
      <c r="A1142" t="s">
        <v>3541</v>
      </c>
      <c r="B1142" s="1040" t="str">
        <f>CONCATENATE(LEFT(RIGHT(CONCATENATE("000",IFAData_TEA_1819!A1142),6),3),"-",(RIGHT(RIGHT(CONCATENATE("000",IFAData_TEA_1819!A1142),6),3)))</f>
        <v>101-914</v>
      </c>
      <c r="C1142" t="s">
        <v>410</v>
      </c>
      <c r="D1142">
        <v>1</v>
      </c>
      <c r="E1142">
        <v>1943</v>
      </c>
      <c r="F1142" t="s">
        <v>4819</v>
      </c>
      <c r="G1142" t="s">
        <v>4819</v>
      </c>
      <c r="H1142">
        <v>1506643</v>
      </c>
      <c r="I1142">
        <v>0</v>
      </c>
      <c r="J1142">
        <v>0</v>
      </c>
      <c r="K1142"/>
      <c r="L1142">
        <v>0</v>
      </c>
      <c r="M1142">
        <v>599</v>
      </c>
    </row>
    <row r="1143" spans="1:13" ht="15">
      <c r="A1143" t="s">
        <v>3541</v>
      </c>
      <c r="B1143" s="1040" t="str">
        <f>CONCATENATE(LEFT(RIGHT(CONCATENATE("000",IFAData_TEA_1819!A1143),6),3),"-",(RIGHT(RIGHT(CONCATENATE("000",IFAData_TEA_1819!A1143),6),3)))</f>
        <v>101-914</v>
      </c>
      <c r="C1143" t="s">
        <v>410</v>
      </c>
      <c r="D1143">
        <v>2</v>
      </c>
      <c r="E1143">
        <v>1944</v>
      </c>
      <c r="F1143" t="s">
        <v>4821</v>
      </c>
      <c r="G1143" t="s">
        <v>4821</v>
      </c>
      <c r="H1143">
        <v>1987951</v>
      </c>
      <c r="I1143">
        <v>0</v>
      </c>
      <c r="J1143">
        <v>0</v>
      </c>
      <c r="K1143">
        <v>0</v>
      </c>
      <c r="L1143">
        <v>0</v>
      </c>
      <c r="M1143">
        <v>599</v>
      </c>
    </row>
    <row r="1144" spans="1:13" ht="15">
      <c r="A1144" t="s">
        <v>3541</v>
      </c>
      <c r="B1144" s="1040" t="str">
        <f>CONCATENATE(LEFT(RIGHT(CONCATENATE("000",IFAData_TEA_1819!A1144),6),3),"-",(RIGHT(RIGHT(CONCATENATE("000",IFAData_TEA_1819!A1144),6),3)))</f>
        <v>101-914</v>
      </c>
      <c r="C1144" t="s">
        <v>410</v>
      </c>
      <c r="D1144">
        <v>2</v>
      </c>
      <c r="E1144">
        <v>1944</v>
      </c>
      <c r="F1144" t="s">
        <v>4821</v>
      </c>
      <c r="G1144" t="s">
        <v>4820</v>
      </c>
      <c r="H1144">
        <v>1987951</v>
      </c>
      <c r="I1144">
        <v>0</v>
      </c>
      <c r="J1144">
        <v>0</v>
      </c>
      <c r="K1144">
        <v>0</v>
      </c>
      <c r="L1144">
        <v>0</v>
      </c>
      <c r="M1144">
        <v>599</v>
      </c>
    </row>
    <row r="1145" spans="1:13" ht="15">
      <c r="A1145" t="s">
        <v>3541</v>
      </c>
      <c r="B1145" s="1040" t="str">
        <f>CONCATENATE(LEFT(RIGHT(CONCATENATE("000",IFAData_TEA_1819!A1145),6),3),"-",(RIGHT(RIGHT(CONCATENATE("000",IFAData_TEA_1819!A1145),6),3)))</f>
        <v>101-914</v>
      </c>
      <c r="C1145" t="s">
        <v>410</v>
      </c>
      <c r="D1145">
        <v>2</v>
      </c>
      <c r="E1145">
        <v>1944</v>
      </c>
      <c r="F1145" t="s">
        <v>4821</v>
      </c>
      <c r="G1145" t="s">
        <v>4818</v>
      </c>
      <c r="H1145">
        <v>1987951</v>
      </c>
      <c r="I1145">
        <v>866343</v>
      </c>
      <c r="J1145">
        <v>0.41859497643315602</v>
      </c>
      <c r="K1145">
        <v>832146.30199526995</v>
      </c>
      <c r="L1145">
        <v>832146.30199526995</v>
      </c>
      <c r="M1145">
        <v>599</v>
      </c>
    </row>
    <row r="1146" spans="1:13" ht="15">
      <c r="A1146" t="s">
        <v>3541</v>
      </c>
      <c r="B1146" s="1040" t="str">
        <f>CONCATENATE(LEFT(RIGHT(CONCATENATE("000",IFAData_TEA_1819!A1146),6),3),"-",(RIGHT(RIGHT(CONCATENATE("000",IFAData_TEA_1819!A1146),6),3)))</f>
        <v>101-914</v>
      </c>
      <c r="C1146" t="s">
        <v>410</v>
      </c>
      <c r="D1146">
        <v>2</v>
      </c>
      <c r="E1146">
        <v>1944</v>
      </c>
      <c r="F1146" t="s">
        <v>4821</v>
      </c>
      <c r="G1146" t="s">
        <v>6257</v>
      </c>
      <c r="H1146">
        <v>1987951</v>
      </c>
      <c r="I1146">
        <v>1203302</v>
      </c>
      <c r="J1146">
        <v>0.58140502356684398</v>
      </c>
      <c r="K1146">
        <v>1155804.69800473</v>
      </c>
      <c r="L1146">
        <v>1155804.69800473</v>
      </c>
      <c r="M1146">
        <v>599</v>
      </c>
    </row>
    <row r="1147" spans="1:13" ht="15">
      <c r="A1147" t="s">
        <v>3541</v>
      </c>
      <c r="B1147" s="1040" t="str">
        <f>CONCATENATE(LEFT(RIGHT(CONCATENATE("000",IFAData_TEA_1819!A1147),6),3),"-",(RIGHT(RIGHT(CONCATENATE("000",IFAData_TEA_1819!A1147),6),3)))</f>
        <v>101-914</v>
      </c>
      <c r="C1147" t="s">
        <v>410</v>
      </c>
      <c r="D1147">
        <v>9</v>
      </c>
      <c r="E1147">
        <v>1945</v>
      </c>
      <c r="F1147" t="s">
        <v>4822</v>
      </c>
      <c r="G1147" t="s">
        <v>4822</v>
      </c>
      <c r="H1147">
        <v>5681065</v>
      </c>
      <c r="I1147">
        <v>0</v>
      </c>
      <c r="J1147">
        <v>0</v>
      </c>
      <c r="K1147">
        <v>0</v>
      </c>
      <c r="L1147">
        <v>0</v>
      </c>
      <c r="M1147">
        <v>599</v>
      </c>
    </row>
    <row r="1148" spans="1:13" ht="15">
      <c r="A1148" t="s">
        <v>3541</v>
      </c>
      <c r="B1148" s="1040" t="str">
        <f>CONCATENATE(LEFT(RIGHT(CONCATENATE("000",IFAData_TEA_1819!A1148),6),3),"-",(RIGHT(RIGHT(CONCATENATE("000",IFAData_TEA_1819!A1148),6),3)))</f>
        <v>101-914</v>
      </c>
      <c r="C1148" t="s">
        <v>410</v>
      </c>
      <c r="D1148">
        <v>9</v>
      </c>
      <c r="E1148">
        <v>1945</v>
      </c>
      <c r="F1148" t="s">
        <v>4822</v>
      </c>
      <c r="G1148" t="s">
        <v>6258</v>
      </c>
      <c r="H1148">
        <v>5681065</v>
      </c>
      <c r="I1148">
        <v>2969768</v>
      </c>
      <c r="J1148">
        <v>1</v>
      </c>
      <c r="K1148">
        <v>5681065</v>
      </c>
      <c r="L1148">
        <v>2969768</v>
      </c>
      <c r="M1148">
        <v>599</v>
      </c>
    </row>
    <row r="1149" spans="1:13" ht="15">
      <c r="A1149" t="s">
        <v>3541</v>
      </c>
      <c r="B1149" s="1040" t="str">
        <f>CONCATENATE(LEFT(RIGHT(CONCATENATE("000",IFAData_TEA_1819!A1149),6),3),"-",(RIGHT(RIGHT(CONCATENATE("000",IFAData_TEA_1819!A1149),6),3)))</f>
        <v>101-914</v>
      </c>
      <c r="C1149" t="s">
        <v>410</v>
      </c>
      <c r="D1149">
        <v>9</v>
      </c>
      <c r="E1149">
        <v>1946</v>
      </c>
      <c r="F1149" t="s">
        <v>4823</v>
      </c>
      <c r="G1149" t="s">
        <v>4823</v>
      </c>
      <c r="H1149">
        <v>5902797</v>
      </c>
      <c r="I1149">
        <v>4017878</v>
      </c>
      <c r="J1149">
        <v>0.63801746804496196</v>
      </c>
      <c r="K1149">
        <v>3766087.5963233998</v>
      </c>
      <c r="L1149">
        <v>3766087.5963233998</v>
      </c>
      <c r="M1149">
        <v>599</v>
      </c>
    </row>
    <row r="1150" spans="1:13" ht="15">
      <c r="A1150" t="s">
        <v>3541</v>
      </c>
      <c r="B1150" s="1040" t="str">
        <f>CONCATENATE(LEFT(RIGHT(CONCATENATE("000",IFAData_TEA_1819!A1150),6),3),"-",(RIGHT(RIGHT(CONCATENATE("000",IFAData_TEA_1819!A1150),6),3)))</f>
        <v>101-914</v>
      </c>
      <c r="C1150" t="s">
        <v>410</v>
      </c>
      <c r="D1150">
        <v>9</v>
      </c>
      <c r="E1150">
        <v>1946</v>
      </c>
      <c r="F1150" t="s">
        <v>4823</v>
      </c>
      <c r="G1150" t="s">
        <v>6258</v>
      </c>
      <c r="H1150">
        <v>5902797</v>
      </c>
      <c r="I1150">
        <v>1134005</v>
      </c>
      <c r="J1150">
        <v>0.180073909374632</v>
      </c>
      <c r="K1150">
        <v>1062939.7320348499</v>
      </c>
      <c r="L1150">
        <v>1062939.7320348499</v>
      </c>
      <c r="M1150">
        <v>599</v>
      </c>
    </row>
    <row r="1151" spans="1:13" ht="15">
      <c r="A1151" t="s">
        <v>3541</v>
      </c>
      <c r="B1151" s="1040" t="str">
        <f>CONCATENATE(LEFT(RIGHT(CONCATENATE("000",IFAData_TEA_1819!A1151),6),3),"-",(RIGHT(RIGHT(CONCATENATE("000",IFAData_TEA_1819!A1151),6),3)))</f>
        <v>101-914</v>
      </c>
      <c r="C1151" t="s">
        <v>410</v>
      </c>
      <c r="D1151">
        <v>9</v>
      </c>
      <c r="E1151">
        <v>1946</v>
      </c>
      <c r="F1151" t="s">
        <v>4823</v>
      </c>
      <c r="G1151" t="s">
        <v>6259</v>
      </c>
      <c r="H1151">
        <v>5902797</v>
      </c>
      <c r="I1151">
        <v>585202</v>
      </c>
      <c r="J1151">
        <v>9.2926937635948101E-2</v>
      </c>
      <c r="K1151">
        <v>548528.84869666095</v>
      </c>
      <c r="L1151">
        <v>548528.84869666095</v>
      </c>
      <c r="M1151">
        <v>599</v>
      </c>
    </row>
    <row r="1152" spans="1:13" ht="15">
      <c r="A1152" t="s">
        <v>3541</v>
      </c>
      <c r="B1152" s="1040" t="str">
        <f>CONCATENATE(LEFT(RIGHT(CONCATENATE("000",IFAData_TEA_1819!A1152),6),3),"-",(RIGHT(RIGHT(CONCATENATE("000",IFAData_TEA_1819!A1152),6),3)))</f>
        <v>101-914</v>
      </c>
      <c r="C1152" t="s">
        <v>410</v>
      </c>
      <c r="D1152">
        <v>9</v>
      </c>
      <c r="E1152">
        <v>1946</v>
      </c>
      <c r="F1152" t="s">
        <v>4823</v>
      </c>
      <c r="G1152" t="s">
        <v>6471</v>
      </c>
      <c r="H1152">
        <v>5902797</v>
      </c>
      <c r="I1152">
        <v>560357</v>
      </c>
      <c r="J1152">
        <v>8.8981684944458406E-2</v>
      </c>
      <c r="K1152">
        <v>525240.82294509397</v>
      </c>
      <c r="L1152">
        <v>525240.82294509397</v>
      </c>
      <c r="M1152">
        <v>599</v>
      </c>
    </row>
    <row r="1153" spans="1:13" ht="15">
      <c r="A1153" t="s">
        <v>3541</v>
      </c>
      <c r="B1153" s="1040" t="str">
        <f>CONCATENATE(LEFT(RIGHT(CONCATENATE("000",IFAData_TEA_1819!A1153),6),3),"-",(RIGHT(RIGHT(CONCATENATE("000",IFAData_TEA_1819!A1153),6),3)))</f>
        <v>101-914</v>
      </c>
      <c r="C1153" t="s">
        <v>410</v>
      </c>
      <c r="D1153">
        <v>9</v>
      </c>
      <c r="E1153">
        <v>1941</v>
      </c>
      <c r="F1153" t="s">
        <v>4824</v>
      </c>
      <c r="G1153" t="s">
        <v>4824</v>
      </c>
      <c r="H1153">
        <v>212152</v>
      </c>
      <c r="I1153">
        <v>282009</v>
      </c>
      <c r="J1153">
        <v>0.44221861210511298</v>
      </c>
      <c r="K1153">
        <v>93817.562995323897</v>
      </c>
      <c r="L1153">
        <v>93817.562995323897</v>
      </c>
      <c r="M1153">
        <v>599</v>
      </c>
    </row>
    <row r="1154" spans="1:13" ht="15">
      <c r="A1154" t="s">
        <v>3541</v>
      </c>
      <c r="B1154" s="1040" t="str">
        <f>CONCATENATE(LEFT(RIGHT(CONCATENATE("000",IFAData_TEA_1819!A1154),6),3),"-",(RIGHT(RIGHT(CONCATENATE("000",IFAData_TEA_1819!A1154),6),3)))</f>
        <v>101-914</v>
      </c>
      <c r="C1154" t="s">
        <v>410</v>
      </c>
      <c r="D1154">
        <v>9</v>
      </c>
      <c r="E1154">
        <v>1941</v>
      </c>
      <c r="F1154" t="s">
        <v>4824</v>
      </c>
      <c r="G1154" t="s">
        <v>6259</v>
      </c>
      <c r="H1154">
        <v>212152</v>
      </c>
      <c r="I1154">
        <v>217169</v>
      </c>
      <c r="J1154">
        <v>0.34054293931135299</v>
      </c>
      <c r="K1154">
        <v>72246.865660782103</v>
      </c>
      <c r="L1154">
        <v>72246.865660782103</v>
      </c>
      <c r="M1154">
        <v>599</v>
      </c>
    </row>
    <row r="1155" spans="1:13" ht="15">
      <c r="A1155" t="s">
        <v>3541</v>
      </c>
      <c r="B1155" s="1040" t="str">
        <f>CONCATENATE(LEFT(RIGHT(CONCATENATE("000",IFAData_TEA_1819!A1155),6),3),"-",(RIGHT(RIGHT(CONCATENATE("000",IFAData_TEA_1819!A1155),6),3)))</f>
        <v>101-914</v>
      </c>
      <c r="C1155" t="s">
        <v>410</v>
      </c>
      <c r="D1155">
        <v>9</v>
      </c>
      <c r="E1155">
        <v>1941</v>
      </c>
      <c r="F1155" t="s">
        <v>4824</v>
      </c>
      <c r="G1155" t="s">
        <v>6471</v>
      </c>
      <c r="H1155">
        <v>212152</v>
      </c>
      <c r="I1155">
        <v>138536</v>
      </c>
      <c r="J1155">
        <v>0.217238448583534</v>
      </c>
      <c r="K1155">
        <v>46087.571343894</v>
      </c>
      <c r="L1155">
        <v>46087.571343894</v>
      </c>
      <c r="M1155">
        <v>599</v>
      </c>
    </row>
    <row r="1156" spans="1:13" ht="15">
      <c r="A1156" t="s">
        <v>3542</v>
      </c>
      <c r="B1156" s="1040" t="str">
        <f>CONCATENATE(LEFT(RIGHT(CONCATENATE("000",IFAData_TEA_1819!A1156),6),3),"-",(RIGHT(RIGHT(CONCATENATE("000",IFAData_TEA_1819!A1156),6),3)))</f>
        <v>101-915</v>
      </c>
      <c r="C1156" t="s">
        <v>2585</v>
      </c>
      <c r="D1156">
        <v>1</v>
      </c>
      <c r="E1156">
        <v>1963</v>
      </c>
      <c r="F1156" t="s">
        <v>4825</v>
      </c>
      <c r="G1156" t="s">
        <v>4825</v>
      </c>
      <c r="H1156">
        <v>282821</v>
      </c>
      <c r="I1156">
        <v>0</v>
      </c>
      <c r="J1156">
        <v>0</v>
      </c>
      <c r="K1156"/>
      <c r="L1156">
        <v>0</v>
      </c>
      <c r="M1156">
        <v>599</v>
      </c>
    </row>
    <row r="1157" spans="1:13" ht="15">
      <c r="A1157" t="s">
        <v>3542</v>
      </c>
      <c r="B1157" s="1040" t="str">
        <f>CONCATENATE(LEFT(RIGHT(CONCATENATE("000",IFAData_TEA_1819!A1157),6),3),"-",(RIGHT(RIGHT(CONCATENATE("000",IFAData_TEA_1819!A1157),6),3)))</f>
        <v>101-915</v>
      </c>
      <c r="C1157" t="s">
        <v>2585</v>
      </c>
      <c r="D1157">
        <v>2</v>
      </c>
      <c r="E1157">
        <v>1965</v>
      </c>
      <c r="F1157" t="s">
        <v>4827</v>
      </c>
      <c r="G1157" t="s">
        <v>4827</v>
      </c>
      <c r="H1157">
        <v>1172621</v>
      </c>
      <c r="I1157">
        <v>0</v>
      </c>
      <c r="J1157">
        <v>0</v>
      </c>
      <c r="K1157"/>
      <c r="L1157">
        <v>0</v>
      </c>
      <c r="M1157">
        <v>599</v>
      </c>
    </row>
    <row r="1158" spans="1:13" ht="15">
      <c r="A1158" t="s">
        <v>3542</v>
      </c>
      <c r="B1158" s="1040" t="str">
        <f>CONCATENATE(LEFT(RIGHT(CONCATENATE("000",IFAData_TEA_1819!A1158),6),3),"-",(RIGHT(RIGHT(CONCATENATE("000",IFAData_TEA_1819!A1158),6),3)))</f>
        <v>101-915</v>
      </c>
      <c r="C1158" t="s">
        <v>2585</v>
      </c>
      <c r="D1158">
        <v>6</v>
      </c>
      <c r="E1158">
        <v>1966</v>
      </c>
      <c r="F1158" t="s">
        <v>4829</v>
      </c>
      <c r="G1158" t="s">
        <v>4829</v>
      </c>
      <c r="H1158">
        <v>2380705</v>
      </c>
      <c r="I1158">
        <v>0</v>
      </c>
      <c r="J1158">
        <v>0</v>
      </c>
      <c r="K1158">
        <v>0</v>
      </c>
      <c r="L1158">
        <v>0</v>
      </c>
      <c r="M1158">
        <v>599</v>
      </c>
    </row>
    <row r="1159" spans="1:13" ht="15">
      <c r="A1159" t="s">
        <v>3542</v>
      </c>
      <c r="B1159" s="1040" t="str">
        <f>CONCATENATE(LEFT(RIGHT(CONCATENATE("000",IFAData_TEA_1819!A1159),6),3),"-",(RIGHT(RIGHT(CONCATENATE("000",IFAData_TEA_1819!A1159),6),3)))</f>
        <v>101-915</v>
      </c>
      <c r="C1159" t="s">
        <v>2585</v>
      </c>
      <c r="D1159">
        <v>6</v>
      </c>
      <c r="E1159">
        <v>1966</v>
      </c>
      <c r="F1159" t="s">
        <v>4829</v>
      </c>
      <c r="G1159" t="s">
        <v>4826</v>
      </c>
      <c r="H1159">
        <v>2380705</v>
      </c>
      <c r="I1159">
        <v>0</v>
      </c>
      <c r="J1159">
        <v>0</v>
      </c>
      <c r="K1159">
        <v>0</v>
      </c>
      <c r="L1159">
        <v>0</v>
      </c>
      <c r="M1159">
        <v>599</v>
      </c>
    </row>
    <row r="1160" spans="1:13" ht="15">
      <c r="A1160" t="s">
        <v>3542</v>
      </c>
      <c r="B1160" s="1040" t="str">
        <f>CONCATENATE(LEFT(RIGHT(CONCATENATE("000",IFAData_TEA_1819!A1160),6),3),"-",(RIGHT(RIGHT(CONCATENATE("000",IFAData_TEA_1819!A1160),6),3)))</f>
        <v>101-915</v>
      </c>
      <c r="C1160" t="s">
        <v>2585</v>
      </c>
      <c r="D1160">
        <v>6</v>
      </c>
      <c r="E1160">
        <v>1966</v>
      </c>
      <c r="F1160" t="s">
        <v>4829</v>
      </c>
      <c r="G1160" t="s">
        <v>4830</v>
      </c>
      <c r="H1160">
        <v>2380705</v>
      </c>
      <c r="I1160">
        <v>0</v>
      </c>
      <c r="J1160">
        <v>0</v>
      </c>
      <c r="K1160">
        <v>0</v>
      </c>
      <c r="L1160">
        <v>0</v>
      </c>
      <c r="M1160">
        <v>599</v>
      </c>
    </row>
    <row r="1161" spans="1:13" ht="15">
      <c r="A1161" t="s">
        <v>3542</v>
      </c>
      <c r="B1161" s="1040" t="str">
        <f>CONCATENATE(LEFT(RIGHT(CONCATENATE("000",IFAData_TEA_1819!A1161),6),3),"-",(RIGHT(RIGHT(CONCATENATE("000",IFAData_TEA_1819!A1161),6),3)))</f>
        <v>101-915</v>
      </c>
      <c r="C1161" t="s">
        <v>2585</v>
      </c>
      <c r="D1161">
        <v>6</v>
      </c>
      <c r="E1161">
        <v>1966</v>
      </c>
      <c r="F1161" t="s">
        <v>4829</v>
      </c>
      <c r="G1161" t="s">
        <v>4831</v>
      </c>
      <c r="H1161">
        <v>2380705</v>
      </c>
      <c r="I1161">
        <v>1286174</v>
      </c>
      <c r="J1161">
        <v>0.77342635643997804</v>
      </c>
      <c r="K1161">
        <v>1841299.99390844</v>
      </c>
      <c r="L1161">
        <v>1286174</v>
      </c>
      <c r="M1161">
        <v>599</v>
      </c>
    </row>
    <row r="1162" spans="1:13" ht="15">
      <c r="A1162" t="s">
        <v>3542</v>
      </c>
      <c r="B1162" s="1040" t="str">
        <f>CONCATENATE(LEFT(RIGHT(CONCATENATE("000",IFAData_TEA_1819!A1162),6),3),"-",(RIGHT(RIGHT(CONCATENATE("000",IFAData_TEA_1819!A1162),6),3)))</f>
        <v>101-915</v>
      </c>
      <c r="C1162" t="s">
        <v>2585</v>
      </c>
      <c r="D1162">
        <v>6</v>
      </c>
      <c r="E1162">
        <v>1966</v>
      </c>
      <c r="F1162" t="s">
        <v>4829</v>
      </c>
      <c r="G1162" t="s">
        <v>6260</v>
      </c>
      <c r="H1162">
        <v>2380705</v>
      </c>
      <c r="I1162">
        <v>204291</v>
      </c>
      <c r="J1162">
        <v>0.122848109029944</v>
      </c>
      <c r="K1162">
        <v>292465.10740813299</v>
      </c>
      <c r="L1162">
        <v>204291</v>
      </c>
      <c r="M1162">
        <v>599</v>
      </c>
    </row>
    <row r="1163" spans="1:13" ht="15">
      <c r="A1163" t="s">
        <v>3542</v>
      </c>
      <c r="B1163" s="1040" t="str">
        <f>CONCATENATE(LEFT(RIGHT(CONCATENATE("000",IFAData_TEA_1819!A1163),6),3),"-",(RIGHT(RIGHT(CONCATENATE("000",IFAData_TEA_1819!A1163),6),3)))</f>
        <v>101-915</v>
      </c>
      <c r="C1163" t="s">
        <v>2585</v>
      </c>
      <c r="D1163">
        <v>6</v>
      </c>
      <c r="E1163">
        <v>1966</v>
      </c>
      <c r="F1163" t="s">
        <v>4829</v>
      </c>
      <c r="G1163" t="s">
        <v>6472</v>
      </c>
      <c r="H1163">
        <v>2380705</v>
      </c>
      <c r="I1163">
        <v>172491</v>
      </c>
      <c r="J1163">
        <v>0.103725534530078</v>
      </c>
      <c r="K1163">
        <v>246939.898683429</v>
      </c>
      <c r="L1163">
        <v>172491</v>
      </c>
      <c r="M1163">
        <v>599</v>
      </c>
    </row>
    <row r="1164" spans="1:13" ht="15">
      <c r="A1164" t="s">
        <v>3542</v>
      </c>
      <c r="B1164" s="1040" t="str">
        <f>CONCATENATE(LEFT(RIGHT(CONCATENATE("000",IFAData_TEA_1819!A1164),6),3),"-",(RIGHT(RIGHT(CONCATENATE("000",IFAData_TEA_1819!A1164),6),3)))</f>
        <v>101-915</v>
      </c>
      <c r="C1164" t="s">
        <v>2585</v>
      </c>
      <c r="D1164">
        <v>9</v>
      </c>
      <c r="E1164">
        <v>1964</v>
      </c>
      <c r="F1164" t="s">
        <v>4832</v>
      </c>
      <c r="G1164" t="s">
        <v>4832</v>
      </c>
      <c r="H1164">
        <v>1083584</v>
      </c>
      <c r="I1164">
        <v>0</v>
      </c>
      <c r="J1164">
        <v>0</v>
      </c>
      <c r="K1164">
        <v>0</v>
      </c>
      <c r="L1164">
        <v>0</v>
      </c>
      <c r="M1164">
        <v>599</v>
      </c>
    </row>
    <row r="1165" spans="1:13" ht="15">
      <c r="A1165" t="s">
        <v>3542</v>
      </c>
      <c r="B1165" s="1040" t="str">
        <f>CONCATENATE(LEFT(RIGHT(CONCATENATE("000",IFAData_TEA_1819!A1165),6),3),"-",(RIGHT(RIGHT(CONCATENATE("000",IFAData_TEA_1819!A1165),6),3)))</f>
        <v>101-915</v>
      </c>
      <c r="C1165" t="s">
        <v>2585</v>
      </c>
      <c r="D1165">
        <v>9</v>
      </c>
      <c r="E1165">
        <v>1964</v>
      </c>
      <c r="F1165" t="s">
        <v>4832</v>
      </c>
      <c r="G1165" t="s">
        <v>6260</v>
      </c>
      <c r="H1165">
        <v>1083584</v>
      </c>
      <c r="I1165">
        <v>277877</v>
      </c>
      <c r="J1165">
        <v>0.37106817456470298</v>
      </c>
      <c r="K1165">
        <v>402083.53686751903</v>
      </c>
      <c r="L1165">
        <v>277877</v>
      </c>
      <c r="M1165">
        <v>599</v>
      </c>
    </row>
    <row r="1166" spans="1:13" ht="15">
      <c r="A1166" t="s">
        <v>3542</v>
      </c>
      <c r="B1166" s="1040" t="str">
        <f>CONCATENATE(LEFT(RIGHT(CONCATENATE("000",IFAData_TEA_1819!A1166),6),3),"-",(RIGHT(RIGHT(CONCATENATE("000",IFAData_TEA_1819!A1166),6),3)))</f>
        <v>101-915</v>
      </c>
      <c r="C1166" t="s">
        <v>2585</v>
      </c>
      <c r="D1166">
        <v>9</v>
      </c>
      <c r="E1166">
        <v>1964</v>
      </c>
      <c r="F1166" t="s">
        <v>4832</v>
      </c>
      <c r="G1166" t="s">
        <v>6472</v>
      </c>
      <c r="H1166">
        <v>1083584</v>
      </c>
      <c r="I1166">
        <v>470980</v>
      </c>
      <c r="J1166">
        <v>0.62893182543529702</v>
      </c>
      <c r="K1166">
        <v>681500.46313248097</v>
      </c>
      <c r="L1166">
        <v>470980</v>
      </c>
      <c r="M1166">
        <v>599</v>
      </c>
    </row>
    <row r="1167" spans="1:13" ht="15">
      <c r="A1167" t="s">
        <v>3542</v>
      </c>
      <c r="B1167" s="1040" t="str">
        <f>CONCATENATE(LEFT(RIGHT(CONCATENATE("000",IFAData_TEA_1819!A1167),6),3),"-",(RIGHT(RIGHT(CONCATENATE("000",IFAData_TEA_1819!A1167),6),3)))</f>
        <v>101-915</v>
      </c>
      <c r="C1167" t="s">
        <v>2585</v>
      </c>
      <c r="D1167">
        <v>9</v>
      </c>
      <c r="E1167">
        <v>1968</v>
      </c>
      <c r="F1167" t="s">
        <v>4830</v>
      </c>
      <c r="G1167" t="s">
        <v>4830</v>
      </c>
      <c r="H1167">
        <v>8267781</v>
      </c>
      <c r="I1167">
        <v>8839232</v>
      </c>
      <c r="J1167">
        <v>0.58231301121511103</v>
      </c>
      <c r="K1167">
        <v>4814436.45017708</v>
      </c>
      <c r="L1167">
        <v>4814436.45017708</v>
      </c>
      <c r="M1167">
        <v>599</v>
      </c>
    </row>
    <row r="1168" spans="1:13" ht="15">
      <c r="A1168" t="s">
        <v>3542</v>
      </c>
      <c r="B1168" s="1040" t="str">
        <f>CONCATENATE(LEFT(RIGHT(CONCATENATE("000",IFAData_TEA_1819!A1168),6),3),"-",(RIGHT(RIGHT(CONCATENATE("000",IFAData_TEA_1819!A1168),6),3)))</f>
        <v>101-915</v>
      </c>
      <c r="C1168" t="s">
        <v>2585</v>
      </c>
      <c r="D1168">
        <v>9</v>
      </c>
      <c r="E1168">
        <v>1968</v>
      </c>
      <c r="F1168" t="s">
        <v>4830</v>
      </c>
      <c r="G1168" t="s">
        <v>6260</v>
      </c>
      <c r="H1168">
        <v>8267781</v>
      </c>
      <c r="I1168">
        <v>1256085</v>
      </c>
      <c r="J1168">
        <v>8.2748663989375207E-2</v>
      </c>
      <c r="K1168">
        <v>684147.83190673997</v>
      </c>
      <c r="L1168">
        <v>684147.83190673997</v>
      </c>
      <c r="M1168">
        <v>599</v>
      </c>
    </row>
    <row r="1169" spans="1:13" ht="15">
      <c r="A1169" t="s">
        <v>3542</v>
      </c>
      <c r="B1169" s="1040" t="str">
        <f>CONCATENATE(LEFT(RIGHT(CONCATENATE("000",IFAData_TEA_1819!A1169),6),3),"-",(RIGHT(RIGHT(CONCATENATE("000",IFAData_TEA_1819!A1169),6),3)))</f>
        <v>101-915</v>
      </c>
      <c r="C1169" t="s">
        <v>2585</v>
      </c>
      <c r="D1169">
        <v>9</v>
      </c>
      <c r="E1169">
        <v>1968</v>
      </c>
      <c r="F1169" t="s">
        <v>4830</v>
      </c>
      <c r="G1169" t="s">
        <v>6472</v>
      </c>
      <c r="H1169">
        <v>8267781</v>
      </c>
      <c r="I1169">
        <v>5084203</v>
      </c>
      <c r="J1169">
        <v>0.334938324795514</v>
      </c>
      <c r="K1169">
        <v>2769196.7179161799</v>
      </c>
      <c r="L1169">
        <v>2769196.7179161799</v>
      </c>
      <c r="M1169">
        <v>599</v>
      </c>
    </row>
    <row r="1170" spans="1:13" ht="15">
      <c r="A1170" t="s">
        <v>3542</v>
      </c>
      <c r="B1170" s="1040" t="str">
        <f>CONCATENATE(LEFT(RIGHT(CONCATENATE("000",IFAData_TEA_1819!A1170),6),3),"-",(RIGHT(RIGHT(CONCATENATE("000",IFAData_TEA_1819!A1170),6),3)))</f>
        <v>101-915</v>
      </c>
      <c r="C1170" t="s">
        <v>2585</v>
      </c>
      <c r="D1170">
        <v>10</v>
      </c>
      <c r="E1170">
        <v>1967</v>
      </c>
      <c r="F1170" t="s">
        <v>4833</v>
      </c>
      <c r="G1170" t="s">
        <v>4833</v>
      </c>
      <c r="H1170">
        <v>3671148</v>
      </c>
      <c r="I1170">
        <v>2936917</v>
      </c>
      <c r="J1170">
        <v>1</v>
      </c>
      <c r="K1170">
        <v>3671148</v>
      </c>
      <c r="L1170">
        <v>2936917</v>
      </c>
      <c r="M1170">
        <v>599</v>
      </c>
    </row>
    <row r="1171" spans="1:13" ht="15">
      <c r="A1171" t="s">
        <v>3543</v>
      </c>
      <c r="B1171" s="1040" t="str">
        <f>CONCATENATE(LEFT(RIGHT(CONCATENATE("000",IFAData_TEA_1819!A1171),6),3),"-",(RIGHT(RIGHT(CONCATENATE("000",IFAData_TEA_1819!A1171),6),3)))</f>
        <v>101-917</v>
      </c>
      <c r="C1171" t="s">
        <v>272</v>
      </c>
      <c r="D1171">
        <v>2</v>
      </c>
      <c r="E1171">
        <v>2178</v>
      </c>
      <c r="F1171" t="s">
        <v>4834</v>
      </c>
      <c r="G1171" t="s">
        <v>4834</v>
      </c>
      <c r="H1171">
        <v>1635967</v>
      </c>
      <c r="I1171">
        <v>0</v>
      </c>
      <c r="J1171">
        <v>0</v>
      </c>
      <c r="K1171"/>
      <c r="L1171">
        <v>0</v>
      </c>
      <c r="M1171">
        <v>599</v>
      </c>
    </row>
    <row r="1172" spans="1:13" ht="15">
      <c r="A1172" t="s">
        <v>3543</v>
      </c>
      <c r="B1172" s="1040" t="str">
        <f>CONCATENATE(LEFT(RIGHT(CONCATENATE("000",IFAData_TEA_1819!A1172),6),3),"-",(RIGHT(RIGHT(CONCATENATE("000",IFAData_TEA_1819!A1172),6),3)))</f>
        <v>101-917</v>
      </c>
      <c r="C1172" t="s">
        <v>272</v>
      </c>
      <c r="D1172">
        <v>6</v>
      </c>
      <c r="E1172">
        <v>2179</v>
      </c>
      <c r="F1172" t="s">
        <v>4837</v>
      </c>
      <c r="G1172" t="s">
        <v>4837</v>
      </c>
      <c r="H1172">
        <v>7578719</v>
      </c>
      <c r="I1172">
        <v>0</v>
      </c>
      <c r="J1172">
        <v>0</v>
      </c>
      <c r="K1172">
        <v>0</v>
      </c>
      <c r="L1172">
        <v>0</v>
      </c>
      <c r="M1172">
        <v>599</v>
      </c>
    </row>
    <row r="1173" spans="1:13" ht="15">
      <c r="A1173" t="s">
        <v>3543</v>
      </c>
      <c r="B1173" s="1040" t="str">
        <f>CONCATENATE(LEFT(RIGHT(CONCATENATE("000",IFAData_TEA_1819!A1173),6),3),"-",(RIGHT(RIGHT(CONCATENATE("000",IFAData_TEA_1819!A1173),6),3)))</f>
        <v>101-917</v>
      </c>
      <c r="C1173" t="s">
        <v>272</v>
      </c>
      <c r="D1173">
        <v>6</v>
      </c>
      <c r="E1173">
        <v>2179</v>
      </c>
      <c r="F1173" t="s">
        <v>4837</v>
      </c>
      <c r="G1173" t="s">
        <v>4838</v>
      </c>
      <c r="H1173">
        <v>7578719</v>
      </c>
      <c r="I1173">
        <v>0</v>
      </c>
      <c r="J1173">
        <v>0</v>
      </c>
      <c r="K1173">
        <v>0</v>
      </c>
      <c r="L1173">
        <v>0</v>
      </c>
      <c r="M1173">
        <v>599</v>
      </c>
    </row>
    <row r="1174" spans="1:13" ht="15">
      <c r="A1174" t="s">
        <v>3543</v>
      </c>
      <c r="B1174" s="1040" t="str">
        <f>CONCATENATE(LEFT(RIGHT(CONCATENATE("000",IFAData_TEA_1819!A1174),6),3),"-",(RIGHT(RIGHT(CONCATENATE("000",IFAData_TEA_1819!A1174),6),3)))</f>
        <v>101-917</v>
      </c>
      <c r="C1174" t="s">
        <v>272</v>
      </c>
      <c r="D1174">
        <v>6</v>
      </c>
      <c r="E1174">
        <v>2179</v>
      </c>
      <c r="F1174" t="s">
        <v>4837</v>
      </c>
      <c r="G1174" t="s">
        <v>4839</v>
      </c>
      <c r="H1174">
        <v>7578719</v>
      </c>
      <c r="I1174">
        <v>2055367</v>
      </c>
      <c r="J1174">
        <v>1</v>
      </c>
      <c r="K1174">
        <v>7578719</v>
      </c>
      <c r="L1174">
        <v>2055367</v>
      </c>
      <c r="M1174">
        <v>599</v>
      </c>
    </row>
    <row r="1175" spans="1:13" ht="15">
      <c r="A1175" t="s">
        <v>3543</v>
      </c>
      <c r="B1175" s="1040" t="str">
        <f>CONCATENATE(LEFT(RIGHT(CONCATENATE("000",IFAData_TEA_1819!A1175),6),3),"-",(RIGHT(RIGHT(CONCATENATE("000",IFAData_TEA_1819!A1175),6),3)))</f>
        <v>101-917</v>
      </c>
      <c r="C1175" t="s">
        <v>272</v>
      </c>
      <c r="D1175">
        <v>11</v>
      </c>
      <c r="E1175">
        <v>2509</v>
      </c>
      <c r="F1175" t="s">
        <v>8402</v>
      </c>
      <c r="G1175" t="s">
        <v>8402</v>
      </c>
      <c r="H1175">
        <v>1860980</v>
      </c>
      <c r="I1175">
        <v>1857797</v>
      </c>
      <c r="J1175">
        <v>1</v>
      </c>
      <c r="K1175">
        <v>1860980</v>
      </c>
      <c r="L1175">
        <v>1857797</v>
      </c>
      <c r="M1175">
        <v>599</v>
      </c>
    </row>
    <row r="1176" spans="1:13" ht="15">
      <c r="A1176" t="s">
        <v>3543</v>
      </c>
      <c r="B1176" s="1040" t="str">
        <f>CONCATENATE(LEFT(RIGHT(CONCATENATE("000",IFAData_TEA_1819!A1176),6),3),"-",(RIGHT(RIGHT(CONCATENATE("000",IFAData_TEA_1819!A1176),6),3)))</f>
        <v>101-917</v>
      </c>
      <c r="C1176" t="s">
        <v>272</v>
      </c>
      <c r="D1176">
        <v>11</v>
      </c>
      <c r="E1176">
        <v>2508</v>
      </c>
      <c r="F1176" t="s">
        <v>8403</v>
      </c>
      <c r="G1176" t="s">
        <v>8403</v>
      </c>
      <c r="H1176">
        <v>8143242</v>
      </c>
      <c r="I1176">
        <v>5032117</v>
      </c>
      <c r="J1176">
        <v>1</v>
      </c>
      <c r="K1176">
        <v>8143242</v>
      </c>
      <c r="L1176">
        <v>5032117</v>
      </c>
      <c r="M1176">
        <v>599</v>
      </c>
    </row>
    <row r="1177" spans="1:13" ht="15">
      <c r="A1177" t="s">
        <v>3544</v>
      </c>
      <c r="B1177" s="1040" t="str">
        <f>CONCATENATE(LEFT(RIGHT(CONCATENATE("000",IFAData_TEA_1819!A1177),6),3),"-",(RIGHT(RIGHT(CONCATENATE("000",IFAData_TEA_1819!A1177),6),3)))</f>
        <v>101-925</v>
      </c>
      <c r="C1177" t="s">
        <v>2383</v>
      </c>
      <c r="D1177">
        <v>5</v>
      </c>
      <c r="E1177">
        <v>1912</v>
      </c>
      <c r="F1177" t="s">
        <v>4840</v>
      </c>
      <c r="G1177" t="s">
        <v>4840</v>
      </c>
      <c r="H1177">
        <v>409219</v>
      </c>
      <c r="I1177">
        <v>0</v>
      </c>
      <c r="J1177">
        <v>0</v>
      </c>
      <c r="K1177">
        <v>0</v>
      </c>
      <c r="L1177">
        <v>0</v>
      </c>
      <c r="M1177">
        <v>599</v>
      </c>
    </row>
    <row r="1178" spans="1:13" ht="15">
      <c r="A1178" t="s">
        <v>3544</v>
      </c>
      <c r="B1178" s="1040" t="str">
        <f>CONCATENATE(LEFT(RIGHT(CONCATENATE("000",IFAData_TEA_1819!A1178),6),3),"-",(RIGHT(RIGHT(CONCATENATE("000",IFAData_TEA_1819!A1178),6),3)))</f>
        <v>101-925</v>
      </c>
      <c r="C1178" t="s">
        <v>2383</v>
      </c>
      <c r="D1178">
        <v>5</v>
      </c>
      <c r="E1178">
        <v>1912</v>
      </c>
      <c r="F1178" t="s">
        <v>4840</v>
      </c>
      <c r="G1178" t="s">
        <v>4841</v>
      </c>
      <c r="H1178">
        <v>409219</v>
      </c>
      <c r="I1178">
        <v>0</v>
      </c>
      <c r="J1178">
        <v>0</v>
      </c>
      <c r="K1178">
        <v>0</v>
      </c>
      <c r="L1178">
        <v>0</v>
      </c>
      <c r="M1178">
        <v>599</v>
      </c>
    </row>
    <row r="1179" spans="1:13" ht="15">
      <c r="A1179" t="s">
        <v>3544</v>
      </c>
      <c r="B1179" s="1040" t="str">
        <f>CONCATENATE(LEFT(RIGHT(CONCATENATE("000",IFAData_TEA_1819!A1179),6),3),"-",(RIGHT(RIGHT(CONCATENATE("000",IFAData_TEA_1819!A1179),6),3)))</f>
        <v>101-925</v>
      </c>
      <c r="C1179" t="s">
        <v>2383</v>
      </c>
      <c r="D1179">
        <v>5</v>
      </c>
      <c r="E1179">
        <v>1912</v>
      </c>
      <c r="F1179" t="s">
        <v>4840</v>
      </c>
      <c r="G1179" t="s">
        <v>4842</v>
      </c>
      <c r="H1179">
        <v>409219</v>
      </c>
      <c r="I1179">
        <v>414742</v>
      </c>
      <c r="J1179">
        <v>1</v>
      </c>
      <c r="K1179">
        <v>409219</v>
      </c>
      <c r="L1179">
        <v>409219</v>
      </c>
      <c r="M1179">
        <v>599</v>
      </c>
    </row>
    <row r="1180" spans="1:13" ht="15">
      <c r="A1180" t="s">
        <v>3544</v>
      </c>
      <c r="B1180" s="1040" t="str">
        <f>CONCATENATE(LEFT(RIGHT(CONCATENATE("000",IFAData_TEA_1819!A1180),6),3),"-",(RIGHT(RIGHT(CONCATENATE("000",IFAData_TEA_1819!A1180),6),3)))</f>
        <v>101-925</v>
      </c>
      <c r="C1180" t="s">
        <v>2383</v>
      </c>
      <c r="D1180">
        <v>5</v>
      </c>
      <c r="E1180">
        <v>1911</v>
      </c>
      <c r="F1180" t="s">
        <v>4843</v>
      </c>
      <c r="G1180" t="s">
        <v>4843</v>
      </c>
      <c r="H1180">
        <v>189309</v>
      </c>
      <c r="I1180">
        <v>0</v>
      </c>
      <c r="J1180">
        <v>0</v>
      </c>
      <c r="K1180">
        <v>0</v>
      </c>
      <c r="L1180">
        <v>0</v>
      </c>
      <c r="M1180">
        <v>599</v>
      </c>
    </row>
    <row r="1181" spans="1:13" ht="15">
      <c r="A1181" t="s">
        <v>3544</v>
      </c>
      <c r="B1181" s="1040" t="str">
        <f>CONCATENATE(LEFT(RIGHT(CONCATENATE("000",IFAData_TEA_1819!A1181),6),3),"-",(RIGHT(RIGHT(CONCATENATE("000",IFAData_TEA_1819!A1181),6),3)))</f>
        <v>101-925</v>
      </c>
      <c r="C1181" t="s">
        <v>2383</v>
      </c>
      <c r="D1181">
        <v>5</v>
      </c>
      <c r="E1181">
        <v>1911</v>
      </c>
      <c r="F1181" t="s">
        <v>4843</v>
      </c>
      <c r="G1181" t="s">
        <v>4844</v>
      </c>
      <c r="H1181">
        <v>189309</v>
      </c>
      <c r="I1181">
        <v>0</v>
      </c>
      <c r="J1181">
        <v>0</v>
      </c>
      <c r="K1181">
        <v>0</v>
      </c>
      <c r="L1181">
        <v>0</v>
      </c>
      <c r="M1181">
        <v>599</v>
      </c>
    </row>
    <row r="1182" spans="1:13" ht="15">
      <c r="A1182" t="s">
        <v>3544</v>
      </c>
      <c r="B1182" s="1040" t="str">
        <f>CONCATENATE(LEFT(RIGHT(CONCATENATE("000",IFAData_TEA_1819!A1182),6),3),"-",(RIGHT(RIGHT(CONCATENATE("000",IFAData_TEA_1819!A1182),6),3)))</f>
        <v>101-925</v>
      </c>
      <c r="C1182" t="s">
        <v>2383</v>
      </c>
      <c r="D1182">
        <v>5</v>
      </c>
      <c r="E1182">
        <v>1911</v>
      </c>
      <c r="F1182" t="s">
        <v>4843</v>
      </c>
      <c r="G1182" t="s">
        <v>8404</v>
      </c>
      <c r="H1182">
        <v>189309</v>
      </c>
      <c r="I1182">
        <v>285273</v>
      </c>
      <c r="J1182">
        <v>1</v>
      </c>
      <c r="K1182">
        <v>189309</v>
      </c>
      <c r="L1182">
        <v>189309</v>
      </c>
      <c r="M1182">
        <v>599</v>
      </c>
    </row>
    <row r="1183" spans="1:13" ht="15">
      <c r="A1183" t="s">
        <v>3544</v>
      </c>
      <c r="B1183" s="1040" t="str">
        <f>CONCATENATE(LEFT(RIGHT(CONCATENATE("000",IFAData_TEA_1819!A1183),6),3),"-",(RIGHT(RIGHT(CONCATENATE("000",IFAData_TEA_1819!A1183),6),3)))</f>
        <v>101-925</v>
      </c>
      <c r="C1183" t="s">
        <v>2383</v>
      </c>
      <c r="D1183">
        <v>11</v>
      </c>
      <c r="E1183">
        <v>2535</v>
      </c>
      <c r="F1183" t="s">
        <v>8405</v>
      </c>
      <c r="G1183" t="s">
        <v>8405</v>
      </c>
      <c r="H1183">
        <v>212723</v>
      </c>
      <c r="I1183">
        <v>235632</v>
      </c>
      <c r="J1183">
        <v>1</v>
      </c>
      <c r="K1183">
        <v>212723</v>
      </c>
      <c r="L1183">
        <v>212723</v>
      </c>
      <c r="M1183">
        <v>599</v>
      </c>
    </row>
    <row r="1184" spans="1:13" ht="15">
      <c r="A1184" t="s">
        <v>3545</v>
      </c>
      <c r="B1184" s="1040" t="str">
        <f>CONCATENATE(LEFT(RIGHT(CONCATENATE("000",IFAData_TEA_1819!A1184),6),3),"-",(RIGHT(RIGHT(CONCATENATE("000",IFAData_TEA_1819!A1184),6),3)))</f>
        <v>104-901</v>
      </c>
      <c r="C1184" t="s">
        <v>828</v>
      </c>
      <c r="D1184">
        <v>6</v>
      </c>
      <c r="E1184">
        <v>1875</v>
      </c>
      <c r="F1184" t="s">
        <v>4845</v>
      </c>
      <c r="G1184" t="s">
        <v>4845</v>
      </c>
      <c r="H1184">
        <v>90011</v>
      </c>
      <c r="I1184">
        <v>0</v>
      </c>
      <c r="J1184">
        <v>0</v>
      </c>
      <c r="K1184">
        <v>0</v>
      </c>
      <c r="L1184">
        <v>0</v>
      </c>
      <c r="M1184">
        <v>599</v>
      </c>
    </row>
    <row r="1185" spans="1:13" ht="15">
      <c r="A1185" t="s">
        <v>3545</v>
      </c>
      <c r="B1185" s="1040" t="str">
        <f>CONCATENATE(LEFT(RIGHT(CONCATENATE("000",IFAData_TEA_1819!A1185),6),3),"-",(RIGHT(RIGHT(CONCATENATE("000",IFAData_TEA_1819!A1185),6),3)))</f>
        <v>104-901</v>
      </c>
      <c r="C1185" t="s">
        <v>828</v>
      </c>
      <c r="D1185">
        <v>6</v>
      </c>
      <c r="E1185">
        <v>1875</v>
      </c>
      <c r="F1185" t="s">
        <v>4845</v>
      </c>
      <c r="G1185" t="s">
        <v>4846</v>
      </c>
      <c r="H1185">
        <v>90011</v>
      </c>
      <c r="I1185">
        <v>82920</v>
      </c>
      <c r="J1185">
        <v>1</v>
      </c>
      <c r="K1185">
        <v>90011</v>
      </c>
      <c r="L1185">
        <v>82920</v>
      </c>
      <c r="M1185">
        <v>599</v>
      </c>
    </row>
    <row r="1186" spans="1:13" ht="15">
      <c r="A1186" t="s">
        <v>3546</v>
      </c>
      <c r="B1186" s="1040" t="str">
        <f>CONCATENATE(LEFT(RIGHT(CONCATENATE("000",IFAData_TEA_1819!A1186),6),3),"-",(RIGHT(RIGHT(CONCATENATE("000",IFAData_TEA_1819!A1186),6),3)))</f>
        <v>105-904</v>
      </c>
      <c r="C1186" t="s">
        <v>1061</v>
      </c>
      <c r="D1186">
        <v>1</v>
      </c>
      <c r="E1186">
        <v>1771</v>
      </c>
      <c r="F1186" t="s">
        <v>4847</v>
      </c>
      <c r="G1186" t="s">
        <v>4847</v>
      </c>
      <c r="H1186">
        <v>687500</v>
      </c>
      <c r="I1186">
        <v>0</v>
      </c>
      <c r="J1186">
        <v>0</v>
      </c>
      <c r="K1186">
        <v>0</v>
      </c>
      <c r="L1186">
        <v>0</v>
      </c>
      <c r="M1186">
        <v>599</v>
      </c>
    </row>
    <row r="1187" spans="1:13" ht="15">
      <c r="A1187" t="s">
        <v>3546</v>
      </c>
      <c r="B1187" s="1040" t="str">
        <f>CONCATENATE(LEFT(RIGHT(CONCATENATE("000",IFAData_TEA_1819!A1187),6),3),"-",(RIGHT(RIGHT(CONCATENATE("000",IFAData_TEA_1819!A1187),6),3)))</f>
        <v>105-904</v>
      </c>
      <c r="C1187" t="s">
        <v>1061</v>
      </c>
      <c r="D1187">
        <v>1</v>
      </c>
      <c r="E1187">
        <v>1771</v>
      </c>
      <c r="F1187" t="s">
        <v>4847</v>
      </c>
      <c r="G1187" t="s">
        <v>4848</v>
      </c>
      <c r="H1187">
        <v>687500</v>
      </c>
      <c r="I1187">
        <v>0</v>
      </c>
      <c r="J1187">
        <v>0</v>
      </c>
      <c r="K1187">
        <v>0</v>
      </c>
      <c r="L1187">
        <v>0</v>
      </c>
      <c r="M1187">
        <v>599</v>
      </c>
    </row>
    <row r="1188" spans="1:13" ht="15">
      <c r="A1188" t="s">
        <v>3546</v>
      </c>
      <c r="B1188" s="1040" t="str">
        <f>CONCATENATE(LEFT(RIGHT(CONCATENATE("000",IFAData_TEA_1819!A1188),6),3),"-",(RIGHT(RIGHT(CONCATENATE("000",IFAData_TEA_1819!A1188),6),3)))</f>
        <v>105-904</v>
      </c>
      <c r="C1188" t="s">
        <v>1061</v>
      </c>
      <c r="D1188">
        <v>1</v>
      </c>
      <c r="E1188">
        <v>1771</v>
      </c>
      <c r="F1188" t="s">
        <v>4847</v>
      </c>
      <c r="G1188" t="s">
        <v>6261</v>
      </c>
      <c r="H1188">
        <v>687500</v>
      </c>
      <c r="I1188">
        <v>303728</v>
      </c>
      <c r="J1188">
        <v>1</v>
      </c>
      <c r="K1188">
        <v>687500</v>
      </c>
      <c r="L1188">
        <v>303728</v>
      </c>
      <c r="M1188">
        <v>599</v>
      </c>
    </row>
    <row r="1189" spans="1:13" ht="15">
      <c r="A1189" t="s">
        <v>3547</v>
      </c>
      <c r="B1189" s="1040" t="str">
        <f>CONCATENATE(LEFT(RIGHT(CONCATENATE("000",IFAData_TEA_1819!A1189),6),3),"-",(RIGHT(RIGHT(CONCATENATE("000",IFAData_TEA_1819!A1189),6),3)))</f>
        <v>105-906</v>
      </c>
      <c r="C1189" t="s">
        <v>35</v>
      </c>
      <c r="D1189">
        <v>1</v>
      </c>
      <c r="E1189">
        <v>1876</v>
      </c>
      <c r="F1189" t="s">
        <v>4849</v>
      </c>
      <c r="G1189" t="s">
        <v>4849</v>
      </c>
      <c r="H1189">
        <v>1147081</v>
      </c>
      <c r="I1189">
        <v>0</v>
      </c>
      <c r="J1189">
        <v>0</v>
      </c>
      <c r="K1189">
        <v>0</v>
      </c>
      <c r="L1189">
        <v>0</v>
      </c>
      <c r="M1189">
        <v>599</v>
      </c>
    </row>
    <row r="1190" spans="1:13" ht="15">
      <c r="A1190" t="s">
        <v>3547</v>
      </c>
      <c r="B1190" s="1040" t="str">
        <f>CONCATENATE(LEFT(RIGHT(CONCATENATE("000",IFAData_TEA_1819!A1190),6),3),"-",(RIGHT(RIGHT(CONCATENATE("000",IFAData_TEA_1819!A1190),6),3)))</f>
        <v>105-906</v>
      </c>
      <c r="C1190" t="s">
        <v>35</v>
      </c>
      <c r="D1190">
        <v>1</v>
      </c>
      <c r="E1190">
        <v>1876</v>
      </c>
      <c r="F1190" t="s">
        <v>4849</v>
      </c>
      <c r="G1190" t="s">
        <v>4850</v>
      </c>
      <c r="H1190">
        <v>1147081</v>
      </c>
      <c r="I1190">
        <v>0</v>
      </c>
      <c r="J1190">
        <v>0</v>
      </c>
      <c r="K1190">
        <v>0</v>
      </c>
      <c r="L1190">
        <v>0</v>
      </c>
      <c r="M1190">
        <v>599</v>
      </c>
    </row>
    <row r="1191" spans="1:13" ht="15">
      <c r="A1191" t="s">
        <v>3547</v>
      </c>
      <c r="B1191" s="1040" t="str">
        <f>CONCATENATE(LEFT(RIGHT(CONCATENATE("000",IFAData_TEA_1819!A1191),6),3),"-",(RIGHT(RIGHT(CONCATENATE("000",IFAData_TEA_1819!A1191),6),3)))</f>
        <v>105-906</v>
      </c>
      <c r="C1191" t="s">
        <v>35</v>
      </c>
      <c r="D1191">
        <v>1</v>
      </c>
      <c r="E1191">
        <v>1876</v>
      </c>
      <c r="F1191" t="s">
        <v>4849</v>
      </c>
      <c r="G1191" t="s">
        <v>4851</v>
      </c>
      <c r="H1191">
        <v>1147081</v>
      </c>
      <c r="I1191">
        <v>1600822</v>
      </c>
      <c r="J1191">
        <v>1</v>
      </c>
      <c r="K1191">
        <v>1147081</v>
      </c>
      <c r="L1191">
        <v>1147081</v>
      </c>
      <c r="M1191">
        <v>599</v>
      </c>
    </row>
    <row r="1192" spans="1:13" ht="15">
      <c r="A1192" t="s">
        <v>3547</v>
      </c>
      <c r="B1192" s="1040" t="str">
        <f>CONCATENATE(LEFT(RIGHT(CONCATENATE("000",IFAData_TEA_1819!A1192),6),3),"-",(RIGHT(RIGHT(CONCATENATE("000",IFAData_TEA_1819!A1192),6),3)))</f>
        <v>105-906</v>
      </c>
      <c r="C1192" t="s">
        <v>35</v>
      </c>
      <c r="D1192">
        <v>5</v>
      </c>
      <c r="E1192">
        <v>1879</v>
      </c>
      <c r="F1192" t="s">
        <v>4852</v>
      </c>
      <c r="G1192" t="s">
        <v>4852</v>
      </c>
      <c r="H1192">
        <v>1891253</v>
      </c>
      <c r="I1192">
        <v>0</v>
      </c>
      <c r="J1192">
        <v>0</v>
      </c>
      <c r="K1192">
        <v>0</v>
      </c>
      <c r="L1192">
        <v>0</v>
      </c>
      <c r="M1192">
        <v>599</v>
      </c>
    </row>
    <row r="1193" spans="1:13" ht="15">
      <c r="A1193" t="s">
        <v>3547</v>
      </c>
      <c r="B1193" s="1040" t="str">
        <f>CONCATENATE(LEFT(RIGHT(CONCATENATE("000",IFAData_TEA_1819!A1193),6),3),"-",(RIGHT(RIGHT(CONCATENATE("000",IFAData_TEA_1819!A1193),6),3)))</f>
        <v>105-906</v>
      </c>
      <c r="C1193" t="s">
        <v>35</v>
      </c>
      <c r="D1193">
        <v>5</v>
      </c>
      <c r="E1193">
        <v>1879</v>
      </c>
      <c r="F1193" t="s">
        <v>4852</v>
      </c>
      <c r="G1193" t="s">
        <v>4853</v>
      </c>
      <c r="H1193">
        <v>1891253</v>
      </c>
      <c r="I1193">
        <v>0</v>
      </c>
      <c r="J1193">
        <v>0</v>
      </c>
      <c r="K1193">
        <v>0</v>
      </c>
      <c r="L1193">
        <v>0</v>
      </c>
      <c r="M1193">
        <v>599</v>
      </c>
    </row>
    <row r="1194" spans="1:13" ht="15">
      <c r="A1194" t="s">
        <v>3547</v>
      </c>
      <c r="B1194" s="1040" t="str">
        <f>CONCATENATE(LEFT(RIGHT(CONCATENATE("000",IFAData_TEA_1819!A1194),6),3),"-",(RIGHT(RIGHT(CONCATENATE("000",IFAData_TEA_1819!A1194),6),3)))</f>
        <v>105-906</v>
      </c>
      <c r="C1194" t="s">
        <v>35</v>
      </c>
      <c r="D1194">
        <v>5</v>
      </c>
      <c r="E1194">
        <v>1879</v>
      </c>
      <c r="F1194" t="s">
        <v>4852</v>
      </c>
      <c r="G1194" t="s">
        <v>4850</v>
      </c>
      <c r="H1194">
        <v>1891253</v>
      </c>
      <c r="I1194">
        <v>0</v>
      </c>
      <c r="J1194">
        <v>0</v>
      </c>
      <c r="K1194">
        <v>0</v>
      </c>
      <c r="L1194">
        <v>0</v>
      </c>
      <c r="M1194">
        <v>599</v>
      </c>
    </row>
    <row r="1195" spans="1:13" ht="15">
      <c r="A1195" t="s">
        <v>3547</v>
      </c>
      <c r="B1195" s="1040" t="str">
        <f>CONCATENATE(LEFT(RIGHT(CONCATENATE("000",IFAData_TEA_1819!A1195),6),3),"-",(RIGHT(RIGHT(CONCATENATE("000",IFAData_TEA_1819!A1195),6),3)))</f>
        <v>105-906</v>
      </c>
      <c r="C1195" t="s">
        <v>35</v>
      </c>
      <c r="D1195">
        <v>5</v>
      </c>
      <c r="E1195">
        <v>1879</v>
      </c>
      <c r="F1195" t="s">
        <v>4852</v>
      </c>
      <c r="G1195" t="s">
        <v>4854</v>
      </c>
      <c r="H1195">
        <v>1891253</v>
      </c>
      <c r="I1195">
        <v>0</v>
      </c>
      <c r="J1195">
        <v>0</v>
      </c>
      <c r="K1195">
        <v>0</v>
      </c>
      <c r="L1195">
        <v>0</v>
      </c>
      <c r="M1195">
        <v>599</v>
      </c>
    </row>
    <row r="1196" spans="1:13" ht="15">
      <c r="A1196" t="s">
        <v>3547</v>
      </c>
      <c r="B1196" s="1040" t="str">
        <f>CONCATENATE(LEFT(RIGHT(CONCATENATE("000",IFAData_TEA_1819!A1196),6),3),"-",(RIGHT(RIGHT(CONCATENATE("000",IFAData_TEA_1819!A1196),6),3)))</f>
        <v>105-906</v>
      </c>
      <c r="C1196" t="s">
        <v>35</v>
      </c>
      <c r="D1196">
        <v>5</v>
      </c>
      <c r="E1196">
        <v>1879</v>
      </c>
      <c r="F1196" t="s">
        <v>4852</v>
      </c>
      <c r="G1196" t="s">
        <v>4855</v>
      </c>
      <c r="H1196">
        <v>1891253</v>
      </c>
      <c r="I1196">
        <v>0</v>
      </c>
      <c r="J1196">
        <v>0</v>
      </c>
      <c r="K1196">
        <v>0</v>
      </c>
      <c r="L1196">
        <v>0</v>
      </c>
      <c r="M1196">
        <v>599</v>
      </c>
    </row>
    <row r="1197" spans="1:13" ht="15">
      <c r="A1197" t="s">
        <v>3547</v>
      </c>
      <c r="B1197" s="1040" t="str">
        <f>CONCATENATE(LEFT(RIGHT(CONCATENATE("000",IFAData_TEA_1819!A1197),6),3),"-",(RIGHT(RIGHT(CONCATENATE("000",IFAData_TEA_1819!A1197),6),3)))</f>
        <v>105-906</v>
      </c>
      <c r="C1197" t="s">
        <v>35</v>
      </c>
      <c r="D1197">
        <v>5</v>
      </c>
      <c r="E1197">
        <v>1879</v>
      </c>
      <c r="F1197" t="s">
        <v>4852</v>
      </c>
      <c r="G1197" t="s">
        <v>4851</v>
      </c>
      <c r="H1197">
        <v>1891253</v>
      </c>
      <c r="I1197">
        <v>5953279</v>
      </c>
      <c r="J1197">
        <v>1</v>
      </c>
      <c r="K1197">
        <v>1891253</v>
      </c>
      <c r="L1197">
        <v>1891253</v>
      </c>
      <c r="M1197">
        <v>599</v>
      </c>
    </row>
    <row r="1198" spans="1:13" ht="15">
      <c r="A1198" t="s">
        <v>3547</v>
      </c>
      <c r="B1198" s="1040" t="str">
        <f>CONCATENATE(LEFT(RIGHT(CONCATENATE("000",IFAData_TEA_1819!A1198),6),3),"-",(RIGHT(RIGHT(CONCATENATE("000",IFAData_TEA_1819!A1198),6),3)))</f>
        <v>105-906</v>
      </c>
      <c r="C1198" t="s">
        <v>35</v>
      </c>
      <c r="D1198">
        <v>5</v>
      </c>
      <c r="E1198">
        <v>1879</v>
      </c>
      <c r="F1198" t="s">
        <v>4852</v>
      </c>
      <c r="G1198" t="s">
        <v>4856</v>
      </c>
      <c r="H1198">
        <v>1891253</v>
      </c>
      <c r="I1198">
        <v>0</v>
      </c>
      <c r="J1198">
        <v>0</v>
      </c>
      <c r="K1198">
        <v>0</v>
      </c>
      <c r="L1198">
        <v>0</v>
      </c>
      <c r="M1198">
        <v>599</v>
      </c>
    </row>
    <row r="1199" spans="1:13" ht="15">
      <c r="A1199" t="s">
        <v>3547</v>
      </c>
      <c r="B1199" s="1040" t="str">
        <f>CONCATENATE(LEFT(RIGHT(CONCATENATE("000",IFAData_TEA_1819!A1199),6),3),"-",(RIGHT(RIGHT(CONCATENATE("000",IFAData_TEA_1819!A1199),6),3)))</f>
        <v>105-906</v>
      </c>
      <c r="C1199" t="s">
        <v>35</v>
      </c>
      <c r="D1199">
        <v>9</v>
      </c>
      <c r="E1199">
        <v>1878</v>
      </c>
      <c r="F1199" t="s">
        <v>4857</v>
      </c>
      <c r="G1199" t="s">
        <v>4857</v>
      </c>
      <c r="H1199">
        <v>1795685</v>
      </c>
      <c r="I1199">
        <v>310768</v>
      </c>
      <c r="J1199">
        <v>0.26223156047219998</v>
      </c>
      <c r="K1199">
        <v>470885.27966652298</v>
      </c>
      <c r="L1199">
        <v>310768</v>
      </c>
      <c r="M1199">
        <v>599</v>
      </c>
    </row>
    <row r="1200" spans="1:13" ht="15">
      <c r="A1200" t="s">
        <v>3547</v>
      </c>
      <c r="B1200" s="1040" t="str">
        <f>CONCATENATE(LEFT(RIGHT(CONCATENATE("000",IFAData_TEA_1819!A1200),6),3),"-",(RIGHT(RIGHT(CONCATENATE("000",IFAData_TEA_1819!A1200),6),3)))</f>
        <v>105-906</v>
      </c>
      <c r="C1200" t="s">
        <v>35</v>
      </c>
      <c r="D1200">
        <v>9</v>
      </c>
      <c r="E1200">
        <v>1878</v>
      </c>
      <c r="F1200" t="s">
        <v>4857</v>
      </c>
      <c r="G1200" t="s">
        <v>4856</v>
      </c>
      <c r="H1200">
        <v>1795685</v>
      </c>
      <c r="I1200">
        <v>70609</v>
      </c>
      <c r="J1200">
        <v>5.9581128859411497E-2</v>
      </c>
      <c r="K1200">
        <v>106988.939375912</v>
      </c>
      <c r="L1200">
        <v>70609</v>
      </c>
      <c r="M1200">
        <v>599</v>
      </c>
    </row>
    <row r="1201" spans="1:13" ht="15">
      <c r="A1201" t="s">
        <v>3547</v>
      </c>
      <c r="B1201" s="1040" t="str">
        <f>CONCATENATE(LEFT(RIGHT(CONCATENATE("000",IFAData_TEA_1819!A1201),6),3),"-",(RIGHT(RIGHT(CONCATENATE("000",IFAData_TEA_1819!A1201),6),3)))</f>
        <v>105-906</v>
      </c>
      <c r="C1201" t="s">
        <v>35</v>
      </c>
      <c r="D1201">
        <v>9</v>
      </c>
      <c r="E1201">
        <v>1878</v>
      </c>
      <c r="F1201" t="s">
        <v>4857</v>
      </c>
      <c r="G1201" t="s">
        <v>6474</v>
      </c>
      <c r="H1201">
        <v>1795685</v>
      </c>
      <c r="I1201">
        <v>298209</v>
      </c>
      <c r="J1201">
        <v>0.25163405310989001</v>
      </c>
      <c r="K1201">
        <v>451855.49465863401</v>
      </c>
      <c r="L1201">
        <v>298209</v>
      </c>
      <c r="M1201">
        <v>599</v>
      </c>
    </row>
    <row r="1202" spans="1:13" ht="15">
      <c r="A1202" t="s">
        <v>3547</v>
      </c>
      <c r="B1202" s="1040" t="str">
        <f>CONCATENATE(LEFT(RIGHT(CONCATENATE("000",IFAData_TEA_1819!A1202),6),3),"-",(RIGHT(RIGHT(CONCATENATE("000",IFAData_TEA_1819!A1202),6),3)))</f>
        <v>105-906</v>
      </c>
      <c r="C1202" t="s">
        <v>35</v>
      </c>
      <c r="D1202">
        <v>9</v>
      </c>
      <c r="E1202">
        <v>1878</v>
      </c>
      <c r="F1202" t="s">
        <v>4857</v>
      </c>
      <c r="G1202" t="s">
        <v>6473</v>
      </c>
      <c r="H1202">
        <v>1795685</v>
      </c>
      <c r="I1202">
        <v>52053</v>
      </c>
      <c r="J1202">
        <v>4.3923246335721297E-2</v>
      </c>
      <c r="K1202">
        <v>78872.314596359807</v>
      </c>
      <c r="L1202">
        <v>52053</v>
      </c>
      <c r="M1202">
        <v>599</v>
      </c>
    </row>
    <row r="1203" spans="1:13" ht="15">
      <c r="A1203" t="s">
        <v>3547</v>
      </c>
      <c r="B1203" s="1040" t="str">
        <f>CONCATENATE(LEFT(RIGHT(CONCATENATE("000",IFAData_TEA_1819!A1203),6),3),"-",(RIGHT(RIGHT(CONCATENATE("000",IFAData_TEA_1819!A1203),6),3)))</f>
        <v>105-906</v>
      </c>
      <c r="C1203" t="s">
        <v>35</v>
      </c>
      <c r="D1203">
        <v>9</v>
      </c>
      <c r="E1203">
        <v>1878</v>
      </c>
      <c r="F1203" t="s">
        <v>4857</v>
      </c>
      <c r="G1203" t="s">
        <v>8533</v>
      </c>
      <c r="H1203">
        <v>1795685</v>
      </c>
      <c r="I1203">
        <v>453451</v>
      </c>
      <c r="J1203">
        <v>0.38263001122277601</v>
      </c>
      <c r="K1203">
        <v>687082.97170257103</v>
      </c>
      <c r="L1203">
        <v>453451</v>
      </c>
      <c r="M1203">
        <v>599</v>
      </c>
    </row>
    <row r="1204" spans="1:13" ht="15">
      <c r="A1204" t="s">
        <v>3547</v>
      </c>
      <c r="B1204" s="1040" t="str">
        <f>CONCATENATE(LEFT(RIGHT(CONCATENATE("000",IFAData_TEA_1819!A1204),6),3),"-",(RIGHT(RIGHT(CONCATENATE("000",IFAData_TEA_1819!A1204),6),3)))</f>
        <v>105-906</v>
      </c>
      <c r="C1204" t="s">
        <v>35</v>
      </c>
      <c r="D1204">
        <v>9</v>
      </c>
      <c r="E1204">
        <v>1877</v>
      </c>
      <c r="F1204" t="s">
        <v>4858</v>
      </c>
      <c r="G1204" t="s">
        <v>4858</v>
      </c>
      <c r="H1204">
        <v>1578006</v>
      </c>
      <c r="I1204">
        <v>0</v>
      </c>
      <c r="J1204">
        <v>0</v>
      </c>
      <c r="K1204">
        <v>0</v>
      </c>
      <c r="L1204">
        <v>0</v>
      </c>
      <c r="M1204">
        <v>599</v>
      </c>
    </row>
    <row r="1205" spans="1:13" ht="15">
      <c r="A1205" t="s">
        <v>3547</v>
      </c>
      <c r="B1205" s="1040" t="str">
        <f>CONCATENATE(LEFT(RIGHT(CONCATENATE("000",IFAData_TEA_1819!A1205),6),3),"-",(RIGHT(RIGHT(CONCATENATE("000",IFAData_TEA_1819!A1205),6),3)))</f>
        <v>105-906</v>
      </c>
      <c r="C1205" t="s">
        <v>35</v>
      </c>
      <c r="D1205">
        <v>9</v>
      </c>
      <c r="E1205">
        <v>1877</v>
      </c>
      <c r="F1205" t="s">
        <v>4858</v>
      </c>
      <c r="G1205" t="s">
        <v>6473</v>
      </c>
      <c r="H1205">
        <v>1578006</v>
      </c>
      <c r="I1205">
        <v>2075865</v>
      </c>
      <c r="J1205">
        <v>0.62909632436570295</v>
      </c>
      <c r="K1205">
        <v>992717.77442702604</v>
      </c>
      <c r="L1205">
        <v>992717.77442702604</v>
      </c>
      <c r="M1205">
        <v>599</v>
      </c>
    </row>
    <row r="1206" spans="1:13" ht="15">
      <c r="A1206" t="s">
        <v>3547</v>
      </c>
      <c r="B1206" s="1040" t="str">
        <f>CONCATENATE(LEFT(RIGHT(CONCATENATE("000",IFAData_TEA_1819!A1206),6),3),"-",(RIGHT(RIGHT(CONCATENATE("000",IFAData_TEA_1819!A1206),6),3)))</f>
        <v>105-906</v>
      </c>
      <c r="C1206" t="s">
        <v>35</v>
      </c>
      <c r="D1206">
        <v>9</v>
      </c>
      <c r="E1206">
        <v>1877</v>
      </c>
      <c r="F1206" t="s">
        <v>4858</v>
      </c>
      <c r="G1206" t="s">
        <v>8533</v>
      </c>
      <c r="H1206">
        <v>1578006</v>
      </c>
      <c r="I1206">
        <v>1223892</v>
      </c>
      <c r="J1206">
        <v>0.37090367563429699</v>
      </c>
      <c r="K1206">
        <v>585288.22557297396</v>
      </c>
      <c r="L1206">
        <v>585288.22557297396</v>
      </c>
      <c r="M1206">
        <v>599</v>
      </c>
    </row>
    <row r="1207" spans="1:13" ht="15">
      <c r="A1207" t="s">
        <v>5922</v>
      </c>
      <c r="B1207" s="1040" t="str">
        <f>CONCATENATE(LEFT(RIGHT(CONCATENATE("000",IFAData_TEA_1819!A1207),6),3),"-",(RIGHT(RIGHT(CONCATENATE("000",IFAData_TEA_1819!A1207),6),3)))</f>
        <v>107-902</v>
      </c>
      <c r="C1207" t="s">
        <v>1350</v>
      </c>
      <c r="D1207">
        <v>11</v>
      </c>
      <c r="E1207">
        <v>2513</v>
      </c>
      <c r="F1207" t="s">
        <v>8406</v>
      </c>
      <c r="G1207" t="s">
        <v>8406</v>
      </c>
      <c r="H1207">
        <v>640624</v>
      </c>
      <c r="I1207">
        <v>1497587</v>
      </c>
      <c r="J1207">
        <v>0.83585909043721096</v>
      </c>
      <c r="K1207">
        <v>535471.39395224804</v>
      </c>
      <c r="L1207">
        <v>535471.39395224804</v>
      </c>
      <c r="M1207">
        <v>599</v>
      </c>
    </row>
    <row r="1208" spans="1:13" ht="15">
      <c r="A1208" t="s">
        <v>5922</v>
      </c>
      <c r="B1208" s="1040" t="str">
        <f>CONCATENATE(LEFT(RIGHT(CONCATENATE("000",IFAData_TEA_1819!A1208),6),3),"-",(RIGHT(RIGHT(CONCATENATE("000",IFAData_TEA_1819!A1208),6),3)))</f>
        <v>107-902</v>
      </c>
      <c r="C1208" t="s">
        <v>1350</v>
      </c>
      <c r="D1208">
        <v>11</v>
      </c>
      <c r="E1208">
        <v>2513</v>
      </c>
      <c r="F1208" t="s">
        <v>8406</v>
      </c>
      <c r="G1208" t="s">
        <v>8407</v>
      </c>
      <c r="H1208">
        <v>640624</v>
      </c>
      <c r="I1208">
        <v>294087</v>
      </c>
      <c r="J1208">
        <v>0.16414090956278901</v>
      </c>
      <c r="K1208">
        <v>105152.60604775199</v>
      </c>
      <c r="L1208">
        <v>105152.60604775199</v>
      </c>
      <c r="M1208">
        <v>599</v>
      </c>
    </row>
    <row r="1209" spans="1:13" ht="15">
      <c r="A1209" t="s">
        <v>3548</v>
      </c>
      <c r="B1209" s="1040" t="str">
        <f>CONCATENATE(LEFT(RIGHT(CONCATENATE("000",IFAData_TEA_1819!A1209),6),3),"-",(RIGHT(RIGHT(CONCATENATE("000",IFAData_TEA_1819!A1209),6),3)))</f>
        <v>107-907</v>
      </c>
      <c r="C1209" t="s">
        <v>607</v>
      </c>
      <c r="D1209">
        <v>3</v>
      </c>
      <c r="E1209">
        <v>2401</v>
      </c>
      <c r="F1209" t="s">
        <v>4859</v>
      </c>
      <c r="G1209" t="s">
        <v>4859</v>
      </c>
      <c r="H1209">
        <v>68908</v>
      </c>
      <c r="I1209">
        <v>0</v>
      </c>
      <c r="J1209">
        <v>0</v>
      </c>
      <c r="K1209">
        <v>0</v>
      </c>
      <c r="L1209">
        <v>0</v>
      </c>
      <c r="M1209">
        <v>599</v>
      </c>
    </row>
    <row r="1210" spans="1:13" ht="15">
      <c r="A1210" t="s">
        <v>3548</v>
      </c>
      <c r="B1210" s="1040" t="str">
        <f>CONCATENATE(LEFT(RIGHT(CONCATENATE("000",IFAData_TEA_1819!A1210),6),3),"-",(RIGHT(RIGHT(CONCATENATE("000",IFAData_TEA_1819!A1210),6),3)))</f>
        <v>107-907</v>
      </c>
      <c r="C1210" t="s">
        <v>607</v>
      </c>
      <c r="D1210">
        <v>3</v>
      </c>
      <c r="E1210">
        <v>2401</v>
      </c>
      <c r="F1210" t="s">
        <v>4859</v>
      </c>
      <c r="G1210" t="s">
        <v>4860</v>
      </c>
      <c r="H1210">
        <v>68908</v>
      </c>
      <c r="I1210">
        <v>37902</v>
      </c>
      <c r="J1210">
        <v>1</v>
      </c>
      <c r="K1210">
        <v>68908</v>
      </c>
      <c r="L1210">
        <v>37902</v>
      </c>
      <c r="M1210">
        <v>599</v>
      </c>
    </row>
    <row r="1211" spans="1:13" ht="15">
      <c r="A1211" t="s">
        <v>4861</v>
      </c>
      <c r="B1211" s="1040" t="str">
        <f>CONCATENATE(LEFT(RIGHT(CONCATENATE("000",IFAData_TEA_1819!A1211),6),3),"-",(RIGHT(RIGHT(CONCATENATE("000",IFAData_TEA_1819!A1211),6),3)))</f>
        <v>107-908</v>
      </c>
      <c r="C1211" t="s">
        <v>2105</v>
      </c>
      <c r="D1211">
        <v>5</v>
      </c>
      <c r="E1211">
        <v>2124</v>
      </c>
      <c r="F1211" t="s">
        <v>4862</v>
      </c>
      <c r="G1211" t="s">
        <v>4862</v>
      </c>
      <c r="H1211">
        <v>100000</v>
      </c>
      <c r="I1211">
        <v>100400</v>
      </c>
      <c r="J1211">
        <v>1</v>
      </c>
      <c r="K1211">
        <v>100000</v>
      </c>
      <c r="L1211">
        <v>100000</v>
      </c>
      <c r="M1211">
        <v>199</v>
      </c>
    </row>
    <row r="1212" spans="1:13" ht="15">
      <c r="A1212" t="s">
        <v>3549</v>
      </c>
      <c r="B1212" s="1040" t="str">
        <f>CONCATENATE(LEFT(RIGHT(CONCATENATE("000",IFAData_TEA_1819!A1212),6),3),"-",(RIGHT(RIGHT(CONCATENATE("000",IFAData_TEA_1819!A1212),6),3)))</f>
        <v>108-902</v>
      </c>
      <c r="C1212" t="s">
        <v>32</v>
      </c>
      <c r="D1212">
        <v>2</v>
      </c>
      <c r="E1212">
        <v>1769</v>
      </c>
      <c r="F1212" t="s">
        <v>4863</v>
      </c>
      <c r="G1212" t="s">
        <v>4863</v>
      </c>
      <c r="H1212">
        <v>2278200</v>
      </c>
      <c r="I1212">
        <v>0</v>
      </c>
      <c r="J1212">
        <v>0</v>
      </c>
      <c r="K1212"/>
      <c r="L1212">
        <v>0</v>
      </c>
      <c r="M1212">
        <v>599</v>
      </c>
    </row>
    <row r="1213" spans="1:13" ht="15">
      <c r="A1213" t="s">
        <v>3549</v>
      </c>
      <c r="B1213" s="1040" t="str">
        <f>CONCATENATE(LEFT(RIGHT(CONCATENATE("000",IFAData_TEA_1819!A1213),6),3),"-",(RIGHT(RIGHT(CONCATENATE("000",IFAData_TEA_1819!A1213),6),3)))</f>
        <v>108-902</v>
      </c>
      <c r="C1213" t="s">
        <v>32</v>
      </c>
      <c r="D1213">
        <v>4</v>
      </c>
      <c r="E1213">
        <v>1768</v>
      </c>
      <c r="F1213" t="s">
        <v>4865</v>
      </c>
      <c r="G1213" t="s">
        <v>4865</v>
      </c>
      <c r="H1213">
        <v>2119597</v>
      </c>
      <c r="I1213">
        <v>0</v>
      </c>
      <c r="J1213">
        <v>0</v>
      </c>
      <c r="K1213">
        <v>0</v>
      </c>
      <c r="L1213">
        <v>0</v>
      </c>
      <c r="M1213">
        <v>599</v>
      </c>
    </row>
    <row r="1214" spans="1:13" ht="15">
      <c r="A1214" t="s">
        <v>3549</v>
      </c>
      <c r="B1214" s="1040" t="str">
        <f>CONCATENATE(LEFT(RIGHT(CONCATENATE("000",IFAData_TEA_1819!A1214),6),3),"-",(RIGHT(RIGHT(CONCATENATE("000",IFAData_TEA_1819!A1214),6),3)))</f>
        <v>108-902</v>
      </c>
      <c r="C1214" t="s">
        <v>32</v>
      </c>
      <c r="D1214">
        <v>4</v>
      </c>
      <c r="E1214">
        <v>1768</v>
      </c>
      <c r="F1214" t="s">
        <v>4865</v>
      </c>
      <c r="G1214" t="s">
        <v>4864</v>
      </c>
      <c r="H1214">
        <v>2119597</v>
      </c>
      <c r="I1214">
        <v>0</v>
      </c>
      <c r="J1214">
        <v>0</v>
      </c>
      <c r="K1214">
        <v>0</v>
      </c>
      <c r="L1214">
        <v>0</v>
      </c>
      <c r="M1214">
        <v>599</v>
      </c>
    </row>
    <row r="1215" spans="1:13" ht="15">
      <c r="A1215" t="s">
        <v>3549</v>
      </c>
      <c r="B1215" s="1040" t="str">
        <f>CONCATENATE(LEFT(RIGHT(CONCATENATE("000",IFAData_TEA_1819!A1215),6),3),"-",(RIGHT(RIGHT(CONCATENATE("000",IFAData_TEA_1819!A1215),6),3)))</f>
        <v>108-902</v>
      </c>
      <c r="C1215" t="s">
        <v>32</v>
      </c>
      <c r="D1215">
        <v>4</v>
      </c>
      <c r="E1215">
        <v>1768</v>
      </c>
      <c r="F1215" t="s">
        <v>4865</v>
      </c>
      <c r="G1215" t="s">
        <v>4866</v>
      </c>
      <c r="H1215">
        <v>2119597</v>
      </c>
      <c r="I1215">
        <v>444213</v>
      </c>
      <c r="J1215">
        <v>0.20843689572313301</v>
      </c>
      <c r="K1215">
        <v>441802.218864066</v>
      </c>
      <c r="L1215">
        <v>441802.218864066</v>
      </c>
      <c r="M1215">
        <v>599</v>
      </c>
    </row>
    <row r="1216" spans="1:13" ht="15">
      <c r="A1216" t="s">
        <v>3549</v>
      </c>
      <c r="B1216" s="1040" t="str">
        <f>CONCATENATE(LEFT(RIGHT(CONCATENATE("000",IFAData_TEA_1819!A1216),6),3),"-",(RIGHT(RIGHT(CONCATENATE("000",IFAData_TEA_1819!A1216),6),3)))</f>
        <v>108-902</v>
      </c>
      <c r="C1216" t="s">
        <v>32</v>
      </c>
      <c r="D1216">
        <v>4</v>
      </c>
      <c r="E1216">
        <v>1768</v>
      </c>
      <c r="F1216" t="s">
        <v>4865</v>
      </c>
      <c r="G1216" t="s">
        <v>4867</v>
      </c>
      <c r="H1216">
        <v>2119597</v>
      </c>
      <c r="I1216">
        <v>5400</v>
      </c>
      <c r="J1216">
        <v>2.5338277738493E-3</v>
      </c>
      <c r="K1216">
        <v>5370.6937479676599</v>
      </c>
      <c r="L1216">
        <v>5370.6937479676599</v>
      </c>
      <c r="M1216">
        <v>599</v>
      </c>
    </row>
    <row r="1217" spans="1:13" ht="15">
      <c r="A1217" t="s">
        <v>3549</v>
      </c>
      <c r="B1217" s="1040" t="str">
        <f>CONCATENATE(LEFT(RIGHT(CONCATENATE("000",IFAData_TEA_1819!A1217),6),3),"-",(RIGHT(RIGHT(CONCATENATE("000",IFAData_TEA_1819!A1217),6),3)))</f>
        <v>108-902</v>
      </c>
      <c r="C1217" t="s">
        <v>32</v>
      </c>
      <c r="D1217">
        <v>4</v>
      </c>
      <c r="E1217">
        <v>1768</v>
      </c>
      <c r="F1217" t="s">
        <v>4865</v>
      </c>
      <c r="G1217" t="s">
        <v>6262</v>
      </c>
      <c r="H1217">
        <v>2119597</v>
      </c>
      <c r="I1217">
        <v>1321700</v>
      </c>
      <c r="J1217">
        <v>0.62017780901789299</v>
      </c>
      <c r="K1217">
        <v>1314527.0234608999</v>
      </c>
      <c r="L1217">
        <v>1314527.0234608999</v>
      </c>
      <c r="M1217">
        <v>599</v>
      </c>
    </row>
    <row r="1218" spans="1:13" ht="15">
      <c r="A1218" t="s">
        <v>3549</v>
      </c>
      <c r="B1218" s="1040" t="str">
        <f>CONCATENATE(LEFT(RIGHT(CONCATENATE("000",IFAData_TEA_1819!A1218),6),3),"-",(RIGHT(RIGHT(CONCATENATE("000",IFAData_TEA_1819!A1218),6),3)))</f>
        <v>108-902</v>
      </c>
      <c r="C1218" t="s">
        <v>32</v>
      </c>
      <c r="D1218">
        <v>4</v>
      </c>
      <c r="E1218">
        <v>1768</v>
      </c>
      <c r="F1218" t="s">
        <v>4865</v>
      </c>
      <c r="G1218" t="s">
        <v>8408</v>
      </c>
      <c r="H1218">
        <v>2119597</v>
      </c>
      <c r="I1218">
        <v>359850</v>
      </c>
      <c r="J1218">
        <v>0.168851467485124</v>
      </c>
      <c r="K1218">
        <v>357897.06392706698</v>
      </c>
      <c r="L1218">
        <v>357897.06392706698</v>
      </c>
      <c r="M1218">
        <v>599</v>
      </c>
    </row>
    <row r="1219" spans="1:13" ht="15">
      <c r="A1219" t="s">
        <v>3549</v>
      </c>
      <c r="B1219" s="1040" t="str">
        <f>CONCATENATE(LEFT(RIGHT(CONCATENATE("000",IFAData_TEA_1819!A1219),6),3),"-",(RIGHT(RIGHT(CONCATENATE("000",IFAData_TEA_1819!A1219),6),3)))</f>
        <v>108-902</v>
      </c>
      <c r="C1219" t="s">
        <v>32</v>
      </c>
      <c r="D1219">
        <v>6</v>
      </c>
      <c r="E1219">
        <v>1767</v>
      </c>
      <c r="F1219" t="s">
        <v>4868</v>
      </c>
      <c r="G1219" t="s">
        <v>4868</v>
      </c>
      <c r="H1219">
        <v>1121326</v>
      </c>
      <c r="I1219">
        <v>0</v>
      </c>
      <c r="J1219">
        <v>0</v>
      </c>
      <c r="K1219">
        <v>0</v>
      </c>
      <c r="L1219">
        <v>0</v>
      </c>
      <c r="M1219">
        <v>599</v>
      </c>
    </row>
    <row r="1220" spans="1:13" ht="15">
      <c r="A1220" t="s">
        <v>3549</v>
      </c>
      <c r="B1220" s="1040" t="str">
        <f>CONCATENATE(LEFT(RIGHT(CONCATENATE("000",IFAData_TEA_1819!A1220),6),3),"-",(RIGHT(RIGHT(CONCATENATE("000",IFAData_TEA_1819!A1220),6),3)))</f>
        <v>108-902</v>
      </c>
      <c r="C1220" t="s">
        <v>32</v>
      </c>
      <c r="D1220">
        <v>6</v>
      </c>
      <c r="E1220">
        <v>1767</v>
      </c>
      <c r="F1220" t="s">
        <v>4868</v>
      </c>
      <c r="G1220" t="s">
        <v>4867</v>
      </c>
      <c r="H1220">
        <v>1121326</v>
      </c>
      <c r="I1220">
        <v>268182</v>
      </c>
      <c r="J1220">
        <v>0.78542329894069096</v>
      </c>
      <c r="K1220">
        <v>880715.56610796903</v>
      </c>
      <c r="L1220">
        <v>268182</v>
      </c>
      <c r="M1220">
        <v>599</v>
      </c>
    </row>
    <row r="1221" spans="1:13" ht="15">
      <c r="A1221" t="s">
        <v>3549</v>
      </c>
      <c r="B1221" s="1040" t="str">
        <f>CONCATENATE(LEFT(RIGHT(CONCATENATE("000",IFAData_TEA_1819!A1221),6),3),"-",(RIGHT(RIGHT(CONCATENATE("000",IFAData_TEA_1819!A1221),6),3)))</f>
        <v>108-902</v>
      </c>
      <c r="C1221" t="s">
        <v>32</v>
      </c>
      <c r="D1221">
        <v>6</v>
      </c>
      <c r="E1221">
        <v>1767</v>
      </c>
      <c r="F1221" t="s">
        <v>4868</v>
      </c>
      <c r="G1221" t="s">
        <v>4869</v>
      </c>
      <c r="H1221">
        <v>1121326</v>
      </c>
      <c r="I1221">
        <v>73267</v>
      </c>
      <c r="J1221">
        <v>0.21457670105930901</v>
      </c>
      <c r="K1221">
        <v>240610.433892031</v>
      </c>
      <c r="L1221">
        <v>73267</v>
      </c>
      <c r="M1221">
        <v>599</v>
      </c>
    </row>
    <row r="1222" spans="1:13" ht="15">
      <c r="A1222" t="s">
        <v>3549</v>
      </c>
      <c r="B1222" s="1040" t="str">
        <f>CONCATENATE(LEFT(RIGHT(CONCATENATE("000",IFAData_TEA_1819!A1222),6),3),"-",(RIGHT(RIGHT(CONCATENATE("000",IFAData_TEA_1819!A1222),6),3)))</f>
        <v>108-902</v>
      </c>
      <c r="C1222" t="s">
        <v>32</v>
      </c>
      <c r="D1222">
        <v>7</v>
      </c>
      <c r="E1222">
        <v>1766</v>
      </c>
      <c r="F1222" t="s">
        <v>4870</v>
      </c>
      <c r="G1222" t="s">
        <v>4870</v>
      </c>
      <c r="H1222">
        <v>1010853</v>
      </c>
      <c r="I1222">
        <v>0</v>
      </c>
      <c r="J1222">
        <v>0</v>
      </c>
      <c r="K1222">
        <v>0</v>
      </c>
      <c r="L1222">
        <v>0</v>
      </c>
      <c r="M1222">
        <v>599</v>
      </c>
    </row>
    <row r="1223" spans="1:13" ht="15">
      <c r="A1223" t="s">
        <v>3549</v>
      </c>
      <c r="B1223" s="1040" t="str">
        <f>CONCATENATE(LEFT(RIGHT(CONCATENATE("000",IFAData_TEA_1819!A1223),6),3),"-",(RIGHT(RIGHT(CONCATENATE("000",IFAData_TEA_1819!A1223),6),3)))</f>
        <v>108-902</v>
      </c>
      <c r="C1223" t="s">
        <v>32</v>
      </c>
      <c r="D1223">
        <v>7</v>
      </c>
      <c r="E1223">
        <v>1766</v>
      </c>
      <c r="F1223" t="s">
        <v>4870</v>
      </c>
      <c r="G1223" t="s">
        <v>4869</v>
      </c>
      <c r="H1223">
        <v>1010853</v>
      </c>
      <c r="I1223">
        <v>340333</v>
      </c>
      <c r="J1223">
        <v>0.347027861504138</v>
      </c>
      <c r="K1223">
        <v>350794.15488504199</v>
      </c>
      <c r="L1223">
        <v>340333</v>
      </c>
      <c r="M1223">
        <v>599</v>
      </c>
    </row>
    <row r="1224" spans="1:13" ht="15">
      <c r="A1224" t="s">
        <v>3549</v>
      </c>
      <c r="B1224" s="1040" t="str">
        <f>CONCATENATE(LEFT(RIGHT(CONCATENATE("000",IFAData_TEA_1819!A1224),6),3),"-",(RIGHT(RIGHT(CONCATENATE("000",IFAData_TEA_1819!A1224),6),3)))</f>
        <v>108-902</v>
      </c>
      <c r="C1224" t="s">
        <v>32</v>
      </c>
      <c r="D1224">
        <v>7</v>
      </c>
      <c r="E1224">
        <v>1766</v>
      </c>
      <c r="F1224" t="s">
        <v>4870</v>
      </c>
      <c r="G1224" t="s">
        <v>4871</v>
      </c>
      <c r="H1224">
        <v>1010853</v>
      </c>
      <c r="I1224">
        <v>640375</v>
      </c>
      <c r="J1224">
        <v>0.652972138495862</v>
      </c>
      <c r="K1224">
        <v>660058.84511495801</v>
      </c>
      <c r="L1224">
        <v>640375</v>
      </c>
      <c r="M1224">
        <v>599</v>
      </c>
    </row>
    <row r="1225" spans="1:13" ht="15">
      <c r="A1225" t="s">
        <v>3549</v>
      </c>
      <c r="B1225" s="1040" t="str">
        <f>CONCATENATE(LEFT(RIGHT(CONCATENATE("000",IFAData_TEA_1819!A1225),6),3),"-",(RIGHT(RIGHT(CONCATENATE("000",IFAData_TEA_1819!A1225),6),3)))</f>
        <v>108-902</v>
      </c>
      <c r="C1225" t="s">
        <v>32</v>
      </c>
      <c r="D1225">
        <v>10</v>
      </c>
      <c r="E1225">
        <v>1770</v>
      </c>
      <c r="F1225" t="s">
        <v>4872</v>
      </c>
      <c r="G1225" t="s">
        <v>4872</v>
      </c>
      <c r="H1225">
        <v>2922800</v>
      </c>
      <c r="I1225">
        <v>2917475</v>
      </c>
      <c r="J1225">
        <v>1</v>
      </c>
      <c r="K1225">
        <v>2922800</v>
      </c>
      <c r="L1225">
        <v>2917475</v>
      </c>
      <c r="M1225">
        <v>599</v>
      </c>
    </row>
    <row r="1226" spans="1:13" s="2010" customFormat="1" ht="15">
      <c r="A1226" s="1417" t="s">
        <v>3550</v>
      </c>
      <c r="B1226" s="2009" t="str">
        <f>CONCATENATE(LEFT(RIGHT(CONCATENATE("000",IFAData_TEA_1819!A1226),6),3),"-",(RIGHT(RIGHT(CONCATENATE("000",IFAData_TEA_1819!A1226),6),3)))</f>
        <v>108-903</v>
      </c>
      <c r="C1226" s="1417" t="s">
        <v>1066</v>
      </c>
      <c r="D1226" s="1417">
        <v>1</v>
      </c>
      <c r="E1226" s="1417">
        <v>1786</v>
      </c>
      <c r="F1226" s="1417" t="s">
        <v>4873</v>
      </c>
      <c r="G1226" s="1417" t="s">
        <v>4873</v>
      </c>
      <c r="H1226" s="1417">
        <v>1057575</v>
      </c>
      <c r="I1226" s="1417">
        <v>0</v>
      </c>
      <c r="J1226" s="1417">
        <v>0</v>
      </c>
      <c r="K1226" s="1417">
        <v>0</v>
      </c>
      <c r="L1226" s="2020">
        <v>0</v>
      </c>
      <c r="M1226" s="1417">
        <v>599</v>
      </c>
    </row>
    <row r="1227" spans="1:13" s="2010" customFormat="1" ht="15">
      <c r="A1227" s="1417" t="s">
        <v>3550</v>
      </c>
      <c r="B1227" s="2009" t="str">
        <f>CONCATENATE(LEFT(RIGHT(CONCATENATE("000",IFAData_TEA_1819!A1227),6),3),"-",(RIGHT(RIGHT(CONCATENATE("000",IFAData_TEA_1819!A1227),6),3)))</f>
        <v>108-903</v>
      </c>
      <c r="C1227" s="1417" t="s">
        <v>1066</v>
      </c>
      <c r="D1227" s="1417">
        <v>1</v>
      </c>
      <c r="E1227" s="1417">
        <v>1786</v>
      </c>
      <c r="F1227" s="1417" t="s">
        <v>4873</v>
      </c>
      <c r="G1227" s="1417" t="s">
        <v>4874</v>
      </c>
      <c r="H1227" s="1417">
        <v>1057575</v>
      </c>
      <c r="I1227" s="1417">
        <v>150496</v>
      </c>
      <c r="J1227" s="1417">
        <v>0.158659340381299</v>
      </c>
      <c r="K1227" s="1417">
        <v>167794.151903752</v>
      </c>
      <c r="L1227" s="2020">
        <v>150496</v>
      </c>
      <c r="M1227" s="1417">
        <v>599</v>
      </c>
    </row>
    <row r="1228" spans="1:13" s="2010" customFormat="1" ht="15">
      <c r="A1228" s="1417" t="s">
        <v>3550</v>
      </c>
      <c r="B1228" s="2009" t="str">
        <f>CONCATENATE(LEFT(RIGHT(CONCATENATE("000",IFAData_TEA_1819!A1228),6),3),"-",(RIGHT(RIGHT(CONCATENATE("000",IFAData_TEA_1819!A1228),6),3)))</f>
        <v>108-903</v>
      </c>
      <c r="C1228" s="1417" t="s">
        <v>1066</v>
      </c>
      <c r="D1228" s="1417">
        <v>1</v>
      </c>
      <c r="E1228" s="1417">
        <v>1786</v>
      </c>
      <c r="F1228" s="1417" t="s">
        <v>4873</v>
      </c>
      <c r="G1228" s="1417" t="s">
        <v>4875</v>
      </c>
      <c r="H1228" s="1417">
        <v>1057575</v>
      </c>
      <c r="I1228" s="1417">
        <v>798052</v>
      </c>
      <c r="J1228" s="1417">
        <v>0.84134065961870097</v>
      </c>
      <c r="K1228" s="1417">
        <v>889780.848096248</v>
      </c>
      <c r="L1228" s="2020">
        <v>798052</v>
      </c>
      <c r="M1228" s="1417">
        <v>599</v>
      </c>
    </row>
    <row r="1229" spans="1:13" s="2010" customFormat="1" ht="15">
      <c r="A1229" s="1417" t="s">
        <v>3550</v>
      </c>
      <c r="B1229" s="2009" t="str">
        <f>CONCATENATE(LEFT(RIGHT(CONCATENATE("000",IFAData_TEA_1819!A1229),6),3),"-",(RIGHT(RIGHT(CONCATENATE("000",IFAData_TEA_1819!A1229),6),3)))</f>
        <v>108-903</v>
      </c>
      <c r="C1229" s="1417" t="s">
        <v>1066</v>
      </c>
      <c r="D1229" s="1417">
        <v>1</v>
      </c>
      <c r="E1229" s="1417">
        <v>1786</v>
      </c>
      <c r="F1229" s="1417" t="s">
        <v>4873</v>
      </c>
      <c r="G1229" s="1417" t="s">
        <v>6263</v>
      </c>
      <c r="H1229" s="1417">
        <v>1057575</v>
      </c>
      <c r="I1229" s="1417">
        <v>0</v>
      </c>
      <c r="J1229" s="1417">
        <v>0</v>
      </c>
      <c r="K1229" s="1417">
        <v>0</v>
      </c>
      <c r="L1229" s="2020">
        <v>0</v>
      </c>
      <c r="M1229" s="1417">
        <v>599</v>
      </c>
    </row>
    <row r="1230" spans="1:13" s="2010" customFormat="1" ht="15">
      <c r="A1230" s="1417" t="s">
        <v>3550</v>
      </c>
      <c r="B1230" s="2009" t="str">
        <f>CONCATENATE(LEFT(RIGHT(CONCATENATE("000",IFAData_TEA_1819!A1230),6),3),"-",(RIGHT(RIGHT(CONCATENATE("000",IFAData_TEA_1819!A1230),6),3)))</f>
        <v>108-903</v>
      </c>
      <c r="C1230" s="1417" t="s">
        <v>1066</v>
      </c>
      <c r="D1230" s="1417">
        <v>4</v>
      </c>
      <c r="E1230" s="1417">
        <v>1787</v>
      </c>
      <c r="F1230" s="1417" t="s">
        <v>4876</v>
      </c>
      <c r="G1230" s="1417" t="s">
        <v>4876</v>
      </c>
      <c r="H1230" s="1417">
        <v>1123190</v>
      </c>
      <c r="I1230" s="1417">
        <v>0</v>
      </c>
      <c r="J1230" s="1417">
        <v>0</v>
      </c>
      <c r="K1230" s="1417">
        <v>0</v>
      </c>
      <c r="L1230" s="2020">
        <v>0</v>
      </c>
      <c r="M1230" s="1417">
        <v>599</v>
      </c>
    </row>
    <row r="1231" spans="1:13" s="2010" customFormat="1" ht="15">
      <c r="A1231" s="1417" t="s">
        <v>3550</v>
      </c>
      <c r="B1231" s="2009" t="str">
        <f>CONCATENATE(LEFT(RIGHT(CONCATENATE("000",IFAData_TEA_1819!A1231),6),3),"-",(RIGHT(RIGHT(CONCATENATE("000",IFAData_TEA_1819!A1231),6),3)))</f>
        <v>108-903</v>
      </c>
      <c r="C1231" s="1417" t="s">
        <v>1066</v>
      </c>
      <c r="D1231" s="1417">
        <v>4</v>
      </c>
      <c r="E1231" s="1417">
        <v>1787</v>
      </c>
      <c r="F1231" s="1417" t="s">
        <v>4876</v>
      </c>
      <c r="G1231" s="1417" t="s">
        <v>4874</v>
      </c>
      <c r="H1231" s="1417">
        <v>1123190</v>
      </c>
      <c r="I1231" s="1417">
        <v>0</v>
      </c>
      <c r="J1231" s="1417">
        <v>0</v>
      </c>
      <c r="K1231" s="1417">
        <v>0</v>
      </c>
      <c r="L1231" s="2020">
        <v>0</v>
      </c>
      <c r="M1231" s="1417">
        <v>599</v>
      </c>
    </row>
    <row r="1232" spans="1:13" s="2010" customFormat="1" ht="15">
      <c r="A1232" s="1417" t="s">
        <v>3550</v>
      </c>
      <c r="B1232" s="2009" t="str">
        <f>CONCATENATE(LEFT(RIGHT(CONCATENATE("000",IFAData_TEA_1819!A1232),6),3),"-",(RIGHT(RIGHT(CONCATENATE("000",IFAData_TEA_1819!A1232),6),3)))</f>
        <v>108-903</v>
      </c>
      <c r="C1232" s="1417" t="s">
        <v>1066</v>
      </c>
      <c r="D1232" s="1417">
        <v>4</v>
      </c>
      <c r="E1232" s="1417">
        <v>1787</v>
      </c>
      <c r="F1232" s="1417" t="s">
        <v>4876</v>
      </c>
      <c r="G1232" s="1417" t="s">
        <v>4875</v>
      </c>
      <c r="H1232" s="1417">
        <v>1123190</v>
      </c>
      <c r="I1232" s="1417">
        <v>872198</v>
      </c>
      <c r="J1232" s="1417">
        <v>0.85438409168829899</v>
      </c>
      <c r="K1232" s="1417">
        <v>959635.66794338101</v>
      </c>
      <c r="L1232" s="2020">
        <v>872198</v>
      </c>
      <c r="M1232" s="1417">
        <v>599</v>
      </c>
    </row>
    <row r="1233" spans="1:13" s="2010" customFormat="1" ht="15">
      <c r="A1233" s="1417" t="s">
        <v>3550</v>
      </c>
      <c r="B1233" s="2009" t="str">
        <f>CONCATENATE(LEFT(RIGHT(CONCATENATE("000",IFAData_TEA_1819!A1233),6),3),"-",(RIGHT(RIGHT(CONCATENATE("000",IFAData_TEA_1819!A1233),6),3)))</f>
        <v>108-903</v>
      </c>
      <c r="C1233" s="1417" t="s">
        <v>1066</v>
      </c>
      <c r="D1233" s="1417">
        <v>4</v>
      </c>
      <c r="E1233" s="1417">
        <v>1787</v>
      </c>
      <c r="F1233" s="1417" t="s">
        <v>4876</v>
      </c>
      <c r="G1233" s="1417" t="s">
        <v>6263</v>
      </c>
      <c r="H1233" s="1417">
        <v>1123190</v>
      </c>
      <c r="I1233" s="1417">
        <v>148652</v>
      </c>
      <c r="J1233" s="1417">
        <v>0.14561590831170099</v>
      </c>
      <c r="K1233" s="1417">
        <v>163554.33205661899</v>
      </c>
      <c r="L1233" s="2020">
        <v>148652</v>
      </c>
      <c r="M1233" s="1417">
        <v>599</v>
      </c>
    </row>
    <row r="1234" spans="1:13" s="2010" customFormat="1" ht="15">
      <c r="A1234" s="1417" t="s">
        <v>3550</v>
      </c>
      <c r="B1234" s="2009" t="str">
        <f>CONCATENATE(LEFT(RIGHT(CONCATENATE("000",IFAData_TEA_1819!A1234),6),3),"-",(RIGHT(RIGHT(CONCATENATE("000",IFAData_TEA_1819!A1234),6),3)))</f>
        <v>108-903</v>
      </c>
      <c r="C1234" s="1417" t="s">
        <v>1066</v>
      </c>
      <c r="D1234" s="1417">
        <v>6</v>
      </c>
      <c r="E1234" s="1417">
        <v>1785</v>
      </c>
      <c r="F1234" s="1417" t="s">
        <v>6475</v>
      </c>
      <c r="G1234" s="1417" t="s">
        <v>6475</v>
      </c>
      <c r="H1234" s="1417">
        <v>259798</v>
      </c>
      <c r="I1234" s="1417">
        <v>0</v>
      </c>
      <c r="J1234" s="1417">
        <v>0</v>
      </c>
      <c r="K1234" s="1417"/>
      <c r="L1234" s="2020">
        <v>0</v>
      </c>
      <c r="M1234" s="1417">
        <v>599</v>
      </c>
    </row>
    <row r="1235" spans="1:13" s="2010" customFormat="1" ht="15">
      <c r="A1235" s="1417" t="s">
        <v>3550</v>
      </c>
      <c r="B1235" s="2009" t="str">
        <f>CONCATENATE(LEFT(RIGHT(CONCATENATE("000",IFAData_TEA_1819!A1235),6),3),"-",(RIGHT(RIGHT(CONCATENATE("000",IFAData_TEA_1819!A1235),6),3)))</f>
        <v>108-903</v>
      </c>
      <c r="C1235" s="1417" t="s">
        <v>1066</v>
      </c>
      <c r="D1235" s="1417">
        <v>8</v>
      </c>
      <c r="E1235" s="1417">
        <v>1788</v>
      </c>
      <c r="F1235" s="1417" t="s">
        <v>4878</v>
      </c>
      <c r="G1235" s="1417" t="s">
        <v>4878</v>
      </c>
      <c r="H1235" s="1417">
        <v>1293870</v>
      </c>
      <c r="I1235" s="1417">
        <v>0</v>
      </c>
      <c r="J1235" s="1417">
        <v>0</v>
      </c>
      <c r="K1235" s="1417">
        <v>0</v>
      </c>
      <c r="L1235" s="2020">
        <v>0</v>
      </c>
      <c r="M1235" s="1417">
        <v>599</v>
      </c>
    </row>
    <row r="1236" spans="1:13" s="2010" customFormat="1" ht="15">
      <c r="A1236" s="1417" t="s">
        <v>3550</v>
      </c>
      <c r="B1236" s="2009" t="str">
        <f>CONCATENATE(LEFT(RIGHT(CONCATENATE("000",IFAData_TEA_1819!A1236),6),3),"-",(RIGHT(RIGHT(CONCATENATE("000",IFAData_TEA_1819!A1236),6),3)))</f>
        <v>108-903</v>
      </c>
      <c r="C1236" s="1417" t="s">
        <v>1066</v>
      </c>
      <c r="D1236" s="1417">
        <v>8</v>
      </c>
      <c r="E1236" s="1417">
        <v>1788</v>
      </c>
      <c r="F1236" s="1417" t="s">
        <v>4878</v>
      </c>
      <c r="G1236" s="1417" t="s">
        <v>4877</v>
      </c>
      <c r="H1236" s="1417">
        <v>1293870</v>
      </c>
      <c r="I1236" s="1417">
        <v>318100</v>
      </c>
      <c r="J1236" s="1417">
        <v>0.26792016130798302</v>
      </c>
      <c r="K1236" s="1417">
        <v>346653.85911155998</v>
      </c>
      <c r="L1236" s="2020">
        <v>318100</v>
      </c>
      <c r="M1236" s="1417">
        <v>599</v>
      </c>
    </row>
    <row r="1237" spans="1:13" s="2010" customFormat="1" ht="15">
      <c r="A1237" s="1417" t="s">
        <v>3550</v>
      </c>
      <c r="B1237" s="2009" t="str">
        <f>CONCATENATE(LEFT(RIGHT(CONCATENATE("000",IFAData_TEA_1819!A1237),6),3),"-",(RIGHT(RIGHT(CONCATENATE("000",IFAData_TEA_1819!A1237),6),3)))</f>
        <v>108-903</v>
      </c>
      <c r="C1237" s="1417" t="s">
        <v>1066</v>
      </c>
      <c r="D1237" s="1417">
        <v>8</v>
      </c>
      <c r="E1237" s="1417">
        <v>1788</v>
      </c>
      <c r="F1237" s="1417" t="s">
        <v>4878</v>
      </c>
      <c r="G1237" s="1417" t="s">
        <v>6263</v>
      </c>
      <c r="H1237" s="1417">
        <v>1293870</v>
      </c>
      <c r="I1237" s="1417">
        <v>869194</v>
      </c>
      <c r="J1237" s="1417">
        <v>0.73207983869201698</v>
      </c>
      <c r="K1237" s="1417">
        <v>947216.14088843996</v>
      </c>
      <c r="L1237" s="2020">
        <v>869194</v>
      </c>
      <c r="M1237" s="1417">
        <v>599</v>
      </c>
    </row>
    <row r="1238" spans="1:13" ht="15">
      <c r="A1238" t="s">
        <v>3551</v>
      </c>
      <c r="B1238" s="1040" t="str">
        <f>CONCATENATE(LEFT(RIGHT(CONCATENATE("000",IFAData_TEA_1819!A1238),6),3),"-",(RIGHT(RIGHT(CONCATENATE("000",IFAData_TEA_1819!A1238),6),3)))</f>
        <v>108-904</v>
      </c>
      <c r="C1238" t="s">
        <v>33</v>
      </c>
      <c r="D1238">
        <v>3</v>
      </c>
      <c r="E1238">
        <v>1795</v>
      </c>
      <c r="F1238" t="s">
        <v>4879</v>
      </c>
      <c r="G1238" t="s">
        <v>4879</v>
      </c>
      <c r="H1238">
        <v>3968103</v>
      </c>
      <c r="I1238">
        <v>0</v>
      </c>
      <c r="J1238">
        <v>0</v>
      </c>
      <c r="K1238">
        <v>0</v>
      </c>
      <c r="L1238">
        <v>0</v>
      </c>
      <c r="M1238">
        <v>199</v>
      </c>
    </row>
    <row r="1239" spans="1:13" ht="15">
      <c r="A1239" t="s">
        <v>3551</v>
      </c>
      <c r="B1239" s="1040" t="str">
        <f>CONCATENATE(LEFT(RIGHT(CONCATENATE("000",IFAData_TEA_1819!A1239),6),3),"-",(RIGHT(RIGHT(CONCATENATE("000",IFAData_TEA_1819!A1239),6),3)))</f>
        <v>108-904</v>
      </c>
      <c r="C1239" t="s">
        <v>33</v>
      </c>
      <c r="D1239">
        <v>3</v>
      </c>
      <c r="E1239">
        <v>1795</v>
      </c>
      <c r="F1239" t="s">
        <v>4879</v>
      </c>
      <c r="G1239" t="s">
        <v>4880</v>
      </c>
      <c r="H1239">
        <v>3968103</v>
      </c>
      <c r="I1239">
        <v>3768207</v>
      </c>
      <c r="J1239">
        <v>1</v>
      </c>
      <c r="K1239">
        <v>3968103</v>
      </c>
      <c r="L1239">
        <v>3768207</v>
      </c>
      <c r="M1239">
        <v>599</v>
      </c>
    </row>
    <row r="1240" spans="1:13" ht="15">
      <c r="A1240" t="s">
        <v>3551</v>
      </c>
      <c r="B1240" s="1040" t="str">
        <f>CONCATENATE(LEFT(RIGHT(CONCATENATE("000",IFAData_TEA_1819!A1240),6),3),"-",(RIGHT(RIGHT(CONCATENATE("000",IFAData_TEA_1819!A1240),6),3)))</f>
        <v>108-904</v>
      </c>
      <c r="C1240" t="s">
        <v>33</v>
      </c>
      <c r="D1240">
        <v>4</v>
      </c>
      <c r="E1240">
        <v>1796</v>
      </c>
      <c r="F1240" t="s">
        <v>4881</v>
      </c>
      <c r="G1240" t="s">
        <v>4881</v>
      </c>
      <c r="H1240">
        <v>3996878</v>
      </c>
      <c r="I1240">
        <v>0</v>
      </c>
      <c r="J1240">
        <v>0</v>
      </c>
      <c r="K1240">
        <v>0</v>
      </c>
      <c r="L1240">
        <v>0</v>
      </c>
      <c r="M1240">
        <v>599</v>
      </c>
    </row>
    <row r="1241" spans="1:13" ht="15">
      <c r="A1241" t="s">
        <v>3551</v>
      </c>
      <c r="B1241" s="1040" t="str">
        <f>CONCATENATE(LEFT(RIGHT(CONCATENATE("000",IFAData_TEA_1819!A1241),6),3),"-",(RIGHT(RIGHT(CONCATENATE("000",IFAData_TEA_1819!A1241),6),3)))</f>
        <v>108-904</v>
      </c>
      <c r="C1241" t="s">
        <v>33</v>
      </c>
      <c r="D1241">
        <v>4</v>
      </c>
      <c r="E1241">
        <v>1796</v>
      </c>
      <c r="F1241" t="s">
        <v>4881</v>
      </c>
      <c r="G1241" t="s">
        <v>4882</v>
      </c>
      <c r="H1241">
        <v>3996878</v>
      </c>
      <c r="I1241">
        <v>0</v>
      </c>
      <c r="J1241">
        <v>0</v>
      </c>
      <c r="K1241">
        <v>0</v>
      </c>
      <c r="L1241">
        <v>0</v>
      </c>
      <c r="M1241">
        <v>599</v>
      </c>
    </row>
    <row r="1242" spans="1:13" ht="15">
      <c r="A1242" t="s">
        <v>3551</v>
      </c>
      <c r="B1242" s="1040" t="str">
        <f>CONCATENATE(LEFT(RIGHT(CONCATENATE("000",IFAData_TEA_1819!A1242),6),3),"-",(RIGHT(RIGHT(CONCATENATE("000",IFAData_TEA_1819!A1242),6),3)))</f>
        <v>108-904</v>
      </c>
      <c r="C1242" t="s">
        <v>33</v>
      </c>
      <c r="D1242">
        <v>4</v>
      </c>
      <c r="E1242">
        <v>1796</v>
      </c>
      <c r="F1242" t="s">
        <v>4881</v>
      </c>
      <c r="G1242" t="s">
        <v>6264</v>
      </c>
      <c r="H1242">
        <v>3996878</v>
      </c>
      <c r="I1242">
        <v>3313333</v>
      </c>
      <c r="J1242">
        <v>1</v>
      </c>
      <c r="K1242">
        <v>3996878</v>
      </c>
      <c r="L1242">
        <v>3313333</v>
      </c>
      <c r="M1242">
        <v>599</v>
      </c>
    </row>
    <row r="1243" spans="1:13" ht="15">
      <c r="A1243" t="s">
        <v>3551</v>
      </c>
      <c r="B1243" s="1040" t="str">
        <f>CONCATENATE(LEFT(RIGHT(CONCATENATE("000",IFAData_TEA_1819!A1243),6),3),"-",(RIGHT(RIGHT(CONCATENATE("000",IFAData_TEA_1819!A1243),6),3)))</f>
        <v>108-904</v>
      </c>
      <c r="C1243" t="s">
        <v>33</v>
      </c>
      <c r="D1243">
        <v>9</v>
      </c>
      <c r="E1243">
        <v>1797</v>
      </c>
      <c r="F1243" t="s">
        <v>4883</v>
      </c>
      <c r="G1243" t="s">
        <v>4883</v>
      </c>
      <c r="H1243">
        <v>7109662</v>
      </c>
      <c r="I1243">
        <v>0</v>
      </c>
      <c r="J1243">
        <v>0</v>
      </c>
      <c r="K1243">
        <v>0</v>
      </c>
      <c r="L1243">
        <v>0</v>
      </c>
      <c r="M1243">
        <v>599</v>
      </c>
    </row>
    <row r="1244" spans="1:13" ht="15">
      <c r="A1244" t="s">
        <v>3551</v>
      </c>
      <c r="B1244" s="1040" t="str">
        <f>CONCATENATE(LEFT(RIGHT(CONCATENATE("000",IFAData_TEA_1819!A1244),6),3),"-",(RIGHT(RIGHT(CONCATENATE("000",IFAData_TEA_1819!A1244),6),3)))</f>
        <v>108-904</v>
      </c>
      <c r="C1244" t="s">
        <v>33</v>
      </c>
      <c r="D1244">
        <v>9</v>
      </c>
      <c r="E1244">
        <v>1797</v>
      </c>
      <c r="F1244" t="s">
        <v>4883</v>
      </c>
      <c r="G1244" t="s">
        <v>6476</v>
      </c>
      <c r="H1244">
        <v>7109662</v>
      </c>
      <c r="I1244">
        <v>6362450</v>
      </c>
      <c r="J1244">
        <v>1</v>
      </c>
      <c r="K1244">
        <v>7109662</v>
      </c>
      <c r="L1244">
        <v>6362450</v>
      </c>
      <c r="M1244">
        <v>599</v>
      </c>
    </row>
    <row r="1245" spans="1:13" ht="15">
      <c r="A1245" t="s">
        <v>3552</v>
      </c>
      <c r="B1245" s="1040" t="str">
        <f>CONCATENATE(LEFT(RIGHT(CONCATENATE("000",IFAData_TEA_1819!A1245),6),3),"-",(RIGHT(RIGHT(CONCATENATE("000",IFAData_TEA_1819!A1245),6),3)))</f>
        <v>108-905</v>
      </c>
      <c r="C1245" t="s">
        <v>2374</v>
      </c>
      <c r="D1245">
        <v>1</v>
      </c>
      <c r="E1245">
        <v>1889</v>
      </c>
      <c r="F1245" t="s">
        <v>4884</v>
      </c>
      <c r="G1245" t="s">
        <v>4884</v>
      </c>
      <c r="H1245">
        <v>551171</v>
      </c>
      <c r="I1245">
        <v>0</v>
      </c>
      <c r="J1245">
        <v>0</v>
      </c>
      <c r="K1245">
        <v>0</v>
      </c>
      <c r="L1245">
        <v>0</v>
      </c>
      <c r="M1245">
        <v>599</v>
      </c>
    </row>
    <row r="1246" spans="1:13" ht="15">
      <c r="A1246" t="s">
        <v>3552</v>
      </c>
      <c r="B1246" s="1040" t="str">
        <f>CONCATENATE(LEFT(RIGHT(CONCATENATE("000",IFAData_TEA_1819!A1246),6),3),"-",(RIGHT(RIGHT(CONCATENATE("000",IFAData_TEA_1819!A1246),6),3)))</f>
        <v>108-905</v>
      </c>
      <c r="C1246" t="s">
        <v>2374</v>
      </c>
      <c r="D1246">
        <v>1</v>
      </c>
      <c r="E1246">
        <v>1889</v>
      </c>
      <c r="F1246" t="s">
        <v>4884</v>
      </c>
      <c r="G1246" t="s">
        <v>4885</v>
      </c>
      <c r="H1246">
        <v>551171</v>
      </c>
      <c r="I1246">
        <v>495026</v>
      </c>
      <c r="J1246">
        <v>1</v>
      </c>
      <c r="K1246">
        <v>551171</v>
      </c>
      <c r="L1246">
        <v>495026</v>
      </c>
      <c r="M1246">
        <v>599</v>
      </c>
    </row>
    <row r="1247" spans="1:13" ht="15">
      <c r="A1247" t="s">
        <v>3552</v>
      </c>
      <c r="B1247" s="1040" t="str">
        <f>CONCATENATE(LEFT(RIGHT(CONCATENATE("000",IFAData_TEA_1819!A1247),6),3),"-",(RIGHT(RIGHT(CONCATENATE("000",IFAData_TEA_1819!A1247),6),3)))</f>
        <v>108-905</v>
      </c>
      <c r="C1247" t="s">
        <v>2374</v>
      </c>
      <c r="D1247">
        <v>4</v>
      </c>
      <c r="E1247">
        <v>1890</v>
      </c>
      <c r="F1247" t="s">
        <v>4886</v>
      </c>
      <c r="G1247" t="s">
        <v>4886</v>
      </c>
      <c r="H1247">
        <v>613155</v>
      </c>
      <c r="I1247">
        <v>0</v>
      </c>
      <c r="J1247">
        <v>0</v>
      </c>
      <c r="K1247">
        <v>0</v>
      </c>
      <c r="L1247">
        <v>0</v>
      </c>
      <c r="M1247">
        <v>599</v>
      </c>
    </row>
    <row r="1248" spans="1:13" ht="15">
      <c r="A1248" t="s">
        <v>3552</v>
      </c>
      <c r="B1248" s="1040" t="str">
        <f>CONCATENATE(LEFT(RIGHT(CONCATENATE("000",IFAData_TEA_1819!A1248),6),3),"-",(RIGHT(RIGHT(CONCATENATE("000",IFAData_TEA_1819!A1248),6),3)))</f>
        <v>108-905</v>
      </c>
      <c r="C1248" t="s">
        <v>2374</v>
      </c>
      <c r="D1248">
        <v>4</v>
      </c>
      <c r="E1248">
        <v>1890</v>
      </c>
      <c r="F1248" t="s">
        <v>4886</v>
      </c>
      <c r="G1248" t="s">
        <v>4885</v>
      </c>
      <c r="H1248">
        <v>613155</v>
      </c>
      <c r="I1248">
        <v>521999</v>
      </c>
      <c r="J1248">
        <v>1</v>
      </c>
      <c r="K1248">
        <v>613155</v>
      </c>
      <c r="L1248">
        <v>521999</v>
      </c>
      <c r="M1248">
        <v>599</v>
      </c>
    </row>
    <row r="1249" spans="1:13" ht="15">
      <c r="A1249" t="s">
        <v>3552</v>
      </c>
      <c r="B1249" s="1040" t="str">
        <f>CONCATENATE(LEFT(RIGHT(CONCATENATE("000",IFAData_TEA_1819!A1249),6),3),"-",(RIGHT(RIGHT(CONCATENATE("000",IFAData_TEA_1819!A1249),6),3)))</f>
        <v>108-905</v>
      </c>
      <c r="C1249" t="s">
        <v>2374</v>
      </c>
      <c r="D1249">
        <v>7</v>
      </c>
      <c r="E1249">
        <v>1885</v>
      </c>
      <c r="F1249" t="s">
        <v>4887</v>
      </c>
      <c r="G1249" t="s">
        <v>4887</v>
      </c>
      <c r="H1249">
        <v>198684</v>
      </c>
      <c r="I1249">
        <v>0</v>
      </c>
      <c r="J1249">
        <v>0</v>
      </c>
      <c r="K1249">
        <v>0</v>
      </c>
      <c r="L1249">
        <v>0</v>
      </c>
      <c r="M1249">
        <v>599</v>
      </c>
    </row>
    <row r="1250" spans="1:13" ht="15">
      <c r="A1250" t="s">
        <v>3552</v>
      </c>
      <c r="B1250" s="1040" t="str">
        <f>CONCATENATE(LEFT(RIGHT(CONCATENATE("000",IFAData_TEA_1819!A1250),6),3),"-",(RIGHT(RIGHT(CONCATENATE("000",IFAData_TEA_1819!A1250),6),3)))</f>
        <v>108-905</v>
      </c>
      <c r="C1250" t="s">
        <v>2374</v>
      </c>
      <c r="D1250">
        <v>7</v>
      </c>
      <c r="E1250">
        <v>1885</v>
      </c>
      <c r="F1250" t="s">
        <v>4887</v>
      </c>
      <c r="G1250" t="s">
        <v>4888</v>
      </c>
      <c r="H1250">
        <v>198684</v>
      </c>
      <c r="I1250">
        <v>256280</v>
      </c>
      <c r="J1250">
        <v>1</v>
      </c>
      <c r="K1250">
        <v>198684</v>
      </c>
      <c r="L1250">
        <v>198684</v>
      </c>
      <c r="M1250">
        <v>599</v>
      </c>
    </row>
    <row r="1251" spans="1:13" ht="15">
      <c r="A1251" t="s">
        <v>3552</v>
      </c>
      <c r="B1251" s="1040" t="str">
        <f>CONCATENATE(LEFT(RIGHT(CONCATENATE("000",IFAData_TEA_1819!A1251),6),3),"-",(RIGHT(RIGHT(CONCATENATE("000",IFAData_TEA_1819!A1251),6),3)))</f>
        <v>108-905</v>
      </c>
      <c r="C1251" t="s">
        <v>2374</v>
      </c>
      <c r="D1251">
        <v>7</v>
      </c>
      <c r="E1251">
        <v>1888</v>
      </c>
      <c r="F1251" t="s">
        <v>4889</v>
      </c>
      <c r="G1251" t="s">
        <v>4889</v>
      </c>
      <c r="H1251">
        <v>437778</v>
      </c>
      <c r="I1251">
        <v>0</v>
      </c>
      <c r="J1251">
        <v>0</v>
      </c>
      <c r="K1251">
        <v>0</v>
      </c>
      <c r="L1251">
        <v>0</v>
      </c>
      <c r="M1251">
        <v>599</v>
      </c>
    </row>
    <row r="1252" spans="1:13" ht="15">
      <c r="A1252" t="s">
        <v>3552</v>
      </c>
      <c r="B1252" s="1040" t="str">
        <f>CONCATENATE(LEFT(RIGHT(CONCATENATE("000",IFAData_TEA_1819!A1252),6),3),"-",(RIGHT(RIGHT(CONCATENATE("000",IFAData_TEA_1819!A1252),6),3)))</f>
        <v>108-905</v>
      </c>
      <c r="C1252" t="s">
        <v>2374</v>
      </c>
      <c r="D1252">
        <v>7</v>
      </c>
      <c r="E1252">
        <v>1888</v>
      </c>
      <c r="F1252" t="s">
        <v>4889</v>
      </c>
      <c r="G1252" t="s">
        <v>6265</v>
      </c>
      <c r="H1252">
        <v>437778</v>
      </c>
      <c r="I1252">
        <v>329825</v>
      </c>
      <c r="J1252">
        <v>1</v>
      </c>
      <c r="K1252">
        <v>437778</v>
      </c>
      <c r="L1252">
        <v>329825</v>
      </c>
      <c r="M1252">
        <v>599</v>
      </c>
    </row>
    <row r="1253" spans="1:13" ht="15">
      <c r="A1253" t="s">
        <v>3552</v>
      </c>
      <c r="B1253" s="1040" t="str">
        <f>CONCATENATE(LEFT(RIGHT(CONCATENATE("000",IFAData_TEA_1819!A1253),6),3),"-",(RIGHT(RIGHT(CONCATENATE("000",IFAData_TEA_1819!A1253),6),3)))</f>
        <v>108-905</v>
      </c>
      <c r="C1253" t="s">
        <v>2374</v>
      </c>
      <c r="D1253">
        <v>8</v>
      </c>
      <c r="E1253">
        <v>1891</v>
      </c>
      <c r="F1253" t="s">
        <v>4890</v>
      </c>
      <c r="G1253" t="s">
        <v>4890</v>
      </c>
      <c r="H1253">
        <v>750887</v>
      </c>
      <c r="I1253">
        <v>0</v>
      </c>
      <c r="J1253">
        <v>0</v>
      </c>
      <c r="K1253">
        <v>0</v>
      </c>
      <c r="L1253">
        <v>0</v>
      </c>
      <c r="M1253">
        <v>599</v>
      </c>
    </row>
    <row r="1254" spans="1:13" ht="15">
      <c r="A1254" t="s">
        <v>3552</v>
      </c>
      <c r="B1254" s="1040" t="str">
        <f>CONCATENATE(LEFT(RIGHT(CONCATENATE("000",IFAData_TEA_1819!A1254),6),3),"-",(RIGHT(RIGHT(CONCATENATE("000",IFAData_TEA_1819!A1254),6),3)))</f>
        <v>108-905</v>
      </c>
      <c r="C1254" t="s">
        <v>2374</v>
      </c>
      <c r="D1254">
        <v>8</v>
      </c>
      <c r="E1254">
        <v>1891</v>
      </c>
      <c r="F1254" t="s">
        <v>4890</v>
      </c>
      <c r="G1254" t="s">
        <v>6478</v>
      </c>
      <c r="H1254">
        <v>750887</v>
      </c>
      <c r="I1254">
        <v>410050</v>
      </c>
      <c r="J1254">
        <v>1</v>
      </c>
      <c r="K1254">
        <v>750887</v>
      </c>
      <c r="L1254">
        <v>410050</v>
      </c>
      <c r="M1254">
        <v>599</v>
      </c>
    </row>
    <row r="1255" spans="1:13" ht="15">
      <c r="A1255" t="s">
        <v>3552</v>
      </c>
      <c r="B1255" s="1040" t="str">
        <f>CONCATENATE(LEFT(RIGHT(CONCATENATE("000",IFAData_TEA_1819!A1255),6),3),"-",(RIGHT(RIGHT(CONCATENATE("000",IFAData_TEA_1819!A1255),6),3)))</f>
        <v>108-905</v>
      </c>
      <c r="C1255" t="s">
        <v>2374</v>
      </c>
      <c r="D1255">
        <v>9</v>
      </c>
      <c r="E1255">
        <v>1886</v>
      </c>
      <c r="F1255" t="s">
        <v>4891</v>
      </c>
      <c r="G1255" t="s">
        <v>4891</v>
      </c>
      <c r="H1255">
        <v>199228</v>
      </c>
      <c r="I1255">
        <v>0</v>
      </c>
      <c r="J1255">
        <v>0</v>
      </c>
      <c r="K1255">
        <v>0</v>
      </c>
      <c r="L1255">
        <v>0</v>
      </c>
      <c r="M1255">
        <v>599</v>
      </c>
    </row>
    <row r="1256" spans="1:13" ht="15">
      <c r="A1256" t="s">
        <v>3552</v>
      </c>
      <c r="B1256" s="1040" t="str">
        <f>CONCATENATE(LEFT(RIGHT(CONCATENATE("000",IFAData_TEA_1819!A1256),6),3),"-",(RIGHT(RIGHT(CONCATENATE("000",IFAData_TEA_1819!A1256),6),3)))</f>
        <v>108-905</v>
      </c>
      <c r="C1256" t="s">
        <v>2374</v>
      </c>
      <c r="D1256">
        <v>9</v>
      </c>
      <c r="E1256">
        <v>1886</v>
      </c>
      <c r="F1256" t="s">
        <v>4891</v>
      </c>
      <c r="G1256" t="s">
        <v>6477</v>
      </c>
      <c r="H1256">
        <v>199228</v>
      </c>
      <c r="I1256">
        <v>136100</v>
      </c>
      <c r="J1256">
        <v>1</v>
      </c>
      <c r="K1256">
        <v>199228</v>
      </c>
      <c r="L1256">
        <v>136100</v>
      </c>
      <c r="M1256">
        <v>599</v>
      </c>
    </row>
    <row r="1257" spans="1:13" ht="15">
      <c r="A1257" t="s">
        <v>3552</v>
      </c>
      <c r="B1257" s="1040" t="str">
        <f>CONCATENATE(LEFT(RIGHT(CONCATENATE("000",IFAData_TEA_1819!A1257),6),3),"-",(RIGHT(RIGHT(CONCATENATE("000",IFAData_TEA_1819!A1257),6),3)))</f>
        <v>108-905</v>
      </c>
      <c r="C1257" t="s">
        <v>2374</v>
      </c>
      <c r="D1257">
        <v>9</v>
      </c>
      <c r="E1257">
        <v>1887</v>
      </c>
      <c r="F1257" t="s">
        <v>4892</v>
      </c>
      <c r="G1257" t="s">
        <v>4892</v>
      </c>
      <c r="H1257">
        <v>342650</v>
      </c>
      <c r="I1257">
        <v>0</v>
      </c>
      <c r="J1257">
        <v>0</v>
      </c>
      <c r="K1257">
        <v>0</v>
      </c>
      <c r="L1257">
        <v>0</v>
      </c>
      <c r="M1257">
        <v>599</v>
      </c>
    </row>
    <row r="1258" spans="1:13" ht="15">
      <c r="A1258" t="s">
        <v>3552</v>
      </c>
      <c r="B1258" s="1040" t="str">
        <f>CONCATENATE(LEFT(RIGHT(CONCATENATE("000",IFAData_TEA_1819!A1258),6),3),"-",(RIGHT(RIGHT(CONCATENATE("000",IFAData_TEA_1819!A1258),6),3)))</f>
        <v>108-905</v>
      </c>
      <c r="C1258" t="s">
        <v>2374</v>
      </c>
      <c r="D1258">
        <v>9</v>
      </c>
      <c r="E1258">
        <v>1887</v>
      </c>
      <c r="F1258" t="s">
        <v>4892</v>
      </c>
      <c r="G1258" t="s">
        <v>8409</v>
      </c>
      <c r="H1258">
        <v>342650</v>
      </c>
      <c r="I1258">
        <v>159700</v>
      </c>
      <c r="J1258">
        <v>1</v>
      </c>
      <c r="K1258">
        <v>342650</v>
      </c>
      <c r="L1258">
        <v>159700</v>
      </c>
      <c r="M1258">
        <v>599</v>
      </c>
    </row>
    <row r="1259" spans="1:13" ht="15">
      <c r="A1259" t="s">
        <v>3553</v>
      </c>
      <c r="B1259" s="1040" t="str">
        <f>CONCATENATE(LEFT(RIGHT(CONCATENATE("000",IFAData_TEA_1819!A1259),6),3),"-",(RIGHT(RIGHT(CONCATENATE("000",IFAData_TEA_1819!A1259),6),3)))</f>
        <v>108-906</v>
      </c>
      <c r="C1259" t="s">
        <v>817</v>
      </c>
      <c r="D1259">
        <v>2</v>
      </c>
      <c r="E1259">
        <v>2079</v>
      </c>
      <c r="F1259" t="s">
        <v>4893</v>
      </c>
      <c r="G1259" t="s">
        <v>4893</v>
      </c>
      <c r="H1259">
        <v>1567290</v>
      </c>
      <c r="I1259">
        <v>0</v>
      </c>
      <c r="J1259">
        <v>0</v>
      </c>
      <c r="K1259"/>
      <c r="L1259">
        <v>0</v>
      </c>
      <c r="M1259">
        <v>599</v>
      </c>
    </row>
    <row r="1260" spans="1:13" ht="15">
      <c r="A1260" t="s">
        <v>3554</v>
      </c>
      <c r="B1260" s="1040" t="str">
        <f>CONCATENATE(LEFT(RIGHT(CONCATENATE("000",IFAData_TEA_1819!A1260),6),3),"-",(RIGHT(RIGHT(CONCATENATE("000",IFAData_TEA_1819!A1260),6),3)))</f>
        <v>108-907</v>
      </c>
      <c r="C1260" t="s">
        <v>2234</v>
      </c>
      <c r="D1260">
        <v>2</v>
      </c>
      <c r="E1260">
        <v>2092</v>
      </c>
      <c r="F1260" t="s">
        <v>4898</v>
      </c>
      <c r="G1260" t="s">
        <v>4898</v>
      </c>
      <c r="H1260">
        <v>1136573</v>
      </c>
      <c r="I1260">
        <v>0</v>
      </c>
      <c r="J1260">
        <v>0</v>
      </c>
      <c r="K1260">
        <v>0</v>
      </c>
      <c r="L1260">
        <v>0</v>
      </c>
      <c r="M1260">
        <v>599</v>
      </c>
    </row>
    <row r="1261" spans="1:13" ht="15">
      <c r="A1261" t="s">
        <v>3554</v>
      </c>
      <c r="B1261" s="1040" t="str">
        <f>CONCATENATE(LEFT(RIGHT(CONCATENATE("000",IFAData_TEA_1819!A1261),6),3),"-",(RIGHT(RIGHT(CONCATENATE("000",IFAData_TEA_1819!A1261),6),3)))</f>
        <v>108-907</v>
      </c>
      <c r="C1261" t="s">
        <v>2234</v>
      </c>
      <c r="D1261">
        <v>2</v>
      </c>
      <c r="E1261">
        <v>2092</v>
      </c>
      <c r="F1261" t="s">
        <v>4898</v>
      </c>
      <c r="G1261" t="s">
        <v>4899</v>
      </c>
      <c r="H1261">
        <v>1136573</v>
      </c>
      <c r="I1261">
        <v>0</v>
      </c>
      <c r="J1261">
        <v>0</v>
      </c>
      <c r="K1261">
        <v>0</v>
      </c>
      <c r="L1261">
        <v>0</v>
      </c>
      <c r="M1261">
        <v>599</v>
      </c>
    </row>
    <row r="1262" spans="1:13" ht="15">
      <c r="A1262" t="s">
        <v>3554</v>
      </c>
      <c r="B1262" s="1040" t="str">
        <f>CONCATENATE(LEFT(RIGHT(CONCATENATE("000",IFAData_TEA_1819!A1262),6),3),"-",(RIGHT(RIGHT(CONCATENATE("000",IFAData_TEA_1819!A1262),6),3)))</f>
        <v>108-907</v>
      </c>
      <c r="C1262" t="s">
        <v>2234</v>
      </c>
      <c r="D1262">
        <v>2</v>
      </c>
      <c r="E1262">
        <v>2092</v>
      </c>
      <c r="F1262" t="s">
        <v>4898</v>
      </c>
      <c r="G1262" t="s">
        <v>6266</v>
      </c>
      <c r="H1262">
        <v>1136573</v>
      </c>
      <c r="I1262">
        <v>1003937</v>
      </c>
      <c r="J1262">
        <v>1</v>
      </c>
      <c r="K1262">
        <v>1136573</v>
      </c>
      <c r="L1262">
        <v>1003937</v>
      </c>
      <c r="M1262">
        <v>599</v>
      </c>
    </row>
    <row r="1263" spans="1:13" ht="15">
      <c r="A1263" t="s">
        <v>3554</v>
      </c>
      <c r="B1263" s="1040" t="str">
        <f>CONCATENATE(LEFT(RIGHT(CONCATENATE("000",IFAData_TEA_1819!A1263),6),3),"-",(RIGHT(RIGHT(CONCATENATE("000",IFAData_TEA_1819!A1263),6),3)))</f>
        <v>108-907</v>
      </c>
      <c r="C1263" t="s">
        <v>2234</v>
      </c>
      <c r="D1263">
        <v>4</v>
      </c>
      <c r="E1263">
        <v>2093</v>
      </c>
      <c r="F1263" t="s">
        <v>4900</v>
      </c>
      <c r="G1263" t="s">
        <v>4900</v>
      </c>
      <c r="H1263">
        <v>1178123</v>
      </c>
      <c r="I1263">
        <v>0</v>
      </c>
      <c r="J1263">
        <v>0</v>
      </c>
      <c r="K1263">
        <v>0</v>
      </c>
      <c r="L1263">
        <v>0</v>
      </c>
      <c r="M1263">
        <v>599</v>
      </c>
    </row>
    <row r="1264" spans="1:13" ht="15">
      <c r="A1264" t="s">
        <v>3554</v>
      </c>
      <c r="B1264" s="1040" t="str">
        <f>CONCATENATE(LEFT(RIGHT(CONCATENATE("000",IFAData_TEA_1819!A1264),6),3),"-",(RIGHT(RIGHT(CONCATENATE("000",IFAData_TEA_1819!A1264),6),3)))</f>
        <v>108-907</v>
      </c>
      <c r="C1264" t="s">
        <v>2234</v>
      </c>
      <c r="D1264">
        <v>4</v>
      </c>
      <c r="E1264">
        <v>2093</v>
      </c>
      <c r="F1264" t="s">
        <v>4900</v>
      </c>
      <c r="G1264" t="s">
        <v>4899</v>
      </c>
      <c r="H1264">
        <v>1178123</v>
      </c>
      <c r="I1264">
        <v>0</v>
      </c>
      <c r="J1264">
        <v>0</v>
      </c>
      <c r="K1264">
        <v>0</v>
      </c>
      <c r="L1264">
        <v>0</v>
      </c>
      <c r="M1264">
        <v>599</v>
      </c>
    </row>
    <row r="1265" spans="1:13" ht="15">
      <c r="A1265" t="s">
        <v>3554</v>
      </c>
      <c r="B1265" s="1040" t="str">
        <f>CONCATENATE(LEFT(RIGHT(CONCATENATE("000",IFAData_TEA_1819!A1265),6),3),"-",(RIGHT(RIGHT(CONCATENATE("000",IFAData_TEA_1819!A1265),6),3)))</f>
        <v>108-907</v>
      </c>
      <c r="C1265" t="s">
        <v>2234</v>
      </c>
      <c r="D1265">
        <v>4</v>
      </c>
      <c r="E1265">
        <v>2093</v>
      </c>
      <c r="F1265" t="s">
        <v>4900</v>
      </c>
      <c r="G1265" t="s">
        <v>6266</v>
      </c>
      <c r="H1265">
        <v>1178123</v>
      </c>
      <c r="I1265">
        <v>1074138</v>
      </c>
      <c r="J1265">
        <v>1</v>
      </c>
      <c r="K1265">
        <v>1178123</v>
      </c>
      <c r="L1265">
        <v>1074138</v>
      </c>
      <c r="M1265">
        <v>599</v>
      </c>
    </row>
    <row r="1266" spans="1:13" ht="15">
      <c r="A1266" t="s">
        <v>3554</v>
      </c>
      <c r="B1266" s="1040" t="str">
        <f>CONCATENATE(LEFT(RIGHT(CONCATENATE("000",IFAData_TEA_1819!A1266),6),3),"-",(RIGHT(RIGHT(CONCATENATE("000",IFAData_TEA_1819!A1266),6),3)))</f>
        <v>108-907</v>
      </c>
      <c r="C1266" t="s">
        <v>2234</v>
      </c>
      <c r="D1266">
        <v>6</v>
      </c>
      <c r="E1266">
        <v>2091</v>
      </c>
      <c r="F1266" t="s">
        <v>4901</v>
      </c>
      <c r="G1266" t="s">
        <v>4901</v>
      </c>
      <c r="H1266">
        <v>668147</v>
      </c>
      <c r="I1266">
        <v>0</v>
      </c>
      <c r="J1266">
        <v>0</v>
      </c>
      <c r="K1266">
        <v>0</v>
      </c>
      <c r="L1266">
        <v>0</v>
      </c>
      <c r="M1266">
        <v>599</v>
      </c>
    </row>
    <row r="1267" spans="1:13" ht="15">
      <c r="A1267" t="s">
        <v>3554</v>
      </c>
      <c r="B1267" s="1040" t="str">
        <f>CONCATENATE(LEFT(RIGHT(CONCATENATE("000",IFAData_TEA_1819!A1267),6),3),"-",(RIGHT(RIGHT(CONCATENATE("000",IFAData_TEA_1819!A1267),6),3)))</f>
        <v>108-907</v>
      </c>
      <c r="C1267" t="s">
        <v>2234</v>
      </c>
      <c r="D1267">
        <v>6</v>
      </c>
      <c r="E1267">
        <v>2091</v>
      </c>
      <c r="F1267" t="s">
        <v>4901</v>
      </c>
      <c r="G1267" t="s">
        <v>4902</v>
      </c>
      <c r="H1267">
        <v>668147</v>
      </c>
      <c r="I1267">
        <v>638278</v>
      </c>
      <c r="J1267">
        <v>1</v>
      </c>
      <c r="K1267">
        <v>668147</v>
      </c>
      <c r="L1267">
        <v>638278</v>
      </c>
      <c r="M1267">
        <v>599</v>
      </c>
    </row>
    <row r="1268" spans="1:13" ht="15">
      <c r="A1268" t="s">
        <v>3554</v>
      </c>
      <c r="B1268" s="1040" t="str">
        <f>CONCATENATE(LEFT(RIGHT(CONCATENATE("000",IFAData_TEA_1819!A1268),6),3),"-",(RIGHT(RIGHT(CONCATENATE("000",IFAData_TEA_1819!A1268),6),3)))</f>
        <v>108-907</v>
      </c>
      <c r="C1268" t="s">
        <v>2234</v>
      </c>
      <c r="D1268">
        <v>7</v>
      </c>
      <c r="E1268">
        <v>2094</v>
      </c>
      <c r="F1268" t="s">
        <v>4903</v>
      </c>
      <c r="G1268" t="s">
        <v>4903</v>
      </c>
      <c r="H1268">
        <v>1254960</v>
      </c>
      <c r="I1268">
        <v>0</v>
      </c>
      <c r="J1268">
        <v>0</v>
      </c>
      <c r="K1268">
        <v>0</v>
      </c>
      <c r="L1268">
        <v>0</v>
      </c>
      <c r="M1268">
        <v>599</v>
      </c>
    </row>
    <row r="1269" spans="1:13" ht="15">
      <c r="A1269" t="s">
        <v>3554</v>
      </c>
      <c r="B1269" s="1040" t="str">
        <f>CONCATENATE(LEFT(RIGHT(CONCATENATE("000",IFAData_TEA_1819!A1269),6),3),"-",(RIGHT(RIGHT(CONCATENATE("000",IFAData_TEA_1819!A1269),6),3)))</f>
        <v>108-907</v>
      </c>
      <c r="C1269" t="s">
        <v>2234</v>
      </c>
      <c r="D1269">
        <v>7</v>
      </c>
      <c r="E1269">
        <v>2094</v>
      </c>
      <c r="F1269" t="s">
        <v>4903</v>
      </c>
      <c r="G1269" t="s">
        <v>4904</v>
      </c>
      <c r="H1269">
        <v>1254960</v>
      </c>
      <c r="I1269">
        <v>566994</v>
      </c>
      <c r="J1269">
        <v>1</v>
      </c>
      <c r="K1269">
        <v>1254960</v>
      </c>
      <c r="L1269">
        <v>566994</v>
      </c>
      <c r="M1269">
        <v>599</v>
      </c>
    </row>
    <row r="1270" spans="1:13" ht="15">
      <c r="A1270" t="s">
        <v>3554</v>
      </c>
      <c r="B1270" s="1040" t="str">
        <f>CONCATENATE(LEFT(RIGHT(CONCATENATE("000",IFAData_TEA_1819!A1270),6),3),"-",(RIGHT(RIGHT(CONCATENATE("000",IFAData_TEA_1819!A1270),6),3)))</f>
        <v>108-907</v>
      </c>
      <c r="C1270" t="s">
        <v>2234</v>
      </c>
      <c r="D1270">
        <v>8</v>
      </c>
      <c r="E1270">
        <v>2090</v>
      </c>
      <c r="F1270" t="s">
        <v>4905</v>
      </c>
      <c r="G1270" t="s">
        <v>4905</v>
      </c>
      <c r="H1270">
        <v>547625</v>
      </c>
      <c r="I1270">
        <v>162000</v>
      </c>
      <c r="J1270">
        <v>0.24417852766376899</v>
      </c>
      <c r="K1270">
        <v>133718.26621187199</v>
      </c>
      <c r="L1270">
        <v>133718.26621187199</v>
      </c>
      <c r="M1270">
        <v>599</v>
      </c>
    </row>
    <row r="1271" spans="1:13" ht="15">
      <c r="A1271" t="s">
        <v>3554</v>
      </c>
      <c r="B1271" s="1040" t="str">
        <f>CONCATENATE(LEFT(RIGHT(CONCATENATE("000",IFAData_TEA_1819!A1271),6),3),"-",(RIGHT(RIGHT(CONCATENATE("000",IFAData_TEA_1819!A1271),6),3)))</f>
        <v>108-907</v>
      </c>
      <c r="C1271" t="s">
        <v>2234</v>
      </c>
      <c r="D1271">
        <v>8</v>
      </c>
      <c r="E1271">
        <v>2090</v>
      </c>
      <c r="F1271" t="s">
        <v>4905</v>
      </c>
      <c r="G1271" t="s">
        <v>6266</v>
      </c>
      <c r="H1271">
        <v>547625</v>
      </c>
      <c r="I1271">
        <v>357449</v>
      </c>
      <c r="J1271">
        <v>0.53877389219065797</v>
      </c>
      <c r="K1271">
        <v>295046.05271090899</v>
      </c>
      <c r="L1271">
        <v>295046.05271090899</v>
      </c>
      <c r="M1271">
        <v>599</v>
      </c>
    </row>
    <row r="1272" spans="1:13" ht="15">
      <c r="A1272" t="s">
        <v>3554</v>
      </c>
      <c r="B1272" s="1040" t="str">
        <f>CONCATENATE(LEFT(RIGHT(CONCATENATE("000",IFAData_TEA_1819!A1272),6),3),"-",(RIGHT(RIGHT(CONCATENATE("000",IFAData_TEA_1819!A1272),6),3)))</f>
        <v>108-907</v>
      </c>
      <c r="C1272" t="s">
        <v>2234</v>
      </c>
      <c r="D1272">
        <v>8</v>
      </c>
      <c r="E1272">
        <v>2090</v>
      </c>
      <c r="F1272" t="s">
        <v>4905</v>
      </c>
      <c r="G1272" t="s">
        <v>8410</v>
      </c>
      <c r="H1272">
        <v>547625</v>
      </c>
      <c r="I1272">
        <v>144000</v>
      </c>
      <c r="J1272">
        <v>0.21704758014557299</v>
      </c>
      <c r="K1272">
        <v>118860.68107721899</v>
      </c>
      <c r="L1272">
        <v>118860.68107721899</v>
      </c>
      <c r="M1272">
        <v>599</v>
      </c>
    </row>
    <row r="1273" spans="1:13" ht="15">
      <c r="A1273" t="s">
        <v>3554</v>
      </c>
      <c r="B1273" s="1040" t="str">
        <f>CONCATENATE(LEFT(RIGHT(CONCATENATE("000",IFAData_TEA_1819!A1273),6),3),"-",(RIGHT(RIGHT(CONCATENATE("000",IFAData_TEA_1819!A1273),6),3)))</f>
        <v>108-907</v>
      </c>
      <c r="C1273" t="s">
        <v>2234</v>
      </c>
      <c r="D1273">
        <v>11</v>
      </c>
      <c r="E1273">
        <v>2554</v>
      </c>
      <c r="F1273" t="s">
        <v>6266</v>
      </c>
      <c r="G1273" t="s">
        <v>6266</v>
      </c>
      <c r="H1273">
        <v>1317586</v>
      </c>
      <c r="I1273">
        <v>400615</v>
      </c>
      <c r="J1273">
        <v>1</v>
      </c>
      <c r="K1273">
        <v>1317586</v>
      </c>
      <c r="L1273">
        <v>400615</v>
      </c>
      <c r="M1273">
        <v>599</v>
      </c>
    </row>
    <row r="1274" spans="1:13" ht="15">
      <c r="A1274" t="s">
        <v>3555</v>
      </c>
      <c r="B1274" s="1040" t="str">
        <f>CONCATENATE(LEFT(RIGHT(CONCATENATE("000",IFAData_TEA_1819!A1274),6),3),"-",(RIGHT(RIGHT(CONCATENATE("000",IFAData_TEA_1819!A1274),6),3)))</f>
        <v>108-908</v>
      </c>
      <c r="C1274" t="s">
        <v>38</v>
      </c>
      <c r="D1274">
        <v>2</v>
      </c>
      <c r="E1274">
        <v>2112</v>
      </c>
      <c r="F1274" t="s">
        <v>4906</v>
      </c>
      <c r="G1274" t="s">
        <v>4906</v>
      </c>
      <c r="H1274">
        <v>2844700</v>
      </c>
      <c r="I1274">
        <v>0</v>
      </c>
      <c r="J1274">
        <v>0</v>
      </c>
      <c r="K1274"/>
      <c r="L1274">
        <v>0</v>
      </c>
      <c r="M1274">
        <v>599</v>
      </c>
    </row>
    <row r="1275" spans="1:13" ht="15">
      <c r="A1275" t="s">
        <v>3555</v>
      </c>
      <c r="B1275" s="1040" t="str">
        <f>CONCATENATE(LEFT(RIGHT(CONCATENATE("000",IFAData_TEA_1819!A1275),6),3),"-",(RIGHT(RIGHT(CONCATENATE("000",IFAData_TEA_1819!A1275),6),3)))</f>
        <v>108-908</v>
      </c>
      <c r="C1275" t="s">
        <v>38</v>
      </c>
      <c r="D1275">
        <v>4</v>
      </c>
      <c r="E1275">
        <v>2111</v>
      </c>
      <c r="F1275" t="s">
        <v>4909</v>
      </c>
      <c r="G1275" t="s">
        <v>4909</v>
      </c>
      <c r="H1275">
        <v>2592893</v>
      </c>
      <c r="I1275">
        <v>0</v>
      </c>
      <c r="J1275">
        <v>0</v>
      </c>
      <c r="K1275">
        <v>0</v>
      </c>
      <c r="L1275">
        <v>0</v>
      </c>
      <c r="M1275">
        <v>599</v>
      </c>
    </row>
    <row r="1276" spans="1:13" ht="15">
      <c r="A1276" t="s">
        <v>3555</v>
      </c>
      <c r="B1276" s="1040" t="str">
        <f>CONCATENATE(LEFT(RIGHT(CONCATENATE("000",IFAData_TEA_1819!A1276),6),3),"-",(RIGHT(RIGHT(CONCATENATE("000",IFAData_TEA_1819!A1276),6),3)))</f>
        <v>108-908</v>
      </c>
      <c r="C1276" t="s">
        <v>38</v>
      </c>
      <c r="D1276">
        <v>4</v>
      </c>
      <c r="E1276">
        <v>2111</v>
      </c>
      <c r="F1276" t="s">
        <v>4909</v>
      </c>
      <c r="G1276" t="s">
        <v>4907</v>
      </c>
      <c r="H1276">
        <v>2592893</v>
      </c>
      <c r="I1276">
        <v>0</v>
      </c>
      <c r="J1276">
        <v>0</v>
      </c>
      <c r="K1276">
        <v>0</v>
      </c>
      <c r="L1276">
        <v>0</v>
      </c>
      <c r="M1276">
        <v>599</v>
      </c>
    </row>
    <row r="1277" spans="1:13" ht="15">
      <c r="A1277" t="s">
        <v>3555</v>
      </c>
      <c r="B1277" s="1040" t="str">
        <f>CONCATENATE(LEFT(RIGHT(CONCATENATE("000",IFAData_TEA_1819!A1277),6),3),"-",(RIGHT(RIGHT(CONCATENATE("000",IFAData_TEA_1819!A1277),6),3)))</f>
        <v>108-908</v>
      </c>
      <c r="C1277" t="s">
        <v>38</v>
      </c>
      <c r="D1277">
        <v>4</v>
      </c>
      <c r="E1277">
        <v>2111</v>
      </c>
      <c r="F1277" t="s">
        <v>4909</v>
      </c>
      <c r="G1277" t="s">
        <v>6267</v>
      </c>
      <c r="H1277">
        <v>2592893</v>
      </c>
      <c r="I1277">
        <v>2439050</v>
      </c>
      <c r="J1277">
        <v>1</v>
      </c>
      <c r="K1277">
        <v>2592893</v>
      </c>
      <c r="L1277">
        <v>2439050</v>
      </c>
      <c r="M1277">
        <v>599</v>
      </c>
    </row>
    <row r="1278" spans="1:13" ht="15">
      <c r="A1278" t="s">
        <v>3555</v>
      </c>
      <c r="B1278" s="1040" t="str">
        <f>CONCATENATE(LEFT(RIGHT(CONCATENATE("000",IFAData_TEA_1819!A1278),6),3),"-",(RIGHT(RIGHT(CONCATENATE("000",IFAData_TEA_1819!A1278),6),3)))</f>
        <v>108-908</v>
      </c>
      <c r="C1278" t="s">
        <v>38</v>
      </c>
      <c r="D1278">
        <v>8</v>
      </c>
      <c r="E1278">
        <v>2113</v>
      </c>
      <c r="F1278" t="s">
        <v>4910</v>
      </c>
      <c r="G1278" t="s">
        <v>4910</v>
      </c>
      <c r="H1278">
        <v>3559524</v>
      </c>
      <c r="I1278">
        <v>0</v>
      </c>
      <c r="J1278">
        <v>0</v>
      </c>
      <c r="K1278">
        <v>0</v>
      </c>
      <c r="L1278">
        <v>0</v>
      </c>
      <c r="M1278">
        <v>599</v>
      </c>
    </row>
    <row r="1279" spans="1:13" ht="15">
      <c r="A1279" t="s">
        <v>3555</v>
      </c>
      <c r="B1279" s="1040" t="str">
        <f>CONCATENATE(LEFT(RIGHT(CONCATENATE("000",IFAData_TEA_1819!A1279),6),3),"-",(RIGHT(RIGHT(CONCATENATE("000",IFAData_TEA_1819!A1279),6),3)))</f>
        <v>108-908</v>
      </c>
      <c r="C1279" t="s">
        <v>38</v>
      </c>
      <c r="D1279">
        <v>8</v>
      </c>
      <c r="E1279">
        <v>2113</v>
      </c>
      <c r="F1279" t="s">
        <v>4910</v>
      </c>
      <c r="G1279" t="s">
        <v>6268</v>
      </c>
      <c r="H1279">
        <v>3559524</v>
      </c>
      <c r="I1279">
        <v>3454100</v>
      </c>
      <c r="J1279">
        <v>1</v>
      </c>
      <c r="K1279">
        <v>3559524</v>
      </c>
      <c r="L1279">
        <v>3454100</v>
      </c>
      <c r="M1279">
        <v>599</v>
      </c>
    </row>
    <row r="1280" spans="1:13" ht="15">
      <c r="A1280" t="s">
        <v>3555</v>
      </c>
      <c r="B1280" s="1040" t="str">
        <f>CONCATENATE(LEFT(RIGHT(CONCATENATE("000",IFAData_TEA_1819!A1280),6),3),"-",(RIGHT(RIGHT(CONCATENATE("000",IFAData_TEA_1819!A1280),6),3)))</f>
        <v>108-908</v>
      </c>
      <c r="C1280" t="s">
        <v>38</v>
      </c>
      <c r="D1280">
        <v>9</v>
      </c>
      <c r="E1280">
        <v>2114</v>
      </c>
      <c r="F1280" t="s">
        <v>4911</v>
      </c>
      <c r="G1280" t="s">
        <v>4911</v>
      </c>
      <c r="H1280">
        <v>3776225</v>
      </c>
      <c r="I1280">
        <v>0</v>
      </c>
      <c r="J1280">
        <v>0</v>
      </c>
      <c r="K1280">
        <v>0</v>
      </c>
      <c r="L1280">
        <v>0</v>
      </c>
      <c r="M1280">
        <v>599</v>
      </c>
    </row>
    <row r="1281" spans="1:13" ht="15">
      <c r="A1281" t="s">
        <v>3555</v>
      </c>
      <c r="B1281" s="1040" t="str">
        <f>CONCATENATE(LEFT(RIGHT(CONCATENATE("000",IFAData_TEA_1819!A1281),6),3),"-",(RIGHT(RIGHT(CONCATENATE("000",IFAData_TEA_1819!A1281),6),3)))</f>
        <v>108-908</v>
      </c>
      <c r="C1281" t="s">
        <v>38</v>
      </c>
      <c r="D1281">
        <v>9</v>
      </c>
      <c r="E1281">
        <v>2114</v>
      </c>
      <c r="F1281" t="s">
        <v>4911</v>
      </c>
      <c r="G1281" t="s">
        <v>8411</v>
      </c>
      <c r="H1281">
        <v>3776225</v>
      </c>
      <c r="I1281">
        <v>3056094</v>
      </c>
      <c r="J1281">
        <v>1</v>
      </c>
      <c r="K1281">
        <v>3776225</v>
      </c>
      <c r="L1281">
        <v>3056094</v>
      </c>
      <c r="M1281">
        <v>599</v>
      </c>
    </row>
    <row r="1282" spans="1:13" ht="15">
      <c r="A1282" t="s">
        <v>3556</v>
      </c>
      <c r="B1282" s="1040" t="str">
        <f>CONCATENATE(LEFT(RIGHT(CONCATENATE("000",IFAData_TEA_1819!A1282),6),3),"-",(RIGHT(RIGHT(CONCATENATE("000",IFAData_TEA_1819!A1282),6),3)))</f>
        <v>108-909</v>
      </c>
      <c r="C1282" t="s">
        <v>999</v>
      </c>
      <c r="D1282">
        <v>1</v>
      </c>
      <c r="E1282">
        <v>2192</v>
      </c>
      <c r="F1282" t="s">
        <v>4912</v>
      </c>
      <c r="G1282" t="s">
        <v>4912</v>
      </c>
      <c r="H1282">
        <v>3945431</v>
      </c>
      <c r="I1282">
        <v>0</v>
      </c>
      <c r="J1282">
        <v>0</v>
      </c>
      <c r="K1282"/>
      <c r="L1282">
        <v>0</v>
      </c>
      <c r="M1282">
        <v>599</v>
      </c>
    </row>
    <row r="1283" spans="1:13" ht="15">
      <c r="A1283" t="s">
        <v>3556</v>
      </c>
      <c r="B1283" s="1040" t="str">
        <f>CONCATENATE(LEFT(RIGHT(CONCATENATE("000",IFAData_TEA_1819!A1283),6),3),"-",(RIGHT(RIGHT(CONCATENATE("000",IFAData_TEA_1819!A1283),6),3)))</f>
        <v>108-909</v>
      </c>
      <c r="C1283" t="s">
        <v>999</v>
      </c>
      <c r="D1283">
        <v>4</v>
      </c>
      <c r="E1283">
        <v>2193</v>
      </c>
      <c r="F1283" t="s">
        <v>4915</v>
      </c>
      <c r="G1283" t="s">
        <v>4915</v>
      </c>
      <c r="H1283">
        <v>4254043</v>
      </c>
      <c r="I1283">
        <v>0</v>
      </c>
      <c r="J1283">
        <v>0</v>
      </c>
      <c r="K1283">
        <v>0</v>
      </c>
      <c r="L1283">
        <v>0</v>
      </c>
      <c r="M1283">
        <v>599</v>
      </c>
    </row>
    <row r="1284" spans="1:13" ht="15">
      <c r="A1284" t="s">
        <v>3556</v>
      </c>
      <c r="B1284" s="1040" t="str">
        <f>CONCATENATE(LEFT(RIGHT(CONCATENATE("000",IFAData_TEA_1819!A1284),6),3),"-",(RIGHT(RIGHT(CONCATENATE("000",IFAData_TEA_1819!A1284),6),3)))</f>
        <v>108-909</v>
      </c>
      <c r="C1284" t="s">
        <v>999</v>
      </c>
      <c r="D1284">
        <v>4</v>
      </c>
      <c r="E1284">
        <v>2193</v>
      </c>
      <c r="F1284" t="s">
        <v>4915</v>
      </c>
      <c r="G1284" t="s">
        <v>4913</v>
      </c>
      <c r="H1284">
        <v>4254043</v>
      </c>
      <c r="I1284">
        <v>0</v>
      </c>
      <c r="J1284">
        <v>0</v>
      </c>
      <c r="K1284">
        <v>0</v>
      </c>
      <c r="L1284">
        <v>0</v>
      </c>
      <c r="M1284">
        <v>599</v>
      </c>
    </row>
    <row r="1285" spans="1:13" ht="15">
      <c r="A1285" t="s">
        <v>3556</v>
      </c>
      <c r="B1285" s="1040" t="str">
        <f>CONCATENATE(LEFT(RIGHT(CONCATENATE("000",IFAData_TEA_1819!A1285),6),3),"-",(RIGHT(RIGHT(CONCATENATE("000",IFAData_TEA_1819!A1285),6),3)))</f>
        <v>108-909</v>
      </c>
      <c r="C1285" t="s">
        <v>999</v>
      </c>
      <c r="D1285">
        <v>4</v>
      </c>
      <c r="E1285">
        <v>2193</v>
      </c>
      <c r="F1285" t="s">
        <v>4915</v>
      </c>
      <c r="G1285" t="s">
        <v>4914</v>
      </c>
      <c r="H1285">
        <v>4254043</v>
      </c>
      <c r="I1285">
        <v>1726135</v>
      </c>
      <c r="J1285">
        <v>0.47765901189875598</v>
      </c>
      <c r="K1285">
        <v>2031981.9759548199</v>
      </c>
      <c r="L1285">
        <v>1726135</v>
      </c>
      <c r="M1285">
        <v>599</v>
      </c>
    </row>
    <row r="1286" spans="1:13" ht="15">
      <c r="A1286" t="s">
        <v>3556</v>
      </c>
      <c r="B1286" s="1040" t="str">
        <f>CONCATENATE(LEFT(RIGHT(CONCATENATE("000",IFAData_TEA_1819!A1286),6),3),"-",(RIGHT(RIGHT(CONCATENATE("000",IFAData_TEA_1819!A1286),6),3)))</f>
        <v>108-909</v>
      </c>
      <c r="C1286" t="s">
        <v>999</v>
      </c>
      <c r="D1286">
        <v>4</v>
      </c>
      <c r="E1286">
        <v>2193</v>
      </c>
      <c r="F1286" t="s">
        <v>4915</v>
      </c>
      <c r="G1286" t="s">
        <v>6269</v>
      </c>
      <c r="H1286">
        <v>4254043</v>
      </c>
      <c r="I1286">
        <v>0</v>
      </c>
      <c r="J1286">
        <v>0</v>
      </c>
      <c r="K1286">
        <v>0</v>
      </c>
      <c r="L1286">
        <v>0</v>
      </c>
      <c r="M1286">
        <v>599</v>
      </c>
    </row>
    <row r="1287" spans="1:13" ht="15">
      <c r="A1287" t="s">
        <v>3556</v>
      </c>
      <c r="B1287" s="1040" t="str">
        <f>CONCATENATE(LEFT(RIGHT(CONCATENATE("000",IFAData_TEA_1819!A1287),6),3),"-",(RIGHT(RIGHT(CONCATENATE("000",IFAData_TEA_1819!A1287),6),3)))</f>
        <v>108-909</v>
      </c>
      <c r="C1287" t="s">
        <v>999</v>
      </c>
      <c r="D1287">
        <v>4</v>
      </c>
      <c r="E1287">
        <v>2193</v>
      </c>
      <c r="F1287" t="s">
        <v>4915</v>
      </c>
      <c r="G1287" t="s">
        <v>6479</v>
      </c>
      <c r="H1287">
        <v>4254043</v>
      </c>
      <c r="I1287">
        <v>1887604</v>
      </c>
      <c r="J1287">
        <v>0.52234098810124396</v>
      </c>
      <c r="K1287">
        <v>2222061.0240451801</v>
      </c>
      <c r="L1287">
        <v>1887604</v>
      </c>
      <c r="M1287">
        <v>599</v>
      </c>
    </row>
    <row r="1288" spans="1:13" ht="15">
      <c r="A1288" t="s">
        <v>3556</v>
      </c>
      <c r="B1288" s="1040" t="str">
        <f>CONCATENATE(LEFT(RIGHT(CONCATENATE("000",IFAData_TEA_1819!A1288),6),3),"-",(RIGHT(RIGHT(CONCATENATE("000",IFAData_TEA_1819!A1288),6),3)))</f>
        <v>108-909</v>
      </c>
      <c r="C1288" t="s">
        <v>999</v>
      </c>
      <c r="D1288">
        <v>8</v>
      </c>
      <c r="E1288">
        <v>2191</v>
      </c>
      <c r="F1288" t="s">
        <v>4916</v>
      </c>
      <c r="G1288" t="s">
        <v>4916</v>
      </c>
      <c r="H1288">
        <v>1734000</v>
      </c>
      <c r="I1288">
        <v>0</v>
      </c>
      <c r="J1288">
        <v>0</v>
      </c>
      <c r="K1288">
        <v>0</v>
      </c>
      <c r="L1288">
        <v>0</v>
      </c>
      <c r="M1288">
        <v>599</v>
      </c>
    </row>
    <row r="1289" spans="1:13" ht="15">
      <c r="A1289" t="s">
        <v>3556</v>
      </c>
      <c r="B1289" s="1040" t="str">
        <f>CONCATENATE(LEFT(RIGHT(CONCATENATE("000",IFAData_TEA_1819!A1289),6),3),"-",(RIGHT(RIGHT(CONCATENATE("000",IFAData_TEA_1819!A1289),6),3)))</f>
        <v>108-909</v>
      </c>
      <c r="C1289" t="s">
        <v>999</v>
      </c>
      <c r="D1289">
        <v>8</v>
      </c>
      <c r="E1289">
        <v>2191</v>
      </c>
      <c r="F1289" t="s">
        <v>4916</v>
      </c>
      <c r="G1289" t="s">
        <v>4913</v>
      </c>
      <c r="H1289">
        <v>1734000</v>
      </c>
      <c r="I1289">
        <v>0</v>
      </c>
      <c r="J1289">
        <v>0</v>
      </c>
      <c r="K1289">
        <v>0</v>
      </c>
      <c r="L1289">
        <v>0</v>
      </c>
      <c r="M1289">
        <v>599</v>
      </c>
    </row>
    <row r="1290" spans="1:13" ht="15">
      <c r="A1290" t="s">
        <v>3556</v>
      </c>
      <c r="B1290" s="1040" t="str">
        <f>CONCATENATE(LEFT(RIGHT(CONCATENATE("000",IFAData_TEA_1819!A1290),6),3),"-",(RIGHT(RIGHT(CONCATENATE("000",IFAData_TEA_1819!A1290),6),3)))</f>
        <v>108-909</v>
      </c>
      <c r="C1290" t="s">
        <v>999</v>
      </c>
      <c r="D1290">
        <v>8</v>
      </c>
      <c r="E1290">
        <v>2191</v>
      </c>
      <c r="F1290" t="s">
        <v>4916</v>
      </c>
      <c r="G1290" t="s">
        <v>4914</v>
      </c>
      <c r="H1290">
        <v>1734000</v>
      </c>
      <c r="I1290">
        <v>864220</v>
      </c>
      <c r="J1290">
        <v>0.48721910991266698</v>
      </c>
      <c r="K1290">
        <v>844837.93658856396</v>
      </c>
      <c r="L1290">
        <v>844837.93658856396</v>
      </c>
      <c r="M1290">
        <v>599</v>
      </c>
    </row>
    <row r="1291" spans="1:13" ht="15">
      <c r="A1291" t="s">
        <v>3556</v>
      </c>
      <c r="B1291" s="1040" t="str">
        <f>CONCATENATE(LEFT(RIGHT(CONCATENATE("000",IFAData_TEA_1819!A1291),6),3),"-",(RIGHT(RIGHT(CONCATENATE("000",IFAData_TEA_1819!A1291),6),3)))</f>
        <v>108-909</v>
      </c>
      <c r="C1291" t="s">
        <v>999</v>
      </c>
      <c r="D1291">
        <v>8</v>
      </c>
      <c r="E1291">
        <v>2191</v>
      </c>
      <c r="F1291" t="s">
        <v>4916</v>
      </c>
      <c r="G1291" t="s">
        <v>6269</v>
      </c>
      <c r="H1291">
        <v>1734000</v>
      </c>
      <c r="I1291">
        <v>474162</v>
      </c>
      <c r="J1291">
        <v>0.26731710397168501</v>
      </c>
      <c r="K1291">
        <v>463527.85828690202</v>
      </c>
      <c r="L1291">
        <v>463527.85828690202</v>
      </c>
      <c r="M1291">
        <v>599</v>
      </c>
    </row>
    <row r="1292" spans="1:13" ht="15">
      <c r="A1292" t="s">
        <v>3556</v>
      </c>
      <c r="B1292" s="1040" t="str">
        <f>CONCATENATE(LEFT(RIGHT(CONCATENATE("000",IFAData_TEA_1819!A1292),6),3),"-",(RIGHT(RIGHT(CONCATENATE("000",IFAData_TEA_1819!A1292),6),3)))</f>
        <v>108-909</v>
      </c>
      <c r="C1292" t="s">
        <v>999</v>
      </c>
      <c r="D1292">
        <v>8</v>
      </c>
      <c r="E1292">
        <v>2191</v>
      </c>
      <c r="F1292" t="s">
        <v>4916</v>
      </c>
      <c r="G1292" t="s">
        <v>6479</v>
      </c>
      <c r="H1292">
        <v>1734000</v>
      </c>
      <c r="I1292">
        <v>435399</v>
      </c>
      <c r="J1292">
        <v>0.24546378611564801</v>
      </c>
      <c r="K1292">
        <v>425634.20512453298</v>
      </c>
      <c r="L1292">
        <v>425634.20512453298</v>
      </c>
      <c r="M1292">
        <v>599</v>
      </c>
    </row>
    <row r="1293" spans="1:13" ht="15">
      <c r="A1293" t="s">
        <v>3556</v>
      </c>
      <c r="B1293" s="1040" t="str">
        <f>CONCATENATE(LEFT(RIGHT(CONCATENATE("000",IFAData_TEA_1819!A1293),6),3),"-",(RIGHT(RIGHT(CONCATENATE("000",IFAData_TEA_1819!A1293),6),3)))</f>
        <v>108-909</v>
      </c>
      <c r="C1293" t="s">
        <v>999</v>
      </c>
      <c r="D1293">
        <v>8</v>
      </c>
      <c r="E1293">
        <v>2194</v>
      </c>
      <c r="F1293" t="s">
        <v>4913</v>
      </c>
      <c r="G1293" t="s">
        <v>4913</v>
      </c>
      <c r="H1293">
        <v>4319089</v>
      </c>
      <c r="I1293">
        <v>0</v>
      </c>
      <c r="J1293">
        <v>0</v>
      </c>
      <c r="K1293">
        <v>0</v>
      </c>
      <c r="L1293">
        <v>0</v>
      </c>
      <c r="M1293">
        <v>599</v>
      </c>
    </row>
    <row r="1294" spans="1:13" ht="15">
      <c r="A1294" t="s">
        <v>3556</v>
      </c>
      <c r="B1294" s="1040" t="str">
        <f>CONCATENATE(LEFT(RIGHT(CONCATENATE("000",IFAData_TEA_1819!A1294),6),3),"-",(RIGHT(RIGHT(CONCATENATE("000",IFAData_TEA_1819!A1294),6),3)))</f>
        <v>108-909</v>
      </c>
      <c r="C1294" t="s">
        <v>999</v>
      </c>
      <c r="D1294">
        <v>8</v>
      </c>
      <c r="E1294">
        <v>2194</v>
      </c>
      <c r="F1294" t="s">
        <v>4913</v>
      </c>
      <c r="G1294" t="s">
        <v>4914</v>
      </c>
      <c r="H1294">
        <v>4319089</v>
      </c>
      <c r="I1294">
        <v>1909513</v>
      </c>
      <c r="J1294">
        <v>0.48080676282400697</v>
      </c>
      <c r="K1294">
        <v>2076647.20043878</v>
      </c>
      <c r="L1294">
        <v>1909513</v>
      </c>
      <c r="M1294">
        <v>599</v>
      </c>
    </row>
    <row r="1295" spans="1:13" ht="15">
      <c r="A1295" t="s">
        <v>3556</v>
      </c>
      <c r="B1295" s="1040" t="str">
        <f>CONCATENATE(LEFT(RIGHT(CONCATENATE("000",IFAData_TEA_1819!A1295),6),3),"-",(RIGHT(RIGHT(CONCATENATE("000",IFAData_TEA_1819!A1295),6),3)))</f>
        <v>108-909</v>
      </c>
      <c r="C1295" t="s">
        <v>999</v>
      </c>
      <c r="D1295">
        <v>8</v>
      </c>
      <c r="E1295">
        <v>2194</v>
      </c>
      <c r="F1295" t="s">
        <v>4913</v>
      </c>
      <c r="G1295" t="s">
        <v>6269</v>
      </c>
      <c r="H1295">
        <v>4319089</v>
      </c>
      <c r="I1295">
        <v>349534</v>
      </c>
      <c r="J1295">
        <v>8.8011085044682399E-2</v>
      </c>
      <c r="K1295">
        <v>380127.70929455198</v>
      </c>
      <c r="L1295">
        <v>349534</v>
      </c>
      <c r="M1295">
        <v>599</v>
      </c>
    </row>
    <row r="1296" spans="1:13" ht="15">
      <c r="A1296" t="s">
        <v>3556</v>
      </c>
      <c r="B1296" s="1040" t="str">
        <f>CONCATENATE(LEFT(RIGHT(CONCATENATE("000",IFAData_TEA_1819!A1296),6),3),"-",(RIGHT(RIGHT(CONCATENATE("000",IFAData_TEA_1819!A1296),6),3)))</f>
        <v>108-909</v>
      </c>
      <c r="C1296" t="s">
        <v>999</v>
      </c>
      <c r="D1296">
        <v>8</v>
      </c>
      <c r="E1296">
        <v>2194</v>
      </c>
      <c r="F1296" t="s">
        <v>4913</v>
      </c>
      <c r="G1296" t="s">
        <v>6479</v>
      </c>
      <c r="H1296">
        <v>4319089</v>
      </c>
      <c r="I1296">
        <v>1712430</v>
      </c>
      <c r="J1296">
        <v>0.43118215213131</v>
      </c>
      <c r="K1296">
        <v>1862314.0902666701</v>
      </c>
      <c r="L1296">
        <v>1712430</v>
      </c>
      <c r="M1296">
        <v>599</v>
      </c>
    </row>
    <row r="1297" spans="1:13" ht="15">
      <c r="A1297" t="s">
        <v>3556</v>
      </c>
      <c r="B1297" s="1040" t="str">
        <f>CONCATENATE(LEFT(RIGHT(CONCATENATE("000",IFAData_TEA_1819!A1297),6),3),"-",(RIGHT(RIGHT(CONCATENATE("000",IFAData_TEA_1819!A1297),6),3)))</f>
        <v>108-909</v>
      </c>
      <c r="C1297" t="s">
        <v>999</v>
      </c>
      <c r="D1297">
        <v>9</v>
      </c>
      <c r="E1297">
        <v>2196</v>
      </c>
      <c r="F1297" t="s">
        <v>4917</v>
      </c>
      <c r="G1297" t="s">
        <v>4917</v>
      </c>
      <c r="H1297">
        <v>6721621</v>
      </c>
      <c r="I1297">
        <v>0</v>
      </c>
      <c r="J1297">
        <v>0</v>
      </c>
      <c r="K1297">
        <v>0</v>
      </c>
      <c r="L1297">
        <v>0</v>
      </c>
      <c r="M1297">
        <v>599</v>
      </c>
    </row>
    <row r="1298" spans="1:13" ht="15">
      <c r="A1298" t="s">
        <v>3556</v>
      </c>
      <c r="B1298" s="1040" t="str">
        <f>CONCATENATE(LEFT(RIGHT(CONCATENATE("000",IFAData_TEA_1819!A1298),6),3),"-",(RIGHT(RIGHT(CONCATENATE("000",IFAData_TEA_1819!A1298),6),3)))</f>
        <v>108-909</v>
      </c>
      <c r="C1298" t="s">
        <v>999</v>
      </c>
      <c r="D1298">
        <v>9</v>
      </c>
      <c r="E1298">
        <v>2196</v>
      </c>
      <c r="F1298" t="s">
        <v>4917</v>
      </c>
      <c r="G1298" t="s">
        <v>6269</v>
      </c>
      <c r="H1298">
        <v>6721621</v>
      </c>
      <c r="I1298">
        <v>2267688</v>
      </c>
      <c r="J1298">
        <v>0.38155509468007398</v>
      </c>
      <c r="K1298">
        <v>2564668.7370585701</v>
      </c>
      <c r="L1298">
        <v>2267688</v>
      </c>
      <c r="M1298">
        <v>599</v>
      </c>
    </row>
    <row r="1299" spans="1:13" ht="15">
      <c r="A1299" t="s">
        <v>3556</v>
      </c>
      <c r="B1299" s="1040" t="str">
        <f>CONCATENATE(LEFT(RIGHT(CONCATENATE("000",IFAData_TEA_1819!A1299),6),3),"-",(RIGHT(RIGHT(CONCATENATE("000",IFAData_TEA_1819!A1299),6),3)))</f>
        <v>108-909</v>
      </c>
      <c r="C1299" t="s">
        <v>999</v>
      </c>
      <c r="D1299">
        <v>9</v>
      </c>
      <c r="E1299">
        <v>2196</v>
      </c>
      <c r="F1299" t="s">
        <v>4917</v>
      </c>
      <c r="G1299" t="s">
        <v>6479</v>
      </c>
      <c r="H1299">
        <v>6721621</v>
      </c>
      <c r="I1299">
        <v>3675590</v>
      </c>
      <c r="J1299">
        <v>0.61844490531992602</v>
      </c>
      <c r="K1299">
        <v>4156952.2629414299</v>
      </c>
      <c r="L1299">
        <v>3675590</v>
      </c>
      <c r="M1299">
        <v>599</v>
      </c>
    </row>
    <row r="1300" spans="1:13" ht="15">
      <c r="A1300" t="s">
        <v>3556</v>
      </c>
      <c r="B1300" s="1040" t="str">
        <f>CONCATENATE(LEFT(RIGHT(CONCATENATE("000",IFAData_TEA_1819!A1300),6),3),"-",(RIGHT(RIGHT(CONCATENATE("000",IFAData_TEA_1819!A1300),6),3)))</f>
        <v>108-909</v>
      </c>
      <c r="C1300" t="s">
        <v>999</v>
      </c>
      <c r="D1300">
        <v>10</v>
      </c>
      <c r="E1300">
        <v>2195</v>
      </c>
      <c r="F1300" t="s">
        <v>4918</v>
      </c>
      <c r="G1300" t="s">
        <v>4918</v>
      </c>
      <c r="H1300">
        <v>5985990</v>
      </c>
      <c r="I1300">
        <v>4530300</v>
      </c>
      <c r="J1300">
        <v>0.71246512808504103</v>
      </c>
      <c r="K1300">
        <v>4264809.1320657702</v>
      </c>
      <c r="L1300">
        <v>4264809.1320657702</v>
      </c>
      <c r="M1300">
        <v>599</v>
      </c>
    </row>
    <row r="1301" spans="1:13" ht="15">
      <c r="A1301" t="s">
        <v>3556</v>
      </c>
      <c r="B1301" s="1040" t="str">
        <f>CONCATENATE(LEFT(RIGHT(CONCATENATE("000",IFAData_TEA_1819!A1301),6),3),"-",(RIGHT(RIGHT(CONCATENATE("000",IFAData_TEA_1819!A1301),6),3)))</f>
        <v>108-909</v>
      </c>
      <c r="C1301" t="s">
        <v>999</v>
      </c>
      <c r="D1301">
        <v>10</v>
      </c>
      <c r="E1301">
        <v>2195</v>
      </c>
      <c r="F1301" t="s">
        <v>4918</v>
      </c>
      <c r="G1301" t="s">
        <v>6479</v>
      </c>
      <c r="H1301">
        <v>5985990</v>
      </c>
      <c r="I1301">
        <v>1477927</v>
      </c>
      <c r="J1301">
        <v>0.232428635930367</v>
      </c>
      <c r="K1301">
        <v>1391315.49039282</v>
      </c>
      <c r="L1301">
        <v>1391315.49039282</v>
      </c>
      <c r="M1301">
        <v>599</v>
      </c>
    </row>
    <row r="1302" spans="1:13" ht="15">
      <c r="A1302" t="s">
        <v>3556</v>
      </c>
      <c r="B1302" s="1040" t="str">
        <f>CONCATENATE(LEFT(RIGHT(CONCATENATE("000",IFAData_TEA_1819!A1302),6),3),"-",(RIGHT(RIGHT(CONCATENATE("000",IFAData_TEA_1819!A1302),6),3)))</f>
        <v>108-909</v>
      </c>
      <c r="C1302" t="s">
        <v>999</v>
      </c>
      <c r="D1302">
        <v>10</v>
      </c>
      <c r="E1302">
        <v>2195</v>
      </c>
      <c r="F1302" t="s">
        <v>4918</v>
      </c>
      <c r="G1302" t="s">
        <v>8412</v>
      </c>
      <c r="H1302">
        <v>5985990</v>
      </c>
      <c r="I1302">
        <v>350400</v>
      </c>
      <c r="J1302">
        <v>5.51062359845923E-2</v>
      </c>
      <c r="K1302">
        <v>329865.37754140998</v>
      </c>
      <c r="L1302">
        <v>329865.37754140998</v>
      </c>
      <c r="M1302">
        <v>599</v>
      </c>
    </row>
    <row r="1303" spans="1:13" ht="15">
      <c r="A1303" t="s">
        <v>3557</v>
      </c>
      <c r="B1303" s="1040" t="str">
        <f>CONCATENATE(LEFT(RIGHT(CONCATENATE("000",IFAData_TEA_1819!A1303),6),3),"-",(RIGHT(RIGHT(CONCATENATE("000",IFAData_TEA_1819!A1303),6),3)))</f>
        <v>108-910</v>
      </c>
      <c r="C1303" t="s">
        <v>75</v>
      </c>
      <c r="D1303">
        <v>1</v>
      </c>
      <c r="E1303">
        <v>2218</v>
      </c>
      <c r="F1303" t="s">
        <v>4919</v>
      </c>
      <c r="G1303" t="s">
        <v>4919</v>
      </c>
      <c r="H1303">
        <v>426618</v>
      </c>
      <c r="I1303">
        <v>0</v>
      </c>
      <c r="J1303">
        <v>0</v>
      </c>
      <c r="K1303">
        <v>0</v>
      </c>
      <c r="L1303">
        <v>0</v>
      </c>
      <c r="M1303">
        <v>599</v>
      </c>
    </row>
    <row r="1304" spans="1:13" ht="15">
      <c r="A1304" t="s">
        <v>3557</v>
      </c>
      <c r="B1304" s="1040" t="str">
        <f>CONCATENATE(LEFT(RIGHT(CONCATENATE("000",IFAData_TEA_1819!A1304),6),3),"-",(RIGHT(RIGHT(CONCATENATE("000",IFAData_TEA_1819!A1304),6),3)))</f>
        <v>108-910</v>
      </c>
      <c r="C1304" t="s">
        <v>75</v>
      </c>
      <c r="D1304">
        <v>1</v>
      </c>
      <c r="E1304">
        <v>2218</v>
      </c>
      <c r="F1304" t="s">
        <v>4919</v>
      </c>
      <c r="G1304" t="s">
        <v>4920</v>
      </c>
      <c r="H1304">
        <v>426618</v>
      </c>
      <c r="I1304">
        <v>403800</v>
      </c>
      <c r="J1304">
        <v>1</v>
      </c>
      <c r="K1304">
        <v>426618</v>
      </c>
      <c r="L1304">
        <v>403800</v>
      </c>
      <c r="M1304">
        <v>599</v>
      </c>
    </row>
    <row r="1305" spans="1:13" ht="15">
      <c r="A1305" t="s">
        <v>3557</v>
      </c>
      <c r="B1305" s="1040" t="str">
        <f>CONCATENATE(LEFT(RIGHT(CONCATENATE("000",IFAData_TEA_1819!A1305),6),3),"-",(RIGHT(RIGHT(CONCATENATE("000",IFAData_TEA_1819!A1305),6),3)))</f>
        <v>108-910</v>
      </c>
      <c r="C1305" t="s">
        <v>75</v>
      </c>
      <c r="D1305">
        <v>6</v>
      </c>
      <c r="E1305">
        <v>2220</v>
      </c>
      <c r="F1305" t="s">
        <v>4921</v>
      </c>
      <c r="G1305" t="s">
        <v>4921</v>
      </c>
      <c r="H1305">
        <v>448118</v>
      </c>
      <c r="I1305">
        <v>0</v>
      </c>
      <c r="J1305">
        <v>0</v>
      </c>
      <c r="K1305">
        <v>0</v>
      </c>
      <c r="L1305">
        <v>0</v>
      </c>
      <c r="M1305">
        <v>599</v>
      </c>
    </row>
    <row r="1306" spans="1:13" ht="15">
      <c r="A1306" t="s">
        <v>3557</v>
      </c>
      <c r="B1306" s="1040" t="str">
        <f>CONCATENATE(LEFT(RIGHT(CONCATENATE("000",IFAData_TEA_1819!A1306),6),3),"-",(RIGHT(RIGHT(CONCATENATE("000",IFAData_TEA_1819!A1306),6),3)))</f>
        <v>108-910</v>
      </c>
      <c r="C1306" t="s">
        <v>75</v>
      </c>
      <c r="D1306">
        <v>6</v>
      </c>
      <c r="E1306">
        <v>2220</v>
      </c>
      <c r="F1306" t="s">
        <v>4921</v>
      </c>
      <c r="G1306" t="s">
        <v>4922</v>
      </c>
      <c r="H1306">
        <v>448118</v>
      </c>
      <c r="I1306">
        <v>426963</v>
      </c>
      <c r="J1306">
        <v>1</v>
      </c>
      <c r="K1306">
        <v>448118</v>
      </c>
      <c r="L1306">
        <v>426963</v>
      </c>
      <c r="M1306">
        <v>599</v>
      </c>
    </row>
    <row r="1307" spans="1:13" ht="15">
      <c r="A1307" t="s">
        <v>3557</v>
      </c>
      <c r="B1307" s="1040" t="str">
        <f>CONCATENATE(LEFT(RIGHT(CONCATENATE("000",IFAData_TEA_1819!A1307),6),3),"-",(RIGHT(RIGHT(CONCATENATE("000",IFAData_TEA_1819!A1307),6),3)))</f>
        <v>108-910</v>
      </c>
      <c r="C1307" t="s">
        <v>75</v>
      </c>
      <c r="D1307">
        <v>6</v>
      </c>
      <c r="E1307">
        <v>2220</v>
      </c>
      <c r="F1307" t="s">
        <v>4921</v>
      </c>
      <c r="G1307" t="s">
        <v>4923</v>
      </c>
      <c r="H1307">
        <v>448118</v>
      </c>
      <c r="I1307">
        <v>0</v>
      </c>
      <c r="J1307">
        <v>0</v>
      </c>
      <c r="K1307">
        <v>0</v>
      </c>
      <c r="L1307">
        <v>0</v>
      </c>
      <c r="M1307">
        <v>599</v>
      </c>
    </row>
    <row r="1308" spans="1:13" ht="15">
      <c r="A1308" t="s">
        <v>3557</v>
      </c>
      <c r="B1308" s="1040" t="str">
        <f>CONCATENATE(LEFT(RIGHT(CONCATENATE("000",IFAData_TEA_1819!A1308),6),3),"-",(RIGHT(RIGHT(CONCATENATE("000",IFAData_TEA_1819!A1308),6),3)))</f>
        <v>108-910</v>
      </c>
      <c r="C1308" t="s">
        <v>75</v>
      </c>
      <c r="D1308">
        <v>7</v>
      </c>
      <c r="E1308">
        <v>2217</v>
      </c>
      <c r="F1308" t="s">
        <v>4924</v>
      </c>
      <c r="G1308" t="s">
        <v>4924</v>
      </c>
      <c r="H1308">
        <v>267450</v>
      </c>
      <c r="I1308">
        <v>0</v>
      </c>
      <c r="J1308">
        <v>0</v>
      </c>
      <c r="K1308">
        <v>0</v>
      </c>
      <c r="L1308">
        <v>0</v>
      </c>
      <c r="M1308">
        <v>599</v>
      </c>
    </row>
    <row r="1309" spans="1:13" ht="15">
      <c r="A1309" t="s">
        <v>3557</v>
      </c>
      <c r="B1309" s="1040" t="str">
        <f>CONCATENATE(LEFT(RIGHT(CONCATENATE("000",IFAData_TEA_1819!A1309),6),3),"-",(RIGHT(RIGHT(CONCATENATE("000",IFAData_TEA_1819!A1309),6),3)))</f>
        <v>108-910</v>
      </c>
      <c r="C1309" t="s">
        <v>75</v>
      </c>
      <c r="D1309">
        <v>7</v>
      </c>
      <c r="E1309">
        <v>2217</v>
      </c>
      <c r="F1309" t="s">
        <v>4924</v>
      </c>
      <c r="G1309" t="s">
        <v>4925</v>
      </c>
      <c r="H1309">
        <v>267450</v>
      </c>
      <c r="I1309">
        <v>228675</v>
      </c>
      <c r="J1309">
        <v>1</v>
      </c>
      <c r="K1309">
        <v>267450</v>
      </c>
      <c r="L1309">
        <v>228675</v>
      </c>
      <c r="M1309">
        <v>599</v>
      </c>
    </row>
    <row r="1310" spans="1:13" ht="15">
      <c r="A1310" t="s">
        <v>3557</v>
      </c>
      <c r="B1310" s="1040" t="str">
        <f>CONCATENATE(LEFT(RIGHT(CONCATENATE("000",IFAData_TEA_1819!A1310),6),3),"-",(RIGHT(RIGHT(CONCATENATE("000",IFAData_TEA_1819!A1310),6),3)))</f>
        <v>108-910</v>
      </c>
      <c r="C1310" t="s">
        <v>75</v>
      </c>
      <c r="D1310">
        <v>8</v>
      </c>
      <c r="E1310">
        <v>2221</v>
      </c>
      <c r="F1310" t="s">
        <v>4926</v>
      </c>
      <c r="G1310" t="s">
        <v>4926</v>
      </c>
      <c r="H1310">
        <v>486219</v>
      </c>
      <c r="I1310">
        <v>0</v>
      </c>
      <c r="J1310">
        <v>0</v>
      </c>
      <c r="K1310">
        <v>0</v>
      </c>
      <c r="L1310">
        <v>0</v>
      </c>
      <c r="M1310">
        <v>599</v>
      </c>
    </row>
    <row r="1311" spans="1:13" ht="15">
      <c r="A1311" t="s">
        <v>3557</v>
      </c>
      <c r="B1311" s="1040" t="str">
        <f>CONCATENATE(LEFT(RIGHT(CONCATENATE("000",IFAData_TEA_1819!A1311),6),3),"-",(RIGHT(RIGHT(CONCATENATE("000",IFAData_TEA_1819!A1311),6),3)))</f>
        <v>108-910</v>
      </c>
      <c r="C1311" t="s">
        <v>75</v>
      </c>
      <c r="D1311">
        <v>8</v>
      </c>
      <c r="E1311">
        <v>2221</v>
      </c>
      <c r="F1311" t="s">
        <v>4926</v>
      </c>
      <c r="G1311" t="s">
        <v>8413</v>
      </c>
      <c r="H1311">
        <v>486219</v>
      </c>
      <c r="I1311">
        <v>404150</v>
      </c>
      <c r="J1311">
        <v>1</v>
      </c>
      <c r="K1311">
        <v>486219</v>
      </c>
      <c r="L1311">
        <v>404150</v>
      </c>
      <c r="M1311">
        <v>599</v>
      </c>
    </row>
    <row r="1312" spans="1:13" ht="15">
      <c r="A1312" t="s">
        <v>3557</v>
      </c>
      <c r="B1312" s="1040" t="str">
        <f>CONCATENATE(LEFT(RIGHT(CONCATENATE("000",IFAData_TEA_1819!A1312),6),3),"-",(RIGHT(RIGHT(CONCATENATE("000",IFAData_TEA_1819!A1312),6),3)))</f>
        <v>108-910</v>
      </c>
      <c r="C1312" t="s">
        <v>75</v>
      </c>
      <c r="D1312">
        <v>10</v>
      </c>
      <c r="E1312">
        <v>2219</v>
      </c>
      <c r="F1312" t="s">
        <v>4927</v>
      </c>
      <c r="G1312" t="s">
        <v>4927</v>
      </c>
      <c r="H1312">
        <v>428983</v>
      </c>
      <c r="I1312">
        <v>478119</v>
      </c>
      <c r="J1312">
        <v>1</v>
      </c>
      <c r="K1312">
        <v>428983</v>
      </c>
      <c r="L1312">
        <v>428983</v>
      </c>
      <c r="M1312">
        <v>599</v>
      </c>
    </row>
    <row r="1313" spans="1:13" ht="15">
      <c r="A1313" t="s">
        <v>3558</v>
      </c>
      <c r="B1313" s="1040" t="str">
        <f>CONCATENATE(LEFT(RIGHT(CONCATENATE("000",IFAData_TEA_1819!A1313),6),3),"-",(RIGHT(RIGHT(CONCATENATE("000",IFAData_TEA_1819!A1313),6),3)))</f>
        <v>108-911</v>
      </c>
      <c r="C1313" t="s">
        <v>2602</v>
      </c>
      <c r="D1313">
        <v>10</v>
      </c>
      <c r="E1313">
        <v>2327</v>
      </c>
      <c r="F1313" t="s">
        <v>4928</v>
      </c>
      <c r="G1313" t="s">
        <v>4928</v>
      </c>
      <c r="H1313">
        <v>570407</v>
      </c>
      <c r="I1313">
        <v>565800</v>
      </c>
      <c r="J1313">
        <v>1</v>
      </c>
      <c r="K1313">
        <v>570407</v>
      </c>
      <c r="L1313">
        <v>565800</v>
      </c>
      <c r="M1313">
        <v>599</v>
      </c>
    </row>
    <row r="1314" spans="1:13" ht="15">
      <c r="A1314" t="s">
        <v>3559</v>
      </c>
      <c r="B1314" s="1040" t="str">
        <f>CONCATENATE(LEFT(RIGHT(CONCATENATE("000",IFAData_TEA_1819!A1314),6),3),"-",(RIGHT(RIGHT(CONCATENATE("000",IFAData_TEA_1819!A1314),6),3)))</f>
        <v>108-912</v>
      </c>
      <c r="C1314" t="s">
        <v>1897</v>
      </c>
      <c r="D1314">
        <v>2</v>
      </c>
      <c r="E1314">
        <v>1981</v>
      </c>
      <c r="F1314" t="s">
        <v>4929</v>
      </c>
      <c r="G1314" t="s">
        <v>4929</v>
      </c>
      <c r="H1314">
        <v>3415997</v>
      </c>
      <c r="I1314">
        <v>0</v>
      </c>
      <c r="J1314">
        <v>0</v>
      </c>
      <c r="K1314">
        <v>0</v>
      </c>
      <c r="L1314">
        <v>0</v>
      </c>
      <c r="M1314">
        <v>599</v>
      </c>
    </row>
    <row r="1315" spans="1:13" ht="15">
      <c r="A1315" t="s">
        <v>3559</v>
      </c>
      <c r="B1315" s="1040" t="str">
        <f>CONCATENATE(LEFT(RIGHT(CONCATENATE("000",IFAData_TEA_1819!A1315),6),3),"-",(RIGHT(RIGHT(CONCATENATE("000",IFAData_TEA_1819!A1315),6),3)))</f>
        <v>108-912</v>
      </c>
      <c r="C1315" t="s">
        <v>1897</v>
      </c>
      <c r="D1315">
        <v>2</v>
      </c>
      <c r="E1315">
        <v>1981</v>
      </c>
      <c r="F1315" t="s">
        <v>4929</v>
      </c>
      <c r="G1315" t="s">
        <v>4930</v>
      </c>
      <c r="H1315">
        <v>3415997</v>
      </c>
      <c r="I1315">
        <v>0</v>
      </c>
      <c r="J1315">
        <v>0</v>
      </c>
      <c r="K1315">
        <v>0</v>
      </c>
      <c r="L1315">
        <v>0</v>
      </c>
      <c r="M1315">
        <v>599</v>
      </c>
    </row>
    <row r="1316" spans="1:13" ht="15">
      <c r="A1316" t="s">
        <v>3559</v>
      </c>
      <c r="B1316" s="1040" t="str">
        <f>CONCATENATE(LEFT(RIGHT(CONCATENATE("000",IFAData_TEA_1819!A1316),6),3),"-",(RIGHT(RIGHT(CONCATENATE("000",IFAData_TEA_1819!A1316),6),3)))</f>
        <v>108-912</v>
      </c>
      <c r="C1316" t="s">
        <v>1897</v>
      </c>
      <c r="D1316">
        <v>2</v>
      </c>
      <c r="E1316">
        <v>1981</v>
      </c>
      <c r="F1316" t="s">
        <v>4929</v>
      </c>
      <c r="G1316" t="s">
        <v>4931</v>
      </c>
      <c r="H1316">
        <v>3415997</v>
      </c>
      <c r="I1316">
        <v>3094702</v>
      </c>
      <c r="J1316">
        <v>0.96991136131000499</v>
      </c>
      <c r="K1316">
        <v>3313214.3005008898</v>
      </c>
      <c r="L1316">
        <v>3094702</v>
      </c>
      <c r="M1316">
        <v>599</v>
      </c>
    </row>
    <row r="1317" spans="1:13" ht="15">
      <c r="A1317" t="s">
        <v>3559</v>
      </c>
      <c r="B1317" s="1040" t="str">
        <f>CONCATENATE(LEFT(RIGHT(CONCATENATE("000",IFAData_TEA_1819!A1317),6),3),"-",(RIGHT(RIGHT(CONCATENATE("000",IFAData_TEA_1819!A1317),6),3)))</f>
        <v>108-912</v>
      </c>
      <c r="C1317" t="s">
        <v>1897</v>
      </c>
      <c r="D1317">
        <v>2</v>
      </c>
      <c r="E1317">
        <v>1981</v>
      </c>
      <c r="F1317" t="s">
        <v>4929</v>
      </c>
      <c r="G1317" t="s">
        <v>4932</v>
      </c>
      <c r="H1317">
        <v>3415997</v>
      </c>
      <c r="I1317">
        <v>0</v>
      </c>
      <c r="J1317">
        <v>0</v>
      </c>
      <c r="K1317">
        <v>0</v>
      </c>
      <c r="L1317">
        <v>0</v>
      </c>
      <c r="M1317">
        <v>599</v>
      </c>
    </row>
    <row r="1318" spans="1:13" ht="15">
      <c r="A1318" t="s">
        <v>3559</v>
      </c>
      <c r="B1318" s="1040" t="str">
        <f>CONCATENATE(LEFT(RIGHT(CONCATENATE("000",IFAData_TEA_1819!A1318),6),3),"-",(RIGHT(RIGHT(CONCATENATE("000",IFAData_TEA_1819!A1318),6),3)))</f>
        <v>108-912</v>
      </c>
      <c r="C1318" t="s">
        <v>1897</v>
      </c>
      <c r="D1318">
        <v>2</v>
      </c>
      <c r="E1318">
        <v>1981</v>
      </c>
      <c r="F1318" t="s">
        <v>4929</v>
      </c>
      <c r="G1318" t="s">
        <v>6270</v>
      </c>
      <c r="H1318">
        <v>3415997</v>
      </c>
      <c r="I1318">
        <v>0</v>
      </c>
      <c r="J1318">
        <v>0</v>
      </c>
      <c r="K1318">
        <v>0</v>
      </c>
      <c r="L1318">
        <v>0</v>
      </c>
      <c r="M1318">
        <v>599</v>
      </c>
    </row>
    <row r="1319" spans="1:13" ht="15">
      <c r="A1319" t="s">
        <v>3559</v>
      </c>
      <c r="B1319" s="1040" t="str">
        <f>CONCATENATE(LEFT(RIGHT(CONCATENATE("000",IFAData_TEA_1819!A1319),6),3),"-",(RIGHT(RIGHT(CONCATENATE("000",IFAData_TEA_1819!A1319),6),3)))</f>
        <v>108-912</v>
      </c>
      <c r="C1319" t="s">
        <v>1897</v>
      </c>
      <c r="D1319">
        <v>2</v>
      </c>
      <c r="E1319">
        <v>1981</v>
      </c>
      <c r="F1319" t="s">
        <v>4929</v>
      </c>
      <c r="G1319" t="s">
        <v>8414</v>
      </c>
      <c r="H1319">
        <v>3415997</v>
      </c>
      <c r="I1319">
        <v>96004</v>
      </c>
      <c r="J1319">
        <v>3.0088638689995301E-2</v>
      </c>
      <c r="K1319">
        <v>102782.699499108</v>
      </c>
      <c r="L1319">
        <v>96004</v>
      </c>
      <c r="M1319">
        <v>599</v>
      </c>
    </row>
    <row r="1320" spans="1:13" ht="15">
      <c r="A1320" t="s">
        <v>3559</v>
      </c>
      <c r="B1320" s="1040" t="str">
        <f>CONCATENATE(LEFT(RIGHT(CONCATENATE("000",IFAData_TEA_1819!A1320),6),3),"-",(RIGHT(RIGHT(CONCATENATE("000",IFAData_TEA_1819!A1320),6),3)))</f>
        <v>108-912</v>
      </c>
      <c r="C1320" t="s">
        <v>1897</v>
      </c>
      <c r="D1320">
        <v>4</v>
      </c>
      <c r="E1320">
        <v>1982</v>
      </c>
      <c r="F1320" t="s">
        <v>4933</v>
      </c>
      <c r="G1320" t="s">
        <v>4933</v>
      </c>
      <c r="H1320">
        <v>3469419</v>
      </c>
      <c r="I1320">
        <v>0</v>
      </c>
      <c r="J1320">
        <v>0</v>
      </c>
      <c r="K1320">
        <v>0</v>
      </c>
      <c r="L1320">
        <v>0</v>
      </c>
      <c r="M1320">
        <v>599</v>
      </c>
    </row>
    <row r="1321" spans="1:13" ht="15">
      <c r="A1321" t="s">
        <v>3559</v>
      </c>
      <c r="B1321" s="1040" t="str">
        <f>CONCATENATE(LEFT(RIGHT(CONCATENATE("000",IFAData_TEA_1819!A1321),6),3),"-",(RIGHT(RIGHT(CONCATENATE("000",IFAData_TEA_1819!A1321),6),3)))</f>
        <v>108-912</v>
      </c>
      <c r="C1321" t="s">
        <v>1897</v>
      </c>
      <c r="D1321">
        <v>4</v>
      </c>
      <c r="E1321">
        <v>1982</v>
      </c>
      <c r="F1321" t="s">
        <v>4933</v>
      </c>
      <c r="G1321" t="s">
        <v>4930</v>
      </c>
      <c r="H1321">
        <v>3469419</v>
      </c>
      <c r="I1321">
        <v>0</v>
      </c>
      <c r="J1321">
        <v>0</v>
      </c>
      <c r="K1321">
        <v>0</v>
      </c>
      <c r="L1321">
        <v>0</v>
      </c>
      <c r="M1321">
        <v>599</v>
      </c>
    </row>
    <row r="1322" spans="1:13" ht="15">
      <c r="A1322" t="s">
        <v>3559</v>
      </c>
      <c r="B1322" s="1040" t="str">
        <f>CONCATENATE(LEFT(RIGHT(CONCATENATE("000",IFAData_TEA_1819!A1322),6),3),"-",(RIGHT(RIGHT(CONCATENATE("000",IFAData_TEA_1819!A1322),6),3)))</f>
        <v>108-912</v>
      </c>
      <c r="C1322" t="s">
        <v>1897</v>
      </c>
      <c r="D1322">
        <v>4</v>
      </c>
      <c r="E1322">
        <v>1982</v>
      </c>
      <c r="F1322" t="s">
        <v>4933</v>
      </c>
      <c r="G1322" t="s">
        <v>4932</v>
      </c>
      <c r="H1322">
        <v>3469419</v>
      </c>
      <c r="I1322">
        <v>2896373</v>
      </c>
      <c r="J1322">
        <v>0.880564765771359</v>
      </c>
      <c r="K1322">
        <v>3055048.1290977001</v>
      </c>
      <c r="L1322">
        <v>2896373</v>
      </c>
      <c r="M1322">
        <v>599</v>
      </c>
    </row>
    <row r="1323" spans="1:13" ht="15">
      <c r="A1323" t="s">
        <v>3559</v>
      </c>
      <c r="B1323" s="1040" t="str">
        <f>CONCATENATE(LEFT(RIGHT(CONCATENATE("000",IFAData_TEA_1819!A1323),6),3),"-",(RIGHT(RIGHT(CONCATENATE("000",IFAData_TEA_1819!A1323),6),3)))</f>
        <v>108-912</v>
      </c>
      <c r="C1323" t="s">
        <v>1897</v>
      </c>
      <c r="D1323">
        <v>4</v>
      </c>
      <c r="E1323">
        <v>1982</v>
      </c>
      <c r="F1323" t="s">
        <v>4933</v>
      </c>
      <c r="G1323" t="s">
        <v>6270</v>
      </c>
      <c r="H1323">
        <v>3469419</v>
      </c>
      <c r="I1323">
        <v>392849</v>
      </c>
      <c r="J1323">
        <v>0.119435234228641</v>
      </c>
      <c r="K1323">
        <v>414370.87090229802</v>
      </c>
      <c r="L1323">
        <v>392849</v>
      </c>
      <c r="M1323">
        <v>599</v>
      </c>
    </row>
    <row r="1324" spans="1:13" ht="15">
      <c r="A1324" t="s">
        <v>3559</v>
      </c>
      <c r="B1324" s="1040" t="str">
        <f>CONCATENATE(LEFT(RIGHT(CONCATENATE("000",IFAData_TEA_1819!A1324),6),3),"-",(RIGHT(RIGHT(CONCATENATE("000",IFAData_TEA_1819!A1324),6),3)))</f>
        <v>108-912</v>
      </c>
      <c r="C1324" t="s">
        <v>1897</v>
      </c>
      <c r="D1324">
        <v>7</v>
      </c>
      <c r="E1324">
        <v>1983</v>
      </c>
      <c r="F1324" t="s">
        <v>4934</v>
      </c>
      <c r="G1324" t="s">
        <v>4934</v>
      </c>
      <c r="H1324">
        <v>5218175</v>
      </c>
      <c r="I1324">
        <v>0</v>
      </c>
      <c r="J1324">
        <v>0</v>
      </c>
      <c r="K1324">
        <v>0</v>
      </c>
      <c r="L1324">
        <v>0</v>
      </c>
      <c r="M1324">
        <v>599</v>
      </c>
    </row>
    <row r="1325" spans="1:13" ht="15">
      <c r="A1325" t="s">
        <v>3559</v>
      </c>
      <c r="B1325" s="1040" t="str">
        <f>CONCATENATE(LEFT(RIGHT(CONCATENATE("000",IFAData_TEA_1819!A1325),6),3),"-",(RIGHT(RIGHT(CONCATENATE("000",IFAData_TEA_1819!A1325),6),3)))</f>
        <v>108-912</v>
      </c>
      <c r="C1325" t="s">
        <v>1897</v>
      </c>
      <c r="D1325">
        <v>7</v>
      </c>
      <c r="E1325">
        <v>1983</v>
      </c>
      <c r="F1325" t="s">
        <v>4934</v>
      </c>
      <c r="G1325" t="s">
        <v>4931</v>
      </c>
      <c r="H1325">
        <v>5218175</v>
      </c>
      <c r="I1325">
        <v>2385848</v>
      </c>
      <c r="J1325">
        <v>0.48862982621815498</v>
      </c>
      <c r="K1325">
        <v>2549755.9434259199</v>
      </c>
      <c r="L1325">
        <v>2385848</v>
      </c>
      <c r="M1325">
        <v>599</v>
      </c>
    </row>
    <row r="1326" spans="1:13" ht="15">
      <c r="A1326" t="s">
        <v>3559</v>
      </c>
      <c r="B1326" s="1040" t="str">
        <f>CONCATENATE(LEFT(RIGHT(CONCATENATE("000",IFAData_TEA_1819!A1326),6),3),"-",(RIGHT(RIGHT(CONCATENATE("000",IFAData_TEA_1819!A1326),6),3)))</f>
        <v>108-912</v>
      </c>
      <c r="C1326" t="s">
        <v>1897</v>
      </c>
      <c r="D1326">
        <v>7</v>
      </c>
      <c r="E1326">
        <v>1983</v>
      </c>
      <c r="F1326" t="s">
        <v>4934</v>
      </c>
      <c r="G1326" t="s">
        <v>4935</v>
      </c>
      <c r="H1326">
        <v>5218175</v>
      </c>
      <c r="I1326">
        <v>785425</v>
      </c>
      <c r="J1326">
        <v>0.16085772490845801</v>
      </c>
      <c r="K1326">
        <v>839383.75867419306</v>
      </c>
      <c r="L1326">
        <v>785425</v>
      </c>
      <c r="M1326">
        <v>599</v>
      </c>
    </row>
    <row r="1327" spans="1:13" ht="15">
      <c r="A1327" t="s">
        <v>3559</v>
      </c>
      <c r="B1327" s="1040" t="str">
        <f>CONCATENATE(LEFT(RIGHT(CONCATENATE("000",IFAData_TEA_1819!A1327),6),3),"-",(RIGHT(RIGHT(CONCATENATE("000",IFAData_TEA_1819!A1327),6),3)))</f>
        <v>108-912</v>
      </c>
      <c r="C1327" t="s">
        <v>1897</v>
      </c>
      <c r="D1327">
        <v>7</v>
      </c>
      <c r="E1327">
        <v>1983</v>
      </c>
      <c r="F1327" t="s">
        <v>4934</v>
      </c>
      <c r="G1327" t="s">
        <v>4936</v>
      </c>
      <c r="H1327">
        <v>5218175</v>
      </c>
      <c r="I1327">
        <v>1637625</v>
      </c>
      <c r="J1327">
        <v>0.33539119808156498</v>
      </c>
      <c r="K1327">
        <v>1750129.9650492701</v>
      </c>
      <c r="L1327">
        <v>1637625</v>
      </c>
      <c r="M1327">
        <v>599</v>
      </c>
    </row>
    <row r="1328" spans="1:13" ht="15">
      <c r="A1328" t="s">
        <v>3559</v>
      </c>
      <c r="B1328" s="1040" t="str">
        <f>CONCATENATE(LEFT(RIGHT(CONCATENATE("000",IFAData_TEA_1819!A1328),6),3),"-",(RIGHT(RIGHT(CONCATENATE("000",IFAData_TEA_1819!A1328),6),3)))</f>
        <v>108-912</v>
      </c>
      <c r="C1328" t="s">
        <v>1897</v>
      </c>
      <c r="D1328">
        <v>7</v>
      </c>
      <c r="E1328">
        <v>1983</v>
      </c>
      <c r="F1328" t="s">
        <v>4934</v>
      </c>
      <c r="G1328" t="s">
        <v>8414</v>
      </c>
      <c r="H1328">
        <v>5218175</v>
      </c>
      <c r="I1328">
        <v>73833</v>
      </c>
      <c r="J1328">
        <v>1.51212507918212E-2</v>
      </c>
      <c r="K1328">
        <v>78905.332850611696</v>
      </c>
      <c r="L1328">
        <v>73833</v>
      </c>
      <c r="M1328">
        <v>599</v>
      </c>
    </row>
    <row r="1329" spans="1:13" ht="15">
      <c r="A1329" t="s">
        <v>3559</v>
      </c>
      <c r="B1329" s="1040" t="str">
        <f>CONCATENATE(LEFT(RIGHT(CONCATENATE("000",IFAData_TEA_1819!A1329),6),3),"-",(RIGHT(RIGHT(CONCATENATE("000",IFAData_TEA_1819!A1329),6),3)))</f>
        <v>108-912</v>
      </c>
      <c r="C1329" t="s">
        <v>1897</v>
      </c>
      <c r="D1329">
        <v>8</v>
      </c>
      <c r="E1329">
        <v>1984</v>
      </c>
      <c r="F1329" t="s">
        <v>4937</v>
      </c>
      <c r="G1329" t="s">
        <v>4937</v>
      </c>
      <c r="H1329">
        <v>5556579</v>
      </c>
      <c r="I1329">
        <v>0</v>
      </c>
      <c r="J1329">
        <v>0</v>
      </c>
      <c r="K1329">
        <v>0</v>
      </c>
      <c r="L1329">
        <v>0</v>
      </c>
      <c r="M1329">
        <v>599</v>
      </c>
    </row>
    <row r="1330" spans="1:13" ht="15">
      <c r="A1330" t="s">
        <v>3559</v>
      </c>
      <c r="B1330" s="1040" t="str">
        <f>CONCATENATE(LEFT(RIGHT(CONCATENATE("000",IFAData_TEA_1819!A1330),6),3),"-",(RIGHT(RIGHT(CONCATENATE("000",IFAData_TEA_1819!A1330),6),3)))</f>
        <v>108-912</v>
      </c>
      <c r="C1330" t="s">
        <v>1897</v>
      </c>
      <c r="D1330">
        <v>8</v>
      </c>
      <c r="E1330">
        <v>1984</v>
      </c>
      <c r="F1330" t="s">
        <v>4937</v>
      </c>
      <c r="G1330" t="s">
        <v>4936</v>
      </c>
      <c r="H1330">
        <v>5556579</v>
      </c>
      <c r="I1330">
        <v>3559850</v>
      </c>
      <c r="J1330">
        <v>0.66732652294172201</v>
      </c>
      <c r="K1330">
        <v>3708052.5435209898</v>
      </c>
      <c r="L1330">
        <v>3559850</v>
      </c>
      <c r="M1330">
        <v>599</v>
      </c>
    </row>
    <row r="1331" spans="1:13" ht="15">
      <c r="A1331" t="s">
        <v>3559</v>
      </c>
      <c r="B1331" s="1040" t="str">
        <f>CONCATENATE(LEFT(RIGHT(CONCATENATE("000",IFAData_TEA_1819!A1331),6),3),"-",(RIGHT(RIGHT(CONCATENATE("000",IFAData_TEA_1819!A1331),6),3)))</f>
        <v>108-912</v>
      </c>
      <c r="C1331" t="s">
        <v>1897</v>
      </c>
      <c r="D1331">
        <v>8</v>
      </c>
      <c r="E1331">
        <v>1984</v>
      </c>
      <c r="F1331" t="s">
        <v>4937</v>
      </c>
      <c r="G1331" t="s">
        <v>4938</v>
      </c>
      <c r="H1331">
        <v>5556579</v>
      </c>
      <c r="I1331">
        <v>1774645</v>
      </c>
      <c r="J1331">
        <v>0.33267347705827799</v>
      </c>
      <c r="K1331">
        <v>1848526.4564790099</v>
      </c>
      <c r="L1331">
        <v>1774645</v>
      </c>
      <c r="M1331">
        <v>599</v>
      </c>
    </row>
    <row r="1332" spans="1:13" ht="15">
      <c r="A1332" t="s">
        <v>3559</v>
      </c>
      <c r="B1332" s="1040" t="str">
        <f>CONCATENATE(LEFT(RIGHT(CONCATENATE("000",IFAData_TEA_1819!A1332),6),3),"-",(RIGHT(RIGHT(CONCATENATE("000",IFAData_TEA_1819!A1332),6),3)))</f>
        <v>108-912</v>
      </c>
      <c r="C1332" t="s">
        <v>1897</v>
      </c>
      <c r="D1332">
        <v>8</v>
      </c>
      <c r="E1332">
        <v>1984</v>
      </c>
      <c r="F1332" t="s">
        <v>4937</v>
      </c>
      <c r="G1332" t="s">
        <v>6270</v>
      </c>
      <c r="H1332">
        <v>5556579</v>
      </c>
      <c r="I1332">
        <v>0</v>
      </c>
      <c r="J1332">
        <v>0</v>
      </c>
      <c r="K1332">
        <v>0</v>
      </c>
      <c r="L1332">
        <v>0</v>
      </c>
      <c r="M1332">
        <v>599</v>
      </c>
    </row>
    <row r="1333" spans="1:13" ht="15">
      <c r="A1333" t="s">
        <v>3559</v>
      </c>
      <c r="B1333" s="1040" t="str">
        <f>CONCATENATE(LEFT(RIGHT(CONCATENATE("000",IFAData_TEA_1819!A1333),6),3),"-",(RIGHT(RIGHT(CONCATENATE("000",IFAData_TEA_1819!A1333),6),3)))</f>
        <v>108-912</v>
      </c>
      <c r="C1333" t="s">
        <v>1897</v>
      </c>
      <c r="D1333">
        <v>9</v>
      </c>
      <c r="E1333">
        <v>1985</v>
      </c>
      <c r="F1333" t="s">
        <v>4939</v>
      </c>
      <c r="G1333" t="s">
        <v>4939</v>
      </c>
      <c r="H1333">
        <v>5948498</v>
      </c>
      <c r="I1333">
        <v>151875</v>
      </c>
      <c r="J1333">
        <v>2.7577299510989799E-2</v>
      </c>
      <c r="K1333">
        <v>164043.51098652399</v>
      </c>
      <c r="L1333">
        <v>151875</v>
      </c>
      <c r="M1333">
        <v>599</v>
      </c>
    </row>
    <row r="1334" spans="1:13" ht="15">
      <c r="A1334" t="s">
        <v>3559</v>
      </c>
      <c r="B1334" s="1040" t="str">
        <f>CONCATENATE(LEFT(RIGHT(CONCATENATE("000",IFAData_TEA_1819!A1334),6),3),"-",(RIGHT(RIGHT(CONCATENATE("000",IFAData_TEA_1819!A1334),6),3)))</f>
        <v>108-912</v>
      </c>
      <c r="C1334" t="s">
        <v>1897</v>
      </c>
      <c r="D1334">
        <v>9</v>
      </c>
      <c r="E1334">
        <v>1985</v>
      </c>
      <c r="F1334" t="s">
        <v>4939</v>
      </c>
      <c r="G1334" t="s">
        <v>4938</v>
      </c>
      <c r="H1334">
        <v>5948498</v>
      </c>
      <c r="I1334">
        <v>2195155</v>
      </c>
      <c r="J1334">
        <v>0.39859388910648103</v>
      </c>
      <c r="K1334">
        <v>2371034.95216212</v>
      </c>
      <c r="L1334">
        <v>2195155</v>
      </c>
      <c r="M1334">
        <v>599</v>
      </c>
    </row>
    <row r="1335" spans="1:13" ht="15">
      <c r="A1335" t="s">
        <v>3559</v>
      </c>
      <c r="B1335" s="1040" t="str">
        <f>CONCATENATE(LEFT(RIGHT(CONCATENATE("000",IFAData_TEA_1819!A1335),6),3),"-",(RIGHT(RIGHT(CONCATENATE("000",IFAData_TEA_1819!A1335),6),3)))</f>
        <v>108-912</v>
      </c>
      <c r="C1335" t="s">
        <v>1897</v>
      </c>
      <c r="D1335">
        <v>9</v>
      </c>
      <c r="E1335">
        <v>1985</v>
      </c>
      <c r="F1335" t="s">
        <v>4939</v>
      </c>
      <c r="G1335" t="s">
        <v>6270</v>
      </c>
      <c r="H1335">
        <v>5948498</v>
      </c>
      <c r="I1335">
        <v>3038301</v>
      </c>
      <c r="J1335">
        <v>0.55169143494018003</v>
      </c>
      <c r="K1335">
        <v>3281735.39735879</v>
      </c>
      <c r="L1335">
        <v>3038301</v>
      </c>
      <c r="M1335">
        <v>599</v>
      </c>
    </row>
    <row r="1336" spans="1:13" ht="15">
      <c r="A1336" t="s">
        <v>3559</v>
      </c>
      <c r="B1336" s="1040" t="str">
        <f>CONCATENATE(LEFT(RIGHT(CONCATENATE("000",IFAData_TEA_1819!A1336),6),3),"-",(RIGHT(RIGHT(CONCATENATE("000",IFAData_TEA_1819!A1336),6),3)))</f>
        <v>108-912</v>
      </c>
      <c r="C1336" t="s">
        <v>1897</v>
      </c>
      <c r="D1336">
        <v>9</v>
      </c>
      <c r="E1336">
        <v>1985</v>
      </c>
      <c r="F1336" t="s">
        <v>4939</v>
      </c>
      <c r="G1336" t="s">
        <v>8414</v>
      </c>
      <c r="H1336">
        <v>5948498</v>
      </c>
      <c r="I1336">
        <v>121916</v>
      </c>
      <c r="J1336">
        <v>2.2137376442349501E-2</v>
      </c>
      <c r="K1336">
        <v>131684.139492563</v>
      </c>
      <c r="L1336">
        <v>121916</v>
      </c>
      <c r="M1336">
        <v>599</v>
      </c>
    </row>
    <row r="1337" spans="1:13" ht="15">
      <c r="A1337" t="s">
        <v>3560</v>
      </c>
      <c r="B1337" s="1040" t="str">
        <f>CONCATENATE(LEFT(RIGHT(CONCATENATE("000",IFAData_TEA_1819!A1337),6),3),"-",(RIGHT(RIGHT(CONCATENATE("000",IFAData_TEA_1819!A1337),6),3)))</f>
        <v>108-913</v>
      </c>
      <c r="C1337" t="s">
        <v>141</v>
      </c>
      <c r="D1337">
        <v>4</v>
      </c>
      <c r="E1337">
        <v>2440</v>
      </c>
      <c r="F1337" t="s">
        <v>4940</v>
      </c>
      <c r="G1337" t="s">
        <v>4940</v>
      </c>
      <c r="H1337">
        <v>1471397</v>
      </c>
      <c r="I1337">
        <v>0</v>
      </c>
      <c r="J1337">
        <v>0</v>
      </c>
      <c r="K1337">
        <v>0</v>
      </c>
      <c r="L1337">
        <v>0</v>
      </c>
      <c r="M1337">
        <v>599</v>
      </c>
    </row>
    <row r="1338" spans="1:13" ht="15">
      <c r="A1338" t="s">
        <v>3560</v>
      </c>
      <c r="B1338" s="1040" t="str">
        <f>CONCATENATE(LEFT(RIGHT(CONCATENATE("000",IFAData_TEA_1819!A1338),6),3),"-",(RIGHT(RIGHT(CONCATENATE("000",IFAData_TEA_1819!A1338),6),3)))</f>
        <v>108-913</v>
      </c>
      <c r="C1338" t="s">
        <v>141</v>
      </c>
      <c r="D1338">
        <v>4</v>
      </c>
      <c r="E1338">
        <v>2440</v>
      </c>
      <c r="F1338" t="s">
        <v>4940</v>
      </c>
      <c r="G1338" t="s">
        <v>4941</v>
      </c>
      <c r="H1338">
        <v>1471397</v>
      </c>
      <c r="I1338">
        <v>0</v>
      </c>
      <c r="J1338">
        <v>0</v>
      </c>
      <c r="K1338">
        <v>0</v>
      </c>
      <c r="L1338">
        <v>0</v>
      </c>
      <c r="M1338">
        <v>599</v>
      </c>
    </row>
    <row r="1339" spans="1:13" ht="15">
      <c r="A1339" t="s">
        <v>3560</v>
      </c>
      <c r="B1339" s="1040" t="str">
        <f>CONCATENATE(LEFT(RIGHT(CONCATENATE("000",IFAData_TEA_1819!A1339),6),3),"-",(RIGHT(RIGHT(CONCATENATE("000",IFAData_TEA_1819!A1339),6),3)))</f>
        <v>108-913</v>
      </c>
      <c r="C1339" t="s">
        <v>141</v>
      </c>
      <c r="D1339">
        <v>4</v>
      </c>
      <c r="E1339">
        <v>2440</v>
      </c>
      <c r="F1339" t="s">
        <v>4940</v>
      </c>
      <c r="G1339" t="s">
        <v>6272</v>
      </c>
      <c r="H1339">
        <v>1471397</v>
      </c>
      <c r="I1339">
        <v>1432375</v>
      </c>
      <c r="J1339">
        <v>1</v>
      </c>
      <c r="K1339">
        <v>1471397</v>
      </c>
      <c r="L1339">
        <v>1432375</v>
      </c>
      <c r="M1339">
        <v>599</v>
      </c>
    </row>
    <row r="1340" spans="1:13" ht="15">
      <c r="A1340" t="s">
        <v>3560</v>
      </c>
      <c r="B1340" s="1040" t="str">
        <f>CONCATENATE(LEFT(RIGHT(CONCATENATE("000",IFAData_TEA_1819!A1340),6),3),"-",(RIGHT(RIGHT(CONCATENATE("000",IFAData_TEA_1819!A1340),6),3)))</f>
        <v>108-913</v>
      </c>
      <c r="C1340" t="s">
        <v>141</v>
      </c>
      <c r="D1340">
        <v>8</v>
      </c>
      <c r="E1340">
        <v>2441</v>
      </c>
      <c r="F1340" t="s">
        <v>4942</v>
      </c>
      <c r="G1340" t="s">
        <v>4942</v>
      </c>
      <c r="H1340">
        <v>1506042</v>
      </c>
      <c r="I1340">
        <v>0</v>
      </c>
      <c r="J1340">
        <v>0</v>
      </c>
      <c r="K1340">
        <v>0</v>
      </c>
      <c r="L1340">
        <v>0</v>
      </c>
      <c r="M1340">
        <v>599</v>
      </c>
    </row>
    <row r="1341" spans="1:13" ht="15">
      <c r="A1341" t="s">
        <v>3560</v>
      </c>
      <c r="B1341" s="1040" t="str">
        <f>CONCATENATE(LEFT(RIGHT(CONCATENATE("000",IFAData_TEA_1819!A1341),6),3),"-",(RIGHT(RIGHT(CONCATENATE("000",IFAData_TEA_1819!A1341),6),3)))</f>
        <v>108-913</v>
      </c>
      <c r="C1341" t="s">
        <v>141</v>
      </c>
      <c r="D1341">
        <v>8</v>
      </c>
      <c r="E1341">
        <v>2441</v>
      </c>
      <c r="F1341" t="s">
        <v>4942</v>
      </c>
      <c r="G1341" t="s">
        <v>6271</v>
      </c>
      <c r="H1341">
        <v>1506042</v>
      </c>
      <c r="I1341">
        <v>1351550</v>
      </c>
      <c r="J1341">
        <v>1</v>
      </c>
      <c r="K1341">
        <v>1506042</v>
      </c>
      <c r="L1341">
        <v>1351550</v>
      </c>
      <c r="M1341">
        <v>599</v>
      </c>
    </row>
    <row r="1342" spans="1:13" ht="15">
      <c r="A1342" t="s">
        <v>3560</v>
      </c>
      <c r="B1342" s="1040" t="str">
        <f>CONCATENATE(LEFT(RIGHT(CONCATENATE("000",IFAData_TEA_1819!A1342),6),3),"-",(RIGHT(RIGHT(CONCATENATE("000",IFAData_TEA_1819!A1342),6),3)))</f>
        <v>108-913</v>
      </c>
      <c r="C1342" t="s">
        <v>141</v>
      </c>
      <c r="D1342">
        <v>9</v>
      </c>
      <c r="E1342">
        <v>2442</v>
      </c>
      <c r="F1342" t="s">
        <v>4943</v>
      </c>
      <c r="G1342" t="s">
        <v>4943</v>
      </c>
      <c r="H1342">
        <v>1586343</v>
      </c>
      <c r="I1342">
        <v>0</v>
      </c>
      <c r="J1342">
        <v>0</v>
      </c>
      <c r="K1342">
        <v>0</v>
      </c>
      <c r="L1342">
        <v>0</v>
      </c>
      <c r="M1342">
        <v>599</v>
      </c>
    </row>
    <row r="1343" spans="1:13" ht="15">
      <c r="A1343" t="s">
        <v>3560</v>
      </c>
      <c r="B1343" s="1040" t="str">
        <f>CONCATENATE(LEFT(RIGHT(CONCATENATE("000",IFAData_TEA_1819!A1343),6),3),"-",(RIGHT(RIGHT(CONCATENATE("000",IFAData_TEA_1819!A1343),6),3)))</f>
        <v>108-913</v>
      </c>
      <c r="C1343" t="s">
        <v>141</v>
      </c>
      <c r="D1343">
        <v>9</v>
      </c>
      <c r="E1343">
        <v>2442</v>
      </c>
      <c r="F1343" t="s">
        <v>4943</v>
      </c>
      <c r="G1343" t="s">
        <v>8415</v>
      </c>
      <c r="H1343">
        <v>1586343</v>
      </c>
      <c r="I1343">
        <v>1168500</v>
      </c>
      <c r="J1343">
        <v>1</v>
      </c>
      <c r="K1343">
        <v>1586343</v>
      </c>
      <c r="L1343">
        <v>1168500</v>
      </c>
      <c r="M1343">
        <v>599</v>
      </c>
    </row>
    <row r="1344" spans="1:13" ht="15">
      <c r="A1344" t="s">
        <v>3561</v>
      </c>
      <c r="B1344" s="1040" t="str">
        <f>CONCATENATE(LEFT(RIGHT(CONCATENATE("000",IFAData_TEA_1819!A1344),6),3),"-",(RIGHT(RIGHT(CONCATENATE("000",IFAData_TEA_1819!A1344),6),3)))</f>
        <v>108-914</v>
      </c>
      <c r="C1344" t="s">
        <v>2299</v>
      </c>
      <c r="D1344">
        <v>1</v>
      </c>
      <c r="E1344">
        <v>1993</v>
      </c>
      <c r="F1344" t="s">
        <v>4944</v>
      </c>
      <c r="G1344" t="s">
        <v>4944</v>
      </c>
      <c r="H1344">
        <v>163370</v>
      </c>
      <c r="I1344">
        <v>0</v>
      </c>
      <c r="J1344">
        <v>0</v>
      </c>
      <c r="K1344">
        <v>0</v>
      </c>
      <c r="L1344">
        <v>0</v>
      </c>
      <c r="M1344">
        <v>599</v>
      </c>
    </row>
    <row r="1345" spans="1:13" ht="15">
      <c r="A1345" t="s">
        <v>3561</v>
      </c>
      <c r="B1345" s="1040" t="str">
        <f>CONCATENATE(LEFT(RIGHT(CONCATENATE("000",IFAData_TEA_1819!A1345),6),3),"-",(RIGHT(RIGHT(CONCATENATE("000",IFAData_TEA_1819!A1345),6),3)))</f>
        <v>108-914</v>
      </c>
      <c r="C1345" t="s">
        <v>2299</v>
      </c>
      <c r="D1345">
        <v>1</v>
      </c>
      <c r="E1345">
        <v>1993</v>
      </c>
      <c r="F1345" t="s">
        <v>4944</v>
      </c>
      <c r="G1345" t="s">
        <v>4945</v>
      </c>
      <c r="H1345">
        <v>163370</v>
      </c>
      <c r="I1345">
        <v>0</v>
      </c>
      <c r="J1345">
        <v>0</v>
      </c>
      <c r="K1345">
        <v>0</v>
      </c>
      <c r="L1345">
        <v>0</v>
      </c>
      <c r="M1345">
        <v>599</v>
      </c>
    </row>
    <row r="1346" spans="1:13" ht="15">
      <c r="A1346" t="s">
        <v>3561</v>
      </c>
      <c r="B1346" s="1040" t="str">
        <f>CONCATENATE(LEFT(RIGHT(CONCATENATE("000",IFAData_TEA_1819!A1346),6),3),"-",(RIGHT(RIGHT(CONCATENATE("000",IFAData_TEA_1819!A1346),6),3)))</f>
        <v>108-914</v>
      </c>
      <c r="C1346" t="s">
        <v>2299</v>
      </c>
      <c r="D1346">
        <v>1</v>
      </c>
      <c r="E1346">
        <v>1993</v>
      </c>
      <c r="F1346" t="s">
        <v>4944</v>
      </c>
      <c r="G1346" t="s">
        <v>8534</v>
      </c>
      <c r="H1346">
        <v>163370</v>
      </c>
      <c r="I1346">
        <v>79796</v>
      </c>
      <c r="J1346">
        <v>1</v>
      </c>
      <c r="K1346">
        <v>163370</v>
      </c>
      <c r="L1346">
        <v>79796</v>
      </c>
      <c r="M1346">
        <v>599</v>
      </c>
    </row>
    <row r="1347" spans="1:13" ht="15">
      <c r="A1347" t="s">
        <v>3561</v>
      </c>
      <c r="B1347" s="1040" t="str">
        <f>CONCATENATE(LEFT(RIGHT(CONCATENATE("000",IFAData_TEA_1819!A1347),6),3),"-",(RIGHT(RIGHT(CONCATENATE("000",IFAData_TEA_1819!A1347),6),3)))</f>
        <v>108-914</v>
      </c>
      <c r="C1347" t="s">
        <v>2299</v>
      </c>
      <c r="D1347">
        <v>4</v>
      </c>
      <c r="E1347">
        <v>1994</v>
      </c>
      <c r="F1347" t="s">
        <v>4946</v>
      </c>
      <c r="G1347" t="s">
        <v>4946</v>
      </c>
      <c r="H1347">
        <v>173535</v>
      </c>
      <c r="I1347">
        <v>0</v>
      </c>
      <c r="J1347">
        <v>0</v>
      </c>
      <c r="K1347">
        <v>0</v>
      </c>
      <c r="L1347">
        <v>0</v>
      </c>
      <c r="M1347">
        <v>599</v>
      </c>
    </row>
    <row r="1348" spans="1:13" ht="15">
      <c r="A1348" t="s">
        <v>3561</v>
      </c>
      <c r="B1348" s="1040" t="str">
        <f>CONCATENATE(LEFT(RIGHT(CONCATENATE("000",IFAData_TEA_1819!A1348),6),3),"-",(RIGHT(RIGHT(CONCATENATE("000",IFAData_TEA_1819!A1348),6),3)))</f>
        <v>108-914</v>
      </c>
      <c r="C1348" t="s">
        <v>2299</v>
      </c>
      <c r="D1348">
        <v>4</v>
      </c>
      <c r="E1348">
        <v>1994</v>
      </c>
      <c r="F1348" t="s">
        <v>4946</v>
      </c>
      <c r="G1348" t="s">
        <v>4945</v>
      </c>
      <c r="H1348">
        <v>173535</v>
      </c>
      <c r="I1348">
        <v>176117</v>
      </c>
      <c r="J1348">
        <v>0.61919494847571799</v>
      </c>
      <c r="K1348">
        <v>107451.995383734</v>
      </c>
      <c r="L1348">
        <v>107451.995383734</v>
      </c>
      <c r="M1348">
        <v>599</v>
      </c>
    </row>
    <row r="1349" spans="1:13" ht="15">
      <c r="A1349" t="s">
        <v>3561</v>
      </c>
      <c r="B1349" s="1040" t="str">
        <f>CONCATENATE(LEFT(RIGHT(CONCATENATE("000",IFAData_TEA_1819!A1349),6),3),"-",(RIGHT(RIGHT(CONCATENATE("000",IFAData_TEA_1819!A1349),6),3)))</f>
        <v>108-914</v>
      </c>
      <c r="C1349" t="s">
        <v>2299</v>
      </c>
      <c r="D1349">
        <v>4</v>
      </c>
      <c r="E1349">
        <v>1994</v>
      </c>
      <c r="F1349" t="s">
        <v>4946</v>
      </c>
      <c r="G1349" t="s">
        <v>8534</v>
      </c>
      <c r="H1349">
        <v>173535</v>
      </c>
      <c r="I1349">
        <v>108312</v>
      </c>
      <c r="J1349">
        <v>0.38080505152428201</v>
      </c>
      <c r="K1349">
        <v>66083.004616266306</v>
      </c>
      <c r="L1349">
        <v>66083.004616266306</v>
      </c>
      <c r="M1349">
        <v>599</v>
      </c>
    </row>
    <row r="1350" spans="1:13" ht="15">
      <c r="A1350" t="s">
        <v>3562</v>
      </c>
      <c r="B1350" s="1040" t="str">
        <f>CONCATENATE(LEFT(RIGHT(CONCATENATE("000",IFAData_TEA_1819!A1350),6),3),"-",(RIGHT(RIGHT(CONCATENATE("000",IFAData_TEA_1819!A1350),6),3)))</f>
        <v>108-915</v>
      </c>
      <c r="C1350" t="s">
        <v>2242</v>
      </c>
      <c r="D1350">
        <v>4</v>
      </c>
      <c r="E1350">
        <v>2115</v>
      </c>
      <c r="F1350" t="s">
        <v>4947</v>
      </c>
      <c r="G1350" t="s">
        <v>4947</v>
      </c>
      <c r="H1350">
        <v>99356</v>
      </c>
      <c r="I1350">
        <v>0</v>
      </c>
      <c r="J1350">
        <v>0</v>
      </c>
      <c r="K1350">
        <v>0</v>
      </c>
      <c r="L1350">
        <v>0</v>
      </c>
      <c r="M1350">
        <v>599</v>
      </c>
    </row>
    <row r="1351" spans="1:13" ht="15">
      <c r="A1351" t="s">
        <v>3562</v>
      </c>
      <c r="B1351" s="1040" t="str">
        <f>CONCATENATE(LEFT(RIGHT(CONCATENATE("000",IFAData_TEA_1819!A1351),6),3),"-",(RIGHT(RIGHT(CONCATENATE("000",IFAData_TEA_1819!A1351),6),3)))</f>
        <v>108-915</v>
      </c>
      <c r="C1351" t="s">
        <v>2242</v>
      </c>
      <c r="D1351">
        <v>4</v>
      </c>
      <c r="E1351">
        <v>2115</v>
      </c>
      <c r="F1351" t="s">
        <v>4947</v>
      </c>
      <c r="G1351" t="s">
        <v>4948</v>
      </c>
      <c r="H1351">
        <v>99356</v>
      </c>
      <c r="I1351">
        <v>78750</v>
      </c>
      <c r="J1351">
        <v>1</v>
      </c>
      <c r="K1351">
        <v>99356</v>
      </c>
      <c r="L1351">
        <v>78750</v>
      </c>
      <c r="M1351">
        <v>599</v>
      </c>
    </row>
    <row r="1352" spans="1:13" ht="15">
      <c r="A1352" t="s">
        <v>3562</v>
      </c>
      <c r="B1352" s="1040" t="str">
        <f>CONCATENATE(LEFT(RIGHT(CONCATENATE("000",IFAData_TEA_1819!A1352),6),3),"-",(RIGHT(RIGHT(CONCATENATE("000",IFAData_TEA_1819!A1352),6),3)))</f>
        <v>108-915</v>
      </c>
      <c r="C1352" t="s">
        <v>2242</v>
      </c>
      <c r="D1352">
        <v>5</v>
      </c>
      <c r="E1352">
        <v>2116</v>
      </c>
      <c r="F1352" t="s">
        <v>4949</v>
      </c>
      <c r="G1352" t="s">
        <v>4949</v>
      </c>
      <c r="H1352">
        <v>110000</v>
      </c>
      <c r="I1352">
        <v>0</v>
      </c>
      <c r="J1352">
        <v>0</v>
      </c>
      <c r="K1352">
        <v>0</v>
      </c>
      <c r="L1352">
        <v>0</v>
      </c>
      <c r="M1352">
        <v>599</v>
      </c>
    </row>
    <row r="1353" spans="1:13" ht="15">
      <c r="A1353" t="s">
        <v>3562</v>
      </c>
      <c r="B1353" s="1040" t="str">
        <f>CONCATENATE(LEFT(RIGHT(CONCATENATE("000",IFAData_TEA_1819!A1353),6),3),"-",(RIGHT(RIGHT(CONCATENATE("000",IFAData_TEA_1819!A1353),6),3)))</f>
        <v>108-915</v>
      </c>
      <c r="C1353" t="s">
        <v>2242</v>
      </c>
      <c r="D1353">
        <v>5</v>
      </c>
      <c r="E1353">
        <v>2116</v>
      </c>
      <c r="F1353" t="s">
        <v>4949</v>
      </c>
      <c r="G1353" t="s">
        <v>4948</v>
      </c>
      <c r="H1353">
        <v>110000</v>
      </c>
      <c r="I1353">
        <v>90625</v>
      </c>
      <c r="J1353">
        <v>1</v>
      </c>
      <c r="K1353">
        <v>110000</v>
      </c>
      <c r="L1353">
        <v>90625</v>
      </c>
      <c r="M1353">
        <v>599</v>
      </c>
    </row>
    <row r="1354" spans="1:13" ht="15">
      <c r="A1354" t="s">
        <v>3562</v>
      </c>
      <c r="B1354" s="1040" t="str">
        <f>CONCATENATE(LEFT(RIGHT(CONCATENATE("000",IFAData_TEA_1819!A1354),6),3),"-",(RIGHT(RIGHT(CONCATENATE("000",IFAData_TEA_1819!A1354),6),3)))</f>
        <v>108-915</v>
      </c>
      <c r="C1354" t="s">
        <v>2242</v>
      </c>
      <c r="D1354">
        <v>9</v>
      </c>
      <c r="E1354">
        <v>2117</v>
      </c>
      <c r="F1354" t="s">
        <v>4950</v>
      </c>
      <c r="G1354" t="s">
        <v>4950</v>
      </c>
      <c r="H1354">
        <v>152606</v>
      </c>
      <c r="I1354">
        <v>0</v>
      </c>
      <c r="J1354">
        <v>0</v>
      </c>
      <c r="K1354">
        <v>0</v>
      </c>
      <c r="L1354">
        <v>0</v>
      </c>
      <c r="M1354">
        <v>599</v>
      </c>
    </row>
    <row r="1355" spans="1:13" ht="15">
      <c r="A1355" t="s">
        <v>3562</v>
      </c>
      <c r="B1355" s="1040" t="str">
        <f>CONCATENATE(LEFT(RIGHT(CONCATENATE("000",IFAData_TEA_1819!A1355),6),3),"-",(RIGHT(RIGHT(CONCATENATE("000",IFAData_TEA_1819!A1355),6),3)))</f>
        <v>108-915</v>
      </c>
      <c r="C1355" t="s">
        <v>2242</v>
      </c>
      <c r="D1355">
        <v>9</v>
      </c>
      <c r="E1355">
        <v>2117</v>
      </c>
      <c r="F1355" t="s">
        <v>4950</v>
      </c>
      <c r="G1355" t="s">
        <v>8416</v>
      </c>
      <c r="H1355">
        <v>152606</v>
      </c>
      <c r="I1355">
        <v>151675</v>
      </c>
      <c r="J1355">
        <v>1</v>
      </c>
      <c r="K1355">
        <v>152606</v>
      </c>
      <c r="L1355">
        <v>151675</v>
      </c>
      <c r="M1355">
        <v>599</v>
      </c>
    </row>
    <row r="1356" spans="1:13" ht="15">
      <c r="A1356" t="s">
        <v>3562</v>
      </c>
      <c r="B1356" s="1040" t="str">
        <f>CONCATENATE(LEFT(RIGHT(CONCATENATE("000",IFAData_TEA_1819!A1356),6),3),"-",(RIGHT(RIGHT(CONCATENATE("000",IFAData_TEA_1819!A1356),6),3)))</f>
        <v>108-915</v>
      </c>
      <c r="C1356" t="s">
        <v>2242</v>
      </c>
      <c r="D1356">
        <v>10</v>
      </c>
      <c r="E1356">
        <v>2118</v>
      </c>
      <c r="F1356" t="s">
        <v>4951</v>
      </c>
      <c r="G1356" t="s">
        <v>4951</v>
      </c>
      <c r="H1356">
        <v>184727</v>
      </c>
      <c r="I1356">
        <v>636725</v>
      </c>
      <c r="J1356">
        <v>1</v>
      </c>
      <c r="K1356">
        <v>184727</v>
      </c>
      <c r="L1356">
        <v>184727</v>
      </c>
      <c r="M1356">
        <v>599</v>
      </c>
    </row>
    <row r="1357" spans="1:13" ht="15">
      <c r="A1357" t="s">
        <v>3563</v>
      </c>
      <c r="B1357" s="1040" t="str">
        <f>CONCATENATE(LEFT(RIGHT(CONCATENATE("000",IFAData_TEA_1819!A1357),6),3),"-",(RIGHT(RIGHT(CONCATENATE("000",IFAData_TEA_1819!A1357),6),3)))</f>
        <v>108-916</v>
      </c>
      <c r="C1357" t="s">
        <v>2364</v>
      </c>
      <c r="D1357">
        <v>1</v>
      </c>
      <c r="E1357">
        <v>2413</v>
      </c>
      <c r="F1357" t="s">
        <v>4952</v>
      </c>
      <c r="G1357" t="s">
        <v>4952</v>
      </c>
      <c r="H1357">
        <v>401791</v>
      </c>
      <c r="I1357">
        <v>0</v>
      </c>
      <c r="J1357">
        <v>0</v>
      </c>
      <c r="K1357"/>
      <c r="L1357">
        <v>0</v>
      </c>
      <c r="M1357">
        <v>599</v>
      </c>
    </row>
    <row r="1358" spans="1:13" ht="15">
      <c r="A1358" t="s">
        <v>3563</v>
      </c>
      <c r="B1358" s="1040" t="str">
        <f>CONCATENATE(LEFT(RIGHT(CONCATENATE("000",IFAData_TEA_1819!A1358),6),3),"-",(RIGHT(RIGHT(CONCATENATE("000",IFAData_TEA_1819!A1358),6),3)))</f>
        <v>108-916</v>
      </c>
      <c r="C1358" t="s">
        <v>2364</v>
      </c>
      <c r="D1358">
        <v>4</v>
      </c>
      <c r="E1358">
        <v>2414</v>
      </c>
      <c r="F1358" t="s">
        <v>4953</v>
      </c>
      <c r="G1358" t="s">
        <v>4953</v>
      </c>
      <c r="H1358">
        <v>511379</v>
      </c>
      <c r="I1358">
        <v>0</v>
      </c>
      <c r="J1358">
        <v>0</v>
      </c>
      <c r="K1358">
        <v>0</v>
      </c>
      <c r="L1358">
        <v>0</v>
      </c>
      <c r="M1358">
        <v>599</v>
      </c>
    </row>
    <row r="1359" spans="1:13" ht="15">
      <c r="A1359" t="s">
        <v>3563</v>
      </c>
      <c r="B1359" s="1040" t="str">
        <f>CONCATENATE(LEFT(RIGHT(CONCATENATE("000",IFAData_TEA_1819!A1359),6),3),"-",(RIGHT(RIGHT(CONCATENATE("000",IFAData_TEA_1819!A1359),6),3)))</f>
        <v>108-916</v>
      </c>
      <c r="C1359" t="s">
        <v>2364</v>
      </c>
      <c r="D1359">
        <v>4</v>
      </c>
      <c r="E1359">
        <v>2414</v>
      </c>
      <c r="F1359" t="s">
        <v>4953</v>
      </c>
      <c r="G1359" t="s">
        <v>4954</v>
      </c>
      <c r="H1359">
        <v>511379</v>
      </c>
      <c r="I1359">
        <v>482912</v>
      </c>
      <c r="J1359">
        <v>0.51206324868435105</v>
      </c>
      <c r="K1359">
        <v>261858.39204895499</v>
      </c>
      <c r="L1359">
        <v>261858.39204895499</v>
      </c>
      <c r="M1359">
        <v>599</v>
      </c>
    </row>
    <row r="1360" spans="1:13" ht="15">
      <c r="A1360" t="s">
        <v>3563</v>
      </c>
      <c r="B1360" s="1040" t="str">
        <f>CONCATENATE(LEFT(RIGHT(CONCATENATE("000",IFAData_TEA_1819!A1360),6),3),"-",(RIGHT(RIGHT(CONCATENATE("000",IFAData_TEA_1819!A1360),6),3)))</f>
        <v>108-916</v>
      </c>
      <c r="C1360" t="s">
        <v>2364</v>
      </c>
      <c r="D1360">
        <v>4</v>
      </c>
      <c r="E1360">
        <v>2414</v>
      </c>
      <c r="F1360" t="s">
        <v>4953</v>
      </c>
      <c r="G1360" t="s">
        <v>6480</v>
      </c>
      <c r="H1360">
        <v>511379</v>
      </c>
      <c r="I1360">
        <v>460159</v>
      </c>
      <c r="J1360">
        <v>0.48793675131564901</v>
      </c>
      <c r="K1360">
        <v>249520.60795104501</v>
      </c>
      <c r="L1360">
        <v>249520.60795104501</v>
      </c>
      <c r="M1360">
        <v>599</v>
      </c>
    </row>
    <row r="1361" spans="1:13" ht="15">
      <c r="A1361" t="s">
        <v>3563</v>
      </c>
      <c r="B1361" s="1040" t="str">
        <f>CONCATENATE(LEFT(RIGHT(CONCATENATE("000",IFAData_TEA_1819!A1361),6),3),"-",(RIGHT(RIGHT(CONCATENATE("000",IFAData_TEA_1819!A1361),6),3)))</f>
        <v>108-916</v>
      </c>
      <c r="C1361" t="s">
        <v>2364</v>
      </c>
      <c r="D1361">
        <v>5</v>
      </c>
      <c r="E1361">
        <v>2412</v>
      </c>
      <c r="F1361" t="s">
        <v>4955</v>
      </c>
      <c r="G1361" t="s">
        <v>4955</v>
      </c>
      <c r="H1361">
        <v>164762</v>
      </c>
      <c r="I1361">
        <v>0</v>
      </c>
      <c r="J1361">
        <v>0</v>
      </c>
      <c r="K1361">
        <v>0</v>
      </c>
      <c r="L1361">
        <v>0</v>
      </c>
      <c r="M1361">
        <v>599</v>
      </c>
    </row>
    <row r="1362" spans="1:13" ht="15">
      <c r="A1362" t="s">
        <v>3563</v>
      </c>
      <c r="B1362" s="1040" t="str">
        <f>CONCATENATE(LEFT(RIGHT(CONCATENATE("000",IFAData_TEA_1819!A1362),6),3),"-",(RIGHT(RIGHT(CONCATENATE("000",IFAData_TEA_1819!A1362),6),3)))</f>
        <v>108-916</v>
      </c>
      <c r="C1362" t="s">
        <v>2364</v>
      </c>
      <c r="D1362">
        <v>5</v>
      </c>
      <c r="E1362">
        <v>2412</v>
      </c>
      <c r="F1362" t="s">
        <v>4955</v>
      </c>
      <c r="G1362" t="s">
        <v>4954</v>
      </c>
      <c r="H1362">
        <v>164762</v>
      </c>
      <c r="I1362">
        <v>160363</v>
      </c>
      <c r="J1362">
        <v>0.50547354950150203</v>
      </c>
      <c r="K1362">
        <v>83282.832962966495</v>
      </c>
      <c r="L1362">
        <v>83282.832962966495</v>
      </c>
      <c r="M1362">
        <v>599</v>
      </c>
    </row>
    <row r="1363" spans="1:13" ht="15">
      <c r="A1363" t="s">
        <v>3563</v>
      </c>
      <c r="B1363" s="1040" t="str">
        <f>CONCATENATE(LEFT(RIGHT(CONCATENATE("000",IFAData_TEA_1819!A1363),6),3),"-",(RIGHT(RIGHT(CONCATENATE("000",IFAData_TEA_1819!A1363),6),3)))</f>
        <v>108-916</v>
      </c>
      <c r="C1363" t="s">
        <v>2364</v>
      </c>
      <c r="D1363">
        <v>5</v>
      </c>
      <c r="E1363">
        <v>2412</v>
      </c>
      <c r="F1363" t="s">
        <v>4955</v>
      </c>
      <c r="G1363" t="s">
        <v>6480</v>
      </c>
      <c r="H1363">
        <v>164762</v>
      </c>
      <c r="I1363">
        <v>156890</v>
      </c>
      <c r="J1363">
        <v>0.49452645049849803</v>
      </c>
      <c r="K1363">
        <v>81479.167037033505</v>
      </c>
      <c r="L1363">
        <v>81479.167037033505</v>
      </c>
      <c r="M1363">
        <v>599</v>
      </c>
    </row>
    <row r="1364" spans="1:13" ht="15">
      <c r="A1364" t="s">
        <v>3563</v>
      </c>
      <c r="B1364" s="1040" t="str">
        <f>CONCATENATE(LEFT(RIGHT(CONCATENATE("000",IFAData_TEA_1819!A1364),6),3),"-",(RIGHT(RIGHT(CONCATENATE("000",IFAData_TEA_1819!A1364),6),3)))</f>
        <v>108-916</v>
      </c>
      <c r="C1364" t="s">
        <v>2364</v>
      </c>
      <c r="D1364">
        <v>7</v>
      </c>
      <c r="E1364">
        <v>2415</v>
      </c>
      <c r="F1364" t="s">
        <v>4956</v>
      </c>
      <c r="G1364" t="s">
        <v>4956</v>
      </c>
      <c r="H1364">
        <v>753475</v>
      </c>
      <c r="I1364">
        <v>0</v>
      </c>
      <c r="J1364">
        <v>0</v>
      </c>
      <c r="K1364">
        <v>0</v>
      </c>
      <c r="L1364">
        <v>0</v>
      </c>
      <c r="M1364">
        <v>599</v>
      </c>
    </row>
    <row r="1365" spans="1:13" ht="15">
      <c r="A1365" t="s">
        <v>3563</v>
      </c>
      <c r="B1365" s="1040" t="str">
        <f>CONCATENATE(LEFT(RIGHT(CONCATENATE("000",IFAData_TEA_1819!A1365),6),3),"-",(RIGHT(RIGHT(CONCATENATE("000",IFAData_TEA_1819!A1365),6),3)))</f>
        <v>108-916</v>
      </c>
      <c r="C1365" t="s">
        <v>2364</v>
      </c>
      <c r="D1365">
        <v>7</v>
      </c>
      <c r="E1365">
        <v>2415</v>
      </c>
      <c r="F1365" t="s">
        <v>4956</v>
      </c>
      <c r="G1365" t="s">
        <v>4957</v>
      </c>
      <c r="H1365">
        <v>753475</v>
      </c>
      <c r="I1365">
        <v>294493</v>
      </c>
      <c r="J1365">
        <v>0.41092944822514699</v>
      </c>
      <c r="K1365">
        <v>309625.06600144302</v>
      </c>
      <c r="L1365">
        <v>294493</v>
      </c>
      <c r="M1365">
        <v>599</v>
      </c>
    </row>
    <row r="1366" spans="1:13" ht="15">
      <c r="A1366" t="s">
        <v>3563</v>
      </c>
      <c r="B1366" s="1040" t="str">
        <f>CONCATENATE(LEFT(RIGHT(CONCATENATE("000",IFAData_TEA_1819!A1366),6),3),"-",(RIGHT(RIGHT(CONCATENATE("000",IFAData_TEA_1819!A1366),6),3)))</f>
        <v>108-916</v>
      </c>
      <c r="C1366" t="s">
        <v>2364</v>
      </c>
      <c r="D1366">
        <v>7</v>
      </c>
      <c r="E1366">
        <v>2415</v>
      </c>
      <c r="F1366" t="s">
        <v>4956</v>
      </c>
      <c r="G1366" t="s">
        <v>4958</v>
      </c>
      <c r="H1366">
        <v>753475</v>
      </c>
      <c r="I1366">
        <v>422158</v>
      </c>
      <c r="J1366">
        <v>0.58907055177485301</v>
      </c>
      <c r="K1366">
        <v>443849.93399855698</v>
      </c>
      <c r="L1366">
        <v>422158</v>
      </c>
      <c r="M1366">
        <v>599</v>
      </c>
    </row>
    <row r="1367" spans="1:13" ht="15">
      <c r="A1367" t="s">
        <v>3563</v>
      </c>
      <c r="B1367" s="1040" t="str">
        <f>CONCATENATE(LEFT(RIGHT(CONCATENATE("000",IFAData_TEA_1819!A1367),6),3),"-",(RIGHT(RIGHT(CONCATENATE("000",IFAData_TEA_1819!A1367),6),3)))</f>
        <v>108-916</v>
      </c>
      <c r="C1367" t="s">
        <v>2364</v>
      </c>
      <c r="D1367">
        <v>7</v>
      </c>
      <c r="E1367">
        <v>2415</v>
      </c>
      <c r="F1367" t="s">
        <v>4956</v>
      </c>
      <c r="G1367" t="s">
        <v>6273</v>
      </c>
      <c r="H1367">
        <v>753475</v>
      </c>
      <c r="I1367">
        <v>0</v>
      </c>
      <c r="J1367">
        <v>0</v>
      </c>
      <c r="K1367">
        <v>0</v>
      </c>
      <c r="L1367">
        <v>0</v>
      </c>
      <c r="M1367">
        <v>599</v>
      </c>
    </row>
    <row r="1368" spans="1:13" ht="15">
      <c r="A1368" t="s">
        <v>3563</v>
      </c>
      <c r="B1368" s="1040" t="str">
        <f>CONCATENATE(LEFT(RIGHT(CONCATENATE("000",IFAData_TEA_1819!A1368),6),3),"-",(RIGHT(RIGHT(CONCATENATE("000",IFAData_TEA_1819!A1368),6),3)))</f>
        <v>108-916</v>
      </c>
      <c r="C1368" t="s">
        <v>2364</v>
      </c>
      <c r="D1368">
        <v>8</v>
      </c>
      <c r="E1368">
        <v>2416</v>
      </c>
      <c r="F1368" t="s">
        <v>4959</v>
      </c>
      <c r="G1368" t="s">
        <v>4959</v>
      </c>
      <c r="H1368">
        <v>913768</v>
      </c>
      <c r="I1368">
        <v>0</v>
      </c>
      <c r="J1368">
        <v>0</v>
      </c>
      <c r="K1368">
        <v>0</v>
      </c>
      <c r="L1368">
        <v>0</v>
      </c>
      <c r="M1368">
        <v>599</v>
      </c>
    </row>
    <row r="1369" spans="1:13" ht="15">
      <c r="A1369" t="s">
        <v>3563</v>
      </c>
      <c r="B1369" s="1040" t="str">
        <f>CONCATENATE(LEFT(RIGHT(CONCATENATE("000",IFAData_TEA_1819!A1369),6),3),"-",(RIGHT(RIGHT(CONCATENATE("000",IFAData_TEA_1819!A1369),6),3)))</f>
        <v>108-916</v>
      </c>
      <c r="C1369" t="s">
        <v>2364</v>
      </c>
      <c r="D1369">
        <v>8</v>
      </c>
      <c r="E1369">
        <v>2416</v>
      </c>
      <c r="F1369" t="s">
        <v>4959</v>
      </c>
      <c r="G1369" t="s">
        <v>4958</v>
      </c>
      <c r="H1369">
        <v>913768</v>
      </c>
      <c r="I1369">
        <v>255892</v>
      </c>
      <c r="J1369">
        <v>0.27131863494574499</v>
      </c>
      <c r="K1369">
        <v>247922.28641710401</v>
      </c>
      <c r="L1369">
        <v>247922.28641710401</v>
      </c>
      <c r="M1369">
        <v>599</v>
      </c>
    </row>
    <row r="1370" spans="1:13" ht="15">
      <c r="A1370" t="s">
        <v>3563</v>
      </c>
      <c r="B1370" s="1040" t="str">
        <f>CONCATENATE(LEFT(RIGHT(CONCATENATE("000",IFAData_TEA_1819!A1370),6),3),"-",(RIGHT(RIGHT(CONCATENATE("000",IFAData_TEA_1819!A1370),6),3)))</f>
        <v>108-916</v>
      </c>
      <c r="C1370" t="s">
        <v>2364</v>
      </c>
      <c r="D1370">
        <v>8</v>
      </c>
      <c r="E1370">
        <v>2416</v>
      </c>
      <c r="F1370" t="s">
        <v>4959</v>
      </c>
      <c r="G1370" t="s">
        <v>6273</v>
      </c>
      <c r="H1370">
        <v>913768</v>
      </c>
      <c r="I1370">
        <v>687250</v>
      </c>
      <c r="J1370">
        <v>0.72868136505425496</v>
      </c>
      <c r="K1370">
        <v>665845.71358289605</v>
      </c>
      <c r="L1370">
        <v>665845.71358289605</v>
      </c>
      <c r="M1370">
        <v>599</v>
      </c>
    </row>
    <row r="1371" spans="1:13" ht="15">
      <c r="A1371" t="s">
        <v>3563</v>
      </c>
      <c r="B1371" s="1040" t="str">
        <f>CONCATENATE(LEFT(RIGHT(CONCATENATE("000",IFAData_TEA_1819!A1371),6),3),"-",(RIGHT(RIGHT(CONCATENATE("000",IFAData_TEA_1819!A1371),6),3)))</f>
        <v>108-916</v>
      </c>
      <c r="C1371" t="s">
        <v>2364</v>
      </c>
      <c r="D1371">
        <v>9</v>
      </c>
      <c r="E1371">
        <v>2417</v>
      </c>
      <c r="F1371" t="s">
        <v>4960</v>
      </c>
      <c r="G1371" t="s">
        <v>4960</v>
      </c>
      <c r="H1371">
        <v>1075060</v>
      </c>
      <c r="I1371">
        <v>725019</v>
      </c>
      <c r="J1371">
        <v>0.71967969633290596</v>
      </c>
      <c r="K1371">
        <v>773698.85433965398</v>
      </c>
      <c r="L1371">
        <v>725019</v>
      </c>
      <c r="M1371">
        <v>599</v>
      </c>
    </row>
    <row r="1372" spans="1:13" ht="15">
      <c r="A1372" t="s">
        <v>3563</v>
      </c>
      <c r="B1372" s="1040" t="str">
        <f>CONCATENATE(LEFT(RIGHT(CONCATENATE("000",IFAData_TEA_1819!A1372),6),3),"-",(RIGHT(RIGHT(CONCATENATE("000",IFAData_TEA_1819!A1372),6),3)))</f>
        <v>108-916</v>
      </c>
      <c r="C1372" t="s">
        <v>2364</v>
      </c>
      <c r="D1372">
        <v>9</v>
      </c>
      <c r="E1372">
        <v>2417</v>
      </c>
      <c r="F1372" t="s">
        <v>4960</v>
      </c>
      <c r="G1372" t="s">
        <v>6481</v>
      </c>
      <c r="H1372">
        <v>1075060</v>
      </c>
      <c r="I1372">
        <v>282400</v>
      </c>
      <c r="J1372">
        <v>0.28032030366709398</v>
      </c>
      <c r="K1372">
        <v>301361.14566034602</v>
      </c>
      <c r="L1372">
        <v>282400</v>
      </c>
      <c r="M1372">
        <v>599</v>
      </c>
    </row>
    <row r="1373" spans="1:13" ht="15">
      <c r="A1373" t="s">
        <v>3564</v>
      </c>
      <c r="B1373" s="1040" t="str">
        <f>CONCATENATE(LEFT(RIGHT(CONCATENATE("000",IFAData_TEA_1819!A1373),6),3),"-",(RIGHT(RIGHT(CONCATENATE("000",IFAData_TEA_1819!A1373),6),3)))</f>
        <v>109-901</v>
      </c>
      <c r="C1373" t="s">
        <v>2150</v>
      </c>
      <c r="D1373">
        <v>9</v>
      </c>
      <c r="E1373">
        <v>1541</v>
      </c>
      <c r="F1373" t="s">
        <v>4961</v>
      </c>
      <c r="G1373" t="s">
        <v>4961</v>
      </c>
      <c r="H1373">
        <v>100000</v>
      </c>
      <c r="I1373">
        <v>0</v>
      </c>
      <c r="J1373">
        <v>0</v>
      </c>
      <c r="K1373">
        <v>0</v>
      </c>
      <c r="L1373">
        <v>0</v>
      </c>
      <c r="M1373">
        <v>599</v>
      </c>
    </row>
    <row r="1374" spans="1:13" ht="15">
      <c r="A1374" t="s">
        <v>3564</v>
      </c>
      <c r="B1374" s="1040" t="str">
        <f>CONCATENATE(LEFT(RIGHT(CONCATENATE("000",IFAData_TEA_1819!A1374),6),3),"-",(RIGHT(RIGHT(CONCATENATE("000",IFAData_TEA_1819!A1374),6),3)))</f>
        <v>109-901</v>
      </c>
      <c r="C1374" t="s">
        <v>2150</v>
      </c>
      <c r="D1374">
        <v>9</v>
      </c>
      <c r="E1374">
        <v>1541</v>
      </c>
      <c r="F1374" t="s">
        <v>4961</v>
      </c>
      <c r="G1374" t="s">
        <v>6274</v>
      </c>
      <c r="H1374">
        <v>100000</v>
      </c>
      <c r="I1374">
        <v>236963</v>
      </c>
      <c r="J1374">
        <v>1</v>
      </c>
      <c r="K1374">
        <v>100000</v>
      </c>
      <c r="L1374">
        <v>100000</v>
      </c>
      <c r="M1374">
        <v>599</v>
      </c>
    </row>
    <row r="1375" spans="1:13" ht="15">
      <c r="A1375" t="s">
        <v>3565</v>
      </c>
      <c r="B1375" s="1040" t="str">
        <f>CONCATENATE(LEFT(RIGHT(CONCATENATE("000",IFAData_TEA_1819!A1375),6),3),"-",(RIGHT(RIGHT(CONCATENATE("000",IFAData_TEA_1819!A1375),6),3)))</f>
        <v>109-902</v>
      </c>
      <c r="C1375" t="s">
        <v>898</v>
      </c>
      <c r="D1375">
        <v>6</v>
      </c>
      <c r="E1375">
        <v>1656</v>
      </c>
      <c r="F1375" t="s">
        <v>4962</v>
      </c>
      <c r="G1375" t="s">
        <v>4962</v>
      </c>
      <c r="H1375">
        <v>93778</v>
      </c>
      <c r="I1375">
        <v>0</v>
      </c>
      <c r="J1375">
        <v>0</v>
      </c>
      <c r="K1375">
        <v>0</v>
      </c>
      <c r="L1375">
        <v>0</v>
      </c>
      <c r="M1375">
        <v>599</v>
      </c>
    </row>
    <row r="1376" spans="1:13" ht="15">
      <c r="A1376" t="s">
        <v>3565</v>
      </c>
      <c r="B1376" s="1040" t="str">
        <f>CONCATENATE(LEFT(RIGHT(CONCATENATE("000",IFAData_TEA_1819!A1376),6),3),"-",(RIGHT(RIGHT(CONCATENATE("000",IFAData_TEA_1819!A1376),6),3)))</f>
        <v>109-902</v>
      </c>
      <c r="C1376" t="s">
        <v>898</v>
      </c>
      <c r="D1376">
        <v>6</v>
      </c>
      <c r="E1376">
        <v>1656</v>
      </c>
      <c r="F1376" t="s">
        <v>4962</v>
      </c>
      <c r="G1376" t="s">
        <v>4963</v>
      </c>
      <c r="H1376">
        <v>93778</v>
      </c>
      <c r="I1376">
        <v>88512</v>
      </c>
      <c r="J1376">
        <v>1</v>
      </c>
      <c r="K1376">
        <v>93778</v>
      </c>
      <c r="L1376">
        <v>88512</v>
      </c>
      <c r="M1376">
        <v>599</v>
      </c>
    </row>
    <row r="1377" spans="1:13" ht="15">
      <c r="A1377" t="s">
        <v>4964</v>
      </c>
      <c r="B1377" s="1040" t="str">
        <f>CONCATENATE(LEFT(RIGHT(CONCATENATE("000",IFAData_TEA_1819!A1377),6),3),"-",(RIGHT(RIGHT(CONCATENATE("000",IFAData_TEA_1819!A1377),6),3)))</f>
        <v>109-903</v>
      </c>
      <c r="C1377" t="s">
        <v>667</v>
      </c>
      <c r="D1377">
        <v>3</v>
      </c>
      <c r="E1377">
        <v>1727</v>
      </c>
      <c r="F1377" t="s">
        <v>4965</v>
      </c>
      <c r="G1377" t="s">
        <v>4965</v>
      </c>
      <c r="H1377">
        <v>111000</v>
      </c>
      <c r="I1377">
        <v>0</v>
      </c>
      <c r="J1377">
        <v>0</v>
      </c>
      <c r="K1377"/>
      <c r="L1377">
        <v>0</v>
      </c>
      <c r="M1377">
        <v>199</v>
      </c>
    </row>
    <row r="1378" spans="1:13" ht="15">
      <c r="A1378" t="s">
        <v>3566</v>
      </c>
      <c r="B1378" s="1040" t="str">
        <f>CONCATENATE(LEFT(RIGHT(CONCATENATE("000",IFAData_TEA_1819!A1378),6),3),"-",(RIGHT(RIGHT(CONCATENATE("000",IFAData_TEA_1819!A1378),6),3)))</f>
        <v>109-904</v>
      </c>
      <c r="C1378" t="s">
        <v>2376</v>
      </c>
      <c r="D1378">
        <v>1</v>
      </c>
      <c r="E1378">
        <v>1892</v>
      </c>
      <c r="F1378" t="s">
        <v>4966</v>
      </c>
      <c r="G1378" t="s">
        <v>4966</v>
      </c>
      <c r="H1378">
        <v>373075</v>
      </c>
      <c r="I1378">
        <v>0</v>
      </c>
      <c r="J1378">
        <v>0</v>
      </c>
      <c r="K1378">
        <v>0</v>
      </c>
      <c r="L1378">
        <v>0</v>
      </c>
      <c r="M1378">
        <v>599</v>
      </c>
    </row>
    <row r="1379" spans="1:13" ht="15">
      <c r="A1379" t="s">
        <v>3566</v>
      </c>
      <c r="B1379" s="1040" t="str">
        <f>CONCATENATE(LEFT(RIGHT(CONCATENATE("000",IFAData_TEA_1819!A1379),6),3),"-",(RIGHT(RIGHT(CONCATENATE("000",IFAData_TEA_1819!A1379),6),3)))</f>
        <v>109-904</v>
      </c>
      <c r="C1379" t="s">
        <v>2376</v>
      </c>
      <c r="D1379">
        <v>1</v>
      </c>
      <c r="E1379">
        <v>1892</v>
      </c>
      <c r="F1379" t="s">
        <v>4966</v>
      </c>
      <c r="G1379" t="s">
        <v>4967</v>
      </c>
      <c r="H1379">
        <v>373075</v>
      </c>
      <c r="I1379">
        <v>0</v>
      </c>
      <c r="J1379">
        <v>0</v>
      </c>
      <c r="K1379">
        <v>0</v>
      </c>
      <c r="L1379">
        <v>0</v>
      </c>
      <c r="M1379">
        <v>599</v>
      </c>
    </row>
    <row r="1380" spans="1:13" ht="15">
      <c r="A1380" t="s">
        <v>3566</v>
      </c>
      <c r="B1380" s="1040" t="str">
        <f>CONCATENATE(LEFT(RIGHT(CONCATENATE("000",IFAData_TEA_1819!A1380),6),3),"-",(RIGHT(RIGHT(CONCATENATE("000",IFAData_TEA_1819!A1380),6),3)))</f>
        <v>109-904</v>
      </c>
      <c r="C1380" t="s">
        <v>2376</v>
      </c>
      <c r="D1380">
        <v>1</v>
      </c>
      <c r="E1380">
        <v>1892</v>
      </c>
      <c r="F1380" t="s">
        <v>4966</v>
      </c>
      <c r="G1380" t="s">
        <v>4968</v>
      </c>
      <c r="H1380">
        <v>373075</v>
      </c>
      <c r="I1380">
        <v>0</v>
      </c>
      <c r="J1380">
        <v>0</v>
      </c>
      <c r="K1380">
        <v>0</v>
      </c>
      <c r="L1380">
        <v>0</v>
      </c>
      <c r="M1380">
        <v>599</v>
      </c>
    </row>
    <row r="1381" spans="1:13" ht="15">
      <c r="A1381" t="s">
        <v>3566</v>
      </c>
      <c r="B1381" s="1040" t="str">
        <f>CONCATENATE(LEFT(RIGHT(CONCATENATE("000",IFAData_TEA_1819!A1381),6),3),"-",(RIGHT(RIGHT(CONCATENATE("000",IFAData_TEA_1819!A1381),6),3)))</f>
        <v>109-904</v>
      </c>
      <c r="C1381" t="s">
        <v>2376</v>
      </c>
      <c r="D1381">
        <v>1</v>
      </c>
      <c r="E1381">
        <v>1892</v>
      </c>
      <c r="F1381" t="s">
        <v>4966</v>
      </c>
      <c r="G1381" t="s">
        <v>4969</v>
      </c>
      <c r="H1381">
        <v>373075</v>
      </c>
      <c r="I1381">
        <v>0</v>
      </c>
      <c r="J1381">
        <v>0</v>
      </c>
      <c r="K1381">
        <v>0</v>
      </c>
      <c r="L1381">
        <v>0</v>
      </c>
      <c r="M1381">
        <v>599</v>
      </c>
    </row>
    <row r="1382" spans="1:13" ht="15">
      <c r="A1382" t="s">
        <v>3566</v>
      </c>
      <c r="B1382" s="1040" t="str">
        <f>CONCATENATE(LEFT(RIGHT(CONCATENATE("000",IFAData_TEA_1819!A1382),6),3),"-",(RIGHT(RIGHT(CONCATENATE("000",IFAData_TEA_1819!A1382),6),3)))</f>
        <v>109-904</v>
      </c>
      <c r="C1382" t="s">
        <v>2376</v>
      </c>
      <c r="D1382">
        <v>1</v>
      </c>
      <c r="E1382">
        <v>1892</v>
      </c>
      <c r="F1382" t="s">
        <v>4966</v>
      </c>
      <c r="G1382" t="s">
        <v>4970</v>
      </c>
      <c r="H1382">
        <v>373075</v>
      </c>
      <c r="I1382">
        <v>605899</v>
      </c>
      <c r="J1382">
        <v>0.99669030499530398</v>
      </c>
      <c r="K1382">
        <v>371840.23553612299</v>
      </c>
      <c r="L1382">
        <v>371840.23553612299</v>
      </c>
      <c r="M1382">
        <v>599</v>
      </c>
    </row>
    <row r="1383" spans="1:13" ht="15">
      <c r="A1383" t="s">
        <v>3566</v>
      </c>
      <c r="B1383" s="1040" t="str">
        <f>CONCATENATE(LEFT(RIGHT(CONCATENATE("000",IFAData_TEA_1819!A1383),6),3),"-",(RIGHT(RIGHT(CONCATENATE("000",IFAData_TEA_1819!A1383),6),3)))</f>
        <v>109-904</v>
      </c>
      <c r="C1383" t="s">
        <v>2376</v>
      </c>
      <c r="D1383">
        <v>1</v>
      </c>
      <c r="E1383">
        <v>1892</v>
      </c>
      <c r="F1383" t="s">
        <v>4966</v>
      </c>
      <c r="G1383" t="s">
        <v>6275</v>
      </c>
      <c r="H1383">
        <v>373075</v>
      </c>
      <c r="I1383">
        <v>2012</v>
      </c>
      <c r="J1383">
        <v>3.30969500469641E-3</v>
      </c>
      <c r="K1383">
        <v>1234.7644638771101</v>
      </c>
      <c r="L1383">
        <v>1234.7644638771101</v>
      </c>
      <c r="M1383">
        <v>599</v>
      </c>
    </row>
    <row r="1384" spans="1:13" ht="15">
      <c r="A1384" t="s">
        <v>3566</v>
      </c>
      <c r="B1384" s="1040" t="str">
        <f>CONCATENATE(LEFT(RIGHT(CONCATENATE("000",IFAData_TEA_1819!A1384),6),3),"-",(RIGHT(RIGHT(CONCATENATE("000",IFAData_TEA_1819!A1384),6),3)))</f>
        <v>109-904</v>
      </c>
      <c r="C1384" t="s">
        <v>2376</v>
      </c>
      <c r="D1384">
        <v>6</v>
      </c>
      <c r="E1384">
        <v>1893</v>
      </c>
      <c r="F1384" t="s">
        <v>4967</v>
      </c>
      <c r="G1384" t="s">
        <v>4967</v>
      </c>
      <c r="H1384">
        <v>449169</v>
      </c>
      <c r="I1384">
        <v>0</v>
      </c>
      <c r="J1384">
        <v>0</v>
      </c>
      <c r="K1384">
        <v>0</v>
      </c>
      <c r="L1384">
        <v>0</v>
      </c>
      <c r="M1384">
        <v>599</v>
      </c>
    </row>
    <row r="1385" spans="1:13" ht="15">
      <c r="A1385" t="s">
        <v>3566</v>
      </c>
      <c r="B1385" s="1040" t="str">
        <f>CONCATENATE(LEFT(RIGHT(CONCATENATE("000",IFAData_TEA_1819!A1385),6),3),"-",(RIGHT(RIGHT(CONCATENATE("000",IFAData_TEA_1819!A1385),6),3)))</f>
        <v>109-904</v>
      </c>
      <c r="C1385" t="s">
        <v>2376</v>
      </c>
      <c r="D1385">
        <v>6</v>
      </c>
      <c r="E1385">
        <v>1893</v>
      </c>
      <c r="F1385" t="s">
        <v>4967</v>
      </c>
      <c r="G1385" t="s">
        <v>4969</v>
      </c>
      <c r="H1385">
        <v>449169</v>
      </c>
      <c r="I1385">
        <v>818182</v>
      </c>
      <c r="J1385">
        <v>0.53347147475311196</v>
      </c>
      <c r="K1385">
        <v>239618.84884338101</v>
      </c>
      <c r="L1385">
        <v>239618.84884338101</v>
      </c>
      <c r="M1385">
        <v>599</v>
      </c>
    </row>
    <row r="1386" spans="1:13" ht="15">
      <c r="A1386" t="s">
        <v>3566</v>
      </c>
      <c r="B1386" s="1040" t="str">
        <f>CONCATENATE(LEFT(RIGHT(CONCATENATE("000",IFAData_TEA_1819!A1386),6),3),"-",(RIGHT(RIGHT(CONCATENATE("000",IFAData_TEA_1819!A1386),6),3)))</f>
        <v>109-904</v>
      </c>
      <c r="C1386" t="s">
        <v>2376</v>
      </c>
      <c r="D1386">
        <v>6</v>
      </c>
      <c r="E1386">
        <v>1893</v>
      </c>
      <c r="F1386" t="s">
        <v>4967</v>
      </c>
      <c r="G1386" t="s">
        <v>6275</v>
      </c>
      <c r="H1386">
        <v>449169</v>
      </c>
      <c r="I1386">
        <v>715512</v>
      </c>
      <c r="J1386">
        <v>0.46652852524688798</v>
      </c>
      <c r="K1386">
        <v>209550.15115661899</v>
      </c>
      <c r="L1386">
        <v>209550.15115661899</v>
      </c>
      <c r="M1386">
        <v>599</v>
      </c>
    </row>
    <row r="1387" spans="1:13" ht="15">
      <c r="A1387" t="s">
        <v>3567</v>
      </c>
      <c r="B1387" s="1040" t="str">
        <f>CONCATENATE(LEFT(RIGHT(CONCATENATE("000",IFAData_TEA_1819!A1387),6),3),"-",(RIGHT(RIGHT(CONCATENATE("000",IFAData_TEA_1819!A1387),6),3)))</f>
        <v>109-905</v>
      </c>
      <c r="C1387" t="s">
        <v>2381</v>
      </c>
      <c r="D1387">
        <v>4</v>
      </c>
      <c r="E1387">
        <v>1906</v>
      </c>
      <c r="F1387" t="s">
        <v>4971</v>
      </c>
      <c r="G1387" t="s">
        <v>4971</v>
      </c>
      <c r="H1387">
        <v>105808</v>
      </c>
      <c r="I1387">
        <v>0</v>
      </c>
      <c r="J1387">
        <v>0</v>
      </c>
      <c r="K1387">
        <v>0</v>
      </c>
      <c r="L1387">
        <v>0</v>
      </c>
      <c r="M1387">
        <v>599</v>
      </c>
    </row>
    <row r="1388" spans="1:13" ht="15">
      <c r="A1388" t="s">
        <v>3567</v>
      </c>
      <c r="B1388" s="1040" t="str">
        <f>CONCATENATE(LEFT(RIGHT(CONCATENATE("000",IFAData_TEA_1819!A1388),6),3),"-",(RIGHT(RIGHT(CONCATENATE("000",IFAData_TEA_1819!A1388),6),3)))</f>
        <v>109-905</v>
      </c>
      <c r="C1388" t="s">
        <v>2381</v>
      </c>
      <c r="D1388">
        <v>4</v>
      </c>
      <c r="E1388">
        <v>1906</v>
      </c>
      <c r="F1388" t="s">
        <v>4971</v>
      </c>
      <c r="G1388" t="s">
        <v>4972</v>
      </c>
      <c r="H1388">
        <v>105808</v>
      </c>
      <c r="I1388">
        <v>87744</v>
      </c>
      <c r="J1388">
        <v>1</v>
      </c>
      <c r="K1388">
        <v>105808</v>
      </c>
      <c r="L1388">
        <v>87744</v>
      </c>
      <c r="M1388">
        <v>599</v>
      </c>
    </row>
    <row r="1389" spans="1:13" ht="15">
      <c r="A1389" t="s">
        <v>3567</v>
      </c>
      <c r="B1389" s="1040" t="str">
        <f>CONCATENATE(LEFT(RIGHT(CONCATENATE("000",IFAData_TEA_1819!A1389),6),3),"-",(RIGHT(RIGHT(CONCATENATE("000",IFAData_TEA_1819!A1389),6),3)))</f>
        <v>109-905</v>
      </c>
      <c r="C1389" t="s">
        <v>2381</v>
      </c>
      <c r="D1389">
        <v>5</v>
      </c>
      <c r="E1389">
        <v>1907</v>
      </c>
      <c r="F1389" t="s">
        <v>4973</v>
      </c>
      <c r="G1389" t="s">
        <v>4973</v>
      </c>
      <c r="H1389">
        <v>109410</v>
      </c>
      <c r="I1389">
        <v>0</v>
      </c>
      <c r="J1389">
        <v>0</v>
      </c>
      <c r="K1389">
        <v>0</v>
      </c>
      <c r="L1389">
        <v>0</v>
      </c>
      <c r="M1389">
        <v>599</v>
      </c>
    </row>
    <row r="1390" spans="1:13" ht="15">
      <c r="A1390" t="s">
        <v>3567</v>
      </c>
      <c r="B1390" s="1040" t="str">
        <f>CONCATENATE(LEFT(RIGHT(CONCATENATE("000",IFAData_TEA_1819!A1390),6),3),"-",(RIGHT(RIGHT(CONCATENATE("000",IFAData_TEA_1819!A1390),6),3)))</f>
        <v>109-905</v>
      </c>
      <c r="C1390" t="s">
        <v>2381</v>
      </c>
      <c r="D1390">
        <v>5</v>
      </c>
      <c r="E1390">
        <v>1907</v>
      </c>
      <c r="F1390" t="s">
        <v>4973</v>
      </c>
      <c r="G1390" t="s">
        <v>4974</v>
      </c>
      <c r="H1390">
        <v>109410</v>
      </c>
      <c r="I1390">
        <v>104150</v>
      </c>
      <c r="J1390">
        <v>0.74911889520247399</v>
      </c>
      <c r="K1390">
        <v>81961.098324102699</v>
      </c>
      <c r="L1390">
        <v>81961.098324102699</v>
      </c>
      <c r="M1390">
        <v>599</v>
      </c>
    </row>
    <row r="1391" spans="1:13" ht="15">
      <c r="A1391" t="s">
        <v>3567</v>
      </c>
      <c r="B1391" s="1040" t="str">
        <f>CONCATENATE(LEFT(RIGHT(CONCATENATE("000",IFAData_TEA_1819!A1391),6),3),"-",(RIGHT(RIGHT(CONCATENATE("000",IFAData_TEA_1819!A1391),6),3)))</f>
        <v>109-905</v>
      </c>
      <c r="C1391" t="s">
        <v>2381</v>
      </c>
      <c r="D1391">
        <v>5</v>
      </c>
      <c r="E1391">
        <v>1907</v>
      </c>
      <c r="F1391" t="s">
        <v>4973</v>
      </c>
      <c r="G1391" t="s">
        <v>8417</v>
      </c>
      <c r="H1391">
        <v>109410</v>
      </c>
      <c r="I1391">
        <v>34880</v>
      </c>
      <c r="J1391">
        <v>0.25088110479752601</v>
      </c>
      <c r="K1391">
        <v>27448.901675897301</v>
      </c>
      <c r="L1391">
        <v>27448.901675897301</v>
      </c>
      <c r="M1391">
        <v>599</v>
      </c>
    </row>
    <row r="1392" spans="1:13" ht="15">
      <c r="A1392" t="s">
        <v>3567</v>
      </c>
      <c r="B1392" s="1040" t="str">
        <f>CONCATENATE(LEFT(RIGHT(CONCATENATE("000",IFAData_TEA_1819!A1392),6),3),"-",(RIGHT(RIGHT(CONCATENATE("000",IFAData_TEA_1819!A1392),6),3)))</f>
        <v>109-905</v>
      </c>
      <c r="C1392" t="s">
        <v>2381</v>
      </c>
      <c r="D1392">
        <v>10</v>
      </c>
      <c r="E1392">
        <v>1905</v>
      </c>
      <c r="F1392" t="s">
        <v>4974</v>
      </c>
      <c r="G1392" t="s">
        <v>4974</v>
      </c>
      <c r="H1392">
        <v>100000</v>
      </c>
      <c r="I1392">
        <v>237881</v>
      </c>
      <c r="J1392">
        <v>0.73085312949330805</v>
      </c>
      <c r="K1392">
        <v>73085.312949330793</v>
      </c>
      <c r="L1392">
        <v>73085.312949330793</v>
      </c>
      <c r="M1392">
        <v>599</v>
      </c>
    </row>
    <row r="1393" spans="1:13" ht="15">
      <c r="A1393" t="s">
        <v>3567</v>
      </c>
      <c r="B1393" s="1040" t="str">
        <f>CONCATENATE(LEFT(RIGHT(CONCATENATE("000",IFAData_TEA_1819!A1393),6),3),"-",(RIGHT(RIGHT(CONCATENATE("000",IFAData_TEA_1819!A1393),6),3)))</f>
        <v>109-905</v>
      </c>
      <c r="C1393" t="s">
        <v>2381</v>
      </c>
      <c r="D1393">
        <v>10</v>
      </c>
      <c r="E1393">
        <v>1905</v>
      </c>
      <c r="F1393" t="s">
        <v>4974</v>
      </c>
      <c r="G1393" t="s">
        <v>8417</v>
      </c>
      <c r="H1393">
        <v>100000</v>
      </c>
      <c r="I1393">
        <v>87603</v>
      </c>
      <c r="J1393">
        <v>0.269146870506692</v>
      </c>
      <c r="K1393">
        <v>26914.687050669199</v>
      </c>
      <c r="L1393">
        <v>26914.687050669199</v>
      </c>
      <c r="M1393">
        <v>599</v>
      </c>
    </row>
    <row r="1394" spans="1:13" ht="15">
      <c r="A1394" t="s">
        <v>3568</v>
      </c>
      <c r="B1394" s="1040" t="str">
        <f>CONCATENATE(LEFT(RIGHT(CONCATENATE("000",IFAData_TEA_1819!A1394),6),3),"-",(RIGHT(RIGHT(CONCATENATE("000",IFAData_TEA_1819!A1394),6),3)))</f>
        <v>109-907</v>
      </c>
      <c r="C1394" t="s">
        <v>404</v>
      </c>
      <c r="D1394">
        <v>2</v>
      </c>
      <c r="E1394">
        <v>1931</v>
      </c>
      <c r="F1394" t="s">
        <v>4975</v>
      </c>
      <c r="G1394" t="s">
        <v>4975</v>
      </c>
      <c r="H1394">
        <v>110751</v>
      </c>
      <c r="I1394">
        <v>115750</v>
      </c>
      <c r="J1394">
        <v>1</v>
      </c>
      <c r="K1394">
        <v>110751</v>
      </c>
      <c r="L1394">
        <v>110751</v>
      </c>
      <c r="M1394">
        <v>599</v>
      </c>
    </row>
    <row r="1395" spans="1:13" ht="15">
      <c r="A1395" t="s">
        <v>3568</v>
      </c>
      <c r="B1395" s="1040" t="str">
        <f>CONCATENATE(LEFT(RIGHT(CONCATENATE("000",IFAData_TEA_1819!A1395),6),3),"-",(RIGHT(RIGHT(CONCATENATE("000",IFAData_TEA_1819!A1395),6),3)))</f>
        <v>109-907</v>
      </c>
      <c r="C1395" t="s">
        <v>404</v>
      </c>
      <c r="D1395">
        <v>11</v>
      </c>
      <c r="E1395">
        <v>2585</v>
      </c>
      <c r="F1395" t="s">
        <v>8418</v>
      </c>
      <c r="G1395" t="s">
        <v>8418</v>
      </c>
      <c r="H1395">
        <v>153617</v>
      </c>
      <c r="I1395">
        <v>210905</v>
      </c>
      <c r="J1395">
        <v>1</v>
      </c>
      <c r="K1395">
        <v>153617</v>
      </c>
      <c r="L1395">
        <v>153617</v>
      </c>
      <c r="M1395">
        <v>599</v>
      </c>
    </row>
    <row r="1396" spans="1:13" ht="15">
      <c r="A1396" t="s">
        <v>3569</v>
      </c>
      <c r="B1396" s="1040" t="str">
        <f>CONCATENATE(LEFT(RIGHT(CONCATENATE("000",IFAData_TEA_1819!A1396),6),3),"-",(RIGHT(RIGHT(CONCATENATE("000",IFAData_TEA_1819!A1396),6),3)))</f>
        <v>109-908</v>
      </c>
      <c r="C1396" t="s">
        <v>2152</v>
      </c>
      <c r="D1396">
        <v>5</v>
      </c>
      <c r="E1396">
        <v>2053</v>
      </c>
      <c r="F1396" t="s">
        <v>4976</v>
      </c>
      <c r="G1396" t="s">
        <v>4976</v>
      </c>
      <c r="H1396">
        <v>99613</v>
      </c>
      <c r="I1396">
        <v>99432</v>
      </c>
      <c r="J1396">
        <v>1</v>
      </c>
      <c r="K1396">
        <v>99613</v>
      </c>
      <c r="L1396">
        <v>99432</v>
      </c>
      <c r="M1396">
        <v>199</v>
      </c>
    </row>
    <row r="1397" spans="1:13" ht="15">
      <c r="A1397" t="s">
        <v>3569</v>
      </c>
      <c r="B1397" s="1040" t="str">
        <f>CONCATENATE(LEFT(RIGHT(CONCATENATE("000",IFAData_TEA_1819!A1397),6),3),"-",(RIGHT(RIGHT(CONCATENATE("000",IFAData_TEA_1819!A1397),6),3)))</f>
        <v>109-908</v>
      </c>
      <c r="C1397" t="s">
        <v>2152</v>
      </c>
      <c r="D1397">
        <v>9</v>
      </c>
      <c r="E1397">
        <v>2054</v>
      </c>
      <c r="F1397" t="s">
        <v>4977</v>
      </c>
      <c r="G1397" t="s">
        <v>4977</v>
      </c>
      <c r="H1397">
        <v>100000</v>
      </c>
      <c r="I1397">
        <v>80231</v>
      </c>
      <c r="J1397">
        <v>1</v>
      </c>
      <c r="K1397">
        <v>100000</v>
      </c>
      <c r="L1397">
        <v>80231</v>
      </c>
      <c r="M1397">
        <v>599</v>
      </c>
    </row>
    <row r="1398" spans="1:13" ht="15">
      <c r="A1398" t="s">
        <v>3570</v>
      </c>
      <c r="B1398" s="1040" t="str">
        <f>CONCATENATE(LEFT(RIGHT(CONCATENATE("000",IFAData_TEA_1819!A1398),6),3),"-",(RIGHT(RIGHT(CONCATENATE("000",IFAData_TEA_1819!A1398),6),3)))</f>
        <v>109-910</v>
      </c>
      <c r="C1398" t="s">
        <v>2243</v>
      </c>
      <c r="D1398">
        <v>5</v>
      </c>
      <c r="E1398">
        <v>2121</v>
      </c>
      <c r="F1398" t="s">
        <v>4978</v>
      </c>
      <c r="G1398" t="s">
        <v>4978</v>
      </c>
      <c r="H1398">
        <v>100000</v>
      </c>
      <c r="I1398">
        <v>94602</v>
      </c>
      <c r="J1398">
        <v>1</v>
      </c>
      <c r="K1398">
        <v>100000</v>
      </c>
      <c r="L1398">
        <v>94602</v>
      </c>
      <c r="M1398">
        <v>199</v>
      </c>
    </row>
    <row r="1399" spans="1:13" ht="15">
      <c r="A1399" t="s">
        <v>3570</v>
      </c>
      <c r="B1399" s="1040" t="str">
        <f>CONCATENATE(LEFT(RIGHT(CONCATENATE("000",IFAData_TEA_1819!A1399),6),3),"-",(RIGHT(RIGHT(CONCATENATE("000",IFAData_TEA_1819!A1399),6),3)))</f>
        <v>109-910</v>
      </c>
      <c r="C1399" t="s">
        <v>2243</v>
      </c>
      <c r="D1399">
        <v>10</v>
      </c>
      <c r="E1399">
        <v>2120</v>
      </c>
      <c r="F1399" t="s">
        <v>4979</v>
      </c>
      <c r="G1399" t="s">
        <v>4979</v>
      </c>
      <c r="H1399">
        <v>85000</v>
      </c>
      <c r="I1399">
        <v>90000</v>
      </c>
      <c r="J1399">
        <v>1</v>
      </c>
      <c r="K1399">
        <v>85000</v>
      </c>
      <c r="L1399">
        <v>85000</v>
      </c>
      <c r="M1399">
        <v>599</v>
      </c>
    </row>
    <row r="1400" spans="1:13" ht="15">
      <c r="A1400" t="s">
        <v>3571</v>
      </c>
      <c r="B1400" s="1040" t="str">
        <f>CONCATENATE(LEFT(RIGHT(CONCATENATE("000",IFAData_TEA_1819!A1400),6),3),"-",(RIGHT(RIGHT(CONCATENATE("000",IFAData_TEA_1819!A1400),6),3)))</f>
        <v>109-912</v>
      </c>
      <c r="C1400" t="s">
        <v>2419</v>
      </c>
      <c r="D1400">
        <v>5</v>
      </c>
      <c r="E1400">
        <v>1581</v>
      </c>
      <c r="F1400" t="s">
        <v>4980</v>
      </c>
      <c r="G1400" t="s">
        <v>4980</v>
      </c>
      <c r="H1400">
        <v>88897</v>
      </c>
      <c r="I1400">
        <v>0</v>
      </c>
      <c r="J1400">
        <v>0</v>
      </c>
      <c r="K1400">
        <v>0</v>
      </c>
      <c r="L1400">
        <v>0</v>
      </c>
      <c r="M1400">
        <v>599</v>
      </c>
    </row>
    <row r="1401" spans="1:13" ht="15">
      <c r="A1401" t="s">
        <v>3571</v>
      </c>
      <c r="B1401" s="1040" t="str">
        <f>CONCATENATE(LEFT(RIGHT(CONCATENATE("000",IFAData_TEA_1819!A1401),6),3),"-",(RIGHT(RIGHT(CONCATENATE("000",IFAData_TEA_1819!A1401),6),3)))</f>
        <v>109-912</v>
      </c>
      <c r="C1401" t="s">
        <v>2419</v>
      </c>
      <c r="D1401">
        <v>5</v>
      </c>
      <c r="E1401">
        <v>1581</v>
      </c>
      <c r="F1401" t="s">
        <v>4980</v>
      </c>
      <c r="G1401" t="s">
        <v>4981</v>
      </c>
      <c r="H1401">
        <v>88897</v>
      </c>
      <c r="I1401">
        <v>88523</v>
      </c>
      <c r="J1401">
        <v>1</v>
      </c>
      <c r="K1401">
        <v>88897</v>
      </c>
      <c r="L1401">
        <v>88523</v>
      </c>
      <c r="M1401">
        <v>599</v>
      </c>
    </row>
    <row r="1402" spans="1:13" ht="15">
      <c r="A1402" t="s">
        <v>4982</v>
      </c>
      <c r="B1402" s="1040" t="str">
        <f>CONCATENATE(LEFT(RIGHT(CONCATENATE("000",IFAData_TEA_1819!A1402),6),3),"-",(RIGHT(RIGHT(CONCATENATE("000",IFAData_TEA_1819!A1402),6),3)))</f>
        <v>109-913</v>
      </c>
      <c r="C1402" t="s">
        <v>1346</v>
      </c>
      <c r="D1402">
        <v>5</v>
      </c>
      <c r="E1402">
        <v>1625</v>
      </c>
      <c r="F1402" t="s">
        <v>4983</v>
      </c>
      <c r="G1402" t="s">
        <v>4983</v>
      </c>
      <c r="H1402">
        <v>91413</v>
      </c>
      <c r="I1402">
        <v>0</v>
      </c>
      <c r="J1402">
        <v>0</v>
      </c>
      <c r="K1402">
        <v>0</v>
      </c>
      <c r="L1402">
        <v>0</v>
      </c>
      <c r="M1402">
        <v>599</v>
      </c>
    </row>
    <row r="1403" spans="1:13" ht="15">
      <c r="A1403" t="s">
        <v>4982</v>
      </c>
      <c r="B1403" s="1040" t="str">
        <f>CONCATENATE(LEFT(RIGHT(CONCATENATE("000",IFAData_TEA_1819!A1403),6),3),"-",(RIGHT(RIGHT(CONCATENATE("000",IFAData_TEA_1819!A1403),6),3)))</f>
        <v>109-913</v>
      </c>
      <c r="C1403" t="s">
        <v>1346</v>
      </c>
      <c r="D1403">
        <v>5</v>
      </c>
      <c r="E1403">
        <v>1625</v>
      </c>
      <c r="F1403" t="s">
        <v>4983</v>
      </c>
      <c r="G1403" t="s">
        <v>4984</v>
      </c>
      <c r="H1403">
        <v>91413</v>
      </c>
      <c r="I1403">
        <v>0</v>
      </c>
      <c r="J1403">
        <v>0</v>
      </c>
      <c r="K1403">
        <v>0</v>
      </c>
      <c r="L1403">
        <v>0</v>
      </c>
      <c r="M1403">
        <v>599</v>
      </c>
    </row>
    <row r="1404" spans="1:13" ht="15">
      <c r="A1404" t="s">
        <v>4982</v>
      </c>
      <c r="B1404" s="1040" t="str">
        <f>CONCATENATE(LEFT(RIGHT(CONCATENATE("000",IFAData_TEA_1819!A1404),6),3),"-",(RIGHT(RIGHT(CONCATENATE("000",IFAData_TEA_1819!A1404),6),3)))</f>
        <v>109-913</v>
      </c>
      <c r="C1404" t="s">
        <v>1346</v>
      </c>
      <c r="D1404">
        <v>5</v>
      </c>
      <c r="E1404">
        <v>1625</v>
      </c>
      <c r="F1404" t="s">
        <v>4983</v>
      </c>
      <c r="G1404" t="s">
        <v>6830</v>
      </c>
      <c r="H1404">
        <v>91413</v>
      </c>
      <c r="I1404">
        <v>57962</v>
      </c>
      <c r="J1404">
        <v>1</v>
      </c>
      <c r="K1404">
        <v>91413</v>
      </c>
      <c r="L1404">
        <v>57962</v>
      </c>
      <c r="M1404">
        <v>599</v>
      </c>
    </row>
    <row r="1405" spans="1:13" ht="15">
      <c r="A1405" t="s">
        <v>4985</v>
      </c>
      <c r="B1405" s="1040" t="str">
        <f>CONCATENATE(LEFT(RIGHT(CONCATENATE("000",IFAData_TEA_1819!A1405),6),3),"-",(RIGHT(RIGHT(CONCATENATE("000",IFAData_TEA_1819!A1405),6),3)))</f>
        <v>109-914</v>
      </c>
      <c r="C1405" t="s">
        <v>2594</v>
      </c>
      <c r="D1405">
        <v>5</v>
      </c>
      <c r="E1405">
        <v>2185</v>
      </c>
      <c r="F1405" t="s">
        <v>4986</v>
      </c>
      <c r="G1405" t="s">
        <v>4986</v>
      </c>
      <c r="H1405">
        <v>99258</v>
      </c>
      <c r="I1405">
        <v>92010</v>
      </c>
      <c r="J1405">
        <v>1</v>
      </c>
      <c r="K1405">
        <v>99258</v>
      </c>
      <c r="L1405">
        <v>92010</v>
      </c>
      <c r="M1405">
        <v>199</v>
      </c>
    </row>
    <row r="1406" spans="1:13" ht="15">
      <c r="A1406" t="s">
        <v>3572</v>
      </c>
      <c r="B1406" s="1040" t="str">
        <f>CONCATENATE(LEFT(RIGHT(CONCATENATE("000",IFAData_TEA_1819!A1406),6),3),"-",(RIGHT(RIGHT(CONCATENATE("000",IFAData_TEA_1819!A1406),6),3)))</f>
        <v>110-906</v>
      </c>
      <c r="C1406" t="s">
        <v>1929</v>
      </c>
      <c r="D1406">
        <v>4</v>
      </c>
      <c r="E1406">
        <v>2344</v>
      </c>
      <c r="F1406" t="s">
        <v>4987</v>
      </c>
      <c r="G1406" t="s">
        <v>4987</v>
      </c>
      <c r="H1406">
        <v>97293</v>
      </c>
      <c r="I1406">
        <v>0</v>
      </c>
      <c r="J1406">
        <v>0</v>
      </c>
      <c r="K1406"/>
      <c r="L1406">
        <v>0</v>
      </c>
      <c r="M1406">
        <v>199</v>
      </c>
    </row>
    <row r="1407" spans="1:13" ht="15">
      <c r="A1407" t="s">
        <v>3572</v>
      </c>
      <c r="B1407" s="1040" t="str">
        <f>CONCATENATE(LEFT(RIGHT(CONCATENATE("000",IFAData_TEA_1819!A1407),6),3),"-",(RIGHT(RIGHT(CONCATENATE("000",IFAData_TEA_1819!A1407),6),3)))</f>
        <v>110-906</v>
      </c>
      <c r="C1407" t="s">
        <v>1929</v>
      </c>
      <c r="D1407">
        <v>10</v>
      </c>
      <c r="E1407">
        <v>2343</v>
      </c>
      <c r="F1407" t="s">
        <v>4988</v>
      </c>
      <c r="G1407" t="s">
        <v>4988</v>
      </c>
      <c r="H1407">
        <v>51451</v>
      </c>
      <c r="I1407">
        <v>46919</v>
      </c>
      <c r="J1407">
        <v>1</v>
      </c>
      <c r="K1407">
        <v>51451</v>
      </c>
      <c r="L1407">
        <v>46919</v>
      </c>
      <c r="M1407">
        <v>599</v>
      </c>
    </row>
    <row r="1408" spans="1:13" ht="15">
      <c r="A1408" t="s">
        <v>3573</v>
      </c>
      <c r="B1408" s="1040" t="str">
        <f>CONCATENATE(LEFT(RIGHT(CONCATENATE("000",IFAData_TEA_1819!A1408),6),3),"-",(RIGHT(RIGHT(CONCATENATE("000",IFAData_TEA_1819!A1408),6),3)))</f>
        <v>111-902</v>
      </c>
      <c r="C1408" t="s">
        <v>1566</v>
      </c>
      <c r="D1408">
        <v>2</v>
      </c>
      <c r="E1408">
        <v>2023</v>
      </c>
      <c r="F1408" t="s">
        <v>4989</v>
      </c>
      <c r="G1408" t="s">
        <v>4989</v>
      </c>
      <c r="H1408">
        <v>100000</v>
      </c>
      <c r="I1408">
        <v>0</v>
      </c>
      <c r="J1408">
        <v>0</v>
      </c>
      <c r="K1408">
        <v>0</v>
      </c>
      <c r="L1408">
        <v>0</v>
      </c>
      <c r="M1408">
        <v>599</v>
      </c>
    </row>
    <row r="1409" spans="1:13" ht="15">
      <c r="A1409" t="s">
        <v>3573</v>
      </c>
      <c r="B1409" s="1040" t="str">
        <f>CONCATENATE(LEFT(RIGHT(CONCATENATE("000",IFAData_TEA_1819!A1409),6),3),"-",(RIGHT(RIGHT(CONCATENATE("000",IFAData_TEA_1819!A1409),6),3)))</f>
        <v>111-902</v>
      </c>
      <c r="C1409" t="s">
        <v>1566</v>
      </c>
      <c r="D1409">
        <v>2</v>
      </c>
      <c r="E1409">
        <v>2023</v>
      </c>
      <c r="F1409" t="s">
        <v>4989</v>
      </c>
      <c r="G1409" t="s">
        <v>4990</v>
      </c>
      <c r="H1409">
        <v>100000</v>
      </c>
      <c r="I1409">
        <v>87450</v>
      </c>
      <c r="J1409">
        <v>1</v>
      </c>
      <c r="K1409">
        <v>100000</v>
      </c>
      <c r="L1409">
        <v>87450</v>
      </c>
      <c r="M1409">
        <v>599</v>
      </c>
    </row>
    <row r="1410" spans="1:13" ht="15">
      <c r="A1410" t="s">
        <v>3573</v>
      </c>
      <c r="B1410" s="1040" t="str">
        <f>CONCATENATE(LEFT(RIGHT(CONCATENATE("000",IFAData_TEA_1819!A1410),6),3),"-",(RIGHT(RIGHT(CONCATENATE("000",IFAData_TEA_1819!A1410),6),3)))</f>
        <v>111-902</v>
      </c>
      <c r="C1410" t="s">
        <v>1566</v>
      </c>
      <c r="D1410">
        <v>3</v>
      </c>
      <c r="E1410">
        <v>2024</v>
      </c>
      <c r="F1410" t="s">
        <v>4991</v>
      </c>
      <c r="G1410" t="s">
        <v>4991</v>
      </c>
      <c r="H1410">
        <v>100000</v>
      </c>
      <c r="I1410">
        <v>155000</v>
      </c>
      <c r="J1410">
        <v>1</v>
      </c>
      <c r="K1410">
        <v>100000</v>
      </c>
      <c r="L1410">
        <v>100000</v>
      </c>
      <c r="M1410">
        <v>599</v>
      </c>
    </row>
    <row r="1411" spans="1:13" ht="15">
      <c r="A1411" t="s">
        <v>3574</v>
      </c>
      <c r="B1411" s="1040" t="str">
        <f>CONCATENATE(LEFT(RIGHT(CONCATENATE("000",IFAData_TEA_1819!A1411),6),3),"-",(RIGHT(RIGHT(CONCATENATE("000",IFAData_TEA_1819!A1411),6),3)))</f>
        <v>111-903</v>
      </c>
      <c r="C1411" t="s">
        <v>605</v>
      </c>
      <c r="D1411">
        <v>3</v>
      </c>
      <c r="E1411">
        <v>2394</v>
      </c>
      <c r="F1411" t="s">
        <v>4992</v>
      </c>
      <c r="G1411" t="s">
        <v>4992</v>
      </c>
      <c r="H1411">
        <v>142382</v>
      </c>
      <c r="I1411">
        <v>0</v>
      </c>
      <c r="J1411">
        <v>0</v>
      </c>
      <c r="K1411">
        <v>0</v>
      </c>
      <c r="L1411">
        <v>0</v>
      </c>
      <c r="M1411">
        <v>599</v>
      </c>
    </row>
    <row r="1412" spans="1:13" ht="15">
      <c r="A1412" t="s">
        <v>3574</v>
      </c>
      <c r="B1412" s="1040" t="str">
        <f>CONCATENATE(LEFT(RIGHT(CONCATENATE("000",IFAData_TEA_1819!A1412),6),3),"-",(RIGHT(RIGHT(CONCATENATE("000",IFAData_TEA_1819!A1412),6),3)))</f>
        <v>111-903</v>
      </c>
      <c r="C1412" t="s">
        <v>605</v>
      </c>
      <c r="D1412">
        <v>3</v>
      </c>
      <c r="E1412">
        <v>2394</v>
      </c>
      <c r="F1412" t="s">
        <v>4992</v>
      </c>
      <c r="G1412" t="s">
        <v>4993</v>
      </c>
      <c r="H1412">
        <v>142382</v>
      </c>
      <c r="I1412">
        <v>214813</v>
      </c>
      <c r="J1412">
        <v>1</v>
      </c>
      <c r="K1412">
        <v>142382</v>
      </c>
      <c r="L1412">
        <v>142382</v>
      </c>
      <c r="M1412">
        <v>599</v>
      </c>
    </row>
    <row r="1413" spans="1:13" ht="15">
      <c r="A1413" t="s">
        <v>3575</v>
      </c>
      <c r="B1413" s="1040" t="str">
        <f>CONCATENATE(LEFT(RIGHT(CONCATENATE("000",IFAData_TEA_1819!A1413),6),3),"-",(RIGHT(RIGHT(CONCATENATE("000",IFAData_TEA_1819!A1413),6),3)))</f>
        <v>112-901</v>
      </c>
      <c r="C1413" t="s">
        <v>220</v>
      </c>
      <c r="D1413">
        <v>10</v>
      </c>
      <c r="E1413">
        <v>2387</v>
      </c>
      <c r="F1413" t="s">
        <v>4994</v>
      </c>
      <c r="G1413" t="s">
        <v>4994</v>
      </c>
      <c r="H1413">
        <v>922406</v>
      </c>
      <c r="I1413">
        <v>724634</v>
      </c>
      <c r="J1413">
        <v>0.34944552358429598</v>
      </c>
      <c r="K1413">
        <v>322330.64762729598</v>
      </c>
      <c r="L1413">
        <v>322330.64762729598</v>
      </c>
      <c r="M1413">
        <v>599</v>
      </c>
    </row>
    <row r="1414" spans="1:13" ht="15">
      <c r="A1414" t="s">
        <v>3575</v>
      </c>
      <c r="B1414" s="1040" t="str">
        <f>CONCATENATE(LEFT(RIGHT(CONCATENATE("000",IFAData_TEA_1819!A1414),6),3),"-",(RIGHT(RIGHT(CONCATENATE("000",IFAData_TEA_1819!A1414),6),3)))</f>
        <v>112-901</v>
      </c>
      <c r="C1414" t="s">
        <v>220</v>
      </c>
      <c r="D1414">
        <v>10</v>
      </c>
      <c r="E1414">
        <v>2387</v>
      </c>
      <c r="F1414" t="s">
        <v>4994</v>
      </c>
      <c r="G1414" t="s">
        <v>8419</v>
      </c>
      <c r="H1414">
        <v>922406</v>
      </c>
      <c r="I1414">
        <v>1349034</v>
      </c>
      <c r="J1414">
        <v>0.65055447641570396</v>
      </c>
      <c r="K1414">
        <v>600075.35237270396</v>
      </c>
      <c r="L1414">
        <v>600075.35237270396</v>
      </c>
      <c r="M1414">
        <v>599</v>
      </c>
    </row>
    <row r="1415" spans="1:13" ht="15">
      <c r="A1415" t="s">
        <v>3576</v>
      </c>
      <c r="B1415" s="1040" t="str">
        <f>CONCATENATE(LEFT(RIGHT(CONCATENATE("000",IFAData_TEA_1819!A1415),6),3),"-",(RIGHT(RIGHT(CONCATENATE("000",IFAData_TEA_1819!A1415),6),3)))</f>
        <v>112-905</v>
      </c>
      <c r="C1415" t="s">
        <v>422</v>
      </c>
      <c r="D1415">
        <v>5</v>
      </c>
      <c r="E1415">
        <v>1742</v>
      </c>
      <c r="F1415" t="s">
        <v>4995</v>
      </c>
      <c r="G1415" t="s">
        <v>4995</v>
      </c>
      <c r="H1415">
        <v>100000</v>
      </c>
      <c r="I1415">
        <v>0</v>
      </c>
      <c r="J1415">
        <v>0</v>
      </c>
      <c r="K1415">
        <v>0</v>
      </c>
      <c r="L1415">
        <v>0</v>
      </c>
      <c r="M1415">
        <v>599</v>
      </c>
    </row>
    <row r="1416" spans="1:13" ht="15">
      <c r="A1416" t="s">
        <v>3576</v>
      </c>
      <c r="B1416" s="1040" t="str">
        <f>CONCATENATE(LEFT(RIGHT(CONCATENATE("000",IFAData_TEA_1819!A1416),6),3),"-",(RIGHT(RIGHT(CONCATENATE("000",IFAData_TEA_1819!A1416),6),3)))</f>
        <v>112-905</v>
      </c>
      <c r="C1416" t="s">
        <v>422</v>
      </c>
      <c r="D1416">
        <v>5</v>
      </c>
      <c r="E1416">
        <v>1742</v>
      </c>
      <c r="F1416" t="s">
        <v>4995</v>
      </c>
      <c r="G1416" t="s">
        <v>4996</v>
      </c>
      <c r="H1416">
        <v>100000</v>
      </c>
      <c r="I1416">
        <v>92212</v>
      </c>
      <c r="J1416">
        <v>1</v>
      </c>
      <c r="K1416">
        <v>100000</v>
      </c>
      <c r="L1416">
        <v>92212</v>
      </c>
      <c r="M1416">
        <v>599</v>
      </c>
    </row>
    <row r="1417" spans="1:13" ht="15">
      <c r="A1417" t="s">
        <v>3577</v>
      </c>
      <c r="B1417" s="1040" t="str">
        <f>CONCATENATE(LEFT(RIGHT(CONCATENATE("000",IFAData_TEA_1819!A1417),6),3),"-",(RIGHT(RIGHT(CONCATENATE("000",IFAData_TEA_1819!A1417),6),3)))</f>
        <v>112-907</v>
      </c>
      <c r="C1417" t="s">
        <v>2238</v>
      </c>
      <c r="D1417">
        <v>4</v>
      </c>
      <c r="E1417">
        <v>2107</v>
      </c>
      <c r="F1417" t="s">
        <v>4997</v>
      </c>
      <c r="G1417" t="s">
        <v>4997</v>
      </c>
      <c r="H1417">
        <v>98475</v>
      </c>
      <c r="I1417">
        <v>0</v>
      </c>
      <c r="J1417">
        <v>0</v>
      </c>
      <c r="K1417">
        <v>0</v>
      </c>
      <c r="L1417">
        <v>0</v>
      </c>
      <c r="M1417">
        <v>599</v>
      </c>
    </row>
    <row r="1418" spans="1:13" ht="15">
      <c r="A1418" t="s">
        <v>3577</v>
      </c>
      <c r="B1418" s="1040" t="str">
        <f>CONCATENATE(LEFT(RIGHT(CONCATENATE("000",IFAData_TEA_1819!A1418),6),3),"-",(RIGHT(RIGHT(CONCATENATE("000",IFAData_TEA_1819!A1418),6),3)))</f>
        <v>112-907</v>
      </c>
      <c r="C1418" t="s">
        <v>2238</v>
      </c>
      <c r="D1418">
        <v>4</v>
      </c>
      <c r="E1418">
        <v>2107</v>
      </c>
      <c r="F1418" t="s">
        <v>4997</v>
      </c>
      <c r="G1418" t="s">
        <v>4998</v>
      </c>
      <c r="H1418">
        <v>98475</v>
      </c>
      <c r="I1418">
        <v>82510</v>
      </c>
      <c r="J1418">
        <v>1</v>
      </c>
      <c r="K1418">
        <v>98475</v>
      </c>
      <c r="L1418">
        <v>82510</v>
      </c>
      <c r="M1418">
        <v>599</v>
      </c>
    </row>
    <row r="1419" spans="1:13" ht="15">
      <c r="A1419" t="s">
        <v>3577</v>
      </c>
      <c r="B1419" s="1040" t="str">
        <f>CONCATENATE(LEFT(RIGHT(CONCATENATE("000",IFAData_TEA_1819!A1419),6),3),"-",(RIGHT(RIGHT(CONCATENATE("000",IFAData_TEA_1819!A1419),6),3)))</f>
        <v>112-907</v>
      </c>
      <c r="C1419" t="s">
        <v>2238</v>
      </c>
      <c r="D1419">
        <v>6</v>
      </c>
      <c r="E1419">
        <v>2106</v>
      </c>
      <c r="F1419" t="s">
        <v>4999</v>
      </c>
      <c r="G1419" t="s">
        <v>4999</v>
      </c>
      <c r="H1419">
        <v>94341</v>
      </c>
      <c r="I1419">
        <v>0</v>
      </c>
      <c r="J1419">
        <v>0</v>
      </c>
      <c r="K1419">
        <v>0</v>
      </c>
      <c r="L1419">
        <v>0</v>
      </c>
      <c r="M1419">
        <v>599</v>
      </c>
    </row>
    <row r="1420" spans="1:13" ht="15">
      <c r="A1420" t="s">
        <v>3577</v>
      </c>
      <c r="B1420" s="1040" t="str">
        <f>CONCATENATE(LEFT(RIGHT(CONCATENATE("000",IFAData_TEA_1819!A1420),6),3),"-",(RIGHT(RIGHT(CONCATENATE("000",IFAData_TEA_1819!A1420),6),3)))</f>
        <v>112-907</v>
      </c>
      <c r="C1420" t="s">
        <v>2238</v>
      </c>
      <c r="D1420">
        <v>6</v>
      </c>
      <c r="E1420">
        <v>2106</v>
      </c>
      <c r="F1420" t="s">
        <v>4999</v>
      </c>
      <c r="G1420" t="s">
        <v>4998</v>
      </c>
      <c r="H1420">
        <v>94341</v>
      </c>
      <c r="I1420">
        <v>103465</v>
      </c>
      <c r="J1420">
        <v>1</v>
      </c>
      <c r="K1420">
        <v>94341</v>
      </c>
      <c r="L1420">
        <v>94341</v>
      </c>
      <c r="M1420">
        <v>599</v>
      </c>
    </row>
    <row r="1421" spans="1:13" ht="15">
      <c r="A1421" t="s">
        <v>3578</v>
      </c>
      <c r="B1421" s="1040" t="str">
        <f>CONCATENATE(LEFT(RIGHT(CONCATENATE("000",IFAData_TEA_1819!A1421),6),3),"-",(RIGHT(RIGHT(CONCATENATE("000",IFAData_TEA_1819!A1421),6),3)))</f>
        <v>112-910</v>
      </c>
      <c r="C1421" t="s">
        <v>1942</v>
      </c>
      <c r="D1421">
        <v>5</v>
      </c>
      <c r="E1421">
        <v>2386</v>
      </c>
      <c r="F1421" t="s">
        <v>5000</v>
      </c>
      <c r="G1421" t="s">
        <v>5000</v>
      </c>
      <c r="H1421">
        <v>100000</v>
      </c>
      <c r="I1421">
        <v>0</v>
      </c>
      <c r="J1421">
        <v>0</v>
      </c>
      <c r="K1421">
        <v>0</v>
      </c>
      <c r="L1421">
        <v>0</v>
      </c>
      <c r="M1421">
        <v>599</v>
      </c>
    </row>
    <row r="1422" spans="1:13" ht="15">
      <c r="A1422" t="s">
        <v>3578</v>
      </c>
      <c r="B1422" s="1040" t="str">
        <f>CONCATENATE(LEFT(RIGHT(CONCATENATE("000",IFAData_TEA_1819!A1422),6),3),"-",(RIGHT(RIGHT(CONCATENATE("000",IFAData_TEA_1819!A1422),6),3)))</f>
        <v>112-910</v>
      </c>
      <c r="C1422" t="s">
        <v>1942</v>
      </c>
      <c r="D1422">
        <v>5</v>
      </c>
      <c r="E1422">
        <v>2386</v>
      </c>
      <c r="F1422" t="s">
        <v>5000</v>
      </c>
      <c r="G1422" t="s">
        <v>5001</v>
      </c>
      <c r="H1422">
        <v>100000</v>
      </c>
      <c r="I1422">
        <v>83610</v>
      </c>
      <c r="J1422">
        <v>1</v>
      </c>
      <c r="K1422">
        <v>100000</v>
      </c>
      <c r="L1422">
        <v>83610</v>
      </c>
      <c r="M1422">
        <v>599</v>
      </c>
    </row>
    <row r="1423" spans="1:13" ht="15">
      <c r="A1423" t="s">
        <v>3579</v>
      </c>
      <c r="B1423" s="1040" t="str">
        <f>CONCATENATE(LEFT(RIGHT(CONCATENATE("000",IFAData_TEA_1819!A1423),6),3),"-",(RIGHT(RIGHT(CONCATENATE("000",IFAData_TEA_1819!A1423),6),3)))</f>
        <v>114-901</v>
      </c>
      <c r="C1423" t="s">
        <v>1572</v>
      </c>
      <c r="D1423">
        <v>10</v>
      </c>
      <c r="E1423">
        <v>1608</v>
      </c>
      <c r="F1423" t="s">
        <v>5002</v>
      </c>
      <c r="G1423" t="s">
        <v>5002</v>
      </c>
      <c r="H1423">
        <v>889573</v>
      </c>
      <c r="I1423">
        <v>371300</v>
      </c>
      <c r="J1423">
        <v>0.107732482228348</v>
      </c>
      <c r="K1423">
        <v>95835.907413317895</v>
      </c>
      <c r="L1423">
        <v>95835.907413317895</v>
      </c>
      <c r="M1423">
        <v>599</v>
      </c>
    </row>
    <row r="1424" spans="1:13" ht="15">
      <c r="A1424" t="s">
        <v>3579</v>
      </c>
      <c r="B1424" s="1040" t="str">
        <f>CONCATENATE(LEFT(RIGHT(CONCATENATE("000",IFAData_TEA_1819!A1424),6),3),"-",(RIGHT(RIGHT(CONCATENATE("000",IFAData_TEA_1819!A1424),6),3)))</f>
        <v>114-901</v>
      </c>
      <c r="C1424" t="s">
        <v>1572</v>
      </c>
      <c r="D1424">
        <v>10</v>
      </c>
      <c r="E1424">
        <v>1608</v>
      </c>
      <c r="F1424" t="s">
        <v>5002</v>
      </c>
      <c r="G1424" t="s">
        <v>8420</v>
      </c>
      <c r="H1424">
        <v>889573</v>
      </c>
      <c r="I1424">
        <v>3075200</v>
      </c>
      <c r="J1424">
        <v>0.89226751777165203</v>
      </c>
      <c r="K1424">
        <v>793737.09258668195</v>
      </c>
      <c r="L1424">
        <v>793737.09258668195</v>
      </c>
      <c r="M1424">
        <v>599</v>
      </c>
    </row>
    <row r="1425" spans="1:13" ht="15">
      <c r="A1425" t="s">
        <v>3580</v>
      </c>
      <c r="B1425" s="1040" t="str">
        <f>CONCATENATE(LEFT(RIGHT(CONCATENATE("000",IFAData_TEA_1819!A1425),6),3),"-",(RIGHT(RIGHT(CONCATENATE("000",IFAData_TEA_1819!A1425),6),3)))</f>
        <v>116-901</v>
      </c>
      <c r="C1425" t="s">
        <v>651</v>
      </c>
      <c r="D1425">
        <v>5</v>
      </c>
      <c r="E1425">
        <v>1658</v>
      </c>
      <c r="F1425" t="s">
        <v>5003</v>
      </c>
      <c r="G1425" t="s">
        <v>5003</v>
      </c>
      <c r="H1425">
        <v>490385</v>
      </c>
      <c r="I1425">
        <v>0</v>
      </c>
      <c r="J1425">
        <v>0</v>
      </c>
      <c r="K1425">
        <v>0</v>
      </c>
      <c r="L1425">
        <v>0</v>
      </c>
      <c r="M1425">
        <v>599</v>
      </c>
    </row>
    <row r="1426" spans="1:13" ht="15">
      <c r="A1426" t="s">
        <v>3580</v>
      </c>
      <c r="B1426" s="1040" t="str">
        <f>CONCATENATE(LEFT(RIGHT(CONCATENATE("000",IFAData_TEA_1819!A1426),6),3),"-",(RIGHT(RIGHT(CONCATENATE("000",IFAData_TEA_1819!A1426),6),3)))</f>
        <v>116-901</v>
      </c>
      <c r="C1426" t="s">
        <v>651</v>
      </c>
      <c r="D1426">
        <v>5</v>
      </c>
      <c r="E1426">
        <v>1658</v>
      </c>
      <c r="F1426" t="s">
        <v>5003</v>
      </c>
      <c r="G1426" t="s">
        <v>5004</v>
      </c>
      <c r="H1426">
        <v>490385</v>
      </c>
      <c r="I1426">
        <v>264358</v>
      </c>
      <c r="J1426">
        <v>0.31158823272879899</v>
      </c>
      <c r="K1426">
        <v>152798.19550671201</v>
      </c>
      <c r="L1426">
        <v>152798.19550671201</v>
      </c>
      <c r="M1426">
        <v>599</v>
      </c>
    </row>
    <row r="1427" spans="1:13" ht="15">
      <c r="A1427" t="s">
        <v>3580</v>
      </c>
      <c r="B1427" s="1040" t="str">
        <f>CONCATENATE(LEFT(RIGHT(CONCATENATE("000",IFAData_TEA_1819!A1427),6),3),"-",(RIGHT(RIGHT(CONCATENATE("000",IFAData_TEA_1819!A1427),6),3)))</f>
        <v>116-901</v>
      </c>
      <c r="C1427" t="s">
        <v>651</v>
      </c>
      <c r="D1427">
        <v>5</v>
      </c>
      <c r="E1427">
        <v>1658</v>
      </c>
      <c r="F1427" t="s">
        <v>5003</v>
      </c>
      <c r="G1427" t="s">
        <v>5005</v>
      </c>
      <c r="H1427">
        <v>490385</v>
      </c>
      <c r="I1427">
        <v>277981</v>
      </c>
      <c r="J1427">
        <v>0.32764511958096298</v>
      </c>
      <c r="K1427">
        <v>160672.25196570999</v>
      </c>
      <c r="L1427">
        <v>160672.25196570999</v>
      </c>
      <c r="M1427">
        <v>599</v>
      </c>
    </row>
    <row r="1428" spans="1:13" ht="15">
      <c r="A1428" t="s">
        <v>3580</v>
      </c>
      <c r="B1428" s="1040" t="str">
        <f>CONCATENATE(LEFT(RIGHT(CONCATENATE("000",IFAData_TEA_1819!A1428),6),3),"-",(RIGHT(RIGHT(CONCATENATE("000",IFAData_TEA_1819!A1428),6),3)))</f>
        <v>116-901</v>
      </c>
      <c r="C1428" t="s">
        <v>651</v>
      </c>
      <c r="D1428">
        <v>5</v>
      </c>
      <c r="E1428">
        <v>1658</v>
      </c>
      <c r="F1428" t="s">
        <v>5003</v>
      </c>
      <c r="G1428" t="s">
        <v>6277</v>
      </c>
      <c r="H1428">
        <v>490385</v>
      </c>
      <c r="I1428">
        <v>306082</v>
      </c>
      <c r="J1428">
        <v>0.36076664769023897</v>
      </c>
      <c r="K1428">
        <v>176914.55252757799</v>
      </c>
      <c r="L1428">
        <v>176914.55252757799</v>
      </c>
      <c r="M1428">
        <v>599</v>
      </c>
    </row>
    <row r="1429" spans="1:13" ht="15">
      <c r="A1429" t="s">
        <v>3580</v>
      </c>
      <c r="B1429" s="1040" t="str">
        <f>CONCATENATE(LEFT(RIGHT(CONCATENATE("000",IFAData_TEA_1819!A1429),6),3),"-",(RIGHT(RIGHT(CONCATENATE("000",IFAData_TEA_1819!A1429),6),3)))</f>
        <v>116-901</v>
      </c>
      <c r="C1429" t="s">
        <v>651</v>
      </c>
      <c r="D1429">
        <v>9</v>
      </c>
      <c r="E1429">
        <v>1657</v>
      </c>
      <c r="F1429" t="s">
        <v>5006</v>
      </c>
      <c r="G1429" t="s">
        <v>5006</v>
      </c>
      <c r="H1429">
        <v>355698</v>
      </c>
      <c r="I1429">
        <v>0</v>
      </c>
      <c r="J1429">
        <v>0</v>
      </c>
      <c r="K1429">
        <v>0</v>
      </c>
      <c r="L1429">
        <v>0</v>
      </c>
      <c r="M1429">
        <v>599</v>
      </c>
    </row>
    <row r="1430" spans="1:13" ht="15">
      <c r="A1430" t="s">
        <v>3580</v>
      </c>
      <c r="B1430" s="1040" t="str">
        <f>CONCATENATE(LEFT(RIGHT(CONCATENATE("000",IFAData_TEA_1819!A1430),6),3),"-",(RIGHT(RIGHT(CONCATENATE("000",IFAData_TEA_1819!A1430),6),3)))</f>
        <v>116-901</v>
      </c>
      <c r="C1430" t="s">
        <v>651</v>
      </c>
      <c r="D1430">
        <v>9</v>
      </c>
      <c r="E1430">
        <v>1657</v>
      </c>
      <c r="F1430" t="s">
        <v>5006</v>
      </c>
      <c r="G1430" t="s">
        <v>6276</v>
      </c>
      <c r="H1430">
        <v>355698</v>
      </c>
      <c r="I1430">
        <v>275927</v>
      </c>
      <c r="J1430">
        <v>0.40618118118118102</v>
      </c>
      <c r="K1430">
        <v>144477.83378378401</v>
      </c>
      <c r="L1430">
        <v>144477.83378378401</v>
      </c>
      <c r="M1430">
        <v>599</v>
      </c>
    </row>
    <row r="1431" spans="1:13" ht="15">
      <c r="A1431" t="s">
        <v>3580</v>
      </c>
      <c r="B1431" s="1040" t="str">
        <f>CONCATENATE(LEFT(RIGHT(CONCATENATE("000",IFAData_TEA_1819!A1431),6),3),"-",(RIGHT(RIGHT(CONCATENATE("000",IFAData_TEA_1819!A1431),6),3)))</f>
        <v>116-901</v>
      </c>
      <c r="C1431" t="s">
        <v>651</v>
      </c>
      <c r="D1431">
        <v>9</v>
      </c>
      <c r="E1431">
        <v>1657</v>
      </c>
      <c r="F1431" t="s">
        <v>5006</v>
      </c>
      <c r="G1431" t="s">
        <v>6482</v>
      </c>
      <c r="H1431">
        <v>355698</v>
      </c>
      <c r="I1431">
        <v>403393</v>
      </c>
      <c r="J1431">
        <v>0.59381881881881904</v>
      </c>
      <c r="K1431">
        <v>211220.16621621599</v>
      </c>
      <c r="L1431">
        <v>211220.16621621599</v>
      </c>
      <c r="M1431">
        <v>599</v>
      </c>
    </row>
    <row r="1432" spans="1:13" ht="15">
      <c r="A1432" t="s">
        <v>3581</v>
      </c>
      <c r="B1432" s="1040" t="str">
        <f>CONCATENATE(LEFT(RIGHT(CONCATENATE("000",IFAData_TEA_1819!A1432),6),3),"-",(RIGHT(RIGHT(CONCATENATE("000",IFAData_TEA_1819!A1432),6),3)))</f>
        <v>116-902</v>
      </c>
      <c r="C1432" t="s">
        <v>1578</v>
      </c>
      <c r="D1432">
        <v>9</v>
      </c>
      <c r="E1432">
        <v>1670</v>
      </c>
      <c r="F1432" t="s">
        <v>5007</v>
      </c>
      <c r="G1432" t="s">
        <v>5007</v>
      </c>
      <c r="H1432">
        <v>123500</v>
      </c>
      <c r="I1432">
        <v>0</v>
      </c>
      <c r="J1432">
        <v>0</v>
      </c>
      <c r="K1432">
        <v>0</v>
      </c>
      <c r="L1432">
        <v>0</v>
      </c>
      <c r="M1432">
        <v>599</v>
      </c>
    </row>
    <row r="1433" spans="1:13" ht="15">
      <c r="A1433" t="s">
        <v>3581</v>
      </c>
      <c r="B1433" s="1040" t="str">
        <f>CONCATENATE(LEFT(RIGHT(CONCATENATE("000",IFAData_TEA_1819!A1433),6),3),"-",(RIGHT(RIGHT(CONCATENATE("000",IFAData_TEA_1819!A1433),6),3)))</f>
        <v>116-902</v>
      </c>
      <c r="C1433" t="s">
        <v>1578</v>
      </c>
      <c r="D1433">
        <v>9</v>
      </c>
      <c r="E1433">
        <v>1670</v>
      </c>
      <c r="F1433" t="s">
        <v>5007</v>
      </c>
      <c r="G1433" t="s">
        <v>6278</v>
      </c>
      <c r="H1433">
        <v>123500</v>
      </c>
      <c r="I1433">
        <v>436797</v>
      </c>
      <c r="J1433">
        <v>1</v>
      </c>
      <c r="K1433">
        <v>123500</v>
      </c>
      <c r="L1433">
        <v>123500</v>
      </c>
      <c r="M1433">
        <v>599</v>
      </c>
    </row>
    <row r="1434" spans="1:13" ht="15">
      <c r="A1434" t="s">
        <v>3582</v>
      </c>
      <c r="B1434" s="1040" t="str">
        <f>CONCATENATE(LEFT(RIGHT(CONCATENATE("000",IFAData_TEA_1819!A1434),6),3),"-",(RIGHT(RIGHT(CONCATENATE("000",IFAData_TEA_1819!A1434),6),3)))</f>
        <v>116-903</v>
      </c>
      <c r="C1434" t="s">
        <v>1550</v>
      </c>
      <c r="D1434">
        <v>5</v>
      </c>
      <c r="E1434">
        <v>1711</v>
      </c>
      <c r="F1434" t="s">
        <v>5008</v>
      </c>
      <c r="G1434" t="s">
        <v>5008</v>
      </c>
      <c r="H1434">
        <v>568204</v>
      </c>
      <c r="I1434">
        <v>0</v>
      </c>
      <c r="J1434">
        <v>0</v>
      </c>
      <c r="K1434">
        <v>0</v>
      </c>
      <c r="L1434">
        <v>0</v>
      </c>
      <c r="M1434">
        <v>599</v>
      </c>
    </row>
    <row r="1435" spans="1:13" ht="15">
      <c r="A1435" t="s">
        <v>3582</v>
      </c>
      <c r="B1435" s="1040" t="str">
        <f>CONCATENATE(LEFT(RIGHT(CONCATENATE("000",IFAData_TEA_1819!A1435),6),3),"-",(RIGHT(RIGHT(CONCATENATE("000",IFAData_TEA_1819!A1435),6),3)))</f>
        <v>116-903</v>
      </c>
      <c r="C1435" t="s">
        <v>1550</v>
      </c>
      <c r="D1435">
        <v>5</v>
      </c>
      <c r="E1435">
        <v>1711</v>
      </c>
      <c r="F1435" t="s">
        <v>5008</v>
      </c>
      <c r="G1435" t="s">
        <v>5009</v>
      </c>
      <c r="H1435">
        <v>568204</v>
      </c>
      <c r="I1435">
        <v>165498</v>
      </c>
      <c r="J1435">
        <v>0.13718130863432099</v>
      </c>
      <c r="K1435">
        <v>77946.968291255602</v>
      </c>
      <c r="L1435">
        <v>77946.968291255602</v>
      </c>
      <c r="M1435">
        <v>599</v>
      </c>
    </row>
    <row r="1436" spans="1:13" ht="15">
      <c r="A1436" t="s">
        <v>3582</v>
      </c>
      <c r="B1436" s="1040" t="str">
        <f>CONCATENATE(LEFT(RIGHT(CONCATENATE("000",IFAData_TEA_1819!A1436),6),3),"-",(RIGHT(RIGHT(CONCATENATE("000",IFAData_TEA_1819!A1436),6),3)))</f>
        <v>116-903</v>
      </c>
      <c r="C1436" t="s">
        <v>1550</v>
      </c>
      <c r="D1436">
        <v>5</v>
      </c>
      <c r="E1436">
        <v>1711</v>
      </c>
      <c r="F1436" t="s">
        <v>5008</v>
      </c>
      <c r="G1436" t="s">
        <v>5010</v>
      </c>
      <c r="H1436">
        <v>568204</v>
      </c>
      <c r="I1436">
        <v>187952</v>
      </c>
      <c r="J1436">
        <v>0.155793431464053</v>
      </c>
      <c r="K1436">
        <v>88522.450931600804</v>
      </c>
      <c r="L1436">
        <v>88522.450931600804</v>
      </c>
      <c r="M1436">
        <v>599</v>
      </c>
    </row>
    <row r="1437" spans="1:13" ht="15">
      <c r="A1437" t="s">
        <v>3582</v>
      </c>
      <c r="B1437" s="1040" t="str">
        <f>CONCATENATE(LEFT(RIGHT(CONCATENATE("000",IFAData_TEA_1819!A1437),6),3),"-",(RIGHT(RIGHT(CONCATENATE("000",IFAData_TEA_1819!A1437),6),3)))</f>
        <v>116-903</v>
      </c>
      <c r="C1437" t="s">
        <v>1550</v>
      </c>
      <c r="D1437">
        <v>5</v>
      </c>
      <c r="E1437">
        <v>1711</v>
      </c>
      <c r="F1437" t="s">
        <v>5008</v>
      </c>
      <c r="G1437" t="s">
        <v>6279</v>
      </c>
      <c r="H1437">
        <v>568204</v>
      </c>
      <c r="I1437">
        <v>367878</v>
      </c>
      <c r="J1437">
        <v>0.30493411073110599</v>
      </c>
      <c r="K1437">
        <v>173264.78145385801</v>
      </c>
      <c r="L1437">
        <v>173264.78145385801</v>
      </c>
      <c r="M1437">
        <v>599</v>
      </c>
    </row>
    <row r="1438" spans="1:13" ht="15">
      <c r="A1438" t="s">
        <v>3582</v>
      </c>
      <c r="B1438" s="1040" t="str">
        <f>CONCATENATE(LEFT(RIGHT(CONCATENATE("000",IFAData_TEA_1819!A1438),6),3),"-",(RIGHT(RIGHT(CONCATENATE("000",IFAData_TEA_1819!A1438),6),3)))</f>
        <v>116-903</v>
      </c>
      <c r="C1438" t="s">
        <v>1550</v>
      </c>
      <c r="D1438">
        <v>5</v>
      </c>
      <c r="E1438">
        <v>1711</v>
      </c>
      <c r="F1438" t="s">
        <v>5008</v>
      </c>
      <c r="G1438" t="s">
        <v>8421</v>
      </c>
      <c r="H1438">
        <v>568204</v>
      </c>
      <c r="I1438">
        <v>367753</v>
      </c>
      <c r="J1438">
        <v>0.30483049821869401</v>
      </c>
      <c r="K1438">
        <v>173205.90840985501</v>
      </c>
      <c r="L1438">
        <v>173205.90840985501</v>
      </c>
      <c r="M1438">
        <v>599</v>
      </c>
    </row>
    <row r="1439" spans="1:13" ht="15">
      <c r="A1439" t="s">
        <v>3582</v>
      </c>
      <c r="B1439" s="1040" t="str">
        <f>CONCATENATE(LEFT(RIGHT(CONCATENATE("000",IFAData_TEA_1819!A1439),6),3),"-",(RIGHT(RIGHT(CONCATENATE("000",IFAData_TEA_1819!A1439),6),3)))</f>
        <v>116-903</v>
      </c>
      <c r="C1439" t="s">
        <v>1550</v>
      </c>
      <c r="D1439">
        <v>5</v>
      </c>
      <c r="E1439">
        <v>1711</v>
      </c>
      <c r="F1439" t="s">
        <v>5008</v>
      </c>
      <c r="G1439" t="s">
        <v>8535</v>
      </c>
      <c r="H1439">
        <v>568204</v>
      </c>
      <c r="I1439">
        <v>117337</v>
      </c>
      <c r="J1439">
        <v>9.7260650951825997E-2</v>
      </c>
      <c r="K1439">
        <v>55263.8909134313</v>
      </c>
      <c r="L1439">
        <v>55263.8909134313</v>
      </c>
      <c r="M1439">
        <v>599</v>
      </c>
    </row>
    <row r="1440" spans="1:13" ht="15">
      <c r="A1440" t="s">
        <v>3583</v>
      </c>
      <c r="B1440" s="1040" t="str">
        <f>CONCATENATE(LEFT(RIGHT(CONCATENATE("000",IFAData_TEA_1819!A1440),6),3),"-",(RIGHT(RIGHT(CONCATENATE("000",IFAData_TEA_1819!A1440),6),3)))</f>
        <v>116-906</v>
      </c>
      <c r="C1440" t="s">
        <v>2125</v>
      </c>
      <c r="D1440">
        <v>4</v>
      </c>
      <c r="E1440">
        <v>2033</v>
      </c>
      <c r="F1440" t="s">
        <v>5011</v>
      </c>
      <c r="G1440" t="s">
        <v>5011</v>
      </c>
      <c r="H1440">
        <v>179503</v>
      </c>
      <c r="I1440">
        <v>0</v>
      </c>
      <c r="J1440">
        <v>0</v>
      </c>
      <c r="K1440">
        <v>0</v>
      </c>
      <c r="L1440">
        <v>0</v>
      </c>
      <c r="M1440">
        <v>599</v>
      </c>
    </row>
    <row r="1441" spans="1:13" ht="15">
      <c r="A1441" t="s">
        <v>3583</v>
      </c>
      <c r="B1441" s="1040" t="str">
        <f>CONCATENATE(LEFT(RIGHT(CONCATENATE("000",IFAData_TEA_1819!A1441),6),3),"-",(RIGHT(RIGHT(CONCATENATE("000",IFAData_TEA_1819!A1441),6),3)))</f>
        <v>116-906</v>
      </c>
      <c r="C1441" t="s">
        <v>2125</v>
      </c>
      <c r="D1441">
        <v>4</v>
      </c>
      <c r="E1441">
        <v>2033</v>
      </c>
      <c r="F1441" t="s">
        <v>5011</v>
      </c>
      <c r="G1441" t="s">
        <v>5012</v>
      </c>
      <c r="H1441">
        <v>179503</v>
      </c>
      <c r="I1441">
        <v>237829</v>
      </c>
      <c r="J1441">
        <v>1</v>
      </c>
      <c r="K1441">
        <v>179503</v>
      </c>
      <c r="L1441">
        <v>179503</v>
      </c>
      <c r="M1441">
        <v>599</v>
      </c>
    </row>
    <row r="1442" spans="1:13" ht="15">
      <c r="A1442" t="s">
        <v>3584</v>
      </c>
      <c r="B1442" s="1040" t="str">
        <f>CONCATENATE(LEFT(RIGHT(CONCATENATE("000",IFAData_TEA_1819!A1442),6),3),"-",(RIGHT(RIGHT(CONCATENATE("000",IFAData_TEA_1819!A1442),6),3)))</f>
        <v>116-908</v>
      </c>
      <c r="C1442" t="s">
        <v>77</v>
      </c>
      <c r="D1442">
        <v>1</v>
      </c>
      <c r="E1442">
        <v>2223</v>
      </c>
      <c r="F1442" t="s">
        <v>5013</v>
      </c>
      <c r="G1442" t="s">
        <v>5013</v>
      </c>
      <c r="H1442">
        <v>647776</v>
      </c>
      <c r="I1442">
        <v>0</v>
      </c>
      <c r="J1442">
        <v>0</v>
      </c>
      <c r="K1442">
        <v>0</v>
      </c>
      <c r="L1442">
        <v>0</v>
      </c>
      <c r="M1442">
        <v>599</v>
      </c>
    </row>
    <row r="1443" spans="1:13" ht="15">
      <c r="A1443" t="s">
        <v>3584</v>
      </c>
      <c r="B1443" s="1040" t="str">
        <f>CONCATENATE(LEFT(RIGHT(CONCATENATE("000",IFAData_TEA_1819!A1443),6),3),"-",(RIGHT(RIGHT(CONCATENATE("000",IFAData_TEA_1819!A1443),6),3)))</f>
        <v>116-908</v>
      </c>
      <c r="C1443" t="s">
        <v>77</v>
      </c>
      <c r="D1443">
        <v>1</v>
      </c>
      <c r="E1443">
        <v>2223</v>
      </c>
      <c r="F1443" t="s">
        <v>5013</v>
      </c>
      <c r="G1443" t="s">
        <v>5014</v>
      </c>
      <c r="H1443">
        <v>647776</v>
      </c>
      <c r="I1443">
        <v>0</v>
      </c>
      <c r="J1443">
        <v>0</v>
      </c>
      <c r="K1443">
        <v>0</v>
      </c>
      <c r="L1443">
        <v>0</v>
      </c>
      <c r="M1443">
        <v>599</v>
      </c>
    </row>
    <row r="1444" spans="1:13" ht="15">
      <c r="A1444" t="s">
        <v>3584</v>
      </c>
      <c r="B1444" s="1040" t="str">
        <f>CONCATENATE(LEFT(RIGHT(CONCATENATE("000",IFAData_TEA_1819!A1444),6),3),"-",(RIGHT(RIGHT(CONCATENATE("000",IFAData_TEA_1819!A1444),6),3)))</f>
        <v>116-908</v>
      </c>
      <c r="C1444" t="s">
        <v>77</v>
      </c>
      <c r="D1444">
        <v>1</v>
      </c>
      <c r="E1444">
        <v>2223</v>
      </c>
      <c r="F1444" t="s">
        <v>5013</v>
      </c>
      <c r="G1444" t="s">
        <v>8422</v>
      </c>
      <c r="H1444">
        <v>647776</v>
      </c>
      <c r="I1444">
        <v>818650</v>
      </c>
      <c r="J1444">
        <v>1</v>
      </c>
      <c r="K1444">
        <v>647776</v>
      </c>
      <c r="L1444">
        <v>647776</v>
      </c>
      <c r="M1444">
        <v>599</v>
      </c>
    </row>
    <row r="1445" spans="1:13" ht="15">
      <c r="A1445" t="s">
        <v>3584</v>
      </c>
      <c r="B1445" s="1040" t="str">
        <f>CONCATENATE(LEFT(RIGHT(CONCATENATE("000",IFAData_TEA_1819!A1445),6),3),"-",(RIGHT(RIGHT(CONCATENATE("000",IFAData_TEA_1819!A1445),6),3)))</f>
        <v>116-908</v>
      </c>
      <c r="C1445" t="s">
        <v>77</v>
      </c>
      <c r="D1445">
        <v>6</v>
      </c>
      <c r="E1445">
        <v>2224</v>
      </c>
      <c r="F1445" t="s">
        <v>5015</v>
      </c>
      <c r="G1445" t="s">
        <v>5015</v>
      </c>
      <c r="H1445">
        <v>685070</v>
      </c>
      <c r="I1445">
        <v>0</v>
      </c>
      <c r="J1445">
        <v>0</v>
      </c>
      <c r="K1445">
        <v>0</v>
      </c>
      <c r="L1445">
        <v>0</v>
      </c>
      <c r="M1445">
        <v>599</v>
      </c>
    </row>
    <row r="1446" spans="1:13" ht="15">
      <c r="A1446" t="s">
        <v>3584</v>
      </c>
      <c r="B1446" s="1040" t="str">
        <f>CONCATENATE(LEFT(RIGHT(CONCATENATE("000",IFAData_TEA_1819!A1446),6),3),"-",(RIGHT(RIGHT(CONCATENATE("000",IFAData_TEA_1819!A1446),6),3)))</f>
        <v>116-908</v>
      </c>
      <c r="C1446" t="s">
        <v>77</v>
      </c>
      <c r="D1446">
        <v>6</v>
      </c>
      <c r="E1446">
        <v>2224</v>
      </c>
      <c r="F1446" t="s">
        <v>5015</v>
      </c>
      <c r="G1446" t="s">
        <v>5016</v>
      </c>
      <c r="H1446">
        <v>685070</v>
      </c>
      <c r="I1446">
        <v>319620</v>
      </c>
      <c r="J1446">
        <v>0.53432077301146796</v>
      </c>
      <c r="K1446">
        <v>366047.13196696597</v>
      </c>
      <c r="L1446">
        <v>319620</v>
      </c>
      <c r="M1446">
        <v>599</v>
      </c>
    </row>
    <row r="1447" spans="1:13" ht="15">
      <c r="A1447" t="s">
        <v>3584</v>
      </c>
      <c r="B1447" s="1040" t="str">
        <f>CONCATENATE(LEFT(RIGHT(CONCATENATE("000",IFAData_TEA_1819!A1447),6),3),"-",(RIGHT(RIGHT(CONCATENATE("000",IFAData_TEA_1819!A1447),6),3)))</f>
        <v>116-908</v>
      </c>
      <c r="C1447" t="s">
        <v>77</v>
      </c>
      <c r="D1447">
        <v>6</v>
      </c>
      <c r="E1447">
        <v>2224</v>
      </c>
      <c r="F1447" t="s">
        <v>5015</v>
      </c>
      <c r="G1447" t="s">
        <v>8536</v>
      </c>
      <c r="H1447">
        <v>685070</v>
      </c>
      <c r="I1447">
        <v>278560</v>
      </c>
      <c r="J1447">
        <v>0.46567922698853198</v>
      </c>
      <c r="K1447">
        <v>319022.86803303403</v>
      </c>
      <c r="L1447">
        <v>278560</v>
      </c>
      <c r="M1447">
        <v>599</v>
      </c>
    </row>
    <row r="1448" spans="1:13" ht="15">
      <c r="A1448" t="s">
        <v>3585</v>
      </c>
      <c r="B1448" s="1040" t="str">
        <f>CONCATENATE(LEFT(RIGHT(CONCATENATE("000",IFAData_TEA_1819!A1448),6),3),"-",(RIGHT(RIGHT(CONCATENATE("000",IFAData_TEA_1819!A1448),6),3)))</f>
        <v>116-909</v>
      </c>
      <c r="C1448" t="s">
        <v>1131</v>
      </c>
      <c r="D1448">
        <v>5</v>
      </c>
      <c r="E1448">
        <v>2461</v>
      </c>
      <c r="F1448" t="s">
        <v>5017</v>
      </c>
      <c r="G1448" t="s">
        <v>5017</v>
      </c>
      <c r="H1448">
        <v>144000</v>
      </c>
      <c r="I1448">
        <v>0</v>
      </c>
      <c r="J1448">
        <v>0</v>
      </c>
      <c r="K1448">
        <v>0</v>
      </c>
      <c r="L1448">
        <v>0</v>
      </c>
      <c r="M1448">
        <v>599</v>
      </c>
    </row>
    <row r="1449" spans="1:13" ht="15">
      <c r="A1449" t="s">
        <v>3585</v>
      </c>
      <c r="B1449" s="1040" t="str">
        <f>CONCATENATE(LEFT(RIGHT(CONCATENATE("000",IFAData_TEA_1819!A1449),6),3),"-",(RIGHT(RIGHT(CONCATENATE("000",IFAData_TEA_1819!A1449),6),3)))</f>
        <v>116-909</v>
      </c>
      <c r="C1449" t="s">
        <v>1131</v>
      </c>
      <c r="D1449">
        <v>5</v>
      </c>
      <c r="E1449">
        <v>2461</v>
      </c>
      <c r="F1449" t="s">
        <v>5017</v>
      </c>
      <c r="G1449" t="s">
        <v>5018</v>
      </c>
      <c r="H1449">
        <v>144000</v>
      </c>
      <c r="I1449">
        <v>123800</v>
      </c>
      <c r="J1449">
        <v>1</v>
      </c>
      <c r="K1449">
        <v>144000</v>
      </c>
      <c r="L1449">
        <v>123800</v>
      </c>
      <c r="M1449">
        <v>599</v>
      </c>
    </row>
    <row r="1450" spans="1:13" ht="15">
      <c r="A1450" t="s">
        <v>3586</v>
      </c>
      <c r="B1450" s="1040" t="str">
        <f>CONCATENATE(LEFT(RIGHT(CONCATENATE("000",IFAData_TEA_1819!A1450),6),3),"-",(RIGHT(RIGHT(CONCATENATE("000",IFAData_TEA_1819!A1450),6),3)))</f>
        <v>116-915</v>
      </c>
      <c r="C1450" t="s">
        <v>799</v>
      </c>
      <c r="D1450">
        <v>2</v>
      </c>
      <c r="E1450">
        <v>1614</v>
      </c>
      <c r="F1450" t="s">
        <v>5019</v>
      </c>
      <c r="G1450" t="s">
        <v>5019</v>
      </c>
      <c r="H1450">
        <v>93784</v>
      </c>
      <c r="I1450">
        <v>0</v>
      </c>
      <c r="J1450">
        <v>0</v>
      </c>
      <c r="K1450"/>
      <c r="L1450">
        <v>0</v>
      </c>
      <c r="M1450">
        <v>199</v>
      </c>
    </row>
    <row r="1451" spans="1:13" ht="15">
      <c r="A1451" t="s">
        <v>3586</v>
      </c>
      <c r="B1451" s="1040" t="str">
        <f>CONCATENATE(LEFT(RIGHT(CONCATENATE("000",IFAData_TEA_1819!A1451),6),3),"-",(RIGHT(RIGHT(CONCATENATE("000",IFAData_TEA_1819!A1451),6),3)))</f>
        <v>116-915</v>
      </c>
      <c r="C1451" t="s">
        <v>799</v>
      </c>
      <c r="D1451">
        <v>9</v>
      </c>
      <c r="E1451">
        <v>1615</v>
      </c>
      <c r="F1451" t="s">
        <v>5020</v>
      </c>
      <c r="G1451" t="s">
        <v>5020</v>
      </c>
      <c r="H1451">
        <v>144241</v>
      </c>
      <c r="I1451">
        <v>72542</v>
      </c>
      <c r="J1451">
        <v>9.6633248700535801E-2</v>
      </c>
      <c r="K1451">
        <v>13938.476425814</v>
      </c>
      <c r="L1451">
        <v>13938.476425814</v>
      </c>
      <c r="M1451">
        <v>599</v>
      </c>
    </row>
    <row r="1452" spans="1:13" ht="15">
      <c r="A1452" t="s">
        <v>3586</v>
      </c>
      <c r="B1452" s="1040" t="str">
        <f>CONCATENATE(LEFT(RIGHT(CONCATENATE("000",IFAData_TEA_1819!A1452),6),3),"-",(RIGHT(RIGHT(CONCATENATE("000",IFAData_TEA_1819!A1452),6),3)))</f>
        <v>116-915</v>
      </c>
      <c r="C1452" t="s">
        <v>799</v>
      </c>
      <c r="D1452">
        <v>9</v>
      </c>
      <c r="E1452">
        <v>1615</v>
      </c>
      <c r="F1452" t="s">
        <v>5020</v>
      </c>
      <c r="G1452" t="s">
        <v>5020</v>
      </c>
      <c r="H1452">
        <v>144241</v>
      </c>
      <c r="I1452">
        <v>72542</v>
      </c>
      <c r="J1452">
        <v>9.6633248700535801E-2</v>
      </c>
      <c r="K1452">
        <v>13938.476425814</v>
      </c>
      <c r="L1452">
        <v>13938.476425814</v>
      </c>
      <c r="M1452">
        <v>599</v>
      </c>
    </row>
    <row r="1453" spans="1:13" ht="15">
      <c r="A1453" t="s">
        <v>3586</v>
      </c>
      <c r="B1453" s="1040" t="str">
        <f>CONCATENATE(LEFT(RIGHT(CONCATENATE("000",IFAData_TEA_1819!A1453),6),3),"-",(RIGHT(RIGHT(CONCATENATE("000",IFAData_TEA_1819!A1453),6),3)))</f>
        <v>116-915</v>
      </c>
      <c r="C1453" t="s">
        <v>799</v>
      </c>
      <c r="D1453">
        <v>9</v>
      </c>
      <c r="E1453">
        <v>1615</v>
      </c>
      <c r="F1453" t="s">
        <v>5020</v>
      </c>
      <c r="G1453" t="s">
        <v>6483</v>
      </c>
      <c r="H1453">
        <v>144241</v>
      </c>
      <c r="I1453">
        <v>63205</v>
      </c>
      <c r="J1453">
        <v>8.4195424500528804E-2</v>
      </c>
      <c r="K1453">
        <v>12144.4322253808</v>
      </c>
      <c r="L1453">
        <v>12144.4322253808</v>
      </c>
      <c r="M1453">
        <v>599</v>
      </c>
    </row>
    <row r="1454" spans="1:13" ht="15">
      <c r="A1454" t="s">
        <v>3586</v>
      </c>
      <c r="B1454" s="1040" t="str">
        <f>CONCATENATE(LEFT(RIGHT(CONCATENATE("000",IFAData_TEA_1819!A1454),6),3),"-",(RIGHT(RIGHT(CONCATENATE("000",IFAData_TEA_1819!A1454),6),3)))</f>
        <v>116-915</v>
      </c>
      <c r="C1454" t="s">
        <v>799</v>
      </c>
      <c r="D1454">
        <v>9</v>
      </c>
      <c r="E1454">
        <v>1615</v>
      </c>
      <c r="F1454" t="s">
        <v>5020</v>
      </c>
      <c r="G1454" t="s">
        <v>6483</v>
      </c>
      <c r="H1454">
        <v>144241</v>
      </c>
      <c r="I1454">
        <v>63205</v>
      </c>
      <c r="J1454">
        <v>8.4195424500528804E-2</v>
      </c>
      <c r="K1454">
        <v>12144.4322253808</v>
      </c>
      <c r="L1454">
        <v>12144.4322253808</v>
      </c>
      <c r="M1454">
        <v>599</v>
      </c>
    </row>
    <row r="1455" spans="1:13" ht="15">
      <c r="A1455" t="s">
        <v>3586</v>
      </c>
      <c r="B1455" s="1040" t="str">
        <f>CONCATENATE(LEFT(RIGHT(CONCATENATE("000",IFAData_TEA_1819!A1455),6),3),"-",(RIGHT(RIGHT(CONCATENATE("000",IFAData_TEA_1819!A1455),6),3)))</f>
        <v>116-915</v>
      </c>
      <c r="C1455" t="s">
        <v>799</v>
      </c>
      <c r="D1455">
        <v>9</v>
      </c>
      <c r="E1455">
        <v>1615</v>
      </c>
      <c r="F1455" t="s">
        <v>5020</v>
      </c>
      <c r="G1455" t="s">
        <v>8423</v>
      </c>
      <c r="H1455">
        <v>144241</v>
      </c>
      <c r="I1455">
        <v>239600</v>
      </c>
      <c r="J1455">
        <v>0.31917132679893501</v>
      </c>
      <c r="K1455">
        <v>46037.591348805203</v>
      </c>
      <c r="L1455">
        <v>46037.591348805203</v>
      </c>
      <c r="M1455">
        <v>599</v>
      </c>
    </row>
    <row r="1456" spans="1:13" ht="15">
      <c r="A1456" t="s">
        <v>3586</v>
      </c>
      <c r="B1456" s="1040" t="str">
        <f>CONCATENATE(LEFT(RIGHT(CONCATENATE("000",IFAData_TEA_1819!A1456),6),3),"-",(RIGHT(RIGHT(CONCATENATE("000",IFAData_TEA_1819!A1456),6),3)))</f>
        <v>116-915</v>
      </c>
      <c r="C1456" t="s">
        <v>799</v>
      </c>
      <c r="D1456">
        <v>9</v>
      </c>
      <c r="E1456">
        <v>1615</v>
      </c>
      <c r="F1456" t="s">
        <v>5020</v>
      </c>
      <c r="G1456" t="s">
        <v>8423</v>
      </c>
      <c r="H1456">
        <v>144241</v>
      </c>
      <c r="I1456">
        <v>239600</v>
      </c>
      <c r="J1456">
        <v>0.31917132679893501</v>
      </c>
      <c r="K1456">
        <v>46037.591348805203</v>
      </c>
      <c r="L1456">
        <v>46037.591348805203</v>
      </c>
      <c r="M1456">
        <v>599</v>
      </c>
    </row>
    <row r="1457" spans="1:13" ht="15">
      <c r="A1457" t="s">
        <v>3586</v>
      </c>
      <c r="B1457" s="1040" t="str">
        <f>CONCATENATE(LEFT(RIGHT(CONCATENATE("000",IFAData_TEA_1819!A1457),6),3),"-",(RIGHT(RIGHT(CONCATENATE("000",IFAData_TEA_1819!A1457),6),3)))</f>
        <v>116-915</v>
      </c>
      <c r="C1457" t="s">
        <v>799</v>
      </c>
      <c r="D1457">
        <v>11</v>
      </c>
      <c r="E1457">
        <v>2597</v>
      </c>
      <c r="F1457" t="s">
        <v>5020</v>
      </c>
      <c r="G1457" t="s">
        <v>5020</v>
      </c>
      <c r="H1457">
        <v>144241</v>
      </c>
      <c r="I1457">
        <v>72542</v>
      </c>
      <c r="J1457">
        <v>9.6633248700535801E-2</v>
      </c>
      <c r="K1457">
        <v>13938.476425814</v>
      </c>
      <c r="L1457">
        <v>13938.476425814</v>
      </c>
      <c r="M1457">
        <v>599</v>
      </c>
    </row>
    <row r="1458" spans="1:13" ht="15">
      <c r="A1458" t="s">
        <v>3586</v>
      </c>
      <c r="B1458" s="1040" t="str">
        <f>CONCATENATE(LEFT(RIGHT(CONCATENATE("000",IFAData_TEA_1819!A1458),6),3),"-",(RIGHT(RIGHT(CONCATENATE("000",IFAData_TEA_1819!A1458),6),3)))</f>
        <v>116-915</v>
      </c>
      <c r="C1458" t="s">
        <v>799</v>
      </c>
      <c r="D1458">
        <v>11</v>
      </c>
      <c r="E1458">
        <v>2597</v>
      </c>
      <c r="F1458" t="s">
        <v>5020</v>
      </c>
      <c r="G1458" t="s">
        <v>5020</v>
      </c>
      <c r="H1458">
        <v>144241</v>
      </c>
      <c r="I1458">
        <v>72542</v>
      </c>
      <c r="J1458">
        <v>9.6633248700535801E-2</v>
      </c>
      <c r="K1458">
        <v>13938.476425814</v>
      </c>
      <c r="L1458">
        <v>13938.476425814</v>
      </c>
      <c r="M1458">
        <v>599</v>
      </c>
    </row>
    <row r="1459" spans="1:13" ht="15">
      <c r="A1459" t="s">
        <v>3586</v>
      </c>
      <c r="B1459" s="1040" t="str">
        <f>CONCATENATE(LEFT(RIGHT(CONCATENATE("000",IFAData_TEA_1819!A1459),6),3),"-",(RIGHT(RIGHT(CONCATENATE("000",IFAData_TEA_1819!A1459),6),3)))</f>
        <v>116-915</v>
      </c>
      <c r="C1459" t="s">
        <v>799</v>
      </c>
      <c r="D1459">
        <v>11</v>
      </c>
      <c r="E1459">
        <v>2597</v>
      </c>
      <c r="F1459" t="s">
        <v>5020</v>
      </c>
      <c r="G1459" t="s">
        <v>6483</v>
      </c>
      <c r="H1459">
        <v>144241</v>
      </c>
      <c r="I1459">
        <v>63205</v>
      </c>
      <c r="J1459">
        <v>8.4195424500528804E-2</v>
      </c>
      <c r="K1459">
        <v>12144.4322253808</v>
      </c>
      <c r="L1459">
        <v>12144.4322253808</v>
      </c>
      <c r="M1459">
        <v>599</v>
      </c>
    </row>
    <row r="1460" spans="1:13" ht="15">
      <c r="A1460" t="s">
        <v>3586</v>
      </c>
      <c r="B1460" s="1040" t="str">
        <f>CONCATENATE(LEFT(RIGHT(CONCATENATE("000",IFAData_TEA_1819!A1460),6),3),"-",(RIGHT(RIGHT(CONCATENATE("000",IFAData_TEA_1819!A1460),6),3)))</f>
        <v>116-915</v>
      </c>
      <c r="C1460" t="s">
        <v>799</v>
      </c>
      <c r="D1460">
        <v>11</v>
      </c>
      <c r="E1460">
        <v>2597</v>
      </c>
      <c r="F1460" t="s">
        <v>5020</v>
      </c>
      <c r="G1460" t="s">
        <v>6483</v>
      </c>
      <c r="H1460">
        <v>144241</v>
      </c>
      <c r="I1460">
        <v>63205</v>
      </c>
      <c r="J1460">
        <v>8.4195424500528804E-2</v>
      </c>
      <c r="K1460">
        <v>12144.4322253808</v>
      </c>
      <c r="L1460">
        <v>12144.4322253808</v>
      </c>
      <c r="M1460">
        <v>599</v>
      </c>
    </row>
    <row r="1461" spans="1:13" ht="15">
      <c r="A1461" t="s">
        <v>3586</v>
      </c>
      <c r="B1461" s="1040" t="str">
        <f>CONCATENATE(LEFT(RIGHT(CONCATENATE("000",IFAData_TEA_1819!A1461),6),3),"-",(RIGHT(RIGHT(CONCATENATE("000",IFAData_TEA_1819!A1461),6),3)))</f>
        <v>116-915</v>
      </c>
      <c r="C1461" t="s">
        <v>799</v>
      </c>
      <c r="D1461">
        <v>11</v>
      </c>
      <c r="E1461">
        <v>2597</v>
      </c>
      <c r="F1461" t="s">
        <v>5020</v>
      </c>
      <c r="G1461" t="s">
        <v>8423</v>
      </c>
      <c r="H1461">
        <v>144241</v>
      </c>
      <c r="I1461">
        <v>239600</v>
      </c>
      <c r="J1461">
        <v>0.31917132679893501</v>
      </c>
      <c r="K1461">
        <v>46037.591348805203</v>
      </c>
      <c r="L1461">
        <v>46037.591348805203</v>
      </c>
      <c r="M1461">
        <v>599</v>
      </c>
    </row>
    <row r="1462" spans="1:13" ht="15">
      <c r="A1462" t="s">
        <v>3586</v>
      </c>
      <c r="B1462" s="1040" t="str">
        <f>CONCATENATE(LEFT(RIGHT(CONCATENATE("000",IFAData_TEA_1819!A1462),6),3),"-",(RIGHT(RIGHT(CONCATENATE("000",IFAData_TEA_1819!A1462),6),3)))</f>
        <v>116-915</v>
      </c>
      <c r="C1462" t="s">
        <v>799</v>
      </c>
      <c r="D1462">
        <v>11</v>
      </c>
      <c r="E1462">
        <v>2597</v>
      </c>
      <c r="F1462" t="s">
        <v>5020</v>
      </c>
      <c r="G1462" t="s">
        <v>8423</v>
      </c>
      <c r="H1462">
        <v>144241</v>
      </c>
      <c r="I1462">
        <v>239600</v>
      </c>
      <c r="J1462">
        <v>0.31917132679893501</v>
      </c>
      <c r="K1462">
        <v>46037.591348805203</v>
      </c>
      <c r="L1462">
        <v>46037.591348805203</v>
      </c>
      <c r="M1462">
        <v>599</v>
      </c>
    </row>
    <row r="1463" spans="1:13" ht="15">
      <c r="A1463" t="s">
        <v>3587</v>
      </c>
      <c r="B1463" s="1040" t="str">
        <f>CONCATENATE(LEFT(RIGHT(CONCATENATE("000",IFAData_TEA_1819!A1463),6),3),"-",(RIGHT(RIGHT(CONCATENATE("000",IFAData_TEA_1819!A1463),6),3)))</f>
        <v>116-916</v>
      </c>
      <c r="C1463" t="s">
        <v>1347</v>
      </c>
      <c r="D1463">
        <v>5</v>
      </c>
      <c r="E1463">
        <v>1626</v>
      </c>
      <c r="F1463" t="s">
        <v>5021</v>
      </c>
      <c r="G1463" t="s">
        <v>5021</v>
      </c>
      <c r="H1463">
        <v>139355</v>
      </c>
      <c r="I1463">
        <v>0</v>
      </c>
      <c r="J1463">
        <v>0</v>
      </c>
      <c r="K1463">
        <v>0</v>
      </c>
      <c r="L1463">
        <v>0</v>
      </c>
      <c r="M1463">
        <v>599</v>
      </c>
    </row>
    <row r="1464" spans="1:13" ht="15">
      <c r="A1464" t="s">
        <v>3587</v>
      </c>
      <c r="B1464" s="1040" t="str">
        <f>CONCATENATE(LEFT(RIGHT(CONCATENATE("000",IFAData_TEA_1819!A1464),6),3),"-",(RIGHT(RIGHT(CONCATENATE("000",IFAData_TEA_1819!A1464),6),3)))</f>
        <v>116-916</v>
      </c>
      <c r="C1464" t="s">
        <v>1347</v>
      </c>
      <c r="D1464">
        <v>5</v>
      </c>
      <c r="E1464">
        <v>1626</v>
      </c>
      <c r="F1464" t="s">
        <v>5021</v>
      </c>
      <c r="G1464" t="s">
        <v>5022</v>
      </c>
      <c r="H1464">
        <v>139355</v>
      </c>
      <c r="I1464">
        <v>0</v>
      </c>
      <c r="J1464">
        <v>0</v>
      </c>
      <c r="K1464">
        <v>0</v>
      </c>
      <c r="L1464">
        <v>0</v>
      </c>
      <c r="M1464">
        <v>599</v>
      </c>
    </row>
    <row r="1465" spans="1:13" ht="15">
      <c r="A1465" t="s">
        <v>3587</v>
      </c>
      <c r="B1465" s="1040" t="str">
        <f>CONCATENATE(LEFT(RIGHT(CONCATENATE("000",IFAData_TEA_1819!A1465),6),3),"-",(RIGHT(RIGHT(CONCATENATE("000",IFAData_TEA_1819!A1465),6),3)))</f>
        <v>116-916</v>
      </c>
      <c r="C1465" t="s">
        <v>1347</v>
      </c>
      <c r="D1465">
        <v>5</v>
      </c>
      <c r="E1465">
        <v>1626</v>
      </c>
      <c r="F1465" t="s">
        <v>5021</v>
      </c>
      <c r="G1465" t="s">
        <v>6280</v>
      </c>
      <c r="H1465">
        <v>139355</v>
      </c>
      <c r="I1465">
        <v>130219</v>
      </c>
      <c r="J1465">
        <v>1</v>
      </c>
      <c r="K1465">
        <v>139355</v>
      </c>
      <c r="L1465">
        <v>130219</v>
      </c>
      <c r="M1465">
        <v>599</v>
      </c>
    </row>
    <row r="1466" spans="1:13" ht="15">
      <c r="A1466" t="s">
        <v>5941</v>
      </c>
      <c r="B1466" s="1040" t="str">
        <f>CONCATENATE(LEFT(RIGHT(CONCATENATE("000",IFAData_TEA_1819!A1466),6),3),"-",(RIGHT(RIGHT(CONCATENATE("000",IFAData_TEA_1819!A1466),6),3)))</f>
        <v>117-903</v>
      </c>
      <c r="C1466" t="s">
        <v>1046</v>
      </c>
      <c r="D1466">
        <v>11</v>
      </c>
      <c r="E1466">
        <v>2494</v>
      </c>
      <c r="F1466" t="s">
        <v>8424</v>
      </c>
      <c r="G1466" t="s">
        <v>8424</v>
      </c>
      <c r="H1466">
        <v>175424</v>
      </c>
      <c r="I1466">
        <v>564588</v>
      </c>
      <c r="J1466">
        <v>1</v>
      </c>
      <c r="K1466">
        <v>175424</v>
      </c>
      <c r="L1466">
        <v>175424</v>
      </c>
      <c r="M1466">
        <v>599</v>
      </c>
    </row>
    <row r="1467" spans="1:13" ht="15">
      <c r="A1467" t="s">
        <v>3588</v>
      </c>
      <c r="B1467" s="1040" t="str">
        <f>CONCATENATE(LEFT(RIGHT(CONCATENATE("000",IFAData_TEA_1819!A1467),6),3),"-",(RIGHT(RIGHT(CONCATENATE("000",IFAData_TEA_1819!A1467),6),3)))</f>
        <v>120-902</v>
      </c>
      <c r="C1467" t="s">
        <v>1481</v>
      </c>
      <c r="D1467">
        <v>2</v>
      </c>
      <c r="E1467">
        <v>1840</v>
      </c>
      <c r="F1467" t="s">
        <v>5023</v>
      </c>
      <c r="G1467" t="s">
        <v>5023</v>
      </c>
      <c r="H1467">
        <v>137438</v>
      </c>
      <c r="I1467">
        <v>0</v>
      </c>
      <c r="J1467">
        <v>0</v>
      </c>
      <c r="K1467"/>
      <c r="L1467">
        <v>0</v>
      </c>
      <c r="M1467">
        <v>599</v>
      </c>
    </row>
    <row r="1468" spans="1:13" ht="15">
      <c r="A1468" t="s">
        <v>3588</v>
      </c>
      <c r="B1468" s="1040" t="str">
        <f>CONCATENATE(LEFT(RIGHT(CONCATENATE("000",IFAData_TEA_1819!A1468),6),3),"-",(RIGHT(RIGHT(CONCATENATE("000",IFAData_TEA_1819!A1468),6),3)))</f>
        <v>120-902</v>
      </c>
      <c r="C1468" t="s">
        <v>1481</v>
      </c>
      <c r="D1468">
        <v>9</v>
      </c>
      <c r="E1468">
        <v>1841</v>
      </c>
      <c r="F1468" t="s">
        <v>5024</v>
      </c>
      <c r="G1468" t="s">
        <v>5024</v>
      </c>
      <c r="H1468">
        <v>152500</v>
      </c>
      <c r="I1468">
        <v>0</v>
      </c>
      <c r="J1468">
        <v>0</v>
      </c>
      <c r="K1468">
        <v>0</v>
      </c>
      <c r="L1468">
        <v>0</v>
      </c>
      <c r="M1468">
        <v>599</v>
      </c>
    </row>
    <row r="1469" spans="1:13" ht="15">
      <c r="A1469" t="s">
        <v>3588</v>
      </c>
      <c r="B1469" s="1040" t="str">
        <f>CONCATENATE(LEFT(RIGHT(CONCATENATE("000",IFAData_TEA_1819!A1469),6),3),"-",(RIGHT(RIGHT(CONCATENATE("000",IFAData_TEA_1819!A1469),6),3)))</f>
        <v>120-902</v>
      </c>
      <c r="C1469" t="s">
        <v>1481</v>
      </c>
      <c r="D1469">
        <v>9</v>
      </c>
      <c r="E1469">
        <v>1841</v>
      </c>
      <c r="F1469" t="s">
        <v>5024</v>
      </c>
      <c r="G1469" t="s">
        <v>6484</v>
      </c>
      <c r="H1469">
        <v>152500</v>
      </c>
      <c r="I1469">
        <v>345312</v>
      </c>
      <c r="J1469">
        <v>1</v>
      </c>
      <c r="K1469">
        <v>152500</v>
      </c>
      <c r="L1469">
        <v>152500</v>
      </c>
      <c r="M1469">
        <v>599</v>
      </c>
    </row>
    <row r="1470" spans="1:13" ht="15">
      <c r="A1470" t="s">
        <v>3589</v>
      </c>
      <c r="B1470" s="1040" t="str">
        <f>CONCATENATE(LEFT(RIGHT(CONCATENATE("000",IFAData_TEA_1819!A1470),6),3),"-",(RIGHT(RIGHT(CONCATENATE("000",IFAData_TEA_1819!A1470),6),3)))</f>
        <v>121-903</v>
      </c>
      <c r="C1470" t="s">
        <v>1447</v>
      </c>
      <c r="D1470">
        <v>2</v>
      </c>
      <c r="E1470">
        <v>1651</v>
      </c>
      <c r="F1470" t="s">
        <v>5025</v>
      </c>
      <c r="G1470" t="s">
        <v>5025</v>
      </c>
      <c r="H1470">
        <v>409486</v>
      </c>
      <c r="I1470">
        <v>0</v>
      </c>
      <c r="J1470">
        <v>0</v>
      </c>
      <c r="K1470">
        <v>0</v>
      </c>
      <c r="L1470">
        <v>0</v>
      </c>
      <c r="M1470">
        <v>599</v>
      </c>
    </row>
    <row r="1471" spans="1:13" ht="15">
      <c r="A1471" t="s">
        <v>3589</v>
      </c>
      <c r="B1471" s="1040" t="str">
        <f>CONCATENATE(LEFT(RIGHT(CONCATENATE("000",IFAData_TEA_1819!A1471),6),3),"-",(RIGHT(RIGHT(CONCATENATE("000",IFAData_TEA_1819!A1471),6),3)))</f>
        <v>121-903</v>
      </c>
      <c r="C1471" t="s">
        <v>1447</v>
      </c>
      <c r="D1471">
        <v>2</v>
      </c>
      <c r="E1471">
        <v>1651</v>
      </c>
      <c r="F1471" t="s">
        <v>5025</v>
      </c>
      <c r="G1471" t="s">
        <v>5026</v>
      </c>
      <c r="H1471">
        <v>409486</v>
      </c>
      <c r="I1471">
        <v>0</v>
      </c>
      <c r="J1471">
        <v>0</v>
      </c>
      <c r="K1471">
        <v>0</v>
      </c>
      <c r="L1471">
        <v>0</v>
      </c>
      <c r="M1471">
        <v>599</v>
      </c>
    </row>
    <row r="1472" spans="1:13" ht="15">
      <c r="A1472" t="s">
        <v>3589</v>
      </c>
      <c r="B1472" s="1040" t="str">
        <f>CONCATENATE(LEFT(RIGHT(CONCATENATE("000",IFAData_TEA_1819!A1472),6),3),"-",(RIGHT(RIGHT(CONCATENATE("000",IFAData_TEA_1819!A1472),6),3)))</f>
        <v>121-903</v>
      </c>
      <c r="C1472" t="s">
        <v>1447</v>
      </c>
      <c r="D1472">
        <v>2</v>
      </c>
      <c r="E1472">
        <v>1651</v>
      </c>
      <c r="F1472" t="s">
        <v>5025</v>
      </c>
      <c r="G1472" t="s">
        <v>6485</v>
      </c>
      <c r="H1472">
        <v>409486</v>
      </c>
      <c r="I1472">
        <v>295705</v>
      </c>
      <c r="J1472">
        <v>1</v>
      </c>
      <c r="K1472">
        <v>409486</v>
      </c>
      <c r="L1472">
        <v>295705</v>
      </c>
      <c r="M1472">
        <v>599</v>
      </c>
    </row>
    <row r="1473" spans="1:13" ht="15">
      <c r="A1473" t="s">
        <v>3589</v>
      </c>
      <c r="B1473" s="1040" t="str">
        <f>CONCATENATE(LEFT(RIGHT(CONCATENATE("000",IFAData_TEA_1819!A1473),6),3),"-",(RIGHT(RIGHT(CONCATENATE("000",IFAData_TEA_1819!A1473),6),3)))</f>
        <v>121-903</v>
      </c>
      <c r="C1473" t="s">
        <v>1447</v>
      </c>
      <c r="D1473">
        <v>3</v>
      </c>
      <c r="E1473">
        <v>1650</v>
      </c>
      <c r="F1473" t="s">
        <v>5027</v>
      </c>
      <c r="G1473" t="s">
        <v>5027</v>
      </c>
      <c r="H1473">
        <v>319854</v>
      </c>
      <c r="I1473">
        <v>0</v>
      </c>
      <c r="J1473">
        <v>0</v>
      </c>
      <c r="K1473">
        <v>0</v>
      </c>
      <c r="L1473">
        <v>0</v>
      </c>
      <c r="M1473">
        <v>599</v>
      </c>
    </row>
    <row r="1474" spans="1:13" ht="15">
      <c r="A1474" t="s">
        <v>3589</v>
      </c>
      <c r="B1474" s="1040" t="str">
        <f>CONCATENATE(LEFT(RIGHT(CONCATENATE("000",IFAData_TEA_1819!A1474),6),3),"-",(RIGHT(RIGHT(CONCATENATE("000",IFAData_TEA_1819!A1474),6),3)))</f>
        <v>121-903</v>
      </c>
      <c r="C1474" t="s">
        <v>1447</v>
      </c>
      <c r="D1474">
        <v>3</v>
      </c>
      <c r="E1474">
        <v>1650</v>
      </c>
      <c r="F1474" t="s">
        <v>5027</v>
      </c>
      <c r="G1474" t="s">
        <v>5026</v>
      </c>
      <c r="H1474">
        <v>319854</v>
      </c>
      <c r="I1474">
        <v>0</v>
      </c>
      <c r="J1474">
        <v>0</v>
      </c>
      <c r="K1474">
        <v>0</v>
      </c>
      <c r="L1474">
        <v>0</v>
      </c>
      <c r="M1474">
        <v>599</v>
      </c>
    </row>
    <row r="1475" spans="1:13" ht="15">
      <c r="A1475" t="s">
        <v>3589</v>
      </c>
      <c r="B1475" s="1040" t="str">
        <f>CONCATENATE(LEFT(RIGHT(CONCATENATE("000",IFAData_TEA_1819!A1475),6),3),"-",(RIGHT(RIGHT(CONCATENATE("000",IFAData_TEA_1819!A1475),6),3)))</f>
        <v>121-903</v>
      </c>
      <c r="C1475" t="s">
        <v>1447</v>
      </c>
      <c r="D1475">
        <v>3</v>
      </c>
      <c r="E1475">
        <v>1650</v>
      </c>
      <c r="F1475" t="s">
        <v>5027</v>
      </c>
      <c r="G1475" t="s">
        <v>6485</v>
      </c>
      <c r="H1475">
        <v>319854</v>
      </c>
      <c r="I1475">
        <v>539195</v>
      </c>
      <c r="J1475">
        <v>1</v>
      </c>
      <c r="K1475">
        <v>319854</v>
      </c>
      <c r="L1475">
        <v>319854</v>
      </c>
      <c r="M1475">
        <v>599</v>
      </c>
    </row>
    <row r="1476" spans="1:13" ht="15">
      <c r="A1476" t="s">
        <v>3590</v>
      </c>
      <c r="B1476" s="1040" t="str">
        <f>CONCATENATE(LEFT(RIGHT(CONCATENATE("000",IFAData_TEA_1819!A1476),6),3),"-",(RIGHT(RIGHT(CONCATENATE("000",IFAData_TEA_1819!A1476),6),3)))</f>
        <v>121-904</v>
      </c>
      <c r="C1476" t="s">
        <v>406</v>
      </c>
      <c r="D1476">
        <v>1</v>
      </c>
      <c r="E1476">
        <v>1935</v>
      </c>
      <c r="F1476" t="s">
        <v>5028</v>
      </c>
      <c r="G1476" t="s">
        <v>5028</v>
      </c>
      <c r="H1476">
        <v>422458</v>
      </c>
      <c r="I1476">
        <v>0</v>
      </c>
      <c r="J1476">
        <v>0</v>
      </c>
      <c r="K1476">
        <v>0</v>
      </c>
      <c r="L1476">
        <v>0</v>
      </c>
      <c r="M1476">
        <v>599</v>
      </c>
    </row>
    <row r="1477" spans="1:13" ht="15">
      <c r="A1477" t="s">
        <v>3590</v>
      </c>
      <c r="B1477" s="1040" t="str">
        <f>CONCATENATE(LEFT(RIGHT(CONCATENATE("000",IFAData_TEA_1819!A1477),6),3),"-",(RIGHT(RIGHT(CONCATENATE("000",IFAData_TEA_1819!A1477),6),3)))</f>
        <v>121-904</v>
      </c>
      <c r="C1477" t="s">
        <v>406</v>
      </c>
      <c r="D1477">
        <v>1</v>
      </c>
      <c r="E1477">
        <v>1935</v>
      </c>
      <c r="F1477" t="s">
        <v>5028</v>
      </c>
      <c r="G1477" t="s">
        <v>5029</v>
      </c>
      <c r="H1477">
        <v>422458</v>
      </c>
      <c r="I1477">
        <v>0</v>
      </c>
      <c r="J1477">
        <v>0</v>
      </c>
      <c r="K1477">
        <v>0</v>
      </c>
      <c r="L1477">
        <v>0</v>
      </c>
      <c r="M1477">
        <v>599</v>
      </c>
    </row>
    <row r="1478" spans="1:13" ht="15">
      <c r="A1478" t="s">
        <v>3590</v>
      </c>
      <c r="B1478" s="1040" t="str">
        <f>CONCATENATE(LEFT(RIGHT(CONCATENATE("000",IFAData_TEA_1819!A1478),6),3),"-",(RIGHT(RIGHT(CONCATENATE("000",IFAData_TEA_1819!A1478),6),3)))</f>
        <v>121-904</v>
      </c>
      <c r="C1478" t="s">
        <v>406</v>
      </c>
      <c r="D1478">
        <v>1</v>
      </c>
      <c r="E1478">
        <v>1935</v>
      </c>
      <c r="F1478" t="s">
        <v>5028</v>
      </c>
      <c r="G1478" t="s">
        <v>5030</v>
      </c>
      <c r="H1478">
        <v>422458</v>
      </c>
      <c r="I1478">
        <v>534075</v>
      </c>
      <c r="J1478">
        <v>1</v>
      </c>
      <c r="K1478">
        <v>422458</v>
      </c>
      <c r="L1478">
        <v>422458</v>
      </c>
      <c r="M1478">
        <v>599</v>
      </c>
    </row>
    <row r="1479" spans="1:13" ht="15">
      <c r="A1479" t="s">
        <v>3590</v>
      </c>
      <c r="B1479" s="1040" t="str">
        <f>CONCATENATE(LEFT(RIGHT(CONCATENATE("000",IFAData_TEA_1819!A1479),6),3),"-",(RIGHT(RIGHT(CONCATENATE("000",IFAData_TEA_1819!A1479),6),3)))</f>
        <v>121-904</v>
      </c>
      <c r="C1479" t="s">
        <v>406</v>
      </c>
      <c r="D1479">
        <v>2</v>
      </c>
      <c r="E1479">
        <v>1934</v>
      </c>
      <c r="F1479" t="s">
        <v>5031</v>
      </c>
      <c r="G1479" t="s">
        <v>5031</v>
      </c>
      <c r="H1479">
        <v>410042</v>
      </c>
      <c r="I1479">
        <v>0</v>
      </c>
      <c r="J1479">
        <v>0</v>
      </c>
      <c r="K1479">
        <v>0</v>
      </c>
      <c r="L1479">
        <v>0</v>
      </c>
      <c r="M1479">
        <v>599</v>
      </c>
    </row>
    <row r="1480" spans="1:13" ht="15">
      <c r="A1480" t="s">
        <v>3590</v>
      </c>
      <c r="B1480" s="1040" t="str">
        <f>CONCATENATE(LEFT(RIGHT(CONCATENATE("000",IFAData_TEA_1819!A1480),6),3),"-",(RIGHT(RIGHT(CONCATENATE("000",IFAData_TEA_1819!A1480),6),3)))</f>
        <v>121-904</v>
      </c>
      <c r="C1480" t="s">
        <v>406</v>
      </c>
      <c r="D1480">
        <v>2</v>
      </c>
      <c r="E1480">
        <v>1934</v>
      </c>
      <c r="F1480" t="s">
        <v>5031</v>
      </c>
      <c r="G1480" t="s">
        <v>5032</v>
      </c>
      <c r="H1480">
        <v>410042</v>
      </c>
      <c r="I1480">
        <v>425654</v>
      </c>
      <c r="J1480">
        <v>1</v>
      </c>
      <c r="K1480">
        <v>410042</v>
      </c>
      <c r="L1480">
        <v>410042</v>
      </c>
      <c r="M1480">
        <v>599</v>
      </c>
    </row>
    <row r="1481" spans="1:13" ht="15">
      <c r="A1481" t="s">
        <v>3590</v>
      </c>
      <c r="B1481" s="1040" t="str">
        <f>CONCATENATE(LEFT(RIGHT(CONCATENATE("000",IFAData_TEA_1819!A1481),6),3),"-",(RIGHT(RIGHT(CONCATENATE("000",IFAData_TEA_1819!A1481),6),3)))</f>
        <v>121-904</v>
      </c>
      <c r="C1481" t="s">
        <v>406</v>
      </c>
      <c r="D1481">
        <v>3</v>
      </c>
      <c r="E1481">
        <v>1933</v>
      </c>
      <c r="F1481" t="s">
        <v>5033</v>
      </c>
      <c r="G1481" t="s">
        <v>5033</v>
      </c>
      <c r="H1481">
        <v>359938</v>
      </c>
      <c r="I1481">
        <v>0</v>
      </c>
      <c r="J1481">
        <v>0</v>
      </c>
      <c r="K1481">
        <v>0</v>
      </c>
      <c r="L1481">
        <v>0</v>
      </c>
      <c r="M1481">
        <v>599</v>
      </c>
    </row>
    <row r="1482" spans="1:13" ht="15">
      <c r="A1482" t="s">
        <v>3590</v>
      </c>
      <c r="B1482" s="1040" t="str">
        <f>CONCATENATE(LEFT(RIGHT(CONCATENATE("000",IFAData_TEA_1819!A1482),6),3),"-",(RIGHT(RIGHT(CONCATENATE("000",IFAData_TEA_1819!A1482),6),3)))</f>
        <v>121-904</v>
      </c>
      <c r="C1482" t="s">
        <v>406</v>
      </c>
      <c r="D1482">
        <v>3</v>
      </c>
      <c r="E1482">
        <v>1933</v>
      </c>
      <c r="F1482" t="s">
        <v>5033</v>
      </c>
      <c r="G1482" t="s">
        <v>5032</v>
      </c>
      <c r="H1482">
        <v>359938</v>
      </c>
      <c r="I1482">
        <v>359802</v>
      </c>
      <c r="J1482">
        <v>1</v>
      </c>
      <c r="K1482">
        <v>359938</v>
      </c>
      <c r="L1482">
        <v>359802</v>
      </c>
      <c r="M1482">
        <v>599</v>
      </c>
    </row>
    <row r="1483" spans="1:13" ht="15">
      <c r="A1483" t="s">
        <v>3591</v>
      </c>
      <c r="B1483" s="1040" t="str">
        <f>CONCATENATE(LEFT(RIGHT(CONCATENATE("000",IFAData_TEA_1819!A1483),6),3),"-",(RIGHT(RIGHT(CONCATENATE("000",IFAData_TEA_1819!A1483),6),3)))</f>
        <v>121-905</v>
      </c>
      <c r="C1483" t="s">
        <v>2017</v>
      </c>
      <c r="D1483">
        <v>3</v>
      </c>
      <c r="E1483">
        <v>1962</v>
      </c>
      <c r="F1483" t="s">
        <v>5034</v>
      </c>
      <c r="G1483" t="s">
        <v>5034</v>
      </c>
      <c r="H1483">
        <v>413051</v>
      </c>
      <c r="I1483">
        <v>0</v>
      </c>
      <c r="J1483">
        <v>0</v>
      </c>
      <c r="K1483">
        <v>0</v>
      </c>
      <c r="L1483">
        <v>0</v>
      </c>
      <c r="M1483">
        <v>599</v>
      </c>
    </row>
    <row r="1484" spans="1:13" ht="15">
      <c r="A1484" t="s">
        <v>3591</v>
      </c>
      <c r="B1484" s="1040" t="str">
        <f>CONCATENATE(LEFT(RIGHT(CONCATENATE("000",IFAData_TEA_1819!A1484),6),3),"-",(RIGHT(RIGHT(CONCATENATE("000",IFAData_TEA_1819!A1484),6),3)))</f>
        <v>121-905</v>
      </c>
      <c r="C1484" t="s">
        <v>2017</v>
      </c>
      <c r="D1484">
        <v>3</v>
      </c>
      <c r="E1484">
        <v>1962</v>
      </c>
      <c r="F1484" t="s">
        <v>5034</v>
      </c>
      <c r="G1484" t="s">
        <v>5035</v>
      </c>
      <c r="H1484">
        <v>413051</v>
      </c>
      <c r="I1484">
        <v>400520</v>
      </c>
      <c r="J1484">
        <v>0.57468856448386796</v>
      </c>
      <c r="K1484">
        <v>237375.68624862601</v>
      </c>
      <c r="L1484">
        <v>237375.68624862601</v>
      </c>
      <c r="M1484">
        <v>599</v>
      </c>
    </row>
    <row r="1485" spans="1:13" ht="15">
      <c r="A1485" t="s">
        <v>3591</v>
      </c>
      <c r="B1485" s="1040" t="str">
        <f>CONCATENATE(LEFT(RIGHT(CONCATENATE("000",IFAData_TEA_1819!A1485),6),3),"-",(RIGHT(RIGHT(CONCATENATE("000",IFAData_TEA_1819!A1485),6),3)))</f>
        <v>121-905</v>
      </c>
      <c r="C1485" t="s">
        <v>2017</v>
      </c>
      <c r="D1485">
        <v>3</v>
      </c>
      <c r="E1485">
        <v>1962</v>
      </c>
      <c r="F1485" t="s">
        <v>5034</v>
      </c>
      <c r="G1485" t="s">
        <v>6281</v>
      </c>
      <c r="H1485">
        <v>413051</v>
      </c>
      <c r="I1485">
        <v>296414</v>
      </c>
      <c r="J1485">
        <v>0.42531143551613199</v>
      </c>
      <c r="K1485">
        <v>175675.31375137399</v>
      </c>
      <c r="L1485">
        <v>175675.31375137399</v>
      </c>
      <c r="M1485">
        <v>599</v>
      </c>
    </row>
    <row r="1486" spans="1:13" ht="15">
      <c r="A1486" t="s">
        <v>3592</v>
      </c>
      <c r="B1486" s="1040" t="str">
        <f>CONCATENATE(LEFT(RIGHT(CONCATENATE("000",IFAData_TEA_1819!A1486),6),3),"-",(RIGHT(RIGHT(CONCATENATE("000",IFAData_TEA_1819!A1486),6),3)))</f>
        <v>123-905</v>
      </c>
      <c r="C1486" t="s">
        <v>390</v>
      </c>
      <c r="D1486">
        <v>1</v>
      </c>
      <c r="E1486">
        <v>2129</v>
      </c>
      <c r="F1486" t="s">
        <v>5036</v>
      </c>
      <c r="G1486" t="s">
        <v>5036</v>
      </c>
      <c r="H1486">
        <v>285609</v>
      </c>
      <c r="I1486">
        <v>0</v>
      </c>
      <c r="J1486">
        <v>0</v>
      </c>
      <c r="K1486"/>
      <c r="L1486">
        <v>0</v>
      </c>
      <c r="M1486">
        <v>599</v>
      </c>
    </row>
    <row r="1487" spans="1:13" ht="15">
      <c r="A1487" t="s">
        <v>3592</v>
      </c>
      <c r="B1487" s="1040" t="str">
        <f>CONCATENATE(LEFT(RIGHT(CONCATENATE("000",IFAData_TEA_1819!A1487),6),3),"-",(RIGHT(RIGHT(CONCATENATE("000",IFAData_TEA_1819!A1487),6),3)))</f>
        <v>123-905</v>
      </c>
      <c r="C1487" t="s">
        <v>390</v>
      </c>
      <c r="D1487">
        <v>2</v>
      </c>
      <c r="E1487">
        <v>2130</v>
      </c>
      <c r="F1487" t="s">
        <v>5038</v>
      </c>
      <c r="G1487" t="s">
        <v>5038</v>
      </c>
      <c r="H1487">
        <v>539458</v>
      </c>
      <c r="I1487">
        <v>0</v>
      </c>
      <c r="J1487">
        <v>0</v>
      </c>
      <c r="K1487"/>
      <c r="L1487">
        <v>0</v>
      </c>
      <c r="M1487">
        <v>599</v>
      </c>
    </row>
    <row r="1488" spans="1:13" ht="15">
      <c r="A1488" t="s">
        <v>3593</v>
      </c>
      <c r="B1488" s="1040" t="str">
        <f>CONCATENATE(LEFT(RIGHT(CONCATENATE("000",IFAData_TEA_1819!A1488),6),3),"-",(RIGHT(RIGHT(CONCATENATE("000",IFAData_TEA_1819!A1488),6),3)))</f>
        <v>123-914</v>
      </c>
      <c r="C1488" t="s">
        <v>1734</v>
      </c>
      <c r="D1488">
        <v>2</v>
      </c>
      <c r="E1488">
        <v>1864</v>
      </c>
      <c r="F1488" t="s">
        <v>5039</v>
      </c>
      <c r="G1488" t="s">
        <v>5039</v>
      </c>
      <c r="H1488">
        <v>512950</v>
      </c>
      <c r="I1488">
        <v>0</v>
      </c>
      <c r="J1488">
        <v>0</v>
      </c>
      <c r="K1488"/>
      <c r="L1488">
        <v>0</v>
      </c>
      <c r="M1488">
        <v>599</v>
      </c>
    </row>
    <row r="1489" spans="1:13" ht="15">
      <c r="A1489" t="s">
        <v>3594</v>
      </c>
      <c r="B1489" s="1040" t="str">
        <f>CONCATENATE(LEFT(RIGHT(CONCATENATE("000",IFAData_TEA_1819!A1489),6),3),"-",(RIGHT(RIGHT(CONCATENATE("000",IFAData_TEA_1819!A1489),6),3)))</f>
        <v>125-901</v>
      </c>
      <c r="C1489" t="s">
        <v>701</v>
      </c>
      <c r="D1489">
        <v>3</v>
      </c>
      <c r="E1489">
        <v>1551</v>
      </c>
      <c r="F1489" t="s">
        <v>5041</v>
      </c>
      <c r="G1489" t="s">
        <v>5041</v>
      </c>
      <c r="H1489">
        <v>1313562</v>
      </c>
      <c r="I1489">
        <v>0</v>
      </c>
      <c r="J1489">
        <v>0</v>
      </c>
      <c r="K1489">
        <v>0</v>
      </c>
      <c r="L1489">
        <v>0</v>
      </c>
      <c r="M1489">
        <v>599</v>
      </c>
    </row>
    <row r="1490" spans="1:13" ht="15">
      <c r="A1490" t="s">
        <v>3594</v>
      </c>
      <c r="B1490" s="1040" t="str">
        <f>CONCATENATE(LEFT(RIGHT(CONCATENATE("000",IFAData_TEA_1819!A1490),6),3),"-",(RIGHT(RIGHT(CONCATENATE("000",IFAData_TEA_1819!A1490),6),3)))</f>
        <v>125-901</v>
      </c>
      <c r="C1490" t="s">
        <v>701</v>
      </c>
      <c r="D1490">
        <v>3</v>
      </c>
      <c r="E1490">
        <v>1551</v>
      </c>
      <c r="F1490" t="s">
        <v>5041</v>
      </c>
      <c r="G1490" t="s">
        <v>5042</v>
      </c>
      <c r="H1490">
        <v>1313562</v>
      </c>
      <c r="I1490">
        <v>0</v>
      </c>
      <c r="J1490">
        <v>0</v>
      </c>
      <c r="K1490">
        <v>0</v>
      </c>
      <c r="L1490">
        <v>0</v>
      </c>
      <c r="M1490">
        <v>599</v>
      </c>
    </row>
    <row r="1491" spans="1:13" ht="15">
      <c r="A1491" t="s">
        <v>3594</v>
      </c>
      <c r="B1491" s="1040" t="str">
        <f>CONCATENATE(LEFT(RIGHT(CONCATENATE("000",IFAData_TEA_1819!A1491),6),3),"-",(RIGHT(RIGHT(CONCATENATE("000",IFAData_TEA_1819!A1491),6),3)))</f>
        <v>125-901</v>
      </c>
      <c r="C1491" t="s">
        <v>701</v>
      </c>
      <c r="D1491">
        <v>3</v>
      </c>
      <c r="E1491">
        <v>1551</v>
      </c>
      <c r="F1491" t="s">
        <v>5041</v>
      </c>
      <c r="G1491" t="s">
        <v>5043</v>
      </c>
      <c r="H1491">
        <v>1313562</v>
      </c>
      <c r="I1491">
        <v>0</v>
      </c>
      <c r="J1491">
        <v>0</v>
      </c>
      <c r="K1491">
        <v>0</v>
      </c>
      <c r="L1491">
        <v>0</v>
      </c>
      <c r="M1491">
        <v>599</v>
      </c>
    </row>
    <row r="1492" spans="1:13" ht="15">
      <c r="A1492" t="s">
        <v>3594</v>
      </c>
      <c r="B1492" s="1040" t="str">
        <f>CONCATENATE(LEFT(RIGHT(CONCATENATE("000",IFAData_TEA_1819!A1492),6),3),"-",(RIGHT(RIGHT(CONCATENATE("000",IFAData_TEA_1819!A1492),6),3)))</f>
        <v>125-901</v>
      </c>
      <c r="C1492" t="s">
        <v>701</v>
      </c>
      <c r="D1492">
        <v>3</v>
      </c>
      <c r="E1492">
        <v>1551</v>
      </c>
      <c r="F1492" t="s">
        <v>5041</v>
      </c>
      <c r="G1492" t="s">
        <v>5044</v>
      </c>
      <c r="H1492">
        <v>1313562</v>
      </c>
      <c r="I1492">
        <v>1263675</v>
      </c>
      <c r="J1492">
        <v>1</v>
      </c>
      <c r="K1492">
        <v>1313562</v>
      </c>
      <c r="L1492">
        <v>1263675</v>
      </c>
      <c r="M1492">
        <v>599</v>
      </c>
    </row>
    <row r="1493" spans="1:13" ht="15">
      <c r="A1493" t="s">
        <v>3594</v>
      </c>
      <c r="B1493" s="1040" t="str">
        <f>CONCATENATE(LEFT(RIGHT(CONCATENATE("000",IFAData_TEA_1819!A1493),6),3),"-",(RIGHT(RIGHT(CONCATENATE("000",IFAData_TEA_1819!A1493),6),3)))</f>
        <v>125-901</v>
      </c>
      <c r="C1493" t="s">
        <v>701</v>
      </c>
      <c r="D1493">
        <v>6</v>
      </c>
      <c r="E1493">
        <v>1549</v>
      </c>
      <c r="F1493" t="s">
        <v>5045</v>
      </c>
      <c r="G1493" t="s">
        <v>5045</v>
      </c>
      <c r="H1493">
        <v>1226843</v>
      </c>
      <c r="I1493">
        <v>0</v>
      </c>
      <c r="J1493">
        <v>0</v>
      </c>
      <c r="K1493">
        <v>0</v>
      </c>
      <c r="L1493">
        <v>0</v>
      </c>
      <c r="M1493">
        <v>599</v>
      </c>
    </row>
    <row r="1494" spans="1:13" ht="15">
      <c r="A1494" t="s">
        <v>3594</v>
      </c>
      <c r="B1494" s="1040" t="str">
        <f>CONCATENATE(LEFT(RIGHT(CONCATENATE("000",IFAData_TEA_1819!A1494),6),3),"-",(RIGHT(RIGHT(CONCATENATE("000",IFAData_TEA_1819!A1494),6),3)))</f>
        <v>125-901</v>
      </c>
      <c r="C1494" t="s">
        <v>701</v>
      </c>
      <c r="D1494">
        <v>6</v>
      </c>
      <c r="E1494">
        <v>1549</v>
      </c>
      <c r="F1494" t="s">
        <v>5045</v>
      </c>
      <c r="G1494" t="s">
        <v>5046</v>
      </c>
      <c r="H1494">
        <v>1226843</v>
      </c>
      <c r="I1494">
        <v>945000</v>
      </c>
      <c r="J1494">
        <v>0.79345088161209099</v>
      </c>
      <c r="K1494">
        <v>973439.659949622</v>
      </c>
      <c r="L1494">
        <v>945000</v>
      </c>
      <c r="M1494">
        <v>599</v>
      </c>
    </row>
    <row r="1495" spans="1:13" ht="15">
      <c r="A1495" t="s">
        <v>3594</v>
      </c>
      <c r="B1495" s="1040" t="str">
        <f>CONCATENATE(LEFT(RIGHT(CONCATENATE("000",IFAData_TEA_1819!A1495),6),3),"-",(RIGHT(RIGHT(CONCATENATE("000",IFAData_TEA_1819!A1495),6),3)))</f>
        <v>125-901</v>
      </c>
      <c r="C1495" t="s">
        <v>701</v>
      </c>
      <c r="D1495">
        <v>6</v>
      </c>
      <c r="E1495">
        <v>1549</v>
      </c>
      <c r="F1495" t="s">
        <v>5045</v>
      </c>
      <c r="G1495" t="s">
        <v>5043</v>
      </c>
      <c r="H1495">
        <v>1226843</v>
      </c>
      <c r="I1495">
        <v>0</v>
      </c>
      <c r="J1495">
        <v>0</v>
      </c>
      <c r="K1495">
        <v>0</v>
      </c>
      <c r="L1495">
        <v>0</v>
      </c>
      <c r="M1495">
        <v>599</v>
      </c>
    </row>
    <row r="1496" spans="1:13" ht="15">
      <c r="A1496" t="s">
        <v>3594</v>
      </c>
      <c r="B1496" s="1040" t="str">
        <f>CONCATENATE(LEFT(RIGHT(CONCATENATE("000",IFAData_TEA_1819!A1496),6),3),"-",(RIGHT(RIGHT(CONCATENATE("000",IFAData_TEA_1819!A1496),6),3)))</f>
        <v>125-901</v>
      </c>
      <c r="C1496" t="s">
        <v>701</v>
      </c>
      <c r="D1496">
        <v>6</v>
      </c>
      <c r="E1496">
        <v>1549</v>
      </c>
      <c r="F1496" t="s">
        <v>5045</v>
      </c>
      <c r="G1496" t="s">
        <v>6487</v>
      </c>
      <c r="H1496">
        <v>1226843</v>
      </c>
      <c r="I1496">
        <v>246000</v>
      </c>
      <c r="J1496">
        <v>0.20654911838790899</v>
      </c>
      <c r="K1496">
        <v>253403.340050378</v>
      </c>
      <c r="L1496">
        <v>246000</v>
      </c>
      <c r="M1496">
        <v>599</v>
      </c>
    </row>
    <row r="1497" spans="1:13" ht="15">
      <c r="A1497" t="s">
        <v>3594</v>
      </c>
      <c r="B1497" s="1040" t="str">
        <f>CONCATENATE(LEFT(RIGHT(CONCATENATE("000",IFAData_TEA_1819!A1497),6),3),"-",(RIGHT(RIGHT(CONCATENATE("000",IFAData_TEA_1819!A1497),6),3)))</f>
        <v>125-901</v>
      </c>
      <c r="C1497" t="s">
        <v>701</v>
      </c>
      <c r="D1497">
        <v>9</v>
      </c>
      <c r="E1497">
        <v>1550</v>
      </c>
      <c r="F1497" t="s">
        <v>5047</v>
      </c>
      <c r="G1497" t="s">
        <v>5047</v>
      </c>
      <c r="H1497">
        <v>1240465</v>
      </c>
      <c r="I1497">
        <v>0</v>
      </c>
      <c r="J1497">
        <v>0</v>
      </c>
      <c r="K1497">
        <v>0</v>
      </c>
      <c r="L1497">
        <v>0</v>
      </c>
      <c r="M1497">
        <v>599</v>
      </c>
    </row>
    <row r="1498" spans="1:13" ht="15">
      <c r="A1498" t="s">
        <v>3594</v>
      </c>
      <c r="B1498" s="1040" t="str">
        <f>CONCATENATE(LEFT(RIGHT(CONCATENATE("000",IFAData_TEA_1819!A1498),6),3),"-",(RIGHT(RIGHT(CONCATENATE("000",IFAData_TEA_1819!A1498),6),3)))</f>
        <v>125-901</v>
      </c>
      <c r="C1498" t="s">
        <v>701</v>
      </c>
      <c r="D1498">
        <v>9</v>
      </c>
      <c r="E1498">
        <v>1550</v>
      </c>
      <c r="F1498" t="s">
        <v>5047</v>
      </c>
      <c r="G1498" t="s">
        <v>6486</v>
      </c>
      <c r="H1498">
        <v>1240465</v>
      </c>
      <c r="I1498">
        <v>322200</v>
      </c>
      <c r="J1498">
        <v>0.27761502671032201</v>
      </c>
      <c r="K1498">
        <v>344371.72410822002</v>
      </c>
      <c r="L1498">
        <v>322200</v>
      </c>
      <c r="M1498">
        <v>599</v>
      </c>
    </row>
    <row r="1499" spans="1:13" ht="15">
      <c r="A1499" t="s">
        <v>3594</v>
      </c>
      <c r="B1499" s="1040" t="str">
        <f>CONCATENATE(LEFT(RIGHT(CONCATENATE("000",IFAData_TEA_1819!A1499),6),3),"-",(RIGHT(RIGHT(CONCATENATE("000",IFAData_TEA_1819!A1499),6),3)))</f>
        <v>125-901</v>
      </c>
      <c r="C1499" t="s">
        <v>701</v>
      </c>
      <c r="D1499">
        <v>9</v>
      </c>
      <c r="E1499">
        <v>1550</v>
      </c>
      <c r="F1499" t="s">
        <v>5047</v>
      </c>
      <c r="G1499" t="s">
        <v>8425</v>
      </c>
      <c r="H1499">
        <v>1240465</v>
      </c>
      <c r="I1499">
        <v>838400</v>
      </c>
      <c r="J1499">
        <v>0.72238497328967799</v>
      </c>
      <c r="K1499">
        <v>896093.27589178004</v>
      </c>
      <c r="L1499">
        <v>838400</v>
      </c>
      <c r="M1499">
        <v>599</v>
      </c>
    </row>
    <row r="1500" spans="1:13" ht="15">
      <c r="A1500" t="s">
        <v>3595</v>
      </c>
      <c r="B1500" s="1040" t="str">
        <f>CONCATENATE(LEFT(RIGHT(CONCATENATE("000",IFAData_TEA_1819!A1500),6),3),"-",(RIGHT(RIGHT(CONCATENATE("000",IFAData_TEA_1819!A1500),6),3)))</f>
        <v>125-902</v>
      </c>
      <c r="C1500" t="s">
        <v>2681</v>
      </c>
      <c r="D1500">
        <v>4</v>
      </c>
      <c r="E1500">
        <v>1607</v>
      </c>
      <c r="F1500" t="s">
        <v>5048</v>
      </c>
      <c r="G1500" t="s">
        <v>5048</v>
      </c>
      <c r="H1500">
        <v>148749</v>
      </c>
      <c r="I1500">
        <v>0</v>
      </c>
      <c r="J1500">
        <v>0</v>
      </c>
      <c r="K1500">
        <v>0</v>
      </c>
      <c r="L1500">
        <v>0</v>
      </c>
      <c r="M1500">
        <v>599</v>
      </c>
    </row>
    <row r="1501" spans="1:13" ht="15">
      <c r="A1501" t="s">
        <v>3595</v>
      </c>
      <c r="B1501" s="1040" t="str">
        <f>CONCATENATE(LEFT(RIGHT(CONCATENATE("000",IFAData_TEA_1819!A1501),6),3),"-",(RIGHT(RIGHT(CONCATENATE("000",IFAData_TEA_1819!A1501),6),3)))</f>
        <v>125-902</v>
      </c>
      <c r="C1501" t="s">
        <v>2681</v>
      </c>
      <c r="D1501">
        <v>4</v>
      </c>
      <c r="E1501">
        <v>1607</v>
      </c>
      <c r="F1501" t="s">
        <v>5048</v>
      </c>
      <c r="G1501" t="s">
        <v>5049</v>
      </c>
      <c r="H1501">
        <v>148749</v>
      </c>
      <c r="I1501">
        <v>0</v>
      </c>
      <c r="J1501">
        <v>0</v>
      </c>
      <c r="K1501">
        <v>0</v>
      </c>
      <c r="L1501">
        <v>0</v>
      </c>
      <c r="M1501">
        <v>599</v>
      </c>
    </row>
    <row r="1502" spans="1:13" ht="15">
      <c r="A1502" t="s">
        <v>3595</v>
      </c>
      <c r="B1502" s="1040" t="str">
        <f>CONCATENATE(LEFT(RIGHT(CONCATENATE("000",IFAData_TEA_1819!A1502),6),3),"-",(RIGHT(RIGHT(CONCATENATE("000",IFAData_TEA_1819!A1502),6),3)))</f>
        <v>125-902</v>
      </c>
      <c r="C1502" t="s">
        <v>2681</v>
      </c>
      <c r="D1502">
        <v>4</v>
      </c>
      <c r="E1502">
        <v>1607</v>
      </c>
      <c r="F1502" t="s">
        <v>5048</v>
      </c>
      <c r="G1502" t="s">
        <v>8537</v>
      </c>
      <c r="H1502">
        <v>148749</v>
      </c>
      <c r="I1502">
        <v>72858</v>
      </c>
      <c r="J1502">
        <v>1</v>
      </c>
      <c r="K1502">
        <v>148749</v>
      </c>
      <c r="L1502">
        <v>72858</v>
      </c>
      <c r="M1502">
        <v>599</v>
      </c>
    </row>
    <row r="1503" spans="1:13" ht="15">
      <c r="A1503" t="s">
        <v>3595</v>
      </c>
      <c r="B1503" s="1040" t="str">
        <f>CONCATENATE(LEFT(RIGHT(CONCATENATE("000",IFAData_TEA_1819!A1503),6),3),"-",(RIGHT(RIGHT(CONCATENATE("000",IFAData_TEA_1819!A1503),6),3)))</f>
        <v>125-902</v>
      </c>
      <c r="C1503" t="s">
        <v>2681</v>
      </c>
      <c r="D1503">
        <v>6</v>
      </c>
      <c r="E1503">
        <v>1605</v>
      </c>
      <c r="F1503" t="s">
        <v>5050</v>
      </c>
      <c r="G1503" t="s">
        <v>5050</v>
      </c>
      <c r="H1503">
        <v>134002</v>
      </c>
      <c r="I1503">
        <v>0</v>
      </c>
      <c r="J1503">
        <v>0</v>
      </c>
      <c r="K1503">
        <v>0</v>
      </c>
      <c r="L1503">
        <v>0</v>
      </c>
      <c r="M1503">
        <v>599</v>
      </c>
    </row>
    <row r="1504" spans="1:13" ht="15">
      <c r="A1504" t="s">
        <v>3595</v>
      </c>
      <c r="B1504" s="1040" t="str">
        <f>CONCATENATE(LEFT(RIGHT(CONCATENATE("000",IFAData_TEA_1819!A1504),6),3),"-",(RIGHT(RIGHT(CONCATENATE("000",IFAData_TEA_1819!A1504),6),3)))</f>
        <v>125-902</v>
      </c>
      <c r="C1504" t="s">
        <v>2681</v>
      </c>
      <c r="D1504">
        <v>6</v>
      </c>
      <c r="E1504">
        <v>1605</v>
      </c>
      <c r="F1504" t="s">
        <v>5050</v>
      </c>
      <c r="G1504" t="s">
        <v>5051</v>
      </c>
      <c r="H1504">
        <v>134002</v>
      </c>
      <c r="I1504">
        <v>126038</v>
      </c>
      <c r="J1504">
        <v>1</v>
      </c>
      <c r="K1504">
        <v>134002</v>
      </c>
      <c r="L1504">
        <v>126038</v>
      </c>
      <c r="M1504">
        <v>599</v>
      </c>
    </row>
    <row r="1505" spans="1:13" ht="15">
      <c r="A1505" t="s">
        <v>3595</v>
      </c>
      <c r="B1505" s="1040" t="str">
        <f>CONCATENATE(LEFT(RIGHT(CONCATENATE("000",IFAData_TEA_1819!A1505),6),3),"-",(RIGHT(RIGHT(CONCATENATE("000",IFAData_TEA_1819!A1505),6),3)))</f>
        <v>125-902</v>
      </c>
      <c r="C1505" t="s">
        <v>2681</v>
      </c>
      <c r="D1505">
        <v>10</v>
      </c>
      <c r="E1505">
        <v>1606</v>
      </c>
      <c r="F1505" t="s">
        <v>5052</v>
      </c>
      <c r="G1505" t="s">
        <v>5052</v>
      </c>
      <c r="H1505">
        <v>142643</v>
      </c>
      <c r="I1505">
        <v>87550</v>
      </c>
      <c r="J1505">
        <v>0.39201902109425002</v>
      </c>
      <c r="K1505">
        <v>55918.7692259471</v>
      </c>
      <c r="L1505">
        <v>55918.7692259471</v>
      </c>
      <c r="M1505">
        <v>599</v>
      </c>
    </row>
    <row r="1506" spans="1:13" ht="15">
      <c r="A1506" t="s">
        <v>3595</v>
      </c>
      <c r="B1506" s="1040" t="str">
        <f>CONCATENATE(LEFT(RIGHT(CONCATENATE("000",IFAData_TEA_1819!A1506),6),3),"-",(RIGHT(RIGHT(CONCATENATE("000",IFAData_TEA_1819!A1506),6),3)))</f>
        <v>125-902</v>
      </c>
      <c r="C1506" t="s">
        <v>2681</v>
      </c>
      <c r="D1506">
        <v>10</v>
      </c>
      <c r="E1506">
        <v>1606</v>
      </c>
      <c r="F1506" t="s">
        <v>5052</v>
      </c>
      <c r="G1506" t="s">
        <v>8537</v>
      </c>
      <c r="H1506">
        <v>142643</v>
      </c>
      <c r="I1506">
        <v>135781</v>
      </c>
      <c r="J1506">
        <v>0.60798097890574998</v>
      </c>
      <c r="K1506">
        <v>86724.230774052907</v>
      </c>
      <c r="L1506">
        <v>86724.230774052907</v>
      </c>
      <c r="M1506">
        <v>599</v>
      </c>
    </row>
    <row r="1507" spans="1:13" ht="15">
      <c r="A1507" t="s">
        <v>3596</v>
      </c>
      <c r="B1507" s="1040" t="str">
        <f>CONCATENATE(LEFT(RIGHT(CONCATENATE("000",IFAData_TEA_1819!A1507),6),3),"-",(RIGHT(RIGHT(CONCATENATE("000",IFAData_TEA_1819!A1507),6),3)))</f>
        <v>125-903</v>
      </c>
      <c r="C1507" t="s">
        <v>1016</v>
      </c>
      <c r="D1507">
        <v>2</v>
      </c>
      <c r="E1507">
        <v>2163</v>
      </c>
      <c r="F1507" t="s">
        <v>5053</v>
      </c>
      <c r="G1507" t="s">
        <v>5053</v>
      </c>
      <c r="H1507">
        <v>340500</v>
      </c>
      <c r="I1507">
        <v>0</v>
      </c>
      <c r="J1507">
        <v>0</v>
      </c>
      <c r="K1507">
        <v>0</v>
      </c>
      <c r="L1507">
        <v>0</v>
      </c>
      <c r="M1507">
        <v>599</v>
      </c>
    </row>
    <row r="1508" spans="1:13" ht="15">
      <c r="A1508" t="s">
        <v>3596</v>
      </c>
      <c r="B1508" s="1040" t="str">
        <f>CONCATENATE(LEFT(RIGHT(CONCATENATE("000",IFAData_TEA_1819!A1508),6),3),"-",(RIGHT(RIGHT(CONCATENATE("000",IFAData_TEA_1819!A1508),6),3)))</f>
        <v>125-903</v>
      </c>
      <c r="C1508" t="s">
        <v>1016</v>
      </c>
      <c r="D1508">
        <v>2</v>
      </c>
      <c r="E1508">
        <v>2163</v>
      </c>
      <c r="F1508" t="s">
        <v>5053</v>
      </c>
      <c r="G1508" t="s">
        <v>5054</v>
      </c>
      <c r="H1508">
        <v>340500</v>
      </c>
      <c r="I1508">
        <v>417049</v>
      </c>
      <c r="J1508">
        <v>1</v>
      </c>
      <c r="K1508">
        <v>340500</v>
      </c>
      <c r="L1508">
        <v>340500</v>
      </c>
      <c r="M1508">
        <v>599</v>
      </c>
    </row>
    <row r="1509" spans="1:13" ht="15">
      <c r="A1509" t="s">
        <v>3596</v>
      </c>
      <c r="B1509" s="1040" t="str">
        <f>CONCATENATE(LEFT(RIGHT(CONCATENATE("000",IFAData_TEA_1819!A1509),6),3),"-",(RIGHT(RIGHT(CONCATENATE("000",IFAData_TEA_1819!A1509),6),3)))</f>
        <v>125-903</v>
      </c>
      <c r="C1509" t="s">
        <v>1016</v>
      </c>
      <c r="D1509">
        <v>6</v>
      </c>
      <c r="E1509">
        <v>2162</v>
      </c>
      <c r="F1509" t="s">
        <v>5055</v>
      </c>
      <c r="G1509" t="s">
        <v>5055</v>
      </c>
      <c r="H1509">
        <v>318941</v>
      </c>
      <c r="I1509">
        <v>0</v>
      </c>
      <c r="J1509">
        <v>0</v>
      </c>
      <c r="K1509">
        <v>0</v>
      </c>
      <c r="L1509">
        <v>0</v>
      </c>
      <c r="M1509">
        <v>599</v>
      </c>
    </row>
    <row r="1510" spans="1:13" ht="15">
      <c r="A1510" t="s">
        <v>3596</v>
      </c>
      <c r="B1510" s="1040" t="str">
        <f>CONCATENATE(LEFT(RIGHT(CONCATENATE("000",IFAData_TEA_1819!A1510),6),3),"-",(RIGHT(RIGHT(CONCATENATE("000",IFAData_TEA_1819!A1510),6),3)))</f>
        <v>125-903</v>
      </c>
      <c r="C1510" t="s">
        <v>1016</v>
      </c>
      <c r="D1510">
        <v>6</v>
      </c>
      <c r="E1510">
        <v>2162</v>
      </c>
      <c r="F1510" t="s">
        <v>5055</v>
      </c>
      <c r="G1510" t="s">
        <v>5054</v>
      </c>
      <c r="H1510">
        <v>318941</v>
      </c>
      <c r="I1510">
        <v>342250</v>
      </c>
      <c r="J1510">
        <v>1</v>
      </c>
      <c r="K1510">
        <v>318941</v>
      </c>
      <c r="L1510">
        <v>318941</v>
      </c>
      <c r="M1510">
        <v>599</v>
      </c>
    </row>
    <row r="1511" spans="1:13" ht="15">
      <c r="A1511" t="s">
        <v>3596</v>
      </c>
      <c r="B1511" s="1040" t="str">
        <f>CONCATENATE(LEFT(RIGHT(CONCATENATE("000",IFAData_TEA_1819!A1511),6),3),"-",(RIGHT(RIGHT(CONCATENATE("000",IFAData_TEA_1819!A1511),6),3)))</f>
        <v>125-903</v>
      </c>
      <c r="C1511" t="s">
        <v>1016</v>
      </c>
      <c r="D1511">
        <v>9</v>
      </c>
      <c r="E1511">
        <v>2164</v>
      </c>
      <c r="F1511" t="s">
        <v>5056</v>
      </c>
      <c r="G1511" t="s">
        <v>5056</v>
      </c>
      <c r="H1511">
        <v>408114</v>
      </c>
      <c r="I1511">
        <v>0</v>
      </c>
      <c r="J1511">
        <v>0</v>
      </c>
      <c r="K1511">
        <v>0</v>
      </c>
      <c r="L1511">
        <v>0</v>
      </c>
      <c r="M1511">
        <v>599</v>
      </c>
    </row>
    <row r="1512" spans="1:13" ht="15">
      <c r="A1512" t="s">
        <v>3596</v>
      </c>
      <c r="B1512" s="1040" t="str">
        <f>CONCATENATE(LEFT(RIGHT(CONCATENATE("000",IFAData_TEA_1819!A1512),6),3),"-",(RIGHT(RIGHT(CONCATENATE("000",IFAData_TEA_1819!A1512),6),3)))</f>
        <v>125-903</v>
      </c>
      <c r="C1512" t="s">
        <v>1016</v>
      </c>
      <c r="D1512">
        <v>9</v>
      </c>
      <c r="E1512">
        <v>2164</v>
      </c>
      <c r="F1512" t="s">
        <v>5056</v>
      </c>
      <c r="G1512" t="s">
        <v>6282</v>
      </c>
      <c r="H1512">
        <v>408114</v>
      </c>
      <c r="I1512">
        <v>386700</v>
      </c>
      <c r="J1512">
        <v>1</v>
      </c>
      <c r="K1512">
        <v>408114</v>
      </c>
      <c r="L1512">
        <v>386700</v>
      </c>
      <c r="M1512">
        <v>599</v>
      </c>
    </row>
    <row r="1513" spans="1:13" ht="15">
      <c r="A1513" t="s">
        <v>3597</v>
      </c>
      <c r="B1513" s="1040" t="str">
        <f>CONCATENATE(LEFT(RIGHT(CONCATENATE("000",IFAData_TEA_1819!A1513),6),3),"-",(RIGHT(RIGHT(CONCATENATE("000",IFAData_TEA_1819!A1513),6),3)))</f>
        <v>125-905</v>
      </c>
      <c r="C1513" t="s">
        <v>2102</v>
      </c>
      <c r="D1513">
        <v>3</v>
      </c>
      <c r="E1513">
        <v>2209</v>
      </c>
      <c r="F1513" t="s">
        <v>5057</v>
      </c>
      <c r="G1513" t="s">
        <v>5057</v>
      </c>
      <c r="H1513">
        <v>228901</v>
      </c>
      <c r="I1513">
        <v>0</v>
      </c>
      <c r="J1513">
        <v>0</v>
      </c>
      <c r="K1513">
        <v>0</v>
      </c>
      <c r="L1513">
        <v>0</v>
      </c>
      <c r="M1513">
        <v>599</v>
      </c>
    </row>
    <row r="1514" spans="1:13" ht="15">
      <c r="A1514" t="s">
        <v>3597</v>
      </c>
      <c r="B1514" s="1040" t="str">
        <f>CONCATENATE(LEFT(RIGHT(CONCATENATE("000",IFAData_TEA_1819!A1514),6),3),"-",(RIGHT(RIGHT(CONCATENATE("000",IFAData_TEA_1819!A1514),6),3)))</f>
        <v>125-905</v>
      </c>
      <c r="C1514" t="s">
        <v>2102</v>
      </c>
      <c r="D1514">
        <v>3</v>
      </c>
      <c r="E1514">
        <v>2209</v>
      </c>
      <c r="F1514" t="s">
        <v>5057</v>
      </c>
      <c r="G1514" t="s">
        <v>5058</v>
      </c>
      <c r="H1514">
        <v>228901</v>
      </c>
      <c r="I1514">
        <v>0</v>
      </c>
      <c r="J1514">
        <v>0</v>
      </c>
      <c r="K1514">
        <v>0</v>
      </c>
      <c r="L1514">
        <v>0</v>
      </c>
      <c r="M1514">
        <v>599</v>
      </c>
    </row>
    <row r="1515" spans="1:13" ht="15">
      <c r="A1515" t="s">
        <v>3597</v>
      </c>
      <c r="B1515" s="1040" t="str">
        <f>CONCATENATE(LEFT(RIGHT(CONCATENATE("000",IFAData_TEA_1819!A1515),6),3),"-",(RIGHT(RIGHT(CONCATENATE("000",IFAData_TEA_1819!A1515),6),3)))</f>
        <v>125-905</v>
      </c>
      <c r="C1515" t="s">
        <v>2102</v>
      </c>
      <c r="D1515">
        <v>3</v>
      </c>
      <c r="E1515">
        <v>2209</v>
      </c>
      <c r="F1515" t="s">
        <v>5057</v>
      </c>
      <c r="G1515" t="s">
        <v>8426</v>
      </c>
      <c r="H1515">
        <v>228901</v>
      </c>
      <c r="I1515">
        <v>78185</v>
      </c>
      <c r="J1515">
        <v>1</v>
      </c>
      <c r="K1515">
        <v>228901</v>
      </c>
      <c r="L1515">
        <v>78185</v>
      </c>
      <c r="M1515">
        <v>599</v>
      </c>
    </row>
    <row r="1516" spans="1:13" ht="15">
      <c r="A1516" t="s">
        <v>3598</v>
      </c>
      <c r="B1516" s="1040" t="str">
        <f>CONCATENATE(LEFT(RIGHT(CONCATENATE("000",IFAData_TEA_1819!A1516),6),3),"-",(RIGHT(RIGHT(CONCATENATE("000",IFAData_TEA_1819!A1516),6),3)))</f>
        <v>126-901</v>
      </c>
      <c r="C1516" t="s">
        <v>1051</v>
      </c>
      <c r="D1516">
        <v>3</v>
      </c>
      <c r="E1516">
        <v>1562</v>
      </c>
      <c r="F1516" t="s">
        <v>5059</v>
      </c>
      <c r="G1516" t="s">
        <v>5059</v>
      </c>
      <c r="H1516">
        <v>590835</v>
      </c>
      <c r="I1516">
        <v>0</v>
      </c>
      <c r="J1516">
        <v>0</v>
      </c>
      <c r="K1516">
        <v>0</v>
      </c>
      <c r="L1516">
        <v>0</v>
      </c>
      <c r="M1516">
        <v>599</v>
      </c>
    </row>
    <row r="1517" spans="1:13" ht="15">
      <c r="A1517" t="s">
        <v>3598</v>
      </c>
      <c r="B1517" s="1040" t="str">
        <f>CONCATENATE(LEFT(RIGHT(CONCATENATE("000",IFAData_TEA_1819!A1517),6),3),"-",(RIGHT(RIGHT(CONCATENATE("000",IFAData_TEA_1819!A1517),6),3)))</f>
        <v>126-901</v>
      </c>
      <c r="C1517" t="s">
        <v>1051</v>
      </c>
      <c r="D1517">
        <v>3</v>
      </c>
      <c r="E1517">
        <v>1562</v>
      </c>
      <c r="F1517" t="s">
        <v>5059</v>
      </c>
      <c r="G1517" t="s">
        <v>5060</v>
      </c>
      <c r="H1517">
        <v>590835</v>
      </c>
      <c r="I1517">
        <v>502300</v>
      </c>
      <c r="J1517">
        <v>0.75175816824237096</v>
      </c>
      <c r="K1517">
        <v>444165.03733348101</v>
      </c>
      <c r="L1517">
        <v>444165.03733348101</v>
      </c>
      <c r="M1517">
        <v>599</v>
      </c>
    </row>
    <row r="1518" spans="1:13" ht="15">
      <c r="A1518" t="s">
        <v>3598</v>
      </c>
      <c r="B1518" s="1040" t="str">
        <f>CONCATENATE(LEFT(RIGHT(CONCATENATE("000",IFAData_TEA_1819!A1518),6),3),"-",(RIGHT(RIGHT(CONCATENATE("000",IFAData_TEA_1819!A1518),6),3)))</f>
        <v>126-901</v>
      </c>
      <c r="C1518" t="s">
        <v>1051</v>
      </c>
      <c r="D1518">
        <v>3</v>
      </c>
      <c r="E1518">
        <v>1562</v>
      </c>
      <c r="F1518" t="s">
        <v>5059</v>
      </c>
      <c r="G1518" t="s">
        <v>8427</v>
      </c>
      <c r="H1518">
        <v>590835</v>
      </c>
      <c r="I1518">
        <v>165867</v>
      </c>
      <c r="J1518">
        <v>0.24824183175762901</v>
      </c>
      <c r="K1518">
        <v>146669.96266651899</v>
      </c>
      <c r="L1518">
        <v>146669.96266651899</v>
      </c>
      <c r="M1518">
        <v>599</v>
      </c>
    </row>
    <row r="1519" spans="1:13" ht="15">
      <c r="A1519" t="s">
        <v>3598</v>
      </c>
      <c r="B1519" s="1040" t="str">
        <f>CONCATENATE(LEFT(RIGHT(CONCATENATE("000",IFAData_TEA_1819!A1519),6),3),"-",(RIGHT(RIGHT(CONCATENATE("000",IFAData_TEA_1819!A1519),6),3)))</f>
        <v>126-901</v>
      </c>
      <c r="C1519" t="s">
        <v>1051</v>
      </c>
      <c r="D1519">
        <v>3</v>
      </c>
      <c r="E1519">
        <v>1561</v>
      </c>
      <c r="F1519" t="s">
        <v>5061</v>
      </c>
      <c r="G1519" t="s">
        <v>5061</v>
      </c>
      <c r="H1519">
        <v>87080</v>
      </c>
      <c r="I1519">
        <v>0</v>
      </c>
      <c r="J1519">
        <v>0</v>
      </c>
      <c r="K1519"/>
      <c r="L1519">
        <v>0</v>
      </c>
      <c r="M1519">
        <v>599</v>
      </c>
    </row>
    <row r="1520" spans="1:13" ht="15">
      <c r="A1520" t="s">
        <v>3598</v>
      </c>
      <c r="B1520" s="1040" t="str">
        <f>CONCATENATE(LEFT(RIGHT(CONCATENATE("000",IFAData_TEA_1819!A1520),6),3),"-",(RIGHT(RIGHT(CONCATENATE("000",IFAData_TEA_1819!A1520),6),3)))</f>
        <v>126-901</v>
      </c>
      <c r="C1520" t="s">
        <v>1051</v>
      </c>
      <c r="D1520">
        <v>5</v>
      </c>
      <c r="E1520">
        <v>1564</v>
      </c>
      <c r="F1520" t="s">
        <v>5062</v>
      </c>
      <c r="G1520" t="s">
        <v>5062</v>
      </c>
      <c r="H1520">
        <v>793345</v>
      </c>
      <c r="I1520">
        <v>0</v>
      </c>
      <c r="J1520">
        <v>0</v>
      </c>
      <c r="K1520">
        <v>0</v>
      </c>
      <c r="L1520">
        <v>0</v>
      </c>
      <c r="M1520">
        <v>599</v>
      </c>
    </row>
    <row r="1521" spans="1:13" ht="15">
      <c r="A1521" t="s">
        <v>3598</v>
      </c>
      <c r="B1521" s="1040" t="str">
        <f>CONCATENATE(LEFT(RIGHT(CONCATENATE("000",IFAData_TEA_1819!A1521),6),3),"-",(RIGHT(RIGHT(CONCATENATE("000",IFAData_TEA_1819!A1521),6),3)))</f>
        <v>126-901</v>
      </c>
      <c r="C1521" t="s">
        <v>1051</v>
      </c>
      <c r="D1521">
        <v>5</v>
      </c>
      <c r="E1521">
        <v>1564</v>
      </c>
      <c r="F1521" t="s">
        <v>5062</v>
      </c>
      <c r="G1521" t="s">
        <v>5063</v>
      </c>
      <c r="H1521">
        <v>793345</v>
      </c>
      <c r="I1521">
        <v>495031</v>
      </c>
      <c r="J1521">
        <v>0.55204942484512898</v>
      </c>
      <c r="K1521">
        <v>437965.65095375897</v>
      </c>
      <c r="L1521">
        <v>437965.65095375897</v>
      </c>
      <c r="M1521">
        <v>599</v>
      </c>
    </row>
    <row r="1522" spans="1:13" ht="15">
      <c r="A1522" t="s">
        <v>3598</v>
      </c>
      <c r="B1522" s="1040" t="str">
        <f>CONCATENATE(LEFT(RIGHT(CONCATENATE("000",IFAData_TEA_1819!A1522),6),3),"-",(RIGHT(RIGHT(CONCATENATE("000",IFAData_TEA_1819!A1522),6),3)))</f>
        <v>126-901</v>
      </c>
      <c r="C1522" t="s">
        <v>1051</v>
      </c>
      <c r="D1522">
        <v>5</v>
      </c>
      <c r="E1522">
        <v>1564</v>
      </c>
      <c r="F1522" t="s">
        <v>5062</v>
      </c>
      <c r="G1522" t="s">
        <v>5064</v>
      </c>
      <c r="H1522">
        <v>793345</v>
      </c>
      <c r="I1522">
        <v>401684</v>
      </c>
      <c r="J1522">
        <v>0.44795057515487102</v>
      </c>
      <c r="K1522">
        <v>355379.34904624103</v>
      </c>
      <c r="L1522">
        <v>355379.34904624103</v>
      </c>
      <c r="M1522">
        <v>599</v>
      </c>
    </row>
    <row r="1523" spans="1:13" ht="15">
      <c r="A1523" t="s">
        <v>3598</v>
      </c>
      <c r="B1523" s="1040" t="str">
        <f>CONCATENATE(LEFT(RIGHT(CONCATENATE("000",IFAData_TEA_1819!A1523),6),3),"-",(RIGHT(RIGHT(CONCATENATE("000",IFAData_TEA_1819!A1523),6),3)))</f>
        <v>126-901</v>
      </c>
      <c r="C1523" t="s">
        <v>1051</v>
      </c>
      <c r="D1523">
        <v>9</v>
      </c>
      <c r="E1523">
        <v>1563</v>
      </c>
      <c r="F1523" t="s">
        <v>5065</v>
      </c>
      <c r="G1523" t="s">
        <v>5065</v>
      </c>
      <c r="H1523">
        <v>760564</v>
      </c>
      <c r="I1523">
        <v>0</v>
      </c>
      <c r="J1523">
        <v>0</v>
      </c>
      <c r="K1523">
        <v>0</v>
      </c>
      <c r="L1523">
        <v>0</v>
      </c>
      <c r="M1523">
        <v>599</v>
      </c>
    </row>
    <row r="1524" spans="1:13" ht="15">
      <c r="A1524" t="s">
        <v>3598</v>
      </c>
      <c r="B1524" s="1040" t="str">
        <f>CONCATENATE(LEFT(RIGHT(CONCATENATE("000",IFAData_TEA_1819!A1524),6),3),"-",(RIGHT(RIGHT(CONCATENATE("000",IFAData_TEA_1819!A1524),6),3)))</f>
        <v>126-901</v>
      </c>
      <c r="C1524" t="s">
        <v>1051</v>
      </c>
      <c r="D1524">
        <v>9</v>
      </c>
      <c r="E1524">
        <v>1563</v>
      </c>
      <c r="F1524" t="s">
        <v>5065</v>
      </c>
      <c r="G1524" t="s">
        <v>6283</v>
      </c>
      <c r="H1524">
        <v>760564</v>
      </c>
      <c r="I1524">
        <v>374597</v>
      </c>
      <c r="J1524">
        <v>0.33246149504143802</v>
      </c>
      <c r="K1524">
        <v>252858.24451469601</v>
      </c>
      <c r="L1524">
        <v>252858.24451469601</v>
      </c>
      <c r="M1524">
        <v>599</v>
      </c>
    </row>
    <row r="1525" spans="1:13" ht="15">
      <c r="A1525" t="s">
        <v>3598</v>
      </c>
      <c r="B1525" s="1040" t="str">
        <f>CONCATENATE(LEFT(RIGHT(CONCATENATE("000",IFAData_TEA_1819!A1525),6),3),"-",(RIGHT(RIGHT(CONCATENATE("000",IFAData_TEA_1819!A1525),6),3)))</f>
        <v>126-901</v>
      </c>
      <c r="C1525" t="s">
        <v>1051</v>
      </c>
      <c r="D1525">
        <v>9</v>
      </c>
      <c r="E1525">
        <v>1563</v>
      </c>
      <c r="F1525" t="s">
        <v>5065</v>
      </c>
      <c r="G1525" t="s">
        <v>6488</v>
      </c>
      <c r="H1525">
        <v>760564</v>
      </c>
      <c r="I1525">
        <v>348664</v>
      </c>
      <c r="J1525">
        <v>0.30944549664607002</v>
      </c>
      <c r="K1525">
        <v>235353.104711122</v>
      </c>
      <c r="L1525">
        <v>235353.104711122</v>
      </c>
      <c r="M1525">
        <v>599</v>
      </c>
    </row>
    <row r="1526" spans="1:13" ht="15">
      <c r="A1526" t="s">
        <v>3598</v>
      </c>
      <c r="B1526" s="1040" t="str">
        <f>CONCATENATE(LEFT(RIGHT(CONCATENATE("000",IFAData_TEA_1819!A1526),6),3),"-",(RIGHT(RIGHT(CONCATENATE("000",IFAData_TEA_1819!A1526),6),3)))</f>
        <v>126-901</v>
      </c>
      <c r="C1526" t="s">
        <v>1051</v>
      </c>
      <c r="D1526">
        <v>9</v>
      </c>
      <c r="E1526">
        <v>1563</v>
      </c>
      <c r="F1526" t="s">
        <v>5065</v>
      </c>
      <c r="G1526" t="s">
        <v>8427</v>
      </c>
      <c r="H1526">
        <v>760564</v>
      </c>
      <c r="I1526">
        <v>403477</v>
      </c>
      <c r="J1526">
        <v>0.35809300831249102</v>
      </c>
      <c r="K1526">
        <v>272352.650774182</v>
      </c>
      <c r="L1526">
        <v>272352.650774182</v>
      </c>
      <c r="M1526">
        <v>599</v>
      </c>
    </row>
    <row r="1527" spans="1:13" ht="15">
      <c r="A1527" t="s">
        <v>3599</v>
      </c>
      <c r="B1527" s="1040" t="str">
        <f>CONCATENATE(LEFT(RIGHT(CONCATENATE("000",IFAData_TEA_1819!A1527),6),3),"-",(RIGHT(RIGHT(CONCATENATE("000",IFAData_TEA_1819!A1527),6),3)))</f>
        <v>126-902</v>
      </c>
      <c r="C1527" t="s">
        <v>1449</v>
      </c>
      <c r="D1527">
        <v>1</v>
      </c>
      <c r="E1527">
        <v>1653</v>
      </c>
      <c r="F1527" t="s">
        <v>5066</v>
      </c>
      <c r="G1527" t="s">
        <v>5066</v>
      </c>
      <c r="H1527">
        <v>584119</v>
      </c>
      <c r="I1527">
        <v>0</v>
      </c>
      <c r="J1527">
        <v>0</v>
      </c>
      <c r="K1527">
        <v>0</v>
      </c>
      <c r="L1527">
        <v>0</v>
      </c>
      <c r="M1527">
        <v>599</v>
      </c>
    </row>
    <row r="1528" spans="1:13" ht="15">
      <c r="A1528" t="s">
        <v>3599</v>
      </c>
      <c r="B1528" s="1040" t="str">
        <f>CONCATENATE(LEFT(RIGHT(CONCATENATE("000",IFAData_TEA_1819!A1528),6),3),"-",(RIGHT(RIGHT(CONCATENATE("000",IFAData_TEA_1819!A1528),6),3)))</f>
        <v>126-902</v>
      </c>
      <c r="C1528" t="s">
        <v>1449</v>
      </c>
      <c r="D1528">
        <v>1</v>
      </c>
      <c r="E1528">
        <v>1653</v>
      </c>
      <c r="F1528" t="s">
        <v>5066</v>
      </c>
      <c r="G1528" t="s">
        <v>5067</v>
      </c>
      <c r="H1528">
        <v>584119</v>
      </c>
      <c r="I1528">
        <v>317406</v>
      </c>
      <c r="J1528">
        <v>1</v>
      </c>
      <c r="K1528">
        <v>584119</v>
      </c>
      <c r="L1528">
        <v>317406</v>
      </c>
      <c r="M1528">
        <v>599</v>
      </c>
    </row>
    <row r="1529" spans="1:13" ht="15">
      <c r="A1529" t="s">
        <v>3599</v>
      </c>
      <c r="B1529" s="1040" t="str">
        <f>CONCATENATE(LEFT(RIGHT(CONCATENATE("000",IFAData_TEA_1819!A1529),6),3),"-",(RIGHT(RIGHT(CONCATENATE("000",IFAData_TEA_1819!A1529),6),3)))</f>
        <v>126-902</v>
      </c>
      <c r="C1529" t="s">
        <v>1449</v>
      </c>
      <c r="D1529">
        <v>9</v>
      </c>
      <c r="E1529">
        <v>1654</v>
      </c>
      <c r="F1529" t="s">
        <v>5068</v>
      </c>
      <c r="G1529" t="s">
        <v>5068</v>
      </c>
      <c r="H1529">
        <v>2156750</v>
      </c>
      <c r="I1529">
        <v>0</v>
      </c>
      <c r="J1529">
        <v>0</v>
      </c>
      <c r="K1529">
        <v>0</v>
      </c>
      <c r="L1529">
        <v>0</v>
      </c>
      <c r="M1529">
        <v>599</v>
      </c>
    </row>
    <row r="1530" spans="1:13" ht="15">
      <c r="A1530" t="s">
        <v>3599</v>
      </c>
      <c r="B1530" s="1040" t="str">
        <f>CONCATENATE(LEFT(RIGHT(CONCATENATE("000",IFAData_TEA_1819!A1530),6),3),"-",(RIGHT(RIGHT(CONCATENATE("000",IFAData_TEA_1819!A1530),6),3)))</f>
        <v>126-902</v>
      </c>
      <c r="C1530" t="s">
        <v>1449</v>
      </c>
      <c r="D1530">
        <v>9</v>
      </c>
      <c r="E1530">
        <v>1654</v>
      </c>
      <c r="F1530" t="s">
        <v>5068</v>
      </c>
      <c r="G1530" t="s">
        <v>6489</v>
      </c>
      <c r="H1530">
        <v>2156750</v>
      </c>
      <c r="I1530">
        <v>3488691</v>
      </c>
      <c r="J1530">
        <v>0.95361948278576703</v>
      </c>
      <c r="K1530">
        <v>2056718.8194982</v>
      </c>
      <c r="L1530">
        <v>2056718.8194982</v>
      </c>
      <c r="M1530">
        <v>599</v>
      </c>
    </row>
    <row r="1531" spans="1:13" ht="15">
      <c r="A1531" t="s">
        <v>3599</v>
      </c>
      <c r="B1531" s="1040" t="str">
        <f>CONCATENATE(LEFT(RIGHT(CONCATENATE("000",IFAData_TEA_1819!A1531),6),3),"-",(RIGHT(RIGHT(CONCATENATE("000",IFAData_TEA_1819!A1531),6),3)))</f>
        <v>126-902</v>
      </c>
      <c r="C1531" t="s">
        <v>1449</v>
      </c>
      <c r="D1531">
        <v>9</v>
      </c>
      <c r="E1531">
        <v>1654</v>
      </c>
      <c r="F1531" t="s">
        <v>5068</v>
      </c>
      <c r="G1531" t="s">
        <v>8428</v>
      </c>
      <c r="H1531">
        <v>2156750</v>
      </c>
      <c r="I1531">
        <v>169677</v>
      </c>
      <c r="J1531">
        <v>4.6380517214233197E-2</v>
      </c>
      <c r="K1531">
        <v>100031.18050179799</v>
      </c>
      <c r="L1531">
        <v>100031.18050179799</v>
      </c>
      <c r="M1531">
        <v>599</v>
      </c>
    </row>
    <row r="1532" spans="1:13" ht="15">
      <c r="A1532" t="s">
        <v>5069</v>
      </c>
      <c r="B1532" s="1040" t="str">
        <f>CONCATENATE(LEFT(RIGHT(CONCATENATE("000",IFAData_TEA_1819!A1532),6),3),"-",(RIGHT(RIGHT(CONCATENATE("000",IFAData_TEA_1819!A1532),6),3)))</f>
        <v>126-904</v>
      </c>
      <c r="C1532" t="s">
        <v>865</v>
      </c>
      <c r="D1532">
        <v>6</v>
      </c>
      <c r="E1532">
        <v>1858</v>
      </c>
      <c r="F1532" t="s">
        <v>5070</v>
      </c>
      <c r="G1532" t="s">
        <v>5070</v>
      </c>
      <c r="H1532">
        <v>262527</v>
      </c>
      <c r="I1532">
        <v>0</v>
      </c>
      <c r="J1532">
        <v>0</v>
      </c>
      <c r="K1532"/>
      <c r="L1532">
        <v>0</v>
      </c>
      <c r="M1532">
        <v>199</v>
      </c>
    </row>
    <row r="1533" spans="1:13" ht="15">
      <c r="A1533" t="s">
        <v>3600</v>
      </c>
      <c r="B1533" s="1040" t="str">
        <f>CONCATENATE(LEFT(RIGHT(CONCATENATE("000",IFAData_TEA_1819!A1533),6),3),"-",(RIGHT(RIGHT(CONCATENATE("000",IFAData_TEA_1819!A1533),6),3)))</f>
        <v>126-905</v>
      </c>
      <c r="C1533" t="s">
        <v>407</v>
      </c>
      <c r="D1533">
        <v>2</v>
      </c>
      <c r="E1533">
        <v>1936</v>
      </c>
      <c r="F1533" t="s">
        <v>5071</v>
      </c>
      <c r="G1533" t="s">
        <v>5071</v>
      </c>
      <c r="H1533">
        <v>787721</v>
      </c>
      <c r="I1533">
        <v>0</v>
      </c>
      <c r="J1533">
        <v>0</v>
      </c>
      <c r="K1533"/>
      <c r="L1533">
        <v>0</v>
      </c>
      <c r="M1533">
        <v>599</v>
      </c>
    </row>
    <row r="1534" spans="1:13" ht="15">
      <c r="A1534" t="s">
        <v>3601</v>
      </c>
      <c r="B1534" s="1040" t="str">
        <f>CONCATENATE(LEFT(RIGHT(CONCATENATE("000",IFAData_TEA_1819!A1534),6),3),"-",(RIGHT(RIGHT(CONCATENATE("000",IFAData_TEA_1819!A1534),6),3)))</f>
        <v>126-906</v>
      </c>
      <c r="C1534" t="s">
        <v>2034</v>
      </c>
      <c r="D1534">
        <v>9</v>
      </c>
      <c r="E1534">
        <v>1949</v>
      </c>
      <c r="F1534" t="s">
        <v>5073</v>
      </c>
      <c r="G1534" t="s">
        <v>5073</v>
      </c>
      <c r="H1534">
        <v>196049</v>
      </c>
      <c r="I1534">
        <v>0</v>
      </c>
      <c r="J1534">
        <v>0</v>
      </c>
      <c r="K1534">
        <v>0</v>
      </c>
      <c r="L1534">
        <v>0</v>
      </c>
      <c r="M1534">
        <v>599</v>
      </c>
    </row>
    <row r="1535" spans="1:13" ht="15">
      <c r="A1535" t="s">
        <v>3601</v>
      </c>
      <c r="B1535" s="1040" t="str">
        <f>CONCATENATE(LEFT(RIGHT(CONCATENATE("000",IFAData_TEA_1819!A1535),6),3),"-",(RIGHT(RIGHT(CONCATENATE("000",IFAData_TEA_1819!A1535),6),3)))</f>
        <v>126-906</v>
      </c>
      <c r="C1535" t="s">
        <v>2034</v>
      </c>
      <c r="D1535">
        <v>9</v>
      </c>
      <c r="E1535">
        <v>1949</v>
      </c>
      <c r="F1535" t="s">
        <v>5073</v>
      </c>
      <c r="G1535" t="s">
        <v>5074</v>
      </c>
      <c r="H1535">
        <v>196049</v>
      </c>
      <c r="I1535">
        <v>840823</v>
      </c>
      <c r="J1535">
        <v>1</v>
      </c>
      <c r="K1535">
        <v>196049</v>
      </c>
      <c r="L1535">
        <v>196049</v>
      </c>
      <c r="M1535">
        <v>599</v>
      </c>
    </row>
    <row r="1536" spans="1:13" ht="15">
      <c r="A1536" t="s">
        <v>3602</v>
      </c>
      <c r="B1536" s="1040" t="str">
        <f>CONCATENATE(LEFT(RIGHT(CONCATENATE("000",IFAData_TEA_1819!A1536),6),3),"-",(RIGHT(RIGHT(CONCATENATE("000",IFAData_TEA_1819!A1536),6),3)))</f>
        <v>126-907</v>
      </c>
      <c r="C1536" t="s">
        <v>2695</v>
      </c>
      <c r="D1536">
        <v>4</v>
      </c>
      <c r="E1536">
        <v>2248</v>
      </c>
      <c r="F1536" t="s">
        <v>5075</v>
      </c>
      <c r="G1536" t="s">
        <v>5075</v>
      </c>
      <c r="H1536">
        <v>140320</v>
      </c>
      <c r="I1536">
        <v>0</v>
      </c>
      <c r="J1536">
        <v>0</v>
      </c>
      <c r="K1536">
        <v>0</v>
      </c>
      <c r="L1536">
        <v>0</v>
      </c>
      <c r="M1536">
        <v>599</v>
      </c>
    </row>
    <row r="1537" spans="1:13" ht="15">
      <c r="A1537" t="s">
        <v>3602</v>
      </c>
      <c r="B1537" s="1040" t="str">
        <f>CONCATENATE(LEFT(RIGHT(CONCATENATE("000",IFAData_TEA_1819!A1537),6),3),"-",(RIGHT(RIGHT(CONCATENATE("000",IFAData_TEA_1819!A1537),6),3)))</f>
        <v>126-907</v>
      </c>
      <c r="C1537" t="s">
        <v>2695</v>
      </c>
      <c r="D1537">
        <v>4</v>
      </c>
      <c r="E1537">
        <v>2248</v>
      </c>
      <c r="F1537" t="s">
        <v>5075</v>
      </c>
      <c r="G1537" t="s">
        <v>5076</v>
      </c>
      <c r="H1537">
        <v>140320</v>
      </c>
      <c r="I1537">
        <v>263412</v>
      </c>
      <c r="J1537">
        <v>1</v>
      </c>
      <c r="K1537">
        <v>140320</v>
      </c>
      <c r="L1537">
        <v>140320</v>
      </c>
      <c r="M1537">
        <v>599</v>
      </c>
    </row>
    <row r="1538" spans="1:13" ht="15">
      <c r="A1538" t="s">
        <v>3603</v>
      </c>
      <c r="B1538" s="1040" t="str">
        <f>CONCATENATE(LEFT(RIGHT(CONCATENATE("000",IFAData_TEA_1819!A1538),6),3),"-",(RIGHT(RIGHT(CONCATENATE("000",IFAData_TEA_1819!A1538),6),3)))</f>
        <v>126-908</v>
      </c>
      <c r="C1538" t="s">
        <v>2644</v>
      </c>
      <c r="D1538">
        <v>3</v>
      </c>
      <c r="E1538">
        <v>2422</v>
      </c>
      <c r="F1538" t="s">
        <v>5077</v>
      </c>
      <c r="G1538" t="s">
        <v>5077</v>
      </c>
      <c r="H1538">
        <v>198161</v>
      </c>
      <c r="I1538">
        <v>0</v>
      </c>
      <c r="J1538">
        <v>0</v>
      </c>
      <c r="K1538">
        <v>0</v>
      </c>
      <c r="L1538">
        <v>0</v>
      </c>
      <c r="M1538">
        <v>599</v>
      </c>
    </row>
    <row r="1539" spans="1:13" ht="15">
      <c r="A1539" t="s">
        <v>3603</v>
      </c>
      <c r="B1539" s="1040" t="str">
        <f>CONCATENATE(LEFT(RIGHT(CONCATENATE("000",IFAData_TEA_1819!A1539),6),3),"-",(RIGHT(RIGHT(CONCATENATE("000",IFAData_TEA_1819!A1539),6),3)))</f>
        <v>126-908</v>
      </c>
      <c r="C1539" t="s">
        <v>2644</v>
      </c>
      <c r="D1539">
        <v>3</v>
      </c>
      <c r="E1539">
        <v>2422</v>
      </c>
      <c r="F1539" t="s">
        <v>5077</v>
      </c>
      <c r="G1539" t="s">
        <v>5078</v>
      </c>
      <c r="H1539">
        <v>198161</v>
      </c>
      <c r="I1539">
        <v>0</v>
      </c>
      <c r="J1539">
        <v>0</v>
      </c>
      <c r="K1539">
        <v>0</v>
      </c>
      <c r="L1539">
        <v>0</v>
      </c>
      <c r="M1539">
        <v>599</v>
      </c>
    </row>
    <row r="1540" spans="1:13" ht="15">
      <c r="A1540" t="s">
        <v>3603</v>
      </c>
      <c r="B1540" s="1040" t="str">
        <f>CONCATENATE(LEFT(RIGHT(CONCATENATE("000",IFAData_TEA_1819!A1540),6),3),"-",(RIGHT(RIGHT(CONCATENATE("000",IFAData_TEA_1819!A1540),6),3)))</f>
        <v>126-908</v>
      </c>
      <c r="C1540" t="s">
        <v>2644</v>
      </c>
      <c r="D1540">
        <v>3</v>
      </c>
      <c r="E1540">
        <v>2422</v>
      </c>
      <c r="F1540" t="s">
        <v>5077</v>
      </c>
      <c r="G1540" t="s">
        <v>5079</v>
      </c>
      <c r="H1540">
        <v>198161</v>
      </c>
      <c r="I1540">
        <v>171600</v>
      </c>
      <c r="J1540">
        <v>0.53776245691005997</v>
      </c>
      <c r="K1540">
        <v>106563.54622375401</v>
      </c>
      <c r="L1540">
        <v>106563.54622375401</v>
      </c>
      <c r="M1540">
        <v>599</v>
      </c>
    </row>
    <row r="1541" spans="1:13" ht="15">
      <c r="A1541" t="s">
        <v>3603</v>
      </c>
      <c r="B1541" s="1040" t="str">
        <f>CONCATENATE(LEFT(RIGHT(CONCATENATE("000",IFAData_TEA_1819!A1541),6),3),"-",(RIGHT(RIGHT(CONCATENATE("000",IFAData_TEA_1819!A1541),6),3)))</f>
        <v>126-908</v>
      </c>
      <c r="C1541" t="s">
        <v>2644</v>
      </c>
      <c r="D1541">
        <v>3</v>
      </c>
      <c r="E1541">
        <v>2422</v>
      </c>
      <c r="F1541" t="s">
        <v>5077</v>
      </c>
      <c r="G1541" t="s">
        <v>5080</v>
      </c>
      <c r="H1541">
        <v>198161</v>
      </c>
      <c r="I1541">
        <v>113200</v>
      </c>
      <c r="J1541">
        <v>0.35474772798495802</v>
      </c>
      <c r="K1541">
        <v>70297.164525227199</v>
      </c>
      <c r="L1541">
        <v>70297.164525227199</v>
      </c>
      <c r="M1541">
        <v>599</v>
      </c>
    </row>
    <row r="1542" spans="1:13" ht="15">
      <c r="A1542" t="s">
        <v>3603</v>
      </c>
      <c r="B1542" s="1040" t="str">
        <f>CONCATENATE(LEFT(RIGHT(CONCATENATE("000",IFAData_TEA_1819!A1542),6),3),"-",(RIGHT(RIGHT(CONCATENATE("000",IFAData_TEA_1819!A1542),6),3)))</f>
        <v>126-908</v>
      </c>
      <c r="C1542" t="s">
        <v>2644</v>
      </c>
      <c r="D1542">
        <v>3</v>
      </c>
      <c r="E1542">
        <v>2422</v>
      </c>
      <c r="F1542" t="s">
        <v>5077</v>
      </c>
      <c r="G1542" t="s">
        <v>6490</v>
      </c>
      <c r="H1542">
        <v>198161</v>
      </c>
      <c r="I1542">
        <v>34300</v>
      </c>
      <c r="J1542">
        <v>0.107489815104983</v>
      </c>
      <c r="K1542">
        <v>21300.289251018501</v>
      </c>
      <c r="L1542">
        <v>21300.289251018501</v>
      </c>
      <c r="M1542">
        <v>599</v>
      </c>
    </row>
    <row r="1543" spans="1:13" ht="15">
      <c r="A1543" t="s">
        <v>3603</v>
      </c>
      <c r="B1543" s="1040" t="str">
        <f>CONCATENATE(LEFT(RIGHT(CONCATENATE("000",IFAData_TEA_1819!A1543),6),3),"-",(RIGHT(RIGHT(CONCATENATE("000",IFAData_TEA_1819!A1543),6),3)))</f>
        <v>126-908</v>
      </c>
      <c r="C1543" t="s">
        <v>2644</v>
      </c>
      <c r="D1543">
        <v>3</v>
      </c>
      <c r="E1543">
        <v>2423</v>
      </c>
      <c r="F1543" t="s">
        <v>5081</v>
      </c>
      <c r="G1543" t="s">
        <v>5081</v>
      </c>
      <c r="H1543">
        <v>260380</v>
      </c>
      <c r="I1543">
        <v>0</v>
      </c>
      <c r="J1543">
        <v>0</v>
      </c>
      <c r="K1543">
        <v>0</v>
      </c>
      <c r="L1543">
        <v>0</v>
      </c>
      <c r="M1543">
        <v>599</v>
      </c>
    </row>
    <row r="1544" spans="1:13" ht="15">
      <c r="A1544" t="s">
        <v>3603</v>
      </c>
      <c r="B1544" s="1040" t="str">
        <f>CONCATENATE(LEFT(RIGHT(CONCATENATE("000",IFAData_TEA_1819!A1544),6),3),"-",(RIGHT(RIGHT(CONCATENATE("000",IFAData_TEA_1819!A1544),6),3)))</f>
        <v>126-908</v>
      </c>
      <c r="C1544" t="s">
        <v>2644</v>
      </c>
      <c r="D1544">
        <v>3</v>
      </c>
      <c r="E1544">
        <v>2423</v>
      </c>
      <c r="F1544" t="s">
        <v>5081</v>
      </c>
      <c r="G1544" t="s">
        <v>5078</v>
      </c>
      <c r="H1544">
        <v>260380</v>
      </c>
      <c r="I1544">
        <v>121800</v>
      </c>
      <c r="J1544">
        <v>0.32825941657144098</v>
      </c>
      <c r="K1544">
        <v>85472.186886871801</v>
      </c>
      <c r="L1544">
        <v>85472.186886871801</v>
      </c>
      <c r="M1544">
        <v>599</v>
      </c>
    </row>
    <row r="1545" spans="1:13" ht="15">
      <c r="A1545" t="s">
        <v>3603</v>
      </c>
      <c r="B1545" s="1040" t="str">
        <f>CONCATENATE(LEFT(RIGHT(CONCATENATE("000",IFAData_TEA_1819!A1545),6),3),"-",(RIGHT(RIGHT(CONCATENATE("000",IFAData_TEA_1819!A1545),6),3)))</f>
        <v>126-908</v>
      </c>
      <c r="C1545" t="s">
        <v>2644</v>
      </c>
      <c r="D1545">
        <v>3</v>
      </c>
      <c r="E1545">
        <v>2423</v>
      </c>
      <c r="F1545" t="s">
        <v>5081</v>
      </c>
      <c r="G1545" t="s">
        <v>5079</v>
      </c>
      <c r="H1545">
        <v>260380</v>
      </c>
      <c r="I1545">
        <v>171600</v>
      </c>
      <c r="J1545">
        <v>0.46247385782971501</v>
      </c>
      <c r="K1545">
        <v>120418.94310170101</v>
      </c>
      <c r="L1545">
        <v>120418.94310170101</v>
      </c>
      <c r="M1545">
        <v>599</v>
      </c>
    </row>
    <row r="1546" spans="1:13" ht="15">
      <c r="A1546" t="s">
        <v>3603</v>
      </c>
      <c r="B1546" s="1040" t="str">
        <f>CONCATENATE(LEFT(RIGHT(CONCATENATE("000",IFAData_TEA_1819!A1546),6),3),"-",(RIGHT(RIGHT(CONCATENATE("000",IFAData_TEA_1819!A1546),6),3)))</f>
        <v>126-908</v>
      </c>
      <c r="C1546" t="s">
        <v>2644</v>
      </c>
      <c r="D1546">
        <v>3</v>
      </c>
      <c r="E1546">
        <v>2423</v>
      </c>
      <c r="F1546" t="s">
        <v>5081</v>
      </c>
      <c r="G1546" t="s">
        <v>5080</v>
      </c>
      <c r="H1546">
        <v>260380</v>
      </c>
      <c r="I1546">
        <v>11145</v>
      </c>
      <c r="J1546">
        <v>3.0036545137017302E-2</v>
      </c>
      <c r="K1546">
        <v>7820.9156227765698</v>
      </c>
      <c r="L1546">
        <v>7820.9156227765698</v>
      </c>
      <c r="M1546">
        <v>599</v>
      </c>
    </row>
    <row r="1547" spans="1:13" ht="15">
      <c r="A1547" t="s">
        <v>3603</v>
      </c>
      <c r="B1547" s="1040" t="str">
        <f>CONCATENATE(LEFT(RIGHT(CONCATENATE("000",IFAData_TEA_1819!A1547),6),3),"-",(RIGHT(RIGHT(CONCATENATE("000",IFAData_TEA_1819!A1547),6),3)))</f>
        <v>126-908</v>
      </c>
      <c r="C1547" t="s">
        <v>2644</v>
      </c>
      <c r="D1547">
        <v>3</v>
      </c>
      <c r="E1547">
        <v>2423</v>
      </c>
      <c r="F1547" t="s">
        <v>5081</v>
      </c>
      <c r="G1547" t="s">
        <v>6490</v>
      </c>
      <c r="H1547">
        <v>260380</v>
      </c>
      <c r="I1547">
        <v>66503</v>
      </c>
      <c r="J1547">
        <v>0.17923018046182701</v>
      </c>
      <c r="K1547">
        <v>46667.954388650498</v>
      </c>
      <c r="L1547">
        <v>46667.954388650498</v>
      </c>
      <c r="M1547">
        <v>599</v>
      </c>
    </row>
    <row r="1548" spans="1:13" ht="15">
      <c r="A1548" t="s">
        <v>3603</v>
      </c>
      <c r="B1548" s="1040" t="str">
        <f>CONCATENATE(LEFT(RIGHT(CONCATENATE("000",IFAData_TEA_1819!A1548),6),3),"-",(RIGHT(RIGHT(CONCATENATE("000",IFAData_TEA_1819!A1548),6),3)))</f>
        <v>126-908</v>
      </c>
      <c r="C1548" t="s">
        <v>2644</v>
      </c>
      <c r="D1548">
        <v>8</v>
      </c>
      <c r="E1548">
        <v>2424</v>
      </c>
      <c r="F1548" t="s">
        <v>5078</v>
      </c>
      <c r="G1548" t="s">
        <v>5078</v>
      </c>
      <c r="H1548">
        <v>338505</v>
      </c>
      <c r="I1548">
        <v>368245</v>
      </c>
      <c r="J1548">
        <v>0.82354164616637004</v>
      </c>
      <c r="K1548">
        <v>278772.96493554697</v>
      </c>
      <c r="L1548">
        <v>278772.96493554697</v>
      </c>
      <c r="M1548">
        <v>599</v>
      </c>
    </row>
    <row r="1549" spans="1:13" ht="15">
      <c r="A1549" t="s">
        <v>3603</v>
      </c>
      <c r="B1549" s="1040" t="str">
        <f>CONCATENATE(LEFT(RIGHT(CONCATENATE("000",IFAData_TEA_1819!A1549),6),3),"-",(RIGHT(RIGHT(CONCATENATE("000",IFAData_TEA_1819!A1549),6),3)))</f>
        <v>126-908</v>
      </c>
      <c r="C1549" t="s">
        <v>2644</v>
      </c>
      <c r="D1549">
        <v>8</v>
      </c>
      <c r="E1549">
        <v>2424</v>
      </c>
      <c r="F1549" t="s">
        <v>5078</v>
      </c>
      <c r="G1549" t="s">
        <v>6490</v>
      </c>
      <c r="H1549">
        <v>338505</v>
      </c>
      <c r="I1549">
        <v>78903</v>
      </c>
      <c r="J1549">
        <v>0.17645835383363001</v>
      </c>
      <c r="K1549">
        <v>59732.035064452903</v>
      </c>
      <c r="L1549">
        <v>59732.035064452903</v>
      </c>
      <c r="M1549">
        <v>599</v>
      </c>
    </row>
    <row r="1550" spans="1:13" ht="15">
      <c r="A1550" t="s">
        <v>3603</v>
      </c>
      <c r="B1550" s="1040" t="str">
        <f>CONCATENATE(LEFT(RIGHT(CONCATENATE("000",IFAData_TEA_1819!A1550),6),3),"-",(RIGHT(RIGHT(CONCATENATE("000",IFAData_TEA_1819!A1550),6),3)))</f>
        <v>126-908</v>
      </c>
      <c r="C1550" t="s">
        <v>2644</v>
      </c>
      <c r="D1550">
        <v>11</v>
      </c>
      <c r="E1550">
        <v>2481</v>
      </c>
      <c r="F1550" t="s">
        <v>8429</v>
      </c>
      <c r="G1550" t="s">
        <v>8429</v>
      </c>
      <c r="H1550">
        <v>475845</v>
      </c>
      <c r="I1550">
        <v>1180733</v>
      </c>
      <c r="J1550">
        <v>1</v>
      </c>
      <c r="K1550">
        <v>475845</v>
      </c>
      <c r="L1550">
        <v>475845</v>
      </c>
      <c r="M1550">
        <v>599</v>
      </c>
    </row>
    <row r="1551" spans="1:13" ht="15">
      <c r="A1551" t="s">
        <v>3604</v>
      </c>
      <c r="B1551" s="1040" t="str">
        <f>CONCATENATE(LEFT(RIGHT(CONCATENATE("000",IFAData_TEA_1819!A1551),6),3),"-",(RIGHT(RIGHT(CONCATENATE("000",IFAData_TEA_1819!A1551),6),3)))</f>
        <v>126-911</v>
      </c>
      <c r="C1551" t="s">
        <v>2322</v>
      </c>
      <c r="D1551">
        <v>1</v>
      </c>
      <c r="E1551">
        <v>1847</v>
      </c>
      <c r="F1551" t="s">
        <v>5082</v>
      </c>
      <c r="G1551" t="s">
        <v>5082</v>
      </c>
      <c r="H1551">
        <v>212707</v>
      </c>
      <c r="I1551">
        <v>0</v>
      </c>
      <c r="J1551">
        <v>0</v>
      </c>
      <c r="K1551">
        <v>0</v>
      </c>
      <c r="L1551">
        <v>0</v>
      </c>
      <c r="M1551">
        <v>599</v>
      </c>
    </row>
    <row r="1552" spans="1:13" ht="15">
      <c r="A1552" t="s">
        <v>3604</v>
      </c>
      <c r="B1552" s="1040" t="str">
        <f>CONCATENATE(LEFT(RIGHT(CONCATENATE("000",IFAData_TEA_1819!A1552),6),3),"-",(RIGHT(RIGHT(CONCATENATE("000",IFAData_TEA_1819!A1552),6),3)))</f>
        <v>126-911</v>
      </c>
      <c r="C1552" t="s">
        <v>2322</v>
      </c>
      <c r="D1552">
        <v>1</v>
      </c>
      <c r="E1552">
        <v>1847</v>
      </c>
      <c r="F1552" t="s">
        <v>5082</v>
      </c>
      <c r="G1552" t="s">
        <v>5083</v>
      </c>
      <c r="H1552">
        <v>212707</v>
      </c>
      <c r="I1552">
        <v>0</v>
      </c>
      <c r="J1552">
        <v>0</v>
      </c>
      <c r="K1552">
        <v>0</v>
      </c>
      <c r="L1552">
        <v>0</v>
      </c>
      <c r="M1552">
        <v>599</v>
      </c>
    </row>
    <row r="1553" spans="1:13" ht="15">
      <c r="A1553" t="s">
        <v>3604</v>
      </c>
      <c r="B1553" s="1040" t="str">
        <f>CONCATENATE(LEFT(RIGHT(CONCATENATE("000",IFAData_TEA_1819!A1553),6),3),"-",(RIGHT(RIGHT(CONCATENATE("000",IFAData_TEA_1819!A1553),6),3)))</f>
        <v>126-911</v>
      </c>
      <c r="C1553" t="s">
        <v>2322</v>
      </c>
      <c r="D1553">
        <v>1</v>
      </c>
      <c r="E1553">
        <v>1847</v>
      </c>
      <c r="F1553" t="s">
        <v>5082</v>
      </c>
      <c r="G1553" t="s">
        <v>6284</v>
      </c>
      <c r="H1553">
        <v>212707</v>
      </c>
      <c r="I1553">
        <v>197748</v>
      </c>
      <c r="J1553">
        <v>1</v>
      </c>
      <c r="K1553">
        <v>212707</v>
      </c>
      <c r="L1553">
        <v>197748</v>
      </c>
      <c r="M1553">
        <v>599</v>
      </c>
    </row>
    <row r="1554" spans="1:13" ht="15">
      <c r="A1554" t="s">
        <v>3604</v>
      </c>
      <c r="B1554" s="1040" t="str">
        <f>CONCATENATE(LEFT(RIGHT(CONCATENATE("000",IFAData_TEA_1819!A1554),6),3),"-",(RIGHT(RIGHT(CONCATENATE("000",IFAData_TEA_1819!A1554),6),3)))</f>
        <v>126-911</v>
      </c>
      <c r="C1554" t="s">
        <v>2322</v>
      </c>
      <c r="D1554">
        <v>4</v>
      </c>
      <c r="E1554">
        <v>1848</v>
      </c>
      <c r="F1554" t="s">
        <v>5084</v>
      </c>
      <c r="G1554" t="s">
        <v>5084</v>
      </c>
      <c r="H1554">
        <v>279766</v>
      </c>
      <c r="I1554">
        <v>0</v>
      </c>
      <c r="J1554">
        <v>0</v>
      </c>
      <c r="K1554">
        <v>0</v>
      </c>
      <c r="L1554">
        <v>0</v>
      </c>
      <c r="M1554">
        <v>599</v>
      </c>
    </row>
    <row r="1555" spans="1:13" ht="15">
      <c r="A1555" t="s">
        <v>3604</v>
      </c>
      <c r="B1555" s="1040" t="str">
        <f>CONCATENATE(LEFT(RIGHT(CONCATENATE("000",IFAData_TEA_1819!A1555),6),3),"-",(RIGHT(RIGHT(CONCATENATE("000",IFAData_TEA_1819!A1555),6),3)))</f>
        <v>126-911</v>
      </c>
      <c r="C1555" t="s">
        <v>2322</v>
      </c>
      <c r="D1555">
        <v>4</v>
      </c>
      <c r="E1555">
        <v>1848</v>
      </c>
      <c r="F1555" t="s">
        <v>5084</v>
      </c>
      <c r="G1555" t="s">
        <v>5083</v>
      </c>
      <c r="H1555">
        <v>279766</v>
      </c>
      <c r="I1555">
        <v>0</v>
      </c>
      <c r="J1555">
        <v>0</v>
      </c>
      <c r="K1555">
        <v>0</v>
      </c>
      <c r="L1555">
        <v>0</v>
      </c>
      <c r="M1555">
        <v>599</v>
      </c>
    </row>
    <row r="1556" spans="1:13" ht="15">
      <c r="A1556" t="s">
        <v>3604</v>
      </c>
      <c r="B1556" s="1040" t="str">
        <f>CONCATENATE(LEFT(RIGHT(CONCATENATE("000",IFAData_TEA_1819!A1556),6),3),"-",(RIGHT(RIGHT(CONCATENATE("000",IFAData_TEA_1819!A1556),6),3)))</f>
        <v>126-911</v>
      </c>
      <c r="C1556" t="s">
        <v>2322</v>
      </c>
      <c r="D1556">
        <v>4</v>
      </c>
      <c r="E1556">
        <v>1848</v>
      </c>
      <c r="F1556" t="s">
        <v>5084</v>
      </c>
      <c r="G1556" t="s">
        <v>6284</v>
      </c>
      <c r="H1556">
        <v>279766</v>
      </c>
      <c r="I1556">
        <v>251764</v>
      </c>
      <c r="J1556">
        <v>1</v>
      </c>
      <c r="K1556">
        <v>279766</v>
      </c>
      <c r="L1556">
        <v>251764</v>
      </c>
      <c r="M1556">
        <v>599</v>
      </c>
    </row>
    <row r="1557" spans="1:13" ht="15">
      <c r="A1557" t="s">
        <v>3605</v>
      </c>
      <c r="B1557" s="1040" t="str">
        <f>CONCATENATE(LEFT(RIGHT(CONCATENATE("000",IFAData_TEA_1819!A1557),6),3),"-",(RIGHT(RIGHT(CONCATENATE("000",IFAData_TEA_1819!A1557),6),3)))</f>
        <v>127-905</v>
      </c>
      <c r="C1557" t="s">
        <v>144</v>
      </c>
      <c r="D1557">
        <v>6</v>
      </c>
      <c r="E1557">
        <v>2042</v>
      </c>
      <c r="F1557" t="s">
        <v>5085</v>
      </c>
      <c r="G1557" t="s">
        <v>5085</v>
      </c>
      <c r="H1557">
        <v>100000</v>
      </c>
      <c r="I1557">
        <v>0</v>
      </c>
      <c r="J1557">
        <v>0</v>
      </c>
      <c r="K1557">
        <v>0</v>
      </c>
      <c r="L1557">
        <v>0</v>
      </c>
      <c r="M1557">
        <v>599</v>
      </c>
    </row>
    <row r="1558" spans="1:13" ht="15">
      <c r="A1558" t="s">
        <v>3605</v>
      </c>
      <c r="B1558" s="1040" t="str">
        <f>CONCATENATE(LEFT(RIGHT(CONCATENATE("000",IFAData_TEA_1819!A1558),6),3),"-",(RIGHT(RIGHT(CONCATENATE("000",IFAData_TEA_1819!A1558),6),3)))</f>
        <v>127-905</v>
      </c>
      <c r="C1558" t="s">
        <v>144</v>
      </c>
      <c r="D1558">
        <v>6</v>
      </c>
      <c r="E1558">
        <v>2042</v>
      </c>
      <c r="F1558" t="s">
        <v>5085</v>
      </c>
      <c r="G1558" t="s">
        <v>5086</v>
      </c>
      <c r="H1558">
        <v>100000</v>
      </c>
      <c r="I1558">
        <v>91400</v>
      </c>
      <c r="J1558">
        <v>1</v>
      </c>
      <c r="K1558">
        <v>100000</v>
      </c>
      <c r="L1558">
        <v>91400</v>
      </c>
      <c r="M1558">
        <v>599</v>
      </c>
    </row>
    <row r="1559" spans="1:13" ht="15">
      <c r="A1559" t="s">
        <v>3606</v>
      </c>
      <c r="B1559" s="1040" t="str">
        <f>CONCATENATE(LEFT(RIGHT(CONCATENATE("000",IFAData_TEA_1819!A1559),6),3),"-",(RIGHT(RIGHT(CONCATENATE("000",IFAData_TEA_1819!A1559),6),3)))</f>
        <v>127-906</v>
      </c>
      <c r="C1559" t="s">
        <v>1939</v>
      </c>
      <c r="D1559">
        <v>5</v>
      </c>
      <c r="E1559">
        <v>2382</v>
      </c>
      <c r="F1559" t="s">
        <v>5087</v>
      </c>
      <c r="G1559" t="s">
        <v>5087</v>
      </c>
      <c r="H1559">
        <v>187854</v>
      </c>
      <c r="I1559">
        <v>0</v>
      </c>
      <c r="J1559">
        <v>0</v>
      </c>
      <c r="K1559">
        <v>0</v>
      </c>
      <c r="L1559">
        <v>0</v>
      </c>
      <c r="M1559">
        <v>599</v>
      </c>
    </row>
    <row r="1560" spans="1:13" ht="15">
      <c r="A1560" t="s">
        <v>3606</v>
      </c>
      <c r="B1560" s="1040" t="str">
        <f>CONCATENATE(LEFT(RIGHT(CONCATENATE("000",IFAData_TEA_1819!A1560),6),3),"-",(RIGHT(RIGHT(CONCATENATE("000",IFAData_TEA_1819!A1560),6),3)))</f>
        <v>127-906</v>
      </c>
      <c r="C1560" t="s">
        <v>1939</v>
      </c>
      <c r="D1560">
        <v>5</v>
      </c>
      <c r="E1560">
        <v>2382</v>
      </c>
      <c r="F1560" t="s">
        <v>5087</v>
      </c>
      <c r="G1560" t="s">
        <v>5088</v>
      </c>
      <c r="H1560">
        <v>187854</v>
      </c>
      <c r="I1560">
        <v>0</v>
      </c>
      <c r="J1560">
        <v>0</v>
      </c>
      <c r="K1560">
        <v>0</v>
      </c>
      <c r="L1560">
        <v>0</v>
      </c>
      <c r="M1560">
        <v>599</v>
      </c>
    </row>
    <row r="1561" spans="1:13" ht="15">
      <c r="A1561" t="s">
        <v>3606</v>
      </c>
      <c r="B1561" s="1040" t="str">
        <f>CONCATENATE(LEFT(RIGHT(CONCATENATE("000",IFAData_TEA_1819!A1561),6),3),"-",(RIGHT(RIGHT(CONCATENATE("000",IFAData_TEA_1819!A1561),6),3)))</f>
        <v>127-906</v>
      </c>
      <c r="C1561" t="s">
        <v>1939</v>
      </c>
      <c r="D1561">
        <v>5</v>
      </c>
      <c r="E1561">
        <v>2382</v>
      </c>
      <c r="F1561" t="s">
        <v>5087</v>
      </c>
      <c r="G1561" t="s">
        <v>6491</v>
      </c>
      <c r="H1561">
        <v>187854</v>
      </c>
      <c r="I1561">
        <v>148050</v>
      </c>
      <c r="J1561">
        <v>1</v>
      </c>
      <c r="K1561">
        <v>187854</v>
      </c>
      <c r="L1561">
        <v>148050</v>
      </c>
      <c r="M1561">
        <v>599</v>
      </c>
    </row>
    <row r="1562" spans="1:13" ht="15">
      <c r="A1562" t="s">
        <v>3606</v>
      </c>
      <c r="B1562" s="1040" t="str">
        <f>CONCATENATE(LEFT(RIGHT(CONCATENATE("000",IFAData_TEA_1819!A1562),6),3),"-",(RIGHT(RIGHT(CONCATENATE("000",IFAData_TEA_1819!A1562),6),3)))</f>
        <v>127-906</v>
      </c>
      <c r="C1562" t="s">
        <v>1939</v>
      </c>
      <c r="D1562">
        <v>10</v>
      </c>
      <c r="E1562">
        <v>2381</v>
      </c>
      <c r="F1562" t="s">
        <v>5089</v>
      </c>
      <c r="G1562" t="s">
        <v>5089</v>
      </c>
      <c r="H1562">
        <v>143981</v>
      </c>
      <c r="I1562">
        <v>167737</v>
      </c>
      <c r="J1562">
        <v>0.41798509340915402</v>
      </c>
      <c r="K1562">
        <v>60181.911734143403</v>
      </c>
      <c r="L1562">
        <v>60181.911734143403</v>
      </c>
      <c r="M1562">
        <v>599</v>
      </c>
    </row>
    <row r="1563" spans="1:13" ht="15">
      <c r="A1563" t="s">
        <v>3606</v>
      </c>
      <c r="B1563" s="1040" t="str">
        <f>CONCATENATE(LEFT(RIGHT(CONCATENATE("000",IFAData_TEA_1819!A1563),6),3),"-",(RIGHT(RIGHT(CONCATENATE("000",IFAData_TEA_1819!A1563),6),3)))</f>
        <v>127-906</v>
      </c>
      <c r="C1563" t="s">
        <v>1939</v>
      </c>
      <c r="D1563">
        <v>10</v>
      </c>
      <c r="E1563">
        <v>2381</v>
      </c>
      <c r="F1563" t="s">
        <v>5089</v>
      </c>
      <c r="G1563" t="s">
        <v>6491</v>
      </c>
      <c r="H1563">
        <v>143981</v>
      </c>
      <c r="I1563">
        <v>233562</v>
      </c>
      <c r="J1563">
        <v>0.58201490659084598</v>
      </c>
      <c r="K1563">
        <v>83799.088265856597</v>
      </c>
      <c r="L1563">
        <v>83799.088265856597</v>
      </c>
      <c r="M1563">
        <v>599</v>
      </c>
    </row>
    <row r="1564" spans="1:13" ht="15">
      <c r="A1564" t="s">
        <v>5090</v>
      </c>
      <c r="B1564" s="1040" t="str">
        <f>CONCATENATE(LEFT(RIGHT(CONCATENATE("000",IFAData_TEA_1819!A1564),6),3),"-",(RIGHT(RIGHT(CONCATENATE("000",IFAData_TEA_1819!A1564),6),3)))</f>
        <v>128-901</v>
      </c>
      <c r="C1564" t="s">
        <v>409</v>
      </c>
      <c r="D1564">
        <v>2</v>
      </c>
      <c r="E1564">
        <v>1940</v>
      </c>
      <c r="F1564" t="s">
        <v>5091</v>
      </c>
      <c r="G1564" t="s">
        <v>5091</v>
      </c>
      <c r="H1564">
        <v>91832</v>
      </c>
      <c r="I1564">
        <v>0</v>
      </c>
      <c r="J1564">
        <v>0</v>
      </c>
      <c r="K1564"/>
      <c r="L1564">
        <v>0</v>
      </c>
      <c r="M1564">
        <v>599</v>
      </c>
    </row>
    <row r="1565" spans="1:13" ht="15">
      <c r="A1565" t="s">
        <v>3607</v>
      </c>
      <c r="B1565" s="1040" t="str">
        <f>CONCATENATE(LEFT(RIGHT(CONCATENATE("000",IFAData_TEA_1819!A1565),6),3),"-",(RIGHT(RIGHT(CONCATENATE("000",IFAData_TEA_1819!A1565),6),3)))</f>
        <v>128-902</v>
      </c>
      <c r="C1565" t="s">
        <v>414</v>
      </c>
      <c r="D1565">
        <v>6</v>
      </c>
      <c r="E1565">
        <v>1954</v>
      </c>
      <c r="F1565" t="s">
        <v>5092</v>
      </c>
      <c r="G1565" t="s">
        <v>5092</v>
      </c>
      <c r="H1565">
        <v>195337</v>
      </c>
      <c r="I1565">
        <v>0</v>
      </c>
      <c r="J1565">
        <v>0</v>
      </c>
      <c r="K1565">
        <v>0</v>
      </c>
      <c r="L1565">
        <v>0</v>
      </c>
      <c r="M1565">
        <v>599</v>
      </c>
    </row>
    <row r="1566" spans="1:13" ht="15">
      <c r="A1566" t="s">
        <v>3607</v>
      </c>
      <c r="B1566" s="1040" t="str">
        <f>CONCATENATE(LEFT(RIGHT(CONCATENATE("000",IFAData_TEA_1819!A1566),6),3),"-",(RIGHT(RIGHT(CONCATENATE("000",IFAData_TEA_1819!A1566),6),3)))</f>
        <v>128-902</v>
      </c>
      <c r="C1566" t="s">
        <v>414</v>
      </c>
      <c r="D1566">
        <v>6</v>
      </c>
      <c r="E1566">
        <v>1954</v>
      </c>
      <c r="F1566" t="s">
        <v>5092</v>
      </c>
      <c r="G1566" t="s">
        <v>5093</v>
      </c>
      <c r="H1566">
        <v>195337</v>
      </c>
      <c r="I1566">
        <v>198675</v>
      </c>
      <c r="J1566">
        <v>1</v>
      </c>
      <c r="K1566">
        <v>195337</v>
      </c>
      <c r="L1566">
        <v>195337</v>
      </c>
      <c r="M1566">
        <v>599</v>
      </c>
    </row>
    <row r="1567" spans="1:13" ht="15">
      <c r="A1567" t="s">
        <v>3608</v>
      </c>
      <c r="B1567" s="1040" t="str">
        <f>CONCATENATE(LEFT(RIGHT(CONCATENATE("000",IFAData_TEA_1819!A1567),6),3),"-",(RIGHT(RIGHT(CONCATENATE("000",IFAData_TEA_1819!A1567),6),3)))</f>
        <v>128-904</v>
      </c>
      <c r="C1567" t="s">
        <v>893</v>
      </c>
      <c r="D1567">
        <v>3</v>
      </c>
      <c r="E1567">
        <v>1809</v>
      </c>
      <c r="F1567" t="s">
        <v>5094</v>
      </c>
      <c r="G1567" t="s">
        <v>5094</v>
      </c>
      <c r="H1567">
        <v>114000</v>
      </c>
      <c r="I1567">
        <v>0</v>
      </c>
      <c r="J1567">
        <v>0</v>
      </c>
      <c r="K1567"/>
      <c r="L1567">
        <v>0</v>
      </c>
      <c r="M1567">
        <v>199</v>
      </c>
    </row>
    <row r="1568" spans="1:13" ht="15">
      <c r="A1568" t="s">
        <v>3608</v>
      </c>
      <c r="B1568" s="1040" t="str">
        <f>CONCATENATE(LEFT(RIGHT(CONCATENATE("000",IFAData_TEA_1819!A1568),6),3),"-",(RIGHT(RIGHT(CONCATENATE("000",IFAData_TEA_1819!A1568),6),3)))</f>
        <v>128-904</v>
      </c>
      <c r="C1568" t="s">
        <v>893</v>
      </c>
      <c r="D1568">
        <v>5</v>
      </c>
      <c r="E1568">
        <v>1808</v>
      </c>
      <c r="F1568" t="s">
        <v>5095</v>
      </c>
      <c r="G1568" t="s">
        <v>5095</v>
      </c>
      <c r="H1568">
        <v>95588</v>
      </c>
      <c r="I1568">
        <v>0</v>
      </c>
      <c r="J1568">
        <v>0</v>
      </c>
      <c r="K1568">
        <v>0</v>
      </c>
      <c r="L1568">
        <v>0</v>
      </c>
      <c r="M1568">
        <v>199</v>
      </c>
    </row>
    <row r="1569" spans="1:13" ht="15">
      <c r="A1569" t="s">
        <v>3608</v>
      </c>
      <c r="B1569" s="1040" t="str">
        <f>CONCATENATE(LEFT(RIGHT(CONCATENATE("000",IFAData_TEA_1819!A1569),6),3),"-",(RIGHT(RIGHT(CONCATENATE("000",IFAData_TEA_1819!A1569),6),3)))</f>
        <v>128-904</v>
      </c>
      <c r="C1569" t="s">
        <v>893</v>
      </c>
      <c r="D1569">
        <v>5</v>
      </c>
      <c r="E1569">
        <v>1808</v>
      </c>
      <c r="F1569" t="s">
        <v>5095</v>
      </c>
      <c r="G1569" t="s">
        <v>5096</v>
      </c>
      <c r="H1569">
        <v>95588</v>
      </c>
      <c r="I1569">
        <v>0</v>
      </c>
      <c r="J1569">
        <v>0</v>
      </c>
      <c r="K1569">
        <v>0</v>
      </c>
      <c r="L1569">
        <v>0</v>
      </c>
      <c r="M1569">
        <v>599</v>
      </c>
    </row>
    <row r="1570" spans="1:13" ht="15">
      <c r="A1570" t="s">
        <v>3608</v>
      </c>
      <c r="B1570" s="1040" t="str">
        <f>CONCATENATE(LEFT(RIGHT(CONCATENATE("000",IFAData_TEA_1819!A1570),6),3),"-",(RIGHT(RIGHT(CONCATENATE("000",IFAData_TEA_1819!A1570),6),3)))</f>
        <v>128-904</v>
      </c>
      <c r="C1570" t="s">
        <v>893</v>
      </c>
      <c r="D1570">
        <v>5</v>
      </c>
      <c r="E1570">
        <v>1808</v>
      </c>
      <c r="F1570" t="s">
        <v>5095</v>
      </c>
      <c r="G1570" t="s">
        <v>5097</v>
      </c>
      <c r="H1570">
        <v>95588</v>
      </c>
      <c r="I1570">
        <v>42979</v>
      </c>
      <c r="J1570">
        <v>1</v>
      </c>
      <c r="K1570">
        <v>95588</v>
      </c>
      <c r="L1570">
        <v>42979</v>
      </c>
      <c r="M1570">
        <v>599</v>
      </c>
    </row>
    <row r="1571" spans="1:13" ht="15">
      <c r="A1571" t="s">
        <v>3608</v>
      </c>
      <c r="B1571" s="1040" t="str">
        <f>CONCATENATE(LEFT(RIGHT(CONCATENATE("000",IFAData_TEA_1819!A1571),6),3),"-",(RIGHT(RIGHT(CONCATENATE("000",IFAData_TEA_1819!A1571),6),3)))</f>
        <v>128-904</v>
      </c>
      <c r="C1571" t="s">
        <v>893</v>
      </c>
      <c r="D1571">
        <v>5</v>
      </c>
      <c r="E1571">
        <v>1808</v>
      </c>
      <c r="F1571" t="s">
        <v>5095</v>
      </c>
      <c r="G1571" t="s">
        <v>5098</v>
      </c>
      <c r="H1571">
        <v>95588</v>
      </c>
      <c r="I1571">
        <v>0</v>
      </c>
      <c r="J1571">
        <v>0</v>
      </c>
      <c r="K1571">
        <v>0</v>
      </c>
      <c r="L1571">
        <v>0</v>
      </c>
      <c r="M1571">
        <v>599</v>
      </c>
    </row>
    <row r="1572" spans="1:13" ht="15">
      <c r="A1572" t="s">
        <v>3609</v>
      </c>
      <c r="B1572" s="1040" t="str">
        <f>CONCATENATE(LEFT(RIGHT(CONCATENATE("000",IFAData_TEA_1819!A1572),6),3),"-",(RIGHT(RIGHT(CONCATENATE("000",IFAData_TEA_1819!A1572),6),3)))</f>
        <v>129-901</v>
      </c>
      <c r="C1572" t="s">
        <v>416</v>
      </c>
      <c r="D1572">
        <v>2</v>
      </c>
      <c r="E1572">
        <v>1728</v>
      </c>
      <c r="F1572" t="s">
        <v>5099</v>
      </c>
      <c r="G1572" t="s">
        <v>5099</v>
      </c>
      <c r="H1572">
        <v>347484</v>
      </c>
      <c r="I1572">
        <v>0</v>
      </c>
      <c r="J1572">
        <v>0</v>
      </c>
      <c r="K1572">
        <v>0</v>
      </c>
      <c r="L1572">
        <v>0</v>
      </c>
      <c r="M1572">
        <v>599</v>
      </c>
    </row>
    <row r="1573" spans="1:13" ht="15">
      <c r="A1573" t="s">
        <v>3609</v>
      </c>
      <c r="B1573" s="1040" t="str">
        <f>CONCATENATE(LEFT(RIGHT(CONCATENATE("000",IFAData_TEA_1819!A1573),6),3),"-",(RIGHT(RIGHT(CONCATENATE("000",IFAData_TEA_1819!A1573),6),3)))</f>
        <v>129-901</v>
      </c>
      <c r="C1573" t="s">
        <v>416</v>
      </c>
      <c r="D1573">
        <v>2</v>
      </c>
      <c r="E1573">
        <v>1728</v>
      </c>
      <c r="F1573" t="s">
        <v>5099</v>
      </c>
      <c r="G1573" t="s">
        <v>5100</v>
      </c>
      <c r="H1573">
        <v>347484</v>
      </c>
      <c r="I1573">
        <v>0</v>
      </c>
      <c r="J1573">
        <v>0</v>
      </c>
      <c r="K1573">
        <v>0</v>
      </c>
      <c r="L1573">
        <v>0</v>
      </c>
      <c r="M1573">
        <v>599</v>
      </c>
    </row>
    <row r="1574" spans="1:13" ht="15">
      <c r="A1574" t="s">
        <v>3609</v>
      </c>
      <c r="B1574" s="1040" t="str">
        <f>CONCATENATE(LEFT(RIGHT(CONCATENATE("000",IFAData_TEA_1819!A1574),6),3),"-",(RIGHT(RIGHT(CONCATENATE("000",IFAData_TEA_1819!A1574),6),3)))</f>
        <v>129-901</v>
      </c>
      <c r="C1574" t="s">
        <v>416</v>
      </c>
      <c r="D1574">
        <v>2</v>
      </c>
      <c r="E1574">
        <v>1728</v>
      </c>
      <c r="F1574" t="s">
        <v>5099</v>
      </c>
      <c r="G1574" t="s">
        <v>5101</v>
      </c>
      <c r="H1574">
        <v>347484</v>
      </c>
      <c r="I1574">
        <v>315417</v>
      </c>
      <c r="J1574">
        <v>1</v>
      </c>
      <c r="K1574">
        <v>347484</v>
      </c>
      <c r="L1574">
        <v>315417</v>
      </c>
      <c r="M1574">
        <v>599</v>
      </c>
    </row>
    <row r="1575" spans="1:13" ht="15">
      <c r="A1575" t="s">
        <v>3609</v>
      </c>
      <c r="B1575" s="1040" t="str">
        <f>CONCATENATE(LEFT(RIGHT(CONCATENATE("000",IFAData_TEA_1819!A1575),6),3),"-",(RIGHT(RIGHT(CONCATENATE("000",IFAData_TEA_1819!A1575),6),3)))</f>
        <v>129-901</v>
      </c>
      <c r="C1575" t="s">
        <v>416</v>
      </c>
      <c r="D1575">
        <v>6</v>
      </c>
      <c r="E1575">
        <v>1729</v>
      </c>
      <c r="F1575" t="s">
        <v>5102</v>
      </c>
      <c r="G1575" t="s">
        <v>5102</v>
      </c>
      <c r="H1575">
        <v>483733</v>
      </c>
      <c r="I1575">
        <v>2004867</v>
      </c>
      <c r="J1575">
        <v>1</v>
      </c>
      <c r="K1575">
        <v>483733</v>
      </c>
      <c r="L1575">
        <v>483733</v>
      </c>
      <c r="M1575">
        <v>599</v>
      </c>
    </row>
    <row r="1576" spans="1:13" ht="15">
      <c r="A1576" t="s">
        <v>3609</v>
      </c>
      <c r="B1576" s="1040" t="str">
        <f>CONCATENATE(LEFT(RIGHT(CONCATENATE("000",IFAData_TEA_1819!A1576),6),3),"-",(RIGHT(RIGHT(CONCATENATE("000",IFAData_TEA_1819!A1576),6),3)))</f>
        <v>129-901</v>
      </c>
      <c r="C1576" t="s">
        <v>416</v>
      </c>
      <c r="D1576">
        <v>6</v>
      </c>
      <c r="E1576">
        <v>1729</v>
      </c>
      <c r="F1576" t="s">
        <v>5102</v>
      </c>
      <c r="G1576" t="s">
        <v>5103</v>
      </c>
      <c r="H1576">
        <v>483733</v>
      </c>
      <c r="I1576">
        <v>0</v>
      </c>
      <c r="J1576">
        <v>0</v>
      </c>
      <c r="K1576">
        <v>0</v>
      </c>
      <c r="L1576">
        <v>0</v>
      </c>
      <c r="M1576">
        <v>599</v>
      </c>
    </row>
    <row r="1577" spans="1:13" ht="15">
      <c r="A1577" t="s">
        <v>3609</v>
      </c>
      <c r="B1577" s="1040" t="str">
        <f>CONCATENATE(LEFT(RIGHT(CONCATENATE("000",IFAData_TEA_1819!A1577),6),3),"-",(RIGHT(RIGHT(CONCATENATE("000",IFAData_TEA_1819!A1577),6),3)))</f>
        <v>129-901</v>
      </c>
      <c r="C1577" t="s">
        <v>416</v>
      </c>
      <c r="D1577">
        <v>6</v>
      </c>
      <c r="E1577">
        <v>1729</v>
      </c>
      <c r="F1577" t="s">
        <v>5102</v>
      </c>
      <c r="G1577" t="s">
        <v>8430</v>
      </c>
      <c r="H1577">
        <v>483733</v>
      </c>
      <c r="I1577">
        <v>0</v>
      </c>
      <c r="J1577">
        <v>0</v>
      </c>
      <c r="K1577">
        <v>0</v>
      </c>
      <c r="L1577">
        <v>0</v>
      </c>
      <c r="M1577">
        <v>599</v>
      </c>
    </row>
    <row r="1578" spans="1:13" ht="15">
      <c r="A1578" t="s">
        <v>3609</v>
      </c>
      <c r="B1578" s="1040" t="str">
        <f>CONCATENATE(LEFT(RIGHT(CONCATENATE("000",IFAData_TEA_1819!A1578),6),3),"-",(RIGHT(RIGHT(CONCATENATE("000",IFAData_TEA_1819!A1578),6),3)))</f>
        <v>129-901</v>
      </c>
      <c r="C1578" t="s">
        <v>416</v>
      </c>
      <c r="D1578">
        <v>9</v>
      </c>
      <c r="E1578">
        <v>1730</v>
      </c>
      <c r="F1578" t="s">
        <v>5104</v>
      </c>
      <c r="G1578" t="s">
        <v>5104</v>
      </c>
      <c r="H1578">
        <v>538407</v>
      </c>
      <c r="I1578">
        <v>84000</v>
      </c>
      <c r="J1578">
        <v>0.13525263259588399</v>
      </c>
      <c r="K1578">
        <v>72820.964158052404</v>
      </c>
      <c r="L1578">
        <v>72820.964158052404</v>
      </c>
      <c r="M1578">
        <v>599</v>
      </c>
    </row>
    <row r="1579" spans="1:13" ht="15">
      <c r="A1579" t="s">
        <v>3609</v>
      </c>
      <c r="B1579" s="1040" t="str">
        <f>CONCATENATE(LEFT(RIGHT(CONCATENATE("000",IFAData_TEA_1819!A1579),6),3),"-",(RIGHT(RIGHT(CONCATENATE("000",IFAData_TEA_1819!A1579),6),3)))</f>
        <v>129-901</v>
      </c>
      <c r="C1579" t="s">
        <v>416</v>
      </c>
      <c r="D1579">
        <v>9</v>
      </c>
      <c r="E1579">
        <v>1730</v>
      </c>
      <c r="F1579" t="s">
        <v>5104</v>
      </c>
      <c r="G1579" t="s">
        <v>6492</v>
      </c>
      <c r="H1579">
        <v>538407</v>
      </c>
      <c r="I1579">
        <v>281080</v>
      </c>
      <c r="J1579">
        <v>0.45258107107203799</v>
      </c>
      <c r="K1579">
        <v>243672.81673268299</v>
      </c>
      <c r="L1579">
        <v>243672.81673268299</v>
      </c>
      <c r="M1579">
        <v>599</v>
      </c>
    </row>
    <row r="1580" spans="1:13" ht="15">
      <c r="A1580" t="s">
        <v>3609</v>
      </c>
      <c r="B1580" s="1040" t="str">
        <f>CONCATENATE(LEFT(RIGHT(CONCATENATE("000",IFAData_TEA_1819!A1580),6),3),"-",(RIGHT(RIGHT(CONCATENATE("000",IFAData_TEA_1819!A1580),6),3)))</f>
        <v>129-901</v>
      </c>
      <c r="C1580" t="s">
        <v>416</v>
      </c>
      <c r="D1580">
        <v>9</v>
      </c>
      <c r="E1580">
        <v>1730</v>
      </c>
      <c r="F1580" t="s">
        <v>5104</v>
      </c>
      <c r="G1580" t="s">
        <v>6493</v>
      </c>
      <c r="H1580">
        <v>538407</v>
      </c>
      <c r="I1580">
        <v>255980</v>
      </c>
      <c r="J1580">
        <v>0.41216629633207702</v>
      </c>
      <c r="K1580">
        <v>221913.21910926499</v>
      </c>
      <c r="L1580">
        <v>221913.21910926499</v>
      </c>
      <c r="M1580">
        <v>599</v>
      </c>
    </row>
    <row r="1581" spans="1:13" ht="15">
      <c r="A1581" t="s">
        <v>3609</v>
      </c>
      <c r="B1581" s="1040" t="str">
        <f>CONCATENATE(LEFT(RIGHT(CONCATENATE("000",IFAData_TEA_1819!A1581),6),3),"-",(RIGHT(RIGHT(CONCATENATE("000",IFAData_TEA_1819!A1581),6),3)))</f>
        <v>129-901</v>
      </c>
      <c r="C1581" t="s">
        <v>416</v>
      </c>
      <c r="D1581">
        <v>11</v>
      </c>
      <c r="E1581">
        <v>2484</v>
      </c>
      <c r="F1581" t="s">
        <v>8431</v>
      </c>
      <c r="G1581" t="s">
        <v>8431</v>
      </c>
      <c r="H1581">
        <v>224250</v>
      </c>
      <c r="I1581">
        <v>0</v>
      </c>
      <c r="J1581">
        <v>0</v>
      </c>
      <c r="K1581">
        <v>0</v>
      </c>
      <c r="L1581">
        <v>0</v>
      </c>
      <c r="M1581">
        <v>599</v>
      </c>
    </row>
    <row r="1582" spans="1:13" ht="15">
      <c r="A1582" t="s">
        <v>3609</v>
      </c>
      <c r="B1582" s="1040" t="str">
        <f>CONCATENATE(LEFT(RIGHT(CONCATENATE("000",IFAData_TEA_1819!A1582),6),3),"-",(RIGHT(RIGHT(CONCATENATE("000",IFAData_TEA_1819!A1582),6),3)))</f>
        <v>129-901</v>
      </c>
      <c r="C1582" t="s">
        <v>416</v>
      </c>
      <c r="D1582">
        <v>11</v>
      </c>
      <c r="E1582">
        <v>2484</v>
      </c>
      <c r="F1582" t="s">
        <v>8431</v>
      </c>
      <c r="G1582" t="s">
        <v>8430</v>
      </c>
      <c r="H1582">
        <v>224250</v>
      </c>
      <c r="I1582">
        <v>218091</v>
      </c>
      <c r="J1582">
        <v>1</v>
      </c>
      <c r="K1582">
        <v>224250</v>
      </c>
      <c r="L1582">
        <v>218091</v>
      </c>
      <c r="M1582">
        <v>599</v>
      </c>
    </row>
    <row r="1583" spans="1:13" ht="15">
      <c r="A1583" t="s">
        <v>3609</v>
      </c>
      <c r="B1583" s="1040" t="str">
        <f>CONCATENATE(LEFT(RIGHT(CONCATENATE("000",IFAData_TEA_1819!A1583),6),3),"-",(RIGHT(RIGHT(CONCATENATE("000",IFAData_TEA_1819!A1583),6),3)))</f>
        <v>129-901</v>
      </c>
      <c r="C1583" t="s">
        <v>416</v>
      </c>
      <c r="D1583">
        <v>11</v>
      </c>
      <c r="E1583">
        <v>2485</v>
      </c>
      <c r="F1583" t="s">
        <v>8432</v>
      </c>
      <c r="G1583" t="s">
        <v>8432</v>
      </c>
      <c r="H1583">
        <v>598147</v>
      </c>
      <c r="I1583">
        <v>810500</v>
      </c>
      <c r="J1583">
        <v>1</v>
      </c>
      <c r="K1583">
        <v>598147</v>
      </c>
      <c r="L1583">
        <v>598147</v>
      </c>
      <c r="M1583">
        <v>599</v>
      </c>
    </row>
    <row r="1584" spans="1:13" ht="15">
      <c r="A1584" t="s">
        <v>3610</v>
      </c>
      <c r="B1584" s="1040" t="str">
        <f>CONCATENATE(LEFT(RIGHT(CONCATENATE("000",IFAData_TEA_1819!A1584),6),3),"-",(RIGHT(RIGHT(CONCATENATE("000",IFAData_TEA_1819!A1584),6),3)))</f>
        <v>129-902</v>
      </c>
      <c r="C1584" t="s">
        <v>111</v>
      </c>
      <c r="D1584">
        <v>1</v>
      </c>
      <c r="E1584">
        <v>1817</v>
      </c>
      <c r="F1584" t="s">
        <v>5105</v>
      </c>
      <c r="G1584" t="s">
        <v>5105</v>
      </c>
      <c r="H1584">
        <v>553750</v>
      </c>
      <c r="I1584">
        <v>0</v>
      </c>
      <c r="J1584">
        <v>0</v>
      </c>
      <c r="K1584"/>
      <c r="L1584">
        <v>0</v>
      </c>
      <c r="M1584">
        <v>599</v>
      </c>
    </row>
    <row r="1585" spans="1:13" ht="15">
      <c r="A1585" t="s">
        <v>3610</v>
      </c>
      <c r="B1585" s="1040" t="str">
        <f>CONCATENATE(LEFT(RIGHT(CONCATENATE("000",IFAData_TEA_1819!A1585),6),3),"-",(RIGHT(RIGHT(CONCATENATE("000",IFAData_TEA_1819!A1585),6),3)))</f>
        <v>129-902</v>
      </c>
      <c r="C1585" t="s">
        <v>111</v>
      </c>
      <c r="D1585">
        <v>9</v>
      </c>
      <c r="E1585">
        <v>1818</v>
      </c>
      <c r="F1585" t="s">
        <v>5109</v>
      </c>
      <c r="G1585" t="s">
        <v>5109</v>
      </c>
      <c r="H1585">
        <v>1954750</v>
      </c>
      <c r="I1585">
        <v>1930250</v>
      </c>
      <c r="J1585">
        <v>0.62261770708308495</v>
      </c>
      <c r="K1585">
        <v>1217061.9629206599</v>
      </c>
      <c r="L1585">
        <v>1217061.9629206599</v>
      </c>
      <c r="M1585">
        <v>599</v>
      </c>
    </row>
    <row r="1586" spans="1:13" ht="15">
      <c r="A1586" t="s">
        <v>3610</v>
      </c>
      <c r="B1586" s="1040" t="str">
        <f>CONCATENATE(LEFT(RIGHT(CONCATENATE("000",IFAData_TEA_1819!A1586),6),3),"-",(RIGHT(RIGHT(CONCATENATE("000",IFAData_TEA_1819!A1586),6),3)))</f>
        <v>129-902</v>
      </c>
      <c r="C1586" t="s">
        <v>111</v>
      </c>
      <c r="D1586">
        <v>9</v>
      </c>
      <c r="E1586">
        <v>1818</v>
      </c>
      <c r="F1586" t="s">
        <v>5109</v>
      </c>
      <c r="G1586" t="s">
        <v>6285</v>
      </c>
      <c r="H1586">
        <v>1954750</v>
      </c>
      <c r="I1586">
        <v>0</v>
      </c>
      <c r="J1586">
        <v>0</v>
      </c>
      <c r="K1586">
        <v>0</v>
      </c>
      <c r="L1586">
        <v>0</v>
      </c>
      <c r="M1586">
        <v>599</v>
      </c>
    </row>
    <row r="1587" spans="1:13" ht="15">
      <c r="A1587" t="s">
        <v>3610</v>
      </c>
      <c r="B1587" s="1040" t="str">
        <f>CONCATENATE(LEFT(RIGHT(CONCATENATE("000",IFAData_TEA_1819!A1587),6),3),"-",(RIGHT(RIGHT(CONCATENATE("000",IFAData_TEA_1819!A1587),6),3)))</f>
        <v>129-902</v>
      </c>
      <c r="C1587" t="s">
        <v>111</v>
      </c>
      <c r="D1587">
        <v>9</v>
      </c>
      <c r="E1587">
        <v>1818</v>
      </c>
      <c r="F1587" t="s">
        <v>5109</v>
      </c>
      <c r="G1587" t="s">
        <v>8433</v>
      </c>
      <c r="H1587">
        <v>1954750</v>
      </c>
      <c r="I1587">
        <v>1169967</v>
      </c>
      <c r="J1587">
        <v>0.377382292916915</v>
      </c>
      <c r="K1587">
        <v>737688.03707933996</v>
      </c>
      <c r="L1587">
        <v>737688.03707933996</v>
      </c>
      <c r="M1587">
        <v>599</v>
      </c>
    </row>
    <row r="1588" spans="1:13" ht="15">
      <c r="A1588" t="s">
        <v>3610</v>
      </c>
      <c r="B1588" s="1040" t="str">
        <f>CONCATENATE(LEFT(RIGHT(CONCATENATE("000",IFAData_TEA_1819!A1588),6),3),"-",(RIGHT(RIGHT(CONCATENATE("000",IFAData_TEA_1819!A1588),6),3)))</f>
        <v>129-902</v>
      </c>
      <c r="C1588" t="s">
        <v>111</v>
      </c>
      <c r="D1588">
        <v>10</v>
      </c>
      <c r="E1588">
        <v>1819</v>
      </c>
      <c r="F1588" t="s">
        <v>5110</v>
      </c>
      <c r="G1588" t="s">
        <v>5110</v>
      </c>
      <c r="H1588">
        <v>2007613</v>
      </c>
      <c r="I1588">
        <v>2652613</v>
      </c>
      <c r="J1588">
        <v>1</v>
      </c>
      <c r="K1588">
        <v>2007613</v>
      </c>
      <c r="L1588">
        <v>2007613</v>
      </c>
      <c r="M1588">
        <v>599</v>
      </c>
    </row>
    <row r="1589" spans="1:13" ht="15">
      <c r="A1589" t="s">
        <v>3610</v>
      </c>
      <c r="B1589" s="1040" t="str">
        <f>CONCATENATE(LEFT(RIGHT(CONCATENATE("000",IFAData_TEA_1819!A1589),6),3),"-",(RIGHT(RIGHT(CONCATENATE("000",IFAData_TEA_1819!A1589),6),3)))</f>
        <v>129-902</v>
      </c>
      <c r="C1589" t="s">
        <v>111</v>
      </c>
      <c r="D1589">
        <v>10</v>
      </c>
      <c r="E1589">
        <v>1819</v>
      </c>
      <c r="F1589" t="s">
        <v>5110</v>
      </c>
      <c r="G1589" t="s">
        <v>6285</v>
      </c>
      <c r="H1589">
        <v>2007613</v>
      </c>
      <c r="I1589">
        <v>0</v>
      </c>
      <c r="J1589">
        <v>0</v>
      </c>
      <c r="K1589">
        <v>0</v>
      </c>
      <c r="L1589">
        <v>0</v>
      </c>
      <c r="M1589">
        <v>599</v>
      </c>
    </row>
    <row r="1590" spans="1:13" ht="15">
      <c r="A1590" t="s">
        <v>3610</v>
      </c>
      <c r="B1590" s="1040" t="str">
        <f>CONCATENATE(LEFT(RIGHT(CONCATENATE("000",IFAData_TEA_1819!A1590),6),3),"-",(RIGHT(RIGHT(CONCATENATE("000",IFAData_TEA_1819!A1590),6),3)))</f>
        <v>129-902</v>
      </c>
      <c r="C1590" t="s">
        <v>111</v>
      </c>
      <c r="D1590">
        <v>10</v>
      </c>
      <c r="E1590">
        <v>1816</v>
      </c>
      <c r="F1590" t="s">
        <v>5111</v>
      </c>
      <c r="G1590" t="s">
        <v>5111</v>
      </c>
      <c r="H1590">
        <v>497282</v>
      </c>
      <c r="I1590">
        <v>812654</v>
      </c>
      <c r="J1590">
        <v>1</v>
      </c>
      <c r="K1590">
        <v>497282</v>
      </c>
      <c r="L1590">
        <v>497282</v>
      </c>
      <c r="M1590">
        <v>599</v>
      </c>
    </row>
    <row r="1591" spans="1:13" ht="15">
      <c r="A1591" t="s">
        <v>3610</v>
      </c>
      <c r="B1591" s="1040" t="str">
        <f>CONCATENATE(LEFT(RIGHT(CONCATENATE("000",IFAData_TEA_1819!A1591),6),3),"-",(RIGHT(RIGHT(CONCATENATE("000",IFAData_TEA_1819!A1591),6),3)))</f>
        <v>129-902</v>
      </c>
      <c r="C1591" t="s">
        <v>111</v>
      </c>
      <c r="D1591">
        <v>11</v>
      </c>
      <c r="E1591">
        <v>2520</v>
      </c>
      <c r="F1591" t="s">
        <v>8434</v>
      </c>
      <c r="G1591" t="s">
        <v>8434</v>
      </c>
      <c r="H1591">
        <v>175339</v>
      </c>
      <c r="I1591">
        <v>940644</v>
      </c>
      <c r="J1591">
        <v>1</v>
      </c>
      <c r="K1591">
        <v>175339</v>
      </c>
      <c r="L1591">
        <v>175339</v>
      </c>
      <c r="M1591">
        <v>599</v>
      </c>
    </row>
    <row r="1592" spans="1:13" ht="15">
      <c r="A1592" t="s">
        <v>3610</v>
      </c>
      <c r="B1592" s="1040" t="str">
        <f>CONCATENATE(LEFT(RIGHT(CONCATENATE("000",IFAData_TEA_1819!A1592),6),3),"-",(RIGHT(RIGHT(CONCATENATE("000",IFAData_TEA_1819!A1592),6),3)))</f>
        <v>129-902</v>
      </c>
      <c r="C1592" t="s">
        <v>111</v>
      </c>
      <c r="D1592">
        <v>11</v>
      </c>
      <c r="E1592">
        <v>2520</v>
      </c>
      <c r="F1592" t="s">
        <v>8434</v>
      </c>
      <c r="G1592" t="s">
        <v>8435</v>
      </c>
      <c r="H1592">
        <v>175339</v>
      </c>
      <c r="I1592">
        <v>0</v>
      </c>
      <c r="J1592">
        <v>0</v>
      </c>
      <c r="K1592">
        <v>0</v>
      </c>
      <c r="L1592">
        <v>0</v>
      </c>
      <c r="M1592">
        <v>599</v>
      </c>
    </row>
    <row r="1593" spans="1:13" ht="15">
      <c r="A1593" t="s">
        <v>3610</v>
      </c>
      <c r="B1593" s="1040" t="str">
        <f>CONCATENATE(LEFT(RIGHT(CONCATENATE("000",IFAData_TEA_1819!A1593),6),3),"-",(RIGHT(RIGHT(CONCATENATE("000",IFAData_TEA_1819!A1593),6),3)))</f>
        <v>129-902</v>
      </c>
      <c r="C1593" t="s">
        <v>111</v>
      </c>
      <c r="D1593">
        <v>11</v>
      </c>
      <c r="E1593">
        <v>2520</v>
      </c>
      <c r="F1593" t="s">
        <v>8434</v>
      </c>
      <c r="G1593" t="s">
        <v>8436</v>
      </c>
      <c r="H1593">
        <v>175339</v>
      </c>
      <c r="I1593">
        <v>0</v>
      </c>
      <c r="J1593">
        <v>0</v>
      </c>
      <c r="K1593">
        <v>0</v>
      </c>
      <c r="L1593">
        <v>0</v>
      </c>
      <c r="M1593">
        <v>599</v>
      </c>
    </row>
    <row r="1594" spans="1:13" ht="15">
      <c r="A1594" t="s">
        <v>3610</v>
      </c>
      <c r="B1594" s="1040" t="str">
        <f>CONCATENATE(LEFT(RIGHT(CONCATENATE("000",IFAData_TEA_1819!A1594),6),3),"-",(RIGHT(RIGHT(CONCATENATE("000",IFAData_TEA_1819!A1594),6),3)))</f>
        <v>129-902</v>
      </c>
      <c r="C1594" t="s">
        <v>111</v>
      </c>
      <c r="D1594">
        <v>11</v>
      </c>
      <c r="E1594">
        <v>2520</v>
      </c>
      <c r="F1594" t="s">
        <v>8434</v>
      </c>
      <c r="G1594" t="s">
        <v>8437</v>
      </c>
      <c r="H1594">
        <v>175339</v>
      </c>
      <c r="I1594">
        <v>0</v>
      </c>
      <c r="J1594">
        <v>0</v>
      </c>
      <c r="K1594">
        <v>0</v>
      </c>
      <c r="L1594">
        <v>0</v>
      </c>
      <c r="M1594">
        <v>599</v>
      </c>
    </row>
    <row r="1595" spans="1:13" ht="15">
      <c r="A1595" t="s">
        <v>3610</v>
      </c>
      <c r="B1595" s="1040" t="str">
        <f>CONCATENATE(LEFT(RIGHT(CONCATENATE("000",IFAData_TEA_1819!A1595),6),3),"-",(RIGHT(RIGHT(CONCATENATE("000",IFAData_TEA_1819!A1595),6),3)))</f>
        <v>129-902</v>
      </c>
      <c r="C1595" t="s">
        <v>111</v>
      </c>
      <c r="D1595">
        <v>11</v>
      </c>
      <c r="E1595">
        <v>2520</v>
      </c>
      <c r="F1595" t="s">
        <v>8434</v>
      </c>
      <c r="G1595" t="s">
        <v>8438</v>
      </c>
      <c r="H1595">
        <v>175339</v>
      </c>
      <c r="I1595">
        <v>0</v>
      </c>
      <c r="J1595">
        <v>0</v>
      </c>
      <c r="K1595">
        <v>0</v>
      </c>
      <c r="L1595">
        <v>0</v>
      </c>
      <c r="M1595">
        <v>599</v>
      </c>
    </row>
    <row r="1596" spans="1:13" ht="15">
      <c r="A1596" t="s">
        <v>3610</v>
      </c>
      <c r="B1596" s="1040" t="str">
        <f>CONCATENATE(LEFT(RIGHT(CONCATENATE("000",IFAData_TEA_1819!A1596),6),3),"-",(RIGHT(RIGHT(CONCATENATE("000",IFAData_TEA_1819!A1596),6),3)))</f>
        <v>129-902</v>
      </c>
      <c r="C1596" t="s">
        <v>111</v>
      </c>
      <c r="D1596">
        <v>11</v>
      </c>
      <c r="E1596">
        <v>2521</v>
      </c>
      <c r="F1596" t="s">
        <v>8439</v>
      </c>
      <c r="G1596" t="s">
        <v>8439</v>
      </c>
      <c r="H1596">
        <v>248004</v>
      </c>
      <c r="I1596">
        <v>248002</v>
      </c>
      <c r="J1596">
        <v>1</v>
      </c>
      <c r="K1596">
        <v>248004</v>
      </c>
      <c r="L1596">
        <v>248002</v>
      </c>
      <c r="M1596">
        <v>599</v>
      </c>
    </row>
    <row r="1597" spans="1:13" ht="15">
      <c r="A1597" t="s">
        <v>3611</v>
      </c>
      <c r="B1597" s="1040" t="str">
        <f>CONCATENATE(LEFT(RIGHT(CONCATENATE("000",IFAData_TEA_1819!A1597),6),3),"-",(RIGHT(RIGHT(CONCATENATE("000",IFAData_TEA_1819!A1597),6),3)))</f>
        <v>129-903</v>
      </c>
      <c r="C1597" t="s">
        <v>411</v>
      </c>
      <c r="D1597">
        <v>3</v>
      </c>
      <c r="E1597">
        <v>1947</v>
      </c>
      <c r="F1597" t="s">
        <v>5112</v>
      </c>
      <c r="G1597" t="s">
        <v>5112</v>
      </c>
      <c r="H1597">
        <v>709521</v>
      </c>
      <c r="I1597">
        <v>0</v>
      </c>
      <c r="J1597">
        <v>0</v>
      </c>
      <c r="K1597"/>
      <c r="L1597">
        <v>0</v>
      </c>
      <c r="M1597">
        <v>199</v>
      </c>
    </row>
    <row r="1598" spans="1:13" ht="15">
      <c r="A1598" t="s">
        <v>3611</v>
      </c>
      <c r="B1598" s="1040" t="str">
        <f>CONCATENATE(LEFT(RIGHT(CONCATENATE("000",IFAData_TEA_1819!A1598),6),3),"-",(RIGHT(RIGHT(CONCATENATE("000",IFAData_TEA_1819!A1598),6),3)))</f>
        <v>129-903</v>
      </c>
      <c r="C1598" t="s">
        <v>411</v>
      </c>
      <c r="D1598">
        <v>6</v>
      </c>
      <c r="E1598">
        <v>1948</v>
      </c>
      <c r="F1598" t="s">
        <v>5113</v>
      </c>
      <c r="G1598" t="s">
        <v>5113</v>
      </c>
      <c r="H1598">
        <v>812500</v>
      </c>
      <c r="I1598">
        <v>0</v>
      </c>
      <c r="J1598">
        <v>0</v>
      </c>
      <c r="K1598">
        <v>0</v>
      </c>
      <c r="L1598">
        <v>0</v>
      </c>
      <c r="M1598">
        <v>599</v>
      </c>
    </row>
    <row r="1599" spans="1:13" ht="15">
      <c r="A1599" t="s">
        <v>3611</v>
      </c>
      <c r="B1599" s="1040" t="str">
        <f>CONCATENATE(LEFT(RIGHT(CONCATENATE("000",IFAData_TEA_1819!A1599),6),3),"-",(RIGHT(RIGHT(CONCATENATE("000",IFAData_TEA_1819!A1599),6),3)))</f>
        <v>129-903</v>
      </c>
      <c r="C1599" t="s">
        <v>411</v>
      </c>
      <c r="D1599">
        <v>6</v>
      </c>
      <c r="E1599">
        <v>1948</v>
      </c>
      <c r="F1599" t="s">
        <v>5113</v>
      </c>
      <c r="G1599" t="s">
        <v>5114</v>
      </c>
      <c r="H1599">
        <v>812500</v>
      </c>
      <c r="I1599">
        <v>0</v>
      </c>
      <c r="J1599">
        <v>0</v>
      </c>
      <c r="K1599">
        <v>0</v>
      </c>
      <c r="L1599">
        <v>0</v>
      </c>
      <c r="M1599">
        <v>599</v>
      </c>
    </row>
    <row r="1600" spans="1:13" ht="15">
      <c r="A1600" t="s">
        <v>3611</v>
      </c>
      <c r="B1600" s="1040" t="str">
        <f>CONCATENATE(LEFT(RIGHT(CONCATENATE("000",IFAData_TEA_1819!A1600),6),3),"-",(RIGHT(RIGHT(CONCATENATE("000",IFAData_TEA_1819!A1600),6),3)))</f>
        <v>129-903</v>
      </c>
      <c r="C1600" t="s">
        <v>411</v>
      </c>
      <c r="D1600">
        <v>6</v>
      </c>
      <c r="E1600">
        <v>1948</v>
      </c>
      <c r="F1600" t="s">
        <v>5113</v>
      </c>
      <c r="G1600" t="s">
        <v>6286</v>
      </c>
      <c r="H1600">
        <v>812500</v>
      </c>
      <c r="I1600">
        <v>68902</v>
      </c>
      <c r="J1600">
        <v>4.8368946773941102E-2</v>
      </c>
      <c r="K1600">
        <v>39299.7692538271</v>
      </c>
      <c r="L1600">
        <v>39299.7692538271</v>
      </c>
      <c r="M1600">
        <v>599</v>
      </c>
    </row>
    <row r="1601" spans="1:13" ht="15">
      <c r="A1601" t="s">
        <v>3611</v>
      </c>
      <c r="B1601" s="1040" t="str">
        <f>CONCATENATE(LEFT(RIGHT(CONCATENATE("000",IFAData_TEA_1819!A1601),6),3),"-",(RIGHT(RIGHT(CONCATENATE("000",IFAData_TEA_1819!A1601),6),3)))</f>
        <v>129-903</v>
      </c>
      <c r="C1601" t="s">
        <v>411</v>
      </c>
      <c r="D1601">
        <v>6</v>
      </c>
      <c r="E1601">
        <v>1948</v>
      </c>
      <c r="F1601" t="s">
        <v>5113</v>
      </c>
      <c r="G1601" t="s">
        <v>6494</v>
      </c>
      <c r="H1601">
        <v>812500</v>
      </c>
      <c r="I1601">
        <v>1355607</v>
      </c>
      <c r="J1601">
        <v>0.95163105322605901</v>
      </c>
      <c r="K1601">
        <v>773200.23074617295</v>
      </c>
      <c r="L1601">
        <v>773200.23074617295</v>
      </c>
      <c r="M1601">
        <v>599</v>
      </c>
    </row>
    <row r="1602" spans="1:13" ht="15">
      <c r="A1602" t="s">
        <v>3611</v>
      </c>
      <c r="B1602" s="1040" t="str">
        <f>CONCATENATE(LEFT(RIGHT(CONCATENATE("000",IFAData_TEA_1819!A1602),6),3),"-",(RIGHT(RIGHT(CONCATENATE("000",IFAData_TEA_1819!A1602),6),3)))</f>
        <v>129-903</v>
      </c>
      <c r="C1602" t="s">
        <v>411</v>
      </c>
      <c r="D1602">
        <v>11</v>
      </c>
      <c r="E1602">
        <v>2488</v>
      </c>
      <c r="F1602" t="s">
        <v>6494</v>
      </c>
      <c r="G1602" t="s">
        <v>6494</v>
      </c>
      <c r="H1602">
        <v>895315</v>
      </c>
      <c r="I1602">
        <v>2066656</v>
      </c>
      <c r="J1602">
        <v>1</v>
      </c>
      <c r="K1602">
        <v>895315</v>
      </c>
      <c r="L1602">
        <v>895315</v>
      </c>
      <c r="M1602">
        <v>599</v>
      </c>
    </row>
    <row r="1603" spans="1:13" ht="15">
      <c r="A1603" t="s">
        <v>3612</v>
      </c>
      <c r="B1603" s="1040" t="str">
        <f>CONCATENATE(LEFT(RIGHT(CONCATENATE("000",IFAData_TEA_1819!A1603),6),3),"-",(RIGHT(RIGHT(CONCATENATE("000",IFAData_TEA_1819!A1603),6),3)))</f>
        <v>129-904</v>
      </c>
      <c r="C1603" t="s">
        <v>413</v>
      </c>
      <c r="D1603">
        <v>3</v>
      </c>
      <c r="E1603">
        <v>1953</v>
      </c>
      <c r="F1603" t="s">
        <v>5115</v>
      </c>
      <c r="G1603" t="s">
        <v>5115</v>
      </c>
      <c r="H1603">
        <v>438984</v>
      </c>
      <c r="I1603">
        <v>0</v>
      </c>
      <c r="J1603">
        <v>0</v>
      </c>
      <c r="K1603"/>
      <c r="L1603">
        <v>0</v>
      </c>
      <c r="M1603">
        <v>599</v>
      </c>
    </row>
    <row r="1604" spans="1:13" ht="15">
      <c r="A1604" t="s">
        <v>3612</v>
      </c>
      <c r="B1604" s="1040" t="str">
        <f>CONCATENATE(LEFT(RIGHT(CONCATENATE("000",IFAData_TEA_1819!A1604),6),3),"-",(RIGHT(RIGHT(CONCATENATE("000",IFAData_TEA_1819!A1604),6),3)))</f>
        <v>129-904</v>
      </c>
      <c r="C1604" t="s">
        <v>413</v>
      </c>
      <c r="D1604">
        <v>9</v>
      </c>
      <c r="E1604">
        <v>1952</v>
      </c>
      <c r="F1604" t="s">
        <v>5118</v>
      </c>
      <c r="G1604" t="s">
        <v>5118</v>
      </c>
      <c r="H1604">
        <v>395867</v>
      </c>
      <c r="I1604">
        <v>0</v>
      </c>
      <c r="J1604">
        <v>0</v>
      </c>
      <c r="K1604">
        <v>0</v>
      </c>
      <c r="L1604">
        <v>0</v>
      </c>
      <c r="M1604">
        <v>599</v>
      </c>
    </row>
    <row r="1605" spans="1:13" ht="15">
      <c r="A1605" t="s">
        <v>3612</v>
      </c>
      <c r="B1605" s="1040" t="str">
        <f>CONCATENATE(LEFT(RIGHT(CONCATENATE("000",IFAData_TEA_1819!A1605),6),3),"-",(RIGHT(RIGHT(CONCATENATE("000",IFAData_TEA_1819!A1605),6),3)))</f>
        <v>129-904</v>
      </c>
      <c r="C1605" t="s">
        <v>413</v>
      </c>
      <c r="D1605">
        <v>9</v>
      </c>
      <c r="E1605">
        <v>1952</v>
      </c>
      <c r="F1605" t="s">
        <v>5118</v>
      </c>
      <c r="G1605" t="s">
        <v>6288</v>
      </c>
      <c r="H1605">
        <v>395867</v>
      </c>
      <c r="I1605">
        <v>374387</v>
      </c>
      <c r="J1605">
        <v>0.218335831297055</v>
      </c>
      <c r="K1605">
        <v>86431.950528071495</v>
      </c>
      <c r="L1605">
        <v>86431.950528071495</v>
      </c>
      <c r="M1605">
        <v>599</v>
      </c>
    </row>
    <row r="1606" spans="1:13" ht="15">
      <c r="A1606" t="s">
        <v>3612</v>
      </c>
      <c r="B1606" s="1040" t="str">
        <f>CONCATENATE(LEFT(RIGHT(CONCATENATE("000",IFAData_TEA_1819!A1606),6),3),"-",(RIGHT(RIGHT(CONCATENATE("000",IFAData_TEA_1819!A1606),6),3)))</f>
        <v>129-904</v>
      </c>
      <c r="C1606" t="s">
        <v>413</v>
      </c>
      <c r="D1606">
        <v>9</v>
      </c>
      <c r="E1606">
        <v>1952</v>
      </c>
      <c r="F1606" t="s">
        <v>5118</v>
      </c>
      <c r="G1606" t="s">
        <v>6287</v>
      </c>
      <c r="H1606">
        <v>395867</v>
      </c>
      <c r="I1606">
        <v>313899</v>
      </c>
      <c r="J1606">
        <v>0.18306030687046901</v>
      </c>
      <c r="K1606">
        <v>72467.534499892106</v>
      </c>
      <c r="L1606">
        <v>72467.534499892106</v>
      </c>
      <c r="M1606">
        <v>599</v>
      </c>
    </row>
    <row r="1607" spans="1:13" ht="15">
      <c r="A1607" t="s">
        <v>3612</v>
      </c>
      <c r="B1607" s="1040" t="str">
        <f>CONCATENATE(LEFT(RIGHT(CONCATENATE("000",IFAData_TEA_1819!A1607),6),3),"-",(RIGHT(RIGHT(CONCATENATE("000",IFAData_TEA_1819!A1607),6),3)))</f>
        <v>129-904</v>
      </c>
      <c r="C1607" t="s">
        <v>413</v>
      </c>
      <c r="D1607">
        <v>9</v>
      </c>
      <c r="E1607">
        <v>1952</v>
      </c>
      <c r="F1607" t="s">
        <v>5118</v>
      </c>
      <c r="G1607" t="s">
        <v>6495</v>
      </c>
      <c r="H1607">
        <v>395867</v>
      </c>
      <c r="I1607">
        <v>1026444</v>
      </c>
      <c r="J1607">
        <v>0.59860386183247505</v>
      </c>
      <c r="K1607">
        <v>236967.51497203601</v>
      </c>
      <c r="L1607">
        <v>236967.51497203601</v>
      </c>
      <c r="M1607">
        <v>599</v>
      </c>
    </row>
    <row r="1608" spans="1:13" ht="15">
      <c r="A1608" t="s">
        <v>3613</v>
      </c>
      <c r="B1608" s="1040" t="str">
        <f>CONCATENATE(LEFT(RIGHT(CONCATENATE("000",IFAData_TEA_1819!A1608),6),3),"-",(RIGHT(RIGHT(CONCATENATE("000",IFAData_TEA_1819!A1608),6),3)))</f>
        <v>129-910</v>
      </c>
      <c r="C1608" t="s">
        <v>1246</v>
      </c>
      <c r="D1608">
        <v>2</v>
      </c>
      <c r="E1608">
        <v>2321</v>
      </c>
      <c r="F1608" t="s">
        <v>5119</v>
      </c>
      <c r="G1608" t="s">
        <v>5119</v>
      </c>
      <c r="H1608">
        <v>170846</v>
      </c>
      <c r="I1608">
        <v>0</v>
      </c>
      <c r="J1608">
        <v>0</v>
      </c>
      <c r="K1608"/>
      <c r="L1608">
        <v>0</v>
      </c>
      <c r="M1608">
        <v>199</v>
      </c>
    </row>
    <row r="1609" spans="1:13" ht="15">
      <c r="A1609" t="s">
        <v>3613</v>
      </c>
      <c r="B1609" s="1040" t="str">
        <f>CONCATENATE(LEFT(RIGHT(CONCATENATE("000",IFAData_TEA_1819!A1609),6),3),"-",(RIGHT(RIGHT(CONCATENATE("000",IFAData_TEA_1819!A1609),6),3)))</f>
        <v>129-910</v>
      </c>
      <c r="C1609" t="s">
        <v>1246</v>
      </c>
      <c r="D1609">
        <v>6</v>
      </c>
      <c r="E1609">
        <v>2322</v>
      </c>
      <c r="F1609" t="s">
        <v>5120</v>
      </c>
      <c r="G1609" t="s">
        <v>5120</v>
      </c>
      <c r="H1609">
        <v>186248</v>
      </c>
      <c r="I1609">
        <v>0</v>
      </c>
      <c r="J1609">
        <v>0</v>
      </c>
      <c r="K1609">
        <v>0</v>
      </c>
      <c r="L1609">
        <v>0</v>
      </c>
      <c r="M1609">
        <v>599</v>
      </c>
    </row>
    <row r="1610" spans="1:13" ht="15">
      <c r="A1610" t="s">
        <v>3613</v>
      </c>
      <c r="B1610" s="1040" t="str">
        <f>CONCATENATE(LEFT(RIGHT(CONCATENATE("000",IFAData_TEA_1819!A1610),6),3),"-",(RIGHT(RIGHT(CONCATENATE("000",IFAData_TEA_1819!A1610),6),3)))</f>
        <v>129-910</v>
      </c>
      <c r="C1610" t="s">
        <v>1246</v>
      </c>
      <c r="D1610">
        <v>6</v>
      </c>
      <c r="E1610">
        <v>2322</v>
      </c>
      <c r="F1610" t="s">
        <v>5120</v>
      </c>
      <c r="G1610" t="s">
        <v>5121</v>
      </c>
      <c r="H1610">
        <v>186248</v>
      </c>
      <c r="I1610">
        <v>0</v>
      </c>
      <c r="J1610">
        <v>0</v>
      </c>
      <c r="K1610">
        <v>0</v>
      </c>
      <c r="L1610">
        <v>0</v>
      </c>
      <c r="M1610">
        <v>599</v>
      </c>
    </row>
    <row r="1611" spans="1:13" ht="15">
      <c r="A1611" t="s">
        <v>3613</v>
      </c>
      <c r="B1611" s="1040" t="str">
        <f>CONCATENATE(LEFT(RIGHT(CONCATENATE("000",IFAData_TEA_1819!A1611),6),3),"-",(RIGHT(RIGHT(CONCATENATE("000",IFAData_TEA_1819!A1611),6),3)))</f>
        <v>129-910</v>
      </c>
      <c r="C1611" t="s">
        <v>1246</v>
      </c>
      <c r="D1611">
        <v>6</v>
      </c>
      <c r="E1611">
        <v>2322</v>
      </c>
      <c r="F1611" t="s">
        <v>5120</v>
      </c>
      <c r="G1611" t="s">
        <v>5122</v>
      </c>
      <c r="H1611">
        <v>186248</v>
      </c>
      <c r="I1611">
        <v>36173</v>
      </c>
      <c r="J1611">
        <v>7.0434684404012696E-2</v>
      </c>
      <c r="K1611">
        <v>13118.3191008786</v>
      </c>
      <c r="L1611">
        <v>13118.3191008786</v>
      </c>
      <c r="M1611">
        <v>599</v>
      </c>
    </row>
    <row r="1612" spans="1:13" ht="15">
      <c r="A1612" t="s">
        <v>3613</v>
      </c>
      <c r="B1612" s="1040" t="str">
        <f>CONCATENATE(LEFT(RIGHT(CONCATENATE("000",IFAData_TEA_1819!A1612),6),3),"-",(RIGHT(RIGHT(CONCATENATE("000",IFAData_TEA_1819!A1612),6),3)))</f>
        <v>129-910</v>
      </c>
      <c r="C1612" t="s">
        <v>1246</v>
      </c>
      <c r="D1612">
        <v>6</v>
      </c>
      <c r="E1612">
        <v>2322</v>
      </c>
      <c r="F1612" t="s">
        <v>5120</v>
      </c>
      <c r="G1612" t="s">
        <v>8440</v>
      </c>
      <c r="H1612">
        <v>186248</v>
      </c>
      <c r="I1612">
        <v>477395</v>
      </c>
      <c r="J1612">
        <v>0.92956531559598699</v>
      </c>
      <c r="K1612">
        <v>173129.68089912101</v>
      </c>
      <c r="L1612">
        <v>173129.68089912101</v>
      </c>
      <c r="M1612">
        <v>599</v>
      </c>
    </row>
    <row r="1613" spans="1:13" ht="15">
      <c r="A1613" t="s">
        <v>3614</v>
      </c>
      <c r="B1613" s="1040" t="str">
        <f>CONCATENATE(LEFT(RIGHT(CONCATENATE("000",IFAData_TEA_1819!A1613),6),3),"-",(RIGHT(RIGHT(CONCATENATE("000",IFAData_TEA_1819!A1613),6),3)))</f>
        <v>133-901</v>
      </c>
      <c r="C1613" t="s">
        <v>659</v>
      </c>
      <c r="D1613">
        <v>6</v>
      </c>
      <c r="E1613">
        <v>1674</v>
      </c>
      <c r="F1613" t="s">
        <v>5123</v>
      </c>
      <c r="G1613" t="s">
        <v>5123</v>
      </c>
      <c r="H1613">
        <v>140055</v>
      </c>
      <c r="I1613">
        <v>0</v>
      </c>
      <c r="J1613">
        <v>0</v>
      </c>
      <c r="K1613">
        <v>0</v>
      </c>
      <c r="L1613">
        <v>0</v>
      </c>
      <c r="M1613">
        <v>599</v>
      </c>
    </row>
    <row r="1614" spans="1:13" ht="15">
      <c r="A1614" t="s">
        <v>3614</v>
      </c>
      <c r="B1614" s="1040" t="str">
        <f>CONCATENATE(LEFT(RIGHT(CONCATENATE("000",IFAData_TEA_1819!A1614),6),3),"-",(RIGHT(RIGHT(CONCATENATE("000",IFAData_TEA_1819!A1614),6),3)))</f>
        <v>133-901</v>
      </c>
      <c r="C1614" t="s">
        <v>659</v>
      </c>
      <c r="D1614">
        <v>6</v>
      </c>
      <c r="E1614">
        <v>1674</v>
      </c>
      <c r="F1614" t="s">
        <v>5123</v>
      </c>
      <c r="G1614" t="s">
        <v>5124</v>
      </c>
      <c r="H1614">
        <v>140055</v>
      </c>
      <c r="I1614">
        <v>131775</v>
      </c>
      <c r="J1614">
        <v>1</v>
      </c>
      <c r="K1614">
        <v>140055</v>
      </c>
      <c r="L1614">
        <v>131775</v>
      </c>
      <c r="M1614">
        <v>599</v>
      </c>
    </row>
    <row r="1615" spans="1:13" ht="15">
      <c r="A1615" t="s">
        <v>3615</v>
      </c>
      <c r="B1615" s="1040" t="str">
        <f>CONCATENATE(LEFT(RIGHT(CONCATENATE("000",IFAData_TEA_1819!A1615),6),3),"-",(RIGHT(RIGHT(CONCATENATE("000",IFAData_TEA_1819!A1615),6),3)))</f>
        <v>137-901</v>
      </c>
      <c r="C1615" t="s">
        <v>2016</v>
      </c>
      <c r="D1615">
        <v>6</v>
      </c>
      <c r="E1615">
        <v>1961</v>
      </c>
      <c r="F1615" t="s">
        <v>5125</v>
      </c>
      <c r="G1615" t="s">
        <v>5125</v>
      </c>
      <c r="H1615">
        <v>1060285</v>
      </c>
      <c r="I1615">
        <v>0</v>
      </c>
      <c r="J1615">
        <v>0</v>
      </c>
      <c r="K1615">
        <v>0</v>
      </c>
      <c r="L1615">
        <v>0</v>
      </c>
      <c r="M1615">
        <v>599</v>
      </c>
    </row>
    <row r="1616" spans="1:13" ht="15">
      <c r="A1616" t="s">
        <v>3615</v>
      </c>
      <c r="B1616" s="1040" t="str">
        <f>CONCATENATE(LEFT(RIGHT(CONCATENATE("000",IFAData_TEA_1819!A1616),6),3),"-",(RIGHT(RIGHT(CONCATENATE("000",IFAData_TEA_1819!A1616),6),3)))</f>
        <v>137-901</v>
      </c>
      <c r="C1616" t="s">
        <v>2016</v>
      </c>
      <c r="D1616">
        <v>6</v>
      </c>
      <c r="E1616">
        <v>1961</v>
      </c>
      <c r="F1616" t="s">
        <v>5125</v>
      </c>
      <c r="G1616" t="s">
        <v>5126</v>
      </c>
      <c r="H1616">
        <v>1060285</v>
      </c>
      <c r="I1616">
        <v>715000</v>
      </c>
      <c r="J1616">
        <v>0.63527321190581998</v>
      </c>
      <c r="K1616">
        <v>673570.65748556203</v>
      </c>
      <c r="L1616">
        <v>673570.65748556203</v>
      </c>
      <c r="M1616">
        <v>599</v>
      </c>
    </row>
    <row r="1617" spans="1:13" ht="15">
      <c r="A1617" t="s">
        <v>3615</v>
      </c>
      <c r="B1617" s="1040" t="str">
        <f>CONCATENATE(LEFT(RIGHT(CONCATENATE("000",IFAData_TEA_1819!A1617),6),3),"-",(RIGHT(RIGHT(CONCATENATE("000",IFAData_TEA_1819!A1617),6),3)))</f>
        <v>137-901</v>
      </c>
      <c r="C1617" t="s">
        <v>2016</v>
      </c>
      <c r="D1617">
        <v>6</v>
      </c>
      <c r="E1617">
        <v>1961</v>
      </c>
      <c r="F1617" t="s">
        <v>5125</v>
      </c>
      <c r="G1617" t="s">
        <v>5127</v>
      </c>
      <c r="H1617">
        <v>1060285</v>
      </c>
      <c r="I1617">
        <v>175600</v>
      </c>
      <c r="J1617">
        <v>0.15601954686805899</v>
      </c>
      <c r="K1617">
        <v>165425.18525099999</v>
      </c>
      <c r="L1617">
        <v>165425.18525099999</v>
      </c>
      <c r="M1617">
        <v>599</v>
      </c>
    </row>
    <row r="1618" spans="1:13" ht="15">
      <c r="A1618" t="s">
        <v>3615</v>
      </c>
      <c r="B1618" s="1040" t="str">
        <f>CONCATENATE(LEFT(RIGHT(CONCATENATE("000",IFAData_TEA_1819!A1618),6),3),"-",(RIGHT(RIGHT(CONCATENATE("000",IFAData_TEA_1819!A1618),6),3)))</f>
        <v>137-901</v>
      </c>
      <c r="C1618" t="s">
        <v>2016</v>
      </c>
      <c r="D1618">
        <v>6</v>
      </c>
      <c r="E1618">
        <v>1961</v>
      </c>
      <c r="F1618" t="s">
        <v>5125</v>
      </c>
      <c r="G1618" t="s">
        <v>6496</v>
      </c>
      <c r="H1618">
        <v>1060285</v>
      </c>
      <c r="I1618">
        <v>234900</v>
      </c>
      <c r="J1618">
        <v>0.208707241226122</v>
      </c>
      <c r="K1618">
        <v>221289.15726343801</v>
      </c>
      <c r="L1618">
        <v>221289.15726343801</v>
      </c>
      <c r="M1618">
        <v>599</v>
      </c>
    </row>
    <row r="1619" spans="1:13" ht="15">
      <c r="A1619" t="s">
        <v>3615</v>
      </c>
      <c r="B1619" s="1040" t="str">
        <f>CONCATENATE(LEFT(RIGHT(CONCATENATE("000",IFAData_TEA_1819!A1619),6),3),"-",(RIGHT(RIGHT(CONCATENATE("000",IFAData_TEA_1819!A1619),6),3)))</f>
        <v>137-901</v>
      </c>
      <c r="C1619" t="s">
        <v>2016</v>
      </c>
      <c r="D1619">
        <v>9</v>
      </c>
      <c r="E1619">
        <v>1960</v>
      </c>
      <c r="F1619" t="s">
        <v>5128</v>
      </c>
      <c r="G1619" t="s">
        <v>5128</v>
      </c>
      <c r="H1619">
        <v>889358</v>
      </c>
      <c r="I1619">
        <v>654400</v>
      </c>
      <c r="J1619">
        <v>0.45218258945013201</v>
      </c>
      <c r="K1619">
        <v>402152.203388191</v>
      </c>
      <c r="L1619">
        <v>402152.203388191</v>
      </c>
      <c r="M1619">
        <v>599</v>
      </c>
    </row>
    <row r="1620" spans="1:13" ht="15">
      <c r="A1620" t="s">
        <v>3615</v>
      </c>
      <c r="B1620" s="1040" t="str">
        <f>CONCATENATE(LEFT(RIGHT(CONCATENATE("000",IFAData_TEA_1819!A1620),6),3),"-",(RIGHT(RIGHT(CONCATENATE("000",IFAData_TEA_1819!A1620),6),3)))</f>
        <v>137-901</v>
      </c>
      <c r="C1620" t="s">
        <v>2016</v>
      </c>
      <c r="D1620">
        <v>9</v>
      </c>
      <c r="E1620">
        <v>1960</v>
      </c>
      <c r="F1620" t="s">
        <v>5128</v>
      </c>
      <c r="G1620" t="s">
        <v>6290</v>
      </c>
      <c r="H1620">
        <v>889358</v>
      </c>
      <c r="I1620">
        <v>353425</v>
      </c>
      <c r="J1620">
        <v>0.24421245671823499</v>
      </c>
      <c r="K1620">
        <v>217192.30208201599</v>
      </c>
      <c r="L1620">
        <v>217192.30208201599</v>
      </c>
      <c r="M1620">
        <v>599</v>
      </c>
    </row>
    <row r="1621" spans="1:13" ht="15">
      <c r="A1621" t="s">
        <v>3615</v>
      </c>
      <c r="B1621" s="1040" t="str">
        <f>CONCATENATE(LEFT(RIGHT(CONCATENATE("000",IFAData_TEA_1819!A1621),6),3),"-",(RIGHT(RIGHT(CONCATENATE("000",IFAData_TEA_1819!A1621),6),3)))</f>
        <v>137-901</v>
      </c>
      <c r="C1621" t="s">
        <v>2016</v>
      </c>
      <c r="D1621">
        <v>9</v>
      </c>
      <c r="E1621">
        <v>1960</v>
      </c>
      <c r="F1621" t="s">
        <v>5128</v>
      </c>
      <c r="G1621" t="s">
        <v>6289</v>
      </c>
      <c r="H1621">
        <v>889358</v>
      </c>
      <c r="I1621">
        <v>303475</v>
      </c>
      <c r="J1621">
        <v>0.209697602893305</v>
      </c>
      <c r="K1621">
        <v>186496.24071398401</v>
      </c>
      <c r="L1621">
        <v>186496.24071398401</v>
      </c>
      <c r="M1621">
        <v>599</v>
      </c>
    </row>
    <row r="1622" spans="1:13" ht="15">
      <c r="A1622" t="s">
        <v>3615</v>
      </c>
      <c r="B1622" s="1040" t="str">
        <f>CONCATENATE(LEFT(RIGHT(CONCATENATE("000",IFAData_TEA_1819!A1622),6),3),"-",(RIGHT(RIGHT(CONCATENATE("000",IFAData_TEA_1819!A1622),6),3)))</f>
        <v>137-901</v>
      </c>
      <c r="C1622" t="s">
        <v>2016</v>
      </c>
      <c r="D1622">
        <v>9</v>
      </c>
      <c r="E1622">
        <v>1960</v>
      </c>
      <c r="F1622" t="s">
        <v>5128</v>
      </c>
      <c r="G1622" t="s">
        <v>6496</v>
      </c>
      <c r="H1622">
        <v>889358</v>
      </c>
      <c r="I1622">
        <v>61200</v>
      </c>
      <c r="J1622">
        <v>4.2288469551265397E-2</v>
      </c>
      <c r="K1622">
        <v>37609.588703174297</v>
      </c>
      <c r="L1622">
        <v>37609.588703174297</v>
      </c>
      <c r="M1622">
        <v>599</v>
      </c>
    </row>
    <row r="1623" spans="1:13" ht="15">
      <c r="A1623" t="s">
        <v>3615</v>
      </c>
      <c r="B1623" s="1040" t="str">
        <f>CONCATENATE(LEFT(RIGHT(CONCATENATE("000",IFAData_TEA_1819!A1623),6),3),"-",(RIGHT(RIGHT(CONCATENATE("000",IFAData_TEA_1819!A1623),6),3)))</f>
        <v>137-901</v>
      </c>
      <c r="C1623" t="s">
        <v>2016</v>
      </c>
      <c r="D1623">
        <v>9</v>
      </c>
      <c r="E1623">
        <v>1960</v>
      </c>
      <c r="F1623" t="s">
        <v>5128</v>
      </c>
      <c r="G1623" t="s">
        <v>8441</v>
      </c>
      <c r="H1623">
        <v>889358</v>
      </c>
      <c r="I1623">
        <v>74703</v>
      </c>
      <c r="J1623">
        <v>5.1618881387061798E-2</v>
      </c>
      <c r="K1623">
        <v>45907.665112634502</v>
      </c>
      <c r="L1623">
        <v>45907.665112634502</v>
      </c>
      <c r="M1623">
        <v>599</v>
      </c>
    </row>
    <row r="1624" spans="1:13" ht="15">
      <c r="A1624" t="s">
        <v>3615</v>
      </c>
      <c r="B1624" s="1040" t="str">
        <f>CONCATENATE(LEFT(RIGHT(CONCATENATE("000",IFAData_TEA_1819!A1624),6),3),"-",(RIGHT(RIGHT(CONCATENATE("000",IFAData_TEA_1819!A1624),6),3)))</f>
        <v>137-901</v>
      </c>
      <c r="C1624" t="s">
        <v>2016</v>
      </c>
      <c r="D1624">
        <v>10</v>
      </c>
      <c r="E1624">
        <v>1959</v>
      </c>
      <c r="F1624" t="s">
        <v>5129</v>
      </c>
      <c r="G1624" t="s">
        <v>5129</v>
      </c>
      <c r="H1624">
        <v>861411</v>
      </c>
      <c r="I1624">
        <v>798688</v>
      </c>
      <c r="J1624">
        <v>0.81726023892967703</v>
      </c>
      <c r="K1624">
        <v>703996.95967665198</v>
      </c>
      <c r="L1624">
        <v>703996.95967665198</v>
      </c>
      <c r="M1624">
        <v>599</v>
      </c>
    </row>
    <row r="1625" spans="1:13" ht="15">
      <c r="A1625" t="s">
        <v>3615</v>
      </c>
      <c r="B1625" s="1040" t="str">
        <f>CONCATENATE(LEFT(RIGHT(CONCATENATE("000",IFAData_TEA_1819!A1625),6),3),"-",(RIGHT(RIGHT(CONCATENATE("000",IFAData_TEA_1819!A1625),6),3)))</f>
        <v>137-901</v>
      </c>
      <c r="C1625" t="s">
        <v>2016</v>
      </c>
      <c r="D1625">
        <v>10</v>
      </c>
      <c r="E1625">
        <v>1959</v>
      </c>
      <c r="F1625" t="s">
        <v>5129</v>
      </c>
      <c r="G1625" t="s">
        <v>8441</v>
      </c>
      <c r="H1625">
        <v>861411</v>
      </c>
      <c r="I1625">
        <v>178587</v>
      </c>
      <c r="J1625">
        <v>0.182739761070323</v>
      </c>
      <c r="K1625">
        <v>157414.04032334799</v>
      </c>
      <c r="L1625">
        <v>157414.04032334799</v>
      </c>
      <c r="M1625">
        <v>599</v>
      </c>
    </row>
    <row r="1626" spans="1:13" ht="15">
      <c r="A1626" t="s">
        <v>3615</v>
      </c>
      <c r="B1626" s="1040" t="str">
        <f>CONCATENATE(LEFT(RIGHT(CONCATENATE("000",IFAData_TEA_1819!A1626),6),3),"-",(RIGHT(RIGHT(CONCATENATE("000",IFAData_TEA_1819!A1626),6),3)))</f>
        <v>137-901</v>
      </c>
      <c r="C1626" t="s">
        <v>2016</v>
      </c>
      <c r="D1626">
        <v>11</v>
      </c>
      <c r="E1626">
        <v>2577</v>
      </c>
      <c r="F1626" t="s">
        <v>8442</v>
      </c>
      <c r="G1626" t="s">
        <v>8442</v>
      </c>
      <c r="H1626">
        <v>323272</v>
      </c>
      <c r="I1626">
        <v>327477</v>
      </c>
      <c r="J1626">
        <v>1</v>
      </c>
      <c r="K1626">
        <v>323272</v>
      </c>
      <c r="L1626">
        <v>323272</v>
      </c>
      <c r="M1626">
        <v>599</v>
      </c>
    </row>
    <row r="1627" spans="1:13" ht="15">
      <c r="A1627" t="s">
        <v>3616</v>
      </c>
      <c r="B1627" s="1040" t="str">
        <f>CONCATENATE(LEFT(RIGHT(CONCATENATE("000",IFAData_TEA_1819!A1627),6),3),"-",(RIGHT(RIGHT(CONCATENATE("000",IFAData_TEA_1819!A1627),6),3)))</f>
        <v>138-902</v>
      </c>
      <c r="C1627" t="s">
        <v>1691</v>
      </c>
      <c r="D1627">
        <v>6</v>
      </c>
      <c r="E1627">
        <v>1971</v>
      </c>
      <c r="F1627" t="s">
        <v>5130</v>
      </c>
      <c r="G1627" t="s">
        <v>5130</v>
      </c>
      <c r="H1627">
        <v>88605</v>
      </c>
      <c r="I1627">
        <v>0</v>
      </c>
      <c r="J1627">
        <v>0</v>
      </c>
      <c r="K1627"/>
      <c r="L1627">
        <v>0</v>
      </c>
      <c r="M1627">
        <v>599</v>
      </c>
    </row>
    <row r="1628" spans="1:13" ht="15">
      <c r="A1628" t="s">
        <v>3617</v>
      </c>
      <c r="B1628" s="1040" t="str">
        <f>CONCATENATE(LEFT(RIGHT(CONCATENATE("000",IFAData_TEA_1819!A1628),6),3),"-",(RIGHT(RIGHT(CONCATENATE("000",IFAData_TEA_1819!A1628),6),3)))</f>
        <v>139-908</v>
      </c>
      <c r="C1628" t="s">
        <v>612</v>
      </c>
      <c r="D1628">
        <v>4</v>
      </c>
      <c r="E1628">
        <v>2267</v>
      </c>
      <c r="F1628" t="s">
        <v>5131</v>
      </c>
      <c r="G1628" t="s">
        <v>5131</v>
      </c>
      <c r="H1628">
        <v>84250</v>
      </c>
      <c r="I1628">
        <v>0</v>
      </c>
      <c r="J1628">
        <v>0</v>
      </c>
      <c r="K1628">
        <v>0</v>
      </c>
      <c r="L1628">
        <v>0</v>
      </c>
      <c r="M1628">
        <v>599</v>
      </c>
    </row>
    <row r="1629" spans="1:13" ht="15">
      <c r="A1629" t="s">
        <v>3617</v>
      </c>
      <c r="B1629" s="1040" t="str">
        <f>CONCATENATE(LEFT(RIGHT(CONCATENATE("000",IFAData_TEA_1819!A1629),6),3),"-",(RIGHT(RIGHT(CONCATENATE("000",IFAData_TEA_1819!A1629),6),3)))</f>
        <v>139-908</v>
      </c>
      <c r="C1629" t="s">
        <v>612</v>
      </c>
      <c r="D1629">
        <v>4</v>
      </c>
      <c r="E1629">
        <v>2267</v>
      </c>
      <c r="F1629" t="s">
        <v>5131</v>
      </c>
      <c r="G1629" t="s">
        <v>5132</v>
      </c>
      <c r="H1629">
        <v>84250</v>
      </c>
      <c r="I1629">
        <v>75676</v>
      </c>
      <c r="J1629">
        <v>1</v>
      </c>
      <c r="K1629">
        <v>84250</v>
      </c>
      <c r="L1629">
        <v>75676</v>
      </c>
      <c r="M1629">
        <v>599</v>
      </c>
    </row>
    <row r="1630" spans="1:13" ht="15">
      <c r="A1630" t="s">
        <v>3618</v>
      </c>
      <c r="B1630" s="1040" t="str">
        <f>CONCATENATE(LEFT(RIGHT(CONCATENATE("000",IFAData_TEA_1819!A1630),6),3),"-",(RIGHT(RIGHT(CONCATENATE("000",IFAData_TEA_1819!A1630),6),3)))</f>
        <v>139-909</v>
      </c>
      <c r="C1630" t="s">
        <v>198</v>
      </c>
      <c r="D1630">
        <v>1</v>
      </c>
      <c r="E1630">
        <v>2177</v>
      </c>
      <c r="F1630" t="s">
        <v>5133</v>
      </c>
      <c r="G1630" t="s">
        <v>5133</v>
      </c>
      <c r="H1630">
        <v>824548</v>
      </c>
      <c r="I1630">
        <v>0</v>
      </c>
      <c r="J1630">
        <v>0</v>
      </c>
      <c r="K1630"/>
      <c r="L1630">
        <v>0</v>
      </c>
      <c r="M1630">
        <v>599</v>
      </c>
    </row>
    <row r="1631" spans="1:13" ht="15">
      <c r="A1631" t="s">
        <v>3618</v>
      </c>
      <c r="B1631" s="1040" t="str">
        <f>CONCATENATE(LEFT(RIGHT(CONCATENATE("000",IFAData_TEA_1819!A1631),6),3),"-",(RIGHT(RIGHT(CONCATENATE("000",IFAData_TEA_1819!A1631),6),3)))</f>
        <v>139-909</v>
      </c>
      <c r="C1631" t="s">
        <v>198</v>
      </c>
      <c r="D1631">
        <v>10</v>
      </c>
      <c r="E1631">
        <v>2176</v>
      </c>
      <c r="F1631" t="s">
        <v>5137</v>
      </c>
      <c r="G1631" t="s">
        <v>5137</v>
      </c>
      <c r="H1631">
        <v>493697</v>
      </c>
      <c r="I1631">
        <v>0</v>
      </c>
      <c r="J1631">
        <v>0</v>
      </c>
      <c r="K1631">
        <v>0</v>
      </c>
      <c r="L1631">
        <v>0</v>
      </c>
      <c r="M1631">
        <v>599</v>
      </c>
    </row>
    <row r="1632" spans="1:13" ht="15">
      <c r="A1632" t="s">
        <v>3618</v>
      </c>
      <c r="B1632" s="1040" t="str">
        <f>CONCATENATE(LEFT(RIGHT(CONCATENATE("000",IFAData_TEA_1819!A1632),6),3),"-",(RIGHT(RIGHT(CONCATENATE("000",IFAData_TEA_1819!A1632),6),3)))</f>
        <v>139-909</v>
      </c>
      <c r="C1632" t="s">
        <v>198</v>
      </c>
      <c r="D1632">
        <v>10</v>
      </c>
      <c r="E1632">
        <v>2176</v>
      </c>
      <c r="F1632" t="s">
        <v>5137</v>
      </c>
      <c r="G1632" t="s">
        <v>8443</v>
      </c>
      <c r="H1632">
        <v>493697</v>
      </c>
      <c r="I1632">
        <v>317517</v>
      </c>
      <c r="J1632">
        <v>1</v>
      </c>
      <c r="K1632">
        <v>493697</v>
      </c>
      <c r="L1632">
        <v>317517</v>
      </c>
      <c r="M1632">
        <v>599</v>
      </c>
    </row>
    <row r="1633" spans="1:13" ht="15">
      <c r="A1633" t="s">
        <v>3618</v>
      </c>
      <c r="B1633" s="1040" t="str">
        <f>CONCATENATE(LEFT(RIGHT(CONCATENATE("000",IFAData_TEA_1819!A1633),6),3),"-",(RIGHT(RIGHT(CONCATENATE("000",IFAData_TEA_1819!A1633),6),3)))</f>
        <v>139-909</v>
      </c>
      <c r="C1633" t="s">
        <v>198</v>
      </c>
      <c r="D1633">
        <v>10</v>
      </c>
      <c r="E1633">
        <v>2175</v>
      </c>
      <c r="F1633" t="s">
        <v>5138</v>
      </c>
      <c r="G1633" t="s">
        <v>5138</v>
      </c>
      <c r="H1633">
        <v>185701</v>
      </c>
      <c r="I1633">
        <v>0</v>
      </c>
      <c r="J1633">
        <v>0</v>
      </c>
      <c r="K1633">
        <v>0</v>
      </c>
      <c r="L1633">
        <v>0</v>
      </c>
      <c r="M1633">
        <v>599</v>
      </c>
    </row>
    <row r="1634" spans="1:13" ht="15">
      <c r="A1634" t="s">
        <v>3618</v>
      </c>
      <c r="B1634" s="1040" t="str">
        <f>CONCATENATE(LEFT(RIGHT(CONCATENATE("000",IFAData_TEA_1819!A1634),6),3),"-",(RIGHT(RIGHT(CONCATENATE("000",IFAData_TEA_1819!A1634),6),3)))</f>
        <v>139-909</v>
      </c>
      <c r="C1634" t="s">
        <v>198</v>
      </c>
      <c r="D1634">
        <v>10</v>
      </c>
      <c r="E1634">
        <v>2175</v>
      </c>
      <c r="F1634" t="s">
        <v>5138</v>
      </c>
      <c r="G1634" t="s">
        <v>8443</v>
      </c>
      <c r="H1634">
        <v>185701</v>
      </c>
      <c r="I1634">
        <v>419368</v>
      </c>
      <c r="J1634">
        <v>1</v>
      </c>
      <c r="K1634">
        <v>185701</v>
      </c>
      <c r="L1634">
        <v>185701</v>
      </c>
      <c r="M1634">
        <v>599</v>
      </c>
    </row>
    <row r="1635" spans="1:13" ht="15">
      <c r="A1635" t="s">
        <v>3619</v>
      </c>
      <c r="B1635" s="1040" t="str">
        <f>CONCATENATE(LEFT(RIGHT(CONCATENATE("000",IFAData_TEA_1819!A1635),6),3),"-",(RIGHT(RIGHT(CONCATENATE("000",IFAData_TEA_1819!A1635),6),3)))</f>
        <v>139-912</v>
      </c>
      <c r="C1635" t="s">
        <v>2101</v>
      </c>
      <c r="D1635">
        <v>6</v>
      </c>
      <c r="E1635">
        <v>2208</v>
      </c>
      <c r="F1635" t="s">
        <v>5139</v>
      </c>
      <c r="G1635" t="s">
        <v>5139</v>
      </c>
      <c r="H1635">
        <v>229112</v>
      </c>
      <c r="I1635">
        <v>0</v>
      </c>
      <c r="J1635">
        <v>0</v>
      </c>
      <c r="K1635">
        <v>0</v>
      </c>
      <c r="L1635">
        <v>0</v>
      </c>
      <c r="M1635">
        <v>599</v>
      </c>
    </row>
    <row r="1636" spans="1:13" ht="15">
      <c r="A1636" t="s">
        <v>3619</v>
      </c>
      <c r="B1636" s="1040" t="str">
        <f>CONCATENATE(LEFT(RIGHT(CONCATENATE("000",IFAData_TEA_1819!A1636),6),3),"-",(RIGHT(RIGHT(CONCATENATE("000",IFAData_TEA_1819!A1636),6),3)))</f>
        <v>139-912</v>
      </c>
      <c r="C1636" t="s">
        <v>2101</v>
      </c>
      <c r="D1636">
        <v>6</v>
      </c>
      <c r="E1636">
        <v>2208</v>
      </c>
      <c r="F1636" t="s">
        <v>5139</v>
      </c>
      <c r="G1636" t="s">
        <v>5140</v>
      </c>
      <c r="H1636">
        <v>229112</v>
      </c>
      <c r="I1636">
        <v>258315</v>
      </c>
      <c r="J1636">
        <v>0.76035157227335703</v>
      </c>
      <c r="K1636">
        <v>174205.669426693</v>
      </c>
      <c r="L1636">
        <v>174205.669426693</v>
      </c>
      <c r="M1636">
        <v>599</v>
      </c>
    </row>
    <row r="1637" spans="1:13" ht="15">
      <c r="A1637" t="s">
        <v>3619</v>
      </c>
      <c r="B1637" s="1040" t="str">
        <f>CONCATENATE(LEFT(RIGHT(CONCATENATE("000",IFAData_TEA_1819!A1637),6),3),"-",(RIGHT(RIGHT(CONCATENATE("000",IFAData_TEA_1819!A1637),6),3)))</f>
        <v>139-912</v>
      </c>
      <c r="C1637" t="s">
        <v>2101</v>
      </c>
      <c r="D1637">
        <v>6</v>
      </c>
      <c r="E1637">
        <v>2208</v>
      </c>
      <c r="F1637" t="s">
        <v>5139</v>
      </c>
      <c r="G1637" t="s">
        <v>5141</v>
      </c>
      <c r="H1637">
        <v>229112</v>
      </c>
      <c r="I1637">
        <v>81416</v>
      </c>
      <c r="J1637">
        <v>0.23964842772664299</v>
      </c>
      <c r="K1637">
        <v>54906.330573306499</v>
      </c>
      <c r="L1637">
        <v>54906.330573306499</v>
      </c>
      <c r="M1637">
        <v>599</v>
      </c>
    </row>
    <row r="1638" spans="1:13" ht="15">
      <c r="A1638" t="s">
        <v>5142</v>
      </c>
      <c r="B1638" s="1040" t="str">
        <f>CONCATENATE(LEFT(RIGHT(CONCATENATE("000",IFAData_TEA_1819!A1638),6),3),"-",(RIGHT(RIGHT(CONCATENATE("000",IFAData_TEA_1819!A1638),6),3)))</f>
        <v>140-905</v>
      </c>
      <c r="C1638" t="s">
        <v>826</v>
      </c>
      <c r="D1638">
        <v>2</v>
      </c>
      <c r="E1638">
        <v>2161</v>
      </c>
      <c r="F1638" t="s">
        <v>5143</v>
      </c>
      <c r="G1638" t="s">
        <v>5143</v>
      </c>
      <c r="H1638">
        <v>187763</v>
      </c>
      <c r="I1638">
        <v>0</v>
      </c>
      <c r="J1638">
        <v>0</v>
      </c>
      <c r="K1638"/>
      <c r="L1638">
        <v>0</v>
      </c>
      <c r="M1638">
        <v>599</v>
      </c>
    </row>
    <row r="1639" spans="1:13" ht="15">
      <c r="A1639" t="s">
        <v>3620</v>
      </c>
      <c r="B1639" s="1040" t="str">
        <f>CONCATENATE(LEFT(RIGHT(CONCATENATE("000",IFAData_TEA_1819!A1639),6),3),"-",(RIGHT(RIGHT(CONCATENATE("000",IFAData_TEA_1819!A1639),6),3)))</f>
        <v>141-901</v>
      </c>
      <c r="C1639" t="s">
        <v>947</v>
      </c>
      <c r="D1639">
        <v>9</v>
      </c>
      <c r="E1639">
        <v>2002</v>
      </c>
      <c r="F1639" t="s">
        <v>5145</v>
      </c>
      <c r="G1639" t="s">
        <v>5145</v>
      </c>
      <c r="H1639">
        <v>800000</v>
      </c>
      <c r="I1639">
        <v>0</v>
      </c>
      <c r="J1639">
        <v>0</v>
      </c>
      <c r="K1639">
        <v>0</v>
      </c>
      <c r="L1639">
        <v>0</v>
      </c>
      <c r="M1639">
        <v>599</v>
      </c>
    </row>
    <row r="1640" spans="1:13" ht="15">
      <c r="A1640" t="s">
        <v>3620</v>
      </c>
      <c r="B1640" s="1040" t="str">
        <f>CONCATENATE(LEFT(RIGHT(CONCATENATE("000",IFAData_TEA_1819!A1640),6),3),"-",(RIGHT(RIGHT(CONCATENATE("000",IFAData_TEA_1819!A1640),6),3)))</f>
        <v>141-901</v>
      </c>
      <c r="C1640" t="s">
        <v>947</v>
      </c>
      <c r="D1640">
        <v>9</v>
      </c>
      <c r="E1640">
        <v>2002</v>
      </c>
      <c r="F1640" t="s">
        <v>5145</v>
      </c>
      <c r="G1640" t="s">
        <v>5146</v>
      </c>
      <c r="H1640">
        <v>800000</v>
      </c>
      <c r="I1640">
        <v>267076</v>
      </c>
      <c r="J1640">
        <v>9.8112586503696697E-2</v>
      </c>
      <c r="K1640">
        <v>78490.069202957398</v>
      </c>
      <c r="L1640">
        <v>78490.069202957398</v>
      </c>
      <c r="M1640">
        <v>599</v>
      </c>
    </row>
    <row r="1641" spans="1:13" ht="15">
      <c r="A1641" t="s">
        <v>3620</v>
      </c>
      <c r="B1641" s="1040" t="str">
        <f>CONCATENATE(LEFT(RIGHT(CONCATENATE("000",IFAData_TEA_1819!A1641),6),3),"-",(RIGHT(RIGHT(CONCATENATE("000",IFAData_TEA_1819!A1641),6),3)))</f>
        <v>141-901</v>
      </c>
      <c r="C1641" t="s">
        <v>947</v>
      </c>
      <c r="D1641">
        <v>9</v>
      </c>
      <c r="E1641">
        <v>2002</v>
      </c>
      <c r="F1641" t="s">
        <v>5145</v>
      </c>
      <c r="G1641" t="s">
        <v>5147</v>
      </c>
      <c r="H1641">
        <v>800000</v>
      </c>
      <c r="I1641">
        <v>2455062</v>
      </c>
      <c r="J1641">
        <v>0.90188741349630297</v>
      </c>
      <c r="K1641">
        <v>721509.93079704302</v>
      </c>
      <c r="L1641">
        <v>721509.93079704302</v>
      </c>
      <c r="M1641">
        <v>599</v>
      </c>
    </row>
    <row r="1642" spans="1:13" ht="15">
      <c r="A1642" t="s">
        <v>3621</v>
      </c>
      <c r="B1642" s="1040" t="str">
        <f>CONCATENATE(LEFT(RIGHT(CONCATENATE("000",IFAData_TEA_1819!A1642),6),3),"-",(RIGHT(RIGHT(CONCATENATE("000",IFAData_TEA_1819!A1642),6),3)))</f>
        <v>142-901</v>
      </c>
      <c r="C1642" t="s">
        <v>1102</v>
      </c>
      <c r="D1642">
        <v>2</v>
      </c>
      <c r="E1642">
        <v>1726</v>
      </c>
      <c r="F1642" t="s">
        <v>5148</v>
      </c>
      <c r="G1642" t="s">
        <v>5148</v>
      </c>
      <c r="H1642">
        <v>282771</v>
      </c>
      <c r="I1642">
        <v>0</v>
      </c>
      <c r="J1642">
        <v>0</v>
      </c>
      <c r="K1642">
        <v>0</v>
      </c>
      <c r="L1642">
        <v>0</v>
      </c>
      <c r="M1642">
        <v>599</v>
      </c>
    </row>
    <row r="1643" spans="1:13" ht="15">
      <c r="A1643" t="s">
        <v>3621</v>
      </c>
      <c r="B1643" s="1040" t="str">
        <f>CONCATENATE(LEFT(RIGHT(CONCATENATE("000",IFAData_TEA_1819!A1643),6),3),"-",(RIGHT(RIGHT(CONCATENATE("000",IFAData_TEA_1819!A1643),6),3)))</f>
        <v>142-901</v>
      </c>
      <c r="C1643" t="s">
        <v>1102</v>
      </c>
      <c r="D1643">
        <v>2</v>
      </c>
      <c r="E1643">
        <v>1726</v>
      </c>
      <c r="F1643" t="s">
        <v>5148</v>
      </c>
      <c r="G1643" t="s">
        <v>5149</v>
      </c>
      <c r="H1643">
        <v>282771</v>
      </c>
      <c r="I1643">
        <v>235150</v>
      </c>
      <c r="J1643">
        <v>1</v>
      </c>
      <c r="K1643">
        <v>282771</v>
      </c>
      <c r="L1643">
        <v>235150</v>
      </c>
      <c r="M1643">
        <v>599</v>
      </c>
    </row>
    <row r="1644" spans="1:13" ht="15">
      <c r="A1644" t="s">
        <v>3622</v>
      </c>
      <c r="B1644" s="1040" t="str">
        <f>CONCATENATE(LEFT(RIGHT(CONCATENATE("000",IFAData_TEA_1819!A1644),6),3),"-",(RIGHT(RIGHT(CONCATENATE("000",IFAData_TEA_1819!A1644),6),3)))</f>
        <v>146-901</v>
      </c>
      <c r="C1644" t="s">
        <v>1164</v>
      </c>
      <c r="D1644">
        <v>5</v>
      </c>
      <c r="E1644">
        <v>1694</v>
      </c>
      <c r="F1644" t="s">
        <v>5150</v>
      </c>
      <c r="G1644" t="s">
        <v>5150</v>
      </c>
      <c r="H1644">
        <v>754473</v>
      </c>
      <c r="I1644">
        <v>0</v>
      </c>
      <c r="J1644">
        <v>0</v>
      </c>
      <c r="K1644">
        <v>0</v>
      </c>
      <c r="L1644">
        <v>0</v>
      </c>
      <c r="M1644">
        <v>599</v>
      </c>
    </row>
    <row r="1645" spans="1:13" ht="15">
      <c r="A1645" t="s">
        <v>3622</v>
      </c>
      <c r="B1645" s="1040" t="str">
        <f>CONCATENATE(LEFT(RIGHT(CONCATENATE("000",IFAData_TEA_1819!A1645),6),3),"-",(RIGHT(RIGHT(CONCATENATE("000",IFAData_TEA_1819!A1645),6),3)))</f>
        <v>146-901</v>
      </c>
      <c r="C1645" t="s">
        <v>1164</v>
      </c>
      <c r="D1645">
        <v>5</v>
      </c>
      <c r="E1645">
        <v>1694</v>
      </c>
      <c r="F1645" t="s">
        <v>5150</v>
      </c>
      <c r="G1645" t="s">
        <v>5151</v>
      </c>
      <c r="H1645">
        <v>754473</v>
      </c>
      <c r="I1645">
        <v>155495</v>
      </c>
      <c r="J1645">
        <v>7.1573136058232498E-2</v>
      </c>
      <c r="K1645">
        <v>53999.998681262798</v>
      </c>
      <c r="L1645">
        <v>53999.998681262798</v>
      </c>
      <c r="M1645">
        <v>599</v>
      </c>
    </row>
    <row r="1646" spans="1:13" ht="15">
      <c r="A1646" t="s">
        <v>3622</v>
      </c>
      <c r="B1646" s="1040" t="str">
        <f>CONCATENATE(LEFT(RIGHT(CONCATENATE("000",IFAData_TEA_1819!A1646),6),3),"-",(RIGHT(RIGHT(CONCATENATE("000",IFAData_TEA_1819!A1646),6),3)))</f>
        <v>146-901</v>
      </c>
      <c r="C1646" t="s">
        <v>1164</v>
      </c>
      <c r="D1646">
        <v>5</v>
      </c>
      <c r="E1646">
        <v>1694</v>
      </c>
      <c r="F1646" t="s">
        <v>5150</v>
      </c>
      <c r="G1646" t="s">
        <v>5152</v>
      </c>
      <c r="H1646">
        <v>754473</v>
      </c>
      <c r="I1646">
        <v>839878</v>
      </c>
      <c r="J1646">
        <v>0.38658929461600799</v>
      </c>
      <c r="K1646">
        <v>291671.18487682397</v>
      </c>
      <c r="L1646">
        <v>291671.18487682397</v>
      </c>
      <c r="M1646">
        <v>599</v>
      </c>
    </row>
    <row r="1647" spans="1:13" ht="15">
      <c r="A1647" t="s">
        <v>3622</v>
      </c>
      <c r="B1647" s="1040" t="str">
        <f>CONCATENATE(LEFT(RIGHT(CONCATENATE("000",IFAData_TEA_1819!A1647),6),3),"-",(RIGHT(RIGHT(CONCATENATE("000",IFAData_TEA_1819!A1647),6),3)))</f>
        <v>146-901</v>
      </c>
      <c r="C1647" t="s">
        <v>1164</v>
      </c>
      <c r="D1647">
        <v>5</v>
      </c>
      <c r="E1647">
        <v>1694</v>
      </c>
      <c r="F1647" t="s">
        <v>5150</v>
      </c>
      <c r="G1647" t="s">
        <v>5153</v>
      </c>
      <c r="H1647">
        <v>754473</v>
      </c>
      <c r="I1647">
        <v>230893</v>
      </c>
      <c r="J1647">
        <v>0.106278247557114</v>
      </c>
      <c r="K1647">
        <v>80184.068269158597</v>
      </c>
      <c r="L1647">
        <v>80184.068269158597</v>
      </c>
      <c r="M1647">
        <v>599</v>
      </c>
    </row>
    <row r="1648" spans="1:13" ht="15">
      <c r="A1648" t="s">
        <v>3622</v>
      </c>
      <c r="B1648" s="1040" t="str">
        <f>CONCATENATE(LEFT(RIGHT(CONCATENATE("000",IFAData_TEA_1819!A1648),6),3),"-",(RIGHT(RIGHT(CONCATENATE("000",IFAData_TEA_1819!A1648),6),3)))</f>
        <v>146-901</v>
      </c>
      <c r="C1648" t="s">
        <v>1164</v>
      </c>
      <c r="D1648">
        <v>5</v>
      </c>
      <c r="E1648">
        <v>1694</v>
      </c>
      <c r="F1648" t="s">
        <v>5150</v>
      </c>
      <c r="G1648" t="s">
        <v>6497</v>
      </c>
      <c r="H1648">
        <v>754473</v>
      </c>
      <c r="I1648">
        <v>274717</v>
      </c>
      <c r="J1648">
        <v>0.12645009304806901</v>
      </c>
      <c r="K1648">
        <v>95403.181052255604</v>
      </c>
      <c r="L1648">
        <v>95403.181052255604</v>
      </c>
      <c r="M1648">
        <v>599</v>
      </c>
    </row>
    <row r="1649" spans="1:13" ht="15">
      <c r="A1649" t="s">
        <v>3622</v>
      </c>
      <c r="B1649" s="1040" t="str">
        <f>CONCATENATE(LEFT(RIGHT(CONCATENATE("000",IFAData_TEA_1819!A1649),6),3),"-",(RIGHT(RIGHT(CONCATENATE("000",IFAData_TEA_1819!A1649),6),3)))</f>
        <v>146-901</v>
      </c>
      <c r="C1649" t="s">
        <v>1164</v>
      </c>
      <c r="D1649">
        <v>5</v>
      </c>
      <c r="E1649">
        <v>1694</v>
      </c>
      <c r="F1649" t="s">
        <v>5150</v>
      </c>
      <c r="G1649" t="s">
        <v>8444</v>
      </c>
      <c r="H1649">
        <v>754473</v>
      </c>
      <c r="I1649">
        <v>671550</v>
      </c>
      <c r="J1649">
        <v>0.309109228720576</v>
      </c>
      <c r="K1649">
        <v>233214.56712049901</v>
      </c>
      <c r="L1649">
        <v>233214.56712049901</v>
      </c>
      <c r="M1649">
        <v>599</v>
      </c>
    </row>
    <row r="1650" spans="1:13" ht="15">
      <c r="A1650" t="s">
        <v>3622</v>
      </c>
      <c r="B1650" s="1040" t="str">
        <f>CONCATENATE(LEFT(RIGHT(CONCATENATE("000",IFAData_TEA_1819!A1650),6),3),"-",(RIGHT(RIGHT(CONCATENATE("000",IFAData_TEA_1819!A1650),6),3)))</f>
        <v>146-901</v>
      </c>
      <c r="C1650" t="s">
        <v>1164</v>
      </c>
      <c r="D1650">
        <v>11</v>
      </c>
      <c r="E1650">
        <v>2511</v>
      </c>
      <c r="F1650" t="s">
        <v>8445</v>
      </c>
      <c r="G1650" t="s">
        <v>8445</v>
      </c>
      <c r="H1650">
        <v>961727</v>
      </c>
      <c r="I1650">
        <v>1598625</v>
      </c>
      <c r="J1650">
        <v>1</v>
      </c>
      <c r="K1650">
        <v>961727</v>
      </c>
      <c r="L1650">
        <v>961727</v>
      </c>
      <c r="M1650">
        <v>599</v>
      </c>
    </row>
    <row r="1651" spans="1:13" ht="15">
      <c r="A1651" t="s">
        <v>3623</v>
      </c>
      <c r="B1651" s="1040" t="str">
        <f>CONCATENATE(LEFT(RIGHT(CONCATENATE("000",IFAData_TEA_1819!A1651),6),3),"-",(RIGHT(RIGHT(CONCATENATE("000",IFAData_TEA_1819!A1651),6),3)))</f>
        <v>146-902</v>
      </c>
      <c r="C1651" t="s">
        <v>2664</v>
      </c>
      <c r="D1651">
        <v>1</v>
      </c>
      <c r="E1651">
        <v>1747</v>
      </c>
      <c r="F1651" t="s">
        <v>5154</v>
      </c>
      <c r="G1651" t="s">
        <v>5154</v>
      </c>
      <c r="H1651">
        <v>967500</v>
      </c>
      <c r="I1651">
        <v>0</v>
      </c>
      <c r="J1651">
        <v>0</v>
      </c>
      <c r="K1651"/>
      <c r="L1651">
        <v>0</v>
      </c>
      <c r="M1651">
        <v>599</v>
      </c>
    </row>
    <row r="1652" spans="1:13" ht="15">
      <c r="A1652" t="s">
        <v>3623</v>
      </c>
      <c r="B1652" s="1040" t="str">
        <f>CONCATENATE(LEFT(RIGHT(CONCATENATE("000",IFAData_TEA_1819!A1652),6),3),"-",(RIGHT(RIGHT(CONCATENATE("000",IFAData_TEA_1819!A1652),6),3)))</f>
        <v>146-902</v>
      </c>
      <c r="C1652" t="s">
        <v>2664</v>
      </c>
      <c r="D1652">
        <v>11</v>
      </c>
      <c r="E1652">
        <v>2550</v>
      </c>
      <c r="F1652" t="s">
        <v>8446</v>
      </c>
      <c r="G1652" t="s">
        <v>8446</v>
      </c>
      <c r="H1652">
        <v>1222658</v>
      </c>
      <c r="I1652">
        <v>3877656</v>
      </c>
      <c r="J1652">
        <v>1</v>
      </c>
      <c r="K1652">
        <v>1222658</v>
      </c>
      <c r="L1652">
        <v>1222658</v>
      </c>
      <c r="M1652">
        <v>599</v>
      </c>
    </row>
    <row r="1653" spans="1:13" ht="15">
      <c r="A1653" t="s">
        <v>3624</v>
      </c>
      <c r="B1653" s="1040" t="str">
        <f>CONCATENATE(LEFT(RIGHT(CONCATENATE("000",IFAData_TEA_1819!A1653),6),3),"-",(RIGHT(RIGHT(CONCATENATE("000",IFAData_TEA_1819!A1653),6),3)))</f>
        <v>146-904</v>
      </c>
      <c r="C1653" t="s">
        <v>1735</v>
      </c>
      <c r="D1653">
        <v>9</v>
      </c>
      <c r="E1653">
        <v>1865</v>
      </c>
      <c r="F1653" t="s">
        <v>5158</v>
      </c>
      <c r="G1653" t="s">
        <v>5158</v>
      </c>
      <c r="H1653">
        <v>80675</v>
      </c>
      <c r="I1653">
        <v>0</v>
      </c>
      <c r="J1653">
        <v>0</v>
      </c>
      <c r="K1653">
        <v>0</v>
      </c>
      <c r="L1653">
        <v>0</v>
      </c>
      <c r="M1653">
        <v>599</v>
      </c>
    </row>
    <row r="1654" spans="1:13" ht="15">
      <c r="A1654" t="s">
        <v>3624</v>
      </c>
      <c r="B1654" s="1040" t="str">
        <f>CONCATENATE(LEFT(RIGHT(CONCATENATE("000",IFAData_TEA_1819!A1654),6),3),"-",(RIGHT(RIGHT(CONCATENATE("000",IFAData_TEA_1819!A1654),6),3)))</f>
        <v>146-904</v>
      </c>
      <c r="C1654" t="s">
        <v>1735</v>
      </c>
      <c r="D1654">
        <v>9</v>
      </c>
      <c r="E1654">
        <v>1865</v>
      </c>
      <c r="F1654" t="s">
        <v>5158</v>
      </c>
      <c r="G1654" t="s">
        <v>6498</v>
      </c>
      <c r="H1654">
        <v>80675</v>
      </c>
      <c r="I1654">
        <v>38925</v>
      </c>
      <c r="J1654">
        <v>0.32539184952978101</v>
      </c>
      <c r="K1654">
        <v>26250.987460814998</v>
      </c>
      <c r="L1654">
        <v>26250.987460814998</v>
      </c>
      <c r="M1654">
        <v>599</v>
      </c>
    </row>
    <row r="1655" spans="1:13" ht="15">
      <c r="A1655" t="s">
        <v>3624</v>
      </c>
      <c r="B1655" s="1040" t="str">
        <f>CONCATENATE(LEFT(RIGHT(CONCATENATE("000",IFAData_TEA_1819!A1655),6),3),"-",(RIGHT(RIGHT(CONCATENATE("000",IFAData_TEA_1819!A1655),6),3)))</f>
        <v>146-904</v>
      </c>
      <c r="C1655" t="s">
        <v>1735</v>
      </c>
      <c r="D1655">
        <v>9</v>
      </c>
      <c r="E1655">
        <v>1865</v>
      </c>
      <c r="F1655" t="s">
        <v>5158</v>
      </c>
      <c r="G1655" t="s">
        <v>8447</v>
      </c>
      <c r="H1655">
        <v>80675</v>
      </c>
      <c r="I1655">
        <v>80700</v>
      </c>
      <c r="J1655">
        <v>0.67460815047021905</v>
      </c>
      <c r="K1655">
        <v>54424.012539185002</v>
      </c>
      <c r="L1655">
        <v>54424.012539185002</v>
      </c>
      <c r="M1655">
        <v>599</v>
      </c>
    </row>
    <row r="1656" spans="1:13" ht="15">
      <c r="A1656" t="s">
        <v>3625</v>
      </c>
      <c r="B1656" s="1040" t="str">
        <f>CONCATENATE(LEFT(RIGHT(CONCATENATE("000",IFAData_TEA_1819!A1656),6),3),"-",(RIGHT(RIGHT(CONCATENATE("000",IFAData_TEA_1819!A1656),6),3)))</f>
        <v>146-905</v>
      </c>
      <c r="C1656" t="s">
        <v>2384</v>
      </c>
      <c r="D1656">
        <v>2</v>
      </c>
      <c r="E1656">
        <v>1913</v>
      </c>
      <c r="F1656" t="s">
        <v>5159</v>
      </c>
      <c r="G1656" t="s">
        <v>5159</v>
      </c>
      <c r="H1656">
        <v>159897</v>
      </c>
      <c r="I1656">
        <v>0</v>
      </c>
      <c r="J1656">
        <v>0</v>
      </c>
      <c r="K1656"/>
      <c r="L1656">
        <v>0</v>
      </c>
      <c r="M1656">
        <v>599</v>
      </c>
    </row>
    <row r="1657" spans="1:13" ht="15">
      <c r="A1657" t="s">
        <v>3626</v>
      </c>
      <c r="B1657" s="1040" t="str">
        <f>CONCATENATE(LEFT(RIGHT(CONCATENATE("000",IFAData_TEA_1819!A1657),6),3),"-",(RIGHT(RIGHT(CONCATENATE("000",IFAData_TEA_1819!A1657),6),3)))</f>
        <v>147-901</v>
      </c>
      <c r="C1657" t="s">
        <v>1554</v>
      </c>
      <c r="D1657">
        <v>4</v>
      </c>
      <c r="E1657">
        <v>1718</v>
      </c>
      <c r="F1657" t="s">
        <v>5161</v>
      </c>
      <c r="G1657" t="s">
        <v>5161</v>
      </c>
      <c r="H1657">
        <v>100000</v>
      </c>
      <c r="I1657">
        <v>0</v>
      </c>
      <c r="J1657">
        <v>0</v>
      </c>
      <c r="K1657">
        <v>0</v>
      </c>
      <c r="L1657">
        <v>0</v>
      </c>
      <c r="M1657">
        <v>599</v>
      </c>
    </row>
    <row r="1658" spans="1:13" ht="15">
      <c r="A1658" t="s">
        <v>3626</v>
      </c>
      <c r="B1658" s="1040" t="str">
        <f>CONCATENATE(LEFT(RIGHT(CONCATENATE("000",IFAData_TEA_1819!A1658),6),3),"-",(RIGHT(RIGHT(CONCATENATE("000",IFAData_TEA_1819!A1658),6),3)))</f>
        <v>147-901</v>
      </c>
      <c r="C1658" t="s">
        <v>1554</v>
      </c>
      <c r="D1658">
        <v>4</v>
      </c>
      <c r="E1658">
        <v>1718</v>
      </c>
      <c r="F1658" t="s">
        <v>5161</v>
      </c>
      <c r="G1658" t="s">
        <v>5162</v>
      </c>
      <c r="H1658">
        <v>100000</v>
      </c>
      <c r="I1658">
        <v>93481</v>
      </c>
      <c r="J1658">
        <v>1</v>
      </c>
      <c r="K1658">
        <v>100000</v>
      </c>
      <c r="L1658">
        <v>93481</v>
      </c>
      <c r="M1658">
        <v>599</v>
      </c>
    </row>
    <row r="1659" spans="1:13" ht="15">
      <c r="A1659" t="s">
        <v>5987</v>
      </c>
      <c r="B1659" s="1040" t="str">
        <f>CONCATENATE(LEFT(RIGHT(CONCATENATE("000",IFAData_TEA_1819!A1659),6),3),"-",(RIGHT(RIGHT(CONCATENATE("000",IFAData_TEA_1819!A1659),6),3)))</f>
        <v>147-903</v>
      </c>
      <c r="C1659" t="s">
        <v>546</v>
      </c>
      <c r="D1659">
        <v>11</v>
      </c>
      <c r="E1659">
        <v>2574</v>
      </c>
      <c r="F1659" t="s">
        <v>8448</v>
      </c>
      <c r="G1659" t="s">
        <v>8448</v>
      </c>
      <c r="H1659">
        <v>141879</v>
      </c>
      <c r="I1659">
        <v>141879</v>
      </c>
      <c r="J1659">
        <v>1</v>
      </c>
      <c r="K1659">
        <v>141879</v>
      </c>
      <c r="L1659">
        <v>141879</v>
      </c>
      <c r="M1659">
        <v>599</v>
      </c>
    </row>
    <row r="1660" spans="1:13" ht="15">
      <c r="A1660" t="s">
        <v>5987</v>
      </c>
      <c r="B1660" s="1040" t="str">
        <f>CONCATENATE(LEFT(RIGHT(CONCATENATE("000",IFAData_TEA_1819!A1660),6),3),"-",(RIGHT(RIGHT(CONCATENATE("000",IFAData_TEA_1819!A1660),6),3)))</f>
        <v>147-903</v>
      </c>
      <c r="C1660" t="s">
        <v>546</v>
      </c>
      <c r="D1660">
        <v>11</v>
      </c>
      <c r="E1660">
        <v>2575</v>
      </c>
      <c r="F1660" t="s">
        <v>8450</v>
      </c>
      <c r="G1660" t="s">
        <v>8450</v>
      </c>
      <c r="H1660">
        <v>123874</v>
      </c>
      <c r="I1660">
        <v>256132</v>
      </c>
      <c r="J1660">
        <v>1</v>
      </c>
      <c r="K1660">
        <v>123874</v>
      </c>
      <c r="L1660">
        <v>123874</v>
      </c>
      <c r="M1660">
        <v>599</v>
      </c>
    </row>
    <row r="1661" spans="1:13" ht="15">
      <c r="A1661" t="s">
        <v>5163</v>
      </c>
      <c r="B1661" s="1040" t="str">
        <f>CONCATENATE(LEFT(RIGHT(CONCATENATE("000",IFAData_TEA_1819!A1661),6),3),"-",(RIGHT(RIGHT(CONCATENATE("000",IFAData_TEA_1819!A1661),6),3)))</f>
        <v>152-901</v>
      </c>
      <c r="C1661" t="s">
        <v>586</v>
      </c>
      <c r="D1661">
        <v>1</v>
      </c>
      <c r="E1661">
        <v>2040</v>
      </c>
      <c r="F1661" t="s">
        <v>5164</v>
      </c>
      <c r="G1661" t="s">
        <v>5164</v>
      </c>
      <c r="H1661">
        <v>112803</v>
      </c>
      <c r="I1661">
        <v>0</v>
      </c>
      <c r="J1661">
        <v>0</v>
      </c>
      <c r="K1661"/>
      <c r="L1661">
        <v>0</v>
      </c>
      <c r="M1661">
        <v>599</v>
      </c>
    </row>
    <row r="1662" spans="1:13" ht="15">
      <c r="A1662" t="s">
        <v>5995</v>
      </c>
      <c r="B1662" s="1040" t="str">
        <f>CONCATENATE(LEFT(RIGHT(CONCATENATE("000",IFAData_TEA_1819!A1662),6),3),"-",(RIGHT(RIGHT(CONCATENATE("000",IFAData_TEA_1819!A1662),6),3)))</f>
        <v>152-903</v>
      </c>
      <c r="C1662" t="s">
        <v>555</v>
      </c>
      <c r="D1662">
        <v>11</v>
      </c>
      <c r="E1662">
        <v>2541</v>
      </c>
      <c r="F1662" t="s">
        <v>8451</v>
      </c>
      <c r="G1662" t="s">
        <v>8451</v>
      </c>
      <c r="H1662">
        <v>290364</v>
      </c>
      <c r="I1662">
        <v>733812</v>
      </c>
      <c r="J1662">
        <v>1</v>
      </c>
      <c r="K1662">
        <v>290364</v>
      </c>
      <c r="L1662">
        <v>290364</v>
      </c>
      <c r="M1662">
        <v>599</v>
      </c>
    </row>
    <row r="1663" spans="1:13" ht="15">
      <c r="A1663" t="s">
        <v>3627</v>
      </c>
      <c r="B1663" s="1040" t="str">
        <f>CONCATENATE(LEFT(RIGHT(CONCATENATE("000",IFAData_TEA_1819!A1663),6),3),"-",(RIGHT(RIGHT(CONCATENATE("000",IFAData_TEA_1819!A1663),6),3)))</f>
        <v>152-906</v>
      </c>
      <c r="C1663" t="s">
        <v>587</v>
      </c>
      <c r="D1663">
        <v>5</v>
      </c>
      <c r="E1663">
        <v>2041</v>
      </c>
      <c r="F1663" t="s">
        <v>5165</v>
      </c>
      <c r="G1663" t="s">
        <v>5165</v>
      </c>
      <c r="H1663">
        <v>445840</v>
      </c>
      <c r="I1663">
        <v>0</v>
      </c>
      <c r="J1663">
        <v>0</v>
      </c>
      <c r="K1663">
        <v>0</v>
      </c>
      <c r="L1663">
        <v>0</v>
      </c>
      <c r="M1663">
        <v>599</v>
      </c>
    </row>
    <row r="1664" spans="1:13" ht="15">
      <c r="A1664" t="s">
        <v>3627</v>
      </c>
      <c r="B1664" s="1040" t="str">
        <f>CONCATENATE(LEFT(RIGHT(CONCATENATE("000",IFAData_TEA_1819!A1664),6),3),"-",(RIGHT(RIGHT(CONCATENATE("000",IFAData_TEA_1819!A1664),6),3)))</f>
        <v>152-906</v>
      </c>
      <c r="C1664" t="s">
        <v>587</v>
      </c>
      <c r="D1664">
        <v>5</v>
      </c>
      <c r="E1664">
        <v>2041</v>
      </c>
      <c r="F1664" t="s">
        <v>5165</v>
      </c>
      <c r="G1664" t="s">
        <v>5166</v>
      </c>
      <c r="H1664">
        <v>445840</v>
      </c>
      <c r="I1664">
        <v>668900</v>
      </c>
      <c r="J1664">
        <v>1</v>
      </c>
      <c r="K1664">
        <v>445840</v>
      </c>
      <c r="L1664">
        <v>445840</v>
      </c>
      <c r="M1664">
        <v>599</v>
      </c>
    </row>
    <row r="1665" spans="1:13" ht="15">
      <c r="A1665" t="s">
        <v>3628</v>
      </c>
      <c r="B1665" s="1040" t="str">
        <f>CONCATENATE(LEFT(RIGHT(CONCATENATE("000",IFAData_TEA_1819!A1665),6),3),"-",(RIGHT(RIGHT(CONCATENATE("000",IFAData_TEA_1819!A1665),6),3)))</f>
        <v>152-907</v>
      </c>
      <c r="C1665" t="s">
        <v>2303</v>
      </c>
      <c r="D1665">
        <v>1</v>
      </c>
      <c r="E1665">
        <v>1825</v>
      </c>
      <c r="F1665" t="s">
        <v>5167</v>
      </c>
      <c r="G1665" t="s">
        <v>5167</v>
      </c>
      <c r="H1665">
        <v>125335</v>
      </c>
      <c r="I1665">
        <v>0</v>
      </c>
      <c r="J1665">
        <v>0</v>
      </c>
      <c r="K1665"/>
      <c r="L1665">
        <v>0</v>
      </c>
      <c r="M1665">
        <v>599</v>
      </c>
    </row>
    <row r="1666" spans="1:13" ht="15">
      <c r="A1666" t="s">
        <v>3628</v>
      </c>
      <c r="B1666" s="1040" t="str">
        <f>CONCATENATE(LEFT(RIGHT(CONCATENATE("000",IFAData_TEA_1819!A1666),6),3),"-",(RIGHT(RIGHT(CONCATENATE("000",IFAData_TEA_1819!A1666),6),3)))</f>
        <v>152-907</v>
      </c>
      <c r="C1666" t="s">
        <v>2303</v>
      </c>
      <c r="D1666">
        <v>2</v>
      </c>
      <c r="E1666">
        <v>1826</v>
      </c>
      <c r="F1666" t="s">
        <v>5169</v>
      </c>
      <c r="G1666" t="s">
        <v>5169</v>
      </c>
      <c r="H1666">
        <v>596622</v>
      </c>
      <c r="I1666">
        <v>0</v>
      </c>
      <c r="J1666">
        <v>0</v>
      </c>
      <c r="K1666"/>
      <c r="L1666">
        <v>0</v>
      </c>
      <c r="M1666">
        <v>599</v>
      </c>
    </row>
    <row r="1667" spans="1:13" ht="15">
      <c r="A1667" t="s">
        <v>3628</v>
      </c>
      <c r="B1667" s="1040" t="str">
        <f>CONCATENATE(LEFT(RIGHT(CONCATENATE("000",IFAData_TEA_1819!A1667),6),3),"-",(RIGHT(RIGHT(CONCATENATE("000",IFAData_TEA_1819!A1667),6),3)))</f>
        <v>152-907</v>
      </c>
      <c r="C1667" t="s">
        <v>2303</v>
      </c>
      <c r="D1667">
        <v>9</v>
      </c>
      <c r="E1667">
        <v>1828</v>
      </c>
      <c r="F1667" t="s">
        <v>5171</v>
      </c>
      <c r="G1667" t="s">
        <v>5171</v>
      </c>
      <c r="H1667">
        <v>1482602</v>
      </c>
      <c r="I1667">
        <v>0</v>
      </c>
      <c r="J1667">
        <v>0</v>
      </c>
      <c r="K1667">
        <v>0</v>
      </c>
      <c r="L1667">
        <v>0</v>
      </c>
      <c r="M1667">
        <v>599</v>
      </c>
    </row>
    <row r="1668" spans="1:13" ht="15">
      <c r="A1668" t="s">
        <v>3628</v>
      </c>
      <c r="B1668" s="1040" t="str">
        <f>CONCATENATE(LEFT(RIGHT(CONCATENATE("000",IFAData_TEA_1819!A1668),6),3),"-",(RIGHT(RIGHT(CONCATENATE("000",IFAData_TEA_1819!A1668),6),3)))</f>
        <v>152-907</v>
      </c>
      <c r="C1668" t="s">
        <v>2303</v>
      </c>
      <c r="D1668">
        <v>9</v>
      </c>
      <c r="E1668">
        <v>1828</v>
      </c>
      <c r="F1668" t="s">
        <v>5171</v>
      </c>
      <c r="G1668" t="s">
        <v>6292</v>
      </c>
      <c r="H1668">
        <v>1482602</v>
      </c>
      <c r="I1668">
        <v>4029195</v>
      </c>
      <c r="J1668">
        <v>1</v>
      </c>
      <c r="K1668">
        <v>1482602</v>
      </c>
      <c r="L1668">
        <v>1482602</v>
      </c>
      <c r="M1668">
        <v>599</v>
      </c>
    </row>
    <row r="1669" spans="1:13" ht="15">
      <c r="A1669" t="s">
        <v>3628</v>
      </c>
      <c r="B1669" s="1040" t="str">
        <f>CONCATENATE(LEFT(RIGHT(CONCATENATE("000",IFAData_TEA_1819!A1669),6),3),"-",(RIGHT(RIGHT(CONCATENATE("000",IFAData_TEA_1819!A1669),6),3)))</f>
        <v>152-907</v>
      </c>
      <c r="C1669" t="s">
        <v>2303</v>
      </c>
      <c r="D1669">
        <v>10</v>
      </c>
      <c r="E1669">
        <v>1827</v>
      </c>
      <c r="F1669" t="s">
        <v>5172</v>
      </c>
      <c r="G1669" t="s">
        <v>5172</v>
      </c>
      <c r="H1669">
        <v>664408</v>
      </c>
      <c r="I1669">
        <v>350042</v>
      </c>
      <c r="J1669">
        <v>0.52770018165783505</v>
      </c>
      <c r="K1669">
        <v>350608.22229491902</v>
      </c>
      <c r="L1669">
        <v>350042</v>
      </c>
      <c r="M1669">
        <v>599</v>
      </c>
    </row>
    <row r="1670" spans="1:13" ht="15">
      <c r="A1670" t="s">
        <v>3628</v>
      </c>
      <c r="B1670" s="1040" t="str">
        <f>CONCATENATE(LEFT(RIGHT(CONCATENATE("000",IFAData_TEA_1819!A1670),6),3),"-",(RIGHT(RIGHT(CONCATENATE("000",IFAData_TEA_1819!A1670),6),3)))</f>
        <v>152-907</v>
      </c>
      <c r="C1670" t="s">
        <v>2303</v>
      </c>
      <c r="D1670">
        <v>10</v>
      </c>
      <c r="E1670">
        <v>1827</v>
      </c>
      <c r="F1670" t="s">
        <v>5172</v>
      </c>
      <c r="G1670" t="s">
        <v>6500</v>
      </c>
      <c r="H1670">
        <v>664408</v>
      </c>
      <c r="I1670">
        <v>313293</v>
      </c>
      <c r="J1670">
        <v>0.472299818342165</v>
      </c>
      <c r="K1670">
        <v>313799.77770508098</v>
      </c>
      <c r="L1670">
        <v>313293</v>
      </c>
      <c r="M1670">
        <v>599</v>
      </c>
    </row>
    <row r="1671" spans="1:13" ht="15">
      <c r="A1671" t="s">
        <v>3629</v>
      </c>
      <c r="B1671" s="1040" t="str">
        <f>CONCATENATE(LEFT(RIGHT(CONCATENATE("000",IFAData_TEA_1819!A1671),6),3),"-",(RIGHT(RIGHT(CONCATENATE("000",IFAData_TEA_1819!A1671),6),3)))</f>
        <v>152-909</v>
      </c>
      <c r="C1671" t="s">
        <v>1248</v>
      </c>
      <c r="D1671">
        <v>2</v>
      </c>
      <c r="E1671">
        <v>2325</v>
      </c>
      <c r="F1671" t="s">
        <v>5173</v>
      </c>
      <c r="G1671" t="s">
        <v>5173</v>
      </c>
      <c r="H1671">
        <v>281008</v>
      </c>
      <c r="I1671">
        <v>0</v>
      </c>
      <c r="J1671">
        <v>0</v>
      </c>
      <c r="K1671">
        <v>0</v>
      </c>
      <c r="L1671">
        <v>0</v>
      </c>
      <c r="M1671">
        <v>599</v>
      </c>
    </row>
    <row r="1672" spans="1:13" ht="15">
      <c r="A1672" t="s">
        <v>3629</v>
      </c>
      <c r="B1672" s="1040" t="str">
        <f>CONCATENATE(LEFT(RIGHT(CONCATENATE("000",IFAData_TEA_1819!A1672),6),3),"-",(RIGHT(RIGHT(CONCATENATE("000",IFAData_TEA_1819!A1672),6),3)))</f>
        <v>152-909</v>
      </c>
      <c r="C1672" t="s">
        <v>1248</v>
      </c>
      <c r="D1672">
        <v>2</v>
      </c>
      <c r="E1672">
        <v>2325</v>
      </c>
      <c r="F1672" t="s">
        <v>5173</v>
      </c>
      <c r="G1672" t="s">
        <v>5174</v>
      </c>
      <c r="H1672">
        <v>281008</v>
      </c>
      <c r="I1672">
        <v>0</v>
      </c>
      <c r="J1672">
        <v>0</v>
      </c>
      <c r="K1672">
        <v>0</v>
      </c>
      <c r="L1672">
        <v>0</v>
      </c>
      <c r="M1672">
        <v>599</v>
      </c>
    </row>
    <row r="1673" spans="1:13" ht="15">
      <c r="A1673" t="s">
        <v>3629</v>
      </c>
      <c r="B1673" s="1040" t="str">
        <f>CONCATENATE(LEFT(RIGHT(CONCATENATE("000",IFAData_TEA_1819!A1673),6),3),"-",(RIGHT(RIGHT(CONCATENATE("000",IFAData_TEA_1819!A1673),6),3)))</f>
        <v>152-909</v>
      </c>
      <c r="C1673" t="s">
        <v>1248</v>
      </c>
      <c r="D1673">
        <v>2</v>
      </c>
      <c r="E1673">
        <v>2325</v>
      </c>
      <c r="F1673" t="s">
        <v>5173</v>
      </c>
      <c r="G1673" t="s">
        <v>5175</v>
      </c>
      <c r="H1673">
        <v>281008</v>
      </c>
      <c r="I1673">
        <v>255416</v>
      </c>
      <c r="J1673">
        <v>0.88676566064069495</v>
      </c>
      <c r="K1673">
        <v>249188.24476532001</v>
      </c>
      <c r="L1673">
        <v>249188.24476532001</v>
      </c>
      <c r="M1673">
        <v>599</v>
      </c>
    </row>
    <row r="1674" spans="1:13" ht="15">
      <c r="A1674" t="s">
        <v>3629</v>
      </c>
      <c r="B1674" s="1040" t="str">
        <f>CONCATENATE(LEFT(RIGHT(CONCATENATE("000",IFAData_TEA_1819!A1674),6),3),"-",(RIGHT(RIGHT(CONCATENATE("000",IFAData_TEA_1819!A1674),6),3)))</f>
        <v>152-909</v>
      </c>
      <c r="C1674" t="s">
        <v>1248</v>
      </c>
      <c r="D1674">
        <v>2</v>
      </c>
      <c r="E1674">
        <v>2325</v>
      </c>
      <c r="F1674" t="s">
        <v>5173</v>
      </c>
      <c r="G1674" t="s">
        <v>8452</v>
      </c>
      <c r="H1674">
        <v>281008</v>
      </c>
      <c r="I1674">
        <v>32615</v>
      </c>
      <c r="J1674">
        <v>0.11323433935930501</v>
      </c>
      <c r="K1674">
        <v>31819.7552346796</v>
      </c>
      <c r="L1674">
        <v>31819.7552346796</v>
      </c>
      <c r="M1674">
        <v>599</v>
      </c>
    </row>
    <row r="1675" spans="1:13" ht="15">
      <c r="A1675" t="s">
        <v>3629</v>
      </c>
      <c r="B1675" s="1040" t="str">
        <f>CONCATENATE(LEFT(RIGHT(CONCATENATE("000",IFAData_TEA_1819!A1675),6),3),"-",(RIGHT(RIGHT(CONCATENATE("000",IFAData_TEA_1819!A1675),6),3)))</f>
        <v>152-909</v>
      </c>
      <c r="C1675" t="s">
        <v>1248</v>
      </c>
      <c r="D1675">
        <v>5</v>
      </c>
      <c r="E1675">
        <v>2326</v>
      </c>
      <c r="F1675" t="s">
        <v>5176</v>
      </c>
      <c r="G1675" t="s">
        <v>5176</v>
      </c>
      <c r="H1675">
        <v>289979</v>
      </c>
      <c r="I1675">
        <v>0</v>
      </c>
      <c r="J1675">
        <v>0</v>
      </c>
      <c r="K1675">
        <v>0</v>
      </c>
      <c r="L1675">
        <v>0</v>
      </c>
      <c r="M1675">
        <v>599</v>
      </c>
    </row>
    <row r="1676" spans="1:13" ht="15">
      <c r="A1676" t="s">
        <v>3629</v>
      </c>
      <c r="B1676" s="1040" t="str">
        <f>CONCATENATE(LEFT(RIGHT(CONCATENATE("000",IFAData_TEA_1819!A1676),6),3),"-",(RIGHT(RIGHT(CONCATENATE("000",IFAData_TEA_1819!A1676),6),3)))</f>
        <v>152-909</v>
      </c>
      <c r="C1676" t="s">
        <v>1248</v>
      </c>
      <c r="D1676">
        <v>5</v>
      </c>
      <c r="E1676">
        <v>2326</v>
      </c>
      <c r="F1676" t="s">
        <v>5176</v>
      </c>
      <c r="G1676" t="s">
        <v>5174</v>
      </c>
      <c r="H1676">
        <v>289979</v>
      </c>
      <c r="I1676">
        <v>125738</v>
      </c>
      <c r="J1676">
        <v>0.36626914539723998</v>
      </c>
      <c r="K1676">
        <v>106210.36051314601</v>
      </c>
      <c r="L1676">
        <v>106210.36051314601</v>
      </c>
      <c r="M1676">
        <v>599</v>
      </c>
    </row>
    <row r="1677" spans="1:13" ht="15">
      <c r="A1677" t="s">
        <v>3629</v>
      </c>
      <c r="B1677" s="1040" t="str">
        <f>CONCATENATE(LEFT(RIGHT(CONCATENATE("000",IFAData_TEA_1819!A1677),6),3),"-",(RIGHT(RIGHT(CONCATENATE("000",IFAData_TEA_1819!A1677),6),3)))</f>
        <v>152-909</v>
      </c>
      <c r="C1677" t="s">
        <v>1248</v>
      </c>
      <c r="D1677">
        <v>5</v>
      </c>
      <c r="E1677">
        <v>2326</v>
      </c>
      <c r="F1677" t="s">
        <v>5176</v>
      </c>
      <c r="G1677" t="s">
        <v>5175</v>
      </c>
      <c r="H1677">
        <v>289979</v>
      </c>
      <c r="I1677">
        <v>146734</v>
      </c>
      <c r="J1677">
        <v>0.42742955018147699</v>
      </c>
      <c r="K1677">
        <v>123945.593532075</v>
      </c>
      <c r="L1677">
        <v>123945.593532075</v>
      </c>
      <c r="M1677">
        <v>599</v>
      </c>
    </row>
    <row r="1678" spans="1:13" ht="15">
      <c r="A1678" t="s">
        <v>3629</v>
      </c>
      <c r="B1678" s="1040" t="str">
        <f>CONCATENATE(LEFT(RIGHT(CONCATENATE("000",IFAData_TEA_1819!A1678),6),3),"-",(RIGHT(RIGHT(CONCATENATE("000",IFAData_TEA_1819!A1678),6),3)))</f>
        <v>152-909</v>
      </c>
      <c r="C1678" t="s">
        <v>1248</v>
      </c>
      <c r="D1678">
        <v>5</v>
      </c>
      <c r="E1678">
        <v>2326</v>
      </c>
      <c r="F1678" t="s">
        <v>5176</v>
      </c>
      <c r="G1678" t="s">
        <v>8452</v>
      </c>
      <c r="H1678">
        <v>289979</v>
      </c>
      <c r="I1678">
        <v>70822</v>
      </c>
      <c r="J1678">
        <v>0.206301304421283</v>
      </c>
      <c r="K1678">
        <v>59823.0459547793</v>
      </c>
      <c r="L1678">
        <v>59823.0459547793</v>
      </c>
      <c r="M1678">
        <v>599</v>
      </c>
    </row>
    <row r="1679" spans="1:13" ht="15">
      <c r="A1679" t="s">
        <v>3630</v>
      </c>
      <c r="B1679" s="1040" t="str">
        <f>CONCATENATE(LEFT(RIGHT(CONCATENATE("000",IFAData_TEA_1819!A1679),6),3),"-",(RIGHT(RIGHT(CONCATENATE("000",IFAData_TEA_1819!A1679),6),3)))</f>
        <v>152-910</v>
      </c>
      <c r="C1679" t="s">
        <v>557</v>
      </c>
      <c r="D1679">
        <v>10</v>
      </c>
      <c r="E1679">
        <v>1923</v>
      </c>
      <c r="F1679" t="s">
        <v>5177</v>
      </c>
      <c r="G1679" t="s">
        <v>5177</v>
      </c>
      <c r="H1679">
        <v>220668</v>
      </c>
      <c r="I1679">
        <v>151950</v>
      </c>
      <c r="J1679">
        <v>0.159098619155914</v>
      </c>
      <c r="K1679">
        <v>35107.9740918971</v>
      </c>
      <c r="L1679">
        <v>35107.9740918971</v>
      </c>
      <c r="M1679">
        <v>599</v>
      </c>
    </row>
    <row r="1680" spans="1:13" ht="15">
      <c r="A1680" t="s">
        <v>3630</v>
      </c>
      <c r="B1680" s="1040" t="str">
        <f>CONCATENATE(LEFT(RIGHT(CONCATENATE("000",IFAData_TEA_1819!A1680),6),3),"-",(RIGHT(RIGHT(CONCATENATE("000",IFAData_TEA_1819!A1680),6),3)))</f>
        <v>152-910</v>
      </c>
      <c r="C1680" t="s">
        <v>557</v>
      </c>
      <c r="D1680">
        <v>10</v>
      </c>
      <c r="E1680">
        <v>1923</v>
      </c>
      <c r="F1680" t="s">
        <v>5177</v>
      </c>
      <c r="G1680" t="s">
        <v>6501</v>
      </c>
      <c r="H1680">
        <v>220668</v>
      </c>
      <c r="I1680">
        <v>662478</v>
      </c>
      <c r="J1680">
        <v>0.69364485041902801</v>
      </c>
      <c r="K1680">
        <v>153065.221852266</v>
      </c>
      <c r="L1680">
        <v>153065.221852266</v>
      </c>
      <c r="M1680">
        <v>599</v>
      </c>
    </row>
    <row r="1681" spans="1:13" ht="15">
      <c r="A1681" t="s">
        <v>3630</v>
      </c>
      <c r="B1681" s="1040" t="str">
        <f>CONCATENATE(LEFT(RIGHT(CONCATENATE("000",IFAData_TEA_1819!A1681),6),3),"-",(RIGHT(RIGHT(CONCATENATE("000",IFAData_TEA_1819!A1681),6),3)))</f>
        <v>152-910</v>
      </c>
      <c r="C1681" t="s">
        <v>557</v>
      </c>
      <c r="D1681">
        <v>10</v>
      </c>
      <c r="E1681">
        <v>1923</v>
      </c>
      <c r="F1681" t="s">
        <v>5177</v>
      </c>
      <c r="G1681" t="s">
        <v>8538</v>
      </c>
      <c r="H1681">
        <v>220668</v>
      </c>
      <c r="I1681">
        <v>140640</v>
      </c>
      <c r="J1681">
        <v>0.14725653042505901</v>
      </c>
      <c r="K1681">
        <v>32494.804055836899</v>
      </c>
      <c r="L1681">
        <v>32494.804055836899</v>
      </c>
      <c r="M1681">
        <v>599</v>
      </c>
    </row>
    <row r="1682" spans="1:13" ht="15">
      <c r="A1682" t="s">
        <v>3631</v>
      </c>
      <c r="B1682" s="1040" t="str">
        <f>CONCATENATE(LEFT(RIGHT(CONCATENATE("000",IFAData_TEA_1819!A1682),6),3),"-",(RIGHT(RIGHT(CONCATENATE("000",IFAData_TEA_1819!A1682),6),3)))</f>
        <v>154-901</v>
      </c>
      <c r="C1682" t="s">
        <v>37</v>
      </c>
      <c r="D1682">
        <v>3</v>
      </c>
      <c r="E1682">
        <v>2049</v>
      </c>
      <c r="F1682" t="s">
        <v>5178</v>
      </c>
      <c r="G1682" t="s">
        <v>5178</v>
      </c>
      <c r="H1682">
        <v>471642</v>
      </c>
      <c r="I1682">
        <v>0</v>
      </c>
      <c r="J1682">
        <v>0</v>
      </c>
      <c r="K1682">
        <v>0</v>
      </c>
      <c r="L1682">
        <v>0</v>
      </c>
      <c r="M1682">
        <v>599</v>
      </c>
    </row>
    <row r="1683" spans="1:13" ht="15">
      <c r="A1683" t="s">
        <v>3631</v>
      </c>
      <c r="B1683" s="1040" t="str">
        <f>CONCATENATE(LEFT(RIGHT(CONCATENATE("000",IFAData_TEA_1819!A1683),6),3),"-",(RIGHT(RIGHT(CONCATENATE("000",IFAData_TEA_1819!A1683),6),3)))</f>
        <v>154-901</v>
      </c>
      <c r="C1683" t="s">
        <v>37</v>
      </c>
      <c r="D1683">
        <v>3</v>
      </c>
      <c r="E1683">
        <v>2049</v>
      </c>
      <c r="F1683" t="s">
        <v>5178</v>
      </c>
      <c r="G1683" t="s">
        <v>5179</v>
      </c>
      <c r="H1683">
        <v>471642</v>
      </c>
      <c r="I1683">
        <v>0</v>
      </c>
      <c r="J1683">
        <v>0</v>
      </c>
      <c r="K1683">
        <v>0</v>
      </c>
      <c r="L1683">
        <v>0</v>
      </c>
      <c r="M1683">
        <v>599</v>
      </c>
    </row>
    <row r="1684" spans="1:13" ht="15">
      <c r="A1684" t="s">
        <v>3631</v>
      </c>
      <c r="B1684" s="1040" t="str">
        <f>CONCATENATE(LEFT(RIGHT(CONCATENATE("000",IFAData_TEA_1819!A1684),6),3),"-",(RIGHT(RIGHT(CONCATENATE("000",IFAData_TEA_1819!A1684),6),3)))</f>
        <v>154-901</v>
      </c>
      <c r="C1684" t="s">
        <v>37</v>
      </c>
      <c r="D1684">
        <v>3</v>
      </c>
      <c r="E1684">
        <v>2049</v>
      </c>
      <c r="F1684" t="s">
        <v>5178</v>
      </c>
      <c r="G1684" t="s">
        <v>8453</v>
      </c>
      <c r="H1684">
        <v>471642</v>
      </c>
      <c r="I1684">
        <v>405452</v>
      </c>
      <c r="J1684">
        <v>1</v>
      </c>
      <c r="K1684">
        <v>471642</v>
      </c>
      <c r="L1684">
        <v>405452</v>
      </c>
      <c r="M1684">
        <v>599</v>
      </c>
    </row>
    <row r="1685" spans="1:13" ht="15">
      <c r="A1685" t="s">
        <v>3631</v>
      </c>
      <c r="B1685" s="1040" t="str">
        <f>CONCATENATE(LEFT(RIGHT(CONCATENATE("000",IFAData_TEA_1819!A1685),6),3),"-",(RIGHT(RIGHT(CONCATENATE("000",IFAData_TEA_1819!A1685),6),3)))</f>
        <v>154-901</v>
      </c>
      <c r="C1685" t="s">
        <v>37</v>
      </c>
      <c r="D1685">
        <v>6</v>
      </c>
      <c r="E1685">
        <v>2050</v>
      </c>
      <c r="F1685" t="s">
        <v>5180</v>
      </c>
      <c r="G1685" t="s">
        <v>5180</v>
      </c>
      <c r="H1685">
        <v>471900</v>
      </c>
      <c r="I1685">
        <v>0</v>
      </c>
      <c r="J1685">
        <v>0</v>
      </c>
      <c r="K1685">
        <v>0</v>
      </c>
      <c r="L1685">
        <v>0</v>
      </c>
      <c r="M1685">
        <v>599</v>
      </c>
    </row>
    <row r="1686" spans="1:13" ht="15">
      <c r="A1686" t="s">
        <v>3631</v>
      </c>
      <c r="B1686" s="1040" t="str">
        <f>CONCATENATE(LEFT(RIGHT(CONCATENATE("000",IFAData_TEA_1819!A1686),6),3),"-",(RIGHT(RIGHT(CONCATENATE("000",IFAData_TEA_1819!A1686),6),3)))</f>
        <v>154-901</v>
      </c>
      <c r="C1686" t="s">
        <v>37</v>
      </c>
      <c r="D1686">
        <v>6</v>
      </c>
      <c r="E1686">
        <v>2050</v>
      </c>
      <c r="F1686" t="s">
        <v>5180</v>
      </c>
      <c r="G1686" t="s">
        <v>5181</v>
      </c>
      <c r="H1686">
        <v>471900</v>
      </c>
      <c r="I1686">
        <v>425380</v>
      </c>
      <c r="J1686">
        <v>1</v>
      </c>
      <c r="K1686">
        <v>471900</v>
      </c>
      <c r="L1686">
        <v>425380</v>
      </c>
      <c r="M1686">
        <v>599</v>
      </c>
    </row>
    <row r="1687" spans="1:13" ht="15">
      <c r="A1687" t="s">
        <v>3632</v>
      </c>
      <c r="B1687" s="1040" t="str">
        <f>CONCATENATE(LEFT(RIGHT(CONCATENATE("000",IFAData_TEA_1819!A1687),6),3),"-",(RIGHT(RIGHT(CONCATENATE("000",IFAData_TEA_1819!A1687),6),3)))</f>
        <v>154-903</v>
      </c>
      <c r="C1687" t="s">
        <v>562</v>
      </c>
      <c r="D1687">
        <v>9</v>
      </c>
      <c r="E1687">
        <v>2150</v>
      </c>
      <c r="F1687" t="s">
        <v>5182</v>
      </c>
      <c r="G1687" t="s">
        <v>5182</v>
      </c>
      <c r="H1687">
        <v>100000</v>
      </c>
      <c r="I1687">
        <v>0</v>
      </c>
      <c r="J1687">
        <v>0</v>
      </c>
      <c r="K1687">
        <v>0</v>
      </c>
      <c r="L1687">
        <v>0</v>
      </c>
      <c r="M1687">
        <v>599</v>
      </c>
    </row>
    <row r="1688" spans="1:13" ht="15">
      <c r="A1688" t="s">
        <v>3632</v>
      </c>
      <c r="B1688" s="1040" t="str">
        <f>CONCATENATE(LEFT(RIGHT(CONCATENATE("000",IFAData_TEA_1819!A1688),6),3),"-",(RIGHT(RIGHT(CONCATENATE("000",IFAData_TEA_1819!A1688),6),3)))</f>
        <v>154-903</v>
      </c>
      <c r="C1688" t="s">
        <v>562</v>
      </c>
      <c r="D1688">
        <v>9</v>
      </c>
      <c r="E1688">
        <v>2150</v>
      </c>
      <c r="F1688" t="s">
        <v>5182</v>
      </c>
      <c r="G1688" t="s">
        <v>5183</v>
      </c>
      <c r="H1688">
        <v>100000</v>
      </c>
      <c r="I1688">
        <v>359178</v>
      </c>
      <c r="J1688">
        <v>1</v>
      </c>
      <c r="K1688">
        <v>100000</v>
      </c>
      <c r="L1688">
        <v>100000</v>
      </c>
      <c r="M1688">
        <v>599</v>
      </c>
    </row>
    <row r="1689" spans="1:13" ht="15">
      <c r="A1689" t="s">
        <v>3633</v>
      </c>
      <c r="B1689" s="1040" t="str">
        <f>CONCATENATE(LEFT(RIGHT(CONCATENATE("000",IFAData_TEA_1819!A1689),6),3),"-",(RIGHT(RIGHT(CONCATENATE("000",IFAData_TEA_1819!A1689),6),3)))</f>
        <v>159-901</v>
      </c>
      <c r="C1689" t="s">
        <v>1062</v>
      </c>
      <c r="D1689">
        <v>1</v>
      </c>
      <c r="E1689">
        <v>1774</v>
      </c>
      <c r="F1689" t="s">
        <v>5184</v>
      </c>
      <c r="G1689" t="s">
        <v>5184</v>
      </c>
      <c r="H1689">
        <v>1514140</v>
      </c>
      <c r="I1689">
        <v>0</v>
      </c>
      <c r="J1689">
        <v>0</v>
      </c>
      <c r="K1689"/>
      <c r="L1689">
        <v>0</v>
      </c>
      <c r="M1689">
        <v>599</v>
      </c>
    </row>
    <row r="1690" spans="1:13" ht="15">
      <c r="A1690" t="s">
        <v>3633</v>
      </c>
      <c r="B1690" s="1040" t="str">
        <f>CONCATENATE(LEFT(RIGHT(CONCATENATE("000",IFAData_TEA_1819!A1690),6),3),"-",(RIGHT(RIGHT(CONCATENATE("000",IFAData_TEA_1819!A1690),6),3)))</f>
        <v>159-901</v>
      </c>
      <c r="C1690" t="s">
        <v>1062</v>
      </c>
      <c r="D1690">
        <v>4</v>
      </c>
      <c r="E1690">
        <v>1773</v>
      </c>
      <c r="F1690" t="s">
        <v>5186</v>
      </c>
      <c r="G1690" t="s">
        <v>5186</v>
      </c>
      <c r="H1690">
        <v>1415215</v>
      </c>
      <c r="I1690">
        <v>0</v>
      </c>
      <c r="J1690">
        <v>0</v>
      </c>
      <c r="K1690">
        <v>0</v>
      </c>
      <c r="L1690">
        <v>0</v>
      </c>
      <c r="M1690">
        <v>599</v>
      </c>
    </row>
    <row r="1691" spans="1:13" ht="15">
      <c r="A1691" t="s">
        <v>3633</v>
      </c>
      <c r="B1691" s="1040" t="str">
        <f>CONCATENATE(LEFT(RIGHT(CONCATENATE("000",IFAData_TEA_1819!A1691),6),3),"-",(RIGHT(RIGHT(CONCATENATE("000",IFAData_TEA_1819!A1691),6),3)))</f>
        <v>159-901</v>
      </c>
      <c r="C1691" t="s">
        <v>1062</v>
      </c>
      <c r="D1691">
        <v>4</v>
      </c>
      <c r="E1691">
        <v>1773</v>
      </c>
      <c r="F1691" t="s">
        <v>5186</v>
      </c>
      <c r="G1691" t="s">
        <v>5185</v>
      </c>
      <c r="H1691">
        <v>1415215</v>
      </c>
      <c r="I1691">
        <v>0</v>
      </c>
      <c r="J1691">
        <v>0</v>
      </c>
      <c r="K1691">
        <v>0</v>
      </c>
      <c r="L1691">
        <v>0</v>
      </c>
      <c r="M1691">
        <v>599</v>
      </c>
    </row>
    <row r="1692" spans="1:13" ht="15">
      <c r="A1692" t="s">
        <v>3633</v>
      </c>
      <c r="B1692" s="1040" t="str">
        <f>CONCATENATE(LEFT(RIGHT(CONCATENATE("000",IFAData_TEA_1819!A1692),6),3),"-",(RIGHT(RIGHT(CONCATENATE("000",IFAData_TEA_1819!A1692),6),3)))</f>
        <v>159-901</v>
      </c>
      <c r="C1692" t="s">
        <v>1062</v>
      </c>
      <c r="D1692">
        <v>4</v>
      </c>
      <c r="E1692">
        <v>1773</v>
      </c>
      <c r="F1692" t="s">
        <v>5186</v>
      </c>
      <c r="G1692" t="s">
        <v>6293</v>
      </c>
      <c r="H1692">
        <v>1415215</v>
      </c>
      <c r="I1692">
        <v>1220900</v>
      </c>
      <c r="J1692">
        <v>1</v>
      </c>
      <c r="K1692">
        <v>1415215</v>
      </c>
      <c r="L1692">
        <v>1220900</v>
      </c>
      <c r="M1692">
        <v>599</v>
      </c>
    </row>
    <row r="1693" spans="1:13" ht="15">
      <c r="A1693" t="s">
        <v>3633</v>
      </c>
      <c r="B1693" s="1040" t="str">
        <f>CONCATENATE(LEFT(RIGHT(CONCATENATE("000",IFAData_TEA_1819!A1693),6),3),"-",(RIGHT(RIGHT(CONCATENATE("000",IFAData_TEA_1819!A1693),6),3)))</f>
        <v>159-901</v>
      </c>
      <c r="C1693" t="s">
        <v>1062</v>
      </c>
      <c r="D1693">
        <v>9</v>
      </c>
      <c r="E1693">
        <v>1775</v>
      </c>
      <c r="F1693" t="s">
        <v>5187</v>
      </c>
      <c r="G1693" t="s">
        <v>5187</v>
      </c>
      <c r="H1693">
        <v>1955528</v>
      </c>
      <c r="I1693">
        <v>0</v>
      </c>
      <c r="J1693">
        <v>0</v>
      </c>
      <c r="K1693">
        <v>0</v>
      </c>
      <c r="L1693">
        <v>0</v>
      </c>
      <c r="M1693">
        <v>599</v>
      </c>
    </row>
    <row r="1694" spans="1:13" ht="15">
      <c r="A1694" t="s">
        <v>3633</v>
      </c>
      <c r="B1694" s="1040" t="str">
        <f>CONCATENATE(LEFT(RIGHT(CONCATENATE("000",IFAData_TEA_1819!A1694),6),3),"-",(RIGHT(RIGHT(CONCATENATE("000",IFAData_TEA_1819!A1694),6),3)))</f>
        <v>159-901</v>
      </c>
      <c r="C1694" t="s">
        <v>1062</v>
      </c>
      <c r="D1694">
        <v>9</v>
      </c>
      <c r="E1694">
        <v>1775</v>
      </c>
      <c r="F1694" t="s">
        <v>5187</v>
      </c>
      <c r="G1694" t="s">
        <v>6502</v>
      </c>
      <c r="H1694">
        <v>1955528</v>
      </c>
      <c r="I1694">
        <v>1777850</v>
      </c>
      <c r="J1694">
        <v>1</v>
      </c>
      <c r="K1694">
        <v>1955528</v>
      </c>
      <c r="L1694">
        <v>1777850</v>
      </c>
      <c r="M1694">
        <v>599</v>
      </c>
    </row>
    <row r="1695" spans="1:13" ht="15">
      <c r="A1695" t="s">
        <v>3634</v>
      </c>
      <c r="B1695" s="1040" t="str">
        <f>CONCATENATE(LEFT(RIGHT(CONCATENATE("000",IFAData_TEA_1819!A1695),6),3),"-",(RIGHT(RIGHT(CONCATENATE("000",IFAData_TEA_1819!A1695),6),3)))</f>
        <v>160-901</v>
      </c>
      <c r="C1695" t="s">
        <v>1854</v>
      </c>
      <c r="D1695">
        <v>2</v>
      </c>
      <c r="E1695">
        <v>1632</v>
      </c>
      <c r="F1695" t="s">
        <v>5188</v>
      </c>
      <c r="G1695" t="s">
        <v>5188</v>
      </c>
      <c r="H1695">
        <v>348110</v>
      </c>
      <c r="I1695">
        <v>0</v>
      </c>
      <c r="J1695">
        <v>0</v>
      </c>
      <c r="K1695">
        <v>0</v>
      </c>
      <c r="L1695">
        <v>0</v>
      </c>
      <c r="M1695">
        <v>599</v>
      </c>
    </row>
    <row r="1696" spans="1:13" ht="15">
      <c r="A1696" t="s">
        <v>3634</v>
      </c>
      <c r="B1696" s="1040" t="str">
        <f>CONCATENATE(LEFT(RIGHT(CONCATENATE("000",IFAData_TEA_1819!A1696),6),3),"-",(RIGHT(RIGHT(CONCATENATE("000",IFAData_TEA_1819!A1696),6),3)))</f>
        <v>160-901</v>
      </c>
      <c r="C1696" t="s">
        <v>1854</v>
      </c>
      <c r="D1696">
        <v>2</v>
      </c>
      <c r="E1696">
        <v>1632</v>
      </c>
      <c r="F1696" t="s">
        <v>5188</v>
      </c>
      <c r="G1696" t="s">
        <v>5189</v>
      </c>
      <c r="H1696">
        <v>348110</v>
      </c>
      <c r="I1696">
        <v>0</v>
      </c>
      <c r="J1696">
        <v>0</v>
      </c>
      <c r="K1696">
        <v>0</v>
      </c>
      <c r="L1696">
        <v>0</v>
      </c>
      <c r="M1696">
        <v>599</v>
      </c>
    </row>
    <row r="1697" spans="1:13" ht="15">
      <c r="A1697" t="s">
        <v>3634</v>
      </c>
      <c r="B1697" s="1040" t="str">
        <f>CONCATENATE(LEFT(RIGHT(CONCATENATE("000",IFAData_TEA_1819!A1697),6),3),"-",(RIGHT(RIGHT(CONCATENATE("000",IFAData_TEA_1819!A1697),6),3)))</f>
        <v>160-901</v>
      </c>
      <c r="C1697" t="s">
        <v>1854</v>
      </c>
      <c r="D1697">
        <v>2</v>
      </c>
      <c r="E1697">
        <v>1632</v>
      </c>
      <c r="F1697" t="s">
        <v>5188</v>
      </c>
      <c r="G1697" t="s">
        <v>5190</v>
      </c>
      <c r="H1697">
        <v>348110</v>
      </c>
      <c r="I1697">
        <v>57647</v>
      </c>
      <c r="J1697">
        <v>9.1283803684478901E-2</v>
      </c>
      <c r="K1697">
        <v>31776.8049006039</v>
      </c>
      <c r="L1697">
        <v>31776.8049006039</v>
      </c>
      <c r="M1697">
        <v>599</v>
      </c>
    </row>
    <row r="1698" spans="1:13" ht="15">
      <c r="A1698" t="s">
        <v>3634</v>
      </c>
      <c r="B1698" s="1040" t="str">
        <f>CONCATENATE(LEFT(RIGHT(CONCATENATE("000",IFAData_TEA_1819!A1698),6),3),"-",(RIGHT(RIGHT(CONCATENATE("000",IFAData_TEA_1819!A1698),6),3)))</f>
        <v>160-901</v>
      </c>
      <c r="C1698" t="s">
        <v>1854</v>
      </c>
      <c r="D1698">
        <v>2</v>
      </c>
      <c r="E1698">
        <v>1632</v>
      </c>
      <c r="F1698" t="s">
        <v>5188</v>
      </c>
      <c r="G1698" t="s">
        <v>5191</v>
      </c>
      <c r="H1698">
        <v>348110</v>
      </c>
      <c r="I1698">
        <v>573867</v>
      </c>
      <c r="J1698">
        <v>0.90871619631552103</v>
      </c>
      <c r="K1698">
        <v>316333.19509939599</v>
      </c>
      <c r="L1698">
        <v>316333.19509939599</v>
      </c>
      <c r="M1698">
        <v>599</v>
      </c>
    </row>
    <row r="1699" spans="1:13" ht="15">
      <c r="A1699" t="s">
        <v>3634</v>
      </c>
      <c r="B1699" s="1040" t="str">
        <f>CONCATENATE(LEFT(RIGHT(CONCATENATE("000",IFAData_TEA_1819!A1699),6),3),"-",(RIGHT(RIGHT(CONCATENATE("000",IFAData_TEA_1819!A1699),6),3)))</f>
        <v>160-901</v>
      </c>
      <c r="C1699" t="s">
        <v>1854</v>
      </c>
      <c r="D1699">
        <v>9</v>
      </c>
      <c r="E1699">
        <v>1631</v>
      </c>
      <c r="F1699" t="s">
        <v>5192</v>
      </c>
      <c r="G1699" t="s">
        <v>5192</v>
      </c>
      <c r="H1699">
        <v>309622</v>
      </c>
      <c r="I1699">
        <v>0</v>
      </c>
      <c r="J1699">
        <v>0</v>
      </c>
      <c r="K1699">
        <v>0</v>
      </c>
      <c r="L1699">
        <v>0</v>
      </c>
      <c r="M1699">
        <v>599</v>
      </c>
    </row>
    <row r="1700" spans="1:13" ht="15">
      <c r="A1700" t="s">
        <v>3634</v>
      </c>
      <c r="B1700" s="1040" t="str">
        <f>CONCATENATE(LEFT(RIGHT(CONCATENATE("000",IFAData_TEA_1819!A1700),6),3),"-",(RIGHT(RIGHT(CONCATENATE("000",IFAData_TEA_1819!A1700),6),3)))</f>
        <v>160-901</v>
      </c>
      <c r="C1700" t="s">
        <v>1854</v>
      </c>
      <c r="D1700">
        <v>9</v>
      </c>
      <c r="E1700">
        <v>1631</v>
      </c>
      <c r="F1700" t="s">
        <v>5192</v>
      </c>
      <c r="G1700" t="s">
        <v>6294</v>
      </c>
      <c r="H1700">
        <v>309622</v>
      </c>
      <c r="I1700">
        <v>763428</v>
      </c>
      <c r="J1700">
        <v>1</v>
      </c>
      <c r="K1700">
        <v>309622</v>
      </c>
      <c r="L1700">
        <v>309622</v>
      </c>
      <c r="M1700">
        <v>599</v>
      </c>
    </row>
    <row r="1701" spans="1:13" ht="15">
      <c r="A1701" t="s">
        <v>3635</v>
      </c>
      <c r="B1701" s="1040" t="str">
        <f>CONCATENATE(LEFT(RIGHT(CONCATENATE("000",IFAData_TEA_1819!A1701),6),3),"-",(RIGHT(RIGHT(CONCATENATE("000",IFAData_TEA_1819!A1701),6),3)))</f>
        <v>160-905</v>
      </c>
      <c r="C1701" t="s">
        <v>2228</v>
      </c>
      <c r="D1701">
        <v>6</v>
      </c>
      <c r="E1701">
        <v>2032</v>
      </c>
      <c r="F1701" t="s">
        <v>5193</v>
      </c>
      <c r="G1701" t="s">
        <v>5193</v>
      </c>
      <c r="H1701">
        <v>100000</v>
      </c>
      <c r="I1701">
        <v>96228</v>
      </c>
      <c r="J1701">
        <v>1</v>
      </c>
      <c r="K1701">
        <v>100000</v>
      </c>
      <c r="L1701">
        <v>96228</v>
      </c>
      <c r="M1701">
        <v>599</v>
      </c>
    </row>
    <row r="1702" spans="1:13" ht="15">
      <c r="A1702" t="s">
        <v>3636</v>
      </c>
      <c r="B1702" s="1040" t="str">
        <f>CONCATENATE(LEFT(RIGHT(CONCATENATE("000",IFAData_TEA_1819!A1702),6),3),"-",(RIGHT(RIGHT(CONCATENATE("000",IFAData_TEA_1819!A1702),6),3)))</f>
        <v>161-901</v>
      </c>
      <c r="C1702" t="s">
        <v>417</v>
      </c>
      <c r="D1702">
        <v>5</v>
      </c>
      <c r="E1702">
        <v>1731</v>
      </c>
      <c r="F1702" t="s">
        <v>5194</v>
      </c>
      <c r="G1702" t="s">
        <v>5194</v>
      </c>
      <c r="H1702">
        <v>257868</v>
      </c>
      <c r="I1702">
        <v>0</v>
      </c>
      <c r="J1702">
        <v>0</v>
      </c>
      <c r="K1702">
        <v>0</v>
      </c>
      <c r="L1702">
        <v>0</v>
      </c>
      <c r="M1702">
        <v>599</v>
      </c>
    </row>
    <row r="1703" spans="1:13" ht="15">
      <c r="A1703" t="s">
        <v>3636</v>
      </c>
      <c r="B1703" s="1040" t="str">
        <f>CONCATENATE(LEFT(RIGHT(CONCATENATE("000",IFAData_TEA_1819!A1703),6),3),"-",(RIGHT(RIGHT(CONCATENATE("000",IFAData_TEA_1819!A1703),6),3)))</f>
        <v>161-901</v>
      </c>
      <c r="C1703" t="s">
        <v>417</v>
      </c>
      <c r="D1703">
        <v>5</v>
      </c>
      <c r="E1703">
        <v>1731</v>
      </c>
      <c r="F1703" t="s">
        <v>5194</v>
      </c>
      <c r="G1703" t="s">
        <v>5195</v>
      </c>
      <c r="H1703">
        <v>257868</v>
      </c>
      <c r="I1703">
        <v>160000</v>
      </c>
      <c r="J1703">
        <v>0.69339111592632696</v>
      </c>
      <c r="K1703">
        <v>178803.38028169001</v>
      </c>
      <c r="L1703">
        <v>160000</v>
      </c>
      <c r="M1703">
        <v>599</v>
      </c>
    </row>
    <row r="1704" spans="1:13" ht="15">
      <c r="A1704" t="s">
        <v>3636</v>
      </c>
      <c r="B1704" s="1040" t="str">
        <f>CONCATENATE(LEFT(RIGHT(CONCATENATE("000",IFAData_TEA_1819!A1704),6),3),"-",(RIGHT(RIGHT(CONCATENATE("000",IFAData_TEA_1819!A1704),6),3)))</f>
        <v>161-901</v>
      </c>
      <c r="C1704" t="s">
        <v>417</v>
      </c>
      <c r="D1704">
        <v>5</v>
      </c>
      <c r="E1704">
        <v>1731</v>
      </c>
      <c r="F1704" t="s">
        <v>5194</v>
      </c>
      <c r="G1704" t="s">
        <v>6295</v>
      </c>
      <c r="H1704">
        <v>257868</v>
      </c>
      <c r="I1704">
        <v>70750</v>
      </c>
      <c r="J1704">
        <v>0.30660888407367298</v>
      </c>
      <c r="K1704">
        <v>79064.619718309899</v>
      </c>
      <c r="L1704">
        <v>70750</v>
      </c>
      <c r="M1704">
        <v>599</v>
      </c>
    </row>
    <row r="1705" spans="1:13" ht="15">
      <c r="A1705" t="s">
        <v>3637</v>
      </c>
      <c r="B1705" s="1040" t="str">
        <f>CONCATENATE(LEFT(RIGHT(CONCATENATE("000",IFAData_TEA_1819!A1705),6),3),"-",(RIGHT(RIGHT(CONCATENATE("000",IFAData_TEA_1819!A1705),6),3)))</f>
        <v>161-906</v>
      </c>
      <c r="C1705" t="s">
        <v>1899</v>
      </c>
      <c r="D1705">
        <v>5</v>
      </c>
      <c r="E1705">
        <v>1988</v>
      </c>
      <c r="F1705" t="s">
        <v>5196</v>
      </c>
      <c r="G1705" t="s">
        <v>5196</v>
      </c>
      <c r="H1705">
        <v>575000</v>
      </c>
      <c r="I1705">
        <v>0</v>
      </c>
      <c r="J1705">
        <v>0</v>
      </c>
      <c r="K1705">
        <v>0</v>
      </c>
      <c r="L1705">
        <v>0</v>
      </c>
      <c r="M1705">
        <v>599</v>
      </c>
    </row>
    <row r="1706" spans="1:13" ht="15">
      <c r="A1706" t="s">
        <v>3637</v>
      </c>
      <c r="B1706" s="1040" t="str">
        <f>CONCATENATE(LEFT(RIGHT(CONCATENATE("000",IFAData_TEA_1819!A1706),6),3),"-",(RIGHT(RIGHT(CONCATENATE("000",IFAData_TEA_1819!A1706),6),3)))</f>
        <v>161-906</v>
      </c>
      <c r="C1706" t="s">
        <v>1899</v>
      </c>
      <c r="D1706">
        <v>5</v>
      </c>
      <c r="E1706">
        <v>1988</v>
      </c>
      <c r="F1706" t="s">
        <v>5196</v>
      </c>
      <c r="G1706" t="s">
        <v>5197</v>
      </c>
      <c r="H1706">
        <v>575000</v>
      </c>
      <c r="I1706">
        <v>0</v>
      </c>
      <c r="J1706">
        <v>0</v>
      </c>
      <c r="K1706">
        <v>0</v>
      </c>
      <c r="L1706">
        <v>0</v>
      </c>
      <c r="M1706">
        <v>599</v>
      </c>
    </row>
    <row r="1707" spans="1:13" ht="15">
      <c r="A1707" t="s">
        <v>3637</v>
      </c>
      <c r="B1707" s="1040" t="str">
        <f>CONCATENATE(LEFT(RIGHT(CONCATENATE("000",IFAData_TEA_1819!A1707),6),3),"-",(RIGHT(RIGHT(CONCATENATE("000",IFAData_TEA_1819!A1707),6),3)))</f>
        <v>161-906</v>
      </c>
      <c r="C1707" t="s">
        <v>1899</v>
      </c>
      <c r="D1707">
        <v>5</v>
      </c>
      <c r="E1707">
        <v>1988</v>
      </c>
      <c r="F1707" t="s">
        <v>5196</v>
      </c>
      <c r="G1707" t="s">
        <v>6503</v>
      </c>
      <c r="H1707">
        <v>575000</v>
      </c>
      <c r="I1707">
        <v>483550</v>
      </c>
      <c r="J1707">
        <v>1</v>
      </c>
      <c r="K1707">
        <v>575000</v>
      </c>
      <c r="L1707">
        <v>483550</v>
      </c>
      <c r="M1707">
        <v>599</v>
      </c>
    </row>
    <row r="1708" spans="1:13" ht="15">
      <c r="A1708" t="s">
        <v>3637</v>
      </c>
      <c r="B1708" s="1040" t="str">
        <f>CONCATENATE(LEFT(RIGHT(CONCATENATE("000",IFAData_TEA_1819!A1708),6),3),"-",(RIGHT(RIGHT(CONCATENATE("000",IFAData_TEA_1819!A1708),6),3)))</f>
        <v>161-906</v>
      </c>
      <c r="C1708" t="s">
        <v>1899</v>
      </c>
      <c r="D1708">
        <v>10</v>
      </c>
      <c r="E1708">
        <v>1989</v>
      </c>
      <c r="F1708" t="s">
        <v>5198</v>
      </c>
      <c r="G1708" t="s">
        <v>5198</v>
      </c>
      <c r="H1708">
        <v>634429</v>
      </c>
      <c r="I1708">
        <v>575675</v>
      </c>
      <c r="J1708">
        <v>0.61962166671151397</v>
      </c>
      <c r="K1708">
        <v>393105.954390119</v>
      </c>
      <c r="L1708">
        <v>393105.954390119</v>
      </c>
      <c r="M1708">
        <v>599</v>
      </c>
    </row>
    <row r="1709" spans="1:13" ht="15">
      <c r="A1709" t="s">
        <v>3637</v>
      </c>
      <c r="B1709" s="1040" t="str">
        <f>CONCATENATE(LEFT(RIGHT(CONCATENATE("000",IFAData_TEA_1819!A1709),6),3),"-",(RIGHT(RIGHT(CONCATENATE("000",IFAData_TEA_1819!A1709),6),3)))</f>
        <v>161-906</v>
      </c>
      <c r="C1709" t="s">
        <v>1899</v>
      </c>
      <c r="D1709">
        <v>10</v>
      </c>
      <c r="E1709">
        <v>1989</v>
      </c>
      <c r="F1709" t="s">
        <v>5198</v>
      </c>
      <c r="G1709" t="s">
        <v>8454</v>
      </c>
      <c r="H1709">
        <v>634429</v>
      </c>
      <c r="I1709">
        <v>353400</v>
      </c>
      <c r="J1709">
        <v>0.38037833328848603</v>
      </c>
      <c r="K1709">
        <v>241323.045609881</v>
      </c>
      <c r="L1709">
        <v>241323.045609881</v>
      </c>
      <c r="M1709">
        <v>599</v>
      </c>
    </row>
    <row r="1710" spans="1:13" ht="15">
      <c r="A1710" t="s">
        <v>3638</v>
      </c>
      <c r="B1710" s="1040" t="str">
        <f>CONCATENATE(LEFT(RIGHT(CONCATENATE("000",IFAData_TEA_1819!A1710),6),3),"-",(RIGHT(RIGHT(CONCATENATE("000",IFAData_TEA_1819!A1710),6),3)))</f>
        <v>161-907</v>
      </c>
      <c r="C1710" t="s">
        <v>1257</v>
      </c>
      <c r="D1710">
        <v>4</v>
      </c>
      <c r="E1710">
        <v>2036</v>
      </c>
      <c r="F1710" t="s">
        <v>5199</v>
      </c>
      <c r="G1710" t="s">
        <v>5199</v>
      </c>
      <c r="H1710">
        <v>336827</v>
      </c>
      <c r="I1710">
        <v>0</v>
      </c>
      <c r="J1710">
        <v>0</v>
      </c>
      <c r="K1710">
        <v>0</v>
      </c>
      <c r="L1710">
        <v>0</v>
      </c>
      <c r="M1710">
        <v>599</v>
      </c>
    </row>
    <row r="1711" spans="1:13" ht="15">
      <c r="A1711" t="s">
        <v>3638</v>
      </c>
      <c r="B1711" s="1040" t="str">
        <f>CONCATENATE(LEFT(RIGHT(CONCATENATE("000",IFAData_TEA_1819!A1711),6),3),"-",(RIGHT(RIGHT(CONCATENATE("000",IFAData_TEA_1819!A1711),6),3)))</f>
        <v>161-907</v>
      </c>
      <c r="C1711" t="s">
        <v>1257</v>
      </c>
      <c r="D1711">
        <v>4</v>
      </c>
      <c r="E1711">
        <v>2036</v>
      </c>
      <c r="F1711" t="s">
        <v>5199</v>
      </c>
      <c r="G1711" t="s">
        <v>5200</v>
      </c>
      <c r="H1711">
        <v>336827</v>
      </c>
      <c r="I1711">
        <v>0</v>
      </c>
      <c r="J1711">
        <v>0</v>
      </c>
      <c r="K1711">
        <v>0</v>
      </c>
      <c r="L1711">
        <v>0</v>
      </c>
      <c r="M1711">
        <v>599</v>
      </c>
    </row>
    <row r="1712" spans="1:13" ht="15">
      <c r="A1712" t="s">
        <v>3638</v>
      </c>
      <c r="B1712" s="1040" t="str">
        <f>CONCATENATE(LEFT(RIGHT(CONCATENATE("000",IFAData_TEA_1819!A1712),6),3),"-",(RIGHT(RIGHT(CONCATENATE("000",IFAData_TEA_1819!A1712),6),3)))</f>
        <v>161-907</v>
      </c>
      <c r="C1712" t="s">
        <v>1257</v>
      </c>
      <c r="D1712">
        <v>4</v>
      </c>
      <c r="E1712">
        <v>2036</v>
      </c>
      <c r="F1712" t="s">
        <v>5199</v>
      </c>
      <c r="G1712" t="s">
        <v>6296</v>
      </c>
      <c r="H1712">
        <v>336827</v>
      </c>
      <c r="I1712">
        <v>578750</v>
      </c>
      <c r="J1712">
        <v>1</v>
      </c>
      <c r="K1712">
        <v>336827</v>
      </c>
      <c r="L1712">
        <v>336827</v>
      </c>
      <c r="M1712">
        <v>599</v>
      </c>
    </row>
    <row r="1713" spans="1:13" ht="15">
      <c r="A1713" t="s">
        <v>3638</v>
      </c>
      <c r="B1713" s="1040" t="str">
        <f>CONCATENATE(LEFT(RIGHT(CONCATENATE("000",IFAData_TEA_1819!A1713),6),3),"-",(RIGHT(RIGHT(CONCATENATE("000",IFAData_TEA_1819!A1713),6),3)))</f>
        <v>161-907</v>
      </c>
      <c r="C1713" t="s">
        <v>1257</v>
      </c>
      <c r="D1713">
        <v>6</v>
      </c>
      <c r="E1713">
        <v>2035</v>
      </c>
      <c r="F1713" t="s">
        <v>5201</v>
      </c>
      <c r="G1713" t="s">
        <v>5201</v>
      </c>
      <c r="H1713">
        <v>330640</v>
      </c>
      <c r="I1713">
        <v>0</v>
      </c>
      <c r="J1713">
        <v>0</v>
      </c>
      <c r="K1713">
        <v>0</v>
      </c>
      <c r="L1713">
        <v>0</v>
      </c>
      <c r="M1713">
        <v>599</v>
      </c>
    </row>
    <row r="1714" spans="1:13" ht="15">
      <c r="A1714" t="s">
        <v>3638</v>
      </c>
      <c r="B1714" s="1040" t="str">
        <f>CONCATENATE(LEFT(RIGHT(CONCATENATE("000",IFAData_TEA_1819!A1714),6),3),"-",(RIGHT(RIGHT(CONCATENATE("000",IFAData_TEA_1819!A1714),6),3)))</f>
        <v>161-907</v>
      </c>
      <c r="C1714" t="s">
        <v>1257</v>
      </c>
      <c r="D1714">
        <v>6</v>
      </c>
      <c r="E1714">
        <v>2035</v>
      </c>
      <c r="F1714" t="s">
        <v>5201</v>
      </c>
      <c r="G1714" t="s">
        <v>5202</v>
      </c>
      <c r="H1714">
        <v>330640</v>
      </c>
      <c r="I1714">
        <v>400000</v>
      </c>
      <c r="J1714">
        <v>0.83507306889352795</v>
      </c>
      <c r="K1714">
        <v>276108.55949895602</v>
      </c>
      <c r="L1714">
        <v>276108.55949895602</v>
      </c>
      <c r="M1714">
        <v>599</v>
      </c>
    </row>
    <row r="1715" spans="1:13" ht="15">
      <c r="A1715" t="s">
        <v>3638</v>
      </c>
      <c r="B1715" s="1040" t="str">
        <f>CONCATENATE(LEFT(RIGHT(CONCATENATE("000",IFAData_TEA_1819!A1715),6),3),"-",(RIGHT(RIGHT(CONCATENATE("000",IFAData_TEA_1819!A1715),6),3)))</f>
        <v>161-907</v>
      </c>
      <c r="C1715" t="s">
        <v>1257</v>
      </c>
      <c r="D1715">
        <v>6</v>
      </c>
      <c r="E1715">
        <v>2035</v>
      </c>
      <c r="F1715" t="s">
        <v>5201</v>
      </c>
      <c r="G1715" t="s">
        <v>5203</v>
      </c>
      <c r="H1715">
        <v>330640</v>
      </c>
      <c r="I1715">
        <v>0</v>
      </c>
      <c r="J1715">
        <v>0</v>
      </c>
      <c r="K1715">
        <v>0</v>
      </c>
      <c r="L1715">
        <v>0</v>
      </c>
      <c r="M1715">
        <v>599</v>
      </c>
    </row>
    <row r="1716" spans="1:13" ht="15">
      <c r="A1716" t="s">
        <v>3638</v>
      </c>
      <c r="B1716" s="1040" t="str">
        <f>CONCATENATE(LEFT(RIGHT(CONCATENATE("000",IFAData_TEA_1819!A1716),6),3),"-",(RIGHT(RIGHT(CONCATENATE("000",IFAData_TEA_1819!A1716),6),3)))</f>
        <v>161-907</v>
      </c>
      <c r="C1716" t="s">
        <v>1257</v>
      </c>
      <c r="D1716">
        <v>6</v>
      </c>
      <c r="E1716">
        <v>2035</v>
      </c>
      <c r="F1716" t="s">
        <v>5201</v>
      </c>
      <c r="G1716" t="s">
        <v>6504</v>
      </c>
      <c r="H1716">
        <v>330640</v>
      </c>
      <c r="I1716">
        <v>79000</v>
      </c>
      <c r="J1716">
        <v>0.164926931106472</v>
      </c>
      <c r="K1716">
        <v>54531.440501043799</v>
      </c>
      <c r="L1716">
        <v>54531.440501043799</v>
      </c>
      <c r="M1716">
        <v>599</v>
      </c>
    </row>
    <row r="1717" spans="1:13" ht="15">
      <c r="A1717" t="s">
        <v>3639</v>
      </c>
      <c r="B1717" s="1040" t="str">
        <f>CONCATENATE(LEFT(RIGHT(CONCATENATE("000",IFAData_TEA_1819!A1717),6),3),"-",(RIGHT(RIGHT(CONCATENATE("000",IFAData_TEA_1819!A1717),6),3)))</f>
        <v>161-908</v>
      </c>
      <c r="C1717" t="s">
        <v>2064</v>
      </c>
      <c r="D1717">
        <v>2</v>
      </c>
      <c r="E1717">
        <v>2069</v>
      </c>
      <c r="F1717" t="s">
        <v>5204</v>
      </c>
      <c r="G1717" t="s">
        <v>5204</v>
      </c>
      <c r="H1717">
        <v>177063</v>
      </c>
      <c r="I1717">
        <v>0</v>
      </c>
      <c r="J1717">
        <v>0</v>
      </c>
      <c r="K1717">
        <v>0</v>
      </c>
      <c r="L1717">
        <v>0</v>
      </c>
      <c r="M1717">
        <v>599</v>
      </c>
    </row>
    <row r="1718" spans="1:13" ht="15">
      <c r="A1718" t="s">
        <v>3639</v>
      </c>
      <c r="B1718" s="1040" t="str">
        <f>CONCATENATE(LEFT(RIGHT(CONCATENATE("000",IFAData_TEA_1819!A1718),6),3),"-",(RIGHT(RIGHT(CONCATENATE("000",IFAData_TEA_1819!A1718),6),3)))</f>
        <v>161-908</v>
      </c>
      <c r="C1718" t="s">
        <v>2064</v>
      </c>
      <c r="D1718">
        <v>2</v>
      </c>
      <c r="E1718">
        <v>2069</v>
      </c>
      <c r="F1718" t="s">
        <v>5204</v>
      </c>
      <c r="G1718" t="s">
        <v>5205</v>
      </c>
      <c r="H1718">
        <v>177063</v>
      </c>
      <c r="I1718">
        <v>305500</v>
      </c>
      <c r="J1718">
        <v>1</v>
      </c>
      <c r="K1718">
        <v>177063</v>
      </c>
      <c r="L1718">
        <v>177063</v>
      </c>
      <c r="M1718">
        <v>599</v>
      </c>
    </row>
    <row r="1719" spans="1:13" ht="15">
      <c r="A1719" t="s">
        <v>3640</v>
      </c>
      <c r="B1719" s="1040" t="str">
        <f>CONCATENATE(LEFT(RIGHT(CONCATENATE("000",IFAData_TEA_1819!A1719),6),3),"-",(RIGHT(RIGHT(CONCATENATE("000",IFAData_TEA_1819!A1719),6),3)))</f>
        <v>161-909</v>
      </c>
      <c r="C1719" t="s">
        <v>819</v>
      </c>
      <c r="D1719">
        <v>5</v>
      </c>
      <c r="E1719">
        <v>2081</v>
      </c>
      <c r="F1719" t="s">
        <v>5206</v>
      </c>
      <c r="G1719" t="s">
        <v>5206</v>
      </c>
      <c r="H1719">
        <v>241790</v>
      </c>
      <c r="I1719">
        <v>278375</v>
      </c>
      <c r="J1719">
        <v>0.48735119047619002</v>
      </c>
      <c r="K1719">
        <v>117836.644345238</v>
      </c>
      <c r="L1719">
        <v>117836.644345238</v>
      </c>
      <c r="M1719">
        <v>599</v>
      </c>
    </row>
    <row r="1720" spans="1:13" ht="15">
      <c r="A1720" t="s">
        <v>3640</v>
      </c>
      <c r="B1720" s="1040" t="str">
        <f>CONCATENATE(LEFT(RIGHT(CONCATENATE("000",IFAData_TEA_1819!A1720),6),3),"-",(RIGHT(RIGHT(CONCATENATE("000",IFAData_TEA_1819!A1720),6),3)))</f>
        <v>161-909</v>
      </c>
      <c r="C1720" t="s">
        <v>819</v>
      </c>
      <c r="D1720">
        <v>5</v>
      </c>
      <c r="E1720">
        <v>2081</v>
      </c>
      <c r="F1720" t="s">
        <v>5206</v>
      </c>
      <c r="G1720" t="s">
        <v>5207</v>
      </c>
      <c r="H1720">
        <v>241790</v>
      </c>
      <c r="I1720">
        <v>0</v>
      </c>
      <c r="J1720">
        <v>0</v>
      </c>
      <c r="K1720">
        <v>0</v>
      </c>
      <c r="L1720">
        <v>0</v>
      </c>
      <c r="M1720">
        <v>599</v>
      </c>
    </row>
    <row r="1721" spans="1:13" ht="15">
      <c r="A1721" t="s">
        <v>3640</v>
      </c>
      <c r="B1721" s="1040" t="str">
        <f>CONCATENATE(LEFT(RIGHT(CONCATENATE("000",IFAData_TEA_1819!A1721),6),3),"-",(RIGHT(RIGHT(CONCATENATE("000",IFAData_TEA_1819!A1721),6),3)))</f>
        <v>161-909</v>
      </c>
      <c r="C1721" t="s">
        <v>819</v>
      </c>
      <c r="D1721">
        <v>5</v>
      </c>
      <c r="E1721">
        <v>2081</v>
      </c>
      <c r="F1721" t="s">
        <v>5206</v>
      </c>
      <c r="G1721" t="s">
        <v>8455</v>
      </c>
      <c r="H1721">
        <v>241790</v>
      </c>
      <c r="I1721">
        <v>292825</v>
      </c>
      <c r="J1721">
        <v>0.51264880952380998</v>
      </c>
      <c r="K1721">
        <v>123953.355654762</v>
      </c>
      <c r="L1721">
        <v>123953.355654762</v>
      </c>
      <c r="M1721">
        <v>599</v>
      </c>
    </row>
    <row r="1722" spans="1:13" ht="15">
      <c r="A1722" t="s">
        <v>3640</v>
      </c>
      <c r="B1722" s="1040" t="str">
        <f>CONCATENATE(LEFT(RIGHT(CONCATENATE("000",IFAData_TEA_1819!A1722),6),3),"-",(RIGHT(RIGHT(CONCATENATE("000",IFAData_TEA_1819!A1722),6),3)))</f>
        <v>161-909</v>
      </c>
      <c r="C1722" t="s">
        <v>819</v>
      </c>
      <c r="D1722">
        <v>11</v>
      </c>
      <c r="E1722">
        <v>2522</v>
      </c>
      <c r="F1722" t="s">
        <v>8456</v>
      </c>
      <c r="G1722" t="s">
        <v>8456</v>
      </c>
      <c r="H1722">
        <v>330174</v>
      </c>
      <c r="I1722">
        <v>649505</v>
      </c>
      <c r="J1722">
        <v>1</v>
      </c>
      <c r="K1722">
        <v>330174</v>
      </c>
      <c r="L1722">
        <v>330174</v>
      </c>
      <c r="M1722">
        <v>599</v>
      </c>
    </row>
    <row r="1723" spans="1:13" ht="15">
      <c r="A1723" t="s">
        <v>3641</v>
      </c>
      <c r="B1723" s="1040" t="str">
        <f>CONCATENATE(LEFT(RIGHT(CONCATENATE("000",IFAData_TEA_1819!A1723),6),3),"-",(RIGHT(RIGHT(CONCATENATE("000",IFAData_TEA_1819!A1723),6),3)))</f>
        <v>161-910</v>
      </c>
      <c r="C1723" t="s">
        <v>1750</v>
      </c>
      <c r="D1723">
        <v>10</v>
      </c>
      <c r="E1723">
        <v>2119</v>
      </c>
      <c r="F1723" t="s">
        <v>5208</v>
      </c>
      <c r="G1723" t="s">
        <v>5208</v>
      </c>
      <c r="H1723">
        <v>185967</v>
      </c>
      <c r="I1723">
        <v>354600</v>
      </c>
      <c r="J1723">
        <v>0.524275461956763</v>
      </c>
      <c r="K1723">
        <v>97497.934833713298</v>
      </c>
      <c r="L1723">
        <v>97497.934833713298</v>
      </c>
      <c r="M1723">
        <v>599</v>
      </c>
    </row>
    <row r="1724" spans="1:13" ht="15">
      <c r="A1724" t="s">
        <v>3641</v>
      </c>
      <c r="B1724" s="1040" t="str">
        <f>CONCATENATE(LEFT(RIGHT(CONCATENATE("000",IFAData_TEA_1819!A1724),6),3),"-",(RIGHT(RIGHT(CONCATENATE("000",IFAData_TEA_1819!A1724),6),3)))</f>
        <v>161-910</v>
      </c>
      <c r="C1724" t="s">
        <v>1750</v>
      </c>
      <c r="D1724">
        <v>10</v>
      </c>
      <c r="E1724">
        <v>2119</v>
      </c>
      <c r="F1724" t="s">
        <v>5208</v>
      </c>
      <c r="G1724" t="s">
        <v>8457</v>
      </c>
      <c r="H1724">
        <v>185967</v>
      </c>
      <c r="I1724">
        <v>321762</v>
      </c>
      <c r="J1724">
        <v>0.475724538043237</v>
      </c>
      <c r="K1724">
        <v>88469.065166286702</v>
      </c>
      <c r="L1724">
        <v>88469.065166286702</v>
      </c>
      <c r="M1724">
        <v>599</v>
      </c>
    </row>
    <row r="1725" spans="1:13" ht="15">
      <c r="A1725" t="s">
        <v>3642</v>
      </c>
      <c r="B1725" s="1040" t="str">
        <f>CONCATENATE(LEFT(RIGHT(CONCATENATE("000",IFAData_TEA_1819!A1725),6),3),"-",(RIGHT(RIGHT(CONCATENATE("000",IFAData_TEA_1819!A1725),6),3)))</f>
        <v>161-912</v>
      </c>
      <c r="C1725" t="s">
        <v>1740</v>
      </c>
      <c r="D1725">
        <v>2</v>
      </c>
      <c r="E1725">
        <v>2238</v>
      </c>
      <c r="F1725" t="s">
        <v>5209</v>
      </c>
      <c r="G1725" t="s">
        <v>5209</v>
      </c>
      <c r="H1725">
        <v>154071</v>
      </c>
      <c r="I1725">
        <v>0</v>
      </c>
      <c r="J1725">
        <v>0</v>
      </c>
      <c r="K1725">
        <v>0</v>
      </c>
      <c r="L1725">
        <v>0</v>
      </c>
      <c r="M1725">
        <v>599</v>
      </c>
    </row>
    <row r="1726" spans="1:13" ht="15">
      <c r="A1726" t="s">
        <v>3642</v>
      </c>
      <c r="B1726" s="1040" t="str">
        <f>CONCATENATE(LEFT(RIGHT(CONCATENATE("000",IFAData_TEA_1819!A1726),6),3),"-",(RIGHT(RIGHT(CONCATENATE("000",IFAData_TEA_1819!A1726),6),3)))</f>
        <v>161-912</v>
      </c>
      <c r="C1726" t="s">
        <v>1740</v>
      </c>
      <c r="D1726">
        <v>2</v>
      </c>
      <c r="E1726">
        <v>2238</v>
      </c>
      <c r="F1726" t="s">
        <v>5209</v>
      </c>
      <c r="G1726" t="s">
        <v>5210</v>
      </c>
      <c r="H1726">
        <v>154071</v>
      </c>
      <c r="I1726">
        <v>0</v>
      </c>
      <c r="J1726">
        <v>0</v>
      </c>
      <c r="K1726">
        <v>0</v>
      </c>
      <c r="L1726">
        <v>0</v>
      </c>
      <c r="M1726">
        <v>599</v>
      </c>
    </row>
    <row r="1727" spans="1:13" ht="15">
      <c r="A1727" t="s">
        <v>3642</v>
      </c>
      <c r="B1727" s="1040" t="str">
        <f>CONCATENATE(LEFT(RIGHT(CONCATENATE("000",IFAData_TEA_1819!A1727),6),3),"-",(RIGHT(RIGHT(CONCATENATE("000",IFAData_TEA_1819!A1727),6),3)))</f>
        <v>161-912</v>
      </c>
      <c r="C1727" t="s">
        <v>1740</v>
      </c>
      <c r="D1727">
        <v>2</v>
      </c>
      <c r="E1727">
        <v>2238</v>
      </c>
      <c r="F1727" t="s">
        <v>5209</v>
      </c>
      <c r="G1727" t="s">
        <v>8539</v>
      </c>
      <c r="H1727">
        <v>154071</v>
      </c>
      <c r="I1727">
        <v>33615</v>
      </c>
      <c r="J1727">
        <v>1</v>
      </c>
      <c r="K1727">
        <v>154071</v>
      </c>
      <c r="L1727">
        <v>33615</v>
      </c>
      <c r="M1727">
        <v>599</v>
      </c>
    </row>
    <row r="1728" spans="1:13" ht="15">
      <c r="A1728" t="s">
        <v>3642</v>
      </c>
      <c r="B1728" s="1040" t="str">
        <f>CONCATENATE(LEFT(RIGHT(CONCATENATE("000",IFAData_TEA_1819!A1728),6),3),"-",(RIGHT(RIGHT(CONCATENATE("000",IFAData_TEA_1819!A1728),6),3)))</f>
        <v>161-912</v>
      </c>
      <c r="C1728" t="s">
        <v>1740</v>
      </c>
      <c r="D1728">
        <v>6</v>
      </c>
      <c r="E1728">
        <v>2236</v>
      </c>
      <c r="F1728" t="s">
        <v>5211</v>
      </c>
      <c r="G1728" t="s">
        <v>5211</v>
      </c>
      <c r="H1728">
        <v>120494</v>
      </c>
      <c r="I1728">
        <v>0</v>
      </c>
      <c r="J1728">
        <v>0</v>
      </c>
      <c r="K1728"/>
      <c r="L1728">
        <v>0</v>
      </c>
      <c r="M1728">
        <v>599</v>
      </c>
    </row>
    <row r="1729" spans="1:13" ht="15">
      <c r="A1729" t="s">
        <v>3642</v>
      </c>
      <c r="B1729" s="1040" t="str">
        <f>CONCATENATE(LEFT(RIGHT(CONCATENATE("000",IFAData_TEA_1819!A1729),6),3),"-",(RIGHT(RIGHT(CONCATENATE("000",IFAData_TEA_1819!A1729),6),3)))</f>
        <v>161-912</v>
      </c>
      <c r="C1729" t="s">
        <v>1740</v>
      </c>
      <c r="D1729">
        <v>10</v>
      </c>
      <c r="E1729">
        <v>2237</v>
      </c>
      <c r="F1729" t="s">
        <v>5212</v>
      </c>
      <c r="G1729" t="s">
        <v>5212</v>
      </c>
      <c r="H1729">
        <v>131250</v>
      </c>
      <c r="I1729">
        <v>591000</v>
      </c>
      <c r="J1729">
        <v>0.62593665436328705</v>
      </c>
      <c r="K1729">
        <v>82154.185885181403</v>
      </c>
      <c r="L1729">
        <v>82154.185885181403</v>
      </c>
      <c r="M1729">
        <v>599</v>
      </c>
    </row>
    <row r="1730" spans="1:13" ht="15">
      <c r="A1730" t="s">
        <v>3642</v>
      </c>
      <c r="B1730" s="1040" t="str">
        <f>CONCATENATE(LEFT(RIGHT(CONCATENATE("000",IFAData_TEA_1819!A1730),6),3),"-",(RIGHT(RIGHT(CONCATENATE("000",IFAData_TEA_1819!A1730),6),3)))</f>
        <v>161-912</v>
      </c>
      <c r="C1730" t="s">
        <v>1740</v>
      </c>
      <c r="D1730">
        <v>10</v>
      </c>
      <c r="E1730">
        <v>2237</v>
      </c>
      <c r="F1730" t="s">
        <v>5212</v>
      </c>
      <c r="G1730" t="s">
        <v>8539</v>
      </c>
      <c r="H1730">
        <v>131250</v>
      </c>
      <c r="I1730">
        <v>353185</v>
      </c>
      <c r="J1730">
        <v>0.37406334563671301</v>
      </c>
      <c r="K1730">
        <v>49095.814114818597</v>
      </c>
      <c r="L1730">
        <v>49095.814114818597</v>
      </c>
      <c r="M1730">
        <v>599</v>
      </c>
    </row>
    <row r="1731" spans="1:13" ht="15">
      <c r="A1731" t="s">
        <v>3643</v>
      </c>
      <c r="B1731" s="1040" t="str">
        <f>CONCATENATE(LEFT(RIGHT(CONCATENATE("000",IFAData_TEA_1819!A1731),6),3),"-",(RIGHT(RIGHT(CONCATENATE("000",IFAData_TEA_1819!A1731),6),3)))</f>
        <v>161-914</v>
      </c>
      <c r="C1731" t="s">
        <v>136</v>
      </c>
      <c r="D1731">
        <v>2</v>
      </c>
      <c r="E1731">
        <v>2430</v>
      </c>
      <c r="F1731" t="s">
        <v>5213</v>
      </c>
      <c r="G1731" t="s">
        <v>5213</v>
      </c>
      <c r="H1731">
        <v>1464892</v>
      </c>
      <c r="I1731">
        <v>0</v>
      </c>
      <c r="J1731">
        <v>0</v>
      </c>
      <c r="K1731"/>
      <c r="L1731">
        <v>0</v>
      </c>
      <c r="M1731">
        <v>599</v>
      </c>
    </row>
    <row r="1732" spans="1:13" ht="15">
      <c r="A1732" t="s">
        <v>3643</v>
      </c>
      <c r="B1732" s="1040" t="str">
        <f>CONCATENATE(LEFT(RIGHT(CONCATENATE("000",IFAData_TEA_1819!A1732),6),3),"-",(RIGHT(RIGHT(CONCATENATE("000",IFAData_TEA_1819!A1732),6),3)))</f>
        <v>161-914</v>
      </c>
      <c r="C1732" t="s">
        <v>136</v>
      </c>
      <c r="D1732">
        <v>6</v>
      </c>
      <c r="E1732">
        <v>2429</v>
      </c>
      <c r="F1732" t="s">
        <v>5214</v>
      </c>
      <c r="G1732" t="s">
        <v>5214</v>
      </c>
      <c r="H1732">
        <v>908082</v>
      </c>
      <c r="I1732">
        <v>0</v>
      </c>
      <c r="J1732">
        <v>0</v>
      </c>
      <c r="K1732">
        <v>0</v>
      </c>
      <c r="L1732">
        <v>0</v>
      </c>
      <c r="M1732">
        <v>599</v>
      </c>
    </row>
    <row r="1733" spans="1:13" ht="15">
      <c r="A1733" t="s">
        <v>3643</v>
      </c>
      <c r="B1733" s="1040" t="str">
        <f>CONCATENATE(LEFT(RIGHT(CONCATENATE("000",IFAData_TEA_1819!A1733),6),3),"-",(RIGHT(RIGHT(CONCATENATE("000",IFAData_TEA_1819!A1733),6),3)))</f>
        <v>161-914</v>
      </c>
      <c r="C1733" t="s">
        <v>136</v>
      </c>
      <c r="D1733">
        <v>6</v>
      </c>
      <c r="E1733">
        <v>2429</v>
      </c>
      <c r="F1733" t="s">
        <v>5214</v>
      </c>
      <c r="G1733" t="s">
        <v>5215</v>
      </c>
      <c r="H1733">
        <v>908082</v>
      </c>
      <c r="I1733">
        <v>0</v>
      </c>
      <c r="J1733">
        <v>0</v>
      </c>
      <c r="K1733">
        <v>0</v>
      </c>
      <c r="L1733">
        <v>0</v>
      </c>
      <c r="M1733">
        <v>599</v>
      </c>
    </row>
    <row r="1734" spans="1:13" ht="15">
      <c r="A1734" t="s">
        <v>3643</v>
      </c>
      <c r="B1734" s="1040" t="str">
        <f>CONCATENATE(LEFT(RIGHT(CONCATENATE("000",IFAData_TEA_1819!A1734),6),3),"-",(RIGHT(RIGHT(CONCATENATE("000",IFAData_TEA_1819!A1734),6),3)))</f>
        <v>161-914</v>
      </c>
      <c r="C1734" t="s">
        <v>136</v>
      </c>
      <c r="D1734">
        <v>6</v>
      </c>
      <c r="E1734">
        <v>2429</v>
      </c>
      <c r="F1734" t="s">
        <v>5214</v>
      </c>
      <c r="G1734" t="s">
        <v>5216</v>
      </c>
      <c r="H1734">
        <v>908082</v>
      </c>
      <c r="I1734">
        <v>1875956</v>
      </c>
      <c r="J1734">
        <v>0.90424992974545904</v>
      </c>
      <c r="K1734">
        <v>821133.08470311598</v>
      </c>
      <c r="L1734">
        <v>821133.08470311598</v>
      </c>
      <c r="M1734">
        <v>599</v>
      </c>
    </row>
    <row r="1735" spans="1:13" ht="15">
      <c r="A1735" t="s">
        <v>3643</v>
      </c>
      <c r="B1735" s="1040" t="str">
        <f>CONCATENATE(LEFT(RIGHT(CONCATENATE("000",IFAData_TEA_1819!A1735),6),3),"-",(RIGHT(RIGHT(CONCATENATE("000",IFAData_TEA_1819!A1735),6),3)))</f>
        <v>161-914</v>
      </c>
      <c r="C1735" t="s">
        <v>136</v>
      </c>
      <c r="D1735">
        <v>6</v>
      </c>
      <c r="E1735">
        <v>2429</v>
      </c>
      <c r="F1735" t="s">
        <v>5214</v>
      </c>
      <c r="G1735" t="s">
        <v>6505</v>
      </c>
      <c r="H1735">
        <v>908082</v>
      </c>
      <c r="I1735">
        <v>198643</v>
      </c>
      <c r="J1735">
        <v>9.5750070254540798E-2</v>
      </c>
      <c r="K1735">
        <v>86948.915296883904</v>
      </c>
      <c r="L1735">
        <v>86948.915296883904</v>
      </c>
      <c r="M1735">
        <v>599</v>
      </c>
    </row>
    <row r="1736" spans="1:13" ht="15">
      <c r="A1736" t="s">
        <v>3643</v>
      </c>
      <c r="B1736" s="1040" t="str">
        <f>CONCATENATE(LEFT(RIGHT(CONCATENATE("000",IFAData_TEA_1819!A1736),6),3),"-",(RIGHT(RIGHT(CONCATENATE("000",IFAData_TEA_1819!A1736),6),3)))</f>
        <v>161-914</v>
      </c>
      <c r="C1736" t="s">
        <v>136</v>
      </c>
      <c r="D1736">
        <v>10</v>
      </c>
      <c r="E1736">
        <v>2431</v>
      </c>
      <c r="F1736" t="s">
        <v>5217</v>
      </c>
      <c r="G1736" t="s">
        <v>5217</v>
      </c>
      <c r="H1736">
        <v>2267241</v>
      </c>
      <c r="I1736">
        <v>0</v>
      </c>
      <c r="J1736">
        <v>0</v>
      </c>
      <c r="K1736">
        <v>0</v>
      </c>
      <c r="L1736">
        <v>0</v>
      </c>
      <c r="M1736">
        <v>599</v>
      </c>
    </row>
    <row r="1737" spans="1:13" ht="15">
      <c r="A1737" t="s">
        <v>3643</v>
      </c>
      <c r="B1737" s="1040" t="str">
        <f>CONCATENATE(LEFT(RIGHT(CONCATENATE("000",IFAData_TEA_1819!A1737),6),3),"-",(RIGHT(RIGHT(CONCATENATE("000",IFAData_TEA_1819!A1737),6),3)))</f>
        <v>161-914</v>
      </c>
      <c r="C1737" t="s">
        <v>136</v>
      </c>
      <c r="D1737">
        <v>10</v>
      </c>
      <c r="E1737">
        <v>2431</v>
      </c>
      <c r="F1737" t="s">
        <v>5217</v>
      </c>
      <c r="G1737" t="s">
        <v>6505</v>
      </c>
      <c r="H1737">
        <v>2267241</v>
      </c>
      <c r="I1737">
        <v>2046281</v>
      </c>
      <c r="J1737">
        <v>1</v>
      </c>
      <c r="K1737">
        <v>2267241</v>
      </c>
      <c r="L1737">
        <v>2046281</v>
      </c>
      <c r="M1737">
        <v>599</v>
      </c>
    </row>
    <row r="1738" spans="1:13" ht="15">
      <c r="A1738" t="s">
        <v>3644</v>
      </c>
      <c r="B1738" s="1040" t="str">
        <f>CONCATENATE(LEFT(RIGHT(CONCATENATE("000",IFAData_TEA_1819!A1738),6),3),"-",(RIGHT(RIGHT(CONCATENATE("000",IFAData_TEA_1819!A1738),6),3)))</f>
        <v>161-916</v>
      </c>
      <c r="C1738" t="s">
        <v>1430</v>
      </c>
      <c r="D1738">
        <v>3</v>
      </c>
      <c r="E1738">
        <v>2444</v>
      </c>
      <c r="F1738" t="s">
        <v>5218</v>
      </c>
      <c r="G1738" t="s">
        <v>5218</v>
      </c>
      <c r="H1738">
        <v>489842</v>
      </c>
      <c r="I1738">
        <v>35546</v>
      </c>
      <c r="J1738">
        <v>5.0847918290859898E-2</v>
      </c>
      <c r="K1738">
        <v>24907.445991431399</v>
      </c>
      <c r="L1738">
        <v>24907.445991431399</v>
      </c>
      <c r="M1738">
        <v>599</v>
      </c>
    </row>
    <row r="1739" spans="1:13" ht="15">
      <c r="A1739" t="s">
        <v>3644</v>
      </c>
      <c r="B1739" s="1040" t="str">
        <f>CONCATENATE(LEFT(RIGHT(CONCATENATE("000",IFAData_TEA_1819!A1739),6),3),"-",(RIGHT(RIGHT(CONCATENATE("000",IFAData_TEA_1819!A1739),6),3)))</f>
        <v>161-916</v>
      </c>
      <c r="C1739" t="s">
        <v>1430</v>
      </c>
      <c r="D1739">
        <v>3</v>
      </c>
      <c r="E1739">
        <v>2444</v>
      </c>
      <c r="F1739" t="s">
        <v>5218</v>
      </c>
      <c r="G1739" t="s">
        <v>5219</v>
      </c>
      <c r="H1739">
        <v>489842</v>
      </c>
      <c r="I1739">
        <v>663519</v>
      </c>
      <c r="J1739">
        <v>0.94915208170914001</v>
      </c>
      <c r="K1739">
        <v>464934.55400856899</v>
      </c>
      <c r="L1739">
        <v>464934.55400856899</v>
      </c>
      <c r="M1739">
        <v>599</v>
      </c>
    </row>
    <row r="1740" spans="1:13" ht="15">
      <c r="A1740" t="s">
        <v>3645</v>
      </c>
      <c r="B1740" s="1040" t="str">
        <f>CONCATENATE(LEFT(RIGHT(CONCATENATE("000",IFAData_TEA_1819!A1740),6),3),"-",(RIGHT(RIGHT(CONCATENATE("000",IFAData_TEA_1819!A1740),6),3)))</f>
        <v>161-919</v>
      </c>
      <c r="C1740" t="s">
        <v>1752</v>
      </c>
      <c r="D1740">
        <v>9</v>
      </c>
      <c r="E1740">
        <v>1645</v>
      </c>
      <c r="F1740" t="s">
        <v>5220</v>
      </c>
      <c r="G1740" t="s">
        <v>5220</v>
      </c>
      <c r="H1740">
        <v>204185</v>
      </c>
      <c r="I1740">
        <v>0</v>
      </c>
      <c r="J1740">
        <v>0</v>
      </c>
      <c r="K1740">
        <v>0</v>
      </c>
      <c r="L1740">
        <v>0</v>
      </c>
      <c r="M1740">
        <v>599</v>
      </c>
    </row>
    <row r="1741" spans="1:13" ht="15">
      <c r="A1741" t="s">
        <v>3645</v>
      </c>
      <c r="B1741" s="1040" t="str">
        <f>CONCATENATE(LEFT(RIGHT(CONCATENATE("000",IFAData_TEA_1819!A1741),6),3),"-",(RIGHT(RIGHT(CONCATENATE("000",IFAData_TEA_1819!A1741),6),3)))</f>
        <v>161-919</v>
      </c>
      <c r="C1741" t="s">
        <v>1752</v>
      </c>
      <c r="D1741">
        <v>9</v>
      </c>
      <c r="E1741">
        <v>1645</v>
      </c>
      <c r="F1741" t="s">
        <v>5220</v>
      </c>
      <c r="G1741" t="s">
        <v>6506</v>
      </c>
      <c r="H1741">
        <v>204185</v>
      </c>
      <c r="I1741">
        <v>421300</v>
      </c>
      <c r="J1741">
        <v>1</v>
      </c>
      <c r="K1741">
        <v>204185</v>
      </c>
      <c r="L1741">
        <v>204185</v>
      </c>
      <c r="M1741">
        <v>599</v>
      </c>
    </row>
    <row r="1742" spans="1:13" ht="15">
      <c r="A1742" t="s">
        <v>3646</v>
      </c>
      <c r="B1742" s="1040" t="str">
        <f>CONCATENATE(LEFT(RIGHT(CONCATENATE("000",IFAData_TEA_1819!A1742),6),3),"-",(RIGHT(RIGHT(CONCATENATE("000",IFAData_TEA_1819!A1742),6),3)))</f>
        <v>161-920</v>
      </c>
      <c r="C1742" t="s">
        <v>1160</v>
      </c>
      <c r="D1742">
        <v>2</v>
      </c>
      <c r="E1742">
        <v>1688</v>
      </c>
      <c r="F1742" t="s">
        <v>5221</v>
      </c>
      <c r="G1742" t="s">
        <v>5221</v>
      </c>
      <c r="H1742">
        <v>361316</v>
      </c>
      <c r="I1742">
        <v>0</v>
      </c>
      <c r="J1742">
        <v>0</v>
      </c>
      <c r="K1742">
        <v>0</v>
      </c>
      <c r="L1742">
        <v>0</v>
      </c>
      <c r="M1742">
        <v>599</v>
      </c>
    </row>
    <row r="1743" spans="1:13" ht="15">
      <c r="A1743" t="s">
        <v>3646</v>
      </c>
      <c r="B1743" s="1040" t="str">
        <f>CONCATENATE(LEFT(RIGHT(CONCATENATE("000",IFAData_TEA_1819!A1743),6),3),"-",(RIGHT(RIGHT(CONCATENATE("000",IFAData_TEA_1819!A1743),6),3)))</f>
        <v>161-920</v>
      </c>
      <c r="C1743" t="s">
        <v>1160</v>
      </c>
      <c r="D1743">
        <v>2</v>
      </c>
      <c r="E1743">
        <v>1688</v>
      </c>
      <c r="F1743" t="s">
        <v>5221</v>
      </c>
      <c r="G1743" t="s">
        <v>5222</v>
      </c>
      <c r="H1743">
        <v>361316</v>
      </c>
      <c r="I1743">
        <v>0</v>
      </c>
      <c r="J1743">
        <v>0</v>
      </c>
      <c r="K1743">
        <v>0</v>
      </c>
      <c r="L1743">
        <v>0</v>
      </c>
      <c r="M1743">
        <v>599</v>
      </c>
    </row>
    <row r="1744" spans="1:13" ht="15">
      <c r="A1744" t="s">
        <v>3646</v>
      </c>
      <c r="B1744" s="1040" t="str">
        <f>CONCATENATE(LEFT(RIGHT(CONCATENATE("000",IFAData_TEA_1819!A1744),6),3),"-",(RIGHT(RIGHT(CONCATENATE("000",IFAData_TEA_1819!A1744),6),3)))</f>
        <v>161-920</v>
      </c>
      <c r="C1744" t="s">
        <v>1160</v>
      </c>
      <c r="D1744">
        <v>2</v>
      </c>
      <c r="E1744">
        <v>1688</v>
      </c>
      <c r="F1744" t="s">
        <v>5221</v>
      </c>
      <c r="G1744" t="s">
        <v>8458</v>
      </c>
      <c r="H1744">
        <v>361316</v>
      </c>
      <c r="I1744">
        <v>260641</v>
      </c>
      <c r="J1744">
        <v>1</v>
      </c>
      <c r="K1744">
        <v>361316</v>
      </c>
      <c r="L1744">
        <v>260641</v>
      </c>
      <c r="M1744">
        <v>599</v>
      </c>
    </row>
    <row r="1745" spans="1:13" ht="15">
      <c r="A1745" t="s">
        <v>3646</v>
      </c>
      <c r="B1745" s="1040" t="str">
        <f>CONCATENATE(LEFT(RIGHT(CONCATENATE("000",IFAData_TEA_1819!A1745),6),3),"-",(RIGHT(RIGHT(CONCATENATE("000",IFAData_TEA_1819!A1745),6),3)))</f>
        <v>161-920</v>
      </c>
      <c r="C1745" t="s">
        <v>1160</v>
      </c>
      <c r="D1745">
        <v>6</v>
      </c>
      <c r="E1745">
        <v>1689</v>
      </c>
      <c r="F1745" t="s">
        <v>5223</v>
      </c>
      <c r="G1745" t="s">
        <v>5223</v>
      </c>
      <c r="H1745">
        <v>361625</v>
      </c>
      <c r="I1745">
        <v>0</v>
      </c>
      <c r="J1745">
        <v>0</v>
      </c>
      <c r="K1745">
        <v>0</v>
      </c>
      <c r="L1745">
        <v>0</v>
      </c>
      <c r="M1745">
        <v>599</v>
      </c>
    </row>
    <row r="1746" spans="1:13" ht="15">
      <c r="A1746" t="s">
        <v>3646</v>
      </c>
      <c r="B1746" s="1040" t="str">
        <f>CONCATENATE(LEFT(RIGHT(CONCATENATE("000",IFAData_TEA_1819!A1746),6),3),"-",(RIGHT(RIGHT(CONCATENATE("000",IFAData_TEA_1819!A1746),6),3)))</f>
        <v>161-920</v>
      </c>
      <c r="C1746" t="s">
        <v>1160</v>
      </c>
      <c r="D1746">
        <v>6</v>
      </c>
      <c r="E1746">
        <v>1689</v>
      </c>
      <c r="F1746" t="s">
        <v>5223</v>
      </c>
      <c r="G1746" t="s">
        <v>5222</v>
      </c>
      <c r="H1746">
        <v>361625</v>
      </c>
      <c r="I1746">
        <v>0</v>
      </c>
      <c r="J1746">
        <v>0</v>
      </c>
      <c r="K1746">
        <v>0</v>
      </c>
      <c r="L1746">
        <v>0</v>
      </c>
      <c r="M1746">
        <v>599</v>
      </c>
    </row>
    <row r="1747" spans="1:13" ht="15">
      <c r="A1747" t="s">
        <v>3646</v>
      </c>
      <c r="B1747" s="1040" t="str">
        <f>CONCATENATE(LEFT(RIGHT(CONCATENATE("000",IFAData_TEA_1819!A1747),6),3),"-",(RIGHT(RIGHT(CONCATENATE("000",IFAData_TEA_1819!A1747),6),3)))</f>
        <v>161-920</v>
      </c>
      <c r="C1747" t="s">
        <v>1160</v>
      </c>
      <c r="D1747">
        <v>6</v>
      </c>
      <c r="E1747">
        <v>1689</v>
      </c>
      <c r="F1747" t="s">
        <v>5223</v>
      </c>
      <c r="G1747" t="s">
        <v>5224</v>
      </c>
      <c r="H1747">
        <v>361625</v>
      </c>
      <c r="I1747">
        <v>0</v>
      </c>
      <c r="J1747">
        <v>0</v>
      </c>
      <c r="K1747">
        <v>0</v>
      </c>
      <c r="L1747">
        <v>0</v>
      </c>
      <c r="M1747">
        <v>599</v>
      </c>
    </row>
    <row r="1748" spans="1:13" ht="15">
      <c r="A1748" t="s">
        <v>3646</v>
      </c>
      <c r="B1748" s="1040" t="str">
        <f>CONCATENATE(LEFT(RIGHT(CONCATENATE("000",IFAData_TEA_1819!A1748),6),3),"-",(RIGHT(RIGHT(CONCATENATE("000",IFAData_TEA_1819!A1748),6),3)))</f>
        <v>161-920</v>
      </c>
      <c r="C1748" t="s">
        <v>1160</v>
      </c>
      <c r="D1748">
        <v>6</v>
      </c>
      <c r="E1748">
        <v>1689</v>
      </c>
      <c r="F1748" t="s">
        <v>5223</v>
      </c>
      <c r="G1748" t="s">
        <v>8458</v>
      </c>
      <c r="H1748">
        <v>361625</v>
      </c>
      <c r="I1748">
        <v>347405</v>
      </c>
      <c r="J1748">
        <v>1</v>
      </c>
      <c r="K1748">
        <v>361625</v>
      </c>
      <c r="L1748">
        <v>347405</v>
      </c>
      <c r="M1748">
        <v>599</v>
      </c>
    </row>
    <row r="1749" spans="1:13" ht="15">
      <c r="A1749" t="s">
        <v>3646</v>
      </c>
      <c r="B1749" s="1040" t="str">
        <f>CONCATENATE(LEFT(RIGHT(CONCATENATE("000",IFAData_TEA_1819!A1749),6),3),"-",(RIGHT(RIGHT(CONCATENATE("000",IFAData_TEA_1819!A1749),6),3)))</f>
        <v>161-920</v>
      </c>
      <c r="C1749" t="s">
        <v>1160</v>
      </c>
      <c r="D1749">
        <v>9</v>
      </c>
      <c r="E1749">
        <v>1690</v>
      </c>
      <c r="F1749" t="s">
        <v>5225</v>
      </c>
      <c r="G1749" t="s">
        <v>5225</v>
      </c>
      <c r="H1749">
        <v>535250</v>
      </c>
      <c r="I1749">
        <v>0</v>
      </c>
      <c r="J1749">
        <v>0</v>
      </c>
      <c r="K1749">
        <v>0</v>
      </c>
      <c r="L1749">
        <v>0</v>
      </c>
      <c r="M1749">
        <v>599</v>
      </c>
    </row>
    <row r="1750" spans="1:13" ht="15">
      <c r="A1750" t="s">
        <v>3646</v>
      </c>
      <c r="B1750" s="1040" t="str">
        <f>CONCATENATE(LEFT(RIGHT(CONCATENATE("000",IFAData_TEA_1819!A1750),6),3),"-",(RIGHT(RIGHT(CONCATENATE("000",IFAData_TEA_1819!A1750),6),3)))</f>
        <v>161-920</v>
      </c>
      <c r="C1750" t="s">
        <v>1160</v>
      </c>
      <c r="D1750">
        <v>9</v>
      </c>
      <c r="E1750">
        <v>1690</v>
      </c>
      <c r="F1750" t="s">
        <v>5225</v>
      </c>
      <c r="G1750" t="s">
        <v>6297</v>
      </c>
      <c r="H1750">
        <v>535250</v>
      </c>
      <c r="I1750">
        <v>298900</v>
      </c>
      <c r="J1750">
        <v>0.26445476664454798</v>
      </c>
      <c r="K1750">
        <v>141549.41384649399</v>
      </c>
      <c r="L1750">
        <v>141549.41384649399</v>
      </c>
      <c r="M1750">
        <v>599</v>
      </c>
    </row>
    <row r="1751" spans="1:13" ht="15">
      <c r="A1751" t="s">
        <v>3646</v>
      </c>
      <c r="B1751" s="1040" t="str">
        <f>CONCATENATE(LEFT(RIGHT(CONCATENATE("000",IFAData_TEA_1819!A1751),6),3),"-",(RIGHT(RIGHT(CONCATENATE("000",IFAData_TEA_1819!A1751),6),3)))</f>
        <v>161-920</v>
      </c>
      <c r="C1751" t="s">
        <v>1160</v>
      </c>
      <c r="D1751">
        <v>9</v>
      </c>
      <c r="E1751">
        <v>1690</v>
      </c>
      <c r="F1751" t="s">
        <v>5225</v>
      </c>
      <c r="G1751" t="s">
        <v>6507</v>
      </c>
      <c r="H1751">
        <v>535250</v>
      </c>
      <c r="I1751">
        <v>831350</v>
      </c>
      <c r="J1751">
        <v>0.73554523335545197</v>
      </c>
      <c r="K1751">
        <v>393700.58615350601</v>
      </c>
      <c r="L1751">
        <v>393700.58615350601</v>
      </c>
      <c r="M1751">
        <v>599</v>
      </c>
    </row>
    <row r="1752" spans="1:13" ht="15">
      <c r="A1752" t="s">
        <v>3647</v>
      </c>
      <c r="B1752" s="1040" t="str">
        <f>CONCATENATE(LEFT(RIGHT(CONCATENATE("000",IFAData_TEA_1819!A1752),6),3),"-",(RIGHT(RIGHT(CONCATENATE("000",IFAData_TEA_1819!A1752),6),3)))</f>
        <v>161-921</v>
      </c>
      <c r="C1752" t="s">
        <v>1552</v>
      </c>
      <c r="D1752">
        <v>2</v>
      </c>
      <c r="E1752">
        <v>1715</v>
      </c>
      <c r="F1752" t="s">
        <v>5226</v>
      </c>
      <c r="G1752" t="s">
        <v>5226</v>
      </c>
      <c r="H1752">
        <v>141220</v>
      </c>
      <c r="I1752">
        <v>0</v>
      </c>
      <c r="J1752">
        <v>0</v>
      </c>
      <c r="K1752"/>
      <c r="L1752">
        <v>0</v>
      </c>
      <c r="M1752">
        <v>599</v>
      </c>
    </row>
    <row r="1753" spans="1:13" ht="15">
      <c r="A1753" t="s">
        <v>3647</v>
      </c>
      <c r="B1753" s="1040" t="str">
        <f>CONCATENATE(LEFT(RIGHT(CONCATENATE("000",IFAData_TEA_1819!A1753),6),3),"-",(RIGHT(RIGHT(CONCATENATE("000",IFAData_TEA_1819!A1753),6),3)))</f>
        <v>161-921</v>
      </c>
      <c r="C1753" t="s">
        <v>1552</v>
      </c>
      <c r="D1753">
        <v>3</v>
      </c>
      <c r="E1753">
        <v>1716</v>
      </c>
      <c r="F1753" t="s">
        <v>5227</v>
      </c>
      <c r="G1753" t="s">
        <v>5227</v>
      </c>
      <c r="H1753">
        <v>590544</v>
      </c>
      <c r="I1753">
        <v>0</v>
      </c>
      <c r="J1753">
        <v>0</v>
      </c>
      <c r="K1753">
        <v>0</v>
      </c>
      <c r="L1753">
        <v>0</v>
      </c>
      <c r="M1753">
        <v>599</v>
      </c>
    </row>
    <row r="1754" spans="1:13" ht="15">
      <c r="A1754" t="s">
        <v>3647</v>
      </c>
      <c r="B1754" s="1040" t="str">
        <f>CONCATENATE(LEFT(RIGHT(CONCATENATE("000",IFAData_TEA_1819!A1754),6),3),"-",(RIGHT(RIGHT(CONCATENATE("000",IFAData_TEA_1819!A1754),6),3)))</f>
        <v>161-921</v>
      </c>
      <c r="C1754" t="s">
        <v>1552</v>
      </c>
      <c r="D1754">
        <v>3</v>
      </c>
      <c r="E1754">
        <v>1716</v>
      </c>
      <c r="F1754" t="s">
        <v>5227</v>
      </c>
      <c r="G1754" t="s">
        <v>5228</v>
      </c>
      <c r="H1754">
        <v>590544</v>
      </c>
      <c r="I1754">
        <v>0</v>
      </c>
      <c r="J1754">
        <v>0</v>
      </c>
      <c r="K1754">
        <v>0</v>
      </c>
      <c r="L1754">
        <v>0</v>
      </c>
      <c r="M1754">
        <v>599</v>
      </c>
    </row>
    <row r="1755" spans="1:13" ht="15">
      <c r="A1755" t="s">
        <v>3647</v>
      </c>
      <c r="B1755" s="1040" t="str">
        <f>CONCATENATE(LEFT(RIGHT(CONCATENATE("000",IFAData_TEA_1819!A1755),6),3),"-",(RIGHT(RIGHT(CONCATENATE("000",IFAData_TEA_1819!A1755),6),3)))</f>
        <v>161-921</v>
      </c>
      <c r="C1755" t="s">
        <v>1552</v>
      </c>
      <c r="D1755">
        <v>3</v>
      </c>
      <c r="E1755">
        <v>1716</v>
      </c>
      <c r="F1755" t="s">
        <v>5227</v>
      </c>
      <c r="G1755" t="s">
        <v>5229</v>
      </c>
      <c r="H1755">
        <v>590544</v>
      </c>
      <c r="I1755">
        <v>43219</v>
      </c>
      <c r="J1755">
        <v>5.6574036864296399E-2</v>
      </c>
      <c r="K1755">
        <v>33409.458025989101</v>
      </c>
      <c r="L1755">
        <v>33409.458025989101</v>
      </c>
      <c r="M1755">
        <v>599</v>
      </c>
    </row>
    <row r="1756" spans="1:13" ht="15">
      <c r="A1756" t="s">
        <v>3647</v>
      </c>
      <c r="B1756" s="1040" t="str">
        <f>CONCATENATE(LEFT(RIGHT(CONCATENATE("000",IFAData_TEA_1819!A1756),6),3),"-",(RIGHT(RIGHT(CONCATENATE("000",IFAData_TEA_1819!A1756),6),3)))</f>
        <v>161-921</v>
      </c>
      <c r="C1756" t="s">
        <v>1552</v>
      </c>
      <c r="D1756">
        <v>3</v>
      </c>
      <c r="E1756">
        <v>1716</v>
      </c>
      <c r="F1756" t="s">
        <v>5227</v>
      </c>
      <c r="G1756" t="s">
        <v>6508</v>
      </c>
      <c r="H1756">
        <v>590544</v>
      </c>
      <c r="I1756">
        <v>720718</v>
      </c>
      <c r="J1756">
        <v>0.94342596313570404</v>
      </c>
      <c r="K1756">
        <v>557134.54197401099</v>
      </c>
      <c r="L1756">
        <v>557134.54197401099</v>
      </c>
      <c r="M1756">
        <v>599</v>
      </c>
    </row>
    <row r="1757" spans="1:13" ht="15">
      <c r="A1757" t="s">
        <v>3648</v>
      </c>
      <c r="B1757" s="1040" t="str">
        <f>CONCATENATE(LEFT(RIGHT(CONCATENATE("000",IFAData_TEA_1819!A1757),6),3),"-",(RIGHT(RIGHT(CONCATENATE("000",IFAData_TEA_1819!A1757),6),3)))</f>
        <v>161-922</v>
      </c>
      <c r="C1757" t="s">
        <v>2698</v>
      </c>
      <c r="D1757">
        <v>3</v>
      </c>
      <c r="E1757">
        <v>2252</v>
      </c>
      <c r="F1757" t="s">
        <v>5230</v>
      </c>
      <c r="G1757" t="s">
        <v>5230</v>
      </c>
      <c r="H1757">
        <v>486000</v>
      </c>
      <c r="I1757">
        <v>0</v>
      </c>
      <c r="J1757">
        <v>0</v>
      </c>
      <c r="K1757">
        <v>0</v>
      </c>
      <c r="L1757">
        <v>0</v>
      </c>
      <c r="M1757">
        <v>599</v>
      </c>
    </row>
    <row r="1758" spans="1:13" ht="15">
      <c r="A1758" t="s">
        <v>3648</v>
      </c>
      <c r="B1758" s="1040" t="str">
        <f>CONCATENATE(LEFT(RIGHT(CONCATENATE("000",IFAData_TEA_1819!A1758),6),3),"-",(RIGHT(RIGHT(CONCATENATE("000",IFAData_TEA_1819!A1758),6),3)))</f>
        <v>161-922</v>
      </c>
      <c r="C1758" t="s">
        <v>2698</v>
      </c>
      <c r="D1758">
        <v>3</v>
      </c>
      <c r="E1758">
        <v>2252</v>
      </c>
      <c r="F1758" t="s">
        <v>5230</v>
      </c>
      <c r="G1758" t="s">
        <v>5231</v>
      </c>
      <c r="H1758">
        <v>486000</v>
      </c>
      <c r="I1758">
        <v>1076246</v>
      </c>
      <c r="J1758">
        <v>1</v>
      </c>
      <c r="K1758">
        <v>486000</v>
      </c>
      <c r="L1758">
        <v>486000</v>
      </c>
      <c r="M1758">
        <v>599</v>
      </c>
    </row>
    <row r="1759" spans="1:13" ht="15">
      <c r="A1759" t="s">
        <v>3648</v>
      </c>
      <c r="B1759" s="1040" t="str">
        <f>CONCATENATE(LEFT(RIGHT(CONCATENATE("000",IFAData_TEA_1819!A1759),6),3),"-",(RIGHT(RIGHT(CONCATENATE("000",IFAData_TEA_1819!A1759),6),3)))</f>
        <v>161-922</v>
      </c>
      <c r="C1759" t="s">
        <v>2698</v>
      </c>
      <c r="D1759">
        <v>3</v>
      </c>
      <c r="E1759">
        <v>2252</v>
      </c>
      <c r="F1759" t="s">
        <v>5230</v>
      </c>
      <c r="G1759" t="s">
        <v>5232</v>
      </c>
      <c r="H1759">
        <v>486000</v>
      </c>
      <c r="I1759">
        <v>0</v>
      </c>
      <c r="J1759">
        <v>0</v>
      </c>
      <c r="K1759">
        <v>0</v>
      </c>
      <c r="L1759">
        <v>0</v>
      </c>
      <c r="M1759">
        <v>599</v>
      </c>
    </row>
    <row r="1760" spans="1:13" ht="15">
      <c r="A1760" t="s">
        <v>3649</v>
      </c>
      <c r="B1760" s="1040" t="str">
        <f>CONCATENATE(LEFT(RIGHT(CONCATENATE("000",IFAData_TEA_1819!A1760),6),3),"-",(RIGHT(RIGHT(CONCATENATE("000",IFAData_TEA_1819!A1760),6),3)))</f>
        <v>161-923</v>
      </c>
      <c r="C1760" t="s">
        <v>1348</v>
      </c>
      <c r="D1760">
        <v>3</v>
      </c>
      <c r="E1760">
        <v>1628</v>
      </c>
      <c r="F1760" t="s">
        <v>5233</v>
      </c>
      <c r="G1760" t="s">
        <v>5233</v>
      </c>
      <c r="H1760">
        <v>96640</v>
      </c>
      <c r="I1760">
        <v>0</v>
      </c>
      <c r="J1760">
        <v>0</v>
      </c>
      <c r="K1760">
        <v>0</v>
      </c>
      <c r="L1760">
        <v>0</v>
      </c>
      <c r="M1760">
        <v>599</v>
      </c>
    </row>
    <row r="1761" spans="1:13" ht="15">
      <c r="A1761" t="s">
        <v>3649</v>
      </c>
      <c r="B1761" s="1040" t="str">
        <f>CONCATENATE(LEFT(RIGHT(CONCATENATE("000",IFAData_TEA_1819!A1761),6),3),"-",(RIGHT(RIGHT(CONCATENATE("000",IFAData_TEA_1819!A1761),6),3)))</f>
        <v>161-923</v>
      </c>
      <c r="C1761" t="s">
        <v>1348</v>
      </c>
      <c r="D1761">
        <v>3</v>
      </c>
      <c r="E1761">
        <v>1628</v>
      </c>
      <c r="F1761" t="s">
        <v>5233</v>
      </c>
      <c r="G1761" t="s">
        <v>5234</v>
      </c>
      <c r="H1761">
        <v>96640</v>
      </c>
      <c r="I1761">
        <v>0</v>
      </c>
      <c r="J1761">
        <v>0</v>
      </c>
      <c r="K1761">
        <v>0</v>
      </c>
      <c r="L1761">
        <v>0</v>
      </c>
      <c r="M1761">
        <v>599</v>
      </c>
    </row>
    <row r="1762" spans="1:13" ht="15">
      <c r="A1762" t="s">
        <v>3649</v>
      </c>
      <c r="B1762" s="1040" t="str">
        <f>CONCATENATE(LEFT(RIGHT(CONCATENATE("000",IFAData_TEA_1819!A1762),6),3),"-",(RIGHT(RIGHT(CONCATENATE("000",IFAData_TEA_1819!A1762),6),3)))</f>
        <v>161-923</v>
      </c>
      <c r="C1762" t="s">
        <v>1348</v>
      </c>
      <c r="D1762">
        <v>3</v>
      </c>
      <c r="E1762">
        <v>1628</v>
      </c>
      <c r="F1762" t="s">
        <v>5233</v>
      </c>
      <c r="G1762" t="s">
        <v>6298</v>
      </c>
      <c r="H1762">
        <v>96640</v>
      </c>
      <c r="I1762">
        <v>38727</v>
      </c>
      <c r="J1762">
        <v>0.76978274265042002</v>
      </c>
      <c r="K1762">
        <v>74391.804249736597</v>
      </c>
      <c r="L1762">
        <v>38727</v>
      </c>
      <c r="M1762">
        <v>599</v>
      </c>
    </row>
    <row r="1763" spans="1:13" ht="15">
      <c r="A1763" t="s">
        <v>3649</v>
      </c>
      <c r="B1763" s="1040" t="str">
        <f>CONCATENATE(LEFT(RIGHT(CONCATENATE("000",IFAData_TEA_1819!A1763),6),3),"-",(RIGHT(RIGHT(CONCATENATE("000",IFAData_TEA_1819!A1763),6),3)))</f>
        <v>161-923</v>
      </c>
      <c r="C1763" t="s">
        <v>1348</v>
      </c>
      <c r="D1763">
        <v>3</v>
      </c>
      <c r="E1763">
        <v>1628</v>
      </c>
      <c r="F1763" t="s">
        <v>5233</v>
      </c>
      <c r="G1763" t="s">
        <v>8459</v>
      </c>
      <c r="H1763">
        <v>96640</v>
      </c>
      <c r="I1763">
        <v>11582</v>
      </c>
      <c r="J1763">
        <v>0.23021725734958001</v>
      </c>
      <c r="K1763">
        <v>22248.1957502634</v>
      </c>
      <c r="L1763">
        <v>11582</v>
      </c>
      <c r="M1763">
        <v>599</v>
      </c>
    </row>
    <row r="1764" spans="1:13" ht="15">
      <c r="A1764" t="s">
        <v>3649</v>
      </c>
      <c r="B1764" s="1040" t="str">
        <f>CONCATENATE(LEFT(RIGHT(CONCATENATE("000",IFAData_TEA_1819!A1764),6),3),"-",(RIGHT(RIGHT(CONCATENATE("000",IFAData_TEA_1819!A1764),6),3)))</f>
        <v>161-923</v>
      </c>
      <c r="C1764" t="s">
        <v>1348</v>
      </c>
      <c r="D1764">
        <v>5</v>
      </c>
      <c r="E1764">
        <v>1627</v>
      </c>
      <c r="F1764" t="s">
        <v>5235</v>
      </c>
      <c r="G1764" t="s">
        <v>5235</v>
      </c>
      <c r="H1764">
        <v>47466</v>
      </c>
      <c r="I1764">
        <v>0</v>
      </c>
      <c r="J1764">
        <v>0</v>
      </c>
      <c r="K1764"/>
      <c r="L1764">
        <v>0</v>
      </c>
      <c r="M1764">
        <v>599</v>
      </c>
    </row>
    <row r="1765" spans="1:13" ht="15">
      <c r="A1765" t="s">
        <v>3649</v>
      </c>
      <c r="B1765" s="1040" t="str">
        <f>CONCATENATE(LEFT(RIGHT(CONCATENATE("000",IFAData_TEA_1819!A1765),6),3),"-",(RIGHT(RIGHT(CONCATENATE("000",IFAData_TEA_1819!A1765),6),3)))</f>
        <v>161-923</v>
      </c>
      <c r="C1765" t="s">
        <v>1348</v>
      </c>
      <c r="D1765">
        <v>9</v>
      </c>
      <c r="E1765">
        <v>1629</v>
      </c>
      <c r="F1765" t="s">
        <v>5234</v>
      </c>
      <c r="G1765" t="s">
        <v>5234</v>
      </c>
      <c r="H1765">
        <v>109337</v>
      </c>
      <c r="I1765">
        <v>0</v>
      </c>
      <c r="J1765">
        <v>0</v>
      </c>
      <c r="K1765">
        <v>0</v>
      </c>
      <c r="L1765">
        <v>0</v>
      </c>
      <c r="M1765">
        <v>599</v>
      </c>
    </row>
    <row r="1766" spans="1:13" ht="15">
      <c r="A1766" t="s">
        <v>3649</v>
      </c>
      <c r="B1766" s="1040" t="str">
        <f>CONCATENATE(LEFT(RIGHT(CONCATENATE("000",IFAData_TEA_1819!A1766),6),3),"-",(RIGHT(RIGHT(CONCATENATE("000",IFAData_TEA_1819!A1766),6),3)))</f>
        <v>161-923</v>
      </c>
      <c r="C1766" t="s">
        <v>1348</v>
      </c>
      <c r="D1766">
        <v>9</v>
      </c>
      <c r="E1766">
        <v>1629</v>
      </c>
      <c r="F1766" t="s">
        <v>5234</v>
      </c>
      <c r="G1766" t="s">
        <v>6298</v>
      </c>
      <c r="H1766">
        <v>109337</v>
      </c>
      <c r="I1766">
        <v>0</v>
      </c>
      <c r="J1766">
        <v>0</v>
      </c>
      <c r="K1766">
        <v>0</v>
      </c>
      <c r="L1766">
        <v>0</v>
      </c>
      <c r="M1766">
        <v>599</v>
      </c>
    </row>
    <row r="1767" spans="1:13" ht="15">
      <c r="A1767" t="s">
        <v>3649</v>
      </c>
      <c r="B1767" s="1040" t="str">
        <f>CONCATENATE(LEFT(RIGHT(CONCATENATE("000",IFAData_TEA_1819!A1767),6),3),"-",(RIGHT(RIGHT(CONCATENATE("000",IFAData_TEA_1819!A1767),6),3)))</f>
        <v>161-923</v>
      </c>
      <c r="C1767" t="s">
        <v>1348</v>
      </c>
      <c r="D1767">
        <v>9</v>
      </c>
      <c r="E1767">
        <v>1629</v>
      </c>
      <c r="F1767" t="s">
        <v>5234</v>
      </c>
      <c r="G1767" t="s">
        <v>8459</v>
      </c>
      <c r="H1767">
        <v>109337</v>
      </c>
      <c r="I1767">
        <v>73737</v>
      </c>
      <c r="J1767">
        <v>1</v>
      </c>
      <c r="K1767">
        <v>109337</v>
      </c>
      <c r="L1767">
        <v>73737</v>
      </c>
      <c r="M1767">
        <v>599</v>
      </c>
    </row>
    <row r="1768" spans="1:13" ht="15">
      <c r="A1768" t="s">
        <v>3650</v>
      </c>
      <c r="B1768" s="1040" t="str">
        <f>CONCATENATE(LEFT(RIGHT(CONCATENATE("000",IFAData_TEA_1819!A1768),6),3),"-",(RIGHT(RIGHT(CONCATENATE("000",IFAData_TEA_1819!A1768),6),3)))</f>
        <v>163-901</v>
      </c>
      <c r="C1768" t="s">
        <v>2669</v>
      </c>
      <c r="D1768">
        <v>2</v>
      </c>
      <c r="E1768">
        <v>1758</v>
      </c>
      <c r="F1768" t="s">
        <v>5236</v>
      </c>
      <c r="G1768" t="s">
        <v>5236</v>
      </c>
      <c r="H1768">
        <v>429904</v>
      </c>
      <c r="I1768">
        <v>0</v>
      </c>
      <c r="J1768">
        <v>0</v>
      </c>
      <c r="K1768"/>
      <c r="L1768">
        <v>0</v>
      </c>
      <c r="M1768">
        <v>599</v>
      </c>
    </row>
    <row r="1769" spans="1:13" ht="15">
      <c r="A1769" t="s">
        <v>3650</v>
      </c>
      <c r="B1769" s="1040" t="str">
        <f>CONCATENATE(LEFT(RIGHT(CONCATENATE("000",IFAData_TEA_1819!A1769),6),3),"-",(RIGHT(RIGHT(CONCATENATE("000",IFAData_TEA_1819!A1769),6),3)))</f>
        <v>163-901</v>
      </c>
      <c r="C1769" t="s">
        <v>2669</v>
      </c>
      <c r="D1769">
        <v>9</v>
      </c>
      <c r="E1769">
        <v>1757</v>
      </c>
      <c r="F1769" t="s">
        <v>5238</v>
      </c>
      <c r="G1769" t="s">
        <v>5238</v>
      </c>
      <c r="H1769">
        <v>417950</v>
      </c>
      <c r="I1769">
        <v>0</v>
      </c>
      <c r="J1769">
        <v>0</v>
      </c>
      <c r="K1769">
        <v>0</v>
      </c>
      <c r="L1769">
        <v>0</v>
      </c>
      <c r="M1769">
        <v>599</v>
      </c>
    </row>
    <row r="1770" spans="1:13" ht="15">
      <c r="A1770" t="s">
        <v>3650</v>
      </c>
      <c r="B1770" s="1040" t="str">
        <f>CONCATENATE(LEFT(RIGHT(CONCATENATE("000",IFAData_TEA_1819!A1770),6),3),"-",(RIGHT(RIGHT(CONCATENATE("000",IFAData_TEA_1819!A1770),6),3)))</f>
        <v>163-901</v>
      </c>
      <c r="C1770" t="s">
        <v>2669</v>
      </c>
      <c r="D1770">
        <v>9</v>
      </c>
      <c r="E1770">
        <v>1757</v>
      </c>
      <c r="F1770" t="s">
        <v>5238</v>
      </c>
      <c r="G1770" t="s">
        <v>6509</v>
      </c>
      <c r="H1770">
        <v>417950</v>
      </c>
      <c r="I1770">
        <v>367250</v>
      </c>
      <c r="J1770">
        <v>1</v>
      </c>
      <c r="K1770">
        <v>417950</v>
      </c>
      <c r="L1770">
        <v>367250</v>
      </c>
      <c r="M1770">
        <v>599</v>
      </c>
    </row>
    <row r="1771" spans="1:13" ht="15">
      <c r="A1771" t="s">
        <v>3650</v>
      </c>
      <c r="B1771" s="1040" t="str">
        <f>CONCATENATE(LEFT(RIGHT(CONCATENATE("000",IFAData_TEA_1819!A1771),6),3),"-",(RIGHT(RIGHT(CONCATENATE("000",IFAData_TEA_1819!A1771),6),3)))</f>
        <v>163-901</v>
      </c>
      <c r="C1771" t="s">
        <v>2669</v>
      </c>
      <c r="D1771">
        <v>10</v>
      </c>
      <c r="E1771">
        <v>1756</v>
      </c>
      <c r="F1771" t="s">
        <v>5239</v>
      </c>
      <c r="G1771" t="s">
        <v>5239</v>
      </c>
      <c r="H1771">
        <v>403194</v>
      </c>
      <c r="I1771">
        <v>179550</v>
      </c>
      <c r="J1771">
        <v>0.45903106225233298</v>
      </c>
      <c r="K1771">
        <v>185078.570113767</v>
      </c>
      <c r="L1771">
        <v>179550</v>
      </c>
      <c r="M1771">
        <v>599</v>
      </c>
    </row>
    <row r="1772" spans="1:13" ht="15">
      <c r="A1772" t="s">
        <v>3650</v>
      </c>
      <c r="B1772" s="1040" t="str">
        <f>CONCATENATE(LEFT(RIGHT(CONCATENATE("000",IFAData_TEA_1819!A1772),6),3),"-",(RIGHT(RIGHT(CONCATENATE("000",IFAData_TEA_1819!A1772),6),3)))</f>
        <v>163-901</v>
      </c>
      <c r="C1772" t="s">
        <v>2669</v>
      </c>
      <c r="D1772">
        <v>10</v>
      </c>
      <c r="E1772">
        <v>1756</v>
      </c>
      <c r="F1772" t="s">
        <v>5239</v>
      </c>
      <c r="G1772" t="s">
        <v>8460</v>
      </c>
      <c r="H1772">
        <v>403194</v>
      </c>
      <c r="I1772">
        <v>211600</v>
      </c>
      <c r="J1772">
        <v>0.54096893774766697</v>
      </c>
      <c r="K1772">
        <v>218115.429886233</v>
      </c>
      <c r="L1772">
        <v>211600</v>
      </c>
      <c r="M1772">
        <v>599</v>
      </c>
    </row>
    <row r="1773" spans="1:13" ht="15">
      <c r="A1773" t="s">
        <v>3651</v>
      </c>
      <c r="B1773" s="1040" t="str">
        <f>CONCATENATE(LEFT(RIGHT(CONCATENATE("000",IFAData_TEA_1819!A1773),6),3),"-",(RIGHT(RIGHT(CONCATENATE("000",IFAData_TEA_1819!A1773),6),3)))</f>
        <v>163-902</v>
      </c>
      <c r="C1773" t="s">
        <v>2178</v>
      </c>
      <c r="D1773">
        <v>6</v>
      </c>
      <c r="E1773">
        <v>1760</v>
      </c>
      <c r="F1773" t="s">
        <v>5240</v>
      </c>
      <c r="G1773" t="s">
        <v>5240</v>
      </c>
      <c r="H1773">
        <v>100000</v>
      </c>
      <c r="I1773">
        <v>0</v>
      </c>
      <c r="J1773">
        <v>0</v>
      </c>
      <c r="K1773">
        <v>0</v>
      </c>
      <c r="L1773">
        <v>0</v>
      </c>
      <c r="M1773">
        <v>599</v>
      </c>
    </row>
    <row r="1774" spans="1:13" ht="15">
      <c r="A1774" t="s">
        <v>3651</v>
      </c>
      <c r="B1774" s="1040" t="str">
        <f>CONCATENATE(LEFT(RIGHT(CONCATENATE("000",IFAData_TEA_1819!A1774),6),3),"-",(RIGHT(RIGHT(CONCATENATE("000",IFAData_TEA_1819!A1774),6),3)))</f>
        <v>163-902</v>
      </c>
      <c r="C1774" t="s">
        <v>2178</v>
      </c>
      <c r="D1774">
        <v>6</v>
      </c>
      <c r="E1774">
        <v>1760</v>
      </c>
      <c r="F1774" t="s">
        <v>5240</v>
      </c>
      <c r="G1774" t="s">
        <v>5241</v>
      </c>
      <c r="H1774">
        <v>100000</v>
      </c>
      <c r="I1774">
        <v>88232</v>
      </c>
      <c r="J1774">
        <v>1</v>
      </c>
      <c r="K1774">
        <v>100000</v>
      </c>
      <c r="L1774">
        <v>88232</v>
      </c>
      <c r="M1774">
        <v>599</v>
      </c>
    </row>
    <row r="1775" spans="1:13" ht="15">
      <c r="A1775" t="s">
        <v>3651</v>
      </c>
      <c r="B1775" s="1040" t="str">
        <f>CONCATENATE(LEFT(RIGHT(CONCATENATE("000",IFAData_TEA_1819!A1775),6),3),"-",(RIGHT(RIGHT(CONCATENATE("000",IFAData_TEA_1819!A1775),6),3)))</f>
        <v>163-902</v>
      </c>
      <c r="C1775" t="s">
        <v>2178</v>
      </c>
      <c r="D1775">
        <v>9</v>
      </c>
      <c r="E1775">
        <v>1761</v>
      </c>
      <c r="F1775" t="s">
        <v>5242</v>
      </c>
      <c r="G1775" t="s">
        <v>5242</v>
      </c>
      <c r="H1775">
        <v>100000</v>
      </c>
      <c r="I1775">
        <v>0</v>
      </c>
      <c r="J1775">
        <v>0</v>
      </c>
      <c r="K1775">
        <v>0</v>
      </c>
      <c r="L1775">
        <v>0</v>
      </c>
      <c r="M1775">
        <v>599</v>
      </c>
    </row>
    <row r="1776" spans="1:13" ht="15">
      <c r="A1776" t="s">
        <v>3651</v>
      </c>
      <c r="B1776" s="1040" t="str">
        <f>CONCATENATE(LEFT(RIGHT(CONCATENATE("000",IFAData_TEA_1819!A1776),6),3),"-",(RIGHT(RIGHT(CONCATENATE("000",IFAData_TEA_1819!A1776),6),3)))</f>
        <v>163-902</v>
      </c>
      <c r="C1776" t="s">
        <v>2178</v>
      </c>
      <c r="D1776">
        <v>9</v>
      </c>
      <c r="E1776">
        <v>1761</v>
      </c>
      <c r="F1776" t="s">
        <v>5242</v>
      </c>
      <c r="G1776" t="s">
        <v>6299</v>
      </c>
      <c r="H1776">
        <v>100000</v>
      </c>
      <c r="I1776">
        <v>138922</v>
      </c>
      <c r="J1776">
        <v>1</v>
      </c>
      <c r="K1776">
        <v>100000</v>
      </c>
      <c r="L1776">
        <v>100000</v>
      </c>
      <c r="M1776">
        <v>599</v>
      </c>
    </row>
    <row r="1777" spans="1:13" ht="15">
      <c r="A1777" t="s">
        <v>3652</v>
      </c>
      <c r="B1777" s="1040" t="str">
        <f>CONCATENATE(LEFT(RIGHT(CONCATENATE("000",IFAData_TEA_1819!A1777),6),3),"-",(RIGHT(RIGHT(CONCATENATE("000",IFAData_TEA_1819!A1777),6),3)))</f>
        <v>163-903</v>
      </c>
      <c r="C1777" t="s">
        <v>2244</v>
      </c>
      <c r="D1777">
        <v>4</v>
      </c>
      <c r="E1777">
        <v>2125</v>
      </c>
      <c r="F1777" t="s">
        <v>5243</v>
      </c>
      <c r="G1777" t="s">
        <v>5243</v>
      </c>
      <c r="H1777">
        <v>240522</v>
      </c>
      <c r="I1777">
        <v>0</v>
      </c>
      <c r="J1777">
        <v>0</v>
      </c>
      <c r="K1777"/>
      <c r="L1777">
        <v>0</v>
      </c>
      <c r="M1777">
        <v>599</v>
      </c>
    </row>
    <row r="1778" spans="1:13" ht="15">
      <c r="A1778" t="s">
        <v>3652</v>
      </c>
      <c r="B1778" s="1040" t="str">
        <f>CONCATENATE(LEFT(RIGHT(CONCATENATE("000",IFAData_TEA_1819!A1778),6),3),"-",(RIGHT(RIGHT(CONCATENATE("000",IFAData_TEA_1819!A1778),6),3)))</f>
        <v>163-903</v>
      </c>
      <c r="C1778" t="s">
        <v>2244</v>
      </c>
      <c r="D1778">
        <v>8</v>
      </c>
      <c r="E1778">
        <v>2126</v>
      </c>
      <c r="F1778" t="s">
        <v>5245</v>
      </c>
      <c r="G1778" t="s">
        <v>5245</v>
      </c>
      <c r="H1778">
        <v>260720</v>
      </c>
      <c r="I1778">
        <v>0</v>
      </c>
      <c r="J1778">
        <v>0</v>
      </c>
      <c r="K1778">
        <v>0</v>
      </c>
      <c r="L1778">
        <v>0</v>
      </c>
      <c r="M1778">
        <v>599</v>
      </c>
    </row>
    <row r="1779" spans="1:13" ht="15">
      <c r="A1779" t="s">
        <v>3652</v>
      </c>
      <c r="B1779" s="1040" t="str">
        <f>CONCATENATE(LEFT(RIGHT(CONCATENATE("000",IFAData_TEA_1819!A1779),6),3),"-",(RIGHT(RIGHT(CONCATENATE("000",IFAData_TEA_1819!A1779),6),3)))</f>
        <v>163-903</v>
      </c>
      <c r="C1779" t="s">
        <v>2244</v>
      </c>
      <c r="D1779">
        <v>8</v>
      </c>
      <c r="E1779">
        <v>2126</v>
      </c>
      <c r="F1779" t="s">
        <v>5245</v>
      </c>
      <c r="G1779" t="s">
        <v>6510</v>
      </c>
      <c r="H1779">
        <v>260720</v>
      </c>
      <c r="I1779">
        <v>246880</v>
      </c>
      <c r="J1779">
        <v>1</v>
      </c>
      <c r="K1779">
        <v>260720</v>
      </c>
      <c r="L1779">
        <v>246880</v>
      </c>
      <c r="M1779">
        <v>599</v>
      </c>
    </row>
    <row r="1780" spans="1:13" ht="15">
      <c r="A1780" t="s">
        <v>3653</v>
      </c>
      <c r="B1780" s="1040" t="str">
        <f>CONCATENATE(LEFT(RIGHT(CONCATENATE("000",IFAData_TEA_1819!A1780),6),3),"-",(RIGHT(RIGHT(CONCATENATE("000",IFAData_TEA_1819!A1780),6),3)))</f>
        <v>163-904</v>
      </c>
      <c r="C1780" t="s">
        <v>2378</v>
      </c>
      <c r="D1780">
        <v>2</v>
      </c>
      <c r="E1780">
        <v>1898</v>
      </c>
      <c r="F1780" t="s">
        <v>5246</v>
      </c>
      <c r="G1780" t="s">
        <v>5246</v>
      </c>
      <c r="H1780">
        <v>468918</v>
      </c>
      <c r="I1780">
        <v>0</v>
      </c>
      <c r="J1780">
        <v>0</v>
      </c>
      <c r="K1780">
        <v>0</v>
      </c>
      <c r="L1780">
        <v>0</v>
      </c>
      <c r="M1780">
        <v>599</v>
      </c>
    </row>
    <row r="1781" spans="1:13" ht="15">
      <c r="A1781" t="s">
        <v>3653</v>
      </c>
      <c r="B1781" s="1040" t="str">
        <f>CONCATENATE(LEFT(RIGHT(CONCATENATE("000",IFAData_TEA_1819!A1781),6),3),"-",(RIGHT(RIGHT(CONCATENATE("000",IFAData_TEA_1819!A1781),6),3)))</f>
        <v>163-904</v>
      </c>
      <c r="C1781" t="s">
        <v>2378</v>
      </c>
      <c r="D1781">
        <v>2</v>
      </c>
      <c r="E1781">
        <v>1898</v>
      </c>
      <c r="F1781" t="s">
        <v>5246</v>
      </c>
      <c r="G1781" t="s">
        <v>5247</v>
      </c>
      <c r="H1781">
        <v>468918</v>
      </c>
      <c r="I1781">
        <v>0</v>
      </c>
      <c r="J1781">
        <v>0</v>
      </c>
      <c r="K1781">
        <v>0</v>
      </c>
      <c r="L1781">
        <v>0</v>
      </c>
      <c r="M1781">
        <v>599</v>
      </c>
    </row>
    <row r="1782" spans="1:13" ht="15">
      <c r="A1782" t="s">
        <v>3653</v>
      </c>
      <c r="B1782" s="1040" t="str">
        <f>CONCATENATE(LEFT(RIGHT(CONCATENATE("000",IFAData_TEA_1819!A1782),6),3),"-",(RIGHT(RIGHT(CONCATENATE("000",IFAData_TEA_1819!A1782),6),3)))</f>
        <v>163-904</v>
      </c>
      <c r="C1782" t="s">
        <v>2378</v>
      </c>
      <c r="D1782">
        <v>2</v>
      </c>
      <c r="E1782">
        <v>1898</v>
      </c>
      <c r="F1782" t="s">
        <v>5246</v>
      </c>
      <c r="G1782" t="s">
        <v>5248</v>
      </c>
      <c r="H1782">
        <v>468918</v>
      </c>
      <c r="I1782">
        <v>418223</v>
      </c>
      <c r="J1782">
        <v>1</v>
      </c>
      <c r="K1782">
        <v>468918</v>
      </c>
      <c r="L1782">
        <v>418223</v>
      </c>
      <c r="M1782">
        <v>599</v>
      </c>
    </row>
    <row r="1783" spans="1:13" ht="15">
      <c r="A1783" t="s">
        <v>3653</v>
      </c>
      <c r="B1783" s="1040" t="str">
        <f>CONCATENATE(LEFT(RIGHT(CONCATENATE("000",IFAData_TEA_1819!A1783),6),3),"-",(RIGHT(RIGHT(CONCATENATE("000",IFAData_TEA_1819!A1783),6),3)))</f>
        <v>163-904</v>
      </c>
      <c r="C1783" t="s">
        <v>2378</v>
      </c>
      <c r="D1783">
        <v>5</v>
      </c>
      <c r="E1783">
        <v>1897</v>
      </c>
      <c r="F1783" t="s">
        <v>5249</v>
      </c>
      <c r="G1783" t="s">
        <v>5249</v>
      </c>
      <c r="H1783">
        <v>351045</v>
      </c>
      <c r="I1783">
        <v>0</v>
      </c>
      <c r="J1783">
        <v>0</v>
      </c>
      <c r="K1783">
        <v>0</v>
      </c>
      <c r="L1783">
        <v>0</v>
      </c>
      <c r="M1783">
        <v>599</v>
      </c>
    </row>
    <row r="1784" spans="1:13" ht="15">
      <c r="A1784" t="s">
        <v>3653</v>
      </c>
      <c r="B1784" s="1040" t="str">
        <f>CONCATENATE(LEFT(RIGHT(CONCATENATE("000",IFAData_TEA_1819!A1784),6),3),"-",(RIGHT(RIGHT(CONCATENATE("000",IFAData_TEA_1819!A1784),6),3)))</f>
        <v>163-904</v>
      </c>
      <c r="C1784" t="s">
        <v>2378</v>
      </c>
      <c r="D1784">
        <v>5</v>
      </c>
      <c r="E1784">
        <v>1897</v>
      </c>
      <c r="F1784" t="s">
        <v>5249</v>
      </c>
      <c r="G1784" t="s">
        <v>5250</v>
      </c>
      <c r="H1784">
        <v>351045</v>
      </c>
      <c r="I1784">
        <v>333167</v>
      </c>
      <c r="J1784">
        <v>0.52540801216190902</v>
      </c>
      <c r="K1784">
        <v>184441.85562937701</v>
      </c>
      <c r="L1784">
        <v>184441.85562937701</v>
      </c>
      <c r="M1784">
        <v>599</v>
      </c>
    </row>
    <row r="1785" spans="1:13" ht="15">
      <c r="A1785" t="s">
        <v>3653</v>
      </c>
      <c r="B1785" s="1040" t="str">
        <f>CONCATENATE(LEFT(RIGHT(CONCATENATE("000",IFAData_TEA_1819!A1785),6),3),"-",(RIGHT(RIGHT(CONCATENATE("000",IFAData_TEA_1819!A1785),6),3)))</f>
        <v>163-904</v>
      </c>
      <c r="C1785" t="s">
        <v>2378</v>
      </c>
      <c r="D1785">
        <v>5</v>
      </c>
      <c r="E1785">
        <v>1897</v>
      </c>
      <c r="F1785" t="s">
        <v>5249</v>
      </c>
      <c r="G1785" t="s">
        <v>5248</v>
      </c>
      <c r="H1785">
        <v>351045</v>
      </c>
      <c r="I1785">
        <v>0</v>
      </c>
      <c r="J1785">
        <v>0</v>
      </c>
      <c r="K1785">
        <v>0</v>
      </c>
      <c r="L1785">
        <v>0</v>
      </c>
      <c r="M1785">
        <v>599</v>
      </c>
    </row>
    <row r="1786" spans="1:13" ht="15">
      <c r="A1786" t="s">
        <v>3653</v>
      </c>
      <c r="B1786" s="1040" t="str">
        <f>CONCATENATE(LEFT(RIGHT(CONCATENATE("000",IFAData_TEA_1819!A1786),6),3),"-",(RIGHT(RIGHT(CONCATENATE("000",IFAData_TEA_1819!A1786),6),3)))</f>
        <v>163-904</v>
      </c>
      <c r="C1786" t="s">
        <v>2378</v>
      </c>
      <c r="D1786">
        <v>5</v>
      </c>
      <c r="E1786">
        <v>1897</v>
      </c>
      <c r="F1786" t="s">
        <v>5249</v>
      </c>
      <c r="G1786" t="s">
        <v>8461</v>
      </c>
      <c r="H1786">
        <v>351045</v>
      </c>
      <c r="I1786">
        <v>300944</v>
      </c>
      <c r="J1786">
        <v>0.47459198783809098</v>
      </c>
      <c r="K1786">
        <v>166603.14437062299</v>
      </c>
      <c r="L1786">
        <v>166603.14437062299</v>
      </c>
      <c r="M1786">
        <v>599</v>
      </c>
    </row>
    <row r="1787" spans="1:13" ht="15">
      <c r="A1787" t="s">
        <v>3654</v>
      </c>
      <c r="B1787" s="1040" t="str">
        <f>CONCATENATE(LEFT(RIGHT(CONCATENATE("000",IFAData_TEA_1819!A1787),6),3),"-",(RIGHT(RIGHT(CONCATENATE("000",IFAData_TEA_1819!A1787),6),3)))</f>
        <v>163-908</v>
      </c>
      <c r="C1787" t="s">
        <v>823</v>
      </c>
      <c r="D1787">
        <v>2</v>
      </c>
      <c r="E1787">
        <v>2085</v>
      </c>
      <c r="F1787" t="s">
        <v>5251</v>
      </c>
      <c r="G1787" t="s">
        <v>5251</v>
      </c>
      <c r="H1787">
        <v>528404</v>
      </c>
      <c r="I1787">
        <v>0</v>
      </c>
      <c r="J1787">
        <v>0</v>
      </c>
      <c r="K1787"/>
      <c r="L1787">
        <v>0</v>
      </c>
      <c r="M1787">
        <v>599</v>
      </c>
    </row>
    <row r="1788" spans="1:13" ht="15">
      <c r="A1788" t="s">
        <v>3654</v>
      </c>
      <c r="B1788" s="1040" t="str">
        <f>CONCATENATE(LEFT(RIGHT(CONCATENATE("000",IFAData_TEA_1819!A1788),6),3),"-",(RIGHT(RIGHT(CONCATENATE("000",IFAData_TEA_1819!A1788),6),3)))</f>
        <v>163-908</v>
      </c>
      <c r="C1788" t="s">
        <v>823</v>
      </c>
      <c r="D1788">
        <v>5</v>
      </c>
      <c r="E1788">
        <v>2086</v>
      </c>
      <c r="F1788" t="s">
        <v>5254</v>
      </c>
      <c r="G1788" t="s">
        <v>5254</v>
      </c>
      <c r="H1788">
        <v>728095</v>
      </c>
      <c r="I1788">
        <v>0</v>
      </c>
      <c r="J1788">
        <v>0</v>
      </c>
      <c r="K1788">
        <v>0</v>
      </c>
      <c r="L1788">
        <v>0</v>
      </c>
      <c r="M1788">
        <v>599</v>
      </c>
    </row>
    <row r="1789" spans="1:13" ht="15">
      <c r="A1789" t="s">
        <v>3654</v>
      </c>
      <c r="B1789" s="1040" t="str">
        <f>CONCATENATE(LEFT(RIGHT(CONCATENATE("000",IFAData_TEA_1819!A1789),6),3),"-",(RIGHT(RIGHT(CONCATENATE("000",IFAData_TEA_1819!A1789),6),3)))</f>
        <v>163-908</v>
      </c>
      <c r="C1789" t="s">
        <v>823</v>
      </c>
      <c r="D1789">
        <v>5</v>
      </c>
      <c r="E1789">
        <v>2086</v>
      </c>
      <c r="F1789" t="s">
        <v>5254</v>
      </c>
      <c r="G1789" t="s">
        <v>5252</v>
      </c>
      <c r="H1789">
        <v>728095</v>
      </c>
      <c r="I1789">
        <v>26100</v>
      </c>
      <c r="J1789">
        <v>3.3702772537276403E-2</v>
      </c>
      <c r="K1789">
        <v>24538.820170528299</v>
      </c>
      <c r="L1789">
        <v>24538.820170528299</v>
      </c>
      <c r="M1789">
        <v>599</v>
      </c>
    </row>
    <row r="1790" spans="1:13" ht="15">
      <c r="A1790" t="s">
        <v>3654</v>
      </c>
      <c r="B1790" s="1040" t="str">
        <f>CONCATENATE(LEFT(RIGHT(CONCATENATE("000",IFAData_TEA_1819!A1790),6),3),"-",(RIGHT(RIGHT(CONCATENATE("000",IFAData_TEA_1819!A1790),6),3)))</f>
        <v>163-908</v>
      </c>
      <c r="C1790" t="s">
        <v>823</v>
      </c>
      <c r="D1790">
        <v>5</v>
      </c>
      <c r="E1790">
        <v>2086</v>
      </c>
      <c r="F1790" t="s">
        <v>5254</v>
      </c>
      <c r="G1790" t="s">
        <v>5253</v>
      </c>
      <c r="H1790">
        <v>728095</v>
      </c>
      <c r="I1790">
        <v>79492</v>
      </c>
      <c r="J1790">
        <v>0.102647540020428</v>
      </c>
      <c r="K1790">
        <v>74737.160651173705</v>
      </c>
      <c r="L1790">
        <v>74737.160651173705</v>
      </c>
      <c r="M1790">
        <v>599</v>
      </c>
    </row>
    <row r="1791" spans="1:13" ht="15">
      <c r="A1791" t="s">
        <v>3654</v>
      </c>
      <c r="B1791" s="1040" t="str">
        <f>CONCATENATE(LEFT(RIGHT(CONCATENATE("000",IFAData_TEA_1819!A1791),6),3),"-",(RIGHT(RIGHT(CONCATENATE("000",IFAData_TEA_1819!A1791),6),3)))</f>
        <v>163-908</v>
      </c>
      <c r="C1791" t="s">
        <v>823</v>
      </c>
      <c r="D1791">
        <v>5</v>
      </c>
      <c r="E1791">
        <v>2086</v>
      </c>
      <c r="F1791" t="s">
        <v>5254</v>
      </c>
      <c r="G1791" t="s">
        <v>6512</v>
      </c>
      <c r="H1791">
        <v>728095</v>
      </c>
      <c r="I1791">
        <v>668825</v>
      </c>
      <c r="J1791">
        <v>0.86364968744229498</v>
      </c>
      <c r="K1791">
        <v>628819.01917829795</v>
      </c>
      <c r="L1791">
        <v>628819.01917829795</v>
      </c>
      <c r="M1791">
        <v>599</v>
      </c>
    </row>
    <row r="1792" spans="1:13" ht="15">
      <c r="A1792" t="s">
        <v>3654</v>
      </c>
      <c r="B1792" s="1040" t="str">
        <f>CONCATENATE(LEFT(RIGHT(CONCATENATE("000",IFAData_TEA_1819!A1792),6),3),"-",(RIGHT(RIGHT(CONCATENATE("000",IFAData_TEA_1819!A1792),6),3)))</f>
        <v>163-908</v>
      </c>
      <c r="C1792" t="s">
        <v>823</v>
      </c>
      <c r="D1792">
        <v>9</v>
      </c>
      <c r="E1792">
        <v>2087</v>
      </c>
      <c r="F1792" t="s">
        <v>5255</v>
      </c>
      <c r="G1792" t="s">
        <v>5255</v>
      </c>
      <c r="H1792">
        <v>778750</v>
      </c>
      <c r="I1792">
        <v>1895263</v>
      </c>
      <c r="J1792">
        <v>0.46078106017451798</v>
      </c>
      <c r="K1792">
        <v>358833.25061090599</v>
      </c>
      <c r="L1792">
        <v>358833.25061090599</v>
      </c>
      <c r="M1792">
        <v>599</v>
      </c>
    </row>
    <row r="1793" spans="1:13" ht="15">
      <c r="A1793" t="s">
        <v>3654</v>
      </c>
      <c r="B1793" s="1040" t="str">
        <f>CONCATENATE(LEFT(RIGHT(CONCATENATE("000",IFAData_TEA_1819!A1793),6),3),"-",(RIGHT(RIGHT(CONCATENATE("000",IFAData_TEA_1819!A1793),6),3)))</f>
        <v>163-908</v>
      </c>
      <c r="C1793" t="s">
        <v>823</v>
      </c>
      <c r="D1793">
        <v>9</v>
      </c>
      <c r="E1793">
        <v>2087</v>
      </c>
      <c r="F1793" t="s">
        <v>5255</v>
      </c>
      <c r="G1793" t="s">
        <v>6300</v>
      </c>
      <c r="H1793">
        <v>778750</v>
      </c>
      <c r="I1793">
        <v>99183</v>
      </c>
      <c r="J1793">
        <v>2.4113617947107702E-2</v>
      </c>
      <c r="K1793">
        <v>18778.4799763101</v>
      </c>
      <c r="L1793">
        <v>18778.4799763101</v>
      </c>
      <c r="M1793">
        <v>599</v>
      </c>
    </row>
    <row r="1794" spans="1:13" ht="15">
      <c r="A1794" t="s">
        <v>3654</v>
      </c>
      <c r="B1794" s="1040" t="str">
        <f>CONCATENATE(LEFT(RIGHT(CONCATENATE("000",IFAData_TEA_1819!A1794),6),3),"-",(RIGHT(RIGHT(CONCATENATE("000",IFAData_TEA_1819!A1794),6),3)))</f>
        <v>163-908</v>
      </c>
      <c r="C1794" t="s">
        <v>823</v>
      </c>
      <c r="D1794">
        <v>9</v>
      </c>
      <c r="E1794">
        <v>2087</v>
      </c>
      <c r="F1794" t="s">
        <v>5255</v>
      </c>
      <c r="G1794" t="s">
        <v>6301</v>
      </c>
      <c r="H1794">
        <v>778750</v>
      </c>
      <c r="I1794">
        <v>225117</v>
      </c>
      <c r="J1794">
        <v>5.4731005629987499E-2</v>
      </c>
      <c r="K1794">
        <v>42621.770634352797</v>
      </c>
      <c r="L1794">
        <v>42621.770634352797</v>
      </c>
      <c r="M1794">
        <v>599</v>
      </c>
    </row>
    <row r="1795" spans="1:13" ht="15">
      <c r="A1795" t="s">
        <v>3654</v>
      </c>
      <c r="B1795" s="1040" t="str">
        <f>CONCATENATE(LEFT(RIGHT(CONCATENATE("000",IFAData_TEA_1819!A1795),6),3),"-",(RIGHT(RIGHT(CONCATENATE("000",IFAData_TEA_1819!A1795),6),3)))</f>
        <v>163-908</v>
      </c>
      <c r="C1795" t="s">
        <v>823</v>
      </c>
      <c r="D1795">
        <v>9</v>
      </c>
      <c r="E1795">
        <v>2087</v>
      </c>
      <c r="F1795" t="s">
        <v>5255</v>
      </c>
      <c r="G1795" t="s">
        <v>6511</v>
      </c>
      <c r="H1795">
        <v>778750</v>
      </c>
      <c r="I1795">
        <v>1893590</v>
      </c>
      <c r="J1795">
        <v>0.46037431624838698</v>
      </c>
      <c r="K1795">
        <v>358516.49877843098</v>
      </c>
      <c r="L1795">
        <v>358516.49877843098</v>
      </c>
      <c r="M1795">
        <v>599</v>
      </c>
    </row>
    <row r="1796" spans="1:13" ht="15">
      <c r="A1796" t="s">
        <v>3654</v>
      </c>
      <c r="B1796" s="1040" t="str">
        <f>CONCATENATE(LEFT(RIGHT(CONCATENATE("000",IFAData_TEA_1819!A1796),6),3),"-",(RIGHT(RIGHT(CONCATENATE("000",IFAData_TEA_1819!A1796),6),3)))</f>
        <v>163-908</v>
      </c>
      <c r="C1796" t="s">
        <v>823</v>
      </c>
      <c r="D1796">
        <v>11</v>
      </c>
      <c r="E1796">
        <v>2538</v>
      </c>
      <c r="F1796" t="s">
        <v>8462</v>
      </c>
      <c r="G1796" t="s">
        <v>8462</v>
      </c>
      <c r="H1796">
        <v>1050671</v>
      </c>
      <c r="I1796">
        <v>2823500</v>
      </c>
      <c r="J1796">
        <v>1</v>
      </c>
      <c r="K1796">
        <v>1050671</v>
      </c>
      <c r="L1796">
        <v>1050671</v>
      </c>
      <c r="M1796">
        <v>599</v>
      </c>
    </row>
    <row r="1797" spans="1:13" ht="15">
      <c r="A1797" t="s">
        <v>3655</v>
      </c>
      <c r="B1797" s="1040" t="str">
        <f>CONCATENATE(LEFT(RIGHT(CONCATENATE("000",IFAData_TEA_1819!A1797),6),3),"-",(RIGHT(RIGHT(CONCATENATE("000",IFAData_TEA_1819!A1797),6),3)))</f>
        <v>165-901</v>
      </c>
      <c r="C1797" t="s">
        <v>2236</v>
      </c>
      <c r="D1797">
        <v>1</v>
      </c>
      <c r="E1797">
        <v>2103</v>
      </c>
      <c r="F1797" t="s">
        <v>5256</v>
      </c>
      <c r="G1797" t="s">
        <v>5256</v>
      </c>
      <c r="H1797">
        <v>1268572</v>
      </c>
      <c r="I1797">
        <v>0</v>
      </c>
      <c r="J1797">
        <v>0</v>
      </c>
      <c r="K1797"/>
      <c r="L1797">
        <v>0</v>
      </c>
      <c r="M1797">
        <v>599</v>
      </c>
    </row>
    <row r="1798" spans="1:13" ht="15">
      <c r="A1798" t="s">
        <v>3655</v>
      </c>
      <c r="B1798" s="1040" t="str">
        <f>CONCATENATE(LEFT(RIGHT(CONCATENATE("000",IFAData_TEA_1819!A1798),6),3),"-",(RIGHT(RIGHT(CONCATENATE("000",IFAData_TEA_1819!A1798),6),3)))</f>
        <v>165-901</v>
      </c>
      <c r="C1798" t="s">
        <v>2236</v>
      </c>
      <c r="D1798">
        <v>1</v>
      </c>
      <c r="E1798">
        <v>2104</v>
      </c>
      <c r="F1798" t="s">
        <v>5258</v>
      </c>
      <c r="G1798" t="s">
        <v>5258</v>
      </c>
      <c r="H1798">
        <v>1498095</v>
      </c>
      <c r="I1798">
        <v>0</v>
      </c>
      <c r="J1798">
        <v>0</v>
      </c>
      <c r="K1798"/>
      <c r="L1798">
        <v>0</v>
      </c>
      <c r="M1798">
        <v>599</v>
      </c>
    </row>
    <row r="1799" spans="1:13" ht="15">
      <c r="A1799" t="s">
        <v>3656</v>
      </c>
      <c r="B1799" s="1040" t="str">
        <f>CONCATENATE(LEFT(RIGHT(CONCATENATE("000",IFAData_TEA_1819!A1799),6),3),"-",(RIGHT(RIGHT(CONCATENATE("000",IFAData_TEA_1819!A1799),6),3)))</f>
        <v>166-901</v>
      </c>
      <c r="C1799" t="s">
        <v>652</v>
      </c>
      <c r="D1799">
        <v>3</v>
      </c>
      <c r="E1799">
        <v>1660</v>
      </c>
      <c r="F1799" t="s">
        <v>5260</v>
      </c>
      <c r="G1799" t="s">
        <v>5260</v>
      </c>
      <c r="H1799">
        <v>407753</v>
      </c>
      <c r="I1799">
        <v>0</v>
      </c>
      <c r="J1799">
        <v>0</v>
      </c>
      <c r="K1799">
        <v>0</v>
      </c>
      <c r="L1799">
        <v>0</v>
      </c>
      <c r="M1799">
        <v>599</v>
      </c>
    </row>
    <row r="1800" spans="1:13" ht="15">
      <c r="A1800" t="s">
        <v>3656</v>
      </c>
      <c r="B1800" s="1040" t="str">
        <f>CONCATENATE(LEFT(RIGHT(CONCATENATE("000",IFAData_TEA_1819!A1800),6),3),"-",(RIGHT(RIGHT(CONCATENATE("000",IFAData_TEA_1819!A1800),6),3)))</f>
        <v>166-901</v>
      </c>
      <c r="C1800" t="s">
        <v>652</v>
      </c>
      <c r="D1800">
        <v>3</v>
      </c>
      <c r="E1800">
        <v>1660</v>
      </c>
      <c r="F1800" t="s">
        <v>5260</v>
      </c>
      <c r="G1800" t="s">
        <v>5261</v>
      </c>
      <c r="H1800">
        <v>407753</v>
      </c>
      <c r="I1800">
        <v>0</v>
      </c>
      <c r="J1800">
        <v>0</v>
      </c>
      <c r="K1800">
        <v>0</v>
      </c>
      <c r="L1800">
        <v>0</v>
      </c>
      <c r="M1800">
        <v>599</v>
      </c>
    </row>
    <row r="1801" spans="1:13" ht="15">
      <c r="A1801" t="s">
        <v>3656</v>
      </c>
      <c r="B1801" s="1040" t="str">
        <f>CONCATENATE(LEFT(RIGHT(CONCATENATE("000",IFAData_TEA_1819!A1801),6),3),"-",(RIGHT(RIGHT(CONCATENATE("000",IFAData_TEA_1819!A1801),6),3)))</f>
        <v>166-901</v>
      </c>
      <c r="C1801" t="s">
        <v>652</v>
      </c>
      <c r="D1801">
        <v>3</v>
      </c>
      <c r="E1801">
        <v>1660</v>
      </c>
      <c r="F1801" t="s">
        <v>5260</v>
      </c>
      <c r="G1801" t="s">
        <v>6513</v>
      </c>
      <c r="H1801">
        <v>407753</v>
      </c>
      <c r="I1801">
        <v>501600</v>
      </c>
      <c r="J1801">
        <v>1</v>
      </c>
      <c r="K1801">
        <v>407753</v>
      </c>
      <c r="L1801">
        <v>407753</v>
      </c>
      <c r="M1801">
        <v>599</v>
      </c>
    </row>
    <row r="1802" spans="1:13" ht="15">
      <c r="A1802" t="s">
        <v>3656</v>
      </c>
      <c r="B1802" s="1040" t="str">
        <f>CONCATENATE(LEFT(RIGHT(CONCATENATE("000",IFAData_TEA_1819!A1802),6),3),"-",(RIGHT(RIGHT(CONCATENATE("000",IFAData_TEA_1819!A1802),6),3)))</f>
        <v>166-901</v>
      </c>
      <c r="C1802" t="s">
        <v>652</v>
      </c>
      <c r="D1802">
        <v>6</v>
      </c>
      <c r="E1802">
        <v>1659</v>
      </c>
      <c r="F1802" t="s">
        <v>5262</v>
      </c>
      <c r="G1802" t="s">
        <v>5262</v>
      </c>
      <c r="H1802">
        <v>390173</v>
      </c>
      <c r="I1802">
        <v>0</v>
      </c>
      <c r="J1802">
        <v>0</v>
      </c>
      <c r="K1802">
        <v>0</v>
      </c>
      <c r="L1802">
        <v>0</v>
      </c>
      <c r="M1802">
        <v>599</v>
      </c>
    </row>
    <row r="1803" spans="1:13" ht="15">
      <c r="A1803" t="s">
        <v>3656</v>
      </c>
      <c r="B1803" s="1040" t="str">
        <f>CONCATENATE(LEFT(RIGHT(CONCATENATE("000",IFAData_TEA_1819!A1803),6),3),"-",(RIGHT(RIGHT(CONCATENATE("000",IFAData_TEA_1819!A1803),6),3)))</f>
        <v>166-901</v>
      </c>
      <c r="C1803" t="s">
        <v>652</v>
      </c>
      <c r="D1803">
        <v>6</v>
      </c>
      <c r="E1803">
        <v>1659</v>
      </c>
      <c r="F1803" t="s">
        <v>5262</v>
      </c>
      <c r="G1803" t="s">
        <v>5263</v>
      </c>
      <c r="H1803">
        <v>390173</v>
      </c>
      <c r="I1803">
        <v>715460</v>
      </c>
      <c r="J1803">
        <v>1</v>
      </c>
      <c r="K1803">
        <v>390173</v>
      </c>
      <c r="L1803">
        <v>390173</v>
      </c>
      <c r="M1803">
        <v>599</v>
      </c>
    </row>
    <row r="1804" spans="1:13" ht="15">
      <c r="A1804" t="s">
        <v>3657</v>
      </c>
      <c r="B1804" s="1040" t="str">
        <f>CONCATENATE(LEFT(RIGHT(CONCATENATE("000",IFAData_TEA_1819!A1804),6),3),"-",(RIGHT(RIGHT(CONCATENATE("000",IFAData_TEA_1819!A1804),6),3)))</f>
        <v>166-907</v>
      </c>
      <c r="C1804" t="s">
        <v>2637</v>
      </c>
      <c r="D1804">
        <v>4</v>
      </c>
      <c r="E1804">
        <v>1649</v>
      </c>
      <c r="F1804" t="s">
        <v>5264</v>
      </c>
      <c r="G1804" t="s">
        <v>5264</v>
      </c>
      <c r="H1804">
        <v>100000</v>
      </c>
      <c r="I1804">
        <v>0</v>
      </c>
      <c r="J1804">
        <v>0</v>
      </c>
      <c r="K1804">
        <v>0</v>
      </c>
      <c r="L1804">
        <v>0</v>
      </c>
      <c r="M1804">
        <v>599</v>
      </c>
    </row>
    <row r="1805" spans="1:13" ht="15">
      <c r="A1805" t="s">
        <v>3657</v>
      </c>
      <c r="B1805" s="1040" t="str">
        <f>CONCATENATE(LEFT(RIGHT(CONCATENATE("000",IFAData_TEA_1819!A1805),6),3),"-",(RIGHT(RIGHT(CONCATENATE("000",IFAData_TEA_1819!A1805),6),3)))</f>
        <v>166-907</v>
      </c>
      <c r="C1805" t="s">
        <v>2637</v>
      </c>
      <c r="D1805">
        <v>4</v>
      </c>
      <c r="E1805">
        <v>1649</v>
      </c>
      <c r="F1805" t="s">
        <v>5264</v>
      </c>
      <c r="G1805" t="s">
        <v>5265</v>
      </c>
      <c r="H1805">
        <v>100000</v>
      </c>
      <c r="I1805">
        <v>83557</v>
      </c>
      <c r="J1805">
        <v>1</v>
      </c>
      <c r="K1805">
        <v>100000</v>
      </c>
      <c r="L1805">
        <v>83557</v>
      </c>
      <c r="M1805">
        <v>599</v>
      </c>
    </row>
    <row r="1806" spans="1:13" ht="15">
      <c r="A1806" t="s">
        <v>3658</v>
      </c>
      <c r="B1806" s="1040" t="str">
        <f>CONCATENATE(LEFT(RIGHT(CONCATENATE("000",IFAData_TEA_1819!A1806),6),3),"-",(RIGHT(RIGHT(CONCATENATE("000",IFAData_TEA_1819!A1806),6),3)))</f>
        <v>167-901</v>
      </c>
      <c r="C1806" t="s">
        <v>860</v>
      </c>
      <c r="D1806">
        <v>2</v>
      </c>
      <c r="E1806">
        <v>1849</v>
      </c>
      <c r="F1806" t="s">
        <v>5266</v>
      </c>
      <c r="G1806" t="s">
        <v>5266</v>
      </c>
      <c r="H1806">
        <v>149754</v>
      </c>
      <c r="I1806">
        <v>0</v>
      </c>
      <c r="J1806">
        <v>0</v>
      </c>
      <c r="K1806">
        <v>0</v>
      </c>
      <c r="L1806">
        <v>0</v>
      </c>
      <c r="M1806">
        <v>599</v>
      </c>
    </row>
    <row r="1807" spans="1:13" ht="15">
      <c r="A1807" t="s">
        <v>3658</v>
      </c>
      <c r="B1807" s="1040" t="str">
        <f>CONCATENATE(LEFT(RIGHT(CONCATENATE("000",IFAData_TEA_1819!A1807),6),3),"-",(RIGHT(RIGHT(CONCATENATE("000",IFAData_TEA_1819!A1807),6),3)))</f>
        <v>167-901</v>
      </c>
      <c r="C1807" t="s">
        <v>860</v>
      </c>
      <c r="D1807">
        <v>2</v>
      </c>
      <c r="E1807">
        <v>1849</v>
      </c>
      <c r="F1807" t="s">
        <v>5266</v>
      </c>
      <c r="G1807" t="s">
        <v>5267</v>
      </c>
      <c r="H1807">
        <v>149754</v>
      </c>
      <c r="I1807">
        <v>147795</v>
      </c>
      <c r="J1807">
        <v>1</v>
      </c>
      <c r="K1807">
        <v>149754</v>
      </c>
      <c r="L1807">
        <v>147795</v>
      </c>
      <c r="M1807">
        <v>599</v>
      </c>
    </row>
    <row r="1808" spans="1:13" ht="15">
      <c r="A1808" t="s">
        <v>3659</v>
      </c>
      <c r="B1808" s="1040" t="str">
        <f>CONCATENATE(LEFT(RIGHT(CONCATENATE("000",IFAData_TEA_1819!A1808),6),3),"-",(RIGHT(RIGHT(CONCATENATE("000",IFAData_TEA_1819!A1808),6),3)))</f>
        <v>167-904</v>
      </c>
      <c r="C1808" t="s">
        <v>73</v>
      </c>
      <c r="D1808">
        <v>6</v>
      </c>
      <c r="E1808">
        <v>2212</v>
      </c>
      <c r="F1808" t="s">
        <v>5268</v>
      </c>
      <c r="G1808" t="s">
        <v>5268</v>
      </c>
      <c r="H1808">
        <v>73691</v>
      </c>
      <c r="I1808">
        <v>0</v>
      </c>
      <c r="J1808">
        <v>0</v>
      </c>
      <c r="K1808"/>
      <c r="L1808">
        <v>0</v>
      </c>
      <c r="M1808">
        <v>599</v>
      </c>
    </row>
    <row r="1809" spans="1:13" ht="15">
      <c r="A1809" t="s">
        <v>3660</v>
      </c>
      <c r="B1809" s="1040" t="str">
        <f>CONCATENATE(LEFT(RIGHT(CONCATENATE("000",IFAData_TEA_1819!A1809),6),3),"-",(RIGHT(RIGHT(CONCATENATE("000",IFAData_TEA_1819!A1809),6),3)))</f>
        <v>169-901</v>
      </c>
      <c r="C1809" t="s">
        <v>1366</v>
      </c>
      <c r="D1809">
        <v>9</v>
      </c>
      <c r="E1809">
        <v>1630</v>
      </c>
      <c r="F1809" t="s">
        <v>5269</v>
      </c>
      <c r="G1809" t="s">
        <v>5269</v>
      </c>
      <c r="H1809">
        <v>357946</v>
      </c>
      <c r="I1809">
        <v>0</v>
      </c>
      <c r="J1809">
        <v>0</v>
      </c>
      <c r="K1809">
        <v>0</v>
      </c>
      <c r="L1809">
        <v>0</v>
      </c>
      <c r="M1809">
        <v>599</v>
      </c>
    </row>
    <row r="1810" spans="1:13" ht="15">
      <c r="A1810" t="s">
        <v>3660</v>
      </c>
      <c r="B1810" s="1040" t="str">
        <f>CONCATENATE(LEFT(RIGHT(CONCATENATE("000",IFAData_TEA_1819!A1810),6),3),"-",(RIGHT(RIGHT(CONCATENATE("000",IFAData_TEA_1819!A1810),6),3)))</f>
        <v>169-901</v>
      </c>
      <c r="C1810" t="s">
        <v>1366</v>
      </c>
      <c r="D1810">
        <v>9</v>
      </c>
      <c r="E1810">
        <v>1630</v>
      </c>
      <c r="F1810" t="s">
        <v>5269</v>
      </c>
      <c r="G1810" t="s">
        <v>5270</v>
      </c>
      <c r="H1810">
        <v>357946</v>
      </c>
      <c r="I1810">
        <v>554968</v>
      </c>
      <c r="J1810">
        <v>1</v>
      </c>
      <c r="K1810">
        <v>357946</v>
      </c>
      <c r="L1810">
        <v>357946</v>
      </c>
      <c r="M1810">
        <v>599</v>
      </c>
    </row>
    <row r="1811" spans="1:13" ht="15">
      <c r="A1811" t="s">
        <v>3661</v>
      </c>
      <c r="B1811" s="1040" t="str">
        <f>CONCATENATE(LEFT(RIGHT(CONCATENATE("000",IFAData_TEA_1819!A1811),6),3),"-",(RIGHT(RIGHT(CONCATENATE("000",IFAData_TEA_1819!A1811),6),3)))</f>
        <v>170-902</v>
      </c>
      <c r="C1811" t="s">
        <v>1553</v>
      </c>
      <c r="D1811">
        <v>1</v>
      </c>
      <c r="E1811">
        <v>1717</v>
      </c>
      <c r="F1811" t="s">
        <v>5271</v>
      </c>
      <c r="G1811" t="s">
        <v>5271</v>
      </c>
      <c r="H1811">
        <v>398132</v>
      </c>
      <c r="I1811">
        <v>0</v>
      </c>
      <c r="J1811">
        <v>0</v>
      </c>
      <c r="K1811">
        <v>0</v>
      </c>
      <c r="L1811">
        <v>0</v>
      </c>
      <c r="M1811">
        <v>599</v>
      </c>
    </row>
    <row r="1812" spans="1:13" ht="15">
      <c r="A1812" t="s">
        <v>3661</v>
      </c>
      <c r="B1812" s="1040" t="str">
        <f>CONCATENATE(LEFT(RIGHT(CONCATENATE("000",IFAData_TEA_1819!A1812),6),3),"-",(RIGHT(RIGHT(CONCATENATE("000",IFAData_TEA_1819!A1812),6),3)))</f>
        <v>170-902</v>
      </c>
      <c r="C1812" t="s">
        <v>1553</v>
      </c>
      <c r="D1812">
        <v>1</v>
      </c>
      <c r="E1812">
        <v>1717</v>
      </c>
      <c r="F1812" t="s">
        <v>5271</v>
      </c>
      <c r="G1812" t="s">
        <v>5272</v>
      </c>
      <c r="H1812">
        <v>398132</v>
      </c>
      <c r="I1812">
        <v>0</v>
      </c>
      <c r="J1812">
        <v>0</v>
      </c>
      <c r="K1812">
        <v>0</v>
      </c>
      <c r="L1812">
        <v>0</v>
      </c>
      <c r="M1812">
        <v>599</v>
      </c>
    </row>
    <row r="1813" spans="1:13" ht="15">
      <c r="A1813" t="s">
        <v>3661</v>
      </c>
      <c r="B1813" s="1040" t="str">
        <f>CONCATENATE(LEFT(RIGHT(CONCATENATE("000",IFAData_TEA_1819!A1813),6),3),"-",(RIGHT(RIGHT(CONCATENATE("000",IFAData_TEA_1819!A1813),6),3)))</f>
        <v>170-902</v>
      </c>
      <c r="C1813" t="s">
        <v>1553</v>
      </c>
      <c r="D1813">
        <v>1</v>
      </c>
      <c r="E1813">
        <v>1717</v>
      </c>
      <c r="F1813" t="s">
        <v>5271</v>
      </c>
      <c r="G1813" t="s">
        <v>5273</v>
      </c>
      <c r="H1813">
        <v>398132</v>
      </c>
      <c r="I1813">
        <v>0</v>
      </c>
      <c r="J1813">
        <v>0</v>
      </c>
      <c r="K1813">
        <v>0</v>
      </c>
      <c r="L1813">
        <v>0</v>
      </c>
      <c r="M1813">
        <v>599</v>
      </c>
    </row>
    <row r="1814" spans="1:13" ht="15">
      <c r="A1814" t="s">
        <v>3661</v>
      </c>
      <c r="B1814" s="1040" t="str">
        <f>CONCATENATE(LEFT(RIGHT(CONCATENATE("000",IFAData_TEA_1819!A1814),6),3),"-",(RIGHT(RIGHT(CONCATENATE("000",IFAData_TEA_1819!A1814),6),3)))</f>
        <v>170-902</v>
      </c>
      <c r="C1814" t="s">
        <v>1553</v>
      </c>
      <c r="D1814">
        <v>1</v>
      </c>
      <c r="E1814">
        <v>1717</v>
      </c>
      <c r="F1814" t="s">
        <v>5271</v>
      </c>
      <c r="G1814" t="s">
        <v>5274</v>
      </c>
      <c r="H1814">
        <v>398132</v>
      </c>
      <c r="I1814">
        <v>107097</v>
      </c>
      <c r="J1814">
        <v>0.26781347056970101</v>
      </c>
      <c r="K1814">
        <v>106625.112664856</v>
      </c>
      <c r="L1814">
        <v>106625.112664856</v>
      </c>
      <c r="M1814">
        <v>599</v>
      </c>
    </row>
    <row r="1815" spans="1:13" ht="15">
      <c r="A1815" t="s">
        <v>3661</v>
      </c>
      <c r="B1815" s="1040" t="str">
        <f>CONCATENATE(LEFT(RIGHT(CONCATENATE("000",IFAData_TEA_1819!A1815),6),3),"-",(RIGHT(RIGHT(CONCATENATE("000",IFAData_TEA_1819!A1815),6),3)))</f>
        <v>170-902</v>
      </c>
      <c r="C1815" t="s">
        <v>1553</v>
      </c>
      <c r="D1815">
        <v>1</v>
      </c>
      <c r="E1815">
        <v>1717</v>
      </c>
      <c r="F1815" t="s">
        <v>5271</v>
      </c>
      <c r="G1815" t="s">
        <v>5275</v>
      </c>
      <c r="H1815">
        <v>398132</v>
      </c>
      <c r="I1815">
        <v>59713</v>
      </c>
      <c r="J1815">
        <v>0.14932207034864201</v>
      </c>
      <c r="K1815">
        <v>59449.894512045699</v>
      </c>
      <c r="L1815">
        <v>59449.894512045699</v>
      </c>
      <c r="M1815">
        <v>599</v>
      </c>
    </row>
    <row r="1816" spans="1:13" ht="15">
      <c r="A1816" t="s">
        <v>3661</v>
      </c>
      <c r="B1816" s="1040" t="str">
        <f>CONCATENATE(LEFT(RIGHT(CONCATENATE("000",IFAData_TEA_1819!A1816),6),3),"-",(RIGHT(RIGHT(CONCATENATE("000",IFAData_TEA_1819!A1816),6),3)))</f>
        <v>170-902</v>
      </c>
      <c r="C1816" t="s">
        <v>1553</v>
      </c>
      <c r="D1816">
        <v>1</v>
      </c>
      <c r="E1816">
        <v>1717</v>
      </c>
      <c r="F1816" t="s">
        <v>5271</v>
      </c>
      <c r="G1816" t="s">
        <v>6302</v>
      </c>
      <c r="H1816">
        <v>398132</v>
      </c>
      <c r="I1816">
        <v>154638</v>
      </c>
      <c r="J1816">
        <v>0.38669747483083</v>
      </c>
      <c r="K1816">
        <v>153956.63904934801</v>
      </c>
      <c r="L1816">
        <v>153956.63904934801</v>
      </c>
      <c r="M1816">
        <v>599</v>
      </c>
    </row>
    <row r="1817" spans="1:13" ht="15">
      <c r="A1817" t="s">
        <v>3661</v>
      </c>
      <c r="B1817" s="1040" t="str">
        <f>CONCATENATE(LEFT(RIGHT(CONCATENATE("000",IFAData_TEA_1819!A1817),6),3),"-",(RIGHT(RIGHT(CONCATENATE("000",IFAData_TEA_1819!A1817),6),3)))</f>
        <v>170-902</v>
      </c>
      <c r="C1817" t="s">
        <v>1553</v>
      </c>
      <c r="D1817">
        <v>1</v>
      </c>
      <c r="E1817">
        <v>1717</v>
      </c>
      <c r="F1817" t="s">
        <v>5271</v>
      </c>
      <c r="G1817" t="s">
        <v>6514</v>
      </c>
      <c r="H1817">
        <v>398132</v>
      </c>
      <c r="I1817">
        <v>73982</v>
      </c>
      <c r="J1817">
        <v>0.185004026066908</v>
      </c>
      <c r="K1817">
        <v>73656.022906070095</v>
      </c>
      <c r="L1817">
        <v>73656.022906070095</v>
      </c>
      <c r="M1817">
        <v>599</v>
      </c>
    </row>
    <row r="1818" spans="1:13" ht="15">
      <c r="A1818" t="s">
        <v>3661</v>
      </c>
      <c r="B1818" s="1040" t="str">
        <f>CONCATENATE(LEFT(RIGHT(CONCATENATE("000",IFAData_TEA_1819!A1818),6),3),"-",(RIGHT(RIGHT(CONCATENATE("000",IFAData_TEA_1819!A1818),6),3)))</f>
        <v>170-902</v>
      </c>
      <c r="C1818" t="s">
        <v>1553</v>
      </c>
      <c r="D1818">
        <v>1</v>
      </c>
      <c r="E1818">
        <v>1717</v>
      </c>
      <c r="F1818" t="s">
        <v>5271</v>
      </c>
      <c r="G1818" t="s">
        <v>8463</v>
      </c>
      <c r="H1818">
        <v>398132</v>
      </c>
      <c r="I1818">
        <v>4464</v>
      </c>
      <c r="J1818">
        <v>1.11629581839187E-2</v>
      </c>
      <c r="K1818">
        <v>4444.3308676799397</v>
      </c>
      <c r="L1818">
        <v>4444.3308676799397</v>
      </c>
      <c r="M1818">
        <v>599</v>
      </c>
    </row>
    <row r="1819" spans="1:13" ht="15">
      <c r="A1819" t="s">
        <v>3662</v>
      </c>
      <c r="B1819" s="1040" t="str">
        <f>CONCATENATE(LEFT(RIGHT(CONCATENATE("000",IFAData_TEA_1819!A1819),6),3),"-",(RIGHT(RIGHT(CONCATENATE("000",IFAData_TEA_1819!A1819),6),3)))</f>
        <v>170-904</v>
      </c>
      <c r="C1819" t="s">
        <v>1127</v>
      </c>
      <c r="D1819">
        <v>2</v>
      </c>
      <c r="E1819">
        <v>2457</v>
      </c>
      <c r="F1819" t="s">
        <v>5276</v>
      </c>
      <c r="G1819" t="s">
        <v>5276</v>
      </c>
      <c r="H1819">
        <v>890114</v>
      </c>
      <c r="I1819">
        <v>1530919</v>
      </c>
      <c r="J1819">
        <v>0.80952861895888395</v>
      </c>
      <c r="K1819">
        <v>720572.75713596796</v>
      </c>
      <c r="L1819">
        <v>720572.75713596796</v>
      </c>
      <c r="M1819">
        <v>599</v>
      </c>
    </row>
    <row r="1820" spans="1:13" ht="15">
      <c r="A1820" t="s">
        <v>3662</v>
      </c>
      <c r="B1820" s="1040" t="str">
        <f>CONCATENATE(LEFT(RIGHT(CONCATENATE("000",IFAData_TEA_1819!A1820),6),3),"-",(RIGHT(RIGHT(CONCATENATE("000",IFAData_TEA_1819!A1820),6),3)))</f>
        <v>170-904</v>
      </c>
      <c r="C1820" t="s">
        <v>1127</v>
      </c>
      <c r="D1820">
        <v>2</v>
      </c>
      <c r="E1820">
        <v>2457</v>
      </c>
      <c r="F1820" t="s">
        <v>5276</v>
      </c>
      <c r="G1820" t="s">
        <v>5277</v>
      </c>
      <c r="H1820">
        <v>890114</v>
      </c>
      <c r="I1820">
        <v>0</v>
      </c>
      <c r="J1820">
        <v>0</v>
      </c>
      <c r="K1820">
        <v>0</v>
      </c>
      <c r="L1820">
        <v>0</v>
      </c>
      <c r="M1820">
        <v>599</v>
      </c>
    </row>
    <row r="1821" spans="1:13" ht="15">
      <c r="A1821" t="s">
        <v>3662</v>
      </c>
      <c r="B1821" s="1040" t="str">
        <f>CONCATENATE(LEFT(RIGHT(CONCATENATE("000",IFAData_TEA_1819!A1821),6),3),"-",(RIGHT(RIGHT(CONCATENATE("000",IFAData_TEA_1819!A1821),6),3)))</f>
        <v>170-904</v>
      </c>
      <c r="C1821" t="s">
        <v>1127</v>
      </c>
      <c r="D1821">
        <v>2</v>
      </c>
      <c r="E1821">
        <v>2457</v>
      </c>
      <c r="F1821" t="s">
        <v>5276</v>
      </c>
      <c r="G1821" t="s">
        <v>5278</v>
      </c>
      <c r="H1821">
        <v>890114</v>
      </c>
      <c r="I1821">
        <v>0</v>
      </c>
      <c r="J1821">
        <v>0</v>
      </c>
      <c r="K1821">
        <v>0</v>
      </c>
      <c r="L1821">
        <v>0</v>
      </c>
      <c r="M1821">
        <v>599</v>
      </c>
    </row>
    <row r="1822" spans="1:13" ht="15">
      <c r="A1822" t="s">
        <v>3662</v>
      </c>
      <c r="B1822" s="1040" t="str">
        <f>CONCATENATE(LEFT(RIGHT(CONCATENATE("000",IFAData_TEA_1819!A1822),6),3),"-",(RIGHT(RIGHT(CONCATENATE("000",IFAData_TEA_1819!A1822),6),3)))</f>
        <v>170-904</v>
      </c>
      <c r="C1822" t="s">
        <v>1127</v>
      </c>
      <c r="D1822">
        <v>2</v>
      </c>
      <c r="E1822">
        <v>2457</v>
      </c>
      <c r="F1822" t="s">
        <v>5276</v>
      </c>
      <c r="G1822" t="s">
        <v>6303</v>
      </c>
      <c r="H1822">
        <v>890114</v>
      </c>
      <c r="I1822">
        <v>351150</v>
      </c>
      <c r="J1822">
        <v>0.18568322331058101</v>
      </c>
      <c r="K1822">
        <v>165279.236633875</v>
      </c>
      <c r="L1822">
        <v>165279.236633875</v>
      </c>
      <c r="M1822">
        <v>599</v>
      </c>
    </row>
    <row r="1823" spans="1:13" ht="15">
      <c r="A1823" t="s">
        <v>3662</v>
      </c>
      <c r="B1823" s="1040" t="str">
        <f>CONCATENATE(LEFT(RIGHT(CONCATENATE("000",IFAData_TEA_1819!A1823),6),3),"-",(RIGHT(RIGHT(CONCATENATE("000",IFAData_TEA_1819!A1823),6),3)))</f>
        <v>170-904</v>
      </c>
      <c r="C1823" t="s">
        <v>1127</v>
      </c>
      <c r="D1823">
        <v>2</v>
      </c>
      <c r="E1823">
        <v>2457</v>
      </c>
      <c r="F1823" t="s">
        <v>5276</v>
      </c>
      <c r="G1823" t="s">
        <v>8464</v>
      </c>
      <c r="H1823">
        <v>890114</v>
      </c>
      <c r="I1823">
        <v>9055</v>
      </c>
      <c r="J1823">
        <v>4.7881577305348604E-3</v>
      </c>
      <c r="K1823">
        <v>4262.0062301572998</v>
      </c>
      <c r="L1823">
        <v>4262.0062301572998</v>
      </c>
      <c r="M1823">
        <v>599</v>
      </c>
    </row>
    <row r="1824" spans="1:13" ht="15">
      <c r="A1824" t="s">
        <v>3662</v>
      </c>
      <c r="B1824" s="1040" t="str">
        <f>CONCATENATE(LEFT(RIGHT(CONCATENATE("000",IFAData_TEA_1819!A1824),6),3),"-",(RIGHT(RIGHT(CONCATENATE("000",IFAData_TEA_1819!A1824),6),3)))</f>
        <v>170-904</v>
      </c>
      <c r="C1824" t="s">
        <v>1127</v>
      </c>
      <c r="D1824">
        <v>6</v>
      </c>
      <c r="E1824">
        <v>2455</v>
      </c>
      <c r="F1824" t="s">
        <v>5279</v>
      </c>
      <c r="G1824" t="s">
        <v>5279</v>
      </c>
      <c r="H1824">
        <v>700706</v>
      </c>
      <c r="I1824">
        <v>0</v>
      </c>
      <c r="J1824">
        <v>0</v>
      </c>
      <c r="K1824">
        <v>0</v>
      </c>
      <c r="L1824">
        <v>0</v>
      </c>
      <c r="M1824">
        <v>599</v>
      </c>
    </row>
    <row r="1825" spans="1:13" ht="15">
      <c r="A1825" t="s">
        <v>3662</v>
      </c>
      <c r="B1825" s="1040" t="str">
        <f>CONCATENATE(LEFT(RIGHT(CONCATENATE("000",IFAData_TEA_1819!A1825),6),3),"-",(RIGHT(RIGHT(CONCATENATE("000",IFAData_TEA_1819!A1825),6),3)))</f>
        <v>170-904</v>
      </c>
      <c r="C1825" t="s">
        <v>1127</v>
      </c>
      <c r="D1825">
        <v>6</v>
      </c>
      <c r="E1825">
        <v>2455</v>
      </c>
      <c r="F1825" t="s">
        <v>5279</v>
      </c>
      <c r="G1825" t="s">
        <v>5280</v>
      </c>
      <c r="H1825">
        <v>700706</v>
      </c>
      <c r="I1825">
        <v>429063</v>
      </c>
      <c r="J1825">
        <v>0.89370623252946302</v>
      </c>
      <c r="K1825">
        <v>626225.31937079004</v>
      </c>
      <c r="L1825">
        <v>429063</v>
      </c>
      <c r="M1825">
        <v>599</v>
      </c>
    </row>
    <row r="1826" spans="1:13" ht="15">
      <c r="A1826" t="s">
        <v>3662</v>
      </c>
      <c r="B1826" s="1040" t="str">
        <f>CONCATENATE(LEFT(RIGHT(CONCATENATE("000",IFAData_TEA_1819!A1826),6),3),"-",(RIGHT(RIGHT(CONCATENATE("000",IFAData_TEA_1819!A1826),6),3)))</f>
        <v>170-904</v>
      </c>
      <c r="C1826" t="s">
        <v>1127</v>
      </c>
      <c r="D1826">
        <v>6</v>
      </c>
      <c r="E1826">
        <v>2455</v>
      </c>
      <c r="F1826" t="s">
        <v>5279</v>
      </c>
      <c r="G1826" t="s">
        <v>6303</v>
      </c>
      <c r="H1826">
        <v>700706</v>
      </c>
      <c r="I1826">
        <v>51031</v>
      </c>
      <c r="J1826">
        <v>0.106293767470537</v>
      </c>
      <c r="K1826">
        <v>74480.680629210096</v>
      </c>
      <c r="L1826">
        <v>51031</v>
      </c>
      <c r="M1826">
        <v>599</v>
      </c>
    </row>
    <row r="1827" spans="1:13" ht="15">
      <c r="A1827" t="s">
        <v>3662</v>
      </c>
      <c r="B1827" s="1040" t="str">
        <f>CONCATENATE(LEFT(RIGHT(CONCATENATE("000",IFAData_TEA_1819!A1827),6),3),"-",(RIGHT(RIGHT(CONCATENATE("000",IFAData_TEA_1819!A1827),6),3)))</f>
        <v>170-904</v>
      </c>
      <c r="C1827" t="s">
        <v>1127</v>
      </c>
      <c r="D1827">
        <v>9</v>
      </c>
      <c r="E1827">
        <v>2456</v>
      </c>
      <c r="F1827" t="s">
        <v>5281</v>
      </c>
      <c r="G1827" t="s">
        <v>5281</v>
      </c>
      <c r="H1827">
        <v>798894</v>
      </c>
      <c r="I1827">
        <v>0</v>
      </c>
      <c r="J1827">
        <v>0</v>
      </c>
      <c r="K1827">
        <v>0</v>
      </c>
      <c r="L1827">
        <v>0</v>
      </c>
      <c r="M1827">
        <v>599</v>
      </c>
    </row>
    <row r="1828" spans="1:13" ht="15">
      <c r="A1828" t="s">
        <v>3662</v>
      </c>
      <c r="B1828" s="1040" t="str">
        <f>CONCATENATE(LEFT(RIGHT(CONCATENATE("000",IFAData_TEA_1819!A1828),6),3),"-",(RIGHT(RIGHT(CONCATENATE("000",IFAData_TEA_1819!A1828),6),3)))</f>
        <v>170-904</v>
      </c>
      <c r="C1828" t="s">
        <v>1127</v>
      </c>
      <c r="D1828">
        <v>9</v>
      </c>
      <c r="E1828">
        <v>2456</v>
      </c>
      <c r="F1828" t="s">
        <v>5281</v>
      </c>
      <c r="G1828" t="s">
        <v>5282</v>
      </c>
      <c r="H1828">
        <v>798894</v>
      </c>
      <c r="I1828">
        <v>165351</v>
      </c>
      <c r="J1828">
        <v>0.131125947554696</v>
      </c>
      <c r="K1828">
        <v>104755.732745762</v>
      </c>
      <c r="L1828">
        <v>104755.732745762</v>
      </c>
      <c r="M1828">
        <v>599</v>
      </c>
    </row>
    <row r="1829" spans="1:13" ht="15">
      <c r="A1829" t="s">
        <v>3662</v>
      </c>
      <c r="B1829" s="1040" t="str">
        <f>CONCATENATE(LEFT(RIGHT(CONCATENATE("000",IFAData_TEA_1819!A1829),6),3),"-",(RIGHT(RIGHT(CONCATENATE("000",IFAData_TEA_1819!A1829),6),3)))</f>
        <v>170-904</v>
      </c>
      <c r="C1829" t="s">
        <v>1127</v>
      </c>
      <c r="D1829">
        <v>9</v>
      </c>
      <c r="E1829">
        <v>2456</v>
      </c>
      <c r="F1829" t="s">
        <v>5281</v>
      </c>
      <c r="G1829" t="s">
        <v>6303</v>
      </c>
      <c r="H1829">
        <v>798894</v>
      </c>
      <c r="I1829">
        <v>1095658</v>
      </c>
      <c r="J1829">
        <v>0.86887405244530402</v>
      </c>
      <c r="K1829">
        <v>694138.26725423802</v>
      </c>
      <c r="L1829">
        <v>694138.26725423802</v>
      </c>
      <c r="M1829">
        <v>599</v>
      </c>
    </row>
    <row r="1830" spans="1:13" ht="15">
      <c r="A1830" t="s">
        <v>3662</v>
      </c>
      <c r="B1830" s="1040" t="str">
        <f>CONCATENATE(LEFT(RIGHT(CONCATENATE("000",IFAData_TEA_1819!A1830),6),3),"-",(RIGHT(RIGHT(CONCATENATE("000",IFAData_TEA_1819!A1830),6),3)))</f>
        <v>170-904</v>
      </c>
      <c r="C1830" t="s">
        <v>1127</v>
      </c>
      <c r="D1830">
        <v>10</v>
      </c>
      <c r="E1830">
        <v>2454</v>
      </c>
      <c r="F1830" t="s">
        <v>5283</v>
      </c>
      <c r="G1830" t="s">
        <v>5283</v>
      </c>
      <c r="H1830">
        <v>258116</v>
      </c>
      <c r="I1830">
        <v>0</v>
      </c>
      <c r="J1830">
        <v>0</v>
      </c>
      <c r="K1830">
        <v>0</v>
      </c>
      <c r="L1830">
        <v>0</v>
      </c>
      <c r="M1830">
        <v>599</v>
      </c>
    </row>
    <row r="1831" spans="1:13" ht="15">
      <c r="A1831" t="s">
        <v>3662</v>
      </c>
      <c r="B1831" s="1040" t="str">
        <f>CONCATENATE(LEFT(RIGHT(CONCATENATE("000",IFAData_TEA_1819!A1831),6),3),"-",(RIGHT(RIGHT(CONCATENATE("000",IFAData_TEA_1819!A1831),6),3)))</f>
        <v>170-904</v>
      </c>
      <c r="C1831" t="s">
        <v>1127</v>
      </c>
      <c r="D1831">
        <v>10</v>
      </c>
      <c r="E1831">
        <v>2454</v>
      </c>
      <c r="F1831" t="s">
        <v>5283</v>
      </c>
      <c r="G1831" t="s">
        <v>6515</v>
      </c>
      <c r="H1831">
        <v>258116</v>
      </c>
      <c r="I1831">
        <v>220157</v>
      </c>
      <c r="J1831">
        <v>1</v>
      </c>
      <c r="K1831">
        <v>258116</v>
      </c>
      <c r="L1831">
        <v>220157</v>
      </c>
      <c r="M1831">
        <v>599</v>
      </c>
    </row>
    <row r="1832" spans="1:13" ht="15">
      <c r="A1832" t="s">
        <v>3663</v>
      </c>
      <c r="B1832" s="1040" t="str">
        <f>CONCATENATE(LEFT(RIGHT(CONCATENATE("000",IFAData_TEA_1819!A1832),6),3),"-",(RIGHT(RIGHT(CONCATENATE("000",IFAData_TEA_1819!A1832),6),3)))</f>
        <v>170-906</v>
      </c>
      <c r="C1832" t="s">
        <v>288</v>
      </c>
      <c r="D1832">
        <v>3</v>
      </c>
      <c r="E1832">
        <v>2052</v>
      </c>
      <c r="F1832" t="s">
        <v>5284</v>
      </c>
      <c r="G1832" t="s">
        <v>5284</v>
      </c>
      <c r="H1832">
        <v>1530990</v>
      </c>
      <c r="I1832">
        <v>0</v>
      </c>
      <c r="J1832">
        <v>0</v>
      </c>
      <c r="K1832">
        <v>0</v>
      </c>
      <c r="L1832">
        <v>0</v>
      </c>
      <c r="M1832">
        <v>599</v>
      </c>
    </row>
    <row r="1833" spans="1:13" ht="15">
      <c r="A1833" t="s">
        <v>3663</v>
      </c>
      <c r="B1833" s="1040" t="str">
        <f>CONCATENATE(LEFT(RIGHT(CONCATENATE("000",IFAData_TEA_1819!A1833),6),3),"-",(RIGHT(RIGHT(CONCATENATE("000",IFAData_TEA_1819!A1833),6),3)))</f>
        <v>170-906</v>
      </c>
      <c r="C1833" t="s">
        <v>288</v>
      </c>
      <c r="D1833">
        <v>3</v>
      </c>
      <c r="E1833">
        <v>2052</v>
      </c>
      <c r="F1833" t="s">
        <v>5284</v>
      </c>
      <c r="G1833" t="s">
        <v>5285</v>
      </c>
      <c r="H1833">
        <v>1530990</v>
      </c>
      <c r="I1833">
        <v>0</v>
      </c>
      <c r="J1833">
        <v>0</v>
      </c>
      <c r="K1833">
        <v>0</v>
      </c>
      <c r="L1833">
        <v>0</v>
      </c>
      <c r="M1833">
        <v>599</v>
      </c>
    </row>
    <row r="1834" spans="1:13" ht="15">
      <c r="A1834" t="s">
        <v>3663</v>
      </c>
      <c r="B1834" s="1040" t="str">
        <f>CONCATENATE(LEFT(RIGHT(CONCATENATE("000",IFAData_TEA_1819!A1834),6),3),"-",(RIGHT(RIGHT(CONCATENATE("000",IFAData_TEA_1819!A1834),6),3)))</f>
        <v>170-906</v>
      </c>
      <c r="C1834" t="s">
        <v>288</v>
      </c>
      <c r="D1834">
        <v>3</v>
      </c>
      <c r="E1834">
        <v>2052</v>
      </c>
      <c r="F1834" t="s">
        <v>5284</v>
      </c>
      <c r="G1834" t="s">
        <v>5286</v>
      </c>
      <c r="H1834">
        <v>1530990</v>
      </c>
      <c r="I1834">
        <v>888395</v>
      </c>
      <c r="J1834">
        <v>0.23337667796254</v>
      </c>
      <c r="K1834">
        <v>357297.36019386898</v>
      </c>
      <c r="L1834">
        <v>357297.36019386898</v>
      </c>
      <c r="M1834">
        <v>599</v>
      </c>
    </row>
    <row r="1835" spans="1:13" ht="15">
      <c r="A1835" t="s">
        <v>3663</v>
      </c>
      <c r="B1835" s="1040" t="str">
        <f>CONCATENATE(LEFT(RIGHT(CONCATENATE("000",IFAData_TEA_1819!A1835),6),3),"-",(RIGHT(RIGHT(CONCATENATE("000",IFAData_TEA_1819!A1835),6),3)))</f>
        <v>170-906</v>
      </c>
      <c r="C1835" t="s">
        <v>288</v>
      </c>
      <c r="D1835">
        <v>3</v>
      </c>
      <c r="E1835">
        <v>2052</v>
      </c>
      <c r="F1835" t="s">
        <v>5284</v>
      </c>
      <c r="G1835" t="s">
        <v>6516</v>
      </c>
      <c r="H1835">
        <v>1530990</v>
      </c>
      <c r="I1835">
        <v>203322</v>
      </c>
      <c r="J1835">
        <v>5.3411616360627301E-2</v>
      </c>
      <c r="K1835">
        <v>81772.650531956795</v>
      </c>
      <c r="L1835">
        <v>81772.650531956795</v>
      </c>
      <c r="M1835">
        <v>599</v>
      </c>
    </row>
    <row r="1836" spans="1:13" ht="15">
      <c r="A1836" t="s">
        <v>3663</v>
      </c>
      <c r="B1836" s="1040" t="str">
        <f>CONCATENATE(LEFT(RIGHT(CONCATENATE("000",IFAData_TEA_1819!A1836),6),3),"-",(RIGHT(RIGHT(CONCATENATE("000",IFAData_TEA_1819!A1836),6),3)))</f>
        <v>170-906</v>
      </c>
      <c r="C1836" t="s">
        <v>288</v>
      </c>
      <c r="D1836">
        <v>3</v>
      </c>
      <c r="E1836">
        <v>2052</v>
      </c>
      <c r="F1836" t="s">
        <v>5284</v>
      </c>
      <c r="G1836" t="s">
        <v>8465</v>
      </c>
      <c r="H1836">
        <v>1530990</v>
      </c>
      <c r="I1836">
        <v>2714983</v>
      </c>
      <c r="J1836">
        <v>0.71321170567683301</v>
      </c>
      <c r="K1836">
        <v>1091919.98927417</v>
      </c>
      <c r="L1836">
        <v>1091919.98927417</v>
      </c>
      <c r="M1836">
        <v>599</v>
      </c>
    </row>
    <row r="1837" spans="1:13" ht="15">
      <c r="A1837" t="s">
        <v>3663</v>
      </c>
      <c r="B1837" s="1040" t="str">
        <f>CONCATENATE(LEFT(RIGHT(CONCATENATE("000",IFAData_TEA_1819!A1837),6),3),"-",(RIGHT(RIGHT(CONCATENATE("000",IFAData_TEA_1819!A1837),6),3)))</f>
        <v>170-906</v>
      </c>
      <c r="C1837" t="s">
        <v>288</v>
      </c>
      <c r="D1837">
        <v>9</v>
      </c>
      <c r="E1837">
        <v>2051</v>
      </c>
      <c r="F1837" t="s">
        <v>5285</v>
      </c>
      <c r="G1837" t="s">
        <v>5285</v>
      </c>
      <c r="H1837">
        <v>617287</v>
      </c>
      <c r="I1837">
        <v>0</v>
      </c>
      <c r="J1837">
        <v>0</v>
      </c>
      <c r="K1837">
        <v>0</v>
      </c>
      <c r="L1837">
        <v>0</v>
      </c>
      <c r="M1837">
        <v>599</v>
      </c>
    </row>
    <row r="1838" spans="1:13" ht="15">
      <c r="A1838" t="s">
        <v>3663</v>
      </c>
      <c r="B1838" s="1040" t="str">
        <f>CONCATENATE(LEFT(RIGHT(CONCATENATE("000",IFAData_TEA_1819!A1838),6),3),"-",(RIGHT(RIGHT(CONCATENATE("000",IFAData_TEA_1819!A1838),6),3)))</f>
        <v>170-906</v>
      </c>
      <c r="C1838" t="s">
        <v>288</v>
      </c>
      <c r="D1838">
        <v>9</v>
      </c>
      <c r="E1838">
        <v>2051</v>
      </c>
      <c r="F1838" t="s">
        <v>5285</v>
      </c>
      <c r="G1838" t="s">
        <v>6516</v>
      </c>
      <c r="H1838">
        <v>617287</v>
      </c>
      <c r="I1838">
        <v>15358</v>
      </c>
      <c r="J1838">
        <v>7.6203991306850294E-2</v>
      </c>
      <c r="K1838">
        <v>47039.733181831703</v>
      </c>
      <c r="L1838">
        <v>15358</v>
      </c>
      <c r="M1838">
        <v>599</v>
      </c>
    </row>
    <row r="1839" spans="1:13" ht="15">
      <c r="A1839" t="s">
        <v>3663</v>
      </c>
      <c r="B1839" s="1040" t="str">
        <f>CONCATENATE(LEFT(RIGHT(CONCATENATE("000",IFAData_TEA_1819!A1839),6),3),"-",(RIGHT(RIGHT(CONCATENATE("000",IFAData_TEA_1819!A1839),6),3)))</f>
        <v>170-906</v>
      </c>
      <c r="C1839" t="s">
        <v>288</v>
      </c>
      <c r="D1839">
        <v>9</v>
      </c>
      <c r="E1839">
        <v>2051</v>
      </c>
      <c r="F1839" t="s">
        <v>5285</v>
      </c>
      <c r="G1839" t="s">
        <v>8465</v>
      </c>
      <c r="H1839">
        <v>617287</v>
      </c>
      <c r="I1839">
        <v>186180</v>
      </c>
      <c r="J1839">
        <v>0.92379600869315004</v>
      </c>
      <c r="K1839">
        <v>570247.26681816799</v>
      </c>
      <c r="L1839">
        <v>186180</v>
      </c>
      <c r="M1839">
        <v>599</v>
      </c>
    </row>
    <row r="1840" spans="1:13" ht="15">
      <c r="A1840" t="s">
        <v>3664</v>
      </c>
      <c r="B1840" s="1040" t="str">
        <f>CONCATENATE(LEFT(RIGHT(CONCATENATE("000",IFAData_TEA_1819!A1840),6),3),"-",(RIGHT(RIGHT(CONCATENATE("000",IFAData_TEA_1819!A1840),6),3)))</f>
        <v>170-907</v>
      </c>
      <c r="C1840" t="s">
        <v>1935</v>
      </c>
      <c r="D1840">
        <v>2</v>
      </c>
      <c r="E1840">
        <v>2373</v>
      </c>
      <c r="F1840" t="s">
        <v>5287</v>
      </c>
      <c r="G1840" t="s">
        <v>5287</v>
      </c>
      <c r="H1840">
        <v>605123</v>
      </c>
      <c r="I1840">
        <v>0</v>
      </c>
      <c r="J1840">
        <v>0</v>
      </c>
      <c r="K1840"/>
      <c r="L1840">
        <v>0</v>
      </c>
      <c r="M1840">
        <v>199</v>
      </c>
    </row>
    <row r="1841" spans="1:13" ht="15">
      <c r="A1841" t="s">
        <v>3664</v>
      </c>
      <c r="B1841" s="1040" t="str">
        <f>CONCATENATE(LEFT(RIGHT(CONCATENATE("000",IFAData_TEA_1819!A1841),6),3),"-",(RIGHT(RIGHT(CONCATENATE("000",IFAData_TEA_1819!A1841),6),3)))</f>
        <v>170-907</v>
      </c>
      <c r="C1841" t="s">
        <v>1935</v>
      </c>
      <c r="D1841">
        <v>6</v>
      </c>
      <c r="E1841">
        <v>2374</v>
      </c>
      <c r="F1841" t="s">
        <v>5288</v>
      </c>
      <c r="G1841" t="s">
        <v>5288</v>
      </c>
      <c r="H1841">
        <v>687496</v>
      </c>
      <c r="I1841">
        <v>78221</v>
      </c>
      <c r="J1841">
        <v>0.109380112706781</v>
      </c>
      <c r="K1841">
        <v>75198.389965460796</v>
      </c>
      <c r="L1841">
        <v>75198.389965460796</v>
      </c>
      <c r="M1841">
        <v>599</v>
      </c>
    </row>
    <row r="1842" spans="1:13" ht="15">
      <c r="A1842" t="s">
        <v>3664</v>
      </c>
      <c r="B1842" s="1040" t="str">
        <f>CONCATENATE(LEFT(RIGHT(CONCATENATE("000",IFAData_TEA_1819!A1842),6),3),"-",(RIGHT(RIGHT(CONCATENATE("000",IFAData_TEA_1819!A1842),6),3)))</f>
        <v>170-907</v>
      </c>
      <c r="C1842" t="s">
        <v>1935</v>
      </c>
      <c r="D1842">
        <v>6</v>
      </c>
      <c r="E1842">
        <v>2374</v>
      </c>
      <c r="F1842" t="s">
        <v>5288</v>
      </c>
      <c r="G1842" t="s">
        <v>5289</v>
      </c>
      <c r="H1842">
        <v>687496</v>
      </c>
      <c r="I1842">
        <v>636909</v>
      </c>
      <c r="J1842">
        <v>0.89061988729321895</v>
      </c>
      <c r="K1842">
        <v>612297.61003453902</v>
      </c>
      <c r="L1842">
        <v>612297.61003453902</v>
      </c>
      <c r="M1842">
        <v>599</v>
      </c>
    </row>
    <row r="1843" spans="1:13" ht="15">
      <c r="A1843" t="s">
        <v>3664</v>
      </c>
      <c r="B1843" s="1040" t="str">
        <f>CONCATENATE(LEFT(RIGHT(CONCATENATE("000",IFAData_TEA_1819!A1843),6),3),"-",(RIGHT(RIGHT(CONCATENATE("000",IFAData_TEA_1819!A1843),6),3)))</f>
        <v>170-907</v>
      </c>
      <c r="C1843" t="s">
        <v>1935</v>
      </c>
      <c r="D1843">
        <v>9</v>
      </c>
      <c r="E1843">
        <v>2372</v>
      </c>
      <c r="F1843" t="s">
        <v>5290</v>
      </c>
      <c r="G1843" t="s">
        <v>5290</v>
      </c>
      <c r="H1843">
        <v>565041</v>
      </c>
      <c r="I1843">
        <v>0</v>
      </c>
      <c r="J1843">
        <v>0</v>
      </c>
      <c r="K1843">
        <v>0</v>
      </c>
      <c r="L1843">
        <v>0</v>
      </c>
      <c r="M1843">
        <v>599</v>
      </c>
    </row>
    <row r="1844" spans="1:13" ht="15">
      <c r="A1844" t="s">
        <v>3664</v>
      </c>
      <c r="B1844" s="1040" t="str">
        <f>CONCATENATE(LEFT(RIGHT(CONCATENATE("000",IFAData_TEA_1819!A1844),6),3),"-",(RIGHT(RIGHT(CONCATENATE("000",IFAData_TEA_1819!A1844),6),3)))</f>
        <v>170-907</v>
      </c>
      <c r="C1844" t="s">
        <v>1935</v>
      </c>
      <c r="D1844">
        <v>9</v>
      </c>
      <c r="E1844">
        <v>2372</v>
      </c>
      <c r="F1844" t="s">
        <v>5290</v>
      </c>
      <c r="G1844" t="s">
        <v>8466</v>
      </c>
      <c r="H1844">
        <v>565041</v>
      </c>
      <c r="I1844">
        <v>473841</v>
      </c>
      <c r="J1844">
        <v>1</v>
      </c>
      <c r="K1844">
        <v>565041</v>
      </c>
      <c r="L1844">
        <v>473841</v>
      </c>
      <c r="M1844">
        <v>599</v>
      </c>
    </row>
    <row r="1845" spans="1:13" ht="15">
      <c r="A1845" t="s">
        <v>3664</v>
      </c>
      <c r="B1845" s="1040" t="str">
        <f>CONCATENATE(LEFT(RIGHT(CONCATENATE("000",IFAData_TEA_1819!A1845),6),3),"-",(RIGHT(RIGHT(CONCATENATE("000",IFAData_TEA_1819!A1845),6),3)))</f>
        <v>170-907</v>
      </c>
      <c r="C1845" t="s">
        <v>1935</v>
      </c>
      <c r="D1845">
        <v>9</v>
      </c>
      <c r="E1845">
        <v>2371</v>
      </c>
      <c r="F1845" t="s">
        <v>5291</v>
      </c>
      <c r="G1845" t="s">
        <v>5291</v>
      </c>
      <c r="H1845">
        <v>207452</v>
      </c>
      <c r="I1845">
        <v>0</v>
      </c>
      <c r="J1845">
        <v>0</v>
      </c>
      <c r="K1845">
        <v>0</v>
      </c>
      <c r="L1845">
        <v>0</v>
      </c>
      <c r="M1845">
        <v>599</v>
      </c>
    </row>
    <row r="1846" spans="1:13" ht="15">
      <c r="A1846" t="s">
        <v>3664</v>
      </c>
      <c r="B1846" s="1040" t="str">
        <f>CONCATENATE(LEFT(RIGHT(CONCATENATE("000",IFAData_TEA_1819!A1846),6),3),"-",(RIGHT(RIGHT(CONCATENATE("000",IFAData_TEA_1819!A1846),6),3)))</f>
        <v>170-907</v>
      </c>
      <c r="C1846" t="s">
        <v>1935</v>
      </c>
      <c r="D1846">
        <v>9</v>
      </c>
      <c r="E1846">
        <v>2371</v>
      </c>
      <c r="F1846" t="s">
        <v>5291</v>
      </c>
      <c r="G1846" t="s">
        <v>8466</v>
      </c>
      <c r="H1846">
        <v>207452</v>
      </c>
      <c r="I1846">
        <v>418065</v>
      </c>
      <c r="J1846">
        <v>1</v>
      </c>
      <c r="K1846">
        <v>207452</v>
      </c>
      <c r="L1846">
        <v>207452</v>
      </c>
      <c r="M1846">
        <v>599</v>
      </c>
    </row>
    <row r="1847" spans="1:13" ht="15">
      <c r="A1847" t="s">
        <v>3664</v>
      </c>
      <c r="B1847" s="1040" t="str">
        <f>CONCATENATE(LEFT(RIGHT(CONCATENATE("000",IFAData_TEA_1819!A1847),6),3),"-",(RIGHT(RIGHT(CONCATENATE("000",IFAData_TEA_1819!A1847),6),3)))</f>
        <v>170-907</v>
      </c>
      <c r="C1847" t="s">
        <v>1935</v>
      </c>
      <c r="D1847">
        <v>11</v>
      </c>
      <c r="E1847">
        <v>2483</v>
      </c>
      <c r="F1847" t="s">
        <v>8467</v>
      </c>
      <c r="G1847" t="s">
        <v>8467</v>
      </c>
      <c r="H1847">
        <v>875292</v>
      </c>
      <c r="I1847">
        <v>3144481</v>
      </c>
      <c r="J1847">
        <v>1</v>
      </c>
      <c r="K1847">
        <v>875292</v>
      </c>
      <c r="L1847">
        <v>875292</v>
      </c>
      <c r="M1847">
        <v>599</v>
      </c>
    </row>
    <row r="1848" spans="1:13" ht="15">
      <c r="A1848" t="s">
        <v>3665</v>
      </c>
      <c r="B1848" s="1040" t="str">
        <f>CONCATENATE(LEFT(RIGHT(CONCATENATE("000",IFAData_TEA_1819!A1848),6),3),"-",(RIGHT(RIGHT(CONCATENATE("000",IFAData_TEA_1819!A1848),6),3)))</f>
        <v>170-908</v>
      </c>
      <c r="C1848" t="s">
        <v>1142</v>
      </c>
      <c r="D1848">
        <v>5</v>
      </c>
      <c r="E1848">
        <v>2136</v>
      </c>
      <c r="F1848" t="s">
        <v>5292</v>
      </c>
      <c r="G1848" t="s">
        <v>5292</v>
      </c>
      <c r="H1848">
        <v>342303</v>
      </c>
      <c r="I1848">
        <v>0</v>
      </c>
      <c r="J1848">
        <v>0</v>
      </c>
      <c r="K1848">
        <v>0</v>
      </c>
      <c r="L1848">
        <v>0</v>
      </c>
      <c r="M1848">
        <v>599</v>
      </c>
    </row>
    <row r="1849" spans="1:13" ht="15">
      <c r="A1849" t="s">
        <v>3665</v>
      </c>
      <c r="B1849" s="1040" t="str">
        <f>CONCATENATE(LEFT(RIGHT(CONCATENATE("000",IFAData_TEA_1819!A1849),6),3),"-",(RIGHT(RIGHT(CONCATENATE("000",IFAData_TEA_1819!A1849),6),3)))</f>
        <v>170-908</v>
      </c>
      <c r="C1849" t="s">
        <v>1142</v>
      </c>
      <c r="D1849">
        <v>5</v>
      </c>
      <c r="E1849">
        <v>2136</v>
      </c>
      <c r="F1849" t="s">
        <v>5292</v>
      </c>
      <c r="G1849" t="s">
        <v>5293</v>
      </c>
      <c r="H1849">
        <v>342303</v>
      </c>
      <c r="I1849">
        <v>293300</v>
      </c>
      <c r="J1849">
        <v>1</v>
      </c>
      <c r="K1849">
        <v>342303</v>
      </c>
      <c r="L1849">
        <v>293300</v>
      </c>
      <c r="M1849">
        <v>599</v>
      </c>
    </row>
    <row r="1850" spans="1:13" ht="15">
      <c r="A1850" t="s">
        <v>3665</v>
      </c>
      <c r="B1850" s="1040" t="str">
        <f>CONCATENATE(LEFT(RIGHT(CONCATENATE("000",IFAData_TEA_1819!A1850),6),3),"-",(RIGHT(RIGHT(CONCATENATE("000",IFAData_TEA_1819!A1850),6),3)))</f>
        <v>170-908</v>
      </c>
      <c r="C1850" t="s">
        <v>1142</v>
      </c>
      <c r="D1850">
        <v>6</v>
      </c>
      <c r="E1850">
        <v>2139</v>
      </c>
      <c r="F1850" t="s">
        <v>5294</v>
      </c>
      <c r="G1850" t="s">
        <v>5294</v>
      </c>
      <c r="H1850">
        <v>945263</v>
      </c>
      <c r="I1850">
        <v>0</v>
      </c>
      <c r="J1850">
        <v>0</v>
      </c>
      <c r="K1850"/>
      <c r="L1850">
        <v>0</v>
      </c>
      <c r="M1850">
        <v>599</v>
      </c>
    </row>
    <row r="1851" spans="1:13" ht="15">
      <c r="A1851" t="s">
        <v>3665</v>
      </c>
      <c r="B1851" s="1040" t="str">
        <f>CONCATENATE(LEFT(RIGHT(CONCATENATE("000",IFAData_TEA_1819!A1851),6),3),"-",(RIGHT(RIGHT(CONCATENATE("000",IFAData_TEA_1819!A1851),6),3)))</f>
        <v>170-908</v>
      </c>
      <c r="C1851" t="s">
        <v>1142</v>
      </c>
      <c r="D1851">
        <v>6</v>
      </c>
      <c r="E1851">
        <v>2139</v>
      </c>
      <c r="F1851" t="s">
        <v>5294</v>
      </c>
      <c r="G1851" t="s">
        <v>5295</v>
      </c>
      <c r="H1851">
        <v>945263</v>
      </c>
      <c r="I1851">
        <v>0</v>
      </c>
      <c r="J1851">
        <v>0</v>
      </c>
      <c r="K1851"/>
      <c r="L1851">
        <v>0</v>
      </c>
      <c r="M1851">
        <v>599</v>
      </c>
    </row>
    <row r="1852" spans="1:13" ht="15">
      <c r="A1852" t="s">
        <v>3665</v>
      </c>
      <c r="B1852" s="1040" t="str">
        <f>CONCATENATE(LEFT(RIGHT(CONCATENATE("000",IFAData_TEA_1819!A1852),6),3),"-",(RIGHT(RIGHT(CONCATENATE("000",IFAData_TEA_1819!A1852),6),3)))</f>
        <v>170-908</v>
      </c>
      <c r="C1852" t="s">
        <v>1142</v>
      </c>
      <c r="D1852">
        <v>9</v>
      </c>
      <c r="E1852">
        <v>2138</v>
      </c>
      <c r="F1852" t="s">
        <v>5296</v>
      </c>
      <c r="G1852" t="s">
        <v>5296</v>
      </c>
      <c r="H1852">
        <v>571354</v>
      </c>
      <c r="I1852">
        <v>0</v>
      </c>
      <c r="J1852">
        <v>0</v>
      </c>
      <c r="K1852">
        <v>0</v>
      </c>
      <c r="L1852">
        <v>0</v>
      </c>
      <c r="M1852">
        <v>599</v>
      </c>
    </row>
    <row r="1853" spans="1:13" ht="15">
      <c r="A1853" t="s">
        <v>3665</v>
      </c>
      <c r="B1853" s="1040" t="str">
        <f>CONCATENATE(LEFT(RIGHT(CONCATENATE("000",IFAData_TEA_1819!A1853),6),3),"-",(RIGHT(RIGHT(CONCATENATE("000",IFAData_TEA_1819!A1853),6),3)))</f>
        <v>170-908</v>
      </c>
      <c r="C1853" t="s">
        <v>1142</v>
      </c>
      <c r="D1853">
        <v>9</v>
      </c>
      <c r="E1853">
        <v>2138</v>
      </c>
      <c r="F1853" t="s">
        <v>5296</v>
      </c>
      <c r="G1853" t="s">
        <v>6304</v>
      </c>
      <c r="H1853">
        <v>571354</v>
      </c>
      <c r="I1853">
        <v>789562</v>
      </c>
      <c r="J1853">
        <v>1</v>
      </c>
      <c r="K1853">
        <v>571354</v>
      </c>
      <c r="L1853">
        <v>571354</v>
      </c>
      <c r="M1853">
        <v>599</v>
      </c>
    </row>
    <row r="1854" spans="1:13" ht="15">
      <c r="A1854" t="s">
        <v>3665</v>
      </c>
      <c r="B1854" s="1040" t="str">
        <f>CONCATENATE(LEFT(RIGHT(CONCATENATE("000",IFAData_TEA_1819!A1854),6),3),"-",(RIGHT(RIGHT(CONCATENATE("000",IFAData_TEA_1819!A1854),6),3)))</f>
        <v>170-908</v>
      </c>
      <c r="C1854" t="s">
        <v>1142</v>
      </c>
      <c r="D1854">
        <v>9</v>
      </c>
      <c r="E1854">
        <v>2137</v>
      </c>
      <c r="F1854" t="s">
        <v>5297</v>
      </c>
      <c r="G1854" t="s">
        <v>5297</v>
      </c>
      <c r="H1854">
        <v>527036</v>
      </c>
      <c r="I1854">
        <v>0</v>
      </c>
      <c r="J1854">
        <v>0</v>
      </c>
      <c r="K1854">
        <v>0</v>
      </c>
      <c r="L1854">
        <v>0</v>
      </c>
      <c r="M1854">
        <v>599</v>
      </c>
    </row>
    <row r="1855" spans="1:13" ht="15">
      <c r="A1855" t="s">
        <v>3665</v>
      </c>
      <c r="B1855" s="1040" t="str">
        <f>CONCATENATE(LEFT(RIGHT(CONCATENATE("000",IFAData_TEA_1819!A1855),6),3),"-",(RIGHT(RIGHT(CONCATENATE("000",IFAData_TEA_1819!A1855),6),3)))</f>
        <v>170-908</v>
      </c>
      <c r="C1855" t="s">
        <v>1142</v>
      </c>
      <c r="D1855">
        <v>9</v>
      </c>
      <c r="E1855">
        <v>2137</v>
      </c>
      <c r="F1855" t="s">
        <v>5297</v>
      </c>
      <c r="G1855" t="s">
        <v>6304</v>
      </c>
      <c r="H1855">
        <v>527036</v>
      </c>
      <c r="I1855">
        <v>1874842</v>
      </c>
      <c r="J1855">
        <v>1</v>
      </c>
      <c r="K1855">
        <v>527036</v>
      </c>
      <c r="L1855">
        <v>527036</v>
      </c>
      <c r="M1855">
        <v>599</v>
      </c>
    </row>
    <row r="1856" spans="1:13" ht="15">
      <c r="A1856" t="s">
        <v>3665</v>
      </c>
      <c r="B1856" s="1040" t="str">
        <f>CONCATENATE(LEFT(RIGHT(CONCATENATE("000",IFAData_TEA_1819!A1856),6),3),"-",(RIGHT(RIGHT(CONCATENATE("000",IFAData_TEA_1819!A1856),6),3)))</f>
        <v>170-908</v>
      </c>
      <c r="C1856" t="s">
        <v>1142</v>
      </c>
      <c r="D1856">
        <v>9</v>
      </c>
      <c r="E1856">
        <v>2140</v>
      </c>
      <c r="F1856" t="s">
        <v>5298</v>
      </c>
      <c r="G1856" t="s">
        <v>5298</v>
      </c>
      <c r="H1856">
        <v>1003527</v>
      </c>
      <c r="I1856">
        <v>838888</v>
      </c>
      <c r="J1856">
        <v>0.50192600180214897</v>
      </c>
      <c r="K1856">
        <v>503696.294810505</v>
      </c>
      <c r="L1856">
        <v>503696.294810505</v>
      </c>
      <c r="M1856">
        <v>599</v>
      </c>
    </row>
    <row r="1857" spans="1:13" ht="15">
      <c r="A1857" t="s">
        <v>3665</v>
      </c>
      <c r="B1857" s="1040" t="str">
        <f>CONCATENATE(LEFT(RIGHT(CONCATENATE("000",IFAData_TEA_1819!A1857),6),3),"-",(RIGHT(RIGHT(CONCATENATE("000",IFAData_TEA_1819!A1857),6),3)))</f>
        <v>170-908</v>
      </c>
      <c r="C1857" t="s">
        <v>1142</v>
      </c>
      <c r="D1857">
        <v>9</v>
      </c>
      <c r="E1857">
        <v>2140</v>
      </c>
      <c r="F1857" t="s">
        <v>5298</v>
      </c>
      <c r="G1857" t="s">
        <v>6517</v>
      </c>
      <c r="H1857">
        <v>1003527</v>
      </c>
      <c r="I1857">
        <v>405300</v>
      </c>
      <c r="J1857">
        <v>0.242500320102816</v>
      </c>
      <c r="K1857">
        <v>243355.61873181799</v>
      </c>
      <c r="L1857">
        <v>243355.61873181799</v>
      </c>
      <c r="M1857">
        <v>599</v>
      </c>
    </row>
    <row r="1858" spans="1:13" ht="15">
      <c r="A1858" t="s">
        <v>3665</v>
      </c>
      <c r="B1858" s="1040" t="str">
        <f>CONCATENATE(LEFT(RIGHT(CONCATENATE("000",IFAData_TEA_1819!A1858),6),3),"-",(RIGHT(RIGHT(CONCATENATE("000",IFAData_TEA_1819!A1858),6),3)))</f>
        <v>170-908</v>
      </c>
      <c r="C1858" t="s">
        <v>1142</v>
      </c>
      <c r="D1858">
        <v>9</v>
      </c>
      <c r="E1858">
        <v>2140</v>
      </c>
      <c r="F1858" t="s">
        <v>5298</v>
      </c>
      <c r="G1858" t="s">
        <v>8468</v>
      </c>
      <c r="H1858">
        <v>1003527</v>
      </c>
      <c r="I1858">
        <v>427150</v>
      </c>
      <c r="J1858">
        <v>0.25557367809503501</v>
      </c>
      <c r="K1858">
        <v>256475.08645767599</v>
      </c>
      <c r="L1858">
        <v>256475.08645767599</v>
      </c>
      <c r="M1858">
        <v>599</v>
      </c>
    </row>
    <row r="1859" spans="1:13" ht="15">
      <c r="A1859" t="s">
        <v>3665</v>
      </c>
      <c r="B1859" s="1040" t="str">
        <f>CONCATENATE(LEFT(RIGHT(CONCATENATE("000",IFAData_TEA_1819!A1859),6),3),"-",(RIGHT(RIGHT(CONCATENATE("000",IFAData_TEA_1819!A1859),6),3)))</f>
        <v>170-908</v>
      </c>
      <c r="C1859" t="s">
        <v>1142</v>
      </c>
      <c r="D1859">
        <v>10</v>
      </c>
      <c r="E1859">
        <v>2141</v>
      </c>
      <c r="F1859" t="s">
        <v>5299</v>
      </c>
      <c r="G1859" t="s">
        <v>5299</v>
      </c>
      <c r="H1859">
        <v>2229297</v>
      </c>
      <c r="I1859">
        <v>601800</v>
      </c>
      <c r="J1859">
        <v>0.30488129235623401</v>
      </c>
      <c r="K1859">
        <v>679670.95040587499</v>
      </c>
      <c r="L1859">
        <v>601800</v>
      </c>
      <c r="M1859">
        <v>599</v>
      </c>
    </row>
    <row r="1860" spans="1:13" ht="15">
      <c r="A1860" t="s">
        <v>3665</v>
      </c>
      <c r="B1860" s="1040" t="str">
        <f>CONCATENATE(LEFT(RIGHT(CONCATENATE("000",IFAData_TEA_1819!A1860),6),3),"-",(RIGHT(RIGHT(CONCATENATE("000",IFAData_TEA_1819!A1860),6),3)))</f>
        <v>170-908</v>
      </c>
      <c r="C1860" t="s">
        <v>1142</v>
      </c>
      <c r="D1860">
        <v>10</v>
      </c>
      <c r="E1860">
        <v>2141</v>
      </c>
      <c r="F1860" t="s">
        <v>5299</v>
      </c>
      <c r="G1860" t="s">
        <v>8468</v>
      </c>
      <c r="H1860">
        <v>2229297</v>
      </c>
      <c r="I1860">
        <v>1372083</v>
      </c>
      <c r="J1860">
        <v>0.69511870764376604</v>
      </c>
      <c r="K1860">
        <v>1549626.0495941299</v>
      </c>
      <c r="L1860">
        <v>1372083</v>
      </c>
      <c r="M1860">
        <v>599</v>
      </c>
    </row>
    <row r="1861" spans="1:13" ht="15">
      <c r="A1861" t="s">
        <v>3665</v>
      </c>
      <c r="B1861" s="1040" t="str">
        <f>CONCATENATE(LEFT(RIGHT(CONCATENATE("000",IFAData_TEA_1819!A1861),6),3),"-",(RIGHT(RIGHT(CONCATENATE("000",IFAData_TEA_1819!A1861),6),3)))</f>
        <v>170-908</v>
      </c>
      <c r="C1861" t="s">
        <v>1142</v>
      </c>
      <c r="D1861">
        <v>11</v>
      </c>
      <c r="E1861">
        <v>2593</v>
      </c>
      <c r="F1861" t="s">
        <v>8469</v>
      </c>
      <c r="G1861" t="s">
        <v>8469</v>
      </c>
      <c r="H1861">
        <v>3206980</v>
      </c>
      <c r="I1861">
        <v>3752000</v>
      </c>
      <c r="J1861">
        <v>1</v>
      </c>
      <c r="K1861">
        <v>3206980</v>
      </c>
      <c r="L1861">
        <v>3206980</v>
      </c>
      <c r="M1861">
        <v>599</v>
      </c>
    </row>
    <row r="1862" spans="1:13" ht="15">
      <c r="A1862" t="s">
        <v>3666</v>
      </c>
      <c r="B1862" s="1040" t="str">
        <f>CONCATENATE(LEFT(RIGHT(CONCATENATE("000",IFAData_TEA_1819!A1862),6),3),"-",(RIGHT(RIGHT(CONCATENATE("000",IFAData_TEA_1819!A1862),6),3)))</f>
        <v>174-901</v>
      </c>
      <c r="C1862" t="s">
        <v>1161</v>
      </c>
      <c r="D1862">
        <v>5</v>
      </c>
      <c r="E1862">
        <v>1691</v>
      </c>
      <c r="F1862" t="s">
        <v>5300</v>
      </c>
      <c r="G1862" t="s">
        <v>5300</v>
      </c>
      <c r="H1862">
        <v>91693</v>
      </c>
      <c r="I1862">
        <v>0</v>
      </c>
      <c r="J1862">
        <v>0</v>
      </c>
      <c r="K1862">
        <v>0</v>
      </c>
      <c r="L1862">
        <v>0</v>
      </c>
      <c r="M1862">
        <v>599</v>
      </c>
    </row>
    <row r="1863" spans="1:13" ht="15">
      <c r="A1863" t="s">
        <v>3666</v>
      </c>
      <c r="B1863" s="1040" t="str">
        <f>CONCATENATE(LEFT(RIGHT(CONCATENATE("000",IFAData_TEA_1819!A1863),6),3),"-",(RIGHT(RIGHT(CONCATENATE("000",IFAData_TEA_1819!A1863),6),3)))</f>
        <v>174-901</v>
      </c>
      <c r="C1863" t="s">
        <v>1161</v>
      </c>
      <c r="D1863">
        <v>5</v>
      </c>
      <c r="E1863">
        <v>1691</v>
      </c>
      <c r="F1863" t="s">
        <v>5300</v>
      </c>
      <c r="G1863" t="s">
        <v>5301</v>
      </c>
      <c r="H1863">
        <v>91693</v>
      </c>
      <c r="I1863">
        <v>85147</v>
      </c>
      <c r="J1863">
        <v>1</v>
      </c>
      <c r="K1863">
        <v>91693</v>
      </c>
      <c r="L1863">
        <v>85147</v>
      </c>
      <c r="M1863">
        <v>599</v>
      </c>
    </row>
    <row r="1864" spans="1:13" ht="15">
      <c r="A1864" t="s">
        <v>3667</v>
      </c>
      <c r="B1864" s="1040" t="str">
        <f>CONCATENATE(LEFT(RIGHT(CONCATENATE("000",IFAData_TEA_1819!A1864),6),3),"-",(RIGHT(RIGHT(CONCATENATE("000",IFAData_TEA_1819!A1864),6),3)))</f>
        <v>174-903</v>
      </c>
      <c r="C1864" t="s">
        <v>453</v>
      </c>
      <c r="D1864">
        <v>5</v>
      </c>
      <c r="E1864">
        <v>1844</v>
      </c>
      <c r="F1864" t="s">
        <v>5302</v>
      </c>
      <c r="G1864" t="s">
        <v>5302</v>
      </c>
      <c r="H1864">
        <v>152414</v>
      </c>
      <c r="I1864">
        <v>0</v>
      </c>
      <c r="J1864">
        <v>0</v>
      </c>
      <c r="K1864">
        <v>0</v>
      </c>
      <c r="L1864">
        <v>0</v>
      </c>
      <c r="M1864">
        <v>599</v>
      </c>
    </row>
    <row r="1865" spans="1:13" ht="15">
      <c r="A1865" t="s">
        <v>3667</v>
      </c>
      <c r="B1865" s="1040" t="str">
        <f>CONCATENATE(LEFT(RIGHT(CONCATENATE("000",IFAData_TEA_1819!A1865),6),3),"-",(RIGHT(RIGHT(CONCATENATE("000",IFAData_TEA_1819!A1865),6),3)))</f>
        <v>174-903</v>
      </c>
      <c r="C1865" t="s">
        <v>453</v>
      </c>
      <c r="D1865">
        <v>5</v>
      </c>
      <c r="E1865">
        <v>1844</v>
      </c>
      <c r="F1865" t="s">
        <v>5302</v>
      </c>
      <c r="G1865" t="s">
        <v>5303</v>
      </c>
      <c r="H1865">
        <v>152414</v>
      </c>
      <c r="I1865">
        <v>142438</v>
      </c>
      <c r="J1865">
        <v>1</v>
      </c>
      <c r="K1865">
        <v>152414</v>
      </c>
      <c r="L1865">
        <v>142438</v>
      </c>
      <c r="M1865">
        <v>599</v>
      </c>
    </row>
    <row r="1866" spans="1:13" ht="15">
      <c r="A1866" t="s">
        <v>3668</v>
      </c>
      <c r="B1866" s="1040" t="str">
        <f>CONCATENATE(LEFT(RIGHT(CONCATENATE("000",IFAData_TEA_1819!A1866),6),3),"-",(RIGHT(RIGHT(CONCATENATE("000",IFAData_TEA_1819!A1866),6),3)))</f>
        <v>174-906</v>
      </c>
      <c r="C1866" t="s">
        <v>1130</v>
      </c>
      <c r="D1866">
        <v>4</v>
      </c>
      <c r="E1866">
        <v>2460</v>
      </c>
      <c r="F1866" t="s">
        <v>5304</v>
      </c>
      <c r="G1866" t="s">
        <v>5304</v>
      </c>
      <c r="H1866">
        <v>188922</v>
      </c>
      <c r="I1866">
        <v>0</v>
      </c>
      <c r="J1866">
        <v>0</v>
      </c>
      <c r="K1866">
        <v>0</v>
      </c>
      <c r="L1866">
        <v>0</v>
      </c>
      <c r="M1866">
        <v>599</v>
      </c>
    </row>
    <row r="1867" spans="1:13" ht="15">
      <c r="A1867" t="s">
        <v>3668</v>
      </c>
      <c r="B1867" s="1040" t="str">
        <f>CONCATENATE(LEFT(RIGHT(CONCATENATE("000",IFAData_TEA_1819!A1867),6),3),"-",(RIGHT(RIGHT(CONCATENATE("000",IFAData_TEA_1819!A1867),6),3)))</f>
        <v>174-906</v>
      </c>
      <c r="C1867" t="s">
        <v>1130</v>
      </c>
      <c r="D1867">
        <v>4</v>
      </c>
      <c r="E1867">
        <v>2460</v>
      </c>
      <c r="F1867" t="s">
        <v>5304</v>
      </c>
      <c r="G1867" t="s">
        <v>5305</v>
      </c>
      <c r="H1867">
        <v>188922</v>
      </c>
      <c r="I1867">
        <v>180300</v>
      </c>
      <c r="J1867">
        <v>1</v>
      </c>
      <c r="K1867">
        <v>188922</v>
      </c>
      <c r="L1867">
        <v>180300</v>
      </c>
      <c r="M1867">
        <v>599</v>
      </c>
    </row>
    <row r="1868" spans="1:13" ht="15">
      <c r="A1868" t="s">
        <v>3669</v>
      </c>
      <c r="B1868" s="1040" t="str">
        <f>CONCATENATE(LEFT(RIGHT(CONCATENATE("000",IFAData_TEA_1819!A1868),6),3),"-",(RIGHT(RIGHT(CONCATENATE("000",IFAData_TEA_1819!A1868),6),3)))</f>
        <v>174-908</v>
      </c>
      <c r="C1868" t="s">
        <v>2257</v>
      </c>
      <c r="D1868">
        <v>10</v>
      </c>
      <c r="E1868">
        <v>1675</v>
      </c>
      <c r="F1868" t="s">
        <v>5306</v>
      </c>
      <c r="G1868" t="s">
        <v>5306</v>
      </c>
      <c r="H1868">
        <v>176552</v>
      </c>
      <c r="I1868">
        <v>352119</v>
      </c>
      <c r="J1868">
        <v>0.51305442512883903</v>
      </c>
      <c r="K1868">
        <v>90580.784865346897</v>
      </c>
      <c r="L1868">
        <v>90580.784865346897</v>
      </c>
      <c r="M1868">
        <v>599</v>
      </c>
    </row>
    <row r="1869" spans="1:13" ht="15">
      <c r="A1869" t="s">
        <v>3669</v>
      </c>
      <c r="B1869" s="1040" t="str">
        <f>CONCATENATE(LEFT(RIGHT(CONCATENATE("000",IFAData_TEA_1819!A1869),6),3),"-",(RIGHT(RIGHT(CONCATENATE("000",IFAData_TEA_1819!A1869),6),3)))</f>
        <v>174-908</v>
      </c>
      <c r="C1869" t="s">
        <v>2257</v>
      </c>
      <c r="D1869">
        <v>10</v>
      </c>
      <c r="E1869">
        <v>1675</v>
      </c>
      <c r="F1869" t="s">
        <v>5306</v>
      </c>
      <c r="G1869" t="s">
        <v>8470</v>
      </c>
      <c r="H1869">
        <v>176552</v>
      </c>
      <c r="I1869">
        <v>334200</v>
      </c>
      <c r="J1869">
        <v>0.48694557487116003</v>
      </c>
      <c r="K1869">
        <v>85971.215134653103</v>
      </c>
      <c r="L1869">
        <v>85971.215134653103</v>
      </c>
      <c r="M1869">
        <v>599</v>
      </c>
    </row>
    <row r="1870" spans="1:13" ht="15">
      <c r="A1870" t="s">
        <v>5307</v>
      </c>
      <c r="B1870" s="1040" t="str">
        <f>CONCATENATE(LEFT(RIGHT(CONCATENATE("000",IFAData_TEA_1819!A1870),6),3),"-",(RIGHT(RIGHT(CONCATENATE("000",IFAData_TEA_1819!A1870),6),3)))</f>
        <v>174-909</v>
      </c>
      <c r="C1870" t="s">
        <v>2258</v>
      </c>
      <c r="D1870">
        <v>10</v>
      </c>
      <c r="E1870">
        <v>2072</v>
      </c>
      <c r="F1870" t="s">
        <v>5308</v>
      </c>
      <c r="G1870" t="s">
        <v>5308</v>
      </c>
      <c r="H1870">
        <v>100000</v>
      </c>
      <c r="I1870">
        <v>187222</v>
      </c>
      <c r="J1870">
        <v>1</v>
      </c>
      <c r="K1870">
        <v>100000</v>
      </c>
      <c r="L1870">
        <v>100000</v>
      </c>
      <c r="M1870">
        <v>599</v>
      </c>
    </row>
    <row r="1871" spans="1:13" ht="15">
      <c r="A1871" t="s">
        <v>3670</v>
      </c>
      <c r="B1871" s="1040" t="str">
        <f>CONCATENATE(LEFT(RIGHT(CONCATENATE("000",IFAData_TEA_1819!A1871),6),3),"-",(RIGHT(RIGHT(CONCATENATE("000",IFAData_TEA_1819!A1871),6),3)))</f>
        <v>175-903</v>
      </c>
      <c r="C1871" t="s">
        <v>1101</v>
      </c>
      <c r="D1871">
        <v>2</v>
      </c>
      <c r="E1871">
        <v>1725</v>
      </c>
      <c r="F1871" t="s">
        <v>5309</v>
      </c>
      <c r="G1871" t="s">
        <v>5309</v>
      </c>
      <c r="H1871">
        <v>1169000</v>
      </c>
      <c r="I1871">
        <v>0</v>
      </c>
      <c r="J1871">
        <v>0</v>
      </c>
      <c r="K1871">
        <v>0</v>
      </c>
      <c r="L1871">
        <v>0</v>
      </c>
      <c r="M1871">
        <v>599</v>
      </c>
    </row>
    <row r="1872" spans="1:13" ht="15">
      <c r="A1872" t="s">
        <v>3670</v>
      </c>
      <c r="B1872" s="1040" t="str">
        <f>CONCATENATE(LEFT(RIGHT(CONCATENATE("000",IFAData_TEA_1819!A1872),6),3),"-",(RIGHT(RIGHT(CONCATENATE("000",IFAData_TEA_1819!A1872),6),3)))</f>
        <v>175-903</v>
      </c>
      <c r="C1872" t="s">
        <v>1101</v>
      </c>
      <c r="D1872">
        <v>2</v>
      </c>
      <c r="E1872">
        <v>1725</v>
      </c>
      <c r="F1872" t="s">
        <v>5309</v>
      </c>
      <c r="G1872" t="s">
        <v>5310</v>
      </c>
      <c r="H1872">
        <v>1169000</v>
      </c>
      <c r="I1872">
        <v>0</v>
      </c>
      <c r="J1872">
        <v>0</v>
      </c>
      <c r="K1872">
        <v>0</v>
      </c>
      <c r="L1872">
        <v>0</v>
      </c>
      <c r="M1872">
        <v>599</v>
      </c>
    </row>
    <row r="1873" spans="1:13" ht="15">
      <c r="A1873" t="s">
        <v>3670</v>
      </c>
      <c r="B1873" s="1040" t="str">
        <f>CONCATENATE(LEFT(RIGHT(CONCATENATE("000",IFAData_TEA_1819!A1873),6),3),"-",(RIGHT(RIGHT(CONCATENATE("000",IFAData_TEA_1819!A1873),6),3)))</f>
        <v>175-903</v>
      </c>
      <c r="C1873" t="s">
        <v>1101</v>
      </c>
      <c r="D1873">
        <v>2</v>
      </c>
      <c r="E1873">
        <v>1725</v>
      </c>
      <c r="F1873" t="s">
        <v>5309</v>
      </c>
      <c r="G1873" t="s">
        <v>6518</v>
      </c>
      <c r="H1873">
        <v>1169000</v>
      </c>
      <c r="I1873">
        <v>1480350</v>
      </c>
      <c r="J1873">
        <v>1</v>
      </c>
      <c r="K1873">
        <v>1169000</v>
      </c>
      <c r="L1873">
        <v>1169000</v>
      </c>
      <c r="M1873">
        <v>599</v>
      </c>
    </row>
    <row r="1874" spans="1:13" ht="15">
      <c r="A1874" t="s">
        <v>3670</v>
      </c>
      <c r="B1874" s="1040" t="str">
        <f>CONCATENATE(LEFT(RIGHT(CONCATENATE("000",IFAData_TEA_1819!A1874),6),3),"-",(RIGHT(RIGHT(CONCATENATE("000",IFAData_TEA_1819!A1874),6),3)))</f>
        <v>175-903</v>
      </c>
      <c r="C1874" t="s">
        <v>1101</v>
      </c>
      <c r="D1874">
        <v>11</v>
      </c>
      <c r="E1874">
        <v>2516</v>
      </c>
      <c r="F1874" t="s">
        <v>8471</v>
      </c>
      <c r="G1874" t="s">
        <v>8471</v>
      </c>
      <c r="H1874">
        <v>1389149</v>
      </c>
      <c r="I1874">
        <v>2123317</v>
      </c>
      <c r="J1874">
        <v>1</v>
      </c>
      <c r="K1874">
        <v>1389149</v>
      </c>
      <c r="L1874">
        <v>1389149</v>
      </c>
      <c r="M1874">
        <v>599</v>
      </c>
    </row>
    <row r="1875" spans="1:13" ht="15">
      <c r="A1875" t="s">
        <v>3671</v>
      </c>
      <c r="B1875" s="1040" t="str">
        <f>CONCATENATE(LEFT(RIGHT(CONCATENATE("000",IFAData_TEA_1819!A1875),6),3),"-",(RIGHT(RIGHT(CONCATENATE("000",IFAData_TEA_1819!A1875),6),3)))</f>
        <v>175-904</v>
      </c>
      <c r="C1875" t="s">
        <v>2663</v>
      </c>
      <c r="D1875">
        <v>4</v>
      </c>
      <c r="E1875">
        <v>1746</v>
      </c>
      <c r="F1875" t="s">
        <v>5311</v>
      </c>
      <c r="G1875" t="s">
        <v>5311</v>
      </c>
      <c r="H1875">
        <v>123498</v>
      </c>
      <c r="I1875">
        <v>0</v>
      </c>
      <c r="J1875">
        <v>0</v>
      </c>
      <c r="K1875"/>
      <c r="L1875">
        <v>0</v>
      </c>
      <c r="M1875">
        <v>199</v>
      </c>
    </row>
    <row r="1876" spans="1:13" ht="15">
      <c r="A1876" t="s">
        <v>3671</v>
      </c>
      <c r="B1876" s="1040" t="str">
        <f>CONCATENATE(LEFT(RIGHT(CONCATENATE("000",IFAData_TEA_1819!A1876),6),3),"-",(RIGHT(RIGHT(CONCATENATE("000",IFAData_TEA_1819!A1876),6),3)))</f>
        <v>175-904</v>
      </c>
      <c r="C1876" t="s">
        <v>2663</v>
      </c>
      <c r="D1876">
        <v>9</v>
      </c>
      <c r="E1876">
        <v>1745</v>
      </c>
      <c r="F1876" t="s">
        <v>5313</v>
      </c>
      <c r="G1876" t="s">
        <v>5313</v>
      </c>
      <c r="H1876">
        <v>45525</v>
      </c>
      <c r="I1876">
        <v>0</v>
      </c>
      <c r="J1876">
        <v>0</v>
      </c>
      <c r="K1876">
        <v>0</v>
      </c>
      <c r="L1876">
        <v>0</v>
      </c>
      <c r="M1876">
        <v>599</v>
      </c>
    </row>
    <row r="1877" spans="1:13" ht="15">
      <c r="A1877" t="s">
        <v>3671</v>
      </c>
      <c r="B1877" s="1040" t="str">
        <f>CONCATENATE(LEFT(RIGHT(CONCATENATE("000",IFAData_TEA_1819!A1877),6),3),"-",(RIGHT(RIGHT(CONCATENATE("000",IFAData_TEA_1819!A1877),6),3)))</f>
        <v>175-904</v>
      </c>
      <c r="C1877" t="s">
        <v>2663</v>
      </c>
      <c r="D1877">
        <v>9</v>
      </c>
      <c r="E1877">
        <v>1745</v>
      </c>
      <c r="F1877" t="s">
        <v>5313</v>
      </c>
      <c r="G1877" t="s">
        <v>8472</v>
      </c>
      <c r="H1877">
        <v>45525</v>
      </c>
      <c r="I1877">
        <v>310200</v>
      </c>
      <c r="J1877">
        <v>1</v>
      </c>
      <c r="K1877">
        <v>45525</v>
      </c>
      <c r="L1877">
        <v>45525</v>
      </c>
      <c r="M1877">
        <v>599</v>
      </c>
    </row>
    <row r="1878" spans="1:13" ht="15">
      <c r="A1878" t="s">
        <v>3672</v>
      </c>
      <c r="B1878" s="1040" t="str">
        <f>CONCATENATE(LEFT(RIGHT(CONCATENATE("000",IFAData_TEA_1819!A1878),6),3),"-",(RIGHT(RIGHT(CONCATENATE("000",IFAData_TEA_1819!A1878),6),3)))</f>
        <v>175-907</v>
      </c>
      <c r="C1878" t="s">
        <v>2517</v>
      </c>
      <c r="D1878">
        <v>5</v>
      </c>
      <c r="E1878">
        <v>1956</v>
      </c>
      <c r="F1878" t="s">
        <v>5314</v>
      </c>
      <c r="G1878" t="s">
        <v>5314</v>
      </c>
      <c r="H1878">
        <v>172700</v>
      </c>
      <c r="I1878">
        <v>0</v>
      </c>
      <c r="J1878">
        <v>0</v>
      </c>
      <c r="K1878">
        <v>0</v>
      </c>
      <c r="L1878">
        <v>0</v>
      </c>
      <c r="M1878">
        <v>599</v>
      </c>
    </row>
    <row r="1879" spans="1:13" ht="15">
      <c r="A1879" t="s">
        <v>3672</v>
      </c>
      <c r="B1879" s="1040" t="str">
        <f>CONCATENATE(LEFT(RIGHT(CONCATENATE("000",IFAData_TEA_1819!A1879),6),3),"-",(RIGHT(RIGHT(CONCATENATE("000",IFAData_TEA_1819!A1879),6),3)))</f>
        <v>175-907</v>
      </c>
      <c r="C1879" t="s">
        <v>2517</v>
      </c>
      <c r="D1879">
        <v>5</v>
      </c>
      <c r="E1879">
        <v>1956</v>
      </c>
      <c r="F1879" t="s">
        <v>5314</v>
      </c>
      <c r="G1879" t="s">
        <v>5315</v>
      </c>
      <c r="H1879">
        <v>172700</v>
      </c>
      <c r="I1879">
        <v>0</v>
      </c>
      <c r="J1879">
        <v>0</v>
      </c>
      <c r="K1879">
        <v>0</v>
      </c>
      <c r="L1879">
        <v>0</v>
      </c>
      <c r="M1879">
        <v>599</v>
      </c>
    </row>
    <row r="1880" spans="1:13" ht="15">
      <c r="A1880" t="s">
        <v>3672</v>
      </c>
      <c r="B1880" s="1040" t="str">
        <f>CONCATENATE(LEFT(RIGHT(CONCATENATE("000",IFAData_TEA_1819!A1880),6),3),"-",(RIGHT(RIGHT(CONCATENATE("000",IFAData_TEA_1819!A1880),6),3)))</f>
        <v>175-907</v>
      </c>
      <c r="C1880" t="s">
        <v>2517</v>
      </c>
      <c r="D1880">
        <v>5</v>
      </c>
      <c r="E1880">
        <v>1956</v>
      </c>
      <c r="F1880" t="s">
        <v>5314</v>
      </c>
      <c r="G1880" t="s">
        <v>8540</v>
      </c>
      <c r="H1880">
        <v>172700</v>
      </c>
      <c r="I1880">
        <v>103862</v>
      </c>
      <c r="J1880">
        <v>1</v>
      </c>
      <c r="K1880">
        <v>172700</v>
      </c>
      <c r="L1880">
        <v>103862</v>
      </c>
      <c r="M1880">
        <v>599</v>
      </c>
    </row>
    <row r="1881" spans="1:13" ht="15">
      <c r="A1881" t="s">
        <v>3673</v>
      </c>
      <c r="B1881" s="1040" t="str">
        <f>CONCATENATE(LEFT(RIGHT(CONCATENATE("000",IFAData_TEA_1819!A1881),6),3),"-",(RIGHT(RIGHT(CONCATENATE("000",IFAData_TEA_1819!A1881),6),3)))</f>
        <v>175-911</v>
      </c>
      <c r="C1881" t="s">
        <v>80</v>
      </c>
      <c r="D1881">
        <v>2</v>
      </c>
      <c r="E1881">
        <v>2234</v>
      </c>
      <c r="F1881" t="s">
        <v>5316</v>
      </c>
      <c r="G1881" t="s">
        <v>5316</v>
      </c>
      <c r="H1881">
        <v>81645</v>
      </c>
      <c r="I1881">
        <v>0</v>
      </c>
      <c r="J1881">
        <v>0</v>
      </c>
      <c r="K1881">
        <v>0</v>
      </c>
      <c r="L1881">
        <v>0</v>
      </c>
      <c r="M1881">
        <v>599</v>
      </c>
    </row>
    <row r="1882" spans="1:13" ht="15">
      <c r="A1882" t="s">
        <v>3673</v>
      </c>
      <c r="B1882" s="1040" t="str">
        <f>CONCATENATE(LEFT(RIGHT(CONCATENATE("000",IFAData_TEA_1819!A1882),6),3),"-",(RIGHT(RIGHT(CONCATENATE("000",IFAData_TEA_1819!A1882),6),3)))</f>
        <v>175-911</v>
      </c>
      <c r="C1882" t="s">
        <v>80</v>
      </c>
      <c r="D1882">
        <v>2</v>
      </c>
      <c r="E1882">
        <v>2234</v>
      </c>
      <c r="F1882" t="s">
        <v>5316</v>
      </c>
      <c r="G1882" t="s">
        <v>5317</v>
      </c>
      <c r="H1882">
        <v>81645</v>
      </c>
      <c r="I1882">
        <v>0</v>
      </c>
      <c r="J1882">
        <v>0</v>
      </c>
      <c r="K1882">
        <v>0</v>
      </c>
      <c r="L1882">
        <v>0</v>
      </c>
      <c r="M1882">
        <v>599</v>
      </c>
    </row>
    <row r="1883" spans="1:13" ht="15">
      <c r="A1883" t="s">
        <v>3673</v>
      </c>
      <c r="B1883" s="1040" t="str">
        <f>CONCATENATE(LEFT(RIGHT(CONCATENATE("000",IFAData_TEA_1819!A1883),6),3),"-",(RIGHT(RIGHT(CONCATENATE("000",IFAData_TEA_1819!A1883),6),3)))</f>
        <v>175-911</v>
      </c>
      <c r="C1883" t="s">
        <v>80</v>
      </c>
      <c r="D1883">
        <v>2</v>
      </c>
      <c r="E1883">
        <v>2234</v>
      </c>
      <c r="F1883" t="s">
        <v>5316</v>
      </c>
      <c r="G1883" t="s">
        <v>6305</v>
      </c>
      <c r="H1883">
        <v>81645</v>
      </c>
      <c r="I1883">
        <v>65685</v>
      </c>
      <c r="J1883">
        <v>1</v>
      </c>
      <c r="K1883">
        <v>81645</v>
      </c>
      <c r="L1883">
        <v>65685</v>
      </c>
      <c r="M1883">
        <v>599</v>
      </c>
    </row>
    <row r="1884" spans="1:13" ht="15">
      <c r="A1884" t="s">
        <v>3673</v>
      </c>
      <c r="B1884" s="1040" t="str">
        <f>CONCATENATE(LEFT(RIGHT(CONCATENATE("000",IFAData_TEA_1819!A1884),6),3),"-",(RIGHT(RIGHT(CONCATENATE("000",IFAData_TEA_1819!A1884),6),3)))</f>
        <v>175-911</v>
      </c>
      <c r="C1884" t="s">
        <v>80</v>
      </c>
      <c r="D1884">
        <v>9</v>
      </c>
      <c r="E1884">
        <v>2235</v>
      </c>
      <c r="F1884" t="s">
        <v>5318</v>
      </c>
      <c r="G1884" t="s">
        <v>5318</v>
      </c>
      <c r="H1884">
        <v>173838</v>
      </c>
      <c r="I1884">
        <v>0</v>
      </c>
      <c r="J1884">
        <v>0</v>
      </c>
      <c r="K1884">
        <v>0</v>
      </c>
      <c r="L1884">
        <v>0</v>
      </c>
      <c r="M1884">
        <v>599</v>
      </c>
    </row>
    <row r="1885" spans="1:13" ht="15">
      <c r="A1885" t="s">
        <v>3673</v>
      </c>
      <c r="B1885" s="1040" t="str">
        <f>CONCATENATE(LEFT(RIGHT(CONCATENATE("000",IFAData_TEA_1819!A1885),6),3),"-",(RIGHT(RIGHT(CONCATENATE("000",IFAData_TEA_1819!A1885),6),3)))</f>
        <v>175-911</v>
      </c>
      <c r="C1885" t="s">
        <v>80</v>
      </c>
      <c r="D1885">
        <v>9</v>
      </c>
      <c r="E1885">
        <v>2235</v>
      </c>
      <c r="F1885" t="s">
        <v>5318</v>
      </c>
      <c r="G1885" t="s">
        <v>5319</v>
      </c>
      <c r="H1885">
        <v>173838</v>
      </c>
      <c r="I1885">
        <v>481342</v>
      </c>
      <c r="J1885">
        <v>1</v>
      </c>
      <c r="K1885">
        <v>173838</v>
      </c>
      <c r="L1885">
        <v>173838</v>
      </c>
      <c r="M1885">
        <v>599</v>
      </c>
    </row>
    <row r="1886" spans="1:13" ht="15">
      <c r="A1886" t="s">
        <v>3673</v>
      </c>
      <c r="B1886" s="1040" t="str">
        <f>CONCATENATE(LEFT(RIGHT(CONCATENATE("000",IFAData_TEA_1819!A1886),6),3),"-",(RIGHT(RIGHT(CONCATENATE("000",IFAData_TEA_1819!A1886),6),3)))</f>
        <v>175-911</v>
      </c>
      <c r="C1886" t="s">
        <v>80</v>
      </c>
      <c r="D1886">
        <v>10</v>
      </c>
      <c r="E1886">
        <v>2233</v>
      </c>
      <c r="F1886" t="s">
        <v>5319</v>
      </c>
      <c r="G1886" t="s">
        <v>5319</v>
      </c>
      <c r="H1886">
        <v>62309</v>
      </c>
      <c r="I1886">
        <v>39265</v>
      </c>
      <c r="J1886">
        <v>1</v>
      </c>
      <c r="K1886">
        <v>62309</v>
      </c>
      <c r="L1886">
        <v>39265</v>
      </c>
      <c r="M1886">
        <v>599</v>
      </c>
    </row>
    <row r="1887" spans="1:13" ht="15">
      <c r="A1887" t="s">
        <v>3674</v>
      </c>
      <c r="B1887" s="1040" t="str">
        <f>CONCATENATE(LEFT(RIGHT(CONCATENATE("000",IFAData_TEA_1819!A1887),6),3),"-",(RIGHT(RIGHT(CONCATENATE("000",IFAData_TEA_1819!A1887),6),3)))</f>
        <v>176-902</v>
      </c>
      <c r="C1887" t="s">
        <v>2286</v>
      </c>
      <c r="D1887">
        <v>3</v>
      </c>
      <c r="E1887">
        <v>2146</v>
      </c>
      <c r="F1887" t="s">
        <v>5320</v>
      </c>
      <c r="G1887" t="s">
        <v>5320</v>
      </c>
      <c r="H1887">
        <v>343700</v>
      </c>
      <c r="I1887">
        <v>0</v>
      </c>
      <c r="J1887">
        <v>0</v>
      </c>
      <c r="K1887">
        <v>0</v>
      </c>
      <c r="L1887">
        <v>0</v>
      </c>
      <c r="M1887">
        <v>599</v>
      </c>
    </row>
    <row r="1888" spans="1:13" ht="15">
      <c r="A1888" t="s">
        <v>3674</v>
      </c>
      <c r="B1888" s="1040" t="str">
        <f>CONCATENATE(LEFT(RIGHT(CONCATENATE("000",IFAData_TEA_1819!A1888),6),3),"-",(RIGHT(RIGHT(CONCATENATE("000",IFAData_TEA_1819!A1888),6),3)))</f>
        <v>176-902</v>
      </c>
      <c r="C1888" t="s">
        <v>2286</v>
      </c>
      <c r="D1888">
        <v>3</v>
      </c>
      <c r="E1888">
        <v>2146</v>
      </c>
      <c r="F1888" t="s">
        <v>5320</v>
      </c>
      <c r="G1888" t="s">
        <v>5321</v>
      </c>
      <c r="H1888">
        <v>343700</v>
      </c>
      <c r="I1888">
        <v>0</v>
      </c>
      <c r="J1888">
        <v>0</v>
      </c>
      <c r="K1888">
        <v>0</v>
      </c>
      <c r="L1888">
        <v>0</v>
      </c>
      <c r="M1888">
        <v>599</v>
      </c>
    </row>
    <row r="1889" spans="1:13" ht="15">
      <c r="A1889" t="s">
        <v>3674</v>
      </c>
      <c r="B1889" s="1040" t="str">
        <f>CONCATENATE(LEFT(RIGHT(CONCATENATE("000",IFAData_TEA_1819!A1889),6),3),"-",(RIGHT(RIGHT(CONCATENATE("000",IFAData_TEA_1819!A1889),6),3)))</f>
        <v>176-902</v>
      </c>
      <c r="C1889" t="s">
        <v>2286</v>
      </c>
      <c r="D1889">
        <v>3</v>
      </c>
      <c r="E1889">
        <v>2146</v>
      </c>
      <c r="F1889" t="s">
        <v>5320</v>
      </c>
      <c r="G1889" t="s">
        <v>6519</v>
      </c>
      <c r="H1889">
        <v>343700</v>
      </c>
      <c r="I1889">
        <v>737675</v>
      </c>
      <c r="J1889">
        <v>1</v>
      </c>
      <c r="K1889">
        <v>343700</v>
      </c>
      <c r="L1889">
        <v>343700</v>
      </c>
      <c r="M1889">
        <v>599</v>
      </c>
    </row>
    <row r="1890" spans="1:13" ht="15">
      <c r="A1890" t="s">
        <v>3675</v>
      </c>
      <c r="B1890" s="1040" t="str">
        <f>CONCATENATE(LEFT(RIGHT(CONCATENATE("000",IFAData_TEA_1819!A1890),6),3),"-",(RIGHT(RIGHT(CONCATENATE("000",IFAData_TEA_1819!A1890),6),3)))</f>
        <v>176-903</v>
      </c>
      <c r="C1890" t="s">
        <v>2670</v>
      </c>
      <c r="D1890">
        <v>6</v>
      </c>
      <c r="E1890">
        <v>1759</v>
      </c>
      <c r="F1890" t="s">
        <v>5322</v>
      </c>
      <c r="G1890" t="s">
        <v>5322</v>
      </c>
      <c r="H1890">
        <v>173765</v>
      </c>
      <c r="I1890">
        <v>0</v>
      </c>
      <c r="J1890">
        <v>0</v>
      </c>
      <c r="K1890">
        <v>0</v>
      </c>
      <c r="L1890">
        <v>0</v>
      </c>
      <c r="M1890">
        <v>599</v>
      </c>
    </row>
    <row r="1891" spans="1:13" ht="15">
      <c r="A1891" t="s">
        <v>3675</v>
      </c>
      <c r="B1891" s="1040" t="str">
        <f>CONCATENATE(LEFT(RIGHT(CONCATENATE("000",IFAData_TEA_1819!A1891),6),3),"-",(RIGHT(RIGHT(CONCATENATE("000",IFAData_TEA_1819!A1891),6),3)))</f>
        <v>176-903</v>
      </c>
      <c r="C1891" t="s">
        <v>2670</v>
      </c>
      <c r="D1891">
        <v>6</v>
      </c>
      <c r="E1891">
        <v>1759</v>
      </c>
      <c r="F1891" t="s">
        <v>5322</v>
      </c>
      <c r="G1891" t="s">
        <v>5323</v>
      </c>
      <c r="H1891">
        <v>173765</v>
      </c>
      <c r="I1891">
        <v>564123</v>
      </c>
      <c r="J1891">
        <v>1</v>
      </c>
      <c r="K1891">
        <v>173765</v>
      </c>
      <c r="L1891">
        <v>173765</v>
      </c>
      <c r="M1891">
        <v>599</v>
      </c>
    </row>
    <row r="1892" spans="1:13" ht="15">
      <c r="A1892" t="s">
        <v>3676</v>
      </c>
      <c r="B1892" s="1040" t="str">
        <f>CONCATENATE(LEFT(RIGHT(CONCATENATE("000",IFAData_TEA_1819!A1892),6),3),"-",(RIGHT(RIGHT(CONCATENATE("000",IFAData_TEA_1819!A1892),6),3)))</f>
        <v>177-901</v>
      </c>
      <c r="C1892" t="s">
        <v>3914</v>
      </c>
      <c r="D1892">
        <v>5</v>
      </c>
      <c r="E1892">
        <v>2264</v>
      </c>
      <c r="F1892" t="s">
        <v>5324</v>
      </c>
      <c r="G1892" t="s">
        <v>5324</v>
      </c>
      <c r="H1892">
        <v>100000</v>
      </c>
      <c r="I1892">
        <v>0</v>
      </c>
      <c r="J1892">
        <v>0</v>
      </c>
      <c r="K1892">
        <v>0</v>
      </c>
      <c r="L1892">
        <v>0</v>
      </c>
      <c r="M1892">
        <v>599</v>
      </c>
    </row>
    <row r="1893" spans="1:13" ht="15">
      <c r="A1893" t="s">
        <v>3676</v>
      </c>
      <c r="B1893" s="1040" t="str">
        <f>CONCATENATE(LEFT(RIGHT(CONCATENATE("000",IFAData_TEA_1819!A1893),6),3),"-",(RIGHT(RIGHT(CONCATENATE("000",IFAData_TEA_1819!A1893),6),3)))</f>
        <v>177-901</v>
      </c>
      <c r="C1893" t="s">
        <v>3914</v>
      </c>
      <c r="D1893">
        <v>5</v>
      </c>
      <c r="E1893">
        <v>2264</v>
      </c>
      <c r="F1893" t="s">
        <v>5324</v>
      </c>
      <c r="G1893" t="s">
        <v>5325</v>
      </c>
      <c r="H1893">
        <v>100000</v>
      </c>
      <c r="I1893">
        <v>74650</v>
      </c>
      <c r="J1893">
        <v>1</v>
      </c>
      <c r="K1893">
        <v>100000</v>
      </c>
      <c r="L1893">
        <v>74650</v>
      </c>
      <c r="M1893">
        <v>599</v>
      </c>
    </row>
    <row r="1894" spans="1:13" ht="15">
      <c r="A1894" t="s">
        <v>3677</v>
      </c>
      <c r="B1894" s="1040" t="str">
        <f>CONCATENATE(LEFT(RIGHT(CONCATENATE("000",IFAData_TEA_1819!A1894),6),3),"-",(RIGHT(RIGHT(CONCATENATE("000",IFAData_TEA_1819!A1894),6),3)))</f>
        <v>178-904</v>
      </c>
      <c r="C1894" t="s">
        <v>1100</v>
      </c>
      <c r="D1894">
        <v>1</v>
      </c>
      <c r="E1894">
        <v>1724</v>
      </c>
      <c r="F1894" t="s">
        <v>5326</v>
      </c>
      <c r="G1894" t="s">
        <v>5326</v>
      </c>
      <c r="H1894">
        <v>3668595</v>
      </c>
      <c r="I1894">
        <v>0</v>
      </c>
      <c r="J1894">
        <v>0</v>
      </c>
      <c r="K1894"/>
      <c r="L1894">
        <v>0</v>
      </c>
      <c r="M1894">
        <v>599</v>
      </c>
    </row>
    <row r="1895" spans="1:13" ht="15">
      <c r="A1895" t="s">
        <v>3677</v>
      </c>
      <c r="B1895" s="1040" t="str">
        <f>CONCATENATE(LEFT(RIGHT(CONCATENATE("000",IFAData_TEA_1819!A1895),6),3),"-",(RIGHT(RIGHT(CONCATENATE("000",IFAData_TEA_1819!A1895),6),3)))</f>
        <v>178-904</v>
      </c>
      <c r="C1895" t="s">
        <v>1100</v>
      </c>
      <c r="D1895">
        <v>9</v>
      </c>
      <c r="E1895">
        <v>1723</v>
      </c>
      <c r="F1895" t="s">
        <v>5327</v>
      </c>
      <c r="G1895" t="s">
        <v>5327</v>
      </c>
      <c r="H1895">
        <v>822393</v>
      </c>
      <c r="I1895">
        <v>0</v>
      </c>
      <c r="J1895">
        <v>0</v>
      </c>
      <c r="K1895">
        <v>0</v>
      </c>
      <c r="L1895">
        <v>0</v>
      </c>
      <c r="M1895">
        <v>199</v>
      </c>
    </row>
    <row r="1896" spans="1:13" ht="15">
      <c r="A1896" t="s">
        <v>3677</v>
      </c>
      <c r="B1896" s="1040" t="str">
        <f>CONCATENATE(LEFT(RIGHT(CONCATENATE("000",IFAData_TEA_1819!A1896),6),3),"-",(RIGHT(RIGHT(CONCATENATE("000",IFAData_TEA_1819!A1896),6),3)))</f>
        <v>178-904</v>
      </c>
      <c r="C1896" t="s">
        <v>1100</v>
      </c>
      <c r="D1896">
        <v>9</v>
      </c>
      <c r="E1896">
        <v>1723</v>
      </c>
      <c r="F1896" t="s">
        <v>5327</v>
      </c>
      <c r="G1896" t="s">
        <v>5328</v>
      </c>
      <c r="H1896">
        <v>822393</v>
      </c>
      <c r="I1896">
        <v>809027</v>
      </c>
      <c r="J1896">
        <v>0.86784334716758904</v>
      </c>
      <c r="K1896">
        <v>713708.29380719503</v>
      </c>
      <c r="L1896">
        <v>713708.29380719503</v>
      </c>
      <c r="M1896">
        <v>599</v>
      </c>
    </row>
    <row r="1897" spans="1:13" ht="15">
      <c r="A1897" t="s">
        <v>3677</v>
      </c>
      <c r="B1897" s="1040" t="str">
        <f>CONCATENATE(LEFT(RIGHT(CONCATENATE("000",IFAData_TEA_1819!A1897),6),3),"-",(RIGHT(RIGHT(CONCATENATE("000",IFAData_TEA_1819!A1897),6),3)))</f>
        <v>178-904</v>
      </c>
      <c r="C1897" t="s">
        <v>1100</v>
      </c>
      <c r="D1897">
        <v>9</v>
      </c>
      <c r="E1897">
        <v>1723</v>
      </c>
      <c r="F1897" t="s">
        <v>5327</v>
      </c>
      <c r="G1897" t="s">
        <v>8473</v>
      </c>
      <c r="H1897">
        <v>822393</v>
      </c>
      <c r="I1897">
        <v>123200</v>
      </c>
      <c r="J1897">
        <v>0.13215665283241099</v>
      </c>
      <c r="K1897">
        <v>108684.706192805</v>
      </c>
      <c r="L1897">
        <v>108684.706192805</v>
      </c>
      <c r="M1897">
        <v>599</v>
      </c>
    </row>
    <row r="1898" spans="1:13" ht="15">
      <c r="A1898" t="s">
        <v>3677</v>
      </c>
      <c r="B1898" s="1040" t="str">
        <f>CONCATENATE(LEFT(RIGHT(CONCATENATE("000",IFAData_TEA_1819!A1898),6),3),"-",(RIGHT(RIGHT(CONCATENATE("000",IFAData_TEA_1819!A1898),6),3)))</f>
        <v>178-904</v>
      </c>
      <c r="C1898" t="s">
        <v>1100</v>
      </c>
      <c r="D1898">
        <v>9</v>
      </c>
      <c r="E1898">
        <v>1721</v>
      </c>
      <c r="F1898" t="s">
        <v>5329</v>
      </c>
      <c r="G1898" t="s">
        <v>5329</v>
      </c>
      <c r="H1898">
        <v>379812</v>
      </c>
      <c r="I1898">
        <v>0</v>
      </c>
      <c r="J1898">
        <v>0</v>
      </c>
      <c r="K1898">
        <v>0</v>
      </c>
      <c r="L1898">
        <v>0</v>
      </c>
      <c r="M1898">
        <v>199</v>
      </c>
    </row>
    <row r="1899" spans="1:13" ht="15">
      <c r="A1899" t="s">
        <v>3677</v>
      </c>
      <c r="B1899" s="1040" t="str">
        <f>CONCATENATE(LEFT(RIGHT(CONCATENATE("000",IFAData_TEA_1819!A1899),6),3),"-",(RIGHT(RIGHT(CONCATENATE("000",IFAData_TEA_1819!A1899),6),3)))</f>
        <v>178-904</v>
      </c>
      <c r="C1899" t="s">
        <v>1100</v>
      </c>
      <c r="D1899">
        <v>9</v>
      </c>
      <c r="E1899">
        <v>1721</v>
      </c>
      <c r="F1899" t="s">
        <v>5329</v>
      </c>
      <c r="G1899" t="s">
        <v>5328</v>
      </c>
      <c r="H1899">
        <v>379812</v>
      </c>
      <c r="I1899">
        <v>374638</v>
      </c>
      <c r="J1899">
        <v>0.87050617146256204</v>
      </c>
      <c r="K1899">
        <v>330628.68999553903</v>
      </c>
      <c r="L1899">
        <v>330628.68999553903</v>
      </c>
      <c r="M1899">
        <v>599</v>
      </c>
    </row>
    <row r="1900" spans="1:13" ht="15">
      <c r="A1900" t="s">
        <v>3677</v>
      </c>
      <c r="B1900" s="1040" t="str">
        <f>CONCATENATE(LEFT(RIGHT(CONCATENATE("000",IFAData_TEA_1819!A1900),6),3),"-",(RIGHT(RIGHT(CONCATENATE("000",IFAData_TEA_1819!A1900),6),3)))</f>
        <v>178-904</v>
      </c>
      <c r="C1900" t="s">
        <v>1100</v>
      </c>
      <c r="D1900">
        <v>9</v>
      </c>
      <c r="E1900">
        <v>1721</v>
      </c>
      <c r="F1900" t="s">
        <v>5329</v>
      </c>
      <c r="G1900" t="s">
        <v>8473</v>
      </c>
      <c r="H1900">
        <v>379812</v>
      </c>
      <c r="I1900">
        <v>55730</v>
      </c>
      <c r="J1900">
        <v>0.12949382853743799</v>
      </c>
      <c r="K1900">
        <v>49183.310004461302</v>
      </c>
      <c r="L1900">
        <v>49183.310004461302</v>
      </c>
      <c r="M1900">
        <v>599</v>
      </c>
    </row>
    <row r="1901" spans="1:13" ht="15">
      <c r="A1901" t="s">
        <v>3678</v>
      </c>
      <c r="B1901" s="1040" t="str">
        <f>CONCATENATE(LEFT(RIGHT(CONCATENATE("000",IFAData_TEA_1819!A1901),6),3),"-",(RIGHT(RIGHT(CONCATENATE("000",IFAData_TEA_1819!A1901),6),3)))</f>
        <v>178-909</v>
      </c>
      <c r="C1901" t="s">
        <v>2699</v>
      </c>
      <c r="D1901">
        <v>1</v>
      </c>
      <c r="E1901">
        <v>2253</v>
      </c>
      <c r="F1901" t="s">
        <v>5330</v>
      </c>
      <c r="G1901" t="s">
        <v>5330</v>
      </c>
      <c r="H1901">
        <v>485685</v>
      </c>
      <c r="I1901">
        <v>0</v>
      </c>
      <c r="J1901">
        <v>0</v>
      </c>
      <c r="K1901">
        <v>0</v>
      </c>
      <c r="L1901">
        <v>0</v>
      </c>
      <c r="M1901">
        <v>599</v>
      </c>
    </row>
    <row r="1902" spans="1:13" ht="15">
      <c r="A1902" t="s">
        <v>3678</v>
      </c>
      <c r="B1902" s="1040" t="str">
        <f>CONCATENATE(LEFT(RIGHT(CONCATENATE("000",IFAData_TEA_1819!A1902),6),3),"-",(RIGHT(RIGHT(CONCATENATE("000",IFAData_TEA_1819!A1902),6),3)))</f>
        <v>178-909</v>
      </c>
      <c r="C1902" t="s">
        <v>2699</v>
      </c>
      <c r="D1902">
        <v>1</v>
      </c>
      <c r="E1902">
        <v>2253</v>
      </c>
      <c r="F1902" t="s">
        <v>5330</v>
      </c>
      <c r="G1902" t="s">
        <v>5331</v>
      </c>
      <c r="H1902">
        <v>485685</v>
      </c>
      <c r="I1902">
        <v>348890</v>
      </c>
      <c r="J1902">
        <v>1</v>
      </c>
      <c r="K1902">
        <v>485685</v>
      </c>
      <c r="L1902">
        <v>348890</v>
      </c>
      <c r="M1902">
        <v>599</v>
      </c>
    </row>
    <row r="1903" spans="1:13" ht="15">
      <c r="A1903" t="s">
        <v>3678</v>
      </c>
      <c r="B1903" s="1040" t="str">
        <f>CONCATENATE(LEFT(RIGHT(CONCATENATE("000",IFAData_TEA_1819!A1903),6),3),"-",(RIGHT(RIGHT(CONCATENATE("000",IFAData_TEA_1819!A1903),6),3)))</f>
        <v>178-909</v>
      </c>
      <c r="C1903" t="s">
        <v>2699</v>
      </c>
      <c r="D1903">
        <v>7</v>
      </c>
      <c r="E1903">
        <v>2256</v>
      </c>
      <c r="F1903" t="s">
        <v>5332</v>
      </c>
      <c r="G1903" t="s">
        <v>5332</v>
      </c>
      <c r="H1903">
        <v>883718</v>
      </c>
      <c r="I1903">
        <v>0</v>
      </c>
      <c r="J1903">
        <v>0</v>
      </c>
      <c r="K1903">
        <v>0</v>
      </c>
      <c r="L1903">
        <v>0</v>
      </c>
      <c r="M1903">
        <v>599</v>
      </c>
    </row>
    <row r="1904" spans="1:13" ht="15">
      <c r="A1904" t="s">
        <v>3678</v>
      </c>
      <c r="B1904" s="1040" t="str">
        <f>CONCATENATE(LEFT(RIGHT(CONCATENATE("000",IFAData_TEA_1819!A1904),6),3),"-",(RIGHT(RIGHT(CONCATENATE("000",IFAData_TEA_1819!A1904),6),3)))</f>
        <v>178-909</v>
      </c>
      <c r="C1904" t="s">
        <v>2699</v>
      </c>
      <c r="D1904">
        <v>7</v>
      </c>
      <c r="E1904">
        <v>2256</v>
      </c>
      <c r="F1904" t="s">
        <v>5332</v>
      </c>
      <c r="G1904" t="s">
        <v>5333</v>
      </c>
      <c r="H1904">
        <v>883718</v>
      </c>
      <c r="I1904">
        <v>391888</v>
      </c>
      <c r="J1904">
        <v>0.45976655485984302</v>
      </c>
      <c r="K1904">
        <v>406303.98032763001</v>
      </c>
      <c r="L1904">
        <v>391888</v>
      </c>
      <c r="M1904">
        <v>599</v>
      </c>
    </row>
    <row r="1905" spans="1:13" ht="15">
      <c r="A1905" t="s">
        <v>3678</v>
      </c>
      <c r="B1905" s="1040" t="str">
        <f>CONCATENATE(LEFT(RIGHT(CONCATENATE("000",IFAData_TEA_1819!A1905),6),3),"-",(RIGHT(RIGHT(CONCATENATE("000",IFAData_TEA_1819!A1905),6),3)))</f>
        <v>178-909</v>
      </c>
      <c r="C1905" t="s">
        <v>2699</v>
      </c>
      <c r="D1905">
        <v>7</v>
      </c>
      <c r="E1905">
        <v>2256</v>
      </c>
      <c r="F1905" t="s">
        <v>5332</v>
      </c>
      <c r="G1905" t="s">
        <v>5334</v>
      </c>
      <c r="H1905">
        <v>883718</v>
      </c>
      <c r="I1905">
        <v>460475</v>
      </c>
      <c r="J1905">
        <v>0.54023344514015703</v>
      </c>
      <c r="K1905">
        <v>477414.01967236999</v>
      </c>
      <c r="L1905">
        <v>460475</v>
      </c>
      <c r="M1905">
        <v>599</v>
      </c>
    </row>
    <row r="1906" spans="1:13" ht="15">
      <c r="A1906" t="s">
        <v>3678</v>
      </c>
      <c r="B1906" s="1040" t="str">
        <f>CONCATENATE(LEFT(RIGHT(CONCATENATE("000",IFAData_TEA_1819!A1906),6),3),"-",(RIGHT(RIGHT(CONCATENATE("000",IFAData_TEA_1819!A1906),6),3)))</f>
        <v>178-909</v>
      </c>
      <c r="C1906" t="s">
        <v>2699</v>
      </c>
      <c r="D1906">
        <v>9</v>
      </c>
      <c r="E1906">
        <v>2255</v>
      </c>
      <c r="F1906" t="s">
        <v>5335</v>
      </c>
      <c r="G1906" t="s">
        <v>5335</v>
      </c>
      <c r="H1906">
        <v>829400</v>
      </c>
      <c r="I1906">
        <v>0</v>
      </c>
      <c r="J1906">
        <v>0</v>
      </c>
      <c r="K1906">
        <v>0</v>
      </c>
      <c r="L1906">
        <v>0</v>
      </c>
      <c r="M1906">
        <v>599</v>
      </c>
    </row>
    <row r="1907" spans="1:13" ht="15">
      <c r="A1907" t="s">
        <v>3678</v>
      </c>
      <c r="B1907" s="1040" t="str">
        <f>CONCATENATE(LEFT(RIGHT(CONCATENATE("000",IFAData_TEA_1819!A1907),6),3),"-",(RIGHT(RIGHT(CONCATENATE("000",IFAData_TEA_1819!A1907),6),3)))</f>
        <v>178-909</v>
      </c>
      <c r="C1907" t="s">
        <v>2699</v>
      </c>
      <c r="D1907">
        <v>9</v>
      </c>
      <c r="E1907">
        <v>2255</v>
      </c>
      <c r="F1907" t="s">
        <v>5335</v>
      </c>
      <c r="G1907" t="s">
        <v>6306</v>
      </c>
      <c r="H1907">
        <v>829400</v>
      </c>
      <c r="I1907">
        <v>367150</v>
      </c>
      <c r="J1907">
        <v>0.50582076186539904</v>
      </c>
      <c r="K1907">
        <v>419527.73989116203</v>
      </c>
      <c r="L1907">
        <v>367150</v>
      </c>
      <c r="M1907">
        <v>599</v>
      </c>
    </row>
    <row r="1908" spans="1:13" ht="15">
      <c r="A1908" t="s">
        <v>3678</v>
      </c>
      <c r="B1908" s="1040" t="str">
        <f>CONCATENATE(LEFT(RIGHT(CONCATENATE("000",IFAData_TEA_1819!A1908),6),3),"-",(RIGHT(RIGHT(CONCATENATE("000",IFAData_TEA_1819!A1908),6),3)))</f>
        <v>178-909</v>
      </c>
      <c r="C1908" t="s">
        <v>2699</v>
      </c>
      <c r="D1908">
        <v>9</v>
      </c>
      <c r="E1908">
        <v>2255</v>
      </c>
      <c r="F1908" t="s">
        <v>5335</v>
      </c>
      <c r="G1908" t="s">
        <v>6520</v>
      </c>
      <c r="H1908">
        <v>829400</v>
      </c>
      <c r="I1908">
        <v>358700</v>
      </c>
      <c r="J1908">
        <v>0.49417923813460102</v>
      </c>
      <c r="K1908">
        <v>409872.26010883797</v>
      </c>
      <c r="L1908">
        <v>358700</v>
      </c>
      <c r="M1908">
        <v>599</v>
      </c>
    </row>
    <row r="1909" spans="1:13" ht="15">
      <c r="A1909" t="s">
        <v>3678</v>
      </c>
      <c r="B1909" s="1040" t="str">
        <f>CONCATENATE(LEFT(RIGHT(CONCATENATE("000",IFAData_TEA_1819!A1909),6),3),"-",(RIGHT(RIGHT(CONCATENATE("000",IFAData_TEA_1819!A1909),6),3)))</f>
        <v>178-909</v>
      </c>
      <c r="C1909" t="s">
        <v>2699</v>
      </c>
      <c r="D1909">
        <v>10</v>
      </c>
      <c r="E1909">
        <v>2254</v>
      </c>
      <c r="F1909" t="s">
        <v>5336</v>
      </c>
      <c r="G1909" t="s">
        <v>5336</v>
      </c>
      <c r="H1909">
        <v>707375</v>
      </c>
      <c r="I1909">
        <v>437625</v>
      </c>
      <c r="J1909">
        <v>0.64259755515583095</v>
      </c>
      <c r="K1909">
        <v>454557.44557835598</v>
      </c>
      <c r="L1909">
        <v>437625</v>
      </c>
      <c r="M1909">
        <v>599</v>
      </c>
    </row>
    <row r="1910" spans="1:13" ht="15">
      <c r="A1910" t="s">
        <v>3678</v>
      </c>
      <c r="B1910" s="1040" t="str">
        <f>CONCATENATE(LEFT(RIGHT(CONCATENATE("000",IFAData_TEA_1819!A1910),6),3),"-",(RIGHT(RIGHT(CONCATENATE("000",IFAData_TEA_1819!A1910),6),3)))</f>
        <v>178-909</v>
      </c>
      <c r="C1910" t="s">
        <v>2699</v>
      </c>
      <c r="D1910">
        <v>10</v>
      </c>
      <c r="E1910">
        <v>2254</v>
      </c>
      <c r="F1910" t="s">
        <v>5336</v>
      </c>
      <c r="G1910" t="s">
        <v>8474</v>
      </c>
      <c r="H1910">
        <v>707375</v>
      </c>
      <c r="I1910">
        <v>243400</v>
      </c>
      <c r="J1910">
        <v>0.357402444844169</v>
      </c>
      <c r="K1910">
        <v>252817.55442164399</v>
      </c>
      <c r="L1910">
        <v>243400</v>
      </c>
      <c r="M1910">
        <v>599</v>
      </c>
    </row>
    <row r="1911" spans="1:13" ht="15">
      <c r="A1911" t="s">
        <v>3679</v>
      </c>
      <c r="B1911" s="1040" t="str">
        <f>CONCATENATE(LEFT(RIGHT(CONCATENATE("000",IFAData_TEA_1819!A1911),6),3),"-",(RIGHT(RIGHT(CONCATENATE("000",IFAData_TEA_1819!A1911),6),3)))</f>
        <v>178-913</v>
      </c>
      <c r="C1911" t="s">
        <v>321</v>
      </c>
      <c r="D1911">
        <v>9</v>
      </c>
      <c r="E1911">
        <v>1592</v>
      </c>
      <c r="F1911" t="s">
        <v>5337</v>
      </c>
      <c r="G1911" t="s">
        <v>5337</v>
      </c>
      <c r="H1911">
        <v>156610</v>
      </c>
      <c r="I1911">
        <v>0</v>
      </c>
      <c r="J1911">
        <v>0</v>
      </c>
      <c r="K1911">
        <v>0</v>
      </c>
      <c r="L1911">
        <v>0</v>
      </c>
      <c r="M1911">
        <v>599</v>
      </c>
    </row>
    <row r="1912" spans="1:13" ht="15">
      <c r="A1912" t="s">
        <v>3679</v>
      </c>
      <c r="B1912" s="1040" t="str">
        <f>CONCATENATE(LEFT(RIGHT(CONCATENATE("000",IFAData_TEA_1819!A1912),6),3),"-",(RIGHT(RIGHT(CONCATENATE("000",IFAData_TEA_1819!A1912),6),3)))</f>
        <v>178-913</v>
      </c>
      <c r="C1912" t="s">
        <v>321</v>
      </c>
      <c r="D1912">
        <v>9</v>
      </c>
      <c r="E1912">
        <v>1592</v>
      </c>
      <c r="F1912" t="s">
        <v>5337</v>
      </c>
      <c r="G1912" t="s">
        <v>6307</v>
      </c>
      <c r="H1912">
        <v>156610</v>
      </c>
      <c r="I1912">
        <v>149146</v>
      </c>
      <c r="J1912">
        <v>1</v>
      </c>
      <c r="K1912">
        <v>156610</v>
      </c>
      <c r="L1912">
        <v>149146</v>
      </c>
      <c r="M1912">
        <v>599</v>
      </c>
    </row>
    <row r="1913" spans="1:13" ht="15">
      <c r="A1913" t="s">
        <v>3680</v>
      </c>
      <c r="B1913" s="1040" t="str">
        <f>CONCATENATE(LEFT(RIGHT(CONCATENATE("000",IFAData_TEA_1819!A1913),6),3),"-",(RIGHT(RIGHT(CONCATENATE("000",IFAData_TEA_1819!A1913),6),3)))</f>
        <v>178-915</v>
      </c>
      <c r="C1913" t="s">
        <v>323</v>
      </c>
      <c r="D1913">
        <v>10</v>
      </c>
      <c r="E1913">
        <v>2445</v>
      </c>
      <c r="F1913" t="s">
        <v>5338</v>
      </c>
      <c r="G1913" t="s">
        <v>5338</v>
      </c>
      <c r="H1913">
        <v>243416</v>
      </c>
      <c r="I1913">
        <v>354200</v>
      </c>
      <c r="J1913">
        <v>0.68859597962595698</v>
      </c>
      <c r="K1913">
        <v>167615.27897663199</v>
      </c>
      <c r="L1913">
        <v>167615.27897663199</v>
      </c>
      <c r="M1913">
        <v>599</v>
      </c>
    </row>
    <row r="1914" spans="1:13" ht="15">
      <c r="A1914" t="s">
        <v>3680</v>
      </c>
      <c r="B1914" s="1040" t="str">
        <f>CONCATENATE(LEFT(RIGHT(CONCATENATE("000",IFAData_TEA_1819!A1914),6),3),"-",(RIGHT(RIGHT(CONCATENATE("000",IFAData_TEA_1819!A1914),6),3)))</f>
        <v>178-915</v>
      </c>
      <c r="C1914" t="s">
        <v>323</v>
      </c>
      <c r="D1914">
        <v>10</v>
      </c>
      <c r="E1914">
        <v>2445</v>
      </c>
      <c r="F1914" t="s">
        <v>5338</v>
      </c>
      <c r="G1914" t="s">
        <v>6831</v>
      </c>
      <c r="H1914">
        <v>243416</v>
      </c>
      <c r="I1914">
        <v>160180</v>
      </c>
      <c r="J1914">
        <v>0.31140402037404302</v>
      </c>
      <c r="K1914">
        <v>75800.721023367907</v>
      </c>
      <c r="L1914">
        <v>75800.721023367907</v>
      </c>
      <c r="M1914">
        <v>599</v>
      </c>
    </row>
    <row r="1915" spans="1:13" ht="15">
      <c r="A1915" t="s">
        <v>3681</v>
      </c>
      <c r="B1915" s="1040" t="str">
        <f>CONCATENATE(LEFT(RIGHT(CONCATENATE("000",IFAData_TEA_1819!A1915),6),3),"-",(RIGHT(RIGHT(CONCATENATE("000",IFAData_TEA_1819!A1915),6),3)))</f>
        <v>179-901</v>
      </c>
      <c r="C1915" t="s">
        <v>996</v>
      </c>
      <c r="D1915">
        <v>1</v>
      </c>
      <c r="E1915">
        <v>2186</v>
      </c>
      <c r="F1915" t="s">
        <v>5339</v>
      </c>
      <c r="G1915" t="s">
        <v>5339</v>
      </c>
      <c r="H1915">
        <v>477623</v>
      </c>
      <c r="I1915">
        <v>0</v>
      </c>
      <c r="J1915">
        <v>0</v>
      </c>
      <c r="K1915"/>
      <c r="L1915">
        <v>0</v>
      </c>
      <c r="M1915">
        <v>599</v>
      </c>
    </row>
    <row r="1916" spans="1:13" ht="15">
      <c r="A1916" t="s">
        <v>3682</v>
      </c>
      <c r="B1916" s="1040" t="str">
        <f>CONCATENATE(LEFT(RIGHT(CONCATENATE("000",IFAData_TEA_1819!A1916),6),3),"-",(RIGHT(RIGHT(CONCATENATE("000",IFAData_TEA_1819!A1916),6),3)))</f>
        <v>181-901</v>
      </c>
      <c r="C1916" t="s">
        <v>1855</v>
      </c>
      <c r="D1916">
        <v>6</v>
      </c>
      <c r="E1916">
        <v>1633</v>
      </c>
      <c r="F1916" t="s">
        <v>5341</v>
      </c>
      <c r="G1916" t="s">
        <v>5341</v>
      </c>
      <c r="H1916">
        <v>649545</v>
      </c>
      <c r="I1916">
        <v>0</v>
      </c>
      <c r="J1916">
        <v>0</v>
      </c>
      <c r="K1916">
        <v>0</v>
      </c>
      <c r="L1916">
        <v>0</v>
      </c>
      <c r="M1916">
        <v>599</v>
      </c>
    </row>
    <row r="1917" spans="1:13" ht="15">
      <c r="A1917" t="s">
        <v>3682</v>
      </c>
      <c r="B1917" s="1040" t="str">
        <f>CONCATENATE(LEFT(RIGHT(CONCATENATE("000",IFAData_TEA_1819!A1917),6),3),"-",(RIGHT(RIGHT(CONCATENATE("000",IFAData_TEA_1819!A1917),6),3)))</f>
        <v>181-901</v>
      </c>
      <c r="C1917" t="s">
        <v>1855</v>
      </c>
      <c r="D1917">
        <v>6</v>
      </c>
      <c r="E1917">
        <v>1633</v>
      </c>
      <c r="F1917" t="s">
        <v>5341</v>
      </c>
      <c r="G1917" t="s">
        <v>5342</v>
      </c>
      <c r="H1917">
        <v>649545</v>
      </c>
      <c r="I1917">
        <v>415000</v>
      </c>
      <c r="J1917">
        <v>0.72967802737259602</v>
      </c>
      <c r="K1917">
        <v>473958.71428973298</v>
      </c>
      <c r="L1917">
        <v>415000</v>
      </c>
      <c r="M1917">
        <v>599</v>
      </c>
    </row>
    <row r="1918" spans="1:13" ht="15">
      <c r="A1918" t="s">
        <v>3682</v>
      </c>
      <c r="B1918" s="1040" t="str">
        <f>CONCATENATE(LEFT(RIGHT(CONCATENATE("000",IFAData_TEA_1819!A1918),6),3),"-",(RIGHT(RIGHT(CONCATENATE("000",IFAData_TEA_1819!A1918),6),3)))</f>
        <v>181-901</v>
      </c>
      <c r="C1918" t="s">
        <v>1855</v>
      </c>
      <c r="D1918">
        <v>6</v>
      </c>
      <c r="E1918">
        <v>1633</v>
      </c>
      <c r="F1918" t="s">
        <v>5341</v>
      </c>
      <c r="G1918" t="s">
        <v>5343</v>
      </c>
      <c r="H1918">
        <v>649545</v>
      </c>
      <c r="I1918">
        <v>23694</v>
      </c>
      <c r="J1918">
        <v>4.1660219712207999E-2</v>
      </c>
      <c r="K1918">
        <v>27060.187412966101</v>
      </c>
      <c r="L1918">
        <v>23694</v>
      </c>
      <c r="M1918">
        <v>599</v>
      </c>
    </row>
    <row r="1919" spans="1:13" ht="15">
      <c r="A1919" t="s">
        <v>3682</v>
      </c>
      <c r="B1919" s="1040" t="str">
        <f>CONCATENATE(LEFT(RIGHT(CONCATENATE("000",IFAData_TEA_1819!A1919),6),3),"-",(RIGHT(RIGHT(CONCATENATE("000",IFAData_TEA_1819!A1919),6),3)))</f>
        <v>181-901</v>
      </c>
      <c r="C1919" t="s">
        <v>1855</v>
      </c>
      <c r="D1919">
        <v>6</v>
      </c>
      <c r="E1919">
        <v>1633</v>
      </c>
      <c r="F1919" t="s">
        <v>5341</v>
      </c>
      <c r="G1919" t="s">
        <v>8475</v>
      </c>
      <c r="H1919">
        <v>649545</v>
      </c>
      <c r="I1919">
        <v>130050</v>
      </c>
      <c r="J1919">
        <v>0.228661752915196</v>
      </c>
      <c r="K1919">
        <v>148526.09829730101</v>
      </c>
      <c r="L1919">
        <v>130050</v>
      </c>
      <c r="M1919">
        <v>599</v>
      </c>
    </row>
    <row r="1920" spans="1:13" ht="15">
      <c r="A1920" t="s">
        <v>3683</v>
      </c>
      <c r="B1920" s="1040" t="str">
        <f>CONCATENATE(LEFT(RIGHT(CONCATENATE("000",IFAData_TEA_1819!A1920),6),3),"-",(RIGHT(RIGHT(CONCATENATE("000",IFAData_TEA_1819!A1920),6),3)))</f>
        <v>181-907</v>
      </c>
      <c r="C1920" t="s">
        <v>135</v>
      </c>
      <c r="D1920">
        <v>6</v>
      </c>
      <c r="E1920">
        <v>2428</v>
      </c>
      <c r="F1920" t="s">
        <v>5344</v>
      </c>
      <c r="G1920" t="s">
        <v>5344</v>
      </c>
      <c r="H1920">
        <v>1258064</v>
      </c>
      <c r="I1920">
        <v>0</v>
      </c>
      <c r="J1920">
        <v>0</v>
      </c>
      <c r="K1920">
        <v>0</v>
      </c>
      <c r="L1920">
        <v>0</v>
      </c>
      <c r="M1920">
        <v>599</v>
      </c>
    </row>
    <row r="1921" spans="1:13" ht="15">
      <c r="A1921" t="s">
        <v>3683</v>
      </c>
      <c r="B1921" s="1040" t="str">
        <f>CONCATENATE(LEFT(RIGHT(CONCATENATE("000",IFAData_TEA_1819!A1921),6),3),"-",(RIGHT(RIGHT(CONCATENATE("000",IFAData_TEA_1819!A1921),6),3)))</f>
        <v>181-907</v>
      </c>
      <c r="C1921" t="s">
        <v>135</v>
      </c>
      <c r="D1921">
        <v>6</v>
      </c>
      <c r="E1921">
        <v>2428</v>
      </c>
      <c r="F1921" t="s">
        <v>5344</v>
      </c>
      <c r="G1921" t="s">
        <v>5345</v>
      </c>
      <c r="H1921">
        <v>1258064</v>
      </c>
      <c r="I1921">
        <v>0</v>
      </c>
      <c r="J1921">
        <v>0</v>
      </c>
      <c r="K1921">
        <v>0</v>
      </c>
      <c r="L1921">
        <v>0</v>
      </c>
      <c r="M1921">
        <v>599</v>
      </c>
    </row>
    <row r="1922" spans="1:13" ht="15">
      <c r="A1922" t="s">
        <v>3683</v>
      </c>
      <c r="B1922" s="1040" t="str">
        <f>CONCATENATE(LEFT(RIGHT(CONCATENATE("000",IFAData_TEA_1819!A1922),6),3),"-",(RIGHT(RIGHT(CONCATENATE("000",IFAData_TEA_1819!A1922),6),3)))</f>
        <v>181-907</v>
      </c>
      <c r="C1922" t="s">
        <v>135</v>
      </c>
      <c r="D1922">
        <v>6</v>
      </c>
      <c r="E1922">
        <v>2428</v>
      </c>
      <c r="F1922" t="s">
        <v>5344</v>
      </c>
      <c r="G1922" t="s">
        <v>5346</v>
      </c>
      <c r="H1922">
        <v>1258064</v>
      </c>
      <c r="I1922">
        <v>754400</v>
      </c>
      <c r="J1922">
        <v>0.71909255552378204</v>
      </c>
      <c r="K1922">
        <v>904664.45677247201</v>
      </c>
      <c r="L1922">
        <v>754400</v>
      </c>
      <c r="M1922">
        <v>599</v>
      </c>
    </row>
    <row r="1923" spans="1:13" ht="15">
      <c r="A1923" t="s">
        <v>3683</v>
      </c>
      <c r="B1923" s="1040" t="str">
        <f>CONCATENATE(LEFT(RIGHT(CONCATENATE("000",IFAData_TEA_1819!A1923),6),3),"-",(RIGHT(RIGHT(CONCATENATE("000",IFAData_TEA_1819!A1923),6),3)))</f>
        <v>181-907</v>
      </c>
      <c r="C1923" t="s">
        <v>135</v>
      </c>
      <c r="D1923">
        <v>6</v>
      </c>
      <c r="E1923">
        <v>2428</v>
      </c>
      <c r="F1923" t="s">
        <v>5344</v>
      </c>
      <c r="G1923" t="s">
        <v>6521</v>
      </c>
      <c r="H1923">
        <v>1258064</v>
      </c>
      <c r="I1923">
        <v>294700</v>
      </c>
      <c r="J1923">
        <v>0.28090744447621802</v>
      </c>
      <c r="K1923">
        <v>353399.54322752799</v>
      </c>
      <c r="L1923">
        <v>294700</v>
      </c>
      <c r="M1923">
        <v>599</v>
      </c>
    </row>
    <row r="1924" spans="1:13" ht="15">
      <c r="A1924" t="s">
        <v>6046</v>
      </c>
      <c r="B1924" s="1040" t="str">
        <f>CONCATENATE(LEFT(RIGHT(CONCATENATE("000",IFAData_TEA_1819!A1924),6),3),"-",(RIGHT(RIGHT(CONCATENATE("000",IFAData_TEA_1819!A1924),6),3)))</f>
        <v>181-908</v>
      </c>
      <c r="C1924" t="s">
        <v>3915</v>
      </c>
      <c r="D1924">
        <v>11</v>
      </c>
      <c r="E1924">
        <v>2536</v>
      </c>
      <c r="F1924" t="s">
        <v>8476</v>
      </c>
      <c r="G1924" t="s">
        <v>8476</v>
      </c>
      <c r="H1924">
        <v>531973</v>
      </c>
      <c r="I1924">
        <v>425608</v>
      </c>
      <c r="J1924">
        <v>1</v>
      </c>
      <c r="K1924">
        <v>531973</v>
      </c>
      <c r="L1924">
        <v>425608</v>
      </c>
      <c r="M1924">
        <v>599</v>
      </c>
    </row>
    <row r="1925" spans="1:13" ht="15">
      <c r="A1925" t="s">
        <v>3684</v>
      </c>
      <c r="B1925" s="1040" t="str">
        <f>CONCATENATE(LEFT(RIGHT(CONCATENATE("000",IFAData_TEA_1819!A1925),6),3),"-",(RIGHT(RIGHT(CONCATENATE("000",IFAData_TEA_1819!A1925),6),3)))</f>
        <v>182-903</v>
      </c>
      <c r="C1925" t="s">
        <v>2240</v>
      </c>
      <c r="D1925">
        <v>2</v>
      </c>
      <c r="E1925">
        <v>2110</v>
      </c>
      <c r="F1925" t="s">
        <v>5347</v>
      </c>
      <c r="G1925" t="s">
        <v>5347</v>
      </c>
      <c r="H1925">
        <v>772750</v>
      </c>
      <c r="I1925">
        <v>0</v>
      </c>
      <c r="J1925">
        <v>0</v>
      </c>
      <c r="K1925">
        <v>0</v>
      </c>
      <c r="L1925">
        <v>0</v>
      </c>
      <c r="M1925">
        <v>599</v>
      </c>
    </row>
    <row r="1926" spans="1:13" ht="15">
      <c r="A1926" t="s">
        <v>3684</v>
      </c>
      <c r="B1926" s="1040" t="str">
        <f>CONCATENATE(LEFT(RIGHT(CONCATENATE("000",IFAData_TEA_1819!A1926),6),3),"-",(RIGHT(RIGHT(CONCATENATE("000",IFAData_TEA_1819!A1926),6),3)))</f>
        <v>182-903</v>
      </c>
      <c r="C1926" t="s">
        <v>2240</v>
      </c>
      <c r="D1926">
        <v>2</v>
      </c>
      <c r="E1926">
        <v>2110</v>
      </c>
      <c r="F1926" t="s">
        <v>5347</v>
      </c>
      <c r="G1926" t="s">
        <v>5348</v>
      </c>
      <c r="H1926">
        <v>772750</v>
      </c>
      <c r="I1926">
        <v>0</v>
      </c>
      <c r="J1926">
        <v>0</v>
      </c>
      <c r="K1926">
        <v>0</v>
      </c>
      <c r="L1926">
        <v>0</v>
      </c>
      <c r="M1926">
        <v>599</v>
      </c>
    </row>
    <row r="1927" spans="1:13" ht="15">
      <c r="A1927" t="s">
        <v>3684</v>
      </c>
      <c r="B1927" s="1040" t="str">
        <f>CONCATENATE(LEFT(RIGHT(CONCATENATE("000",IFAData_TEA_1819!A1927),6),3),"-",(RIGHT(RIGHT(CONCATENATE("000",IFAData_TEA_1819!A1927),6),3)))</f>
        <v>182-903</v>
      </c>
      <c r="C1927" t="s">
        <v>2240</v>
      </c>
      <c r="D1927">
        <v>2</v>
      </c>
      <c r="E1927">
        <v>2110</v>
      </c>
      <c r="F1927" t="s">
        <v>5347</v>
      </c>
      <c r="G1927" t="s">
        <v>5349</v>
      </c>
      <c r="H1927">
        <v>772750</v>
      </c>
      <c r="I1927">
        <v>792591</v>
      </c>
      <c r="J1927">
        <v>0.52925633498847502</v>
      </c>
      <c r="K1927">
        <v>408982.83286234399</v>
      </c>
      <c r="L1927">
        <v>408982.83286234399</v>
      </c>
      <c r="M1927">
        <v>599</v>
      </c>
    </row>
    <row r="1928" spans="1:13" ht="15">
      <c r="A1928" t="s">
        <v>3684</v>
      </c>
      <c r="B1928" s="1040" t="str">
        <f>CONCATENATE(LEFT(RIGHT(CONCATENATE("000",IFAData_TEA_1819!A1928),6),3),"-",(RIGHT(RIGHT(CONCATENATE("000",IFAData_TEA_1819!A1928),6),3)))</f>
        <v>182-903</v>
      </c>
      <c r="C1928" t="s">
        <v>2240</v>
      </c>
      <c r="D1928">
        <v>2</v>
      </c>
      <c r="E1928">
        <v>2110</v>
      </c>
      <c r="F1928" t="s">
        <v>5347</v>
      </c>
      <c r="G1928" t="s">
        <v>5350</v>
      </c>
      <c r="H1928">
        <v>772750</v>
      </c>
      <c r="I1928">
        <v>0</v>
      </c>
      <c r="J1928">
        <v>0</v>
      </c>
      <c r="K1928">
        <v>0</v>
      </c>
      <c r="L1928">
        <v>0</v>
      </c>
      <c r="M1928">
        <v>599</v>
      </c>
    </row>
    <row r="1929" spans="1:13" ht="15">
      <c r="A1929" t="s">
        <v>3684</v>
      </c>
      <c r="B1929" s="1040" t="str">
        <f>CONCATENATE(LEFT(RIGHT(CONCATENATE("000",IFAData_TEA_1819!A1929),6),3),"-",(RIGHT(RIGHT(CONCATENATE("000",IFAData_TEA_1819!A1929),6),3)))</f>
        <v>182-903</v>
      </c>
      <c r="C1929" t="s">
        <v>2240</v>
      </c>
      <c r="D1929">
        <v>2</v>
      </c>
      <c r="E1929">
        <v>2110</v>
      </c>
      <c r="F1929" t="s">
        <v>5347</v>
      </c>
      <c r="G1929" t="s">
        <v>6308</v>
      </c>
      <c r="H1929">
        <v>772750</v>
      </c>
      <c r="I1929">
        <v>0</v>
      </c>
      <c r="J1929">
        <v>0</v>
      </c>
      <c r="K1929">
        <v>0</v>
      </c>
      <c r="L1929">
        <v>0</v>
      </c>
      <c r="M1929">
        <v>599</v>
      </c>
    </row>
    <row r="1930" spans="1:13" ht="15">
      <c r="A1930" t="s">
        <v>3684</v>
      </c>
      <c r="B1930" s="1040" t="str">
        <f>CONCATENATE(LEFT(RIGHT(CONCATENATE("000",IFAData_TEA_1819!A1930),6),3),"-",(RIGHT(RIGHT(CONCATENATE("000",IFAData_TEA_1819!A1930),6),3)))</f>
        <v>182-903</v>
      </c>
      <c r="C1930" t="s">
        <v>2240</v>
      </c>
      <c r="D1930">
        <v>2</v>
      </c>
      <c r="E1930">
        <v>2110</v>
      </c>
      <c r="F1930" t="s">
        <v>5347</v>
      </c>
      <c r="G1930" t="s">
        <v>6523</v>
      </c>
      <c r="H1930">
        <v>772750</v>
      </c>
      <c r="I1930">
        <v>704965</v>
      </c>
      <c r="J1930">
        <v>0.47074366501152498</v>
      </c>
      <c r="K1930">
        <v>363767.16713765601</v>
      </c>
      <c r="L1930">
        <v>363767.16713765601</v>
      </c>
      <c r="M1930">
        <v>599</v>
      </c>
    </row>
    <row r="1931" spans="1:13" ht="15">
      <c r="A1931" t="s">
        <v>3684</v>
      </c>
      <c r="B1931" s="1040" t="str">
        <f>CONCATENATE(LEFT(RIGHT(CONCATENATE("000",IFAData_TEA_1819!A1931),6),3),"-",(RIGHT(RIGHT(CONCATENATE("000",IFAData_TEA_1819!A1931),6),3)))</f>
        <v>182-903</v>
      </c>
      <c r="C1931" t="s">
        <v>2240</v>
      </c>
      <c r="D1931">
        <v>2</v>
      </c>
      <c r="E1931">
        <v>2110</v>
      </c>
      <c r="F1931" t="s">
        <v>5347</v>
      </c>
      <c r="G1931" t="s">
        <v>6522</v>
      </c>
      <c r="H1931">
        <v>772750</v>
      </c>
      <c r="I1931">
        <v>0</v>
      </c>
      <c r="J1931">
        <v>0</v>
      </c>
      <c r="K1931">
        <v>0</v>
      </c>
      <c r="L1931">
        <v>0</v>
      </c>
      <c r="M1931">
        <v>599</v>
      </c>
    </row>
    <row r="1932" spans="1:13" ht="15">
      <c r="A1932" t="s">
        <v>3684</v>
      </c>
      <c r="B1932" s="1040" t="str">
        <f>CONCATENATE(LEFT(RIGHT(CONCATENATE("000",IFAData_TEA_1819!A1932),6),3),"-",(RIGHT(RIGHT(CONCATENATE("000",IFAData_TEA_1819!A1932),6),3)))</f>
        <v>182-903</v>
      </c>
      <c r="C1932" t="s">
        <v>2240</v>
      </c>
      <c r="D1932">
        <v>11</v>
      </c>
      <c r="E1932">
        <v>2514</v>
      </c>
      <c r="F1932" t="s">
        <v>8477</v>
      </c>
      <c r="G1932" t="s">
        <v>8477</v>
      </c>
      <c r="H1932">
        <v>744217</v>
      </c>
      <c r="I1932">
        <v>1171470</v>
      </c>
      <c r="J1932">
        <v>1</v>
      </c>
      <c r="K1932">
        <v>744217</v>
      </c>
      <c r="L1932">
        <v>744217</v>
      </c>
      <c r="M1932">
        <v>599</v>
      </c>
    </row>
    <row r="1933" spans="1:13" ht="15">
      <c r="A1933" t="s">
        <v>3685</v>
      </c>
      <c r="B1933" s="1040" t="str">
        <f>CONCATENATE(LEFT(RIGHT(CONCATENATE("000",IFAData_TEA_1819!A1933),6),3),"-",(RIGHT(RIGHT(CONCATENATE("000",IFAData_TEA_1819!A1933),6),3)))</f>
        <v>183-904</v>
      </c>
      <c r="C1933" t="s">
        <v>454</v>
      </c>
      <c r="D1933">
        <v>1</v>
      </c>
      <c r="E1933">
        <v>1845</v>
      </c>
      <c r="F1933" t="s">
        <v>5351</v>
      </c>
      <c r="G1933" t="s">
        <v>5351</v>
      </c>
      <c r="H1933">
        <v>100000</v>
      </c>
      <c r="I1933">
        <v>0</v>
      </c>
      <c r="J1933">
        <v>0</v>
      </c>
      <c r="K1933">
        <v>0</v>
      </c>
      <c r="L1933">
        <v>0</v>
      </c>
      <c r="M1933">
        <v>599</v>
      </c>
    </row>
    <row r="1934" spans="1:13" ht="15">
      <c r="A1934" t="s">
        <v>3685</v>
      </c>
      <c r="B1934" s="1040" t="str">
        <f>CONCATENATE(LEFT(RIGHT(CONCATENATE("000",IFAData_TEA_1819!A1934),6),3),"-",(RIGHT(RIGHT(CONCATENATE("000",IFAData_TEA_1819!A1934),6),3)))</f>
        <v>183-904</v>
      </c>
      <c r="C1934" t="s">
        <v>454</v>
      </c>
      <c r="D1934">
        <v>1</v>
      </c>
      <c r="E1934">
        <v>1845</v>
      </c>
      <c r="F1934" t="s">
        <v>5351</v>
      </c>
      <c r="G1934" t="s">
        <v>5352</v>
      </c>
      <c r="H1934">
        <v>100000</v>
      </c>
      <c r="I1934">
        <v>0</v>
      </c>
      <c r="J1934">
        <v>0</v>
      </c>
      <c r="K1934">
        <v>0</v>
      </c>
      <c r="L1934">
        <v>0</v>
      </c>
      <c r="M1934">
        <v>599</v>
      </c>
    </row>
    <row r="1935" spans="1:13" ht="15">
      <c r="A1935" t="s">
        <v>3685</v>
      </c>
      <c r="B1935" s="1040" t="str">
        <f>CONCATENATE(LEFT(RIGHT(CONCATENATE("000",IFAData_TEA_1819!A1935),6),3),"-",(RIGHT(RIGHT(CONCATENATE("000",IFAData_TEA_1819!A1935),6),3)))</f>
        <v>183-904</v>
      </c>
      <c r="C1935" t="s">
        <v>454</v>
      </c>
      <c r="D1935">
        <v>1</v>
      </c>
      <c r="E1935">
        <v>1845</v>
      </c>
      <c r="F1935" t="s">
        <v>5351</v>
      </c>
      <c r="G1935" t="s">
        <v>6524</v>
      </c>
      <c r="H1935">
        <v>100000</v>
      </c>
      <c r="I1935">
        <v>97544</v>
      </c>
      <c r="J1935">
        <v>1</v>
      </c>
      <c r="K1935">
        <v>100000</v>
      </c>
      <c r="L1935">
        <v>97544</v>
      </c>
      <c r="M1935">
        <v>599</v>
      </c>
    </row>
    <row r="1936" spans="1:13" ht="15">
      <c r="A1936" t="s">
        <v>3686</v>
      </c>
      <c r="B1936" s="1040" t="str">
        <f>CONCATENATE(LEFT(RIGHT(CONCATENATE("000",IFAData_TEA_1819!A1936),6),3),"-",(RIGHT(RIGHT(CONCATENATE("000",IFAData_TEA_1819!A1936),6),3)))</f>
        <v>184-901</v>
      </c>
      <c r="C1936" t="s">
        <v>1003</v>
      </c>
      <c r="D1936">
        <v>5</v>
      </c>
      <c r="E1936">
        <v>2202</v>
      </c>
      <c r="F1936" t="s">
        <v>5353</v>
      </c>
      <c r="G1936" t="s">
        <v>5353</v>
      </c>
      <c r="H1936">
        <v>107925</v>
      </c>
      <c r="I1936">
        <v>0</v>
      </c>
      <c r="J1936">
        <v>0</v>
      </c>
      <c r="K1936">
        <v>0</v>
      </c>
      <c r="L1936">
        <v>0</v>
      </c>
      <c r="M1936">
        <v>599</v>
      </c>
    </row>
    <row r="1937" spans="1:13" ht="15">
      <c r="A1937" t="s">
        <v>3686</v>
      </c>
      <c r="B1937" s="1040" t="str">
        <f>CONCATENATE(LEFT(RIGHT(CONCATENATE("000",IFAData_TEA_1819!A1937),6),3),"-",(RIGHT(RIGHT(CONCATENATE("000",IFAData_TEA_1819!A1937),6),3)))</f>
        <v>184-901</v>
      </c>
      <c r="C1937" t="s">
        <v>1003</v>
      </c>
      <c r="D1937">
        <v>5</v>
      </c>
      <c r="E1937">
        <v>2202</v>
      </c>
      <c r="F1937" t="s">
        <v>5353</v>
      </c>
      <c r="G1937" t="s">
        <v>5354</v>
      </c>
      <c r="H1937">
        <v>107925</v>
      </c>
      <c r="I1937">
        <v>112580</v>
      </c>
      <c r="J1937">
        <v>1</v>
      </c>
      <c r="K1937">
        <v>107925</v>
      </c>
      <c r="L1937">
        <v>107925</v>
      </c>
      <c r="M1937">
        <v>599</v>
      </c>
    </row>
    <row r="1938" spans="1:13" ht="15">
      <c r="A1938" t="s">
        <v>3687</v>
      </c>
      <c r="B1938" s="1040" t="str">
        <f>CONCATENATE(LEFT(RIGHT(CONCATENATE("000",IFAData_TEA_1819!A1938),6),3),"-",(RIGHT(RIGHT(CONCATENATE("000",IFAData_TEA_1819!A1938),6),3)))</f>
        <v>184-902</v>
      </c>
      <c r="C1938" t="s">
        <v>1937</v>
      </c>
      <c r="D1938">
        <v>2</v>
      </c>
      <c r="E1938">
        <v>2378</v>
      </c>
      <c r="F1938" t="s">
        <v>5355</v>
      </c>
      <c r="G1938" t="s">
        <v>5355</v>
      </c>
      <c r="H1938">
        <v>700070</v>
      </c>
      <c r="I1938">
        <v>0</v>
      </c>
      <c r="J1938">
        <v>0</v>
      </c>
      <c r="K1938">
        <v>0</v>
      </c>
      <c r="L1938">
        <v>0</v>
      </c>
      <c r="M1938">
        <v>599</v>
      </c>
    </row>
    <row r="1939" spans="1:13" ht="15">
      <c r="A1939" t="s">
        <v>3687</v>
      </c>
      <c r="B1939" s="1040" t="str">
        <f>CONCATENATE(LEFT(RIGHT(CONCATENATE("000",IFAData_TEA_1819!A1939),6),3),"-",(RIGHT(RIGHT(CONCATENATE("000",IFAData_TEA_1819!A1939),6),3)))</f>
        <v>184-902</v>
      </c>
      <c r="C1939" t="s">
        <v>1937</v>
      </c>
      <c r="D1939">
        <v>2</v>
      </c>
      <c r="E1939">
        <v>2378</v>
      </c>
      <c r="F1939" t="s">
        <v>5355</v>
      </c>
      <c r="G1939" t="s">
        <v>5356</v>
      </c>
      <c r="H1939">
        <v>700070</v>
      </c>
      <c r="I1939">
        <v>0</v>
      </c>
      <c r="J1939">
        <v>0</v>
      </c>
      <c r="K1939">
        <v>0</v>
      </c>
      <c r="L1939">
        <v>0</v>
      </c>
      <c r="M1939">
        <v>599</v>
      </c>
    </row>
    <row r="1940" spans="1:13" ht="15">
      <c r="A1940" t="s">
        <v>3687</v>
      </c>
      <c r="B1940" s="1040" t="str">
        <f>CONCATENATE(LEFT(RIGHT(CONCATENATE("000",IFAData_TEA_1819!A1940),6),3),"-",(RIGHT(RIGHT(CONCATENATE("000",IFAData_TEA_1819!A1940),6),3)))</f>
        <v>184-902</v>
      </c>
      <c r="C1940" t="s">
        <v>1937</v>
      </c>
      <c r="D1940">
        <v>2</v>
      </c>
      <c r="E1940">
        <v>2378</v>
      </c>
      <c r="F1940" t="s">
        <v>5355</v>
      </c>
      <c r="G1940" t="s">
        <v>5357</v>
      </c>
      <c r="H1940">
        <v>700070</v>
      </c>
      <c r="I1940">
        <v>0</v>
      </c>
      <c r="J1940">
        <v>0</v>
      </c>
      <c r="K1940">
        <v>0</v>
      </c>
      <c r="L1940">
        <v>0</v>
      </c>
      <c r="M1940">
        <v>599</v>
      </c>
    </row>
    <row r="1941" spans="1:13" ht="15">
      <c r="A1941" t="s">
        <v>3687</v>
      </c>
      <c r="B1941" s="1040" t="str">
        <f>CONCATENATE(LEFT(RIGHT(CONCATENATE("000",IFAData_TEA_1819!A1941),6),3),"-",(RIGHT(RIGHT(CONCATENATE("000",IFAData_TEA_1819!A1941),6),3)))</f>
        <v>184-902</v>
      </c>
      <c r="C1941" t="s">
        <v>1937</v>
      </c>
      <c r="D1941">
        <v>2</v>
      </c>
      <c r="E1941">
        <v>2378</v>
      </c>
      <c r="F1941" t="s">
        <v>5355</v>
      </c>
      <c r="G1941" t="s">
        <v>5358</v>
      </c>
      <c r="H1941">
        <v>700070</v>
      </c>
      <c r="I1941">
        <v>0</v>
      </c>
      <c r="J1941">
        <v>0</v>
      </c>
      <c r="K1941">
        <v>0</v>
      </c>
      <c r="L1941">
        <v>0</v>
      </c>
      <c r="M1941">
        <v>599</v>
      </c>
    </row>
    <row r="1942" spans="1:13" ht="15">
      <c r="A1942" t="s">
        <v>3687</v>
      </c>
      <c r="B1942" s="1040" t="str">
        <f>CONCATENATE(LEFT(RIGHT(CONCATENATE("000",IFAData_TEA_1819!A1942),6),3),"-",(RIGHT(RIGHT(CONCATENATE("000",IFAData_TEA_1819!A1942),6),3)))</f>
        <v>184-902</v>
      </c>
      <c r="C1942" t="s">
        <v>1937</v>
      </c>
      <c r="D1942">
        <v>2</v>
      </c>
      <c r="E1942">
        <v>2378</v>
      </c>
      <c r="F1942" t="s">
        <v>5355</v>
      </c>
      <c r="G1942" t="s">
        <v>6309</v>
      </c>
      <c r="H1942">
        <v>700070</v>
      </c>
      <c r="I1942">
        <v>383248</v>
      </c>
      <c r="J1942">
        <v>0.57199742693095801</v>
      </c>
      <c r="K1942">
        <v>400438.238671556</v>
      </c>
      <c r="L1942">
        <v>383248</v>
      </c>
      <c r="M1942">
        <v>599</v>
      </c>
    </row>
    <row r="1943" spans="1:13" ht="15">
      <c r="A1943" t="s">
        <v>3687</v>
      </c>
      <c r="B1943" s="1040" t="str">
        <f>CONCATENATE(LEFT(RIGHT(CONCATENATE("000",IFAData_TEA_1819!A1943),6),3),"-",(RIGHT(RIGHT(CONCATENATE("000",IFAData_TEA_1819!A1943),6),3)))</f>
        <v>184-902</v>
      </c>
      <c r="C1943" t="s">
        <v>1937</v>
      </c>
      <c r="D1943">
        <v>2</v>
      </c>
      <c r="E1943">
        <v>2378</v>
      </c>
      <c r="F1943" t="s">
        <v>5355</v>
      </c>
      <c r="G1943" t="s">
        <v>6310</v>
      </c>
      <c r="H1943">
        <v>700070</v>
      </c>
      <c r="I1943">
        <v>39656</v>
      </c>
      <c r="J1943">
        <v>5.9186557953007202E-2</v>
      </c>
      <c r="K1943">
        <v>41434.733626161702</v>
      </c>
      <c r="L1943">
        <v>39656</v>
      </c>
      <c r="M1943">
        <v>599</v>
      </c>
    </row>
    <row r="1944" spans="1:13" ht="15">
      <c r="A1944" t="s">
        <v>3687</v>
      </c>
      <c r="B1944" s="1040" t="str">
        <f>CONCATENATE(LEFT(RIGHT(CONCATENATE("000",IFAData_TEA_1819!A1944),6),3),"-",(RIGHT(RIGHT(CONCATENATE("000",IFAData_TEA_1819!A1944),6),3)))</f>
        <v>184-902</v>
      </c>
      <c r="C1944" t="s">
        <v>1937</v>
      </c>
      <c r="D1944">
        <v>2</v>
      </c>
      <c r="E1944">
        <v>2378</v>
      </c>
      <c r="F1944" t="s">
        <v>5355</v>
      </c>
      <c r="G1944" t="s">
        <v>8478</v>
      </c>
      <c r="H1944">
        <v>700070</v>
      </c>
      <c r="I1944">
        <v>247113</v>
      </c>
      <c r="J1944">
        <v>0.36881601511603401</v>
      </c>
      <c r="K1944">
        <v>258197.02770228201</v>
      </c>
      <c r="L1944">
        <v>247113</v>
      </c>
      <c r="M1944">
        <v>599</v>
      </c>
    </row>
    <row r="1945" spans="1:13" ht="15">
      <c r="A1945" t="s">
        <v>3687</v>
      </c>
      <c r="B1945" s="1040" t="str">
        <f>CONCATENATE(LEFT(RIGHT(CONCATENATE("000",IFAData_TEA_1819!A1945),6),3),"-",(RIGHT(RIGHT(CONCATENATE("000",IFAData_TEA_1819!A1945),6),3)))</f>
        <v>184-902</v>
      </c>
      <c r="C1945" t="s">
        <v>1937</v>
      </c>
      <c r="D1945">
        <v>9</v>
      </c>
      <c r="E1945">
        <v>2379</v>
      </c>
      <c r="F1945" t="s">
        <v>5359</v>
      </c>
      <c r="G1945" t="s">
        <v>5359</v>
      </c>
      <c r="H1945">
        <v>824218</v>
      </c>
      <c r="I1945">
        <v>1015220</v>
      </c>
      <c r="J1945">
        <v>0.48448273229134098</v>
      </c>
      <c r="K1945">
        <v>399319.38864370401</v>
      </c>
      <c r="L1945">
        <v>399319.38864370401</v>
      </c>
      <c r="M1945">
        <v>599</v>
      </c>
    </row>
    <row r="1946" spans="1:13" ht="15">
      <c r="A1946" t="s">
        <v>3687</v>
      </c>
      <c r="B1946" s="1040" t="str">
        <f>CONCATENATE(LEFT(RIGHT(CONCATENATE("000",IFAData_TEA_1819!A1946),6),3),"-",(RIGHT(RIGHT(CONCATENATE("000",IFAData_TEA_1819!A1946),6),3)))</f>
        <v>184-902</v>
      </c>
      <c r="C1946" t="s">
        <v>1937</v>
      </c>
      <c r="D1946">
        <v>9</v>
      </c>
      <c r="E1946">
        <v>2379</v>
      </c>
      <c r="F1946" t="s">
        <v>5359</v>
      </c>
      <c r="G1946" t="s">
        <v>6310</v>
      </c>
      <c r="H1946">
        <v>824218</v>
      </c>
      <c r="I1946">
        <v>187354</v>
      </c>
      <c r="J1946">
        <v>8.94089732528041E-2</v>
      </c>
      <c r="K1946">
        <v>73692.4851164797</v>
      </c>
      <c r="L1946">
        <v>73692.4851164797</v>
      </c>
      <c r="M1946">
        <v>599</v>
      </c>
    </row>
    <row r="1947" spans="1:13" ht="15">
      <c r="A1947" t="s">
        <v>3687</v>
      </c>
      <c r="B1947" s="1040" t="str">
        <f>CONCATENATE(LEFT(RIGHT(CONCATENATE("000",IFAData_TEA_1819!A1947),6),3),"-",(RIGHT(RIGHT(CONCATENATE("000",IFAData_TEA_1819!A1947),6),3)))</f>
        <v>184-902</v>
      </c>
      <c r="C1947" t="s">
        <v>1937</v>
      </c>
      <c r="D1947">
        <v>9</v>
      </c>
      <c r="E1947">
        <v>2379</v>
      </c>
      <c r="F1947" t="s">
        <v>5359</v>
      </c>
      <c r="G1947" t="s">
        <v>6525</v>
      </c>
      <c r="H1947">
        <v>824218</v>
      </c>
      <c r="I1947">
        <v>892898</v>
      </c>
      <c r="J1947">
        <v>0.42610829445585502</v>
      </c>
      <c r="K1947">
        <v>351206.12623981602</v>
      </c>
      <c r="L1947">
        <v>351206.12623981602</v>
      </c>
      <c r="M1947">
        <v>599</v>
      </c>
    </row>
    <row r="1948" spans="1:13" ht="15">
      <c r="A1948" t="s">
        <v>3688</v>
      </c>
      <c r="B1948" s="1040" t="str">
        <f>CONCATENATE(LEFT(RIGHT(CONCATENATE("000",IFAData_TEA_1819!A1948),6),3),"-",(RIGHT(RIGHT(CONCATENATE("000",IFAData_TEA_1819!A1948),6),3)))</f>
        <v>184-903</v>
      </c>
      <c r="C1948" t="s">
        <v>140</v>
      </c>
      <c r="D1948">
        <v>6</v>
      </c>
      <c r="E1948">
        <v>2439</v>
      </c>
      <c r="F1948" t="s">
        <v>5360</v>
      </c>
      <c r="G1948" t="s">
        <v>5360</v>
      </c>
      <c r="H1948">
        <v>240000</v>
      </c>
      <c r="I1948">
        <v>5201994</v>
      </c>
      <c r="J1948">
        <v>0.89648313499928001</v>
      </c>
      <c r="K1948">
        <v>215155.95239982699</v>
      </c>
      <c r="L1948">
        <v>215155.95239982699</v>
      </c>
      <c r="M1948">
        <v>599</v>
      </c>
    </row>
    <row r="1949" spans="1:13" ht="15">
      <c r="A1949" t="s">
        <v>3688</v>
      </c>
      <c r="B1949" s="1040" t="str">
        <f>CONCATENATE(LEFT(RIGHT(CONCATENATE("000",IFAData_TEA_1819!A1949),6),3),"-",(RIGHT(RIGHT(CONCATENATE("000",IFAData_TEA_1819!A1949),6),3)))</f>
        <v>184-903</v>
      </c>
      <c r="C1949" t="s">
        <v>140</v>
      </c>
      <c r="D1949">
        <v>6</v>
      </c>
      <c r="E1949">
        <v>2439</v>
      </c>
      <c r="F1949" t="s">
        <v>5360</v>
      </c>
      <c r="G1949" t="s">
        <v>5361</v>
      </c>
      <c r="H1949">
        <v>240000</v>
      </c>
      <c r="I1949">
        <v>0</v>
      </c>
      <c r="J1949">
        <v>0</v>
      </c>
      <c r="K1949">
        <v>0</v>
      </c>
      <c r="L1949">
        <v>0</v>
      </c>
      <c r="M1949">
        <v>599</v>
      </c>
    </row>
    <row r="1950" spans="1:13" ht="15">
      <c r="A1950" t="s">
        <v>3688</v>
      </c>
      <c r="B1950" s="1040" t="str">
        <f>CONCATENATE(LEFT(RIGHT(CONCATENATE("000",IFAData_TEA_1819!A1950),6),3),"-",(RIGHT(RIGHT(CONCATENATE("000",IFAData_TEA_1819!A1950),6),3)))</f>
        <v>184-903</v>
      </c>
      <c r="C1950" t="s">
        <v>140</v>
      </c>
      <c r="D1950">
        <v>6</v>
      </c>
      <c r="E1950">
        <v>2439</v>
      </c>
      <c r="F1950" t="s">
        <v>5360</v>
      </c>
      <c r="G1950" t="s">
        <v>5362</v>
      </c>
      <c r="H1950">
        <v>240000</v>
      </c>
      <c r="I1950">
        <v>196451</v>
      </c>
      <c r="J1950">
        <v>3.3855288636192901E-2</v>
      </c>
      <c r="K1950">
        <v>8125.2692726862897</v>
      </c>
      <c r="L1950">
        <v>8125.2692726862897</v>
      </c>
      <c r="M1950">
        <v>599</v>
      </c>
    </row>
    <row r="1951" spans="1:13" ht="15">
      <c r="A1951" t="s">
        <v>3688</v>
      </c>
      <c r="B1951" s="1040" t="str">
        <f>CONCATENATE(LEFT(RIGHT(CONCATENATE("000",IFAData_TEA_1819!A1951),6),3),"-",(RIGHT(RIGHT(CONCATENATE("000",IFAData_TEA_1819!A1951),6),3)))</f>
        <v>184-903</v>
      </c>
      <c r="C1951" t="s">
        <v>140</v>
      </c>
      <c r="D1951">
        <v>6</v>
      </c>
      <c r="E1951">
        <v>2439</v>
      </c>
      <c r="F1951" t="s">
        <v>5360</v>
      </c>
      <c r="G1951" t="s">
        <v>5363</v>
      </c>
      <c r="H1951">
        <v>240000</v>
      </c>
      <c r="I1951">
        <v>0</v>
      </c>
      <c r="J1951">
        <v>0</v>
      </c>
      <c r="K1951">
        <v>0</v>
      </c>
      <c r="L1951">
        <v>0</v>
      </c>
      <c r="M1951">
        <v>599</v>
      </c>
    </row>
    <row r="1952" spans="1:13" ht="15">
      <c r="A1952" t="s">
        <v>3688</v>
      </c>
      <c r="B1952" s="1040" t="str">
        <f>CONCATENATE(LEFT(RIGHT(CONCATENATE("000",IFAData_TEA_1819!A1952),6),3),"-",(RIGHT(RIGHT(CONCATENATE("000",IFAData_TEA_1819!A1952),6),3)))</f>
        <v>184-903</v>
      </c>
      <c r="C1952" t="s">
        <v>140</v>
      </c>
      <c r="D1952">
        <v>6</v>
      </c>
      <c r="E1952">
        <v>2439</v>
      </c>
      <c r="F1952" t="s">
        <v>5360</v>
      </c>
      <c r="G1952" t="s">
        <v>5364</v>
      </c>
      <c r="H1952">
        <v>240000</v>
      </c>
      <c r="I1952">
        <v>226037</v>
      </c>
      <c r="J1952">
        <v>3.8953977721971997E-2</v>
      </c>
      <c r="K1952">
        <v>9348.9546532732893</v>
      </c>
      <c r="L1952">
        <v>9348.9546532732893</v>
      </c>
      <c r="M1952">
        <v>599</v>
      </c>
    </row>
    <row r="1953" spans="1:13" ht="15">
      <c r="A1953" t="s">
        <v>3688</v>
      </c>
      <c r="B1953" s="1040" t="str">
        <f>CONCATENATE(LEFT(RIGHT(CONCATENATE("000",IFAData_TEA_1819!A1953),6),3),"-",(RIGHT(RIGHT(CONCATENATE("000",IFAData_TEA_1819!A1953),6),3)))</f>
        <v>184-903</v>
      </c>
      <c r="C1953" t="s">
        <v>140</v>
      </c>
      <c r="D1953">
        <v>6</v>
      </c>
      <c r="E1953">
        <v>2439</v>
      </c>
      <c r="F1953" t="s">
        <v>5360</v>
      </c>
      <c r="G1953" t="s">
        <v>5365</v>
      </c>
      <c r="H1953">
        <v>240000</v>
      </c>
      <c r="I1953">
        <v>61995</v>
      </c>
      <c r="J1953">
        <v>1.06838785193294E-2</v>
      </c>
      <c r="K1953">
        <v>2564.1308446390499</v>
      </c>
      <c r="L1953">
        <v>2564.1308446390499</v>
      </c>
      <c r="M1953">
        <v>599</v>
      </c>
    </row>
    <row r="1954" spans="1:13" ht="15">
      <c r="A1954" t="s">
        <v>3688</v>
      </c>
      <c r="B1954" s="1040" t="str">
        <f>CONCATENATE(LEFT(RIGHT(CONCATENATE("000",IFAData_TEA_1819!A1954),6),3),"-",(RIGHT(RIGHT(CONCATENATE("000",IFAData_TEA_1819!A1954),6),3)))</f>
        <v>184-903</v>
      </c>
      <c r="C1954" t="s">
        <v>140</v>
      </c>
      <c r="D1954">
        <v>6</v>
      </c>
      <c r="E1954">
        <v>2439</v>
      </c>
      <c r="F1954" t="s">
        <v>5360</v>
      </c>
      <c r="G1954" t="s">
        <v>6526</v>
      </c>
      <c r="H1954">
        <v>240000</v>
      </c>
      <c r="I1954">
        <v>116191</v>
      </c>
      <c r="J1954">
        <v>2.0023720123226101E-2</v>
      </c>
      <c r="K1954">
        <v>4805.69282957426</v>
      </c>
      <c r="L1954">
        <v>4805.69282957426</v>
      </c>
      <c r="M1954">
        <v>599</v>
      </c>
    </row>
    <row r="1955" spans="1:13" ht="15">
      <c r="A1955" t="s">
        <v>3689</v>
      </c>
      <c r="B1955" s="1040" t="str">
        <f>CONCATENATE(LEFT(RIGHT(CONCATENATE("000",IFAData_TEA_1819!A1955),6),3),"-",(RIGHT(RIGHT(CONCATENATE("000",IFAData_TEA_1819!A1955),6),3)))</f>
        <v>184-904</v>
      </c>
      <c r="C1955" t="s">
        <v>2239</v>
      </c>
      <c r="D1955">
        <v>3</v>
      </c>
      <c r="E1955">
        <v>2108</v>
      </c>
      <c r="F1955" t="s">
        <v>5366</v>
      </c>
      <c r="G1955" t="s">
        <v>5366</v>
      </c>
      <c r="H1955">
        <v>166883</v>
      </c>
      <c r="I1955">
        <v>0</v>
      </c>
      <c r="J1955">
        <v>0</v>
      </c>
      <c r="K1955">
        <v>0</v>
      </c>
      <c r="L1955">
        <v>0</v>
      </c>
      <c r="M1955">
        <v>599</v>
      </c>
    </row>
    <row r="1956" spans="1:13" ht="15">
      <c r="A1956" t="s">
        <v>3689</v>
      </c>
      <c r="B1956" s="1040" t="str">
        <f>CONCATENATE(LEFT(RIGHT(CONCATENATE("000",IFAData_TEA_1819!A1956),6),3),"-",(RIGHT(RIGHT(CONCATENATE("000",IFAData_TEA_1819!A1956),6),3)))</f>
        <v>184-904</v>
      </c>
      <c r="C1956" t="s">
        <v>2239</v>
      </c>
      <c r="D1956">
        <v>3</v>
      </c>
      <c r="E1956">
        <v>2108</v>
      </c>
      <c r="F1956" t="s">
        <v>5366</v>
      </c>
      <c r="G1956" t="s">
        <v>5367</v>
      </c>
      <c r="H1956">
        <v>166883</v>
      </c>
      <c r="I1956">
        <v>0</v>
      </c>
      <c r="J1956">
        <v>0</v>
      </c>
      <c r="K1956">
        <v>0</v>
      </c>
      <c r="L1956">
        <v>0</v>
      </c>
      <c r="M1956">
        <v>599</v>
      </c>
    </row>
    <row r="1957" spans="1:13" ht="15">
      <c r="A1957" t="s">
        <v>3689</v>
      </c>
      <c r="B1957" s="1040" t="str">
        <f>CONCATENATE(LEFT(RIGHT(CONCATENATE("000",IFAData_TEA_1819!A1957),6),3),"-",(RIGHT(RIGHT(CONCATENATE("000",IFAData_TEA_1819!A1957),6),3)))</f>
        <v>184-904</v>
      </c>
      <c r="C1957" t="s">
        <v>2239</v>
      </c>
      <c r="D1957">
        <v>3</v>
      </c>
      <c r="E1957">
        <v>2108</v>
      </c>
      <c r="F1957" t="s">
        <v>5366</v>
      </c>
      <c r="G1957" t="s">
        <v>6313</v>
      </c>
      <c r="H1957">
        <v>166883</v>
      </c>
      <c r="I1957">
        <v>472975</v>
      </c>
      <c r="J1957">
        <v>1</v>
      </c>
      <c r="K1957">
        <v>166883</v>
      </c>
      <c r="L1957">
        <v>166883</v>
      </c>
      <c r="M1957">
        <v>599</v>
      </c>
    </row>
    <row r="1958" spans="1:13" ht="15">
      <c r="A1958" t="s">
        <v>3689</v>
      </c>
      <c r="B1958" s="1040" t="str">
        <f>CONCATENATE(LEFT(RIGHT(CONCATENATE("000",IFAData_TEA_1819!A1958),6),3),"-",(RIGHT(RIGHT(CONCATENATE("000",IFAData_TEA_1819!A1958),6),3)))</f>
        <v>184-904</v>
      </c>
      <c r="C1958" t="s">
        <v>2239</v>
      </c>
      <c r="D1958">
        <v>9</v>
      </c>
      <c r="E1958">
        <v>2109</v>
      </c>
      <c r="F1958" t="s">
        <v>5368</v>
      </c>
      <c r="G1958" t="s">
        <v>5368</v>
      </c>
      <c r="H1958">
        <v>193685</v>
      </c>
      <c r="I1958">
        <v>0</v>
      </c>
      <c r="J1958">
        <v>0</v>
      </c>
      <c r="K1958">
        <v>0</v>
      </c>
      <c r="L1958">
        <v>0</v>
      </c>
      <c r="M1958">
        <v>599</v>
      </c>
    </row>
    <row r="1959" spans="1:13" ht="15">
      <c r="A1959" t="s">
        <v>3689</v>
      </c>
      <c r="B1959" s="1040" t="str">
        <f>CONCATENATE(LEFT(RIGHT(CONCATENATE("000",IFAData_TEA_1819!A1959),6),3),"-",(RIGHT(RIGHT(CONCATENATE("000",IFAData_TEA_1819!A1959),6),3)))</f>
        <v>184-904</v>
      </c>
      <c r="C1959" t="s">
        <v>2239</v>
      </c>
      <c r="D1959">
        <v>9</v>
      </c>
      <c r="E1959">
        <v>2109</v>
      </c>
      <c r="F1959" t="s">
        <v>5368</v>
      </c>
      <c r="G1959" t="s">
        <v>6312</v>
      </c>
      <c r="H1959">
        <v>193685</v>
      </c>
      <c r="I1959">
        <v>188600</v>
      </c>
      <c r="J1959">
        <v>0.33487215909090901</v>
      </c>
      <c r="K1959">
        <v>64859.714133522699</v>
      </c>
      <c r="L1959">
        <v>64859.714133522699</v>
      </c>
      <c r="M1959">
        <v>599</v>
      </c>
    </row>
    <row r="1960" spans="1:13" ht="15">
      <c r="A1960" t="s">
        <v>3689</v>
      </c>
      <c r="B1960" s="1040" t="str">
        <f>CONCATENATE(LEFT(RIGHT(CONCATENATE("000",IFAData_TEA_1819!A1960),6),3),"-",(RIGHT(RIGHT(CONCATENATE("000",IFAData_TEA_1819!A1960),6),3)))</f>
        <v>184-904</v>
      </c>
      <c r="C1960" t="s">
        <v>2239</v>
      </c>
      <c r="D1960">
        <v>9</v>
      </c>
      <c r="E1960">
        <v>2109</v>
      </c>
      <c r="F1960" t="s">
        <v>5368</v>
      </c>
      <c r="G1960" t="s">
        <v>6311</v>
      </c>
      <c r="H1960">
        <v>193685</v>
      </c>
      <c r="I1960">
        <v>374600</v>
      </c>
      <c r="J1960">
        <v>0.66512784090909105</v>
      </c>
      <c r="K1960">
        <v>128825.285866477</v>
      </c>
      <c r="L1960">
        <v>128825.285866477</v>
      </c>
      <c r="M1960">
        <v>599</v>
      </c>
    </row>
    <row r="1961" spans="1:13" ht="15">
      <c r="A1961" t="s">
        <v>3690</v>
      </c>
      <c r="B1961" s="1040" t="str">
        <f>CONCATENATE(LEFT(RIGHT(CONCATENATE("000",IFAData_TEA_1819!A1961),6),3),"-",(RIGHT(RIGHT(CONCATENATE("000",IFAData_TEA_1819!A1961),6),3)))</f>
        <v>184-908</v>
      </c>
      <c r="C1961" t="s">
        <v>2593</v>
      </c>
      <c r="D1961">
        <v>6</v>
      </c>
      <c r="E1961">
        <v>2184</v>
      </c>
      <c r="F1961" t="s">
        <v>5369</v>
      </c>
      <c r="G1961" t="s">
        <v>5369</v>
      </c>
      <c r="H1961">
        <v>242636</v>
      </c>
      <c r="I1961">
        <v>0</v>
      </c>
      <c r="J1961">
        <v>0</v>
      </c>
      <c r="K1961">
        <v>0</v>
      </c>
      <c r="L1961">
        <v>0</v>
      </c>
      <c r="M1961">
        <v>599</v>
      </c>
    </row>
    <row r="1962" spans="1:13" ht="15">
      <c r="A1962" t="s">
        <v>3690</v>
      </c>
      <c r="B1962" s="1040" t="str">
        <f>CONCATENATE(LEFT(RIGHT(CONCATENATE("000",IFAData_TEA_1819!A1962),6),3),"-",(RIGHT(RIGHT(CONCATENATE("000",IFAData_TEA_1819!A1962),6),3)))</f>
        <v>184-908</v>
      </c>
      <c r="C1962" t="s">
        <v>2593</v>
      </c>
      <c r="D1962">
        <v>6</v>
      </c>
      <c r="E1962">
        <v>2184</v>
      </c>
      <c r="F1962" t="s">
        <v>5369</v>
      </c>
      <c r="G1962" t="s">
        <v>5370</v>
      </c>
      <c r="H1962">
        <v>242636</v>
      </c>
      <c r="I1962">
        <v>576666</v>
      </c>
      <c r="J1962">
        <v>1</v>
      </c>
      <c r="K1962">
        <v>242636</v>
      </c>
      <c r="L1962">
        <v>242636</v>
      </c>
      <c r="M1962">
        <v>599</v>
      </c>
    </row>
    <row r="1963" spans="1:13" ht="15">
      <c r="A1963" t="s">
        <v>3690</v>
      </c>
      <c r="B1963" s="1040" t="str">
        <f>CONCATENATE(LEFT(RIGHT(CONCATENATE("000",IFAData_TEA_1819!A1963),6),3),"-",(RIGHT(RIGHT(CONCATENATE("000",IFAData_TEA_1819!A1963),6),3)))</f>
        <v>184-908</v>
      </c>
      <c r="C1963" t="s">
        <v>2593</v>
      </c>
      <c r="D1963">
        <v>9</v>
      </c>
      <c r="E1963">
        <v>2183</v>
      </c>
      <c r="F1963" t="s">
        <v>5371</v>
      </c>
      <c r="G1963" t="s">
        <v>5371</v>
      </c>
      <c r="H1963">
        <v>201241</v>
      </c>
      <c r="I1963">
        <v>0</v>
      </c>
      <c r="J1963">
        <v>0</v>
      </c>
      <c r="K1963">
        <v>0</v>
      </c>
      <c r="L1963">
        <v>0</v>
      </c>
      <c r="M1963">
        <v>599</v>
      </c>
    </row>
    <row r="1964" spans="1:13" ht="15">
      <c r="A1964" t="s">
        <v>3690</v>
      </c>
      <c r="B1964" s="1040" t="str">
        <f>CONCATENATE(LEFT(RIGHT(CONCATENATE("000",IFAData_TEA_1819!A1964),6),3),"-",(RIGHT(RIGHT(CONCATENATE("000",IFAData_TEA_1819!A1964),6),3)))</f>
        <v>184-908</v>
      </c>
      <c r="C1964" t="s">
        <v>2593</v>
      </c>
      <c r="D1964">
        <v>9</v>
      </c>
      <c r="E1964">
        <v>2183</v>
      </c>
      <c r="F1964" t="s">
        <v>5371</v>
      </c>
      <c r="G1964" t="s">
        <v>6314</v>
      </c>
      <c r="H1964">
        <v>201241</v>
      </c>
      <c r="I1964">
        <v>234350</v>
      </c>
      <c r="J1964">
        <v>1</v>
      </c>
      <c r="K1964">
        <v>201241</v>
      </c>
      <c r="L1964">
        <v>201241</v>
      </c>
      <c r="M1964">
        <v>599</v>
      </c>
    </row>
    <row r="1965" spans="1:13" ht="15">
      <c r="A1965" t="s">
        <v>3690</v>
      </c>
      <c r="B1965" s="1040" t="str">
        <f>CONCATENATE(LEFT(RIGHT(CONCATENATE("000",IFAData_TEA_1819!A1965),6),3),"-",(RIGHT(RIGHT(CONCATENATE("000",IFAData_TEA_1819!A1965),6),3)))</f>
        <v>184-908</v>
      </c>
      <c r="C1965" t="s">
        <v>2593</v>
      </c>
      <c r="D1965">
        <v>11</v>
      </c>
      <c r="E1965">
        <v>2600</v>
      </c>
      <c r="F1965" t="s">
        <v>8479</v>
      </c>
      <c r="G1965" t="s">
        <v>8479</v>
      </c>
      <c r="H1965">
        <v>188521</v>
      </c>
      <c r="I1965">
        <v>219250</v>
      </c>
      <c r="J1965">
        <v>1</v>
      </c>
      <c r="K1965">
        <v>188521</v>
      </c>
      <c r="L1965">
        <v>188521</v>
      </c>
      <c r="M1965">
        <v>599</v>
      </c>
    </row>
    <row r="1966" spans="1:13" ht="15">
      <c r="A1966" t="s">
        <v>3691</v>
      </c>
      <c r="B1966" s="1040" t="str">
        <f>CONCATENATE(LEFT(RIGHT(CONCATENATE("000",IFAData_TEA_1819!A1966),6),3),"-",(RIGHT(RIGHT(CONCATENATE("000",IFAData_TEA_1819!A1966),6),3)))</f>
        <v>184-909</v>
      </c>
      <c r="C1966" t="s">
        <v>1856</v>
      </c>
      <c r="D1966">
        <v>5</v>
      </c>
      <c r="E1966">
        <v>1634</v>
      </c>
      <c r="F1966" t="s">
        <v>5372</v>
      </c>
      <c r="G1966" t="s">
        <v>5372</v>
      </c>
      <c r="H1966">
        <v>167169</v>
      </c>
      <c r="I1966">
        <v>0</v>
      </c>
      <c r="J1966">
        <v>0</v>
      </c>
      <c r="K1966">
        <v>0</v>
      </c>
      <c r="L1966">
        <v>0</v>
      </c>
      <c r="M1966">
        <v>599</v>
      </c>
    </row>
    <row r="1967" spans="1:13" ht="15">
      <c r="A1967" t="s">
        <v>3691</v>
      </c>
      <c r="B1967" s="1040" t="str">
        <f>CONCATENATE(LEFT(RIGHT(CONCATENATE("000",IFAData_TEA_1819!A1967),6),3),"-",(RIGHT(RIGHT(CONCATENATE("000",IFAData_TEA_1819!A1967),6),3)))</f>
        <v>184-909</v>
      </c>
      <c r="C1967" t="s">
        <v>1856</v>
      </c>
      <c r="D1967">
        <v>5</v>
      </c>
      <c r="E1967">
        <v>1634</v>
      </c>
      <c r="F1967" t="s">
        <v>5372</v>
      </c>
      <c r="G1967" t="s">
        <v>5373</v>
      </c>
      <c r="H1967">
        <v>167169</v>
      </c>
      <c r="I1967">
        <v>225503</v>
      </c>
      <c r="J1967">
        <v>0.90102447717301803</v>
      </c>
      <c r="K1967">
        <v>150623.36082453601</v>
      </c>
      <c r="L1967">
        <v>150623.36082453601</v>
      </c>
      <c r="M1967">
        <v>599</v>
      </c>
    </row>
    <row r="1968" spans="1:13" ht="15">
      <c r="A1968" t="s">
        <v>3691</v>
      </c>
      <c r="B1968" s="1040" t="str">
        <f>CONCATENATE(LEFT(RIGHT(CONCATENATE("000",IFAData_TEA_1819!A1968),6),3),"-",(RIGHT(RIGHT(CONCATENATE("000",IFAData_TEA_1819!A1968),6),3)))</f>
        <v>184-909</v>
      </c>
      <c r="C1968" t="s">
        <v>1856</v>
      </c>
      <c r="D1968">
        <v>5</v>
      </c>
      <c r="E1968">
        <v>1634</v>
      </c>
      <c r="F1968" t="s">
        <v>5372</v>
      </c>
      <c r="G1968" t="s">
        <v>6527</v>
      </c>
      <c r="H1968">
        <v>167169</v>
      </c>
      <c r="I1968">
        <v>24771</v>
      </c>
      <c r="J1968">
        <v>9.8975522826981605E-2</v>
      </c>
      <c r="K1968">
        <v>16545.639175463701</v>
      </c>
      <c r="L1968">
        <v>16545.639175463701</v>
      </c>
      <c r="M1968">
        <v>599</v>
      </c>
    </row>
    <row r="1969" spans="1:13" ht="15">
      <c r="A1969" t="s">
        <v>6784</v>
      </c>
      <c r="B1969" s="1040" t="str">
        <f>CONCATENATE(LEFT(RIGHT(CONCATENATE("000",IFAData_TEA_1819!A1969),6),3),"-",(RIGHT(RIGHT(CONCATENATE("000",IFAData_TEA_1819!A1969),6),3)))</f>
        <v>187-903</v>
      </c>
      <c r="C1969" t="s">
        <v>444</v>
      </c>
      <c r="D1969">
        <v>11</v>
      </c>
      <c r="E1969">
        <v>2524</v>
      </c>
      <c r="F1969" t="s">
        <v>8480</v>
      </c>
      <c r="G1969" t="s">
        <v>8480</v>
      </c>
      <c r="H1969">
        <v>40895</v>
      </c>
      <c r="I1969">
        <v>48588</v>
      </c>
      <c r="J1969">
        <v>1</v>
      </c>
      <c r="K1969">
        <v>40895</v>
      </c>
      <c r="L1969">
        <v>40895</v>
      </c>
      <c r="M1969">
        <v>599</v>
      </c>
    </row>
    <row r="1970" spans="1:13" ht="15">
      <c r="A1970" t="s">
        <v>3692</v>
      </c>
      <c r="B1970" s="1040" t="str">
        <f>CONCATENATE(LEFT(RIGHT(CONCATENATE("000",IFAData_TEA_1819!A1970),6),3),"-",(RIGHT(RIGHT(CONCATENATE("000",IFAData_TEA_1819!A1970),6),3)))</f>
        <v>187-907</v>
      </c>
      <c r="C1970" t="s">
        <v>2226</v>
      </c>
      <c r="D1970">
        <v>1</v>
      </c>
      <c r="E1970">
        <v>2028</v>
      </c>
      <c r="F1970" t="s">
        <v>5374</v>
      </c>
      <c r="G1970" t="s">
        <v>5374</v>
      </c>
      <c r="H1970">
        <v>925000</v>
      </c>
      <c r="I1970">
        <v>0</v>
      </c>
      <c r="J1970">
        <v>0</v>
      </c>
      <c r="K1970">
        <v>0</v>
      </c>
      <c r="L1970">
        <v>0</v>
      </c>
      <c r="M1970">
        <v>599</v>
      </c>
    </row>
    <row r="1971" spans="1:13" ht="15">
      <c r="A1971" t="s">
        <v>3692</v>
      </c>
      <c r="B1971" s="1040" t="str">
        <f>CONCATENATE(LEFT(RIGHT(CONCATENATE("000",IFAData_TEA_1819!A1971),6),3),"-",(RIGHT(RIGHT(CONCATENATE("000",IFAData_TEA_1819!A1971),6),3)))</f>
        <v>187-907</v>
      </c>
      <c r="C1971" t="s">
        <v>2226</v>
      </c>
      <c r="D1971">
        <v>1</v>
      </c>
      <c r="E1971">
        <v>2028</v>
      </c>
      <c r="F1971" t="s">
        <v>5374</v>
      </c>
      <c r="G1971" t="s">
        <v>5375</v>
      </c>
      <c r="H1971">
        <v>925000</v>
      </c>
      <c r="I1971">
        <v>0</v>
      </c>
      <c r="J1971">
        <v>0</v>
      </c>
      <c r="K1971">
        <v>0</v>
      </c>
      <c r="L1971">
        <v>0</v>
      </c>
      <c r="M1971">
        <v>599</v>
      </c>
    </row>
    <row r="1972" spans="1:13" ht="15">
      <c r="A1972" t="s">
        <v>3692</v>
      </c>
      <c r="B1972" s="1040" t="str">
        <f>CONCATENATE(LEFT(RIGHT(CONCATENATE("000",IFAData_TEA_1819!A1972),6),3),"-",(RIGHT(RIGHT(CONCATENATE("000",IFAData_TEA_1819!A1972),6),3)))</f>
        <v>187-907</v>
      </c>
      <c r="C1972" t="s">
        <v>2226</v>
      </c>
      <c r="D1972">
        <v>1</v>
      </c>
      <c r="E1972">
        <v>2028</v>
      </c>
      <c r="F1972" t="s">
        <v>5374</v>
      </c>
      <c r="G1972" t="s">
        <v>6315</v>
      </c>
      <c r="H1972">
        <v>925000</v>
      </c>
      <c r="I1972">
        <v>866600</v>
      </c>
      <c r="J1972">
        <v>1</v>
      </c>
      <c r="K1972">
        <v>925000</v>
      </c>
      <c r="L1972">
        <v>866600</v>
      </c>
      <c r="M1972">
        <v>599</v>
      </c>
    </row>
    <row r="1973" spans="1:13" ht="15">
      <c r="A1973" t="s">
        <v>3692</v>
      </c>
      <c r="B1973" s="1040" t="str">
        <f>CONCATENATE(LEFT(RIGHT(CONCATENATE("000",IFAData_TEA_1819!A1973),6),3),"-",(RIGHT(RIGHT(CONCATENATE("000",IFAData_TEA_1819!A1973),6),3)))</f>
        <v>187-907</v>
      </c>
      <c r="C1973" t="s">
        <v>2226</v>
      </c>
      <c r="D1973">
        <v>9</v>
      </c>
      <c r="E1973">
        <v>2029</v>
      </c>
      <c r="F1973" t="s">
        <v>5376</v>
      </c>
      <c r="G1973" t="s">
        <v>5376</v>
      </c>
      <c r="H1973">
        <v>954000</v>
      </c>
      <c r="I1973">
        <v>0</v>
      </c>
      <c r="J1973">
        <v>0</v>
      </c>
      <c r="K1973">
        <v>0</v>
      </c>
      <c r="L1973">
        <v>0</v>
      </c>
      <c r="M1973">
        <v>599</v>
      </c>
    </row>
    <row r="1974" spans="1:13" ht="15">
      <c r="A1974" t="s">
        <v>3692</v>
      </c>
      <c r="B1974" s="1040" t="str">
        <f>CONCATENATE(LEFT(RIGHT(CONCATENATE("000",IFAData_TEA_1819!A1974),6),3),"-",(RIGHT(RIGHT(CONCATENATE("000",IFAData_TEA_1819!A1974),6),3)))</f>
        <v>187-907</v>
      </c>
      <c r="C1974" t="s">
        <v>2226</v>
      </c>
      <c r="D1974">
        <v>9</v>
      </c>
      <c r="E1974">
        <v>2029</v>
      </c>
      <c r="F1974" t="s">
        <v>5376</v>
      </c>
      <c r="G1974" t="s">
        <v>6528</v>
      </c>
      <c r="H1974">
        <v>954000</v>
      </c>
      <c r="I1974">
        <v>554463</v>
      </c>
      <c r="J1974">
        <v>0.193352619902316</v>
      </c>
      <c r="K1974">
        <v>184458.39938680999</v>
      </c>
      <c r="L1974">
        <v>184458.39938680999</v>
      </c>
      <c r="M1974">
        <v>599</v>
      </c>
    </row>
    <row r="1975" spans="1:13" ht="15">
      <c r="A1975" t="s">
        <v>3692</v>
      </c>
      <c r="B1975" s="1040" t="str">
        <f>CONCATENATE(LEFT(RIGHT(CONCATENATE("000",IFAData_TEA_1819!A1975),6),3),"-",(RIGHT(RIGHT(CONCATENATE("000",IFAData_TEA_1819!A1975),6),3)))</f>
        <v>187-907</v>
      </c>
      <c r="C1975" t="s">
        <v>2226</v>
      </c>
      <c r="D1975">
        <v>9</v>
      </c>
      <c r="E1975">
        <v>2029</v>
      </c>
      <c r="F1975" t="s">
        <v>5376</v>
      </c>
      <c r="G1975" t="s">
        <v>8481</v>
      </c>
      <c r="H1975">
        <v>954000</v>
      </c>
      <c r="I1975">
        <v>2313163</v>
      </c>
      <c r="J1975">
        <v>0.806647380097684</v>
      </c>
      <c r="K1975">
        <v>769541.60061318998</v>
      </c>
      <c r="L1975">
        <v>769541.60061318998</v>
      </c>
      <c r="M1975">
        <v>599</v>
      </c>
    </row>
    <row r="1976" spans="1:13" ht="15">
      <c r="A1976" t="s">
        <v>3693</v>
      </c>
      <c r="B1976" s="1040" t="str">
        <f>CONCATENATE(LEFT(RIGHT(CONCATENATE("000",IFAData_TEA_1819!A1976),6),3),"-",(RIGHT(RIGHT(CONCATENATE("000",IFAData_TEA_1819!A1976),6),3)))</f>
        <v>188-901</v>
      </c>
      <c r="C1976" t="s">
        <v>1054</v>
      </c>
      <c r="D1976">
        <v>1</v>
      </c>
      <c r="E1976">
        <v>1571</v>
      </c>
      <c r="F1976" t="s">
        <v>5377</v>
      </c>
      <c r="G1976" t="s">
        <v>5377</v>
      </c>
      <c r="H1976">
        <v>2142810</v>
      </c>
      <c r="I1976">
        <v>0</v>
      </c>
      <c r="J1976">
        <v>0</v>
      </c>
      <c r="K1976"/>
      <c r="L1976">
        <v>0</v>
      </c>
      <c r="M1976">
        <v>599</v>
      </c>
    </row>
    <row r="1977" spans="1:13" ht="15">
      <c r="A1977" t="s">
        <v>3693</v>
      </c>
      <c r="B1977" s="1040" t="str">
        <f>CONCATENATE(LEFT(RIGHT(CONCATENATE("000",IFAData_TEA_1819!A1977),6),3),"-",(RIGHT(RIGHT(CONCATENATE("000",IFAData_TEA_1819!A1977),6),3)))</f>
        <v>188-901</v>
      </c>
      <c r="C1977" t="s">
        <v>1054</v>
      </c>
      <c r="D1977">
        <v>11</v>
      </c>
      <c r="E1977">
        <v>2579</v>
      </c>
      <c r="F1977" t="s">
        <v>8482</v>
      </c>
      <c r="G1977" t="s">
        <v>8482</v>
      </c>
      <c r="H1977">
        <v>2787250</v>
      </c>
      <c r="I1977">
        <v>2787250</v>
      </c>
      <c r="J1977">
        <v>1</v>
      </c>
      <c r="K1977">
        <v>2787250</v>
      </c>
      <c r="L1977">
        <v>2787250</v>
      </c>
      <c r="M1977">
        <v>599</v>
      </c>
    </row>
    <row r="1978" spans="1:13" ht="15">
      <c r="A1978" t="s">
        <v>3693</v>
      </c>
      <c r="B1978" s="1040" t="str">
        <f>CONCATENATE(LEFT(RIGHT(CONCATENATE("000",IFAData_TEA_1819!A1978),6),3),"-",(RIGHT(RIGHT(CONCATENATE("000",IFAData_TEA_1819!A1978),6),3)))</f>
        <v>188-901</v>
      </c>
      <c r="C1978" t="s">
        <v>1054</v>
      </c>
      <c r="D1978">
        <v>11</v>
      </c>
      <c r="E1978">
        <v>2580</v>
      </c>
      <c r="F1978" t="s">
        <v>8483</v>
      </c>
      <c r="G1978" t="s">
        <v>8483</v>
      </c>
      <c r="H1978">
        <v>1025288</v>
      </c>
      <c r="I1978">
        <v>1025288</v>
      </c>
      <c r="J1978">
        <v>1</v>
      </c>
      <c r="K1978">
        <v>1025288</v>
      </c>
      <c r="L1978">
        <v>1025288</v>
      </c>
      <c r="M1978">
        <v>599</v>
      </c>
    </row>
    <row r="1979" spans="1:13" ht="15">
      <c r="A1979" t="s">
        <v>3694</v>
      </c>
      <c r="B1979" s="1040" t="str">
        <f>CONCATENATE(LEFT(RIGHT(CONCATENATE("000",IFAData_TEA_1819!A1979),6),3),"-",(RIGHT(RIGHT(CONCATENATE("000",IFAData_TEA_1819!A1979),6),3)))</f>
        <v>188-902</v>
      </c>
      <c r="C1979" t="s">
        <v>2696</v>
      </c>
      <c r="D1979">
        <v>1</v>
      </c>
      <c r="E1979">
        <v>2249</v>
      </c>
      <c r="F1979" t="s">
        <v>5380</v>
      </c>
      <c r="G1979" t="s">
        <v>5380</v>
      </c>
      <c r="H1979">
        <v>331772</v>
      </c>
      <c r="I1979">
        <v>0</v>
      </c>
      <c r="J1979">
        <v>0</v>
      </c>
      <c r="K1979"/>
      <c r="L1979">
        <v>0</v>
      </c>
      <c r="M1979">
        <v>599</v>
      </c>
    </row>
    <row r="1980" spans="1:13" ht="15">
      <c r="A1980" t="s">
        <v>3695</v>
      </c>
      <c r="B1980" s="1040" t="str">
        <f>CONCATENATE(LEFT(RIGHT(CONCATENATE("000",IFAData_TEA_1819!A1980),6),3),"-",(RIGHT(RIGHT(CONCATENATE("000",IFAData_TEA_1819!A1980),6),3)))</f>
        <v>189-901</v>
      </c>
      <c r="C1980" t="s">
        <v>292</v>
      </c>
      <c r="D1980">
        <v>6</v>
      </c>
      <c r="E1980">
        <v>2064</v>
      </c>
      <c r="F1980" t="s">
        <v>5382</v>
      </c>
      <c r="G1980" t="s">
        <v>5382</v>
      </c>
      <c r="H1980">
        <v>141412</v>
      </c>
      <c r="I1980">
        <v>0</v>
      </c>
      <c r="J1980">
        <v>0</v>
      </c>
      <c r="K1980">
        <v>0</v>
      </c>
      <c r="L1980">
        <v>0</v>
      </c>
      <c r="M1980">
        <v>599</v>
      </c>
    </row>
    <row r="1981" spans="1:13" ht="15">
      <c r="A1981" t="s">
        <v>3695</v>
      </c>
      <c r="B1981" s="1040" t="str">
        <f>CONCATENATE(LEFT(RIGHT(CONCATENATE("000",IFAData_TEA_1819!A1981),6),3),"-",(RIGHT(RIGHT(CONCATENATE("000",IFAData_TEA_1819!A1981),6),3)))</f>
        <v>189-901</v>
      </c>
      <c r="C1981" t="s">
        <v>292</v>
      </c>
      <c r="D1981">
        <v>6</v>
      </c>
      <c r="E1981">
        <v>2064</v>
      </c>
      <c r="F1981" t="s">
        <v>5382</v>
      </c>
      <c r="G1981" t="s">
        <v>5383</v>
      </c>
      <c r="H1981">
        <v>141412</v>
      </c>
      <c r="I1981">
        <v>0</v>
      </c>
      <c r="J1981">
        <v>0</v>
      </c>
      <c r="K1981">
        <v>0</v>
      </c>
      <c r="L1981">
        <v>0</v>
      </c>
      <c r="M1981">
        <v>599</v>
      </c>
    </row>
    <row r="1982" spans="1:13" ht="15">
      <c r="A1982" t="s">
        <v>3695</v>
      </c>
      <c r="B1982" s="1040" t="str">
        <f>CONCATENATE(LEFT(RIGHT(CONCATENATE("000",IFAData_TEA_1819!A1982),6),3),"-",(RIGHT(RIGHT(CONCATENATE("000",IFAData_TEA_1819!A1982),6),3)))</f>
        <v>189-901</v>
      </c>
      <c r="C1982" t="s">
        <v>292</v>
      </c>
      <c r="D1982">
        <v>6</v>
      </c>
      <c r="E1982">
        <v>2064</v>
      </c>
      <c r="F1982" t="s">
        <v>5382</v>
      </c>
      <c r="G1982" t="s">
        <v>6316</v>
      </c>
      <c r="H1982">
        <v>141412</v>
      </c>
      <c r="I1982">
        <v>162750</v>
      </c>
      <c r="J1982">
        <v>1</v>
      </c>
      <c r="K1982">
        <v>141412</v>
      </c>
      <c r="L1982">
        <v>141412</v>
      </c>
      <c r="M1982">
        <v>599</v>
      </c>
    </row>
    <row r="1983" spans="1:13" ht="15">
      <c r="A1983" t="s">
        <v>3695</v>
      </c>
      <c r="B1983" s="1040" t="str">
        <f>CONCATENATE(LEFT(RIGHT(CONCATENATE("000",IFAData_TEA_1819!A1983),6),3),"-",(RIGHT(RIGHT(CONCATENATE("000",IFAData_TEA_1819!A1983),6),3)))</f>
        <v>189-901</v>
      </c>
      <c r="C1983" t="s">
        <v>292</v>
      </c>
      <c r="D1983">
        <v>9</v>
      </c>
      <c r="E1983">
        <v>2063</v>
      </c>
      <c r="F1983" t="s">
        <v>5384</v>
      </c>
      <c r="G1983" t="s">
        <v>5384</v>
      </c>
      <c r="H1983">
        <v>100000</v>
      </c>
      <c r="I1983">
        <v>0</v>
      </c>
      <c r="J1983">
        <v>0</v>
      </c>
      <c r="K1983">
        <v>0</v>
      </c>
      <c r="L1983">
        <v>0</v>
      </c>
      <c r="M1983">
        <v>599</v>
      </c>
    </row>
    <row r="1984" spans="1:13" ht="15">
      <c r="A1984" t="s">
        <v>3695</v>
      </c>
      <c r="B1984" s="1040" t="str">
        <f>CONCATENATE(LEFT(RIGHT(CONCATENATE("000",IFAData_TEA_1819!A1984),6),3),"-",(RIGHT(RIGHT(CONCATENATE("000",IFAData_TEA_1819!A1984),6),3)))</f>
        <v>189-901</v>
      </c>
      <c r="C1984" t="s">
        <v>292</v>
      </c>
      <c r="D1984">
        <v>9</v>
      </c>
      <c r="E1984">
        <v>2063</v>
      </c>
      <c r="F1984" t="s">
        <v>5384</v>
      </c>
      <c r="G1984" t="s">
        <v>6316</v>
      </c>
      <c r="H1984">
        <v>100000</v>
      </c>
      <c r="I1984">
        <v>150210</v>
      </c>
      <c r="J1984">
        <v>1</v>
      </c>
      <c r="K1984">
        <v>100000</v>
      </c>
      <c r="L1984">
        <v>100000</v>
      </c>
      <c r="M1984">
        <v>599</v>
      </c>
    </row>
    <row r="1985" spans="1:13" ht="15">
      <c r="A1985" t="s">
        <v>3696</v>
      </c>
      <c r="B1985" s="1040" t="str">
        <f>CONCATENATE(LEFT(RIGHT(CONCATENATE("000",IFAData_TEA_1819!A1985),6),3),"-",(RIGHT(RIGHT(CONCATENATE("000",IFAData_TEA_1819!A1985),6),3)))</f>
        <v>189-902</v>
      </c>
      <c r="C1985" t="s">
        <v>2103</v>
      </c>
      <c r="D1985">
        <v>2</v>
      </c>
      <c r="E1985">
        <v>2210</v>
      </c>
      <c r="F1985" t="s">
        <v>5385</v>
      </c>
      <c r="G1985" t="s">
        <v>5385</v>
      </c>
      <c r="H1985">
        <v>292085</v>
      </c>
      <c r="I1985">
        <v>750</v>
      </c>
      <c r="J1985">
        <v>3.3178500331785001E-3</v>
      </c>
      <c r="K1985">
        <v>969.09422694094201</v>
      </c>
      <c r="L1985">
        <v>750</v>
      </c>
      <c r="M1985">
        <v>599</v>
      </c>
    </row>
    <row r="1986" spans="1:13" ht="15">
      <c r="A1986" t="s">
        <v>3696</v>
      </c>
      <c r="B1986" s="1040" t="str">
        <f>CONCATENATE(LEFT(RIGHT(CONCATENATE("000",IFAData_TEA_1819!A1986),6),3),"-",(RIGHT(RIGHT(CONCATENATE("000",IFAData_TEA_1819!A1986),6),3)))</f>
        <v>189-902</v>
      </c>
      <c r="C1986" t="s">
        <v>2103</v>
      </c>
      <c r="D1986">
        <v>2</v>
      </c>
      <c r="E1986">
        <v>2210</v>
      </c>
      <c r="F1986" t="s">
        <v>5385</v>
      </c>
      <c r="G1986" t="s">
        <v>5386</v>
      </c>
      <c r="H1986">
        <v>292085</v>
      </c>
      <c r="I1986">
        <v>0</v>
      </c>
      <c r="J1986">
        <v>0</v>
      </c>
      <c r="K1986">
        <v>0</v>
      </c>
      <c r="L1986">
        <v>0</v>
      </c>
      <c r="M1986">
        <v>599</v>
      </c>
    </row>
    <row r="1987" spans="1:13" ht="15">
      <c r="A1987" t="s">
        <v>3696</v>
      </c>
      <c r="B1987" s="1040" t="str">
        <f>CONCATENATE(LEFT(RIGHT(CONCATENATE("000",IFAData_TEA_1819!A1987),6),3),"-",(RIGHT(RIGHT(CONCATENATE("000",IFAData_TEA_1819!A1987),6),3)))</f>
        <v>189-902</v>
      </c>
      <c r="C1987" t="s">
        <v>2103</v>
      </c>
      <c r="D1987">
        <v>2</v>
      </c>
      <c r="E1987">
        <v>2210</v>
      </c>
      <c r="F1987" t="s">
        <v>5385</v>
      </c>
      <c r="G1987" t="s">
        <v>8484</v>
      </c>
      <c r="H1987">
        <v>292085</v>
      </c>
      <c r="I1987">
        <v>225300</v>
      </c>
      <c r="J1987">
        <v>0.99668214996682103</v>
      </c>
      <c r="K1987">
        <v>291115.905773059</v>
      </c>
      <c r="L1987">
        <v>225300</v>
      </c>
      <c r="M1987">
        <v>599</v>
      </c>
    </row>
    <row r="1988" spans="1:13" ht="15">
      <c r="A1988" t="s">
        <v>3696</v>
      </c>
      <c r="B1988" s="1040" t="str">
        <f>CONCATENATE(LEFT(RIGHT(CONCATENATE("000",IFAData_TEA_1819!A1988),6),3),"-",(RIGHT(RIGHT(CONCATENATE("000",IFAData_TEA_1819!A1988),6),3)))</f>
        <v>189-902</v>
      </c>
      <c r="C1988" t="s">
        <v>2103</v>
      </c>
      <c r="D1988">
        <v>4</v>
      </c>
      <c r="E1988">
        <v>2211</v>
      </c>
      <c r="F1988" t="s">
        <v>5387</v>
      </c>
      <c r="G1988" t="s">
        <v>5387</v>
      </c>
      <c r="H1988">
        <v>333511</v>
      </c>
      <c r="I1988">
        <v>0</v>
      </c>
      <c r="J1988">
        <v>0</v>
      </c>
      <c r="K1988">
        <v>0</v>
      </c>
      <c r="L1988">
        <v>0</v>
      </c>
      <c r="M1988">
        <v>599</v>
      </c>
    </row>
    <row r="1989" spans="1:13" ht="15">
      <c r="A1989" t="s">
        <v>3696</v>
      </c>
      <c r="B1989" s="1040" t="str">
        <f>CONCATENATE(LEFT(RIGHT(CONCATENATE("000",IFAData_TEA_1819!A1989),6),3),"-",(RIGHT(RIGHT(CONCATENATE("000",IFAData_TEA_1819!A1989),6),3)))</f>
        <v>189-902</v>
      </c>
      <c r="C1989" t="s">
        <v>2103</v>
      </c>
      <c r="D1989">
        <v>4</v>
      </c>
      <c r="E1989">
        <v>2211</v>
      </c>
      <c r="F1989" t="s">
        <v>5387</v>
      </c>
      <c r="G1989" t="s">
        <v>5386</v>
      </c>
      <c r="H1989">
        <v>333511</v>
      </c>
      <c r="I1989">
        <v>0</v>
      </c>
      <c r="J1989">
        <v>0</v>
      </c>
      <c r="K1989">
        <v>0</v>
      </c>
      <c r="L1989">
        <v>0</v>
      </c>
      <c r="M1989">
        <v>599</v>
      </c>
    </row>
    <row r="1990" spans="1:13" ht="15">
      <c r="A1990" t="s">
        <v>3696</v>
      </c>
      <c r="B1990" s="1040" t="str">
        <f>CONCATENATE(LEFT(RIGHT(CONCATENATE("000",IFAData_TEA_1819!A1990),6),3),"-",(RIGHT(RIGHT(CONCATENATE("000",IFAData_TEA_1819!A1990),6),3)))</f>
        <v>189-902</v>
      </c>
      <c r="C1990" t="s">
        <v>2103</v>
      </c>
      <c r="D1990">
        <v>4</v>
      </c>
      <c r="E1990">
        <v>2211</v>
      </c>
      <c r="F1990" t="s">
        <v>5387</v>
      </c>
      <c r="G1990" t="s">
        <v>8484</v>
      </c>
      <c r="H1990">
        <v>333511</v>
      </c>
      <c r="I1990">
        <v>222021</v>
      </c>
      <c r="J1990">
        <v>1</v>
      </c>
      <c r="K1990">
        <v>333511</v>
      </c>
      <c r="L1990">
        <v>222021</v>
      </c>
      <c r="M1990">
        <v>599</v>
      </c>
    </row>
    <row r="1991" spans="1:13" ht="15">
      <c r="A1991" t="s">
        <v>3697</v>
      </c>
      <c r="B1991" s="1040" t="str">
        <f>CONCATENATE(LEFT(RIGHT(CONCATENATE("000",IFAData_TEA_1819!A1991),6),3),"-",(RIGHT(RIGHT(CONCATENATE("000",IFAData_TEA_1819!A1991),6),3)))</f>
        <v>194-903</v>
      </c>
      <c r="C1991" t="s">
        <v>2697</v>
      </c>
      <c r="D1991">
        <v>3</v>
      </c>
      <c r="E1991">
        <v>2251</v>
      </c>
      <c r="F1991" t="s">
        <v>5388</v>
      </c>
      <c r="G1991" t="s">
        <v>5388</v>
      </c>
      <c r="H1991">
        <v>172500</v>
      </c>
      <c r="I1991">
        <v>0</v>
      </c>
      <c r="J1991">
        <v>0</v>
      </c>
      <c r="K1991">
        <v>0</v>
      </c>
      <c r="L1991">
        <v>0</v>
      </c>
      <c r="M1991">
        <v>599</v>
      </c>
    </row>
    <row r="1992" spans="1:13" ht="15">
      <c r="A1992" t="s">
        <v>3697</v>
      </c>
      <c r="B1992" s="1040" t="str">
        <f>CONCATENATE(LEFT(RIGHT(CONCATENATE("000",IFAData_TEA_1819!A1992),6),3),"-",(RIGHT(RIGHT(CONCATENATE("000",IFAData_TEA_1819!A1992),6),3)))</f>
        <v>194-903</v>
      </c>
      <c r="C1992" t="s">
        <v>2697</v>
      </c>
      <c r="D1992">
        <v>3</v>
      </c>
      <c r="E1992">
        <v>2251</v>
      </c>
      <c r="F1992" t="s">
        <v>5388</v>
      </c>
      <c r="G1992" t="s">
        <v>5389</v>
      </c>
      <c r="H1992">
        <v>172500</v>
      </c>
      <c r="I1992">
        <v>0</v>
      </c>
      <c r="J1992">
        <v>0</v>
      </c>
      <c r="K1992">
        <v>0</v>
      </c>
      <c r="L1992">
        <v>0</v>
      </c>
      <c r="M1992">
        <v>599</v>
      </c>
    </row>
    <row r="1993" spans="1:13" ht="15">
      <c r="A1993" t="s">
        <v>3697</v>
      </c>
      <c r="B1993" s="1040" t="str">
        <f>CONCATENATE(LEFT(RIGHT(CONCATENATE("000",IFAData_TEA_1819!A1993),6),3),"-",(RIGHT(RIGHT(CONCATENATE("000",IFAData_TEA_1819!A1993),6),3)))</f>
        <v>194-903</v>
      </c>
      <c r="C1993" t="s">
        <v>2697</v>
      </c>
      <c r="D1993">
        <v>3</v>
      </c>
      <c r="E1993">
        <v>2251</v>
      </c>
      <c r="F1993" t="s">
        <v>5388</v>
      </c>
      <c r="G1993" t="s">
        <v>6317</v>
      </c>
      <c r="H1993">
        <v>172500</v>
      </c>
      <c r="I1993">
        <v>245080</v>
      </c>
      <c r="J1993">
        <v>1</v>
      </c>
      <c r="K1993">
        <v>172500</v>
      </c>
      <c r="L1993">
        <v>172500</v>
      </c>
      <c r="M1993">
        <v>599</v>
      </c>
    </row>
    <row r="1994" spans="1:13" ht="15">
      <c r="A1994" t="s">
        <v>3697</v>
      </c>
      <c r="B1994" s="1040" t="str">
        <f>CONCATENATE(LEFT(RIGHT(CONCATENATE("000",IFAData_TEA_1819!A1994),6),3),"-",(RIGHT(RIGHT(CONCATENATE("000",IFAData_TEA_1819!A1994),6),3)))</f>
        <v>194-903</v>
      </c>
      <c r="C1994" t="s">
        <v>2697</v>
      </c>
      <c r="D1994">
        <v>5</v>
      </c>
      <c r="E1994">
        <v>2250</v>
      </c>
      <c r="F1994" t="s">
        <v>5390</v>
      </c>
      <c r="G1994" t="s">
        <v>5390</v>
      </c>
      <c r="H1994">
        <v>166474</v>
      </c>
      <c r="I1994">
        <v>0</v>
      </c>
      <c r="J1994">
        <v>0</v>
      </c>
      <c r="K1994">
        <v>0</v>
      </c>
      <c r="L1994">
        <v>0</v>
      </c>
      <c r="M1994">
        <v>599</v>
      </c>
    </row>
    <row r="1995" spans="1:13" ht="15">
      <c r="A1995" t="s">
        <v>3697</v>
      </c>
      <c r="B1995" s="1040" t="str">
        <f>CONCATENATE(LEFT(RIGHT(CONCATENATE("000",IFAData_TEA_1819!A1995),6),3),"-",(RIGHT(RIGHT(CONCATENATE("000",IFAData_TEA_1819!A1995),6),3)))</f>
        <v>194-903</v>
      </c>
      <c r="C1995" t="s">
        <v>2697</v>
      </c>
      <c r="D1995">
        <v>5</v>
      </c>
      <c r="E1995">
        <v>2250</v>
      </c>
      <c r="F1995" t="s">
        <v>5390</v>
      </c>
      <c r="G1995" t="s">
        <v>5391</v>
      </c>
      <c r="H1995">
        <v>166474</v>
      </c>
      <c r="I1995">
        <v>0</v>
      </c>
      <c r="J1995">
        <v>0</v>
      </c>
      <c r="K1995">
        <v>0</v>
      </c>
      <c r="L1995">
        <v>0</v>
      </c>
      <c r="M1995">
        <v>599</v>
      </c>
    </row>
    <row r="1996" spans="1:13" ht="15">
      <c r="A1996" t="s">
        <v>3697</v>
      </c>
      <c r="B1996" s="1040" t="str">
        <f>CONCATENATE(LEFT(RIGHT(CONCATENATE("000",IFAData_TEA_1819!A1996),6),3),"-",(RIGHT(RIGHT(CONCATENATE("000",IFAData_TEA_1819!A1996),6),3)))</f>
        <v>194-903</v>
      </c>
      <c r="C1996" t="s">
        <v>2697</v>
      </c>
      <c r="D1996">
        <v>5</v>
      </c>
      <c r="E1996">
        <v>2250</v>
      </c>
      <c r="F1996" t="s">
        <v>5390</v>
      </c>
      <c r="G1996" t="s">
        <v>8541</v>
      </c>
      <c r="H1996">
        <v>166474</v>
      </c>
      <c r="I1996">
        <v>184200</v>
      </c>
      <c r="J1996">
        <v>1</v>
      </c>
      <c r="K1996">
        <v>166474</v>
      </c>
      <c r="L1996">
        <v>166474</v>
      </c>
      <c r="M1996">
        <v>599</v>
      </c>
    </row>
    <row r="1997" spans="1:13" ht="15">
      <c r="A1997" t="s">
        <v>3698</v>
      </c>
      <c r="B1997" s="1040" t="str">
        <f>CONCATENATE(LEFT(RIGHT(CONCATENATE("000",IFAData_TEA_1819!A1997),6),3),"-",(RIGHT(RIGHT(CONCATENATE("000",IFAData_TEA_1819!A1997),6),3)))</f>
        <v>194-905</v>
      </c>
      <c r="C1997" t="s">
        <v>2668</v>
      </c>
      <c r="D1997">
        <v>4</v>
      </c>
      <c r="E1997">
        <v>1753</v>
      </c>
      <c r="F1997" t="s">
        <v>5392</v>
      </c>
      <c r="G1997" t="s">
        <v>5392</v>
      </c>
      <c r="H1997">
        <v>109658</v>
      </c>
      <c r="I1997">
        <v>0</v>
      </c>
      <c r="J1997">
        <v>0</v>
      </c>
      <c r="K1997">
        <v>0</v>
      </c>
      <c r="L1997">
        <v>0</v>
      </c>
      <c r="M1997">
        <v>599</v>
      </c>
    </row>
    <row r="1998" spans="1:13" ht="15">
      <c r="A1998" t="s">
        <v>3698</v>
      </c>
      <c r="B1998" s="1040" t="str">
        <f>CONCATENATE(LEFT(RIGHT(CONCATENATE("000",IFAData_TEA_1819!A1998),6),3),"-",(RIGHT(RIGHT(CONCATENATE("000",IFAData_TEA_1819!A1998),6),3)))</f>
        <v>194-905</v>
      </c>
      <c r="C1998" t="s">
        <v>2668</v>
      </c>
      <c r="D1998">
        <v>4</v>
      </c>
      <c r="E1998">
        <v>1753</v>
      </c>
      <c r="F1998" t="s">
        <v>5392</v>
      </c>
      <c r="G1998" t="s">
        <v>5393</v>
      </c>
      <c r="H1998">
        <v>109658</v>
      </c>
      <c r="I1998">
        <v>0</v>
      </c>
      <c r="J1998">
        <v>0</v>
      </c>
      <c r="K1998">
        <v>0</v>
      </c>
      <c r="L1998">
        <v>0</v>
      </c>
      <c r="M1998">
        <v>599</v>
      </c>
    </row>
    <row r="1999" spans="1:13" ht="15">
      <c r="A1999" t="s">
        <v>3698</v>
      </c>
      <c r="B1999" s="1040" t="str">
        <f>CONCATENATE(LEFT(RIGHT(CONCATENATE("000",IFAData_TEA_1819!A1999),6),3),"-",(RIGHT(RIGHT(CONCATENATE("000",IFAData_TEA_1819!A1999),6),3)))</f>
        <v>194-905</v>
      </c>
      <c r="C1999" t="s">
        <v>2668</v>
      </c>
      <c r="D1999">
        <v>4</v>
      </c>
      <c r="E1999">
        <v>1753</v>
      </c>
      <c r="F1999" t="s">
        <v>5392</v>
      </c>
      <c r="G1999" t="s">
        <v>8542</v>
      </c>
      <c r="H1999">
        <v>109658</v>
      </c>
      <c r="I1999">
        <v>76393</v>
      </c>
      <c r="J1999">
        <v>1</v>
      </c>
      <c r="K1999">
        <v>109658</v>
      </c>
      <c r="L1999">
        <v>76393</v>
      </c>
      <c r="M1999">
        <v>599</v>
      </c>
    </row>
    <row r="2000" spans="1:13" ht="15">
      <c r="A2000" t="s">
        <v>3698</v>
      </c>
      <c r="B2000" s="1040" t="str">
        <f>CONCATENATE(LEFT(RIGHT(CONCATENATE("000",IFAData_TEA_1819!A2000),6),3),"-",(RIGHT(RIGHT(CONCATENATE("000",IFAData_TEA_1819!A2000),6),3)))</f>
        <v>194-905</v>
      </c>
      <c r="C2000" t="s">
        <v>2668</v>
      </c>
      <c r="D2000">
        <v>8</v>
      </c>
      <c r="E2000">
        <v>1755</v>
      </c>
      <c r="F2000" t="s">
        <v>5394</v>
      </c>
      <c r="G2000" t="s">
        <v>5394</v>
      </c>
      <c r="H2000">
        <v>116500</v>
      </c>
      <c r="I2000">
        <v>0</v>
      </c>
      <c r="J2000">
        <v>0</v>
      </c>
      <c r="K2000">
        <v>0</v>
      </c>
      <c r="L2000">
        <v>0</v>
      </c>
      <c r="M2000">
        <v>599</v>
      </c>
    </row>
    <row r="2001" spans="1:13" ht="15">
      <c r="A2001" t="s">
        <v>3698</v>
      </c>
      <c r="B2001" s="1040" t="str">
        <f>CONCATENATE(LEFT(RIGHT(CONCATENATE("000",IFAData_TEA_1819!A2001),6),3),"-",(RIGHT(RIGHT(CONCATENATE("000",IFAData_TEA_1819!A2001),6),3)))</f>
        <v>194-905</v>
      </c>
      <c r="C2001" t="s">
        <v>2668</v>
      </c>
      <c r="D2001">
        <v>8</v>
      </c>
      <c r="E2001">
        <v>1755</v>
      </c>
      <c r="F2001" t="s">
        <v>5394</v>
      </c>
      <c r="G2001" t="s">
        <v>6529</v>
      </c>
      <c r="H2001">
        <v>116500</v>
      </c>
      <c r="I2001">
        <v>106200</v>
      </c>
      <c r="J2001">
        <v>1</v>
      </c>
      <c r="K2001">
        <v>116500</v>
      </c>
      <c r="L2001">
        <v>106200</v>
      </c>
      <c r="M2001">
        <v>599</v>
      </c>
    </row>
    <row r="2002" spans="1:13" ht="15">
      <c r="A2002" t="s">
        <v>3698</v>
      </c>
      <c r="B2002" s="1040" t="str">
        <f>CONCATENATE(LEFT(RIGHT(CONCATENATE("000",IFAData_TEA_1819!A2002),6),3),"-",(RIGHT(RIGHT(CONCATENATE("000",IFAData_TEA_1819!A2002),6),3)))</f>
        <v>194-905</v>
      </c>
      <c r="C2002" t="s">
        <v>2668</v>
      </c>
      <c r="D2002">
        <v>9</v>
      </c>
      <c r="E2002">
        <v>1754</v>
      </c>
      <c r="F2002" t="s">
        <v>5393</v>
      </c>
      <c r="G2002" t="s">
        <v>5393</v>
      </c>
      <c r="H2002">
        <v>115000</v>
      </c>
      <c r="I2002">
        <v>0</v>
      </c>
      <c r="J2002">
        <v>0</v>
      </c>
      <c r="K2002">
        <v>0</v>
      </c>
      <c r="L2002">
        <v>0</v>
      </c>
      <c r="M2002">
        <v>599</v>
      </c>
    </row>
    <row r="2003" spans="1:13" ht="15">
      <c r="A2003" t="s">
        <v>3698</v>
      </c>
      <c r="B2003" s="1040" t="str">
        <f>CONCATENATE(LEFT(RIGHT(CONCATENATE("000",IFAData_TEA_1819!A2003),6),3),"-",(RIGHT(RIGHT(CONCATENATE("000",IFAData_TEA_1819!A2003),6),3)))</f>
        <v>194-905</v>
      </c>
      <c r="C2003" t="s">
        <v>2668</v>
      </c>
      <c r="D2003">
        <v>9</v>
      </c>
      <c r="E2003">
        <v>1754</v>
      </c>
      <c r="F2003" t="s">
        <v>5393</v>
      </c>
      <c r="G2003" t="s">
        <v>8542</v>
      </c>
      <c r="H2003">
        <v>115000</v>
      </c>
      <c r="I2003">
        <v>154810</v>
      </c>
      <c r="J2003">
        <v>1</v>
      </c>
      <c r="K2003">
        <v>115000</v>
      </c>
      <c r="L2003">
        <v>115000</v>
      </c>
      <c r="M2003">
        <v>599</v>
      </c>
    </row>
    <row r="2004" spans="1:13" ht="15">
      <c r="A2004" t="s">
        <v>3699</v>
      </c>
      <c r="B2004" s="1040" t="str">
        <f>CONCATENATE(LEFT(RIGHT(CONCATENATE("000",IFAData_TEA_1819!A2004),6),3),"-",(RIGHT(RIGHT(CONCATENATE("000",IFAData_TEA_1819!A2004),6),3)))</f>
        <v>195-902</v>
      </c>
      <c r="C2004" t="s">
        <v>2120</v>
      </c>
      <c r="D2004">
        <v>5</v>
      </c>
      <c r="E2004">
        <v>1590</v>
      </c>
      <c r="F2004" t="s">
        <v>5395</v>
      </c>
      <c r="G2004" t="s">
        <v>5395</v>
      </c>
      <c r="H2004">
        <v>100000</v>
      </c>
      <c r="I2004">
        <v>0</v>
      </c>
      <c r="J2004">
        <v>0</v>
      </c>
      <c r="K2004">
        <v>0</v>
      </c>
      <c r="L2004">
        <v>0</v>
      </c>
      <c r="M2004">
        <v>599</v>
      </c>
    </row>
    <row r="2005" spans="1:13" ht="15">
      <c r="A2005" t="s">
        <v>3699</v>
      </c>
      <c r="B2005" s="1040" t="str">
        <f>CONCATENATE(LEFT(RIGHT(CONCATENATE("000",IFAData_TEA_1819!A2005),6),3),"-",(RIGHT(RIGHT(CONCATENATE("000",IFAData_TEA_1819!A2005),6),3)))</f>
        <v>195-902</v>
      </c>
      <c r="C2005" t="s">
        <v>2120</v>
      </c>
      <c r="D2005">
        <v>5</v>
      </c>
      <c r="E2005">
        <v>1590</v>
      </c>
      <c r="F2005" t="s">
        <v>5395</v>
      </c>
      <c r="G2005" t="s">
        <v>5396</v>
      </c>
      <c r="H2005">
        <v>100000</v>
      </c>
      <c r="I2005">
        <v>97488</v>
      </c>
      <c r="J2005">
        <v>1</v>
      </c>
      <c r="K2005">
        <v>100000</v>
      </c>
      <c r="L2005">
        <v>97488</v>
      </c>
      <c r="M2005">
        <v>599</v>
      </c>
    </row>
    <row r="2006" spans="1:13" ht="15">
      <c r="A2006" t="s">
        <v>3700</v>
      </c>
      <c r="B2006" s="1040" t="str">
        <f>CONCATENATE(LEFT(RIGHT(CONCATENATE("000",IFAData_TEA_1819!A2006),6),3),"-",(RIGHT(RIGHT(CONCATENATE("000",IFAData_TEA_1819!A2006),6),3)))</f>
        <v>199-902</v>
      </c>
      <c r="C2006" t="s">
        <v>613</v>
      </c>
      <c r="D2006">
        <v>5</v>
      </c>
      <c r="E2006">
        <v>2270</v>
      </c>
      <c r="F2006" t="s">
        <v>5397</v>
      </c>
      <c r="G2006" t="s">
        <v>5397</v>
      </c>
      <c r="H2006">
        <v>491500</v>
      </c>
      <c r="I2006">
        <v>0</v>
      </c>
      <c r="J2006">
        <v>0</v>
      </c>
      <c r="K2006">
        <v>0</v>
      </c>
      <c r="L2006">
        <v>0</v>
      </c>
      <c r="M2006">
        <v>599</v>
      </c>
    </row>
    <row r="2007" spans="1:13" ht="15">
      <c r="A2007" t="s">
        <v>3700</v>
      </c>
      <c r="B2007" s="1040" t="str">
        <f>CONCATENATE(LEFT(RIGHT(CONCATENATE("000",IFAData_TEA_1819!A2007),6),3),"-",(RIGHT(RIGHT(CONCATENATE("000",IFAData_TEA_1819!A2007),6),3)))</f>
        <v>199-902</v>
      </c>
      <c r="C2007" t="s">
        <v>613</v>
      </c>
      <c r="D2007">
        <v>5</v>
      </c>
      <c r="E2007">
        <v>2270</v>
      </c>
      <c r="F2007" t="s">
        <v>5397</v>
      </c>
      <c r="G2007" t="s">
        <v>5398</v>
      </c>
      <c r="H2007">
        <v>491500</v>
      </c>
      <c r="I2007">
        <v>708016</v>
      </c>
      <c r="J2007">
        <v>0.86087671259526599</v>
      </c>
      <c r="K2007">
        <v>423120.904240573</v>
      </c>
      <c r="L2007">
        <v>423120.904240573</v>
      </c>
      <c r="M2007">
        <v>599</v>
      </c>
    </row>
    <row r="2008" spans="1:13" ht="15">
      <c r="A2008" t="s">
        <v>3700</v>
      </c>
      <c r="B2008" s="1040" t="str">
        <f>CONCATENATE(LEFT(RIGHT(CONCATENATE("000",IFAData_TEA_1819!A2008),6),3),"-",(RIGHT(RIGHT(CONCATENATE("000",IFAData_TEA_1819!A2008),6),3)))</f>
        <v>199-902</v>
      </c>
      <c r="C2008" t="s">
        <v>613</v>
      </c>
      <c r="D2008">
        <v>5</v>
      </c>
      <c r="E2008">
        <v>2270</v>
      </c>
      <c r="F2008" t="s">
        <v>5397</v>
      </c>
      <c r="G2008" t="s">
        <v>5399</v>
      </c>
      <c r="H2008">
        <v>491500</v>
      </c>
      <c r="I2008">
        <v>0</v>
      </c>
      <c r="J2008">
        <v>0</v>
      </c>
      <c r="K2008">
        <v>0</v>
      </c>
      <c r="L2008">
        <v>0</v>
      </c>
      <c r="M2008">
        <v>599</v>
      </c>
    </row>
    <row r="2009" spans="1:13" ht="15">
      <c r="A2009" t="s">
        <v>3700</v>
      </c>
      <c r="B2009" s="1040" t="str">
        <f>CONCATENATE(LEFT(RIGHT(CONCATENATE("000",IFAData_TEA_1819!A2009),6),3),"-",(RIGHT(RIGHT(CONCATENATE("000",IFAData_TEA_1819!A2009),6),3)))</f>
        <v>199-902</v>
      </c>
      <c r="C2009" t="s">
        <v>613</v>
      </c>
      <c r="D2009">
        <v>5</v>
      </c>
      <c r="E2009">
        <v>2270</v>
      </c>
      <c r="F2009" t="s">
        <v>5397</v>
      </c>
      <c r="G2009" t="s">
        <v>8485</v>
      </c>
      <c r="H2009">
        <v>491500</v>
      </c>
      <c r="I2009">
        <v>58092</v>
      </c>
      <c r="J2009">
        <v>7.0634067574862999E-2</v>
      </c>
      <c r="K2009">
        <v>34716.644213045103</v>
      </c>
      <c r="L2009">
        <v>34716.644213045103</v>
      </c>
      <c r="M2009">
        <v>599</v>
      </c>
    </row>
    <row r="2010" spans="1:13" ht="15">
      <c r="A2010" t="s">
        <v>3700</v>
      </c>
      <c r="B2010" s="1040" t="str">
        <f>CONCATENATE(LEFT(RIGHT(CONCATENATE("000",IFAData_TEA_1819!A2010),6),3),"-",(RIGHT(RIGHT(CONCATENATE("000",IFAData_TEA_1819!A2010),6),3)))</f>
        <v>199-902</v>
      </c>
      <c r="C2010" t="s">
        <v>613</v>
      </c>
      <c r="D2010">
        <v>5</v>
      </c>
      <c r="E2010">
        <v>2270</v>
      </c>
      <c r="F2010" t="s">
        <v>5397</v>
      </c>
      <c r="G2010" t="s">
        <v>8543</v>
      </c>
      <c r="H2010">
        <v>491500</v>
      </c>
      <c r="I2010">
        <v>56328</v>
      </c>
      <c r="J2010">
        <v>6.8489219829871301E-2</v>
      </c>
      <c r="K2010">
        <v>33662.451546381701</v>
      </c>
      <c r="L2010">
        <v>33662.451546381701</v>
      </c>
      <c r="M2010">
        <v>599</v>
      </c>
    </row>
    <row r="2011" spans="1:13" ht="15">
      <c r="A2011" t="s">
        <v>3700</v>
      </c>
      <c r="B2011" s="1040" t="str">
        <f>CONCATENATE(LEFT(RIGHT(CONCATENATE("000",IFAData_TEA_1819!A2011),6),3),"-",(RIGHT(RIGHT(CONCATENATE("000",IFAData_TEA_1819!A2011),6),3)))</f>
        <v>199-902</v>
      </c>
      <c r="C2011" t="s">
        <v>613</v>
      </c>
      <c r="D2011">
        <v>9</v>
      </c>
      <c r="E2011">
        <v>2271</v>
      </c>
      <c r="F2011" t="s">
        <v>5400</v>
      </c>
      <c r="G2011" t="s">
        <v>5400</v>
      </c>
      <c r="H2011">
        <v>523367</v>
      </c>
      <c r="I2011">
        <v>0</v>
      </c>
      <c r="J2011">
        <v>0</v>
      </c>
      <c r="K2011">
        <v>0</v>
      </c>
      <c r="L2011">
        <v>0</v>
      </c>
      <c r="M2011">
        <v>599</v>
      </c>
    </row>
    <row r="2012" spans="1:13" ht="15">
      <c r="A2012" t="s">
        <v>3700</v>
      </c>
      <c r="B2012" s="1040" t="str">
        <f>CONCATENATE(LEFT(RIGHT(CONCATENATE("000",IFAData_TEA_1819!A2012),6),3),"-",(RIGHT(RIGHT(CONCATENATE("000",IFAData_TEA_1819!A2012),6),3)))</f>
        <v>199-902</v>
      </c>
      <c r="C2012" t="s">
        <v>613</v>
      </c>
      <c r="D2012">
        <v>9</v>
      </c>
      <c r="E2012">
        <v>2271</v>
      </c>
      <c r="F2012" t="s">
        <v>5400</v>
      </c>
      <c r="G2012" t="s">
        <v>6318</v>
      </c>
      <c r="H2012">
        <v>523367</v>
      </c>
      <c r="I2012">
        <v>751872</v>
      </c>
      <c r="J2012">
        <v>1</v>
      </c>
      <c r="K2012">
        <v>523367</v>
      </c>
      <c r="L2012">
        <v>523367</v>
      </c>
      <c r="M2012">
        <v>599</v>
      </c>
    </row>
    <row r="2013" spans="1:13" ht="15">
      <c r="A2013" t="s">
        <v>3701</v>
      </c>
      <c r="B2013" s="1040" t="str">
        <f>CONCATENATE(LEFT(RIGHT(CONCATENATE("000",IFAData_TEA_1819!A2013),6),3),"-",(RIGHT(RIGHT(CONCATENATE("000",IFAData_TEA_1819!A2013),6),3)))</f>
        <v>200-902</v>
      </c>
      <c r="C2013" t="s">
        <v>2237</v>
      </c>
      <c r="D2013">
        <v>4</v>
      </c>
      <c r="E2013">
        <v>2105</v>
      </c>
      <c r="F2013" t="s">
        <v>5401</v>
      </c>
      <c r="G2013" t="s">
        <v>5401</v>
      </c>
      <c r="H2013">
        <v>116481</v>
      </c>
      <c r="I2013">
        <v>0</v>
      </c>
      <c r="J2013">
        <v>0</v>
      </c>
      <c r="K2013">
        <v>0</v>
      </c>
      <c r="L2013">
        <v>0</v>
      </c>
      <c r="M2013">
        <v>599</v>
      </c>
    </row>
    <row r="2014" spans="1:13" ht="15">
      <c r="A2014" t="s">
        <v>3701</v>
      </c>
      <c r="B2014" s="1040" t="str">
        <f>CONCATENATE(LEFT(RIGHT(CONCATENATE("000",IFAData_TEA_1819!A2014),6),3),"-",(RIGHT(RIGHT(CONCATENATE("000",IFAData_TEA_1819!A2014),6),3)))</f>
        <v>200-902</v>
      </c>
      <c r="C2014" t="s">
        <v>2237</v>
      </c>
      <c r="D2014">
        <v>4</v>
      </c>
      <c r="E2014">
        <v>2105</v>
      </c>
      <c r="F2014" t="s">
        <v>5401</v>
      </c>
      <c r="G2014" t="s">
        <v>5402</v>
      </c>
      <c r="H2014">
        <v>116481</v>
      </c>
      <c r="I2014">
        <v>101205</v>
      </c>
      <c r="J2014">
        <v>1</v>
      </c>
      <c r="K2014">
        <v>116481</v>
      </c>
      <c r="L2014">
        <v>101205</v>
      </c>
      <c r="M2014">
        <v>599</v>
      </c>
    </row>
    <row r="2015" spans="1:13" ht="15">
      <c r="A2015" t="s">
        <v>3701</v>
      </c>
      <c r="B2015" s="1040" t="str">
        <f>CONCATENATE(LEFT(RIGHT(CONCATENATE("000",IFAData_TEA_1819!A2015),6),3),"-",(RIGHT(RIGHT(CONCATENATE("000",IFAData_TEA_1819!A2015),6),3)))</f>
        <v>200-902</v>
      </c>
      <c r="C2015" t="s">
        <v>2237</v>
      </c>
      <c r="D2015">
        <v>11</v>
      </c>
      <c r="E2015">
        <v>2565</v>
      </c>
      <c r="F2015" t="s">
        <v>8486</v>
      </c>
      <c r="G2015" t="s">
        <v>8486</v>
      </c>
      <c r="H2015">
        <v>100000</v>
      </c>
      <c r="I2015">
        <v>405125</v>
      </c>
      <c r="J2015">
        <v>1</v>
      </c>
      <c r="K2015">
        <v>100000</v>
      </c>
      <c r="L2015">
        <v>100000</v>
      </c>
      <c r="M2015">
        <v>599</v>
      </c>
    </row>
    <row r="2016" spans="1:13" ht="15">
      <c r="A2016" t="s">
        <v>5403</v>
      </c>
      <c r="B2016" s="1040" t="str">
        <f>CONCATENATE(LEFT(RIGHT(CONCATENATE("000",IFAData_TEA_1819!A2016),6),3),"-",(RIGHT(RIGHT(CONCATENATE("000",IFAData_TEA_1819!A2016),6),3)))</f>
        <v>200-904</v>
      </c>
      <c r="C2016" t="s">
        <v>1129</v>
      </c>
      <c r="D2016">
        <v>2</v>
      </c>
      <c r="E2016">
        <v>2459</v>
      </c>
      <c r="F2016" t="s">
        <v>5404</v>
      </c>
      <c r="G2016" t="s">
        <v>5404</v>
      </c>
      <c r="H2016">
        <v>177666</v>
      </c>
      <c r="I2016">
        <v>0</v>
      </c>
      <c r="J2016">
        <v>0</v>
      </c>
      <c r="K2016"/>
      <c r="L2016">
        <v>0</v>
      </c>
      <c r="M2016">
        <v>199</v>
      </c>
    </row>
    <row r="2017" spans="1:13" ht="15">
      <c r="A2017" t="s">
        <v>3702</v>
      </c>
      <c r="B2017" s="1040" t="str">
        <f>CONCATENATE(LEFT(RIGHT(CONCATENATE("000",IFAData_TEA_1819!A2017),6),3),"-",(RIGHT(RIGHT(CONCATENATE("000",IFAData_TEA_1819!A2017),6),3)))</f>
        <v>200-906</v>
      </c>
      <c r="C2017" t="s">
        <v>262</v>
      </c>
      <c r="D2017">
        <v>4</v>
      </c>
      <c r="E2017">
        <v>2158</v>
      </c>
      <c r="F2017" t="s">
        <v>5405</v>
      </c>
      <c r="G2017" t="s">
        <v>5405</v>
      </c>
      <c r="H2017">
        <v>100000</v>
      </c>
      <c r="I2017">
        <v>0</v>
      </c>
      <c r="J2017">
        <v>0</v>
      </c>
      <c r="K2017">
        <v>0</v>
      </c>
      <c r="L2017">
        <v>0</v>
      </c>
      <c r="M2017">
        <v>599</v>
      </c>
    </row>
    <row r="2018" spans="1:13" ht="15">
      <c r="A2018" t="s">
        <v>3702</v>
      </c>
      <c r="B2018" s="1040" t="str">
        <f>CONCATENATE(LEFT(RIGHT(CONCATENATE("000",IFAData_TEA_1819!A2018),6),3),"-",(RIGHT(RIGHT(CONCATENATE("000",IFAData_TEA_1819!A2018),6),3)))</f>
        <v>200-906</v>
      </c>
      <c r="C2018" t="s">
        <v>262</v>
      </c>
      <c r="D2018">
        <v>4</v>
      </c>
      <c r="E2018">
        <v>2158</v>
      </c>
      <c r="F2018" t="s">
        <v>5405</v>
      </c>
      <c r="G2018" t="s">
        <v>5406</v>
      </c>
      <c r="H2018">
        <v>100000</v>
      </c>
      <c r="I2018">
        <v>85075</v>
      </c>
      <c r="J2018">
        <v>1</v>
      </c>
      <c r="K2018">
        <v>100000</v>
      </c>
      <c r="L2018">
        <v>85075</v>
      </c>
      <c r="M2018">
        <v>599</v>
      </c>
    </row>
    <row r="2019" spans="1:13" ht="15">
      <c r="A2019" t="s">
        <v>5407</v>
      </c>
      <c r="B2019" s="1040" t="str">
        <f>CONCATENATE(LEFT(RIGHT(CONCATENATE("000",IFAData_TEA_1819!A2019),6),3),"-",(RIGHT(RIGHT(CONCATENATE("000",IFAData_TEA_1819!A2019),6),3)))</f>
        <v>201-907</v>
      </c>
      <c r="C2019" t="s">
        <v>2153</v>
      </c>
      <c r="D2019">
        <v>5</v>
      </c>
      <c r="E2019">
        <v>2122</v>
      </c>
      <c r="F2019" t="s">
        <v>5408</v>
      </c>
      <c r="G2019" t="s">
        <v>5408</v>
      </c>
      <c r="H2019">
        <v>59747</v>
      </c>
      <c r="I2019">
        <v>0</v>
      </c>
      <c r="J2019">
        <v>0</v>
      </c>
      <c r="K2019"/>
      <c r="L2019">
        <v>0</v>
      </c>
      <c r="M2019">
        <v>199</v>
      </c>
    </row>
    <row r="2020" spans="1:13" ht="15">
      <c r="A2020" t="s">
        <v>3703</v>
      </c>
      <c r="B2020" s="1040" t="str">
        <f>CONCATENATE(LEFT(RIGHT(CONCATENATE("000",IFAData_TEA_1819!A2020),6),3),"-",(RIGHT(RIGHT(CONCATENATE("000",IFAData_TEA_1819!A2020),6),3)))</f>
        <v>201-908</v>
      </c>
      <c r="C2020" t="s">
        <v>1362</v>
      </c>
      <c r="D2020">
        <v>5</v>
      </c>
      <c r="E2020">
        <v>2167</v>
      </c>
      <c r="F2020" t="s">
        <v>5409</v>
      </c>
      <c r="G2020" t="s">
        <v>5409</v>
      </c>
      <c r="H2020">
        <v>112110</v>
      </c>
      <c r="I2020">
        <v>0</v>
      </c>
      <c r="J2020">
        <v>0</v>
      </c>
      <c r="K2020">
        <v>0</v>
      </c>
      <c r="L2020">
        <v>0</v>
      </c>
      <c r="M2020">
        <v>599</v>
      </c>
    </row>
    <row r="2021" spans="1:13" ht="15">
      <c r="A2021" t="s">
        <v>3703</v>
      </c>
      <c r="B2021" s="1040" t="str">
        <f>CONCATENATE(LEFT(RIGHT(CONCATENATE("000",IFAData_TEA_1819!A2021),6),3),"-",(RIGHT(RIGHT(CONCATENATE("000",IFAData_TEA_1819!A2021),6),3)))</f>
        <v>201-908</v>
      </c>
      <c r="C2021" t="s">
        <v>1362</v>
      </c>
      <c r="D2021">
        <v>5</v>
      </c>
      <c r="E2021">
        <v>2167</v>
      </c>
      <c r="F2021" t="s">
        <v>5409</v>
      </c>
      <c r="G2021" t="s">
        <v>6319</v>
      </c>
      <c r="H2021">
        <v>112110</v>
      </c>
      <c r="I2021">
        <v>116101</v>
      </c>
      <c r="J2021">
        <v>1</v>
      </c>
      <c r="K2021">
        <v>112110</v>
      </c>
      <c r="L2021">
        <v>112110</v>
      </c>
      <c r="M2021">
        <v>599</v>
      </c>
    </row>
    <row r="2022" spans="1:13" ht="15">
      <c r="A2022" t="s">
        <v>3703</v>
      </c>
      <c r="B2022" s="1040" t="str">
        <f>CONCATENATE(LEFT(RIGHT(CONCATENATE("000",IFAData_TEA_1819!A2022),6),3),"-",(RIGHT(RIGHT(CONCATENATE("000",IFAData_TEA_1819!A2022),6),3)))</f>
        <v>201-908</v>
      </c>
      <c r="C2022" t="s">
        <v>1362</v>
      </c>
      <c r="D2022">
        <v>8</v>
      </c>
      <c r="E2022">
        <v>2169</v>
      </c>
      <c r="F2022" t="s">
        <v>5410</v>
      </c>
      <c r="G2022" t="s">
        <v>5410</v>
      </c>
      <c r="H2022">
        <v>126133</v>
      </c>
      <c r="I2022">
        <v>0</v>
      </c>
      <c r="J2022">
        <v>0</v>
      </c>
      <c r="K2022">
        <v>0</v>
      </c>
      <c r="L2022">
        <v>0</v>
      </c>
      <c r="M2022">
        <v>599</v>
      </c>
    </row>
    <row r="2023" spans="1:13" ht="15">
      <c r="A2023" t="s">
        <v>3703</v>
      </c>
      <c r="B2023" s="1040" t="str">
        <f>CONCATENATE(LEFT(RIGHT(CONCATENATE("000",IFAData_TEA_1819!A2023),6),3),"-",(RIGHT(RIGHT(CONCATENATE("000",IFAData_TEA_1819!A2023),6),3)))</f>
        <v>201-908</v>
      </c>
      <c r="C2023" t="s">
        <v>1362</v>
      </c>
      <c r="D2023">
        <v>8</v>
      </c>
      <c r="E2023">
        <v>2169</v>
      </c>
      <c r="F2023" t="s">
        <v>5410</v>
      </c>
      <c r="G2023" t="s">
        <v>6530</v>
      </c>
      <c r="H2023">
        <v>126133</v>
      </c>
      <c r="I2023">
        <v>109331</v>
      </c>
      <c r="J2023">
        <v>1</v>
      </c>
      <c r="K2023">
        <v>126133</v>
      </c>
      <c r="L2023">
        <v>109331</v>
      </c>
      <c r="M2023">
        <v>599</v>
      </c>
    </row>
    <row r="2024" spans="1:13" ht="15">
      <c r="A2024" t="s">
        <v>3703</v>
      </c>
      <c r="B2024" s="1040" t="str">
        <f>CONCATENATE(LEFT(RIGHT(CONCATENATE("000",IFAData_TEA_1819!A2024),6),3),"-",(RIGHT(RIGHT(CONCATENATE("000",IFAData_TEA_1819!A2024),6),3)))</f>
        <v>201-908</v>
      </c>
      <c r="C2024" t="s">
        <v>1362</v>
      </c>
      <c r="D2024">
        <v>10</v>
      </c>
      <c r="E2024">
        <v>2168</v>
      </c>
      <c r="F2024" t="s">
        <v>5411</v>
      </c>
      <c r="G2024" t="s">
        <v>5411</v>
      </c>
      <c r="H2024">
        <v>123590</v>
      </c>
      <c r="I2024">
        <v>100000</v>
      </c>
      <c r="J2024">
        <v>0.330449609739011</v>
      </c>
      <c r="K2024">
        <v>40840.267267644398</v>
      </c>
      <c r="L2024">
        <v>40840.267267644398</v>
      </c>
      <c r="M2024">
        <v>599</v>
      </c>
    </row>
    <row r="2025" spans="1:13" ht="15">
      <c r="A2025" t="s">
        <v>3703</v>
      </c>
      <c r="B2025" s="1040" t="str">
        <f>CONCATENATE(LEFT(RIGHT(CONCATENATE("000",IFAData_TEA_1819!A2025),6),3),"-",(RIGHT(RIGHT(CONCATENATE("000",IFAData_TEA_1819!A2025),6),3)))</f>
        <v>201-908</v>
      </c>
      <c r="C2025" t="s">
        <v>1362</v>
      </c>
      <c r="D2025">
        <v>10</v>
      </c>
      <c r="E2025">
        <v>2168</v>
      </c>
      <c r="F2025" t="s">
        <v>5411</v>
      </c>
      <c r="G2025" t="s">
        <v>8487</v>
      </c>
      <c r="H2025">
        <v>123590</v>
      </c>
      <c r="I2025">
        <v>202618</v>
      </c>
      <c r="J2025">
        <v>0.66955039026098895</v>
      </c>
      <c r="K2025">
        <v>82749.732732355595</v>
      </c>
      <c r="L2025">
        <v>82749.732732355595</v>
      </c>
      <c r="M2025">
        <v>599</v>
      </c>
    </row>
    <row r="2026" spans="1:13" ht="15">
      <c r="A2026" t="s">
        <v>3704</v>
      </c>
      <c r="B2026" s="1040" t="str">
        <f>CONCATENATE(LEFT(RIGHT(CONCATENATE("000",IFAData_TEA_1819!A2026),6),3),"-",(RIGHT(RIGHT(CONCATENATE("000",IFAData_TEA_1819!A2026),6),3)))</f>
        <v>201-913</v>
      </c>
      <c r="C2026" t="s">
        <v>654</v>
      </c>
      <c r="D2026">
        <v>4</v>
      </c>
      <c r="E2026">
        <v>1663</v>
      </c>
      <c r="F2026" t="s">
        <v>5412</v>
      </c>
      <c r="G2026" t="s">
        <v>5412</v>
      </c>
      <c r="H2026">
        <v>113895</v>
      </c>
      <c r="I2026">
        <v>0</v>
      </c>
      <c r="J2026">
        <v>0</v>
      </c>
      <c r="K2026">
        <v>0</v>
      </c>
      <c r="L2026">
        <v>0</v>
      </c>
      <c r="M2026">
        <v>599</v>
      </c>
    </row>
    <row r="2027" spans="1:13" ht="15">
      <c r="A2027" t="s">
        <v>3704</v>
      </c>
      <c r="B2027" s="1040" t="str">
        <f>CONCATENATE(LEFT(RIGHT(CONCATENATE("000",IFAData_TEA_1819!A2027),6),3),"-",(RIGHT(RIGHT(CONCATENATE("000",IFAData_TEA_1819!A2027),6),3)))</f>
        <v>201-913</v>
      </c>
      <c r="C2027" t="s">
        <v>654</v>
      </c>
      <c r="D2027">
        <v>4</v>
      </c>
      <c r="E2027">
        <v>1663</v>
      </c>
      <c r="F2027" t="s">
        <v>5412</v>
      </c>
      <c r="G2027" t="s">
        <v>5413</v>
      </c>
      <c r="H2027">
        <v>113895</v>
      </c>
      <c r="I2027">
        <v>95181</v>
      </c>
      <c r="J2027">
        <v>1</v>
      </c>
      <c r="K2027">
        <v>113895</v>
      </c>
      <c r="L2027">
        <v>95181</v>
      </c>
      <c r="M2027">
        <v>599</v>
      </c>
    </row>
    <row r="2028" spans="1:13" ht="15">
      <c r="A2028" t="s">
        <v>3704</v>
      </c>
      <c r="B2028" s="1040" t="str">
        <f>CONCATENATE(LEFT(RIGHT(CONCATENATE("000",IFAData_TEA_1819!A2028),6),3),"-",(RIGHT(RIGHT(CONCATENATE("000",IFAData_TEA_1819!A2028),6),3)))</f>
        <v>201-913</v>
      </c>
      <c r="C2028" t="s">
        <v>654</v>
      </c>
      <c r="D2028">
        <v>8</v>
      </c>
      <c r="E2028">
        <v>1664</v>
      </c>
      <c r="F2028" t="s">
        <v>5414</v>
      </c>
      <c r="G2028" t="s">
        <v>5414</v>
      </c>
      <c r="H2028">
        <v>134790</v>
      </c>
      <c r="I2028">
        <v>0</v>
      </c>
      <c r="J2028">
        <v>0</v>
      </c>
      <c r="K2028">
        <v>0</v>
      </c>
      <c r="L2028">
        <v>0</v>
      </c>
      <c r="M2028">
        <v>599</v>
      </c>
    </row>
    <row r="2029" spans="1:13" ht="15">
      <c r="A2029" t="s">
        <v>3704</v>
      </c>
      <c r="B2029" s="1040" t="str">
        <f>CONCATENATE(LEFT(RIGHT(CONCATENATE("000",IFAData_TEA_1819!A2029),6),3),"-",(RIGHT(RIGHT(CONCATENATE("000",IFAData_TEA_1819!A2029),6),3)))</f>
        <v>201-913</v>
      </c>
      <c r="C2029" t="s">
        <v>654</v>
      </c>
      <c r="D2029">
        <v>8</v>
      </c>
      <c r="E2029">
        <v>1664</v>
      </c>
      <c r="F2029" t="s">
        <v>5414</v>
      </c>
      <c r="G2029" t="s">
        <v>6531</v>
      </c>
      <c r="H2029">
        <v>134790</v>
      </c>
      <c r="I2029">
        <v>104450</v>
      </c>
      <c r="J2029">
        <v>1</v>
      </c>
      <c r="K2029">
        <v>134790</v>
      </c>
      <c r="L2029">
        <v>104450</v>
      </c>
      <c r="M2029">
        <v>599</v>
      </c>
    </row>
    <row r="2030" spans="1:13" ht="15">
      <c r="A2030" t="s">
        <v>3704</v>
      </c>
      <c r="B2030" s="1040" t="str">
        <f>CONCATENATE(LEFT(RIGHT(CONCATENATE("000",IFAData_TEA_1819!A2030),6),3),"-",(RIGHT(RIGHT(CONCATENATE("000",IFAData_TEA_1819!A2030),6),3)))</f>
        <v>201-913</v>
      </c>
      <c r="C2030" t="s">
        <v>654</v>
      </c>
      <c r="D2030">
        <v>11</v>
      </c>
      <c r="E2030">
        <v>2495</v>
      </c>
      <c r="F2030" t="s">
        <v>8488</v>
      </c>
      <c r="G2030" t="s">
        <v>8488</v>
      </c>
      <c r="H2030">
        <v>94075</v>
      </c>
      <c r="I2030">
        <v>94075</v>
      </c>
      <c r="J2030">
        <v>1</v>
      </c>
      <c r="K2030">
        <v>94075</v>
      </c>
      <c r="L2030">
        <v>94075</v>
      </c>
      <c r="M2030">
        <v>599</v>
      </c>
    </row>
    <row r="2031" spans="1:13" ht="15">
      <c r="A2031" t="s">
        <v>3704</v>
      </c>
      <c r="B2031" s="1040" t="str">
        <f>CONCATENATE(LEFT(RIGHT(CONCATENATE("000",IFAData_TEA_1819!A2031),6),3),"-",(RIGHT(RIGHT(CONCATENATE("000",IFAData_TEA_1819!A2031),6),3)))</f>
        <v>201-913</v>
      </c>
      <c r="C2031" t="s">
        <v>654</v>
      </c>
      <c r="D2031">
        <v>11</v>
      </c>
      <c r="E2031">
        <v>2496</v>
      </c>
      <c r="F2031" t="s">
        <v>8489</v>
      </c>
      <c r="G2031" t="s">
        <v>8489</v>
      </c>
      <c r="H2031">
        <v>52893</v>
      </c>
      <c r="I2031">
        <v>389786</v>
      </c>
      <c r="J2031">
        <v>1</v>
      </c>
      <c r="K2031">
        <v>52893</v>
      </c>
      <c r="L2031">
        <v>52893</v>
      </c>
      <c r="M2031">
        <v>599</v>
      </c>
    </row>
    <row r="2032" spans="1:13" ht="15">
      <c r="A2032" t="s">
        <v>3705</v>
      </c>
      <c r="B2032" s="1040" t="str">
        <f>CONCATENATE(LEFT(RIGHT(CONCATENATE("000",IFAData_TEA_1819!A2032),6),3),"-",(RIGHT(RIGHT(CONCATENATE("000",IFAData_TEA_1819!A2032),6),3)))</f>
        <v>202-905</v>
      </c>
      <c r="C2032" t="s">
        <v>1530</v>
      </c>
      <c r="D2032">
        <v>9</v>
      </c>
      <c r="E2032">
        <v>2446</v>
      </c>
      <c r="F2032" t="s">
        <v>5415</v>
      </c>
      <c r="G2032" t="s">
        <v>5415</v>
      </c>
      <c r="H2032">
        <v>142579</v>
      </c>
      <c r="I2032">
        <v>0</v>
      </c>
      <c r="J2032">
        <v>0</v>
      </c>
      <c r="K2032">
        <v>0</v>
      </c>
      <c r="L2032">
        <v>0</v>
      </c>
      <c r="M2032">
        <v>599</v>
      </c>
    </row>
    <row r="2033" spans="1:13" ht="15">
      <c r="A2033" t="s">
        <v>3705</v>
      </c>
      <c r="B2033" s="1040" t="str">
        <f>CONCATENATE(LEFT(RIGHT(CONCATENATE("000",IFAData_TEA_1819!A2033),6),3),"-",(RIGHT(RIGHT(CONCATENATE("000",IFAData_TEA_1819!A2033),6),3)))</f>
        <v>202-905</v>
      </c>
      <c r="C2033" t="s">
        <v>1530</v>
      </c>
      <c r="D2033">
        <v>9</v>
      </c>
      <c r="E2033">
        <v>2446</v>
      </c>
      <c r="F2033" t="s">
        <v>5415</v>
      </c>
      <c r="G2033" t="s">
        <v>6320</v>
      </c>
      <c r="H2033">
        <v>142579</v>
      </c>
      <c r="I2033">
        <v>559925</v>
      </c>
      <c r="J2033">
        <v>1</v>
      </c>
      <c r="K2033">
        <v>142579</v>
      </c>
      <c r="L2033">
        <v>142579</v>
      </c>
      <c r="M2033">
        <v>599</v>
      </c>
    </row>
    <row r="2034" spans="1:13" ht="15">
      <c r="A2034" t="s">
        <v>3706</v>
      </c>
      <c r="B2034" s="1040" t="str">
        <f>CONCATENATE(LEFT(RIGHT(CONCATENATE("000",IFAData_TEA_1819!A2034),6),3),"-",(RIGHT(RIGHT(CONCATENATE("000",IFAData_TEA_1819!A2034),6),3)))</f>
        <v>203-901</v>
      </c>
      <c r="C2034" t="s">
        <v>2070</v>
      </c>
      <c r="D2034">
        <v>9</v>
      </c>
      <c r="E2034">
        <v>2283</v>
      </c>
      <c r="F2034" t="s">
        <v>5416</v>
      </c>
      <c r="G2034" t="s">
        <v>5416</v>
      </c>
      <c r="H2034">
        <v>152660</v>
      </c>
      <c r="I2034">
        <v>0</v>
      </c>
      <c r="J2034">
        <v>0</v>
      </c>
      <c r="K2034"/>
      <c r="L2034">
        <v>0</v>
      </c>
      <c r="M2034">
        <v>599</v>
      </c>
    </row>
    <row r="2035" spans="1:13" ht="15">
      <c r="A2035" t="s">
        <v>3707</v>
      </c>
      <c r="B2035" s="1040" t="str">
        <f>CONCATENATE(LEFT(RIGHT(CONCATENATE("000",IFAData_TEA_1819!A2035),6),3),"-",(RIGHT(RIGHT(CONCATENATE("000",IFAData_TEA_1819!A2035),6),3)))</f>
        <v>204-904</v>
      </c>
      <c r="C2035" t="s">
        <v>351</v>
      </c>
      <c r="D2035">
        <v>9</v>
      </c>
      <c r="E2035">
        <v>2330</v>
      </c>
      <c r="F2035" t="s">
        <v>5417</v>
      </c>
      <c r="G2035" t="s">
        <v>5417</v>
      </c>
      <c r="H2035">
        <v>436757</v>
      </c>
      <c r="I2035">
        <v>184366</v>
      </c>
      <c r="J2035">
        <v>0.39794000012950498</v>
      </c>
      <c r="K2035">
        <v>173803.08063656199</v>
      </c>
      <c r="L2035">
        <v>173803.08063656199</v>
      </c>
      <c r="M2035">
        <v>599</v>
      </c>
    </row>
    <row r="2036" spans="1:13" ht="15">
      <c r="A2036" t="s">
        <v>3707</v>
      </c>
      <c r="B2036" s="1040" t="str">
        <f>CONCATENATE(LEFT(RIGHT(CONCATENATE("000",IFAData_TEA_1819!A2036),6),3),"-",(RIGHT(RIGHT(CONCATENATE("000",IFAData_TEA_1819!A2036),6),3)))</f>
        <v>204-904</v>
      </c>
      <c r="C2036" t="s">
        <v>351</v>
      </c>
      <c r="D2036">
        <v>9</v>
      </c>
      <c r="E2036">
        <v>2330</v>
      </c>
      <c r="F2036" t="s">
        <v>5417</v>
      </c>
      <c r="G2036" t="s">
        <v>6532</v>
      </c>
      <c r="H2036">
        <v>436757</v>
      </c>
      <c r="I2036">
        <v>246071</v>
      </c>
      <c r="J2036">
        <v>0.53112555336595402</v>
      </c>
      <c r="K2036">
        <v>231972.80331145399</v>
      </c>
      <c r="L2036">
        <v>231972.80331145399</v>
      </c>
      <c r="M2036">
        <v>599</v>
      </c>
    </row>
    <row r="2037" spans="1:13" ht="15">
      <c r="A2037" t="s">
        <v>3707</v>
      </c>
      <c r="B2037" s="1040" t="str">
        <f>CONCATENATE(LEFT(RIGHT(CONCATENATE("000",IFAData_TEA_1819!A2037),6),3),"-",(RIGHT(RIGHT(CONCATENATE("000",IFAData_TEA_1819!A2037),6),3)))</f>
        <v>204-904</v>
      </c>
      <c r="C2037" t="s">
        <v>351</v>
      </c>
      <c r="D2037">
        <v>9</v>
      </c>
      <c r="E2037">
        <v>2330</v>
      </c>
      <c r="F2037" t="s">
        <v>5417</v>
      </c>
      <c r="G2037" t="s">
        <v>8490</v>
      </c>
      <c r="H2037">
        <v>436757</v>
      </c>
      <c r="I2037">
        <v>32864</v>
      </c>
      <c r="J2037">
        <v>7.09344465045402E-2</v>
      </c>
      <c r="K2037">
        <v>30981.116051983499</v>
      </c>
      <c r="L2037">
        <v>30981.116051983499</v>
      </c>
      <c r="M2037">
        <v>599</v>
      </c>
    </row>
    <row r="2038" spans="1:13" ht="15">
      <c r="A2038" t="s">
        <v>3707</v>
      </c>
      <c r="B2038" s="1040" t="str">
        <f>CONCATENATE(LEFT(RIGHT(CONCATENATE("000",IFAData_TEA_1819!A2038),6),3),"-",(RIGHT(RIGHT(CONCATENATE("000",IFAData_TEA_1819!A2038),6),3)))</f>
        <v>204-904</v>
      </c>
      <c r="C2038" t="s">
        <v>351</v>
      </c>
      <c r="D2038">
        <v>10</v>
      </c>
      <c r="E2038">
        <v>2329</v>
      </c>
      <c r="F2038" t="s">
        <v>5418</v>
      </c>
      <c r="G2038" t="s">
        <v>5418</v>
      </c>
      <c r="H2038">
        <v>132650</v>
      </c>
      <c r="I2038">
        <v>61200</v>
      </c>
      <c r="J2038">
        <v>0.19927648309568899</v>
      </c>
      <c r="K2038">
        <v>26434.025482643101</v>
      </c>
      <c r="L2038">
        <v>26434.025482643101</v>
      </c>
      <c r="M2038">
        <v>599</v>
      </c>
    </row>
    <row r="2039" spans="1:13" ht="15">
      <c r="A2039" t="s">
        <v>3707</v>
      </c>
      <c r="B2039" s="1040" t="str">
        <f>CONCATENATE(LEFT(RIGHT(CONCATENATE("000",IFAData_TEA_1819!A2039),6),3),"-",(RIGHT(RIGHT(CONCATENATE("000",IFAData_TEA_1819!A2039),6),3)))</f>
        <v>204-904</v>
      </c>
      <c r="C2039" t="s">
        <v>351</v>
      </c>
      <c r="D2039">
        <v>10</v>
      </c>
      <c r="E2039">
        <v>2329</v>
      </c>
      <c r="F2039" t="s">
        <v>5418</v>
      </c>
      <c r="G2039" t="s">
        <v>8490</v>
      </c>
      <c r="H2039">
        <v>132650</v>
      </c>
      <c r="I2039">
        <v>245911</v>
      </c>
      <c r="J2039">
        <v>0.80072351690431098</v>
      </c>
      <c r="K2039">
        <v>106215.974517357</v>
      </c>
      <c r="L2039">
        <v>106215.974517357</v>
      </c>
      <c r="M2039">
        <v>599</v>
      </c>
    </row>
    <row r="2040" spans="1:13" ht="15">
      <c r="A2040" t="s">
        <v>3708</v>
      </c>
      <c r="B2040" s="1040" t="str">
        <f>CONCATENATE(LEFT(RIGHT(CONCATENATE("000",IFAData_TEA_1819!A2040),6),3),"-",(RIGHT(RIGHT(CONCATENATE("000",IFAData_TEA_1819!A2040),6),3)))</f>
        <v>205-901</v>
      </c>
      <c r="C2040" t="s">
        <v>2420</v>
      </c>
      <c r="D2040">
        <v>5</v>
      </c>
      <c r="E2040">
        <v>1582</v>
      </c>
      <c r="F2040" t="s">
        <v>5419</v>
      </c>
      <c r="G2040" t="s">
        <v>5419</v>
      </c>
      <c r="H2040">
        <v>270047</v>
      </c>
      <c r="I2040">
        <v>0</v>
      </c>
      <c r="J2040">
        <v>0</v>
      </c>
      <c r="K2040">
        <v>0</v>
      </c>
      <c r="L2040">
        <v>0</v>
      </c>
      <c r="M2040">
        <v>599</v>
      </c>
    </row>
    <row r="2041" spans="1:13" ht="15">
      <c r="A2041" t="s">
        <v>3708</v>
      </c>
      <c r="B2041" s="1040" t="str">
        <f>CONCATENATE(LEFT(RIGHT(CONCATENATE("000",IFAData_TEA_1819!A2041),6),3),"-",(RIGHT(RIGHT(CONCATENATE("000",IFAData_TEA_1819!A2041),6),3)))</f>
        <v>205-901</v>
      </c>
      <c r="C2041" t="s">
        <v>2420</v>
      </c>
      <c r="D2041">
        <v>5</v>
      </c>
      <c r="E2041">
        <v>1582</v>
      </c>
      <c r="F2041" t="s">
        <v>5419</v>
      </c>
      <c r="G2041" t="s">
        <v>5420</v>
      </c>
      <c r="H2041">
        <v>270047</v>
      </c>
      <c r="I2041">
        <v>153186</v>
      </c>
      <c r="J2041">
        <v>1</v>
      </c>
      <c r="K2041">
        <v>270047</v>
      </c>
      <c r="L2041">
        <v>153186</v>
      </c>
      <c r="M2041">
        <v>599</v>
      </c>
    </row>
    <row r="2042" spans="1:13" ht="15">
      <c r="A2042" t="s">
        <v>3709</v>
      </c>
      <c r="B2042" s="1040" t="str">
        <f>CONCATENATE(LEFT(RIGHT(CONCATENATE("000",IFAData_TEA_1819!A2042),6),3),"-",(RIGHT(RIGHT(CONCATENATE("000",IFAData_TEA_1819!A2042),6),3)))</f>
        <v>205-904</v>
      </c>
      <c r="C2042" t="s">
        <v>2066</v>
      </c>
      <c r="D2042">
        <v>3</v>
      </c>
      <c r="E2042">
        <v>2075</v>
      </c>
      <c r="F2042" t="s">
        <v>5421</v>
      </c>
      <c r="G2042" t="s">
        <v>5421</v>
      </c>
      <c r="H2042">
        <v>513813</v>
      </c>
      <c r="I2042">
        <v>0</v>
      </c>
      <c r="J2042">
        <v>0</v>
      </c>
      <c r="K2042">
        <v>0</v>
      </c>
      <c r="L2042">
        <v>0</v>
      </c>
      <c r="M2042">
        <v>599</v>
      </c>
    </row>
    <row r="2043" spans="1:13" ht="15">
      <c r="A2043" t="s">
        <v>3709</v>
      </c>
      <c r="B2043" s="1040" t="str">
        <f>CONCATENATE(LEFT(RIGHT(CONCATENATE("000",IFAData_TEA_1819!A2043),6),3),"-",(RIGHT(RIGHT(CONCATENATE("000",IFAData_TEA_1819!A2043),6),3)))</f>
        <v>205-904</v>
      </c>
      <c r="C2043" t="s">
        <v>2066</v>
      </c>
      <c r="D2043">
        <v>3</v>
      </c>
      <c r="E2043">
        <v>2075</v>
      </c>
      <c r="F2043" t="s">
        <v>5421</v>
      </c>
      <c r="G2043" t="s">
        <v>5422</v>
      </c>
      <c r="H2043">
        <v>513813</v>
      </c>
      <c r="I2043">
        <v>146743</v>
      </c>
      <c r="J2043">
        <v>0.227848710555449</v>
      </c>
      <c r="K2043">
        <v>117071.629516627</v>
      </c>
      <c r="L2043">
        <v>117071.629516627</v>
      </c>
      <c r="M2043">
        <v>599</v>
      </c>
    </row>
    <row r="2044" spans="1:13" ht="15">
      <c r="A2044" t="s">
        <v>3709</v>
      </c>
      <c r="B2044" s="1040" t="str">
        <f>CONCATENATE(LEFT(RIGHT(CONCATENATE("000",IFAData_TEA_1819!A2044),6),3),"-",(RIGHT(RIGHT(CONCATENATE("000",IFAData_TEA_1819!A2044),6),3)))</f>
        <v>205-904</v>
      </c>
      <c r="C2044" t="s">
        <v>2066</v>
      </c>
      <c r="D2044">
        <v>3</v>
      </c>
      <c r="E2044">
        <v>2075</v>
      </c>
      <c r="F2044" t="s">
        <v>5421</v>
      </c>
      <c r="G2044" t="s">
        <v>5423</v>
      </c>
      <c r="H2044">
        <v>513813</v>
      </c>
      <c r="I2044">
        <v>57185</v>
      </c>
      <c r="J2044">
        <v>8.8791482476938396E-2</v>
      </c>
      <c r="K2044">
        <v>45622.217985923198</v>
      </c>
      <c r="L2044">
        <v>45622.217985923198</v>
      </c>
      <c r="M2044">
        <v>599</v>
      </c>
    </row>
    <row r="2045" spans="1:13" ht="15">
      <c r="A2045" t="s">
        <v>3709</v>
      </c>
      <c r="B2045" s="1040" t="str">
        <f>CONCATENATE(LEFT(RIGHT(CONCATENATE("000",IFAData_TEA_1819!A2045),6),3),"-",(RIGHT(RIGHT(CONCATENATE("000",IFAData_TEA_1819!A2045),6),3)))</f>
        <v>205-904</v>
      </c>
      <c r="C2045" t="s">
        <v>2066</v>
      </c>
      <c r="D2045">
        <v>3</v>
      </c>
      <c r="E2045">
        <v>2075</v>
      </c>
      <c r="F2045" t="s">
        <v>5421</v>
      </c>
      <c r="G2045" t="s">
        <v>6533</v>
      </c>
      <c r="H2045">
        <v>513813</v>
      </c>
      <c r="I2045">
        <v>355150</v>
      </c>
      <c r="J2045">
        <v>0.55144347296816798</v>
      </c>
      <c r="K2045">
        <v>283338.82517619297</v>
      </c>
      <c r="L2045">
        <v>283338.82517619297</v>
      </c>
      <c r="M2045">
        <v>599</v>
      </c>
    </row>
    <row r="2046" spans="1:13" ht="15">
      <c r="A2046" t="s">
        <v>3709</v>
      </c>
      <c r="B2046" s="1040" t="str">
        <f>CONCATENATE(LEFT(RIGHT(CONCATENATE("000",IFAData_TEA_1819!A2046),6),3),"-",(RIGHT(RIGHT(CONCATENATE("000",IFAData_TEA_1819!A2046),6),3)))</f>
        <v>205-904</v>
      </c>
      <c r="C2046" t="s">
        <v>2066</v>
      </c>
      <c r="D2046">
        <v>3</v>
      </c>
      <c r="E2046">
        <v>2075</v>
      </c>
      <c r="F2046" t="s">
        <v>5421</v>
      </c>
      <c r="G2046" t="s">
        <v>8491</v>
      </c>
      <c r="H2046">
        <v>513813</v>
      </c>
      <c r="I2046">
        <v>84959</v>
      </c>
      <c r="J2046">
        <v>0.131916333999444</v>
      </c>
      <c r="K2046">
        <v>67780.327321256394</v>
      </c>
      <c r="L2046">
        <v>67780.327321256394</v>
      </c>
      <c r="M2046">
        <v>599</v>
      </c>
    </row>
    <row r="2047" spans="1:13" ht="15">
      <c r="A2047" t="s">
        <v>3709</v>
      </c>
      <c r="B2047" s="1040" t="str">
        <f>CONCATENATE(LEFT(RIGHT(CONCATENATE("000",IFAData_TEA_1819!A2047),6),3),"-",(RIGHT(RIGHT(CONCATENATE("000",IFAData_TEA_1819!A2047),6),3)))</f>
        <v>205-904</v>
      </c>
      <c r="C2047" t="s">
        <v>2066</v>
      </c>
      <c r="D2047">
        <v>9</v>
      </c>
      <c r="E2047">
        <v>2074</v>
      </c>
      <c r="F2047" t="s">
        <v>5422</v>
      </c>
      <c r="G2047" t="s">
        <v>5422</v>
      </c>
      <c r="H2047">
        <v>425296</v>
      </c>
      <c r="I2047">
        <v>126358</v>
      </c>
      <c r="J2047">
        <v>0.24955858478529599</v>
      </c>
      <c r="K2047">
        <v>106136.26787484701</v>
      </c>
      <c r="L2047">
        <v>106136.26787484701</v>
      </c>
      <c r="M2047">
        <v>599</v>
      </c>
    </row>
    <row r="2048" spans="1:13" ht="15">
      <c r="A2048" t="s">
        <v>3709</v>
      </c>
      <c r="B2048" s="1040" t="str">
        <f>CONCATENATE(LEFT(RIGHT(CONCATENATE("000",IFAData_TEA_1819!A2048),6),3),"-",(RIGHT(RIGHT(CONCATENATE("000",IFAData_TEA_1819!A2048),6),3)))</f>
        <v>205-904</v>
      </c>
      <c r="C2048" t="s">
        <v>2066</v>
      </c>
      <c r="D2048">
        <v>9</v>
      </c>
      <c r="E2048">
        <v>2074</v>
      </c>
      <c r="F2048" t="s">
        <v>5422</v>
      </c>
      <c r="G2048" t="s">
        <v>6533</v>
      </c>
      <c r="H2048">
        <v>425296</v>
      </c>
      <c r="I2048">
        <v>288850</v>
      </c>
      <c r="J2048">
        <v>0.57048225846588996</v>
      </c>
      <c r="K2048">
        <v>242623.82259650901</v>
      </c>
      <c r="L2048">
        <v>242623.82259650901</v>
      </c>
      <c r="M2048">
        <v>599</v>
      </c>
    </row>
    <row r="2049" spans="1:13" ht="15">
      <c r="A2049" t="s">
        <v>3709</v>
      </c>
      <c r="B2049" s="1040" t="str">
        <f>CONCATENATE(LEFT(RIGHT(CONCATENATE("000",IFAData_TEA_1819!A2049),6),3),"-",(RIGHT(RIGHT(CONCATENATE("000",IFAData_TEA_1819!A2049),6),3)))</f>
        <v>205-904</v>
      </c>
      <c r="C2049" t="s">
        <v>2066</v>
      </c>
      <c r="D2049">
        <v>9</v>
      </c>
      <c r="E2049">
        <v>2074</v>
      </c>
      <c r="F2049" t="s">
        <v>5422</v>
      </c>
      <c r="G2049" t="s">
        <v>8491</v>
      </c>
      <c r="H2049">
        <v>425296</v>
      </c>
      <c r="I2049">
        <v>91118</v>
      </c>
      <c r="J2049">
        <v>0.17995915674881399</v>
      </c>
      <c r="K2049">
        <v>76535.909528643606</v>
      </c>
      <c r="L2049">
        <v>76535.909528643606</v>
      </c>
      <c r="M2049">
        <v>599</v>
      </c>
    </row>
    <row r="2050" spans="1:13" ht="15">
      <c r="A2050" t="s">
        <v>3709</v>
      </c>
      <c r="B2050" s="1040" t="str">
        <f>CONCATENATE(LEFT(RIGHT(CONCATENATE("000",IFAData_TEA_1819!A2050),6),3),"-",(RIGHT(RIGHT(CONCATENATE("000",IFAData_TEA_1819!A2050),6),3)))</f>
        <v>205-904</v>
      </c>
      <c r="C2050" t="s">
        <v>2066</v>
      </c>
      <c r="D2050">
        <v>10</v>
      </c>
      <c r="E2050">
        <v>2073</v>
      </c>
      <c r="F2050" t="s">
        <v>5423</v>
      </c>
      <c r="G2050" t="s">
        <v>5423</v>
      </c>
      <c r="H2050">
        <v>383389</v>
      </c>
      <c r="I2050">
        <v>177625</v>
      </c>
      <c r="J2050">
        <v>0.61347097647656101</v>
      </c>
      <c r="K2050">
        <v>235198.02420037199</v>
      </c>
      <c r="L2050">
        <v>177625</v>
      </c>
      <c r="M2050">
        <v>599</v>
      </c>
    </row>
    <row r="2051" spans="1:13" ht="15">
      <c r="A2051" t="s">
        <v>3709</v>
      </c>
      <c r="B2051" s="1040" t="str">
        <f>CONCATENATE(LEFT(RIGHT(CONCATENATE("000",IFAData_TEA_1819!A2051),6),3),"-",(RIGHT(RIGHT(CONCATENATE("000",IFAData_TEA_1819!A2051),6),3)))</f>
        <v>205-904</v>
      </c>
      <c r="C2051" t="s">
        <v>2066</v>
      </c>
      <c r="D2051">
        <v>10</v>
      </c>
      <c r="E2051">
        <v>2073</v>
      </c>
      <c r="F2051" t="s">
        <v>5423</v>
      </c>
      <c r="G2051" t="s">
        <v>8491</v>
      </c>
      <c r="H2051">
        <v>383389</v>
      </c>
      <c r="I2051">
        <v>111916</v>
      </c>
      <c r="J2051">
        <v>0.38652902352343899</v>
      </c>
      <c r="K2051">
        <v>148190.97579962801</v>
      </c>
      <c r="L2051">
        <v>111916</v>
      </c>
      <c r="M2051">
        <v>599</v>
      </c>
    </row>
    <row r="2052" spans="1:13" ht="15">
      <c r="A2052" t="s">
        <v>3710</v>
      </c>
      <c r="B2052" s="1040" t="str">
        <f>CONCATENATE(LEFT(RIGHT(CONCATENATE("000",IFAData_TEA_1819!A2052),6),3),"-",(RIGHT(RIGHT(CONCATENATE("000",IFAData_TEA_1819!A2052),6),3)))</f>
        <v>205-905</v>
      </c>
      <c r="C2052" t="s">
        <v>260</v>
      </c>
      <c r="D2052">
        <v>3</v>
      </c>
      <c r="E2052">
        <v>2155</v>
      </c>
      <c r="F2052" t="s">
        <v>5424</v>
      </c>
      <c r="G2052" t="s">
        <v>5424</v>
      </c>
      <c r="H2052">
        <v>175026</v>
      </c>
      <c r="I2052">
        <v>0</v>
      </c>
      <c r="J2052">
        <v>0</v>
      </c>
      <c r="K2052">
        <v>0</v>
      </c>
      <c r="L2052">
        <v>0</v>
      </c>
      <c r="M2052">
        <v>599</v>
      </c>
    </row>
    <row r="2053" spans="1:13" ht="15">
      <c r="A2053" t="s">
        <v>3710</v>
      </c>
      <c r="B2053" s="1040" t="str">
        <f>CONCATENATE(LEFT(RIGHT(CONCATENATE("000",IFAData_TEA_1819!A2053),6),3),"-",(RIGHT(RIGHT(CONCATENATE("000",IFAData_TEA_1819!A2053),6),3)))</f>
        <v>205-905</v>
      </c>
      <c r="C2053" t="s">
        <v>260</v>
      </c>
      <c r="D2053">
        <v>3</v>
      </c>
      <c r="E2053">
        <v>2155</v>
      </c>
      <c r="F2053" t="s">
        <v>5424</v>
      </c>
      <c r="G2053" t="s">
        <v>5425</v>
      </c>
      <c r="H2053">
        <v>175026</v>
      </c>
      <c r="I2053">
        <v>113764</v>
      </c>
      <c r="J2053">
        <v>0.68293502860470301</v>
      </c>
      <c r="K2053">
        <v>119531.386316567</v>
      </c>
      <c r="L2053">
        <v>113764</v>
      </c>
      <c r="M2053">
        <v>599</v>
      </c>
    </row>
    <row r="2054" spans="1:13" ht="15">
      <c r="A2054" t="s">
        <v>3710</v>
      </c>
      <c r="B2054" s="1040" t="str">
        <f>CONCATENATE(LEFT(RIGHT(CONCATENATE("000",IFAData_TEA_1819!A2054),6),3),"-",(RIGHT(RIGHT(CONCATENATE("000",IFAData_TEA_1819!A2054),6),3)))</f>
        <v>205-905</v>
      </c>
      <c r="C2054" t="s">
        <v>260</v>
      </c>
      <c r="D2054">
        <v>3</v>
      </c>
      <c r="E2054">
        <v>2155</v>
      </c>
      <c r="F2054" t="s">
        <v>5424</v>
      </c>
      <c r="G2054" t="s">
        <v>8492</v>
      </c>
      <c r="H2054">
        <v>175026</v>
      </c>
      <c r="I2054">
        <v>52817</v>
      </c>
      <c r="J2054">
        <v>0.31706497139529699</v>
      </c>
      <c r="K2054">
        <v>55494.613683433301</v>
      </c>
      <c r="L2054">
        <v>52817</v>
      </c>
      <c r="M2054">
        <v>599</v>
      </c>
    </row>
    <row r="2055" spans="1:13" ht="15">
      <c r="A2055" t="s">
        <v>3710</v>
      </c>
      <c r="B2055" s="1040" t="str">
        <f>CONCATENATE(LEFT(RIGHT(CONCATENATE("000",IFAData_TEA_1819!A2055),6),3),"-",(RIGHT(RIGHT(CONCATENATE("000",IFAData_TEA_1819!A2055),6),3)))</f>
        <v>205-905</v>
      </c>
      <c r="C2055" t="s">
        <v>260</v>
      </c>
      <c r="D2055">
        <v>5</v>
      </c>
      <c r="E2055">
        <v>2156</v>
      </c>
      <c r="F2055" t="s">
        <v>5426</v>
      </c>
      <c r="G2055" t="s">
        <v>5426</v>
      </c>
      <c r="H2055">
        <v>274260</v>
      </c>
      <c r="I2055">
        <v>0</v>
      </c>
      <c r="J2055">
        <v>0</v>
      </c>
      <c r="K2055">
        <v>0</v>
      </c>
      <c r="L2055">
        <v>0</v>
      </c>
      <c r="M2055">
        <v>599</v>
      </c>
    </row>
    <row r="2056" spans="1:13" ht="15">
      <c r="A2056" t="s">
        <v>3710</v>
      </c>
      <c r="B2056" s="1040" t="str">
        <f>CONCATENATE(LEFT(RIGHT(CONCATENATE("000",IFAData_TEA_1819!A2056),6),3),"-",(RIGHT(RIGHT(CONCATENATE("000",IFAData_TEA_1819!A2056),6),3)))</f>
        <v>205-905</v>
      </c>
      <c r="C2056" t="s">
        <v>260</v>
      </c>
      <c r="D2056">
        <v>5</v>
      </c>
      <c r="E2056">
        <v>2156</v>
      </c>
      <c r="F2056" t="s">
        <v>5426</v>
      </c>
      <c r="G2056" t="s">
        <v>5425</v>
      </c>
      <c r="H2056">
        <v>274260</v>
      </c>
      <c r="I2056">
        <v>161342</v>
      </c>
      <c r="J2056">
        <v>0.68293488198841901</v>
      </c>
      <c r="K2056">
        <v>187301.72073414401</v>
      </c>
      <c r="L2056">
        <v>161342</v>
      </c>
      <c r="M2056">
        <v>599</v>
      </c>
    </row>
    <row r="2057" spans="1:13" ht="15">
      <c r="A2057" t="s">
        <v>3710</v>
      </c>
      <c r="B2057" s="1040" t="str">
        <f>CONCATENATE(LEFT(RIGHT(CONCATENATE("000",IFAData_TEA_1819!A2057),6),3),"-",(RIGHT(RIGHT(CONCATENATE("000",IFAData_TEA_1819!A2057),6),3)))</f>
        <v>205-905</v>
      </c>
      <c r="C2057" t="s">
        <v>260</v>
      </c>
      <c r="D2057">
        <v>5</v>
      </c>
      <c r="E2057">
        <v>2156</v>
      </c>
      <c r="F2057" t="s">
        <v>5426</v>
      </c>
      <c r="G2057" t="s">
        <v>8492</v>
      </c>
      <c r="H2057">
        <v>274260</v>
      </c>
      <c r="I2057">
        <v>74906</v>
      </c>
      <c r="J2057">
        <v>0.31706511801158099</v>
      </c>
      <c r="K2057">
        <v>86958.279265856196</v>
      </c>
      <c r="L2057">
        <v>74906</v>
      </c>
      <c r="M2057">
        <v>599</v>
      </c>
    </row>
    <row r="2058" spans="1:13" ht="15">
      <c r="A2058" t="s">
        <v>3710</v>
      </c>
      <c r="B2058" s="1040" t="str">
        <f>CONCATENATE(LEFT(RIGHT(CONCATENATE("000",IFAData_TEA_1819!A2058),6),3),"-",(RIGHT(RIGHT(CONCATENATE("000",IFAData_TEA_1819!A2058),6),3)))</f>
        <v>205-905</v>
      </c>
      <c r="C2058" t="s">
        <v>260</v>
      </c>
      <c r="D2058">
        <v>11</v>
      </c>
      <c r="E2058">
        <v>2551</v>
      </c>
      <c r="F2058" t="s">
        <v>8493</v>
      </c>
      <c r="G2058" t="s">
        <v>8493</v>
      </c>
      <c r="H2058">
        <v>230344</v>
      </c>
      <c r="I2058">
        <v>1241912</v>
      </c>
      <c r="J2058">
        <v>1</v>
      </c>
      <c r="K2058">
        <v>230344</v>
      </c>
      <c r="L2058">
        <v>230344</v>
      </c>
      <c r="M2058">
        <v>599</v>
      </c>
    </row>
    <row r="2059" spans="1:13" ht="15">
      <c r="A2059" t="s">
        <v>3711</v>
      </c>
      <c r="B2059" s="1040" t="str">
        <f>CONCATENATE(LEFT(RIGHT(CONCATENATE("000",IFAData_TEA_1819!A2059),6),3),"-",(RIGHT(RIGHT(CONCATENATE("000",IFAData_TEA_1819!A2059),6),3)))</f>
        <v>205-906</v>
      </c>
      <c r="C2059" t="s">
        <v>267</v>
      </c>
      <c r="D2059">
        <v>5</v>
      </c>
      <c r="E2059">
        <v>2337</v>
      </c>
      <c r="F2059" t="s">
        <v>5427</v>
      </c>
      <c r="G2059" t="s">
        <v>5427</v>
      </c>
      <c r="H2059">
        <v>463509</v>
      </c>
      <c r="I2059">
        <v>0</v>
      </c>
      <c r="J2059">
        <v>0</v>
      </c>
      <c r="K2059">
        <v>0</v>
      </c>
      <c r="L2059">
        <v>0</v>
      </c>
      <c r="M2059">
        <v>599</v>
      </c>
    </row>
    <row r="2060" spans="1:13" ht="15">
      <c r="A2060" t="s">
        <v>3711</v>
      </c>
      <c r="B2060" s="1040" t="str">
        <f>CONCATENATE(LEFT(RIGHT(CONCATENATE("000",IFAData_TEA_1819!A2060),6),3),"-",(RIGHT(RIGHT(CONCATENATE("000",IFAData_TEA_1819!A2060),6),3)))</f>
        <v>205-906</v>
      </c>
      <c r="C2060" t="s">
        <v>267</v>
      </c>
      <c r="D2060">
        <v>5</v>
      </c>
      <c r="E2060">
        <v>2337</v>
      </c>
      <c r="F2060" t="s">
        <v>5427</v>
      </c>
      <c r="G2060" t="s">
        <v>5428</v>
      </c>
      <c r="H2060">
        <v>463509</v>
      </c>
      <c r="I2060">
        <v>370000</v>
      </c>
      <c r="J2060">
        <v>0.822450680744651</v>
      </c>
      <c r="K2060">
        <v>381213.29258127301</v>
      </c>
      <c r="L2060">
        <v>370000</v>
      </c>
      <c r="M2060">
        <v>599</v>
      </c>
    </row>
    <row r="2061" spans="1:13" ht="15">
      <c r="A2061" t="s">
        <v>3711</v>
      </c>
      <c r="B2061" s="1040" t="str">
        <f>CONCATENATE(LEFT(RIGHT(CONCATENATE("000",IFAData_TEA_1819!A2061),6),3),"-",(RIGHT(RIGHT(CONCATENATE("000",IFAData_TEA_1819!A2061),6),3)))</f>
        <v>205-906</v>
      </c>
      <c r="C2061" t="s">
        <v>267</v>
      </c>
      <c r="D2061">
        <v>5</v>
      </c>
      <c r="E2061">
        <v>2337</v>
      </c>
      <c r="F2061" t="s">
        <v>5427</v>
      </c>
      <c r="G2061" t="s">
        <v>5429</v>
      </c>
      <c r="H2061">
        <v>463509</v>
      </c>
      <c r="I2061">
        <v>0</v>
      </c>
      <c r="J2061">
        <v>0</v>
      </c>
      <c r="K2061">
        <v>0</v>
      </c>
      <c r="L2061">
        <v>0</v>
      </c>
      <c r="M2061">
        <v>599</v>
      </c>
    </row>
    <row r="2062" spans="1:13" ht="15">
      <c r="A2062" t="s">
        <v>3711</v>
      </c>
      <c r="B2062" s="1040" t="str">
        <f>CONCATENATE(LEFT(RIGHT(CONCATENATE("000",IFAData_TEA_1819!A2062),6),3),"-",(RIGHT(RIGHT(CONCATENATE("000",IFAData_TEA_1819!A2062),6),3)))</f>
        <v>205-906</v>
      </c>
      <c r="C2062" t="s">
        <v>267</v>
      </c>
      <c r="D2062">
        <v>5</v>
      </c>
      <c r="E2062">
        <v>2337</v>
      </c>
      <c r="F2062" t="s">
        <v>5427</v>
      </c>
      <c r="G2062" t="s">
        <v>8494</v>
      </c>
      <c r="H2062">
        <v>463509</v>
      </c>
      <c r="I2062">
        <v>79875</v>
      </c>
      <c r="J2062">
        <v>0.177549319255349</v>
      </c>
      <c r="K2062">
        <v>82295.707418727397</v>
      </c>
      <c r="L2062">
        <v>79875</v>
      </c>
      <c r="M2062">
        <v>599</v>
      </c>
    </row>
    <row r="2063" spans="1:13" ht="15">
      <c r="A2063" t="s">
        <v>3711</v>
      </c>
      <c r="B2063" s="1040" t="str">
        <f>CONCATENATE(LEFT(RIGHT(CONCATENATE("000",IFAData_TEA_1819!A2063),6),3),"-",(RIGHT(RIGHT(CONCATENATE("000",IFAData_TEA_1819!A2063),6),3)))</f>
        <v>205-906</v>
      </c>
      <c r="C2063" t="s">
        <v>267</v>
      </c>
      <c r="D2063">
        <v>10</v>
      </c>
      <c r="E2063">
        <v>2336</v>
      </c>
      <c r="F2063" t="s">
        <v>5430</v>
      </c>
      <c r="G2063" t="s">
        <v>5430</v>
      </c>
      <c r="H2063">
        <v>359677</v>
      </c>
      <c r="I2063">
        <v>304610</v>
      </c>
      <c r="J2063">
        <v>1</v>
      </c>
      <c r="K2063">
        <v>359677</v>
      </c>
      <c r="L2063">
        <v>304610</v>
      </c>
      <c r="M2063">
        <v>199</v>
      </c>
    </row>
    <row r="2064" spans="1:13" ht="15">
      <c r="A2064" t="s">
        <v>3712</v>
      </c>
      <c r="B2064" s="1040" t="str">
        <f>CONCATENATE(LEFT(RIGHT(CONCATENATE("000",IFAData_TEA_1819!A2064),6),3),"-",(RIGHT(RIGHT(CONCATENATE("000",IFAData_TEA_1819!A2064),6),3)))</f>
        <v>205-907</v>
      </c>
      <c r="C2064" t="s">
        <v>601</v>
      </c>
      <c r="D2064">
        <v>4</v>
      </c>
      <c r="E2064">
        <v>2389</v>
      </c>
      <c r="F2064" t="s">
        <v>5431</v>
      </c>
      <c r="G2064" t="s">
        <v>5431</v>
      </c>
      <c r="H2064">
        <v>347528</v>
      </c>
      <c r="I2064">
        <v>0</v>
      </c>
      <c r="J2064">
        <v>0</v>
      </c>
      <c r="K2064">
        <v>0</v>
      </c>
      <c r="L2064">
        <v>0</v>
      </c>
      <c r="M2064">
        <v>599</v>
      </c>
    </row>
    <row r="2065" spans="1:13" ht="15">
      <c r="A2065" t="s">
        <v>3712</v>
      </c>
      <c r="B2065" s="1040" t="str">
        <f>CONCATENATE(LEFT(RIGHT(CONCATENATE("000",IFAData_TEA_1819!A2065),6),3),"-",(RIGHT(RIGHT(CONCATENATE("000",IFAData_TEA_1819!A2065),6),3)))</f>
        <v>205-907</v>
      </c>
      <c r="C2065" t="s">
        <v>601</v>
      </c>
      <c r="D2065">
        <v>4</v>
      </c>
      <c r="E2065">
        <v>2389</v>
      </c>
      <c r="F2065" t="s">
        <v>5431</v>
      </c>
      <c r="G2065" t="s">
        <v>5432</v>
      </c>
      <c r="H2065">
        <v>347528</v>
      </c>
      <c r="I2065">
        <v>0</v>
      </c>
      <c r="J2065">
        <v>0</v>
      </c>
      <c r="K2065">
        <v>0</v>
      </c>
      <c r="L2065">
        <v>0</v>
      </c>
      <c r="M2065">
        <v>599</v>
      </c>
    </row>
    <row r="2066" spans="1:13" ht="15">
      <c r="A2066" t="s">
        <v>3712</v>
      </c>
      <c r="B2066" s="1040" t="str">
        <f>CONCATENATE(LEFT(RIGHT(CONCATENATE("000",IFAData_TEA_1819!A2066),6),3),"-",(RIGHT(RIGHT(CONCATENATE("000",IFAData_TEA_1819!A2066),6),3)))</f>
        <v>205-907</v>
      </c>
      <c r="C2066" t="s">
        <v>601</v>
      </c>
      <c r="D2066">
        <v>4</v>
      </c>
      <c r="E2066">
        <v>2389</v>
      </c>
      <c r="F2066" t="s">
        <v>5431</v>
      </c>
      <c r="G2066" t="s">
        <v>6534</v>
      </c>
      <c r="H2066">
        <v>347528</v>
      </c>
      <c r="I2066">
        <v>292750</v>
      </c>
      <c r="J2066">
        <v>1</v>
      </c>
      <c r="K2066">
        <v>347528</v>
      </c>
      <c r="L2066">
        <v>292750</v>
      </c>
      <c r="M2066">
        <v>599</v>
      </c>
    </row>
    <row r="2067" spans="1:13" ht="15">
      <c r="A2067" t="s">
        <v>3712</v>
      </c>
      <c r="B2067" s="1040" t="str">
        <f>CONCATENATE(LEFT(RIGHT(CONCATENATE("000",IFAData_TEA_1819!A2067),6),3),"-",(RIGHT(RIGHT(CONCATENATE("000",IFAData_TEA_1819!A2067),6),3)))</f>
        <v>205-907</v>
      </c>
      <c r="C2067" t="s">
        <v>601</v>
      </c>
      <c r="D2067">
        <v>10</v>
      </c>
      <c r="E2067">
        <v>2388</v>
      </c>
      <c r="F2067" t="s">
        <v>5433</v>
      </c>
      <c r="G2067" t="s">
        <v>5433</v>
      </c>
      <c r="H2067">
        <v>284438</v>
      </c>
      <c r="I2067">
        <v>672278</v>
      </c>
      <c r="J2067">
        <v>0.78324137159687202</v>
      </c>
      <c r="K2067">
        <v>222783.609254271</v>
      </c>
      <c r="L2067">
        <v>222783.609254271</v>
      </c>
      <c r="M2067">
        <v>599</v>
      </c>
    </row>
    <row r="2068" spans="1:13" ht="15">
      <c r="A2068" t="s">
        <v>3712</v>
      </c>
      <c r="B2068" s="1040" t="str">
        <f>CONCATENATE(LEFT(RIGHT(CONCATENATE("000",IFAData_TEA_1819!A2068),6),3),"-",(RIGHT(RIGHT(CONCATENATE("000",IFAData_TEA_1819!A2068),6),3)))</f>
        <v>205-907</v>
      </c>
      <c r="C2068" t="s">
        <v>601</v>
      </c>
      <c r="D2068">
        <v>10</v>
      </c>
      <c r="E2068">
        <v>2388</v>
      </c>
      <c r="F2068" t="s">
        <v>5433</v>
      </c>
      <c r="G2068" t="s">
        <v>8495</v>
      </c>
      <c r="H2068">
        <v>284438</v>
      </c>
      <c r="I2068">
        <v>186050</v>
      </c>
      <c r="J2068">
        <v>0.21675862840312801</v>
      </c>
      <c r="K2068">
        <v>61654.390745728902</v>
      </c>
      <c r="L2068">
        <v>61654.390745728902</v>
      </c>
      <c r="M2068">
        <v>599</v>
      </c>
    </row>
    <row r="2069" spans="1:13" ht="15">
      <c r="A2069" t="s">
        <v>3713</v>
      </c>
      <c r="B2069" s="1040" t="str">
        <f>CONCATENATE(LEFT(RIGHT(CONCATENATE("000",IFAData_TEA_1819!A2069),6),3),"-",(RIGHT(RIGHT(CONCATENATE("000",IFAData_TEA_1819!A2069),6),3)))</f>
        <v>206-901</v>
      </c>
      <c r="C2069" t="s">
        <v>1404</v>
      </c>
      <c r="D2069">
        <v>2</v>
      </c>
      <c r="E2069">
        <v>2302</v>
      </c>
      <c r="F2069" t="s">
        <v>5434</v>
      </c>
      <c r="G2069" t="s">
        <v>5434</v>
      </c>
      <c r="H2069">
        <v>190287</v>
      </c>
      <c r="I2069">
        <v>0</v>
      </c>
      <c r="J2069">
        <v>0</v>
      </c>
      <c r="K2069">
        <v>0</v>
      </c>
      <c r="L2069">
        <v>0</v>
      </c>
      <c r="M2069">
        <v>599</v>
      </c>
    </row>
    <row r="2070" spans="1:13" ht="15">
      <c r="A2070" t="s">
        <v>3713</v>
      </c>
      <c r="B2070" s="1040" t="str">
        <f>CONCATENATE(LEFT(RIGHT(CONCATENATE("000",IFAData_TEA_1819!A2070),6),3),"-",(RIGHT(RIGHT(CONCATENATE("000",IFAData_TEA_1819!A2070),6),3)))</f>
        <v>206-901</v>
      </c>
      <c r="C2070" t="s">
        <v>1404</v>
      </c>
      <c r="D2070">
        <v>2</v>
      </c>
      <c r="E2070">
        <v>2302</v>
      </c>
      <c r="F2070" t="s">
        <v>5434</v>
      </c>
      <c r="G2070" t="s">
        <v>5435</v>
      </c>
      <c r="H2070">
        <v>190287</v>
      </c>
      <c r="I2070">
        <v>179400</v>
      </c>
      <c r="J2070">
        <v>1</v>
      </c>
      <c r="K2070">
        <v>190287</v>
      </c>
      <c r="L2070">
        <v>179400</v>
      </c>
      <c r="M2070">
        <v>599</v>
      </c>
    </row>
    <row r="2071" spans="1:13" ht="15">
      <c r="A2071" t="s">
        <v>6794</v>
      </c>
      <c r="B2071" s="1040" t="str">
        <f>CONCATENATE(LEFT(RIGHT(CONCATENATE("000",IFAData_TEA_1819!A2071),6),3),"-",(RIGHT(RIGHT(CONCATENATE("000",IFAData_TEA_1819!A2071),6),3)))</f>
        <v>206-902</v>
      </c>
      <c r="C2071" t="s">
        <v>354</v>
      </c>
      <c r="D2071">
        <v>11</v>
      </c>
      <c r="E2071">
        <v>2559</v>
      </c>
      <c r="F2071" t="s">
        <v>8496</v>
      </c>
      <c r="G2071" t="s">
        <v>8496</v>
      </c>
      <c r="H2071">
        <v>100000</v>
      </c>
      <c r="I2071">
        <v>153798</v>
      </c>
      <c r="J2071">
        <v>1</v>
      </c>
      <c r="K2071">
        <v>100000</v>
      </c>
      <c r="L2071">
        <v>100000</v>
      </c>
      <c r="M2071">
        <v>599</v>
      </c>
    </row>
    <row r="2072" spans="1:13" ht="15">
      <c r="A2072" t="s">
        <v>3714</v>
      </c>
      <c r="B2072" s="1040" t="str">
        <f>CONCATENATE(LEFT(RIGHT(CONCATENATE("000",IFAData_TEA_1819!A2072),6),3),"-",(RIGHT(RIGHT(CONCATENATE("000",IFAData_TEA_1819!A2072),6),3)))</f>
        <v>210-901</v>
      </c>
      <c r="C2072" t="s">
        <v>1776</v>
      </c>
      <c r="D2072">
        <v>9</v>
      </c>
      <c r="E2072">
        <v>1673</v>
      </c>
      <c r="F2072" t="s">
        <v>5436</v>
      </c>
      <c r="G2072" t="s">
        <v>5436</v>
      </c>
      <c r="H2072">
        <v>246712</v>
      </c>
      <c r="I2072">
        <v>0</v>
      </c>
      <c r="J2072">
        <v>0</v>
      </c>
      <c r="K2072">
        <v>0</v>
      </c>
      <c r="L2072">
        <v>0</v>
      </c>
      <c r="M2072">
        <v>599</v>
      </c>
    </row>
    <row r="2073" spans="1:13" ht="15">
      <c r="A2073" t="s">
        <v>3714</v>
      </c>
      <c r="B2073" s="1040" t="str">
        <f>CONCATENATE(LEFT(RIGHT(CONCATENATE("000",IFAData_TEA_1819!A2073),6),3),"-",(RIGHT(RIGHT(CONCATENATE("000",IFAData_TEA_1819!A2073),6),3)))</f>
        <v>210-901</v>
      </c>
      <c r="C2073" t="s">
        <v>1776</v>
      </c>
      <c r="D2073">
        <v>9</v>
      </c>
      <c r="E2073">
        <v>1673</v>
      </c>
      <c r="F2073" t="s">
        <v>5436</v>
      </c>
      <c r="G2073" t="s">
        <v>6535</v>
      </c>
      <c r="H2073">
        <v>246712</v>
      </c>
      <c r="I2073">
        <v>1234700</v>
      </c>
      <c r="J2073">
        <v>1</v>
      </c>
      <c r="K2073">
        <v>246712</v>
      </c>
      <c r="L2073">
        <v>246712</v>
      </c>
      <c r="M2073">
        <v>599</v>
      </c>
    </row>
    <row r="2074" spans="1:13" ht="15">
      <c r="A2074" t="s">
        <v>3715</v>
      </c>
      <c r="B2074" s="1040" t="str">
        <f>CONCATENATE(LEFT(RIGHT(CONCATENATE("000",IFAData_TEA_1819!A2074),6),3),"-",(RIGHT(RIGHT(CONCATENATE("000",IFAData_TEA_1819!A2074),6),3)))</f>
        <v>210-903</v>
      </c>
      <c r="C2074" t="s">
        <v>1249</v>
      </c>
      <c r="D2074">
        <v>4</v>
      </c>
      <c r="E2074">
        <v>2328</v>
      </c>
      <c r="F2074" t="s">
        <v>5437</v>
      </c>
      <c r="G2074" t="s">
        <v>5437</v>
      </c>
      <c r="H2074">
        <v>176318</v>
      </c>
      <c r="I2074">
        <v>0</v>
      </c>
      <c r="J2074">
        <v>0</v>
      </c>
      <c r="K2074">
        <v>0</v>
      </c>
      <c r="L2074">
        <v>0</v>
      </c>
      <c r="M2074">
        <v>599</v>
      </c>
    </row>
    <row r="2075" spans="1:13" ht="15">
      <c r="A2075" t="s">
        <v>3715</v>
      </c>
      <c r="B2075" s="1040" t="str">
        <f>CONCATENATE(LEFT(RIGHT(CONCATENATE("000",IFAData_TEA_1819!A2075),6),3),"-",(RIGHT(RIGHT(CONCATENATE("000",IFAData_TEA_1819!A2075),6),3)))</f>
        <v>210-903</v>
      </c>
      <c r="C2075" t="s">
        <v>1249</v>
      </c>
      <c r="D2075">
        <v>4</v>
      </c>
      <c r="E2075">
        <v>2328</v>
      </c>
      <c r="F2075" t="s">
        <v>5437</v>
      </c>
      <c r="G2075" t="s">
        <v>5438</v>
      </c>
      <c r="H2075">
        <v>176318</v>
      </c>
      <c r="I2075">
        <v>0</v>
      </c>
      <c r="J2075">
        <v>0</v>
      </c>
      <c r="K2075">
        <v>0</v>
      </c>
      <c r="L2075">
        <v>0</v>
      </c>
      <c r="M2075">
        <v>599</v>
      </c>
    </row>
    <row r="2076" spans="1:13" ht="15">
      <c r="A2076" t="s">
        <v>3715</v>
      </c>
      <c r="B2076" s="1040" t="str">
        <f>CONCATENATE(LEFT(RIGHT(CONCATENATE("000",IFAData_TEA_1819!A2076),6),3),"-",(RIGHT(RIGHT(CONCATENATE("000",IFAData_TEA_1819!A2076),6),3)))</f>
        <v>210-903</v>
      </c>
      <c r="C2076" t="s">
        <v>1249</v>
      </c>
      <c r="D2076">
        <v>4</v>
      </c>
      <c r="E2076">
        <v>2328</v>
      </c>
      <c r="F2076" t="s">
        <v>5437</v>
      </c>
      <c r="G2076" t="s">
        <v>6321</v>
      </c>
      <c r="H2076">
        <v>176318</v>
      </c>
      <c r="I2076">
        <v>152450</v>
      </c>
      <c r="J2076">
        <v>1</v>
      </c>
      <c r="K2076">
        <v>176318</v>
      </c>
      <c r="L2076">
        <v>152450</v>
      </c>
      <c r="M2076">
        <v>599</v>
      </c>
    </row>
    <row r="2077" spans="1:13" ht="15">
      <c r="A2077" t="s">
        <v>3716</v>
      </c>
      <c r="B2077" s="1040" t="str">
        <f>CONCATENATE(LEFT(RIGHT(CONCATENATE("000",IFAData_TEA_1819!A2077),6),3),"-",(RIGHT(RIGHT(CONCATENATE("000",IFAData_TEA_1819!A2077),6),3)))</f>
        <v>212-901</v>
      </c>
      <c r="C2077" t="s">
        <v>2115</v>
      </c>
      <c r="D2077">
        <v>6</v>
      </c>
      <c r="E2077">
        <v>1584</v>
      </c>
      <c r="F2077" t="s">
        <v>5439</v>
      </c>
      <c r="G2077" t="s">
        <v>5439</v>
      </c>
      <c r="H2077">
        <v>219258</v>
      </c>
      <c r="I2077">
        <v>0</v>
      </c>
      <c r="J2077">
        <v>0</v>
      </c>
      <c r="K2077">
        <v>0</v>
      </c>
      <c r="L2077">
        <v>0</v>
      </c>
      <c r="M2077">
        <v>599</v>
      </c>
    </row>
    <row r="2078" spans="1:13" ht="15">
      <c r="A2078" t="s">
        <v>3716</v>
      </c>
      <c r="B2078" s="1040" t="str">
        <f>CONCATENATE(LEFT(RIGHT(CONCATENATE("000",IFAData_TEA_1819!A2078),6),3),"-",(RIGHT(RIGHT(CONCATENATE("000",IFAData_TEA_1819!A2078),6),3)))</f>
        <v>212-901</v>
      </c>
      <c r="C2078" t="s">
        <v>2115</v>
      </c>
      <c r="D2078">
        <v>6</v>
      </c>
      <c r="E2078">
        <v>1584</v>
      </c>
      <c r="F2078" t="s">
        <v>5439</v>
      </c>
      <c r="G2078" t="s">
        <v>5440</v>
      </c>
      <c r="H2078">
        <v>219258</v>
      </c>
      <c r="I2078">
        <v>217905</v>
      </c>
      <c r="J2078">
        <v>0.61606771783106196</v>
      </c>
      <c r="K2078">
        <v>135077.77567620299</v>
      </c>
      <c r="L2078">
        <v>135077.77567620299</v>
      </c>
      <c r="M2078">
        <v>599</v>
      </c>
    </row>
    <row r="2079" spans="1:13" ht="15">
      <c r="A2079" t="s">
        <v>3716</v>
      </c>
      <c r="B2079" s="1040" t="str">
        <f>CONCATENATE(LEFT(RIGHT(CONCATENATE("000",IFAData_TEA_1819!A2079),6),3),"-",(RIGHT(RIGHT(CONCATENATE("000",IFAData_TEA_1819!A2079),6),3)))</f>
        <v>212-901</v>
      </c>
      <c r="C2079" t="s">
        <v>2115</v>
      </c>
      <c r="D2079">
        <v>6</v>
      </c>
      <c r="E2079">
        <v>1584</v>
      </c>
      <c r="F2079" t="s">
        <v>5439</v>
      </c>
      <c r="G2079" t="s">
        <v>5441</v>
      </c>
      <c r="H2079">
        <v>219258</v>
      </c>
      <c r="I2079">
        <v>0</v>
      </c>
      <c r="J2079">
        <v>0</v>
      </c>
      <c r="K2079">
        <v>0</v>
      </c>
      <c r="L2079">
        <v>0</v>
      </c>
      <c r="M2079">
        <v>599</v>
      </c>
    </row>
    <row r="2080" spans="1:13" ht="15">
      <c r="A2080" t="s">
        <v>3716</v>
      </c>
      <c r="B2080" s="1040" t="str">
        <f>CONCATENATE(LEFT(RIGHT(CONCATENATE("000",IFAData_TEA_1819!A2080),6),3),"-",(RIGHT(RIGHT(CONCATENATE("000",IFAData_TEA_1819!A2080),6),3)))</f>
        <v>212-901</v>
      </c>
      <c r="C2080" t="s">
        <v>2115</v>
      </c>
      <c r="D2080">
        <v>6</v>
      </c>
      <c r="E2080">
        <v>1584</v>
      </c>
      <c r="F2080" t="s">
        <v>5439</v>
      </c>
      <c r="G2080" t="s">
        <v>8497</v>
      </c>
      <c r="H2080">
        <v>219258</v>
      </c>
      <c r="I2080">
        <v>135798</v>
      </c>
      <c r="J2080">
        <v>0.38393228216893799</v>
      </c>
      <c r="K2080">
        <v>84180.224323797098</v>
      </c>
      <c r="L2080">
        <v>84180.224323797098</v>
      </c>
      <c r="M2080">
        <v>599</v>
      </c>
    </row>
    <row r="2081" spans="1:13" ht="15">
      <c r="A2081" t="s">
        <v>3717</v>
      </c>
      <c r="B2081" s="1040" t="str">
        <f>CONCATENATE(LEFT(RIGHT(CONCATENATE("000",IFAData_TEA_1819!A2081),6),3),"-",(RIGHT(RIGHT(CONCATENATE("000",IFAData_TEA_1819!A2081),6),3)))</f>
        <v>212-903</v>
      </c>
      <c r="C2081" t="s">
        <v>1996</v>
      </c>
      <c r="D2081">
        <v>10</v>
      </c>
      <c r="E2081">
        <v>2021</v>
      </c>
      <c r="F2081" t="s">
        <v>5442</v>
      </c>
      <c r="G2081" t="s">
        <v>5442</v>
      </c>
      <c r="H2081">
        <v>863361</v>
      </c>
      <c r="I2081">
        <v>1026286</v>
      </c>
      <c r="J2081">
        <v>1</v>
      </c>
      <c r="K2081">
        <v>863361</v>
      </c>
      <c r="L2081">
        <v>863361</v>
      </c>
      <c r="M2081">
        <v>599</v>
      </c>
    </row>
    <row r="2082" spans="1:13" ht="15">
      <c r="A2082" t="s">
        <v>3718</v>
      </c>
      <c r="B2082" s="1040" t="str">
        <f>CONCATENATE(LEFT(RIGHT(CONCATENATE("000",IFAData_TEA_1819!A2082),6),3),"-",(RIGHT(RIGHT(CONCATENATE("000",IFAData_TEA_1819!A2082),6),3)))</f>
        <v>212-906</v>
      </c>
      <c r="C2082" t="s">
        <v>1334</v>
      </c>
      <c r="D2082">
        <v>2</v>
      </c>
      <c r="E2082">
        <v>2451</v>
      </c>
      <c r="F2082" t="s">
        <v>5443</v>
      </c>
      <c r="G2082" t="s">
        <v>5443</v>
      </c>
      <c r="H2082">
        <v>962500</v>
      </c>
      <c r="I2082">
        <v>0</v>
      </c>
      <c r="J2082">
        <v>0</v>
      </c>
      <c r="K2082">
        <v>0</v>
      </c>
      <c r="L2082">
        <v>0</v>
      </c>
      <c r="M2082">
        <v>599</v>
      </c>
    </row>
    <row r="2083" spans="1:13" ht="15">
      <c r="A2083" t="s">
        <v>3718</v>
      </c>
      <c r="B2083" s="1040" t="str">
        <f>CONCATENATE(LEFT(RIGHT(CONCATENATE("000",IFAData_TEA_1819!A2083),6),3),"-",(RIGHT(RIGHT(CONCATENATE("000",IFAData_TEA_1819!A2083),6),3)))</f>
        <v>212-906</v>
      </c>
      <c r="C2083" t="s">
        <v>1334</v>
      </c>
      <c r="D2083">
        <v>2</v>
      </c>
      <c r="E2083">
        <v>2451</v>
      </c>
      <c r="F2083" t="s">
        <v>5443</v>
      </c>
      <c r="G2083" t="s">
        <v>5444</v>
      </c>
      <c r="H2083">
        <v>962500</v>
      </c>
      <c r="I2083">
        <v>0</v>
      </c>
      <c r="J2083">
        <v>0</v>
      </c>
      <c r="K2083">
        <v>0</v>
      </c>
      <c r="L2083">
        <v>0</v>
      </c>
      <c r="M2083">
        <v>599</v>
      </c>
    </row>
    <row r="2084" spans="1:13" ht="15">
      <c r="A2084" t="s">
        <v>3718</v>
      </c>
      <c r="B2084" s="1040" t="str">
        <f>CONCATENATE(LEFT(RIGHT(CONCATENATE("000",IFAData_TEA_1819!A2084),6),3),"-",(RIGHT(RIGHT(CONCATENATE("000",IFAData_TEA_1819!A2084),6),3)))</f>
        <v>212-906</v>
      </c>
      <c r="C2084" t="s">
        <v>1334</v>
      </c>
      <c r="D2084">
        <v>2</v>
      </c>
      <c r="E2084">
        <v>2451</v>
      </c>
      <c r="F2084" t="s">
        <v>5443</v>
      </c>
      <c r="G2084" t="s">
        <v>8498</v>
      </c>
      <c r="H2084">
        <v>962500</v>
      </c>
      <c r="I2084">
        <v>1105803</v>
      </c>
      <c r="J2084">
        <v>1</v>
      </c>
      <c r="K2084">
        <v>962500</v>
      </c>
      <c r="L2084">
        <v>962500</v>
      </c>
      <c r="M2084">
        <v>599</v>
      </c>
    </row>
    <row r="2085" spans="1:13" ht="15">
      <c r="A2085" t="s">
        <v>3719</v>
      </c>
      <c r="B2085" s="1040" t="str">
        <f>CONCATENATE(LEFT(RIGHT(CONCATENATE("000",IFAData_TEA_1819!A2085),6),3),"-",(RIGHT(RIGHT(CONCATENATE("000",IFAData_TEA_1819!A2085),6),3)))</f>
        <v>212-909</v>
      </c>
      <c r="C2085" t="s">
        <v>660</v>
      </c>
      <c r="D2085">
        <v>9</v>
      </c>
      <c r="E2085">
        <v>1681</v>
      </c>
      <c r="F2085" t="s">
        <v>5445</v>
      </c>
      <c r="G2085" t="s">
        <v>5445</v>
      </c>
      <c r="H2085">
        <v>722890</v>
      </c>
      <c r="I2085">
        <v>0</v>
      </c>
      <c r="J2085">
        <v>0</v>
      </c>
      <c r="K2085">
        <v>0</v>
      </c>
      <c r="L2085">
        <v>0</v>
      </c>
      <c r="M2085">
        <v>599</v>
      </c>
    </row>
    <row r="2086" spans="1:13" ht="15">
      <c r="A2086" t="s">
        <v>3719</v>
      </c>
      <c r="B2086" s="1040" t="str">
        <f>CONCATENATE(LEFT(RIGHT(CONCATENATE("000",IFAData_TEA_1819!A2086),6),3),"-",(RIGHT(RIGHT(CONCATENATE("000",IFAData_TEA_1819!A2086),6),3)))</f>
        <v>212-909</v>
      </c>
      <c r="C2086" t="s">
        <v>660</v>
      </c>
      <c r="D2086">
        <v>9</v>
      </c>
      <c r="E2086">
        <v>1681</v>
      </c>
      <c r="F2086" t="s">
        <v>5445</v>
      </c>
      <c r="G2086" t="s">
        <v>6322</v>
      </c>
      <c r="H2086">
        <v>722890</v>
      </c>
      <c r="I2086">
        <v>282156</v>
      </c>
      <c r="J2086">
        <v>0.27147351710203499</v>
      </c>
      <c r="K2086">
        <v>196245.49077788999</v>
      </c>
      <c r="L2086">
        <v>196245.49077788999</v>
      </c>
      <c r="M2086">
        <v>599</v>
      </c>
    </row>
    <row r="2087" spans="1:13" ht="15">
      <c r="A2087" t="s">
        <v>3719</v>
      </c>
      <c r="B2087" s="1040" t="str">
        <f>CONCATENATE(LEFT(RIGHT(CONCATENATE("000",IFAData_TEA_1819!A2087),6),3),"-",(RIGHT(RIGHT(CONCATENATE("000",IFAData_TEA_1819!A2087),6),3)))</f>
        <v>212-909</v>
      </c>
      <c r="C2087" t="s">
        <v>660</v>
      </c>
      <c r="D2087">
        <v>9</v>
      </c>
      <c r="E2087">
        <v>1681</v>
      </c>
      <c r="F2087" t="s">
        <v>5445</v>
      </c>
      <c r="G2087" t="s">
        <v>6323</v>
      </c>
      <c r="H2087">
        <v>722890</v>
      </c>
      <c r="I2087">
        <v>757194</v>
      </c>
      <c r="J2087">
        <v>0.72852648289796496</v>
      </c>
      <c r="K2087">
        <v>526644.50922211003</v>
      </c>
      <c r="L2087">
        <v>526644.50922211003</v>
      </c>
      <c r="M2087">
        <v>599</v>
      </c>
    </row>
    <row r="2088" spans="1:13" ht="15">
      <c r="A2088" t="s">
        <v>3720</v>
      </c>
      <c r="B2088" s="1040" t="str">
        <f>CONCATENATE(LEFT(RIGHT(CONCATENATE("000",IFAData_TEA_1819!A2088),6),3),"-",(RIGHT(RIGHT(CONCATENATE("000",IFAData_TEA_1819!A2088),6),3)))</f>
        <v>214-901</v>
      </c>
      <c r="C2088" t="s">
        <v>2693</v>
      </c>
      <c r="D2088">
        <v>2</v>
      </c>
      <c r="E2088">
        <v>2239</v>
      </c>
      <c r="F2088" t="s">
        <v>5446</v>
      </c>
      <c r="G2088" t="s">
        <v>5446</v>
      </c>
      <c r="H2088">
        <v>595803</v>
      </c>
      <c r="I2088">
        <v>0</v>
      </c>
      <c r="J2088">
        <v>0</v>
      </c>
      <c r="K2088"/>
      <c r="L2088">
        <v>0</v>
      </c>
      <c r="M2088">
        <v>199</v>
      </c>
    </row>
    <row r="2089" spans="1:13" ht="15">
      <c r="A2089" t="s">
        <v>3720</v>
      </c>
      <c r="B2089" s="1040" t="str">
        <f>CONCATENATE(LEFT(RIGHT(CONCATENATE("000",IFAData_TEA_1819!A2089),6),3),"-",(RIGHT(RIGHT(CONCATENATE("000",IFAData_TEA_1819!A2089),6),3)))</f>
        <v>214-901</v>
      </c>
      <c r="C2089" t="s">
        <v>2693</v>
      </c>
      <c r="D2089">
        <v>4</v>
      </c>
      <c r="E2089">
        <v>2242</v>
      </c>
      <c r="F2089" t="s">
        <v>5447</v>
      </c>
      <c r="G2089" t="s">
        <v>5447</v>
      </c>
      <c r="H2089">
        <v>1967288</v>
      </c>
      <c r="I2089">
        <v>0</v>
      </c>
      <c r="J2089">
        <v>0</v>
      </c>
      <c r="K2089">
        <v>0</v>
      </c>
      <c r="L2089">
        <v>0</v>
      </c>
      <c r="M2089">
        <v>599</v>
      </c>
    </row>
    <row r="2090" spans="1:13" ht="15">
      <c r="A2090" t="s">
        <v>3720</v>
      </c>
      <c r="B2090" s="1040" t="str">
        <f>CONCATENATE(LEFT(RIGHT(CONCATENATE("000",IFAData_TEA_1819!A2090),6),3),"-",(RIGHT(RIGHT(CONCATENATE("000",IFAData_TEA_1819!A2090),6),3)))</f>
        <v>214-901</v>
      </c>
      <c r="C2090" t="s">
        <v>2693</v>
      </c>
      <c r="D2090">
        <v>4</v>
      </c>
      <c r="E2090">
        <v>2242</v>
      </c>
      <c r="F2090" t="s">
        <v>5447</v>
      </c>
      <c r="G2090" t="s">
        <v>5448</v>
      </c>
      <c r="H2090">
        <v>1967288</v>
      </c>
      <c r="I2090">
        <v>0</v>
      </c>
      <c r="J2090">
        <v>0</v>
      </c>
      <c r="K2090">
        <v>0</v>
      </c>
      <c r="L2090">
        <v>0</v>
      </c>
      <c r="M2090">
        <v>599</v>
      </c>
    </row>
    <row r="2091" spans="1:13" ht="15">
      <c r="A2091" t="s">
        <v>3720</v>
      </c>
      <c r="B2091" s="1040" t="str">
        <f>CONCATENATE(LEFT(RIGHT(CONCATENATE("000",IFAData_TEA_1819!A2091),6),3),"-",(RIGHT(RIGHT(CONCATENATE("000",IFAData_TEA_1819!A2091),6),3)))</f>
        <v>214-901</v>
      </c>
      <c r="C2091" t="s">
        <v>2693</v>
      </c>
      <c r="D2091">
        <v>4</v>
      </c>
      <c r="E2091">
        <v>2242</v>
      </c>
      <c r="F2091" t="s">
        <v>5447</v>
      </c>
      <c r="G2091" t="s">
        <v>6324</v>
      </c>
      <c r="H2091">
        <v>1967288</v>
      </c>
      <c r="I2091">
        <v>1688750</v>
      </c>
      <c r="J2091">
        <v>1</v>
      </c>
      <c r="K2091">
        <v>1967288</v>
      </c>
      <c r="L2091">
        <v>1688750</v>
      </c>
      <c r="M2091">
        <v>599</v>
      </c>
    </row>
    <row r="2092" spans="1:13" ht="15">
      <c r="A2092" t="s">
        <v>3720</v>
      </c>
      <c r="B2092" s="1040" t="str">
        <f>CONCATENATE(LEFT(RIGHT(CONCATENATE("000",IFAData_TEA_1819!A2092),6),3),"-",(RIGHT(RIGHT(CONCATENATE("000",IFAData_TEA_1819!A2092),6),3)))</f>
        <v>214-901</v>
      </c>
      <c r="C2092" t="s">
        <v>2693</v>
      </c>
      <c r="D2092">
        <v>6</v>
      </c>
      <c r="E2092">
        <v>2241</v>
      </c>
      <c r="F2092" t="s">
        <v>5449</v>
      </c>
      <c r="G2092" t="s">
        <v>5449</v>
      </c>
      <c r="H2092">
        <v>1797043</v>
      </c>
      <c r="I2092">
        <v>0</v>
      </c>
      <c r="J2092">
        <v>0</v>
      </c>
      <c r="K2092">
        <v>0</v>
      </c>
      <c r="L2092">
        <v>0</v>
      </c>
      <c r="M2092">
        <v>599</v>
      </c>
    </row>
    <row r="2093" spans="1:13" ht="15">
      <c r="A2093" t="s">
        <v>3720</v>
      </c>
      <c r="B2093" s="1040" t="str">
        <f>CONCATENATE(LEFT(RIGHT(CONCATENATE("000",IFAData_TEA_1819!A2093),6),3),"-",(RIGHT(RIGHT(CONCATENATE("000",IFAData_TEA_1819!A2093),6),3)))</f>
        <v>214-901</v>
      </c>
      <c r="C2093" t="s">
        <v>2693</v>
      </c>
      <c r="D2093">
        <v>6</v>
      </c>
      <c r="E2093">
        <v>2241</v>
      </c>
      <c r="F2093" t="s">
        <v>5449</v>
      </c>
      <c r="G2093" t="s">
        <v>5450</v>
      </c>
      <c r="H2093">
        <v>1797043</v>
      </c>
      <c r="I2093">
        <v>550215</v>
      </c>
      <c r="J2093">
        <v>0.59314442058420203</v>
      </c>
      <c r="K2093">
        <v>1065906.0289999</v>
      </c>
      <c r="L2093">
        <v>550215</v>
      </c>
      <c r="M2093">
        <v>599</v>
      </c>
    </row>
    <row r="2094" spans="1:13" ht="15">
      <c r="A2094" t="s">
        <v>3720</v>
      </c>
      <c r="B2094" s="1040" t="str">
        <f>CONCATENATE(LEFT(RIGHT(CONCATENATE("000",IFAData_TEA_1819!A2094),6),3),"-",(RIGHT(RIGHT(CONCATENATE("000",IFAData_TEA_1819!A2094),6),3)))</f>
        <v>214-901</v>
      </c>
      <c r="C2094" t="s">
        <v>2693</v>
      </c>
      <c r="D2094">
        <v>6</v>
      </c>
      <c r="E2094">
        <v>2241</v>
      </c>
      <c r="F2094" t="s">
        <v>5449</v>
      </c>
      <c r="G2094" t="s">
        <v>5451</v>
      </c>
      <c r="H2094">
        <v>1797043</v>
      </c>
      <c r="I2094">
        <v>377409</v>
      </c>
      <c r="J2094">
        <v>0.40685557941579797</v>
      </c>
      <c r="K2094">
        <v>731136.97100010398</v>
      </c>
      <c r="L2094">
        <v>377409</v>
      </c>
      <c r="M2094">
        <v>599</v>
      </c>
    </row>
    <row r="2095" spans="1:13" ht="15">
      <c r="A2095" t="s">
        <v>3720</v>
      </c>
      <c r="B2095" s="1040" t="str">
        <f>CONCATENATE(LEFT(RIGHT(CONCATENATE("000",IFAData_TEA_1819!A2095),6),3),"-",(RIGHT(RIGHT(CONCATENATE("000",IFAData_TEA_1819!A2095),6),3)))</f>
        <v>214-901</v>
      </c>
      <c r="C2095" t="s">
        <v>2693</v>
      </c>
      <c r="D2095">
        <v>7</v>
      </c>
      <c r="E2095">
        <v>2240</v>
      </c>
      <c r="F2095" t="s">
        <v>5452</v>
      </c>
      <c r="G2095" t="s">
        <v>5452</v>
      </c>
      <c r="H2095">
        <v>1469426</v>
      </c>
      <c r="I2095">
        <v>0</v>
      </c>
      <c r="J2095">
        <v>0</v>
      </c>
      <c r="K2095">
        <v>0</v>
      </c>
      <c r="L2095">
        <v>0</v>
      </c>
      <c r="M2095">
        <v>599</v>
      </c>
    </row>
    <row r="2096" spans="1:13" ht="15">
      <c r="A2096" t="s">
        <v>3720</v>
      </c>
      <c r="B2096" s="1040" t="str">
        <f>CONCATENATE(LEFT(RIGHT(CONCATENATE("000",IFAData_TEA_1819!A2096),6),3),"-",(RIGHT(RIGHT(CONCATENATE("000",IFAData_TEA_1819!A2096),6),3)))</f>
        <v>214-901</v>
      </c>
      <c r="C2096" t="s">
        <v>2693</v>
      </c>
      <c r="D2096">
        <v>7</v>
      </c>
      <c r="E2096">
        <v>2240</v>
      </c>
      <c r="F2096" t="s">
        <v>5452</v>
      </c>
      <c r="G2096" t="s">
        <v>5453</v>
      </c>
      <c r="H2096">
        <v>1469426</v>
      </c>
      <c r="I2096">
        <v>1356325</v>
      </c>
      <c r="J2096">
        <v>1</v>
      </c>
      <c r="K2096">
        <v>1469426</v>
      </c>
      <c r="L2096">
        <v>1356325</v>
      </c>
      <c r="M2096">
        <v>599</v>
      </c>
    </row>
    <row r="2097" spans="1:13" ht="15">
      <c r="A2097" t="s">
        <v>3720</v>
      </c>
      <c r="B2097" s="1040" t="str">
        <f>CONCATENATE(LEFT(RIGHT(CONCATENATE("000",IFAData_TEA_1819!A2097),6),3),"-",(RIGHT(RIGHT(CONCATENATE("000",IFAData_TEA_1819!A2097),6),3)))</f>
        <v>214-901</v>
      </c>
      <c r="C2097" t="s">
        <v>2693</v>
      </c>
      <c r="D2097">
        <v>8</v>
      </c>
      <c r="E2097">
        <v>2244</v>
      </c>
      <c r="F2097" t="s">
        <v>5454</v>
      </c>
      <c r="G2097" t="s">
        <v>5454</v>
      </c>
      <c r="H2097">
        <v>2370209</v>
      </c>
      <c r="I2097">
        <v>0</v>
      </c>
      <c r="J2097">
        <v>0</v>
      </c>
      <c r="K2097">
        <v>0</v>
      </c>
      <c r="L2097">
        <v>0</v>
      </c>
      <c r="M2097">
        <v>599</v>
      </c>
    </row>
    <row r="2098" spans="1:13" ht="15">
      <c r="A2098" t="s">
        <v>3720</v>
      </c>
      <c r="B2098" s="1040" t="str">
        <f>CONCATENATE(LEFT(RIGHT(CONCATENATE("000",IFAData_TEA_1819!A2098),6),3),"-",(RIGHT(RIGHT(CONCATENATE("000",IFAData_TEA_1819!A2098),6),3)))</f>
        <v>214-901</v>
      </c>
      <c r="C2098" t="s">
        <v>2693</v>
      </c>
      <c r="D2098">
        <v>8</v>
      </c>
      <c r="E2098">
        <v>2244</v>
      </c>
      <c r="F2098" t="s">
        <v>5454</v>
      </c>
      <c r="G2098" t="s">
        <v>6536</v>
      </c>
      <c r="H2098">
        <v>2370209</v>
      </c>
      <c r="I2098">
        <v>2123075</v>
      </c>
      <c r="J2098">
        <v>1</v>
      </c>
      <c r="K2098">
        <v>2370209</v>
      </c>
      <c r="L2098">
        <v>2123075</v>
      </c>
      <c r="M2098">
        <v>599</v>
      </c>
    </row>
    <row r="2099" spans="1:13" ht="15">
      <c r="A2099" t="s">
        <v>3720</v>
      </c>
      <c r="B2099" s="1040" t="str">
        <f>CONCATENATE(LEFT(RIGHT(CONCATENATE("000",IFAData_TEA_1819!A2099),6),3),"-",(RIGHT(RIGHT(CONCATENATE("000",IFAData_TEA_1819!A2099),6),3)))</f>
        <v>214-901</v>
      </c>
      <c r="C2099" t="s">
        <v>2693</v>
      </c>
      <c r="D2099">
        <v>10</v>
      </c>
      <c r="E2099">
        <v>2243</v>
      </c>
      <c r="F2099" t="s">
        <v>5455</v>
      </c>
      <c r="G2099" t="s">
        <v>5455</v>
      </c>
      <c r="H2099">
        <v>2133360</v>
      </c>
      <c r="I2099">
        <v>1891560</v>
      </c>
      <c r="J2099">
        <v>0.90308227026201204</v>
      </c>
      <c r="K2099">
        <v>1926599.5920861701</v>
      </c>
      <c r="L2099">
        <v>1891560</v>
      </c>
      <c r="M2099">
        <v>599</v>
      </c>
    </row>
    <row r="2100" spans="1:13" ht="15">
      <c r="A2100" t="s">
        <v>3720</v>
      </c>
      <c r="B2100" s="1040" t="str">
        <f>CONCATENATE(LEFT(RIGHT(CONCATENATE("000",IFAData_TEA_1819!A2100),6),3),"-",(RIGHT(RIGHT(CONCATENATE("000",IFAData_TEA_1819!A2100),6),3)))</f>
        <v>214-901</v>
      </c>
      <c r="C2100" t="s">
        <v>2693</v>
      </c>
      <c r="D2100">
        <v>10</v>
      </c>
      <c r="E2100">
        <v>2243</v>
      </c>
      <c r="F2100" t="s">
        <v>5455</v>
      </c>
      <c r="G2100" t="s">
        <v>8499</v>
      </c>
      <c r="H2100">
        <v>2133360</v>
      </c>
      <c r="I2100">
        <v>203000</v>
      </c>
      <c r="J2100">
        <v>9.6917729737987901E-2</v>
      </c>
      <c r="K2100">
        <v>206760.407913834</v>
      </c>
      <c r="L2100">
        <v>203000</v>
      </c>
      <c r="M2100">
        <v>599</v>
      </c>
    </row>
    <row r="2101" spans="1:13" ht="15">
      <c r="A2101" t="s">
        <v>3721</v>
      </c>
      <c r="B2101" s="1040" t="str">
        <f>CONCATENATE(LEFT(RIGHT(CONCATENATE("000",IFAData_TEA_1819!A2101),6),3),"-",(RIGHT(RIGHT(CONCATENATE("000",IFAData_TEA_1819!A2101),6),3)))</f>
        <v>214-903</v>
      </c>
      <c r="C2101" t="s">
        <v>608</v>
      </c>
      <c r="D2101">
        <v>4</v>
      </c>
      <c r="E2101">
        <v>2262</v>
      </c>
      <c r="F2101" t="s">
        <v>5456</v>
      </c>
      <c r="G2101" t="s">
        <v>5456</v>
      </c>
      <c r="H2101">
        <v>1385266</v>
      </c>
      <c r="I2101">
        <v>0</v>
      </c>
      <c r="J2101">
        <v>0</v>
      </c>
      <c r="K2101">
        <v>0</v>
      </c>
      <c r="L2101">
        <v>0</v>
      </c>
      <c r="M2101">
        <v>599</v>
      </c>
    </row>
    <row r="2102" spans="1:13" ht="15">
      <c r="A2102" t="s">
        <v>3721</v>
      </c>
      <c r="B2102" s="1040" t="str">
        <f>CONCATENATE(LEFT(RIGHT(CONCATENATE("000",IFAData_TEA_1819!A2102),6),3),"-",(RIGHT(RIGHT(CONCATENATE("000",IFAData_TEA_1819!A2102),6),3)))</f>
        <v>214-903</v>
      </c>
      <c r="C2102" t="s">
        <v>608</v>
      </c>
      <c r="D2102">
        <v>4</v>
      </c>
      <c r="E2102">
        <v>2262</v>
      </c>
      <c r="F2102" t="s">
        <v>5456</v>
      </c>
      <c r="G2102" t="s">
        <v>5457</v>
      </c>
      <c r="H2102">
        <v>1385266</v>
      </c>
      <c r="I2102">
        <v>0</v>
      </c>
      <c r="J2102">
        <v>0</v>
      </c>
      <c r="K2102">
        <v>0</v>
      </c>
      <c r="L2102">
        <v>0</v>
      </c>
      <c r="M2102">
        <v>599</v>
      </c>
    </row>
    <row r="2103" spans="1:13" ht="15">
      <c r="A2103" t="s">
        <v>3721</v>
      </c>
      <c r="B2103" s="1040" t="str">
        <f>CONCATENATE(LEFT(RIGHT(CONCATENATE("000",IFAData_TEA_1819!A2103),6),3),"-",(RIGHT(RIGHT(CONCATENATE("000",IFAData_TEA_1819!A2103),6),3)))</f>
        <v>214-903</v>
      </c>
      <c r="C2103" t="s">
        <v>608</v>
      </c>
      <c r="D2103">
        <v>4</v>
      </c>
      <c r="E2103">
        <v>2262</v>
      </c>
      <c r="F2103" t="s">
        <v>5456</v>
      </c>
      <c r="G2103" t="s">
        <v>6325</v>
      </c>
      <c r="H2103">
        <v>1385266</v>
      </c>
      <c r="I2103">
        <v>1179400</v>
      </c>
      <c r="J2103">
        <v>1</v>
      </c>
      <c r="K2103">
        <v>1385266</v>
      </c>
      <c r="L2103">
        <v>1179400</v>
      </c>
      <c r="M2103">
        <v>599</v>
      </c>
    </row>
    <row r="2104" spans="1:13" ht="15">
      <c r="A2104" t="s">
        <v>3721</v>
      </c>
      <c r="B2104" s="1040" t="str">
        <f>CONCATENATE(LEFT(RIGHT(CONCATENATE("000",IFAData_TEA_1819!A2104),6),3),"-",(RIGHT(RIGHT(CONCATENATE("000",IFAData_TEA_1819!A2104),6),3)))</f>
        <v>214-903</v>
      </c>
      <c r="C2104" t="s">
        <v>608</v>
      </c>
      <c r="D2104">
        <v>7</v>
      </c>
      <c r="E2104">
        <v>2260</v>
      </c>
      <c r="F2104" t="s">
        <v>5458</v>
      </c>
      <c r="G2104" t="s">
        <v>5458</v>
      </c>
      <c r="H2104">
        <v>816105</v>
      </c>
      <c r="I2104">
        <v>0</v>
      </c>
      <c r="J2104">
        <v>0</v>
      </c>
      <c r="K2104">
        <v>0</v>
      </c>
      <c r="L2104">
        <v>0</v>
      </c>
      <c r="M2104">
        <v>599</v>
      </c>
    </row>
    <row r="2105" spans="1:13" ht="15">
      <c r="A2105" t="s">
        <v>3721</v>
      </c>
      <c r="B2105" s="1040" t="str">
        <f>CONCATENATE(LEFT(RIGHT(CONCATENATE("000",IFAData_TEA_1819!A2105),6),3),"-",(RIGHT(RIGHT(CONCATENATE("000",IFAData_TEA_1819!A2105),6),3)))</f>
        <v>214-903</v>
      </c>
      <c r="C2105" t="s">
        <v>608</v>
      </c>
      <c r="D2105">
        <v>7</v>
      </c>
      <c r="E2105">
        <v>2260</v>
      </c>
      <c r="F2105" t="s">
        <v>5458</v>
      </c>
      <c r="G2105" t="s">
        <v>5459</v>
      </c>
      <c r="H2105">
        <v>816105</v>
      </c>
      <c r="I2105">
        <v>738100</v>
      </c>
      <c r="J2105">
        <v>1</v>
      </c>
      <c r="K2105">
        <v>816105</v>
      </c>
      <c r="L2105">
        <v>738100</v>
      </c>
      <c r="M2105">
        <v>599</v>
      </c>
    </row>
    <row r="2106" spans="1:13" ht="15">
      <c r="A2106" t="s">
        <v>3721</v>
      </c>
      <c r="B2106" s="1040" t="str">
        <f>CONCATENATE(LEFT(RIGHT(CONCATENATE("000",IFAData_TEA_1819!A2106),6),3),"-",(RIGHT(RIGHT(CONCATENATE("000",IFAData_TEA_1819!A2106),6),3)))</f>
        <v>214-903</v>
      </c>
      <c r="C2106" t="s">
        <v>608</v>
      </c>
      <c r="D2106">
        <v>8</v>
      </c>
      <c r="E2106">
        <v>2263</v>
      </c>
      <c r="F2106" t="s">
        <v>5460</v>
      </c>
      <c r="G2106" t="s">
        <v>5460</v>
      </c>
      <c r="H2106">
        <v>1448810</v>
      </c>
      <c r="I2106">
        <v>0</v>
      </c>
      <c r="J2106">
        <v>0</v>
      </c>
      <c r="K2106">
        <v>0</v>
      </c>
      <c r="L2106">
        <v>0</v>
      </c>
      <c r="M2106">
        <v>599</v>
      </c>
    </row>
    <row r="2107" spans="1:13" ht="15">
      <c r="A2107" t="s">
        <v>3721</v>
      </c>
      <c r="B2107" s="1040" t="str">
        <f>CONCATENATE(LEFT(RIGHT(CONCATENATE("000",IFAData_TEA_1819!A2107),6),3),"-",(RIGHT(RIGHT(CONCATENATE("000",IFAData_TEA_1819!A2107),6),3)))</f>
        <v>214-903</v>
      </c>
      <c r="C2107" t="s">
        <v>608</v>
      </c>
      <c r="D2107">
        <v>8</v>
      </c>
      <c r="E2107">
        <v>2263</v>
      </c>
      <c r="F2107" t="s">
        <v>5460</v>
      </c>
      <c r="G2107" t="s">
        <v>5461</v>
      </c>
      <c r="H2107">
        <v>1448810</v>
      </c>
      <c r="I2107">
        <v>353525</v>
      </c>
      <c r="J2107">
        <v>0.26865643285964003</v>
      </c>
      <c r="K2107">
        <v>389232.12649137498</v>
      </c>
      <c r="L2107">
        <v>353525</v>
      </c>
      <c r="M2107">
        <v>599</v>
      </c>
    </row>
    <row r="2108" spans="1:13" ht="15">
      <c r="A2108" t="s">
        <v>3721</v>
      </c>
      <c r="B2108" s="1040" t="str">
        <f>CONCATENATE(LEFT(RIGHT(CONCATENATE("000",IFAData_TEA_1819!A2108),6),3),"-",(RIGHT(RIGHT(CONCATENATE("000",IFAData_TEA_1819!A2108),6),3)))</f>
        <v>214-903</v>
      </c>
      <c r="C2108" t="s">
        <v>608</v>
      </c>
      <c r="D2108">
        <v>8</v>
      </c>
      <c r="E2108">
        <v>2263</v>
      </c>
      <c r="F2108" t="s">
        <v>5460</v>
      </c>
      <c r="G2108" t="s">
        <v>5462</v>
      </c>
      <c r="H2108">
        <v>1448810</v>
      </c>
      <c r="I2108">
        <v>962375</v>
      </c>
      <c r="J2108">
        <v>0.73134356714035997</v>
      </c>
      <c r="K2108">
        <v>1059577.8735086301</v>
      </c>
      <c r="L2108">
        <v>962375</v>
      </c>
      <c r="M2108">
        <v>599</v>
      </c>
    </row>
    <row r="2109" spans="1:13" ht="15">
      <c r="A2109" t="s">
        <v>3721</v>
      </c>
      <c r="B2109" s="1040" t="str">
        <f>CONCATENATE(LEFT(RIGHT(CONCATENATE("000",IFAData_TEA_1819!A2109),6),3),"-",(RIGHT(RIGHT(CONCATENATE("000",IFAData_TEA_1819!A2109),6),3)))</f>
        <v>214-903</v>
      </c>
      <c r="C2109" t="s">
        <v>608</v>
      </c>
      <c r="D2109">
        <v>9</v>
      </c>
      <c r="E2109">
        <v>2261</v>
      </c>
      <c r="F2109" t="s">
        <v>5463</v>
      </c>
      <c r="G2109" t="s">
        <v>5463</v>
      </c>
      <c r="H2109">
        <v>1016430</v>
      </c>
      <c r="I2109">
        <v>0</v>
      </c>
      <c r="J2109">
        <v>0</v>
      </c>
      <c r="K2109">
        <v>0</v>
      </c>
      <c r="L2109">
        <v>0</v>
      </c>
      <c r="M2109">
        <v>599</v>
      </c>
    </row>
    <row r="2110" spans="1:13" ht="15">
      <c r="A2110" t="s">
        <v>3721</v>
      </c>
      <c r="B2110" s="1040" t="str">
        <f>CONCATENATE(LEFT(RIGHT(CONCATENATE("000",IFAData_TEA_1819!A2110),6),3),"-",(RIGHT(RIGHT(CONCATENATE("000",IFAData_TEA_1819!A2110),6),3)))</f>
        <v>214-903</v>
      </c>
      <c r="C2110" t="s">
        <v>608</v>
      </c>
      <c r="D2110">
        <v>9</v>
      </c>
      <c r="E2110">
        <v>2261</v>
      </c>
      <c r="F2110" t="s">
        <v>5463</v>
      </c>
      <c r="G2110" t="s">
        <v>6537</v>
      </c>
      <c r="H2110">
        <v>1016430</v>
      </c>
      <c r="I2110">
        <v>942900</v>
      </c>
      <c r="J2110">
        <v>1</v>
      </c>
      <c r="K2110">
        <v>1016430</v>
      </c>
      <c r="L2110">
        <v>942900</v>
      </c>
      <c r="M2110">
        <v>599</v>
      </c>
    </row>
    <row r="2111" spans="1:13" ht="15">
      <c r="A2111" t="s">
        <v>3721</v>
      </c>
      <c r="B2111" s="1040" t="str">
        <f>CONCATENATE(LEFT(RIGHT(CONCATENATE("000",IFAData_TEA_1819!A2111),6),3),"-",(RIGHT(RIGHT(CONCATENATE("000",IFAData_TEA_1819!A2111),6),3)))</f>
        <v>214-903</v>
      </c>
      <c r="C2111" t="s">
        <v>608</v>
      </c>
      <c r="D2111">
        <v>10</v>
      </c>
      <c r="E2111">
        <v>2259</v>
      </c>
      <c r="F2111" t="s">
        <v>5464</v>
      </c>
      <c r="G2111" t="s">
        <v>5464</v>
      </c>
      <c r="H2111">
        <v>623963</v>
      </c>
      <c r="I2111">
        <v>617112</v>
      </c>
      <c r="J2111">
        <v>1</v>
      </c>
      <c r="K2111">
        <v>623963</v>
      </c>
      <c r="L2111">
        <v>617112</v>
      </c>
      <c r="M2111">
        <v>599</v>
      </c>
    </row>
    <row r="2112" spans="1:13" ht="15">
      <c r="A2112" t="s">
        <v>3721</v>
      </c>
      <c r="B2112" s="1040" t="str">
        <f>CONCATENATE(LEFT(RIGHT(CONCATENATE("000",IFAData_TEA_1819!A2112),6),3),"-",(RIGHT(RIGHT(CONCATENATE("000",IFAData_TEA_1819!A2112),6),3)))</f>
        <v>214-903</v>
      </c>
      <c r="C2112" t="s">
        <v>608</v>
      </c>
      <c r="D2112">
        <v>11</v>
      </c>
      <c r="E2112">
        <v>2477</v>
      </c>
      <c r="F2112" t="s">
        <v>8500</v>
      </c>
      <c r="G2112" t="s">
        <v>8500</v>
      </c>
      <c r="H2112">
        <v>1318001</v>
      </c>
      <c r="I2112">
        <v>1316850</v>
      </c>
      <c r="J2112">
        <v>1</v>
      </c>
      <c r="K2112">
        <v>1318001</v>
      </c>
      <c r="L2112">
        <v>1316850</v>
      </c>
      <c r="M2112">
        <v>599</v>
      </c>
    </row>
    <row r="2113" spans="1:13" ht="15">
      <c r="A2113" t="s">
        <v>3722</v>
      </c>
      <c r="B2113" s="1040" t="str">
        <f>CONCATENATE(LEFT(RIGHT(CONCATENATE("000",IFAData_TEA_1819!A2113),6),3),"-",(RIGHT(RIGHT(CONCATENATE("000",IFAData_TEA_1819!A2113),6),3)))</f>
        <v>220-901</v>
      </c>
      <c r="C2113" t="s">
        <v>2421</v>
      </c>
      <c r="D2113">
        <v>1</v>
      </c>
      <c r="E2113">
        <v>1583</v>
      </c>
      <c r="F2113" t="s">
        <v>5465</v>
      </c>
      <c r="G2113" t="s">
        <v>5465</v>
      </c>
      <c r="H2113">
        <v>5173531</v>
      </c>
      <c r="I2113">
        <v>0</v>
      </c>
      <c r="J2113">
        <v>0</v>
      </c>
      <c r="K2113">
        <v>0</v>
      </c>
      <c r="L2113">
        <v>0</v>
      </c>
      <c r="M2113">
        <v>599</v>
      </c>
    </row>
    <row r="2114" spans="1:13" ht="15">
      <c r="A2114" t="s">
        <v>3722</v>
      </c>
      <c r="B2114" s="1040" t="str">
        <f>CONCATENATE(LEFT(RIGHT(CONCATENATE("000",IFAData_TEA_1819!A2114),6),3),"-",(RIGHT(RIGHT(CONCATENATE("000",IFAData_TEA_1819!A2114),6),3)))</f>
        <v>220-901</v>
      </c>
      <c r="C2114" t="s">
        <v>2421</v>
      </c>
      <c r="D2114">
        <v>1</v>
      </c>
      <c r="E2114">
        <v>1583</v>
      </c>
      <c r="F2114" t="s">
        <v>5465</v>
      </c>
      <c r="G2114" t="s">
        <v>5466</v>
      </c>
      <c r="H2114">
        <v>5173531</v>
      </c>
      <c r="I2114">
        <v>0</v>
      </c>
      <c r="J2114">
        <v>0</v>
      </c>
      <c r="K2114">
        <v>0</v>
      </c>
      <c r="L2114">
        <v>0</v>
      </c>
      <c r="M2114">
        <v>599</v>
      </c>
    </row>
    <row r="2115" spans="1:13" ht="15">
      <c r="A2115" t="s">
        <v>3722</v>
      </c>
      <c r="B2115" s="1040" t="str">
        <f>CONCATENATE(LEFT(RIGHT(CONCATENATE("000",IFAData_TEA_1819!A2115),6),3),"-",(RIGHT(RIGHT(CONCATENATE("000",IFAData_TEA_1819!A2115),6),3)))</f>
        <v>220-901</v>
      </c>
      <c r="C2115" t="s">
        <v>2421</v>
      </c>
      <c r="D2115">
        <v>1</v>
      </c>
      <c r="E2115">
        <v>1583</v>
      </c>
      <c r="F2115" t="s">
        <v>5465</v>
      </c>
      <c r="G2115" t="s">
        <v>5467</v>
      </c>
      <c r="H2115">
        <v>5173531</v>
      </c>
      <c r="I2115">
        <v>3806486</v>
      </c>
      <c r="J2115">
        <v>1</v>
      </c>
      <c r="K2115">
        <v>5173531</v>
      </c>
      <c r="L2115">
        <v>3806486</v>
      </c>
      <c r="M2115">
        <v>599</v>
      </c>
    </row>
    <row r="2116" spans="1:13" ht="15">
      <c r="A2116" t="s">
        <v>3722</v>
      </c>
      <c r="B2116" s="1040" t="str">
        <f>CONCATENATE(LEFT(RIGHT(CONCATENATE("000",IFAData_TEA_1819!A2116),6),3),"-",(RIGHT(RIGHT(CONCATENATE("000",IFAData_TEA_1819!A2116),6),3)))</f>
        <v>220-901</v>
      </c>
      <c r="C2116" t="s">
        <v>2421</v>
      </c>
      <c r="D2116">
        <v>1</v>
      </c>
      <c r="E2116">
        <v>1583</v>
      </c>
      <c r="F2116" t="s">
        <v>5465</v>
      </c>
      <c r="G2116" t="s">
        <v>5468</v>
      </c>
      <c r="H2116">
        <v>5173531</v>
      </c>
      <c r="I2116">
        <v>0</v>
      </c>
      <c r="J2116">
        <v>0</v>
      </c>
      <c r="K2116">
        <v>0</v>
      </c>
      <c r="L2116">
        <v>0</v>
      </c>
      <c r="M2116">
        <v>599</v>
      </c>
    </row>
    <row r="2117" spans="1:13" ht="15">
      <c r="A2117" t="s">
        <v>3723</v>
      </c>
      <c r="B2117" s="1040" t="str">
        <f>CONCATENATE(LEFT(RIGHT(CONCATENATE("000",IFAData_TEA_1819!A2117),6),3),"-",(RIGHT(RIGHT(CONCATENATE("000",IFAData_TEA_1819!A2117),6),3)))</f>
        <v>220-902</v>
      </c>
      <c r="C2117" t="s">
        <v>797</v>
      </c>
      <c r="D2117">
        <v>1</v>
      </c>
      <c r="E2117">
        <v>1609</v>
      </c>
      <c r="F2117" t="s">
        <v>5469</v>
      </c>
      <c r="G2117" t="s">
        <v>5469</v>
      </c>
      <c r="H2117">
        <v>796895</v>
      </c>
      <c r="I2117">
        <v>0</v>
      </c>
      <c r="J2117">
        <v>0</v>
      </c>
      <c r="K2117"/>
      <c r="L2117">
        <v>0</v>
      </c>
      <c r="M2117">
        <v>599</v>
      </c>
    </row>
    <row r="2118" spans="1:13" ht="15">
      <c r="A2118" t="s">
        <v>3723</v>
      </c>
      <c r="B2118" s="1040" t="str">
        <f>CONCATENATE(LEFT(RIGHT(CONCATENATE("000",IFAData_TEA_1819!A2118),6),3),"-",(RIGHT(RIGHT(CONCATENATE("000",IFAData_TEA_1819!A2118),6),3)))</f>
        <v>220-902</v>
      </c>
      <c r="C2118" t="s">
        <v>797</v>
      </c>
      <c r="D2118">
        <v>1</v>
      </c>
      <c r="E2118">
        <v>1611</v>
      </c>
      <c r="F2118" t="s">
        <v>5474</v>
      </c>
      <c r="G2118" t="s">
        <v>5474</v>
      </c>
      <c r="H2118">
        <v>1775156</v>
      </c>
      <c r="I2118">
        <v>0</v>
      </c>
      <c r="J2118">
        <v>0</v>
      </c>
      <c r="K2118"/>
      <c r="L2118">
        <v>0</v>
      </c>
      <c r="M2118">
        <v>599</v>
      </c>
    </row>
    <row r="2119" spans="1:13" ht="15">
      <c r="A2119" t="s">
        <v>3723</v>
      </c>
      <c r="B2119" s="1040" t="str">
        <f>CONCATENATE(LEFT(RIGHT(CONCATENATE("000",IFAData_TEA_1819!A2119),6),3),"-",(RIGHT(RIGHT(CONCATENATE("000",IFAData_TEA_1819!A2119),6),3)))</f>
        <v>220-902</v>
      </c>
      <c r="C2119" t="s">
        <v>797</v>
      </c>
      <c r="D2119">
        <v>9</v>
      </c>
      <c r="E2119">
        <v>1612</v>
      </c>
      <c r="F2119" t="s">
        <v>5476</v>
      </c>
      <c r="G2119" t="s">
        <v>5476</v>
      </c>
      <c r="H2119">
        <v>3559977</v>
      </c>
      <c r="I2119">
        <v>0</v>
      </c>
      <c r="J2119">
        <v>0</v>
      </c>
      <c r="K2119">
        <v>0</v>
      </c>
      <c r="L2119">
        <v>0</v>
      </c>
      <c r="M2119">
        <v>599</v>
      </c>
    </row>
    <row r="2120" spans="1:13" ht="15">
      <c r="A2120" t="s">
        <v>3723</v>
      </c>
      <c r="B2120" s="1040" t="str">
        <f>CONCATENATE(LEFT(RIGHT(CONCATENATE("000",IFAData_TEA_1819!A2120),6),3),"-",(RIGHT(RIGHT(CONCATENATE("000",IFAData_TEA_1819!A2120),6),3)))</f>
        <v>220-902</v>
      </c>
      <c r="C2120" t="s">
        <v>797</v>
      </c>
      <c r="D2120">
        <v>9</v>
      </c>
      <c r="E2120">
        <v>1612</v>
      </c>
      <c r="F2120" t="s">
        <v>5476</v>
      </c>
      <c r="G2120" t="s">
        <v>5477</v>
      </c>
      <c r="H2120">
        <v>3559977</v>
      </c>
      <c r="I2120">
        <v>3582897</v>
      </c>
      <c r="J2120">
        <v>1</v>
      </c>
      <c r="K2120">
        <v>3559977</v>
      </c>
      <c r="L2120">
        <v>3559977</v>
      </c>
      <c r="M2120">
        <v>599</v>
      </c>
    </row>
    <row r="2121" spans="1:13" ht="15">
      <c r="A2121" t="s">
        <v>3723</v>
      </c>
      <c r="B2121" s="1040" t="str">
        <f>CONCATENATE(LEFT(RIGHT(CONCATENATE("000",IFAData_TEA_1819!A2121),6),3),"-",(RIGHT(RIGHT(CONCATENATE("000",IFAData_TEA_1819!A2121),6),3)))</f>
        <v>220-902</v>
      </c>
      <c r="C2121" t="s">
        <v>797</v>
      </c>
      <c r="D2121">
        <v>9</v>
      </c>
      <c r="E2121">
        <v>1610</v>
      </c>
      <c r="F2121" t="s">
        <v>5472</v>
      </c>
      <c r="G2121" t="s">
        <v>5472</v>
      </c>
      <c r="H2121">
        <v>1653470</v>
      </c>
      <c r="I2121">
        <v>886317</v>
      </c>
      <c r="J2121">
        <v>0.228366237486541</v>
      </c>
      <c r="K2121">
        <v>377596.72269686998</v>
      </c>
      <c r="L2121">
        <v>377596.72269686998</v>
      </c>
      <c r="M2121">
        <v>599</v>
      </c>
    </row>
    <row r="2122" spans="1:13" ht="15">
      <c r="A2122" t="s">
        <v>3723</v>
      </c>
      <c r="B2122" s="1040" t="str">
        <f>CONCATENATE(LEFT(RIGHT(CONCATENATE("000",IFAData_TEA_1819!A2122),6),3),"-",(RIGHT(RIGHT(CONCATENATE("000",IFAData_TEA_1819!A2122),6),3)))</f>
        <v>220-902</v>
      </c>
      <c r="C2122" t="s">
        <v>797</v>
      </c>
      <c r="D2122">
        <v>9</v>
      </c>
      <c r="E2122">
        <v>1610</v>
      </c>
      <c r="F2122" t="s">
        <v>5472</v>
      </c>
      <c r="G2122" t="s">
        <v>6326</v>
      </c>
      <c r="H2122">
        <v>1653470</v>
      </c>
      <c r="I2122">
        <v>2994804</v>
      </c>
      <c r="J2122">
        <v>0.77163376251345905</v>
      </c>
      <c r="K2122">
        <v>1275873.2773031299</v>
      </c>
      <c r="L2122">
        <v>1275873.2773031299</v>
      </c>
      <c r="M2122">
        <v>599</v>
      </c>
    </row>
    <row r="2123" spans="1:13" ht="15">
      <c r="A2123" t="s">
        <v>3723</v>
      </c>
      <c r="B2123" s="1040" t="str">
        <f>CONCATENATE(LEFT(RIGHT(CONCATENATE("000",IFAData_TEA_1819!A2123),6),3),"-",(RIGHT(RIGHT(CONCATENATE("000",IFAData_TEA_1819!A2123),6),3)))</f>
        <v>220-902</v>
      </c>
      <c r="C2123" t="s">
        <v>797</v>
      </c>
      <c r="D2123">
        <v>11</v>
      </c>
      <c r="E2123">
        <v>2549</v>
      </c>
      <c r="F2123" t="s">
        <v>8501</v>
      </c>
      <c r="G2123" t="s">
        <v>8501</v>
      </c>
      <c r="H2123">
        <v>1621471</v>
      </c>
      <c r="I2123">
        <v>2459966</v>
      </c>
      <c r="J2123">
        <v>1</v>
      </c>
      <c r="K2123">
        <v>1621471</v>
      </c>
      <c r="L2123">
        <v>1621471</v>
      </c>
      <c r="M2123">
        <v>599</v>
      </c>
    </row>
    <row r="2124" spans="1:13" ht="15">
      <c r="A2124" t="s">
        <v>3724</v>
      </c>
      <c r="B2124" s="1040" t="str">
        <f>CONCATENATE(LEFT(RIGHT(CONCATENATE("000",IFAData_TEA_1819!A2124),6),3),"-",(RIGHT(RIGHT(CONCATENATE("000",IFAData_TEA_1819!A2124),6),3)))</f>
        <v>220-904</v>
      </c>
      <c r="C2124" t="s">
        <v>2568</v>
      </c>
      <c r="D2124">
        <v>9</v>
      </c>
      <c r="E2124">
        <v>1804</v>
      </c>
      <c r="F2124" t="s">
        <v>5478</v>
      </c>
      <c r="G2124" t="s">
        <v>5478</v>
      </c>
      <c r="H2124">
        <v>784151</v>
      </c>
      <c r="I2124">
        <v>0</v>
      </c>
      <c r="J2124">
        <v>0</v>
      </c>
      <c r="K2124">
        <v>0</v>
      </c>
      <c r="L2124">
        <v>0</v>
      </c>
      <c r="M2124">
        <v>599</v>
      </c>
    </row>
    <row r="2125" spans="1:13" ht="15">
      <c r="A2125" t="s">
        <v>3724</v>
      </c>
      <c r="B2125" s="1040" t="str">
        <f>CONCATENATE(LEFT(RIGHT(CONCATENATE("000",IFAData_TEA_1819!A2125),6),3),"-",(RIGHT(RIGHT(CONCATENATE("000",IFAData_TEA_1819!A2125),6),3)))</f>
        <v>220-904</v>
      </c>
      <c r="C2125" t="s">
        <v>2568</v>
      </c>
      <c r="D2125">
        <v>9</v>
      </c>
      <c r="E2125">
        <v>1804</v>
      </c>
      <c r="F2125" t="s">
        <v>5478</v>
      </c>
      <c r="G2125" t="s">
        <v>5479</v>
      </c>
      <c r="H2125">
        <v>784151</v>
      </c>
      <c r="I2125">
        <v>495313</v>
      </c>
      <c r="J2125">
        <v>0.69090850759030897</v>
      </c>
      <c r="K2125">
        <v>541776.59713544801</v>
      </c>
      <c r="L2125">
        <v>495313</v>
      </c>
      <c r="M2125">
        <v>599</v>
      </c>
    </row>
    <row r="2126" spans="1:13" ht="15">
      <c r="A2126" t="s">
        <v>3724</v>
      </c>
      <c r="B2126" s="1040" t="str">
        <f>CONCATENATE(LEFT(RIGHT(CONCATENATE("000",IFAData_TEA_1819!A2126),6),3),"-",(RIGHT(RIGHT(CONCATENATE("000",IFAData_TEA_1819!A2126),6),3)))</f>
        <v>220-904</v>
      </c>
      <c r="C2126" t="s">
        <v>2568</v>
      </c>
      <c r="D2126">
        <v>9</v>
      </c>
      <c r="E2126">
        <v>1804</v>
      </c>
      <c r="F2126" t="s">
        <v>5478</v>
      </c>
      <c r="G2126" t="s">
        <v>6327</v>
      </c>
      <c r="H2126">
        <v>784151</v>
      </c>
      <c r="I2126">
        <v>221588</v>
      </c>
      <c r="J2126">
        <v>0.30909149240969103</v>
      </c>
      <c r="K2126">
        <v>242374.40286455199</v>
      </c>
      <c r="L2126">
        <v>221588</v>
      </c>
      <c r="M2126">
        <v>599</v>
      </c>
    </row>
    <row r="2127" spans="1:13" ht="15">
      <c r="A2127" t="s">
        <v>3724</v>
      </c>
      <c r="B2127" s="1040" t="str">
        <f>CONCATENATE(LEFT(RIGHT(CONCATENATE("000",IFAData_TEA_1819!A2127),6),3),"-",(RIGHT(RIGHT(CONCATENATE("000",IFAData_TEA_1819!A2127),6),3)))</f>
        <v>220-904</v>
      </c>
      <c r="C2127" t="s">
        <v>2568</v>
      </c>
      <c r="D2127">
        <v>9</v>
      </c>
      <c r="E2127">
        <v>1803</v>
      </c>
      <c r="F2127" t="s">
        <v>5480</v>
      </c>
      <c r="G2127" t="s">
        <v>5480</v>
      </c>
      <c r="H2127">
        <v>357599</v>
      </c>
      <c r="I2127">
        <v>0</v>
      </c>
      <c r="J2127">
        <v>0</v>
      </c>
      <c r="K2127">
        <v>0</v>
      </c>
      <c r="L2127">
        <v>0</v>
      </c>
      <c r="M2127">
        <v>599</v>
      </c>
    </row>
    <row r="2128" spans="1:13" ht="15">
      <c r="A2128" t="s">
        <v>3724</v>
      </c>
      <c r="B2128" s="1040" t="str">
        <f>CONCATENATE(LEFT(RIGHT(CONCATENATE("000",IFAData_TEA_1819!A2128),6),3),"-",(RIGHT(RIGHT(CONCATENATE("000",IFAData_TEA_1819!A2128),6),3)))</f>
        <v>220-904</v>
      </c>
      <c r="C2128" t="s">
        <v>2568</v>
      </c>
      <c r="D2128">
        <v>9</v>
      </c>
      <c r="E2128">
        <v>1803</v>
      </c>
      <c r="F2128" t="s">
        <v>5480</v>
      </c>
      <c r="G2128" t="s">
        <v>8502</v>
      </c>
      <c r="H2128">
        <v>357599</v>
      </c>
      <c r="I2128">
        <v>1219845</v>
      </c>
      <c r="J2128">
        <v>1</v>
      </c>
      <c r="K2128">
        <v>357599</v>
      </c>
      <c r="L2128">
        <v>357599</v>
      </c>
      <c r="M2128">
        <v>599</v>
      </c>
    </row>
    <row r="2129" spans="1:13" ht="15">
      <c r="A2129" t="s">
        <v>3724</v>
      </c>
      <c r="B2129" s="1040" t="str">
        <f>CONCATENATE(LEFT(RIGHT(CONCATENATE("000",IFAData_TEA_1819!A2129),6),3),"-",(RIGHT(RIGHT(CONCATENATE("000",IFAData_TEA_1819!A2129),6),3)))</f>
        <v>220-904</v>
      </c>
      <c r="C2129" t="s">
        <v>2568</v>
      </c>
      <c r="D2129">
        <v>11</v>
      </c>
      <c r="E2129">
        <v>2493</v>
      </c>
      <c r="F2129" t="s">
        <v>8503</v>
      </c>
      <c r="G2129" t="s">
        <v>8503</v>
      </c>
      <c r="H2129">
        <v>1307135</v>
      </c>
      <c r="I2129">
        <v>2053826</v>
      </c>
      <c r="J2129">
        <v>1</v>
      </c>
      <c r="K2129">
        <v>1307135</v>
      </c>
      <c r="L2129">
        <v>1307135</v>
      </c>
      <c r="M2129">
        <v>599</v>
      </c>
    </row>
    <row r="2130" spans="1:13" ht="15">
      <c r="A2130" t="s">
        <v>3725</v>
      </c>
      <c r="B2130" s="1040" t="str">
        <f>CONCATENATE(LEFT(RIGHT(CONCATENATE("000",IFAData_TEA_1819!A2130),6),3),"-",(RIGHT(RIGHT(CONCATENATE("000",IFAData_TEA_1819!A2130),6),3)))</f>
        <v>220-907</v>
      </c>
      <c r="C2130" t="s">
        <v>412</v>
      </c>
      <c r="D2130">
        <v>2</v>
      </c>
      <c r="E2130">
        <v>1950</v>
      </c>
      <c r="F2130" t="s">
        <v>5481</v>
      </c>
      <c r="G2130" t="s">
        <v>5481</v>
      </c>
      <c r="H2130">
        <v>1280601</v>
      </c>
      <c r="I2130">
        <v>0</v>
      </c>
      <c r="J2130">
        <v>0</v>
      </c>
      <c r="K2130">
        <v>0</v>
      </c>
      <c r="L2130">
        <v>0</v>
      </c>
      <c r="M2130">
        <v>599</v>
      </c>
    </row>
    <row r="2131" spans="1:13" ht="15">
      <c r="A2131" t="s">
        <v>3725</v>
      </c>
      <c r="B2131" s="1040" t="str">
        <f>CONCATENATE(LEFT(RIGHT(CONCATENATE("000",IFAData_TEA_1819!A2131),6),3),"-",(RIGHT(RIGHT(CONCATENATE("000",IFAData_TEA_1819!A2131),6),3)))</f>
        <v>220-907</v>
      </c>
      <c r="C2131" t="s">
        <v>412</v>
      </c>
      <c r="D2131">
        <v>2</v>
      </c>
      <c r="E2131">
        <v>1950</v>
      </c>
      <c r="F2131" t="s">
        <v>5481</v>
      </c>
      <c r="G2131" t="s">
        <v>5482</v>
      </c>
      <c r="H2131">
        <v>1280601</v>
      </c>
      <c r="I2131">
        <v>0</v>
      </c>
      <c r="J2131">
        <v>0</v>
      </c>
      <c r="K2131">
        <v>0</v>
      </c>
      <c r="L2131">
        <v>0</v>
      </c>
      <c r="M2131">
        <v>599</v>
      </c>
    </row>
    <row r="2132" spans="1:13" ht="15">
      <c r="A2132" t="s">
        <v>3725</v>
      </c>
      <c r="B2132" s="1040" t="str">
        <f>CONCATENATE(LEFT(RIGHT(CONCATENATE("000",IFAData_TEA_1819!A2132),6),3),"-",(RIGHT(RIGHT(CONCATENATE("000",IFAData_TEA_1819!A2132),6),3)))</f>
        <v>220-907</v>
      </c>
      <c r="C2132" t="s">
        <v>412</v>
      </c>
      <c r="D2132">
        <v>2</v>
      </c>
      <c r="E2132">
        <v>1950</v>
      </c>
      <c r="F2132" t="s">
        <v>5481</v>
      </c>
      <c r="G2132" t="s">
        <v>5483</v>
      </c>
      <c r="H2132">
        <v>1280601</v>
      </c>
      <c r="I2132">
        <v>0</v>
      </c>
      <c r="J2132">
        <v>0</v>
      </c>
      <c r="K2132">
        <v>0</v>
      </c>
      <c r="L2132">
        <v>0</v>
      </c>
      <c r="M2132">
        <v>599</v>
      </c>
    </row>
    <row r="2133" spans="1:13" ht="15">
      <c r="A2133" t="s">
        <v>3725</v>
      </c>
      <c r="B2133" s="1040" t="str">
        <f>CONCATENATE(LEFT(RIGHT(CONCATENATE("000",IFAData_TEA_1819!A2133),6),3),"-",(RIGHT(RIGHT(CONCATENATE("000",IFAData_TEA_1819!A2133),6),3)))</f>
        <v>220-907</v>
      </c>
      <c r="C2133" t="s">
        <v>412</v>
      </c>
      <c r="D2133">
        <v>2</v>
      </c>
      <c r="E2133">
        <v>1950</v>
      </c>
      <c r="F2133" t="s">
        <v>5481</v>
      </c>
      <c r="G2133" t="s">
        <v>5484</v>
      </c>
      <c r="H2133">
        <v>1280601</v>
      </c>
      <c r="I2133">
        <v>0</v>
      </c>
      <c r="J2133">
        <v>0</v>
      </c>
      <c r="K2133">
        <v>0</v>
      </c>
      <c r="L2133">
        <v>0</v>
      </c>
      <c r="M2133">
        <v>599</v>
      </c>
    </row>
    <row r="2134" spans="1:13" ht="15">
      <c r="A2134" t="s">
        <v>3725</v>
      </c>
      <c r="B2134" s="1040" t="str">
        <f>CONCATENATE(LEFT(RIGHT(CONCATENATE("000",IFAData_TEA_1819!A2134),6),3),"-",(RIGHT(RIGHT(CONCATENATE("000",IFAData_TEA_1819!A2134),6),3)))</f>
        <v>220-907</v>
      </c>
      <c r="C2134" t="s">
        <v>412</v>
      </c>
      <c r="D2134">
        <v>2</v>
      </c>
      <c r="E2134">
        <v>1950</v>
      </c>
      <c r="F2134" t="s">
        <v>5481</v>
      </c>
      <c r="G2134" t="s">
        <v>5485</v>
      </c>
      <c r="H2134">
        <v>1280601</v>
      </c>
      <c r="I2134">
        <v>0</v>
      </c>
      <c r="J2134">
        <v>0</v>
      </c>
      <c r="K2134">
        <v>0</v>
      </c>
      <c r="L2134">
        <v>0</v>
      </c>
      <c r="M2134">
        <v>599</v>
      </c>
    </row>
    <row r="2135" spans="1:13" ht="15">
      <c r="A2135" t="s">
        <v>3725</v>
      </c>
      <c r="B2135" s="1040" t="str">
        <f>CONCATENATE(LEFT(RIGHT(CONCATENATE("000",IFAData_TEA_1819!A2135),6),3),"-",(RIGHT(RIGHT(CONCATENATE("000",IFAData_TEA_1819!A2135),6),3)))</f>
        <v>220-907</v>
      </c>
      <c r="C2135" t="s">
        <v>412</v>
      </c>
      <c r="D2135">
        <v>2</v>
      </c>
      <c r="E2135">
        <v>1950</v>
      </c>
      <c r="F2135" t="s">
        <v>5481</v>
      </c>
      <c r="G2135" t="s">
        <v>5486</v>
      </c>
      <c r="H2135">
        <v>1280601</v>
      </c>
      <c r="I2135">
        <v>0</v>
      </c>
      <c r="J2135">
        <v>0</v>
      </c>
      <c r="K2135">
        <v>0</v>
      </c>
      <c r="L2135">
        <v>0</v>
      </c>
      <c r="M2135">
        <v>599</v>
      </c>
    </row>
    <row r="2136" spans="1:13" ht="15">
      <c r="A2136" t="s">
        <v>3725</v>
      </c>
      <c r="B2136" s="1040" t="str">
        <f>CONCATENATE(LEFT(RIGHT(CONCATENATE("000",IFAData_TEA_1819!A2136),6),3),"-",(RIGHT(RIGHT(CONCATENATE("000",IFAData_TEA_1819!A2136),6),3)))</f>
        <v>220-907</v>
      </c>
      <c r="C2136" t="s">
        <v>412</v>
      </c>
      <c r="D2136">
        <v>2</v>
      </c>
      <c r="E2136">
        <v>1950</v>
      </c>
      <c r="F2136" t="s">
        <v>5481</v>
      </c>
      <c r="G2136" t="s">
        <v>5487</v>
      </c>
      <c r="H2136">
        <v>1280601</v>
      </c>
      <c r="I2136">
        <v>360058</v>
      </c>
      <c r="J2136">
        <v>0.13257039090183401</v>
      </c>
      <c r="K2136">
        <v>169769.77515927999</v>
      </c>
      <c r="L2136">
        <v>169769.77515927999</v>
      </c>
      <c r="M2136">
        <v>599</v>
      </c>
    </row>
    <row r="2137" spans="1:13" ht="15">
      <c r="A2137" t="s">
        <v>3725</v>
      </c>
      <c r="B2137" s="1040" t="str">
        <f>CONCATENATE(LEFT(RIGHT(CONCATENATE("000",IFAData_TEA_1819!A2137),6),3),"-",(RIGHT(RIGHT(CONCATENATE("000",IFAData_TEA_1819!A2137),6),3)))</f>
        <v>220-907</v>
      </c>
      <c r="C2137" t="s">
        <v>412</v>
      </c>
      <c r="D2137">
        <v>2</v>
      </c>
      <c r="E2137">
        <v>1950</v>
      </c>
      <c r="F2137" t="s">
        <v>5481</v>
      </c>
      <c r="G2137" t="s">
        <v>5488</v>
      </c>
      <c r="H2137">
        <v>1280601</v>
      </c>
      <c r="I2137">
        <v>474027</v>
      </c>
      <c r="J2137">
        <v>0.17453283828723101</v>
      </c>
      <c r="K2137">
        <v>223506.92724346599</v>
      </c>
      <c r="L2137">
        <v>223506.92724346599</v>
      </c>
      <c r="M2137">
        <v>599</v>
      </c>
    </row>
    <row r="2138" spans="1:13" ht="15">
      <c r="A2138" t="s">
        <v>3725</v>
      </c>
      <c r="B2138" s="1040" t="str">
        <f>CONCATENATE(LEFT(RIGHT(CONCATENATE("000",IFAData_TEA_1819!A2138),6),3),"-",(RIGHT(RIGHT(CONCATENATE("000",IFAData_TEA_1819!A2138),6),3)))</f>
        <v>220-907</v>
      </c>
      <c r="C2138" t="s">
        <v>412</v>
      </c>
      <c r="D2138">
        <v>2</v>
      </c>
      <c r="E2138">
        <v>1950</v>
      </c>
      <c r="F2138" t="s">
        <v>5481</v>
      </c>
      <c r="G2138" t="s">
        <v>5489</v>
      </c>
      <c r="H2138">
        <v>1280601</v>
      </c>
      <c r="I2138">
        <v>0</v>
      </c>
      <c r="J2138">
        <v>0</v>
      </c>
      <c r="K2138">
        <v>0</v>
      </c>
      <c r="L2138">
        <v>0</v>
      </c>
      <c r="M2138">
        <v>599</v>
      </c>
    </row>
    <row r="2139" spans="1:13" ht="15">
      <c r="A2139" t="s">
        <v>3725</v>
      </c>
      <c r="B2139" s="1040" t="str">
        <f>CONCATENATE(LEFT(RIGHT(CONCATENATE("000",IFAData_TEA_1819!A2139),6),3),"-",(RIGHT(RIGHT(CONCATENATE("000",IFAData_TEA_1819!A2139),6),3)))</f>
        <v>220-907</v>
      </c>
      <c r="C2139" t="s">
        <v>412</v>
      </c>
      <c r="D2139">
        <v>2</v>
      </c>
      <c r="E2139">
        <v>1950</v>
      </c>
      <c r="F2139" t="s">
        <v>5481</v>
      </c>
      <c r="G2139" t="s">
        <v>5490</v>
      </c>
      <c r="H2139">
        <v>1280601</v>
      </c>
      <c r="I2139">
        <v>0</v>
      </c>
      <c r="J2139">
        <v>0</v>
      </c>
      <c r="K2139">
        <v>0</v>
      </c>
      <c r="L2139">
        <v>0</v>
      </c>
      <c r="M2139">
        <v>599</v>
      </c>
    </row>
    <row r="2140" spans="1:13" ht="15">
      <c r="A2140" t="s">
        <v>3725</v>
      </c>
      <c r="B2140" s="1040" t="str">
        <f>CONCATENATE(LEFT(RIGHT(CONCATENATE("000",IFAData_TEA_1819!A2140),6),3),"-",(RIGHT(RIGHT(CONCATENATE("000",IFAData_TEA_1819!A2140),6),3)))</f>
        <v>220-907</v>
      </c>
      <c r="C2140" t="s">
        <v>412</v>
      </c>
      <c r="D2140">
        <v>2</v>
      </c>
      <c r="E2140">
        <v>1950</v>
      </c>
      <c r="F2140" t="s">
        <v>5481</v>
      </c>
      <c r="G2140" t="s">
        <v>5491</v>
      </c>
      <c r="H2140">
        <v>1280601</v>
      </c>
      <c r="I2140">
        <v>0</v>
      </c>
      <c r="J2140">
        <v>0</v>
      </c>
      <c r="K2140">
        <v>0</v>
      </c>
      <c r="L2140">
        <v>0</v>
      </c>
      <c r="M2140">
        <v>599</v>
      </c>
    </row>
    <row r="2141" spans="1:13" ht="15">
      <c r="A2141" t="s">
        <v>3725</v>
      </c>
      <c r="B2141" s="1040" t="str">
        <f>CONCATENATE(LEFT(RIGHT(CONCATENATE("000",IFAData_TEA_1819!A2141),6),3),"-",(RIGHT(RIGHT(CONCATENATE("000",IFAData_TEA_1819!A2141),6),3)))</f>
        <v>220-907</v>
      </c>
      <c r="C2141" t="s">
        <v>412</v>
      </c>
      <c r="D2141">
        <v>2</v>
      </c>
      <c r="E2141">
        <v>1950</v>
      </c>
      <c r="F2141" t="s">
        <v>5481</v>
      </c>
      <c r="G2141" t="s">
        <v>5492</v>
      </c>
      <c r="H2141">
        <v>1280601</v>
      </c>
      <c r="I2141">
        <v>0</v>
      </c>
      <c r="J2141">
        <v>0</v>
      </c>
      <c r="K2141">
        <v>0</v>
      </c>
      <c r="L2141">
        <v>0</v>
      </c>
      <c r="M2141">
        <v>599</v>
      </c>
    </row>
    <row r="2142" spans="1:13" ht="15">
      <c r="A2142" t="s">
        <v>3725</v>
      </c>
      <c r="B2142" s="1040" t="str">
        <f>CONCATENATE(LEFT(RIGHT(CONCATENATE("000",IFAData_TEA_1819!A2142),6),3),"-",(RIGHT(RIGHT(CONCATENATE("000",IFAData_TEA_1819!A2142),6),3)))</f>
        <v>220-907</v>
      </c>
      <c r="C2142" t="s">
        <v>412</v>
      </c>
      <c r="D2142">
        <v>2</v>
      </c>
      <c r="E2142">
        <v>1950</v>
      </c>
      <c r="F2142" t="s">
        <v>5481</v>
      </c>
      <c r="G2142" t="s">
        <v>5493</v>
      </c>
      <c r="H2142">
        <v>1280601</v>
      </c>
      <c r="I2142">
        <v>80943</v>
      </c>
      <c r="J2142">
        <v>2.9802546119700599E-2</v>
      </c>
      <c r="K2142">
        <v>38165.1703634347</v>
      </c>
      <c r="L2142">
        <v>38165.1703634347</v>
      </c>
      <c r="M2142">
        <v>599</v>
      </c>
    </row>
    <row r="2143" spans="1:13" ht="15">
      <c r="A2143" t="s">
        <v>3725</v>
      </c>
      <c r="B2143" s="1040" t="str">
        <f>CONCATENATE(LEFT(RIGHT(CONCATENATE("000",IFAData_TEA_1819!A2143),6),3),"-",(RIGHT(RIGHT(CONCATENATE("000",IFAData_TEA_1819!A2143),6),3)))</f>
        <v>220-907</v>
      </c>
      <c r="C2143" t="s">
        <v>412</v>
      </c>
      <c r="D2143">
        <v>2</v>
      </c>
      <c r="E2143">
        <v>1950</v>
      </c>
      <c r="F2143" t="s">
        <v>5481</v>
      </c>
      <c r="G2143" t="s">
        <v>6329</v>
      </c>
      <c r="H2143">
        <v>1280601</v>
      </c>
      <c r="I2143">
        <v>123321</v>
      </c>
      <c r="J2143">
        <v>4.5405776781532702E-2</v>
      </c>
      <c r="K2143">
        <v>58146.683152207501</v>
      </c>
      <c r="L2143">
        <v>58146.683152207501</v>
      </c>
      <c r="M2143">
        <v>599</v>
      </c>
    </row>
    <row r="2144" spans="1:13" ht="15">
      <c r="A2144" t="s">
        <v>3725</v>
      </c>
      <c r="B2144" s="1040" t="str">
        <f>CONCATENATE(LEFT(RIGHT(CONCATENATE("000",IFAData_TEA_1819!A2144),6),3),"-",(RIGHT(RIGHT(CONCATENATE("000",IFAData_TEA_1819!A2144),6),3)))</f>
        <v>220-907</v>
      </c>
      <c r="C2144" t="s">
        <v>412</v>
      </c>
      <c r="D2144">
        <v>2</v>
      </c>
      <c r="E2144">
        <v>1950</v>
      </c>
      <c r="F2144" t="s">
        <v>5481</v>
      </c>
      <c r="G2144" t="s">
        <v>6539</v>
      </c>
      <c r="H2144">
        <v>1280601</v>
      </c>
      <c r="I2144">
        <v>6201</v>
      </c>
      <c r="J2144">
        <v>2.2831571413002199E-3</v>
      </c>
      <c r="K2144">
        <v>2923.8133183062</v>
      </c>
      <c r="L2144">
        <v>2923.8133183062</v>
      </c>
      <c r="M2144">
        <v>599</v>
      </c>
    </row>
    <row r="2145" spans="1:13" ht="15">
      <c r="A2145" t="s">
        <v>3725</v>
      </c>
      <c r="B2145" s="1040" t="str">
        <f>CONCATENATE(LEFT(RIGHT(CONCATENATE("000",IFAData_TEA_1819!A2145),6),3),"-",(RIGHT(RIGHT(CONCATENATE("000",IFAData_TEA_1819!A2145),6),3)))</f>
        <v>220-907</v>
      </c>
      <c r="C2145" t="s">
        <v>412</v>
      </c>
      <c r="D2145">
        <v>2</v>
      </c>
      <c r="E2145">
        <v>1950</v>
      </c>
      <c r="F2145" t="s">
        <v>5481</v>
      </c>
      <c r="G2145" t="s">
        <v>6538</v>
      </c>
      <c r="H2145">
        <v>1280601</v>
      </c>
      <c r="I2145">
        <v>1671426</v>
      </c>
      <c r="J2145">
        <v>0.615405290768401</v>
      </c>
      <c r="K2145">
        <v>788088.63076330605</v>
      </c>
      <c r="L2145">
        <v>788088.63076330605</v>
      </c>
      <c r="M2145">
        <v>599</v>
      </c>
    </row>
    <row r="2146" spans="1:13" ht="15">
      <c r="A2146" t="s">
        <v>3725</v>
      </c>
      <c r="B2146" s="1040" t="str">
        <f>CONCATENATE(LEFT(RIGHT(CONCATENATE("000",IFAData_TEA_1819!A2146),6),3),"-",(RIGHT(RIGHT(CONCATENATE("000",IFAData_TEA_1819!A2146),6),3)))</f>
        <v>220-907</v>
      </c>
      <c r="C2146" t="s">
        <v>412</v>
      </c>
      <c r="D2146">
        <v>10</v>
      </c>
      <c r="E2146">
        <v>1951</v>
      </c>
      <c r="F2146" t="s">
        <v>5494</v>
      </c>
      <c r="G2146" t="s">
        <v>5494</v>
      </c>
      <c r="H2146">
        <v>6801638</v>
      </c>
      <c r="I2146">
        <v>2194241</v>
      </c>
      <c r="J2146">
        <v>0.34307631859189702</v>
      </c>
      <c r="K2146">
        <v>2333480.92543475</v>
      </c>
      <c r="L2146">
        <v>2194241</v>
      </c>
      <c r="M2146">
        <v>599</v>
      </c>
    </row>
    <row r="2147" spans="1:13" ht="15">
      <c r="A2147" t="s">
        <v>3725</v>
      </c>
      <c r="B2147" s="1040" t="str">
        <f>CONCATENATE(LEFT(RIGHT(CONCATENATE("000",IFAData_TEA_1819!A2147),6),3),"-",(RIGHT(RIGHT(CONCATENATE("000",IFAData_TEA_1819!A2147),6),3)))</f>
        <v>220-907</v>
      </c>
      <c r="C2147" t="s">
        <v>412</v>
      </c>
      <c r="D2147">
        <v>10</v>
      </c>
      <c r="E2147">
        <v>1951</v>
      </c>
      <c r="F2147" t="s">
        <v>5494</v>
      </c>
      <c r="G2147" t="s">
        <v>6328</v>
      </c>
      <c r="H2147">
        <v>6801638</v>
      </c>
      <c r="I2147">
        <v>4201540</v>
      </c>
      <c r="J2147">
        <v>0.65692368140810298</v>
      </c>
      <c r="K2147">
        <v>4468157.0745652504</v>
      </c>
      <c r="L2147">
        <v>4201540</v>
      </c>
      <c r="M2147">
        <v>599</v>
      </c>
    </row>
    <row r="2148" spans="1:13" ht="15">
      <c r="A2148" t="s">
        <v>3726</v>
      </c>
      <c r="B2148" s="1040" t="str">
        <f>CONCATENATE(LEFT(RIGHT(CONCATENATE("000",IFAData_TEA_1819!A2148),6),3),"-",(RIGHT(RIGHT(CONCATENATE("000",IFAData_TEA_1819!A2148),6),3)))</f>
        <v>220-908</v>
      </c>
      <c r="C2148" t="s">
        <v>290</v>
      </c>
      <c r="D2148">
        <v>1</v>
      </c>
      <c r="E2148">
        <v>2058</v>
      </c>
      <c r="F2148" t="s">
        <v>5495</v>
      </c>
      <c r="G2148" t="s">
        <v>5495</v>
      </c>
      <c r="H2148">
        <v>2772030</v>
      </c>
      <c r="I2148">
        <v>0</v>
      </c>
      <c r="J2148">
        <v>0</v>
      </c>
      <c r="K2148"/>
      <c r="L2148">
        <v>0</v>
      </c>
      <c r="M2148">
        <v>599</v>
      </c>
    </row>
    <row r="2149" spans="1:13" ht="15">
      <c r="A2149" t="s">
        <v>3726</v>
      </c>
      <c r="B2149" s="1040" t="str">
        <f>CONCATENATE(LEFT(RIGHT(CONCATENATE("000",IFAData_TEA_1819!A2149),6),3),"-",(RIGHT(RIGHT(CONCATENATE("000",IFAData_TEA_1819!A2149),6),3)))</f>
        <v>220-908</v>
      </c>
      <c r="C2149" t="s">
        <v>290</v>
      </c>
      <c r="D2149">
        <v>6</v>
      </c>
      <c r="E2149">
        <v>2057</v>
      </c>
      <c r="F2149" t="s">
        <v>5499</v>
      </c>
      <c r="G2149" t="s">
        <v>5499</v>
      </c>
      <c r="H2149">
        <v>2346513</v>
      </c>
      <c r="I2149">
        <v>0</v>
      </c>
      <c r="J2149">
        <v>0</v>
      </c>
      <c r="K2149">
        <v>0</v>
      </c>
      <c r="L2149">
        <v>0</v>
      </c>
      <c r="M2149">
        <v>599</v>
      </c>
    </row>
    <row r="2150" spans="1:13" ht="15">
      <c r="A2150" t="s">
        <v>3726</v>
      </c>
      <c r="B2150" s="1040" t="str">
        <f>CONCATENATE(LEFT(RIGHT(CONCATENATE("000",IFAData_TEA_1819!A2150),6),3),"-",(RIGHT(RIGHT(CONCATENATE("000",IFAData_TEA_1819!A2150),6),3)))</f>
        <v>220-908</v>
      </c>
      <c r="C2150" t="s">
        <v>290</v>
      </c>
      <c r="D2150">
        <v>6</v>
      </c>
      <c r="E2150">
        <v>2057</v>
      </c>
      <c r="F2150" t="s">
        <v>5499</v>
      </c>
      <c r="G2150" t="s">
        <v>5500</v>
      </c>
      <c r="H2150">
        <v>2346513</v>
      </c>
      <c r="I2150">
        <v>0</v>
      </c>
      <c r="J2150">
        <v>0</v>
      </c>
      <c r="K2150">
        <v>0</v>
      </c>
      <c r="L2150">
        <v>0</v>
      </c>
      <c r="M2150">
        <v>599</v>
      </c>
    </row>
    <row r="2151" spans="1:13" ht="15">
      <c r="A2151" t="s">
        <v>3726</v>
      </c>
      <c r="B2151" s="1040" t="str">
        <f>CONCATENATE(LEFT(RIGHT(CONCATENATE("000",IFAData_TEA_1819!A2151),6),3),"-",(RIGHT(RIGHT(CONCATENATE("000",IFAData_TEA_1819!A2151),6),3)))</f>
        <v>220-908</v>
      </c>
      <c r="C2151" t="s">
        <v>290</v>
      </c>
      <c r="D2151">
        <v>6</v>
      </c>
      <c r="E2151">
        <v>2057</v>
      </c>
      <c r="F2151" t="s">
        <v>5499</v>
      </c>
      <c r="G2151" t="s">
        <v>5501</v>
      </c>
      <c r="H2151">
        <v>2346513</v>
      </c>
      <c r="I2151">
        <v>2152038</v>
      </c>
      <c r="J2151">
        <v>0.69056186741061198</v>
      </c>
      <c r="K2151">
        <v>1620412.3991832801</v>
      </c>
      <c r="L2151">
        <v>1620412.3991832801</v>
      </c>
      <c r="M2151">
        <v>599</v>
      </c>
    </row>
    <row r="2152" spans="1:13" ht="15">
      <c r="A2152" t="s">
        <v>3726</v>
      </c>
      <c r="B2152" s="1040" t="str">
        <f>CONCATENATE(LEFT(RIGHT(CONCATENATE("000",IFAData_TEA_1819!A2152),6),3),"-",(RIGHT(RIGHT(CONCATENATE("000",IFAData_TEA_1819!A2152),6),3)))</f>
        <v>220-908</v>
      </c>
      <c r="C2152" t="s">
        <v>290</v>
      </c>
      <c r="D2152">
        <v>6</v>
      </c>
      <c r="E2152">
        <v>2057</v>
      </c>
      <c r="F2152" t="s">
        <v>5499</v>
      </c>
      <c r="G2152" t="s">
        <v>8504</v>
      </c>
      <c r="H2152">
        <v>2346513</v>
      </c>
      <c r="I2152">
        <v>964320</v>
      </c>
      <c r="J2152">
        <v>0.30943813258938802</v>
      </c>
      <c r="K2152">
        <v>726100.60081672296</v>
      </c>
      <c r="L2152">
        <v>726100.60081672296</v>
      </c>
      <c r="M2152">
        <v>599</v>
      </c>
    </row>
    <row r="2153" spans="1:13" ht="15">
      <c r="A2153" t="s">
        <v>3726</v>
      </c>
      <c r="B2153" s="1040" t="str">
        <f>CONCATENATE(LEFT(RIGHT(CONCATENATE("000",IFAData_TEA_1819!A2153),6),3),"-",(RIGHT(RIGHT(CONCATENATE("000",IFAData_TEA_1819!A2153),6),3)))</f>
        <v>220-908</v>
      </c>
      <c r="C2153" t="s">
        <v>290</v>
      </c>
      <c r="D2153">
        <v>6</v>
      </c>
      <c r="E2153">
        <v>2056</v>
      </c>
      <c r="F2153" t="s">
        <v>5502</v>
      </c>
      <c r="G2153" t="s">
        <v>5502</v>
      </c>
      <c r="H2153">
        <v>2153875</v>
      </c>
      <c r="I2153">
        <v>67146</v>
      </c>
      <c r="J2153">
        <v>7.3816842851894297E-3</v>
      </c>
      <c r="K2153">
        <v>15899.2252397624</v>
      </c>
      <c r="L2153">
        <v>15899.2252397624</v>
      </c>
      <c r="M2153">
        <v>599</v>
      </c>
    </row>
    <row r="2154" spans="1:13" ht="15">
      <c r="A2154" t="s">
        <v>3726</v>
      </c>
      <c r="B2154" s="1040" t="str">
        <f>CONCATENATE(LEFT(RIGHT(CONCATENATE("000",IFAData_TEA_1819!A2154),6),3),"-",(RIGHT(RIGHT(CONCATENATE("000",IFAData_TEA_1819!A2154),6),3)))</f>
        <v>220-908</v>
      </c>
      <c r="C2154" t="s">
        <v>290</v>
      </c>
      <c r="D2154">
        <v>6</v>
      </c>
      <c r="E2154">
        <v>2056</v>
      </c>
      <c r="F2154" t="s">
        <v>5502</v>
      </c>
      <c r="G2154" t="s">
        <v>5500</v>
      </c>
      <c r="H2154">
        <v>2153875</v>
      </c>
      <c r="I2154">
        <v>0</v>
      </c>
      <c r="J2154">
        <v>0</v>
      </c>
      <c r="K2154">
        <v>0</v>
      </c>
      <c r="L2154">
        <v>0</v>
      </c>
      <c r="M2154">
        <v>599</v>
      </c>
    </row>
    <row r="2155" spans="1:13" ht="15">
      <c r="A2155" t="s">
        <v>3726</v>
      </c>
      <c r="B2155" s="1040" t="str">
        <f>CONCATENATE(LEFT(RIGHT(CONCATENATE("000",IFAData_TEA_1819!A2155),6),3),"-",(RIGHT(RIGHT(CONCATENATE("000",IFAData_TEA_1819!A2155),6),3)))</f>
        <v>220-908</v>
      </c>
      <c r="C2155" t="s">
        <v>290</v>
      </c>
      <c r="D2155">
        <v>6</v>
      </c>
      <c r="E2155">
        <v>2056</v>
      </c>
      <c r="F2155" t="s">
        <v>5502</v>
      </c>
      <c r="G2155" t="s">
        <v>5497</v>
      </c>
      <c r="H2155">
        <v>2153875</v>
      </c>
      <c r="I2155">
        <v>7765869</v>
      </c>
      <c r="J2155">
        <v>0.85373951029308803</v>
      </c>
      <c r="K2155">
        <v>1838848.1877325301</v>
      </c>
      <c r="L2155">
        <v>1838848.1877325301</v>
      </c>
      <c r="M2155">
        <v>599</v>
      </c>
    </row>
    <row r="2156" spans="1:13" ht="15">
      <c r="A2156" t="s">
        <v>3726</v>
      </c>
      <c r="B2156" s="1040" t="str">
        <f>CONCATENATE(LEFT(RIGHT(CONCATENATE("000",IFAData_TEA_1819!A2156),6),3),"-",(RIGHT(RIGHT(CONCATENATE("000",IFAData_TEA_1819!A2156),6),3)))</f>
        <v>220-908</v>
      </c>
      <c r="C2156" t="s">
        <v>290</v>
      </c>
      <c r="D2156">
        <v>6</v>
      </c>
      <c r="E2156">
        <v>2056</v>
      </c>
      <c r="F2156" t="s">
        <v>5502</v>
      </c>
      <c r="G2156" t="s">
        <v>8504</v>
      </c>
      <c r="H2156">
        <v>2153875</v>
      </c>
      <c r="I2156">
        <v>1263283</v>
      </c>
      <c r="J2156">
        <v>0.13887880542172201</v>
      </c>
      <c r="K2156">
        <v>299127.58702771203</v>
      </c>
      <c r="L2156">
        <v>299127.58702771203</v>
      </c>
      <c r="M2156">
        <v>599</v>
      </c>
    </row>
    <row r="2157" spans="1:13" ht="15">
      <c r="A2157" t="s">
        <v>3726</v>
      </c>
      <c r="B2157" s="1040" t="str">
        <f>CONCATENATE(LEFT(RIGHT(CONCATENATE("000",IFAData_TEA_1819!A2157),6),3),"-",(RIGHT(RIGHT(CONCATENATE("000",IFAData_TEA_1819!A2157),6),3)))</f>
        <v>220-908</v>
      </c>
      <c r="C2157" t="s">
        <v>290</v>
      </c>
      <c r="D2157">
        <v>9</v>
      </c>
      <c r="E2157">
        <v>2060</v>
      </c>
      <c r="F2157" t="s">
        <v>5503</v>
      </c>
      <c r="G2157" t="s">
        <v>5503</v>
      </c>
      <c r="H2157">
        <v>4155279</v>
      </c>
      <c r="I2157">
        <v>0</v>
      </c>
      <c r="J2157">
        <v>0</v>
      </c>
      <c r="K2157">
        <v>0</v>
      </c>
      <c r="L2157">
        <v>0</v>
      </c>
      <c r="M2157">
        <v>599</v>
      </c>
    </row>
    <row r="2158" spans="1:13" ht="15">
      <c r="A2158" t="s">
        <v>3726</v>
      </c>
      <c r="B2158" s="1040" t="str">
        <f>CONCATENATE(LEFT(RIGHT(CONCATENATE("000",IFAData_TEA_1819!A2158),6),3),"-",(RIGHT(RIGHT(CONCATENATE("000",IFAData_TEA_1819!A2158),6),3)))</f>
        <v>220-908</v>
      </c>
      <c r="C2158" t="s">
        <v>290</v>
      </c>
      <c r="D2158">
        <v>9</v>
      </c>
      <c r="E2158">
        <v>2060</v>
      </c>
      <c r="F2158" t="s">
        <v>5503</v>
      </c>
      <c r="G2158" t="s">
        <v>5504</v>
      </c>
      <c r="H2158">
        <v>4155279</v>
      </c>
      <c r="I2158">
        <v>5115196</v>
      </c>
      <c r="J2158">
        <v>1</v>
      </c>
      <c r="K2158">
        <v>4155279</v>
      </c>
      <c r="L2158">
        <v>4155279</v>
      </c>
      <c r="M2158">
        <v>599</v>
      </c>
    </row>
    <row r="2159" spans="1:13" ht="15">
      <c r="A2159" t="s">
        <v>3726</v>
      </c>
      <c r="B2159" s="1040" t="str">
        <f>CONCATENATE(LEFT(RIGHT(CONCATENATE("000",IFAData_TEA_1819!A2159),6),3),"-",(RIGHT(RIGHT(CONCATENATE("000",IFAData_TEA_1819!A2159),6),3)))</f>
        <v>220-908</v>
      </c>
      <c r="C2159" t="s">
        <v>290</v>
      </c>
      <c r="D2159">
        <v>9</v>
      </c>
      <c r="E2159">
        <v>2059</v>
      </c>
      <c r="F2159" t="s">
        <v>5505</v>
      </c>
      <c r="G2159" t="s">
        <v>5505</v>
      </c>
      <c r="H2159">
        <v>3920147</v>
      </c>
      <c r="I2159">
        <v>0</v>
      </c>
      <c r="J2159">
        <v>0</v>
      </c>
      <c r="K2159">
        <v>0</v>
      </c>
      <c r="L2159">
        <v>0</v>
      </c>
      <c r="M2159">
        <v>599</v>
      </c>
    </row>
    <row r="2160" spans="1:13" ht="15">
      <c r="A2160" t="s">
        <v>3726</v>
      </c>
      <c r="B2160" s="1040" t="str">
        <f>CONCATENATE(LEFT(RIGHT(CONCATENATE("000",IFAData_TEA_1819!A2160),6),3),"-",(RIGHT(RIGHT(CONCATENATE("000",IFAData_TEA_1819!A2160),6),3)))</f>
        <v>220-908</v>
      </c>
      <c r="C2160" t="s">
        <v>290</v>
      </c>
      <c r="D2160">
        <v>9</v>
      </c>
      <c r="E2160">
        <v>2059</v>
      </c>
      <c r="F2160" t="s">
        <v>5505</v>
      </c>
      <c r="G2160" t="s">
        <v>6330</v>
      </c>
      <c r="H2160">
        <v>3920147</v>
      </c>
      <c r="I2160">
        <v>4348750</v>
      </c>
      <c r="J2160">
        <v>1</v>
      </c>
      <c r="K2160">
        <v>3920147</v>
      </c>
      <c r="L2160">
        <v>3920147</v>
      </c>
      <c r="M2160">
        <v>599</v>
      </c>
    </row>
    <row r="2161" spans="1:13" ht="15">
      <c r="A2161" t="s">
        <v>3726</v>
      </c>
      <c r="B2161" s="1040" t="str">
        <f>CONCATENATE(LEFT(RIGHT(CONCATENATE("000",IFAData_TEA_1819!A2161),6),3),"-",(RIGHT(RIGHT(CONCATENATE("000",IFAData_TEA_1819!A2161),6),3)))</f>
        <v>220-908</v>
      </c>
      <c r="C2161" t="s">
        <v>290</v>
      </c>
      <c r="D2161">
        <v>10</v>
      </c>
      <c r="E2161">
        <v>2061</v>
      </c>
      <c r="F2161" t="s">
        <v>5506</v>
      </c>
      <c r="G2161" t="s">
        <v>5506</v>
      </c>
      <c r="H2161">
        <v>4627576</v>
      </c>
      <c r="I2161">
        <v>0</v>
      </c>
      <c r="J2161">
        <v>0</v>
      </c>
      <c r="K2161">
        <v>0</v>
      </c>
      <c r="L2161">
        <v>0</v>
      </c>
      <c r="M2161">
        <v>599</v>
      </c>
    </row>
    <row r="2162" spans="1:13" ht="15">
      <c r="A2162" t="s">
        <v>3726</v>
      </c>
      <c r="B2162" s="1040" t="str">
        <f>CONCATENATE(LEFT(RIGHT(CONCATENATE("000",IFAData_TEA_1819!A2162),6),3),"-",(RIGHT(RIGHT(CONCATENATE("000",IFAData_TEA_1819!A2162),6),3)))</f>
        <v>220-908</v>
      </c>
      <c r="C2162" t="s">
        <v>290</v>
      </c>
      <c r="D2162">
        <v>10</v>
      </c>
      <c r="E2162">
        <v>2061</v>
      </c>
      <c r="F2162" t="s">
        <v>5506</v>
      </c>
      <c r="G2162" t="s">
        <v>6540</v>
      </c>
      <c r="H2162">
        <v>4627576</v>
      </c>
      <c r="I2162">
        <v>2123100</v>
      </c>
      <c r="J2162">
        <v>1</v>
      </c>
      <c r="K2162">
        <v>4627576</v>
      </c>
      <c r="L2162">
        <v>2123100</v>
      </c>
      <c r="M2162">
        <v>599</v>
      </c>
    </row>
    <row r="2163" spans="1:13" ht="15">
      <c r="A2163" t="s">
        <v>3726</v>
      </c>
      <c r="B2163" s="1040" t="str">
        <f>CONCATENATE(LEFT(RIGHT(CONCATENATE("000",IFAData_TEA_1819!A2163),6),3),"-",(RIGHT(RIGHT(CONCATENATE("000",IFAData_TEA_1819!A2163),6),3)))</f>
        <v>220-908</v>
      </c>
      <c r="C2163" t="s">
        <v>290</v>
      </c>
      <c r="D2163">
        <v>11</v>
      </c>
      <c r="E2163">
        <v>2546</v>
      </c>
      <c r="F2163" t="s">
        <v>8505</v>
      </c>
      <c r="G2163" t="s">
        <v>8505</v>
      </c>
      <c r="H2163">
        <v>658427</v>
      </c>
      <c r="I2163">
        <v>909854</v>
      </c>
      <c r="J2163">
        <v>1</v>
      </c>
      <c r="K2163">
        <v>658427</v>
      </c>
      <c r="L2163">
        <v>658427</v>
      </c>
      <c r="M2163">
        <v>599</v>
      </c>
    </row>
    <row r="2164" spans="1:13" ht="15">
      <c r="A2164" t="s">
        <v>3726</v>
      </c>
      <c r="B2164" s="1040" t="str">
        <f>CONCATENATE(LEFT(RIGHT(CONCATENATE("000",IFAData_TEA_1819!A2164),6),3),"-",(RIGHT(RIGHT(CONCATENATE("000",IFAData_TEA_1819!A2164),6),3)))</f>
        <v>220-908</v>
      </c>
      <c r="C2164" t="s">
        <v>290</v>
      </c>
      <c r="D2164">
        <v>11</v>
      </c>
      <c r="E2164">
        <v>2547</v>
      </c>
      <c r="F2164" t="s">
        <v>8506</v>
      </c>
      <c r="G2164" t="s">
        <v>8506</v>
      </c>
      <c r="H2164">
        <v>2024619</v>
      </c>
      <c r="I2164">
        <v>2024619</v>
      </c>
      <c r="J2164">
        <v>1</v>
      </c>
      <c r="K2164">
        <v>2024619</v>
      </c>
      <c r="L2164">
        <v>2024619</v>
      </c>
      <c r="M2164">
        <v>599</v>
      </c>
    </row>
    <row r="2165" spans="1:13" ht="15">
      <c r="A2165" t="s">
        <v>3726</v>
      </c>
      <c r="B2165" s="1040" t="str">
        <f>CONCATENATE(LEFT(RIGHT(CONCATENATE("000",IFAData_TEA_1819!A2165),6),3),"-",(RIGHT(RIGHT(CONCATENATE("000",IFAData_TEA_1819!A2165),6),3)))</f>
        <v>220-908</v>
      </c>
      <c r="C2165" t="s">
        <v>290</v>
      </c>
      <c r="D2165">
        <v>11</v>
      </c>
      <c r="E2165">
        <v>2548</v>
      </c>
      <c r="F2165" t="s">
        <v>8507</v>
      </c>
      <c r="G2165" t="s">
        <v>8507</v>
      </c>
      <c r="H2165">
        <v>1895868</v>
      </c>
      <c r="I2165">
        <v>1895864</v>
      </c>
      <c r="J2165">
        <v>1</v>
      </c>
      <c r="K2165">
        <v>1895868</v>
      </c>
      <c r="L2165">
        <v>1895864</v>
      </c>
      <c r="M2165">
        <v>599</v>
      </c>
    </row>
    <row r="2166" spans="1:13" ht="15">
      <c r="A2166" t="s">
        <v>3727</v>
      </c>
      <c r="B2166" s="1040" t="str">
        <f>CONCATENATE(LEFT(RIGHT(CONCATENATE("000",IFAData_TEA_1819!A2166),6),3),"-",(RIGHT(RIGHT(CONCATENATE("000",IFAData_TEA_1819!A2166),6),3)))</f>
        <v>220-910</v>
      </c>
      <c r="C2166" t="s">
        <v>2301</v>
      </c>
      <c r="D2166">
        <v>2</v>
      </c>
      <c r="E2166">
        <v>2000</v>
      </c>
      <c r="F2166" t="s">
        <v>5507</v>
      </c>
      <c r="G2166" t="s">
        <v>5507</v>
      </c>
      <c r="H2166">
        <v>425000</v>
      </c>
      <c r="I2166">
        <v>0</v>
      </c>
      <c r="J2166">
        <v>0</v>
      </c>
      <c r="K2166">
        <v>0</v>
      </c>
      <c r="L2166">
        <v>0</v>
      </c>
      <c r="M2166">
        <v>599</v>
      </c>
    </row>
    <row r="2167" spans="1:13" ht="15">
      <c r="A2167" t="s">
        <v>3727</v>
      </c>
      <c r="B2167" s="1040" t="str">
        <f>CONCATENATE(LEFT(RIGHT(CONCATENATE("000",IFAData_TEA_1819!A2167),6),3),"-",(RIGHT(RIGHT(CONCATENATE("000",IFAData_TEA_1819!A2167),6),3)))</f>
        <v>220-910</v>
      </c>
      <c r="C2167" t="s">
        <v>2301</v>
      </c>
      <c r="D2167">
        <v>2</v>
      </c>
      <c r="E2167">
        <v>2000</v>
      </c>
      <c r="F2167" t="s">
        <v>5507</v>
      </c>
      <c r="G2167" t="s">
        <v>5508</v>
      </c>
      <c r="H2167">
        <v>425000</v>
      </c>
      <c r="I2167">
        <v>397256</v>
      </c>
      <c r="J2167">
        <v>1</v>
      </c>
      <c r="K2167">
        <v>425000</v>
      </c>
      <c r="L2167">
        <v>397256</v>
      </c>
      <c r="M2167">
        <v>599</v>
      </c>
    </row>
    <row r="2168" spans="1:13" ht="15">
      <c r="A2168" t="s">
        <v>3727</v>
      </c>
      <c r="B2168" s="1040" t="str">
        <f>CONCATENATE(LEFT(RIGHT(CONCATENATE("000",IFAData_TEA_1819!A2168),6),3),"-",(RIGHT(RIGHT(CONCATENATE("000",IFAData_TEA_1819!A2168),6),3)))</f>
        <v>220-910</v>
      </c>
      <c r="C2168" t="s">
        <v>2301</v>
      </c>
      <c r="D2168">
        <v>5</v>
      </c>
      <c r="E2168">
        <v>2001</v>
      </c>
      <c r="F2168" t="s">
        <v>5509</v>
      </c>
      <c r="G2168" t="s">
        <v>5509</v>
      </c>
      <c r="H2168">
        <v>464180</v>
      </c>
      <c r="I2168">
        <v>0</v>
      </c>
      <c r="J2168">
        <v>0</v>
      </c>
      <c r="K2168">
        <v>0</v>
      </c>
      <c r="L2168">
        <v>0</v>
      </c>
      <c r="M2168">
        <v>599</v>
      </c>
    </row>
    <row r="2169" spans="1:13" ht="15">
      <c r="A2169" t="s">
        <v>3727</v>
      </c>
      <c r="B2169" s="1040" t="str">
        <f>CONCATENATE(LEFT(RIGHT(CONCATENATE("000",IFAData_TEA_1819!A2169),6),3),"-",(RIGHT(RIGHT(CONCATENATE("000",IFAData_TEA_1819!A2169),6),3)))</f>
        <v>220-910</v>
      </c>
      <c r="C2169" t="s">
        <v>2301</v>
      </c>
      <c r="D2169">
        <v>5</v>
      </c>
      <c r="E2169">
        <v>2001</v>
      </c>
      <c r="F2169" t="s">
        <v>5509</v>
      </c>
      <c r="G2169" t="s">
        <v>5510</v>
      </c>
      <c r="H2169">
        <v>464180</v>
      </c>
      <c r="I2169">
        <v>0</v>
      </c>
      <c r="J2169">
        <v>0</v>
      </c>
      <c r="K2169">
        <v>0</v>
      </c>
      <c r="L2169">
        <v>0</v>
      </c>
      <c r="M2169">
        <v>599</v>
      </c>
    </row>
    <row r="2170" spans="1:13" ht="15">
      <c r="A2170" t="s">
        <v>3727</v>
      </c>
      <c r="B2170" s="1040" t="str">
        <f>CONCATENATE(LEFT(RIGHT(CONCATENATE("000",IFAData_TEA_1819!A2170),6),3),"-",(RIGHT(RIGHT(CONCATENATE("000",IFAData_TEA_1819!A2170),6),3)))</f>
        <v>220-910</v>
      </c>
      <c r="C2170" t="s">
        <v>2301</v>
      </c>
      <c r="D2170">
        <v>5</v>
      </c>
      <c r="E2170">
        <v>2001</v>
      </c>
      <c r="F2170" t="s">
        <v>5509</v>
      </c>
      <c r="G2170" t="s">
        <v>8508</v>
      </c>
      <c r="H2170">
        <v>464180</v>
      </c>
      <c r="I2170">
        <v>630894</v>
      </c>
      <c r="J2170">
        <v>1</v>
      </c>
      <c r="K2170">
        <v>464180</v>
      </c>
      <c r="L2170">
        <v>464180</v>
      </c>
      <c r="M2170">
        <v>599</v>
      </c>
    </row>
    <row r="2171" spans="1:13" ht="15">
      <c r="A2171" t="s">
        <v>3727</v>
      </c>
      <c r="B2171" s="1040" t="str">
        <f>CONCATENATE(LEFT(RIGHT(CONCATENATE("000",IFAData_TEA_1819!A2171),6),3),"-",(RIGHT(RIGHT(CONCATENATE("000",IFAData_TEA_1819!A2171),6),3)))</f>
        <v>220-910</v>
      </c>
      <c r="C2171" t="s">
        <v>2301</v>
      </c>
      <c r="D2171">
        <v>9</v>
      </c>
      <c r="E2171">
        <v>1999</v>
      </c>
      <c r="F2171" t="s">
        <v>5511</v>
      </c>
      <c r="G2171" t="s">
        <v>5511</v>
      </c>
      <c r="H2171">
        <v>335046</v>
      </c>
      <c r="I2171">
        <v>0</v>
      </c>
      <c r="J2171">
        <v>0</v>
      </c>
      <c r="K2171">
        <v>0</v>
      </c>
      <c r="L2171">
        <v>0</v>
      </c>
      <c r="M2171">
        <v>599</v>
      </c>
    </row>
    <row r="2172" spans="1:13" ht="15">
      <c r="A2172" t="s">
        <v>3727</v>
      </c>
      <c r="B2172" s="1040" t="str">
        <f>CONCATENATE(LEFT(RIGHT(CONCATENATE("000",IFAData_TEA_1819!A2172),6),3),"-",(RIGHT(RIGHT(CONCATENATE("000",IFAData_TEA_1819!A2172),6),3)))</f>
        <v>220-910</v>
      </c>
      <c r="C2172" t="s">
        <v>2301</v>
      </c>
      <c r="D2172">
        <v>9</v>
      </c>
      <c r="E2172">
        <v>1999</v>
      </c>
      <c r="F2172" t="s">
        <v>5511</v>
      </c>
      <c r="G2172" t="s">
        <v>6331</v>
      </c>
      <c r="H2172">
        <v>335046</v>
      </c>
      <c r="I2172">
        <v>494656</v>
      </c>
      <c r="J2172">
        <v>1</v>
      </c>
      <c r="K2172">
        <v>335046</v>
      </c>
      <c r="L2172">
        <v>335046</v>
      </c>
      <c r="M2172">
        <v>599</v>
      </c>
    </row>
    <row r="2173" spans="1:13" ht="15">
      <c r="A2173" t="s">
        <v>3727</v>
      </c>
      <c r="B2173" s="1040" t="str">
        <f>CONCATENATE(LEFT(RIGHT(CONCATENATE("000",IFAData_TEA_1819!A2173),6),3),"-",(RIGHT(RIGHT(CONCATENATE("000",IFAData_TEA_1819!A2173),6),3)))</f>
        <v>220-910</v>
      </c>
      <c r="C2173" t="s">
        <v>2301</v>
      </c>
      <c r="D2173">
        <v>9</v>
      </c>
      <c r="E2173">
        <v>1998</v>
      </c>
      <c r="F2173" t="s">
        <v>5512</v>
      </c>
      <c r="G2173" t="s">
        <v>5512</v>
      </c>
      <c r="H2173">
        <v>83579</v>
      </c>
      <c r="I2173">
        <v>140000</v>
      </c>
      <c r="J2173">
        <v>0.232037789011353</v>
      </c>
      <c r="K2173">
        <v>19393.4863677799</v>
      </c>
      <c r="L2173">
        <v>19393.4863677799</v>
      </c>
      <c r="M2173">
        <v>599</v>
      </c>
    </row>
    <row r="2174" spans="1:13" ht="15">
      <c r="A2174" t="s">
        <v>3727</v>
      </c>
      <c r="B2174" s="1040" t="str">
        <f>CONCATENATE(LEFT(RIGHT(CONCATENATE("000",IFAData_TEA_1819!A2174),6),3),"-",(RIGHT(RIGHT(CONCATENATE("000",IFAData_TEA_1819!A2174),6),3)))</f>
        <v>220-910</v>
      </c>
      <c r="C2174" t="s">
        <v>2301</v>
      </c>
      <c r="D2174">
        <v>9</v>
      </c>
      <c r="E2174">
        <v>1998</v>
      </c>
      <c r="F2174" t="s">
        <v>5512</v>
      </c>
      <c r="G2174" t="s">
        <v>6541</v>
      </c>
      <c r="H2174">
        <v>83579</v>
      </c>
      <c r="I2174">
        <v>355950</v>
      </c>
      <c r="J2174">
        <v>0.589956078561366</v>
      </c>
      <c r="K2174">
        <v>49307.939090080399</v>
      </c>
      <c r="L2174">
        <v>49307.939090080399</v>
      </c>
      <c r="M2174">
        <v>599</v>
      </c>
    </row>
    <row r="2175" spans="1:13" ht="15">
      <c r="A2175" t="s">
        <v>3727</v>
      </c>
      <c r="B2175" s="1040" t="str">
        <f>CONCATENATE(LEFT(RIGHT(CONCATENATE("000",IFAData_TEA_1819!A2175),6),3),"-",(RIGHT(RIGHT(CONCATENATE("000",IFAData_TEA_1819!A2175),6),3)))</f>
        <v>220-910</v>
      </c>
      <c r="C2175" t="s">
        <v>2301</v>
      </c>
      <c r="D2175">
        <v>9</v>
      </c>
      <c r="E2175">
        <v>1998</v>
      </c>
      <c r="F2175" t="s">
        <v>5512</v>
      </c>
      <c r="G2175" t="s">
        <v>8509</v>
      </c>
      <c r="H2175">
        <v>83579</v>
      </c>
      <c r="I2175">
        <v>107400</v>
      </c>
      <c r="J2175">
        <v>0.178006132427281</v>
      </c>
      <c r="K2175">
        <v>14877.5745421397</v>
      </c>
      <c r="L2175">
        <v>14877.5745421397</v>
      </c>
      <c r="M2175">
        <v>599</v>
      </c>
    </row>
    <row r="2176" spans="1:13" ht="15">
      <c r="A2176" t="s">
        <v>3728</v>
      </c>
      <c r="B2176" s="1040" t="str">
        <f>CONCATENATE(LEFT(RIGHT(CONCATENATE("000",IFAData_TEA_1819!A2176),6),3),"-",(RIGHT(RIGHT(CONCATENATE("000",IFAData_TEA_1819!A2176),6),3)))</f>
        <v>220-912</v>
      </c>
      <c r="C2176" t="s">
        <v>419</v>
      </c>
      <c r="D2176">
        <v>1</v>
      </c>
      <c r="E2176">
        <v>1733</v>
      </c>
      <c r="F2176" t="s">
        <v>5513</v>
      </c>
      <c r="G2176" t="s">
        <v>5513</v>
      </c>
      <c r="H2176">
        <v>1863688</v>
      </c>
      <c r="I2176">
        <v>0</v>
      </c>
      <c r="J2176">
        <v>0</v>
      </c>
      <c r="K2176">
        <v>0</v>
      </c>
      <c r="L2176">
        <v>0</v>
      </c>
      <c r="M2176">
        <v>599</v>
      </c>
    </row>
    <row r="2177" spans="1:13" ht="15">
      <c r="A2177" t="s">
        <v>3728</v>
      </c>
      <c r="B2177" s="1040" t="str">
        <f>CONCATENATE(LEFT(RIGHT(CONCATENATE("000",IFAData_TEA_1819!A2177),6),3),"-",(RIGHT(RIGHT(CONCATENATE("000",IFAData_TEA_1819!A2177),6),3)))</f>
        <v>220-912</v>
      </c>
      <c r="C2177" t="s">
        <v>419</v>
      </c>
      <c r="D2177">
        <v>1</v>
      </c>
      <c r="E2177">
        <v>1733</v>
      </c>
      <c r="F2177" t="s">
        <v>5513</v>
      </c>
      <c r="G2177" t="s">
        <v>5514</v>
      </c>
      <c r="H2177">
        <v>1863688</v>
      </c>
      <c r="I2177">
        <v>0</v>
      </c>
      <c r="J2177">
        <v>0</v>
      </c>
      <c r="K2177">
        <v>0</v>
      </c>
      <c r="L2177">
        <v>0</v>
      </c>
      <c r="M2177">
        <v>599</v>
      </c>
    </row>
    <row r="2178" spans="1:13" ht="15">
      <c r="A2178" t="s">
        <v>3728</v>
      </c>
      <c r="B2178" s="1040" t="str">
        <f>CONCATENATE(LEFT(RIGHT(CONCATENATE("000",IFAData_TEA_1819!A2178),6),3),"-",(RIGHT(RIGHT(CONCATENATE("000",IFAData_TEA_1819!A2178),6),3)))</f>
        <v>220-912</v>
      </c>
      <c r="C2178" t="s">
        <v>419</v>
      </c>
      <c r="D2178">
        <v>1</v>
      </c>
      <c r="E2178">
        <v>1733</v>
      </c>
      <c r="F2178" t="s">
        <v>5513</v>
      </c>
      <c r="G2178" t="s">
        <v>5515</v>
      </c>
      <c r="H2178">
        <v>1863688</v>
      </c>
      <c r="I2178">
        <v>640422</v>
      </c>
      <c r="J2178">
        <v>0.38232231935831301</v>
      </c>
      <c r="K2178">
        <v>712529.518720255</v>
      </c>
      <c r="L2178">
        <v>640422</v>
      </c>
      <c r="M2178">
        <v>599</v>
      </c>
    </row>
    <row r="2179" spans="1:13" ht="15">
      <c r="A2179" t="s">
        <v>3728</v>
      </c>
      <c r="B2179" s="1040" t="str">
        <f>CONCATENATE(LEFT(RIGHT(CONCATENATE("000",IFAData_TEA_1819!A2179),6),3),"-",(RIGHT(RIGHT(CONCATENATE("000",IFAData_TEA_1819!A2179),6),3)))</f>
        <v>220-912</v>
      </c>
      <c r="C2179" t="s">
        <v>419</v>
      </c>
      <c r="D2179">
        <v>1</v>
      </c>
      <c r="E2179">
        <v>1733</v>
      </c>
      <c r="F2179" t="s">
        <v>5513</v>
      </c>
      <c r="G2179" t="s">
        <v>6333</v>
      </c>
      <c r="H2179">
        <v>1863688</v>
      </c>
      <c r="I2179">
        <v>1034662</v>
      </c>
      <c r="J2179">
        <v>0.61767768064168704</v>
      </c>
      <c r="K2179">
        <v>1151158.4812797401</v>
      </c>
      <c r="L2179">
        <v>1034662</v>
      </c>
      <c r="M2179">
        <v>599</v>
      </c>
    </row>
    <row r="2180" spans="1:13" ht="15">
      <c r="A2180" t="s">
        <v>3728</v>
      </c>
      <c r="B2180" s="1040" t="str">
        <f>CONCATENATE(LEFT(RIGHT(CONCATENATE("000",IFAData_TEA_1819!A2180),6),3),"-",(RIGHT(RIGHT(CONCATENATE("000",IFAData_TEA_1819!A2180),6),3)))</f>
        <v>220-912</v>
      </c>
      <c r="C2180" t="s">
        <v>419</v>
      </c>
      <c r="D2180">
        <v>9</v>
      </c>
      <c r="E2180">
        <v>1735</v>
      </c>
      <c r="F2180" t="s">
        <v>5516</v>
      </c>
      <c r="G2180" t="s">
        <v>5516</v>
      </c>
      <c r="H2180">
        <v>3761388</v>
      </c>
      <c r="I2180">
        <v>1170194</v>
      </c>
      <c r="J2180">
        <v>0.30859033723859502</v>
      </c>
      <c r="K2180">
        <v>1160727.99140521</v>
      </c>
      <c r="L2180">
        <v>1160727.99140521</v>
      </c>
      <c r="M2180">
        <v>599</v>
      </c>
    </row>
    <row r="2181" spans="1:13" ht="15">
      <c r="A2181" t="s">
        <v>3728</v>
      </c>
      <c r="B2181" s="1040" t="str">
        <f>CONCATENATE(LEFT(RIGHT(CONCATENATE("000",IFAData_TEA_1819!A2181),6),3),"-",(RIGHT(RIGHT(CONCATENATE("000",IFAData_TEA_1819!A2181),6),3)))</f>
        <v>220-912</v>
      </c>
      <c r="C2181" t="s">
        <v>419</v>
      </c>
      <c r="D2181">
        <v>9</v>
      </c>
      <c r="E2181">
        <v>1735</v>
      </c>
      <c r="F2181" t="s">
        <v>5516</v>
      </c>
      <c r="G2181" t="s">
        <v>6332</v>
      </c>
      <c r="H2181">
        <v>3761388</v>
      </c>
      <c r="I2181">
        <v>1639619</v>
      </c>
      <c r="J2181">
        <v>0.432381793234975</v>
      </c>
      <c r="K2181">
        <v>1626355.68849252</v>
      </c>
      <c r="L2181">
        <v>1626355.68849252</v>
      </c>
      <c r="M2181">
        <v>599</v>
      </c>
    </row>
    <row r="2182" spans="1:13" ht="15">
      <c r="A2182" t="s">
        <v>3728</v>
      </c>
      <c r="B2182" s="1040" t="str">
        <f>CONCATENATE(LEFT(RIGHT(CONCATENATE("000",IFAData_TEA_1819!A2182),6),3),"-",(RIGHT(RIGHT(CONCATENATE("000",IFAData_TEA_1819!A2182),6),3)))</f>
        <v>220-912</v>
      </c>
      <c r="C2182" t="s">
        <v>419</v>
      </c>
      <c r="D2182">
        <v>9</v>
      </c>
      <c r="E2182">
        <v>1735</v>
      </c>
      <c r="F2182" t="s">
        <v>5516</v>
      </c>
      <c r="G2182" t="s">
        <v>6543</v>
      </c>
      <c r="H2182">
        <v>3761388</v>
      </c>
      <c r="I2182">
        <v>982250</v>
      </c>
      <c r="J2182">
        <v>0.25902786952642898</v>
      </c>
      <c r="K2182">
        <v>974304.32010227698</v>
      </c>
      <c r="L2182">
        <v>974304.32010227698</v>
      </c>
      <c r="M2182">
        <v>599</v>
      </c>
    </row>
    <row r="2183" spans="1:13" ht="15">
      <c r="A2183" t="s">
        <v>3728</v>
      </c>
      <c r="B2183" s="1040" t="str">
        <f>CONCATENATE(LEFT(RIGHT(CONCATENATE("000",IFAData_TEA_1819!A2183),6),3),"-",(RIGHT(RIGHT(CONCATENATE("000",IFAData_TEA_1819!A2183),6),3)))</f>
        <v>220-912</v>
      </c>
      <c r="C2183" t="s">
        <v>419</v>
      </c>
      <c r="D2183">
        <v>10</v>
      </c>
      <c r="E2183">
        <v>1734</v>
      </c>
      <c r="F2183" t="s">
        <v>5517</v>
      </c>
      <c r="G2183" t="s">
        <v>5517</v>
      </c>
      <c r="H2183">
        <v>3735112</v>
      </c>
      <c r="I2183">
        <v>285000</v>
      </c>
      <c r="J2183">
        <v>7.8519967489978401E-2</v>
      </c>
      <c r="K2183">
        <v>293280.87281142798</v>
      </c>
      <c r="L2183">
        <v>285000</v>
      </c>
      <c r="M2183">
        <v>599</v>
      </c>
    </row>
    <row r="2184" spans="1:13" ht="15">
      <c r="A2184" t="s">
        <v>3728</v>
      </c>
      <c r="B2184" s="1040" t="str">
        <f>CONCATENATE(LEFT(RIGHT(CONCATENATE("000",IFAData_TEA_1819!A2184),6),3),"-",(RIGHT(RIGHT(CONCATENATE("000",IFAData_TEA_1819!A2184),6),3)))</f>
        <v>220-912</v>
      </c>
      <c r="C2184" t="s">
        <v>419</v>
      </c>
      <c r="D2184">
        <v>10</v>
      </c>
      <c r="E2184">
        <v>1734</v>
      </c>
      <c r="F2184" t="s">
        <v>5517</v>
      </c>
      <c r="G2184" t="s">
        <v>6542</v>
      </c>
      <c r="H2184">
        <v>3735112</v>
      </c>
      <c r="I2184">
        <v>3344650</v>
      </c>
      <c r="J2184">
        <v>0.92148003251002197</v>
      </c>
      <c r="K2184">
        <v>3441831.1271885699</v>
      </c>
      <c r="L2184">
        <v>3344650</v>
      </c>
      <c r="M2184">
        <v>599</v>
      </c>
    </row>
    <row r="2185" spans="1:13" ht="15">
      <c r="A2185" t="s">
        <v>3729</v>
      </c>
      <c r="B2185" s="1040" t="str">
        <f>CONCATENATE(LEFT(RIGHT(CONCATENATE("000",IFAData_TEA_1819!A2185),6),3),"-",(RIGHT(RIGHT(CONCATENATE("000",IFAData_TEA_1819!A2185),6),3)))</f>
        <v>220-914</v>
      </c>
      <c r="C2185" t="s">
        <v>2516</v>
      </c>
      <c r="D2185">
        <v>1</v>
      </c>
      <c r="E2185">
        <v>1955</v>
      </c>
      <c r="F2185" t="s">
        <v>5518</v>
      </c>
      <c r="G2185" t="s">
        <v>5518</v>
      </c>
      <c r="H2185">
        <v>565360</v>
      </c>
      <c r="I2185">
        <v>0</v>
      </c>
      <c r="J2185">
        <v>0</v>
      </c>
      <c r="K2185">
        <v>0</v>
      </c>
      <c r="L2185">
        <v>0</v>
      </c>
      <c r="M2185">
        <v>599</v>
      </c>
    </row>
    <row r="2186" spans="1:13" ht="15">
      <c r="A2186" t="s">
        <v>3729</v>
      </c>
      <c r="B2186" s="1040" t="str">
        <f>CONCATENATE(LEFT(RIGHT(CONCATENATE("000",IFAData_TEA_1819!A2186),6),3),"-",(RIGHT(RIGHT(CONCATENATE("000",IFAData_TEA_1819!A2186),6),3)))</f>
        <v>220-914</v>
      </c>
      <c r="C2186" t="s">
        <v>2516</v>
      </c>
      <c r="D2186">
        <v>1</v>
      </c>
      <c r="E2186">
        <v>1955</v>
      </c>
      <c r="F2186" t="s">
        <v>5518</v>
      </c>
      <c r="G2186" t="s">
        <v>5519</v>
      </c>
      <c r="H2186">
        <v>565360</v>
      </c>
      <c r="I2186">
        <v>0</v>
      </c>
      <c r="J2186">
        <v>0</v>
      </c>
      <c r="K2186">
        <v>0</v>
      </c>
      <c r="L2186">
        <v>0</v>
      </c>
      <c r="M2186">
        <v>599</v>
      </c>
    </row>
    <row r="2187" spans="1:13" ht="15">
      <c r="A2187" t="s">
        <v>3729</v>
      </c>
      <c r="B2187" s="1040" t="str">
        <f>CONCATENATE(LEFT(RIGHT(CONCATENATE("000",IFAData_TEA_1819!A2187),6),3),"-",(RIGHT(RIGHT(CONCATENATE("000",IFAData_TEA_1819!A2187),6),3)))</f>
        <v>220-914</v>
      </c>
      <c r="C2187" t="s">
        <v>2516</v>
      </c>
      <c r="D2187">
        <v>1</v>
      </c>
      <c r="E2187">
        <v>1955</v>
      </c>
      <c r="F2187" t="s">
        <v>5518</v>
      </c>
      <c r="G2187" t="s">
        <v>5520</v>
      </c>
      <c r="H2187">
        <v>565360</v>
      </c>
      <c r="I2187">
        <v>0</v>
      </c>
      <c r="J2187">
        <v>0</v>
      </c>
      <c r="K2187">
        <v>0</v>
      </c>
      <c r="L2187">
        <v>0</v>
      </c>
      <c r="M2187">
        <v>599</v>
      </c>
    </row>
    <row r="2188" spans="1:13" ht="15">
      <c r="A2188" t="s">
        <v>3729</v>
      </c>
      <c r="B2188" s="1040" t="str">
        <f>CONCATENATE(LEFT(RIGHT(CONCATENATE("000",IFAData_TEA_1819!A2188),6),3),"-",(RIGHT(RIGHT(CONCATENATE("000",IFAData_TEA_1819!A2188),6),3)))</f>
        <v>220-914</v>
      </c>
      <c r="C2188" t="s">
        <v>2516</v>
      </c>
      <c r="D2188">
        <v>1</v>
      </c>
      <c r="E2188">
        <v>1955</v>
      </c>
      <c r="F2188" t="s">
        <v>5518</v>
      </c>
      <c r="G2188" t="s">
        <v>6334</v>
      </c>
      <c r="H2188">
        <v>565360</v>
      </c>
      <c r="I2188">
        <v>480591</v>
      </c>
      <c r="J2188">
        <v>1</v>
      </c>
      <c r="K2188">
        <v>565360</v>
      </c>
      <c r="L2188">
        <v>480591</v>
      </c>
      <c r="M2188">
        <v>599</v>
      </c>
    </row>
    <row r="2189" spans="1:13" ht="15">
      <c r="A2189" t="s">
        <v>3730</v>
      </c>
      <c r="B2189" s="1040" t="str">
        <f>CONCATENATE(LEFT(RIGHT(CONCATENATE("000",IFAData_TEA_1819!A2189),6),3),"-",(RIGHT(RIGHT(CONCATENATE("000",IFAData_TEA_1819!A2189),6),3)))</f>
        <v>220-915</v>
      </c>
      <c r="C2189" t="s">
        <v>2119</v>
      </c>
      <c r="D2189">
        <v>3</v>
      </c>
      <c r="E2189">
        <v>1588</v>
      </c>
      <c r="F2189" t="s">
        <v>5521</v>
      </c>
      <c r="G2189" t="s">
        <v>5521</v>
      </c>
      <c r="H2189">
        <v>1377910</v>
      </c>
      <c r="I2189">
        <v>0</v>
      </c>
      <c r="J2189">
        <v>0</v>
      </c>
      <c r="K2189">
        <v>0</v>
      </c>
      <c r="L2189">
        <v>0</v>
      </c>
      <c r="M2189">
        <v>599</v>
      </c>
    </row>
    <row r="2190" spans="1:13" ht="15">
      <c r="A2190" t="s">
        <v>3730</v>
      </c>
      <c r="B2190" s="1040" t="str">
        <f>CONCATENATE(LEFT(RIGHT(CONCATENATE("000",IFAData_TEA_1819!A2190),6),3),"-",(RIGHT(RIGHT(CONCATENATE("000",IFAData_TEA_1819!A2190),6),3)))</f>
        <v>220-915</v>
      </c>
      <c r="C2190" t="s">
        <v>2119</v>
      </c>
      <c r="D2190">
        <v>3</v>
      </c>
      <c r="E2190">
        <v>1588</v>
      </c>
      <c r="F2190" t="s">
        <v>5521</v>
      </c>
      <c r="G2190" t="s">
        <v>5522</v>
      </c>
      <c r="H2190">
        <v>1377910</v>
      </c>
      <c r="I2190">
        <v>0</v>
      </c>
      <c r="J2190">
        <v>0</v>
      </c>
      <c r="K2190">
        <v>0</v>
      </c>
      <c r="L2190">
        <v>0</v>
      </c>
      <c r="M2190">
        <v>599</v>
      </c>
    </row>
    <row r="2191" spans="1:13" ht="15">
      <c r="A2191" t="s">
        <v>3730</v>
      </c>
      <c r="B2191" s="1040" t="str">
        <f>CONCATENATE(LEFT(RIGHT(CONCATENATE("000",IFAData_TEA_1819!A2191),6),3),"-",(RIGHT(RIGHT(CONCATENATE("000",IFAData_TEA_1819!A2191),6),3)))</f>
        <v>220-915</v>
      </c>
      <c r="C2191" t="s">
        <v>2119</v>
      </c>
      <c r="D2191">
        <v>3</v>
      </c>
      <c r="E2191">
        <v>1588</v>
      </c>
      <c r="F2191" t="s">
        <v>5521</v>
      </c>
      <c r="G2191" t="s">
        <v>5523</v>
      </c>
      <c r="H2191">
        <v>1377910</v>
      </c>
      <c r="I2191">
        <v>0</v>
      </c>
      <c r="J2191">
        <v>0</v>
      </c>
      <c r="K2191">
        <v>0</v>
      </c>
      <c r="L2191">
        <v>0</v>
      </c>
      <c r="M2191">
        <v>599</v>
      </c>
    </row>
    <row r="2192" spans="1:13" ht="15">
      <c r="A2192" t="s">
        <v>3730</v>
      </c>
      <c r="B2192" s="1040" t="str">
        <f>CONCATENATE(LEFT(RIGHT(CONCATENATE("000",IFAData_TEA_1819!A2192),6),3),"-",(RIGHT(RIGHT(CONCATENATE("000",IFAData_TEA_1819!A2192),6),3)))</f>
        <v>220-915</v>
      </c>
      <c r="C2192" t="s">
        <v>2119</v>
      </c>
      <c r="D2192">
        <v>3</v>
      </c>
      <c r="E2192">
        <v>1588</v>
      </c>
      <c r="F2192" t="s">
        <v>5521</v>
      </c>
      <c r="G2192" t="s">
        <v>5524</v>
      </c>
      <c r="H2192">
        <v>1377910</v>
      </c>
      <c r="I2192">
        <v>1981313</v>
      </c>
      <c r="J2192">
        <v>1</v>
      </c>
      <c r="K2192">
        <v>1377910</v>
      </c>
      <c r="L2192">
        <v>1377910</v>
      </c>
      <c r="M2192">
        <v>599</v>
      </c>
    </row>
    <row r="2193" spans="1:13" ht="15">
      <c r="A2193" t="s">
        <v>3731</v>
      </c>
      <c r="B2193" s="1040" t="str">
        <f>CONCATENATE(LEFT(RIGHT(CONCATENATE("000",IFAData_TEA_1819!A2193),6),3),"-",(RIGHT(RIGHT(CONCATENATE("000",IFAData_TEA_1819!A2193),6),3)))</f>
        <v>220-916</v>
      </c>
      <c r="C2193" t="s">
        <v>1267</v>
      </c>
      <c r="D2193">
        <v>2</v>
      </c>
      <c r="E2193">
        <v>1920</v>
      </c>
      <c r="F2193" t="s">
        <v>5525</v>
      </c>
      <c r="G2193" t="s">
        <v>5525</v>
      </c>
      <c r="H2193">
        <v>4462566</v>
      </c>
      <c r="I2193">
        <v>0</v>
      </c>
      <c r="J2193">
        <v>0</v>
      </c>
      <c r="K2193">
        <v>0</v>
      </c>
      <c r="L2193">
        <v>0</v>
      </c>
      <c r="M2193">
        <v>599</v>
      </c>
    </row>
    <row r="2194" spans="1:13" ht="15">
      <c r="A2194" t="s">
        <v>3731</v>
      </c>
      <c r="B2194" s="1040" t="str">
        <f>CONCATENATE(LEFT(RIGHT(CONCATENATE("000",IFAData_TEA_1819!A2194),6),3),"-",(RIGHT(RIGHT(CONCATENATE("000",IFAData_TEA_1819!A2194),6),3)))</f>
        <v>220-916</v>
      </c>
      <c r="C2194" t="s">
        <v>1267</v>
      </c>
      <c r="D2194">
        <v>2</v>
      </c>
      <c r="E2194">
        <v>1920</v>
      </c>
      <c r="F2194" t="s">
        <v>5525</v>
      </c>
      <c r="G2194" t="s">
        <v>5526</v>
      </c>
      <c r="H2194">
        <v>4462566</v>
      </c>
      <c r="I2194">
        <v>5550896</v>
      </c>
      <c r="J2194">
        <v>0.60217433376639495</v>
      </c>
      <c r="K2194">
        <v>2687242.7079385701</v>
      </c>
      <c r="L2194">
        <v>2687242.7079385701</v>
      </c>
      <c r="M2194">
        <v>599</v>
      </c>
    </row>
    <row r="2195" spans="1:13" ht="15">
      <c r="A2195" t="s">
        <v>3731</v>
      </c>
      <c r="B2195" s="1040" t="str">
        <f>CONCATENATE(LEFT(RIGHT(CONCATENATE("000",IFAData_TEA_1819!A2195),6),3),"-",(RIGHT(RIGHT(CONCATENATE("000",IFAData_TEA_1819!A2195),6),3)))</f>
        <v>220-916</v>
      </c>
      <c r="C2195" t="s">
        <v>1267</v>
      </c>
      <c r="D2195">
        <v>2</v>
      </c>
      <c r="E2195">
        <v>1920</v>
      </c>
      <c r="F2195" t="s">
        <v>5525</v>
      </c>
      <c r="G2195" t="s">
        <v>5527</v>
      </c>
      <c r="H2195">
        <v>4462566</v>
      </c>
      <c r="I2195">
        <v>316502</v>
      </c>
      <c r="J2195">
        <v>3.4334885932961398E-2</v>
      </c>
      <c r="K2195">
        <v>153221.69457831199</v>
      </c>
      <c r="L2195">
        <v>153221.69457831199</v>
      </c>
      <c r="M2195">
        <v>599</v>
      </c>
    </row>
    <row r="2196" spans="1:13" ht="15">
      <c r="A2196" t="s">
        <v>3731</v>
      </c>
      <c r="B2196" s="1040" t="str">
        <f>CONCATENATE(LEFT(RIGHT(CONCATENATE("000",IFAData_TEA_1819!A2196),6),3),"-",(RIGHT(RIGHT(CONCATENATE("000",IFAData_TEA_1819!A2196),6),3)))</f>
        <v>220-916</v>
      </c>
      <c r="C2196" t="s">
        <v>1267</v>
      </c>
      <c r="D2196">
        <v>2</v>
      </c>
      <c r="E2196">
        <v>1920</v>
      </c>
      <c r="F2196" t="s">
        <v>5525</v>
      </c>
      <c r="G2196" t="s">
        <v>6335</v>
      </c>
      <c r="H2196">
        <v>4462566</v>
      </c>
      <c r="I2196">
        <v>316853</v>
      </c>
      <c r="J2196">
        <v>3.4372963243570698E-2</v>
      </c>
      <c r="K2196">
        <v>153391.61709000799</v>
      </c>
      <c r="L2196">
        <v>153391.61709000799</v>
      </c>
      <c r="M2196">
        <v>599</v>
      </c>
    </row>
    <row r="2197" spans="1:13" ht="15">
      <c r="A2197" t="s">
        <v>3731</v>
      </c>
      <c r="B2197" s="1040" t="str">
        <f>CONCATENATE(LEFT(RIGHT(CONCATENATE("000",IFAData_TEA_1819!A2197),6),3),"-",(RIGHT(RIGHT(CONCATENATE("000",IFAData_TEA_1819!A2197),6),3)))</f>
        <v>220-916</v>
      </c>
      <c r="C2197" t="s">
        <v>1267</v>
      </c>
      <c r="D2197">
        <v>2</v>
      </c>
      <c r="E2197">
        <v>1920</v>
      </c>
      <c r="F2197" t="s">
        <v>5525</v>
      </c>
      <c r="G2197" t="s">
        <v>8510</v>
      </c>
      <c r="H2197">
        <v>4462566</v>
      </c>
      <c r="I2197">
        <v>3033837</v>
      </c>
      <c r="J2197">
        <v>0.32911781705707299</v>
      </c>
      <c r="K2197">
        <v>1468709.9803931101</v>
      </c>
      <c r="L2197">
        <v>1468709.9803931101</v>
      </c>
      <c r="M2197">
        <v>599</v>
      </c>
    </row>
    <row r="2198" spans="1:13" ht="15">
      <c r="A2198" t="s">
        <v>3732</v>
      </c>
      <c r="B2198" s="1040" t="str">
        <f>CONCATENATE(LEFT(RIGHT(CONCATENATE("000",IFAData_TEA_1819!A2198),6),3),"-",(RIGHT(RIGHT(CONCATENATE("000",IFAData_TEA_1819!A2198),6),3)))</f>
        <v>220-917</v>
      </c>
      <c r="C2198" t="s">
        <v>657</v>
      </c>
      <c r="D2198">
        <v>5</v>
      </c>
      <c r="E2198">
        <v>1668</v>
      </c>
      <c r="F2198" t="s">
        <v>5528</v>
      </c>
      <c r="G2198" t="s">
        <v>5528</v>
      </c>
      <c r="H2198">
        <v>711722</v>
      </c>
      <c r="I2198">
        <v>0</v>
      </c>
      <c r="J2198">
        <v>0</v>
      </c>
      <c r="K2198"/>
      <c r="L2198">
        <v>0</v>
      </c>
      <c r="M2198">
        <v>199</v>
      </c>
    </row>
    <row r="2199" spans="1:13" ht="15">
      <c r="A2199" t="s">
        <v>3732</v>
      </c>
      <c r="B2199" s="1040" t="str">
        <f>CONCATENATE(LEFT(RIGHT(CONCATENATE("000",IFAData_TEA_1819!A2199),6),3),"-",(RIGHT(RIGHT(CONCATENATE("000",IFAData_TEA_1819!A2199),6),3)))</f>
        <v>220-917</v>
      </c>
      <c r="C2199" t="s">
        <v>657</v>
      </c>
      <c r="D2199">
        <v>10</v>
      </c>
      <c r="E2199">
        <v>1669</v>
      </c>
      <c r="F2199" t="s">
        <v>5531</v>
      </c>
      <c r="G2199" t="s">
        <v>5531</v>
      </c>
      <c r="H2199">
        <v>843841</v>
      </c>
      <c r="I2199">
        <v>0</v>
      </c>
      <c r="J2199">
        <v>0</v>
      </c>
      <c r="K2199">
        <v>0</v>
      </c>
      <c r="L2199">
        <v>0</v>
      </c>
      <c r="M2199">
        <v>599</v>
      </c>
    </row>
    <row r="2200" spans="1:13" ht="15">
      <c r="A2200" t="s">
        <v>3732</v>
      </c>
      <c r="B2200" s="1040" t="str">
        <f>CONCATENATE(LEFT(RIGHT(CONCATENATE("000",IFAData_TEA_1819!A2200),6),3),"-",(RIGHT(RIGHT(CONCATENATE("000",IFAData_TEA_1819!A2200),6),3)))</f>
        <v>220-917</v>
      </c>
      <c r="C2200" t="s">
        <v>657</v>
      </c>
      <c r="D2200">
        <v>10</v>
      </c>
      <c r="E2200">
        <v>1669</v>
      </c>
      <c r="F2200" t="s">
        <v>5531</v>
      </c>
      <c r="G2200" t="s">
        <v>8544</v>
      </c>
      <c r="H2200">
        <v>843841</v>
      </c>
      <c r="I2200">
        <v>1443625</v>
      </c>
      <c r="J2200">
        <v>1</v>
      </c>
      <c r="K2200">
        <v>843841</v>
      </c>
      <c r="L2200">
        <v>843841</v>
      </c>
      <c r="M2200">
        <v>599</v>
      </c>
    </row>
    <row r="2201" spans="1:13" ht="15">
      <c r="A2201" t="s">
        <v>3733</v>
      </c>
      <c r="B2201" s="1040" t="str">
        <f>CONCATENATE(LEFT(RIGHT(CONCATENATE("000",IFAData_TEA_1819!A2201),6),3),"-",(RIGHT(RIGHT(CONCATENATE("000",IFAData_TEA_1819!A2201),6),3)))</f>
        <v>220-918</v>
      </c>
      <c r="C2201" t="s">
        <v>1280</v>
      </c>
      <c r="D2201">
        <v>10</v>
      </c>
      <c r="E2201">
        <v>1772</v>
      </c>
      <c r="F2201" t="s">
        <v>5532</v>
      </c>
      <c r="G2201" t="s">
        <v>5532</v>
      </c>
      <c r="H2201">
        <v>4072151</v>
      </c>
      <c r="I2201">
        <v>3902252</v>
      </c>
      <c r="J2201">
        <v>0.41871278490508101</v>
      </c>
      <c r="K2201">
        <v>1705061.6857640101</v>
      </c>
      <c r="L2201">
        <v>1705061.6857640101</v>
      </c>
      <c r="M2201">
        <v>599</v>
      </c>
    </row>
    <row r="2202" spans="1:13" ht="15">
      <c r="A2202" t="s">
        <v>3733</v>
      </c>
      <c r="B2202" s="1040" t="str">
        <f>CONCATENATE(LEFT(RIGHT(CONCATENATE("000",IFAData_TEA_1819!A2202),6),3),"-",(RIGHT(RIGHT(CONCATENATE("000",IFAData_TEA_1819!A2202),6),3)))</f>
        <v>220-918</v>
      </c>
      <c r="C2202" t="s">
        <v>1280</v>
      </c>
      <c r="D2202">
        <v>10</v>
      </c>
      <c r="E2202">
        <v>1772</v>
      </c>
      <c r="F2202" t="s">
        <v>5532</v>
      </c>
      <c r="G2202" t="s">
        <v>6336</v>
      </c>
      <c r="H2202">
        <v>4072151</v>
      </c>
      <c r="I2202">
        <v>1593174</v>
      </c>
      <c r="J2202">
        <v>0.17094803779416801</v>
      </c>
      <c r="K2202">
        <v>696126.22305155802</v>
      </c>
      <c r="L2202">
        <v>696126.22305155802</v>
      </c>
      <c r="M2202">
        <v>599</v>
      </c>
    </row>
    <row r="2203" spans="1:13" ht="15">
      <c r="A2203" t="s">
        <v>3733</v>
      </c>
      <c r="B2203" s="1040" t="str">
        <f>CONCATENATE(LEFT(RIGHT(CONCATENATE("000",IFAData_TEA_1819!A2203),6),3),"-",(RIGHT(RIGHT(CONCATENATE("000",IFAData_TEA_1819!A2203),6),3)))</f>
        <v>220-918</v>
      </c>
      <c r="C2203" t="s">
        <v>1280</v>
      </c>
      <c r="D2203">
        <v>10</v>
      </c>
      <c r="E2203">
        <v>1772</v>
      </c>
      <c r="F2203" t="s">
        <v>5532</v>
      </c>
      <c r="G2203" t="s">
        <v>6544</v>
      </c>
      <c r="H2203">
        <v>4072151</v>
      </c>
      <c r="I2203">
        <v>1980039</v>
      </c>
      <c r="J2203">
        <v>0.21245876583846199</v>
      </c>
      <c r="K2203">
        <v>865164.17576786003</v>
      </c>
      <c r="L2203">
        <v>865164.17576786003</v>
      </c>
      <c r="M2203">
        <v>599</v>
      </c>
    </row>
    <row r="2204" spans="1:13" ht="15">
      <c r="A2204" t="s">
        <v>3733</v>
      </c>
      <c r="B2204" s="1040" t="str">
        <f>CONCATENATE(LEFT(RIGHT(CONCATENATE("000",IFAData_TEA_1819!A2204),6),3),"-",(RIGHT(RIGHT(CONCATENATE("000",IFAData_TEA_1819!A2204),6),3)))</f>
        <v>220-918</v>
      </c>
      <c r="C2204" t="s">
        <v>1280</v>
      </c>
      <c r="D2204">
        <v>10</v>
      </c>
      <c r="E2204">
        <v>1772</v>
      </c>
      <c r="F2204" t="s">
        <v>5532</v>
      </c>
      <c r="G2204" t="s">
        <v>8511</v>
      </c>
      <c r="H2204">
        <v>4072151</v>
      </c>
      <c r="I2204">
        <v>1844174</v>
      </c>
      <c r="J2204">
        <v>0.19788041146228899</v>
      </c>
      <c r="K2204">
        <v>805798.91541657399</v>
      </c>
      <c r="L2204">
        <v>805798.91541657399</v>
      </c>
      <c r="M2204">
        <v>599</v>
      </c>
    </row>
    <row r="2205" spans="1:13" ht="15">
      <c r="A2205" t="s">
        <v>5533</v>
      </c>
      <c r="B2205" s="1040" t="str">
        <f>CONCATENATE(LEFT(RIGHT(CONCATENATE("000",IFAData_TEA_1819!A2205),6),3),"-",(RIGHT(RIGHT(CONCATENATE("000",IFAData_TEA_1819!A2205),6),3)))</f>
        <v>220-919</v>
      </c>
      <c r="C2205" t="s">
        <v>656</v>
      </c>
      <c r="D2205">
        <v>1</v>
      </c>
      <c r="E2205">
        <v>1666</v>
      </c>
      <c r="F2205" t="s">
        <v>5534</v>
      </c>
      <c r="G2205" t="s">
        <v>5534</v>
      </c>
      <c r="H2205">
        <v>602473</v>
      </c>
      <c r="I2205">
        <v>0</v>
      </c>
      <c r="J2205">
        <v>0</v>
      </c>
      <c r="K2205"/>
      <c r="L2205">
        <v>0</v>
      </c>
      <c r="M2205">
        <v>599</v>
      </c>
    </row>
    <row r="2206" spans="1:13" ht="15">
      <c r="A2206" t="s">
        <v>5533</v>
      </c>
      <c r="B2206" s="1040" t="str">
        <f>CONCATENATE(LEFT(RIGHT(CONCATENATE("000",IFAData_TEA_1819!A2206),6),3),"-",(RIGHT(RIGHT(CONCATENATE("000",IFAData_TEA_1819!A2206),6),3)))</f>
        <v>220-919</v>
      </c>
      <c r="C2206" t="s">
        <v>656</v>
      </c>
      <c r="D2206">
        <v>1</v>
      </c>
      <c r="E2206">
        <v>1667</v>
      </c>
      <c r="F2206" t="s">
        <v>5535</v>
      </c>
      <c r="G2206" t="s">
        <v>5535</v>
      </c>
      <c r="H2206">
        <v>693277</v>
      </c>
      <c r="I2206">
        <v>197593</v>
      </c>
      <c r="J2206">
        <v>1</v>
      </c>
      <c r="K2206">
        <v>693277</v>
      </c>
      <c r="L2206">
        <v>197593</v>
      </c>
      <c r="M2206">
        <v>599</v>
      </c>
    </row>
    <row r="2207" spans="1:13" ht="15">
      <c r="A2207" t="s">
        <v>3734</v>
      </c>
      <c r="B2207" s="1040" t="str">
        <f>CONCATENATE(LEFT(RIGHT(CONCATENATE("000",IFAData_TEA_1819!A2207),6),3),"-",(RIGHT(RIGHT(CONCATENATE("000",IFAData_TEA_1819!A2207),6),3)))</f>
        <v>220-920</v>
      </c>
      <c r="C2207" t="s">
        <v>1333</v>
      </c>
      <c r="D2207">
        <v>1</v>
      </c>
      <c r="E2207">
        <v>2449</v>
      </c>
      <c r="F2207" t="s">
        <v>5536</v>
      </c>
      <c r="G2207" t="s">
        <v>5536</v>
      </c>
      <c r="H2207">
        <v>729878</v>
      </c>
      <c r="I2207">
        <v>0</v>
      </c>
      <c r="J2207">
        <v>0</v>
      </c>
      <c r="K2207">
        <v>0</v>
      </c>
      <c r="L2207">
        <v>0</v>
      </c>
      <c r="M2207">
        <v>599</v>
      </c>
    </row>
    <row r="2208" spans="1:13" ht="15">
      <c r="A2208" t="s">
        <v>3734</v>
      </c>
      <c r="B2208" s="1040" t="str">
        <f>CONCATENATE(LEFT(RIGHT(CONCATENATE("000",IFAData_TEA_1819!A2208),6),3),"-",(RIGHT(RIGHT(CONCATENATE("000",IFAData_TEA_1819!A2208),6),3)))</f>
        <v>220-920</v>
      </c>
      <c r="C2208" t="s">
        <v>1333</v>
      </c>
      <c r="D2208">
        <v>1</v>
      </c>
      <c r="E2208">
        <v>2449</v>
      </c>
      <c r="F2208" t="s">
        <v>5536</v>
      </c>
      <c r="G2208" t="s">
        <v>5537</v>
      </c>
      <c r="H2208">
        <v>729878</v>
      </c>
      <c r="I2208">
        <v>10374</v>
      </c>
      <c r="J2208">
        <v>4.51047400412177E-2</v>
      </c>
      <c r="K2208">
        <v>32920.957451803901</v>
      </c>
      <c r="L2208">
        <v>10374</v>
      </c>
      <c r="M2208">
        <v>599</v>
      </c>
    </row>
    <row r="2209" spans="1:13" ht="15">
      <c r="A2209" t="s">
        <v>3734</v>
      </c>
      <c r="B2209" s="1040" t="str">
        <f>CONCATENATE(LEFT(RIGHT(CONCATENATE("000",IFAData_TEA_1819!A2209),6),3),"-",(RIGHT(RIGHT(CONCATENATE("000",IFAData_TEA_1819!A2209),6),3)))</f>
        <v>220-920</v>
      </c>
      <c r="C2209" t="s">
        <v>1333</v>
      </c>
      <c r="D2209">
        <v>1</v>
      </c>
      <c r="E2209">
        <v>2449</v>
      </c>
      <c r="F2209" t="s">
        <v>5536</v>
      </c>
      <c r="G2209" t="s">
        <v>5538</v>
      </c>
      <c r="H2209">
        <v>729878</v>
      </c>
      <c r="I2209">
        <v>0</v>
      </c>
      <c r="J2209">
        <v>0</v>
      </c>
      <c r="K2209">
        <v>0</v>
      </c>
      <c r="L2209">
        <v>0</v>
      </c>
      <c r="M2209">
        <v>599</v>
      </c>
    </row>
    <row r="2210" spans="1:13" ht="15">
      <c r="A2210" t="s">
        <v>3734</v>
      </c>
      <c r="B2210" s="1040" t="str">
        <f>CONCATENATE(LEFT(RIGHT(CONCATENATE("000",IFAData_TEA_1819!A2210),6),3),"-",(RIGHT(RIGHT(CONCATENATE("000",IFAData_TEA_1819!A2210),6),3)))</f>
        <v>220-920</v>
      </c>
      <c r="C2210" t="s">
        <v>1333</v>
      </c>
      <c r="D2210">
        <v>1</v>
      </c>
      <c r="E2210">
        <v>2449</v>
      </c>
      <c r="F2210" t="s">
        <v>5536</v>
      </c>
      <c r="G2210" t="s">
        <v>5539</v>
      </c>
      <c r="H2210">
        <v>729878</v>
      </c>
      <c r="I2210">
        <v>0</v>
      </c>
      <c r="J2210">
        <v>0</v>
      </c>
      <c r="K2210">
        <v>0</v>
      </c>
      <c r="L2210">
        <v>0</v>
      </c>
      <c r="M2210">
        <v>599</v>
      </c>
    </row>
    <row r="2211" spans="1:13" ht="15">
      <c r="A2211" t="s">
        <v>3734</v>
      </c>
      <c r="B2211" s="1040" t="str">
        <f>CONCATENATE(LEFT(RIGHT(CONCATENATE("000",IFAData_TEA_1819!A2211),6),3),"-",(RIGHT(RIGHT(CONCATENATE("000",IFAData_TEA_1819!A2211),6),3)))</f>
        <v>220-920</v>
      </c>
      <c r="C2211" t="s">
        <v>1333</v>
      </c>
      <c r="D2211">
        <v>1</v>
      </c>
      <c r="E2211">
        <v>2449</v>
      </c>
      <c r="F2211" t="s">
        <v>5536</v>
      </c>
      <c r="G2211" t="s">
        <v>5540</v>
      </c>
      <c r="H2211">
        <v>729878</v>
      </c>
      <c r="I2211">
        <v>5346</v>
      </c>
      <c r="J2211">
        <v>2.32436803798294E-2</v>
      </c>
      <c r="K2211">
        <v>16965.050948269101</v>
      </c>
      <c r="L2211">
        <v>5346</v>
      </c>
      <c r="M2211">
        <v>599</v>
      </c>
    </row>
    <row r="2212" spans="1:13" ht="15">
      <c r="A2212" t="s">
        <v>3734</v>
      </c>
      <c r="B2212" s="1040" t="str">
        <f>CONCATENATE(LEFT(RIGHT(CONCATENATE("000",IFAData_TEA_1819!A2212),6),3),"-",(RIGHT(RIGHT(CONCATENATE("000",IFAData_TEA_1819!A2212),6),3)))</f>
        <v>220-920</v>
      </c>
      <c r="C2212" t="s">
        <v>1333</v>
      </c>
      <c r="D2212">
        <v>1</v>
      </c>
      <c r="E2212">
        <v>2449</v>
      </c>
      <c r="F2212" t="s">
        <v>5536</v>
      </c>
      <c r="G2212" t="s">
        <v>6338</v>
      </c>
      <c r="H2212">
        <v>729878</v>
      </c>
      <c r="I2212">
        <v>148553</v>
      </c>
      <c r="J2212">
        <v>0.64588822511500099</v>
      </c>
      <c r="K2212">
        <v>471419.605970487</v>
      </c>
      <c r="L2212">
        <v>148553</v>
      </c>
      <c r="M2212">
        <v>599</v>
      </c>
    </row>
    <row r="2213" spans="1:13" ht="15">
      <c r="A2213" t="s">
        <v>3734</v>
      </c>
      <c r="B2213" s="1040" t="str">
        <f>CONCATENATE(LEFT(RIGHT(CONCATENATE("000",IFAData_TEA_1819!A2213),6),3),"-",(RIGHT(RIGHT(CONCATENATE("000",IFAData_TEA_1819!A2213),6),3)))</f>
        <v>220-920</v>
      </c>
      <c r="C2213" t="s">
        <v>1333</v>
      </c>
      <c r="D2213">
        <v>1</v>
      </c>
      <c r="E2213">
        <v>2449</v>
      </c>
      <c r="F2213" t="s">
        <v>5536</v>
      </c>
      <c r="G2213" t="s">
        <v>6337</v>
      </c>
      <c r="H2213">
        <v>729878</v>
      </c>
      <c r="I2213">
        <v>25272</v>
      </c>
      <c r="J2213">
        <v>0.109879216341012</v>
      </c>
      <c r="K2213">
        <v>80198.422664544894</v>
      </c>
      <c r="L2213">
        <v>25272</v>
      </c>
      <c r="M2213">
        <v>599</v>
      </c>
    </row>
    <row r="2214" spans="1:13" ht="15">
      <c r="A2214" t="s">
        <v>3734</v>
      </c>
      <c r="B2214" s="1040" t="str">
        <f>CONCATENATE(LEFT(RIGHT(CONCATENATE("000",IFAData_TEA_1819!A2214),6),3),"-",(RIGHT(RIGHT(CONCATENATE("000",IFAData_TEA_1819!A2214),6),3)))</f>
        <v>220-920</v>
      </c>
      <c r="C2214" t="s">
        <v>1333</v>
      </c>
      <c r="D2214">
        <v>1</v>
      </c>
      <c r="E2214">
        <v>2449</v>
      </c>
      <c r="F2214" t="s">
        <v>5536</v>
      </c>
      <c r="G2214" t="s">
        <v>6545</v>
      </c>
      <c r="H2214">
        <v>729878</v>
      </c>
      <c r="I2214">
        <v>40453</v>
      </c>
      <c r="J2214">
        <v>0.17588413812293999</v>
      </c>
      <c r="K2214">
        <v>128373.96296489501</v>
      </c>
      <c r="L2214">
        <v>40453</v>
      </c>
      <c r="M2214">
        <v>599</v>
      </c>
    </row>
    <row r="2215" spans="1:13" ht="15">
      <c r="A2215" t="s">
        <v>3734</v>
      </c>
      <c r="B2215" s="1040" t="str">
        <f>CONCATENATE(LEFT(RIGHT(CONCATENATE("000",IFAData_TEA_1819!A2215),6),3),"-",(RIGHT(RIGHT(CONCATENATE("000",IFAData_TEA_1819!A2215),6),3)))</f>
        <v>220-920</v>
      </c>
      <c r="C2215" t="s">
        <v>1333</v>
      </c>
      <c r="D2215">
        <v>9</v>
      </c>
      <c r="E2215">
        <v>2450</v>
      </c>
      <c r="F2215" t="s">
        <v>5537</v>
      </c>
      <c r="G2215" t="s">
        <v>5537</v>
      </c>
      <c r="H2215">
        <v>1433532</v>
      </c>
      <c r="I2215">
        <v>0</v>
      </c>
      <c r="J2215">
        <v>0</v>
      </c>
      <c r="K2215">
        <v>0</v>
      </c>
      <c r="L2215">
        <v>0</v>
      </c>
      <c r="M2215">
        <v>599</v>
      </c>
    </row>
    <row r="2216" spans="1:13" ht="15">
      <c r="A2216" t="s">
        <v>3734</v>
      </c>
      <c r="B2216" s="1040" t="str">
        <f>CONCATENATE(LEFT(RIGHT(CONCATENATE("000",IFAData_TEA_1819!A2216),6),3),"-",(RIGHT(RIGHT(CONCATENATE("000",IFAData_TEA_1819!A2216),6),3)))</f>
        <v>220-920</v>
      </c>
      <c r="C2216" t="s">
        <v>1333</v>
      </c>
      <c r="D2216">
        <v>9</v>
      </c>
      <c r="E2216">
        <v>2450</v>
      </c>
      <c r="F2216" t="s">
        <v>5537</v>
      </c>
      <c r="G2216" t="s">
        <v>5539</v>
      </c>
      <c r="H2216">
        <v>1433532</v>
      </c>
      <c r="I2216">
        <v>1176691</v>
      </c>
      <c r="J2216">
        <v>0.85397106476861595</v>
      </c>
      <c r="K2216">
        <v>1224194.84841988</v>
      </c>
      <c r="L2216">
        <v>1176691</v>
      </c>
      <c r="M2216">
        <v>599</v>
      </c>
    </row>
    <row r="2217" spans="1:13" ht="15">
      <c r="A2217" t="s">
        <v>3734</v>
      </c>
      <c r="B2217" s="1040" t="str">
        <f>CONCATENATE(LEFT(RIGHT(CONCATENATE("000",IFAData_TEA_1819!A2217),6),3),"-",(RIGHT(RIGHT(CONCATENATE("000",IFAData_TEA_1819!A2217),6),3)))</f>
        <v>220-920</v>
      </c>
      <c r="C2217" t="s">
        <v>1333</v>
      </c>
      <c r="D2217">
        <v>9</v>
      </c>
      <c r="E2217">
        <v>2450</v>
      </c>
      <c r="F2217" t="s">
        <v>5537</v>
      </c>
      <c r="G2217" t="s">
        <v>5540</v>
      </c>
      <c r="H2217">
        <v>1433532</v>
      </c>
      <c r="I2217">
        <v>289</v>
      </c>
      <c r="J2217">
        <v>2.09738697515431E-4</v>
      </c>
      <c r="K2217">
        <v>300.66713452669097</v>
      </c>
      <c r="L2217">
        <v>289</v>
      </c>
      <c r="M2217">
        <v>599</v>
      </c>
    </row>
    <row r="2218" spans="1:13" ht="15">
      <c r="A2218" t="s">
        <v>3734</v>
      </c>
      <c r="B2218" s="1040" t="str">
        <f>CONCATENATE(LEFT(RIGHT(CONCATENATE("000",IFAData_TEA_1819!A2218),6),3),"-",(RIGHT(RIGHT(CONCATENATE("000",IFAData_TEA_1819!A2218),6),3)))</f>
        <v>220-920</v>
      </c>
      <c r="C2218" t="s">
        <v>1333</v>
      </c>
      <c r="D2218">
        <v>9</v>
      </c>
      <c r="E2218">
        <v>2450</v>
      </c>
      <c r="F2218" t="s">
        <v>5537</v>
      </c>
      <c r="G2218" t="s">
        <v>6337</v>
      </c>
      <c r="H2218">
        <v>1433532</v>
      </c>
      <c r="I2218">
        <v>200925</v>
      </c>
      <c r="J2218">
        <v>0.14581919653386799</v>
      </c>
      <c r="K2218">
        <v>209036.48444558901</v>
      </c>
      <c r="L2218">
        <v>200925</v>
      </c>
      <c r="M2218">
        <v>599</v>
      </c>
    </row>
    <row r="2219" spans="1:13" ht="15">
      <c r="A2219" t="s">
        <v>6103</v>
      </c>
      <c r="B2219" s="1040" t="str">
        <f>CONCATENATE(LEFT(RIGHT(CONCATENATE("000",IFAData_TEA_1819!A2219),6),3),"-",(RIGHT(RIGHT(CONCATENATE("000",IFAData_TEA_1819!A2219),6),3)))</f>
        <v>221-901</v>
      </c>
      <c r="C2219" t="s">
        <v>1281</v>
      </c>
      <c r="D2219">
        <v>11</v>
      </c>
      <c r="E2219">
        <v>2582</v>
      </c>
      <c r="F2219" t="s">
        <v>8512</v>
      </c>
      <c r="G2219" t="s">
        <v>8512</v>
      </c>
      <c r="H2219">
        <v>2870323</v>
      </c>
      <c r="I2219">
        <v>2893541</v>
      </c>
      <c r="J2219">
        <v>1</v>
      </c>
      <c r="K2219">
        <v>2870323</v>
      </c>
      <c r="L2219">
        <v>2870323</v>
      </c>
      <c r="M2219">
        <v>599</v>
      </c>
    </row>
    <row r="2220" spans="1:13" ht="15">
      <c r="A2220" t="s">
        <v>3735</v>
      </c>
      <c r="B2220" s="1040" t="str">
        <f>CONCATENATE(LEFT(RIGHT(CONCATENATE("000",IFAData_TEA_1819!A2220),6),3),"-",(RIGHT(RIGHT(CONCATENATE("000",IFAData_TEA_1819!A2220),6),3)))</f>
        <v>223-902</v>
      </c>
      <c r="C2220" t="s">
        <v>822</v>
      </c>
      <c r="D2220">
        <v>5</v>
      </c>
      <c r="E2220">
        <v>2084</v>
      </c>
      <c r="F2220" t="s">
        <v>5541</v>
      </c>
      <c r="G2220" t="s">
        <v>5541</v>
      </c>
      <c r="H2220">
        <v>100000</v>
      </c>
      <c r="I2220">
        <v>0</v>
      </c>
      <c r="J2220">
        <v>0</v>
      </c>
      <c r="K2220">
        <v>0</v>
      </c>
      <c r="L2220">
        <v>0</v>
      </c>
      <c r="M2220">
        <v>599</v>
      </c>
    </row>
    <row r="2221" spans="1:13" ht="15">
      <c r="A2221" t="s">
        <v>3735</v>
      </c>
      <c r="B2221" s="1040" t="str">
        <f>CONCATENATE(LEFT(RIGHT(CONCATENATE("000",IFAData_TEA_1819!A2221),6),3),"-",(RIGHT(RIGHT(CONCATENATE("000",IFAData_TEA_1819!A2221),6),3)))</f>
        <v>223-902</v>
      </c>
      <c r="C2221" t="s">
        <v>822</v>
      </c>
      <c r="D2221">
        <v>5</v>
      </c>
      <c r="E2221">
        <v>2084</v>
      </c>
      <c r="F2221" t="s">
        <v>5541</v>
      </c>
      <c r="G2221" t="s">
        <v>5542</v>
      </c>
      <c r="H2221">
        <v>100000</v>
      </c>
      <c r="I2221">
        <v>89850</v>
      </c>
      <c r="J2221">
        <v>1</v>
      </c>
      <c r="K2221">
        <v>100000</v>
      </c>
      <c r="L2221">
        <v>89850</v>
      </c>
      <c r="M2221">
        <v>599</v>
      </c>
    </row>
    <row r="2222" spans="1:13" ht="15">
      <c r="A2222" t="s">
        <v>3736</v>
      </c>
      <c r="B2222" s="1040" t="str">
        <f>CONCATENATE(LEFT(RIGHT(CONCATENATE("000",IFAData_TEA_1819!A2222),6),3),"-",(RIGHT(RIGHT(CONCATENATE("000",IFAData_TEA_1819!A2222),6),3)))</f>
        <v>225-906</v>
      </c>
      <c r="C2222" t="s">
        <v>660</v>
      </c>
      <c r="D2222">
        <v>6</v>
      </c>
      <c r="E2222">
        <v>1680</v>
      </c>
      <c r="F2222" t="s">
        <v>5543</v>
      </c>
      <c r="G2222" t="s">
        <v>5543</v>
      </c>
      <c r="H2222">
        <v>178703</v>
      </c>
      <c r="I2222">
        <v>0</v>
      </c>
      <c r="J2222">
        <v>0</v>
      </c>
      <c r="K2222">
        <v>0</v>
      </c>
      <c r="L2222">
        <v>0</v>
      </c>
      <c r="M2222">
        <v>599</v>
      </c>
    </row>
    <row r="2223" spans="1:13" ht="15">
      <c r="A2223" t="s">
        <v>3736</v>
      </c>
      <c r="B2223" s="1040" t="str">
        <f>CONCATENATE(LEFT(RIGHT(CONCATENATE("000",IFAData_TEA_1819!A2223),6),3),"-",(RIGHT(RIGHT(CONCATENATE("000",IFAData_TEA_1819!A2223),6),3)))</f>
        <v>225-906</v>
      </c>
      <c r="C2223" t="s">
        <v>660</v>
      </c>
      <c r="D2223">
        <v>6</v>
      </c>
      <c r="E2223">
        <v>1680</v>
      </c>
      <c r="F2223" t="s">
        <v>5543</v>
      </c>
      <c r="G2223" t="s">
        <v>5544</v>
      </c>
      <c r="H2223">
        <v>178703</v>
      </c>
      <c r="I2223">
        <v>163998</v>
      </c>
      <c r="J2223">
        <v>1</v>
      </c>
      <c r="K2223">
        <v>178703</v>
      </c>
      <c r="L2223">
        <v>163998</v>
      </c>
      <c r="M2223">
        <v>599</v>
      </c>
    </row>
    <row r="2224" spans="1:13" ht="15">
      <c r="A2224" t="s">
        <v>3736</v>
      </c>
      <c r="B2224" s="1040" t="str">
        <f>CONCATENATE(LEFT(RIGHT(CONCATENATE("000",IFAData_TEA_1819!A2224),6),3),"-",(RIGHT(RIGHT(CONCATENATE("000",IFAData_TEA_1819!A2224),6),3)))</f>
        <v>225-906</v>
      </c>
      <c r="C2224" t="s">
        <v>660</v>
      </c>
      <c r="D2224">
        <v>8</v>
      </c>
      <c r="E2224">
        <v>1679</v>
      </c>
      <c r="F2224" t="s">
        <v>5545</v>
      </c>
      <c r="G2224" t="s">
        <v>5545</v>
      </c>
      <c r="H2224">
        <v>163986</v>
      </c>
      <c r="I2224">
        <v>0</v>
      </c>
      <c r="J2224">
        <v>0</v>
      </c>
      <c r="K2224">
        <v>0</v>
      </c>
      <c r="L2224">
        <v>0</v>
      </c>
      <c r="M2224">
        <v>599</v>
      </c>
    </row>
    <row r="2225" spans="1:13" ht="15">
      <c r="A2225" t="s">
        <v>3736</v>
      </c>
      <c r="B2225" s="1040" t="str">
        <f>CONCATENATE(LEFT(RIGHT(CONCATENATE("000",IFAData_TEA_1819!A2225),6),3),"-",(RIGHT(RIGHT(CONCATENATE("000",IFAData_TEA_1819!A2225),6),3)))</f>
        <v>225-906</v>
      </c>
      <c r="C2225" t="s">
        <v>660</v>
      </c>
      <c r="D2225">
        <v>8</v>
      </c>
      <c r="E2225">
        <v>1679</v>
      </c>
      <c r="F2225" t="s">
        <v>5545</v>
      </c>
      <c r="G2225" t="s">
        <v>6546</v>
      </c>
      <c r="H2225">
        <v>163986</v>
      </c>
      <c r="I2225">
        <v>127475</v>
      </c>
      <c r="J2225">
        <v>1</v>
      </c>
      <c r="K2225">
        <v>163986</v>
      </c>
      <c r="L2225">
        <v>127475</v>
      </c>
      <c r="M2225">
        <v>599</v>
      </c>
    </row>
    <row r="2226" spans="1:13" ht="15">
      <c r="A2226" t="s">
        <v>3737</v>
      </c>
      <c r="B2226" s="1040" t="str">
        <f>CONCATENATE(LEFT(RIGHT(CONCATENATE("000",IFAData_TEA_1819!A2226),6),3),"-",(RIGHT(RIGHT(CONCATENATE("000",IFAData_TEA_1819!A2226),6),3)))</f>
        <v>226-903</v>
      </c>
      <c r="C2226" t="s">
        <v>2027</v>
      </c>
      <c r="D2226">
        <v>1</v>
      </c>
      <c r="E2226">
        <v>2278</v>
      </c>
      <c r="F2226" t="s">
        <v>5546</v>
      </c>
      <c r="G2226" t="s">
        <v>5546</v>
      </c>
      <c r="H2226">
        <v>1247036</v>
      </c>
      <c r="I2226">
        <v>0</v>
      </c>
      <c r="J2226">
        <v>0</v>
      </c>
      <c r="K2226"/>
      <c r="L2226">
        <v>0</v>
      </c>
      <c r="M2226">
        <v>599</v>
      </c>
    </row>
    <row r="2227" spans="1:13" ht="15">
      <c r="A2227" t="s">
        <v>3737</v>
      </c>
      <c r="B2227" s="1040" t="str">
        <f>CONCATENATE(LEFT(RIGHT(CONCATENATE("000",IFAData_TEA_1819!A2227),6),3),"-",(RIGHT(RIGHT(CONCATENATE("000",IFAData_TEA_1819!A2227),6),3)))</f>
        <v>226-903</v>
      </c>
      <c r="C2227" t="s">
        <v>2027</v>
      </c>
      <c r="D2227">
        <v>1</v>
      </c>
      <c r="E2227">
        <v>2277</v>
      </c>
      <c r="F2227" t="s">
        <v>5548</v>
      </c>
      <c r="G2227" t="s">
        <v>5548</v>
      </c>
      <c r="H2227">
        <v>726000</v>
      </c>
      <c r="I2227">
        <v>0</v>
      </c>
      <c r="J2227">
        <v>0</v>
      </c>
      <c r="K2227">
        <v>0</v>
      </c>
      <c r="L2227">
        <v>0</v>
      </c>
      <c r="M2227">
        <v>599</v>
      </c>
    </row>
    <row r="2228" spans="1:13" ht="15">
      <c r="A2228" t="s">
        <v>3737</v>
      </c>
      <c r="B2228" s="1040" t="str">
        <f>CONCATENATE(LEFT(RIGHT(CONCATENATE("000",IFAData_TEA_1819!A2228),6),3),"-",(RIGHT(RIGHT(CONCATENATE("000",IFAData_TEA_1819!A2228),6),3)))</f>
        <v>226-903</v>
      </c>
      <c r="C2228" t="s">
        <v>2027</v>
      </c>
      <c r="D2228">
        <v>1</v>
      </c>
      <c r="E2228">
        <v>2277</v>
      </c>
      <c r="F2228" t="s">
        <v>5548</v>
      </c>
      <c r="G2228" t="s">
        <v>5549</v>
      </c>
      <c r="H2228">
        <v>726000</v>
      </c>
      <c r="I2228">
        <v>0</v>
      </c>
      <c r="J2228">
        <v>0</v>
      </c>
      <c r="K2228">
        <v>0</v>
      </c>
      <c r="L2228">
        <v>0</v>
      </c>
      <c r="M2228">
        <v>599</v>
      </c>
    </row>
    <row r="2229" spans="1:13" ht="15">
      <c r="A2229" t="s">
        <v>3737</v>
      </c>
      <c r="B2229" s="1040" t="str">
        <f>CONCATENATE(LEFT(RIGHT(CONCATENATE("000",IFAData_TEA_1819!A2229),6),3),"-",(RIGHT(RIGHT(CONCATENATE("000",IFAData_TEA_1819!A2229),6),3)))</f>
        <v>226-903</v>
      </c>
      <c r="C2229" t="s">
        <v>2027</v>
      </c>
      <c r="D2229">
        <v>1</v>
      </c>
      <c r="E2229">
        <v>2277</v>
      </c>
      <c r="F2229" t="s">
        <v>5548</v>
      </c>
      <c r="G2229" t="s">
        <v>6339</v>
      </c>
      <c r="H2229">
        <v>726000</v>
      </c>
      <c r="I2229">
        <v>663200</v>
      </c>
      <c r="J2229">
        <v>1</v>
      </c>
      <c r="K2229">
        <v>726000</v>
      </c>
      <c r="L2229">
        <v>663200</v>
      </c>
      <c r="M2229">
        <v>599</v>
      </c>
    </row>
    <row r="2230" spans="1:13" ht="15">
      <c r="A2230" t="s">
        <v>3737</v>
      </c>
      <c r="B2230" s="1040" t="str">
        <f>CONCATENATE(LEFT(RIGHT(CONCATENATE("000",IFAData_TEA_1819!A2230),6),3),"-",(RIGHT(RIGHT(CONCATENATE("000",IFAData_TEA_1819!A2230),6),3)))</f>
        <v>226-903</v>
      </c>
      <c r="C2230" t="s">
        <v>2027</v>
      </c>
      <c r="D2230">
        <v>10</v>
      </c>
      <c r="E2230">
        <v>2279</v>
      </c>
      <c r="F2230" t="s">
        <v>5550</v>
      </c>
      <c r="G2230" t="s">
        <v>5550</v>
      </c>
      <c r="H2230">
        <v>3492500</v>
      </c>
      <c r="I2230">
        <v>3961625</v>
      </c>
      <c r="J2230">
        <v>0.46779750078967502</v>
      </c>
      <c r="K2230">
        <v>1633782.77150794</v>
      </c>
      <c r="L2230">
        <v>1633782.77150794</v>
      </c>
      <c r="M2230">
        <v>599</v>
      </c>
    </row>
    <row r="2231" spans="1:13" ht="15">
      <c r="A2231" t="s">
        <v>3737</v>
      </c>
      <c r="B2231" s="1040" t="str">
        <f>CONCATENATE(LEFT(RIGHT(CONCATENATE("000",IFAData_TEA_1819!A2231),6),3),"-",(RIGHT(RIGHT(CONCATENATE("000",IFAData_TEA_1819!A2231),6),3)))</f>
        <v>226-903</v>
      </c>
      <c r="C2231" t="s">
        <v>2027</v>
      </c>
      <c r="D2231">
        <v>10</v>
      </c>
      <c r="E2231">
        <v>2279</v>
      </c>
      <c r="F2231" t="s">
        <v>5550</v>
      </c>
      <c r="G2231" t="s">
        <v>6340</v>
      </c>
      <c r="H2231">
        <v>3492500</v>
      </c>
      <c r="I2231">
        <v>4507050</v>
      </c>
      <c r="J2231">
        <v>0.53220249921032503</v>
      </c>
      <c r="K2231">
        <v>1858717.22849206</v>
      </c>
      <c r="L2231">
        <v>1858717.22849206</v>
      </c>
      <c r="M2231">
        <v>599</v>
      </c>
    </row>
    <row r="2232" spans="1:13" ht="15">
      <c r="A2232" t="s">
        <v>3738</v>
      </c>
      <c r="B2232" s="1040" t="str">
        <f>CONCATENATE(LEFT(RIGHT(CONCATENATE("000",IFAData_TEA_1819!A2232),6),3),"-",(RIGHT(RIGHT(CONCATENATE("000",IFAData_TEA_1819!A2232),6),3)))</f>
        <v>226-906</v>
      </c>
      <c r="C2232" t="s">
        <v>137</v>
      </c>
      <c r="D2232">
        <v>1</v>
      </c>
      <c r="E2232">
        <v>2432</v>
      </c>
      <c r="F2232" t="s">
        <v>5551</v>
      </c>
      <c r="G2232" t="s">
        <v>5551</v>
      </c>
      <c r="H2232">
        <v>216359</v>
      </c>
      <c r="I2232">
        <v>0</v>
      </c>
      <c r="J2232">
        <v>0</v>
      </c>
      <c r="K2232">
        <v>0</v>
      </c>
      <c r="L2232">
        <v>0</v>
      </c>
      <c r="M2232">
        <v>599</v>
      </c>
    </row>
    <row r="2233" spans="1:13" ht="15">
      <c r="A2233" t="s">
        <v>3738</v>
      </c>
      <c r="B2233" s="1040" t="str">
        <f>CONCATENATE(LEFT(RIGHT(CONCATENATE("000",IFAData_TEA_1819!A2233),6),3),"-",(RIGHT(RIGHT(CONCATENATE("000",IFAData_TEA_1819!A2233),6),3)))</f>
        <v>226-906</v>
      </c>
      <c r="C2233" t="s">
        <v>137</v>
      </c>
      <c r="D2233">
        <v>1</v>
      </c>
      <c r="E2233">
        <v>2432</v>
      </c>
      <c r="F2233" t="s">
        <v>5551</v>
      </c>
      <c r="G2233" t="s">
        <v>5552</v>
      </c>
      <c r="H2233">
        <v>216359</v>
      </c>
      <c r="I2233">
        <v>0</v>
      </c>
      <c r="J2233">
        <v>0</v>
      </c>
      <c r="K2233">
        <v>0</v>
      </c>
      <c r="L2233">
        <v>0</v>
      </c>
      <c r="M2233">
        <v>599</v>
      </c>
    </row>
    <row r="2234" spans="1:13" ht="15">
      <c r="A2234" t="s">
        <v>3738</v>
      </c>
      <c r="B2234" s="1040" t="str">
        <f>CONCATENATE(LEFT(RIGHT(CONCATENATE("000",IFAData_TEA_1819!A2234),6),3),"-",(RIGHT(RIGHT(CONCATENATE("000",IFAData_TEA_1819!A2234),6),3)))</f>
        <v>226-906</v>
      </c>
      <c r="C2234" t="s">
        <v>137</v>
      </c>
      <c r="D2234">
        <v>1</v>
      </c>
      <c r="E2234">
        <v>2432</v>
      </c>
      <c r="F2234" t="s">
        <v>5551</v>
      </c>
      <c r="G2234" t="s">
        <v>6341</v>
      </c>
      <c r="H2234">
        <v>216359</v>
      </c>
      <c r="I2234">
        <v>201125</v>
      </c>
      <c r="J2234">
        <v>1</v>
      </c>
      <c r="K2234">
        <v>216359</v>
      </c>
      <c r="L2234">
        <v>201125</v>
      </c>
      <c r="M2234">
        <v>599</v>
      </c>
    </row>
    <row r="2235" spans="1:13" ht="15">
      <c r="A2235" t="s">
        <v>3739</v>
      </c>
      <c r="B2235" s="1040" t="str">
        <f>CONCATENATE(LEFT(RIGHT(CONCATENATE("000",IFAData_TEA_1819!A2235),6),3),"-",(RIGHT(RIGHT(CONCATENATE("000",IFAData_TEA_1819!A2235),6),3)))</f>
        <v>226-907</v>
      </c>
      <c r="C2235" t="s">
        <v>1731</v>
      </c>
      <c r="D2235">
        <v>4</v>
      </c>
      <c r="E2235">
        <v>1860</v>
      </c>
      <c r="F2235" t="s">
        <v>5553</v>
      </c>
      <c r="G2235" t="s">
        <v>5553</v>
      </c>
      <c r="H2235">
        <v>498900</v>
      </c>
      <c r="I2235">
        <v>0</v>
      </c>
      <c r="J2235">
        <v>0</v>
      </c>
      <c r="K2235">
        <v>0</v>
      </c>
      <c r="L2235">
        <v>0</v>
      </c>
      <c r="M2235">
        <v>599</v>
      </c>
    </row>
    <row r="2236" spans="1:13" ht="15">
      <c r="A2236" t="s">
        <v>3739</v>
      </c>
      <c r="B2236" s="1040" t="str">
        <f>CONCATENATE(LEFT(RIGHT(CONCATENATE("000",IFAData_TEA_1819!A2236),6),3),"-",(RIGHT(RIGHT(CONCATENATE("000",IFAData_TEA_1819!A2236),6),3)))</f>
        <v>226-907</v>
      </c>
      <c r="C2236" t="s">
        <v>1731</v>
      </c>
      <c r="D2236">
        <v>4</v>
      </c>
      <c r="E2236">
        <v>1860</v>
      </c>
      <c r="F2236" t="s">
        <v>5553</v>
      </c>
      <c r="G2236" t="s">
        <v>5554</v>
      </c>
      <c r="H2236">
        <v>498900</v>
      </c>
      <c r="I2236">
        <v>651462</v>
      </c>
      <c r="J2236">
        <v>1</v>
      </c>
      <c r="K2236">
        <v>498900</v>
      </c>
      <c r="L2236">
        <v>498900</v>
      </c>
      <c r="M2236">
        <v>599</v>
      </c>
    </row>
    <row r="2237" spans="1:13" ht="15">
      <c r="A2237" t="s">
        <v>3740</v>
      </c>
      <c r="B2237" s="1040" t="str">
        <f>CONCATENATE(LEFT(RIGHT(CONCATENATE("000",IFAData_TEA_1819!A2237),6),3),"-",(RIGHT(RIGHT(CONCATENATE("000",IFAData_TEA_1819!A2237),6),3)))</f>
        <v>226-908</v>
      </c>
      <c r="C2237" t="s">
        <v>2645</v>
      </c>
      <c r="D2237">
        <v>5</v>
      </c>
      <c r="E2237">
        <v>2425</v>
      </c>
      <c r="F2237" t="s">
        <v>5555</v>
      </c>
      <c r="G2237" t="s">
        <v>5555</v>
      </c>
      <c r="H2237">
        <v>100000</v>
      </c>
      <c r="I2237">
        <v>0</v>
      </c>
      <c r="J2237">
        <v>0</v>
      </c>
      <c r="K2237">
        <v>0</v>
      </c>
      <c r="L2237">
        <v>0</v>
      </c>
      <c r="M2237">
        <v>599</v>
      </c>
    </row>
    <row r="2238" spans="1:13" ht="15">
      <c r="A2238" t="s">
        <v>3740</v>
      </c>
      <c r="B2238" s="1040" t="str">
        <f>CONCATENATE(LEFT(RIGHT(CONCATENATE("000",IFAData_TEA_1819!A2238),6),3),"-",(RIGHT(RIGHT(CONCATENATE("000",IFAData_TEA_1819!A2238),6),3)))</f>
        <v>226-908</v>
      </c>
      <c r="C2238" t="s">
        <v>2645</v>
      </c>
      <c r="D2238">
        <v>5</v>
      </c>
      <c r="E2238">
        <v>2425</v>
      </c>
      <c r="F2238" t="s">
        <v>5555</v>
      </c>
      <c r="G2238" t="s">
        <v>5556</v>
      </c>
      <c r="H2238">
        <v>100000</v>
      </c>
      <c r="I2238">
        <v>94044</v>
      </c>
      <c r="J2238">
        <v>1</v>
      </c>
      <c r="K2238">
        <v>100000</v>
      </c>
      <c r="L2238">
        <v>94044</v>
      </c>
      <c r="M2238">
        <v>599</v>
      </c>
    </row>
    <row r="2239" spans="1:13" ht="15">
      <c r="A2239" t="s">
        <v>3741</v>
      </c>
      <c r="B2239" s="1040" t="str">
        <f>CONCATENATE(LEFT(RIGHT(CONCATENATE("000",IFAData_TEA_1819!A2239),6),3),"-",(RIGHT(RIGHT(CONCATENATE("000",IFAData_TEA_1819!A2239),6),3)))</f>
        <v>227-904</v>
      </c>
      <c r="C2239" t="s">
        <v>998</v>
      </c>
      <c r="D2239">
        <v>1</v>
      </c>
      <c r="E2239">
        <v>2189</v>
      </c>
      <c r="F2239" t="s">
        <v>5557</v>
      </c>
      <c r="G2239" t="s">
        <v>5557</v>
      </c>
      <c r="H2239">
        <v>906295</v>
      </c>
      <c r="I2239">
        <v>0</v>
      </c>
      <c r="J2239">
        <v>0</v>
      </c>
      <c r="K2239"/>
      <c r="L2239">
        <v>0</v>
      </c>
      <c r="M2239">
        <v>599</v>
      </c>
    </row>
    <row r="2240" spans="1:13" ht="15">
      <c r="A2240" t="s">
        <v>3741</v>
      </c>
      <c r="B2240" s="1040" t="str">
        <f>CONCATENATE(LEFT(RIGHT(CONCATENATE("000",IFAData_TEA_1819!A2240),6),3),"-",(RIGHT(RIGHT(CONCATENATE("000",IFAData_TEA_1819!A2240),6),3)))</f>
        <v>227-904</v>
      </c>
      <c r="C2240" t="s">
        <v>998</v>
      </c>
      <c r="D2240">
        <v>1</v>
      </c>
      <c r="E2240">
        <v>2188</v>
      </c>
      <c r="F2240" t="s">
        <v>5560</v>
      </c>
      <c r="G2240" t="s">
        <v>5560</v>
      </c>
      <c r="H2240">
        <v>743639</v>
      </c>
      <c r="I2240">
        <v>0</v>
      </c>
      <c r="J2240">
        <v>0</v>
      </c>
      <c r="K2240"/>
      <c r="L2240">
        <v>0</v>
      </c>
      <c r="M2240">
        <v>599</v>
      </c>
    </row>
    <row r="2241" spans="1:13" ht="15">
      <c r="A2241" t="s">
        <v>3741</v>
      </c>
      <c r="B2241" s="1040" t="str">
        <f>CONCATENATE(LEFT(RIGHT(CONCATENATE("000",IFAData_TEA_1819!A2241),6),3),"-",(RIGHT(RIGHT(CONCATENATE("000",IFAData_TEA_1819!A2241),6),3)))</f>
        <v>227-904</v>
      </c>
      <c r="C2241" t="s">
        <v>998</v>
      </c>
      <c r="D2241">
        <v>9</v>
      </c>
      <c r="E2241">
        <v>2190</v>
      </c>
      <c r="F2241" t="s">
        <v>5563</v>
      </c>
      <c r="G2241" t="s">
        <v>5563</v>
      </c>
      <c r="H2241">
        <v>5151250</v>
      </c>
      <c r="I2241">
        <v>0</v>
      </c>
      <c r="J2241">
        <v>0</v>
      </c>
      <c r="K2241">
        <v>0</v>
      </c>
      <c r="L2241">
        <v>0</v>
      </c>
      <c r="M2241">
        <v>599</v>
      </c>
    </row>
    <row r="2242" spans="1:13" ht="15">
      <c r="A2242" t="s">
        <v>3741</v>
      </c>
      <c r="B2242" s="1040" t="str">
        <f>CONCATENATE(LEFT(RIGHT(CONCATENATE("000",IFAData_TEA_1819!A2242),6),3),"-",(RIGHT(RIGHT(CONCATENATE("000",IFAData_TEA_1819!A2242),6),3)))</f>
        <v>227-904</v>
      </c>
      <c r="C2242" t="s">
        <v>998</v>
      </c>
      <c r="D2242">
        <v>9</v>
      </c>
      <c r="E2242">
        <v>2190</v>
      </c>
      <c r="F2242" t="s">
        <v>5563</v>
      </c>
      <c r="G2242" t="s">
        <v>6342</v>
      </c>
      <c r="H2242">
        <v>5151250</v>
      </c>
      <c r="I2242">
        <v>6530034</v>
      </c>
      <c r="J2242">
        <v>1</v>
      </c>
      <c r="K2242">
        <v>5151250</v>
      </c>
      <c r="L2242">
        <v>5151250</v>
      </c>
      <c r="M2242">
        <v>599</v>
      </c>
    </row>
    <row r="2243" spans="1:13" ht="15">
      <c r="A2243" t="s">
        <v>3742</v>
      </c>
      <c r="B2243" s="1040" t="str">
        <f>CONCATENATE(LEFT(RIGHT(CONCATENATE("000",IFAData_TEA_1819!A2243),6),3),"-",(RIGHT(RIGHT(CONCATENATE("000",IFAData_TEA_1819!A2243),6),3)))</f>
        <v>227-910</v>
      </c>
      <c r="C2243" t="s">
        <v>2667</v>
      </c>
      <c r="D2243">
        <v>1</v>
      </c>
      <c r="E2243">
        <v>1751</v>
      </c>
      <c r="F2243" t="s">
        <v>5564</v>
      </c>
      <c r="G2243" t="s">
        <v>5564</v>
      </c>
      <c r="H2243">
        <v>1138000</v>
      </c>
      <c r="I2243">
        <v>0</v>
      </c>
      <c r="J2243">
        <v>0</v>
      </c>
      <c r="K2243"/>
      <c r="L2243">
        <v>0</v>
      </c>
      <c r="M2243">
        <v>599</v>
      </c>
    </row>
    <row r="2244" spans="1:13" ht="15">
      <c r="A2244" t="s">
        <v>5567</v>
      </c>
      <c r="B2244" s="1040" t="str">
        <f>CONCATENATE(LEFT(RIGHT(CONCATENATE("000",IFAData_TEA_1819!A2244),6),3),"-",(RIGHT(RIGHT(CONCATENATE("000",IFAData_TEA_1819!A2244),6),3)))</f>
        <v>229-901</v>
      </c>
      <c r="C2244" t="s">
        <v>1547</v>
      </c>
      <c r="D2244">
        <v>5</v>
      </c>
      <c r="E2244">
        <v>1707</v>
      </c>
      <c r="F2244" t="s">
        <v>5568</v>
      </c>
      <c r="G2244" t="s">
        <v>5568</v>
      </c>
      <c r="H2244">
        <v>158074</v>
      </c>
      <c r="I2244">
        <v>0</v>
      </c>
      <c r="J2244">
        <v>0</v>
      </c>
      <c r="K2244"/>
      <c r="L2244">
        <v>0</v>
      </c>
      <c r="M2244">
        <v>199</v>
      </c>
    </row>
    <row r="2245" spans="1:13" ht="15">
      <c r="A2245" t="s">
        <v>3743</v>
      </c>
      <c r="B2245" s="1040" t="str">
        <f>CONCATENATE(LEFT(RIGHT(CONCATENATE("000",IFAData_TEA_1819!A2245),6),3),"-",(RIGHT(RIGHT(CONCATENATE("000",IFAData_TEA_1819!A2245),6),3)))</f>
        <v>229-904</v>
      </c>
      <c r="C2245" t="s">
        <v>1917</v>
      </c>
      <c r="D2245">
        <v>9</v>
      </c>
      <c r="E2245">
        <v>2436</v>
      </c>
      <c r="F2245" t="s">
        <v>5569</v>
      </c>
      <c r="G2245" t="s">
        <v>5569</v>
      </c>
      <c r="H2245">
        <v>281704</v>
      </c>
      <c r="I2245">
        <v>150471</v>
      </c>
      <c r="J2245">
        <v>0.48226648034665798</v>
      </c>
      <c r="K2245">
        <v>135856.396579575</v>
      </c>
      <c r="L2245">
        <v>135856.396579575</v>
      </c>
      <c r="M2245">
        <v>599</v>
      </c>
    </row>
    <row r="2246" spans="1:13" ht="15">
      <c r="A2246" t="s">
        <v>3743</v>
      </c>
      <c r="B2246" s="1040" t="str">
        <f>CONCATENATE(LEFT(RIGHT(CONCATENATE("000",IFAData_TEA_1819!A2246),6),3),"-",(RIGHT(RIGHT(CONCATENATE("000",IFAData_TEA_1819!A2246),6),3)))</f>
        <v>229-904</v>
      </c>
      <c r="C2246" t="s">
        <v>1917</v>
      </c>
      <c r="D2246">
        <v>9</v>
      </c>
      <c r="E2246">
        <v>2436</v>
      </c>
      <c r="F2246" t="s">
        <v>5569</v>
      </c>
      <c r="G2246" t="s">
        <v>6832</v>
      </c>
      <c r="H2246">
        <v>281704</v>
      </c>
      <c r="I2246">
        <v>146050</v>
      </c>
      <c r="J2246">
        <v>0.46809697187251598</v>
      </c>
      <c r="K2246">
        <v>131864.789364375</v>
      </c>
      <c r="L2246">
        <v>131864.789364375</v>
      </c>
      <c r="M2246">
        <v>599</v>
      </c>
    </row>
    <row r="2247" spans="1:13" ht="15">
      <c r="A2247" t="s">
        <v>3743</v>
      </c>
      <c r="B2247" s="1040" t="str">
        <f>CONCATENATE(LEFT(RIGHT(CONCATENATE("000",IFAData_TEA_1819!A2247),6),3),"-",(RIGHT(RIGHT(CONCATENATE("000",IFAData_TEA_1819!A2247),6),3)))</f>
        <v>229-904</v>
      </c>
      <c r="C2247" t="s">
        <v>1917</v>
      </c>
      <c r="D2247">
        <v>9</v>
      </c>
      <c r="E2247">
        <v>2436</v>
      </c>
      <c r="F2247" t="s">
        <v>5569</v>
      </c>
      <c r="G2247" t="s">
        <v>8545</v>
      </c>
      <c r="H2247">
        <v>281704</v>
      </c>
      <c r="I2247">
        <v>15487</v>
      </c>
      <c r="J2247">
        <v>4.9636547780826101E-2</v>
      </c>
      <c r="K2247">
        <v>13982.8140560498</v>
      </c>
      <c r="L2247">
        <v>13982.8140560498</v>
      </c>
      <c r="M2247">
        <v>599</v>
      </c>
    </row>
    <row r="2248" spans="1:13" ht="15">
      <c r="A2248" t="s">
        <v>3743</v>
      </c>
      <c r="B2248" s="1040" t="str">
        <f>CONCATENATE(LEFT(RIGHT(CONCATENATE("000",IFAData_TEA_1819!A2248),6),3),"-",(RIGHT(RIGHT(CONCATENATE("000",IFAData_TEA_1819!A2248),6),3)))</f>
        <v>229-904</v>
      </c>
      <c r="C2248" t="s">
        <v>1917</v>
      </c>
      <c r="D2248">
        <v>10</v>
      </c>
      <c r="E2248">
        <v>2437</v>
      </c>
      <c r="F2248" t="s">
        <v>5570</v>
      </c>
      <c r="G2248" t="s">
        <v>5570</v>
      </c>
      <c r="H2248">
        <v>287703</v>
      </c>
      <c r="I2248">
        <v>137112</v>
      </c>
      <c r="J2248">
        <v>0.60141853926423705</v>
      </c>
      <c r="K2248">
        <v>173029.91800193899</v>
      </c>
      <c r="L2248">
        <v>137112</v>
      </c>
      <c r="M2248">
        <v>599</v>
      </c>
    </row>
    <row r="2249" spans="1:13" ht="15">
      <c r="A2249" t="s">
        <v>3743</v>
      </c>
      <c r="B2249" s="1040" t="str">
        <f>CONCATENATE(LEFT(RIGHT(CONCATENATE("000",IFAData_TEA_1819!A2249),6),3),"-",(RIGHT(RIGHT(CONCATENATE("000",IFAData_TEA_1819!A2249),6),3)))</f>
        <v>229-904</v>
      </c>
      <c r="C2249" t="s">
        <v>1917</v>
      </c>
      <c r="D2249">
        <v>10</v>
      </c>
      <c r="E2249">
        <v>2437</v>
      </c>
      <c r="F2249" t="s">
        <v>5570</v>
      </c>
      <c r="G2249" t="s">
        <v>8545</v>
      </c>
      <c r="H2249">
        <v>287703</v>
      </c>
      <c r="I2249">
        <v>90869</v>
      </c>
      <c r="J2249">
        <v>0.398581460735763</v>
      </c>
      <c r="K2249">
        <v>114673.081998061</v>
      </c>
      <c r="L2249">
        <v>90869</v>
      </c>
      <c r="M2249">
        <v>599</v>
      </c>
    </row>
    <row r="2250" spans="1:13" ht="15">
      <c r="A2250" t="s">
        <v>3744</v>
      </c>
      <c r="B2250" s="1040" t="str">
        <f>CONCATENATE(LEFT(RIGHT(CONCATENATE("000",IFAData_TEA_1819!A2250),6),3),"-",(RIGHT(RIGHT(CONCATENATE("000",IFAData_TEA_1819!A2250),6),3)))</f>
        <v>229-905</v>
      </c>
      <c r="C2250" t="s">
        <v>1938</v>
      </c>
      <c r="D2250">
        <v>5</v>
      </c>
      <c r="E2250">
        <v>2380</v>
      </c>
      <c r="F2250" t="s">
        <v>5571</v>
      </c>
      <c r="G2250" t="s">
        <v>5571</v>
      </c>
      <c r="H2250">
        <v>103335</v>
      </c>
      <c r="I2250">
        <v>0</v>
      </c>
      <c r="J2250">
        <v>0</v>
      </c>
      <c r="K2250">
        <v>0</v>
      </c>
      <c r="L2250">
        <v>0</v>
      </c>
      <c r="M2250">
        <v>599</v>
      </c>
    </row>
    <row r="2251" spans="1:13" ht="15">
      <c r="A2251" t="s">
        <v>3744</v>
      </c>
      <c r="B2251" s="1040" t="str">
        <f>CONCATENATE(LEFT(RIGHT(CONCATENATE("000",IFAData_TEA_1819!A2251),6),3),"-",(RIGHT(RIGHT(CONCATENATE("000",IFAData_TEA_1819!A2251),6),3)))</f>
        <v>229-905</v>
      </c>
      <c r="C2251" t="s">
        <v>1938</v>
      </c>
      <c r="D2251">
        <v>5</v>
      </c>
      <c r="E2251">
        <v>2380</v>
      </c>
      <c r="F2251" t="s">
        <v>5571</v>
      </c>
      <c r="G2251" t="s">
        <v>5572</v>
      </c>
      <c r="H2251">
        <v>103335</v>
      </c>
      <c r="I2251">
        <v>190342</v>
      </c>
      <c r="J2251">
        <v>1</v>
      </c>
      <c r="K2251">
        <v>103335</v>
      </c>
      <c r="L2251">
        <v>103335</v>
      </c>
      <c r="M2251">
        <v>599</v>
      </c>
    </row>
    <row r="2252" spans="1:13" ht="15">
      <c r="A2252" t="s">
        <v>3745</v>
      </c>
      <c r="B2252" s="1040" t="str">
        <f>CONCATENATE(LEFT(RIGHT(CONCATENATE("000",IFAData_TEA_1819!A2252),6),3),"-",(RIGHT(RIGHT(CONCATENATE("000",IFAData_TEA_1819!A2252),6),3)))</f>
        <v>229-906</v>
      </c>
      <c r="C2252" t="s">
        <v>2184</v>
      </c>
      <c r="D2252">
        <v>2</v>
      </c>
      <c r="E2252">
        <v>1685</v>
      </c>
      <c r="F2252" t="s">
        <v>5573</v>
      </c>
      <c r="G2252" t="s">
        <v>5573</v>
      </c>
      <c r="H2252">
        <v>71236</v>
      </c>
      <c r="I2252">
        <v>0</v>
      </c>
      <c r="J2252">
        <v>0</v>
      </c>
      <c r="K2252"/>
      <c r="L2252">
        <v>0</v>
      </c>
      <c r="M2252">
        <v>599</v>
      </c>
    </row>
    <row r="2253" spans="1:13" ht="15">
      <c r="A2253" t="s">
        <v>3746</v>
      </c>
      <c r="B2253" s="1040" t="str">
        <f>CONCATENATE(LEFT(RIGHT(CONCATENATE("000",IFAData_TEA_1819!A2253),6),3),"-",(RIGHT(RIGHT(CONCATENATE("000",IFAData_TEA_1819!A2253),6),3)))</f>
        <v>230-903</v>
      </c>
      <c r="C2253" t="s">
        <v>1017</v>
      </c>
      <c r="D2253">
        <v>2</v>
      </c>
      <c r="E2253">
        <v>2165</v>
      </c>
      <c r="F2253" t="s">
        <v>5574</v>
      </c>
      <c r="G2253" t="s">
        <v>5574</v>
      </c>
      <c r="H2253">
        <v>184136</v>
      </c>
      <c r="I2253">
        <v>0</v>
      </c>
      <c r="J2253">
        <v>0</v>
      </c>
      <c r="K2253">
        <v>0</v>
      </c>
      <c r="L2253">
        <v>0</v>
      </c>
      <c r="M2253">
        <v>599</v>
      </c>
    </row>
    <row r="2254" spans="1:13" ht="15">
      <c r="A2254" t="s">
        <v>3746</v>
      </c>
      <c r="B2254" s="1040" t="str">
        <f>CONCATENATE(LEFT(RIGHT(CONCATENATE("000",IFAData_TEA_1819!A2254),6),3),"-",(RIGHT(RIGHT(CONCATENATE("000",IFAData_TEA_1819!A2254),6),3)))</f>
        <v>230-903</v>
      </c>
      <c r="C2254" t="s">
        <v>1017</v>
      </c>
      <c r="D2254">
        <v>2</v>
      </c>
      <c r="E2254">
        <v>2165</v>
      </c>
      <c r="F2254" t="s">
        <v>5574</v>
      </c>
      <c r="G2254" t="s">
        <v>5575</v>
      </c>
      <c r="H2254">
        <v>184136</v>
      </c>
      <c r="I2254">
        <v>152786</v>
      </c>
      <c r="J2254">
        <v>0.82724304656917202</v>
      </c>
      <c r="K2254">
        <v>152325.22562306101</v>
      </c>
      <c r="L2254">
        <v>152325.22562306101</v>
      </c>
      <c r="M2254">
        <v>599</v>
      </c>
    </row>
    <row r="2255" spans="1:13" ht="15">
      <c r="A2255" t="s">
        <v>3746</v>
      </c>
      <c r="B2255" s="1040" t="str">
        <f>CONCATENATE(LEFT(RIGHT(CONCATENATE("000",IFAData_TEA_1819!A2255),6),3),"-",(RIGHT(RIGHT(CONCATENATE("000",IFAData_TEA_1819!A2255),6),3)))</f>
        <v>230-903</v>
      </c>
      <c r="C2255" t="s">
        <v>1017</v>
      </c>
      <c r="D2255">
        <v>2</v>
      </c>
      <c r="E2255">
        <v>2165</v>
      </c>
      <c r="F2255" t="s">
        <v>5574</v>
      </c>
      <c r="G2255" t="s">
        <v>6547</v>
      </c>
      <c r="H2255">
        <v>184136</v>
      </c>
      <c r="I2255">
        <v>31907</v>
      </c>
      <c r="J2255">
        <v>0.172756953430828</v>
      </c>
      <c r="K2255">
        <v>31810.774376939</v>
      </c>
      <c r="L2255">
        <v>31810.774376939</v>
      </c>
      <c r="M2255">
        <v>599</v>
      </c>
    </row>
    <row r="2256" spans="1:13" ht="15">
      <c r="A2256" t="s">
        <v>3746</v>
      </c>
      <c r="B2256" s="1040" t="str">
        <f>CONCATENATE(LEFT(RIGHT(CONCATENATE("000",IFAData_TEA_1819!A2256),6),3),"-",(RIGHT(RIGHT(CONCATENATE("000",IFAData_TEA_1819!A2256),6),3)))</f>
        <v>230-903</v>
      </c>
      <c r="C2256" t="s">
        <v>1017</v>
      </c>
      <c r="D2256">
        <v>9</v>
      </c>
      <c r="E2256">
        <v>2166</v>
      </c>
      <c r="F2256" t="s">
        <v>5576</v>
      </c>
      <c r="G2256" t="s">
        <v>5576</v>
      </c>
      <c r="H2256">
        <v>202862</v>
      </c>
      <c r="I2256">
        <v>0</v>
      </c>
      <c r="J2256">
        <v>0</v>
      </c>
      <c r="K2256">
        <v>0</v>
      </c>
      <c r="L2256">
        <v>0</v>
      </c>
      <c r="M2256">
        <v>599</v>
      </c>
    </row>
    <row r="2257" spans="1:13" ht="15">
      <c r="A2257" t="s">
        <v>3746</v>
      </c>
      <c r="B2257" s="1040" t="str">
        <f>CONCATENATE(LEFT(RIGHT(CONCATENATE("000",IFAData_TEA_1819!A2257),6),3),"-",(RIGHT(RIGHT(CONCATENATE("000",IFAData_TEA_1819!A2257),6),3)))</f>
        <v>230-903</v>
      </c>
      <c r="C2257" t="s">
        <v>1017</v>
      </c>
      <c r="D2257">
        <v>9</v>
      </c>
      <c r="E2257">
        <v>2166</v>
      </c>
      <c r="F2257" t="s">
        <v>5576</v>
      </c>
      <c r="G2257" t="s">
        <v>6547</v>
      </c>
      <c r="H2257">
        <v>202862</v>
      </c>
      <c r="I2257">
        <v>393136</v>
      </c>
      <c r="J2257">
        <v>1</v>
      </c>
      <c r="K2257">
        <v>202862</v>
      </c>
      <c r="L2257">
        <v>202862</v>
      </c>
      <c r="M2257">
        <v>599</v>
      </c>
    </row>
    <row r="2258" spans="1:13" ht="15">
      <c r="A2258" t="s">
        <v>3747</v>
      </c>
      <c r="B2258" s="1040" t="str">
        <f>CONCATENATE(LEFT(RIGHT(CONCATENATE("000",IFAData_TEA_1819!A2258),6),3),"-",(RIGHT(RIGHT(CONCATENATE("000",IFAData_TEA_1819!A2258),6),3)))</f>
        <v>230-905</v>
      </c>
      <c r="C2258" t="s">
        <v>827</v>
      </c>
      <c r="D2258">
        <v>1</v>
      </c>
      <c r="E2258">
        <v>1874</v>
      </c>
      <c r="F2258" t="s">
        <v>5577</v>
      </c>
      <c r="G2258" t="s">
        <v>5577</v>
      </c>
      <c r="H2258">
        <v>223024</v>
      </c>
      <c r="I2258">
        <v>0</v>
      </c>
      <c r="J2258">
        <v>0</v>
      </c>
      <c r="K2258">
        <v>0</v>
      </c>
      <c r="L2258">
        <v>0</v>
      </c>
      <c r="M2258">
        <v>599</v>
      </c>
    </row>
    <row r="2259" spans="1:13" ht="15">
      <c r="A2259" t="s">
        <v>3747</v>
      </c>
      <c r="B2259" s="1040" t="str">
        <f>CONCATENATE(LEFT(RIGHT(CONCATENATE("000",IFAData_TEA_1819!A2259),6),3),"-",(RIGHT(RIGHT(CONCATENATE("000",IFAData_TEA_1819!A2259),6),3)))</f>
        <v>230-905</v>
      </c>
      <c r="C2259" t="s">
        <v>827</v>
      </c>
      <c r="D2259">
        <v>1</v>
      </c>
      <c r="E2259">
        <v>1874</v>
      </c>
      <c r="F2259" t="s">
        <v>5577</v>
      </c>
      <c r="G2259" t="s">
        <v>5578</v>
      </c>
      <c r="H2259">
        <v>223024</v>
      </c>
      <c r="I2259">
        <v>206666</v>
      </c>
      <c r="J2259">
        <v>1</v>
      </c>
      <c r="K2259">
        <v>223024</v>
      </c>
      <c r="L2259">
        <v>206666</v>
      </c>
      <c r="M2259">
        <v>599</v>
      </c>
    </row>
    <row r="2260" spans="1:13" ht="15">
      <c r="A2260" t="s">
        <v>3748</v>
      </c>
      <c r="B2260" s="1040" t="str">
        <f>CONCATENATE(LEFT(RIGHT(CONCATENATE("000",IFAData_TEA_1819!A2260),6),3),"-",(RIGHT(RIGHT(CONCATENATE("000",IFAData_TEA_1819!A2260),6),3)))</f>
        <v>230-906</v>
      </c>
      <c r="C2260" t="s">
        <v>1536</v>
      </c>
      <c r="D2260">
        <v>8</v>
      </c>
      <c r="E2260">
        <v>2142</v>
      </c>
      <c r="F2260" t="s">
        <v>5579</v>
      </c>
      <c r="G2260" t="s">
        <v>5579</v>
      </c>
      <c r="H2260">
        <v>207500</v>
      </c>
      <c r="I2260">
        <v>0</v>
      </c>
      <c r="J2260">
        <v>0</v>
      </c>
      <c r="K2260">
        <v>0</v>
      </c>
      <c r="L2260">
        <v>0</v>
      </c>
      <c r="M2260">
        <v>599</v>
      </c>
    </row>
    <row r="2261" spans="1:13" ht="15">
      <c r="A2261" t="s">
        <v>3748</v>
      </c>
      <c r="B2261" s="1040" t="str">
        <f>CONCATENATE(LEFT(RIGHT(CONCATENATE("000",IFAData_TEA_1819!A2261),6),3),"-",(RIGHT(RIGHT(CONCATENATE("000",IFAData_TEA_1819!A2261),6),3)))</f>
        <v>230-906</v>
      </c>
      <c r="C2261" t="s">
        <v>1536</v>
      </c>
      <c r="D2261">
        <v>8</v>
      </c>
      <c r="E2261">
        <v>2142</v>
      </c>
      <c r="F2261" t="s">
        <v>5579</v>
      </c>
      <c r="G2261" t="s">
        <v>6548</v>
      </c>
      <c r="H2261">
        <v>207500</v>
      </c>
      <c r="I2261">
        <v>267406</v>
      </c>
      <c r="J2261">
        <v>1</v>
      </c>
      <c r="K2261">
        <v>207500</v>
      </c>
      <c r="L2261">
        <v>207500</v>
      </c>
      <c r="M2261">
        <v>599</v>
      </c>
    </row>
    <row r="2262" spans="1:13" ht="15">
      <c r="A2262" t="s">
        <v>3749</v>
      </c>
      <c r="B2262" s="1040" t="str">
        <f>CONCATENATE(LEFT(RIGHT(CONCATENATE("000",IFAData_TEA_1819!A2262),6),3),"-",(RIGHT(RIGHT(CONCATENATE("000",IFAData_TEA_1819!A2262),6),3)))</f>
        <v>232-901</v>
      </c>
      <c r="C2262" t="s">
        <v>2472</v>
      </c>
      <c r="D2262">
        <v>2</v>
      </c>
      <c r="E2262">
        <v>1970</v>
      </c>
      <c r="F2262" t="s">
        <v>5580</v>
      </c>
      <c r="G2262" t="s">
        <v>5580</v>
      </c>
      <c r="H2262">
        <v>52660</v>
      </c>
      <c r="I2262">
        <v>0</v>
      </c>
      <c r="J2262">
        <v>0</v>
      </c>
      <c r="K2262">
        <v>0</v>
      </c>
      <c r="L2262">
        <v>0</v>
      </c>
      <c r="M2262">
        <v>599</v>
      </c>
    </row>
    <row r="2263" spans="1:13" ht="15">
      <c r="A2263" t="s">
        <v>3749</v>
      </c>
      <c r="B2263" s="1040" t="str">
        <f>CONCATENATE(LEFT(RIGHT(CONCATENATE("000",IFAData_TEA_1819!A2263),6),3),"-",(RIGHT(RIGHT(CONCATENATE("000",IFAData_TEA_1819!A2263),6),3)))</f>
        <v>232-901</v>
      </c>
      <c r="C2263" t="s">
        <v>2472</v>
      </c>
      <c r="D2263">
        <v>2</v>
      </c>
      <c r="E2263">
        <v>1970</v>
      </c>
      <c r="F2263" t="s">
        <v>5580</v>
      </c>
      <c r="G2263" t="s">
        <v>5581</v>
      </c>
      <c r="H2263">
        <v>52660</v>
      </c>
      <c r="I2263">
        <v>49941</v>
      </c>
      <c r="J2263">
        <v>1</v>
      </c>
      <c r="K2263">
        <v>52660</v>
      </c>
      <c r="L2263">
        <v>49941</v>
      </c>
      <c r="M2263">
        <v>599</v>
      </c>
    </row>
    <row r="2264" spans="1:13" ht="15">
      <c r="A2264" t="s">
        <v>3749</v>
      </c>
      <c r="B2264" s="1040" t="str">
        <f>CONCATENATE(LEFT(RIGHT(CONCATENATE("000",IFAData_TEA_1819!A2264),6),3),"-",(RIGHT(RIGHT(CONCATENATE("000",IFAData_TEA_1819!A2264),6),3)))</f>
        <v>232-901</v>
      </c>
      <c r="C2264" t="s">
        <v>2472</v>
      </c>
      <c r="D2264">
        <v>5</v>
      </c>
      <c r="E2264">
        <v>1969</v>
      </c>
      <c r="F2264" t="s">
        <v>5582</v>
      </c>
      <c r="G2264" t="s">
        <v>5582</v>
      </c>
      <c r="H2264">
        <v>39885</v>
      </c>
      <c r="I2264">
        <v>0</v>
      </c>
      <c r="J2264">
        <v>0</v>
      </c>
      <c r="K2264">
        <v>0</v>
      </c>
      <c r="L2264">
        <v>0</v>
      </c>
      <c r="M2264">
        <v>599</v>
      </c>
    </row>
    <row r="2265" spans="1:13" ht="15">
      <c r="A2265" t="s">
        <v>3749</v>
      </c>
      <c r="B2265" s="1040" t="str">
        <f>CONCATENATE(LEFT(RIGHT(CONCATENATE("000",IFAData_TEA_1819!A2265),6),3),"-",(RIGHT(RIGHT(CONCATENATE("000",IFAData_TEA_1819!A2265),6),3)))</f>
        <v>232-901</v>
      </c>
      <c r="C2265" t="s">
        <v>2472</v>
      </c>
      <c r="D2265">
        <v>5</v>
      </c>
      <c r="E2265">
        <v>1969</v>
      </c>
      <c r="F2265" t="s">
        <v>5582</v>
      </c>
      <c r="G2265" t="s">
        <v>5581</v>
      </c>
      <c r="H2265">
        <v>39885</v>
      </c>
      <c r="I2265">
        <v>37602</v>
      </c>
      <c r="J2265">
        <v>1</v>
      </c>
      <c r="K2265">
        <v>39885</v>
      </c>
      <c r="L2265">
        <v>37602</v>
      </c>
      <c r="M2265">
        <v>599</v>
      </c>
    </row>
    <row r="2266" spans="1:13" ht="15">
      <c r="A2266" t="s">
        <v>3750</v>
      </c>
      <c r="B2266" s="1040" t="str">
        <f>CONCATENATE(LEFT(RIGHT(CONCATENATE("000",IFAData_TEA_1819!A2266),6),3),"-",(RIGHT(RIGHT(CONCATENATE("000",IFAData_TEA_1819!A2266),6),3)))</f>
        <v>232-902</v>
      </c>
      <c r="C2266" t="s">
        <v>615</v>
      </c>
      <c r="D2266">
        <v>5</v>
      </c>
      <c r="E2266">
        <v>2274</v>
      </c>
      <c r="F2266" t="s">
        <v>5583</v>
      </c>
      <c r="G2266" t="s">
        <v>5583</v>
      </c>
      <c r="H2266">
        <v>124225</v>
      </c>
      <c r="I2266">
        <v>0</v>
      </c>
      <c r="J2266">
        <v>0</v>
      </c>
      <c r="K2266">
        <v>0</v>
      </c>
      <c r="L2266">
        <v>0</v>
      </c>
      <c r="M2266">
        <v>599</v>
      </c>
    </row>
    <row r="2267" spans="1:13" ht="15">
      <c r="A2267" t="s">
        <v>3750</v>
      </c>
      <c r="B2267" s="1040" t="str">
        <f>CONCATENATE(LEFT(RIGHT(CONCATENATE("000",IFAData_TEA_1819!A2267),6),3),"-",(RIGHT(RIGHT(CONCATENATE("000",IFAData_TEA_1819!A2267),6),3)))</f>
        <v>232-902</v>
      </c>
      <c r="C2267" t="s">
        <v>615</v>
      </c>
      <c r="D2267">
        <v>5</v>
      </c>
      <c r="E2267">
        <v>2274</v>
      </c>
      <c r="F2267" t="s">
        <v>5583</v>
      </c>
      <c r="G2267" t="s">
        <v>5584</v>
      </c>
      <c r="H2267">
        <v>124225</v>
      </c>
      <c r="I2267">
        <v>117182</v>
      </c>
      <c r="J2267">
        <v>1</v>
      </c>
      <c r="K2267">
        <v>124225</v>
      </c>
      <c r="L2267">
        <v>117182</v>
      </c>
      <c r="M2267">
        <v>599</v>
      </c>
    </row>
    <row r="2268" spans="1:13" ht="15">
      <c r="A2268" t="s">
        <v>3751</v>
      </c>
      <c r="B2268" s="1040" t="str">
        <f>CONCATENATE(LEFT(RIGHT(CONCATENATE("000",IFAData_TEA_1819!A2268),6),3),"-",(RIGHT(RIGHT(CONCATENATE("000",IFAData_TEA_1819!A2268),6),3)))</f>
        <v>232-903</v>
      </c>
      <c r="C2268" t="s">
        <v>296</v>
      </c>
      <c r="D2268">
        <v>2</v>
      </c>
      <c r="E2268">
        <v>2409</v>
      </c>
      <c r="F2268" t="s">
        <v>5585</v>
      </c>
      <c r="G2268" t="s">
        <v>5585</v>
      </c>
      <c r="H2268">
        <v>1300000</v>
      </c>
      <c r="I2268">
        <v>0</v>
      </c>
      <c r="J2268">
        <v>0</v>
      </c>
      <c r="K2268">
        <v>0</v>
      </c>
      <c r="L2268">
        <v>0</v>
      </c>
      <c r="M2268">
        <v>599</v>
      </c>
    </row>
    <row r="2269" spans="1:13" ht="15">
      <c r="A2269" t="s">
        <v>3751</v>
      </c>
      <c r="B2269" s="1040" t="str">
        <f>CONCATENATE(LEFT(RIGHT(CONCATENATE("000",IFAData_TEA_1819!A2269),6),3),"-",(RIGHT(RIGHT(CONCATENATE("000",IFAData_TEA_1819!A2269),6),3)))</f>
        <v>232-903</v>
      </c>
      <c r="C2269" t="s">
        <v>296</v>
      </c>
      <c r="D2269">
        <v>2</v>
      </c>
      <c r="E2269">
        <v>2409</v>
      </c>
      <c r="F2269" t="s">
        <v>5585</v>
      </c>
      <c r="G2269" t="s">
        <v>5586</v>
      </c>
      <c r="H2269">
        <v>1300000</v>
      </c>
      <c r="I2269">
        <v>0</v>
      </c>
      <c r="J2269">
        <v>0</v>
      </c>
      <c r="K2269">
        <v>0</v>
      </c>
      <c r="L2269">
        <v>0</v>
      </c>
      <c r="M2269">
        <v>599</v>
      </c>
    </row>
    <row r="2270" spans="1:13" ht="15">
      <c r="A2270" t="s">
        <v>3751</v>
      </c>
      <c r="B2270" s="1040" t="str">
        <f>CONCATENATE(LEFT(RIGHT(CONCATENATE("000",IFAData_TEA_1819!A2270),6),3),"-",(RIGHT(RIGHT(CONCATENATE("000",IFAData_TEA_1819!A2270),6),3)))</f>
        <v>232-903</v>
      </c>
      <c r="C2270" t="s">
        <v>296</v>
      </c>
      <c r="D2270">
        <v>2</v>
      </c>
      <c r="E2270">
        <v>2409</v>
      </c>
      <c r="F2270" t="s">
        <v>5585</v>
      </c>
      <c r="G2270" t="s">
        <v>5587</v>
      </c>
      <c r="H2270">
        <v>1300000</v>
      </c>
      <c r="I2270">
        <v>124846</v>
      </c>
      <c r="J2270">
        <v>0.10213254013442501</v>
      </c>
      <c r="K2270">
        <v>132772.302174752</v>
      </c>
      <c r="L2270">
        <v>124846</v>
      </c>
      <c r="M2270">
        <v>599</v>
      </c>
    </row>
    <row r="2271" spans="1:13" ht="15">
      <c r="A2271" t="s">
        <v>3751</v>
      </c>
      <c r="B2271" s="1040" t="str">
        <f>CONCATENATE(LEFT(RIGHT(CONCATENATE("000",IFAData_TEA_1819!A2271),6),3),"-",(RIGHT(RIGHT(CONCATENATE("000",IFAData_TEA_1819!A2271),6),3)))</f>
        <v>232-903</v>
      </c>
      <c r="C2271" t="s">
        <v>296</v>
      </c>
      <c r="D2271">
        <v>2</v>
      </c>
      <c r="E2271">
        <v>2409</v>
      </c>
      <c r="F2271" t="s">
        <v>5585</v>
      </c>
      <c r="G2271" t="s">
        <v>5588</v>
      </c>
      <c r="H2271">
        <v>1300000</v>
      </c>
      <c r="I2271">
        <v>1097546</v>
      </c>
      <c r="J2271">
        <v>0.89786745986557503</v>
      </c>
      <c r="K2271">
        <v>1167227.69782525</v>
      </c>
      <c r="L2271">
        <v>1097546</v>
      </c>
      <c r="M2271">
        <v>599</v>
      </c>
    </row>
    <row r="2272" spans="1:13" ht="15">
      <c r="A2272" t="s">
        <v>3751</v>
      </c>
      <c r="B2272" s="1040" t="str">
        <f>CONCATENATE(LEFT(RIGHT(CONCATENATE("000",IFAData_TEA_1819!A2272),6),3),"-",(RIGHT(RIGHT(CONCATENATE("000",IFAData_TEA_1819!A2272),6),3)))</f>
        <v>232-903</v>
      </c>
      <c r="C2272" t="s">
        <v>296</v>
      </c>
      <c r="D2272">
        <v>4</v>
      </c>
      <c r="E2272">
        <v>2408</v>
      </c>
      <c r="F2272" t="s">
        <v>5589</v>
      </c>
      <c r="G2272" t="s">
        <v>5589</v>
      </c>
      <c r="H2272">
        <v>1100156</v>
      </c>
      <c r="I2272">
        <v>0</v>
      </c>
      <c r="J2272">
        <v>0</v>
      </c>
      <c r="K2272">
        <v>0</v>
      </c>
      <c r="L2272">
        <v>0</v>
      </c>
      <c r="M2272">
        <v>599</v>
      </c>
    </row>
    <row r="2273" spans="1:13" ht="15">
      <c r="A2273" t="s">
        <v>3751</v>
      </c>
      <c r="B2273" s="1040" t="str">
        <f>CONCATENATE(LEFT(RIGHT(CONCATENATE("000",IFAData_TEA_1819!A2273),6),3),"-",(RIGHT(RIGHT(CONCATENATE("000",IFAData_TEA_1819!A2273),6),3)))</f>
        <v>232-903</v>
      </c>
      <c r="C2273" t="s">
        <v>296</v>
      </c>
      <c r="D2273">
        <v>4</v>
      </c>
      <c r="E2273">
        <v>2408</v>
      </c>
      <c r="F2273" t="s">
        <v>5589</v>
      </c>
      <c r="G2273" t="s">
        <v>5586</v>
      </c>
      <c r="H2273">
        <v>1100156</v>
      </c>
      <c r="I2273">
        <v>0</v>
      </c>
      <c r="J2273">
        <v>0</v>
      </c>
      <c r="K2273">
        <v>0</v>
      </c>
      <c r="L2273">
        <v>0</v>
      </c>
      <c r="M2273">
        <v>599</v>
      </c>
    </row>
    <row r="2274" spans="1:13" ht="15">
      <c r="A2274" t="s">
        <v>3751</v>
      </c>
      <c r="B2274" s="1040" t="str">
        <f>CONCATENATE(LEFT(RIGHT(CONCATENATE("000",IFAData_TEA_1819!A2274),6),3),"-",(RIGHT(RIGHT(CONCATENATE("000",IFAData_TEA_1819!A2274),6),3)))</f>
        <v>232-903</v>
      </c>
      <c r="C2274" t="s">
        <v>296</v>
      </c>
      <c r="D2274">
        <v>4</v>
      </c>
      <c r="E2274">
        <v>2408</v>
      </c>
      <c r="F2274" t="s">
        <v>5589</v>
      </c>
      <c r="G2274" t="s">
        <v>5587</v>
      </c>
      <c r="H2274">
        <v>1100156</v>
      </c>
      <c r="I2274">
        <v>129000</v>
      </c>
      <c r="J2274">
        <v>0.12671308229081499</v>
      </c>
      <c r="K2274">
        <v>139404.157760734</v>
      </c>
      <c r="L2274">
        <v>129000</v>
      </c>
      <c r="M2274">
        <v>599</v>
      </c>
    </row>
    <row r="2275" spans="1:13" ht="15">
      <c r="A2275" t="s">
        <v>3751</v>
      </c>
      <c r="B2275" s="1040" t="str">
        <f>CONCATENATE(LEFT(RIGHT(CONCATENATE("000",IFAData_TEA_1819!A2275),6),3),"-",(RIGHT(RIGHT(CONCATENATE("000",IFAData_TEA_1819!A2275),6),3)))</f>
        <v>232-903</v>
      </c>
      <c r="C2275" t="s">
        <v>296</v>
      </c>
      <c r="D2275">
        <v>4</v>
      </c>
      <c r="E2275">
        <v>2408</v>
      </c>
      <c r="F2275" t="s">
        <v>5589</v>
      </c>
      <c r="G2275" t="s">
        <v>5588</v>
      </c>
      <c r="H2275">
        <v>1100156</v>
      </c>
      <c r="I2275">
        <v>889048</v>
      </c>
      <c r="J2275">
        <v>0.87328691770918498</v>
      </c>
      <c r="K2275">
        <v>960751.84223926603</v>
      </c>
      <c r="L2275">
        <v>889048</v>
      </c>
      <c r="M2275">
        <v>599</v>
      </c>
    </row>
    <row r="2276" spans="1:13" ht="15">
      <c r="A2276" t="s">
        <v>3752</v>
      </c>
      <c r="B2276" s="1040" t="str">
        <f>CONCATENATE(LEFT(RIGHT(CONCATENATE("000",IFAData_TEA_1819!A2276),6),3),"-",(RIGHT(RIGHT(CONCATENATE("000",IFAData_TEA_1819!A2276),6),3)))</f>
        <v>233-901</v>
      </c>
      <c r="C2276" t="s">
        <v>2146</v>
      </c>
      <c r="D2276">
        <v>4</v>
      </c>
      <c r="E2276">
        <v>2298</v>
      </c>
      <c r="F2276" t="s">
        <v>5590</v>
      </c>
      <c r="G2276" t="s">
        <v>5590</v>
      </c>
      <c r="H2276">
        <v>2143670</v>
      </c>
      <c r="I2276">
        <v>0</v>
      </c>
      <c r="J2276">
        <v>0</v>
      </c>
      <c r="K2276">
        <v>0</v>
      </c>
      <c r="L2276">
        <v>0</v>
      </c>
      <c r="M2276">
        <v>599</v>
      </c>
    </row>
    <row r="2277" spans="1:13" ht="15">
      <c r="A2277" t="s">
        <v>3752</v>
      </c>
      <c r="B2277" s="1040" t="str">
        <f>CONCATENATE(LEFT(RIGHT(CONCATENATE("000",IFAData_TEA_1819!A2277),6),3),"-",(RIGHT(RIGHT(CONCATENATE("000",IFAData_TEA_1819!A2277),6),3)))</f>
        <v>233-901</v>
      </c>
      <c r="C2277" t="s">
        <v>2146</v>
      </c>
      <c r="D2277">
        <v>4</v>
      </c>
      <c r="E2277">
        <v>2298</v>
      </c>
      <c r="F2277" t="s">
        <v>5590</v>
      </c>
      <c r="G2277" t="s">
        <v>5591</v>
      </c>
      <c r="H2277">
        <v>2143670</v>
      </c>
      <c r="I2277">
        <v>0</v>
      </c>
      <c r="J2277">
        <v>0</v>
      </c>
      <c r="K2277">
        <v>0</v>
      </c>
      <c r="L2277">
        <v>0</v>
      </c>
      <c r="M2277">
        <v>599</v>
      </c>
    </row>
    <row r="2278" spans="1:13" ht="15">
      <c r="A2278" t="s">
        <v>3752</v>
      </c>
      <c r="B2278" s="1040" t="str">
        <f>CONCATENATE(LEFT(RIGHT(CONCATENATE("000",IFAData_TEA_1819!A2278),6),3),"-",(RIGHT(RIGHT(CONCATENATE("000",IFAData_TEA_1819!A2278),6),3)))</f>
        <v>233-901</v>
      </c>
      <c r="C2278" t="s">
        <v>2146</v>
      </c>
      <c r="D2278">
        <v>4</v>
      </c>
      <c r="E2278">
        <v>2298</v>
      </c>
      <c r="F2278" t="s">
        <v>5590</v>
      </c>
      <c r="G2278" t="s">
        <v>5592</v>
      </c>
      <c r="H2278">
        <v>2143670</v>
      </c>
      <c r="I2278">
        <v>1944875</v>
      </c>
      <c r="J2278">
        <v>1</v>
      </c>
      <c r="K2278">
        <v>2143670</v>
      </c>
      <c r="L2278">
        <v>1944875</v>
      </c>
      <c r="M2278">
        <v>599</v>
      </c>
    </row>
    <row r="2279" spans="1:13" ht="15">
      <c r="A2279" t="s">
        <v>3752</v>
      </c>
      <c r="B2279" s="1040" t="str">
        <f>CONCATENATE(LEFT(RIGHT(CONCATENATE("000",IFAData_TEA_1819!A2279),6),3),"-",(RIGHT(RIGHT(CONCATENATE("000",IFAData_TEA_1819!A2279),6),3)))</f>
        <v>233-901</v>
      </c>
      <c r="C2279" t="s">
        <v>2146</v>
      </c>
      <c r="D2279">
        <v>8</v>
      </c>
      <c r="E2279">
        <v>2297</v>
      </c>
      <c r="F2279" t="s">
        <v>5593</v>
      </c>
      <c r="G2279" t="s">
        <v>5593</v>
      </c>
      <c r="H2279">
        <v>1506687</v>
      </c>
      <c r="I2279">
        <v>0</v>
      </c>
      <c r="J2279">
        <v>0</v>
      </c>
      <c r="K2279">
        <v>0</v>
      </c>
      <c r="L2279">
        <v>0</v>
      </c>
      <c r="M2279">
        <v>599</v>
      </c>
    </row>
    <row r="2280" spans="1:13" ht="15">
      <c r="A2280" t="s">
        <v>3752</v>
      </c>
      <c r="B2280" s="1040" t="str">
        <f>CONCATENATE(LEFT(RIGHT(CONCATENATE("000",IFAData_TEA_1819!A2280),6),3),"-",(RIGHT(RIGHT(CONCATENATE("000",IFAData_TEA_1819!A2280),6),3)))</f>
        <v>233-901</v>
      </c>
      <c r="C2280" t="s">
        <v>2146</v>
      </c>
      <c r="D2280">
        <v>8</v>
      </c>
      <c r="E2280">
        <v>2297</v>
      </c>
      <c r="F2280" t="s">
        <v>5593</v>
      </c>
      <c r="G2280" t="s">
        <v>5594</v>
      </c>
      <c r="H2280">
        <v>1506687</v>
      </c>
      <c r="I2280">
        <v>322660</v>
      </c>
      <c r="J2280">
        <v>0.19399835258325801</v>
      </c>
      <c r="K2280">
        <v>292294.795858611</v>
      </c>
      <c r="L2280">
        <v>292294.795858611</v>
      </c>
      <c r="M2280">
        <v>599</v>
      </c>
    </row>
    <row r="2281" spans="1:13" ht="15">
      <c r="A2281" t="s">
        <v>3752</v>
      </c>
      <c r="B2281" s="1040" t="str">
        <f>CONCATENATE(LEFT(RIGHT(CONCATENATE("000",IFAData_TEA_1819!A2281),6),3),"-",(RIGHT(RIGHT(CONCATENATE("000",IFAData_TEA_1819!A2281),6),3)))</f>
        <v>233-901</v>
      </c>
      <c r="C2281" t="s">
        <v>2146</v>
      </c>
      <c r="D2281">
        <v>8</v>
      </c>
      <c r="E2281">
        <v>2297</v>
      </c>
      <c r="F2281" t="s">
        <v>5593</v>
      </c>
      <c r="G2281" t="s">
        <v>6343</v>
      </c>
      <c r="H2281">
        <v>1506687</v>
      </c>
      <c r="I2281">
        <v>1067750</v>
      </c>
      <c r="J2281">
        <v>0.64198146956788404</v>
      </c>
      <c r="K2281">
        <v>967265.134438826</v>
      </c>
      <c r="L2281">
        <v>967265.134438826</v>
      </c>
      <c r="M2281">
        <v>599</v>
      </c>
    </row>
    <row r="2282" spans="1:13" ht="15">
      <c r="A2282" t="s">
        <v>3752</v>
      </c>
      <c r="B2282" s="1040" t="str">
        <f>CONCATENATE(LEFT(RIGHT(CONCATENATE("000",IFAData_TEA_1819!A2282),6),3),"-",(RIGHT(RIGHT(CONCATENATE("000",IFAData_TEA_1819!A2282),6),3)))</f>
        <v>233-901</v>
      </c>
      <c r="C2282" t="s">
        <v>2146</v>
      </c>
      <c r="D2282">
        <v>8</v>
      </c>
      <c r="E2282">
        <v>2297</v>
      </c>
      <c r="F2282" t="s">
        <v>5593</v>
      </c>
      <c r="G2282" t="s">
        <v>8513</v>
      </c>
      <c r="H2282">
        <v>1506687</v>
      </c>
      <c r="I2282">
        <v>272800</v>
      </c>
      <c r="J2282">
        <v>0.164020177848859</v>
      </c>
      <c r="K2282">
        <v>247127.06970256299</v>
      </c>
      <c r="L2282">
        <v>247127.06970256299</v>
      </c>
      <c r="M2282">
        <v>599</v>
      </c>
    </row>
    <row r="2283" spans="1:13" ht="15">
      <c r="A2283" t="s">
        <v>3752</v>
      </c>
      <c r="B2283" s="1040" t="str">
        <f>CONCATENATE(LEFT(RIGHT(CONCATENATE("000",IFAData_TEA_1819!A2283),6),3),"-",(RIGHT(RIGHT(CONCATENATE("000",IFAData_TEA_1819!A2283),6),3)))</f>
        <v>233-901</v>
      </c>
      <c r="C2283" t="s">
        <v>2146</v>
      </c>
      <c r="D2283">
        <v>9</v>
      </c>
      <c r="E2283">
        <v>2296</v>
      </c>
      <c r="F2283" t="s">
        <v>5595</v>
      </c>
      <c r="G2283" t="s">
        <v>5595</v>
      </c>
      <c r="H2283">
        <v>866517</v>
      </c>
      <c r="I2283">
        <v>0</v>
      </c>
      <c r="J2283">
        <v>0</v>
      </c>
      <c r="K2283">
        <v>0</v>
      </c>
      <c r="L2283">
        <v>0</v>
      </c>
      <c r="M2283">
        <v>599</v>
      </c>
    </row>
    <row r="2284" spans="1:13" ht="15">
      <c r="A2284" t="s">
        <v>3752</v>
      </c>
      <c r="B2284" s="1040" t="str">
        <f>CONCATENATE(LEFT(RIGHT(CONCATENATE("000",IFAData_TEA_1819!A2284),6),3),"-",(RIGHT(RIGHT(CONCATENATE("000",IFAData_TEA_1819!A2284),6),3)))</f>
        <v>233-901</v>
      </c>
      <c r="C2284" t="s">
        <v>2146</v>
      </c>
      <c r="D2284">
        <v>9</v>
      </c>
      <c r="E2284">
        <v>2296</v>
      </c>
      <c r="F2284" t="s">
        <v>5595</v>
      </c>
      <c r="G2284" t="s">
        <v>6549</v>
      </c>
      <c r="H2284">
        <v>866517</v>
      </c>
      <c r="I2284">
        <v>750200</v>
      </c>
      <c r="J2284">
        <v>1</v>
      </c>
      <c r="K2284">
        <v>866517</v>
      </c>
      <c r="L2284">
        <v>750200</v>
      </c>
      <c r="M2284">
        <v>599</v>
      </c>
    </row>
    <row r="2285" spans="1:13" ht="15">
      <c r="A2285" t="s">
        <v>3753</v>
      </c>
      <c r="B2285" s="1040" t="str">
        <f>CONCATENATE(LEFT(RIGHT(CONCATENATE("000",IFAData_TEA_1819!A2285),6),3),"-",(RIGHT(RIGHT(CONCATENATE("000",IFAData_TEA_1819!A2285),6),3)))</f>
        <v>234-902</v>
      </c>
      <c r="C2285" t="s">
        <v>1146</v>
      </c>
      <c r="D2285">
        <v>10</v>
      </c>
      <c r="E2285">
        <v>1661</v>
      </c>
      <c r="F2285" t="s">
        <v>5596</v>
      </c>
      <c r="G2285" t="s">
        <v>5596</v>
      </c>
      <c r="H2285">
        <v>944380</v>
      </c>
      <c r="I2285">
        <v>582726</v>
      </c>
      <c r="J2285">
        <v>0.46310835393664301</v>
      </c>
      <c r="K2285">
        <v>437350.26729068701</v>
      </c>
      <c r="L2285">
        <v>437350.26729068701</v>
      </c>
      <c r="M2285">
        <v>599</v>
      </c>
    </row>
    <row r="2286" spans="1:13" ht="15">
      <c r="A2286" t="s">
        <v>3753</v>
      </c>
      <c r="B2286" s="1040" t="str">
        <f>CONCATENATE(LEFT(RIGHT(CONCATENATE("000",IFAData_TEA_1819!A2286),6),3),"-",(RIGHT(RIGHT(CONCATENATE("000",IFAData_TEA_1819!A2286),6),3)))</f>
        <v>234-902</v>
      </c>
      <c r="C2286" t="s">
        <v>1146</v>
      </c>
      <c r="D2286">
        <v>10</v>
      </c>
      <c r="E2286">
        <v>1661</v>
      </c>
      <c r="F2286" t="s">
        <v>5596</v>
      </c>
      <c r="G2286" t="s">
        <v>6345</v>
      </c>
      <c r="H2286">
        <v>944380</v>
      </c>
      <c r="I2286">
        <v>282649</v>
      </c>
      <c r="J2286">
        <v>0.22462892188067499</v>
      </c>
      <c r="K2286">
        <v>212135.061245672</v>
      </c>
      <c r="L2286">
        <v>212135.061245672</v>
      </c>
      <c r="M2286">
        <v>599</v>
      </c>
    </row>
    <row r="2287" spans="1:13" ht="15">
      <c r="A2287" t="s">
        <v>3753</v>
      </c>
      <c r="B2287" s="1040" t="str">
        <f>CONCATENATE(LEFT(RIGHT(CONCATENATE("000",IFAData_TEA_1819!A2287),6),3),"-",(RIGHT(RIGHT(CONCATENATE("000",IFAData_TEA_1819!A2287),6),3)))</f>
        <v>234-902</v>
      </c>
      <c r="C2287" t="s">
        <v>1146</v>
      </c>
      <c r="D2287">
        <v>10</v>
      </c>
      <c r="E2287">
        <v>1661</v>
      </c>
      <c r="F2287" t="s">
        <v>5596</v>
      </c>
      <c r="G2287" t="s">
        <v>6344</v>
      </c>
      <c r="H2287">
        <v>944380</v>
      </c>
      <c r="I2287">
        <v>392918</v>
      </c>
      <c r="J2287">
        <v>0.31226272418268203</v>
      </c>
      <c r="K2287">
        <v>294894.67146364198</v>
      </c>
      <c r="L2287">
        <v>294894.67146364198</v>
      </c>
      <c r="M2287">
        <v>599</v>
      </c>
    </row>
    <row r="2288" spans="1:13" ht="15">
      <c r="A2288" t="s">
        <v>3754</v>
      </c>
      <c r="B2288" s="1040" t="str">
        <f>CONCATENATE(LEFT(RIGHT(CONCATENATE("000",IFAData_TEA_1819!A2288),6),3),"-",(RIGHT(RIGHT(CONCATENATE("000",IFAData_TEA_1819!A2288),6),3)))</f>
        <v>234-904</v>
      </c>
      <c r="C2288" t="s">
        <v>864</v>
      </c>
      <c r="D2288">
        <v>5</v>
      </c>
      <c r="E2288">
        <v>1857</v>
      </c>
      <c r="F2288" t="s">
        <v>5597</v>
      </c>
      <c r="G2288" t="s">
        <v>5597</v>
      </c>
      <c r="H2288">
        <v>287500</v>
      </c>
      <c r="I2288">
        <v>0</v>
      </c>
      <c r="J2288">
        <v>0</v>
      </c>
      <c r="K2288">
        <v>0</v>
      </c>
      <c r="L2288">
        <v>0</v>
      </c>
      <c r="M2288">
        <v>599</v>
      </c>
    </row>
    <row r="2289" spans="1:13" ht="15">
      <c r="A2289" t="s">
        <v>3754</v>
      </c>
      <c r="B2289" s="1040" t="str">
        <f>CONCATENATE(LEFT(RIGHT(CONCATENATE("000",IFAData_TEA_1819!A2289),6),3),"-",(RIGHT(RIGHT(CONCATENATE("000",IFAData_TEA_1819!A2289),6),3)))</f>
        <v>234-904</v>
      </c>
      <c r="C2289" t="s">
        <v>864</v>
      </c>
      <c r="D2289">
        <v>5</v>
      </c>
      <c r="E2289">
        <v>1857</v>
      </c>
      <c r="F2289" t="s">
        <v>5597</v>
      </c>
      <c r="G2289" t="s">
        <v>5598</v>
      </c>
      <c r="H2289">
        <v>287500</v>
      </c>
      <c r="I2289">
        <v>550296</v>
      </c>
      <c r="J2289">
        <v>1</v>
      </c>
      <c r="K2289">
        <v>287500</v>
      </c>
      <c r="L2289">
        <v>287500</v>
      </c>
      <c r="M2289">
        <v>599</v>
      </c>
    </row>
    <row r="2290" spans="1:13" ht="15">
      <c r="A2290" t="s">
        <v>3755</v>
      </c>
      <c r="B2290" s="1040" t="str">
        <f>CONCATENATE(LEFT(RIGHT(CONCATENATE("000",IFAData_TEA_1819!A2290),6),3),"-",(RIGHT(RIGHT(CONCATENATE("000",IFAData_TEA_1819!A2290),6),3)))</f>
        <v>234-905</v>
      </c>
      <c r="C2290" t="s">
        <v>2065</v>
      </c>
      <c r="D2290">
        <v>2</v>
      </c>
      <c r="E2290">
        <v>2070</v>
      </c>
      <c r="F2290" t="s">
        <v>5599</v>
      </c>
      <c r="G2290" t="s">
        <v>5599</v>
      </c>
      <c r="H2290">
        <v>95558</v>
      </c>
      <c r="I2290">
        <v>0</v>
      </c>
      <c r="J2290">
        <v>0</v>
      </c>
      <c r="K2290">
        <v>0</v>
      </c>
      <c r="L2290">
        <v>0</v>
      </c>
      <c r="M2290">
        <v>599</v>
      </c>
    </row>
    <row r="2291" spans="1:13" ht="15">
      <c r="A2291" t="s">
        <v>3755</v>
      </c>
      <c r="B2291" s="1040" t="str">
        <f>CONCATENATE(LEFT(RIGHT(CONCATENATE("000",IFAData_TEA_1819!A2291),6),3),"-",(RIGHT(RIGHT(CONCATENATE("000",IFAData_TEA_1819!A2291),6),3)))</f>
        <v>234-905</v>
      </c>
      <c r="C2291" t="s">
        <v>2065</v>
      </c>
      <c r="D2291">
        <v>2</v>
      </c>
      <c r="E2291">
        <v>2070</v>
      </c>
      <c r="F2291" t="s">
        <v>5599</v>
      </c>
      <c r="G2291" t="s">
        <v>5600</v>
      </c>
      <c r="H2291">
        <v>95558</v>
      </c>
      <c r="I2291">
        <v>61452</v>
      </c>
      <c r="J2291">
        <v>1</v>
      </c>
      <c r="K2291">
        <v>95558</v>
      </c>
      <c r="L2291">
        <v>61452</v>
      </c>
      <c r="M2291">
        <v>599</v>
      </c>
    </row>
    <row r="2292" spans="1:13" ht="15">
      <c r="A2292" t="s">
        <v>3755</v>
      </c>
      <c r="B2292" s="1040" t="str">
        <f>CONCATENATE(LEFT(RIGHT(CONCATENATE("000",IFAData_TEA_1819!A2292),6),3),"-",(RIGHT(RIGHT(CONCATENATE("000",IFAData_TEA_1819!A2292),6),3)))</f>
        <v>234-905</v>
      </c>
      <c r="C2292" t="s">
        <v>2065</v>
      </c>
      <c r="D2292">
        <v>10</v>
      </c>
      <c r="E2292">
        <v>2071</v>
      </c>
      <c r="F2292" t="s">
        <v>5601</v>
      </c>
      <c r="G2292" t="s">
        <v>5601</v>
      </c>
      <c r="H2292">
        <v>121250</v>
      </c>
      <c r="I2292">
        <v>57888</v>
      </c>
      <c r="J2292">
        <v>0.42211494990447601</v>
      </c>
      <c r="K2292">
        <v>51181.437675917703</v>
      </c>
      <c r="L2292">
        <v>51181.437675917703</v>
      </c>
      <c r="M2292">
        <v>599</v>
      </c>
    </row>
    <row r="2293" spans="1:13" ht="15">
      <c r="A2293" t="s">
        <v>3755</v>
      </c>
      <c r="B2293" s="1040" t="str">
        <f>CONCATENATE(LEFT(RIGHT(CONCATENATE("000",IFAData_TEA_1819!A2293),6),3),"-",(RIGHT(RIGHT(CONCATENATE("000",IFAData_TEA_1819!A2293),6),3)))</f>
        <v>234-905</v>
      </c>
      <c r="C2293" t="s">
        <v>2065</v>
      </c>
      <c r="D2293">
        <v>10</v>
      </c>
      <c r="E2293">
        <v>2071</v>
      </c>
      <c r="F2293" t="s">
        <v>5601</v>
      </c>
      <c r="G2293" t="s">
        <v>8514</v>
      </c>
      <c r="H2293">
        <v>121250</v>
      </c>
      <c r="I2293">
        <v>79250</v>
      </c>
      <c r="J2293">
        <v>0.57788505009552404</v>
      </c>
      <c r="K2293">
        <v>70068.562324082304</v>
      </c>
      <c r="L2293">
        <v>70068.562324082304</v>
      </c>
      <c r="M2293">
        <v>599</v>
      </c>
    </row>
    <row r="2294" spans="1:13" ht="15">
      <c r="A2294" t="s">
        <v>3756</v>
      </c>
      <c r="B2294" s="1040" t="str">
        <f>CONCATENATE(LEFT(RIGHT(CONCATENATE("000",IFAData_TEA_1819!A2294),6),3),"-",(RIGHT(RIGHT(CONCATENATE("000",IFAData_TEA_1819!A2294),6),3)))</f>
        <v>234-906</v>
      </c>
      <c r="C2294" t="s">
        <v>1147</v>
      </c>
      <c r="D2294">
        <v>9</v>
      </c>
      <c r="E2294">
        <v>2421</v>
      </c>
      <c r="F2294" t="s">
        <v>5602</v>
      </c>
      <c r="G2294" t="s">
        <v>5602</v>
      </c>
      <c r="H2294">
        <v>518746</v>
      </c>
      <c r="I2294">
        <v>0</v>
      </c>
      <c r="J2294">
        <v>0</v>
      </c>
      <c r="K2294">
        <v>0</v>
      </c>
      <c r="L2294">
        <v>0</v>
      </c>
      <c r="M2294">
        <v>599</v>
      </c>
    </row>
    <row r="2295" spans="1:13" ht="15">
      <c r="A2295" t="s">
        <v>3756</v>
      </c>
      <c r="B2295" s="1040" t="str">
        <f>CONCATENATE(LEFT(RIGHT(CONCATENATE("000",IFAData_TEA_1819!A2295),6),3),"-",(RIGHT(RIGHT(CONCATENATE("000",IFAData_TEA_1819!A2295),6),3)))</f>
        <v>234-906</v>
      </c>
      <c r="C2295" t="s">
        <v>1147</v>
      </c>
      <c r="D2295">
        <v>9</v>
      </c>
      <c r="E2295">
        <v>2421</v>
      </c>
      <c r="F2295" t="s">
        <v>5602</v>
      </c>
      <c r="G2295" t="s">
        <v>6347</v>
      </c>
      <c r="H2295">
        <v>518746</v>
      </c>
      <c r="I2295">
        <v>286896</v>
      </c>
      <c r="J2295">
        <v>0.38346313877442501</v>
      </c>
      <c r="K2295">
        <v>198919.96938667801</v>
      </c>
      <c r="L2295">
        <v>198919.96938667801</v>
      </c>
      <c r="M2295">
        <v>599</v>
      </c>
    </row>
    <row r="2296" spans="1:13" ht="15">
      <c r="A2296" t="s">
        <v>3756</v>
      </c>
      <c r="B2296" s="1040" t="str">
        <f>CONCATENATE(LEFT(RIGHT(CONCATENATE("000",IFAData_TEA_1819!A2296),6),3),"-",(RIGHT(RIGHT(CONCATENATE("000",IFAData_TEA_1819!A2296),6),3)))</f>
        <v>234-906</v>
      </c>
      <c r="C2296" t="s">
        <v>1147</v>
      </c>
      <c r="D2296">
        <v>9</v>
      </c>
      <c r="E2296">
        <v>2421</v>
      </c>
      <c r="F2296" t="s">
        <v>5602</v>
      </c>
      <c r="G2296" t="s">
        <v>6346</v>
      </c>
      <c r="H2296">
        <v>518746</v>
      </c>
      <c r="I2296">
        <v>219666</v>
      </c>
      <c r="J2296">
        <v>0.29360400229359301</v>
      </c>
      <c r="K2296">
        <v>152305.90177379199</v>
      </c>
      <c r="L2296">
        <v>152305.90177379199</v>
      </c>
      <c r="M2296">
        <v>599</v>
      </c>
    </row>
    <row r="2297" spans="1:13" ht="15">
      <c r="A2297" t="s">
        <v>3756</v>
      </c>
      <c r="B2297" s="1040" t="str">
        <f>CONCATENATE(LEFT(RIGHT(CONCATENATE("000",IFAData_TEA_1819!A2297),6),3),"-",(RIGHT(RIGHT(CONCATENATE("000",IFAData_TEA_1819!A2297),6),3)))</f>
        <v>234-906</v>
      </c>
      <c r="C2297" t="s">
        <v>1147</v>
      </c>
      <c r="D2297">
        <v>9</v>
      </c>
      <c r="E2297">
        <v>2421</v>
      </c>
      <c r="F2297" t="s">
        <v>5602</v>
      </c>
      <c r="G2297" t="s">
        <v>6550</v>
      </c>
      <c r="H2297">
        <v>518746</v>
      </c>
      <c r="I2297">
        <v>241609</v>
      </c>
      <c r="J2297">
        <v>0.32293285893198198</v>
      </c>
      <c r="K2297">
        <v>167520.12883952999</v>
      </c>
      <c r="L2297">
        <v>167520.12883952999</v>
      </c>
      <c r="M2297">
        <v>599</v>
      </c>
    </row>
    <row r="2298" spans="1:13" ht="15">
      <c r="A2298" t="s">
        <v>3757</v>
      </c>
      <c r="B2298" s="1040" t="str">
        <f>CONCATENATE(LEFT(RIGHT(CONCATENATE("000",IFAData_TEA_1819!A2298),6),3),"-",(RIGHT(RIGHT(CONCATENATE("000",IFAData_TEA_1819!A2298),6),3)))</f>
        <v>234-909</v>
      </c>
      <c r="C2298" t="s">
        <v>1478</v>
      </c>
      <c r="D2298">
        <v>6</v>
      </c>
      <c r="E2298">
        <v>1832</v>
      </c>
      <c r="F2298" t="s">
        <v>5603</v>
      </c>
      <c r="G2298" t="s">
        <v>5603</v>
      </c>
      <c r="H2298">
        <v>95608</v>
      </c>
      <c r="I2298">
        <v>0</v>
      </c>
      <c r="J2298">
        <v>0</v>
      </c>
      <c r="K2298">
        <v>0</v>
      </c>
      <c r="L2298">
        <v>0</v>
      </c>
      <c r="M2298">
        <v>599</v>
      </c>
    </row>
    <row r="2299" spans="1:13" ht="15">
      <c r="A2299" t="s">
        <v>3757</v>
      </c>
      <c r="B2299" s="1040" t="str">
        <f>CONCATENATE(LEFT(RIGHT(CONCATENATE("000",IFAData_TEA_1819!A2299),6),3),"-",(RIGHT(RIGHT(CONCATENATE("000",IFAData_TEA_1819!A2299),6),3)))</f>
        <v>234-909</v>
      </c>
      <c r="C2299" t="s">
        <v>1478</v>
      </c>
      <c r="D2299">
        <v>6</v>
      </c>
      <c r="E2299">
        <v>1832</v>
      </c>
      <c r="F2299" t="s">
        <v>5603</v>
      </c>
      <c r="G2299" t="s">
        <v>5604</v>
      </c>
      <c r="H2299">
        <v>95608</v>
      </c>
      <c r="I2299">
        <v>91450</v>
      </c>
      <c r="J2299">
        <v>1</v>
      </c>
      <c r="K2299">
        <v>95608</v>
      </c>
      <c r="L2299">
        <v>91450</v>
      </c>
      <c r="M2299">
        <v>599</v>
      </c>
    </row>
    <row r="2300" spans="1:13" ht="15">
      <c r="A2300" t="s">
        <v>3757</v>
      </c>
      <c r="B2300" s="1040" t="str">
        <f>CONCATENATE(LEFT(RIGHT(CONCATENATE("000",IFAData_TEA_1819!A2300),6),3),"-",(RIGHT(RIGHT(CONCATENATE("000",IFAData_TEA_1819!A2300),6),3)))</f>
        <v>234-909</v>
      </c>
      <c r="C2300" t="s">
        <v>1478</v>
      </c>
      <c r="D2300">
        <v>11</v>
      </c>
      <c r="E2300">
        <v>2594</v>
      </c>
      <c r="F2300" t="s">
        <v>8515</v>
      </c>
      <c r="G2300" t="s">
        <v>8515</v>
      </c>
      <c r="H2300">
        <v>81458</v>
      </c>
      <c r="I2300">
        <v>78525</v>
      </c>
      <c r="J2300">
        <v>1</v>
      </c>
      <c r="K2300">
        <v>81458</v>
      </c>
      <c r="L2300">
        <v>78525</v>
      </c>
      <c r="M2300">
        <v>599</v>
      </c>
    </row>
    <row r="2301" spans="1:13" ht="15">
      <c r="A2301" t="s">
        <v>3758</v>
      </c>
      <c r="B2301" s="1040" t="str">
        <f>CONCATENATE(LEFT(RIGHT(CONCATENATE("000",IFAData_TEA_1819!A2301),6),3),"-",(RIGHT(RIGHT(CONCATENATE("000",IFAData_TEA_1819!A2301),6),3)))</f>
        <v>235-901</v>
      </c>
      <c r="C2301" t="s">
        <v>1344</v>
      </c>
      <c r="D2301">
        <v>3</v>
      </c>
      <c r="E2301">
        <v>1620</v>
      </c>
      <c r="F2301" t="s">
        <v>5605</v>
      </c>
      <c r="G2301" t="s">
        <v>5605</v>
      </c>
      <c r="H2301">
        <v>239379</v>
      </c>
      <c r="I2301">
        <v>0</v>
      </c>
      <c r="J2301">
        <v>0</v>
      </c>
      <c r="K2301">
        <v>0</v>
      </c>
      <c r="L2301">
        <v>0</v>
      </c>
      <c r="M2301">
        <v>599</v>
      </c>
    </row>
    <row r="2302" spans="1:13" ht="15">
      <c r="A2302" t="s">
        <v>3758</v>
      </c>
      <c r="B2302" s="1040" t="str">
        <f>CONCATENATE(LEFT(RIGHT(CONCATENATE("000",IFAData_TEA_1819!A2302),6),3),"-",(RIGHT(RIGHT(CONCATENATE("000",IFAData_TEA_1819!A2302),6),3)))</f>
        <v>235-901</v>
      </c>
      <c r="C2302" t="s">
        <v>1344</v>
      </c>
      <c r="D2302">
        <v>3</v>
      </c>
      <c r="E2302">
        <v>1620</v>
      </c>
      <c r="F2302" t="s">
        <v>5605</v>
      </c>
      <c r="G2302" t="s">
        <v>5606</v>
      </c>
      <c r="H2302">
        <v>239379</v>
      </c>
      <c r="I2302">
        <v>0</v>
      </c>
      <c r="J2302">
        <v>0</v>
      </c>
      <c r="K2302">
        <v>0</v>
      </c>
      <c r="L2302">
        <v>0</v>
      </c>
      <c r="M2302">
        <v>599</v>
      </c>
    </row>
    <row r="2303" spans="1:13" ht="15">
      <c r="A2303" t="s">
        <v>3758</v>
      </c>
      <c r="B2303" s="1040" t="str">
        <f>CONCATENATE(LEFT(RIGHT(CONCATENATE("000",IFAData_TEA_1819!A2303),6),3),"-",(RIGHT(RIGHT(CONCATENATE("000",IFAData_TEA_1819!A2303),6),3)))</f>
        <v>235-901</v>
      </c>
      <c r="C2303" t="s">
        <v>1344</v>
      </c>
      <c r="D2303">
        <v>3</v>
      </c>
      <c r="E2303">
        <v>1620</v>
      </c>
      <c r="F2303" t="s">
        <v>5605</v>
      </c>
      <c r="G2303" t="s">
        <v>6551</v>
      </c>
      <c r="H2303">
        <v>239379</v>
      </c>
      <c r="I2303">
        <v>94592</v>
      </c>
      <c r="J2303">
        <v>1</v>
      </c>
      <c r="K2303">
        <v>239379</v>
      </c>
      <c r="L2303">
        <v>94592</v>
      </c>
      <c r="M2303">
        <v>599</v>
      </c>
    </row>
    <row r="2304" spans="1:13" ht="15">
      <c r="A2304" t="s">
        <v>3758</v>
      </c>
      <c r="B2304" s="1040" t="str">
        <f>CONCATENATE(LEFT(RIGHT(CONCATENATE("000",IFAData_TEA_1819!A2304),6),3),"-",(RIGHT(RIGHT(CONCATENATE("000",IFAData_TEA_1819!A2304),6),3)))</f>
        <v>235-901</v>
      </c>
      <c r="C2304" t="s">
        <v>1344</v>
      </c>
      <c r="D2304">
        <v>6</v>
      </c>
      <c r="E2304">
        <v>1619</v>
      </c>
      <c r="F2304" t="s">
        <v>5607</v>
      </c>
      <c r="G2304" t="s">
        <v>5607</v>
      </c>
      <c r="H2304">
        <v>218942</v>
      </c>
      <c r="I2304">
        <v>0</v>
      </c>
      <c r="J2304">
        <v>0</v>
      </c>
      <c r="K2304">
        <v>0</v>
      </c>
      <c r="L2304">
        <v>0</v>
      </c>
      <c r="M2304">
        <v>599</v>
      </c>
    </row>
    <row r="2305" spans="1:13" ht="15">
      <c r="A2305" t="s">
        <v>3758</v>
      </c>
      <c r="B2305" s="1040" t="str">
        <f>CONCATENATE(LEFT(RIGHT(CONCATENATE("000",IFAData_TEA_1819!A2305),6),3),"-",(RIGHT(RIGHT(CONCATENATE("000",IFAData_TEA_1819!A2305),6),3)))</f>
        <v>235-901</v>
      </c>
      <c r="C2305" t="s">
        <v>1344</v>
      </c>
      <c r="D2305">
        <v>6</v>
      </c>
      <c r="E2305">
        <v>1619</v>
      </c>
      <c r="F2305" t="s">
        <v>5607</v>
      </c>
      <c r="G2305" t="s">
        <v>5606</v>
      </c>
      <c r="H2305">
        <v>218942</v>
      </c>
      <c r="I2305">
        <v>227295</v>
      </c>
      <c r="J2305">
        <v>0.71406356028048001</v>
      </c>
      <c r="K2305">
        <v>156338.504014929</v>
      </c>
      <c r="L2305">
        <v>156338.504014929</v>
      </c>
      <c r="M2305">
        <v>599</v>
      </c>
    </row>
    <row r="2306" spans="1:13" ht="15">
      <c r="A2306" t="s">
        <v>3758</v>
      </c>
      <c r="B2306" s="1040" t="str">
        <f>CONCATENATE(LEFT(RIGHT(CONCATENATE("000",IFAData_TEA_1819!A2306),6),3),"-",(RIGHT(RIGHT(CONCATENATE("000",IFAData_TEA_1819!A2306),6),3)))</f>
        <v>235-901</v>
      </c>
      <c r="C2306" t="s">
        <v>1344</v>
      </c>
      <c r="D2306">
        <v>6</v>
      </c>
      <c r="E2306">
        <v>1619</v>
      </c>
      <c r="F2306" t="s">
        <v>5607</v>
      </c>
      <c r="G2306" t="s">
        <v>5608</v>
      </c>
      <c r="H2306">
        <v>218942</v>
      </c>
      <c r="I2306">
        <v>0</v>
      </c>
      <c r="J2306">
        <v>0</v>
      </c>
      <c r="K2306">
        <v>0</v>
      </c>
      <c r="L2306">
        <v>0</v>
      </c>
      <c r="M2306">
        <v>599</v>
      </c>
    </row>
    <row r="2307" spans="1:13" ht="15">
      <c r="A2307" t="s">
        <v>3758</v>
      </c>
      <c r="B2307" s="1040" t="str">
        <f>CONCATENATE(LEFT(RIGHT(CONCATENATE("000",IFAData_TEA_1819!A2307),6),3),"-",(RIGHT(RIGHT(CONCATENATE("000",IFAData_TEA_1819!A2307),6),3)))</f>
        <v>235-901</v>
      </c>
      <c r="C2307" t="s">
        <v>1344</v>
      </c>
      <c r="D2307">
        <v>6</v>
      </c>
      <c r="E2307">
        <v>1619</v>
      </c>
      <c r="F2307" t="s">
        <v>5607</v>
      </c>
      <c r="G2307" t="s">
        <v>6551</v>
      </c>
      <c r="H2307">
        <v>218942</v>
      </c>
      <c r="I2307">
        <v>91017</v>
      </c>
      <c r="J2307">
        <v>0.28593643971951999</v>
      </c>
      <c r="K2307">
        <v>62603.495985071298</v>
      </c>
      <c r="L2307">
        <v>62603.495985071298</v>
      </c>
      <c r="M2307">
        <v>599</v>
      </c>
    </row>
    <row r="2308" spans="1:13" ht="15">
      <c r="A2308" t="s">
        <v>3758</v>
      </c>
      <c r="B2308" s="1040" t="str">
        <f>CONCATENATE(LEFT(RIGHT(CONCATENATE("000",IFAData_TEA_1819!A2308),6),3),"-",(RIGHT(RIGHT(CONCATENATE("000",IFAData_TEA_1819!A2308),6),3)))</f>
        <v>235-901</v>
      </c>
      <c r="C2308" t="s">
        <v>1344</v>
      </c>
      <c r="D2308">
        <v>10</v>
      </c>
      <c r="E2308">
        <v>1618</v>
      </c>
      <c r="F2308" t="s">
        <v>5609</v>
      </c>
      <c r="G2308" t="s">
        <v>5609</v>
      </c>
      <c r="H2308">
        <v>191935</v>
      </c>
      <c r="I2308">
        <v>132445</v>
      </c>
      <c r="J2308">
        <v>0.25248828063192102</v>
      </c>
      <c r="K2308">
        <v>48461.3381430878</v>
      </c>
      <c r="L2308">
        <v>48461.3381430878</v>
      </c>
      <c r="M2308">
        <v>599</v>
      </c>
    </row>
    <row r="2309" spans="1:13" ht="15">
      <c r="A2309" t="s">
        <v>3758</v>
      </c>
      <c r="B2309" s="1040" t="str">
        <f>CONCATENATE(LEFT(RIGHT(CONCATENATE("000",IFAData_TEA_1819!A2309),6),3),"-",(RIGHT(RIGHT(CONCATENATE("000",IFAData_TEA_1819!A2309),6),3)))</f>
        <v>235-901</v>
      </c>
      <c r="C2309" t="s">
        <v>1344</v>
      </c>
      <c r="D2309">
        <v>10</v>
      </c>
      <c r="E2309">
        <v>1618</v>
      </c>
      <c r="F2309" t="s">
        <v>5609</v>
      </c>
      <c r="G2309" t="s">
        <v>6551</v>
      </c>
      <c r="H2309">
        <v>191935</v>
      </c>
      <c r="I2309">
        <v>392114</v>
      </c>
      <c r="J2309">
        <v>0.74751171936807903</v>
      </c>
      <c r="K2309">
        <v>143473.66185691199</v>
      </c>
      <c r="L2309">
        <v>143473.66185691199</v>
      </c>
      <c r="M2309">
        <v>599</v>
      </c>
    </row>
    <row r="2310" spans="1:13" ht="15">
      <c r="A2310" t="s">
        <v>3759</v>
      </c>
      <c r="B2310" s="1040" t="str">
        <f>CONCATENATE(LEFT(RIGHT(CONCATENATE("000",IFAData_TEA_1819!A2310),6),3),"-",(RIGHT(RIGHT(CONCATENATE("000",IFAData_TEA_1819!A2310),6),3)))</f>
        <v>235-902</v>
      </c>
      <c r="C2310" t="s">
        <v>134</v>
      </c>
      <c r="D2310">
        <v>2</v>
      </c>
      <c r="E2310">
        <v>2426</v>
      </c>
      <c r="F2310" t="s">
        <v>5610</v>
      </c>
      <c r="G2310" t="s">
        <v>5610</v>
      </c>
      <c r="H2310">
        <v>2126212</v>
      </c>
      <c r="I2310">
        <v>0</v>
      </c>
      <c r="J2310">
        <v>0</v>
      </c>
      <c r="K2310">
        <v>0</v>
      </c>
      <c r="L2310">
        <v>0</v>
      </c>
      <c r="M2310">
        <v>599</v>
      </c>
    </row>
    <row r="2311" spans="1:13" ht="15">
      <c r="A2311" t="s">
        <v>3759</v>
      </c>
      <c r="B2311" s="1040" t="str">
        <f>CONCATENATE(LEFT(RIGHT(CONCATENATE("000",IFAData_TEA_1819!A2311),6),3),"-",(RIGHT(RIGHT(CONCATENATE("000",IFAData_TEA_1819!A2311),6),3)))</f>
        <v>235-902</v>
      </c>
      <c r="C2311" t="s">
        <v>134</v>
      </c>
      <c r="D2311">
        <v>2</v>
      </c>
      <c r="E2311">
        <v>2426</v>
      </c>
      <c r="F2311" t="s">
        <v>5610</v>
      </c>
      <c r="G2311" t="s">
        <v>5611</v>
      </c>
      <c r="H2311">
        <v>2126212</v>
      </c>
      <c r="I2311">
        <v>0</v>
      </c>
      <c r="J2311">
        <v>0</v>
      </c>
      <c r="K2311">
        <v>0</v>
      </c>
      <c r="L2311">
        <v>0</v>
      </c>
      <c r="M2311">
        <v>599</v>
      </c>
    </row>
    <row r="2312" spans="1:13" ht="15">
      <c r="A2312" t="s">
        <v>3759</v>
      </c>
      <c r="B2312" s="1040" t="str">
        <f>CONCATENATE(LEFT(RIGHT(CONCATENATE("000",IFAData_TEA_1819!A2312),6),3),"-",(RIGHT(RIGHT(CONCATENATE("000",IFAData_TEA_1819!A2312),6),3)))</f>
        <v>235-902</v>
      </c>
      <c r="C2312" t="s">
        <v>134</v>
      </c>
      <c r="D2312">
        <v>2</v>
      </c>
      <c r="E2312">
        <v>2426</v>
      </c>
      <c r="F2312" t="s">
        <v>5610</v>
      </c>
      <c r="G2312" t="s">
        <v>6348</v>
      </c>
      <c r="H2312">
        <v>2126212</v>
      </c>
      <c r="I2312">
        <v>1694926</v>
      </c>
      <c r="J2312">
        <v>1</v>
      </c>
      <c r="K2312">
        <v>2126212</v>
      </c>
      <c r="L2312">
        <v>1694926</v>
      </c>
      <c r="M2312">
        <v>599</v>
      </c>
    </row>
    <row r="2313" spans="1:13" ht="15">
      <c r="A2313" t="s">
        <v>3759</v>
      </c>
      <c r="B2313" s="1040" t="str">
        <f>CONCATENATE(LEFT(RIGHT(CONCATENATE("000",IFAData_TEA_1819!A2313),6),3),"-",(RIGHT(RIGHT(CONCATENATE("000",IFAData_TEA_1819!A2313),6),3)))</f>
        <v>235-902</v>
      </c>
      <c r="C2313" t="s">
        <v>134</v>
      </c>
      <c r="D2313">
        <v>9</v>
      </c>
      <c r="E2313">
        <v>2427</v>
      </c>
      <c r="F2313" t="s">
        <v>5612</v>
      </c>
      <c r="G2313" t="s">
        <v>5612</v>
      </c>
      <c r="H2313">
        <v>3088095</v>
      </c>
      <c r="I2313">
        <v>0</v>
      </c>
      <c r="J2313">
        <v>0</v>
      </c>
      <c r="K2313">
        <v>0</v>
      </c>
      <c r="L2313">
        <v>0</v>
      </c>
      <c r="M2313">
        <v>599</v>
      </c>
    </row>
    <row r="2314" spans="1:13" ht="15">
      <c r="A2314" t="s">
        <v>3759</v>
      </c>
      <c r="B2314" s="1040" t="str">
        <f>CONCATENATE(LEFT(RIGHT(CONCATENATE("000",IFAData_TEA_1819!A2314),6),3),"-",(RIGHT(RIGHT(CONCATENATE("000",IFAData_TEA_1819!A2314),6),3)))</f>
        <v>235-902</v>
      </c>
      <c r="C2314" t="s">
        <v>134</v>
      </c>
      <c r="D2314">
        <v>9</v>
      </c>
      <c r="E2314">
        <v>2427</v>
      </c>
      <c r="F2314" t="s">
        <v>5612</v>
      </c>
      <c r="G2314" t="s">
        <v>8516</v>
      </c>
      <c r="H2314">
        <v>3088095</v>
      </c>
      <c r="I2314">
        <v>4588702</v>
      </c>
      <c r="J2314">
        <v>1</v>
      </c>
      <c r="K2314">
        <v>3088095</v>
      </c>
      <c r="L2314">
        <v>3088095</v>
      </c>
      <c r="M2314">
        <v>599</v>
      </c>
    </row>
    <row r="2315" spans="1:13" ht="15">
      <c r="A2315" t="s">
        <v>3760</v>
      </c>
      <c r="B2315" s="1040" t="str">
        <f>CONCATENATE(LEFT(RIGHT(CONCATENATE("000",IFAData_TEA_1819!A2315),6),3),"-",(RIGHT(RIGHT(CONCATENATE("000",IFAData_TEA_1819!A2315),6),3)))</f>
        <v>236-901</v>
      </c>
      <c r="C2315" t="s">
        <v>1144</v>
      </c>
      <c r="D2315">
        <v>2</v>
      </c>
      <c r="E2315">
        <v>2145</v>
      </c>
      <c r="F2315" t="s">
        <v>5613</v>
      </c>
      <c r="G2315" t="s">
        <v>5613</v>
      </c>
      <c r="H2315">
        <v>227546</v>
      </c>
      <c r="I2315">
        <v>0</v>
      </c>
      <c r="J2315">
        <v>0</v>
      </c>
      <c r="K2315"/>
      <c r="L2315">
        <v>0</v>
      </c>
      <c r="M2315">
        <v>599</v>
      </c>
    </row>
    <row r="2316" spans="1:13" ht="15">
      <c r="A2316" t="s">
        <v>3760</v>
      </c>
      <c r="B2316" s="1040" t="str">
        <f>CONCATENATE(LEFT(RIGHT(CONCATENATE("000",IFAData_TEA_1819!A2316),6),3),"-",(RIGHT(RIGHT(CONCATENATE("000",IFAData_TEA_1819!A2316),6),3)))</f>
        <v>236-901</v>
      </c>
      <c r="C2316" t="s">
        <v>1144</v>
      </c>
      <c r="D2316">
        <v>6</v>
      </c>
      <c r="E2316">
        <v>2144</v>
      </c>
      <c r="F2316" t="s">
        <v>5615</v>
      </c>
      <c r="G2316" t="s">
        <v>5615</v>
      </c>
      <c r="H2316">
        <v>207728</v>
      </c>
      <c r="I2316">
        <v>0</v>
      </c>
      <c r="J2316">
        <v>0</v>
      </c>
      <c r="K2316">
        <v>0</v>
      </c>
      <c r="L2316">
        <v>0</v>
      </c>
      <c r="M2316">
        <v>599</v>
      </c>
    </row>
    <row r="2317" spans="1:13" ht="15">
      <c r="A2317" t="s">
        <v>3760</v>
      </c>
      <c r="B2317" s="1040" t="str">
        <f>CONCATENATE(LEFT(RIGHT(CONCATENATE("000",IFAData_TEA_1819!A2317),6),3),"-",(RIGHT(RIGHT(CONCATENATE("000",IFAData_TEA_1819!A2317),6),3)))</f>
        <v>236-901</v>
      </c>
      <c r="C2317" t="s">
        <v>1144</v>
      </c>
      <c r="D2317">
        <v>6</v>
      </c>
      <c r="E2317">
        <v>2144</v>
      </c>
      <c r="F2317" t="s">
        <v>5615</v>
      </c>
      <c r="G2317" t="s">
        <v>5616</v>
      </c>
      <c r="H2317">
        <v>207728</v>
      </c>
      <c r="I2317">
        <v>409580</v>
      </c>
      <c r="J2317">
        <v>1</v>
      </c>
      <c r="K2317">
        <v>207728</v>
      </c>
      <c r="L2317">
        <v>207728</v>
      </c>
      <c r="M2317">
        <v>599</v>
      </c>
    </row>
    <row r="2318" spans="1:13" ht="15">
      <c r="A2318" t="s">
        <v>3761</v>
      </c>
      <c r="B2318" s="1040" t="str">
        <f>CONCATENATE(LEFT(RIGHT(CONCATENATE("000",IFAData_TEA_1819!A2318),6),3),"-",(RIGHT(RIGHT(CONCATENATE("000",IFAData_TEA_1819!A2318),6),3)))</f>
        <v>236-902</v>
      </c>
      <c r="C2318" t="s">
        <v>93</v>
      </c>
      <c r="D2318">
        <v>10</v>
      </c>
      <c r="E2318">
        <v>1919</v>
      </c>
      <c r="F2318" t="s">
        <v>5617</v>
      </c>
      <c r="G2318" t="s">
        <v>5617</v>
      </c>
      <c r="H2318">
        <v>470421</v>
      </c>
      <c r="I2318">
        <v>481938</v>
      </c>
      <c r="J2318">
        <v>1</v>
      </c>
      <c r="K2318">
        <v>470421</v>
      </c>
      <c r="L2318">
        <v>470421</v>
      </c>
      <c r="M2318">
        <v>199</v>
      </c>
    </row>
    <row r="2319" spans="1:13" ht="15">
      <c r="A2319" t="s">
        <v>3762</v>
      </c>
      <c r="B2319" s="1040" t="str">
        <f>CONCATENATE(LEFT(RIGHT(CONCATENATE("000",IFAData_TEA_1819!A2319),6),3),"-",(RIGHT(RIGHT(CONCATENATE("000",IFAData_TEA_1819!A2319),6),3)))</f>
        <v>237-902</v>
      </c>
      <c r="C2319" t="s">
        <v>2371</v>
      </c>
      <c r="D2319">
        <v>6</v>
      </c>
      <c r="E2319">
        <v>1882</v>
      </c>
      <c r="F2319" t="s">
        <v>5618</v>
      </c>
      <c r="G2319" t="s">
        <v>5618</v>
      </c>
      <c r="H2319">
        <v>361936</v>
      </c>
      <c r="I2319">
        <v>0</v>
      </c>
      <c r="J2319">
        <v>0</v>
      </c>
      <c r="K2319">
        <v>0</v>
      </c>
      <c r="L2319">
        <v>0</v>
      </c>
      <c r="M2319">
        <v>599</v>
      </c>
    </row>
    <row r="2320" spans="1:13" ht="15">
      <c r="A2320" t="s">
        <v>3762</v>
      </c>
      <c r="B2320" s="1040" t="str">
        <f>CONCATENATE(LEFT(RIGHT(CONCATENATE("000",IFAData_TEA_1819!A2320),6),3),"-",(RIGHT(RIGHT(CONCATENATE("000",IFAData_TEA_1819!A2320),6),3)))</f>
        <v>237-902</v>
      </c>
      <c r="C2320" t="s">
        <v>2371</v>
      </c>
      <c r="D2320">
        <v>6</v>
      </c>
      <c r="E2320">
        <v>1882</v>
      </c>
      <c r="F2320" t="s">
        <v>5618</v>
      </c>
      <c r="G2320" t="s">
        <v>5619</v>
      </c>
      <c r="H2320">
        <v>361936</v>
      </c>
      <c r="I2320">
        <v>0</v>
      </c>
      <c r="J2320">
        <v>0</v>
      </c>
      <c r="K2320">
        <v>0</v>
      </c>
      <c r="L2320">
        <v>0</v>
      </c>
      <c r="M2320">
        <v>599</v>
      </c>
    </row>
    <row r="2321" spans="1:13" ht="15">
      <c r="A2321" t="s">
        <v>3762</v>
      </c>
      <c r="B2321" s="1040" t="str">
        <f>CONCATENATE(LEFT(RIGHT(CONCATENATE("000",IFAData_TEA_1819!A2321),6),3),"-",(RIGHT(RIGHT(CONCATENATE("000",IFAData_TEA_1819!A2321),6),3)))</f>
        <v>237-902</v>
      </c>
      <c r="C2321" t="s">
        <v>2371</v>
      </c>
      <c r="D2321">
        <v>6</v>
      </c>
      <c r="E2321">
        <v>1882</v>
      </c>
      <c r="F2321" t="s">
        <v>5618</v>
      </c>
      <c r="G2321" t="s">
        <v>6349</v>
      </c>
      <c r="H2321">
        <v>361936</v>
      </c>
      <c r="I2321">
        <v>372347</v>
      </c>
      <c r="J2321">
        <v>1</v>
      </c>
      <c r="K2321">
        <v>361936</v>
      </c>
      <c r="L2321">
        <v>361936</v>
      </c>
      <c r="M2321">
        <v>599</v>
      </c>
    </row>
    <row r="2322" spans="1:13" ht="15">
      <c r="A2322" t="s">
        <v>3762</v>
      </c>
      <c r="B2322" s="1040" t="str">
        <f>CONCATENATE(LEFT(RIGHT(CONCATENATE("000",IFAData_TEA_1819!A2322),6),3),"-",(RIGHT(RIGHT(CONCATENATE("000",IFAData_TEA_1819!A2322),6),3)))</f>
        <v>237-902</v>
      </c>
      <c r="C2322" t="s">
        <v>2371</v>
      </c>
      <c r="D2322">
        <v>9</v>
      </c>
      <c r="E2322">
        <v>1881</v>
      </c>
      <c r="F2322" t="s">
        <v>5620</v>
      </c>
      <c r="G2322" t="s">
        <v>5620</v>
      </c>
      <c r="H2322">
        <v>294703</v>
      </c>
      <c r="I2322">
        <v>0</v>
      </c>
      <c r="J2322">
        <v>0</v>
      </c>
      <c r="K2322">
        <v>0</v>
      </c>
      <c r="L2322">
        <v>0</v>
      </c>
      <c r="M2322">
        <v>599</v>
      </c>
    </row>
    <row r="2323" spans="1:13" ht="15">
      <c r="A2323" t="s">
        <v>3762</v>
      </c>
      <c r="B2323" s="1040" t="str">
        <f>CONCATENATE(LEFT(RIGHT(CONCATENATE("000",IFAData_TEA_1819!A2323),6),3),"-",(RIGHT(RIGHT(CONCATENATE("000",IFAData_TEA_1819!A2323),6),3)))</f>
        <v>237-902</v>
      </c>
      <c r="C2323" t="s">
        <v>2371</v>
      </c>
      <c r="D2323">
        <v>9</v>
      </c>
      <c r="E2323">
        <v>1881</v>
      </c>
      <c r="F2323" t="s">
        <v>5620</v>
      </c>
      <c r="G2323" t="s">
        <v>6552</v>
      </c>
      <c r="H2323">
        <v>294703</v>
      </c>
      <c r="I2323">
        <v>483163</v>
      </c>
      <c r="J2323">
        <v>1</v>
      </c>
      <c r="K2323">
        <v>294703</v>
      </c>
      <c r="L2323">
        <v>294703</v>
      </c>
      <c r="M2323">
        <v>599</v>
      </c>
    </row>
    <row r="2324" spans="1:13" ht="15">
      <c r="A2324" t="s">
        <v>3763</v>
      </c>
      <c r="B2324" s="1040" t="str">
        <f>CONCATENATE(LEFT(RIGHT(CONCATENATE("000",IFAData_TEA_1819!A2324),6),3),"-",(RIGHT(RIGHT(CONCATENATE("000",IFAData_TEA_1819!A2324),6),3)))</f>
        <v>237-904</v>
      </c>
      <c r="C2324" t="s">
        <v>138</v>
      </c>
      <c r="D2324">
        <v>6</v>
      </c>
      <c r="E2324">
        <v>2433</v>
      </c>
      <c r="F2324" t="s">
        <v>5621</v>
      </c>
      <c r="G2324" t="s">
        <v>5621</v>
      </c>
      <c r="H2324">
        <v>1125381</v>
      </c>
      <c r="I2324">
        <v>0</v>
      </c>
      <c r="J2324">
        <v>0</v>
      </c>
      <c r="K2324">
        <v>0</v>
      </c>
      <c r="L2324">
        <v>0</v>
      </c>
      <c r="M2324">
        <v>599</v>
      </c>
    </row>
    <row r="2325" spans="1:13" ht="15">
      <c r="A2325" t="s">
        <v>3763</v>
      </c>
      <c r="B2325" s="1040" t="str">
        <f>CONCATENATE(LEFT(RIGHT(CONCATENATE("000",IFAData_TEA_1819!A2325),6),3),"-",(RIGHT(RIGHT(CONCATENATE("000",IFAData_TEA_1819!A2325),6),3)))</f>
        <v>237-904</v>
      </c>
      <c r="C2325" t="s">
        <v>138</v>
      </c>
      <c r="D2325">
        <v>6</v>
      </c>
      <c r="E2325">
        <v>2433</v>
      </c>
      <c r="F2325" t="s">
        <v>5621</v>
      </c>
      <c r="G2325" t="s">
        <v>5622</v>
      </c>
      <c r="H2325">
        <v>1125381</v>
      </c>
      <c r="I2325">
        <v>0</v>
      </c>
      <c r="J2325">
        <v>0</v>
      </c>
      <c r="K2325">
        <v>0</v>
      </c>
      <c r="L2325">
        <v>0</v>
      </c>
      <c r="M2325">
        <v>599</v>
      </c>
    </row>
    <row r="2326" spans="1:13" ht="15">
      <c r="A2326" t="s">
        <v>3763</v>
      </c>
      <c r="B2326" s="1040" t="str">
        <f>CONCATENATE(LEFT(RIGHT(CONCATENATE("000",IFAData_TEA_1819!A2326),6),3),"-",(RIGHT(RIGHT(CONCATENATE("000",IFAData_TEA_1819!A2326),6),3)))</f>
        <v>237-904</v>
      </c>
      <c r="C2326" t="s">
        <v>138</v>
      </c>
      <c r="D2326">
        <v>6</v>
      </c>
      <c r="E2326">
        <v>2433</v>
      </c>
      <c r="F2326" t="s">
        <v>5621</v>
      </c>
      <c r="G2326" t="s">
        <v>5623</v>
      </c>
      <c r="H2326">
        <v>1125381</v>
      </c>
      <c r="I2326">
        <v>872802</v>
      </c>
      <c r="J2326">
        <v>0.98666959079532501</v>
      </c>
      <c r="K2326">
        <v>1110379.21075883</v>
      </c>
      <c r="L2326">
        <v>872802</v>
      </c>
      <c r="M2326">
        <v>599</v>
      </c>
    </row>
    <row r="2327" spans="1:13" ht="15">
      <c r="A2327" t="s">
        <v>3763</v>
      </c>
      <c r="B2327" s="1040" t="str">
        <f>CONCATENATE(LEFT(RIGHT(CONCATENATE("000",IFAData_TEA_1819!A2327),6),3),"-",(RIGHT(RIGHT(CONCATENATE("000",IFAData_TEA_1819!A2327),6),3)))</f>
        <v>237-904</v>
      </c>
      <c r="C2327" t="s">
        <v>138</v>
      </c>
      <c r="D2327">
        <v>6</v>
      </c>
      <c r="E2327">
        <v>2433</v>
      </c>
      <c r="F2327" t="s">
        <v>5621</v>
      </c>
      <c r="G2327" t="s">
        <v>5624</v>
      </c>
      <c r="H2327">
        <v>1125381</v>
      </c>
      <c r="I2327">
        <v>0</v>
      </c>
      <c r="J2327">
        <v>0</v>
      </c>
      <c r="K2327">
        <v>0</v>
      </c>
      <c r="L2327">
        <v>0</v>
      </c>
      <c r="M2327">
        <v>599</v>
      </c>
    </row>
    <row r="2328" spans="1:13" ht="15">
      <c r="A2328" t="s">
        <v>3763</v>
      </c>
      <c r="B2328" s="1040" t="str">
        <f>CONCATENATE(LEFT(RIGHT(CONCATENATE("000",IFAData_TEA_1819!A2328),6),3),"-",(RIGHT(RIGHT(CONCATENATE("000",IFAData_TEA_1819!A2328),6),3)))</f>
        <v>237-904</v>
      </c>
      <c r="C2328" t="s">
        <v>138</v>
      </c>
      <c r="D2328">
        <v>6</v>
      </c>
      <c r="E2328">
        <v>2433</v>
      </c>
      <c r="F2328" t="s">
        <v>5621</v>
      </c>
      <c r="G2328" t="s">
        <v>5625</v>
      </c>
      <c r="H2328">
        <v>1125381</v>
      </c>
      <c r="I2328">
        <v>11792</v>
      </c>
      <c r="J2328">
        <v>1.33304092046747E-2</v>
      </c>
      <c r="K2328">
        <v>15001.789241166</v>
      </c>
      <c r="L2328">
        <v>11792</v>
      </c>
      <c r="M2328">
        <v>599</v>
      </c>
    </row>
    <row r="2329" spans="1:13" ht="15">
      <c r="A2329" t="s">
        <v>3763</v>
      </c>
      <c r="B2329" s="1040" t="str">
        <f>CONCATENATE(LEFT(RIGHT(CONCATENATE("000",IFAData_TEA_1819!A2329),6),3),"-",(RIGHT(RIGHT(CONCATENATE("000",IFAData_TEA_1819!A2329),6),3)))</f>
        <v>237-904</v>
      </c>
      <c r="C2329" t="s">
        <v>138</v>
      </c>
      <c r="D2329">
        <v>9</v>
      </c>
      <c r="E2329">
        <v>2434</v>
      </c>
      <c r="F2329" t="s">
        <v>5626</v>
      </c>
      <c r="G2329" t="s">
        <v>5626</v>
      </c>
      <c r="H2329">
        <v>1234114</v>
      </c>
      <c r="I2329">
        <v>1101884</v>
      </c>
      <c r="J2329">
        <v>0.36467822198334299</v>
      </c>
      <c r="K2329">
        <v>450054.49924475199</v>
      </c>
      <c r="L2329">
        <v>450054.49924475199</v>
      </c>
      <c r="M2329">
        <v>599</v>
      </c>
    </row>
    <row r="2330" spans="1:13" ht="15">
      <c r="A2330" t="s">
        <v>3763</v>
      </c>
      <c r="B2330" s="1040" t="str">
        <f>CONCATENATE(LEFT(RIGHT(CONCATENATE("000",IFAData_TEA_1819!A2330),6),3),"-",(RIGHT(RIGHT(CONCATENATE("000",IFAData_TEA_1819!A2330),6),3)))</f>
        <v>237-904</v>
      </c>
      <c r="C2330" t="s">
        <v>138</v>
      </c>
      <c r="D2330">
        <v>9</v>
      </c>
      <c r="E2330">
        <v>2434</v>
      </c>
      <c r="F2330" t="s">
        <v>5626</v>
      </c>
      <c r="G2330" t="s">
        <v>6350</v>
      </c>
      <c r="H2330">
        <v>1234114</v>
      </c>
      <c r="I2330">
        <v>893313</v>
      </c>
      <c r="J2330">
        <v>0.29564981115490102</v>
      </c>
      <c r="K2330">
        <v>364865.57104361901</v>
      </c>
      <c r="L2330">
        <v>364865.57104361901</v>
      </c>
      <c r="M2330">
        <v>599</v>
      </c>
    </row>
    <row r="2331" spans="1:13" ht="15">
      <c r="A2331" t="s">
        <v>3763</v>
      </c>
      <c r="B2331" s="1040" t="str">
        <f>CONCATENATE(LEFT(RIGHT(CONCATENATE("000",IFAData_TEA_1819!A2331),6),3),"-",(RIGHT(RIGHT(CONCATENATE("000",IFAData_TEA_1819!A2331),6),3)))</f>
        <v>237-904</v>
      </c>
      <c r="C2331" t="s">
        <v>138</v>
      </c>
      <c r="D2331">
        <v>9</v>
      </c>
      <c r="E2331">
        <v>2434</v>
      </c>
      <c r="F2331" t="s">
        <v>5626</v>
      </c>
      <c r="G2331" t="s">
        <v>6554</v>
      </c>
      <c r="H2331">
        <v>1234114</v>
      </c>
      <c r="I2331">
        <v>170381</v>
      </c>
      <c r="J2331">
        <v>5.6389093715621702E-2</v>
      </c>
      <c r="K2331">
        <v>69590.570001760701</v>
      </c>
      <c r="L2331">
        <v>69590.570001760701</v>
      </c>
      <c r="M2331">
        <v>599</v>
      </c>
    </row>
    <row r="2332" spans="1:13" ht="15">
      <c r="A2332" t="s">
        <v>3763</v>
      </c>
      <c r="B2332" s="1040" t="str">
        <f>CONCATENATE(LEFT(RIGHT(CONCATENATE("000",IFAData_TEA_1819!A2332),6),3),"-",(RIGHT(RIGHT(CONCATENATE("000",IFAData_TEA_1819!A2332),6),3)))</f>
        <v>237-904</v>
      </c>
      <c r="C2332" t="s">
        <v>138</v>
      </c>
      <c r="D2332">
        <v>9</v>
      </c>
      <c r="E2332">
        <v>2434</v>
      </c>
      <c r="F2332" t="s">
        <v>5626</v>
      </c>
      <c r="G2332" t="s">
        <v>6553</v>
      </c>
      <c r="H2332">
        <v>1234114</v>
      </c>
      <c r="I2332">
        <v>855946</v>
      </c>
      <c r="J2332">
        <v>0.28328287314613398</v>
      </c>
      <c r="K2332">
        <v>349603.35970986797</v>
      </c>
      <c r="L2332">
        <v>349603.35970986797</v>
      </c>
      <c r="M2332">
        <v>599</v>
      </c>
    </row>
    <row r="2333" spans="1:13" ht="15">
      <c r="A2333" t="s">
        <v>3764</v>
      </c>
      <c r="B2333" s="1040" t="str">
        <f>CONCATENATE(LEFT(RIGHT(CONCATENATE("000",IFAData_TEA_1819!A2333),6),3),"-",(RIGHT(RIGHT(CONCATENATE("000",IFAData_TEA_1819!A2333),6),3)))</f>
        <v>237-905</v>
      </c>
      <c r="C2333" t="s">
        <v>94</v>
      </c>
      <c r="D2333">
        <v>9</v>
      </c>
      <c r="E2333">
        <v>2269</v>
      </c>
      <c r="F2333" t="s">
        <v>5627</v>
      </c>
      <c r="G2333" t="s">
        <v>5627</v>
      </c>
      <c r="H2333">
        <v>402311</v>
      </c>
      <c r="I2333">
        <v>0</v>
      </c>
      <c r="J2333">
        <v>0</v>
      </c>
      <c r="K2333">
        <v>0</v>
      </c>
      <c r="L2333">
        <v>0</v>
      </c>
      <c r="M2333">
        <v>599</v>
      </c>
    </row>
    <row r="2334" spans="1:13" ht="15">
      <c r="A2334" t="s">
        <v>3764</v>
      </c>
      <c r="B2334" s="1040" t="str">
        <f>CONCATENATE(LEFT(RIGHT(CONCATENATE("000",IFAData_TEA_1819!A2334),6),3),"-",(RIGHT(RIGHT(CONCATENATE("000",IFAData_TEA_1819!A2334),6),3)))</f>
        <v>237-905</v>
      </c>
      <c r="C2334" t="s">
        <v>94</v>
      </c>
      <c r="D2334">
        <v>9</v>
      </c>
      <c r="E2334">
        <v>2269</v>
      </c>
      <c r="F2334" t="s">
        <v>5627</v>
      </c>
      <c r="G2334" t="s">
        <v>5628</v>
      </c>
      <c r="H2334">
        <v>402311</v>
      </c>
      <c r="I2334">
        <v>254477</v>
      </c>
      <c r="J2334">
        <v>0.53130049898741105</v>
      </c>
      <c r="K2334">
        <v>213748.035048124</v>
      </c>
      <c r="L2334">
        <v>213748.035048124</v>
      </c>
      <c r="M2334">
        <v>599</v>
      </c>
    </row>
    <row r="2335" spans="1:13" ht="15">
      <c r="A2335" t="s">
        <v>3764</v>
      </c>
      <c r="B2335" s="1040" t="str">
        <f>CONCATENATE(LEFT(RIGHT(CONCATENATE("000",IFAData_TEA_1819!A2335),6),3),"-",(RIGHT(RIGHT(CONCATENATE("000",IFAData_TEA_1819!A2335),6),3)))</f>
        <v>237-905</v>
      </c>
      <c r="C2335" t="s">
        <v>94</v>
      </c>
      <c r="D2335">
        <v>9</v>
      </c>
      <c r="E2335">
        <v>2269</v>
      </c>
      <c r="F2335" t="s">
        <v>5627</v>
      </c>
      <c r="G2335" t="s">
        <v>6351</v>
      </c>
      <c r="H2335">
        <v>402311</v>
      </c>
      <c r="I2335">
        <v>224493</v>
      </c>
      <c r="J2335">
        <v>0.46869950101259</v>
      </c>
      <c r="K2335">
        <v>188562.964951876</v>
      </c>
      <c r="L2335">
        <v>188562.964951876</v>
      </c>
      <c r="M2335">
        <v>599</v>
      </c>
    </row>
    <row r="2336" spans="1:13" ht="15">
      <c r="A2336" t="s">
        <v>3764</v>
      </c>
      <c r="B2336" s="1040" t="str">
        <f>CONCATENATE(LEFT(RIGHT(CONCATENATE("000",IFAData_TEA_1819!A2336),6),3),"-",(RIGHT(RIGHT(CONCATENATE("000",IFAData_TEA_1819!A2336),6),3)))</f>
        <v>237-905</v>
      </c>
      <c r="C2336" t="s">
        <v>94</v>
      </c>
      <c r="D2336">
        <v>9</v>
      </c>
      <c r="E2336">
        <v>2268</v>
      </c>
      <c r="F2336" t="s">
        <v>5629</v>
      </c>
      <c r="G2336" t="s">
        <v>5629</v>
      </c>
      <c r="H2336">
        <v>70170</v>
      </c>
      <c r="I2336">
        <v>0</v>
      </c>
      <c r="J2336">
        <v>0</v>
      </c>
      <c r="K2336">
        <v>0</v>
      </c>
      <c r="L2336">
        <v>0</v>
      </c>
      <c r="M2336">
        <v>599</v>
      </c>
    </row>
    <row r="2337" spans="1:13" ht="15">
      <c r="A2337" t="s">
        <v>3764</v>
      </c>
      <c r="B2337" s="1040" t="str">
        <f>CONCATENATE(LEFT(RIGHT(CONCATENATE("000",IFAData_TEA_1819!A2337),6),3),"-",(RIGHT(RIGHT(CONCATENATE("000",IFAData_TEA_1819!A2337),6),3)))</f>
        <v>237-905</v>
      </c>
      <c r="C2337" t="s">
        <v>94</v>
      </c>
      <c r="D2337">
        <v>9</v>
      </c>
      <c r="E2337">
        <v>2268</v>
      </c>
      <c r="F2337" t="s">
        <v>5629</v>
      </c>
      <c r="G2337" t="s">
        <v>6352</v>
      </c>
      <c r="H2337">
        <v>70170</v>
      </c>
      <c r="I2337">
        <v>215961</v>
      </c>
      <c r="J2337">
        <v>0.16202620346813701</v>
      </c>
      <c r="K2337">
        <v>11369.3786973592</v>
      </c>
      <c r="L2337">
        <v>11369.3786973592</v>
      </c>
      <c r="M2337">
        <v>599</v>
      </c>
    </row>
    <row r="2338" spans="1:13" ht="15">
      <c r="A2338" t="s">
        <v>3764</v>
      </c>
      <c r="B2338" s="1040" t="str">
        <f>CONCATENATE(LEFT(RIGHT(CONCATENATE("000",IFAData_TEA_1819!A2338),6),3),"-",(RIGHT(RIGHT(CONCATENATE("000",IFAData_TEA_1819!A2338),6),3)))</f>
        <v>237-905</v>
      </c>
      <c r="C2338" t="s">
        <v>94</v>
      </c>
      <c r="D2338">
        <v>9</v>
      </c>
      <c r="E2338">
        <v>2268</v>
      </c>
      <c r="F2338" t="s">
        <v>5629</v>
      </c>
      <c r="G2338" t="s">
        <v>6555</v>
      </c>
      <c r="H2338">
        <v>70170</v>
      </c>
      <c r="I2338">
        <v>24187</v>
      </c>
      <c r="J2338">
        <v>1.8146460626149299E-2</v>
      </c>
      <c r="K2338">
        <v>1273.3371421369</v>
      </c>
      <c r="L2338">
        <v>1273.3371421369</v>
      </c>
      <c r="M2338">
        <v>599</v>
      </c>
    </row>
    <row r="2339" spans="1:13" ht="15">
      <c r="A2339" t="s">
        <v>3764</v>
      </c>
      <c r="B2339" s="1040" t="str">
        <f>CONCATENATE(LEFT(RIGHT(CONCATENATE("000",IFAData_TEA_1819!A2339),6),3),"-",(RIGHT(RIGHT(CONCATENATE("000",IFAData_TEA_1819!A2339),6),3)))</f>
        <v>237-905</v>
      </c>
      <c r="C2339" t="s">
        <v>94</v>
      </c>
      <c r="D2339">
        <v>9</v>
      </c>
      <c r="E2339">
        <v>2268</v>
      </c>
      <c r="F2339" t="s">
        <v>5629</v>
      </c>
      <c r="G2339" t="s">
        <v>8517</v>
      </c>
      <c r="H2339">
        <v>70170</v>
      </c>
      <c r="I2339">
        <v>1092729</v>
      </c>
      <c r="J2339">
        <v>0.81982733590571399</v>
      </c>
      <c r="K2339">
        <v>57527.284160503899</v>
      </c>
      <c r="L2339">
        <v>57527.284160503899</v>
      </c>
      <c r="M2339">
        <v>599</v>
      </c>
    </row>
    <row r="2340" spans="1:13" ht="15">
      <c r="A2340" t="s">
        <v>3765</v>
      </c>
      <c r="B2340" s="1040" t="str">
        <f>CONCATENATE(LEFT(RIGHT(CONCATENATE("000",IFAData_TEA_1819!A2340),6),3),"-",(RIGHT(RIGHT(CONCATENATE("000",IFAData_TEA_1819!A2340),6),3)))</f>
        <v>240-901</v>
      </c>
      <c r="C2340" t="s">
        <v>2345</v>
      </c>
      <c r="D2340">
        <v>3</v>
      </c>
      <c r="E2340">
        <v>2010</v>
      </c>
      <c r="F2340" t="s">
        <v>5630</v>
      </c>
      <c r="G2340" t="s">
        <v>5630</v>
      </c>
      <c r="H2340">
        <v>5155243</v>
      </c>
      <c r="I2340">
        <v>0</v>
      </c>
      <c r="J2340">
        <v>0</v>
      </c>
      <c r="K2340">
        <v>0</v>
      </c>
      <c r="L2340">
        <v>0</v>
      </c>
      <c r="M2340">
        <v>599</v>
      </c>
    </row>
    <row r="2341" spans="1:13" ht="15">
      <c r="A2341" t="s">
        <v>3765</v>
      </c>
      <c r="B2341" s="1040" t="str">
        <f>CONCATENATE(LEFT(RIGHT(CONCATENATE("000",IFAData_TEA_1819!A2341),6),3),"-",(RIGHT(RIGHT(CONCATENATE("000",IFAData_TEA_1819!A2341),6),3)))</f>
        <v>240-901</v>
      </c>
      <c r="C2341" t="s">
        <v>2345</v>
      </c>
      <c r="D2341">
        <v>3</v>
      </c>
      <c r="E2341">
        <v>2010</v>
      </c>
      <c r="F2341" t="s">
        <v>5630</v>
      </c>
      <c r="G2341" t="s">
        <v>5631</v>
      </c>
      <c r="H2341">
        <v>5155243</v>
      </c>
      <c r="I2341">
        <v>0</v>
      </c>
      <c r="J2341">
        <v>0</v>
      </c>
      <c r="K2341">
        <v>0</v>
      </c>
      <c r="L2341">
        <v>0</v>
      </c>
      <c r="M2341">
        <v>599</v>
      </c>
    </row>
    <row r="2342" spans="1:13" ht="15">
      <c r="A2342" t="s">
        <v>3765</v>
      </c>
      <c r="B2342" s="1040" t="str">
        <f>CONCATENATE(LEFT(RIGHT(CONCATENATE("000",IFAData_TEA_1819!A2342),6),3),"-",(RIGHT(RIGHT(CONCATENATE("000",IFAData_TEA_1819!A2342),6),3)))</f>
        <v>240-901</v>
      </c>
      <c r="C2342" t="s">
        <v>2345</v>
      </c>
      <c r="D2342">
        <v>3</v>
      </c>
      <c r="E2342">
        <v>2010</v>
      </c>
      <c r="F2342" t="s">
        <v>5630</v>
      </c>
      <c r="G2342" t="s">
        <v>5632</v>
      </c>
      <c r="H2342">
        <v>5155243</v>
      </c>
      <c r="I2342">
        <v>0</v>
      </c>
      <c r="J2342">
        <v>0</v>
      </c>
      <c r="K2342">
        <v>0</v>
      </c>
      <c r="L2342">
        <v>0</v>
      </c>
      <c r="M2342">
        <v>599</v>
      </c>
    </row>
    <row r="2343" spans="1:13" ht="15">
      <c r="A2343" t="s">
        <v>3765</v>
      </c>
      <c r="B2343" s="1040" t="str">
        <f>CONCATENATE(LEFT(RIGHT(CONCATENATE("000",IFAData_TEA_1819!A2343),6),3),"-",(RIGHT(RIGHT(CONCATENATE("000",IFAData_TEA_1819!A2343),6),3)))</f>
        <v>240-901</v>
      </c>
      <c r="C2343" t="s">
        <v>2345</v>
      </c>
      <c r="D2343">
        <v>3</v>
      </c>
      <c r="E2343">
        <v>2010</v>
      </c>
      <c r="F2343" t="s">
        <v>5630</v>
      </c>
      <c r="G2343" t="s">
        <v>5633</v>
      </c>
      <c r="H2343">
        <v>5155243</v>
      </c>
      <c r="I2343">
        <v>0</v>
      </c>
      <c r="J2343">
        <v>0</v>
      </c>
      <c r="K2343">
        <v>0</v>
      </c>
      <c r="L2343">
        <v>0</v>
      </c>
      <c r="M2343">
        <v>599</v>
      </c>
    </row>
    <row r="2344" spans="1:13" ht="15">
      <c r="A2344" t="s">
        <v>3765</v>
      </c>
      <c r="B2344" s="1040" t="str">
        <f>CONCATENATE(LEFT(RIGHT(CONCATENATE("000",IFAData_TEA_1819!A2344),6),3),"-",(RIGHT(RIGHT(CONCATENATE("000",IFAData_TEA_1819!A2344),6),3)))</f>
        <v>240-901</v>
      </c>
      <c r="C2344" t="s">
        <v>2345</v>
      </c>
      <c r="D2344">
        <v>3</v>
      </c>
      <c r="E2344">
        <v>2010</v>
      </c>
      <c r="F2344" t="s">
        <v>5630</v>
      </c>
      <c r="G2344" t="s">
        <v>5634</v>
      </c>
      <c r="H2344">
        <v>5155243</v>
      </c>
      <c r="I2344">
        <v>1235110</v>
      </c>
      <c r="J2344">
        <v>0.27615533885937699</v>
      </c>
      <c r="K2344">
        <v>1423647.87756743</v>
      </c>
      <c r="L2344">
        <v>1235110</v>
      </c>
      <c r="M2344">
        <v>599</v>
      </c>
    </row>
    <row r="2345" spans="1:13" ht="15">
      <c r="A2345" t="s">
        <v>3765</v>
      </c>
      <c r="B2345" s="1040" t="str">
        <f>CONCATENATE(LEFT(RIGHT(CONCATENATE("000",IFAData_TEA_1819!A2345),6),3),"-",(RIGHT(RIGHT(CONCATENATE("000",IFAData_TEA_1819!A2345),6),3)))</f>
        <v>240-901</v>
      </c>
      <c r="C2345" t="s">
        <v>2345</v>
      </c>
      <c r="D2345">
        <v>3</v>
      </c>
      <c r="E2345">
        <v>2010</v>
      </c>
      <c r="F2345" t="s">
        <v>5630</v>
      </c>
      <c r="G2345" t="s">
        <v>6353</v>
      </c>
      <c r="H2345">
        <v>5155243</v>
      </c>
      <c r="I2345">
        <v>3237409</v>
      </c>
      <c r="J2345">
        <v>0.72384466114062296</v>
      </c>
      <c r="K2345">
        <v>3731595.12243257</v>
      </c>
      <c r="L2345">
        <v>3237409</v>
      </c>
      <c r="M2345">
        <v>599</v>
      </c>
    </row>
    <row r="2346" spans="1:13" ht="15">
      <c r="A2346" t="s">
        <v>3765</v>
      </c>
      <c r="B2346" s="1040" t="str">
        <f>CONCATENATE(LEFT(RIGHT(CONCATENATE("000",IFAData_TEA_1819!A2346),6),3),"-",(RIGHT(RIGHT(CONCATENATE("000",IFAData_TEA_1819!A2346),6),3)))</f>
        <v>240-901</v>
      </c>
      <c r="C2346" t="s">
        <v>2345</v>
      </c>
      <c r="D2346">
        <v>5</v>
      </c>
      <c r="E2346">
        <v>2011</v>
      </c>
      <c r="F2346" t="s">
        <v>5631</v>
      </c>
      <c r="G2346" t="s">
        <v>5631</v>
      </c>
      <c r="H2346">
        <v>5174604</v>
      </c>
      <c r="I2346">
        <v>0</v>
      </c>
      <c r="J2346">
        <v>0</v>
      </c>
      <c r="K2346">
        <v>0</v>
      </c>
      <c r="L2346">
        <v>0</v>
      </c>
      <c r="M2346">
        <v>599</v>
      </c>
    </row>
    <row r="2347" spans="1:13" ht="15">
      <c r="A2347" t="s">
        <v>3765</v>
      </c>
      <c r="B2347" s="1040" t="str">
        <f>CONCATENATE(LEFT(RIGHT(CONCATENATE("000",IFAData_TEA_1819!A2347),6),3),"-",(RIGHT(RIGHT(CONCATENATE("000",IFAData_TEA_1819!A2347),6),3)))</f>
        <v>240-901</v>
      </c>
      <c r="C2347" t="s">
        <v>2345</v>
      </c>
      <c r="D2347">
        <v>5</v>
      </c>
      <c r="E2347">
        <v>2011</v>
      </c>
      <c r="F2347" t="s">
        <v>5631</v>
      </c>
      <c r="G2347" t="s">
        <v>5632</v>
      </c>
      <c r="H2347">
        <v>5174604</v>
      </c>
      <c r="I2347">
        <v>0</v>
      </c>
      <c r="J2347">
        <v>0</v>
      </c>
      <c r="K2347">
        <v>0</v>
      </c>
      <c r="L2347">
        <v>0</v>
      </c>
      <c r="M2347">
        <v>599</v>
      </c>
    </row>
    <row r="2348" spans="1:13" ht="15">
      <c r="A2348" t="s">
        <v>3765</v>
      </c>
      <c r="B2348" s="1040" t="str">
        <f>CONCATENATE(LEFT(RIGHT(CONCATENATE("000",IFAData_TEA_1819!A2348),6),3),"-",(RIGHT(RIGHT(CONCATENATE("000",IFAData_TEA_1819!A2348),6),3)))</f>
        <v>240-901</v>
      </c>
      <c r="C2348" t="s">
        <v>2345</v>
      </c>
      <c r="D2348">
        <v>5</v>
      </c>
      <c r="E2348">
        <v>2011</v>
      </c>
      <c r="F2348" t="s">
        <v>5631</v>
      </c>
      <c r="G2348" t="s">
        <v>5633</v>
      </c>
      <c r="H2348">
        <v>5174604</v>
      </c>
      <c r="I2348">
        <v>822500</v>
      </c>
      <c r="J2348">
        <v>0.169932750018078</v>
      </c>
      <c r="K2348">
        <v>879334.68797454599</v>
      </c>
      <c r="L2348">
        <v>822500</v>
      </c>
      <c r="M2348">
        <v>599</v>
      </c>
    </row>
    <row r="2349" spans="1:13" ht="15">
      <c r="A2349" t="s">
        <v>3765</v>
      </c>
      <c r="B2349" s="1040" t="str">
        <f>CONCATENATE(LEFT(RIGHT(CONCATENATE("000",IFAData_TEA_1819!A2349),6),3),"-",(RIGHT(RIGHT(CONCATENATE("000",IFAData_TEA_1819!A2349),6),3)))</f>
        <v>240-901</v>
      </c>
      <c r="C2349" t="s">
        <v>2345</v>
      </c>
      <c r="D2349">
        <v>5</v>
      </c>
      <c r="E2349">
        <v>2011</v>
      </c>
      <c r="F2349" t="s">
        <v>5631</v>
      </c>
      <c r="G2349" t="s">
        <v>5634</v>
      </c>
      <c r="H2349">
        <v>5174604</v>
      </c>
      <c r="I2349">
        <v>50400</v>
      </c>
      <c r="J2349">
        <v>1.04129004266397E-2</v>
      </c>
      <c r="K2349">
        <v>53882.636199291301</v>
      </c>
      <c r="L2349">
        <v>50400</v>
      </c>
      <c r="M2349">
        <v>599</v>
      </c>
    </row>
    <row r="2350" spans="1:13" ht="15">
      <c r="A2350" t="s">
        <v>3765</v>
      </c>
      <c r="B2350" s="1040" t="str">
        <f>CONCATENATE(LEFT(RIGHT(CONCATENATE("000",IFAData_TEA_1819!A2350),6),3),"-",(RIGHT(RIGHT(CONCATENATE("000",IFAData_TEA_1819!A2350),6),3)))</f>
        <v>240-901</v>
      </c>
      <c r="C2350" t="s">
        <v>2345</v>
      </c>
      <c r="D2350">
        <v>5</v>
      </c>
      <c r="E2350">
        <v>2011</v>
      </c>
      <c r="F2350" t="s">
        <v>5631</v>
      </c>
      <c r="G2350" t="s">
        <v>6353</v>
      </c>
      <c r="H2350">
        <v>5174604</v>
      </c>
      <c r="I2350">
        <v>3967250</v>
      </c>
      <c r="J2350">
        <v>0.81965434955528205</v>
      </c>
      <c r="K2350">
        <v>4241386.6758261602</v>
      </c>
      <c r="L2350">
        <v>3967250</v>
      </c>
      <c r="M2350">
        <v>599</v>
      </c>
    </row>
    <row r="2351" spans="1:13" ht="15">
      <c r="A2351" t="s">
        <v>3765</v>
      </c>
      <c r="B2351" s="1040" t="str">
        <f>CONCATENATE(LEFT(RIGHT(CONCATENATE("000",IFAData_TEA_1819!A2351),6),3),"-",(RIGHT(RIGHT(CONCATENATE("000",IFAData_TEA_1819!A2351),6),3)))</f>
        <v>240-901</v>
      </c>
      <c r="C2351" t="s">
        <v>2345</v>
      </c>
      <c r="D2351">
        <v>7</v>
      </c>
      <c r="E2351">
        <v>2008</v>
      </c>
      <c r="F2351" t="s">
        <v>5635</v>
      </c>
      <c r="G2351" t="s">
        <v>5635</v>
      </c>
      <c r="H2351">
        <v>2084063</v>
      </c>
      <c r="I2351">
        <v>0</v>
      </c>
      <c r="J2351">
        <v>0</v>
      </c>
      <c r="K2351">
        <v>0</v>
      </c>
      <c r="L2351">
        <v>0</v>
      </c>
      <c r="M2351">
        <v>199</v>
      </c>
    </row>
    <row r="2352" spans="1:13" ht="15">
      <c r="A2352" t="s">
        <v>3765</v>
      </c>
      <c r="B2352" s="1040" t="str">
        <f>CONCATENATE(LEFT(RIGHT(CONCATENATE("000",IFAData_TEA_1819!A2352),6),3),"-",(RIGHT(RIGHT(CONCATENATE("000",IFAData_TEA_1819!A2352),6),3)))</f>
        <v>240-901</v>
      </c>
      <c r="C2352" t="s">
        <v>2345</v>
      </c>
      <c r="D2352">
        <v>7</v>
      </c>
      <c r="E2352">
        <v>2008</v>
      </c>
      <c r="F2352" t="s">
        <v>5635</v>
      </c>
      <c r="G2352" t="s">
        <v>5636</v>
      </c>
      <c r="H2352">
        <v>2084063</v>
      </c>
      <c r="I2352">
        <v>1730749</v>
      </c>
      <c r="J2352">
        <v>1</v>
      </c>
      <c r="K2352">
        <v>2084063</v>
      </c>
      <c r="L2352">
        <v>1730749</v>
      </c>
      <c r="M2352">
        <v>599</v>
      </c>
    </row>
    <row r="2353" spans="1:13" ht="15">
      <c r="A2353" t="s">
        <v>3765</v>
      </c>
      <c r="B2353" s="1040" t="str">
        <f>CONCATENATE(LEFT(RIGHT(CONCATENATE("000",IFAData_TEA_1819!A2353),6),3),"-",(RIGHT(RIGHT(CONCATENATE("000",IFAData_TEA_1819!A2353),6),3)))</f>
        <v>240-901</v>
      </c>
      <c r="C2353" t="s">
        <v>2345</v>
      </c>
      <c r="D2353">
        <v>7</v>
      </c>
      <c r="E2353">
        <v>2006</v>
      </c>
      <c r="F2353" t="s">
        <v>5637</v>
      </c>
      <c r="G2353" t="s">
        <v>5637</v>
      </c>
      <c r="H2353">
        <v>434993</v>
      </c>
      <c r="I2353">
        <v>0</v>
      </c>
      <c r="J2353">
        <v>0</v>
      </c>
      <c r="K2353">
        <v>0</v>
      </c>
      <c r="L2353">
        <v>0</v>
      </c>
      <c r="M2353">
        <v>199</v>
      </c>
    </row>
    <row r="2354" spans="1:13" ht="15">
      <c r="A2354" t="s">
        <v>3765</v>
      </c>
      <c r="B2354" s="1040" t="str">
        <f>CONCATENATE(LEFT(RIGHT(CONCATENATE("000",IFAData_TEA_1819!A2354),6),3),"-",(RIGHT(RIGHT(CONCATENATE("000",IFAData_TEA_1819!A2354),6),3)))</f>
        <v>240-901</v>
      </c>
      <c r="C2354" t="s">
        <v>2345</v>
      </c>
      <c r="D2354">
        <v>7</v>
      </c>
      <c r="E2354">
        <v>2006</v>
      </c>
      <c r="F2354" t="s">
        <v>5637</v>
      </c>
      <c r="G2354" t="s">
        <v>5636</v>
      </c>
      <c r="H2354">
        <v>434993</v>
      </c>
      <c r="I2354">
        <v>361480</v>
      </c>
      <c r="J2354">
        <v>1</v>
      </c>
      <c r="K2354">
        <v>434993</v>
      </c>
      <c r="L2354">
        <v>361480</v>
      </c>
      <c r="M2354">
        <v>599</v>
      </c>
    </row>
    <row r="2355" spans="1:13" ht="15">
      <c r="A2355" t="s">
        <v>3765</v>
      </c>
      <c r="B2355" s="1040" t="str">
        <f>CONCATENATE(LEFT(RIGHT(CONCATENATE("000",IFAData_TEA_1819!A2355),6),3),"-",(RIGHT(RIGHT(CONCATENATE("000",IFAData_TEA_1819!A2355),6),3)))</f>
        <v>240-901</v>
      </c>
      <c r="C2355" t="s">
        <v>2345</v>
      </c>
      <c r="D2355">
        <v>7</v>
      </c>
      <c r="E2355">
        <v>2007</v>
      </c>
      <c r="F2355" t="s">
        <v>5638</v>
      </c>
      <c r="G2355" t="s">
        <v>5638</v>
      </c>
      <c r="H2355">
        <v>1646500</v>
      </c>
      <c r="I2355">
        <v>0</v>
      </c>
      <c r="J2355">
        <v>0</v>
      </c>
      <c r="K2355">
        <v>0</v>
      </c>
      <c r="L2355">
        <v>0</v>
      </c>
      <c r="M2355">
        <v>199</v>
      </c>
    </row>
    <row r="2356" spans="1:13" ht="15">
      <c r="A2356" t="s">
        <v>3765</v>
      </c>
      <c r="B2356" s="1040" t="str">
        <f>CONCATENATE(LEFT(RIGHT(CONCATENATE("000",IFAData_TEA_1819!A2356),6),3),"-",(RIGHT(RIGHT(CONCATENATE("000",IFAData_TEA_1819!A2356),6),3)))</f>
        <v>240-901</v>
      </c>
      <c r="C2356" t="s">
        <v>2345</v>
      </c>
      <c r="D2356">
        <v>7</v>
      </c>
      <c r="E2356">
        <v>2007</v>
      </c>
      <c r="F2356" t="s">
        <v>5638</v>
      </c>
      <c r="G2356" t="s">
        <v>5636</v>
      </c>
      <c r="H2356">
        <v>1646500</v>
      </c>
      <c r="I2356">
        <v>1368704</v>
      </c>
      <c r="J2356">
        <v>1</v>
      </c>
      <c r="K2356">
        <v>1646500</v>
      </c>
      <c r="L2356">
        <v>1368704</v>
      </c>
      <c r="M2356">
        <v>599</v>
      </c>
    </row>
    <row r="2357" spans="1:13" ht="15">
      <c r="A2357" t="s">
        <v>3765</v>
      </c>
      <c r="B2357" s="1040" t="str">
        <f>CONCATENATE(LEFT(RIGHT(CONCATENATE("000",IFAData_TEA_1819!A2357),6),3),"-",(RIGHT(RIGHT(CONCATENATE("000",IFAData_TEA_1819!A2357),6),3)))</f>
        <v>240-901</v>
      </c>
      <c r="C2357" t="s">
        <v>2345</v>
      </c>
      <c r="D2357">
        <v>7</v>
      </c>
      <c r="E2357">
        <v>2004</v>
      </c>
      <c r="F2357" t="s">
        <v>5639</v>
      </c>
      <c r="G2357" t="s">
        <v>5639</v>
      </c>
      <c r="H2357">
        <v>158336</v>
      </c>
      <c r="I2357">
        <v>0</v>
      </c>
      <c r="J2357">
        <v>0</v>
      </c>
      <c r="K2357">
        <v>0</v>
      </c>
      <c r="L2357">
        <v>0</v>
      </c>
      <c r="M2357">
        <v>199</v>
      </c>
    </row>
    <row r="2358" spans="1:13" ht="15">
      <c r="A2358" t="s">
        <v>3765</v>
      </c>
      <c r="B2358" s="1040" t="str">
        <f>CONCATENATE(LEFT(RIGHT(CONCATENATE("000",IFAData_TEA_1819!A2358),6),3),"-",(RIGHT(RIGHT(CONCATENATE("000",IFAData_TEA_1819!A2358),6),3)))</f>
        <v>240-901</v>
      </c>
      <c r="C2358" t="s">
        <v>2345</v>
      </c>
      <c r="D2358">
        <v>7</v>
      </c>
      <c r="E2358">
        <v>2004</v>
      </c>
      <c r="F2358" t="s">
        <v>5639</v>
      </c>
      <c r="G2358" t="s">
        <v>5636</v>
      </c>
      <c r="H2358">
        <v>158336</v>
      </c>
      <c r="I2358">
        <v>126053</v>
      </c>
      <c r="J2358">
        <v>1</v>
      </c>
      <c r="K2358">
        <v>158336</v>
      </c>
      <c r="L2358">
        <v>126053</v>
      </c>
      <c r="M2358">
        <v>599</v>
      </c>
    </row>
    <row r="2359" spans="1:13" ht="15">
      <c r="A2359" t="s">
        <v>3765</v>
      </c>
      <c r="B2359" s="1040" t="str">
        <f>CONCATENATE(LEFT(RIGHT(CONCATENATE("000",IFAData_TEA_1819!A2359),6),3),"-",(RIGHT(RIGHT(CONCATENATE("000",IFAData_TEA_1819!A2359),6),3)))</f>
        <v>240-901</v>
      </c>
      <c r="C2359" t="s">
        <v>2345</v>
      </c>
      <c r="D2359">
        <v>7</v>
      </c>
      <c r="E2359">
        <v>2003</v>
      </c>
      <c r="F2359" t="s">
        <v>5640</v>
      </c>
      <c r="G2359" t="s">
        <v>5640</v>
      </c>
      <c r="H2359">
        <v>87600</v>
      </c>
      <c r="I2359">
        <v>0</v>
      </c>
      <c r="J2359">
        <v>0</v>
      </c>
      <c r="K2359">
        <v>0</v>
      </c>
      <c r="L2359">
        <v>0</v>
      </c>
      <c r="M2359">
        <v>199</v>
      </c>
    </row>
    <row r="2360" spans="1:13" ht="15">
      <c r="A2360" t="s">
        <v>3765</v>
      </c>
      <c r="B2360" s="1040" t="str">
        <f>CONCATENATE(LEFT(RIGHT(CONCATENATE("000",IFAData_TEA_1819!A2360),6),3),"-",(RIGHT(RIGHT(CONCATENATE("000",IFAData_TEA_1819!A2360),6),3)))</f>
        <v>240-901</v>
      </c>
      <c r="C2360" t="s">
        <v>2345</v>
      </c>
      <c r="D2360">
        <v>7</v>
      </c>
      <c r="E2360">
        <v>2003</v>
      </c>
      <c r="F2360" t="s">
        <v>5640</v>
      </c>
      <c r="G2360" t="s">
        <v>5636</v>
      </c>
      <c r="H2360">
        <v>87600</v>
      </c>
      <c r="I2360">
        <v>70849</v>
      </c>
      <c r="J2360">
        <v>1</v>
      </c>
      <c r="K2360">
        <v>87600</v>
      </c>
      <c r="L2360">
        <v>70849</v>
      </c>
      <c r="M2360">
        <v>599</v>
      </c>
    </row>
    <row r="2361" spans="1:13" ht="15">
      <c r="A2361" t="s">
        <v>3765</v>
      </c>
      <c r="B2361" s="1040" t="str">
        <f>CONCATENATE(LEFT(RIGHT(CONCATENATE("000",IFAData_TEA_1819!A2361),6),3),"-",(RIGHT(RIGHT(CONCATENATE("000",IFAData_TEA_1819!A2361),6),3)))</f>
        <v>240-901</v>
      </c>
      <c r="C2361" t="s">
        <v>2345</v>
      </c>
      <c r="D2361">
        <v>7</v>
      </c>
      <c r="E2361">
        <v>2005</v>
      </c>
      <c r="F2361" t="s">
        <v>5641</v>
      </c>
      <c r="G2361" t="s">
        <v>5641</v>
      </c>
      <c r="H2361">
        <v>325863</v>
      </c>
      <c r="I2361">
        <v>0</v>
      </c>
      <c r="J2361">
        <v>0</v>
      </c>
      <c r="K2361">
        <v>0</v>
      </c>
      <c r="L2361">
        <v>0</v>
      </c>
      <c r="M2361">
        <v>199</v>
      </c>
    </row>
    <row r="2362" spans="1:13" ht="15">
      <c r="A2362" t="s">
        <v>3765</v>
      </c>
      <c r="B2362" s="1040" t="str">
        <f>CONCATENATE(LEFT(RIGHT(CONCATENATE("000",IFAData_TEA_1819!A2362),6),3),"-",(RIGHT(RIGHT(CONCATENATE("000",IFAData_TEA_1819!A2362),6),3)))</f>
        <v>240-901</v>
      </c>
      <c r="C2362" t="s">
        <v>2345</v>
      </c>
      <c r="D2362">
        <v>7</v>
      </c>
      <c r="E2362">
        <v>2005</v>
      </c>
      <c r="F2362" t="s">
        <v>5641</v>
      </c>
      <c r="G2362" t="s">
        <v>5636</v>
      </c>
      <c r="H2362">
        <v>325863</v>
      </c>
      <c r="I2362">
        <v>266798</v>
      </c>
      <c r="J2362">
        <v>1</v>
      </c>
      <c r="K2362">
        <v>325863</v>
      </c>
      <c r="L2362">
        <v>266798</v>
      </c>
      <c r="M2362">
        <v>599</v>
      </c>
    </row>
    <row r="2363" spans="1:13" ht="15">
      <c r="A2363" t="s">
        <v>3765</v>
      </c>
      <c r="B2363" s="1040" t="str">
        <f>CONCATENATE(LEFT(RIGHT(CONCATENATE("000",IFAData_TEA_1819!A2363),6),3),"-",(RIGHT(RIGHT(CONCATENATE("000",IFAData_TEA_1819!A2363),6),3)))</f>
        <v>240-901</v>
      </c>
      <c r="C2363" t="s">
        <v>2345</v>
      </c>
      <c r="D2363">
        <v>8</v>
      </c>
      <c r="E2363">
        <v>2009</v>
      </c>
      <c r="F2363" t="s">
        <v>5642</v>
      </c>
      <c r="G2363" t="s">
        <v>5642</v>
      </c>
      <c r="H2363">
        <v>4074803</v>
      </c>
      <c r="I2363">
        <v>0</v>
      </c>
      <c r="J2363">
        <v>0</v>
      </c>
      <c r="K2363">
        <v>0</v>
      </c>
      <c r="L2363">
        <v>0</v>
      </c>
      <c r="M2363">
        <v>599</v>
      </c>
    </row>
    <row r="2364" spans="1:13" ht="15">
      <c r="A2364" t="s">
        <v>3765</v>
      </c>
      <c r="B2364" s="1040" t="str">
        <f>CONCATENATE(LEFT(RIGHT(CONCATENATE("000",IFAData_TEA_1819!A2364),6),3),"-",(RIGHT(RIGHT(CONCATENATE("000",IFAData_TEA_1819!A2364),6),3)))</f>
        <v>240-901</v>
      </c>
      <c r="C2364" t="s">
        <v>2345</v>
      </c>
      <c r="D2364">
        <v>8</v>
      </c>
      <c r="E2364">
        <v>2009</v>
      </c>
      <c r="F2364" t="s">
        <v>5642</v>
      </c>
      <c r="G2364" t="s">
        <v>6353</v>
      </c>
      <c r="H2364">
        <v>4074803</v>
      </c>
      <c r="I2364">
        <v>3959250</v>
      </c>
      <c r="J2364">
        <v>1</v>
      </c>
      <c r="K2364">
        <v>4074803</v>
      </c>
      <c r="L2364">
        <v>3959250</v>
      </c>
      <c r="M2364">
        <v>599</v>
      </c>
    </row>
    <row r="2365" spans="1:13" ht="15">
      <c r="A2365" t="s">
        <v>3766</v>
      </c>
      <c r="B2365" s="1040" t="str">
        <f>CONCATENATE(LEFT(RIGHT(CONCATENATE("000",IFAData_TEA_1819!A2365),6),3),"-",(RIGHT(RIGHT(CONCATENATE("000",IFAData_TEA_1819!A2365),6),3)))</f>
        <v>240-903</v>
      </c>
      <c r="C2365" t="s">
        <v>2362</v>
      </c>
      <c r="D2365">
        <v>3</v>
      </c>
      <c r="E2365">
        <v>2405</v>
      </c>
      <c r="F2365" t="s">
        <v>5643</v>
      </c>
      <c r="G2365" t="s">
        <v>5643</v>
      </c>
      <c r="H2365">
        <v>986173</v>
      </c>
      <c r="I2365">
        <v>2801001</v>
      </c>
      <c r="J2365">
        <v>0.87702904871971299</v>
      </c>
      <c r="K2365">
        <v>864902.36806306604</v>
      </c>
      <c r="L2365">
        <v>864902.36806306604</v>
      </c>
      <c r="M2365">
        <v>599</v>
      </c>
    </row>
    <row r="2366" spans="1:13" ht="15">
      <c r="A2366" t="s">
        <v>3766</v>
      </c>
      <c r="B2366" s="1040" t="str">
        <f>CONCATENATE(LEFT(RIGHT(CONCATENATE("000",IFAData_TEA_1819!A2366),6),3),"-",(RIGHT(RIGHT(CONCATENATE("000",IFAData_TEA_1819!A2366),6),3)))</f>
        <v>240-903</v>
      </c>
      <c r="C2366" t="s">
        <v>2362</v>
      </c>
      <c r="D2366">
        <v>3</v>
      </c>
      <c r="E2366">
        <v>2405</v>
      </c>
      <c r="F2366" t="s">
        <v>5643</v>
      </c>
      <c r="G2366" t="s">
        <v>5644</v>
      </c>
      <c r="H2366">
        <v>986173</v>
      </c>
      <c r="I2366">
        <v>0</v>
      </c>
      <c r="J2366">
        <v>0</v>
      </c>
      <c r="K2366">
        <v>0</v>
      </c>
      <c r="L2366">
        <v>0</v>
      </c>
      <c r="M2366">
        <v>599</v>
      </c>
    </row>
    <row r="2367" spans="1:13" ht="15">
      <c r="A2367" t="s">
        <v>3766</v>
      </c>
      <c r="B2367" s="1040" t="str">
        <f>CONCATENATE(LEFT(RIGHT(CONCATENATE("000",IFAData_TEA_1819!A2367),6),3),"-",(RIGHT(RIGHT(CONCATENATE("000",IFAData_TEA_1819!A2367),6),3)))</f>
        <v>240-903</v>
      </c>
      <c r="C2367" t="s">
        <v>2362</v>
      </c>
      <c r="D2367">
        <v>3</v>
      </c>
      <c r="E2367">
        <v>2405</v>
      </c>
      <c r="F2367" t="s">
        <v>5643</v>
      </c>
      <c r="G2367" t="s">
        <v>5645</v>
      </c>
      <c r="H2367">
        <v>986173</v>
      </c>
      <c r="I2367">
        <v>0</v>
      </c>
      <c r="J2367">
        <v>0</v>
      </c>
      <c r="K2367">
        <v>0</v>
      </c>
      <c r="L2367">
        <v>0</v>
      </c>
      <c r="M2367">
        <v>599</v>
      </c>
    </row>
    <row r="2368" spans="1:13" ht="15">
      <c r="A2368" t="s">
        <v>3766</v>
      </c>
      <c r="B2368" s="1040" t="str">
        <f>CONCATENATE(LEFT(RIGHT(CONCATENATE("000",IFAData_TEA_1819!A2368),6),3),"-",(RIGHT(RIGHT(CONCATENATE("000",IFAData_TEA_1819!A2368),6),3)))</f>
        <v>240-903</v>
      </c>
      <c r="C2368" t="s">
        <v>2362</v>
      </c>
      <c r="D2368">
        <v>3</v>
      </c>
      <c r="E2368">
        <v>2405</v>
      </c>
      <c r="F2368" t="s">
        <v>5643</v>
      </c>
      <c r="G2368" t="s">
        <v>6354</v>
      </c>
      <c r="H2368">
        <v>986173</v>
      </c>
      <c r="I2368">
        <v>392737</v>
      </c>
      <c r="J2368">
        <v>0.122970951280287</v>
      </c>
      <c r="K2368">
        <v>121270.63193693401</v>
      </c>
      <c r="L2368">
        <v>121270.63193693401</v>
      </c>
      <c r="M2368">
        <v>599</v>
      </c>
    </row>
    <row r="2369" spans="1:13" ht="15">
      <c r="A2369" t="s">
        <v>3766</v>
      </c>
      <c r="B2369" s="1040" t="str">
        <f>CONCATENATE(LEFT(RIGHT(CONCATENATE("000",IFAData_TEA_1819!A2369),6),3),"-",(RIGHT(RIGHT(CONCATENATE("000",IFAData_TEA_1819!A2369),6),3)))</f>
        <v>240-903</v>
      </c>
      <c r="C2369" t="s">
        <v>2362</v>
      </c>
      <c r="D2369">
        <v>3</v>
      </c>
      <c r="E2369">
        <v>2407</v>
      </c>
      <c r="F2369" t="s">
        <v>5646</v>
      </c>
      <c r="G2369" t="s">
        <v>5646</v>
      </c>
      <c r="H2369">
        <v>1098957</v>
      </c>
      <c r="I2369">
        <v>0</v>
      </c>
      <c r="J2369">
        <v>0</v>
      </c>
      <c r="K2369">
        <v>0</v>
      </c>
      <c r="L2369">
        <v>0</v>
      </c>
      <c r="M2369">
        <v>599</v>
      </c>
    </row>
    <row r="2370" spans="1:13" ht="15">
      <c r="A2370" t="s">
        <v>3766</v>
      </c>
      <c r="B2370" s="1040" t="str">
        <f>CONCATENATE(LEFT(RIGHT(CONCATENATE("000",IFAData_TEA_1819!A2370),6),3),"-",(RIGHT(RIGHT(CONCATENATE("000",IFAData_TEA_1819!A2370),6),3)))</f>
        <v>240-903</v>
      </c>
      <c r="C2370" t="s">
        <v>2362</v>
      </c>
      <c r="D2370">
        <v>3</v>
      </c>
      <c r="E2370">
        <v>2407</v>
      </c>
      <c r="F2370" t="s">
        <v>5646</v>
      </c>
      <c r="G2370" t="s">
        <v>5644</v>
      </c>
      <c r="H2370">
        <v>1098957</v>
      </c>
      <c r="I2370">
        <v>0</v>
      </c>
      <c r="J2370">
        <v>0</v>
      </c>
      <c r="K2370">
        <v>0</v>
      </c>
      <c r="L2370">
        <v>0</v>
      </c>
      <c r="M2370">
        <v>599</v>
      </c>
    </row>
    <row r="2371" spans="1:13" ht="15">
      <c r="A2371" t="s">
        <v>3766</v>
      </c>
      <c r="B2371" s="1040" t="str">
        <f>CONCATENATE(LEFT(RIGHT(CONCATENATE("000",IFAData_TEA_1819!A2371),6),3),"-",(RIGHT(RIGHT(CONCATENATE("000",IFAData_TEA_1819!A2371),6),3)))</f>
        <v>240-903</v>
      </c>
      <c r="C2371" t="s">
        <v>2362</v>
      </c>
      <c r="D2371">
        <v>3</v>
      </c>
      <c r="E2371">
        <v>2407</v>
      </c>
      <c r="F2371" t="s">
        <v>5646</v>
      </c>
      <c r="G2371" t="s">
        <v>6354</v>
      </c>
      <c r="H2371">
        <v>1098957</v>
      </c>
      <c r="I2371">
        <v>1915676</v>
      </c>
      <c r="J2371">
        <v>1</v>
      </c>
      <c r="K2371">
        <v>1098957</v>
      </c>
      <c r="L2371">
        <v>1098957</v>
      </c>
      <c r="M2371">
        <v>599</v>
      </c>
    </row>
    <row r="2372" spans="1:13" ht="15">
      <c r="A2372" t="s">
        <v>3766</v>
      </c>
      <c r="B2372" s="1040" t="str">
        <f>CONCATENATE(LEFT(RIGHT(CONCATENATE("000",IFAData_TEA_1819!A2372),6),3),"-",(RIGHT(RIGHT(CONCATENATE("000",IFAData_TEA_1819!A2372),6),3)))</f>
        <v>240-903</v>
      </c>
      <c r="C2372" t="s">
        <v>2362</v>
      </c>
      <c r="D2372">
        <v>5</v>
      </c>
      <c r="E2372">
        <v>2404</v>
      </c>
      <c r="F2372" t="s">
        <v>5647</v>
      </c>
      <c r="G2372" t="s">
        <v>5647</v>
      </c>
      <c r="H2372">
        <v>827517</v>
      </c>
      <c r="I2372">
        <v>0</v>
      </c>
      <c r="J2372">
        <v>0</v>
      </c>
      <c r="K2372">
        <v>0</v>
      </c>
      <c r="L2372">
        <v>0</v>
      </c>
      <c r="M2372">
        <v>599</v>
      </c>
    </row>
    <row r="2373" spans="1:13" ht="15">
      <c r="A2373" t="s">
        <v>3766</v>
      </c>
      <c r="B2373" s="1040" t="str">
        <f>CONCATENATE(LEFT(RIGHT(CONCATENATE("000",IFAData_TEA_1819!A2373),6),3),"-",(RIGHT(RIGHT(CONCATENATE("000",IFAData_TEA_1819!A2373),6),3)))</f>
        <v>240-903</v>
      </c>
      <c r="C2373" t="s">
        <v>2362</v>
      </c>
      <c r="D2373">
        <v>5</v>
      </c>
      <c r="E2373">
        <v>2404</v>
      </c>
      <c r="F2373" t="s">
        <v>5647</v>
      </c>
      <c r="G2373" t="s">
        <v>5644</v>
      </c>
      <c r="H2373">
        <v>827517</v>
      </c>
      <c r="I2373">
        <v>0</v>
      </c>
      <c r="J2373">
        <v>0</v>
      </c>
      <c r="K2373">
        <v>0</v>
      </c>
      <c r="L2373">
        <v>0</v>
      </c>
      <c r="M2373">
        <v>599</v>
      </c>
    </row>
    <row r="2374" spans="1:13" ht="15">
      <c r="A2374" t="s">
        <v>3766</v>
      </c>
      <c r="B2374" s="1040" t="str">
        <f>CONCATENATE(LEFT(RIGHT(CONCATENATE("000",IFAData_TEA_1819!A2374),6),3),"-",(RIGHT(RIGHT(CONCATENATE("000",IFAData_TEA_1819!A2374),6),3)))</f>
        <v>240-903</v>
      </c>
      <c r="C2374" t="s">
        <v>2362</v>
      </c>
      <c r="D2374">
        <v>5</v>
      </c>
      <c r="E2374">
        <v>2404</v>
      </c>
      <c r="F2374" t="s">
        <v>5647</v>
      </c>
      <c r="G2374" t="s">
        <v>5648</v>
      </c>
      <c r="H2374">
        <v>827517</v>
      </c>
      <c r="I2374">
        <v>56612</v>
      </c>
      <c r="J2374">
        <v>5.1268954624819799E-2</v>
      </c>
      <c r="K2374">
        <v>42425.931524266998</v>
      </c>
      <c r="L2374">
        <v>42425.931524266998</v>
      </c>
      <c r="M2374">
        <v>599</v>
      </c>
    </row>
    <row r="2375" spans="1:13" ht="15">
      <c r="A2375" t="s">
        <v>3766</v>
      </c>
      <c r="B2375" s="1040" t="str">
        <f>CONCATENATE(LEFT(RIGHT(CONCATENATE("000",IFAData_TEA_1819!A2375),6),3),"-",(RIGHT(RIGHT(CONCATENATE("000",IFAData_TEA_1819!A2375),6),3)))</f>
        <v>240-903</v>
      </c>
      <c r="C2375" t="s">
        <v>2362</v>
      </c>
      <c r="D2375">
        <v>5</v>
      </c>
      <c r="E2375">
        <v>2404</v>
      </c>
      <c r="F2375" t="s">
        <v>5647</v>
      </c>
      <c r="G2375" t="s">
        <v>5649</v>
      </c>
      <c r="H2375">
        <v>827517</v>
      </c>
      <c r="I2375">
        <v>220097</v>
      </c>
      <c r="J2375">
        <v>0.19932422641946901</v>
      </c>
      <c r="K2375">
        <v>164944.18587395901</v>
      </c>
      <c r="L2375">
        <v>164944.18587395901</v>
      </c>
      <c r="M2375">
        <v>599</v>
      </c>
    </row>
    <row r="2376" spans="1:13" ht="15">
      <c r="A2376" t="s">
        <v>3766</v>
      </c>
      <c r="B2376" s="1040" t="str">
        <f>CONCATENATE(LEFT(RIGHT(CONCATENATE("000",IFAData_TEA_1819!A2376),6),3),"-",(RIGHT(RIGHT(CONCATENATE("000",IFAData_TEA_1819!A2376),6),3)))</f>
        <v>240-903</v>
      </c>
      <c r="C2376" t="s">
        <v>2362</v>
      </c>
      <c r="D2376">
        <v>5</v>
      </c>
      <c r="E2376">
        <v>2404</v>
      </c>
      <c r="F2376" t="s">
        <v>5647</v>
      </c>
      <c r="G2376" t="s">
        <v>6354</v>
      </c>
      <c r="H2376">
        <v>827517</v>
      </c>
      <c r="I2376">
        <v>719185</v>
      </c>
      <c r="J2376">
        <v>0.65130825852912799</v>
      </c>
      <c r="K2376">
        <v>538968.65617324901</v>
      </c>
      <c r="L2376">
        <v>538968.65617324901</v>
      </c>
      <c r="M2376">
        <v>599</v>
      </c>
    </row>
    <row r="2377" spans="1:13" ht="15">
      <c r="A2377" t="s">
        <v>3766</v>
      </c>
      <c r="B2377" s="1040" t="str">
        <f>CONCATENATE(LEFT(RIGHT(CONCATENATE("000",IFAData_TEA_1819!A2377),6),3),"-",(RIGHT(RIGHT(CONCATENATE("000",IFAData_TEA_1819!A2377),6),3)))</f>
        <v>240-903</v>
      </c>
      <c r="C2377" t="s">
        <v>2362</v>
      </c>
      <c r="D2377">
        <v>5</v>
      </c>
      <c r="E2377">
        <v>2404</v>
      </c>
      <c r="F2377" t="s">
        <v>5647</v>
      </c>
      <c r="G2377" t="s">
        <v>8518</v>
      </c>
      <c r="H2377">
        <v>827517</v>
      </c>
      <c r="I2377">
        <v>108322</v>
      </c>
      <c r="J2377">
        <v>9.8098560426583201E-2</v>
      </c>
      <c r="K2377">
        <v>81178.226428524897</v>
      </c>
      <c r="L2377">
        <v>81178.226428524897</v>
      </c>
      <c r="M2377">
        <v>599</v>
      </c>
    </row>
    <row r="2378" spans="1:13" ht="15">
      <c r="A2378" t="s">
        <v>3766</v>
      </c>
      <c r="B2378" s="1040" t="str">
        <f>CONCATENATE(LEFT(RIGHT(CONCATENATE("000",IFAData_TEA_1819!A2378),6),3),"-",(RIGHT(RIGHT(CONCATENATE("000",IFAData_TEA_1819!A2378),6),3)))</f>
        <v>240-903</v>
      </c>
      <c r="C2378" t="s">
        <v>2362</v>
      </c>
      <c r="D2378">
        <v>5</v>
      </c>
      <c r="E2378">
        <v>2406</v>
      </c>
      <c r="F2378" t="s">
        <v>5650</v>
      </c>
      <c r="G2378" t="s">
        <v>5650</v>
      </c>
      <c r="H2378">
        <v>1047970</v>
      </c>
      <c r="I2378">
        <v>0</v>
      </c>
      <c r="J2378">
        <v>0</v>
      </c>
      <c r="K2378">
        <v>0</v>
      </c>
      <c r="L2378">
        <v>0</v>
      </c>
      <c r="M2378">
        <v>599</v>
      </c>
    </row>
    <row r="2379" spans="1:13" ht="15">
      <c r="A2379" t="s">
        <v>3766</v>
      </c>
      <c r="B2379" s="1040" t="str">
        <f>CONCATENATE(LEFT(RIGHT(CONCATENATE("000",IFAData_TEA_1819!A2379),6),3),"-",(RIGHT(RIGHT(CONCATENATE("000",IFAData_TEA_1819!A2379),6),3)))</f>
        <v>240-903</v>
      </c>
      <c r="C2379" t="s">
        <v>2362</v>
      </c>
      <c r="D2379">
        <v>5</v>
      </c>
      <c r="E2379">
        <v>2406</v>
      </c>
      <c r="F2379" t="s">
        <v>5650</v>
      </c>
      <c r="G2379" t="s">
        <v>5649</v>
      </c>
      <c r="H2379">
        <v>1047970</v>
      </c>
      <c r="I2379">
        <v>1452531</v>
      </c>
      <c r="J2379">
        <v>1</v>
      </c>
      <c r="K2379">
        <v>1047970</v>
      </c>
      <c r="L2379">
        <v>1047970</v>
      </c>
      <c r="M2379">
        <v>599</v>
      </c>
    </row>
    <row r="2380" spans="1:13" ht="15">
      <c r="A2380" t="s">
        <v>3766</v>
      </c>
      <c r="B2380" s="1040" t="str">
        <f>CONCATENATE(LEFT(RIGHT(CONCATENATE("000",IFAData_TEA_1819!A2380),6),3),"-",(RIGHT(RIGHT(CONCATENATE("000",IFAData_TEA_1819!A2380),6),3)))</f>
        <v>240-903</v>
      </c>
      <c r="C2380" t="s">
        <v>2362</v>
      </c>
      <c r="D2380">
        <v>5</v>
      </c>
      <c r="E2380">
        <v>2406</v>
      </c>
      <c r="F2380" t="s">
        <v>5650</v>
      </c>
      <c r="G2380" t="s">
        <v>5651</v>
      </c>
      <c r="H2380">
        <v>1047970</v>
      </c>
      <c r="I2380">
        <v>0</v>
      </c>
      <c r="J2380">
        <v>0</v>
      </c>
      <c r="K2380">
        <v>0</v>
      </c>
      <c r="L2380">
        <v>0</v>
      </c>
      <c r="M2380">
        <v>599</v>
      </c>
    </row>
    <row r="2381" spans="1:13" ht="15">
      <c r="A2381" t="s">
        <v>3767</v>
      </c>
      <c r="B2381" s="1040" t="str">
        <f>CONCATENATE(LEFT(RIGHT(CONCATENATE("000",IFAData_TEA_1819!A2381),6),3),"-",(RIGHT(RIGHT(CONCATENATE("000",IFAData_TEA_1819!A2381),6),3)))</f>
        <v>243-901</v>
      </c>
      <c r="C2381" t="s">
        <v>1448</v>
      </c>
      <c r="D2381">
        <v>2</v>
      </c>
      <c r="E2381">
        <v>1652</v>
      </c>
      <c r="F2381" t="s">
        <v>5652</v>
      </c>
      <c r="G2381" t="s">
        <v>5652</v>
      </c>
      <c r="H2381">
        <v>871498</v>
      </c>
      <c r="I2381">
        <v>0</v>
      </c>
      <c r="J2381">
        <v>0</v>
      </c>
      <c r="K2381"/>
      <c r="L2381">
        <v>0</v>
      </c>
      <c r="M2381">
        <v>599</v>
      </c>
    </row>
    <row r="2382" spans="1:13" ht="15">
      <c r="A2382" t="s">
        <v>3767</v>
      </c>
      <c r="B2382" s="1040" t="str">
        <f>CONCATENATE(LEFT(RIGHT(CONCATENATE("000",IFAData_TEA_1819!A2382),6),3),"-",(RIGHT(RIGHT(CONCATENATE("000",IFAData_TEA_1819!A2382),6),3)))</f>
        <v>243-901</v>
      </c>
      <c r="C2382" t="s">
        <v>1448</v>
      </c>
      <c r="D2382">
        <v>11</v>
      </c>
      <c r="E2382">
        <v>2517</v>
      </c>
      <c r="F2382" t="s">
        <v>8519</v>
      </c>
      <c r="G2382" t="s">
        <v>8519</v>
      </c>
      <c r="H2382">
        <v>752432</v>
      </c>
      <c r="I2382">
        <v>3022777</v>
      </c>
      <c r="J2382">
        <v>1</v>
      </c>
      <c r="K2382">
        <v>752432</v>
      </c>
      <c r="L2382">
        <v>752432</v>
      </c>
      <c r="M2382">
        <v>599</v>
      </c>
    </row>
    <row r="2383" spans="1:13" ht="15">
      <c r="A2383" t="s">
        <v>6140</v>
      </c>
      <c r="B2383" s="1040" t="str">
        <f>CONCATENATE(LEFT(RIGHT(CONCATENATE("000",IFAData_TEA_1819!A2383),6),3),"-",(RIGHT(RIGHT(CONCATENATE("000",IFAData_TEA_1819!A2383),6),3)))</f>
        <v>243-903</v>
      </c>
      <c r="C2383" t="s">
        <v>2338</v>
      </c>
      <c r="D2383">
        <v>11</v>
      </c>
      <c r="E2383">
        <v>2591</v>
      </c>
      <c r="F2383" t="s">
        <v>8520</v>
      </c>
      <c r="G2383" t="s">
        <v>8520</v>
      </c>
      <c r="H2383">
        <v>204122</v>
      </c>
      <c r="I2383">
        <v>204019</v>
      </c>
      <c r="J2383">
        <v>1</v>
      </c>
      <c r="K2383">
        <v>204122</v>
      </c>
      <c r="L2383">
        <v>204019</v>
      </c>
      <c r="M2383">
        <v>599</v>
      </c>
    </row>
    <row r="2384" spans="1:13" ht="15">
      <c r="A2384" t="s">
        <v>3768</v>
      </c>
      <c r="B2384" s="1040" t="str">
        <f>CONCATENATE(LEFT(RIGHT(CONCATENATE("000",IFAData_TEA_1819!A2384),6),3),"-",(RIGHT(RIGHT(CONCATENATE("000",IFAData_TEA_1819!A2384),6),3)))</f>
        <v>243-905</v>
      </c>
      <c r="C2384" t="s">
        <v>1609</v>
      </c>
      <c r="D2384">
        <v>9</v>
      </c>
      <c r="E2384">
        <v>2453</v>
      </c>
      <c r="F2384" t="s">
        <v>5655</v>
      </c>
      <c r="G2384" t="s">
        <v>5655</v>
      </c>
      <c r="H2384">
        <v>3370543</v>
      </c>
      <c r="I2384">
        <v>0</v>
      </c>
      <c r="J2384">
        <v>0</v>
      </c>
      <c r="K2384">
        <v>0</v>
      </c>
      <c r="L2384">
        <v>0</v>
      </c>
      <c r="M2384">
        <v>599</v>
      </c>
    </row>
    <row r="2385" spans="1:13" ht="15">
      <c r="A2385" t="s">
        <v>3768</v>
      </c>
      <c r="B2385" s="1040" t="str">
        <f>CONCATENATE(LEFT(RIGHT(CONCATENATE("000",IFAData_TEA_1819!A2385),6),3),"-",(RIGHT(RIGHT(CONCATENATE("000",IFAData_TEA_1819!A2385),6),3)))</f>
        <v>243-905</v>
      </c>
      <c r="C2385" t="s">
        <v>1609</v>
      </c>
      <c r="D2385">
        <v>9</v>
      </c>
      <c r="E2385">
        <v>2453</v>
      </c>
      <c r="F2385" t="s">
        <v>5655</v>
      </c>
      <c r="G2385" t="s">
        <v>6355</v>
      </c>
      <c r="H2385">
        <v>3370543</v>
      </c>
      <c r="I2385">
        <v>4320300</v>
      </c>
      <c r="J2385">
        <v>1</v>
      </c>
      <c r="K2385">
        <v>3370543</v>
      </c>
      <c r="L2385">
        <v>3370543</v>
      </c>
      <c r="M2385">
        <v>599</v>
      </c>
    </row>
    <row r="2386" spans="1:13" ht="15">
      <c r="A2386" t="s">
        <v>3769</v>
      </c>
      <c r="B2386" s="1040" t="str">
        <f>CONCATENATE(LEFT(RIGHT(CONCATENATE("000",IFAData_TEA_1819!A2386),6),3),"-",(RIGHT(RIGHT(CONCATENATE("000",IFAData_TEA_1819!A2386),6),3)))</f>
        <v>243-906</v>
      </c>
      <c r="C2386" t="s">
        <v>1162</v>
      </c>
      <c r="D2386">
        <v>5</v>
      </c>
      <c r="E2386">
        <v>1693</v>
      </c>
      <c r="F2386" t="s">
        <v>5656</v>
      </c>
      <c r="G2386" t="s">
        <v>5656</v>
      </c>
      <c r="H2386">
        <v>347638</v>
      </c>
      <c r="I2386">
        <v>646697</v>
      </c>
      <c r="J2386">
        <v>1</v>
      </c>
      <c r="K2386">
        <v>347638</v>
      </c>
      <c r="L2386">
        <v>347638</v>
      </c>
      <c r="M2386">
        <v>599</v>
      </c>
    </row>
    <row r="2387" spans="1:13" ht="15">
      <c r="A2387" t="s">
        <v>3770</v>
      </c>
      <c r="B2387" s="1040" t="str">
        <f>CONCATENATE(LEFT(RIGHT(CONCATENATE("000",IFAData_TEA_1819!A2387),6),3),"-",(RIGHT(RIGHT(CONCATENATE("000",IFAData_TEA_1819!A2387),6),3)))</f>
        <v>244-905</v>
      </c>
      <c r="C2387" t="s">
        <v>2289</v>
      </c>
      <c r="D2387">
        <v>8</v>
      </c>
      <c r="E2387">
        <v>2151</v>
      </c>
      <c r="F2387" t="s">
        <v>5657</v>
      </c>
      <c r="G2387" t="s">
        <v>5657</v>
      </c>
      <c r="H2387">
        <v>100000</v>
      </c>
      <c r="I2387">
        <v>129061</v>
      </c>
      <c r="J2387">
        <v>1</v>
      </c>
      <c r="K2387">
        <v>100000</v>
      </c>
      <c r="L2387">
        <v>100000</v>
      </c>
      <c r="M2387">
        <v>599</v>
      </c>
    </row>
    <row r="2388" spans="1:13" ht="15">
      <c r="A2388" t="s">
        <v>3771</v>
      </c>
      <c r="B2388" s="1040" t="str">
        <f>CONCATENATE(LEFT(RIGHT(CONCATENATE("000",IFAData_TEA_1819!A2388),6),3),"-",(RIGHT(RIGHT(CONCATENATE("000",IFAData_TEA_1819!A2388),6),3)))</f>
        <v>245-901</v>
      </c>
      <c r="C2388" t="s">
        <v>2346</v>
      </c>
      <c r="D2388">
        <v>4</v>
      </c>
      <c r="E2388">
        <v>2013</v>
      </c>
      <c r="F2388" t="s">
        <v>5658</v>
      </c>
      <c r="G2388" t="s">
        <v>5658</v>
      </c>
      <c r="H2388">
        <v>98474</v>
      </c>
      <c r="I2388">
        <v>0</v>
      </c>
      <c r="J2388">
        <v>0</v>
      </c>
      <c r="K2388">
        <v>0</v>
      </c>
      <c r="L2388">
        <v>0</v>
      </c>
      <c r="M2388">
        <v>599</v>
      </c>
    </row>
    <row r="2389" spans="1:13" ht="15">
      <c r="A2389" t="s">
        <v>3771</v>
      </c>
      <c r="B2389" s="1040" t="str">
        <f>CONCATENATE(LEFT(RIGHT(CONCATENATE("000",IFAData_TEA_1819!A2389),6),3),"-",(RIGHT(RIGHT(CONCATENATE("000",IFAData_TEA_1819!A2389),6),3)))</f>
        <v>245-901</v>
      </c>
      <c r="C2389" t="s">
        <v>2346</v>
      </c>
      <c r="D2389">
        <v>4</v>
      </c>
      <c r="E2389">
        <v>2013</v>
      </c>
      <c r="F2389" t="s">
        <v>5658</v>
      </c>
      <c r="G2389" t="s">
        <v>5659</v>
      </c>
      <c r="H2389">
        <v>98474</v>
      </c>
      <c r="I2389">
        <v>77124</v>
      </c>
      <c r="J2389">
        <v>1</v>
      </c>
      <c r="K2389">
        <v>98474</v>
      </c>
      <c r="L2389">
        <v>77124</v>
      </c>
      <c r="M2389">
        <v>599</v>
      </c>
    </row>
    <row r="2390" spans="1:13" ht="15">
      <c r="A2390" t="s">
        <v>3771</v>
      </c>
      <c r="B2390" s="1040" t="str">
        <f>CONCATENATE(LEFT(RIGHT(CONCATENATE("000",IFAData_TEA_1819!A2390),6),3),"-",(RIGHT(RIGHT(CONCATENATE("000",IFAData_TEA_1819!A2390),6),3)))</f>
        <v>245-901</v>
      </c>
      <c r="C2390" t="s">
        <v>2346</v>
      </c>
      <c r="D2390">
        <v>5</v>
      </c>
      <c r="E2390">
        <v>2012</v>
      </c>
      <c r="F2390" t="s">
        <v>5660</v>
      </c>
      <c r="G2390" t="s">
        <v>5660</v>
      </c>
      <c r="H2390">
        <v>92936</v>
      </c>
      <c r="I2390">
        <v>0</v>
      </c>
      <c r="J2390">
        <v>0</v>
      </c>
      <c r="K2390">
        <v>0</v>
      </c>
      <c r="L2390">
        <v>0</v>
      </c>
      <c r="M2390">
        <v>599</v>
      </c>
    </row>
    <row r="2391" spans="1:13" ht="15">
      <c r="A2391" t="s">
        <v>3771</v>
      </c>
      <c r="B2391" s="1040" t="str">
        <f>CONCATENATE(LEFT(RIGHT(CONCATENATE("000",IFAData_TEA_1819!A2391),6),3),"-",(RIGHT(RIGHT(CONCATENATE("000",IFAData_TEA_1819!A2391),6),3)))</f>
        <v>245-901</v>
      </c>
      <c r="C2391" t="s">
        <v>2346</v>
      </c>
      <c r="D2391">
        <v>5</v>
      </c>
      <c r="E2391">
        <v>2012</v>
      </c>
      <c r="F2391" t="s">
        <v>5660</v>
      </c>
      <c r="G2391" t="s">
        <v>5659</v>
      </c>
      <c r="H2391">
        <v>92936</v>
      </c>
      <c r="I2391">
        <v>82401</v>
      </c>
      <c r="J2391">
        <v>1</v>
      </c>
      <c r="K2391">
        <v>92936</v>
      </c>
      <c r="L2391">
        <v>82401</v>
      </c>
      <c r="M2391">
        <v>599</v>
      </c>
    </row>
    <row r="2392" spans="1:13" ht="15">
      <c r="A2392" t="s">
        <v>3771</v>
      </c>
      <c r="B2392" s="1040" t="str">
        <f>CONCATENATE(LEFT(RIGHT(CONCATENATE("000",IFAData_TEA_1819!A2392),6),3),"-",(RIGHT(RIGHT(CONCATENATE("000",IFAData_TEA_1819!A2392),6),3)))</f>
        <v>245-901</v>
      </c>
      <c r="C2392" t="s">
        <v>2346</v>
      </c>
      <c r="D2392">
        <v>8</v>
      </c>
      <c r="E2392">
        <v>2014</v>
      </c>
      <c r="F2392" t="s">
        <v>5661</v>
      </c>
      <c r="G2392" t="s">
        <v>5661</v>
      </c>
      <c r="H2392">
        <v>98876</v>
      </c>
      <c r="I2392">
        <v>0</v>
      </c>
      <c r="J2392">
        <v>0</v>
      </c>
      <c r="K2392">
        <v>0</v>
      </c>
      <c r="L2392">
        <v>0</v>
      </c>
      <c r="M2392">
        <v>599</v>
      </c>
    </row>
    <row r="2393" spans="1:13" ht="15">
      <c r="A2393" t="s">
        <v>3771</v>
      </c>
      <c r="B2393" s="1040" t="str">
        <f>CONCATENATE(LEFT(RIGHT(CONCATENATE("000",IFAData_TEA_1819!A2393),6),3),"-",(RIGHT(RIGHT(CONCATENATE("000",IFAData_TEA_1819!A2393),6),3)))</f>
        <v>245-901</v>
      </c>
      <c r="C2393" t="s">
        <v>2346</v>
      </c>
      <c r="D2393">
        <v>8</v>
      </c>
      <c r="E2393">
        <v>2014</v>
      </c>
      <c r="F2393" t="s">
        <v>5661</v>
      </c>
      <c r="G2393" t="s">
        <v>6556</v>
      </c>
      <c r="H2393">
        <v>98876</v>
      </c>
      <c r="I2393">
        <v>88750</v>
      </c>
      <c r="J2393">
        <v>1</v>
      </c>
      <c r="K2393">
        <v>98876</v>
      </c>
      <c r="L2393">
        <v>88750</v>
      </c>
      <c r="M2393">
        <v>599</v>
      </c>
    </row>
    <row r="2394" spans="1:13" ht="15">
      <c r="A2394" t="s">
        <v>3771</v>
      </c>
      <c r="B2394" s="1040" t="str">
        <f>CONCATENATE(LEFT(RIGHT(CONCATENATE("000",IFAData_TEA_1819!A2394),6),3),"-",(RIGHT(RIGHT(CONCATENATE("000",IFAData_TEA_1819!A2394),6),3)))</f>
        <v>245-901</v>
      </c>
      <c r="C2394" t="s">
        <v>2346</v>
      </c>
      <c r="D2394">
        <v>9</v>
      </c>
      <c r="E2394">
        <v>2015</v>
      </c>
      <c r="F2394" t="s">
        <v>5662</v>
      </c>
      <c r="G2394" t="s">
        <v>5662</v>
      </c>
      <c r="H2394">
        <v>100000</v>
      </c>
      <c r="I2394">
        <v>40000</v>
      </c>
      <c r="J2394">
        <v>0.39860488290981599</v>
      </c>
      <c r="K2394">
        <v>39860.488290981601</v>
      </c>
      <c r="L2394">
        <v>39860.488290981601</v>
      </c>
      <c r="M2394">
        <v>599</v>
      </c>
    </row>
    <row r="2395" spans="1:13" ht="15">
      <c r="A2395" t="s">
        <v>3771</v>
      </c>
      <c r="B2395" s="1040" t="str">
        <f>CONCATENATE(LEFT(RIGHT(CONCATENATE("000",IFAData_TEA_1819!A2395),6),3),"-",(RIGHT(RIGHT(CONCATENATE("000",IFAData_TEA_1819!A2395),6),3)))</f>
        <v>245-901</v>
      </c>
      <c r="C2395" t="s">
        <v>2346</v>
      </c>
      <c r="D2395">
        <v>9</v>
      </c>
      <c r="E2395">
        <v>2015</v>
      </c>
      <c r="F2395" t="s">
        <v>5662</v>
      </c>
      <c r="G2395" t="s">
        <v>6556</v>
      </c>
      <c r="H2395">
        <v>100000</v>
      </c>
      <c r="I2395">
        <v>60350</v>
      </c>
      <c r="J2395">
        <v>0.60139511709018401</v>
      </c>
      <c r="K2395">
        <v>60139.511709018399</v>
      </c>
      <c r="L2395">
        <v>60139.511709018399</v>
      </c>
      <c r="M2395">
        <v>599</v>
      </c>
    </row>
    <row r="2396" spans="1:13" ht="15">
      <c r="A2396" t="s">
        <v>3771</v>
      </c>
      <c r="B2396" s="1040" t="str">
        <f>CONCATENATE(LEFT(RIGHT(CONCATENATE("000",IFAData_TEA_1819!A2396),6),3),"-",(RIGHT(RIGHT(CONCATENATE("000",IFAData_TEA_1819!A2396),6),3)))</f>
        <v>245-901</v>
      </c>
      <c r="C2396" t="s">
        <v>2346</v>
      </c>
      <c r="D2396">
        <v>10</v>
      </c>
      <c r="E2396">
        <v>2016</v>
      </c>
      <c r="F2396" t="s">
        <v>5663</v>
      </c>
      <c r="G2396" t="s">
        <v>5663</v>
      </c>
      <c r="H2396">
        <v>108827</v>
      </c>
      <c r="I2396">
        <v>115162</v>
      </c>
      <c r="J2396">
        <v>1</v>
      </c>
      <c r="K2396">
        <v>108827</v>
      </c>
      <c r="L2396">
        <v>108827</v>
      </c>
      <c r="M2396">
        <v>599</v>
      </c>
    </row>
    <row r="2397" spans="1:13" ht="15">
      <c r="A2397" t="s">
        <v>3772</v>
      </c>
      <c r="B2397" s="1040" t="str">
        <f>CONCATENATE(LEFT(RIGHT(CONCATENATE("000",IFAData_TEA_1819!A2397),6),3),"-",(RIGHT(RIGHT(CONCATENATE("000",IFAData_TEA_1819!A2397),6),3)))</f>
        <v>245-902</v>
      </c>
      <c r="C2397" t="s">
        <v>840</v>
      </c>
      <c r="D2397">
        <v>1</v>
      </c>
      <c r="E2397">
        <v>2047</v>
      </c>
      <c r="F2397" t="s">
        <v>5664</v>
      </c>
      <c r="G2397" t="s">
        <v>5664</v>
      </c>
      <c r="H2397">
        <v>412085</v>
      </c>
      <c r="I2397">
        <v>0</v>
      </c>
      <c r="J2397">
        <v>0</v>
      </c>
      <c r="K2397">
        <v>0</v>
      </c>
      <c r="L2397">
        <v>0</v>
      </c>
      <c r="M2397">
        <v>199</v>
      </c>
    </row>
    <row r="2398" spans="1:13" ht="15">
      <c r="A2398" t="s">
        <v>3772</v>
      </c>
      <c r="B2398" s="1040" t="str">
        <f>CONCATENATE(LEFT(RIGHT(CONCATENATE("000",IFAData_TEA_1819!A2398),6),3),"-",(RIGHT(RIGHT(CONCATENATE("000",IFAData_TEA_1819!A2398),6),3)))</f>
        <v>245-902</v>
      </c>
      <c r="C2398" t="s">
        <v>840</v>
      </c>
      <c r="D2398">
        <v>1</v>
      </c>
      <c r="E2398">
        <v>2047</v>
      </c>
      <c r="F2398" t="s">
        <v>5664</v>
      </c>
      <c r="G2398" t="s">
        <v>5665</v>
      </c>
      <c r="H2398">
        <v>412085</v>
      </c>
      <c r="I2398">
        <v>401090</v>
      </c>
      <c r="J2398">
        <v>1</v>
      </c>
      <c r="K2398">
        <v>412085</v>
      </c>
      <c r="L2398">
        <v>401090</v>
      </c>
      <c r="M2398">
        <v>599</v>
      </c>
    </row>
    <row r="2399" spans="1:13" ht="15">
      <c r="A2399" t="s">
        <v>3772</v>
      </c>
      <c r="B2399" s="1040" t="str">
        <f>CONCATENATE(LEFT(RIGHT(CONCATENATE("000",IFAData_TEA_1819!A2399),6),3),"-",(RIGHT(RIGHT(CONCATENATE("000",IFAData_TEA_1819!A2399),6),3)))</f>
        <v>245-902</v>
      </c>
      <c r="C2399" t="s">
        <v>840</v>
      </c>
      <c r="D2399">
        <v>6</v>
      </c>
      <c r="E2399">
        <v>2046</v>
      </c>
      <c r="F2399" t="s">
        <v>5666</v>
      </c>
      <c r="G2399" t="s">
        <v>5666</v>
      </c>
      <c r="H2399">
        <v>342241</v>
      </c>
      <c r="I2399">
        <v>0</v>
      </c>
      <c r="J2399">
        <v>0</v>
      </c>
      <c r="K2399">
        <v>0</v>
      </c>
      <c r="L2399">
        <v>0</v>
      </c>
      <c r="M2399">
        <v>599</v>
      </c>
    </row>
    <row r="2400" spans="1:13" ht="15">
      <c r="A2400" t="s">
        <v>3772</v>
      </c>
      <c r="B2400" s="1040" t="str">
        <f>CONCATENATE(LEFT(RIGHT(CONCATENATE("000",IFAData_TEA_1819!A2400),6),3),"-",(RIGHT(RIGHT(CONCATENATE("000",IFAData_TEA_1819!A2400),6),3)))</f>
        <v>245-902</v>
      </c>
      <c r="C2400" t="s">
        <v>840</v>
      </c>
      <c r="D2400">
        <v>6</v>
      </c>
      <c r="E2400">
        <v>2046</v>
      </c>
      <c r="F2400" t="s">
        <v>5666</v>
      </c>
      <c r="G2400" t="s">
        <v>5667</v>
      </c>
      <c r="H2400">
        <v>342241</v>
      </c>
      <c r="I2400">
        <v>0</v>
      </c>
      <c r="J2400">
        <v>0</v>
      </c>
      <c r="K2400">
        <v>0</v>
      </c>
      <c r="L2400">
        <v>0</v>
      </c>
      <c r="M2400">
        <v>599</v>
      </c>
    </row>
    <row r="2401" spans="1:13" ht="15">
      <c r="A2401" t="s">
        <v>3772</v>
      </c>
      <c r="B2401" s="1040" t="str">
        <f>CONCATENATE(LEFT(RIGHT(CONCATENATE("000",IFAData_TEA_1819!A2401),6),3),"-",(RIGHT(RIGHT(CONCATENATE("000",IFAData_TEA_1819!A2401),6),3)))</f>
        <v>245-902</v>
      </c>
      <c r="C2401" t="s">
        <v>840</v>
      </c>
      <c r="D2401">
        <v>6</v>
      </c>
      <c r="E2401">
        <v>2046</v>
      </c>
      <c r="F2401" t="s">
        <v>5666</v>
      </c>
      <c r="G2401" t="s">
        <v>8521</v>
      </c>
      <c r="H2401">
        <v>342241</v>
      </c>
      <c r="I2401">
        <v>272900</v>
      </c>
      <c r="J2401">
        <v>1</v>
      </c>
      <c r="K2401">
        <v>342241</v>
      </c>
      <c r="L2401">
        <v>272900</v>
      </c>
      <c r="M2401">
        <v>599</v>
      </c>
    </row>
    <row r="2402" spans="1:13" ht="15">
      <c r="A2402" t="s">
        <v>3773</v>
      </c>
      <c r="B2402" s="1040" t="str">
        <f>CONCATENATE(LEFT(RIGHT(CONCATENATE("000",IFAData_TEA_1819!A2402),6),3),"-",(RIGHT(RIGHT(CONCATENATE("000",IFAData_TEA_1819!A2402),6),3)))</f>
        <v>245-903</v>
      </c>
      <c r="C2402" t="s">
        <v>78</v>
      </c>
      <c r="D2402">
        <v>2</v>
      </c>
      <c r="E2402">
        <v>2228</v>
      </c>
      <c r="F2402" t="s">
        <v>5668</v>
      </c>
      <c r="G2402" t="s">
        <v>5668</v>
      </c>
      <c r="H2402">
        <v>679270</v>
      </c>
      <c r="I2402">
        <v>0</v>
      </c>
      <c r="J2402">
        <v>0</v>
      </c>
      <c r="K2402">
        <v>0</v>
      </c>
      <c r="L2402">
        <v>0</v>
      </c>
      <c r="M2402">
        <v>599</v>
      </c>
    </row>
    <row r="2403" spans="1:13" ht="15">
      <c r="A2403" t="s">
        <v>3773</v>
      </c>
      <c r="B2403" s="1040" t="str">
        <f>CONCATENATE(LEFT(RIGHT(CONCATENATE("000",IFAData_TEA_1819!A2403),6),3),"-",(RIGHT(RIGHT(CONCATENATE("000",IFAData_TEA_1819!A2403),6),3)))</f>
        <v>245-903</v>
      </c>
      <c r="C2403" t="s">
        <v>78</v>
      </c>
      <c r="D2403">
        <v>2</v>
      </c>
      <c r="E2403">
        <v>2228</v>
      </c>
      <c r="F2403" t="s">
        <v>5668</v>
      </c>
      <c r="G2403" t="s">
        <v>5669</v>
      </c>
      <c r="H2403">
        <v>679270</v>
      </c>
      <c r="I2403">
        <v>0</v>
      </c>
      <c r="J2403">
        <v>0</v>
      </c>
      <c r="K2403">
        <v>0</v>
      </c>
      <c r="L2403">
        <v>0</v>
      </c>
      <c r="M2403">
        <v>599</v>
      </c>
    </row>
    <row r="2404" spans="1:13" ht="15">
      <c r="A2404" t="s">
        <v>3773</v>
      </c>
      <c r="B2404" s="1040" t="str">
        <f>CONCATENATE(LEFT(RIGHT(CONCATENATE("000",IFAData_TEA_1819!A2404),6),3),"-",(RIGHT(RIGHT(CONCATENATE("000",IFAData_TEA_1819!A2404),6),3)))</f>
        <v>245-903</v>
      </c>
      <c r="C2404" t="s">
        <v>78</v>
      </c>
      <c r="D2404">
        <v>2</v>
      </c>
      <c r="E2404">
        <v>2228</v>
      </c>
      <c r="F2404" t="s">
        <v>5668</v>
      </c>
      <c r="G2404" t="s">
        <v>5670</v>
      </c>
      <c r="H2404">
        <v>679270</v>
      </c>
      <c r="I2404">
        <v>649775</v>
      </c>
      <c r="J2404">
        <v>1</v>
      </c>
      <c r="K2404">
        <v>679270</v>
      </c>
      <c r="L2404">
        <v>649775</v>
      </c>
      <c r="M2404">
        <v>599</v>
      </c>
    </row>
    <row r="2405" spans="1:13" ht="15">
      <c r="A2405" t="s">
        <v>3773</v>
      </c>
      <c r="B2405" s="1040" t="str">
        <f>CONCATENATE(LEFT(RIGHT(CONCATENATE("000",IFAData_TEA_1819!A2405),6),3),"-",(RIGHT(RIGHT(CONCATENATE("000",IFAData_TEA_1819!A2405),6),3)))</f>
        <v>245-903</v>
      </c>
      <c r="C2405" t="s">
        <v>78</v>
      </c>
      <c r="D2405">
        <v>2</v>
      </c>
      <c r="E2405">
        <v>2228</v>
      </c>
      <c r="F2405" t="s">
        <v>5668</v>
      </c>
      <c r="G2405" t="s">
        <v>6356</v>
      </c>
      <c r="H2405">
        <v>679270</v>
      </c>
      <c r="I2405">
        <v>0</v>
      </c>
      <c r="J2405">
        <v>0</v>
      </c>
      <c r="K2405">
        <v>0</v>
      </c>
      <c r="L2405">
        <v>0</v>
      </c>
      <c r="M2405">
        <v>599</v>
      </c>
    </row>
    <row r="2406" spans="1:13" ht="15">
      <c r="A2406" t="s">
        <v>3773</v>
      </c>
      <c r="B2406" s="1040" t="str">
        <f>CONCATENATE(LEFT(RIGHT(CONCATENATE("000",IFAData_TEA_1819!A2406),6),3),"-",(RIGHT(RIGHT(CONCATENATE("000",IFAData_TEA_1819!A2406),6),3)))</f>
        <v>245-903</v>
      </c>
      <c r="C2406" t="s">
        <v>78</v>
      </c>
      <c r="D2406">
        <v>3</v>
      </c>
      <c r="E2406">
        <v>2226</v>
      </c>
      <c r="F2406" t="s">
        <v>5671</v>
      </c>
      <c r="G2406" t="s">
        <v>5671</v>
      </c>
      <c r="H2406">
        <v>415048</v>
      </c>
      <c r="I2406">
        <v>0</v>
      </c>
      <c r="J2406">
        <v>0</v>
      </c>
      <c r="K2406">
        <v>0</v>
      </c>
      <c r="L2406">
        <v>0</v>
      </c>
      <c r="M2406">
        <v>599</v>
      </c>
    </row>
    <row r="2407" spans="1:13" ht="15">
      <c r="A2407" t="s">
        <v>3773</v>
      </c>
      <c r="B2407" s="1040" t="str">
        <f>CONCATENATE(LEFT(RIGHT(CONCATENATE("000",IFAData_TEA_1819!A2407),6),3),"-",(RIGHT(RIGHT(CONCATENATE("000",IFAData_TEA_1819!A2407),6),3)))</f>
        <v>245-903</v>
      </c>
      <c r="C2407" t="s">
        <v>78</v>
      </c>
      <c r="D2407">
        <v>3</v>
      </c>
      <c r="E2407">
        <v>2226</v>
      </c>
      <c r="F2407" t="s">
        <v>5671</v>
      </c>
      <c r="G2407" t="s">
        <v>5669</v>
      </c>
      <c r="H2407">
        <v>415048</v>
      </c>
      <c r="I2407">
        <v>0</v>
      </c>
      <c r="J2407">
        <v>0</v>
      </c>
      <c r="K2407">
        <v>0</v>
      </c>
      <c r="L2407">
        <v>0</v>
      </c>
      <c r="M2407">
        <v>599</v>
      </c>
    </row>
    <row r="2408" spans="1:13" ht="15">
      <c r="A2408" t="s">
        <v>3773</v>
      </c>
      <c r="B2408" s="1040" t="str">
        <f>CONCATENATE(LEFT(RIGHT(CONCATENATE("000",IFAData_TEA_1819!A2408),6),3),"-",(RIGHT(RIGHT(CONCATENATE("000",IFAData_TEA_1819!A2408),6),3)))</f>
        <v>245-903</v>
      </c>
      <c r="C2408" t="s">
        <v>78</v>
      </c>
      <c r="D2408">
        <v>3</v>
      </c>
      <c r="E2408">
        <v>2226</v>
      </c>
      <c r="F2408" t="s">
        <v>5671</v>
      </c>
      <c r="G2408" t="s">
        <v>6356</v>
      </c>
      <c r="H2408">
        <v>415048</v>
      </c>
      <c r="I2408">
        <v>356188</v>
      </c>
      <c r="J2408">
        <v>1</v>
      </c>
      <c r="K2408">
        <v>415048</v>
      </c>
      <c r="L2408">
        <v>356188</v>
      </c>
      <c r="M2408">
        <v>599</v>
      </c>
    </row>
    <row r="2409" spans="1:13" ht="15">
      <c r="A2409" t="s">
        <v>3773</v>
      </c>
      <c r="B2409" s="1040" t="str">
        <f>CONCATENATE(LEFT(RIGHT(CONCATENATE("000",IFAData_TEA_1819!A2409),6),3),"-",(RIGHT(RIGHT(CONCATENATE("000",IFAData_TEA_1819!A2409),6),3)))</f>
        <v>245-903</v>
      </c>
      <c r="C2409" t="s">
        <v>78</v>
      </c>
      <c r="D2409">
        <v>5</v>
      </c>
      <c r="E2409">
        <v>2225</v>
      </c>
      <c r="F2409" t="s">
        <v>5672</v>
      </c>
      <c r="G2409" t="s">
        <v>5672</v>
      </c>
      <c r="H2409">
        <v>198867</v>
      </c>
      <c r="I2409">
        <v>0</v>
      </c>
      <c r="J2409">
        <v>0</v>
      </c>
      <c r="K2409">
        <v>0</v>
      </c>
      <c r="L2409">
        <v>0</v>
      </c>
      <c r="M2409">
        <v>599</v>
      </c>
    </row>
    <row r="2410" spans="1:13" ht="15">
      <c r="A2410" t="s">
        <v>3773</v>
      </c>
      <c r="B2410" s="1040" t="str">
        <f>CONCATENATE(LEFT(RIGHT(CONCATENATE("000",IFAData_TEA_1819!A2410),6),3),"-",(RIGHT(RIGHT(CONCATENATE("000",IFAData_TEA_1819!A2410),6),3)))</f>
        <v>245-903</v>
      </c>
      <c r="C2410" t="s">
        <v>78</v>
      </c>
      <c r="D2410">
        <v>5</v>
      </c>
      <c r="E2410">
        <v>2225</v>
      </c>
      <c r="F2410" t="s">
        <v>5672</v>
      </c>
      <c r="G2410" t="s">
        <v>5669</v>
      </c>
      <c r="H2410">
        <v>198867</v>
      </c>
      <c r="I2410">
        <v>0</v>
      </c>
      <c r="J2410">
        <v>0</v>
      </c>
      <c r="K2410">
        <v>0</v>
      </c>
      <c r="L2410">
        <v>0</v>
      </c>
      <c r="M2410">
        <v>599</v>
      </c>
    </row>
    <row r="2411" spans="1:13" ht="15">
      <c r="A2411" t="s">
        <v>3773</v>
      </c>
      <c r="B2411" s="1040" t="str">
        <f>CONCATENATE(LEFT(RIGHT(CONCATENATE("000",IFAData_TEA_1819!A2411),6),3),"-",(RIGHT(RIGHT(CONCATENATE("000",IFAData_TEA_1819!A2411),6),3)))</f>
        <v>245-903</v>
      </c>
      <c r="C2411" t="s">
        <v>78</v>
      </c>
      <c r="D2411">
        <v>5</v>
      </c>
      <c r="E2411">
        <v>2225</v>
      </c>
      <c r="F2411" t="s">
        <v>5672</v>
      </c>
      <c r="G2411" t="s">
        <v>5673</v>
      </c>
      <c r="H2411">
        <v>198867</v>
      </c>
      <c r="I2411">
        <v>46200</v>
      </c>
      <c r="J2411">
        <v>0.29520766773162899</v>
      </c>
      <c r="K2411">
        <v>58707.0632587859</v>
      </c>
      <c r="L2411">
        <v>46200</v>
      </c>
      <c r="M2411">
        <v>599</v>
      </c>
    </row>
    <row r="2412" spans="1:13" ht="15">
      <c r="A2412" t="s">
        <v>3773</v>
      </c>
      <c r="B2412" s="1040" t="str">
        <f>CONCATENATE(LEFT(RIGHT(CONCATENATE("000",IFAData_TEA_1819!A2412),6),3),"-",(RIGHT(RIGHT(CONCATENATE("000",IFAData_TEA_1819!A2412),6),3)))</f>
        <v>245-903</v>
      </c>
      <c r="C2412" t="s">
        <v>78</v>
      </c>
      <c r="D2412">
        <v>5</v>
      </c>
      <c r="E2412">
        <v>2225</v>
      </c>
      <c r="F2412" t="s">
        <v>5672</v>
      </c>
      <c r="G2412" t="s">
        <v>6356</v>
      </c>
      <c r="H2412">
        <v>198867</v>
      </c>
      <c r="I2412">
        <v>110300</v>
      </c>
      <c r="J2412">
        <v>0.70479233226837101</v>
      </c>
      <c r="K2412">
        <v>140159.93674121401</v>
      </c>
      <c r="L2412">
        <v>110300</v>
      </c>
      <c r="M2412">
        <v>599</v>
      </c>
    </row>
    <row r="2413" spans="1:13" ht="15">
      <c r="A2413" t="s">
        <v>3773</v>
      </c>
      <c r="B2413" s="1040" t="str">
        <f>CONCATENATE(LEFT(RIGHT(CONCATENATE("000",IFAData_TEA_1819!A2413),6),3),"-",(RIGHT(RIGHT(CONCATENATE("000",IFAData_TEA_1819!A2413),6),3)))</f>
        <v>245-903</v>
      </c>
      <c r="C2413" t="s">
        <v>78</v>
      </c>
      <c r="D2413">
        <v>9</v>
      </c>
      <c r="E2413">
        <v>2227</v>
      </c>
      <c r="F2413" t="s">
        <v>5674</v>
      </c>
      <c r="G2413" t="s">
        <v>5674</v>
      </c>
      <c r="H2413">
        <v>540475</v>
      </c>
      <c r="I2413">
        <v>0</v>
      </c>
      <c r="J2413">
        <v>0</v>
      </c>
      <c r="K2413">
        <v>0</v>
      </c>
      <c r="L2413">
        <v>0</v>
      </c>
      <c r="M2413">
        <v>599</v>
      </c>
    </row>
    <row r="2414" spans="1:13" ht="15">
      <c r="A2414" t="s">
        <v>3773</v>
      </c>
      <c r="B2414" s="1040" t="str">
        <f>CONCATENATE(LEFT(RIGHT(CONCATENATE("000",IFAData_TEA_1819!A2414),6),3),"-",(RIGHT(RIGHT(CONCATENATE("000",IFAData_TEA_1819!A2414),6),3)))</f>
        <v>245-903</v>
      </c>
      <c r="C2414" t="s">
        <v>78</v>
      </c>
      <c r="D2414">
        <v>9</v>
      </c>
      <c r="E2414">
        <v>2227</v>
      </c>
      <c r="F2414" t="s">
        <v>5674</v>
      </c>
      <c r="G2414" t="s">
        <v>6557</v>
      </c>
      <c r="H2414">
        <v>540475</v>
      </c>
      <c r="I2414">
        <v>548675</v>
      </c>
      <c r="J2414">
        <v>1</v>
      </c>
      <c r="K2414">
        <v>540475</v>
      </c>
      <c r="L2414">
        <v>540475</v>
      </c>
      <c r="M2414">
        <v>599</v>
      </c>
    </row>
    <row r="2415" spans="1:13" ht="15">
      <c r="A2415" t="s">
        <v>3774</v>
      </c>
      <c r="B2415" s="1040" t="str">
        <f>CONCATENATE(LEFT(RIGHT(CONCATENATE("000",IFAData_TEA_1819!A2415),6),3),"-",(RIGHT(RIGHT(CONCATENATE("000",IFAData_TEA_1819!A2415),6),3)))</f>
        <v>245-904</v>
      </c>
      <c r="C2415" t="s">
        <v>534</v>
      </c>
      <c r="D2415">
        <v>6</v>
      </c>
      <c r="E2415">
        <v>2300</v>
      </c>
      <c r="F2415" t="s">
        <v>5675</v>
      </c>
      <c r="G2415" t="s">
        <v>5675</v>
      </c>
      <c r="H2415">
        <v>99319</v>
      </c>
      <c r="I2415">
        <v>0</v>
      </c>
      <c r="J2415">
        <v>0</v>
      </c>
      <c r="K2415">
        <v>0</v>
      </c>
      <c r="L2415">
        <v>0</v>
      </c>
      <c r="M2415">
        <v>599</v>
      </c>
    </row>
    <row r="2416" spans="1:13" ht="15">
      <c r="A2416" t="s">
        <v>3774</v>
      </c>
      <c r="B2416" s="1040" t="str">
        <f>CONCATENATE(LEFT(RIGHT(CONCATENATE("000",IFAData_TEA_1819!A2416),6),3),"-",(RIGHT(RIGHT(CONCATENATE("000",IFAData_TEA_1819!A2416),6),3)))</f>
        <v>245-904</v>
      </c>
      <c r="C2416" t="s">
        <v>534</v>
      </c>
      <c r="D2416">
        <v>6</v>
      </c>
      <c r="E2416">
        <v>2300</v>
      </c>
      <c r="F2416" t="s">
        <v>5675</v>
      </c>
      <c r="G2416" t="s">
        <v>5676</v>
      </c>
      <c r="H2416">
        <v>99319</v>
      </c>
      <c r="I2416">
        <v>85400</v>
      </c>
      <c r="J2416">
        <v>1</v>
      </c>
      <c r="K2416">
        <v>99319</v>
      </c>
      <c r="L2416">
        <v>85400</v>
      </c>
      <c r="M2416">
        <v>599</v>
      </c>
    </row>
    <row r="2417" spans="1:13" ht="15">
      <c r="A2417" t="s">
        <v>3774</v>
      </c>
      <c r="B2417" s="1040" t="str">
        <f>CONCATENATE(LEFT(RIGHT(CONCATENATE("000",IFAData_TEA_1819!A2417),6),3),"-",(RIGHT(RIGHT(CONCATENATE("000",IFAData_TEA_1819!A2417),6),3)))</f>
        <v>245-904</v>
      </c>
      <c r="C2417" t="s">
        <v>534</v>
      </c>
      <c r="D2417">
        <v>9</v>
      </c>
      <c r="E2417">
        <v>2301</v>
      </c>
      <c r="F2417" t="s">
        <v>5677</v>
      </c>
      <c r="G2417" t="s">
        <v>5677</v>
      </c>
      <c r="H2417">
        <v>100000</v>
      </c>
      <c r="I2417">
        <v>0</v>
      </c>
      <c r="J2417">
        <v>0</v>
      </c>
      <c r="K2417">
        <v>0</v>
      </c>
      <c r="L2417">
        <v>0</v>
      </c>
      <c r="M2417">
        <v>599</v>
      </c>
    </row>
    <row r="2418" spans="1:13" ht="15">
      <c r="A2418" t="s">
        <v>3774</v>
      </c>
      <c r="B2418" s="1040" t="str">
        <f>CONCATENATE(LEFT(RIGHT(CONCATENATE("000",IFAData_TEA_1819!A2418),6),3),"-",(RIGHT(RIGHT(CONCATENATE("000",IFAData_TEA_1819!A2418),6),3)))</f>
        <v>245-904</v>
      </c>
      <c r="C2418" t="s">
        <v>534</v>
      </c>
      <c r="D2418">
        <v>9</v>
      </c>
      <c r="E2418">
        <v>2301</v>
      </c>
      <c r="F2418" t="s">
        <v>5677</v>
      </c>
      <c r="G2418" t="s">
        <v>6558</v>
      </c>
      <c r="H2418">
        <v>100000</v>
      </c>
      <c r="I2418">
        <v>144105</v>
      </c>
      <c r="J2418">
        <v>1</v>
      </c>
      <c r="K2418">
        <v>100000</v>
      </c>
      <c r="L2418">
        <v>100000</v>
      </c>
      <c r="M2418">
        <v>599</v>
      </c>
    </row>
    <row r="2419" spans="1:13" ht="15">
      <c r="A2419" t="s">
        <v>3774</v>
      </c>
      <c r="B2419" s="1040" t="str">
        <f>CONCATENATE(LEFT(RIGHT(CONCATENATE("000",IFAData_TEA_1819!A2419),6),3),"-",(RIGHT(RIGHT(CONCATENATE("000",IFAData_TEA_1819!A2419),6),3)))</f>
        <v>245-904</v>
      </c>
      <c r="C2419" t="s">
        <v>534</v>
      </c>
      <c r="D2419">
        <v>11</v>
      </c>
      <c r="E2419">
        <v>2502</v>
      </c>
      <c r="F2419" t="s">
        <v>8522</v>
      </c>
      <c r="G2419" t="s">
        <v>8522</v>
      </c>
      <c r="H2419">
        <v>100000</v>
      </c>
      <c r="I2419">
        <v>154300</v>
      </c>
      <c r="J2419">
        <v>1</v>
      </c>
      <c r="K2419">
        <v>100000</v>
      </c>
      <c r="L2419">
        <v>100000</v>
      </c>
      <c r="M2419">
        <v>599</v>
      </c>
    </row>
    <row r="2420" spans="1:13" ht="15">
      <c r="A2420" t="s">
        <v>3775</v>
      </c>
      <c r="B2420" s="1040" t="str">
        <f>CONCATENATE(LEFT(RIGHT(CONCATENATE("000",IFAData_TEA_1819!A2420),6),3),"-",(RIGHT(RIGHT(CONCATENATE("000",IFAData_TEA_1819!A2420),6),3)))</f>
        <v>246-902</v>
      </c>
      <c r="C2420" t="s">
        <v>109</v>
      </c>
      <c r="D2420">
        <v>2</v>
      </c>
      <c r="E2420">
        <v>1813</v>
      </c>
      <c r="F2420" t="s">
        <v>5678</v>
      </c>
      <c r="G2420" t="s">
        <v>5678</v>
      </c>
      <c r="H2420">
        <v>231000</v>
      </c>
      <c r="I2420">
        <v>0</v>
      </c>
      <c r="J2420">
        <v>0</v>
      </c>
      <c r="K2420">
        <v>0</v>
      </c>
      <c r="L2420">
        <v>0</v>
      </c>
      <c r="M2420">
        <v>599</v>
      </c>
    </row>
    <row r="2421" spans="1:13" ht="15">
      <c r="A2421" t="s">
        <v>3775</v>
      </c>
      <c r="B2421" s="1040" t="str">
        <f>CONCATENATE(LEFT(RIGHT(CONCATENATE("000",IFAData_TEA_1819!A2421),6),3),"-",(RIGHT(RIGHT(CONCATENATE("000",IFAData_TEA_1819!A2421),6),3)))</f>
        <v>246-902</v>
      </c>
      <c r="C2421" t="s">
        <v>109</v>
      </c>
      <c r="D2421">
        <v>2</v>
      </c>
      <c r="E2421">
        <v>1813</v>
      </c>
      <c r="F2421" t="s">
        <v>5678</v>
      </c>
      <c r="G2421" t="s">
        <v>5679</v>
      </c>
      <c r="H2421">
        <v>231000</v>
      </c>
      <c r="I2421">
        <v>476984</v>
      </c>
      <c r="J2421">
        <v>1</v>
      </c>
      <c r="K2421">
        <v>231000</v>
      </c>
      <c r="L2421">
        <v>231000</v>
      </c>
      <c r="M2421">
        <v>599</v>
      </c>
    </row>
    <row r="2422" spans="1:13" ht="15">
      <c r="A2422" t="s">
        <v>3777</v>
      </c>
      <c r="B2422" s="1040" t="str">
        <f>CONCATENATE(LEFT(RIGHT(CONCATENATE("000",IFAData_TEA_1819!A2422),6),3),"-",(RIGHT(RIGHT(CONCATENATE("000",IFAData_TEA_1819!A2422),6),3)))</f>
        <v>246-905</v>
      </c>
      <c r="C2422" t="s">
        <v>1018</v>
      </c>
      <c r="D2422">
        <v>2</v>
      </c>
      <c r="E2422">
        <v>1859</v>
      </c>
      <c r="F2422" t="s">
        <v>5680</v>
      </c>
      <c r="G2422" t="s">
        <v>5680</v>
      </c>
      <c r="H2422">
        <v>99992</v>
      </c>
      <c r="I2422">
        <v>0</v>
      </c>
      <c r="J2422">
        <v>0</v>
      </c>
      <c r="K2422">
        <v>0</v>
      </c>
      <c r="L2422">
        <v>0</v>
      </c>
      <c r="M2422">
        <v>599</v>
      </c>
    </row>
    <row r="2423" spans="1:13" ht="15">
      <c r="A2423" t="s">
        <v>3777</v>
      </c>
      <c r="B2423" s="1040" t="str">
        <f>CONCATENATE(LEFT(RIGHT(CONCATENATE("000",IFAData_TEA_1819!A2423),6),3),"-",(RIGHT(RIGHT(CONCATENATE("000",IFAData_TEA_1819!A2423),6),3)))</f>
        <v>246-905</v>
      </c>
      <c r="C2423" t="s">
        <v>1018</v>
      </c>
      <c r="D2423">
        <v>2</v>
      </c>
      <c r="E2423">
        <v>1859</v>
      </c>
      <c r="F2423" t="s">
        <v>5680</v>
      </c>
      <c r="G2423" t="s">
        <v>5681</v>
      </c>
      <c r="H2423">
        <v>99992</v>
      </c>
      <c r="I2423">
        <v>64130</v>
      </c>
      <c r="J2423">
        <v>1</v>
      </c>
      <c r="K2423">
        <v>99992</v>
      </c>
      <c r="L2423">
        <v>64130</v>
      </c>
      <c r="M2423">
        <v>599</v>
      </c>
    </row>
    <row r="2424" spans="1:13" ht="15">
      <c r="A2424" t="s">
        <v>3778</v>
      </c>
      <c r="B2424" s="1040" t="str">
        <f>CONCATENATE(LEFT(RIGHT(CONCATENATE("000",IFAData_TEA_1819!A2424),6),3),"-",(RIGHT(RIGHT(CONCATENATE("000",IFAData_TEA_1819!A2424),6),3)))</f>
        <v>246-906</v>
      </c>
      <c r="C2424" t="s">
        <v>1268</v>
      </c>
      <c r="D2424">
        <v>3</v>
      </c>
      <c r="E2424">
        <v>1921</v>
      </c>
      <c r="F2424" t="s">
        <v>5682</v>
      </c>
      <c r="G2424" t="s">
        <v>5682</v>
      </c>
      <c r="H2424">
        <v>502075</v>
      </c>
      <c r="I2424">
        <v>975280</v>
      </c>
      <c r="J2424">
        <v>0.95006989532748498</v>
      </c>
      <c r="K2424">
        <v>477006.34269654698</v>
      </c>
      <c r="L2424">
        <v>477006.34269654698</v>
      </c>
      <c r="M2424">
        <v>599</v>
      </c>
    </row>
    <row r="2425" spans="1:13" ht="15">
      <c r="A2425" t="s">
        <v>3778</v>
      </c>
      <c r="B2425" s="1040" t="str">
        <f>CONCATENATE(LEFT(RIGHT(CONCATENATE("000",IFAData_TEA_1819!A2425),6),3),"-",(RIGHT(RIGHT(CONCATENATE("000",IFAData_TEA_1819!A2425),6),3)))</f>
        <v>246-906</v>
      </c>
      <c r="C2425" t="s">
        <v>1268</v>
      </c>
      <c r="D2425">
        <v>3</v>
      </c>
      <c r="E2425">
        <v>1921</v>
      </c>
      <c r="F2425" t="s">
        <v>5682</v>
      </c>
      <c r="G2425" t="s">
        <v>5683</v>
      </c>
      <c r="H2425">
        <v>502075</v>
      </c>
      <c r="I2425">
        <v>0</v>
      </c>
      <c r="J2425">
        <v>0</v>
      </c>
      <c r="K2425">
        <v>0</v>
      </c>
      <c r="L2425">
        <v>0</v>
      </c>
      <c r="M2425">
        <v>599</v>
      </c>
    </row>
    <row r="2426" spans="1:13" ht="15">
      <c r="A2426" t="s">
        <v>3778</v>
      </c>
      <c r="B2426" s="1040" t="str">
        <f>CONCATENATE(LEFT(RIGHT(CONCATENATE("000",IFAData_TEA_1819!A2426),6),3),"-",(RIGHT(RIGHT(CONCATENATE("000",IFAData_TEA_1819!A2426),6),3)))</f>
        <v>246-906</v>
      </c>
      <c r="C2426" t="s">
        <v>1268</v>
      </c>
      <c r="D2426">
        <v>3</v>
      </c>
      <c r="E2426">
        <v>1921</v>
      </c>
      <c r="F2426" t="s">
        <v>5682</v>
      </c>
      <c r="G2426" t="s">
        <v>5684</v>
      </c>
      <c r="H2426">
        <v>502075</v>
      </c>
      <c r="I2426">
        <v>51255</v>
      </c>
      <c r="J2426">
        <v>4.9930104672514797E-2</v>
      </c>
      <c r="K2426">
        <v>25068.657303452899</v>
      </c>
      <c r="L2426">
        <v>25068.657303452899</v>
      </c>
      <c r="M2426">
        <v>599</v>
      </c>
    </row>
    <row r="2427" spans="1:13" ht="15">
      <c r="A2427" t="s">
        <v>3778</v>
      </c>
      <c r="B2427" s="1040" t="str">
        <f>CONCATENATE(LEFT(RIGHT(CONCATENATE("000",IFAData_TEA_1819!A2427),6),3),"-",(RIGHT(RIGHT(CONCATENATE("000",IFAData_TEA_1819!A2427),6),3)))</f>
        <v>246-906</v>
      </c>
      <c r="C2427" t="s">
        <v>1268</v>
      </c>
      <c r="D2427">
        <v>9</v>
      </c>
      <c r="E2427">
        <v>1922</v>
      </c>
      <c r="F2427" t="s">
        <v>5685</v>
      </c>
      <c r="G2427" t="s">
        <v>5685</v>
      </c>
      <c r="H2427">
        <v>1273250</v>
      </c>
      <c r="I2427">
        <v>0</v>
      </c>
      <c r="J2427">
        <v>0</v>
      </c>
      <c r="K2427">
        <v>0</v>
      </c>
      <c r="L2427">
        <v>0</v>
      </c>
      <c r="M2427">
        <v>599</v>
      </c>
    </row>
    <row r="2428" spans="1:13" ht="15">
      <c r="A2428" t="s">
        <v>3778</v>
      </c>
      <c r="B2428" s="1040" t="str">
        <f>CONCATENATE(LEFT(RIGHT(CONCATENATE("000",IFAData_TEA_1819!A2428),6),3),"-",(RIGHT(RIGHT(CONCATENATE("000",IFAData_TEA_1819!A2428),6),3)))</f>
        <v>246-906</v>
      </c>
      <c r="C2428" t="s">
        <v>1268</v>
      </c>
      <c r="D2428">
        <v>9</v>
      </c>
      <c r="E2428">
        <v>1922</v>
      </c>
      <c r="F2428" t="s">
        <v>5685</v>
      </c>
      <c r="G2428" t="s">
        <v>5686</v>
      </c>
      <c r="H2428">
        <v>1273250</v>
      </c>
      <c r="I2428">
        <v>25335</v>
      </c>
      <c r="J2428">
        <v>1.8622336660386901E-2</v>
      </c>
      <c r="K2428">
        <v>23710.890152837699</v>
      </c>
      <c r="L2428">
        <v>23710.890152837699</v>
      </c>
      <c r="M2428">
        <v>599</v>
      </c>
    </row>
    <row r="2429" spans="1:13" ht="15">
      <c r="A2429" t="s">
        <v>3778</v>
      </c>
      <c r="B2429" s="1040" t="str">
        <f>CONCATENATE(LEFT(RIGHT(CONCATENATE("000",IFAData_TEA_1819!A2429),6),3),"-",(RIGHT(RIGHT(CONCATENATE("000",IFAData_TEA_1819!A2429),6),3)))</f>
        <v>246-906</v>
      </c>
      <c r="C2429" t="s">
        <v>1268</v>
      </c>
      <c r="D2429">
        <v>9</v>
      </c>
      <c r="E2429">
        <v>1922</v>
      </c>
      <c r="F2429" t="s">
        <v>5685</v>
      </c>
      <c r="G2429" t="s">
        <v>6357</v>
      </c>
      <c r="H2429">
        <v>1273250</v>
      </c>
      <c r="I2429">
        <v>1114176</v>
      </c>
      <c r="J2429">
        <v>0.81896824830958304</v>
      </c>
      <c r="K2429">
        <v>1042751.32216018</v>
      </c>
      <c r="L2429">
        <v>1042751.32216018</v>
      </c>
      <c r="M2429">
        <v>599</v>
      </c>
    </row>
    <row r="2430" spans="1:13" ht="15">
      <c r="A2430" t="s">
        <v>3778</v>
      </c>
      <c r="B2430" s="1040" t="str">
        <f>CONCATENATE(LEFT(RIGHT(CONCATENATE("000",IFAData_TEA_1819!A2430),6),3),"-",(RIGHT(RIGHT(CONCATENATE("000",IFAData_TEA_1819!A2430),6),3)))</f>
        <v>246-906</v>
      </c>
      <c r="C2430" t="s">
        <v>1268</v>
      </c>
      <c r="D2430">
        <v>9</v>
      </c>
      <c r="E2430">
        <v>1922</v>
      </c>
      <c r="F2430" t="s">
        <v>5685</v>
      </c>
      <c r="G2430" t="s">
        <v>6559</v>
      </c>
      <c r="H2430">
        <v>1273250</v>
      </c>
      <c r="I2430">
        <v>220952</v>
      </c>
      <c r="J2430">
        <v>0.16240941503003001</v>
      </c>
      <c r="K2430">
        <v>206787.787686986</v>
      </c>
      <c r="L2430">
        <v>206787.787686986</v>
      </c>
      <c r="M2430">
        <v>599</v>
      </c>
    </row>
    <row r="2431" spans="1:13" ht="15">
      <c r="A2431" t="s">
        <v>3779</v>
      </c>
      <c r="B2431" s="1040" t="str">
        <f>CONCATENATE(LEFT(RIGHT(CONCATENATE("000",IFAData_TEA_1819!A2431),6),3),"-",(RIGHT(RIGHT(CONCATENATE("000",IFAData_TEA_1819!A2431),6),3)))</f>
        <v>246-908</v>
      </c>
      <c r="C2431" t="s">
        <v>2467</v>
      </c>
      <c r="D2431">
        <v>1</v>
      </c>
      <c r="E2431">
        <v>2020</v>
      </c>
      <c r="F2431" t="s">
        <v>5687</v>
      </c>
      <c r="G2431" t="s">
        <v>5687</v>
      </c>
      <c r="H2431">
        <v>293067</v>
      </c>
      <c r="I2431">
        <v>0</v>
      </c>
      <c r="J2431">
        <v>0</v>
      </c>
      <c r="K2431">
        <v>0</v>
      </c>
      <c r="L2431">
        <v>0</v>
      </c>
      <c r="M2431">
        <v>599</v>
      </c>
    </row>
    <row r="2432" spans="1:13" ht="15">
      <c r="A2432" t="s">
        <v>3779</v>
      </c>
      <c r="B2432" s="1040" t="str">
        <f>CONCATENATE(LEFT(RIGHT(CONCATENATE("000",IFAData_TEA_1819!A2432),6),3),"-",(RIGHT(RIGHT(CONCATENATE("000",IFAData_TEA_1819!A2432),6),3)))</f>
        <v>246-908</v>
      </c>
      <c r="C2432" t="s">
        <v>2467</v>
      </c>
      <c r="D2432">
        <v>1</v>
      </c>
      <c r="E2432">
        <v>2020</v>
      </c>
      <c r="F2432" t="s">
        <v>5687</v>
      </c>
      <c r="G2432" t="s">
        <v>5688</v>
      </c>
      <c r="H2432">
        <v>293067</v>
      </c>
      <c r="I2432">
        <v>0</v>
      </c>
      <c r="J2432">
        <v>0</v>
      </c>
      <c r="K2432">
        <v>0</v>
      </c>
      <c r="L2432">
        <v>0</v>
      </c>
      <c r="M2432">
        <v>599</v>
      </c>
    </row>
    <row r="2433" spans="1:13" ht="15">
      <c r="A2433" t="s">
        <v>3779</v>
      </c>
      <c r="B2433" s="1040" t="str">
        <f>CONCATENATE(LEFT(RIGHT(CONCATENATE("000",IFAData_TEA_1819!A2433),6),3),"-",(RIGHT(RIGHT(CONCATENATE("000",IFAData_TEA_1819!A2433),6),3)))</f>
        <v>246-908</v>
      </c>
      <c r="C2433" t="s">
        <v>2467</v>
      </c>
      <c r="D2433">
        <v>1</v>
      </c>
      <c r="E2433">
        <v>2020</v>
      </c>
      <c r="F2433" t="s">
        <v>5687</v>
      </c>
      <c r="G2433" t="s">
        <v>5689</v>
      </c>
      <c r="H2433">
        <v>293067</v>
      </c>
      <c r="I2433">
        <v>80497</v>
      </c>
      <c r="J2433">
        <v>8.9687352720636299E-2</v>
      </c>
      <c r="K2433">
        <v>26284.403399778701</v>
      </c>
      <c r="L2433">
        <v>26284.403399778701</v>
      </c>
      <c r="M2433">
        <v>599</v>
      </c>
    </row>
    <row r="2434" spans="1:13" ht="15">
      <c r="A2434" t="s">
        <v>3779</v>
      </c>
      <c r="B2434" s="1040" t="str">
        <f>CONCATENATE(LEFT(RIGHT(CONCATENATE("000",IFAData_TEA_1819!A2434),6),3),"-",(RIGHT(RIGHT(CONCATENATE("000",IFAData_TEA_1819!A2434),6),3)))</f>
        <v>246-908</v>
      </c>
      <c r="C2434" t="s">
        <v>2467</v>
      </c>
      <c r="D2434">
        <v>1</v>
      </c>
      <c r="E2434">
        <v>2020</v>
      </c>
      <c r="F2434" t="s">
        <v>5687</v>
      </c>
      <c r="G2434" t="s">
        <v>5690</v>
      </c>
      <c r="H2434">
        <v>293067</v>
      </c>
      <c r="I2434">
        <v>749135</v>
      </c>
      <c r="J2434">
        <v>0.83466383816010403</v>
      </c>
      <c r="K2434">
        <v>244612.427058067</v>
      </c>
      <c r="L2434">
        <v>244612.427058067</v>
      </c>
      <c r="M2434">
        <v>599</v>
      </c>
    </row>
    <row r="2435" spans="1:13" ht="15">
      <c r="A2435" t="s">
        <v>3779</v>
      </c>
      <c r="B2435" s="1040" t="str">
        <f>CONCATENATE(LEFT(RIGHT(CONCATENATE("000",IFAData_TEA_1819!A2435),6),3),"-",(RIGHT(RIGHT(CONCATENATE("000",IFAData_TEA_1819!A2435),6),3)))</f>
        <v>246-908</v>
      </c>
      <c r="C2435" t="s">
        <v>2467</v>
      </c>
      <c r="D2435">
        <v>1</v>
      </c>
      <c r="E2435">
        <v>2020</v>
      </c>
      <c r="F2435" t="s">
        <v>5687</v>
      </c>
      <c r="G2435" t="s">
        <v>6358</v>
      </c>
      <c r="H2435">
        <v>293067</v>
      </c>
      <c r="I2435">
        <v>499</v>
      </c>
      <c r="J2435">
        <v>5.5597089341960005E-4</v>
      </c>
      <c r="K2435">
        <v>162.936721821802</v>
      </c>
      <c r="L2435">
        <v>162.936721821802</v>
      </c>
      <c r="M2435">
        <v>599</v>
      </c>
    </row>
    <row r="2436" spans="1:13" ht="15">
      <c r="A2436" t="s">
        <v>3779</v>
      </c>
      <c r="B2436" s="1040" t="str">
        <f>CONCATENATE(LEFT(RIGHT(CONCATENATE("000",IFAData_TEA_1819!A2436),6),3),"-",(RIGHT(RIGHT(CONCATENATE("000",IFAData_TEA_1819!A2436),6),3)))</f>
        <v>246-908</v>
      </c>
      <c r="C2436" t="s">
        <v>2467</v>
      </c>
      <c r="D2436">
        <v>1</v>
      </c>
      <c r="E2436">
        <v>2020</v>
      </c>
      <c r="F2436" t="s">
        <v>5687</v>
      </c>
      <c r="G2436" t="s">
        <v>8546</v>
      </c>
      <c r="H2436">
        <v>293067</v>
      </c>
      <c r="I2436">
        <v>67398</v>
      </c>
      <c r="J2436">
        <v>7.5092838225840106E-2</v>
      </c>
      <c r="K2436">
        <v>22007.232820332301</v>
      </c>
      <c r="L2436">
        <v>22007.232820332301</v>
      </c>
      <c r="M2436">
        <v>599</v>
      </c>
    </row>
    <row r="2437" spans="1:13" ht="15">
      <c r="A2437" t="s">
        <v>5691</v>
      </c>
      <c r="B2437" s="1040" t="str">
        <f>CONCATENATE(LEFT(RIGHT(CONCATENATE("000",IFAData_TEA_1819!A2437),6),3),"-",(RIGHT(RIGHT(CONCATENATE("000",IFAData_TEA_1819!A2437),6),3)))</f>
        <v>246-909</v>
      </c>
      <c r="C2437" t="s">
        <v>611</v>
      </c>
      <c r="D2437">
        <v>2</v>
      </c>
      <c r="E2437">
        <v>2266</v>
      </c>
      <c r="F2437" t="s">
        <v>5692</v>
      </c>
      <c r="G2437" t="s">
        <v>5692</v>
      </c>
      <c r="H2437">
        <v>4872062</v>
      </c>
      <c r="I2437">
        <v>0</v>
      </c>
      <c r="J2437">
        <v>0</v>
      </c>
      <c r="K2437"/>
      <c r="L2437">
        <v>0</v>
      </c>
      <c r="M2437">
        <v>599</v>
      </c>
    </row>
    <row r="2438" spans="1:13" ht="15">
      <c r="A2438" t="s">
        <v>3780</v>
      </c>
      <c r="B2438" s="1040" t="str">
        <f>CONCATENATE(LEFT(RIGHT(CONCATENATE("000",IFAData_TEA_1819!A2438),6),3),"-",(RIGHT(RIGHT(CONCATENATE("000",IFAData_TEA_1819!A2438),6),3)))</f>
        <v>246-911</v>
      </c>
      <c r="C2438" t="s">
        <v>602</v>
      </c>
      <c r="D2438">
        <v>5</v>
      </c>
      <c r="E2438">
        <v>2390</v>
      </c>
      <c r="F2438" t="s">
        <v>5693</v>
      </c>
      <c r="G2438" t="s">
        <v>5693</v>
      </c>
      <c r="H2438">
        <v>472480</v>
      </c>
      <c r="I2438">
        <v>0</v>
      </c>
      <c r="J2438">
        <v>0</v>
      </c>
      <c r="K2438">
        <v>0</v>
      </c>
      <c r="L2438">
        <v>0</v>
      </c>
      <c r="M2438">
        <v>599</v>
      </c>
    </row>
    <row r="2439" spans="1:13" ht="15">
      <c r="A2439" t="s">
        <v>3780</v>
      </c>
      <c r="B2439" s="1040" t="str">
        <f>CONCATENATE(LEFT(RIGHT(CONCATENATE("000",IFAData_TEA_1819!A2439),6),3),"-",(RIGHT(RIGHT(CONCATENATE("000",IFAData_TEA_1819!A2439),6),3)))</f>
        <v>246-911</v>
      </c>
      <c r="C2439" t="s">
        <v>602</v>
      </c>
      <c r="D2439">
        <v>5</v>
      </c>
      <c r="E2439">
        <v>2390</v>
      </c>
      <c r="F2439" t="s">
        <v>5693</v>
      </c>
      <c r="G2439" t="s">
        <v>5694</v>
      </c>
      <c r="H2439">
        <v>472480</v>
      </c>
      <c r="I2439">
        <v>0</v>
      </c>
      <c r="J2439">
        <v>0</v>
      </c>
      <c r="K2439">
        <v>0</v>
      </c>
      <c r="L2439">
        <v>0</v>
      </c>
      <c r="M2439">
        <v>599</v>
      </c>
    </row>
    <row r="2440" spans="1:13" ht="15">
      <c r="A2440" t="s">
        <v>3780</v>
      </c>
      <c r="B2440" s="1040" t="str">
        <f>CONCATENATE(LEFT(RIGHT(CONCATENATE("000",IFAData_TEA_1819!A2440),6),3),"-",(RIGHT(RIGHT(CONCATENATE("000",IFAData_TEA_1819!A2440),6),3)))</f>
        <v>246-911</v>
      </c>
      <c r="C2440" t="s">
        <v>602</v>
      </c>
      <c r="D2440">
        <v>5</v>
      </c>
      <c r="E2440">
        <v>2390</v>
      </c>
      <c r="F2440" t="s">
        <v>5693</v>
      </c>
      <c r="G2440" t="s">
        <v>5695</v>
      </c>
      <c r="H2440">
        <v>472480</v>
      </c>
      <c r="I2440">
        <v>0</v>
      </c>
      <c r="J2440">
        <v>0</v>
      </c>
      <c r="K2440">
        <v>0</v>
      </c>
      <c r="L2440">
        <v>0</v>
      </c>
      <c r="M2440">
        <v>599</v>
      </c>
    </row>
    <row r="2441" spans="1:13" ht="15">
      <c r="A2441" t="s">
        <v>3780</v>
      </c>
      <c r="B2441" s="1040" t="str">
        <f>CONCATENATE(LEFT(RIGHT(CONCATENATE("000",IFAData_TEA_1819!A2441),6),3),"-",(RIGHT(RIGHT(CONCATENATE("000",IFAData_TEA_1819!A2441),6),3)))</f>
        <v>246-911</v>
      </c>
      <c r="C2441" t="s">
        <v>602</v>
      </c>
      <c r="D2441">
        <v>5</v>
      </c>
      <c r="E2441">
        <v>2390</v>
      </c>
      <c r="F2441" t="s">
        <v>5693</v>
      </c>
      <c r="G2441" t="s">
        <v>5696</v>
      </c>
      <c r="H2441">
        <v>472480</v>
      </c>
      <c r="I2441">
        <v>498625</v>
      </c>
      <c r="J2441">
        <v>1</v>
      </c>
      <c r="K2441">
        <v>472480</v>
      </c>
      <c r="L2441">
        <v>472480</v>
      </c>
      <c r="M2441">
        <v>599</v>
      </c>
    </row>
    <row r="2442" spans="1:13" ht="15">
      <c r="A2442" t="s">
        <v>3781</v>
      </c>
      <c r="B2442" s="1040" t="str">
        <f>CONCATENATE(LEFT(RIGHT(CONCATENATE("000",IFAData_TEA_1819!A2442),6),3),"-",(RIGHT(RIGHT(CONCATENATE("000",IFAData_TEA_1819!A2442),6),3)))</f>
        <v>246-912</v>
      </c>
      <c r="C2442" t="s">
        <v>604</v>
      </c>
      <c r="D2442">
        <v>1</v>
      </c>
      <c r="E2442">
        <v>2393</v>
      </c>
      <c r="F2442" t="s">
        <v>5697</v>
      </c>
      <c r="G2442" t="s">
        <v>5697</v>
      </c>
      <c r="H2442">
        <v>114342</v>
      </c>
      <c r="I2442">
        <v>0</v>
      </c>
      <c r="J2442">
        <v>0</v>
      </c>
      <c r="K2442"/>
      <c r="L2442">
        <v>0</v>
      </c>
      <c r="M2442">
        <v>599</v>
      </c>
    </row>
    <row r="2443" spans="1:13" ht="15">
      <c r="A2443" t="s">
        <v>3781</v>
      </c>
      <c r="B2443" s="1040" t="str">
        <f>CONCATENATE(LEFT(RIGHT(CONCATENATE("000",IFAData_TEA_1819!A2443),6),3),"-",(RIGHT(RIGHT(CONCATENATE("000",IFAData_TEA_1819!A2443),6),3)))</f>
        <v>246-912</v>
      </c>
      <c r="C2443" t="s">
        <v>604</v>
      </c>
      <c r="D2443">
        <v>11</v>
      </c>
      <c r="E2443">
        <v>2589</v>
      </c>
      <c r="F2443" t="s">
        <v>8523</v>
      </c>
      <c r="G2443" t="s">
        <v>8523</v>
      </c>
      <c r="H2443">
        <v>129006</v>
      </c>
      <c r="I2443">
        <v>223411</v>
      </c>
      <c r="J2443">
        <v>1</v>
      </c>
      <c r="K2443">
        <v>129006</v>
      </c>
      <c r="L2443">
        <v>129006</v>
      </c>
      <c r="M2443">
        <v>599</v>
      </c>
    </row>
    <row r="2444" spans="1:13" ht="15">
      <c r="A2444" t="s">
        <v>3783</v>
      </c>
      <c r="B2444" s="1040" t="str">
        <f>CONCATENATE(LEFT(RIGHT(CONCATENATE("000",IFAData_TEA_1819!A2444),6),3),"-",(RIGHT(RIGHT(CONCATENATE("000",IFAData_TEA_1819!A2444),6),3)))</f>
        <v>247-901</v>
      </c>
      <c r="C2444" t="s">
        <v>110</v>
      </c>
      <c r="D2444">
        <v>5</v>
      </c>
      <c r="E2444">
        <v>1815</v>
      </c>
      <c r="F2444" t="s">
        <v>5702</v>
      </c>
      <c r="G2444" t="s">
        <v>5702</v>
      </c>
      <c r="H2444">
        <v>825000</v>
      </c>
      <c r="I2444">
        <v>0</v>
      </c>
      <c r="J2444">
        <v>0</v>
      </c>
      <c r="K2444">
        <v>0</v>
      </c>
      <c r="L2444">
        <v>0</v>
      </c>
      <c r="M2444">
        <v>599</v>
      </c>
    </row>
    <row r="2445" spans="1:13" ht="15">
      <c r="A2445" t="s">
        <v>3783</v>
      </c>
      <c r="B2445" s="1040" t="str">
        <f>CONCATENATE(LEFT(RIGHT(CONCATENATE("000",IFAData_TEA_1819!A2445),6),3),"-",(RIGHT(RIGHT(CONCATENATE("000",IFAData_TEA_1819!A2445),6),3)))</f>
        <v>247-901</v>
      </c>
      <c r="C2445" t="s">
        <v>110</v>
      </c>
      <c r="D2445">
        <v>5</v>
      </c>
      <c r="E2445">
        <v>1815</v>
      </c>
      <c r="F2445" t="s">
        <v>5702</v>
      </c>
      <c r="G2445" t="s">
        <v>5703</v>
      </c>
      <c r="H2445">
        <v>825000</v>
      </c>
      <c r="I2445">
        <v>0</v>
      </c>
      <c r="J2445">
        <v>0</v>
      </c>
      <c r="K2445">
        <v>0</v>
      </c>
      <c r="L2445">
        <v>0</v>
      </c>
      <c r="M2445">
        <v>599</v>
      </c>
    </row>
    <row r="2446" spans="1:13" ht="15">
      <c r="A2446" t="s">
        <v>3783</v>
      </c>
      <c r="B2446" s="1040" t="str">
        <f>CONCATENATE(LEFT(RIGHT(CONCATENATE("000",IFAData_TEA_1819!A2446),6),3),"-",(RIGHT(RIGHT(CONCATENATE("000",IFAData_TEA_1819!A2446),6),3)))</f>
        <v>247-901</v>
      </c>
      <c r="C2446" t="s">
        <v>110</v>
      </c>
      <c r="D2446">
        <v>5</v>
      </c>
      <c r="E2446">
        <v>1815</v>
      </c>
      <c r="F2446" t="s">
        <v>5702</v>
      </c>
      <c r="G2446" t="s">
        <v>5704</v>
      </c>
      <c r="H2446">
        <v>825000</v>
      </c>
      <c r="I2446">
        <v>0</v>
      </c>
      <c r="J2446">
        <v>0</v>
      </c>
      <c r="K2446">
        <v>0</v>
      </c>
      <c r="L2446">
        <v>0</v>
      </c>
      <c r="M2446">
        <v>599</v>
      </c>
    </row>
    <row r="2447" spans="1:13" ht="15">
      <c r="A2447" t="s">
        <v>3783</v>
      </c>
      <c r="B2447" s="1040" t="str">
        <f>CONCATENATE(LEFT(RIGHT(CONCATENATE("000",IFAData_TEA_1819!A2447),6),3),"-",(RIGHT(RIGHT(CONCATENATE("000",IFAData_TEA_1819!A2447),6),3)))</f>
        <v>247-901</v>
      </c>
      <c r="C2447" t="s">
        <v>110</v>
      </c>
      <c r="D2447">
        <v>5</v>
      </c>
      <c r="E2447">
        <v>1815</v>
      </c>
      <c r="F2447" t="s">
        <v>5702</v>
      </c>
      <c r="G2447" t="s">
        <v>6560</v>
      </c>
      <c r="H2447">
        <v>825000</v>
      </c>
      <c r="I2447">
        <v>393146</v>
      </c>
      <c r="J2447">
        <v>0.27000932662841698</v>
      </c>
      <c r="K2447">
        <v>222757.69446844401</v>
      </c>
      <c r="L2447">
        <v>222757.69446844401</v>
      </c>
      <c r="M2447">
        <v>599</v>
      </c>
    </row>
    <row r="2448" spans="1:13" ht="15">
      <c r="A2448" t="s">
        <v>3783</v>
      </c>
      <c r="B2448" s="1040" t="str">
        <f>CONCATENATE(LEFT(RIGHT(CONCATENATE("000",IFAData_TEA_1819!A2448),6),3),"-",(RIGHT(RIGHT(CONCATENATE("000",IFAData_TEA_1819!A2448),6),3)))</f>
        <v>247-901</v>
      </c>
      <c r="C2448" t="s">
        <v>110</v>
      </c>
      <c r="D2448">
        <v>5</v>
      </c>
      <c r="E2448">
        <v>1815</v>
      </c>
      <c r="F2448" t="s">
        <v>5702</v>
      </c>
      <c r="G2448" t="s">
        <v>8547</v>
      </c>
      <c r="H2448">
        <v>825000</v>
      </c>
      <c r="I2448">
        <v>1062900</v>
      </c>
      <c r="J2448">
        <v>0.72999067337158297</v>
      </c>
      <c r="K2448">
        <v>602242.30553155602</v>
      </c>
      <c r="L2448">
        <v>602242.30553155602</v>
      </c>
      <c r="M2448">
        <v>599</v>
      </c>
    </row>
    <row r="2449" spans="1:13" ht="15">
      <c r="A2449" t="s">
        <v>3783</v>
      </c>
      <c r="B2449" s="1040" t="str">
        <f>CONCATENATE(LEFT(RIGHT(CONCATENATE("000",IFAData_TEA_1819!A2449),6),3),"-",(RIGHT(RIGHT(CONCATENATE("000",IFAData_TEA_1819!A2449),6),3)))</f>
        <v>247-901</v>
      </c>
      <c r="C2449" t="s">
        <v>110</v>
      </c>
      <c r="D2449">
        <v>9</v>
      </c>
      <c r="E2449">
        <v>1814</v>
      </c>
      <c r="F2449" t="s">
        <v>5705</v>
      </c>
      <c r="G2449" t="s">
        <v>5705</v>
      </c>
      <c r="H2449">
        <v>812750</v>
      </c>
      <c r="I2449">
        <v>0</v>
      </c>
      <c r="J2449">
        <v>0</v>
      </c>
      <c r="K2449">
        <v>0</v>
      </c>
      <c r="L2449">
        <v>0</v>
      </c>
      <c r="M2449">
        <v>599</v>
      </c>
    </row>
    <row r="2450" spans="1:13" ht="15">
      <c r="A2450" t="s">
        <v>3783</v>
      </c>
      <c r="B2450" s="1040" t="str">
        <f>CONCATENATE(LEFT(RIGHT(CONCATENATE("000",IFAData_TEA_1819!A2450),6),3),"-",(RIGHT(RIGHT(CONCATENATE("000",IFAData_TEA_1819!A2450),6),3)))</f>
        <v>247-901</v>
      </c>
      <c r="C2450" t="s">
        <v>110</v>
      </c>
      <c r="D2450">
        <v>9</v>
      </c>
      <c r="E2450">
        <v>1814</v>
      </c>
      <c r="F2450" t="s">
        <v>5705</v>
      </c>
      <c r="G2450" t="s">
        <v>8524</v>
      </c>
      <c r="H2450">
        <v>812750</v>
      </c>
      <c r="I2450">
        <v>425775</v>
      </c>
      <c r="J2450">
        <v>0.31873441979892703</v>
      </c>
      <c r="K2450">
        <v>259051.399691578</v>
      </c>
      <c r="L2450">
        <v>259051.399691578</v>
      </c>
      <c r="M2450">
        <v>599</v>
      </c>
    </row>
    <row r="2451" spans="1:13" ht="15">
      <c r="A2451" t="s">
        <v>3783</v>
      </c>
      <c r="B2451" s="1040" t="str">
        <f>CONCATENATE(LEFT(RIGHT(CONCATENATE("000",IFAData_TEA_1819!A2451),6),3),"-",(RIGHT(RIGHT(CONCATENATE("000",IFAData_TEA_1819!A2451),6),3)))</f>
        <v>247-901</v>
      </c>
      <c r="C2451" t="s">
        <v>110</v>
      </c>
      <c r="D2451">
        <v>9</v>
      </c>
      <c r="E2451">
        <v>1814</v>
      </c>
      <c r="F2451" t="s">
        <v>5705</v>
      </c>
      <c r="G2451" t="s">
        <v>8547</v>
      </c>
      <c r="H2451">
        <v>812750</v>
      </c>
      <c r="I2451">
        <v>910055</v>
      </c>
      <c r="J2451">
        <v>0.68126558020107397</v>
      </c>
      <c r="K2451">
        <v>553698.600308422</v>
      </c>
      <c r="L2451">
        <v>553698.600308422</v>
      </c>
      <c r="M2451">
        <v>599</v>
      </c>
    </row>
    <row r="2452" spans="1:13" ht="15">
      <c r="A2452" t="s">
        <v>3784</v>
      </c>
      <c r="B2452" s="1040" t="str">
        <f>CONCATENATE(LEFT(RIGHT(CONCATENATE("000",IFAData_TEA_1819!A2452),6),3),"-",(RIGHT(RIGHT(CONCATENATE("000",IFAData_TEA_1819!A2452),6),3)))</f>
        <v>247-903</v>
      </c>
      <c r="C2452" t="s">
        <v>1900</v>
      </c>
      <c r="D2452">
        <v>2</v>
      </c>
      <c r="E2452">
        <v>1991</v>
      </c>
      <c r="F2452" t="s">
        <v>5706</v>
      </c>
      <c r="G2452" t="s">
        <v>5706</v>
      </c>
      <c r="H2452">
        <v>437879</v>
      </c>
      <c r="I2452">
        <v>0</v>
      </c>
      <c r="J2452">
        <v>0</v>
      </c>
      <c r="K2452">
        <v>0</v>
      </c>
      <c r="L2452">
        <v>0</v>
      </c>
      <c r="M2452">
        <v>599</v>
      </c>
    </row>
    <row r="2453" spans="1:13" ht="15">
      <c r="A2453" t="s">
        <v>3784</v>
      </c>
      <c r="B2453" s="1040" t="str">
        <f>CONCATENATE(LEFT(RIGHT(CONCATENATE("000",IFAData_TEA_1819!A2453),6),3),"-",(RIGHT(RIGHT(CONCATENATE("000",IFAData_TEA_1819!A2453),6),3)))</f>
        <v>247-903</v>
      </c>
      <c r="C2453" t="s">
        <v>1900</v>
      </c>
      <c r="D2453">
        <v>2</v>
      </c>
      <c r="E2453">
        <v>1991</v>
      </c>
      <c r="F2453" t="s">
        <v>5706</v>
      </c>
      <c r="G2453" t="s">
        <v>5707</v>
      </c>
      <c r="H2453">
        <v>437879</v>
      </c>
      <c r="I2453">
        <v>0</v>
      </c>
      <c r="J2453">
        <v>0</v>
      </c>
      <c r="K2453">
        <v>0</v>
      </c>
      <c r="L2453">
        <v>0</v>
      </c>
      <c r="M2453">
        <v>599</v>
      </c>
    </row>
    <row r="2454" spans="1:13" ht="15">
      <c r="A2454" t="s">
        <v>3784</v>
      </c>
      <c r="B2454" s="1040" t="str">
        <f>CONCATENATE(LEFT(RIGHT(CONCATENATE("000",IFAData_TEA_1819!A2454),6),3),"-",(RIGHT(RIGHT(CONCATENATE("000",IFAData_TEA_1819!A2454),6),3)))</f>
        <v>247-903</v>
      </c>
      <c r="C2454" t="s">
        <v>1900</v>
      </c>
      <c r="D2454">
        <v>2</v>
      </c>
      <c r="E2454">
        <v>1991</v>
      </c>
      <c r="F2454" t="s">
        <v>5706</v>
      </c>
      <c r="G2454" t="s">
        <v>8525</v>
      </c>
      <c r="H2454">
        <v>437879</v>
      </c>
      <c r="I2454">
        <v>185390</v>
      </c>
      <c r="J2454">
        <v>1</v>
      </c>
      <c r="K2454">
        <v>437879</v>
      </c>
      <c r="L2454">
        <v>185390</v>
      </c>
      <c r="M2454">
        <v>599</v>
      </c>
    </row>
    <row r="2455" spans="1:13" ht="15">
      <c r="A2455" t="s">
        <v>3784</v>
      </c>
      <c r="B2455" s="1040" t="str">
        <f>CONCATENATE(LEFT(RIGHT(CONCATENATE("000",IFAData_TEA_1819!A2455),6),3),"-",(RIGHT(RIGHT(CONCATENATE("000",IFAData_TEA_1819!A2455),6),3)))</f>
        <v>247-903</v>
      </c>
      <c r="C2455" t="s">
        <v>1900</v>
      </c>
      <c r="D2455">
        <v>9</v>
      </c>
      <c r="E2455">
        <v>1992</v>
      </c>
      <c r="F2455" t="s">
        <v>5708</v>
      </c>
      <c r="G2455" t="s">
        <v>5708</v>
      </c>
      <c r="H2455">
        <v>706725</v>
      </c>
      <c r="I2455">
        <v>0</v>
      </c>
      <c r="J2455">
        <v>0</v>
      </c>
      <c r="K2455">
        <v>0</v>
      </c>
      <c r="L2455">
        <v>0</v>
      </c>
      <c r="M2455">
        <v>599</v>
      </c>
    </row>
    <row r="2456" spans="1:13" ht="15">
      <c r="A2456" t="s">
        <v>3784</v>
      </c>
      <c r="B2456" s="1040" t="str">
        <f>CONCATENATE(LEFT(RIGHT(CONCATENATE("000",IFAData_TEA_1819!A2456),6),3),"-",(RIGHT(RIGHT(CONCATENATE("000",IFAData_TEA_1819!A2456),6),3)))</f>
        <v>247-903</v>
      </c>
      <c r="C2456" t="s">
        <v>1900</v>
      </c>
      <c r="D2456">
        <v>9</v>
      </c>
      <c r="E2456">
        <v>1992</v>
      </c>
      <c r="F2456" t="s">
        <v>5708</v>
      </c>
      <c r="G2456" t="s">
        <v>5709</v>
      </c>
      <c r="H2456">
        <v>706725</v>
      </c>
      <c r="I2456">
        <v>1015975</v>
      </c>
      <c r="J2456">
        <v>0.71090702352838298</v>
      </c>
      <c r="K2456">
        <v>502415.76620309602</v>
      </c>
      <c r="L2456">
        <v>502415.76620309602</v>
      </c>
      <c r="M2456">
        <v>599</v>
      </c>
    </row>
    <row r="2457" spans="1:13" ht="15">
      <c r="A2457" t="s">
        <v>3784</v>
      </c>
      <c r="B2457" s="1040" t="str">
        <f>CONCATENATE(LEFT(RIGHT(CONCATENATE("000",IFAData_TEA_1819!A2457),6),3),"-",(RIGHT(RIGHT(CONCATENATE("000",IFAData_TEA_1819!A2457),6),3)))</f>
        <v>247-903</v>
      </c>
      <c r="C2457" t="s">
        <v>1900</v>
      </c>
      <c r="D2457">
        <v>9</v>
      </c>
      <c r="E2457">
        <v>1992</v>
      </c>
      <c r="F2457" t="s">
        <v>5708</v>
      </c>
      <c r="G2457" t="s">
        <v>6362</v>
      </c>
      <c r="H2457">
        <v>706725</v>
      </c>
      <c r="I2457">
        <v>413150</v>
      </c>
      <c r="J2457">
        <v>0.28909297647161702</v>
      </c>
      <c r="K2457">
        <v>204309.23379690401</v>
      </c>
      <c r="L2457">
        <v>204309.23379690401</v>
      </c>
      <c r="M2457">
        <v>599</v>
      </c>
    </row>
    <row r="2458" spans="1:13" ht="15">
      <c r="A2458" t="s">
        <v>3784</v>
      </c>
      <c r="B2458" s="1040" t="str">
        <f>CONCATENATE(LEFT(RIGHT(CONCATENATE("000",IFAData_TEA_1819!A2458),6),3),"-",(RIGHT(RIGHT(CONCATENATE("000",IFAData_TEA_1819!A2458),6),3)))</f>
        <v>247-903</v>
      </c>
      <c r="C2458" t="s">
        <v>1900</v>
      </c>
      <c r="D2458">
        <v>10</v>
      </c>
      <c r="E2458">
        <v>1990</v>
      </c>
      <c r="F2458" t="s">
        <v>5710</v>
      </c>
      <c r="G2458" t="s">
        <v>5710</v>
      </c>
      <c r="H2458">
        <v>294937</v>
      </c>
      <c r="I2458">
        <v>148673</v>
      </c>
      <c r="J2458">
        <v>0.18582870656230699</v>
      </c>
      <c r="K2458">
        <v>54807.761227367198</v>
      </c>
      <c r="L2458">
        <v>54807.761227367198</v>
      </c>
      <c r="M2458">
        <v>599</v>
      </c>
    </row>
    <row r="2459" spans="1:13" ht="15">
      <c r="A2459" t="s">
        <v>3784</v>
      </c>
      <c r="B2459" s="1040" t="str">
        <f>CONCATENATE(LEFT(RIGHT(CONCATENATE("000",IFAData_TEA_1819!A2459),6),3),"-",(RIGHT(RIGHT(CONCATENATE("000",IFAData_TEA_1819!A2459),6),3)))</f>
        <v>247-903</v>
      </c>
      <c r="C2459" t="s">
        <v>1900</v>
      </c>
      <c r="D2459">
        <v>10</v>
      </c>
      <c r="E2459">
        <v>1990</v>
      </c>
      <c r="F2459" t="s">
        <v>5710</v>
      </c>
      <c r="G2459" t="s">
        <v>6833</v>
      </c>
      <c r="H2459">
        <v>294937</v>
      </c>
      <c r="I2459">
        <v>369221</v>
      </c>
      <c r="J2459">
        <v>0.46149509908081199</v>
      </c>
      <c r="K2459">
        <v>136111.98003759701</v>
      </c>
      <c r="L2459">
        <v>136111.98003759701</v>
      </c>
      <c r="M2459">
        <v>599</v>
      </c>
    </row>
    <row r="2460" spans="1:13" ht="15">
      <c r="A2460" t="s">
        <v>3784</v>
      </c>
      <c r="B2460" s="1040" t="str">
        <f>CONCATENATE(LEFT(RIGHT(CONCATENATE("000",IFAData_TEA_1819!A2460),6),3),"-",(RIGHT(RIGHT(CONCATENATE("000",IFAData_TEA_1819!A2460),6),3)))</f>
        <v>247-903</v>
      </c>
      <c r="C2460" t="s">
        <v>1900</v>
      </c>
      <c r="D2460">
        <v>10</v>
      </c>
      <c r="E2460">
        <v>1990</v>
      </c>
      <c r="F2460" t="s">
        <v>5710</v>
      </c>
      <c r="G2460" t="s">
        <v>8525</v>
      </c>
      <c r="H2460">
        <v>294937</v>
      </c>
      <c r="I2460">
        <v>282160</v>
      </c>
      <c r="J2460">
        <v>0.35267619435688102</v>
      </c>
      <c r="K2460">
        <v>104017.25873503499</v>
      </c>
      <c r="L2460">
        <v>104017.25873503499</v>
      </c>
      <c r="M2460">
        <v>599</v>
      </c>
    </row>
    <row r="2461" spans="1:13" ht="15">
      <c r="A2461" t="s">
        <v>3785</v>
      </c>
      <c r="B2461" s="1040" t="str">
        <f>CONCATENATE(LEFT(RIGHT(CONCATENATE("000",IFAData_TEA_1819!A2461),6),3),"-",(RIGHT(RIGHT(CONCATENATE("000",IFAData_TEA_1819!A2461),6),3)))</f>
        <v>247-904</v>
      </c>
      <c r="C2461" t="s">
        <v>1005</v>
      </c>
      <c r="D2461">
        <v>5</v>
      </c>
      <c r="E2461">
        <v>2206</v>
      </c>
      <c r="F2461" t="s">
        <v>5711</v>
      </c>
      <c r="G2461" t="s">
        <v>5711</v>
      </c>
      <c r="H2461">
        <v>154875</v>
      </c>
      <c r="I2461">
        <v>0</v>
      </c>
      <c r="J2461">
        <v>0</v>
      </c>
      <c r="K2461">
        <v>0</v>
      </c>
      <c r="L2461">
        <v>0</v>
      </c>
      <c r="M2461">
        <v>599</v>
      </c>
    </row>
    <row r="2462" spans="1:13" ht="15">
      <c r="A2462" t="s">
        <v>3785</v>
      </c>
      <c r="B2462" s="1040" t="str">
        <f>CONCATENATE(LEFT(RIGHT(CONCATENATE("000",IFAData_TEA_1819!A2462),6),3),"-",(RIGHT(RIGHT(CONCATENATE("000",IFAData_TEA_1819!A2462),6),3)))</f>
        <v>247-904</v>
      </c>
      <c r="C2462" t="s">
        <v>1005</v>
      </c>
      <c r="D2462">
        <v>5</v>
      </c>
      <c r="E2462">
        <v>2206</v>
      </c>
      <c r="F2462" t="s">
        <v>5711</v>
      </c>
      <c r="G2462" t="s">
        <v>5712</v>
      </c>
      <c r="H2462">
        <v>154875</v>
      </c>
      <c r="I2462">
        <v>142750</v>
      </c>
      <c r="J2462">
        <v>1</v>
      </c>
      <c r="K2462">
        <v>154875</v>
      </c>
      <c r="L2462">
        <v>142750</v>
      </c>
      <c r="M2462">
        <v>599</v>
      </c>
    </row>
    <row r="2463" spans="1:13" ht="15">
      <c r="A2463" t="s">
        <v>3786</v>
      </c>
      <c r="B2463" s="1040" t="str">
        <f>CONCATENATE(LEFT(RIGHT(CONCATENATE("000",IFAData_TEA_1819!A2463),6),3),"-",(RIGHT(RIGHT(CONCATENATE("000",IFAData_TEA_1819!A2463),6),3)))</f>
        <v>247-906</v>
      </c>
      <c r="C2463" t="s">
        <v>1941</v>
      </c>
      <c r="D2463">
        <v>3</v>
      </c>
      <c r="E2463">
        <v>2385</v>
      </c>
      <c r="F2463" t="s">
        <v>5713</v>
      </c>
      <c r="G2463" t="s">
        <v>5713</v>
      </c>
      <c r="H2463">
        <v>184365</v>
      </c>
      <c r="I2463">
        <v>0</v>
      </c>
      <c r="J2463">
        <v>0</v>
      </c>
      <c r="K2463">
        <v>0</v>
      </c>
      <c r="L2463">
        <v>0</v>
      </c>
      <c r="M2463">
        <v>599</v>
      </c>
    </row>
    <row r="2464" spans="1:13" ht="15">
      <c r="A2464" t="s">
        <v>3786</v>
      </c>
      <c r="B2464" s="1040" t="str">
        <f>CONCATENATE(LEFT(RIGHT(CONCATENATE("000",IFAData_TEA_1819!A2464),6),3),"-",(RIGHT(RIGHT(CONCATENATE("000",IFAData_TEA_1819!A2464),6),3)))</f>
        <v>247-906</v>
      </c>
      <c r="C2464" t="s">
        <v>1941</v>
      </c>
      <c r="D2464">
        <v>3</v>
      </c>
      <c r="E2464">
        <v>2385</v>
      </c>
      <c r="F2464" t="s">
        <v>5713</v>
      </c>
      <c r="G2464" t="s">
        <v>5714</v>
      </c>
      <c r="H2464">
        <v>184365</v>
      </c>
      <c r="I2464">
        <v>0</v>
      </c>
      <c r="J2464">
        <v>0</v>
      </c>
      <c r="K2464">
        <v>0</v>
      </c>
      <c r="L2464">
        <v>0</v>
      </c>
      <c r="M2464">
        <v>599</v>
      </c>
    </row>
    <row r="2465" spans="1:13" ht="15">
      <c r="A2465" t="s">
        <v>3786</v>
      </c>
      <c r="B2465" s="1040" t="str">
        <f>CONCATENATE(LEFT(RIGHT(CONCATENATE("000",IFAData_TEA_1819!A2465),6),3),"-",(RIGHT(RIGHT(CONCATENATE("000",IFAData_TEA_1819!A2465),6),3)))</f>
        <v>247-906</v>
      </c>
      <c r="C2465" t="s">
        <v>1941</v>
      </c>
      <c r="D2465">
        <v>3</v>
      </c>
      <c r="E2465">
        <v>2385</v>
      </c>
      <c r="F2465" t="s">
        <v>5713</v>
      </c>
      <c r="G2465" t="s">
        <v>6561</v>
      </c>
      <c r="H2465">
        <v>184365</v>
      </c>
      <c r="I2465">
        <v>169850</v>
      </c>
      <c r="J2465">
        <v>1</v>
      </c>
      <c r="K2465">
        <v>184365</v>
      </c>
      <c r="L2465">
        <v>169850</v>
      </c>
      <c r="M2465">
        <v>599</v>
      </c>
    </row>
    <row r="2466" spans="1:13" ht="15">
      <c r="A2466" t="s">
        <v>3786</v>
      </c>
      <c r="B2466" s="1040" t="str">
        <f>CONCATENATE(LEFT(RIGHT(CONCATENATE("000",IFAData_TEA_1819!A2466),6),3),"-",(RIGHT(RIGHT(CONCATENATE("000",IFAData_TEA_1819!A2466),6),3)))</f>
        <v>247-906</v>
      </c>
      <c r="C2466" t="s">
        <v>1941</v>
      </c>
      <c r="D2466">
        <v>9</v>
      </c>
      <c r="E2466">
        <v>2384</v>
      </c>
      <c r="F2466" t="s">
        <v>5715</v>
      </c>
      <c r="G2466" t="s">
        <v>5715</v>
      </c>
      <c r="H2466">
        <v>179000</v>
      </c>
      <c r="I2466">
        <v>0</v>
      </c>
      <c r="J2466">
        <v>0</v>
      </c>
      <c r="K2466">
        <v>0</v>
      </c>
      <c r="L2466">
        <v>0</v>
      </c>
      <c r="M2466">
        <v>599</v>
      </c>
    </row>
    <row r="2467" spans="1:13" ht="15">
      <c r="A2467" t="s">
        <v>3786</v>
      </c>
      <c r="B2467" s="1040" t="str">
        <f>CONCATENATE(LEFT(RIGHT(CONCATENATE("000",IFAData_TEA_1819!A2467),6),3),"-",(RIGHT(RIGHT(CONCATENATE("000",IFAData_TEA_1819!A2467),6),3)))</f>
        <v>247-906</v>
      </c>
      <c r="C2467" t="s">
        <v>1941</v>
      </c>
      <c r="D2467">
        <v>9</v>
      </c>
      <c r="E2467">
        <v>2384</v>
      </c>
      <c r="F2467" t="s">
        <v>5715</v>
      </c>
      <c r="G2467" t="s">
        <v>6363</v>
      </c>
      <c r="H2467">
        <v>179000</v>
      </c>
      <c r="I2467">
        <v>356875</v>
      </c>
      <c r="J2467">
        <v>1</v>
      </c>
      <c r="K2467">
        <v>179000</v>
      </c>
      <c r="L2467">
        <v>179000</v>
      </c>
      <c r="M2467">
        <v>599</v>
      </c>
    </row>
    <row r="2468" spans="1:13" ht="15">
      <c r="A2468" t="s">
        <v>3786</v>
      </c>
      <c r="B2468" s="1040" t="str">
        <f>CONCATENATE(LEFT(RIGHT(CONCATENATE("000",IFAData_TEA_1819!A2468),6),3),"-",(RIGHT(RIGHT(CONCATENATE("000",IFAData_TEA_1819!A2468),6),3)))</f>
        <v>247-906</v>
      </c>
      <c r="C2468" t="s">
        <v>1941</v>
      </c>
      <c r="D2468">
        <v>11</v>
      </c>
      <c r="E2468">
        <v>2584</v>
      </c>
      <c r="F2468" t="s">
        <v>8526</v>
      </c>
      <c r="G2468" t="s">
        <v>8526</v>
      </c>
      <c r="H2468">
        <v>187054</v>
      </c>
      <c r="I2468">
        <v>252813</v>
      </c>
      <c r="J2468">
        <v>1</v>
      </c>
      <c r="K2468">
        <v>187054</v>
      </c>
      <c r="L2468">
        <v>187054</v>
      </c>
      <c r="M2468">
        <v>599</v>
      </c>
    </row>
    <row r="2469" spans="1:13" ht="15">
      <c r="A2469" t="s">
        <v>3787</v>
      </c>
      <c r="B2469" s="1040" t="str">
        <f>CONCATENATE(LEFT(RIGHT(CONCATENATE("000",IFAData_TEA_1819!A2469),6),3),"-",(RIGHT(RIGHT(CONCATENATE("000",IFAData_TEA_1819!A2469),6),3)))</f>
        <v>249-901</v>
      </c>
      <c r="C2469" t="s">
        <v>1053</v>
      </c>
      <c r="D2469">
        <v>5</v>
      </c>
      <c r="E2469">
        <v>1570</v>
      </c>
      <c r="F2469" t="s">
        <v>5716</v>
      </c>
      <c r="G2469" t="s">
        <v>5716</v>
      </c>
      <c r="H2469">
        <v>283052</v>
      </c>
      <c r="I2469">
        <v>0</v>
      </c>
      <c r="J2469">
        <v>0</v>
      </c>
      <c r="K2469">
        <v>0</v>
      </c>
      <c r="L2469">
        <v>0</v>
      </c>
      <c r="M2469">
        <v>599</v>
      </c>
    </row>
    <row r="2470" spans="1:13" ht="15">
      <c r="A2470" t="s">
        <v>3787</v>
      </c>
      <c r="B2470" s="1040" t="str">
        <f>CONCATENATE(LEFT(RIGHT(CONCATENATE("000",IFAData_TEA_1819!A2470),6),3),"-",(RIGHT(RIGHT(CONCATENATE("000",IFAData_TEA_1819!A2470),6),3)))</f>
        <v>249-901</v>
      </c>
      <c r="C2470" t="s">
        <v>1053</v>
      </c>
      <c r="D2470">
        <v>5</v>
      </c>
      <c r="E2470">
        <v>1570</v>
      </c>
      <c r="F2470" t="s">
        <v>5716</v>
      </c>
      <c r="G2470" t="s">
        <v>5717</v>
      </c>
      <c r="H2470">
        <v>283052</v>
      </c>
      <c r="I2470">
        <v>0</v>
      </c>
      <c r="J2470">
        <v>0</v>
      </c>
      <c r="K2470">
        <v>0</v>
      </c>
      <c r="L2470">
        <v>0</v>
      </c>
      <c r="M2470">
        <v>599</v>
      </c>
    </row>
    <row r="2471" spans="1:13" ht="15">
      <c r="A2471" t="s">
        <v>3787</v>
      </c>
      <c r="B2471" s="1040" t="str">
        <f>CONCATENATE(LEFT(RIGHT(CONCATENATE("000",IFAData_TEA_1819!A2471),6),3),"-",(RIGHT(RIGHT(CONCATENATE("000",IFAData_TEA_1819!A2471),6),3)))</f>
        <v>249-901</v>
      </c>
      <c r="C2471" t="s">
        <v>1053</v>
      </c>
      <c r="D2471">
        <v>5</v>
      </c>
      <c r="E2471">
        <v>1570</v>
      </c>
      <c r="F2471" t="s">
        <v>5716</v>
      </c>
      <c r="G2471" t="s">
        <v>6364</v>
      </c>
      <c r="H2471">
        <v>283052</v>
      </c>
      <c r="I2471">
        <v>352893</v>
      </c>
      <c r="J2471">
        <v>1</v>
      </c>
      <c r="K2471">
        <v>283052</v>
      </c>
      <c r="L2471">
        <v>283052</v>
      </c>
      <c r="M2471">
        <v>599</v>
      </c>
    </row>
    <row r="2472" spans="1:13" ht="15">
      <c r="A2472" t="s">
        <v>3787</v>
      </c>
      <c r="B2472" s="1040" t="str">
        <f>CONCATENATE(LEFT(RIGHT(CONCATENATE("000",IFAData_TEA_1819!A2472),6),3),"-",(RIGHT(RIGHT(CONCATENATE("000",IFAData_TEA_1819!A2472),6),3)))</f>
        <v>249-901</v>
      </c>
      <c r="C2472" t="s">
        <v>1053</v>
      </c>
      <c r="D2472">
        <v>9</v>
      </c>
      <c r="E2472">
        <v>1569</v>
      </c>
      <c r="F2472" t="s">
        <v>5718</v>
      </c>
      <c r="G2472" t="s">
        <v>5718</v>
      </c>
      <c r="H2472">
        <v>183118</v>
      </c>
      <c r="I2472">
        <v>0</v>
      </c>
      <c r="J2472">
        <v>0</v>
      </c>
      <c r="K2472">
        <v>0</v>
      </c>
      <c r="L2472">
        <v>0</v>
      </c>
      <c r="M2472">
        <v>599</v>
      </c>
    </row>
    <row r="2473" spans="1:13" ht="15">
      <c r="A2473" t="s">
        <v>3787</v>
      </c>
      <c r="B2473" s="1040" t="str">
        <f>CONCATENATE(LEFT(RIGHT(CONCATENATE("000",IFAData_TEA_1819!A2473),6),3),"-",(RIGHT(RIGHT(CONCATENATE("000",IFAData_TEA_1819!A2473),6),3)))</f>
        <v>249-901</v>
      </c>
      <c r="C2473" t="s">
        <v>1053</v>
      </c>
      <c r="D2473">
        <v>9</v>
      </c>
      <c r="E2473">
        <v>1569</v>
      </c>
      <c r="F2473" t="s">
        <v>5718</v>
      </c>
      <c r="G2473" t="s">
        <v>6364</v>
      </c>
      <c r="H2473">
        <v>183118</v>
      </c>
      <c r="I2473">
        <v>330543</v>
      </c>
      <c r="J2473">
        <v>1</v>
      </c>
      <c r="K2473">
        <v>183118</v>
      </c>
      <c r="L2473">
        <v>183118</v>
      </c>
      <c r="M2473">
        <v>599</v>
      </c>
    </row>
    <row r="2474" spans="1:13" ht="15">
      <c r="A2474" t="s">
        <v>3788</v>
      </c>
      <c r="B2474" s="1040" t="str">
        <f>CONCATENATE(LEFT(RIGHT(CONCATENATE("000",IFAData_TEA_1819!A2474),6),3),"-",(RIGHT(RIGHT(CONCATENATE("000",IFAData_TEA_1819!A2474),6),3)))</f>
        <v>249-906</v>
      </c>
      <c r="C2474" t="s">
        <v>1365</v>
      </c>
      <c r="D2474">
        <v>2</v>
      </c>
      <c r="E2474">
        <v>2173</v>
      </c>
      <c r="F2474" t="s">
        <v>5719</v>
      </c>
      <c r="G2474" t="s">
        <v>5719</v>
      </c>
      <c r="H2474">
        <v>191624</v>
      </c>
      <c r="I2474">
        <v>0</v>
      </c>
      <c r="J2474">
        <v>0</v>
      </c>
      <c r="K2474">
        <v>0</v>
      </c>
      <c r="L2474">
        <v>0</v>
      </c>
      <c r="M2474">
        <v>599</v>
      </c>
    </row>
    <row r="2475" spans="1:13" ht="15">
      <c r="A2475" t="s">
        <v>3788</v>
      </c>
      <c r="B2475" s="1040" t="str">
        <f>CONCATENATE(LEFT(RIGHT(CONCATENATE("000",IFAData_TEA_1819!A2475),6),3),"-",(RIGHT(RIGHT(CONCATENATE("000",IFAData_TEA_1819!A2475),6),3)))</f>
        <v>249-906</v>
      </c>
      <c r="C2475" t="s">
        <v>1365</v>
      </c>
      <c r="D2475">
        <v>2</v>
      </c>
      <c r="E2475">
        <v>2173</v>
      </c>
      <c r="F2475" t="s">
        <v>5719</v>
      </c>
      <c r="G2475" t="s">
        <v>5720</v>
      </c>
      <c r="H2475">
        <v>191624</v>
      </c>
      <c r="I2475">
        <v>137092</v>
      </c>
      <c r="J2475">
        <v>1</v>
      </c>
      <c r="K2475">
        <v>191624</v>
      </c>
      <c r="L2475">
        <v>137092</v>
      </c>
      <c r="M2475">
        <v>599</v>
      </c>
    </row>
    <row r="2476" spans="1:13" ht="15">
      <c r="A2476" t="s">
        <v>3788</v>
      </c>
      <c r="B2476" s="1040" t="str">
        <f>CONCATENATE(LEFT(RIGHT(CONCATENATE("000",IFAData_TEA_1819!A2476),6),3),"-",(RIGHT(RIGHT(CONCATENATE("000",IFAData_TEA_1819!A2476),6),3)))</f>
        <v>249-906</v>
      </c>
      <c r="C2476" t="s">
        <v>1365</v>
      </c>
      <c r="D2476">
        <v>5</v>
      </c>
      <c r="E2476">
        <v>2174</v>
      </c>
      <c r="F2476" t="s">
        <v>5721</v>
      </c>
      <c r="G2476" t="s">
        <v>5721</v>
      </c>
      <c r="H2476">
        <v>221531</v>
      </c>
      <c r="I2476">
        <v>0</v>
      </c>
      <c r="J2476">
        <v>0</v>
      </c>
      <c r="K2476">
        <v>0</v>
      </c>
      <c r="L2476">
        <v>0</v>
      </c>
      <c r="M2476">
        <v>599</v>
      </c>
    </row>
    <row r="2477" spans="1:13" ht="15">
      <c r="A2477" t="s">
        <v>3788</v>
      </c>
      <c r="B2477" s="1040" t="str">
        <f>CONCATENATE(LEFT(RIGHT(CONCATENATE("000",IFAData_TEA_1819!A2477),6),3),"-",(RIGHT(RIGHT(CONCATENATE("000",IFAData_TEA_1819!A2477),6),3)))</f>
        <v>249-906</v>
      </c>
      <c r="C2477" t="s">
        <v>1365</v>
      </c>
      <c r="D2477">
        <v>5</v>
      </c>
      <c r="E2477">
        <v>2174</v>
      </c>
      <c r="F2477" t="s">
        <v>5721</v>
      </c>
      <c r="G2477" t="s">
        <v>5720</v>
      </c>
      <c r="H2477">
        <v>221531</v>
      </c>
      <c r="I2477">
        <v>312690</v>
      </c>
      <c r="J2477">
        <v>1</v>
      </c>
      <c r="K2477">
        <v>221531</v>
      </c>
      <c r="L2477">
        <v>221531</v>
      </c>
      <c r="M2477">
        <v>599</v>
      </c>
    </row>
    <row r="2478" spans="1:13" ht="15">
      <c r="A2478" t="s">
        <v>3789</v>
      </c>
      <c r="B2478" s="1040" t="str">
        <f>CONCATENATE(LEFT(RIGHT(CONCATENATE("000",IFAData_TEA_1819!A2478),6),3),"-",(RIGHT(RIGHT(CONCATENATE("000",IFAData_TEA_1819!A2478),6),3)))</f>
        <v>249-908</v>
      </c>
      <c r="C2478" t="s">
        <v>1927</v>
      </c>
      <c r="D2478">
        <v>1</v>
      </c>
      <c r="E2478">
        <v>2340</v>
      </c>
      <c r="F2478" t="s">
        <v>5722</v>
      </c>
      <c r="G2478" t="s">
        <v>5722</v>
      </c>
      <c r="H2478">
        <v>100000</v>
      </c>
      <c r="I2478">
        <v>0</v>
      </c>
      <c r="J2478">
        <v>0</v>
      </c>
      <c r="K2478">
        <v>0</v>
      </c>
      <c r="L2478">
        <v>0</v>
      </c>
      <c r="M2478">
        <v>599</v>
      </c>
    </row>
    <row r="2479" spans="1:13" ht="15">
      <c r="A2479" t="s">
        <v>3789</v>
      </c>
      <c r="B2479" s="1040" t="str">
        <f>CONCATENATE(LEFT(RIGHT(CONCATENATE("000",IFAData_TEA_1819!A2479),6),3),"-",(RIGHT(RIGHT(CONCATENATE("000",IFAData_TEA_1819!A2479),6),3)))</f>
        <v>249-908</v>
      </c>
      <c r="C2479" t="s">
        <v>1927</v>
      </c>
      <c r="D2479">
        <v>1</v>
      </c>
      <c r="E2479">
        <v>2340</v>
      </c>
      <c r="F2479" t="s">
        <v>5722</v>
      </c>
      <c r="G2479" t="s">
        <v>5723</v>
      </c>
      <c r="H2479">
        <v>100000</v>
      </c>
      <c r="I2479">
        <v>74909</v>
      </c>
      <c r="J2479">
        <v>1</v>
      </c>
      <c r="K2479">
        <v>100000</v>
      </c>
      <c r="L2479">
        <v>74909</v>
      </c>
      <c r="M2479">
        <v>599</v>
      </c>
    </row>
    <row r="2480" spans="1:13" ht="15">
      <c r="A2480" t="s">
        <v>3789</v>
      </c>
      <c r="B2480" s="1040" t="str">
        <f>CONCATENATE(LEFT(RIGHT(CONCATENATE("000",IFAData_TEA_1819!A2480),6),3),"-",(RIGHT(RIGHT(CONCATENATE("000",IFAData_TEA_1819!A2480),6),3)))</f>
        <v>249-908</v>
      </c>
      <c r="C2480" t="s">
        <v>1927</v>
      </c>
      <c r="D2480">
        <v>5</v>
      </c>
      <c r="E2480">
        <v>2341</v>
      </c>
      <c r="F2480" t="s">
        <v>5724</v>
      </c>
      <c r="G2480" t="s">
        <v>5724</v>
      </c>
      <c r="H2480">
        <v>100000</v>
      </c>
      <c r="I2480">
        <v>0</v>
      </c>
      <c r="J2480">
        <v>0</v>
      </c>
      <c r="K2480">
        <v>0</v>
      </c>
      <c r="L2480">
        <v>0</v>
      </c>
      <c r="M2480">
        <v>599</v>
      </c>
    </row>
    <row r="2481" spans="1:13" ht="15">
      <c r="A2481" t="s">
        <v>3789</v>
      </c>
      <c r="B2481" s="1040" t="str">
        <f>CONCATENATE(LEFT(RIGHT(CONCATENATE("000",IFAData_TEA_1819!A2481),6),3),"-",(RIGHT(RIGHT(CONCATENATE("000",IFAData_TEA_1819!A2481),6),3)))</f>
        <v>249-908</v>
      </c>
      <c r="C2481" t="s">
        <v>1927</v>
      </c>
      <c r="D2481">
        <v>5</v>
      </c>
      <c r="E2481">
        <v>2341</v>
      </c>
      <c r="F2481" t="s">
        <v>5724</v>
      </c>
      <c r="G2481" t="s">
        <v>5723</v>
      </c>
      <c r="H2481">
        <v>100000</v>
      </c>
      <c r="I2481">
        <v>113727</v>
      </c>
      <c r="J2481">
        <v>1</v>
      </c>
      <c r="K2481">
        <v>100000</v>
      </c>
      <c r="L2481">
        <v>100000</v>
      </c>
      <c r="M2481">
        <v>599</v>
      </c>
    </row>
    <row r="2482" spans="1:13" ht="15">
      <c r="A2482" t="s">
        <v>3790</v>
      </c>
      <c r="B2482" s="1040" t="str">
        <f>CONCATENATE(LEFT(RIGHT(CONCATENATE("000",IFAData_TEA_1819!A2482),6),3),"-",(RIGHT(RIGHT(CONCATENATE("000",IFAData_TEA_1819!A2482),6),3)))</f>
        <v>252-901</v>
      </c>
      <c r="C2482" t="s">
        <v>862</v>
      </c>
      <c r="D2482">
        <v>2</v>
      </c>
      <c r="E2482">
        <v>1851</v>
      </c>
      <c r="F2482" t="s">
        <v>5725</v>
      </c>
      <c r="G2482" t="s">
        <v>5725</v>
      </c>
      <c r="H2482">
        <v>126142</v>
      </c>
      <c r="I2482">
        <v>0</v>
      </c>
      <c r="J2482">
        <v>0</v>
      </c>
      <c r="K2482"/>
      <c r="L2482">
        <v>0</v>
      </c>
      <c r="M2482">
        <v>599</v>
      </c>
    </row>
    <row r="2483" spans="1:13" ht="15">
      <c r="A2483" t="s">
        <v>3790</v>
      </c>
      <c r="B2483" s="1040" t="str">
        <f>CONCATENATE(LEFT(RIGHT(CONCATENATE("000",IFAData_TEA_1819!A2483),6),3),"-",(RIGHT(RIGHT(CONCATENATE("000",IFAData_TEA_1819!A2483),6),3)))</f>
        <v>252-901</v>
      </c>
      <c r="C2483" t="s">
        <v>862</v>
      </c>
      <c r="D2483">
        <v>6</v>
      </c>
      <c r="E2483">
        <v>1852</v>
      </c>
      <c r="F2483" t="s">
        <v>5726</v>
      </c>
      <c r="G2483" t="s">
        <v>5726</v>
      </c>
      <c r="H2483">
        <v>486964</v>
      </c>
      <c r="I2483">
        <v>0</v>
      </c>
      <c r="J2483">
        <v>0</v>
      </c>
      <c r="K2483">
        <v>0</v>
      </c>
      <c r="L2483">
        <v>0</v>
      </c>
      <c r="M2483">
        <v>599</v>
      </c>
    </row>
    <row r="2484" spans="1:13" ht="15">
      <c r="A2484" t="s">
        <v>3790</v>
      </c>
      <c r="B2484" s="1040" t="str">
        <f>CONCATENATE(LEFT(RIGHT(CONCATENATE("000",IFAData_TEA_1819!A2484),6),3),"-",(RIGHT(RIGHT(CONCATENATE("000",IFAData_TEA_1819!A2484),6),3)))</f>
        <v>252-901</v>
      </c>
      <c r="C2484" t="s">
        <v>862</v>
      </c>
      <c r="D2484">
        <v>6</v>
      </c>
      <c r="E2484">
        <v>1852</v>
      </c>
      <c r="F2484" t="s">
        <v>5726</v>
      </c>
      <c r="G2484" t="s">
        <v>5727</v>
      </c>
      <c r="H2484">
        <v>486964</v>
      </c>
      <c r="I2484">
        <v>456369</v>
      </c>
      <c r="J2484">
        <v>1</v>
      </c>
      <c r="K2484">
        <v>486964</v>
      </c>
      <c r="L2484">
        <v>456369</v>
      </c>
      <c r="M2484">
        <v>599</v>
      </c>
    </row>
    <row r="2485" spans="1:13" ht="15">
      <c r="A2485" t="s">
        <v>3790</v>
      </c>
      <c r="B2485" s="1040" t="str">
        <f>CONCATENATE(LEFT(RIGHT(CONCATENATE("000",IFAData_TEA_1819!A2485),6),3),"-",(RIGHT(RIGHT(CONCATENATE("000",IFAData_TEA_1819!A2485),6),3)))</f>
        <v>252-901</v>
      </c>
      <c r="C2485" t="s">
        <v>862</v>
      </c>
      <c r="D2485">
        <v>9</v>
      </c>
      <c r="E2485">
        <v>1853</v>
      </c>
      <c r="F2485" t="s">
        <v>5728</v>
      </c>
      <c r="G2485" t="s">
        <v>5728</v>
      </c>
      <c r="H2485">
        <v>557500</v>
      </c>
      <c r="I2485">
        <v>0</v>
      </c>
      <c r="J2485">
        <v>0</v>
      </c>
      <c r="K2485">
        <v>0</v>
      </c>
      <c r="L2485">
        <v>0</v>
      </c>
      <c r="M2485">
        <v>599</v>
      </c>
    </row>
    <row r="2486" spans="1:13" ht="15">
      <c r="A2486" t="s">
        <v>3790</v>
      </c>
      <c r="B2486" s="1040" t="str">
        <f>CONCATENATE(LEFT(RIGHT(CONCATENATE("000",IFAData_TEA_1819!A2486),6),3),"-",(RIGHT(RIGHT(CONCATENATE("000",IFAData_TEA_1819!A2486),6),3)))</f>
        <v>252-901</v>
      </c>
      <c r="C2486" t="s">
        <v>862</v>
      </c>
      <c r="D2486">
        <v>9</v>
      </c>
      <c r="E2486">
        <v>1853</v>
      </c>
      <c r="F2486" t="s">
        <v>5728</v>
      </c>
      <c r="G2486" t="s">
        <v>5729</v>
      </c>
      <c r="H2486">
        <v>557500</v>
      </c>
      <c r="I2486">
        <v>1905453</v>
      </c>
      <c r="J2486">
        <v>1</v>
      </c>
      <c r="K2486">
        <v>557500</v>
      </c>
      <c r="L2486">
        <v>557500</v>
      </c>
      <c r="M2486">
        <v>599</v>
      </c>
    </row>
    <row r="2487" spans="1:13" ht="15">
      <c r="A2487" t="s">
        <v>3791</v>
      </c>
      <c r="B2487" s="1040" t="str">
        <f>CONCATENATE(LEFT(RIGHT(CONCATENATE("000",IFAData_TEA_1819!A2487),6),3),"-",(RIGHT(RIGHT(CONCATENATE("000",IFAData_TEA_1819!A2487),6),3)))</f>
        <v>252-903</v>
      </c>
      <c r="C2487" t="s">
        <v>825</v>
      </c>
      <c r="D2487">
        <v>4</v>
      </c>
      <c r="E2487">
        <v>2160</v>
      </c>
      <c r="F2487" t="s">
        <v>5730</v>
      </c>
      <c r="G2487" t="s">
        <v>5730</v>
      </c>
      <c r="H2487">
        <v>195206</v>
      </c>
      <c r="I2487">
        <v>0</v>
      </c>
      <c r="J2487">
        <v>0</v>
      </c>
      <c r="K2487"/>
      <c r="L2487">
        <v>0</v>
      </c>
      <c r="M2487">
        <v>599</v>
      </c>
    </row>
    <row r="2488" spans="1:13" ht="15">
      <c r="A2488" t="s">
        <v>3791</v>
      </c>
      <c r="B2488" s="1040" t="str">
        <f>CONCATENATE(LEFT(RIGHT(CONCATENATE("000",IFAData_TEA_1819!A2488),6),3),"-",(RIGHT(RIGHT(CONCATENATE("000",IFAData_TEA_1819!A2488),6),3)))</f>
        <v>252-903</v>
      </c>
      <c r="C2488" t="s">
        <v>825</v>
      </c>
      <c r="D2488">
        <v>4</v>
      </c>
      <c r="E2488">
        <v>2160</v>
      </c>
      <c r="F2488" t="s">
        <v>5730</v>
      </c>
      <c r="G2488" t="s">
        <v>5731</v>
      </c>
      <c r="H2488">
        <v>195206</v>
      </c>
      <c r="I2488">
        <v>0</v>
      </c>
      <c r="J2488">
        <v>0</v>
      </c>
      <c r="K2488"/>
      <c r="L2488">
        <v>0</v>
      </c>
      <c r="M2488">
        <v>599</v>
      </c>
    </row>
    <row r="2489" spans="1:13" ht="15">
      <c r="A2489" t="s">
        <v>3791</v>
      </c>
      <c r="B2489" s="1040" t="str">
        <f>CONCATENATE(LEFT(RIGHT(CONCATENATE("000",IFAData_TEA_1819!A2489),6),3),"-",(RIGHT(RIGHT(CONCATENATE("000",IFAData_TEA_1819!A2489),6),3)))</f>
        <v>252-903</v>
      </c>
      <c r="C2489" t="s">
        <v>825</v>
      </c>
      <c r="D2489">
        <v>5</v>
      </c>
      <c r="E2489">
        <v>2159</v>
      </c>
      <c r="F2489" t="s">
        <v>5732</v>
      </c>
      <c r="G2489" t="s">
        <v>5732</v>
      </c>
      <c r="H2489">
        <v>188253</v>
      </c>
      <c r="I2489">
        <v>0</v>
      </c>
      <c r="J2489">
        <v>0</v>
      </c>
      <c r="K2489">
        <v>0</v>
      </c>
      <c r="L2489">
        <v>0</v>
      </c>
      <c r="M2489">
        <v>599</v>
      </c>
    </row>
    <row r="2490" spans="1:13" ht="15">
      <c r="A2490" t="s">
        <v>3791</v>
      </c>
      <c r="B2490" s="1040" t="str">
        <f>CONCATENATE(LEFT(RIGHT(CONCATENATE("000",IFAData_TEA_1819!A2490),6),3),"-",(RIGHT(RIGHT(CONCATENATE("000",IFAData_TEA_1819!A2490),6),3)))</f>
        <v>252-903</v>
      </c>
      <c r="C2490" t="s">
        <v>825</v>
      </c>
      <c r="D2490">
        <v>5</v>
      </c>
      <c r="E2490">
        <v>2159</v>
      </c>
      <c r="F2490" t="s">
        <v>5732</v>
      </c>
      <c r="G2490" t="s">
        <v>5733</v>
      </c>
      <c r="H2490">
        <v>188253</v>
      </c>
      <c r="I2490">
        <v>184500</v>
      </c>
      <c r="J2490">
        <v>1</v>
      </c>
      <c r="K2490">
        <v>188253</v>
      </c>
      <c r="L2490">
        <v>184500</v>
      </c>
      <c r="M2490">
        <v>599</v>
      </c>
    </row>
    <row r="2491" spans="1:13" ht="15">
      <c r="A2491" t="s">
        <v>3792</v>
      </c>
      <c r="B2491" s="1040" t="str">
        <f>CONCATENATE(LEFT(RIGHT(CONCATENATE("000",IFAData_TEA_1819!A2491),6),3),"-",(RIGHT(RIGHT(CONCATENATE("000",IFAData_TEA_1819!A2491),6),3)))</f>
        <v>254-901</v>
      </c>
      <c r="C2491" t="s">
        <v>420</v>
      </c>
      <c r="D2491">
        <v>2</v>
      </c>
      <c r="E2491">
        <v>1739</v>
      </c>
      <c r="F2491" t="s">
        <v>5734</v>
      </c>
      <c r="G2491" t="s">
        <v>5734</v>
      </c>
      <c r="H2491">
        <v>396447</v>
      </c>
      <c r="I2491">
        <v>0</v>
      </c>
      <c r="J2491">
        <v>0</v>
      </c>
      <c r="K2491">
        <v>0</v>
      </c>
      <c r="L2491">
        <v>0</v>
      </c>
      <c r="M2491">
        <v>599</v>
      </c>
    </row>
    <row r="2492" spans="1:13" ht="15">
      <c r="A2492" t="s">
        <v>3792</v>
      </c>
      <c r="B2492" s="1040" t="str">
        <f>CONCATENATE(LEFT(RIGHT(CONCATENATE("000",IFAData_TEA_1819!A2492),6),3),"-",(RIGHT(RIGHT(CONCATENATE("000",IFAData_TEA_1819!A2492),6),3)))</f>
        <v>254-901</v>
      </c>
      <c r="C2492" t="s">
        <v>420</v>
      </c>
      <c r="D2492">
        <v>2</v>
      </c>
      <c r="E2492">
        <v>1739</v>
      </c>
      <c r="F2492" t="s">
        <v>5734</v>
      </c>
      <c r="G2492" t="s">
        <v>5735</v>
      </c>
      <c r="H2492">
        <v>396447</v>
      </c>
      <c r="I2492">
        <v>0</v>
      </c>
      <c r="J2492">
        <v>0</v>
      </c>
      <c r="K2492">
        <v>0</v>
      </c>
      <c r="L2492">
        <v>0</v>
      </c>
      <c r="M2492">
        <v>599</v>
      </c>
    </row>
    <row r="2493" spans="1:13" ht="15">
      <c r="A2493" t="s">
        <v>3792</v>
      </c>
      <c r="B2493" s="1040" t="str">
        <f>CONCATENATE(LEFT(RIGHT(CONCATENATE("000",IFAData_TEA_1819!A2493),6),3),"-",(RIGHT(RIGHT(CONCATENATE("000",IFAData_TEA_1819!A2493),6),3)))</f>
        <v>254-901</v>
      </c>
      <c r="C2493" t="s">
        <v>420</v>
      </c>
      <c r="D2493">
        <v>2</v>
      </c>
      <c r="E2493">
        <v>1739</v>
      </c>
      <c r="F2493" t="s">
        <v>5734</v>
      </c>
      <c r="G2493" t="s">
        <v>5736</v>
      </c>
      <c r="H2493">
        <v>396447</v>
      </c>
      <c r="I2493">
        <v>0</v>
      </c>
      <c r="J2493">
        <v>0</v>
      </c>
      <c r="K2493">
        <v>0</v>
      </c>
      <c r="L2493">
        <v>0</v>
      </c>
      <c r="M2493">
        <v>599</v>
      </c>
    </row>
    <row r="2494" spans="1:13" ht="15">
      <c r="A2494" t="s">
        <v>3792</v>
      </c>
      <c r="B2494" s="1040" t="str">
        <f>CONCATENATE(LEFT(RIGHT(CONCATENATE("000",IFAData_TEA_1819!A2494),6),3),"-",(RIGHT(RIGHT(CONCATENATE("000",IFAData_TEA_1819!A2494),6),3)))</f>
        <v>254-901</v>
      </c>
      <c r="C2494" t="s">
        <v>420</v>
      </c>
      <c r="D2494">
        <v>2</v>
      </c>
      <c r="E2494">
        <v>1739</v>
      </c>
      <c r="F2494" t="s">
        <v>5734</v>
      </c>
      <c r="G2494" t="s">
        <v>6365</v>
      </c>
      <c r="H2494">
        <v>396447</v>
      </c>
      <c r="I2494">
        <v>477325</v>
      </c>
      <c r="J2494">
        <v>1</v>
      </c>
      <c r="K2494">
        <v>396447</v>
      </c>
      <c r="L2494">
        <v>396447</v>
      </c>
      <c r="M2494">
        <v>599</v>
      </c>
    </row>
    <row r="2495" spans="1:13" ht="15">
      <c r="A2495" t="s">
        <v>3792</v>
      </c>
      <c r="B2495" s="1040" t="str">
        <f>CONCATENATE(LEFT(RIGHT(CONCATENATE("000",IFAData_TEA_1819!A2495),6),3),"-",(RIGHT(RIGHT(CONCATENATE("000",IFAData_TEA_1819!A2495),6),3)))</f>
        <v>254-901</v>
      </c>
      <c r="C2495" t="s">
        <v>420</v>
      </c>
      <c r="D2495">
        <v>4</v>
      </c>
      <c r="E2495">
        <v>1736</v>
      </c>
      <c r="F2495" t="s">
        <v>5737</v>
      </c>
      <c r="G2495" t="s">
        <v>5737</v>
      </c>
      <c r="H2495">
        <v>192712</v>
      </c>
      <c r="I2495">
        <v>0</v>
      </c>
      <c r="J2495">
        <v>0</v>
      </c>
      <c r="K2495">
        <v>0</v>
      </c>
      <c r="L2495">
        <v>0</v>
      </c>
      <c r="M2495">
        <v>599</v>
      </c>
    </row>
    <row r="2496" spans="1:13" ht="15">
      <c r="A2496" t="s">
        <v>3792</v>
      </c>
      <c r="B2496" s="1040" t="str">
        <f>CONCATENATE(LEFT(RIGHT(CONCATENATE("000",IFAData_TEA_1819!A2496),6),3),"-",(RIGHT(RIGHT(CONCATENATE("000",IFAData_TEA_1819!A2496),6),3)))</f>
        <v>254-901</v>
      </c>
      <c r="C2496" t="s">
        <v>420</v>
      </c>
      <c r="D2496">
        <v>4</v>
      </c>
      <c r="E2496">
        <v>1736</v>
      </c>
      <c r="F2496" t="s">
        <v>5737</v>
      </c>
      <c r="G2496" t="s">
        <v>5735</v>
      </c>
      <c r="H2496">
        <v>192712</v>
      </c>
      <c r="I2496">
        <v>0</v>
      </c>
      <c r="J2496">
        <v>0</v>
      </c>
      <c r="K2496">
        <v>0</v>
      </c>
      <c r="L2496">
        <v>0</v>
      </c>
      <c r="M2496">
        <v>599</v>
      </c>
    </row>
    <row r="2497" spans="1:13" ht="15">
      <c r="A2497" t="s">
        <v>3792</v>
      </c>
      <c r="B2497" s="1040" t="str">
        <f>CONCATENATE(LEFT(RIGHT(CONCATENATE("000",IFAData_TEA_1819!A2497),6),3),"-",(RIGHT(RIGHT(CONCATENATE("000",IFAData_TEA_1819!A2497),6),3)))</f>
        <v>254-901</v>
      </c>
      <c r="C2497" t="s">
        <v>420</v>
      </c>
      <c r="D2497">
        <v>4</v>
      </c>
      <c r="E2497">
        <v>1736</v>
      </c>
      <c r="F2497" t="s">
        <v>5737</v>
      </c>
      <c r="G2497" t="s">
        <v>5736</v>
      </c>
      <c r="H2497">
        <v>192712</v>
      </c>
      <c r="I2497">
        <v>0</v>
      </c>
      <c r="J2497">
        <v>0</v>
      </c>
      <c r="K2497">
        <v>0</v>
      </c>
      <c r="L2497">
        <v>0</v>
      </c>
      <c r="M2497">
        <v>599</v>
      </c>
    </row>
    <row r="2498" spans="1:13" ht="15">
      <c r="A2498" t="s">
        <v>3792</v>
      </c>
      <c r="B2498" s="1040" t="str">
        <f>CONCATENATE(LEFT(RIGHT(CONCATENATE("000",IFAData_TEA_1819!A2498),6),3),"-",(RIGHT(RIGHT(CONCATENATE("000",IFAData_TEA_1819!A2498),6),3)))</f>
        <v>254-901</v>
      </c>
      <c r="C2498" t="s">
        <v>420</v>
      </c>
      <c r="D2498">
        <v>4</v>
      </c>
      <c r="E2498">
        <v>1736</v>
      </c>
      <c r="F2498" t="s">
        <v>5737</v>
      </c>
      <c r="G2498" t="s">
        <v>6365</v>
      </c>
      <c r="H2498">
        <v>192712</v>
      </c>
      <c r="I2498">
        <v>156725</v>
      </c>
      <c r="J2498">
        <v>1</v>
      </c>
      <c r="K2498">
        <v>192712</v>
      </c>
      <c r="L2498">
        <v>156725</v>
      </c>
      <c r="M2498">
        <v>599</v>
      </c>
    </row>
    <row r="2499" spans="1:13" ht="15">
      <c r="A2499" t="s">
        <v>3792</v>
      </c>
      <c r="B2499" s="1040" t="str">
        <f>CONCATENATE(LEFT(RIGHT(CONCATENATE("000",IFAData_TEA_1819!A2499),6),3),"-",(RIGHT(RIGHT(CONCATENATE("000",IFAData_TEA_1819!A2499),6),3)))</f>
        <v>254-901</v>
      </c>
      <c r="C2499" t="s">
        <v>420</v>
      </c>
      <c r="D2499">
        <v>5</v>
      </c>
      <c r="E2499">
        <v>1737</v>
      </c>
      <c r="F2499" t="s">
        <v>5738</v>
      </c>
      <c r="G2499" t="s">
        <v>5738</v>
      </c>
      <c r="H2499">
        <v>197353</v>
      </c>
      <c r="I2499">
        <v>0</v>
      </c>
      <c r="J2499">
        <v>0</v>
      </c>
      <c r="K2499">
        <v>0</v>
      </c>
      <c r="L2499">
        <v>0</v>
      </c>
      <c r="M2499">
        <v>599</v>
      </c>
    </row>
    <row r="2500" spans="1:13" ht="15">
      <c r="A2500" t="s">
        <v>3792</v>
      </c>
      <c r="B2500" s="1040" t="str">
        <f>CONCATENATE(LEFT(RIGHT(CONCATENATE("000",IFAData_TEA_1819!A2500),6),3),"-",(RIGHT(RIGHT(CONCATENATE("000",IFAData_TEA_1819!A2500),6),3)))</f>
        <v>254-901</v>
      </c>
      <c r="C2500" t="s">
        <v>420</v>
      </c>
      <c r="D2500">
        <v>5</v>
      </c>
      <c r="E2500">
        <v>1737</v>
      </c>
      <c r="F2500" t="s">
        <v>5738</v>
      </c>
      <c r="G2500" t="s">
        <v>5735</v>
      </c>
      <c r="H2500">
        <v>197353</v>
      </c>
      <c r="I2500">
        <v>0</v>
      </c>
      <c r="J2500">
        <v>0</v>
      </c>
      <c r="K2500">
        <v>0</v>
      </c>
      <c r="L2500">
        <v>0</v>
      </c>
      <c r="M2500">
        <v>599</v>
      </c>
    </row>
    <row r="2501" spans="1:13" ht="15">
      <c r="A2501" t="s">
        <v>3792</v>
      </c>
      <c r="B2501" s="1040" t="str">
        <f>CONCATENATE(LEFT(RIGHT(CONCATENATE("000",IFAData_TEA_1819!A2501),6),3),"-",(RIGHT(RIGHT(CONCATENATE("000",IFAData_TEA_1819!A2501),6),3)))</f>
        <v>254-901</v>
      </c>
      <c r="C2501" t="s">
        <v>420</v>
      </c>
      <c r="D2501">
        <v>5</v>
      </c>
      <c r="E2501">
        <v>1737</v>
      </c>
      <c r="F2501" t="s">
        <v>5738</v>
      </c>
      <c r="G2501" t="s">
        <v>5736</v>
      </c>
      <c r="H2501">
        <v>197353</v>
      </c>
      <c r="I2501">
        <v>96900</v>
      </c>
      <c r="J2501">
        <v>0.56060167775527903</v>
      </c>
      <c r="K2501">
        <v>110636.422910038</v>
      </c>
      <c r="L2501">
        <v>96900</v>
      </c>
      <c r="M2501">
        <v>599</v>
      </c>
    </row>
    <row r="2502" spans="1:13" ht="15">
      <c r="A2502" t="s">
        <v>3792</v>
      </c>
      <c r="B2502" s="1040" t="str">
        <f>CONCATENATE(LEFT(RIGHT(CONCATENATE("000",IFAData_TEA_1819!A2502),6),3),"-",(RIGHT(RIGHT(CONCATENATE("000",IFAData_TEA_1819!A2502),6),3)))</f>
        <v>254-901</v>
      </c>
      <c r="C2502" t="s">
        <v>420</v>
      </c>
      <c r="D2502">
        <v>5</v>
      </c>
      <c r="E2502">
        <v>1737</v>
      </c>
      <c r="F2502" t="s">
        <v>5738</v>
      </c>
      <c r="G2502" t="s">
        <v>6365</v>
      </c>
      <c r="H2502">
        <v>197353</v>
      </c>
      <c r="I2502">
        <v>75950</v>
      </c>
      <c r="J2502">
        <v>0.43939832224472097</v>
      </c>
      <c r="K2502">
        <v>86716.577089962404</v>
      </c>
      <c r="L2502">
        <v>75950</v>
      </c>
      <c r="M2502">
        <v>599</v>
      </c>
    </row>
    <row r="2503" spans="1:13" ht="15">
      <c r="A2503" t="s">
        <v>3792</v>
      </c>
      <c r="B2503" s="1040" t="str">
        <f>CONCATENATE(LEFT(RIGHT(CONCATENATE("000",IFAData_TEA_1819!A2503),6),3),"-",(RIGHT(RIGHT(CONCATENATE("000",IFAData_TEA_1819!A2503),6),3)))</f>
        <v>254-901</v>
      </c>
      <c r="C2503" t="s">
        <v>420</v>
      </c>
      <c r="D2503">
        <v>6</v>
      </c>
      <c r="E2503">
        <v>1738</v>
      </c>
      <c r="F2503" t="s">
        <v>5739</v>
      </c>
      <c r="G2503" t="s">
        <v>5739</v>
      </c>
      <c r="H2503">
        <v>209248</v>
      </c>
      <c r="I2503">
        <v>0</v>
      </c>
      <c r="J2503">
        <v>0</v>
      </c>
      <c r="K2503">
        <v>0</v>
      </c>
      <c r="L2503">
        <v>0</v>
      </c>
      <c r="M2503">
        <v>599</v>
      </c>
    </row>
    <row r="2504" spans="1:13" ht="15">
      <c r="A2504" t="s">
        <v>3792</v>
      </c>
      <c r="B2504" s="1040" t="str">
        <f>CONCATENATE(LEFT(RIGHT(CONCATENATE("000",IFAData_TEA_1819!A2504),6),3),"-",(RIGHT(RIGHT(CONCATENATE("000",IFAData_TEA_1819!A2504),6),3)))</f>
        <v>254-901</v>
      </c>
      <c r="C2504" t="s">
        <v>420</v>
      </c>
      <c r="D2504">
        <v>6</v>
      </c>
      <c r="E2504">
        <v>1738</v>
      </c>
      <c r="F2504" t="s">
        <v>5739</v>
      </c>
      <c r="G2504" t="s">
        <v>5736</v>
      </c>
      <c r="H2504">
        <v>209248</v>
      </c>
      <c r="I2504">
        <v>174911</v>
      </c>
      <c r="J2504">
        <v>1</v>
      </c>
      <c r="K2504">
        <v>209248</v>
      </c>
      <c r="L2504">
        <v>174911</v>
      </c>
      <c r="M2504">
        <v>599</v>
      </c>
    </row>
    <row r="2505" spans="1:13" ht="15">
      <c r="A2505" t="s">
        <v>3792</v>
      </c>
      <c r="B2505" s="1040" t="str">
        <f>CONCATENATE(LEFT(RIGHT(CONCATENATE("000",IFAData_TEA_1819!A2505),6),3),"-",(RIGHT(RIGHT(CONCATENATE("000",IFAData_TEA_1819!A2505),6),3)))</f>
        <v>254-901</v>
      </c>
      <c r="C2505" t="s">
        <v>420</v>
      </c>
      <c r="D2505">
        <v>8</v>
      </c>
      <c r="E2505">
        <v>1740</v>
      </c>
      <c r="F2505" t="s">
        <v>5740</v>
      </c>
      <c r="G2505" t="s">
        <v>5740</v>
      </c>
      <c r="H2505">
        <v>464096</v>
      </c>
      <c r="I2505">
        <v>0</v>
      </c>
      <c r="J2505">
        <v>0</v>
      </c>
      <c r="K2505">
        <v>0</v>
      </c>
      <c r="L2505">
        <v>0</v>
      </c>
      <c r="M2505">
        <v>599</v>
      </c>
    </row>
    <row r="2506" spans="1:13" ht="15">
      <c r="A2506" t="s">
        <v>3792</v>
      </c>
      <c r="B2506" s="1040" t="str">
        <f>CONCATENATE(LEFT(RIGHT(CONCATENATE("000",IFAData_TEA_1819!A2506),6),3),"-",(RIGHT(RIGHT(CONCATENATE("000",IFAData_TEA_1819!A2506),6),3)))</f>
        <v>254-901</v>
      </c>
      <c r="C2506" t="s">
        <v>420</v>
      </c>
      <c r="D2506">
        <v>8</v>
      </c>
      <c r="E2506">
        <v>1740</v>
      </c>
      <c r="F2506" t="s">
        <v>5740</v>
      </c>
      <c r="G2506" t="s">
        <v>6366</v>
      </c>
      <c r="H2506">
        <v>464096</v>
      </c>
      <c r="I2506">
        <v>565544</v>
      </c>
      <c r="J2506">
        <v>1</v>
      </c>
      <c r="K2506">
        <v>464096</v>
      </c>
      <c r="L2506">
        <v>464096</v>
      </c>
      <c r="M2506">
        <v>599</v>
      </c>
    </row>
    <row r="2507" spans="1:13" ht="15">
      <c r="A2507" t="s">
        <v>3793</v>
      </c>
      <c r="B2507" s="1040" t="str">
        <f>CONCATENATE(LEFT(RIGHT(CONCATENATE("000",IFAData_TEA_1819!A2507),6),3),"-",(RIGHT(RIGHT(CONCATENATE("000",IFAData_TEA_1819!A2507),6),3)))</f>
        <v>254-902</v>
      </c>
      <c r="C2507" t="s">
        <v>1898</v>
      </c>
      <c r="D2507">
        <v>4</v>
      </c>
      <c r="E2507">
        <v>1987</v>
      </c>
      <c r="F2507" t="s">
        <v>5741</v>
      </c>
      <c r="G2507" t="s">
        <v>5741</v>
      </c>
      <c r="H2507">
        <v>100000</v>
      </c>
      <c r="I2507">
        <v>0</v>
      </c>
      <c r="J2507">
        <v>0</v>
      </c>
      <c r="K2507">
        <v>0</v>
      </c>
      <c r="L2507">
        <v>0</v>
      </c>
      <c r="M2507">
        <v>599</v>
      </c>
    </row>
    <row r="2508" spans="1:13" ht="15">
      <c r="A2508" t="s">
        <v>3793</v>
      </c>
      <c r="B2508" s="1040" t="str">
        <f>CONCATENATE(LEFT(RIGHT(CONCATENATE("000",IFAData_TEA_1819!A2508),6),3),"-",(RIGHT(RIGHT(CONCATENATE("000",IFAData_TEA_1819!A2508),6),3)))</f>
        <v>254-902</v>
      </c>
      <c r="C2508" t="s">
        <v>1898</v>
      </c>
      <c r="D2508">
        <v>4</v>
      </c>
      <c r="E2508">
        <v>1987</v>
      </c>
      <c r="F2508" t="s">
        <v>5741</v>
      </c>
      <c r="G2508" t="s">
        <v>5742</v>
      </c>
      <c r="H2508">
        <v>100000</v>
      </c>
      <c r="I2508">
        <v>0</v>
      </c>
      <c r="J2508">
        <v>0</v>
      </c>
      <c r="K2508">
        <v>0</v>
      </c>
      <c r="L2508">
        <v>0</v>
      </c>
      <c r="M2508">
        <v>599</v>
      </c>
    </row>
    <row r="2509" spans="1:13" ht="15">
      <c r="A2509" t="s">
        <v>3793</v>
      </c>
      <c r="B2509" s="1040" t="str">
        <f>CONCATENATE(LEFT(RIGHT(CONCATENATE("000",IFAData_TEA_1819!A2509),6),3),"-",(RIGHT(RIGHT(CONCATENATE("000",IFAData_TEA_1819!A2509),6),3)))</f>
        <v>254-902</v>
      </c>
      <c r="C2509" t="s">
        <v>1898</v>
      </c>
      <c r="D2509">
        <v>4</v>
      </c>
      <c r="E2509">
        <v>1987</v>
      </c>
      <c r="F2509" t="s">
        <v>5741</v>
      </c>
      <c r="G2509" t="s">
        <v>6562</v>
      </c>
      <c r="H2509">
        <v>100000</v>
      </c>
      <c r="I2509">
        <v>78300</v>
      </c>
      <c r="J2509">
        <v>1</v>
      </c>
      <c r="K2509">
        <v>100000</v>
      </c>
      <c r="L2509">
        <v>78300</v>
      </c>
      <c r="M2509">
        <v>599</v>
      </c>
    </row>
    <row r="2510" spans="1:13" ht="15">
      <c r="A2510" t="s">
        <v>3793</v>
      </c>
      <c r="B2510" s="1040" t="str">
        <f>CONCATENATE(LEFT(RIGHT(CONCATENATE("000",IFAData_TEA_1819!A2510),6),3),"-",(RIGHT(RIGHT(CONCATENATE("000",IFAData_TEA_1819!A2510),6),3)))</f>
        <v>254-902</v>
      </c>
      <c r="C2510" t="s">
        <v>1898</v>
      </c>
      <c r="D2510">
        <v>8</v>
      </c>
      <c r="E2510">
        <v>1986</v>
      </c>
      <c r="F2510" t="s">
        <v>5742</v>
      </c>
      <c r="G2510" t="s">
        <v>5742</v>
      </c>
      <c r="H2510">
        <v>95242</v>
      </c>
      <c r="I2510">
        <v>0</v>
      </c>
      <c r="J2510">
        <v>0</v>
      </c>
      <c r="K2510">
        <v>0</v>
      </c>
      <c r="L2510">
        <v>0</v>
      </c>
      <c r="M2510">
        <v>599</v>
      </c>
    </row>
    <row r="2511" spans="1:13" ht="15">
      <c r="A2511" t="s">
        <v>3793</v>
      </c>
      <c r="B2511" s="1040" t="str">
        <f>CONCATENATE(LEFT(RIGHT(CONCATENATE("000",IFAData_TEA_1819!A2511),6),3),"-",(RIGHT(RIGHT(CONCATENATE("000",IFAData_TEA_1819!A2511),6),3)))</f>
        <v>254-902</v>
      </c>
      <c r="C2511" t="s">
        <v>1898</v>
      </c>
      <c r="D2511">
        <v>8</v>
      </c>
      <c r="E2511">
        <v>1986</v>
      </c>
      <c r="F2511" t="s">
        <v>5742</v>
      </c>
      <c r="G2511" t="s">
        <v>6562</v>
      </c>
      <c r="H2511">
        <v>95242</v>
      </c>
      <c r="I2511">
        <v>89800</v>
      </c>
      <c r="J2511">
        <v>1</v>
      </c>
      <c r="K2511">
        <v>95242</v>
      </c>
      <c r="L2511">
        <v>89800</v>
      </c>
      <c r="M2511">
        <v>599</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2578125" customWidth="1"/>
    <col min="2" max="2" width="19.5703125" style="91" customWidth="1"/>
    <col min="3" max="3" width="6.42578125" customWidth="1"/>
    <col min="4" max="4" width="20.5703125" style="2011" customWidth="1"/>
    <col min="5" max="5" width="6.5703125" style="2011" customWidth="1"/>
    <col min="6" max="6" width="20.5703125" hidden="1" customWidth="1"/>
    <col min="7" max="7" width="6.5703125" hidden="1" customWidth="1"/>
    <col min="8" max="8" width="20.5703125" customWidth="1"/>
    <col min="9" max="9" width="6.5703125" customWidth="1"/>
    <col min="10" max="10" width="20.5703125" customWidth="1"/>
    <col min="11" max="11" width="6.5703125" customWidth="1"/>
    <col min="12" max="12" width="20.5703125" customWidth="1"/>
    <col min="13" max="13" width="6.5703125" customWidth="1"/>
    <col min="14" max="14" width="20.5703125" customWidth="1"/>
    <col min="15" max="15" width="6.5703125" customWidth="1"/>
    <col min="16" max="16" width="20.5703125" customWidth="1"/>
    <col min="17" max="17" width="6.5703125" customWidth="1"/>
    <col min="18" max="18" width="20.5703125" customWidth="1"/>
    <col min="19" max="19" width="6.5703125" customWidth="1"/>
  </cols>
  <sheetData>
    <row r="1" spans="1:19" ht="15.75">
      <c r="A1" s="35">
        <f>'DE1'!C2</f>
        <v>0</v>
      </c>
      <c r="F1" s="2019" t="s">
        <v>5748</v>
      </c>
    </row>
    <row r="2" spans="1:19" ht="15.75">
      <c r="A2" s="966">
        <f>'Data Entry - SOF'!B1</f>
        <v>0</v>
      </c>
      <c r="F2" s="2019"/>
    </row>
    <row r="3" spans="1:19" ht="15.75">
      <c r="A3" s="966"/>
      <c r="F3" s="2019" t="s">
        <v>5749</v>
      </c>
    </row>
    <row r="4" spans="1:19" ht="15.75">
      <c r="A4" s="966"/>
      <c r="F4" s="2019" t="s">
        <v>5750</v>
      </c>
    </row>
    <row r="5" spans="1:19" ht="15.75">
      <c r="A5" s="966"/>
      <c r="F5" s="2019" t="s">
        <v>5751</v>
      </c>
    </row>
    <row r="6" spans="1:19" ht="15.75">
      <c r="A6" s="966"/>
      <c r="F6" s="2019" t="s">
        <v>6168</v>
      </c>
    </row>
    <row r="7" spans="1:19">
      <c r="A7" s="966"/>
    </row>
    <row r="8" spans="1:19">
      <c r="B8" s="46" t="s">
        <v>5743</v>
      </c>
      <c r="C8" s="798">
        <f>COUNTIF(IFAData_TEA_1819!B2:M2511,A1)</f>
        <v>4271</v>
      </c>
    </row>
    <row r="9" spans="1:19">
      <c r="B9"/>
      <c r="C9" s="91"/>
      <c r="D9" s="2012" t="s">
        <v>3138</v>
      </c>
      <c r="E9" s="2013"/>
      <c r="F9" s="1108" t="s">
        <v>3144</v>
      </c>
      <c r="G9" s="1103"/>
      <c r="H9" s="295" t="s">
        <v>3225</v>
      </c>
      <c r="I9" s="1101"/>
      <c r="J9" s="1364" t="s">
        <v>3284</v>
      </c>
      <c r="K9" s="1365"/>
      <c r="L9" s="1111" t="s">
        <v>3922</v>
      </c>
      <c r="M9" s="968"/>
      <c r="N9" s="1749" t="s">
        <v>6374</v>
      </c>
      <c r="O9" s="1750"/>
      <c r="P9" s="1360" t="s">
        <v>6939</v>
      </c>
      <c r="Q9" s="1361"/>
      <c r="R9" s="1753" t="s">
        <v>8157</v>
      </c>
      <c r="S9" s="1754"/>
    </row>
    <row r="10" spans="1:19">
      <c r="B10" s="54" t="s">
        <v>5744</v>
      </c>
      <c r="D10" s="2014" t="s">
        <v>3124</v>
      </c>
      <c r="E10" s="2015" t="s">
        <v>4051</v>
      </c>
      <c r="F10" s="1109" t="s">
        <v>3124</v>
      </c>
      <c r="G10" s="1104" t="s">
        <v>4051</v>
      </c>
      <c r="H10" s="1110" t="s">
        <v>3124</v>
      </c>
      <c r="I10" s="1102" t="s">
        <v>4051</v>
      </c>
      <c r="J10" s="1366" t="s">
        <v>3124</v>
      </c>
      <c r="K10" s="1367" t="s">
        <v>4051</v>
      </c>
      <c r="L10" s="1112" t="s">
        <v>3124</v>
      </c>
      <c r="M10" s="969" t="s">
        <v>4051</v>
      </c>
      <c r="N10" s="1751" t="s">
        <v>3124</v>
      </c>
      <c r="O10" s="1752" t="s">
        <v>4051</v>
      </c>
      <c r="P10" s="1362" t="s">
        <v>3124</v>
      </c>
      <c r="Q10" s="1363" t="s">
        <v>4051</v>
      </c>
      <c r="R10" s="1755" t="s">
        <v>3124</v>
      </c>
      <c r="S10" s="1756" t="s">
        <v>4051</v>
      </c>
    </row>
    <row r="11" spans="1:19" ht="15">
      <c r="A11" s="72" t="s">
        <v>5745</v>
      </c>
      <c r="B11" s="965" t="e">
        <f>MATCH(A$1,IFAData_TEA_1819!B$2:B$2511,0)</f>
        <v>#N/A</v>
      </c>
      <c r="D11" s="2016" t="e">
        <f>IF(B11&lt;B$11+C$8,INDEX(IFAData_TEA_1617!B$2:N$2357,B11,11),0)</f>
        <v>#N/A</v>
      </c>
      <c r="E11" s="2017" t="e">
        <f>IF(B11&lt;B$11+C$8,INDEX(IFAData_TEA_1617!B$2:N$2357,B11,12),0)</f>
        <v>#N/A</v>
      </c>
      <c r="F11" s="973" t="e">
        <f>IF(B11&lt;B$11+C$8,INDEX(IFAData_TEA_1718!B$2:M$2564,B11,11),0)</f>
        <v>#N/A</v>
      </c>
      <c r="G11" s="218" t="e">
        <f>IF(B11&lt;B$11+C$8,INDEX(IFAData_TEA_1718!B$2:M$2564,B11,12),0)</f>
        <v>#N/A</v>
      </c>
      <c r="H11" s="973" t="e">
        <f>IF(B11&lt;B$11+C$8,INDEX(IFAData_TEA_1819!B$2:M$2511,B11,11),0)</f>
        <v>#N/A</v>
      </c>
      <c r="I11" s="218" t="e">
        <f>IF(B11&lt;B$11+C$8,INDEX(IFAData_TEA_1819!B$2:M$2511,B11,12),0)</f>
        <v>#N/A</v>
      </c>
      <c r="J11" s="218" t="e">
        <f t="shared" ref="J11:S26" si="0">H11</f>
        <v>#N/A</v>
      </c>
      <c r="K11" s="218" t="e">
        <f t="shared" si="0"/>
        <v>#N/A</v>
      </c>
      <c r="L11" s="218" t="e">
        <f t="shared" si="0"/>
        <v>#N/A</v>
      </c>
      <c r="M11" s="218" t="e">
        <f t="shared" si="0"/>
        <v>#N/A</v>
      </c>
      <c r="N11" s="218" t="e">
        <f t="shared" si="0"/>
        <v>#N/A</v>
      </c>
      <c r="O11" s="218" t="e">
        <f t="shared" si="0"/>
        <v>#N/A</v>
      </c>
      <c r="P11" s="218" t="e">
        <f t="shared" si="0"/>
        <v>#N/A</v>
      </c>
      <c r="Q11" s="218" t="e">
        <f t="shared" si="0"/>
        <v>#N/A</v>
      </c>
      <c r="R11" s="218" t="e">
        <f t="shared" si="0"/>
        <v>#N/A</v>
      </c>
      <c r="S11" s="218" t="e">
        <f t="shared" si="0"/>
        <v>#N/A</v>
      </c>
    </row>
    <row r="12" spans="1:19">
      <c r="A12" s="72" t="s">
        <v>5745</v>
      </c>
      <c r="B12" s="52" t="e">
        <f>B11+1</f>
        <v>#N/A</v>
      </c>
      <c r="D12" s="2016" t="e">
        <f>IF(B12&lt;B$11+C$8,INDEX(IFAData_TEA_1617!B$2:N$2357,B12,11),0)</f>
        <v>#N/A</v>
      </c>
      <c r="E12" s="2017" t="e">
        <f>IF(B12&lt;B$11+C$8,INDEX(IFAData_TEA_1617!B$2:N$2357,B12,12),0)</f>
        <v>#N/A</v>
      </c>
      <c r="F12" s="973" t="e">
        <f>IF(B12&lt;B$11+C$8,INDEX(IFAData_TEA_1718!B$2:M$2564,B12,11),0)</f>
        <v>#N/A</v>
      </c>
      <c r="G12" s="218" t="e">
        <f>IF(B12&lt;B$11+C$8,INDEX(IFAData_TEA_1718!B$2:M$2564,B12,12),0)</f>
        <v>#N/A</v>
      </c>
      <c r="H12" s="973" t="e">
        <f>IF(B12&lt;B$11+C$8,INDEX(IFAData_TEA_1819!B$2:M$2511,B12,11),0)</f>
        <v>#N/A</v>
      </c>
      <c r="I12" s="218" t="e">
        <f>IF(B12&lt;B$11+C$8,INDEX(IFAData_TEA_1819!B$2:M$2511,B12,12),0)</f>
        <v>#N/A</v>
      </c>
      <c r="J12" s="218" t="e">
        <f t="shared" si="0"/>
        <v>#N/A</v>
      </c>
      <c r="K12" s="218" t="e">
        <f t="shared" si="0"/>
        <v>#N/A</v>
      </c>
      <c r="L12" s="218" t="e">
        <f t="shared" si="0"/>
        <v>#N/A</v>
      </c>
      <c r="M12" s="218" t="e">
        <f t="shared" si="0"/>
        <v>#N/A</v>
      </c>
      <c r="N12" s="218" t="e">
        <f t="shared" si="0"/>
        <v>#N/A</v>
      </c>
      <c r="O12" s="218" t="e">
        <f t="shared" si="0"/>
        <v>#N/A</v>
      </c>
      <c r="P12" s="218" t="e">
        <f t="shared" si="0"/>
        <v>#N/A</v>
      </c>
      <c r="Q12" s="218" t="e">
        <f t="shared" si="0"/>
        <v>#N/A</v>
      </c>
      <c r="R12" s="218" t="e">
        <f t="shared" si="0"/>
        <v>#N/A</v>
      </c>
      <c r="S12" s="218" t="e">
        <f t="shared" si="0"/>
        <v>#N/A</v>
      </c>
    </row>
    <row r="13" spans="1:19">
      <c r="A13" s="72" t="s">
        <v>5745</v>
      </c>
      <c r="B13" s="52" t="e">
        <f t="shared" ref="B13:B54" si="1">B12+1</f>
        <v>#N/A</v>
      </c>
      <c r="D13" s="2016" t="e">
        <f>IF(B13&lt;B$11+C$8,INDEX(IFAData_TEA_1617!B$2:N$2357,B13,11),0)</f>
        <v>#N/A</v>
      </c>
      <c r="E13" s="2017" t="e">
        <f>IF(B13&lt;B$11+C$8,INDEX(IFAData_TEA_1617!B$2:N$2357,B13,12),0)</f>
        <v>#N/A</v>
      </c>
      <c r="F13" s="973" t="e">
        <f>IF(B13&lt;B$11+C$8,INDEX(IFAData_TEA_1718!B$2:M$2564,B13,11),0)</f>
        <v>#N/A</v>
      </c>
      <c r="G13" s="218" t="e">
        <f>IF(B13&lt;B$11+C$8,INDEX(IFAData_TEA_1718!B$2:M$2564,B13,12),0)</f>
        <v>#N/A</v>
      </c>
      <c r="H13" s="973" t="e">
        <f>IF(B13&lt;B$11+C$8,INDEX(IFAData_TEA_1819!B$2:M$2511,B13,11),0)</f>
        <v>#N/A</v>
      </c>
      <c r="I13" s="218" t="e">
        <f>IF(B13&lt;B$11+C$8,INDEX(IFAData_TEA_1819!B$2:M$2511,B13,12),0)</f>
        <v>#N/A</v>
      </c>
      <c r="J13" s="218" t="e">
        <f t="shared" si="0"/>
        <v>#N/A</v>
      </c>
      <c r="K13" s="218" t="e">
        <f t="shared" si="0"/>
        <v>#N/A</v>
      </c>
      <c r="L13" s="218" t="e">
        <f t="shared" si="0"/>
        <v>#N/A</v>
      </c>
      <c r="M13" s="218" t="e">
        <f t="shared" si="0"/>
        <v>#N/A</v>
      </c>
      <c r="N13" s="218" t="e">
        <f t="shared" si="0"/>
        <v>#N/A</v>
      </c>
      <c r="O13" s="218" t="e">
        <f t="shared" si="0"/>
        <v>#N/A</v>
      </c>
      <c r="P13" s="218" t="e">
        <f t="shared" si="0"/>
        <v>#N/A</v>
      </c>
      <c r="Q13" s="218" t="e">
        <f t="shared" si="0"/>
        <v>#N/A</v>
      </c>
      <c r="R13" s="218" t="e">
        <f t="shared" si="0"/>
        <v>#N/A</v>
      </c>
      <c r="S13" s="218" t="e">
        <f t="shared" si="0"/>
        <v>#N/A</v>
      </c>
    </row>
    <row r="14" spans="1:19">
      <c r="A14" s="72" t="s">
        <v>5745</v>
      </c>
      <c r="B14" s="52" t="e">
        <f t="shared" si="1"/>
        <v>#N/A</v>
      </c>
      <c r="D14" s="2016" t="e">
        <f>IF(B14&lt;B$11+C$8,INDEX(IFAData_TEA_1617!B$2:N$2357,B14,11),0)</f>
        <v>#N/A</v>
      </c>
      <c r="E14" s="2017" t="e">
        <f>IF(B14&lt;B$11+C$8,INDEX(IFAData_TEA_1617!B$2:N$2357,B14,12),0)</f>
        <v>#N/A</v>
      </c>
      <c r="F14" s="973" t="e">
        <f>IF(B14&lt;B$11+C$8,INDEX(IFAData_TEA_1718!B$2:M$2564,B14,11),0)</f>
        <v>#N/A</v>
      </c>
      <c r="G14" s="218" t="e">
        <f>IF(B14&lt;B$11+C$8,INDEX(IFAData_TEA_1718!B$2:M$2564,B14,12),0)</f>
        <v>#N/A</v>
      </c>
      <c r="H14" s="973" t="e">
        <f>IF(B14&lt;B$11+C$8,INDEX(IFAData_TEA_1819!B$2:M$2511,B14,11),0)</f>
        <v>#N/A</v>
      </c>
      <c r="I14" s="218" t="e">
        <f>IF(B14&lt;B$11+C$8,INDEX(IFAData_TEA_1819!B$2:M$2511,B14,12),0)</f>
        <v>#N/A</v>
      </c>
      <c r="J14" s="218" t="e">
        <f t="shared" si="0"/>
        <v>#N/A</v>
      </c>
      <c r="K14" s="218" t="e">
        <f t="shared" si="0"/>
        <v>#N/A</v>
      </c>
      <c r="L14" s="218" t="e">
        <f t="shared" si="0"/>
        <v>#N/A</v>
      </c>
      <c r="M14" s="218" t="e">
        <f t="shared" si="0"/>
        <v>#N/A</v>
      </c>
      <c r="N14" s="218" t="e">
        <f t="shared" si="0"/>
        <v>#N/A</v>
      </c>
      <c r="O14" s="218" t="e">
        <f t="shared" si="0"/>
        <v>#N/A</v>
      </c>
      <c r="P14" s="218" t="e">
        <f t="shared" si="0"/>
        <v>#N/A</v>
      </c>
      <c r="Q14" s="218" t="e">
        <f t="shared" si="0"/>
        <v>#N/A</v>
      </c>
      <c r="R14" s="218" t="e">
        <f t="shared" si="0"/>
        <v>#N/A</v>
      </c>
      <c r="S14" s="218" t="e">
        <f t="shared" si="0"/>
        <v>#N/A</v>
      </c>
    </row>
    <row r="15" spans="1:19">
      <c r="A15" s="72" t="s">
        <v>5745</v>
      </c>
      <c r="B15" s="52" t="e">
        <f t="shared" si="1"/>
        <v>#N/A</v>
      </c>
      <c r="D15" s="2016" t="e">
        <f>IF(B15&lt;B$11+C$8,INDEX(IFAData_TEA_1617!B$2:N$2357,B15,11),0)</f>
        <v>#N/A</v>
      </c>
      <c r="E15" s="2017" t="e">
        <f>IF(B15&lt;B$11+C$8,INDEX(IFAData_TEA_1617!B$2:N$2357,B15,12),0)</f>
        <v>#N/A</v>
      </c>
      <c r="F15" s="973" t="e">
        <f>IF(B15&lt;B$11+C$8,INDEX(IFAData_TEA_1718!B$2:M$2564,B15,11),0)</f>
        <v>#N/A</v>
      </c>
      <c r="G15" s="218" t="e">
        <f>IF(B15&lt;B$11+C$8,INDEX(IFAData_TEA_1718!B$2:M$2564,B15,12),0)</f>
        <v>#N/A</v>
      </c>
      <c r="H15" s="973" t="e">
        <f>IF(B15&lt;B$11+C$8,INDEX(IFAData_TEA_1819!B$2:M$2511,B15,11),0)</f>
        <v>#N/A</v>
      </c>
      <c r="I15" s="218" t="e">
        <f>IF(B15&lt;B$11+C$8,INDEX(IFAData_TEA_1819!B$2:M$2511,B15,12),0)</f>
        <v>#N/A</v>
      </c>
      <c r="J15" s="218" t="e">
        <f t="shared" si="0"/>
        <v>#N/A</v>
      </c>
      <c r="K15" s="218" t="e">
        <f t="shared" si="0"/>
        <v>#N/A</v>
      </c>
      <c r="L15" s="218" t="e">
        <f t="shared" si="0"/>
        <v>#N/A</v>
      </c>
      <c r="M15" s="218" t="e">
        <f t="shared" si="0"/>
        <v>#N/A</v>
      </c>
      <c r="N15" s="218" t="e">
        <f t="shared" si="0"/>
        <v>#N/A</v>
      </c>
      <c r="O15" s="218" t="e">
        <f t="shared" si="0"/>
        <v>#N/A</v>
      </c>
      <c r="P15" s="218" t="e">
        <f t="shared" si="0"/>
        <v>#N/A</v>
      </c>
      <c r="Q15" s="218" t="e">
        <f t="shared" si="0"/>
        <v>#N/A</v>
      </c>
      <c r="R15" s="218" t="e">
        <f t="shared" si="0"/>
        <v>#N/A</v>
      </c>
      <c r="S15" s="218" t="e">
        <f t="shared" si="0"/>
        <v>#N/A</v>
      </c>
    </row>
    <row r="16" spans="1:19">
      <c r="A16" s="72" t="s">
        <v>5745</v>
      </c>
      <c r="B16" s="52" t="e">
        <f t="shared" si="1"/>
        <v>#N/A</v>
      </c>
      <c r="D16" s="2016" t="e">
        <f>IF(B16&lt;B$11+C$8,INDEX(IFAData_TEA_1617!B$2:N$2357,B16,11),0)</f>
        <v>#N/A</v>
      </c>
      <c r="E16" s="2017" t="e">
        <f>IF(B16&lt;B$11+C$8,INDEX(IFAData_TEA_1617!B$2:N$2357,B16,12),0)</f>
        <v>#N/A</v>
      </c>
      <c r="F16" s="973" t="e">
        <f>IF(B16&lt;B$11+C$8,INDEX(IFAData_TEA_1718!B$2:M$2564,B16,11),0)</f>
        <v>#N/A</v>
      </c>
      <c r="G16" s="218" t="e">
        <f>IF(B16&lt;B$11+C$8,INDEX(IFAData_TEA_1718!B$2:M$2564,B16,12),0)</f>
        <v>#N/A</v>
      </c>
      <c r="H16" s="973" t="e">
        <f>IF(B16&lt;B$11+C$8,INDEX(IFAData_TEA_1819!B$2:M$2511,B16,11),0)</f>
        <v>#N/A</v>
      </c>
      <c r="I16" s="218" t="e">
        <f>IF(B16&lt;B$11+C$8,INDEX(IFAData_TEA_1819!B$2:M$2511,B16,12),0)</f>
        <v>#N/A</v>
      </c>
      <c r="J16" s="218" t="e">
        <f t="shared" si="0"/>
        <v>#N/A</v>
      </c>
      <c r="K16" s="218" t="e">
        <f t="shared" si="0"/>
        <v>#N/A</v>
      </c>
      <c r="L16" s="218" t="e">
        <f t="shared" si="0"/>
        <v>#N/A</v>
      </c>
      <c r="M16" s="218" t="e">
        <f t="shared" si="0"/>
        <v>#N/A</v>
      </c>
      <c r="N16" s="218" t="e">
        <f t="shared" si="0"/>
        <v>#N/A</v>
      </c>
      <c r="O16" s="218" t="e">
        <f t="shared" si="0"/>
        <v>#N/A</v>
      </c>
      <c r="P16" s="218" t="e">
        <f t="shared" si="0"/>
        <v>#N/A</v>
      </c>
      <c r="Q16" s="218" t="e">
        <f t="shared" si="0"/>
        <v>#N/A</v>
      </c>
      <c r="R16" s="218" t="e">
        <f t="shared" si="0"/>
        <v>#N/A</v>
      </c>
      <c r="S16" s="218" t="e">
        <f t="shared" si="0"/>
        <v>#N/A</v>
      </c>
    </row>
    <row r="17" spans="1:19">
      <c r="A17" s="72" t="s">
        <v>5745</v>
      </c>
      <c r="B17" s="52" t="e">
        <f t="shared" si="1"/>
        <v>#N/A</v>
      </c>
      <c r="D17" s="2016" t="e">
        <f>IF(B17&lt;B$11+C$8,INDEX(IFAData_TEA_1617!B$2:N$2357,B17,11),0)</f>
        <v>#N/A</v>
      </c>
      <c r="E17" s="2017" t="e">
        <f>IF(B17&lt;B$11+C$8,INDEX(IFAData_TEA_1617!B$2:N$2357,B17,12),0)</f>
        <v>#N/A</v>
      </c>
      <c r="F17" s="973" t="e">
        <f>IF(B17&lt;B$11+C$8,INDEX(IFAData_TEA_1718!B$2:M$2564,B17,11),0)</f>
        <v>#N/A</v>
      </c>
      <c r="G17" s="218" t="e">
        <f>IF(B17&lt;B$11+C$8,INDEX(IFAData_TEA_1718!B$2:M$2564,B17,12),0)</f>
        <v>#N/A</v>
      </c>
      <c r="H17" s="973" t="e">
        <f>IF(B17&lt;B$11+C$8,INDEX(IFAData_TEA_1819!B$2:M$2511,B17,11),0)</f>
        <v>#N/A</v>
      </c>
      <c r="I17" s="218" t="e">
        <f>IF(B17&lt;B$11+C$8,INDEX(IFAData_TEA_1819!B$2:M$2511,B17,12),0)</f>
        <v>#N/A</v>
      </c>
      <c r="J17" s="218" t="e">
        <f t="shared" si="0"/>
        <v>#N/A</v>
      </c>
      <c r="K17" s="218" t="e">
        <f t="shared" si="0"/>
        <v>#N/A</v>
      </c>
      <c r="L17" s="218" t="e">
        <f t="shared" si="0"/>
        <v>#N/A</v>
      </c>
      <c r="M17" s="218" t="e">
        <f t="shared" si="0"/>
        <v>#N/A</v>
      </c>
      <c r="N17" s="218" t="e">
        <f t="shared" si="0"/>
        <v>#N/A</v>
      </c>
      <c r="O17" s="218" t="e">
        <f t="shared" si="0"/>
        <v>#N/A</v>
      </c>
      <c r="P17" s="218" t="e">
        <f t="shared" si="0"/>
        <v>#N/A</v>
      </c>
      <c r="Q17" s="218" t="e">
        <f t="shared" si="0"/>
        <v>#N/A</v>
      </c>
      <c r="R17" s="218" t="e">
        <f t="shared" si="0"/>
        <v>#N/A</v>
      </c>
      <c r="S17" s="218" t="e">
        <f t="shared" si="0"/>
        <v>#N/A</v>
      </c>
    </row>
    <row r="18" spans="1:19">
      <c r="A18" s="72" t="s">
        <v>5745</v>
      </c>
      <c r="B18" s="52" t="e">
        <f t="shared" si="1"/>
        <v>#N/A</v>
      </c>
      <c r="D18" s="2016" t="e">
        <f>IF(B18&lt;B$11+C$8,INDEX(IFAData_TEA_1617!B$2:N$2357,B18,11),0)</f>
        <v>#N/A</v>
      </c>
      <c r="E18" s="2017" t="e">
        <f>IF(B18&lt;B$11+C$8,INDEX(IFAData_TEA_1617!B$2:N$2357,B18,12),0)</f>
        <v>#N/A</v>
      </c>
      <c r="F18" s="973" t="e">
        <f>IF(B18&lt;B$11+C$8,INDEX(IFAData_TEA_1718!B$2:M$2564,B18,11),0)</f>
        <v>#N/A</v>
      </c>
      <c r="G18" s="218" t="e">
        <f>IF(B18&lt;B$11+C$8,INDEX(IFAData_TEA_1718!B$2:M$2564,B18,12),0)</f>
        <v>#N/A</v>
      </c>
      <c r="H18" s="973" t="e">
        <f>IF(B18&lt;B$11+C$8,INDEX(IFAData_TEA_1819!B$2:M$2511,B18,11),0)</f>
        <v>#N/A</v>
      </c>
      <c r="I18" s="218" t="e">
        <f>IF(B18&lt;B$11+C$8,INDEX(IFAData_TEA_1819!B$2:M$2511,B18,12),0)</f>
        <v>#N/A</v>
      </c>
      <c r="J18" s="218" t="e">
        <f t="shared" si="0"/>
        <v>#N/A</v>
      </c>
      <c r="K18" s="218" t="e">
        <f t="shared" si="0"/>
        <v>#N/A</v>
      </c>
      <c r="L18" s="218" t="e">
        <f t="shared" si="0"/>
        <v>#N/A</v>
      </c>
      <c r="M18" s="218" t="e">
        <f t="shared" si="0"/>
        <v>#N/A</v>
      </c>
      <c r="N18" s="218" t="e">
        <f t="shared" si="0"/>
        <v>#N/A</v>
      </c>
      <c r="O18" s="218" t="e">
        <f t="shared" si="0"/>
        <v>#N/A</v>
      </c>
      <c r="P18" s="218" t="e">
        <f t="shared" si="0"/>
        <v>#N/A</v>
      </c>
      <c r="Q18" s="218" t="e">
        <f t="shared" si="0"/>
        <v>#N/A</v>
      </c>
      <c r="R18" s="218" t="e">
        <f t="shared" si="0"/>
        <v>#N/A</v>
      </c>
      <c r="S18" s="218" t="e">
        <f t="shared" si="0"/>
        <v>#N/A</v>
      </c>
    </row>
    <row r="19" spans="1:19">
      <c r="A19" s="72" t="s">
        <v>5745</v>
      </c>
      <c r="B19" s="52" t="e">
        <f t="shared" si="1"/>
        <v>#N/A</v>
      </c>
      <c r="D19" s="2016" t="e">
        <f>IF(B19&lt;B$11+C$8,INDEX(IFAData_TEA_1617!B$2:N$2357,B19,11),0)</f>
        <v>#N/A</v>
      </c>
      <c r="E19" s="2017" t="e">
        <f>IF(B19&lt;B$11+C$8,INDEX(IFAData_TEA_1617!B$2:N$2357,B19,12),0)</f>
        <v>#N/A</v>
      </c>
      <c r="F19" s="973" t="e">
        <f>IF(B19&lt;B$11+C$8,INDEX(IFAData_TEA_1718!B$2:M$2564,B19,11),0)</f>
        <v>#N/A</v>
      </c>
      <c r="G19" s="218" t="e">
        <f>IF(B19&lt;B$11+C$8,INDEX(IFAData_TEA_1718!B$2:M$2564,B19,12),0)</f>
        <v>#N/A</v>
      </c>
      <c r="H19" s="973" t="e">
        <f>IF(B19&lt;B$11+C$8,INDEX(IFAData_TEA_1819!B$2:M$2511,B19,11),0)</f>
        <v>#N/A</v>
      </c>
      <c r="I19" s="218" t="e">
        <f>IF(B19&lt;B$11+C$8,INDEX(IFAData_TEA_1819!B$2:M$2511,B19,12),0)</f>
        <v>#N/A</v>
      </c>
      <c r="J19" s="218" t="e">
        <f t="shared" si="0"/>
        <v>#N/A</v>
      </c>
      <c r="K19" s="218" t="e">
        <f t="shared" si="0"/>
        <v>#N/A</v>
      </c>
      <c r="L19" s="218" t="e">
        <f t="shared" si="0"/>
        <v>#N/A</v>
      </c>
      <c r="M19" s="218" t="e">
        <f t="shared" si="0"/>
        <v>#N/A</v>
      </c>
      <c r="N19" s="218" t="e">
        <f t="shared" si="0"/>
        <v>#N/A</v>
      </c>
      <c r="O19" s="218" t="e">
        <f t="shared" si="0"/>
        <v>#N/A</v>
      </c>
      <c r="P19" s="218" t="e">
        <f t="shared" si="0"/>
        <v>#N/A</v>
      </c>
      <c r="Q19" s="218" t="e">
        <f t="shared" si="0"/>
        <v>#N/A</v>
      </c>
      <c r="R19" s="218" t="e">
        <f t="shared" si="0"/>
        <v>#N/A</v>
      </c>
      <c r="S19" s="218" t="e">
        <f t="shared" si="0"/>
        <v>#N/A</v>
      </c>
    </row>
    <row r="20" spans="1:19">
      <c r="A20" s="72" t="s">
        <v>5745</v>
      </c>
      <c r="B20" s="52" t="e">
        <f t="shared" si="1"/>
        <v>#N/A</v>
      </c>
      <c r="D20" s="2016" t="e">
        <f>IF(B20&lt;B$11+C$8,INDEX(IFAData_TEA_1617!B$2:N$2357,B20,11),0)</f>
        <v>#N/A</v>
      </c>
      <c r="E20" s="2017" t="e">
        <f>IF(B20&lt;B$11+C$8,INDEX(IFAData_TEA_1617!B$2:N$2357,B20,12),0)</f>
        <v>#N/A</v>
      </c>
      <c r="F20" s="973" t="e">
        <f>IF(B20&lt;B$11+C$8,INDEX(IFAData_TEA_1718!B$2:M$2564,B20,11),0)</f>
        <v>#N/A</v>
      </c>
      <c r="G20" s="218" t="e">
        <f>IF(B20&lt;B$11+C$8,INDEX(IFAData_TEA_1718!B$2:M$2564,B20,12),0)</f>
        <v>#N/A</v>
      </c>
      <c r="H20" s="973" t="e">
        <f>IF(B20&lt;B$11+C$8,INDEX(IFAData_TEA_1819!B$2:M$2511,B20,11),0)</f>
        <v>#N/A</v>
      </c>
      <c r="I20" s="218" t="e">
        <f>IF(B20&lt;B$11+C$8,INDEX(IFAData_TEA_1819!B$2:M$2511,B20,12),0)</f>
        <v>#N/A</v>
      </c>
      <c r="J20" s="218" t="e">
        <f t="shared" si="0"/>
        <v>#N/A</v>
      </c>
      <c r="K20" s="218" t="e">
        <f t="shared" si="0"/>
        <v>#N/A</v>
      </c>
      <c r="L20" s="218" t="e">
        <f t="shared" si="0"/>
        <v>#N/A</v>
      </c>
      <c r="M20" s="218" t="e">
        <f t="shared" si="0"/>
        <v>#N/A</v>
      </c>
      <c r="N20" s="218" t="e">
        <f t="shared" si="0"/>
        <v>#N/A</v>
      </c>
      <c r="O20" s="218" t="e">
        <f t="shared" si="0"/>
        <v>#N/A</v>
      </c>
      <c r="P20" s="218" t="e">
        <f t="shared" si="0"/>
        <v>#N/A</v>
      </c>
      <c r="Q20" s="218" t="e">
        <f t="shared" si="0"/>
        <v>#N/A</v>
      </c>
      <c r="R20" s="218" t="e">
        <f t="shared" si="0"/>
        <v>#N/A</v>
      </c>
      <c r="S20" s="218" t="e">
        <f t="shared" si="0"/>
        <v>#N/A</v>
      </c>
    </row>
    <row r="21" spans="1:19">
      <c r="A21" s="72" t="s">
        <v>5745</v>
      </c>
      <c r="B21" s="52" t="e">
        <f t="shared" si="1"/>
        <v>#N/A</v>
      </c>
      <c r="D21" s="2016" t="e">
        <f>IF(B21&lt;B$11+C$8,INDEX(IFAData_TEA_1617!B$2:N$2357,B21,11),0)</f>
        <v>#N/A</v>
      </c>
      <c r="E21" s="2017" t="e">
        <f>IF(B21&lt;B$11+C$8,INDEX(IFAData_TEA_1617!B$2:N$2357,B21,12),0)</f>
        <v>#N/A</v>
      </c>
      <c r="F21" s="973" t="e">
        <f>IF(B21&lt;B$11+C$8,INDEX(IFAData_TEA_1718!B$2:M$2564,B21,11),0)</f>
        <v>#N/A</v>
      </c>
      <c r="G21" s="218" t="e">
        <f>IF(B21&lt;B$11+C$8,INDEX(IFAData_TEA_1718!B$2:M$2564,B21,12),0)</f>
        <v>#N/A</v>
      </c>
      <c r="H21" s="973" t="e">
        <f>IF(B21&lt;B$11+C$8,INDEX(IFAData_TEA_1819!B$2:M$2511,B21,11),0)</f>
        <v>#N/A</v>
      </c>
      <c r="I21" s="218" t="e">
        <f>IF(B21&lt;B$11+C$8,INDEX(IFAData_TEA_1819!B$2:M$2511,B21,12),0)</f>
        <v>#N/A</v>
      </c>
      <c r="J21" s="218" t="e">
        <f t="shared" si="0"/>
        <v>#N/A</v>
      </c>
      <c r="K21" s="218" t="e">
        <f t="shared" si="0"/>
        <v>#N/A</v>
      </c>
      <c r="L21" s="218" t="e">
        <f t="shared" si="0"/>
        <v>#N/A</v>
      </c>
      <c r="M21" s="218" t="e">
        <f t="shared" si="0"/>
        <v>#N/A</v>
      </c>
      <c r="N21" s="218" t="e">
        <f t="shared" si="0"/>
        <v>#N/A</v>
      </c>
      <c r="O21" s="218" t="e">
        <f t="shared" si="0"/>
        <v>#N/A</v>
      </c>
      <c r="P21" s="218" t="e">
        <f t="shared" si="0"/>
        <v>#N/A</v>
      </c>
      <c r="Q21" s="218" t="e">
        <f t="shared" si="0"/>
        <v>#N/A</v>
      </c>
      <c r="R21" s="218" t="e">
        <f t="shared" si="0"/>
        <v>#N/A</v>
      </c>
      <c r="S21" s="218" t="e">
        <f t="shared" si="0"/>
        <v>#N/A</v>
      </c>
    </row>
    <row r="22" spans="1:19">
      <c r="A22" s="72" t="s">
        <v>5745</v>
      </c>
      <c r="B22" s="52" t="e">
        <f t="shared" si="1"/>
        <v>#N/A</v>
      </c>
      <c r="D22" s="2016" t="e">
        <f>IF(B22&lt;B$11+C$8,INDEX(IFAData_TEA_1617!B$2:N$2357,B22,11),0)</f>
        <v>#N/A</v>
      </c>
      <c r="E22" s="2017" t="e">
        <f>IF(B22&lt;B$11+C$8,INDEX(IFAData_TEA_1617!B$2:N$2357,B22,12),0)</f>
        <v>#N/A</v>
      </c>
      <c r="F22" s="973" t="e">
        <f>IF(B22&lt;B$11+C$8,INDEX(IFAData_TEA_1718!B$2:M$2564,B22,11),0)</f>
        <v>#N/A</v>
      </c>
      <c r="G22" s="218" t="e">
        <f>IF(B22&lt;B$11+C$8,INDEX(IFAData_TEA_1718!B$2:M$2564,B22,12),0)</f>
        <v>#N/A</v>
      </c>
      <c r="H22" s="973" t="e">
        <f>IF(B22&lt;B$11+C$8,INDEX(IFAData_TEA_1819!B$2:M$2511,B22,11),0)</f>
        <v>#N/A</v>
      </c>
      <c r="I22" s="218" t="e">
        <f>IF(B22&lt;B$11+C$8,INDEX(IFAData_TEA_1819!B$2:M$2511,B22,12),0)</f>
        <v>#N/A</v>
      </c>
      <c r="J22" s="218" t="e">
        <f t="shared" si="0"/>
        <v>#N/A</v>
      </c>
      <c r="K22" s="218" t="e">
        <f t="shared" si="0"/>
        <v>#N/A</v>
      </c>
      <c r="L22" s="218" t="e">
        <f t="shared" si="0"/>
        <v>#N/A</v>
      </c>
      <c r="M22" s="218" t="e">
        <f t="shared" si="0"/>
        <v>#N/A</v>
      </c>
      <c r="N22" s="218" t="e">
        <f t="shared" si="0"/>
        <v>#N/A</v>
      </c>
      <c r="O22" s="218" t="e">
        <f t="shared" si="0"/>
        <v>#N/A</v>
      </c>
      <c r="P22" s="218" t="e">
        <f t="shared" si="0"/>
        <v>#N/A</v>
      </c>
      <c r="Q22" s="218" t="e">
        <f t="shared" si="0"/>
        <v>#N/A</v>
      </c>
      <c r="R22" s="218" t="e">
        <f t="shared" si="0"/>
        <v>#N/A</v>
      </c>
      <c r="S22" s="218" t="e">
        <f t="shared" si="0"/>
        <v>#N/A</v>
      </c>
    </row>
    <row r="23" spans="1:19">
      <c r="A23" s="72" t="s">
        <v>5745</v>
      </c>
      <c r="B23" s="52" t="e">
        <f t="shared" si="1"/>
        <v>#N/A</v>
      </c>
      <c r="D23" s="2016" t="e">
        <f>IF(B23&lt;B$11+C$8,INDEX(IFAData_TEA_1617!B$2:N$2357,B23,11),0)</f>
        <v>#N/A</v>
      </c>
      <c r="E23" s="2017" t="e">
        <f>IF(B23&lt;B$11+C$8,INDEX(IFAData_TEA_1617!B$2:N$2357,B23,12),0)</f>
        <v>#N/A</v>
      </c>
      <c r="F23" s="973" t="e">
        <f>IF(B23&lt;B$11+C$8,INDEX(IFAData_TEA_1718!B$2:M$2564,B23,11),0)</f>
        <v>#N/A</v>
      </c>
      <c r="G23" s="218" t="e">
        <f>IF(B23&lt;B$11+C$8,INDEX(IFAData_TEA_1718!B$2:M$2564,B23,12),0)</f>
        <v>#N/A</v>
      </c>
      <c r="H23" s="973" t="e">
        <f>IF(B23&lt;B$11+C$8,INDEX(IFAData_TEA_1819!B$2:M$2511,B23,11),0)</f>
        <v>#N/A</v>
      </c>
      <c r="I23" s="218" t="e">
        <f>IF(B23&lt;B$11+C$8,INDEX(IFAData_TEA_1819!B$2:M$2511,B23,12),0)</f>
        <v>#N/A</v>
      </c>
      <c r="J23" s="218" t="e">
        <f t="shared" si="0"/>
        <v>#N/A</v>
      </c>
      <c r="K23" s="218" t="e">
        <f t="shared" si="0"/>
        <v>#N/A</v>
      </c>
      <c r="L23" s="218" t="e">
        <f t="shared" si="0"/>
        <v>#N/A</v>
      </c>
      <c r="M23" s="218" t="e">
        <f t="shared" si="0"/>
        <v>#N/A</v>
      </c>
      <c r="N23" s="218" t="e">
        <f t="shared" si="0"/>
        <v>#N/A</v>
      </c>
      <c r="O23" s="218" t="e">
        <f t="shared" si="0"/>
        <v>#N/A</v>
      </c>
      <c r="P23" s="218" t="e">
        <f t="shared" si="0"/>
        <v>#N/A</v>
      </c>
      <c r="Q23" s="218" t="e">
        <f t="shared" si="0"/>
        <v>#N/A</v>
      </c>
      <c r="R23" s="218" t="e">
        <f t="shared" si="0"/>
        <v>#N/A</v>
      </c>
      <c r="S23" s="218" t="e">
        <f t="shared" si="0"/>
        <v>#N/A</v>
      </c>
    </row>
    <row r="24" spans="1:19">
      <c r="A24" s="72" t="s">
        <v>5745</v>
      </c>
      <c r="B24" s="52" t="e">
        <f t="shared" si="1"/>
        <v>#N/A</v>
      </c>
      <c r="D24" s="2016" t="e">
        <f>IF(B24&lt;B$11+C$8,INDEX(IFAData_TEA_1617!B$2:N$2357,B24,11),0)</f>
        <v>#N/A</v>
      </c>
      <c r="E24" s="2017" t="e">
        <f>IF(B24&lt;B$11+C$8,INDEX(IFAData_TEA_1617!B$2:N$2357,B24,12),0)</f>
        <v>#N/A</v>
      </c>
      <c r="F24" s="973" t="e">
        <f>IF(B24&lt;B$11+C$8,INDEX(IFAData_TEA_1718!B$2:M$2564,B24,11),0)</f>
        <v>#N/A</v>
      </c>
      <c r="G24" s="218" t="e">
        <f>IF(B24&lt;B$11+C$8,INDEX(IFAData_TEA_1718!B$2:M$2564,B24,12),0)</f>
        <v>#N/A</v>
      </c>
      <c r="H24" s="973" t="e">
        <f>IF(B24&lt;B$11+C$8,INDEX(IFAData_TEA_1819!B$2:M$2511,B24,11),0)</f>
        <v>#N/A</v>
      </c>
      <c r="I24" s="218" t="e">
        <f>IF(B24&lt;B$11+C$8,INDEX(IFAData_TEA_1819!B$2:M$2511,B24,12),0)</f>
        <v>#N/A</v>
      </c>
      <c r="J24" s="218" t="e">
        <f t="shared" si="0"/>
        <v>#N/A</v>
      </c>
      <c r="K24" s="218" t="e">
        <f t="shared" si="0"/>
        <v>#N/A</v>
      </c>
      <c r="L24" s="218" t="e">
        <f t="shared" si="0"/>
        <v>#N/A</v>
      </c>
      <c r="M24" s="218" t="e">
        <f t="shared" si="0"/>
        <v>#N/A</v>
      </c>
      <c r="N24" s="218" t="e">
        <f t="shared" si="0"/>
        <v>#N/A</v>
      </c>
      <c r="O24" s="218" t="e">
        <f t="shared" si="0"/>
        <v>#N/A</v>
      </c>
      <c r="P24" s="218" t="e">
        <f t="shared" si="0"/>
        <v>#N/A</v>
      </c>
      <c r="Q24" s="218" t="e">
        <f t="shared" si="0"/>
        <v>#N/A</v>
      </c>
      <c r="R24" s="218" t="e">
        <f t="shared" si="0"/>
        <v>#N/A</v>
      </c>
      <c r="S24" s="218" t="e">
        <f t="shared" si="0"/>
        <v>#N/A</v>
      </c>
    </row>
    <row r="25" spans="1:19">
      <c r="A25" s="72" t="s">
        <v>5745</v>
      </c>
      <c r="B25" s="52" t="e">
        <f t="shared" si="1"/>
        <v>#N/A</v>
      </c>
      <c r="D25" s="2016" t="e">
        <f>IF(B25&lt;B$11+C$8,INDEX(IFAData_TEA_1617!B$2:N$2357,B25,11),0)</f>
        <v>#N/A</v>
      </c>
      <c r="E25" s="2017" t="e">
        <f>IF(B25&lt;B$11+C$8,INDEX(IFAData_TEA_1617!B$2:N$2357,B25,12),0)</f>
        <v>#N/A</v>
      </c>
      <c r="F25" s="973" t="e">
        <f>IF(B25&lt;B$11+C$8,INDEX(IFAData_TEA_1718!B$2:M$2564,B25,11),0)</f>
        <v>#N/A</v>
      </c>
      <c r="G25" s="218" t="e">
        <f>IF(B25&lt;B$11+C$8,INDEX(IFAData_TEA_1718!B$2:M$2564,B25,12),0)</f>
        <v>#N/A</v>
      </c>
      <c r="H25" s="973" t="e">
        <f>IF(B25&lt;B$11+C$8,INDEX(IFAData_TEA_1819!B$2:M$2511,B25,11),0)</f>
        <v>#N/A</v>
      </c>
      <c r="I25" s="218" t="e">
        <f>IF(B25&lt;B$11+C$8,INDEX(IFAData_TEA_1819!B$2:M$2511,B25,12),0)</f>
        <v>#N/A</v>
      </c>
      <c r="J25" s="218" t="e">
        <f t="shared" si="0"/>
        <v>#N/A</v>
      </c>
      <c r="K25" s="218" t="e">
        <f t="shared" si="0"/>
        <v>#N/A</v>
      </c>
      <c r="L25" s="218" t="e">
        <f t="shared" si="0"/>
        <v>#N/A</v>
      </c>
      <c r="M25" s="218" t="e">
        <f t="shared" si="0"/>
        <v>#N/A</v>
      </c>
      <c r="N25" s="218" t="e">
        <f t="shared" si="0"/>
        <v>#N/A</v>
      </c>
      <c r="O25" s="218" t="e">
        <f t="shared" si="0"/>
        <v>#N/A</v>
      </c>
      <c r="P25" s="218" t="e">
        <f t="shared" si="0"/>
        <v>#N/A</v>
      </c>
      <c r="Q25" s="218" t="e">
        <f t="shared" si="0"/>
        <v>#N/A</v>
      </c>
      <c r="R25" s="218" t="e">
        <f t="shared" si="0"/>
        <v>#N/A</v>
      </c>
      <c r="S25" s="218" t="e">
        <f t="shared" si="0"/>
        <v>#N/A</v>
      </c>
    </row>
    <row r="26" spans="1:19">
      <c r="A26" s="72" t="s">
        <v>5745</v>
      </c>
      <c r="B26" s="52" t="e">
        <f t="shared" si="1"/>
        <v>#N/A</v>
      </c>
      <c r="D26" s="2016" t="e">
        <f>IF(B26&lt;B$11+C$8,INDEX(IFAData_TEA_1617!B$2:N$2357,B26,11),0)</f>
        <v>#N/A</v>
      </c>
      <c r="E26" s="2017" t="e">
        <f>IF(B26&lt;B$11+C$8,INDEX(IFAData_TEA_1617!B$2:N$2357,B26,12),0)</f>
        <v>#N/A</v>
      </c>
      <c r="F26" s="973" t="e">
        <f>IF(B26&lt;B$11+C$8,INDEX(IFAData_TEA_1718!B$2:M$2564,B26,11),0)</f>
        <v>#N/A</v>
      </c>
      <c r="G26" s="218" t="e">
        <f>IF(B26&lt;B$11+C$8,INDEX(IFAData_TEA_1718!B$2:M$2564,B26,12),0)</f>
        <v>#N/A</v>
      </c>
      <c r="H26" s="973" t="e">
        <f>IF(B26&lt;B$11+C$8,INDEX(IFAData_TEA_1819!B$2:M$2511,B26,11),0)</f>
        <v>#N/A</v>
      </c>
      <c r="I26" s="218" t="e">
        <f>IF(B26&lt;B$11+C$8,INDEX(IFAData_TEA_1819!B$2:M$2511,B26,12),0)</f>
        <v>#N/A</v>
      </c>
      <c r="J26" s="218" t="e">
        <f t="shared" si="0"/>
        <v>#N/A</v>
      </c>
      <c r="K26" s="218" t="e">
        <f t="shared" si="0"/>
        <v>#N/A</v>
      </c>
      <c r="L26" s="218" t="e">
        <f t="shared" si="0"/>
        <v>#N/A</v>
      </c>
      <c r="M26" s="218" t="e">
        <f t="shared" si="0"/>
        <v>#N/A</v>
      </c>
      <c r="N26" s="218" t="e">
        <f t="shared" si="0"/>
        <v>#N/A</v>
      </c>
      <c r="O26" s="218" t="e">
        <f t="shared" si="0"/>
        <v>#N/A</v>
      </c>
      <c r="P26" s="218" t="e">
        <f t="shared" si="0"/>
        <v>#N/A</v>
      </c>
      <c r="Q26" s="218" t="e">
        <f t="shared" si="0"/>
        <v>#N/A</v>
      </c>
      <c r="R26" s="218" t="e">
        <f t="shared" si="0"/>
        <v>#N/A</v>
      </c>
      <c r="S26" s="218" t="e">
        <f t="shared" si="0"/>
        <v>#N/A</v>
      </c>
    </row>
    <row r="27" spans="1:19">
      <c r="A27" s="72" t="s">
        <v>5745</v>
      </c>
      <c r="B27" s="52" t="e">
        <f t="shared" si="1"/>
        <v>#N/A</v>
      </c>
      <c r="D27" s="2016" t="e">
        <f>IF(B27&lt;B$11+C$8,INDEX(IFAData_TEA_1617!B$2:N$2357,B27,11),0)</f>
        <v>#N/A</v>
      </c>
      <c r="E27" s="2017" t="e">
        <f>IF(B27&lt;B$11+C$8,INDEX(IFAData_TEA_1617!B$2:N$2357,B27,12),0)</f>
        <v>#N/A</v>
      </c>
      <c r="F27" s="973" t="e">
        <f>IF(B27&lt;B$11+C$8,INDEX(IFAData_TEA_1718!B$2:M$2564,B27,11),0)</f>
        <v>#N/A</v>
      </c>
      <c r="G27" s="218" t="e">
        <f>IF(B27&lt;B$11+C$8,INDEX(IFAData_TEA_1718!B$2:M$2564,B27,12),0)</f>
        <v>#N/A</v>
      </c>
      <c r="H27" s="973" t="e">
        <f>IF(B27&lt;B$11+C$8,INDEX(IFAData_TEA_1819!B$2:M$2511,B27,11),0)</f>
        <v>#N/A</v>
      </c>
      <c r="I27" s="218" t="e">
        <f>IF(B27&lt;B$11+C$8,INDEX(IFAData_TEA_1819!B$2:M$2511,B27,12),0)</f>
        <v>#N/A</v>
      </c>
      <c r="J27" s="218" t="e">
        <f t="shared" ref="J27:S52" si="2">H27</f>
        <v>#N/A</v>
      </c>
      <c r="K27" s="218" t="e">
        <f t="shared" si="2"/>
        <v>#N/A</v>
      </c>
      <c r="L27" s="218" t="e">
        <f t="shared" si="2"/>
        <v>#N/A</v>
      </c>
      <c r="M27" s="218" t="e">
        <f t="shared" si="2"/>
        <v>#N/A</v>
      </c>
      <c r="N27" s="218" t="e">
        <f t="shared" si="2"/>
        <v>#N/A</v>
      </c>
      <c r="O27" s="218" t="e">
        <f t="shared" si="2"/>
        <v>#N/A</v>
      </c>
      <c r="P27" s="218" t="e">
        <f t="shared" si="2"/>
        <v>#N/A</v>
      </c>
      <c r="Q27" s="218" t="e">
        <f t="shared" si="2"/>
        <v>#N/A</v>
      </c>
      <c r="R27" s="218" t="e">
        <f t="shared" si="2"/>
        <v>#N/A</v>
      </c>
      <c r="S27" s="218" t="e">
        <f t="shared" si="2"/>
        <v>#N/A</v>
      </c>
    </row>
    <row r="28" spans="1:19">
      <c r="A28" s="72" t="s">
        <v>5745</v>
      </c>
      <c r="B28" s="52" t="e">
        <f t="shared" si="1"/>
        <v>#N/A</v>
      </c>
      <c r="D28" s="2016" t="e">
        <f>IF(B28&lt;B$11+C$8,INDEX(IFAData_TEA_1617!B$2:N$2357,B28,11),0)</f>
        <v>#N/A</v>
      </c>
      <c r="E28" s="2017" t="e">
        <f>IF(B28&lt;B$11+C$8,INDEX(IFAData_TEA_1617!B$2:N$2357,B28,12),0)</f>
        <v>#N/A</v>
      </c>
      <c r="F28" s="973" t="e">
        <f>IF(B28&lt;B$11+C$8,INDEX(IFAData_TEA_1718!B$2:M$2564,B28,11),0)</f>
        <v>#N/A</v>
      </c>
      <c r="G28" s="218" t="e">
        <f>IF(B28&lt;B$11+C$8,INDEX(IFAData_TEA_1718!B$2:M$2564,B28,12),0)</f>
        <v>#N/A</v>
      </c>
      <c r="H28" s="973" t="e">
        <f>IF(B28&lt;B$11+C$8,INDEX(IFAData_TEA_1819!B$2:M$2511,B28,11),0)</f>
        <v>#N/A</v>
      </c>
      <c r="I28" s="218" t="e">
        <f>IF(B28&lt;B$11+C$8,INDEX(IFAData_TEA_1819!B$2:M$2511,B28,12),0)</f>
        <v>#N/A</v>
      </c>
      <c r="J28" s="218" t="e">
        <f t="shared" si="2"/>
        <v>#N/A</v>
      </c>
      <c r="K28" s="218" t="e">
        <f t="shared" si="2"/>
        <v>#N/A</v>
      </c>
      <c r="L28" s="218" t="e">
        <f t="shared" si="2"/>
        <v>#N/A</v>
      </c>
      <c r="M28" s="218" t="e">
        <f t="shared" si="2"/>
        <v>#N/A</v>
      </c>
      <c r="N28" s="218" t="e">
        <f t="shared" si="2"/>
        <v>#N/A</v>
      </c>
      <c r="O28" s="218" t="e">
        <f t="shared" si="2"/>
        <v>#N/A</v>
      </c>
      <c r="P28" s="218" t="e">
        <f t="shared" si="2"/>
        <v>#N/A</v>
      </c>
      <c r="Q28" s="218" t="e">
        <f t="shared" si="2"/>
        <v>#N/A</v>
      </c>
      <c r="R28" s="218" t="e">
        <f t="shared" si="2"/>
        <v>#N/A</v>
      </c>
      <c r="S28" s="218" t="e">
        <f t="shared" si="2"/>
        <v>#N/A</v>
      </c>
    </row>
    <row r="29" spans="1:19">
      <c r="A29" s="72" t="s">
        <v>5745</v>
      </c>
      <c r="B29" s="52" t="e">
        <f t="shared" si="1"/>
        <v>#N/A</v>
      </c>
      <c r="D29" s="2016" t="e">
        <f>IF(B29&lt;B$11+C$8,INDEX(IFAData_TEA_1617!B$2:N$2357,B29,11),0)</f>
        <v>#N/A</v>
      </c>
      <c r="E29" s="2017" t="e">
        <f>IF(B29&lt;B$11+C$8,INDEX(IFAData_TEA_1617!B$2:N$2357,B29,12),0)</f>
        <v>#N/A</v>
      </c>
      <c r="F29" s="973" t="e">
        <f>IF(B29&lt;B$11+C$8,INDEX(IFAData_TEA_1718!B$2:M$2564,B29,11),0)</f>
        <v>#N/A</v>
      </c>
      <c r="G29" s="218" t="e">
        <f>IF(B29&lt;B$11+C$8,INDEX(IFAData_TEA_1718!B$2:M$2564,B29,12),0)</f>
        <v>#N/A</v>
      </c>
      <c r="H29" s="973" t="e">
        <f>IF(B29&lt;B$11+C$8,INDEX(IFAData_TEA_1819!B$2:M$2511,B29,11),0)</f>
        <v>#N/A</v>
      </c>
      <c r="I29" s="218" t="e">
        <f>IF(B29&lt;B$11+C$8,INDEX(IFAData_TEA_1819!B$2:M$2511,B29,12),0)</f>
        <v>#N/A</v>
      </c>
      <c r="J29" s="218" t="e">
        <f t="shared" si="2"/>
        <v>#N/A</v>
      </c>
      <c r="K29" s="218" t="e">
        <f t="shared" si="2"/>
        <v>#N/A</v>
      </c>
      <c r="L29" s="218" t="e">
        <f t="shared" si="2"/>
        <v>#N/A</v>
      </c>
      <c r="M29" s="218" t="e">
        <f t="shared" si="2"/>
        <v>#N/A</v>
      </c>
      <c r="N29" s="218" t="e">
        <f t="shared" si="2"/>
        <v>#N/A</v>
      </c>
      <c r="O29" s="218" t="e">
        <f t="shared" si="2"/>
        <v>#N/A</v>
      </c>
      <c r="P29" s="218" t="e">
        <f t="shared" si="2"/>
        <v>#N/A</v>
      </c>
      <c r="Q29" s="218" t="e">
        <f t="shared" si="2"/>
        <v>#N/A</v>
      </c>
      <c r="R29" s="218" t="e">
        <f t="shared" si="2"/>
        <v>#N/A</v>
      </c>
      <c r="S29" s="218" t="e">
        <f t="shared" si="2"/>
        <v>#N/A</v>
      </c>
    </row>
    <row r="30" spans="1:19">
      <c r="A30" s="72" t="s">
        <v>5745</v>
      </c>
      <c r="B30" s="52" t="e">
        <f t="shared" si="1"/>
        <v>#N/A</v>
      </c>
      <c r="D30" s="2016" t="e">
        <f>IF(B30&lt;B$11+C$8,INDEX(IFAData_TEA_1617!B$2:N$2357,B30,11),0)</f>
        <v>#N/A</v>
      </c>
      <c r="E30" s="2017" t="e">
        <f>IF(B30&lt;B$11+C$8,INDEX(IFAData_TEA_1617!B$2:N$2357,B30,12),0)</f>
        <v>#N/A</v>
      </c>
      <c r="F30" s="973" t="e">
        <f>IF(B30&lt;B$11+C$8,INDEX(IFAData_TEA_1718!B$2:M$2564,B30,11),0)</f>
        <v>#N/A</v>
      </c>
      <c r="G30" s="218" t="e">
        <f>IF(B30&lt;B$11+C$8,INDEX(IFAData_TEA_1718!B$2:M$2564,B30,12),0)</f>
        <v>#N/A</v>
      </c>
      <c r="H30" s="973" t="e">
        <f>IF(B30&lt;B$11+C$8,INDEX(IFAData_TEA_1819!B$2:M$2511,B30,11),0)</f>
        <v>#N/A</v>
      </c>
      <c r="I30" s="218" t="e">
        <f>IF(B30&lt;B$11+C$8,INDEX(IFAData_TEA_1819!B$2:M$2511,B30,12),0)</f>
        <v>#N/A</v>
      </c>
      <c r="J30" s="218" t="e">
        <f t="shared" si="2"/>
        <v>#N/A</v>
      </c>
      <c r="K30" s="218" t="e">
        <f t="shared" si="2"/>
        <v>#N/A</v>
      </c>
      <c r="L30" s="218" t="e">
        <f t="shared" si="2"/>
        <v>#N/A</v>
      </c>
      <c r="M30" s="218" t="e">
        <f t="shared" si="2"/>
        <v>#N/A</v>
      </c>
      <c r="N30" s="218" t="e">
        <f t="shared" si="2"/>
        <v>#N/A</v>
      </c>
      <c r="O30" s="218" t="e">
        <f t="shared" si="2"/>
        <v>#N/A</v>
      </c>
      <c r="P30" s="218" t="e">
        <f t="shared" si="2"/>
        <v>#N/A</v>
      </c>
      <c r="Q30" s="218" t="e">
        <f t="shared" si="2"/>
        <v>#N/A</v>
      </c>
      <c r="R30" s="218" t="e">
        <f t="shared" si="2"/>
        <v>#N/A</v>
      </c>
      <c r="S30" s="218" t="e">
        <f t="shared" si="2"/>
        <v>#N/A</v>
      </c>
    </row>
    <row r="31" spans="1:19">
      <c r="A31" s="72" t="s">
        <v>5745</v>
      </c>
      <c r="B31" s="52" t="e">
        <f t="shared" si="1"/>
        <v>#N/A</v>
      </c>
      <c r="D31" s="2016" t="e">
        <f>IF(B31&lt;B$11+C$8,INDEX(IFAData_TEA_1617!B$2:N$2357,B31,11),0)</f>
        <v>#N/A</v>
      </c>
      <c r="E31" s="2017" t="e">
        <f>IF(B31&lt;B$11+C$8,INDEX(IFAData_TEA_1617!B$2:N$2357,B31,12),0)</f>
        <v>#N/A</v>
      </c>
      <c r="F31" s="973" t="e">
        <f>IF(B31&lt;B$11+C$8,INDEX(IFAData_TEA_1718!B$2:M$2564,B31,11),0)</f>
        <v>#N/A</v>
      </c>
      <c r="G31" s="218" t="e">
        <f>IF(B31&lt;B$11+C$8,INDEX(IFAData_TEA_1718!B$2:M$2564,B31,12),0)</f>
        <v>#N/A</v>
      </c>
      <c r="H31" s="973" t="e">
        <f>IF(B31&lt;B$11+C$8,INDEX(IFAData_TEA_1819!B$2:M$2511,B31,11),0)</f>
        <v>#N/A</v>
      </c>
      <c r="I31" s="218" t="e">
        <f>IF(B31&lt;B$11+C$8,INDEX(IFAData_TEA_1819!B$2:M$2511,B31,12),0)</f>
        <v>#N/A</v>
      </c>
      <c r="J31" s="218" t="e">
        <f t="shared" si="2"/>
        <v>#N/A</v>
      </c>
      <c r="K31" s="218" t="e">
        <f t="shared" si="2"/>
        <v>#N/A</v>
      </c>
      <c r="L31" s="218" t="e">
        <f t="shared" si="2"/>
        <v>#N/A</v>
      </c>
      <c r="M31" s="218" t="e">
        <f t="shared" si="2"/>
        <v>#N/A</v>
      </c>
      <c r="N31" s="218" t="e">
        <f t="shared" si="2"/>
        <v>#N/A</v>
      </c>
      <c r="O31" s="218" t="e">
        <f t="shared" si="2"/>
        <v>#N/A</v>
      </c>
      <c r="P31" s="218" t="e">
        <f t="shared" si="2"/>
        <v>#N/A</v>
      </c>
      <c r="Q31" s="218" t="e">
        <f t="shared" si="2"/>
        <v>#N/A</v>
      </c>
      <c r="R31" s="218" t="e">
        <f t="shared" si="2"/>
        <v>#N/A</v>
      </c>
      <c r="S31" s="218" t="e">
        <f t="shared" si="2"/>
        <v>#N/A</v>
      </c>
    </row>
    <row r="32" spans="1:19">
      <c r="A32" s="72" t="s">
        <v>5745</v>
      </c>
      <c r="B32" s="52" t="e">
        <f t="shared" si="1"/>
        <v>#N/A</v>
      </c>
      <c r="D32" s="2016" t="e">
        <f>IF(B32&lt;B$11+C$8,INDEX(IFAData_TEA_1617!B$2:N$2357,B32,11),0)</f>
        <v>#N/A</v>
      </c>
      <c r="E32" s="2017" t="e">
        <f>IF(B32&lt;B$11+C$8,INDEX(IFAData_TEA_1617!B$2:N$2357,B32,12),0)</f>
        <v>#N/A</v>
      </c>
      <c r="F32" s="973" t="e">
        <f>IF(B32&lt;B$11+C$8,INDEX(IFAData_TEA_1718!B$2:M$2564,B32,11),0)</f>
        <v>#N/A</v>
      </c>
      <c r="G32" s="218" t="e">
        <f>IF(B32&lt;B$11+C$8,INDEX(IFAData_TEA_1718!B$2:M$2564,B32,12),0)</f>
        <v>#N/A</v>
      </c>
      <c r="H32" s="973" t="e">
        <f>IF(B32&lt;B$11+C$8,INDEX(IFAData_TEA_1819!B$2:M$2511,B32,11),0)</f>
        <v>#N/A</v>
      </c>
      <c r="I32" s="218" t="e">
        <f>IF(B32&lt;B$11+C$8,INDEX(IFAData_TEA_1819!B$2:M$2511,B32,12),0)</f>
        <v>#N/A</v>
      </c>
      <c r="J32" s="218" t="e">
        <f t="shared" si="2"/>
        <v>#N/A</v>
      </c>
      <c r="K32" s="218" t="e">
        <f t="shared" si="2"/>
        <v>#N/A</v>
      </c>
      <c r="L32" s="218" t="e">
        <f t="shared" si="2"/>
        <v>#N/A</v>
      </c>
      <c r="M32" s="218" t="e">
        <f t="shared" si="2"/>
        <v>#N/A</v>
      </c>
      <c r="N32" s="218" t="e">
        <f t="shared" si="2"/>
        <v>#N/A</v>
      </c>
      <c r="O32" s="218" t="e">
        <f t="shared" si="2"/>
        <v>#N/A</v>
      </c>
      <c r="P32" s="218" t="e">
        <f t="shared" si="2"/>
        <v>#N/A</v>
      </c>
      <c r="Q32" s="218" t="e">
        <f t="shared" si="2"/>
        <v>#N/A</v>
      </c>
      <c r="R32" s="218" t="e">
        <f t="shared" si="2"/>
        <v>#N/A</v>
      </c>
      <c r="S32" s="218" t="e">
        <f t="shared" si="2"/>
        <v>#N/A</v>
      </c>
    </row>
    <row r="33" spans="1:19">
      <c r="A33" s="72" t="s">
        <v>5745</v>
      </c>
      <c r="B33" s="52" t="e">
        <f t="shared" si="1"/>
        <v>#N/A</v>
      </c>
      <c r="D33" s="2016" t="e">
        <f>IF(B33&lt;B$11+C$8,INDEX(IFAData_TEA_1617!B$2:N$2357,B33,11),0)</f>
        <v>#N/A</v>
      </c>
      <c r="E33" s="2017" t="e">
        <f>IF(B33&lt;B$11+C$8,INDEX(IFAData_TEA_1617!B$2:N$2357,B33,12),0)</f>
        <v>#N/A</v>
      </c>
      <c r="F33" s="973" t="e">
        <f>IF(B33&lt;B$11+C$8,INDEX(IFAData_TEA_1718!B$2:M$2564,B33,11),0)</f>
        <v>#N/A</v>
      </c>
      <c r="G33" s="218" t="e">
        <f>IF(B33&lt;B$11+C$8,INDEX(IFAData_TEA_1718!B$2:M$2564,B33,12),0)</f>
        <v>#N/A</v>
      </c>
      <c r="H33" s="973" t="e">
        <f>IF(B33&lt;B$11+C$8,INDEX(IFAData_TEA_1819!B$2:M$2511,B33,11),0)</f>
        <v>#N/A</v>
      </c>
      <c r="I33" s="218" t="e">
        <f>IF(B33&lt;B$11+C$8,INDEX(IFAData_TEA_1819!B$2:M$2511,B33,12),0)</f>
        <v>#N/A</v>
      </c>
      <c r="J33" s="218" t="e">
        <f t="shared" si="2"/>
        <v>#N/A</v>
      </c>
      <c r="K33" s="218" t="e">
        <f t="shared" si="2"/>
        <v>#N/A</v>
      </c>
      <c r="L33" s="218" t="e">
        <f t="shared" si="2"/>
        <v>#N/A</v>
      </c>
      <c r="M33" s="218" t="e">
        <f t="shared" si="2"/>
        <v>#N/A</v>
      </c>
      <c r="N33" s="218" t="e">
        <f t="shared" si="2"/>
        <v>#N/A</v>
      </c>
      <c r="O33" s="218" t="e">
        <f t="shared" si="2"/>
        <v>#N/A</v>
      </c>
      <c r="P33" s="218" t="e">
        <f t="shared" si="2"/>
        <v>#N/A</v>
      </c>
      <c r="Q33" s="218" t="e">
        <f t="shared" si="2"/>
        <v>#N/A</v>
      </c>
      <c r="R33" s="218" t="e">
        <f t="shared" si="2"/>
        <v>#N/A</v>
      </c>
      <c r="S33" s="218" t="e">
        <f t="shared" si="2"/>
        <v>#N/A</v>
      </c>
    </row>
    <row r="34" spans="1:19">
      <c r="A34" s="72" t="s">
        <v>5745</v>
      </c>
      <c r="B34" s="52" t="e">
        <f t="shared" si="1"/>
        <v>#N/A</v>
      </c>
      <c r="D34" s="2016" t="e">
        <f>IF(B34&lt;B$11+C$8,INDEX(IFAData_TEA_1617!B$2:N$2357,B34,11),0)</f>
        <v>#N/A</v>
      </c>
      <c r="E34" s="2017" t="e">
        <f>IF(B34&lt;B$11+C$8,INDEX(IFAData_TEA_1617!B$2:N$2357,B34,12),0)</f>
        <v>#N/A</v>
      </c>
      <c r="F34" s="973" t="e">
        <f>IF(B34&lt;B$11+C$8,INDEX(IFAData_TEA_1718!B$2:M$2564,B34,11),0)</f>
        <v>#N/A</v>
      </c>
      <c r="G34" s="218" t="e">
        <f>IF(B34&lt;B$11+C$8,INDEX(IFAData_TEA_1718!B$2:M$2564,B34,12),0)</f>
        <v>#N/A</v>
      </c>
      <c r="H34" s="973" t="e">
        <f>IF(B34&lt;B$11+C$8,INDEX(IFAData_TEA_1819!B$2:M$2511,B34,11),0)</f>
        <v>#N/A</v>
      </c>
      <c r="I34" s="218" t="e">
        <f>IF(B34&lt;B$11+C$8,INDEX(IFAData_TEA_1819!B$2:M$2511,B34,12),0)</f>
        <v>#N/A</v>
      </c>
      <c r="J34" s="218" t="e">
        <f t="shared" si="2"/>
        <v>#N/A</v>
      </c>
      <c r="K34" s="218" t="e">
        <f t="shared" si="2"/>
        <v>#N/A</v>
      </c>
      <c r="L34" s="218" t="e">
        <f t="shared" si="2"/>
        <v>#N/A</v>
      </c>
      <c r="M34" s="218" t="e">
        <f t="shared" si="2"/>
        <v>#N/A</v>
      </c>
      <c r="N34" s="218" t="e">
        <f t="shared" si="2"/>
        <v>#N/A</v>
      </c>
      <c r="O34" s="218" t="e">
        <f t="shared" si="2"/>
        <v>#N/A</v>
      </c>
      <c r="P34" s="218" t="e">
        <f t="shared" si="2"/>
        <v>#N/A</v>
      </c>
      <c r="Q34" s="218" t="e">
        <f t="shared" si="2"/>
        <v>#N/A</v>
      </c>
      <c r="R34" s="218" t="e">
        <f t="shared" si="2"/>
        <v>#N/A</v>
      </c>
      <c r="S34" s="218" t="e">
        <f t="shared" si="2"/>
        <v>#N/A</v>
      </c>
    </row>
    <row r="35" spans="1:19">
      <c r="A35" s="72" t="s">
        <v>5745</v>
      </c>
      <c r="B35" s="52" t="e">
        <f t="shared" si="1"/>
        <v>#N/A</v>
      </c>
      <c r="D35" s="2016" t="e">
        <f>IF(B35&lt;B$11+C$8,INDEX(IFAData_TEA_1617!B$2:N$2357,B35,11),0)</f>
        <v>#N/A</v>
      </c>
      <c r="E35" s="2017" t="e">
        <f>IF(B35&lt;B$11+C$8,INDEX(IFAData_TEA_1617!B$2:N$2357,B35,12),0)</f>
        <v>#N/A</v>
      </c>
      <c r="F35" s="973" t="e">
        <f>IF(B35&lt;B$11+C$8,INDEX(IFAData_TEA_1718!B$2:M$2564,B35,11),0)</f>
        <v>#N/A</v>
      </c>
      <c r="G35" s="218" t="e">
        <f>IF(B35&lt;B$11+C$8,INDEX(IFAData_TEA_1718!B$2:M$2564,B35,12),0)</f>
        <v>#N/A</v>
      </c>
      <c r="H35" s="973" t="e">
        <f>IF(B35&lt;B$11+C$8,INDEX(IFAData_TEA_1819!B$2:M$2511,B35,11),0)</f>
        <v>#N/A</v>
      </c>
      <c r="I35" s="218" t="e">
        <f>IF(B35&lt;B$11+C$8,INDEX(IFAData_TEA_1819!B$2:M$2511,B35,12),0)</f>
        <v>#N/A</v>
      </c>
      <c r="J35" s="218" t="e">
        <f t="shared" si="2"/>
        <v>#N/A</v>
      </c>
      <c r="K35" s="218" t="e">
        <f t="shared" si="2"/>
        <v>#N/A</v>
      </c>
      <c r="L35" s="218" t="e">
        <f t="shared" si="2"/>
        <v>#N/A</v>
      </c>
      <c r="M35" s="218" t="e">
        <f t="shared" si="2"/>
        <v>#N/A</v>
      </c>
      <c r="N35" s="218" t="e">
        <f t="shared" si="2"/>
        <v>#N/A</v>
      </c>
      <c r="O35" s="218" t="e">
        <f t="shared" si="2"/>
        <v>#N/A</v>
      </c>
      <c r="P35" s="218" t="e">
        <f t="shared" si="2"/>
        <v>#N/A</v>
      </c>
      <c r="Q35" s="218" t="e">
        <f t="shared" si="2"/>
        <v>#N/A</v>
      </c>
      <c r="R35" s="218" t="e">
        <f t="shared" si="2"/>
        <v>#N/A</v>
      </c>
      <c r="S35" s="218" t="e">
        <f t="shared" si="2"/>
        <v>#N/A</v>
      </c>
    </row>
    <row r="36" spans="1:19">
      <c r="A36" s="72" t="s">
        <v>5745</v>
      </c>
      <c r="B36" s="52" t="e">
        <f t="shared" si="1"/>
        <v>#N/A</v>
      </c>
      <c r="D36" s="2016" t="e">
        <f>IF(B36&lt;B$11+C$8,INDEX(IFAData_TEA_1617!B$2:N$2357,B36,11),0)</f>
        <v>#N/A</v>
      </c>
      <c r="E36" s="2017" t="e">
        <f>IF(B36&lt;B$11+C$8,INDEX(IFAData_TEA_1617!B$2:N$2357,B36,12),0)</f>
        <v>#N/A</v>
      </c>
      <c r="F36" s="973" t="e">
        <f>IF(B36&lt;B$11+C$8,INDEX(IFAData_TEA_1718!B$2:M$2564,B36,11),0)</f>
        <v>#N/A</v>
      </c>
      <c r="G36" s="218" t="e">
        <f>IF(B36&lt;B$11+C$8,INDEX(IFAData_TEA_1718!B$2:M$2564,B36,12),0)</f>
        <v>#N/A</v>
      </c>
      <c r="H36" s="973" t="e">
        <f>IF(B36&lt;B$11+C$8,INDEX(IFAData_TEA_1819!B$2:M$2511,B36,11),0)</f>
        <v>#N/A</v>
      </c>
      <c r="I36" s="218" t="e">
        <f>IF(B36&lt;B$11+C$8,INDEX(IFAData_TEA_1819!B$2:M$2511,B36,12),0)</f>
        <v>#N/A</v>
      </c>
      <c r="J36" s="218" t="e">
        <f t="shared" si="2"/>
        <v>#N/A</v>
      </c>
      <c r="K36" s="218" t="e">
        <f t="shared" si="2"/>
        <v>#N/A</v>
      </c>
      <c r="L36" s="218" t="e">
        <f t="shared" si="2"/>
        <v>#N/A</v>
      </c>
      <c r="M36" s="218" t="e">
        <f t="shared" si="2"/>
        <v>#N/A</v>
      </c>
      <c r="N36" s="218" t="e">
        <f t="shared" si="2"/>
        <v>#N/A</v>
      </c>
      <c r="O36" s="218" t="e">
        <f t="shared" si="2"/>
        <v>#N/A</v>
      </c>
      <c r="P36" s="218" t="e">
        <f t="shared" si="2"/>
        <v>#N/A</v>
      </c>
      <c r="Q36" s="218" t="e">
        <f t="shared" si="2"/>
        <v>#N/A</v>
      </c>
      <c r="R36" s="218" t="e">
        <f t="shared" si="2"/>
        <v>#N/A</v>
      </c>
      <c r="S36" s="218" t="e">
        <f t="shared" si="2"/>
        <v>#N/A</v>
      </c>
    </row>
    <row r="37" spans="1:19">
      <c r="A37" s="72" t="s">
        <v>5745</v>
      </c>
      <c r="B37" s="52" t="e">
        <f t="shared" si="1"/>
        <v>#N/A</v>
      </c>
      <c r="D37" s="2016" t="e">
        <f>IF(B37&lt;B$11+C$8,INDEX(IFAData_TEA_1617!B$2:N$2357,B37,11),0)</f>
        <v>#N/A</v>
      </c>
      <c r="E37" s="2017" t="e">
        <f>IF(B37&lt;B$11+C$8,INDEX(IFAData_TEA_1617!B$2:N$2357,B37,12),0)</f>
        <v>#N/A</v>
      </c>
      <c r="F37" s="973" t="e">
        <f>IF(B37&lt;B$11+C$8,INDEX(IFAData_TEA_1718!B$2:M$2564,B37,11),0)</f>
        <v>#N/A</v>
      </c>
      <c r="G37" s="218" t="e">
        <f>IF(B37&lt;B$11+C$8,INDEX(IFAData_TEA_1718!B$2:M$2564,B37,12),0)</f>
        <v>#N/A</v>
      </c>
      <c r="H37" s="973" t="e">
        <f>IF(B37&lt;B$11+C$8,INDEX(IFAData_TEA_1819!B$2:M$2511,B37,11),0)</f>
        <v>#N/A</v>
      </c>
      <c r="I37" s="218" t="e">
        <f>IF(B37&lt;B$11+C$8,INDEX(IFAData_TEA_1819!B$2:M$2511,B37,12),0)</f>
        <v>#N/A</v>
      </c>
      <c r="J37" s="218" t="e">
        <f t="shared" si="2"/>
        <v>#N/A</v>
      </c>
      <c r="K37" s="218" t="e">
        <f t="shared" si="2"/>
        <v>#N/A</v>
      </c>
      <c r="L37" s="218" t="e">
        <f t="shared" si="2"/>
        <v>#N/A</v>
      </c>
      <c r="M37" s="218" t="e">
        <f t="shared" si="2"/>
        <v>#N/A</v>
      </c>
      <c r="N37" s="218" t="e">
        <f t="shared" si="2"/>
        <v>#N/A</v>
      </c>
      <c r="O37" s="218" t="e">
        <f t="shared" si="2"/>
        <v>#N/A</v>
      </c>
      <c r="P37" s="218" t="e">
        <f t="shared" si="2"/>
        <v>#N/A</v>
      </c>
      <c r="Q37" s="218" t="e">
        <f t="shared" si="2"/>
        <v>#N/A</v>
      </c>
      <c r="R37" s="218" t="e">
        <f t="shared" si="2"/>
        <v>#N/A</v>
      </c>
      <c r="S37" s="218" t="e">
        <f t="shared" si="2"/>
        <v>#N/A</v>
      </c>
    </row>
    <row r="38" spans="1:19">
      <c r="A38" s="72" t="s">
        <v>5745</v>
      </c>
      <c r="B38" s="52" t="e">
        <f t="shared" si="1"/>
        <v>#N/A</v>
      </c>
      <c r="D38" s="2016" t="e">
        <f>IF(B38&lt;B$11+C$8,INDEX(IFAData_TEA_1617!B$2:N$2357,B38,11),0)</f>
        <v>#N/A</v>
      </c>
      <c r="E38" s="2017" t="e">
        <f>IF(B38&lt;B$11+C$8,INDEX(IFAData_TEA_1617!B$2:N$2357,B38,12),0)</f>
        <v>#N/A</v>
      </c>
      <c r="F38" s="973" t="e">
        <f>IF(B38&lt;B$11+C$8,INDEX(IFAData_TEA_1718!B$2:M$2564,B38,11),0)</f>
        <v>#N/A</v>
      </c>
      <c r="G38" s="218" t="e">
        <f>IF(B38&lt;B$11+C$8,INDEX(IFAData_TEA_1718!B$2:M$2564,B38,12),0)</f>
        <v>#N/A</v>
      </c>
      <c r="H38" s="973" t="e">
        <f>IF(B38&lt;B$11+C$8,INDEX(IFAData_TEA_1819!B$2:M$2511,B38,11),0)</f>
        <v>#N/A</v>
      </c>
      <c r="I38" s="218" t="e">
        <f>IF(B38&lt;B$11+C$8,INDEX(IFAData_TEA_1819!B$2:M$2511,B38,12),0)</f>
        <v>#N/A</v>
      </c>
      <c r="J38" s="218" t="e">
        <f t="shared" si="2"/>
        <v>#N/A</v>
      </c>
      <c r="K38" s="218" t="e">
        <f t="shared" si="2"/>
        <v>#N/A</v>
      </c>
      <c r="L38" s="218" t="e">
        <f t="shared" si="2"/>
        <v>#N/A</v>
      </c>
      <c r="M38" s="218" t="e">
        <f t="shared" si="2"/>
        <v>#N/A</v>
      </c>
      <c r="N38" s="218" t="e">
        <f t="shared" si="2"/>
        <v>#N/A</v>
      </c>
      <c r="O38" s="218" t="e">
        <f t="shared" si="2"/>
        <v>#N/A</v>
      </c>
      <c r="P38" s="218" t="e">
        <f t="shared" si="2"/>
        <v>#N/A</v>
      </c>
      <c r="Q38" s="218" t="e">
        <f t="shared" si="2"/>
        <v>#N/A</v>
      </c>
      <c r="R38" s="218" t="e">
        <f t="shared" si="2"/>
        <v>#N/A</v>
      </c>
      <c r="S38" s="218" t="e">
        <f t="shared" si="2"/>
        <v>#N/A</v>
      </c>
    </row>
    <row r="39" spans="1:19">
      <c r="A39" s="72" t="s">
        <v>5745</v>
      </c>
      <c r="B39" s="52" t="e">
        <f t="shared" si="1"/>
        <v>#N/A</v>
      </c>
      <c r="D39" s="2016" t="e">
        <f>IF(B39&lt;B$11+C$8,INDEX(IFAData_TEA_1617!B$2:N$2357,B39,11),0)</f>
        <v>#N/A</v>
      </c>
      <c r="E39" s="2017" t="e">
        <f>IF(B39&lt;B$11+C$8,INDEX(IFAData_TEA_1617!B$2:N$2357,B39,12),0)</f>
        <v>#N/A</v>
      </c>
      <c r="F39" s="973" t="e">
        <f>IF(B39&lt;B$11+C$8,INDEX(IFAData_TEA_1718!B$2:M$2564,B39,11),0)</f>
        <v>#N/A</v>
      </c>
      <c r="G39" s="218" t="e">
        <f>IF(B39&lt;B$11+C$8,INDEX(IFAData_TEA_1718!B$2:M$2564,B39,12),0)</f>
        <v>#N/A</v>
      </c>
      <c r="H39" s="973" t="e">
        <f>IF(B39&lt;B$11+C$8,INDEX(IFAData_TEA_1819!B$2:M$2511,B39,11),0)</f>
        <v>#N/A</v>
      </c>
      <c r="I39" s="218" t="e">
        <f>IF(B39&lt;B$11+C$8,INDEX(IFAData_TEA_1819!B$2:M$2511,B39,12),0)</f>
        <v>#N/A</v>
      </c>
      <c r="J39" s="218" t="e">
        <f t="shared" si="2"/>
        <v>#N/A</v>
      </c>
      <c r="K39" s="218" t="e">
        <f t="shared" si="2"/>
        <v>#N/A</v>
      </c>
      <c r="L39" s="218" t="e">
        <f t="shared" si="2"/>
        <v>#N/A</v>
      </c>
      <c r="M39" s="218" t="e">
        <f t="shared" si="2"/>
        <v>#N/A</v>
      </c>
      <c r="N39" s="218" t="e">
        <f t="shared" si="2"/>
        <v>#N/A</v>
      </c>
      <c r="O39" s="218" t="e">
        <f t="shared" si="2"/>
        <v>#N/A</v>
      </c>
      <c r="P39" s="218" t="e">
        <f t="shared" si="2"/>
        <v>#N/A</v>
      </c>
      <c r="Q39" s="218" t="e">
        <f t="shared" si="2"/>
        <v>#N/A</v>
      </c>
      <c r="R39" s="218" t="e">
        <f t="shared" si="2"/>
        <v>#N/A</v>
      </c>
      <c r="S39" s="218" t="e">
        <f t="shared" si="2"/>
        <v>#N/A</v>
      </c>
    </row>
    <row r="40" spans="1:19">
      <c r="A40" s="72" t="s">
        <v>5745</v>
      </c>
      <c r="B40" s="52" t="e">
        <f t="shared" si="1"/>
        <v>#N/A</v>
      </c>
      <c r="D40" s="2016" t="e">
        <f>IF(B40&lt;B$11+C$8,INDEX(IFAData_TEA_1617!B$2:N$2357,B40,11),0)</f>
        <v>#N/A</v>
      </c>
      <c r="E40" s="2017" t="e">
        <f>IF(B40&lt;B$11+C$8,INDEX(IFAData_TEA_1617!B$2:N$2357,B40,12),0)</f>
        <v>#N/A</v>
      </c>
      <c r="F40" s="973" t="e">
        <f>IF(B40&lt;B$11+C$8,INDEX(IFAData_TEA_1718!B$2:M$2564,B40,11),0)</f>
        <v>#N/A</v>
      </c>
      <c r="G40" s="218" t="e">
        <f>IF(B40&lt;B$11+C$8,INDEX(IFAData_TEA_1718!B$2:M$2564,B40,12),0)</f>
        <v>#N/A</v>
      </c>
      <c r="H40" s="973" t="e">
        <f>IF(B40&lt;B$11+C$8,INDEX(IFAData_TEA_1819!B$2:M$2511,B40,11),0)</f>
        <v>#N/A</v>
      </c>
      <c r="I40" s="218" t="e">
        <f>IF(B40&lt;B$11+C$8,INDEX(IFAData_TEA_1819!B$2:M$2511,B40,12),0)</f>
        <v>#N/A</v>
      </c>
      <c r="J40" s="218" t="e">
        <f t="shared" si="2"/>
        <v>#N/A</v>
      </c>
      <c r="K40" s="218" t="e">
        <f t="shared" si="2"/>
        <v>#N/A</v>
      </c>
      <c r="L40" s="218" t="e">
        <f t="shared" si="2"/>
        <v>#N/A</v>
      </c>
      <c r="M40" s="218" t="e">
        <f t="shared" si="2"/>
        <v>#N/A</v>
      </c>
      <c r="N40" s="218" t="e">
        <f t="shared" si="2"/>
        <v>#N/A</v>
      </c>
      <c r="O40" s="218" t="e">
        <f t="shared" si="2"/>
        <v>#N/A</v>
      </c>
      <c r="P40" s="218" t="e">
        <f t="shared" si="2"/>
        <v>#N/A</v>
      </c>
      <c r="Q40" s="218" t="e">
        <f t="shared" si="2"/>
        <v>#N/A</v>
      </c>
      <c r="R40" s="218" t="e">
        <f t="shared" si="2"/>
        <v>#N/A</v>
      </c>
      <c r="S40" s="218" t="e">
        <f t="shared" si="2"/>
        <v>#N/A</v>
      </c>
    </row>
    <row r="41" spans="1:19">
      <c r="A41" s="72" t="s">
        <v>5745</v>
      </c>
      <c r="B41" s="52" t="e">
        <f t="shared" si="1"/>
        <v>#N/A</v>
      </c>
      <c r="D41" s="2016" t="e">
        <f>IF(B41&lt;B$11+C$8,INDEX(IFAData_TEA_1617!B$2:N$2357,B41,11),0)</f>
        <v>#N/A</v>
      </c>
      <c r="E41" s="2017" t="e">
        <f>IF(B41&lt;B$11+C$8,INDEX(IFAData_TEA_1617!B$2:N$2357,B41,12),0)</f>
        <v>#N/A</v>
      </c>
      <c r="F41" s="973" t="e">
        <f>IF(B41&lt;B$11+C$8,INDEX(IFAData_TEA_1718!B$2:M$2564,B41,11),0)</f>
        <v>#N/A</v>
      </c>
      <c r="G41" s="218" t="e">
        <f>IF(B41&lt;B$11+C$8,INDEX(IFAData_TEA_1718!B$2:M$2564,B41,12),0)</f>
        <v>#N/A</v>
      </c>
      <c r="H41" s="973" t="e">
        <f>IF(B41&lt;B$11+C$8,INDEX(IFAData_TEA_1819!B$2:M$2511,B41,11),0)</f>
        <v>#N/A</v>
      </c>
      <c r="I41" s="218" t="e">
        <f>IF(B41&lt;B$11+C$8,INDEX(IFAData_TEA_1819!B$2:M$2511,B41,12),0)</f>
        <v>#N/A</v>
      </c>
      <c r="J41" s="218" t="e">
        <f t="shared" si="2"/>
        <v>#N/A</v>
      </c>
      <c r="K41" s="218" t="e">
        <f t="shared" si="2"/>
        <v>#N/A</v>
      </c>
      <c r="L41" s="218" t="e">
        <f t="shared" si="2"/>
        <v>#N/A</v>
      </c>
      <c r="M41" s="218" t="e">
        <f t="shared" si="2"/>
        <v>#N/A</v>
      </c>
      <c r="N41" s="218" t="e">
        <f t="shared" si="2"/>
        <v>#N/A</v>
      </c>
      <c r="O41" s="218" t="e">
        <f t="shared" si="2"/>
        <v>#N/A</v>
      </c>
      <c r="P41" s="218" t="e">
        <f t="shared" si="2"/>
        <v>#N/A</v>
      </c>
      <c r="Q41" s="218" t="e">
        <f t="shared" si="2"/>
        <v>#N/A</v>
      </c>
      <c r="R41" s="218" t="e">
        <f t="shared" si="2"/>
        <v>#N/A</v>
      </c>
      <c r="S41" s="218" t="e">
        <f t="shared" si="2"/>
        <v>#N/A</v>
      </c>
    </row>
    <row r="42" spans="1:19">
      <c r="A42" s="72" t="s">
        <v>5745</v>
      </c>
      <c r="B42" s="52" t="e">
        <f t="shared" si="1"/>
        <v>#N/A</v>
      </c>
      <c r="D42" s="2016" t="e">
        <f>IF(B42&lt;B$11+C$8,INDEX(IFAData_TEA_1617!B$2:N$2357,B42,11),0)</f>
        <v>#N/A</v>
      </c>
      <c r="E42" s="2017" t="e">
        <f>IF(B42&lt;B$11+C$8,INDEX(IFAData_TEA_1617!B$2:N$2357,B42,12),0)</f>
        <v>#N/A</v>
      </c>
      <c r="F42" s="973" t="e">
        <f>IF(B42&lt;B$11+C$8,INDEX(IFAData_TEA_1718!B$2:M$2564,B42,11),0)</f>
        <v>#N/A</v>
      </c>
      <c r="G42" s="218" t="e">
        <f>IF(B42&lt;B$11+C$8,INDEX(IFAData_TEA_1718!B$2:M$2564,B42,12),0)</f>
        <v>#N/A</v>
      </c>
      <c r="H42" s="973" t="e">
        <f>IF(B42&lt;B$11+C$8,INDEX(IFAData_TEA_1819!B$2:M$2511,B42,11),0)</f>
        <v>#N/A</v>
      </c>
      <c r="I42" s="218" t="e">
        <f>IF(B42&lt;B$11+C$8,INDEX(IFAData_TEA_1819!B$2:M$2511,B42,12),0)</f>
        <v>#N/A</v>
      </c>
      <c r="J42" s="218" t="e">
        <f t="shared" si="2"/>
        <v>#N/A</v>
      </c>
      <c r="K42" s="218" t="e">
        <f t="shared" si="2"/>
        <v>#N/A</v>
      </c>
      <c r="L42" s="218" t="e">
        <f t="shared" si="2"/>
        <v>#N/A</v>
      </c>
      <c r="M42" s="218" t="e">
        <f t="shared" si="2"/>
        <v>#N/A</v>
      </c>
      <c r="N42" s="218" t="e">
        <f t="shared" si="2"/>
        <v>#N/A</v>
      </c>
      <c r="O42" s="218" t="e">
        <f t="shared" si="2"/>
        <v>#N/A</v>
      </c>
      <c r="P42" s="218" t="e">
        <f t="shared" si="2"/>
        <v>#N/A</v>
      </c>
      <c r="Q42" s="218" t="e">
        <f t="shared" si="2"/>
        <v>#N/A</v>
      </c>
      <c r="R42" s="218" t="e">
        <f t="shared" si="2"/>
        <v>#N/A</v>
      </c>
      <c r="S42" s="218" t="e">
        <f t="shared" si="2"/>
        <v>#N/A</v>
      </c>
    </row>
    <row r="43" spans="1:19">
      <c r="A43" s="72" t="s">
        <v>5745</v>
      </c>
      <c r="B43" s="52" t="e">
        <f t="shared" si="1"/>
        <v>#N/A</v>
      </c>
      <c r="D43" s="2016" t="e">
        <f>IF(B43&lt;B$11+C$8,INDEX(IFAData_TEA_1617!B$2:N$2357,B43,11),0)</f>
        <v>#N/A</v>
      </c>
      <c r="E43" s="2017" t="e">
        <f>IF(B43&lt;B$11+C$8,INDEX(IFAData_TEA_1617!B$2:N$2357,B43,12),0)</f>
        <v>#N/A</v>
      </c>
      <c r="F43" s="973" t="e">
        <f>IF(B43&lt;B$11+C$8,INDEX(IFAData_TEA_1718!B$2:M$2564,B43,11),0)</f>
        <v>#N/A</v>
      </c>
      <c r="G43" s="218" t="e">
        <f>IF(B43&lt;B$11+C$8,INDEX(IFAData_TEA_1718!B$2:M$2564,B43,12),0)</f>
        <v>#N/A</v>
      </c>
      <c r="H43" s="973" t="e">
        <f>IF(B43&lt;B$11+C$8,INDEX(IFAData_TEA_1819!B$2:M$2511,B43,11),0)</f>
        <v>#N/A</v>
      </c>
      <c r="I43" s="218" t="e">
        <f>IF(B43&lt;B$11+C$8,INDEX(IFAData_TEA_1819!B$2:M$2511,B43,12),0)</f>
        <v>#N/A</v>
      </c>
      <c r="J43" s="218" t="e">
        <f t="shared" si="2"/>
        <v>#N/A</v>
      </c>
      <c r="K43" s="218" t="e">
        <f t="shared" si="2"/>
        <v>#N/A</v>
      </c>
      <c r="L43" s="218" t="e">
        <f t="shared" si="2"/>
        <v>#N/A</v>
      </c>
      <c r="M43" s="218" t="e">
        <f t="shared" si="2"/>
        <v>#N/A</v>
      </c>
      <c r="N43" s="218" t="e">
        <f t="shared" si="2"/>
        <v>#N/A</v>
      </c>
      <c r="O43" s="218" t="e">
        <f t="shared" si="2"/>
        <v>#N/A</v>
      </c>
      <c r="P43" s="218" t="e">
        <f t="shared" si="2"/>
        <v>#N/A</v>
      </c>
      <c r="Q43" s="218" t="e">
        <f t="shared" si="2"/>
        <v>#N/A</v>
      </c>
      <c r="R43" s="218" t="e">
        <f t="shared" si="2"/>
        <v>#N/A</v>
      </c>
      <c r="S43" s="218" t="e">
        <f t="shared" si="2"/>
        <v>#N/A</v>
      </c>
    </row>
    <row r="44" spans="1:19">
      <c r="A44" s="72" t="s">
        <v>5745</v>
      </c>
      <c r="B44" s="52" t="e">
        <f t="shared" si="1"/>
        <v>#N/A</v>
      </c>
      <c r="D44" s="2016" t="e">
        <f>IF(B44&lt;B$11+C$8,INDEX(IFAData_TEA_1617!B$2:N$2357,B44,11),0)</f>
        <v>#N/A</v>
      </c>
      <c r="E44" s="2017" t="e">
        <f>IF(B44&lt;B$11+C$8,INDEX(IFAData_TEA_1617!B$2:N$2357,B44,12),0)</f>
        <v>#N/A</v>
      </c>
      <c r="F44" s="973" t="e">
        <f>IF(B44&lt;B$11+C$8,INDEX(IFAData_TEA_1718!B$2:M$2564,B44,11),0)</f>
        <v>#N/A</v>
      </c>
      <c r="G44" s="218" t="e">
        <f>IF(B44&lt;B$11+C$8,INDEX(IFAData_TEA_1718!B$2:M$2564,B44,12),0)</f>
        <v>#N/A</v>
      </c>
      <c r="H44" s="973" t="e">
        <f>IF(B44&lt;B$11+C$8,INDEX(IFAData_TEA_1819!B$2:M$2511,B44,11),0)</f>
        <v>#N/A</v>
      </c>
      <c r="I44" s="218" t="e">
        <f>IF(B44&lt;B$11+C$8,INDEX(IFAData_TEA_1819!B$2:M$2511,B44,12),0)</f>
        <v>#N/A</v>
      </c>
      <c r="J44" s="218" t="e">
        <f t="shared" si="2"/>
        <v>#N/A</v>
      </c>
      <c r="K44" s="218" t="e">
        <f t="shared" si="2"/>
        <v>#N/A</v>
      </c>
      <c r="L44" s="218" t="e">
        <f t="shared" si="2"/>
        <v>#N/A</v>
      </c>
      <c r="M44" s="218" t="e">
        <f t="shared" si="2"/>
        <v>#N/A</v>
      </c>
      <c r="N44" s="218" t="e">
        <f t="shared" si="2"/>
        <v>#N/A</v>
      </c>
      <c r="O44" s="218" t="e">
        <f t="shared" si="2"/>
        <v>#N/A</v>
      </c>
      <c r="P44" s="218" t="e">
        <f t="shared" si="2"/>
        <v>#N/A</v>
      </c>
      <c r="Q44" s="218" t="e">
        <f t="shared" si="2"/>
        <v>#N/A</v>
      </c>
      <c r="R44" s="218" t="e">
        <f t="shared" si="2"/>
        <v>#N/A</v>
      </c>
      <c r="S44" s="218" t="e">
        <f t="shared" si="2"/>
        <v>#N/A</v>
      </c>
    </row>
    <row r="45" spans="1:19">
      <c r="A45" s="72" t="s">
        <v>5745</v>
      </c>
      <c r="B45" s="52" t="e">
        <f t="shared" si="1"/>
        <v>#N/A</v>
      </c>
      <c r="D45" s="2016" t="e">
        <f>IF(B45&lt;B$11+C$8,INDEX(IFAData_TEA_1617!B$2:N$2357,B45,11),0)</f>
        <v>#N/A</v>
      </c>
      <c r="E45" s="2017" t="e">
        <f>IF(B45&lt;B$11+C$8,INDEX(IFAData_TEA_1617!B$2:N$2357,B45,12),0)</f>
        <v>#N/A</v>
      </c>
      <c r="F45" s="973" t="e">
        <f>IF(B45&lt;B$11+C$8,INDEX(IFAData_TEA_1718!B$2:M$2564,B45,11),0)</f>
        <v>#N/A</v>
      </c>
      <c r="G45" s="218" t="e">
        <f>IF(B45&lt;B$11+C$8,INDEX(IFAData_TEA_1718!B$2:M$2564,B45,12),0)</f>
        <v>#N/A</v>
      </c>
      <c r="H45" s="973" t="e">
        <f>IF(B45&lt;B$11+C$8,INDEX(IFAData_TEA_1819!B$2:M$2511,B45,11),0)</f>
        <v>#N/A</v>
      </c>
      <c r="I45" s="218" t="e">
        <f>IF(B45&lt;B$11+C$8,INDEX(IFAData_TEA_1819!B$2:M$2511,B45,12),0)</f>
        <v>#N/A</v>
      </c>
      <c r="J45" s="218" t="e">
        <f t="shared" si="2"/>
        <v>#N/A</v>
      </c>
      <c r="K45" s="218" t="e">
        <f t="shared" si="2"/>
        <v>#N/A</v>
      </c>
      <c r="L45" s="218" t="e">
        <f t="shared" si="2"/>
        <v>#N/A</v>
      </c>
      <c r="M45" s="218" t="e">
        <f t="shared" si="2"/>
        <v>#N/A</v>
      </c>
      <c r="N45" s="218" t="e">
        <f t="shared" si="2"/>
        <v>#N/A</v>
      </c>
      <c r="O45" s="218" t="e">
        <f t="shared" si="2"/>
        <v>#N/A</v>
      </c>
      <c r="P45" s="218" t="e">
        <f t="shared" si="2"/>
        <v>#N/A</v>
      </c>
      <c r="Q45" s="218" t="e">
        <f t="shared" si="2"/>
        <v>#N/A</v>
      </c>
      <c r="R45" s="218" t="e">
        <f t="shared" si="2"/>
        <v>#N/A</v>
      </c>
      <c r="S45" s="218" t="e">
        <f t="shared" si="2"/>
        <v>#N/A</v>
      </c>
    </row>
    <row r="46" spans="1:19">
      <c r="A46" s="72" t="s">
        <v>5745</v>
      </c>
      <c r="B46" s="52" t="e">
        <f t="shared" si="1"/>
        <v>#N/A</v>
      </c>
      <c r="D46" s="2016" t="e">
        <f>IF(B46&lt;B$11+C$8,INDEX(IFAData_TEA_1617!B$2:N$2357,B46,11),0)</f>
        <v>#N/A</v>
      </c>
      <c r="E46" s="2017" t="e">
        <f>IF(B46&lt;B$11+C$8,INDEX(IFAData_TEA_1617!B$2:N$2357,B46,12),0)</f>
        <v>#N/A</v>
      </c>
      <c r="F46" s="973" t="e">
        <f>IF(B46&lt;B$11+C$8,INDEX(IFAData_TEA_1718!B$2:M$2564,B46,11),0)</f>
        <v>#N/A</v>
      </c>
      <c r="G46" s="218" t="e">
        <f>IF(B46&lt;B$11+C$8,INDEX(IFAData_TEA_1718!B$2:M$2564,B46,12),0)</f>
        <v>#N/A</v>
      </c>
      <c r="H46" s="973" t="e">
        <f>IF(B46&lt;B$11+C$8,INDEX(IFAData_TEA_1819!B$2:M$2511,B46,11),0)</f>
        <v>#N/A</v>
      </c>
      <c r="I46" s="218" t="e">
        <f>IF(B46&lt;B$11+C$8,INDEX(IFAData_TEA_1819!B$2:M$2511,B46,12),0)</f>
        <v>#N/A</v>
      </c>
      <c r="J46" s="218" t="e">
        <f t="shared" si="2"/>
        <v>#N/A</v>
      </c>
      <c r="K46" s="218" t="e">
        <f t="shared" si="2"/>
        <v>#N/A</v>
      </c>
      <c r="L46" s="218" t="e">
        <f t="shared" si="2"/>
        <v>#N/A</v>
      </c>
      <c r="M46" s="218" t="e">
        <f t="shared" si="2"/>
        <v>#N/A</v>
      </c>
      <c r="N46" s="218" t="e">
        <f t="shared" si="2"/>
        <v>#N/A</v>
      </c>
      <c r="O46" s="218" t="e">
        <f t="shared" si="2"/>
        <v>#N/A</v>
      </c>
      <c r="P46" s="218" t="e">
        <f t="shared" si="2"/>
        <v>#N/A</v>
      </c>
      <c r="Q46" s="218" t="e">
        <f t="shared" si="2"/>
        <v>#N/A</v>
      </c>
      <c r="R46" s="218" t="e">
        <f t="shared" si="2"/>
        <v>#N/A</v>
      </c>
      <c r="S46" s="218" t="e">
        <f t="shared" si="2"/>
        <v>#N/A</v>
      </c>
    </row>
    <row r="47" spans="1:19">
      <c r="A47" s="72" t="s">
        <v>5745</v>
      </c>
      <c r="B47" s="52" t="e">
        <f t="shared" si="1"/>
        <v>#N/A</v>
      </c>
      <c r="D47" s="2016" t="e">
        <f>IF(B47&lt;B$11+C$8,INDEX(IFAData_TEA_1617!B$2:N$2357,B47,11),0)</f>
        <v>#N/A</v>
      </c>
      <c r="E47" s="2017" t="e">
        <f>IF(B47&lt;B$11+C$8,INDEX(IFAData_TEA_1617!B$2:N$2357,B47,12),0)</f>
        <v>#N/A</v>
      </c>
      <c r="F47" s="973" t="e">
        <f>IF(B47&lt;B$11+C$8,INDEX(IFAData_TEA_1718!B$2:M$2564,B47,11),0)</f>
        <v>#N/A</v>
      </c>
      <c r="G47" s="218" t="e">
        <f>IF(B47&lt;B$11+C$8,INDEX(IFAData_TEA_1718!B$2:M$2564,B47,12),0)</f>
        <v>#N/A</v>
      </c>
      <c r="H47" s="973" t="e">
        <f>IF(B47&lt;B$11+C$8,INDEX(IFAData_TEA_1819!B$2:M$2511,B47,11),0)</f>
        <v>#N/A</v>
      </c>
      <c r="I47" s="218" t="e">
        <f>IF(B47&lt;B$11+C$8,INDEX(IFAData_TEA_1819!B$2:M$2511,B47,12),0)</f>
        <v>#N/A</v>
      </c>
      <c r="J47" s="218" t="e">
        <f t="shared" si="2"/>
        <v>#N/A</v>
      </c>
      <c r="K47" s="218" t="e">
        <f t="shared" si="2"/>
        <v>#N/A</v>
      </c>
      <c r="L47" s="218" t="e">
        <f t="shared" si="2"/>
        <v>#N/A</v>
      </c>
      <c r="M47" s="218" t="e">
        <f t="shared" si="2"/>
        <v>#N/A</v>
      </c>
      <c r="N47" s="218" t="e">
        <f t="shared" si="2"/>
        <v>#N/A</v>
      </c>
      <c r="O47" s="218" t="e">
        <f t="shared" si="2"/>
        <v>#N/A</v>
      </c>
      <c r="P47" s="218" t="e">
        <f t="shared" si="2"/>
        <v>#N/A</v>
      </c>
      <c r="Q47" s="218" t="e">
        <f t="shared" si="2"/>
        <v>#N/A</v>
      </c>
      <c r="R47" s="218" t="e">
        <f t="shared" si="2"/>
        <v>#N/A</v>
      </c>
      <c r="S47" s="218" t="e">
        <f t="shared" si="2"/>
        <v>#N/A</v>
      </c>
    </row>
    <row r="48" spans="1:19">
      <c r="A48" s="72" t="s">
        <v>5745</v>
      </c>
      <c r="B48" s="52" t="e">
        <f t="shared" si="1"/>
        <v>#N/A</v>
      </c>
      <c r="D48" s="2016" t="e">
        <f>IF(B48&lt;B$11+C$8,INDEX(IFAData_TEA_1617!B$2:N$2357,B48,11),0)</f>
        <v>#N/A</v>
      </c>
      <c r="E48" s="2017" t="e">
        <f>IF(B48&lt;B$11+C$8,INDEX(IFAData_TEA_1617!B$2:N$2357,B48,12),0)</f>
        <v>#N/A</v>
      </c>
      <c r="F48" s="973" t="e">
        <f>IF(B48&lt;B$11+C$8,INDEX(IFAData_TEA_1718!B$2:M$2564,B48,11),0)</f>
        <v>#N/A</v>
      </c>
      <c r="G48" s="218" t="e">
        <f>IF(B48&lt;B$11+C$8,INDEX(IFAData_TEA_1718!B$2:M$2564,B48,12),0)</f>
        <v>#N/A</v>
      </c>
      <c r="H48" s="973" t="e">
        <f>IF(B48&lt;B$11+C$8,INDEX(IFAData_TEA_1819!B$2:M$2511,B48,11),0)</f>
        <v>#N/A</v>
      </c>
      <c r="I48" s="218" t="e">
        <f>IF(B48&lt;B$11+C$8,INDEX(IFAData_TEA_1819!B$2:M$2511,B48,12),0)</f>
        <v>#N/A</v>
      </c>
      <c r="J48" s="218" t="e">
        <f t="shared" si="2"/>
        <v>#N/A</v>
      </c>
      <c r="K48" s="218" t="e">
        <f t="shared" si="2"/>
        <v>#N/A</v>
      </c>
      <c r="L48" s="218" t="e">
        <f t="shared" si="2"/>
        <v>#N/A</v>
      </c>
      <c r="M48" s="218" t="e">
        <f t="shared" si="2"/>
        <v>#N/A</v>
      </c>
      <c r="N48" s="218" t="e">
        <f t="shared" si="2"/>
        <v>#N/A</v>
      </c>
      <c r="O48" s="218" t="e">
        <f t="shared" si="2"/>
        <v>#N/A</v>
      </c>
      <c r="P48" s="218" t="e">
        <f t="shared" si="2"/>
        <v>#N/A</v>
      </c>
      <c r="Q48" s="218" t="e">
        <f t="shared" si="2"/>
        <v>#N/A</v>
      </c>
      <c r="R48" s="218" t="e">
        <f t="shared" si="2"/>
        <v>#N/A</v>
      </c>
      <c r="S48" s="218" t="e">
        <f t="shared" si="2"/>
        <v>#N/A</v>
      </c>
    </row>
    <row r="49" spans="1:19">
      <c r="A49" s="72" t="s">
        <v>5745</v>
      </c>
      <c r="B49" s="52" t="e">
        <f t="shared" si="1"/>
        <v>#N/A</v>
      </c>
      <c r="D49" s="2016" t="e">
        <f>IF(B49&lt;B$11+C$8,INDEX(IFAData_TEA_1617!B$2:N$2357,B49,11),0)</f>
        <v>#N/A</v>
      </c>
      <c r="E49" s="2017" t="e">
        <f>IF(B49&lt;B$11+C$8,INDEX(IFAData_TEA_1617!B$2:N$2357,B49,12),0)</f>
        <v>#N/A</v>
      </c>
      <c r="F49" s="973" t="e">
        <f>IF(B49&lt;B$11+C$8,INDEX(IFAData_TEA_1718!B$2:M$2564,B49,11),0)</f>
        <v>#N/A</v>
      </c>
      <c r="G49" s="218" t="e">
        <f>IF(B49&lt;B$11+C$8,INDEX(IFAData_TEA_1718!B$2:M$2564,B49,12),0)</f>
        <v>#N/A</v>
      </c>
      <c r="H49" s="973" t="e">
        <f>IF(B49&lt;B$11+C$8,INDEX(IFAData_TEA_1819!B$2:M$2511,B49,11),0)</f>
        <v>#N/A</v>
      </c>
      <c r="I49" s="218" t="e">
        <f>IF(B49&lt;B$11+C$8,INDEX(IFAData_TEA_1819!B$2:M$2511,B49,12),0)</f>
        <v>#N/A</v>
      </c>
      <c r="J49" s="218" t="e">
        <f t="shared" si="2"/>
        <v>#N/A</v>
      </c>
      <c r="K49" s="218" t="e">
        <f t="shared" si="2"/>
        <v>#N/A</v>
      </c>
      <c r="L49" s="218" t="e">
        <f t="shared" si="2"/>
        <v>#N/A</v>
      </c>
      <c r="M49" s="218" t="e">
        <f t="shared" si="2"/>
        <v>#N/A</v>
      </c>
      <c r="N49" s="218" t="e">
        <f t="shared" si="2"/>
        <v>#N/A</v>
      </c>
      <c r="O49" s="218" t="e">
        <f t="shared" si="2"/>
        <v>#N/A</v>
      </c>
      <c r="P49" s="218" t="e">
        <f t="shared" si="2"/>
        <v>#N/A</v>
      </c>
      <c r="Q49" s="218" t="e">
        <f t="shared" si="2"/>
        <v>#N/A</v>
      </c>
      <c r="R49" s="218" t="e">
        <f t="shared" si="2"/>
        <v>#N/A</v>
      </c>
      <c r="S49" s="218" t="e">
        <f t="shared" si="2"/>
        <v>#N/A</v>
      </c>
    </row>
    <row r="50" spans="1:19">
      <c r="A50" s="72" t="s">
        <v>5745</v>
      </c>
      <c r="B50" s="52" t="e">
        <f t="shared" si="1"/>
        <v>#N/A</v>
      </c>
      <c r="D50" s="2016" t="e">
        <f>IF(B50&lt;B$11+C$8,INDEX(IFAData_TEA_1617!B$2:N$2357,B50,11),0)</f>
        <v>#N/A</v>
      </c>
      <c r="E50" s="2017" t="e">
        <f>IF(B50&lt;B$11+C$8,INDEX(IFAData_TEA_1617!B$2:N$2357,B50,12),0)</f>
        <v>#N/A</v>
      </c>
      <c r="F50" s="973" t="e">
        <f>IF(B50&lt;B$11+C$8,INDEX(IFAData_TEA_1718!B$2:M$2564,B50,11),0)</f>
        <v>#N/A</v>
      </c>
      <c r="G50" s="218" t="e">
        <f>IF(B50&lt;B$11+C$8,INDEX(IFAData_TEA_1718!B$2:M$2564,B50,12),0)</f>
        <v>#N/A</v>
      </c>
      <c r="H50" s="973" t="e">
        <f>IF(B50&lt;B$11+C$8,INDEX(IFAData_TEA_1819!B$2:M$2511,B50,11),0)</f>
        <v>#N/A</v>
      </c>
      <c r="I50" s="218" t="e">
        <f>IF(B50&lt;B$11+C$8,INDEX(IFAData_TEA_1819!B$2:M$2511,B50,12),0)</f>
        <v>#N/A</v>
      </c>
      <c r="J50" s="218" t="e">
        <f t="shared" si="2"/>
        <v>#N/A</v>
      </c>
      <c r="K50" s="218" t="e">
        <f t="shared" si="2"/>
        <v>#N/A</v>
      </c>
      <c r="L50" s="218" t="e">
        <f t="shared" si="2"/>
        <v>#N/A</v>
      </c>
      <c r="M50" s="218" t="e">
        <f t="shared" si="2"/>
        <v>#N/A</v>
      </c>
      <c r="N50" s="218" t="e">
        <f t="shared" si="2"/>
        <v>#N/A</v>
      </c>
      <c r="O50" s="218" t="e">
        <f t="shared" si="2"/>
        <v>#N/A</v>
      </c>
      <c r="P50" s="218" t="e">
        <f t="shared" si="2"/>
        <v>#N/A</v>
      </c>
      <c r="Q50" s="218" t="e">
        <f t="shared" si="2"/>
        <v>#N/A</v>
      </c>
      <c r="R50" s="218" t="e">
        <f t="shared" si="2"/>
        <v>#N/A</v>
      </c>
      <c r="S50" s="218" t="e">
        <f t="shared" si="2"/>
        <v>#N/A</v>
      </c>
    </row>
    <row r="51" spans="1:19">
      <c r="A51" s="72" t="s">
        <v>5745</v>
      </c>
      <c r="B51" s="52" t="e">
        <f t="shared" si="1"/>
        <v>#N/A</v>
      </c>
      <c r="D51" s="2016" t="e">
        <f>IF(B51&lt;B$11+C$8,INDEX(IFAData_TEA_1617!B$2:N$2357,B51,11),0)</f>
        <v>#N/A</v>
      </c>
      <c r="E51" s="2017" t="e">
        <f>IF(B51&lt;B$11+C$8,INDEX(IFAData_TEA_1617!B$2:N$2357,B51,12),0)</f>
        <v>#N/A</v>
      </c>
      <c r="F51" s="973" t="e">
        <f>IF(B51&lt;B$11+C$8,INDEX(IFAData_TEA_1718!B$2:M$2564,B51,11),0)</f>
        <v>#N/A</v>
      </c>
      <c r="G51" s="218" t="e">
        <f>IF(B51&lt;B$11+C$8,INDEX(IFAData_TEA_1718!B$2:M$2564,B51,12),0)</f>
        <v>#N/A</v>
      </c>
      <c r="H51" s="973" t="e">
        <f>IF(B51&lt;B$11+C$8,INDEX(IFAData_TEA_1819!B$2:M$2511,B51,11),0)</f>
        <v>#N/A</v>
      </c>
      <c r="I51" s="218" t="e">
        <f>IF(B51&lt;B$11+C$8,INDEX(IFAData_TEA_1819!B$2:M$2511,B51,12),0)</f>
        <v>#N/A</v>
      </c>
      <c r="J51" s="218" t="e">
        <f t="shared" si="2"/>
        <v>#N/A</v>
      </c>
      <c r="K51" s="218" t="e">
        <f t="shared" si="2"/>
        <v>#N/A</v>
      </c>
      <c r="L51" s="218" t="e">
        <f t="shared" si="2"/>
        <v>#N/A</v>
      </c>
      <c r="M51" s="218" t="e">
        <f t="shared" si="2"/>
        <v>#N/A</v>
      </c>
      <c r="N51" s="218" t="e">
        <f t="shared" si="2"/>
        <v>#N/A</v>
      </c>
      <c r="O51" s="218" t="e">
        <f t="shared" si="2"/>
        <v>#N/A</v>
      </c>
      <c r="P51" s="218" t="e">
        <f t="shared" si="2"/>
        <v>#N/A</v>
      </c>
      <c r="Q51" s="218" t="e">
        <f t="shared" si="2"/>
        <v>#N/A</v>
      </c>
      <c r="R51" s="218" t="e">
        <f t="shared" si="2"/>
        <v>#N/A</v>
      </c>
      <c r="S51" s="218" t="e">
        <f t="shared" si="2"/>
        <v>#N/A</v>
      </c>
    </row>
    <row r="52" spans="1:19">
      <c r="A52" s="72" t="s">
        <v>5745</v>
      </c>
      <c r="B52" s="52" t="e">
        <f t="shared" si="1"/>
        <v>#N/A</v>
      </c>
      <c r="D52" s="2016" t="e">
        <f>IF(B52&lt;B$11+C$8,INDEX(IFAData_TEA_1617!B$2:N$2357,B52,11),0)</f>
        <v>#N/A</v>
      </c>
      <c r="E52" s="2017" t="e">
        <f>IF(B52&lt;B$11+C$8,INDEX(IFAData_TEA_1617!B$2:N$2357,B52,12),0)</f>
        <v>#N/A</v>
      </c>
      <c r="F52" s="973" t="e">
        <f>IF(B52&lt;B$11+C$8,INDEX(IFAData_TEA_1718!B$2:M$2564,B52,11),0)</f>
        <v>#N/A</v>
      </c>
      <c r="G52" s="218" t="e">
        <f>IF(B52&lt;B$11+C$8,INDEX(IFAData_TEA_1718!B$2:M$2564,B52,12),0)</f>
        <v>#N/A</v>
      </c>
      <c r="H52" s="973" t="e">
        <f>IF(B52&lt;B$11+C$8,INDEX(IFAData_TEA_1819!B$2:M$2511,B52,11),0)</f>
        <v>#N/A</v>
      </c>
      <c r="I52" s="218" t="e">
        <f>IF(B52&lt;B$11+C$8,INDEX(IFAData_TEA_1819!B$2:M$2511,B52,12),0)</f>
        <v>#N/A</v>
      </c>
      <c r="J52" s="218" t="e">
        <f t="shared" si="2"/>
        <v>#N/A</v>
      </c>
      <c r="K52" s="218" t="e">
        <f t="shared" si="2"/>
        <v>#N/A</v>
      </c>
      <c r="L52" s="218" t="e">
        <f t="shared" si="2"/>
        <v>#N/A</v>
      </c>
      <c r="M52" s="218" t="e">
        <f t="shared" si="2"/>
        <v>#N/A</v>
      </c>
      <c r="N52" s="218" t="e">
        <f t="shared" si="2"/>
        <v>#N/A</v>
      </c>
      <c r="O52" s="218" t="e">
        <f t="shared" ref="O52:S54" si="3">M52</f>
        <v>#N/A</v>
      </c>
      <c r="P52" s="218" t="e">
        <f t="shared" si="3"/>
        <v>#N/A</v>
      </c>
      <c r="Q52" s="218" t="e">
        <f t="shared" si="3"/>
        <v>#N/A</v>
      </c>
      <c r="R52" s="218" t="e">
        <f t="shared" si="3"/>
        <v>#N/A</v>
      </c>
      <c r="S52" s="218" t="e">
        <f t="shared" si="3"/>
        <v>#N/A</v>
      </c>
    </row>
    <row r="53" spans="1:19">
      <c r="A53" s="72" t="s">
        <v>5745</v>
      </c>
      <c r="B53" s="52" t="e">
        <f t="shared" si="1"/>
        <v>#N/A</v>
      </c>
      <c r="D53" s="2016" t="e">
        <f>IF(B53&lt;B$11+C$8,INDEX(IFAData_TEA_1617!B$2:N$2357,B53,11),0)</f>
        <v>#N/A</v>
      </c>
      <c r="E53" s="2017" t="e">
        <f>IF(B53&lt;B$11+C$8,INDEX(IFAData_TEA_1617!B$2:N$2357,B53,12),0)</f>
        <v>#N/A</v>
      </c>
      <c r="F53" s="973" t="e">
        <f>IF(B53&lt;B$11+C$8,INDEX(IFAData_TEA_1718!B$2:M$2564,B53,11),0)</f>
        <v>#N/A</v>
      </c>
      <c r="G53" s="218" t="e">
        <f>IF(B53&lt;B$11+C$8,INDEX(IFAData_TEA_1718!B$2:M$2564,B53,12),0)</f>
        <v>#N/A</v>
      </c>
      <c r="H53" s="973" t="e">
        <f>IF(B53&lt;B$11+C$8,INDEX(IFAData_TEA_1819!B$2:M$2511,B53,11),0)</f>
        <v>#N/A</v>
      </c>
      <c r="I53" s="218" t="e">
        <f>IF(B53&lt;B$11+C$8,INDEX(IFAData_TEA_1819!B$2:M$2511,B53,12),0)</f>
        <v>#N/A</v>
      </c>
      <c r="J53" s="218" t="e">
        <f t="shared" ref="J53:N54" si="4">H53</f>
        <v>#N/A</v>
      </c>
      <c r="K53" s="218" t="e">
        <f t="shared" si="4"/>
        <v>#N/A</v>
      </c>
      <c r="L53" s="218" t="e">
        <f t="shared" si="4"/>
        <v>#N/A</v>
      </c>
      <c r="M53" s="218" t="e">
        <f t="shared" si="4"/>
        <v>#N/A</v>
      </c>
      <c r="N53" s="218" t="e">
        <f t="shared" si="4"/>
        <v>#N/A</v>
      </c>
      <c r="O53" s="218" t="e">
        <f t="shared" si="3"/>
        <v>#N/A</v>
      </c>
      <c r="P53" s="218" t="e">
        <f t="shared" si="3"/>
        <v>#N/A</v>
      </c>
      <c r="Q53" s="218" t="e">
        <f t="shared" si="3"/>
        <v>#N/A</v>
      </c>
      <c r="R53" s="218" t="e">
        <f t="shared" si="3"/>
        <v>#N/A</v>
      </c>
      <c r="S53" s="218" t="e">
        <f t="shared" si="3"/>
        <v>#N/A</v>
      </c>
    </row>
    <row r="54" spans="1:19">
      <c r="A54" s="72" t="s">
        <v>5745</v>
      </c>
      <c r="B54" s="52" t="e">
        <f t="shared" si="1"/>
        <v>#N/A</v>
      </c>
      <c r="D54" s="2016" t="e">
        <f>IF(B54&lt;B$11+C$8,INDEX(IFAData_TEA_1617!B$2:N$2357,B54,11),0)</f>
        <v>#N/A</v>
      </c>
      <c r="E54" s="2017" t="e">
        <f>IF(B54&lt;B$11+C$8,INDEX(IFAData_TEA_1617!B$2:N$2357,B54,12),0)</f>
        <v>#N/A</v>
      </c>
      <c r="F54" s="973" t="e">
        <f>IF(B54&lt;B$11+C$8,INDEX(IFAData_TEA_1718!B$2:M$2564,B54,11),0)</f>
        <v>#N/A</v>
      </c>
      <c r="G54" s="218" t="e">
        <f>IF(B54&lt;B$11+C$8,INDEX(IFAData_TEA_1718!B$2:M$2564,B54,12),0)</f>
        <v>#N/A</v>
      </c>
      <c r="H54" s="973" t="e">
        <f>IF(B54&lt;B$11+C$8,INDEX(IFAData_TEA_1819!B$2:M$2511,B54,11),0)</f>
        <v>#N/A</v>
      </c>
      <c r="I54" s="218" t="e">
        <f>IF(B54&lt;B$11+C$8,INDEX(IFAData_TEA_1819!B$2:M$2511,B54,12),0)</f>
        <v>#N/A</v>
      </c>
      <c r="J54" s="218" t="e">
        <f t="shared" si="4"/>
        <v>#N/A</v>
      </c>
      <c r="K54" s="218" t="e">
        <f t="shared" si="4"/>
        <v>#N/A</v>
      </c>
      <c r="L54" s="218" t="e">
        <f t="shared" si="4"/>
        <v>#N/A</v>
      </c>
      <c r="M54" s="218" t="e">
        <f t="shared" si="4"/>
        <v>#N/A</v>
      </c>
      <c r="N54" s="218" t="e">
        <f t="shared" si="4"/>
        <v>#N/A</v>
      </c>
      <c r="O54" s="218" t="e">
        <f t="shared" si="3"/>
        <v>#N/A</v>
      </c>
      <c r="P54" s="218" t="e">
        <f t="shared" si="3"/>
        <v>#N/A</v>
      </c>
      <c r="Q54" s="218" t="e">
        <f t="shared" si="3"/>
        <v>#N/A</v>
      </c>
      <c r="R54" s="218" t="e">
        <f t="shared" si="3"/>
        <v>#N/A</v>
      </c>
      <c r="S54" s="218" t="e">
        <f t="shared" si="3"/>
        <v>#N/A</v>
      </c>
    </row>
    <row r="55" spans="1:19">
      <c r="A55" s="967" t="s">
        <v>5747</v>
      </c>
      <c r="B55" s="372"/>
      <c r="C55" s="372"/>
      <c r="D55" s="2018">
        <f>SUMIF($E11:$E54,"599",D11:D54)</f>
        <v>0</v>
      </c>
      <c r="F55" s="975">
        <f>SUMIF($G11:$G54,"599",F11:F54)</f>
        <v>0</v>
      </c>
      <c r="H55" s="976">
        <f>SUMIF($I11:$I54,"599",H11:H54)</f>
        <v>0</v>
      </c>
      <c r="J55" s="977">
        <f>SUMIF($K11:$K54,"599",J11:J54)</f>
        <v>0</v>
      </c>
      <c r="L55" s="978">
        <f>SUMIF($M11:$M54,"599",L11:L54)</f>
        <v>0</v>
      </c>
      <c r="N55" s="1759">
        <f>SUMIF($O11:$O54,"599",N11:N54)</f>
        <v>0</v>
      </c>
      <c r="P55" s="974">
        <f>SUMIF($Q11:$Q54,"599",P11:P54)</f>
        <v>0</v>
      </c>
      <c r="R55" s="1757">
        <f>SUMIF($S11:$S54,"599",R11:R54)</f>
        <v>0</v>
      </c>
    </row>
    <row r="56" spans="1:19">
      <c r="A56" s="967" t="s">
        <v>5746</v>
      </c>
      <c r="D56" s="2017">
        <f>SUMIF($E11:$E54,"199",D11:D54)</f>
        <v>0</v>
      </c>
      <c r="F56" s="170">
        <f>SUMIF($G11:$G54,"199",F11:F54)</f>
        <v>0</v>
      </c>
      <c r="H56" s="971">
        <f>SUMIF($I11:$I54,"199",H11:H54)</f>
        <v>0</v>
      </c>
      <c r="J56" s="972">
        <f>SUMIF($K11:$K54,"199",J11:J54)</f>
        <v>0</v>
      </c>
      <c r="L56" s="379">
        <f>SUMIF($M11:$M54,"199",L11:L54)</f>
        <v>0</v>
      </c>
      <c r="N56" s="1760">
        <f>SUMIF($O11:$O54,"199",N11:N54)</f>
        <v>0</v>
      </c>
      <c r="P56" s="970">
        <f>SUMIF($Q11:$Q54,"199",P11:P54)</f>
        <v>0</v>
      </c>
      <c r="R56" s="1758">
        <f>SUMIF($S11:$S54,"199",R11:R54)</f>
        <v>0</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703125" customWidth="1"/>
  </cols>
  <sheetData>
    <row r="1" spans="1:4">
      <c r="A1" s="2919" t="s">
        <v>6779</v>
      </c>
      <c r="B1" s="2920">
        <v>51802</v>
      </c>
      <c r="C1" s="2920">
        <v>0</v>
      </c>
      <c r="D1" t="s">
        <v>8724</v>
      </c>
    </row>
    <row r="2" spans="1:4">
      <c r="A2" s="2921" t="s">
        <v>6034</v>
      </c>
      <c r="B2" s="2922">
        <v>38741</v>
      </c>
      <c r="C2" s="2922">
        <v>0</v>
      </c>
    </row>
    <row r="3" spans="1:4">
      <c r="A3" s="2919" t="s">
        <v>3594</v>
      </c>
      <c r="B3" s="2920">
        <v>714007</v>
      </c>
      <c r="C3" s="2920">
        <v>0</v>
      </c>
    </row>
    <row r="4" spans="1:4">
      <c r="A4" s="2921" t="s">
        <v>3598</v>
      </c>
      <c r="B4" s="2922">
        <v>135255</v>
      </c>
      <c r="C4" s="2922">
        <v>0</v>
      </c>
    </row>
    <row r="5" spans="1:4">
      <c r="A5" s="2919" t="s">
        <v>6755</v>
      </c>
      <c r="B5" s="2920">
        <v>18584</v>
      </c>
      <c r="C5" s="2920">
        <v>0</v>
      </c>
    </row>
    <row r="6" spans="1:4">
      <c r="A6" s="2921" t="s">
        <v>5756</v>
      </c>
      <c r="B6" s="2922">
        <v>0</v>
      </c>
      <c r="C6" s="2922">
        <v>766838</v>
      </c>
    </row>
    <row r="7" spans="1:4">
      <c r="A7" s="2919" t="s">
        <v>3716</v>
      </c>
      <c r="B7" s="2920">
        <v>0</v>
      </c>
      <c r="C7" s="2920">
        <v>247389</v>
      </c>
    </row>
    <row r="8" spans="1:4">
      <c r="A8" s="2921" t="s">
        <v>6070</v>
      </c>
      <c r="B8" s="2922">
        <v>0</v>
      </c>
      <c r="C8" s="2922">
        <v>98406</v>
      </c>
    </row>
    <row r="9" spans="1:4">
      <c r="A9" s="2919" t="s">
        <v>3699</v>
      </c>
      <c r="B9" s="2920">
        <v>0</v>
      </c>
      <c r="C9" s="2920">
        <v>26697</v>
      </c>
    </row>
    <row r="10" spans="1:4">
      <c r="A10" s="2921" t="s">
        <v>5800</v>
      </c>
      <c r="B10" s="2922">
        <v>0</v>
      </c>
      <c r="C10" s="2922">
        <v>50600</v>
      </c>
    </row>
    <row r="11" spans="1:4">
      <c r="A11" s="2919" t="s">
        <v>6051</v>
      </c>
      <c r="B11" s="2920">
        <v>0</v>
      </c>
      <c r="C11" s="2920">
        <v>542840</v>
      </c>
    </row>
    <row r="12" spans="1:4">
      <c r="A12" s="2921" t="s">
        <v>3382</v>
      </c>
      <c r="B12" s="2922">
        <v>54187</v>
      </c>
      <c r="C12" s="2922">
        <v>0</v>
      </c>
    </row>
    <row r="13" spans="1:4">
      <c r="A13" s="2919" t="s">
        <v>6032</v>
      </c>
      <c r="B13" s="2920">
        <v>0</v>
      </c>
      <c r="C13" s="2920">
        <v>185201</v>
      </c>
    </row>
    <row r="14" spans="1:4">
      <c r="A14" s="2921" t="s">
        <v>5771</v>
      </c>
      <c r="B14" s="2922">
        <v>875915</v>
      </c>
      <c r="C14" s="2922">
        <v>0</v>
      </c>
    </row>
    <row r="15" spans="1:4">
      <c r="A15" s="2919" t="s">
        <v>6781</v>
      </c>
      <c r="B15" s="2920">
        <v>25187</v>
      </c>
      <c r="C15" s="2920">
        <v>0</v>
      </c>
    </row>
    <row r="16" spans="1:4">
      <c r="A16" s="2921" t="s">
        <v>6145</v>
      </c>
      <c r="B16" s="2922">
        <v>0</v>
      </c>
      <c r="C16" s="2922">
        <v>9699</v>
      </c>
    </row>
    <row r="17" spans="1:3">
      <c r="A17" s="2919" t="s">
        <v>6074</v>
      </c>
      <c r="B17" s="2920">
        <v>0</v>
      </c>
      <c r="C17" s="2920">
        <v>461320</v>
      </c>
    </row>
    <row r="18" spans="1:3">
      <c r="A18" s="2921" t="s">
        <v>5783</v>
      </c>
      <c r="B18" s="2922">
        <v>0</v>
      </c>
      <c r="C18" s="2922">
        <v>175954</v>
      </c>
    </row>
    <row r="19" spans="1:3">
      <c r="A19" s="2919" t="s">
        <v>6056</v>
      </c>
      <c r="B19" s="2920">
        <v>0</v>
      </c>
      <c r="C19" s="2920">
        <v>381232</v>
      </c>
    </row>
    <row r="20" spans="1:3">
      <c r="A20" s="2921" t="s">
        <v>5920</v>
      </c>
      <c r="B20" s="2922">
        <v>0</v>
      </c>
      <c r="C20" s="2922">
        <v>1121468</v>
      </c>
    </row>
    <row r="21" spans="1:3">
      <c r="A21" s="2919" t="s">
        <v>6052</v>
      </c>
      <c r="B21" s="2920">
        <v>545974</v>
      </c>
      <c r="C21" s="2920">
        <v>0</v>
      </c>
    </row>
    <row r="22" spans="1:3">
      <c r="A22" s="2921" t="s">
        <v>4572</v>
      </c>
      <c r="B22" s="2922">
        <v>916014</v>
      </c>
      <c r="C22" s="2922">
        <v>0</v>
      </c>
    </row>
    <row r="23" spans="1:3">
      <c r="A23" s="2919" t="s">
        <v>6125</v>
      </c>
      <c r="B23" s="2920">
        <v>60528</v>
      </c>
      <c r="C23" s="2920">
        <v>0</v>
      </c>
    </row>
    <row r="24" spans="1:3">
      <c r="A24" s="2921" t="s">
        <v>6726</v>
      </c>
      <c r="B24" s="2922">
        <v>50848</v>
      </c>
      <c r="C24" s="2922">
        <v>0</v>
      </c>
    </row>
    <row r="25" spans="1:3">
      <c r="A25" s="2919" t="s">
        <v>3621</v>
      </c>
      <c r="B25" s="2920">
        <v>439413</v>
      </c>
      <c r="C25" s="2920">
        <v>0</v>
      </c>
    </row>
    <row r="26" spans="1:3">
      <c r="A26" s="2921" t="s">
        <v>5818</v>
      </c>
      <c r="B26" s="2922">
        <v>0</v>
      </c>
      <c r="C26" s="2922">
        <v>2210352</v>
      </c>
    </row>
    <row r="27" spans="1:3">
      <c r="A27" s="2919" t="s">
        <v>6695</v>
      </c>
      <c r="B27" s="2920">
        <v>0</v>
      </c>
      <c r="C27" s="2920">
        <v>80092</v>
      </c>
    </row>
    <row r="28" spans="1:3">
      <c r="A28" s="2921" t="s">
        <v>3792</v>
      </c>
      <c r="B28" s="2922">
        <v>1408961</v>
      </c>
      <c r="C28" s="2922">
        <v>0</v>
      </c>
    </row>
    <row r="29" spans="1:3">
      <c r="A29" s="2919" t="s">
        <v>3484</v>
      </c>
      <c r="B29" s="2920">
        <v>305879</v>
      </c>
      <c r="C29" s="2920">
        <v>0</v>
      </c>
    </row>
    <row r="30" spans="1:3">
      <c r="A30" s="2921" t="s">
        <v>6024</v>
      </c>
      <c r="B30" s="2922">
        <v>0</v>
      </c>
      <c r="C30" s="2922">
        <v>536796</v>
      </c>
    </row>
    <row r="31" spans="1:3">
      <c r="A31" s="2919" t="s">
        <v>5991</v>
      </c>
      <c r="B31" s="2920">
        <v>0</v>
      </c>
      <c r="C31" s="2920">
        <v>189229</v>
      </c>
    </row>
    <row r="32" spans="1:3">
      <c r="A32" s="2921" t="s">
        <v>6700</v>
      </c>
      <c r="B32" s="2922">
        <v>0</v>
      </c>
      <c r="C32" s="2922">
        <v>165183</v>
      </c>
    </row>
    <row r="33" spans="1:3">
      <c r="A33" s="2919" t="s">
        <v>6148</v>
      </c>
      <c r="B33" s="2920">
        <v>0</v>
      </c>
      <c r="C33" s="2920">
        <v>89902</v>
      </c>
    </row>
    <row r="34" spans="1:3">
      <c r="A34" s="2921" t="s">
        <v>6153</v>
      </c>
      <c r="B34" s="2922">
        <v>0</v>
      </c>
      <c r="C34" s="2922">
        <v>537893</v>
      </c>
    </row>
    <row r="35" spans="1:3">
      <c r="A35" s="2919" t="s">
        <v>5983</v>
      </c>
      <c r="B35" s="2920">
        <v>0</v>
      </c>
      <c r="C35" s="2920">
        <v>9859</v>
      </c>
    </row>
    <row r="36" spans="1:3">
      <c r="A36" s="2921" t="s">
        <v>5860</v>
      </c>
      <c r="B36" s="2922">
        <v>0</v>
      </c>
      <c r="C36" s="2922">
        <v>139390</v>
      </c>
    </row>
    <row r="37" spans="1:3">
      <c r="A37" s="2919" t="s">
        <v>3513</v>
      </c>
      <c r="B37" s="2920">
        <v>133559</v>
      </c>
      <c r="C37" s="2920">
        <v>0</v>
      </c>
    </row>
    <row r="38" spans="1:3">
      <c r="A38" s="2921" t="s">
        <v>6778</v>
      </c>
      <c r="B38" s="2922">
        <v>0</v>
      </c>
      <c r="C38" s="2922">
        <v>37172</v>
      </c>
    </row>
    <row r="39" spans="1:3">
      <c r="A39" s="2919" t="s">
        <v>6037</v>
      </c>
      <c r="B39" s="2920">
        <v>0</v>
      </c>
      <c r="C39" s="2920">
        <v>726053</v>
      </c>
    </row>
    <row r="40" spans="1:3">
      <c r="A40" s="2921" t="s">
        <v>5947</v>
      </c>
      <c r="B40" s="2922">
        <v>0</v>
      </c>
      <c r="C40" s="2922">
        <v>25985</v>
      </c>
    </row>
    <row r="41" spans="1:3">
      <c r="A41" s="2919" t="s">
        <v>6139</v>
      </c>
      <c r="B41" s="2920">
        <v>3124</v>
      </c>
      <c r="C41" s="2920">
        <v>0</v>
      </c>
    </row>
    <row r="42" spans="1:3">
      <c r="A42" s="2921" t="s">
        <v>6800</v>
      </c>
      <c r="B42" s="2922">
        <v>26607</v>
      </c>
      <c r="C42" s="2922">
        <v>0</v>
      </c>
    </row>
    <row r="43" spans="1:3">
      <c r="A43" s="2919" t="s">
        <v>5857</v>
      </c>
      <c r="B43" s="2920">
        <v>427627</v>
      </c>
      <c r="C43" s="2920">
        <v>0</v>
      </c>
    </row>
    <row r="44" spans="1:3">
      <c r="A44" s="2921" t="s">
        <v>3475</v>
      </c>
      <c r="B44" s="2922">
        <v>31960</v>
      </c>
      <c r="C44" s="2922">
        <v>0</v>
      </c>
    </row>
    <row r="45" spans="1:3">
      <c r="A45" s="2919" t="s">
        <v>5989</v>
      </c>
      <c r="B45" s="2920">
        <v>0</v>
      </c>
      <c r="C45" s="2920">
        <v>311158</v>
      </c>
    </row>
    <row r="46" spans="1:3">
      <c r="A46" s="2921" t="s">
        <v>6017</v>
      </c>
      <c r="B46" s="2922">
        <v>71591</v>
      </c>
      <c r="C46" s="2922">
        <v>0</v>
      </c>
    </row>
    <row r="47" spans="1:3">
      <c r="A47" s="2919" t="s">
        <v>5936</v>
      </c>
      <c r="B47" s="2920">
        <v>0</v>
      </c>
      <c r="C47" s="2920">
        <v>60301</v>
      </c>
    </row>
    <row r="48" spans="1:3">
      <c r="A48" s="2921" t="s">
        <v>6057</v>
      </c>
      <c r="B48" s="2922">
        <v>0</v>
      </c>
      <c r="C48" s="2922">
        <v>1289890</v>
      </c>
    </row>
    <row r="49" spans="1:3">
      <c r="A49" s="2919" t="s">
        <v>6075</v>
      </c>
      <c r="B49" s="2920">
        <v>0</v>
      </c>
      <c r="C49" s="2920">
        <v>1999018</v>
      </c>
    </row>
    <row r="50" spans="1:3">
      <c r="A50" s="2921" t="s">
        <v>5871</v>
      </c>
      <c r="B50" s="2922">
        <v>0</v>
      </c>
      <c r="C50" s="2922">
        <v>389140</v>
      </c>
    </row>
    <row r="51" spans="1:3">
      <c r="A51" s="2919" t="s">
        <v>3757</v>
      </c>
      <c r="B51" s="2920">
        <v>7815</v>
      </c>
      <c r="C51" s="2920">
        <v>0</v>
      </c>
    </row>
    <row r="52" spans="1:3">
      <c r="A52" s="2921" t="s">
        <v>6744</v>
      </c>
      <c r="B52" s="2922">
        <v>0</v>
      </c>
      <c r="C52" s="2922">
        <v>63369</v>
      </c>
    </row>
    <row r="53" spans="1:3">
      <c r="A53" s="2919" t="s">
        <v>3667</v>
      </c>
      <c r="B53" s="2920">
        <v>0</v>
      </c>
      <c r="C53" s="2920">
        <v>73107</v>
      </c>
    </row>
    <row r="54" spans="1:3">
      <c r="A54" s="2921" t="s">
        <v>3685</v>
      </c>
      <c r="B54" s="2922">
        <v>84373</v>
      </c>
      <c r="C54" s="2922">
        <v>0</v>
      </c>
    </row>
    <row r="55" spans="1:3">
      <c r="A55" s="2919" t="s">
        <v>6094</v>
      </c>
      <c r="B55" s="2920">
        <v>0</v>
      </c>
      <c r="C55" s="2920">
        <v>125</v>
      </c>
    </row>
    <row r="56" spans="1:3">
      <c r="A56" s="2921" t="s">
        <v>3604</v>
      </c>
      <c r="B56" s="2922">
        <v>0</v>
      </c>
      <c r="C56" s="2922">
        <v>1531713</v>
      </c>
    </row>
    <row r="57" spans="1:3">
      <c r="A57" s="2919" t="s">
        <v>5873</v>
      </c>
      <c r="B57" s="2920">
        <v>0</v>
      </c>
      <c r="C57" s="2920">
        <v>410998</v>
      </c>
    </row>
    <row r="58" spans="1:3">
      <c r="A58" s="2921" t="s">
        <v>6001</v>
      </c>
      <c r="B58" s="2922">
        <v>0</v>
      </c>
      <c r="C58" s="2922">
        <v>8689</v>
      </c>
    </row>
    <row r="59" spans="1:3">
      <c r="A59" s="2919" t="s">
        <v>6814</v>
      </c>
      <c r="B59" s="2920">
        <v>0</v>
      </c>
      <c r="C59" s="2920">
        <v>218131</v>
      </c>
    </row>
    <row r="60" spans="1:3">
      <c r="A60" s="2921" t="s">
        <v>5878</v>
      </c>
      <c r="B60" s="2922">
        <v>0</v>
      </c>
      <c r="C60" s="2922">
        <v>16662</v>
      </c>
    </row>
    <row r="61" spans="1:3">
      <c r="A61" s="2919" t="s">
        <v>5986</v>
      </c>
      <c r="B61" s="2920">
        <v>617428</v>
      </c>
      <c r="C61" s="2920">
        <v>0</v>
      </c>
    </row>
    <row r="62" spans="1:3">
      <c r="A62" s="2921" t="s">
        <v>5792</v>
      </c>
      <c r="B62" s="2922">
        <v>64864</v>
      </c>
      <c r="C62" s="2922">
        <v>0</v>
      </c>
    </row>
    <row r="63" spans="1:3">
      <c r="A63" s="2919" t="s">
        <v>5895</v>
      </c>
      <c r="B63" s="2920">
        <v>0</v>
      </c>
      <c r="C63" s="2920">
        <v>241772</v>
      </c>
    </row>
    <row r="64" spans="1:3">
      <c r="A64" s="2921" t="s">
        <v>5968</v>
      </c>
      <c r="B64" s="2922">
        <v>0</v>
      </c>
      <c r="C64" s="2922">
        <v>617888</v>
      </c>
    </row>
    <row r="65" spans="1:3">
      <c r="A65" s="2919" t="s">
        <v>5892</v>
      </c>
      <c r="B65" s="2920">
        <v>63020</v>
      </c>
      <c r="C65" s="2920">
        <v>0</v>
      </c>
    </row>
    <row r="66" spans="1:3">
      <c r="A66" s="2921" t="s">
        <v>5912</v>
      </c>
      <c r="B66" s="2922">
        <v>0</v>
      </c>
      <c r="C66" s="2922">
        <v>82145</v>
      </c>
    </row>
    <row r="67" spans="1:3">
      <c r="A67" s="2919" t="s">
        <v>5957</v>
      </c>
      <c r="B67" s="2920">
        <v>15137</v>
      </c>
      <c r="C67" s="2920">
        <v>0</v>
      </c>
    </row>
    <row r="68" spans="1:3">
      <c r="A68" s="2921" t="s">
        <v>5990</v>
      </c>
      <c r="B68" s="2922">
        <v>0</v>
      </c>
      <c r="C68" s="2922">
        <v>201841</v>
      </c>
    </row>
    <row r="69" spans="1:3">
      <c r="A69" s="2919" t="s">
        <v>3567</v>
      </c>
      <c r="B69" s="2920">
        <v>0</v>
      </c>
      <c r="C69" s="2920">
        <v>29195</v>
      </c>
    </row>
    <row r="70" spans="1:3">
      <c r="A70" s="2921" t="s">
        <v>5796</v>
      </c>
      <c r="B70" s="2922">
        <v>77764</v>
      </c>
      <c r="C70" s="2922">
        <v>0</v>
      </c>
    </row>
    <row r="71" spans="1:3">
      <c r="A71" s="2919" t="s">
        <v>5965</v>
      </c>
      <c r="B71" s="2920">
        <v>0</v>
      </c>
      <c r="C71" s="2920">
        <v>71406</v>
      </c>
    </row>
    <row r="72" spans="1:3">
      <c r="A72" s="2921" t="s">
        <v>6083</v>
      </c>
      <c r="B72" s="2922">
        <v>2445369</v>
      </c>
      <c r="C72" s="2922">
        <v>0</v>
      </c>
    </row>
    <row r="73" spans="1:3">
      <c r="A73" s="2919" t="s">
        <v>6086</v>
      </c>
      <c r="B73" s="2920">
        <v>0</v>
      </c>
      <c r="C73" s="2920">
        <v>178724</v>
      </c>
    </row>
    <row r="74" spans="1:3">
      <c r="A74" s="2921" t="s">
        <v>6058</v>
      </c>
      <c r="B74" s="2922">
        <v>0</v>
      </c>
      <c r="C74" s="2922">
        <v>430958</v>
      </c>
    </row>
    <row r="75" spans="1:3">
      <c r="A75" s="2919" t="s">
        <v>5943</v>
      </c>
      <c r="B75" s="2920">
        <v>93079</v>
      </c>
      <c r="C75" s="2920">
        <v>0</v>
      </c>
    </row>
    <row r="76" spans="1:3">
      <c r="A76" s="2921" t="s">
        <v>5945</v>
      </c>
      <c r="B76" s="2922">
        <v>260713</v>
      </c>
      <c r="C76" s="2922">
        <v>0</v>
      </c>
    </row>
    <row r="77" spans="1:3">
      <c r="A77" s="2919" t="s">
        <v>6142</v>
      </c>
      <c r="B77" s="2920">
        <v>0</v>
      </c>
      <c r="C77" s="2920">
        <v>955508</v>
      </c>
    </row>
    <row r="78" spans="1:3">
      <c r="A78" s="2921" t="s">
        <v>3590</v>
      </c>
      <c r="B78" s="2922">
        <v>141394</v>
      </c>
      <c r="C78" s="2922">
        <v>0</v>
      </c>
    </row>
    <row r="79" spans="1:3">
      <c r="A79" s="2919" t="s">
        <v>6747</v>
      </c>
      <c r="B79" s="2920">
        <v>0</v>
      </c>
      <c r="C79" s="2920">
        <v>228398</v>
      </c>
    </row>
    <row r="80" spans="1:3">
      <c r="A80" s="2921" t="s">
        <v>5954</v>
      </c>
      <c r="B80" s="2922">
        <v>118714</v>
      </c>
      <c r="C80" s="2922">
        <v>0</v>
      </c>
    </row>
    <row r="81" spans="1:3">
      <c r="A81" s="2919" t="s">
        <v>6106</v>
      </c>
      <c r="B81" s="2920">
        <v>0</v>
      </c>
      <c r="C81" s="2920">
        <v>481778</v>
      </c>
    </row>
    <row r="82" spans="1:3">
      <c r="A82" s="2921" t="s">
        <v>5817</v>
      </c>
      <c r="B82" s="2922">
        <v>22932</v>
      </c>
      <c r="C82" s="2922">
        <v>0</v>
      </c>
    </row>
    <row r="83" spans="1:3">
      <c r="A83" s="2919" t="s">
        <v>6817</v>
      </c>
      <c r="B83" s="2920">
        <v>0</v>
      </c>
      <c r="C83" s="2920">
        <v>161851</v>
      </c>
    </row>
    <row r="84" spans="1:3">
      <c r="A84" s="2921" t="s">
        <v>5964</v>
      </c>
      <c r="B84" s="2922">
        <v>767</v>
      </c>
      <c r="C84" s="2922">
        <v>0</v>
      </c>
    </row>
    <row r="85" spans="1:3">
      <c r="A85" s="2919" t="s">
        <v>5830</v>
      </c>
      <c r="B85" s="2920">
        <v>0</v>
      </c>
      <c r="C85" s="2920">
        <v>293041</v>
      </c>
    </row>
    <row r="86" spans="1:3">
      <c r="A86" s="2921" t="s">
        <v>3749</v>
      </c>
      <c r="B86" s="2922">
        <v>726967</v>
      </c>
      <c r="C86" s="2922">
        <v>0</v>
      </c>
    </row>
    <row r="87" spans="1:3">
      <c r="A87" s="2919" t="s">
        <v>3477</v>
      </c>
      <c r="B87" s="2920">
        <v>0</v>
      </c>
      <c r="C87" s="2920">
        <v>1700371</v>
      </c>
    </row>
    <row r="88" spans="1:3">
      <c r="A88" s="2921" t="s">
        <v>6746</v>
      </c>
      <c r="B88" s="2922">
        <v>57909</v>
      </c>
      <c r="C88" s="2922">
        <v>0</v>
      </c>
    </row>
    <row r="89" spans="1:3">
      <c r="A89" s="2919" t="s">
        <v>6783</v>
      </c>
      <c r="B89" s="2920">
        <v>119311</v>
      </c>
      <c r="C89" s="2920">
        <v>0</v>
      </c>
    </row>
    <row r="90" spans="1:3">
      <c r="A90" s="2921" t="s">
        <v>5876</v>
      </c>
      <c r="B90" s="2922">
        <v>0</v>
      </c>
      <c r="C90" s="2922">
        <v>425750</v>
      </c>
    </row>
    <row r="91" spans="1:3">
      <c r="A91" s="2919" t="s">
        <v>5982</v>
      </c>
      <c r="B91" s="2920">
        <v>0</v>
      </c>
      <c r="C91" s="2920">
        <v>746287</v>
      </c>
    </row>
    <row r="92" spans="1:3">
      <c r="A92" s="2921" t="s">
        <v>5815</v>
      </c>
      <c r="B92" s="2922">
        <v>66744</v>
      </c>
      <c r="C92" s="2922">
        <v>0</v>
      </c>
    </row>
    <row r="93" spans="1:3">
      <c r="A93" s="2919" t="s">
        <v>6720</v>
      </c>
      <c r="B93" s="2920">
        <v>34222</v>
      </c>
      <c r="C93" s="2920">
        <v>0</v>
      </c>
    </row>
    <row r="94" spans="1:3">
      <c r="A94" s="2921" t="s">
        <v>6038</v>
      </c>
      <c r="B94" s="2922">
        <v>0</v>
      </c>
      <c r="C94" s="2922">
        <v>397056</v>
      </c>
    </row>
    <row r="95" spans="1:3">
      <c r="A95" s="2919" t="s">
        <v>5808</v>
      </c>
      <c r="B95" s="2920">
        <v>0</v>
      </c>
      <c r="C95" s="2920">
        <v>2737316</v>
      </c>
    </row>
    <row r="96" spans="1:3">
      <c r="A96" s="2921" t="s">
        <v>6812</v>
      </c>
      <c r="B96" s="2922">
        <v>0</v>
      </c>
      <c r="C96" s="2922">
        <v>31098</v>
      </c>
    </row>
    <row r="97" spans="1:3">
      <c r="A97" s="2919" t="s">
        <v>5877</v>
      </c>
      <c r="B97" s="2920">
        <v>0</v>
      </c>
      <c r="C97" s="2920">
        <v>131051</v>
      </c>
    </row>
    <row r="98" spans="1:3">
      <c r="A98" s="2921" t="s">
        <v>6009</v>
      </c>
      <c r="B98" s="2922">
        <v>0</v>
      </c>
      <c r="C98" s="2922">
        <v>312987</v>
      </c>
    </row>
    <row r="99" spans="1:3">
      <c r="A99" s="2919" t="s">
        <v>6073</v>
      </c>
      <c r="B99" s="2920">
        <v>0</v>
      </c>
      <c r="C99" s="2920">
        <v>324288</v>
      </c>
    </row>
    <row r="100" spans="1:3">
      <c r="A100" s="2921" t="s">
        <v>6715</v>
      </c>
      <c r="B100" s="2922">
        <v>123420</v>
      </c>
      <c r="C100" s="2922">
        <v>0</v>
      </c>
    </row>
    <row r="101" spans="1:3">
      <c r="A101" s="2919" t="s">
        <v>6687</v>
      </c>
      <c r="B101" s="2920">
        <v>50322</v>
      </c>
      <c r="C101" s="2920">
        <v>0</v>
      </c>
    </row>
    <row r="102" spans="1:3">
      <c r="A102" s="2921" t="s">
        <v>6758</v>
      </c>
      <c r="B102" s="2922">
        <v>159979</v>
      </c>
      <c r="C102" s="2922">
        <v>0</v>
      </c>
    </row>
    <row r="103" spans="1:3">
      <c r="A103" s="2919" t="s">
        <v>4382</v>
      </c>
      <c r="B103" s="2920">
        <v>0</v>
      </c>
      <c r="C103" s="2920">
        <v>94812</v>
      </c>
    </row>
    <row r="104" spans="1:3">
      <c r="A104" s="2921" t="s">
        <v>5834</v>
      </c>
      <c r="B104" s="2922">
        <v>66996</v>
      </c>
      <c r="C104" s="2922">
        <v>0</v>
      </c>
    </row>
    <row r="105" spans="1:3">
      <c r="A105" s="2919" t="s">
        <v>3770</v>
      </c>
      <c r="B105" s="2920">
        <v>36845</v>
      </c>
      <c r="C105" s="2920">
        <v>0</v>
      </c>
    </row>
    <row r="106" spans="1:3">
      <c r="A106" s="2921" t="s">
        <v>3710</v>
      </c>
      <c r="B106" s="2922">
        <v>73484</v>
      </c>
      <c r="C106" s="2922">
        <v>0</v>
      </c>
    </row>
    <row r="107" spans="1:3">
      <c r="A107" s="2919" t="s">
        <v>5142</v>
      </c>
      <c r="B107" s="2920">
        <v>61722</v>
      </c>
      <c r="C107" s="2920">
        <v>0</v>
      </c>
    </row>
    <row r="108" spans="1:3">
      <c r="A108" s="2921" t="s">
        <v>5917</v>
      </c>
      <c r="B108" s="2922">
        <v>246852</v>
      </c>
      <c r="C108" s="2922">
        <v>0</v>
      </c>
    </row>
    <row r="109" spans="1:3">
      <c r="A109" s="2919" t="s">
        <v>5812</v>
      </c>
      <c r="B109" s="2920">
        <v>36135</v>
      </c>
      <c r="C109" s="2920">
        <v>0</v>
      </c>
    </row>
    <row r="110" spans="1:3">
      <c r="A110" s="2921" t="s">
        <v>6006</v>
      </c>
      <c r="B110" s="2922">
        <v>0</v>
      </c>
      <c r="C110" s="2922">
        <v>27613</v>
      </c>
    </row>
    <row r="111" spans="1:3">
      <c r="A111" s="2919" t="s">
        <v>6050</v>
      </c>
      <c r="B111" s="2920">
        <v>0</v>
      </c>
      <c r="C111" s="2920">
        <v>8163</v>
      </c>
    </row>
    <row r="112" spans="1:3">
      <c r="A112" s="2921" t="s">
        <v>3514</v>
      </c>
      <c r="B112" s="2922">
        <v>877997</v>
      </c>
      <c r="C112" s="2922">
        <v>0</v>
      </c>
    </row>
    <row r="113" spans="1:3">
      <c r="A113" s="2919" t="s">
        <v>6069</v>
      </c>
      <c r="B113" s="2920">
        <v>0</v>
      </c>
      <c r="C113" s="2920">
        <v>352884</v>
      </c>
    </row>
    <row r="114" spans="1:3">
      <c r="A114" s="2921" t="s">
        <v>4985</v>
      </c>
      <c r="B114" s="2922">
        <v>11288</v>
      </c>
      <c r="C114" s="2922">
        <v>0</v>
      </c>
    </row>
    <row r="115" spans="1:3">
      <c r="A115" s="2919" t="s">
        <v>6727</v>
      </c>
      <c r="B115" s="2920">
        <v>110356</v>
      </c>
      <c r="C115" s="2920">
        <v>0</v>
      </c>
    </row>
    <row r="116" spans="1:3">
      <c r="A116" s="2921" t="s">
        <v>6154</v>
      </c>
      <c r="B116" s="2922">
        <v>0</v>
      </c>
      <c r="C116" s="2922">
        <v>190806</v>
      </c>
    </row>
    <row r="117" spans="1:3">
      <c r="A117" s="2919" t="s">
        <v>3478</v>
      </c>
      <c r="B117" s="2920">
        <v>0</v>
      </c>
      <c r="C117" s="2920">
        <v>1350724</v>
      </c>
    </row>
    <row r="118" spans="1:3">
      <c r="A118" s="2921" t="s">
        <v>6039</v>
      </c>
      <c r="B118" s="2922">
        <v>0</v>
      </c>
      <c r="C118" s="2922">
        <v>319391</v>
      </c>
    </row>
    <row r="119" spans="1:3">
      <c r="A119" s="2919" t="s">
        <v>5951</v>
      </c>
      <c r="B119" s="2920">
        <v>162250</v>
      </c>
      <c r="C119" s="2920">
        <v>0</v>
      </c>
    </row>
    <row r="120" spans="1:3">
      <c r="A120" s="2921" t="s">
        <v>6776</v>
      </c>
      <c r="B120" s="2922">
        <v>0</v>
      </c>
      <c r="C120" s="2922">
        <v>7085</v>
      </c>
    </row>
    <row r="121" spans="1:3">
      <c r="A121" s="2919" t="s">
        <v>3696</v>
      </c>
      <c r="B121" s="2920">
        <v>0</v>
      </c>
      <c r="C121" s="2920">
        <v>240864</v>
      </c>
    </row>
    <row r="122" spans="1:3">
      <c r="A122" s="2921" t="s">
        <v>5896</v>
      </c>
      <c r="B122" s="2922">
        <v>0</v>
      </c>
      <c r="C122" s="2922">
        <v>74450</v>
      </c>
    </row>
    <row r="123" spans="1:3">
      <c r="A123" s="2919" t="s">
        <v>3454</v>
      </c>
      <c r="B123" s="2920">
        <v>0</v>
      </c>
      <c r="C123" s="2920">
        <v>5000000</v>
      </c>
    </row>
    <row r="124" spans="1:3">
      <c r="A124" s="2921" t="s">
        <v>6124</v>
      </c>
      <c r="B124" s="2922">
        <v>0</v>
      </c>
      <c r="C124" s="2922">
        <v>265646</v>
      </c>
    </row>
    <row r="125" spans="1:3">
      <c r="A125" s="2919" t="s">
        <v>6067</v>
      </c>
      <c r="B125" s="2920">
        <v>0</v>
      </c>
      <c r="C125" s="2920">
        <v>66215</v>
      </c>
    </row>
    <row r="126" spans="1:3">
      <c r="A126" s="2921" t="s">
        <v>6072</v>
      </c>
      <c r="B126" s="2922">
        <v>147380</v>
      </c>
      <c r="C126" s="2922">
        <v>0</v>
      </c>
    </row>
    <row r="127" spans="1:3">
      <c r="A127" s="2919" t="s">
        <v>6751</v>
      </c>
      <c r="B127" s="2920">
        <v>89047</v>
      </c>
      <c r="C127" s="2920">
        <v>0</v>
      </c>
    </row>
    <row r="128" spans="1:3">
      <c r="A128" s="2921" t="s">
        <v>6725</v>
      </c>
      <c r="B128" s="2922">
        <v>0</v>
      </c>
      <c r="C128" s="2922">
        <v>72690</v>
      </c>
    </row>
    <row r="129" spans="1:3">
      <c r="A129" s="2919" t="s">
        <v>3720</v>
      </c>
      <c r="B129" s="2920">
        <v>4758986</v>
      </c>
      <c r="C129" s="2920">
        <v>0</v>
      </c>
    </row>
    <row r="130" spans="1:3">
      <c r="A130" s="2921" t="s">
        <v>5805</v>
      </c>
      <c r="B130" s="2922">
        <v>46828</v>
      </c>
      <c r="C130" s="2922">
        <v>0</v>
      </c>
    </row>
    <row r="131" spans="1:3">
      <c r="A131" s="2919" t="s">
        <v>5841</v>
      </c>
      <c r="B131" s="2920">
        <v>0</v>
      </c>
      <c r="C131" s="2920">
        <v>113410</v>
      </c>
    </row>
    <row r="132" spans="1:3">
      <c r="A132" s="2921" t="s">
        <v>5959</v>
      </c>
      <c r="B132" s="2922">
        <v>0</v>
      </c>
      <c r="C132" s="2922">
        <v>15479</v>
      </c>
    </row>
    <row r="133" spans="1:3">
      <c r="A133" s="2919" t="s">
        <v>5969</v>
      </c>
      <c r="B133" s="2920">
        <v>0</v>
      </c>
      <c r="C133" s="2920">
        <v>819981</v>
      </c>
    </row>
    <row r="134" spans="1:3">
      <c r="A134" s="2921" t="s">
        <v>5861</v>
      </c>
      <c r="B134" s="2922">
        <v>0</v>
      </c>
      <c r="C134" s="2922">
        <v>385204</v>
      </c>
    </row>
    <row r="135" spans="1:3">
      <c r="A135" s="2919" t="s">
        <v>3715</v>
      </c>
      <c r="B135" s="2920">
        <v>57712</v>
      </c>
      <c r="C135" s="2920">
        <v>0</v>
      </c>
    </row>
    <row r="136" spans="1:3">
      <c r="A136" s="2921" t="s">
        <v>6740</v>
      </c>
      <c r="B136" s="2922">
        <v>0</v>
      </c>
      <c r="C136" s="2922">
        <v>31743</v>
      </c>
    </row>
    <row r="137" spans="1:3">
      <c r="A137" s="2919" t="s">
        <v>6679</v>
      </c>
      <c r="B137" s="2920">
        <v>1211342</v>
      </c>
      <c r="C137" s="2920">
        <v>0</v>
      </c>
    </row>
    <row r="138" spans="1:3">
      <c r="A138" s="2921" t="s">
        <v>3789</v>
      </c>
      <c r="B138" s="2922">
        <v>82704</v>
      </c>
      <c r="C138" s="2922">
        <v>0</v>
      </c>
    </row>
    <row r="139" spans="1:3">
      <c r="A139" s="2919" t="s">
        <v>6085</v>
      </c>
      <c r="B139" s="2920">
        <v>0</v>
      </c>
      <c r="C139" s="2920">
        <v>1472512</v>
      </c>
    </row>
    <row r="140" spans="1:3">
      <c r="A140" s="2921" t="s">
        <v>6099</v>
      </c>
      <c r="B140" s="2922">
        <v>0</v>
      </c>
      <c r="C140" s="2922">
        <v>1149502</v>
      </c>
    </row>
    <row r="141" spans="1:3">
      <c r="A141" s="2919" t="s">
        <v>6757</v>
      </c>
      <c r="B141" s="2920">
        <v>45816</v>
      </c>
      <c r="C141" s="2920">
        <v>0</v>
      </c>
    </row>
    <row r="142" spans="1:3">
      <c r="A142" s="2921" t="s">
        <v>5836</v>
      </c>
      <c r="B142" s="2922">
        <v>0</v>
      </c>
      <c r="C142" s="2922">
        <v>170271</v>
      </c>
    </row>
    <row r="143" spans="1:3">
      <c r="A143" s="2919" t="s">
        <v>6097</v>
      </c>
      <c r="B143" s="2920">
        <v>0</v>
      </c>
      <c r="C143" s="2920">
        <v>449589</v>
      </c>
    </row>
    <row r="144" spans="1:3">
      <c r="A144" s="2921" t="s">
        <v>6734</v>
      </c>
      <c r="B144" s="2922">
        <v>0</v>
      </c>
      <c r="C144" s="2922">
        <v>1143277</v>
      </c>
    </row>
    <row r="145" spans="1:3">
      <c r="A145" s="2919" t="s">
        <v>5828</v>
      </c>
      <c r="B145" s="2920">
        <v>0</v>
      </c>
      <c r="C145" s="2920">
        <v>135614</v>
      </c>
    </row>
    <row r="146" spans="1:3">
      <c r="A146" s="2921" t="s">
        <v>5858</v>
      </c>
      <c r="B146" s="2922">
        <v>0</v>
      </c>
      <c r="C146" s="2922">
        <v>1170861</v>
      </c>
    </row>
    <row r="147" spans="1:3">
      <c r="A147" s="2919" t="s">
        <v>6108</v>
      </c>
      <c r="B147" s="2920">
        <v>0</v>
      </c>
      <c r="C147" s="2920">
        <v>137435</v>
      </c>
    </row>
    <row r="148" spans="1:3">
      <c r="A148" s="2921" t="s">
        <v>6089</v>
      </c>
      <c r="B148" s="2922">
        <v>203</v>
      </c>
      <c r="C148" s="2922">
        <v>0</v>
      </c>
    </row>
    <row r="149" spans="1:3">
      <c r="A149" s="2919" t="s">
        <v>6004</v>
      </c>
      <c r="B149" s="2920">
        <v>0</v>
      </c>
      <c r="C149" s="2920">
        <v>63370</v>
      </c>
    </row>
    <row r="150" spans="1:3">
      <c r="A150" s="2921" t="s">
        <v>5880</v>
      </c>
      <c r="B150" s="2922">
        <v>0</v>
      </c>
      <c r="C150" s="2922">
        <v>49325</v>
      </c>
    </row>
    <row r="151" spans="1:3">
      <c r="A151" s="2919" t="s">
        <v>3751</v>
      </c>
      <c r="B151" s="2920">
        <v>1178771</v>
      </c>
      <c r="C151" s="2920">
        <v>0</v>
      </c>
    </row>
    <row r="152" spans="1:3">
      <c r="A152" s="2921" t="s">
        <v>6766</v>
      </c>
      <c r="B152" s="2922">
        <v>3030107</v>
      </c>
      <c r="C152" s="2922">
        <v>0</v>
      </c>
    </row>
    <row r="153" spans="1:3">
      <c r="A153" s="2919" t="s">
        <v>6132</v>
      </c>
      <c r="B153" s="2920">
        <v>0</v>
      </c>
      <c r="C153" s="2920">
        <v>910256</v>
      </c>
    </row>
    <row r="154" spans="1:3">
      <c r="A154" s="2921" t="s">
        <v>3705</v>
      </c>
      <c r="B154" s="2922">
        <v>335495</v>
      </c>
      <c r="C154" s="2922">
        <v>0</v>
      </c>
    </row>
    <row r="155" spans="1:3">
      <c r="A155" s="2919" t="s">
        <v>6773</v>
      </c>
      <c r="B155" s="2920">
        <v>0</v>
      </c>
      <c r="C155" s="2920">
        <v>1410511</v>
      </c>
    </row>
    <row r="156" spans="1:3">
      <c r="A156" s="2921" t="s">
        <v>6703</v>
      </c>
      <c r="B156" s="2922">
        <v>98263</v>
      </c>
      <c r="C156" s="2922">
        <v>0</v>
      </c>
    </row>
    <row r="157" spans="1:3">
      <c r="A157" s="2919" t="s">
        <v>4655</v>
      </c>
      <c r="B157" s="2920">
        <v>10710</v>
      </c>
      <c r="C157" s="2920">
        <v>0</v>
      </c>
    </row>
    <row r="158" spans="1:3">
      <c r="A158" s="2921" t="s">
        <v>6137</v>
      </c>
      <c r="B158" s="2922">
        <v>0</v>
      </c>
      <c r="C158" s="2922">
        <v>101663</v>
      </c>
    </row>
    <row r="159" spans="1:3">
      <c r="A159" s="2919" t="s">
        <v>5794</v>
      </c>
      <c r="B159" s="2920">
        <v>55462</v>
      </c>
      <c r="C159" s="2920">
        <v>0</v>
      </c>
    </row>
    <row r="160" spans="1:3">
      <c r="A160" s="2921" t="s">
        <v>5804</v>
      </c>
      <c r="B160" s="2922">
        <v>0</v>
      </c>
      <c r="C160" s="2922">
        <v>708502</v>
      </c>
    </row>
    <row r="161" spans="1:3">
      <c r="A161" s="2919" t="s">
        <v>6043</v>
      </c>
      <c r="B161" s="2920">
        <v>0</v>
      </c>
      <c r="C161" s="2920">
        <v>50945</v>
      </c>
    </row>
    <row r="162" spans="1:3">
      <c r="A162" s="2921" t="s">
        <v>6144</v>
      </c>
      <c r="B162" s="2922">
        <v>0</v>
      </c>
      <c r="C162" s="2922">
        <v>1319314</v>
      </c>
    </row>
    <row r="163" spans="1:3">
      <c r="A163" s="2919" t="s">
        <v>6071</v>
      </c>
      <c r="B163" s="2920">
        <v>157230</v>
      </c>
      <c r="C163" s="2920">
        <v>0</v>
      </c>
    </row>
    <row r="164" spans="1:3">
      <c r="A164" s="2921" t="s">
        <v>6120</v>
      </c>
      <c r="B164" s="2922">
        <v>0</v>
      </c>
      <c r="C164" s="2922">
        <v>205549</v>
      </c>
    </row>
    <row r="165" spans="1:3">
      <c r="A165" s="2919" t="s">
        <v>5835</v>
      </c>
      <c r="B165" s="2920">
        <v>322013</v>
      </c>
      <c r="C165" s="2920">
        <v>0</v>
      </c>
    </row>
    <row r="166" spans="1:3">
      <c r="A166" s="2921" t="s">
        <v>6822</v>
      </c>
      <c r="B166" s="2922">
        <v>0</v>
      </c>
      <c r="C166" s="2922">
        <v>3945784</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85546875" defaultRowHeight="12.75"/>
  <cols>
    <col min="1" max="1" width="11.42578125" style="720" bestFit="1" customWidth="1"/>
    <col min="2" max="2" width="11.42578125" style="720" customWidth="1"/>
    <col min="3" max="3" width="24.42578125" style="720" bestFit="1" customWidth="1"/>
    <col min="4" max="4" width="8.42578125" style="721" customWidth="1"/>
    <col min="5" max="5" width="10.42578125" style="721" bestFit="1" customWidth="1"/>
    <col min="6" max="6" width="20" style="720" bestFit="1" customWidth="1"/>
    <col min="7" max="7" width="20.85546875" style="720" bestFit="1" customWidth="1"/>
    <col min="8" max="8" width="16.5703125" style="963" bestFit="1" customWidth="1"/>
    <col min="9" max="9" width="20.5703125" style="963" bestFit="1" customWidth="1"/>
    <col min="10" max="10" width="16" style="964" bestFit="1" customWidth="1"/>
    <col min="11" max="11" width="13.85546875" style="720" bestFit="1" customWidth="1"/>
    <col min="12" max="12" width="11.85546875" style="720" bestFit="1" customWidth="1"/>
    <col min="13" max="16384" width="8.85546875" style="720"/>
  </cols>
  <sheetData>
    <row r="1" spans="1:13" s="962" customFormat="1" ht="90">
      <c r="A1" s="958" t="s">
        <v>4040</v>
      </c>
      <c r="B1" s="958"/>
      <c r="C1" s="958" t="s">
        <v>4041</v>
      </c>
      <c r="D1" s="959" t="s">
        <v>4042</v>
      </c>
      <c r="E1" s="959" t="s">
        <v>4043</v>
      </c>
      <c r="F1" s="958" t="s">
        <v>4044</v>
      </c>
      <c r="G1" s="958" t="s">
        <v>4045</v>
      </c>
      <c r="H1" s="960" t="s">
        <v>4046</v>
      </c>
      <c r="I1" s="960" t="s">
        <v>4047</v>
      </c>
      <c r="J1" s="961" t="s">
        <v>4048</v>
      </c>
      <c r="K1" s="962" t="s">
        <v>4049</v>
      </c>
      <c r="L1" s="962" t="s">
        <v>4050</v>
      </c>
      <c r="M1" s="962" t="s">
        <v>4051</v>
      </c>
    </row>
    <row r="2" spans="1:13" ht="15">
      <c r="A2" s="979" t="s">
        <v>3365</v>
      </c>
      <c r="B2" s="722" t="str">
        <f>CONCATENATE(LEFT(RIGHT(CONCATENATE("000",IFAData_TEA!A2),6),3),"-",(RIGHT(RIGHT(CONCATENATE("000",IFAData_TEA!A2),6),3)))</f>
        <v>001-903</v>
      </c>
      <c r="C2" s="979" t="s">
        <v>280</v>
      </c>
      <c r="D2" s="979">
        <v>10</v>
      </c>
      <c r="E2" s="979">
        <v>1801</v>
      </c>
      <c r="F2" s="979" t="s">
        <v>4052</v>
      </c>
      <c r="G2" s="979" t="s">
        <v>4052</v>
      </c>
      <c r="H2" s="1030">
        <v>319250</v>
      </c>
      <c r="I2" s="1030">
        <v>1034794</v>
      </c>
      <c r="J2" s="1034">
        <v>1</v>
      </c>
      <c r="K2" s="1030">
        <v>319250</v>
      </c>
      <c r="L2" s="1030">
        <v>319250</v>
      </c>
      <c r="M2" s="979">
        <v>599</v>
      </c>
    </row>
    <row r="3" spans="1:13" ht="15">
      <c r="A3" s="979" t="s">
        <v>3366</v>
      </c>
      <c r="B3" s="722" t="str">
        <f>CONCATENATE(LEFT(RIGHT(CONCATENATE("000",IFAData_TEA!A3),6),3),"-",(RIGHT(RIGHT(CONCATENATE("000",IFAData_TEA!A3),6),3)))</f>
        <v>001-907</v>
      </c>
      <c r="C3" s="979" t="s">
        <v>283</v>
      </c>
      <c r="D3" s="979">
        <v>10</v>
      </c>
      <c r="E3" s="979">
        <v>2170</v>
      </c>
      <c r="F3" s="979" t="s">
        <v>4053</v>
      </c>
      <c r="G3" s="979" t="s">
        <v>4053</v>
      </c>
      <c r="H3" s="1030">
        <v>751572</v>
      </c>
      <c r="I3" s="1030">
        <v>3940262</v>
      </c>
      <c r="J3" s="1034">
        <v>1</v>
      </c>
      <c r="K3" s="1030">
        <v>751572</v>
      </c>
      <c r="L3" s="1030">
        <v>751572</v>
      </c>
      <c r="M3" s="979">
        <v>599</v>
      </c>
    </row>
    <row r="4" spans="1:13" ht="15">
      <c r="A4" s="979" t="s">
        <v>3367</v>
      </c>
      <c r="B4" s="722" t="str">
        <f>CONCATENATE(LEFT(RIGHT(CONCATENATE("000",IFAData_TEA!A4),6),3),"-",(RIGHT(RIGHT(CONCATENATE("000",IFAData_TEA!A4),6),3)))</f>
        <v>003-902</v>
      </c>
      <c r="C4" s="979" t="s">
        <v>2382</v>
      </c>
      <c r="D4" s="979">
        <v>4</v>
      </c>
      <c r="E4" s="979">
        <v>1909</v>
      </c>
      <c r="F4" s="979" t="s">
        <v>4054</v>
      </c>
      <c r="G4" s="979" t="s">
        <v>4056</v>
      </c>
      <c r="H4" s="1030">
        <v>522310</v>
      </c>
      <c r="I4" s="1030">
        <v>444330</v>
      </c>
      <c r="J4" s="1034">
        <v>1</v>
      </c>
      <c r="K4" s="1030">
        <v>522310</v>
      </c>
      <c r="L4" s="1030">
        <v>444330</v>
      </c>
      <c r="M4" s="979">
        <v>599</v>
      </c>
    </row>
    <row r="5" spans="1:13" ht="15">
      <c r="A5" s="979" t="s">
        <v>3367</v>
      </c>
      <c r="B5" s="722" t="str">
        <f>CONCATENATE(LEFT(RIGHT(CONCATENATE("000",IFAData_TEA!A5),6),3),"-",(RIGHT(RIGHT(CONCATENATE("000",IFAData_TEA!A5),6),3)))</f>
        <v>003-902</v>
      </c>
      <c r="C5" s="979" t="s">
        <v>2382</v>
      </c>
      <c r="D5" s="979">
        <v>4</v>
      </c>
      <c r="E5" s="979">
        <v>1909</v>
      </c>
      <c r="F5" s="979" t="s">
        <v>4054</v>
      </c>
      <c r="G5" s="979" t="s">
        <v>4054</v>
      </c>
      <c r="H5" s="1030">
        <v>522310</v>
      </c>
      <c r="I5" s="1030">
        <v>0</v>
      </c>
      <c r="J5" s="1034">
        <v>0</v>
      </c>
      <c r="K5" s="1030">
        <v>0</v>
      </c>
      <c r="L5" s="1030">
        <v>0</v>
      </c>
      <c r="M5" s="979">
        <v>599</v>
      </c>
    </row>
    <row r="6" spans="1:13" ht="15">
      <c r="A6" s="979" t="s">
        <v>3367</v>
      </c>
      <c r="B6" s="722" t="str">
        <f>CONCATENATE(LEFT(RIGHT(CONCATENATE("000",IFAData_TEA!A6),6),3),"-",(RIGHT(RIGHT(CONCATENATE("000",IFAData_TEA!A6),6),3)))</f>
        <v>003-902</v>
      </c>
      <c r="C6" s="979" t="s">
        <v>2382</v>
      </c>
      <c r="D6" s="979">
        <v>10</v>
      </c>
      <c r="E6" s="979">
        <v>1908</v>
      </c>
      <c r="F6" s="979" t="s">
        <v>4058</v>
      </c>
      <c r="G6" s="979" t="s">
        <v>4058</v>
      </c>
      <c r="H6" s="1030">
        <v>61268</v>
      </c>
      <c r="I6" s="1030">
        <v>158125</v>
      </c>
      <c r="J6" s="1034">
        <v>1</v>
      </c>
      <c r="K6" s="1030">
        <v>61268</v>
      </c>
      <c r="L6" s="1030">
        <v>61268</v>
      </c>
      <c r="M6" s="979">
        <v>599</v>
      </c>
    </row>
    <row r="7" spans="1:13" ht="15">
      <c r="A7" s="979" t="s">
        <v>3367</v>
      </c>
      <c r="B7" s="722" t="str">
        <f>CONCATENATE(LEFT(RIGHT(CONCATENATE("000",IFAData_TEA!A7),6),3),"-",(RIGHT(RIGHT(CONCATENATE("000",IFAData_TEA!A7),6),3)))</f>
        <v>003-902</v>
      </c>
      <c r="C7" s="979" t="s">
        <v>2382</v>
      </c>
      <c r="D7" s="979">
        <v>4</v>
      </c>
      <c r="E7" s="979">
        <v>1909</v>
      </c>
      <c r="F7" s="979" t="s">
        <v>4054</v>
      </c>
      <c r="G7" s="979" t="s">
        <v>4055</v>
      </c>
      <c r="H7" s="1030">
        <v>522310</v>
      </c>
      <c r="I7" s="1030">
        <v>0</v>
      </c>
      <c r="J7" s="1034">
        <v>0</v>
      </c>
      <c r="K7" s="1030">
        <v>0</v>
      </c>
      <c r="L7" s="1030">
        <v>0</v>
      </c>
      <c r="M7" s="979">
        <v>599</v>
      </c>
    </row>
    <row r="8" spans="1:13" ht="15">
      <c r="A8" s="979" t="s">
        <v>3367</v>
      </c>
      <c r="B8" s="722" t="str">
        <f>CONCATENATE(LEFT(RIGHT(CONCATENATE("000",IFAData_TEA!A8),6),3),"-",(RIGHT(RIGHT(CONCATENATE("000",IFAData_TEA!A8),6),3)))</f>
        <v>003-902</v>
      </c>
      <c r="C8" s="979" t="s">
        <v>2382</v>
      </c>
      <c r="D8" s="979">
        <v>9</v>
      </c>
      <c r="E8" s="979">
        <v>1910</v>
      </c>
      <c r="F8" s="979" t="s">
        <v>4057</v>
      </c>
      <c r="G8" s="979" t="s">
        <v>4057</v>
      </c>
      <c r="H8" s="1030">
        <v>578788</v>
      </c>
      <c r="I8" s="1030">
        <v>578178</v>
      </c>
      <c r="J8" s="1034">
        <v>1</v>
      </c>
      <c r="K8" s="1030">
        <v>578788</v>
      </c>
      <c r="L8" s="1030">
        <v>578178</v>
      </c>
      <c r="M8" s="979">
        <v>599</v>
      </c>
    </row>
    <row r="9" spans="1:13" ht="15">
      <c r="A9" s="1033" t="s">
        <v>3368</v>
      </c>
      <c r="B9" s="722" t="str">
        <f>CONCATENATE(LEFT(RIGHT(CONCATENATE("000",IFAData_TEA!A9),6),3),"-",(RIGHT(RIGHT(CONCATENATE("000",IFAData_TEA!A9),6),3)))</f>
        <v>003-904</v>
      </c>
      <c r="C9" s="1033" t="s">
        <v>1266</v>
      </c>
      <c r="D9" s="1033">
        <v>3</v>
      </c>
      <c r="E9" s="1033">
        <v>1917</v>
      </c>
      <c r="F9" s="1033" t="s">
        <v>4061</v>
      </c>
      <c r="G9" s="1033" t="s">
        <v>4061</v>
      </c>
      <c r="H9" s="1035">
        <v>254314</v>
      </c>
      <c r="I9" s="1035">
        <v>0</v>
      </c>
      <c r="J9" s="1036">
        <v>0</v>
      </c>
      <c r="K9" s="1035">
        <v>0</v>
      </c>
      <c r="L9" s="1035">
        <v>0</v>
      </c>
      <c r="M9" s="1033">
        <v>599</v>
      </c>
    </row>
    <row r="10" spans="1:13" ht="15">
      <c r="A10" s="1033" t="s">
        <v>3368</v>
      </c>
      <c r="B10" s="722" t="str">
        <f>CONCATENATE(LEFT(RIGHT(CONCATENATE("000",IFAData_TEA!A10),6),3),"-",(RIGHT(RIGHT(CONCATENATE("000",IFAData_TEA!A10),6),3)))</f>
        <v>003-904</v>
      </c>
      <c r="C10" s="1033" t="s">
        <v>1266</v>
      </c>
      <c r="D10" s="1033">
        <v>3</v>
      </c>
      <c r="E10" s="1033">
        <v>1916</v>
      </c>
      <c r="F10" s="1033" t="s">
        <v>4059</v>
      </c>
      <c r="G10" s="1033" t="s">
        <v>4059</v>
      </c>
      <c r="H10" s="1035">
        <v>73837</v>
      </c>
      <c r="I10" s="1035">
        <v>0</v>
      </c>
      <c r="J10" s="1036">
        <v>0</v>
      </c>
      <c r="K10" s="1035">
        <v>0</v>
      </c>
      <c r="L10" s="1035">
        <v>0</v>
      </c>
      <c r="M10" s="1033">
        <v>599</v>
      </c>
    </row>
    <row r="11" spans="1:13" ht="15">
      <c r="A11" s="1033" t="s">
        <v>3368</v>
      </c>
      <c r="B11" s="722" t="str">
        <f>CONCATENATE(LEFT(RIGHT(CONCATENATE("000",IFAData_TEA!A11),6),3),"-",(RIGHT(RIGHT(CONCATENATE("000",IFAData_TEA!A11),6),3)))</f>
        <v>003-904</v>
      </c>
      <c r="C11" s="1033" t="s">
        <v>1266</v>
      </c>
      <c r="D11" s="1033">
        <v>9</v>
      </c>
      <c r="E11" s="1033">
        <v>1918</v>
      </c>
      <c r="F11" s="1033" t="s">
        <v>4062</v>
      </c>
      <c r="G11" s="1033" t="s">
        <v>6177</v>
      </c>
      <c r="H11" s="1035">
        <v>393008</v>
      </c>
      <c r="I11" s="1035">
        <v>193754</v>
      </c>
      <c r="J11" s="1036">
        <v>0.26367151086440282</v>
      </c>
      <c r="K11" s="1035">
        <v>103625.01314179723</v>
      </c>
      <c r="L11" s="1035">
        <v>103625.01314179723</v>
      </c>
      <c r="M11" s="1033">
        <v>599</v>
      </c>
    </row>
    <row r="12" spans="1:13" ht="15">
      <c r="A12" s="1033" t="s">
        <v>3368</v>
      </c>
      <c r="B12" s="722" t="str">
        <f>CONCATENATE(LEFT(RIGHT(CONCATENATE("000",IFAData_TEA!A12),6),3),"-",(RIGHT(RIGHT(CONCATENATE("000",IFAData_TEA!A12),6),3)))</f>
        <v>003-904</v>
      </c>
      <c r="C12" s="1033" t="s">
        <v>1266</v>
      </c>
      <c r="D12" s="1033">
        <v>3</v>
      </c>
      <c r="E12" s="1033">
        <v>1917</v>
      </c>
      <c r="F12" s="1033" t="s">
        <v>4061</v>
      </c>
      <c r="G12" s="1033" t="s">
        <v>4060</v>
      </c>
      <c r="H12" s="1035">
        <v>254314</v>
      </c>
      <c r="I12" s="1035">
        <v>210328</v>
      </c>
      <c r="J12" s="1036">
        <v>1</v>
      </c>
      <c r="K12" s="1035">
        <v>254314</v>
      </c>
      <c r="L12" s="1035">
        <v>210328</v>
      </c>
      <c r="M12" s="1033">
        <v>599</v>
      </c>
    </row>
    <row r="13" spans="1:13" ht="15">
      <c r="A13" s="1033" t="s">
        <v>3368</v>
      </c>
      <c r="B13" s="722" t="str">
        <f>CONCATENATE(LEFT(RIGHT(CONCATENATE("000",IFAData_TEA!A13),6),3),"-",(RIGHT(RIGHT(CONCATENATE("000",IFAData_TEA!A13),6),3)))</f>
        <v>003-904</v>
      </c>
      <c r="C13" s="1033" t="s">
        <v>1266</v>
      </c>
      <c r="D13" s="1033">
        <v>3</v>
      </c>
      <c r="E13" s="1033">
        <v>1916</v>
      </c>
      <c r="F13" s="1033" t="s">
        <v>4059</v>
      </c>
      <c r="G13" s="1033" t="s">
        <v>4060</v>
      </c>
      <c r="H13" s="1035">
        <v>73837</v>
      </c>
      <c r="I13" s="1035">
        <v>443843</v>
      </c>
      <c r="J13" s="1036">
        <v>1</v>
      </c>
      <c r="K13" s="1035">
        <v>73837</v>
      </c>
      <c r="L13" s="1035">
        <v>73837</v>
      </c>
      <c r="M13" s="1033">
        <v>599</v>
      </c>
    </row>
    <row r="14" spans="1:13" ht="15">
      <c r="A14" s="1033" t="s">
        <v>3368</v>
      </c>
      <c r="B14" s="722" t="str">
        <f>CONCATENATE(LEFT(RIGHT(CONCATENATE("000",IFAData_TEA!A14),6),3),"-",(RIGHT(RIGHT(CONCATENATE("000",IFAData_TEA!A14),6),3)))</f>
        <v>003-904</v>
      </c>
      <c r="C14" s="1033" t="s">
        <v>1266</v>
      </c>
      <c r="D14" s="1033">
        <v>9</v>
      </c>
      <c r="E14" s="1033">
        <v>1918</v>
      </c>
      <c r="F14" s="1033" t="s">
        <v>4062</v>
      </c>
      <c r="G14" s="1033" t="s">
        <v>4062</v>
      </c>
      <c r="H14" s="1035">
        <v>393008</v>
      </c>
      <c r="I14" s="1035">
        <v>541077</v>
      </c>
      <c r="J14" s="1036">
        <v>0.73632848913559712</v>
      </c>
      <c r="K14" s="1035">
        <v>289382.98685820273</v>
      </c>
      <c r="L14" s="1035">
        <v>289382.98685820273</v>
      </c>
      <c r="M14" s="1033">
        <v>599</v>
      </c>
    </row>
    <row r="15" spans="1:13" ht="15">
      <c r="A15" s="979" t="s">
        <v>3369</v>
      </c>
      <c r="B15" s="722" t="str">
        <f>CONCATENATE(LEFT(RIGHT(CONCATENATE("000",IFAData_TEA!A15),6),3),"-",(RIGHT(RIGHT(CONCATENATE("000",IFAData_TEA!A15),6),3)))</f>
        <v>003-905</v>
      </c>
      <c r="C15" s="979" t="s">
        <v>1192</v>
      </c>
      <c r="D15" s="979">
        <v>10</v>
      </c>
      <c r="E15" s="979">
        <v>1762</v>
      </c>
      <c r="F15" s="979" t="s">
        <v>4063</v>
      </c>
      <c r="G15" s="979" t="s">
        <v>4063</v>
      </c>
      <c r="H15" s="1030">
        <v>437500</v>
      </c>
      <c r="I15" s="1030">
        <v>475512</v>
      </c>
      <c r="J15" s="1034">
        <v>1</v>
      </c>
      <c r="K15" s="1030">
        <v>437500</v>
      </c>
      <c r="L15" s="1030">
        <v>437500</v>
      </c>
      <c r="M15" s="979">
        <v>599</v>
      </c>
    </row>
    <row r="16" spans="1:13" ht="15">
      <c r="A16" s="979" t="s">
        <v>3370</v>
      </c>
      <c r="B16" s="722" t="str">
        <f>CONCATENATE(LEFT(RIGHT(CONCATENATE("000",IFAData_TEA!A16),6),3),"-",(RIGHT(RIGHT(CONCATENATE("000",IFAData_TEA!A16),6),3)))</f>
        <v>003-907</v>
      </c>
      <c r="C16" s="979" t="s">
        <v>1194</v>
      </c>
      <c r="D16" s="979">
        <v>9</v>
      </c>
      <c r="E16" s="979">
        <v>1676</v>
      </c>
      <c r="F16" s="979" t="s">
        <v>4064</v>
      </c>
      <c r="G16" s="979" t="s">
        <v>4064</v>
      </c>
      <c r="H16" s="1030">
        <v>393343</v>
      </c>
      <c r="I16" s="1030">
        <v>640573</v>
      </c>
      <c r="J16" s="1034">
        <v>1</v>
      </c>
      <c r="K16" s="1030">
        <v>393343</v>
      </c>
      <c r="L16" s="1030">
        <v>393343</v>
      </c>
      <c r="M16" s="979">
        <v>599</v>
      </c>
    </row>
    <row r="17" spans="1:13" ht="15">
      <c r="A17" s="979" t="s">
        <v>3371</v>
      </c>
      <c r="B17" s="722" t="str">
        <f>CONCATENATE(LEFT(RIGHT(CONCATENATE("000",IFAData_TEA!A17),6),3),"-",(RIGHT(RIGHT(CONCATENATE("000",IFAData_TEA!A17),6),3)))</f>
        <v>005-904</v>
      </c>
      <c r="C17" s="979" t="s">
        <v>1128</v>
      </c>
      <c r="D17" s="979">
        <v>6</v>
      </c>
      <c r="E17" s="979">
        <v>2458</v>
      </c>
      <c r="F17" s="979" t="s">
        <v>4065</v>
      </c>
      <c r="G17" s="979" t="s">
        <v>4066</v>
      </c>
      <c r="H17" s="1030">
        <v>108848</v>
      </c>
      <c r="I17" s="1030">
        <v>169924</v>
      </c>
      <c r="J17" s="1034">
        <v>1</v>
      </c>
      <c r="K17" s="1030">
        <v>108848</v>
      </c>
      <c r="L17" s="1030">
        <v>108848</v>
      </c>
      <c r="M17" s="979">
        <v>599</v>
      </c>
    </row>
    <row r="18" spans="1:13" ht="15">
      <c r="A18" s="979" t="s">
        <v>3371</v>
      </c>
      <c r="B18" s="722" t="str">
        <f>CONCATENATE(LEFT(RIGHT(CONCATENATE("000",IFAData_TEA!A18),6),3),"-",(RIGHT(RIGHT(CONCATENATE("000",IFAData_TEA!A18),6),3)))</f>
        <v>005-904</v>
      </c>
      <c r="C18" s="979" t="s">
        <v>1128</v>
      </c>
      <c r="D18" s="979">
        <v>6</v>
      </c>
      <c r="E18" s="979">
        <v>2458</v>
      </c>
      <c r="F18" s="979" t="s">
        <v>4065</v>
      </c>
      <c r="G18" s="979" t="s">
        <v>4065</v>
      </c>
      <c r="H18" s="1030">
        <v>108848</v>
      </c>
      <c r="I18" s="1030">
        <v>0</v>
      </c>
      <c r="J18" s="1034">
        <v>0</v>
      </c>
      <c r="K18" s="1030">
        <v>0</v>
      </c>
      <c r="L18" s="1030">
        <v>0</v>
      </c>
      <c r="M18" s="979">
        <v>599</v>
      </c>
    </row>
    <row r="19" spans="1:13" ht="15">
      <c r="A19" s="979" t="s">
        <v>3372</v>
      </c>
      <c r="B19" s="722" t="str">
        <f>CONCATENATE(LEFT(RIGHT(CONCATENATE("000",IFAData_TEA!A19),6),3),"-",(RIGHT(RIGHT(CONCATENATE("000",IFAData_TEA!A19),6),3)))</f>
        <v>007-901</v>
      </c>
      <c r="C19" s="979" t="s">
        <v>661</v>
      </c>
      <c r="D19" s="979">
        <v>9</v>
      </c>
      <c r="E19" s="979">
        <v>1682</v>
      </c>
      <c r="F19" s="979" t="s">
        <v>4071</v>
      </c>
      <c r="G19" s="979" t="s">
        <v>4071</v>
      </c>
      <c r="H19" s="1030">
        <v>35459</v>
      </c>
      <c r="I19" s="1030">
        <v>30968</v>
      </c>
      <c r="J19" s="1034">
        <v>1</v>
      </c>
      <c r="K19" s="1030">
        <v>35459</v>
      </c>
      <c r="L19" s="1030">
        <v>30968</v>
      </c>
      <c r="M19" s="979">
        <v>599</v>
      </c>
    </row>
    <row r="20" spans="1:13" ht="15">
      <c r="A20" s="979" t="s">
        <v>3372</v>
      </c>
      <c r="B20" s="722" t="str">
        <f>CONCATENATE(LEFT(RIGHT(CONCATENATE("000",IFAData_TEA!A20),6),3),"-",(RIGHT(RIGHT(CONCATENATE("000",IFAData_TEA!A20),6),3)))</f>
        <v>007-901</v>
      </c>
      <c r="C20" s="979" t="s">
        <v>661</v>
      </c>
      <c r="D20" s="979">
        <v>5</v>
      </c>
      <c r="E20" s="979">
        <v>1683</v>
      </c>
      <c r="F20" s="979" t="s">
        <v>4070</v>
      </c>
      <c r="G20" s="979" t="s">
        <v>4070</v>
      </c>
      <c r="H20" s="1030">
        <v>116170</v>
      </c>
      <c r="I20" s="1030">
        <v>0</v>
      </c>
      <c r="J20" s="1034">
        <v>0</v>
      </c>
      <c r="K20" s="1030">
        <v>0</v>
      </c>
      <c r="L20" s="1030">
        <v>0</v>
      </c>
      <c r="M20" s="979">
        <v>599</v>
      </c>
    </row>
    <row r="21" spans="1:13" ht="15">
      <c r="A21" s="979" t="s">
        <v>3372</v>
      </c>
      <c r="B21" s="722" t="str">
        <f>CONCATENATE(LEFT(RIGHT(CONCATENATE("000",IFAData_TEA!A21),6),3),"-",(RIGHT(RIGHT(CONCATENATE("000",IFAData_TEA!A21),6),3)))</f>
        <v>007-901</v>
      </c>
      <c r="C21" s="979" t="s">
        <v>661</v>
      </c>
      <c r="D21" s="979">
        <v>4</v>
      </c>
      <c r="E21" s="979">
        <v>1684</v>
      </c>
      <c r="F21" s="979" t="s">
        <v>4067</v>
      </c>
      <c r="G21" s="979" t="s">
        <v>4067</v>
      </c>
      <c r="H21" s="1030">
        <v>121726</v>
      </c>
      <c r="I21" s="1030">
        <v>0</v>
      </c>
      <c r="J21" s="1034">
        <v>0</v>
      </c>
      <c r="K21" s="1030">
        <v>0</v>
      </c>
      <c r="L21" s="1030">
        <v>0</v>
      </c>
      <c r="M21" s="979">
        <v>599</v>
      </c>
    </row>
    <row r="22" spans="1:13" ht="15">
      <c r="A22" s="979" t="s">
        <v>3372</v>
      </c>
      <c r="B22" s="722" t="str">
        <f>CONCATENATE(LEFT(RIGHT(CONCATENATE("000",IFAData_TEA!A22),6),3),"-",(RIGHT(RIGHT(CONCATENATE("000",IFAData_TEA!A22),6),3)))</f>
        <v>007-901</v>
      </c>
      <c r="C22" s="979" t="s">
        <v>661</v>
      </c>
      <c r="D22" s="979">
        <v>4</v>
      </c>
      <c r="E22" s="979">
        <v>1684</v>
      </c>
      <c r="F22" s="979" t="s">
        <v>4067</v>
      </c>
      <c r="G22" s="979" t="s">
        <v>4068</v>
      </c>
      <c r="H22" s="1030">
        <v>121726</v>
      </c>
      <c r="I22" s="1030">
        <v>63182</v>
      </c>
      <c r="J22" s="1034">
        <v>0.61550901120311741</v>
      </c>
      <c r="K22" s="1030">
        <v>74923.44989771067</v>
      </c>
      <c r="L22" s="1030">
        <v>63182</v>
      </c>
      <c r="M22" s="979">
        <v>599</v>
      </c>
    </row>
    <row r="23" spans="1:13" ht="15">
      <c r="A23" s="979" t="s">
        <v>3372</v>
      </c>
      <c r="B23" s="722" t="str">
        <f>CONCATENATE(LEFT(RIGHT(CONCATENATE("000",IFAData_TEA!A23),6),3),"-",(RIGHT(RIGHT(CONCATENATE("000",IFAData_TEA!A23),6),3)))</f>
        <v>007-901</v>
      </c>
      <c r="C23" s="979" t="s">
        <v>661</v>
      </c>
      <c r="D23" s="979">
        <v>5</v>
      </c>
      <c r="E23" s="979">
        <v>1683</v>
      </c>
      <c r="F23" s="979" t="s">
        <v>4070</v>
      </c>
      <c r="G23" s="979" t="s">
        <v>4068</v>
      </c>
      <c r="H23" s="1030">
        <v>116170</v>
      </c>
      <c r="I23" s="1030">
        <v>61818</v>
      </c>
      <c r="J23" s="1034">
        <v>0.6155148208258242</v>
      </c>
      <c r="K23" s="1030">
        <v>71504.356735335998</v>
      </c>
      <c r="L23" s="1030">
        <v>61818</v>
      </c>
      <c r="M23" s="979">
        <v>599</v>
      </c>
    </row>
    <row r="24" spans="1:13" ht="15">
      <c r="A24" s="979" t="s">
        <v>3372</v>
      </c>
      <c r="B24" s="722" t="str">
        <f>CONCATENATE(LEFT(RIGHT(CONCATENATE("000",IFAData_TEA!A24),6),3),"-",(RIGHT(RIGHT(CONCATENATE("000",IFAData_TEA!A24),6),3)))</f>
        <v>007-901</v>
      </c>
      <c r="C24" s="979" t="s">
        <v>661</v>
      </c>
      <c r="D24" s="979">
        <v>5</v>
      </c>
      <c r="E24" s="979">
        <v>1683</v>
      </c>
      <c r="F24" s="979" t="s">
        <v>4070</v>
      </c>
      <c r="G24" s="979" t="s">
        <v>4069</v>
      </c>
      <c r="H24" s="1030">
        <v>116170</v>
      </c>
      <c r="I24" s="1030">
        <v>38615</v>
      </c>
      <c r="J24" s="1034">
        <v>0.3844851791741758</v>
      </c>
      <c r="K24" s="1030">
        <v>44665.643264664002</v>
      </c>
      <c r="L24" s="1030">
        <v>38615</v>
      </c>
      <c r="M24" s="979">
        <v>599</v>
      </c>
    </row>
    <row r="25" spans="1:13" ht="15">
      <c r="A25" s="979" t="s">
        <v>3372</v>
      </c>
      <c r="B25" s="722" t="str">
        <f>CONCATENATE(LEFT(RIGHT(CONCATENATE("000",IFAData_TEA!A25),6),3),"-",(RIGHT(RIGHT(CONCATENATE("000",IFAData_TEA!A25),6),3)))</f>
        <v>007-901</v>
      </c>
      <c r="C25" s="979" t="s">
        <v>661</v>
      </c>
      <c r="D25" s="979">
        <v>4</v>
      </c>
      <c r="E25" s="979">
        <v>1684</v>
      </c>
      <c r="F25" s="979" t="s">
        <v>4067</v>
      </c>
      <c r="G25" s="979" t="s">
        <v>4069</v>
      </c>
      <c r="H25" s="1030">
        <v>121726</v>
      </c>
      <c r="I25" s="1030">
        <v>39468</v>
      </c>
      <c r="J25" s="1034">
        <v>0.38449098879688259</v>
      </c>
      <c r="K25" s="1030">
        <v>46802.55010228933</v>
      </c>
      <c r="L25" s="1030">
        <v>39468</v>
      </c>
      <c r="M25" s="979">
        <v>599</v>
      </c>
    </row>
    <row r="26" spans="1:13" ht="15">
      <c r="A26" s="979" t="s">
        <v>3373</v>
      </c>
      <c r="B26" s="722" t="str">
        <f>CONCATENATE(LEFT(RIGHT(CONCATENATE("000",IFAData_TEA!A26),6),3),"-",(RIGHT(RIGHT(CONCATENATE("000",IFAData_TEA!A26),6),3)))</f>
        <v>007-904</v>
      </c>
      <c r="C26" s="979" t="s">
        <v>1200</v>
      </c>
      <c r="D26" s="979">
        <v>10</v>
      </c>
      <c r="E26" s="979">
        <v>2048</v>
      </c>
      <c r="F26" s="979" t="s">
        <v>4072</v>
      </c>
      <c r="G26" s="979" t="s">
        <v>4072</v>
      </c>
      <c r="H26" s="1030">
        <v>399219</v>
      </c>
      <c r="I26" s="1030">
        <v>632650</v>
      </c>
      <c r="J26" s="1034">
        <v>1</v>
      </c>
      <c r="K26" s="1030">
        <v>399219</v>
      </c>
      <c r="L26" s="1030">
        <v>399219</v>
      </c>
      <c r="M26" s="979">
        <v>599</v>
      </c>
    </row>
    <row r="27" spans="1:13" ht="15">
      <c r="A27" s="979" t="s">
        <v>3374</v>
      </c>
      <c r="B27" s="722" t="str">
        <f>CONCATENATE(LEFT(RIGHT(CONCATENATE("000",IFAData_TEA!A27),6),3),"-",(RIGHT(RIGHT(CONCATENATE("000",IFAData_TEA!A27),6),3)))</f>
        <v>007-905</v>
      </c>
      <c r="C27" s="979" t="s">
        <v>1001</v>
      </c>
      <c r="D27" s="979">
        <v>6</v>
      </c>
      <c r="E27" s="979">
        <v>2199</v>
      </c>
      <c r="F27" s="979" t="s">
        <v>4075</v>
      </c>
      <c r="G27" s="979" t="s">
        <v>4075</v>
      </c>
      <c r="H27" s="1030">
        <v>406232</v>
      </c>
      <c r="I27" s="1030">
        <v>0</v>
      </c>
      <c r="J27" s="1034">
        <v>0</v>
      </c>
      <c r="K27" s="1030">
        <v>0</v>
      </c>
      <c r="L27" s="1030">
        <v>0</v>
      </c>
      <c r="M27" s="979">
        <v>599</v>
      </c>
    </row>
    <row r="28" spans="1:13" ht="15">
      <c r="A28" s="979" t="s">
        <v>3374</v>
      </c>
      <c r="B28" s="722" t="str">
        <f>CONCATENATE(LEFT(RIGHT(CONCATENATE("000",IFAData_TEA!A28),6),3),"-",(RIGHT(RIGHT(CONCATENATE("000",IFAData_TEA!A28),6),3)))</f>
        <v>007-905</v>
      </c>
      <c r="C28" s="979" t="s">
        <v>1001</v>
      </c>
      <c r="D28" s="979">
        <v>6</v>
      </c>
      <c r="E28" s="979">
        <v>2199</v>
      </c>
      <c r="F28" s="979" t="s">
        <v>4075</v>
      </c>
      <c r="G28" s="979" t="s">
        <v>4074</v>
      </c>
      <c r="H28" s="1030">
        <v>406232</v>
      </c>
      <c r="I28" s="1030">
        <v>325072</v>
      </c>
      <c r="J28" s="1034">
        <v>1</v>
      </c>
      <c r="K28" s="1030">
        <v>406232</v>
      </c>
      <c r="L28" s="1030">
        <v>325072</v>
      </c>
      <c r="M28" s="979">
        <v>599</v>
      </c>
    </row>
    <row r="29" spans="1:13" ht="15">
      <c r="A29" s="979" t="s">
        <v>3374</v>
      </c>
      <c r="B29" s="722" t="str">
        <f>CONCATENATE(LEFT(RIGHT(CONCATENATE("000",IFAData_TEA!A29),6),3),"-",(RIGHT(RIGHT(CONCATENATE("000",IFAData_TEA!A29),6),3)))</f>
        <v>007-905</v>
      </c>
      <c r="C29" s="979" t="s">
        <v>1001</v>
      </c>
      <c r="D29" s="979">
        <v>9</v>
      </c>
      <c r="E29" s="979">
        <v>2198</v>
      </c>
      <c r="F29" s="979" t="s">
        <v>4076</v>
      </c>
      <c r="G29" s="979" t="s">
        <v>4076</v>
      </c>
      <c r="H29" s="1030">
        <v>212024</v>
      </c>
      <c r="I29" s="1030">
        <v>298396</v>
      </c>
      <c r="J29" s="1034">
        <v>1</v>
      </c>
      <c r="K29" s="1030">
        <v>212024</v>
      </c>
      <c r="L29" s="1030">
        <v>212024</v>
      </c>
      <c r="M29" s="979">
        <v>599</v>
      </c>
    </row>
    <row r="30" spans="1:13" ht="15">
      <c r="A30" s="979" t="s">
        <v>3374</v>
      </c>
      <c r="B30" s="722" t="str">
        <f>CONCATENATE(LEFT(RIGHT(CONCATENATE("000",IFAData_TEA!A30),6),3),"-",(RIGHT(RIGHT(CONCATENATE("000",IFAData_TEA!A30),6),3)))</f>
        <v>007-905</v>
      </c>
      <c r="C30" s="979" t="s">
        <v>1001</v>
      </c>
      <c r="D30" s="979">
        <v>3</v>
      </c>
      <c r="E30" s="979">
        <v>2200</v>
      </c>
      <c r="F30" s="979" t="s">
        <v>4073</v>
      </c>
      <c r="G30" s="979" t="s">
        <v>4074</v>
      </c>
      <c r="H30" s="1030">
        <v>450000</v>
      </c>
      <c r="I30" s="1030">
        <v>397043</v>
      </c>
      <c r="J30" s="1034">
        <v>1</v>
      </c>
      <c r="K30" s="1030">
        <v>450000</v>
      </c>
      <c r="L30" s="1030">
        <v>397043</v>
      </c>
      <c r="M30" s="979">
        <v>599</v>
      </c>
    </row>
    <row r="31" spans="1:13" ht="15">
      <c r="A31" s="979" t="s">
        <v>3374</v>
      </c>
      <c r="B31" s="722" t="str">
        <f>CONCATENATE(LEFT(RIGHT(CONCATENATE("000",IFAData_TEA!A31),6),3),"-",(RIGHT(RIGHT(CONCATENATE("000",IFAData_TEA!A31),6),3)))</f>
        <v>007-905</v>
      </c>
      <c r="C31" s="979" t="s">
        <v>1001</v>
      </c>
      <c r="D31" s="979">
        <v>3</v>
      </c>
      <c r="E31" s="979">
        <v>2200</v>
      </c>
      <c r="F31" s="979" t="s">
        <v>4073</v>
      </c>
      <c r="G31" s="979" t="s">
        <v>4073</v>
      </c>
      <c r="H31" s="1030">
        <v>450000</v>
      </c>
      <c r="I31" s="1030">
        <v>0</v>
      </c>
      <c r="J31" s="1034">
        <v>0</v>
      </c>
      <c r="K31" s="1030">
        <v>0</v>
      </c>
      <c r="L31" s="1030">
        <v>0</v>
      </c>
      <c r="M31" s="979">
        <v>599</v>
      </c>
    </row>
    <row r="32" spans="1:13" ht="15">
      <c r="A32" s="979" t="s">
        <v>3375</v>
      </c>
      <c r="B32" s="722" t="str">
        <f>CONCATENATE(LEFT(RIGHT(CONCATENATE("000",IFAData_TEA!A32),6),3),"-",(RIGHT(RIGHT(CONCATENATE("000",IFAData_TEA!A32),6),3)))</f>
        <v>007-906</v>
      </c>
      <c r="C32" s="979" t="s">
        <v>1004</v>
      </c>
      <c r="D32" s="979">
        <v>5</v>
      </c>
      <c r="E32" s="979">
        <v>2205</v>
      </c>
      <c r="F32" s="979" t="s">
        <v>4077</v>
      </c>
      <c r="G32" s="979" t="s">
        <v>4077</v>
      </c>
      <c r="H32" s="1030">
        <v>362375</v>
      </c>
      <c r="I32" s="1030">
        <v>167200</v>
      </c>
      <c r="J32" s="1034">
        <v>0.47818427254215573</v>
      </c>
      <c r="K32" s="1030">
        <v>173282.02576246369</v>
      </c>
      <c r="L32" s="1030">
        <v>167200</v>
      </c>
      <c r="M32" s="979">
        <v>599</v>
      </c>
    </row>
    <row r="33" spans="1:13" ht="15">
      <c r="A33" s="979" t="s">
        <v>3375</v>
      </c>
      <c r="B33" s="722" t="str">
        <f>CONCATENATE(LEFT(RIGHT(CONCATENATE("000",IFAData_TEA!A33),6),3),"-",(RIGHT(RIGHT(CONCATENATE("000",IFAData_TEA!A33),6),3)))</f>
        <v>007-906</v>
      </c>
      <c r="C33" s="979" t="s">
        <v>1004</v>
      </c>
      <c r="D33" s="979">
        <v>6</v>
      </c>
      <c r="E33" s="979">
        <v>2203</v>
      </c>
      <c r="F33" s="979" t="s">
        <v>4079</v>
      </c>
      <c r="G33" s="979" t="s">
        <v>4079</v>
      </c>
      <c r="H33" s="1030">
        <v>28625</v>
      </c>
      <c r="I33" s="1030">
        <v>26792</v>
      </c>
      <c r="J33" s="1034">
        <v>1</v>
      </c>
      <c r="K33" s="1030">
        <v>28625</v>
      </c>
      <c r="L33" s="1030">
        <v>26792</v>
      </c>
      <c r="M33" s="979">
        <v>599</v>
      </c>
    </row>
    <row r="34" spans="1:13" ht="15">
      <c r="A34" s="979" t="s">
        <v>3375</v>
      </c>
      <c r="B34" s="722" t="str">
        <f>CONCATENATE(LEFT(RIGHT(CONCATENATE("000",IFAData_TEA!A34),6),3),"-",(RIGHT(RIGHT(CONCATENATE("000",IFAData_TEA!A34),6),3)))</f>
        <v>007-906</v>
      </c>
      <c r="C34" s="979" t="s">
        <v>1004</v>
      </c>
      <c r="D34" s="979">
        <v>8</v>
      </c>
      <c r="E34" s="979">
        <v>2204</v>
      </c>
      <c r="F34" s="979" t="s">
        <v>4078</v>
      </c>
      <c r="G34" s="979" t="s">
        <v>4078</v>
      </c>
      <c r="H34" s="1030">
        <v>308669</v>
      </c>
      <c r="I34" s="1030">
        <v>308394</v>
      </c>
      <c r="J34" s="1034">
        <v>1</v>
      </c>
      <c r="K34" s="1030">
        <v>308669</v>
      </c>
      <c r="L34" s="1030">
        <v>308394</v>
      </c>
      <c r="M34" s="979">
        <v>599</v>
      </c>
    </row>
    <row r="35" spans="1:13" ht="15">
      <c r="A35" s="979" t="s">
        <v>3375</v>
      </c>
      <c r="B35" s="722" t="str">
        <f>CONCATENATE(LEFT(RIGHT(CONCATENATE("000",IFAData_TEA!A35),6),3),"-",(RIGHT(RIGHT(CONCATENATE("000",IFAData_TEA!A35),6),3)))</f>
        <v>007-906</v>
      </c>
      <c r="C35" s="979" t="s">
        <v>1004</v>
      </c>
      <c r="D35" s="979">
        <v>5</v>
      </c>
      <c r="E35" s="979">
        <v>2205</v>
      </c>
      <c r="F35" s="979" t="s">
        <v>4077</v>
      </c>
      <c r="G35" s="979" t="s">
        <v>4078</v>
      </c>
      <c r="H35" s="1030">
        <v>362375</v>
      </c>
      <c r="I35" s="1030">
        <v>182456</v>
      </c>
      <c r="J35" s="1034">
        <v>0.52181572745784432</v>
      </c>
      <c r="K35" s="1030">
        <v>189092.97423753634</v>
      </c>
      <c r="L35" s="1030">
        <v>182456</v>
      </c>
      <c r="M35" s="979">
        <v>599</v>
      </c>
    </row>
    <row r="36" spans="1:13" ht="15">
      <c r="A36" s="979" t="s">
        <v>3376</v>
      </c>
      <c r="B36" s="722" t="str">
        <f>CONCATENATE(LEFT(RIGHT(CONCATENATE("000",IFAData_TEA!A36),6),3),"-",(RIGHT(RIGHT(CONCATENATE("000",IFAData_TEA!A36),6),3)))</f>
        <v>009-901</v>
      </c>
      <c r="C36" s="979" t="s">
        <v>1204</v>
      </c>
      <c r="D36" s="979">
        <v>9</v>
      </c>
      <c r="E36" s="979">
        <v>2123</v>
      </c>
      <c r="F36" s="979" t="s">
        <v>4080</v>
      </c>
      <c r="G36" s="979" t="s">
        <v>4080</v>
      </c>
      <c r="H36" s="1030">
        <v>263987</v>
      </c>
      <c r="I36" s="1030">
        <v>267711</v>
      </c>
      <c r="J36" s="1034">
        <v>1</v>
      </c>
      <c r="K36" s="1030">
        <v>263987</v>
      </c>
      <c r="L36" s="1030">
        <v>263987</v>
      </c>
      <c r="M36" s="979">
        <v>599</v>
      </c>
    </row>
    <row r="37" spans="1:13" ht="15">
      <c r="A37" s="979" t="s">
        <v>3377</v>
      </c>
      <c r="B37" s="722" t="str">
        <f>CONCATENATE(LEFT(RIGHT(CONCATENATE("000",IFAData_TEA!A37),6),3),"-",(RIGHT(RIGHT(CONCATENATE("000",IFAData_TEA!A37),6),3)))</f>
        <v>010-902</v>
      </c>
      <c r="C37" s="979" t="s">
        <v>2121</v>
      </c>
      <c r="D37" s="979">
        <v>6</v>
      </c>
      <c r="E37" s="979">
        <v>1591</v>
      </c>
      <c r="F37" s="979" t="s">
        <v>4081</v>
      </c>
      <c r="G37" s="979" t="s">
        <v>4082</v>
      </c>
      <c r="H37" s="1030">
        <v>691574</v>
      </c>
      <c r="I37" s="1030">
        <v>1257320</v>
      </c>
      <c r="J37" s="1034">
        <v>1</v>
      </c>
      <c r="K37" s="1030">
        <v>691574</v>
      </c>
      <c r="L37" s="1030">
        <v>691574</v>
      </c>
      <c r="M37" s="979">
        <v>599</v>
      </c>
    </row>
    <row r="38" spans="1:13" ht="15">
      <c r="A38" s="979" t="s">
        <v>3377</v>
      </c>
      <c r="B38" s="722" t="str">
        <f>CONCATENATE(LEFT(RIGHT(CONCATENATE("000",IFAData_TEA!A38),6),3),"-",(RIGHT(RIGHT(CONCATENATE("000",IFAData_TEA!A38),6),3)))</f>
        <v>010-902</v>
      </c>
      <c r="C38" s="979" t="s">
        <v>2121</v>
      </c>
      <c r="D38" s="979">
        <v>6</v>
      </c>
      <c r="E38" s="979">
        <v>1591</v>
      </c>
      <c r="F38" s="979" t="s">
        <v>4081</v>
      </c>
      <c r="G38" s="979" t="s">
        <v>4081</v>
      </c>
      <c r="H38" s="1030">
        <v>691574</v>
      </c>
      <c r="I38" s="1030">
        <v>0</v>
      </c>
      <c r="J38" s="1034">
        <v>0</v>
      </c>
      <c r="K38" s="1030">
        <v>0</v>
      </c>
      <c r="L38" s="1030">
        <v>0</v>
      </c>
      <c r="M38" s="979">
        <v>599</v>
      </c>
    </row>
    <row r="39" spans="1:13" ht="15">
      <c r="A39" s="979" t="s">
        <v>3378</v>
      </c>
      <c r="B39" s="722" t="str">
        <f>CONCATENATE(LEFT(RIGHT(CONCATENATE("000",IFAData_TEA!A39),6),3),"-",(RIGHT(RIGHT(CONCATENATE("000",IFAData_TEA!A39),6),3)))</f>
        <v>011-901</v>
      </c>
      <c r="C39" s="979" t="s">
        <v>2123</v>
      </c>
      <c r="D39" s="979">
        <v>9</v>
      </c>
      <c r="E39" s="979">
        <v>1595</v>
      </c>
      <c r="F39" s="979" t="s">
        <v>4087</v>
      </c>
      <c r="G39" s="979" t="s">
        <v>4086</v>
      </c>
      <c r="H39" s="1030">
        <v>1091461</v>
      </c>
      <c r="I39" s="1030">
        <v>11660</v>
      </c>
      <c r="J39" s="1034">
        <v>5.2823641071060483E-3</v>
      </c>
      <c r="K39" s="1030">
        <v>5765.4944107060746</v>
      </c>
      <c r="L39" s="1030">
        <v>5765.4944107060746</v>
      </c>
      <c r="M39" s="979">
        <v>599</v>
      </c>
    </row>
    <row r="40" spans="1:13" ht="15">
      <c r="A40" s="979" t="s">
        <v>3378</v>
      </c>
      <c r="B40" s="722" t="str">
        <f>CONCATENATE(LEFT(RIGHT(CONCATENATE("000",IFAData_TEA!A40),6),3),"-",(RIGHT(RIGHT(CONCATENATE("000",IFAData_TEA!A40),6),3)))</f>
        <v>011-901</v>
      </c>
      <c r="C40" s="979" t="s">
        <v>2123</v>
      </c>
      <c r="D40" s="979">
        <v>9</v>
      </c>
      <c r="E40" s="979">
        <v>1595</v>
      </c>
      <c r="F40" s="979" t="s">
        <v>4087</v>
      </c>
      <c r="G40" s="979" t="s">
        <v>6178</v>
      </c>
      <c r="H40" s="1030">
        <v>1091461</v>
      </c>
      <c r="I40" s="1030">
        <v>168970</v>
      </c>
      <c r="J40" s="1034">
        <v>7.654897625880866E-2</v>
      </c>
      <c r="K40" s="1030">
        <v>83550.222176415555</v>
      </c>
      <c r="L40" s="1030">
        <v>83550.222176415555</v>
      </c>
      <c r="M40" s="979">
        <v>599</v>
      </c>
    </row>
    <row r="41" spans="1:13" ht="15">
      <c r="A41" s="979" t="s">
        <v>3378</v>
      </c>
      <c r="B41" s="722" t="str">
        <f>CONCATENATE(LEFT(RIGHT(CONCATENATE("000",IFAData_TEA!A41),6),3),"-",(RIGHT(RIGHT(CONCATENATE("000",IFAData_TEA!A41),6),3)))</f>
        <v>011-901</v>
      </c>
      <c r="C41" s="979" t="s">
        <v>2123</v>
      </c>
      <c r="D41" s="979">
        <v>9</v>
      </c>
      <c r="E41" s="979">
        <v>1595</v>
      </c>
      <c r="F41" s="979" t="s">
        <v>4087</v>
      </c>
      <c r="G41" s="979" t="s">
        <v>4088</v>
      </c>
      <c r="H41" s="1030">
        <v>1091461</v>
      </c>
      <c r="I41" s="1030">
        <v>314548</v>
      </c>
      <c r="J41" s="1034">
        <v>0.1425006059315603</v>
      </c>
      <c r="K41" s="1030">
        <v>155533.85385066675</v>
      </c>
      <c r="L41" s="1030">
        <v>155533.85385066675</v>
      </c>
      <c r="M41" s="979">
        <v>599</v>
      </c>
    </row>
    <row r="42" spans="1:13" ht="15">
      <c r="A42" s="979" t="s">
        <v>3378</v>
      </c>
      <c r="B42" s="722" t="str">
        <f>CONCATENATE(LEFT(RIGHT(CONCATENATE("000",IFAData_TEA!A42),6),3),"-",(RIGHT(RIGHT(CONCATENATE("000",IFAData_TEA!A42),6),3)))</f>
        <v>011-901</v>
      </c>
      <c r="C42" s="979" t="s">
        <v>2123</v>
      </c>
      <c r="D42" s="979">
        <v>9</v>
      </c>
      <c r="E42" s="979">
        <v>1595</v>
      </c>
      <c r="F42" s="979" t="s">
        <v>4087</v>
      </c>
      <c r="G42" s="979" t="s">
        <v>4087</v>
      </c>
      <c r="H42" s="1030">
        <v>1091461</v>
      </c>
      <c r="I42" s="1030">
        <v>1405277</v>
      </c>
      <c r="J42" s="1034">
        <v>0.63663677404302454</v>
      </c>
      <c r="K42" s="1030">
        <v>694864.21003377356</v>
      </c>
      <c r="L42" s="1030">
        <v>694864.21003377356</v>
      </c>
      <c r="M42" s="979">
        <v>599</v>
      </c>
    </row>
    <row r="43" spans="1:13" ht="15">
      <c r="A43" s="979" t="s">
        <v>3378</v>
      </c>
      <c r="B43" s="722" t="str">
        <f>CONCATENATE(LEFT(RIGHT(CONCATENATE("000",IFAData_TEA!A43),6),3),"-",(RIGHT(RIGHT(CONCATENATE("000",IFAData_TEA!A43),6),3)))</f>
        <v>011-901</v>
      </c>
      <c r="C43" s="979" t="s">
        <v>2123</v>
      </c>
      <c r="D43" s="979">
        <v>3</v>
      </c>
      <c r="E43" s="979">
        <v>1596</v>
      </c>
      <c r="F43" s="979" t="s">
        <v>4083</v>
      </c>
      <c r="G43" s="979" t="s">
        <v>4084</v>
      </c>
      <c r="H43" s="1030">
        <v>1423475</v>
      </c>
      <c r="I43" s="1030">
        <v>893202</v>
      </c>
      <c r="J43" s="1034">
        <v>0.20615262183911176</v>
      </c>
      <c r="K43" s="1030">
        <v>293453.10337242961</v>
      </c>
      <c r="L43" s="1030">
        <v>293453.10337242961</v>
      </c>
      <c r="M43" s="979">
        <v>599</v>
      </c>
    </row>
    <row r="44" spans="1:13" ht="15">
      <c r="A44" s="979" t="s">
        <v>3378</v>
      </c>
      <c r="B44" s="722" t="str">
        <f>CONCATENATE(LEFT(RIGHT(CONCATENATE("000",IFAData_TEA!A44),6),3),"-",(RIGHT(RIGHT(CONCATENATE("000",IFAData_TEA!A44),6),3)))</f>
        <v>011-901</v>
      </c>
      <c r="C44" s="979" t="s">
        <v>2123</v>
      </c>
      <c r="D44" s="979">
        <v>9</v>
      </c>
      <c r="E44" s="979">
        <v>1595</v>
      </c>
      <c r="F44" s="979" t="s">
        <v>4087</v>
      </c>
      <c r="G44" s="979" t="s">
        <v>6179</v>
      </c>
      <c r="H44" s="1030">
        <v>1091461</v>
      </c>
      <c r="I44" s="1030">
        <v>306890</v>
      </c>
      <c r="J44" s="1034">
        <v>0.13903127965950043</v>
      </c>
      <c r="K44" s="1030">
        <v>151747.219528438</v>
      </c>
      <c r="L44" s="1030">
        <v>151747.219528438</v>
      </c>
      <c r="M44" s="979">
        <v>599</v>
      </c>
    </row>
    <row r="45" spans="1:13" ht="15">
      <c r="A45" s="979" t="s">
        <v>3378</v>
      </c>
      <c r="B45" s="722" t="str">
        <f>CONCATENATE(LEFT(RIGHT(CONCATENATE("000",IFAData_TEA!A45),6),3),"-",(RIGHT(RIGHT(CONCATENATE("000",IFAData_TEA!A45),6),3)))</f>
        <v>011-901</v>
      </c>
      <c r="C45" s="979" t="s">
        <v>2123</v>
      </c>
      <c r="D45" s="979">
        <v>3</v>
      </c>
      <c r="E45" s="979">
        <v>1596</v>
      </c>
      <c r="F45" s="979" t="s">
        <v>4083</v>
      </c>
      <c r="G45" s="979" t="s">
        <v>4083</v>
      </c>
      <c r="H45" s="1030">
        <v>1423475</v>
      </c>
      <c r="I45" s="1030">
        <v>2706700</v>
      </c>
      <c r="J45" s="1034">
        <v>0.62471120925829071</v>
      </c>
      <c r="K45" s="1030">
        <v>889260.78859894536</v>
      </c>
      <c r="L45" s="1030">
        <v>889260.78859894536</v>
      </c>
      <c r="M45" s="979">
        <v>599</v>
      </c>
    </row>
    <row r="46" spans="1:13" ht="15">
      <c r="A46" s="979" t="s">
        <v>3378</v>
      </c>
      <c r="B46" s="722" t="str">
        <f>CONCATENATE(LEFT(RIGHT(CONCATENATE("000",IFAData_TEA!A46),6),3),"-",(RIGHT(RIGHT(CONCATENATE("000",IFAData_TEA!A46),6),3)))</f>
        <v>011-901</v>
      </c>
      <c r="C46" s="979" t="s">
        <v>2123</v>
      </c>
      <c r="D46" s="979">
        <v>9</v>
      </c>
      <c r="E46" s="979">
        <v>1594</v>
      </c>
      <c r="F46" s="979" t="s">
        <v>4089</v>
      </c>
      <c r="G46" s="979" t="s">
        <v>4089</v>
      </c>
      <c r="H46" s="1030">
        <v>871791</v>
      </c>
      <c r="I46" s="1030">
        <v>1409756</v>
      </c>
      <c r="J46" s="1034">
        <v>0.797113610045596</v>
      </c>
      <c r="K46" s="1030">
        <v>694916.47121526022</v>
      </c>
      <c r="L46" s="1030">
        <v>694916.47121526022</v>
      </c>
      <c r="M46" s="979">
        <v>599</v>
      </c>
    </row>
    <row r="47" spans="1:13" ht="15">
      <c r="A47" s="979" t="s">
        <v>3378</v>
      </c>
      <c r="B47" s="722" t="str">
        <f>CONCATENATE(LEFT(RIGHT(CONCATENATE("000",IFAData_TEA!A47),6),3),"-",(RIGHT(RIGHT(CONCATENATE("000",IFAData_TEA!A47),6),3)))</f>
        <v>011-901</v>
      </c>
      <c r="C47" s="979" t="s">
        <v>2123</v>
      </c>
      <c r="D47" s="979">
        <v>10</v>
      </c>
      <c r="E47" s="979">
        <v>1597</v>
      </c>
      <c r="F47" s="979" t="s">
        <v>4091</v>
      </c>
      <c r="G47" s="979" t="s">
        <v>4091</v>
      </c>
      <c r="H47" s="1030">
        <v>2083922</v>
      </c>
      <c r="I47" s="1030">
        <v>2231254</v>
      </c>
      <c r="J47" s="1034">
        <v>1</v>
      </c>
      <c r="K47" s="1030">
        <v>2083922</v>
      </c>
      <c r="L47" s="1030">
        <v>2083922</v>
      </c>
      <c r="M47" s="979">
        <v>599</v>
      </c>
    </row>
    <row r="48" spans="1:13" ht="15">
      <c r="A48" s="979" t="s">
        <v>3378</v>
      </c>
      <c r="B48" s="722" t="str">
        <f>CONCATENATE(LEFT(RIGHT(CONCATENATE("000",IFAData_TEA!A48),6),3),"-",(RIGHT(RIGHT(CONCATENATE("000",IFAData_TEA!A48),6),3)))</f>
        <v>011-901</v>
      </c>
      <c r="C48" s="979" t="s">
        <v>2123</v>
      </c>
      <c r="D48" s="979">
        <v>9</v>
      </c>
      <c r="E48" s="979">
        <v>1594</v>
      </c>
      <c r="F48" s="979" t="s">
        <v>4089</v>
      </c>
      <c r="G48" s="979" t="s">
        <v>6180</v>
      </c>
      <c r="H48" s="1030">
        <v>871791</v>
      </c>
      <c r="I48" s="1030">
        <v>349798</v>
      </c>
      <c r="J48" s="1034">
        <v>0.1977851107331548</v>
      </c>
      <c r="K48" s="1030">
        <v>172427.27947116777</v>
      </c>
      <c r="L48" s="1030">
        <v>172427.27947116777</v>
      </c>
      <c r="M48" s="979">
        <v>599</v>
      </c>
    </row>
    <row r="49" spans="1:13" ht="15">
      <c r="A49" s="979" t="s">
        <v>3378</v>
      </c>
      <c r="B49" s="722" t="str">
        <f>CONCATENATE(LEFT(RIGHT(CONCATENATE("000",IFAData_TEA!A49),6),3),"-",(RIGHT(RIGHT(CONCATENATE("000",IFAData_TEA!A49),6),3)))</f>
        <v>011-901</v>
      </c>
      <c r="C49" s="979" t="s">
        <v>2123</v>
      </c>
      <c r="D49" s="979">
        <v>3</v>
      </c>
      <c r="E49" s="979">
        <v>1596</v>
      </c>
      <c r="F49" s="979" t="s">
        <v>4083</v>
      </c>
      <c r="G49" s="979" t="s">
        <v>4086</v>
      </c>
      <c r="H49" s="1030">
        <v>1423475</v>
      </c>
      <c r="I49" s="1030">
        <v>592965</v>
      </c>
      <c r="J49" s="1034">
        <v>0.1368573843417602</v>
      </c>
      <c r="K49" s="1030">
        <v>194813.06517588711</v>
      </c>
      <c r="L49" s="1030">
        <v>194813.06517588711</v>
      </c>
      <c r="M49" s="979">
        <v>599</v>
      </c>
    </row>
    <row r="50" spans="1:13" ht="15">
      <c r="A50" s="979" t="s">
        <v>3378</v>
      </c>
      <c r="B50" s="722" t="str">
        <f>CONCATENATE(LEFT(RIGHT(CONCATENATE("000",IFAData_TEA!A50),6),3),"-",(RIGHT(RIGHT(CONCATENATE("000",IFAData_TEA!A50),6),3)))</f>
        <v>011-901</v>
      </c>
      <c r="C50" s="979" t="s">
        <v>2123</v>
      </c>
      <c r="D50" s="979">
        <v>9</v>
      </c>
      <c r="E50" s="979">
        <v>1594</v>
      </c>
      <c r="F50" s="979" t="s">
        <v>4089</v>
      </c>
      <c r="G50" s="979" t="s">
        <v>4090</v>
      </c>
      <c r="H50" s="1030">
        <v>871791</v>
      </c>
      <c r="I50" s="1030">
        <v>9022</v>
      </c>
      <c r="J50" s="1034">
        <v>5.1012792212491859E-3</v>
      </c>
      <c r="K50" s="1030">
        <v>4447.2493135720488</v>
      </c>
      <c r="L50" s="1030">
        <v>4447.2493135720488</v>
      </c>
      <c r="M50" s="979">
        <v>599</v>
      </c>
    </row>
    <row r="51" spans="1:13" ht="15">
      <c r="A51" s="979" t="s">
        <v>3378</v>
      </c>
      <c r="B51" s="722" t="str">
        <f>CONCATENATE(LEFT(RIGHT(CONCATENATE("000",IFAData_TEA!A51),6),3),"-",(RIGHT(RIGHT(CONCATENATE("000",IFAData_TEA!A51),6),3)))</f>
        <v>011-901</v>
      </c>
      <c r="C51" s="979" t="s">
        <v>2123</v>
      </c>
      <c r="D51" s="979">
        <v>3</v>
      </c>
      <c r="E51" s="979">
        <v>1596</v>
      </c>
      <c r="F51" s="979" t="s">
        <v>4083</v>
      </c>
      <c r="G51" s="979" t="s">
        <v>4085</v>
      </c>
      <c r="H51" s="1030">
        <v>1423475</v>
      </c>
      <c r="I51" s="1030">
        <v>86864</v>
      </c>
      <c r="J51" s="1034">
        <v>2.0048366823442632E-2</v>
      </c>
      <c r="K51" s="1030">
        <v>28538.348964000001</v>
      </c>
      <c r="L51" s="1030">
        <v>28538.348964000001</v>
      </c>
      <c r="M51" s="979">
        <v>599</v>
      </c>
    </row>
    <row r="52" spans="1:13" ht="15">
      <c r="A52" s="979" t="s">
        <v>3378</v>
      </c>
      <c r="B52" s="722" t="str">
        <f>CONCATENATE(LEFT(RIGHT(CONCATENATE("000",IFAData_TEA!A52),6),3),"-",(RIGHT(RIGHT(CONCATENATE("000",IFAData_TEA!A52),6),3)))</f>
        <v>011-901</v>
      </c>
      <c r="C52" s="979" t="s">
        <v>2123</v>
      </c>
      <c r="D52" s="979">
        <v>3</v>
      </c>
      <c r="E52" s="979">
        <v>1596</v>
      </c>
      <c r="F52" s="979" t="s">
        <v>4083</v>
      </c>
      <c r="G52" s="979" t="s">
        <v>6179</v>
      </c>
      <c r="H52" s="1030">
        <v>1423475</v>
      </c>
      <c r="I52" s="1030">
        <v>52991</v>
      </c>
      <c r="J52" s="1034">
        <v>1.2230417737394644E-2</v>
      </c>
      <c r="K52" s="1030">
        <v>17409.693888737842</v>
      </c>
      <c r="L52" s="1030">
        <v>17409.693888737842</v>
      </c>
      <c r="M52" s="979">
        <v>599</v>
      </c>
    </row>
    <row r="53" spans="1:13" ht="15">
      <c r="A53" s="979" t="s">
        <v>3379</v>
      </c>
      <c r="B53" s="722" t="str">
        <f>CONCATENATE(LEFT(RIGHT(CONCATENATE("000",IFAData_TEA!A53),6),3),"-",(RIGHT(RIGHT(CONCATENATE("000",IFAData_TEA!A53),6),3)))</f>
        <v>011-902</v>
      </c>
      <c r="C53" s="979" t="s">
        <v>890</v>
      </c>
      <c r="D53" s="979">
        <v>9</v>
      </c>
      <c r="E53" s="979">
        <v>1800</v>
      </c>
      <c r="F53" s="979" t="s">
        <v>4094</v>
      </c>
      <c r="G53" s="979" t="s">
        <v>4095</v>
      </c>
      <c r="H53" s="1030">
        <v>945091</v>
      </c>
      <c r="I53" s="1030">
        <v>194690</v>
      </c>
      <c r="J53" s="1034">
        <v>8.1260567651123411E-2</v>
      </c>
      <c r="K53" s="1030">
        <v>76798.631141967882</v>
      </c>
      <c r="L53" s="1030">
        <v>76798.631141967882</v>
      </c>
      <c r="M53" s="979">
        <v>599</v>
      </c>
    </row>
    <row r="54" spans="1:13" ht="15">
      <c r="A54" s="979" t="s">
        <v>3379</v>
      </c>
      <c r="B54" s="722" t="str">
        <f>CONCATENATE(LEFT(RIGHT(CONCATENATE("000",IFAData_TEA!A54),6),3),"-",(RIGHT(RIGHT(CONCATENATE("000",IFAData_TEA!A54),6),3)))</f>
        <v>011-902</v>
      </c>
      <c r="C54" s="979" t="s">
        <v>890</v>
      </c>
      <c r="D54" s="979">
        <v>9</v>
      </c>
      <c r="E54" s="979">
        <v>1800</v>
      </c>
      <c r="F54" s="979" t="s">
        <v>4094</v>
      </c>
      <c r="G54" s="979" t="s">
        <v>4096</v>
      </c>
      <c r="H54" s="1030">
        <v>945091</v>
      </c>
      <c r="I54" s="1030">
        <v>202218</v>
      </c>
      <c r="J54" s="1034">
        <v>8.4402637368508268E-2</v>
      </c>
      <c r="K54" s="1030">
        <v>79768.17295324085</v>
      </c>
      <c r="L54" s="1030">
        <v>79768.17295324085</v>
      </c>
      <c r="M54" s="979">
        <v>599</v>
      </c>
    </row>
    <row r="55" spans="1:13" ht="15">
      <c r="A55" s="979" t="s">
        <v>3379</v>
      </c>
      <c r="B55" s="722" t="str">
        <f>CONCATENATE(LEFT(RIGHT(CONCATENATE("000",IFAData_TEA!A55),6),3),"-",(RIGHT(RIGHT(CONCATENATE("000",IFAData_TEA!A55),6),3)))</f>
        <v>011-902</v>
      </c>
      <c r="C55" s="979" t="s">
        <v>890</v>
      </c>
      <c r="D55" s="979">
        <v>1</v>
      </c>
      <c r="E55" s="979">
        <v>1799</v>
      </c>
      <c r="F55" s="979" t="s">
        <v>4092</v>
      </c>
      <c r="G55" s="979" t="s">
        <v>4092</v>
      </c>
      <c r="H55" s="1030">
        <v>597138</v>
      </c>
      <c r="I55" s="1030">
        <v>0</v>
      </c>
      <c r="J55" s="1034">
        <v>0</v>
      </c>
      <c r="K55" s="1030">
        <v>0</v>
      </c>
      <c r="L55" s="1030">
        <v>0</v>
      </c>
      <c r="M55" s="979">
        <v>599</v>
      </c>
    </row>
    <row r="56" spans="1:13" ht="15">
      <c r="A56" s="979" t="s">
        <v>3379</v>
      </c>
      <c r="B56" s="722" t="str">
        <f>CONCATENATE(LEFT(RIGHT(CONCATENATE("000",IFAData_TEA!A56),6),3),"-",(RIGHT(RIGHT(CONCATENATE("000",IFAData_TEA!A56),6),3)))</f>
        <v>011-902</v>
      </c>
      <c r="C56" s="979" t="s">
        <v>890</v>
      </c>
      <c r="D56" s="979">
        <v>9</v>
      </c>
      <c r="E56" s="979">
        <v>1800</v>
      </c>
      <c r="F56" s="979" t="s">
        <v>4094</v>
      </c>
      <c r="G56" s="979" t="s">
        <v>4094</v>
      </c>
      <c r="H56" s="1030">
        <v>945091</v>
      </c>
      <c r="I56" s="1030">
        <v>1998965</v>
      </c>
      <c r="J56" s="1034">
        <v>0.83433679498036828</v>
      </c>
      <c r="K56" s="1030">
        <v>788524.19590479124</v>
      </c>
      <c r="L56" s="1030">
        <v>788524.19590479124</v>
      </c>
      <c r="M56" s="979">
        <v>599</v>
      </c>
    </row>
    <row r="57" spans="1:13" ht="15">
      <c r="A57" s="979" t="s">
        <v>3379</v>
      </c>
      <c r="B57" s="722" t="str">
        <f>CONCATENATE(LEFT(RIGHT(CONCATENATE("000",IFAData_TEA!A57),6),3),"-",(RIGHT(RIGHT(CONCATENATE("000",IFAData_TEA!A57),6),3)))</f>
        <v>011-902</v>
      </c>
      <c r="C57" s="979" t="s">
        <v>890</v>
      </c>
      <c r="D57" s="979">
        <v>1</v>
      </c>
      <c r="E57" s="979">
        <v>1799</v>
      </c>
      <c r="F57" s="979" t="s">
        <v>4092</v>
      </c>
      <c r="G57" s="979" t="s">
        <v>4093</v>
      </c>
      <c r="H57" s="1030">
        <v>597138</v>
      </c>
      <c r="I57" s="1030">
        <v>1098272</v>
      </c>
      <c r="J57" s="1034">
        <v>1</v>
      </c>
      <c r="K57" s="1030">
        <v>597138</v>
      </c>
      <c r="L57" s="1030">
        <v>597138</v>
      </c>
      <c r="M57" s="979">
        <v>599</v>
      </c>
    </row>
    <row r="58" spans="1:13" ht="15">
      <c r="A58" s="979" t="s">
        <v>3380</v>
      </c>
      <c r="B58" s="722" t="str">
        <f>CONCATENATE(LEFT(RIGHT(CONCATENATE("000",IFAData_TEA!A58),6),3),"-",(RIGHT(RIGHT(CONCATENATE("000",IFAData_TEA!A58),6),3)))</f>
        <v>011-904</v>
      </c>
      <c r="C58" s="979" t="s">
        <v>1928</v>
      </c>
      <c r="D58" s="979">
        <v>6</v>
      </c>
      <c r="E58" s="979">
        <v>2342</v>
      </c>
      <c r="F58" s="979" t="s">
        <v>4097</v>
      </c>
      <c r="G58" s="979" t="s">
        <v>4099</v>
      </c>
      <c r="H58" s="1030">
        <v>449656</v>
      </c>
      <c r="I58" s="1030">
        <v>422712</v>
      </c>
      <c r="J58" s="1034">
        <v>0.50500148736456918</v>
      </c>
      <c r="K58" s="1030">
        <v>227076.94880240271</v>
      </c>
      <c r="L58" s="1030">
        <v>227076.94880240271</v>
      </c>
      <c r="M58" s="979">
        <v>599</v>
      </c>
    </row>
    <row r="59" spans="1:13" ht="15">
      <c r="A59" s="979" t="s">
        <v>3380</v>
      </c>
      <c r="B59" s="722" t="str">
        <f>CONCATENATE(LEFT(RIGHT(CONCATENATE("000",IFAData_TEA!A59),6),3),"-",(RIGHT(RIGHT(CONCATENATE("000",IFAData_TEA!A59),6),3)))</f>
        <v>011-904</v>
      </c>
      <c r="C59" s="979" t="s">
        <v>1928</v>
      </c>
      <c r="D59" s="979">
        <v>6</v>
      </c>
      <c r="E59" s="979">
        <v>2342</v>
      </c>
      <c r="F59" s="979" t="s">
        <v>4097</v>
      </c>
      <c r="G59" s="979" t="s">
        <v>4097</v>
      </c>
      <c r="H59" s="1030">
        <v>449656</v>
      </c>
      <c r="I59" s="1030">
        <v>0</v>
      </c>
      <c r="J59" s="1034">
        <v>0</v>
      </c>
      <c r="K59" s="1030">
        <v>0</v>
      </c>
      <c r="L59" s="1030">
        <v>0</v>
      </c>
      <c r="M59" s="979">
        <v>599</v>
      </c>
    </row>
    <row r="60" spans="1:13" ht="15">
      <c r="A60" s="979" t="s">
        <v>3380</v>
      </c>
      <c r="B60" s="722" t="str">
        <f>CONCATENATE(LEFT(RIGHT(CONCATENATE("000",IFAData_TEA!A60),6),3),"-",(RIGHT(RIGHT(CONCATENATE("000",IFAData_TEA!A60),6),3)))</f>
        <v>011-904</v>
      </c>
      <c r="C60" s="979" t="s">
        <v>1928</v>
      </c>
      <c r="D60" s="979">
        <v>6</v>
      </c>
      <c r="E60" s="979">
        <v>2342</v>
      </c>
      <c r="F60" s="979" t="s">
        <v>4097</v>
      </c>
      <c r="G60" s="979" t="s">
        <v>4098</v>
      </c>
      <c r="H60" s="1030">
        <v>449656</v>
      </c>
      <c r="I60" s="1030">
        <v>324928</v>
      </c>
      <c r="J60" s="1034">
        <v>0.38818184316128884</v>
      </c>
      <c r="K60" s="1030">
        <v>174548.29486853251</v>
      </c>
      <c r="L60" s="1030">
        <v>174548.29486853251</v>
      </c>
      <c r="M60" s="979">
        <v>599</v>
      </c>
    </row>
    <row r="61" spans="1:13" ht="15">
      <c r="A61" s="979" t="s">
        <v>3380</v>
      </c>
      <c r="B61" s="722" t="str">
        <f>CONCATENATE(LEFT(RIGHT(CONCATENATE("000",IFAData_TEA!A61),6),3),"-",(RIGHT(RIGHT(CONCATENATE("000",IFAData_TEA!A61),6),3)))</f>
        <v>011-904</v>
      </c>
      <c r="C61" s="979" t="s">
        <v>1928</v>
      </c>
      <c r="D61" s="979">
        <v>6</v>
      </c>
      <c r="E61" s="979">
        <v>2342</v>
      </c>
      <c r="F61" s="979" t="s">
        <v>4097</v>
      </c>
      <c r="G61" s="979" t="s">
        <v>6181</v>
      </c>
      <c r="H61" s="1030">
        <v>449656</v>
      </c>
      <c r="I61" s="1030">
        <v>89411</v>
      </c>
      <c r="J61" s="1034">
        <v>0.10681666947414196</v>
      </c>
      <c r="K61" s="1030">
        <v>48030.756329064781</v>
      </c>
      <c r="L61" s="1030">
        <v>48030.756329064781</v>
      </c>
      <c r="M61" s="979">
        <v>599</v>
      </c>
    </row>
    <row r="62" spans="1:13" ht="15">
      <c r="A62" s="979" t="s">
        <v>3381</v>
      </c>
      <c r="B62" s="722" t="str">
        <f>CONCATENATE(LEFT(RIGHT(CONCATENATE("000",IFAData_TEA!A62),6),3),"-",(RIGHT(RIGHT(CONCATENATE("000",IFAData_TEA!A62),6),3)))</f>
        <v>011-905</v>
      </c>
      <c r="C62" s="979" t="s">
        <v>818</v>
      </c>
      <c r="D62" s="979">
        <v>5</v>
      </c>
      <c r="E62" s="979">
        <v>2080</v>
      </c>
      <c r="F62" s="979" t="s">
        <v>4100</v>
      </c>
      <c r="G62" s="979" t="s">
        <v>4100</v>
      </c>
      <c r="H62" s="1030">
        <v>100000</v>
      </c>
      <c r="I62" s="1030">
        <v>0</v>
      </c>
      <c r="J62" s="1034">
        <v>0</v>
      </c>
      <c r="K62" s="1030">
        <v>0</v>
      </c>
      <c r="L62" s="1030">
        <v>0</v>
      </c>
      <c r="M62" s="979">
        <v>599</v>
      </c>
    </row>
    <row r="63" spans="1:13" ht="15">
      <c r="A63" s="979" t="s">
        <v>3381</v>
      </c>
      <c r="B63" s="722" t="str">
        <f>CONCATENATE(LEFT(RIGHT(CONCATENATE("000",IFAData_TEA!A63),6),3),"-",(RIGHT(RIGHT(CONCATENATE("000",IFAData_TEA!A63),6),3)))</f>
        <v>011-905</v>
      </c>
      <c r="C63" s="979" t="s">
        <v>818</v>
      </c>
      <c r="D63" s="979">
        <v>5</v>
      </c>
      <c r="E63" s="979">
        <v>2080</v>
      </c>
      <c r="F63" s="979" t="s">
        <v>4100</v>
      </c>
      <c r="G63" s="979" t="s">
        <v>4101</v>
      </c>
      <c r="H63" s="1030">
        <v>100000</v>
      </c>
      <c r="I63" s="1030">
        <v>94800</v>
      </c>
      <c r="J63" s="1034">
        <v>1</v>
      </c>
      <c r="K63" s="1030">
        <v>100000</v>
      </c>
      <c r="L63" s="1030">
        <v>94800</v>
      </c>
      <c r="M63" s="979">
        <v>599</v>
      </c>
    </row>
    <row r="64" spans="1:13" ht="15">
      <c r="A64" s="979" t="s">
        <v>3382</v>
      </c>
      <c r="B64" s="722" t="str">
        <f>CONCATENATE(LEFT(RIGHT(CONCATENATE("000",IFAData_TEA!A64),6),3),"-",(RIGHT(RIGHT(CONCATENATE("000",IFAData_TEA!A64),6),3)))</f>
        <v>013-901</v>
      </c>
      <c r="C64" s="979" t="s">
        <v>2124</v>
      </c>
      <c r="D64" s="979">
        <v>6</v>
      </c>
      <c r="E64" s="979">
        <v>1599</v>
      </c>
      <c r="F64" s="979" t="s">
        <v>4102</v>
      </c>
      <c r="G64" s="979" t="s">
        <v>4102</v>
      </c>
      <c r="H64" s="1030">
        <v>855519</v>
      </c>
      <c r="I64" s="1030">
        <v>0</v>
      </c>
      <c r="J64" s="1034">
        <v>0</v>
      </c>
      <c r="K64" s="1030">
        <v>0</v>
      </c>
      <c r="L64" s="1030">
        <v>0</v>
      </c>
      <c r="M64" s="979">
        <v>599</v>
      </c>
    </row>
    <row r="65" spans="1:13" ht="15">
      <c r="A65" s="979" t="s">
        <v>3382</v>
      </c>
      <c r="B65" s="722" t="str">
        <f>CONCATENATE(LEFT(RIGHT(CONCATENATE("000",IFAData_TEA!A65),6),3),"-",(RIGHT(RIGHT(CONCATENATE("000",IFAData_TEA!A65),6),3)))</f>
        <v>013-901</v>
      </c>
      <c r="C65" s="979" t="s">
        <v>2124</v>
      </c>
      <c r="D65" s="979">
        <v>9</v>
      </c>
      <c r="E65" s="979">
        <v>1598</v>
      </c>
      <c r="F65" s="979" t="s">
        <v>4105</v>
      </c>
      <c r="G65" s="979" t="s">
        <v>4105</v>
      </c>
      <c r="H65" s="1030">
        <v>605485</v>
      </c>
      <c r="I65" s="1030">
        <v>605033</v>
      </c>
      <c r="J65" s="1034">
        <v>0.82903491896454395</v>
      </c>
      <c r="K65" s="1030">
        <v>501968.20790924691</v>
      </c>
      <c r="L65" s="1030">
        <v>501968.20790924691</v>
      </c>
      <c r="M65" s="979">
        <v>599</v>
      </c>
    </row>
    <row r="66" spans="1:13" ht="15">
      <c r="A66" s="979" t="s">
        <v>3382</v>
      </c>
      <c r="B66" s="722" t="str">
        <f>CONCATENATE(LEFT(RIGHT(CONCATENATE("000",IFAData_TEA!A66),6),3),"-",(RIGHT(RIGHT(CONCATENATE("000",IFAData_TEA!A66),6),3)))</f>
        <v>013-901</v>
      </c>
      <c r="C66" s="979" t="s">
        <v>2124</v>
      </c>
      <c r="D66" s="979">
        <v>9</v>
      </c>
      <c r="E66" s="979">
        <v>1598</v>
      </c>
      <c r="F66" s="979" t="s">
        <v>4105</v>
      </c>
      <c r="G66" s="979" t="s">
        <v>6182</v>
      </c>
      <c r="H66" s="1030">
        <v>605485</v>
      </c>
      <c r="I66" s="1030">
        <v>124771</v>
      </c>
      <c r="J66" s="1034">
        <v>0.1709650810354561</v>
      </c>
      <c r="K66" s="1030">
        <v>103516.79209075314</v>
      </c>
      <c r="L66" s="1030">
        <v>103516.79209075314</v>
      </c>
      <c r="M66" s="979">
        <v>599</v>
      </c>
    </row>
    <row r="67" spans="1:13" ht="15">
      <c r="A67" s="979" t="s">
        <v>3382</v>
      </c>
      <c r="B67" s="722" t="str">
        <f>CONCATENATE(LEFT(RIGHT(CONCATENATE("000",IFAData_TEA!A67),6),3),"-",(RIGHT(RIGHT(CONCATENATE("000",IFAData_TEA!A67),6),3)))</f>
        <v>013-901</v>
      </c>
      <c r="C67" s="979" t="s">
        <v>2124</v>
      </c>
      <c r="D67" s="979">
        <v>6</v>
      </c>
      <c r="E67" s="979">
        <v>1599</v>
      </c>
      <c r="F67" s="979" t="s">
        <v>4102</v>
      </c>
      <c r="G67" s="979" t="s">
        <v>4104</v>
      </c>
      <c r="H67" s="1030">
        <v>855519</v>
      </c>
      <c r="I67" s="1030">
        <v>578150</v>
      </c>
      <c r="J67" s="1034">
        <v>0.68304848858612566</v>
      </c>
      <c r="K67" s="1030">
        <v>584360.95990671369</v>
      </c>
      <c r="L67" s="1030">
        <v>578150</v>
      </c>
      <c r="M67" s="979">
        <v>599</v>
      </c>
    </row>
    <row r="68" spans="1:13" ht="15">
      <c r="A68" s="979" t="s">
        <v>3382</v>
      </c>
      <c r="B68" s="722" t="str">
        <f>CONCATENATE(LEFT(RIGHT(CONCATENATE("000",IFAData_TEA!A68),6),3),"-",(RIGHT(RIGHT(CONCATENATE("000",IFAData_TEA!A68),6),3)))</f>
        <v>013-901</v>
      </c>
      <c r="C68" s="979" t="s">
        <v>2124</v>
      </c>
      <c r="D68" s="979">
        <v>6</v>
      </c>
      <c r="E68" s="979">
        <v>1599</v>
      </c>
      <c r="F68" s="979" t="s">
        <v>4102</v>
      </c>
      <c r="G68" s="979" t="s">
        <v>4103</v>
      </c>
      <c r="H68" s="1030">
        <v>855519</v>
      </c>
      <c r="I68" s="1030">
        <v>268276</v>
      </c>
      <c r="J68" s="1034">
        <v>0.31695151141387434</v>
      </c>
      <c r="K68" s="1030">
        <v>271158.04009328637</v>
      </c>
      <c r="L68" s="1030">
        <v>268276</v>
      </c>
      <c r="M68" s="979">
        <v>599</v>
      </c>
    </row>
    <row r="69" spans="1:13" ht="15">
      <c r="A69" s="979" t="s">
        <v>3383</v>
      </c>
      <c r="B69" s="722" t="str">
        <f>CONCATENATE(LEFT(RIGHT(CONCATENATE("000",IFAData_TEA!A69),6),3),"-",(RIGHT(RIGHT(CONCATENATE("000",IFAData_TEA!A69),6),3)))</f>
        <v>013-905</v>
      </c>
      <c r="C69" s="979" t="s">
        <v>1828</v>
      </c>
      <c r="D69" s="979">
        <v>3</v>
      </c>
      <c r="E69" s="979">
        <v>2338</v>
      </c>
      <c r="F69" s="979" t="s">
        <v>4106</v>
      </c>
      <c r="G69" s="979" t="s">
        <v>4106</v>
      </c>
      <c r="H69" s="1030">
        <v>176917</v>
      </c>
      <c r="I69" s="1030">
        <v>0</v>
      </c>
      <c r="J69" s="1034">
        <v>0</v>
      </c>
      <c r="K69" s="1030">
        <v>0</v>
      </c>
      <c r="L69" s="1030">
        <v>0</v>
      </c>
      <c r="M69" s="979">
        <v>599</v>
      </c>
    </row>
    <row r="70" spans="1:13" ht="15">
      <c r="A70" s="979" t="s">
        <v>3383</v>
      </c>
      <c r="B70" s="722" t="str">
        <f>CONCATENATE(LEFT(RIGHT(CONCATENATE("000",IFAData_TEA!A70),6),3),"-",(RIGHT(RIGHT(CONCATENATE("000",IFAData_TEA!A70),6),3)))</f>
        <v>013-905</v>
      </c>
      <c r="C70" s="979" t="s">
        <v>1828</v>
      </c>
      <c r="D70" s="979">
        <v>9</v>
      </c>
      <c r="E70" s="979">
        <v>2339</v>
      </c>
      <c r="F70" s="979" t="s">
        <v>4108</v>
      </c>
      <c r="G70" s="979" t="s">
        <v>4108</v>
      </c>
      <c r="H70" s="1030">
        <v>182500</v>
      </c>
      <c r="I70" s="1030">
        <v>251933</v>
      </c>
      <c r="J70" s="1034">
        <v>0.81883629319535089</v>
      </c>
      <c r="K70" s="1030">
        <v>149437.62350815153</v>
      </c>
      <c r="L70" s="1030">
        <v>149437.62350815153</v>
      </c>
      <c r="M70" s="979">
        <v>599</v>
      </c>
    </row>
    <row r="71" spans="1:13" ht="15">
      <c r="A71" s="979" t="s">
        <v>3383</v>
      </c>
      <c r="B71" s="722" t="str">
        <f>CONCATENATE(LEFT(RIGHT(CONCATENATE("000",IFAData_TEA!A71),6),3),"-",(RIGHT(RIGHT(CONCATENATE("000",IFAData_TEA!A71),6),3)))</f>
        <v>013-905</v>
      </c>
      <c r="C71" s="979" t="s">
        <v>1828</v>
      </c>
      <c r="D71" s="979">
        <v>9</v>
      </c>
      <c r="E71" s="979">
        <v>2339</v>
      </c>
      <c r="F71" s="979" t="s">
        <v>4108</v>
      </c>
      <c r="G71" s="979" t="s">
        <v>6183</v>
      </c>
      <c r="H71" s="1030">
        <v>182500</v>
      </c>
      <c r="I71" s="1030">
        <v>55739</v>
      </c>
      <c r="J71" s="1034">
        <v>0.18116370680464911</v>
      </c>
      <c r="K71" s="1030">
        <v>33062.376491848459</v>
      </c>
      <c r="L71" s="1030">
        <v>33062.376491848459</v>
      </c>
      <c r="M71" s="979">
        <v>599</v>
      </c>
    </row>
    <row r="72" spans="1:13" ht="15">
      <c r="A72" s="979" t="s">
        <v>3383</v>
      </c>
      <c r="B72" s="722" t="str">
        <f>CONCATENATE(LEFT(RIGHT(CONCATENATE("000",IFAData_TEA!A72),6),3),"-",(RIGHT(RIGHT(CONCATENATE("000",IFAData_TEA!A72),6),3)))</f>
        <v>013-905</v>
      </c>
      <c r="C72" s="979" t="s">
        <v>1828</v>
      </c>
      <c r="D72" s="979">
        <v>3</v>
      </c>
      <c r="E72" s="979">
        <v>2338</v>
      </c>
      <c r="F72" s="979" t="s">
        <v>4106</v>
      </c>
      <c r="G72" s="979" t="s">
        <v>4107</v>
      </c>
      <c r="H72" s="1030">
        <v>176917</v>
      </c>
      <c r="I72" s="1030">
        <v>169460</v>
      </c>
      <c r="J72" s="1034">
        <v>1</v>
      </c>
      <c r="K72" s="1030">
        <v>176917</v>
      </c>
      <c r="L72" s="1030">
        <v>169460</v>
      </c>
      <c r="M72" s="979">
        <v>599</v>
      </c>
    </row>
    <row r="73" spans="1:13" ht="15">
      <c r="A73" s="979" t="s">
        <v>3384</v>
      </c>
      <c r="B73" s="722" t="str">
        <f>CONCATENATE(LEFT(RIGHT(CONCATENATE("000",IFAData_TEA!A73),6),3),"-",(RIGHT(RIGHT(CONCATENATE("000",IFAData_TEA!A73),6),3)))</f>
        <v>014-902</v>
      </c>
      <c r="C73" s="979" t="s">
        <v>2122</v>
      </c>
      <c r="D73" s="979">
        <v>2</v>
      </c>
      <c r="E73" s="979">
        <v>1593</v>
      </c>
      <c r="F73" s="979" t="s">
        <v>4109</v>
      </c>
      <c r="G73" s="979" t="s">
        <v>4110</v>
      </c>
      <c r="H73" s="1030">
        <v>134523</v>
      </c>
      <c r="I73" s="1030">
        <v>47948</v>
      </c>
      <c r="J73" s="1034">
        <v>0.43280618139803584</v>
      </c>
      <c r="K73" s="1030">
        <v>58222.385940207976</v>
      </c>
      <c r="L73" s="1030">
        <v>47948</v>
      </c>
      <c r="M73" s="979">
        <v>599</v>
      </c>
    </row>
    <row r="74" spans="1:13" ht="15">
      <c r="A74" s="979" t="s">
        <v>3384</v>
      </c>
      <c r="B74" s="722" t="str">
        <f>CONCATENATE(LEFT(RIGHT(CONCATENATE("000",IFAData_TEA!A74),6),3),"-",(RIGHT(RIGHT(CONCATENATE("000",IFAData_TEA!A74),6),3)))</f>
        <v>014-902</v>
      </c>
      <c r="C74" s="979" t="s">
        <v>2122</v>
      </c>
      <c r="D74" s="979">
        <v>2</v>
      </c>
      <c r="E74" s="979">
        <v>1593</v>
      </c>
      <c r="F74" s="979" t="s">
        <v>4109</v>
      </c>
      <c r="G74" s="979" t="s">
        <v>4109</v>
      </c>
      <c r="H74" s="1030">
        <v>134523</v>
      </c>
      <c r="I74" s="1030">
        <v>62836</v>
      </c>
      <c r="J74" s="1034">
        <v>0.56719381860196416</v>
      </c>
      <c r="K74" s="1030">
        <v>76300.614059792031</v>
      </c>
      <c r="L74" s="1030">
        <v>62836</v>
      </c>
      <c r="M74" s="979">
        <v>599</v>
      </c>
    </row>
    <row r="75" spans="1:13" ht="15">
      <c r="A75" s="979" t="s">
        <v>3385</v>
      </c>
      <c r="B75" s="722" t="str">
        <f>CONCATENATE(LEFT(RIGHT(CONCATENATE("000",IFAData_TEA!A75),6),3),"-",(RIGHT(RIGHT(CONCATENATE("000",IFAData_TEA!A75),6),3)))</f>
        <v>014-903</v>
      </c>
      <c r="C75" s="979" t="s">
        <v>2680</v>
      </c>
      <c r="D75" s="979">
        <v>2</v>
      </c>
      <c r="E75" s="979">
        <v>1604</v>
      </c>
      <c r="F75" s="979" t="s">
        <v>4113</v>
      </c>
      <c r="G75" s="979" t="s">
        <v>4113</v>
      </c>
      <c r="H75" s="1030">
        <v>1175975</v>
      </c>
      <c r="I75" s="1030">
        <v>0</v>
      </c>
      <c r="J75" s="1034">
        <v>0</v>
      </c>
      <c r="K75" s="1030">
        <v>0</v>
      </c>
      <c r="L75" s="1030">
        <v>0</v>
      </c>
      <c r="M75" s="979">
        <v>599</v>
      </c>
    </row>
    <row r="76" spans="1:13" ht="15">
      <c r="A76" s="979" t="s">
        <v>3385</v>
      </c>
      <c r="B76" s="722" t="str">
        <f>CONCATENATE(LEFT(RIGHT(CONCATENATE("000",IFAData_TEA!A76),6),3),"-",(RIGHT(RIGHT(CONCATENATE("000",IFAData_TEA!A76),6),3)))</f>
        <v>014-903</v>
      </c>
      <c r="C76" s="979" t="s">
        <v>2680</v>
      </c>
      <c r="D76" s="979">
        <v>1</v>
      </c>
      <c r="E76" s="979">
        <v>1603</v>
      </c>
      <c r="F76" s="979" t="s">
        <v>4111</v>
      </c>
      <c r="G76" s="979" t="s">
        <v>4112</v>
      </c>
      <c r="H76" s="1030">
        <v>428025</v>
      </c>
      <c r="I76" s="1030">
        <v>927663</v>
      </c>
      <c r="J76" s="1034">
        <v>1</v>
      </c>
      <c r="K76" s="1030">
        <v>428025</v>
      </c>
      <c r="L76" s="1030">
        <v>428025</v>
      </c>
      <c r="M76" s="979">
        <v>599</v>
      </c>
    </row>
    <row r="77" spans="1:13" ht="15">
      <c r="A77" s="979" t="s">
        <v>3385</v>
      </c>
      <c r="B77" s="722" t="str">
        <f>CONCATENATE(LEFT(RIGHT(CONCATENATE("000",IFAData_TEA!A77),6),3),"-",(RIGHT(RIGHT(CONCATENATE("000",IFAData_TEA!A77),6),3)))</f>
        <v>014-903</v>
      </c>
      <c r="C77" s="979" t="s">
        <v>2680</v>
      </c>
      <c r="D77" s="979">
        <v>1</v>
      </c>
      <c r="E77" s="979">
        <v>1603</v>
      </c>
      <c r="F77" s="979" t="s">
        <v>4111</v>
      </c>
      <c r="G77" s="979" t="s">
        <v>4111</v>
      </c>
      <c r="H77" s="1030">
        <v>428025</v>
      </c>
      <c r="I77" s="1030">
        <v>0</v>
      </c>
      <c r="J77" s="1034">
        <v>0</v>
      </c>
      <c r="K77" s="1030">
        <v>0</v>
      </c>
      <c r="L77" s="1030">
        <v>0</v>
      </c>
      <c r="M77" s="979">
        <v>599</v>
      </c>
    </row>
    <row r="78" spans="1:13" ht="15">
      <c r="A78" s="979" t="s">
        <v>3385</v>
      </c>
      <c r="B78" s="722" t="str">
        <f>CONCATENATE(LEFT(RIGHT(CONCATENATE("000",IFAData_TEA!A78),6),3),"-",(RIGHT(RIGHT(CONCATENATE("000",IFAData_TEA!A78),6),3)))</f>
        <v>014-903</v>
      </c>
      <c r="C78" s="979" t="s">
        <v>2680</v>
      </c>
      <c r="D78" s="979">
        <v>2</v>
      </c>
      <c r="E78" s="979">
        <v>1604</v>
      </c>
      <c r="F78" s="979" t="s">
        <v>4113</v>
      </c>
      <c r="G78" s="979" t="s">
        <v>4112</v>
      </c>
      <c r="H78" s="1030">
        <v>1175975</v>
      </c>
      <c r="I78" s="1030">
        <v>318833</v>
      </c>
      <c r="J78" s="1034">
        <v>0.60231606985992125</v>
      </c>
      <c r="K78" s="1030">
        <v>708308.64025352092</v>
      </c>
      <c r="L78" s="1030">
        <v>318833</v>
      </c>
      <c r="M78" s="979">
        <v>599</v>
      </c>
    </row>
    <row r="79" spans="1:13" ht="15">
      <c r="A79" s="979" t="s">
        <v>3385</v>
      </c>
      <c r="B79" s="722" t="str">
        <f>CONCATENATE(LEFT(RIGHT(CONCATENATE("000",IFAData_TEA!A79),6),3),"-",(RIGHT(RIGHT(CONCATENATE("000",IFAData_TEA!A79),6),3)))</f>
        <v>014-903</v>
      </c>
      <c r="C79" s="979" t="s">
        <v>2680</v>
      </c>
      <c r="D79" s="979">
        <v>2</v>
      </c>
      <c r="E79" s="979">
        <v>1604</v>
      </c>
      <c r="F79" s="979" t="s">
        <v>4113</v>
      </c>
      <c r="G79" s="979" t="s">
        <v>4114</v>
      </c>
      <c r="H79" s="1030">
        <v>1175975</v>
      </c>
      <c r="I79" s="1030">
        <v>210512</v>
      </c>
      <c r="J79" s="1034">
        <v>0.3976839301400788</v>
      </c>
      <c r="K79" s="1030">
        <v>467666.3597464792</v>
      </c>
      <c r="L79" s="1030">
        <v>210512</v>
      </c>
      <c r="M79" s="979">
        <v>599</v>
      </c>
    </row>
    <row r="80" spans="1:13" ht="15">
      <c r="A80" s="979" t="s">
        <v>3386</v>
      </c>
      <c r="B80" s="722" t="str">
        <f>CONCATENATE(LEFT(RIGHT(CONCATENATE("000",IFAData_TEA!A80),6),3),"-",(RIGHT(RIGHT(CONCATENATE("000",IFAData_TEA!A80),6),3)))</f>
        <v>014-905</v>
      </c>
      <c r="C80" s="979" t="s">
        <v>2377</v>
      </c>
      <c r="D80" s="979">
        <v>2</v>
      </c>
      <c r="E80" s="979">
        <v>1894</v>
      </c>
      <c r="F80" s="979" t="s">
        <v>4115</v>
      </c>
      <c r="G80" s="979" t="s">
        <v>4116</v>
      </c>
      <c r="H80" s="1030">
        <v>88580</v>
      </c>
      <c r="I80" s="1030">
        <v>35923</v>
      </c>
      <c r="J80" s="1034">
        <v>1</v>
      </c>
      <c r="K80" s="1030">
        <v>88580</v>
      </c>
      <c r="L80" s="1030">
        <v>35923</v>
      </c>
      <c r="M80" s="979">
        <v>599</v>
      </c>
    </row>
    <row r="81" spans="1:13" ht="15">
      <c r="A81" s="979" t="s">
        <v>3386</v>
      </c>
      <c r="B81" s="722" t="str">
        <f>CONCATENATE(LEFT(RIGHT(CONCATENATE("000",IFAData_TEA!A81),6),3),"-",(RIGHT(RIGHT(CONCATENATE("000",IFAData_TEA!A81),6),3)))</f>
        <v>014-905</v>
      </c>
      <c r="C81" s="979" t="s">
        <v>2377</v>
      </c>
      <c r="D81" s="979">
        <v>9</v>
      </c>
      <c r="E81" s="979">
        <v>1896</v>
      </c>
      <c r="F81" s="979" t="s">
        <v>4118</v>
      </c>
      <c r="G81" s="979" t="s">
        <v>4118</v>
      </c>
      <c r="H81" s="1030">
        <v>137250</v>
      </c>
      <c r="I81" s="1030">
        <v>225000</v>
      </c>
      <c r="J81" s="1034">
        <v>1</v>
      </c>
      <c r="K81" s="1030">
        <v>137250</v>
      </c>
      <c r="L81" s="1030">
        <v>137250</v>
      </c>
      <c r="M81" s="979">
        <v>599</v>
      </c>
    </row>
    <row r="82" spans="1:13" ht="15">
      <c r="A82" s="979" t="s">
        <v>3386</v>
      </c>
      <c r="B82" s="722" t="str">
        <f>CONCATENATE(LEFT(RIGHT(CONCATENATE("000",IFAData_TEA!A82),6),3),"-",(RIGHT(RIGHT(CONCATENATE("000",IFAData_TEA!A82),6),3)))</f>
        <v>014-905</v>
      </c>
      <c r="C82" s="979" t="s">
        <v>2377</v>
      </c>
      <c r="D82" s="979">
        <v>2</v>
      </c>
      <c r="E82" s="979">
        <v>1894</v>
      </c>
      <c r="F82" s="979" t="s">
        <v>4115</v>
      </c>
      <c r="G82" s="979" t="s">
        <v>4115</v>
      </c>
      <c r="H82" s="1030">
        <v>88580</v>
      </c>
      <c r="I82" s="1030">
        <v>0</v>
      </c>
      <c r="J82" s="1034">
        <v>0</v>
      </c>
      <c r="K82" s="1030">
        <v>0</v>
      </c>
      <c r="L82" s="1030">
        <v>0</v>
      </c>
      <c r="M82" s="979">
        <v>599</v>
      </c>
    </row>
    <row r="83" spans="1:13" ht="15">
      <c r="A83" s="979" t="s">
        <v>3386</v>
      </c>
      <c r="B83" s="722" t="str">
        <f>CONCATENATE(LEFT(RIGHT(CONCATENATE("000",IFAData_TEA!A83),6),3),"-",(RIGHT(RIGHT(CONCATENATE("000",IFAData_TEA!A83),6),3)))</f>
        <v>014-905</v>
      </c>
      <c r="C83" s="979" t="s">
        <v>2377</v>
      </c>
      <c r="D83" s="979">
        <v>4</v>
      </c>
      <c r="E83" s="979">
        <v>1895</v>
      </c>
      <c r="F83" s="979" t="s">
        <v>4117</v>
      </c>
      <c r="G83" s="979" t="s">
        <v>4117</v>
      </c>
      <c r="H83" s="1030">
        <v>114590</v>
      </c>
      <c r="I83" s="1030">
        <v>0</v>
      </c>
      <c r="J83" s="1034">
        <v>0</v>
      </c>
      <c r="K83" s="1030">
        <v>0</v>
      </c>
      <c r="L83" s="1030">
        <v>0</v>
      </c>
      <c r="M83" s="979">
        <v>599</v>
      </c>
    </row>
    <row r="84" spans="1:13" ht="15">
      <c r="A84" s="979" t="s">
        <v>3386</v>
      </c>
      <c r="B84" s="722" t="str">
        <f>CONCATENATE(LEFT(RIGHT(CONCATENATE("000",IFAData_TEA!A84),6),3),"-",(RIGHT(RIGHT(CONCATENATE("000",IFAData_TEA!A84),6),3)))</f>
        <v>014-905</v>
      </c>
      <c r="C84" s="979" t="s">
        <v>2377</v>
      </c>
      <c r="D84" s="979">
        <v>4</v>
      </c>
      <c r="E84" s="979">
        <v>1895</v>
      </c>
      <c r="F84" s="979" t="s">
        <v>4117</v>
      </c>
      <c r="G84" s="979" t="s">
        <v>4116</v>
      </c>
      <c r="H84" s="1030">
        <v>114590</v>
      </c>
      <c r="I84" s="1030">
        <v>130471</v>
      </c>
      <c r="J84" s="1034">
        <v>1</v>
      </c>
      <c r="K84" s="1030">
        <v>114590</v>
      </c>
      <c r="L84" s="1030">
        <v>114590</v>
      </c>
      <c r="M84" s="979">
        <v>599</v>
      </c>
    </row>
    <row r="85" spans="1:13" ht="15">
      <c r="A85" s="979" t="s">
        <v>3387</v>
      </c>
      <c r="B85" s="722" t="str">
        <f>CONCATENATE(LEFT(RIGHT(CONCATENATE("000",IFAData_TEA!A85),6),3),"-",(RIGHT(RIGHT(CONCATENATE("000",IFAData_TEA!A85),6),3)))</f>
        <v>014-906</v>
      </c>
      <c r="C85" s="979" t="s">
        <v>2518</v>
      </c>
      <c r="D85" s="979">
        <v>2</v>
      </c>
      <c r="E85" s="979">
        <v>1957</v>
      </c>
      <c r="F85" s="979" t="s">
        <v>4119</v>
      </c>
      <c r="G85" s="979" t="s">
        <v>4121</v>
      </c>
      <c r="H85" s="1030">
        <v>5126526</v>
      </c>
      <c r="I85" s="1030">
        <v>4396800</v>
      </c>
      <c r="J85" s="1034">
        <v>0.98812443787612581</v>
      </c>
      <c r="K85" s="1030">
        <v>5065645.6220073439</v>
      </c>
      <c r="L85" s="1030">
        <v>4396800</v>
      </c>
      <c r="M85" s="979">
        <v>599</v>
      </c>
    </row>
    <row r="86" spans="1:13" ht="15">
      <c r="A86" s="979" t="s">
        <v>3387</v>
      </c>
      <c r="B86" s="722" t="str">
        <f>CONCATENATE(LEFT(RIGHT(CONCATENATE("000",IFAData_TEA!A86),6),3),"-",(RIGHT(RIGHT(CONCATENATE("000",IFAData_TEA!A86),6),3)))</f>
        <v>014-906</v>
      </c>
      <c r="C86" s="979" t="s">
        <v>2518</v>
      </c>
      <c r="D86" s="979">
        <v>6</v>
      </c>
      <c r="E86" s="979">
        <v>1958</v>
      </c>
      <c r="F86" s="979" t="s">
        <v>4122</v>
      </c>
      <c r="G86" s="979" t="s">
        <v>4124</v>
      </c>
      <c r="H86" s="1030">
        <v>7058303</v>
      </c>
      <c r="I86" s="1030">
        <v>1319250</v>
      </c>
      <c r="J86" s="1034">
        <v>0.18703745711288172</v>
      </c>
      <c r="K86" s="1030">
        <v>1320167.0446522243</v>
      </c>
      <c r="L86" s="1030">
        <v>1319250</v>
      </c>
      <c r="M86" s="979">
        <v>599</v>
      </c>
    </row>
    <row r="87" spans="1:13" ht="15">
      <c r="A87" s="979" t="s">
        <v>3387</v>
      </c>
      <c r="B87" s="722" t="str">
        <f>CONCATENATE(LEFT(RIGHT(CONCATENATE("000",IFAData_TEA!A87),6),3),"-",(RIGHT(RIGHT(CONCATENATE("000",IFAData_TEA!A87),6),3)))</f>
        <v>014-906</v>
      </c>
      <c r="C87" s="979" t="s">
        <v>2518</v>
      </c>
      <c r="D87" s="979">
        <v>2</v>
      </c>
      <c r="E87" s="979">
        <v>1957</v>
      </c>
      <c r="F87" s="979" t="s">
        <v>4119</v>
      </c>
      <c r="G87" s="979" t="s">
        <v>6184</v>
      </c>
      <c r="H87" s="1030">
        <v>5126526</v>
      </c>
      <c r="I87" s="1030">
        <v>52842</v>
      </c>
      <c r="J87" s="1034">
        <v>1.1875562123874235E-2</v>
      </c>
      <c r="K87" s="1030">
        <v>60880.377992656482</v>
      </c>
      <c r="L87" s="1030">
        <v>52842</v>
      </c>
      <c r="M87" s="979">
        <v>599</v>
      </c>
    </row>
    <row r="88" spans="1:13" ht="15">
      <c r="A88" s="979" t="s">
        <v>3387</v>
      </c>
      <c r="B88" s="722" t="str">
        <f>CONCATENATE(LEFT(RIGHT(CONCATENATE("000",IFAData_TEA!A88),6),3),"-",(RIGHT(RIGHT(CONCATENATE("000",IFAData_TEA!A88),6),3)))</f>
        <v>014-906</v>
      </c>
      <c r="C88" s="979" t="s">
        <v>2518</v>
      </c>
      <c r="D88" s="979">
        <v>2</v>
      </c>
      <c r="E88" s="979">
        <v>1957</v>
      </c>
      <c r="F88" s="979" t="s">
        <v>4119</v>
      </c>
      <c r="G88" s="979" t="s">
        <v>4120</v>
      </c>
      <c r="H88" s="1030">
        <v>5126526</v>
      </c>
      <c r="I88" s="1030">
        <v>0</v>
      </c>
      <c r="J88" s="1034">
        <v>0</v>
      </c>
      <c r="K88" s="1030">
        <v>0</v>
      </c>
      <c r="L88" s="1030">
        <v>0</v>
      </c>
      <c r="M88" s="979">
        <v>599</v>
      </c>
    </row>
    <row r="89" spans="1:13" ht="15">
      <c r="A89" s="979" t="s">
        <v>3387</v>
      </c>
      <c r="B89" s="722" t="str">
        <f>CONCATENATE(LEFT(RIGHT(CONCATENATE("000",IFAData_TEA!A89),6),3),"-",(RIGHT(RIGHT(CONCATENATE("000",IFAData_TEA!A89),6),3)))</f>
        <v>014-906</v>
      </c>
      <c r="C89" s="979" t="s">
        <v>2518</v>
      </c>
      <c r="D89" s="979">
        <v>6</v>
      </c>
      <c r="E89" s="979">
        <v>1958</v>
      </c>
      <c r="F89" s="979" t="s">
        <v>4122</v>
      </c>
      <c r="G89" s="979" t="s">
        <v>4122</v>
      </c>
      <c r="H89" s="1030">
        <v>7058303</v>
      </c>
      <c r="I89" s="1030">
        <v>0</v>
      </c>
      <c r="J89" s="1034">
        <v>0</v>
      </c>
      <c r="K89" s="1030">
        <v>0</v>
      </c>
      <c r="L89" s="1030">
        <v>0</v>
      </c>
      <c r="M89" s="979">
        <v>599</v>
      </c>
    </row>
    <row r="90" spans="1:13" ht="15">
      <c r="A90" s="979" t="s">
        <v>3387</v>
      </c>
      <c r="B90" s="722" t="str">
        <f>CONCATENATE(LEFT(RIGHT(CONCATENATE("000",IFAData_TEA!A90),6),3),"-",(RIGHT(RIGHT(CONCATENATE("000",IFAData_TEA!A90),6),3)))</f>
        <v>014-906</v>
      </c>
      <c r="C90" s="979" t="s">
        <v>2518</v>
      </c>
      <c r="D90" s="979">
        <v>6</v>
      </c>
      <c r="E90" s="979">
        <v>1958</v>
      </c>
      <c r="F90" s="979" t="s">
        <v>4122</v>
      </c>
      <c r="G90" s="979" t="s">
        <v>4123</v>
      </c>
      <c r="H90" s="1030">
        <v>7058303</v>
      </c>
      <c r="I90" s="1030">
        <v>5734150</v>
      </c>
      <c r="J90" s="1034">
        <v>0.81296254288711822</v>
      </c>
      <c r="K90" s="1030">
        <v>5738135.9553477755</v>
      </c>
      <c r="L90" s="1030">
        <v>5734150</v>
      </c>
      <c r="M90" s="979">
        <v>599</v>
      </c>
    </row>
    <row r="91" spans="1:13" ht="15">
      <c r="A91" s="979" t="s">
        <v>3387</v>
      </c>
      <c r="B91" s="722" t="str">
        <f>CONCATENATE(LEFT(RIGHT(CONCATENATE("000",IFAData_TEA!A91),6),3),"-",(RIGHT(RIGHT(CONCATENATE("000",IFAData_TEA!A91),6),3)))</f>
        <v>014-906</v>
      </c>
      <c r="C91" s="979" t="s">
        <v>2518</v>
      </c>
      <c r="D91" s="979">
        <v>2</v>
      </c>
      <c r="E91" s="979">
        <v>1957</v>
      </c>
      <c r="F91" s="979" t="s">
        <v>4119</v>
      </c>
      <c r="G91" s="979" t="s">
        <v>4119</v>
      </c>
      <c r="H91" s="1030">
        <v>5126526</v>
      </c>
      <c r="I91" s="1030">
        <v>0</v>
      </c>
      <c r="J91" s="1034">
        <v>0</v>
      </c>
      <c r="K91" s="1030">
        <v>0</v>
      </c>
      <c r="L91" s="1030">
        <v>0</v>
      </c>
      <c r="M91" s="979">
        <v>599</v>
      </c>
    </row>
    <row r="92" spans="1:13" ht="15">
      <c r="A92" s="979" t="s">
        <v>3388</v>
      </c>
      <c r="B92" s="722" t="str">
        <f>CONCATENATE(LEFT(RIGHT(CONCATENATE("000",IFAData_TEA!A92),6),3),"-",(RIGHT(RIGHT(CONCATENATE("000",IFAData_TEA!A92),6),3)))</f>
        <v>014-907</v>
      </c>
      <c r="C92" s="979" t="s">
        <v>1402</v>
      </c>
      <c r="D92" s="979">
        <v>2</v>
      </c>
      <c r="E92" s="979">
        <v>2257</v>
      </c>
      <c r="F92" s="979" t="s">
        <v>4125</v>
      </c>
      <c r="G92" s="979" t="s">
        <v>6185</v>
      </c>
      <c r="H92" s="1030">
        <v>188100</v>
      </c>
      <c r="I92" s="1030">
        <v>0</v>
      </c>
      <c r="J92" s="1034">
        <v>0</v>
      </c>
      <c r="K92" s="1030">
        <v>0</v>
      </c>
      <c r="L92" s="1030">
        <v>0</v>
      </c>
      <c r="M92" s="979">
        <v>599</v>
      </c>
    </row>
    <row r="93" spans="1:13" ht="15">
      <c r="A93" s="979" t="s">
        <v>3388</v>
      </c>
      <c r="B93" s="722" t="str">
        <f>CONCATENATE(LEFT(RIGHT(CONCATENATE("000",IFAData_TEA!A93),6),3),"-",(RIGHT(RIGHT(CONCATENATE("000",IFAData_TEA!A93),6),3)))</f>
        <v>014-907</v>
      </c>
      <c r="C93" s="979" t="s">
        <v>1402</v>
      </c>
      <c r="D93" s="979">
        <v>9</v>
      </c>
      <c r="E93" s="979">
        <v>2258</v>
      </c>
      <c r="F93" s="979" t="s">
        <v>4126</v>
      </c>
      <c r="G93" s="979" t="s">
        <v>4126</v>
      </c>
      <c r="H93" s="1030">
        <v>192381</v>
      </c>
      <c r="I93" s="1030">
        <v>550049</v>
      </c>
      <c r="J93" s="1034">
        <v>1</v>
      </c>
      <c r="K93" s="1030">
        <v>192381</v>
      </c>
      <c r="L93" s="1030">
        <v>192381</v>
      </c>
      <c r="M93" s="979">
        <v>599</v>
      </c>
    </row>
    <row r="94" spans="1:13" ht="15">
      <c r="A94" s="979" t="s">
        <v>3388</v>
      </c>
      <c r="B94" s="722" t="str">
        <f>CONCATENATE(LEFT(RIGHT(CONCATENATE("000",IFAData_TEA!A94),6),3),"-",(RIGHT(RIGHT(CONCATENATE("000",IFAData_TEA!A94),6),3)))</f>
        <v>014-907</v>
      </c>
      <c r="C94" s="979" t="s">
        <v>1402</v>
      </c>
      <c r="D94" s="979">
        <v>2</v>
      </c>
      <c r="E94" s="979">
        <v>2257</v>
      </c>
      <c r="F94" s="979" t="s">
        <v>4125</v>
      </c>
      <c r="G94" s="979" t="s">
        <v>4125</v>
      </c>
      <c r="H94" s="1030">
        <v>188100</v>
      </c>
      <c r="I94" s="1030">
        <v>176750</v>
      </c>
      <c r="J94" s="1034">
        <v>1</v>
      </c>
      <c r="K94" s="1030">
        <v>188100</v>
      </c>
      <c r="L94" s="1030">
        <v>176750</v>
      </c>
      <c r="M94" s="979">
        <v>599</v>
      </c>
    </row>
    <row r="95" spans="1:13" ht="15">
      <c r="A95" s="979" t="s">
        <v>3389</v>
      </c>
      <c r="B95" s="722" t="str">
        <f>CONCATENATE(LEFT(RIGHT(CONCATENATE("000",IFAData_TEA!A95),6),3),"-",(RIGHT(RIGHT(CONCATENATE("000",IFAData_TEA!A95),6),3)))</f>
        <v>014-908</v>
      </c>
      <c r="C95" s="979" t="s">
        <v>2025</v>
      </c>
      <c r="D95" s="979">
        <v>1</v>
      </c>
      <c r="E95" s="979">
        <v>2275</v>
      </c>
      <c r="F95" s="979" t="s">
        <v>4127</v>
      </c>
      <c r="G95" s="979" t="s">
        <v>4129</v>
      </c>
      <c r="H95" s="1030">
        <v>211190</v>
      </c>
      <c r="I95" s="1030">
        <v>66881</v>
      </c>
      <c r="J95" s="1034">
        <v>0.12178360789469371</v>
      </c>
      <c r="K95" s="1030">
        <v>25719.480151280364</v>
      </c>
      <c r="L95" s="1030">
        <v>25719.480151280364</v>
      </c>
      <c r="M95" s="979">
        <v>599</v>
      </c>
    </row>
    <row r="96" spans="1:13" ht="15">
      <c r="A96" s="979" t="s">
        <v>3389</v>
      </c>
      <c r="B96" s="722" t="str">
        <f>CONCATENATE(LEFT(RIGHT(CONCATENATE("000",IFAData_TEA!A96),6),3),"-",(RIGHT(RIGHT(CONCATENATE("000",IFAData_TEA!A96),6),3)))</f>
        <v>014-908</v>
      </c>
      <c r="C96" s="979" t="s">
        <v>2025</v>
      </c>
      <c r="D96" s="979">
        <v>1</v>
      </c>
      <c r="E96" s="979">
        <v>2275</v>
      </c>
      <c r="F96" s="979" t="s">
        <v>4127</v>
      </c>
      <c r="G96" s="979" t="s">
        <v>4127</v>
      </c>
      <c r="H96" s="1030">
        <v>211190</v>
      </c>
      <c r="I96" s="1030">
        <v>0</v>
      </c>
      <c r="J96" s="1034">
        <v>0</v>
      </c>
      <c r="K96" s="1030">
        <v>0</v>
      </c>
      <c r="L96" s="1030">
        <v>0</v>
      </c>
      <c r="M96" s="979">
        <v>599</v>
      </c>
    </row>
    <row r="97" spans="1:13" ht="15">
      <c r="A97" s="979" t="s">
        <v>3389</v>
      </c>
      <c r="B97" s="722" t="str">
        <f>CONCATENATE(LEFT(RIGHT(CONCATENATE("000",IFAData_TEA!A97),6),3),"-",(RIGHT(RIGHT(CONCATENATE("000",IFAData_TEA!A97),6),3)))</f>
        <v>014-908</v>
      </c>
      <c r="C97" s="979" t="s">
        <v>2025</v>
      </c>
      <c r="D97" s="979">
        <v>1</v>
      </c>
      <c r="E97" s="979">
        <v>2275</v>
      </c>
      <c r="F97" s="979" t="s">
        <v>4127</v>
      </c>
      <c r="G97" s="979" t="s">
        <v>4128</v>
      </c>
      <c r="H97" s="1030">
        <v>211190</v>
      </c>
      <c r="I97" s="1030">
        <v>482298</v>
      </c>
      <c r="J97" s="1034">
        <v>0.87821639210530633</v>
      </c>
      <c r="K97" s="1030">
        <v>185470.51984871965</v>
      </c>
      <c r="L97" s="1030">
        <v>185470.51984871965</v>
      </c>
      <c r="M97" s="979">
        <v>599</v>
      </c>
    </row>
    <row r="98" spans="1:13" ht="15">
      <c r="A98" s="979" t="s">
        <v>3390</v>
      </c>
      <c r="B98" s="722" t="str">
        <f>CONCATENATE(LEFT(RIGHT(CONCATENATE("000",IFAData_TEA!A98),6),3),"-",(RIGHT(RIGHT(CONCATENATE("000",IFAData_TEA!A98),6),3)))</f>
        <v>014-909</v>
      </c>
      <c r="C98" s="979" t="s">
        <v>603</v>
      </c>
      <c r="D98" s="979">
        <v>1</v>
      </c>
      <c r="E98" s="979">
        <v>2391</v>
      </c>
      <c r="F98" s="979" t="s">
        <v>4130</v>
      </c>
      <c r="G98" s="979" t="s">
        <v>4131</v>
      </c>
      <c r="H98" s="1030">
        <v>767280</v>
      </c>
      <c r="I98" s="1030">
        <v>1481233</v>
      </c>
      <c r="J98" s="1034">
        <v>0.98208067574556113</v>
      </c>
      <c r="K98" s="1030">
        <v>753530.86088605411</v>
      </c>
      <c r="L98" s="1030">
        <v>753530.86088605411</v>
      </c>
      <c r="M98" s="979">
        <v>599</v>
      </c>
    </row>
    <row r="99" spans="1:13" ht="15">
      <c r="A99" s="979" t="s">
        <v>3390</v>
      </c>
      <c r="B99" s="722" t="str">
        <f>CONCATENATE(LEFT(RIGHT(CONCATENATE("000",IFAData_TEA!A99),6),3),"-",(RIGHT(RIGHT(CONCATENATE("000",IFAData_TEA!A99),6),3)))</f>
        <v>014-909</v>
      </c>
      <c r="C99" s="979" t="s">
        <v>603</v>
      </c>
      <c r="D99" s="979">
        <v>9</v>
      </c>
      <c r="E99" s="979">
        <v>2392</v>
      </c>
      <c r="F99" s="979" t="s">
        <v>4133</v>
      </c>
      <c r="G99" s="979" t="s">
        <v>4133</v>
      </c>
      <c r="H99" s="1030">
        <v>1498738</v>
      </c>
      <c r="I99" s="1030">
        <v>901548</v>
      </c>
      <c r="J99" s="1034">
        <v>0.64050959540989005</v>
      </c>
      <c r="K99" s="1030">
        <v>959956.07000542781</v>
      </c>
      <c r="L99" s="1030">
        <v>901548</v>
      </c>
      <c r="M99" s="979">
        <v>599</v>
      </c>
    </row>
    <row r="100" spans="1:13" ht="15">
      <c r="A100" s="979" t="s">
        <v>3390</v>
      </c>
      <c r="B100" s="722" t="str">
        <f>CONCATENATE(LEFT(RIGHT(CONCATENATE("000",IFAData_TEA!A100),6),3),"-",(RIGHT(RIGHT(CONCATENATE("000",IFAData_TEA!A100),6),3)))</f>
        <v>014-909</v>
      </c>
      <c r="C100" s="979" t="s">
        <v>603</v>
      </c>
      <c r="D100" s="979">
        <v>9</v>
      </c>
      <c r="E100" s="979">
        <v>2392</v>
      </c>
      <c r="F100" s="979" t="s">
        <v>4133</v>
      </c>
      <c r="G100" s="979" t="s">
        <v>4134</v>
      </c>
      <c r="H100" s="1030">
        <v>1498738</v>
      </c>
      <c r="I100" s="1030">
        <v>211800</v>
      </c>
      <c r="J100" s="1034">
        <v>0.15047444207941754</v>
      </c>
      <c r="K100" s="1030">
        <v>225521.76437322207</v>
      </c>
      <c r="L100" s="1030">
        <v>211800</v>
      </c>
      <c r="M100" s="979">
        <v>599</v>
      </c>
    </row>
    <row r="101" spans="1:13" ht="15">
      <c r="A101" s="979" t="s">
        <v>3390</v>
      </c>
      <c r="B101" s="722" t="str">
        <f>CONCATENATE(LEFT(RIGHT(CONCATENATE("000",IFAData_TEA!A101),6),3),"-",(RIGHT(RIGHT(CONCATENATE("000",IFAData_TEA!A101),6),3)))</f>
        <v>014-909</v>
      </c>
      <c r="C101" s="979" t="s">
        <v>603</v>
      </c>
      <c r="D101" s="979">
        <v>1</v>
      </c>
      <c r="E101" s="979">
        <v>2391</v>
      </c>
      <c r="F101" s="979" t="s">
        <v>4130</v>
      </c>
      <c r="G101" s="979" t="s">
        <v>4130</v>
      </c>
      <c r="H101" s="1030">
        <v>767280</v>
      </c>
      <c r="I101" s="1030">
        <v>0</v>
      </c>
      <c r="J101" s="1034">
        <v>0</v>
      </c>
      <c r="K101" s="1030">
        <v>0</v>
      </c>
      <c r="L101" s="1030">
        <v>0</v>
      </c>
      <c r="M101" s="979">
        <v>599</v>
      </c>
    </row>
    <row r="102" spans="1:13" ht="15">
      <c r="A102" s="979" t="s">
        <v>3390</v>
      </c>
      <c r="B102" s="722" t="str">
        <f>CONCATENATE(LEFT(RIGHT(CONCATENATE("000",IFAData_TEA!A102),6),3),"-",(RIGHT(RIGHT(CONCATENATE("000",IFAData_TEA!A102),6),3)))</f>
        <v>014-909</v>
      </c>
      <c r="C102" s="979" t="s">
        <v>603</v>
      </c>
      <c r="D102" s="979">
        <v>1</v>
      </c>
      <c r="E102" s="979">
        <v>2391</v>
      </c>
      <c r="F102" s="979" t="s">
        <v>4130</v>
      </c>
      <c r="G102" s="979" t="s">
        <v>6186</v>
      </c>
      <c r="H102" s="1030">
        <v>767280</v>
      </c>
      <c r="I102" s="1030">
        <v>27027</v>
      </c>
      <c r="J102" s="1034">
        <v>1.791932425443889E-2</v>
      </c>
      <c r="K102" s="1030">
        <v>13749.139113945872</v>
      </c>
      <c r="L102" s="1030">
        <v>13749.139113945872</v>
      </c>
      <c r="M102" s="979">
        <v>599</v>
      </c>
    </row>
    <row r="103" spans="1:13" ht="15">
      <c r="A103" s="979" t="s">
        <v>3390</v>
      </c>
      <c r="B103" s="722" t="str">
        <f>CONCATENATE(LEFT(RIGHT(CONCATENATE("000",IFAData_TEA!A103),6),3),"-",(RIGHT(RIGHT(CONCATENATE("000",IFAData_TEA!A103),6),3)))</f>
        <v>014-909</v>
      </c>
      <c r="C103" s="979" t="s">
        <v>603</v>
      </c>
      <c r="D103" s="979">
        <v>1</v>
      </c>
      <c r="E103" s="979">
        <v>2391</v>
      </c>
      <c r="F103" s="979" t="s">
        <v>4130</v>
      </c>
      <c r="G103" s="979" t="s">
        <v>4132</v>
      </c>
      <c r="H103" s="1030">
        <v>767280</v>
      </c>
      <c r="I103" s="1030">
        <v>0</v>
      </c>
      <c r="J103" s="1034">
        <v>0</v>
      </c>
      <c r="K103" s="1030">
        <v>0</v>
      </c>
      <c r="L103" s="1030">
        <v>0</v>
      </c>
      <c r="M103" s="979">
        <v>599</v>
      </c>
    </row>
    <row r="104" spans="1:13" ht="15">
      <c r="A104" s="979" t="s">
        <v>3390</v>
      </c>
      <c r="B104" s="722" t="str">
        <f>CONCATENATE(LEFT(RIGHT(CONCATENATE("000",IFAData_TEA!A104),6),3),"-",(RIGHT(RIGHT(CONCATENATE("000",IFAData_TEA!A104),6),3)))</f>
        <v>014-909</v>
      </c>
      <c r="C104" s="979" t="s">
        <v>603</v>
      </c>
      <c r="D104" s="979">
        <v>9</v>
      </c>
      <c r="E104" s="979">
        <v>2392</v>
      </c>
      <c r="F104" s="979" t="s">
        <v>4133</v>
      </c>
      <c r="G104" s="979" t="s">
        <v>6187</v>
      </c>
      <c r="H104" s="1030">
        <v>1498738</v>
      </c>
      <c r="I104" s="1030">
        <v>294200</v>
      </c>
      <c r="J104" s="1034">
        <v>0.20901596251069235</v>
      </c>
      <c r="K104" s="1030">
        <v>313260.16562135005</v>
      </c>
      <c r="L104" s="1030">
        <v>294200</v>
      </c>
      <c r="M104" s="979">
        <v>599</v>
      </c>
    </row>
    <row r="105" spans="1:13" ht="15">
      <c r="A105" s="979" t="s">
        <v>3391</v>
      </c>
      <c r="B105" s="722" t="str">
        <f>CONCATENATE(LEFT(RIGHT(CONCATENATE("000",IFAData_TEA!A105),6),3),"-",(RIGHT(RIGHT(CONCATENATE("000",IFAData_TEA!A105),6),3)))</f>
        <v>014-910</v>
      </c>
      <c r="C105" s="979" t="s">
        <v>2312</v>
      </c>
      <c r="D105" s="979">
        <v>3</v>
      </c>
      <c r="E105" s="979">
        <v>2403</v>
      </c>
      <c r="F105" s="979" t="s">
        <v>4135</v>
      </c>
      <c r="G105" s="979" t="s">
        <v>4136</v>
      </c>
      <c r="H105" s="1030">
        <v>290625</v>
      </c>
      <c r="I105" s="1030">
        <v>563783</v>
      </c>
      <c r="J105" s="1034">
        <v>1</v>
      </c>
      <c r="K105" s="1030">
        <v>290625</v>
      </c>
      <c r="L105" s="1030">
        <v>290625</v>
      </c>
      <c r="M105" s="979">
        <v>599</v>
      </c>
    </row>
    <row r="106" spans="1:13" ht="15">
      <c r="A106" s="979" t="s">
        <v>3391</v>
      </c>
      <c r="B106" s="722" t="str">
        <f>CONCATENATE(LEFT(RIGHT(CONCATENATE("000",IFAData_TEA!A106),6),3),"-",(RIGHT(RIGHT(CONCATENATE("000",IFAData_TEA!A106),6),3)))</f>
        <v>014-910</v>
      </c>
      <c r="C106" s="979" t="s">
        <v>2312</v>
      </c>
      <c r="D106" s="979">
        <v>9</v>
      </c>
      <c r="E106" s="979">
        <v>2402</v>
      </c>
      <c r="F106" s="979" t="s">
        <v>4137</v>
      </c>
      <c r="G106" s="979" t="s">
        <v>4137</v>
      </c>
      <c r="H106" s="1030">
        <v>284227</v>
      </c>
      <c r="I106" s="1030">
        <v>0</v>
      </c>
      <c r="J106" s="1034">
        <v>0</v>
      </c>
      <c r="K106" s="1030">
        <v>0</v>
      </c>
      <c r="L106" s="1030">
        <v>0</v>
      </c>
      <c r="M106" s="979">
        <v>599</v>
      </c>
    </row>
    <row r="107" spans="1:13" ht="15">
      <c r="A107" s="979" t="s">
        <v>3391</v>
      </c>
      <c r="B107" s="722" t="str">
        <f>CONCATENATE(LEFT(RIGHT(CONCATENATE("000",IFAData_TEA!A107),6),3),"-",(RIGHT(RIGHT(CONCATENATE("000",IFAData_TEA!A107),6),3)))</f>
        <v>014-910</v>
      </c>
      <c r="C107" s="979" t="s">
        <v>2312</v>
      </c>
      <c r="D107" s="979">
        <v>9</v>
      </c>
      <c r="E107" s="979">
        <v>2402</v>
      </c>
      <c r="F107" s="979" t="s">
        <v>4137</v>
      </c>
      <c r="G107" s="979" t="s">
        <v>4138</v>
      </c>
      <c r="H107" s="1030">
        <v>284227</v>
      </c>
      <c r="I107" s="1030">
        <v>348354</v>
      </c>
      <c r="J107" s="1034">
        <v>0.48455587177325798</v>
      </c>
      <c r="K107" s="1030">
        <v>137723.86176649781</v>
      </c>
      <c r="L107" s="1030">
        <v>137723.86176649781</v>
      </c>
      <c r="M107" s="979">
        <v>599</v>
      </c>
    </row>
    <row r="108" spans="1:13" ht="15">
      <c r="A108" s="979" t="s">
        <v>3391</v>
      </c>
      <c r="B108" s="722" t="str">
        <f>CONCATENATE(LEFT(RIGHT(CONCATENATE("000",IFAData_TEA!A108),6),3),"-",(RIGHT(RIGHT(CONCATENATE("000",IFAData_TEA!A108),6),3)))</f>
        <v>014-910</v>
      </c>
      <c r="C108" s="979" t="s">
        <v>2312</v>
      </c>
      <c r="D108" s="979">
        <v>3</v>
      </c>
      <c r="E108" s="979">
        <v>2403</v>
      </c>
      <c r="F108" s="979" t="s">
        <v>4135</v>
      </c>
      <c r="G108" s="979" t="s">
        <v>4135</v>
      </c>
      <c r="H108" s="1030">
        <v>290625</v>
      </c>
      <c r="I108" s="1030">
        <v>0</v>
      </c>
      <c r="J108" s="1034">
        <v>0</v>
      </c>
      <c r="K108" s="1030">
        <v>0</v>
      </c>
      <c r="L108" s="1030">
        <v>0</v>
      </c>
      <c r="M108" s="979">
        <v>599</v>
      </c>
    </row>
    <row r="109" spans="1:13" ht="15">
      <c r="A109" s="979" t="s">
        <v>3391</v>
      </c>
      <c r="B109" s="722" t="str">
        <f>CONCATENATE(LEFT(RIGHT(CONCATENATE("000",IFAData_TEA!A109),6),3),"-",(RIGHT(RIGHT(CONCATENATE("000",IFAData_TEA!A109),6),3)))</f>
        <v>014-910</v>
      </c>
      <c r="C109" s="979" t="s">
        <v>2312</v>
      </c>
      <c r="D109" s="979">
        <v>9</v>
      </c>
      <c r="E109" s="979">
        <v>2402</v>
      </c>
      <c r="F109" s="979" t="s">
        <v>4137</v>
      </c>
      <c r="G109" s="979" t="s">
        <v>4139</v>
      </c>
      <c r="H109" s="1030">
        <v>284227</v>
      </c>
      <c r="I109" s="1030">
        <v>370560</v>
      </c>
      <c r="J109" s="1034">
        <v>0.51544412822674202</v>
      </c>
      <c r="K109" s="1030">
        <v>146503.13823350219</v>
      </c>
      <c r="L109" s="1030">
        <v>146503.13823350219</v>
      </c>
      <c r="M109" s="979">
        <v>599</v>
      </c>
    </row>
    <row r="110" spans="1:13" ht="15">
      <c r="A110" s="979" t="s">
        <v>3392</v>
      </c>
      <c r="B110" s="722" t="str">
        <f>CONCATENATE(LEFT(RIGHT(CONCATENATE("000",IFAData_TEA!A110),6),3),"-",(RIGHT(RIGHT(CONCATENATE("000",IFAData_TEA!A110),6),3)))</f>
        <v>015-904</v>
      </c>
      <c r="C110" s="979" t="s">
        <v>724</v>
      </c>
      <c r="D110" s="979">
        <v>4</v>
      </c>
      <c r="E110" s="979">
        <v>1869</v>
      </c>
      <c r="F110" s="979" t="s">
        <v>4145</v>
      </c>
      <c r="G110" s="979" t="s">
        <v>4146</v>
      </c>
      <c r="H110" s="1030">
        <v>3515081</v>
      </c>
      <c r="I110" s="1030">
        <v>0</v>
      </c>
      <c r="J110" s="1034">
        <v>0</v>
      </c>
      <c r="K110" s="1030">
        <v>0</v>
      </c>
      <c r="L110" s="1030">
        <v>0</v>
      </c>
      <c r="M110" s="979">
        <v>599</v>
      </c>
    </row>
    <row r="111" spans="1:13" ht="15">
      <c r="A111" s="979" t="s">
        <v>3392</v>
      </c>
      <c r="B111" s="722" t="str">
        <f>CONCATENATE(LEFT(RIGHT(CONCATENATE("000",IFAData_TEA!A111),6),3),"-",(RIGHT(RIGHT(CONCATENATE("000",IFAData_TEA!A111),6),3)))</f>
        <v>015-904</v>
      </c>
      <c r="C111" s="979" t="s">
        <v>724</v>
      </c>
      <c r="D111" s="979">
        <v>4</v>
      </c>
      <c r="E111" s="979">
        <v>1869</v>
      </c>
      <c r="F111" s="979" t="s">
        <v>4145</v>
      </c>
      <c r="G111" s="979" t="s">
        <v>4144</v>
      </c>
      <c r="H111" s="1030">
        <v>3515081</v>
      </c>
      <c r="I111" s="1030">
        <v>0</v>
      </c>
      <c r="J111" s="1034">
        <v>0</v>
      </c>
      <c r="K111" s="1030">
        <v>0</v>
      </c>
      <c r="L111" s="1030">
        <v>0</v>
      </c>
      <c r="M111" s="979">
        <v>599</v>
      </c>
    </row>
    <row r="112" spans="1:13" ht="15">
      <c r="A112" s="979" t="s">
        <v>3392</v>
      </c>
      <c r="B112" s="722" t="str">
        <f>CONCATENATE(LEFT(RIGHT(CONCATENATE("000",IFAData_TEA!A112),6),3),"-",(RIGHT(RIGHT(CONCATENATE("000",IFAData_TEA!A112),6),3)))</f>
        <v>015-904</v>
      </c>
      <c r="C112" s="979" t="s">
        <v>724</v>
      </c>
      <c r="D112" s="979">
        <v>5</v>
      </c>
      <c r="E112" s="979">
        <v>1867</v>
      </c>
      <c r="F112" s="979" t="s">
        <v>4147</v>
      </c>
      <c r="G112" s="979" t="s">
        <v>4144</v>
      </c>
      <c r="H112" s="1030">
        <v>3411660</v>
      </c>
      <c r="I112" s="1030">
        <v>206892</v>
      </c>
      <c r="J112" s="1034">
        <v>6.368357060407849E-2</v>
      </c>
      <c r="K112" s="1030">
        <v>217266.69048711043</v>
      </c>
      <c r="L112" s="1030">
        <v>206892</v>
      </c>
      <c r="M112" s="979">
        <v>599</v>
      </c>
    </row>
    <row r="113" spans="1:13" ht="15">
      <c r="A113" s="979" t="s">
        <v>3392</v>
      </c>
      <c r="B113" s="722" t="str">
        <f>CONCATENATE(LEFT(RIGHT(CONCATENATE("000",IFAData_TEA!A113),6),3),"-",(RIGHT(RIGHT(CONCATENATE("000",IFAData_TEA!A113),6),3)))</f>
        <v>015-904</v>
      </c>
      <c r="C113" s="979" t="s">
        <v>724</v>
      </c>
      <c r="D113" s="979">
        <v>2</v>
      </c>
      <c r="E113" s="979">
        <v>1868</v>
      </c>
      <c r="F113" s="979" t="s">
        <v>4140</v>
      </c>
      <c r="G113" s="979" t="s">
        <v>4142</v>
      </c>
      <c r="H113" s="1030">
        <v>3489913</v>
      </c>
      <c r="I113" s="1030">
        <v>0</v>
      </c>
      <c r="J113" s="1034">
        <v>0</v>
      </c>
      <c r="K113" s="1030"/>
      <c r="L113" s="1030">
        <v>0</v>
      </c>
      <c r="M113" s="979">
        <v>599</v>
      </c>
    </row>
    <row r="114" spans="1:13" ht="15">
      <c r="A114" s="979" t="s">
        <v>3392</v>
      </c>
      <c r="B114" s="722" t="str">
        <f>CONCATENATE(LEFT(RIGHT(CONCATENATE("000",IFAData_TEA!A114),6),3),"-",(RIGHT(RIGHT(CONCATENATE("000",IFAData_TEA!A114),6),3)))</f>
        <v>015-904</v>
      </c>
      <c r="C114" s="979" t="s">
        <v>724</v>
      </c>
      <c r="D114" s="979">
        <v>8</v>
      </c>
      <c r="E114" s="979">
        <v>1866</v>
      </c>
      <c r="F114" s="979" t="s">
        <v>4149</v>
      </c>
      <c r="G114" s="979" t="s">
        <v>4150</v>
      </c>
      <c r="H114" s="1030">
        <v>3182950</v>
      </c>
      <c r="I114" s="1030">
        <v>327213</v>
      </c>
      <c r="J114" s="1034">
        <v>0.11045518759251352</v>
      </c>
      <c r="K114" s="1030">
        <v>351573.33934759093</v>
      </c>
      <c r="L114" s="1030">
        <v>327213</v>
      </c>
      <c r="M114" s="979">
        <v>599</v>
      </c>
    </row>
    <row r="115" spans="1:13" ht="15">
      <c r="A115" s="979" t="s">
        <v>3392</v>
      </c>
      <c r="B115" s="722" t="str">
        <f>CONCATENATE(LEFT(RIGHT(CONCATENATE("000",IFAData_TEA!A115),6),3),"-",(RIGHT(RIGHT(CONCATENATE("000",IFAData_TEA!A115),6),3)))</f>
        <v>015-904</v>
      </c>
      <c r="C115" s="979" t="s">
        <v>724</v>
      </c>
      <c r="D115" s="979">
        <v>2</v>
      </c>
      <c r="E115" s="979">
        <v>1868</v>
      </c>
      <c r="F115" s="979" t="s">
        <v>4140</v>
      </c>
      <c r="G115" s="979" t="s">
        <v>4140</v>
      </c>
      <c r="H115" s="1030">
        <v>3489913</v>
      </c>
      <c r="I115" s="1030">
        <v>0</v>
      </c>
      <c r="J115" s="1034">
        <v>0</v>
      </c>
      <c r="K115" s="1030"/>
      <c r="L115" s="1030">
        <v>0</v>
      </c>
      <c r="M115" s="979">
        <v>599</v>
      </c>
    </row>
    <row r="116" spans="1:13" ht="15">
      <c r="A116" s="979" t="s">
        <v>3392</v>
      </c>
      <c r="B116" s="722" t="str">
        <f>CONCATENATE(LEFT(RIGHT(CONCATENATE("000",IFAData_TEA!A116),6),3),"-",(RIGHT(RIGHT(CONCATENATE("000",IFAData_TEA!A116),6),3)))</f>
        <v>015-904</v>
      </c>
      <c r="C116" s="979" t="s">
        <v>724</v>
      </c>
      <c r="D116" s="979">
        <v>4</v>
      </c>
      <c r="E116" s="979">
        <v>1869</v>
      </c>
      <c r="F116" s="979" t="s">
        <v>4145</v>
      </c>
      <c r="G116" s="979" t="s">
        <v>4145</v>
      </c>
      <c r="H116" s="1030">
        <v>3515081</v>
      </c>
      <c r="I116" s="1030">
        <v>0</v>
      </c>
      <c r="J116" s="1034">
        <v>0</v>
      </c>
      <c r="K116" s="1030">
        <v>0</v>
      </c>
      <c r="L116" s="1030">
        <v>0</v>
      </c>
      <c r="M116" s="979">
        <v>599</v>
      </c>
    </row>
    <row r="117" spans="1:13" ht="15">
      <c r="A117" s="979" t="s">
        <v>3392</v>
      </c>
      <c r="B117" s="722" t="str">
        <f>CONCATENATE(LEFT(RIGHT(CONCATENATE("000",IFAData_TEA!A117),6),3),"-",(RIGHT(RIGHT(CONCATENATE("000",IFAData_TEA!A117),6),3)))</f>
        <v>015-904</v>
      </c>
      <c r="C117" s="979" t="s">
        <v>724</v>
      </c>
      <c r="D117" s="979">
        <v>2</v>
      </c>
      <c r="E117" s="979">
        <v>1868</v>
      </c>
      <c r="F117" s="979" t="s">
        <v>4140</v>
      </c>
      <c r="G117" s="979" t="s">
        <v>4141</v>
      </c>
      <c r="H117" s="1030">
        <v>3489913</v>
      </c>
      <c r="I117" s="1030">
        <v>0</v>
      </c>
      <c r="J117" s="1034">
        <v>0</v>
      </c>
      <c r="K117" s="1030"/>
      <c r="L117" s="1030">
        <v>0</v>
      </c>
      <c r="M117" s="979">
        <v>599</v>
      </c>
    </row>
    <row r="118" spans="1:13" ht="15">
      <c r="A118" s="979" t="s">
        <v>3392</v>
      </c>
      <c r="B118" s="722" t="str">
        <f>CONCATENATE(LEFT(RIGHT(CONCATENATE("000",IFAData_TEA!A118),6),3),"-",(RIGHT(RIGHT(CONCATENATE("000",IFAData_TEA!A118),6),3)))</f>
        <v>015-904</v>
      </c>
      <c r="C118" s="979" t="s">
        <v>724</v>
      </c>
      <c r="D118" s="979">
        <v>5</v>
      </c>
      <c r="E118" s="979">
        <v>1867</v>
      </c>
      <c r="F118" s="979" t="s">
        <v>4147</v>
      </c>
      <c r="G118" s="979" t="s">
        <v>4142</v>
      </c>
      <c r="H118" s="1030">
        <v>3411660</v>
      </c>
      <c r="I118" s="1030">
        <v>1434980</v>
      </c>
      <c r="J118" s="1034">
        <v>0.44170219315121201</v>
      </c>
      <c r="K118" s="1030">
        <v>1506937.704286264</v>
      </c>
      <c r="L118" s="1030">
        <v>1434980</v>
      </c>
      <c r="M118" s="979">
        <v>599</v>
      </c>
    </row>
    <row r="119" spans="1:13" ht="15">
      <c r="A119" s="979" t="s">
        <v>3392</v>
      </c>
      <c r="B119" s="722" t="str">
        <f>CONCATENATE(LEFT(RIGHT(CONCATENATE("000",IFAData_TEA!A119),6),3),"-",(RIGHT(RIGHT(CONCATENATE("000",IFAData_TEA!A119),6),3)))</f>
        <v>015-904</v>
      </c>
      <c r="C119" s="979" t="s">
        <v>724</v>
      </c>
      <c r="D119" s="979">
        <v>4</v>
      </c>
      <c r="E119" s="979">
        <v>1869</v>
      </c>
      <c r="F119" s="979" t="s">
        <v>4145</v>
      </c>
      <c r="G119" s="979" t="s">
        <v>6188</v>
      </c>
      <c r="H119" s="1030">
        <v>3515081</v>
      </c>
      <c r="I119" s="1030">
        <v>891147</v>
      </c>
      <c r="J119" s="1034">
        <v>1</v>
      </c>
      <c r="K119" s="1030">
        <v>3515081</v>
      </c>
      <c r="L119" s="1030">
        <v>891147</v>
      </c>
      <c r="M119" s="979">
        <v>599</v>
      </c>
    </row>
    <row r="120" spans="1:13" ht="15">
      <c r="A120" s="979" t="s">
        <v>3392</v>
      </c>
      <c r="B120" s="722" t="str">
        <f>CONCATENATE(LEFT(RIGHT(CONCATENATE("000",IFAData_TEA!A120),6),3),"-",(RIGHT(RIGHT(CONCATENATE("000",IFAData_TEA!A120),6),3)))</f>
        <v>015-904</v>
      </c>
      <c r="C120" s="979" t="s">
        <v>724</v>
      </c>
      <c r="D120" s="979">
        <v>2</v>
      </c>
      <c r="E120" s="979">
        <v>1868</v>
      </c>
      <c r="F120" s="979" t="s">
        <v>4140</v>
      </c>
      <c r="G120" s="979" t="s">
        <v>4143</v>
      </c>
      <c r="H120" s="1030">
        <v>3489913</v>
      </c>
      <c r="I120" s="1030">
        <v>0</v>
      </c>
      <c r="J120" s="1034">
        <v>0</v>
      </c>
      <c r="K120" s="1030"/>
      <c r="L120" s="1030">
        <v>0</v>
      </c>
      <c r="M120" s="979">
        <v>599</v>
      </c>
    </row>
    <row r="121" spans="1:13" ht="15">
      <c r="A121" s="979" t="s">
        <v>3392</v>
      </c>
      <c r="B121" s="722" t="str">
        <f>CONCATENATE(LEFT(RIGHT(CONCATENATE("000",IFAData_TEA!A121),6),3),"-",(RIGHT(RIGHT(CONCATENATE("000",IFAData_TEA!A121),6),3)))</f>
        <v>015-904</v>
      </c>
      <c r="C121" s="979" t="s">
        <v>724</v>
      </c>
      <c r="D121" s="979">
        <v>8</v>
      </c>
      <c r="E121" s="979">
        <v>1866</v>
      </c>
      <c r="F121" s="979" t="s">
        <v>4149</v>
      </c>
      <c r="G121" s="979" t="s">
        <v>4149</v>
      </c>
      <c r="H121" s="1030">
        <v>3182950</v>
      </c>
      <c r="I121" s="1030">
        <v>1505893</v>
      </c>
      <c r="J121" s="1034">
        <v>0.50833461326185991</v>
      </c>
      <c r="K121" s="1030">
        <v>1618003.657281837</v>
      </c>
      <c r="L121" s="1030">
        <v>1505893</v>
      </c>
      <c r="M121" s="979">
        <v>599</v>
      </c>
    </row>
    <row r="122" spans="1:13" ht="15">
      <c r="A122" s="979" t="s">
        <v>3392</v>
      </c>
      <c r="B122" s="722" t="str">
        <f>CONCATENATE(LEFT(RIGHT(CONCATENATE("000",IFAData_TEA!A122),6),3),"-",(RIGHT(RIGHT(CONCATENATE("000",IFAData_TEA!A122),6),3)))</f>
        <v>015-904</v>
      </c>
      <c r="C122" s="979" t="s">
        <v>724</v>
      </c>
      <c r="D122" s="979">
        <v>8</v>
      </c>
      <c r="E122" s="979">
        <v>1866</v>
      </c>
      <c r="F122" s="979" t="s">
        <v>4149</v>
      </c>
      <c r="G122" s="979" t="s">
        <v>6189</v>
      </c>
      <c r="H122" s="1030">
        <v>3182950</v>
      </c>
      <c r="I122" s="1030">
        <v>423818</v>
      </c>
      <c r="J122" s="1034">
        <v>0.14306551602498646</v>
      </c>
      <c r="K122" s="1030">
        <v>455370.38423173066</v>
      </c>
      <c r="L122" s="1030">
        <v>423818</v>
      </c>
      <c r="M122" s="979">
        <v>599</v>
      </c>
    </row>
    <row r="123" spans="1:13" ht="15">
      <c r="A123" s="979" t="s">
        <v>3392</v>
      </c>
      <c r="B123" s="722" t="str">
        <f>CONCATENATE(LEFT(RIGHT(CONCATENATE("000",IFAData_TEA!A123),6),3),"-",(RIGHT(RIGHT(CONCATENATE("000",IFAData_TEA!A123),6),3)))</f>
        <v>015-904</v>
      </c>
      <c r="C123" s="979" t="s">
        <v>724</v>
      </c>
      <c r="D123" s="979">
        <v>2</v>
      </c>
      <c r="E123" s="979">
        <v>1868</v>
      </c>
      <c r="F123" s="979" t="s">
        <v>4140</v>
      </c>
      <c r="G123" s="979" t="s">
        <v>4144</v>
      </c>
      <c r="H123" s="1030">
        <v>3489913</v>
      </c>
      <c r="I123" s="1030">
        <v>0</v>
      </c>
      <c r="J123" s="1034">
        <v>0</v>
      </c>
      <c r="K123" s="1030"/>
      <c r="L123" s="1030">
        <v>0</v>
      </c>
      <c r="M123" s="979">
        <v>599</v>
      </c>
    </row>
    <row r="124" spans="1:13" ht="15">
      <c r="A124" s="979" t="s">
        <v>3392</v>
      </c>
      <c r="B124" s="722" t="str">
        <f>CONCATENATE(LEFT(RIGHT(CONCATENATE("000",IFAData_TEA!A124),6),3),"-",(RIGHT(RIGHT(CONCATENATE("000",IFAData_TEA!A124),6),3)))</f>
        <v>015-904</v>
      </c>
      <c r="C124" s="979" t="s">
        <v>724</v>
      </c>
      <c r="D124" s="979">
        <v>8</v>
      </c>
      <c r="E124" s="979">
        <v>1866</v>
      </c>
      <c r="F124" s="979" t="s">
        <v>4149</v>
      </c>
      <c r="G124" s="979" t="s">
        <v>6190</v>
      </c>
      <c r="H124" s="1030">
        <v>3182950</v>
      </c>
      <c r="I124" s="1030">
        <v>365181</v>
      </c>
      <c r="J124" s="1034">
        <v>0.1232718011210486</v>
      </c>
      <c r="K124" s="1030">
        <v>392367.97937824164</v>
      </c>
      <c r="L124" s="1030">
        <v>365181</v>
      </c>
      <c r="M124" s="979">
        <v>599</v>
      </c>
    </row>
    <row r="125" spans="1:13" ht="15">
      <c r="A125" s="979" t="s">
        <v>3392</v>
      </c>
      <c r="B125" s="722" t="str">
        <f>CONCATENATE(LEFT(RIGHT(CONCATENATE("000",IFAData_TEA!A125),6),3),"-",(RIGHT(RIGHT(CONCATENATE("000",IFAData_TEA!A125),6),3)))</f>
        <v>015-904</v>
      </c>
      <c r="C125" s="979" t="s">
        <v>724</v>
      </c>
      <c r="D125" s="979">
        <v>4</v>
      </c>
      <c r="E125" s="979">
        <v>1869</v>
      </c>
      <c r="F125" s="979" t="s">
        <v>4145</v>
      </c>
      <c r="G125" s="979" t="s">
        <v>4143</v>
      </c>
      <c r="H125" s="1030">
        <v>3515081</v>
      </c>
      <c r="I125" s="1030">
        <v>0</v>
      </c>
      <c r="J125" s="1034">
        <v>0</v>
      </c>
      <c r="K125" s="1030">
        <v>0</v>
      </c>
      <c r="L125" s="1030">
        <v>0</v>
      </c>
      <c r="M125" s="979">
        <v>599</v>
      </c>
    </row>
    <row r="126" spans="1:13" ht="15">
      <c r="A126" s="979" t="s">
        <v>3392</v>
      </c>
      <c r="B126" s="722" t="str">
        <f>CONCATENATE(LEFT(RIGHT(CONCATENATE("000",IFAData_TEA!A126),6),3),"-",(RIGHT(RIGHT(CONCATENATE("000",IFAData_TEA!A126),6),3)))</f>
        <v>015-904</v>
      </c>
      <c r="C126" s="979" t="s">
        <v>724</v>
      </c>
      <c r="D126" s="979">
        <v>5</v>
      </c>
      <c r="E126" s="979">
        <v>1867</v>
      </c>
      <c r="F126" s="979" t="s">
        <v>4147</v>
      </c>
      <c r="G126" s="979" t="s">
        <v>4141</v>
      </c>
      <c r="H126" s="1030">
        <v>3411660</v>
      </c>
      <c r="I126" s="1030">
        <v>1367378</v>
      </c>
      <c r="J126" s="1034">
        <v>0.42089357445171222</v>
      </c>
      <c r="K126" s="1030">
        <v>1435945.7722139284</v>
      </c>
      <c r="L126" s="1030">
        <v>1367378</v>
      </c>
      <c r="M126" s="979">
        <v>599</v>
      </c>
    </row>
    <row r="127" spans="1:13" ht="15">
      <c r="A127" s="979" t="s">
        <v>3392</v>
      </c>
      <c r="B127" s="722" t="str">
        <f>CONCATENATE(LEFT(RIGHT(CONCATENATE("000",IFAData_TEA!A127),6),3),"-",(RIGHT(RIGHT(CONCATENATE("000",IFAData_TEA!A127),6),3)))</f>
        <v>015-904</v>
      </c>
      <c r="C127" s="979" t="s">
        <v>724</v>
      </c>
      <c r="D127" s="979">
        <v>5</v>
      </c>
      <c r="E127" s="979">
        <v>1867</v>
      </c>
      <c r="F127" s="979" t="s">
        <v>4147</v>
      </c>
      <c r="G127" s="979" t="s">
        <v>4148</v>
      </c>
      <c r="H127" s="1030">
        <v>3411660</v>
      </c>
      <c r="I127" s="1030">
        <v>239500</v>
      </c>
      <c r="J127" s="1034">
        <v>7.3720661792997313E-2</v>
      </c>
      <c r="K127" s="1030">
        <v>251509.83301269723</v>
      </c>
      <c r="L127" s="1030">
        <v>239500</v>
      </c>
      <c r="M127" s="979">
        <v>599</v>
      </c>
    </row>
    <row r="128" spans="1:13" ht="15">
      <c r="A128" s="979" t="s">
        <v>3392</v>
      </c>
      <c r="B128" s="722" t="str">
        <f>CONCATENATE(LEFT(RIGHT(CONCATENATE("000",IFAData_TEA!A128),6),3),"-",(RIGHT(RIGHT(CONCATENATE("000",IFAData_TEA!A128),6),3)))</f>
        <v>015-904</v>
      </c>
      <c r="C128" s="979" t="s">
        <v>724</v>
      </c>
      <c r="D128" s="979">
        <v>8</v>
      </c>
      <c r="E128" s="979">
        <v>1866</v>
      </c>
      <c r="F128" s="979" t="s">
        <v>4149</v>
      </c>
      <c r="G128" s="979" t="s">
        <v>4151</v>
      </c>
      <c r="H128" s="1030">
        <v>3182950</v>
      </c>
      <c r="I128" s="1030">
        <v>340300</v>
      </c>
      <c r="J128" s="1034">
        <v>0.11487288199959154</v>
      </c>
      <c r="K128" s="1030">
        <v>365634.63976059988</v>
      </c>
      <c r="L128" s="1030">
        <v>340300</v>
      </c>
      <c r="M128" s="979">
        <v>599</v>
      </c>
    </row>
    <row r="129" spans="1:13" ht="15">
      <c r="A129" s="979" t="s">
        <v>3392</v>
      </c>
      <c r="B129" s="722" t="str">
        <f>CONCATENATE(LEFT(RIGHT(CONCATENATE("000",IFAData_TEA!A129),6),3),"-",(RIGHT(RIGHT(CONCATENATE("000",IFAData_TEA!A129),6),3)))</f>
        <v>015-904</v>
      </c>
      <c r="C129" s="979" t="s">
        <v>724</v>
      </c>
      <c r="D129" s="979">
        <v>5</v>
      </c>
      <c r="E129" s="979">
        <v>1867</v>
      </c>
      <c r="F129" s="979" t="s">
        <v>4147</v>
      </c>
      <c r="G129" s="979" t="s">
        <v>4147</v>
      </c>
      <c r="H129" s="1030">
        <v>3411660</v>
      </c>
      <c r="I129" s="1030">
        <v>0</v>
      </c>
      <c r="J129" s="1034">
        <v>0</v>
      </c>
      <c r="K129" s="1030">
        <v>0</v>
      </c>
      <c r="L129" s="1030">
        <v>0</v>
      </c>
      <c r="M129" s="979">
        <v>599</v>
      </c>
    </row>
    <row r="130" spans="1:13" ht="15">
      <c r="A130" s="979" t="s">
        <v>3392</v>
      </c>
      <c r="B130" s="722" t="str">
        <f>CONCATENATE(LEFT(RIGHT(CONCATENATE("000",IFAData_TEA!A130),6),3),"-",(RIGHT(RIGHT(CONCATENATE("000",IFAData_TEA!A130),6),3)))</f>
        <v>015-904</v>
      </c>
      <c r="C130" s="979" t="s">
        <v>724</v>
      </c>
      <c r="D130" s="979">
        <v>4</v>
      </c>
      <c r="E130" s="979">
        <v>1869</v>
      </c>
      <c r="F130" s="979" t="s">
        <v>4145</v>
      </c>
      <c r="G130" s="979" t="s">
        <v>4141</v>
      </c>
      <c r="H130" s="1030">
        <v>3515081</v>
      </c>
      <c r="I130" s="1030">
        <v>0</v>
      </c>
      <c r="J130" s="1034">
        <v>0</v>
      </c>
      <c r="K130" s="1030">
        <v>0</v>
      </c>
      <c r="L130" s="1030">
        <v>0</v>
      </c>
      <c r="M130" s="979">
        <v>599</v>
      </c>
    </row>
    <row r="131" spans="1:13" ht="15">
      <c r="A131" s="979" t="s">
        <v>3393</v>
      </c>
      <c r="B131" s="722" t="str">
        <f>CONCATENATE(LEFT(RIGHT(CONCATENATE("000",IFAData_TEA!A131),6),3),"-",(RIGHT(RIGHT(CONCATENATE("000",IFAData_TEA!A131),6),3)))</f>
        <v>015-905</v>
      </c>
      <c r="C131" s="979" t="s">
        <v>888</v>
      </c>
      <c r="D131" s="979">
        <v>5</v>
      </c>
      <c r="E131" s="979">
        <v>1793</v>
      </c>
      <c r="F131" s="979" t="s">
        <v>4158</v>
      </c>
      <c r="G131" s="979" t="s">
        <v>6191</v>
      </c>
      <c r="H131" s="1030">
        <v>2880403</v>
      </c>
      <c r="I131" s="1030">
        <v>86930</v>
      </c>
      <c r="J131" s="1034">
        <v>3.4976416166644334E-2</v>
      </c>
      <c r="K131" s="1030">
        <v>100746.17405565084</v>
      </c>
      <c r="L131" s="1030">
        <v>86930</v>
      </c>
      <c r="M131" s="979">
        <v>599</v>
      </c>
    </row>
    <row r="132" spans="1:13" ht="15">
      <c r="A132" s="979" t="s">
        <v>3393</v>
      </c>
      <c r="B132" s="722" t="str">
        <f>CONCATENATE(LEFT(RIGHT(CONCATENATE("000",IFAData_TEA!A132),6),3),"-",(RIGHT(RIGHT(CONCATENATE("000",IFAData_TEA!A132),6),3)))</f>
        <v>015-905</v>
      </c>
      <c r="C132" s="979" t="s">
        <v>888</v>
      </c>
      <c r="D132" s="979">
        <v>5</v>
      </c>
      <c r="E132" s="979">
        <v>1793</v>
      </c>
      <c r="F132" s="979" t="s">
        <v>4158</v>
      </c>
      <c r="G132" s="979" t="s">
        <v>4158</v>
      </c>
      <c r="H132" s="1030">
        <v>2880403</v>
      </c>
      <c r="I132" s="1030">
        <v>0</v>
      </c>
      <c r="J132" s="1034">
        <v>0</v>
      </c>
      <c r="K132" s="1030">
        <v>0</v>
      </c>
      <c r="L132" s="1030">
        <v>0</v>
      </c>
      <c r="M132" s="979">
        <v>599</v>
      </c>
    </row>
    <row r="133" spans="1:13" ht="15">
      <c r="A133" s="979" t="s">
        <v>3393</v>
      </c>
      <c r="B133" s="722" t="str">
        <f>CONCATENATE(LEFT(RIGHT(CONCATENATE("000",IFAData_TEA!A133),6),3),"-",(RIGHT(RIGHT(CONCATENATE("000",IFAData_TEA!A133),6),3)))</f>
        <v>015-905</v>
      </c>
      <c r="C133" s="979" t="s">
        <v>888</v>
      </c>
      <c r="D133" s="979">
        <v>1</v>
      </c>
      <c r="E133" s="979">
        <v>1790</v>
      </c>
      <c r="F133" s="979" t="s">
        <v>4152</v>
      </c>
      <c r="G133" s="979" t="s">
        <v>4153</v>
      </c>
      <c r="H133" s="1030">
        <v>394754</v>
      </c>
      <c r="I133" s="1030">
        <v>357521</v>
      </c>
      <c r="J133" s="1034">
        <v>0.86760937302827634</v>
      </c>
      <c r="K133" s="1030">
        <v>342492.27044040419</v>
      </c>
      <c r="L133" s="1030">
        <v>342492.27044040419</v>
      </c>
      <c r="M133" s="979">
        <v>599</v>
      </c>
    </row>
    <row r="134" spans="1:13" ht="15">
      <c r="A134" s="979" t="s">
        <v>3393</v>
      </c>
      <c r="B134" s="722" t="str">
        <f>CONCATENATE(LEFT(RIGHT(CONCATENATE("000",IFAData_TEA!A134),6),3),"-",(RIGHT(RIGHT(CONCATENATE("000",IFAData_TEA!A134),6),3)))</f>
        <v>015-905</v>
      </c>
      <c r="C134" s="979" t="s">
        <v>888</v>
      </c>
      <c r="D134" s="979">
        <v>2</v>
      </c>
      <c r="E134" s="979">
        <v>1791</v>
      </c>
      <c r="F134" s="979" t="s">
        <v>4156</v>
      </c>
      <c r="G134" s="979" t="s">
        <v>4156</v>
      </c>
      <c r="H134" s="1030">
        <v>591537</v>
      </c>
      <c r="I134" s="1030">
        <v>0</v>
      </c>
      <c r="J134" s="1034">
        <v>0</v>
      </c>
      <c r="K134" s="1030">
        <v>0</v>
      </c>
      <c r="L134" s="1030">
        <v>0</v>
      </c>
      <c r="M134" s="979">
        <v>599</v>
      </c>
    </row>
    <row r="135" spans="1:13" ht="15">
      <c r="A135" s="979" t="s">
        <v>3393</v>
      </c>
      <c r="B135" s="722" t="str">
        <f>CONCATENATE(LEFT(RIGHT(CONCATENATE("000",IFAData_TEA!A135),6),3),"-",(RIGHT(RIGHT(CONCATENATE("000",IFAData_TEA!A135),6),3)))</f>
        <v>015-905</v>
      </c>
      <c r="C135" s="979" t="s">
        <v>888</v>
      </c>
      <c r="D135" s="979">
        <v>1</v>
      </c>
      <c r="E135" s="979">
        <v>1789</v>
      </c>
      <c r="F135" s="979" t="s">
        <v>4154</v>
      </c>
      <c r="G135" s="979" t="s">
        <v>4153</v>
      </c>
      <c r="H135" s="1030">
        <v>355472</v>
      </c>
      <c r="I135" s="1030">
        <v>270307</v>
      </c>
      <c r="J135" s="1034">
        <v>0.76969096412473059</v>
      </c>
      <c r="K135" s="1030">
        <v>273603.58639934624</v>
      </c>
      <c r="L135" s="1030">
        <v>270307</v>
      </c>
      <c r="M135" s="979">
        <v>599</v>
      </c>
    </row>
    <row r="136" spans="1:13" ht="15">
      <c r="A136" s="979" t="s">
        <v>3393</v>
      </c>
      <c r="B136" s="722" t="str">
        <f>CONCATENATE(LEFT(RIGHT(CONCATENATE("000",IFAData_TEA!A136),6),3),"-",(RIGHT(RIGHT(CONCATENATE("000",IFAData_TEA!A136),6),3)))</f>
        <v>015-905</v>
      </c>
      <c r="C136" s="979" t="s">
        <v>888</v>
      </c>
      <c r="D136" s="979">
        <v>2</v>
      </c>
      <c r="E136" s="979">
        <v>1791</v>
      </c>
      <c r="F136" s="979" t="s">
        <v>4156</v>
      </c>
      <c r="G136" s="979" t="s">
        <v>6191</v>
      </c>
      <c r="H136" s="1030">
        <v>591537</v>
      </c>
      <c r="I136" s="1030">
        <v>89381</v>
      </c>
      <c r="J136" s="1034">
        <v>0.1366159724875812</v>
      </c>
      <c r="K136" s="1030">
        <v>80813.402517386319</v>
      </c>
      <c r="L136" s="1030">
        <v>80813.402517386319</v>
      </c>
      <c r="M136" s="979">
        <v>599</v>
      </c>
    </row>
    <row r="137" spans="1:13" ht="15">
      <c r="A137" s="979" t="s">
        <v>3393</v>
      </c>
      <c r="B137" s="722" t="str">
        <f>CONCATENATE(LEFT(RIGHT(CONCATENATE("000",IFAData_TEA!A137),6),3),"-",(RIGHT(RIGHT(CONCATENATE("000",IFAData_TEA!A137),6),3)))</f>
        <v>015-905</v>
      </c>
      <c r="C137" s="979" t="s">
        <v>888</v>
      </c>
      <c r="D137" s="979">
        <v>1</v>
      </c>
      <c r="E137" s="979">
        <v>1790</v>
      </c>
      <c r="F137" s="979" t="s">
        <v>4152</v>
      </c>
      <c r="G137" s="979" t="s">
        <v>6191</v>
      </c>
      <c r="H137" s="1030">
        <v>394754</v>
      </c>
      <c r="I137" s="1030">
        <v>54555</v>
      </c>
      <c r="J137" s="1034">
        <v>0.13239062697172366</v>
      </c>
      <c r="K137" s="1030">
        <v>52261.729559595798</v>
      </c>
      <c r="L137" s="1030">
        <v>52261.729559595798</v>
      </c>
      <c r="M137" s="979">
        <v>599</v>
      </c>
    </row>
    <row r="138" spans="1:13" ht="15">
      <c r="A138" s="979" t="s">
        <v>3393</v>
      </c>
      <c r="B138" s="722" t="str">
        <f>CONCATENATE(LEFT(RIGHT(CONCATENATE("000",IFAData_TEA!A138),6),3),"-",(RIGHT(RIGHT(CONCATENATE("000",IFAData_TEA!A138),6),3)))</f>
        <v>015-905</v>
      </c>
      <c r="C138" s="979" t="s">
        <v>888</v>
      </c>
      <c r="D138" s="979">
        <v>5</v>
      </c>
      <c r="E138" s="979">
        <v>1793</v>
      </c>
      <c r="F138" s="979" t="s">
        <v>4158</v>
      </c>
      <c r="G138" s="979" t="s">
        <v>4155</v>
      </c>
      <c r="H138" s="1030">
        <v>2880403</v>
      </c>
      <c r="I138" s="1030">
        <v>1178900</v>
      </c>
      <c r="J138" s="1034">
        <v>0.47433218703390095</v>
      </c>
      <c r="K138" s="1030">
        <v>1366267.8545290094</v>
      </c>
      <c r="L138" s="1030">
        <v>1178900</v>
      </c>
      <c r="M138" s="979">
        <v>599</v>
      </c>
    </row>
    <row r="139" spans="1:13" ht="15">
      <c r="A139" s="979" t="s">
        <v>3393</v>
      </c>
      <c r="B139" s="722" t="str">
        <f>CONCATENATE(LEFT(RIGHT(CONCATENATE("000",IFAData_TEA!A139),6),3),"-",(RIGHT(RIGHT(CONCATENATE("000",IFAData_TEA!A139),6),3)))</f>
        <v>015-905</v>
      </c>
      <c r="C139" s="979" t="s">
        <v>888</v>
      </c>
      <c r="D139" s="979">
        <v>1</v>
      </c>
      <c r="E139" s="979">
        <v>1789</v>
      </c>
      <c r="F139" s="979" t="s">
        <v>4154</v>
      </c>
      <c r="G139" s="979" t="s">
        <v>4154</v>
      </c>
      <c r="H139" s="1030">
        <v>355472</v>
      </c>
      <c r="I139" s="1030">
        <v>0</v>
      </c>
      <c r="J139" s="1034">
        <v>0</v>
      </c>
      <c r="K139" s="1030">
        <v>0</v>
      </c>
      <c r="L139" s="1030">
        <v>0</v>
      </c>
      <c r="M139" s="979">
        <v>599</v>
      </c>
    </row>
    <row r="140" spans="1:13" ht="15">
      <c r="A140" s="979" t="s">
        <v>3393</v>
      </c>
      <c r="B140" s="722" t="str">
        <f>CONCATENATE(LEFT(RIGHT(CONCATENATE("000",IFAData_TEA!A140),6),3),"-",(RIGHT(RIGHT(CONCATENATE("000",IFAData_TEA!A140),6),3)))</f>
        <v>015-905</v>
      </c>
      <c r="C140" s="979" t="s">
        <v>888</v>
      </c>
      <c r="D140" s="979">
        <v>1</v>
      </c>
      <c r="E140" s="979">
        <v>1790</v>
      </c>
      <c r="F140" s="979" t="s">
        <v>4152</v>
      </c>
      <c r="G140" s="979" t="s">
        <v>4152</v>
      </c>
      <c r="H140" s="1030">
        <v>394754</v>
      </c>
      <c r="I140" s="1030">
        <v>0</v>
      </c>
      <c r="J140" s="1034">
        <v>0</v>
      </c>
      <c r="K140" s="1030">
        <v>0</v>
      </c>
      <c r="L140" s="1030">
        <v>0</v>
      </c>
      <c r="M140" s="979">
        <v>599</v>
      </c>
    </row>
    <row r="141" spans="1:13" ht="15">
      <c r="A141" s="979" t="s">
        <v>3393</v>
      </c>
      <c r="B141" s="722" t="str">
        <f>CONCATENATE(LEFT(RIGHT(CONCATENATE("000",IFAData_TEA!A141),6),3),"-",(RIGHT(RIGHT(CONCATENATE("000",IFAData_TEA!A141),6),3)))</f>
        <v>015-905</v>
      </c>
      <c r="C141" s="979" t="s">
        <v>888</v>
      </c>
      <c r="D141" s="979">
        <v>5</v>
      </c>
      <c r="E141" s="979">
        <v>1793</v>
      </c>
      <c r="F141" s="979" t="s">
        <v>4158</v>
      </c>
      <c r="G141" s="979" t="s">
        <v>4153</v>
      </c>
      <c r="H141" s="1030">
        <v>2880403</v>
      </c>
      <c r="I141" s="1030">
        <v>1219559</v>
      </c>
      <c r="J141" s="1034">
        <v>0.49069139679945473</v>
      </c>
      <c r="K141" s="1030">
        <v>1413388.9714153397</v>
      </c>
      <c r="L141" s="1030">
        <v>1219559</v>
      </c>
      <c r="M141" s="979">
        <v>599</v>
      </c>
    </row>
    <row r="142" spans="1:13" ht="15">
      <c r="A142" s="979" t="s">
        <v>3393</v>
      </c>
      <c r="B142" s="722" t="str">
        <f>CONCATENATE(LEFT(RIGHT(CONCATENATE("000",IFAData_TEA!A142),6),3),"-",(RIGHT(RIGHT(CONCATENATE("000",IFAData_TEA!A142),6),3)))</f>
        <v>015-905</v>
      </c>
      <c r="C142" s="979" t="s">
        <v>888</v>
      </c>
      <c r="D142" s="979">
        <v>2</v>
      </c>
      <c r="E142" s="979">
        <v>1791</v>
      </c>
      <c r="F142" s="979" t="s">
        <v>4156</v>
      </c>
      <c r="G142" s="979" t="s">
        <v>4153</v>
      </c>
      <c r="H142" s="1030">
        <v>591537</v>
      </c>
      <c r="I142" s="1030">
        <v>564869</v>
      </c>
      <c r="J142" s="1034">
        <v>0.86338402751241883</v>
      </c>
      <c r="K142" s="1030">
        <v>510723.5974826137</v>
      </c>
      <c r="L142" s="1030">
        <v>510723.5974826137</v>
      </c>
      <c r="M142" s="979">
        <v>599</v>
      </c>
    </row>
    <row r="143" spans="1:13" ht="15">
      <c r="A143" s="979" t="s">
        <v>3393</v>
      </c>
      <c r="B143" s="722" t="str">
        <f>CONCATENATE(LEFT(RIGHT(CONCATENATE("000",IFAData_TEA!A143),6),3),"-",(RIGHT(RIGHT(CONCATENATE("000",IFAData_TEA!A143),6),3)))</f>
        <v>015-905</v>
      </c>
      <c r="C143" s="979" t="s">
        <v>888</v>
      </c>
      <c r="D143" s="979">
        <v>2</v>
      </c>
      <c r="E143" s="979">
        <v>1792</v>
      </c>
      <c r="F143" s="979" t="s">
        <v>4157</v>
      </c>
      <c r="G143" s="979" t="s">
        <v>4157</v>
      </c>
      <c r="H143" s="1030">
        <v>892783</v>
      </c>
      <c r="I143" s="1030">
        <v>0</v>
      </c>
      <c r="J143" s="1034">
        <v>0</v>
      </c>
      <c r="K143" s="1030"/>
      <c r="L143" s="1030">
        <v>0</v>
      </c>
      <c r="M143" s="979">
        <v>199</v>
      </c>
    </row>
    <row r="144" spans="1:13" ht="15">
      <c r="A144" s="979" t="s">
        <v>3393</v>
      </c>
      <c r="B144" s="722" t="str">
        <f>CONCATENATE(LEFT(RIGHT(CONCATENATE("000",IFAData_TEA!A144),6),3),"-",(RIGHT(RIGHT(CONCATENATE("000",IFAData_TEA!A144),6),3)))</f>
        <v>015-905</v>
      </c>
      <c r="C144" s="979" t="s">
        <v>888</v>
      </c>
      <c r="D144" s="979">
        <v>7</v>
      </c>
      <c r="E144" s="979">
        <v>1794</v>
      </c>
      <c r="F144" s="979" t="s">
        <v>4159</v>
      </c>
      <c r="G144" s="979" t="s">
        <v>4159</v>
      </c>
      <c r="H144" s="1030">
        <v>3107457</v>
      </c>
      <c r="I144" s="1030">
        <v>0</v>
      </c>
      <c r="J144" s="1034">
        <v>0</v>
      </c>
      <c r="K144" s="1030">
        <v>0</v>
      </c>
      <c r="L144" s="1030">
        <v>0</v>
      </c>
      <c r="M144" s="979">
        <v>599</v>
      </c>
    </row>
    <row r="145" spans="1:13" ht="15">
      <c r="A145" s="979" t="s">
        <v>3393</v>
      </c>
      <c r="B145" s="722" t="str">
        <f>CONCATENATE(LEFT(RIGHT(CONCATENATE("000",IFAData_TEA!A145),6),3),"-",(RIGHT(RIGHT(CONCATENATE("000",IFAData_TEA!A145),6),3)))</f>
        <v>015-905</v>
      </c>
      <c r="C145" s="979" t="s">
        <v>888</v>
      </c>
      <c r="D145" s="979">
        <v>1</v>
      </c>
      <c r="E145" s="979">
        <v>1789</v>
      </c>
      <c r="F145" s="979" t="s">
        <v>4154</v>
      </c>
      <c r="G145" s="979" t="s">
        <v>6191</v>
      </c>
      <c r="H145" s="1030">
        <v>355472</v>
      </c>
      <c r="I145" s="1030">
        <v>32733</v>
      </c>
      <c r="J145" s="1034">
        <v>9.3206222290561497E-2</v>
      </c>
      <c r="K145" s="1030">
        <v>33132.202250070477</v>
      </c>
      <c r="L145" s="1030">
        <v>32733</v>
      </c>
      <c r="M145" s="979">
        <v>599</v>
      </c>
    </row>
    <row r="146" spans="1:13" ht="15">
      <c r="A146" s="979" t="s">
        <v>3393</v>
      </c>
      <c r="B146" s="722" t="str">
        <f>CONCATENATE(LEFT(RIGHT(CONCATENATE("000",IFAData_TEA!A146),6),3),"-",(RIGHT(RIGHT(CONCATENATE("000",IFAData_TEA!A146),6),3)))</f>
        <v>015-905</v>
      </c>
      <c r="C146" s="979" t="s">
        <v>888</v>
      </c>
      <c r="D146" s="979">
        <v>1</v>
      </c>
      <c r="E146" s="979">
        <v>1789</v>
      </c>
      <c r="F146" s="979" t="s">
        <v>4154</v>
      </c>
      <c r="G146" s="979" t="s">
        <v>4155</v>
      </c>
      <c r="H146" s="1030">
        <v>355472</v>
      </c>
      <c r="I146" s="1030">
        <v>48149</v>
      </c>
      <c r="J146" s="1034">
        <v>0.13710281358470794</v>
      </c>
      <c r="K146" s="1030">
        <v>48736.211350583304</v>
      </c>
      <c r="L146" s="1030">
        <v>48149</v>
      </c>
      <c r="M146" s="979">
        <v>599</v>
      </c>
    </row>
    <row r="147" spans="1:13" ht="15">
      <c r="A147" s="979" t="s">
        <v>3393</v>
      </c>
      <c r="B147" s="722" t="str">
        <f>CONCATENATE(LEFT(RIGHT(CONCATENATE("000",IFAData_TEA!A147),6),3),"-",(RIGHT(RIGHT(CONCATENATE("000",IFAData_TEA!A147),6),3)))</f>
        <v>015-905</v>
      </c>
      <c r="C147" s="979" t="s">
        <v>888</v>
      </c>
      <c r="D147" s="979">
        <v>7</v>
      </c>
      <c r="E147" s="979">
        <v>1794</v>
      </c>
      <c r="F147" s="979" t="s">
        <v>4159</v>
      </c>
      <c r="G147" s="979" t="s">
        <v>4160</v>
      </c>
      <c r="H147" s="1030">
        <v>3107457</v>
      </c>
      <c r="I147" s="1030">
        <v>2809094</v>
      </c>
      <c r="J147" s="1034">
        <v>1</v>
      </c>
      <c r="K147" s="1030">
        <v>3107457</v>
      </c>
      <c r="L147" s="1030">
        <v>2809094</v>
      </c>
      <c r="M147" s="979">
        <v>599</v>
      </c>
    </row>
    <row r="148" spans="1:13" ht="15">
      <c r="A148" s="979" t="s">
        <v>3394</v>
      </c>
      <c r="B148" s="722" t="str">
        <f>CONCATENATE(LEFT(RIGHT(CONCATENATE("000",IFAData_TEA!A148),6),3),"-",(RIGHT(RIGHT(CONCATENATE("000",IFAData_TEA!A148),6),3)))</f>
        <v>015-907</v>
      </c>
      <c r="C148" s="979" t="s">
        <v>2028</v>
      </c>
      <c r="D148" s="979">
        <v>1</v>
      </c>
      <c r="E148" s="979">
        <v>2281</v>
      </c>
      <c r="F148" s="979" t="s">
        <v>4161</v>
      </c>
      <c r="G148" s="979" t="s">
        <v>4163</v>
      </c>
      <c r="H148" s="1030">
        <v>13875000</v>
      </c>
      <c r="I148" s="1030">
        <v>15587190</v>
      </c>
      <c r="J148" s="1034">
        <v>0.92990986063513492</v>
      </c>
      <c r="K148" s="1030">
        <v>12902499.316312497</v>
      </c>
      <c r="L148" s="1030">
        <v>12902499.316312497</v>
      </c>
      <c r="M148" s="979">
        <v>599</v>
      </c>
    </row>
    <row r="149" spans="1:13" ht="15">
      <c r="A149" s="979" t="s">
        <v>3394</v>
      </c>
      <c r="B149" s="722" t="str">
        <f>CONCATENATE(LEFT(RIGHT(CONCATENATE("000",IFAData_TEA!A149),6),3),"-",(RIGHT(RIGHT(CONCATENATE("000",IFAData_TEA!A149),6),3)))</f>
        <v>015-907</v>
      </c>
      <c r="C149" s="979" t="s">
        <v>2028</v>
      </c>
      <c r="D149" s="979">
        <v>1</v>
      </c>
      <c r="E149" s="979">
        <v>2281</v>
      </c>
      <c r="F149" s="979" t="s">
        <v>4161</v>
      </c>
      <c r="G149" s="979" t="s">
        <v>4162</v>
      </c>
      <c r="H149" s="1030">
        <v>13875000</v>
      </c>
      <c r="I149" s="1030">
        <v>0</v>
      </c>
      <c r="J149" s="1034">
        <v>0</v>
      </c>
      <c r="K149" s="1030">
        <v>0</v>
      </c>
      <c r="L149" s="1030">
        <v>0</v>
      </c>
      <c r="M149" s="979">
        <v>599</v>
      </c>
    </row>
    <row r="150" spans="1:13" ht="15">
      <c r="A150" s="979" t="s">
        <v>3394</v>
      </c>
      <c r="B150" s="722" t="str">
        <f>CONCATENATE(LEFT(RIGHT(CONCATENATE("000",IFAData_TEA!A150),6),3),"-",(RIGHT(RIGHT(CONCATENATE("000",IFAData_TEA!A150),6),3)))</f>
        <v>015-907</v>
      </c>
      <c r="C150" s="979" t="s">
        <v>2028</v>
      </c>
      <c r="D150" s="979">
        <v>1</v>
      </c>
      <c r="E150" s="979">
        <v>2281</v>
      </c>
      <c r="F150" s="979" t="s">
        <v>4161</v>
      </c>
      <c r="G150" s="979" t="s">
        <v>4161</v>
      </c>
      <c r="H150" s="1030">
        <v>13875000</v>
      </c>
      <c r="I150" s="1030">
        <v>0</v>
      </c>
      <c r="J150" s="1034">
        <v>0</v>
      </c>
      <c r="K150" s="1030">
        <v>0</v>
      </c>
      <c r="L150" s="1030">
        <v>0</v>
      </c>
      <c r="M150" s="979">
        <v>599</v>
      </c>
    </row>
    <row r="151" spans="1:13" ht="15">
      <c r="A151" s="979" t="s">
        <v>3394</v>
      </c>
      <c r="B151" s="722" t="str">
        <f>CONCATENATE(LEFT(RIGHT(CONCATENATE("000",IFAData_TEA!A151),6),3),"-",(RIGHT(RIGHT(CONCATENATE("000",IFAData_TEA!A151),6),3)))</f>
        <v>015-907</v>
      </c>
      <c r="C151" s="979" t="s">
        <v>2028</v>
      </c>
      <c r="D151" s="979">
        <v>3</v>
      </c>
      <c r="E151" s="979">
        <v>2282</v>
      </c>
      <c r="F151" s="979" t="s">
        <v>4165</v>
      </c>
      <c r="G151" s="979" t="s">
        <v>6192</v>
      </c>
      <c r="H151" s="1030">
        <v>14004279</v>
      </c>
      <c r="I151" s="1030">
        <v>407330</v>
      </c>
      <c r="J151" s="1034">
        <v>2.9643754598064152E-2</v>
      </c>
      <c r="K151" s="1030">
        <v>415139.40999882325</v>
      </c>
      <c r="L151" s="1030">
        <v>407330</v>
      </c>
      <c r="M151" s="979">
        <v>599</v>
      </c>
    </row>
    <row r="152" spans="1:13" ht="15">
      <c r="A152" s="979" t="s">
        <v>3394</v>
      </c>
      <c r="B152" s="722" t="str">
        <f>CONCATENATE(LEFT(RIGHT(CONCATENATE("000",IFAData_TEA!A152),6),3),"-",(RIGHT(RIGHT(CONCATENATE("000",IFAData_TEA!A152),6),3)))</f>
        <v>015-907</v>
      </c>
      <c r="C152" s="979" t="s">
        <v>2028</v>
      </c>
      <c r="D152" s="979">
        <v>1</v>
      </c>
      <c r="E152" s="979">
        <v>2281</v>
      </c>
      <c r="F152" s="979" t="s">
        <v>4161</v>
      </c>
      <c r="G152" s="979" t="s">
        <v>6192</v>
      </c>
      <c r="H152" s="1030">
        <v>13875000</v>
      </c>
      <c r="I152" s="1030">
        <v>1174854</v>
      </c>
      <c r="J152" s="1034">
        <v>7.0090139364865051E-2</v>
      </c>
      <c r="K152" s="1030">
        <v>972500.68368750263</v>
      </c>
      <c r="L152" s="1030">
        <v>972500.68368750263</v>
      </c>
      <c r="M152" s="979">
        <v>599</v>
      </c>
    </row>
    <row r="153" spans="1:13" ht="15">
      <c r="A153" s="979" t="s">
        <v>3394</v>
      </c>
      <c r="B153" s="722" t="str">
        <f>CONCATENATE(LEFT(RIGHT(CONCATENATE("000",IFAData_TEA!A153),6),3),"-",(RIGHT(RIGHT(CONCATENATE("000",IFAData_TEA!A153),6),3)))</f>
        <v>015-907</v>
      </c>
      <c r="C153" s="979" t="s">
        <v>2028</v>
      </c>
      <c r="D153" s="979">
        <v>3</v>
      </c>
      <c r="E153" s="979">
        <v>2282</v>
      </c>
      <c r="F153" s="979" t="s">
        <v>4165</v>
      </c>
      <c r="G153" s="979" t="s">
        <v>4165</v>
      </c>
      <c r="H153" s="1030">
        <v>14004279</v>
      </c>
      <c r="I153" s="1030">
        <v>0</v>
      </c>
      <c r="J153" s="1034">
        <v>0</v>
      </c>
      <c r="K153" s="1030">
        <v>0</v>
      </c>
      <c r="L153" s="1030">
        <v>0</v>
      </c>
      <c r="M153" s="979">
        <v>599</v>
      </c>
    </row>
    <row r="154" spans="1:13" ht="15">
      <c r="A154" s="979" t="s">
        <v>3394</v>
      </c>
      <c r="B154" s="722" t="str">
        <f>CONCATENATE(LEFT(RIGHT(CONCATENATE("000",IFAData_TEA!A154),6),3),"-",(RIGHT(RIGHT(CONCATENATE("000",IFAData_TEA!A154),6),3)))</f>
        <v>015-907</v>
      </c>
      <c r="C154" s="979" t="s">
        <v>2028</v>
      </c>
      <c r="D154" s="979">
        <v>5</v>
      </c>
      <c r="E154" s="979">
        <v>2280</v>
      </c>
      <c r="F154" s="979" t="s">
        <v>4166</v>
      </c>
      <c r="G154" s="979" t="s">
        <v>4163</v>
      </c>
      <c r="H154" s="1030">
        <v>8227563</v>
      </c>
      <c r="I154" s="1030">
        <v>5653675</v>
      </c>
      <c r="J154" s="1034">
        <v>0.68554422535839754</v>
      </c>
      <c r="K154" s="1030">
        <v>5640358.3034224138</v>
      </c>
      <c r="L154" s="1030">
        <v>5640358.3034224138</v>
      </c>
      <c r="M154" s="979">
        <v>599</v>
      </c>
    </row>
    <row r="155" spans="1:13" ht="15">
      <c r="A155" s="979" t="s">
        <v>3394</v>
      </c>
      <c r="B155" s="722" t="str">
        <f>CONCATENATE(LEFT(RIGHT(CONCATENATE("000",IFAData_TEA!A155),6),3),"-",(RIGHT(RIGHT(CONCATENATE("000",IFAData_TEA!A155),6),3)))</f>
        <v>015-907</v>
      </c>
      <c r="C155" s="979" t="s">
        <v>2028</v>
      </c>
      <c r="D155" s="979">
        <v>5</v>
      </c>
      <c r="E155" s="979">
        <v>2280</v>
      </c>
      <c r="F155" s="979" t="s">
        <v>4166</v>
      </c>
      <c r="G155" s="979" t="s">
        <v>4166</v>
      </c>
      <c r="H155" s="1030">
        <v>8227563</v>
      </c>
      <c r="I155" s="1030">
        <v>0</v>
      </c>
      <c r="J155" s="1034">
        <v>0</v>
      </c>
      <c r="K155" s="1030">
        <v>0</v>
      </c>
      <c r="L155" s="1030">
        <v>0</v>
      </c>
      <c r="M155" s="979">
        <v>599</v>
      </c>
    </row>
    <row r="156" spans="1:13" ht="15">
      <c r="A156" s="979" t="s">
        <v>3394</v>
      </c>
      <c r="B156" s="722" t="str">
        <f>CONCATENATE(LEFT(RIGHT(CONCATENATE("000",IFAData_TEA!A156),6),3),"-",(RIGHT(RIGHT(CONCATENATE("000",IFAData_TEA!A156),6),3)))</f>
        <v>015-907</v>
      </c>
      <c r="C156" s="979" t="s">
        <v>2028</v>
      </c>
      <c r="D156" s="979">
        <v>3</v>
      </c>
      <c r="E156" s="979">
        <v>2282</v>
      </c>
      <c r="F156" s="979" t="s">
        <v>4165</v>
      </c>
      <c r="G156" s="979" t="s">
        <v>4164</v>
      </c>
      <c r="H156" s="1030">
        <v>14004279</v>
      </c>
      <c r="I156" s="1030">
        <v>10650554</v>
      </c>
      <c r="J156" s="1034">
        <v>0.77510227360967898</v>
      </c>
      <c r="K156" s="1030">
        <v>10854748.493164282</v>
      </c>
      <c r="L156" s="1030">
        <v>10650554</v>
      </c>
      <c r="M156" s="979">
        <v>599</v>
      </c>
    </row>
    <row r="157" spans="1:13" ht="15">
      <c r="A157" s="979" t="s">
        <v>3394</v>
      </c>
      <c r="B157" s="722" t="str">
        <f>CONCATENATE(LEFT(RIGHT(CONCATENATE("000",IFAData_TEA!A157),6),3),"-",(RIGHT(RIGHT(CONCATENATE("000",IFAData_TEA!A157),6),3)))</f>
        <v>015-907</v>
      </c>
      <c r="C157" s="979" t="s">
        <v>2028</v>
      </c>
      <c r="D157" s="979">
        <v>3</v>
      </c>
      <c r="E157" s="979">
        <v>2282</v>
      </c>
      <c r="F157" s="979" t="s">
        <v>4165</v>
      </c>
      <c r="G157" s="979" t="s">
        <v>4162</v>
      </c>
      <c r="H157" s="1030">
        <v>14004279</v>
      </c>
      <c r="I157" s="1030">
        <v>0</v>
      </c>
      <c r="J157" s="1034">
        <v>0</v>
      </c>
      <c r="K157" s="1030">
        <v>0</v>
      </c>
      <c r="L157" s="1030">
        <v>0</v>
      </c>
      <c r="M157" s="979">
        <v>599</v>
      </c>
    </row>
    <row r="158" spans="1:13" ht="15">
      <c r="A158" s="979" t="s">
        <v>3394</v>
      </c>
      <c r="B158" s="722" t="str">
        <f>CONCATENATE(LEFT(RIGHT(CONCATENATE("000",IFAData_TEA!A158),6),3),"-",(RIGHT(RIGHT(CONCATENATE("000",IFAData_TEA!A158),6),3)))</f>
        <v>015-907</v>
      </c>
      <c r="C158" s="979" t="s">
        <v>2028</v>
      </c>
      <c r="D158" s="979">
        <v>5</v>
      </c>
      <c r="E158" s="979">
        <v>2280</v>
      </c>
      <c r="F158" s="979" t="s">
        <v>4166</v>
      </c>
      <c r="G158" s="979" t="s">
        <v>4167</v>
      </c>
      <c r="H158" s="1030">
        <v>8227563</v>
      </c>
      <c r="I158" s="1030">
        <v>2241462</v>
      </c>
      <c r="J158" s="1034">
        <v>0.27179159227587091</v>
      </c>
      <c r="K158" s="1030">
        <v>2236182.4483200414</v>
      </c>
      <c r="L158" s="1030">
        <v>2236182.4483200414</v>
      </c>
      <c r="M158" s="979">
        <v>599</v>
      </c>
    </row>
    <row r="159" spans="1:13" ht="15">
      <c r="A159" s="979" t="s">
        <v>3394</v>
      </c>
      <c r="B159" s="722" t="str">
        <f>CONCATENATE(LEFT(RIGHT(CONCATENATE("000",IFAData_TEA!A159),6),3),"-",(RIGHT(RIGHT(CONCATENATE("000",IFAData_TEA!A159),6),3)))</f>
        <v>015-907</v>
      </c>
      <c r="C159" s="979" t="s">
        <v>2028</v>
      </c>
      <c r="D159" s="979">
        <v>5</v>
      </c>
      <c r="E159" s="979">
        <v>2280</v>
      </c>
      <c r="F159" s="979" t="s">
        <v>4166</v>
      </c>
      <c r="G159" s="979" t="s">
        <v>6192</v>
      </c>
      <c r="H159" s="1030">
        <v>8227563</v>
      </c>
      <c r="I159" s="1030">
        <v>351851</v>
      </c>
      <c r="J159" s="1034">
        <v>4.2664182365731586E-2</v>
      </c>
      <c r="K159" s="1030">
        <v>351022.24825754564</v>
      </c>
      <c r="L159" s="1030">
        <v>351022.24825754564</v>
      </c>
      <c r="M159" s="979">
        <v>599</v>
      </c>
    </row>
    <row r="160" spans="1:13" ht="15">
      <c r="A160" s="979" t="s">
        <v>3394</v>
      </c>
      <c r="B160" s="722" t="str">
        <f>CONCATENATE(LEFT(RIGHT(CONCATENATE("000",IFAData_TEA!A160),6),3),"-",(RIGHT(RIGHT(CONCATENATE("000",IFAData_TEA!A160),6),3)))</f>
        <v>015-907</v>
      </c>
      <c r="C160" s="979" t="s">
        <v>2028</v>
      </c>
      <c r="D160" s="979">
        <v>3</v>
      </c>
      <c r="E160" s="979">
        <v>2282</v>
      </c>
      <c r="F160" s="979" t="s">
        <v>4165</v>
      </c>
      <c r="G160" s="979" t="s">
        <v>4163</v>
      </c>
      <c r="H160" s="1030">
        <v>14004279</v>
      </c>
      <c r="I160" s="1030">
        <v>2682953</v>
      </c>
      <c r="J160" s="1034">
        <v>0.1952539717922569</v>
      </c>
      <c r="K160" s="1030">
        <v>2734391.0968368957</v>
      </c>
      <c r="L160" s="1030">
        <v>2682953</v>
      </c>
      <c r="M160" s="979">
        <v>599</v>
      </c>
    </row>
    <row r="161" spans="1:13" ht="15">
      <c r="A161" s="979" t="s">
        <v>3394</v>
      </c>
      <c r="B161" s="722" t="str">
        <f>CONCATENATE(LEFT(RIGHT(CONCATENATE("000",IFAData_TEA!A161),6),3),"-",(RIGHT(RIGHT(CONCATENATE("000",IFAData_TEA!A161),6),3)))</f>
        <v>015-907</v>
      </c>
      <c r="C161" s="979" t="s">
        <v>2028</v>
      </c>
      <c r="D161" s="979">
        <v>1</v>
      </c>
      <c r="E161" s="979">
        <v>2281</v>
      </c>
      <c r="F161" s="979" t="s">
        <v>4161</v>
      </c>
      <c r="G161" s="979" t="s">
        <v>4164</v>
      </c>
      <c r="H161" s="1030">
        <v>13875000</v>
      </c>
      <c r="I161" s="1030">
        <v>0</v>
      </c>
      <c r="J161" s="1034">
        <v>0</v>
      </c>
      <c r="K161" s="1030">
        <v>0</v>
      </c>
      <c r="L161" s="1030">
        <v>0</v>
      </c>
      <c r="M161" s="979">
        <v>599</v>
      </c>
    </row>
    <row r="162" spans="1:13" ht="15">
      <c r="A162" s="979" t="s">
        <v>3395</v>
      </c>
      <c r="B162" s="722" t="str">
        <f>CONCATENATE(LEFT(RIGHT(CONCATENATE("000",IFAData_TEA!A162),6),3),"-",(RIGHT(RIGHT(CONCATENATE("000",IFAData_TEA!A162),6),3)))</f>
        <v>015-908</v>
      </c>
      <c r="C162" s="979" t="s">
        <v>1932</v>
      </c>
      <c r="D162" s="979">
        <v>3</v>
      </c>
      <c r="E162" s="979">
        <v>2358</v>
      </c>
      <c r="F162" s="979" t="s">
        <v>4168</v>
      </c>
      <c r="G162" s="979" t="s">
        <v>4169</v>
      </c>
      <c r="H162" s="1030">
        <v>2400433</v>
      </c>
      <c r="I162" s="1030">
        <v>0</v>
      </c>
      <c r="J162" s="1034">
        <v>0</v>
      </c>
      <c r="K162" s="1030">
        <v>0</v>
      </c>
      <c r="L162" s="1030">
        <v>0</v>
      </c>
      <c r="M162" s="979">
        <v>599</v>
      </c>
    </row>
    <row r="163" spans="1:13" ht="15">
      <c r="A163" s="979" t="s">
        <v>3395</v>
      </c>
      <c r="B163" s="722" t="str">
        <f>CONCATENATE(LEFT(RIGHT(CONCATENATE("000",IFAData_TEA!A163),6),3),"-",(RIGHT(RIGHT(CONCATENATE("000",IFAData_TEA!A163),6),3)))</f>
        <v>015-908</v>
      </c>
      <c r="C163" s="979" t="s">
        <v>1932</v>
      </c>
      <c r="D163" s="979">
        <v>8</v>
      </c>
      <c r="E163" s="979">
        <v>2356</v>
      </c>
      <c r="F163" s="979" t="s">
        <v>4175</v>
      </c>
      <c r="G163" s="979" t="s">
        <v>4175</v>
      </c>
      <c r="H163" s="1030">
        <v>1990738</v>
      </c>
      <c r="I163" s="1030">
        <v>1442050</v>
      </c>
      <c r="J163" s="1034">
        <v>0.55781242988904478</v>
      </c>
      <c r="K163" s="1030">
        <v>1110458.4010524573</v>
      </c>
      <c r="L163" s="1030">
        <v>1110458.4010524573</v>
      </c>
      <c r="M163" s="979">
        <v>599</v>
      </c>
    </row>
    <row r="164" spans="1:13" ht="15">
      <c r="A164" s="979" t="s">
        <v>3395</v>
      </c>
      <c r="B164" s="722" t="str">
        <f>CONCATENATE(LEFT(RIGHT(CONCATENATE("000",IFAData_TEA!A164),6),3),"-",(RIGHT(RIGHT(CONCATENATE("000",IFAData_TEA!A164),6),3)))</f>
        <v>015-908</v>
      </c>
      <c r="C164" s="979" t="s">
        <v>1932</v>
      </c>
      <c r="D164" s="979">
        <v>6</v>
      </c>
      <c r="E164" s="979">
        <v>2357</v>
      </c>
      <c r="F164" s="979" t="s">
        <v>4172</v>
      </c>
      <c r="G164" s="979" t="s">
        <v>4172</v>
      </c>
      <c r="H164" s="1030">
        <v>2270472</v>
      </c>
      <c r="I164" s="1030">
        <v>0</v>
      </c>
      <c r="J164" s="1034">
        <v>0</v>
      </c>
      <c r="K164" s="1030">
        <v>0</v>
      </c>
      <c r="L164" s="1030">
        <v>0</v>
      </c>
      <c r="M164" s="979">
        <v>599</v>
      </c>
    </row>
    <row r="165" spans="1:13" ht="15">
      <c r="A165" s="979" t="s">
        <v>3395</v>
      </c>
      <c r="B165" s="722" t="str">
        <f>CONCATENATE(LEFT(RIGHT(CONCATENATE("000",IFAData_TEA!A165),6),3),"-",(RIGHT(RIGHT(CONCATENATE("000",IFAData_TEA!A165),6),3)))</f>
        <v>015-908</v>
      </c>
      <c r="C165" s="979" t="s">
        <v>1932</v>
      </c>
      <c r="D165" s="979">
        <v>6</v>
      </c>
      <c r="E165" s="979">
        <v>2357</v>
      </c>
      <c r="F165" s="979" t="s">
        <v>4172</v>
      </c>
      <c r="G165" s="979" t="s">
        <v>4173</v>
      </c>
      <c r="H165" s="1030">
        <v>2270472</v>
      </c>
      <c r="I165" s="1030">
        <v>288018</v>
      </c>
      <c r="J165" s="1034">
        <v>0.15313378271036235</v>
      </c>
      <c r="K165" s="1030">
        <v>347685.96589796181</v>
      </c>
      <c r="L165" s="1030">
        <v>288018</v>
      </c>
      <c r="M165" s="979">
        <v>599</v>
      </c>
    </row>
    <row r="166" spans="1:13" ht="15">
      <c r="A166" s="979" t="s">
        <v>3395</v>
      </c>
      <c r="B166" s="722" t="str">
        <f>CONCATENATE(LEFT(RIGHT(CONCATENATE("000",IFAData_TEA!A166),6),3),"-",(RIGHT(RIGHT(CONCATENATE("000",IFAData_TEA!A166),6),3)))</f>
        <v>015-908</v>
      </c>
      <c r="C166" s="979" t="s">
        <v>1932</v>
      </c>
      <c r="D166" s="979">
        <v>6</v>
      </c>
      <c r="E166" s="979">
        <v>2357</v>
      </c>
      <c r="F166" s="979" t="s">
        <v>4172</v>
      </c>
      <c r="G166" s="979" t="s">
        <v>4170</v>
      </c>
      <c r="H166" s="1030">
        <v>2270472</v>
      </c>
      <c r="I166" s="1030">
        <v>1326070</v>
      </c>
      <c r="J166" s="1034">
        <v>0.70504661249897649</v>
      </c>
      <c r="K166" s="1030">
        <v>1600788.5923737762</v>
      </c>
      <c r="L166" s="1030">
        <v>1326070</v>
      </c>
      <c r="M166" s="979">
        <v>599</v>
      </c>
    </row>
    <row r="167" spans="1:13" ht="15">
      <c r="A167" s="979" t="s">
        <v>3395</v>
      </c>
      <c r="B167" s="722" t="str">
        <f>CONCATENATE(LEFT(RIGHT(CONCATENATE("000",IFAData_TEA!A167),6),3),"-",(RIGHT(RIGHT(CONCATENATE("000",IFAData_TEA!A167),6),3)))</f>
        <v>015-908</v>
      </c>
      <c r="C167" s="979" t="s">
        <v>1932</v>
      </c>
      <c r="D167" s="979">
        <v>3</v>
      </c>
      <c r="E167" s="979">
        <v>2358</v>
      </c>
      <c r="F167" s="979" t="s">
        <v>4168</v>
      </c>
      <c r="G167" s="979" t="s">
        <v>4171</v>
      </c>
      <c r="H167" s="1030">
        <v>2400433</v>
      </c>
      <c r="I167" s="1030">
        <v>2056537</v>
      </c>
      <c r="J167" s="1034">
        <v>0.92043370825842219</v>
      </c>
      <c r="K167" s="1030">
        <v>2209439.4476158894</v>
      </c>
      <c r="L167" s="1030">
        <v>2056537</v>
      </c>
      <c r="M167" s="979">
        <v>599</v>
      </c>
    </row>
    <row r="168" spans="1:13" ht="15">
      <c r="A168" s="979" t="s">
        <v>3395</v>
      </c>
      <c r="B168" s="722" t="str">
        <f>CONCATENATE(LEFT(RIGHT(CONCATENATE("000",IFAData_TEA!A168),6),3),"-",(RIGHT(RIGHT(CONCATENATE("000",IFAData_TEA!A168),6),3)))</f>
        <v>015-908</v>
      </c>
      <c r="C168" s="979" t="s">
        <v>1932</v>
      </c>
      <c r="D168" s="979">
        <v>3</v>
      </c>
      <c r="E168" s="979">
        <v>2358</v>
      </c>
      <c r="F168" s="979" t="s">
        <v>4168</v>
      </c>
      <c r="G168" s="979" t="s">
        <v>4170</v>
      </c>
      <c r="H168" s="1030">
        <v>2400433</v>
      </c>
      <c r="I168" s="1030">
        <v>177776</v>
      </c>
      <c r="J168" s="1034">
        <v>7.9566291741577838E-2</v>
      </c>
      <c r="K168" s="1030">
        <v>190993.55238411092</v>
      </c>
      <c r="L168" s="1030">
        <v>177776</v>
      </c>
      <c r="M168" s="979">
        <v>599</v>
      </c>
    </row>
    <row r="169" spans="1:13" ht="15">
      <c r="A169" s="979" t="s">
        <v>3395</v>
      </c>
      <c r="B169" s="722" t="str">
        <f>CONCATENATE(LEFT(RIGHT(CONCATENATE("000",IFAData_TEA!A169),6),3),"-",(RIGHT(RIGHT(CONCATENATE("000",IFAData_TEA!A169),6),3)))</f>
        <v>015-908</v>
      </c>
      <c r="C169" s="979" t="s">
        <v>1932</v>
      </c>
      <c r="D169" s="979">
        <v>8</v>
      </c>
      <c r="E169" s="979">
        <v>2356</v>
      </c>
      <c r="F169" s="979" t="s">
        <v>4175</v>
      </c>
      <c r="G169" s="979" t="s">
        <v>4176</v>
      </c>
      <c r="H169" s="1030">
        <v>1990738</v>
      </c>
      <c r="I169" s="1030">
        <v>828600</v>
      </c>
      <c r="J169" s="1034">
        <v>0.32051827565345342</v>
      </c>
      <c r="K169" s="1030">
        <v>638067.91103780456</v>
      </c>
      <c r="L169" s="1030">
        <v>638067.91103780456</v>
      </c>
      <c r="M169" s="979">
        <v>599</v>
      </c>
    </row>
    <row r="170" spans="1:13" ht="15">
      <c r="A170" s="979" t="s">
        <v>3395</v>
      </c>
      <c r="B170" s="722" t="str">
        <f>CONCATENATE(LEFT(RIGHT(CONCATENATE("000",IFAData_TEA!A170),6),3),"-",(RIGHT(RIGHT(CONCATENATE("000",IFAData_TEA!A170),6),3)))</f>
        <v>015-908</v>
      </c>
      <c r="C170" s="979" t="s">
        <v>1932</v>
      </c>
      <c r="D170" s="979">
        <v>6</v>
      </c>
      <c r="E170" s="979">
        <v>2357</v>
      </c>
      <c r="F170" s="979" t="s">
        <v>4172</v>
      </c>
      <c r="G170" s="979" t="s">
        <v>4174</v>
      </c>
      <c r="H170" s="1030">
        <v>2270472</v>
      </c>
      <c r="I170" s="1030">
        <v>266738</v>
      </c>
      <c r="J170" s="1034">
        <v>0.14181960479066114</v>
      </c>
      <c r="K170" s="1030">
        <v>321997.441728262</v>
      </c>
      <c r="L170" s="1030">
        <v>266738</v>
      </c>
      <c r="M170" s="979">
        <v>599</v>
      </c>
    </row>
    <row r="171" spans="1:13" ht="15">
      <c r="A171" s="979" t="s">
        <v>3395</v>
      </c>
      <c r="B171" s="722" t="str">
        <f>CONCATENATE(LEFT(RIGHT(CONCATENATE("000",IFAData_TEA!A171),6),3),"-",(RIGHT(RIGHT(CONCATENATE("000",IFAData_TEA!A171),6),3)))</f>
        <v>015-908</v>
      </c>
      <c r="C171" s="979" t="s">
        <v>1932</v>
      </c>
      <c r="D171" s="979">
        <v>3</v>
      </c>
      <c r="E171" s="979">
        <v>2358</v>
      </c>
      <c r="F171" s="979" t="s">
        <v>4168</v>
      </c>
      <c r="G171" s="979" t="s">
        <v>4168</v>
      </c>
      <c r="H171" s="1030">
        <v>2400433</v>
      </c>
      <c r="I171" s="1030">
        <v>0</v>
      </c>
      <c r="J171" s="1034">
        <v>0</v>
      </c>
      <c r="K171" s="1030">
        <v>0</v>
      </c>
      <c r="L171" s="1030">
        <v>0</v>
      </c>
      <c r="M171" s="979">
        <v>599</v>
      </c>
    </row>
    <row r="172" spans="1:13" ht="15">
      <c r="A172" s="979" t="s">
        <v>3395</v>
      </c>
      <c r="B172" s="722" t="str">
        <f>CONCATENATE(LEFT(RIGHT(CONCATENATE("000",IFAData_TEA!A172),6),3),"-",(RIGHT(RIGHT(CONCATENATE("000",IFAData_TEA!A172),6),3)))</f>
        <v>015-908</v>
      </c>
      <c r="C172" s="979" t="s">
        <v>1932</v>
      </c>
      <c r="D172" s="979">
        <v>8</v>
      </c>
      <c r="E172" s="979">
        <v>2356</v>
      </c>
      <c r="F172" s="979" t="s">
        <v>4175</v>
      </c>
      <c r="G172" s="979" t="s">
        <v>4170</v>
      </c>
      <c r="H172" s="1030">
        <v>1990738</v>
      </c>
      <c r="I172" s="1030">
        <v>314538</v>
      </c>
      <c r="J172" s="1034">
        <v>0.12166929445750174</v>
      </c>
      <c r="K172" s="1030">
        <v>242211.6879097381</v>
      </c>
      <c r="L172" s="1030">
        <v>242211.6879097381</v>
      </c>
      <c r="M172" s="979">
        <v>599</v>
      </c>
    </row>
    <row r="173" spans="1:13" ht="15">
      <c r="A173" s="979" t="s">
        <v>3396</v>
      </c>
      <c r="B173" s="722" t="str">
        <f>CONCATENATE(LEFT(RIGHT(CONCATENATE("000",IFAData_TEA!A173),6),3),"-",(RIGHT(RIGHT(CONCATENATE("000",IFAData_TEA!A173),6),3)))</f>
        <v>015-909</v>
      </c>
      <c r="C173" s="979" t="s">
        <v>1931</v>
      </c>
      <c r="D173" s="979">
        <v>7</v>
      </c>
      <c r="E173" s="979">
        <v>2352</v>
      </c>
      <c r="F173" s="979" t="s">
        <v>4183</v>
      </c>
      <c r="G173" s="979" t="s">
        <v>4183</v>
      </c>
      <c r="H173" s="1030">
        <v>305924</v>
      </c>
      <c r="I173" s="1030">
        <v>0</v>
      </c>
      <c r="J173" s="1034">
        <v>0</v>
      </c>
      <c r="K173" s="1030">
        <v>0</v>
      </c>
      <c r="L173" s="1030">
        <v>0</v>
      </c>
      <c r="M173" s="979">
        <v>599</v>
      </c>
    </row>
    <row r="174" spans="1:13" ht="15">
      <c r="A174" s="979" t="s">
        <v>3396</v>
      </c>
      <c r="B174" s="722" t="str">
        <f>CONCATENATE(LEFT(RIGHT(CONCATENATE("000",IFAData_TEA!A174),6),3),"-",(RIGHT(RIGHT(CONCATENATE("000",IFAData_TEA!A174),6),3)))</f>
        <v>015-909</v>
      </c>
      <c r="C174" s="979" t="s">
        <v>1931</v>
      </c>
      <c r="D174" s="979">
        <v>7</v>
      </c>
      <c r="E174" s="979">
        <v>2352</v>
      </c>
      <c r="F174" s="979" t="s">
        <v>4183</v>
      </c>
      <c r="G174" s="979" t="s">
        <v>6193</v>
      </c>
      <c r="H174" s="1030">
        <v>305924</v>
      </c>
      <c r="I174" s="1030">
        <v>292112</v>
      </c>
      <c r="J174" s="1034">
        <v>1</v>
      </c>
      <c r="K174" s="1030">
        <v>305924</v>
      </c>
      <c r="L174" s="1030">
        <v>292112</v>
      </c>
      <c r="M174" s="979">
        <v>599</v>
      </c>
    </row>
    <row r="175" spans="1:13" ht="15">
      <c r="A175" s="979" t="s">
        <v>3396</v>
      </c>
      <c r="B175" s="722" t="str">
        <f>CONCATENATE(LEFT(RIGHT(CONCATENATE("000",IFAData_TEA!A175),6),3),"-",(RIGHT(RIGHT(CONCATENATE("000",IFAData_TEA!A175),6),3)))</f>
        <v>015-909</v>
      </c>
      <c r="C175" s="979" t="s">
        <v>1931</v>
      </c>
      <c r="D175" s="979">
        <v>5</v>
      </c>
      <c r="E175" s="979">
        <v>2353</v>
      </c>
      <c r="F175" s="979" t="s">
        <v>4180</v>
      </c>
      <c r="G175" s="979" t="s">
        <v>4179</v>
      </c>
      <c r="H175" s="1030">
        <v>460677</v>
      </c>
      <c r="I175" s="1030">
        <v>271447</v>
      </c>
      <c r="J175" s="1034">
        <v>0.65087087461515591</v>
      </c>
      <c r="K175" s="1030">
        <v>299841.24190508621</v>
      </c>
      <c r="L175" s="1030">
        <v>271447</v>
      </c>
      <c r="M175" s="979">
        <v>599</v>
      </c>
    </row>
    <row r="176" spans="1:13" ht="15">
      <c r="A176" s="979" t="s">
        <v>3396</v>
      </c>
      <c r="B176" s="722" t="str">
        <f>CONCATENATE(LEFT(RIGHT(CONCATENATE("000",IFAData_TEA!A176),6),3),"-",(RIGHT(RIGHT(CONCATENATE("000",IFAData_TEA!A176),6),3)))</f>
        <v>015-909</v>
      </c>
      <c r="C176" s="979" t="s">
        <v>1931</v>
      </c>
      <c r="D176" s="979">
        <v>4</v>
      </c>
      <c r="E176" s="979">
        <v>2354</v>
      </c>
      <c r="F176" s="979" t="s">
        <v>4177</v>
      </c>
      <c r="G176" s="979" t="s">
        <v>4178</v>
      </c>
      <c r="H176" s="1030">
        <v>637500</v>
      </c>
      <c r="I176" s="1030">
        <v>285431</v>
      </c>
      <c r="J176" s="1034">
        <v>0.49954321437072091</v>
      </c>
      <c r="K176" s="1030">
        <v>318458.79916133458</v>
      </c>
      <c r="L176" s="1030">
        <v>285431</v>
      </c>
      <c r="M176" s="979">
        <v>599</v>
      </c>
    </row>
    <row r="177" spans="1:13" ht="15">
      <c r="A177" s="979" t="s">
        <v>3396</v>
      </c>
      <c r="B177" s="722" t="str">
        <f>CONCATENATE(LEFT(RIGHT(CONCATENATE("000",IFAData_TEA!A177),6),3),"-",(RIGHT(RIGHT(CONCATENATE("000",IFAData_TEA!A177),6),3)))</f>
        <v>015-909</v>
      </c>
      <c r="C177" s="979" t="s">
        <v>1931</v>
      </c>
      <c r="D177" s="979">
        <v>4</v>
      </c>
      <c r="E177" s="979">
        <v>2354</v>
      </c>
      <c r="F177" s="979" t="s">
        <v>4177</v>
      </c>
      <c r="G177" s="979" t="s">
        <v>4179</v>
      </c>
      <c r="H177" s="1030">
        <v>637500</v>
      </c>
      <c r="I177" s="1030">
        <v>285953</v>
      </c>
      <c r="J177" s="1034">
        <v>0.50045678562927909</v>
      </c>
      <c r="K177" s="1030">
        <v>319041.20083866542</v>
      </c>
      <c r="L177" s="1030">
        <v>285953</v>
      </c>
      <c r="M177" s="979">
        <v>599</v>
      </c>
    </row>
    <row r="178" spans="1:13" ht="15">
      <c r="A178" s="979" t="s">
        <v>3396</v>
      </c>
      <c r="B178" s="722" t="str">
        <f>CONCATENATE(LEFT(RIGHT(CONCATENATE("000",IFAData_TEA!A178),6),3),"-",(RIGHT(RIGHT(CONCATENATE("000",IFAData_TEA!A178),6),3)))</f>
        <v>015-909</v>
      </c>
      <c r="C178" s="979" t="s">
        <v>1931</v>
      </c>
      <c r="D178" s="979">
        <v>4</v>
      </c>
      <c r="E178" s="979">
        <v>2354</v>
      </c>
      <c r="F178" s="979" t="s">
        <v>4177</v>
      </c>
      <c r="G178" s="979" t="s">
        <v>4177</v>
      </c>
      <c r="H178" s="1030">
        <v>637500</v>
      </c>
      <c r="I178" s="1030">
        <v>0</v>
      </c>
      <c r="J178" s="1034">
        <v>0</v>
      </c>
      <c r="K178" s="1030">
        <v>0</v>
      </c>
      <c r="L178" s="1030">
        <v>0</v>
      </c>
      <c r="M178" s="979">
        <v>599</v>
      </c>
    </row>
    <row r="179" spans="1:13" ht="15">
      <c r="A179" s="979" t="s">
        <v>3396</v>
      </c>
      <c r="B179" s="722" t="str">
        <f>CONCATENATE(LEFT(RIGHT(CONCATENATE("000",IFAData_TEA!A179),6),3),"-",(RIGHT(RIGHT(CONCATENATE("000",IFAData_TEA!A179),6),3)))</f>
        <v>015-909</v>
      </c>
      <c r="C179" s="979" t="s">
        <v>1931</v>
      </c>
      <c r="D179" s="979">
        <v>6</v>
      </c>
      <c r="E179" s="979">
        <v>2351</v>
      </c>
      <c r="F179" s="979" t="s">
        <v>4181</v>
      </c>
      <c r="G179" s="979" t="s">
        <v>4181</v>
      </c>
      <c r="H179" s="1030">
        <v>230217</v>
      </c>
      <c r="I179" s="1030">
        <v>0</v>
      </c>
      <c r="J179" s="1034">
        <v>0</v>
      </c>
      <c r="K179" s="1030">
        <v>0</v>
      </c>
      <c r="L179" s="1030">
        <v>0</v>
      </c>
      <c r="M179" s="979">
        <v>599</v>
      </c>
    </row>
    <row r="180" spans="1:13" ht="15">
      <c r="A180" s="979" t="s">
        <v>3396</v>
      </c>
      <c r="B180" s="722" t="str">
        <f>CONCATENATE(LEFT(RIGHT(CONCATENATE("000",IFAData_TEA!A180),6),3),"-",(RIGHT(RIGHT(CONCATENATE("000",IFAData_TEA!A180),6),3)))</f>
        <v>015-909</v>
      </c>
      <c r="C180" s="979" t="s">
        <v>1931</v>
      </c>
      <c r="D180" s="979">
        <v>5</v>
      </c>
      <c r="E180" s="979">
        <v>2353</v>
      </c>
      <c r="F180" s="979" t="s">
        <v>4180</v>
      </c>
      <c r="G180" s="979" t="s">
        <v>4180</v>
      </c>
      <c r="H180" s="1030">
        <v>460677</v>
      </c>
      <c r="I180" s="1030">
        <v>0</v>
      </c>
      <c r="J180" s="1034">
        <v>0</v>
      </c>
      <c r="K180" s="1030">
        <v>0</v>
      </c>
      <c r="L180" s="1030">
        <v>0</v>
      </c>
      <c r="M180" s="979">
        <v>599</v>
      </c>
    </row>
    <row r="181" spans="1:13" ht="15">
      <c r="A181" s="979" t="s">
        <v>3396</v>
      </c>
      <c r="B181" s="722" t="str">
        <f>CONCATENATE(LEFT(RIGHT(CONCATENATE("000",IFAData_TEA!A181),6),3),"-",(RIGHT(RIGHT(CONCATENATE("000",IFAData_TEA!A181),6),3)))</f>
        <v>015-909</v>
      </c>
      <c r="C181" s="979" t="s">
        <v>1931</v>
      </c>
      <c r="D181" s="979">
        <v>5</v>
      </c>
      <c r="E181" s="979">
        <v>2353</v>
      </c>
      <c r="F181" s="979" t="s">
        <v>4180</v>
      </c>
      <c r="G181" s="979" t="s">
        <v>4178</v>
      </c>
      <c r="H181" s="1030">
        <v>460677</v>
      </c>
      <c r="I181" s="1030">
        <v>145605</v>
      </c>
      <c r="J181" s="1034">
        <v>0.34912912538484409</v>
      </c>
      <c r="K181" s="1030">
        <v>160835.75809491382</v>
      </c>
      <c r="L181" s="1030">
        <v>145605</v>
      </c>
      <c r="M181" s="979">
        <v>599</v>
      </c>
    </row>
    <row r="182" spans="1:13" ht="15">
      <c r="A182" s="979" t="s">
        <v>3396</v>
      </c>
      <c r="B182" s="722" t="str">
        <f>CONCATENATE(LEFT(RIGHT(CONCATENATE("000",IFAData_TEA!A182),6),3),"-",(RIGHT(RIGHT(CONCATENATE("000",IFAData_TEA!A182),6),3)))</f>
        <v>015-909</v>
      </c>
      <c r="C182" s="979" t="s">
        <v>1931</v>
      </c>
      <c r="D182" s="979">
        <v>6</v>
      </c>
      <c r="E182" s="979">
        <v>2351</v>
      </c>
      <c r="F182" s="979" t="s">
        <v>4181</v>
      </c>
      <c r="G182" s="979" t="s">
        <v>4182</v>
      </c>
      <c r="H182" s="1030">
        <v>230217</v>
      </c>
      <c r="I182" s="1030">
        <v>229984</v>
      </c>
      <c r="J182" s="1034">
        <v>1</v>
      </c>
      <c r="K182" s="1030">
        <v>230217</v>
      </c>
      <c r="L182" s="1030">
        <v>229984</v>
      </c>
      <c r="M182" s="979">
        <v>599</v>
      </c>
    </row>
    <row r="183" spans="1:13" ht="15">
      <c r="A183" s="979" t="s">
        <v>3396</v>
      </c>
      <c r="B183" s="722" t="str">
        <f>CONCATENATE(LEFT(RIGHT(CONCATENATE("000",IFAData_TEA!A183),6),3),"-",(RIGHT(RIGHT(CONCATENATE("000",IFAData_TEA!A183),6),3)))</f>
        <v>015-909</v>
      </c>
      <c r="C183" s="979" t="s">
        <v>1931</v>
      </c>
      <c r="D183" s="979">
        <v>10</v>
      </c>
      <c r="E183" s="979">
        <v>2355</v>
      </c>
      <c r="F183" s="979" t="s">
        <v>4179</v>
      </c>
      <c r="G183" s="979" t="s">
        <v>4179</v>
      </c>
      <c r="H183" s="1030">
        <v>732634</v>
      </c>
      <c r="I183" s="1030">
        <v>730600</v>
      </c>
      <c r="J183" s="1034">
        <v>1</v>
      </c>
      <c r="K183" s="1030">
        <v>732634</v>
      </c>
      <c r="L183" s="1030">
        <v>730600</v>
      </c>
      <c r="M183" s="979">
        <v>599</v>
      </c>
    </row>
    <row r="184" spans="1:13" ht="15">
      <c r="A184" s="979" t="s">
        <v>3397</v>
      </c>
      <c r="B184" s="722" t="str">
        <f>CONCATENATE(LEFT(RIGHT(CONCATENATE("000",IFAData_TEA!A184),6),3),"-",(RIGHT(RIGHT(CONCATENATE("000",IFAData_TEA!A184),6),3)))</f>
        <v>015-910</v>
      </c>
      <c r="C184" s="979" t="s">
        <v>2287</v>
      </c>
      <c r="D184" s="979">
        <v>1</v>
      </c>
      <c r="E184" s="979">
        <v>2147</v>
      </c>
      <c r="F184" s="979" t="s">
        <v>4184</v>
      </c>
      <c r="G184" s="979" t="s">
        <v>4184</v>
      </c>
      <c r="H184" s="1030">
        <v>6051325</v>
      </c>
      <c r="I184" s="1030">
        <v>0</v>
      </c>
      <c r="J184" s="1034">
        <v>0</v>
      </c>
      <c r="K184" s="1030">
        <v>0</v>
      </c>
      <c r="L184" s="1030">
        <v>0</v>
      </c>
      <c r="M184" s="979">
        <v>599</v>
      </c>
    </row>
    <row r="185" spans="1:13" ht="15">
      <c r="A185" s="979" t="s">
        <v>3397</v>
      </c>
      <c r="B185" s="722" t="str">
        <f>CONCATENATE(LEFT(RIGHT(CONCATENATE("000",IFAData_TEA!A185),6),3),"-",(RIGHT(RIGHT(CONCATENATE("000",IFAData_TEA!A185),6),3)))</f>
        <v>015-910</v>
      </c>
      <c r="C185" s="979" t="s">
        <v>2287</v>
      </c>
      <c r="D185" s="979">
        <v>1</v>
      </c>
      <c r="E185" s="979">
        <v>2147</v>
      </c>
      <c r="F185" s="979" t="s">
        <v>4184</v>
      </c>
      <c r="G185" s="979" t="s">
        <v>4188</v>
      </c>
      <c r="H185" s="1030">
        <v>6051325</v>
      </c>
      <c r="I185" s="1030">
        <v>813480</v>
      </c>
      <c r="J185" s="1034">
        <v>0.35639462595387744</v>
      </c>
      <c r="K185" s="1030">
        <v>2156659.7099003475</v>
      </c>
      <c r="L185" s="1030">
        <v>813480</v>
      </c>
      <c r="M185" s="979">
        <v>599</v>
      </c>
    </row>
    <row r="186" spans="1:13" ht="15">
      <c r="A186" s="979" t="s">
        <v>3397</v>
      </c>
      <c r="B186" s="722" t="str">
        <f>CONCATENATE(LEFT(RIGHT(CONCATENATE("000",IFAData_TEA!A186),6),3),"-",(RIGHT(RIGHT(CONCATENATE("000",IFAData_TEA!A186),6),3)))</f>
        <v>015-910</v>
      </c>
      <c r="C186" s="979" t="s">
        <v>2287</v>
      </c>
      <c r="D186" s="979">
        <v>1</v>
      </c>
      <c r="E186" s="979">
        <v>2147</v>
      </c>
      <c r="F186" s="979" t="s">
        <v>4184</v>
      </c>
      <c r="G186" s="979" t="s">
        <v>4186</v>
      </c>
      <c r="H186" s="1030">
        <v>6051325</v>
      </c>
      <c r="I186" s="1030">
        <v>448875</v>
      </c>
      <c r="J186" s="1034">
        <v>0.19665712460668575</v>
      </c>
      <c r="K186" s="1030">
        <v>1190036.1745605527</v>
      </c>
      <c r="L186" s="1030">
        <v>448875</v>
      </c>
      <c r="M186" s="979">
        <v>599</v>
      </c>
    </row>
    <row r="187" spans="1:13" ht="15">
      <c r="A187" s="979" t="s">
        <v>3397</v>
      </c>
      <c r="B187" s="722" t="str">
        <f>CONCATENATE(LEFT(RIGHT(CONCATENATE("000",IFAData_TEA!A187),6),3),"-",(RIGHT(RIGHT(CONCATENATE("000",IFAData_TEA!A187),6),3)))</f>
        <v>015-910</v>
      </c>
      <c r="C187" s="979" t="s">
        <v>2287</v>
      </c>
      <c r="D187" s="979">
        <v>1</v>
      </c>
      <c r="E187" s="979">
        <v>2147</v>
      </c>
      <c r="F187" s="979" t="s">
        <v>4184</v>
      </c>
      <c r="G187" s="979" t="s">
        <v>4187</v>
      </c>
      <c r="H187" s="1030">
        <v>6051325</v>
      </c>
      <c r="I187" s="1030">
        <v>1020171</v>
      </c>
      <c r="J187" s="1034">
        <v>0.44694824943943684</v>
      </c>
      <c r="K187" s="1030">
        <v>2704629.1155391</v>
      </c>
      <c r="L187" s="1030">
        <v>1020171</v>
      </c>
      <c r="M187" s="979">
        <v>599</v>
      </c>
    </row>
    <row r="188" spans="1:13" ht="15">
      <c r="A188" s="979" t="s">
        <v>3397</v>
      </c>
      <c r="B188" s="722" t="str">
        <f>CONCATENATE(LEFT(RIGHT(CONCATENATE("000",IFAData_TEA!A188),6),3),"-",(RIGHT(RIGHT(CONCATENATE("000",IFAData_TEA!A188),6),3)))</f>
        <v>015-910</v>
      </c>
      <c r="C188" s="979" t="s">
        <v>2287</v>
      </c>
      <c r="D188" s="979">
        <v>1</v>
      </c>
      <c r="E188" s="979">
        <v>2147</v>
      </c>
      <c r="F188" s="979" t="s">
        <v>4184</v>
      </c>
      <c r="G188" s="979" t="s">
        <v>4185</v>
      </c>
      <c r="H188" s="1030">
        <v>6051325</v>
      </c>
      <c r="I188" s="1030">
        <v>0</v>
      </c>
      <c r="J188" s="1034">
        <v>0</v>
      </c>
      <c r="K188" s="1030">
        <v>0</v>
      </c>
      <c r="L188" s="1030">
        <v>0</v>
      </c>
      <c r="M188" s="979">
        <v>599</v>
      </c>
    </row>
    <row r="189" spans="1:13" ht="15">
      <c r="A189" s="979" t="s">
        <v>3398</v>
      </c>
      <c r="B189" s="722" t="str">
        <f>CONCATENATE(LEFT(RIGHT(CONCATENATE("000",IFAData_TEA!A189),6),3),"-",(RIGHT(RIGHT(CONCATENATE("000",IFAData_TEA!A189),6),3)))</f>
        <v>015-911</v>
      </c>
      <c r="C189" s="979" t="s">
        <v>1064</v>
      </c>
      <c r="D189" s="979">
        <v>3</v>
      </c>
      <c r="E189" s="979">
        <v>1780</v>
      </c>
      <c r="F189" s="979" t="s">
        <v>4189</v>
      </c>
      <c r="G189" s="979" t="s">
        <v>4191</v>
      </c>
      <c r="H189" s="1030">
        <v>1803880</v>
      </c>
      <c r="I189" s="1030">
        <v>281466</v>
      </c>
      <c r="J189" s="1034">
        <v>0.13208239558364476</v>
      </c>
      <c r="K189" s="1030">
        <v>238260.79174542511</v>
      </c>
      <c r="L189" s="1030">
        <v>238260.79174542511</v>
      </c>
      <c r="M189" s="979">
        <v>599</v>
      </c>
    </row>
    <row r="190" spans="1:13" ht="15">
      <c r="A190" s="979" t="s">
        <v>3398</v>
      </c>
      <c r="B190" s="722" t="str">
        <f>CONCATENATE(LEFT(RIGHT(CONCATENATE("000",IFAData_TEA!A190),6),3),"-",(RIGHT(RIGHT(CONCATENATE("000",IFAData_TEA!A190),6),3)))</f>
        <v>015-911</v>
      </c>
      <c r="C190" s="979" t="s">
        <v>1064</v>
      </c>
      <c r="D190" s="979">
        <v>6</v>
      </c>
      <c r="E190" s="979">
        <v>1779</v>
      </c>
      <c r="F190" s="979" t="s">
        <v>4192</v>
      </c>
      <c r="G190" s="979" t="s">
        <v>4192</v>
      </c>
      <c r="H190" s="1030">
        <v>1625293</v>
      </c>
      <c r="I190" s="1030">
        <v>0</v>
      </c>
      <c r="J190" s="1034">
        <v>0</v>
      </c>
      <c r="K190" s="1030">
        <v>0</v>
      </c>
      <c r="L190" s="1030">
        <v>0</v>
      </c>
      <c r="M190" s="979">
        <v>599</v>
      </c>
    </row>
    <row r="191" spans="1:13" ht="15">
      <c r="A191" s="979" t="s">
        <v>3398</v>
      </c>
      <c r="B191" s="722" t="str">
        <f>CONCATENATE(LEFT(RIGHT(CONCATENATE("000",IFAData_TEA!A191),6),3),"-",(RIGHT(RIGHT(CONCATENATE("000",IFAData_TEA!A191),6),3)))</f>
        <v>015-911</v>
      </c>
      <c r="C191" s="979" t="s">
        <v>1064</v>
      </c>
      <c r="D191" s="979">
        <v>9</v>
      </c>
      <c r="E191" s="979">
        <v>1781</v>
      </c>
      <c r="F191" s="979" t="s">
        <v>4194</v>
      </c>
      <c r="G191" s="979" t="s">
        <v>6194</v>
      </c>
      <c r="H191" s="1030">
        <v>2096250</v>
      </c>
      <c r="I191" s="1030">
        <v>398901</v>
      </c>
      <c r="J191" s="1034">
        <v>0.10825906881150621</v>
      </c>
      <c r="K191" s="1030">
        <v>226938.07299611988</v>
      </c>
      <c r="L191" s="1030">
        <v>226938.07299611988</v>
      </c>
      <c r="M191" s="979">
        <v>599</v>
      </c>
    </row>
    <row r="192" spans="1:13" ht="15">
      <c r="A192" s="979" t="s">
        <v>3398</v>
      </c>
      <c r="B192" s="722" t="str">
        <f>CONCATENATE(LEFT(RIGHT(CONCATENATE("000",IFAData_TEA!A192),6),3),"-",(RIGHT(RIGHT(CONCATENATE("000",IFAData_TEA!A192),6),3)))</f>
        <v>015-911</v>
      </c>
      <c r="C192" s="979" t="s">
        <v>1064</v>
      </c>
      <c r="D192" s="979">
        <v>6</v>
      </c>
      <c r="E192" s="979">
        <v>1779</v>
      </c>
      <c r="F192" s="979" t="s">
        <v>4192</v>
      </c>
      <c r="G192" s="979" t="s">
        <v>4193</v>
      </c>
      <c r="H192" s="1030">
        <v>1625293</v>
      </c>
      <c r="I192" s="1030">
        <v>1634100</v>
      </c>
      <c r="J192" s="1034">
        <v>1</v>
      </c>
      <c r="K192" s="1030">
        <v>1625293</v>
      </c>
      <c r="L192" s="1030">
        <v>1625293</v>
      </c>
      <c r="M192" s="979">
        <v>599</v>
      </c>
    </row>
    <row r="193" spans="1:13" ht="15">
      <c r="A193" s="979" t="s">
        <v>3398</v>
      </c>
      <c r="B193" s="722" t="str">
        <f>CONCATENATE(LEFT(RIGHT(CONCATENATE("000",IFAData_TEA!A193),6),3),"-",(RIGHT(RIGHT(CONCATENATE("000",IFAData_TEA!A193),6),3)))</f>
        <v>015-911</v>
      </c>
      <c r="C193" s="979" t="s">
        <v>1064</v>
      </c>
      <c r="D193" s="979">
        <v>3</v>
      </c>
      <c r="E193" s="979">
        <v>1780</v>
      </c>
      <c r="F193" s="979" t="s">
        <v>4189</v>
      </c>
      <c r="G193" s="979" t="s">
        <v>4189</v>
      </c>
      <c r="H193" s="1030">
        <v>1803880</v>
      </c>
      <c r="I193" s="1030">
        <v>0</v>
      </c>
      <c r="J193" s="1034">
        <v>0</v>
      </c>
      <c r="K193" s="1030">
        <v>0</v>
      </c>
      <c r="L193" s="1030">
        <v>0</v>
      </c>
      <c r="M193" s="979">
        <v>599</v>
      </c>
    </row>
    <row r="194" spans="1:13" ht="15">
      <c r="A194" s="979" t="s">
        <v>3398</v>
      </c>
      <c r="B194" s="722" t="str">
        <f>CONCATENATE(LEFT(RIGHT(CONCATENATE("000",IFAData_TEA!A194),6),3),"-",(RIGHT(RIGHT(CONCATENATE("000",IFAData_TEA!A194),6),3)))</f>
        <v>015-911</v>
      </c>
      <c r="C194" s="979" t="s">
        <v>1064</v>
      </c>
      <c r="D194" s="979">
        <v>9</v>
      </c>
      <c r="E194" s="979">
        <v>1781</v>
      </c>
      <c r="F194" s="979" t="s">
        <v>4194</v>
      </c>
      <c r="G194" s="979" t="s">
        <v>6195</v>
      </c>
      <c r="H194" s="1030">
        <v>2096250</v>
      </c>
      <c r="I194" s="1030">
        <v>220025</v>
      </c>
      <c r="J194" s="1034">
        <v>5.971331637486909E-2</v>
      </c>
      <c r="K194" s="1030">
        <v>125174.03945081933</v>
      </c>
      <c r="L194" s="1030">
        <v>125174.03945081933</v>
      </c>
      <c r="M194" s="979">
        <v>599</v>
      </c>
    </row>
    <row r="195" spans="1:13" ht="15">
      <c r="A195" s="979" t="s">
        <v>3398</v>
      </c>
      <c r="B195" s="722" t="str">
        <f>CONCATENATE(LEFT(RIGHT(CONCATENATE("000",IFAData_TEA!A195),6),3),"-",(RIGHT(RIGHT(CONCATENATE("000",IFAData_TEA!A195),6),3)))</f>
        <v>015-911</v>
      </c>
      <c r="C195" s="979" t="s">
        <v>1064</v>
      </c>
      <c r="D195" s="979">
        <v>3</v>
      </c>
      <c r="E195" s="979">
        <v>1780</v>
      </c>
      <c r="F195" s="979" t="s">
        <v>4189</v>
      </c>
      <c r="G195" s="979" t="s">
        <v>4190</v>
      </c>
      <c r="H195" s="1030">
        <v>1803880</v>
      </c>
      <c r="I195" s="1030">
        <v>1849522</v>
      </c>
      <c r="J195" s="1034">
        <v>0.86791760441635524</v>
      </c>
      <c r="K195" s="1030">
        <v>1565619.2082545748</v>
      </c>
      <c r="L195" s="1030">
        <v>1565619.2082545748</v>
      </c>
      <c r="M195" s="979">
        <v>599</v>
      </c>
    </row>
    <row r="196" spans="1:13" ht="15">
      <c r="A196" s="979" t="s">
        <v>3398</v>
      </c>
      <c r="B196" s="722" t="str">
        <f>CONCATENATE(LEFT(RIGHT(CONCATENATE("000",IFAData_TEA!A196),6),3),"-",(RIGHT(RIGHT(CONCATENATE("000",IFAData_TEA!A196),6),3)))</f>
        <v>015-911</v>
      </c>
      <c r="C196" s="979" t="s">
        <v>1064</v>
      </c>
      <c r="D196" s="979">
        <v>9</v>
      </c>
      <c r="E196" s="979">
        <v>1781</v>
      </c>
      <c r="F196" s="979" t="s">
        <v>4194</v>
      </c>
      <c r="G196" s="979" t="s">
        <v>4194</v>
      </c>
      <c r="H196" s="1030">
        <v>2096250</v>
      </c>
      <c r="I196" s="1030">
        <v>3065763</v>
      </c>
      <c r="J196" s="1034">
        <v>0.83202761481362475</v>
      </c>
      <c r="K196" s="1030">
        <v>1744137.8875530609</v>
      </c>
      <c r="L196" s="1030">
        <v>1744137.8875530609</v>
      </c>
      <c r="M196" s="979">
        <v>599</v>
      </c>
    </row>
    <row r="197" spans="1:13" ht="15">
      <c r="A197" s="979" t="s">
        <v>3399</v>
      </c>
      <c r="B197" s="722" t="str">
        <f>CONCATENATE(LEFT(RIGHT(CONCATENATE("000",IFAData_TEA!A197),6),3),"-",(RIGHT(RIGHT(CONCATENATE("000",IFAData_TEA!A197),6),3)))</f>
        <v>015-912</v>
      </c>
      <c r="C197" s="979" t="s">
        <v>1934</v>
      </c>
      <c r="D197" s="979">
        <v>9</v>
      </c>
      <c r="E197" s="979">
        <v>2366</v>
      </c>
      <c r="F197" s="979" t="s">
        <v>4201</v>
      </c>
      <c r="G197" s="979" t="s">
        <v>6196</v>
      </c>
      <c r="H197" s="1030">
        <v>907250</v>
      </c>
      <c r="I197" s="1030">
        <v>515694</v>
      </c>
      <c r="J197" s="1034">
        <v>0.44083682180051925</v>
      </c>
      <c r="K197" s="1030">
        <v>399949.20657852112</v>
      </c>
      <c r="L197" s="1030">
        <v>399949.20657852112</v>
      </c>
      <c r="M197" s="979">
        <v>599</v>
      </c>
    </row>
    <row r="198" spans="1:13" ht="15">
      <c r="A198" s="979" t="s">
        <v>3399</v>
      </c>
      <c r="B198" s="722" t="str">
        <f>CONCATENATE(LEFT(RIGHT(CONCATENATE("000",IFAData_TEA!A198),6),3),"-",(RIGHT(RIGHT(CONCATENATE("000",IFAData_TEA!A198),6),3)))</f>
        <v>015-912</v>
      </c>
      <c r="C198" s="979" t="s">
        <v>1934</v>
      </c>
      <c r="D198" s="979">
        <v>8</v>
      </c>
      <c r="E198" s="979">
        <v>2370</v>
      </c>
      <c r="F198" s="979" t="s">
        <v>4200</v>
      </c>
      <c r="G198" s="979" t="s">
        <v>4200</v>
      </c>
      <c r="H198" s="1030">
        <v>2355500</v>
      </c>
      <c r="I198" s="1030">
        <v>1056584</v>
      </c>
      <c r="J198" s="1034">
        <v>0.44797310933490714</v>
      </c>
      <c r="K198" s="1030">
        <v>1055200.6590383737</v>
      </c>
      <c r="L198" s="1030">
        <v>1055200.6590383737</v>
      </c>
      <c r="M198" s="979">
        <v>599</v>
      </c>
    </row>
    <row r="199" spans="1:13" ht="15">
      <c r="A199" s="979" t="s">
        <v>3399</v>
      </c>
      <c r="B199" s="722" t="str">
        <f>CONCATENATE(LEFT(RIGHT(CONCATENATE("000",IFAData_TEA!A199),6),3),"-",(RIGHT(RIGHT(CONCATENATE("000",IFAData_TEA!A199),6),3)))</f>
        <v>015-912</v>
      </c>
      <c r="C199" s="979" t="s">
        <v>1934</v>
      </c>
      <c r="D199" s="979">
        <v>9</v>
      </c>
      <c r="E199" s="979">
        <v>2366</v>
      </c>
      <c r="F199" s="979" t="s">
        <v>4201</v>
      </c>
      <c r="G199" s="979" t="s">
        <v>4201</v>
      </c>
      <c r="H199" s="1030">
        <v>907250</v>
      </c>
      <c r="I199" s="1030">
        <v>654113</v>
      </c>
      <c r="J199" s="1034">
        <v>0.5591631781994808</v>
      </c>
      <c r="K199" s="1030">
        <v>507300.79342147894</v>
      </c>
      <c r="L199" s="1030">
        <v>507300.79342147894</v>
      </c>
      <c r="M199" s="979">
        <v>599</v>
      </c>
    </row>
    <row r="200" spans="1:13" ht="15">
      <c r="A200" s="979" t="s">
        <v>3399</v>
      </c>
      <c r="B200" s="722" t="str">
        <f>CONCATENATE(LEFT(RIGHT(CONCATENATE("000",IFAData_TEA!A200),6),3),"-",(RIGHT(RIGHT(CONCATENATE("000",IFAData_TEA!A200),6),3)))</f>
        <v>015-912</v>
      </c>
      <c r="C200" s="979" t="s">
        <v>1934</v>
      </c>
      <c r="D200" s="979">
        <v>4</v>
      </c>
      <c r="E200" s="979">
        <v>2369</v>
      </c>
      <c r="F200" s="979" t="s">
        <v>4195</v>
      </c>
      <c r="G200" s="979" t="s">
        <v>4195</v>
      </c>
      <c r="H200" s="1030">
        <v>2212705</v>
      </c>
      <c r="I200" s="1030">
        <v>0</v>
      </c>
      <c r="J200" s="1034">
        <v>0</v>
      </c>
      <c r="K200" s="1030">
        <v>0</v>
      </c>
      <c r="L200" s="1030">
        <v>0</v>
      </c>
      <c r="M200" s="979">
        <v>599</v>
      </c>
    </row>
    <row r="201" spans="1:13" ht="15">
      <c r="A201" s="979" t="s">
        <v>3399</v>
      </c>
      <c r="B201" s="722" t="str">
        <f>CONCATENATE(LEFT(RIGHT(CONCATENATE("000",IFAData_TEA!A201),6),3),"-",(RIGHT(RIGHT(CONCATENATE("000",IFAData_TEA!A201),6),3)))</f>
        <v>015-912</v>
      </c>
      <c r="C201" s="979" t="s">
        <v>1934</v>
      </c>
      <c r="D201" s="979">
        <v>4</v>
      </c>
      <c r="E201" s="979">
        <v>2369</v>
      </c>
      <c r="F201" s="979" t="s">
        <v>4195</v>
      </c>
      <c r="G201" s="979" t="s">
        <v>4196</v>
      </c>
      <c r="H201" s="1030">
        <v>2212705</v>
      </c>
      <c r="I201" s="1030">
        <v>2128512</v>
      </c>
      <c r="J201" s="1034">
        <v>1</v>
      </c>
      <c r="K201" s="1030">
        <v>2212705</v>
      </c>
      <c r="L201" s="1030">
        <v>2128512</v>
      </c>
      <c r="M201" s="979">
        <v>599</v>
      </c>
    </row>
    <row r="202" spans="1:13" ht="15">
      <c r="A202" s="979" t="s">
        <v>3399</v>
      </c>
      <c r="B202" s="722" t="str">
        <f>CONCATENATE(LEFT(RIGHT(CONCATENATE("000",IFAData_TEA!A202),6),3),"-",(RIGHT(RIGHT(CONCATENATE("000",IFAData_TEA!A202),6),3)))</f>
        <v>015-912</v>
      </c>
      <c r="C202" s="979" t="s">
        <v>1934</v>
      </c>
      <c r="D202" s="979">
        <v>6</v>
      </c>
      <c r="E202" s="979">
        <v>2368</v>
      </c>
      <c r="F202" s="979" t="s">
        <v>4197</v>
      </c>
      <c r="G202" s="979" t="s">
        <v>4197</v>
      </c>
      <c r="H202" s="1030">
        <v>1856996</v>
      </c>
      <c r="I202" s="1030">
        <v>0</v>
      </c>
      <c r="J202" s="1034">
        <v>0</v>
      </c>
      <c r="K202" s="1030">
        <v>0</v>
      </c>
      <c r="L202" s="1030">
        <v>0</v>
      </c>
      <c r="M202" s="979">
        <v>599</v>
      </c>
    </row>
    <row r="203" spans="1:13" ht="15">
      <c r="A203" s="979" t="s">
        <v>3399</v>
      </c>
      <c r="B203" s="722" t="str">
        <f>CONCATENATE(LEFT(RIGHT(CONCATENATE("000",IFAData_TEA!A203),6),3),"-",(RIGHT(RIGHT(CONCATENATE("000",IFAData_TEA!A203),6),3)))</f>
        <v>015-912</v>
      </c>
      <c r="C203" s="979" t="s">
        <v>1934</v>
      </c>
      <c r="D203" s="979">
        <v>8</v>
      </c>
      <c r="E203" s="979">
        <v>2370</v>
      </c>
      <c r="F203" s="979" t="s">
        <v>4200</v>
      </c>
      <c r="G203" s="979" t="s">
        <v>6196</v>
      </c>
      <c r="H203" s="1030">
        <v>2355500</v>
      </c>
      <c r="I203" s="1030">
        <v>1302004</v>
      </c>
      <c r="J203" s="1034">
        <v>0.55202689066509281</v>
      </c>
      <c r="K203" s="1030">
        <v>1300299.340961626</v>
      </c>
      <c r="L203" s="1030">
        <v>1300299.340961626</v>
      </c>
      <c r="M203" s="979">
        <v>599</v>
      </c>
    </row>
    <row r="204" spans="1:13" ht="15">
      <c r="A204" s="979" t="s">
        <v>3399</v>
      </c>
      <c r="B204" s="722" t="str">
        <f>CONCATENATE(LEFT(RIGHT(CONCATENATE("000",IFAData_TEA!A204),6),3),"-",(RIGHT(RIGHT(CONCATENATE("000",IFAData_TEA!A204),6),3)))</f>
        <v>015-912</v>
      </c>
      <c r="C204" s="979" t="s">
        <v>1934</v>
      </c>
      <c r="D204" s="979">
        <v>6</v>
      </c>
      <c r="E204" s="979">
        <v>2368</v>
      </c>
      <c r="F204" s="979" t="s">
        <v>4197</v>
      </c>
      <c r="G204" s="979" t="s">
        <v>4199</v>
      </c>
      <c r="H204" s="1030">
        <v>1856996</v>
      </c>
      <c r="I204" s="1030">
        <v>1227200</v>
      </c>
      <c r="J204" s="1034">
        <v>0.70626069721374629</v>
      </c>
      <c r="K204" s="1030">
        <v>1311523.289683138</v>
      </c>
      <c r="L204" s="1030">
        <v>1227200</v>
      </c>
      <c r="M204" s="979">
        <v>599</v>
      </c>
    </row>
    <row r="205" spans="1:13" ht="15">
      <c r="A205" s="979" t="s">
        <v>3399</v>
      </c>
      <c r="B205" s="722" t="str">
        <f>CONCATENATE(LEFT(RIGHT(CONCATENATE("000",IFAData_TEA!A205),6),3),"-",(RIGHT(RIGHT(CONCATENATE("000",IFAData_TEA!A205),6),3)))</f>
        <v>015-912</v>
      </c>
      <c r="C205" s="979" t="s">
        <v>1934</v>
      </c>
      <c r="D205" s="979">
        <v>6</v>
      </c>
      <c r="E205" s="979">
        <v>2368</v>
      </c>
      <c r="F205" s="979" t="s">
        <v>4197</v>
      </c>
      <c r="G205" s="979" t="s">
        <v>4198</v>
      </c>
      <c r="H205" s="1030">
        <v>1856996</v>
      </c>
      <c r="I205" s="1030">
        <v>510402</v>
      </c>
      <c r="J205" s="1034">
        <v>0.29373930278625371</v>
      </c>
      <c r="K205" s="1030">
        <v>545472.71031686198</v>
      </c>
      <c r="L205" s="1030">
        <v>510402</v>
      </c>
      <c r="M205" s="979">
        <v>599</v>
      </c>
    </row>
    <row r="206" spans="1:13" ht="15">
      <c r="A206" s="979" t="s">
        <v>3399</v>
      </c>
      <c r="B206" s="722" t="str">
        <f>CONCATENATE(LEFT(RIGHT(CONCATENATE("000",IFAData_TEA!A206),6),3),"-",(RIGHT(RIGHT(CONCATENATE("000",IFAData_TEA!A206),6),3)))</f>
        <v>015-912</v>
      </c>
      <c r="C206" s="979" t="s">
        <v>1934</v>
      </c>
      <c r="D206" s="979">
        <v>9</v>
      </c>
      <c r="E206" s="979">
        <v>2367</v>
      </c>
      <c r="F206" s="979" t="s">
        <v>4202</v>
      </c>
      <c r="G206" s="979" t="s">
        <v>4202</v>
      </c>
      <c r="H206" s="1030">
        <v>1378513</v>
      </c>
      <c r="I206" s="1030">
        <v>1380354</v>
      </c>
      <c r="J206" s="1034">
        <v>1</v>
      </c>
      <c r="K206" s="1030">
        <v>1378513</v>
      </c>
      <c r="L206" s="1030">
        <v>1378513</v>
      </c>
      <c r="M206" s="979">
        <v>599</v>
      </c>
    </row>
    <row r="207" spans="1:13" ht="15">
      <c r="A207" s="979" t="s">
        <v>3400</v>
      </c>
      <c r="B207" s="722" t="str">
        <f>CONCATENATE(LEFT(RIGHT(CONCATENATE("000",IFAData_TEA!A207),6),3),"-",(RIGHT(RIGHT(CONCATENATE("000",IFAData_TEA!A207),6),3)))</f>
        <v>015-915</v>
      </c>
      <c r="C207" s="979" t="s">
        <v>2289</v>
      </c>
      <c r="D207" s="979">
        <v>1</v>
      </c>
      <c r="E207" s="979">
        <v>2152</v>
      </c>
      <c r="F207" s="979" t="s">
        <v>4203</v>
      </c>
      <c r="G207" s="979" t="s">
        <v>4208</v>
      </c>
      <c r="H207" s="1030">
        <v>1368888</v>
      </c>
      <c r="I207" s="1030">
        <v>233463</v>
      </c>
      <c r="J207" s="1034">
        <v>0.16115411536183624</v>
      </c>
      <c r="K207" s="1030">
        <v>220601.93466943328</v>
      </c>
      <c r="L207" s="1030">
        <v>220601.93466943328</v>
      </c>
      <c r="M207" s="979">
        <v>599</v>
      </c>
    </row>
    <row r="208" spans="1:13" ht="15">
      <c r="A208" s="979" t="s">
        <v>3400</v>
      </c>
      <c r="B208" s="722" t="str">
        <f>CONCATENATE(LEFT(RIGHT(CONCATENATE("000",IFAData_TEA!A208),6),3),"-",(RIGHT(RIGHT(CONCATENATE("000",IFAData_TEA!A208),6),3)))</f>
        <v>015-915</v>
      </c>
      <c r="C208" s="979" t="s">
        <v>2289</v>
      </c>
      <c r="D208" s="979">
        <v>1</v>
      </c>
      <c r="E208" s="979">
        <v>2153</v>
      </c>
      <c r="F208" s="979" t="s">
        <v>4209</v>
      </c>
      <c r="G208" s="979" t="s">
        <v>4209</v>
      </c>
      <c r="H208" s="1030">
        <v>3069626</v>
      </c>
      <c r="I208" s="1030">
        <v>0</v>
      </c>
      <c r="J208" s="1034">
        <v>0</v>
      </c>
      <c r="K208" s="1030">
        <v>0</v>
      </c>
      <c r="L208" s="1030">
        <v>0</v>
      </c>
      <c r="M208" s="979">
        <v>599</v>
      </c>
    </row>
    <row r="209" spans="1:13" ht="15">
      <c r="A209" s="979" t="s">
        <v>3400</v>
      </c>
      <c r="B209" s="722" t="str">
        <f>CONCATENATE(LEFT(RIGHT(CONCATENATE("000",IFAData_TEA!A209),6),3),"-",(RIGHT(RIGHT(CONCATENATE("000",IFAData_TEA!A209),6),3)))</f>
        <v>015-915</v>
      </c>
      <c r="C209" s="979" t="s">
        <v>2289</v>
      </c>
      <c r="D209" s="979">
        <v>1</v>
      </c>
      <c r="E209" s="979">
        <v>2152</v>
      </c>
      <c r="F209" s="979" t="s">
        <v>4203</v>
      </c>
      <c r="G209" s="979" t="s">
        <v>4203</v>
      </c>
      <c r="H209" s="1030">
        <v>1368888</v>
      </c>
      <c r="I209" s="1030">
        <v>0</v>
      </c>
      <c r="J209" s="1034">
        <v>0</v>
      </c>
      <c r="K209" s="1030">
        <v>0</v>
      </c>
      <c r="L209" s="1030">
        <v>0</v>
      </c>
      <c r="M209" s="979">
        <v>599</v>
      </c>
    </row>
    <row r="210" spans="1:13" ht="15">
      <c r="A210" s="979" t="s">
        <v>3400</v>
      </c>
      <c r="B210" s="722" t="str">
        <f>CONCATENATE(LEFT(RIGHT(CONCATENATE("000",IFAData_TEA!A210),6),3),"-",(RIGHT(RIGHT(CONCATENATE("000",IFAData_TEA!A210),6),3)))</f>
        <v>015-915</v>
      </c>
      <c r="C210" s="979" t="s">
        <v>2289</v>
      </c>
      <c r="D210" s="979">
        <v>1</v>
      </c>
      <c r="E210" s="979">
        <v>2152</v>
      </c>
      <c r="F210" s="979" t="s">
        <v>4203</v>
      </c>
      <c r="G210" s="979" t="s">
        <v>4204</v>
      </c>
      <c r="H210" s="1030">
        <v>1368888</v>
      </c>
      <c r="I210" s="1030">
        <v>0</v>
      </c>
      <c r="J210" s="1034">
        <v>0</v>
      </c>
      <c r="K210" s="1030">
        <v>0</v>
      </c>
      <c r="L210" s="1030">
        <v>0</v>
      </c>
      <c r="M210" s="979">
        <v>599</v>
      </c>
    </row>
    <row r="211" spans="1:13" ht="15">
      <c r="A211" s="979" t="s">
        <v>3400</v>
      </c>
      <c r="B211" s="722" t="str">
        <f>CONCATENATE(LEFT(RIGHT(CONCATENATE("000",IFAData_TEA!A211),6),3),"-",(RIGHT(RIGHT(CONCATENATE("000",IFAData_TEA!A211),6),3)))</f>
        <v>015-915</v>
      </c>
      <c r="C211" s="979" t="s">
        <v>2289</v>
      </c>
      <c r="D211" s="979">
        <v>1</v>
      </c>
      <c r="E211" s="979">
        <v>2153</v>
      </c>
      <c r="F211" s="979" t="s">
        <v>4209</v>
      </c>
      <c r="G211" s="979" t="s">
        <v>4206</v>
      </c>
      <c r="H211" s="1030">
        <v>3069626</v>
      </c>
      <c r="I211" s="1030">
        <v>48162</v>
      </c>
      <c r="J211" s="1034">
        <v>4.7306369691391799E-2</v>
      </c>
      <c r="K211" s="1030">
        <v>145212.86237030826</v>
      </c>
      <c r="L211" s="1030">
        <v>48162</v>
      </c>
      <c r="M211" s="979">
        <v>599</v>
      </c>
    </row>
    <row r="212" spans="1:13" ht="15">
      <c r="A212" s="979" t="s">
        <v>3400</v>
      </c>
      <c r="B212" s="722" t="str">
        <f>CONCATENATE(LEFT(RIGHT(CONCATENATE("000",IFAData_TEA!A212),6),3),"-",(RIGHT(RIGHT(CONCATENATE("000",IFAData_TEA!A212),6),3)))</f>
        <v>015-915</v>
      </c>
      <c r="C212" s="979" t="s">
        <v>2289</v>
      </c>
      <c r="D212" s="979">
        <v>1</v>
      </c>
      <c r="E212" s="979">
        <v>2153</v>
      </c>
      <c r="F212" s="979" t="s">
        <v>4209</v>
      </c>
      <c r="G212" s="979" t="s">
        <v>4207</v>
      </c>
      <c r="H212" s="1030">
        <v>3069626</v>
      </c>
      <c r="I212" s="1030">
        <v>122882</v>
      </c>
      <c r="J212" s="1034">
        <v>0.12069891865822861</v>
      </c>
      <c r="K212" s="1030">
        <v>370500.53888518369</v>
      </c>
      <c r="L212" s="1030">
        <v>122882</v>
      </c>
      <c r="M212" s="979">
        <v>599</v>
      </c>
    </row>
    <row r="213" spans="1:13" ht="15">
      <c r="A213" s="979" t="s">
        <v>3400</v>
      </c>
      <c r="B213" s="722" t="str">
        <f>CONCATENATE(LEFT(RIGHT(CONCATENATE("000",IFAData_TEA!A213),6),3),"-",(RIGHT(RIGHT(CONCATENATE("000",IFAData_TEA!A213),6),3)))</f>
        <v>015-915</v>
      </c>
      <c r="C213" s="979" t="s">
        <v>2289</v>
      </c>
      <c r="D213" s="979">
        <v>1</v>
      </c>
      <c r="E213" s="979">
        <v>2153</v>
      </c>
      <c r="F213" s="979" t="s">
        <v>4209</v>
      </c>
      <c r="G213" s="979" t="s">
        <v>6197</v>
      </c>
      <c r="H213" s="1030">
        <v>3069626</v>
      </c>
      <c r="I213" s="1030">
        <v>137010</v>
      </c>
      <c r="J213" s="1034">
        <v>0.13457592524018086</v>
      </c>
      <c r="K213" s="1030">
        <v>413097.75909131544</v>
      </c>
      <c r="L213" s="1030">
        <v>137010</v>
      </c>
      <c r="M213" s="979">
        <v>599</v>
      </c>
    </row>
    <row r="214" spans="1:13" ht="15">
      <c r="A214" s="979" t="s">
        <v>3400</v>
      </c>
      <c r="B214" s="722" t="str">
        <f>CONCATENATE(LEFT(RIGHT(CONCATENATE("000",IFAData_TEA!A214),6),3),"-",(RIGHT(RIGHT(CONCATENATE("000",IFAData_TEA!A214),6),3)))</f>
        <v>015-915</v>
      </c>
      <c r="C214" s="979" t="s">
        <v>2289</v>
      </c>
      <c r="D214" s="979">
        <v>1</v>
      </c>
      <c r="E214" s="979">
        <v>2153</v>
      </c>
      <c r="F214" s="979" t="s">
        <v>4209</v>
      </c>
      <c r="G214" s="979" t="s">
        <v>4210</v>
      </c>
      <c r="H214" s="1030">
        <v>3069626</v>
      </c>
      <c r="I214" s="1030">
        <v>169000</v>
      </c>
      <c r="J214" s="1034">
        <v>0.16599760138377173</v>
      </c>
      <c r="K214" s="1030">
        <v>509550.55314526166</v>
      </c>
      <c r="L214" s="1030">
        <v>169000</v>
      </c>
      <c r="M214" s="979">
        <v>599</v>
      </c>
    </row>
    <row r="215" spans="1:13" ht="15">
      <c r="A215" s="979" t="s">
        <v>3400</v>
      </c>
      <c r="B215" s="722" t="str">
        <f>CONCATENATE(LEFT(RIGHT(CONCATENATE("000",IFAData_TEA!A215),6),3),"-",(RIGHT(RIGHT(CONCATENATE("000",IFAData_TEA!A215),6),3)))</f>
        <v>015-915</v>
      </c>
      <c r="C215" s="979" t="s">
        <v>2289</v>
      </c>
      <c r="D215" s="979">
        <v>1</v>
      </c>
      <c r="E215" s="979">
        <v>2153</v>
      </c>
      <c r="F215" s="979" t="s">
        <v>4209</v>
      </c>
      <c r="G215" s="979" t="s">
        <v>4204</v>
      </c>
      <c r="H215" s="1030">
        <v>3069626</v>
      </c>
      <c r="I215" s="1030">
        <v>0</v>
      </c>
      <c r="J215" s="1034">
        <v>0</v>
      </c>
      <c r="K215" s="1030">
        <v>0</v>
      </c>
      <c r="L215" s="1030">
        <v>0</v>
      </c>
      <c r="M215" s="979">
        <v>599</v>
      </c>
    </row>
    <row r="216" spans="1:13" ht="15">
      <c r="A216" s="979" t="s">
        <v>3400</v>
      </c>
      <c r="B216" s="722" t="str">
        <f>CONCATENATE(LEFT(RIGHT(CONCATENATE("000",IFAData_TEA!A216),6),3),"-",(RIGHT(RIGHT(CONCATENATE("000",IFAData_TEA!A216),6),3)))</f>
        <v>015-915</v>
      </c>
      <c r="C216" s="979" t="s">
        <v>2289</v>
      </c>
      <c r="D216" s="979">
        <v>1</v>
      </c>
      <c r="E216" s="979">
        <v>2153</v>
      </c>
      <c r="F216" s="979" t="s">
        <v>4209</v>
      </c>
      <c r="G216" s="979" t="s">
        <v>4205</v>
      </c>
      <c r="H216" s="1030">
        <v>3069626</v>
      </c>
      <c r="I216" s="1030">
        <v>142713</v>
      </c>
      <c r="J216" s="1034">
        <v>0.14017760761113734</v>
      </c>
      <c r="K216" s="1030">
        <v>430292.8289409451</v>
      </c>
      <c r="L216" s="1030">
        <v>142713</v>
      </c>
      <c r="M216" s="979">
        <v>599</v>
      </c>
    </row>
    <row r="217" spans="1:13" ht="15">
      <c r="A217" s="979" t="s">
        <v>3400</v>
      </c>
      <c r="B217" s="722" t="str">
        <f>CONCATENATE(LEFT(RIGHT(CONCATENATE("000",IFAData_TEA!A217),6),3),"-",(RIGHT(RIGHT(CONCATENATE("000",IFAData_TEA!A217),6),3)))</f>
        <v>015-915</v>
      </c>
      <c r="C217" s="979" t="s">
        <v>2289</v>
      </c>
      <c r="D217" s="979">
        <v>1</v>
      </c>
      <c r="E217" s="979">
        <v>2152</v>
      </c>
      <c r="F217" s="979" t="s">
        <v>4203</v>
      </c>
      <c r="G217" s="979" t="s">
        <v>4206</v>
      </c>
      <c r="H217" s="1030">
        <v>1368888</v>
      </c>
      <c r="I217" s="1030">
        <v>277143</v>
      </c>
      <c r="J217" s="1034">
        <v>0.1913054102522686</v>
      </c>
      <c r="K217" s="1030">
        <v>261875.68042940745</v>
      </c>
      <c r="L217" s="1030">
        <v>261875.68042940745</v>
      </c>
      <c r="M217" s="979">
        <v>599</v>
      </c>
    </row>
    <row r="218" spans="1:13" ht="15">
      <c r="A218" s="979" t="s">
        <v>3400</v>
      </c>
      <c r="B218" s="722" t="str">
        <f>CONCATENATE(LEFT(RIGHT(CONCATENATE("000",IFAData_TEA!A218),6),3),"-",(RIGHT(RIGHT(CONCATENATE("000",IFAData_TEA!A218),6),3)))</f>
        <v>015-915</v>
      </c>
      <c r="C218" s="979" t="s">
        <v>2289</v>
      </c>
      <c r="D218" s="979">
        <v>1</v>
      </c>
      <c r="E218" s="979">
        <v>2153</v>
      </c>
      <c r="F218" s="979" t="s">
        <v>4209</v>
      </c>
      <c r="G218" s="979" t="s">
        <v>4208</v>
      </c>
      <c r="H218" s="1030">
        <v>3069626</v>
      </c>
      <c r="I218" s="1030">
        <v>398320</v>
      </c>
      <c r="J218" s="1034">
        <v>0.39124357741528965</v>
      </c>
      <c r="K218" s="1030">
        <v>1200971.4575669859</v>
      </c>
      <c r="L218" s="1030">
        <v>398320</v>
      </c>
      <c r="M218" s="979">
        <v>599</v>
      </c>
    </row>
    <row r="219" spans="1:13" ht="15">
      <c r="A219" s="979" t="s">
        <v>3400</v>
      </c>
      <c r="B219" s="722" t="str">
        <f>CONCATENATE(LEFT(RIGHT(CONCATENATE("000",IFAData_TEA!A219),6),3),"-",(RIGHT(RIGHT(CONCATENATE("000",IFAData_TEA!A219),6),3)))</f>
        <v>015-915</v>
      </c>
      <c r="C219" s="979" t="s">
        <v>2289</v>
      </c>
      <c r="D219" s="979">
        <v>1</v>
      </c>
      <c r="E219" s="979">
        <v>2152</v>
      </c>
      <c r="F219" s="979" t="s">
        <v>4203</v>
      </c>
      <c r="G219" s="979" t="s">
        <v>4205</v>
      </c>
      <c r="H219" s="1030">
        <v>1368888</v>
      </c>
      <c r="I219" s="1030">
        <v>231577</v>
      </c>
      <c r="J219" s="1034">
        <v>0.1598522531328217</v>
      </c>
      <c r="K219" s="1030">
        <v>218819.83108648204</v>
      </c>
      <c r="L219" s="1030">
        <v>218819.83108648204</v>
      </c>
      <c r="M219" s="979">
        <v>599</v>
      </c>
    </row>
    <row r="220" spans="1:13" ht="15">
      <c r="A220" s="979" t="s">
        <v>3400</v>
      </c>
      <c r="B220" s="722" t="str">
        <f>CONCATENATE(LEFT(RIGHT(CONCATENATE("000",IFAData_TEA!A220),6),3),"-",(RIGHT(RIGHT(CONCATENATE("000",IFAData_TEA!A220),6),3)))</f>
        <v>015-915</v>
      </c>
      <c r="C220" s="979" t="s">
        <v>2289</v>
      </c>
      <c r="D220" s="979">
        <v>1</v>
      </c>
      <c r="E220" s="979">
        <v>2152</v>
      </c>
      <c r="F220" s="979" t="s">
        <v>4203</v>
      </c>
      <c r="G220" s="979" t="s">
        <v>4207</v>
      </c>
      <c r="H220" s="1030">
        <v>1368888</v>
      </c>
      <c r="I220" s="1030">
        <v>706511</v>
      </c>
      <c r="J220" s="1034">
        <v>0.48768822125307348</v>
      </c>
      <c r="K220" s="1030">
        <v>667590.55381467729</v>
      </c>
      <c r="L220" s="1030">
        <v>667590.55381467729</v>
      </c>
      <c r="M220" s="979">
        <v>599</v>
      </c>
    </row>
    <row r="221" spans="1:13" ht="15">
      <c r="A221" s="979" t="s">
        <v>3401</v>
      </c>
      <c r="B221" s="722" t="str">
        <f>CONCATENATE(LEFT(RIGHT(CONCATENATE("000",IFAData_TEA!A221),6),3),"-",(RIGHT(RIGHT(CONCATENATE("000",IFAData_TEA!A221),6),3)))</f>
        <v>015-916</v>
      </c>
      <c r="C221" s="979" t="s">
        <v>408</v>
      </c>
      <c r="D221" s="979">
        <v>6</v>
      </c>
      <c r="E221" s="979">
        <v>1938</v>
      </c>
      <c r="F221" s="979" t="s">
        <v>4212</v>
      </c>
      <c r="G221" s="979" t="s">
        <v>4214</v>
      </c>
      <c r="H221" s="1030">
        <v>3992710</v>
      </c>
      <c r="I221" s="1030">
        <v>0</v>
      </c>
      <c r="J221" s="1034">
        <v>0</v>
      </c>
      <c r="K221" s="1030">
        <v>0</v>
      </c>
      <c r="L221" s="1030">
        <v>0</v>
      </c>
      <c r="M221" s="979">
        <v>599</v>
      </c>
    </row>
    <row r="222" spans="1:13" ht="15">
      <c r="A222" s="979" t="s">
        <v>3401</v>
      </c>
      <c r="B222" s="722" t="str">
        <f>CONCATENATE(LEFT(RIGHT(CONCATENATE("000",IFAData_TEA!A222),6),3),"-",(RIGHT(RIGHT(CONCATENATE("000",IFAData_TEA!A222),6),3)))</f>
        <v>015-916</v>
      </c>
      <c r="C222" s="979" t="s">
        <v>408</v>
      </c>
      <c r="D222" s="979">
        <v>1</v>
      </c>
      <c r="E222" s="979">
        <v>1937</v>
      </c>
      <c r="F222" s="979" t="s">
        <v>4211</v>
      </c>
      <c r="G222" s="979" t="s">
        <v>4211</v>
      </c>
      <c r="H222" s="1030">
        <v>738000</v>
      </c>
      <c r="I222" s="1030">
        <v>0</v>
      </c>
      <c r="J222" s="1034">
        <v>0</v>
      </c>
      <c r="K222" s="1030"/>
      <c r="L222" s="1030">
        <v>0</v>
      </c>
      <c r="M222" s="979">
        <v>599</v>
      </c>
    </row>
    <row r="223" spans="1:13" ht="15">
      <c r="A223" s="979" t="s">
        <v>3401</v>
      </c>
      <c r="B223" s="722" t="str">
        <f>CONCATENATE(LEFT(RIGHT(CONCATENATE("000",IFAData_TEA!A223),6),3),"-",(RIGHT(RIGHT(CONCATENATE("000",IFAData_TEA!A223),6),3)))</f>
        <v>015-916</v>
      </c>
      <c r="C223" s="979" t="s">
        <v>408</v>
      </c>
      <c r="D223" s="979">
        <v>6</v>
      </c>
      <c r="E223" s="979">
        <v>1938</v>
      </c>
      <c r="F223" s="979" t="s">
        <v>4212</v>
      </c>
      <c r="G223" s="979" t="s">
        <v>4212</v>
      </c>
      <c r="H223" s="1030">
        <v>3992710</v>
      </c>
      <c r="I223" s="1030">
        <v>0</v>
      </c>
      <c r="J223" s="1034">
        <v>0</v>
      </c>
      <c r="K223" s="1030">
        <v>0</v>
      </c>
      <c r="L223" s="1030">
        <v>0</v>
      </c>
      <c r="M223" s="979">
        <v>599</v>
      </c>
    </row>
    <row r="224" spans="1:13" ht="15">
      <c r="A224" s="979" t="s">
        <v>3401</v>
      </c>
      <c r="B224" s="722" t="str">
        <f>CONCATENATE(LEFT(RIGHT(CONCATENATE("000",IFAData_TEA!A224),6),3),"-",(RIGHT(RIGHT(CONCATENATE("000",IFAData_TEA!A224),6),3)))</f>
        <v>015-916</v>
      </c>
      <c r="C224" s="979" t="s">
        <v>408</v>
      </c>
      <c r="D224" s="979">
        <v>6</v>
      </c>
      <c r="E224" s="979">
        <v>1938</v>
      </c>
      <c r="F224" s="979" t="s">
        <v>4212</v>
      </c>
      <c r="G224" s="979" t="s">
        <v>4215</v>
      </c>
      <c r="H224" s="1030">
        <v>3992710</v>
      </c>
      <c r="I224" s="1030">
        <v>258386</v>
      </c>
      <c r="J224" s="1034">
        <v>6.4111989666095895E-2</v>
      </c>
      <c r="K224" s="1030">
        <v>255980.58225971775</v>
      </c>
      <c r="L224" s="1030">
        <v>255980.58225971775</v>
      </c>
      <c r="M224" s="979">
        <v>599</v>
      </c>
    </row>
    <row r="225" spans="1:13" ht="15">
      <c r="A225" s="979" t="s">
        <v>3401</v>
      </c>
      <c r="B225" s="722" t="str">
        <f>CONCATENATE(LEFT(RIGHT(CONCATENATE("000",IFAData_TEA!A225),6),3),"-",(RIGHT(RIGHT(CONCATENATE("000",IFAData_TEA!A225),6),3)))</f>
        <v>015-916</v>
      </c>
      <c r="C225" s="979" t="s">
        <v>408</v>
      </c>
      <c r="D225" s="979">
        <v>9</v>
      </c>
      <c r="E225" s="979">
        <v>1939</v>
      </c>
      <c r="F225" s="979" t="s">
        <v>4213</v>
      </c>
      <c r="G225" s="979" t="s">
        <v>4213</v>
      </c>
      <c r="H225" s="1030">
        <v>4799160</v>
      </c>
      <c r="I225" s="1030">
        <v>7569130</v>
      </c>
      <c r="J225" s="1034">
        <v>1</v>
      </c>
      <c r="K225" s="1030">
        <v>4799160</v>
      </c>
      <c r="L225" s="1030">
        <v>4799160</v>
      </c>
      <c r="M225" s="979">
        <v>599</v>
      </c>
    </row>
    <row r="226" spans="1:13" ht="15">
      <c r="A226" s="979" t="s">
        <v>3401</v>
      </c>
      <c r="B226" s="722" t="str">
        <f>CONCATENATE(LEFT(RIGHT(CONCATENATE("000",IFAData_TEA!A226),6),3),"-",(RIGHT(RIGHT(CONCATENATE("000",IFAData_TEA!A226),6),3)))</f>
        <v>015-916</v>
      </c>
      <c r="C226" s="979" t="s">
        <v>408</v>
      </c>
      <c r="D226" s="979">
        <v>6</v>
      </c>
      <c r="E226" s="979">
        <v>1938</v>
      </c>
      <c r="F226" s="979" t="s">
        <v>4212</v>
      </c>
      <c r="G226" s="979" t="s">
        <v>4213</v>
      </c>
      <c r="H226" s="1030">
        <v>3992710</v>
      </c>
      <c r="I226" s="1030">
        <v>3771843</v>
      </c>
      <c r="J226" s="1034">
        <v>0.93588801033390412</v>
      </c>
      <c r="K226" s="1030">
        <v>3736729.4177402821</v>
      </c>
      <c r="L226" s="1030">
        <v>3736729.4177402821</v>
      </c>
      <c r="M226" s="979">
        <v>599</v>
      </c>
    </row>
    <row r="227" spans="1:13" ht="15">
      <c r="A227" s="979" t="s">
        <v>3402</v>
      </c>
      <c r="B227" s="722" t="str">
        <f>CONCATENATE(LEFT(RIGHT(CONCATENATE("000",IFAData_TEA!A227),6),3),"-",(RIGHT(RIGHT(CONCATENATE("000",IFAData_TEA!A227),6),3)))</f>
        <v>015-917</v>
      </c>
      <c r="C227" s="979" t="s">
        <v>1933</v>
      </c>
      <c r="D227" s="979">
        <v>4</v>
      </c>
      <c r="E227" s="979">
        <v>2361</v>
      </c>
      <c r="F227" s="979" t="s">
        <v>4220</v>
      </c>
      <c r="G227" s="979" t="s">
        <v>4220</v>
      </c>
      <c r="H227" s="1030">
        <v>518175</v>
      </c>
      <c r="I227" s="1030">
        <v>0</v>
      </c>
      <c r="J227" s="1034">
        <v>0</v>
      </c>
      <c r="K227" s="1030">
        <v>0</v>
      </c>
      <c r="L227" s="1030">
        <v>0</v>
      </c>
      <c r="M227" s="979">
        <v>599</v>
      </c>
    </row>
    <row r="228" spans="1:13" ht="15">
      <c r="A228" s="979" t="s">
        <v>3402</v>
      </c>
      <c r="B228" s="722" t="str">
        <f>CONCATENATE(LEFT(RIGHT(CONCATENATE("000",IFAData_TEA!A228),6),3),"-",(RIGHT(RIGHT(CONCATENATE("000",IFAData_TEA!A228),6),3)))</f>
        <v>015-917</v>
      </c>
      <c r="C228" s="979" t="s">
        <v>1933</v>
      </c>
      <c r="D228" s="979">
        <v>3</v>
      </c>
      <c r="E228" s="979">
        <v>2360</v>
      </c>
      <c r="F228" s="979" t="s">
        <v>4217</v>
      </c>
      <c r="G228" s="979" t="s">
        <v>4218</v>
      </c>
      <c r="H228" s="1030">
        <v>441314</v>
      </c>
      <c r="I228" s="1030">
        <v>301922</v>
      </c>
      <c r="J228" s="1034">
        <v>1</v>
      </c>
      <c r="K228" s="1030">
        <v>441314</v>
      </c>
      <c r="L228" s="1030">
        <v>301922</v>
      </c>
      <c r="M228" s="979">
        <v>599</v>
      </c>
    </row>
    <row r="229" spans="1:13" ht="15">
      <c r="A229" s="979" t="s">
        <v>3402</v>
      </c>
      <c r="B229" s="722" t="str">
        <f>CONCATENATE(LEFT(RIGHT(CONCATENATE("000",IFAData_TEA!A229),6),3),"-",(RIGHT(RIGHT(CONCATENATE("000",IFAData_TEA!A229),6),3)))</f>
        <v>015-917</v>
      </c>
      <c r="C229" s="979" t="s">
        <v>1933</v>
      </c>
      <c r="D229" s="979">
        <v>6</v>
      </c>
      <c r="E229" s="979">
        <v>2363</v>
      </c>
      <c r="F229" s="979" t="s">
        <v>4222</v>
      </c>
      <c r="G229" s="979" t="s">
        <v>4222</v>
      </c>
      <c r="H229" s="1030">
        <v>1121000</v>
      </c>
      <c r="I229" s="1030">
        <v>0</v>
      </c>
      <c r="J229" s="1034">
        <v>0</v>
      </c>
      <c r="K229" s="1030">
        <v>0</v>
      </c>
      <c r="L229" s="1030">
        <v>0</v>
      </c>
      <c r="M229" s="979">
        <v>599</v>
      </c>
    </row>
    <row r="230" spans="1:13" ht="15">
      <c r="A230" s="979" t="s">
        <v>3402</v>
      </c>
      <c r="B230" s="722" t="str">
        <f>CONCATENATE(LEFT(RIGHT(CONCATENATE("000",IFAData_TEA!A230),6),3),"-",(RIGHT(RIGHT(CONCATENATE("000",IFAData_TEA!A230),6),3)))</f>
        <v>015-917</v>
      </c>
      <c r="C230" s="979" t="s">
        <v>1933</v>
      </c>
      <c r="D230" s="979">
        <v>7</v>
      </c>
      <c r="E230" s="979">
        <v>2365</v>
      </c>
      <c r="F230" s="979" t="s">
        <v>4225</v>
      </c>
      <c r="G230" s="979" t="s">
        <v>4226</v>
      </c>
      <c r="H230" s="1030">
        <v>1207669</v>
      </c>
      <c r="I230" s="1030">
        <v>1055965</v>
      </c>
      <c r="J230" s="1034">
        <v>1</v>
      </c>
      <c r="K230" s="1030">
        <v>1207669</v>
      </c>
      <c r="L230" s="1030">
        <v>1055965</v>
      </c>
      <c r="M230" s="979">
        <v>599</v>
      </c>
    </row>
    <row r="231" spans="1:13" ht="15">
      <c r="A231" s="979" t="s">
        <v>3402</v>
      </c>
      <c r="B231" s="722" t="str">
        <f>CONCATENATE(LEFT(RIGHT(CONCATENATE("000",IFAData_TEA!A231),6),3),"-",(RIGHT(RIGHT(CONCATENATE("000",IFAData_TEA!A231),6),3)))</f>
        <v>015-917</v>
      </c>
      <c r="C231" s="979" t="s">
        <v>1933</v>
      </c>
      <c r="D231" s="979">
        <v>8</v>
      </c>
      <c r="E231" s="979">
        <v>2364</v>
      </c>
      <c r="F231" s="979" t="s">
        <v>4227</v>
      </c>
      <c r="G231" s="979" t="s">
        <v>4227</v>
      </c>
      <c r="H231" s="1030">
        <v>1193500</v>
      </c>
      <c r="I231" s="1030">
        <v>1189268</v>
      </c>
      <c r="J231" s="1034">
        <v>1</v>
      </c>
      <c r="K231" s="1030">
        <v>1193500</v>
      </c>
      <c r="L231" s="1030">
        <v>1189268</v>
      </c>
      <c r="M231" s="979">
        <v>599</v>
      </c>
    </row>
    <row r="232" spans="1:13" ht="15">
      <c r="A232" s="979" t="s">
        <v>3402</v>
      </c>
      <c r="B232" s="722" t="str">
        <f>CONCATENATE(LEFT(RIGHT(CONCATENATE("000",IFAData_TEA!A232),6),3),"-",(RIGHT(RIGHT(CONCATENATE("000",IFAData_TEA!A232),6),3)))</f>
        <v>015-917</v>
      </c>
      <c r="C232" s="979" t="s">
        <v>1933</v>
      </c>
      <c r="D232" s="979">
        <v>4</v>
      </c>
      <c r="E232" s="979">
        <v>2361</v>
      </c>
      <c r="F232" s="979" t="s">
        <v>4220</v>
      </c>
      <c r="G232" s="979" t="s">
        <v>4221</v>
      </c>
      <c r="H232" s="1030">
        <v>518175</v>
      </c>
      <c r="I232" s="1030">
        <v>502564</v>
      </c>
      <c r="J232" s="1034">
        <v>1</v>
      </c>
      <c r="K232" s="1030">
        <v>518175</v>
      </c>
      <c r="L232" s="1030">
        <v>502564</v>
      </c>
      <c r="M232" s="979">
        <v>599</v>
      </c>
    </row>
    <row r="233" spans="1:13" ht="15">
      <c r="A233" s="979" t="s">
        <v>3402</v>
      </c>
      <c r="B233" s="722" t="str">
        <f>CONCATENATE(LEFT(RIGHT(CONCATENATE("000",IFAData_TEA!A233),6),3),"-",(RIGHT(RIGHT(CONCATENATE("000",IFAData_TEA!A233),6),3)))</f>
        <v>015-917</v>
      </c>
      <c r="C233" s="979" t="s">
        <v>1933</v>
      </c>
      <c r="D233" s="979">
        <v>2</v>
      </c>
      <c r="E233" s="979">
        <v>2362</v>
      </c>
      <c r="F233" s="979" t="s">
        <v>4216</v>
      </c>
      <c r="G233" s="979" t="s">
        <v>4216</v>
      </c>
      <c r="H233" s="1030">
        <v>520585</v>
      </c>
      <c r="I233" s="1030">
        <v>0</v>
      </c>
      <c r="J233" s="1034">
        <v>0</v>
      </c>
      <c r="K233" s="1030"/>
      <c r="L233" s="1030">
        <v>0</v>
      </c>
      <c r="M233" s="979">
        <v>199</v>
      </c>
    </row>
    <row r="234" spans="1:13" ht="15">
      <c r="A234" s="979" t="s">
        <v>3402</v>
      </c>
      <c r="B234" s="722" t="str">
        <f>CONCATENATE(LEFT(RIGHT(CONCATENATE("000",IFAData_TEA!A234),6),3),"-",(RIGHT(RIGHT(CONCATENATE("000",IFAData_TEA!A234),6),3)))</f>
        <v>015-917</v>
      </c>
      <c r="C234" s="979" t="s">
        <v>1933</v>
      </c>
      <c r="D234" s="979">
        <v>7</v>
      </c>
      <c r="E234" s="979">
        <v>2365</v>
      </c>
      <c r="F234" s="979" t="s">
        <v>4225</v>
      </c>
      <c r="G234" s="979" t="s">
        <v>4225</v>
      </c>
      <c r="H234" s="1030">
        <v>1207669</v>
      </c>
      <c r="I234" s="1030">
        <v>0</v>
      </c>
      <c r="J234" s="1034">
        <v>0</v>
      </c>
      <c r="K234" s="1030">
        <v>0</v>
      </c>
      <c r="L234" s="1030">
        <v>0</v>
      </c>
      <c r="M234" s="979">
        <v>599</v>
      </c>
    </row>
    <row r="235" spans="1:13" ht="15">
      <c r="A235" s="979" t="s">
        <v>3402</v>
      </c>
      <c r="B235" s="722" t="str">
        <f>CONCATENATE(LEFT(RIGHT(CONCATENATE("000",IFAData_TEA!A235),6),3),"-",(RIGHT(RIGHT(CONCATENATE("000",IFAData_TEA!A235),6),3)))</f>
        <v>015-917</v>
      </c>
      <c r="C235" s="979" t="s">
        <v>1933</v>
      </c>
      <c r="D235" s="979">
        <v>6</v>
      </c>
      <c r="E235" s="979">
        <v>2363</v>
      </c>
      <c r="F235" s="979" t="s">
        <v>4222</v>
      </c>
      <c r="G235" s="979" t="s">
        <v>4224</v>
      </c>
      <c r="H235" s="1030">
        <v>1121000</v>
      </c>
      <c r="I235" s="1030">
        <v>609500</v>
      </c>
      <c r="J235" s="1034">
        <v>0.63732697017163387</v>
      </c>
      <c r="K235" s="1030">
        <v>714443.53356240154</v>
      </c>
      <c r="L235" s="1030">
        <v>609500</v>
      </c>
      <c r="M235" s="979">
        <v>599</v>
      </c>
    </row>
    <row r="236" spans="1:13" ht="15">
      <c r="A236" s="979" t="s">
        <v>3402</v>
      </c>
      <c r="B236" s="722" t="str">
        <f>CONCATENATE(LEFT(RIGHT(CONCATENATE("000",IFAData_TEA!A236),6),3),"-",(RIGHT(RIGHT(CONCATENATE("000",IFAData_TEA!A236),6),3)))</f>
        <v>015-917</v>
      </c>
      <c r="C236" s="979" t="s">
        <v>1933</v>
      </c>
      <c r="D236" s="979">
        <v>4</v>
      </c>
      <c r="E236" s="979">
        <v>2359</v>
      </c>
      <c r="F236" s="979" t="s">
        <v>4219</v>
      </c>
      <c r="G236" s="979" t="s">
        <v>4219</v>
      </c>
      <c r="H236" s="1030">
        <v>366250</v>
      </c>
      <c r="I236" s="1030">
        <v>0</v>
      </c>
      <c r="J236" s="1034">
        <v>0</v>
      </c>
      <c r="K236" s="1030">
        <v>0</v>
      </c>
      <c r="L236" s="1030">
        <v>0</v>
      </c>
      <c r="M236" s="979">
        <v>199</v>
      </c>
    </row>
    <row r="237" spans="1:13" ht="15">
      <c r="A237" s="979" t="s">
        <v>3402</v>
      </c>
      <c r="B237" s="722" t="str">
        <f>CONCATENATE(LEFT(RIGHT(CONCATENATE("000",IFAData_TEA!A237),6),3),"-",(RIGHT(RIGHT(CONCATENATE("000",IFAData_TEA!A237),6),3)))</f>
        <v>015-917</v>
      </c>
      <c r="C237" s="979" t="s">
        <v>1933</v>
      </c>
      <c r="D237" s="979">
        <v>4</v>
      </c>
      <c r="E237" s="979">
        <v>2359</v>
      </c>
      <c r="F237" s="979" t="s">
        <v>4219</v>
      </c>
      <c r="G237" s="979" t="s">
        <v>4218</v>
      </c>
      <c r="H237" s="1030">
        <v>366250</v>
      </c>
      <c r="I237" s="1030">
        <v>346037</v>
      </c>
      <c r="J237" s="1034">
        <v>1</v>
      </c>
      <c r="K237" s="1030">
        <v>366250</v>
      </c>
      <c r="L237" s="1030">
        <v>346037</v>
      </c>
      <c r="M237" s="979">
        <v>599</v>
      </c>
    </row>
    <row r="238" spans="1:13" ht="15">
      <c r="A238" s="979" t="s">
        <v>3402</v>
      </c>
      <c r="B238" s="722" t="str">
        <f>CONCATENATE(LEFT(RIGHT(CONCATENATE("000",IFAData_TEA!A238),6),3),"-",(RIGHT(RIGHT(CONCATENATE("000",IFAData_TEA!A238),6),3)))</f>
        <v>015-917</v>
      </c>
      <c r="C238" s="979" t="s">
        <v>1933</v>
      </c>
      <c r="D238" s="979">
        <v>6</v>
      </c>
      <c r="E238" s="979">
        <v>2363</v>
      </c>
      <c r="F238" s="979" t="s">
        <v>4222</v>
      </c>
      <c r="G238" s="979" t="s">
        <v>4223</v>
      </c>
      <c r="H238" s="1030">
        <v>1121000</v>
      </c>
      <c r="I238" s="1030">
        <v>346838</v>
      </c>
      <c r="J238" s="1034">
        <v>0.36267302982836613</v>
      </c>
      <c r="K238" s="1030">
        <v>406556.46643759846</v>
      </c>
      <c r="L238" s="1030">
        <v>346838</v>
      </c>
      <c r="M238" s="979">
        <v>599</v>
      </c>
    </row>
    <row r="239" spans="1:13" ht="15">
      <c r="A239" s="979" t="s">
        <v>3402</v>
      </c>
      <c r="B239" s="722" t="str">
        <f>CONCATENATE(LEFT(RIGHT(CONCATENATE("000",IFAData_TEA!A239),6),3),"-",(RIGHT(RIGHT(CONCATENATE("000",IFAData_TEA!A239),6),3)))</f>
        <v>015-917</v>
      </c>
      <c r="C239" s="979" t="s">
        <v>1933</v>
      </c>
      <c r="D239" s="979">
        <v>3</v>
      </c>
      <c r="E239" s="979">
        <v>2360</v>
      </c>
      <c r="F239" s="979" t="s">
        <v>4217</v>
      </c>
      <c r="G239" s="979" t="s">
        <v>4217</v>
      </c>
      <c r="H239" s="1030">
        <v>441314</v>
      </c>
      <c r="I239" s="1030">
        <v>0</v>
      </c>
      <c r="J239" s="1034">
        <v>0</v>
      </c>
      <c r="K239" s="1030">
        <v>0</v>
      </c>
      <c r="L239" s="1030">
        <v>0</v>
      </c>
      <c r="M239" s="979">
        <v>199</v>
      </c>
    </row>
    <row r="240" spans="1:13" ht="15">
      <c r="A240" s="979" t="s">
        <v>3403</v>
      </c>
      <c r="B240" s="722" t="str">
        <f>CONCATENATE(LEFT(RIGHT(CONCATENATE("000",IFAData_TEA!A240),6),3),"-",(RIGHT(RIGHT(CONCATENATE("000",IFAData_TEA!A240),6),3)))</f>
        <v>016-902</v>
      </c>
      <c r="C240" s="979" t="s">
        <v>798</v>
      </c>
      <c r="D240" s="979">
        <v>2</v>
      </c>
      <c r="E240" s="979">
        <v>1613</v>
      </c>
      <c r="F240" s="979" t="s">
        <v>4228</v>
      </c>
      <c r="G240" s="979" t="s">
        <v>4229</v>
      </c>
      <c r="H240" s="1030">
        <v>248495</v>
      </c>
      <c r="I240" s="1030">
        <v>632401</v>
      </c>
      <c r="J240" s="1034">
        <v>0.99023700511715596</v>
      </c>
      <c r="K240" s="1030">
        <v>246068.94458658766</v>
      </c>
      <c r="L240" s="1030">
        <v>246068.94458658766</v>
      </c>
      <c r="M240" s="979">
        <v>599</v>
      </c>
    </row>
    <row r="241" spans="1:13" ht="15">
      <c r="A241" s="979" t="s">
        <v>3403</v>
      </c>
      <c r="B241" s="722" t="str">
        <f>CONCATENATE(LEFT(RIGHT(CONCATENATE("000",IFAData_TEA!A241),6),3),"-",(RIGHT(RIGHT(CONCATENATE("000",IFAData_TEA!A241),6),3)))</f>
        <v>016-902</v>
      </c>
      <c r="C241" s="979" t="s">
        <v>798</v>
      </c>
      <c r="D241" s="979">
        <v>2</v>
      </c>
      <c r="E241" s="979">
        <v>1613</v>
      </c>
      <c r="F241" s="979" t="s">
        <v>4228</v>
      </c>
      <c r="G241" s="979" t="s">
        <v>6198</v>
      </c>
      <c r="H241" s="1030">
        <v>248495</v>
      </c>
      <c r="I241" s="1030">
        <v>6235</v>
      </c>
      <c r="J241" s="1034">
        <v>9.7629948828440605E-3</v>
      </c>
      <c r="K241" s="1030">
        <v>2426.0554134123349</v>
      </c>
      <c r="L241" s="1030">
        <v>2426.0554134123349</v>
      </c>
      <c r="M241" s="979">
        <v>599</v>
      </c>
    </row>
    <row r="242" spans="1:13" ht="15">
      <c r="A242" s="979" t="s">
        <v>3403</v>
      </c>
      <c r="B242" s="722" t="str">
        <f>CONCATENATE(LEFT(RIGHT(CONCATENATE("000",IFAData_TEA!A242),6),3),"-",(RIGHT(RIGHT(CONCATENATE("000",IFAData_TEA!A242),6),3)))</f>
        <v>016-902</v>
      </c>
      <c r="C242" s="979" t="s">
        <v>798</v>
      </c>
      <c r="D242" s="979">
        <v>2</v>
      </c>
      <c r="E242" s="979">
        <v>1613</v>
      </c>
      <c r="F242" s="979" t="s">
        <v>4228</v>
      </c>
      <c r="G242" s="979" t="s">
        <v>4228</v>
      </c>
      <c r="H242" s="1030">
        <v>248495</v>
      </c>
      <c r="I242" s="1030">
        <v>0</v>
      </c>
      <c r="J242" s="1034">
        <v>0</v>
      </c>
      <c r="K242" s="1030">
        <v>0</v>
      </c>
      <c r="L242" s="1030">
        <v>0</v>
      </c>
      <c r="M242" s="979">
        <v>599</v>
      </c>
    </row>
    <row r="243" spans="1:13" ht="15">
      <c r="A243" s="979" t="s">
        <v>3404</v>
      </c>
      <c r="B243" s="722" t="str">
        <f>CONCATENATE(LEFT(RIGHT(CONCATENATE("000",IFAData_TEA!A243),6),3),"-",(RIGHT(RIGHT(CONCATENATE("000",IFAData_TEA!A243),6),3)))</f>
        <v>018-901</v>
      </c>
      <c r="C243" s="979" t="s">
        <v>1165</v>
      </c>
      <c r="D243" s="979">
        <v>2</v>
      </c>
      <c r="E243" s="979">
        <v>1695</v>
      </c>
      <c r="F243" s="979" t="s">
        <v>4230</v>
      </c>
      <c r="G243" s="979" t="s">
        <v>4230</v>
      </c>
      <c r="H243" s="1030">
        <v>314735</v>
      </c>
      <c r="I243" s="1030">
        <v>0</v>
      </c>
      <c r="J243" s="1034">
        <v>0</v>
      </c>
      <c r="K243" s="1030">
        <v>0</v>
      </c>
      <c r="L243" s="1030">
        <v>0</v>
      </c>
      <c r="M243" s="979">
        <v>599</v>
      </c>
    </row>
    <row r="244" spans="1:13" ht="15">
      <c r="A244" s="979" t="s">
        <v>3404</v>
      </c>
      <c r="B244" s="722" t="str">
        <f>CONCATENATE(LEFT(RIGHT(CONCATENATE("000",IFAData_TEA!A244),6),3),"-",(RIGHT(RIGHT(CONCATENATE("000",IFAData_TEA!A244),6),3)))</f>
        <v>018-901</v>
      </c>
      <c r="C244" s="979" t="s">
        <v>1165</v>
      </c>
      <c r="D244" s="979">
        <v>2</v>
      </c>
      <c r="E244" s="979">
        <v>1695</v>
      </c>
      <c r="F244" s="979" t="s">
        <v>4230</v>
      </c>
      <c r="G244" s="979" t="s">
        <v>4231</v>
      </c>
      <c r="H244" s="1030">
        <v>314735</v>
      </c>
      <c r="I244" s="1030">
        <v>528750</v>
      </c>
      <c r="J244" s="1034">
        <v>1</v>
      </c>
      <c r="K244" s="1030">
        <v>314735</v>
      </c>
      <c r="L244" s="1030">
        <v>314735</v>
      </c>
      <c r="M244" s="979">
        <v>599</v>
      </c>
    </row>
    <row r="245" spans="1:13" ht="15">
      <c r="A245" s="979" t="s">
        <v>3405</v>
      </c>
      <c r="B245" s="722" t="str">
        <f>CONCATENATE(LEFT(RIGHT(CONCATENATE("000",IFAData_TEA!A245),6),3),"-",(RIGHT(RIGHT(CONCATENATE("000",IFAData_TEA!A245),6),3)))</f>
        <v>018-902</v>
      </c>
      <c r="C245" s="979" t="s">
        <v>2682</v>
      </c>
      <c r="D245" s="979">
        <v>9</v>
      </c>
      <c r="E245" s="979">
        <v>2095</v>
      </c>
      <c r="F245" s="979" t="s">
        <v>4232</v>
      </c>
      <c r="G245" s="979" t="s">
        <v>4232</v>
      </c>
      <c r="H245" s="1030">
        <v>125707</v>
      </c>
      <c r="I245" s="1030">
        <v>0</v>
      </c>
      <c r="J245" s="1034">
        <v>0</v>
      </c>
      <c r="K245" s="1030">
        <v>0</v>
      </c>
      <c r="L245" s="1030">
        <v>0</v>
      </c>
      <c r="M245" s="979">
        <v>599</v>
      </c>
    </row>
    <row r="246" spans="1:13" ht="15">
      <c r="A246" s="979" t="s">
        <v>3405</v>
      </c>
      <c r="B246" s="722" t="str">
        <f>CONCATENATE(LEFT(RIGHT(CONCATENATE("000",IFAData_TEA!A246),6),3),"-",(RIGHT(RIGHT(CONCATENATE("000",IFAData_TEA!A246),6),3)))</f>
        <v>018-902</v>
      </c>
      <c r="C246" s="979" t="s">
        <v>2682</v>
      </c>
      <c r="D246" s="979">
        <v>9</v>
      </c>
      <c r="E246" s="979">
        <v>2095</v>
      </c>
      <c r="F246" s="979" t="s">
        <v>4232</v>
      </c>
      <c r="G246" s="979" t="s">
        <v>4233</v>
      </c>
      <c r="H246" s="1030">
        <v>125707</v>
      </c>
      <c r="I246" s="1030">
        <v>333440</v>
      </c>
      <c r="J246" s="1034">
        <v>1</v>
      </c>
      <c r="K246" s="1030">
        <v>125707</v>
      </c>
      <c r="L246" s="1030">
        <v>125707</v>
      </c>
      <c r="M246" s="979">
        <v>599</v>
      </c>
    </row>
    <row r="247" spans="1:13" ht="15">
      <c r="A247" s="979" t="s">
        <v>3406</v>
      </c>
      <c r="B247" s="722" t="str">
        <f>CONCATENATE(LEFT(RIGHT(CONCATENATE("000",IFAData_TEA!A247),6),3),"-",(RIGHT(RIGHT(CONCATENATE("000",IFAData_TEA!A247),6),3)))</f>
        <v>018-904</v>
      </c>
      <c r="C247" s="979" t="s">
        <v>2684</v>
      </c>
      <c r="D247" s="979">
        <v>9</v>
      </c>
      <c r="E247" s="979">
        <v>2410</v>
      </c>
      <c r="F247" s="979" t="s">
        <v>4234</v>
      </c>
      <c r="G247" s="979" t="s">
        <v>4234</v>
      </c>
      <c r="H247" s="1030">
        <v>161705</v>
      </c>
      <c r="I247" s="1030">
        <v>466196</v>
      </c>
      <c r="J247" s="1034">
        <v>1</v>
      </c>
      <c r="K247" s="1030">
        <v>161705</v>
      </c>
      <c r="L247" s="1030">
        <v>161705</v>
      </c>
      <c r="M247" s="979">
        <v>599</v>
      </c>
    </row>
    <row r="248" spans="1:13" ht="15">
      <c r="A248" s="979" t="s">
        <v>4235</v>
      </c>
      <c r="B248" s="722" t="str">
        <f>CONCATENATE(LEFT(RIGHT(CONCATENATE("000",IFAData_TEA!A248),6),3),"-",(RIGHT(RIGHT(CONCATENATE("000",IFAData_TEA!A248),6),3)))</f>
        <v>018-905</v>
      </c>
      <c r="C248" s="979" t="s">
        <v>2024</v>
      </c>
      <c r="D248" s="979">
        <v>5</v>
      </c>
      <c r="E248" s="979">
        <v>2435</v>
      </c>
      <c r="F248" s="979" t="s">
        <v>4236</v>
      </c>
      <c r="G248" s="979" t="s">
        <v>4236</v>
      </c>
      <c r="H248" s="1030">
        <v>100000</v>
      </c>
      <c r="I248" s="1030">
        <v>110619</v>
      </c>
      <c r="J248" s="1034">
        <v>1</v>
      </c>
      <c r="K248" s="1030">
        <v>100000</v>
      </c>
      <c r="L248" s="1030">
        <v>100000</v>
      </c>
      <c r="M248" s="979">
        <v>199</v>
      </c>
    </row>
    <row r="249" spans="1:13" ht="15">
      <c r="A249" s="979" t="s">
        <v>4237</v>
      </c>
      <c r="B249" s="722" t="str">
        <f>CONCATENATE(LEFT(RIGHT(CONCATENATE("000",IFAData_TEA!A249),6),3),"-",(RIGHT(RIGHT(CONCATENATE("000",IFAData_TEA!A249),6),3)))</f>
        <v>019-901</v>
      </c>
      <c r="C249" s="979" t="s">
        <v>2666</v>
      </c>
      <c r="D249" s="979">
        <v>4</v>
      </c>
      <c r="E249" s="979">
        <v>1750</v>
      </c>
      <c r="F249" s="979" t="s">
        <v>4238</v>
      </c>
      <c r="G249" s="979" t="s">
        <v>4240</v>
      </c>
      <c r="H249" s="1030">
        <v>243750</v>
      </c>
      <c r="I249" s="1030">
        <v>206750</v>
      </c>
      <c r="J249" s="1034">
        <v>1</v>
      </c>
      <c r="K249" s="1030">
        <v>243750</v>
      </c>
      <c r="L249" s="1030">
        <v>206750</v>
      </c>
      <c r="M249" s="979">
        <v>199</v>
      </c>
    </row>
    <row r="250" spans="1:13" ht="15">
      <c r="A250" s="979" t="s">
        <v>4237</v>
      </c>
      <c r="B250" s="722" t="str">
        <f>CONCATENATE(LEFT(RIGHT(CONCATENATE("000",IFAData_TEA!A250),6),3),"-",(RIGHT(RIGHT(CONCATENATE("000",IFAData_TEA!A250),6),3)))</f>
        <v>019-901</v>
      </c>
      <c r="C250" s="979" t="s">
        <v>2666</v>
      </c>
      <c r="D250" s="979">
        <v>4</v>
      </c>
      <c r="E250" s="979">
        <v>1750</v>
      </c>
      <c r="F250" s="979" t="s">
        <v>4238</v>
      </c>
      <c r="G250" s="979" t="s">
        <v>4239</v>
      </c>
      <c r="H250" s="1030">
        <v>243750</v>
      </c>
      <c r="I250" s="1030">
        <v>0</v>
      </c>
      <c r="J250" s="1034">
        <v>0</v>
      </c>
      <c r="K250" s="1030">
        <v>0</v>
      </c>
      <c r="L250" s="1030">
        <v>0</v>
      </c>
      <c r="M250" s="979">
        <v>199</v>
      </c>
    </row>
    <row r="251" spans="1:13" ht="15">
      <c r="A251" s="979" t="s">
        <v>4237</v>
      </c>
      <c r="B251" s="722" t="str">
        <f>CONCATENATE(LEFT(RIGHT(CONCATENATE("000",IFAData_TEA!A251),6),3),"-",(RIGHT(RIGHT(CONCATENATE("000",IFAData_TEA!A251),6),3)))</f>
        <v>019-901</v>
      </c>
      <c r="C251" s="979" t="s">
        <v>2666</v>
      </c>
      <c r="D251" s="979">
        <v>4</v>
      </c>
      <c r="E251" s="979">
        <v>1750</v>
      </c>
      <c r="F251" s="979" t="s">
        <v>4238</v>
      </c>
      <c r="G251" s="979" t="s">
        <v>4238</v>
      </c>
      <c r="H251" s="1030">
        <v>243750</v>
      </c>
      <c r="I251" s="1030">
        <v>0</v>
      </c>
      <c r="J251" s="1034">
        <v>0</v>
      </c>
      <c r="K251" s="1030">
        <v>0</v>
      </c>
      <c r="L251" s="1030">
        <v>0</v>
      </c>
      <c r="M251" s="979">
        <v>199</v>
      </c>
    </row>
    <row r="252" spans="1:13" ht="15">
      <c r="A252" s="979" t="s">
        <v>3407</v>
      </c>
      <c r="B252" s="722" t="str">
        <f>CONCATENATE(LEFT(RIGHT(CONCATENATE("000",IFAData_TEA!A252),6),3),"-",(RIGHT(RIGHT(CONCATENATE("000",IFAData_TEA!A252),6),3)))</f>
        <v>019-902</v>
      </c>
      <c r="C252" s="979" t="s">
        <v>2379</v>
      </c>
      <c r="D252" s="979">
        <v>6</v>
      </c>
      <c r="E252" s="979">
        <v>1900</v>
      </c>
      <c r="F252" s="979" t="s">
        <v>4243</v>
      </c>
      <c r="G252" s="979" t="s">
        <v>4244</v>
      </c>
      <c r="H252" s="1030">
        <v>233415</v>
      </c>
      <c r="I252" s="1030">
        <v>195150</v>
      </c>
      <c r="J252" s="1034">
        <v>1</v>
      </c>
      <c r="K252" s="1030">
        <v>233415</v>
      </c>
      <c r="L252" s="1030">
        <v>195150</v>
      </c>
      <c r="M252" s="979">
        <v>599</v>
      </c>
    </row>
    <row r="253" spans="1:13" ht="15">
      <c r="A253" s="979" t="s">
        <v>3407</v>
      </c>
      <c r="B253" s="722" t="str">
        <f>CONCATENATE(LEFT(RIGHT(CONCATENATE("000",IFAData_TEA!A253),6),3),"-",(RIGHT(RIGHT(CONCATENATE("000",IFAData_TEA!A253),6),3)))</f>
        <v>019-902</v>
      </c>
      <c r="C253" s="979" t="s">
        <v>2379</v>
      </c>
      <c r="D253" s="979">
        <v>6</v>
      </c>
      <c r="E253" s="979">
        <v>1900</v>
      </c>
      <c r="F253" s="979" t="s">
        <v>4243</v>
      </c>
      <c r="G253" s="979" t="s">
        <v>4243</v>
      </c>
      <c r="H253" s="1030">
        <v>233415</v>
      </c>
      <c r="I253" s="1030">
        <v>0</v>
      </c>
      <c r="J253" s="1034">
        <v>0</v>
      </c>
      <c r="K253" s="1030">
        <v>0</v>
      </c>
      <c r="L253" s="1030">
        <v>0</v>
      </c>
      <c r="M253" s="979">
        <v>599</v>
      </c>
    </row>
    <row r="254" spans="1:13" ht="15">
      <c r="A254" s="979" t="s">
        <v>3407</v>
      </c>
      <c r="B254" s="722" t="str">
        <f>CONCATENATE(LEFT(RIGHT(CONCATENATE("000",IFAData_TEA!A254),6),3),"-",(RIGHT(RIGHT(CONCATENATE("000",IFAData_TEA!A254),6),3)))</f>
        <v>019-902</v>
      </c>
      <c r="C254" s="979" t="s">
        <v>2379</v>
      </c>
      <c r="D254" s="979">
        <v>9</v>
      </c>
      <c r="E254" s="979">
        <v>1901</v>
      </c>
      <c r="F254" s="979" t="s">
        <v>4245</v>
      </c>
      <c r="G254" s="979" t="s">
        <v>4245</v>
      </c>
      <c r="H254" s="1030">
        <v>245486</v>
      </c>
      <c r="I254" s="1030">
        <v>234405</v>
      </c>
      <c r="J254" s="1034">
        <v>1</v>
      </c>
      <c r="K254" s="1030">
        <v>245486</v>
      </c>
      <c r="L254" s="1030">
        <v>234405</v>
      </c>
      <c r="M254" s="979">
        <v>599</v>
      </c>
    </row>
    <row r="255" spans="1:13" ht="15">
      <c r="A255" s="979" t="s">
        <v>3407</v>
      </c>
      <c r="B255" s="722" t="str">
        <f>CONCATENATE(LEFT(RIGHT(CONCATENATE("000",IFAData_TEA!A255),6),3),"-",(RIGHT(RIGHT(CONCATENATE("000",IFAData_TEA!A255),6),3)))</f>
        <v>019-902</v>
      </c>
      <c r="C255" s="979" t="s">
        <v>2379</v>
      </c>
      <c r="D255" s="979">
        <v>4</v>
      </c>
      <c r="E255" s="979">
        <v>1902</v>
      </c>
      <c r="F255" s="979" t="s">
        <v>4241</v>
      </c>
      <c r="G255" s="979" t="s">
        <v>4242</v>
      </c>
      <c r="H255" s="1030">
        <v>271149</v>
      </c>
      <c r="I255" s="1030">
        <v>264712</v>
      </c>
      <c r="J255" s="1034">
        <v>1</v>
      </c>
      <c r="K255" s="1030">
        <v>271149</v>
      </c>
      <c r="L255" s="1030">
        <v>264712</v>
      </c>
      <c r="M255" s="979">
        <v>599</v>
      </c>
    </row>
    <row r="256" spans="1:13" ht="15">
      <c r="A256" s="979" t="s">
        <v>3407</v>
      </c>
      <c r="B256" s="722" t="str">
        <f>CONCATENATE(LEFT(RIGHT(CONCATENATE("000",IFAData_TEA!A256),6),3),"-",(RIGHT(RIGHT(CONCATENATE("000",IFAData_TEA!A256),6),3)))</f>
        <v>019-902</v>
      </c>
      <c r="C256" s="979" t="s">
        <v>2379</v>
      </c>
      <c r="D256" s="979">
        <v>4</v>
      </c>
      <c r="E256" s="979">
        <v>1902</v>
      </c>
      <c r="F256" s="979" t="s">
        <v>4241</v>
      </c>
      <c r="G256" s="979" t="s">
        <v>4241</v>
      </c>
      <c r="H256" s="1030">
        <v>271149</v>
      </c>
      <c r="I256" s="1030">
        <v>0</v>
      </c>
      <c r="J256" s="1034">
        <v>0</v>
      </c>
      <c r="K256" s="1030">
        <v>0</v>
      </c>
      <c r="L256" s="1030">
        <v>0</v>
      </c>
      <c r="M256" s="979">
        <v>599</v>
      </c>
    </row>
    <row r="257" spans="1:13" ht="15">
      <c r="A257" s="979" t="s">
        <v>3408</v>
      </c>
      <c r="B257" s="722" t="str">
        <f>CONCATENATE(LEFT(RIGHT(CONCATENATE("000",IFAData_TEA!A257),6),3),"-",(RIGHT(RIGHT(CONCATENATE("000",IFAData_TEA!A257),6),3)))</f>
        <v>019-903</v>
      </c>
      <c r="C257" s="979" t="s">
        <v>2067</v>
      </c>
      <c r="D257" s="979">
        <v>5</v>
      </c>
      <c r="E257" s="979">
        <v>2076</v>
      </c>
      <c r="F257" s="979" t="s">
        <v>4246</v>
      </c>
      <c r="G257" s="979" t="s">
        <v>4246</v>
      </c>
      <c r="H257" s="1030">
        <v>71216</v>
      </c>
      <c r="I257" s="1030">
        <v>0</v>
      </c>
      <c r="J257" s="1034">
        <v>0</v>
      </c>
      <c r="K257" s="1030">
        <v>0</v>
      </c>
      <c r="L257" s="1030">
        <v>0</v>
      </c>
      <c r="M257" s="979">
        <v>599</v>
      </c>
    </row>
    <row r="258" spans="1:13" ht="15">
      <c r="A258" s="979" t="s">
        <v>3408</v>
      </c>
      <c r="B258" s="722" t="str">
        <f>CONCATENATE(LEFT(RIGHT(CONCATENATE("000",IFAData_TEA!A258),6),3),"-",(RIGHT(RIGHT(CONCATENATE("000",IFAData_TEA!A258),6),3)))</f>
        <v>019-903</v>
      </c>
      <c r="C258" s="979" t="s">
        <v>2067</v>
      </c>
      <c r="D258" s="979">
        <v>5</v>
      </c>
      <c r="E258" s="979">
        <v>2076</v>
      </c>
      <c r="F258" s="979" t="s">
        <v>4246</v>
      </c>
      <c r="G258" s="979" t="s">
        <v>4247</v>
      </c>
      <c r="H258" s="1030">
        <v>71216</v>
      </c>
      <c r="I258" s="1030">
        <v>66750</v>
      </c>
      <c r="J258" s="1034">
        <v>1</v>
      </c>
      <c r="K258" s="1030">
        <v>71216</v>
      </c>
      <c r="L258" s="1030">
        <v>66750</v>
      </c>
      <c r="M258" s="979">
        <v>599</v>
      </c>
    </row>
    <row r="259" spans="1:13" ht="15">
      <c r="A259" s="979" t="s">
        <v>3409</v>
      </c>
      <c r="B259" s="722" t="str">
        <f>CONCATENATE(LEFT(RIGHT(CONCATENATE("000",IFAData_TEA!A259),6),3),"-",(RIGHT(RIGHT(CONCATENATE("000",IFAData_TEA!A259),6),3)))</f>
        <v>019-905</v>
      </c>
      <c r="C259" s="979" t="s">
        <v>1398</v>
      </c>
      <c r="D259" s="979">
        <v>9</v>
      </c>
      <c r="E259" s="979">
        <v>2134</v>
      </c>
      <c r="F259" s="979" t="s">
        <v>4248</v>
      </c>
      <c r="G259" s="979" t="s">
        <v>6199</v>
      </c>
      <c r="H259" s="1030">
        <v>323346</v>
      </c>
      <c r="I259" s="1030">
        <v>134524</v>
      </c>
      <c r="J259" s="1034">
        <v>0.25881945513313837</v>
      </c>
      <c r="K259" s="1030">
        <v>83688.235539479763</v>
      </c>
      <c r="L259" s="1030">
        <v>83688.235539479763</v>
      </c>
      <c r="M259" s="979">
        <v>599</v>
      </c>
    </row>
    <row r="260" spans="1:13" ht="15">
      <c r="A260" s="979" t="s">
        <v>3409</v>
      </c>
      <c r="B260" s="722" t="str">
        <f>CONCATENATE(LEFT(RIGHT(CONCATENATE("000",IFAData_TEA!A260),6),3),"-",(RIGHT(RIGHT(CONCATENATE("000",IFAData_TEA!A260),6),3)))</f>
        <v>019-905</v>
      </c>
      <c r="C260" s="979" t="s">
        <v>1398</v>
      </c>
      <c r="D260" s="979">
        <v>9</v>
      </c>
      <c r="E260" s="979">
        <v>2134</v>
      </c>
      <c r="F260" s="979" t="s">
        <v>4248</v>
      </c>
      <c r="G260" s="979" t="s">
        <v>4248</v>
      </c>
      <c r="H260" s="1030">
        <v>323346</v>
      </c>
      <c r="I260" s="1030">
        <v>385236</v>
      </c>
      <c r="J260" s="1034">
        <v>0.74118054486686158</v>
      </c>
      <c r="K260" s="1030">
        <v>239657.76446052024</v>
      </c>
      <c r="L260" s="1030">
        <v>239657.76446052024</v>
      </c>
      <c r="M260" s="979">
        <v>599</v>
      </c>
    </row>
    <row r="261" spans="1:13" ht="15">
      <c r="A261" s="979" t="s">
        <v>3410</v>
      </c>
      <c r="B261" s="722" t="str">
        <f>CONCATENATE(LEFT(RIGHT(CONCATENATE("000",IFAData_TEA!A261),6),3),"-",(RIGHT(RIGHT(CONCATENATE("000",IFAData_TEA!A261),6),3)))</f>
        <v>019-909</v>
      </c>
      <c r="C261" s="979" t="s">
        <v>266</v>
      </c>
      <c r="D261" s="979">
        <v>5</v>
      </c>
      <c r="E261" s="979">
        <v>2335</v>
      </c>
      <c r="F261" s="979" t="s">
        <v>4249</v>
      </c>
      <c r="G261" s="979" t="s">
        <v>4249</v>
      </c>
      <c r="H261" s="1030">
        <v>130653</v>
      </c>
      <c r="I261" s="1030">
        <v>0</v>
      </c>
      <c r="J261" s="1034">
        <v>0</v>
      </c>
      <c r="K261" s="1030">
        <v>0</v>
      </c>
      <c r="L261" s="1030">
        <v>0</v>
      </c>
      <c r="M261" s="979">
        <v>599</v>
      </c>
    </row>
    <row r="262" spans="1:13" ht="15">
      <c r="A262" s="979" t="s">
        <v>3410</v>
      </c>
      <c r="B262" s="722" t="str">
        <f>CONCATENATE(LEFT(RIGHT(CONCATENATE("000",IFAData_TEA!A262),6),3),"-",(RIGHT(RIGHT(CONCATENATE("000",IFAData_TEA!A262),6),3)))</f>
        <v>019-909</v>
      </c>
      <c r="C262" s="979" t="s">
        <v>266</v>
      </c>
      <c r="D262" s="979">
        <v>5</v>
      </c>
      <c r="E262" s="979">
        <v>2335</v>
      </c>
      <c r="F262" s="979" t="s">
        <v>4249</v>
      </c>
      <c r="G262" s="979" t="s">
        <v>4250</v>
      </c>
      <c r="H262" s="1030">
        <v>130653</v>
      </c>
      <c r="I262" s="1030">
        <v>119150</v>
      </c>
      <c r="J262" s="1034">
        <v>1</v>
      </c>
      <c r="K262" s="1030">
        <v>130653</v>
      </c>
      <c r="L262" s="1030">
        <v>119150</v>
      </c>
      <c r="M262" s="979">
        <v>599</v>
      </c>
    </row>
    <row r="263" spans="1:13" ht="15">
      <c r="A263" s="979" t="s">
        <v>3411</v>
      </c>
      <c r="B263" s="722" t="str">
        <f>CONCATENATE(LEFT(RIGHT(CONCATENATE("000",IFAData_TEA!A263),6),3),"-",(RIGHT(RIGHT(CONCATENATE("000",IFAData_TEA!A263),6),3)))</f>
        <v>019-910</v>
      </c>
      <c r="C263" s="979" t="s">
        <v>289</v>
      </c>
      <c r="D263" s="979">
        <v>5</v>
      </c>
      <c r="E263" s="979">
        <v>2055</v>
      </c>
      <c r="F263" s="979" t="s">
        <v>4251</v>
      </c>
      <c r="G263" s="979" t="s">
        <v>4252</v>
      </c>
      <c r="H263" s="1030">
        <v>82900</v>
      </c>
      <c r="I263" s="1030">
        <v>74906</v>
      </c>
      <c r="J263" s="1034">
        <v>1</v>
      </c>
      <c r="K263" s="1030">
        <v>82900</v>
      </c>
      <c r="L263" s="1030">
        <v>74906</v>
      </c>
      <c r="M263" s="979">
        <v>599</v>
      </c>
    </row>
    <row r="264" spans="1:13" ht="15">
      <c r="A264" s="979" t="s">
        <v>3411</v>
      </c>
      <c r="B264" s="722" t="str">
        <f>CONCATENATE(LEFT(RIGHT(CONCATENATE("000",IFAData_TEA!A264),6),3),"-",(RIGHT(RIGHT(CONCATENATE("000",IFAData_TEA!A264),6),3)))</f>
        <v>019-910</v>
      </c>
      <c r="C264" s="979" t="s">
        <v>289</v>
      </c>
      <c r="D264" s="979">
        <v>5</v>
      </c>
      <c r="E264" s="979">
        <v>2055</v>
      </c>
      <c r="F264" s="979" t="s">
        <v>4251</v>
      </c>
      <c r="G264" s="979" t="s">
        <v>4251</v>
      </c>
      <c r="H264" s="1030">
        <v>82900</v>
      </c>
      <c r="I264" s="1030">
        <v>0</v>
      </c>
      <c r="J264" s="1034">
        <v>0</v>
      </c>
      <c r="K264" s="1030">
        <v>0</v>
      </c>
      <c r="L264" s="1030">
        <v>0</v>
      </c>
      <c r="M264" s="979">
        <v>599</v>
      </c>
    </row>
    <row r="265" spans="1:13" ht="15">
      <c r="A265" s="979" t="s">
        <v>3412</v>
      </c>
      <c r="B265" s="722" t="str">
        <f>CONCATENATE(LEFT(RIGHT(CONCATENATE("000",IFAData_TEA!A265),6),3),"-",(RIGHT(RIGHT(CONCATENATE("000",IFAData_TEA!A265),6),3)))</f>
        <v>020-901</v>
      </c>
      <c r="C265" s="979" t="s">
        <v>1052</v>
      </c>
      <c r="D265" s="979">
        <v>6</v>
      </c>
      <c r="E265" s="979">
        <v>1565</v>
      </c>
      <c r="F265" s="979" t="s">
        <v>4258</v>
      </c>
      <c r="G265" s="979" t="s">
        <v>4255</v>
      </c>
      <c r="H265" s="1030">
        <v>310452</v>
      </c>
      <c r="I265" s="1030">
        <v>576195</v>
      </c>
      <c r="J265" s="1034">
        <v>0.73651803666771909</v>
      </c>
      <c r="K265" s="1030">
        <v>228653.49751956674</v>
      </c>
      <c r="L265" s="1030">
        <v>228653.49751956674</v>
      </c>
      <c r="M265" s="979">
        <v>599</v>
      </c>
    </row>
    <row r="266" spans="1:13" ht="15">
      <c r="A266" s="979" t="s">
        <v>3412</v>
      </c>
      <c r="B266" s="722" t="str">
        <f>CONCATENATE(LEFT(RIGHT(CONCATENATE("000",IFAData_TEA!A266),6),3),"-",(RIGHT(RIGHT(CONCATENATE("000",IFAData_TEA!A266),6),3)))</f>
        <v>020-901</v>
      </c>
      <c r="C266" s="979" t="s">
        <v>1052</v>
      </c>
      <c r="D266" s="979">
        <v>5</v>
      </c>
      <c r="E266" s="979">
        <v>1566</v>
      </c>
      <c r="F266" s="979" t="s">
        <v>4257</v>
      </c>
      <c r="G266" s="979" t="s">
        <v>4256</v>
      </c>
      <c r="H266" s="1030">
        <v>348271</v>
      </c>
      <c r="I266" s="1030">
        <v>112361</v>
      </c>
      <c r="J266" s="1034">
        <v>0.206733307942676</v>
      </c>
      <c r="K266" s="1030">
        <v>71999.215890503707</v>
      </c>
      <c r="L266" s="1030">
        <v>71999.215890503707</v>
      </c>
      <c r="M266" s="979">
        <v>599</v>
      </c>
    </row>
    <row r="267" spans="1:13" ht="15">
      <c r="A267" s="979" t="s">
        <v>3412</v>
      </c>
      <c r="B267" s="722" t="str">
        <f>CONCATENATE(LEFT(RIGHT(CONCATENATE("000",IFAData_TEA!A267),6),3),"-",(RIGHT(RIGHT(CONCATENATE("000",IFAData_TEA!A267),6),3)))</f>
        <v>020-901</v>
      </c>
      <c r="C267" s="979" t="s">
        <v>1052</v>
      </c>
      <c r="D267" s="979">
        <v>5</v>
      </c>
      <c r="E267" s="979">
        <v>1567</v>
      </c>
      <c r="F267" s="979" t="s">
        <v>4253</v>
      </c>
      <c r="G267" s="979" t="s">
        <v>4253</v>
      </c>
      <c r="H267" s="1030">
        <v>532173</v>
      </c>
      <c r="I267" s="1030">
        <v>0</v>
      </c>
      <c r="J267" s="1034">
        <v>0</v>
      </c>
      <c r="K267" s="1030">
        <v>0</v>
      </c>
      <c r="L267" s="1030">
        <v>0</v>
      </c>
      <c r="M267" s="979">
        <v>599</v>
      </c>
    </row>
    <row r="268" spans="1:13" ht="15">
      <c r="A268" s="979" t="s">
        <v>3412</v>
      </c>
      <c r="B268" s="722" t="str">
        <f>CONCATENATE(LEFT(RIGHT(CONCATENATE("000",IFAData_TEA!A268),6),3),"-",(RIGHT(RIGHT(CONCATENATE("000",IFAData_TEA!A268),6),3)))</f>
        <v>020-901</v>
      </c>
      <c r="C268" s="979" t="s">
        <v>1052</v>
      </c>
      <c r="D268" s="979">
        <v>5</v>
      </c>
      <c r="E268" s="979">
        <v>1566</v>
      </c>
      <c r="F268" s="979" t="s">
        <v>4257</v>
      </c>
      <c r="G268" s="979" t="s">
        <v>6200</v>
      </c>
      <c r="H268" s="1030">
        <v>348271</v>
      </c>
      <c r="I268" s="1030">
        <v>63715</v>
      </c>
      <c r="J268" s="1034">
        <v>0.11722940090927991</v>
      </c>
      <c r="K268" s="1030">
        <v>40827.600684075827</v>
      </c>
      <c r="L268" s="1030">
        <v>40827.600684075827</v>
      </c>
      <c r="M268" s="979">
        <v>599</v>
      </c>
    </row>
    <row r="269" spans="1:13" ht="15">
      <c r="A269" s="979" t="s">
        <v>3412</v>
      </c>
      <c r="B269" s="722" t="str">
        <f>CONCATENATE(LEFT(RIGHT(CONCATENATE("000",IFAData_TEA!A269),6),3),"-",(RIGHT(RIGHT(CONCATENATE("000",IFAData_TEA!A269),6),3)))</f>
        <v>020-901</v>
      </c>
      <c r="C269" s="979" t="s">
        <v>1052</v>
      </c>
      <c r="D269" s="979">
        <v>5</v>
      </c>
      <c r="E269" s="979">
        <v>1567</v>
      </c>
      <c r="F269" s="979" t="s">
        <v>4253</v>
      </c>
      <c r="G269" s="979" t="s">
        <v>4255</v>
      </c>
      <c r="H269" s="1030">
        <v>532173</v>
      </c>
      <c r="I269" s="1030">
        <v>515545</v>
      </c>
      <c r="J269" s="1034">
        <v>0.52980414886248495</v>
      </c>
      <c r="K269" s="1030">
        <v>281947.46331259521</v>
      </c>
      <c r="L269" s="1030">
        <v>281947.46331259521</v>
      </c>
      <c r="M269" s="979">
        <v>599</v>
      </c>
    </row>
    <row r="270" spans="1:13" ht="15">
      <c r="A270" s="979" t="s">
        <v>3412</v>
      </c>
      <c r="B270" s="722" t="str">
        <f>CONCATENATE(LEFT(RIGHT(CONCATENATE("000",IFAData_TEA!A270),6),3),"-",(RIGHT(RIGHT(CONCATENATE("000",IFAData_TEA!A270),6),3)))</f>
        <v>020-901</v>
      </c>
      <c r="C270" s="979" t="s">
        <v>1052</v>
      </c>
      <c r="D270" s="979">
        <v>5</v>
      </c>
      <c r="E270" s="979">
        <v>1567</v>
      </c>
      <c r="F270" s="979" t="s">
        <v>4253</v>
      </c>
      <c r="G270" s="979" t="s">
        <v>4254</v>
      </c>
      <c r="H270" s="1030">
        <v>532173</v>
      </c>
      <c r="I270" s="1030">
        <v>171511</v>
      </c>
      <c r="J270" s="1034">
        <v>0.1762547195211934</v>
      </c>
      <c r="K270" s="1030">
        <v>93798.002851752055</v>
      </c>
      <c r="L270" s="1030">
        <v>93798.002851752055</v>
      </c>
      <c r="M270" s="979">
        <v>599</v>
      </c>
    </row>
    <row r="271" spans="1:13" ht="15">
      <c r="A271" s="979" t="s">
        <v>3412</v>
      </c>
      <c r="B271" s="722" t="str">
        <f>CONCATENATE(LEFT(RIGHT(CONCATENATE("000",IFAData_TEA!A271),6),3),"-",(RIGHT(RIGHT(CONCATENATE("000",IFAData_TEA!A271),6),3)))</f>
        <v>020-901</v>
      </c>
      <c r="C271" s="979" t="s">
        <v>1052</v>
      </c>
      <c r="D271" s="979">
        <v>6</v>
      </c>
      <c r="E271" s="979">
        <v>1565</v>
      </c>
      <c r="F271" s="979" t="s">
        <v>4258</v>
      </c>
      <c r="G271" s="979" t="s">
        <v>4259</v>
      </c>
      <c r="H271" s="1030">
        <v>310452</v>
      </c>
      <c r="I271" s="1030">
        <v>126628</v>
      </c>
      <c r="J271" s="1034">
        <v>0.16186153289625896</v>
      </c>
      <c r="K271" s="1030">
        <v>50250.236610709384</v>
      </c>
      <c r="L271" s="1030">
        <v>50250.236610709384</v>
      </c>
      <c r="M271" s="979">
        <v>599</v>
      </c>
    </row>
    <row r="272" spans="1:13" ht="15">
      <c r="A272" s="979" t="s">
        <v>3412</v>
      </c>
      <c r="B272" s="722" t="str">
        <f>CONCATENATE(LEFT(RIGHT(CONCATENATE("000",IFAData_TEA!A272),6),3),"-",(RIGHT(RIGHT(CONCATENATE("000",IFAData_TEA!A272),6),3)))</f>
        <v>020-901</v>
      </c>
      <c r="C272" s="979" t="s">
        <v>1052</v>
      </c>
      <c r="D272" s="979">
        <v>5</v>
      </c>
      <c r="E272" s="979">
        <v>1567</v>
      </c>
      <c r="F272" s="979" t="s">
        <v>4253</v>
      </c>
      <c r="G272" s="979" t="s">
        <v>4256</v>
      </c>
      <c r="H272" s="1030">
        <v>532173</v>
      </c>
      <c r="I272" s="1030">
        <v>78352</v>
      </c>
      <c r="J272" s="1034">
        <v>8.0519090810062005E-2</v>
      </c>
      <c r="K272" s="1030">
        <v>42850.086113663128</v>
      </c>
      <c r="L272" s="1030">
        <v>42850.086113663128</v>
      </c>
      <c r="M272" s="979">
        <v>599</v>
      </c>
    </row>
    <row r="273" spans="1:13" ht="15">
      <c r="A273" s="979" t="s">
        <v>3412</v>
      </c>
      <c r="B273" s="722" t="str">
        <f>CONCATENATE(LEFT(RIGHT(CONCATENATE("000",IFAData_TEA!A273),6),3),"-",(RIGHT(RIGHT(CONCATENATE("000",IFAData_TEA!A273),6),3)))</f>
        <v>020-901</v>
      </c>
      <c r="C273" s="979" t="s">
        <v>1052</v>
      </c>
      <c r="D273" s="979">
        <v>6</v>
      </c>
      <c r="E273" s="979">
        <v>1565</v>
      </c>
      <c r="F273" s="979" t="s">
        <v>4258</v>
      </c>
      <c r="G273" s="979" t="s">
        <v>4258</v>
      </c>
      <c r="H273" s="1030">
        <v>310452</v>
      </c>
      <c r="I273" s="1030">
        <v>0</v>
      </c>
      <c r="J273" s="1034">
        <v>0</v>
      </c>
      <c r="K273" s="1030">
        <v>0</v>
      </c>
      <c r="L273" s="1030">
        <v>0</v>
      </c>
      <c r="M273" s="979">
        <v>599</v>
      </c>
    </row>
    <row r="274" spans="1:13" ht="15">
      <c r="A274" s="979" t="s">
        <v>3412</v>
      </c>
      <c r="B274" s="722" t="str">
        <f>CONCATENATE(LEFT(RIGHT(CONCATENATE("000",IFAData_TEA!A274),6),3),"-",(RIGHT(RIGHT(CONCATENATE("000",IFAData_TEA!A274),6),3)))</f>
        <v>020-901</v>
      </c>
      <c r="C274" s="979" t="s">
        <v>1052</v>
      </c>
      <c r="D274" s="979">
        <v>10</v>
      </c>
      <c r="E274" s="979">
        <v>1568</v>
      </c>
      <c r="F274" s="979" t="s">
        <v>4260</v>
      </c>
      <c r="G274" s="979" t="s">
        <v>4260</v>
      </c>
      <c r="H274" s="1030">
        <v>750900</v>
      </c>
      <c r="I274" s="1030">
        <v>835127</v>
      </c>
      <c r="J274" s="1034">
        <v>1</v>
      </c>
      <c r="K274" s="1030">
        <v>750900</v>
      </c>
      <c r="L274" s="1030">
        <v>750900</v>
      </c>
      <c r="M274" s="979">
        <v>599</v>
      </c>
    </row>
    <row r="275" spans="1:13" ht="15">
      <c r="A275" s="979" t="s">
        <v>3412</v>
      </c>
      <c r="B275" s="722" t="str">
        <f>CONCATENATE(LEFT(RIGHT(CONCATENATE("000",IFAData_TEA!A275),6),3),"-",(RIGHT(RIGHT(CONCATENATE("000",IFAData_TEA!A275),6),3)))</f>
        <v>020-901</v>
      </c>
      <c r="C275" s="979" t="s">
        <v>1052</v>
      </c>
      <c r="D275" s="979">
        <v>5</v>
      </c>
      <c r="E275" s="979">
        <v>1566</v>
      </c>
      <c r="F275" s="979" t="s">
        <v>4257</v>
      </c>
      <c r="G275" s="979" t="s">
        <v>4257</v>
      </c>
      <c r="H275" s="1030">
        <v>348271</v>
      </c>
      <c r="I275" s="1030">
        <v>182627</v>
      </c>
      <c r="J275" s="1034">
        <v>0.33601591147860099</v>
      </c>
      <c r="K275" s="1030">
        <v>117024.59750656385</v>
      </c>
      <c r="L275" s="1030">
        <v>117024.59750656385</v>
      </c>
      <c r="M275" s="979">
        <v>599</v>
      </c>
    </row>
    <row r="276" spans="1:13" ht="15">
      <c r="A276" s="979" t="s">
        <v>3412</v>
      </c>
      <c r="B276" s="722" t="str">
        <f>CONCATENATE(LEFT(RIGHT(CONCATENATE("000",IFAData_TEA!A276),6),3),"-",(RIGHT(RIGHT(CONCATENATE("000",IFAData_TEA!A276),6),3)))</f>
        <v>020-901</v>
      </c>
      <c r="C276" s="979" t="s">
        <v>1052</v>
      </c>
      <c r="D276" s="979">
        <v>6</v>
      </c>
      <c r="E276" s="979">
        <v>1565</v>
      </c>
      <c r="F276" s="979" t="s">
        <v>4258</v>
      </c>
      <c r="G276" s="979" t="s">
        <v>6200</v>
      </c>
      <c r="H276" s="1030">
        <v>310452</v>
      </c>
      <c r="I276" s="1030">
        <v>79500</v>
      </c>
      <c r="J276" s="1034">
        <v>0.10162043043602195</v>
      </c>
      <c r="K276" s="1030">
        <v>31548.265869723888</v>
      </c>
      <c r="L276" s="1030">
        <v>31548.265869723888</v>
      </c>
      <c r="M276" s="979">
        <v>599</v>
      </c>
    </row>
    <row r="277" spans="1:13" ht="15">
      <c r="A277" s="979" t="s">
        <v>3412</v>
      </c>
      <c r="B277" s="722" t="str">
        <f>CONCATENATE(LEFT(RIGHT(CONCATENATE("000",IFAData_TEA!A277),6),3),"-",(RIGHT(RIGHT(CONCATENATE("000",IFAData_TEA!A277),6),3)))</f>
        <v>020-901</v>
      </c>
      <c r="C277" s="979" t="s">
        <v>1052</v>
      </c>
      <c r="D277" s="979">
        <v>5</v>
      </c>
      <c r="E277" s="979">
        <v>1567</v>
      </c>
      <c r="F277" s="979" t="s">
        <v>4253</v>
      </c>
      <c r="G277" s="979" t="s">
        <v>6200</v>
      </c>
      <c r="H277" s="1030">
        <v>532173</v>
      </c>
      <c r="I277" s="1030">
        <v>207678</v>
      </c>
      <c r="J277" s="1034">
        <v>0.21342204080625968</v>
      </c>
      <c r="K277" s="1030">
        <v>113577.44772198964</v>
      </c>
      <c r="L277" s="1030">
        <v>113577.44772198964</v>
      </c>
      <c r="M277" s="979">
        <v>599</v>
      </c>
    </row>
    <row r="278" spans="1:13" ht="15">
      <c r="A278" s="979" t="s">
        <v>3412</v>
      </c>
      <c r="B278" s="722" t="str">
        <f>CONCATENATE(LEFT(RIGHT(CONCATENATE("000",IFAData_TEA!A278),6),3),"-",(RIGHT(RIGHT(CONCATENATE("000",IFAData_TEA!A278),6),3)))</f>
        <v>020-901</v>
      </c>
      <c r="C278" s="979" t="s">
        <v>1052</v>
      </c>
      <c r="D278" s="979">
        <v>5</v>
      </c>
      <c r="E278" s="979">
        <v>1566</v>
      </c>
      <c r="F278" s="979" t="s">
        <v>4257</v>
      </c>
      <c r="G278" s="979" t="s">
        <v>4254</v>
      </c>
      <c r="H278" s="1030">
        <v>348271</v>
      </c>
      <c r="I278" s="1030">
        <v>184804</v>
      </c>
      <c r="J278" s="1034">
        <v>0.34002137966944307</v>
      </c>
      <c r="K278" s="1030">
        <v>118419.58591885661</v>
      </c>
      <c r="L278" s="1030">
        <v>118419.58591885661</v>
      </c>
      <c r="M278" s="979">
        <v>599</v>
      </c>
    </row>
    <row r="279" spans="1:13" ht="15">
      <c r="A279" s="979" t="s">
        <v>3413</v>
      </c>
      <c r="B279" s="722" t="str">
        <f>CONCATENATE(LEFT(RIGHT(CONCATENATE("000",IFAData_TEA!A279),6),3),"-",(RIGHT(RIGHT(CONCATENATE("000",IFAData_TEA!A279),6),3)))</f>
        <v>020-904</v>
      </c>
      <c r="C279" s="979" t="s">
        <v>2662</v>
      </c>
      <c r="D279" s="979">
        <v>4</v>
      </c>
      <c r="E279" s="979">
        <v>1744</v>
      </c>
      <c r="F279" s="979" t="s">
        <v>4261</v>
      </c>
      <c r="G279" s="979" t="s">
        <v>4261</v>
      </c>
      <c r="H279" s="1030">
        <v>187870</v>
      </c>
      <c r="I279" s="1030">
        <v>0</v>
      </c>
      <c r="J279" s="1034">
        <v>0</v>
      </c>
      <c r="K279" s="1030">
        <v>0</v>
      </c>
      <c r="L279" s="1030">
        <v>0</v>
      </c>
      <c r="M279" s="979">
        <v>599</v>
      </c>
    </row>
    <row r="280" spans="1:13" ht="15">
      <c r="A280" s="979" t="s">
        <v>3413</v>
      </c>
      <c r="B280" s="722" t="str">
        <f>CONCATENATE(LEFT(RIGHT(CONCATENATE("000",IFAData_TEA!A280),6),3),"-",(RIGHT(RIGHT(CONCATENATE("000",IFAData_TEA!A280),6),3)))</f>
        <v>020-904</v>
      </c>
      <c r="C280" s="979" t="s">
        <v>2662</v>
      </c>
      <c r="D280" s="979">
        <v>4</v>
      </c>
      <c r="E280" s="979">
        <v>1744</v>
      </c>
      <c r="F280" s="979" t="s">
        <v>4261</v>
      </c>
      <c r="G280" s="979" t="s">
        <v>4262</v>
      </c>
      <c r="H280" s="1030">
        <v>187870</v>
      </c>
      <c r="I280" s="1030">
        <v>217725</v>
      </c>
      <c r="J280" s="1034">
        <v>1</v>
      </c>
      <c r="K280" s="1030">
        <v>187870</v>
      </c>
      <c r="L280" s="1030">
        <v>187870</v>
      </c>
      <c r="M280" s="979">
        <v>599</v>
      </c>
    </row>
    <row r="281" spans="1:13" ht="15">
      <c r="A281" s="979" t="s">
        <v>3414</v>
      </c>
      <c r="B281" s="722" t="str">
        <f>CONCATENATE(LEFT(RIGHT(CONCATENATE("000",IFAData_TEA!A281),6),3),"-",(RIGHT(RIGHT(CONCATENATE("000",IFAData_TEA!A281),6),3)))</f>
        <v>020-907</v>
      </c>
      <c r="C281" s="979" t="s">
        <v>1548</v>
      </c>
      <c r="D281" s="979">
        <v>3</v>
      </c>
      <c r="E281" s="979">
        <v>1708</v>
      </c>
      <c r="F281" s="979" t="s">
        <v>4263</v>
      </c>
      <c r="G281" s="979" t="s">
        <v>4263</v>
      </c>
      <c r="H281" s="1030">
        <v>361373</v>
      </c>
      <c r="I281" s="1030">
        <v>0</v>
      </c>
      <c r="J281" s="1034">
        <v>0</v>
      </c>
      <c r="K281" s="1030">
        <v>0</v>
      </c>
      <c r="L281" s="1030">
        <v>0</v>
      </c>
      <c r="M281" s="979">
        <v>599</v>
      </c>
    </row>
    <row r="282" spans="1:13" ht="15">
      <c r="A282" s="979" t="s">
        <v>3414</v>
      </c>
      <c r="B282" s="722" t="str">
        <f>CONCATENATE(LEFT(RIGHT(CONCATENATE("000",IFAData_TEA!A282),6),3),"-",(RIGHT(RIGHT(CONCATENATE("000",IFAData_TEA!A282),6),3)))</f>
        <v>020-907</v>
      </c>
      <c r="C282" s="979" t="s">
        <v>1548</v>
      </c>
      <c r="D282" s="979">
        <v>3</v>
      </c>
      <c r="E282" s="979">
        <v>1708</v>
      </c>
      <c r="F282" s="979" t="s">
        <v>4263</v>
      </c>
      <c r="G282" s="979" t="s">
        <v>4265</v>
      </c>
      <c r="H282" s="1030">
        <v>361373</v>
      </c>
      <c r="I282" s="1030">
        <v>0</v>
      </c>
      <c r="J282" s="1034">
        <v>0</v>
      </c>
      <c r="K282" s="1030">
        <v>0</v>
      </c>
      <c r="L282" s="1030">
        <v>0</v>
      </c>
      <c r="M282" s="979">
        <v>599</v>
      </c>
    </row>
    <row r="283" spans="1:13" ht="15">
      <c r="A283" s="979" t="s">
        <v>3414</v>
      </c>
      <c r="B283" s="722" t="str">
        <f>CONCATENATE(LEFT(RIGHT(CONCATENATE("000",IFAData_TEA!A283),6),3),"-",(RIGHT(RIGHT(CONCATENATE("000",IFAData_TEA!A283),6),3)))</f>
        <v>020-907</v>
      </c>
      <c r="C283" s="979" t="s">
        <v>1548</v>
      </c>
      <c r="D283" s="979">
        <v>3</v>
      </c>
      <c r="E283" s="979">
        <v>1708</v>
      </c>
      <c r="F283" s="979" t="s">
        <v>4263</v>
      </c>
      <c r="G283" s="979" t="s">
        <v>4264</v>
      </c>
      <c r="H283" s="1030">
        <v>361373</v>
      </c>
      <c r="I283" s="1030">
        <v>388543</v>
      </c>
      <c r="J283" s="1034">
        <v>1</v>
      </c>
      <c r="K283" s="1030">
        <v>361373</v>
      </c>
      <c r="L283" s="1030">
        <v>361373</v>
      </c>
      <c r="M283" s="979">
        <v>599</v>
      </c>
    </row>
    <row r="284" spans="1:13" ht="15">
      <c r="A284" s="979" t="s">
        <v>3415</v>
      </c>
      <c r="B284" s="722" t="str">
        <f>CONCATENATE(LEFT(RIGHT(CONCATENATE("000",IFAData_TEA!A284),6),3),"-",(RIGHT(RIGHT(CONCATENATE("000",IFAData_TEA!A284),6),3)))</f>
        <v>020-908</v>
      </c>
      <c r="C284" s="979" t="s">
        <v>273</v>
      </c>
      <c r="D284" s="979">
        <v>1</v>
      </c>
      <c r="E284" s="979">
        <v>2180</v>
      </c>
      <c r="F284" s="979" t="s">
        <v>4266</v>
      </c>
      <c r="G284" s="979" t="s">
        <v>4271</v>
      </c>
      <c r="H284" s="1030">
        <v>1598791</v>
      </c>
      <c r="I284" s="1030">
        <v>29271</v>
      </c>
      <c r="J284" s="1034">
        <v>8.4806605823554981E-2</v>
      </c>
      <c r="K284" s="1030">
        <v>135588.0381312473</v>
      </c>
      <c r="L284" s="1030">
        <v>29271</v>
      </c>
      <c r="M284" s="979">
        <v>599</v>
      </c>
    </row>
    <row r="285" spans="1:13" ht="15">
      <c r="A285" s="979" t="s">
        <v>3415</v>
      </c>
      <c r="B285" s="722" t="str">
        <f>CONCATENATE(LEFT(RIGHT(CONCATENATE("000",IFAData_TEA!A285),6),3),"-",(RIGHT(RIGHT(CONCATENATE("000",IFAData_TEA!A285),6),3)))</f>
        <v>020-908</v>
      </c>
      <c r="C285" s="979" t="s">
        <v>273</v>
      </c>
      <c r="D285" s="979">
        <v>1</v>
      </c>
      <c r="E285" s="979">
        <v>2180</v>
      </c>
      <c r="F285" s="979" t="s">
        <v>4266</v>
      </c>
      <c r="G285" s="979" t="s">
        <v>4269</v>
      </c>
      <c r="H285" s="1030">
        <v>1598791</v>
      </c>
      <c r="I285" s="1030">
        <v>0</v>
      </c>
      <c r="J285" s="1034">
        <v>0</v>
      </c>
      <c r="K285" s="1030">
        <v>0</v>
      </c>
      <c r="L285" s="1030">
        <v>0</v>
      </c>
      <c r="M285" s="979">
        <v>599</v>
      </c>
    </row>
    <row r="286" spans="1:13" ht="15">
      <c r="A286" s="979" t="s">
        <v>3415</v>
      </c>
      <c r="B286" s="722" t="str">
        <f>CONCATENATE(LEFT(RIGHT(CONCATENATE("000",IFAData_TEA!A286),6),3),"-",(RIGHT(RIGHT(CONCATENATE("000",IFAData_TEA!A286),6),3)))</f>
        <v>020-908</v>
      </c>
      <c r="C286" s="979" t="s">
        <v>273</v>
      </c>
      <c r="D286" s="979">
        <v>1</v>
      </c>
      <c r="E286" s="979">
        <v>2180</v>
      </c>
      <c r="F286" s="979" t="s">
        <v>4266</v>
      </c>
      <c r="G286" s="979" t="s">
        <v>6201</v>
      </c>
      <c r="H286" s="1030">
        <v>1598791</v>
      </c>
      <c r="I286" s="1030">
        <v>12847</v>
      </c>
      <c r="J286" s="1034">
        <v>3.7221497899464003E-2</v>
      </c>
      <c r="K286" s="1030">
        <v>59509.39584818195</v>
      </c>
      <c r="L286" s="1030">
        <v>12847</v>
      </c>
      <c r="M286" s="979">
        <v>599</v>
      </c>
    </row>
    <row r="287" spans="1:13" ht="15">
      <c r="A287" s="979" t="s">
        <v>3415</v>
      </c>
      <c r="B287" s="722" t="str">
        <f>CONCATENATE(LEFT(RIGHT(CONCATENATE("000",IFAData_TEA!A287),6),3),"-",(RIGHT(RIGHT(CONCATENATE("000",IFAData_TEA!A287),6),3)))</f>
        <v>020-908</v>
      </c>
      <c r="C287" s="979" t="s">
        <v>273</v>
      </c>
      <c r="D287" s="979">
        <v>1</v>
      </c>
      <c r="E287" s="979">
        <v>2180</v>
      </c>
      <c r="F287" s="979" t="s">
        <v>4266</v>
      </c>
      <c r="G287" s="979" t="s">
        <v>6202</v>
      </c>
      <c r="H287" s="1030">
        <v>1598791</v>
      </c>
      <c r="I287" s="1030">
        <v>10070</v>
      </c>
      <c r="J287" s="1034">
        <v>2.9175720701144429E-2</v>
      </c>
      <c r="K287" s="1030">
        <v>46645.879675503405</v>
      </c>
      <c r="L287" s="1030">
        <v>10070</v>
      </c>
      <c r="M287" s="979">
        <v>599</v>
      </c>
    </row>
    <row r="288" spans="1:13" ht="15">
      <c r="A288" s="979" t="s">
        <v>3415</v>
      </c>
      <c r="B288" s="722" t="str">
        <f>CONCATENATE(LEFT(RIGHT(CONCATENATE("000",IFAData_TEA!A288),6),3),"-",(RIGHT(RIGHT(CONCATENATE("000",IFAData_TEA!A288),6),3)))</f>
        <v>020-908</v>
      </c>
      <c r="C288" s="979" t="s">
        <v>273</v>
      </c>
      <c r="D288" s="979">
        <v>1</v>
      </c>
      <c r="E288" s="979">
        <v>2180</v>
      </c>
      <c r="F288" s="979" t="s">
        <v>4266</v>
      </c>
      <c r="G288" s="979" t="s">
        <v>4268</v>
      </c>
      <c r="H288" s="1030">
        <v>1598791</v>
      </c>
      <c r="I288" s="1030">
        <v>0</v>
      </c>
      <c r="J288" s="1034">
        <v>0</v>
      </c>
      <c r="K288" s="1030">
        <v>0</v>
      </c>
      <c r="L288" s="1030">
        <v>0</v>
      </c>
      <c r="M288" s="979">
        <v>599</v>
      </c>
    </row>
    <row r="289" spans="1:13" ht="15">
      <c r="A289" s="979" t="s">
        <v>3415</v>
      </c>
      <c r="B289" s="722" t="str">
        <f>CONCATENATE(LEFT(RIGHT(CONCATENATE("000",IFAData_TEA!A289),6),3),"-",(RIGHT(RIGHT(CONCATENATE("000",IFAData_TEA!A289),6),3)))</f>
        <v>020-908</v>
      </c>
      <c r="C289" s="979" t="s">
        <v>273</v>
      </c>
      <c r="D289" s="979">
        <v>1</v>
      </c>
      <c r="E289" s="979">
        <v>2180</v>
      </c>
      <c r="F289" s="979" t="s">
        <v>4266</v>
      </c>
      <c r="G289" s="979" t="s">
        <v>4267</v>
      </c>
      <c r="H289" s="1030">
        <v>1598791</v>
      </c>
      <c r="I289" s="1030">
        <v>0</v>
      </c>
      <c r="J289" s="1034">
        <v>0</v>
      </c>
      <c r="K289" s="1030">
        <v>0</v>
      </c>
      <c r="L289" s="1030">
        <v>0</v>
      </c>
      <c r="M289" s="979">
        <v>599</v>
      </c>
    </row>
    <row r="290" spans="1:13" ht="15">
      <c r="A290" s="979" t="s">
        <v>3415</v>
      </c>
      <c r="B290" s="722" t="str">
        <f>CONCATENATE(LEFT(RIGHT(CONCATENATE("000",IFAData_TEA!A290),6),3),"-",(RIGHT(RIGHT(CONCATENATE("000",IFAData_TEA!A290),6),3)))</f>
        <v>020-908</v>
      </c>
      <c r="C290" s="979" t="s">
        <v>273</v>
      </c>
      <c r="D290" s="979">
        <v>1</v>
      </c>
      <c r="E290" s="979">
        <v>2180</v>
      </c>
      <c r="F290" s="979" t="s">
        <v>4266</v>
      </c>
      <c r="G290" s="979" t="s">
        <v>4272</v>
      </c>
      <c r="H290" s="1030">
        <v>1598791</v>
      </c>
      <c r="I290" s="1030">
        <v>59394</v>
      </c>
      <c r="J290" s="1034">
        <v>0.17208170360712732</v>
      </c>
      <c r="K290" s="1030">
        <v>275122.67899174272</v>
      </c>
      <c r="L290" s="1030">
        <v>59394</v>
      </c>
      <c r="M290" s="979">
        <v>599</v>
      </c>
    </row>
    <row r="291" spans="1:13" ht="15">
      <c r="A291" s="979" t="s">
        <v>3415</v>
      </c>
      <c r="B291" s="722" t="str">
        <f>CONCATENATE(LEFT(RIGHT(CONCATENATE("000",IFAData_TEA!A291),6),3),"-",(RIGHT(RIGHT(CONCATENATE("000",IFAData_TEA!A291),6),3)))</f>
        <v>020-908</v>
      </c>
      <c r="C291" s="979" t="s">
        <v>273</v>
      </c>
      <c r="D291" s="979">
        <v>1</v>
      </c>
      <c r="E291" s="979">
        <v>2180</v>
      </c>
      <c r="F291" s="979" t="s">
        <v>4266</v>
      </c>
      <c r="G291" s="979" t="s">
        <v>4266</v>
      </c>
      <c r="H291" s="1030">
        <v>1598791</v>
      </c>
      <c r="I291" s="1030">
        <v>0</v>
      </c>
      <c r="J291" s="1034">
        <v>0</v>
      </c>
      <c r="K291" s="1030">
        <v>0</v>
      </c>
      <c r="L291" s="1030">
        <v>0</v>
      </c>
      <c r="M291" s="979">
        <v>599</v>
      </c>
    </row>
    <row r="292" spans="1:13" ht="15">
      <c r="A292" s="979" t="s">
        <v>3415</v>
      </c>
      <c r="B292" s="722" t="str">
        <f>CONCATENATE(LEFT(RIGHT(CONCATENATE("000",IFAData_TEA!A292),6),3),"-",(RIGHT(RIGHT(CONCATENATE("000",IFAData_TEA!A292),6),3)))</f>
        <v>020-908</v>
      </c>
      <c r="C292" s="979" t="s">
        <v>273</v>
      </c>
      <c r="D292" s="979">
        <v>1</v>
      </c>
      <c r="E292" s="979">
        <v>2180</v>
      </c>
      <c r="F292" s="979" t="s">
        <v>4266</v>
      </c>
      <c r="G292" s="979" t="s">
        <v>4270</v>
      </c>
      <c r="H292" s="1030">
        <v>1598791</v>
      </c>
      <c r="I292" s="1030">
        <v>233568</v>
      </c>
      <c r="J292" s="1034">
        <v>0.67671447196870926</v>
      </c>
      <c r="K292" s="1030">
        <v>1081925.0073533247</v>
      </c>
      <c r="L292" s="1030">
        <v>233568</v>
      </c>
      <c r="M292" s="979">
        <v>599</v>
      </c>
    </row>
    <row r="293" spans="1:13" ht="15">
      <c r="A293" s="979" t="s">
        <v>3416</v>
      </c>
      <c r="B293" s="722" t="str">
        <f>CONCATENATE(LEFT(RIGHT(CONCATENATE("000",IFAData_TEA!A293),6),3),"-",(RIGHT(RIGHT(CONCATENATE("000",IFAData_TEA!A293),6),3)))</f>
        <v>020-910</v>
      </c>
      <c r="C293" s="979" t="s">
        <v>2493</v>
      </c>
      <c r="D293" s="979">
        <v>10</v>
      </c>
      <c r="E293" s="979">
        <v>1743</v>
      </c>
      <c r="F293" s="979" t="s">
        <v>4273</v>
      </c>
      <c r="G293" s="979" t="s">
        <v>4273</v>
      </c>
      <c r="H293" s="1030">
        <v>100000</v>
      </c>
      <c r="I293" s="1030">
        <v>162631</v>
      </c>
      <c r="J293" s="1034">
        <v>1</v>
      </c>
      <c r="K293" s="1030">
        <v>100000</v>
      </c>
      <c r="L293" s="1030">
        <v>100000</v>
      </c>
      <c r="M293" s="979">
        <v>199</v>
      </c>
    </row>
    <row r="294" spans="1:13" ht="15">
      <c r="A294" s="979" t="s">
        <v>3417</v>
      </c>
      <c r="B294" s="722" t="str">
        <f>CONCATENATE(LEFT(RIGHT(CONCATENATE("000",IFAData_TEA!A294),6),3),"-",(RIGHT(RIGHT(CONCATENATE("000",IFAData_TEA!A294),6),3)))</f>
        <v>021-901</v>
      </c>
      <c r="C294" s="979" t="s">
        <v>1169</v>
      </c>
      <c r="D294" s="979">
        <v>2</v>
      </c>
      <c r="E294" s="979">
        <v>1705</v>
      </c>
      <c r="F294" s="979" t="s">
        <v>4274</v>
      </c>
      <c r="G294" s="979" t="s">
        <v>6203</v>
      </c>
      <c r="H294" s="1030">
        <v>1632000</v>
      </c>
      <c r="I294" s="1030">
        <v>106608</v>
      </c>
      <c r="J294" s="1034">
        <v>8.2724392475283487E-2</v>
      </c>
      <c r="K294" s="1030">
        <v>135006.20851966264</v>
      </c>
      <c r="L294" s="1030">
        <v>106608</v>
      </c>
      <c r="M294" s="979">
        <v>599</v>
      </c>
    </row>
    <row r="295" spans="1:13" ht="15">
      <c r="A295" s="979" t="s">
        <v>3417</v>
      </c>
      <c r="B295" s="722" t="str">
        <f>CONCATENATE(LEFT(RIGHT(CONCATENATE("000",IFAData_TEA!A295),6),3),"-",(RIGHT(RIGHT(CONCATENATE("000",IFAData_TEA!A295),6),3)))</f>
        <v>021-901</v>
      </c>
      <c r="C295" s="979" t="s">
        <v>1169</v>
      </c>
      <c r="D295" s="979">
        <v>2</v>
      </c>
      <c r="E295" s="979">
        <v>1705</v>
      </c>
      <c r="F295" s="979" t="s">
        <v>4274</v>
      </c>
      <c r="G295" s="979" t="s">
        <v>4276</v>
      </c>
      <c r="H295" s="1030">
        <v>1632000</v>
      </c>
      <c r="I295" s="1030">
        <v>195885</v>
      </c>
      <c r="J295" s="1034">
        <v>0.15200048420400819</v>
      </c>
      <c r="K295" s="1030">
        <v>248064.79022094136</v>
      </c>
      <c r="L295" s="1030">
        <v>195885</v>
      </c>
      <c r="M295" s="979">
        <v>599</v>
      </c>
    </row>
    <row r="296" spans="1:13" ht="15">
      <c r="A296" s="979" t="s">
        <v>3417</v>
      </c>
      <c r="B296" s="722" t="str">
        <f>CONCATENATE(LEFT(RIGHT(CONCATENATE("000",IFAData_TEA!A296),6),3),"-",(RIGHT(RIGHT(CONCATENATE("000",IFAData_TEA!A296),6),3)))</f>
        <v>021-901</v>
      </c>
      <c r="C296" s="979" t="s">
        <v>1169</v>
      </c>
      <c r="D296" s="979">
        <v>2</v>
      </c>
      <c r="E296" s="979">
        <v>1705</v>
      </c>
      <c r="F296" s="979" t="s">
        <v>4274</v>
      </c>
      <c r="G296" s="979" t="s">
        <v>4274</v>
      </c>
      <c r="H296" s="1030">
        <v>1632000</v>
      </c>
      <c r="I296" s="1030">
        <v>0</v>
      </c>
      <c r="J296" s="1034">
        <v>0</v>
      </c>
      <c r="K296" s="1030">
        <v>0</v>
      </c>
      <c r="L296" s="1030">
        <v>0</v>
      </c>
      <c r="M296" s="979">
        <v>599</v>
      </c>
    </row>
    <row r="297" spans="1:13" ht="15">
      <c r="A297" s="979" t="s">
        <v>3417</v>
      </c>
      <c r="B297" s="722" t="str">
        <f>CONCATENATE(LEFT(RIGHT(CONCATENATE("000",IFAData_TEA!A297),6),3),"-",(RIGHT(RIGHT(CONCATENATE("000",IFAData_TEA!A297),6),3)))</f>
        <v>021-901</v>
      </c>
      <c r="C297" s="979" t="s">
        <v>1169</v>
      </c>
      <c r="D297" s="979">
        <v>2</v>
      </c>
      <c r="E297" s="979">
        <v>1705</v>
      </c>
      <c r="F297" s="979" t="s">
        <v>4274</v>
      </c>
      <c r="G297" s="979" t="s">
        <v>4275</v>
      </c>
      <c r="H297" s="1030">
        <v>1632000</v>
      </c>
      <c r="I297" s="1030">
        <v>986220</v>
      </c>
      <c r="J297" s="1034">
        <v>0.76527512332070835</v>
      </c>
      <c r="K297" s="1030">
        <v>1248929.0012593961</v>
      </c>
      <c r="L297" s="1030">
        <v>986220</v>
      </c>
      <c r="M297" s="979">
        <v>599</v>
      </c>
    </row>
    <row r="298" spans="1:13" ht="15">
      <c r="A298" s="979" t="s">
        <v>3418</v>
      </c>
      <c r="B298" s="722" t="str">
        <f>CONCATENATE(LEFT(RIGHT(CONCATENATE("000",IFAData_TEA!A298),6),3),"-",(RIGHT(RIGHT(CONCATENATE("000",IFAData_TEA!A298),6),3)))</f>
        <v>021-902</v>
      </c>
      <c r="C298" s="979" t="s">
        <v>2636</v>
      </c>
      <c r="D298" s="979">
        <v>9</v>
      </c>
      <c r="E298" s="979">
        <v>1648</v>
      </c>
      <c r="F298" s="979" t="s">
        <v>4279</v>
      </c>
      <c r="G298" s="979" t="s">
        <v>4279</v>
      </c>
      <c r="H298" s="1030">
        <v>2150873</v>
      </c>
      <c r="I298" s="1030">
        <v>1289677</v>
      </c>
      <c r="J298" s="1034">
        <v>1</v>
      </c>
      <c r="K298" s="1030">
        <v>2150873</v>
      </c>
      <c r="L298" s="1030">
        <v>1289677</v>
      </c>
      <c r="M298" s="979">
        <v>599</v>
      </c>
    </row>
    <row r="299" spans="1:13" ht="15">
      <c r="A299" s="979" t="s">
        <v>3418</v>
      </c>
      <c r="B299" s="722" t="str">
        <f>CONCATENATE(LEFT(RIGHT(CONCATENATE("000",IFAData_TEA!A299),6),3),"-",(RIGHT(RIGHT(CONCATENATE("000",IFAData_TEA!A299),6),3)))</f>
        <v>021-902</v>
      </c>
      <c r="C299" s="979" t="s">
        <v>2636</v>
      </c>
      <c r="D299" s="979">
        <v>2</v>
      </c>
      <c r="E299" s="979">
        <v>1647</v>
      </c>
      <c r="F299" s="979" t="s">
        <v>4277</v>
      </c>
      <c r="G299" s="979" t="s">
        <v>4277</v>
      </c>
      <c r="H299" s="1030">
        <v>1547958</v>
      </c>
      <c r="I299" s="1030">
        <v>0</v>
      </c>
      <c r="J299" s="1034">
        <v>0</v>
      </c>
      <c r="K299" s="1030"/>
      <c r="L299" s="1030">
        <v>0</v>
      </c>
      <c r="M299" s="979">
        <v>199</v>
      </c>
    </row>
    <row r="300" spans="1:13" ht="15">
      <c r="A300" s="979" t="s">
        <v>3418</v>
      </c>
      <c r="B300" s="722" t="str">
        <f>CONCATENATE(LEFT(RIGHT(CONCATENATE("000",IFAData_TEA!A300),6),3),"-",(RIGHT(RIGHT(CONCATENATE("000",IFAData_TEA!A300),6),3)))</f>
        <v>021-902</v>
      </c>
      <c r="C300" s="979" t="s">
        <v>2636</v>
      </c>
      <c r="D300" s="979">
        <v>6</v>
      </c>
      <c r="E300" s="979">
        <v>1646</v>
      </c>
      <c r="F300" s="979" t="s">
        <v>4278</v>
      </c>
      <c r="G300" s="979" t="s">
        <v>4278</v>
      </c>
      <c r="H300" s="1030">
        <v>424846</v>
      </c>
      <c r="I300" s="1030">
        <v>0</v>
      </c>
      <c r="J300" s="1034">
        <v>0</v>
      </c>
      <c r="K300" s="1030"/>
      <c r="L300" s="1030">
        <v>0</v>
      </c>
      <c r="M300" s="979">
        <v>599</v>
      </c>
    </row>
    <row r="301" spans="1:13" ht="15">
      <c r="A301" s="979" t="s">
        <v>3419</v>
      </c>
      <c r="B301" s="722" t="str">
        <f>CONCATENATE(LEFT(RIGHT(CONCATENATE("000",IFAData_TEA!A301),6),3),"-",(RIGHT(RIGHT(CONCATENATE("000",IFAData_TEA!A301),6),3)))</f>
        <v>025-904</v>
      </c>
      <c r="C301" s="979" t="s">
        <v>1343</v>
      </c>
      <c r="D301" s="979">
        <v>4</v>
      </c>
      <c r="E301" s="979">
        <v>1617</v>
      </c>
      <c r="F301" s="979" t="s">
        <v>4281</v>
      </c>
      <c r="G301" s="979" t="s">
        <v>4282</v>
      </c>
      <c r="H301" s="1030">
        <v>100000</v>
      </c>
      <c r="I301" s="1030">
        <v>98782</v>
      </c>
      <c r="J301" s="1034">
        <v>1</v>
      </c>
      <c r="K301" s="1030">
        <v>100000</v>
      </c>
      <c r="L301" s="1030">
        <v>98782</v>
      </c>
      <c r="M301" s="979">
        <v>599</v>
      </c>
    </row>
    <row r="302" spans="1:13" ht="15">
      <c r="A302" s="979" t="s">
        <v>3419</v>
      </c>
      <c r="B302" s="722" t="str">
        <f>CONCATENATE(LEFT(RIGHT(CONCATENATE("000",IFAData_TEA!A302),6),3),"-",(RIGHT(RIGHT(CONCATENATE("000",IFAData_TEA!A302),6),3)))</f>
        <v>025-904</v>
      </c>
      <c r="C302" s="979" t="s">
        <v>1343</v>
      </c>
      <c r="D302" s="979">
        <v>4</v>
      </c>
      <c r="E302" s="979">
        <v>1617</v>
      </c>
      <c r="F302" s="979" t="s">
        <v>4281</v>
      </c>
      <c r="G302" s="979" t="s">
        <v>4281</v>
      </c>
      <c r="H302" s="1030">
        <v>100000</v>
      </c>
      <c r="I302" s="1030">
        <v>0</v>
      </c>
      <c r="J302" s="1034">
        <v>0</v>
      </c>
      <c r="K302" s="1030">
        <v>0</v>
      </c>
      <c r="L302" s="1030">
        <v>0</v>
      </c>
      <c r="M302" s="979">
        <v>599</v>
      </c>
    </row>
    <row r="303" spans="1:13" ht="15">
      <c r="A303" s="979" t="s">
        <v>3419</v>
      </c>
      <c r="B303" s="722" t="str">
        <f>CONCATENATE(LEFT(RIGHT(CONCATENATE("000",IFAData_TEA!A303),6),3),"-",(RIGHT(RIGHT(CONCATENATE("000",IFAData_TEA!A303),6),3)))</f>
        <v>025-904</v>
      </c>
      <c r="C303" s="979" t="s">
        <v>1343</v>
      </c>
      <c r="D303" s="979">
        <v>2</v>
      </c>
      <c r="E303" s="979">
        <v>1616</v>
      </c>
      <c r="F303" s="979" t="s">
        <v>4280</v>
      </c>
      <c r="G303" s="979" t="s">
        <v>4280</v>
      </c>
      <c r="H303" s="1030">
        <v>100000</v>
      </c>
      <c r="I303" s="1030">
        <v>0</v>
      </c>
      <c r="J303" s="1034">
        <v>0</v>
      </c>
      <c r="K303" s="1030"/>
      <c r="L303" s="1030">
        <v>0</v>
      </c>
      <c r="M303" s="979">
        <v>199</v>
      </c>
    </row>
    <row r="304" spans="1:13" ht="15">
      <c r="A304" s="979" t="s">
        <v>3420</v>
      </c>
      <c r="B304" s="722" t="str">
        <f>CONCATENATE(LEFT(RIGHT(CONCATENATE("000",IFAData_TEA!A304),6),3),"-",(RIGHT(RIGHT(CONCATENATE("000",IFAData_TEA!A304),6),3)))</f>
        <v>025-905</v>
      </c>
      <c r="C304" s="979" t="s">
        <v>2068</v>
      </c>
      <c r="D304" s="979">
        <v>1</v>
      </c>
      <c r="E304" s="979">
        <v>2077</v>
      </c>
      <c r="F304" s="979" t="s">
        <v>4283</v>
      </c>
      <c r="G304" s="979" t="s">
        <v>4283</v>
      </c>
      <c r="H304" s="1030">
        <v>92069</v>
      </c>
      <c r="I304" s="1030">
        <v>0</v>
      </c>
      <c r="J304" s="1034">
        <v>0</v>
      </c>
      <c r="K304" s="1030">
        <v>0</v>
      </c>
      <c r="L304" s="1030">
        <v>0</v>
      </c>
      <c r="M304" s="979">
        <v>599</v>
      </c>
    </row>
    <row r="305" spans="1:13" ht="15">
      <c r="A305" s="979" t="s">
        <v>3420</v>
      </c>
      <c r="B305" s="722" t="str">
        <f>CONCATENATE(LEFT(RIGHT(CONCATENATE("000",IFAData_TEA!A305),6),3),"-",(RIGHT(RIGHT(CONCATENATE("000",IFAData_TEA!A305),6),3)))</f>
        <v>025-905</v>
      </c>
      <c r="C305" s="979" t="s">
        <v>2068</v>
      </c>
      <c r="D305" s="979">
        <v>1</v>
      </c>
      <c r="E305" s="979">
        <v>2077</v>
      </c>
      <c r="F305" s="979" t="s">
        <v>4283</v>
      </c>
      <c r="G305" s="979" t="s">
        <v>4284</v>
      </c>
      <c r="H305" s="1030">
        <v>92069</v>
      </c>
      <c r="I305" s="1030">
        <v>90280</v>
      </c>
      <c r="J305" s="1034">
        <v>1</v>
      </c>
      <c r="K305" s="1030">
        <v>92069</v>
      </c>
      <c r="L305" s="1030">
        <v>90280</v>
      </c>
      <c r="M305" s="979">
        <v>599</v>
      </c>
    </row>
    <row r="306" spans="1:13" ht="15">
      <c r="A306" s="979" t="s">
        <v>3421</v>
      </c>
      <c r="B306" s="722" t="str">
        <f>CONCATENATE(LEFT(RIGHT(CONCATENATE("000",IFAData_TEA!A306),6),3),"-",(RIGHT(RIGHT(CONCATENATE("000",IFAData_TEA!A306),6),3)))</f>
        <v>025-906</v>
      </c>
      <c r="C306" s="979" t="s">
        <v>2675</v>
      </c>
      <c r="D306" s="979">
        <v>2</v>
      </c>
      <c r="E306" s="979">
        <v>2470</v>
      </c>
      <c r="F306" s="979" t="s">
        <v>4285</v>
      </c>
      <c r="G306" s="979" t="s">
        <v>4285</v>
      </c>
      <c r="H306" s="1030">
        <v>43725</v>
      </c>
      <c r="I306" s="1030">
        <v>42250</v>
      </c>
      <c r="J306" s="1034">
        <v>1</v>
      </c>
      <c r="K306" s="1030">
        <v>43725</v>
      </c>
      <c r="L306" s="1030">
        <v>42250</v>
      </c>
      <c r="M306" s="979">
        <v>599</v>
      </c>
    </row>
    <row r="307" spans="1:13" ht="15">
      <c r="A307" s="979" t="s">
        <v>3421</v>
      </c>
      <c r="B307" s="722" t="str">
        <f>CONCATENATE(LEFT(RIGHT(CONCATENATE("000",IFAData_TEA!A307),6),3),"-",(RIGHT(RIGHT(CONCATENATE("000",IFAData_TEA!A307),6),3)))</f>
        <v>025-906</v>
      </c>
      <c r="C307" s="979" t="s">
        <v>2675</v>
      </c>
      <c r="D307" s="979">
        <v>9</v>
      </c>
      <c r="E307" s="979">
        <v>2471</v>
      </c>
      <c r="F307" s="979" t="s">
        <v>4286</v>
      </c>
      <c r="G307" s="979" t="s">
        <v>4286</v>
      </c>
      <c r="H307" s="1030">
        <v>100000</v>
      </c>
      <c r="I307" s="1030">
        <v>100554</v>
      </c>
      <c r="J307" s="1034">
        <v>1</v>
      </c>
      <c r="K307" s="1030">
        <v>100000</v>
      </c>
      <c r="L307" s="1030">
        <v>100000</v>
      </c>
      <c r="M307" s="979">
        <v>599</v>
      </c>
    </row>
    <row r="308" spans="1:13" ht="15">
      <c r="A308" s="979" t="s">
        <v>3421</v>
      </c>
      <c r="B308" s="722" t="str">
        <f>CONCATENATE(LEFT(RIGHT(CONCATENATE("000",IFAData_TEA!A308),6),3),"-",(RIGHT(RIGHT(CONCATENATE("000",IFAData_TEA!A308),6),3)))</f>
        <v>025-906</v>
      </c>
      <c r="C308" s="979" t="s">
        <v>2675</v>
      </c>
      <c r="D308" s="979">
        <v>10</v>
      </c>
      <c r="E308" s="979">
        <v>2472</v>
      </c>
      <c r="F308" s="979" t="s">
        <v>4287</v>
      </c>
      <c r="G308" s="979" t="s">
        <v>4287</v>
      </c>
      <c r="H308" s="1030">
        <v>100000</v>
      </c>
      <c r="I308" s="1030">
        <v>101258</v>
      </c>
      <c r="J308" s="1034">
        <v>1</v>
      </c>
      <c r="K308" s="1030">
        <v>100000</v>
      </c>
      <c r="L308" s="1030">
        <v>100000</v>
      </c>
      <c r="M308" s="979">
        <v>599</v>
      </c>
    </row>
    <row r="309" spans="1:13" ht="15">
      <c r="A309" s="979" t="s">
        <v>3422</v>
      </c>
      <c r="B309" s="722" t="str">
        <f>CONCATENATE(LEFT(RIGHT(CONCATENATE("000",IFAData_TEA!A309),6),3),"-",(RIGHT(RIGHT(CONCATENATE("000",IFAData_TEA!A309),6),3)))</f>
        <v>025-908</v>
      </c>
      <c r="C309" s="979" t="s">
        <v>2416</v>
      </c>
      <c r="D309" s="979">
        <v>4</v>
      </c>
      <c r="E309" s="979">
        <v>1636</v>
      </c>
      <c r="F309" s="979" t="s">
        <v>4288</v>
      </c>
      <c r="G309" s="979" t="s">
        <v>4289</v>
      </c>
      <c r="H309" s="1030">
        <v>100000</v>
      </c>
      <c r="I309" s="1030">
        <v>91468</v>
      </c>
      <c r="J309" s="1034">
        <v>1</v>
      </c>
      <c r="K309" s="1030">
        <v>100000</v>
      </c>
      <c r="L309" s="1030">
        <v>91468</v>
      </c>
      <c r="M309" s="979">
        <v>599</v>
      </c>
    </row>
    <row r="310" spans="1:13" ht="15">
      <c r="A310" s="979" t="s">
        <v>3422</v>
      </c>
      <c r="B310" s="722" t="str">
        <f>CONCATENATE(LEFT(RIGHT(CONCATENATE("000",IFAData_TEA!A310),6),3),"-",(RIGHT(RIGHT(CONCATENATE("000",IFAData_TEA!A310),6),3)))</f>
        <v>025-908</v>
      </c>
      <c r="C310" s="979" t="s">
        <v>2416</v>
      </c>
      <c r="D310" s="979">
        <v>4</v>
      </c>
      <c r="E310" s="979">
        <v>1636</v>
      </c>
      <c r="F310" s="979" t="s">
        <v>4288</v>
      </c>
      <c r="G310" s="979" t="s">
        <v>4288</v>
      </c>
      <c r="H310" s="1030">
        <v>100000</v>
      </c>
      <c r="I310" s="1030">
        <v>0</v>
      </c>
      <c r="J310" s="1034">
        <v>0</v>
      </c>
      <c r="K310" s="1030">
        <v>0</v>
      </c>
      <c r="L310" s="1030">
        <v>0</v>
      </c>
      <c r="M310" s="979">
        <v>599</v>
      </c>
    </row>
    <row r="311" spans="1:13" ht="15">
      <c r="A311" s="979" t="s">
        <v>3423</v>
      </c>
      <c r="B311" s="722" t="str">
        <f>CONCATENATE(LEFT(RIGHT(CONCATENATE("000",IFAData_TEA!A311),6),3),"-",(RIGHT(RIGHT(CONCATENATE("000",IFAData_TEA!A311),6),3)))</f>
        <v>025-909</v>
      </c>
      <c r="C311" s="979" t="s">
        <v>1063</v>
      </c>
      <c r="D311" s="979">
        <v>9</v>
      </c>
      <c r="E311" s="979">
        <v>1778</v>
      </c>
      <c r="F311" s="979" t="s">
        <v>4293</v>
      </c>
      <c r="G311" s="979" t="s">
        <v>4294</v>
      </c>
      <c r="H311" s="1030">
        <v>323704</v>
      </c>
      <c r="I311" s="1030">
        <v>342950</v>
      </c>
      <c r="J311" s="1034">
        <v>0.33737388443800859</v>
      </c>
      <c r="K311" s="1030">
        <v>109209.27588812113</v>
      </c>
      <c r="L311" s="1030">
        <v>109209.27588812113</v>
      </c>
      <c r="M311" s="979">
        <v>599</v>
      </c>
    </row>
    <row r="312" spans="1:13" ht="15">
      <c r="A312" s="979" t="s">
        <v>3423</v>
      </c>
      <c r="B312" s="722" t="str">
        <f>CONCATENATE(LEFT(RIGHT(CONCATENATE("000",IFAData_TEA!A312),6),3),"-",(RIGHT(RIGHT(CONCATENATE("000",IFAData_TEA!A312),6),3)))</f>
        <v>025-909</v>
      </c>
      <c r="C312" s="979" t="s">
        <v>1063</v>
      </c>
      <c r="D312" s="979">
        <v>1</v>
      </c>
      <c r="E312" s="979">
        <v>1777</v>
      </c>
      <c r="F312" s="979" t="s">
        <v>4290</v>
      </c>
      <c r="G312" s="979" t="s">
        <v>4291</v>
      </c>
      <c r="H312" s="1030">
        <v>209945</v>
      </c>
      <c r="I312" s="1030">
        <v>0</v>
      </c>
      <c r="J312" s="1034">
        <v>0</v>
      </c>
      <c r="K312" s="1030">
        <v>0</v>
      </c>
      <c r="L312" s="1030">
        <v>0</v>
      </c>
      <c r="M312" s="979">
        <v>599</v>
      </c>
    </row>
    <row r="313" spans="1:13" ht="15">
      <c r="A313" s="979" t="s">
        <v>3423</v>
      </c>
      <c r="B313" s="722" t="str">
        <f>CONCATENATE(LEFT(RIGHT(CONCATENATE("000",IFAData_TEA!A313),6),3),"-",(RIGHT(RIGHT(CONCATENATE("000",IFAData_TEA!A313),6),3)))</f>
        <v>025-909</v>
      </c>
      <c r="C313" s="979" t="s">
        <v>1063</v>
      </c>
      <c r="D313" s="979">
        <v>1</v>
      </c>
      <c r="E313" s="979">
        <v>1777</v>
      </c>
      <c r="F313" s="979" t="s">
        <v>4290</v>
      </c>
      <c r="G313" s="979" t="s">
        <v>4290</v>
      </c>
      <c r="H313" s="1030">
        <v>209945</v>
      </c>
      <c r="I313" s="1030">
        <v>0</v>
      </c>
      <c r="J313" s="1034">
        <v>0</v>
      </c>
      <c r="K313" s="1030">
        <v>0</v>
      </c>
      <c r="L313" s="1030">
        <v>0</v>
      </c>
      <c r="M313" s="979">
        <v>599</v>
      </c>
    </row>
    <row r="314" spans="1:13" ht="15">
      <c r="A314" s="979" t="s">
        <v>3423</v>
      </c>
      <c r="B314" s="722" t="str">
        <f>CONCATENATE(LEFT(RIGHT(CONCATENATE("000",IFAData_TEA!A314),6),3),"-",(RIGHT(RIGHT(CONCATENATE("000",IFAData_TEA!A314),6),3)))</f>
        <v>025-909</v>
      </c>
      <c r="C314" s="979" t="s">
        <v>1063</v>
      </c>
      <c r="D314" s="979">
        <v>1</v>
      </c>
      <c r="E314" s="979">
        <v>1777</v>
      </c>
      <c r="F314" s="979" t="s">
        <v>4290</v>
      </c>
      <c r="G314" s="979" t="s">
        <v>4292</v>
      </c>
      <c r="H314" s="1030">
        <v>209945</v>
      </c>
      <c r="I314" s="1030">
        <v>330050</v>
      </c>
      <c r="J314" s="1034">
        <v>1</v>
      </c>
      <c r="K314" s="1030">
        <v>209945</v>
      </c>
      <c r="L314" s="1030">
        <v>209945</v>
      </c>
      <c r="M314" s="979">
        <v>599</v>
      </c>
    </row>
    <row r="315" spans="1:13" ht="15">
      <c r="A315" s="979" t="s">
        <v>3423</v>
      </c>
      <c r="B315" s="722" t="str">
        <f>CONCATENATE(LEFT(RIGHT(CONCATENATE("000",IFAData_TEA!A315),6),3),"-",(RIGHT(RIGHT(CONCATENATE("000",IFAData_TEA!A315),6),3)))</f>
        <v>025-909</v>
      </c>
      <c r="C315" s="979" t="s">
        <v>1063</v>
      </c>
      <c r="D315" s="979">
        <v>10</v>
      </c>
      <c r="E315" s="979">
        <v>1776</v>
      </c>
      <c r="F315" s="979" t="s">
        <v>4295</v>
      </c>
      <c r="G315" s="979" t="s">
        <v>4295</v>
      </c>
      <c r="H315" s="1030">
        <v>160450</v>
      </c>
      <c r="I315" s="1030">
        <v>90450</v>
      </c>
      <c r="J315" s="1034">
        <v>1</v>
      </c>
      <c r="K315" s="1030">
        <v>160450</v>
      </c>
      <c r="L315" s="1030">
        <v>90450</v>
      </c>
      <c r="M315" s="979">
        <v>599</v>
      </c>
    </row>
    <row r="316" spans="1:13" ht="15">
      <c r="A316" s="979" t="s">
        <v>3423</v>
      </c>
      <c r="B316" s="722" t="str">
        <f>CONCATENATE(LEFT(RIGHT(CONCATENATE("000",IFAData_TEA!A316),6),3),"-",(RIGHT(RIGHT(CONCATENATE("000",IFAData_TEA!A316),6),3)))</f>
        <v>025-909</v>
      </c>
      <c r="C316" s="979" t="s">
        <v>1063</v>
      </c>
      <c r="D316" s="979">
        <v>9</v>
      </c>
      <c r="E316" s="979">
        <v>1778</v>
      </c>
      <c r="F316" s="979" t="s">
        <v>4293</v>
      </c>
      <c r="G316" s="979" t="s">
        <v>4293</v>
      </c>
      <c r="H316" s="1030">
        <v>323704</v>
      </c>
      <c r="I316" s="1030">
        <v>673578</v>
      </c>
      <c r="J316" s="1034">
        <v>0.66262611556199136</v>
      </c>
      <c r="K316" s="1030">
        <v>214494.72411187884</v>
      </c>
      <c r="L316" s="1030">
        <v>214494.72411187884</v>
      </c>
      <c r="M316" s="979">
        <v>599</v>
      </c>
    </row>
    <row r="317" spans="1:13" ht="15">
      <c r="A317" s="979" t="s">
        <v>3424</v>
      </c>
      <c r="B317" s="722" t="str">
        <f>CONCATENATE(LEFT(RIGHT(CONCATENATE("000",IFAData_TEA!A317),6),3),"-",(RIGHT(RIGHT(CONCATENATE("000",IFAData_TEA!A317),6),3)))</f>
        <v>026-903</v>
      </c>
      <c r="C317" s="979" t="s">
        <v>1597</v>
      </c>
      <c r="D317" s="979">
        <v>9</v>
      </c>
      <c r="E317" s="979">
        <v>2345</v>
      </c>
      <c r="F317" s="979" t="s">
        <v>4296</v>
      </c>
      <c r="G317" s="979" t="s">
        <v>4296</v>
      </c>
      <c r="H317" s="1030">
        <v>110365</v>
      </c>
      <c r="I317" s="1030">
        <v>520449</v>
      </c>
      <c r="J317" s="1034">
        <v>1</v>
      </c>
      <c r="K317" s="1030">
        <v>110365</v>
      </c>
      <c r="L317" s="1030">
        <v>110365</v>
      </c>
      <c r="M317" s="979">
        <v>599</v>
      </c>
    </row>
    <row r="318" spans="1:13" ht="15">
      <c r="A318" s="979" t="s">
        <v>3425</v>
      </c>
      <c r="B318" s="722" t="str">
        <f>CONCATENATE(LEFT(RIGHT(CONCATENATE("000",IFAData_TEA!A318),6),3),"-",(RIGHT(RIGHT(CONCATENATE("000",IFAData_TEA!A318),6),3)))</f>
        <v>027-903</v>
      </c>
      <c r="C318" s="979" t="s">
        <v>133</v>
      </c>
      <c r="D318" s="979">
        <v>2</v>
      </c>
      <c r="E318" s="979">
        <v>1655</v>
      </c>
      <c r="F318" s="979" t="s">
        <v>4297</v>
      </c>
      <c r="G318" s="979" t="s">
        <v>4297</v>
      </c>
      <c r="H318" s="1030">
        <v>546449</v>
      </c>
      <c r="I318" s="1030">
        <v>0</v>
      </c>
      <c r="J318" s="1034">
        <v>0</v>
      </c>
      <c r="K318" s="1030">
        <v>0</v>
      </c>
      <c r="L318" s="1030">
        <v>0</v>
      </c>
      <c r="M318" s="979">
        <v>599</v>
      </c>
    </row>
    <row r="319" spans="1:13" ht="15">
      <c r="A319" s="979" t="s">
        <v>3425</v>
      </c>
      <c r="B319" s="722" t="str">
        <f>CONCATENATE(LEFT(RIGHT(CONCATENATE("000",IFAData_TEA!A319),6),3),"-",(RIGHT(RIGHT(CONCATENATE("000",IFAData_TEA!A319),6),3)))</f>
        <v>027-903</v>
      </c>
      <c r="C319" s="979" t="s">
        <v>133</v>
      </c>
      <c r="D319" s="979">
        <v>2</v>
      </c>
      <c r="E319" s="979">
        <v>1655</v>
      </c>
      <c r="F319" s="979" t="s">
        <v>4297</v>
      </c>
      <c r="G319" s="979" t="s">
        <v>4298</v>
      </c>
      <c r="H319" s="1030">
        <v>546449</v>
      </c>
      <c r="I319" s="1030">
        <v>591702</v>
      </c>
      <c r="J319" s="1034">
        <v>1</v>
      </c>
      <c r="K319" s="1030">
        <v>546449</v>
      </c>
      <c r="L319" s="1030">
        <v>546449</v>
      </c>
      <c r="M319" s="979">
        <v>599</v>
      </c>
    </row>
    <row r="320" spans="1:13" ht="15">
      <c r="A320" s="979" t="s">
        <v>4299</v>
      </c>
      <c r="B320" s="722" t="str">
        <f>CONCATENATE(LEFT(RIGHT(CONCATENATE("000",IFAData_TEA!A320),6),3),"-",(RIGHT(RIGHT(CONCATENATE("000",IFAData_TEA!A320),6),3)))</f>
        <v>027-904</v>
      </c>
      <c r="C320" s="979" t="s">
        <v>291</v>
      </c>
      <c r="D320" s="979">
        <v>1</v>
      </c>
      <c r="E320" s="979">
        <v>2062</v>
      </c>
      <c r="F320" s="979" t="s">
        <v>4300</v>
      </c>
      <c r="G320" s="979" t="s">
        <v>4303</v>
      </c>
      <c r="H320" s="1030">
        <v>539135</v>
      </c>
      <c r="I320" s="1030">
        <v>0</v>
      </c>
      <c r="J320" s="1034">
        <v>0</v>
      </c>
      <c r="K320" s="1030"/>
      <c r="L320" s="1030">
        <v>0</v>
      </c>
      <c r="M320" s="979">
        <v>599</v>
      </c>
    </row>
    <row r="321" spans="1:13" ht="15">
      <c r="A321" s="979" t="s">
        <v>4299</v>
      </c>
      <c r="B321" s="722" t="str">
        <f>CONCATENATE(LEFT(RIGHT(CONCATENATE("000",IFAData_TEA!A321),6),3),"-",(RIGHT(RIGHT(CONCATENATE("000",IFAData_TEA!A321),6),3)))</f>
        <v>027-904</v>
      </c>
      <c r="C321" s="979" t="s">
        <v>291</v>
      </c>
      <c r="D321" s="979">
        <v>1</v>
      </c>
      <c r="E321" s="979">
        <v>2062</v>
      </c>
      <c r="F321" s="979" t="s">
        <v>4300</v>
      </c>
      <c r="G321" s="979" t="s">
        <v>4302</v>
      </c>
      <c r="H321" s="1030">
        <v>539135</v>
      </c>
      <c r="I321" s="1030">
        <v>0</v>
      </c>
      <c r="J321" s="1034">
        <v>0</v>
      </c>
      <c r="K321" s="1030"/>
      <c r="L321" s="1030">
        <v>0</v>
      </c>
      <c r="M321" s="979">
        <v>599</v>
      </c>
    </row>
    <row r="322" spans="1:13" ht="15">
      <c r="A322" s="979" t="s">
        <v>4299</v>
      </c>
      <c r="B322" s="722" t="str">
        <f>CONCATENATE(LEFT(RIGHT(CONCATENATE("000",IFAData_TEA!A322),6),3),"-",(RIGHT(RIGHT(CONCATENATE("000",IFAData_TEA!A322),6),3)))</f>
        <v>027-904</v>
      </c>
      <c r="C322" s="979" t="s">
        <v>291</v>
      </c>
      <c r="D322" s="979">
        <v>1</v>
      </c>
      <c r="E322" s="979">
        <v>2062</v>
      </c>
      <c r="F322" s="979" t="s">
        <v>4300</v>
      </c>
      <c r="G322" s="979" t="s">
        <v>4301</v>
      </c>
      <c r="H322" s="1030">
        <v>539135</v>
      </c>
      <c r="I322" s="1030">
        <v>0</v>
      </c>
      <c r="J322" s="1034">
        <v>0</v>
      </c>
      <c r="K322" s="1030"/>
      <c r="L322" s="1030">
        <v>0</v>
      </c>
      <c r="M322" s="979">
        <v>599</v>
      </c>
    </row>
    <row r="323" spans="1:13" ht="15">
      <c r="A323" s="979" t="s">
        <v>4299</v>
      </c>
      <c r="B323" s="722" t="str">
        <f>CONCATENATE(LEFT(RIGHT(CONCATENATE("000",IFAData_TEA!A323),6),3),"-",(RIGHT(RIGHT(CONCATENATE("000",IFAData_TEA!A323),6),3)))</f>
        <v>027-904</v>
      </c>
      <c r="C323" s="979" t="s">
        <v>291</v>
      </c>
      <c r="D323" s="979">
        <v>1</v>
      </c>
      <c r="E323" s="979">
        <v>2062</v>
      </c>
      <c r="F323" s="979" t="s">
        <v>4300</v>
      </c>
      <c r="G323" s="979" t="s">
        <v>4300</v>
      </c>
      <c r="H323" s="1030">
        <v>539135</v>
      </c>
      <c r="I323" s="1030">
        <v>0</v>
      </c>
      <c r="J323" s="1034">
        <v>0</v>
      </c>
      <c r="K323" s="1030"/>
      <c r="L323" s="1030">
        <v>0</v>
      </c>
      <c r="M323" s="979">
        <v>599</v>
      </c>
    </row>
    <row r="324" spans="1:13" ht="15">
      <c r="A324" s="979" t="s">
        <v>3426</v>
      </c>
      <c r="B324" s="722" t="str">
        <f>CONCATENATE(LEFT(RIGHT(CONCATENATE("000",IFAData_TEA!A324),6),3),"-",(RIGHT(RIGHT(CONCATENATE("000",IFAData_TEA!A324),6),3)))</f>
        <v>028-902</v>
      </c>
      <c r="C324" s="979" t="s">
        <v>2227</v>
      </c>
      <c r="D324" s="979">
        <v>1</v>
      </c>
      <c r="E324" s="979">
        <v>2030</v>
      </c>
      <c r="F324" s="979" t="s">
        <v>4304</v>
      </c>
      <c r="G324" s="979" t="s">
        <v>4305</v>
      </c>
      <c r="H324" s="1030">
        <v>930541</v>
      </c>
      <c r="I324" s="1030">
        <v>953483</v>
      </c>
      <c r="J324" s="1034">
        <v>0.83684078414301066</v>
      </c>
      <c r="K324" s="1030">
        <v>778714.6601172213</v>
      </c>
      <c r="L324" s="1030">
        <v>778714.6601172213</v>
      </c>
      <c r="M324" s="979">
        <v>599</v>
      </c>
    </row>
    <row r="325" spans="1:13" ht="15">
      <c r="A325" s="979" t="s">
        <v>3426</v>
      </c>
      <c r="B325" s="722" t="str">
        <f>CONCATENATE(LEFT(RIGHT(CONCATENATE("000",IFAData_TEA!A325),6),3),"-",(RIGHT(RIGHT(CONCATENATE("000",IFAData_TEA!A325),6),3)))</f>
        <v>028-902</v>
      </c>
      <c r="C325" s="979" t="s">
        <v>2227</v>
      </c>
      <c r="D325" s="979">
        <v>6</v>
      </c>
      <c r="E325" s="979">
        <v>2031</v>
      </c>
      <c r="F325" s="979" t="s">
        <v>4307</v>
      </c>
      <c r="G325" s="979" t="s">
        <v>4308</v>
      </c>
      <c r="H325" s="1030">
        <v>954099</v>
      </c>
      <c r="I325" s="1030">
        <v>391794</v>
      </c>
      <c r="J325" s="1034">
        <v>0.36210233290634547</v>
      </c>
      <c r="K325" s="1030">
        <v>345481.47372361133</v>
      </c>
      <c r="L325" s="1030">
        <v>345481.47372361133</v>
      </c>
      <c r="M325" s="979">
        <v>599</v>
      </c>
    </row>
    <row r="326" spans="1:13" ht="15">
      <c r="A326" s="979" t="s">
        <v>3426</v>
      </c>
      <c r="B326" s="722" t="str">
        <f>CONCATENATE(LEFT(RIGHT(CONCATENATE("000",IFAData_TEA!A326),6),3),"-",(RIGHT(RIGHT(CONCATENATE("000",IFAData_TEA!A326),6),3)))</f>
        <v>028-902</v>
      </c>
      <c r="C326" s="979" t="s">
        <v>2227</v>
      </c>
      <c r="D326" s="979">
        <v>1</v>
      </c>
      <c r="E326" s="979">
        <v>2030</v>
      </c>
      <c r="F326" s="979" t="s">
        <v>4304</v>
      </c>
      <c r="G326" s="979" t="s">
        <v>4306</v>
      </c>
      <c r="H326" s="1030">
        <v>930541</v>
      </c>
      <c r="I326" s="1030">
        <v>185901</v>
      </c>
      <c r="J326" s="1034">
        <v>0.16315921585698939</v>
      </c>
      <c r="K326" s="1030">
        <v>151826.33988277876</v>
      </c>
      <c r="L326" s="1030">
        <v>151826.33988277876</v>
      </c>
      <c r="M326" s="979">
        <v>599</v>
      </c>
    </row>
    <row r="327" spans="1:13" ht="15">
      <c r="A327" s="979" t="s">
        <v>3426</v>
      </c>
      <c r="B327" s="722" t="str">
        <f>CONCATENATE(LEFT(RIGHT(CONCATENATE("000",IFAData_TEA!A327),6),3),"-",(RIGHT(RIGHT(CONCATENATE("000",IFAData_TEA!A327),6),3)))</f>
        <v>028-902</v>
      </c>
      <c r="C327" s="979" t="s">
        <v>2227</v>
      </c>
      <c r="D327" s="979">
        <v>6</v>
      </c>
      <c r="E327" s="979">
        <v>2031</v>
      </c>
      <c r="F327" s="979" t="s">
        <v>4307</v>
      </c>
      <c r="G327" s="979" t="s">
        <v>4307</v>
      </c>
      <c r="H327" s="1030">
        <v>954099</v>
      </c>
      <c r="I327" s="1030">
        <v>0</v>
      </c>
      <c r="J327" s="1034">
        <v>0</v>
      </c>
      <c r="K327" s="1030">
        <v>0</v>
      </c>
      <c r="L327" s="1030">
        <v>0</v>
      </c>
      <c r="M327" s="979">
        <v>599</v>
      </c>
    </row>
    <row r="328" spans="1:13" ht="15">
      <c r="A328" s="979" t="s">
        <v>3426</v>
      </c>
      <c r="B328" s="722" t="str">
        <f>CONCATENATE(LEFT(RIGHT(CONCATENATE("000",IFAData_TEA!A328),6),3),"-",(RIGHT(RIGHT(CONCATENATE("000",IFAData_TEA!A328),6),3)))</f>
        <v>028-902</v>
      </c>
      <c r="C328" s="979" t="s">
        <v>2227</v>
      </c>
      <c r="D328" s="979">
        <v>6</v>
      </c>
      <c r="E328" s="979">
        <v>2031</v>
      </c>
      <c r="F328" s="979" t="s">
        <v>4307</v>
      </c>
      <c r="G328" s="979" t="s">
        <v>4309</v>
      </c>
      <c r="H328" s="1030">
        <v>954099</v>
      </c>
      <c r="I328" s="1030">
        <v>690204</v>
      </c>
      <c r="J328" s="1034">
        <v>0.63789766709365447</v>
      </c>
      <c r="K328" s="1030">
        <v>608617.52627638867</v>
      </c>
      <c r="L328" s="1030">
        <v>608617.52627638867</v>
      </c>
      <c r="M328" s="979">
        <v>599</v>
      </c>
    </row>
    <row r="329" spans="1:13" ht="15">
      <c r="A329" s="979" t="s">
        <v>3426</v>
      </c>
      <c r="B329" s="722" t="str">
        <f>CONCATENATE(LEFT(RIGHT(CONCATENATE("000",IFAData_TEA!A329),6),3),"-",(RIGHT(RIGHT(CONCATENATE("000",IFAData_TEA!A329),6),3)))</f>
        <v>028-902</v>
      </c>
      <c r="C329" s="979" t="s">
        <v>2227</v>
      </c>
      <c r="D329" s="979">
        <v>1</v>
      </c>
      <c r="E329" s="979">
        <v>2030</v>
      </c>
      <c r="F329" s="979" t="s">
        <v>4304</v>
      </c>
      <c r="G329" s="979" t="s">
        <v>4304</v>
      </c>
      <c r="H329" s="1030">
        <v>930541</v>
      </c>
      <c r="I329" s="1030">
        <v>0</v>
      </c>
      <c r="J329" s="1034">
        <v>0</v>
      </c>
      <c r="K329" s="1030">
        <v>0</v>
      </c>
      <c r="L329" s="1030">
        <v>0</v>
      </c>
      <c r="M329" s="979">
        <v>599</v>
      </c>
    </row>
    <row r="330" spans="1:13" ht="15">
      <c r="A330" s="979" t="s">
        <v>3427</v>
      </c>
      <c r="B330" s="722" t="str">
        <f>CONCATENATE(LEFT(RIGHT(CONCATENATE("000",IFAData_TEA!A330),6),3),"-",(RIGHT(RIGHT(CONCATENATE("000",IFAData_TEA!A330),6),3)))</f>
        <v>028-903</v>
      </c>
      <c r="C330" s="979" t="s">
        <v>838</v>
      </c>
      <c r="D330" s="979">
        <v>5</v>
      </c>
      <c r="E330" s="979">
        <v>2043</v>
      </c>
      <c r="F330" s="979" t="s">
        <v>4310</v>
      </c>
      <c r="G330" s="979" t="s">
        <v>4310</v>
      </c>
      <c r="H330" s="1030">
        <v>352232</v>
      </c>
      <c r="I330" s="1030">
        <v>0</v>
      </c>
      <c r="J330" s="1034">
        <v>0</v>
      </c>
      <c r="K330" s="1030">
        <v>0</v>
      </c>
      <c r="L330" s="1030">
        <v>0</v>
      </c>
      <c r="M330" s="979">
        <v>599</v>
      </c>
    </row>
    <row r="331" spans="1:13" ht="15">
      <c r="A331" s="979" t="s">
        <v>3427</v>
      </c>
      <c r="B331" s="722" t="str">
        <f>CONCATENATE(LEFT(RIGHT(CONCATENATE("000",IFAData_TEA!A331),6),3),"-",(RIGHT(RIGHT(CONCATENATE("000",IFAData_TEA!A331),6),3)))</f>
        <v>028-903</v>
      </c>
      <c r="C331" s="979" t="s">
        <v>838</v>
      </c>
      <c r="D331" s="979">
        <v>5</v>
      </c>
      <c r="E331" s="979">
        <v>2043</v>
      </c>
      <c r="F331" s="979" t="s">
        <v>4310</v>
      </c>
      <c r="G331" s="979" t="s">
        <v>4311</v>
      </c>
      <c r="H331" s="1030">
        <v>352232</v>
      </c>
      <c r="I331" s="1030">
        <v>365545</v>
      </c>
      <c r="J331" s="1034">
        <v>1</v>
      </c>
      <c r="K331" s="1030">
        <v>352232</v>
      </c>
      <c r="L331" s="1030">
        <v>352232</v>
      </c>
      <c r="M331" s="979">
        <v>599</v>
      </c>
    </row>
    <row r="332" spans="1:13" ht="15">
      <c r="A332" s="979" t="s">
        <v>3428</v>
      </c>
      <c r="B332" s="722" t="str">
        <f>CONCATENATE(LEFT(RIGHT(CONCATENATE("000",IFAData_TEA!A332),6),3),"-",(RIGHT(RIGHT(CONCATENATE("000",IFAData_TEA!A332),6),3)))</f>
        <v>030-902</v>
      </c>
      <c r="C332" s="979" t="s">
        <v>31</v>
      </c>
      <c r="D332" s="979">
        <v>9</v>
      </c>
      <c r="E332" s="979">
        <v>1702</v>
      </c>
      <c r="F332" s="979" t="s">
        <v>4314</v>
      </c>
      <c r="G332" s="979" t="s">
        <v>6204</v>
      </c>
      <c r="H332" s="1030">
        <v>342278</v>
      </c>
      <c r="I332" s="1030">
        <v>70765</v>
      </c>
      <c r="J332" s="1034">
        <v>8.8725865724470235E-2</v>
      </c>
      <c r="K332" s="1030">
        <v>30368.911868440224</v>
      </c>
      <c r="L332" s="1030">
        <v>30368.911868440224</v>
      </c>
      <c r="M332" s="979">
        <v>599</v>
      </c>
    </row>
    <row r="333" spans="1:13" ht="15">
      <c r="A333" s="979" t="s">
        <v>3428</v>
      </c>
      <c r="B333" s="722" t="str">
        <f>CONCATENATE(LEFT(RIGHT(CONCATENATE("000",IFAData_TEA!A333),6),3),"-",(RIGHT(RIGHT(CONCATENATE("000",IFAData_TEA!A333),6),3)))</f>
        <v>030-902</v>
      </c>
      <c r="C333" s="979" t="s">
        <v>31</v>
      </c>
      <c r="D333" s="979">
        <v>9</v>
      </c>
      <c r="E333" s="979">
        <v>1702</v>
      </c>
      <c r="F333" s="979" t="s">
        <v>4314</v>
      </c>
      <c r="G333" s="979" t="s">
        <v>4314</v>
      </c>
      <c r="H333" s="1030">
        <v>342278</v>
      </c>
      <c r="I333" s="1030">
        <v>676992</v>
      </c>
      <c r="J333" s="1034">
        <v>0.84881934979920237</v>
      </c>
      <c r="K333" s="1030">
        <v>290532.18941057142</v>
      </c>
      <c r="L333" s="1030">
        <v>290532.18941057142</v>
      </c>
      <c r="M333" s="979">
        <v>599</v>
      </c>
    </row>
    <row r="334" spans="1:13" ht="15">
      <c r="A334" s="979" t="s">
        <v>3428</v>
      </c>
      <c r="B334" s="722" t="str">
        <f>CONCATENATE(LEFT(RIGHT(CONCATENATE("000",IFAData_TEA!A334),6),3),"-",(RIGHT(RIGHT(CONCATENATE("000",IFAData_TEA!A334),6),3)))</f>
        <v>030-902</v>
      </c>
      <c r="C334" s="979" t="s">
        <v>31</v>
      </c>
      <c r="D334" s="979">
        <v>4</v>
      </c>
      <c r="E334" s="979">
        <v>1703</v>
      </c>
      <c r="F334" s="979" t="s">
        <v>4312</v>
      </c>
      <c r="G334" s="979" t="s">
        <v>4312</v>
      </c>
      <c r="H334" s="1030">
        <v>375000</v>
      </c>
      <c r="I334" s="1030">
        <v>0</v>
      </c>
      <c r="J334" s="1034">
        <v>0</v>
      </c>
      <c r="K334" s="1030">
        <v>0</v>
      </c>
      <c r="L334" s="1030">
        <v>0</v>
      </c>
      <c r="M334" s="979">
        <v>599</v>
      </c>
    </row>
    <row r="335" spans="1:13" ht="15">
      <c r="A335" s="979" t="s">
        <v>3428</v>
      </c>
      <c r="B335" s="722" t="str">
        <f>CONCATENATE(LEFT(RIGHT(CONCATENATE("000",IFAData_TEA!A335),6),3),"-",(RIGHT(RIGHT(CONCATENATE("000",IFAData_TEA!A335),6),3)))</f>
        <v>030-902</v>
      </c>
      <c r="C335" s="979" t="s">
        <v>31</v>
      </c>
      <c r="D335" s="979">
        <v>4</v>
      </c>
      <c r="E335" s="979">
        <v>1703</v>
      </c>
      <c r="F335" s="979" t="s">
        <v>4312</v>
      </c>
      <c r="G335" s="979" t="s">
        <v>4313</v>
      </c>
      <c r="H335" s="1030">
        <v>375000</v>
      </c>
      <c r="I335" s="1030">
        <v>528749</v>
      </c>
      <c r="J335" s="1034">
        <v>0.64363063139827881</v>
      </c>
      <c r="K335" s="1030">
        <v>241361.48677435456</v>
      </c>
      <c r="L335" s="1030">
        <v>241361.48677435456</v>
      </c>
      <c r="M335" s="979">
        <v>599</v>
      </c>
    </row>
    <row r="336" spans="1:13" ht="15">
      <c r="A336" s="979" t="s">
        <v>3428</v>
      </c>
      <c r="B336" s="722" t="str">
        <f>CONCATENATE(LEFT(RIGHT(CONCATENATE("000",IFAData_TEA!A336),6),3),"-",(RIGHT(RIGHT(CONCATENATE("000",IFAData_TEA!A336),6),3)))</f>
        <v>030-902</v>
      </c>
      <c r="C336" s="979" t="s">
        <v>31</v>
      </c>
      <c r="D336" s="979">
        <v>4</v>
      </c>
      <c r="E336" s="979">
        <v>1703</v>
      </c>
      <c r="F336" s="979" t="s">
        <v>4312</v>
      </c>
      <c r="G336" s="979" t="s">
        <v>6204</v>
      </c>
      <c r="H336" s="1030">
        <v>375000</v>
      </c>
      <c r="I336" s="1030">
        <v>292761</v>
      </c>
      <c r="J336" s="1034">
        <v>0.35636936860172125</v>
      </c>
      <c r="K336" s="1030">
        <v>133638.51322564547</v>
      </c>
      <c r="L336" s="1030">
        <v>133638.51322564547</v>
      </c>
      <c r="M336" s="979">
        <v>599</v>
      </c>
    </row>
    <row r="337" spans="1:13" ht="15">
      <c r="A337" s="979" t="s">
        <v>3428</v>
      </c>
      <c r="B337" s="722" t="str">
        <f>CONCATENATE(LEFT(RIGHT(CONCATENATE("000",IFAData_TEA!A337),6),3),"-",(RIGHT(RIGHT(CONCATENATE("000",IFAData_TEA!A337),6),3)))</f>
        <v>030-902</v>
      </c>
      <c r="C337" s="979" t="s">
        <v>31</v>
      </c>
      <c r="D337" s="979">
        <v>9</v>
      </c>
      <c r="E337" s="979">
        <v>1702</v>
      </c>
      <c r="F337" s="979" t="s">
        <v>4314</v>
      </c>
      <c r="G337" s="979" t="s">
        <v>6205</v>
      </c>
      <c r="H337" s="1030">
        <v>342278</v>
      </c>
      <c r="I337" s="1030">
        <v>49812</v>
      </c>
      <c r="J337" s="1034">
        <v>6.2454784476327442E-2</v>
      </c>
      <c r="K337" s="1030">
        <v>21376.898720988404</v>
      </c>
      <c r="L337" s="1030">
        <v>21376.898720988404</v>
      </c>
      <c r="M337" s="979">
        <v>599</v>
      </c>
    </row>
    <row r="338" spans="1:13" ht="15">
      <c r="A338" s="979" t="s">
        <v>3429</v>
      </c>
      <c r="B338" s="722" t="str">
        <f>CONCATENATE(LEFT(RIGHT(CONCATENATE("000",IFAData_TEA!A338),6),3),"-",(RIGHT(RIGHT(CONCATENATE("000",IFAData_TEA!A338),6),3)))</f>
        <v>030-903</v>
      </c>
      <c r="C338" s="979" t="s">
        <v>1601</v>
      </c>
      <c r="D338" s="979">
        <v>9</v>
      </c>
      <c r="E338" s="979">
        <v>1589</v>
      </c>
      <c r="F338" s="979" t="s">
        <v>4315</v>
      </c>
      <c r="G338" s="979" t="s">
        <v>4315</v>
      </c>
      <c r="H338" s="1030">
        <v>94523</v>
      </c>
      <c r="I338" s="1030">
        <v>94130</v>
      </c>
      <c r="J338" s="1034">
        <v>1</v>
      </c>
      <c r="K338" s="1030">
        <v>94523</v>
      </c>
      <c r="L338" s="1030">
        <v>94130</v>
      </c>
      <c r="M338" s="979">
        <v>599</v>
      </c>
    </row>
    <row r="339" spans="1:13" ht="15">
      <c r="A339" s="979" t="s">
        <v>3430</v>
      </c>
      <c r="B339" s="722" t="str">
        <f>CONCATENATE(LEFT(RIGHT(CONCATENATE("000",IFAData_TEA!A339),6),3),"-",(RIGHT(RIGHT(CONCATENATE("000",IFAData_TEA!A339),6),3)))</f>
        <v>031-901</v>
      </c>
      <c r="C339" s="979" t="s">
        <v>2635</v>
      </c>
      <c r="D339" s="979">
        <v>10</v>
      </c>
      <c r="E339" s="979">
        <v>1637</v>
      </c>
      <c r="F339" s="979" t="s">
        <v>4326</v>
      </c>
      <c r="G339" s="979" t="s">
        <v>4326</v>
      </c>
      <c r="H339" s="1030">
        <v>276579</v>
      </c>
      <c r="I339" s="1030">
        <v>198207</v>
      </c>
      <c r="J339" s="1034">
        <v>1</v>
      </c>
      <c r="K339" s="1030">
        <v>276579</v>
      </c>
      <c r="L339" s="1030">
        <v>198207</v>
      </c>
      <c r="M339" s="979">
        <v>199</v>
      </c>
    </row>
    <row r="340" spans="1:13" ht="15">
      <c r="A340" s="979" t="s">
        <v>3430</v>
      </c>
      <c r="B340" s="722" t="str">
        <f>CONCATENATE(LEFT(RIGHT(CONCATENATE("000",IFAData_TEA!A340),6),3),"-",(RIGHT(RIGHT(CONCATENATE("000",IFAData_TEA!A340),6),3)))</f>
        <v>031-901</v>
      </c>
      <c r="C340" s="979" t="s">
        <v>2635</v>
      </c>
      <c r="D340" s="979">
        <v>5</v>
      </c>
      <c r="E340" s="979">
        <v>1643</v>
      </c>
      <c r="F340" s="979" t="s">
        <v>4319</v>
      </c>
      <c r="G340" s="979" t="s">
        <v>6206</v>
      </c>
      <c r="H340" s="1030">
        <v>3118521</v>
      </c>
      <c r="I340" s="1030">
        <v>16878</v>
      </c>
      <c r="J340" s="1034">
        <v>6.7872975633609788E-3</v>
      </c>
      <c r="K340" s="1030">
        <v>21166.329984590044</v>
      </c>
      <c r="L340" s="1030">
        <v>16878</v>
      </c>
      <c r="M340" s="979">
        <v>599</v>
      </c>
    </row>
    <row r="341" spans="1:13" ht="15">
      <c r="A341" s="979" t="s">
        <v>3430</v>
      </c>
      <c r="B341" s="722" t="str">
        <f>CONCATENATE(LEFT(RIGHT(CONCATENATE("000",IFAData_TEA!A341),6),3),"-",(RIGHT(RIGHT(CONCATENATE("000",IFAData_TEA!A341),6),3)))</f>
        <v>031-901</v>
      </c>
      <c r="C341" s="979" t="s">
        <v>2635</v>
      </c>
      <c r="D341" s="979">
        <v>8</v>
      </c>
      <c r="E341" s="979">
        <v>1644</v>
      </c>
      <c r="F341" s="979" t="s">
        <v>4321</v>
      </c>
      <c r="G341" s="979" t="s">
        <v>4321</v>
      </c>
      <c r="H341" s="1030">
        <v>9847713</v>
      </c>
      <c r="I341" s="1030">
        <v>5629125</v>
      </c>
      <c r="J341" s="1034">
        <v>0.60188934955372542</v>
      </c>
      <c r="K341" s="1030">
        <v>5927233.5721617658</v>
      </c>
      <c r="L341" s="1030">
        <v>5629125</v>
      </c>
      <c r="M341" s="979">
        <v>599</v>
      </c>
    </row>
    <row r="342" spans="1:13" ht="15">
      <c r="A342" s="979" t="s">
        <v>3430</v>
      </c>
      <c r="B342" s="722" t="str">
        <f>CONCATENATE(LEFT(RIGHT(CONCATENATE("000",IFAData_TEA!A342),6),3),"-",(RIGHT(RIGHT(CONCATENATE("000",IFAData_TEA!A342),6),3)))</f>
        <v>031-901</v>
      </c>
      <c r="C342" s="979" t="s">
        <v>2635</v>
      </c>
      <c r="D342" s="979">
        <v>10</v>
      </c>
      <c r="E342" s="979">
        <v>1640</v>
      </c>
      <c r="F342" s="979" t="s">
        <v>4324</v>
      </c>
      <c r="G342" s="979" t="s">
        <v>4324</v>
      </c>
      <c r="H342" s="1030">
        <v>651339</v>
      </c>
      <c r="I342" s="1030">
        <v>488155</v>
      </c>
      <c r="J342" s="1034">
        <v>1</v>
      </c>
      <c r="K342" s="1030">
        <v>651339</v>
      </c>
      <c r="L342" s="1030">
        <v>488155</v>
      </c>
      <c r="M342" s="979">
        <v>199</v>
      </c>
    </row>
    <row r="343" spans="1:13" ht="15">
      <c r="A343" s="979" t="s">
        <v>3430</v>
      </c>
      <c r="B343" s="722" t="str">
        <f>CONCATENATE(LEFT(RIGHT(CONCATENATE("000",IFAData_TEA!A343),6),3),"-",(RIGHT(RIGHT(CONCATENATE("000",IFAData_TEA!A343),6),3)))</f>
        <v>031-901</v>
      </c>
      <c r="C343" s="979" t="s">
        <v>2635</v>
      </c>
      <c r="D343" s="979">
        <v>5</v>
      </c>
      <c r="E343" s="979">
        <v>1643</v>
      </c>
      <c r="F343" s="979" t="s">
        <v>4319</v>
      </c>
      <c r="G343" s="979" t="s">
        <v>4318</v>
      </c>
      <c r="H343" s="1030">
        <v>3118521</v>
      </c>
      <c r="I343" s="1030">
        <v>865826</v>
      </c>
      <c r="J343" s="1034">
        <v>0.34818217206390467</v>
      </c>
      <c r="K343" s="1030">
        <v>1085813.4154069</v>
      </c>
      <c r="L343" s="1030">
        <v>865826</v>
      </c>
      <c r="M343" s="979">
        <v>599</v>
      </c>
    </row>
    <row r="344" spans="1:13" ht="15">
      <c r="A344" s="979" t="s">
        <v>3430</v>
      </c>
      <c r="B344" s="722" t="str">
        <f>CONCATENATE(LEFT(RIGHT(CONCATENATE("000",IFAData_TEA!A344),6),3),"-",(RIGHT(RIGHT(CONCATENATE("000",IFAData_TEA!A344),6),3)))</f>
        <v>031-901</v>
      </c>
      <c r="C344" s="979" t="s">
        <v>2635</v>
      </c>
      <c r="D344" s="979">
        <v>5</v>
      </c>
      <c r="E344" s="979">
        <v>1643</v>
      </c>
      <c r="F344" s="979" t="s">
        <v>4319</v>
      </c>
      <c r="G344" s="979" t="s">
        <v>4317</v>
      </c>
      <c r="H344" s="1030">
        <v>3118521</v>
      </c>
      <c r="I344" s="1030">
        <v>1604000</v>
      </c>
      <c r="J344" s="1034">
        <v>0.64503053037273439</v>
      </c>
      <c r="K344" s="1030">
        <v>2011541.2546085101</v>
      </c>
      <c r="L344" s="1030">
        <v>1604000</v>
      </c>
      <c r="M344" s="979">
        <v>599</v>
      </c>
    </row>
    <row r="345" spans="1:13" ht="15">
      <c r="A345" s="979" t="s">
        <v>3430</v>
      </c>
      <c r="B345" s="722" t="str">
        <f>CONCATENATE(LEFT(RIGHT(CONCATENATE("000",IFAData_TEA!A345),6),3),"-",(RIGHT(RIGHT(CONCATENATE("000",IFAData_TEA!A345),6),3)))</f>
        <v>031-901</v>
      </c>
      <c r="C345" s="979" t="s">
        <v>2635</v>
      </c>
      <c r="D345" s="979">
        <v>10</v>
      </c>
      <c r="E345" s="979">
        <v>1641</v>
      </c>
      <c r="F345" s="979" t="s">
        <v>4322</v>
      </c>
      <c r="G345" s="979" t="s">
        <v>4322</v>
      </c>
      <c r="H345" s="1030">
        <v>1323878</v>
      </c>
      <c r="I345" s="1030">
        <v>1206014</v>
      </c>
      <c r="J345" s="1034">
        <v>1</v>
      </c>
      <c r="K345" s="1030">
        <v>1323878</v>
      </c>
      <c r="L345" s="1030">
        <v>1206014</v>
      </c>
      <c r="M345" s="979">
        <v>199</v>
      </c>
    </row>
    <row r="346" spans="1:13" ht="15">
      <c r="A346" s="979" t="s">
        <v>3430</v>
      </c>
      <c r="B346" s="722" t="str">
        <f>CONCATENATE(LEFT(RIGHT(CONCATENATE("000",IFAData_TEA!A346),6),3),"-",(RIGHT(RIGHT(CONCATENATE("000",IFAData_TEA!A346),6),3)))</f>
        <v>031-901</v>
      </c>
      <c r="C346" s="979" t="s">
        <v>2635</v>
      </c>
      <c r="D346" s="979">
        <v>10</v>
      </c>
      <c r="E346" s="979">
        <v>1639</v>
      </c>
      <c r="F346" s="979" t="s">
        <v>4325</v>
      </c>
      <c r="G346" s="979" t="s">
        <v>4325</v>
      </c>
      <c r="H346" s="1030">
        <v>427251</v>
      </c>
      <c r="I346" s="1030">
        <v>315347</v>
      </c>
      <c r="J346" s="1034">
        <v>1</v>
      </c>
      <c r="K346" s="1030">
        <v>427251</v>
      </c>
      <c r="L346" s="1030">
        <v>315347</v>
      </c>
      <c r="M346" s="979">
        <v>199</v>
      </c>
    </row>
    <row r="347" spans="1:13" ht="15">
      <c r="A347" s="979" t="s">
        <v>3430</v>
      </c>
      <c r="B347" s="722" t="str">
        <f>CONCATENATE(LEFT(RIGHT(CONCATENATE("000",IFAData_TEA!A347),6),3),"-",(RIGHT(RIGHT(CONCATENATE("000",IFAData_TEA!A347),6),3)))</f>
        <v>031-901</v>
      </c>
      <c r="C347" s="979" t="s">
        <v>2635</v>
      </c>
      <c r="D347" s="979">
        <v>5</v>
      </c>
      <c r="E347" s="979">
        <v>1643</v>
      </c>
      <c r="F347" s="979" t="s">
        <v>4319</v>
      </c>
      <c r="G347" s="979" t="s">
        <v>4319</v>
      </c>
      <c r="H347" s="1030">
        <v>3118521</v>
      </c>
      <c r="I347" s="1030">
        <v>0</v>
      </c>
      <c r="J347" s="1034">
        <v>0</v>
      </c>
      <c r="K347" s="1030">
        <v>0</v>
      </c>
      <c r="L347" s="1030">
        <v>0</v>
      </c>
      <c r="M347" s="979">
        <v>599</v>
      </c>
    </row>
    <row r="348" spans="1:13" ht="15">
      <c r="A348" s="979" t="s">
        <v>3430</v>
      </c>
      <c r="B348" s="722" t="str">
        <f>CONCATENATE(LEFT(RIGHT(CONCATENATE("000",IFAData_TEA!A348),6),3),"-",(RIGHT(RIGHT(CONCATENATE("000",IFAData_TEA!A348),6),3)))</f>
        <v>031-901</v>
      </c>
      <c r="C348" s="979" t="s">
        <v>2635</v>
      </c>
      <c r="D348" s="979">
        <v>3</v>
      </c>
      <c r="E348" s="979">
        <v>1642</v>
      </c>
      <c r="F348" s="979" t="s">
        <v>4316</v>
      </c>
      <c r="G348" s="979" t="s">
        <v>4317</v>
      </c>
      <c r="H348" s="1030">
        <v>2472263</v>
      </c>
      <c r="I348" s="1030">
        <v>1617750</v>
      </c>
      <c r="J348" s="1034">
        <v>0.67899996138587759</v>
      </c>
      <c r="K348" s="1030">
        <v>1678666.4815357339</v>
      </c>
      <c r="L348" s="1030">
        <v>1617750</v>
      </c>
      <c r="M348" s="979">
        <v>599</v>
      </c>
    </row>
    <row r="349" spans="1:13" ht="15">
      <c r="A349" s="979" t="s">
        <v>3430</v>
      </c>
      <c r="B349" s="722" t="str">
        <f>CONCATENATE(LEFT(RIGHT(CONCATENATE("000",IFAData_TEA!A349),6),3),"-",(RIGHT(RIGHT(CONCATENATE("000",IFAData_TEA!A349),6),3)))</f>
        <v>031-901</v>
      </c>
      <c r="C349" s="979" t="s">
        <v>2635</v>
      </c>
      <c r="D349" s="979">
        <v>8</v>
      </c>
      <c r="E349" s="979">
        <v>1644</v>
      </c>
      <c r="F349" s="979" t="s">
        <v>4321</v>
      </c>
      <c r="G349" s="979" t="s">
        <v>4320</v>
      </c>
      <c r="H349" s="1030">
        <v>9847713</v>
      </c>
      <c r="I349" s="1030">
        <v>3723300</v>
      </c>
      <c r="J349" s="1034">
        <v>0.39811065044627464</v>
      </c>
      <c r="K349" s="1030">
        <v>3920479.4278382347</v>
      </c>
      <c r="L349" s="1030">
        <v>3723300</v>
      </c>
      <c r="M349" s="979">
        <v>599</v>
      </c>
    </row>
    <row r="350" spans="1:13" ht="15">
      <c r="A350" s="979" t="s">
        <v>3430</v>
      </c>
      <c r="B350" s="722" t="str">
        <f>CONCATENATE(LEFT(RIGHT(CONCATENATE("000",IFAData_TEA!A350),6),3),"-",(RIGHT(RIGHT(CONCATENATE("000",IFAData_TEA!A350),6),3)))</f>
        <v>031-901</v>
      </c>
      <c r="C350" s="979" t="s">
        <v>2635</v>
      </c>
      <c r="D350" s="979">
        <v>3</v>
      </c>
      <c r="E350" s="979">
        <v>1642</v>
      </c>
      <c r="F350" s="979" t="s">
        <v>4316</v>
      </c>
      <c r="G350" s="979" t="s">
        <v>6206</v>
      </c>
      <c r="H350" s="1030">
        <v>2472263</v>
      </c>
      <c r="I350" s="1030">
        <v>21087</v>
      </c>
      <c r="J350" s="1034">
        <v>8.8506086760896316E-3</v>
      </c>
      <c r="K350" s="1030">
        <v>21881.032357375381</v>
      </c>
      <c r="L350" s="1030">
        <v>21087</v>
      </c>
      <c r="M350" s="979">
        <v>599</v>
      </c>
    </row>
    <row r="351" spans="1:13" ht="15">
      <c r="A351" s="979" t="s">
        <v>3430</v>
      </c>
      <c r="B351" s="722" t="str">
        <f>CONCATENATE(LEFT(RIGHT(CONCATENATE("000",IFAData_TEA!A351),6),3),"-",(RIGHT(RIGHT(CONCATENATE("000",IFAData_TEA!A351),6),3)))</f>
        <v>031-901</v>
      </c>
      <c r="C351" s="979" t="s">
        <v>2635</v>
      </c>
      <c r="D351" s="979">
        <v>3</v>
      </c>
      <c r="E351" s="979">
        <v>1642</v>
      </c>
      <c r="F351" s="979" t="s">
        <v>4316</v>
      </c>
      <c r="G351" s="979" t="s">
        <v>4318</v>
      </c>
      <c r="H351" s="1030">
        <v>2472263</v>
      </c>
      <c r="I351" s="1030">
        <v>743711</v>
      </c>
      <c r="J351" s="1034">
        <v>0.31214942993803274</v>
      </c>
      <c r="K351" s="1030">
        <v>771715.4861068906</v>
      </c>
      <c r="L351" s="1030">
        <v>743711</v>
      </c>
      <c r="M351" s="979">
        <v>599</v>
      </c>
    </row>
    <row r="352" spans="1:13" ht="15">
      <c r="A352" s="979" t="s">
        <v>3430</v>
      </c>
      <c r="B352" s="722" t="str">
        <f>CONCATENATE(LEFT(RIGHT(CONCATENATE("000",IFAData_TEA!A352),6),3),"-",(RIGHT(RIGHT(CONCATENATE("000",IFAData_TEA!A352),6),3)))</f>
        <v>031-901</v>
      </c>
      <c r="C352" s="979" t="s">
        <v>2635</v>
      </c>
      <c r="D352" s="979">
        <v>3</v>
      </c>
      <c r="E352" s="979">
        <v>1642</v>
      </c>
      <c r="F352" s="979" t="s">
        <v>4316</v>
      </c>
      <c r="G352" s="979" t="s">
        <v>4316</v>
      </c>
      <c r="H352" s="1030">
        <v>2472263</v>
      </c>
      <c r="I352" s="1030">
        <v>0</v>
      </c>
      <c r="J352" s="1034">
        <v>0</v>
      </c>
      <c r="K352" s="1030">
        <v>0</v>
      </c>
      <c r="L352" s="1030">
        <v>0</v>
      </c>
      <c r="M352" s="979">
        <v>599</v>
      </c>
    </row>
    <row r="353" spans="1:13" ht="15">
      <c r="A353" s="979" t="s">
        <v>3430</v>
      </c>
      <c r="B353" s="722" t="str">
        <f>CONCATENATE(LEFT(RIGHT(CONCATENATE("000",IFAData_TEA!A353),6),3),"-",(RIGHT(RIGHT(CONCATENATE("000",IFAData_TEA!A353),6),3)))</f>
        <v>031-901</v>
      </c>
      <c r="C353" s="979" t="s">
        <v>2635</v>
      </c>
      <c r="D353" s="979">
        <v>5</v>
      </c>
      <c r="E353" s="979">
        <v>1643</v>
      </c>
      <c r="F353" s="979" t="s">
        <v>4319</v>
      </c>
      <c r="G353" s="979" t="s">
        <v>4320</v>
      </c>
      <c r="H353" s="1030">
        <v>3118521</v>
      </c>
      <c r="I353" s="1030">
        <v>0</v>
      </c>
      <c r="J353" s="1034">
        <v>0</v>
      </c>
      <c r="K353" s="1030">
        <v>0</v>
      </c>
      <c r="L353" s="1030">
        <v>0</v>
      </c>
      <c r="M353" s="979">
        <v>599</v>
      </c>
    </row>
    <row r="354" spans="1:13" ht="15">
      <c r="A354" s="979" t="s">
        <v>3430</v>
      </c>
      <c r="B354" s="722" t="str">
        <f>CONCATENATE(LEFT(RIGHT(CONCATENATE("000",IFAData_TEA!A354),6),3),"-",(RIGHT(RIGHT(CONCATENATE("000",IFAData_TEA!A354),6),3)))</f>
        <v>031-901</v>
      </c>
      <c r="C354" s="979" t="s">
        <v>2635</v>
      </c>
      <c r="D354" s="979">
        <v>10</v>
      </c>
      <c r="E354" s="979">
        <v>1638</v>
      </c>
      <c r="F354" s="979" t="s">
        <v>4323</v>
      </c>
      <c r="G354" s="979" t="s">
        <v>4323</v>
      </c>
      <c r="H354" s="1030">
        <v>414217</v>
      </c>
      <c r="I354" s="1030">
        <v>299709</v>
      </c>
      <c r="J354" s="1034">
        <v>1</v>
      </c>
      <c r="K354" s="1030">
        <v>414217</v>
      </c>
      <c r="L354" s="1030">
        <v>299709</v>
      </c>
      <c r="M354" s="979">
        <v>199</v>
      </c>
    </row>
    <row r="355" spans="1:13" ht="15">
      <c r="A355" s="979" t="s">
        <v>3431</v>
      </c>
      <c r="B355" s="722" t="str">
        <f>CONCATENATE(LEFT(RIGHT(CONCATENATE("000",IFAData_TEA!A355),6),3),"-",(RIGHT(RIGHT(CONCATENATE("000",IFAData_TEA!A355),6),3)))</f>
        <v>031-903</v>
      </c>
      <c r="C355" s="979" t="s">
        <v>34</v>
      </c>
      <c r="D355" s="979">
        <v>3</v>
      </c>
      <c r="E355" s="979">
        <v>1872</v>
      </c>
      <c r="F355" s="979" t="s">
        <v>4327</v>
      </c>
      <c r="G355" s="979" t="s">
        <v>4328</v>
      </c>
      <c r="H355" s="1030">
        <v>3617370</v>
      </c>
      <c r="I355" s="1030">
        <v>3276664</v>
      </c>
      <c r="J355" s="1034">
        <v>0.92879702074176451</v>
      </c>
      <c r="K355" s="1030">
        <v>3359802.4789206367</v>
      </c>
      <c r="L355" s="1030">
        <v>3276664</v>
      </c>
      <c r="M355" s="979">
        <v>599</v>
      </c>
    </row>
    <row r="356" spans="1:13" ht="15">
      <c r="A356" s="979" t="s">
        <v>3431</v>
      </c>
      <c r="B356" s="722" t="str">
        <f>CONCATENATE(LEFT(RIGHT(CONCATENATE("000",IFAData_TEA!A356),6),3),"-",(RIGHT(RIGHT(CONCATENATE("000",IFAData_TEA!A356),6),3)))</f>
        <v>031-903</v>
      </c>
      <c r="C356" s="979" t="s">
        <v>34</v>
      </c>
      <c r="D356" s="979">
        <v>5</v>
      </c>
      <c r="E356" s="979">
        <v>1871</v>
      </c>
      <c r="F356" s="979" t="s">
        <v>4329</v>
      </c>
      <c r="G356" s="979" t="s">
        <v>4330</v>
      </c>
      <c r="H356" s="1030">
        <v>830941</v>
      </c>
      <c r="I356" s="1030">
        <v>745425</v>
      </c>
      <c r="J356" s="1034">
        <v>1</v>
      </c>
      <c r="K356" s="1030">
        <v>830941</v>
      </c>
      <c r="L356" s="1030">
        <v>745425</v>
      </c>
      <c r="M356" s="979">
        <v>599</v>
      </c>
    </row>
    <row r="357" spans="1:13" ht="15">
      <c r="A357" s="979" t="s">
        <v>3431</v>
      </c>
      <c r="B357" s="722" t="str">
        <f>CONCATENATE(LEFT(RIGHT(CONCATENATE("000",IFAData_TEA!A357),6),3),"-",(RIGHT(RIGHT(CONCATENATE("000",IFAData_TEA!A357),6),3)))</f>
        <v>031-903</v>
      </c>
      <c r="C357" s="979" t="s">
        <v>34</v>
      </c>
      <c r="D357" s="979">
        <v>3</v>
      </c>
      <c r="E357" s="979">
        <v>1872</v>
      </c>
      <c r="F357" s="979" t="s">
        <v>4327</v>
      </c>
      <c r="G357" s="979" t="s">
        <v>4327</v>
      </c>
      <c r="H357" s="1030">
        <v>3617370</v>
      </c>
      <c r="I357" s="1030">
        <v>0</v>
      </c>
      <c r="J357" s="1034">
        <v>0</v>
      </c>
      <c r="K357" s="1030">
        <v>0</v>
      </c>
      <c r="L357" s="1030">
        <v>0</v>
      </c>
      <c r="M357" s="979">
        <v>599</v>
      </c>
    </row>
    <row r="358" spans="1:13" ht="15">
      <c r="A358" s="979" t="s">
        <v>3431</v>
      </c>
      <c r="B358" s="722" t="str">
        <f>CONCATENATE(LEFT(RIGHT(CONCATENATE("000",IFAData_TEA!A358),6),3),"-",(RIGHT(RIGHT(CONCATENATE("000",IFAData_TEA!A358),6),3)))</f>
        <v>031-903</v>
      </c>
      <c r="C358" s="979" t="s">
        <v>34</v>
      </c>
      <c r="D358" s="979">
        <v>5</v>
      </c>
      <c r="E358" s="979">
        <v>1871</v>
      </c>
      <c r="F358" s="979" t="s">
        <v>4329</v>
      </c>
      <c r="G358" s="979" t="s">
        <v>4329</v>
      </c>
      <c r="H358" s="1030">
        <v>830941</v>
      </c>
      <c r="I358" s="1030">
        <v>0</v>
      </c>
      <c r="J358" s="1034">
        <v>0</v>
      </c>
      <c r="K358" s="1030">
        <v>0</v>
      </c>
      <c r="L358" s="1030">
        <v>0</v>
      </c>
      <c r="M358" s="979">
        <v>599</v>
      </c>
    </row>
    <row r="359" spans="1:13" ht="15">
      <c r="A359" s="979" t="s">
        <v>3431</v>
      </c>
      <c r="B359" s="722" t="str">
        <f>CONCATENATE(LEFT(RIGHT(CONCATENATE("000",IFAData_TEA!A359),6),3),"-",(RIGHT(RIGHT(CONCATENATE("000",IFAData_TEA!A359),6),3)))</f>
        <v>031-903</v>
      </c>
      <c r="C359" s="979" t="s">
        <v>34</v>
      </c>
      <c r="D359" s="979">
        <v>9</v>
      </c>
      <c r="E359" s="979">
        <v>1870</v>
      </c>
      <c r="F359" s="979" t="s">
        <v>4331</v>
      </c>
      <c r="G359" s="979" t="s">
        <v>4331</v>
      </c>
      <c r="H359" s="1030">
        <v>462864</v>
      </c>
      <c r="I359" s="1030">
        <v>452658</v>
      </c>
      <c r="J359" s="1034">
        <v>1</v>
      </c>
      <c r="K359" s="1030">
        <v>462864</v>
      </c>
      <c r="L359" s="1030">
        <v>452658</v>
      </c>
      <c r="M359" s="979">
        <v>199</v>
      </c>
    </row>
    <row r="360" spans="1:13" ht="15">
      <c r="A360" s="979" t="s">
        <v>3431</v>
      </c>
      <c r="B360" s="722" t="str">
        <f>CONCATENATE(LEFT(RIGHT(CONCATENATE("000",IFAData_TEA!A360),6),3),"-",(RIGHT(RIGHT(CONCATENATE("000",IFAData_TEA!A360),6),3)))</f>
        <v>031-903</v>
      </c>
      <c r="C360" s="979" t="s">
        <v>34</v>
      </c>
      <c r="D360" s="979">
        <v>3</v>
      </c>
      <c r="E360" s="979">
        <v>1872</v>
      </c>
      <c r="F360" s="979" t="s">
        <v>4327</v>
      </c>
      <c r="G360" s="979" t="s">
        <v>6207</v>
      </c>
      <c r="H360" s="1030">
        <v>3617370</v>
      </c>
      <c r="I360" s="1030">
        <v>251194</v>
      </c>
      <c r="J360" s="1034">
        <v>7.1202979258235446E-2</v>
      </c>
      <c r="K360" s="1030">
        <v>257567.52107936316</v>
      </c>
      <c r="L360" s="1030">
        <v>251194</v>
      </c>
      <c r="M360" s="979">
        <v>599</v>
      </c>
    </row>
    <row r="361" spans="1:13" ht="15">
      <c r="A361" s="979" t="s">
        <v>3431</v>
      </c>
      <c r="B361" s="722" t="str">
        <f>CONCATENATE(LEFT(RIGHT(CONCATENATE("000",IFAData_TEA!A361),6),3),"-",(RIGHT(RIGHT(CONCATENATE("000",IFAData_TEA!A361),6),3)))</f>
        <v>031-903</v>
      </c>
      <c r="C361" s="979" t="s">
        <v>34</v>
      </c>
      <c r="D361" s="979">
        <v>10</v>
      </c>
      <c r="E361" s="979">
        <v>1873</v>
      </c>
      <c r="F361" s="979" t="s">
        <v>4332</v>
      </c>
      <c r="G361" s="979" t="s">
        <v>4332</v>
      </c>
      <c r="H361" s="1030">
        <v>3813436</v>
      </c>
      <c r="I361" s="1030">
        <v>3811070</v>
      </c>
      <c r="J361" s="1034">
        <v>1</v>
      </c>
      <c r="K361" s="1030">
        <v>3813436</v>
      </c>
      <c r="L361" s="1030">
        <v>3811070</v>
      </c>
      <c r="M361" s="979">
        <v>599</v>
      </c>
    </row>
    <row r="362" spans="1:13" ht="15">
      <c r="A362" s="979" t="s">
        <v>3432</v>
      </c>
      <c r="B362" s="722" t="str">
        <f>CONCATENATE(LEFT(RIGHT(CONCATENATE("000",IFAData_TEA!A362),6),3),"-",(RIGHT(RIGHT(CONCATENATE("000",IFAData_TEA!A362),6),3)))</f>
        <v>031-905</v>
      </c>
      <c r="C362" s="979" t="s">
        <v>1881</v>
      </c>
      <c r="D362" s="979">
        <v>9</v>
      </c>
      <c r="E362" s="979">
        <v>1980</v>
      </c>
      <c r="F362" s="979" t="s">
        <v>4341</v>
      </c>
      <c r="G362" s="979" t="s">
        <v>4341</v>
      </c>
      <c r="H362" s="1030">
        <v>790500</v>
      </c>
      <c r="I362" s="1030">
        <v>790550</v>
      </c>
      <c r="J362" s="1034">
        <v>1</v>
      </c>
      <c r="K362" s="1030">
        <v>790500</v>
      </c>
      <c r="L362" s="1030">
        <v>790500</v>
      </c>
      <c r="M362" s="979">
        <v>599</v>
      </c>
    </row>
    <row r="363" spans="1:13" ht="15">
      <c r="A363" s="979" t="s">
        <v>3432</v>
      </c>
      <c r="B363" s="722" t="str">
        <f>CONCATENATE(LEFT(RIGHT(CONCATENATE("000",IFAData_TEA!A363),6),3),"-",(RIGHT(RIGHT(CONCATENATE("000",IFAData_TEA!A363),6),3)))</f>
        <v>031-905</v>
      </c>
      <c r="C363" s="979" t="s">
        <v>1881</v>
      </c>
      <c r="D363" s="979">
        <v>4</v>
      </c>
      <c r="E363" s="979">
        <v>1976</v>
      </c>
      <c r="F363" s="979" t="s">
        <v>4337</v>
      </c>
      <c r="G363" s="979" t="s">
        <v>6208</v>
      </c>
      <c r="H363" s="1030">
        <v>159423</v>
      </c>
      <c r="I363" s="1030">
        <v>22161</v>
      </c>
      <c r="J363" s="1034">
        <v>0.11234354484667522</v>
      </c>
      <c r="K363" s="1030">
        <v>17910.144950091504</v>
      </c>
      <c r="L363" s="1030">
        <v>17910.144950091504</v>
      </c>
      <c r="M363" s="979">
        <v>599</v>
      </c>
    </row>
    <row r="364" spans="1:13" ht="15">
      <c r="A364" s="979" t="s">
        <v>3432</v>
      </c>
      <c r="B364" s="722" t="str">
        <f>CONCATENATE(LEFT(RIGHT(CONCATENATE("000",IFAData_TEA!A364),6),3),"-",(RIGHT(RIGHT(CONCATENATE("000",IFAData_TEA!A364),6),3)))</f>
        <v>031-905</v>
      </c>
      <c r="C364" s="979" t="s">
        <v>1881</v>
      </c>
      <c r="D364" s="979">
        <v>5</v>
      </c>
      <c r="E364" s="979">
        <v>1979</v>
      </c>
      <c r="F364" s="979" t="s">
        <v>4338</v>
      </c>
      <c r="G364" s="979" t="s">
        <v>6208</v>
      </c>
      <c r="H364" s="1030">
        <v>562519</v>
      </c>
      <c r="I364" s="1030">
        <v>94037</v>
      </c>
      <c r="J364" s="1034">
        <v>0.15736092424881357</v>
      </c>
      <c r="K364" s="1030">
        <v>88518.509747518357</v>
      </c>
      <c r="L364" s="1030">
        <v>88518.509747518357</v>
      </c>
      <c r="M364" s="979">
        <v>599</v>
      </c>
    </row>
    <row r="365" spans="1:13" ht="15">
      <c r="A365" s="979" t="s">
        <v>3432</v>
      </c>
      <c r="B365" s="722" t="str">
        <f>CONCATENATE(LEFT(RIGHT(CONCATENATE("000",IFAData_TEA!A365),6),3),"-",(RIGHT(RIGHT(CONCATENATE("000",IFAData_TEA!A365),6),3)))</f>
        <v>031-905</v>
      </c>
      <c r="C365" s="979" t="s">
        <v>1881</v>
      </c>
      <c r="D365" s="979">
        <v>6</v>
      </c>
      <c r="E365" s="979">
        <v>1974</v>
      </c>
      <c r="F365" s="979" t="s">
        <v>4339</v>
      </c>
      <c r="G365" s="979" t="s">
        <v>6208</v>
      </c>
      <c r="H365" s="1030">
        <v>89560</v>
      </c>
      <c r="I365" s="1030">
        <v>18390</v>
      </c>
      <c r="J365" s="1034">
        <v>0.17420546582674182</v>
      </c>
      <c r="K365" s="1030">
        <v>15601.841519442996</v>
      </c>
      <c r="L365" s="1030">
        <v>15601.841519442996</v>
      </c>
      <c r="M365" s="979">
        <v>599</v>
      </c>
    </row>
    <row r="366" spans="1:13" ht="15">
      <c r="A366" s="979" t="s">
        <v>3432</v>
      </c>
      <c r="B366" s="722" t="str">
        <f>CONCATENATE(LEFT(RIGHT(CONCATENATE("000",IFAData_TEA!A366),6),3),"-",(RIGHT(RIGHT(CONCATENATE("000",IFAData_TEA!A366),6),3)))</f>
        <v>031-905</v>
      </c>
      <c r="C366" s="979" t="s">
        <v>1881</v>
      </c>
      <c r="D366" s="979">
        <v>3</v>
      </c>
      <c r="E366" s="979">
        <v>1975</v>
      </c>
      <c r="F366" s="979" t="s">
        <v>4335</v>
      </c>
      <c r="G366" s="979" t="s">
        <v>6208</v>
      </c>
      <c r="H366" s="1030">
        <v>124856</v>
      </c>
      <c r="I366" s="1030">
        <v>23181</v>
      </c>
      <c r="J366" s="1034">
        <v>0.15314535628873063</v>
      </c>
      <c r="K366" s="1030">
        <v>19121.116604785751</v>
      </c>
      <c r="L366" s="1030">
        <v>19121.116604785751</v>
      </c>
      <c r="M366" s="979">
        <v>599</v>
      </c>
    </row>
    <row r="367" spans="1:13" ht="15">
      <c r="A367" s="979" t="s">
        <v>3432</v>
      </c>
      <c r="B367" s="722" t="str">
        <f>CONCATENATE(LEFT(RIGHT(CONCATENATE("000",IFAData_TEA!A367),6),3),"-",(RIGHT(RIGHT(CONCATENATE("000",IFAData_TEA!A367),6),3)))</f>
        <v>031-905</v>
      </c>
      <c r="C367" s="979" t="s">
        <v>1881</v>
      </c>
      <c r="D367" s="979">
        <v>6</v>
      </c>
      <c r="E367" s="979">
        <v>1974</v>
      </c>
      <c r="F367" s="979" t="s">
        <v>4339</v>
      </c>
      <c r="G367" s="979" t="s">
        <v>4336</v>
      </c>
      <c r="H367" s="1030">
        <v>89560</v>
      </c>
      <c r="I367" s="1030">
        <v>87175</v>
      </c>
      <c r="J367" s="1034">
        <v>0.82579453417325821</v>
      </c>
      <c r="K367" s="1030">
        <v>73958.158480557002</v>
      </c>
      <c r="L367" s="1030">
        <v>73958.158480557002</v>
      </c>
      <c r="M367" s="979">
        <v>599</v>
      </c>
    </row>
    <row r="368" spans="1:13" ht="15">
      <c r="A368" s="979" t="s">
        <v>3432</v>
      </c>
      <c r="B368" s="722" t="str">
        <f>CONCATENATE(LEFT(RIGHT(CONCATENATE("000",IFAData_TEA!A368),6),3),"-",(RIGHT(RIGHT(CONCATENATE("000",IFAData_TEA!A368),6),3)))</f>
        <v>031-905</v>
      </c>
      <c r="C368" s="979" t="s">
        <v>1881</v>
      </c>
      <c r="D368" s="979">
        <v>1</v>
      </c>
      <c r="E368" s="979">
        <v>1978</v>
      </c>
      <c r="F368" s="979" t="s">
        <v>4333</v>
      </c>
      <c r="G368" s="979" t="s">
        <v>4334</v>
      </c>
      <c r="H368" s="1030">
        <v>531801</v>
      </c>
      <c r="I368" s="1030">
        <v>497300</v>
      </c>
      <c r="J368" s="1034">
        <v>1</v>
      </c>
      <c r="K368" s="1030">
        <v>531801</v>
      </c>
      <c r="L368" s="1030">
        <v>497300</v>
      </c>
      <c r="M368" s="979">
        <v>599</v>
      </c>
    </row>
    <row r="369" spans="1:13" ht="15">
      <c r="A369" s="979" t="s">
        <v>3432</v>
      </c>
      <c r="B369" s="722" t="str">
        <f>CONCATENATE(LEFT(RIGHT(CONCATENATE("000",IFAData_TEA!A369),6),3),"-",(RIGHT(RIGHT(CONCATENATE("000",IFAData_TEA!A369),6),3)))</f>
        <v>031-905</v>
      </c>
      <c r="C369" s="979" t="s">
        <v>1881</v>
      </c>
      <c r="D369" s="979">
        <v>4</v>
      </c>
      <c r="E369" s="979">
        <v>1976</v>
      </c>
      <c r="F369" s="979" t="s">
        <v>4337</v>
      </c>
      <c r="G369" s="979" t="s">
        <v>4336</v>
      </c>
      <c r="H369" s="1030">
        <v>159423</v>
      </c>
      <c r="I369" s="1030">
        <v>175100</v>
      </c>
      <c r="J369" s="1034">
        <v>0.88765645515332481</v>
      </c>
      <c r="K369" s="1030">
        <v>141512.85504990851</v>
      </c>
      <c r="L369" s="1030">
        <v>141512.85504990851</v>
      </c>
      <c r="M369" s="979">
        <v>599</v>
      </c>
    </row>
    <row r="370" spans="1:13" ht="15">
      <c r="A370" s="979" t="s">
        <v>3432</v>
      </c>
      <c r="B370" s="722" t="str">
        <f>CONCATENATE(LEFT(RIGHT(CONCATENATE("000",IFAData_TEA!A370),6),3),"-",(RIGHT(RIGHT(CONCATENATE("000",IFAData_TEA!A370),6),3)))</f>
        <v>031-905</v>
      </c>
      <c r="C370" s="979" t="s">
        <v>1881</v>
      </c>
      <c r="D370" s="979">
        <v>3</v>
      </c>
      <c r="E370" s="979">
        <v>1975</v>
      </c>
      <c r="F370" s="979" t="s">
        <v>4335</v>
      </c>
      <c r="G370" s="979" t="s">
        <v>4335</v>
      </c>
      <c r="H370" s="1030">
        <v>124856</v>
      </c>
      <c r="I370" s="1030">
        <v>0</v>
      </c>
      <c r="J370" s="1034">
        <v>0</v>
      </c>
      <c r="K370" s="1030">
        <v>0</v>
      </c>
      <c r="L370" s="1030">
        <v>0</v>
      </c>
      <c r="M370" s="979">
        <v>199</v>
      </c>
    </row>
    <row r="371" spans="1:13" ht="15">
      <c r="A371" s="979" t="s">
        <v>3432</v>
      </c>
      <c r="B371" s="722" t="str">
        <f>CONCATENATE(LEFT(RIGHT(CONCATENATE("000",IFAData_TEA!A371),6),3),"-",(RIGHT(RIGHT(CONCATENATE("000",IFAData_TEA!A371),6),3)))</f>
        <v>031-905</v>
      </c>
      <c r="C371" s="979" t="s">
        <v>1881</v>
      </c>
      <c r="D371" s="979">
        <v>4</v>
      </c>
      <c r="E371" s="979">
        <v>1976</v>
      </c>
      <c r="F371" s="979" t="s">
        <v>4337</v>
      </c>
      <c r="G371" s="979" t="s">
        <v>4337</v>
      </c>
      <c r="H371" s="1030">
        <v>159423</v>
      </c>
      <c r="I371" s="1030">
        <v>0</v>
      </c>
      <c r="J371" s="1034">
        <v>0</v>
      </c>
      <c r="K371" s="1030">
        <v>0</v>
      </c>
      <c r="L371" s="1030">
        <v>0</v>
      </c>
      <c r="M371" s="979">
        <v>199</v>
      </c>
    </row>
    <row r="372" spans="1:13" ht="15">
      <c r="A372" s="979" t="s">
        <v>3432</v>
      </c>
      <c r="B372" s="722" t="str">
        <f>CONCATENATE(LEFT(RIGHT(CONCATENATE("000",IFAData_TEA!A372),6),3),"-",(RIGHT(RIGHT(CONCATENATE("000",IFAData_TEA!A372),6),3)))</f>
        <v>031-905</v>
      </c>
      <c r="C372" s="979" t="s">
        <v>1881</v>
      </c>
      <c r="D372" s="979">
        <v>5</v>
      </c>
      <c r="E372" s="979">
        <v>1979</v>
      </c>
      <c r="F372" s="979" t="s">
        <v>4338</v>
      </c>
      <c r="G372" s="979" t="s">
        <v>4336</v>
      </c>
      <c r="H372" s="1030">
        <v>562519</v>
      </c>
      <c r="I372" s="1030">
        <v>503551</v>
      </c>
      <c r="J372" s="1034">
        <v>0.84263907575118646</v>
      </c>
      <c r="K372" s="1030">
        <v>474000.49025248166</v>
      </c>
      <c r="L372" s="1030">
        <v>474000.49025248166</v>
      </c>
      <c r="M372" s="979">
        <v>599</v>
      </c>
    </row>
    <row r="373" spans="1:13" ht="15">
      <c r="A373" s="979" t="s">
        <v>3432</v>
      </c>
      <c r="B373" s="722" t="str">
        <f>CONCATENATE(LEFT(RIGHT(CONCATENATE("000",IFAData_TEA!A373),6),3),"-",(RIGHT(RIGHT(CONCATENATE("000",IFAData_TEA!A373),6),3)))</f>
        <v>031-905</v>
      </c>
      <c r="C373" s="979" t="s">
        <v>1881</v>
      </c>
      <c r="D373" s="979">
        <v>6</v>
      </c>
      <c r="E373" s="979">
        <v>1974</v>
      </c>
      <c r="F373" s="979" t="s">
        <v>4339</v>
      </c>
      <c r="G373" s="979" t="s">
        <v>4339</v>
      </c>
      <c r="H373" s="1030">
        <v>89560</v>
      </c>
      <c r="I373" s="1030">
        <v>0</v>
      </c>
      <c r="J373" s="1034">
        <v>0</v>
      </c>
      <c r="K373" s="1030">
        <v>0</v>
      </c>
      <c r="L373" s="1030">
        <v>0</v>
      </c>
      <c r="M373" s="979">
        <v>199</v>
      </c>
    </row>
    <row r="374" spans="1:13" ht="15">
      <c r="A374" s="979" t="s">
        <v>3432</v>
      </c>
      <c r="B374" s="722" t="str">
        <f>CONCATENATE(LEFT(RIGHT(CONCATENATE("000",IFAData_TEA!A374),6),3),"-",(RIGHT(RIGHT(CONCATENATE("000",IFAData_TEA!A374),6),3)))</f>
        <v>031-905</v>
      </c>
      <c r="C374" s="979" t="s">
        <v>1881</v>
      </c>
      <c r="D374" s="979">
        <v>1</v>
      </c>
      <c r="E374" s="979">
        <v>1978</v>
      </c>
      <c r="F374" s="979" t="s">
        <v>4333</v>
      </c>
      <c r="G374" s="979" t="s">
        <v>4333</v>
      </c>
      <c r="H374" s="1030">
        <v>531801</v>
      </c>
      <c r="I374" s="1030">
        <v>0</v>
      </c>
      <c r="J374" s="1034">
        <v>0</v>
      </c>
      <c r="K374" s="1030">
        <v>0</v>
      </c>
      <c r="L374" s="1030">
        <v>0</v>
      </c>
      <c r="M374" s="979">
        <v>599</v>
      </c>
    </row>
    <row r="375" spans="1:13" ht="15">
      <c r="A375" s="979" t="s">
        <v>3432</v>
      </c>
      <c r="B375" s="722" t="str">
        <f>CONCATENATE(LEFT(RIGHT(CONCATENATE("000",IFAData_TEA!A375),6),3),"-",(RIGHT(RIGHT(CONCATENATE("000",IFAData_TEA!A375),6),3)))</f>
        <v>031-905</v>
      </c>
      <c r="C375" s="979" t="s">
        <v>1881</v>
      </c>
      <c r="D375" s="979">
        <v>5</v>
      </c>
      <c r="E375" s="979">
        <v>1979</v>
      </c>
      <c r="F375" s="979" t="s">
        <v>4338</v>
      </c>
      <c r="G375" s="979" t="s">
        <v>4338</v>
      </c>
      <c r="H375" s="1030">
        <v>562519</v>
      </c>
      <c r="I375" s="1030">
        <v>0</v>
      </c>
      <c r="J375" s="1034">
        <v>0</v>
      </c>
      <c r="K375" s="1030">
        <v>0</v>
      </c>
      <c r="L375" s="1030">
        <v>0</v>
      </c>
      <c r="M375" s="979">
        <v>199</v>
      </c>
    </row>
    <row r="376" spans="1:13" ht="15">
      <c r="A376" s="979" t="s">
        <v>3432</v>
      </c>
      <c r="B376" s="722" t="str">
        <f>CONCATENATE(LEFT(RIGHT(CONCATENATE("000",IFAData_TEA!A376),6),3),"-",(RIGHT(RIGHT(CONCATENATE("000",IFAData_TEA!A376),6),3)))</f>
        <v>031-905</v>
      </c>
      <c r="C376" s="979" t="s">
        <v>1881</v>
      </c>
      <c r="D376" s="979">
        <v>8</v>
      </c>
      <c r="E376" s="979">
        <v>1977</v>
      </c>
      <c r="F376" s="979" t="s">
        <v>4340</v>
      </c>
      <c r="G376" s="979" t="s">
        <v>4340</v>
      </c>
      <c r="H376" s="1030">
        <v>520989</v>
      </c>
      <c r="I376" s="1030">
        <v>709426</v>
      </c>
      <c r="J376" s="1034">
        <v>0.61961578940473128</v>
      </c>
      <c r="K376" s="1030">
        <v>322813.01050618157</v>
      </c>
      <c r="L376" s="1030">
        <v>322813.01050618157</v>
      </c>
      <c r="M376" s="979">
        <v>599</v>
      </c>
    </row>
    <row r="377" spans="1:13" ht="15">
      <c r="A377" s="979" t="s">
        <v>3432</v>
      </c>
      <c r="B377" s="722" t="str">
        <f>CONCATENATE(LEFT(RIGHT(CONCATENATE("000",IFAData_TEA!A377),6),3),"-",(RIGHT(RIGHT(CONCATENATE("000",IFAData_TEA!A377),6),3)))</f>
        <v>031-905</v>
      </c>
      <c r="C377" s="979" t="s">
        <v>1881</v>
      </c>
      <c r="D377" s="979">
        <v>8</v>
      </c>
      <c r="E377" s="979">
        <v>1977</v>
      </c>
      <c r="F377" s="979" t="s">
        <v>4340</v>
      </c>
      <c r="G377" s="979" t="s">
        <v>6209</v>
      </c>
      <c r="H377" s="1030">
        <v>520989</v>
      </c>
      <c r="I377" s="1030">
        <v>260411</v>
      </c>
      <c r="J377" s="1034">
        <v>0.22744411303599738</v>
      </c>
      <c r="K377" s="1030">
        <v>118495.88100651123</v>
      </c>
      <c r="L377" s="1030">
        <v>118495.88100651123</v>
      </c>
      <c r="M377" s="979">
        <v>599</v>
      </c>
    </row>
    <row r="378" spans="1:13" ht="15">
      <c r="A378" s="979" t="s">
        <v>3432</v>
      </c>
      <c r="B378" s="722" t="str">
        <f>CONCATENATE(LEFT(RIGHT(CONCATENATE("000",IFAData_TEA!A378),6),3),"-",(RIGHT(RIGHT(CONCATENATE("000",IFAData_TEA!A378),6),3)))</f>
        <v>031-905</v>
      </c>
      <c r="C378" s="979" t="s">
        <v>1881</v>
      </c>
      <c r="D378" s="979">
        <v>3</v>
      </c>
      <c r="E378" s="979">
        <v>1975</v>
      </c>
      <c r="F378" s="979" t="s">
        <v>4335</v>
      </c>
      <c r="G378" s="979" t="s">
        <v>4336</v>
      </c>
      <c r="H378" s="1030">
        <v>124856</v>
      </c>
      <c r="I378" s="1030">
        <v>128185</v>
      </c>
      <c r="J378" s="1034">
        <v>0.84685464371126939</v>
      </c>
      <c r="K378" s="1030">
        <v>105734.88339521424</v>
      </c>
      <c r="L378" s="1030">
        <v>105734.88339521424</v>
      </c>
      <c r="M378" s="979">
        <v>599</v>
      </c>
    </row>
    <row r="379" spans="1:13" ht="15">
      <c r="A379" s="979" t="s">
        <v>3432</v>
      </c>
      <c r="B379" s="722" t="str">
        <f>CONCATENATE(LEFT(RIGHT(CONCATENATE("000",IFAData_TEA!A379),6),3),"-",(RIGHT(RIGHT(CONCATENATE("000",IFAData_TEA!A379),6),3)))</f>
        <v>031-905</v>
      </c>
      <c r="C379" s="979" t="s">
        <v>1881</v>
      </c>
      <c r="D379" s="979">
        <v>8</v>
      </c>
      <c r="E379" s="979">
        <v>1977</v>
      </c>
      <c r="F379" s="979" t="s">
        <v>4340</v>
      </c>
      <c r="G379" s="979" t="s">
        <v>6210</v>
      </c>
      <c r="H379" s="1030">
        <v>520989</v>
      </c>
      <c r="I379" s="1030">
        <v>175108</v>
      </c>
      <c r="J379" s="1034">
        <v>0.1529400975592714</v>
      </c>
      <c r="K379" s="1030">
        <v>79680.108487307254</v>
      </c>
      <c r="L379" s="1030">
        <v>79680.108487307254</v>
      </c>
      <c r="M379" s="979">
        <v>599</v>
      </c>
    </row>
    <row r="380" spans="1:13" ht="15">
      <c r="A380" s="979" t="s">
        <v>3433</v>
      </c>
      <c r="B380" s="722" t="str">
        <f>CONCATENATE(LEFT(RIGHT(CONCATENATE("000",IFAData_TEA!A380),6),3),"-",(RIGHT(RIGHT(CONCATENATE("000",IFAData_TEA!A380),6),3)))</f>
        <v>031-906</v>
      </c>
      <c r="C380" s="979" t="s">
        <v>36</v>
      </c>
      <c r="D380" s="979">
        <v>1</v>
      </c>
      <c r="E380" s="979">
        <v>2037</v>
      </c>
      <c r="F380" s="979" t="s">
        <v>4342</v>
      </c>
      <c r="G380" s="979" t="s">
        <v>4343</v>
      </c>
      <c r="H380" s="1030">
        <v>680974</v>
      </c>
      <c r="I380" s="1030">
        <v>650640</v>
      </c>
      <c r="J380" s="1034">
        <v>1</v>
      </c>
      <c r="K380" s="1030">
        <v>680974</v>
      </c>
      <c r="L380" s="1030">
        <v>650640</v>
      </c>
      <c r="M380" s="979">
        <v>599</v>
      </c>
    </row>
    <row r="381" spans="1:13" ht="15">
      <c r="A381" s="979" t="s">
        <v>3433</v>
      </c>
      <c r="B381" s="722" t="str">
        <f>CONCATENATE(LEFT(RIGHT(CONCATENATE("000",IFAData_TEA!A381),6),3),"-",(RIGHT(RIGHT(CONCATENATE("000",IFAData_TEA!A381),6),3)))</f>
        <v>031-906</v>
      </c>
      <c r="C381" s="979" t="s">
        <v>36</v>
      </c>
      <c r="D381" s="979">
        <v>8</v>
      </c>
      <c r="E381" s="979">
        <v>2039</v>
      </c>
      <c r="F381" s="979" t="s">
        <v>4345</v>
      </c>
      <c r="G381" s="979" t="s">
        <v>4345</v>
      </c>
      <c r="H381" s="1030">
        <v>1935141</v>
      </c>
      <c r="I381" s="1030">
        <v>1931808</v>
      </c>
      <c r="J381" s="1034">
        <v>1</v>
      </c>
      <c r="K381" s="1030">
        <v>1935141</v>
      </c>
      <c r="L381" s="1030">
        <v>1931808</v>
      </c>
      <c r="M381" s="979">
        <v>599</v>
      </c>
    </row>
    <row r="382" spans="1:13" ht="15">
      <c r="A382" s="979" t="s">
        <v>3433</v>
      </c>
      <c r="B382" s="722" t="str">
        <f>CONCATENATE(LEFT(RIGHT(CONCATENATE("000",IFAData_TEA!A382),6),3),"-",(RIGHT(RIGHT(CONCATENATE("000",IFAData_TEA!A382),6),3)))</f>
        <v>031-906</v>
      </c>
      <c r="C382" s="979" t="s">
        <v>36</v>
      </c>
      <c r="D382" s="979">
        <v>1</v>
      </c>
      <c r="E382" s="979">
        <v>2037</v>
      </c>
      <c r="F382" s="979" t="s">
        <v>4342</v>
      </c>
      <c r="G382" s="979" t="s">
        <v>4342</v>
      </c>
      <c r="H382" s="1030">
        <v>680974</v>
      </c>
      <c r="I382" s="1030">
        <v>0</v>
      </c>
      <c r="J382" s="1034">
        <v>0</v>
      </c>
      <c r="K382" s="1030">
        <v>0</v>
      </c>
      <c r="L382" s="1030">
        <v>0</v>
      </c>
      <c r="M382" s="979">
        <v>599</v>
      </c>
    </row>
    <row r="383" spans="1:13" ht="15">
      <c r="A383" s="979" t="s">
        <v>3433</v>
      </c>
      <c r="B383" s="722" t="str">
        <f>CONCATENATE(LEFT(RIGHT(CONCATENATE("000",IFAData_TEA!A383),6),3),"-",(RIGHT(RIGHT(CONCATENATE("000",IFAData_TEA!A383),6),3)))</f>
        <v>031-906</v>
      </c>
      <c r="C383" s="979" t="s">
        <v>36</v>
      </c>
      <c r="D383" s="979">
        <v>4</v>
      </c>
      <c r="E383" s="979">
        <v>2038</v>
      </c>
      <c r="F383" s="979" t="s">
        <v>4344</v>
      </c>
      <c r="G383" s="979" t="s">
        <v>4344</v>
      </c>
      <c r="H383" s="1030">
        <v>1668879</v>
      </c>
      <c r="I383" s="1030">
        <v>0</v>
      </c>
      <c r="J383" s="1034">
        <v>0</v>
      </c>
      <c r="K383" s="1030">
        <v>0</v>
      </c>
      <c r="L383" s="1030">
        <v>0</v>
      </c>
      <c r="M383" s="979">
        <v>599</v>
      </c>
    </row>
    <row r="384" spans="1:13" ht="15">
      <c r="A384" s="979" t="s">
        <v>3433</v>
      </c>
      <c r="B384" s="722" t="str">
        <f>CONCATENATE(LEFT(RIGHT(CONCATENATE("000",IFAData_TEA!A384),6),3),"-",(RIGHT(RIGHT(CONCATENATE("000",IFAData_TEA!A384),6),3)))</f>
        <v>031-906</v>
      </c>
      <c r="C384" s="979" t="s">
        <v>36</v>
      </c>
      <c r="D384" s="979">
        <v>4</v>
      </c>
      <c r="E384" s="979">
        <v>2038</v>
      </c>
      <c r="F384" s="979" t="s">
        <v>4344</v>
      </c>
      <c r="G384" s="979" t="s">
        <v>4343</v>
      </c>
      <c r="H384" s="1030">
        <v>1668879</v>
      </c>
      <c r="I384" s="1030">
        <v>1576685</v>
      </c>
      <c r="J384" s="1034">
        <v>1</v>
      </c>
      <c r="K384" s="1030">
        <v>1668879</v>
      </c>
      <c r="L384" s="1030">
        <v>1576685</v>
      </c>
      <c r="M384" s="979">
        <v>599</v>
      </c>
    </row>
    <row r="385" spans="1:13" ht="15">
      <c r="A385" s="979" t="s">
        <v>3434</v>
      </c>
      <c r="B385" s="722" t="str">
        <f>CONCATENATE(LEFT(RIGHT(CONCATENATE("000",IFAData_TEA!A385),6),3),"-",(RIGHT(RIGHT(CONCATENATE("000",IFAData_TEA!A385),6),3)))</f>
        <v>031-911</v>
      </c>
      <c r="C385" s="979" t="s">
        <v>2694</v>
      </c>
      <c r="D385" s="979">
        <v>8</v>
      </c>
      <c r="E385" s="979">
        <v>2245</v>
      </c>
      <c r="F385" s="979" t="s">
        <v>4350</v>
      </c>
      <c r="G385" s="979" t="s">
        <v>4350</v>
      </c>
      <c r="H385" s="1030">
        <v>262428</v>
      </c>
      <c r="I385" s="1030">
        <v>258490</v>
      </c>
      <c r="J385" s="1034">
        <v>1</v>
      </c>
      <c r="K385" s="1030">
        <v>262428</v>
      </c>
      <c r="L385" s="1030">
        <v>258490</v>
      </c>
      <c r="M385" s="979">
        <v>599</v>
      </c>
    </row>
    <row r="386" spans="1:13" ht="15">
      <c r="A386" s="979" t="s">
        <v>3434</v>
      </c>
      <c r="B386" s="722" t="str">
        <f>CONCATENATE(LEFT(RIGHT(CONCATENATE("000",IFAData_TEA!A386),6),3),"-",(RIGHT(RIGHT(CONCATENATE("000",IFAData_TEA!A386),6),3)))</f>
        <v>031-911</v>
      </c>
      <c r="C386" s="979" t="s">
        <v>2694</v>
      </c>
      <c r="D386" s="979">
        <v>5</v>
      </c>
      <c r="E386" s="979">
        <v>2246</v>
      </c>
      <c r="F386" s="979" t="s">
        <v>4348</v>
      </c>
      <c r="G386" s="979" t="s">
        <v>4349</v>
      </c>
      <c r="H386" s="1030">
        <v>476290</v>
      </c>
      <c r="I386" s="1030">
        <v>275636</v>
      </c>
      <c r="J386" s="1034">
        <v>0.61302712668832893</v>
      </c>
      <c r="K386" s="1030">
        <v>291978.69017038419</v>
      </c>
      <c r="L386" s="1030">
        <v>275636</v>
      </c>
      <c r="M386" s="979">
        <v>599</v>
      </c>
    </row>
    <row r="387" spans="1:13" ht="15">
      <c r="A387" s="979" t="s">
        <v>3434</v>
      </c>
      <c r="B387" s="722" t="str">
        <f>CONCATENATE(LEFT(RIGHT(CONCATENATE("000",IFAData_TEA!A387),6),3),"-",(RIGHT(RIGHT(CONCATENATE("000",IFAData_TEA!A387),6),3)))</f>
        <v>031-911</v>
      </c>
      <c r="C387" s="979" t="s">
        <v>2694</v>
      </c>
      <c r="D387" s="979">
        <v>5</v>
      </c>
      <c r="E387" s="979">
        <v>2246</v>
      </c>
      <c r="F387" s="979" t="s">
        <v>4348</v>
      </c>
      <c r="G387" s="979" t="s">
        <v>4348</v>
      </c>
      <c r="H387" s="1030">
        <v>476290</v>
      </c>
      <c r="I387" s="1030">
        <v>173995</v>
      </c>
      <c r="J387" s="1034">
        <v>0.38697287331167113</v>
      </c>
      <c r="K387" s="1030">
        <v>184311.30982961584</v>
      </c>
      <c r="L387" s="1030">
        <v>173995</v>
      </c>
      <c r="M387" s="979">
        <v>599</v>
      </c>
    </row>
    <row r="388" spans="1:13" ht="15">
      <c r="A388" s="979" t="s">
        <v>3434</v>
      </c>
      <c r="B388" s="722" t="str">
        <f>CONCATENATE(LEFT(RIGHT(CONCATENATE("000",IFAData_TEA!A388),6),3),"-",(RIGHT(RIGHT(CONCATENATE("000",IFAData_TEA!A388),6),3)))</f>
        <v>031-911</v>
      </c>
      <c r="C388" s="979" t="s">
        <v>2694</v>
      </c>
      <c r="D388" s="979">
        <v>4</v>
      </c>
      <c r="E388" s="979">
        <v>2247</v>
      </c>
      <c r="F388" s="979" t="s">
        <v>4346</v>
      </c>
      <c r="G388" s="979" t="s">
        <v>4346</v>
      </c>
      <c r="H388" s="1030">
        <v>501695</v>
      </c>
      <c r="I388" s="1030">
        <v>0</v>
      </c>
      <c r="J388" s="1034">
        <v>0</v>
      </c>
      <c r="K388" s="1030">
        <v>0</v>
      </c>
      <c r="L388" s="1030">
        <v>0</v>
      </c>
      <c r="M388" s="979">
        <v>599</v>
      </c>
    </row>
    <row r="389" spans="1:13" ht="15">
      <c r="A389" s="979" t="s">
        <v>3434</v>
      </c>
      <c r="B389" s="722" t="str">
        <f>CONCATENATE(LEFT(RIGHT(CONCATENATE("000",IFAData_TEA!A389),6),3),"-",(RIGHT(RIGHT(CONCATENATE("000",IFAData_TEA!A389),6),3)))</f>
        <v>031-911</v>
      </c>
      <c r="C389" s="979" t="s">
        <v>2694</v>
      </c>
      <c r="D389" s="979">
        <v>4</v>
      </c>
      <c r="E389" s="979">
        <v>2247</v>
      </c>
      <c r="F389" s="979" t="s">
        <v>4346</v>
      </c>
      <c r="G389" s="979" t="s">
        <v>6211</v>
      </c>
      <c r="H389" s="1030">
        <v>501695</v>
      </c>
      <c r="I389" s="1030">
        <v>259814</v>
      </c>
      <c r="J389" s="1034">
        <v>0.5250740682357411</v>
      </c>
      <c r="K389" s="1030">
        <v>263427.03466353012</v>
      </c>
      <c r="L389" s="1030">
        <v>259814</v>
      </c>
      <c r="M389" s="979">
        <v>599</v>
      </c>
    </row>
    <row r="390" spans="1:13" ht="15">
      <c r="A390" s="979" t="s">
        <v>3434</v>
      </c>
      <c r="B390" s="722" t="str">
        <f>CONCATENATE(LEFT(RIGHT(CONCATENATE("000",IFAData_TEA!A390),6),3),"-",(RIGHT(RIGHT(CONCATENATE("000",IFAData_TEA!A390),6),3)))</f>
        <v>031-911</v>
      </c>
      <c r="C390" s="979" t="s">
        <v>2694</v>
      </c>
      <c r="D390" s="979">
        <v>4</v>
      </c>
      <c r="E390" s="979">
        <v>2247</v>
      </c>
      <c r="F390" s="979" t="s">
        <v>4346</v>
      </c>
      <c r="G390" s="979" t="s">
        <v>4347</v>
      </c>
      <c r="H390" s="1030">
        <v>501695</v>
      </c>
      <c r="I390" s="1030">
        <v>235000</v>
      </c>
      <c r="J390" s="1034">
        <v>0.4749259317642589</v>
      </c>
      <c r="K390" s="1030">
        <v>238267.96533646988</v>
      </c>
      <c r="L390" s="1030">
        <v>235000</v>
      </c>
      <c r="M390" s="979">
        <v>599</v>
      </c>
    </row>
    <row r="391" spans="1:13" ht="15">
      <c r="A391" s="979" t="s">
        <v>3435</v>
      </c>
      <c r="B391" s="722" t="str">
        <f>CONCATENATE(LEFT(RIGHT(CONCATENATE("000",IFAData_TEA!A391),6),3),"-",(RIGHT(RIGHT(CONCATENATE("000",IFAData_TEA!A391),6),3)))</f>
        <v>031-912</v>
      </c>
      <c r="C391" s="979" t="s">
        <v>39</v>
      </c>
      <c r="D391" s="979">
        <v>4</v>
      </c>
      <c r="E391" s="979">
        <v>2285</v>
      </c>
      <c r="F391" s="979" t="s">
        <v>4353</v>
      </c>
      <c r="G391" s="979" t="s">
        <v>6212</v>
      </c>
      <c r="H391" s="1030">
        <v>1943392</v>
      </c>
      <c r="I391" s="1030">
        <v>285820</v>
      </c>
      <c r="J391" s="1034">
        <v>0.16320065595449429</v>
      </c>
      <c r="K391" s="1030">
        <v>317162.84917671658</v>
      </c>
      <c r="L391" s="1030">
        <v>285820</v>
      </c>
      <c r="M391" s="979">
        <v>599</v>
      </c>
    </row>
    <row r="392" spans="1:13" ht="15">
      <c r="A392" s="979" t="s">
        <v>3435</v>
      </c>
      <c r="B392" s="722" t="str">
        <f>CONCATENATE(LEFT(RIGHT(CONCATENATE("000",IFAData_TEA!A392),6),3),"-",(RIGHT(RIGHT(CONCATENATE("000",IFAData_TEA!A392),6),3)))</f>
        <v>031-912</v>
      </c>
      <c r="C392" s="979" t="s">
        <v>39</v>
      </c>
      <c r="D392" s="979">
        <v>7</v>
      </c>
      <c r="E392" s="979">
        <v>2286</v>
      </c>
      <c r="F392" s="979" t="s">
        <v>4355</v>
      </c>
      <c r="G392" s="979" t="s">
        <v>4356</v>
      </c>
      <c r="H392" s="1030">
        <v>2335517</v>
      </c>
      <c r="I392" s="1030">
        <v>351900</v>
      </c>
      <c r="J392" s="1034">
        <v>1</v>
      </c>
      <c r="K392" s="1030">
        <v>2335517</v>
      </c>
      <c r="L392" s="1030">
        <v>351900</v>
      </c>
      <c r="M392" s="979">
        <v>599</v>
      </c>
    </row>
    <row r="393" spans="1:13" ht="15">
      <c r="A393" s="979" t="s">
        <v>3435</v>
      </c>
      <c r="B393" s="722" t="str">
        <f>CONCATENATE(LEFT(RIGHT(CONCATENATE("000",IFAData_TEA!A393),6),3),"-",(RIGHT(RIGHT(CONCATENATE("000",IFAData_TEA!A393),6),3)))</f>
        <v>031-912</v>
      </c>
      <c r="C393" s="979" t="s">
        <v>39</v>
      </c>
      <c r="D393" s="979">
        <v>9</v>
      </c>
      <c r="E393" s="979">
        <v>2287</v>
      </c>
      <c r="F393" s="979" t="s">
        <v>4358</v>
      </c>
      <c r="G393" s="979" t="s">
        <v>4358</v>
      </c>
      <c r="H393" s="1030">
        <v>2359625</v>
      </c>
      <c r="I393" s="1030">
        <v>2351675</v>
      </c>
      <c r="J393" s="1034">
        <v>1</v>
      </c>
      <c r="K393" s="1030">
        <v>2359625</v>
      </c>
      <c r="L393" s="1030">
        <v>2351675</v>
      </c>
      <c r="M393" s="979">
        <v>599</v>
      </c>
    </row>
    <row r="394" spans="1:13" ht="15">
      <c r="A394" s="979" t="s">
        <v>3435</v>
      </c>
      <c r="B394" s="722" t="str">
        <f>CONCATENATE(LEFT(RIGHT(CONCATENATE("000",IFAData_TEA!A394),6),3),"-",(RIGHT(RIGHT(CONCATENATE("000",IFAData_TEA!A394),6),3)))</f>
        <v>031-912</v>
      </c>
      <c r="C394" s="979" t="s">
        <v>39</v>
      </c>
      <c r="D394" s="979">
        <v>2</v>
      </c>
      <c r="E394" s="979">
        <v>2284</v>
      </c>
      <c r="F394" s="979" t="s">
        <v>4351</v>
      </c>
      <c r="G394" s="979" t="s">
        <v>6212</v>
      </c>
      <c r="H394" s="1030">
        <v>1925904</v>
      </c>
      <c r="I394" s="1030">
        <v>296618</v>
      </c>
      <c r="J394" s="1034">
        <v>0.17794887669839077</v>
      </c>
      <c r="K394" s="1030">
        <v>342712.45342893759</v>
      </c>
      <c r="L394" s="1030">
        <v>296618</v>
      </c>
      <c r="M394" s="979">
        <v>599</v>
      </c>
    </row>
    <row r="395" spans="1:13" ht="15">
      <c r="A395" s="979" t="s">
        <v>3435</v>
      </c>
      <c r="B395" s="722" t="str">
        <f>CONCATENATE(LEFT(RIGHT(CONCATENATE("000",IFAData_TEA!A395),6),3),"-",(RIGHT(RIGHT(CONCATENATE("000",IFAData_TEA!A395),6),3)))</f>
        <v>031-912</v>
      </c>
      <c r="C395" s="979" t="s">
        <v>39</v>
      </c>
      <c r="D395" s="979">
        <v>4</v>
      </c>
      <c r="E395" s="979">
        <v>2285</v>
      </c>
      <c r="F395" s="979" t="s">
        <v>4353</v>
      </c>
      <c r="G395" s="979" t="s">
        <v>4352</v>
      </c>
      <c r="H395" s="1030">
        <v>1943392</v>
      </c>
      <c r="I395" s="1030">
        <v>1320371</v>
      </c>
      <c r="J395" s="1034">
        <v>0.75391999616294025</v>
      </c>
      <c r="K395" s="1030">
        <v>1465162.0891830889</v>
      </c>
      <c r="L395" s="1030">
        <v>1320371</v>
      </c>
      <c r="M395" s="979">
        <v>599</v>
      </c>
    </row>
    <row r="396" spans="1:13" ht="15">
      <c r="A396" s="979" t="s">
        <v>3435</v>
      </c>
      <c r="B396" s="722" t="str">
        <f>CONCATENATE(LEFT(RIGHT(CONCATENATE("000",IFAData_TEA!A396),6),3),"-",(RIGHT(RIGHT(CONCATENATE("000",IFAData_TEA!A396),6),3)))</f>
        <v>031-912</v>
      </c>
      <c r="C396" s="979" t="s">
        <v>39</v>
      </c>
      <c r="D396" s="979">
        <v>7</v>
      </c>
      <c r="E396" s="979">
        <v>2286</v>
      </c>
      <c r="F396" s="979" t="s">
        <v>4355</v>
      </c>
      <c r="G396" s="979" t="s">
        <v>4355</v>
      </c>
      <c r="H396" s="1030">
        <v>2335517</v>
      </c>
      <c r="I396" s="1030">
        <v>0</v>
      </c>
      <c r="J396" s="1034">
        <v>0</v>
      </c>
      <c r="K396" s="1030">
        <v>0</v>
      </c>
      <c r="L396" s="1030">
        <v>0</v>
      </c>
      <c r="M396" s="979">
        <v>599</v>
      </c>
    </row>
    <row r="397" spans="1:13" ht="15">
      <c r="A397" s="979" t="s">
        <v>3435</v>
      </c>
      <c r="B397" s="722" t="str">
        <f>CONCATENATE(LEFT(RIGHT(CONCATENATE("000",IFAData_TEA!A397),6),3),"-",(RIGHT(RIGHT(CONCATENATE("000",IFAData_TEA!A397),6),3)))</f>
        <v>031-912</v>
      </c>
      <c r="C397" s="979" t="s">
        <v>39</v>
      </c>
      <c r="D397" s="979">
        <v>4</v>
      </c>
      <c r="E397" s="979">
        <v>2285</v>
      </c>
      <c r="F397" s="979" t="s">
        <v>4353</v>
      </c>
      <c r="G397" s="979" t="s">
        <v>4353</v>
      </c>
      <c r="H397" s="1030">
        <v>1943392</v>
      </c>
      <c r="I397" s="1030">
        <v>0</v>
      </c>
      <c r="J397" s="1034">
        <v>0</v>
      </c>
      <c r="K397" s="1030">
        <v>0</v>
      </c>
      <c r="L397" s="1030">
        <v>0</v>
      </c>
      <c r="M397" s="979">
        <v>599</v>
      </c>
    </row>
    <row r="398" spans="1:13" ht="15">
      <c r="A398" s="979" t="s">
        <v>3435</v>
      </c>
      <c r="B398" s="722" t="str">
        <f>CONCATENATE(LEFT(RIGHT(CONCATENATE("000",IFAData_TEA!A398),6),3),"-",(RIGHT(RIGHT(CONCATENATE("000",IFAData_TEA!A398),6),3)))</f>
        <v>031-912</v>
      </c>
      <c r="C398" s="979" t="s">
        <v>39</v>
      </c>
      <c r="D398" s="979">
        <v>4</v>
      </c>
      <c r="E398" s="979">
        <v>2285</v>
      </c>
      <c r="F398" s="979" t="s">
        <v>4353</v>
      </c>
      <c r="G398" s="979" t="s">
        <v>4354</v>
      </c>
      <c r="H398" s="1030">
        <v>1943392</v>
      </c>
      <c r="I398" s="1030">
        <v>145150</v>
      </c>
      <c r="J398" s="1034">
        <v>8.2879347882565416E-2</v>
      </c>
      <c r="K398" s="1030">
        <v>161067.06164019456</v>
      </c>
      <c r="L398" s="1030">
        <v>145150</v>
      </c>
      <c r="M398" s="979">
        <v>599</v>
      </c>
    </row>
    <row r="399" spans="1:13" ht="15">
      <c r="A399" s="979" t="s">
        <v>3435</v>
      </c>
      <c r="B399" s="722" t="str">
        <f>CONCATENATE(LEFT(RIGHT(CONCATENATE("000",IFAData_TEA!A399),6),3),"-",(RIGHT(RIGHT(CONCATENATE("000",IFAData_TEA!A399),6),3)))</f>
        <v>031-912</v>
      </c>
      <c r="C399" s="979" t="s">
        <v>39</v>
      </c>
      <c r="D399" s="979">
        <v>7</v>
      </c>
      <c r="E399" s="979">
        <v>2286</v>
      </c>
      <c r="F399" s="979" t="s">
        <v>4355</v>
      </c>
      <c r="G399" s="979" t="s">
        <v>4357</v>
      </c>
      <c r="H399" s="1030">
        <v>2335517</v>
      </c>
      <c r="I399" s="1030">
        <v>0</v>
      </c>
      <c r="J399" s="1034">
        <v>0</v>
      </c>
      <c r="K399" s="1030">
        <v>0</v>
      </c>
      <c r="L399" s="1030">
        <v>0</v>
      </c>
      <c r="M399" s="979">
        <v>599</v>
      </c>
    </row>
    <row r="400" spans="1:13" ht="15">
      <c r="A400" s="979" t="s">
        <v>3435</v>
      </c>
      <c r="B400" s="722" t="str">
        <f>CONCATENATE(LEFT(RIGHT(CONCATENATE("000",IFAData_TEA!A400),6),3),"-",(RIGHT(RIGHT(CONCATENATE("000",IFAData_TEA!A400),6),3)))</f>
        <v>031-912</v>
      </c>
      <c r="C400" s="979" t="s">
        <v>39</v>
      </c>
      <c r="D400" s="979">
        <v>2</v>
      </c>
      <c r="E400" s="979">
        <v>2284</v>
      </c>
      <c r="F400" s="979" t="s">
        <v>4351</v>
      </c>
      <c r="G400" s="979" t="s">
        <v>4352</v>
      </c>
      <c r="H400" s="1030">
        <v>1925904</v>
      </c>
      <c r="I400" s="1030">
        <v>1370254</v>
      </c>
      <c r="J400" s="1034">
        <v>0.82205112330160923</v>
      </c>
      <c r="K400" s="1030">
        <v>1583191.5465710624</v>
      </c>
      <c r="L400" s="1030">
        <v>1370254</v>
      </c>
      <c r="M400" s="979">
        <v>599</v>
      </c>
    </row>
    <row r="401" spans="1:13" ht="15">
      <c r="A401" s="979" t="s">
        <v>3435</v>
      </c>
      <c r="B401" s="722" t="str">
        <f>CONCATENATE(LEFT(RIGHT(CONCATENATE("000",IFAData_TEA!A401),6),3),"-",(RIGHT(RIGHT(CONCATENATE("000",IFAData_TEA!A401),6),3)))</f>
        <v>031-912</v>
      </c>
      <c r="C401" s="979" t="s">
        <v>39</v>
      </c>
      <c r="D401" s="979">
        <v>2</v>
      </c>
      <c r="E401" s="979">
        <v>2284</v>
      </c>
      <c r="F401" s="979" t="s">
        <v>4351</v>
      </c>
      <c r="G401" s="979" t="s">
        <v>4351</v>
      </c>
      <c r="H401" s="1030">
        <v>1925904</v>
      </c>
      <c r="I401" s="1030">
        <v>0</v>
      </c>
      <c r="J401" s="1034">
        <v>0</v>
      </c>
      <c r="K401" s="1030">
        <v>0</v>
      </c>
      <c r="L401" s="1030">
        <v>0</v>
      </c>
      <c r="M401" s="979">
        <v>599</v>
      </c>
    </row>
    <row r="402" spans="1:13" ht="15">
      <c r="A402" s="979" t="s">
        <v>3436</v>
      </c>
      <c r="B402" s="722" t="str">
        <f>CONCATENATE(LEFT(RIGHT(CONCATENATE("000",IFAData_TEA!A402),6),3),"-",(RIGHT(RIGHT(CONCATENATE("000",IFAData_TEA!A402),6),3)))</f>
        <v>031-913</v>
      </c>
      <c r="C402" s="979" t="s">
        <v>86</v>
      </c>
      <c r="D402" s="979">
        <v>4</v>
      </c>
      <c r="E402" s="979">
        <v>2310</v>
      </c>
      <c r="F402" s="979" t="s">
        <v>4359</v>
      </c>
      <c r="G402" s="979" t="s">
        <v>4359</v>
      </c>
      <c r="H402" s="1030">
        <v>103380</v>
      </c>
      <c r="I402" s="1030">
        <v>0</v>
      </c>
      <c r="J402" s="1034">
        <v>0</v>
      </c>
      <c r="K402" s="1030">
        <v>0</v>
      </c>
      <c r="L402" s="1030">
        <v>0</v>
      </c>
      <c r="M402" s="979">
        <v>599</v>
      </c>
    </row>
    <row r="403" spans="1:13" ht="15">
      <c r="A403" s="979" t="s">
        <v>3436</v>
      </c>
      <c r="B403" s="722" t="str">
        <f>CONCATENATE(LEFT(RIGHT(CONCATENATE("000",IFAData_TEA!A403),6),3),"-",(RIGHT(RIGHT(CONCATENATE("000",IFAData_TEA!A403),6),3)))</f>
        <v>031-913</v>
      </c>
      <c r="C403" s="979" t="s">
        <v>86</v>
      </c>
      <c r="D403" s="979">
        <v>4</v>
      </c>
      <c r="E403" s="979">
        <v>2310</v>
      </c>
      <c r="F403" s="979" t="s">
        <v>4359</v>
      </c>
      <c r="G403" s="979" t="s">
        <v>4360</v>
      </c>
      <c r="H403" s="1030">
        <v>103380</v>
      </c>
      <c r="I403" s="1030">
        <v>109313</v>
      </c>
      <c r="J403" s="1034">
        <v>1</v>
      </c>
      <c r="K403" s="1030">
        <v>103380</v>
      </c>
      <c r="L403" s="1030">
        <v>103380</v>
      </c>
      <c r="M403" s="979">
        <v>599</v>
      </c>
    </row>
    <row r="404" spans="1:13" ht="15">
      <c r="A404" s="979" t="s">
        <v>3436</v>
      </c>
      <c r="B404" s="722" t="str">
        <f>CONCATENATE(LEFT(RIGHT(CONCATENATE("000",IFAData_TEA!A404),6),3),"-",(RIGHT(RIGHT(CONCATENATE("000",IFAData_TEA!A404),6),3)))</f>
        <v>031-913</v>
      </c>
      <c r="C404" s="979" t="s">
        <v>86</v>
      </c>
      <c r="D404" s="979">
        <v>7</v>
      </c>
      <c r="E404" s="979">
        <v>2311</v>
      </c>
      <c r="F404" s="979" t="s">
        <v>4361</v>
      </c>
      <c r="G404" s="979" t="s">
        <v>4361</v>
      </c>
      <c r="H404" s="1030">
        <v>128701</v>
      </c>
      <c r="I404" s="1030">
        <v>124190</v>
      </c>
      <c r="J404" s="1034">
        <v>1</v>
      </c>
      <c r="K404" s="1030">
        <v>128701</v>
      </c>
      <c r="L404" s="1030">
        <v>124190</v>
      </c>
      <c r="M404" s="979">
        <v>599</v>
      </c>
    </row>
    <row r="405" spans="1:13" ht="15">
      <c r="A405" s="979" t="s">
        <v>3436</v>
      </c>
      <c r="B405" s="722" t="str">
        <f>CONCATENATE(LEFT(RIGHT(CONCATENATE("000",IFAData_TEA!A405),6),3),"-",(RIGHT(RIGHT(CONCATENATE("000",IFAData_TEA!A405),6),3)))</f>
        <v>031-913</v>
      </c>
      <c r="C405" s="979" t="s">
        <v>86</v>
      </c>
      <c r="D405" s="979">
        <v>10</v>
      </c>
      <c r="E405" s="979">
        <v>2309</v>
      </c>
      <c r="F405" s="979" t="s">
        <v>4362</v>
      </c>
      <c r="G405" s="979" t="s">
        <v>4362</v>
      </c>
      <c r="H405" s="1030">
        <v>60163</v>
      </c>
      <c r="I405" s="1030">
        <v>53900</v>
      </c>
      <c r="J405" s="1034">
        <v>1</v>
      </c>
      <c r="K405" s="1030">
        <v>60163</v>
      </c>
      <c r="L405" s="1030">
        <v>53900</v>
      </c>
      <c r="M405" s="979">
        <v>599</v>
      </c>
    </row>
    <row r="406" spans="1:13" ht="15">
      <c r="A406" s="979" t="s">
        <v>3437</v>
      </c>
      <c r="B406" s="722" t="str">
        <f>CONCATENATE(LEFT(RIGHT(CONCATENATE("000",IFAData_TEA!A406),6),3),"-",(RIGHT(RIGHT(CONCATENATE("000",IFAData_TEA!A406),6),3)))</f>
        <v>031-914</v>
      </c>
      <c r="C406" s="979" t="s">
        <v>87</v>
      </c>
      <c r="D406" s="979">
        <v>1</v>
      </c>
      <c r="E406" s="979">
        <v>2314</v>
      </c>
      <c r="F406" s="979" t="s">
        <v>4363</v>
      </c>
      <c r="G406" s="979" t="s">
        <v>4364</v>
      </c>
      <c r="H406" s="1030">
        <v>290250</v>
      </c>
      <c r="I406" s="1030">
        <v>275883</v>
      </c>
      <c r="J406" s="1034">
        <v>1</v>
      </c>
      <c r="K406" s="1030">
        <v>290250</v>
      </c>
      <c r="L406" s="1030">
        <v>275883</v>
      </c>
      <c r="M406" s="979">
        <v>599</v>
      </c>
    </row>
    <row r="407" spans="1:13" ht="15">
      <c r="A407" s="979" t="s">
        <v>3437</v>
      </c>
      <c r="B407" s="722" t="str">
        <f>CONCATENATE(LEFT(RIGHT(CONCATENATE("000",IFAData_TEA!A407),6),3),"-",(RIGHT(RIGHT(CONCATENATE("000",IFAData_TEA!A407),6),3)))</f>
        <v>031-914</v>
      </c>
      <c r="C407" s="979" t="s">
        <v>87</v>
      </c>
      <c r="D407" s="979">
        <v>4</v>
      </c>
      <c r="E407" s="979">
        <v>2315</v>
      </c>
      <c r="F407" s="979" t="s">
        <v>4365</v>
      </c>
      <c r="G407" s="979" t="s">
        <v>4365</v>
      </c>
      <c r="H407" s="1030">
        <v>307688</v>
      </c>
      <c r="I407" s="1030">
        <v>0</v>
      </c>
      <c r="J407" s="1034">
        <v>0</v>
      </c>
      <c r="K407" s="1030">
        <v>0</v>
      </c>
      <c r="L407" s="1030">
        <v>0</v>
      </c>
      <c r="M407" s="979">
        <v>599</v>
      </c>
    </row>
    <row r="408" spans="1:13" ht="15">
      <c r="A408" s="979" t="s">
        <v>3437</v>
      </c>
      <c r="B408" s="722" t="str">
        <f>CONCATENATE(LEFT(RIGHT(CONCATENATE("000",IFAData_TEA!A408),6),3),"-",(RIGHT(RIGHT(CONCATENATE("000",IFAData_TEA!A408),6),3)))</f>
        <v>031-914</v>
      </c>
      <c r="C408" s="979" t="s">
        <v>87</v>
      </c>
      <c r="D408" s="979">
        <v>9</v>
      </c>
      <c r="E408" s="979">
        <v>2313</v>
      </c>
      <c r="F408" s="979" t="s">
        <v>4367</v>
      </c>
      <c r="G408" s="979" t="s">
        <v>4367</v>
      </c>
      <c r="H408" s="1030">
        <v>284877</v>
      </c>
      <c r="I408" s="1030">
        <v>285119</v>
      </c>
      <c r="J408" s="1034">
        <v>1</v>
      </c>
      <c r="K408" s="1030">
        <v>284877</v>
      </c>
      <c r="L408" s="1030">
        <v>284877</v>
      </c>
      <c r="M408" s="979">
        <v>599</v>
      </c>
    </row>
    <row r="409" spans="1:13" ht="15">
      <c r="A409" s="979" t="s">
        <v>3437</v>
      </c>
      <c r="B409" s="722" t="str">
        <f>CONCATENATE(LEFT(RIGHT(CONCATENATE("000",IFAData_TEA!A409),6),3),"-",(RIGHT(RIGHT(CONCATENATE("000",IFAData_TEA!A409),6),3)))</f>
        <v>031-914</v>
      </c>
      <c r="C409" s="979" t="s">
        <v>87</v>
      </c>
      <c r="D409" s="979">
        <v>5</v>
      </c>
      <c r="E409" s="979">
        <v>2312</v>
      </c>
      <c r="F409" s="979" t="s">
        <v>4366</v>
      </c>
      <c r="G409" s="979" t="s">
        <v>4366</v>
      </c>
      <c r="H409" s="1030">
        <v>265690</v>
      </c>
      <c r="I409" s="1030">
        <v>120290</v>
      </c>
      <c r="J409" s="1034">
        <v>0.46096953439356197</v>
      </c>
      <c r="K409" s="1030">
        <v>122474.99559302548</v>
      </c>
      <c r="L409" s="1030">
        <v>120290</v>
      </c>
      <c r="M409" s="979">
        <v>599</v>
      </c>
    </row>
    <row r="410" spans="1:13" ht="15">
      <c r="A410" s="979" t="s">
        <v>3437</v>
      </c>
      <c r="B410" s="722" t="str">
        <f>CONCATENATE(LEFT(RIGHT(CONCATENATE("000",IFAData_TEA!A410),6),3),"-",(RIGHT(RIGHT(CONCATENATE("000",IFAData_TEA!A410),6),3)))</f>
        <v>031-914</v>
      </c>
      <c r="C410" s="979" t="s">
        <v>87</v>
      </c>
      <c r="D410" s="979">
        <v>1</v>
      </c>
      <c r="E410" s="979">
        <v>2314</v>
      </c>
      <c r="F410" s="979" t="s">
        <v>4363</v>
      </c>
      <c r="G410" s="979" t="s">
        <v>4363</v>
      </c>
      <c r="H410" s="1030">
        <v>290250</v>
      </c>
      <c r="I410" s="1030">
        <v>0</v>
      </c>
      <c r="J410" s="1034">
        <v>0</v>
      </c>
      <c r="K410" s="1030">
        <v>0</v>
      </c>
      <c r="L410" s="1030">
        <v>0</v>
      </c>
      <c r="M410" s="979">
        <v>599</v>
      </c>
    </row>
    <row r="411" spans="1:13" ht="15">
      <c r="A411" s="979" t="s">
        <v>3437</v>
      </c>
      <c r="B411" s="722" t="str">
        <f>CONCATENATE(LEFT(RIGHT(CONCATENATE("000",IFAData_TEA!A411),6),3),"-",(RIGHT(RIGHT(CONCATENATE("000",IFAData_TEA!A411),6),3)))</f>
        <v>031-914</v>
      </c>
      <c r="C411" s="979" t="s">
        <v>87</v>
      </c>
      <c r="D411" s="979">
        <v>5</v>
      </c>
      <c r="E411" s="979">
        <v>2312</v>
      </c>
      <c r="F411" s="979" t="s">
        <v>4366</v>
      </c>
      <c r="G411" s="979" t="s">
        <v>4364</v>
      </c>
      <c r="H411" s="1030">
        <v>265690</v>
      </c>
      <c r="I411" s="1030">
        <v>140660</v>
      </c>
      <c r="J411" s="1034">
        <v>0.53903046560643797</v>
      </c>
      <c r="K411" s="1030">
        <v>143215.00440697451</v>
      </c>
      <c r="L411" s="1030">
        <v>140660</v>
      </c>
      <c r="M411" s="979">
        <v>599</v>
      </c>
    </row>
    <row r="412" spans="1:13" ht="15">
      <c r="A412" s="979" t="s">
        <v>3437</v>
      </c>
      <c r="B412" s="722" t="str">
        <f>CONCATENATE(LEFT(RIGHT(CONCATENATE("000",IFAData_TEA!A412),6),3),"-",(RIGHT(RIGHT(CONCATENATE("000",IFAData_TEA!A412),6),3)))</f>
        <v>031-914</v>
      </c>
      <c r="C412" s="979" t="s">
        <v>87</v>
      </c>
      <c r="D412" s="979">
        <v>4</v>
      </c>
      <c r="E412" s="979">
        <v>2315</v>
      </c>
      <c r="F412" s="979" t="s">
        <v>4365</v>
      </c>
      <c r="G412" s="979" t="s">
        <v>4364</v>
      </c>
      <c r="H412" s="1030">
        <v>307688</v>
      </c>
      <c r="I412" s="1030">
        <v>284876</v>
      </c>
      <c r="J412" s="1034">
        <v>1</v>
      </c>
      <c r="K412" s="1030">
        <v>307688</v>
      </c>
      <c r="L412" s="1030">
        <v>284876</v>
      </c>
      <c r="M412" s="979">
        <v>599</v>
      </c>
    </row>
    <row r="413" spans="1:13" ht="15">
      <c r="A413" s="979" t="s">
        <v>4368</v>
      </c>
      <c r="B413" s="722" t="str">
        <f>CONCATENATE(LEFT(RIGHT(CONCATENATE("000",IFAData_TEA!A413),6),3),"-",(RIGHT(RIGHT(CONCATENATE("000",IFAData_TEA!A413),6),3)))</f>
        <v>034-906</v>
      </c>
      <c r="C413" s="979" t="s">
        <v>821</v>
      </c>
      <c r="D413" s="979">
        <v>4</v>
      </c>
      <c r="E413" s="979">
        <v>2083</v>
      </c>
      <c r="F413" s="979" t="s">
        <v>4369</v>
      </c>
      <c r="G413" s="979" t="s">
        <v>4369</v>
      </c>
      <c r="H413" s="1030">
        <v>80006</v>
      </c>
      <c r="I413" s="1030">
        <v>79611</v>
      </c>
      <c r="J413" s="1034">
        <v>1</v>
      </c>
      <c r="K413" s="1030">
        <v>80006</v>
      </c>
      <c r="L413" s="1030">
        <v>79611</v>
      </c>
      <c r="M413" s="979">
        <v>199</v>
      </c>
    </row>
    <row r="414" spans="1:13" ht="15">
      <c r="A414" s="979" t="s">
        <v>3438</v>
      </c>
      <c r="B414" s="722" t="str">
        <f>CONCATENATE(LEFT(RIGHT(CONCATENATE("000",IFAData_TEA!A414),6),3),"-",(RIGHT(RIGHT(CONCATENATE("000",IFAData_TEA!A414),6),3)))</f>
        <v>035-903</v>
      </c>
      <c r="C414" s="979" t="s">
        <v>389</v>
      </c>
      <c r="D414" s="979">
        <v>3</v>
      </c>
      <c r="E414" s="979">
        <v>2128</v>
      </c>
      <c r="F414" s="979" t="s">
        <v>4370</v>
      </c>
      <c r="G414" s="979" t="s">
        <v>4370</v>
      </c>
      <c r="H414" s="1030">
        <v>100000</v>
      </c>
      <c r="I414" s="1030">
        <v>105000</v>
      </c>
      <c r="J414" s="1034">
        <v>1</v>
      </c>
      <c r="K414" s="1030">
        <v>100000</v>
      </c>
      <c r="L414" s="1030">
        <v>100000</v>
      </c>
      <c r="M414" s="979">
        <v>599</v>
      </c>
    </row>
    <row r="415" spans="1:13" ht="15">
      <c r="A415" s="979" t="s">
        <v>3439</v>
      </c>
      <c r="B415" s="722" t="str">
        <f>CONCATENATE(LEFT(RIGHT(CONCATENATE("000",IFAData_TEA!A415),6),3),"-",(RIGHT(RIGHT(CONCATENATE("000",IFAData_TEA!A415),6),3)))</f>
        <v>036-901</v>
      </c>
      <c r="C415" s="979" t="s">
        <v>1055</v>
      </c>
      <c r="D415" s="979">
        <v>3</v>
      </c>
      <c r="E415" s="979">
        <v>1573</v>
      </c>
      <c r="F415" s="979" t="s">
        <v>4371</v>
      </c>
      <c r="G415" s="979" t="s">
        <v>4372</v>
      </c>
      <c r="H415" s="1030">
        <v>342500</v>
      </c>
      <c r="I415" s="1030">
        <v>518700</v>
      </c>
      <c r="J415" s="1034">
        <v>1</v>
      </c>
      <c r="K415" s="1030">
        <v>342500</v>
      </c>
      <c r="L415" s="1030">
        <v>342500</v>
      </c>
      <c r="M415" s="979">
        <v>599</v>
      </c>
    </row>
    <row r="416" spans="1:13" ht="15">
      <c r="A416" s="979" t="s">
        <v>3439</v>
      </c>
      <c r="B416" s="722" t="str">
        <f>CONCATENATE(LEFT(RIGHT(CONCATENATE("000",IFAData_TEA!A416),6),3),"-",(RIGHT(RIGHT(CONCATENATE("000",IFAData_TEA!A416),6),3)))</f>
        <v>036-901</v>
      </c>
      <c r="C416" s="979" t="s">
        <v>1055</v>
      </c>
      <c r="D416" s="979">
        <v>3</v>
      </c>
      <c r="E416" s="979">
        <v>1573</v>
      </c>
      <c r="F416" s="979" t="s">
        <v>4371</v>
      </c>
      <c r="G416" s="979" t="s">
        <v>4371</v>
      </c>
      <c r="H416" s="1030">
        <v>342500</v>
      </c>
      <c r="I416" s="1030">
        <v>0</v>
      </c>
      <c r="J416" s="1034">
        <v>0</v>
      </c>
      <c r="K416" s="1030">
        <v>0</v>
      </c>
      <c r="L416" s="1030">
        <v>0</v>
      </c>
      <c r="M416" s="979">
        <v>599</v>
      </c>
    </row>
    <row r="417" spans="1:13" ht="15">
      <c r="A417" s="979" t="s">
        <v>3439</v>
      </c>
      <c r="B417" s="722" t="str">
        <f>CONCATENATE(LEFT(RIGHT(CONCATENATE("000",IFAData_TEA!A417),6),3),"-",(RIGHT(RIGHT(CONCATENATE("000",IFAData_TEA!A417),6),3)))</f>
        <v>036-901</v>
      </c>
      <c r="C417" s="979" t="s">
        <v>1055</v>
      </c>
      <c r="D417" s="979">
        <v>10</v>
      </c>
      <c r="E417" s="979">
        <v>1572</v>
      </c>
      <c r="F417" s="979" t="s">
        <v>4373</v>
      </c>
      <c r="G417" s="979" t="s">
        <v>4373</v>
      </c>
      <c r="H417" s="1030">
        <v>321500</v>
      </c>
      <c r="I417" s="1030">
        <v>715500</v>
      </c>
      <c r="J417" s="1034">
        <v>1</v>
      </c>
      <c r="K417" s="1030">
        <v>321500</v>
      </c>
      <c r="L417" s="1030">
        <v>321500</v>
      </c>
      <c r="M417" s="979">
        <v>599</v>
      </c>
    </row>
    <row r="418" spans="1:13" ht="15">
      <c r="A418" s="979" t="s">
        <v>3440</v>
      </c>
      <c r="B418" s="722" t="str">
        <f>CONCATENATE(LEFT(RIGHT(CONCATENATE("000",IFAData_TEA!A418),6),3),"-",(RIGHT(RIGHT(CONCATENATE("000",IFAData_TEA!A418),6),3)))</f>
        <v>036-903</v>
      </c>
      <c r="C418" s="979" t="s">
        <v>2369</v>
      </c>
      <c r="D418" s="979">
        <v>9</v>
      </c>
      <c r="E418" s="979">
        <v>1782</v>
      </c>
      <c r="F418" s="979" t="s">
        <v>4374</v>
      </c>
      <c r="G418" s="979" t="s">
        <v>4374</v>
      </c>
      <c r="H418" s="1030">
        <v>300000</v>
      </c>
      <c r="I418" s="1030">
        <v>542647</v>
      </c>
      <c r="J418" s="1034">
        <v>1</v>
      </c>
      <c r="K418" s="1030">
        <v>300000</v>
      </c>
      <c r="L418" s="1030">
        <v>300000</v>
      </c>
      <c r="M418" s="979">
        <v>599</v>
      </c>
    </row>
    <row r="419" spans="1:13" ht="15">
      <c r="A419" s="979" t="s">
        <v>3441</v>
      </c>
      <c r="B419" s="722" t="str">
        <f>CONCATENATE(LEFT(RIGHT(CONCATENATE("000",IFAData_TEA!A419),6),3),"-",(RIGHT(RIGHT(CONCATENATE("000",IFAData_TEA!A419),6),3)))</f>
        <v>037-904</v>
      </c>
      <c r="C419" s="979" t="s">
        <v>405</v>
      </c>
      <c r="D419" s="979">
        <v>2</v>
      </c>
      <c r="E419" s="979">
        <v>1932</v>
      </c>
      <c r="F419" s="979" t="s">
        <v>4375</v>
      </c>
      <c r="G419" s="979" t="s">
        <v>4375</v>
      </c>
      <c r="H419" s="1030">
        <v>895013</v>
      </c>
      <c r="I419" s="1030">
        <v>0</v>
      </c>
      <c r="J419" s="1034">
        <v>0</v>
      </c>
      <c r="K419" s="1030">
        <v>0</v>
      </c>
      <c r="L419" s="1030">
        <v>0</v>
      </c>
      <c r="M419" s="979">
        <v>599</v>
      </c>
    </row>
    <row r="420" spans="1:13" ht="15">
      <c r="A420" s="979" t="s">
        <v>3441</v>
      </c>
      <c r="B420" s="722" t="str">
        <f>CONCATENATE(LEFT(RIGHT(CONCATENATE("000",IFAData_TEA!A420),6),3),"-",(RIGHT(RIGHT(CONCATENATE("000",IFAData_TEA!A420),6),3)))</f>
        <v>037-904</v>
      </c>
      <c r="C420" s="979" t="s">
        <v>405</v>
      </c>
      <c r="D420" s="979">
        <v>2</v>
      </c>
      <c r="E420" s="979">
        <v>1932</v>
      </c>
      <c r="F420" s="979" t="s">
        <v>4375</v>
      </c>
      <c r="G420" s="979" t="s">
        <v>4376</v>
      </c>
      <c r="H420" s="1030">
        <v>895013</v>
      </c>
      <c r="I420" s="1030">
        <v>0</v>
      </c>
      <c r="J420" s="1034">
        <v>0</v>
      </c>
      <c r="K420" s="1030">
        <v>0</v>
      </c>
      <c r="L420" s="1030">
        <v>0</v>
      </c>
      <c r="M420" s="979">
        <v>599</v>
      </c>
    </row>
    <row r="421" spans="1:13" ht="15">
      <c r="A421" s="979" t="s">
        <v>3441</v>
      </c>
      <c r="B421" s="722" t="str">
        <f>CONCATENATE(LEFT(RIGHT(CONCATENATE("000",IFAData_TEA!A421),6),3),"-",(RIGHT(RIGHT(CONCATENATE("000",IFAData_TEA!A421),6),3)))</f>
        <v>037-904</v>
      </c>
      <c r="C421" s="979" t="s">
        <v>405</v>
      </c>
      <c r="D421" s="979">
        <v>2</v>
      </c>
      <c r="E421" s="979">
        <v>1932</v>
      </c>
      <c r="F421" s="979" t="s">
        <v>4375</v>
      </c>
      <c r="G421" s="979" t="s">
        <v>4377</v>
      </c>
      <c r="H421" s="1030">
        <v>895013</v>
      </c>
      <c r="I421" s="1030">
        <v>804875</v>
      </c>
      <c r="J421" s="1034">
        <v>1</v>
      </c>
      <c r="K421" s="1030">
        <v>895013</v>
      </c>
      <c r="L421" s="1030">
        <v>804875</v>
      </c>
      <c r="M421" s="979">
        <v>599</v>
      </c>
    </row>
    <row r="422" spans="1:13" ht="15">
      <c r="A422" s="979" t="s">
        <v>3442</v>
      </c>
      <c r="B422" s="722" t="str">
        <f>CONCATENATE(LEFT(RIGHT(CONCATENATE("000",IFAData_TEA!A422),6),3),"-",(RIGHT(RIGHT(CONCATENATE("000",IFAData_TEA!A422),6),3)))</f>
        <v>037-907</v>
      </c>
      <c r="C422" s="979" t="s">
        <v>614</v>
      </c>
      <c r="D422" s="979">
        <v>1</v>
      </c>
      <c r="E422" s="979">
        <v>2272</v>
      </c>
      <c r="F422" s="979" t="s">
        <v>4378</v>
      </c>
      <c r="G422" s="979" t="s">
        <v>4378</v>
      </c>
      <c r="H422" s="1030">
        <v>30292</v>
      </c>
      <c r="I422" s="1030">
        <v>0</v>
      </c>
      <c r="J422" s="1034">
        <v>0</v>
      </c>
      <c r="K422" s="1030">
        <v>0</v>
      </c>
      <c r="L422" s="1030">
        <v>0</v>
      </c>
      <c r="M422" s="979">
        <v>599</v>
      </c>
    </row>
    <row r="423" spans="1:13" ht="15">
      <c r="A423" s="979" t="s">
        <v>3442</v>
      </c>
      <c r="B423" s="722" t="str">
        <f>CONCATENATE(LEFT(RIGHT(CONCATENATE("000",IFAData_TEA!A423),6),3),"-",(RIGHT(RIGHT(CONCATENATE("000",IFAData_TEA!A423),6),3)))</f>
        <v>037-907</v>
      </c>
      <c r="C423" s="979" t="s">
        <v>614</v>
      </c>
      <c r="D423" s="979">
        <v>1</v>
      </c>
      <c r="E423" s="979">
        <v>2272</v>
      </c>
      <c r="F423" s="979" t="s">
        <v>4378</v>
      </c>
      <c r="G423" s="979" t="s">
        <v>4379</v>
      </c>
      <c r="H423" s="1030">
        <v>30292</v>
      </c>
      <c r="I423" s="1030">
        <v>17927</v>
      </c>
      <c r="J423" s="1034">
        <v>1</v>
      </c>
      <c r="K423" s="1030">
        <v>30292</v>
      </c>
      <c r="L423" s="1030">
        <v>17927</v>
      </c>
      <c r="M423" s="979">
        <v>599</v>
      </c>
    </row>
    <row r="424" spans="1:13" ht="15">
      <c r="A424" s="979" t="s">
        <v>3442</v>
      </c>
      <c r="B424" s="722" t="str">
        <f>CONCATENATE(LEFT(RIGHT(CONCATENATE("000",IFAData_TEA!A424),6),3),"-",(RIGHT(RIGHT(CONCATENATE("000",IFAData_TEA!A424),6),3)))</f>
        <v>037-907</v>
      </c>
      <c r="C424" s="979" t="s">
        <v>614</v>
      </c>
      <c r="D424" s="979">
        <v>5</v>
      </c>
      <c r="E424" s="979">
        <v>2273</v>
      </c>
      <c r="F424" s="979" t="s">
        <v>4380</v>
      </c>
      <c r="G424" s="979" t="s">
        <v>4381</v>
      </c>
      <c r="H424" s="1030">
        <v>387158</v>
      </c>
      <c r="I424" s="1030">
        <v>350888</v>
      </c>
      <c r="J424" s="1034">
        <v>1</v>
      </c>
      <c r="K424" s="1030">
        <v>387158</v>
      </c>
      <c r="L424" s="1030">
        <v>350888</v>
      </c>
      <c r="M424" s="979">
        <v>599</v>
      </c>
    </row>
    <row r="425" spans="1:13" ht="15">
      <c r="A425" s="979" t="s">
        <v>3442</v>
      </c>
      <c r="B425" s="722" t="str">
        <f>CONCATENATE(LEFT(RIGHT(CONCATENATE("000",IFAData_TEA!A425),6),3),"-",(RIGHT(RIGHT(CONCATENATE("000",IFAData_TEA!A425),6),3)))</f>
        <v>037-907</v>
      </c>
      <c r="C425" s="979" t="s">
        <v>614</v>
      </c>
      <c r="D425" s="979">
        <v>5</v>
      </c>
      <c r="E425" s="979">
        <v>2273</v>
      </c>
      <c r="F425" s="979" t="s">
        <v>4380</v>
      </c>
      <c r="G425" s="979" t="s">
        <v>4380</v>
      </c>
      <c r="H425" s="1030">
        <v>387158</v>
      </c>
      <c r="I425" s="1030">
        <v>0</v>
      </c>
      <c r="J425" s="1034">
        <v>0</v>
      </c>
      <c r="K425" s="1030">
        <v>0</v>
      </c>
      <c r="L425" s="1030">
        <v>0</v>
      </c>
      <c r="M425" s="979">
        <v>599</v>
      </c>
    </row>
    <row r="426" spans="1:13" ht="15">
      <c r="A426" s="979" t="s">
        <v>4382</v>
      </c>
      <c r="B426" s="722" t="str">
        <f>CONCATENATE(LEFT(RIGHT(CONCATENATE("000",IFAData_TEA!A426),6),3),"-",(RIGHT(RIGHT(CONCATENATE("000",IFAData_TEA!A426),6),3)))</f>
        <v>037-908</v>
      </c>
      <c r="C426" s="979" t="s">
        <v>1143</v>
      </c>
      <c r="D426" s="979">
        <v>6</v>
      </c>
      <c r="E426" s="979">
        <v>2143</v>
      </c>
      <c r="F426" s="979" t="s">
        <v>4383</v>
      </c>
      <c r="G426" s="979" t="s">
        <v>4383</v>
      </c>
      <c r="H426" s="1030">
        <v>100400</v>
      </c>
      <c r="I426" s="1030">
        <v>0</v>
      </c>
      <c r="J426" s="1034">
        <v>0</v>
      </c>
      <c r="K426" s="1030"/>
      <c r="L426" s="1030">
        <v>0</v>
      </c>
      <c r="M426" s="979">
        <v>199</v>
      </c>
    </row>
    <row r="427" spans="1:13" ht="15">
      <c r="A427" s="979" t="s">
        <v>3443</v>
      </c>
      <c r="B427" s="722" t="str">
        <f>CONCATENATE(LEFT(RIGHT(CONCATENATE("000",IFAData_TEA!A427),6),3),"-",(RIGHT(RIGHT(CONCATENATE("000",IFAData_TEA!A427),6),3)))</f>
        <v>038-901</v>
      </c>
      <c r="C427" s="979" t="s">
        <v>2185</v>
      </c>
      <c r="D427" s="979">
        <v>5</v>
      </c>
      <c r="E427" s="979">
        <v>1687</v>
      </c>
      <c r="F427" s="979" t="s">
        <v>4386</v>
      </c>
      <c r="G427" s="979" t="s">
        <v>4386</v>
      </c>
      <c r="H427" s="1030">
        <v>198700</v>
      </c>
      <c r="I427" s="1030">
        <v>0</v>
      </c>
      <c r="J427" s="1034">
        <v>0</v>
      </c>
      <c r="K427" s="1030">
        <v>0</v>
      </c>
      <c r="L427" s="1030">
        <v>0</v>
      </c>
      <c r="M427" s="979">
        <v>599</v>
      </c>
    </row>
    <row r="428" spans="1:13" ht="15">
      <c r="A428" s="979" t="s">
        <v>3443</v>
      </c>
      <c r="B428" s="722" t="str">
        <f>CONCATENATE(LEFT(RIGHT(CONCATENATE("000",IFAData_TEA!A428),6),3),"-",(RIGHT(RIGHT(CONCATENATE("000",IFAData_TEA!A428),6),3)))</f>
        <v>038-901</v>
      </c>
      <c r="C428" s="979" t="s">
        <v>2185</v>
      </c>
      <c r="D428" s="979">
        <v>2</v>
      </c>
      <c r="E428" s="979">
        <v>1686</v>
      </c>
      <c r="F428" s="979" t="s">
        <v>4384</v>
      </c>
      <c r="G428" s="979" t="s">
        <v>4385</v>
      </c>
      <c r="H428" s="1030">
        <v>143416</v>
      </c>
      <c r="I428" s="1030">
        <v>100816</v>
      </c>
      <c r="J428" s="1034">
        <v>1</v>
      </c>
      <c r="K428" s="1030">
        <v>143416</v>
      </c>
      <c r="L428" s="1030">
        <v>100816</v>
      </c>
      <c r="M428" s="979">
        <v>599</v>
      </c>
    </row>
    <row r="429" spans="1:13" ht="15">
      <c r="A429" s="979" t="s">
        <v>3443</v>
      </c>
      <c r="B429" s="722" t="str">
        <f>CONCATENATE(LEFT(RIGHT(CONCATENATE("000",IFAData_TEA!A429),6),3),"-",(RIGHT(RIGHT(CONCATENATE("000",IFAData_TEA!A429),6),3)))</f>
        <v>038-901</v>
      </c>
      <c r="C429" s="979" t="s">
        <v>2185</v>
      </c>
      <c r="D429" s="979">
        <v>2</v>
      </c>
      <c r="E429" s="979">
        <v>1686</v>
      </c>
      <c r="F429" s="979" t="s">
        <v>4384</v>
      </c>
      <c r="G429" s="979" t="s">
        <v>4384</v>
      </c>
      <c r="H429" s="1030">
        <v>143416</v>
      </c>
      <c r="I429" s="1030">
        <v>0</v>
      </c>
      <c r="J429" s="1034">
        <v>0</v>
      </c>
      <c r="K429" s="1030">
        <v>0</v>
      </c>
      <c r="L429" s="1030">
        <v>0</v>
      </c>
      <c r="M429" s="979">
        <v>599</v>
      </c>
    </row>
    <row r="430" spans="1:13" ht="15">
      <c r="A430" s="979" t="s">
        <v>3443</v>
      </c>
      <c r="B430" s="722" t="str">
        <f>CONCATENATE(LEFT(RIGHT(CONCATENATE("000",IFAData_TEA!A430),6),3),"-",(RIGHT(RIGHT(CONCATENATE("000",IFAData_TEA!A430),6),3)))</f>
        <v>038-901</v>
      </c>
      <c r="C430" s="979" t="s">
        <v>2185</v>
      </c>
      <c r="D430" s="979">
        <v>5</v>
      </c>
      <c r="E430" s="979">
        <v>1687</v>
      </c>
      <c r="F430" s="979" t="s">
        <v>4386</v>
      </c>
      <c r="G430" s="979" t="s">
        <v>4385</v>
      </c>
      <c r="H430" s="1030">
        <v>198700</v>
      </c>
      <c r="I430" s="1030">
        <v>172500</v>
      </c>
      <c r="J430" s="1034">
        <v>1</v>
      </c>
      <c r="K430" s="1030">
        <v>198700</v>
      </c>
      <c r="L430" s="1030">
        <v>172500</v>
      </c>
      <c r="M430" s="979">
        <v>599</v>
      </c>
    </row>
    <row r="431" spans="1:13" ht="15">
      <c r="A431" s="979" t="s">
        <v>3444</v>
      </c>
      <c r="B431" s="722" t="str">
        <f>CONCATENATE(LEFT(RIGHT(CONCATENATE("000",IFAData_TEA!A431),6),3),"-",(RIGHT(RIGHT(CONCATENATE("000",IFAData_TEA!A431),6),3)))</f>
        <v>039-903</v>
      </c>
      <c r="C431" s="979" t="s">
        <v>3912</v>
      </c>
      <c r="D431" s="979">
        <v>5</v>
      </c>
      <c r="E431" s="979">
        <v>2187</v>
      </c>
      <c r="F431" s="979" t="s">
        <v>4387</v>
      </c>
      <c r="G431" s="979" t="s">
        <v>4388</v>
      </c>
      <c r="H431" s="1030">
        <v>232853</v>
      </c>
      <c r="I431" s="1030">
        <v>224735</v>
      </c>
      <c r="J431" s="1034">
        <v>1</v>
      </c>
      <c r="K431" s="1030">
        <v>232853</v>
      </c>
      <c r="L431" s="1030">
        <v>224735</v>
      </c>
      <c r="M431" s="979">
        <v>599</v>
      </c>
    </row>
    <row r="432" spans="1:13" ht="15">
      <c r="A432" s="979" t="s">
        <v>3444</v>
      </c>
      <c r="B432" s="722" t="str">
        <f>CONCATENATE(LEFT(RIGHT(CONCATENATE("000",IFAData_TEA!A432),6),3),"-",(RIGHT(RIGHT(CONCATENATE("000",IFAData_TEA!A432),6),3)))</f>
        <v>039-903</v>
      </c>
      <c r="C432" s="979" t="s">
        <v>3912</v>
      </c>
      <c r="D432" s="979">
        <v>5</v>
      </c>
      <c r="E432" s="979">
        <v>2187</v>
      </c>
      <c r="F432" s="979" t="s">
        <v>4387</v>
      </c>
      <c r="G432" s="979" t="s">
        <v>4387</v>
      </c>
      <c r="H432" s="1030">
        <v>232853</v>
      </c>
      <c r="I432" s="1030">
        <v>0</v>
      </c>
      <c r="J432" s="1034">
        <v>0</v>
      </c>
      <c r="K432" s="1030">
        <v>0</v>
      </c>
      <c r="L432" s="1030">
        <v>0</v>
      </c>
      <c r="M432" s="979">
        <v>599</v>
      </c>
    </row>
    <row r="433" spans="1:13" ht="15">
      <c r="A433" s="979" t="s">
        <v>4389</v>
      </c>
      <c r="B433" s="722" t="str">
        <f>CONCATENATE(LEFT(RIGHT(CONCATENATE("000",IFAData_TEA!A433),6),3),"-",(RIGHT(RIGHT(CONCATENATE("000",IFAData_TEA!A433),6),3)))</f>
        <v>042-901</v>
      </c>
      <c r="C433" s="979" t="s">
        <v>1168</v>
      </c>
      <c r="D433" s="979">
        <v>2</v>
      </c>
      <c r="E433" s="979">
        <v>1704</v>
      </c>
      <c r="F433" s="979" t="s">
        <v>4390</v>
      </c>
      <c r="G433" s="979" t="s">
        <v>4390</v>
      </c>
      <c r="H433" s="1030">
        <v>71550</v>
      </c>
      <c r="I433" s="1030">
        <v>0</v>
      </c>
      <c r="J433" s="1034">
        <v>0</v>
      </c>
      <c r="K433" s="1030"/>
      <c r="L433" s="1030">
        <v>0</v>
      </c>
      <c r="M433" s="979">
        <v>599</v>
      </c>
    </row>
    <row r="434" spans="1:13" ht="15">
      <c r="A434" s="979" t="s">
        <v>3445</v>
      </c>
      <c r="B434" s="722" t="str">
        <f>CONCATENATE(LEFT(RIGHT(CONCATENATE("000",IFAData_TEA!A434),6),3),"-",(RIGHT(RIGHT(CONCATENATE("000",IFAData_TEA!A434),6),3)))</f>
        <v>042-903</v>
      </c>
      <c r="C434" s="979" t="s">
        <v>84</v>
      </c>
      <c r="D434" s="979">
        <v>6</v>
      </c>
      <c r="E434" s="979">
        <v>2306</v>
      </c>
      <c r="F434" s="979" t="s">
        <v>4391</v>
      </c>
      <c r="G434" s="979" t="s">
        <v>4391</v>
      </c>
      <c r="H434" s="1030">
        <v>100000</v>
      </c>
      <c r="I434" s="1030">
        <v>0</v>
      </c>
      <c r="J434" s="1034">
        <v>0</v>
      </c>
      <c r="K434" s="1030">
        <v>0</v>
      </c>
      <c r="L434" s="1030">
        <v>0</v>
      </c>
      <c r="M434" s="979">
        <v>599</v>
      </c>
    </row>
    <row r="435" spans="1:13" ht="15">
      <c r="A435" s="979" t="s">
        <v>3445</v>
      </c>
      <c r="B435" s="722" t="str">
        <f>CONCATENATE(LEFT(RIGHT(CONCATENATE("000",IFAData_TEA!A435),6),3),"-",(RIGHT(RIGHT(CONCATENATE("000",IFAData_TEA!A435),6),3)))</f>
        <v>042-903</v>
      </c>
      <c r="C435" s="979" t="s">
        <v>84</v>
      </c>
      <c r="D435" s="979">
        <v>6</v>
      </c>
      <c r="E435" s="979">
        <v>2306</v>
      </c>
      <c r="F435" s="979" t="s">
        <v>4391</v>
      </c>
      <c r="G435" s="979" t="s">
        <v>4392</v>
      </c>
      <c r="H435" s="1030">
        <v>100000</v>
      </c>
      <c r="I435" s="1030">
        <v>92028</v>
      </c>
      <c r="J435" s="1034">
        <v>1</v>
      </c>
      <c r="K435" s="1030">
        <v>100000</v>
      </c>
      <c r="L435" s="1030">
        <v>92028</v>
      </c>
      <c r="M435" s="979">
        <v>599</v>
      </c>
    </row>
    <row r="436" spans="1:13" ht="15">
      <c r="A436" s="979" t="s">
        <v>3446</v>
      </c>
      <c r="B436" s="722" t="str">
        <f>CONCATENATE(LEFT(RIGHT(CONCATENATE("000",IFAData_TEA!A436),6),3),"-",(RIGHT(RIGHT(CONCATENATE("000",IFAData_TEA!A436),6),3)))</f>
        <v>043-901</v>
      </c>
      <c r="C436" s="979" t="s">
        <v>1957</v>
      </c>
      <c r="D436" s="979">
        <v>1</v>
      </c>
      <c r="E436" s="979">
        <v>1560</v>
      </c>
      <c r="F436" s="979" t="s">
        <v>4393</v>
      </c>
      <c r="G436" s="979" t="s">
        <v>4394</v>
      </c>
      <c r="H436" s="1030">
        <v>1385015</v>
      </c>
      <c r="I436" s="1030">
        <v>1025811</v>
      </c>
      <c r="J436" s="1034">
        <v>0.72496399247481591</v>
      </c>
      <c r="K436" s="1030">
        <v>1004086.0040375071</v>
      </c>
      <c r="L436" s="1030">
        <v>1004086.0040375071</v>
      </c>
      <c r="M436" s="979">
        <v>599</v>
      </c>
    </row>
    <row r="437" spans="1:13" ht="15">
      <c r="A437" s="979" t="s">
        <v>3446</v>
      </c>
      <c r="B437" s="722" t="str">
        <f>CONCATENATE(LEFT(RIGHT(CONCATENATE("000",IFAData_TEA!A437),6),3),"-",(RIGHT(RIGHT(CONCATENATE("000",IFAData_TEA!A437),6),3)))</f>
        <v>043-901</v>
      </c>
      <c r="C437" s="979" t="s">
        <v>1957</v>
      </c>
      <c r="D437" s="979">
        <v>1</v>
      </c>
      <c r="E437" s="979">
        <v>1560</v>
      </c>
      <c r="F437" s="979" t="s">
        <v>4393</v>
      </c>
      <c r="G437" s="979" t="s">
        <v>4395</v>
      </c>
      <c r="H437" s="1030">
        <v>1385015</v>
      </c>
      <c r="I437" s="1030">
        <v>112812</v>
      </c>
      <c r="J437" s="1034">
        <v>7.9726809245629984E-2</v>
      </c>
      <c r="K437" s="1030">
        <v>110422.82670733621</v>
      </c>
      <c r="L437" s="1030">
        <v>110422.82670733621</v>
      </c>
      <c r="M437" s="979">
        <v>599</v>
      </c>
    </row>
    <row r="438" spans="1:13" ht="15">
      <c r="A438" s="979" t="s">
        <v>3446</v>
      </c>
      <c r="B438" s="722" t="str">
        <f>CONCATENATE(LEFT(RIGHT(CONCATENATE("000",IFAData_TEA!A438),6),3),"-",(RIGHT(RIGHT(CONCATENATE("000",IFAData_TEA!A438),6),3)))</f>
        <v>043-901</v>
      </c>
      <c r="C438" s="979" t="s">
        <v>1957</v>
      </c>
      <c r="D438" s="979">
        <v>1</v>
      </c>
      <c r="E438" s="979">
        <v>1560</v>
      </c>
      <c r="F438" s="979" t="s">
        <v>4393</v>
      </c>
      <c r="G438" s="979" t="s">
        <v>4393</v>
      </c>
      <c r="H438" s="1030">
        <v>1385015</v>
      </c>
      <c r="I438" s="1030">
        <v>0</v>
      </c>
      <c r="J438" s="1034">
        <v>0</v>
      </c>
      <c r="K438" s="1030">
        <v>0</v>
      </c>
      <c r="L438" s="1030">
        <v>0</v>
      </c>
      <c r="M438" s="979">
        <v>599</v>
      </c>
    </row>
    <row r="439" spans="1:13" ht="15">
      <c r="A439" s="979" t="s">
        <v>3446</v>
      </c>
      <c r="B439" s="722" t="str">
        <f>CONCATENATE(LEFT(RIGHT(CONCATENATE("000",IFAData_TEA!A439),6),3),"-",(RIGHT(RIGHT(CONCATENATE("000",IFAData_TEA!A439),6),3)))</f>
        <v>043-901</v>
      </c>
      <c r="C439" s="979" t="s">
        <v>1957</v>
      </c>
      <c r="D439" s="979">
        <v>1</v>
      </c>
      <c r="E439" s="979">
        <v>1560</v>
      </c>
      <c r="F439" s="979" t="s">
        <v>4393</v>
      </c>
      <c r="G439" s="979" t="s">
        <v>6213</v>
      </c>
      <c r="H439" s="1030">
        <v>1385015</v>
      </c>
      <c r="I439" s="1030">
        <v>276359</v>
      </c>
      <c r="J439" s="1034">
        <v>0.19530919827955409</v>
      </c>
      <c r="K439" s="1030">
        <v>270506.16925515659</v>
      </c>
      <c r="L439" s="1030">
        <v>270506.16925515659</v>
      </c>
      <c r="M439" s="979">
        <v>599</v>
      </c>
    </row>
    <row r="440" spans="1:13" ht="15">
      <c r="A440" s="979" t="s">
        <v>3447</v>
      </c>
      <c r="B440" s="722" t="str">
        <f>CONCATENATE(LEFT(RIGHT(CONCATENATE("000",IFAData_TEA!A440),6),3),"-",(RIGHT(RIGHT(CONCATENATE("000",IFAData_TEA!A440),6),3)))</f>
        <v>043-902</v>
      </c>
      <c r="C440" s="979" t="s">
        <v>1056</v>
      </c>
      <c r="D440" s="979">
        <v>2</v>
      </c>
      <c r="E440" s="979">
        <v>1575</v>
      </c>
      <c r="F440" s="979" t="s">
        <v>4396</v>
      </c>
      <c r="G440" s="979" t="s">
        <v>4396</v>
      </c>
      <c r="H440" s="1030">
        <v>200000</v>
      </c>
      <c r="I440" s="1030">
        <v>0</v>
      </c>
      <c r="J440" s="1034">
        <v>0</v>
      </c>
      <c r="K440" s="1030">
        <v>0</v>
      </c>
      <c r="L440" s="1030">
        <v>0</v>
      </c>
      <c r="M440" s="979">
        <v>599</v>
      </c>
    </row>
    <row r="441" spans="1:13" ht="15">
      <c r="A441" s="979" t="s">
        <v>3447</v>
      </c>
      <c r="B441" s="722" t="str">
        <f>CONCATENATE(LEFT(RIGHT(CONCATENATE("000",IFAData_TEA!A441),6),3),"-",(RIGHT(RIGHT(CONCATENATE("000",IFAData_TEA!A441),6),3)))</f>
        <v>043-902</v>
      </c>
      <c r="C441" s="979" t="s">
        <v>1056</v>
      </c>
      <c r="D441" s="979">
        <v>2</v>
      </c>
      <c r="E441" s="979">
        <v>1575</v>
      </c>
      <c r="F441" s="979" t="s">
        <v>4396</v>
      </c>
      <c r="G441" s="979" t="s">
        <v>4397</v>
      </c>
      <c r="H441" s="1030">
        <v>200000</v>
      </c>
      <c r="I441" s="1030">
        <v>493156</v>
      </c>
      <c r="J441" s="1034">
        <v>1</v>
      </c>
      <c r="K441" s="1030">
        <v>200000</v>
      </c>
      <c r="L441" s="1030">
        <v>200000</v>
      </c>
      <c r="M441" s="979">
        <v>599</v>
      </c>
    </row>
    <row r="442" spans="1:13" ht="15">
      <c r="A442" s="979" t="s">
        <v>3447</v>
      </c>
      <c r="B442" s="722" t="str">
        <f>CONCATENATE(LEFT(RIGHT(CONCATENATE("000",IFAData_TEA!A442),6),3),"-",(RIGHT(RIGHT(CONCATENATE("000",IFAData_TEA!A442),6),3)))</f>
        <v>043-902</v>
      </c>
      <c r="C442" s="979" t="s">
        <v>1056</v>
      </c>
      <c r="D442" s="979">
        <v>10</v>
      </c>
      <c r="E442" s="979">
        <v>1574</v>
      </c>
      <c r="F442" s="979" t="s">
        <v>4399</v>
      </c>
      <c r="G442" s="979" t="s">
        <v>4399</v>
      </c>
      <c r="H442" s="1030">
        <v>180500</v>
      </c>
      <c r="I442" s="1030">
        <v>180500</v>
      </c>
      <c r="J442" s="1034">
        <v>1</v>
      </c>
      <c r="K442" s="1030">
        <v>180500</v>
      </c>
      <c r="L442" s="1030">
        <v>180500</v>
      </c>
      <c r="M442" s="979">
        <v>599</v>
      </c>
    </row>
    <row r="443" spans="1:13" ht="15">
      <c r="A443" s="979" t="s">
        <v>3447</v>
      </c>
      <c r="B443" s="722" t="str">
        <f>CONCATENATE(LEFT(RIGHT(CONCATENATE("000",IFAData_TEA!A443),6),3),"-",(RIGHT(RIGHT(CONCATENATE("000",IFAData_TEA!A443),6),3)))</f>
        <v>043-902</v>
      </c>
      <c r="C443" s="979" t="s">
        <v>1056</v>
      </c>
      <c r="D443" s="979">
        <v>10</v>
      </c>
      <c r="E443" s="979">
        <v>1577</v>
      </c>
      <c r="F443" s="979" t="s">
        <v>4401</v>
      </c>
      <c r="G443" s="979" t="s">
        <v>4401</v>
      </c>
      <c r="H443" s="1030">
        <v>285928</v>
      </c>
      <c r="I443" s="1030">
        <v>844750</v>
      </c>
      <c r="J443" s="1034">
        <v>1</v>
      </c>
      <c r="K443" s="1030">
        <v>285928</v>
      </c>
      <c r="L443" s="1030">
        <v>285928</v>
      </c>
      <c r="M443" s="979">
        <v>599</v>
      </c>
    </row>
    <row r="444" spans="1:13" ht="15">
      <c r="A444" s="979" t="s">
        <v>3447</v>
      </c>
      <c r="B444" s="722" t="str">
        <f>CONCATENATE(LEFT(RIGHT(CONCATENATE("000",IFAData_TEA!A444),6),3),"-",(RIGHT(RIGHT(CONCATENATE("000",IFAData_TEA!A444),6),3)))</f>
        <v>043-902</v>
      </c>
      <c r="C444" s="979" t="s">
        <v>1056</v>
      </c>
      <c r="D444" s="979">
        <v>9</v>
      </c>
      <c r="E444" s="979">
        <v>1578</v>
      </c>
      <c r="F444" s="979" t="s">
        <v>4398</v>
      </c>
      <c r="G444" s="979" t="s">
        <v>6214</v>
      </c>
      <c r="H444" s="1030">
        <v>634691</v>
      </c>
      <c r="I444" s="1030">
        <v>65677</v>
      </c>
      <c r="J444" s="1034">
        <v>6.8044823777820604E-2</v>
      </c>
      <c r="K444" s="1030">
        <v>43187.43724836874</v>
      </c>
      <c r="L444" s="1030">
        <v>43187.43724836874</v>
      </c>
      <c r="M444" s="979">
        <v>599</v>
      </c>
    </row>
    <row r="445" spans="1:13" ht="15">
      <c r="A445" s="979" t="s">
        <v>3447</v>
      </c>
      <c r="B445" s="722" t="str">
        <f>CONCATENATE(LEFT(RIGHT(CONCATENATE("000",IFAData_TEA!A445),6),3),"-",(RIGHT(RIGHT(CONCATENATE("000",IFAData_TEA!A445),6),3)))</f>
        <v>043-902</v>
      </c>
      <c r="C445" s="979" t="s">
        <v>1056</v>
      </c>
      <c r="D445" s="979">
        <v>9</v>
      </c>
      <c r="E445" s="979">
        <v>1578</v>
      </c>
      <c r="F445" s="979" t="s">
        <v>4398</v>
      </c>
      <c r="G445" s="979" t="s">
        <v>4398</v>
      </c>
      <c r="H445" s="1030">
        <v>634691</v>
      </c>
      <c r="I445" s="1030">
        <v>899525</v>
      </c>
      <c r="J445" s="1034">
        <v>0.93195517622217938</v>
      </c>
      <c r="K445" s="1030">
        <v>591503.56275163125</v>
      </c>
      <c r="L445" s="1030">
        <v>591503.56275163125</v>
      </c>
      <c r="M445" s="979">
        <v>599</v>
      </c>
    </row>
    <row r="446" spans="1:13" ht="15">
      <c r="A446" s="979" t="s">
        <v>3447</v>
      </c>
      <c r="B446" s="722" t="str">
        <f>CONCATENATE(LEFT(RIGHT(CONCATENATE("000",IFAData_TEA!A446),6),3),"-",(RIGHT(RIGHT(CONCATENATE("000",IFAData_TEA!A446),6),3)))</f>
        <v>043-902</v>
      </c>
      <c r="C446" s="979" t="s">
        <v>1056</v>
      </c>
      <c r="D446" s="979">
        <v>10</v>
      </c>
      <c r="E446" s="979">
        <v>1576</v>
      </c>
      <c r="F446" s="979" t="s">
        <v>4400</v>
      </c>
      <c r="G446" s="979" t="s">
        <v>4400</v>
      </c>
      <c r="H446" s="1030">
        <v>261525</v>
      </c>
      <c r="I446" s="1030">
        <v>261525</v>
      </c>
      <c r="J446" s="1034">
        <v>1</v>
      </c>
      <c r="K446" s="1030">
        <v>261525</v>
      </c>
      <c r="L446" s="1030">
        <v>261525</v>
      </c>
      <c r="M446" s="979">
        <v>599</v>
      </c>
    </row>
    <row r="447" spans="1:13" ht="15">
      <c r="A447" s="979" t="s">
        <v>3448</v>
      </c>
      <c r="B447" s="722" t="str">
        <f>CONCATENATE(LEFT(RIGHT(CONCATENATE("000",IFAData_TEA!A447),6),3),"-",(RIGHT(RIGHT(CONCATENATE("000",IFAData_TEA!A447),6),3)))</f>
        <v>043-903</v>
      </c>
      <c r="C447" s="979" t="s">
        <v>658</v>
      </c>
      <c r="D447" s="979">
        <v>6</v>
      </c>
      <c r="E447" s="979">
        <v>1671</v>
      </c>
      <c r="F447" s="979" t="s">
        <v>4402</v>
      </c>
      <c r="G447" s="979" t="s">
        <v>6215</v>
      </c>
      <c r="H447" s="1030">
        <v>129550</v>
      </c>
      <c r="I447" s="1030">
        <v>54705</v>
      </c>
      <c r="J447" s="1034">
        <v>0.75099872328157824</v>
      </c>
      <c r="K447" s="1030">
        <v>97291.884601128462</v>
      </c>
      <c r="L447" s="1030">
        <v>54705</v>
      </c>
      <c r="M447" s="979">
        <v>599</v>
      </c>
    </row>
    <row r="448" spans="1:13" ht="15">
      <c r="A448" s="979" t="s">
        <v>3448</v>
      </c>
      <c r="B448" s="722" t="str">
        <f>CONCATENATE(LEFT(RIGHT(CONCATENATE("000",IFAData_TEA!A448),6),3),"-",(RIGHT(RIGHT(CONCATENATE("000",IFAData_TEA!A448),6),3)))</f>
        <v>043-903</v>
      </c>
      <c r="C448" s="979" t="s">
        <v>658</v>
      </c>
      <c r="D448" s="979">
        <v>6</v>
      </c>
      <c r="E448" s="979">
        <v>1671</v>
      </c>
      <c r="F448" s="979" t="s">
        <v>4402</v>
      </c>
      <c r="G448" s="979" t="s">
        <v>4403</v>
      </c>
      <c r="H448" s="1030">
        <v>129550</v>
      </c>
      <c r="I448" s="1030">
        <v>18138</v>
      </c>
      <c r="J448" s="1034">
        <v>0.24900127671842182</v>
      </c>
      <c r="K448" s="1030">
        <v>32258.115398871545</v>
      </c>
      <c r="L448" s="1030">
        <v>18138</v>
      </c>
      <c r="M448" s="979">
        <v>599</v>
      </c>
    </row>
    <row r="449" spans="1:13" ht="15">
      <c r="A449" s="979" t="s">
        <v>3448</v>
      </c>
      <c r="B449" s="722" t="str">
        <f>CONCATENATE(LEFT(RIGHT(CONCATENATE("000",IFAData_TEA!A449),6),3),"-",(RIGHT(RIGHT(CONCATENATE("000",IFAData_TEA!A449),6),3)))</f>
        <v>043-903</v>
      </c>
      <c r="C449" s="979" t="s">
        <v>658</v>
      </c>
      <c r="D449" s="979">
        <v>6</v>
      </c>
      <c r="E449" s="979">
        <v>1672</v>
      </c>
      <c r="F449" s="979" t="s">
        <v>4404</v>
      </c>
      <c r="G449" s="979" t="s">
        <v>6215</v>
      </c>
      <c r="H449" s="1030">
        <v>143455</v>
      </c>
      <c r="I449" s="1030">
        <v>20460</v>
      </c>
      <c r="J449" s="1034">
        <v>4.5308991376675836E-2</v>
      </c>
      <c r="K449" s="1030">
        <v>6499.8013579410317</v>
      </c>
      <c r="L449" s="1030">
        <v>6499.8013579410317</v>
      </c>
      <c r="M449" s="979">
        <v>599</v>
      </c>
    </row>
    <row r="450" spans="1:13" ht="15">
      <c r="A450" s="979" t="s">
        <v>3448</v>
      </c>
      <c r="B450" s="722" t="str">
        <f>CONCATENATE(LEFT(RIGHT(CONCATENATE("000",IFAData_TEA!A450),6),3),"-",(RIGHT(RIGHT(CONCATENATE("000",IFAData_TEA!A450),6),3)))</f>
        <v>043-903</v>
      </c>
      <c r="C450" s="979" t="s">
        <v>658</v>
      </c>
      <c r="D450" s="979">
        <v>6</v>
      </c>
      <c r="E450" s="979">
        <v>1672</v>
      </c>
      <c r="F450" s="979" t="s">
        <v>4404</v>
      </c>
      <c r="G450" s="979" t="s">
        <v>4404</v>
      </c>
      <c r="H450" s="1030">
        <v>143455</v>
      </c>
      <c r="I450" s="1030">
        <v>193325</v>
      </c>
      <c r="J450" s="1034">
        <v>0.42812124916402033</v>
      </c>
      <c r="K450" s="1030">
        <v>61416.133798824536</v>
      </c>
      <c r="L450" s="1030">
        <v>61416.133798824536</v>
      </c>
      <c r="M450" s="979">
        <v>599</v>
      </c>
    </row>
    <row r="451" spans="1:13" ht="15">
      <c r="A451" s="979" t="s">
        <v>3448</v>
      </c>
      <c r="B451" s="722" t="str">
        <f>CONCATENATE(LEFT(RIGHT(CONCATENATE("000",IFAData_TEA!A451),6),3),"-",(RIGHT(RIGHT(CONCATENATE("000",IFAData_TEA!A451),6),3)))</f>
        <v>043-903</v>
      </c>
      <c r="C451" s="979" t="s">
        <v>658</v>
      </c>
      <c r="D451" s="979">
        <v>6</v>
      </c>
      <c r="E451" s="979">
        <v>1671</v>
      </c>
      <c r="F451" s="979" t="s">
        <v>4402</v>
      </c>
      <c r="G451" s="979" t="s">
        <v>4402</v>
      </c>
      <c r="H451" s="1030">
        <v>129550</v>
      </c>
      <c r="I451" s="1030">
        <v>0</v>
      </c>
      <c r="J451" s="1034">
        <v>0</v>
      </c>
      <c r="K451" s="1030">
        <v>0</v>
      </c>
      <c r="L451" s="1030">
        <v>0</v>
      </c>
      <c r="M451" s="979">
        <v>599</v>
      </c>
    </row>
    <row r="452" spans="1:13" ht="15">
      <c r="A452" s="979" t="s">
        <v>3448</v>
      </c>
      <c r="B452" s="722" t="str">
        <f>CONCATENATE(LEFT(RIGHT(CONCATENATE("000",IFAData_TEA!A452),6),3),"-",(RIGHT(RIGHT(CONCATENATE("000",IFAData_TEA!A452),6),3)))</f>
        <v>043-903</v>
      </c>
      <c r="C452" s="979" t="s">
        <v>658</v>
      </c>
      <c r="D452" s="979">
        <v>6</v>
      </c>
      <c r="E452" s="979">
        <v>1672</v>
      </c>
      <c r="F452" s="979" t="s">
        <v>4404</v>
      </c>
      <c r="G452" s="979" t="s">
        <v>4403</v>
      </c>
      <c r="H452" s="1030">
        <v>143455</v>
      </c>
      <c r="I452" s="1030">
        <v>237781</v>
      </c>
      <c r="J452" s="1034">
        <v>0.52656975945930384</v>
      </c>
      <c r="K452" s="1030">
        <v>75539.064843234431</v>
      </c>
      <c r="L452" s="1030">
        <v>75539.064843234431</v>
      </c>
      <c r="M452" s="979">
        <v>599</v>
      </c>
    </row>
    <row r="453" spans="1:13" ht="15">
      <c r="A453" s="979" t="s">
        <v>3449</v>
      </c>
      <c r="B453" s="722" t="str">
        <f>CONCATENATE(LEFT(RIGHT(CONCATENATE("000",IFAData_TEA!A453),6),3),"-",(RIGHT(RIGHT(CONCATENATE("000",IFAData_TEA!A453),6),3)))</f>
        <v>043-904</v>
      </c>
      <c r="C453" s="979" t="s">
        <v>108</v>
      </c>
      <c r="D453" s="979">
        <v>3</v>
      </c>
      <c r="E453" s="979">
        <v>1811</v>
      </c>
      <c r="F453" s="979" t="s">
        <v>4405</v>
      </c>
      <c r="G453" s="979" t="s">
        <v>4405</v>
      </c>
      <c r="H453" s="1030">
        <v>172081</v>
      </c>
      <c r="I453" s="1030">
        <v>0</v>
      </c>
      <c r="J453" s="1034">
        <v>0</v>
      </c>
      <c r="K453" s="1030">
        <v>0</v>
      </c>
      <c r="L453" s="1030">
        <v>0</v>
      </c>
      <c r="M453" s="979">
        <v>599</v>
      </c>
    </row>
    <row r="454" spans="1:13" ht="15">
      <c r="A454" s="979" t="s">
        <v>3449</v>
      </c>
      <c r="B454" s="722" t="str">
        <f>CONCATENATE(LEFT(RIGHT(CONCATENATE("000",IFAData_TEA!A454),6),3),"-",(RIGHT(RIGHT(CONCATENATE("000",IFAData_TEA!A454),6),3)))</f>
        <v>043-904</v>
      </c>
      <c r="C454" s="979" t="s">
        <v>108</v>
      </c>
      <c r="D454" s="979">
        <v>3</v>
      </c>
      <c r="E454" s="979">
        <v>1811</v>
      </c>
      <c r="F454" s="979" t="s">
        <v>4405</v>
      </c>
      <c r="G454" s="979" t="s">
        <v>4406</v>
      </c>
      <c r="H454" s="1030">
        <v>172081</v>
      </c>
      <c r="I454" s="1030">
        <v>632500</v>
      </c>
      <c r="J454" s="1034">
        <v>1</v>
      </c>
      <c r="K454" s="1030">
        <v>172081</v>
      </c>
      <c r="L454" s="1030">
        <v>172081</v>
      </c>
      <c r="M454" s="979">
        <v>599</v>
      </c>
    </row>
    <row r="455" spans="1:13" ht="15">
      <c r="A455" s="979" t="s">
        <v>3450</v>
      </c>
      <c r="B455" s="722" t="str">
        <f>CONCATENATE(LEFT(RIGHT(CONCATENATE("000",IFAData_TEA!A455),6),3),"-",(RIGHT(RIGHT(CONCATENATE("000",IFAData_TEA!A455),6),3)))</f>
        <v>043-905</v>
      </c>
      <c r="C455" s="979" t="s">
        <v>1477</v>
      </c>
      <c r="D455" s="979">
        <v>2</v>
      </c>
      <c r="E455" s="979">
        <v>1830</v>
      </c>
      <c r="F455" s="979" t="s">
        <v>4415</v>
      </c>
      <c r="G455" s="979" t="s">
        <v>4413</v>
      </c>
      <c r="H455" s="1030">
        <v>364536</v>
      </c>
      <c r="I455" s="1030">
        <v>569</v>
      </c>
      <c r="J455" s="1034">
        <v>4.6324678190032135E-4</v>
      </c>
      <c r="K455" s="1030">
        <v>168.87012888681554</v>
      </c>
      <c r="L455" s="1030">
        <v>168.87012888681554</v>
      </c>
      <c r="M455" s="979">
        <v>599</v>
      </c>
    </row>
    <row r="456" spans="1:13" ht="15">
      <c r="A456" s="979" t="s">
        <v>3450</v>
      </c>
      <c r="B456" s="722" t="str">
        <f>CONCATENATE(LEFT(RIGHT(CONCATENATE("000",IFAData_TEA!A456),6),3),"-",(RIGHT(RIGHT(CONCATENATE("000",IFAData_TEA!A456),6),3)))</f>
        <v>043-905</v>
      </c>
      <c r="C456" s="979" t="s">
        <v>1477</v>
      </c>
      <c r="D456" s="979">
        <v>2</v>
      </c>
      <c r="E456" s="979">
        <v>1830</v>
      </c>
      <c r="F456" s="979" t="s">
        <v>4415</v>
      </c>
      <c r="G456" s="979" t="s">
        <v>4416</v>
      </c>
      <c r="H456" s="1030">
        <v>364536</v>
      </c>
      <c r="I456" s="1030">
        <v>1193694</v>
      </c>
      <c r="J456" s="1034">
        <v>0.97183638677279827</v>
      </c>
      <c r="K456" s="1030">
        <v>354269.34908860881</v>
      </c>
      <c r="L456" s="1030">
        <v>354269.34908860881</v>
      </c>
      <c r="M456" s="979">
        <v>599</v>
      </c>
    </row>
    <row r="457" spans="1:13" ht="15">
      <c r="A457" s="979" t="s">
        <v>3450</v>
      </c>
      <c r="B457" s="722" t="str">
        <f>CONCATENATE(LEFT(RIGHT(CONCATENATE("000",IFAData_TEA!A457),6),3),"-",(RIGHT(RIGHT(CONCATENATE("000",IFAData_TEA!A457),6),3)))</f>
        <v>043-905</v>
      </c>
      <c r="C457" s="979" t="s">
        <v>1477</v>
      </c>
      <c r="D457" s="979">
        <v>1</v>
      </c>
      <c r="E457" s="979">
        <v>1831</v>
      </c>
      <c r="F457" s="979" t="s">
        <v>4407</v>
      </c>
      <c r="G457" s="979" t="s">
        <v>4413</v>
      </c>
      <c r="H457" s="1030">
        <v>569214</v>
      </c>
      <c r="I457" s="1030">
        <v>239</v>
      </c>
      <c r="J457" s="1034">
        <v>3.9351733699079434E-4</v>
      </c>
      <c r="K457" s="1030">
        <v>223.995577457878</v>
      </c>
      <c r="L457" s="1030">
        <v>223.995577457878</v>
      </c>
      <c r="M457" s="979">
        <v>599</v>
      </c>
    </row>
    <row r="458" spans="1:13" ht="15">
      <c r="A458" s="979" t="s">
        <v>3450</v>
      </c>
      <c r="B458" s="722" t="str">
        <f>CONCATENATE(LEFT(RIGHT(CONCATENATE("000",IFAData_TEA!A458),6),3),"-",(RIGHT(RIGHT(CONCATENATE("000",IFAData_TEA!A458),6),3)))</f>
        <v>043-905</v>
      </c>
      <c r="C458" s="979" t="s">
        <v>1477</v>
      </c>
      <c r="D458" s="979">
        <v>2</v>
      </c>
      <c r="E458" s="979">
        <v>1830</v>
      </c>
      <c r="F458" s="979" t="s">
        <v>4415</v>
      </c>
      <c r="G458" s="979" t="s">
        <v>4412</v>
      </c>
      <c r="H458" s="1030">
        <v>364536</v>
      </c>
      <c r="I458" s="1030">
        <v>12417</v>
      </c>
      <c r="J458" s="1034">
        <v>1.0109200862664832E-2</v>
      </c>
      <c r="K458" s="1030">
        <v>3685.1676456723872</v>
      </c>
      <c r="L458" s="1030">
        <v>3685.1676456723872</v>
      </c>
      <c r="M458" s="979">
        <v>599</v>
      </c>
    </row>
    <row r="459" spans="1:13" ht="15">
      <c r="A459" s="979" t="s">
        <v>3450</v>
      </c>
      <c r="B459" s="722" t="str">
        <f>CONCATENATE(LEFT(RIGHT(CONCATENATE("000",IFAData_TEA!A459),6),3),"-",(RIGHT(RIGHT(CONCATENATE("000",IFAData_TEA!A459),6),3)))</f>
        <v>043-905</v>
      </c>
      <c r="C459" s="979" t="s">
        <v>1477</v>
      </c>
      <c r="D459" s="979">
        <v>2</v>
      </c>
      <c r="E459" s="979">
        <v>1830</v>
      </c>
      <c r="F459" s="979" t="s">
        <v>4415</v>
      </c>
      <c r="G459" s="979" t="s">
        <v>4411</v>
      </c>
      <c r="H459" s="1030">
        <v>364536</v>
      </c>
      <c r="I459" s="1030">
        <v>21607</v>
      </c>
      <c r="J459" s="1034">
        <v>1.7591165582636632E-2</v>
      </c>
      <c r="K459" s="1030">
        <v>6412.6131368320275</v>
      </c>
      <c r="L459" s="1030">
        <v>6412.6131368320275</v>
      </c>
      <c r="M459" s="979">
        <v>599</v>
      </c>
    </row>
    <row r="460" spans="1:13" ht="15">
      <c r="A460" s="979" t="s">
        <v>3450</v>
      </c>
      <c r="B460" s="722" t="str">
        <f>CONCATENATE(LEFT(RIGHT(CONCATENATE("000",IFAData_TEA!A460),6),3),"-",(RIGHT(RIGHT(CONCATENATE("000",IFAData_TEA!A460),6),3)))</f>
        <v>043-905</v>
      </c>
      <c r="C460" s="979" t="s">
        <v>1477</v>
      </c>
      <c r="D460" s="979">
        <v>1</v>
      </c>
      <c r="E460" s="979">
        <v>1831</v>
      </c>
      <c r="F460" s="979" t="s">
        <v>4407</v>
      </c>
      <c r="G460" s="979" t="s">
        <v>4410</v>
      </c>
      <c r="H460" s="1030">
        <v>569214</v>
      </c>
      <c r="I460" s="1030">
        <v>484843</v>
      </c>
      <c r="J460" s="1034">
        <v>0.79830178334153845</v>
      </c>
      <c r="K460" s="1030">
        <v>454404.55130297045</v>
      </c>
      <c r="L460" s="1030">
        <v>454404.55130297045</v>
      </c>
      <c r="M460" s="979">
        <v>599</v>
      </c>
    </row>
    <row r="461" spans="1:13" ht="15">
      <c r="A461" s="979" t="s">
        <v>3450</v>
      </c>
      <c r="B461" s="722" t="str">
        <f>CONCATENATE(LEFT(RIGHT(CONCATENATE("000",IFAData_TEA!A461),6),3),"-",(RIGHT(RIGHT(CONCATENATE("000",IFAData_TEA!A461),6),3)))</f>
        <v>043-905</v>
      </c>
      <c r="C461" s="979" t="s">
        <v>1477</v>
      </c>
      <c r="D461" s="979">
        <v>1</v>
      </c>
      <c r="E461" s="979">
        <v>1831</v>
      </c>
      <c r="F461" s="979" t="s">
        <v>4407</v>
      </c>
      <c r="G461" s="979" t="s">
        <v>4411</v>
      </c>
      <c r="H461" s="1030">
        <v>569214</v>
      </c>
      <c r="I461" s="1030">
        <v>9092</v>
      </c>
      <c r="J461" s="1034">
        <v>1.4970123966193733E-2</v>
      </c>
      <c r="K461" s="1030">
        <v>8521.204143293</v>
      </c>
      <c r="L461" s="1030">
        <v>8521.204143293</v>
      </c>
      <c r="M461" s="979">
        <v>599</v>
      </c>
    </row>
    <row r="462" spans="1:13" ht="15">
      <c r="A462" s="979" t="s">
        <v>3450</v>
      </c>
      <c r="B462" s="722" t="str">
        <f>CONCATENATE(LEFT(RIGHT(CONCATENATE("000",IFAData_TEA!A462),6),3),"-",(RIGHT(RIGHT(CONCATENATE("000",IFAData_TEA!A462),6),3)))</f>
        <v>043-905</v>
      </c>
      <c r="C462" s="979" t="s">
        <v>1477</v>
      </c>
      <c r="D462" s="979">
        <v>1</v>
      </c>
      <c r="E462" s="979">
        <v>1831</v>
      </c>
      <c r="F462" s="979" t="s">
        <v>4407</v>
      </c>
      <c r="G462" s="979" t="s">
        <v>4407</v>
      </c>
      <c r="H462" s="1030">
        <v>569214</v>
      </c>
      <c r="I462" s="1030">
        <v>0</v>
      </c>
      <c r="J462" s="1034">
        <v>0</v>
      </c>
      <c r="K462" s="1030">
        <v>0</v>
      </c>
      <c r="L462" s="1030">
        <v>0</v>
      </c>
      <c r="M462" s="979">
        <v>599</v>
      </c>
    </row>
    <row r="463" spans="1:13" ht="15">
      <c r="A463" s="979" t="s">
        <v>3450</v>
      </c>
      <c r="B463" s="722" t="str">
        <f>CONCATENATE(LEFT(RIGHT(CONCATENATE("000",IFAData_TEA!A463),6),3),"-",(RIGHT(RIGHT(CONCATENATE("000",IFAData_TEA!A463),6),3)))</f>
        <v>043-905</v>
      </c>
      <c r="C463" s="979" t="s">
        <v>1477</v>
      </c>
      <c r="D463" s="979">
        <v>1</v>
      </c>
      <c r="E463" s="979">
        <v>1831</v>
      </c>
      <c r="F463" s="979" t="s">
        <v>4407</v>
      </c>
      <c r="G463" s="979" t="s">
        <v>4408</v>
      </c>
      <c r="H463" s="1030">
        <v>569214</v>
      </c>
      <c r="I463" s="1030">
        <v>0</v>
      </c>
      <c r="J463" s="1034">
        <v>0</v>
      </c>
      <c r="K463" s="1030">
        <v>0</v>
      </c>
      <c r="L463" s="1030">
        <v>0</v>
      </c>
      <c r="M463" s="979">
        <v>599</v>
      </c>
    </row>
    <row r="464" spans="1:13" ht="15">
      <c r="A464" s="979" t="s">
        <v>3450</v>
      </c>
      <c r="B464" s="722" t="str">
        <f>CONCATENATE(LEFT(RIGHT(CONCATENATE("000",IFAData_TEA!A464),6),3),"-",(RIGHT(RIGHT(CONCATENATE("000",IFAData_TEA!A464),6),3)))</f>
        <v>043-905</v>
      </c>
      <c r="C464" s="979" t="s">
        <v>1477</v>
      </c>
      <c r="D464" s="979">
        <v>1</v>
      </c>
      <c r="E464" s="979">
        <v>1831</v>
      </c>
      <c r="F464" s="979" t="s">
        <v>4407</v>
      </c>
      <c r="G464" s="979" t="s">
        <v>4409</v>
      </c>
      <c r="H464" s="1030">
        <v>569214</v>
      </c>
      <c r="I464" s="1030">
        <v>0</v>
      </c>
      <c r="J464" s="1034">
        <v>0</v>
      </c>
      <c r="K464" s="1030">
        <v>0</v>
      </c>
      <c r="L464" s="1030">
        <v>0</v>
      </c>
      <c r="M464" s="979">
        <v>599</v>
      </c>
    </row>
    <row r="465" spans="1:13" ht="15">
      <c r="A465" s="979" t="s">
        <v>3450</v>
      </c>
      <c r="B465" s="722" t="str">
        <f>CONCATENATE(LEFT(RIGHT(CONCATENATE("000",IFAData_TEA!A465),6),3),"-",(RIGHT(RIGHT(CONCATENATE("000",IFAData_TEA!A465),6),3)))</f>
        <v>043-905</v>
      </c>
      <c r="C465" s="979" t="s">
        <v>1477</v>
      </c>
      <c r="D465" s="979">
        <v>2</v>
      </c>
      <c r="E465" s="979">
        <v>1830</v>
      </c>
      <c r="F465" s="979" t="s">
        <v>4415</v>
      </c>
      <c r="G465" s="979" t="s">
        <v>4409</v>
      </c>
      <c r="H465" s="1030">
        <v>364536</v>
      </c>
      <c r="I465" s="1030">
        <v>0</v>
      </c>
      <c r="J465" s="1034">
        <v>0</v>
      </c>
      <c r="K465" s="1030">
        <v>0</v>
      </c>
      <c r="L465" s="1030">
        <v>0</v>
      </c>
      <c r="M465" s="979">
        <v>599</v>
      </c>
    </row>
    <row r="466" spans="1:13" ht="15">
      <c r="A466" s="979" t="s">
        <v>3450</v>
      </c>
      <c r="B466" s="722" t="str">
        <f>CONCATENATE(LEFT(RIGHT(CONCATENATE("000",IFAData_TEA!A466),6),3),"-",(RIGHT(RIGHT(CONCATENATE("000",IFAData_TEA!A466),6),3)))</f>
        <v>043-905</v>
      </c>
      <c r="C466" s="979" t="s">
        <v>1477</v>
      </c>
      <c r="D466" s="979">
        <v>2</v>
      </c>
      <c r="E466" s="979">
        <v>1830</v>
      </c>
      <c r="F466" s="979" t="s">
        <v>4415</v>
      </c>
      <c r="G466" s="979" t="s">
        <v>4415</v>
      </c>
      <c r="H466" s="1030">
        <v>364536</v>
      </c>
      <c r="I466" s="1030">
        <v>0</v>
      </c>
      <c r="J466" s="1034">
        <v>0</v>
      </c>
      <c r="K466" s="1030">
        <v>0</v>
      </c>
      <c r="L466" s="1030">
        <v>0</v>
      </c>
      <c r="M466" s="979">
        <v>599</v>
      </c>
    </row>
    <row r="467" spans="1:13" ht="15">
      <c r="A467" s="979" t="s">
        <v>3450</v>
      </c>
      <c r="B467" s="722" t="str">
        <f>CONCATENATE(LEFT(RIGHT(CONCATENATE("000",IFAData_TEA!A467),6),3),"-",(RIGHT(RIGHT(CONCATENATE("000",IFAData_TEA!A467),6),3)))</f>
        <v>043-905</v>
      </c>
      <c r="C467" s="979" t="s">
        <v>1477</v>
      </c>
      <c r="D467" s="979">
        <v>2</v>
      </c>
      <c r="E467" s="979">
        <v>1830</v>
      </c>
      <c r="F467" s="979" t="s">
        <v>4415</v>
      </c>
      <c r="G467" s="979" t="s">
        <v>4408</v>
      </c>
      <c r="H467" s="1030">
        <v>364536</v>
      </c>
      <c r="I467" s="1030">
        <v>0</v>
      </c>
      <c r="J467" s="1034">
        <v>0</v>
      </c>
      <c r="K467" s="1030">
        <v>0</v>
      </c>
      <c r="L467" s="1030">
        <v>0</v>
      </c>
      <c r="M467" s="979">
        <v>599</v>
      </c>
    </row>
    <row r="468" spans="1:13" ht="15">
      <c r="A468" s="979" t="s">
        <v>3450</v>
      </c>
      <c r="B468" s="722" t="str">
        <f>CONCATENATE(LEFT(RIGHT(CONCATENATE("000",IFAData_TEA!A468),6),3),"-",(RIGHT(RIGHT(CONCATENATE("000",IFAData_TEA!A468),6),3)))</f>
        <v>043-905</v>
      </c>
      <c r="C468" s="979" t="s">
        <v>1477</v>
      </c>
      <c r="D468" s="979">
        <v>1</v>
      </c>
      <c r="E468" s="979">
        <v>1831</v>
      </c>
      <c r="F468" s="979" t="s">
        <v>4407</v>
      </c>
      <c r="G468" s="979" t="s">
        <v>4414</v>
      </c>
      <c r="H468" s="1030">
        <v>569214</v>
      </c>
      <c r="I468" s="1030">
        <v>107939</v>
      </c>
      <c r="J468" s="1034">
        <v>0.17772329639100146</v>
      </c>
      <c r="K468" s="1030">
        <v>101162.5884319075</v>
      </c>
      <c r="L468" s="1030">
        <v>101162.5884319075</v>
      </c>
      <c r="M468" s="979">
        <v>599</v>
      </c>
    </row>
    <row r="469" spans="1:13" ht="15">
      <c r="A469" s="979" t="s">
        <v>3450</v>
      </c>
      <c r="B469" s="722" t="str">
        <f>CONCATENATE(LEFT(RIGHT(CONCATENATE("000",IFAData_TEA!A469),6),3),"-",(RIGHT(RIGHT(CONCATENATE("000",IFAData_TEA!A469),6),3)))</f>
        <v>043-905</v>
      </c>
      <c r="C469" s="979" t="s">
        <v>1477</v>
      </c>
      <c r="D469" s="979">
        <v>1</v>
      </c>
      <c r="E469" s="979">
        <v>1831</v>
      </c>
      <c r="F469" s="979" t="s">
        <v>4407</v>
      </c>
      <c r="G469" s="979" t="s">
        <v>6216</v>
      </c>
      <c r="H469" s="1030">
        <v>569214</v>
      </c>
      <c r="I469" s="1030">
        <v>0</v>
      </c>
      <c r="J469" s="1034">
        <v>0</v>
      </c>
      <c r="K469" s="1030">
        <v>0</v>
      </c>
      <c r="L469" s="1030">
        <v>0</v>
      </c>
      <c r="M469" s="979">
        <v>599</v>
      </c>
    </row>
    <row r="470" spans="1:13" ht="15">
      <c r="A470" s="979" t="s">
        <v>3450</v>
      </c>
      <c r="B470" s="722" t="str">
        <f>CONCATENATE(LEFT(RIGHT(CONCATENATE("000",IFAData_TEA!A470),6),3),"-",(RIGHT(RIGHT(CONCATENATE("000",IFAData_TEA!A470),6),3)))</f>
        <v>043-905</v>
      </c>
      <c r="C470" s="979" t="s">
        <v>1477</v>
      </c>
      <c r="D470" s="979">
        <v>1</v>
      </c>
      <c r="E470" s="979">
        <v>1831</v>
      </c>
      <c r="F470" s="979" t="s">
        <v>4407</v>
      </c>
      <c r="G470" s="979" t="s">
        <v>4412</v>
      </c>
      <c r="H470" s="1030">
        <v>569214</v>
      </c>
      <c r="I470" s="1030">
        <v>5230</v>
      </c>
      <c r="J470" s="1034">
        <v>8.6112789642755413E-3</v>
      </c>
      <c r="K470" s="1030">
        <v>4901.6605443711378</v>
      </c>
      <c r="L470" s="1030">
        <v>4901.6605443711378</v>
      </c>
      <c r="M470" s="979">
        <v>599</v>
      </c>
    </row>
    <row r="471" spans="1:13" ht="15">
      <c r="A471" s="979" t="s">
        <v>3451</v>
      </c>
      <c r="B471" s="722" t="str">
        <f>CONCATENATE(LEFT(RIGHT(CONCATENATE("000",IFAData_TEA!A471),6),3),"-",(RIGHT(RIGHT(CONCATENATE("000",IFAData_TEA!A471),6),3)))</f>
        <v>043-907</v>
      </c>
      <c r="C471" s="979" t="s">
        <v>820</v>
      </c>
      <c r="D471" s="979">
        <v>1</v>
      </c>
      <c r="E471" s="979">
        <v>2082</v>
      </c>
      <c r="F471" s="979" t="s">
        <v>4417</v>
      </c>
      <c r="G471" s="979" t="s">
        <v>6217</v>
      </c>
      <c r="H471" s="1030">
        <v>1347187</v>
      </c>
      <c r="I471" s="1030">
        <v>410018</v>
      </c>
      <c r="J471" s="1034">
        <v>0.23938910582168746</v>
      </c>
      <c r="K471" s="1030">
        <v>322501.89130460168</v>
      </c>
      <c r="L471" s="1030">
        <v>322501.89130460168</v>
      </c>
      <c r="M471" s="979">
        <v>599</v>
      </c>
    </row>
    <row r="472" spans="1:13" ht="15">
      <c r="A472" s="979" t="s">
        <v>3451</v>
      </c>
      <c r="B472" s="722" t="str">
        <f>CONCATENATE(LEFT(RIGHT(CONCATENATE("000",IFAData_TEA!A472),6),3),"-",(RIGHT(RIGHT(CONCATENATE("000",IFAData_TEA!A472),6),3)))</f>
        <v>043-907</v>
      </c>
      <c r="C472" s="979" t="s">
        <v>820</v>
      </c>
      <c r="D472" s="979">
        <v>1</v>
      </c>
      <c r="E472" s="979">
        <v>2082</v>
      </c>
      <c r="F472" s="979" t="s">
        <v>4417</v>
      </c>
      <c r="G472" s="979" t="s">
        <v>4418</v>
      </c>
      <c r="H472" s="1030">
        <v>1347187</v>
      </c>
      <c r="I472" s="1030">
        <v>1302750</v>
      </c>
      <c r="J472" s="1034">
        <v>0.76061089417831251</v>
      </c>
      <c r="K472" s="1030">
        <v>1024685.1086953983</v>
      </c>
      <c r="L472" s="1030">
        <v>1024685.1086953983</v>
      </c>
      <c r="M472" s="979">
        <v>599</v>
      </c>
    </row>
    <row r="473" spans="1:13" ht="15">
      <c r="A473" s="979" t="s">
        <v>3451</v>
      </c>
      <c r="B473" s="722" t="str">
        <f>CONCATENATE(LEFT(RIGHT(CONCATENATE("000",IFAData_TEA!A473),6),3),"-",(RIGHT(RIGHT(CONCATENATE("000",IFAData_TEA!A473),6),3)))</f>
        <v>043-907</v>
      </c>
      <c r="C473" s="979" t="s">
        <v>820</v>
      </c>
      <c r="D473" s="979">
        <v>1</v>
      </c>
      <c r="E473" s="979">
        <v>2082</v>
      </c>
      <c r="F473" s="979" t="s">
        <v>4417</v>
      </c>
      <c r="G473" s="979" t="s">
        <v>4417</v>
      </c>
      <c r="H473" s="1030">
        <v>1347187</v>
      </c>
      <c r="I473" s="1030">
        <v>0</v>
      </c>
      <c r="J473" s="1034">
        <v>0</v>
      </c>
      <c r="K473" s="1030">
        <v>0</v>
      </c>
      <c r="L473" s="1030">
        <v>0</v>
      </c>
      <c r="M473" s="979">
        <v>599</v>
      </c>
    </row>
    <row r="474" spans="1:13" ht="15">
      <c r="A474" s="979" t="s">
        <v>3452</v>
      </c>
      <c r="B474" s="722" t="str">
        <f>CONCATENATE(LEFT(RIGHT(CONCATENATE("000",IFAData_TEA!A474),6),3),"-",(RIGHT(RIGHT(CONCATENATE("000",IFAData_TEA!A474),6),3)))</f>
        <v>043-908</v>
      </c>
      <c r="C474" s="979" t="s">
        <v>2199</v>
      </c>
      <c r="D474" s="979">
        <v>10</v>
      </c>
      <c r="E474" s="979">
        <v>2088</v>
      </c>
      <c r="F474" s="979" t="s">
        <v>4420</v>
      </c>
      <c r="G474" s="979" t="s">
        <v>4420</v>
      </c>
      <c r="H474" s="1030">
        <v>121098</v>
      </c>
      <c r="I474" s="1030">
        <v>226098</v>
      </c>
      <c r="J474" s="1034">
        <v>1</v>
      </c>
      <c r="K474" s="1030">
        <v>121098</v>
      </c>
      <c r="L474" s="1030">
        <v>121098</v>
      </c>
      <c r="M474" s="979">
        <v>599</v>
      </c>
    </row>
    <row r="475" spans="1:13" ht="15">
      <c r="A475" s="979" t="s">
        <v>3452</v>
      </c>
      <c r="B475" s="722" t="str">
        <f>CONCATENATE(LEFT(RIGHT(CONCATENATE("000",IFAData_TEA!A475),6),3),"-",(RIGHT(RIGHT(CONCATENATE("000",IFAData_TEA!A475),6),3)))</f>
        <v>043-908</v>
      </c>
      <c r="C475" s="979" t="s">
        <v>2199</v>
      </c>
      <c r="D475" s="979">
        <v>9</v>
      </c>
      <c r="E475" s="979">
        <v>2089</v>
      </c>
      <c r="F475" s="979" t="s">
        <v>4419</v>
      </c>
      <c r="G475" s="979" t="s">
        <v>4419</v>
      </c>
      <c r="H475" s="1030">
        <v>334507</v>
      </c>
      <c r="I475" s="1030">
        <v>610422</v>
      </c>
      <c r="J475" s="1034">
        <v>1</v>
      </c>
      <c r="K475" s="1030">
        <v>334507</v>
      </c>
      <c r="L475" s="1030">
        <v>334507</v>
      </c>
      <c r="M475" s="979">
        <v>599</v>
      </c>
    </row>
    <row r="476" spans="1:13" ht="15">
      <c r="A476" s="979" t="s">
        <v>3453</v>
      </c>
      <c r="B476" s="722" t="str">
        <f>CONCATENATE(LEFT(RIGHT(CONCATENATE("000",IFAData_TEA!A476),6),3),"-",(RIGHT(RIGHT(CONCATENATE("000",IFAData_TEA!A476),6),3)))</f>
        <v>043-911</v>
      </c>
      <c r="C476" s="979" t="s">
        <v>74</v>
      </c>
      <c r="D476" s="979">
        <v>6</v>
      </c>
      <c r="E476" s="979">
        <v>2215</v>
      </c>
      <c r="F476" s="979" t="s">
        <v>4423</v>
      </c>
      <c r="G476" s="979" t="s">
        <v>4425</v>
      </c>
      <c r="H476" s="1030">
        <v>556250</v>
      </c>
      <c r="I476" s="1030">
        <v>528628</v>
      </c>
      <c r="J476" s="1034">
        <v>0.32759017083238573</v>
      </c>
      <c r="K476" s="1030">
        <v>182222.03252551457</v>
      </c>
      <c r="L476" s="1030">
        <v>182222.03252551457</v>
      </c>
      <c r="M476" s="979">
        <v>599</v>
      </c>
    </row>
    <row r="477" spans="1:13" ht="15">
      <c r="A477" s="979" t="s">
        <v>3453</v>
      </c>
      <c r="B477" s="722" t="str">
        <f>CONCATENATE(LEFT(RIGHT(CONCATENATE("000",IFAData_TEA!A477),6),3),"-",(RIGHT(RIGHT(CONCATENATE("000",IFAData_TEA!A477),6),3)))</f>
        <v>043-911</v>
      </c>
      <c r="C477" s="979" t="s">
        <v>74</v>
      </c>
      <c r="D477" s="979">
        <v>2</v>
      </c>
      <c r="E477" s="979">
        <v>2214</v>
      </c>
      <c r="F477" s="979" t="s">
        <v>4421</v>
      </c>
      <c r="G477" s="979" t="s">
        <v>4422</v>
      </c>
      <c r="H477" s="1030">
        <v>470750</v>
      </c>
      <c r="I477" s="1030">
        <v>321633</v>
      </c>
      <c r="J477" s="1034">
        <v>1</v>
      </c>
      <c r="K477" s="1030">
        <v>470750</v>
      </c>
      <c r="L477" s="1030">
        <v>321633</v>
      </c>
      <c r="M477" s="979">
        <v>599</v>
      </c>
    </row>
    <row r="478" spans="1:13" ht="15">
      <c r="A478" s="979" t="s">
        <v>3453</v>
      </c>
      <c r="B478" s="722" t="str">
        <f>CONCATENATE(LEFT(RIGHT(CONCATENATE("000",IFAData_TEA!A478),6),3),"-",(RIGHT(RIGHT(CONCATENATE("000",IFAData_TEA!A478),6),3)))</f>
        <v>043-911</v>
      </c>
      <c r="C478" s="979" t="s">
        <v>74</v>
      </c>
      <c r="D478" s="979">
        <v>10</v>
      </c>
      <c r="E478" s="979">
        <v>2213</v>
      </c>
      <c r="F478" s="979" t="s">
        <v>4427</v>
      </c>
      <c r="G478" s="979" t="s">
        <v>4427</v>
      </c>
      <c r="H478" s="1030">
        <v>251143</v>
      </c>
      <c r="I478" s="1030">
        <v>247375</v>
      </c>
      <c r="J478" s="1034">
        <v>1</v>
      </c>
      <c r="K478" s="1030">
        <v>251143</v>
      </c>
      <c r="L478" s="1030">
        <v>247375</v>
      </c>
      <c r="M478" s="979">
        <v>599</v>
      </c>
    </row>
    <row r="479" spans="1:13" ht="15">
      <c r="A479" s="979" t="s">
        <v>3453</v>
      </c>
      <c r="B479" s="722" t="str">
        <f>CONCATENATE(LEFT(RIGHT(CONCATENATE("000",IFAData_TEA!A479),6),3),"-",(RIGHT(RIGHT(CONCATENATE("000",IFAData_TEA!A479),6),3)))</f>
        <v>043-911</v>
      </c>
      <c r="C479" s="979" t="s">
        <v>74</v>
      </c>
      <c r="D479" s="979">
        <v>6</v>
      </c>
      <c r="E479" s="979">
        <v>2215</v>
      </c>
      <c r="F479" s="979" t="s">
        <v>4423</v>
      </c>
      <c r="G479" s="979" t="s">
        <v>4423</v>
      </c>
      <c r="H479" s="1030">
        <v>556250</v>
      </c>
      <c r="I479" s="1030">
        <v>0</v>
      </c>
      <c r="J479" s="1034">
        <v>0</v>
      </c>
      <c r="K479" s="1030">
        <v>0</v>
      </c>
      <c r="L479" s="1030">
        <v>0</v>
      </c>
      <c r="M479" s="979">
        <v>599</v>
      </c>
    </row>
    <row r="480" spans="1:13" ht="15">
      <c r="A480" s="979" t="s">
        <v>3453</v>
      </c>
      <c r="B480" s="722" t="str">
        <f>CONCATENATE(LEFT(RIGHT(CONCATENATE("000",IFAData_TEA!A480),6),3),"-",(RIGHT(RIGHT(CONCATENATE("000",IFAData_TEA!A480),6),3)))</f>
        <v>043-911</v>
      </c>
      <c r="C480" s="979" t="s">
        <v>74</v>
      </c>
      <c r="D480" s="979">
        <v>2</v>
      </c>
      <c r="E480" s="979">
        <v>2214</v>
      </c>
      <c r="F480" s="979" t="s">
        <v>4421</v>
      </c>
      <c r="G480" s="979" t="s">
        <v>4421</v>
      </c>
      <c r="H480" s="1030">
        <v>470750</v>
      </c>
      <c r="I480" s="1030">
        <v>0</v>
      </c>
      <c r="J480" s="1034">
        <v>0</v>
      </c>
      <c r="K480" s="1030">
        <v>0</v>
      </c>
      <c r="L480" s="1030">
        <v>0</v>
      </c>
      <c r="M480" s="979">
        <v>599</v>
      </c>
    </row>
    <row r="481" spans="1:13" ht="15">
      <c r="A481" s="979" t="s">
        <v>3453</v>
      </c>
      <c r="B481" s="722" t="str">
        <f>CONCATENATE(LEFT(RIGHT(CONCATENATE("000",IFAData_TEA!A481),6),3),"-",(RIGHT(RIGHT(CONCATENATE("000",IFAData_TEA!A481),6),3)))</f>
        <v>043-911</v>
      </c>
      <c r="C481" s="979" t="s">
        <v>74</v>
      </c>
      <c r="D481" s="979">
        <v>6</v>
      </c>
      <c r="E481" s="979">
        <v>2215</v>
      </c>
      <c r="F481" s="979" t="s">
        <v>4423</v>
      </c>
      <c r="G481" s="979" t="s">
        <v>4424</v>
      </c>
      <c r="H481" s="1030">
        <v>556250</v>
      </c>
      <c r="I481" s="1030">
        <v>934202</v>
      </c>
      <c r="J481" s="1034">
        <v>0.57892391771142726</v>
      </c>
      <c r="K481" s="1030">
        <v>322026.42922698142</v>
      </c>
      <c r="L481" s="1030">
        <v>322026.42922698142</v>
      </c>
      <c r="M481" s="979">
        <v>599</v>
      </c>
    </row>
    <row r="482" spans="1:13" ht="15">
      <c r="A482" s="979" t="s">
        <v>3453</v>
      </c>
      <c r="B482" s="722" t="str">
        <f>CONCATENATE(LEFT(RIGHT(CONCATENATE("000",IFAData_TEA!A482),6),3),"-",(RIGHT(RIGHT(CONCATENATE("000",IFAData_TEA!A482),6),3)))</f>
        <v>043-911</v>
      </c>
      <c r="C482" s="979" t="s">
        <v>74</v>
      </c>
      <c r="D482" s="979">
        <v>9</v>
      </c>
      <c r="E482" s="979">
        <v>2216</v>
      </c>
      <c r="F482" s="979" t="s">
        <v>4426</v>
      </c>
      <c r="G482" s="979" t="s">
        <v>4426</v>
      </c>
      <c r="H482" s="1030">
        <v>607244</v>
      </c>
      <c r="I482" s="1030">
        <v>520543</v>
      </c>
      <c r="J482" s="1034">
        <v>1</v>
      </c>
      <c r="K482" s="1030">
        <v>607244</v>
      </c>
      <c r="L482" s="1030">
        <v>520543</v>
      </c>
      <c r="M482" s="979">
        <v>599</v>
      </c>
    </row>
    <row r="483" spans="1:13" ht="15">
      <c r="A483" s="979" t="s">
        <v>3453</v>
      </c>
      <c r="B483" s="722" t="str">
        <f>CONCATENATE(LEFT(RIGHT(CONCATENATE("000",IFAData_TEA!A483),6),3),"-",(RIGHT(RIGHT(CONCATENATE("000",IFAData_TEA!A483),6),3)))</f>
        <v>043-911</v>
      </c>
      <c r="C483" s="979" t="s">
        <v>74</v>
      </c>
      <c r="D483" s="979">
        <v>6</v>
      </c>
      <c r="E483" s="979">
        <v>2215</v>
      </c>
      <c r="F483" s="979" t="s">
        <v>4423</v>
      </c>
      <c r="G483" s="979" t="s">
        <v>6218</v>
      </c>
      <c r="H483" s="1030">
        <v>556250</v>
      </c>
      <c r="I483" s="1030">
        <v>150857</v>
      </c>
      <c r="J483" s="1034">
        <v>9.3485911456186982E-2</v>
      </c>
      <c r="K483" s="1030">
        <v>52001.53824750401</v>
      </c>
      <c r="L483" s="1030">
        <v>52001.53824750401</v>
      </c>
      <c r="M483" s="979">
        <v>599</v>
      </c>
    </row>
    <row r="484" spans="1:13" ht="15">
      <c r="A484" s="979" t="s">
        <v>3454</v>
      </c>
      <c r="B484" s="722" t="str">
        <f>CONCATENATE(LEFT(RIGHT(CONCATENATE("000",IFAData_TEA!A484),6),3),"-",(RIGHT(RIGHT(CONCATENATE("000",IFAData_TEA!A484),6),3)))</f>
        <v>043-912</v>
      </c>
      <c r="C484" s="979" t="s">
        <v>76</v>
      </c>
      <c r="D484" s="979">
        <v>2</v>
      </c>
      <c r="E484" s="979">
        <v>2222</v>
      </c>
      <c r="F484" s="979" t="s">
        <v>4428</v>
      </c>
      <c r="G484" s="979" t="s">
        <v>6219</v>
      </c>
      <c r="H484" s="1030">
        <v>210750</v>
      </c>
      <c r="I484" s="1030">
        <v>120893</v>
      </c>
      <c r="J484" s="1034">
        <v>9.6197090525987447E-2</v>
      </c>
      <c r="K484" s="1030">
        <v>20273.536828351855</v>
      </c>
      <c r="L484" s="1030">
        <v>20273.536828351855</v>
      </c>
      <c r="M484" s="979">
        <v>599</v>
      </c>
    </row>
    <row r="485" spans="1:13" ht="15">
      <c r="A485" s="979" t="s">
        <v>3454</v>
      </c>
      <c r="B485" s="722" t="str">
        <f>CONCATENATE(LEFT(RIGHT(CONCATENATE("000",IFAData_TEA!A485),6),3),"-",(RIGHT(RIGHT(CONCATENATE("000",IFAData_TEA!A485),6),3)))</f>
        <v>043-912</v>
      </c>
      <c r="C485" s="979" t="s">
        <v>76</v>
      </c>
      <c r="D485" s="979">
        <v>2</v>
      </c>
      <c r="E485" s="979">
        <v>2222</v>
      </c>
      <c r="F485" s="979" t="s">
        <v>4428</v>
      </c>
      <c r="G485" s="979" t="s">
        <v>4430</v>
      </c>
      <c r="H485" s="1030">
        <v>210750</v>
      </c>
      <c r="I485" s="1030">
        <v>1004960</v>
      </c>
      <c r="J485" s="1034">
        <v>0.799667706939164</v>
      </c>
      <c r="K485" s="1030">
        <v>168529.96923742883</v>
      </c>
      <c r="L485" s="1030">
        <v>168529.96923742883</v>
      </c>
      <c r="M485" s="979">
        <v>599</v>
      </c>
    </row>
    <row r="486" spans="1:13" ht="15">
      <c r="A486" s="979" t="s">
        <v>3454</v>
      </c>
      <c r="B486" s="722" t="str">
        <f>CONCATENATE(LEFT(RIGHT(CONCATENATE("000",IFAData_TEA!A486),6),3),"-",(RIGHT(RIGHT(CONCATENATE("000",IFAData_TEA!A486),6),3)))</f>
        <v>043-912</v>
      </c>
      <c r="C486" s="979" t="s">
        <v>76</v>
      </c>
      <c r="D486" s="979">
        <v>2</v>
      </c>
      <c r="E486" s="979">
        <v>2222</v>
      </c>
      <c r="F486" s="979" t="s">
        <v>4428</v>
      </c>
      <c r="G486" s="979" t="s">
        <v>4431</v>
      </c>
      <c r="H486" s="1030">
        <v>210750</v>
      </c>
      <c r="I486" s="1030">
        <v>970</v>
      </c>
      <c r="J486" s="1034">
        <v>7.7184930318718056E-4</v>
      </c>
      <c r="K486" s="1030">
        <v>162.6672406466983</v>
      </c>
      <c r="L486" s="1030">
        <v>162.6672406466983</v>
      </c>
      <c r="M486" s="979">
        <v>599</v>
      </c>
    </row>
    <row r="487" spans="1:13" ht="15">
      <c r="A487" s="979" t="s">
        <v>3454</v>
      </c>
      <c r="B487" s="722" t="str">
        <f>CONCATENATE(LEFT(RIGHT(CONCATENATE("000",IFAData_TEA!A487),6),3),"-",(RIGHT(RIGHT(CONCATENATE("000",IFAData_TEA!A487),6),3)))</f>
        <v>043-912</v>
      </c>
      <c r="C487" s="979" t="s">
        <v>76</v>
      </c>
      <c r="D487" s="979">
        <v>2</v>
      </c>
      <c r="E487" s="979">
        <v>2222</v>
      </c>
      <c r="F487" s="979" t="s">
        <v>4428</v>
      </c>
      <c r="G487" s="979" t="s">
        <v>4428</v>
      </c>
      <c r="H487" s="1030">
        <v>210750</v>
      </c>
      <c r="I487" s="1030">
        <v>0</v>
      </c>
      <c r="J487" s="1034">
        <v>0</v>
      </c>
      <c r="K487" s="1030">
        <v>0</v>
      </c>
      <c r="L487" s="1030">
        <v>0</v>
      </c>
      <c r="M487" s="979">
        <v>599</v>
      </c>
    </row>
    <row r="488" spans="1:13" ht="15">
      <c r="A488" s="979" t="s">
        <v>3454</v>
      </c>
      <c r="B488" s="722" t="str">
        <f>CONCATENATE(LEFT(RIGHT(CONCATENATE("000",IFAData_TEA!A488),6),3),"-",(RIGHT(RIGHT(CONCATENATE("000",IFAData_TEA!A488),6),3)))</f>
        <v>043-912</v>
      </c>
      <c r="C488" s="979" t="s">
        <v>76</v>
      </c>
      <c r="D488" s="979">
        <v>2</v>
      </c>
      <c r="E488" s="979">
        <v>2222</v>
      </c>
      <c r="F488" s="979" t="s">
        <v>4428</v>
      </c>
      <c r="G488" s="979" t="s">
        <v>4429</v>
      </c>
      <c r="H488" s="1030">
        <v>210750</v>
      </c>
      <c r="I488" s="1030">
        <v>129899</v>
      </c>
      <c r="J488" s="1034">
        <v>0.10336335323166142</v>
      </c>
      <c r="K488" s="1030">
        <v>21783.826693572642</v>
      </c>
      <c r="L488" s="1030">
        <v>21783.826693572642</v>
      </c>
      <c r="M488" s="979">
        <v>599</v>
      </c>
    </row>
    <row r="489" spans="1:13" ht="15">
      <c r="A489" s="979" t="s">
        <v>3455</v>
      </c>
      <c r="B489" s="722" t="str">
        <f>CONCATENATE(LEFT(RIGHT(CONCATENATE("000",IFAData_TEA!A489),6),3),"-",(RIGHT(RIGHT(CONCATENATE("000",IFAData_TEA!A489),6),3)))</f>
        <v>043-914</v>
      </c>
      <c r="C489" s="979" t="s">
        <v>1132</v>
      </c>
      <c r="D489" s="979">
        <v>5</v>
      </c>
      <c r="E489" s="979">
        <v>2463</v>
      </c>
      <c r="F489" s="979" t="s">
        <v>4432</v>
      </c>
      <c r="G489" s="979" t="s">
        <v>4436</v>
      </c>
      <c r="H489" s="1030">
        <v>440511</v>
      </c>
      <c r="I489" s="1030">
        <v>27056</v>
      </c>
      <c r="J489" s="1034">
        <v>0.89687406768985978</v>
      </c>
      <c r="K489" s="1030">
        <v>395082.89243212785</v>
      </c>
      <c r="L489" s="1030">
        <v>27056</v>
      </c>
      <c r="M489" s="979">
        <v>599</v>
      </c>
    </row>
    <row r="490" spans="1:13" ht="15">
      <c r="A490" s="979" t="s">
        <v>3455</v>
      </c>
      <c r="B490" s="722" t="str">
        <f>CONCATENATE(LEFT(RIGHT(CONCATENATE("000",IFAData_TEA!A490),6),3),"-",(RIGHT(RIGHT(CONCATENATE("000",IFAData_TEA!A490),6),3)))</f>
        <v>043-914</v>
      </c>
      <c r="C490" s="979" t="s">
        <v>1132</v>
      </c>
      <c r="D490" s="979">
        <v>5</v>
      </c>
      <c r="E490" s="979">
        <v>2463</v>
      </c>
      <c r="F490" s="979" t="s">
        <v>4432</v>
      </c>
      <c r="G490" s="979" t="s">
        <v>4435</v>
      </c>
      <c r="H490" s="1030">
        <v>440511</v>
      </c>
      <c r="I490" s="1030">
        <v>3111</v>
      </c>
      <c r="J490" s="1034">
        <v>0.10312593231014022</v>
      </c>
      <c r="K490" s="1030">
        <v>45428.107567872183</v>
      </c>
      <c r="L490" s="1030">
        <v>3111</v>
      </c>
      <c r="M490" s="979">
        <v>599</v>
      </c>
    </row>
    <row r="491" spans="1:13" ht="15">
      <c r="A491" s="979" t="s">
        <v>3455</v>
      </c>
      <c r="B491" s="722" t="str">
        <f>CONCATENATE(LEFT(RIGHT(CONCATENATE("000",IFAData_TEA!A491),6),3),"-",(RIGHT(RIGHT(CONCATENATE("000",IFAData_TEA!A491),6),3)))</f>
        <v>043-914</v>
      </c>
      <c r="C491" s="979" t="s">
        <v>1132</v>
      </c>
      <c r="D491" s="979">
        <v>9</v>
      </c>
      <c r="E491" s="979">
        <v>2465</v>
      </c>
      <c r="F491" s="979" t="s">
        <v>4437</v>
      </c>
      <c r="G491" s="979" t="s">
        <v>4436</v>
      </c>
      <c r="H491" s="1030">
        <v>897102</v>
      </c>
      <c r="I491" s="1030">
        <v>1151552</v>
      </c>
      <c r="J491" s="1034">
        <v>0.43721543363433962</v>
      </c>
      <c r="K491" s="1030">
        <v>392226.83994423336</v>
      </c>
      <c r="L491" s="1030">
        <v>392226.83994423336</v>
      </c>
      <c r="M491" s="979">
        <v>599</v>
      </c>
    </row>
    <row r="492" spans="1:13" ht="15">
      <c r="A492" s="979" t="s">
        <v>3455</v>
      </c>
      <c r="B492" s="722" t="str">
        <f>CONCATENATE(LEFT(RIGHT(CONCATENATE("000",IFAData_TEA!A492),6),3),"-",(RIGHT(RIGHT(CONCATENATE("000",IFAData_TEA!A492),6),3)))</f>
        <v>043-914</v>
      </c>
      <c r="C492" s="979" t="s">
        <v>1132</v>
      </c>
      <c r="D492" s="979">
        <v>5</v>
      </c>
      <c r="E492" s="979">
        <v>2463</v>
      </c>
      <c r="F492" s="979" t="s">
        <v>4432</v>
      </c>
      <c r="G492" s="979" t="s">
        <v>4434</v>
      </c>
      <c r="H492" s="1030">
        <v>440511</v>
      </c>
      <c r="I492" s="1030">
        <v>0</v>
      </c>
      <c r="J492" s="1034">
        <v>0</v>
      </c>
      <c r="K492" s="1030">
        <v>0</v>
      </c>
      <c r="L492" s="1030">
        <v>0</v>
      </c>
      <c r="M492" s="979">
        <v>599</v>
      </c>
    </row>
    <row r="493" spans="1:13" ht="15">
      <c r="A493" s="979" t="s">
        <v>3455</v>
      </c>
      <c r="B493" s="722" t="str">
        <f>CONCATENATE(LEFT(RIGHT(CONCATENATE("000",IFAData_TEA!A493),6),3),"-",(RIGHT(RIGHT(CONCATENATE("000",IFAData_TEA!A493),6),3)))</f>
        <v>043-914</v>
      </c>
      <c r="C493" s="979" t="s">
        <v>1132</v>
      </c>
      <c r="D493" s="979">
        <v>10</v>
      </c>
      <c r="E493" s="979">
        <v>2462</v>
      </c>
      <c r="F493" s="979" t="s">
        <v>4439</v>
      </c>
      <c r="G493" s="979" t="s">
        <v>4439</v>
      </c>
      <c r="H493" s="1030">
        <v>92075</v>
      </c>
      <c r="I493" s="1030">
        <v>0</v>
      </c>
      <c r="J493" s="1034">
        <v>0</v>
      </c>
      <c r="K493" s="1030"/>
      <c r="L493" s="1030">
        <v>0</v>
      </c>
      <c r="M493" s="979">
        <v>599</v>
      </c>
    </row>
    <row r="494" spans="1:13" ht="15">
      <c r="A494" s="979" t="s">
        <v>3455</v>
      </c>
      <c r="B494" s="722" t="str">
        <f>CONCATENATE(LEFT(RIGHT(CONCATENATE("000",IFAData_TEA!A494),6),3),"-",(RIGHT(RIGHT(CONCATENATE("000",IFAData_TEA!A494),6),3)))</f>
        <v>043-914</v>
      </c>
      <c r="C494" s="979" t="s">
        <v>1132</v>
      </c>
      <c r="D494" s="979">
        <v>9</v>
      </c>
      <c r="E494" s="979">
        <v>2465</v>
      </c>
      <c r="F494" s="979" t="s">
        <v>4437</v>
      </c>
      <c r="G494" s="979" t="s">
        <v>4437</v>
      </c>
      <c r="H494" s="1030">
        <v>897102</v>
      </c>
      <c r="I494" s="1030">
        <v>1482280</v>
      </c>
      <c r="J494" s="1034">
        <v>0.56278456636566032</v>
      </c>
      <c r="K494" s="1030">
        <v>504875.16005576658</v>
      </c>
      <c r="L494" s="1030">
        <v>504875.16005576658</v>
      </c>
      <c r="M494" s="979">
        <v>599</v>
      </c>
    </row>
    <row r="495" spans="1:13" ht="15">
      <c r="A495" s="979" t="s">
        <v>3455</v>
      </c>
      <c r="B495" s="722" t="str">
        <f>CONCATENATE(LEFT(RIGHT(CONCATENATE("000",IFAData_TEA!A495),6),3),"-",(RIGHT(RIGHT(CONCATENATE("000",IFAData_TEA!A495),6),3)))</f>
        <v>043-914</v>
      </c>
      <c r="C495" s="979" t="s">
        <v>1132</v>
      </c>
      <c r="D495" s="979">
        <v>5</v>
      </c>
      <c r="E495" s="979">
        <v>2463</v>
      </c>
      <c r="F495" s="979" t="s">
        <v>4432</v>
      </c>
      <c r="G495" s="979" t="s">
        <v>4433</v>
      </c>
      <c r="H495" s="1030">
        <v>440511</v>
      </c>
      <c r="I495" s="1030">
        <v>0</v>
      </c>
      <c r="J495" s="1034">
        <v>0</v>
      </c>
      <c r="K495" s="1030">
        <v>0</v>
      </c>
      <c r="L495" s="1030">
        <v>0</v>
      </c>
      <c r="M495" s="979">
        <v>599</v>
      </c>
    </row>
    <row r="496" spans="1:13" ht="15">
      <c r="A496" s="979" t="s">
        <v>3455</v>
      </c>
      <c r="B496" s="722" t="str">
        <f>CONCATENATE(LEFT(RIGHT(CONCATENATE("000",IFAData_TEA!A496),6),3),"-",(RIGHT(RIGHT(CONCATENATE("000",IFAData_TEA!A496),6),3)))</f>
        <v>043-914</v>
      </c>
      <c r="C496" s="979" t="s">
        <v>1132</v>
      </c>
      <c r="D496" s="979">
        <v>5</v>
      </c>
      <c r="E496" s="979">
        <v>2463</v>
      </c>
      <c r="F496" s="979" t="s">
        <v>4432</v>
      </c>
      <c r="G496" s="979" t="s">
        <v>4432</v>
      </c>
      <c r="H496" s="1030">
        <v>440511</v>
      </c>
      <c r="I496" s="1030">
        <v>0</v>
      </c>
      <c r="J496" s="1034">
        <v>0</v>
      </c>
      <c r="K496" s="1030">
        <v>0</v>
      </c>
      <c r="L496" s="1030">
        <v>0</v>
      </c>
      <c r="M496" s="979">
        <v>599</v>
      </c>
    </row>
    <row r="497" spans="1:13" ht="15">
      <c r="A497" s="979" t="s">
        <v>3455</v>
      </c>
      <c r="B497" s="722" t="str">
        <f>CONCATENATE(LEFT(RIGHT(CONCATENATE("000",IFAData_TEA!A497),6),3),"-",(RIGHT(RIGHT(CONCATENATE("000",IFAData_TEA!A497),6),3)))</f>
        <v>043-914</v>
      </c>
      <c r="C497" s="979" t="s">
        <v>1132</v>
      </c>
      <c r="D497" s="979">
        <v>9</v>
      </c>
      <c r="E497" s="979">
        <v>2464</v>
      </c>
      <c r="F497" s="979" t="s">
        <v>4438</v>
      </c>
      <c r="G497" s="979" t="s">
        <v>4438</v>
      </c>
      <c r="H497" s="1030">
        <v>633540</v>
      </c>
      <c r="I497" s="1030">
        <v>1243600</v>
      </c>
      <c r="J497" s="1034">
        <v>1</v>
      </c>
      <c r="K497" s="1030">
        <v>633540</v>
      </c>
      <c r="L497" s="1030">
        <v>633540</v>
      </c>
      <c r="M497" s="979">
        <v>599</v>
      </c>
    </row>
    <row r="498" spans="1:13" ht="15">
      <c r="A498" s="979" t="s">
        <v>3456</v>
      </c>
      <c r="B498" s="722" t="str">
        <f>CONCATENATE(LEFT(RIGHT(CONCATENATE("000",IFAData_TEA!A498),6),3),"-",(RIGHT(RIGHT(CONCATENATE("000",IFAData_TEA!A498),6),3)))</f>
        <v>043-917</v>
      </c>
      <c r="C498" s="979" t="s">
        <v>1345</v>
      </c>
      <c r="D498" s="979">
        <v>4</v>
      </c>
      <c r="E498" s="979">
        <v>1623</v>
      </c>
      <c r="F498" s="979" t="s">
        <v>4441</v>
      </c>
      <c r="G498" s="979" t="s">
        <v>4441</v>
      </c>
      <c r="H498" s="1030">
        <v>172750</v>
      </c>
      <c r="I498" s="1030">
        <v>0</v>
      </c>
      <c r="J498" s="1034">
        <v>0</v>
      </c>
      <c r="K498" s="1030">
        <v>0</v>
      </c>
      <c r="L498" s="1030">
        <v>0</v>
      </c>
      <c r="M498" s="979">
        <v>599</v>
      </c>
    </row>
    <row r="499" spans="1:13" ht="15">
      <c r="A499" s="979" t="s">
        <v>3456</v>
      </c>
      <c r="B499" s="722" t="str">
        <f>CONCATENATE(LEFT(RIGHT(CONCATENATE("000",IFAData_TEA!A499),6),3),"-",(RIGHT(RIGHT(CONCATENATE("000",IFAData_TEA!A499),6),3)))</f>
        <v>043-917</v>
      </c>
      <c r="C499" s="979" t="s">
        <v>1345</v>
      </c>
      <c r="D499" s="979">
        <v>4</v>
      </c>
      <c r="E499" s="979">
        <v>1623</v>
      </c>
      <c r="F499" s="979" t="s">
        <v>4441</v>
      </c>
      <c r="G499" s="979" t="s">
        <v>4442</v>
      </c>
      <c r="H499" s="1030">
        <v>172750</v>
      </c>
      <c r="I499" s="1030">
        <v>256194</v>
      </c>
      <c r="J499" s="1034">
        <v>1</v>
      </c>
      <c r="K499" s="1030">
        <v>172750</v>
      </c>
      <c r="L499" s="1030">
        <v>172750</v>
      </c>
      <c r="M499" s="979">
        <v>599</v>
      </c>
    </row>
    <row r="500" spans="1:13" ht="15">
      <c r="A500" s="979" t="s">
        <v>3456</v>
      </c>
      <c r="B500" s="722" t="str">
        <f>CONCATENATE(LEFT(RIGHT(CONCATENATE("000",IFAData_TEA!A500),6),3),"-",(RIGHT(RIGHT(CONCATENATE("000",IFAData_TEA!A500),6),3)))</f>
        <v>043-917</v>
      </c>
      <c r="C500" s="979" t="s">
        <v>1345</v>
      </c>
      <c r="D500" s="979">
        <v>10</v>
      </c>
      <c r="E500" s="979">
        <v>1622</v>
      </c>
      <c r="F500" s="979" t="s">
        <v>4445</v>
      </c>
      <c r="G500" s="979" t="s">
        <v>4445</v>
      </c>
      <c r="H500" s="1030">
        <v>158475</v>
      </c>
      <c r="I500" s="1030">
        <v>342100</v>
      </c>
      <c r="J500" s="1034">
        <v>1</v>
      </c>
      <c r="K500" s="1030">
        <v>158475</v>
      </c>
      <c r="L500" s="1030">
        <v>158475</v>
      </c>
      <c r="M500" s="979">
        <v>599</v>
      </c>
    </row>
    <row r="501" spans="1:13" ht="15">
      <c r="A501" s="979" t="s">
        <v>3456</v>
      </c>
      <c r="B501" s="722" t="str">
        <f>CONCATENATE(LEFT(RIGHT(CONCATENATE("000",IFAData_TEA!A501),6),3),"-",(RIGHT(RIGHT(CONCATENATE("000",IFAData_TEA!A501),6),3)))</f>
        <v>043-917</v>
      </c>
      <c r="C501" s="979" t="s">
        <v>1345</v>
      </c>
      <c r="D501" s="979">
        <v>2</v>
      </c>
      <c r="E501" s="979">
        <v>1621</v>
      </c>
      <c r="F501" s="979" t="s">
        <v>4440</v>
      </c>
      <c r="G501" s="979" t="s">
        <v>4440</v>
      </c>
      <c r="H501" s="1030">
        <v>95044</v>
      </c>
      <c r="I501" s="1030">
        <v>0</v>
      </c>
      <c r="J501" s="1034">
        <v>0</v>
      </c>
      <c r="K501" s="1030"/>
      <c r="L501" s="1030">
        <v>0</v>
      </c>
      <c r="M501" s="979">
        <v>199</v>
      </c>
    </row>
    <row r="502" spans="1:13" ht="15">
      <c r="A502" s="979" t="s">
        <v>3456</v>
      </c>
      <c r="B502" s="722" t="str">
        <f>CONCATENATE(LEFT(RIGHT(CONCATENATE("000",IFAData_TEA!A502),6),3),"-",(RIGHT(RIGHT(CONCATENATE("000",IFAData_TEA!A502),6),3)))</f>
        <v>043-917</v>
      </c>
      <c r="C502" s="979" t="s">
        <v>1345</v>
      </c>
      <c r="D502" s="979">
        <v>6</v>
      </c>
      <c r="E502" s="979">
        <v>1624</v>
      </c>
      <c r="F502" s="979" t="s">
        <v>4443</v>
      </c>
      <c r="G502" s="979" t="s">
        <v>4444</v>
      </c>
      <c r="H502" s="1030">
        <v>192252</v>
      </c>
      <c r="I502" s="1030">
        <v>211413</v>
      </c>
      <c r="J502" s="1034">
        <v>0.46242027349799208</v>
      </c>
      <c r="K502" s="1030">
        <v>88901.222420535967</v>
      </c>
      <c r="L502" s="1030">
        <v>88901.222420535967</v>
      </c>
      <c r="M502" s="979">
        <v>599</v>
      </c>
    </row>
    <row r="503" spans="1:13" ht="15">
      <c r="A503" s="979" t="s">
        <v>3456</v>
      </c>
      <c r="B503" s="722" t="str">
        <f>CONCATENATE(LEFT(RIGHT(CONCATENATE("000",IFAData_TEA!A503),6),3),"-",(RIGHT(RIGHT(CONCATENATE("000",IFAData_TEA!A503),6),3)))</f>
        <v>043-917</v>
      </c>
      <c r="C503" s="979" t="s">
        <v>1345</v>
      </c>
      <c r="D503" s="979">
        <v>6</v>
      </c>
      <c r="E503" s="979">
        <v>1624</v>
      </c>
      <c r="F503" s="979" t="s">
        <v>4443</v>
      </c>
      <c r="G503" s="979" t="s">
        <v>4443</v>
      </c>
      <c r="H503" s="1030">
        <v>192252</v>
      </c>
      <c r="I503" s="1030">
        <v>245775</v>
      </c>
      <c r="J503" s="1034">
        <v>0.53757972650200792</v>
      </c>
      <c r="K503" s="1030">
        <v>103350.77757946403</v>
      </c>
      <c r="L503" s="1030">
        <v>103350.77757946403</v>
      </c>
      <c r="M503" s="979">
        <v>599</v>
      </c>
    </row>
    <row r="504" spans="1:13" ht="15">
      <c r="A504" s="979" t="s">
        <v>3457</v>
      </c>
      <c r="B504" s="722" t="str">
        <f>CONCATENATE(LEFT(RIGHT(CONCATENATE("000",IFAData_TEA!A504),6),3),"-",(RIGHT(RIGHT(CONCATENATE("000",IFAData_TEA!A504),6),3)))</f>
        <v>043-918</v>
      </c>
      <c r="C504" s="979" t="s">
        <v>1551</v>
      </c>
      <c r="D504" s="979">
        <v>2</v>
      </c>
      <c r="E504" s="979">
        <v>1713</v>
      </c>
      <c r="F504" s="979" t="s">
        <v>4446</v>
      </c>
      <c r="G504" s="979" t="s">
        <v>6220</v>
      </c>
      <c r="H504" s="1030">
        <v>245000</v>
      </c>
      <c r="I504" s="1030">
        <v>27136</v>
      </c>
      <c r="J504" s="1034">
        <v>0.13856704436943723</v>
      </c>
      <c r="K504" s="1030">
        <v>33948.925870512125</v>
      </c>
      <c r="L504" s="1030">
        <v>27136</v>
      </c>
      <c r="M504" s="979">
        <v>599</v>
      </c>
    </row>
    <row r="505" spans="1:13" ht="15">
      <c r="A505" s="979" t="s">
        <v>3457</v>
      </c>
      <c r="B505" s="722" t="str">
        <f>CONCATENATE(LEFT(RIGHT(CONCATENATE("000",IFAData_TEA!A505),6),3),"-",(RIGHT(RIGHT(CONCATENATE("000",IFAData_TEA!A505),6),3)))</f>
        <v>043-918</v>
      </c>
      <c r="C505" s="979" t="s">
        <v>1551</v>
      </c>
      <c r="D505" s="979">
        <v>2</v>
      </c>
      <c r="E505" s="979">
        <v>1713</v>
      </c>
      <c r="F505" s="979" t="s">
        <v>4446</v>
      </c>
      <c r="G505" s="979" t="s">
        <v>4447</v>
      </c>
      <c r="H505" s="1030">
        <v>245000</v>
      </c>
      <c r="I505" s="1030">
        <v>0</v>
      </c>
      <c r="J505" s="1034">
        <v>0</v>
      </c>
      <c r="K505" s="1030">
        <v>0</v>
      </c>
      <c r="L505" s="1030">
        <v>0</v>
      </c>
      <c r="M505" s="979">
        <v>599</v>
      </c>
    </row>
    <row r="506" spans="1:13" ht="15">
      <c r="A506" s="979" t="s">
        <v>3457</v>
      </c>
      <c r="B506" s="722" t="str">
        <f>CONCATENATE(LEFT(RIGHT(CONCATENATE("000",IFAData_TEA!A506),6),3),"-",(RIGHT(RIGHT(CONCATENATE("000",IFAData_TEA!A506),6),3)))</f>
        <v>043-918</v>
      </c>
      <c r="C506" s="979" t="s">
        <v>1551</v>
      </c>
      <c r="D506" s="979">
        <v>2</v>
      </c>
      <c r="E506" s="979">
        <v>1713</v>
      </c>
      <c r="F506" s="979" t="s">
        <v>4446</v>
      </c>
      <c r="G506" s="979" t="s">
        <v>4448</v>
      </c>
      <c r="H506" s="1030">
        <v>245000</v>
      </c>
      <c r="I506" s="1030">
        <v>0</v>
      </c>
      <c r="J506" s="1034">
        <v>0</v>
      </c>
      <c r="K506" s="1030">
        <v>0</v>
      </c>
      <c r="L506" s="1030">
        <v>0</v>
      </c>
      <c r="M506" s="979">
        <v>599</v>
      </c>
    </row>
    <row r="507" spans="1:13" ht="15">
      <c r="A507" s="979" t="s">
        <v>3457</v>
      </c>
      <c r="B507" s="722" t="str">
        <f>CONCATENATE(LEFT(RIGHT(CONCATENATE("000",IFAData_TEA!A507),6),3),"-",(RIGHT(RIGHT(CONCATENATE("000",IFAData_TEA!A507),6),3)))</f>
        <v>043-918</v>
      </c>
      <c r="C507" s="979" t="s">
        <v>1551</v>
      </c>
      <c r="D507" s="979">
        <v>2</v>
      </c>
      <c r="E507" s="979">
        <v>1713</v>
      </c>
      <c r="F507" s="979" t="s">
        <v>4446</v>
      </c>
      <c r="G507" s="979" t="s">
        <v>4449</v>
      </c>
      <c r="H507" s="1030">
        <v>245000</v>
      </c>
      <c r="I507" s="1030">
        <v>168697</v>
      </c>
      <c r="J507" s="1034">
        <v>0.86143295563056277</v>
      </c>
      <c r="K507" s="1030">
        <v>211051.07412948788</v>
      </c>
      <c r="L507" s="1030">
        <v>168697</v>
      </c>
      <c r="M507" s="979">
        <v>599</v>
      </c>
    </row>
    <row r="508" spans="1:13" ht="15">
      <c r="A508" s="979" t="s">
        <v>3457</v>
      </c>
      <c r="B508" s="722" t="str">
        <f>CONCATENATE(LEFT(RIGHT(CONCATENATE("000",IFAData_TEA!A508),6),3),"-",(RIGHT(RIGHT(CONCATENATE("000",IFAData_TEA!A508),6),3)))</f>
        <v>043-918</v>
      </c>
      <c r="C508" s="979" t="s">
        <v>1551</v>
      </c>
      <c r="D508" s="979">
        <v>2</v>
      </c>
      <c r="E508" s="979">
        <v>1713</v>
      </c>
      <c r="F508" s="979" t="s">
        <v>4446</v>
      </c>
      <c r="G508" s="979" t="s">
        <v>4451</v>
      </c>
      <c r="H508" s="1030">
        <v>245000</v>
      </c>
      <c r="I508" s="1030">
        <v>0</v>
      </c>
      <c r="J508" s="1034">
        <v>0</v>
      </c>
      <c r="K508" s="1030">
        <v>0</v>
      </c>
      <c r="L508" s="1030">
        <v>0</v>
      </c>
      <c r="M508" s="979">
        <v>599</v>
      </c>
    </row>
    <row r="509" spans="1:13" ht="15">
      <c r="A509" s="979" t="s">
        <v>3457</v>
      </c>
      <c r="B509" s="722" t="str">
        <f>CONCATENATE(LEFT(RIGHT(CONCATENATE("000",IFAData_TEA!A509),6),3),"-",(RIGHT(RIGHT(CONCATENATE("000",IFAData_TEA!A509),6),3)))</f>
        <v>043-918</v>
      </c>
      <c r="C509" s="979" t="s">
        <v>1551</v>
      </c>
      <c r="D509" s="979">
        <v>9</v>
      </c>
      <c r="E509" s="979">
        <v>1714</v>
      </c>
      <c r="F509" s="979" t="s">
        <v>4449</v>
      </c>
      <c r="G509" s="979" t="s">
        <v>6220</v>
      </c>
      <c r="H509" s="1030">
        <v>347968</v>
      </c>
      <c r="I509" s="1030">
        <v>119752</v>
      </c>
      <c r="J509" s="1034">
        <v>0.13741821027675966</v>
      </c>
      <c r="K509" s="1030">
        <v>47817.139793583505</v>
      </c>
      <c r="L509" s="1030">
        <v>47817.139793583505</v>
      </c>
      <c r="M509" s="979">
        <v>599</v>
      </c>
    </row>
    <row r="510" spans="1:13" ht="15">
      <c r="A510" s="979" t="s">
        <v>3457</v>
      </c>
      <c r="B510" s="722" t="str">
        <f>CONCATENATE(LEFT(RIGHT(CONCATENATE("000",IFAData_TEA!A510),6),3),"-",(RIGHT(RIGHT(CONCATENATE("000",IFAData_TEA!A510),6),3)))</f>
        <v>043-918</v>
      </c>
      <c r="C510" s="979" t="s">
        <v>1551</v>
      </c>
      <c r="D510" s="979">
        <v>2</v>
      </c>
      <c r="E510" s="979">
        <v>1713</v>
      </c>
      <c r="F510" s="979" t="s">
        <v>4446</v>
      </c>
      <c r="G510" s="979" t="s">
        <v>4446</v>
      </c>
      <c r="H510" s="1030">
        <v>245000</v>
      </c>
      <c r="I510" s="1030">
        <v>0</v>
      </c>
      <c r="J510" s="1034">
        <v>0</v>
      </c>
      <c r="K510" s="1030">
        <v>0</v>
      </c>
      <c r="L510" s="1030">
        <v>0</v>
      </c>
      <c r="M510" s="979">
        <v>599</v>
      </c>
    </row>
    <row r="511" spans="1:13" ht="15">
      <c r="A511" s="979" t="s">
        <v>3457</v>
      </c>
      <c r="B511" s="722" t="str">
        <f>CONCATENATE(LEFT(RIGHT(CONCATENATE("000",IFAData_TEA!A511),6),3),"-",(RIGHT(RIGHT(CONCATENATE("000",IFAData_TEA!A511),6),3)))</f>
        <v>043-918</v>
      </c>
      <c r="C511" s="979" t="s">
        <v>1551</v>
      </c>
      <c r="D511" s="979">
        <v>2</v>
      </c>
      <c r="E511" s="979">
        <v>1713</v>
      </c>
      <c r="F511" s="979" t="s">
        <v>4446</v>
      </c>
      <c r="G511" s="979" t="s">
        <v>4450</v>
      </c>
      <c r="H511" s="1030">
        <v>245000</v>
      </c>
      <c r="I511" s="1030">
        <v>0</v>
      </c>
      <c r="J511" s="1034">
        <v>0</v>
      </c>
      <c r="K511" s="1030">
        <v>0</v>
      </c>
      <c r="L511" s="1030">
        <v>0</v>
      </c>
      <c r="M511" s="979">
        <v>599</v>
      </c>
    </row>
    <row r="512" spans="1:13" ht="15">
      <c r="A512" s="979" t="s">
        <v>3457</v>
      </c>
      <c r="B512" s="722" t="str">
        <f>CONCATENATE(LEFT(RIGHT(CONCATENATE("000",IFAData_TEA!A512),6),3),"-",(RIGHT(RIGHT(CONCATENATE("000",IFAData_TEA!A512),6),3)))</f>
        <v>043-918</v>
      </c>
      <c r="C512" s="979" t="s">
        <v>1551</v>
      </c>
      <c r="D512" s="979">
        <v>5</v>
      </c>
      <c r="E512" s="979">
        <v>1712</v>
      </c>
      <c r="F512" s="979" t="s">
        <v>4448</v>
      </c>
      <c r="G512" s="979" t="s">
        <v>4448</v>
      </c>
      <c r="H512" s="1030">
        <v>12352</v>
      </c>
      <c r="I512" s="1030">
        <v>94239</v>
      </c>
      <c r="J512" s="1034">
        <v>1</v>
      </c>
      <c r="K512" s="1030">
        <v>12352</v>
      </c>
      <c r="L512" s="1030">
        <v>12352</v>
      </c>
      <c r="M512" s="979">
        <v>599</v>
      </c>
    </row>
    <row r="513" spans="1:13" ht="15">
      <c r="A513" s="979" t="s">
        <v>3457</v>
      </c>
      <c r="B513" s="722" t="str">
        <f>CONCATENATE(LEFT(RIGHT(CONCATENATE("000",IFAData_TEA!A513),6),3),"-",(RIGHT(RIGHT(CONCATENATE("000",IFAData_TEA!A513),6),3)))</f>
        <v>043-918</v>
      </c>
      <c r="C513" s="979" t="s">
        <v>1551</v>
      </c>
      <c r="D513" s="979">
        <v>9</v>
      </c>
      <c r="E513" s="979">
        <v>1714</v>
      </c>
      <c r="F513" s="979" t="s">
        <v>4449</v>
      </c>
      <c r="G513" s="979" t="s">
        <v>4449</v>
      </c>
      <c r="H513" s="1030">
        <v>347968</v>
      </c>
      <c r="I513" s="1030">
        <v>751690</v>
      </c>
      <c r="J513" s="1034">
        <v>0.86258178972324029</v>
      </c>
      <c r="K513" s="1030">
        <v>300150.86020641646</v>
      </c>
      <c r="L513" s="1030">
        <v>300150.86020641646</v>
      </c>
      <c r="M513" s="979">
        <v>599</v>
      </c>
    </row>
    <row r="514" spans="1:13" ht="15">
      <c r="A514" s="979" t="s">
        <v>3458</v>
      </c>
      <c r="B514" s="722" t="str">
        <f>CONCATENATE(LEFT(RIGHT(CONCATENATE("000",IFAData_TEA!A514),6),3),"-",(RIGHT(RIGHT(CONCATENATE("000",IFAData_TEA!A514),6),3)))</f>
        <v>045-902</v>
      </c>
      <c r="C514" s="979" t="s">
        <v>1549</v>
      </c>
      <c r="D514" s="979">
        <v>2</v>
      </c>
      <c r="E514" s="979">
        <v>1709</v>
      </c>
      <c r="F514" s="979" t="s">
        <v>4452</v>
      </c>
      <c r="G514" s="979" t="s">
        <v>4453</v>
      </c>
      <c r="H514" s="1030">
        <v>289660</v>
      </c>
      <c r="I514" s="1030">
        <v>319460</v>
      </c>
      <c r="J514" s="1034">
        <v>1</v>
      </c>
      <c r="K514" s="1030">
        <v>289660</v>
      </c>
      <c r="L514" s="1030">
        <v>289660</v>
      </c>
      <c r="M514" s="979">
        <v>599</v>
      </c>
    </row>
    <row r="515" spans="1:13" ht="15">
      <c r="A515" s="979" t="s">
        <v>3458</v>
      </c>
      <c r="B515" s="722" t="str">
        <f>CONCATENATE(LEFT(RIGHT(CONCATENATE("000",IFAData_TEA!A515),6),3),"-",(RIGHT(RIGHT(CONCATENATE("000",IFAData_TEA!A515),6),3)))</f>
        <v>045-902</v>
      </c>
      <c r="C515" s="979" t="s">
        <v>1549</v>
      </c>
      <c r="D515" s="979">
        <v>2</v>
      </c>
      <c r="E515" s="979">
        <v>1709</v>
      </c>
      <c r="F515" s="979" t="s">
        <v>4452</v>
      </c>
      <c r="G515" s="979" t="s">
        <v>4452</v>
      </c>
      <c r="H515" s="1030">
        <v>289660</v>
      </c>
      <c r="I515" s="1030">
        <v>0</v>
      </c>
      <c r="J515" s="1034">
        <v>0</v>
      </c>
      <c r="K515" s="1030">
        <v>0</v>
      </c>
      <c r="L515" s="1030">
        <v>0</v>
      </c>
      <c r="M515" s="979">
        <v>599</v>
      </c>
    </row>
    <row r="516" spans="1:13" ht="15">
      <c r="A516" s="979" t="s">
        <v>3459</v>
      </c>
      <c r="B516" s="722" t="str">
        <f>CONCATENATE(LEFT(RIGHT(CONCATENATE("000",IFAData_TEA!A516),6),3),"-",(RIGHT(RIGHT(CONCATENATE("000",IFAData_TEA!A516),6),3)))</f>
        <v>046-901</v>
      </c>
      <c r="C516" s="979" t="s">
        <v>2206</v>
      </c>
      <c r="D516" s="979">
        <v>9</v>
      </c>
      <c r="E516" s="979">
        <v>2135</v>
      </c>
      <c r="F516" s="979" t="s">
        <v>4454</v>
      </c>
      <c r="G516" s="979" t="s">
        <v>4454</v>
      </c>
      <c r="H516" s="1030">
        <v>1200408</v>
      </c>
      <c r="I516" s="1030">
        <v>0</v>
      </c>
      <c r="J516" s="1034">
        <v>0</v>
      </c>
      <c r="K516" s="1030">
        <v>0</v>
      </c>
      <c r="L516" s="1030">
        <v>0</v>
      </c>
      <c r="M516" s="979">
        <v>599</v>
      </c>
    </row>
    <row r="517" spans="1:13" ht="15">
      <c r="A517" s="979" t="s">
        <v>3459</v>
      </c>
      <c r="B517" s="722" t="str">
        <f>CONCATENATE(LEFT(RIGHT(CONCATENATE("000",IFAData_TEA!A517),6),3),"-",(RIGHT(RIGHT(CONCATENATE("000",IFAData_TEA!A517),6),3)))</f>
        <v>046-901</v>
      </c>
      <c r="C517" s="979" t="s">
        <v>2206</v>
      </c>
      <c r="D517" s="979">
        <v>9</v>
      </c>
      <c r="E517" s="979">
        <v>2135</v>
      </c>
      <c r="F517" s="979" t="s">
        <v>4454</v>
      </c>
      <c r="G517" s="979" t="s">
        <v>6221</v>
      </c>
      <c r="H517" s="1030">
        <v>1200408</v>
      </c>
      <c r="I517" s="1030">
        <v>45806</v>
      </c>
      <c r="J517" s="1034">
        <v>5.8002909895798378E-2</v>
      </c>
      <c r="K517" s="1030">
        <v>69627.157062195532</v>
      </c>
      <c r="L517" s="1030">
        <v>45806</v>
      </c>
      <c r="M517" s="979">
        <v>599</v>
      </c>
    </row>
    <row r="518" spans="1:13" ht="15">
      <c r="A518" s="979" t="s">
        <v>3459</v>
      </c>
      <c r="B518" s="722" t="str">
        <f>CONCATENATE(LEFT(RIGHT(CONCATENATE("000",IFAData_TEA!A518),6),3),"-",(RIGHT(RIGHT(CONCATENATE("000",IFAData_TEA!A518),6),3)))</f>
        <v>046-901</v>
      </c>
      <c r="C518" s="979" t="s">
        <v>2206</v>
      </c>
      <c r="D518" s="979">
        <v>9</v>
      </c>
      <c r="E518" s="979">
        <v>2135</v>
      </c>
      <c r="F518" s="979" t="s">
        <v>4454</v>
      </c>
      <c r="G518" s="979" t="s">
        <v>4456</v>
      </c>
      <c r="H518" s="1030">
        <v>1200408</v>
      </c>
      <c r="I518" s="1030">
        <v>436438</v>
      </c>
      <c r="J518" s="1034">
        <v>0.55264973997079969</v>
      </c>
      <c r="K518" s="1030">
        <v>663405.16905886773</v>
      </c>
      <c r="L518" s="1030">
        <v>436438</v>
      </c>
      <c r="M518" s="979">
        <v>599</v>
      </c>
    </row>
    <row r="519" spans="1:13" ht="15">
      <c r="A519" s="979" t="s">
        <v>3459</v>
      </c>
      <c r="B519" s="722" t="str">
        <f>CONCATENATE(LEFT(RIGHT(CONCATENATE("000",IFAData_TEA!A519),6),3),"-",(RIGHT(RIGHT(CONCATENATE("000",IFAData_TEA!A519),6),3)))</f>
        <v>046-901</v>
      </c>
      <c r="C519" s="979" t="s">
        <v>2206</v>
      </c>
      <c r="D519" s="979">
        <v>9</v>
      </c>
      <c r="E519" s="979">
        <v>2135</v>
      </c>
      <c r="F519" s="979" t="s">
        <v>4454</v>
      </c>
      <c r="G519" s="979" t="s">
        <v>4455</v>
      </c>
      <c r="H519" s="1030">
        <v>1200408</v>
      </c>
      <c r="I519" s="1030">
        <v>307475</v>
      </c>
      <c r="J519" s="1034">
        <v>0.38934735013340188</v>
      </c>
      <c r="K519" s="1030">
        <v>467375.67387893668</v>
      </c>
      <c r="L519" s="1030">
        <v>307475</v>
      </c>
      <c r="M519" s="979">
        <v>599</v>
      </c>
    </row>
    <row r="520" spans="1:13" ht="15">
      <c r="A520" s="979" t="s">
        <v>3460</v>
      </c>
      <c r="B520" s="722" t="str">
        <f>CONCATENATE(LEFT(RIGHT(CONCATENATE("000",IFAData_TEA!A520),6),3),"-",(RIGHT(RIGHT(CONCATENATE("000",IFAData_TEA!A520),6),3)))</f>
        <v>047-901</v>
      </c>
      <c r="C520" s="979" t="s">
        <v>2208</v>
      </c>
      <c r="D520" s="979">
        <v>9</v>
      </c>
      <c r="E520" s="979">
        <v>1710</v>
      </c>
      <c r="F520" s="979" t="s">
        <v>4457</v>
      </c>
      <c r="G520" s="979" t="s">
        <v>6222</v>
      </c>
      <c r="H520" s="1030">
        <v>312761</v>
      </c>
      <c r="I520" s="1030">
        <v>148396</v>
      </c>
      <c r="J520" s="1034">
        <v>0.26283572678517025</v>
      </c>
      <c r="K520" s="1030">
        <v>82204.764745056629</v>
      </c>
      <c r="L520" s="1030">
        <v>82204.764745056629</v>
      </c>
      <c r="M520" s="979">
        <v>599</v>
      </c>
    </row>
    <row r="521" spans="1:13" ht="15">
      <c r="A521" s="979" t="s">
        <v>3460</v>
      </c>
      <c r="B521" s="722" t="str">
        <f>CONCATENATE(LEFT(RIGHT(CONCATENATE("000",IFAData_TEA!A521),6),3),"-",(RIGHT(RIGHT(CONCATENATE("000",IFAData_TEA!A521),6),3)))</f>
        <v>047-901</v>
      </c>
      <c r="C521" s="979" t="s">
        <v>2208</v>
      </c>
      <c r="D521" s="979">
        <v>9</v>
      </c>
      <c r="E521" s="979">
        <v>1710</v>
      </c>
      <c r="F521" s="979" t="s">
        <v>4457</v>
      </c>
      <c r="G521" s="979" t="s">
        <v>4457</v>
      </c>
      <c r="H521" s="1030">
        <v>312761</v>
      </c>
      <c r="I521" s="1030">
        <v>416200</v>
      </c>
      <c r="J521" s="1034">
        <v>0.73716427321482969</v>
      </c>
      <c r="K521" s="1030">
        <v>230556.23525494334</v>
      </c>
      <c r="L521" s="1030">
        <v>230556.23525494334</v>
      </c>
      <c r="M521" s="979">
        <v>599</v>
      </c>
    </row>
    <row r="522" spans="1:13" ht="15">
      <c r="A522" s="979" t="s">
        <v>3461</v>
      </c>
      <c r="B522" s="722" t="str">
        <f>CONCATENATE(LEFT(RIGHT(CONCATENATE("000",IFAData_TEA!A522),6),3),"-",(RIGHT(RIGHT(CONCATENATE("000",IFAData_TEA!A522),6),3)))</f>
        <v>047-902</v>
      </c>
      <c r="C522" s="979" t="s">
        <v>2665</v>
      </c>
      <c r="D522" s="979">
        <v>2</v>
      </c>
      <c r="E522" s="979">
        <v>1748</v>
      </c>
      <c r="F522" s="979" t="s">
        <v>4458</v>
      </c>
      <c r="G522" s="979" t="s">
        <v>4458</v>
      </c>
      <c r="H522" s="1030">
        <v>129726</v>
      </c>
      <c r="I522" s="1030">
        <v>0</v>
      </c>
      <c r="J522" s="1034">
        <v>0</v>
      </c>
      <c r="K522" s="1030"/>
      <c r="L522" s="1030">
        <v>0</v>
      </c>
      <c r="M522" s="979">
        <v>199</v>
      </c>
    </row>
    <row r="523" spans="1:13" ht="15">
      <c r="A523" s="979" t="s">
        <v>3461</v>
      </c>
      <c r="B523" s="722" t="str">
        <f>CONCATENATE(LEFT(RIGHT(CONCATENATE("000",IFAData_TEA!A523),6),3),"-",(RIGHT(RIGHT(CONCATENATE("000",IFAData_TEA!A523),6),3)))</f>
        <v>047-902</v>
      </c>
      <c r="C523" s="979" t="s">
        <v>2665</v>
      </c>
      <c r="D523" s="979">
        <v>10</v>
      </c>
      <c r="E523" s="979">
        <v>1749</v>
      </c>
      <c r="F523" s="979" t="s">
        <v>4459</v>
      </c>
      <c r="G523" s="979" t="s">
        <v>4459</v>
      </c>
      <c r="H523" s="1030">
        <v>157394</v>
      </c>
      <c r="I523" s="1030">
        <v>387313</v>
      </c>
      <c r="J523" s="1034">
        <v>1</v>
      </c>
      <c r="K523" s="1030">
        <v>157394</v>
      </c>
      <c r="L523" s="1030">
        <v>157394</v>
      </c>
      <c r="M523" s="979">
        <v>599</v>
      </c>
    </row>
    <row r="524" spans="1:13" ht="15">
      <c r="A524" s="979" t="s">
        <v>3462</v>
      </c>
      <c r="B524" s="722" t="str">
        <f>CONCATENATE(LEFT(RIGHT(CONCATENATE("000",IFAData_TEA!A524),6),3),"-",(RIGHT(RIGHT(CONCATENATE("000",IFAData_TEA!A524),6),3)))</f>
        <v>047-903</v>
      </c>
      <c r="C524" s="979" t="s">
        <v>1733</v>
      </c>
      <c r="D524" s="979">
        <v>5</v>
      </c>
      <c r="E524" s="979">
        <v>1863</v>
      </c>
      <c r="F524" s="979" t="s">
        <v>4460</v>
      </c>
      <c r="G524" s="979" t="s">
        <v>4460</v>
      </c>
      <c r="H524" s="1030">
        <v>100000</v>
      </c>
      <c r="I524" s="1030">
        <v>102265</v>
      </c>
      <c r="J524" s="1034">
        <v>0.54482347112193197</v>
      </c>
      <c r="K524" s="1030">
        <v>54482.347112193194</v>
      </c>
      <c r="L524" s="1030">
        <v>54482.347112193194</v>
      </c>
      <c r="M524" s="979">
        <v>599</v>
      </c>
    </row>
    <row r="525" spans="1:13" ht="15">
      <c r="A525" s="979" t="s">
        <v>3462</v>
      </c>
      <c r="B525" s="722" t="str">
        <f>CONCATENATE(LEFT(RIGHT(CONCATENATE("000",IFAData_TEA!A525),6),3),"-",(RIGHT(RIGHT(CONCATENATE("000",IFAData_TEA!A525),6),3)))</f>
        <v>047-903</v>
      </c>
      <c r="C525" s="979" t="s">
        <v>1733</v>
      </c>
      <c r="D525" s="979">
        <v>5</v>
      </c>
      <c r="E525" s="979">
        <v>1863</v>
      </c>
      <c r="F525" s="979" t="s">
        <v>4460</v>
      </c>
      <c r="G525" s="979" t="s">
        <v>4461</v>
      </c>
      <c r="H525" s="1030">
        <v>100000</v>
      </c>
      <c r="I525" s="1030">
        <v>85438</v>
      </c>
      <c r="J525" s="1034">
        <v>0.45517652887806803</v>
      </c>
      <c r="K525" s="1030">
        <v>45517.652887806806</v>
      </c>
      <c r="L525" s="1030">
        <v>45517.652887806806</v>
      </c>
      <c r="M525" s="979">
        <v>599</v>
      </c>
    </row>
    <row r="526" spans="1:13" ht="15">
      <c r="A526" s="979" t="s">
        <v>3463</v>
      </c>
      <c r="B526" s="722" t="str">
        <f>CONCATENATE(LEFT(RIGHT(CONCATENATE("000",IFAData_TEA!A526),6),3),"-",(RIGHT(RIGHT(CONCATENATE("000",IFAData_TEA!A526),6),3)))</f>
        <v>047-905</v>
      </c>
      <c r="C526" s="979" t="s">
        <v>2209</v>
      </c>
      <c r="D526" s="979">
        <v>10</v>
      </c>
      <c r="E526" s="979">
        <v>2332</v>
      </c>
      <c r="F526" s="979" t="s">
        <v>4462</v>
      </c>
      <c r="G526" s="979" t="s">
        <v>4462</v>
      </c>
      <c r="H526" s="1030">
        <v>99680</v>
      </c>
      <c r="I526" s="1030">
        <v>93975</v>
      </c>
      <c r="J526" s="1034">
        <v>1</v>
      </c>
      <c r="K526" s="1030">
        <v>99680</v>
      </c>
      <c r="L526" s="1030">
        <v>93975</v>
      </c>
      <c r="M526" s="979">
        <v>599</v>
      </c>
    </row>
    <row r="527" spans="1:13" ht="15">
      <c r="A527" s="979" t="s">
        <v>3464</v>
      </c>
      <c r="B527" s="722" t="str">
        <f>CONCATENATE(LEFT(RIGHT(CONCATENATE("000",IFAData_TEA!A527),6),3),"-",(RIGHT(RIGHT(CONCATENATE("000",IFAData_TEA!A527),6),3)))</f>
        <v>049-901</v>
      </c>
      <c r="C527" s="979" t="s">
        <v>1479</v>
      </c>
      <c r="D527" s="979">
        <v>1</v>
      </c>
      <c r="E527" s="979">
        <v>1833</v>
      </c>
      <c r="F527" s="979" t="s">
        <v>4463</v>
      </c>
      <c r="G527" s="979" t="s">
        <v>6223</v>
      </c>
      <c r="H527" s="1030">
        <v>301682</v>
      </c>
      <c r="I527" s="1030">
        <v>129193</v>
      </c>
      <c r="J527" s="1034">
        <v>0.60406691853070993</v>
      </c>
      <c r="K527" s="1030">
        <v>182236.11611618163</v>
      </c>
      <c r="L527" s="1030">
        <v>129193</v>
      </c>
      <c r="M527" s="979">
        <v>599</v>
      </c>
    </row>
    <row r="528" spans="1:13" ht="15">
      <c r="A528" s="979" t="s">
        <v>3464</v>
      </c>
      <c r="B528" s="722" t="str">
        <f>CONCATENATE(LEFT(RIGHT(CONCATENATE("000",IFAData_TEA!A528),6),3),"-",(RIGHT(RIGHT(CONCATENATE("000",IFAData_TEA!A528),6),3)))</f>
        <v>049-901</v>
      </c>
      <c r="C528" s="979" t="s">
        <v>1479</v>
      </c>
      <c r="D528" s="979">
        <v>1</v>
      </c>
      <c r="E528" s="979">
        <v>1833</v>
      </c>
      <c r="F528" s="979" t="s">
        <v>4463</v>
      </c>
      <c r="G528" s="979" t="s">
        <v>4464</v>
      </c>
      <c r="H528" s="1030">
        <v>301682</v>
      </c>
      <c r="I528" s="1030">
        <v>84679</v>
      </c>
      <c r="J528" s="1034">
        <v>0.39593308146929002</v>
      </c>
      <c r="K528" s="1030">
        <v>119445.88388381834</v>
      </c>
      <c r="L528" s="1030">
        <v>84679</v>
      </c>
      <c r="M528" s="979">
        <v>599</v>
      </c>
    </row>
    <row r="529" spans="1:13" ht="15">
      <c r="A529" s="979" t="s">
        <v>3464</v>
      </c>
      <c r="B529" s="722" t="str">
        <f>CONCATENATE(LEFT(RIGHT(CONCATENATE("000",IFAData_TEA!A529),6),3),"-",(RIGHT(RIGHT(CONCATENATE("000",IFAData_TEA!A529),6),3)))</f>
        <v>049-901</v>
      </c>
      <c r="C529" s="979" t="s">
        <v>1479</v>
      </c>
      <c r="D529" s="979">
        <v>1</v>
      </c>
      <c r="E529" s="979">
        <v>1833</v>
      </c>
      <c r="F529" s="979" t="s">
        <v>4463</v>
      </c>
      <c r="G529" s="979" t="s">
        <v>4463</v>
      </c>
      <c r="H529" s="1030">
        <v>301682</v>
      </c>
      <c r="I529" s="1030">
        <v>0</v>
      </c>
      <c r="J529" s="1034">
        <v>0</v>
      </c>
      <c r="K529" s="1030">
        <v>0</v>
      </c>
      <c r="L529" s="1030">
        <v>0</v>
      </c>
      <c r="M529" s="979">
        <v>599</v>
      </c>
    </row>
    <row r="530" spans="1:13" ht="15">
      <c r="A530" s="979" t="s">
        <v>3465</v>
      </c>
      <c r="B530" s="722" t="str">
        <f>CONCATENATE(LEFT(RIGHT(CONCATENATE("000",IFAData_TEA!A530),6),3),"-",(RIGHT(RIGHT(CONCATENATE("000",IFAData_TEA!A530),6),3)))</f>
        <v>049-903</v>
      </c>
      <c r="C530" s="979" t="s">
        <v>2364</v>
      </c>
      <c r="D530" s="979">
        <v>6</v>
      </c>
      <c r="E530" s="979">
        <v>2411</v>
      </c>
      <c r="F530" s="979" t="s">
        <v>4465</v>
      </c>
      <c r="G530" s="979" t="s">
        <v>4465</v>
      </c>
      <c r="H530" s="1030">
        <v>163056</v>
      </c>
      <c r="I530" s="1030">
        <v>0</v>
      </c>
      <c r="J530" s="1034">
        <v>0</v>
      </c>
      <c r="K530" s="1030">
        <v>0</v>
      </c>
      <c r="L530" s="1030">
        <v>0</v>
      </c>
      <c r="M530" s="979">
        <v>599</v>
      </c>
    </row>
    <row r="531" spans="1:13" ht="15">
      <c r="A531" s="979" t="s">
        <v>3465</v>
      </c>
      <c r="B531" s="722" t="str">
        <f>CONCATENATE(LEFT(RIGHT(CONCATENATE("000",IFAData_TEA!A531),6),3),"-",(RIGHT(RIGHT(CONCATENATE("000",IFAData_TEA!A531),6),3)))</f>
        <v>049-903</v>
      </c>
      <c r="C531" s="979" t="s">
        <v>2364</v>
      </c>
      <c r="D531" s="979">
        <v>6</v>
      </c>
      <c r="E531" s="979">
        <v>2411</v>
      </c>
      <c r="F531" s="979" t="s">
        <v>4465</v>
      </c>
      <c r="G531" s="979" t="s">
        <v>4466</v>
      </c>
      <c r="H531" s="1030">
        <v>163056</v>
      </c>
      <c r="I531" s="1030">
        <v>155619</v>
      </c>
      <c r="J531" s="1034">
        <v>1</v>
      </c>
      <c r="K531" s="1030">
        <v>163056</v>
      </c>
      <c r="L531" s="1030">
        <v>155619</v>
      </c>
      <c r="M531" s="979">
        <v>599</v>
      </c>
    </row>
    <row r="532" spans="1:13" ht="15">
      <c r="A532" s="979" t="s">
        <v>3466</v>
      </c>
      <c r="B532" s="722" t="str">
        <f>CONCATENATE(LEFT(RIGHT(CONCATENATE("000",IFAData_TEA!A532),6),3),"-",(RIGHT(RIGHT(CONCATENATE("000",IFAData_TEA!A532),6),3)))</f>
        <v>049-906</v>
      </c>
      <c r="C532" s="979" t="s">
        <v>2214</v>
      </c>
      <c r="D532" s="979">
        <v>9</v>
      </c>
      <c r="E532" s="979">
        <v>1802</v>
      </c>
      <c r="F532" s="979" t="s">
        <v>4467</v>
      </c>
      <c r="G532" s="979" t="s">
        <v>4467</v>
      </c>
      <c r="H532" s="1030">
        <v>43739</v>
      </c>
      <c r="I532" s="1030">
        <v>156351</v>
      </c>
      <c r="J532" s="1034">
        <v>1</v>
      </c>
      <c r="K532" s="1030">
        <v>43739</v>
      </c>
      <c r="L532" s="1030">
        <v>43739</v>
      </c>
      <c r="M532" s="979">
        <v>599</v>
      </c>
    </row>
    <row r="533" spans="1:13" ht="15">
      <c r="A533" s="979" t="s">
        <v>3467</v>
      </c>
      <c r="B533" s="722" t="str">
        <f>CONCATENATE(LEFT(RIGHT(CONCATENATE("000",IFAData_TEA!A533),6),3),"-",(RIGHT(RIGHT(CONCATENATE("000",IFAData_TEA!A533),6),3)))</f>
        <v>050-904</v>
      </c>
      <c r="C533" s="979" t="s">
        <v>261</v>
      </c>
      <c r="D533" s="979">
        <v>5</v>
      </c>
      <c r="E533" s="979">
        <v>2157</v>
      </c>
      <c r="F533" s="979" t="s">
        <v>4468</v>
      </c>
      <c r="G533" s="979" t="s">
        <v>4468</v>
      </c>
      <c r="H533" s="1030">
        <v>93713</v>
      </c>
      <c r="I533" s="1030">
        <v>94235</v>
      </c>
      <c r="J533" s="1034">
        <v>1</v>
      </c>
      <c r="K533" s="1030">
        <v>93713</v>
      </c>
      <c r="L533" s="1030">
        <v>93713</v>
      </c>
      <c r="M533" s="979">
        <v>599</v>
      </c>
    </row>
    <row r="534" spans="1:13" ht="15">
      <c r="A534" s="979" t="s">
        <v>3468</v>
      </c>
      <c r="B534" s="722" t="str">
        <f>CONCATENATE(LEFT(RIGHT(CONCATENATE("000",IFAData_TEA!A534),6),3),"-",(RIGHT(RIGHT(CONCATENATE("000",IFAData_TEA!A534),6),3)))</f>
        <v>050-910</v>
      </c>
      <c r="C534" s="979" t="s">
        <v>2573</v>
      </c>
      <c r="D534" s="979">
        <v>1</v>
      </c>
      <c r="E534" s="979">
        <v>1720</v>
      </c>
      <c r="F534" s="979" t="s">
        <v>4469</v>
      </c>
      <c r="G534" s="979" t="s">
        <v>4472</v>
      </c>
      <c r="H534" s="1030">
        <v>767600</v>
      </c>
      <c r="I534" s="1030">
        <v>0</v>
      </c>
      <c r="J534" s="1034">
        <v>0</v>
      </c>
      <c r="K534" s="1030">
        <v>0</v>
      </c>
      <c r="L534" s="1030">
        <v>0</v>
      </c>
      <c r="M534" s="979">
        <v>599</v>
      </c>
    </row>
    <row r="535" spans="1:13" ht="15">
      <c r="A535" s="979" t="s">
        <v>3468</v>
      </c>
      <c r="B535" s="722" t="str">
        <f>CONCATENATE(LEFT(RIGHT(CONCATENATE("000",IFAData_TEA!A535),6),3),"-",(RIGHT(RIGHT(CONCATENATE("000",IFAData_TEA!A535),6),3)))</f>
        <v>050-910</v>
      </c>
      <c r="C535" s="979" t="s">
        <v>2573</v>
      </c>
      <c r="D535" s="979">
        <v>1</v>
      </c>
      <c r="E535" s="979">
        <v>1720</v>
      </c>
      <c r="F535" s="979" t="s">
        <v>4469</v>
      </c>
      <c r="G535" s="979" t="s">
        <v>4470</v>
      </c>
      <c r="H535" s="1030">
        <v>767600</v>
      </c>
      <c r="I535" s="1030">
        <v>2427967</v>
      </c>
      <c r="J535" s="1034">
        <v>0.97194802969685856</v>
      </c>
      <c r="K535" s="1030">
        <v>746067.30759530864</v>
      </c>
      <c r="L535" s="1030">
        <v>746067.30759530864</v>
      </c>
      <c r="M535" s="979">
        <v>599</v>
      </c>
    </row>
    <row r="536" spans="1:13" ht="15">
      <c r="A536" s="979" t="s">
        <v>3468</v>
      </c>
      <c r="B536" s="722" t="str">
        <f>CONCATENATE(LEFT(RIGHT(CONCATENATE("000",IFAData_TEA!A536),6),3),"-",(RIGHT(RIGHT(CONCATENATE("000",IFAData_TEA!A536),6),3)))</f>
        <v>050-910</v>
      </c>
      <c r="C536" s="979" t="s">
        <v>2573</v>
      </c>
      <c r="D536" s="979">
        <v>1</v>
      </c>
      <c r="E536" s="979">
        <v>1720</v>
      </c>
      <c r="F536" s="979" t="s">
        <v>4469</v>
      </c>
      <c r="G536" s="979" t="s">
        <v>4471</v>
      </c>
      <c r="H536" s="1030">
        <v>767600</v>
      </c>
      <c r="I536" s="1030">
        <v>0</v>
      </c>
      <c r="J536" s="1034">
        <v>0</v>
      </c>
      <c r="K536" s="1030">
        <v>0</v>
      </c>
      <c r="L536" s="1030">
        <v>0</v>
      </c>
      <c r="M536" s="979">
        <v>599</v>
      </c>
    </row>
    <row r="537" spans="1:13" ht="15">
      <c r="A537" s="979" t="s">
        <v>3468</v>
      </c>
      <c r="B537" s="722" t="str">
        <f>CONCATENATE(LEFT(RIGHT(CONCATENATE("000",IFAData_TEA!A537),6),3),"-",(RIGHT(RIGHT(CONCATENATE("000",IFAData_TEA!A537),6),3)))</f>
        <v>050-910</v>
      </c>
      <c r="C537" s="979" t="s">
        <v>2573</v>
      </c>
      <c r="D537" s="979">
        <v>1</v>
      </c>
      <c r="E537" s="979">
        <v>1720</v>
      </c>
      <c r="F537" s="979" t="s">
        <v>4469</v>
      </c>
      <c r="G537" s="979" t="s">
        <v>4469</v>
      </c>
      <c r="H537" s="1030">
        <v>767600</v>
      </c>
      <c r="I537" s="1030">
        <v>0</v>
      </c>
      <c r="J537" s="1034">
        <v>0</v>
      </c>
      <c r="K537" s="1030">
        <v>0</v>
      </c>
      <c r="L537" s="1030">
        <v>0</v>
      </c>
      <c r="M537" s="979">
        <v>599</v>
      </c>
    </row>
    <row r="538" spans="1:13" ht="15">
      <c r="A538" s="979" t="s">
        <v>3468</v>
      </c>
      <c r="B538" s="722" t="str">
        <f>CONCATENATE(LEFT(RIGHT(CONCATENATE("000",IFAData_TEA!A538),6),3),"-",(RIGHT(RIGHT(CONCATENATE("000",IFAData_TEA!A538),6),3)))</f>
        <v>050-910</v>
      </c>
      <c r="C538" s="979" t="s">
        <v>2573</v>
      </c>
      <c r="D538" s="979">
        <v>1</v>
      </c>
      <c r="E538" s="979">
        <v>1720</v>
      </c>
      <c r="F538" s="979" t="s">
        <v>4469</v>
      </c>
      <c r="G538" s="979" t="s">
        <v>6224</v>
      </c>
      <c r="H538" s="1030">
        <v>767600</v>
      </c>
      <c r="I538" s="1030">
        <v>70075</v>
      </c>
      <c r="J538" s="1034">
        <v>2.8051970303141421E-2</v>
      </c>
      <c r="K538" s="1030">
        <v>21532.692404691355</v>
      </c>
      <c r="L538" s="1030">
        <v>21532.692404691355</v>
      </c>
      <c r="M538" s="979">
        <v>599</v>
      </c>
    </row>
    <row r="539" spans="1:13" ht="15">
      <c r="A539" s="979" t="s">
        <v>3469</v>
      </c>
      <c r="B539" s="722" t="str">
        <f>CONCATENATE(LEFT(RIGHT(CONCATENATE("000",IFAData_TEA!A539),6),3),"-",(RIGHT(RIGHT(CONCATENATE("000",IFAData_TEA!A539),6),3)))</f>
        <v>057-906</v>
      </c>
      <c r="C539" s="979" t="s">
        <v>128</v>
      </c>
      <c r="D539" s="979">
        <v>9</v>
      </c>
      <c r="E539" s="979">
        <v>1752</v>
      </c>
      <c r="F539" s="979" t="s">
        <v>4473</v>
      </c>
      <c r="G539" s="979" t="s">
        <v>4473</v>
      </c>
      <c r="H539" s="1030">
        <v>1796397</v>
      </c>
      <c r="I539" s="1030">
        <v>1922953</v>
      </c>
      <c r="J539" s="1034">
        <v>1</v>
      </c>
      <c r="K539" s="1030">
        <v>1796397</v>
      </c>
      <c r="L539" s="1030">
        <v>1796397</v>
      </c>
      <c r="M539" s="979">
        <v>599</v>
      </c>
    </row>
    <row r="540" spans="1:13" ht="15">
      <c r="A540" s="979" t="s">
        <v>3470</v>
      </c>
      <c r="B540" s="722" t="str">
        <f>CONCATENATE(LEFT(RIGHT(CONCATENATE("000",IFAData_TEA!A540),6),3),"-",(RIGHT(RIGHT(CONCATENATE("000",IFAData_TEA!A540),6),3)))</f>
        <v>057-909</v>
      </c>
      <c r="C540" s="979" t="s">
        <v>1482</v>
      </c>
      <c r="D540" s="979">
        <v>1</v>
      </c>
      <c r="E540" s="979">
        <v>1842</v>
      </c>
      <c r="F540" s="979" t="s">
        <v>4474</v>
      </c>
      <c r="G540" s="979" t="s">
        <v>4477</v>
      </c>
      <c r="H540" s="1030">
        <v>1619723</v>
      </c>
      <c r="I540" s="1030">
        <v>0</v>
      </c>
      <c r="J540" s="1034">
        <v>0</v>
      </c>
      <c r="K540" s="1030">
        <v>0</v>
      </c>
      <c r="L540" s="1030">
        <v>0</v>
      </c>
      <c r="M540" s="979">
        <v>599</v>
      </c>
    </row>
    <row r="541" spans="1:13" ht="15">
      <c r="A541" s="979" t="s">
        <v>3470</v>
      </c>
      <c r="B541" s="722" t="str">
        <f>CONCATENATE(LEFT(RIGHT(CONCATENATE("000",IFAData_TEA!A541),6),3),"-",(RIGHT(RIGHT(CONCATENATE("000",IFAData_TEA!A541),6),3)))</f>
        <v>057-909</v>
      </c>
      <c r="C541" s="979" t="s">
        <v>1482</v>
      </c>
      <c r="D541" s="979">
        <v>1</v>
      </c>
      <c r="E541" s="979">
        <v>1842</v>
      </c>
      <c r="F541" s="979" t="s">
        <v>4474</v>
      </c>
      <c r="G541" s="979" t="s">
        <v>4474</v>
      </c>
      <c r="H541" s="1030">
        <v>1619723</v>
      </c>
      <c r="I541" s="1030">
        <v>0</v>
      </c>
      <c r="J541" s="1034">
        <v>0</v>
      </c>
      <c r="K541" s="1030">
        <v>0</v>
      </c>
      <c r="L541" s="1030">
        <v>0</v>
      </c>
      <c r="M541" s="979">
        <v>599</v>
      </c>
    </row>
    <row r="542" spans="1:13" ht="15">
      <c r="A542" s="979" t="s">
        <v>3470</v>
      </c>
      <c r="B542" s="722" t="str">
        <f>CONCATENATE(LEFT(RIGHT(CONCATENATE("000",IFAData_TEA!A542),6),3),"-",(RIGHT(RIGHT(CONCATENATE("000",IFAData_TEA!A542),6),3)))</f>
        <v>057-909</v>
      </c>
      <c r="C542" s="979" t="s">
        <v>1482</v>
      </c>
      <c r="D542" s="979">
        <v>1</v>
      </c>
      <c r="E542" s="979">
        <v>1842</v>
      </c>
      <c r="F542" s="979" t="s">
        <v>4474</v>
      </c>
      <c r="G542" s="979" t="s">
        <v>4478</v>
      </c>
      <c r="H542" s="1030">
        <v>1619723</v>
      </c>
      <c r="I542" s="1030">
        <v>19627</v>
      </c>
      <c r="J542" s="1034">
        <v>4.019693981416058E-2</v>
      </c>
      <c r="K542" s="1030">
        <v>65107.907946611616</v>
      </c>
      <c r="L542" s="1030">
        <v>19627</v>
      </c>
      <c r="M542" s="979">
        <v>599</v>
      </c>
    </row>
    <row r="543" spans="1:13" ht="15">
      <c r="A543" s="979" t="s">
        <v>3470</v>
      </c>
      <c r="B543" s="722" t="str">
        <f>CONCATENATE(LEFT(RIGHT(CONCATENATE("000",IFAData_TEA!A543),6),3),"-",(RIGHT(RIGHT(CONCATENATE("000",IFAData_TEA!A543),6),3)))</f>
        <v>057-909</v>
      </c>
      <c r="C543" s="979" t="s">
        <v>1482</v>
      </c>
      <c r="D543" s="979">
        <v>1</v>
      </c>
      <c r="E543" s="979">
        <v>1843</v>
      </c>
      <c r="F543" s="979" t="s">
        <v>4479</v>
      </c>
      <c r="G543" s="979" t="s">
        <v>4478</v>
      </c>
      <c r="H543" s="1030">
        <v>8781971</v>
      </c>
      <c r="I543" s="1030">
        <v>104442</v>
      </c>
      <c r="J543" s="1034">
        <v>3.5241443467821203E-2</v>
      </c>
      <c r="K543" s="1030">
        <v>309489.33453254524</v>
      </c>
      <c r="L543" s="1030">
        <v>104442</v>
      </c>
      <c r="M543" s="979">
        <v>599</v>
      </c>
    </row>
    <row r="544" spans="1:13" ht="15">
      <c r="A544" s="979" t="s">
        <v>3470</v>
      </c>
      <c r="B544" s="722" t="str">
        <f>CONCATENATE(LEFT(RIGHT(CONCATENATE("000",IFAData_TEA!A544),6),3),"-",(RIGHT(RIGHT(CONCATENATE("000",IFAData_TEA!A544),6),3)))</f>
        <v>057-909</v>
      </c>
      <c r="C544" s="979" t="s">
        <v>1482</v>
      </c>
      <c r="D544" s="979">
        <v>1</v>
      </c>
      <c r="E544" s="979">
        <v>1843</v>
      </c>
      <c r="F544" s="979" t="s">
        <v>4479</v>
      </c>
      <c r="G544" s="979" t="s">
        <v>4477</v>
      </c>
      <c r="H544" s="1030">
        <v>8781971</v>
      </c>
      <c r="I544" s="1030">
        <v>0</v>
      </c>
      <c r="J544" s="1034">
        <v>0</v>
      </c>
      <c r="K544" s="1030">
        <v>0</v>
      </c>
      <c r="L544" s="1030">
        <v>0</v>
      </c>
      <c r="M544" s="979">
        <v>599</v>
      </c>
    </row>
    <row r="545" spans="1:13" ht="15">
      <c r="A545" s="979" t="s">
        <v>3470</v>
      </c>
      <c r="B545" s="722" t="str">
        <f>CONCATENATE(LEFT(RIGHT(CONCATENATE("000",IFAData_TEA!A545),6),3),"-",(RIGHT(RIGHT(CONCATENATE("000",IFAData_TEA!A545),6),3)))</f>
        <v>057-909</v>
      </c>
      <c r="C545" s="979" t="s">
        <v>1482</v>
      </c>
      <c r="D545" s="979">
        <v>1</v>
      </c>
      <c r="E545" s="979">
        <v>1842</v>
      </c>
      <c r="F545" s="979" t="s">
        <v>4474</v>
      </c>
      <c r="G545" s="979" t="s">
        <v>4475</v>
      </c>
      <c r="H545" s="1030">
        <v>1619723</v>
      </c>
      <c r="I545" s="1030">
        <v>0</v>
      </c>
      <c r="J545" s="1034">
        <v>0</v>
      </c>
      <c r="K545" s="1030">
        <v>0</v>
      </c>
      <c r="L545" s="1030">
        <v>0</v>
      </c>
      <c r="M545" s="979">
        <v>599</v>
      </c>
    </row>
    <row r="546" spans="1:13" ht="15">
      <c r="A546" s="979" t="s">
        <v>3470</v>
      </c>
      <c r="B546" s="722" t="str">
        <f>CONCATENATE(LEFT(RIGHT(CONCATENATE("000",IFAData_TEA!A546),6),3),"-",(RIGHT(RIGHT(CONCATENATE("000",IFAData_TEA!A546),6),3)))</f>
        <v>057-909</v>
      </c>
      <c r="C546" s="979" t="s">
        <v>1482</v>
      </c>
      <c r="D546" s="979">
        <v>1</v>
      </c>
      <c r="E546" s="979">
        <v>1843</v>
      </c>
      <c r="F546" s="979" t="s">
        <v>4479</v>
      </c>
      <c r="G546" s="979" t="s">
        <v>4476</v>
      </c>
      <c r="H546" s="1030">
        <v>8781971</v>
      </c>
      <c r="I546" s="1030">
        <v>2053148</v>
      </c>
      <c r="J546" s="1034">
        <v>0.69278546152955867</v>
      </c>
      <c r="K546" s="1030">
        <v>6084021.8323742002</v>
      </c>
      <c r="L546" s="1030">
        <v>2053148</v>
      </c>
      <c r="M546" s="979">
        <v>599</v>
      </c>
    </row>
    <row r="547" spans="1:13" ht="15">
      <c r="A547" s="979" t="s">
        <v>3470</v>
      </c>
      <c r="B547" s="722" t="str">
        <f>CONCATENATE(LEFT(RIGHT(CONCATENATE("000",IFAData_TEA!A547),6),3),"-",(RIGHT(RIGHT(CONCATENATE("000",IFAData_TEA!A547),6),3)))</f>
        <v>057-909</v>
      </c>
      <c r="C547" s="979" t="s">
        <v>1482</v>
      </c>
      <c r="D547" s="979">
        <v>1</v>
      </c>
      <c r="E547" s="979">
        <v>1843</v>
      </c>
      <c r="F547" s="979" t="s">
        <v>4479</v>
      </c>
      <c r="G547" s="979" t="s">
        <v>4475</v>
      </c>
      <c r="H547" s="1030">
        <v>8781971</v>
      </c>
      <c r="I547" s="1030">
        <v>798849</v>
      </c>
      <c r="J547" s="1034">
        <v>0.26955240107260969</v>
      </c>
      <c r="K547" s="1030">
        <v>2367201.3692000271</v>
      </c>
      <c r="L547" s="1030">
        <v>798849</v>
      </c>
      <c r="M547" s="979">
        <v>599</v>
      </c>
    </row>
    <row r="548" spans="1:13" ht="15">
      <c r="A548" s="979" t="s">
        <v>3470</v>
      </c>
      <c r="B548" s="722" t="str">
        <f>CONCATENATE(LEFT(RIGHT(CONCATENATE("000",IFAData_TEA!A548),6),3),"-",(RIGHT(RIGHT(CONCATENATE("000",IFAData_TEA!A548),6),3)))</f>
        <v>057-909</v>
      </c>
      <c r="C548" s="979" t="s">
        <v>1482</v>
      </c>
      <c r="D548" s="979">
        <v>1</v>
      </c>
      <c r="E548" s="979">
        <v>1842</v>
      </c>
      <c r="F548" s="979" t="s">
        <v>4474</v>
      </c>
      <c r="G548" s="979" t="s">
        <v>6225</v>
      </c>
      <c r="H548" s="1030">
        <v>1619723</v>
      </c>
      <c r="I548" s="1030">
        <v>1348</v>
      </c>
      <c r="J548" s="1034">
        <v>2.7607619539149367E-3</v>
      </c>
      <c r="K548" s="1030">
        <v>4471.6696342809628</v>
      </c>
      <c r="L548" s="1030">
        <v>1348</v>
      </c>
      <c r="M548" s="979">
        <v>599</v>
      </c>
    </row>
    <row r="549" spans="1:13" ht="15">
      <c r="A549" s="979" t="s">
        <v>3470</v>
      </c>
      <c r="B549" s="722" t="str">
        <f>CONCATENATE(LEFT(RIGHT(CONCATENATE("000",IFAData_TEA!A549),6),3),"-",(RIGHT(RIGHT(CONCATENATE("000",IFAData_TEA!A549),6),3)))</f>
        <v>057-909</v>
      </c>
      <c r="C549" s="979" t="s">
        <v>1482</v>
      </c>
      <c r="D549" s="979">
        <v>1</v>
      </c>
      <c r="E549" s="979">
        <v>1843</v>
      </c>
      <c r="F549" s="979" t="s">
        <v>4479</v>
      </c>
      <c r="G549" s="979" t="s">
        <v>4479</v>
      </c>
      <c r="H549" s="1030">
        <v>8781971</v>
      </c>
      <c r="I549" s="1030">
        <v>0</v>
      </c>
      <c r="J549" s="1034">
        <v>0</v>
      </c>
      <c r="K549" s="1030">
        <v>0</v>
      </c>
      <c r="L549" s="1030">
        <v>0</v>
      </c>
      <c r="M549" s="979">
        <v>599</v>
      </c>
    </row>
    <row r="550" spans="1:13" ht="15">
      <c r="A550" s="979" t="s">
        <v>3470</v>
      </c>
      <c r="B550" s="722" t="str">
        <f>CONCATENATE(LEFT(RIGHT(CONCATENATE("000",IFAData_TEA!A550),6),3),"-",(RIGHT(RIGHT(CONCATENATE("000",IFAData_TEA!A550),6),3)))</f>
        <v>057-909</v>
      </c>
      <c r="C550" s="979" t="s">
        <v>1482</v>
      </c>
      <c r="D550" s="979">
        <v>1</v>
      </c>
      <c r="E550" s="979">
        <v>1842</v>
      </c>
      <c r="F550" s="979" t="s">
        <v>4474</v>
      </c>
      <c r="G550" s="979" t="s">
        <v>4476</v>
      </c>
      <c r="H550" s="1030">
        <v>1619723</v>
      </c>
      <c r="I550" s="1030">
        <v>467296</v>
      </c>
      <c r="J550" s="1034">
        <v>0.95704229823192444</v>
      </c>
      <c r="K550" s="1030">
        <v>1550143.4224191073</v>
      </c>
      <c r="L550" s="1030">
        <v>467296</v>
      </c>
      <c r="M550" s="979">
        <v>599</v>
      </c>
    </row>
    <row r="551" spans="1:13" ht="15">
      <c r="A551" s="979" t="s">
        <v>3470</v>
      </c>
      <c r="B551" s="722" t="str">
        <f>CONCATENATE(LEFT(RIGHT(CONCATENATE("000",IFAData_TEA!A551),6),3),"-",(RIGHT(RIGHT(CONCATENATE("000",IFAData_TEA!A551),6),3)))</f>
        <v>057-909</v>
      </c>
      <c r="C551" s="979" t="s">
        <v>1482</v>
      </c>
      <c r="D551" s="979">
        <v>1</v>
      </c>
      <c r="E551" s="979">
        <v>1843</v>
      </c>
      <c r="F551" s="979" t="s">
        <v>4479</v>
      </c>
      <c r="G551" s="979" t="s">
        <v>6225</v>
      </c>
      <c r="H551" s="1030">
        <v>8781971</v>
      </c>
      <c r="I551" s="1030">
        <v>7174</v>
      </c>
      <c r="J551" s="1034">
        <v>2.42069393001043E-3</v>
      </c>
      <c r="K551" s="1030">
        <v>21258.463893227625</v>
      </c>
      <c r="L551" s="1030">
        <v>7174</v>
      </c>
      <c r="M551" s="979">
        <v>599</v>
      </c>
    </row>
    <row r="552" spans="1:13" ht="15">
      <c r="A552" s="979" t="s">
        <v>3471</v>
      </c>
      <c r="B552" s="722" t="str">
        <f>CONCATENATE(LEFT(RIGHT(CONCATENATE("000",IFAData_TEA!A552),6),3),"-",(RIGHT(RIGHT(CONCATENATE("000",IFAData_TEA!A552),6),3)))</f>
        <v>057-910</v>
      </c>
      <c r="C552" s="979" t="s">
        <v>863</v>
      </c>
      <c r="D552" s="979">
        <v>5</v>
      </c>
      <c r="E552" s="979">
        <v>1854</v>
      </c>
      <c r="F552" s="979" t="s">
        <v>4480</v>
      </c>
      <c r="G552" s="979" t="s">
        <v>4480</v>
      </c>
      <c r="H552" s="1030">
        <v>1848646</v>
      </c>
      <c r="I552" s="1030">
        <v>0</v>
      </c>
      <c r="J552" s="1034">
        <v>0</v>
      </c>
      <c r="K552" s="1030"/>
      <c r="L552" s="1030">
        <v>0</v>
      </c>
      <c r="M552" s="979">
        <v>599</v>
      </c>
    </row>
    <row r="553" spans="1:13" ht="15">
      <c r="A553" s="979" t="s">
        <v>3471</v>
      </c>
      <c r="B553" s="722" t="str">
        <f>CONCATENATE(LEFT(RIGHT(CONCATENATE("000",IFAData_TEA!A553),6),3),"-",(RIGHT(RIGHT(CONCATENATE("000",IFAData_TEA!A553),6),3)))</f>
        <v>057-910</v>
      </c>
      <c r="C553" s="979" t="s">
        <v>863</v>
      </c>
      <c r="D553" s="979">
        <v>5</v>
      </c>
      <c r="E553" s="979">
        <v>1855</v>
      </c>
      <c r="F553" s="979" t="s">
        <v>4481</v>
      </c>
      <c r="G553" s="979" t="s">
        <v>4481</v>
      </c>
      <c r="H553" s="1030">
        <v>2988473</v>
      </c>
      <c r="I553" s="1030">
        <v>3710388</v>
      </c>
      <c r="J553" s="1034">
        <v>0.62761653628775049</v>
      </c>
      <c r="K553" s="1030">
        <v>1875615.0730494626</v>
      </c>
      <c r="L553" s="1030">
        <v>1875615.0730494626</v>
      </c>
      <c r="M553" s="979">
        <v>599</v>
      </c>
    </row>
    <row r="554" spans="1:13" ht="15">
      <c r="A554" s="979" t="s">
        <v>3471</v>
      </c>
      <c r="B554" s="722" t="str">
        <f>CONCATENATE(LEFT(RIGHT(CONCATENATE("000",IFAData_TEA!A554),6),3),"-",(RIGHT(RIGHT(CONCATENATE("000",IFAData_TEA!A554),6),3)))</f>
        <v>057-910</v>
      </c>
      <c r="C554" s="979" t="s">
        <v>863</v>
      </c>
      <c r="D554" s="979">
        <v>5</v>
      </c>
      <c r="E554" s="979">
        <v>1855</v>
      </c>
      <c r="F554" s="979" t="s">
        <v>4481</v>
      </c>
      <c r="G554" s="979" t="s">
        <v>4483</v>
      </c>
      <c r="H554" s="1030">
        <v>2988473</v>
      </c>
      <c r="I554" s="1030">
        <v>1978016</v>
      </c>
      <c r="J554" s="1034">
        <v>0.33458375529506651</v>
      </c>
      <c r="K554" s="1030">
        <v>999894.51893791335</v>
      </c>
      <c r="L554" s="1030">
        <v>999894.51893791335</v>
      </c>
      <c r="M554" s="979">
        <v>599</v>
      </c>
    </row>
    <row r="555" spans="1:13" ht="15">
      <c r="A555" s="979" t="s">
        <v>3471</v>
      </c>
      <c r="B555" s="722" t="str">
        <f>CONCATENATE(LEFT(RIGHT(CONCATENATE("000",IFAData_TEA!A555),6),3),"-",(RIGHT(RIGHT(CONCATENATE("000",IFAData_TEA!A555),6),3)))</f>
        <v>057-910</v>
      </c>
      <c r="C555" s="979" t="s">
        <v>863</v>
      </c>
      <c r="D555" s="979">
        <v>9</v>
      </c>
      <c r="E555" s="979">
        <v>1856</v>
      </c>
      <c r="F555" s="979" t="s">
        <v>4484</v>
      </c>
      <c r="G555" s="979" t="s">
        <v>6226</v>
      </c>
      <c r="H555" s="1030">
        <v>5871653</v>
      </c>
      <c r="I555" s="1030">
        <v>2040957</v>
      </c>
      <c r="J555" s="1034">
        <v>0.24136421788185841</v>
      </c>
      <c r="K555" s="1030">
        <v>1417206.9340186676</v>
      </c>
      <c r="L555" s="1030">
        <v>1417206.9340186676</v>
      </c>
      <c r="M555" s="979">
        <v>599</v>
      </c>
    </row>
    <row r="556" spans="1:13" ht="15">
      <c r="A556" s="979" t="s">
        <v>3471</v>
      </c>
      <c r="B556" s="722" t="str">
        <f>CONCATENATE(LEFT(RIGHT(CONCATENATE("000",IFAData_TEA!A556),6),3),"-",(RIGHT(RIGHT(CONCATENATE("000",IFAData_TEA!A556),6),3)))</f>
        <v>057-910</v>
      </c>
      <c r="C556" s="979" t="s">
        <v>863</v>
      </c>
      <c r="D556" s="979">
        <v>9</v>
      </c>
      <c r="E556" s="979">
        <v>1856</v>
      </c>
      <c r="F556" s="979" t="s">
        <v>4484</v>
      </c>
      <c r="G556" s="979" t="s">
        <v>4484</v>
      </c>
      <c r="H556" s="1030">
        <v>5871653</v>
      </c>
      <c r="I556" s="1030">
        <v>6414965</v>
      </c>
      <c r="J556" s="1034">
        <v>0.75863578211814153</v>
      </c>
      <c r="K556" s="1030">
        <v>4454446.0659813322</v>
      </c>
      <c r="L556" s="1030">
        <v>4454446.0659813322</v>
      </c>
      <c r="M556" s="979">
        <v>599</v>
      </c>
    </row>
    <row r="557" spans="1:13" ht="15">
      <c r="A557" s="979" t="s">
        <v>3471</v>
      </c>
      <c r="B557" s="722" t="str">
        <f>CONCATENATE(LEFT(RIGHT(CONCATENATE("000",IFAData_TEA!A557),6),3),"-",(RIGHT(RIGHT(CONCATENATE("000",IFAData_TEA!A557),6),3)))</f>
        <v>057-910</v>
      </c>
      <c r="C557" s="979" t="s">
        <v>863</v>
      </c>
      <c r="D557" s="979">
        <v>5</v>
      </c>
      <c r="E557" s="979">
        <v>1855</v>
      </c>
      <c r="F557" s="979" t="s">
        <v>4481</v>
      </c>
      <c r="G557" s="979" t="s">
        <v>4482</v>
      </c>
      <c r="H557" s="1030">
        <v>2988473</v>
      </c>
      <c r="I557" s="1030">
        <v>223467</v>
      </c>
      <c r="J557" s="1034">
        <v>3.7799708417182984E-2</v>
      </c>
      <c r="K557" s="1030">
        <v>112963.40801262409</v>
      </c>
      <c r="L557" s="1030">
        <v>112963.40801262409</v>
      </c>
      <c r="M557" s="979">
        <v>599</v>
      </c>
    </row>
    <row r="558" spans="1:13" ht="15">
      <c r="A558" s="979" t="s">
        <v>3472</v>
      </c>
      <c r="B558" s="722" t="str">
        <f>CONCATENATE(LEFT(RIGHT(CONCATENATE("000",IFAData_TEA!A558),6),3),"-",(RIGHT(RIGHT(CONCATENATE("000",IFAData_TEA!A558),6),3)))</f>
        <v>057-912</v>
      </c>
      <c r="C558" s="979" t="s">
        <v>1269</v>
      </c>
      <c r="D558" s="979">
        <v>2</v>
      </c>
      <c r="E558" s="979">
        <v>1929</v>
      </c>
      <c r="F558" s="979" t="s">
        <v>4485</v>
      </c>
      <c r="G558" s="979" t="s">
        <v>4489</v>
      </c>
      <c r="H558" s="1030">
        <v>6225000</v>
      </c>
      <c r="I558" s="1030">
        <v>1533419</v>
      </c>
      <c r="J558" s="1034">
        <v>0.2158767240078297</v>
      </c>
      <c r="K558" s="1030">
        <v>1343832.6069487398</v>
      </c>
      <c r="L558" s="1030">
        <v>1343832.6069487398</v>
      </c>
      <c r="M558" s="979">
        <v>599</v>
      </c>
    </row>
    <row r="559" spans="1:13" ht="15">
      <c r="A559" s="979" t="s">
        <v>3472</v>
      </c>
      <c r="B559" s="722" t="str">
        <f>CONCATENATE(LEFT(RIGHT(CONCATENATE("000",IFAData_TEA!A559),6),3),"-",(RIGHT(RIGHT(CONCATENATE("000",IFAData_TEA!A559),6),3)))</f>
        <v>057-912</v>
      </c>
      <c r="C559" s="979" t="s">
        <v>1269</v>
      </c>
      <c r="D559" s="979">
        <v>2</v>
      </c>
      <c r="E559" s="979">
        <v>1929</v>
      </c>
      <c r="F559" s="979" t="s">
        <v>4485</v>
      </c>
      <c r="G559" s="979" t="s">
        <v>4488</v>
      </c>
      <c r="H559" s="1030">
        <v>6225000</v>
      </c>
      <c r="I559" s="1030">
        <v>3651606</v>
      </c>
      <c r="J559" s="1034">
        <v>0.51407784868149864</v>
      </c>
      <c r="K559" s="1030">
        <v>3200134.6080423291</v>
      </c>
      <c r="L559" s="1030">
        <v>3200134.6080423291</v>
      </c>
      <c r="M559" s="979">
        <v>599</v>
      </c>
    </row>
    <row r="560" spans="1:13" ht="15">
      <c r="A560" s="979" t="s">
        <v>3472</v>
      </c>
      <c r="B560" s="722" t="str">
        <f>CONCATENATE(LEFT(RIGHT(CONCATENATE("000",IFAData_TEA!A560),6),3),"-",(RIGHT(RIGHT(CONCATENATE("000",IFAData_TEA!A560),6),3)))</f>
        <v>057-912</v>
      </c>
      <c r="C560" s="979" t="s">
        <v>1269</v>
      </c>
      <c r="D560" s="979">
        <v>10</v>
      </c>
      <c r="E560" s="979">
        <v>1926</v>
      </c>
      <c r="F560" s="979" t="s">
        <v>4494</v>
      </c>
      <c r="G560" s="979" t="s">
        <v>4494</v>
      </c>
      <c r="H560" s="1030">
        <v>1178718</v>
      </c>
      <c r="I560" s="1030">
        <v>1301639</v>
      </c>
      <c r="J560" s="1034">
        <v>1</v>
      </c>
      <c r="K560" s="1030">
        <v>1178718</v>
      </c>
      <c r="L560" s="1030">
        <v>1178718</v>
      </c>
      <c r="M560" s="979">
        <v>599</v>
      </c>
    </row>
    <row r="561" spans="1:13" ht="15">
      <c r="A561" s="979" t="s">
        <v>3472</v>
      </c>
      <c r="B561" s="722" t="str">
        <f>CONCATENATE(LEFT(RIGHT(CONCATENATE("000",IFAData_TEA!A561),6),3),"-",(RIGHT(RIGHT(CONCATENATE("000",IFAData_TEA!A561),6),3)))</f>
        <v>057-912</v>
      </c>
      <c r="C561" s="979" t="s">
        <v>1269</v>
      </c>
      <c r="D561" s="979">
        <v>2</v>
      </c>
      <c r="E561" s="979">
        <v>1929</v>
      </c>
      <c r="F561" s="979" t="s">
        <v>4485</v>
      </c>
      <c r="G561" s="979" t="s">
        <v>4487</v>
      </c>
      <c r="H561" s="1030">
        <v>6225000</v>
      </c>
      <c r="I561" s="1030">
        <v>0</v>
      </c>
      <c r="J561" s="1034">
        <v>0</v>
      </c>
      <c r="K561" s="1030">
        <v>0</v>
      </c>
      <c r="L561" s="1030">
        <v>0</v>
      </c>
      <c r="M561" s="979">
        <v>599</v>
      </c>
    </row>
    <row r="562" spans="1:13" ht="15">
      <c r="A562" s="979" t="s">
        <v>3472</v>
      </c>
      <c r="B562" s="722" t="str">
        <f>CONCATENATE(LEFT(RIGHT(CONCATENATE("000",IFAData_TEA!A562),6),3),"-",(RIGHT(RIGHT(CONCATENATE("000",IFAData_TEA!A562),6),3)))</f>
        <v>057-912</v>
      </c>
      <c r="C562" s="979" t="s">
        <v>1269</v>
      </c>
      <c r="D562" s="979">
        <v>10</v>
      </c>
      <c r="E562" s="979">
        <v>1925</v>
      </c>
      <c r="F562" s="979" t="s">
        <v>4493</v>
      </c>
      <c r="G562" s="979" t="s">
        <v>4493</v>
      </c>
      <c r="H562" s="1030">
        <v>223714</v>
      </c>
      <c r="I562" s="1030">
        <v>276073</v>
      </c>
      <c r="J562" s="1034">
        <v>1</v>
      </c>
      <c r="K562" s="1030">
        <v>223714</v>
      </c>
      <c r="L562" s="1030">
        <v>223714</v>
      </c>
      <c r="M562" s="979">
        <v>599</v>
      </c>
    </row>
    <row r="563" spans="1:13" ht="15">
      <c r="A563" s="979" t="s">
        <v>3472</v>
      </c>
      <c r="B563" s="722" t="str">
        <f>CONCATENATE(LEFT(RIGHT(CONCATENATE("000",IFAData_TEA!A563),6),3),"-",(RIGHT(RIGHT(CONCATENATE("000",IFAData_TEA!A563),6),3)))</f>
        <v>057-912</v>
      </c>
      <c r="C563" s="979" t="s">
        <v>1269</v>
      </c>
      <c r="D563" s="979">
        <v>10</v>
      </c>
      <c r="E563" s="979">
        <v>1927</v>
      </c>
      <c r="F563" s="979" t="s">
        <v>4492</v>
      </c>
      <c r="G563" s="979" t="s">
        <v>4492</v>
      </c>
      <c r="H563" s="1030">
        <v>3568037</v>
      </c>
      <c r="I563" s="1030">
        <v>3429907</v>
      </c>
      <c r="J563" s="1034">
        <v>1</v>
      </c>
      <c r="K563" s="1030">
        <v>3568037</v>
      </c>
      <c r="L563" s="1030">
        <v>3429907</v>
      </c>
      <c r="M563" s="979">
        <v>599</v>
      </c>
    </row>
    <row r="564" spans="1:13" ht="15">
      <c r="A564" s="979" t="s">
        <v>3472</v>
      </c>
      <c r="B564" s="722" t="str">
        <f>CONCATENATE(LEFT(RIGHT(CONCATENATE("000",IFAData_TEA!A564),6),3),"-",(RIGHT(RIGHT(CONCATENATE("000",IFAData_TEA!A564),6),3)))</f>
        <v>057-912</v>
      </c>
      <c r="C564" s="979" t="s">
        <v>1269</v>
      </c>
      <c r="D564" s="979">
        <v>9</v>
      </c>
      <c r="E564" s="979">
        <v>1928</v>
      </c>
      <c r="F564" s="979" t="s">
        <v>4491</v>
      </c>
      <c r="G564" s="979" t="s">
        <v>6227</v>
      </c>
      <c r="H564" s="1030">
        <v>4239880</v>
      </c>
      <c r="I564" s="1030">
        <v>1435032</v>
      </c>
      <c r="J564" s="1034">
        <v>0.32208311983177534</v>
      </c>
      <c r="K564" s="1030">
        <v>1365593.7781123477</v>
      </c>
      <c r="L564" s="1030">
        <v>1365593.7781123477</v>
      </c>
      <c r="M564" s="979">
        <v>599</v>
      </c>
    </row>
    <row r="565" spans="1:13" ht="15">
      <c r="A565" s="979" t="s">
        <v>3472</v>
      </c>
      <c r="B565" s="722" t="str">
        <f>CONCATENATE(LEFT(RIGHT(CONCATENATE("000",IFAData_TEA!A565),6),3),"-",(RIGHT(RIGHT(CONCATENATE("000",IFAData_TEA!A565),6),3)))</f>
        <v>057-912</v>
      </c>
      <c r="C565" s="979" t="s">
        <v>1269</v>
      </c>
      <c r="D565" s="979">
        <v>2</v>
      </c>
      <c r="E565" s="979">
        <v>1929</v>
      </c>
      <c r="F565" s="979" t="s">
        <v>4485</v>
      </c>
      <c r="G565" s="979" t="s">
        <v>4490</v>
      </c>
      <c r="H565" s="1030">
        <v>6225000</v>
      </c>
      <c r="I565" s="1030">
        <v>1731228</v>
      </c>
      <c r="J565" s="1034">
        <v>0.24372453266238842</v>
      </c>
      <c r="K565" s="1030">
        <v>1517185.2158233679</v>
      </c>
      <c r="L565" s="1030">
        <v>1517185.2158233679</v>
      </c>
      <c r="M565" s="979">
        <v>599</v>
      </c>
    </row>
    <row r="566" spans="1:13" ht="15">
      <c r="A566" s="979" t="s">
        <v>3472</v>
      </c>
      <c r="B566" s="722" t="str">
        <f>CONCATENATE(LEFT(RIGHT(CONCATENATE("000",IFAData_TEA!A566),6),3),"-",(RIGHT(RIGHT(CONCATENATE("000",IFAData_TEA!A566),6),3)))</f>
        <v>057-912</v>
      </c>
      <c r="C566" s="979" t="s">
        <v>1269</v>
      </c>
      <c r="D566" s="979">
        <v>2</v>
      </c>
      <c r="E566" s="979">
        <v>1929</v>
      </c>
      <c r="F566" s="979" t="s">
        <v>4485</v>
      </c>
      <c r="G566" s="979" t="s">
        <v>4486</v>
      </c>
      <c r="H566" s="1030">
        <v>6225000</v>
      </c>
      <c r="I566" s="1030">
        <v>0</v>
      </c>
      <c r="J566" s="1034">
        <v>0</v>
      </c>
      <c r="K566" s="1030">
        <v>0</v>
      </c>
      <c r="L566" s="1030">
        <v>0</v>
      </c>
      <c r="M566" s="979">
        <v>599</v>
      </c>
    </row>
    <row r="567" spans="1:13" ht="15">
      <c r="A567" s="979" t="s">
        <v>3472</v>
      </c>
      <c r="B567" s="722" t="str">
        <f>CONCATENATE(LEFT(RIGHT(CONCATENATE("000",IFAData_TEA!A567),6),3),"-",(RIGHT(RIGHT(CONCATENATE("000",IFAData_TEA!A567),6),3)))</f>
        <v>057-912</v>
      </c>
      <c r="C567" s="979" t="s">
        <v>1269</v>
      </c>
      <c r="D567" s="979">
        <v>9</v>
      </c>
      <c r="E567" s="979">
        <v>1928</v>
      </c>
      <c r="F567" s="979" t="s">
        <v>4491</v>
      </c>
      <c r="G567" s="979" t="s">
        <v>4491</v>
      </c>
      <c r="H567" s="1030">
        <v>4239880</v>
      </c>
      <c r="I567" s="1030">
        <v>3020439</v>
      </c>
      <c r="J567" s="1034">
        <v>0.6779168801682246</v>
      </c>
      <c r="K567" s="1030">
        <v>2874286.2218876523</v>
      </c>
      <c r="L567" s="1030">
        <v>2874286.2218876523</v>
      </c>
      <c r="M567" s="979">
        <v>599</v>
      </c>
    </row>
    <row r="568" spans="1:13" ht="15">
      <c r="A568" s="979" t="s">
        <v>3472</v>
      </c>
      <c r="B568" s="722" t="str">
        <f>CONCATENATE(LEFT(RIGHT(CONCATENATE("000",IFAData_TEA!A568),6),3),"-",(RIGHT(RIGHT(CONCATENATE("000",IFAData_TEA!A568),6),3)))</f>
        <v>057-912</v>
      </c>
      <c r="C568" s="979" t="s">
        <v>1269</v>
      </c>
      <c r="D568" s="979">
        <v>2</v>
      </c>
      <c r="E568" s="979">
        <v>1929</v>
      </c>
      <c r="F568" s="979" t="s">
        <v>4485</v>
      </c>
      <c r="G568" s="979" t="s">
        <v>4485</v>
      </c>
      <c r="H568" s="1030">
        <v>6225000</v>
      </c>
      <c r="I568" s="1030">
        <v>0</v>
      </c>
      <c r="J568" s="1034">
        <v>0</v>
      </c>
      <c r="K568" s="1030">
        <v>0</v>
      </c>
      <c r="L568" s="1030">
        <v>0</v>
      </c>
      <c r="M568" s="979">
        <v>599</v>
      </c>
    </row>
    <row r="569" spans="1:13" ht="15">
      <c r="A569" s="979" t="s">
        <v>3472</v>
      </c>
      <c r="B569" s="722" t="str">
        <f>CONCATENATE(LEFT(RIGHT(CONCATENATE("000",IFAData_TEA!A569),6),3),"-",(RIGHT(RIGHT(CONCATENATE("000",IFAData_TEA!A569),6),3)))</f>
        <v>057-912</v>
      </c>
      <c r="C569" s="979" t="s">
        <v>1269</v>
      </c>
      <c r="D569" s="979">
        <v>2</v>
      </c>
      <c r="E569" s="979">
        <v>1929</v>
      </c>
      <c r="F569" s="979" t="s">
        <v>4485</v>
      </c>
      <c r="G569" s="979" t="s">
        <v>6227</v>
      </c>
      <c r="H569" s="1030">
        <v>6225000</v>
      </c>
      <c r="I569" s="1030">
        <v>186963</v>
      </c>
      <c r="J569" s="1034">
        <v>2.6320894648283258E-2</v>
      </c>
      <c r="K569" s="1030">
        <v>163847.56918556328</v>
      </c>
      <c r="L569" s="1030">
        <v>163847.56918556328</v>
      </c>
      <c r="M569" s="979">
        <v>599</v>
      </c>
    </row>
    <row r="570" spans="1:13" ht="15">
      <c r="A570" s="979" t="s">
        <v>3473</v>
      </c>
      <c r="B570" s="722" t="str">
        <f>CONCATENATE(LEFT(RIGHT(CONCATENATE("000",IFAData_TEA!A570),6),3),"-",(RIGHT(RIGHT(CONCATENATE("000",IFAData_TEA!A570),6),3)))</f>
        <v>057-914</v>
      </c>
      <c r="C570" s="979" t="s">
        <v>2235</v>
      </c>
      <c r="D570" s="979">
        <v>6</v>
      </c>
      <c r="E570" s="979">
        <v>2101</v>
      </c>
      <c r="F570" s="979" t="s">
        <v>4505</v>
      </c>
      <c r="G570" s="979" t="s">
        <v>4499</v>
      </c>
      <c r="H570" s="1030">
        <v>3859835</v>
      </c>
      <c r="I570" s="1030">
        <v>1444334</v>
      </c>
      <c r="J570" s="1034">
        <v>0.28988458477715257</v>
      </c>
      <c r="K570" s="1030">
        <v>1118906.6662833206</v>
      </c>
      <c r="L570" s="1030">
        <v>1118906.6662833206</v>
      </c>
      <c r="M570" s="979">
        <v>599</v>
      </c>
    </row>
    <row r="571" spans="1:13" ht="15">
      <c r="A571" s="979" t="s">
        <v>3473</v>
      </c>
      <c r="B571" s="722" t="str">
        <f>CONCATENATE(LEFT(RIGHT(CONCATENATE("000",IFAData_TEA!A571),6),3),"-",(RIGHT(RIGHT(CONCATENATE("000",IFAData_TEA!A571),6),3)))</f>
        <v>057-914</v>
      </c>
      <c r="C571" s="979" t="s">
        <v>2235</v>
      </c>
      <c r="D571" s="979">
        <v>10</v>
      </c>
      <c r="E571" s="979">
        <v>2098</v>
      </c>
      <c r="F571" s="979" t="s">
        <v>4506</v>
      </c>
      <c r="G571" s="979" t="s">
        <v>4506</v>
      </c>
      <c r="H571" s="1030">
        <v>1093194</v>
      </c>
      <c r="I571" s="1030">
        <v>2298131</v>
      </c>
      <c r="J571" s="1034">
        <v>1</v>
      </c>
      <c r="K571" s="1030">
        <v>1093194</v>
      </c>
      <c r="L571" s="1030">
        <v>1093194</v>
      </c>
      <c r="M571" s="979">
        <v>599</v>
      </c>
    </row>
    <row r="572" spans="1:13" ht="15">
      <c r="A572" s="979" t="s">
        <v>3473</v>
      </c>
      <c r="B572" s="722" t="str">
        <f>CONCATENATE(LEFT(RIGHT(CONCATENATE("000",IFAData_TEA!A572),6),3),"-",(RIGHT(RIGHT(CONCATENATE("000",IFAData_TEA!A572),6),3)))</f>
        <v>057-914</v>
      </c>
      <c r="C572" s="979" t="s">
        <v>2235</v>
      </c>
      <c r="D572" s="979">
        <v>1</v>
      </c>
      <c r="E572" s="979">
        <v>2097</v>
      </c>
      <c r="F572" s="979" t="s">
        <v>4495</v>
      </c>
      <c r="G572" s="979" t="s">
        <v>4496</v>
      </c>
      <c r="H572" s="1030">
        <v>838538</v>
      </c>
      <c r="I572" s="1030">
        <v>795713</v>
      </c>
      <c r="J572" s="1034">
        <v>0.82302764136150564</v>
      </c>
      <c r="K572" s="1030">
        <v>690139.95233199419</v>
      </c>
      <c r="L572" s="1030">
        <v>690139.95233199419</v>
      </c>
      <c r="M572" s="979">
        <v>599</v>
      </c>
    </row>
    <row r="573" spans="1:13" ht="15">
      <c r="A573" s="979" t="s">
        <v>3473</v>
      </c>
      <c r="B573" s="722" t="str">
        <f>CONCATENATE(LEFT(RIGHT(CONCATENATE("000",IFAData_TEA!A573),6),3),"-",(RIGHT(RIGHT(CONCATENATE("000",IFAData_TEA!A573),6),3)))</f>
        <v>057-914</v>
      </c>
      <c r="C573" s="979" t="s">
        <v>2235</v>
      </c>
      <c r="D573" s="979">
        <v>9</v>
      </c>
      <c r="E573" s="979">
        <v>2100</v>
      </c>
      <c r="F573" s="979" t="s">
        <v>4502</v>
      </c>
      <c r="G573" s="979" t="s">
        <v>6228</v>
      </c>
      <c r="H573" s="1030">
        <v>3273731</v>
      </c>
      <c r="I573" s="1030">
        <v>191443</v>
      </c>
      <c r="J573" s="1034">
        <v>0.17380903095538996</v>
      </c>
      <c r="K573" s="1030">
        <v>569004.01271861978</v>
      </c>
      <c r="L573" s="1030">
        <v>191443</v>
      </c>
      <c r="M573" s="979">
        <v>599</v>
      </c>
    </row>
    <row r="574" spans="1:13" ht="15">
      <c r="A574" s="979" t="s">
        <v>3473</v>
      </c>
      <c r="B574" s="722" t="str">
        <f>CONCATENATE(LEFT(RIGHT(CONCATENATE("000",IFAData_TEA!A574),6),3),"-",(RIGHT(RIGHT(CONCATENATE("000",IFAData_TEA!A574),6),3)))</f>
        <v>057-914</v>
      </c>
      <c r="C574" s="979" t="s">
        <v>2235</v>
      </c>
      <c r="D574" s="979">
        <v>1</v>
      </c>
      <c r="E574" s="979">
        <v>2102</v>
      </c>
      <c r="F574" s="979" t="s">
        <v>4500</v>
      </c>
      <c r="G574" s="979" t="s">
        <v>6229</v>
      </c>
      <c r="H574" s="1030">
        <v>5978212</v>
      </c>
      <c r="I574" s="1030">
        <v>35393</v>
      </c>
      <c r="J574" s="1034">
        <v>3.9403403546495585E-3</v>
      </c>
      <c r="K574" s="1030">
        <v>23556.189992250245</v>
      </c>
      <c r="L574" s="1030">
        <v>23556.189992250245</v>
      </c>
      <c r="M574" s="979">
        <v>599</v>
      </c>
    </row>
    <row r="575" spans="1:13" ht="15">
      <c r="A575" s="979" t="s">
        <v>3473</v>
      </c>
      <c r="B575" s="722" t="str">
        <f>CONCATENATE(LEFT(RIGHT(CONCATENATE("000",IFAData_TEA!A575),6),3),"-",(RIGHT(RIGHT(CONCATENATE("000",IFAData_TEA!A575),6),3)))</f>
        <v>057-914</v>
      </c>
      <c r="C575" s="979" t="s">
        <v>2235</v>
      </c>
      <c r="D575" s="979">
        <v>1</v>
      </c>
      <c r="E575" s="979">
        <v>2102</v>
      </c>
      <c r="F575" s="979" t="s">
        <v>4500</v>
      </c>
      <c r="G575" s="979" t="s">
        <v>4500</v>
      </c>
      <c r="H575" s="1030">
        <v>5978212</v>
      </c>
      <c r="I575" s="1030">
        <v>0</v>
      </c>
      <c r="J575" s="1034">
        <v>0</v>
      </c>
      <c r="K575" s="1030">
        <v>0</v>
      </c>
      <c r="L575" s="1030">
        <v>0</v>
      </c>
      <c r="M575" s="979">
        <v>599</v>
      </c>
    </row>
    <row r="576" spans="1:13" ht="15">
      <c r="A576" s="979" t="s">
        <v>3473</v>
      </c>
      <c r="B576" s="722" t="str">
        <f>CONCATENATE(LEFT(RIGHT(CONCATENATE("000",IFAData_TEA!A576),6),3),"-",(RIGHT(RIGHT(CONCATENATE("000",IFAData_TEA!A576),6),3)))</f>
        <v>057-914</v>
      </c>
      <c r="C576" s="979" t="s">
        <v>2235</v>
      </c>
      <c r="D576" s="979">
        <v>1</v>
      </c>
      <c r="E576" s="979">
        <v>2102</v>
      </c>
      <c r="F576" s="979" t="s">
        <v>4500</v>
      </c>
      <c r="G576" s="979" t="s">
        <v>6228</v>
      </c>
      <c r="H576" s="1030">
        <v>5978212</v>
      </c>
      <c r="I576" s="1030">
        <v>38828</v>
      </c>
      <c r="J576" s="1034">
        <v>4.3227625601201664E-3</v>
      </c>
      <c r="K576" s="1030">
        <v>25842.391010061099</v>
      </c>
      <c r="L576" s="1030">
        <v>25842.391010061099</v>
      </c>
      <c r="M576" s="979">
        <v>599</v>
      </c>
    </row>
    <row r="577" spans="1:13" ht="15">
      <c r="A577" s="979" t="s">
        <v>3473</v>
      </c>
      <c r="B577" s="722" t="str">
        <f>CONCATENATE(LEFT(RIGHT(CONCATENATE("000",IFAData_TEA!A577),6),3),"-",(RIGHT(RIGHT(CONCATENATE("000",IFAData_TEA!A577),6),3)))</f>
        <v>057-914</v>
      </c>
      <c r="C577" s="979" t="s">
        <v>2235</v>
      </c>
      <c r="D577" s="979">
        <v>1</v>
      </c>
      <c r="E577" s="979">
        <v>2097</v>
      </c>
      <c r="F577" s="979" t="s">
        <v>4495</v>
      </c>
      <c r="G577" s="979" t="s">
        <v>4499</v>
      </c>
      <c r="H577" s="1030">
        <v>838538</v>
      </c>
      <c r="I577" s="1030">
        <v>146554</v>
      </c>
      <c r="J577" s="1034">
        <v>0.15158479621684465</v>
      </c>
      <c r="K577" s="1030">
        <v>127109.61185008047</v>
      </c>
      <c r="L577" s="1030">
        <v>127109.61185008047</v>
      </c>
      <c r="M577" s="979">
        <v>599</v>
      </c>
    </row>
    <row r="578" spans="1:13" ht="15">
      <c r="A578" s="979" t="s">
        <v>3473</v>
      </c>
      <c r="B578" s="722" t="str">
        <f>CONCATENATE(LEFT(RIGHT(CONCATENATE("000",IFAData_TEA!A578),6),3),"-",(RIGHT(RIGHT(CONCATENATE("000",IFAData_TEA!A578),6),3)))</f>
        <v>057-914</v>
      </c>
      <c r="C578" s="979" t="s">
        <v>2235</v>
      </c>
      <c r="D578" s="979">
        <v>1</v>
      </c>
      <c r="E578" s="979">
        <v>2102</v>
      </c>
      <c r="F578" s="979" t="s">
        <v>4500</v>
      </c>
      <c r="G578" s="979" t="s">
        <v>4499</v>
      </c>
      <c r="H578" s="1030">
        <v>5978212</v>
      </c>
      <c r="I578" s="1030">
        <v>2930615</v>
      </c>
      <c r="J578" s="1034">
        <v>0.32626848666237152</v>
      </c>
      <c r="K578" s="1030">
        <v>1950502.1821868294</v>
      </c>
      <c r="L578" s="1030">
        <v>1950502.1821868294</v>
      </c>
      <c r="M578" s="979">
        <v>599</v>
      </c>
    </row>
    <row r="579" spans="1:13" ht="15">
      <c r="A579" s="979" t="s">
        <v>3473</v>
      </c>
      <c r="B579" s="722" t="str">
        <f>CONCATENATE(LEFT(RIGHT(CONCATENATE("000",IFAData_TEA!A579),6),3),"-",(RIGHT(RIGHT(CONCATENATE("000",IFAData_TEA!A579),6),3)))</f>
        <v>057-914</v>
      </c>
      <c r="C579" s="979" t="s">
        <v>2235</v>
      </c>
      <c r="D579" s="979">
        <v>1</v>
      </c>
      <c r="E579" s="979">
        <v>2102</v>
      </c>
      <c r="F579" s="979" t="s">
        <v>4500</v>
      </c>
      <c r="G579" s="979" t="s">
        <v>4496</v>
      </c>
      <c r="H579" s="1030">
        <v>5978212</v>
      </c>
      <c r="I579" s="1030">
        <v>5135653</v>
      </c>
      <c r="J579" s="1034">
        <v>0.57175771376761131</v>
      </c>
      <c r="K579" s="1030">
        <v>3418088.8255380993</v>
      </c>
      <c r="L579" s="1030">
        <v>3418088.8255380993</v>
      </c>
      <c r="M579" s="979">
        <v>599</v>
      </c>
    </row>
    <row r="580" spans="1:13" ht="15">
      <c r="A580" s="979" t="s">
        <v>3473</v>
      </c>
      <c r="B580" s="722" t="str">
        <f>CONCATENATE(LEFT(RIGHT(CONCATENATE("000",IFAData_TEA!A580),6),3),"-",(RIGHT(RIGHT(CONCATENATE("000",IFAData_TEA!A580),6),3)))</f>
        <v>057-914</v>
      </c>
      <c r="C580" s="979" t="s">
        <v>2235</v>
      </c>
      <c r="D580" s="979">
        <v>6</v>
      </c>
      <c r="E580" s="979">
        <v>2101</v>
      </c>
      <c r="F580" s="979" t="s">
        <v>4505</v>
      </c>
      <c r="G580" s="979" t="s">
        <v>4505</v>
      </c>
      <c r="H580" s="1030">
        <v>3859835</v>
      </c>
      <c r="I580" s="1030">
        <v>0</v>
      </c>
      <c r="J580" s="1034">
        <v>0</v>
      </c>
      <c r="K580" s="1030">
        <v>0</v>
      </c>
      <c r="L580" s="1030">
        <v>0</v>
      </c>
      <c r="M580" s="979">
        <v>599</v>
      </c>
    </row>
    <row r="581" spans="1:13" ht="15">
      <c r="A581" s="979" t="s">
        <v>3473</v>
      </c>
      <c r="B581" s="722" t="str">
        <f>CONCATENATE(LEFT(RIGHT(CONCATENATE("000",IFAData_TEA!A581),6),3),"-",(RIGHT(RIGHT(CONCATENATE("000",IFAData_TEA!A581),6),3)))</f>
        <v>057-914</v>
      </c>
      <c r="C581" s="979" t="s">
        <v>2235</v>
      </c>
      <c r="D581" s="979">
        <v>6</v>
      </c>
      <c r="E581" s="979">
        <v>2101</v>
      </c>
      <c r="F581" s="979" t="s">
        <v>4505</v>
      </c>
      <c r="G581" s="979" t="s">
        <v>6228</v>
      </c>
      <c r="H581" s="1030">
        <v>3859835</v>
      </c>
      <c r="I581" s="1030">
        <v>36902</v>
      </c>
      <c r="J581" s="1034">
        <v>7.406403884036853E-3</v>
      </c>
      <c r="K581" s="1030">
        <v>28587.496935741387</v>
      </c>
      <c r="L581" s="1030">
        <v>28587.496935741387</v>
      </c>
      <c r="M581" s="979">
        <v>599</v>
      </c>
    </row>
    <row r="582" spans="1:13" ht="15">
      <c r="A582" s="979" t="s">
        <v>3473</v>
      </c>
      <c r="B582" s="722" t="str">
        <f>CONCATENATE(LEFT(RIGHT(CONCATENATE("000",IFAData_TEA!A582),6),3),"-",(RIGHT(RIGHT(CONCATENATE("000",IFAData_TEA!A582),6),3)))</f>
        <v>057-914</v>
      </c>
      <c r="C582" s="979" t="s">
        <v>2235</v>
      </c>
      <c r="D582" s="979">
        <v>6</v>
      </c>
      <c r="E582" s="979">
        <v>2101</v>
      </c>
      <c r="F582" s="979" t="s">
        <v>4505</v>
      </c>
      <c r="G582" s="979" t="s">
        <v>4504</v>
      </c>
      <c r="H582" s="1030">
        <v>3859835</v>
      </c>
      <c r="I582" s="1030">
        <v>1257749</v>
      </c>
      <c r="J582" s="1034">
        <v>0.25243610315818837</v>
      </c>
      <c r="K582" s="1030">
        <v>974361.70623358607</v>
      </c>
      <c r="L582" s="1030">
        <v>974361.70623358607</v>
      </c>
      <c r="M582" s="979">
        <v>599</v>
      </c>
    </row>
    <row r="583" spans="1:13" ht="15">
      <c r="A583" s="979" t="s">
        <v>3473</v>
      </c>
      <c r="B583" s="722" t="str">
        <f>CONCATENATE(LEFT(RIGHT(CONCATENATE("000",IFAData_TEA!A583),6),3),"-",(RIGHT(RIGHT(CONCATENATE("000",IFAData_TEA!A583),6),3)))</f>
        <v>057-914</v>
      </c>
      <c r="C583" s="979" t="s">
        <v>2235</v>
      </c>
      <c r="D583" s="979">
        <v>10</v>
      </c>
      <c r="E583" s="979">
        <v>2099</v>
      </c>
      <c r="F583" s="979" t="s">
        <v>4507</v>
      </c>
      <c r="G583" s="979" t="s">
        <v>4507</v>
      </c>
      <c r="H583" s="1030">
        <v>2344293</v>
      </c>
      <c r="I583" s="1030">
        <v>3168924</v>
      </c>
      <c r="J583" s="1034">
        <v>1</v>
      </c>
      <c r="K583" s="1030">
        <v>2344293</v>
      </c>
      <c r="L583" s="1030">
        <v>2344293</v>
      </c>
      <c r="M583" s="979">
        <v>599</v>
      </c>
    </row>
    <row r="584" spans="1:13" ht="15">
      <c r="A584" s="979" t="s">
        <v>3473</v>
      </c>
      <c r="B584" s="722" t="str">
        <f>CONCATENATE(LEFT(RIGHT(CONCATENATE("000",IFAData_TEA!A584),6),3),"-",(RIGHT(RIGHT(CONCATENATE("000",IFAData_TEA!A584),6),3)))</f>
        <v>057-914</v>
      </c>
      <c r="C584" s="979" t="s">
        <v>2235</v>
      </c>
      <c r="D584" s="979">
        <v>1</v>
      </c>
      <c r="E584" s="979">
        <v>2097</v>
      </c>
      <c r="F584" s="979" t="s">
        <v>4495</v>
      </c>
      <c r="G584" s="979" t="s">
        <v>6229</v>
      </c>
      <c r="H584" s="1030">
        <v>838538</v>
      </c>
      <c r="I584" s="1030">
        <v>11012</v>
      </c>
      <c r="J584" s="1034">
        <v>1.1390011708584502E-2</v>
      </c>
      <c r="K584" s="1030">
        <v>9550.9576380930321</v>
      </c>
      <c r="L584" s="1030">
        <v>9550.9576380930321</v>
      </c>
      <c r="M584" s="979">
        <v>599</v>
      </c>
    </row>
    <row r="585" spans="1:13" ht="15">
      <c r="A585" s="979" t="s">
        <v>3473</v>
      </c>
      <c r="B585" s="722" t="str">
        <f>CONCATENATE(LEFT(RIGHT(CONCATENATE("000",IFAData_TEA!A585),6),3),"-",(RIGHT(RIGHT(CONCATENATE("000",IFAData_TEA!A585),6),3)))</f>
        <v>057-914</v>
      </c>
      <c r="C585" s="979" t="s">
        <v>2235</v>
      </c>
      <c r="D585" s="979">
        <v>1</v>
      </c>
      <c r="E585" s="979">
        <v>2102</v>
      </c>
      <c r="F585" s="979" t="s">
        <v>4500</v>
      </c>
      <c r="G585" s="979" t="s">
        <v>4501</v>
      </c>
      <c r="H585" s="1030">
        <v>5978212</v>
      </c>
      <c r="I585" s="1030">
        <v>0</v>
      </c>
      <c r="J585" s="1034">
        <v>0</v>
      </c>
      <c r="K585" s="1030">
        <v>0</v>
      </c>
      <c r="L585" s="1030">
        <v>0</v>
      </c>
      <c r="M585" s="979">
        <v>599</v>
      </c>
    </row>
    <row r="586" spans="1:13" ht="15">
      <c r="A586" s="979" t="s">
        <v>3473</v>
      </c>
      <c r="B586" s="722" t="str">
        <f>CONCATENATE(LEFT(RIGHT(CONCATENATE("000",IFAData_TEA!A586),6),3),"-",(RIGHT(RIGHT(CONCATENATE("000",IFAData_TEA!A586),6),3)))</f>
        <v>057-914</v>
      </c>
      <c r="C586" s="979" t="s">
        <v>2235</v>
      </c>
      <c r="D586" s="979">
        <v>6</v>
      </c>
      <c r="E586" s="979">
        <v>2101</v>
      </c>
      <c r="F586" s="979" t="s">
        <v>4505</v>
      </c>
      <c r="G586" s="979" t="s">
        <v>4501</v>
      </c>
      <c r="H586" s="1030">
        <v>3859835</v>
      </c>
      <c r="I586" s="1030">
        <v>2243460</v>
      </c>
      <c r="J586" s="1034">
        <v>0.45027290818062216</v>
      </c>
      <c r="K586" s="1030">
        <v>1737979.1305473517</v>
      </c>
      <c r="L586" s="1030">
        <v>1737979.1305473517</v>
      </c>
      <c r="M586" s="979">
        <v>599</v>
      </c>
    </row>
    <row r="587" spans="1:13" ht="15">
      <c r="A587" s="979" t="s">
        <v>3473</v>
      </c>
      <c r="B587" s="722" t="str">
        <f>CONCATENATE(LEFT(RIGHT(CONCATENATE("000",IFAData_TEA!A587),6),3),"-",(RIGHT(RIGHT(CONCATENATE("000",IFAData_TEA!A587),6),3)))</f>
        <v>057-914</v>
      </c>
      <c r="C587" s="979" t="s">
        <v>2235</v>
      </c>
      <c r="D587" s="979">
        <v>1</v>
      </c>
      <c r="E587" s="979">
        <v>2102</v>
      </c>
      <c r="F587" s="979" t="s">
        <v>4500</v>
      </c>
      <c r="G587" s="979" t="s">
        <v>4497</v>
      </c>
      <c r="H587" s="1030">
        <v>5978212</v>
      </c>
      <c r="I587" s="1030">
        <v>0</v>
      </c>
      <c r="J587" s="1034">
        <v>0</v>
      </c>
      <c r="K587" s="1030">
        <v>0</v>
      </c>
      <c r="L587" s="1030">
        <v>0</v>
      </c>
      <c r="M587" s="979">
        <v>599</v>
      </c>
    </row>
    <row r="588" spans="1:13" ht="15">
      <c r="A588" s="979" t="s">
        <v>3473</v>
      </c>
      <c r="B588" s="722" t="str">
        <f>CONCATENATE(LEFT(RIGHT(CONCATENATE("000",IFAData_TEA!A588),6),3),"-",(RIGHT(RIGHT(CONCATENATE("000",IFAData_TEA!A588),6),3)))</f>
        <v>057-914</v>
      </c>
      <c r="C588" s="979" t="s">
        <v>2235</v>
      </c>
      <c r="D588" s="979">
        <v>1</v>
      </c>
      <c r="E588" s="979">
        <v>2102</v>
      </c>
      <c r="F588" s="979" t="s">
        <v>4500</v>
      </c>
      <c r="G588" s="979" t="s">
        <v>4498</v>
      </c>
      <c r="H588" s="1030">
        <v>5978212</v>
      </c>
      <c r="I588" s="1030">
        <v>0</v>
      </c>
      <c r="J588" s="1034">
        <v>0</v>
      </c>
      <c r="K588" s="1030">
        <v>0</v>
      </c>
      <c r="L588" s="1030">
        <v>0</v>
      </c>
      <c r="M588" s="979">
        <v>599</v>
      </c>
    </row>
    <row r="589" spans="1:13" ht="15">
      <c r="A589" s="979" t="s">
        <v>3473</v>
      </c>
      <c r="B589" s="722" t="str">
        <f>CONCATENATE(LEFT(RIGHT(CONCATENATE("000",IFAData_TEA!A589),6),3),"-",(RIGHT(RIGHT(CONCATENATE("000",IFAData_TEA!A589),6),3)))</f>
        <v>057-914</v>
      </c>
      <c r="C589" s="979" t="s">
        <v>2235</v>
      </c>
      <c r="D589" s="979">
        <v>1</v>
      </c>
      <c r="E589" s="979">
        <v>2097</v>
      </c>
      <c r="F589" s="979" t="s">
        <v>4495</v>
      </c>
      <c r="G589" s="979" t="s">
        <v>4495</v>
      </c>
      <c r="H589" s="1030">
        <v>838538</v>
      </c>
      <c r="I589" s="1030">
        <v>0</v>
      </c>
      <c r="J589" s="1034">
        <v>0</v>
      </c>
      <c r="K589" s="1030">
        <v>0</v>
      </c>
      <c r="L589" s="1030">
        <v>0</v>
      </c>
      <c r="M589" s="979">
        <v>599</v>
      </c>
    </row>
    <row r="590" spans="1:13" ht="15">
      <c r="A590" s="979" t="s">
        <v>3473</v>
      </c>
      <c r="B590" s="722" t="str">
        <f>CONCATENATE(LEFT(RIGHT(CONCATENATE("000",IFAData_TEA!A590),6),3),"-",(RIGHT(RIGHT(CONCATENATE("000",IFAData_TEA!A590),6),3)))</f>
        <v>057-914</v>
      </c>
      <c r="C590" s="979" t="s">
        <v>2235</v>
      </c>
      <c r="D590" s="979">
        <v>5</v>
      </c>
      <c r="E590" s="979">
        <v>2096</v>
      </c>
      <c r="F590" s="979" t="s">
        <v>4503</v>
      </c>
      <c r="G590" s="979" t="s">
        <v>4503</v>
      </c>
      <c r="H590" s="1030">
        <v>684105</v>
      </c>
      <c r="I590" s="1030">
        <v>0</v>
      </c>
      <c r="J590" s="1034">
        <v>0</v>
      </c>
      <c r="K590" s="1030">
        <v>0</v>
      </c>
      <c r="L590" s="1030">
        <v>0</v>
      </c>
      <c r="M590" s="979">
        <v>599</v>
      </c>
    </row>
    <row r="591" spans="1:13" ht="15">
      <c r="A591" s="979" t="s">
        <v>3473</v>
      </c>
      <c r="B591" s="722" t="str">
        <f>CONCATENATE(LEFT(RIGHT(CONCATENATE("000",IFAData_TEA!A591),6),3),"-",(RIGHT(RIGHT(CONCATENATE("000",IFAData_TEA!A591),6),3)))</f>
        <v>057-914</v>
      </c>
      <c r="C591" s="979" t="s">
        <v>2235</v>
      </c>
      <c r="D591" s="979">
        <v>5</v>
      </c>
      <c r="E591" s="979">
        <v>2096</v>
      </c>
      <c r="F591" s="979" t="s">
        <v>4503</v>
      </c>
      <c r="G591" s="979" t="s">
        <v>4504</v>
      </c>
      <c r="H591" s="1030">
        <v>684105</v>
      </c>
      <c r="I591" s="1030">
        <v>633525</v>
      </c>
      <c r="J591" s="1034">
        <v>1</v>
      </c>
      <c r="K591" s="1030">
        <v>684105</v>
      </c>
      <c r="L591" s="1030">
        <v>633525</v>
      </c>
      <c r="M591" s="979">
        <v>599</v>
      </c>
    </row>
    <row r="592" spans="1:13" ht="15">
      <c r="A592" s="979" t="s">
        <v>3473</v>
      </c>
      <c r="B592" s="722" t="str">
        <f>CONCATENATE(LEFT(RIGHT(CONCATENATE("000",IFAData_TEA!A592),6),3),"-",(RIGHT(RIGHT(CONCATENATE("000",IFAData_TEA!A592),6),3)))</f>
        <v>057-914</v>
      </c>
      <c r="C592" s="979" t="s">
        <v>2235</v>
      </c>
      <c r="D592" s="979">
        <v>9</v>
      </c>
      <c r="E592" s="979">
        <v>2100</v>
      </c>
      <c r="F592" s="979" t="s">
        <v>4502</v>
      </c>
      <c r="G592" s="979" t="s">
        <v>4502</v>
      </c>
      <c r="H592" s="1030">
        <v>3273731</v>
      </c>
      <c r="I592" s="1030">
        <v>910013</v>
      </c>
      <c r="J592" s="1034">
        <v>0.82619096904461009</v>
      </c>
      <c r="K592" s="1030">
        <v>2704726.9872813802</v>
      </c>
      <c r="L592" s="1030">
        <v>910013</v>
      </c>
      <c r="M592" s="979">
        <v>599</v>
      </c>
    </row>
    <row r="593" spans="1:13" ht="15">
      <c r="A593" s="979" t="s">
        <v>3473</v>
      </c>
      <c r="B593" s="722" t="str">
        <f>CONCATENATE(LEFT(RIGHT(CONCATENATE("000",IFAData_TEA!A593),6),3),"-",(RIGHT(RIGHT(CONCATENATE("000",IFAData_TEA!A593),6),3)))</f>
        <v>057-914</v>
      </c>
      <c r="C593" s="979" t="s">
        <v>2235</v>
      </c>
      <c r="D593" s="979">
        <v>6</v>
      </c>
      <c r="E593" s="979">
        <v>2101</v>
      </c>
      <c r="F593" s="979" t="s">
        <v>4505</v>
      </c>
      <c r="G593" s="979" t="s">
        <v>4502</v>
      </c>
      <c r="H593" s="1030">
        <v>3859835</v>
      </c>
      <c r="I593" s="1030">
        <v>0</v>
      </c>
      <c r="J593" s="1034">
        <v>0</v>
      </c>
      <c r="K593" s="1030">
        <v>0</v>
      </c>
      <c r="L593" s="1030">
        <v>0</v>
      </c>
      <c r="M593" s="979">
        <v>599</v>
      </c>
    </row>
    <row r="594" spans="1:13" ht="15">
      <c r="A594" s="979" t="s">
        <v>3473</v>
      </c>
      <c r="B594" s="722" t="str">
        <f>CONCATENATE(LEFT(RIGHT(CONCATENATE("000",IFAData_TEA!A594),6),3),"-",(RIGHT(RIGHT(CONCATENATE("000",IFAData_TEA!A594),6),3)))</f>
        <v>057-914</v>
      </c>
      <c r="C594" s="979" t="s">
        <v>2235</v>
      </c>
      <c r="D594" s="979">
        <v>1</v>
      </c>
      <c r="E594" s="979">
        <v>2102</v>
      </c>
      <c r="F594" s="979" t="s">
        <v>4500</v>
      </c>
      <c r="G594" s="979" t="s">
        <v>4502</v>
      </c>
      <c r="H594" s="1030">
        <v>5978212</v>
      </c>
      <c r="I594" s="1030">
        <v>841730</v>
      </c>
      <c r="J594" s="1034">
        <v>9.3710696655247436E-2</v>
      </c>
      <c r="K594" s="1030">
        <v>560222.41127276013</v>
      </c>
      <c r="L594" s="1030">
        <v>560222.41127276013</v>
      </c>
      <c r="M594" s="979">
        <v>599</v>
      </c>
    </row>
    <row r="595" spans="1:13" ht="15">
      <c r="A595" s="979" t="s">
        <v>3473</v>
      </c>
      <c r="B595" s="722" t="str">
        <f>CONCATENATE(LEFT(RIGHT(CONCATENATE("000",IFAData_TEA!A595),6),3),"-",(RIGHT(RIGHT(CONCATENATE("000",IFAData_TEA!A595),6),3)))</f>
        <v>057-914</v>
      </c>
      <c r="C595" s="979" t="s">
        <v>2235</v>
      </c>
      <c r="D595" s="979">
        <v>1</v>
      </c>
      <c r="E595" s="979">
        <v>2097</v>
      </c>
      <c r="F595" s="979" t="s">
        <v>4495</v>
      </c>
      <c r="G595" s="979" t="s">
        <v>4497</v>
      </c>
      <c r="H595" s="1030">
        <v>838538</v>
      </c>
      <c r="I595" s="1030">
        <v>0</v>
      </c>
      <c r="J595" s="1034">
        <v>0</v>
      </c>
      <c r="K595" s="1030">
        <v>0</v>
      </c>
      <c r="L595" s="1030">
        <v>0</v>
      </c>
      <c r="M595" s="979">
        <v>599</v>
      </c>
    </row>
    <row r="596" spans="1:13" ht="15">
      <c r="A596" s="979" t="s">
        <v>3473</v>
      </c>
      <c r="B596" s="722" t="str">
        <f>CONCATENATE(LEFT(RIGHT(CONCATENATE("000",IFAData_TEA!A596),6),3),"-",(RIGHT(RIGHT(CONCATENATE("000",IFAData_TEA!A596),6),3)))</f>
        <v>057-914</v>
      </c>
      <c r="C596" s="979" t="s">
        <v>2235</v>
      </c>
      <c r="D596" s="979">
        <v>1</v>
      </c>
      <c r="E596" s="979">
        <v>2097</v>
      </c>
      <c r="F596" s="979" t="s">
        <v>4495</v>
      </c>
      <c r="G596" s="979" t="s">
        <v>4498</v>
      </c>
      <c r="H596" s="1030">
        <v>838538</v>
      </c>
      <c r="I596" s="1030">
        <v>13533</v>
      </c>
      <c r="J596" s="1034">
        <v>1.3997550713065209E-2</v>
      </c>
      <c r="K596" s="1030">
        <v>11737.478179832275</v>
      </c>
      <c r="L596" s="1030">
        <v>11737.478179832275</v>
      </c>
      <c r="M596" s="979">
        <v>599</v>
      </c>
    </row>
    <row r="597" spans="1:13" ht="15">
      <c r="A597" s="979" t="s">
        <v>4508</v>
      </c>
      <c r="B597" s="722" t="str">
        <f>CONCATENATE(LEFT(RIGHT(CONCATENATE("000",IFAData_TEA!A597),6),3),"-",(RIGHT(RIGHT(CONCATENATE("000",IFAData_TEA!A597),6),3)))</f>
        <v>059-901</v>
      </c>
      <c r="C597" s="979" t="s">
        <v>2372</v>
      </c>
      <c r="D597" s="979">
        <v>2</v>
      </c>
      <c r="E597" s="979">
        <v>1883</v>
      </c>
      <c r="F597" s="979" t="s">
        <v>4509</v>
      </c>
      <c r="G597" s="979" t="s">
        <v>4510</v>
      </c>
      <c r="H597" s="1030">
        <v>1022728</v>
      </c>
      <c r="I597" s="1030">
        <v>945806</v>
      </c>
      <c r="J597" s="1034">
        <v>1</v>
      </c>
      <c r="K597" s="1030">
        <v>1022728</v>
      </c>
      <c r="L597" s="1030">
        <v>945806</v>
      </c>
      <c r="M597" s="979">
        <v>199</v>
      </c>
    </row>
    <row r="598" spans="1:13" ht="15">
      <c r="A598" s="979" t="s">
        <v>4508</v>
      </c>
      <c r="B598" s="722" t="str">
        <f>CONCATENATE(LEFT(RIGHT(CONCATENATE("000",IFAData_TEA!A598),6),3),"-",(RIGHT(RIGHT(CONCATENATE("000",IFAData_TEA!A598),6),3)))</f>
        <v>059-901</v>
      </c>
      <c r="C598" s="979" t="s">
        <v>2372</v>
      </c>
      <c r="D598" s="979">
        <v>2</v>
      </c>
      <c r="E598" s="979">
        <v>1883</v>
      </c>
      <c r="F598" s="979" t="s">
        <v>4509</v>
      </c>
      <c r="G598" s="979" t="s">
        <v>4509</v>
      </c>
      <c r="H598" s="1030">
        <v>1022728</v>
      </c>
      <c r="I598" s="1030">
        <v>0</v>
      </c>
      <c r="J598" s="1034">
        <v>0</v>
      </c>
      <c r="K598" s="1030">
        <v>0</v>
      </c>
      <c r="L598" s="1030">
        <v>0</v>
      </c>
      <c r="M598" s="979">
        <v>199</v>
      </c>
    </row>
    <row r="599" spans="1:13" ht="15">
      <c r="A599" s="979" t="s">
        <v>3474</v>
      </c>
      <c r="B599" s="722" t="str">
        <f>CONCATENATE(LEFT(RIGHT(CONCATENATE("000",IFAData_TEA!A599),6),3),"-",(RIGHT(RIGHT(CONCATENATE("000",IFAData_TEA!A599),6),3)))</f>
        <v>060-902</v>
      </c>
      <c r="C599" s="979" t="s">
        <v>2617</v>
      </c>
      <c r="D599" s="979">
        <v>9</v>
      </c>
      <c r="E599" s="979">
        <v>1719</v>
      </c>
      <c r="F599" s="979" t="s">
        <v>4511</v>
      </c>
      <c r="G599" s="979" t="s">
        <v>4511</v>
      </c>
      <c r="H599" s="1030">
        <v>201802</v>
      </c>
      <c r="I599" s="1030">
        <v>255269</v>
      </c>
      <c r="J599" s="1034">
        <v>1</v>
      </c>
      <c r="K599" s="1030">
        <v>201802</v>
      </c>
      <c r="L599" s="1030">
        <v>201802</v>
      </c>
      <c r="M599" s="979">
        <v>599</v>
      </c>
    </row>
    <row r="600" spans="1:13" ht="15">
      <c r="A600" s="979" t="s">
        <v>3475</v>
      </c>
      <c r="B600" s="722" t="str">
        <f>CONCATENATE(LEFT(RIGHT(CONCATENATE("000",IFAData_TEA!A600),6),3),"-",(RIGHT(RIGHT(CONCATENATE("000",IFAData_TEA!A600),6),3)))</f>
        <v>060-914</v>
      </c>
      <c r="C600" s="979" t="s">
        <v>107</v>
      </c>
      <c r="D600" s="979">
        <v>5</v>
      </c>
      <c r="E600" s="979">
        <v>1810</v>
      </c>
      <c r="F600" s="979" t="s">
        <v>4512</v>
      </c>
      <c r="G600" s="979" t="s">
        <v>4513</v>
      </c>
      <c r="H600" s="1030">
        <v>100000</v>
      </c>
      <c r="I600" s="1030">
        <v>100450</v>
      </c>
      <c r="J600" s="1034">
        <v>1</v>
      </c>
      <c r="K600" s="1030">
        <v>100000</v>
      </c>
      <c r="L600" s="1030">
        <v>100000</v>
      </c>
      <c r="M600" s="979">
        <v>599</v>
      </c>
    </row>
    <row r="601" spans="1:13" ht="15">
      <c r="A601" s="979" t="s">
        <v>3475</v>
      </c>
      <c r="B601" s="722" t="str">
        <f>CONCATENATE(LEFT(RIGHT(CONCATENATE("000",IFAData_TEA!A601),6),3),"-",(RIGHT(RIGHT(CONCATENATE("000",IFAData_TEA!A601),6),3)))</f>
        <v>060-914</v>
      </c>
      <c r="C601" s="979" t="s">
        <v>107</v>
      </c>
      <c r="D601" s="979">
        <v>5</v>
      </c>
      <c r="E601" s="979">
        <v>1810</v>
      </c>
      <c r="F601" s="979" t="s">
        <v>4512</v>
      </c>
      <c r="G601" s="979" t="s">
        <v>4512</v>
      </c>
      <c r="H601" s="1030">
        <v>100000</v>
      </c>
      <c r="I601" s="1030">
        <v>0</v>
      </c>
      <c r="J601" s="1034">
        <v>0</v>
      </c>
      <c r="K601" s="1030">
        <v>0</v>
      </c>
      <c r="L601" s="1030">
        <v>0</v>
      </c>
      <c r="M601" s="979">
        <v>599</v>
      </c>
    </row>
    <row r="602" spans="1:13" ht="15">
      <c r="A602" s="979" t="s">
        <v>3476</v>
      </c>
      <c r="B602" s="722" t="str">
        <f>CONCATENATE(LEFT(RIGHT(CONCATENATE("000",IFAData_TEA!A602),6),3),"-",(RIGHT(RIGHT(CONCATENATE("000",IFAData_TEA!A602),6),3)))</f>
        <v>061-902</v>
      </c>
      <c r="C602" s="979" t="s">
        <v>2466</v>
      </c>
      <c r="D602" s="979">
        <v>1</v>
      </c>
      <c r="E602" s="979">
        <v>2019</v>
      </c>
      <c r="F602" s="979" t="s">
        <v>4514</v>
      </c>
      <c r="G602" s="979" t="s">
        <v>4514</v>
      </c>
      <c r="H602" s="1030">
        <v>3797900</v>
      </c>
      <c r="I602" s="1030">
        <v>0</v>
      </c>
      <c r="J602" s="1034">
        <v>0</v>
      </c>
      <c r="K602" s="1030">
        <v>0</v>
      </c>
      <c r="L602" s="1030">
        <v>0</v>
      </c>
      <c r="M602" s="979">
        <v>599</v>
      </c>
    </row>
    <row r="603" spans="1:13" ht="15">
      <c r="A603" s="979" t="s">
        <v>3476</v>
      </c>
      <c r="B603" s="722" t="str">
        <f>CONCATENATE(LEFT(RIGHT(CONCATENATE("000",IFAData_TEA!A603),6),3),"-",(RIGHT(RIGHT(CONCATENATE("000",IFAData_TEA!A603),6),3)))</f>
        <v>061-902</v>
      </c>
      <c r="C603" s="979" t="s">
        <v>2466</v>
      </c>
      <c r="D603" s="979">
        <v>2</v>
      </c>
      <c r="E603" s="979">
        <v>2018</v>
      </c>
      <c r="F603" s="979" t="s">
        <v>4517</v>
      </c>
      <c r="G603" s="979" t="s">
        <v>4515</v>
      </c>
      <c r="H603" s="1030">
        <v>1811486</v>
      </c>
      <c r="I603" s="1030">
        <v>0</v>
      </c>
      <c r="J603" s="1034">
        <v>0</v>
      </c>
      <c r="K603" s="1030">
        <v>0</v>
      </c>
      <c r="L603" s="1030">
        <v>0</v>
      </c>
      <c r="M603" s="979">
        <v>599</v>
      </c>
    </row>
    <row r="604" spans="1:13" ht="15">
      <c r="A604" s="979" t="s">
        <v>3476</v>
      </c>
      <c r="B604" s="722" t="str">
        <f>CONCATENATE(LEFT(RIGHT(CONCATENATE("000",IFAData_TEA!A604),6),3),"-",(RIGHT(RIGHT(CONCATENATE("000",IFAData_TEA!A604),6),3)))</f>
        <v>061-902</v>
      </c>
      <c r="C604" s="979" t="s">
        <v>2466</v>
      </c>
      <c r="D604" s="979">
        <v>1</v>
      </c>
      <c r="E604" s="979">
        <v>2019</v>
      </c>
      <c r="F604" s="979" t="s">
        <v>4514</v>
      </c>
      <c r="G604" s="979" t="s">
        <v>4515</v>
      </c>
      <c r="H604" s="1030">
        <v>3797900</v>
      </c>
      <c r="I604" s="1030">
        <v>0</v>
      </c>
      <c r="J604" s="1034">
        <v>0</v>
      </c>
      <c r="K604" s="1030">
        <v>0</v>
      </c>
      <c r="L604" s="1030">
        <v>0</v>
      </c>
      <c r="M604" s="979">
        <v>599</v>
      </c>
    </row>
    <row r="605" spans="1:13" ht="15">
      <c r="A605" s="979" t="s">
        <v>3476</v>
      </c>
      <c r="B605" s="722" t="str">
        <f>CONCATENATE(LEFT(RIGHT(CONCATENATE("000",IFAData_TEA!A605),6),3),"-",(RIGHT(RIGHT(CONCATENATE("000",IFAData_TEA!A605),6),3)))</f>
        <v>061-902</v>
      </c>
      <c r="C605" s="979" t="s">
        <v>2466</v>
      </c>
      <c r="D605" s="979">
        <v>1</v>
      </c>
      <c r="E605" s="979">
        <v>2019</v>
      </c>
      <c r="F605" s="979" t="s">
        <v>4514</v>
      </c>
      <c r="G605" s="979" t="s">
        <v>4516</v>
      </c>
      <c r="H605" s="1030">
        <v>3797900</v>
      </c>
      <c r="I605" s="1030">
        <v>293411</v>
      </c>
      <c r="J605" s="1034">
        <v>1</v>
      </c>
      <c r="K605" s="1030">
        <v>3797900</v>
      </c>
      <c r="L605" s="1030">
        <v>293411</v>
      </c>
      <c r="M605" s="979">
        <v>599</v>
      </c>
    </row>
    <row r="606" spans="1:13" ht="15">
      <c r="A606" s="979" t="s">
        <v>3476</v>
      </c>
      <c r="B606" s="722" t="str">
        <f>CONCATENATE(LEFT(RIGHT(CONCATENATE("000",IFAData_TEA!A606),6),3),"-",(RIGHT(RIGHT(CONCATENATE("000",IFAData_TEA!A606),6),3)))</f>
        <v>061-902</v>
      </c>
      <c r="C606" s="979" t="s">
        <v>2466</v>
      </c>
      <c r="D606" s="979">
        <v>2</v>
      </c>
      <c r="E606" s="979">
        <v>2018</v>
      </c>
      <c r="F606" s="979" t="s">
        <v>4517</v>
      </c>
      <c r="G606" s="979" t="s">
        <v>4517</v>
      </c>
      <c r="H606" s="1030">
        <v>1811486</v>
      </c>
      <c r="I606" s="1030">
        <v>0</v>
      </c>
      <c r="J606" s="1034">
        <v>0</v>
      </c>
      <c r="K606" s="1030">
        <v>0</v>
      </c>
      <c r="L606" s="1030">
        <v>0</v>
      </c>
      <c r="M606" s="979">
        <v>599</v>
      </c>
    </row>
    <row r="607" spans="1:13" ht="15">
      <c r="A607" s="979" t="s">
        <v>3476</v>
      </c>
      <c r="B607" s="722" t="str">
        <f>CONCATENATE(LEFT(RIGHT(CONCATENATE("000",IFAData_TEA!A607),6),3),"-",(RIGHT(RIGHT(CONCATENATE("000",IFAData_TEA!A607),6),3)))</f>
        <v>061-902</v>
      </c>
      <c r="C607" s="979" t="s">
        <v>2466</v>
      </c>
      <c r="D607" s="979">
        <v>2</v>
      </c>
      <c r="E607" s="979">
        <v>2018</v>
      </c>
      <c r="F607" s="979" t="s">
        <v>4517</v>
      </c>
      <c r="G607" s="979" t="s">
        <v>4516</v>
      </c>
      <c r="H607" s="1030">
        <v>1811486</v>
      </c>
      <c r="I607" s="1030">
        <v>175332</v>
      </c>
      <c r="J607" s="1034">
        <v>1</v>
      </c>
      <c r="K607" s="1030">
        <v>1811486</v>
      </c>
      <c r="L607" s="1030">
        <v>175332</v>
      </c>
      <c r="M607" s="979">
        <v>599</v>
      </c>
    </row>
    <row r="608" spans="1:13" ht="15">
      <c r="A608" s="979" t="s">
        <v>4518</v>
      </c>
      <c r="B608" s="722" t="str">
        <f>CONCATENATE(LEFT(RIGHT(CONCATENATE("000",IFAData_TEA!A608),6),3),"-",(RIGHT(RIGHT(CONCATENATE("000",IFAData_TEA!A608),6),3)))</f>
        <v>061-903</v>
      </c>
      <c r="C608" s="979" t="s">
        <v>1000</v>
      </c>
      <c r="D608" s="979">
        <v>1</v>
      </c>
      <c r="E608" s="979">
        <v>2197</v>
      </c>
      <c r="F608" s="979" t="s">
        <v>4519</v>
      </c>
      <c r="G608" s="979" t="s">
        <v>4519</v>
      </c>
      <c r="H608" s="1030">
        <v>294250</v>
      </c>
      <c r="I608" s="1030">
        <v>0</v>
      </c>
      <c r="J608" s="1034">
        <v>0</v>
      </c>
      <c r="K608" s="1030"/>
      <c r="L608" s="1030">
        <v>0</v>
      </c>
      <c r="M608" s="979">
        <v>599</v>
      </c>
    </row>
    <row r="609" spans="1:13" ht="15">
      <c r="A609" s="979" t="s">
        <v>3477</v>
      </c>
      <c r="B609" s="722" t="str">
        <f>CONCATENATE(LEFT(RIGHT(CONCATENATE("000",IFAData_TEA!A609),6),3),"-",(RIGHT(RIGHT(CONCATENATE("000",IFAData_TEA!A609),6),3)))</f>
        <v>061-905</v>
      </c>
      <c r="C609" s="979" t="s">
        <v>1692</v>
      </c>
      <c r="D609" s="979">
        <v>4</v>
      </c>
      <c r="E609" s="979">
        <v>1973</v>
      </c>
      <c r="F609" s="979" t="s">
        <v>4522</v>
      </c>
      <c r="G609" s="979" t="s">
        <v>4524</v>
      </c>
      <c r="H609" s="1030">
        <v>236619</v>
      </c>
      <c r="I609" s="1030">
        <v>3033</v>
      </c>
      <c r="J609" s="1034">
        <v>5.9300941033396618E-3</v>
      </c>
      <c r="K609" s="1030">
        <v>1403.1729366381273</v>
      </c>
      <c r="L609" s="1030">
        <v>1403.1729366381273</v>
      </c>
      <c r="M609" s="979">
        <v>599</v>
      </c>
    </row>
    <row r="610" spans="1:13" ht="15">
      <c r="A610" s="979" t="s">
        <v>3477</v>
      </c>
      <c r="B610" s="722" t="str">
        <f>CONCATENATE(LEFT(RIGHT(CONCATENATE("000",IFAData_TEA!A610),6),3),"-",(RIGHT(RIGHT(CONCATENATE("000",IFAData_TEA!A610),6),3)))</f>
        <v>061-905</v>
      </c>
      <c r="C610" s="979" t="s">
        <v>1692</v>
      </c>
      <c r="D610" s="979">
        <v>4</v>
      </c>
      <c r="E610" s="979">
        <v>1973</v>
      </c>
      <c r="F610" s="979" t="s">
        <v>4522</v>
      </c>
      <c r="G610" s="979" t="s">
        <v>4523</v>
      </c>
      <c r="H610" s="1030">
        <v>236619</v>
      </c>
      <c r="I610" s="1030">
        <v>0</v>
      </c>
      <c r="J610" s="1034">
        <v>0</v>
      </c>
      <c r="K610" s="1030">
        <v>0</v>
      </c>
      <c r="L610" s="1030">
        <v>0</v>
      </c>
      <c r="M610" s="979">
        <v>599</v>
      </c>
    </row>
    <row r="611" spans="1:13" ht="15">
      <c r="A611" s="979" t="s">
        <v>3477</v>
      </c>
      <c r="B611" s="722" t="str">
        <f>CONCATENATE(LEFT(RIGHT(CONCATENATE("000",IFAData_TEA!A611),6),3),"-",(RIGHT(RIGHT(CONCATENATE("000",IFAData_TEA!A611),6),3)))</f>
        <v>061-905</v>
      </c>
      <c r="C611" s="979" t="s">
        <v>1692</v>
      </c>
      <c r="D611" s="979">
        <v>4</v>
      </c>
      <c r="E611" s="979">
        <v>1973</v>
      </c>
      <c r="F611" s="979" t="s">
        <v>4522</v>
      </c>
      <c r="G611" s="979" t="s">
        <v>4521</v>
      </c>
      <c r="H611" s="1030">
        <v>236619</v>
      </c>
      <c r="I611" s="1030">
        <v>383828</v>
      </c>
      <c r="J611" s="1034">
        <v>0.75045702588086238</v>
      </c>
      <c r="K611" s="1030">
        <v>177572.39100690378</v>
      </c>
      <c r="L611" s="1030">
        <v>177572.39100690378</v>
      </c>
      <c r="M611" s="979">
        <v>599</v>
      </c>
    </row>
    <row r="612" spans="1:13" ht="15">
      <c r="A612" s="979" t="s">
        <v>3477</v>
      </c>
      <c r="B612" s="722" t="str">
        <f>CONCATENATE(LEFT(RIGHT(CONCATENATE("000",IFAData_TEA!A612),6),3),"-",(RIGHT(RIGHT(CONCATENATE("000",IFAData_TEA!A612),6),3)))</f>
        <v>061-905</v>
      </c>
      <c r="C612" s="979" t="s">
        <v>1692</v>
      </c>
      <c r="D612" s="979">
        <v>4</v>
      </c>
      <c r="E612" s="979">
        <v>1972</v>
      </c>
      <c r="F612" s="979" t="s">
        <v>4520</v>
      </c>
      <c r="G612" s="979" t="s">
        <v>4521</v>
      </c>
      <c r="H612" s="1030">
        <v>90131</v>
      </c>
      <c r="I612" s="1030">
        <v>74003</v>
      </c>
      <c r="J612" s="1034">
        <v>0.79766100781460525</v>
      </c>
      <c r="K612" s="1030">
        <v>71893.984295338189</v>
      </c>
      <c r="L612" s="1030">
        <v>71893.984295338189</v>
      </c>
      <c r="M612" s="979">
        <v>599</v>
      </c>
    </row>
    <row r="613" spans="1:13" ht="15">
      <c r="A613" s="979" t="s">
        <v>3477</v>
      </c>
      <c r="B613" s="722" t="str">
        <f>CONCATENATE(LEFT(RIGHT(CONCATENATE("000",IFAData_TEA!A613),6),3),"-",(RIGHT(RIGHT(CONCATENATE("000",IFAData_TEA!A613),6),3)))</f>
        <v>061-905</v>
      </c>
      <c r="C613" s="979" t="s">
        <v>1692</v>
      </c>
      <c r="D613" s="979">
        <v>4</v>
      </c>
      <c r="E613" s="979">
        <v>1973</v>
      </c>
      <c r="F613" s="979" t="s">
        <v>4522</v>
      </c>
      <c r="G613" s="979" t="s">
        <v>4522</v>
      </c>
      <c r="H613" s="1030">
        <v>236619</v>
      </c>
      <c r="I613" s="1030">
        <v>0</v>
      </c>
      <c r="J613" s="1034">
        <v>0</v>
      </c>
      <c r="K613" s="1030">
        <v>0</v>
      </c>
      <c r="L613" s="1030">
        <v>0</v>
      </c>
      <c r="M613" s="979">
        <v>599</v>
      </c>
    </row>
    <row r="614" spans="1:13" ht="15">
      <c r="A614" s="979" t="s">
        <v>3477</v>
      </c>
      <c r="B614" s="722" t="str">
        <f>CONCATENATE(LEFT(RIGHT(CONCATENATE("000",IFAData_TEA!A614),6),3),"-",(RIGHT(RIGHT(CONCATENATE("000",IFAData_TEA!A614),6),3)))</f>
        <v>061-905</v>
      </c>
      <c r="C614" s="979" t="s">
        <v>1692</v>
      </c>
      <c r="D614" s="979">
        <v>4</v>
      </c>
      <c r="E614" s="979">
        <v>1972</v>
      </c>
      <c r="F614" s="979" t="s">
        <v>4520</v>
      </c>
      <c r="G614" s="979" t="s">
        <v>6230</v>
      </c>
      <c r="H614" s="1030">
        <v>90131</v>
      </c>
      <c r="I614" s="1030">
        <v>18772</v>
      </c>
      <c r="J614" s="1034">
        <v>0.20233899218539478</v>
      </c>
      <c r="K614" s="1030">
        <v>18237.015704661815</v>
      </c>
      <c r="L614" s="1030">
        <v>18237.015704661815</v>
      </c>
      <c r="M614" s="979">
        <v>599</v>
      </c>
    </row>
    <row r="615" spans="1:13" ht="15">
      <c r="A615" s="979" t="s">
        <v>3477</v>
      </c>
      <c r="B615" s="722" t="str">
        <f>CONCATENATE(LEFT(RIGHT(CONCATENATE("000",IFAData_TEA!A615),6),3),"-",(RIGHT(RIGHT(CONCATENATE("000",IFAData_TEA!A615),6),3)))</f>
        <v>061-905</v>
      </c>
      <c r="C615" s="979" t="s">
        <v>1692</v>
      </c>
      <c r="D615" s="979">
        <v>4</v>
      </c>
      <c r="E615" s="979">
        <v>1972</v>
      </c>
      <c r="F615" s="979" t="s">
        <v>4520</v>
      </c>
      <c r="G615" s="979" t="s">
        <v>4520</v>
      </c>
      <c r="H615" s="1030">
        <v>90131</v>
      </c>
      <c r="I615" s="1030">
        <v>0</v>
      </c>
      <c r="J615" s="1034">
        <v>0</v>
      </c>
      <c r="K615" s="1030">
        <v>0</v>
      </c>
      <c r="L615" s="1030">
        <v>0</v>
      </c>
      <c r="M615" s="979">
        <v>599</v>
      </c>
    </row>
    <row r="616" spans="1:13" ht="15">
      <c r="A616" s="979" t="s">
        <v>3477</v>
      </c>
      <c r="B616" s="722" t="str">
        <f>CONCATENATE(LEFT(RIGHT(CONCATENATE("000",IFAData_TEA!A616),6),3),"-",(RIGHT(RIGHT(CONCATENATE("000",IFAData_TEA!A616),6),3)))</f>
        <v>061-905</v>
      </c>
      <c r="C616" s="979" t="s">
        <v>1692</v>
      </c>
      <c r="D616" s="979">
        <v>4</v>
      </c>
      <c r="E616" s="979">
        <v>1973</v>
      </c>
      <c r="F616" s="979" t="s">
        <v>4522</v>
      </c>
      <c r="G616" s="979" t="s">
        <v>6230</v>
      </c>
      <c r="H616" s="1030">
        <v>236619</v>
      </c>
      <c r="I616" s="1030">
        <v>124598</v>
      </c>
      <c r="J616" s="1034">
        <v>0.24361288001579795</v>
      </c>
      <c r="K616" s="1030">
        <v>57643.436056458093</v>
      </c>
      <c r="L616" s="1030">
        <v>57643.436056458093</v>
      </c>
      <c r="M616" s="979">
        <v>599</v>
      </c>
    </row>
    <row r="617" spans="1:13" ht="15">
      <c r="A617" s="979" t="s">
        <v>3478</v>
      </c>
      <c r="B617" s="722" t="str">
        <f>CONCATENATE(LEFT(RIGHT(CONCATENATE("000",IFAData_TEA!A617),6),3),"-",(RIGHT(RIGHT(CONCATENATE("000",IFAData_TEA!A617),6),3)))</f>
        <v>061-906</v>
      </c>
      <c r="C617" s="979" t="s">
        <v>1002</v>
      </c>
      <c r="D617" s="979">
        <v>2</v>
      </c>
      <c r="E617" s="979">
        <v>2201</v>
      </c>
      <c r="F617" s="979" t="s">
        <v>4525</v>
      </c>
      <c r="G617" s="979" t="s">
        <v>4526</v>
      </c>
      <c r="H617" s="1030">
        <v>139761</v>
      </c>
      <c r="I617" s="1030">
        <v>467100</v>
      </c>
      <c r="J617" s="1034">
        <v>0.47602547770700637</v>
      </c>
      <c r="K617" s="1030">
        <v>66529.796789808912</v>
      </c>
      <c r="L617" s="1030">
        <v>66529.796789808912</v>
      </c>
      <c r="M617" s="979">
        <v>599</v>
      </c>
    </row>
    <row r="618" spans="1:13" ht="15">
      <c r="A618" s="979" t="s">
        <v>3478</v>
      </c>
      <c r="B618" s="722" t="str">
        <f>CONCATENATE(LEFT(RIGHT(CONCATENATE("000",IFAData_TEA!A618),6),3),"-",(RIGHT(RIGHT(CONCATENATE("000",IFAData_TEA!A618),6),3)))</f>
        <v>061-906</v>
      </c>
      <c r="C618" s="979" t="s">
        <v>1002</v>
      </c>
      <c r="D618" s="979">
        <v>2</v>
      </c>
      <c r="E618" s="979">
        <v>2201</v>
      </c>
      <c r="F618" s="979" t="s">
        <v>4525</v>
      </c>
      <c r="G618" s="979" t="s">
        <v>4525</v>
      </c>
      <c r="H618" s="1030">
        <v>139761</v>
      </c>
      <c r="I618" s="1030">
        <v>514150</v>
      </c>
      <c r="J618" s="1034">
        <v>0.52397452229299368</v>
      </c>
      <c r="K618" s="1030">
        <v>73231.203210191088</v>
      </c>
      <c r="L618" s="1030">
        <v>73231.203210191088</v>
      </c>
      <c r="M618" s="979">
        <v>599</v>
      </c>
    </row>
    <row r="619" spans="1:13" ht="15">
      <c r="A619" s="979" t="s">
        <v>3479</v>
      </c>
      <c r="B619" s="722" t="str">
        <f>CONCATENATE(LEFT(RIGHT(CONCATENATE("000",IFAData_TEA!A619),6),3),"-",(RIGHT(RIGHT(CONCATENATE("000",IFAData_TEA!A619),6),3)))</f>
        <v>061-907</v>
      </c>
      <c r="C619" s="979" t="s">
        <v>2116</v>
      </c>
      <c r="D619" s="979">
        <v>1</v>
      </c>
      <c r="E619" s="979">
        <v>1585</v>
      </c>
      <c r="F619" s="979" t="s">
        <v>4527</v>
      </c>
      <c r="G619" s="979" t="s">
        <v>6231</v>
      </c>
      <c r="H619" s="1030">
        <v>223500</v>
      </c>
      <c r="I619" s="1030">
        <v>9222</v>
      </c>
      <c r="J619" s="1034">
        <v>3.4038186844620955E-2</v>
      </c>
      <c r="K619" s="1030">
        <v>7607.5347597727832</v>
      </c>
      <c r="L619" s="1030">
        <v>7607.5347597727832</v>
      </c>
      <c r="M619" s="979">
        <v>599</v>
      </c>
    </row>
    <row r="620" spans="1:13" ht="15">
      <c r="A620" s="979" t="s">
        <v>3479</v>
      </c>
      <c r="B620" s="722" t="str">
        <f>CONCATENATE(LEFT(RIGHT(CONCATENATE("000",IFAData_TEA!A620),6),3),"-",(RIGHT(RIGHT(CONCATENATE("000",IFAData_TEA!A620),6),3)))</f>
        <v>061-907</v>
      </c>
      <c r="C620" s="979" t="s">
        <v>2116</v>
      </c>
      <c r="D620" s="979">
        <v>1</v>
      </c>
      <c r="E620" s="979">
        <v>1585</v>
      </c>
      <c r="F620" s="979" t="s">
        <v>4527</v>
      </c>
      <c r="G620" s="979" t="s">
        <v>4529</v>
      </c>
      <c r="H620" s="1030">
        <v>223500</v>
      </c>
      <c r="I620" s="1030">
        <v>26108</v>
      </c>
      <c r="J620" s="1034">
        <v>9.636401888303664E-2</v>
      </c>
      <c r="K620" s="1030">
        <v>21537.358220358688</v>
      </c>
      <c r="L620" s="1030">
        <v>21537.358220358688</v>
      </c>
      <c r="M620" s="979">
        <v>599</v>
      </c>
    </row>
    <row r="621" spans="1:13" ht="15">
      <c r="A621" s="979" t="s">
        <v>3479</v>
      </c>
      <c r="B621" s="722" t="str">
        <f>CONCATENATE(LEFT(RIGHT(CONCATENATE("000",IFAData_TEA!A621),6),3),"-",(RIGHT(RIGHT(CONCATENATE("000",IFAData_TEA!A621),6),3)))</f>
        <v>061-907</v>
      </c>
      <c r="C621" s="979" t="s">
        <v>2116</v>
      </c>
      <c r="D621" s="979">
        <v>9</v>
      </c>
      <c r="E621" s="979">
        <v>1586</v>
      </c>
      <c r="F621" s="979" t="s">
        <v>4531</v>
      </c>
      <c r="G621" s="979" t="s">
        <v>4531</v>
      </c>
      <c r="H621" s="1030">
        <v>244398</v>
      </c>
      <c r="I621" s="1030">
        <v>365140</v>
      </c>
      <c r="J621" s="1034">
        <v>1</v>
      </c>
      <c r="K621" s="1030">
        <v>244398</v>
      </c>
      <c r="L621" s="1030">
        <v>244398</v>
      </c>
      <c r="M621" s="979">
        <v>599</v>
      </c>
    </row>
    <row r="622" spans="1:13" ht="15">
      <c r="A622" s="979" t="s">
        <v>3479</v>
      </c>
      <c r="B622" s="722" t="str">
        <f>CONCATENATE(LEFT(RIGHT(CONCATENATE("000",IFAData_TEA!A622),6),3),"-",(RIGHT(RIGHT(CONCATENATE("000",IFAData_TEA!A622),6),3)))</f>
        <v>061-907</v>
      </c>
      <c r="C622" s="979" t="s">
        <v>2116</v>
      </c>
      <c r="D622" s="979">
        <v>1</v>
      </c>
      <c r="E622" s="979">
        <v>1585</v>
      </c>
      <c r="F622" s="979" t="s">
        <v>4527</v>
      </c>
      <c r="G622" s="979" t="s">
        <v>4527</v>
      </c>
      <c r="H622" s="1030">
        <v>223500</v>
      </c>
      <c r="I622" s="1030">
        <v>150000</v>
      </c>
      <c r="J622" s="1034">
        <v>0.55364650040047092</v>
      </c>
      <c r="K622" s="1030">
        <v>123739.99283950526</v>
      </c>
      <c r="L622" s="1030">
        <v>123739.99283950526</v>
      </c>
      <c r="M622" s="979">
        <v>599</v>
      </c>
    </row>
    <row r="623" spans="1:13" ht="15">
      <c r="A623" s="979" t="s">
        <v>3479</v>
      </c>
      <c r="B623" s="722" t="str">
        <f>CONCATENATE(LEFT(RIGHT(CONCATENATE("000",IFAData_TEA!A623),6),3),"-",(RIGHT(RIGHT(CONCATENATE("000",IFAData_TEA!A623),6),3)))</f>
        <v>061-907</v>
      </c>
      <c r="C623" s="979" t="s">
        <v>2116</v>
      </c>
      <c r="D623" s="979">
        <v>1</v>
      </c>
      <c r="E623" s="979">
        <v>1585</v>
      </c>
      <c r="F623" s="979" t="s">
        <v>4527</v>
      </c>
      <c r="G623" s="979" t="s">
        <v>4528</v>
      </c>
      <c r="H623" s="1030">
        <v>223500</v>
      </c>
      <c r="I623" s="1030">
        <v>76000</v>
      </c>
      <c r="J623" s="1034">
        <v>0.28051422686957195</v>
      </c>
      <c r="K623" s="1030">
        <v>62694.929705349328</v>
      </c>
      <c r="L623" s="1030">
        <v>62694.929705349328</v>
      </c>
      <c r="M623" s="979">
        <v>599</v>
      </c>
    </row>
    <row r="624" spans="1:13" ht="15">
      <c r="A624" s="979" t="s">
        <v>3479</v>
      </c>
      <c r="B624" s="722" t="str">
        <f>CONCATENATE(LEFT(RIGHT(CONCATENATE("000",IFAData_TEA!A624),6),3),"-",(RIGHT(RIGHT(CONCATENATE("000",IFAData_TEA!A624),6),3)))</f>
        <v>061-907</v>
      </c>
      <c r="C624" s="979" t="s">
        <v>2116</v>
      </c>
      <c r="D624" s="979">
        <v>1</v>
      </c>
      <c r="E624" s="979">
        <v>1585</v>
      </c>
      <c r="F624" s="979" t="s">
        <v>4527</v>
      </c>
      <c r="G624" s="979" t="s">
        <v>4530</v>
      </c>
      <c r="H624" s="1030">
        <v>223500</v>
      </c>
      <c r="I624" s="1030">
        <v>9601</v>
      </c>
      <c r="J624" s="1034">
        <v>3.5437067002299476E-2</v>
      </c>
      <c r="K624" s="1030">
        <v>7920.1844750139326</v>
      </c>
      <c r="L624" s="1030">
        <v>7920.1844750139326</v>
      </c>
      <c r="M624" s="979">
        <v>599</v>
      </c>
    </row>
    <row r="625" spans="1:13" ht="15">
      <c r="A625" s="979" t="s">
        <v>3480</v>
      </c>
      <c r="B625" s="722" t="str">
        <f>CONCATENATE(LEFT(RIGHT(CONCATENATE("000",IFAData_TEA!A625),6),3),"-",(RIGHT(RIGHT(CONCATENATE("000",IFAData_TEA!A625),6),3)))</f>
        <v>061-908</v>
      </c>
      <c r="C625" s="979" t="s">
        <v>2060</v>
      </c>
      <c r="D625" s="979">
        <v>1</v>
      </c>
      <c r="E625" s="979">
        <v>2303</v>
      </c>
      <c r="F625" s="979" t="s">
        <v>4532</v>
      </c>
      <c r="G625" s="979" t="s">
        <v>4533</v>
      </c>
      <c r="H625" s="1030">
        <v>161107</v>
      </c>
      <c r="I625" s="1030">
        <v>29603</v>
      </c>
      <c r="J625" s="1034">
        <v>5.5751524065832864E-2</v>
      </c>
      <c r="K625" s="1030">
        <v>8981.9607876741356</v>
      </c>
      <c r="L625" s="1030">
        <v>8981.9607876741356</v>
      </c>
      <c r="M625" s="979">
        <v>599</v>
      </c>
    </row>
    <row r="626" spans="1:13" ht="15">
      <c r="A626" s="979" t="s">
        <v>3480</v>
      </c>
      <c r="B626" s="722" t="str">
        <f>CONCATENATE(LEFT(RIGHT(CONCATENATE("000",IFAData_TEA!A626),6),3),"-",(RIGHT(RIGHT(CONCATENATE("000",IFAData_TEA!A626),6),3)))</f>
        <v>061-908</v>
      </c>
      <c r="C626" s="979" t="s">
        <v>2060</v>
      </c>
      <c r="D626" s="979">
        <v>1</v>
      </c>
      <c r="E626" s="979">
        <v>2303</v>
      </c>
      <c r="F626" s="979" t="s">
        <v>4532</v>
      </c>
      <c r="G626" s="979" t="s">
        <v>4534</v>
      </c>
      <c r="H626" s="1030">
        <v>161107</v>
      </c>
      <c r="I626" s="1030">
        <v>14320</v>
      </c>
      <c r="J626" s="1034">
        <v>2.6968949924761901E-2</v>
      </c>
      <c r="K626" s="1030">
        <v>4344.8866155286159</v>
      </c>
      <c r="L626" s="1030">
        <v>4344.8866155286159</v>
      </c>
      <c r="M626" s="979">
        <v>599</v>
      </c>
    </row>
    <row r="627" spans="1:13" ht="15">
      <c r="A627" s="979" t="s">
        <v>3480</v>
      </c>
      <c r="B627" s="722" t="str">
        <f>CONCATENATE(LEFT(RIGHT(CONCATENATE("000",IFAData_TEA!A627),6),3),"-",(RIGHT(RIGHT(CONCATENATE("000",IFAData_TEA!A627),6),3)))</f>
        <v>061-908</v>
      </c>
      <c r="C627" s="979" t="s">
        <v>2060</v>
      </c>
      <c r="D627" s="979">
        <v>9</v>
      </c>
      <c r="E627" s="979">
        <v>2305</v>
      </c>
      <c r="F627" s="979" t="s">
        <v>4533</v>
      </c>
      <c r="G627" s="979" t="s">
        <v>6232</v>
      </c>
      <c r="H627" s="1030">
        <v>566674</v>
      </c>
      <c r="I627" s="1030">
        <v>359856</v>
      </c>
      <c r="J627" s="1034">
        <v>0.51142715428967744</v>
      </c>
      <c r="K627" s="1030">
        <v>289812.47122994869</v>
      </c>
      <c r="L627" s="1030">
        <v>289812.47122994869</v>
      </c>
      <c r="M627" s="979">
        <v>599</v>
      </c>
    </row>
    <row r="628" spans="1:13" ht="15">
      <c r="A628" s="979" t="s">
        <v>3480</v>
      </c>
      <c r="B628" s="722" t="str">
        <f>CONCATENATE(LEFT(RIGHT(CONCATENATE("000",IFAData_TEA!A628),6),3),"-",(RIGHT(RIGHT(CONCATENATE("000",IFAData_TEA!A628),6),3)))</f>
        <v>061-908</v>
      </c>
      <c r="C628" s="979" t="s">
        <v>2060</v>
      </c>
      <c r="D628" s="979">
        <v>1</v>
      </c>
      <c r="E628" s="979">
        <v>2303</v>
      </c>
      <c r="F628" s="979" t="s">
        <v>4532</v>
      </c>
      <c r="G628" s="979" t="s">
        <v>6232</v>
      </c>
      <c r="H628" s="1030">
        <v>161107</v>
      </c>
      <c r="I628" s="1030">
        <v>45978</v>
      </c>
      <c r="J628" s="1034">
        <v>8.6590668969322826E-2</v>
      </c>
      <c r="K628" s="1030">
        <v>13950.362905640692</v>
      </c>
      <c r="L628" s="1030">
        <v>13950.362905640692</v>
      </c>
      <c r="M628" s="979">
        <v>599</v>
      </c>
    </row>
    <row r="629" spans="1:13" ht="15">
      <c r="A629" s="979" t="s">
        <v>3480</v>
      </c>
      <c r="B629" s="722" t="str">
        <f>CONCATENATE(LEFT(RIGHT(CONCATENATE("000",IFAData_TEA!A629),6),3),"-",(RIGHT(RIGHT(CONCATENATE("000",IFAData_TEA!A629),6),3)))</f>
        <v>061-908</v>
      </c>
      <c r="C629" s="979" t="s">
        <v>2060</v>
      </c>
      <c r="D629" s="979">
        <v>9</v>
      </c>
      <c r="E629" s="979">
        <v>2305</v>
      </c>
      <c r="F629" s="979" t="s">
        <v>4533</v>
      </c>
      <c r="G629" s="979" t="s">
        <v>4534</v>
      </c>
      <c r="H629" s="1030">
        <v>566674</v>
      </c>
      <c r="I629" s="1030">
        <v>0</v>
      </c>
      <c r="J629" s="1034">
        <v>0</v>
      </c>
      <c r="K629" s="1030">
        <v>0</v>
      </c>
      <c r="L629" s="1030">
        <v>0</v>
      </c>
      <c r="M629" s="979">
        <v>599</v>
      </c>
    </row>
    <row r="630" spans="1:13" ht="15">
      <c r="A630" s="979" t="s">
        <v>3480</v>
      </c>
      <c r="B630" s="722" t="str">
        <f>CONCATENATE(LEFT(RIGHT(CONCATENATE("000",IFAData_TEA!A630),6),3),"-",(RIGHT(RIGHT(CONCATENATE("000",IFAData_TEA!A630),6),3)))</f>
        <v>061-908</v>
      </c>
      <c r="C630" s="979" t="s">
        <v>2060</v>
      </c>
      <c r="D630" s="979">
        <v>5</v>
      </c>
      <c r="E630" s="979">
        <v>2304</v>
      </c>
      <c r="F630" s="979" t="s">
        <v>4535</v>
      </c>
      <c r="G630" s="979" t="s">
        <v>4535</v>
      </c>
      <c r="H630" s="1030">
        <v>461721</v>
      </c>
      <c r="I630" s="1030">
        <v>1386827</v>
      </c>
      <c r="J630" s="1034">
        <v>1</v>
      </c>
      <c r="K630" s="1030">
        <v>461721</v>
      </c>
      <c r="L630" s="1030">
        <v>461721</v>
      </c>
      <c r="M630" s="979">
        <v>599</v>
      </c>
    </row>
    <row r="631" spans="1:13" ht="15">
      <c r="A631" s="979" t="s">
        <v>3480</v>
      </c>
      <c r="B631" s="722" t="str">
        <f>CONCATENATE(LEFT(RIGHT(CONCATENATE("000",IFAData_TEA!A631),6),3),"-",(RIGHT(RIGHT(CONCATENATE("000",IFAData_TEA!A631),6),3)))</f>
        <v>061-908</v>
      </c>
      <c r="C631" s="979" t="s">
        <v>2060</v>
      </c>
      <c r="D631" s="979">
        <v>9</v>
      </c>
      <c r="E631" s="979">
        <v>2305</v>
      </c>
      <c r="F631" s="979" t="s">
        <v>4533</v>
      </c>
      <c r="G631" s="979" t="s">
        <v>4533</v>
      </c>
      <c r="H631" s="1030">
        <v>566674</v>
      </c>
      <c r="I631" s="1030">
        <v>343775</v>
      </c>
      <c r="J631" s="1034">
        <v>0.48857284571032261</v>
      </c>
      <c r="K631" s="1030">
        <v>276861.52877005137</v>
      </c>
      <c r="L631" s="1030">
        <v>276861.52877005137</v>
      </c>
      <c r="M631" s="979">
        <v>599</v>
      </c>
    </row>
    <row r="632" spans="1:13" ht="15">
      <c r="A632" s="979" t="s">
        <v>3480</v>
      </c>
      <c r="B632" s="722" t="str">
        <f>CONCATENATE(LEFT(RIGHT(CONCATENATE("000",IFAData_TEA!A632),6),3),"-",(RIGHT(RIGHT(CONCATENATE("000",IFAData_TEA!A632),6),3)))</f>
        <v>061-908</v>
      </c>
      <c r="C632" s="979" t="s">
        <v>2060</v>
      </c>
      <c r="D632" s="979">
        <v>1</v>
      </c>
      <c r="E632" s="979">
        <v>2303</v>
      </c>
      <c r="F632" s="979" t="s">
        <v>4532</v>
      </c>
      <c r="G632" s="979" t="s">
        <v>4532</v>
      </c>
      <c r="H632" s="1030">
        <v>161107</v>
      </c>
      <c r="I632" s="1030">
        <v>441080</v>
      </c>
      <c r="J632" s="1034">
        <v>0.83068885704008244</v>
      </c>
      <c r="K632" s="1030">
        <v>133829.78969115656</v>
      </c>
      <c r="L632" s="1030">
        <v>133829.78969115656</v>
      </c>
      <c r="M632" s="979">
        <v>599</v>
      </c>
    </row>
    <row r="633" spans="1:13" ht="15">
      <c r="A633" s="979" t="s">
        <v>3481</v>
      </c>
      <c r="B633" s="722" t="str">
        <f>CONCATENATE(LEFT(RIGHT(CONCATENATE("000",IFAData_TEA!A633),6),3),"-",(RIGHT(RIGHT(CONCATENATE("000",IFAData_TEA!A633),6),3)))</f>
        <v>061-911</v>
      </c>
      <c r="C633" s="979" t="s">
        <v>1256</v>
      </c>
      <c r="D633" s="979">
        <v>1</v>
      </c>
      <c r="E633" s="979">
        <v>2154</v>
      </c>
      <c r="F633" s="979" t="s">
        <v>4536</v>
      </c>
      <c r="G633" s="979" t="s">
        <v>4536</v>
      </c>
      <c r="H633" s="1030">
        <v>740900</v>
      </c>
      <c r="I633" s="1030">
        <v>0</v>
      </c>
      <c r="J633" s="1034">
        <v>0</v>
      </c>
      <c r="K633" s="1030">
        <v>0</v>
      </c>
      <c r="L633" s="1030">
        <v>0</v>
      </c>
      <c r="M633" s="979">
        <v>599</v>
      </c>
    </row>
    <row r="634" spans="1:13" ht="15">
      <c r="A634" s="979" t="s">
        <v>3481</v>
      </c>
      <c r="B634" s="722" t="str">
        <f>CONCATENATE(LEFT(RIGHT(CONCATENATE("000",IFAData_TEA!A634),6),3),"-",(RIGHT(RIGHT(CONCATENATE("000",IFAData_TEA!A634),6),3)))</f>
        <v>061-911</v>
      </c>
      <c r="C634" s="979" t="s">
        <v>1256</v>
      </c>
      <c r="D634" s="979">
        <v>1</v>
      </c>
      <c r="E634" s="979">
        <v>2154</v>
      </c>
      <c r="F634" s="979" t="s">
        <v>4536</v>
      </c>
      <c r="G634" s="979" t="s">
        <v>4537</v>
      </c>
      <c r="H634" s="1030">
        <v>740900</v>
      </c>
      <c r="I634" s="1030">
        <v>0</v>
      </c>
      <c r="J634" s="1034">
        <v>0</v>
      </c>
      <c r="K634" s="1030">
        <v>0</v>
      </c>
      <c r="L634" s="1030">
        <v>0</v>
      </c>
      <c r="M634" s="979">
        <v>599</v>
      </c>
    </row>
    <row r="635" spans="1:13" ht="15">
      <c r="A635" s="979" t="s">
        <v>3481</v>
      </c>
      <c r="B635" s="722" t="str">
        <f>CONCATENATE(LEFT(RIGHT(CONCATENATE("000",IFAData_TEA!A635),6),3),"-",(RIGHT(RIGHT(CONCATENATE("000",IFAData_TEA!A635),6),3)))</f>
        <v>061-911</v>
      </c>
      <c r="C635" s="979" t="s">
        <v>1256</v>
      </c>
      <c r="D635" s="979">
        <v>1</v>
      </c>
      <c r="E635" s="979">
        <v>2154</v>
      </c>
      <c r="F635" s="979" t="s">
        <v>4536</v>
      </c>
      <c r="G635" s="979" t="s">
        <v>4538</v>
      </c>
      <c r="H635" s="1030">
        <v>740900</v>
      </c>
      <c r="I635" s="1030">
        <v>52857</v>
      </c>
      <c r="J635" s="1034">
        <v>1</v>
      </c>
      <c r="K635" s="1030">
        <v>740900</v>
      </c>
      <c r="L635" s="1030">
        <v>52857</v>
      </c>
      <c r="M635" s="979">
        <v>599</v>
      </c>
    </row>
    <row r="636" spans="1:13" ht="15">
      <c r="A636" s="979" t="s">
        <v>3481</v>
      </c>
      <c r="B636" s="722" t="str">
        <f>CONCATENATE(LEFT(RIGHT(CONCATENATE("000",IFAData_TEA!A636),6),3),"-",(RIGHT(RIGHT(CONCATENATE("000",IFAData_TEA!A636),6),3)))</f>
        <v>061-911</v>
      </c>
      <c r="C636" s="979" t="s">
        <v>1256</v>
      </c>
      <c r="D636" s="979">
        <v>1</v>
      </c>
      <c r="E636" s="979">
        <v>2154</v>
      </c>
      <c r="F636" s="979" t="s">
        <v>4536</v>
      </c>
      <c r="G636" s="979" t="s">
        <v>6233</v>
      </c>
      <c r="H636" s="1030">
        <v>740900</v>
      </c>
      <c r="I636" s="1030">
        <v>0</v>
      </c>
      <c r="J636" s="1034">
        <v>0</v>
      </c>
      <c r="K636" s="1030">
        <v>0</v>
      </c>
      <c r="L636" s="1030">
        <v>0</v>
      </c>
      <c r="M636" s="979">
        <v>599</v>
      </c>
    </row>
    <row r="637" spans="1:13" ht="15">
      <c r="A637" s="979" t="s">
        <v>3482</v>
      </c>
      <c r="B637" s="722" t="str">
        <f>CONCATENATE(LEFT(RIGHT(CONCATENATE("000",IFAData_TEA!A637),6),3),"-",(RIGHT(RIGHT(CONCATENATE("000",IFAData_TEA!A637),6),3)))</f>
        <v>061-912</v>
      </c>
      <c r="C637" s="979" t="s">
        <v>2300</v>
      </c>
      <c r="D637" s="979">
        <v>3</v>
      </c>
      <c r="E637" s="979">
        <v>1997</v>
      </c>
      <c r="F637" s="979" t="s">
        <v>4539</v>
      </c>
      <c r="G637" s="979" t="s">
        <v>4543</v>
      </c>
      <c r="H637" s="1030">
        <v>661840</v>
      </c>
      <c r="I637" s="1030">
        <v>2110</v>
      </c>
      <c r="J637" s="1034">
        <v>3.7437766367046251E-3</v>
      </c>
      <c r="K637" s="1030">
        <v>2477.7811292365891</v>
      </c>
      <c r="L637" s="1030">
        <v>2110</v>
      </c>
      <c r="M637" s="979">
        <v>599</v>
      </c>
    </row>
    <row r="638" spans="1:13" ht="15">
      <c r="A638" s="979" t="s">
        <v>3482</v>
      </c>
      <c r="B638" s="722" t="str">
        <f>CONCATENATE(LEFT(RIGHT(CONCATENATE("000",IFAData_TEA!A638),6),3),"-",(RIGHT(RIGHT(CONCATENATE("000",IFAData_TEA!A638),6),3)))</f>
        <v>061-912</v>
      </c>
      <c r="C638" s="979" t="s">
        <v>2300</v>
      </c>
      <c r="D638" s="979">
        <v>3</v>
      </c>
      <c r="E638" s="979">
        <v>1997</v>
      </c>
      <c r="F638" s="979" t="s">
        <v>4539</v>
      </c>
      <c r="G638" s="979" t="s">
        <v>4542</v>
      </c>
      <c r="H638" s="1030">
        <v>661840</v>
      </c>
      <c r="I638" s="1030">
        <v>0</v>
      </c>
      <c r="J638" s="1034">
        <v>0</v>
      </c>
      <c r="K638" s="1030">
        <v>0</v>
      </c>
      <c r="L638" s="1030">
        <v>0</v>
      </c>
      <c r="M638" s="979">
        <v>599</v>
      </c>
    </row>
    <row r="639" spans="1:13" ht="15">
      <c r="A639" s="979" t="s">
        <v>3482</v>
      </c>
      <c r="B639" s="722" t="str">
        <f>CONCATENATE(LEFT(RIGHT(CONCATENATE("000",IFAData_TEA!A639),6),3),"-",(RIGHT(RIGHT(CONCATENATE("000",IFAData_TEA!A639),6),3)))</f>
        <v>061-912</v>
      </c>
      <c r="C639" s="979" t="s">
        <v>2300</v>
      </c>
      <c r="D639" s="979">
        <v>9</v>
      </c>
      <c r="E639" s="979">
        <v>1996</v>
      </c>
      <c r="F639" s="979" t="s">
        <v>4544</v>
      </c>
      <c r="G639" s="979" t="s">
        <v>4544</v>
      </c>
      <c r="H639" s="1030">
        <v>296517</v>
      </c>
      <c r="I639" s="1030">
        <v>488602</v>
      </c>
      <c r="J639" s="1034">
        <v>0.91203542102600765</v>
      </c>
      <c r="K639" s="1030">
        <v>270434.00693636871</v>
      </c>
      <c r="L639" s="1030">
        <v>270434.00693636871</v>
      </c>
      <c r="M639" s="979">
        <v>599</v>
      </c>
    </row>
    <row r="640" spans="1:13" ht="15">
      <c r="A640" s="979" t="s">
        <v>3482</v>
      </c>
      <c r="B640" s="722" t="str">
        <f>CONCATENATE(LEFT(RIGHT(CONCATENATE("000",IFAData_TEA!A640),6),3),"-",(RIGHT(RIGHT(CONCATENATE("000",IFAData_TEA!A640),6),3)))</f>
        <v>061-912</v>
      </c>
      <c r="C640" s="979" t="s">
        <v>2300</v>
      </c>
      <c r="D640" s="979">
        <v>10</v>
      </c>
      <c r="E640" s="979">
        <v>1995</v>
      </c>
      <c r="F640" s="979" t="s">
        <v>4545</v>
      </c>
      <c r="G640" s="979" t="s">
        <v>6234</v>
      </c>
      <c r="H640" s="1030">
        <v>177100</v>
      </c>
      <c r="I640" s="1030">
        <v>117304</v>
      </c>
      <c r="J640" s="1034">
        <v>0.38153970251976749</v>
      </c>
      <c r="K640" s="1030">
        <v>67570.681316250819</v>
      </c>
      <c r="L640" s="1030">
        <v>67570.681316250819</v>
      </c>
      <c r="M640" s="979">
        <v>599</v>
      </c>
    </row>
    <row r="641" spans="1:13" ht="15">
      <c r="A641" s="979" t="s">
        <v>3482</v>
      </c>
      <c r="B641" s="722" t="str">
        <f>CONCATENATE(LEFT(RIGHT(CONCATENATE("000",IFAData_TEA!A641),6),3),"-",(RIGHT(RIGHT(CONCATENATE("000",IFAData_TEA!A641),6),3)))</f>
        <v>061-912</v>
      </c>
      <c r="C641" s="979" t="s">
        <v>2300</v>
      </c>
      <c r="D641" s="979">
        <v>3</v>
      </c>
      <c r="E641" s="979">
        <v>1997</v>
      </c>
      <c r="F641" s="979" t="s">
        <v>4539</v>
      </c>
      <c r="G641" s="979" t="s">
        <v>4539</v>
      </c>
      <c r="H641" s="1030">
        <v>661840</v>
      </c>
      <c r="I641" s="1030">
        <v>0</v>
      </c>
      <c r="J641" s="1034">
        <v>0</v>
      </c>
      <c r="K641" s="1030">
        <v>0</v>
      </c>
      <c r="L641" s="1030">
        <v>0</v>
      </c>
      <c r="M641" s="979">
        <v>599</v>
      </c>
    </row>
    <row r="642" spans="1:13" ht="15">
      <c r="A642" s="979" t="s">
        <v>3482</v>
      </c>
      <c r="B642" s="722" t="str">
        <f>CONCATENATE(LEFT(RIGHT(CONCATENATE("000",IFAData_TEA!A642),6),3),"-",(RIGHT(RIGHT(CONCATENATE("000",IFAData_TEA!A642),6),3)))</f>
        <v>061-912</v>
      </c>
      <c r="C642" s="979" t="s">
        <v>2300</v>
      </c>
      <c r="D642" s="979">
        <v>3</v>
      </c>
      <c r="E642" s="979">
        <v>1997</v>
      </c>
      <c r="F642" s="979" t="s">
        <v>4539</v>
      </c>
      <c r="G642" s="979" t="s">
        <v>6234</v>
      </c>
      <c r="H642" s="1030">
        <v>661840</v>
      </c>
      <c r="I642" s="1030">
        <v>2953</v>
      </c>
      <c r="J642" s="1034">
        <v>5.2395129896629184E-3</v>
      </c>
      <c r="K642" s="1030">
        <v>3467.7192770785059</v>
      </c>
      <c r="L642" s="1030">
        <v>2953</v>
      </c>
      <c r="M642" s="979">
        <v>599</v>
      </c>
    </row>
    <row r="643" spans="1:13" ht="15">
      <c r="A643" s="979" t="s">
        <v>3482</v>
      </c>
      <c r="B643" s="722" t="str">
        <f>CONCATENATE(LEFT(RIGHT(CONCATENATE("000",IFAData_TEA!A643),6),3),"-",(RIGHT(RIGHT(CONCATENATE("000",IFAData_TEA!A643),6),3)))</f>
        <v>061-912</v>
      </c>
      <c r="C643" s="979" t="s">
        <v>2300</v>
      </c>
      <c r="D643" s="979">
        <v>3</v>
      </c>
      <c r="E643" s="979">
        <v>1997</v>
      </c>
      <c r="F643" s="979" t="s">
        <v>4539</v>
      </c>
      <c r="G643" s="979" t="s">
        <v>4541</v>
      </c>
      <c r="H643" s="1030">
        <v>661840</v>
      </c>
      <c r="I643" s="1030">
        <v>557275</v>
      </c>
      <c r="J643" s="1034">
        <v>0.98877399299505675</v>
      </c>
      <c r="K643" s="1030">
        <v>654410.17952384835</v>
      </c>
      <c r="L643" s="1030">
        <v>557275</v>
      </c>
      <c r="M643" s="979">
        <v>599</v>
      </c>
    </row>
    <row r="644" spans="1:13" ht="15">
      <c r="A644" s="979" t="s">
        <v>3482</v>
      </c>
      <c r="B644" s="722" t="str">
        <f>CONCATENATE(LEFT(RIGHT(CONCATENATE("000",IFAData_TEA!A644),6),3),"-",(RIGHT(RIGHT(CONCATENATE("000",IFAData_TEA!A644),6),3)))</f>
        <v>061-912</v>
      </c>
      <c r="C644" s="979" t="s">
        <v>2300</v>
      </c>
      <c r="D644" s="979">
        <v>3</v>
      </c>
      <c r="E644" s="979">
        <v>1997</v>
      </c>
      <c r="F644" s="979" t="s">
        <v>4539</v>
      </c>
      <c r="G644" s="979" t="s">
        <v>4540</v>
      </c>
      <c r="H644" s="1030">
        <v>661840</v>
      </c>
      <c r="I644" s="1030">
        <v>1264</v>
      </c>
      <c r="J644" s="1034">
        <v>2.2427173785756617E-3</v>
      </c>
      <c r="K644" s="1030">
        <v>1484.3200698365158</v>
      </c>
      <c r="L644" s="1030">
        <v>1264</v>
      </c>
      <c r="M644" s="979">
        <v>599</v>
      </c>
    </row>
    <row r="645" spans="1:13" ht="15">
      <c r="A645" s="979" t="s">
        <v>3482</v>
      </c>
      <c r="B645" s="722" t="str">
        <f>CONCATENATE(LEFT(RIGHT(CONCATENATE("000",IFAData_TEA!A645),6),3),"-",(RIGHT(RIGHT(CONCATENATE("000",IFAData_TEA!A645),6),3)))</f>
        <v>061-912</v>
      </c>
      <c r="C645" s="979" t="s">
        <v>2300</v>
      </c>
      <c r="D645" s="979">
        <v>10</v>
      </c>
      <c r="E645" s="979">
        <v>1995</v>
      </c>
      <c r="F645" s="979" t="s">
        <v>4545</v>
      </c>
      <c r="G645" s="979" t="s">
        <v>4545</v>
      </c>
      <c r="H645" s="1030">
        <v>177100</v>
      </c>
      <c r="I645" s="1030">
        <v>190145</v>
      </c>
      <c r="J645" s="1034">
        <v>0.61846029748023246</v>
      </c>
      <c r="K645" s="1030">
        <v>109529.31868374917</v>
      </c>
      <c r="L645" s="1030">
        <v>109529.31868374917</v>
      </c>
      <c r="M645" s="979">
        <v>599</v>
      </c>
    </row>
    <row r="646" spans="1:13" ht="15">
      <c r="A646" s="979" t="s">
        <v>3482</v>
      </c>
      <c r="B646" s="722" t="str">
        <f>CONCATENATE(LEFT(RIGHT(CONCATENATE("000",IFAData_TEA!A646),6),3),"-",(RIGHT(RIGHT(CONCATENATE("000",IFAData_TEA!A646),6),3)))</f>
        <v>061-912</v>
      </c>
      <c r="C646" s="979" t="s">
        <v>2300</v>
      </c>
      <c r="D646" s="979">
        <v>9</v>
      </c>
      <c r="E646" s="979">
        <v>1996</v>
      </c>
      <c r="F646" s="979" t="s">
        <v>4544</v>
      </c>
      <c r="G646" s="979" t="s">
        <v>6234</v>
      </c>
      <c r="H646" s="1030">
        <v>296517</v>
      </c>
      <c r="I646" s="1030">
        <v>47125</v>
      </c>
      <c r="J646" s="1034">
        <v>8.7964578973992347E-2</v>
      </c>
      <c r="K646" s="1030">
        <v>26082.993063631289</v>
      </c>
      <c r="L646" s="1030">
        <v>26082.993063631289</v>
      </c>
      <c r="M646" s="979">
        <v>599</v>
      </c>
    </row>
    <row r="647" spans="1:13" ht="15">
      <c r="A647" s="979" t="s">
        <v>3483</v>
      </c>
      <c r="B647" s="722" t="str">
        <f>CONCATENATE(LEFT(RIGHT(CONCATENATE("000",IFAData_TEA!A647),6),3),"-",(RIGHT(RIGHT(CONCATENATE("000",IFAData_TEA!A647),6),3)))</f>
        <v>061-914</v>
      </c>
      <c r="C647" s="979" t="s">
        <v>1567</v>
      </c>
      <c r="D647" s="979">
        <v>5</v>
      </c>
      <c r="E647" s="979">
        <v>2026</v>
      </c>
      <c r="F647" s="979" t="s">
        <v>4546</v>
      </c>
      <c r="G647" s="979" t="s">
        <v>4554</v>
      </c>
      <c r="H647" s="1030">
        <v>512028</v>
      </c>
      <c r="I647" s="1030">
        <v>14057</v>
      </c>
      <c r="J647" s="1034">
        <v>1.6370933179294153E-2</v>
      </c>
      <c r="K647" s="1030">
        <v>8382.376173927627</v>
      </c>
      <c r="L647" s="1030">
        <v>8382.376173927627</v>
      </c>
      <c r="M647" s="979">
        <v>599</v>
      </c>
    </row>
    <row r="648" spans="1:13" ht="15">
      <c r="A648" s="979" t="s">
        <v>3483</v>
      </c>
      <c r="B648" s="722" t="str">
        <f>CONCATENATE(LEFT(RIGHT(CONCATENATE("000",IFAData_TEA!A648),6),3),"-",(RIGHT(RIGHT(CONCATENATE("000",IFAData_TEA!A648),6),3)))</f>
        <v>061-914</v>
      </c>
      <c r="C648" s="979" t="s">
        <v>1567</v>
      </c>
      <c r="D648" s="979">
        <v>5</v>
      </c>
      <c r="E648" s="979">
        <v>2026</v>
      </c>
      <c r="F648" s="979" t="s">
        <v>4546</v>
      </c>
      <c r="G648" s="979" t="s">
        <v>4552</v>
      </c>
      <c r="H648" s="1030">
        <v>512028</v>
      </c>
      <c r="I648" s="1030">
        <v>0</v>
      </c>
      <c r="J648" s="1034">
        <v>0</v>
      </c>
      <c r="K648" s="1030">
        <v>0</v>
      </c>
      <c r="L648" s="1030">
        <v>0</v>
      </c>
      <c r="M648" s="979">
        <v>599</v>
      </c>
    </row>
    <row r="649" spans="1:13" ht="15">
      <c r="A649" s="979" t="s">
        <v>3483</v>
      </c>
      <c r="B649" s="722" t="str">
        <f>CONCATENATE(LEFT(RIGHT(CONCATENATE("000",IFAData_TEA!A649),6),3),"-",(RIGHT(RIGHT(CONCATENATE("000",IFAData_TEA!A649),6),3)))</f>
        <v>061-914</v>
      </c>
      <c r="C649" s="979" t="s">
        <v>1567</v>
      </c>
      <c r="D649" s="979">
        <v>5</v>
      </c>
      <c r="E649" s="979">
        <v>2026</v>
      </c>
      <c r="F649" s="979" t="s">
        <v>4546</v>
      </c>
      <c r="G649" s="979" t="s">
        <v>4555</v>
      </c>
      <c r="H649" s="1030">
        <v>512028</v>
      </c>
      <c r="I649" s="1030">
        <v>2</v>
      </c>
      <c r="J649" s="1034">
        <v>2.3292214810121867E-6</v>
      </c>
      <c r="K649" s="1030">
        <v>1.1926266164797079</v>
      </c>
      <c r="L649" s="1030">
        <v>1.1926266164797079</v>
      </c>
      <c r="M649" s="979">
        <v>599</v>
      </c>
    </row>
    <row r="650" spans="1:13" ht="15">
      <c r="A650" s="979" t="s">
        <v>3483</v>
      </c>
      <c r="B650" s="722" t="str">
        <f>CONCATENATE(LEFT(RIGHT(CONCATENATE("000",IFAData_TEA!A650),6),3),"-",(RIGHT(RIGHT(CONCATENATE("000",IFAData_TEA!A650),6),3)))</f>
        <v>061-914</v>
      </c>
      <c r="C650" s="979" t="s">
        <v>1567</v>
      </c>
      <c r="D650" s="979">
        <v>5</v>
      </c>
      <c r="E650" s="979">
        <v>2026</v>
      </c>
      <c r="F650" s="979" t="s">
        <v>4546</v>
      </c>
      <c r="G650" s="979" t="s">
        <v>4556</v>
      </c>
      <c r="H650" s="1030">
        <v>512028</v>
      </c>
      <c r="I650" s="1030">
        <v>3</v>
      </c>
      <c r="J650" s="1034">
        <v>3.4938322215182798E-6</v>
      </c>
      <c r="K650" s="1030">
        <v>1.7889399247195616</v>
      </c>
      <c r="L650" s="1030">
        <v>1.7889399247195616</v>
      </c>
      <c r="M650" s="979">
        <v>599</v>
      </c>
    </row>
    <row r="651" spans="1:13" ht="15">
      <c r="A651" s="979" t="s">
        <v>3483</v>
      </c>
      <c r="B651" s="722" t="str">
        <f>CONCATENATE(LEFT(RIGHT(CONCATENATE("000",IFAData_TEA!A651),6),3),"-",(RIGHT(RIGHT(CONCATENATE("000",IFAData_TEA!A651),6),3)))</f>
        <v>061-914</v>
      </c>
      <c r="C651" s="979" t="s">
        <v>1567</v>
      </c>
      <c r="D651" s="979">
        <v>5</v>
      </c>
      <c r="E651" s="979">
        <v>2026</v>
      </c>
      <c r="F651" s="979" t="s">
        <v>4546</v>
      </c>
      <c r="G651" s="979" t="s">
        <v>4549</v>
      </c>
      <c r="H651" s="1030">
        <v>512028</v>
      </c>
      <c r="I651" s="1030">
        <v>0</v>
      </c>
      <c r="J651" s="1034">
        <v>0</v>
      </c>
      <c r="K651" s="1030">
        <v>0</v>
      </c>
      <c r="L651" s="1030">
        <v>0</v>
      </c>
      <c r="M651" s="979">
        <v>599</v>
      </c>
    </row>
    <row r="652" spans="1:13" ht="15">
      <c r="A652" s="979" t="s">
        <v>3483</v>
      </c>
      <c r="B652" s="722" t="str">
        <f>CONCATENATE(LEFT(RIGHT(CONCATENATE("000",IFAData_TEA!A652),6),3),"-",(RIGHT(RIGHT(CONCATENATE("000",IFAData_TEA!A652),6),3)))</f>
        <v>061-914</v>
      </c>
      <c r="C652" s="979" t="s">
        <v>1567</v>
      </c>
      <c r="D652" s="979">
        <v>5</v>
      </c>
      <c r="E652" s="979">
        <v>2026</v>
      </c>
      <c r="F652" s="979" t="s">
        <v>4546</v>
      </c>
      <c r="G652" s="979" t="s">
        <v>4553</v>
      </c>
      <c r="H652" s="1030">
        <v>512028</v>
      </c>
      <c r="I652" s="1030">
        <v>202107</v>
      </c>
      <c r="J652" s="1034">
        <v>0.235375982931465</v>
      </c>
      <c r="K652" s="1030">
        <v>120519.09378843216</v>
      </c>
      <c r="L652" s="1030">
        <v>120519.09378843216</v>
      </c>
      <c r="M652" s="979">
        <v>599</v>
      </c>
    </row>
    <row r="653" spans="1:13" ht="15">
      <c r="A653" s="979" t="s">
        <v>3483</v>
      </c>
      <c r="B653" s="722" t="str">
        <f>CONCATENATE(LEFT(RIGHT(CONCATENATE("000",IFAData_TEA!A653),6),3),"-",(RIGHT(RIGHT(CONCATENATE("000",IFAData_TEA!A653),6),3)))</f>
        <v>061-914</v>
      </c>
      <c r="C653" s="979" t="s">
        <v>1567</v>
      </c>
      <c r="D653" s="979">
        <v>5</v>
      </c>
      <c r="E653" s="979">
        <v>2026</v>
      </c>
      <c r="F653" s="979" t="s">
        <v>4546</v>
      </c>
      <c r="G653" s="979" t="s">
        <v>6235</v>
      </c>
      <c r="H653" s="1030">
        <v>512028</v>
      </c>
      <c r="I653" s="1030">
        <v>1704</v>
      </c>
      <c r="J653" s="1034">
        <v>1.9844967018223829E-3</v>
      </c>
      <c r="K653" s="1030">
        <v>1016.1178772407111</v>
      </c>
      <c r="L653" s="1030">
        <v>1016.1178772407111</v>
      </c>
      <c r="M653" s="979">
        <v>599</v>
      </c>
    </row>
    <row r="654" spans="1:13" ht="15">
      <c r="A654" s="979" t="s">
        <v>3483</v>
      </c>
      <c r="B654" s="722" t="str">
        <f>CONCATENATE(LEFT(RIGHT(CONCATENATE("000",IFAData_TEA!A654),6),3),"-",(RIGHT(RIGHT(CONCATENATE("000",IFAData_TEA!A654),6),3)))</f>
        <v>061-914</v>
      </c>
      <c r="C654" s="979" t="s">
        <v>1567</v>
      </c>
      <c r="D654" s="979">
        <v>9</v>
      </c>
      <c r="E654" s="979">
        <v>2027</v>
      </c>
      <c r="F654" s="979" t="s">
        <v>4551</v>
      </c>
      <c r="G654" s="979" t="s">
        <v>4551</v>
      </c>
      <c r="H654" s="1030">
        <v>606882</v>
      </c>
      <c r="I654" s="1030">
        <v>965467</v>
      </c>
      <c r="J654" s="1034">
        <v>0.96718956461457861</v>
      </c>
      <c r="K654" s="1030">
        <v>586969.93735242472</v>
      </c>
      <c r="L654" s="1030">
        <v>586969.93735242472</v>
      </c>
      <c r="M654" s="979">
        <v>599</v>
      </c>
    </row>
    <row r="655" spans="1:13" ht="15">
      <c r="A655" s="979" t="s">
        <v>3483</v>
      </c>
      <c r="B655" s="722" t="str">
        <f>CONCATENATE(LEFT(RIGHT(CONCATENATE("000",IFAData_TEA!A655),6),3),"-",(RIGHT(RIGHT(CONCATENATE("000",IFAData_TEA!A655),6),3)))</f>
        <v>061-914</v>
      </c>
      <c r="C655" s="979" t="s">
        <v>1567</v>
      </c>
      <c r="D655" s="979">
        <v>5</v>
      </c>
      <c r="E655" s="979">
        <v>2026</v>
      </c>
      <c r="F655" s="979" t="s">
        <v>4546</v>
      </c>
      <c r="G655" s="979" t="s">
        <v>4550</v>
      </c>
      <c r="H655" s="1030">
        <v>512028</v>
      </c>
      <c r="I655" s="1030">
        <v>0</v>
      </c>
      <c r="J655" s="1034">
        <v>0</v>
      </c>
      <c r="K655" s="1030">
        <v>0</v>
      </c>
      <c r="L655" s="1030">
        <v>0</v>
      </c>
      <c r="M655" s="979">
        <v>599</v>
      </c>
    </row>
    <row r="656" spans="1:13" ht="15">
      <c r="A656" s="979" t="s">
        <v>3483</v>
      </c>
      <c r="B656" s="722" t="str">
        <f>CONCATENATE(LEFT(RIGHT(CONCATENATE("000",IFAData_TEA!A656),6),3),"-",(RIGHT(RIGHT(CONCATENATE("000",IFAData_TEA!A656),6),3)))</f>
        <v>061-914</v>
      </c>
      <c r="C656" s="979" t="s">
        <v>1567</v>
      </c>
      <c r="D656" s="979">
        <v>5</v>
      </c>
      <c r="E656" s="979">
        <v>2026</v>
      </c>
      <c r="F656" s="979" t="s">
        <v>4546</v>
      </c>
      <c r="G656" s="979" t="s">
        <v>4551</v>
      </c>
      <c r="H656" s="1030">
        <v>512028</v>
      </c>
      <c r="I656" s="1030">
        <v>252895</v>
      </c>
      <c r="J656" s="1034">
        <v>0.29452423322028848</v>
      </c>
      <c r="K656" s="1030">
        <v>150804.65408731787</v>
      </c>
      <c r="L656" s="1030">
        <v>150804.65408731787</v>
      </c>
      <c r="M656" s="979">
        <v>599</v>
      </c>
    </row>
    <row r="657" spans="1:13" ht="15">
      <c r="A657" s="979" t="s">
        <v>3483</v>
      </c>
      <c r="B657" s="722" t="str">
        <f>CONCATENATE(LEFT(RIGHT(CONCATENATE("000",IFAData_TEA!A657),6),3),"-",(RIGHT(RIGHT(CONCATENATE("000",IFAData_TEA!A657),6),3)))</f>
        <v>061-914</v>
      </c>
      <c r="C657" s="979" t="s">
        <v>1567</v>
      </c>
      <c r="D657" s="979">
        <v>9</v>
      </c>
      <c r="E657" s="979">
        <v>2025</v>
      </c>
      <c r="F657" s="979" t="s">
        <v>4557</v>
      </c>
      <c r="G657" s="979" t="s">
        <v>4557</v>
      </c>
      <c r="H657" s="1030">
        <v>353398</v>
      </c>
      <c r="I657" s="1030">
        <v>417912</v>
      </c>
      <c r="J657" s="1034">
        <v>1</v>
      </c>
      <c r="K657" s="1030">
        <v>353398</v>
      </c>
      <c r="L657" s="1030">
        <v>353398</v>
      </c>
      <c r="M657" s="979">
        <v>599</v>
      </c>
    </row>
    <row r="658" spans="1:13" ht="15">
      <c r="A658" s="979" t="s">
        <v>3483</v>
      </c>
      <c r="B658" s="722" t="str">
        <f>CONCATENATE(LEFT(RIGHT(CONCATENATE("000",IFAData_TEA!A658),6),3),"-",(RIGHT(RIGHT(CONCATENATE("000",IFAData_TEA!A658),6),3)))</f>
        <v>061-914</v>
      </c>
      <c r="C658" s="979" t="s">
        <v>1567</v>
      </c>
      <c r="D658" s="979">
        <v>5</v>
      </c>
      <c r="E658" s="979">
        <v>2026</v>
      </c>
      <c r="F658" s="979" t="s">
        <v>4546</v>
      </c>
      <c r="G658" s="979" t="s">
        <v>4548</v>
      </c>
      <c r="H658" s="1030">
        <v>512028</v>
      </c>
      <c r="I658" s="1030">
        <v>0</v>
      </c>
      <c r="J658" s="1034">
        <v>0</v>
      </c>
      <c r="K658" s="1030">
        <v>0</v>
      </c>
      <c r="L658" s="1030">
        <v>0</v>
      </c>
      <c r="M658" s="979">
        <v>599</v>
      </c>
    </row>
    <row r="659" spans="1:13" ht="15">
      <c r="A659" s="979" t="s">
        <v>3483</v>
      </c>
      <c r="B659" s="722" t="str">
        <f>CONCATENATE(LEFT(RIGHT(CONCATENATE("000",IFAData_TEA!A659),6),3),"-",(RIGHT(RIGHT(CONCATENATE("000",IFAData_TEA!A659),6),3)))</f>
        <v>061-914</v>
      </c>
      <c r="C659" s="979" t="s">
        <v>1567</v>
      </c>
      <c r="D659" s="979">
        <v>5</v>
      </c>
      <c r="E659" s="979">
        <v>2026</v>
      </c>
      <c r="F659" s="979" t="s">
        <v>4546</v>
      </c>
      <c r="G659" s="979" t="s">
        <v>6236</v>
      </c>
      <c r="H659" s="1030">
        <v>512028</v>
      </c>
      <c r="I659" s="1030">
        <v>28804</v>
      </c>
      <c r="J659" s="1034">
        <v>3.3545447769537509E-2</v>
      </c>
      <c r="K659" s="1030">
        <v>17176.208530540753</v>
      </c>
      <c r="L659" s="1030">
        <v>17176.208530540753</v>
      </c>
      <c r="M659" s="979">
        <v>599</v>
      </c>
    </row>
    <row r="660" spans="1:13" ht="15">
      <c r="A660" s="979" t="s">
        <v>3483</v>
      </c>
      <c r="B660" s="722" t="str">
        <f>CONCATENATE(LEFT(RIGHT(CONCATENATE("000",IFAData_TEA!A660),6),3),"-",(RIGHT(RIGHT(CONCATENATE("000",IFAData_TEA!A660),6),3)))</f>
        <v>061-914</v>
      </c>
      <c r="C660" s="979" t="s">
        <v>1567</v>
      </c>
      <c r="D660" s="979">
        <v>9</v>
      </c>
      <c r="E660" s="979">
        <v>2027</v>
      </c>
      <c r="F660" s="979" t="s">
        <v>4551</v>
      </c>
      <c r="G660" s="979" t="s">
        <v>6236</v>
      </c>
      <c r="H660" s="1030">
        <v>606882</v>
      </c>
      <c r="I660" s="1030">
        <v>32752</v>
      </c>
      <c r="J660" s="1034">
        <v>3.2810435385421437E-2</v>
      </c>
      <c r="K660" s="1030">
        <v>19912.062647575331</v>
      </c>
      <c r="L660" s="1030">
        <v>19912.062647575331</v>
      </c>
      <c r="M660" s="979">
        <v>599</v>
      </c>
    </row>
    <row r="661" spans="1:13" ht="15">
      <c r="A661" s="979" t="s">
        <v>3483</v>
      </c>
      <c r="B661" s="722" t="str">
        <f>CONCATENATE(LEFT(RIGHT(CONCATENATE("000",IFAData_TEA!A661),6),3),"-",(RIGHT(RIGHT(CONCATENATE("000",IFAData_TEA!A661),6),3)))</f>
        <v>061-914</v>
      </c>
      <c r="C661" s="979" t="s">
        <v>1567</v>
      </c>
      <c r="D661" s="979">
        <v>5</v>
      </c>
      <c r="E661" s="979">
        <v>2026</v>
      </c>
      <c r="F661" s="979" t="s">
        <v>4546</v>
      </c>
      <c r="G661" s="979" t="s">
        <v>4547</v>
      </c>
      <c r="H661" s="1030">
        <v>512028</v>
      </c>
      <c r="I661" s="1030">
        <v>0</v>
      </c>
      <c r="J661" s="1034">
        <v>0</v>
      </c>
      <c r="K661" s="1030">
        <v>0</v>
      </c>
      <c r="L661" s="1030">
        <v>0</v>
      </c>
      <c r="M661" s="979">
        <v>599</v>
      </c>
    </row>
    <row r="662" spans="1:13" ht="15">
      <c r="A662" s="979" t="s">
        <v>3483</v>
      </c>
      <c r="B662" s="722" t="str">
        <f>CONCATENATE(LEFT(RIGHT(CONCATENATE("000",IFAData_TEA!A662),6),3),"-",(RIGHT(RIGHT(CONCATENATE("000",IFAData_TEA!A662),6),3)))</f>
        <v>061-914</v>
      </c>
      <c r="C662" s="979" t="s">
        <v>1567</v>
      </c>
      <c r="D662" s="979">
        <v>5</v>
      </c>
      <c r="E662" s="979">
        <v>2026</v>
      </c>
      <c r="F662" s="979" t="s">
        <v>4546</v>
      </c>
      <c r="G662" s="979" t="s">
        <v>4546</v>
      </c>
      <c r="H662" s="1030">
        <v>512028</v>
      </c>
      <c r="I662" s="1030">
        <v>359084</v>
      </c>
      <c r="J662" s="1034">
        <v>0.41819308314388998</v>
      </c>
      <c r="K662" s="1030">
        <v>214126.5679759997</v>
      </c>
      <c r="L662" s="1030">
        <v>214126.5679759997</v>
      </c>
      <c r="M662" s="979">
        <v>599</v>
      </c>
    </row>
    <row r="663" spans="1:13" ht="15">
      <c r="A663" s="979" t="s">
        <v>3484</v>
      </c>
      <c r="B663" s="722" t="str">
        <f>CONCATENATE(LEFT(RIGHT(CONCATENATE("000",IFAData_TEA!A663),6),3),"-",(RIGHT(RIGHT(CONCATENATE("000",IFAData_TEA!A663),6),3)))</f>
        <v>062-901</v>
      </c>
      <c r="C663" s="979" t="s">
        <v>421</v>
      </c>
      <c r="D663" s="979">
        <v>6</v>
      </c>
      <c r="E663" s="979">
        <v>1741</v>
      </c>
      <c r="F663" s="979" t="s">
        <v>4558</v>
      </c>
      <c r="G663" s="979" t="s">
        <v>6237</v>
      </c>
      <c r="H663" s="1030">
        <v>487605</v>
      </c>
      <c r="I663" s="1030">
        <v>364208</v>
      </c>
      <c r="J663" s="1034">
        <v>1</v>
      </c>
      <c r="K663" s="1030">
        <v>487605</v>
      </c>
      <c r="L663" s="1030">
        <v>364208</v>
      </c>
      <c r="M663" s="979">
        <v>599</v>
      </c>
    </row>
    <row r="664" spans="1:13" ht="15">
      <c r="A664" s="979" t="s">
        <v>3484</v>
      </c>
      <c r="B664" s="722" t="str">
        <f>CONCATENATE(LEFT(RIGHT(CONCATENATE("000",IFAData_TEA!A664),6),3),"-",(RIGHT(RIGHT(CONCATENATE("000",IFAData_TEA!A664),6),3)))</f>
        <v>062-901</v>
      </c>
      <c r="C664" s="979" t="s">
        <v>421</v>
      </c>
      <c r="D664" s="979">
        <v>6</v>
      </c>
      <c r="E664" s="979">
        <v>1741</v>
      </c>
      <c r="F664" s="979" t="s">
        <v>4558</v>
      </c>
      <c r="G664" s="979" t="s">
        <v>4558</v>
      </c>
      <c r="H664" s="1030">
        <v>487605</v>
      </c>
      <c r="I664" s="1030">
        <v>0</v>
      </c>
      <c r="J664" s="1034">
        <v>0</v>
      </c>
      <c r="K664" s="1030">
        <v>0</v>
      </c>
      <c r="L664" s="1030">
        <v>0</v>
      </c>
      <c r="M664" s="979">
        <v>599</v>
      </c>
    </row>
    <row r="665" spans="1:13" ht="15">
      <c r="A665" s="979" t="s">
        <v>3485</v>
      </c>
      <c r="B665" s="722" t="str">
        <f>CONCATENATE(LEFT(RIGHT(CONCATENATE("000",IFAData_TEA!A665),6),3),"-",(RIGHT(RIGHT(CONCATENATE("000",IFAData_TEA!A665),6),3)))</f>
        <v>062-903</v>
      </c>
      <c r="C665" s="979" t="s">
        <v>2196</v>
      </c>
      <c r="D665" s="979">
        <v>3</v>
      </c>
      <c r="E665" s="979">
        <v>2466</v>
      </c>
      <c r="F665" s="979" t="s">
        <v>4559</v>
      </c>
      <c r="G665" s="979" t="s">
        <v>4561</v>
      </c>
      <c r="H665" s="1030">
        <v>5516</v>
      </c>
      <c r="I665" s="1030">
        <v>0</v>
      </c>
      <c r="J665" s="1034">
        <v>0</v>
      </c>
      <c r="K665" s="1030">
        <v>0</v>
      </c>
      <c r="L665" s="1030">
        <v>0</v>
      </c>
      <c r="M665" s="979">
        <v>599</v>
      </c>
    </row>
    <row r="666" spans="1:13" ht="15">
      <c r="A666" s="979" t="s">
        <v>3485</v>
      </c>
      <c r="B666" s="722" t="str">
        <f>CONCATENATE(LEFT(RIGHT(CONCATENATE("000",IFAData_TEA!A666),6),3),"-",(RIGHT(RIGHT(CONCATENATE("000",IFAData_TEA!A666),6),3)))</f>
        <v>062-903</v>
      </c>
      <c r="C666" s="979" t="s">
        <v>2196</v>
      </c>
      <c r="D666" s="979">
        <v>3</v>
      </c>
      <c r="E666" s="979">
        <v>2467</v>
      </c>
      <c r="F666" s="979" t="s">
        <v>4562</v>
      </c>
      <c r="G666" s="979" t="s">
        <v>4561</v>
      </c>
      <c r="H666" s="1030">
        <v>324334</v>
      </c>
      <c r="I666" s="1030">
        <v>0</v>
      </c>
      <c r="J666" s="1034">
        <v>0</v>
      </c>
      <c r="K666" s="1030">
        <v>0</v>
      </c>
      <c r="L666" s="1030">
        <v>0</v>
      </c>
      <c r="M666" s="979">
        <v>599</v>
      </c>
    </row>
    <row r="667" spans="1:13" ht="15">
      <c r="A667" s="979" t="s">
        <v>3485</v>
      </c>
      <c r="B667" s="722" t="str">
        <f>CONCATENATE(LEFT(RIGHT(CONCATENATE("000",IFAData_TEA!A667),6),3),"-",(RIGHT(RIGHT(CONCATENATE("000",IFAData_TEA!A667),6),3)))</f>
        <v>062-903</v>
      </c>
      <c r="C667" s="979" t="s">
        <v>2196</v>
      </c>
      <c r="D667" s="979">
        <v>3</v>
      </c>
      <c r="E667" s="979">
        <v>2466</v>
      </c>
      <c r="F667" s="979" t="s">
        <v>4559</v>
      </c>
      <c r="G667" s="979" t="s">
        <v>4560</v>
      </c>
      <c r="H667" s="1030">
        <v>5516</v>
      </c>
      <c r="I667" s="1030">
        <v>303704</v>
      </c>
      <c r="J667" s="1034">
        <v>1</v>
      </c>
      <c r="K667" s="1030">
        <v>5516</v>
      </c>
      <c r="L667" s="1030">
        <v>5516</v>
      </c>
      <c r="M667" s="979">
        <v>599</v>
      </c>
    </row>
    <row r="668" spans="1:13" ht="15">
      <c r="A668" s="979" t="s">
        <v>3485</v>
      </c>
      <c r="B668" s="722" t="str">
        <f>CONCATENATE(LEFT(RIGHT(CONCATENATE("000",IFAData_TEA!A668),6),3),"-",(RIGHT(RIGHT(CONCATENATE("000",IFAData_TEA!A668),6),3)))</f>
        <v>062-903</v>
      </c>
      <c r="C668" s="979" t="s">
        <v>2196</v>
      </c>
      <c r="D668" s="979">
        <v>3</v>
      </c>
      <c r="E668" s="979">
        <v>2466</v>
      </c>
      <c r="F668" s="979" t="s">
        <v>4559</v>
      </c>
      <c r="G668" s="979" t="s">
        <v>4559</v>
      </c>
      <c r="H668" s="1030">
        <v>5516</v>
      </c>
      <c r="I668" s="1030">
        <v>0</v>
      </c>
      <c r="J668" s="1034">
        <v>0</v>
      </c>
      <c r="K668" s="1030">
        <v>0</v>
      </c>
      <c r="L668" s="1030">
        <v>0</v>
      </c>
      <c r="M668" s="979">
        <v>599</v>
      </c>
    </row>
    <row r="669" spans="1:13" ht="15">
      <c r="A669" s="979" t="s">
        <v>3485</v>
      </c>
      <c r="B669" s="722" t="str">
        <f>CONCATENATE(LEFT(RIGHT(CONCATENATE("000",IFAData_TEA!A669),6),3),"-",(RIGHT(RIGHT(CONCATENATE("000",IFAData_TEA!A669),6),3)))</f>
        <v>062-903</v>
      </c>
      <c r="C669" s="979" t="s">
        <v>2196</v>
      </c>
      <c r="D669" s="979">
        <v>3</v>
      </c>
      <c r="E669" s="979">
        <v>2467</v>
      </c>
      <c r="F669" s="979" t="s">
        <v>4562</v>
      </c>
      <c r="G669" s="979" t="s">
        <v>4560</v>
      </c>
      <c r="H669" s="1030">
        <v>324334</v>
      </c>
      <c r="I669" s="1030">
        <v>303704</v>
      </c>
      <c r="J669" s="1034">
        <v>1</v>
      </c>
      <c r="K669" s="1030">
        <v>324334</v>
      </c>
      <c r="L669" s="1030">
        <v>303704</v>
      </c>
      <c r="M669" s="979">
        <v>599</v>
      </c>
    </row>
    <row r="670" spans="1:13" ht="15">
      <c r="A670" s="979" t="s">
        <v>3485</v>
      </c>
      <c r="B670" s="722" t="str">
        <f>CONCATENATE(LEFT(RIGHT(CONCATENATE("000",IFAData_TEA!A670),6),3),"-",(RIGHT(RIGHT(CONCATENATE("000",IFAData_TEA!A670),6),3)))</f>
        <v>062-903</v>
      </c>
      <c r="C670" s="979" t="s">
        <v>2196</v>
      </c>
      <c r="D670" s="979">
        <v>9</v>
      </c>
      <c r="E670" s="979">
        <v>2468</v>
      </c>
      <c r="F670" s="979" t="s">
        <v>4563</v>
      </c>
      <c r="G670" s="979" t="s">
        <v>4563</v>
      </c>
      <c r="H670" s="1030">
        <v>368750</v>
      </c>
      <c r="I670" s="1030">
        <v>495875</v>
      </c>
      <c r="J670" s="1034">
        <v>1</v>
      </c>
      <c r="K670" s="1030">
        <v>368750</v>
      </c>
      <c r="L670" s="1030">
        <v>368750</v>
      </c>
      <c r="M670" s="979">
        <v>599</v>
      </c>
    </row>
    <row r="671" spans="1:13" ht="15">
      <c r="A671" s="979" t="s">
        <v>3485</v>
      </c>
      <c r="B671" s="722" t="str">
        <f>CONCATENATE(LEFT(RIGHT(CONCATENATE("000",IFAData_TEA!A671),6),3),"-",(RIGHT(RIGHT(CONCATENATE("000",IFAData_TEA!A671),6),3)))</f>
        <v>062-903</v>
      </c>
      <c r="C671" s="979" t="s">
        <v>2196</v>
      </c>
      <c r="D671" s="979">
        <v>3</v>
      </c>
      <c r="E671" s="979">
        <v>2467</v>
      </c>
      <c r="F671" s="979" t="s">
        <v>4562</v>
      </c>
      <c r="G671" s="979" t="s">
        <v>4562</v>
      </c>
      <c r="H671" s="1030">
        <v>324334</v>
      </c>
      <c r="I671" s="1030">
        <v>0</v>
      </c>
      <c r="J671" s="1034">
        <v>0</v>
      </c>
      <c r="K671" s="1030">
        <v>0</v>
      </c>
      <c r="L671" s="1030">
        <v>0</v>
      </c>
      <c r="M671" s="979">
        <v>599</v>
      </c>
    </row>
    <row r="672" spans="1:13" ht="15">
      <c r="A672" s="979" t="s">
        <v>3486</v>
      </c>
      <c r="B672" s="722" t="str">
        <f>CONCATENATE(LEFT(RIGHT(CONCATENATE("000",IFAData_TEA!A672),6),3),"-",(RIGHT(RIGHT(CONCATENATE("000",IFAData_TEA!A672),6),3)))</f>
        <v>064-903</v>
      </c>
      <c r="C672" s="979" t="s">
        <v>30</v>
      </c>
      <c r="D672" s="979">
        <v>4</v>
      </c>
      <c r="E672" s="979">
        <v>1665</v>
      </c>
      <c r="F672" s="979" t="s">
        <v>4564</v>
      </c>
      <c r="G672" s="979" t="s">
        <v>4564</v>
      </c>
      <c r="H672" s="1030">
        <v>551763</v>
      </c>
      <c r="I672" s="1030">
        <v>0</v>
      </c>
      <c r="J672" s="1034">
        <v>0</v>
      </c>
      <c r="K672" s="1030">
        <v>0</v>
      </c>
      <c r="L672" s="1030">
        <v>0</v>
      </c>
      <c r="M672" s="979">
        <v>599</v>
      </c>
    </row>
    <row r="673" spans="1:13" ht="15">
      <c r="A673" s="979" t="s">
        <v>3486</v>
      </c>
      <c r="B673" s="722" t="str">
        <f>CONCATENATE(LEFT(RIGHT(CONCATENATE("000",IFAData_TEA!A673),6),3),"-",(RIGHT(RIGHT(CONCATENATE("000",IFAData_TEA!A673),6),3)))</f>
        <v>064-903</v>
      </c>
      <c r="C673" s="979" t="s">
        <v>30</v>
      </c>
      <c r="D673" s="979">
        <v>4</v>
      </c>
      <c r="E673" s="979">
        <v>1665</v>
      </c>
      <c r="F673" s="979" t="s">
        <v>4564</v>
      </c>
      <c r="G673" s="979" t="s">
        <v>6238</v>
      </c>
      <c r="H673" s="1030">
        <v>551763</v>
      </c>
      <c r="I673" s="1030">
        <v>111240</v>
      </c>
      <c r="J673" s="1034">
        <v>0.17778488093335465</v>
      </c>
      <c r="K673" s="1030">
        <v>98095.119258430568</v>
      </c>
      <c r="L673" s="1030">
        <v>98095.119258430568</v>
      </c>
      <c r="M673" s="979">
        <v>599</v>
      </c>
    </row>
    <row r="674" spans="1:13" ht="15">
      <c r="A674" s="979" t="s">
        <v>3486</v>
      </c>
      <c r="B674" s="722" t="str">
        <f>CONCATENATE(LEFT(RIGHT(CONCATENATE("000",IFAData_TEA!A674),6),3),"-",(RIGHT(RIGHT(CONCATENATE("000",IFAData_TEA!A674),6),3)))</f>
        <v>064-903</v>
      </c>
      <c r="C674" s="979" t="s">
        <v>30</v>
      </c>
      <c r="D674" s="979">
        <v>4</v>
      </c>
      <c r="E674" s="979">
        <v>1665</v>
      </c>
      <c r="F674" s="979" t="s">
        <v>4564</v>
      </c>
      <c r="G674" s="979" t="s">
        <v>4565</v>
      </c>
      <c r="H674" s="1030">
        <v>551763</v>
      </c>
      <c r="I674" s="1030">
        <v>514460</v>
      </c>
      <c r="J674" s="1034">
        <v>0.82221511906664535</v>
      </c>
      <c r="K674" s="1030">
        <v>453667.88074156945</v>
      </c>
      <c r="L674" s="1030">
        <v>453667.88074156945</v>
      </c>
      <c r="M674" s="979">
        <v>599</v>
      </c>
    </row>
    <row r="675" spans="1:13" ht="15">
      <c r="A675" s="979" t="s">
        <v>3487</v>
      </c>
      <c r="B675" s="722" t="str">
        <f>CONCATENATE(LEFT(RIGHT(CONCATENATE("000",IFAData_TEA!A675),6),3),"-",(RIGHT(RIGHT(CONCATENATE("000",IFAData_TEA!A675),6),3)))</f>
        <v>065-902</v>
      </c>
      <c r="C675" s="979" t="s">
        <v>2370</v>
      </c>
      <c r="D675" s="979">
        <v>6</v>
      </c>
      <c r="E675" s="979">
        <v>1880</v>
      </c>
      <c r="F675" s="979" t="s">
        <v>4566</v>
      </c>
      <c r="G675" s="979" t="s">
        <v>4566</v>
      </c>
      <c r="H675" s="1030">
        <v>89335</v>
      </c>
      <c r="I675" s="1030">
        <v>92988</v>
      </c>
      <c r="J675" s="1034">
        <v>1</v>
      </c>
      <c r="K675" s="1030">
        <v>89335</v>
      </c>
      <c r="L675" s="1030">
        <v>89335</v>
      </c>
      <c r="M675" s="979">
        <v>599</v>
      </c>
    </row>
    <row r="676" spans="1:13" ht="15">
      <c r="A676" s="979" t="s">
        <v>3488</v>
      </c>
      <c r="B676" s="722" t="str">
        <f>CONCATENATE(LEFT(RIGHT(CONCATENATE("000",IFAData_TEA!A676),6),3),"-",(RIGHT(RIGHT(CONCATENATE("000",IFAData_TEA!A676),6),3)))</f>
        <v>066-902</v>
      </c>
      <c r="C676" s="979" t="s">
        <v>2030</v>
      </c>
      <c r="D676" s="979">
        <v>8</v>
      </c>
      <c r="E676" s="979">
        <v>2290</v>
      </c>
      <c r="F676" s="979" t="s">
        <v>4570</v>
      </c>
      <c r="G676" s="979" t="s">
        <v>4570</v>
      </c>
      <c r="H676" s="1030">
        <v>346350</v>
      </c>
      <c r="I676" s="1030">
        <v>508811</v>
      </c>
      <c r="J676" s="1034">
        <v>1</v>
      </c>
      <c r="K676" s="1030">
        <v>346350</v>
      </c>
      <c r="L676" s="1030">
        <v>346350</v>
      </c>
      <c r="M676" s="979">
        <v>599</v>
      </c>
    </row>
    <row r="677" spans="1:13" ht="15">
      <c r="A677" s="979" t="s">
        <v>3488</v>
      </c>
      <c r="B677" s="722" t="str">
        <f>CONCATENATE(LEFT(RIGHT(CONCATENATE("000",IFAData_TEA!A677),6),3),"-",(RIGHT(RIGHT(CONCATENATE("000",IFAData_TEA!A677),6),3)))</f>
        <v>066-902</v>
      </c>
      <c r="C677" s="979" t="s">
        <v>2030</v>
      </c>
      <c r="D677" s="979">
        <v>5</v>
      </c>
      <c r="E677" s="979">
        <v>2288</v>
      </c>
      <c r="F677" s="979" t="s">
        <v>4569</v>
      </c>
      <c r="G677" s="979" t="s">
        <v>4569</v>
      </c>
      <c r="H677" s="1030">
        <v>221765</v>
      </c>
      <c r="I677" s="1030">
        <v>0</v>
      </c>
      <c r="J677" s="1034">
        <v>0</v>
      </c>
      <c r="K677" s="1030">
        <v>0</v>
      </c>
      <c r="L677" s="1030">
        <v>0</v>
      </c>
      <c r="M677" s="979">
        <v>599</v>
      </c>
    </row>
    <row r="678" spans="1:13" ht="15">
      <c r="A678" s="979" t="s">
        <v>3488</v>
      </c>
      <c r="B678" s="722" t="str">
        <f>CONCATENATE(LEFT(RIGHT(CONCATENATE("000",IFAData_TEA!A678),6),3),"-",(RIGHT(RIGHT(CONCATENATE("000",IFAData_TEA!A678),6),3)))</f>
        <v>066-902</v>
      </c>
      <c r="C678" s="979" t="s">
        <v>2030</v>
      </c>
      <c r="D678" s="979">
        <v>5</v>
      </c>
      <c r="E678" s="979">
        <v>2288</v>
      </c>
      <c r="F678" s="979" t="s">
        <v>4569</v>
      </c>
      <c r="G678" s="979" t="s">
        <v>4568</v>
      </c>
      <c r="H678" s="1030">
        <v>221765</v>
      </c>
      <c r="I678" s="1030">
        <v>207524</v>
      </c>
      <c r="J678" s="1034">
        <v>0.80083045196344782</v>
      </c>
      <c r="K678" s="1030">
        <v>177596.16517967402</v>
      </c>
      <c r="L678" s="1030">
        <v>177596.16517967402</v>
      </c>
      <c r="M678" s="979">
        <v>599</v>
      </c>
    </row>
    <row r="679" spans="1:13" ht="15">
      <c r="A679" s="979" t="s">
        <v>3488</v>
      </c>
      <c r="B679" s="722" t="str">
        <f>CONCATENATE(LEFT(RIGHT(CONCATENATE("000",IFAData_TEA!A679),6),3),"-",(RIGHT(RIGHT(CONCATENATE("000",IFAData_TEA!A679),6),3)))</f>
        <v>066-902</v>
      </c>
      <c r="C679" s="979" t="s">
        <v>2030</v>
      </c>
      <c r="D679" s="979">
        <v>4</v>
      </c>
      <c r="E679" s="979">
        <v>2291</v>
      </c>
      <c r="F679" s="979" t="s">
        <v>4567</v>
      </c>
      <c r="G679" s="979" t="s">
        <v>4567</v>
      </c>
      <c r="H679" s="1030">
        <v>395737</v>
      </c>
      <c r="I679" s="1030">
        <v>0</v>
      </c>
      <c r="J679" s="1034">
        <v>0</v>
      </c>
      <c r="K679" s="1030">
        <v>0</v>
      </c>
      <c r="L679" s="1030">
        <v>0</v>
      </c>
      <c r="M679" s="979">
        <v>599</v>
      </c>
    </row>
    <row r="680" spans="1:13" ht="15">
      <c r="A680" s="979" t="s">
        <v>3488</v>
      </c>
      <c r="B680" s="722" t="str">
        <f>CONCATENATE(LEFT(RIGHT(CONCATENATE("000",IFAData_TEA!A680),6),3),"-",(RIGHT(RIGHT(CONCATENATE("000",IFAData_TEA!A680),6),3)))</f>
        <v>066-902</v>
      </c>
      <c r="C680" s="979" t="s">
        <v>2030</v>
      </c>
      <c r="D680" s="979">
        <v>10</v>
      </c>
      <c r="E680" s="979">
        <v>2289</v>
      </c>
      <c r="F680" s="979" t="s">
        <v>4571</v>
      </c>
      <c r="G680" s="979" t="s">
        <v>4571</v>
      </c>
      <c r="H680" s="1030">
        <v>275767</v>
      </c>
      <c r="I680" s="1030">
        <v>272381</v>
      </c>
      <c r="J680" s="1034">
        <v>1</v>
      </c>
      <c r="K680" s="1030">
        <v>275767</v>
      </c>
      <c r="L680" s="1030">
        <v>272381</v>
      </c>
      <c r="M680" s="979">
        <v>599</v>
      </c>
    </row>
    <row r="681" spans="1:13" ht="15">
      <c r="A681" s="979" t="s">
        <v>3488</v>
      </c>
      <c r="B681" s="722" t="str">
        <f>CONCATENATE(LEFT(RIGHT(CONCATENATE("000",IFAData_TEA!A681),6),3),"-",(RIGHT(RIGHT(CONCATENATE("000",IFAData_TEA!A681),6),3)))</f>
        <v>066-902</v>
      </c>
      <c r="C681" s="979" t="s">
        <v>2030</v>
      </c>
      <c r="D681" s="979">
        <v>4</v>
      </c>
      <c r="E681" s="979">
        <v>2291</v>
      </c>
      <c r="F681" s="979" t="s">
        <v>4567</v>
      </c>
      <c r="G681" s="979" t="s">
        <v>4568</v>
      </c>
      <c r="H681" s="1030">
        <v>395737</v>
      </c>
      <c r="I681" s="1030">
        <v>373235</v>
      </c>
      <c r="J681" s="1034">
        <v>0.80941496409804892</v>
      </c>
      <c r="K681" s="1030">
        <v>320315.44964726956</v>
      </c>
      <c r="L681" s="1030">
        <v>320315.44964726956</v>
      </c>
      <c r="M681" s="979">
        <v>599</v>
      </c>
    </row>
    <row r="682" spans="1:13" ht="15">
      <c r="A682" s="979" t="s">
        <v>3488</v>
      </c>
      <c r="B682" s="722" t="str">
        <f>CONCATENATE(LEFT(RIGHT(CONCATENATE("000",IFAData_TEA!A682),6),3),"-",(RIGHT(RIGHT(CONCATENATE("000",IFAData_TEA!A682),6),3)))</f>
        <v>066-902</v>
      </c>
      <c r="C682" s="979" t="s">
        <v>2030</v>
      </c>
      <c r="D682" s="979">
        <v>4</v>
      </c>
      <c r="E682" s="979">
        <v>2291</v>
      </c>
      <c r="F682" s="979" t="s">
        <v>4567</v>
      </c>
      <c r="G682" s="979" t="s">
        <v>6239</v>
      </c>
      <c r="H682" s="1030">
        <v>395737</v>
      </c>
      <c r="I682" s="1030">
        <v>87882</v>
      </c>
      <c r="J682" s="1034">
        <v>0.19058503590195114</v>
      </c>
      <c r="K682" s="1030">
        <v>75421.550352730439</v>
      </c>
      <c r="L682" s="1030">
        <v>75421.550352730439</v>
      </c>
      <c r="M682" s="979">
        <v>599</v>
      </c>
    </row>
    <row r="683" spans="1:13" ht="15">
      <c r="A683" s="979" t="s">
        <v>3488</v>
      </c>
      <c r="B683" s="722" t="str">
        <f>CONCATENATE(LEFT(RIGHT(CONCATENATE("000",IFAData_TEA!A683),6),3),"-",(RIGHT(RIGHT(CONCATENATE("000",IFAData_TEA!A683),6),3)))</f>
        <v>066-902</v>
      </c>
      <c r="C683" s="979" t="s">
        <v>2030</v>
      </c>
      <c r="D683" s="979">
        <v>5</v>
      </c>
      <c r="E683" s="979">
        <v>2288</v>
      </c>
      <c r="F683" s="979" t="s">
        <v>4569</v>
      </c>
      <c r="G683" s="979" t="s">
        <v>6239</v>
      </c>
      <c r="H683" s="1030">
        <v>221765</v>
      </c>
      <c r="I683" s="1030">
        <v>51612</v>
      </c>
      <c r="J683" s="1034">
        <v>0.19916954803655224</v>
      </c>
      <c r="K683" s="1030">
        <v>44168.834820326003</v>
      </c>
      <c r="L683" s="1030">
        <v>44168.834820326003</v>
      </c>
      <c r="M683" s="979">
        <v>599</v>
      </c>
    </row>
    <row r="684" spans="1:13" ht="15">
      <c r="A684" s="979" t="s">
        <v>4572</v>
      </c>
      <c r="B684" s="722" t="str">
        <f>CONCATENATE(LEFT(RIGHT(CONCATENATE("000",IFAData_TEA!A684),6),3),"-",(RIGHT(RIGHT(CONCATENATE("000",IFAData_TEA!A684),6),3)))</f>
        <v>067-902</v>
      </c>
      <c r="C684" s="979" t="s">
        <v>2151</v>
      </c>
      <c r="D684" s="979">
        <v>5</v>
      </c>
      <c r="E684" s="979">
        <v>1692</v>
      </c>
      <c r="F684" s="979" t="s">
        <v>4573</v>
      </c>
      <c r="G684" s="979" t="s">
        <v>4573</v>
      </c>
      <c r="H684" s="1030">
        <v>108854</v>
      </c>
      <c r="I684" s="1030">
        <v>107646</v>
      </c>
      <c r="J684" s="1034">
        <v>1</v>
      </c>
      <c r="K684" s="1030">
        <v>108854</v>
      </c>
      <c r="L684" s="1030">
        <v>107646</v>
      </c>
      <c r="M684" s="979">
        <v>199</v>
      </c>
    </row>
    <row r="685" spans="1:13" ht="15">
      <c r="A685" s="979" t="s">
        <v>3489</v>
      </c>
      <c r="B685" s="722" t="str">
        <f>CONCATENATE(LEFT(RIGHT(CONCATENATE("000",IFAData_TEA!A685),6),3),"-",(RIGHT(RIGHT(CONCATENATE("000",IFAData_TEA!A685),6),3)))</f>
        <v>070-901</v>
      </c>
      <c r="C685" s="979" t="s">
        <v>2117</v>
      </c>
      <c r="D685" s="979">
        <v>5</v>
      </c>
      <c r="E685" s="979">
        <v>1587</v>
      </c>
      <c r="F685" s="979" t="s">
        <v>4574</v>
      </c>
      <c r="G685" s="979" t="s">
        <v>4574</v>
      </c>
      <c r="H685" s="1030">
        <v>100000</v>
      </c>
      <c r="I685" s="1030">
        <v>0</v>
      </c>
      <c r="J685" s="1034">
        <v>0</v>
      </c>
      <c r="K685" s="1030">
        <v>0</v>
      </c>
      <c r="L685" s="1030">
        <v>0</v>
      </c>
      <c r="M685" s="979">
        <v>599</v>
      </c>
    </row>
    <row r="686" spans="1:13" ht="15">
      <c r="A686" s="979" t="s">
        <v>3489</v>
      </c>
      <c r="B686" s="722" t="str">
        <f>CONCATENATE(LEFT(RIGHT(CONCATENATE("000",IFAData_TEA!A686),6),3),"-",(RIGHT(RIGHT(CONCATENATE("000",IFAData_TEA!A686),6),3)))</f>
        <v>070-901</v>
      </c>
      <c r="C686" s="979" t="s">
        <v>2117</v>
      </c>
      <c r="D686" s="979">
        <v>5</v>
      </c>
      <c r="E686" s="979">
        <v>1587</v>
      </c>
      <c r="F686" s="979" t="s">
        <v>4574</v>
      </c>
      <c r="G686" s="979" t="s">
        <v>4575</v>
      </c>
      <c r="H686" s="1030">
        <v>100000</v>
      </c>
      <c r="I686" s="1030">
        <v>80900</v>
      </c>
      <c r="J686" s="1034">
        <v>1</v>
      </c>
      <c r="K686" s="1030">
        <v>100000</v>
      </c>
      <c r="L686" s="1030">
        <v>80900</v>
      </c>
      <c r="M686" s="979">
        <v>599</v>
      </c>
    </row>
    <row r="687" spans="1:13" ht="15">
      <c r="A687" s="979" t="s">
        <v>3490</v>
      </c>
      <c r="B687" s="722" t="str">
        <f>CONCATENATE(LEFT(RIGHT(CONCATENATE("000",IFAData_TEA!A687),6),3),"-",(RIGHT(RIGHT(CONCATENATE("000",IFAData_TEA!A687),6),3)))</f>
        <v>070-905</v>
      </c>
      <c r="C687" s="979" t="s">
        <v>1970</v>
      </c>
      <c r="D687" s="979">
        <v>9</v>
      </c>
      <c r="E687" s="979">
        <v>1812</v>
      </c>
      <c r="F687" s="979" t="s">
        <v>4576</v>
      </c>
      <c r="G687" s="979" t="s">
        <v>6240</v>
      </c>
      <c r="H687" s="1030">
        <v>367965</v>
      </c>
      <c r="I687" s="1030">
        <v>0</v>
      </c>
      <c r="J687" s="1034">
        <v>0</v>
      </c>
      <c r="K687" s="1030">
        <v>0</v>
      </c>
      <c r="L687" s="1030">
        <v>0</v>
      </c>
      <c r="M687" s="979">
        <v>599</v>
      </c>
    </row>
    <row r="688" spans="1:13" ht="15">
      <c r="A688" s="979" t="s">
        <v>3490</v>
      </c>
      <c r="B688" s="722" t="str">
        <f>CONCATENATE(LEFT(RIGHT(CONCATENATE("000",IFAData_TEA!A688),6),3),"-",(RIGHT(RIGHT(CONCATENATE("000",IFAData_TEA!A688),6),3)))</f>
        <v>070-905</v>
      </c>
      <c r="C688" s="979" t="s">
        <v>1970</v>
      </c>
      <c r="D688" s="979">
        <v>9</v>
      </c>
      <c r="E688" s="979">
        <v>1812</v>
      </c>
      <c r="F688" s="979" t="s">
        <v>4576</v>
      </c>
      <c r="G688" s="979" t="s">
        <v>4576</v>
      </c>
      <c r="H688" s="1030">
        <v>367965</v>
      </c>
      <c r="I688" s="1030">
        <v>324850</v>
      </c>
      <c r="J688" s="1034">
        <v>0.4751352932572766</v>
      </c>
      <c r="K688" s="1030">
        <v>174833.15818341379</v>
      </c>
      <c r="L688" s="1030">
        <v>174833.15818341379</v>
      </c>
      <c r="M688" s="979">
        <v>599</v>
      </c>
    </row>
    <row r="689" spans="1:13" ht="15">
      <c r="A689" s="979" t="s">
        <v>3490</v>
      </c>
      <c r="B689" s="722" t="str">
        <f>CONCATENATE(LEFT(RIGHT(CONCATENATE("000",IFAData_TEA!A689),6),3),"-",(RIGHT(RIGHT(CONCATENATE("000",IFAData_TEA!A689),6),3)))</f>
        <v>070-905</v>
      </c>
      <c r="C689" s="979" t="s">
        <v>1970</v>
      </c>
      <c r="D689" s="979">
        <v>9</v>
      </c>
      <c r="E689" s="979">
        <v>1812</v>
      </c>
      <c r="F689" s="979" t="s">
        <v>4576</v>
      </c>
      <c r="G689" s="979" t="s">
        <v>4577</v>
      </c>
      <c r="H689" s="1030">
        <v>367965</v>
      </c>
      <c r="I689" s="1030">
        <v>358850</v>
      </c>
      <c r="J689" s="1034">
        <v>0.52486470674272345</v>
      </c>
      <c r="K689" s="1030">
        <v>193131.84181658624</v>
      </c>
      <c r="L689" s="1030">
        <v>193131.84181658624</v>
      </c>
      <c r="M689" s="979">
        <v>599</v>
      </c>
    </row>
    <row r="690" spans="1:13" ht="15">
      <c r="A690" s="979" t="s">
        <v>3491</v>
      </c>
      <c r="B690" s="722" t="str">
        <f>CONCATENATE(LEFT(RIGHT(CONCATENATE("000",IFAData_TEA!A690),6),3),"-",(RIGHT(RIGHT(CONCATENATE("000",IFAData_TEA!A690),6),3)))</f>
        <v>070-907</v>
      </c>
      <c r="C690" s="979" t="s">
        <v>1270</v>
      </c>
      <c r="D690" s="979">
        <v>4</v>
      </c>
      <c r="E690" s="979">
        <v>1930</v>
      </c>
      <c r="F690" s="979" t="s">
        <v>4578</v>
      </c>
      <c r="G690" s="979" t="s">
        <v>4578</v>
      </c>
      <c r="H690" s="1030">
        <v>137308</v>
      </c>
      <c r="I690" s="1030">
        <v>0</v>
      </c>
      <c r="J690" s="1034">
        <v>0</v>
      </c>
      <c r="K690" s="1030">
        <v>0</v>
      </c>
      <c r="L690" s="1030">
        <v>0</v>
      </c>
      <c r="M690" s="979">
        <v>599</v>
      </c>
    </row>
    <row r="691" spans="1:13" ht="15">
      <c r="A691" s="979" t="s">
        <v>3491</v>
      </c>
      <c r="B691" s="722" t="str">
        <f>CONCATENATE(LEFT(RIGHT(CONCATENATE("000",IFAData_TEA!A691),6),3),"-",(RIGHT(RIGHT(CONCATENATE("000",IFAData_TEA!A691),6),3)))</f>
        <v>070-907</v>
      </c>
      <c r="C691" s="979" t="s">
        <v>1270</v>
      </c>
      <c r="D691" s="979">
        <v>4</v>
      </c>
      <c r="E691" s="979">
        <v>1930</v>
      </c>
      <c r="F691" s="979" t="s">
        <v>4578</v>
      </c>
      <c r="G691" s="979" t="s">
        <v>4579</v>
      </c>
      <c r="H691" s="1030">
        <v>137308</v>
      </c>
      <c r="I691" s="1030">
        <v>137768</v>
      </c>
      <c r="J691" s="1034">
        <v>1</v>
      </c>
      <c r="K691" s="1030">
        <v>137308</v>
      </c>
      <c r="L691" s="1030">
        <v>137308</v>
      </c>
      <c r="M691" s="979">
        <v>599</v>
      </c>
    </row>
    <row r="692" spans="1:13" ht="15">
      <c r="A692" s="979" t="s">
        <v>3492</v>
      </c>
      <c r="B692" s="722" t="str">
        <f>CONCATENATE(LEFT(RIGHT(CONCATENATE("000",IFAData_TEA!A692),6),3),"-",(RIGHT(RIGHT(CONCATENATE("000",IFAData_TEA!A692),6),3)))</f>
        <v>070-910</v>
      </c>
      <c r="C692" s="979" t="s">
        <v>1363</v>
      </c>
      <c r="D692" s="979">
        <v>5</v>
      </c>
      <c r="E692" s="979">
        <v>2171</v>
      </c>
      <c r="F692" s="979" t="s">
        <v>4580</v>
      </c>
      <c r="G692" s="979" t="s">
        <v>4581</v>
      </c>
      <c r="H692" s="1030">
        <v>229000</v>
      </c>
      <c r="I692" s="1030">
        <v>350293</v>
      </c>
      <c r="J692" s="1034">
        <v>1</v>
      </c>
      <c r="K692" s="1030">
        <v>229000</v>
      </c>
      <c r="L692" s="1030">
        <v>229000</v>
      </c>
      <c r="M692" s="979">
        <v>599</v>
      </c>
    </row>
    <row r="693" spans="1:13" ht="15">
      <c r="A693" s="979" t="s">
        <v>3492</v>
      </c>
      <c r="B693" s="722" t="str">
        <f>CONCATENATE(LEFT(RIGHT(CONCATENATE("000",IFAData_TEA!A693),6),3),"-",(RIGHT(RIGHT(CONCATENATE("000",IFAData_TEA!A693),6),3)))</f>
        <v>070-910</v>
      </c>
      <c r="C693" s="979" t="s">
        <v>1363</v>
      </c>
      <c r="D693" s="979">
        <v>5</v>
      </c>
      <c r="E693" s="979">
        <v>2171</v>
      </c>
      <c r="F693" s="979" t="s">
        <v>4580</v>
      </c>
      <c r="G693" s="979" t="s">
        <v>4580</v>
      </c>
      <c r="H693" s="1030">
        <v>229000</v>
      </c>
      <c r="I693" s="1030">
        <v>0</v>
      </c>
      <c r="J693" s="1034">
        <v>0</v>
      </c>
      <c r="K693" s="1030">
        <v>0</v>
      </c>
      <c r="L693" s="1030">
        <v>0</v>
      </c>
      <c r="M693" s="979">
        <v>599</v>
      </c>
    </row>
    <row r="694" spans="1:13" ht="15">
      <c r="A694" s="979" t="s">
        <v>3493</v>
      </c>
      <c r="B694" s="722" t="str">
        <f>CONCATENATE(LEFT(RIGHT(CONCATENATE("000",IFAData_TEA!A694),6),3),"-",(RIGHT(RIGHT(CONCATENATE("000",IFAData_TEA!A694),6),3)))</f>
        <v>070-911</v>
      </c>
      <c r="C694" s="979" t="s">
        <v>79</v>
      </c>
      <c r="D694" s="979">
        <v>9</v>
      </c>
      <c r="E694" s="979">
        <v>2231</v>
      </c>
      <c r="F694" s="979" t="s">
        <v>4586</v>
      </c>
      <c r="G694" s="979" t="s">
        <v>6241</v>
      </c>
      <c r="H694" s="1030">
        <v>1269033</v>
      </c>
      <c r="I694" s="1030">
        <v>443854</v>
      </c>
      <c r="J694" s="1034">
        <v>0.19543207778289512</v>
      </c>
      <c r="K694" s="1030">
        <v>248009.75596506073</v>
      </c>
      <c r="L694" s="1030">
        <v>248009.75596506073</v>
      </c>
      <c r="M694" s="979">
        <v>599</v>
      </c>
    </row>
    <row r="695" spans="1:13" ht="15">
      <c r="A695" s="979" t="s">
        <v>3493</v>
      </c>
      <c r="B695" s="722" t="str">
        <f>CONCATENATE(LEFT(RIGHT(CONCATENATE("000",IFAData_TEA!A695),6),3),"-",(RIGHT(RIGHT(CONCATENATE("000",IFAData_TEA!A695),6),3)))</f>
        <v>070-911</v>
      </c>
      <c r="C695" s="979" t="s">
        <v>79</v>
      </c>
      <c r="D695" s="979">
        <v>3</v>
      </c>
      <c r="E695" s="979">
        <v>2230</v>
      </c>
      <c r="F695" s="979" t="s">
        <v>4582</v>
      </c>
      <c r="G695" s="979" t="s">
        <v>4583</v>
      </c>
      <c r="H695" s="1030">
        <v>350000</v>
      </c>
      <c r="I695" s="1030">
        <v>0</v>
      </c>
      <c r="J695" s="1034">
        <v>0</v>
      </c>
      <c r="K695" s="1030">
        <v>0</v>
      </c>
      <c r="L695" s="1030">
        <v>0</v>
      </c>
      <c r="M695" s="979">
        <v>599</v>
      </c>
    </row>
    <row r="696" spans="1:13" ht="15">
      <c r="A696" s="979" t="s">
        <v>3493</v>
      </c>
      <c r="B696" s="722" t="str">
        <f>CONCATENATE(LEFT(RIGHT(CONCATENATE("000",IFAData_TEA!A696),6),3),"-",(RIGHT(RIGHT(CONCATENATE("000",IFAData_TEA!A696),6),3)))</f>
        <v>070-911</v>
      </c>
      <c r="C696" s="979" t="s">
        <v>79</v>
      </c>
      <c r="D696" s="979">
        <v>3</v>
      </c>
      <c r="E696" s="979">
        <v>2230</v>
      </c>
      <c r="F696" s="979" t="s">
        <v>4582</v>
      </c>
      <c r="G696" s="979" t="s">
        <v>4582</v>
      </c>
      <c r="H696" s="1030">
        <v>350000</v>
      </c>
      <c r="I696" s="1030">
        <v>300000</v>
      </c>
      <c r="J696" s="1034">
        <v>1</v>
      </c>
      <c r="K696" s="1030">
        <v>350000</v>
      </c>
      <c r="L696" s="1030">
        <v>300000</v>
      </c>
      <c r="M696" s="979">
        <v>599</v>
      </c>
    </row>
    <row r="697" spans="1:13" ht="15">
      <c r="A697" s="979" t="s">
        <v>3493</v>
      </c>
      <c r="B697" s="722" t="str">
        <f>CONCATENATE(LEFT(RIGHT(CONCATENATE("000",IFAData_TEA!A697),6),3),"-",(RIGHT(RIGHT(CONCATENATE("000",IFAData_TEA!A697),6),3)))</f>
        <v>070-911</v>
      </c>
      <c r="C697" s="979" t="s">
        <v>79</v>
      </c>
      <c r="D697" s="979">
        <v>6</v>
      </c>
      <c r="E697" s="979">
        <v>2229</v>
      </c>
      <c r="F697" s="979" t="s">
        <v>4584</v>
      </c>
      <c r="G697" s="979" t="s">
        <v>4585</v>
      </c>
      <c r="H697" s="1030">
        <v>67680</v>
      </c>
      <c r="I697" s="1030">
        <v>93922</v>
      </c>
      <c r="J697" s="1034">
        <v>1</v>
      </c>
      <c r="K697" s="1030">
        <v>67680</v>
      </c>
      <c r="L697" s="1030">
        <v>67680</v>
      </c>
      <c r="M697" s="979">
        <v>599</v>
      </c>
    </row>
    <row r="698" spans="1:13" ht="15">
      <c r="A698" s="979" t="s">
        <v>3493</v>
      </c>
      <c r="B698" s="722" t="str">
        <f>CONCATENATE(LEFT(RIGHT(CONCATENATE("000",IFAData_TEA!A698),6),3),"-",(RIGHT(RIGHT(CONCATENATE("000",IFAData_TEA!A698),6),3)))</f>
        <v>070-911</v>
      </c>
      <c r="C698" s="979" t="s">
        <v>79</v>
      </c>
      <c r="D698" s="979">
        <v>9</v>
      </c>
      <c r="E698" s="979">
        <v>2231</v>
      </c>
      <c r="F698" s="979" t="s">
        <v>4586</v>
      </c>
      <c r="G698" s="979" t="s">
        <v>6242</v>
      </c>
      <c r="H698" s="1030">
        <v>1269033</v>
      </c>
      <c r="I698" s="1030">
        <v>223100</v>
      </c>
      <c r="J698" s="1034">
        <v>9.8232519146755251E-2</v>
      </c>
      <c r="K698" s="1030">
        <v>124660.30847036425</v>
      </c>
      <c r="L698" s="1030">
        <v>124660.30847036425</v>
      </c>
      <c r="M698" s="979">
        <v>599</v>
      </c>
    </row>
    <row r="699" spans="1:13" ht="15">
      <c r="A699" s="979" t="s">
        <v>3493</v>
      </c>
      <c r="B699" s="722" t="str">
        <f>CONCATENATE(LEFT(RIGHT(CONCATENATE("000",IFAData_TEA!A699),6),3),"-",(RIGHT(RIGHT(CONCATENATE("000",IFAData_TEA!A699),6),3)))</f>
        <v>070-911</v>
      </c>
      <c r="C699" s="979" t="s">
        <v>79</v>
      </c>
      <c r="D699" s="979">
        <v>10</v>
      </c>
      <c r="E699" s="979">
        <v>2232</v>
      </c>
      <c r="F699" s="979" t="s">
        <v>4587</v>
      </c>
      <c r="G699" s="979" t="s">
        <v>4587</v>
      </c>
      <c r="H699" s="1030">
        <v>1279231</v>
      </c>
      <c r="I699" s="1030">
        <v>2626694</v>
      </c>
      <c r="J699" s="1034">
        <v>1</v>
      </c>
      <c r="K699" s="1030">
        <v>1279231</v>
      </c>
      <c r="L699" s="1030">
        <v>1279231</v>
      </c>
      <c r="M699" s="979">
        <v>599</v>
      </c>
    </row>
    <row r="700" spans="1:13" ht="15">
      <c r="A700" s="979" t="s">
        <v>3493</v>
      </c>
      <c r="B700" s="722" t="str">
        <f>CONCATENATE(LEFT(RIGHT(CONCATENATE("000",IFAData_TEA!A700),6),3),"-",(RIGHT(RIGHT(CONCATENATE("000",IFAData_TEA!A700),6),3)))</f>
        <v>070-911</v>
      </c>
      <c r="C700" s="979" t="s">
        <v>79</v>
      </c>
      <c r="D700" s="979">
        <v>9</v>
      </c>
      <c r="E700" s="979">
        <v>2231</v>
      </c>
      <c r="F700" s="979" t="s">
        <v>4586</v>
      </c>
      <c r="G700" s="979" t="s">
        <v>4586</v>
      </c>
      <c r="H700" s="1030">
        <v>1269033</v>
      </c>
      <c r="I700" s="1030">
        <v>1604188</v>
      </c>
      <c r="J700" s="1034">
        <v>0.70633540307034959</v>
      </c>
      <c r="K700" s="1030">
        <v>896362.9355645749</v>
      </c>
      <c r="L700" s="1030">
        <v>896362.9355645749</v>
      </c>
      <c r="M700" s="979">
        <v>599</v>
      </c>
    </row>
    <row r="701" spans="1:13" ht="15">
      <c r="A701" s="979" t="s">
        <v>3493</v>
      </c>
      <c r="B701" s="722" t="str">
        <f>CONCATENATE(LEFT(RIGHT(CONCATENATE("000",IFAData_TEA!A701),6),3),"-",(RIGHT(RIGHT(CONCATENATE("000",IFAData_TEA!A701),6),3)))</f>
        <v>070-911</v>
      </c>
      <c r="C701" s="979" t="s">
        <v>79</v>
      </c>
      <c r="D701" s="979">
        <v>6</v>
      </c>
      <c r="E701" s="979">
        <v>2229</v>
      </c>
      <c r="F701" s="979" t="s">
        <v>4584</v>
      </c>
      <c r="G701" s="979" t="s">
        <v>4584</v>
      </c>
      <c r="H701" s="1030">
        <v>67680</v>
      </c>
      <c r="I701" s="1030">
        <v>0</v>
      </c>
      <c r="J701" s="1034">
        <v>0</v>
      </c>
      <c r="K701" s="1030">
        <v>0</v>
      </c>
      <c r="L701" s="1030">
        <v>0</v>
      </c>
      <c r="M701" s="979">
        <v>599</v>
      </c>
    </row>
    <row r="702" spans="1:13" ht="15">
      <c r="A702" s="979" t="s">
        <v>3494</v>
      </c>
      <c r="B702" s="722" t="str">
        <f>CONCATENATE(LEFT(RIGHT(CONCATENATE("000",IFAData_TEA!A702),6),3),"-",(RIGHT(RIGHT(CONCATENATE("000",IFAData_TEA!A702),6),3)))</f>
        <v>070-912</v>
      </c>
      <c r="C702" s="979" t="s">
        <v>139</v>
      </c>
      <c r="D702" s="979">
        <v>1</v>
      </c>
      <c r="E702" s="979">
        <v>2438</v>
      </c>
      <c r="F702" s="979" t="s">
        <v>4588</v>
      </c>
      <c r="G702" s="979" t="s">
        <v>4589</v>
      </c>
      <c r="H702" s="1030">
        <v>1270445</v>
      </c>
      <c r="I702" s="1030">
        <v>125540</v>
      </c>
      <c r="J702" s="1034">
        <v>0.17430059007289136</v>
      </c>
      <c r="K702" s="1030">
        <v>221439.31315515446</v>
      </c>
      <c r="L702" s="1030">
        <v>125540</v>
      </c>
      <c r="M702" s="979">
        <v>599</v>
      </c>
    </row>
    <row r="703" spans="1:13" ht="15">
      <c r="A703" s="979" t="s">
        <v>3494</v>
      </c>
      <c r="B703" s="722" t="str">
        <f>CONCATENATE(LEFT(RIGHT(CONCATENATE("000",IFAData_TEA!A703),6),3),"-",(RIGHT(RIGHT(CONCATENATE("000",IFAData_TEA!A703),6),3)))</f>
        <v>070-912</v>
      </c>
      <c r="C703" s="979" t="s">
        <v>139</v>
      </c>
      <c r="D703" s="979">
        <v>1</v>
      </c>
      <c r="E703" s="979">
        <v>2438</v>
      </c>
      <c r="F703" s="979" t="s">
        <v>4588</v>
      </c>
      <c r="G703" s="979" t="s">
        <v>4588</v>
      </c>
      <c r="H703" s="1030">
        <v>1270445</v>
      </c>
      <c r="I703" s="1030">
        <v>541843</v>
      </c>
      <c r="J703" s="1034">
        <v>0.75229850746268656</v>
      </c>
      <c r="K703" s="1030">
        <v>955753.87731343287</v>
      </c>
      <c r="L703" s="1030">
        <v>541843</v>
      </c>
      <c r="M703" s="979">
        <v>599</v>
      </c>
    </row>
    <row r="704" spans="1:13" ht="15">
      <c r="A704" s="979" t="s">
        <v>3494</v>
      </c>
      <c r="B704" s="722" t="str">
        <f>CONCATENATE(LEFT(RIGHT(CONCATENATE("000",IFAData_TEA!A704),6),3),"-",(RIGHT(RIGHT(CONCATENATE("000",IFAData_TEA!A704),6),3)))</f>
        <v>070-912</v>
      </c>
      <c r="C704" s="979" t="s">
        <v>139</v>
      </c>
      <c r="D704" s="979">
        <v>1</v>
      </c>
      <c r="E704" s="979">
        <v>2438</v>
      </c>
      <c r="F704" s="979" t="s">
        <v>4588</v>
      </c>
      <c r="G704" s="979" t="s">
        <v>4590</v>
      </c>
      <c r="H704" s="1030">
        <v>1270445</v>
      </c>
      <c r="I704" s="1030">
        <v>52867</v>
      </c>
      <c r="J704" s="1034">
        <v>7.3400902464422074E-2</v>
      </c>
      <c r="K704" s="1030">
        <v>93251.809531412699</v>
      </c>
      <c r="L704" s="1030">
        <v>52867</v>
      </c>
      <c r="M704" s="979">
        <v>599</v>
      </c>
    </row>
    <row r="705" spans="1:13" ht="15">
      <c r="A705" s="979" t="s">
        <v>3495</v>
      </c>
      <c r="B705" s="722" t="str">
        <f>CONCATENATE(LEFT(RIGHT(CONCATENATE("000",IFAData_TEA!A705),6),3),"-",(RIGHT(RIGHT(CONCATENATE("000",IFAData_TEA!A705),6),3)))</f>
        <v>070-915</v>
      </c>
      <c r="C705" s="979" t="s">
        <v>1992</v>
      </c>
      <c r="D705" s="979">
        <v>4</v>
      </c>
      <c r="E705" s="979">
        <v>2078</v>
      </c>
      <c r="F705" s="979" t="s">
        <v>4591</v>
      </c>
      <c r="G705" s="979" t="s">
        <v>4594</v>
      </c>
      <c r="H705" s="1030">
        <v>207500</v>
      </c>
      <c r="I705" s="1030">
        <v>24968</v>
      </c>
      <c r="J705" s="1034">
        <v>9.5105683562577842E-2</v>
      </c>
      <c r="K705" s="1030">
        <v>19734.429339234903</v>
      </c>
      <c r="L705" s="1030">
        <v>19734.429339234903</v>
      </c>
      <c r="M705" s="979">
        <v>599</v>
      </c>
    </row>
    <row r="706" spans="1:13" ht="15">
      <c r="A706" s="979" t="s">
        <v>3495</v>
      </c>
      <c r="B706" s="722" t="str">
        <f>CONCATENATE(LEFT(RIGHT(CONCATENATE("000",IFAData_TEA!A706),6),3),"-",(RIGHT(RIGHT(CONCATENATE("000",IFAData_TEA!A706),6),3)))</f>
        <v>070-915</v>
      </c>
      <c r="C706" s="979" t="s">
        <v>1992</v>
      </c>
      <c r="D706" s="979">
        <v>4</v>
      </c>
      <c r="E706" s="979">
        <v>2078</v>
      </c>
      <c r="F706" s="979" t="s">
        <v>4591</v>
      </c>
      <c r="G706" s="979" t="s">
        <v>4592</v>
      </c>
      <c r="H706" s="1030">
        <v>207500</v>
      </c>
      <c r="I706" s="1030">
        <v>207678</v>
      </c>
      <c r="J706" s="1034">
        <v>0.79106689165768351</v>
      </c>
      <c r="K706" s="1030">
        <v>164146.38001896933</v>
      </c>
      <c r="L706" s="1030">
        <v>164146.38001896933</v>
      </c>
      <c r="M706" s="979">
        <v>599</v>
      </c>
    </row>
    <row r="707" spans="1:13" ht="15">
      <c r="A707" s="979" t="s">
        <v>3495</v>
      </c>
      <c r="B707" s="722" t="str">
        <f>CONCATENATE(LEFT(RIGHT(CONCATENATE("000",IFAData_TEA!A707),6),3),"-",(RIGHT(RIGHT(CONCATENATE("000",IFAData_TEA!A707),6),3)))</f>
        <v>070-915</v>
      </c>
      <c r="C707" s="979" t="s">
        <v>1992</v>
      </c>
      <c r="D707" s="979">
        <v>4</v>
      </c>
      <c r="E707" s="979">
        <v>2078</v>
      </c>
      <c r="F707" s="979" t="s">
        <v>4591</v>
      </c>
      <c r="G707" s="979" t="s">
        <v>6243</v>
      </c>
      <c r="H707" s="1030">
        <v>207500</v>
      </c>
      <c r="I707" s="1030">
        <v>29883</v>
      </c>
      <c r="J707" s="1034">
        <v>0.11382742477973862</v>
      </c>
      <c r="K707" s="1030">
        <v>23619.190641795762</v>
      </c>
      <c r="L707" s="1030">
        <v>23619.190641795762</v>
      </c>
      <c r="M707" s="979">
        <v>599</v>
      </c>
    </row>
    <row r="708" spans="1:13" ht="15">
      <c r="A708" s="979" t="s">
        <v>3495</v>
      </c>
      <c r="B708" s="722" t="str">
        <f>CONCATENATE(LEFT(RIGHT(CONCATENATE("000",IFAData_TEA!A708),6),3),"-",(RIGHT(RIGHT(CONCATENATE("000",IFAData_TEA!A708),6),3)))</f>
        <v>070-915</v>
      </c>
      <c r="C708" s="979" t="s">
        <v>1992</v>
      </c>
      <c r="D708" s="979">
        <v>4</v>
      </c>
      <c r="E708" s="979">
        <v>2078</v>
      </c>
      <c r="F708" s="979" t="s">
        <v>4591</v>
      </c>
      <c r="G708" s="979" t="s">
        <v>4591</v>
      </c>
      <c r="H708" s="1030">
        <v>207500</v>
      </c>
      <c r="I708" s="1030">
        <v>0</v>
      </c>
      <c r="J708" s="1034">
        <v>0</v>
      </c>
      <c r="K708" s="1030">
        <v>0</v>
      </c>
      <c r="L708" s="1030">
        <v>0</v>
      </c>
      <c r="M708" s="979">
        <v>599</v>
      </c>
    </row>
    <row r="709" spans="1:13" ht="15">
      <c r="A709" s="979" t="s">
        <v>3495</v>
      </c>
      <c r="B709" s="722" t="str">
        <f>CONCATENATE(LEFT(RIGHT(CONCATENATE("000",IFAData_TEA!A709),6),3),"-",(RIGHT(RIGHT(CONCATENATE("000",IFAData_TEA!A709),6),3)))</f>
        <v>070-915</v>
      </c>
      <c r="C709" s="979" t="s">
        <v>1992</v>
      </c>
      <c r="D709" s="979">
        <v>4</v>
      </c>
      <c r="E709" s="979">
        <v>2078</v>
      </c>
      <c r="F709" s="979" t="s">
        <v>4591</v>
      </c>
      <c r="G709" s="979" t="s">
        <v>4593</v>
      </c>
      <c r="H709" s="1030">
        <v>207500</v>
      </c>
      <c r="I709" s="1030">
        <v>0</v>
      </c>
      <c r="J709" s="1034">
        <v>0</v>
      </c>
      <c r="K709" s="1030">
        <v>0</v>
      </c>
      <c r="L709" s="1030">
        <v>0</v>
      </c>
      <c r="M709" s="979">
        <v>599</v>
      </c>
    </row>
    <row r="710" spans="1:13" ht="15">
      <c r="A710" s="979" t="s">
        <v>3496</v>
      </c>
      <c r="B710" s="722" t="str">
        <f>CONCATENATE(LEFT(RIGHT(CONCATENATE("000",IFAData_TEA!A710),6),3),"-",(RIGHT(RIGHT(CONCATENATE("000",IFAData_TEA!A710),6),3)))</f>
        <v>071-901</v>
      </c>
      <c r="C710" s="979" t="s">
        <v>1166</v>
      </c>
      <c r="D710" s="979">
        <v>3</v>
      </c>
      <c r="E710" s="979">
        <v>1698</v>
      </c>
      <c r="F710" s="979" t="s">
        <v>4596</v>
      </c>
      <c r="G710" s="979" t="s">
        <v>4597</v>
      </c>
      <c r="H710" s="1030">
        <v>1037938</v>
      </c>
      <c r="I710" s="1030">
        <v>0</v>
      </c>
      <c r="J710" s="1034">
        <v>0</v>
      </c>
      <c r="K710" s="1030">
        <v>0</v>
      </c>
      <c r="L710" s="1030">
        <v>0</v>
      </c>
      <c r="M710" s="979">
        <v>599</v>
      </c>
    </row>
    <row r="711" spans="1:13" ht="15">
      <c r="A711" s="979" t="s">
        <v>3496</v>
      </c>
      <c r="B711" s="722" t="str">
        <f>CONCATENATE(LEFT(RIGHT(CONCATENATE("000",IFAData_TEA!A711),6),3),"-",(RIGHT(RIGHT(CONCATENATE("000",IFAData_TEA!A711),6),3)))</f>
        <v>071-901</v>
      </c>
      <c r="C711" s="979" t="s">
        <v>1166</v>
      </c>
      <c r="D711" s="979">
        <v>4</v>
      </c>
      <c r="E711" s="979">
        <v>1697</v>
      </c>
      <c r="F711" s="979" t="s">
        <v>4600</v>
      </c>
      <c r="G711" s="979" t="s">
        <v>4598</v>
      </c>
      <c r="H711" s="1030">
        <v>732644</v>
      </c>
      <c r="I711" s="1030">
        <v>129109</v>
      </c>
      <c r="J711" s="1034">
        <v>0.196475257408777</v>
      </c>
      <c r="K711" s="1030">
        <v>143946.41848899602</v>
      </c>
      <c r="L711" s="1030">
        <v>129109</v>
      </c>
      <c r="M711" s="979">
        <v>599</v>
      </c>
    </row>
    <row r="712" spans="1:13" ht="15">
      <c r="A712" s="979" t="s">
        <v>3496</v>
      </c>
      <c r="B712" s="722" t="str">
        <f>CONCATENATE(LEFT(RIGHT(CONCATENATE("000",IFAData_TEA!A712),6),3),"-",(RIGHT(RIGHT(CONCATENATE("000",IFAData_TEA!A712),6),3)))</f>
        <v>071-901</v>
      </c>
      <c r="C712" s="979" t="s">
        <v>1166</v>
      </c>
      <c r="D712" s="979">
        <v>3</v>
      </c>
      <c r="E712" s="979">
        <v>1698</v>
      </c>
      <c r="F712" s="979" t="s">
        <v>4596</v>
      </c>
      <c r="G712" s="979" t="s">
        <v>4598</v>
      </c>
      <c r="H712" s="1030">
        <v>1037938</v>
      </c>
      <c r="I712" s="1030">
        <v>94686</v>
      </c>
      <c r="J712" s="1034">
        <v>0.11174142962848448</v>
      </c>
      <c r="K712" s="1030">
        <v>115980.67598572992</v>
      </c>
      <c r="L712" s="1030">
        <v>94686</v>
      </c>
      <c r="M712" s="979">
        <v>599</v>
      </c>
    </row>
    <row r="713" spans="1:13" ht="15">
      <c r="A713" s="979" t="s">
        <v>3496</v>
      </c>
      <c r="B713" s="722" t="str">
        <f>CONCATENATE(LEFT(RIGHT(CONCATENATE("000",IFAData_TEA!A713),6),3),"-",(RIGHT(RIGHT(CONCATENATE("000",IFAData_TEA!A713),6),3)))</f>
        <v>071-901</v>
      </c>
      <c r="C713" s="979" t="s">
        <v>1166</v>
      </c>
      <c r="D713" s="979">
        <v>6</v>
      </c>
      <c r="E713" s="979">
        <v>1699</v>
      </c>
      <c r="F713" s="979" t="s">
        <v>4601</v>
      </c>
      <c r="G713" s="979" t="s">
        <v>4598</v>
      </c>
      <c r="H713" s="1030">
        <v>1200698</v>
      </c>
      <c r="I713" s="1030">
        <v>1196364</v>
      </c>
      <c r="J713" s="1034">
        <v>0.82865038961038961</v>
      </c>
      <c r="K713" s="1030">
        <v>994958.86550441559</v>
      </c>
      <c r="L713" s="1030">
        <v>994958.86550441559</v>
      </c>
      <c r="M713" s="979">
        <v>599</v>
      </c>
    </row>
    <row r="714" spans="1:13" ht="15">
      <c r="A714" s="979" t="s">
        <v>3496</v>
      </c>
      <c r="B714" s="722" t="str">
        <f>CONCATENATE(LEFT(RIGHT(CONCATENATE("000",IFAData_TEA!A714),6),3),"-",(RIGHT(RIGHT(CONCATENATE("000",IFAData_TEA!A714),6),3)))</f>
        <v>071-901</v>
      </c>
      <c r="C714" s="979" t="s">
        <v>1166</v>
      </c>
      <c r="D714" s="979">
        <v>4</v>
      </c>
      <c r="E714" s="979">
        <v>1697</v>
      </c>
      <c r="F714" s="979" t="s">
        <v>4600</v>
      </c>
      <c r="G714" s="979" t="s">
        <v>4600</v>
      </c>
      <c r="H714" s="1030">
        <v>732644</v>
      </c>
      <c r="I714" s="1030">
        <v>0</v>
      </c>
      <c r="J714" s="1034">
        <v>0</v>
      </c>
      <c r="K714" s="1030">
        <v>0</v>
      </c>
      <c r="L714" s="1030">
        <v>0</v>
      </c>
      <c r="M714" s="979">
        <v>199</v>
      </c>
    </row>
    <row r="715" spans="1:13" ht="15">
      <c r="A715" s="979" t="s">
        <v>3496</v>
      </c>
      <c r="B715" s="722" t="str">
        <f>CONCATENATE(LEFT(RIGHT(CONCATENATE("000",IFAData_TEA!A715),6),3),"-",(RIGHT(RIGHT(CONCATENATE("000",IFAData_TEA!A715),6),3)))</f>
        <v>071-901</v>
      </c>
      <c r="C715" s="979" t="s">
        <v>1166</v>
      </c>
      <c r="D715" s="979">
        <v>2</v>
      </c>
      <c r="E715" s="979">
        <v>1696</v>
      </c>
      <c r="F715" s="979" t="s">
        <v>4595</v>
      </c>
      <c r="G715" s="979" t="s">
        <v>4595</v>
      </c>
      <c r="H715" s="1030">
        <v>530747</v>
      </c>
      <c r="I715" s="1030">
        <v>0</v>
      </c>
      <c r="J715" s="1034">
        <v>0</v>
      </c>
      <c r="K715" s="1030"/>
      <c r="L715" s="1030">
        <v>0</v>
      </c>
      <c r="M715" s="979">
        <v>199</v>
      </c>
    </row>
    <row r="716" spans="1:13" ht="15">
      <c r="A716" s="979" t="s">
        <v>3496</v>
      </c>
      <c r="B716" s="722" t="str">
        <f>CONCATENATE(LEFT(RIGHT(CONCATENATE("000",IFAData_TEA!A716),6),3),"-",(RIGHT(RIGHT(CONCATENATE("000",IFAData_TEA!A716),6),3)))</f>
        <v>071-901</v>
      </c>
      <c r="C716" s="979" t="s">
        <v>1166</v>
      </c>
      <c r="D716" s="979">
        <v>8</v>
      </c>
      <c r="E716" s="979">
        <v>1700</v>
      </c>
      <c r="F716" s="979" t="s">
        <v>4603</v>
      </c>
      <c r="G716" s="979" t="s">
        <v>4604</v>
      </c>
      <c r="H716" s="1030">
        <v>2334930</v>
      </c>
      <c r="I716" s="1030">
        <v>1061650</v>
      </c>
      <c r="J716" s="1034">
        <v>0.48435147588849858</v>
      </c>
      <c r="K716" s="1030">
        <v>1130926.7915963321</v>
      </c>
      <c r="L716" s="1030">
        <v>1061650</v>
      </c>
      <c r="M716" s="979">
        <v>599</v>
      </c>
    </row>
    <row r="717" spans="1:13" ht="15">
      <c r="A717" s="979" t="s">
        <v>3496</v>
      </c>
      <c r="B717" s="722" t="str">
        <f>CONCATENATE(LEFT(RIGHT(CONCATENATE("000",IFAData_TEA!A717),6),3),"-",(RIGHT(RIGHT(CONCATENATE("000",IFAData_TEA!A717),6),3)))</f>
        <v>071-901</v>
      </c>
      <c r="C717" s="979" t="s">
        <v>1166</v>
      </c>
      <c r="D717" s="979">
        <v>8</v>
      </c>
      <c r="E717" s="979">
        <v>1700</v>
      </c>
      <c r="F717" s="979" t="s">
        <v>4603</v>
      </c>
      <c r="G717" s="979" t="s">
        <v>4603</v>
      </c>
      <c r="H717" s="1030">
        <v>2334930</v>
      </c>
      <c r="I717" s="1030">
        <v>1130250</v>
      </c>
      <c r="J717" s="1034">
        <v>0.51564852411150142</v>
      </c>
      <c r="K717" s="1030">
        <v>1204003.2084036679</v>
      </c>
      <c r="L717" s="1030">
        <v>1130250</v>
      </c>
      <c r="M717" s="979">
        <v>599</v>
      </c>
    </row>
    <row r="718" spans="1:13" ht="15">
      <c r="A718" s="979" t="s">
        <v>3496</v>
      </c>
      <c r="B718" s="722" t="str">
        <f>CONCATENATE(LEFT(RIGHT(CONCATENATE("000",IFAData_TEA!A718),6),3),"-",(RIGHT(RIGHT(CONCATENATE("000",IFAData_TEA!A718),6),3)))</f>
        <v>071-901</v>
      </c>
      <c r="C718" s="979" t="s">
        <v>1166</v>
      </c>
      <c r="D718" s="979">
        <v>4</v>
      </c>
      <c r="E718" s="979">
        <v>1697</v>
      </c>
      <c r="F718" s="979" t="s">
        <v>4600</v>
      </c>
      <c r="G718" s="979" t="s">
        <v>4599</v>
      </c>
      <c r="H718" s="1030">
        <v>732644</v>
      </c>
      <c r="I718" s="1030">
        <v>528017</v>
      </c>
      <c r="J718" s="1034">
        <v>0.80352474259122297</v>
      </c>
      <c r="K718" s="1030">
        <v>588697.58151100401</v>
      </c>
      <c r="L718" s="1030">
        <v>528017</v>
      </c>
      <c r="M718" s="979">
        <v>599</v>
      </c>
    </row>
    <row r="719" spans="1:13" ht="15">
      <c r="A719" s="979" t="s">
        <v>3496</v>
      </c>
      <c r="B719" s="722" t="str">
        <f>CONCATENATE(LEFT(RIGHT(CONCATENATE("000",IFAData_TEA!A719),6),3),"-",(RIGHT(RIGHT(CONCATENATE("000",IFAData_TEA!A719),6),3)))</f>
        <v>071-901</v>
      </c>
      <c r="C719" s="979" t="s">
        <v>1166</v>
      </c>
      <c r="D719" s="979">
        <v>3</v>
      </c>
      <c r="E719" s="979">
        <v>1698</v>
      </c>
      <c r="F719" s="979" t="s">
        <v>4596</v>
      </c>
      <c r="G719" s="979" t="s">
        <v>4599</v>
      </c>
      <c r="H719" s="1030">
        <v>1037938</v>
      </c>
      <c r="I719" s="1030">
        <v>752681</v>
      </c>
      <c r="J719" s="1034">
        <v>0.88825857037151557</v>
      </c>
      <c r="K719" s="1030">
        <v>921957.3240142701</v>
      </c>
      <c r="L719" s="1030">
        <v>752681</v>
      </c>
      <c r="M719" s="979">
        <v>599</v>
      </c>
    </row>
    <row r="720" spans="1:13" ht="15">
      <c r="A720" s="979" t="s">
        <v>3496</v>
      </c>
      <c r="B720" s="722" t="str">
        <f>CONCATENATE(LEFT(RIGHT(CONCATENATE("000",IFAData_TEA!A720),6),3),"-",(RIGHT(RIGHT(CONCATENATE("000",IFAData_TEA!A720),6),3)))</f>
        <v>071-901</v>
      </c>
      <c r="C720" s="979" t="s">
        <v>1166</v>
      </c>
      <c r="D720" s="979">
        <v>6</v>
      </c>
      <c r="E720" s="979">
        <v>1699</v>
      </c>
      <c r="F720" s="979" t="s">
        <v>4601</v>
      </c>
      <c r="G720" s="979" t="s">
        <v>4602</v>
      </c>
      <c r="H720" s="1030">
        <v>1200698</v>
      </c>
      <c r="I720" s="1030">
        <v>247386</v>
      </c>
      <c r="J720" s="1034">
        <v>0.17134961038961039</v>
      </c>
      <c r="K720" s="1030">
        <v>205739.13449558441</v>
      </c>
      <c r="L720" s="1030">
        <v>205739.13449558441</v>
      </c>
      <c r="M720" s="979">
        <v>599</v>
      </c>
    </row>
    <row r="721" spans="1:13" ht="15">
      <c r="A721" s="979" t="s">
        <v>3496</v>
      </c>
      <c r="B721" s="722" t="str">
        <f>CONCATENATE(LEFT(RIGHT(CONCATENATE("000",IFAData_TEA!A721),6),3),"-",(RIGHT(RIGHT(CONCATENATE("000",IFAData_TEA!A721),6),3)))</f>
        <v>071-901</v>
      </c>
      <c r="C721" s="979" t="s">
        <v>1166</v>
      </c>
      <c r="D721" s="979">
        <v>3</v>
      </c>
      <c r="E721" s="979">
        <v>1698</v>
      </c>
      <c r="F721" s="979" t="s">
        <v>4596</v>
      </c>
      <c r="G721" s="979" t="s">
        <v>4596</v>
      </c>
      <c r="H721" s="1030">
        <v>1037938</v>
      </c>
      <c r="I721" s="1030">
        <v>0</v>
      </c>
      <c r="J721" s="1034">
        <v>0</v>
      </c>
      <c r="K721" s="1030">
        <v>0</v>
      </c>
      <c r="L721" s="1030">
        <v>0</v>
      </c>
      <c r="M721" s="979">
        <v>199</v>
      </c>
    </row>
    <row r="722" spans="1:13" ht="15">
      <c r="A722" s="979" t="s">
        <v>3496</v>
      </c>
      <c r="B722" s="722" t="str">
        <f>CONCATENATE(LEFT(RIGHT(CONCATENATE("000",IFAData_TEA!A722),6),3),"-",(RIGHT(RIGHT(CONCATENATE("000",IFAData_TEA!A722),6),3)))</f>
        <v>071-901</v>
      </c>
      <c r="C722" s="979" t="s">
        <v>1166</v>
      </c>
      <c r="D722" s="979">
        <v>6</v>
      </c>
      <c r="E722" s="979">
        <v>1699</v>
      </c>
      <c r="F722" s="979" t="s">
        <v>4601</v>
      </c>
      <c r="G722" s="979" t="s">
        <v>4601</v>
      </c>
      <c r="H722" s="1030">
        <v>1200698</v>
      </c>
      <c r="I722" s="1030">
        <v>0</v>
      </c>
      <c r="J722" s="1034">
        <v>0</v>
      </c>
      <c r="K722" s="1030">
        <v>0</v>
      </c>
      <c r="L722" s="1030">
        <v>0</v>
      </c>
      <c r="M722" s="979">
        <v>599</v>
      </c>
    </row>
    <row r="723" spans="1:13" ht="15">
      <c r="A723" s="979" t="s">
        <v>3496</v>
      </c>
      <c r="B723" s="722" t="str">
        <f>CONCATENATE(LEFT(RIGHT(CONCATENATE("000",IFAData_TEA!A723),6),3),"-",(RIGHT(RIGHT(CONCATENATE("000",IFAData_TEA!A723),6),3)))</f>
        <v>071-901</v>
      </c>
      <c r="C723" s="979" t="s">
        <v>1166</v>
      </c>
      <c r="D723" s="979">
        <v>9</v>
      </c>
      <c r="E723" s="979">
        <v>1701</v>
      </c>
      <c r="F723" s="979" t="s">
        <v>4605</v>
      </c>
      <c r="G723" s="979" t="s">
        <v>4605</v>
      </c>
      <c r="H723" s="1030">
        <v>2567970</v>
      </c>
      <c r="I723" s="1030">
        <v>1848550</v>
      </c>
      <c r="J723" s="1034">
        <v>1</v>
      </c>
      <c r="K723" s="1030">
        <v>2567970</v>
      </c>
      <c r="L723" s="1030">
        <v>1848550</v>
      </c>
      <c r="M723" s="979">
        <v>599</v>
      </c>
    </row>
    <row r="724" spans="1:13" ht="15">
      <c r="A724" s="979" t="s">
        <v>3496</v>
      </c>
      <c r="B724" s="722" t="str">
        <f>CONCATENATE(LEFT(RIGHT(CONCATENATE("000",IFAData_TEA!A724),6),3),"-",(RIGHT(RIGHT(CONCATENATE("000",IFAData_TEA!A724),6),3)))</f>
        <v>071-901</v>
      </c>
      <c r="C724" s="979" t="s">
        <v>1166</v>
      </c>
      <c r="D724" s="979">
        <v>4</v>
      </c>
      <c r="E724" s="979">
        <v>1697</v>
      </c>
      <c r="F724" s="979" t="s">
        <v>4600</v>
      </c>
      <c r="G724" s="979" t="s">
        <v>4597</v>
      </c>
      <c r="H724" s="1030">
        <v>732644</v>
      </c>
      <c r="I724" s="1030">
        <v>0</v>
      </c>
      <c r="J724" s="1034">
        <v>0</v>
      </c>
      <c r="K724" s="1030">
        <v>0</v>
      </c>
      <c r="L724" s="1030">
        <v>0</v>
      </c>
      <c r="M724" s="979">
        <v>599</v>
      </c>
    </row>
    <row r="725" spans="1:13" ht="15">
      <c r="A725" s="979" t="s">
        <v>3497</v>
      </c>
      <c r="B725" s="722" t="str">
        <f>CONCATENATE(LEFT(RIGHT(CONCATENATE("000",IFAData_TEA!A725),6),3),"-",(RIGHT(RIGHT(CONCATENATE("000",IFAData_TEA!A725),6),3)))</f>
        <v>071-902</v>
      </c>
      <c r="C725" s="979" t="s">
        <v>1973</v>
      </c>
      <c r="D725" s="979">
        <v>9</v>
      </c>
      <c r="E725" s="979">
        <v>1798</v>
      </c>
      <c r="F725" s="979" t="s">
        <v>4606</v>
      </c>
      <c r="G725" s="979" t="s">
        <v>6244</v>
      </c>
      <c r="H725" s="1030">
        <v>9773773</v>
      </c>
      <c r="I725" s="1030">
        <v>2709375</v>
      </c>
      <c r="J725" s="1034">
        <v>0.40491313282271624</v>
      </c>
      <c r="K725" s="1030">
        <v>3957529.0449280776</v>
      </c>
      <c r="L725" s="1030">
        <v>2709375</v>
      </c>
      <c r="M725" s="979">
        <v>599</v>
      </c>
    </row>
    <row r="726" spans="1:13" ht="15">
      <c r="A726" s="979" t="s">
        <v>3497</v>
      </c>
      <c r="B726" s="722" t="str">
        <f>CONCATENATE(LEFT(RIGHT(CONCATENATE("000",IFAData_TEA!A726),6),3),"-",(RIGHT(RIGHT(CONCATENATE("000",IFAData_TEA!A726),6),3)))</f>
        <v>071-902</v>
      </c>
      <c r="C726" s="979" t="s">
        <v>1973</v>
      </c>
      <c r="D726" s="979">
        <v>9</v>
      </c>
      <c r="E726" s="979">
        <v>1798</v>
      </c>
      <c r="F726" s="979" t="s">
        <v>4606</v>
      </c>
      <c r="G726" s="979" t="s">
        <v>4606</v>
      </c>
      <c r="H726" s="1030">
        <v>9773773</v>
      </c>
      <c r="I726" s="1030">
        <v>3981875</v>
      </c>
      <c r="J726" s="1034">
        <v>0.59508686717728376</v>
      </c>
      <c r="K726" s="1030">
        <v>5816243.9550719224</v>
      </c>
      <c r="L726" s="1030">
        <v>3981875</v>
      </c>
      <c r="M726" s="979">
        <v>599</v>
      </c>
    </row>
    <row r="727" spans="1:13" ht="15">
      <c r="A727" s="979" t="s">
        <v>3498</v>
      </c>
      <c r="B727" s="722" t="str">
        <f>CONCATENATE(LEFT(RIGHT(CONCATENATE("000",IFAData_TEA!A727),6),3),"-",(RIGHT(RIGHT(CONCATENATE("000",IFAData_TEA!A727),6),3)))</f>
        <v>071-903</v>
      </c>
      <c r="C727" s="979" t="s">
        <v>892</v>
      </c>
      <c r="D727" s="979">
        <v>8</v>
      </c>
      <c r="E727" s="979">
        <v>1806</v>
      </c>
      <c r="F727" s="979" t="s">
        <v>4609</v>
      </c>
      <c r="G727" s="979" t="s">
        <v>4609</v>
      </c>
      <c r="H727" s="1030">
        <v>601866</v>
      </c>
      <c r="I727" s="1030">
        <v>251675</v>
      </c>
      <c r="J727" s="1034">
        <v>0.42062978729093858</v>
      </c>
      <c r="K727" s="1030">
        <v>253162.76755764804</v>
      </c>
      <c r="L727" s="1030">
        <v>251675</v>
      </c>
      <c r="M727" s="979">
        <v>599</v>
      </c>
    </row>
    <row r="728" spans="1:13" ht="15">
      <c r="A728" s="979" t="s">
        <v>3498</v>
      </c>
      <c r="B728" s="722" t="str">
        <f>CONCATENATE(LEFT(RIGHT(CONCATENATE("000",IFAData_TEA!A728),6),3),"-",(RIGHT(RIGHT(CONCATENATE("000",IFAData_TEA!A728),6),3)))</f>
        <v>071-903</v>
      </c>
      <c r="C728" s="979" t="s">
        <v>892</v>
      </c>
      <c r="D728" s="979">
        <v>8</v>
      </c>
      <c r="E728" s="979">
        <v>1806</v>
      </c>
      <c r="F728" s="979" t="s">
        <v>4609</v>
      </c>
      <c r="G728" s="979" t="s">
        <v>6245</v>
      </c>
      <c r="H728" s="1030">
        <v>601866</v>
      </c>
      <c r="I728" s="1030">
        <v>346654</v>
      </c>
      <c r="J728" s="1034">
        <v>0.57937021270906142</v>
      </c>
      <c r="K728" s="1030">
        <v>348703.23244235193</v>
      </c>
      <c r="L728" s="1030">
        <v>346654</v>
      </c>
      <c r="M728" s="979">
        <v>599</v>
      </c>
    </row>
    <row r="729" spans="1:13" ht="15">
      <c r="A729" s="979" t="s">
        <v>3498</v>
      </c>
      <c r="B729" s="722" t="str">
        <f>CONCATENATE(LEFT(RIGHT(CONCATENATE("000",IFAData_TEA!A729),6),3),"-",(RIGHT(RIGHT(CONCATENATE("000",IFAData_TEA!A729),6),3)))</f>
        <v>071-903</v>
      </c>
      <c r="C729" s="979" t="s">
        <v>892</v>
      </c>
      <c r="D729" s="979">
        <v>2</v>
      </c>
      <c r="E729" s="979">
        <v>1807</v>
      </c>
      <c r="F729" s="979" t="s">
        <v>4607</v>
      </c>
      <c r="G729" s="979" t="s">
        <v>4607</v>
      </c>
      <c r="H729" s="1030">
        <v>665953</v>
      </c>
      <c r="I729" s="1030">
        <v>0</v>
      </c>
      <c r="J729" s="1034">
        <v>0</v>
      </c>
      <c r="K729" s="1030">
        <v>0</v>
      </c>
      <c r="L729" s="1030">
        <v>0</v>
      </c>
      <c r="M729" s="979">
        <v>599</v>
      </c>
    </row>
    <row r="730" spans="1:13" ht="15">
      <c r="A730" s="979" t="s">
        <v>3498</v>
      </c>
      <c r="B730" s="722" t="str">
        <f>CONCATENATE(LEFT(RIGHT(CONCATENATE("000",IFAData_TEA!A730),6),3),"-",(RIGHT(RIGHT(CONCATENATE("000",IFAData_TEA!A730),6),3)))</f>
        <v>071-903</v>
      </c>
      <c r="C730" s="979" t="s">
        <v>892</v>
      </c>
      <c r="D730" s="979">
        <v>9</v>
      </c>
      <c r="E730" s="979">
        <v>1805</v>
      </c>
      <c r="F730" s="979" t="s">
        <v>4610</v>
      </c>
      <c r="G730" s="979" t="s">
        <v>4610</v>
      </c>
      <c r="H730" s="1030">
        <v>586545</v>
      </c>
      <c r="I730" s="1030">
        <v>580855</v>
      </c>
      <c r="J730" s="1034">
        <v>1</v>
      </c>
      <c r="K730" s="1030">
        <v>586545</v>
      </c>
      <c r="L730" s="1030">
        <v>580855</v>
      </c>
      <c r="M730" s="979">
        <v>599</v>
      </c>
    </row>
    <row r="731" spans="1:13" ht="15">
      <c r="A731" s="979" t="s">
        <v>3498</v>
      </c>
      <c r="B731" s="722" t="str">
        <f>CONCATENATE(LEFT(RIGHT(CONCATENATE("000",IFAData_TEA!A731),6),3),"-",(RIGHT(RIGHT(CONCATENATE("000",IFAData_TEA!A731),6),3)))</f>
        <v>071-903</v>
      </c>
      <c r="C731" s="979" t="s">
        <v>892</v>
      </c>
      <c r="D731" s="979">
        <v>2</v>
      </c>
      <c r="E731" s="979">
        <v>1807</v>
      </c>
      <c r="F731" s="979" t="s">
        <v>4607</v>
      </c>
      <c r="G731" s="979" t="s">
        <v>4608</v>
      </c>
      <c r="H731" s="1030">
        <v>665953</v>
      </c>
      <c r="I731" s="1030">
        <v>587262</v>
      </c>
      <c r="J731" s="1034">
        <v>1</v>
      </c>
      <c r="K731" s="1030">
        <v>665953</v>
      </c>
      <c r="L731" s="1030">
        <v>587262</v>
      </c>
      <c r="M731" s="979">
        <v>599</v>
      </c>
    </row>
    <row r="732" spans="1:13" ht="15">
      <c r="A732" s="979" t="s">
        <v>4611</v>
      </c>
      <c r="B732" s="722" t="str">
        <f>CONCATENATE(LEFT(RIGHT(CONCATENATE("000",IFAData_TEA!A732),6),3),"-",(RIGHT(RIGHT(CONCATENATE("000",IFAData_TEA!A732),6),3)))</f>
        <v>071-904</v>
      </c>
      <c r="C732" s="979" t="s">
        <v>2031</v>
      </c>
      <c r="D732" s="979">
        <v>8</v>
      </c>
      <c r="E732" s="979">
        <v>2295</v>
      </c>
      <c r="F732" s="979" t="s">
        <v>4616</v>
      </c>
      <c r="G732" s="979" t="s">
        <v>4616</v>
      </c>
      <c r="H732" s="1030">
        <v>837604</v>
      </c>
      <c r="I732" s="1030">
        <v>836513</v>
      </c>
      <c r="J732" s="1034">
        <v>1</v>
      </c>
      <c r="K732" s="1030">
        <v>837604</v>
      </c>
      <c r="L732" s="1030">
        <v>836513</v>
      </c>
      <c r="M732" s="979">
        <v>199</v>
      </c>
    </row>
    <row r="733" spans="1:13" ht="15">
      <c r="A733" s="979" t="s">
        <v>4611</v>
      </c>
      <c r="B733" s="722" t="str">
        <f>CONCATENATE(LEFT(RIGHT(CONCATENATE("000",IFAData_TEA!A733),6),3),"-",(RIGHT(RIGHT(CONCATENATE("000",IFAData_TEA!A733),6),3)))</f>
        <v>071-904</v>
      </c>
      <c r="C733" s="979" t="s">
        <v>2031</v>
      </c>
      <c r="D733" s="979">
        <v>2</v>
      </c>
      <c r="E733" s="979">
        <v>2293</v>
      </c>
      <c r="F733" s="979" t="s">
        <v>4612</v>
      </c>
      <c r="G733" s="979" t="s">
        <v>4612</v>
      </c>
      <c r="H733" s="1030">
        <v>204473</v>
      </c>
      <c r="I733" s="1030">
        <v>0</v>
      </c>
      <c r="J733" s="1034">
        <v>0</v>
      </c>
      <c r="K733" s="1030"/>
      <c r="L733" s="1030">
        <v>0</v>
      </c>
      <c r="M733" s="979">
        <v>199</v>
      </c>
    </row>
    <row r="734" spans="1:13" ht="15">
      <c r="A734" s="979" t="s">
        <v>4611</v>
      </c>
      <c r="B734" s="722" t="str">
        <f>CONCATENATE(LEFT(RIGHT(CONCATENATE("000",IFAData_TEA!A734),6),3),"-",(RIGHT(RIGHT(CONCATENATE("000",IFAData_TEA!A734),6),3)))</f>
        <v>071-904</v>
      </c>
      <c r="C734" s="979" t="s">
        <v>2031</v>
      </c>
      <c r="D734" s="979">
        <v>7</v>
      </c>
      <c r="E734" s="979">
        <v>2292</v>
      </c>
      <c r="F734" s="979" t="s">
        <v>4615</v>
      </c>
      <c r="G734" s="979" t="s">
        <v>4615</v>
      </c>
      <c r="H734" s="1030">
        <v>177544</v>
      </c>
      <c r="I734" s="1030">
        <v>170677</v>
      </c>
      <c r="J734" s="1034">
        <v>1</v>
      </c>
      <c r="K734" s="1030">
        <v>177544</v>
      </c>
      <c r="L734" s="1030">
        <v>170677</v>
      </c>
      <c r="M734" s="979">
        <v>199</v>
      </c>
    </row>
    <row r="735" spans="1:13" ht="15">
      <c r="A735" s="979" t="s">
        <v>4611</v>
      </c>
      <c r="B735" s="722" t="str">
        <f>CONCATENATE(LEFT(RIGHT(CONCATENATE("000",IFAData_TEA!A735),6),3),"-",(RIGHT(RIGHT(CONCATENATE("000",IFAData_TEA!A735),6),3)))</f>
        <v>071-904</v>
      </c>
      <c r="C735" s="979" t="s">
        <v>2031</v>
      </c>
      <c r="D735" s="979">
        <v>3</v>
      </c>
      <c r="E735" s="979">
        <v>2294</v>
      </c>
      <c r="F735" s="979" t="s">
        <v>4613</v>
      </c>
      <c r="G735" s="979" t="s">
        <v>4614</v>
      </c>
      <c r="H735" s="1030">
        <v>828370</v>
      </c>
      <c r="I735" s="1030">
        <v>725530</v>
      </c>
      <c r="J735" s="1034">
        <v>1</v>
      </c>
      <c r="K735" s="1030">
        <v>828370</v>
      </c>
      <c r="L735" s="1030">
        <v>725530</v>
      </c>
      <c r="M735" s="979">
        <v>199</v>
      </c>
    </row>
    <row r="736" spans="1:13" ht="15">
      <c r="A736" s="979" t="s">
        <v>4611</v>
      </c>
      <c r="B736" s="722" t="str">
        <f>CONCATENATE(LEFT(RIGHT(CONCATENATE("000",IFAData_TEA!A736),6),3),"-",(RIGHT(RIGHT(CONCATENATE("000",IFAData_TEA!A736),6),3)))</f>
        <v>071-904</v>
      </c>
      <c r="C736" s="979" t="s">
        <v>2031</v>
      </c>
      <c r="D736" s="979">
        <v>3</v>
      </c>
      <c r="E736" s="979">
        <v>2294</v>
      </c>
      <c r="F736" s="979" t="s">
        <v>4613</v>
      </c>
      <c r="G736" s="979" t="s">
        <v>4613</v>
      </c>
      <c r="H736" s="1030">
        <v>828370</v>
      </c>
      <c r="I736" s="1030">
        <v>0</v>
      </c>
      <c r="J736" s="1034">
        <v>0</v>
      </c>
      <c r="K736" s="1030">
        <v>0</v>
      </c>
      <c r="L736" s="1030">
        <v>0</v>
      </c>
      <c r="M736" s="979">
        <v>199</v>
      </c>
    </row>
    <row r="737" spans="1:13" ht="15">
      <c r="A737" s="979" t="s">
        <v>4617</v>
      </c>
      <c r="B737" s="722" t="str">
        <f>CONCATENATE(LEFT(RIGHT(CONCATENATE("000",IFAData_TEA!A737),6),3),"-",(RIGHT(RIGHT(CONCATENATE("000",IFAData_TEA!A737),6),3)))</f>
        <v>071-905</v>
      </c>
      <c r="C737" s="979" t="s">
        <v>760</v>
      </c>
      <c r="D737" s="979">
        <v>3</v>
      </c>
      <c r="E737" s="979">
        <v>2469</v>
      </c>
      <c r="F737" s="979" t="s">
        <v>4618</v>
      </c>
      <c r="G737" s="979" t="s">
        <v>4619</v>
      </c>
      <c r="H737" s="1030">
        <v>5086781</v>
      </c>
      <c r="I737" s="1030">
        <v>3535350</v>
      </c>
      <c r="J737" s="1034">
        <v>1</v>
      </c>
      <c r="K737" s="1030">
        <v>5086781</v>
      </c>
      <c r="L737" s="1030">
        <v>3535350</v>
      </c>
      <c r="M737" s="979">
        <v>199</v>
      </c>
    </row>
    <row r="738" spans="1:13" ht="15">
      <c r="A738" s="979" t="s">
        <v>4617</v>
      </c>
      <c r="B738" s="722" t="str">
        <f>CONCATENATE(LEFT(RIGHT(CONCATENATE("000",IFAData_TEA!A738),6),3),"-",(RIGHT(RIGHT(CONCATENATE("000",IFAData_TEA!A738),6),3)))</f>
        <v>071-905</v>
      </c>
      <c r="C738" s="979" t="s">
        <v>760</v>
      </c>
      <c r="D738" s="979">
        <v>3</v>
      </c>
      <c r="E738" s="979">
        <v>2469</v>
      </c>
      <c r="F738" s="979" t="s">
        <v>4618</v>
      </c>
      <c r="G738" s="979" t="s">
        <v>4618</v>
      </c>
      <c r="H738" s="1030">
        <v>5086781</v>
      </c>
      <c r="I738" s="1030">
        <v>0</v>
      </c>
      <c r="J738" s="1034">
        <v>0</v>
      </c>
      <c r="K738" s="1030">
        <v>0</v>
      </c>
      <c r="L738" s="1030">
        <v>0</v>
      </c>
      <c r="M738" s="979">
        <v>199</v>
      </c>
    </row>
    <row r="739" spans="1:13" ht="15">
      <c r="A739" s="979" t="s">
        <v>3499</v>
      </c>
      <c r="B739" s="722" t="str">
        <f>CONCATENATE(LEFT(RIGHT(CONCATENATE("000",IFAData_TEA!A739),6),3),"-",(RIGHT(RIGHT(CONCATENATE("000",IFAData_TEA!A739),6),3)))</f>
        <v>071-906</v>
      </c>
      <c r="C739" s="979" t="s">
        <v>132</v>
      </c>
      <c r="D739" s="979">
        <v>2</v>
      </c>
      <c r="E739" s="979">
        <v>1580</v>
      </c>
      <c r="F739" s="979" t="s">
        <v>4620</v>
      </c>
      <c r="G739" s="979" t="s">
        <v>4620</v>
      </c>
      <c r="H739" s="1030">
        <v>199299</v>
      </c>
      <c r="I739" s="1030">
        <v>0</v>
      </c>
      <c r="J739" s="1034">
        <v>0</v>
      </c>
      <c r="K739" s="1030">
        <v>0</v>
      </c>
      <c r="L739" s="1030">
        <v>0</v>
      </c>
      <c r="M739" s="979">
        <v>599</v>
      </c>
    </row>
    <row r="740" spans="1:13" ht="15">
      <c r="A740" s="979" t="s">
        <v>3499</v>
      </c>
      <c r="B740" s="722" t="str">
        <f>CONCATENATE(LEFT(RIGHT(CONCATENATE("000",IFAData_TEA!A740),6),3),"-",(RIGHT(RIGHT(CONCATENATE("000",IFAData_TEA!A740),6),3)))</f>
        <v>071-906</v>
      </c>
      <c r="C740" s="979" t="s">
        <v>132</v>
      </c>
      <c r="D740" s="979">
        <v>2</v>
      </c>
      <c r="E740" s="979">
        <v>1580</v>
      </c>
      <c r="F740" s="979" t="s">
        <v>4620</v>
      </c>
      <c r="G740" s="979" t="s">
        <v>4621</v>
      </c>
      <c r="H740" s="1030">
        <v>199299</v>
      </c>
      <c r="I740" s="1030">
        <v>273778</v>
      </c>
      <c r="J740" s="1034">
        <v>1</v>
      </c>
      <c r="K740" s="1030">
        <v>199299</v>
      </c>
      <c r="L740" s="1030">
        <v>199299</v>
      </c>
      <c r="M740" s="979">
        <v>599</v>
      </c>
    </row>
    <row r="741" spans="1:13" ht="15">
      <c r="A741" s="979" t="s">
        <v>3499</v>
      </c>
      <c r="B741" s="722" t="str">
        <f>CONCATENATE(LEFT(RIGHT(CONCATENATE("000",IFAData_TEA!A741),6),3),"-",(RIGHT(RIGHT(CONCATENATE("000",IFAData_TEA!A741),6),3)))</f>
        <v>071-906</v>
      </c>
      <c r="C741" s="979" t="s">
        <v>132</v>
      </c>
      <c r="D741" s="979">
        <v>3</v>
      </c>
      <c r="E741" s="979">
        <v>1579</v>
      </c>
      <c r="F741" s="979" t="s">
        <v>4622</v>
      </c>
      <c r="G741" s="979" t="s">
        <v>4622</v>
      </c>
      <c r="H741" s="1030">
        <v>91971</v>
      </c>
      <c r="I741" s="1030">
        <v>0</v>
      </c>
      <c r="J741" s="1034">
        <v>0</v>
      </c>
      <c r="K741" s="1030"/>
      <c r="L741" s="1030">
        <v>0</v>
      </c>
      <c r="M741" s="979">
        <v>199</v>
      </c>
    </row>
    <row r="742" spans="1:13" ht="15">
      <c r="A742" s="979" t="s">
        <v>3500</v>
      </c>
      <c r="B742" s="722" t="str">
        <f>CONCATENATE(LEFT(RIGHT(CONCATENATE("000",IFAData_TEA!A742),6),3),"-",(RIGHT(RIGHT(CONCATENATE("000",IFAData_TEA!A742),6),3)))</f>
        <v>071-907</v>
      </c>
      <c r="C742" s="979" t="s">
        <v>653</v>
      </c>
      <c r="D742" s="979">
        <v>5</v>
      </c>
      <c r="E742" s="979">
        <v>1662</v>
      </c>
      <c r="F742" s="979" t="s">
        <v>4623</v>
      </c>
      <c r="G742" s="979" t="s">
        <v>4626</v>
      </c>
      <c r="H742" s="1030">
        <v>1070895</v>
      </c>
      <c r="I742" s="1030">
        <v>204161</v>
      </c>
      <c r="J742" s="1034">
        <v>0.14145881459535189</v>
      </c>
      <c r="K742" s="1030">
        <v>151487.53725608936</v>
      </c>
      <c r="L742" s="1030">
        <v>151487.53725608936</v>
      </c>
      <c r="M742" s="979">
        <v>599</v>
      </c>
    </row>
    <row r="743" spans="1:13" ht="15">
      <c r="A743" s="979" t="s">
        <v>3500</v>
      </c>
      <c r="B743" s="722" t="str">
        <f>CONCATENATE(LEFT(RIGHT(CONCATENATE("000",IFAData_TEA!A743),6),3),"-",(RIGHT(RIGHT(CONCATENATE("000",IFAData_TEA!A743),6),3)))</f>
        <v>071-907</v>
      </c>
      <c r="C743" s="979" t="s">
        <v>653</v>
      </c>
      <c r="D743" s="979">
        <v>5</v>
      </c>
      <c r="E743" s="979">
        <v>1662</v>
      </c>
      <c r="F743" s="979" t="s">
        <v>4623</v>
      </c>
      <c r="G743" s="979" t="s">
        <v>4623</v>
      </c>
      <c r="H743" s="1030">
        <v>1070895</v>
      </c>
      <c r="I743" s="1030">
        <v>0</v>
      </c>
      <c r="J743" s="1034">
        <v>0</v>
      </c>
      <c r="K743" s="1030">
        <v>0</v>
      </c>
      <c r="L743" s="1030">
        <v>0</v>
      </c>
      <c r="M743" s="979">
        <v>599</v>
      </c>
    </row>
    <row r="744" spans="1:13" ht="15">
      <c r="A744" s="979" t="s">
        <v>3500</v>
      </c>
      <c r="B744" s="722" t="str">
        <f>CONCATENATE(LEFT(RIGHT(CONCATENATE("000",IFAData_TEA!A744),6),3),"-",(RIGHT(RIGHT(CONCATENATE("000",IFAData_TEA!A744),6),3)))</f>
        <v>071-907</v>
      </c>
      <c r="C744" s="979" t="s">
        <v>653</v>
      </c>
      <c r="D744" s="979">
        <v>5</v>
      </c>
      <c r="E744" s="979">
        <v>1662</v>
      </c>
      <c r="F744" s="979" t="s">
        <v>4623</v>
      </c>
      <c r="G744" s="979" t="s">
        <v>4625</v>
      </c>
      <c r="H744" s="1030">
        <v>1070895</v>
      </c>
      <c r="I744" s="1030">
        <v>1239093</v>
      </c>
      <c r="J744" s="1034">
        <v>0.85854118540464808</v>
      </c>
      <c r="K744" s="1030">
        <v>919407.46274391061</v>
      </c>
      <c r="L744" s="1030">
        <v>919407.46274391061</v>
      </c>
      <c r="M744" s="979">
        <v>599</v>
      </c>
    </row>
    <row r="745" spans="1:13" ht="15">
      <c r="A745" s="979" t="s">
        <v>3500</v>
      </c>
      <c r="B745" s="722" t="str">
        <f>CONCATENATE(LEFT(RIGHT(CONCATENATE("000",IFAData_TEA!A745),6),3),"-",(RIGHT(RIGHT(CONCATENATE("000",IFAData_TEA!A745),6),3)))</f>
        <v>071-907</v>
      </c>
      <c r="C745" s="979" t="s">
        <v>653</v>
      </c>
      <c r="D745" s="979">
        <v>5</v>
      </c>
      <c r="E745" s="979">
        <v>1662</v>
      </c>
      <c r="F745" s="979" t="s">
        <v>4623</v>
      </c>
      <c r="G745" s="979" t="s">
        <v>4624</v>
      </c>
      <c r="H745" s="1030">
        <v>1070895</v>
      </c>
      <c r="I745" s="1030">
        <v>0</v>
      </c>
      <c r="J745" s="1034">
        <v>0</v>
      </c>
      <c r="K745" s="1030">
        <v>0</v>
      </c>
      <c r="L745" s="1030">
        <v>0</v>
      </c>
      <c r="M745" s="979">
        <v>599</v>
      </c>
    </row>
    <row r="746" spans="1:13" ht="15">
      <c r="A746" s="979" t="s">
        <v>3501</v>
      </c>
      <c r="B746" s="722" t="str">
        <f>CONCATENATE(LEFT(RIGHT(CONCATENATE("000",IFAData_TEA!A746),6),3),"-",(RIGHT(RIGHT(CONCATENATE("000",IFAData_TEA!A746),6),3)))</f>
        <v>071-908</v>
      </c>
      <c r="C746" s="979" t="s">
        <v>606</v>
      </c>
      <c r="D746" s="979">
        <v>1</v>
      </c>
      <c r="E746" s="979">
        <v>2396</v>
      </c>
      <c r="F746" s="979" t="s">
        <v>4627</v>
      </c>
      <c r="G746" s="979" t="s">
        <v>4627</v>
      </c>
      <c r="H746" s="1030">
        <v>44910</v>
      </c>
      <c r="I746" s="1030">
        <v>0</v>
      </c>
      <c r="J746" s="1034">
        <v>0</v>
      </c>
      <c r="K746" s="1030">
        <v>0</v>
      </c>
      <c r="L746" s="1030">
        <v>0</v>
      </c>
      <c r="M746" s="979">
        <v>599</v>
      </c>
    </row>
    <row r="747" spans="1:13" ht="15">
      <c r="A747" s="979" t="s">
        <v>3501</v>
      </c>
      <c r="B747" s="722" t="str">
        <f>CONCATENATE(LEFT(RIGHT(CONCATENATE("000",IFAData_TEA!A747),6),3),"-",(RIGHT(RIGHT(CONCATENATE("000",IFAData_TEA!A747),6),3)))</f>
        <v>071-908</v>
      </c>
      <c r="C747" s="979" t="s">
        <v>606</v>
      </c>
      <c r="D747" s="979">
        <v>8</v>
      </c>
      <c r="E747" s="979">
        <v>2399</v>
      </c>
      <c r="F747" s="979" t="s">
        <v>4634</v>
      </c>
      <c r="G747" s="979" t="s">
        <v>4635</v>
      </c>
      <c r="H747" s="1030">
        <v>317310</v>
      </c>
      <c r="I747" s="1030">
        <v>146775</v>
      </c>
      <c r="J747" s="1034">
        <v>0.49290571740408023</v>
      </c>
      <c r="K747" s="1030">
        <v>156403.9131894887</v>
      </c>
      <c r="L747" s="1030">
        <v>146775</v>
      </c>
      <c r="M747" s="979">
        <v>599</v>
      </c>
    </row>
    <row r="748" spans="1:13" ht="15">
      <c r="A748" s="979" t="s">
        <v>3501</v>
      </c>
      <c r="B748" s="722" t="str">
        <f>CONCATENATE(LEFT(RIGHT(CONCATENATE("000",IFAData_TEA!A748),6),3),"-",(RIGHT(RIGHT(CONCATENATE("000",IFAData_TEA!A748),6),3)))</f>
        <v>071-908</v>
      </c>
      <c r="C748" s="979" t="s">
        <v>606</v>
      </c>
      <c r="D748" s="979">
        <v>5</v>
      </c>
      <c r="E748" s="979">
        <v>2398</v>
      </c>
      <c r="F748" s="979" t="s">
        <v>4632</v>
      </c>
      <c r="G748" s="979" t="s">
        <v>4632</v>
      </c>
      <c r="H748" s="1030">
        <v>229390</v>
      </c>
      <c r="I748" s="1030">
        <v>0</v>
      </c>
      <c r="J748" s="1034">
        <v>0</v>
      </c>
      <c r="K748" s="1030">
        <v>0</v>
      </c>
      <c r="L748" s="1030">
        <v>0</v>
      </c>
      <c r="M748" s="979">
        <v>599</v>
      </c>
    </row>
    <row r="749" spans="1:13" ht="15">
      <c r="A749" s="979" t="s">
        <v>3501</v>
      </c>
      <c r="B749" s="722" t="str">
        <f>CONCATENATE(LEFT(RIGHT(CONCATENATE("000",IFAData_TEA!A749),6),3),"-",(RIGHT(RIGHT(CONCATENATE("000",IFAData_TEA!A749),6),3)))</f>
        <v>071-908</v>
      </c>
      <c r="C749" s="979" t="s">
        <v>606</v>
      </c>
      <c r="D749" s="979">
        <v>3</v>
      </c>
      <c r="E749" s="979">
        <v>2395</v>
      </c>
      <c r="F749" s="979" t="s">
        <v>4630</v>
      </c>
      <c r="G749" s="979" t="s">
        <v>4629</v>
      </c>
      <c r="H749" s="1030">
        <v>37010</v>
      </c>
      <c r="I749" s="1030">
        <v>8988</v>
      </c>
      <c r="J749" s="1034">
        <v>0.32216208466253271</v>
      </c>
      <c r="K749" s="1030">
        <v>11923.218753360336</v>
      </c>
      <c r="L749" s="1030">
        <v>8988</v>
      </c>
      <c r="M749" s="979">
        <v>599</v>
      </c>
    </row>
    <row r="750" spans="1:13" ht="15">
      <c r="A750" s="979" t="s">
        <v>3501</v>
      </c>
      <c r="B750" s="722" t="str">
        <f>CONCATENATE(LEFT(RIGHT(CONCATENATE("000",IFAData_TEA!A750),6),3),"-",(RIGHT(RIGHT(CONCATENATE("000",IFAData_TEA!A750),6),3)))</f>
        <v>071-908</v>
      </c>
      <c r="C750" s="979" t="s">
        <v>606</v>
      </c>
      <c r="D750" s="979">
        <v>4</v>
      </c>
      <c r="E750" s="979">
        <v>2397</v>
      </c>
      <c r="F750" s="979" t="s">
        <v>4631</v>
      </c>
      <c r="G750" s="979" t="s">
        <v>4629</v>
      </c>
      <c r="H750" s="1030">
        <v>170176</v>
      </c>
      <c r="I750" s="1030">
        <v>70023</v>
      </c>
      <c r="J750" s="1034">
        <v>0.43818052113839451</v>
      </c>
      <c r="K750" s="1030">
        <v>74567.808365247431</v>
      </c>
      <c r="L750" s="1030">
        <v>70023</v>
      </c>
      <c r="M750" s="979">
        <v>599</v>
      </c>
    </row>
    <row r="751" spans="1:13" ht="15">
      <c r="A751" s="979" t="s">
        <v>3501</v>
      </c>
      <c r="B751" s="722" t="str">
        <f>CONCATENATE(LEFT(RIGHT(CONCATENATE("000",IFAData_TEA!A751),6),3),"-",(RIGHT(RIGHT(CONCATENATE("000",IFAData_TEA!A751),6),3)))</f>
        <v>071-908</v>
      </c>
      <c r="C751" s="979" t="s">
        <v>606</v>
      </c>
      <c r="D751" s="979">
        <v>8</v>
      </c>
      <c r="E751" s="979">
        <v>2399</v>
      </c>
      <c r="F751" s="979" t="s">
        <v>4634</v>
      </c>
      <c r="G751" s="979" t="s">
        <v>4634</v>
      </c>
      <c r="H751" s="1030">
        <v>317310</v>
      </c>
      <c r="I751" s="1030">
        <v>151000</v>
      </c>
      <c r="J751" s="1034">
        <v>0.50709428259591971</v>
      </c>
      <c r="K751" s="1030">
        <v>160906.08681051127</v>
      </c>
      <c r="L751" s="1030">
        <v>151000</v>
      </c>
      <c r="M751" s="979">
        <v>599</v>
      </c>
    </row>
    <row r="752" spans="1:13" ht="15">
      <c r="A752" s="979" t="s">
        <v>3501</v>
      </c>
      <c r="B752" s="722" t="str">
        <f>CONCATENATE(LEFT(RIGHT(CONCATENATE("000",IFAData_TEA!A752),6),3),"-",(RIGHT(RIGHT(CONCATENATE("000",IFAData_TEA!A752),6),3)))</f>
        <v>071-908</v>
      </c>
      <c r="C752" s="979" t="s">
        <v>606</v>
      </c>
      <c r="D752" s="979">
        <v>3</v>
      </c>
      <c r="E752" s="979">
        <v>2395</v>
      </c>
      <c r="F752" s="979" t="s">
        <v>4630</v>
      </c>
      <c r="G752" s="979" t="s">
        <v>4628</v>
      </c>
      <c r="H752" s="1030">
        <v>37010</v>
      </c>
      <c r="I752" s="1030">
        <v>18911</v>
      </c>
      <c r="J752" s="1034">
        <v>0.67783791533746729</v>
      </c>
      <c r="K752" s="1030">
        <v>25086.781246639664</v>
      </c>
      <c r="L752" s="1030">
        <v>18911</v>
      </c>
      <c r="M752" s="979">
        <v>599</v>
      </c>
    </row>
    <row r="753" spans="1:13" ht="15">
      <c r="A753" s="979" t="s">
        <v>3501</v>
      </c>
      <c r="B753" s="722" t="str">
        <f>CONCATENATE(LEFT(RIGHT(CONCATENATE("000",IFAData_TEA!A753),6),3),"-",(RIGHT(RIGHT(CONCATENATE("000",IFAData_TEA!A753),6),3)))</f>
        <v>071-908</v>
      </c>
      <c r="C753" s="979" t="s">
        <v>606</v>
      </c>
      <c r="D753" s="979">
        <v>1</v>
      </c>
      <c r="E753" s="979">
        <v>2396</v>
      </c>
      <c r="F753" s="979" t="s">
        <v>4627</v>
      </c>
      <c r="G753" s="979" t="s">
        <v>4628</v>
      </c>
      <c r="H753" s="1030">
        <v>44910</v>
      </c>
      <c r="I753" s="1030">
        <v>19030</v>
      </c>
      <c r="J753" s="1034">
        <v>0.631407810478118</v>
      </c>
      <c r="K753" s="1030">
        <v>28356.524768572279</v>
      </c>
      <c r="L753" s="1030">
        <v>19030</v>
      </c>
      <c r="M753" s="979">
        <v>599</v>
      </c>
    </row>
    <row r="754" spans="1:13" ht="15">
      <c r="A754" s="979" t="s">
        <v>3501</v>
      </c>
      <c r="B754" s="722" t="str">
        <f>CONCATENATE(LEFT(RIGHT(CONCATENATE("000",IFAData_TEA!A754),6),3),"-",(RIGHT(RIGHT(CONCATENATE("000",IFAData_TEA!A754),6),3)))</f>
        <v>071-908</v>
      </c>
      <c r="C754" s="979" t="s">
        <v>606</v>
      </c>
      <c r="D754" s="979">
        <v>4</v>
      </c>
      <c r="E754" s="979">
        <v>2397</v>
      </c>
      <c r="F754" s="979" t="s">
        <v>4631</v>
      </c>
      <c r="G754" s="979" t="s">
        <v>4628</v>
      </c>
      <c r="H754" s="1030">
        <v>170176</v>
      </c>
      <c r="I754" s="1030">
        <v>89781</v>
      </c>
      <c r="J754" s="1034">
        <v>0.56181947886160544</v>
      </c>
      <c r="K754" s="1030">
        <v>95608.191634752569</v>
      </c>
      <c r="L754" s="1030">
        <v>89781</v>
      </c>
      <c r="M754" s="979">
        <v>599</v>
      </c>
    </row>
    <row r="755" spans="1:13" ht="15">
      <c r="A755" s="979" t="s">
        <v>3501</v>
      </c>
      <c r="B755" s="722" t="str">
        <f>CONCATENATE(LEFT(RIGHT(CONCATENATE("000",IFAData_TEA!A755),6),3),"-",(RIGHT(RIGHT(CONCATENATE("000",IFAData_TEA!A755),6),3)))</f>
        <v>071-908</v>
      </c>
      <c r="C755" s="979" t="s">
        <v>606</v>
      </c>
      <c r="D755" s="979">
        <v>1</v>
      </c>
      <c r="E755" s="979">
        <v>2396</v>
      </c>
      <c r="F755" s="979" t="s">
        <v>4627</v>
      </c>
      <c r="G755" s="979" t="s">
        <v>4629</v>
      </c>
      <c r="H755" s="1030">
        <v>44910</v>
      </c>
      <c r="I755" s="1030">
        <v>11109</v>
      </c>
      <c r="J755" s="1034">
        <v>0.36859218952188194</v>
      </c>
      <c r="K755" s="1030">
        <v>16553.475231427718</v>
      </c>
      <c r="L755" s="1030">
        <v>11109</v>
      </c>
      <c r="M755" s="979">
        <v>599</v>
      </c>
    </row>
    <row r="756" spans="1:13" ht="15">
      <c r="A756" s="979" t="s">
        <v>3501</v>
      </c>
      <c r="B756" s="722" t="str">
        <f>CONCATENATE(LEFT(RIGHT(CONCATENATE("000",IFAData_TEA!A756),6),3),"-",(RIGHT(RIGHT(CONCATENATE("000",IFAData_TEA!A756),6),3)))</f>
        <v>071-908</v>
      </c>
      <c r="C756" s="979" t="s">
        <v>606</v>
      </c>
      <c r="D756" s="979">
        <v>4</v>
      </c>
      <c r="E756" s="979">
        <v>2397</v>
      </c>
      <c r="F756" s="979" t="s">
        <v>4631</v>
      </c>
      <c r="G756" s="979" t="s">
        <v>4631</v>
      </c>
      <c r="H756" s="1030">
        <v>170176</v>
      </c>
      <c r="I756" s="1030">
        <v>0</v>
      </c>
      <c r="J756" s="1034">
        <v>0</v>
      </c>
      <c r="K756" s="1030">
        <v>0</v>
      </c>
      <c r="L756" s="1030">
        <v>0</v>
      </c>
      <c r="M756" s="979">
        <v>599</v>
      </c>
    </row>
    <row r="757" spans="1:13" ht="15">
      <c r="A757" s="979" t="s">
        <v>3501</v>
      </c>
      <c r="B757" s="722" t="str">
        <f>CONCATENATE(LEFT(RIGHT(CONCATENATE("000",IFAData_TEA!A757),6),3),"-",(RIGHT(RIGHT(CONCATENATE("000",IFAData_TEA!A757),6),3)))</f>
        <v>071-908</v>
      </c>
      <c r="C757" s="979" t="s">
        <v>606</v>
      </c>
      <c r="D757" s="979">
        <v>3</v>
      </c>
      <c r="E757" s="979">
        <v>2395</v>
      </c>
      <c r="F757" s="979" t="s">
        <v>4630</v>
      </c>
      <c r="G757" s="979" t="s">
        <v>4630</v>
      </c>
      <c r="H757" s="1030">
        <v>37010</v>
      </c>
      <c r="I757" s="1030">
        <v>0</v>
      </c>
      <c r="J757" s="1034">
        <v>0</v>
      </c>
      <c r="K757" s="1030">
        <v>0</v>
      </c>
      <c r="L757" s="1030">
        <v>0</v>
      </c>
      <c r="M757" s="979">
        <v>599</v>
      </c>
    </row>
    <row r="758" spans="1:13" ht="15">
      <c r="A758" s="979" t="s">
        <v>3501</v>
      </c>
      <c r="B758" s="722" t="str">
        <f>CONCATENATE(LEFT(RIGHT(CONCATENATE("000",IFAData_TEA!A758),6),3),"-",(RIGHT(RIGHT(CONCATENATE("000",IFAData_TEA!A758),6),3)))</f>
        <v>071-908</v>
      </c>
      <c r="C758" s="979" t="s">
        <v>606</v>
      </c>
      <c r="D758" s="979">
        <v>5</v>
      </c>
      <c r="E758" s="979">
        <v>2398</v>
      </c>
      <c r="F758" s="979" t="s">
        <v>4632</v>
      </c>
      <c r="G758" s="979" t="s">
        <v>4633</v>
      </c>
      <c r="H758" s="1030">
        <v>229390</v>
      </c>
      <c r="I758" s="1030">
        <v>210541</v>
      </c>
      <c r="J758" s="1034">
        <v>1</v>
      </c>
      <c r="K758" s="1030">
        <v>229390</v>
      </c>
      <c r="L758" s="1030">
        <v>210541</v>
      </c>
      <c r="M758" s="979">
        <v>599</v>
      </c>
    </row>
    <row r="759" spans="1:13" ht="15">
      <c r="A759" s="979" t="s">
        <v>3502</v>
      </c>
      <c r="B759" s="722" t="str">
        <f>CONCATENATE(LEFT(RIGHT(CONCATENATE("000",IFAData_TEA!A759),6),3),"-",(RIGHT(RIGHT(CONCATENATE("000",IFAData_TEA!A759),6),3)))</f>
        <v>071-909</v>
      </c>
      <c r="C759" s="979" t="s">
        <v>1930</v>
      </c>
      <c r="D759" s="979">
        <v>5</v>
      </c>
      <c r="E759" s="979">
        <v>2348</v>
      </c>
      <c r="F759" s="979" t="s">
        <v>4643</v>
      </c>
      <c r="G759" s="979" t="s">
        <v>4645</v>
      </c>
      <c r="H759" s="1030">
        <v>2358164</v>
      </c>
      <c r="I759" s="1030">
        <v>480873</v>
      </c>
      <c r="J759" s="1034">
        <v>0.22683009665231113</v>
      </c>
      <c r="K759" s="1030">
        <v>534902.56804200064</v>
      </c>
      <c r="L759" s="1030">
        <v>480873</v>
      </c>
      <c r="M759" s="979">
        <v>599</v>
      </c>
    </row>
    <row r="760" spans="1:13" ht="15">
      <c r="A760" s="979" t="s">
        <v>3502</v>
      </c>
      <c r="B760" s="722" t="str">
        <f>CONCATENATE(LEFT(RIGHT(CONCATENATE("000",IFAData_TEA!A760),6),3),"-",(RIGHT(RIGHT(CONCATENATE("000",IFAData_TEA!A760),6),3)))</f>
        <v>071-909</v>
      </c>
      <c r="C760" s="979" t="s">
        <v>1930</v>
      </c>
      <c r="D760" s="979">
        <v>2</v>
      </c>
      <c r="E760" s="979">
        <v>2346</v>
      </c>
      <c r="F760" s="979" t="s">
        <v>4636</v>
      </c>
      <c r="G760" s="979" t="s">
        <v>4637</v>
      </c>
      <c r="H760" s="1030">
        <v>1524945</v>
      </c>
      <c r="I760" s="1030">
        <v>962615</v>
      </c>
      <c r="J760" s="1034">
        <v>0.63239028107621609</v>
      </c>
      <c r="K760" s="1030">
        <v>964360.39717577037</v>
      </c>
      <c r="L760" s="1030">
        <v>962615</v>
      </c>
      <c r="M760" s="979">
        <v>599</v>
      </c>
    </row>
    <row r="761" spans="1:13" ht="15">
      <c r="A761" s="979" t="s">
        <v>3502</v>
      </c>
      <c r="B761" s="722" t="str">
        <f>CONCATENATE(LEFT(RIGHT(CONCATENATE("000",IFAData_TEA!A761),6),3),"-",(RIGHT(RIGHT(CONCATENATE("000",IFAData_TEA!A761),6),3)))</f>
        <v>071-909</v>
      </c>
      <c r="C761" s="979" t="s">
        <v>1930</v>
      </c>
      <c r="D761" s="979">
        <v>4</v>
      </c>
      <c r="E761" s="979">
        <v>2347</v>
      </c>
      <c r="F761" s="979" t="s">
        <v>4640</v>
      </c>
      <c r="G761" s="979" t="s">
        <v>4639</v>
      </c>
      <c r="H761" s="1030">
        <v>1767522</v>
      </c>
      <c r="I761" s="1030">
        <v>442052</v>
      </c>
      <c r="J761" s="1034">
        <v>0.23853198137942683</v>
      </c>
      <c r="K761" s="1030">
        <v>421610.52479172725</v>
      </c>
      <c r="L761" s="1030">
        <v>421610.52479172725</v>
      </c>
      <c r="M761" s="979">
        <v>599</v>
      </c>
    </row>
    <row r="762" spans="1:13" ht="15">
      <c r="A762" s="979" t="s">
        <v>3502</v>
      </c>
      <c r="B762" s="722" t="str">
        <f>CONCATENATE(LEFT(RIGHT(CONCATENATE("000",IFAData_TEA!A762),6),3),"-",(RIGHT(RIGHT(CONCATENATE("000",IFAData_TEA!A762),6),3)))</f>
        <v>071-909</v>
      </c>
      <c r="C762" s="979" t="s">
        <v>1930</v>
      </c>
      <c r="D762" s="979">
        <v>5</v>
      </c>
      <c r="E762" s="979">
        <v>2348</v>
      </c>
      <c r="F762" s="979" t="s">
        <v>4643</v>
      </c>
      <c r="G762" s="979" t="s">
        <v>4638</v>
      </c>
      <c r="H762" s="1030">
        <v>2358164</v>
      </c>
      <c r="I762" s="1030">
        <v>1479972</v>
      </c>
      <c r="J762" s="1034">
        <v>0.69810987891338083</v>
      </c>
      <c r="K762" s="1030">
        <v>1646257.5844978937</v>
      </c>
      <c r="L762" s="1030">
        <v>1479972</v>
      </c>
      <c r="M762" s="979">
        <v>599</v>
      </c>
    </row>
    <row r="763" spans="1:13" ht="15">
      <c r="A763" s="979" t="s">
        <v>3502</v>
      </c>
      <c r="B763" s="722" t="str">
        <f>CONCATENATE(LEFT(RIGHT(CONCATENATE("000",IFAData_TEA!A763),6),3),"-",(RIGHT(RIGHT(CONCATENATE("000",IFAData_TEA!A763),6),3)))</f>
        <v>071-909</v>
      </c>
      <c r="C763" s="979" t="s">
        <v>1930</v>
      </c>
      <c r="D763" s="979">
        <v>4</v>
      </c>
      <c r="E763" s="979">
        <v>2349</v>
      </c>
      <c r="F763" s="979" t="s">
        <v>4642</v>
      </c>
      <c r="G763" s="979" t="s">
        <v>4638</v>
      </c>
      <c r="H763" s="1030">
        <v>3395093</v>
      </c>
      <c r="I763" s="1030">
        <v>0</v>
      </c>
      <c r="J763" s="1034">
        <v>0</v>
      </c>
      <c r="K763" s="1030">
        <v>0</v>
      </c>
      <c r="L763" s="1030">
        <v>0</v>
      </c>
      <c r="M763" s="979">
        <v>599</v>
      </c>
    </row>
    <row r="764" spans="1:13" ht="15">
      <c r="A764" s="979" t="s">
        <v>3502</v>
      </c>
      <c r="B764" s="722" t="str">
        <f>CONCATENATE(LEFT(RIGHT(CONCATENATE("000",IFAData_TEA!A764),6),3),"-",(RIGHT(RIGHT(CONCATENATE("000",IFAData_TEA!A764),6),3)))</f>
        <v>071-909</v>
      </c>
      <c r="C764" s="979" t="s">
        <v>1930</v>
      </c>
      <c r="D764" s="979">
        <v>2</v>
      </c>
      <c r="E764" s="979">
        <v>2346</v>
      </c>
      <c r="F764" s="979" t="s">
        <v>4636</v>
      </c>
      <c r="G764" s="979" t="s">
        <v>4638</v>
      </c>
      <c r="H764" s="1030">
        <v>1524945</v>
      </c>
      <c r="I764" s="1030">
        <v>130004</v>
      </c>
      <c r="J764" s="1034">
        <v>8.5406175990434804E-2</v>
      </c>
      <c r="K764" s="1030">
        <v>130239.7210457336</v>
      </c>
      <c r="L764" s="1030">
        <v>130004</v>
      </c>
      <c r="M764" s="979">
        <v>599</v>
      </c>
    </row>
    <row r="765" spans="1:13" ht="15">
      <c r="A765" s="979" t="s">
        <v>3502</v>
      </c>
      <c r="B765" s="722" t="str">
        <f>CONCATENATE(LEFT(RIGHT(CONCATENATE("000",IFAData_TEA!A765),6),3),"-",(RIGHT(RIGHT(CONCATENATE("000",IFAData_TEA!A765),6),3)))</f>
        <v>071-909</v>
      </c>
      <c r="C765" s="979" t="s">
        <v>1930</v>
      </c>
      <c r="D765" s="979">
        <v>2</v>
      </c>
      <c r="E765" s="979">
        <v>2346</v>
      </c>
      <c r="F765" s="979" t="s">
        <v>4636</v>
      </c>
      <c r="G765" s="979" t="s">
        <v>4636</v>
      </c>
      <c r="H765" s="1030">
        <v>1524945</v>
      </c>
      <c r="I765" s="1030">
        <v>0</v>
      </c>
      <c r="J765" s="1034">
        <v>0</v>
      </c>
      <c r="K765" s="1030">
        <v>0</v>
      </c>
      <c r="L765" s="1030">
        <v>0</v>
      </c>
      <c r="M765" s="979">
        <v>599</v>
      </c>
    </row>
    <row r="766" spans="1:13" ht="15">
      <c r="A766" s="979" t="s">
        <v>3502</v>
      </c>
      <c r="B766" s="722" t="str">
        <f>CONCATENATE(LEFT(RIGHT(CONCATENATE("000",IFAData_TEA!A766),6),3),"-",(RIGHT(RIGHT(CONCATENATE("000",IFAData_TEA!A766),6),3)))</f>
        <v>071-909</v>
      </c>
      <c r="C766" s="979" t="s">
        <v>1930</v>
      </c>
      <c r="D766" s="979">
        <v>4</v>
      </c>
      <c r="E766" s="979">
        <v>2347</v>
      </c>
      <c r="F766" s="979" t="s">
        <v>4640</v>
      </c>
      <c r="G766" s="979" t="s">
        <v>4637</v>
      </c>
      <c r="H766" s="1030">
        <v>1767522</v>
      </c>
      <c r="I766" s="1030">
        <v>1245115</v>
      </c>
      <c r="J766" s="1034">
        <v>0.6718660881417684</v>
      </c>
      <c r="K766" s="1030">
        <v>1187538.0918445147</v>
      </c>
      <c r="L766" s="1030">
        <v>1187538.0918445147</v>
      </c>
      <c r="M766" s="979">
        <v>599</v>
      </c>
    </row>
    <row r="767" spans="1:13" ht="15">
      <c r="A767" s="979" t="s">
        <v>3502</v>
      </c>
      <c r="B767" s="722" t="str">
        <f>CONCATENATE(LEFT(RIGHT(CONCATENATE("000",IFAData_TEA!A767),6),3),"-",(RIGHT(RIGHT(CONCATENATE("000",IFAData_TEA!A767),6),3)))</f>
        <v>071-909</v>
      </c>
      <c r="C767" s="979" t="s">
        <v>1930</v>
      </c>
      <c r="D767" s="979">
        <v>5</v>
      </c>
      <c r="E767" s="979">
        <v>2348</v>
      </c>
      <c r="F767" s="979" t="s">
        <v>4643</v>
      </c>
      <c r="G767" s="979" t="s">
        <v>4644</v>
      </c>
      <c r="H767" s="1030">
        <v>2358164</v>
      </c>
      <c r="I767" s="1030">
        <v>159125</v>
      </c>
      <c r="J767" s="1034">
        <v>7.5060024434308037E-2</v>
      </c>
      <c r="K767" s="1030">
        <v>177003.84746010558</v>
      </c>
      <c r="L767" s="1030">
        <v>159125</v>
      </c>
      <c r="M767" s="979">
        <v>599</v>
      </c>
    </row>
    <row r="768" spans="1:13" ht="15">
      <c r="A768" s="979" t="s">
        <v>3502</v>
      </c>
      <c r="B768" s="722" t="str">
        <f>CONCATENATE(LEFT(RIGHT(CONCATENATE("000",IFAData_TEA!A768),6),3),"-",(RIGHT(RIGHT(CONCATENATE("000",IFAData_TEA!A768),6),3)))</f>
        <v>071-909</v>
      </c>
      <c r="C768" s="979" t="s">
        <v>1930</v>
      </c>
      <c r="D768" s="979">
        <v>4</v>
      </c>
      <c r="E768" s="979">
        <v>2347</v>
      </c>
      <c r="F768" s="979" t="s">
        <v>4640</v>
      </c>
      <c r="G768" s="979" t="s">
        <v>4641</v>
      </c>
      <c r="H768" s="1030">
        <v>1767522</v>
      </c>
      <c r="I768" s="1030">
        <v>57349</v>
      </c>
      <c r="J768" s="1034">
        <v>3.0945614090941223E-2</v>
      </c>
      <c r="K768" s="1030">
        <v>54697.053709248612</v>
      </c>
      <c r="L768" s="1030">
        <v>54697.053709248612</v>
      </c>
      <c r="M768" s="979">
        <v>599</v>
      </c>
    </row>
    <row r="769" spans="1:13" ht="15">
      <c r="A769" s="979" t="s">
        <v>3502</v>
      </c>
      <c r="B769" s="722" t="str">
        <f>CONCATENATE(LEFT(RIGHT(CONCATENATE("000",IFAData_TEA!A769),6),3),"-",(RIGHT(RIGHT(CONCATENATE("000",IFAData_TEA!A769),6),3)))</f>
        <v>071-909</v>
      </c>
      <c r="C769" s="979" t="s">
        <v>1930</v>
      </c>
      <c r="D769" s="979">
        <v>5</v>
      </c>
      <c r="E769" s="979">
        <v>2348</v>
      </c>
      <c r="F769" s="979" t="s">
        <v>4643</v>
      </c>
      <c r="G769" s="979" t="s">
        <v>4643</v>
      </c>
      <c r="H769" s="1030">
        <v>2358164</v>
      </c>
      <c r="I769" s="1030">
        <v>0</v>
      </c>
      <c r="J769" s="1034">
        <v>0</v>
      </c>
      <c r="K769" s="1030">
        <v>0</v>
      </c>
      <c r="L769" s="1030">
        <v>0</v>
      </c>
      <c r="M769" s="979">
        <v>599</v>
      </c>
    </row>
    <row r="770" spans="1:13" ht="15">
      <c r="A770" s="979" t="s">
        <v>3502</v>
      </c>
      <c r="B770" s="722" t="str">
        <f>CONCATENATE(LEFT(RIGHT(CONCATENATE("000",IFAData_TEA!A770),6),3),"-",(RIGHT(RIGHT(CONCATENATE("000",IFAData_TEA!A770),6),3)))</f>
        <v>071-909</v>
      </c>
      <c r="C770" s="979" t="s">
        <v>1930</v>
      </c>
      <c r="D770" s="979">
        <v>4</v>
      </c>
      <c r="E770" s="979">
        <v>2347</v>
      </c>
      <c r="F770" s="979" t="s">
        <v>4640</v>
      </c>
      <c r="G770" s="979" t="s">
        <v>4640</v>
      </c>
      <c r="H770" s="1030">
        <v>1767522</v>
      </c>
      <c r="I770" s="1030">
        <v>0</v>
      </c>
      <c r="J770" s="1034">
        <v>0</v>
      </c>
      <c r="K770" s="1030">
        <v>0</v>
      </c>
      <c r="L770" s="1030">
        <v>0</v>
      </c>
      <c r="M770" s="979">
        <v>599</v>
      </c>
    </row>
    <row r="771" spans="1:13" ht="15">
      <c r="A771" s="979" t="s">
        <v>3502</v>
      </c>
      <c r="B771" s="722" t="str">
        <f>CONCATENATE(LEFT(RIGHT(CONCATENATE("000",IFAData_TEA!A771),6),3),"-",(RIGHT(RIGHT(CONCATENATE("000",IFAData_TEA!A771),6),3)))</f>
        <v>071-909</v>
      </c>
      <c r="C771" s="979" t="s">
        <v>1930</v>
      </c>
      <c r="D771" s="979">
        <v>4</v>
      </c>
      <c r="E771" s="979">
        <v>2349</v>
      </c>
      <c r="F771" s="979" t="s">
        <v>4642</v>
      </c>
      <c r="G771" s="979" t="s">
        <v>6246</v>
      </c>
      <c r="H771" s="1030">
        <v>3395093</v>
      </c>
      <c r="I771" s="1030">
        <v>168733</v>
      </c>
      <c r="J771" s="1034">
        <v>5.0339944466836581E-2</v>
      </c>
      <c r="K771" s="1030">
        <v>170908.79307974561</v>
      </c>
      <c r="L771" s="1030">
        <v>168733</v>
      </c>
      <c r="M771" s="979">
        <v>599</v>
      </c>
    </row>
    <row r="772" spans="1:13" ht="15">
      <c r="A772" s="979" t="s">
        <v>3502</v>
      </c>
      <c r="B772" s="722" t="str">
        <f>CONCATENATE(LEFT(RIGHT(CONCATENATE("000",IFAData_TEA!A772),6),3),"-",(RIGHT(RIGHT(CONCATENATE("000",IFAData_TEA!A772),6),3)))</f>
        <v>071-909</v>
      </c>
      <c r="C772" s="979" t="s">
        <v>1930</v>
      </c>
      <c r="D772" s="979">
        <v>2</v>
      </c>
      <c r="E772" s="979">
        <v>2346</v>
      </c>
      <c r="F772" s="979" t="s">
        <v>4636</v>
      </c>
      <c r="G772" s="979" t="s">
        <v>4639</v>
      </c>
      <c r="H772" s="1030">
        <v>1524945</v>
      </c>
      <c r="I772" s="1030">
        <v>331141</v>
      </c>
      <c r="J772" s="1034">
        <v>0.21754320269875213</v>
      </c>
      <c r="K772" s="1030">
        <v>331741.41923944856</v>
      </c>
      <c r="L772" s="1030">
        <v>331141</v>
      </c>
      <c r="M772" s="979">
        <v>599</v>
      </c>
    </row>
    <row r="773" spans="1:13" ht="15">
      <c r="A773" s="979" t="s">
        <v>3502</v>
      </c>
      <c r="B773" s="722" t="str">
        <f>CONCATENATE(LEFT(RIGHT(CONCATENATE("000",IFAData_TEA!A773),6),3),"-",(RIGHT(RIGHT(CONCATENATE("000",IFAData_TEA!A773),6),3)))</f>
        <v>071-909</v>
      </c>
      <c r="C773" s="979" t="s">
        <v>1930</v>
      </c>
      <c r="D773" s="979">
        <v>4</v>
      </c>
      <c r="E773" s="979">
        <v>2347</v>
      </c>
      <c r="F773" s="979" t="s">
        <v>4640</v>
      </c>
      <c r="G773" s="979" t="s">
        <v>6246</v>
      </c>
      <c r="H773" s="1030">
        <v>1767522</v>
      </c>
      <c r="I773" s="1030">
        <v>108703</v>
      </c>
      <c r="J773" s="1034">
        <v>5.8656316387863498E-2</v>
      </c>
      <c r="K773" s="1030">
        <v>103676.32965450926</v>
      </c>
      <c r="L773" s="1030">
        <v>103676.32965450926</v>
      </c>
      <c r="M773" s="979">
        <v>599</v>
      </c>
    </row>
    <row r="774" spans="1:13" ht="15">
      <c r="A774" s="979" t="s">
        <v>3502</v>
      </c>
      <c r="B774" s="722" t="str">
        <f>CONCATENATE(LEFT(RIGHT(CONCATENATE("000",IFAData_TEA!A774),6),3),"-",(RIGHT(RIGHT(CONCATENATE("000",IFAData_TEA!A774),6),3)))</f>
        <v>071-909</v>
      </c>
      <c r="C774" s="979" t="s">
        <v>1930</v>
      </c>
      <c r="D774" s="979">
        <v>8</v>
      </c>
      <c r="E774" s="979">
        <v>2350</v>
      </c>
      <c r="F774" s="979" t="s">
        <v>4646</v>
      </c>
      <c r="G774" s="979" t="s">
        <v>4647</v>
      </c>
      <c r="H774" s="1030">
        <v>4042418</v>
      </c>
      <c r="I774" s="1030">
        <v>1689710</v>
      </c>
      <c r="J774" s="1034">
        <v>0.48106800622022344</v>
      </c>
      <c r="K774" s="1030">
        <v>1944677.9675687433</v>
      </c>
      <c r="L774" s="1030">
        <v>1689710</v>
      </c>
      <c r="M774" s="979">
        <v>599</v>
      </c>
    </row>
    <row r="775" spans="1:13" ht="15">
      <c r="A775" s="979" t="s">
        <v>3502</v>
      </c>
      <c r="B775" s="722" t="str">
        <f>CONCATENATE(LEFT(RIGHT(CONCATENATE("000",IFAData_TEA!A775),6),3),"-",(RIGHT(RIGHT(CONCATENATE("000",IFAData_TEA!A775),6),3)))</f>
        <v>071-909</v>
      </c>
      <c r="C775" s="979" t="s">
        <v>1930</v>
      </c>
      <c r="D775" s="979">
        <v>4</v>
      </c>
      <c r="E775" s="979">
        <v>2349</v>
      </c>
      <c r="F775" s="979" t="s">
        <v>4642</v>
      </c>
      <c r="G775" s="979" t="s">
        <v>4637</v>
      </c>
      <c r="H775" s="1030">
        <v>3395093</v>
      </c>
      <c r="I775" s="1030">
        <v>2368405</v>
      </c>
      <c r="J775" s="1034">
        <v>0.70659193029803358</v>
      </c>
      <c r="K775" s="1030">
        <v>2398945.3164113415</v>
      </c>
      <c r="L775" s="1030">
        <v>2368405</v>
      </c>
      <c r="M775" s="979">
        <v>599</v>
      </c>
    </row>
    <row r="776" spans="1:13" ht="15">
      <c r="A776" s="979" t="s">
        <v>3502</v>
      </c>
      <c r="B776" s="722" t="str">
        <f>CONCATENATE(LEFT(RIGHT(CONCATENATE("000",IFAData_TEA!A776),6),3),"-",(RIGHT(RIGHT(CONCATENATE("000",IFAData_TEA!A776),6),3)))</f>
        <v>071-909</v>
      </c>
      <c r="C776" s="979" t="s">
        <v>1930</v>
      </c>
      <c r="D776" s="979">
        <v>2</v>
      </c>
      <c r="E776" s="979">
        <v>2346</v>
      </c>
      <c r="F776" s="979" t="s">
        <v>4636</v>
      </c>
      <c r="G776" s="979" t="s">
        <v>6246</v>
      </c>
      <c r="H776" s="1030">
        <v>1524945</v>
      </c>
      <c r="I776" s="1030">
        <v>98425</v>
      </c>
      <c r="J776" s="1034">
        <v>6.4660340234596977E-2</v>
      </c>
      <c r="K776" s="1030">
        <v>98603.462539047483</v>
      </c>
      <c r="L776" s="1030">
        <v>98425</v>
      </c>
      <c r="M776" s="979">
        <v>599</v>
      </c>
    </row>
    <row r="777" spans="1:13" ht="15">
      <c r="A777" s="979" t="s">
        <v>3502</v>
      </c>
      <c r="B777" s="722" t="str">
        <f>CONCATENATE(LEFT(RIGHT(CONCATENATE("000",IFAData_TEA!A777),6),3),"-",(RIGHT(RIGHT(CONCATENATE("000",IFAData_TEA!A777),6),3)))</f>
        <v>071-909</v>
      </c>
      <c r="C777" s="979" t="s">
        <v>1930</v>
      </c>
      <c r="D777" s="979">
        <v>4</v>
      </c>
      <c r="E777" s="979">
        <v>2349</v>
      </c>
      <c r="F777" s="979" t="s">
        <v>4642</v>
      </c>
      <c r="G777" s="979" t="s">
        <v>4639</v>
      </c>
      <c r="H777" s="1030">
        <v>3395093</v>
      </c>
      <c r="I777" s="1030">
        <v>814733</v>
      </c>
      <c r="J777" s="1034">
        <v>0.24306812523512988</v>
      </c>
      <c r="K777" s="1030">
        <v>825238.89050891285</v>
      </c>
      <c r="L777" s="1030">
        <v>814733</v>
      </c>
      <c r="M777" s="979">
        <v>599</v>
      </c>
    </row>
    <row r="778" spans="1:13" ht="15">
      <c r="A778" s="979" t="s">
        <v>3502</v>
      </c>
      <c r="B778" s="722" t="str">
        <f>CONCATENATE(LEFT(RIGHT(CONCATENATE("000",IFAData_TEA!A778),6),3),"-",(RIGHT(RIGHT(CONCATENATE("000",IFAData_TEA!A778),6),3)))</f>
        <v>071-909</v>
      </c>
      <c r="C778" s="979" t="s">
        <v>1930</v>
      </c>
      <c r="D778" s="979">
        <v>4</v>
      </c>
      <c r="E778" s="979">
        <v>2349</v>
      </c>
      <c r="F778" s="979" t="s">
        <v>4642</v>
      </c>
      <c r="G778" s="979" t="s">
        <v>4642</v>
      </c>
      <c r="H778" s="1030">
        <v>3395093</v>
      </c>
      <c r="I778" s="1030">
        <v>0</v>
      </c>
      <c r="J778" s="1034">
        <v>0</v>
      </c>
      <c r="K778" s="1030">
        <v>0</v>
      </c>
      <c r="L778" s="1030">
        <v>0</v>
      </c>
      <c r="M778" s="979">
        <v>599</v>
      </c>
    </row>
    <row r="779" spans="1:13" ht="15">
      <c r="A779" s="979" t="s">
        <v>3502</v>
      </c>
      <c r="B779" s="722" t="str">
        <f>CONCATENATE(LEFT(RIGHT(CONCATENATE("000",IFAData_TEA!A779),6),3),"-",(RIGHT(RIGHT(CONCATENATE("000",IFAData_TEA!A779),6),3)))</f>
        <v>071-909</v>
      </c>
      <c r="C779" s="979" t="s">
        <v>1930</v>
      </c>
      <c r="D779" s="979">
        <v>8</v>
      </c>
      <c r="E779" s="979">
        <v>2350</v>
      </c>
      <c r="F779" s="979" t="s">
        <v>4646</v>
      </c>
      <c r="G779" s="979" t="s">
        <v>4646</v>
      </c>
      <c r="H779" s="1030">
        <v>4042418</v>
      </c>
      <c r="I779" s="1030">
        <v>1822704</v>
      </c>
      <c r="J779" s="1034">
        <v>0.5189319937797765</v>
      </c>
      <c r="K779" s="1030">
        <v>2097740.0324312565</v>
      </c>
      <c r="L779" s="1030">
        <v>1822704</v>
      </c>
      <c r="M779" s="979">
        <v>599</v>
      </c>
    </row>
    <row r="780" spans="1:13" ht="15">
      <c r="A780" s="979" t="s">
        <v>3503</v>
      </c>
      <c r="B780" s="722" t="str">
        <f>CONCATENATE(LEFT(RIGHT(CONCATENATE("000",IFAData_TEA!A780),6),3),"-",(RIGHT(RIGHT(CONCATENATE("000",IFAData_TEA!A780),6),3)))</f>
        <v>072-903</v>
      </c>
      <c r="C780" s="979" t="s">
        <v>2099</v>
      </c>
      <c r="D780" s="979">
        <v>2</v>
      </c>
      <c r="E780" s="979">
        <v>2383</v>
      </c>
      <c r="F780" s="979" t="s">
        <v>4648</v>
      </c>
      <c r="G780" s="979" t="s">
        <v>4648</v>
      </c>
      <c r="H780" s="1030">
        <v>583662</v>
      </c>
      <c r="I780" s="1030">
        <v>0</v>
      </c>
      <c r="J780" s="1034">
        <v>0</v>
      </c>
      <c r="K780" s="1030">
        <v>0</v>
      </c>
      <c r="L780" s="1030">
        <v>0</v>
      </c>
      <c r="M780" s="979">
        <v>599</v>
      </c>
    </row>
    <row r="781" spans="1:13" ht="15">
      <c r="A781" s="979" t="s">
        <v>3503</v>
      </c>
      <c r="B781" s="722" t="str">
        <f>CONCATENATE(LEFT(RIGHT(CONCATENATE("000",IFAData_TEA!A781),6),3),"-",(RIGHT(RIGHT(CONCATENATE("000",IFAData_TEA!A781),6),3)))</f>
        <v>072-903</v>
      </c>
      <c r="C781" s="979" t="s">
        <v>2099</v>
      </c>
      <c r="D781" s="979">
        <v>2</v>
      </c>
      <c r="E781" s="979">
        <v>2383</v>
      </c>
      <c r="F781" s="979" t="s">
        <v>4648</v>
      </c>
      <c r="G781" s="979" t="s">
        <v>4649</v>
      </c>
      <c r="H781" s="1030">
        <v>583662</v>
      </c>
      <c r="I781" s="1030">
        <v>0</v>
      </c>
      <c r="J781" s="1034">
        <v>0</v>
      </c>
      <c r="K781" s="1030">
        <v>0</v>
      </c>
      <c r="L781" s="1030">
        <v>0</v>
      </c>
      <c r="M781" s="979">
        <v>599</v>
      </c>
    </row>
    <row r="782" spans="1:13" ht="15">
      <c r="A782" s="979" t="s">
        <v>3503</v>
      </c>
      <c r="B782" s="722" t="str">
        <f>CONCATENATE(LEFT(RIGHT(CONCATENATE("000",IFAData_TEA!A782),6),3),"-",(RIGHT(RIGHT(CONCATENATE("000",IFAData_TEA!A782),6),3)))</f>
        <v>072-903</v>
      </c>
      <c r="C782" s="979" t="s">
        <v>2099</v>
      </c>
      <c r="D782" s="979">
        <v>2</v>
      </c>
      <c r="E782" s="979">
        <v>2383</v>
      </c>
      <c r="F782" s="979" t="s">
        <v>4648</v>
      </c>
      <c r="G782" s="979" t="s">
        <v>4650</v>
      </c>
      <c r="H782" s="1030">
        <v>583662</v>
      </c>
      <c r="I782" s="1030">
        <v>1412267</v>
      </c>
      <c r="J782" s="1034">
        <v>1</v>
      </c>
      <c r="K782" s="1030">
        <v>583662</v>
      </c>
      <c r="L782" s="1030">
        <v>583662</v>
      </c>
      <c r="M782" s="979">
        <v>599</v>
      </c>
    </row>
    <row r="783" spans="1:13" ht="15">
      <c r="A783" s="979" t="s">
        <v>3504</v>
      </c>
      <c r="B783" s="722" t="str">
        <f>CONCATENATE(LEFT(RIGHT(CONCATENATE("000",IFAData_TEA!A783),6),3),"-",(RIGHT(RIGHT(CONCATENATE("000",IFAData_TEA!A783),6),3)))</f>
        <v>072-909</v>
      </c>
      <c r="C783" s="979" t="s">
        <v>2468</v>
      </c>
      <c r="D783" s="979">
        <v>5</v>
      </c>
      <c r="E783" s="979">
        <v>2022</v>
      </c>
      <c r="F783" s="979" t="s">
        <v>4651</v>
      </c>
      <c r="G783" s="979" t="s">
        <v>4651</v>
      </c>
      <c r="H783" s="1030">
        <v>100000</v>
      </c>
      <c r="I783" s="1030">
        <v>0</v>
      </c>
      <c r="J783" s="1034">
        <v>0</v>
      </c>
      <c r="K783" s="1030">
        <v>0</v>
      </c>
      <c r="L783" s="1030">
        <v>0</v>
      </c>
      <c r="M783" s="979">
        <v>599</v>
      </c>
    </row>
    <row r="784" spans="1:13" ht="15">
      <c r="A784" s="979" t="s">
        <v>3504</v>
      </c>
      <c r="B784" s="722" t="str">
        <f>CONCATENATE(LEFT(RIGHT(CONCATENATE("000",IFAData_TEA!A784),6),3),"-",(RIGHT(RIGHT(CONCATENATE("000",IFAData_TEA!A784),6),3)))</f>
        <v>072-909</v>
      </c>
      <c r="C784" s="979" t="s">
        <v>2468</v>
      </c>
      <c r="D784" s="979">
        <v>5</v>
      </c>
      <c r="E784" s="979">
        <v>2022</v>
      </c>
      <c r="F784" s="979" t="s">
        <v>4651</v>
      </c>
      <c r="G784" s="979" t="s">
        <v>4652</v>
      </c>
      <c r="H784" s="1030">
        <v>100000</v>
      </c>
      <c r="I784" s="1030">
        <v>93786</v>
      </c>
      <c r="J784" s="1034">
        <v>1</v>
      </c>
      <c r="K784" s="1030">
        <v>100000</v>
      </c>
      <c r="L784" s="1030">
        <v>93786</v>
      </c>
      <c r="M784" s="979">
        <v>599</v>
      </c>
    </row>
    <row r="785" spans="1:13" ht="15">
      <c r="A785" s="979" t="s">
        <v>4653</v>
      </c>
      <c r="B785" s="722" t="str">
        <f>CONCATENATE(LEFT(RIGHT(CONCATENATE("000",IFAData_TEA!A785),6),3),"-",(RIGHT(RIGHT(CONCATENATE("000",IFAData_TEA!A785),6),3)))</f>
        <v>073-903</v>
      </c>
      <c r="C785" s="979" t="s">
        <v>2063</v>
      </c>
      <c r="D785" s="979">
        <v>2</v>
      </c>
      <c r="E785" s="979">
        <v>2068</v>
      </c>
      <c r="F785" s="979" t="s">
        <v>4654</v>
      </c>
      <c r="G785" s="979" t="s">
        <v>4654</v>
      </c>
      <c r="H785" s="1030">
        <v>386120</v>
      </c>
      <c r="I785" s="1030">
        <v>373765</v>
      </c>
      <c r="J785" s="1034">
        <v>1</v>
      </c>
      <c r="K785" s="1030">
        <v>386120</v>
      </c>
      <c r="L785" s="1030">
        <v>373765</v>
      </c>
      <c r="M785" s="979">
        <v>199</v>
      </c>
    </row>
    <row r="786" spans="1:13" ht="15">
      <c r="A786" s="979" t="s">
        <v>4655</v>
      </c>
      <c r="B786" s="722" t="str">
        <f>CONCATENATE(LEFT(RIGHT(CONCATENATE("000",IFAData_TEA!A786),6),3),"-",(RIGHT(RIGHT(CONCATENATE("000",IFAData_TEA!A786),6),3)))</f>
        <v>073-904</v>
      </c>
      <c r="C786" s="979" t="s">
        <v>1332</v>
      </c>
      <c r="D786" s="979">
        <v>4</v>
      </c>
      <c r="E786" s="979">
        <v>2448</v>
      </c>
      <c r="F786" s="979" t="s">
        <v>4656</v>
      </c>
      <c r="G786" s="979" t="s">
        <v>4657</v>
      </c>
      <c r="H786" s="1030">
        <v>100000</v>
      </c>
      <c r="I786" s="1030">
        <v>95808</v>
      </c>
      <c r="J786" s="1034">
        <v>1</v>
      </c>
      <c r="K786" s="1030">
        <v>100000</v>
      </c>
      <c r="L786" s="1030">
        <v>95808</v>
      </c>
      <c r="M786" s="979">
        <v>199</v>
      </c>
    </row>
    <row r="787" spans="1:13" ht="15">
      <c r="A787" s="979" t="s">
        <v>4655</v>
      </c>
      <c r="B787" s="722" t="str">
        <f>CONCATENATE(LEFT(RIGHT(CONCATENATE("000",IFAData_TEA!A787),6),3),"-",(RIGHT(RIGHT(CONCATENATE("000",IFAData_TEA!A787),6),3)))</f>
        <v>073-904</v>
      </c>
      <c r="C787" s="979" t="s">
        <v>1332</v>
      </c>
      <c r="D787" s="979">
        <v>8</v>
      </c>
      <c r="E787" s="979">
        <v>2447</v>
      </c>
      <c r="F787" s="979" t="s">
        <v>4658</v>
      </c>
      <c r="G787" s="979" t="s">
        <v>4658</v>
      </c>
      <c r="H787" s="1030">
        <v>91803</v>
      </c>
      <c r="I787" s="1030">
        <v>92310</v>
      </c>
      <c r="J787" s="1034">
        <v>1</v>
      </c>
      <c r="K787" s="1030">
        <v>91803</v>
      </c>
      <c r="L787" s="1030">
        <v>91803</v>
      </c>
      <c r="M787" s="979">
        <v>199</v>
      </c>
    </row>
    <row r="788" spans="1:13" ht="15">
      <c r="A788" s="979" t="s">
        <v>4655</v>
      </c>
      <c r="B788" s="722" t="str">
        <f>CONCATENATE(LEFT(RIGHT(CONCATENATE("000",IFAData_TEA!A788),6),3),"-",(RIGHT(RIGHT(CONCATENATE("000",IFAData_TEA!A788),6),3)))</f>
        <v>073-904</v>
      </c>
      <c r="C788" s="979" t="s">
        <v>1332</v>
      </c>
      <c r="D788" s="979">
        <v>4</v>
      </c>
      <c r="E788" s="979">
        <v>2448</v>
      </c>
      <c r="F788" s="979" t="s">
        <v>4656</v>
      </c>
      <c r="G788" s="979" t="s">
        <v>4656</v>
      </c>
      <c r="H788" s="1030">
        <v>100000</v>
      </c>
      <c r="I788" s="1030">
        <v>0</v>
      </c>
      <c r="J788" s="1034">
        <v>0</v>
      </c>
      <c r="K788" s="1030">
        <v>0</v>
      </c>
      <c r="L788" s="1030">
        <v>0</v>
      </c>
      <c r="M788" s="979">
        <v>199</v>
      </c>
    </row>
    <row r="789" spans="1:13" ht="15">
      <c r="A789" s="979" t="s">
        <v>3505</v>
      </c>
      <c r="B789" s="722" t="str">
        <f>CONCATENATE(LEFT(RIGHT(CONCATENATE("000",IFAData_TEA!A789),6),3),"-",(RIGHT(RIGHT(CONCATENATE("000",IFAData_TEA!A789),6),3)))</f>
        <v>074-904</v>
      </c>
      <c r="C789" s="979" t="s">
        <v>2180</v>
      </c>
      <c r="D789" s="979">
        <v>5</v>
      </c>
      <c r="E789" s="979">
        <v>1765</v>
      </c>
      <c r="F789" s="979" t="s">
        <v>4659</v>
      </c>
      <c r="G789" s="979" t="s">
        <v>4659</v>
      </c>
      <c r="H789" s="1030">
        <v>100000</v>
      </c>
      <c r="I789" s="1030">
        <v>0</v>
      </c>
      <c r="J789" s="1034">
        <v>0</v>
      </c>
      <c r="K789" s="1030">
        <v>0</v>
      </c>
      <c r="L789" s="1030">
        <v>0</v>
      </c>
      <c r="M789" s="979">
        <v>599</v>
      </c>
    </row>
    <row r="790" spans="1:13" ht="15">
      <c r="A790" s="979" t="s">
        <v>3505</v>
      </c>
      <c r="B790" s="722" t="str">
        <f>CONCATENATE(LEFT(RIGHT(CONCATENATE("000",IFAData_TEA!A790),6),3),"-",(RIGHT(RIGHT(CONCATENATE("000",IFAData_TEA!A790),6),3)))</f>
        <v>074-904</v>
      </c>
      <c r="C790" s="979" t="s">
        <v>2180</v>
      </c>
      <c r="D790" s="979">
        <v>5</v>
      </c>
      <c r="E790" s="979">
        <v>1765</v>
      </c>
      <c r="F790" s="979" t="s">
        <v>4659</v>
      </c>
      <c r="G790" s="979" t="s">
        <v>4660</v>
      </c>
      <c r="H790" s="1030">
        <v>100000</v>
      </c>
      <c r="I790" s="1030">
        <v>95550</v>
      </c>
      <c r="J790" s="1034">
        <v>1</v>
      </c>
      <c r="K790" s="1030">
        <v>100000</v>
      </c>
      <c r="L790" s="1030">
        <v>95550</v>
      </c>
      <c r="M790" s="979">
        <v>599</v>
      </c>
    </row>
    <row r="791" spans="1:13" ht="15">
      <c r="A791" s="979" t="s">
        <v>3506</v>
      </c>
      <c r="B791" s="722" t="str">
        <f>CONCATENATE(LEFT(RIGHT(CONCATENATE("000",IFAData_TEA!A791),6),3),"-",(RIGHT(RIGHT(CONCATENATE("000",IFAData_TEA!A791),6),3)))</f>
        <v>074-905</v>
      </c>
      <c r="C791" s="979" t="s">
        <v>1065</v>
      </c>
      <c r="D791" s="979">
        <v>5</v>
      </c>
      <c r="E791" s="979">
        <v>1784</v>
      </c>
      <c r="F791" s="979" t="s">
        <v>4661</v>
      </c>
      <c r="G791" s="979" t="s">
        <v>4662</v>
      </c>
      <c r="H791" s="1030">
        <v>110298</v>
      </c>
      <c r="I791" s="1030">
        <v>91561</v>
      </c>
      <c r="J791" s="1034">
        <v>1</v>
      </c>
      <c r="K791" s="1030">
        <v>110298</v>
      </c>
      <c r="L791" s="1030">
        <v>91561</v>
      </c>
      <c r="M791" s="979">
        <v>599</v>
      </c>
    </row>
    <row r="792" spans="1:13" ht="15">
      <c r="A792" s="979" t="s">
        <v>3506</v>
      </c>
      <c r="B792" s="722" t="str">
        <f>CONCATENATE(LEFT(RIGHT(CONCATENATE("000",IFAData_TEA!A792),6),3),"-",(RIGHT(RIGHT(CONCATENATE("000",IFAData_TEA!A792),6),3)))</f>
        <v>074-905</v>
      </c>
      <c r="C792" s="979" t="s">
        <v>1065</v>
      </c>
      <c r="D792" s="979">
        <v>5</v>
      </c>
      <c r="E792" s="979">
        <v>1784</v>
      </c>
      <c r="F792" s="979" t="s">
        <v>4661</v>
      </c>
      <c r="G792" s="979" t="s">
        <v>4661</v>
      </c>
      <c r="H792" s="1030">
        <v>110298</v>
      </c>
      <c r="I792" s="1030">
        <v>0</v>
      </c>
      <c r="J792" s="1034">
        <v>0</v>
      </c>
      <c r="K792" s="1030">
        <v>0</v>
      </c>
      <c r="L792" s="1030">
        <v>0</v>
      </c>
      <c r="M792" s="979">
        <v>599</v>
      </c>
    </row>
    <row r="793" spans="1:13" ht="15">
      <c r="A793" s="979" t="s">
        <v>3506</v>
      </c>
      <c r="B793" s="722" t="str">
        <f>CONCATENATE(LEFT(RIGHT(CONCATENATE("000",IFAData_TEA!A793),6),3),"-",(RIGHT(RIGHT(CONCATENATE("000",IFAData_TEA!A793),6),3)))</f>
        <v>074-905</v>
      </c>
      <c r="C793" s="979" t="s">
        <v>1065</v>
      </c>
      <c r="D793" s="979">
        <v>6</v>
      </c>
      <c r="E793" s="979">
        <v>1783</v>
      </c>
      <c r="F793" s="979" t="s">
        <v>4663</v>
      </c>
      <c r="G793" s="979" t="s">
        <v>4663</v>
      </c>
      <c r="H793" s="1030">
        <v>79936</v>
      </c>
      <c r="I793" s="1030">
        <v>0</v>
      </c>
      <c r="J793" s="1034">
        <v>0</v>
      </c>
      <c r="K793" s="1030">
        <v>0</v>
      </c>
      <c r="L793" s="1030">
        <v>0</v>
      </c>
      <c r="M793" s="979">
        <v>599</v>
      </c>
    </row>
    <row r="794" spans="1:13" ht="15">
      <c r="A794" s="979" t="s">
        <v>3506</v>
      </c>
      <c r="B794" s="722" t="str">
        <f>CONCATENATE(LEFT(RIGHT(CONCATENATE("000",IFAData_TEA!A794),6),3),"-",(RIGHT(RIGHT(CONCATENATE("000",IFAData_TEA!A794),6),3)))</f>
        <v>074-905</v>
      </c>
      <c r="C794" s="979" t="s">
        <v>1065</v>
      </c>
      <c r="D794" s="979">
        <v>6</v>
      </c>
      <c r="E794" s="979">
        <v>1783</v>
      </c>
      <c r="F794" s="979" t="s">
        <v>4663</v>
      </c>
      <c r="G794" s="979" t="s">
        <v>4662</v>
      </c>
      <c r="H794" s="1030">
        <v>79936</v>
      </c>
      <c r="I794" s="1030">
        <v>69089</v>
      </c>
      <c r="J794" s="1034">
        <v>1</v>
      </c>
      <c r="K794" s="1030">
        <v>79936</v>
      </c>
      <c r="L794" s="1030">
        <v>69089</v>
      </c>
      <c r="M794" s="979">
        <v>599</v>
      </c>
    </row>
    <row r="795" spans="1:13" ht="15">
      <c r="A795" s="979" t="s">
        <v>3507</v>
      </c>
      <c r="B795" s="722" t="str">
        <f>CONCATENATE(LEFT(RIGHT(CONCATENATE("000",IFAData_TEA!A795),6),3),"-",(RIGHT(RIGHT(CONCATENATE("000",IFAData_TEA!A795),6),3)))</f>
        <v>074-907</v>
      </c>
      <c r="C795" s="979" t="s">
        <v>2</v>
      </c>
      <c r="D795" s="979">
        <v>9</v>
      </c>
      <c r="E795" s="979">
        <v>1899</v>
      </c>
      <c r="F795" s="979" t="s">
        <v>4664</v>
      </c>
      <c r="G795" s="979" t="s">
        <v>4664</v>
      </c>
      <c r="H795" s="1030">
        <v>162500</v>
      </c>
      <c r="I795" s="1030">
        <v>397303</v>
      </c>
      <c r="J795" s="1034">
        <v>0.88029379832938204</v>
      </c>
      <c r="K795" s="1030">
        <v>143047.74222852458</v>
      </c>
      <c r="L795" s="1030">
        <v>143047.74222852458</v>
      </c>
      <c r="M795" s="979">
        <v>599</v>
      </c>
    </row>
    <row r="796" spans="1:13" ht="15">
      <c r="A796" s="979" t="s">
        <v>3507</v>
      </c>
      <c r="B796" s="722" t="str">
        <f>CONCATENATE(LEFT(RIGHT(CONCATENATE("000",IFAData_TEA!A796),6),3),"-",(RIGHT(RIGHT(CONCATENATE("000",IFAData_TEA!A796),6),3)))</f>
        <v>074-907</v>
      </c>
      <c r="C796" s="979" t="s">
        <v>2</v>
      </c>
      <c r="D796" s="979">
        <v>9</v>
      </c>
      <c r="E796" s="979">
        <v>1899</v>
      </c>
      <c r="F796" s="979" t="s">
        <v>4664</v>
      </c>
      <c r="G796" s="979" t="s">
        <v>6247</v>
      </c>
      <c r="H796" s="1030">
        <v>162500</v>
      </c>
      <c r="I796" s="1030">
        <v>54027</v>
      </c>
      <c r="J796" s="1034">
        <v>0.11970620167061795</v>
      </c>
      <c r="K796" s="1030">
        <v>19452.257771475415</v>
      </c>
      <c r="L796" s="1030">
        <v>19452.257771475415</v>
      </c>
      <c r="M796" s="979">
        <v>599</v>
      </c>
    </row>
    <row r="797" spans="1:13" ht="15">
      <c r="A797" s="979" t="s">
        <v>3508</v>
      </c>
      <c r="B797" s="722" t="str">
        <f>CONCATENATE(LEFT(RIGHT(CONCATENATE("000",IFAData_TEA!A797),6),3),"-",(RIGHT(RIGHT(CONCATENATE("000",IFAData_TEA!A797),6),3)))</f>
        <v>074-912</v>
      </c>
      <c r="C797" s="979" t="s">
        <v>5</v>
      </c>
      <c r="D797" s="979">
        <v>9</v>
      </c>
      <c r="E797" s="979">
        <v>2400</v>
      </c>
      <c r="F797" s="979" t="s">
        <v>4665</v>
      </c>
      <c r="G797" s="979" t="s">
        <v>4665</v>
      </c>
      <c r="H797" s="1030">
        <v>25828</v>
      </c>
      <c r="I797" s="1030">
        <v>31093</v>
      </c>
      <c r="J797" s="1034">
        <v>1</v>
      </c>
      <c r="K797" s="1030">
        <v>25828</v>
      </c>
      <c r="L797" s="1030">
        <v>25828</v>
      </c>
      <c r="M797" s="979">
        <v>599</v>
      </c>
    </row>
    <row r="798" spans="1:13" ht="15">
      <c r="A798" s="979" t="s">
        <v>3509</v>
      </c>
      <c r="B798" s="722" t="str">
        <f>CONCATENATE(LEFT(RIGHT(CONCATENATE("000",IFAData_TEA!A798),6),3),"-",(RIGHT(RIGHT(CONCATENATE("000",IFAData_TEA!A798),6),3)))</f>
        <v>074-917</v>
      </c>
      <c r="C798" s="979" t="s">
        <v>2026</v>
      </c>
      <c r="D798" s="979">
        <v>5</v>
      </c>
      <c r="E798" s="979">
        <v>2276</v>
      </c>
      <c r="F798" s="979" t="s">
        <v>4666</v>
      </c>
      <c r="G798" s="979" t="s">
        <v>4666</v>
      </c>
      <c r="H798" s="1030">
        <v>45485</v>
      </c>
      <c r="I798" s="1030">
        <v>52150</v>
      </c>
      <c r="J798" s="1034">
        <v>1</v>
      </c>
      <c r="K798" s="1030">
        <v>45485</v>
      </c>
      <c r="L798" s="1030">
        <v>45485</v>
      </c>
      <c r="M798" s="979">
        <v>599</v>
      </c>
    </row>
    <row r="799" spans="1:13" ht="15">
      <c r="A799" s="979" t="s">
        <v>3510</v>
      </c>
      <c r="B799" s="722" t="str">
        <f>CONCATENATE(LEFT(RIGHT(CONCATENATE("000",IFAData_TEA!A799),6),3),"-",(RIGHT(RIGHT(CONCATENATE("000",IFAData_TEA!A799),6),3)))</f>
        <v>076-904</v>
      </c>
      <c r="C799" s="979" t="s">
        <v>610</v>
      </c>
      <c r="D799" s="979">
        <v>6</v>
      </c>
      <c r="E799" s="979">
        <v>2265</v>
      </c>
      <c r="F799" s="979" t="s">
        <v>4667</v>
      </c>
      <c r="G799" s="979" t="s">
        <v>4667</v>
      </c>
      <c r="H799" s="1030">
        <v>42457</v>
      </c>
      <c r="I799" s="1030">
        <v>40826</v>
      </c>
      <c r="J799" s="1034">
        <v>1</v>
      </c>
      <c r="K799" s="1030">
        <v>42457</v>
      </c>
      <c r="L799" s="1030">
        <v>40826</v>
      </c>
      <c r="M799" s="979">
        <v>599</v>
      </c>
    </row>
    <row r="800" spans="1:13" ht="15">
      <c r="A800" s="979" t="s">
        <v>3511</v>
      </c>
      <c r="B800" s="722" t="str">
        <f>CONCATENATE(LEFT(RIGHT(CONCATENATE("000",IFAData_TEA!A800),6),3),"-",(RIGHT(RIGHT(CONCATENATE("000",IFAData_TEA!A800),6),3)))</f>
        <v>079-906</v>
      </c>
      <c r="C800" s="979" t="s">
        <v>894</v>
      </c>
      <c r="D800" s="979">
        <v>10</v>
      </c>
      <c r="E800" s="979">
        <v>2133</v>
      </c>
      <c r="F800" s="979" t="s">
        <v>4672</v>
      </c>
      <c r="G800" s="979" t="s">
        <v>6248</v>
      </c>
      <c r="H800" s="1030">
        <v>639148</v>
      </c>
      <c r="I800" s="1030">
        <v>18219</v>
      </c>
      <c r="J800" s="1034">
        <v>1.2491712301858022E-2</v>
      </c>
      <c r="K800" s="1030">
        <v>7984.0529343079506</v>
      </c>
      <c r="L800" s="1030">
        <v>7984.0529343079506</v>
      </c>
      <c r="M800" s="979">
        <v>599</v>
      </c>
    </row>
    <row r="801" spans="1:13" ht="15">
      <c r="A801" s="979" t="s">
        <v>3511</v>
      </c>
      <c r="B801" s="722" t="str">
        <f>CONCATENATE(LEFT(RIGHT(CONCATENATE("000",IFAData_TEA!A801),6),3),"-",(RIGHT(RIGHT(CONCATENATE("000",IFAData_TEA!A801),6),3)))</f>
        <v>079-906</v>
      </c>
      <c r="C801" s="979" t="s">
        <v>894</v>
      </c>
      <c r="D801" s="979">
        <v>3</v>
      </c>
      <c r="E801" s="979">
        <v>2132</v>
      </c>
      <c r="F801" s="979" t="s">
        <v>4668</v>
      </c>
      <c r="G801" s="979" t="s">
        <v>4668</v>
      </c>
      <c r="H801" s="1030">
        <v>559413</v>
      </c>
      <c r="I801" s="1030">
        <v>0</v>
      </c>
      <c r="J801" s="1034">
        <v>0</v>
      </c>
      <c r="K801" s="1030">
        <v>0</v>
      </c>
      <c r="L801" s="1030">
        <v>0</v>
      </c>
      <c r="M801" s="979">
        <v>599</v>
      </c>
    </row>
    <row r="802" spans="1:13" ht="15">
      <c r="A802" s="979" t="s">
        <v>3511</v>
      </c>
      <c r="B802" s="722" t="str">
        <f>CONCATENATE(LEFT(RIGHT(CONCATENATE("000",IFAData_TEA!A802),6),3),"-",(RIGHT(RIGHT(CONCATENATE("000",IFAData_TEA!A802),6),3)))</f>
        <v>079-906</v>
      </c>
      <c r="C802" s="979" t="s">
        <v>894</v>
      </c>
      <c r="D802" s="979">
        <v>3</v>
      </c>
      <c r="E802" s="979">
        <v>2132</v>
      </c>
      <c r="F802" s="979" t="s">
        <v>4668</v>
      </c>
      <c r="G802" s="979" t="s">
        <v>6249</v>
      </c>
      <c r="H802" s="1030">
        <v>559413</v>
      </c>
      <c r="I802" s="1030">
        <v>210892</v>
      </c>
      <c r="J802" s="1034">
        <v>0.20121055303038976</v>
      </c>
      <c r="K802" s="1030">
        <v>112559.79910238943</v>
      </c>
      <c r="L802" s="1030">
        <v>112559.79910238943</v>
      </c>
      <c r="M802" s="979">
        <v>599</v>
      </c>
    </row>
    <row r="803" spans="1:13" ht="15">
      <c r="A803" s="979" t="s">
        <v>3511</v>
      </c>
      <c r="B803" s="722" t="str">
        <f>CONCATENATE(LEFT(RIGHT(CONCATENATE("000",IFAData_TEA!A803),6),3),"-",(RIGHT(RIGHT(CONCATENATE("000",IFAData_TEA!A803),6),3)))</f>
        <v>079-906</v>
      </c>
      <c r="C803" s="979" t="s">
        <v>894</v>
      </c>
      <c r="D803" s="979">
        <v>3</v>
      </c>
      <c r="E803" s="979">
        <v>2132</v>
      </c>
      <c r="F803" s="979" t="s">
        <v>4668</v>
      </c>
      <c r="G803" s="979" t="s">
        <v>4669</v>
      </c>
      <c r="H803" s="1030">
        <v>559413</v>
      </c>
      <c r="I803" s="1030">
        <v>0</v>
      </c>
      <c r="J803" s="1034">
        <v>0</v>
      </c>
      <c r="K803" s="1030">
        <v>0</v>
      </c>
      <c r="L803" s="1030">
        <v>0</v>
      </c>
      <c r="M803" s="979">
        <v>599</v>
      </c>
    </row>
    <row r="804" spans="1:13" ht="15">
      <c r="A804" s="979" t="s">
        <v>3511</v>
      </c>
      <c r="B804" s="722" t="str">
        <f>CONCATENATE(LEFT(RIGHT(CONCATENATE("000",IFAData_TEA!A804),6),3),"-",(RIGHT(RIGHT(CONCATENATE("000",IFAData_TEA!A804),6),3)))</f>
        <v>079-906</v>
      </c>
      <c r="C804" s="979" t="s">
        <v>894</v>
      </c>
      <c r="D804" s="979">
        <v>3</v>
      </c>
      <c r="E804" s="979">
        <v>2132</v>
      </c>
      <c r="F804" s="979" t="s">
        <v>4668</v>
      </c>
      <c r="G804" s="979" t="s">
        <v>4670</v>
      </c>
      <c r="H804" s="1030">
        <v>559413</v>
      </c>
      <c r="I804" s="1030">
        <v>837224</v>
      </c>
      <c r="J804" s="1034">
        <v>0.79878944696961018</v>
      </c>
      <c r="K804" s="1030">
        <v>446853.20089761051</v>
      </c>
      <c r="L804" s="1030">
        <v>446853.20089761051</v>
      </c>
      <c r="M804" s="979">
        <v>599</v>
      </c>
    </row>
    <row r="805" spans="1:13" ht="15">
      <c r="A805" s="979" t="s">
        <v>3511</v>
      </c>
      <c r="B805" s="722" t="str">
        <f>CONCATENATE(LEFT(RIGHT(CONCATENATE("000",IFAData_TEA!A805),6),3),"-",(RIGHT(RIGHT(CONCATENATE("000",IFAData_TEA!A805),6),3)))</f>
        <v>079-906</v>
      </c>
      <c r="C805" s="979" t="s">
        <v>894</v>
      </c>
      <c r="D805" s="979">
        <v>10</v>
      </c>
      <c r="E805" s="979">
        <v>2133</v>
      </c>
      <c r="F805" s="979" t="s">
        <v>4672</v>
      </c>
      <c r="G805" s="979" t="s">
        <v>4672</v>
      </c>
      <c r="H805" s="1030">
        <v>639148</v>
      </c>
      <c r="I805" s="1030">
        <v>1440268</v>
      </c>
      <c r="J805" s="1034">
        <v>0.98750828769814203</v>
      </c>
      <c r="K805" s="1030">
        <v>631163.94706569205</v>
      </c>
      <c r="L805" s="1030">
        <v>631163.94706569205</v>
      </c>
      <c r="M805" s="979">
        <v>599</v>
      </c>
    </row>
    <row r="806" spans="1:13" ht="15">
      <c r="A806" s="979" t="s">
        <v>3511</v>
      </c>
      <c r="B806" s="722" t="str">
        <f>CONCATENATE(LEFT(RIGHT(CONCATENATE("000",IFAData_TEA!A806),6),3),"-",(RIGHT(RIGHT(CONCATENATE("000",IFAData_TEA!A806),6),3)))</f>
        <v>079-906</v>
      </c>
      <c r="C806" s="979" t="s">
        <v>894</v>
      </c>
      <c r="D806" s="979">
        <v>9</v>
      </c>
      <c r="E806" s="979">
        <v>2131</v>
      </c>
      <c r="F806" s="979" t="s">
        <v>4671</v>
      </c>
      <c r="G806" s="979" t="s">
        <v>4671</v>
      </c>
      <c r="H806" s="1030">
        <v>338364</v>
      </c>
      <c r="I806" s="1030">
        <v>536669</v>
      </c>
      <c r="J806" s="1034">
        <v>0.87832664771453306</v>
      </c>
      <c r="K806" s="1030">
        <v>297194.11782728025</v>
      </c>
      <c r="L806" s="1030">
        <v>297194.11782728025</v>
      </c>
      <c r="M806" s="979">
        <v>599</v>
      </c>
    </row>
    <row r="807" spans="1:13" ht="15">
      <c r="A807" s="979" t="s">
        <v>3511</v>
      </c>
      <c r="B807" s="722" t="str">
        <f>CONCATENATE(LEFT(RIGHT(CONCATENATE("000",IFAData_TEA!A807),6),3),"-",(RIGHT(RIGHT(CONCATENATE("000",IFAData_TEA!A807),6),3)))</f>
        <v>079-906</v>
      </c>
      <c r="C807" s="979" t="s">
        <v>894</v>
      </c>
      <c r="D807" s="979">
        <v>9</v>
      </c>
      <c r="E807" s="979">
        <v>2131</v>
      </c>
      <c r="F807" s="979" t="s">
        <v>4671</v>
      </c>
      <c r="G807" s="979" t="s">
        <v>6248</v>
      </c>
      <c r="H807" s="1030">
        <v>338364</v>
      </c>
      <c r="I807" s="1030">
        <v>74344</v>
      </c>
      <c r="J807" s="1034">
        <v>0.12167335228546693</v>
      </c>
      <c r="K807" s="1030">
        <v>41169.882172719728</v>
      </c>
      <c r="L807" s="1030">
        <v>41169.882172719728</v>
      </c>
      <c r="M807" s="979">
        <v>599</v>
      </c>
    </row>
    <row r="808" spans="1:13" ht="15">
      <c r="A808" s="979" t="s">
        <v>3512</v>
      </c>
      <c r="B808" s="722" t="str">
        <f>CONCATENATE(LEFT(RIGHT(CONCATENATE("000",IFAData_TEA!A808),6),3),"-",(RIGHT(RIGHT(CONCATENATE("000",IFAData_TEA!A808),6),3)))</f>
        <v>079-907</v>
      </c>
      <c r="C808" s="979" t="s">
        <v>112</v>
      </c>
      <c r="D808" s="979">
        <v>2</v>
      </c>
      <c r="E808" s="979">
        <v>1821</v>
      </c>
      <c r="F808" s="979" t="s">
        <v>4677</v>
      </c>
      <c r="G808" s="979" t="s">
        <v>4677</v>
      </c>
      <c r="H808" s="1030">
        <v>2155774</v>
      </c>
      <c r="I808" s="1030">
        <v>0</v>
      </c>
      <c r="J808" s="1034">
        <v>0</v>
      </c>
      <c r="K808" s="1030">
        <v>0</v>
      </c>
      <c r="L808" s="1030">
        <v>0</v>
      </c>
      <c r="M808" s="979">
        <v>599</v>
      </c>
    </row>
    <row r="809" spans="1:13" ht="15">
      <c r="A809" s="979" t="s">
        <v>3512</v>
      </c>
      <c r="B809" s="722" t="str">
        <f>CONCATENATE(LEFT(RIGHT(CONCATENATE("000",IFAData_TEA!A809),6),3),"-",(RIGHT(RIGHT(CONCATENATE("000",IFAData_TEA!A809),6),3)))</f>
        <v>079-907</v>
      </c>
      <c r="C809" s="979" t="s">
        <v>112</v>
      </c>
      <c r="D809" s="979">
        <v>2</v>
      </c>
      <c r="E809" s="979">
        <v>1821</v>
      </c>
      <c r="F809" s="979" t="s">
        <v>4677</v>
      </c>
      <c r="G809" s="979" t="s">
        <v>4679</v>
      </c>
      <c r="H809" s="1030">
        <v>2155774</v>
      </c>
      <c r="I809" s="1030">
        <v>40748</v>
      </c>
      <c r="J809" s="1034">
        <v>1.9186029813022375E-2</v>
      </c>
      <c r="K809" s="1030">
        <v>41360.744234138496</v>
      </c>
      <c r="L809" s="1030">
        <v>40748</v>
      </c>
      <c r="M809" s="979">
        <v>599</v>
      </c>
    </row>
    <row r="810" spans="1:13" ht="15">
      <c r="A810" s="979" t="s">
        <v>3512</v>
      </c>
      <c r="B810" s="722" t="str">
        <f>CONCATENATE(LEFT(RIGHT(CONCATENATE("000",IFAData_TEA!A810),6),3),"-",(RIGHT(RIGHT(CONCATENATE("000",IFAData_TEA!A810),6),3)))</f>
        <v>079-907</v>
      </c>
      <c r="C810" s="979" t="s">
        <v>112</v>
      </c>
      <c r="D810" s="979">
        <v>1</v>
      </c>
      <c r="E810" s="979">
        <v>1822</v>
      </c>
      <c r="F810" s="979" t="s">
        <v>4673</v>
      </c>
      <c r="G810" s="979" t="s">
        <v>4676</v>
      </c>
      <c r="H810" s="1030">
        <v>4738980</v>
      </c>
      <c r="I810" s="1030">
        <v>51302</v>
      </c>
      <c r="J810" s="1034">
        <v>1.1178715857490657E-2</v>
      </c>
      <c r="K810" s="1030">
        <v>52975.710874331075</v>
      </c>
      <c r="L810" s="1030">
        <v>51302</v>
      </c>
      <c r="M810" s="979">
        <v>599</v>
      </c>
    </row>
    <row r="811" spans="1:13" ht="15">
      <c r="A811" s="979" t="s">
        <v>3512</v>
      </c>
      <c r="B811" s="722" t="str">
        <f>CONCATENATE(LEFT(RIGHT(CONCATENATE("000",IFAData_TEA!A811),6),3),"-",(RIGHT(RIGHT(CONCATENATE("000",IFAData_TEA!A811),6),3)))</f>
        <v>079-907</v>
      </c>
      <c r="C811" s="979" t="s">
        <v>112</v>
      </c>
      <c r="D811" s="979">
        <v>10</v>
      </c>
      <c r="E811" s="979">
        <v>1820</v>
      </c>
      <c r="F811" s="979" t="s">
        <v>4675</v>
      </c>
      <c r="G811" s="979" t="s">
        <v>4675</v>
      </c>
      <c r="H811" s="1030">
        <v>653006</v>
      </c>
      <c r="I811" s="1030">
        <v>653006</v>
      </c>
      <c r="J811" s="1034">
        <v>1</v>
      </c>
      <c r="K811" s="1030">
        <v>653006</v>
      </c>
      <c r="L811" s="1030">
        <v>653006</v>
      </c>
      <c r="M811" s="979">
        <v>599</v>
      </c>
    </row>
    <row r="812" spans="1:13" ht="15">
      <c r="A812" s="979" t="s">
        <v>3512</v>
      </c>
      <c r="B812" s="722" t="str">
        <f>CONCATENATE(LEFT(RIGHT(CONCATENATE("000",IFAData_TEA!A812),6),3),"-",(RIGHT(RIGHT(CONCATENATE("000",IFAData_TEA!A812),6),3)))</f>
        <v>079-907</v>
      </c>
      <c r="C812" s="979" t="s">
        <v>112</v>
      </c>
      <c r="D812" s="979">
        <v>1</v>
      </c>
      <c r="E812" s="979">
        <v>1822</v>
      </c>
      <c r="F812" s="979" t="s">
        <v>4673</v>
      </c>
      <c r="G812" s="979" t="s">
        <v>4675</v>
      </c>
      <c r="H812" s="1030">
        <v>4738980</v>
      </c>
      <c r="I812" s="1030">
        <v>790314</v>
      </c>
      <c r="J812" s="1034">
        <v>0.17220957553695512</v>
      </c>
      <c r="K812" s="1030">
        <v>816097.73427811963</v>
      </c>
      <c r="L812" s="1030">
        <v>790314</v>
      </c>
      <c r="M812" s="979">
        <v>599</v>
      </c>
    </row>
    <row r="813" spans="1:13" ht="15">
      <c r="A813" s="979" t="s">
        <v>3512</v>
      </c>
      <c r="B813" s="722" t="str">
        <f>CONCATENATE(LEFT(RIGHT(CONCATENATE("000",IFAData_TEA!A813),6),3),"-",(RIGHT(RIGHT(CONCATENATE("000",IFAData_TEA!A813),6),3)))</f>
        <v>079-907</v>
      </c>
      <c r="C813" s="979" t="s">
        <v>112</v>
      </c>
      <c r="D813" s="979">
        <v>9</v>
      </c>
      <c r="E813" s="979">
        <v>1823</v>
      </c>
      <c r="F813" s="979" t="s">
        <v>4680</v>
      </c>
      <c r="G813" s="979" t="s">
        <v>4680</v>
      </c>
      <c r="H813" s="1030">
        <v>7005446</v>
      </c>
      <c r="I813" s="1030">
        <v>6462375</v>
      </c>
      <c r="J813" s="1034">
        <v>1</v>
      </c>
      <c r="K813" s="1030">
        <v>7005446</v>
      </c>
      <c r="L813" s="1030">
        <v>6462375</v>
      </c>
      <c r="M813" s="979">
        <v>599</v>
      </c>
    </row>
    <row r="814" spans="1:13" ht="15">
      <c r="A814" s="979" t="s">
        <v>3512</v>
      </c>
      <c r="B814" s="722" t="str">
        <f>CONCATENATE(LEFT(RIGHT(CONCATENATE("000",IFAData_TEA!A814),6),3),"-",(RIGHT(RIGHT(CONCATENATE("000",IFAData_TEA!A814),6),3)))</f>
        <v>079-907</v>
      </c>
      <c r="C814" s="979" t="s">
        <v>112</v>
      </c>
      <c r="D814" s="979">
        <v>10</v>
      </c>
      <c r="E814" s="979">
        <v>1824</v>
      </c>
      <c r="F814" s="979" t="s">
        <v>4681</v>
      </c>
      <c r="G814" s="979" t="s">
        <v>4681</v>
      </c>
      <c r="H814" s="1030">
        <v>8781990</v>
      </c>
      <c r="I814" s="1030">
        <v>13976452</v>
      </c>
      <c r="J814" s="1034">
        <v>1</v>
      </c>
      <c r="K814" s="1030">
        <v>8781990</v>
      </c>
      <c r="L814" s="1030">
        <v>8781990</v>
      </c>
      <c r="M814" s="979">
        <v>599</v>
      </c>
    </row>
    <row r="815" spans="1:13" ht="15">
      <c r="A815" s="979" t="s">
        <v>3512</v>
      </c>
      <c r="B815" s="722" t="str">
        <f>CONCATENATE(LEFT(RIGHT(CONCATENATE("000",IFAData_TEA!A815),6),3),"-",(RIGHT(RIGHT(CONCATENATE("000",IFAData_TEA!A815),6),3)))</f>
        <v>079-907</v>
      </c>
      <c r="C815" s="979" t="s">
        <v>112</v>
      </c>
      <c r="D815" s="979">
        <v>2</v>
      </c>
      <c r="E815" s="979">
        <v>1821</v>
      </c>
      <c r="F815" s="979" t="s">
        <v>4677</v>
      </c>
      <c r="G815" s="979" t="s">
        <v>4678</v>
      </c>
      <c r="H815" s="1030">
        <v>2155774</v>
      </c>
      <c r="I815" s="1030">
        <v>0</v>
      </c>
      <c r="J815" s="1034">
        <v>0</v>
      </c>
      <c r="K815" s="1030">
        <v>0</v>
      </c>
      <c r="L815" s="1030">
        <v>0</v>
      </c>
      <c r="M815" s="979">
        <v>599</v>
      </c>
    </row>
    <row r="816" spans="1:13" ht="15">
      <c r="A816" s="979" t="s">
        <v>3512</v>
      </c>
      <c r="B816" s="722" t="str">
        <f>CONCATENATE(LEFT(RIGHT(CONCATENATE("000",IFAData_TEA!A816),6),3),"-",(RIGHT(RIGHT(CONCATENATE("000",IFAData_TEA!A816),6),3)))</f>
        <v>079-907</v>
      </c>
      <c r="C816" s="979" t="s">
        <v>112</v>
      </c>
      <c r="D816" s="979">
        <v>2</v>
      </c>
      <c r="E816" s="979">
        <v>1821</v>
      </c>
      <c r="F816" s="979" t="s">
        <v>4677</v>
      </c>
      <c r="G816" s="979" t="s">
        <v>4674</v>
      </c>
      <c r="H816" s="1030">
        <v>2155774</v>
      </c>
      <c r="I816" s="1030">
        <v>2026073</v>
      </c>
      <c r="J816" s="1034">
        <v>0.95396821884165306</v>
      </c>
      <c r="K816" s="1030">
        <v>2056539.8830051457</v>
      </c>
      <c r="L816" s="1030">
        <v>2026073</v>
      </c>
      <c r="M816" s="979">
        <v>599</v>
      </c>
    </row>
    <row r="817" spans="1:13" ht="15">
      <c r="A817" s="979" t="s">
        <v>3512</v>
      </c>
      <c r="B817" s="722" t="str">
        <f>CONCATENATE(LEFT(RIGHT(CONCATENATE("000",IFAData_TEA!A817),6),3),"-",(RIGHT(RIGHT(CONCATENATE("000",IFAData_TEA!A817),6),3)))</f>
        <v>079-907</v>
      </c>
      <c r="C817" s="979" t="s">
        <v>112</v>
      </c>
      <c r="D817" s="979">
        <v>1</v>
      </c>
      <c r="E817" s="979">
        <v>1822</v>
      </c>
      <c r="F817" s="979" t="s">
        <v>4673</v>
      </c>
      <c r="G817" s="979" t="s">
        <v>4674</v>
      </c>
      <c r="H817" s="1030">
        <v>4738980</v>
      </c>
      <c r="I817" s="1030">
        <v>3747641</v>
      </c>
      <c r="J817" s="1034">
        <v>0.81661170860555421</v>
      </c>
      <c r="K817" s="1030">
        <v>3869906.5548475492</v>
      </c>
      <c r="L817" s="1030">
        <v>3747641</v>
      </c>
      <c r="M817" s="979">
        <v>599</v>
      </c>
    </row>
    <row r="818" spans="1:13" ht="15">
      <c r="A818" s="979" t="s">
        <v>3512</v>
      </c>
      <c r="B818" s="722" t="str">
        <f>CONCATENATE(LEFT(RIGHT(CONCATENATE("000",IFAData_TEA!A818),6),3),"-",(RIGHT(RIGHT(CONCATENATE("000",IFAData_TEA!A818),6),3)))</f>
        <v>079-907</v>
      </c>
      <c r="C818" s="979" t="s">
        <v>112</v>
      </c>
      <c r="D818" s="979">
        <v>2</v>
      </c>
      <c r="E818" s="979">
        <v>1821</v>
      </c>
      <c r="F818" s="979" t="s">
        <v>4677</v>
      </c>
      <c r="G818" s="979" t="s">
        <v>4676</v>
      </c>
      <c r="H818" s="1030">
        <v>2155774</v>
      </c>
      <c r="I818" s="1030">
        <v>57016</v>
      </c>
      <c r="J818" s="1034">
        <v>2.6845751345324523E-2</v>
      </c>
      <c r="K818" s="1030">
        <v>57873.372760715632</v>
      </c>
      <c r="L818" s="1030">
        <v>57016</v>
      </c>
      <c r="M818" s="979">
        <v>599</v>
      </c>
    </row>
    <row r="819" spans="1:13" ht="15">
      <c r="A819" s="979" t="s">
        <v>3512</v>
      </c>
      <c r="B819" s="722" t="str">
        <f>CONCATENATE(LEFT(RIGHT(CONCATENATE("000",IFAData_TEA!A819),6),3),"-",(RIGHT(RIGHT(CONCATENATE("000",IFAData_TEA!A819),6),3)))</f>
        <v>079-907</v>
      </c>
      <c r="C819" s="979" t="s">
        <v>112</v>
      </c>
      <c r="D819" s="979">
        <v>1</v>
      </c>
      <c r="E819" s="979">
        <v>1822</v>
      </c>
      <c r="F819" s="979" t="s">
        <v>4673</v>
      </c>
      <c r="G819" s="979" t="s">
        <v>4673</v>
      </c>
      <c r="H819" s="1030">
        <v>4738980</v>
      </c>
      <c r="I819" s="1030">
        <v>0</v>
      </c>
      <c r="J819" s="1034">
        <v>0</v>
      </c>
      <c r="K819" s="1030">
        <v>0</v>
      </c>
      <c r="L819" s="1030">
        <v>0</v>
      </c>
      <c r="M819" s="979">
        <v>599</v>
      </c>
    </row>
    <row r="820" spans="1:13" ht="15">
      <c r="A820" s="979" t="s">
        <v>3513</v>
      </c>
      <c r="B820" s="722" t="str">
        <f>CONCATENATE(LEFT(RIGHT(CONCATENATE("000",IFAData_TEA!A820),6),3),"-",(RIGHT(RIGHT(CONCATENATE("000",IFAData_TEA!A820),6),3)))</f>
        <v>082-902</v>
      </c>
      <c r="C820" s="979" t="s">
        <v>2179</v>
      </c>
      <c r="D820" s="979">
        <v>5</v>
      </c>
      <c r="E820" s="979">
        <v>1764</v>
      </c>
      <c r="F820" s="979" t="s">
        <v>4682</v>
      </c>
      <c r="G820" s="979" t="s">
        <v>4682</v>
      </c>
      <c r="H820" s="1030">
        <v>192327</v>
      </c>
      <c r="I820" s="1030">
        <v>0</v>
      </c>
      <c r="J820" s="1034">
        <v>0</v>
      </c>
      <c r="K820" s="1030">
        <v>0</v>
      </c>
      <c r="L820" s="1030">
        <v>0</v>
      </c>
      <c r="M820" s="979">
        <v>599</v>
      </c>
    </row>
    <row r="821" spans="1:13" ht="15">
      <c r="A821" s="979" t="s">
        <v>3513</v>
      </c>
      <c r="B821" s="722" t="str">
        <f>CONCATENATE(LEFT(RIGHT(CONCATENATE("000",IFAData_TEA!A821),6),3),"-",(RIGHT(RIGHT(CONCATENATE("000",IFAData_TEA!A821),6),3)))</f>
        <v>082-902</v>
      </c>
      <c r="C821" s="979" t="s">
        <v>2179</v>
      </c>
      <c r="D821" s="979">
        <v>5</v>
      </c>
      <c r="E821" s="979">
        <v>1764</v>
      </c>
      <c r="F821" s="979" t="s">
        <v>4682</v>
      </c>
      <c r="G821" s="979" t="s">
        <v>4684</v>
      </c>
      <c r="H821" s="1030">
        <v>192327</v>
      </c>
      <c r="I821" s="1030">
        <v>109483</v>
      </c>
      <c r="J821" s="1034">
        <v>0.59851959567686952</v>
      </c>
      <c r="K821" s="1030">
        <v>115111.47827774528</v>
      </c>
      <c r="L821" s="1030">
        <v>109483</v>
      </c>
      <c r="M821" s="979">
        <v>599</v>
      </c>
    </row>
    <row r="822" spans="1:13" ht="15">
      <c r="A822" s="979" t="s">
        <v>3513</v>
      </c>
      <c r="B822" s="722" t="str">
        <f>CONCATENATE(LEFT(RIGHT(CONCATENATE("000",IFAData_TEA!A822),6),3),"-",(RIGHT(RIGHT(CONCATENATE("000",IFAData_TEA!A822),6),3)))</f>
        <v>082-902</v>
      </c>
      <c r="C822" s="979" t="s">
        <v>2179</v>
      </c>
      <c r="D822" s="979">
        <v>9</v>
      </c>
      <c r="E822" s="979">
        <v>1763</v>
      </c>
      <c r="F822" s="979" t="s">
        <v>4685</v>
      </c>
      <c r="G822" s="979" t="s">
        <v>4685</v>
      </c>
      <c r="H822" s="1030">
        <v>183808</v>
      </c>
      <c r="I822" s="1030">
        <v>197410</v>
      </c>
      <c r="J822" s="1034">
        <v>1</v>
      </c>
      <c r="K822" s="1030">
        <v>183808</v>
      </c>
      <c r="L822" s="1030">
        <v>183808</v>
      </c>
      <c r="M822" s="979">
        <v>599</v>
      </c>
    </row>
    <row r="823" spans="1:13" ht="15">
      <c r="A823" s="979" t="s">
        <v>3513</v>
      </c>
      <c r="B823" s="722" t="str">
        <f>CONCATENATE(LEFT(RIGHT(CONCATENATE("000",IFAData_TEA!A823),6),3),"-",(RIGHT(RIGHT(CONCATENATE("000",IFAData_TEA!A823),6),3)))</f>
        <v>082-902</v>
      </c>
      <c r="C823" s="979" t="s">
        <v>2179</v>
      </c>
      <c r="D823" s="979">
        <v>5</v>
      </c>
      <c r="E823" s="979">
        <v>1764</v>
      </c>
      <c r="F823" s="979" t="s">
        <v>4682</v>
      </c>
      <c r="G823" s="979" t="s">
        <v>4683</v>
      </c>
      <c r="H823" s="1030">
        <v>192327</v>
      </c>
      <c r="I823" s="1030">
        <v>73440</v>
      </c>
      <c r="J823" s="1034">
        <v>0.40148040432313048</v>
      </c>
      <c r="K823" s="1030">
        <v>77215.521722254722</v>
      </c>
      <c r="L823" s="1030">
        <v>73440</v>
      </c>
      <c r="M823" s="979">
        <v>599</v>
      </c>
    </row>
    <row r="824" spans="1:13" ht="15">
      <c r="A824" s="979" t="s">
        <v>3514</v>
      </c>
      <c r="B824" s="722" t="str">
        <f>CONCATENATE(LEFT(RIGHT(CONCATENATE("000",IFAData_TEA!A824),6),3),"-",(RIGHT(RIGHT(CONCATENATE("000",IFAData_TEA!A824),6),3)))</f>
        <v>082-903</v>
      </c>
      <c r="C824" s="979" t="s">
        <v>2592</v>
      </c>
      <c r="D824" s="979">
        <v>6</v>
      </c>
      <c r="E824" s="979">
        <v>2182</v>
      </c>
      <c r="F824" s="979" t="s">
        <v>4686</v>
      </c>
      <c r="G824" s="979" t="s">
        <v>4688</v>
      </c>
      <c r="H824" s="1030">
        <v>496016</v>
      </c>
      <c r="I824" s="1030">
        <v>304050</v>
      </c>
      <c r="J824" s="1034">
        <v>0.64118109754683117</v>
      </c>
      <c r="K824" s="1030">
        <v>318036.08328078903</v>
      </c>
      <c r="L824" s="1030">
        <v>304050</v>
      </c>
      <c r="M824" s="979">
        <v>599</v>
      </c>
    </row>
    <row r="825" spans="1:13" ht="15">
      <c r="A825" s="979" t="s">
        <v>3514</v>
      </c>
      <c r="B825" s="722" t="str">
        <f>CONCATENATE(LEFT(RIGHT(CONCATENATE("000",IFAData_TEA!A825),6),3),"-",(RIGHT(RIGHT(CONCATENATE("000",IFAData_TEA!A825),6),3)))</f>
        <v>082-903</v>
      </c>
      <c r="C825" s="979" t="s">
        <v>2592</v>
      </c>
      <c r="D825" s="979">
        <v>6</v>
      </c>
      <c r="E825" s="979">
        <v>2182</v>
      </c>
      <c r="F825" s="979" t="s">
        <v>4686</v>
      </c>
      <c r="G825" s="979" t="s">
        <v>4686</v>
      </c>
      <c r="H825" s="1030">
        <v>496016</v>
      </c>
      <c r="I825" s="1030">
        <v>0</v>
      </c>
      <c r="J825" s="1034">
        <v>0</v>
      </c>
      <c r="K825" s="1030">
        <v>0</v>
      </c>
      <c r="L825" s="1030">
        <v>0</v>
      </c>
      <c r="M825" s="979">
        <v>599</v>
      </c>
    </row>
    <row r="826" spans="1:13" ht="15">
      <c r="A826" s="979" t="s">
        <v>3514</v>
      </c>
      <c r="B826" s="722" t="str">
        <f>CONCATENATE(LEFT(RIGHT(CONCATENATE("000",IFAData_TEA!A826),6),3),"-",(RIGHT(RIGHT(CONCATENATE("000",IFAData_TEA!A826),6),3)))</f>
        <v>082-903</v>
      </c>
      <c r="C826" s="979" t="s">
        <v>2592</v>
      </c>
      <c r="D826" s="979">
        <v>6</v>
      </c>
      <c r="E826" s="979">
        <v>2182</v>
      </c>
      <c r="F826" s="979" t="s">
        <v>4686</v>
      </c>
      <c r="G826" s="979" t="s">
        <v>4687</v>
      </c>
      <c r="H826" s="1030">
        <v>496016</v>
      </c>
      <c r="I826" s="1030">
        <v>170153</v>
      </c>
      <c r="J826" s="1034">
        <v>0.35881890245316878</v>
      </c>
      <c r="K826" s="1030">
        <v>177979.91671921097</v>
      </c>
      <c r="L826" s="1030">
        <v>170153</v>
      </c>
      <c r="M826" s="979">
        <v>599</v>
      </c>
    </row>
    <row r="827" spans="1:13" ht="15">
      <c r="A827" s="979" t="s">
        <v>3514</v>
      </c>
      <c r="B827" s="722" t="str">
        <f>CONCATENATE(LEFT(RIGHT(CONCATENATE("000",IFAData_TEA!A827),6),3),"-",(RIGHT(RIGHT(CONCATENATE("000",IFAData_TEA!A827),6),3)))</f>
        <v>082-903</v>
      </c>
      <c r="C827" s="979" t="s">
        <v>2592</v>
      </c>
      <c r="D827" s="979">
        <v>9</v>
      </c>
      <c r="E827" s="979">
        <v>2181</v>
      </c>
      <c r="F827" s="979" t="s">
        <v>4689</v>
      </c>
      <c r="G827" s="979" t="s">
        <v>4689</v>
      </c>
      <c r="H827" s="1030">
        <v>285496</v>
      </c>
      <c r="I827" s="1030">
        <v>549954</v>
      </c>
      <c r="J827" s="1034">
        <v>1</v>
      </c>
      <c r="K827" s="1030">
        <v>285496</v>
      </c>
      <c r="L827" s="1030">
        <v>285496</v>
      </c>
      <c r="M827" s="979">
        <v>599</v>
      </c>
    </row>
    <row r="828" spans="1:13" ht="15">
      <c r="A828" s="979" t="s">
        <v>3515</v>
      </c>
      <c r="B828" s="722" t="str">
        <f>CONCATENATE(LEFT(RIGHT(CONCATENATE("000",IFAData_TEA!A828),6),3),"-",(RIGHT(RIGHT(CONCATENATE("000",IFAData_TEA!A828),6),3)))</f>
        <v>084-909</v>
      </c>
      <c r="C828" s="979" t="s">
        <v>85</v>
      </c>
      <c r="D828" s="979">
        <v>10</v>
      </c>
      <c r="E828" s="979">
        <v>2308</v>
      </c>
      <c r="F828" s="979" t="s">
        <v>4694</v>
      </c>
      <c r="G828" s="979" t="s">
        <v>6250</v>
      </c>
      <c r="H828" s="1030">
        <v>1049443</v>
      </c>
      <c r="I828" s="1030">
        <v>54324</v>
      </c>
      <c r="J828" s="1034">
        <v>3.951643935960731E-2</v>
      </c>
      <c r="K828" s="1030">
        <v>41470.25067086437</v>
      </c>
      <c r="L828" s="1030">
        <v>41470.25067086437</v>
      </c>
      <c r="M828" s="979">
        <v>599</v>
      </c>
    </row>
    <row r="829" spans="1:13" ht="15">
      <c r="A829" s="979" t="s">
        <v>3515</v>
      </c>
      <c r="B829" s="722" t="str">
        <f>CONCATENATE(LEFT(RIGHT(CONCATENATE("000",IFAData_TEA!A829),6),3),"-",(RIGHT(RIGHT(CONCATENATE("000",IFAData_TEA!A829),6),3)))</f>
        <v>084-909</v>
      </c>
      <c r="C829" s="979" t="s">
        <v>85</v>
      </c>
      <c r="D829" s="979">
        <v>1</v>
      </c>
      <c r="E829" s="979">
        <v>2307</v>
      </c>
      <c r="F829" s="979" t="s">
        <v>4690</v>
      </c>
      <c r="G829" s="979" t="s">
        <v>4693</v>
      </c>
      <c r="H829" s="1030">
        <v>1012578</v>
      </c>
      <c r="I829" s="1030">
        <v>0</v>
      </c>
      <c r="J829" s="1034">
        <v>0</v>
      </c>
      <c r="K829" s="1030">
        <v>0</v>
      </c>
      <c r="L829" s="1030">
        <v>0</v>
      </c>
      <c r="M829" s="979">
        <v>599</v>
      </c>
    </row>
    <row r="830" spans="1:13" ht="15">
      <c r="A830" s="979" t="s">
        <v>3515</v>
      </c>
      <c r="B830" s="722" t="str">
        <f>CONCATENATE(LEFT(RIGHT(CONCATENATE("000",IFAData_TEA!A830),6),3),"-",(RIGHT(RIGHT(CONCATENATE("000",IFAData_TEA!A830),6),3)))</f>
        <v>084-909</v>
      </c>
      <c r="C830" s="979" t="s">
        <v>85</v>
      </c>
      <c r="D830" s="979">
        <v>1</v>
      </c>
      <c r="E830" s="979">
        <v>2307</v>
      </c>
      <c r="F830" s="979" t="s">
        <v>4690</v>
      </c>
      <c r="G830" s="979" t="s">
        <v>4690</v>
      </c>
      <c r="H830" s="1030">
        <v>1012578</v>
      </c>
      <c r="I830" s="1030">
        <v>0</v>
      </c>
      <c r="J830" s="1034">
        <v>0</v>
      </c>
      <c r="K830" s="1030">
        <v>0</v>
      </c>
      <c r="L830" s="1030">
        <v>0</v>
      </c>
      <c r="M830" s="979">
        <v>599</v>
      </c>
    </row>
    <row r="831" spans="1:13" ht="15">
      <c r="A831" s="979" t="s">
        <v>3515</v>
      </c>
      <c r="B831" s="722" t="str">
        <f>CONCATENATE(LEFT(RIGHT(CONCATENATE("000",IFAData_TEA!A831),6),3),"-",(RIGHT(RIGHT(CONCATENATE("000",IFAData_TEA!A831),6),3)))</f>
        <v>084-909</v>
      </c>
      <c r="C831" s="979" t="s">
        <v>85</v>
      </c>
      <c r="D831" s="979">
        <v>1</v>
      </c>
      <c r="E831" s="979">
        <v>2307</v>
      </c>
      <c r="F831" s="979" t="s">
        <v>4690</v>
      </c>
      <c r="G831" s="979" t="s">
        <v>4691</v>
      </c>
      <c r="H831" s="1030">
        <v>1012578</v>
      </c>
      <c r="I831" s="1030">
        <v>1117575</v>
      </c>
      <c r="J831" s="1034">
        <v>0.77530390914256098</v>
      </c>
      <c r="K831" s="1030">
        <v>785055.68171175616</v>
      </c>
      <c r="L831" s="1030">
        <v>785055.68171175616</v>
      </c>
      <c r="M831" s="979">
        <v>599</v>
      </c>
    </row>
    <row r="832" spans="1:13" ht="15">
      <c r="A832" s="979" t="s">
        <v>3515</v>
      </c>
      <c r="B832" s="722" t="str">
        <f>CONCATENATE(LEFT(RIGHT(CONCATENATE("000",IFAData_TEA!A832),6),3),"-",(RIGHT(RIGHT(CONCATENATE("000",IFAData_TEA!A832),6),3)))</f>
        <v>084-909</v>
      </c>
      <c r="C832" s="979" t="s">
        <v>85</v>
      </c>
      <c r="D832" s="979">
        <v>1</v>
      </c>
      <c r="E832" s="979">
        <v>2307</v>
      </c>
      <c r="F832" s="979" t="s">
        <v>4690</v>
      </c>
      <c r="G832" s="979" t="s">
        <v>4692</v>
      </c>
      <c r="H832" s="1030">
        <v>1012578</v>
      </c>
      <c r="I832" s="1030">
        <v>323892</v>
      </c>
      <c r="J832" s="1034">
        <v>0.224696090857439</v>
      </c>
      <c r="K832" s="1030">
        <v>227522.31828824387</v>
      </c>
      <c r="L832" s="1030">
        <v>227522.31828824387</v>
      </c>
      <c r="M832" s="979">
        <v>599</v>
      </c>
    </row>
    <row r="833" spans="1:13" ht="15">
      <c r="A833" s="979" t="s">
        <v>3515</v>
      </c>
      <c r="B833" s="722" t="str">
        <f>CONCATENATE(LEFT(RIGHT(CONCATENATE("000",IFAData_TEA!A833),6),3),"-",(RIGHT(RIGHT(CONCATENATE("000",IFAData_TEA!A833),6),3)))</f>
        <v>084-909</v>
      </c>
      <c r="C833" s="979" t="s">
        <v>85</v>
      </c>
      <c r="D833" s="979">
        <v>10</v>
      </c>
      <c r="E833" s="979">
        <v>2308</v>
      </c>
      <c r="F833" s="979" t="s">
        <v>4694</v>
      </c>
      <c r="G833" s="979" t="s">
        <v>4694</v>
      </c>
      <c r="H833" s="1030">
        <v>1049443</v>
      </c>
      <c r="I833" s="1030">
        <v>1320395</v>
      </c>
      <c r="J833" s="1034">
        <v>0.96048356064039264</v>
      </c>
      <c r="K833" s="1030">
        <v>1007972.7493291355</v>
      </c>
      <c r="L833" s="1030">
        <v>1007972.7493291355</v>
      </c>
      <c r="M833" s="979">
        <v>599</v>
      </c>
    </row>
    <row r="834" spans="1:13" ht="15">
      <c r="A834" s="979" t="s">
        <v>3516</v>
      </c>
      <c r="B834" s="722" t="str">
        <f>CONCATENATE(LEFT(RIGHT(CONCATENATE("000",IFAData_TEA!A834),6),3),"-",(RIGHT(RIGHT(CONCATENATE("000",IFAData_TEA!A834),6),3)))</f>
        <v>084-911</v>
      </c>
      <c r="C834" s="979" t="s">
        <v>1476</v>
      </c>
      <c r="D834" s="979">
        <v>2</v>
      </c>
      <c r="E834" s="979">
        <v>1829</v>
      </c>
      <c r="F834" s="979" t="s">
        <v>4695</v>
      </c>
      <c r="G834" s="979" t="s">
        <v>4695</v>
      </c>
      <c r="H834" s="1030">
        <v>1100400</v>
      </c>
      <c r="I834" s="1030">
        <v>0</v>
      </c>
      <c r="J834" s="1034">
        <v>0</v>
      </c>
      <c r="K834" s="1030">
        <v>0</v>
      </c>
      <c r="L834" s="1030">
        <v>0</v>
      </c>
      <c r="M834" s="979">
        <v>599</v>
      </c>
    </row>
    <row r="835" spans="1:13" ht="15">
      <c r="A835" s="979" t="s">
        <v>3516</v>
      </c>
      <c r="B835" s="722" t="str">
        <f>CONCATENATE(LEFT(RIGHT(CONCATENATE("000",IFAData_TEA!A835),6),3),"-",(RIGHT(RIGHT(CONCATENATE("000",IFAData_TEA!A835),6),3)))</f>
        <v>084-911</v>
      </c>
      <c r="C835" s="979" t="s">
        <v>1476</v>
      </c>
      <c r="D835" s="979">
        <v>2</v>
      </c>
      <c r="E835" s="979">
        <v>1829</v>
      </c>
      <c r="F835" s="979" t="s">
        <v>4695</v>
      </c>
      <c r="G835" s="979" t="s">
        <v>4697</v>
      </c>
      <c r="H835" s="1030">
        <v>1100400</v>
      </c>
      <c r="I835" s="1030">
        <v>0</v>
      </c>
      <c r="J835" s="1034">
        <v>0</v>
      </c>
      <c r="K835" s="1030">
        <v>0</v>
      </c>
      <c r="L835" s="1030">
        <v>0</v>
      </c>
      <c r="M835" s="979">
        <v>599</v>
      </c>
    </row>
    <row r="836" spans="1:13" ht="15">
      <c r="A836" s="979" t="s">
        <v>3516</v>
      </c>
      <c r="B836" s="722" t="str">
        <f>CONCATENATE(LEFT(RIGHT(CONCATENATE("000",IFAData_TEA!A836),6),3),"-",(RIGHT(RIGHT(CONCATENATE("000",IFAData_TEA!A836),6),3)))</f>
        <v>084-911</v>
      </c>
      <c r="C836" s="979" t="s">
        <v>1476</v>
      </c>
      <c r="D836" s="979">
        <v>2</v>
      </c>
      <c r="E836" s="979">
        <v>1829</v>
      </c>
      <c r="F836" s="979" t="s">
        <v>4695</v>
      </c>
      <c r="G836" s="979" t="s">
        <v>4696</v>
      </c>
      <c r="H836" s="1030">
        <v>1100400</v>
      </c>
      <c r="I836" s="1030">
        <v>1250170</v>
      </c>
      <c r="J836" s="1034">
        <v>1</v>
      </c>
      <c r="K836" s="1030">
        <v>1100400</v>
      </c>
      <c r="L836" s="1030">
        <v>1100400</v>
      </c>
      <c r="M836" s="979">
        <v>599</v>
      </c>
    </row>
    <row r="837" spans="1:13" ht="15">
      <c r="A837" s="979" t="s">
        <v>3517</v>
      </c>
      <c r="B837" s="722" t="str">
        <f>CONCATENATE(LEFT(RIGHT(CONCATENATE("000",IFAData_TEA!A837),6),3),"-",(RIGHT(RIGHT(CONCATENATE("000",IFAData_TEA!A837),6),3)))</f>
        <v>089-901</v>
      </c>
      <c r="C837" s="979" t="s">
        <v>861</v>
      </c>
      <c r="D837" s="979">
        <v>2</v>
      </c>
      <c r="E837" s="979">
        <v>1850</v>
      </c>
      <c r="F837" s="979" t="s">
        <v>4698</v>
      </c>
      <c r="G837" s="979" t="s">
        <v>4699</v>
      </c>
      <c r="H837" s="1030">
        <v>566258</v>
      </c>
      <c r="I837" s="1030">
        <v>574410</v>
      </c>
      <c r="J837" s="1034">
        <v>1</v>
      </c>
      <c r="K837" s="1030">
        <v>566258</v>
      </c>
      <c r="L837" s="1030">
        <v>566258</v>
      </c>
      <c r="M837" s="979">
        <v>599</v>
      </c>
    </row>
    <row r="838" spans="1:13" ht="15">
      <c r="A838" s="979" t="s">
        <v>3517</v>
      </c>
      <c r="B838" s="722" t="str">
        <f>CONCATENATE(LEFT(RIGHT(CONCATENATE("000",IFAData_TEA!A838),6),3),"-",(RIGHT(RIGHT(CONCATENATE("000",IFAData_TEA!A838),6),3)))</f>
        <v>089-901</v>
      </c>
      <c r="C838" s="979" t="s">
        <v>861</v>
      </c>
      <c r="D838" s="979">
        <v>2</v>
      </c>
      <c r="E838" s="979">
        <v>1850</v>
      </c>
      <c r="F838" s="979" t="s">
        <v>4698</v>
      </c>
      <c r="G838" s="979" t="s">
        <v>4698</v>
      </c>
      <c r="H838" s="1030">
        <v>566258</v>
      </c>
      <c r="I838" s="1030">
        <v>0</v>
      </c>
      <c r="J838" s="1034">
        <v>0</v>
      </c>
      <c r="K838" s="1030">
        <v>0</v>
      </c>
      <c r="L838" s="1030">
        <v>0</v>
      </c>
      <c r="M838" s="979">
        <v>599</v>
      </c>
    </row>
    <row r="839" spans="1:13" ht="15">
      <c r="A839" s="979" t="s">
        <v>3518</v>
      </c>
      <c r="B839" s="722" t="str">
        <f>CONCATENATE(LEFT(RIGHT(CONCATENATE("000",IFAData_TEA!A839),6),3),"-",(RIGHT(RIGHT(CONCATENATE("000",IFAData_TEA!A839),6),3)))</f>
        <v>090-904</v>
      </c>
      <c r="C839" s="979" t="s">
        <v>1364</v>
      </c>
      <c r="D839" s="979">
        <v>1</v>
      </c>
      <c r="E839" s="979">
        <v>2172</v>
      </c>
      <c r="F839" s="979" t="s">
        <v>4700</v>
      </c>
      <c r="G839" s="979" t="s">
        <v>4701</v>
      </c>
      <c r="H839" s="1030">
        <v>779066</v>
      </c>
      <c r="I839" s="1030">
        <v>585860</v>
      </c>
      <c r="J839" s="1034">
        <v>0.5265163429824482</v>
      </c>
      <c r="K839" s="1030">
        <v>410190.98126196401</v>
      </c>
      <c r="L839" s="1030">
        <v>410190.98126196401</v>
      </c>
      <c r="M839" s="979">
        <v>599</v>
      </c>
    </row>
    <row r="840" spans="1:13" ht="15">
      <c r="A840" s="979" t="s">
        <v>3518</v>
      </c>
      <c r="B840" s="722" t="str">
        <f>CONCATENATE(LEFT(RIGHT(CONCATENATE("000",IFAData_TEA!A840),6),3),"-",(RIGHT(RIGHT(CONCATENATE("000",IFAData_TEA!A840),6),3)))</f>
        <v>090-904</v>
      </c>
      <c r="C840" s="979" t="s">
        <v>1364</v>
      </c>
      <c r="D840" s="979">
        <v>1</v>
      </c>
      <c r="E840" s="979">
        <v>2172</v>
      </c>
      <c r="F840" s="979" t="s">
        <v>4700</v>
      </c>
      <c r="G840" s="979" t="s">
        <v>4700</v>
      </c>
      <c r="H840" s="1030">
        <v>779066</v>
      </c>
      <c r="I840" s="1030">
        <v>0</v>
      </c>
      <c r="J840" s="1034">
        <v>0</v>
      </c>
      <c r="K840" s="1030">
        <v>0</v>
      </c>
      <c r="L840" s="1030">
        <v>0</v>
      </c>
      <c r="M840" s="979">
        <v>599</v>
      </c>
    </row>
    <row r="841" spans="1:13" ht="15">
      <c r="A841" s="979" t="s">
        <v>3518</v>
      </c>
      <c r="B841" s="722" t="str">
        <f>CONCATENATE(LEFT(RIGHT(CONCATENATE("000",IFAData_TEA!A841),6),3),"-",(RIGHT(RIGHT(CONCATENATE("000",IFAData_TEA!A841),6),3)))</f>
        <v>090-904</v>
      </c>
      <c r="C841" s="979" t="s">
        <v>1364</v>
      </c>
      <c r="D841" s="979">
        <v>1</v>
      </c>
      <c r="E841" s="979">
        <v>2172</v>
      </c>
      <c r="F841" s="979" t="s">
        <v>4700</v>
      </c>
      <c r="G841" s="979" t="s">
        <v>4702</v>
      </c>
      <c r="H841" s="1030">
        <v>779066</v>
      </c>
      <c r="I841" s="1030">
        <v>526850</v>
      </c>
      <c r="J841" s="1034">
        <v>0.47348365701755174</v>
      </c>
      <c r="K841" s="1030">
        <v>368875.01873803599</v>
      </c>
      <c r="L841" s="1030">
        <v>368875.01873803599</v>
      </c>
      <c r="M841" s="979">
        <v>599</v>
      </c>
    </row>
    <row r="842" spans="1:13" ht="15">
      <c r="A842" s="979" t="s">
        <v>3519</v>
      </c>
      <c r="B842" s="722" t="str">
        <f>CONCATENATE(LEFT(RIGHT(CONCATENATE("000",IFAData_TEA!A842),6),3),"-",(RIGHT(RIGHT(CONCATENATE("000",IFAData_TEA!A842),6),3)))</f>
        <v>091-901</v>
      </c>
      <c r="C842" s="979" t="s">
        <v>1560</v>
      </c>
      <c r="D842" s="979">
        <v>3</v>
      </c>
      <c r="E842" s="979">
        <v>1600</v>
      </c>
      <c r="F842" s="979" t="s">
        <v>4706</v>
      </c>
      <c r="G842" s="979" t="s">
        <v>4706</v>
      </c>
      <c r="H842" s="1030">
        <v>51750</v>
      </c>
      <c r="I842" s="1030">
        <v>0</v>
      </c>
      <c r="J842" s="1034">
        <v>0</v>
      </c>
      <c r="K842" s="1030">
        <v>0</v>
      </c>
      <c r="L842" s="1030">
        <v>0</v>
      </c>
      <c r="M842" s="979">
        <v>599</v>
      </c>
    </row>
    <row r="843" spans="1:13" ht="15">
      <c r="A843" s="979" t="s">
        <v>3519</v>
      </c>
      <c r="B843" s="722" t="str">
        <f>CONCATENATE(LEFT(RIGHT(CONCATENATE("000",IFAData_TEA!A843),6),3),"-",(RIGHT(RIGHT(CONCATENATE("000",IFAData_TEA!A843),6),3)))</f>
        <v>091-901</v>
      </c>
      <c r="C843" s="979" t="s">
        <v>1560</v>
      </c>
      <c r="D843" s="979">
        <v>2</v>
      </c>
      <c r="E843" s="979">
        <v>1601</v>
      </c>
      <c r="F843" s="979" t="s">
        <v>4703</v>
      </c>
      <c r="G843" s="979" t="s">
        <v>4703</v>
      </c>
      <c r="H843" s="1030">
        <v>85000</v>
      </c>
      <c r="I843" s="1030">
        <v>0</v>
      </c>
      <c r="J843" s="1034">
        <v>0</v>
      </c>
      <c r="K843" s="1030">
        <v>0</v>
      </c>
      <c r="L843" s="1030">
        <v>0</v>
      </c>
      <c r="M843" s="979">
        <v>599</v>
      </c>
    </row>
    <row r="844" spans="1:13" ht="15">
      <c r="A844" s="979" t="s">
        <v>3519</v>
      </c>
      <c r="B844" s="722" t="str">
        <f>CONCATENATE(LEFT(RIGHT(CONCATENATE("000",IFAData_TEA!A844),6),3),"-",(RIGHT(RIGHT(CONCATENATE("000",IFAData_TEA!A844),6),3)))</f>
        <v>091-901</v>
      </c>
      <c r="C844" s="979" t="s">
        <v>1560</v>
      </c>
      <c r="D844" s="979">
        <v>3</v>
      </c>
      <c r="E844" s="979">
        <v>1600</v>
      </c>
      <c r="F844" s="979" t="s">
        <v>4706</v>
      </c>
      <c r="G844" s="979" t="s">
        <v>4705</v>
      </c>
      <c r="H844" s="1030">
        <v>51750</v>
      </c>
      <c r="I844" s="1030">
        <v>48814</v>
      </c>
      <c r="J844" s="1034">
        <v>1</v>
      </c>
      <c r="K844" s="1030">
        <v>51750</v>
      </c>
      <c r="L844" s="1030">
        <v>48814</v>
      </c>
      <c r="M844" s="979">
        <v>599</v>
      </c>
    </row>
    <row r="845" spans="1:13" ht="15">
      <c r="A845" s="979" t="s">
        <v>3519</v>
      </c>
      <c r="B845" s="722" t="str">
        <f>CONCATENATE(LEFT(RIGHT(CONCATENATE("000",IFAData_TEA!A845),6),3),"-",(RIGHT(RIGHT(CONCATENATE("000",IFAData_TEA!A845),6),3)))</f>
        <v>091-901</v>
      </c>
      <c r="C845" s="979" t="s">
        <v>1560</v>
      </c>
      <c r="D845" s="979">
        <v>2</v>
      </c>
      <c r="E845" s="979">
        <v>1601</v>
      </c>
      <c r="F845" s="979" t="s">
        <v>4703</v>
      </c>
      <c r="G845" s="979" t="s">
        <v>4705</v>
      </c>
      <c r="H845" s="1030">
        <v>85000</v>
      </c>
      <c r="I845" s="1030">
        <v>129571</v>
      </c>
      <c r="J845" s="1034">
        <v>0.53450957258540244</v>
      </c>
      <c r="K845" s="1030">
        <v>45433.313669759205</v>
      </c>
      <c r="L845" s="1030">
        <v>45433.313669759205</v>
      </c>
      <c r="M845" s="979">
        <v>599</v>
      </c>
    </row>
    <row r="846" spans="1:13" ht="15">
      <c r="A846" s="979" t="s">
        <v>3519</v>
      </c>
      <c r="B846" s="722" t="str">
        <f>CONCATENATE(LEFT(RIGHT(CONCATENATE("000",IFAData_TEA!A846),6),3),"-",(RIGHT(RIGHT(CONCATENATE("000",IFAData_TEA!A846),6),3)))</f>
        <v>091-901</v>
      </c>
      <c r="C846" s="979" t="s">
        <v>1560</v>
      </c>
      <c r="D846" s="979">
        <v>2</v>
      </c>
      <c r="E846" s="979">
        <v>1601</v>
      </c>
      <c r="F846" s="979" t="s">
        <v>4703</v>
      </c>
      <c r="G846" s="979" t="s">
        <v>4704</v>
      </c>
      <c r="H846" s="1030">
        <v>85000</v>
      </c>
      <c r="I846" s="1030">
        <v>112840</v>
      </c>
      <c r="J846" s="1034">
        <v>0.46549042741459751</v>
      </c>
      <c r="K846" s="1030">
        <v>39566.686330240787</v>
      </c>
      <c r="L846" s="1030">
        <v>39566.686330240787</v>
      </c>
      <c r="M846" s="979">
        <v>599</v>
      </c>
    </row>
    <row r="847" spans="1:13" ht="15">
      <c r="A847" s="979" t="s">
        <v>3519</v>
      </c>
      <c r="B847" s="722" t="str">
        <f>CONCATENATE(LEFT(RIGHT(CONCATENATE("000",IFAData_TEA!A847),6),3),"-",(RIGHT(RIGHT(CONCATENATE("000",IFAData_TEA!A847),6),3)))</f>
        <v>091-901</v>
      </c>
      <c r="C847" s="979" t="s">
        <v>1560</v>
      </c>
      <c r="D847" s="979">
        <v>9</v>
      </c>
      <c r="E847" s="979">
        <v>1602</v>
      </c>
      <c r="F847" s="979" t="s">
        <v>4704</v>
      </c>
      <c r="G847" s="979" t="s">
        <v>4704</v>
      </c>
      <c r="H847" s="1030">
        <v>180464</v>
      </c>
      <c r="I847" s="1030">
        <v>430406</v>
      </c>
      <c r="J847" s="1034">
        <v>1</v>
      </c>
      <c r="K847" s="1030">
        <v>180464</v>
      </c>
      <c r="L847" s="1030">
        <v>180464</v>
      </c>
      <c r="M847" s="979">
        <v>599</v>
      </c>
    </row>
    <row r="848" spans="1:13" ht="15">
      <c r="A848" s="979" t="s">
        <v>4707</v>
      </c>
      <c r="B848" s="722" t="str">
        <f>CONCATENATE(LEFT(RIGHT(CONCATENATE("000",IFAData_TEA!A848),6),3),"-",(RIGHT(RIGHT(CONCATENATE("000",IFAData_TEA!A848),6),3)))</f>
        <v>091-902</v>
      </c>
      <c r="C848" s="979" t="s">
        <v>1445</v>
      </c>
      <c r="D848" s="979">
        <v>9</v>
      </c>
      <c r="E848" s="979">
        <v>1706</v>
      </c>
      <c r="F848" s="979" t="s">
        <v>4708</v>
      </c>
      <c r="G848" s="979" t="s">
        <v>4708</v>
      </c>
      <c r="H848" s="1030">
        <v>147510</v>
      </c>
      <c r="I848" s="1030">
        <v>0</v>
      </c>
      <c r="J848" s="1034">
        <v>0</v>
      </c>
      <c r="K848" s="1030"/>
      <c r="L848" s="1030">
        <v>0</v>
      </c>
      <c r="M848" s="979">
        <v>199</v>
      </c>
    </row>
    <row r="849" spans="1:13" ht="15">
      <c r="A849" s="979" t="s">
        <v>3520</v>
      </c>
      <c r="B849" s="722" t="str">
        <f>CONCATENATE(LEFT(RIGHT(CONCATENATE("000",IFAData_TEA!A849),6),3),"-",(RIGHT(RIGHT(CONCATENATE("000",IFAData_TEA!A849),6),3)))</f>
        <v>091-905</v>
      </c>
      <c r="C849" s="979" t="s">
        <v>2380</v>
      </c>
      <c r="D849" s="979">
        <v>5</v>
      </c>
      <c r="E849" s="979">
        <v>1904</v>
      </c>
      <c r="F849" s="979" t="s">
        <v>4709</v>
      </c>
      <c r="G849" s="979" t="s">
        <v>4711</v>
      </c>
      <c r="H849" s="1030">
        <v>308470</v>
      </c>
      <c r="I849" s="1030">
        <v>31406</v>
      </c>
      <c r="J849" s="1034">
        <v>5.5832293344426548E-2</v>
      </c>
      <c r="K849" s="1030">
        <v>17222.587527955257</v>
      </c>
      <c r="L849" s="1030">
        <v>17222.587527955257</v>
      </c>
      <c r="M849" s="979">
        <v>599</v>
      </c>
    </row>
    <row r="850" spans="1:13" ht="15">
      <c r="A850" s="979" t="s">
        <v>3520</v>
      </c>
      <c r="B850" s="722" t="str">
        <f>CONCATENATE(LEFT(RIGHT(CONCATENATE("000",IFAData_TEA!A850),6),3),"-",(RIGHT(RIGHT(CONCATENATE("000",IFAData_TEA!A850),6),3)))</f>
        <v>091-905</v>
      </c>
      <c r="C850" s="979" t="s">
        <v>2380</v>
      </c>
      <c r="D850" s="979">
        <v>5</v>
      </c>
      <c r="E850" s="979">
        <v>1904</v>
      </c>
      <c r="F850" s="979" t="s">
        <v>4709</v>
      </c>
      <c r="G850" s="979" t="s">
        <v>4710</v>
      </c>
      <c r="H850" s="1030">
        <v>308470</v>
      </c>
      <c r="I850" s="1030">
        <v>531100</v>
      </c>
      <c r="J850" s="1034">
        <v>0.94416770665557348</v>
      </c>
      <c r="K850" s="1030">
        <v>291247.41247204476</v>
      </c>
      <c r="L850" s="1030">
        <v>291247.41247204476</v>
      </c>
      <c r="M850" s="979">
        <v>599</v>
      </c>
    </row>
    <row r="851" spans="1:13" ht="15">
      <c r="A851" s="979" t="s">
        <v>3520</v>
      </c>
      <c r="B851" s="722" t="str">
        <f>CONCATENATE(LEFT(RIGHT(CONCATENATE("000",IFAData_TEA!A851),6),3),"-",(RIGHT(RIGHT(CONCATENATE("000",IFAData_TEA!A851),6),3)))</f>
        <v>091-905</v>
      </c>
      <c r="C851" s="979" t="s">
        <v>2380</v>
      </c>
      <c r="D851" s="979">
        <v>5</v>
      </c>
      <c r="E851" s="979">
        <v>1904</v>
      </c>
      <c r="F851" s="979" t="s">
        <v>4709</v>
      </c>
      <c r="G851" s="979" t="s">
        <v>4709</v>
      </c>
      <c r="H851" s="1030">
        <v>308470</v>
      </c>
      <c r="I851" s="1030">
        <v>0</v>
      </c>
      <c r="J851" s="1034">
        <v>0</v>
      </c>
      <c r="K851" s="1030">
        <v>0</v>
      </c>
      <c r="L851" s="1030">
        <v>0</v>
      </c>
      <c r="M851" s="979">
        <v>599</v>
      </c>
    </row>
    <row r="852" spans="1:13" ht="15">
      <c r="A852" s="979" t="s">
        <v>3520</v>
      </c>
      <c r="B852" s="722" t="str">
        <f>CONCATENATE(LEFT(RIGHT(CONCATENATE("000",IFAData_TEA!A852),6),3),"-",(RIGHT(RIGHT(CONCATENATE("000",IFAData_TEA!A852),6),3)))</f>
        <v>091-905</v>
      </c>
      <c r="C852" s="979" t="s">
        <v>2380</v>
      </c>
      <c r="D852" s="979">
        <v>5</v>
      </c>
      <c r="E852" s="979">
        <v>1903</v>
      </c>
      <c r="F852" s="979" t="s">
        <v>4712</v>
      </c>
      <c r="G852" s="979" t="s">
        <v>4712</v>
      </c>
      <c r="H852" s="1030">
        <v>153973</v>
      </c>
      <c r="I852" s="1030">
        <v>152757</v>
      </c>
      <c r="J852" s="1034">
        <v>1</v>
      </c>
      <c r="K852" s="1030">
        <v>153973</v>
      </c>
      <c r="L852" s="1030">
        <v>152757</v>
      </c>
      <c r="M852" s="979">
        <v>599</v>
      </c>
    </row>
    <row r="853" spans="1:13" ht="15">
      <c r="A853" s="979" t="s">
        <v>3521</v>
      </c>
      <c r="B853" s="722" t="str">
        <f>CONCATENATE(LEFT(RIGHT(CONCATENATE("000",IFAData_TEA!A853),6),3),"-",(RIGHT(RIGHT(CONCATENATE("000",IFAData_TEA!A853),6),3)))</f>
        <v>091-906</v>
      </c>
      <c r="C853" s="979" t="s">
        <v>1648</v>
      </c>
      <c r="D853" s="979">
        <v>9</v>
      </c>
      <c r="E853" s="979">
        <v>2331</v>
      </c>
      <c r="F853" s="979" t="s">
        <v>4713</v>
      </c>
      <c r="G853" s="979" t="s">
        <v>4715</v>
      </c>
      <c r="H853" s="1030">
        <v>1512500</v>
      </c>
      <c r="I853" s="1030">
        <v>776224</v>
      </c>
      <c r="J853" s="1034">
        <v>0.2162888138226626</v>
      </c>
      <c r="K853" s="1030">
        <v>327136.83090677718</v>
      </c>
      <c r="L853" s="1030">
        <v>327136.83090677718</v>
      </c>
      <c r="M853" s="979">
        <v>599</v>
      </c>
    </row>
    <row r="854" spans="1:13" ht="15">
      <c r="A854" s="979" t="s">
        <v>3521</v>
      </c>
      <c r="B854" s="722" t="str">
        <f>CONCATENATE(LEFT(RIGHT(CONCATENATE("000",IFAData_TEA!A854),6),3),"-",(RIGHT(RIGHT(CONCATENATE("000",IFAData_TEA!A854),6),3)))</f>
        <v>091-906</v>
      </c>
      <c r="C854" s="979" t="s">
        <v>1648</v>
      </c>
      <c r="D854" s="979">
        <v>9</v>
      </c>
      <c r="E854" s="979">
        <v>2331</v>
      </c>
      <c r="F854" s="979" t="s">
        <v>4713</v>
      </c>
      <c r="G854" s="979" t="s">
        <v>4714</v>
      </c>
      <c r="H854" s="1030">
        <v>1512500</v>
      </c>
      <c r="I854" s="1030">
        <v>156248</v>
      </c>
      <c r="J854" s="1034">
        <v>4.3537296685188021E-2</v>
      </c>
      <c r="K854" s="1030">
        <v>65850.161236346874</v>
      </c>
      <c r="L854" s="1030">
        <v>65850.161236346874</v>
      </c>
      <c r="M854" s="979">
        <v>599</v>
      </c>
    </row>
    <row r="855" spans="1:13" ht="15">
      <c r="A855" s="979" t="s">
        <v>3521</v>
      </c>
      <c r="B855" s="722" t="str">
        <f>CONCATENATE(LEFT(RIGHT(CONCATENATE("000",IFAData_TEA!A855),6),3),"-",(RIGHT(RIGHT(CONCATENATE("000",IFAData_TEA!A855),6),3)))</f>
        <v>091-906</v>
      </c>
      <c r="C855" s="979" t="s">
        <v>1648</v>
      </c>
      <c r="D855" s="979">
        <v>9</v>
      </c>
      <c r="E855" s="979">
        <v>2331</v>
      </c>
      <c r="F855" s="979" t="s">
        <v>4713</v>
      </c>
      <c r="G855" s="979" t="s">
        <v>4713</v>
      </c>
      <c r="H855" s="1030">
        <v>1512500</v>
      </c>
      <c r="I855" s="1030">
        <v>2656359</v>
      </c>
      <c r="J855" s="1034">
        <v>0.74017388949214935</v>
      </c>
      <c r="K855" s="1030">
        <v>1119513.0078568759</v>
      </c>
      <c r="L855" s="1030">
        <v>1119513.0078568759</v>
      </c>
      <c r="M855" s="979">
        <v>599</v>
      </c>
    </row>
    <row r="856" spans="1:13" ht="15">
      <c r="A856" s="979" t="s">
        <v>3522</v>
      </c>
      <c r="B856" s="722" t="str">
        <f>CONCATENATE(LEFT(RIGHT(CONCATENATE("000",IFAData_TEA!A856),6),3),"-",(RIGHT(RIGHT(CONCATENATE("000",IFAData_TEA!A856),6),3)))</f>
        <v>091-908</v>
      </c>
      <c r="C856" s="979" t="s">
        <v>2365</v>
      </c>
      <c r="D856" s="979">
        <v>6</v>
      </c>
      <c r="E856" s="979">
        <v>2418</v>
      </c>
      <c r="F856" s="979" t="s">
        <v>4718</v>
      </c>
      <c r="G856" s="979" t="s">
        <v>4718</v>
      </c>
      <c r="H856" s="1030">
        <v>15230</v>
      </c>
      <c r="I856" s="1030">
        <v>0</v>
      </c>
      <c r="J856" s="1034">
        <v>0</v>
      </c>
      <c r="K856" s="1030">
        <v>0</v>
      </c>
      <c r="L856" s="1030">
        <v>0</v>
      </c>
      <c r="M856" s="979">
        <v>599</v>
      </c>
    </row>
    <row r="857" spans="1:13" ht="15">
      <c r="A857" s="979" t="s">
        <v>3522</v>
      </c>
      <c r="B857" s="722" t="str">
        <f>CONCATENATE(LEFT(RIGHT(CONCATENATE("000",IFAData_TEA!A857),6),3),"-",(RIGHT(RIGHT(CONCATENATE("000",IFAData_TEA!A857),6),3)))</f>
        <v>091-908</v>
      </c>
      <c r="C857" s="979" t="s">
        <v>2365</v>
      </c>
      <c r="D857" s="979">
        <v>6</v>
      </c>
      <c r="E857" s="979">
        <v>2418</v>
      </c>
      <c r="F857" s="979" t="s">
        <v>4718</v>
      </c>
      <c r="G857" s="979" t="s">
        <v>4719</v>
      </c>
      <c r="H857" s="1030">
        <v>15230</v>
      </c>
      <c r="I857" s="1030">
        <v>283950</v>
      </c>
      <c r="J857" s="1034">
        <v>1</v>
      </c>
      <c r="K857" s="1030">
        <v>15230</v>
      </c>
      <c r="L857" s="1030">
        <v>15230</v>
      </c>
      <c r="M857" s="979">
        <v>599</v>
      </c>
    </row>
    <row r="858" spans="1:13" ht="15">
      <c r="A858" s="979" t="s">
        <v>3522</v>
      </c>
      <c r="B858" s="722" t="str">
        <f>CONCATENATE(LEFT(RIGHT(CONCATENATE("000",IFAData_TEA!A858),6),3),"-",(RIGHT(RIGHT(CONCATENATE("000",IFAData_TEA!A858),6),3)))</f>
        <v>091-908</v>
      </c>
      <c r="C858" s="979" t="s">
        <v>2365</v>
      </c>
      <c r="D858" s="979">
        <v>5</v>
      </c>
      <c r="E858" s="979">
        <v>2420</v>
      </c>
      <c r="F858" s="979" t="s">
        <v>4716</v>
      </c>
      <c r="G858" s="979" t="s">
        <v>4716</v>
      </c>
      <c r="H858" s="1030">
        <v>304630</v>
      </c>
      <c r="I858" s="1030">
        <v>0</v>
      </c>
      <c r="J858" s="1034">
        <v>0</v>
      </c>
      <c r="K858" s="1030">
        <v>0</v>
      </c>
      <c r="L858" s="1030">
        <v>0</v>
      </c>
      <c r="M858" s="979">
        <v>599</v>
      </c>
    </row>
    <row r="859" spans="1:13" ht="15">
      <c r="A859" s="979" t="s">
        <v>3522</v>
      </c>
      <c r="B859" s="722" t="str">
        <f>CONCATENATE(LEFT(RIGHT(CONCATENATE("000",IFAData_TEA!A859),6),3),"-",(RIGHT(RIGHT(CONCATENATE("000",IFAData_TEA!A859),6),3)))</f>
        <v>091-908</v>
      </c>
      <c r="C859" s="979" t="s">
        <v>2365</v>
      </c>
      <c r="D859" s="979">
        <v>5</v>
      </c>
      <c r="E859" s="979">
        <v>2420</v>
      </c>
      <c r="F859" s="979" t="s">
        <v>4716</v>
      </c>
      <c r="G859" s="979" t="s">
        <v>4717</v>
      </c>
      <c r="H859" s="1030">
        <v>304630</v>
      </c>
      <c r="I859" s="1030">
        <v>419605</v>
      </c>
      <c r="J859" s="1034">
        <v>1</v>
      </c>
      <c r="K859" s="1030">
        <v>304630</v>
      </c>
      <c r="L859" s="1030">
        <v>304630</v>
      </c>
      <c r="M859" s="979">
        <v>599</v>
      </c>
    </row>
    <row r="860" spans="1:13" ht="15">
      <c r="A860" s="979" t="s">
        <v>3522</v>
      </c>
      <c r="B860" s="722" t="str">
        <f>CONCATENATE(LEFT(RIGHT(CONCATENATE("000",IFAData_TEA!A860),6),3),"-",(RIGHT(RIGHT(CONCATENATE("000",IFAData_TEA!A860),6),3)))</f>
        <v>091-908</v>
      </c>
      <c r="C860" s="979" t="s">
        <v>2365</v>
      </c>
      <c r="D860" s="979">
        <v>9</v>
      </c>
      <c r="E860" s="979">
        <v>2419</v>
      </c>
      <c r="F860" s="979" t="s">
        <v>4720</v>
      </c>
      <c r="G860" s="979" t="s">
        <v>4720</v>
      </c>
      <c r="H860" s="1030">
        <v>292584</v>
      </c>
      <c r="I860" s="1030">
        <v>401305</v>
      </c>
      <c r="J860" s="1034">
        <v>1</v>
      </c>
      <c r="K860" s="1030">
        <v>292584</v>
      </c>
      <c r="L860" s="1030">
        <v>292584</v>
      </c>
      <c r="M860" s="979">
        <v>599</v>
      </c>
    </row>
    <row r="861" spans="1:13" ht="15">
      <c r="A861" s="979" t="s">
        <v>3523</v>
      </c>
      <c r="B861" s="722" t="str">
        <f>CONCATENATE(LEFT(RIGHT(CONCATENATE("000",IFAData_TEA!A861),6),3),"-",(RIGHT(RIGHT(CONCATENATE("000",IFAData_TEA!A861),6),3)))</f>
        <v>091-909</v>
      </c>
      <c r="C861" s="979" t="s">
        <v>1335</v>
      </c>
      <c r="D861" s="979">
        <v>5</v>
      </c>
      <c r="E861" s="979">
        <v>2452</v>
      </c>
      <c r="F861" s="979" t="s">
        <v>4721</v>
      </c>
      <c r="G861" s="979" t="s">
        <v>4721</v>
      </c>
      <c r="H861" s="1030">
        <v>323783</v>
      </c>
      <c r="I861" s="1030">
        <v>0</v>
      </c>
      <c r="J861" s="1034">
        <v>0</v>
      </c>
      <c r="K861" s="1030">
        <v>0</v>
      </c>
      <c r="L861" s="1030">
        <v>0</v>
      </c>
      <c r="M861" s="979">
        <v>599</v>
      </c>
    </row>
    <row r="862" spans="1:13" ht="15">
      <c r="A862" s="979" t="s">
        <v>3523</v>
      </c>
      <c r="B862" s="722" t="str">
        <f>CONCATENATE(LEFT(RIGHT(CONCATENATE("000",IFAData_TEA!A862),6),3),"-",(RIGHT(RIGHT(CONCATENATE("000",IFAData_TEA!A862),6),3)))</f>
        <v>091-909</v>
      </c>
      <c r="C862" s="979" t="s">
        <v>1335</v>
      </c>
      <c r="D862" s="979">
        <v>5</v>
      </c>
      <c r="E862" s="979">
        <v>2452</v>
      </c>
      <c r="F862" s="979" t="s">
        <v>4721</v>
      </c>
      <c r="G862" s="979" t="s">
        <v>4722</v>
      </c>
      <c r="H862" s="1030">
        <v>323783</v>
      </c>
      <c r="I862" s="1030">
        <v>342021</v>
      </c>
      <c r="J862" s="1034">
        <v>1</v>
      </c>
      <c r="K862" s="1030">
        <v>323783</v>
      </c>
      <c r="L862" s="1030">
        <v>323783</v>
      </c>
      <c r="M862" s="979">
        <v>599</v>
      </c>
    </row>
    <row r="863" spans="1:13" ht="15">
      <c r="A863" s="979" t="s">
        <v>3524</v>
      </c>
      <c r="B863" s="722" t="str">
        <f>CONCATENATE(LEFT(RIGHT(CONCATENATE("000",IFAData_TEA!A863),6),3),"-",(RIGHT(RIGHT(CONCATENATE("000",IFAData_TEA!A863),6),3)))</f>
        <v>091-913</v>
      </c>
      <c r="C863" s="979" t="s">
        <v>2100</v>
      </c>
      <c r="D863" s="979">
        <v>2</v>
      </c>
      <c r="E863" s="979">
        <v>2207</v>
      </c>
      <c r="F863" s="979" t="s">
        <v>4723</v>
      </c>
      <c r="G863" s="979" t="s">
        <v>6251</v>
      </c>
      <c r="H863" s="1030">
        <v>315852</v>
      </c>
      <c r="I863" s="1030">
        <v>0</v>
      </c>
      <c r="J863" s="1034">
        <v>0</v>
      </c>
      <c r="K863" s="1030">
        <v>0</v>
      </c>
      <c r="L863" s="1030">
        <v>0</v>
      </c>
      <c r="M863" s="979">
        <v>599</v>
      </c>
    </row>
    <row r="864" spans="1:13" ht="15">
      <c r="A864" s="979" t="s">
        <v>3524</v>
      </c>
      <c r="B864" s="722" t="str">
        <f>CONCATENATE(LEFT(RIGHT(CONCATENATE("000",IFAData_TEA!A864),6),3),"-",(RIGHT(RIGHT(CONCATENATE("000",IFAData_TEA!A864),6),3)))</f>
        <v>091-913</v>
      </c>
      <c r="C864" s="979" t="s">
        <v>2100</v>
      </c>
      <c r="D864" s="979">
        <v>2</v>
      </c>
      <c r="E864" s="979">
        <v>2207</v>
      </c>
      <c r="F864" s="979" t="s">
        <v>4723</v>
      </c>
      <c r="G864" s="979" t="s">
        <v>4724</v>
      </c>
      <c r="H864" s="1030">
        <v>315852</v>
      </c>
      <c r="I864" s="1030">
        <v>947094</v>
      </c>
      <c r="J864" s="1034">
        <v>0.98060621748246313</v>
      </c>
      <c r="K864" s="1030">
        <v>309726.43500427093</v>
      </c>
      <c r="L864" s="1030">
        <v>309726.43500427093</v>
      </c>
      <c r="M864" s="979">
        <v>599</v>
      </c>
    </row>
    <row r="865" spans="1:13" ht="15">
      <c r="A865" s="979" t="s">
        <v>3524</v>
      </c>
      <c r="B865" s="722" t="str">
        <f>CONCATENATE(LEFT(RIGHT(CONCATENATE("000",IFAData_TEA!A865),6),3),"-",(RIGHT(RIGHT(CONCATENATE("000",IFAData_TEA!A865),6),3)))</f>
        <v>091-913</v>
      </c>
      <c r="C865" s="979" t="s">
        <v>2100</v>
      </c>
      <c r="D865" s="979">
        <v>2</v>
      </c>
      <c r="E865" s="979">
        <v>2207</v>
      </c>
      <c r="F865" s="979" t="s">
        <v>4723</v>
      </c>
      <c r="G865" s="979" t="s">
        <v>4723</v>
      </c>
      <c r="H865" s="1030">
        <v>315852</v>
      </c>
      <c r="I865" s="1030">
        <v>18731</v>
      </c>
      <c r="J865" s="1034">
        <v>1.9393782517536821E-2</v>
      </c>
      <c r="K865" s="1030">
        <v>6125.5649957290398</v>
      </c>
      <c r="L865" s="1030">
        <v>6125.5649957290398</v>
      </c>
      <c r="M865" s="979">
        <v>599</v>
      </c>
    </row>
    <row r="866" spans="1:13" ht="15">
      <c r="A866" s="979" t="s">
        <v>3525</v>
      </c>
      <c r="B866" s="722" t="str">
        <f>CONCATENATE(LEFT(RIGHT(CONCATENATE("000",IFAData_TEA!A866),6),3),"-",(RIGHT(RIGHT(CONCATENATE("000",IFAData_TEA!A866),6),3)))</f>
        <v>091-917</v>
      </c>
      <c r="C866" s="979" t="s">
        <v>1732</v>
      </c>
      <c r="D866" s="979">
        <v>3</v>
      </c>
      <c r="E866" s="979">
        <v>1862</v>
      </c>
      <c r="F866" s="979" t="s">
        <v>4725</v>
      </c>
      <c r="G866" s="979" t="s">
        <v>4726</v>
      </c>
      <c r="H866" s="1030">
        <v>145000</v>
      </c>
      <c r="I866" s="1030">
        <v>145125</v>
      </c>
      <c r="J866" s="1034">
        <v>1</v>
      </c>
      <c r="K866" s="1030">
        <v>145000</v>
      </c>
      <c r="L866" s="1030">
        <v>145000</v>
      </c>
      <c r="M866" s="979">
        <v>599</v>
      </c>
    </row>
    <row r="867" spans="1:13" ht="15">
      <c r="A867" s="979" t="s">
        <v>3525</v>
      </c>
      <c r="B867" s="722" t="str">
        <f>CONCATENATE(LEFT(RIGHT(CONCATENATE("000",IFAData_TEA!A867),6),3),"-",(RIGHT(RIGHT(CONCATENATE("000",IFAData_TEA!A867),6),3)))</f>
        <v>091-917</v>
      </c>
      <c r="C867" s="979" t="s">
        <v>1732</v>
      </c>
      <c r="D867" s="979">
        <v>9</v>
      </c>
      <c r="E867" s="979">
        <v>1861</v>
      </c>
      <c r="F867" s="979" t="s">
        <v>4727</v>
      </c>
      <c r="G867" s="979" t="s">
        <v>4727</v>
      </c>
      <c r="H867" s="1030">
        <v>129415</v>
      </c>
      <c r="I867" s="1030">
        <v>132515</v>
      </c>
      <c r="J867" s="1034">
        <v>1</v>
      </c>
      <c r="K867" s="1030">
        <v>129415</v>
      </c>
      <c r="L867" s="1030">
        <v>129415</v>
      </c>
      <c r="M867" s="979">
        <v>599</v>
      </c>
    </row>
    <row r="868" spans="1:13" ht="15">
      <c r="A868" s="979" t="s">
        <v>3525</v>
      </c>
      <c r="B868" s="722" t="str">
        <f>CONCATENATE(LEFT(RIGHT(CONCATENATE("000",IFAData_TEA!A868),6),3),"-",(RIGHT(RIGHT(CONCATENATE("000",IFAData_TEA!A868),6),3)))</f>
        <v>091-917</v>
      </c>
      <c r="C868" s="979" t="s">
        <v>1732</v>
      </c>
      <c r="D868" s="979">
        <v>3</v>
      </c>
      <c r="E868" s="979">
        <v>1862</v>
      </c>
      <c r="F868" s="979" t="s">
        <v>4725</v>
      </c>
      <c r="G868" s="979" t="s">
        <v>4725</v>
      </c>
      <c r="H868" s="1030">
        <v>145000</v>
      </c>
      <c r="I868" s="1030">
        <v>0</v>
      </c>
      <c r="J868" s="1034">
        <v>0</v>
      </c>
      <c r="K868" s="1030">
        <v>0</v>
      </c>
      <c r="L868" s="1030">
        <v>0</v>
      </c>
      <c r="M868" s="979">
        <v>599</v>
      </c>
    </row>
    <row r="869" spans="1:13" ht="15">
      <c r="A869" s="979" t="s">
        <v>4728</v>
      </c>
      <c r="B869" s="722" t="str">
        <f>CONCATENATE(LEFT(RIGHT(CONCATENATE("000",IFAData_TEA!A869),6),3),"-",(RIGHT(RIGHT(CONCATENATE("000",IFAData_TEA!A869),6),3)))</f>
        <v>092-903</v>
      </c>
      <c r="C869" s="979" t="s">
        <v>2126</v>
      </c>
      <c r="D869" s="979">
        <v>1</v>
      </c>
      <c r="E869" s="979">
        <v>2034</v>
      </c>
      <c r="F869" s="979" t="s">
        <v>4729</v>
      </c>
      <c r="G869" s="979" t="s">
        <v>4729</v>
      </c>
      <c r="H869" s="1030">
        <v>346003</v>
      </c>
      <c r="I869" s="1030">
        <v>0</v>
      </c>
      <c r="J869" s="1034">
        <v>0</v>
      </c>
      <c r="K869" s="1030"/>
      <c r="L869" s="1030">
        <v>0</v>
      </c>
      <c r="M869" s="979">
        <v>599</v>
      </c>
    </row>
    <row r="870" spans="1:13" ht="15">
      <c r="A870" s="979" t="s">
        <v>3526</v>
      </c>
      <c r="B870" s="722" t="str">
        <f>CONCATENATE(LEFT(RIGHT(CONCATENATE("000",IFAData_TEA!A870),6),3),"-",(RIGHT(RIGHT(CONCATENATE("000",IFAData_TEA!A870),6),3)))</f>
        <v>092-907</v>
      </c>
      <c r="C870" s="979" t="s">
        <v>1936</v>
      </c>
      <c r="D870" s="979">
        <v>9</v>
      </c>
      <c r="E870" s="979">
        <v>2376</v>
      </c>
      <c r="F870" s="979" t="s">
        <v>4733</v>
      </c>
      <c r="G870" s="979" t="s">
        <v>6252</v>
      </c>
      <c r="H870" s="1030">
        <v>437500</v>
      </c>
      <c r="I870" s="1030">
        <v>126935</v>
      </c>
      <c r="J870" s="1034">
        <v>7.0984352517683869E-2</v>
      </c>
      <c r="K870" s="1030">
        <v>31055.654226486691</v>
      </c>
      <c r="L870" s="1030">
        <v>31055.654226486691</v>
      </c>
      <c r="M870" s="979">
        <v>599</v>
      </c>
    </row>
    <row r="871" spans="1:13" ht="15">
      <c r="A871" s="979" t="s">
        <v>3526</v>
      </c>
      <c r="B871" s="722" t="str">
        <f>CONCATENATE(LEFT(RIGHT(CONCATENATE("000",IFAData_TEA!A871),6),3),"-",(RIGHT(RIGHT(CONCATENATE("000",IFAData_TEA!A871),6),3)))</f>
        <v>092-907</v>
      </c>
      <c r="C871" s="979" t="s">
        <v>1936</v>
      </c>
      <c r="D871" s="979">
        <v>2</v>
      </c>
      <c r="E871" s="979">
        <v>2375</v>
      </c>
      <c r="F871" s="979" t="s">
        <v>4730</v>
      </c>
      <c r="G871" s="979" t="s">
        <v>4732</v>
      </c>
      <c r="H871" s="1030">
        <v>398517</v>
      </c>
      <c r="I871" s="1030">
        <v>75968</v>
      </c>
      <c r="J871" s="1034">
        <v>0.10497399417425285</v>
      </c>
      <c r="K871" s="1030">
        <v>41833.92123634072</v>
      </c>
      <c r="L871" s="1030">
        <v>41833.92123634072</v>
      </c>
      <c r="M871" s="979">
        <v>599</v>
      </c>
    </row>
    <row r="872" spans="1:13" ht="15">
      <c r="A872" s="979" t="s">
        <v>3526</v>
      </c>
      <c r="B872" s="722" t="str">
        <f>CONCATENATE(LEFT(RIGHT(CONCATENATE("000",IFAData_TEA!A872),6),3),"-",(RIGHT(RIGHT(CONCATENATE("000",IFAData_TEA!A872),6),3)))</f>
        <v>092-907</v>
      </c>
      <c r="C872" s="979" t="s">
        <v>1936</v>
      </c>
      <c r="D872" s="979">
        <v>10</v>
      </c>
      <c r="E872" s="979">
        <v>2377</v>
      </c>
      <c r="F872" s="979" t="s">
        <v>4734</v>
      </c>
      <c r="G872" s="979" t="s">
        <v>4734</v>
      </c>
      <c r="H872" s="1030">
        <v>456338</v>
      </c>
      <c r="I872" s="1030">
        <v>263882</v>
      </c>
      <c r="J872" s="1034">
        <v>1</v>
      </c>
      <c r="K872" s="1030">
        <v>456338</v>
      </c>
      <c r="L872" s="1030">
        <v>263882</v>
      </c>
      <c r="M872" s="979">
        <v>599</v>
      </c>
    </row>
    <row r="873" spans="1:13" ht="15">
      <c r="A873" s="979" t="s">
        <v>3526</v>
      </c>
      <c r="B873" s="722" t="str">
        <f>CONCATENATE(LEFT(RIGHT(CONCATENATE("000",IFAData_TEA!A873),6),3),"-",(RIGHT(RIGHT(CONCATENATE("000",IFAData_TEA!A873),6),3)))</f>
        <v>092-907</v>
      </c>
      <c r="C873" s="979" t="s">
        <v>1936</v>
      </c>
      <c r="D873" s="979">
        <v>9</v>
      </c>
      <c r="E873" s="979">
        <v>2376</v>
      </c>
      <c r="F873" s="979" t="s">
        <v>4733</v>
      </c>
      <c r="G873" s="979" t="s">
        <v>4733</v>
      </c>
      <c r="H873" s="1030">
        <v>437500</v>
      </c>
      <c r="I873" s="1030">
        <v>1661276</v>
      </c>
      <c r="J873" s="1034">
        <v>0.92901564748231613</v>
      </c>
      <c r="K873" s="1030">
        <v>406444.34577351331</v>
      </c>
      <c r="L873" s="1030">
        <v>406444.34577351331</v>
      </c>
      <c r="M873" s="979">
        <v>599</v>
      </c>
    </row>
    <row r="874" spans="1:13" ht="15">
      <c r="A874" s="979" t="s">
        <v>3526</v>
      </c>
      <c r="B874" s="722" t="str">
        <f>CONCATENATE(LEFT(RIGHT(CONCATENATE("000",IFAData_TEA!A874),6),3),"-",(RIGHT(RIGHT(CONCATENATE("000",IFAData_TEA!A874),6),3)))</f>
        <v>092-907</v>
      </c>
      <c r="C874" s="979" t="s">
        <v>1936</v>
      </c>
      <c r="D874" s="979">
        <v>2</v>
      </c>
      <c r="E874" s="979">
        <v>2375</v>
      </c>
      <c r="F874" s="979" t="s">
        <v>4730</v>
      </c>
      <c r="G874" s="979" t="s">
        <v>4730</v>
      </c>
      <c r="H874" s="1030">
        <v>398517</v>
      </c>
      <c r="I874" s="1030">
        <v>0</v>
      </c>
      <c r="J874" s="1034">
        <v>0</v>
      </c>
      <c r="K874" s="1030">
        <v>0</v>
      </c>
      <c r="L874" s="1030">
        <v>0</v>
      </c>
      <c r="M874" s="979">
        <v>599</v>
      </c>
    </row>
    <row r="875" spans="1:13" ht="15">
      <c r="A875" s="979" t="s">
        <v>3526</v>
      </c>
      <c r="B875" s="722" t="str">
        <f>CONCATENATE(LEFT(RIGHT(CONCATENATE("000",IFAData_TEA!A875),6),3),"-",(RIGHT(RIGHT(CONCATENATE("000",IFAData_TEA!A875),6),3)))</f>
        <v>092-907</v>
      </c>
      <c r="C875" s="979" t="s">
        <v>1936</v>
      </c>
      <c r="D875" s="979">
        <v>2</v>
      </c>
      <c r="E875" s="979">
        <v>2375</v>
      </c>
      <c r="F875" s="979" t="s">
        <v>4730</v>
      </c>
      <c r="G875" s="979" t="s">
        <v>4731</v>
      </c>
      <c r="H875" s="1030">
        <v>398517</v>
      </c>
      <c r="I875" s="1030">
        <v>647716</v>
      </c>
      <c r="J875" s="1034">
        <v>0.8950260058257471</v>
      </c>
      <c r="K875" s="1030">
        <v>356683.07876365923</v>
      </c>
      <c r="L875" s="1030">
        <v>356683.07876365923</v>
      </c>
      <c r="M875" s="979">
        <v>599</v>
      </c>
    </row>
    <row r="876" spans="1:13" ht="15">
      <c r="A876" s="979" t="s">
        <v>3527</v>
      </c>
      <c r="B876" s="722" t="str">
        <f>CONCATENATE(LEFT(RIGHT(CONCATENATE("000",IFAData_TEA!A876),6),3),"-",(RIGHT(RIGHT(CONCATENATE("000",IFAData_TEA!A876),6),3)))</f>
        <v>093-903</v>
      </c>
      <c r="C876" s="979" t="s">
        <v>229</v>
      </c>
      <c r="D876" s="979">
        <v>10</v>
      </c>
      <c r="E876" s="979">
        <v>1924</v>
      </c>
      <c r="F876" s="979" t="s">
        <v>4735</v>
      </c>
      <c r="G876" s="979" t="s">
        <v>4735</v>
      </c>
      <c r="H876" s="1030">
        <v>119954</v>
      </c>
      <c r="I876" s="1030">
        <v>518748</v>
      </c>
      <c r="J876" s="1034">
        <v>1</v>
      </c>
      <c r="K876" s="1030">
        <v>119954</v>
      </c>
      <c r="L876" s="1030">
        <v>119954</v>
      </c>
      <c r="M876" s="979">
        <v>599</v>
      </c>
    </row>
    <row r="877" spans="1:13" ht="15">
      <c r="A877" s="979" t="s">
        <v>3528</v>
      </c>
      <c r="B877" s="722" t="str">
        <f>CONCATENATE(LEFT(RIGHT(CONCATENATE("000",IFAData_TEA!A877),6),3),"-",(RIGHT(RIGHT(CONCATENATE("000",IFAData_TEA!A877),6),3)))</f>
        <v>094-901</v>
      </c>
      <c r="C877" s="979" t="s">
        <v>1247</v>
      </c>
      <c r="D877" s="979">
        <v>6</v>
      </c>
      <c r="E877" s="979">
        <v>2323</v>
      </c>
      <c r="F877" s="979" t="s">
        <v>4739</v>
      </c>
      <c r="G877" s="979" t="s">
        <v>4740</v>
      </c>
      <c r="H877" s="1030">
        <v>931261</v>
      </c>
      <c r="I877" s="1030">
        <v>311771</v>
      </c>
      <c r="J877" s="1034">
        <v>0.24548897637795275</v>
      </c>
      <c r="K877" s="1030">
        <v>228614.30963070865</v>
      </c>
      <c r="L877" s="1030">
        <v>228614.30963070865</v>
      </c>
      <c r="M877" s="979">
        <v>599</v>
      </c>
    </row>
    <row r="878" spans="1:13" ht="15">
      <c r="A878" s="979" t="s">
        <v>3528</v>
      </c>
      <c r="B878" s="722" t="str">
        <f>CONCATENATE(LEFT(RIGHT(CONCATENATE("000",IFAData_TEA!A878),6),3),"-",(RIGHT(RIGHT(CONCATENATE("000",IFAData_TEA!A878),6),3)))</f>
        <v>094-901</v>
      </c>
      <c r="C878" s="979" t="s">
        <v>1247</v>
      </c>
      <c r="D878" s="979">
        <v>2</v>
      </c>
      <c r="E878" s="979">
        <v>2324</v>
      </c>
      <c r="F878" s="979" t="s">
        <v>4736</v>
      </c>
      <c r="G878" s="979" t="s">
        <v>4738</v>
      </c>
      <c r="H878" s="1030">
        <v>1582356</v>
      </c>
      <c r="I878" s="1030">
        <v>404634</v>
      </c>
      <c r="J878" s="1034">
        <v>0.20995821943823512</v>
      </c>
      <c r="K878" s="1030">
        <v>332228.64827740798</v>
      </c>
      <c r="L878" s="1030">
        <v>332228.64827740798</v>
      </c>
      <c r="M878" s="979">
        <v>599</v>
      </c>
    </row>
    <row r="879" spans="1:13" ht="15">
      <c r="A879" s="979" t="s">
        <v>3528</v>
      </c>
      <c r="B879" s="722" t="str">
        <f>CONCATENATE(LEFT(RIGHT(CONCATENATE("000",IFAData_TEA!A879),6),3),"-",(RIGHT(RIGHT(CONCATENATE("000",IFAData_TEA!A879),6),3)))</f>
        <v>094-901</v>
      </c>
      <c r="C879" s="979" t="s">
        <v>1247</v>
      </c>
      <c r="D879" s="979">
        <v>2</v>
      </c>
      <c r="E879" s="979">
        <v>2324</v>
      </c>
      <c r="F879" s="979" t="s">
        <v>4736</v>
      </c>
      <c r="G879" s="979" t="s">
        <v>4737</v>
      </c>
      <c r="H879" s="1030">
        <v>1582356</v>
      </c>
      <c r="I879" s="1030">
        <v>1522578</v>
      </c>
      <c r="J879" s="1034">
        <v>0.79004178056176488</v>
      </c>
      <c r="K879" s="1030">
        <v>1250127.351722592</v>
      </c>
      <c r="L879" s="1030">
        <v>1250127.351722592</v>
      </c>
      <c r="M879" s="979">
        <v>599</v>
      </c>
    </row>
    <row r="880" spans="1:13" ht="15">
      <c r="A880" s="979" t="s">
        <v>3528</v>
      </c>
      <c r="B880" s="722" t="str">
        <f>CONCATENATE(LEFT(RIGHT(CONCATENATE("000",IFAData_TEA!A880),6),3),"-",(RIGHT(RIGHT(CONCATENATE("000",IFAData_TEA!A880),6),3)))</f>
        <v>094-901</v>
      </c>
      <c r="C880" s="979" t="s">
        <v>1247</v>
      </c>
      <c r="D880" s="979">
        <v>6</v>
      </c>
      <c r="E880" s="979">
        <v>2323</v>
      </c>
      <c r="F880" s="979" t="s">
        <v>4739</v>
      </c>
      <c r="G880" s="979" t="s">
        <v>4741</v>
      </c>
      <c r="H880" s="1030">
        <v>931261</v>
      </c>
      <c r="I880" s="1030">
        <v>958229</v>
      </c>
      <c r="J880" s="1034">
        <v>0.75451102362204725</v>
      </c>
      <c r="K880" s="1030">
        <v>702646.69036929135</v>
      </c>
      <c r="L880" s="1030">
        <v>702646.69036929135</v>
      </c>
      <c r="M880" s="979">
        <v>599</v>
      </c>
    </row>
    <row r="881" spans="1:13" ht="15">
      <c r="A881" s="979" t="s">
        <v>3528</v>
      </c>
      <c r="B881" s="722" t="str">
        <f>CONCATENATE(LEFT(RIGHT(CONCATENATE("000",IFAData_TEA!A881),6),3),"-",(RIGHT(RIGHT(CONCATENATE("000",IFAData_TEA!A881),6),3)))</f>
        <v>094-901</v>
      </c>
      <c r="C881" s="979" t="s">
        <v>1247</v>
      </c>
      <c r="D881" s="979">
        <v>2</v>
      </c>
      <c r="E881" s="979">
        <v>2324</v>
      </c>
      <c r="F881" s="979" t="s">
        <v>4736</v>
      </c>
      <c r="G881" s="979" t="s">
        <v>4736</v>
      </c>
      <c r="H881" s="1030">
        <v>1582356</v>
      </c>
      <c r="I881" s="1030">
        <v>0</v>
      </c>
      <c r="J881" s="1034">
        <v>0</v>
      </c>
      <c r="K881" s="1030">
        <v>0</v>
      </c>
      <c r="L881" s="1030">
        <v>0</v>
      </c>
      <c r="M881" s="979">
        <v>599</v>
      </c>
    </row>
    <row r="882" spans="1:13" ht="15">
      <c r="A882" s="979" t="s">
        <v>3528</v>
      </c>
      <c r="B882" s="722" t="str">
        <f>CONCATENATE(LEFT(RIGHT(CONCATENATE("000",IFAData_TEA!A882),6),3),"-",(RIGHT(RIGHT(CONCATENATE("000",IFAData_TEA!A882),6),3)))</f>
        <v>094-901</v>
      </c>
      <c r="C882" s="979" t="s">
        <v>1247</v>
      </c>
      <c r="D882" s="979">
        <v>6</v>
      </c>
      <c r="E882" s="979">
        <v>2323</v>
      </c>
      <c r="F882" s="979" t="s">
        <v>4739</v>
      </c>
      <c r="G882" s="979" t="s">
        <v>4739</v>
      </c>
      <c r="H882" s="1030">
        <v>931261</v>
      </c>
      <c r="I882" s="1030">
        <v>0</v>
      </c>
      <c r="J882" s="1034">
        <v>0</v>
      </c>
      <c r="K882" s="1030">
        <v>0</v>
      </c>
      <c r="L882" s="1030">
        <v>0</v>
      </c>
      <c r="M882" s="979">
        <v>599</v>
      </c>
    </row>
    <row r="883" spans="1:13" ht="15">
      <c r="A883" s="979" t="s">
        <v>3529</v>
      </c>
      <c r="B883" s="722" t="str">
        <f>CONCATENATE(LEFT(RIGHT(CONCATENATE("000",IFAData_TEA!A883),6),3),"-",(RIGHT(RIGHT(CONCATENATE("000",IFAData_TEA!A883),6),3)))</f>
        <v>094-902</v>
      </c>
      <c r="C883" s="979" t="s">
        <v>1245</v>
      </c>
      <c r="D883" s="979">
        <v>1</v>
      </c>
      <c r="E883" s="979">
        <v>2316</v>
      </c>
      <c r="F883" s="979" t="s">
        <v>4742</v>
      </c>
      <c r="G883" s="979" t="s">
        <v>4747</v>
      </c>
      <c r="H883" s="1030">
        <v>328404</v>
      </c>
      <c r="I883" s="1030">
        <v>198451</v>
      </c>
      <c r="J883" s="1034">
        <v>0.3164103667918271</v>
      </c>
      <c r="K883" s="1030">
        <v>103910.43009590318</v>
      </c>
      <c r="L883" s="1030">
        <v>103910.43009590318</v>
      </c>
      <c r="M883" s="979">
        <v>599</v>
      </c>
    </row>
    <row r="884" spans="1:13" ht="15">
      <c r="A884" s="979" t="s">
        <v>3529</v>
      </c>
      <c r="B884" s="722" t="str">
        <f>CONCATENATE(LEFT(RIGHT(CONCATENATE("000",IFAData_TEA!A884),6),3),"-",(RIGHT(RIGHT(CONCATENATE("000",IFAData_TEA!A884),6),3)))</f>
        <v>094-902</v>
      </c>
      <c r="C884" s="979" t="s">
        <v>1245</v>
      </c>
      <c r="D884" s="979">
        <v>1</v>
      </c>
      <c r="E884" s="979">
        <v>2317</v>
      </c>
      <c r="F884" s="979" t="s">
        <v>4748</v>
      </c>
      <c r="G884" s="979" t="s">
        <v>4746</v>
      </c>
      <c r="H884" s="1030">
        <v>445556</v>
      </c>
      <c r="I884" s="1030">
        <v>1304</v>
      </c>
      <c r="J884" s="1034">
        <v>4.7753498200088619E-3</v>
      </c>
      <c r="K884" s="1030">
        <v>2127.6857644038687</v>
      </c>
      <c r="L884" s="1030">
        <v>1304</v>
      </c>
      <c r="M884" s="979">
        <v>599</v>
      </c>
    </row>
    <row r="885" spans="1:13" ht="15">
      <c r="A885" s="979" t="s">
        <v>3529</v>
      </c>
      <c r="B885" s="722" t="str">
        <f>CONCATENATE(LEFT(RIGHT(CONCATENATE("000",IFAData_TEA!A885),6),3),"-",(RIGHT(RIGHT(CONCATENATE("000",IFAData_TEA!A885),6),3)))</f>
        <v>094-902</v>
      </c>
      <c r="C885" s="979" t="s">
        <v>1245</v>
      </c>
      <c r="D885" s="979">
        <v>6</v>
      </c>
      <c r="E885" s="979">
        <v>2320</v>
      </c>
      <c r="F885" s="979" t="s">
        <v>4749</v>
      </c>
      <c r="G885" s="979" t="s">
        <v>4746</v>
      </c>
      <c r="H885" s="1030">
        <v>1730235</v>
      </c>
      <c r="I885" s="1030">
        <v>34438</v>
      </c>
      <c r="J885" s="1034">
        <v>1.6161807674582532E-2</v>
      </c>
      <c r="K885" s="1030">
        <v>27963.725301831309</v>
      </c>
      <c r="L885" s="1030">
        <v>27963.725301831309</v>
      </c>
      <c r="M885" s="979">
        <v>599</v>
      </c>
    </row>
    <row r="886" spans="1:13" ht="15">
      <c r="A886" s="979" t="s">
        <v>3529</v>
      </c>
      <c r="B886" s="722" t="str">
        <f>CONCATENATE(LEFT(RIGHT(CONCATENATE("000",IFAData_TEA!A886),6),3),"-",(RIGHT(RIGHT(CONCATENATE("000",IFAData_TEA!A886),6),3)))</f>
        <v>094-902</v>
      </c>
      <c r="C886" s="979" t="s">
        <v>1245</v>
      </c>
      <c r="D886" s="979">
        <v>9</v>
      </c>
      <c r="E886" s="979">
        <v>2319</v>
      </c>
      <c r="F886" s="979" t="s">
        <v>4750</v>
      </c>
      <c r="G886" s="979" t="s">
        <v>4750</v>
      </c>
      <c r="H886" s="1030">
        <v>1351905</v>
      </c>
      <c r="I886" s="1030">
        <v>3035424</v>
      </c>
      <c r="J886" s="1034">
        <v>0.95601225666430134</v>
      </c>
      <c r="K886" s="1030">
        <v>1292437.7498457523</v>
      </c>
      <c r="L886" s="1030">
        <v>1292437.7498457523</v>
      </c>
      <c r="M886" s="979">
        <v>599</v>
      </c>
    </row>
    <row r="887" spans="1:13" ht="15">
      <c r="A887" s="979" t="s">
        <v>3529</v>
      </c>
      <c r="B887" s="722" t="str">
        <f>CONCATENATE(LEFT(RIGHT(CONCATENATE("000",IFAData_TEA!A887),6),3),"-",(RIGHT(RIGHT(CONCATENATE("000",IFAData_TEA!A887),6),3)))</f>
        <v>094-902</v>
      </c>
      <c r="C887" s="979" t="s">
        <v>1245</v>
      </c>
      <c r="D887" s="979">
        <v>9</v>
      </c>
      <c r="E887" s="979">
        <v>2319</v>
      </c>
      <c r="F887" s="979" t="s">
        <v>4750</v>
      </c>
      <c r="G887" s="979" t="s">
        <v>6253</v>
      </c>
      <c r="H887" s="1030">
        <v>1351905</v>
      </c>
      <c r="I887" s="1030">
        <v>139665</v>
      </c>
      <c r="J887" s="1034">
        <v>4.3987743335698624E-2</v>
      </c>
      <c r="K887" s="1030">
        <v>59467.250154247646</v>
      </c>
      <c r="L887" s="1030">
        <v>59467.250154247646</v>
      </c>
      <c r="M887" s="979">
        <v>599</v>
      </c>
    </row>
    <row r="888" spans="1:13" ht="15">
      <c r="A888" s="979" t="s">
        <v>3529</v>
      </c>
      <c r="B888" s="722" t="str">
        <f>CONCATENATE(LEFT(RIGHT(CONCATENATE("000",IFAData_TEA!A888),6),3),"-",(RIGHT(RIGHT(CONCATENATE("000",IFAData_TEA!A888),6),3)))</f>
        <v>094-902</v>
      </c>
      <c r="C888" s="979" t="s">
        <v>1245</v>
      </c>
      <c r="D888" s="979">
        <v>1</v>
      </c>
      <c r="E888" s="979">
        <v>2316</v>
      </c>
      <c r="F888" s="979" t="s">
        <v>4742</v>
      </c>
      <c r="G888" s="979" t="s">
        <v>4745</v>
      </c>
      <c r="H888" s="1030">
        <v>328404</v>
      </c>
      <c r="I888" s="1030">
        <v>0</v>
      </c>
      <c r="J888" s="1034">
        <v>0</v>
      </c>
      <c r="K888" s="1030">
        <v>0</v>
      </c>
      <c r="L888" s="1030">
        <v>0</v>
      </c>
      <c r="M888" s="979">
        <v>599</v>
      </c>
    </row>
    <row r="889" spans="1:13" ht="15">
      <c r="A889" s="979" t="s">
        <v>3529</v>
      </c>
      <c r="B889" s="722" t="str">
        <f>CONCATENATE(LEFT(RIGHT(CONCATENATE("000",IFAData_TEA!A889),6),3),"-",(RIGHT(RIGHT(CONCATENATE("000",IFAData_TEA!A889),6),3)))</f>
        <v>094-902</v>
      </c>
      <c r="C889" s="979" t="s">
        <v>1245</v>
      </c>
      <c r="D889" s="979">
        <v>1</v>
      </c>
      <c r="E889" s="979">
        <v>2316</v>
      </c>
      <c r="F889" s="979" t="s">
        <v>4742</v>
      </c>
      <c r="G889" s="979" t="s">
        <v>4744</v>
      </c>
      <c r="H889" s="1030">
        <v>328404</v>
      </c>
      <c r="I889" s="1030">
        <v>428600</v>
      </c>
      <c r="J889" s="1034">
        <v>0.68336003954113156</v>
      </c>
      <c r="K889" s="1030">
        <v>224418.17042546577</v>
      </c>
      <c r="L889" s="1030">
        <v>224418.17042546577</v>
      </c>
      <c r="M889" s="979">
        <v>599</v>
      </c>
    </row>
    <row r="890" spans="1:13" ht="15">
      <c r="A890" s="979" t="s">
        <v>3529</v>
      </c>
      <c r="B890" s="722" t="str">
        <f>CONCATENATE(LEFT(RIGHT(CONCATENATE("000",IFAData_TEA!A890),6),3),"-",(RIGHT(RIGHT(CONCATENATE("000",IFAData_TEA!A890),6),3)))</f>
        <v>094-902</v>
      </c>
      <c r="C890" s="979" t="s">
        <v>1245</v>
      </c>
      <c r="D890" s="979">
        <v>1</v>
      </c>
      <c r="E890" s="979">
        <v>2316</v>
      </c>
      <c r="F890" s="979" t="s">
        <v>4742</v>
      </c>
      <c r="G890" s="979" t="s">
        <v>4743</v>
      </c>
      <c r="H890" s="1030">
        <v>328404</v>
      </c>
      <c r="I890" s="1030">
        <v>0</v>
      </c>
      <c r="J890" s="1034">
        <v>0</v>
      </c>
      <c r="K890" s="1030">
        <v>0</v>
      </c>
      <c r="L890" s="1030">
        <v>0</v>
      </c>
      <c r="M890" s="979">
        <v>599</v>
      </c>
    </row>
    <row r="891" spans="1:13" ht="15">
      <c r="A891" s="979" t="s">
        <v>3529</v>
      </c>
      <c r="B891" s="722" t="str">
        <f>CONCATENATE(LEFT(RIGHT(CONCATENATE("000",IFAData_TEA!A891),6),3),"-",(RIGHT(RIGHT(CONCATENATE("000",IFAData_TEA!A891),6),3)))</f>
        <v>094-902</v>
      </c>
      <c r="C891" s="979" t="s">
        <v>1245</v>
      </c>
      <c r="D891" s="979">
        <v>1</v>
      </c>
      <c r="E891" s="979">
        <v>2317</v>
      </c>
      <c r="F891" s="979" t="s">
        <v>4748</v>
      </c>
      <c r="G891" s="979" t="s">
        <v>4745</v>
      </c>
      <c r="H891" s="1030">
        <v>445556</v>
      </c>
      <c r="I891" s="1030">
        <v>271765</v>
      </c>
      <c r="J891" s="1034">
        <v>0.99522465017999118</v>
      </c>
      <c r="K891" s="1030">
        <v>443428.31423559616</v>
      </c>
      <c r="L891" s="1030">
        <v>271765</v>
      </c>
      <c r="M891" s="979">
        <v>599</v>
      </c>
    </row>
    <row r="892" spans="1:13" ht="15">
      <c r="A892" s="979" t="s">
        <v>3529</v>
      </c>
      <c r="B892" s="722" t="str">
        <f>CONCATENATE(LEFT(RIGHT(CONCATENATE("000",IFAData_TEA!A892),6),3),"-",(RIGHT(RIGHT(CONCATENATE("000",IFAData_TEA!A892),6),3)))</f>
        <v>094-902</v>
      </c>
      <c r="C892" s="979" t="s">
        <v>1245</v>
      </c>
      <c r="D892" s="979">
        <v>6</v>
      </c>
      <c r="E892" s="979">
        <v>2320</v>
      </c>
      <c r="F892" s="979" t="s">
        <v>4749</v>
      </c>
      <c r="G892" s="979" t="s">
        <v>4745</v>
      </c>
      <c r="H892" s="1030">
        <v>1730235</v>
      </c>
      <c r="I892" s="1030">
        <v>2014800</v>
      </c>
      <c r="J892" s="1034">
        <v>0.94554881534203172</v>
      </c>
      <c r="K892" s="1030">
        <v>1636021.6545133202</v>
      </c>
      <c r="L892" s="1030">
        <v>1636021.6545133202</v>
      </c>
      <c r="M892" s="979">
        <v>599</v>
      </c>
    </row>
    <row r="893" spans="1:13" ht="15">
      <c r="A893" s="979" t="s">
        <v>3529</v>
      </c>
      <c r="B893" s="722" t="str">
        <f>CONCATENATE(LEFT(RIGHT(CONCATENATE("000",IFAData_TEA!A893),6),3),"-",(RIGHT(RIGHT(CONCATENATE("000",IFAData_TEA!A893),6),3)))</f>
        <v>094-902</v>
      </c>
      <c r="C893" s="979" t="s">
        <v>1245</v>
      </c>
      <c r="D893" s="979">
        <v>1</v>
      </c>
      <c r="E893" s="979">
        <v>2316</v>
      </c>
      <c r="F893" s="979" t="s">
        <v>4742</v>
      </c>
      <c r="G893" s="979" t="s">
        <v>4746</v>
      </c>
      <c r="H893" s="1030">
        <v>328404</v>
      </c>
      <c r="I893" s="1030">
        <v>144</v>
      </c>
      <c r="J893" s="1034">
        <v>2.2959366704135078E-4</v>
      </c>
      <c r="K893" s="1030">
        <v>75.399478631047756</v>
      </c>
      <c r="L893" s="1030">
        <v>75.399478631047756</v>
      </c>
      <c r="M893" s="979">
        <v>599</v>
      </c>
    </row>
    <row r="894" spans="1:13" ht="15">
      <c r="A894" s="979" t="s">
        <v>3529</v>
      </c>
      <c r="B894" s="722" t="str">
        <f>CONCATENATE(LEFT(RIGHT(CONCATENATE("000",IFAData_TEA!A894),6),3),"-",(RIGHT(RIGHT(CONCATENATE("000",IFAData_TEA!A894),6),3)))</f>
        <v>094-902</v>
      </c>
      <c r="C894" s="979" t="s">
        <v>1245</v>
      </c>
      <c r="D894" s="979">
        <v>1</v>
      </c>
      <c r="E894" s="979">
        <v>2317</v>
      </c>
      <c r="F894" s="979" t="s">
        <v>4748</v>
      </c>
      <c r="G894" s="979" t="s">
        <v>4748</v>
      </c>
      <c r="H894" s="1030">
        <v>445556</v>
      </c>
      <c r="I894" s="1030">
        <v>0</v>
      </c>
      <c r="J894" s="1034">
        <v>0</v>
      </c>
      <c r="K894" s="1030">
        <v>0</v>
      </c>
      <c r="L894" s="1030">
        <v>0</v>
      </c>
      <c r="M894" s="979">
        <v>599</v>
      </c>
    </row>
    <row r="895" spans="1:13" ht="15">
      <c r="A895" s="979" t="s">
        <v>3529</v>
      </c>
      <c r="B895" s="722" t="str">
        <f>CONCATENATE(LEFT(RIGHT(CONCATENATE("000",IFAData_TEA!A895),6),3),"-",(RIGHT(RIGHT(CONCATENATE("000",IFAData_TEA!A895),6),3)))</f>
        <v>094-902</v>
      </c>
      <c r="C895" s="979" t="s">
        <v>1245</v>
      </c>
      <c r="D895" s="979">
        <v>6</v>
      </c>
      <c r="E895" s="979">
        <v>2320</v>
      </c>
      <c r="F895" s="979" t="s">
        <v>4749</v>
      </c>
      <c r="G895" s="979" t="s">
        <v>4749</v>
      </c>
      <c r="H895" s="1030">
        <v>1730235</v>
      </c>
      <c r="I895" s="1030">
        <v>81588</v>
      </c>
      <c r="J895" s="1034">
        <v>3.8289376983385782E-2</v>
      </c>
      <c r="K895" s="1030">
        <v>66249.620184848492</v>
      </c>
      <c r="L895" s="1030">
        <v>66249.620184848492</v>
      </c>
      <c r="M895" s="979">
        <v>599</v>
      </c>
    </row>
    <row r="896" spans="1:13" ht="15">
      <c r="A896" s="979" t="s">
        <v>3529</v>
      </c>
      <c r="B896" s="722" t="str">
        <f>CONCATENATE(LEFT(RIGHT(CONCATENATE("000",IFAData_TEA!A896),6),3),"-",(RIGHT(RIGHT(CONCATENATE("000",IFAData_TEA!A896),6),3)))</f>
        <v>094-902</v>
      </c>
      <c r="C896" s="979" t="s">
        <v>1245</v>
      </c>
      <c r="D896" s="979">
        <v>1</v>
      </c>
      <c r="E896" s="979">
        <v>2317</v>
      </c>
      <c r="F896" s="979" t="s">
        <v>4748</v>
      </c>
      <c r="G896" s="979" t="s">
        <v>4743</v>
      </c>
      <c r="H896" s="1030">
        <v>445556</v>
      </c>
      <c r="I896" s="1030">
        <v>0</v>
      </c>
      <c r="J896" s="1034">
        <v>0</v>
      </c>
      <c r="K896" s="1030">
        <v>0</v>
      </c>
      <c r="L896" s="1030">
        <v>0</v>
      </c>
      <c r="M896" s="979">
        <v>599</v>
      </c>
    </row>
    <row r="897" spans="1:13" ht="15">
      <c r="A897" s="979" t="s">
        <v>3529</v>
      </c>
      <c r="B897" s="722" t="str">
        <f>CONCATENATE(LEFT(RIGHT(CONCATENATE("000",IFAData_TEA!A897),6),3),"-",(RIGHT(RIGHT(CONCATENATE("000",IFAData_TEA!A897),6),3)))</f>
        <v>094-902</v>
      </c>
      <c r="C897" s="979" t="s">
        <v>1245</v>
      </c>
      <c r="D897" s="979">
        <v>9</v>
      </c>
      <c r="E897" s="979">
        <v>2318</v>
      </c>
      <c r="F897" s="979" t="s">
        <v>4751</v>
      </c>
      <c r="G897" s="979" t="s">
        <v>4751</v>
      </c>
      <c r="H897" s="1030">
        <v>1272470</v>
      </c>
      <c r="I897" s="1030">
        <v>5586375</v>
      </c>
      <c r="J897" s="1034">
        <v>1</v>
      </c>
      <c r="K897" s="1030">
        <v>1272470</v>
      </c>
      <c r="L897" s="1030">
        <v>1272470</v>
      </c>
      <c r="M897" s="979">
        <v>599</v>
      </c>
    </row>
    <row r="898" spans="1:13" ht="15">
      <c r="A898" s="979" t="s">
        <v>3529</v>
      </c>
      <c r="B898" s="722" t="str">
        <f>CONCATENATE(LEFT(RIGHT(CONCATENATE("000",IFAData_TEA!A898),6),3),"-",(RIGHT(RIGHT(CONCATENATE("000",IFAData_TEA!A898),6),3)))</f>
        <v>094-902</v>
      </c>
      <c r="C898" s="979" t="s">
        <v>1245</v>
      </c>
      <c r="D898" s="979">
        <v>1</v>
      </c>
      <c r="E898" s="979">
        <v>2316</v>
      </c>
      <c r="F898" s="979" t="s">
        <v>4742</v>
      </c>
      <c r="G898" s="979" t="s">
        <v>4742</v>
      </c>
      <c r="H898" s="1030">
        <v>328404</v>
      </c>
      <c r="I898" s="1030">
        <v>0</v>
      </c>
      <c r="J898" s="1034">
        <v>0</v>
      </c>
      <c r="K898" s="1030">
        <v>0</v>
      </c>
      <c r="L898" s="1030">
        <v>0</v>
      </c>
      <c r="M898" s="979">
        <v>599</v>
      </c>
    </row>
    <row r="899" spans="1:13" ht="15">
      <c r="A899" s="979" t="s">
        <v>3530</v>
      </c>
      <c r="B899" s="722" t="str">
        <f>CONCATENATE(LEFT(RIGHT(CONCATENATE("000",IFAData_TEA!A899),6),3),"-",(RIGHT(RIGHT(CONCATENATE("000",IFAData_TEA!A899),6),3)))</f>
        <v>094-903</v>
      </c>
      <c r="C899" s="979" t="s">
        <v>232</v>
      </c>
      <c r="D899" s="979">
        <v>9</v>
      </c>
      <c r="E899" s="979">
        <v>2127</v>
      </c>
      <c r="F899" s="979" t="s">
        <v>4752</v>
      </c>
      <c r="G899" s="979" t="s">
        <v>4754</v>
      </c>
      <c r="H899" s="1030">
        <v>388765</v>
      </c>
      <c r="I899" s="1030">
        <v>650697</v>
      </c>
      <c r="J899" s="1034">
        <v>0.66370563035495711</v>
      </c>
      <c r="K899" s="1030">
        <v>258025.5193849449</v>
      </c>
      <c r="L899" s="1030">
        <v>258025.5193849449</v>
      </c>
      <c r="M899" s="979">
        <v>599</v>
      </c>
    </row>
    <row r="900" spans="1:13" ht="15">
      <c r="A900" s="979" t="s">
        <v>3530</v>
      </c>
      <c r="B900" s="722" t="str">
        <f>CONCATENATE(LEFT(RIGHT(CONCATENATE("000",IFAData_TEA!A900),6),3),"-",(RIGHT(RIGHT(CONCATENATE("000",IFAData_TEA!A900),6),3)))</f>
        <v>094-903</v>
      </c>
      <c r="C900" s="979" t="s">
        <v>232</v>
      </c>
      <c r="D900" s="979">
        <v>9</v>
      </c>
      <c r="E900" s="979">
        <v>2127</v>
      </c>
      <c r="F900" s="979" t="s">
        <v>4752</v>
      </c>
      <c r="G900" s="979" t="s">
        <v>4753</v>
      </c>
      <c r="H900" s="1030">
        <v>388765</v>
      </c>
      <c r="I900" s="1030">
        <v>329703</v>
      </c>
      <c r="J900" s="1034">
        <v>0.33629436964504283</v>
      </c>
      <c r="K900" s="1030">
        <v>130739.48061505507</v>
      </c>
      <c r="L900" s="1030">
        <v>130739.48061505507</v>
      </c>
      <c r="M900" s="979">
        <v>599</v>
      </c>
    </row>
    <row r="901" spans="1:13" ht="15">
      <c r="A901" s="979" t="s">
        <v>3530</v>
      </c>
      <c r="B901" s="722" t="str">
        <f>CONCATENATE(LEFT(RIGHT(CONCATENATE("000",IFAData_TEA!A901),6),3),"-",(RIGHT(RIGHT(CONCATENATE("000",IFAData_TEA!A901),6),3)))</f>
        <v>094-903</v>
      </c>
      <c r="C901" s="979" t="s">
        <v>232</v>
      </c>
      <c r="D901" s="979">
        <v>9</v>
      </c>
      <c r="E901" s="979">
        <v>2127</v>
      </c>
      <c r="F901" s="979" t="s">
        <v>4752</v>
      </c>
      <c r="G901" s="979" t="s">
        <v>4752</v>
      </c>
      <c r="H901" s="1030">
        <v>388765</v>
      </c>
      <c r="I901" s="1030">
        <v>0</v>
      </c>
      <c r="J901" s="1034">
        <v>0</v>
      </c>
      <c r="K901" s="1030">
        <v>0</v>
      </c>
      <c r="L901" s="1030">
        <v>0</v>
      </c>
      <c r="M901" s="979">
        <v>599</v>
      </c>
    </row>
    <row r="902" spans="1:13" ht="15">
      <c r="A902" s="979" t="s">
        <v>4755</v>
      </c>
      <c r="B902" s="722" t="str">
        <f>CONCATENATE(LEFT(RIGHT(CONCATENATE("000",IFAData_TEA!A902),6),3),"-",(RIGHT(RIGHT(CONCATENATE("000",IFAData_TEA!A902),6),3)))</f>
        <v>094-904</v>
      </c>
      <c r="C902" s="979" t="s">
        <v>293</v>
      </c>
      <c r="D902" s="979">
        <v>3</v>
      </c>
      <c r="E902" s="979">
        <v>2065</v>
      </c>
      <c r="F902" s="979" t="s">
        <v>4757</v>
      </c>
      <c r="G902" s="979" t="s">
        <v>4757</v>
      </c>
      <c r="H902" s="1030">
        <v>167150</v>
      </c>
      <c r="I902" s="1030">
        <v>0</v>
      </c>
      <c r="J902" s="1034">
        <v>0</v>
      </c>
      <c r="K902" s="1030"/>
      <c r="L902" s="1030">
        <v>0</v>
      </c>
      <c r="M902" s="979">
        <v>199</v>
      </c>
    </row>
    <row r="903" spans="1:13" ht="15">
      <c r="A903" s="979" t="s">
        <v>4755</v>
      </c>
      <c r="B903" s="722" t="str">
        <f>CONCATENATE(LEFT(RIGHT(CONCATENATE("000",IFAData_TEA!A903),6),3),"-",(RIGHT(RIGHT(CONCATENATE("000",IFAData_TEA!A903),6),3)))</f>
        <v>094-904</v>
      </c>
      <c r="C903" s="979" t="s">
        <v>293</v>
      </c>
      <c r="D903" s="979">
        <v>5</v>
      </c>
      <c r="E903" s="979">
        <v>2067</v>
      </c>
      <c r="F903" s="979" t="s">
        <v>4758</v>
      </c>
      <c r="G903" s="979" t="s">
        <v>4758</v>
      </c>
      <c r="H903" s="1030">
        <v>325000</v>
      </c>
      <c r="I903" s="1030">
        <v>0</v>
      </c>
      <c r="J903" s="1034">
        <v>0</v>
      </c>
      <c r="K903" s="1030"/>
      <c r="L903" s="1030">
        <v>0</v>
      </c>
      <c r="M903" s="979">
        <v>599</v>
      </c>
    </row>
    <row r="904" spans="1:13" ht="15">
      <c r="A904" s="979" t="s">
        <v>4755</v>
      </c>
      <c r="B904" s="722" t="str">
        <f>CONCATENATE(LEFT(RIGHT(CONCATENATE("000",IFAData_TEA!A904),6),3),"-",(RIGHT(RIGHT(CONCATENATE("000",IFAData_TEA!A904),6),3)))</f>
        <v>094-904</v>
      </c>
      <c r="C904" s="979" t="s">
        <v>293</v>
      </c>
      <c r="D904" s="979">
        <v>1</v>
      </c>
      <c r="E904" s="979">
        <v>2066</v>
      </c>
      <c r="F904" s="979" t="s">
        <v>4756</v>
      </c>
      <c r="G904" s="979" t="s">
        <v>4756</v>
      </c>
      <c r="H904" s="1030">
        <v>213569</v>
      </c>
      <c r="I904" s="1030">
        <v>0</v>
      </c>
      <c r="J904" s="1034">
        <v>0</v>
      </c>
      <c r="K904" s="1030"/>
      <c r="L904" s="1030">
        <v>0</v>
      </c>
      <c r="M904" s="979">
        <v>599</v>
      </c>
    </row>
    <row r="905" spans="1:13" ht="15">
      <c r="A905" s="979" t="s">
        <v>3531</v>
      </c>
      <c r="B905" s="722" t="str">
        <f>CONCATENATE(LEFT(RIGHT(CONCATENATE("000",IFAData_TEA!A905),6),3),"-",(RIGHT(RIGHT(CONCATENATE("000",IFAData_TEA!A905),6),3)))</f>
        <v>097-903</v>
      </c>
      <c r="C905" s="979" t="s">
        <v>2373</v>
      </c>
      <c r="D905" s="979">
        <v>6</v>
      </c>
      <c r="E905" s="979">
        <v>1884</v>
      </c>
      <c r="F905" s="979" t="s">
        <v>4759</v>
      </c>
      <c r="G905" s="979" t="s">
        <v>4760</v>
      </c>
      <c r="H905" s="1030">
        <v>176577</v>
      </c>
      <c r="I905" s="1030">
        <v>213052</v>
      </c>
      <c r="J905" s="1034">
        <v>1</v>
      </c>
      <c r="K905" s="1030">
        <v>176577</v>
      </c>
      <c r="L905" s="1030">
        <v>176577</v>
      </c>
      <c r="M905" s="979">
        <v>599</v>
      </c>
    </row>
    <row r="906" spans="1:13" ht="15">
      <c r="A906" s="979" t="s">
        <v>3531</v>
      </c>
      <c r="B906" s="722" t="str">
        <f>CONCATENATE(LEFT(RIGHT(CONCATENATE("000",IFAData_TEA!A906),6),3),"-",(RIGHT(RIGHT(CONCATENATE("000",IFAData_TEA!A906),6),3)))</f>
        <v>097-903</v>
      </c>
      <c r="C906" s="979" t="s">
        <v>2373</v>
      </c>
      <c r="D906" s="979">
        <v>6</v>
      </c>
      <c r="E906" s="979">
        <v>1884</v>
      </c>
      <c r="F906" s="979" t="s">
        <v>4759</v>
      </c>
      <c r="G906" s="979" t="s">
        <v>4759</v>
      </c>
      <c r="H906" s="1030">
        <v>176577</v>
      </c>
      <c r="I906" s="1030">
        <v>0</v>
      </c>
      <c r="J906" s="1034">
        <v>0</v>
      </c>
      <c r="K906" s="1030">
        <v>0</v>
      </c>
      <c r="L906" s="1030">
        <v>0</v>
      </c>
      <c r="M906" s="979">
        <v>599</v>
      </c>
    </row>
    <row r="907" spans="1:13" ht="15">
      <c r="A907" s="979" t="s">
        <v>3532</v>
      </c>
      <c r="B907" s="722" t="str">
        <f>CONCATENATE(LEFT(RIGHT(CONCATENATE("000",IFAData_TEA!A907),6),3),"-",(RIGHT(RIGHT(CONCATENATE("000",IFAData_TEA!A907),6),3)))</f>
        <v>100-904</v>
      </c>
      <c r="C907" s="979" t="s">
        <v>1494</v>
      </c>
      <c r="D907" s="979">
        <v>3</v>
      </c>
      <c r="E907" s="979">
        <v>2333</v>
      </c>
      <c r="F907" s="979" t="s">
        <v>4763</v>
      </c>
      <c r="G907" s="979" t="s">
        <v>4764</v>
      </c>
      <c r="H907" s="1030">
        <v>701598</v>
      </c>
      <c r="I907" s="1030">
        <v>672909</v>
      </c>
      <c r="J907" s="1034">
        <v>1</v>
      </c>
      <c r="K907" s="1030">
        <v>701598</v>
      </c>
      <c r="L907" s="1030">
        <v>672909</v>
      </c>
      <c r="M907" s="979">
        <v>599</v>
      </c>
    </row>
    <row r="908" spans="1:13" ht="15">
      <c r="A908" s="979" t="s">
        <v>3532</v>
      </c>
      <c r="B908" s="722" t="str">
        <f>CONCATENATE(LEFT(RIGHT(CONCATENATE("000",IFAData_TEA!A908),6),3),"-",(RIGHT(RIGHT(CONCATENATE("000",IFAData_TEA!A908),6),3)))</f>
        <v>100-904</v>
      </c>
      <c r="C908" s="979" t="s">
        <v>1494</v>
      </c>
      <c r="D908" s="979">
        <v>2</v>
      </c>
      <c r="E908" s="979">
        <v>2334</v>
      </c>
      <c r="F908" s="979" t="s">
        <v>4761</v>
      </c>
      <c r="G908" s="979" t="s">
        <v>4761</v>
      </c>
      <c r="H908" s="1030">
        <v>831475</v>
      </c>
      <c r="I908" s="1030">
        <v>0</v>
      </c>
      <c r="J908" s="1034">
        <v>0</v>
      </c>
      <c r="K908" s="1030">
        <v>0</v>
      </c>
      <c r="L908" s="1030">
        <v>0</v>
      </c>
      <c r="M908" s="979">
        <v>599</v>
      </c>
    </row>
    <row r="909" spans="1:13" ht="15">
      <c r="A909" s="979" t="s">
        <v>3532</v>
      </c>
      <c r="B909" s="722" t="str">
        <f>CONCATENATE(LEFT(RIGHT(CONCATENATE("000",IFAData_TEA!A909),6),3),"-",(RIGHT(RIGHT(CONCATENATE("000",IFAData_TEA!A909),6),3)))</f>
        <v>100-904</v>
      </c>
      <c r="C909" s="979" t="s">
        <v>1494</v>
      </c>
      <c r="D909" s="979">
        <v>2</v>
      </c>
      <c r="E909" s="979">
        <v>2334</v>
      </c>
      <c r="F909" s="979" t="s">
        <v>4761</v>
      </c>
      <c r="G909" s="979" t="s">
        <v>4762</v>
      </c>
      <c r="H909" s="1030">
        <v>831475</v>
      </c>
      <c r="I909" s="1030">
        <v>794890</v>
      </c>
      <c r="J909" s="1034">
        <v>1</v>
      </c>
      <c r="K909" s="1030">
        <v>831475</v>
      </c>
      <c r="L909" s="1030">
        <v>794890</v>
      </c>
      <c r="M909" s="979">
        <v>599</v>
      </c>
    </row>
    <row r="910" spans="1:13" ht="15">
      <c r="A910" s="979" t="s">
        <v>3532</v>
      </c>
      <c r="B910" s="722" t="str">
        <f>CONCATENATE(LEFT(RIGHT(CONCATENATE("000",IFAData_TEA!A910),6),3),"-",(RIGHT(RIGHT(CONCATENATE("000",IFAData_TEA!A910),6),3)))</f>
        <v>100-904</v>
      </c>
      <c r="C910" s="979" t="s">
        <v>1494</v>
      </c>
      <c r="D910" s="979">
        <v>3</v>
      </c>
      <c r="E910" s="979">
        <v>2333</v>
      </c>
      <c r="F910" s="979" t="s">
        <v>4763</v>
      </c>
      <c r="G910" s="979" t="s">
        <v>4763</v>
      </c>
      <c r="H910" s="1030">
        <v>701598</v>
      </c>
      <c r="I910" s="1030">
        <v>0</v>
      </c>
      <c r="J910" s="1034">
        <v>0</v>
      </c>
      <c r="K910" s="1030">
        <v>0</v>
      </c>
      <c r="L910" s="1030">
        <v>0</v>
      </c>
      <c r="M910" s="979">
        <v>599</v>
      </c>
    </row>
    <row r="911" spans="1:13" ht="15">
      <c r="A911" s="979" t="s">
        <v>3533</v>
      </c>
      <c r="B911" s="722" t="str">
        <f>CONCATENATE(LEFT(RIGHT(CONCATENATE("000",IFAData_TEA!A911),6),3),"-",(RIGHT(RIGHT(CONCATENATE("000",IFAData_TEA!A911),6),3)))</f>
        <v>100-907</v>
      </c>
      <c r="C911" s="979" t="s">
        <v>839</v>
      </c>
      <c r="D911" s="979">
        <v>5</v>
      </c>
      <c r="E911" s="979">
        <v>2044</v>
      </c>
      <c r="F911" s="979" t="s">
        <v>4767</v>
      </c>
      <c r="G911" s="979" t="s">
        <v>4767</v>
      </c>
      <c r="H911" s="1030">
        <v>663791</v>
      </c>
      <c r="I911" s="1030">
        <v>0</v>
      </c>
      <c r="J911" s="1034">
        <v>0</v>
      </c>
      <c r="K911" s="1030">
        <v>0</v>
      </c>
      <c r="L911" s="1030">
        <v>0</v>
      </c>
      <c r="M911" s="979">
        <v>599</v>
      </c>
    </row>
    <row r="912" spans="1:13" ht="15">
      <c r="A912" s="979" t="s">
        <v>3533</v>
      </c>
      <c r="B912" s="722" t="str">
        <f>CONCATENATE(LEFT(RIGHT(CONCATENATE("000",IFAData_TEA!A912),6),3),"-",(RIGHT(RIGHT(CONCATENATE("000",IFAData_TEA!A912),6),3)))</f>
        <v>100-907</v>
      </c>
      <c r="C912" s="979" t="s">
        <v>839</v>
      </c>
      <c r="D912" s="979">
        <v>5</v>
      </c>
      <c r="E912" s="979">
        <v>2044</v>
      </c>
      <c r="F912" s="979" t="s">
        <v>4767</v>
      </c>
      <c r="G912" s="979" t="s">
        <v>4768</v>
      </c>
      <c r="H912" s="1030">
        <v>663791</v>
      </c>
      <c r="I912" s="1030">
        <v>0</v>
      </c>
      <c r="J912" s="1034">
        <v>0</v>
      </c>
      <c r="K912" s="1030">
        <v>0</v>
      </c>
      <c r="L912" s="1030">
        <v>0</v>
      </c>
      <c r="M912" s="979">
        <v>599</v>
      </c>
    </row>
    <row r="913" spans="1:13" ht="15">
      <c r="A913" s="979" t="s">
        <v>3533</v>
      </c>
      <c r="B913" s="722" t="str">
        <f>CONCATENATE(LEFT(RIGHT(CONCATENATE("000",IFAData_TEA!A913),6),3),"-",(RIGHT(RIGHT(CONCATENATE("000",IFAData_TEA!A913),6),3)))</f>
        <v>100-907</v>
      </c>
      <c r="C913" s="979" t="s">
        <v>839</v>
      </c>
      <c r="D913" s="979">
        <v>1</v>
      </c>
      <c r="E913" s="979">
        <v>2045</v>
      </c>
      <c r="F913" s="979" t="s">
        <v>4765</v>
      </c>
      <c r="G913" s="979" t="s">
        <v>4766</v>
      </c>
      <c r="H913" s="1030">
        <v>855058</v>
      </c>
      <c r="I913" s="1030">
        <v>875356</v>
      </c>
      <c r="J913" s="1034">
        <v>1</v>
      </c>
      <c r="K913" s="1030">
        <v>855058</v>
      </c>
      <c r="L913" s="1030">
        <v>855058</v>
      </c>
      <c r="M913" s="979">
        <v>599</v>
      </c>
    </row>
    <row r="914" spans="1:13" ht="15">
      <c r="A914" s="979" t="s">
        <v>3533</v>
      </c>
      <c r="B914" s="722" t="str">
        <f>CONCATENATE(LEFT(RIGHT(CONCATENATE("000",IFAData_TEA!A914),6),3),"-",(RIGHT(RIGHT(CONCATENATE("000",IFAData_TEA!A914),6),3)))</f>
        <v>100-907</v>
      </c>
      <c r="C914" s="979" t="s">
        <v>839</v>
      </c>
      <c r="D914" s="979">
        <v>1</v>
      </c>
      <c r="E914" s="979">
        <v>2045</v>
      </c>
      <c r="F914" s="979" t="s">
        <v>4765</v>
      </c>
      <c r="G914" s="979" t="s">
        <v>4765</v>
      </c>
      <c r="H914" s="1030">
        <v>855058</v>
      </c>
      <c r="I914" s="1030">
        <v>0</v>
      </c>
      <c r="J914" s="1034">
        <v>0</v>
      </c>
      <c r="K914" s="1030">
        <v>0</v>
      </c>
      <c r="L914" s="1030">
        <v>0</v>
      </c>
      <c r="M914" s="979">
        <v>599</v>
      </c>
    </row>
    <row r="915" spans="1:13" ht="15">
      <c r="A915" s="979" t="s">
        <v>3533</v>
      </c>
      <c r="B915" s="722" t="str">
        <f>CONCATENATE(LEFT(RIGHT(CONCATENATE("000",IFAData_TEA!A915),6),3),"-",(RIGHT(RIGHT(CONCATENATE("000",IFAData_TEA!A915),6),3)))</f>
        <v>100-907</v>
      </c>
      <c r="C915" s="979" t="s">
        <v>839</v>
      </c>
      <c r="D915" s="979">
        <v>5</v>
      </c>
      <c r="E915" s="979">
        <v>2044</v>
      </c>
      <c r="F915" s="979" t="s">
        <v>4767</v>
      </c>
      <c r="G915" s="979" t="s">
        <v>4766</v>
      </c>
      <c r="H915" s="1030">
        <v>663791</v>
      </c>
      <c r="I915" s="1030">
        <v>689191</v>
      </c>
      <c r="J915" s="1034">
        <v>1</v>
      </c>
      <c r="K915" s="1030">
        <v>663791</v>
      </c>
      <c r="L915" s="1030">
        <v>663791</v>
      </c>
      <c r="M915" s="979">
        <v>599</v>
      </c>
    </row>
    <row r="916" spans="1:13" ht="15">
      <c r="A916" s="979" t="s">
        <v>3534</v>
      </c>
      <c r="B916" s="722" t="str">
        <f>CONCATENATE(LEFT(RIGHT(CONCATENATE("000",IFAData_TEA!A916),6),3),"-",(RIGHT(RIGHT(CONCATENATE("000",IFAData_TEA!A916),6),3)))</f>
        <v>100-908</v>
      </c>
      <c r="C916" s="979" t="s">
        <v>297</v>
      </c>
      <c r="D916" s="979">
        <v>3</v>
      </c>
      <c r="E916" s="979">
        <v>2443</v>
      </c>
      <c r="F916" s="979" t="s">
        <v>4769</v>
      </c>
      <c r="G916" s="979" t="s">
        <v>4770</v>
      </c>
      <c r="H916" s="1030">
        <v>1101</v>
      </c>
      <c r="I916" s="1030">
        <v>245426</v>
      </c>
      <c r="J916" s="1034">
        <v>1</v>
      </c>
      <c r="K916" s="1030">
        <v>1101</v>
      </c>
      <c r="L916" s="1030">
        <v>1101</v>
      </c>
      <c r="M916" s="979">
        <v>599</v>
      </c>
    </row>
    <row r="917" spans="1:13" ht="15">
      <c r="A917" s="979" t="s">
        <v>3534</v>
      </c>
      <c r="B917" s="722" t="str">
        <f>CONCATENATE(LEFT(RIGHT(CONCATENATE("000",IFAData_TEA!A917),6),3),"-",(RIGHT(RIGHT(CONCATENATE("000",IFAData_TEA!A917),6),3)))</f>
        <v>100-908</v>
      </c>
      <c r="C917" s="979" t="s">
        <v>297</v>
      </c>
      <c r="D917" s="979">
        <v>3</v>
      </c>
      <c r="E917" s="979">
        <v>2443</v>
      </c>
      <c r="F917" s="979" t="s">
        <v>4769</v>
      </c>
      <c r="G917" s="979" t="s">
        <v>4769</v>
      </c>
      <c r="H917" s="1030">
        <v>1101</v>
      </c>
      <c r="I917" s="1030">
        <v>0</v>
      </c>
      <c r="J917" s="1034">
        <v>0</v>
      </c>
      <c r="K917" s="1030">
        <v>0</v>
      </c>
      <c r="L917" s="1030">
        <v>0</v>
      </c>
      <c r="M917" s="979">
        <v>599</v>
      </c>
    </row>
    <row r="918" spans="1:13" ht="15">
      <c r="A918" s="979" t="s">
        <v>3535</v>
      </c>
      <c r="B918" s="722" t="str">
        <f>CONCATENATE(LEFT(RIGHT(CONCATENATE("000",IFAData_TEA!A918),6),3),"-",(RIGHT(RIGHT(CONCATENATE("000",IFAData_TEA!A918),6),3)))</f>
        <v>101-902</v>
      </c>
      <c r="C918" s="979" t="s">
        <v>699</v>
      </c>
      <c r="D918" s="979">
        <v>1</v>
      </c>
      <c r="E918" s="979">
        <v>1545</v>
      </c>
      <c r="F918" s="979" t="s">
        <v>4771</v>
      </c>
      <c r="G918" s="979" t="s">
        <v>4774</v>
      </c>
      <c r="H918" s="1030">
        <v>3458574</v>
      </c>
      <c r="I918" s="1030">
        <v>77510</v>
      </c>
      <c r="J918" s="1034">
        <v>1.525859189044524E-2</v>
      </c>
      <c r="K918" s="1030">
        <v>52772.969188904754</v>
      </c>
      <c r="L918" s="1030">
        <v>52772.969188904754</v>
      </c>
      <c r="M918" s="979">
        <v>599</v>
      </c>
    </row>
    <row r="919" spans="1:13" ht="15">
      <c r="A919" s="979" t="s">
        <v>3535</v>
      </c>
      <c r="B919" s="722" t="str">
        <f>CONCATENATE(LEFT(RIGHT(CONCATENATE("000",IFAData_TEA!A919),6),3),"-",(RIGHT(RIGHT(CONCATENATE("000",IFAData_TEA!A919),6),3)))</f>
        <v>101-902</v>
      </c>
      <c r="C919" s="979" t="s">
        <v>699</v>
      </c>
      <c r="D919" s="979">
        <v>1</v>
      </c>
      <c r="E919" s="979">
        <v>1545</v>
      </c>
      <c r="F919" s="979" t="s">
        <v>4771</v>
      </c>
      <c r="G919" s="979" t="s">
        <v>4775</v>
      </c>
      <c r="H919" s="1030">
        <v>3458574</v>
      </c>
      <c r="I919" s="1030">
        <v>4368151</v>
      </c>
      <c r="J919" s="1034">
        <v>0.85991270061721403</v>
      </c>
      <c r="K919" s="1030">
        <v>2974071.7086244803</v>
      </c>
      <c r="L919" s="1030">
        <v>2974071.7086244803</v>
      </c>
      <c r="M919" s="979">
        <v>599</v>
      </c>
    </row>
    <row r="920" spans="1:13" ht="15">
      <c r="A920" s="979" t="s">
        <v>3535</v>
      </c>
      <c r="B920" s="722" t="str">
        <f>CONCATENATE(LEFT(RIGHT(CONCATENATE("000",IFAData_TEA!A920),6),3),"-",(RIGHT(RIGHT(CONCATENATE("000",IFAData_TEA!A920),6),3)))</f>
        <v>101-902</v>
      </c>
      <c r="C920" s="979" t="s">
        <v>699</v>
      </c>
      <c r="D920" s="979">
        <v>2</v>
      </c>
      <c r="E920" s="979">
        <v>1543</v>
      </c>
      <c r="F920" s="979" t="s">
        <v>4777</v>
      </c>
      <c r="G920" s="979" t="s">
        <v>4777</v>
      </c>
      <c r="H920" s="1030">
        <v>871986</v>
      </c>
      <c r="I920" s="1030">
        <v>0</v>
      </c>
      <c r="J920" s="1034">
        <v>0</v>
      </c>
      <c r="K920" s="1030"/>
      <c r="L920" s="1030">
        <v>0</v>
      </c>
      <c r="M920" s="979">
        <v>199</v>
      </c>
    </row>
    <row r="921" spans="1:13" ht="15">
      <c r="A921" s="979" t="s">
        <v>3535</v>
      </c>
      <c r="B921" s="722" t="str">
        <f>CONCATENATE(LEFT(RIGHT(CONCATENATE("000",IFAData_TEA!A921),6),3),"-",(RIGHT(RIGHT(CONCATENATE("000",IFAData_TEA!A921),6),3)))</f>
        <v>101-902</v>
      </c>
      <c r="C921" s="979" t="s">
        <v>699</v>
      </c>
      <c r="D921" s="979">
        <v>1</v>
      </c>
      <c r="E921" s="979">
        <v>1548</v>
      </c>
      <c r="F921" s="979" t="s">
        <v>4776</v>
      </c>
      <c r="G921" s="979" t="s">
        <v>4775</v>
      </c>
      <c r="H921" s="1030">
        <v>6381926</v>
      </c>
      <c r="I921" s="1030">
        <v>1854730</v>
      </c>
      <c r="J921" s="1034">
        <v>0.86613772427126434</v>
      </c>
      <c r="K921" s="1030">
        <v>5527626.8621076131</v>
      </c>
      <c r="L921" s="1030">
        <v>1854730</v>
      </c>
      <c r="M921" s="979">
        <v>599</v>
      </c>
    </row>
    <row r="922" spans="1:13" ht="15">
      <c r="A922" s="979" t="s">
        <v>3535</v>
      </c>
      <c r="B922" s="722" t="str">
        <f>CONCATENATE(LEFT(RIGHT(CONCATENATE("000",IFAData_TEA!A922),6),3),"-",(RIGHT(RIGHT(CONCATENATE("000",IFAData_TEA!A922),6),3)))</f>
        <v>101-902</v>
      </c>
      <c r="C922" s="979" t="s">
        <v>699</v>
      </c>
      <c r="D922" s="979">
        <v>5</v>
      </c>
      <c r="E922" s="979">
        <v>1546</v>
      </c>
      <c r="F922" s="979" t="s">
        <v>4778</v>
      </c>
      <c r="G922" s="979" t="s">
        <v>4778</v>
      </c>
      <c r="H922" s="1030">
        <v>5192317</v>
      </c>
      <c r="I922" s="1030">
        <v>0</v>
      </c>
      <c r="J922" s="1034">
        <v>0</v>
      </c>
      <c r="K922" s="1030">
        <v>0</v>
      </c>
      <c r="L922" s="1030">
        <v>0</v>
      </c>
      <c r="M922" s="979">
        <v>599</v>
      </c>
    </row>
    <row r="923" spans="1:13" ht="15">
      <c r="A923" s="979" t="s">
        <v>3535</v>
      </c>
      <c r="B923" s="722" t="str">
        <f>CONCATENATE(LEFT(RIGHT(CONCATENATE("000",IFAData_TEA!A923),6),3),"-",(RIGHT(RIGHT(CONCATENATE("000",IFAData_TEA!A923),6),3)))</f>
        <v>101-902</v>
      </c>
      <c r="C923" s="979" t="s">
        <v>699</v>
      </c>
      <c r="D923" s="979">
        <v>5</v>
      </c>
      <c r="E923" s="979">
        <v>1542</v>
      </c>
      <c r="F923" s="979" t="s">
        <v>4779</v>
      </c>
      <c r="G923" s="979" t="s">
        <v>4780</v>
      </c>
      <c r="H923" s="1030">
        <v>871410</v>
      </c>
      <c r="I923" s="1030">
        <v>334188</v>
      </c>
      <c r="J923" s="1034">
        <v>1</v>
      </c>
      <c r="K923" s="1030">
        <v>871410</v>
      </c>
      <c r="L923" s="1030">
        <v>334188</v>
      </c>
      <c r="M923" s="979">
        <v>199</v>
      </c>
    </row>
    <row r="924" spans="1:13" ht="15">
      <c r="A924" s="979" t="s">
        <v>3535</v>
      </c>
      <c r="B924" s="722" t="str">
        <f>CONCATENATE(LEFT(RIGHT(CONCATENATE("000",IFAData_TEA!A924),6),3),"-",(RIGHT(RIGHT(CONCATENATE("000",IFAData_TEA!A924),6),3)))</f>
        <v>101-902</v>
      </c>
      <c r="C924" s="979" t="s">
        <v>699</v>
      </c>
      <c r="D924" s="979">
        <v>1</v>
      </c>
      <c r="E924" s="979">
        <v>1545</v>
      </c>
      <c r="F924" s="979" t="s">
        <v>4771</v>
      </c>
      <c r="G924" s="979" t="s">
        <v>4771</v>
      </c>
      <c r="H924" s="1030">
        <v>3458574</v>
      </c>
      <c r="I924" s="1030">
        <v>0</v>
      </c>
      <c r="J924" s="1034">
        <v>0</v>
      </c>
      <c r="K924" s="1030">
        <v>0</v>
      </c>
      <c r="L924" s="1030">
        <v>0</v>
      </c>
      <c r="M924" s="979">
        <v>599</v>
      </c>
    </row>
    <row r="925" spans="1:13" ht="15">
      <c r="A925" s="979" t="s">
        <v>3535</v>
      </c>
      <c r="B925" s="722" t="str">
        <f>CONCATENATE(LEFT(RIGHT(CONCATENATE("000",IFAData_TEA!A925),6),3),"-",(RIGHT(RIGHT(CONCATENATE("000",IFAData_TEA!A925),6),3)))</f>
        <v>101-902</v>
      </c>
      <c r="C925" s="979" t="s">
        <v>699</v>
      </c>
      <c r="D925" s="979">
        <v>5</v>
      </c>
      <c r="E925" s="979">
        <v>1546</v>
      </c>
      <c r="F925" s="979" t="s">
        <v>4778</v>
      </c>
      <c r="G925" s="979" t="s">
        <v>4774</v>
      </c>
      <c r="H925" s="1030">
        <v>5192317</v>
      </c>
      <c r="I925" s="1030">
        <v>1169413</v>
      </c>
      <c r="J925" s="1034">
        <v>0.23495295166661243</v>
      </c>
      <c r="K925" s="1030">
        <v>1219950.2051387301</v>
      </c>
      <c r="L925" s="1030">
        <v>1169413</v>
      </c>
      <c r="M925" s="979">
        <v>599</v>
      </c>
    </row>
    <row r="926" spans="1:13" ht="15">
      <c r="A926" s="979" t="s">
        <v>3535</v>
      </c>
      <c r="B926" s="722" t="str">
        <f>CONCATENATE(LEFT(RIGHT(CONCATENATE("000",IFAData_TEA!A926),6),3),"-",(RIGHT(RIGHT(CONCATENATE("000",IFAData_TEA!A926),6),3)))</f>
        <v>101-902</v>
      </c>
      <c r="C926" s="979" t="s">
        <v>699</v>
      </c>
      <c r="D926" s="979">
        <v>1</v>
      </c>
      <c r="E926" s="979">
        <v>1548</v>
      </c>
      <c r="F926" s="979" t="s">
        <v>4776</v>
      </c>
      <c r="G926" s="979" t="s">
        <v>4774</v>
      </c>
      <c r="H926" s="1030">
        <v>6381926</v>
      </c>
      <c r="I926" s="1030">
        <v>0</v>
      </c>
      <c r="J926" s="1034">
        <v>0</v>
      </c>
      <c r="K926" s="1030">
        <v>0</v>
      </c>
      <c r="L926" s="1030">
        <v>0</v>
      </c>
      <c r="M926" s="979">
        <v>599</v>
      </c>
    </row>
    <row r="927" spans="1:13" ht="15">
      <c r="A927" s="979" t="s">
        <v>3535</v>
      </c>
      <c r="B927" s="722" t="str">
        <f>CONCATENATE(LEFT(RIGHT(CONCATENATE("000",IFAData_TEA!A927),6),3),"-",(RIGHT(RIGHT(CONCATENATE("000",IFAData_TEA!A927),6),3)))</f>
        <v>101-902</v>
      </c>
      <c r="C927" s="979" t="s">
        <v>699</v>
      </c>
      <c r="D927" s="979">
        <v>1</v>
      </c>
      <c r="E927" s="979">
        <v>1548</v>
      </c>
      <c r="F927" s="979" t="s">
        <v>4776</v>
      </c>
      <c r="G927" s="979" t="s">
        <v>4776</v>
      </c>
      <c r="H927" s="1030">
        <v>6381926</v>
      </c>
      <c r="I927" s="1030">
        <v>0</v>
      </c>
      <c r="J927" s="1034">
        <v>0</v>
      </c>
      <c r="K927" s="1030">
        <v>0</v>
      </c>
      <c r="L927" s="1030">
        <v>0</v>
      </c>
      <c r="M927" s="979">
        <v>599</v>
      </c>
    </row>
    <row r="928" spans="1:13" ht="15">
      <c r="A928" s="979" t="s">
        <v>3535</v>
      </c>
      <c r="B928" s="722" t="str">
        <f>CONCATENATE(LEFT(RIGHT(CONCATENATE("000",IFAData_TEA!A928),6),3),"-",(RIGHT(RIGHT(CONCATENATE("000",IFAData_TEA!A928),6),3)))</f>
        <v>101-902</v>
      </c>
      <c r="C928" s="979" t="s">
        <v>699</v>
      </c>
      <c r="D928" s="979">
        <v>1</v>
      </c>
      <c r="E928" s="979">
        <v>1548</v>
      </c>
      <c r="F928" s="979" t="s">
        <v>4776</v>
      </c>
      <c r="G928" s="979" t="s">
        <v>4772</v>
      </c>
      <c r="H928" s="1030">
        <v>6381926</v>
      </c>
      <c r="I928" s="1030">
        <v>0</v>
      </c>
      <c r="J928" s="1034">
        <v>0</v>
      </c>
      <c r="K928" s="1030">
        <v>0</v>
      </c>
      <c r="L928" s="1030">
        <v>0</v>
      </c>
      <c r="M928" s="979">
        <v>599</v>
      </c>
    </row>
    <row r="929" spans="1:13" ht="15">
      <c r="A929" s="979" t="s">
        <v>3535</v>
      </c>
      <c r="B929" s="722" t="str">
        <f>CONCATENATE(LEFT(RIGHT(CONCATENATE("000",IFAData_TEA!A929),6),3),"-",(RIGHT(RIGHT(CONCATENATE("000",IFAData_TEA!A929),6),3)))</f>
        <v>101-902</v>
      </c>
      <c r="C929" s="979" t="s">
        <v>699</v>
      </c>
      <c r="D929" s="979">
        <v>1</v>
      </c>
      <c r="E929" s="979">
        <v>1545</v>
      </c>
      <c r="F929" s="979" t="s">
        <v>4771</v>
      </c>
      <c r="G929" s="979" t="s">
        <v>4772</v>
      </c>
      <c r="H929" s="1030">
        <v>3458574</v>
      </c>
      <c r="I929" s="1030">
        <v>0</v>
      </c>
      <c r="J929" s="1034">
        <v>0</v>
      </c>
      <c r="K929" s="1030">
        <v>0</v>
      </c>
      <c r="L929" s="1030">
        <v>0</v>
      </c>
      <c r="M929" s="979">
        <v>599</v>
      </c>
    </row>
    <row r="930" spans="1:13" ht="15">
      <c r="A930" s="979" t="s">
        <v>3535</v>
      </c>
      <c r="B930" s="722" t="str">
        <f>CONCATENATE(LEFT(RIGHT(CONCATENATE("000",IFAData_TEA!A930),6),3),"-",(RIGHT(RIGHT(CONCATENATE("000",IFAData_TEA!A930),6),3)))</f>
        <v>101-902</v>
      </c>
      <c r="C930" s="979" t="s">
        <v>699</v>
      </c>
      <c r="D930" s="979">
        <v>1</v>
      </c>
      <c r="E930" s="979">
        <v>1548</v>
      </c>
      <c r="F930" s="979" t="s">
        <v>4776</v>
      </c>
      <c r="G930" s="979" t="s">
        <v>4773</v>
      </c>
      <c r="H930" s="1030">
        <v>6381926</v>
      </c>
      <c r="I930" s="1030">
        <v>286650</v>
      </c>
      <c r="J930" s="1034">
        <v>0.13386227572873569</v>
      </c>
      <c r="K930" s="1030">
        <v>854299.13789238723</v>
      </c>
      <c r="L930" s="1030">
        <v>286650</v>
      </c>
      <c r="M930" s="979">
        <v>599</v>
      </c>
    </row>
    <row r="931" spans="1:13" ht="15">
      <c r="A931" s="979" t="s">
        <v>3535</v>
      </c>
      <c r="B931" s="722" t="str">
        <f>CONCATENATE(LEFT(RIGHT(CONCATENATE("000",IFAData_TEA!A931),6),3),"-",(RIGHT(RIGHT(CONCATENATE("000",IFAData_TEA!A931),6),3)))</f>
        <v>101-902</v>
      </c>
      <c r="C931" s="979" t="s">
        <v>699</v>
      </c>
      <c r="D931" s="979">
        <v>9</v>
      </c>
      <c r="E931" s="979">
        <v>1544</v>
      </c>
      <c r="F931" s="979" t="s">
        <v>4782</v>
      </c>
      <c r="G931" s="979" t="s">
        <v>4782</v>
      </c>
      <c r="H931" s="1030">
        <v>1073703</v>
      </c>
      <c r="I931" s="1030">
        <v>0</v>
      </c>
      <c r="J931" s="1034">
        <v>0</v>
      </c>
      <c r="K931" s="1030"/>
      <c r="L931" s="1030">
        <v>0</v>
      </c>
      <c r="M931" s="979">
        <v>199</v>
      </c>
    </row>
    <row r="932" spans="1:13" ht="15">
      <c r="A932" s="979" t="s">
        <v>3535</v>
      </c>
      <c r="B932" s="722" t="str">
        <f>CONCATENATE(LEFT(RIGHT(CONCATENATE("000",IFAData_TEA!A932),6),3),"-",(RIGHT(RIGHT(CONCATENATE("000",IFAData_TEA!A932),6),3)))</f>
        <v>101-902</v>
      </c>
      <c r="C932" s="979" t="s">
        <v>699</v>
      </c>
      <c r="D932" s="979">
        <v>9</v>
      </c>
      <c r="E932" s="979">
        <v>1547</v>
      </c>
      <c r="F932" s="979" t="s">
        <v>4781</v>
      </c>
      <c r="G932" s="979" t="s">
        <v>4781</v>
      </c>
      <c r="H932" s="1030">
        <v>6114066</v>
      </c>
      <c r="I932" s="1030">
        <v>5288404</v>
      </c>
      <c r="J932" s="1034">
        <v>1</v>
      </c>
      <c r="K932" s="1030">
        <v>6114066</v>
      </c>
      <c r="L932" s="1030">
        <v>5288404</v>
      </c>
      <c r="M932" s="979">
        <v>599</v>
      </c>
    </row>
    <row r="933" spans="1:13" ht="15">
      <c r="A933" s="979" t="s">
        <v>3535</v>
      </c>
      <c r="B933" s="722" t="str">
        <f>CONCATENATE(LEFT(RIGHT(CONCATENATE("000",IFAData_TEA!A933),6),3),"-",(RIGHT(RIGHT(CONCATENATE("000",IFAData_TEA!A933),6),3)))</f>
        <v>101-902</v>
      </c>
      <c r="C933" s="979" t="s">
        <v>699</v>
      </c>
      <c r="D933" s="979">
        <v>5</v>
      </c>
      <c r="E933" s="979">
        <v>1542</v>
      </c>
      <c r="F933" s="979" t="s">
        <v>4779</v>
      </c>
      <c r="G933" s="979" t="s">
        <v>4779</v>
      </c>
      <c r="H933" s="1030">
        <v>871410</v>
      </c>
      <c r="I933" s="1030">
        <v>0</v>
      </c>
      <c r="J933" s="1034">
        <v>0</v>
      </c>
      <c r="K933" s="1030">
        <v>0</v>
      </c>
      <c r="L933" s="1030">
        <v>0</v>
      </c>
      <c r="M933" s="979">
        <v>199</v>
      </c>
    </row>
    <row r="934" spans="1:13" ht="15">
      <c r="A934" s="979" t="s">
        <v>3535</v>
      </c>
      <c r="B934" s="722" t="str">
        <f>CONCATENATE(LEFT(RIGHT(CONCATENATE("000",IFAData_TEA!A934),6),3),"-",(RIGHT(RIGHT(CONCATENATE("000",IFAData_TEA!A934),6),3)))</f>
        <v>101-902</v>
      </c>
      <c r="C934" s="979" t="s">
        <v>699</v>
      </c>
      <c r="D934" s="979">
        <v>5</v>
      </c>
      <c r="E934" s="979">
        <v>1546</v>
      </c>
      <c r="F934" s="979" t="s">
        <v>4778</v>
      </c>
      <c r="G934" s="979" t="s">
        <v>4773</v>
      </c>
      <c r="H934" s="1030">
        <v>5192317</v>
      </c>
      <c r="I934" s="1030">
        <v>3807809</v>
      </c>
      <c r="J934" s="1034">
        <v>0.76504704833338755</v>
      </c>
      <c r="K934" s="1030">
        <v>3972366.7948612696</v>
      </c>
      <c r="L934" s="1030">
        <v>3807809</v>
      </c>
      <c r="M934" s="979">
        <v>599</v>
      </c>
    </row>
    <row r="935" spans="1:13" ht="15">
      <c r="A935" s="979" t="s">
        <v>3535</v>
      </c>
      <c r="B935" s="722" t="str">
        <f>CONCATENATE(LEFT(RIGHT(CONCATENATE("000",IFAData_TEA!A935),6),3),"-",(RIGHT(RIGHT(CONCATENATE("000",IFAData_TEA!A935),6),3)))</f>
        <v>101-902</v>
      </c>
      <c r="C935" s="979" t="s">
        <v>699</v>
      </c>
      <c r="D935" s="979">
        <v>1</v>
      </c>
      <c r="E935" s="979">
        <v>1545</v>
      </c>
      <c r="F935" s="979" t="s">
        <v>4771</v>
      </c>
      <c r="G935" s="979" t="s">
        <v>4773</v>
      </c>
      <c r="H935" s="1030">
        <v>3458574</v>
      </c>
      <c r="I935" s="1030">
        <v>634100</v>
      </c>
      <c r="J935" s="1034">
        <v>0.12482870749234068</v>
      </c>
      <c r="K935" s="1030">
        <v>431729.32218661468</v>
      </c>
      <c r="L935" s="1030">
        <v>431729.32218661468</v>
      </c>
      <c r="M935" s="979">
        <v>599</v>
      </c>
    </row>
    <row r="936" spans="1:13" ht="15">
      <c r="A936" s="979" t="s">
        <v>3536</v>
      </c>
      <c r="B936" s="722" t="str">
        <f>CONCATENATE(LEFT(RIGHT(CONCATENATE("000",IFAData_TEA!A936),6),3),"-",(RIGHT(RIGHT(CONCATENATE("000",IFAData_TEA!A936),6),3)))</f>
        <v>101-903</v>
      </c>
      <c r="C936" s="979" t="s">
        <v>1987</v>
      </c>
      <c r="D936" s="979">
        <v>3</v>
      </c>
      <c r="E936" s="979">
        <v>1555</v>
      </c>
      <c r="F936" s="979" t="s">
        <v>4789</v>
      </c>
      <c r="G936" s="979" t="s">
        <v>4789</v>
      </c>
      <c r="H936" s="1030">
        <v>2098629</v>
      </c>
      <c r="I936" s="1030">
        <v>0</v>
      </c>
      <c r="J936" s="1034">
        <v>0</v>
      </c>
      <c r="K936" s="1030">
        <v>0</v>
      </c>
      <c r="L936" s="1030">
        <v>0</v>
      </c>
      <c r="M936" s="979">
        <v>599</v>
      </c>
    </row>
    <row r="937" spans="1:13" ht="15">
      <c r="A937" s="979" t="s">
        <v>3536</v>
      </c>
      <c r="B937" s="722" t="str">
        <f>CONCATENATE(LEFT(RIGHT(CONCATENATE("000",IFAData_TEA!A937),6),3),"-",(RIGHT(RIGHT(CONCATENATE("000",IFAData_TEA!A937),6),3)))</f>
        <v>101-903</v>
      </c>
      <c r="C937" s="979" t="s">
        <v>1987</v>
      </c>
      <c r="D937" s="979">
        <v>2</v>
      </c>
      <c r="E937" s="979">
        <v>1559</v>
      </c>
      <c r="F937" s="979" t="s">
        <v>4788</v>
      </c>
      <c r="G937" s="979" t="s">
        <v>4787</v>
      </c>
      <c r="H937" s="1030">
        <v>4312614</v>
      </c>
      <c r="I937" s="1030">
        <v>585457</v>
      </c>
      <c r="J937" s="1034">
        <v>0.19645001666005074</v>
      </c>
      <c r="K937" s="1030">
        <v>847213.09214836801</v>
      </c>
      <c r="L937" s="1030">
        <v>585457</v>
      </c>
      <c r="M937" s="979">
        <v>599</v>
      </c>
    </row>
    <row r="938" spans="1:13" ht="15">
      <c r="A938" s="979" t="s">
        <v>3536</v>
      </c>
      <c r="B938" s="722" t="str">
        <f>CONCATENATE(LEFT(RIGHT(CONCATENATE("000",IFAData_TEA!A938),6),3),"-",(RIGHT(RIGHT(CONCATENATE("000",IFAData_TEA!A938),6),3)))</f>
        <v>101-903</v>
      </c>
      <c r="C938" s="979" t="s">
        <v>1987</v>
      </c>
      <c r="D938" s="979">
        <v>3</v>
      </c>
      <c r="E938" s="979">
        <v>1555</v>
      </c>
      <c r="F938" s="979" t="s">
        <v>4789</v>
      </c>
      <c r="G938" s="979" t="s">
        <v>6254</v>
      </c>
      <c r="H938" s="1030">
        <v>2098629</v>
      </c>
      <c r="I938" s="1030">
        <v>25660</v>
      </c>
      <c r="J938" s="1034">
        <v>2.069515059230392E-2</v>
      </c>
      <c r="K938" s="1030">
        <v>43431.44319237618</v>
      </c>
      <c r="L938" s="1030">
        <v>25660</v>
      </c>
      <c r="M938" s="979">
        <v>599</v>
      </c>
    </row>
    <row r="939" spans="1:13" ht="15">
      <c r="A939" s="979" t="s">
        <v>3536</v>
      </c>
      <c r="B939" s="722" t="str">
        <f>CONCATENATE(LEFT(RIGHT(CONCATENATE("000",IFAData_TEA!A939),6),3),"-",(RIGHT(RIGHT(CONCATENATE("000",IFAData_TEA!A939),6),3)))</f>
        <v>101-903</v>
      </c>
      <c r="C939" s="979" t="s">
        <v>1987</v>
      </c>
      <c r="D939" s="979">
        <v>1</v>
      </c>
      <c r="E939" s="979">
        <v>1554</v>
      </c>
      <c r="F939" s="979" t="s">
        <v>4783</v>
      </c>
      <c r="G939" s="979" t="s">
        <v>4784</v>
      </c>
      <c r="H939" s="1030">
        <v>1417777</v>
      </c>
      <c r="I939" s="1030">
        <v>1010298</v>
      </c>
      <c r="J939" s="1034">
        <v>0.61239831731060657</v>
      </c>
      <c r="K939" s="1030">
        <v>868244.24912167981</v>
      </c>
      <c r="L939" s="1030">
        <v>868244.24912167981</v>
      </c>
      <c r="M939" s="979">
        <v>599</v>
      </c>
    </row>
    <row r="940" spans="1:13" ht="15">
      <c r="A940" s="979" t="s">
        <v>3536</v>
      </c>
      <c r="B940" s="722" t="str">
        <f>CONCATENATE(LEFT(RIGHT(CONCATENATE("000",IFAData_TEA!A940),6),3),"-",(RIGHT(RIGHT(CONCATENATE("000",IFAData_TEA!A940),6),3)))</f>
        <v>101-903</v>
      </c>
      <c r="C940" s="979" t="s">
        <v>1987</v>
      </c>
      <c r="D940" s="979">
        <v>1</v>
      </c>
      <c r="E940" s="979">
        <v>1554</v>
      </c>
      <c r="F940" s="979" t="s">
        <v>4783</v>
      </c>
      <c r="G940" s="979" t="s">
        <v>4786</v>
      </c>
      <c r="H940" s="1030">
        <v>1417777</v>
      </c>
      <c r="I940" s="1030">
        <v>0</v>
      </c>
      <c r="J940" s="1034">
        <v>0</v>
      </c>
      <c r="K940" s="1030">
        <v>0</v>
      </c>
      <c r="L940" s="1030">
        <v>0</v>
      </c>
      <c r="M940" s="979">
        <v>599</v>
      </c>
    </row>
    <row r="941" spans="1:13" ht="15">
      <c r="A941" s="979" t="s">
        <v>3536</v>
      </c>
      <c r="B941" s="722" t="str">
        <f>CONCATENATE(LEFT(RIGHT(CONCATENATE("000",IFAData_TEA!A941),6),3),"-",(RIGHT(RIGHT(CONCATENATE("000",IFAData_TEA!A941),6),3)))</f>
        <v>101-903</v>
      </c>
      <c r="C941" s="979" t="s">
        <v>1987</v>
      </c>
      <c r="D941" s="979">
        <v>3</v>
      </c>
      <c r="E941" s="979">
        <v>1558</v>
      </c>
      <c r="F941" s="979" t="s">
        <v>4791</v>
      </c>
      <c r="G941" s="979" t="s">
        <v>4786</v>
      </c>
      <c r="H941" s="1030">
        <v>3113521</v>
      </c>
      <c r="I941" s="1030">
        <v>0</v>
      </c>
      <c r="J941" s="1034">
        <v>0</v>
      </c>
      <c r="K941" s="1030">
        <v>0</v>
      </c>
      <c r="L941" s="1030">
        <v>0</v>
      </c>
      <c r="M941" s="979">
        <v>599</v>
      </c>
    </row>
    <row r="942" spans="1:13" ht="15">
      <c r="A942" s="979" t="s">
        <v>3536</v>
      </c>
      <c r="B942" s="722" t="str">
        <f>CONCATENATE(LEFT(RIGHT(CONCATENATE("000",IFAData_TEA!A942),6),3),"-",(RIGHT(RIGHT(CONCATENATE("000",IFAData_TEA!A942),6),3)))</f>
        <v>101-903</v>
      </c>
      <c r="C942" s="979" t="s">
        <v>1987</v>
      </c>
      <c r="D942" s="979">
        <v>2</v>
      </c>
      <c r="E942" s="979">
        <v>1559</v>
      </c>
      <c r="F942" s="979" t="s">
        <v>4788</v>
      </c>
      <c r="G942" s="979" t="s">
        <v>4786</v>
      </c>
      <c r="H942" s="1030">
        <v>4312614</v>
      </c>
      <c r="I942" s="1030">
        <v>0</v>
      </c>
      <c r="J942" s="1034">
        <v>0</v>
      </c>
      <c r="K942" s="1030">
        <v>0</v>
      </c>
      <c r="L942" s="1030">
        <v>0</v>
      </c>
      <c r="M942" s="979">
        <v>599</v>
      </c>
    </row>
    <row r="943" spans="1:13" ht="15">
      <c r="A943" s="979" t="s">
        <v>3536</v>
      </c>
      <c r="B943" s="722" t="str">
        <f>CONCATENATE(LEFT(RIGHT(CONCATENATE("000",IFAData_TEA!A943),6),3),"-",(RIGHT(RIGHT(CONCATENATE("000",IFAData_TEA!A943),6),3)))</f>
        <v>101-903</v>
      </c>
      <c r="C943" s="979" t="s">
        <v>1987</v>
      </c>
      <c r="D943" s="979">
        <v>5</v>
      </c>
      <c r="E943" s="979">
        <v>1556</v>
      </c>
      <c r="F943" s="979" t="s">
        <v>4793</v>
      </c>
      <c r="G943" s="979" t="s">
        <v>4793</v>
      </c>
      <c r="H943" s="1030">
        <v>2380440</v>
      </c>
      <c r="I943" s="1030">
        <v>0</v>
      </c>
      <c r="J943" s="1034">
        <v>0</v>
      </c>
      <c r="K943" s="1030">
        <v>0</v>
      </c>
      <c r="L943" s="1030">
        <v>0</v>
      </c>
      <c r="M943" s="979">
        <v>599</v>
      </c>
    </row>
    <row r="944" spans="1:13" ht="15">
      <c r="A944" s="979" t="s">
        <v>3536</v>
      </c>
      <c r="B944" s="722" t="str">
        <f>CONCATENATE(LEFT(RIGHT(CONCATENATE("000",IFAData_TEA!A944),6),3),"-",(RIGHT(RIGHT(CONCATENATE("000",IFAData_TEA!A944),6),3)))</f>
        <v>101-903</v>
      </c>
      <c r="C944" s="979" t="s">
        <v>1987</v>
      </c>
      <c r="D944" s="979">
        <v>3</v>
      </c>
      <c r="E944" s="979">
        <v>1555</v>
      </c>
      <c r="F944" s="979" t="s">
        <v>4789</v>
      </c>
      <c r="G944" s="979" t="s">
        <v>4785</v>
      </c>
      <c r="H944" s="1030">
        <v>2098629</v>
      </c>
      <c r="I944" s="1030">
        <v>78815</v>
      </c>
      <c r="J944" s="1034">
        <v>6.3565405063617825E-2</v>
      </c>
      <c r="K944" s="1030">
        <v>133400.20246325521</v>
      </c>
      <c r="L944" s="1030">
        <v>78815</v>
      </c>
      <c r="M944" s="979">
        <v>599</v>
      </c>
    </row>
    <row r="945" spans="1:13" ht="15">
      <c r="A945" s="979" t="s">
        <v>3536</v>
      </c>
      <c r="B945" s="722" t="str">
        <f>CONCATENATE(LEFT(RIGHT(CONCATENATE("000",IFAData_TEA!A945),6),3),"-",(RIGHT(RIGHT(CONCATENATE("000",IFAData_TEA!A945),6),3)))</f>
        <v>101-903</v>
      </c>
      <c r="C945" s="979" t="s">
        <v>1987</v>
      </c>
      <c r="D945" s="979">
        <v>3</v>
      </c>
      <c r="E945" s="979">
        <v>1555</v>
      </c>
      <c r="F945" s="979" t="s">
        <v>4789</v>
      </c>
      <c r="G945" s="979" t="s">
        <v>4790</v>
      </c>
      <c r="H945" s="1030">
        <v>2098629</v>
      </c>
      <c r="I945" s="1030">
        <v>1135429</v>
      </c>
      <c r="J945" s="1034">
        <v>0.91573944434407828</v>
      </c>
      <c r="K945" s="1030">
        <v>1921797.3543443687</v>
      </c>
      <c r="L945" s="1030">
        <v>1135429</v>
      </c>
      <c r="M945" s="979">
        <v>599</v>
      </c>
    </row>
    <row r="946" spans="1:13" ht="15">
      <c r="A946" s="979" t="s">
        <v>3536</v>
      </c>
      <c r="B946" s="722" t="str">
        <f>CONCATENATE(LEFT(RIGHT(CONCATENATE("000",IFAData_TEA!A946),6),3),"-",(RIGHT(RIGHT(CONCATENATE("000",IFAData_TEA!A946),6),3)))</f>
        <v>101-903</v>
      </c>
      <c r="C946" s="979" t="s">
        <v>1987</v>
      </c>
      <c r="D946" s="979">
        <v>5</v>
      </c>
      <c r="E946" s="979">
        <v>1556</v>
      </c>
      <c r="F946" s="979" t="s">
        <v>4793</v>
      </c>
      <c r="G946" s="979" t="s">
        <v>6254</v>
      </c>
      <c r="H946" s="1030">
        <v>2380440</v>
      </c>
      <c r="I946" s="1030">
        <v>68995</v>
      </c>
      <c r="J946" s="1034">
        <v>4.320185242930976E-2</v>
      </c>
      <c r="K946" s="1030">
        <v>102839.41759682613</v>
      </c>
      <c r="L946" s="1030">
        <v>68995</v>
      </c>
      <c r="M946" s="979">
        <v>599</v>
      </c>
    </row>
    <row r="947" spans="1:13" ht="15">
      <c r="A947" s="979" t="s">
        <v>3536</v>
      </c>
      <c r="B947" s="722" t="str">
        <f>CONCATENATE(LEFT(RIGHT(CONCATENATE("000",IFAData_TEA!A947),6),3),"-",(RIGHT(RIGHT(CONCATENATE("000",IFAData_TEA!A947),6),3)))</f>
        <v>101-903</v>
      </c>
      <c r="C947" s="979" t="s">
        <v>1987</v>
      </c>
      <c r="D947" s="979">
        <v>3</v>
      </c>
      <c r="E947" s="979">
        <v>1558</v>
      </c>
      <c r="F947" s="979" t="s">
        <v>4791</v>
      </c>
      <c r="G947" s="979" t="s">
        <v>4784</v>
      </c>
      <c r="H947" s="1030">
        <v>3113521</v>
      </c>
      <c r="I947" s="1030">
        <v>0</v>
      </c>
      <c r="J947" s="1034">
        <v>0</v>
      </c>
      <c r="K947" s="1030">
        <v>0</v>
      </c>
      <c r="L947" s="1030">
        <v>0</v>
      </c>
      <c r="M947" s="979">
        <v>599</v>
      </c>
    </row>
    <row r="948" spans="1:13" ht="15">
      <c r="A948" s="979" t="s">
        <v>3536</v>
      </c>
      <c r="B948" s="722" t="str">
        <f>CONCATENATE(LEFT(RIGHT(CONCATENATE("000",IFAData_TEA!A948),6),3),"-",(RIGHT(RIGHT(CONCATENATE("000",IFAData_TEA!A948),6),3)))</f>
        <v>101-903</v>
      </c>
      <c r="C948" s="979" t="s">
        <v>1987</v>
      </c>
      <c r="D948" s="979">
        <v>2</v>
      </c>
      <c r="E948" s="979">
        <v>1559</v>
      </c>
      <c r="F948" s="979" t="s">
        <v>4788</v>
      </c>
      <c r="G948" s="979" t="s">
        <v>4784</v>
      </c>
      <c r="H948" s="1030">
        <v>4312614</v>
      </c>
      <c r="I948" s="1030">
        <v>0</v>
      </c>
      <c r="J948" s="1034">
        <v>0</v>
      </c>
      <c r="K948" s="1030">
        <v>0</v>
      </c>
      <c r="L948" s="1030">
        <v>0</v>
      </c>
      <c r="M948" s="979">
        <v>599</v>
      </c>
    </row>
    <row r="949" spans="1:13" ht="15">
      <c r="A949" s="979" t="s">
        <v>3536</v>
      </c>
      <c r="B949" s="722" t="str">
        <f>CONCATENATE(LEFT(RIGHT(CONCATENATE("000",IFAData_TEA!A949),6),3),"-",(RIGHT(RIGHT(CONCATENATE("000",IFAData_TEA!A949),6),3)))</f>
        <v>101-903</v>
      </c>
      <c r="C949" s="979" t="s">
        <v>1987</v>
      </c>
      <c r="D949" s="979">
        <v>10</v>
      </c>
      <c r="E949" s="979">
        <v>1552</v>
      </c>
      <c r="F949" s="979" t="s">
        <v>4796</v>
      </c>
      <c r="G949" s="979" t="s">
        <v>4796</v>
      </c>
      <c r="H949" s="1030">
        <v>901072</v>
      </c>
      <c r="I949" s="1030">
        <v>910461</v>
      </c>
      <c r="J949" s="1034">
        <v>1</v>
      </c>
      <c r="K949" s="1030">
        <v>901072</v>
      </c>
      <c r="L949" s="1030">
        <v>901072</v>
      </c>
      <c r="M949" s="979">
        <v>599</v>
      </c>
    </row>
    <row r="950" spans="1:13" ht="15">
      <c r="A950" s="979" t="s">
        <v>3536</v>
      </c>
      <c r="B950" s="722" t="str">
        <f>CONCATENATE(LEFT(RIGHT(CONCATENATE("000",IFAData_TEA!A950),6),3),"-",(RIGHT(RIGHT(CONCATENATE("000",IFAData_TEA!A950),6),3)))</f>
        <v>101-903</v>
      </c>
      <c r="C950" s="979" t="s">
        <v>1987</v>
      </c>
      <c r="D950" s="979">
        <v>5</v>
      </c>
      <c r="E950" s="979">
        <v>1556</v>
      </c>
      <c r="F950" s="979" t="s">
        <v>4793</v>
      </c>
      <c r="G950" s="979" t="s">
        <v>4792</v>
      </c>
      <c r="H950" s="1030">
        <v>2380440</v>
      </c>
      <c r="I950" s="1030">
        <v>1432276</v>
      </c>
      <c r="J950" s="1034">
        <v>0.89683276165000458</v>
      </c>
      <c r="K950" s="1030">
        <v>2134856.579142137</v>
      </c>
      <c r="L950" s="1030">
        <v>1432276</v>
      </c>
      <c r="M950" s="979">
        <v>599</v>
      </c>
    </row>
    <row r="951" spans="1:13" ht="15">
      <c r="A951" s="979" t="s">
        <v>3536</v>
      </c>
      <c r="B951" s="722" t="str">
        <f>CONCATENATE(LEFT(RIGHT(CONCATENATE("000",IFAData_TEA!A951),6),3),"-",(RIGHT(RIGHT(CONCATENATE("000",IFAData_TEA!A951),6),3)))</f>
        <v>101-903</v>
      </c>
      <c r="C951" s="979" t="s">
        <v>1987</v>
      </c>
      <c r="D951" s="979">
        <v>6</v>
      </c>
      <c r="E951" s="979">
        <v>1557</v>
      </c>
      <c r="F951" s="979" t="s">
        <v>4794</v>
      </c>
      <c r="G951" s="979" t="s">
        <v>4792</v>
      </c>
      <c r="H951" s="1030">
        <v>2566718</v>
      </c>
      <c r="I951" s="1030">
        <v>1742096</v>
      </c>
      <c r="J951" s="1034">
        <v>1</v>
      </c>
      <c r="K951" s="1030">
        <v>2566718</v>
      </c>
      <c r="L951" s="1030">
        <v>1742096</v>
      </c>
      <c r="M951" s="979">
        <v>599</v>
      </c>
    </row>
    <row r="952" spans="1:13" ht="15">
      <c r="A952" s="979" t="s">
        <v>3536</v>
      </c>
      <c r="B952" s="722" t="str">
        <f>CONCATENATE(LEFT(RIGHT(CONCATENATE("000",IFAData_TEA!A952),6),3),"-",(RIGHT(RIGHT(CONCATENATE("000",IFAData_TEA!A952),6),3)))</f>
        <v>101-903</v>
      </c>
      <c r="C952" s="979" t="s">
        <v>1987</v>
      </c>
      <c r="D952" s="979">
        <v>3</v>
      </c>
      <c r="E952" s="979">
        <v>1558</v>
      </c>
      <c r="F952" s="979" t="s">
        <v>4791</v>
      </c>
      <c r="G952" s="979" t="s">
        <v>4792</v>
      </c>
      <c r="H952" s="1030">
        <v>3113521</v>
      </c>
      <c r="I952" s="1030">
        <v>114203</v>
      </c>
      <c r="J952" s="1034">
        <v>8.0870575072406303E-2</v>
      </c>
      <c r="K952" s="1030">
        <v>251792.23377001355</v>
      </c>
      <c r="L952" s="1030">
        <v>114203</v>
      </c>
      <c r="M952" s="979">
        <v>599</v>
      </c>
    </row>
    <row r="953" spans="1:13" ht="15">
      <c r="A953" s="979" t="s">
        <v>3536</v>
      </c>
      <c r="B953" s="722" t="str">
        <f>CONCATENATE(LEFT(RIGHT(CONCATENATE("000",IFAData_TEA!A953),6),3),"-",(RIGHT(RIGHT(CONCATENATE("000",IFAData_TEA!A953),6),3)))</f>
        <v>101-903</v>
      </c>
      <c r="C953" s="979" t="s">
        <v>1987</v>
      </c>
      <c r="D953" s="979">
        <v>1</v>
      </c>
      <c r="E953" s="979">
        <v>1554</v>
      </c>
      <c r="F953" s="979" t="s">
        <v>4783</v>
      </c>
      <c r="G953" s="979" t="s">
        <v>4783</v>
      </c>
      <c r="H953" s="1030">
        <v>1417777</v>
      </c>
      <c r="I953" s="1030">
        <v>0</v>
      </c>
      <c r="J953" s="1034">
        <v>0</v>
      </c>
      <c r="K953" s="1030">
        <v>0</v>
      </c>
      <c r="L953" s="1030">
        <v>0</v>
      </c>
      <c r="M953" s="979">
        <v>599</v>
      </c>
    </row>
    <row r="954" spans="1:13" ht="15">
      <c r="A954" s="979" t="s">
        <v>3536</v>
      </c>
      <c r="B954" s="722" t="str">
        <f>CONCATENATE(LEFT(RIGHT(CONCATENATE("000",IFAData_TEA!A954),6),3),"-",(RIGHT(RIGHT(CONCATENATE("000",IFAData_TEA!A954),6),3)))</f>
        <v>101-903</v>
      </c>
      <c r="C954" s="979" t="s">
        <v>1987</v>
      </c>
      <c r="D954" s="979">
        <v>1</v>
      </c>
      <c r="E954" s="979">
        <v>1554</v>
      </c>
      <c r="F954" s="979" t="s">
        <v>4783</v>
      </c>
      <c r="G954" s="979" t="s">
        <v>4785</v>
      </c>
      <c r="H954" s="1030">
        <v>1417777</v>
      </c>
      <c r="I954" s="1030">
        <v>0</v>
      </c>
      <c r="J954" s="1034">
        <v>0</v>
      </c>
      <c r="K954" s="1030">
        <v>0</v>
      </c>
      <c r="L954" s="1030">
        <v>0</v>
      </c>
      <c r="M954" s="979">
        <v>599</v>
      </c>
    </row>
    <row r="955" spans="1:13" ht="15">
      <c r="A955" s="979" t="s">
        <v>3536</v>
      </c>
      <c r="B955" s="722" t="str">
        <f>CONCATENATE(LEFT(RIGHT(CONCATENATE("000",IFAData_TEA!A955),6),3),"-",(RIGHT(RIGHT(CONCATENATE("000",IFAData_TEA!A955),6),3)))</f>
        <v>101-903</v>
      </c>
      <c r="C955" s="979" t="s">
        <v>1987</v>
      </c>
      <c r="D955" s="979">
        <v>2</v>
      </c>
      <c r="E955" s="979">
        <v>1559</v>
      </c>
      <c r="F955" s="979" t="s">
        <v>4788</v>
      </c>
      <c r="G955" s="979" t="s">
        <v>4785</v>
      </c>
      <c r="H955" s="1030">
        <v>4312614</v>
      </c>
      <c r="I955" s="1030">
        <v>2394726</v>
      </c>
      <c r="J955" s="1034">
        <v>0.8035499833399492</v>
      </c>
      <c r="K955" s="1030">
        <v>3465400.9078516318</v>
      </c>
      <c r="L955" s="1030">
        <v>2394726</v>
      </c>
      <c r="M955" s="979">
        <v>599</v>
      </c>
    </row>
    <row r="956" spans="1:13" ht="15">
      <c r="A956" s="979" t="s">
        <v>3536</v>
      </c>
      <c r="B956" s="722" t="str">
        <f>CONCATENATE(LEFT(RIGHT(CONCATENATE("000",IFAData_TEA!A956),6),3),"-",(RIGHT(RIGHT(CONCATENATE("000",IFAData_TEA!A956),6),3)))</f>
        <v>101-903</v>
      </c>
      <c r="C956" s="979" t="s">
        <v>1987</v>
      </c>
      <c r="D956" s="979">
        <v>10</v>
      </c>
      <c r="E956" s="979">
        <v>1553</v>
      </c>
      <c r="F956" s="979" t="s">
        <v>4795</v>
      </c>
      <c r="G956" s="979" t="s">
        <v>4795</v>
      </c>
      <c r="H956" s="1030">
        <v>967583</v>
      </c>
      <c r="I956" s="1030">
        <v>1032089</v>
      </c>
      <c r="J956" s="1034">
        <v>1</v>
      </c>
      <c r="K956" s="1030">
        <v>967583</v>
      </c>
      <c r="L956" s="1030">
        <v>967583</v>
      </c>
      <c r="M956" s="979">
        <v>599</v>
      </c>
    </row>
    <row r="957" spans="1:13" ht="15">
      <c r="A957" s="979" t="s">
        <v>3536</v>
      </c>
      <c r="B957" s="722" t="str">
        <f>CONCATENATE(LEFT(RIGHT(CONCATENATE("000",IFAData_TEA!A957),6),3),"-",(RIGHT(RIGHT(CONCATENATE("000",IFAData_TEA!A957),6),3)))</f>
        <v>101-903</v>
      </c>
      <c r="C957" s="979" t="s">
        <v>1987</v>
      </c>
      <c r="D957" s="979">
        <v>3</v>
      </c>
      <c r="E957" s="979">
        <v>1558</v>
      </c>
      <c r="F957" s="979" t="s">
        <v>4791</v>
      </c>
      <c r="G957" s="979" t="s">
        <v>4791</v>
      </c>
      <c r="H957" s="1030">
        <v>3113521</v>
      </c>
      <c r="I957" s="1030">
        <v>0</v>
      </c>
      <c r="J957" s="1034">
        <v>0</v>
      </c>
      <c r="K957" s="1030">
        <v>0</v>
      </c>
      <c r="L957" s="1030">
        <v>0</v>
      </c>
      <c r="M957" s="979">
        <v>599</v>
      </c>
    </row>
    <row r="958" spans="1:13" ht="15">
      <c r="A958" s="979" t="s">
        <v>3536</v>
      </c>
      <c r="B958" s="722" t="str">
        <f>CONCATENATE(LEFT(RIGHT(CONCATENATE("000",IFAData_TEA!A958),6),3),"-",(RIGHT(RIGHT(CONCATENATE("000",IFAData_TEA!A958),6),3)))</f>
        <v>101-903</v>
      </c>
      <c r="C958" s="979" t="s">
        <v>1987</v>
      </c>
      <c r="D958" s="979">
        <v>2</v>
      </c>
      <c r="E958" s="979">
        <v>1559</v>
      </c>
      <c r="F958" s="979" t="s">
        <v>4788</v>
      </c>
      <c r="G958" s="979" t="s">
        <v>4788</v>
      </c>
      <c r="H958" s="1030">
        <v>4312614</v>
      </c>
      <c r="I958" s="1030">
        <v>0</v>
      </c>
      <c r="J958" s="1034">
        <v>0</v>
      </c>
      <c r="K958" s="1030">
        <v>0</v>
      </c>
      <c r="L958" s="1030">
        <v>0</v>
      </c>
      <c r="M958" s="979">
        <v>599</v>
      </c>
    </row>
    <row r="959" spans="1:13" ht="15">
      <c r="A959" s="979" t="s">
        <v>3536</v>
      </c>
      <c r="B959" s="722" t="str">
        <f>CONCATENATE(LEFT(RIGHT(CONCATENATE("000",IFAData_TEA!A959),6),3),"-",(RIGHT(RIGHT(CONCATENATE("000",IFAData_TEA!A959),6),3)))</f>
        <v>101-903</v>
      </c>
      <c r="C959" s="979" t="s">
        <v>1987</v>
      </c>
      <c r="D959" s="979">
        <v>3</v>
      </c>
      <c r="E959" s="979">
        <v>1558</v>
      </c>
      <c r="F959" s="979" t="s">
        <v>4791</v>
      </c>
      <c r="G959" s="979" t="s">
        <v>6254</v>
      </c>
      <c r="H959" s="1030">
        <v>3113521</v>
      </c>
      <c r="I959" s="1030">
        <v>42067</v>
      </c>
      <c r="J959" s="1034">
        <v>2.9788906434777683E-2</v>
      </c>
      <c r="K959" s="1030">
        <v>92748.385751715439</v>
      </c>
      <c r="L959" s="1030">
        <v>42067</v>
      </c>
      <c r="M959" s="979">
        <v>599</v>
      </c>
    </row>
    <row r="960" spans="1:13" ht="15">
      <c r="A960" s="979" t="s">
        <v>3536</v>
      </c>
      <c r="B960" s="722" t="str">
        <f>CONCATENATE(LEFT(RIGHT(CONCATENATE("000",IFAData_TEA!A960),6),3),"-",(RIGHT(RIGHT(CONCATENATE("000",IFAData_TEA!A960),6),3)))</f>
        <v>101-903</v>
      </c>
      <c r="C960" s="979" t="s">
        <v>1987</v>
      </c>
      <c r="D960" s="979">
        <v>6</v>
      </c>
      <c r="E960" s="979">
        <v>1557</v>
      </c>
      <c r="F960" s="979" t="s">
        <v>4794</v>
      </c>
      <c r="G960" s="979" t="s">
        <v>4794</v>
      </c>
      <c r="H960" s="1030">
        <v>2566718</v>
      </c>
      <c r="I960" s="1030">
        <v>0</v>
      </c>
      <c r="J960" s="1034">
        <v>0</v>
      </c>
      <c r="K960" s="1030">
        <v>0</v>
      </c>
      <c r="L960" s="1030">
        <v>0</v>
      </c>
      <c r="M960" s="979">
        <v>599</v>
      </c>
    </row>
    <row r="961" spans="1:13" ht="15">
      <c r="A961" s="979" t="s">
        <v>3536</v>
      </c>
      <c r="B961" s="722" t="str">
        <f>CONCATENATE(LEFT(RIGHT(CONCATENATE("000",IFAData_TEA!A961),6),3),"-",(RIGHT(RIGHT(CONCATENATE("000",IFAData_TEA!A961),6),3)))</f>
        <v>101-903</v>
      </c>
      <c r="C961" s="979" t="s">
        <v>1987</v>
      </c>
      <c r="D961" s="979">
        <v>3</v>
      </c>
      <c r="E961" s="979">
        <v>1558</v>
      </c>
      <c r="F961" s="979" t="s">
        <v>4791</v>
      </c>
      <c r="G961" s="979" t="s">
        <v>4787</v>
      </c>
      <c r="H961" s="1030">
        <v>3113521</v>
      </c>
      <c r="I961" s="1030">
        <v>1137385</v>
      </c>
      <c r="J961" s="1034">
        <v>0.80541648668361454</v>
      </c>
      <c r="K961" s="1030">
        <v>2507681.1450356543</v>
      </c>
      <c r="L961" s="1030">
        <v>1137385</v>
      </c>
      <c r="M961" s="979">
        <v>599</v>
      </c>
    </row>
    <row r="962" spans="1:13" ht="15">
      <c r="A962" s="979" t="s">
        <v>3536</v>
      </c>
      <c r="B962" s="722" t="str">
        <f>CONCATENATE(LEFT(RIGHT(CONCATENATE("000",IFAData_TEA!A962),6),3),"-",(RIGHT(RIGHT(CONCATENATE("000",IFAData_TEA!A962),6),3)))</f>
        <v>101-903</v>
      </c>
      <c r="C962" s="979" t="s">
        <v>1987</v>
      </c>
      <c r="D962" s="979">
        <v>5</v>
      </c>
      <c r="E962" s="979">
        <v>1556</v>
      </c>
      <c r="F962" s="979" t="s">
        <v>4793</v>
      </c>
      <c r="G962" s="979" t="s">
        <v>4790</v>
      </c>
      <c r="H962" s="1030">
        <v>2380440</v>
      </c>
      <c r="I962" s="1030">
        <v>95767</v>
      </c>
      <c r="J962" s="1034">
        <v>5.996538592068567E-2</v>
      </c>
      <c r="K962" s="1030">
        <v>142744.003261037</v>
      </c>
      <c r="L962" s="1030">
        <v>95767</v>
      </c>
      <c r="M962" s="979">
        <v>599</v>
      </c>
    </row>
    <row r="963" spans="1:13" ht="15">
      <c r="A963" s="979" t="s">
        <v>3536</v>
      </c>
      <c r="B963" s="722" t="str">
        <f>CONCATENATE(LEFT(RIGHT(CONCATENATE("000",IFAData_TEA!A963),6),3),"-",(RIGHT(RIGHT(CONCATENATE("000",IFAData_TEA!A963),6),3)))</f>
        <v>101-903</v>
      </c>
      <c r="C963" s="979" t="s">
        <v>1987</v>
      </c>
      <c r="D963" s="979">
        <v>3</v>
      </c>
      <c r="E963" s="979">
        <v>1558</v>
      </c>
      <c r="F963" s="979" t="s">
        <v>4791</v>
      </c>
      <c r="G963" s="979" t="s">
        <v>4790</v>
      </c>
      <c r="H963" s="1030">
        <v>3113521</v>
      </c>
      <c r="I963" s="1030">
        <v>118515</v>
      </c>
      <c r="J963" s="1034">
        <v>8.3924031809201438E-2</v>
      </c>
      <c r="K963" s="1030">
        <v>261299.23544261666</v>
      </c>
      <c r="L963" s="1030">
        <v>118515</v>
      </c>
      <c r="M963" s="979">
        <v>599</v>
      </c>
    </row>
    <row r="964" spans="1:13" ht="15">
      <c r="A964" s="979" t="s">
        <v>3536</v>
      </c>
      <c r="B964" s="722" t="str">
        <f>CONCATENATE(LEFT(RIGHT(CONCATENATE("000",IFAData_TEA!A964),6),3),"-",(RIGHT(RIGHT(CONCATENATE("000",IFAData_TEA!A964),6),3)))</f>
        <v>101-903</v>
      </c>
      <c r="C964" s="979" t="s">
        <v>1987</v>
      </c>
      <c r="D964" s="979">
        <v>1</v>
      </c>
      <c r="E964" s="979">
        <v>1554</v>
      </c>
      <c r="F964" s="979" t="s">
        <v>4783</v>
      </c>
      <c r="G964" s="979" t="s">
        <v>4787</v>
      </c>
      <c r="H964" s="1030">
        <v>1417777</v>
      </c>
      <c r="I964" s="1030">
        <v>639442</v>
      </c>
      <c r="J964" s="1034">
        <v>0.38760168268939349</v>
      </c>
      <c r="K964" s="1030">
        <v>549532.75087832019</v>
      </c>
      <c r="L964" s="1030">
        <v>549532.75087832019</v>
      </c>
      <c r="M964" s="979">
        <v>599</v>
      </c>
    </row>
    <row r="965" spans="1:13" ht="15">
      <c r="A965" s="979" t="s">
        <v>3537</v>
      </c>
      <c r="B965" s="722" t="str">
        <f>CONCATENATE(LEFT(RIGHT(CONCATENATE("000",IFAData_TEA!A965),6),3),"-",(RIGHT(RIGHT(CONCATENATE("000",IFAData_TEA!A965),6),3)))</f>
        <v>101-905</v>
      </c>
      <c r="C965" s="979" t="s">
        <v>480</v>
      </c>
      <c r="D965" s="979">
        <v>10</v>
      </c>
      <c r="E965" s="979">
        <v>1678</v>
      </c>
      <c r="F965" s="979" t="s">
        <v>4798</v>
      </c>
      <c r="G965" s="979" t="s">
        <v>4798</v>
      </c>
      <c r="H965" s="1030">
        <v>1101389</v>
      </c>
      <c r="I965" s="1030">
        <v>1112329</v>
      </c>
      <c r="J965" s="1034">
        <v>1</v>
      </c>
      <c r="K965" s="1030">
        <v>1101389</v>
      </c>
      <c r="L965" s="1030">
        <v>1101389</v>
      </c>
      <c r="M965" s="979">
        <v>599</v>
      </c>
    </row>
    <row r="966" spans="1:13" ht="15">
      <c r="A966" s="979" t="s">
        <v>3537</v>
      </c>
      <c r="B966" s="722" t="str">
        <f>CONCATENATE(LEFT(RIGHT(CONCATENATE("000",IFAData_TEA!A966),6),3),"-",(RIGHT(RIGHT(CONCATENATE("000",IFAData_TEA!A966),6),3)))</f>
        <v>101-905</v>
      </c>
      <c r="C966" s="979" t="s">
        <v>480</v>
      </c>
      <c r="D966" s="979">
        <v>10</v>
      </c>
      <c r="E966" s="979">
        <v>1677</v>
      </c>
      <c r="F966" s="979" t="s">
        <v>4797</v>
      </c>
      <c r="G966" s="979" t="s">
        <v>4797</v>
      </c>
      <c r="H966" s="1030">
        <v>330868</v>
      </c>
      <c r="I966" s="1030">
        <v>1364901</v>
      </c>
      <c r="J966" s="1034">
        <v>1</v>
      </c>
      <c r="K966" s="1030">
        <v>330868</v>
      </c>
      <c r="L966" s="1030">
        <v>330868</v>
      </c>
      <c r="M966" s="979">
        <v>599</v>
      </c>
    </row>
    <row r="967" spans="1:13" ht="15">
      <c r="A967" s="979" t="s">
        <v>3538</v>
      </c>
      <c r="B967" s="722" t="str">
        <f>CONCATENATE(LEFT(RIGHT(CONCATENATE("000",IFAData_TEA!A967),6),3),"-",(RIGHT(RIGHT(CONCATENATE("000",IFAData_TEA!A967),6),3)))</f>
        <v>101-906</v>
      </c>
      <c r="C967" s="979" t="s">
        <v>418</v>
      </c>
      <c r="D967" s="979">
        <v>3</v>
      </c>
      <c r="E967" s="979">
        <v>1732</v>
      </c>
      <c r="F967" s="979" t="s">
        <v>4799</v>
      </c>
      <c r="G967" s="979" t="s">
        <v>4799</v>
      </c>
      <c r="H967" s="1030">
        <v>926340</v>
      </c>
      <c r="I967" s="1030">
        <v>1290569</v>
      </c>
      <c r="J967" s="1034">
        <v>0.73057223305961216</v>
      </c>
      <c r="K967" s="1030">
        <v>676758.28237244114</v>
      </c>
      <c r="L967" s="1030">
        <v>676758.28237244114</v>
      </c>
      <c r="M967" s="979">
        <v>599</v>
      </c>
    </row>
    <row r="968" spans="1:13" ht="15">
      <c r="A968" s="979" t="s">
        <v>3538</v>
      </c>
      <c r="B968" s="722" t="str">
        <f>CONCATENATE(LEFT(RIGHT(CONCATENATE("000",IFAData_TEA!A968),6),3),"-",(RIGHT(RIGHT(CONCATENATE("000",IFAData_TEA!A968),6),3)))</f>
        <v>101-906</v>
      </c>
      <c r="C968" s="979" t="s">
        <v>418</v>
      </c>
      <c r="D968" s="979">
        <v>3</v>
      </c>
      <c r="E968" s="979">
        <v>1732</v>
      </c>
      <c r="F968" s="979" t="s">
        <v>4799</v>
      </c>
      <c r="G968" s="979" t="s">
        <v>4800</v>
      </c>
      <c r="H968" s="1030">
        <v>926340</v>
      </c>
      <c r="I968" s="1030">
        <v>333867</v>
      </c>
      <c r="J968" s="1034">
        <v>0.18899722504950417</v>
      </c>
      <c r="K968" s="1030">
        <v>175075.68945235771</v>
      </c>
      <c r="L968" s="1030">
        <v>175075.68945235771</v>
      </c>
      <c r="M968" s="979">
        <v>599</v>
      </c>
    </row>
    <row r="969" spans="1:13" ht="15">
      <c r="A969" s="979" t="s">
        <v>3538</v>
      </c>
      <c r="B969" s="722" t="str">
        <f>CONCATENATE(LEFT(RIGHT(CONCATENATE("000",IFAData_TEA!A969),6),3),"-",(RIGHT(RIGHT(CONCATENATE("000",IFAData_TEA!A969),6),3)))</f>
        <v>101-906</v>
      </c>
      <c r="C969" s="979" t="s">
        <v>418</v>
      </c>
      <c r="D969" s="979">
        <v>3</v>
      </c>
      <c r="E969" s="979">
        <v>1732</v>
      </c>
      <c r="F969" s="979" t="s">
        <v>4799</v>
      </c>
      <c r="G969" s="979" t="s">
        <v>4801</v>
      </c>
      <c r="H969" s="1030">
        <v>926340</v>
      </c>
      <c r="I969" s="1030">
        <v>142082</v>
      </c>
      <c r="J969" s="1034">
        <v>8.0430541890883653E-2</v>
      </c>
      <c r="K969" s="1030">
        <v>74506.028175201165</v>
      </c>
      <c r="L969" s="1030">
        <v>74506.028175201165</v>
      </c>
      <c r="M969" s="979">
        <v>599</v>
      </c>
    </row>
    <row r="970" spans="1:13" ht="15">
      <c r="A970" s="979" t="s">
        <v>3539</v>
      </c>
      <c r="B970" s="722" t="str">
        <f>CONCATENATE(LEFT(RIGHT(CONCATENATE("000",IFAData_TEA!A970),6),3),"-",(RIGHT(RIGHT(CONCATENATE("000",IFAData_TEA!A970),6),3)))</f>
        <v>101-910</v>
      </c>
      <c r="C970" s="979" t="s">
        <v>1480</v>
      </c>
      <c r="D970" s="979">
        <v>6</v>
      </c>
      <c r="E970" s="979">
        <v>1838</v>
      </c>
      <c r="F970" s="979" t="s">
        <v>4806</v>
      </c>
      <c r="G970" s="979" t="s">
        <v>4807</v>
      </c>
      <c r="H970" s="1030">
        <v>907274</v>
      </c>
      <c r="I970" s="1030">
        <v>1003926</v>
      </c>
      <c r="J970" s="1034">
        <v>0.92041744557997451</v>
      </c>
      <c r="K970" s="1030">
        <v>835070.81752112578</v>
      </c>
      <c r="L970" s="1030">
        <v>835070.81752112578</v>
      </c>
      <c r="M970" s="979">
        <v>599</v>
      </c>
    </row>
    <row r="971" spans="1:13" ht="15">
      <c r="A971" s="979" t="s">
        <v>3539</v>
      </c>
      <c r="B971" s="722" t="str">
        <f>CONCATENATE(LEFT(RIGHT(CONCATENATE("000",IFAData_TEA!A971),6),3),"-",(RIGHT(RIGHT(CONCATENATE("000",IFAData_TEA!A971),6),3)))</f>
        <v>101-910</v>
      </c>
      <c r="C971" s="979" t="s">
        <v>1480</v>
      </c>
      <c r="D971" s="979">
        <v>10</v>
      </c>
      <c r="E971" s="979">
        <v>1835</v>
      </c>
      <c r="F971" s="979" t="s">
        <v>4812</v>
      </c>
      <c r="G971" s="979" t="s">
        <v>4812</v>
      </c>
      <c r="H971" s="1030">
        <v>663147</v>
      </c>
      <c r="I971" s="1030">
        <v>651042</v>
      </c>
      <c r="J971" s="1034">
        <v>1</v>
      </c>
      <c r="K971" s="1030">
        <v>663147</v>
      </c>
      <c r="L971" s="1030">
        <v>651042</v>
      </c>
      <c r="M971" s="979">
        <v>599</v>
      </c>
    </row>
    <row r="972" spans="1:13" ht="15">
      <c r="A972" s="979" t="s">
        <v>3539</v>
      </c>
      <c r="B972" s="722" t="str">
        <f>CONCATENATE(LEFT(RIGHT(CONCATENATE("000",IFAData_TEA!A972),6),3),"-",(RIGHT(RIGHT(CONCATENATE("000",IFAData_TEA!A972),6),3)))</f>
        <v>101-910</v>
      </c>
      <c r="C972" s="979" t="s">
        <v>1480</v>
      </c>
      <c r="D972" s="979">
        <v>1</v>
      </c>
      <c r="E972" s="979">
        <v>1837</v>
      </c>
      <c r="F972" s="979" t="s">
        <v>4802</v>
      </c>
      <c r="G972" s="979" t="s">
        <v>4804</v>
      </c>
      <c r="H972" s="1030">
        <v>827390</v>
      </c>
      <c r="I972" s="1030">
        <v>1090838</v>
      </c>
      <c r="J972" s="1034">
        <v>1</v>
      </c>
      <c r="K972" s="1030">
        <v>827390</v>
      </c>
      <c r="L972" s="1030">
        <v>827390</v>
      </c>
      <c r="M972" s="979">
        <v>599</v>
      </c>
    </row>
    <row r="973" spans="1:13" ht="15">
      <c r="A973" s="979" t="s">
        <v>3539</v>
      </c>
      <c r="B973" s="722" t="str">
        <f>CONCATENATE(LEFT(RIGHT(CONCATENATE("000",IFAData_TEA!A973),6),3),"-",(RIGHT(RIGHT(CONCATENATE("000",IFAData_TEA!A973),6),3)))</f>
        <v>101-910</v>
      </c>
      <c r="C973" s="979" t="s">
        <v>1480</v>
      </c>
      <c r="D973" s="979">
        <v>2</v>
      </c>
      <c r="E973" s="979">
        <v>1839</v>
      </c>
      <c r="F973" s="979" t="s">
        <v>4805</v>
      </c>
      <c r="G973" s="979" t="s">
        <v>4804</v>
      </c>
      <c r="H973" s="1030">
        <v>1792083</v>
      </c>
      <c r="I973" s="1030">
        <v>1573120</v>
      </c>
      <c r="J973" s="1034">
        <v>1</v>
      </c>
      <c r="K973" s="1030">
        <v>1792083</v>
      </c>
      <c r="L973" s="1030">
        <v>1573120</v>
      </c>
      <c r="M973" s="979">
        <v>599</v>
      </c>
    </row>
    <row r="974" spans="1:13" ht="15">
      <c r="A974" s="979" t="s">
        <v>3539</v>
      </c>
      <c r="B974" s="722" t="str">
        <f>CONCATENATE(LEFT(RIGHT(CONCATENATE("000",IFAData_TEA!A974),6),3),"-",(RIGHT(RIGHT(CONCATENATE("000",IFAData_TEA!A974),6),3)))</f>
        <v>101-910</v>
      </c>
      <c r="C974" s="979" t="s">
        <v>1480</v>
      </c>
      <c r="D974" s="979">
        <v>1</v>
      </c>
      <c r="E974" s="979">
        <v>1837</v>
      </c>
      <c r="F974" s="979" t="s">
        <v>4802</v>
      </c>
      <c r="G974" s="979" t="s">
        <v>4802</v>
      </c>
      <c r="H974" s="1030">
        <v>827390</v>
      </c>
      <c r="I974" s="1030">
        <v>0</v>
      </c>
      <c r="J974" s="1034">
        <v>0</v>
      </c>
      <c r="K974" s="1030">
        <v>0</v>
      </c>
      <c r="L974" s="1030">
        <v>0</v>
      </c>
      <c r="M974" s="979">
        <v>599</v>
      </c>
    </row>
    <row r="975" spans="1:13" ht="15">
      <c r="A975" s="979" t="s">
        <v>3539</v>
      </c>
      <c r="B975" s="722" t="str">
        <f>CONCATENATE(LEFT(RIGHT(CONCATENATE("000",IFAData_TEA!A975),6),3),"-",(RIGHT(RIGHT(CONCATENATE("000",IFAData_TEA!A975),6),3)))</f>
        <v>101-910</v>
      </c>
      <c r="C975" s="979" t="s">
        <v>1480</v>
      </c>
      <c r="D975" s="979">
        <v>6</v>
      </c>
      <c r="E975" s="979">
        <v>1834</v>
      </c>
      <c r="F975" s="979" t="s">
        <v>4809</v>
      </c>
      <c r="G975" s="979" t="s">
        <v>4810</v>
      </c>
      <c r="H975" s="1030">
        <v>608673</v>
      </c>
      <c r="I975" s="1030">
        <v>155949</v>
      </c>
      <c r="J975" s="1034">
        <v>0.39621793015137424</v>
      </c>
      <c r="K975" s="1030">
        <v>241167.15619902741</v>
      </c>
      <c r="L975" s="1030">
        <v>155949</v>
      </c>
      <c r="M975" s="979">
        <v>599</v>
      </c>
    </row>
    <row r="976" spans="1:13" ht="15">
      <c r="A976" s="979" t="s">
        <v>3539</v>
      </c>
      <c r="B976" s="722" t="str">
        <f>CONCATENATE(LEFT(RIGHT(CONCATENATE("000",IFAData_TEA!A976),6),3),"-",(RIGHT(RIGHT(CONCATENATE("000",IFAData_TEA!A976),6),3)))</f>
        <v>101-910</v>
      </c>
      <c r="C976" s="979" t="s">
        <v>1480</v>
      </c>
      <c r="D976" s="979">
        <v>6</v>
      </c>
      <c r="E976" s="979">
        <v>1838</v>
      </c>
      <c r="F976" s="979" t="s">
        <v>4806</v>
      </c>
      <c r="G976" s="979" t="s">
        <v>6255</v>
      </c>
      <c r="H976" s="1030">
        <v>907274</v>
      </c>
      <c r="I976" s="1030">
        <v>0</v>
      </c>
      <c r="J976" s="1034">
        <v>0</v>
      </c>
      <c r="K976" s="1030">
        <v>0</v>
      </c>
      <c r="L976" s="1030">
        <v>0</v>
      </c>
      <c r="M976" s="979">
        <v>599</v>
      </c>
    </row>
    <row r="977" spans="1:13" ht="15">
      <c r="A977" s="979" t="s">
        <v>3539</v>
      </c>
      <c r="B977" s="722" t="str">
        <f>CONCATENATE(LEFT(RIGHT(CONCATENATE("000",IFAData_TEA!A977),6),3),"-",(RIGHT(RIGHT(CONCATENATE("000",IFAData_TEA!A977),6),3)))</f>
        <v>101-910</v>
      </c>
      <c r="C977" s="979" t="s">
        <v>1480</v>
      </c>
      <c r="D977" s="979">
        <v>6</v>
      </c>
      <c r="E977" s="979">
        <v>1838</v>
      </c>
      <c r="F977" s="979" t="s">
        <v>4806</v>
      </c>
      <c r="G977" s="979" t="s">
        <v>4806</v>
      </c>
      <c r="H977" s="1030">
        <v>907274</v>
      </c>
      <c r="I977" s="1030">
        <v>0</v>
      </c>
      <c r="J977" s="1034">
        <v>0</v>
      </c>
      <c r="K977" s="1030">
        <v>0</v>
      </c>
      <c r="L977" s="1030">
        <v>0</v>
      </c>
      <c r="M977" s="979">
        <v>599</v>
      </c>
    </row>
    <row r="978" spans="1:13" ht="15">
      <c r="A978" s="979" t="s">
        <v>3539</v>
      </c>
      <c r="B978" s="722" t="str">
        <f>CONCATENATE(LEFT(RIGHT(CONCATENATE("000",IFAData_TEA!A978),6),3),"-",(RIGHT(RIGHT(CONCATENATE("000",IFAData_TEA!A978),6),3)))</f>
        <v>101-910</v>
      </c>
      <c r="C978" s="979" t="s">
        <v>1480</v>
      </c>
      <c r="D978" s="979">
        <v>2</v>
      </c>
      <c r="E978" s="979">
        <v>1839</v>
      </c>
      <c r="F978" s="979" t="s">
        <v>4805</v>
      </c>
      <c r="G978" s="979" t="s">
        <v>4805</v>
      </c>
      <c r="H978" s="1030">
        <v>1792083</v>
      </c>
      <c r="I978" s="1030">
        <v>0</v>
      </c>
      <c r="J978" s="1034">
        <v>0</v>
      </c>
      <c r="K978" s="1030">
        <v>0</v>
      </c>
      <c r="L978" s="1030">
        <v>0</v>
      </c>
      <c r="M978" s="979">
        <v>599</v>
      </c>
    </row>
    <row r="979" spans="1:13" ht="15">
      <c r="A979" s="979" t="s">
        <v>3539</v>
      </c>
      <c r="B979" s="722" t="str">
        <f>CONCATENATE(LEFT(RIGHT(CONCATENATE("000",IFAData_TEA!A979),6),3),"-",(RIGHT(RIGHT(CONCATENATE("000",IFAData_TEA!A979),6),3)))</f>
        <v>101-910</v>
      </c>
      <c r="C979" s="979" t="s">
        <v>1480</v>
      </c>
      <c r="D979" s="979">
        <v>6</v>
      </c>
      <c r="E979" s="979">
        <v>1834</v>
      </c>
      <c r="F979" s="979" t="s">
        <v>4809</v>
      </c>
      <c r="G979" s="979" t="s">
        <v>4808</v>
      </c>
      <c r="H979" s="1030">
        <v>608673</v>
      </c>
      <c r="I979" s="1030">
        <v>237645</v>
      </c>
      <c r="J979" s="1034">
        <v>0.6037820698486257</v>
      </c>
      <c r="K979" s="1030">
        <v>367505.84380097257</v>
      </c>
      <c r="L979" s="1030">
        <v>237645</v>
      </c>
      <c r="M979" s="979">
        <v>599</v>
      </c>
    </row>
    <row r="980" spans="1:13" ht="15">
      <c r="A980" s="979" t="s">
        <v>3539</v>
      </c>
      <c r="B980" s="722" t="str">
        <f>CONCATENATE(LEFT(RIGHT(CONCATENATE("000",IFAData_TEA!A980),6),3),"-",(RIGHT(RIGHT(CONCATENATE("000",IFAData_TEA!A980),6),3)))</f>
        <v>101-910</v>
      </c>
      <c r="C980" s="979" t="s">
        <v>1480</v>
      </c>
      <c r="D980" s="979">
        <v>6</v>
      </c>
      <c r="E980" s="979">
        <v>1838</v>
      </c>
      <c r="F980" s="979" t="s">
        <v>4806</v>
      </c>
      <c r="G980" s="979" t="s">
        <v>4808</v>
      </c>
      <c r="H980" s="1030">
        <v>907274</v>
      </c>
      <c r="I980" s="1030">
        <v>86803</v>
      </c>
      <c r="J980" s="1034">
        <v>7.95825544200255E-2</v>
      </c>
      <c r="K980" s="1030">
        <v>72203.182478874209</v>
      </c>
      <c r="L980" s="1030">
        <v>72203.182478874209</v>
      </c>
      <c r="M980" s="979">
        <v>599</v>
      </c>
    </row>
    <row r="981" spans="1:13" ht="15">
      <c r="A981" s="979" t="s">
        <v>3539</v>
      </c>
      <c r="B981" s="722" t="str">
        <f>CONCATENATE(LEFT(RIGHT(CONCATENATE("000",IFAData_TEA!A981),6),3),"-",(RIGHT(RIGHT(CONCATENATE("000",IFAData_TEA!A981),6),3)))</f>
        <v>101-910</v>
      </c>
      <c r="C981" s="979" t="s">
        <v>1480</v>
      </c>
      <c r="D981" s="979">
        <v>2</v>
      </c>
      <c r="E981" s="979">
        <v>1839</v>
      </c>
      <c r="F981" s="979" t="s">
        <v>4805</v>
      </c>
      <c r="G981" s="979" t="s">
        <v>4803</v>
      </c>
      <c r="H981" s="1030">
        <v>1792083</v>
      </c>
      <c r="I981" s="1030">
        <v>0</v>
      </c>
      <c r="J981" s="1034">
        <v>0</v>
      </c>
      <c r="K981" s="1030">
        <v>0</v>
      </c>
      <c r="L981" s="1030">
        <v>0</v>
      </c>
      <c r="M981" s="979">
        <v>599</v>
      </c>
    </row>
    <row r="982" spans="1:13" ht="15">
      <c r="A982" s="979" t="s">
        <v>3539</v>
      </c>
      <c r="B982" s="722" t="str">
        <f>CONCATENATE(LEFT(RIGHT(CONCATENATE("000",IFAData_TEA!A982),6),3),"-",(RIGHT(RIGHT(CONCATENATE("000",IFAData_TEA!A982),6),3)))</f>
        <v>101-910</v>
      </c>
      <c r="C982" s="979" t="s">
        <v>1480</v>
      </c>
      <c r="D982" s="979">
        <v>1</v>
      </c>
      <c r="E982" s="979">
        <v>1837</v>
      </c>
      <c r="F982" s="979" t="s">
        <v>4802</v>
      </c>
      <c r="G982" s="979" t="s">
        <v>4803</v>
      </c>
      <c r="H982" s="1030">
        <v>827390</v>
      </c>
      <c r="I982" s="1030">
        <v>0</v>
      </c>
      <c r="J982" s="1034">
        <v>0</v>
      </c>
      <c r="K982" s="1030">
        <v>0</v>
      </c>
      <c r="L982" s="1030">
        <v>0</v>
      </c>
      <c r="M982" s="979">
        <v>599</v>
      </c>
    </row>
    <row r="983" spans="1:13" ht="15">
      <c r="A983" s="979" t="s">
        <v>3539</v>
      </c>
      <c r="B983" s="722" t="str">
        <f>CONCATENATE(LEFT(RIGHT(CONCATENATE("000",IFAData_TEA!A983),6),3),"-",(RIGHT(RIGHT(CONCATENATE("000",IFAData_TEA!A983),6),3)))</f>
        <v>101-910</v>
      </c>
      <c r="C983" s="979" t="s">
        <v>1480</v>
      </c>
      <c r="D983" s="979">
        <v>9</v>
      </c>
      <c r="E983" s="979">
        <v>1836</v>
      </c>
      <c r="F983" s="979" t="s">
        <v>4811</v>
      </c>
      <c r="G983" s="979" t="s">
        <v>4811</v>
      </c>
      <c r="H983" s="1030">
        <v>792979</v>
      </c>
      <c r="I983" s="1030">
        <v>698863</v>
      </c>
      <c r="J983" s="1034">
        <v>1</v>
      </c>
      <c r="K983" s="1030">
        <v>792979</v>
      </c>
      <c r="L983" s="1030">
        <v>698863</v>
      </c>
      <c r="M983" s="979">
        <v>599</v>
      </c>
    </row>
    <row r="984" spans="1:13" ht="15">
      <c r="A984" s="979" t="s">
        <v>3539</v>
      </c>
      <c r="B984" s="722" t="str">
        <f>CONCATENATE(LEFT(RIGHT(CONCATENATE("000",IFAData_TEA!A984),6),3),"-",(RIGHT(RIGHT(CONCATENATE("000",IFAData_TEA!A984),6),3)))</f>
        <v>101-910</v>
      </c>
      <c r="C984" s="979" t="s">
        <v>1480</v>
      </c>
      <c r="D984" s="979">
        <v>6</v>
      </c>
      <c r="E984" s="979">
        <v>1834</v>
      </c>
      <c r="F984" s="979" t="s">
        <v>4809</v>
      </c>
      <c r="G984" s="979" t="s">
        <v>4809</v>
      </c>
      <c r="H984" s="1030">
        <v>608673</v>
      </c>
      <c r="I984" s="1030">
        <v>0</v>
      </c>
      <c r="J984" s="1034">
        <v>0</v>
      </c>
      <c r="K984" s="1030">
        <v>0</v>
      </c>
      <c r="L984" s="1030">
        <v>0</v>
      </c>
      <c r="M984" s="979">
        <v>599</v>
      </c>
    </row>
    <row r="985" spans="1:13" ht="15">
      <c r="A985" s="979" t="s">
        <v>3540</v>
      </c>
      <c r="B985" s="722" t="str">
        <f>CONCATENATE(LEFT(RIGHT(CONCATENATE("000",IFAData_TEA!A985),6),3),"-",(RIGHT(RIGHT(CONCATENATE("000",IFAData_TEA!A985),6),3)))</f>
        <v>101-913</v>
      </c>
      <c r="C985" s="979" t="s">
        <v>2385</v>
      </c>
      <c r="D985" s="979">
        <v>1</v>
      </c>
      <c r="E985" s="979">
        <v>1915</v>
      </c>
      <c r="F985" s="979" t="s">
        <v>4816</v>
      </c>
      <c r="G985" s="979" t="s">
        <v>4816</v>
      </c>
      <c r="H985" s="1030">
        <v>1479767</v>
      </c>
      <c r="I985" s="1030">
        <v>0</v>
      </c>
      <c r="J985" s="1034">
        <v>0</v>
      </c>
      <c r="K985" s="1030">
        <v>0</v>
      </c>
      <c r="L985" s="1030">
        <v>0</v>
      </c>
      <c r="M985" s="979">
        <v>599</v>
      </c>
    </row>
    <row r="986" spans="1:13" ht="15">
      <c r="A986" s="979" t="s">
        <v>3540</v>
      </c>
      <c r="B986" s="722" t="str">
        <f>CONCATENATE(LEFT(RIGHT(CONCATENATE("000",IFAData_TEA!A986),6),3),"-",(RIGHT(RIGHT(CONCATENATE("000",IFAData_TEA!A986),6),3)))</f>
        <v>101-913</v>
      </c>
      <c r="C986" s="979" t="s">
        <v>2385</v>
      </c>
      <c r="D986" s="979">
        <v>1</v>
      </c>
      <c r="E986" s="979">
        <v>1914</v>
      </c>
      <c r="F986" s="979" t="s">
        <v>4813</v>
      </c>
      <c r="G986" s="979" t="s">
        <v>6256</v>
      </c>
      <c r="H986" s="1030">
        <v>1259509</v>
      </c>
      <c r="I986" s="1030">
        <v>18025</v>
      </c>
      <c r="J986" s="1034">
        <v>1.3798303631575724E-2</v>
      </c>
      <c r="K986" s="1030">
        <v>17379.08760870231</v>
      </c>
      <c r="L986" s="1030">
        <v>17379.08760870231</v>
      </c>
      <c r="M986" s="979">
        <v>599</v>
      </c>
    </row>
    <row r="987" spans="1:13" ht="15">
      <c r="A987" s="979" t="s">
        <v>3540</v>
      </c>
      <c r="B987" s="722" t="str">
        <f>CONCATENATE(LEFT(RIGHT(CONCATENATE("000",IFAData_TEA!A987),6),3),"-",(RIGHT(RIGHT(CONCATENATE("000",IFAData_TEA!A987),6),3)))</f>
        <v>101-913</v>
      </c>
      <c r="C987" s="979" t="s">
        <v>2385</v>
      </c>
      <c r="D987" s="979">
        <v>1</v>
      </c>
      <c r="E987" s="979">
        <v>1914</v>
      </c>
      <c r="F987" s="979" t="s">
        <v>4813</v>
      </c>
      <c r="G987" s="979" t="s">
        <v>4815</v>
      </c>
      <c r="H987" s="1030">
        <v>1259509</v>
      </c>
      <c r="I987" s="1030">
        <v>1288295</v>
      </c>
      <c r="J987" s="1034">
        <v>0.98620169636842425</v>
      </c>
      <c r="K987" s="1030">
        <v>1242129.9123912978</v>
      </c>
      <c r="L987" s="1030">
        <v>1242129.9123912978</v>
      </c>
      <c r="M987" s="979">
        <v>599</v>
      </c>
    </row>
    <row r="988" spans="1:13" ht="15">
      <c r="A988" s="979" t="s">
        <v>3540</v>
      </c>
      <c r="B988" s="722" t="str">
        <f>CONCATENATE(LEFT(RIGHT(CONCATENATE("000",IFAData_TEA!A988),6),3),"-",(RIGHT(RIGHT(CONCATENATE("000",IFAData_TEA!A988),6),3)))</f>
        <v>101-913</v>
      </c>
      <c r="C988" s="979" t="s">
        <v>2385</v>
      </c>
      <c r="D988" s="979">
        <v>1</v>
      </c>
      <c r="E988" s="979">
        <v>1915</v>
      </c>
      <c r="F988" s="979" t="s">
        <v>4816</v>
      </c>
      <c r="G988" s="979" t="s">
        <v>4815</v>
      </c>
      <c r="H988" s="1030">
        <v>1479767</v>
      </c>
      <c r="I988" s="1030">
        <v>75964</v>
      </c>
      <c r="J988" s="1034">
        <v>5.0472238740519509E-2</v>
      </c>
      <c r="K988" s="1030">
        <v>74687.153304342326</v>
      </c>
      <c r="L988" s="1030">
        <v>74687.153304342326</v>
      </c>
      <c r="M988" s="979">
        <v>599</v>
      </c>
    </row>
    <row r="989" spans="1:13" ht="15">
      <c r="A989" s="979" t="s">
        <v>3540</v>
      </c>
      <c r="B989" s="722" t="str">
        <f>CONCATENATE(LEFT(RIGHT(CONCATENATE("000",IFAData_TEA!A989),6),3),"-",(RIGHT(RIGHT(CONCATENATE("000",IFAData_TEA!A989),6),3)))</f>
        <v>101-913</v>
      </c>
      <c r="C989" s="979" t="s">
        <v>2385</v>
      </c>
      <c r="D989" s="979">
        <v>1</v>
      </c>
      <c r="E989" s="979">
        <v>1915</v>
      </c>
      <c r="F989" s="979" t="s">
        <v>4816</v>
      </c>
      <c r="G989" s="979" t="s">
        <v>4814</v>
      </c>
      <c r="H989" s="1030">
        <v>1479767</v>
      </c>
      <c r="I989" s="1030">
        <v>1393248</v>
      </c>
      <c r="J989" s="1034">
        <v>0.92570619873560278</v>
      </c>
      <c r="K989" s="1030">
        <v>1369829.4845843867</v>
      </c>
      <c r="L989" s="1030">
        <v>1369829.4845843867</v>
      </c>
      <c r="M989" s="979">
        <v>599</v>
      </c>
    </row>
    <row r="990" spans="1:13" ht="15">
      <c r="A990" s="979" t="s">
        <v>3540</v>
      </c>
      <c r="B990" s="722" t="str">
        <f>CONCATENATE(LEFT(RIGHT(CONCATENATE("000",IFAData_TEA!A990),6),3),"-",(RIGHT(RIGHT(CONCATENATE("000",IFAData_TEA!A990),6),3)))</f>
        <v>101-913</v>
      </c>
      <c r="C990" s="979" t="s">
        <v>2385</v>
      </c>
      <c r="D990" s="979">
        <v>1</v>
      </c>
      <c r="E990" s="979">
        <v>1914</v>
      </c>
      <c r="F990" s="979" t="s">
        <v>4813</v>
      </c>
      <c r="G990" s="979" t="s">
        <v>4814</v>
      </c>
      <c r="H990" s="1030">
        <v>1259509</v>
      </c>
      <c r="I990" s="1030">
        <v>0</v>
      </c>
      <c r="J990" s="1034">
        <v>0</v>
      </c>
      <c r="K990" s="1030">
        <v>0</v>
      </c>
      <c r="L990" s="1030">
        <v>0</v>
      </c>
      <c r="M990" s="979">
        <v>599</v>
      </c>
    </row>
    <row r="991" spans="1:13" ht="15">
      <c r="A991" s="979" t="s">
        <v>3540</v>
      </c>
      <c r="B991" s="722" t="str">
        <f>CONCATENATE(LEFT(RIGHT(CONCATENATE("000",IFAData_TEA!A991),6),3),"-",(RIGHT(RIGHT(CONCATENATE("000",IFAData_TEA!A991),6),3)))</f>
        <v>101-913</v>
      </c>
      <c r="C991" s="979" t="s">
        <v>2385</v>
      </c>
      <c r="D991" s="979">
        <v>1</v>
      </c>
      <c r="E991" s="979">
        <v>1914</v>
      </c>
      <c r="F991" s="979" t="s">
        <v>4813</v>
      </c>
      <c r="G991" s="979" t="s">
        <v>4813</v>
      </c>
      <c r="H991" s="1030">
        <v>1259509</v>
      </c>
      <c r="I991" s="1030">
        <v>0</v>
      </c>
      <c r="J991" s="1034">
        <v>0</v>
      </c>
      <c r="K991" s="1030">
        <v>0</v>
      </c>
      <c r="L991" s="1030">
        <v>0</v>
      </c>
      <c r="M991" s="979">
        <v>599</v>
      </c>
    </row>
    <row r="992" spans="1:13" ht="15">
      <c r="A992" s="979" t="s">
        <v>3540</v>
      </c>
      <c r="B992" s="722" t="str">
        <f>CONCATENATE(LEFT(RIGHT(CONCATENATE("000",IFAData_TEA!A992),6),3),"-",(RIGHT(RIGHT(CONCATENATE("000",IFAData_TEA!A992),6),3)))</f>
        <v>101-913</v>
      </c>
      <c r="C992" s="979" t="s">
        <v>2385</v>
      </c>
      <c r="D992" s="979">
        <v>1</v>
      </c>
      <c r="E992" s="979">
        <v>1915</v>
      </c>
      <c r="F992" s="979" t="s">
        <v>4816</v>
      </c>
      <c r="G992" s="979" t="s">
        <v>6256</v>
      </c>
      <c r="H992" s="1030">
        <v>1479767</v>
      </c>
      <c r="I992" s="1030">
        <v>35853</v>
      </c>
      <c r="J992" s="1034">
        <v>2.3821562523877706E-2</v>
      </c>
      <c r="K992" s="1030">
        <v>35250.362111270944</v>
      </c>
      <c r="L992" s="1030">
        <v>35250.362111270944</v>
      </c>
      <c r="M992" s="979">
        <v>599</v>
      </c>
    </row>
    <row r="993" spans="1:13" ht="15">
      <c r="A993" s="979" t="s">
        <v>3541</v>
      </c>
      <c r="B993" s="722" t="str">
        <f>CONCATENATE(LEFT(RIGHT(CONCATENATE("000",IFAData_TEA!A993),6),3),"-",(RIGHT(RIGHT(CONCATENATE("000",IFAData_TEA!A993),6),3)))</f>
        <v>101-914</v>
      </c>
      <c r="C993" s="979" t="s">
        <v>410</v>
      </c>
      <c r="D993" s="979">
        <v>2</v>
      </c>
      <c r="E993" s="979">
        <v>1944</v>
      </c>
      <c r="F993" s="979" t="s">
        <v>4821</v>
      </c>
      <c r="G993" s="979" t="s">
        <v>6257</v>
      </c>
      <c r="H993" s="1030">
        <v>1987951</v>
      </c>
      <c r="I993" s="1030">
        <v>321964</v>
      </c>
      <c r="J993" s="1034">
        <v>0.16004708495324563</v>
      </c>
      <c r="K993" s="1030">
        <v>318165.76257988962</v>
      </c>
      <c r="L993" s="1030">
        <v>318165.76257988962</v>
      </c>
      <c r="M993" s="979">
        <v>599</v>
      </c>
    </row>
    <row r="994" spans="1:13" ht="15">
      <c r="A994" s="979" t="s">
        <v>3541</v>
      </c>
      <c r="B994" s="722" t="str">
        <f>CONCATENATE(LEFT(RIGHT(CONCATENATE("000",IFAData_TEA!A994),6),3),"-",(RIGHT(RIGHT(CONCATENATE("000",IFAData_TEA!A994),6),3)))</f>
        <v>101-914</v>
      </c>
      <c r="C994" s="979" t="s">
        <v>410</v>
      </c>
      <c r="D994" s="979">
        <v>9</v>
      </c>
      <c r="E994" s="979">
        <v>1945</v>
      </c>
      <c r="F994" s="979" t="s">
        <v>4822</v>
      </c>
      <c r="G994" s="979" t="s">
        <v>6258</v>
      </c>
      <c r="H994" s="1030">
        <v>5681065</v>
      </c>
      <c r="I994" s="1030">
        <v>1737259</v>
      </c>
      <c r="J994" s="1034">
        <v>0.39256932097666269</v>
      </c>
      <c r="K994" s="1030">
        <v>2230211.8294742843</v>
      </c>
      <c r="L994" s="1030">
        <v>1737259</v>
      </c>
      <c r="M994" s="979">
        <v>599</v>
      </c>
    </row>
    <row r="995" spans="1:13" ht="15">
      <c r="A995" s="979" t="s">
        <v>3541</v>
      </c>
      <c r="B995" s="722" t="str">
        <f>CONCATENATE(LEFT(RIGHT(CONCATENATE("000",IFAData_TEA!A995),6),3),"-",(RIGHT(RIGHT(CONCATENATE("000",IFAData_TEA!A995),6),3)))</f>
        <v>101-914</v>
      </c>
      <c r="C995" s="979" t="s">
        <v>410</v>
      </c>
      <c r="D995" s="979">
        <v>9</v>
      </c>
      <c r="E995" s="979">
        <v>1946</v>
      </c>
      <c r="F995" s="979" t="s">
        <v>4823</v>
      </c>
      <c r="G995" s="979" t="s">
        <v>6258</v>
      </c>
      <c r="H995" s="1030">
        <v>5902797</v>
      </c>
      <c r="I995" s="1030">
        <v>663372</v>
      </c>
      <c r="J995" s="1034">
        <v>0.14650224919375088</v>
      </c>
      <c r="K995" s="1030">
        <v>864773.03703412507</v>
      </c>
      <c r="L995" s="1030">
        <v>663372</v>
      </c>
      <c r="M995" s="979">
        <v>599</v>
      </c>
    </row>
    <row r="996" spans="1:13" ht="15">
      <c r="A996" s="979" t="s">
        <v>3541</v>
      </c>
      <c r="B996" s="722" t="str">
        <f>CONCATENATE(LEFT(RIGHT(CONCATENATE("000",IFAData_TEA!A996),6),3),"-",(RIGHT(RIGHT(CONCATENATE("000",IFAData_TEA!A996),6),3)))</f>
        <v>101-914</v>
      </c>
      <c r="C996" s="979" t="s">
        <v>410</v>
      </c>
      <c r="D996" s="979">
        <v>1</v>
      </c>
      <c r="E996" s="979">
        <v>1943</v>
      </c>
      <c r="F996" s="979" t="s">
        <v>4819</v>
      </c>
      <c r="G996" s="979" t="s">
        <v>4819</v>
      </c>
      <c r="H996" s="1030">
        <v>1506643</v>
      </c>
      <c r="I996" s="1030">
        <v>0</v>
      </c>
      <c r="J996" s="1034">
        <v>0</v>
      </c>
      <c r="K996" s="1030"/>
      <c r="L996" s="1030">
        <v>0</v>
      </c>
      <c r="M996" s="979">
        <v>599</v>
      </c>
    </row>
    <row r="997" spans="1:13" ht="15">
      <c r="A997" s="979" t="s">
        <v>3541</v>
      </c>
      <c r="B997" s="722" t="str">
        <f>CONCATENATE(LEFT(RIGHT(CONCATENATE("000",IFAData_TEA!A997),6),3),"-",(RIGHT(RIGHT(CONCATENATE("000",IFAData_TEA!A997),6),3)))</f>
        <v>101-914</v>
      </c>
      <c r="C997" s="979" t="s">
        <v>410</v>
      </c>
      <c r="D997" s="979">
        <v>1</v>
      </c>
      <c r="E997" s="979">
        <v>1942</v>
      </c>
      <c r="F997" s="979" t="s">
        <v>4817</v>
      </c>
      <c r="G997" s="979" t="s">
        <v>4818</v>
      </c>
      <c r="H997" s="1030">
        <v>1428934</v>
      </c>
      <c r="I997" s="1030">
        <v>951675</v>
      </c>
      <c r="J997" s="1034">
        <v>0.8343086330462226</v>
      </c>
      <c r="K997" s="1030">
        <v>1192171.9722532711</v>
      </c>
      <c r="L997" s="1030">
        <v>951675</v>
      </c>
      <c r="M997" s="979">
        <v>599</v>
      </c>
    </row>
    <row r="998" spans="1:13" ht="15">
      <c r="A998" s="979" t="s">
        <v>3541</v>
      </c>
      <c r="B998" s="722" t="str">
        <f>CONCATENATE(LEFT(RIGHT(CONCATENATE("000",IFAData_TEA!A998),6),3),"-",(RIGHT(RIGHT(CONCATENATE("000",IFAData_TEA!A998),6),3)))</f>
        <v>101-914</v>
      </c>
      <c r="C998" s="979" t="s">
        <v>410</v>
      </c>
      <c r="D998" s="979">
        <v>1</v>
      </c>
      <c r="E998" s="979">
        <v>1942</v>
      </c>
      <c r="F998" s="979" t="s">
        <v>4817</v>
      </c>
      <c r="G998" s="979" t="s">
        <v>4817</v>
      </c>
      <c r="H998" s="1030">
        <v>1428934</v>
      </c>
      <c r="I998" s="1030">
        <v>189000</v>
      </c>
      <c r="J998" s="1034">
        <v>0.16569136695377737</v>
      </c>
      <c r="K998" s="1030">
        <v>236762.02774672891</v>
      </c>
      <c r="L998" s="1030">
        <v>189000</v>
      </c>
      <c r="M998" s="979">
        <v>599</v>
      </c>
    </row>
    <row r="999" spans="1:13" ht="15">
      <c r="A999" s="979" t="s">
        <v>3541</v>
      </c>
      <c r="B999" s="722" t="str">
        <f>CONCATENATE(LEFT(RIGHT(CONCATENATE("000",IFAData_TEA!A999),6),3),"-",(RIGHT(RIGHT(CONCATENATE("000",IFAData_TEA!A999),6),3)))</f>
        <v>101-914</v>
      </c>
      <c r="C999" s="979" t="s">
        <v>410</v>
      </c>
      <c r="D999" s="979">
        <v>9</v>
      </c>
      <c r="E999" s="979">
        <v>1941</v>
      </c>
      <c r="F999" s="979" t="s">
        <v>4824</v>
      </c>
      <c r="G999" s="979" t="s">
        <v>6259</v>
      </c>
      <c r="H999" s="1030">
        <v>212152</v>
      </c>
      <c r="I999" s="1030">
        <v>101949</v>
      </c>
      <c r="J999" s="1034">
        <v>0.13541435605492072</v>
      </c>
      <c r="K999" s="1030">
        <v>28728.426465763539</v>
      </c>
      <c r="L999" s="1030">
        <v>28728.426465763539</v>
      </c>
      <c r="M999" s="979">
        <v>599</v>
      </c>
    </row>
    <row r="1000" spans="1:13" ht="15">
      <c r="A1000" s="979" t="s">
        <v>3541</v>
      </c>
      <c r="B1000" s="722" t="str">
        <f>CONCATENATE(LEFT(RIGHT(CONCATENATE("000",IFAData_TEA!A1000),6),3),"-",(RIGHT(RIGHT(CONCATENATE("000",IFAData_TEA!A1000),6),3)))</f>
        <v>101-914</v>
      </c>
      <c r="C1000" s="979" t="s">
        <v>410</v>
      </c>
      <c r="D1000" s="979">
        <v>2</v>
      </c>
      <c r="E1000" s="979">
        <v>1944</v>
      </c>
      <c r="F1000" s="979" t="s">
        <v>4821</v>
      </c>
      <c r="G1000" s="979" t="s">
        <v>4820</v>
      </c>
      <c r="H1000" s="1030">
        <v>1987951</v>
      </c>
      <c r="I1000" s="1030">
        <v>485858</v>
      </c>
      <c r="J1000" s="1034">
        <v>0.24151817160059513</v>
      </c>
      <c r="K1000" s="1030">
        <v>480126.29075157468</v>
      </c>
      <c r="L1000" s="1030">
        <v>480126.29075157468</v>
      </c>
      <c r="M1000" s="979">
        <v>599</v>
      </c>
    </row>
    <row r="1001" spans="1:13" ht="15">
      <c r="A1001" s="979" t="s">
        <v>3541</v>
      </c>
      <c r="B1001" s="722" t="str">
        <f>CONCATENATE(LEFT(RIGHT(CONCATENATE("000",IFAData_TEA!A1001),6),3),"-",(RIGHT(RIGHT(CONCATENATE("000",IFAData_TEA!A1001),6),3)))</f>
        <v>101-914</v>
      </c>
      <c r="C1001" s="979" t="s">
        <v>410</v>
      </c>
      <c r="D1001" s="979">
        <v>9</v>
      </c>
      <c r="E1001" s="979">
        <v>1946</v>
      </c>
      <c r="F1001" s="979" t="s">
        <v>4823</v>
      </c>
      <c r="G1001" s="979" t="s">
        <v>6259</v>
      </c>
      <c r="H1001" s="1030">
        <v>5902797</v>
      </c>
      <c r="I1001" s="1030">
        <v>274720</v>
      </c>
      <c r="J1001" s="1034">
        <v>6.0670480361708426E-2</v>
      </c>
      <c r="K1001" s="1030">
        <v>358125.52946765139</v>
      </c>
      <c r="L1001" s="1030">
        <v>274720</v>
      </c>
      <c r="M1001" s="979">
        <v>599</v>
      </c>
    </row>
    <row r="1002" spans="1:13" ht="15">
      <c r="A1002" s="979" t="s">
        <v>3541</v>
      </c>
      <c r="B1002" s="722" t="str">
        <f>CONCATENATE(LEFT(RIGHT(CONCATENATE("000",IFAData_TEA!A1002),6),3),"-",(RIGHT(RIGHT(CONCATENATE("000",IFAData_TEA!A1002),6),3)))</f>
        <v>101-914</v>
      </c>
      <c r="C1002" s="979" t="s">
        <v>410</v>
      </c>
      <c r="D1002" s="979">
        <v>9</v>
      </c>
      <c r="E1002" s="979">
        <v>1941</v>
      </c>
      <c r="F1002" s="979" t="s">
        <v>4824</v>
      </c>
      <c r="G1002" s="979" t="s">
        <v>4824</v>
      </c>
      <c r="H1002" s="1030">
        <v>212152</v>
      </c>
      <c r="I1002" s="1030">
        <v>650918</v>
      </c>
      <c r="J1002" s="1034">
        <v>0.86458564394507931</v>
      </c>
      <c r="K1002" s="1030">
        <v>183423.57353423646</v>
      </c>
      <c r="L1002" s="1030">
        <v>183423.57353423646</v>
      </c>
      <c r="M1002" s="979">
        <v>599</v>
      </c>
    </row>
    <row r="1003" spans="1:13" ht="15">
      <c r="A1003" s="979" t="s">
        <v>3541</v>
      </c>
      <c r="B1003" s="722" t="str">
        <f>CONCATENATE(LEFT(RIGHT(CONCATENATE("000",IFAData_TEA!A1003),6),3),"-",(RIGHT(RIGHT(CONCATENATE("000",IFAData_TEA!A1003),6),3)))</f>
        <v>101-914</v>
      </c>
      <c r="C1003" s="979" t="s">
        <v>410</v>
      </c>
      <c r="D1003" s="979">
        <v>9</v>
      </c>
      <c r="E1003" s="979">
        <v>1946</v>
      </c>
      <c r="F1003" s="979" t="s">
        <v>4823</v>
      </c>
      <c r="G1003" s="979" t="s">
        <v>4823</v>
      </c>
      <c r="H1003" s="1030">
        <v>5902797</v>
      </c>
      <c r="I1003" s="1030">
        <v>3589975</v>
      </c>
      <c r="J1003" s="1034">
        <v>0.79282727044454071</v>
      </c>
      <c r="K1003" s="1030">
        <v>4679898.4334982233</v>
      </c>
      <c r="L1003" s="1030">
        <v>3589975</v>
      </c>
      <c r="M1003" s="979">
        <v>599</v>
      </c>
    </row>
    <row r="1004" spans="1:13" ht="15">
      <c r="A1004" s="979" t="s">
        <v>3541</v>
      </c>
      <c r="B1004" s="722" t="str">
        <f>CONCATENATE(LEFT(RIGHT(CONCATENATE("000",IFAData_TEA!A1004),6),3),"-",(RIGHT(RIGHT(CONCATENATE("000",IFAData_TEA!A1004),6),3)))</f>
        <v>101-914</v>
      </c>
      <c r="C1004" s="979" t="s">
        <v>410</v>
      </c>
      <c r="D1004" s="979">
        <v>9</v>
      </c>
      <c r="E1004" s="979">
        <v>1945</v>
      </c>
      <c r="F1004" s="979" t="s">
        <v>4822</v>
      </c>
      <c r="G1004" s="979" t="s">
        <v>4822</v>
      </c>
      <c r="H1004" s="1030">
        <v>5681065</v>
      </c>
      <c r="I1004" s="1030">
        <v>2688097</v>
      </c>
      <c r="J1004" s="1034">
        <v>0.60743067902333736</v>
      </c>
      <c r="K1004" s="1030">
        <v>3450853.1705257162</v>
      </c>
      <c r="L1004" s="1030">
        <v>2688097</v>
      </c>
      <c r="M1004" s="979">
        <v>599</v>
      </c>
    </row>
    <row r="1005" spans="1:13" ht="15">
      <c r="A1005" s="979" t="s">
        <v>3541</v>
      </c>
      <c r="B1005" s="722" t="str">
        <f>CONCATENATE(LEFT(RIGHT(CONCATENATE("000",IFAData_TEA!A1005),6),3),"-",(RIGHT(RIGHT(CONCATENATE("000",IFAData_TEA!A1005),6),3)))</f>
        <v>101-914</v>
      </c>
      <c r="C1005" s="979" t="s">
        <v>410</v>
      </c>
      <c r="D1005" s="979">
        <v>2</v>
      </c>
      <c r="E1005" s="979">
        <v>1944</v>
      </c>
      <c r="F1005" s="979" t="s">
        <v>4821</v>
      </c>
      <c r="G1005" s="979" t="s">
        <v>4821</v>
      </c>
      <c r="H1005" s="1030">
        <v>1987951</v>
      </c>
      <c r="I1005" s="1030">
        <v>0</v>
      </c>
      <c r="J1005" s="1034">
        <v>0</v>
      </c>
      <c r="K1005" s="1030">
        <v>0</v>
      </c>
      <c r="L1005" s="1030">
        <v>0</v>
      </c>
      <c r="M1005" s="979">
        <v>599</v>
      </c>
    </row>
    <row r="1006" spans="1:13" ht="15">
      <c r="A1006" s="979" t="s">
        <v>3541</v>
      </c>
      <c r="B1006" s="722" t="str">
        <f>CONCATENATE(LEFT(RIGHT(CONCATENATE("000",IFAData_TEA!A1006),6),3),"-",(RIGHT(RIGHT(CONCATENATE("000",IFAData_TEA!A1006),6),3)))</f>
        <v>101-914</v>
      </c>
      <c r="C1006" s="979" t="s">
        <v>410</v>
      </c>
      <c r="D1006" s="979">
        <v>2</v>
      </c>
      <c r="E1006" s="979">
        <v>1944</v>
      </c>
      <c r="F1006" s="979" t="s">
        <v>4821</v>
      </c>
      <c r="G1006" s="979" t="s">
        <v>4818</v>
      </c>
      <c r="H1006" s="1030">
        <v>1987951</v>
      </c>
      <c r="I1006" s="1030">
        <v>1203861</v>
      </c>
      <c r="J1006" s="1034">
        <v>0.59843474344615921</v>
      </c>
      <c r="K1006" s="1030">
        <v>1189658.9466685357</v>
      </c>
      <c r="L1006" s="1030">
        <v>1189658.9466685357</v>
      </c>
      <c r="M1006" s="979">
        <v>599</v>
      </c>
    </row>
    <row r="1007" spans="1:13" ht="15">
      <c r="A1007" s="979" t="s">
        <v>3542</v>
      </c>
      <c r="B1007" s="722" t="str">
        <f>CONCATENATE(LEFT(RIGHT(CONCATENATE("000",IFAData_TEA!A1007),6),3),"-",(RIGHT(RIGHT(CONCATENATE("000",IFAData_TEA!A1007),6),3)))</f>
        <v>101-915</v>
      </c>
      <c r="C1007" s="979" t="s">
        <v>2585</v>
      </c>
      <c r="D1007" s="979">
        <v>6</v>
      </c>
      <c r="E1007" s="979">
        <v>1966</v>
      </c>
      <c r="F1007" s="979" t="s">
        <v>4829</v>
      </c>
      <c r="G1007" s="979" t="s">
        <v>4831</v>
      </c>
      <c r="H1007" s="1030">
        <v>2380705</v>
      </c>
      <c r="I1007" s="1030">
        <v>768436</v>
      </c>
      <c r="J1007" s="1034">
        <v>0.26415676784066083</v>
      </c>
      <c r="K1007" s="1030">
        <v>628879.33798210043</v>
      </c>
      <c r="L1007" s="1030">
        <v>628879.33798210043</v>
      </c>
      <c r="M1007" s="979">
        <v>599</v>
      </c>
    </row>
    <row r="1008" spans="1:13" ht="15">
      <c r="A1008" s="979" t="s">
        <v>3542</v>
      </c>
      <c r="B1008" s="722" t="str">
        <f>CONCATENATE(LEFT(RIGHT(CONCATENATE("000",IFAData_TEA!A1008),6),3),"-",(RIGHT(RIGHT(CONCATENATE("000",IFAData_TEA!A1008),6),3)))</f>
        <v>101-915</v>
      </c>
      <c r="C1008" s="979" t="s">
        <v>2585</v>
      </c>
      <c r="D1008" s="979">
        <v>2</v>
      </c>
      <c r="E1008" s="979">
        <v>1965</v>
      </c>
      <c r="F1008" s="979" t="s">
        <v>4827</v>
      </c>
      <c r="G1008" s="979" t="s">
        <v>4826</v>
      </c>
      <c r="H1008" s="1030">
        <v>1172621</v>
      </c>
      <c r="I1008" s="1030">
        <v>1160461</v>
      </c>
      <c r="J1008" s="1034">
        <v>0.89145883826065586</v>
      </c>
      <c r="K1008" s="1030">
        <v>1045343.3543800486</v>
      </c>
      <c r="L1008" s="1030">
        <v>1045343.3543800486</v>
      </c>
      <c r="M1008" s="979">
        <v>599</v>
      </c>
    </row>
    <row r="1009" spans="1:13" ht="15">
      <c r="A1009" s="979" t="s">
        <v>3542</v>
      </c>
      <c r="B1009" s="722" t="str">
        <f>CONCATENATE(LEFT(RIGHT(CONCATENATE("000",IFAData_TEA!A1009),6),3),"-",(RIGHT(RIGHT(CONCATENATE("000",IFAData_TEA!A1009),6),3)))</f>
        <v>101-915</v>
      </c>
      <c r="C1009" s="979" t="s">
        <v>2585</v>
      </c>
      <c r="D1009" s="979">
        <v>6</v>
      </c>
      <c r="E1009" s="979">
        <v>1966</v>
      </c>
      <c r="F1009" s="979" t="s">
        <v>4829</v>
      </c>
      <c r="G1009" s="979" t="s">
        <v>4826</v>
      </c>
      <c r="H1009" s="1030">
        <v>2380705</v>
      </c>
      <c r="I1009" s="1030">
        <v>1933544</v>
      </c>
      <c r="J1009" s="1034">
        <v>0.66467309381354167</v>
      </c>
      <c r="K1009" s="1030">
        <v>1582390.5578073678</v>
      </c>
      <c r="L1009" s="1030">
        <v>1582390.5578073678</v>
      </c>
      <c r="M1009" s="979">
        <v>599</v>
      </c>
    </row>
    <row r="1010" spans="1:13" ht="15">
      <c r="A1010" s="979" t="s">
        <v>3542</v>
      </c>
      <c r="B1010" s="722" t="str">
        <f>CONCATENATE(LEFT(RIGHT(CONCATENATE("000",IFAData_TEA!A1010),6),3),"-",(RIGHT(RIGHT(CONCATENATE("000",IFAData_TEA!A1010),6),3)))</f>
        <v>101-915</v>
      </c>
      <c r="C1010" s="979" t="s">
        <v>2585</v>
      </c>
      <c r="D1010" s="979">
        <v>6</v>
      </c>
      <c r="E1010" s="979">
        <v>1966</v>
      </c>
      <c r="F1010" s="979" t="s">
        <v>4829</v>
      </c>
      <c r="G1010" s="979" t="s">
        <v>4829</v>
      </c>
      <c r="H1010" s="1030">
        <v>2380705</v>
      </c>
      <c r="I1010" s="1030">
        <v>0</v>
      </c>
      <c r="J1010" s="1034">
        <v>0</v>
      </c>
      <c r="K1010" s="1030">
        <v>0</v>
      </c>
      <c r="L1010" s="1030">
        <v>0</v>
      </c>
      <c r="M1010" s="979">
        <v>599</v>
      </c>
    </row>
    <row r="1011" spans="1:13" ht="15">
      <c r="A1011" s="979" t="s">
        <v>3542</v>
      </c>
      <c r="B1011" s="722" t="str">
        <f>CONCATENATE(LEFT(RIGHT(CONCATENATE("000",IFAData_TEA!A1011),6),3),"-",(RIGHT(RIGHT(CONCATENATE("000",IFAData_TEA!A1011),6),3)))</f>
        <v>101-915</v>
      </c>
      <c r="C1011" s="979" t="s">
        <v>2585</v>
      </c>
      <c r="D1011" s="979">
        <v>9</v>
      </c>
      <c r="E1011" s="979">
        <v>1964</v>
      </c>
      <c r="F1011" s="979" t="s">
        <v>4832</v>
      </c>
      <c r="G1011" s="979" t="s">
        <v>6260</v>
      </c>
      <c r="H1011" s="1030">
        <v>1083584</v>
      </c>
      <c r="I1011" s="1030">
        <v>14207</v>
      </c>
      <c r="J1011" s="1034">
        <v>1.6935514633657889E-2</v>
      </c>
      <c r="K1011" s="1030">
        <v>18351.05268879755</v>
      </c>
      <c r="L1011" s="1030">
        <v>14207</v>
      </c>
      <c r="M1011" s="979">
        <v>599</v>
      </c>
    </row>
    <row r="1012" spans="1:13" ht="15">
      <c r="A1012" s="979" t="s">
        <v>3542</v>
      </c>
      <c r="B1012" s="722" t="str">
        <f>CONCATENATE(LEFT(RIGHT(CONCATENATE("000",IFAData_TEA!A1012),6),3),"-",(RIGHT(RIGHT(CONCATENATE("000",IFAData_TEA!A1012),6),3)))</f>
        <v>101-915</v>
      </c>
      <c r="C1012" s="979" t="s">
        <v>2585</v>
      </c>
      <c r="D1012" s="979">
        <v>2</v>
      </c>
      <c r="E1012" s="979">
        <v>1965</v>
      </c>
      <c r="F1012" s="979" t="s">
        <v>4827</v>
      </c>
      <c r="G1012" s="979" t="s">
        <v>4827</v>
      </c>
      <c r="H1012" s="1030">
        <v>1172621</v>
      </c>
      <c r="I1012" s="1030">
        <v>0</v>
      </c>
      <c r="J1012" s="1034">
        <v>0</v>
      </c>
      <c r="K1012" s="1030">
        <v>0</v>
      </c>
      <c r="L1012" s="1030">
        <v>0</v>
      </c>
      <c r="M1012" s="979">
        <v>599</v>
      </c>
    </row>
    <row r="1013" spans="1:13" ht="15">
      <c r="A1013" s="979" t="s">
        <v>3542</v>
      </c>
      <c r="B1013" s="722" t="str">
        <f>CONCATENATE(LEFT(RIGHT(CONCATENATE("000",IFAData_TEA!A1013),6),3),"-",(RIGHT(RIGHT(CONCATENATE("000",IFAData_TEA!A1013),6),3)))</f>
        <v>101-915</v>
      </c>
      <c r="C1013" s="979" t="s">
        <v>2585</v>
      </c>
      <c r="D1013" s="979">
        <v>6</v>
      </c>
      <c r="E1013" s="979">
        <v>1966</v>
      </c>
      <c r="F1013" s="979" t="s">
        <v>4829</v>
      </c>
      <c r="G1013" s="979" t="s">
        <v>4830</v>
      </c>
      <c r="H1013" s="1030">
        <v>2380705</v>
      </c>
      <c r="I1013" s="1030">
        <v>196590</v>
      </c>
      <c r="J1013" s="1034">
        <v>6.7579575904558764E-2</v>
      </c>
      <c r="K1013" s="1030">
        <v>160887.03425386257</v>
      </c>
      <c r="L1013" s="1030">
        <v>160887.03425386257</v>
      </c>
      <c r="M1013" s="979">
        <v>599</v>
      </c>
    </row>
    <row r="1014" spans="1:13" ht="15">
      <c r="A1014" s="979" t="s">
        <v>3542</v>
      </c>
      <c r="B1014" s="722" t="str">
        <f>CONCATENATE(LEFT(RIGHT(CONCATENATE("000",IFAData_TEA!A1014),6),3),"-",(RIGHT(RIGHT(CONCATENATE("000",IFAData_TEA!A1014),6),3)))</f>
        <v>101-915</v>
      </c>
      <c r="C1014" s="979" t="s">
        <v>2585</v>
      </c>
      <c r="D1014" s="979">
        <v>10</v>
      </c>
      <c r="E1014" s="979">
        <v>1967</v>
      </c>
      <c r="F1014" s="979" t="s">
        <v>4833</v>
      </c>
      <c r="G1014" s="979" t="s">
        <v>4833</v>
      </c>
      <c r="H1014" s="1030">
        <v>3671148</v>
      </c>
      <c r="I1014" s="1030">
        <v>2936918</v>
      </c>
      <c r="J1014" s="1034">
        <v>1</v>
      </c>
      <c r="K1014" s="1030">
        <v>3671148</v>
      </c>
      <c r="L1014" s="1030">
        <v>2936918</v>
      </c>
      <c r="M1014" s="979">
        <v>599</v>
      </c>
    </row>
    <row r="1015" spans="1:13" ht="15">
      <c r="A1015" s="979" t="s">
        <v>3542</v>
      </c>
      <c r="B1015" s="722" t="str">
        <f>CONCATENATE(LEFT(RIGHT(CONCATENATE("000",IFAData_TEA!A1015),6),3),"-",(RIGHT(RIGHT(CONCATENATE("000",IFAData_TEA!A1015),6),3)))</f>
        <v>101-915</v>
      </c>
      <c r="C1015" s="979" t="s">
        <v>2585</v>
      </c>
      <c r="D1015" s="979">
        <v>2</v>
      </c>
      <c r="E1015" s="979">
        <v>1965</v>
      </c>
      <c r="F1015" s="979" t="s">
        <v>4827</v>
      </c>
      <c r="G1015" s="979" t="s">
        <v>4828</v>
      </c>
      <c r="H1015" s="1030">
        <v>1172621</v>
      </c>
      <c r="I1015" s="1030">
        <v>134616</v>
      </c>
      <c r="J1015" s="1034">
        <v>0.10341116415915437</v>
      </c>
      <c r="K1015" s="1030">
        <v>121262.10272747176</v>
      </c>
      <c r="L1015" s="1030">
        <v>121262.10272747176</v>
      </c>
      <c r="M1015" s="979">
        <v>599</v>
      </c>
    </row>
    <row r="1016" spans="1:13" ht="15">
      <c r="A1016" s="979" t="s">
        <v>3542</v>
      </c>
      <c r="B1016" s="722" t="str">
        <f>CONCATENATE(LEFT(RIGHT(CONCATENATE("000",IFAData_TEA!A1016),6),3),"-",(RIGHT(RIGHT(CONCATENATE("000",IFAData_TEA!A1016),6),3)))</f>
        <v>101-915</v>
      </c>
      <c r="C1016" s="979" t="s">
        <v>2585</v>
      </c>
      <c r="D1016" s="979">
        <v>1</v>
      </c>
      <c r="E1016" s="979">
        <v>1963</v>
      </c>
      <c r="F1016" s="979" t="s">
        <v>4825</v>
      </c>
      <c r="G1016" s="979" t="s">
        <v>4825</v>
      </c>
      <c r="H1016" s="1030">
        <v>282821</v>
      </c>
      <c r="I1016" s="1030">
        <v>0</v>
      </c>
      <c r="J1016" s="1034">
        <v>0</v>
      </c>
      <c r="K1016" s="1030"/>
      <c r="L1016" s="1030">
        <v>0</v>
      </c>
      <c r="M1016" s="979">
        <v>599</v>
      </c>
    </row>
    <row r="1017" spans="1:13" ht="15">
      <c r="A1017" s="979" t="s">
        <v>3542</v>
      </c>
      <c r="B1017" s="722" t="str">
        <f>CONCATENATE(LEFT(RIGHT(CONCATENATE("000",IFAData_TEA!A1017),6),3),"-",(RIGHT(RIGHT(CONCATENATE("000",IFAData_TEA!A1017),6),3)))</f>
        <v>101-915</v>
      </c>
      <c r="C1017" s="979" t="s">
        <v>2585</v>
      </c>
      <c r="D1017" s="979">
        <v>9</v>
      </c>
      <c r="E1017" s="979">
        <v>1968</v>
      </c>
      <c r="F1017" s="979" t="s">
        <v>4830</v>
      </c>
      <c r="G1017" s="979" t="s">
        <v>4830</v>
      </c>
      <c r="H1017" s="1030">
        <v>8267781</v>
      </c>
      <c r="I1017" s="1030">
        <v>10203701</v>
      </c>
      <c r="J1017" s="1034">
        <v>0.99374566611348747</v>
      </c>
      <c r="K1017" s="1030">
        <v>8216071.5371254357</v>
      </c>
      <c r="L1017" s="1030">
        <v>8216071.5371254357</v>
      </c>
      <c r="M1017" s="979">
        <v>599</v>
      </c>
    </row>
    <row r="1018" spans="1:13" ht="15">
      <c r="A1018" s="979" t="s">
        <v>3542</v>
      </c>
      <c r="B1018" s="722" t="str">
        <f>CONCATENATE(LEFT(RIGHT(CONCATENATE("000",IFAData_TEA!A1018),6),3),"-",(RIGHT(RIGHT(CONCATENATE("000",IFAData_TEA!A1018),6),3)))</f>
        <v>101-915</v>
      </c>
      <c r="C1018" s="979" t="s">
        <v>2585</v>
      </c>
      <c r="D1018" s="979">
        <v>9</v>
      </c>
      <c r="E1018" s="979">
        <v>1964</v>
      </c>
      <c r="F1018" s="979" t="s">
        <v>4832</v>
      </c>
      <c r="G1018" s="979" t="s">
        <v>4832</v>
      </c>
      <c r="H1018" s="1030">
        <v>1083584</v>
      </c>
      <c r="I1018" s="1030">
        <v>824681</v>
      </c>
      <c r="J1018" s="1034">
        <v>0.98306448536634206</v>
      </c>
      <c r="K1018" s="1030">
        <v>1065232.9473112023</v>
      </c>
      <c r="L1018" s="1030">
        <v>824681</v>
      </c>
      <c r="M1018" s="979">
        <v>599</v>
      </c>
    </row>
    <row r="1019" spans="1:13" ht="15">
      <c r="A1019" s="979" t="s">
        <v>3542</v>
      </c>
      <c r="B1019" s="722" t="str">
        <f>CONCATENATE(LEFT(RIGHT(CONCATENATE("000",IFAData_TEA!A1019),6),3),"-",(RIGHT(RIGHT(CONCATENATE("000",IFAData_TEA!A1019),6),3)))</f>
        <v>101-915</v>
      </c>
      <c r="C1019" s="979" t="s">
        <v>2585</v>
      </c>
      <c r="D1019" s="979">
        <v>6</v>
      </c>
      <c r="E1019" s="979">
        <v>1966</v>
      </c>
      <c r="F1019" s="979" t="s">
        <v>4829</v>
      </c>
      <c r="G1019" s="979" t="s">
        <v>6260</v>
      </c>
      <c r="H1019" s="1030">
        <v>2380705</v>
      </c>
      <c r="I1019" s="1030">
        <v>10445</v>
      </c>
      <c r="J1019" s="1034">
        <v>3.5905624412387012E-3</v>
      </c>
      <c r="K1019" s="1030">
        <v>8548.0699566691819</v>
      </c>
      <c r="L1019" s="1030">
        <v>8548.0699566691819</v>
      </c>
      <c r="M1019" s="979">
        <v>599</v>
      </c>
    </row>
    <row r="1020" spans="1:13" ht="15">
      <c r="A1020" s="979" t="s">
        <v>3542</v>
      </c>
      <c r="B1020" s="722" t="str">
        <f>CONCATENATE(LEFT(RIGHT(CONCATENATE("000",IFAData_TEA!A1020),6),3),"-",(RIGHT(RIGHT(CONCATENATE("000",IFAData_TEA!A1020),6),3)))</f>
        <v>101-915</v>
      </c>
      <c r="C1020" s="979" t="s">
        <v>2585</v>
      </c>
      <c r="D1020" s="979">
        <v>2</v>
      </c>
      <c r="E1020" s="979">
        <v>1965</v>
      </c>
      <c r="F1020" s="979" t="s">
        <v>4827</v>
      </c>
      <c r="G1020" s="979" t="s">
        <v>6260</v>
      </c>
      <c r="H1020" s="1030">
        <v>1172621</v>
      </c>
      <c r="I1020" s="1030">
        <v>6678</v>
      </c>
      <c r="J1020" s="1034">
        <v>5.1299975801898205E-3</v>
      </c>
      <c r="K1020" s="1030">
        <v>6015.5428924797679</v>
      </c>
      <c r="L1020" s="1030">
        <v>6015.5428924797679</v>
      </c>
      <c r="M1020" s="979">
        <v>599</v>
      </c>
    </row>
    <row r="1021" spans="1:13" ht="15">
      <c r="A1021" s="979" t="s">
        <v>3542</v>
      </c>
      <c r="B1021" s="722" t="str">
        <f>CONCATENATE(LEFT(RIGHT(CONCATENATE("000",IFAData_TEA!A1021),6),3),"-",(RIGHT(RIGHT(CONCATENATE("000",IFAData_TEA!A1021),6),3)))</f>
        <v>101-915</v>
      </c>
      <c r="C1021" s="979" t="s">
        <v>2585</v>
      </c>
      <c r="D1021" s="979">
        <v>9</v>
      </c>
      <c r="E1021" s="979">
        <v>1968</v>
      </c>
      <c r="F1021" s="979" t="s">
        <v>4830</v>
      </c>
      <c r="G1021" s="979" t="s">
        <v>6260</v>
      </c>
      <c r="H1021" s="1030">
        <v>8267781</v>
      </c>
      <c r="I1021" s="1030">
        <v>64219</v>
      </c>
      <c r="J1021" s="1034">
        <v>6.254333886512556E-3</v>
      </c>
      <c r="K1021" s="1030">
        <v>51709.46287456467</v>
      </c>
      <c r="L1021" s="1030">
        <v>51709.46287456467</v>
      </c>
      <c r="M1021" s="979">
        <v>599</v>
      </c>
    </row>
    <row r="1022" spans="1:13" ht="15">
      <c r="A1022" s="979" t="s">
        <v>3543</v>
      </c>
      <c r="B1022" s="722" t="str">
        <f>CONCATENATE(LEFT(RIGHT(CONCATENATE("000",IFAData_TEA!A1022),6),3),"-",(RIGHT(RIGHT(CONCATENATE("000",IFAData_TEA!A1022),6),3)))</f>
        <v>101-917</v>
      </c>
      <c r="C1022" s="979" t="s">
        <v>272</v>
      </c>
      <c r="D1022" s="979">
        <v>2</v>
      </c>
      <c r="E1022" s="979">
        <v>2178</v>
      </c>
      <c r="F1022" s="979" t="s">
        <v>4834</v>
      </c>
      <c r="G1022" s="979" t="s">
        <v>4834</v>
      </c>
      <c r="H1022" s="1030">
        <v>1635967</v>
      </c>
      <c r="I1022" s="1030">
        <v>0</v>
      </c>
      <c r="J1022" s="1034">
        <v>0</v>
      </c>
      <c r="K1022" s="1030">
        <v>0</v>
      </c>
      <c r="L1022" s="1030">
        <v>0</v>
      </c>
      <c r="M1022" s="979">
        <v>599</v>
      </c>
    </row>
    <row r="1023" spans="1:13" ht="15">
      <c r="A1023" s="979" t="s">
        <v>3543</v>
      </c>
      <c r="B1023" s="722" t="str">
        <f>CONCATENATE(LEFT(RIGHT(CONCATENATE("000",IFAData_TEA!A1023),6),3),"-",(RIGHT(RIGHT(CONCATENATE("000",IFAData_TEA!A1023),6),3)))</f>
        <v>101-917</v>
      </c>
      <c r="C1023" s="979" t="s">
        <v>272</v>
      </c>
      <c r="D1023" s="979">
        <v>2</v>
      </c>
      <c r="E1023" s="979">
        <v>2178</v>
      </c>
      <c r="F1023" s="979" t="s">
        <v>4834</v>
      </c>
      <c r="G1023" s="979" t="s">
        <v>4836</v>
      </c>
      <c r="H1023" s="1030">
        <v>1635967</v>
      </c>
      <c r="I1023" s="1030">
        <v>1552272</v>
      </c>
      <c r="J1023" s="1034">
        <v>1</v>
      </c>
      <c r="K1023" s="1030">
        <v>1635967</v>
      </c>
      <c r="L1023" s="1030">
        <v>1552272</v>
      </c>
      <c r="M1023" s="979">
        <v>599</v>
      </c>
    </row>
    <row r="1024" spans="1:13" ht="15">
      <c r="A1024" s="979" t="s">
        <v>3543</v>
      </c>
      <c r="B1024" s="722" t="str">
        <f>CONCATENATE(LEFT(RIGHT(CONCATENATE("000",IFAData_TEA!A1024),6),3),"-",(RIGHT(RIGHT(CONCATENATE("000",IFAData_TEA!A1024),6),3)))</f>
        <v>101-917</v>
      </c>
      <c r="C1024" s="979" t="s">
        <v>272</v>
      </c>
      <c r="D1024" s="979">
        <v>6</v>
      </c>
      <c r="E1024" s="979">
        <v>2179</v>
      </c>
      <c r="F1024" s="979" t="s">
        <v>4837</v>
      </c>
      <c r="G1024" s="979" t="s">
        <v>4839</v>
      </c>
      <c r="H1024" s="1030">
        <v>7578719</v>
      </c>
      <c r="I1024" s="1030">
        <v>2055367</v>
      </c>
      <c r="J1024" s="1034">
        <v>1</v>
      </c>
      <c r="K1024" s="1030">
        <v>7578719</v>
      </c>
      <c r="L1024" s="1030">
        <v>2055367</v>
      </c>
      <c r="M1024" s="979">
        <v>599</v>
      </c>
    </row>
    <row r="1025" spans="1:13" ht="15">
      <c r="A1025" s="979" t="s">
        <v>3543</v>
      </c>
      <c r="B1025" s="722" t="str">
        <f>CONCATENATE(LEFT(RIGHT(CONCATENATE("000",IFAData_TEA!A1025),6),3),"-",(RIGHT(RIGHT(CONCATENATE("000",IFAData_TEA!A1025),6),3)))</f>
        <v>101-917</v>
      </c>
      <c r="C1025" s="979" t="s">
        <v>272</v>
      </c>
      <c r="D1025" s="979">
        <v>2</v>
      </c>
      <c r="E1025" s="979">
        <v>2178</v>
      </c>
      <c r="F1025" s="979" t="s">
        <v>4834</v>
      </c>
      <c r="G1025" s="979" t="s">
        <v>4835</v>
      </c>
      <c r="H1025" s="1030">
        <v>1635967</v>
      </c>
      <c r="I1025" s="1030">
        <v>0</v>
      </c>
      <c r="J1025" s="1034">
        <v>0</v>
      </c>
      <c r="K1025" s="1030">
        <v>0</v>
      </c>
      <c r="L1025" s="1030">
        <v>0</v>
      </c>
      <c r="M1025" s="979">
        <v>599</v>
      </c>
    </row>
    <row r="1026" spans="1:13" ht="15">
      <c r="A1026" s="979" t="s">
        <v>3543</v>
      </c>
      <c r="B1026" s="722" t="str">
        <f>CONCATENATE(LEFT(RIGHT(CONCATENATE("000",IFAData_TEA!A1026),6),3),"-",(RIGHT(RIGHT(CONCATENATE("000",IFAData_TEA!A1026),6),3)))</f>
        <v>101-917</v>
      </c>
      <c r="C1026" s="979" t="s">
        <v>272</v>
      </c>
      <c r="D1026" s="979">
        <v>6</v>
      </c>
      <c r="E1026" s="979">
        <v>2179</v>
      </c>
      <c r="F1026" s="979" t="s">
        <v>4837</v>
      </c>
      <c r="G1026" s="979" t="s">
        <v>4838</v>
      </c>
      <c r="H1026" s="1030">
        <v>7578719</v>
      </c>
      <c r="I1026" s="1030">
        <v>0</v>
      </c>
      <c r="J1026" s="1034">
        <v>0</v>
      </c>
      <c r="K1026" s="1030">
        <v>0</v>
      </c>
      <c r="L1026" s="1030">
        <v>0</v>
      </c>
      <c r="M1026" s="979">
        <v>599</v>
      </c>
    </row>
    <row r="1027" spans="1:13" ht="15">
      <c r="A1027" s="979" t="s">
        <v>3543</v>
      </c>
      <c r="B1027" s="722" t="str">
        <f>CONCATENATE(LEFT(RIGHT(CONCATENATE("000",IFAData_TEA!A1027),6),3),"-",(RIGHT(RIGHT(CONCATENATE("000",IFAData_TEA!A1027),6),3)))</f>
        <v>101-917</v>
      </c>
      <c r="C1027" s="979" t="s">
        <v>272</v>
      </c>
      <c r="D1027" s="979">
        <v>6</v>
      </c>
      <c r="E1027" s="979">
        <v>2179</v>
      </c>
      <c r="F1027" s="979" t="s">
        <v>4837</v>
      </c>
      <c r="G1027" s="979" t="s">
        <v>4837</v>
      </c>
      <c r="H1027" s="1030">
        <v>7578719</v>
      </c>
      <c r="I1027" s="1030">
        <v>0</v>
      </c>
      <c r="J1027" s="1034">
        <v>0</v>
      </c>
      <c r="K1027" s="1030">
        <v>0</v>
      </c>
      <c r="L1027" s="1030">
        <v>0</v>
      </c>
      <c r="M1027" s="979">
        <v>599</v>
      </c>
    </row>
    <row r="1028" spans="1:13" ht="15">
      <c r="A1028" s="979" t="s">
        <v>3544</v>
      </c>
      <c r="B1028" s="722" t="str">
        <f>CONCATENATE(LEFT(RIGHT(CONCATENATE("000",IFAData_TEA!A1028),6),3),"-",(RIGHT(RIGHT(CONCATENATE("000",IFAData_TEA!A1028),6),3)))</f>
        <v>101-925</v>
      </c>
      <c r="C1028" s="979" t="s">
        <v>2383</v>
      </c>
      <c r="D1028" s="979">
        <v>5</v>
      </c>
      <c r="E1028" s="979">
        <v>1912</v>
      </c>
      <c r="F1028" s="979" t="s">
        <v>4840</v>
      </c>
      <c r="G1028" s="979" t="s">
        <v>4842</v>
      </c>
      <c r="H1028" s="1030">
        <v>409219</v>
      </c>
      <c r="I1028" s="1030">
        <v>413755</v>
      </c>
      <c r="J1028" s="1034">
        <v>1</v>
      </c>
      <c r="K1028" s="1030">
        <v>409219</v>
      </c>
      <c r="L1028" s="1030">
        <v>409219</v>
      </c>
      <c r="M1028" s="979">
        <v>599</v>
      </c>
    </row>
    <row r="1029" spans="1:13" ht="15">
      <c r="A1029" s="979" t="s">
        <v>3544</v>
      </c>
      <c r="B1029" s="722" t="str">
        <f>CONCATENATE(LEFT(RIGHT(CONCATENATE("000",IFAData_TEA!A1029),6),3),"-",(RIGHT(RIGHT(CONCATENATE("000",IFAData_TEA!A1029),6),3)))</f>
        <v>101-925</v>
      </c>
      <c r="C1029" s="979" t="s">
        <v>2383</v>
      </c>
      <c r="D1029" s="979">
        <v>5</v>
      </c>
      <c r="E1029" s="979">
        <v>1911</v>
      </c>
      <c r="F1029" s="979" t="s">
        <v>4843</v>
      </c>
      <c r="G1029" s="979" t="s">
        <v>4843</v>
      </c>
      <c r="H1029" s="1030">
        <v>189309</v>
      </c>
      <c r="I1029" s="1030">
        <v>0</v>
      </c>
      <c r="J1029" s="1034">
        <v>0</v>
      </c>
      <c r="K1029" s="1030">
        <v>0</v>
      </c>
      <c r="L1029" s="1030">
        <v>0</v>
      </c>
      <c r="M1029" s="979">
        <v>599</v>
      </c>
    </row>
    <row r="1030" spans="1:13" ht="15">
      <c r="A1030" s="979" t="s">
        <v>3544</v>
      </c>
      <c r="B1030" s="722" t="str">
        <f>CONCATENATE(LEFT(RIGHT(CONCATENATE("000",IFAData_TEA!A1030),6),3),"-",(RIGHT(RIGHT(CONCATENATE("000",IFAData_TEA!A1030),6),3)))</f>
        <v>101-925</v>
      </c>
      <c r="C1030" s="979" t="s">
        <v>2383</v>
      </c>
      <c r="D1030" s="979">
        <v>5</v>
      </c>
      <c r="E1030" s="979">
        <v>1912</v>
      </c>
      <c r="F1030" s="979" t="s">
        <v>4840</v>
      </c>
      <c r="G1030" s="979" t="s">
        <v>4841</v>
      </c>
      <c r="H1030" s="1030">
        <v>409219</v>
      </c>
      <c r="I1030" s="1030">
        <v>0</v>
      </c>
      <c r="J1030" s="1034">
        <v>0</v>
      </c>
      <c r="K1030" s="1030">
        <v>0</v>
      </c>
      <c r="L1030" s="1030">
        <v>0</v>
      </c>
      <c r="M1030" s="979">
        <v>599</v>
      </c>
    </row>
    <row r="1031" spans="1:13" ht="15">
      <c r="A1031" s="979" t="s">
        <v>3544</v>
      </c>
      <c r="B1031" s="722" t="str">
        <f>CONCATENATE(LEFT(RIGHT(CONCATENATE("000",IFAData_TEA!A1031),6),3),"-",(RIGHT(RIGHT(CONCATENATE("000",IFAData_TEA!A1031),6),3)))</f>
        <v>101-925</v>
      </c>
      <c r="C1031" s="979" t="s">
        <v>2383</v>
      </c>
      <c r="D1031" s="979">
        <v>5</v>
      </c>
      <c r="E1031" s="979">
        <v>1911</v>
      </c>
      <c r="F1031" s="979" t="s">
        <v>4843</v>
      </c>
      <c r="G1031" s="979" t="s">
        <v>4844</v>
      </c>
      <c r="H1031" s="1030">
        <v>189309</v>
      </c>
      <c r="I1031" s="1030">
        <v>292198</v>
      </c>
      <c r="J1031" s="1034">
        <v>1</v>
      </c>
      <c r="K1031" s="1030">
        <v>189309</v>
      </c>
      <c r="L1031" s="1030">
        <v>189309</v>
      </c>
      <c r="M1031" s="979">
        <v>599</v>
      </c>
    </row>
    <row r="1032" spans="1:13" ht="15">
      <c r="A1032" s="979" t="s">
        <v>3544</v>
      </c>
      <c r="B1032" s="722" t="str">
        <f>CONCATENATE(LEFT(RIGHT(CONCATENATE("000",IFAData_TEA!A1032),6),3),"-",(RIGHT(RIGHT(CONCATENATE("000",IFAData_TEA!A1032),6),3)))</f>
        <v>101-925</v>
      </c>
      <c r="C1032" s="979" t="s">
        <v>2383</v>
      </c>
      <c r="D1032" s="979">
        <v>5</v>
      </c>
      <c r="E1032" s="979">
        <v>1912</v>
      </c>
      <c r="F1032" s="979" t="s">
        <v>4840</v>
      </c>
      <c r="G1032" s="979" t="s">
        <v>4840</v>
      </c>
      <c r="H1032" s="1030">
        <v>409219</v>
      </c>
      <c r="I1032" s="1030">
        <v>0</v>
      </c>
      <c r="J1032" s="1034">
        <v>0</v>
      </c>
      <c r="K1032" s="1030">
        <v>0</v>
      </c>
      <c r="L1032" s="1030">
        <v>0</v>
      </c>
      <c r="M1032" s="979">
        <v>599</v>
      </c>
    </row>
    <row r="1033" spans="1:13" ht="15">
      <c r="A1033" s="979" t="s">
        <v>3545</v>
      </c>
      <c r="B1033" s="722" t="str">
        <f>CONCATENATE(LEFT(RIGHT(CONCATENATE("000",IFAData_TEA!A1033),6),3),"-",(RIGHT(RIGHT(CONCATENATE("000",IFAData_TEA!A1033),6),3)))</f>
        <v>104-901</v>
      </c>
      <c r="C1033" s="979" t="s">
        <v>828</v>
      </c>
      <c r="D1033" s="979">
        <v>6</v>
      </c>
      <c r="E1033" s="979">
        <v>1875</v>
      </c>
      <c r="F1033" s="979" t="s">
        <v>4845</v>
      </c>
      <c r="G1033" s="979" t="s">
        <v>4846</v>
      </c>
      <c r="H1033" s="1030">
        <v>90011</v>
      </c>
      <c r="I1033" s="1030">
        <v>83649</v>
      </c>
      <c r="J1033" s="1034">
        <v>0.47623358212779038</v>
      </c>
      <c r="K1033" s="1030">
        <v>42866.260960904539</v>
      </c>
      <c r="L1033" s="1030">
        <v>42866.260960904539</v>
      </c>
      <c r="M1033" s="979">
        <v>599</v>
      </c>
    </row>
    <row r="1034" spans="1:13" ht="15">
      <c r="A1034" s="979" t="s">
        <v>3545</v>
      </c>
      <c r="B1034" s="722" t="str">
        <f>CONCATENATE(LEFT(RIGHT(CONCATENATE("000",IFAData_TEA!A1034),6),3),"-",(RIGHT(RIGHT(CONCATENATE("000",IFAData_TEA!A1034),6),3)))</f>
        <v>104-901</v>
      </c>
      <c r="C1034" s="979" t="s">
        <v>828</v>
      </c>
      <c r="D1034" s="979">
        <v>6</v>
      </c>
      <c r="E1034" s="979">
        <v>1875</v>
      </c>
      <c r="F1034" s="979" t="s">
        <v>4845</v>
      </c>
      <c r="G1034" s="979" t="s">
        <v>4845</v>
      </c>
      <c r="H1034" s="1030">
        <v>90011</v>
      </c>
      <c r="I1034" s="1030">
        <v>91998</v>
      </c>
      <c r="J1034" s="1034">
        <v>0.52376641787220957</v>
      </c>
      <c r="K1034" s="1030">
        <v>47144.739039095453</v>
      </c>
      <c r="L1034" s="1030">
        <v>47144.739039095453</v>
      </c>
      <c r="M1034" s="979">
        <v>599</v>
      </c>
    </row>
    <row r="1035" spans="1:13" ht="15">
      <c r="A1035" s="979" t="s">
        <v>3546</v>
      </c>
      <c r="B1035" s="722" t="str">
        <f>CONCATENATE(LEFT(RIGHT(CONCATENATE("000",IFAData_TEA!A1035),6),3),"-",(RIGHT(RIGHT(CONCATENATE("000",IFAData_TEA!A1035),6),3)))</f>
        <v>105-904</v>
      </c>
      <c r="C1035" s="979" t="s">
        <v>1061</v>
      </c>
      <c r="D1035" s="979">
        <v>1</v>
      </c>
      <c r="E1035" s="979">
        <v>1771</v>
      </c>
      <c r="F1035" s="979" t="s">
        <v>4847</v>
      </c>
      <c r="G1035" s="979" t="s">
        <v>6261</v>
      </c>
      <c r="H1035" s="1030">
        <v>687500</v>
      </c>
      <c r="I1035" s="1030">
        <v>238420</v>
      </c>
      <c r="J1035" s="1034">
        <v>0.55729826513391334</v>
      </c>
      <c r="K1035" s="1030">
        <v>383142.55727956543</v>
      </c>
      <c r="L1035" s="1030">
        <v>238420</v>
      </c>
      <c r="M1035" s="979">
        <v>599</v>
      </c>
    </row>
    <row r="1036" spans="1:13" ht="15">
      <c r="A1036" s="979" t="s">
        <v>3546</v>
      </c>
      <c r="B1036" s="722" t="str">
        <f>CONCATENATE(LEFT(RIGHT(CONCATENATE("000",IFAData_TEA!A1036),6),3),"-",(RIGHT(RIGHT(CONCATENATE("000",IFAData_TEA!A1036),6),3)))</f>
        <v>105-904</v>
      </c>
      <c r="C1036" s="979" t="s">
        <v>1061</v>
      </c>
      <c r="D1036" s="979">
        <v>1</v>
      </c>
      <c r="E1036" s="979">
        <v>1771</v>
      </c>
      <c r="F1036" s="979" t="s">
        <v>4847</v>
      </c>
      <c r="G1036" s="979" t="s">
        <v>4848</v>
      </c>
      <c r="H1036" s="1030">
        <v>687500</v>
      </c>
      <c r="I1036" s="1030">
        <v>189394</v>
      </c>
      <c r="J1036" s="1034">
        <v>0.44270173486608666</v>
      </c>
      <c r="K1036" s="1030">
        <v>304357.44272043457</v>
      </c>
      <c r="L1036" s="1030">
        <v>189394</v>
      </c>
      <c r="M1036" s="979">
        <v>599</v>
      </c>
    </row>
    <row r="1037" spans="1:13" ht="15">
      <c r="A1037" s="979" t="s">
        <v>3546</v>
      </c>
      <c r="B1037" s="722" t="str">
        <f>CONCATENATE(LEFT(RIGHT(CONCATENATE("000",IFAData_TEA!A1037),6),3),"-",(RIGHT(RIGHT(CONCATENATE("000",IFAData_TEA!A1037),6),3)))</f>
        <v>105-904</v>
      </c>
      <c r="C1037" s="979" t="s">
        <v>1061</v>
      </c>
      <c r="D1037" s="979">
        <v>1</v>
      </c>
      <c r="E1037" s="979">
        <v>1771</v>
      </c>
      <c r="F1037" s="979" t="s">
        <v>4847</v>
      </c>
      <c r="G1037" s="979" t="s">
        <v>4847</v>
      </c>
      <c r="H1037" s="1030">
        <v>687500</v>
      </c>
      <c r="I1037" s="1030">
        <v>0</v>
      </c>
      <c r="J1037" s="1034">
        <v>0</v>
      </c>
      <c r="K1037" s="1030">
        <v>0</v>
      </c>
      <c r="L1037" s="1030">
        <v>0</v>
      </c>
      <c r="M1037" s="979">
        <v>599</v>
      </c>
    </row>
    <row r="1038" spans="1:13" ht="15">
      <c r="A1038" s="979" t="s">
        <v>3547</v>
      </c>
      <c r="B1038" s="722" t="str">
        <f>CONCATENATE(LEFT(RIGHT(CONCATENATE("000",IFAData_TEA!A1038),6),3),"-",(RIGHT(RIGHT(CONCATENATE("000",IFAData_TEA!A1038),6),3)))</f>
        <v>105-906</v>
      </c>
      <c r="C1038" s="979" t="s">
        <v>35</v>
      </c>
      <c r="D1038" s="979">
        <v>9</v>
      </c>
      <c r="E1038" s="979">
        <v>1878</v>
      </c>
      <c r="F1038" s="979" t="s">
        <v>4857</v>
      </c>
      <c r="G1038" s="979" t="s">
        <v>4857</v>
      </c>
      <c r="H1038" s="1030">
        <v>1795685</v>
      </c>
      <c r="I1038" s="1030">
        <v>307781</v>
      </c>
      <c r="J1038" s="1034">
        <v>0.82281624774767548</v>
      </c>
      <c r="K1038" s="1030">
        <v>1477518.7938367845</v>
      </c>
      <c r="L1038" s="1030">
        <v>307781</v>
      </c>
      <c r="M1038" s="979">
        <v>599</v>
      </c>
    </row>
    <row r="1039" spans="1:13" ht="15">
      <c r="A1039" s="979" t="s">
        <v>3547</v>
      </c>
      <c r="B1039" s="722" t="str">
        <f>CONCATENATE(LEFT(RIGHT(CONCATENATE("000",IFAData_TEA!A1039),6),3),"-",(RIGHT(RIGHT(CONCATENATE("000",IFAData_TEA!A1039),6),3)))</f>
        <v>105-906</v>
      </c>
      <c r="C1039" s="979" t="s">
        <v>35</v>
      </c>
      <c r="D1039" s="979">
        <v>9</v>
      </c>
      <c r="E1039" s="979">
        <v>1878</v>
      </c>
      <c r="F1039" s="979" t="s">
        <v>4857</v>
      </c>
      <c r="G1039" s="979" t="s">
        <v>4856</v>
      </c>
      <c r="H1039" s="1030">
        <v>1795685</v>
      </c>
      <c r="I1039" s="1030">
        <v>66277</v>
      </c>
      <c r="J1039" s="1034">
        <v>0.17718375225232449</v>
      </c>
      <c r="K1039" s="1030">
        <v>318166.20616321533</v>
      </c>
      <c r="L1039" s="1030">
        <v>66277</v>
      </c>
      <c r="M1039" s="979">
        <v>599</v>
      </c>
    </row>
    <row r="1040" spans="1:13" ht="15">
      <c r="A1040" s="979" t="s">
        <v>3547</v>
      </c>
      <c r="B1040" s="722" t="str">
        <f>CONCATENATE(LEFT(RIGHT(CONCATENATE("000",IFAData_TEA!A1040),6),3),"-",(RIGHT(RIGHT(CONCATENATE("000",IFAData_TEA!A1040),6),3)))</f>
        <v>105-906</v>
      </c>
      <c r="C1040" s="979" t="s">
        <v>35</v>
      </c>
      <c r="D1040" s="979">
        <v>5</v>
      </c>
      <c r="E1040" s="979">
        <v>1879</v>
      </c>
      <c r="F1040" s="979" t="s">
        <v>4852</v>
      </c>
      <c r="G1040" s="979" t="s">
        <v>4856</v>
      </c>
      <c r="H1040" s="1030">
        <v>1891253</v>
      </c>
      <c r="I1040" s="1030">
        <v>0</v>
      </c>
      <c r="J1040" s="1034">
        <v>0</v>
      </c>
      <c r="K1040" s="1030">
        <v>0</v>
      </c>
      <c r="L1040" s="1030">
        <v>0</v>
      </c>
      <c r="M1040" s="979">
        <v>599</v>
      </c>
    </row>
    <row r="1041" spans="1:13" ht="15">
      <c r="A1041" s="979" t="s">
        <v>3547</v>
      </c>
      <c r="B1041" s="722" t="str">
        <f>CONCATENATE(LEFT(RIGHT(CONCATENATE("000",IFAData_TEA!A1041),6),3),"-",(RIGHT(RIGHT(CONCATENATE("000",IFAData_TEA!A1041),6),3)))</f>
        <v>105-906</v>
      </c>
      <c r="C1041" s="979" t="s">
        <v>35</v>
      </c>
      <c r="D1041" s="979">
        <v>1</v>
      </c>
      <c r="E1041" s="979">
        <v>1876</v>
      </c>
      <c r="F1041" s="979" t="s">
        <v>4849</v>
      </c>
      <c r="G1041" s="979" t="s">
        <v>4849</v>
      </c>
      <c r="H1041" s="1030">
        <v>1147081</v>
      </c>
      <c r="I1041" s="1030">
        <v>0</v>
      </c>
      <c r="J1041" s="1034">
        <v>0</v>
      </c>
      <c r="K1041" s="1030">
        <v>0</v>
      </c>
      <c r="L1041" s="1030">
        <v>0</v>
      </c>
      <c r="M1041" s="979">
        <v>599</v>
      </c>
    </row>
    <row r="1042" spans="1:13" ht="15">
      <c r="A1042" s="979" t="s">
        <v>3547</v>
      </c>
      <c r="B1042" s="722" t="str">
        <f>CONCATENATE(LEFT(RIGHT(CONCATENATE("000",IFAData_TEA!A1042),6),3),"-",(RIGHT(RIGHT(CONCATENATE("000",IFAData_TEA!A1042),6),3)))</f>
        <v>105-906</v>
      </c>
      <c r="C1042" s="979" t="s">
        <v>35</v>
      </c>
      <c r="D1042" s="979">
        <v>1</v>
      </c>
      <c r="E1042" s="979">
        <v>1876</v>
      </c>
      <c r="F1042" s="979" t="s">
        <v>4849</v>
      </c>
      <c r="G1042" s="979" t="s">
        <v>4851</v>
      </c>
      <c r="H1042" s="1030">
        <v>1147081</v>
      </c>
      <c r="I1042" s="1030">
        <v>549402</v>
      </c>
      <c r="J1042" s="1034">
        <v>0.34704516813689729</v>
      </c>
      <c r="K1042" s="1030">
        <v>398088.91851164028</v>
      </c>
      <c r="L1042" s="1030">
        <v>398088.91851164028</v>
      </c>
      <c r="M1042" s="979">
        <v>599</v>
      </c>
    </row>
    <row r="1043" spans="1:13" ht="15">
      <c r="A1043" s="979" t="s">
        <v>3547</v>
      </c>
      <c r="B1043" s="722" t="str">
        <f>CONCATENATE(LEFT(RIGHT(CONCATENATE("000",IFAData_TEA!A1043),6),3),"-",(RIGHT(RIGHT(CONCATENATE("000",IFAData_TEA!A1043),6),3)))</f>
        <v>105-906</v>
      </c>
      <c r="C1043" s="979" t="s">
        <v>35</v>
      </c>
      <c r="D1043" s="979">
        <v>5</v>
      </c>
      <c r="E1043" s="979">
        <v>1879</v>
      </c>
      <c r="F1043" s="979" t="s">
        <v>4852</v>
      </c>
      <c r="G1043" s="979" t="s">
        <v>4851</v>
      </c>
      <c r="H1043" s="1030">
        <v>1891253</v>
      </c>
      <c r="I1043" s="1030">
        <v>2043163</v>
      </c>
      <c r="J1043" s="1034">
        <v>0.34704496022380321</v>
      </c>
      <c r="K1043" s="1030">
        <v>656349.82215814851</v>
      </c>
      <c r="L1043" s="1030">
        <v>656349.82215814851</v>
      </c>
      <c r="M1043" s="979">
        <v>599</v>
      </c>
    </row>
    <row r="1044" spans="1:13" ht="15">
      <c r="A1044" s="979" t="s">
        <v>3547</v>
      </c>
      <c r="B1044" s="722" t="str">
        <f>CONCATENATE(LEFT(RIGHT(CONCATENATE("000",IFAData_TEA!A1044),6),3),"-",(RIGHT(RIGHT(CONCATENATE("000",IFAData_TEA!A1044),6),3)))</f>
        <v>105-906</v>
      </c>
      <c r="C1044" s="979" t="s">
        <v>35</v>
      </c>
      <c r="D1044" s="979">
        <v>5</v>
      </c>
      <c r="E1044" s="979">
        <v>1879</v>
      </c>
      <c r="F1044" s="979" t="s">
        <v>4852</v>
      </c>
      <c r="G1044" s="979" t="s">
        <v>4852</v>
      </c>
      <c r="H1044" s="1030">
        <v>1891253</v>
      </c>
      <c r="I1044" s="1030">
        <v>0</v>
      </c>
      <c r="J1044" s="1034">
        <v>0</v>
      </c>
      <c r="K1044" s="1030">
        <v>0</v>
      </c>
      <c r="L1044" s="1030">
        <v>0</v>
      </c>
      <c r="M1044" s="979">
        <v>599</v>
      </c>
    </row>
    <row r="1045" spans="1:13" ht="15">
      <c r="A1045" s="979" t="s">
        <v>3547</v>
      </c>
      <c r="B1045" s="722" t="str">
        <f>CONCATENATE(LEFT(RIGHT(CONCATENATE("000",IFAData_TEA!A1045),6),3),"-",(RIGHT(RIGHT(CONCATENATE("000",IFAData_TEA!A1045),6),3)))</f>
        <v>105-906</v>
      </c>
      <c r="C1045" s="979" t="s">
        <v>35</v>
      </c>
      <c r="D1045" s="979">
        <v>5</v>
      </c>
      <c r="E1045" s="979">
        <v>1879</v>
      </c>
      <c r="F1045" s="979" t="s">
        <v>4852</v>
      </c>
      <c r="G1045" s="979" t="s">
        <v>4855</v>
      </c>
      <c r="H1045" s="1030">
        <v>1891253</v>
      </c>
      <c r="I1045" s="1030">
        <v>0</v>
      </c>
      <c r="J1045" s="1034">
        <v>0</v>
      </c>
      <c r="K1045" s="1030">
        <v>0</v>
      </c>
      <c r="L1045" s="1030">
        <v>0</v>
      </c>
      <c r="M1045" s="979">
        <v>599</v>
      </c>
    </row>
    <row r="1046" spans="1:13" ht="15">
      <c r="A1046" s="979" t="s">
        <v>3547</v>
      </c>
      <c r="B1046" s="722" t="str">
        <f>CONCATENATE(LEFT(RIGHT(CONCATENATE("000",IFAData_TEA!A1046),6),3),"-",(RIGHT(RIGHT(CONCATENATE("000",IFAData_TEA!A1046),6),3)))</f>
        <v>105-906</v>
      </c>
      <c r="C1046" s="979" t="s">
        <v>35</v>
      </c>
      <c r="D1046" s="979">
        <v>5</v>
      </c>
      <c r="E1046" s="979">
        <v>1879</v>
      </c>
      <c r="F1046" s="979" t="s">
        <v>4852</v>
      </c>
      <c r="G1046" s="979" t="s">
        <v>4854</v>
      </c>
      <c r="H1046" s="1030">
        <v>1891253</v>
      </c>
      <c r="I1046" s="1030">
        <v>0</v>
      </c>
      <c r="J1046" s="1034">
        <v>0</v>
      </c>
      <c r="K1046" s="1030">
        <v>0</v>
      </c>
      <c r="L1046" s="1030">
        <v>0</v>
      </c>
      <c r="M1046" s="979">
        <v>599</v>
      </c>
    </row>
    <row r="1047" spans="1:13" ht="15">
      <c r="A1047" s="979" t="s">
        <v>3547</v>
      </c>
      <c r="B1047" s="722" t="str">
        <f>CONCATENATE(LEFT(RIGHT(CONCATENATE("000",IFAData_TEA!A1047),6),3),"-",(RIGHT(RIGHT(CONCATENATE("000",IFAData_TEA!A1047),6),3)))</f>
        <v>105-906</v>
      </c>
      <c r="C1047" s="979" t="s">
        <v>35</v>
      </c>
      <c r="D1047" s="979">
        <v>1</v>
      </c>
      <c r="E1047" s="979">
        <v>1876</v>
      </c>
      <c r="F1047" s="979" t="s">
        <v>4849</v>
      </c>
      <c r="G1047" s="979" t="s">
        <v>4850</v>
      </c>
      <c r="H1047" s="1030">
        <v>1147081</v>
      </c>
      <c r="I1047" s="1030">
        <v>1033683</v>
      </c>
      <c r="J1047" s="1034">
        <v>0.65295483186310277</v>
      </c>
      <c r="K1047" s="1030">
        <v>748992.08148835984</v>
      </c>
      <c r="L1047" s="1030">
        <v>748992.08148835984</v>
      </c>
      <c r="M1047" s="979">
        <v>599</v>
      </c>
    </row>
    <row r="1048" spans="1:13" ht="15">
      <c r="A1048" s="979" t="s">
        <v>3547</v>
      </c>
      <c r="B1048" s="722" t="str">
        <f>CONCATENATE(LEFT(RIGHT(CONCATENATE("000",IFAData_TEA!A1048),6),3),"-",(RIGHT(RIGHT(CONCATENATE("000",IFAData_TEA!A1048),6),3)))</f>
        <v>105-906</v>
      </c>
      <c r="C1048" s="979" t="s">
        <v>35</v>
      </c>
      <c r="D1048" s="979">
        <v>5</v>
      </c>
      <c r="E1048" s="979">
        <v>1879</v>
      </c>
      <c r="F1048" s="979" t="s">
        <v>4852</v>
      </c>
      <c r="G1048" s="979" t="s">
        <v>4850</v>
      </c>
      <c r="H1048" s="1030">
        <v>1891253</v>
      </c>
      <c r="I1048" s="1030">
        <v>3844152</v>
      </c>
      <c r="J1048" s="1034">
        <v>0.65295503977619684</v>
      </c>
      <c r="K1048" s="1030">
        <v>1234903.1778418517</v>
      </c>
      <c r="L1048" s="1030">
        <v>1234903.1778418517</v>
      </c>
      <c r="M1048" s="979">
        <v>599</v>
      </c>
    </row>
    <row r="1049" spans="1:13" ht="15">
      <c r="A1049" s="979" t="s">
        <v>3547</v>
      </c>
      <c r="B1049" s="722" t="str">
        <f>CONCATENATE(LEFT(RIGHT(CONCATENATE("000",IFAData_TEA!A1049),6),3),"-",(RIGHT(RIGHT(CONCATENATE("000",IFAData_TEA!A1049),6),3)))</f>
        <v>105-906</v>
      </c>
      <c r="C1049" s="979" t="s">
        <v>35</v>
      </c>
      <c r="D1049" s="979">
        <v>5</v>
      </c>
      <c r="E1049" s="979">
        <v>1879</v>
      </c>
      <c r="F1049" s="979" t="s">
        <v>4852</v>
      </c>
      <c r="G1049" s="979" t="s">
        <v>4853</v>
      </c>
      <c r="H1049" s="1030">
        <v>1891253</v>
      </c>
      <c r="I1049" s="1030">
        <v>0</v>
      </c>
      <c r="J1049" s="1034">
        <v>0</v>
      </c>
      <c r="K1049" s="1030">
        <v>0</v>
      </c>
      <c r="L1049" s="1030">
        <v>0</v>
      </c>
      <c r="M1049" s="979">
        <v>599</v>
      </c>
    </row>
    <row r="1050" spans="1:13" ht="15">
      <c r="A1050" s="979" t="s">
        <v>3547</v>
      </c>
      <c r="B1050" s="722" t="str">
        <f>CONCATENATE(LEFT(RIGHT(CONCATENATE("000",IFAData_TEA!A1050),6),3),"-",(RIGHT(RIGHT(CONCATENATE("000",IFAData_TEA!A1050),6),3)))</f>
        <v>105-906</v>
      </c>
      <c r="C1050" s="979" t="s">
        <v>35</v>
      </c>
      <c r="D1050" s="979">
        <v>9</v>
      </c>
      <c r="E1050" s="979">
        <v>1877</v>
      </c>
      <c r="F1050" s="979" t="s">
        <v>4858</v>
      </c>
      <c r="G1050" s="979" t="s">
        <v>4858</v>
      </c>
      <c r="H1050" s="1030">
        <v>1578006</v>
      </c>
      <c r="I1050" s="1030">
        <v>4877742</v>
      </c>
      <c r="J1050" s="1034">
        <v>1</v>
      </c>
      <c r="K1050" s="1030">
        <v>1578006</v>
      </c>
      <c r="L1050" s="1030">
        <v>1578006</v>
      </c>
      <c r="M1050" s="979">
        <v>599</v>
      </c>
    </row>
    <row r="1051" spans="1:13" ht="15">
      <c r="A1051" s="979" t="s">
        <v>3548</v>
      </c>
      <c r="B1051" s="722" t="str">
        <f>CONCATENATE(LEFT(RIGHT(CONCATENATE("000",IFAData_TEA!A1051),6),3),"-",(RIGHT(RIGHT(CONCATENATE("000",IFAData_TEA!A1051),6),3)))</f>
        <v>107-907</v>
      </c>
      <c r="C1051" s="979" t="s">
        <v>607</v>
      </c>
      <c r="D1051" s="979">
        <v>3</v>
      </c>
      <c r="E1051" s="979">
        <v>2401</v>
      </c>
      <c r="F1051" s="979" t="s">
        <v>4859</v>
      </c>
      <c r="G1051" s="979" t="s">
        <v>4860</v>
      </c>
      <c r="H1051" s="1030">
        <v>68908</v>
      </c>
      <c r="I1051" s="1030">
        <v>37745</v>
      </c>
      <c r="J1051" s="1034">
        <v>1</v>
      </c>
      <c r="K1051" s="1030">
        <v>68908</v>
      </c>
      <c r="L1051" s="1030">
        <v>37745</v>
      </c>
      <c r="M1051" s="979">
        <v>599</v>
      </c>
    </row>
    <row r="1052" spans="1:13" ht="15">
      <c r="A1052" s="979" t="s">
        <v>3548</v>
      </c>
      <c r="B1052" s="722" t="str">
        <f>CONCATENATE(LEFT(RIGHT(CONCATENATE("000",IFAData_TEA!A1052),6),3),"-",(RIGHT(RIGHT(CONCATENATE("000",IFAData_TEA!A1052),6),3)))</f>
        <v>107-907</v>
      </c>
      <c r="C1052" s="979" t="s">
        <v>607</v>
      </c>
      <c r="D1052" s="979">
        <v>3</v>
      </c>
      <c r="E1052" s="979">
        <v>2401</v>
      </c>
      <c r="F1052" s="979" t="s">
        <v>4859</v>
      </c>
      <c r="G1052" s="979" t="s">
        <v>4859</v>
      </c>
      <c r="H1052" s="1030">
        <v>68908</v>
      </c>
      <c r="I1052" s="1030">
        <v>0</v>
      </c>
      <c r="J1052" s="1034">
        <v>0</v>
      </c>
      <c r="K1052" s="1030">
        <v>0</v>
      </c>
      <c r="L1052" s="1030">
        <v>0</v>
      </c>
      <c r="M1052" s="979">
        <v>599</v>
      </c>
    </row>
    <row r="1053" spans="1:13" ht="15">
      <c r="A1053" s="979" t="s">
        <v>4861</v>
      </c>
      <c r="B1053" s="722" t="str">
        <f>CONCATENATE(LEFT(RIGHT(CONCATENATE("000",IFAData_TEA!A1053),6),3),"-",(RIGHT(RIGHT(CONCATENATE("000",IFAData_TEA!A1053),6),3)))</f>
        <v>107-908</v>
      </c>
      <c r="C1053" s="979" t="s">
        <v>2105</v>
      </c>
      <c r="D1053" s="979">
        <v>5</v>
      </c>
      <c r="E1053" s="979">
        <v>2124</v>
      </c>
      <c r="F1053" s="979" t="s">
        <v>4862</v>
      </c>
      <c r="G1053" s="979" t="s">
        <v>4862</v>
      </c>
      <c r="H1053" s="1030">
        <v>100000</v>
      </c>
      <c r="I1053" s="1030">
        <v>102760</v>
      </c>
      <c r="J1053" s="1034">
        <v>1</v>
      </c>
      <c r="K1053" s="1030">
        <v>100000</v>
      </c>
      <c r="L1053" s="1030">
        <v>100000</v>
      </c>
      <c r="M1053" s="979">
        <v>199</v>
      </c>
    </row>
    <row r="1054" spans="1:13" ht="15">
      <c r="A1054" s="979" t="s">
        <v>3549</v>
      </c>
      <c r="B1054" s="722" t="str">
        <f>CONCATENATE(LEFT(RIGHT(CONCATENATE("000",IFAData_TEA!A1054),6),3),"-",(RIGHT(RIGHT(CONCATENATE("000",IFAData_TEA!A1054),6),3)))</f>
        <v>108-902</v>
      </c>
      <c r="C1054" s="979" t="s">
        <v>32</v>
      </c>
      <c r="D1054" s="979">
        <v>2</v>
      </c>
      <c r="E1054" s="979">
        <v>1769</v>
      </c>
      <c r="F1054" s="979" t="s">
        <v>4863</v>
      </c>
      <c r="G1054" s="979" t="s">
        <v>6262</v>
      </c>
      <c r="H1054" s="1030">
        <v>2278200</v>
      </c>
      <c r="I1054" s="1030">
        <v>290425</v>
      </c>
      <c r="J1054" s="1034">
        <v>0.13816327171388584</v>
      </c>
      <c r="K1054" s="1030">
        <v>314763.56561857474</v>
      </c>
      <c r="L1054" s="1030">
        <v>290425</v>
      </c>
      <c r="M1054" s="979">
        <v>599</v>
      </c>
    </row>
    <row r="1055" spans="1:13" ht="15">
      <c r="A1055" s="979" t="s">
        <v>3549</v>
      </c>
      <c r="B1055" s="722" t="str">
        <f>CONCATENATE(LEFT(RIGHT(CONCATENATE("000",IFAData_TEA!A1055),6),3),"-",(RIGHT(RIGHT(CONCATENATE("000",IFAData_TEA!A1055),6),3)))</f>
        <v>108-902</v>
      </c>
      <c r="C1055" s="979" t="s">
        <v>32</v>
      </c>
      <c r="D1055" s="979">
        <v>7</v>
      </c>
      <c r="E1055" s="979">
        <v>1766</v>
      </c>
      <c r="F1055" s="979" t="s">
        <v>4870</v>
      </c>
      <c r="G1055" s="979" t="s">
        <v>4871</v>
      </c>
      <c r="H1055" s="1030">
        <v>1010853</v>
      </c>
      <c r="I1055" s="1030">
        <v>639275</v>
      </c>
      <c r="J1055" s="1034">
        <v>0.70381481889243647</v>
      </c>
      <c r="K1055" s="1030">
        <v>711453.32112187613</v>
      </c>
      <c r="L1055" s="1030">
        <v>639275</v>
      </c>
      <c r="M1055" s="979">
        <v>599</v>
      </c>
    </row>
    <row r="1056" spans="1:13" ht="15">
      <c r="A1056" s="979" t="s">
        <v>3549</v>
      </c>
      <c r="B1056" s="722" t="str">
        <f>CONCATENATE(LEFT(RIGHT(CONCATENATE("000",IFAData_TEA!A1056),6),3),"-",(RIGHT(RIGHT(CONCATENATE("000",IFAData_TEA!A1056),6),3)))</f>
        <v>108-902</v>
      </c>
      <c r="C1056" s="979" t="s">
        <v>32</v>
      </c>
      <c r="D1056" s="979">
        <v>7</v>
      </c>
      <c r="E1056" s="979">
        <v>1766</v>
      </c>
      <c r="F1056" s="979" t="s">
        <v>4870</v>
      </c>
      <c r="G1056" s="979" t="s">
        <v>4869</v>
      </c>
      <c r="H1056" s="1030">
        <v>1010853</v>
      </c>
      <c r="I1056" s="1030">
        <v>269025</v>
      </c>
      <c r="J1056" s="1034">
        <v>0.29618518110756359</v>
      </c>
      <c r="K1056" s="1030">
        <v>299399.67887812399</v>
      </c>
      <c r="L1056" s="1030">
        <v>269025</v>
      </c>
      <c r="M1056" s="979">
        <v>599</v>
      </c>
    </row>
    <row r="1057" spans="1:13" ht="15">
      <c r="A1057" s="979" t="s">
        <v>3549</v>
      </c>
      <c r="B1057" s="722" t="str">
        <f>CONCATENATE(LEFT(RIGHT(CONCATENATE("000",IFAData_TEA!A1057),6),3),"-",(RIGHT(RIGHT(CONCATENATE("000",IFAData_TEA!A1057),6),3)))</f>
        <v>108-902</v>
      </c>
      <c r="C1057" s="979" t="s">
        <v>32</v>
      </c>
      <c r="D1057" s="979">
        <v>6</v>
      </c>
      <c r="E1057" s="979">
        <v>1767</v>
      </c>
      <c r="F1057" s="979" t="s">
        <v>4868</v>
      </c>
      <c r="G1057" s="979" t="s">
        <v>4869</v>
      </c>
      <c r="H1057" s="1030">
        <v>1121326</v>
      </c>
      <c r="I1057" s="1030">
        <v>96700</v>
      </c>
      <c r="J1057" s="1034">
        <v>9.3842495996894565E-2</v>
      </c>
      <c r="K1057" s="1030">
        <v>105228.03066621379</v>
      </c>
      <c r="L1057" s="1030">
        <v>96700</v>
      </c>
      <c r="M1057" s="979">
        <v>599</v>
      </c>
    </row>
    <row r="1058" spans="1:13" ht="15">
      <c r="A1058" s="979" t="s">
        <v>3549</v>
      </c>
      <c r="B1058" s="722" t="str">
        <f>CONCATENATE(LEFT(RIGHT(CONCATENATE("000",IFAData_TEA!A1058),6),3),"-",(RIGHT(RIGHT(CONCATENATE("000",IFAData_TEA!A1058),6),3)))</f>
        <v>108-902</v>
      </c>
      <c r="C1058" s="979" t="s">
        <v>32</v>
      </c>
      <c r="D1058" s="979">
        <v>6</v>
      </c>
      <c r="E1058" s="979">
        <v>1767</v>
      </c>
      <c r="F1058" s="979" t="s">
        <v>4868</v>
      </c>
      <c r="G1058" s="979" t="s">
        <v>4867</v>
      </c>
      <c r="H1058" s="1030">
        <v>1121326</v>
      </c>
      <c r="I1058" s="1030">
        <v>690300</v>
      </c>
      <c r="J1058" s="1034">
        <v>0.66990149934494636</v>
      </c>
      <c r="K1058" s="1030">
        <v>751177.96865447133</v>
      </c>
      <c r="L1058" s="1030">
        <v>690300</v>
      </c>
      <c r="M1058" s="979">
        <v>599</v>
      </c>
    </row>
    <row r="1059" spans="1:13" ht="15">
      <c r="A1059" s="979" t="s">
        <v>3549</v>
      </c>
      <c r="B1059" s="722" t="str">
        <f>CONCATENATE(LEFT(RIGHT(CONCATENATE("000",IFAData_TEA!A1059),6),3),"-",(RIGHT(RIGHT(CONCATENATE("000",IFAData_TEA!A1059),6),3)))</f>
        <v>108-902</v>
      </c>
      <c r="C1059" s="979" t="s">
        <v>32</v>
      </c>
      <c r="D1059" s="979">
        <v>4</v>
      </c>
      <c r="E1059" s="979">
        <v>1768</v>
      </c>
      <c r="F1059" s="979" t="s">
        <v>4865</v>
      </c>
      <c r="G1059" s="979" t="s">
        <v>4867</v>
      </c>
      <c r="H1059" s="1030">
        <v>2119597</v>
      </c>
      <c r="I1059" s="1030">
        <v>5400</v>
      </c>
      <c r="J1059" s="1034">
        <v>2.6439638305747978E-3</v>
      </c>
      <c r="K1059" s="1030">
        <v>5604.1378033948495</v>
      </c>
      <c r="L1059" s="1030">
        <v>5400</v>
      </c>
      <c r="M1059" s="979">
        <v>599</v>
      </c>
    </row>
    <row r="1060" spans="1:13" ht="15">
      <c r="A1060" s="979" t="s">
        <v>3549</v>
      </c>
      <c r="B1060" s="722" t="str">
        <f>CONCATENATE(LEFT(RIGHT(CONCATENATE("000",IFAData_TEA!A1060),6),3),"-",(RIGHT(RIGHT(CONCATENATE("000",IFAData_TEA!A1060),6),3)))</f>
        <v>108-902</v>
      </c>
      <c r="C1060" s="979" t="s">
        <v>32</v>
      </c>
      <c r="D1060" s="979">
        <v>2</v>
      </c>
      <c r="E1060" s="979">
        <v>1769</v>
      </c>
      <c r="F1060" s="979" t="s">
        <v>4863</v>
      </c>
      <c r="G1060" s="979" t="s">
        <v>4864</v>
      </c>
      <c r="H1060" s="1030">
        <v>2278200</v>
      </c>
      <c r="I1060" s="1030">
        <v>1811617</v>
      </c>
      <c r="J1060" s="1034">
        <v>0.86183672828611413</v>
      </c>
      <c r="K1060" s="1030">
        <v>1963436.4343814251</v>
      </c>
      <c r="L1060" s="1030">
        <v>1811617</v>
      </c>
      <c r="M1060" s="979">
        <v>599</v>
      </c>
    </row>
    <row r="1061" spans="1:13" ht="15">
      <c r="A1061" s="979" t="s">
        <v>3549</v>
      </c>
      <c r="B1061" s="722" t="str">
        <f>CONCATENATE(LEFT(RIGHT(CONCATENATE("000",IFAData_TEA!A1061),6),3),"-",(RIGHT(RIGHT(CONCATENATE("000",IFAData_TEA!A1061),6),3)))</f>
        <v>108-902</v>
      </c>
      <c r="C1061" s="979" t="s">
        <v>32</v>
      </c>
      <c r="D1061" s="979">
        <v>4</v>
      </c>
      <c r="E1061" s="979">
        <v>1768</v>
      </c>
      <c r="F1061" s="979" t="s">
        <v>4865</v>
      </c>
      <c r="G1061" s="979" t="s">
        <v>4865</v>
      </c>
      <c r="H1061" s="1030">
        <v>2119597</v>
      </c>
      <c r="I1061" s="1030">
        <v>0</v>
      </c>
      <c r="J1061" s="1034">
        <v>0</v>
      </c>
      <c r="K1061" s="1030">
        <v>0</v>
      </c>
      <c r="L1061" s="1030">
        <v>0</v>
      </c>
      <c r="M1061" s="979">
        <v>599</v>
      </c>
    </row>
    <row r="1062" spans="1:13" ht="15">
      <c r="A1062" s="979" t="s">
        <v>3549</v>
      </c>
      <c r="B1062" s="722" t="str">
        <f>CONCATENATE(LEFT(RIGHT(CONCATENATE("000",IFAData_TEA!A1062),6),3),"-",(RIGHT(RIGHT(CONCATENATE("000",IFAData_TEA!A1062),6),3)))</f>
        <v>108-902</v>
      </c>
      <c r="C1062" s="979" t="s">
        <v>32</v>
      </c>
      <c r="D1062" s="979">
        <v>10</v>
      </c>
      <c r="E1062" s="979">
        <v>1770</v>
      </c>
      <c r="F1062" s="979" t="s">
        <v>4872</v>
      </c>
      <c r="G1062" s="979" t="s">
        <v>4872</v>
      </c>
      <c r="H1062" s="1030">
        <v>2922800</v>
      </c>
      <c r="I1062" s="1030">
        <v>2921000</v>
      </c>
      <c r="J1062" s="1034">
        <v>1</v>
      </c>
      <c r="K1062" s="1030">
        <v>2922800</v>
      </c>
      <c r="L1062" s="1030">
        <v>2921000</v>
      </c>
      <c r="M1062" s="979">
        <v>599</v>
      </c>
    </row>
    <row r="1063" spans="1:13" ht="15">
      <c r="A1063" s="979" t="s">
        <v>3549</v>
      </c>
      <c r="B1063" s="722" t="str">
        <f>CONCATENATE(LEFT(RIGHT(CONCATENATE("000",IFAData_TEA!A1063),6),3),"-",(RIGHT(RIGHT(CONCATENATE("000",IFAData_TEA!A1063),6),3)))</f>
        <v>108-902</v>
      </c>
      <c r="C1063" s="979" t="s">
        <v>32</v>
      </c>
      <c r="D1063" s="979">
        <v>2</v>
      </c>
      <c r="E1063" s="979">
        <v>1769</v>
      </c>
      <c r="F1063" s="979" t="s">
        <v>4863</v>
      </c>
      <c r="G1063" s="979" t="s">
        <v>4863</v>
      </c>
      <c r="H1063" s="1030">
        <v>2278200</v>
      </c>
      <c r="I1063" s="1030">
        <v>0</v>
      </c>
      <c r="J1063" s="1034">
        <v>0</v>
      </c>
      <c r="K1063" s="1030">
        <v>0</v>
      </c>
      <c r="L1063" s="1030">
        <v>0</v>
      </c>
      <c r="M1063" s="979">
        <v>599</v>
      </c>
    </row>
    <row r="1064" spans="1:13" ht="15">
      <c r="A1064" s="979" t="s">
        <v>3549</v>
      </c>
      <c r="B1064" s="722" t="str">
        <f>CONCATENATE(LEFT(RIGHT(CONCATENATE("000",IFAData_TEA!A1064),6),3),"-",(RIGHT(RIGHT(CONCATENATE("000",IFAData_TEA!A1064),6),3)))</f>
        <v>108-902</v>
      </c>
      <c r="C1064" s="979" t="s">
        <v>32</v>
      </c>
      <c r="D1064" s="979">
        <v>7</v>
      </c>
      <c r="E1064" s="979">
        <v>1766</v>
      </c>
      <c r="F1064" s="979" t="s">
        <v>4870</v>
      </c>
      <c r="G1064" s="979" t="s">
        <v>4870</v>
      </c>
      <c r="H1064" s="1030">
        <v>1010853</v>
      </c>
      <c r="I1064" s="1030">
        <v>0</v>
      </c>
      <c r="J1064" s="1034">
        <v>0</v>
      </c>
      <c r="K1064" s="1030">
        <v>0</v>
      </c>
      <c r="L1064" s="1030">
        <v>0</v>
      </c>
      <c r="M1064" s="979">
        <v>599</v>
      </c>
    </row>
    <row r="1065" spans="1:13" ht="15">
      <c r="A1065" s="979" t="s">
        <v>3549</v>
      </c>
      <c r="B1065" s="722" t="str">
        <f>CONCATENATE(LEFT(RIGHT(CONCATENATE("000",IFAData_TEA!A1065),6),3),"-",(RIGHT(RIGHT(CONCATENATE("000",IFAData_TEA!A1065),6),3)))</f>
        <v>108-902</v>
      </c>
      <c r="C1065" s="979" t="s">
        <v>32</v>
      </c>
      <c r="D1065" s="979">
        <v>6</v>
      </c>
      <c r="E1065" s="979">
        <v>1767</v>
      </c>
      <c r="F1065" s="979" t="s">
        <v>4868</v>
      </c>
      <c r="G1065" s="979" t="s">
        <v>4868</v>
      </c>
      <c r="H1065" s="1030">
        <v>1121326</v>
      </c>
      <c r="I1065" s="1030">
        <v>243450</v>
      </c>
      <c r="J1065" s="1034">
        <v>0.23625600465815905</v>
      </c>
      <c r="K1065" s="1030">
        <v>264920.00067931483</v>
      </c>
      <c r="L1065" s="1030">
        <v>243450</v>
      </c>
      <c r="M1065" s="979">
        <v>599</v>
      </c>
    </row>
    <row r="1066" spans="1:13" ht="15">
      <c r="A1066" s="979" t="s">
        <v>3549</v>
      </c>
      <c r="B1066" s="722" t="str">
        <f>CONCATENATE(LEFT(RIGHT(CONCATENATE("000",IFAData_TEA!A1066),6),3),"-",(RIGHT(RIGHT(CONCATENATE("000",IFAData_TEA!A1066),6),3)))</f>
        <v>108-902</v>
      </c>
      <c r="C1066" s="979" t="s">
        <v>32</v>
      </c>
      <c r="D1066" s="979">
        <v>4</v>
      </c>
      <c r="E1066" s="979">
        <v>1768</v>
      </c>
      <c r="F1066" s="979" t="s">
        <v>4865</v>
      </c>
      <c r="G1066" s="979" t="s">
        <v>4864</v>
      </c>
      <c r="H1066" s="1030">
        <v>2119597</v>
      </c>
      <c r="I1066" s="1030">
        <v>1242884</v>
      </c>
      <c r="J1066" s="1034">
        <v>0.60854450770372726</v>
      </c>
      <c r="K1066" s="1030">
        <v>1289869.1128952971</v>
      </c>
      <c r="L1066" s="1030">
        <v>1242884</v>
      </c>
      <c r="M1066" s="979">
        <v>599</v>
      </c>
    </row>
    <row r="1067" spans="1:13" ht="15">
      <c r="A1067" s="979" t="s">
        <v>3549</v>
      </c>
      <c r="B1067" s="722" t="str">
        <f>CONCATENATE(LEFT(RIGHT(CONCATENATE("000",IFAData_TEA!A1067),6),3),"-",(RIGHT(RIGHT(CONCATENATE("000",IFAData_TEA!A1067),6),3)))</f>
        <v>108-902</v>
      </c>
      <c r="C1067" s="979" t="s">
        <v>32</v>
      </c>
      <c r="D1067" s="979">
        <v>4</v>
      </c>
      <c r="E1067" s="979">
        <v>1768</v>
      </c>
      <c r="F1067" s="979" t="s">
        <v>4865</v>
      </c>
      <c r="G1067" s="979" t="s">
        <v>4866</v>
      </c>
      <c r="H1067" s="1030">
        <v>2119597</v>
      </c>
      <c r="I1067" s="1030">
        <v>446830</v>
      </c>
      <c r="J1067" s="1034">
        <v>0.21877821452143276</v>
      </c>
      <c r="K1067" s="1030">
        <v>463721.6471649853</v>
      </c>
      <c r="L1067" s="1030">
        <v>446830</v>
      </c>
      <c r="M1067" s="979">
        <v>599</v>
      </c>
    </row>
    <row r="1068" spans="1:13" ht="15">
      <c r="A1068" s="979" t="s">
        <v>3549</v>
      </c>
      <c r="B1068" s="722" t="str">
        <f>CONCATENATE(LEFT(RIGHT(CONCATENATE("000",IFAData_TEA!A1068),6),3),"-",(RIGHT(RIGHT(CONCATENATE("000",IFAData_TEA!A1068),6),3)))</f>
        <v>108-902</v>
      </c>
      <c r="C1068" s="979" t="s">
        <v>32</v>
      </c>
      <c r="D1068" s="979">
        <v>4</v>
      </c>
      <c r="E1068" s="979">
        <v>1768</v>
      </c>
      <c r="F1068" s="979" t="s">
        <v>4865</v>
      </c>
      <c r="G1068" s="979" t="s">
        <v>6262</v>
      </c>
      <c r="H1068" s="1030">
        <v>2119597</v>
      </c>
      <c r="I1068" s="1030">
        <v>347274</v>
      </c>
      <c r="J1068" s="1034">
        <v>0.17003331394426524</v>
      </c>
      <c r="K1068" s="1030">
        <v>360402.10213632276</v>
      </c>
      <c r="L1068" s="1030">
        <v>347274</v>
      </c>
      <c r="M1068" s="979">
        <v>599</v>
      </c>
    </row>
    <row r="1069" spans="1:13" ht="15">
      <c r="A1069" s="979" t="s">
        <v>3550</v>
      </c>
      <c r="B1069" s="722" t="str">
        <f>CONCATENATE(LEFT(RIGHT(CONCATENATE("000",IFAData_TEA!A1069),6),3),"-",(RIGHT(RIGHT(CONCATENATE("000",IFAData_TEA!A1069),6),3)))</f>
        <v>108-903</v>
      </c>
      <c r="C1069" s="979" t="s">
        <v>1066</v>
      </c>
      <c r="D1069" s="979">
        <v>4</v>
      </c>
      <c r="E1069" s="979">
        <v>1787</v>
      </c>
      <c r="F1069" s="979" t="s">
        <v>4876</v>
      </c>
      <c r="G1069" s="979" t="s">
        <v>6263</v>
      </c>
      <c r="H1069" s="1030">
        <v>1123190</v>
      </c>
      <c r="I1069" s="1030">
        <v>197848</v>
      </c>
      <c r="J1069" s="1034">
        <v>0.18709260728500682</v>
      </c>
      <c r="K1069" s="1030">
        <v>210140.54557644681</v>
      </c>
      <c r="L1069" s="1030">
        <v>197848</v>
      </c>
      <c r="M1069" s="979">
        <v>599</v>
      </c>
    </row>
    <row r="1070" spans="1:13" ht="15">
      <c r="A1070" s="979" t="s">
        <v>3550</v>
      </c>
      <c r="B1070" s="722" t="str">
        <f>CONCATENATE(LEFT(RIGHT(CONCATENATE("000",IFAData_TEA!A1070),6),3),"-",(RIGHT(RIGHT(CONCATENATE("000",IFAData_TEA!A1070),6),3)))</f>
        <v>108-903</v>
      </c>
      <c r="C1070" s="979" t="s">
        <v>1066</v>
      </c>
      <c r="D1070" s="979">
        <v>1</v>
      </c>
      <c r="E1070" s="979">
        <v>1786</v>
      </c>
      <c r="F1070" s="979" t="s">
        <v>4873</v>
      </c>
      <c r="G1070" s="979" t="s">
        <v>6263</v>
      </c>
      <c r="H1070" s="1030">
        <v>1057575</v>
      </c>
      <c r="I1070" s="1030">
        <v>177772</v>
      </c>
      <c r="J1070" s="1034">
        <v>0.18709218425062935</v>
      </c>
      <c r="K1070" s="1030">
        <v>197864.01675885933</v>
      </c>
      <c r="L1070" s="1030">
        <v>177772</v>
      </c>
      <c r="M1070" s="979">
        <v>599</v>
      </c>
    </row>
    <row r="1071" spans="1:13" ht="15">
      <c r="A1071" s="979" t="s">
        <v>3550</v>
      </c>
      <c r="B1071" s="722" t="str">
        <f>CONCATENATE(LEFT(RIGHT(CONCATENATE("000",IFAData_TEA!A1071),6),3),"-",(RIGHT(RIGHT(CONCATENATE("000",IFAData_TEA!A1071),6),3)))</f>
        <v>108-903</v>
      </c>
      <c r="C1071" s="979" t="s">
        <v>1066</v>
      </c>
      <c r="D1071" s="979">
        <v>8</v>
      </c>
      <c r="E1071" s="979">
        <v>1788</v>
      </c>
      <c r="F1071" s="979" t="s">
        <v>4878</v>
      </c>
      <c r="G1071" s="979" t="s">
        <v>4878</v>
      </c>
      <c r="H1071" s="1030">
        <v>1293870</v>
      </c>
      <c r="I1071" s="1030">
        <v>540063</v>
      </c>
      <c r="J1071" s="1034">
        <v>0.41766469149780289</v>
      </c>
      <c r="K1071" s="1030">
        <v>540403.81438826222</v>
      </c>
      <c r="L1071" s="1030">
        <v>540063</v>
      </c>
      <c r="M1071" s="979">
        <v>599</v>
      </c>
    </row>
    <row r="1072" spans="1:13" ht="15">
      <c r="A1072" s="979" t="s">
        <v>3550</v>
      </c>
      <c r="B1072" s="722" t="str">
        <f>CONCATENATE(LEFT(RIGHT(CONCATENATE("000",IFAData_TEA!A1072),6),3),"-",(RIGHT(RIGHT(CONCATENATE("000",IFAData_TEA!A1072),6),3)))</f>
        <v>108-903</v>
      </c>
      <c r="C1072" s="979" t="s">
        <v>1066</v>
      </c>
      <c r="D1072" s="979">
        <v>1</v>
      </c>
      <c r="E1072" s="979">
        <v>1786</v>
      </c>
      <c r="F1072" s="979" t="s">
        <v>4873</v>
      </c>
      <c r="G1072" s="979" t="s">
        <v>4875</v>
      </c>
      <c r="H1072" s="1030">
        <v>1057575</v>
      </c>
      <c r="I1072" s="1030">
        <v>199983</v>
      </c>
      <c r="J1072" s="1034">
        <v>0.21046765679068474</v>
      </c>
      <c r="K1072" s="1030">
        <v>222585.33213040841</v>
      </c>
      <c r="L1072" s="1030">
        <v>199983</v>
      </c>
      <c r="M1072" s="979">
        <v>599</v>
      </c>
    </row>
    <row r="1073" spans="1:13" ht="15">
      <c r="A1073" s="979" t="s">
        <v>3550</v>
      </c>
      <c r="B1073" s="722" t="str">
        <f>CONCATENATE(LEFT(RIGHT(CONCATENATE("000",IFAData_TEA!A1073),6),3),"-",(RIGHT(RIGHT(CONCATENATE("000",IFAData_TEA!A1073),6),3)))</f>
        <v>108-903</v>
      </c>
      <c r="C1073" s="979" t="s">
        <v>1066</v>
      </c>
      <c r="D1073" s="979">
        <v>4</v>
      </c>
      <c r="E1073" s="979">
        <v>1787</v>
      </c>
      <c r="F1073" s="979" t="s">
        <v>4876</v>
      </c>
      <c r="G1073" s="979" t="s">
        <v>4875</v>
      </c>
      <c r="H1073" s="1030">
        <v>1123190</v>
      </c>
      <c r="I1073" s="1030">
        <v>222567</v>
      </c>
      <c r="J1073" s="1034">
        <v>0.21046783553840379</v>
      </c>
      <c r="K1073" s="1030">
        <v>236395.36819837976</v>
      </c>
      <c r="L1073" s="1030">
        <v>222567</v>
      </c>
      <c r="M1073" s="979">
        <v>599</v>
      </c>
    </row>
    <row r="1074" spans="1:13" ht="15">
      <c r="A1074" s="979" t="s">
        <v>3550</v>
      </c>
      <c r="B1074" s="722" t="str">
        <f>CONCATENATE(LEFT(RIGHT(CONCATENATE("000",IFAData_TEA!A1074),6),3),"-",(RIGHT(RIGHT(CONCATENATE("000",IFAData_TEA!A1074),6),3)))</f>
        <v>108-903</v>
      </c>
      <c r="C1074" s="979" t="s">
        <v>1066</v>
      </c>
      <c r="D1074" s="979">
        <v>8</v>
      </c>
      <c r="E1074" s="979">
        <v>1788</v>
      </c>
      <c r="F1074" s="979" t="s">
        <v>4878</v>
      </c>
      <c r="G1074" s="979" t="s">
        <v>4877</v>
      </c>
      <c r="H1074" s="1030">
        <v>1293870</v>
      </c>
      <c r="I1074" s="1030">
        <v>333018</v>
      </c>
      <c r="J1074" s="1034">
        <v>0.25754376847370641</v>
      </c>
      <c r="K1074" s="1030">
        <v>333228.15571507451</v>
      </c>
      <c r="L1074" s="1030">
        <v>333018</v>
      </c>
      <c r="M1074" s="979">
        <v>599</v>
      </c>
    </row>
    <row r="1075" spans="1:13" ht="15">
      <c r="A1075" s="979" t="s">
        <v>3550</v>
      </c>
      <c r="B1075" s="722" t="str">
        <f>CONCATENATE(LEFT(RIGHT(CONCATENATE("000",IFAData_TEA!A1075),6),3),"-",(RIGHT(RIGHT(CONCATENATE("000",IFAData_TEA!A1075),6),3)))</f>
        <v>108-903</v>
      </c>
      <c r="C1075" s="979" t="s">
        <v>1066</v>
      </c>
      <c r="D1075" s="979">
        <v>8</v>
      </c>
      <c r="E1075" s="979">
        <v>1788</v>
      </c>
      <c r="F1075" s="979" t="s">
        <v>4878</v>
      </c>
      <c r="G1075" s="979" t="s">
        <v>6263</v>
      </c>
      <c r="H1075" s="1030">
        <v>1293870</v>
      </c>
      <c r="I1075" s="1030">
        <v>419973</v>
      </c>
      <c r="J1075" s="1034">
        <v>0.3247915400284907</v>
      </c>
      <c r="K1075" s="1030">
        <v>420238.02989666327</v>
      </c>
      <c r="L1075" s="1030">
        <v>419973</v>
      </c>
      <c r="M1075" s="979">
        <v>599</v>
      </c>
    </row>
    <row r="1076" spans="1:13" ht="15">
      <c r="A1076" s="979" t="s">
        <v>3550</v>
      </c>
      <c r="B1076" s="722" t="str">
        <f>CONCATENATE(LEFT(RIGHT(CONCATENATE("000",IFAData_TEA!A1076),6),3),"-",(RIGHT(RIGHT(CONCATENATE("000",IFAData_TEA!A1076),6),3)))</f>
        <v>108-903</v>
      </c>
      <c r="C1076" s="979" t="s">
        <v>1066</v>
      </c>
      <c r="D1076" s="979">
        <v>1</v>
      </c>
      <c r="E1076" s="979">
        <v>1786</v>
      </c>
      <c r="F1076" s="979" t="s">
        <v>4873</v>
      </c>
      <c r="G1076" s="979" t="s">
        <v>4873</v>
      </c>
      <c r="H1076" s="1030">
        <v>1057575</v>
      </c>
      <c r="I1076" s="1030">
        <v>0</v>
      </c>
      <c r="J1076" s="1034">
        <v>0</v>
      </c>
      <c r="K1076" s="1030">
        <v>0</v>
      </c>
      <c r="L1076" s="1030">
        <v>0</v>
      </c>
      <c r="M1076" s="979">
        <v>599</v>
      </c>
    </row>
    <row r="1077" spans="1:13" ht="15">
      <c r="A1077" s="979" t="s">
        <v>3550</v>
      </c>
      <c r="B1077" s="722" t="str">
        <f>CONCATENATE(LEFT(RIGHT(CONCATENATE("000",IFAData_TEA!A1077),6),3),"-",(RIGHT(RIGHT(CONCATENATE("000",IFAData_TEA!A1077),6),3)))</f>
        <v>108-903</v>
      </c>
      <c r="C1077" s="979" t="s">
        <v>1066</v>
      </c>
      <c r="D1077" s="979">
        <v>4</v>
      </c>
      <c r="E1077" s="979">
        <v>1787</v>
      </c>
      <c r="F1077" s="979" t="s">
        <v>4876</v>
      </c>
      <c r="G1077" s="979" t="s">
        <v>4874</v>
      </c>
      <c r="H1077" s="1030">
        <v>1123190</v>
      </c>
      <c r="I1077" s="1030">
        <v>637072</v>
      </c>
      <c r="J1077" s="1034">
        <v>0.60243955717658937</v>
      </c>
      <c r="K1077" s="1030">
        <v>676654.08622517344</v>
      </c>
      <c r="L1077" s="1030">
        <v>637072</v>
      </c>
      <c r="M1077" s="979">
        <v>599</v>
      </c>
    </row>
    <row r="1078" spans="1:13" ht="15">
      <c r="A1078" s="979" t="s">
        <v>3550</v>
      </c>
      <c r="B1078" s="722" t="str">
        <f>CONCATENATE(LEFT(RIGHT(CONCATENATE("000",IFAData_TEA!A1078),6),3),"-",(RIGHT(RIGHT(CONCATENATE("000",IFAData_TEA!A1078),6),3)))</f>
        <v>108-903</v>
      </c>
      <c r="C1078" s="979" t="s">
        <v>1066</v>
      </c>
      <c r="D1078" s="979">
        <v>1</v>
      </c>
      <c r="E1078" s="979">
        <v>1786</v>
      </c>
      <c r="F1078" s="979" t="s">
        <v>4873</v>
      </c>
      <c r="G1078" s="979" t="s">
        <v>4874</v>
      </c>
      <c r="H1078" s="1030">
        <v>1057575</v>
      </c>
      <c r="I1078" s="1030">
        <v>572429</v>
      </c>
      <c r="J1078" s="1034">
        <v>0.60244015895868586</v>
      </c>
      <c r="K1078" s="1030">
        <v>637125.65111073223</v>
      </c>
      <c r="L1078" s="1030">
        <v>572429</v>
      </c>
      <c r="M1078" s="979">
        <v>599</v>
      </c>
    </row>
    <row r="1079" spans="1:13" ht="15">
      <c r="A1079" s="979" t="s">
        <v>3550</v>
      </c>
      <c r="B1079" s="722" t="str">
        <f>CONCATENATE(LEFT(RIGHT(CONCATENATE("000",IFAData_TEA!A1079),6),3),"-",(RIGHT(RIGHT(CONCATENATE("000",IFAData_TEA!A1079),6),3)))</f>
        <v>108-903</v>
      </c>
      <c r="C1079" s="979" t="s">
        <v>1066</v>
      </c>
      <c r="D1079" s="979">
        <v>4</v>
      </c>
      <c r="E1079" s="979">
        <v>1787</v>
      </c>
      <c r="F1079" s="979" t="s">
        <v>4876</v>
      </c>
      <c r="G1079" s="979" t="s">
        <v>4876</v>
      </c>
      <c r="H1079" s="1030">
        <v>1123190</v>
      </c>
      <c r="I1079" s="1030">
        <v>0</v>
      </c>
      <c r="J1079" s="1034">
        <v>0</v>
      </c>
      <c r="K1079" s="1030">
        <v>0</v>
      </c>
      <c r="L1079" s="1030">
        <v>0</v>
      </c>
      <c r="M1079" s="979">
        <v>599</v>
      </c>
    </row>
    <row r="1080" spans="1:13" ht="15">
      <c r="A1080" s="979" t="s">
        <v>3551</v>
      </c>
      <c r="B1080" s="722" t="str">
        <f>CONCATENATE(LEFT(RIGHT(CONCATENATE("000",IFAData_TEA!A1080),6),3),"-",(RIGHT(RIGHT(CONCATENATE("000",IFAData_TEA!A1080),6),3)))</f>
        <v>108-904</v>
      </c>
      <c r="C1080" s="979" t="s">
        <v>33</v>
      </c>
      <c r="D1080" s="979">
        <v>3</v>
      </c>
      <c r="E1080" s="979">
        <v>1795</v>
      </c>
      <c r="F1080" s="979" t="s">
        <v>4879</v>
      </c>
      <c r="G1080" s="979" t="s">
        <v>4879</v>
      </c>
      <c r="H1080" s="1030">
        <v>3968103</v>
      </c>
      <c r="I1080" s="1030">
        <v>0</v>
      </c>
      <c r="J1080" s="1034">
        <v>0</v>
      </c>
      <c r="K1080" s="1030">
        <v>0</v>
      </c>
      <c r="L1080" s="1030">
        <v>0</v>
      </c>
      <c r="M1080" s="979">
        <v>199</v>
      </c>
    </row>
    <row r="1081" spans="1:13" ht="15">
      <c r="A1081" s="979" t="s">
        <v>3551</v>
      </c>
      <c r="B1081" s="722" t="str">
        <f>CONCATENATE(LEFT(RIGHT(CONCATENATE("000",IFAData_TEA!A1081),6),3),"-",(RIGHT(RIGHT(CONCATENATE("000",IFAData_TEA!A1081),6),3)))</f>
        <v>108-904</v>
      </c>
      <c r="C1081" s="979" t="s">
        <v>33</v>
      </c>
      <c r="D1081" s="979">
        <v>4</v>
      </c>
      <c r="E1081" s="979">
        <v>1796</v>
      </c>
      <c r="F1081" s="979" t="s">
        <v>4881</v>
      </c>
      <c r="G1081" s="979" t="s">
        <v>6264</v>
      </c>
      <c r="H1081" s="1030">
        <v>3996878</v>
      </c>
      <c r="I1081" s="1030">
        <v>2003937</v>
      </c>
      <c r="J1081" s="1034">
        <v>0.52268631653407394</v>
      </c>
      <c r="K1081" s="1030">
        <v>2089113.4394560764</v>
      </c>
      <c r="L1081" s="1030">
        <v>2003937</v>
      </c>
      <c r="M1081" s="979">
        <v>599</v>
      </c>
    </row>
    <row r="1082" spans="1:13" ht="15">
      <c r="A1082" s="979" t="s">
        <v>3551</v>
      </c>
      <c r="B1082" s="722" t="str">
        <f>CONCATENATE(LEFT(RIGHT(CONCATENATE("000",IFAData_TEA!A1082),6),3),"-",(RIGHT(RIGHT(CONCATENATE("000",IFAData_TEA!A1082),6),3)))</f>
        <v>108-904</v>
      </c>
      <c r="C1082" s="979" t="s">
        <v>33</v>
      </c>
      <c r="D1082" s="979">
        <v>4</v>
      </c>
      <c r="E1082" s="979">
        <v>1796</v>
      </c>
      <c r="F1082" s="979" t="s">
        <v>4881</v>
      </c>
      <c r="G1082" s="979" t="s">
        <v>4882</v>
      </c>
      <c r="H1082" s="1030">
        <v>3996878</v>
      </c>
      <c r="I1082" s="1030">
        <v>1829982</v>
      </c>
      <c r="J1082" s="1034">
        <v>0.47731368346592612</v>
      </c>
      <c r="K1082" s="1030">
        <v>1907764.5605439239</v>
      </c>
      <c r="L1082" s="1030">
        <v>1829982</v>
      </c>
      <c r="M1082" s="979">
        <v>599</v>
      </c>
    </row>
    <row r="1083" spans="1:13" ht="15">
      <c r="A1083" s="979" t="s">
        <v>3551</v>
      </c>
      <c r="B1083" s="722" t="str">
        <f>CONCATENATE(LEFT(RIGHT(CONCATENATE("000",IFAData_TEA!A1083),6),3),"-",(RIGHT(RIGHT(CONCATENATE("000",IFAData_TEA!A1083),6),3)))</f>
        <v>108-904</v>
      </c>
      <c r="C1083" s="979" t="s">
        <v>33</v>
      </c>
      <c r="D1083" s="979">
        <v>4</v>
      </c>
      <c r="E1083" s="979">
        <v>1796</v>
      </c>
      <c r="F1083" s="979" t="s">
        <v>4881</v>
      </c>
      <c r="G1083" s="979" t="s">
        <v>4881</v>
      </c>
      <c r="H1083" s="1030">
        <v>3996878</v>
      </c>
      <c r="I1083" s="1030">
        <v>0</v>
      </c>
      <c r="J1083" s="1034">
        <v>0</v>
      </c>
      <c r="K1083" s="1030">
        <v>0</v>
      </c>
      <c r="L1083" s="1030">
        <v>0</v>
      </c>
      <c r="M1083" s="979">
        <v>599</v>
      </c>
    </row>
    <row r="1084" spans="1:13" ht="15">
      <c r="A1084" s="979" t="s">
        <v>3551</v>
      </c>
      <c r="B1084" s="722" t="str">
        <f>CONCATENATE(LEFT(RIGHT(CONCATENATE("000",IFAData_TEA!A1084),6),3),"-",(RIGHT(RIGHT(CONCATENATE("000",IFAData_TEA!A1084),6),3)))</f>
        <v>108-904</v>
      </c>
      <c r="C1084" s="979" t="s">
        <v>33</v>
      </c>
      <c r="D1084" s="979">
        <v>9</v>
      </c>
      <c r="E1084" s="979">
        <v>1797</v>
      </c>
      <c r="F1084" s="979" t="s">
        <v>4883</v>
      </c>
      <c r="G1084" s="979" t="s">
        <v>4883</v>
      </c>
      <c r="H1084" s="1030">
        <v>7109662</v>
      </c>
      <c r="I1084" s="1030">
        <v>7105144</v>
      </c>
      <c r="J1084" s="1034">
        <v>1</v>
      </c>
      <c r="K1084" s="1030">
        <v>7109662</v>
      </c>
      <c r="L1084" s="1030">
        <v>7105144</v>
      </c>
      <c r="M1084" s="979">
        <v>599</v>
      </c>
    </row>
    <row r="1085" spans="1:13" ht="15">
      <c r="A1085" s="979" t="s">
        <v>3551</v>
      </c>
      <c r="B1085" s="722" t="str">
        <f>CONCATENATE(LEFT(RIGHT(CONCATENATE("000",IFAData_TEA!A1085),6),3),"-",(RIGHT(RIGHT(CONCATENATE("000",IFAData_TEA!A1085),6),3)))</f>
        <v>108-904</v>
      </c>
      <c r="C1085" s="979" t="s">
        <v>33</v>
      </c>
      <c r="D1085" s="979">
        <v>3</v>
      </c>
      <c r="E1085" s="979">
        <v>1795</v>
      </c>
      <c r="F1085" s="979" t="s">
        <v>4879</v>
      </c>
      <c r="G1085" s="979" t="s">
        <v>4880</v>
      </c>
      <c r="H1085" s="1030">
        <v>3968103</v>
      </c>
      <c r="I1085" s="1030">
        <v>3770492</v>
      </c>
      <c r="J1085" s="1034">
        <v>1</v>
      </c>
      <c r="K1085" s="1030">
        <v>3968103</v>
      </c>
      <c r="L1085" s="1030">
        <v>3770492</v>
      </c>
      <c r="M1085" s="979">
        <v>599</v>
      </c>
    </row>
    <row r="1086" spans="1:13" ht="15">
      <c r="A1086" s="979" t="s">
        <v>3552</v>
      </c>
      <c r="B1086" s="722" t="str">
        <f>CONCATENATE(LEFT(RIGHT(CONCATENATE("000",IFAData_TEA!A1086),6),3),"-",(RIGHT(RIGHT(CONCATENATE("000",IFAData_TEA!A1086),6),3)))</f>
        <v>108-905</v>
      </c>
      <c r="C1086" s="979" t="s">
        <v>2374</v>
      </c>
      <c r="D1086" s="979">
        <v>8</v>
      </c>
      <c r="E1086" s="979">
        <v>1891</v>
      </c>
      <c r="F1086" s="979" t="s">
        <v>4890</v>
      </c>
      <c r="G1086" s="979" t="s">
        <v>4890</v>
      </c>
      <c r="H1086" s="1030">
        <v>750887</v>
      </c>
      <c r="I1086" s="1030">
        <v>751568</v>
      </c>
      <c r="J1086" s="1034">
        <v>1</v>
      </c>
      <c r="K1086" s="1030">
        <v>750887</v>
      </c>
      <c r="L1086" s="1030">
        <v>750887</v>
      </c>
      <c r="M1086" s="979">
        <v>599</v>
      </c>
    </row>
    <row r="1087" spans="1:13" ht="15">
      <c r="A1087" s="979" t="s">
        <v>3552</v>
      </c>
      <c r="B1087" s="722" t="str">
        <f>CONCATENATE(LEFT(RIGHT(CONCATENATE("000",IFAData_TEA!A1087),6),3),"-",(RIGHT(RIGHT(CONCATENATE("000",IFAData_TEA!A1087),6),3)))</f>
        <v>108-905</v>
      </c>
      <c r="C1087" s="979" t="s">
        <v>2374</v>
      </c>
      <c r="D1087" s="979">
        <v>7</v>
      </c>
      <c r="E1087" s="979">
        <v>1888</v>
      </c>
      <c r="F1087" s="979" t="s">
        <v>4889</v>
      </c>
      <c r="G1087" s="979" t="s">
        <v>6265</v>
      </c>
      <c r="H1087" s="1030">
        <v>437778</v>
      </c>
      <c r="I1087" s="1030">
        <v>328688</v>
      </c>
      <c r="J1087" s="1034">
        <v>1</v>
      </c>
      <c r="K1087" s="1030">
        <v>437778</v>
      </c>
      <c r="L1087" s="1030">
        <v>328688</v>
      </c>
      <c r="M1087" s="979">
        <v>599</v>
      </c>
    </row>
    <row r="1088" spans="1:13" ht="15">
      <c r="A1088" s="979" t="s">
        <v>3552</v>
      </c>
      <c r="B1088" s="722" t="str">
        <f>CONCATENATE(LEFT(RIGHT(CONCATENATE("000",IFAData_TEA!A1088),6),3),"-",(RIGHT(RIGHT(CONCATENATE("000",IFAData_TEA!A1088),6),3)))</f>
        <v>108-905</v>
      </c>
      <c r="C1088" s="979" t="s">
        <v>2374</v>
      </c>
      <c r="D1088" s="979">
        <v>4</v>
      </c>
      <c r="E1088" s="979">
        <v>1890</v>
      </c>
      <c r="F1088" s="979" t="s">
        <v>4886</v>
      </c>
      <c r="G1088" s="979" t="s">
        <v>4885</v>
      </c>
      <c r="H1088" s="1030">
        <v>613155</v>
      </c>
      <c r="I1088" s="1030">
        <v>541381</v>
      </c>
      <c r="J1088" s="1034">
        <v>1</v>
      </c>
      <c r="K1088" s="1030">
        <v>613155</v>
      </c>
      <c r="L1088" s="1030">
        <v>541381</v>
      </c>
      <c r="M1088" s="979">
        <v>599</v>
      </c>
    </row>
    <row r="1089" spans="1:13" ht="15">
      <c r="A1089" s="979" t="s">
        <v>3552</v>
      </c>
      <c r="B1089" s="722" t="str">
        <f>CONCATENATE(LEFT(RIGHT(CONCATENATE("000",IFAData_TEA!A1089),6),3),"-",(RIGHT(RIGHT(CONCATENATE("000",IFAData_TEA!A1089),6),3)))</f>
        <v>108-905</v>
      </c>
      <c r="C1089" s="979" t="s">
        <v>2374</v>
      </c>
      <c r="D1089" s="979">
        <v>1</v>
      </c>
      <c r="E1089" s="979">
        <v>1889</v>
      </c>
      <c r="F1089" s="979" t="s">
        <v>4884</v>
      </c>
      <c r="G1089" s="979" t="s">
        <v>4884</v>
      </c>
      <c r="H1089" s="1030">
        <v>551171</v>
      </c>
      <c r="I1089" s="1030">
        <v>0</v>
      </c>
      <c r="J1089" s="1034">
        <v>0</v>
      </c>
      <c r="K1089" s="1030">
        <v>0</v>
      </c>
      <c r="L1089" s="1030">
        <v>0</v>
      </c>
      <c r="M1089" s="979">
        <v>599</v>
      </c>
    </row>
    <row r="1090" spans="1:13" ht="15">
      <c r="A1090" s="979" t="s">
        <v>3552</v>
      </c>
      <c r="B1090" s="722" t="str">
        <f>CONCATENATE(LEFT(RIGHT(CONCATENATE("000",IFAData_TEA!A1090),6),3),"-",(RIGHT(RIGHT(CONCATENATE("000",IFAData_TEA!A1090),6),3)))</f>
        <v>108-905</v>
      </c>
      <c r="C1090" s="979" t="s">
        <v>2374</v>
      </c>
      <c r="D1090" s="979">
        <v>7</v>
      </c>
      <c r="E1090" s="979">
        <v>1888</v>
      </c>
      <c r="F1090" s="979" t="s">
        <v>4889</v>
      </c>
      <c r="G1090" s="979" t="s">
        <v>4889</v>
      </c>
      <c r="H1090" s="1030">
        <v>437778</v>
      </c>
      <c r="I1090" s="1030">
        <v>0</v>
      </c>
      <c r="J1090" s="1034">
        <v>0</v>
      </c>
      <c r="K1090" s="1030">
        <v>0</v>
      </c>
      <c r="L1090" s="1030">
        <v>0</v>
      </c>
      <c r="M1090" s="979">
        <v>599</v>
      </c>
    </row>
    <row r="1091" spans="1:13" ht="15">
      <c r="A1091" s="979" t="s">
        <v>3552</v>
      </c>
      <c r="B1091" s="722" t="str">
        <f>CONCATENATE(LEFT(RIGHT(CONCATENATE("000",IFAData_TEA!A1091),6),3),"-",(RIGHT(RIGHT(CONCATENATE("000",IFAData_TEA!A1091),6),3)))</f>
        <v>108-905</v>
      </c>
      <c r="C1091" s="979" t="s">
        <v>2374</v>
      </c>
      <c r="D1091" s="979">
        <v>4</v>
      </c>
      <c r="E1091" s="979">
        <v>1890</v>
      </c>
      <c r="F1091" s="979" t="s">
        <v>4886</v>
      </c>
      <c r="G1091" s="979" t="s">
        <v>4886</v>
      </c>
      <c r="H1091" s="1030">
        <v>613155</v>
      </c>
      <c r="I1091" s="1030">
        <v>0</v>
      </c>
      <c r="J1091" s="1034">
        <v>0</v>
      </c>
      <c r="K1091" s="1030">
        <v>0</v>
      </c>
      <c r="L1091" s="1030">
        <v>0</v>
      </c>
      <c r="M1091" s="979">
        <v>599</v>
      </c>
    </row>
    <row r="1092" spans="1:13" ht="15">
      <c r="A1092" s="979" t="s">
        <v>3552</v>
      </c>
      <c r="B1092" s="722" t="str">
        <f>CONCATENATE(LEFT(RIGHT(CONCATENATE("000",IFAData_TEA!A1092),6),3),"-",(RIGHT(RIGHT(CONCATENATE("000",IFAData_TEA!A1092),6),3)))</f>
        <v>108-905</v>
      </c>
      <c r="C1092" s="979" t="s">
        <v>2374</v>
      </c>
      <c r="D1092" s="979">
        <v>7</v>
      </c>
      <c r="E1092" s="979">
        <v>1885</v>
      </c>
      <c r="F1092" s="979" t="s">
        <v>4887</v>
      </c>
      <c r="G1092" s="979" t="s">
        <v>4887</v>
      </c>
      <c r="H1092" s="1030">
        <v>198684</v>
      </c>
      <c r="I1092" s="1030">
        <v>0</v>
      </c>
      <c r="J1092" s="1034">
        <v>0</v>
      </c>
      <c r="K1092" s="1030">
        <v>0</v>
      </c>
      <c r="L1092" s="1030">
        <v>0</v>
      </c>
      <c r="M1092" s="979">
        <v>599</v>
      </c>
    </row>
    <row r="1093" spans="1:13" ht="15">
      <c r="A1093" s="979" t="s">
        <v>3552</v>
      </c>
      <c r="B1093" s="722" t="str">
        <f>CONCATENATE(LEFT(RIGHT(CONCATENATE("000",IFAData_TEA!A1093),6),3),"-",(RIGHT(RIGHT(CONCATENATE("000",IFAData_TEA!A1093),6),3)))</f>
        <v>108-905</v>
      </c>
      <c r="C1093" s="979" t="s">
        <v>2374</v>
      </c>
      <c r="D1093" s="979">
        <v>1</v>
      </c>
      <c r="E1093" s="979">
        <v>1889</v>
      </c>
      <c r="F1093" s="979" t="s">
        <v>4884</v>
      </c>
      <c r="G1093" s="979" t="s">
        <v>4885</v>
      </c>
      <c r="H1093" s="1030">
        <v>551171</v>
      </c>
      <c r="I1093" s="1030">
        <v>470984</v>
      </c>
      <c r="J1093" s="1034">
        <v>1</v>
      </c>
      <c r="K1093" s="1030">
        <v>551171</v>
      </c>
      <c r="L1093" s="1030">
        <v>470984</v>
      </c>
      <c r="M1093" s="979">
        <v>599</v>
      </c>
    </row>
    <row r="1094" spans="1:13" ht="15">
      <c r="A1094" s="979" t="s">
        <v>3552</v>
      </c>
      <c r="B1094" s="722" t="str">
        <f>CONCATENATE(LEFT(RIGHT(CONCATENATE("000",IFAData_TEA!A1094),6),3),"-",(RIGHT(RIGHT(CONCATENATE("000",IFAData_TEA!A1094),6),3)))</f>
        <v>108-905</v>
      </c>
      <c r="C1094" s="979" t="s">
        <v>2374</v>
      </c>
      <c r="D1094" s="979">
        <v>9</v>
      </c>
      <c r="E1094" s="979">
        <v>1887</v>
      </c>
      <c r="F1094" s="979" t="s">
        <v>4892</v>
      </c>
      <c r="G1094" s="979" t="s">
        <v>4892</v>
      </c>
      <c r="H1094" s="1030">
        <v>342650</v>
      </c>
      <c r="I1094" s="1030">
        <v>340780</v>
      </c>
      <c r="J1094" s="1034">
        <v>1</v>
      </c>
      <c r="K1094" s="1030">
        <v>342650</v>
      </c>
      <c r="L1094" s="1030">
        <v>340780</v>
      </c>
      <c r="M1094" s="979">
        <v>599</v>
      </c>
    </row>
    <row r="1095" spans="1:13" ht="15">
      <c r="A1095" s="979" t="s">
        <v>3552</v>
      </c>
      <c r="B1095" s="722" t="str">
        <f>CONCATENATE(LEFT(RIGHT(CONCATENATE("000",IFAData_TEA!A1095),6),3),"-",(RIGHT(RIGHT(CONCATENATE("000",IFAData_TEA!A1095),6),3)))</f>
        <v>108-905</v>
      </c>
      <c r="C1095" s="979" t="s">
        <v>2374</v>
      </c>
      <c r="D1095" s="979">
        <v>7</v>
      </c>
      <c r="E1095" s="979">
        <v>1885</v>
      </c>
      <c r="F1095" s="979" t="s">
        <v>4887</v>
      </c>
      <c r="G1095" s="979" t="s">
        <v>4888</v>
      </c>
      <c r="H1095" s="1030">
        <v>198684</v>
      </c>
      <c r="I1095" s="1030">
        <v>256998</v>
      </c>
      <c r="J1095" s="1034">
        <v>1</v>
      </c>
      <c r="K1095" s="1030">
        <v>198684</v>
      </c>
      <c r="L1095" s="1030">
        <v>198684</v>
      </c>
      <c r="M1095" s="979">
        <v>599</v>
      </c>
    </row>
    <row r="1096" spans="1:13" ht="15">
      <c r="A1096" s="979" t="s">
        <v>3552</v>
      </c>
      <c r="B1096" s="722" t="str">
        <f>CONCATENATE(LEFT(RIGHT(CONCATENATE("000",IFAData_TEA!A1096),6),3),"-",(RIGHT(RIGHT(CONCATENATE("000",IFAData_TEA!A1096),6),3)))</f>
        <v>108-905</v>
      </c>
      <c r="C1096" s="979" t="s">
        <v>2374</v>
      </c>
      <c r="D1096" s="979">
        <v>9</v>
      </c>
      <c r="E1096" s="979">
        <v>1886</v>
      </c>
      <c r="F1096" s="979" t="s">
        <v>4891</v>
      </c>
      <c r="G1096" s="979" t="s">
        <v>4891</v>
      </c>
      <c r="H1096" s="1030">
        <v>199228</v>
      </c>
      <c r="I1096" s="1030">
        <v>198015</v>
      </c>
      <c r="J1096" s="1034">
        <v>1</v>
      </c>
      <c r="K1096" s="1030">
        <v>199228</v>
      </c>
      <c r="L1096" s="1030">
        <v>198015</v>
      </c>
      <c r="M1096" s="979">
        <v>599</v>
      </c>
    </row>
    <row r="1097" spans="1:13" ht="15">
      <c r="A1097" s="979" t="s">
        <v>3553</v>
      </c>
      <c r="B1097" s="722" t="str">
        <f>CONCATENATE(LEFT(RIGHT(CONCATENATE("000",IFAData_TEA!A1097),6),3),"-",(RIGHT(RIGHT(CONCATENATE("000",IFAData_TEA!A1097),6),3)))</f>
        <v>108-906</v>
      </c>
      <c r="C1097" s="979" t="s">
        <v>817</v>
      </c>
      <c r="D1097" s="979">
        <v>2</v>
      </c>
      <c r="E1097" s="979">
        <v>2079</v>
      </c>
      <c r="F1097" s="979" t="s">
        <v>4893</v>
      </c>
      <c r="G1097" s="979" t="s">
        <v>4897</v>
      </c>
      <c r="H1097" s="1030">
        <v>1567290</v>
      </c>
      <c r="I1097" s="1030">
        <v>0</v>
      </c>
      <c r="J1097" s="1034">
        <v>0</v>
      </c>
      <c r="K1097" s="1030">
        <v>0</v>
      </c>
      <c r="L1097" s="1030">
        <v>0</v>
      </c>
      <c r="M1097" s="979">
        <v>599</v>
      </c>
    </row>
    <row r="1098" spans="1:13" ht="15">
      <c r="A1098" s="979" t="s">
        <v>3553</v>
      </c>
      <c r="B1098" s="722" t="str">
        <f>CONCATENATE(LEFT(RIGHT(CONCATENATE("000",IFAData_TEA!A1098),6),3),"-",(RIGHT(RIGHT(CONCATENATE("000",IFAData_TEA!A1098),6),3)))</f>
        <v>108-906</v>
      </c>
      <c r="C1098" s="979" t="s">
        <v>817</v>
      </c>
      <c r="D1098" s="979">
        <v>2</v>
      </c>
      <c r="E1098" s="979">
        <v>2079</v>
      </c>
      <c r="F1098" s="979" t="s">
        <v>4893</v>
      </c>
      <c r="G1098" s="979" t="s">
        <v>4896</v>
      </c>
      <c r="H1098" s="1030">
        <v>1567290</v>
      </c>
      <c r="I1098" s="1030">
        <v>0</v>
      </c>
      <c r="J1098" s="1034">
        <v>0</v>
      </c>
      <c r="K1098" s="1030">
        <v>0</v>
      </c>
      <c r="L1098" s="1030">
        <v>0</v>
      </c>
      <c r="M1098" s="979">
        <v>599</v>
      </c>
    </row>
    <row r="1099" spans="1:13" ht="15">
      <c r="A1099" s="979" t="s">
        <v>3553</v>
      </c>
      <c r="B1099" s="722" t="str">
        <f>CONCATENATE(LEFT(RIGHT(CONCATENATE("000",IFAData_TEA!A1099),6),3),"-",(RIGHT(RIGHT(CONCATENATE("000",IFAData_TEA!A1099),6),3)))</f>
        <v>108-906</v>
      </c>
      <c r="C1099" s="979" t="s">
        <v>817</v>
      </c>
      <c r="D1099" s="979">
        <v>2</v>
      </c>
      <c r="E1099" s="979">
        <v>2079</v>
      </c>
      <c r="F1099" s="979" t="s">
        <v>4893</v>
      </c>
      <c r="G1099" s="979" t="s">
        <v>4894</v>
      </c>
      <c r="H1099" s="1030">
        <v>1567290</v>
      </c>
      <c r="I1099" s="1030">
        <v>0</v>
      </c>
      <c r="J1099" s="1034">
        <v>0</v>
      </c>
      <c r="K1099" s="1030">
        <v>0</v>
      </c>
      <c r="L1099" s="1030">
        <v>0</v>
      </c>
      <c r="M1099" s="979">
        <v>599</v>
      </c>
    </row>
    <row r="1100" spans="1:13" ht="15">
      <c r="A1100" s="979" t="s">
        <v>3553</v>
      </c>
      <c r="B1100" s="722" t="str">
        <f>CONCATENATE(LEFT(RIGHT(CONCATENATE("000",IFAData_TEA!A1100),6),3),"-",(RIGHT(RIGHT(CONCATENATE("000",IFAData_TEA!A1100),6),3)))</f>
        <v>108-906</v>
      </c>
      <c r="C1100" s="979" t="s">
        <v>817</v>
      </c>
      <c r="D1100" s="979">
        <v>2</v>
      </c>
      <c r="E1100" s="979">
        <v>2079</v>
      </c>
      <c r="F1100" s="979" t="s">
        <v>4893</v>
      </c>
      <c r="G1100" s="979" t="s">
        <v>4893</v>
      </c>
      <c r="H1100" s="1030">
        <v>1567290</v>
      </c>
      <c r="I1100" s="1030">
        <v>0</v>
      </c>
      <c r="J1100" s="1034">
        <v>0</v>
      </c>
      <c r="K1100" s="1030">
        <v>0</v>
      </c>
      <c r="L1100" s="1030">
        <v>0</v>
      </c>
      <c r="M1100" s="979">
        <v>599</v>
      </c>
    </row>
    <row r="1101" spans="1:13" ht="15">
      <c r="A1101" s="979" t="s">
        <v>3553</v>
      </c>
      <c r="B1101" s="722" t="str">
        <f>CONCATENATE(LEFT(RIGHT(CONCATENATE("000",IFAData_TEA!A1101),6),3),"-",(RIGHT(RIGHT(CONCATENATE("000",IFAData_TEA!A1101),6),3)))</f>
        <v>108-906</v>
      </c>
      <c r="C1101" s="979" t="s">
        <v>817</v>
      </c>
      <c r="D1101" s="979">
        <v>2</v>
      </c>
      <c r="E1101" s="979">
        <v>2079</v>
      </c>
      <c r="F1101" s="979" t="s">
        <v>4893</v>
      </c>
      <c r="G1101" s="979" t="s">
        <v>4895</v>
      </c>
      <c r="H1101" s="1030">
        <v>1567290</v>
      </c>
      <c r="I1101" s="1030">
        <v>1573700</v>
      </c>
      <c r="J1101" s="1034">
        <v>1</v>
      </c>
      <c r="K1101" s="1030">
        <v>1567290</v>
      </c>
      <c r="L1101" s="1030">
        <v>1567290</v>
      </c>
      <c r="M1101" s="979">
        <v>599</v>
      </c>
    </row>
    <row r="1102" spans="1:13" ht="15">
      <c r="A1102" s="979" t="s">
        <v>3554</v>
      </c>
      <c r="B1102" s="722" t="str">
        <f>CONCATENATE(LEFT(RIGHT(CONCATENATE("000",IFAData_TEA!A1102),6),3),"-",(RIGHT(RIGHT(CONCATENATE("000",IFAData_TEA!A1102),6),3)))</f>
        <v>108-907</v>
      </c>
      <c r="C1102" s="979" t="s">
        <v>2234</v>
      </c>
      <c r="D1102" s="979">
        <v>2</v>
      </c>
      <c r="E1102" s="979">
        <v>2092</v>
      </c>
      <c r="F1102" s="979" t="s">
        <v>4898</v>
      </c>
      <c r="G1102" s="979" t="s">
        <v>6266</v>
      </c>
      <c r="H1102" s="1030">
        <v>1136573</v>
      </c>
      <c r="I1102" s="1030">
        <v>132955</v>
      </c>
      <c r="J1102" s="1034">
        <v>0.12699657470785677</v>
      </c>
      <c r="K1102" s="1030">
        <v>144340.87790543289</v>
      </c>
      <c r="L1102" s="1030">
        <v>132955</v>
      </c>
      <c r="M1102" s="979">
        <v>599</v>
      </c>
    </row>
    <row r="1103" spans="1:13" ht="15">
      <c r="A1103" s="979" t="s">
        <v>3554</v>
      </c>
      <c r="B1103" s="722" t="str">
        <f>CONCATENATE(LEFT(RIGHT(CONCATENATE("000",IFAData_TEA!A1103),6),3),"-",(RIGHT(RIGHT(CONCATENATE("000",IFAData_TEA!A1103),6),3)))</f>
        <v>108-907</v>
      </c>
      <c r="C1103" s="979" t="s">
        <v>2234</v>
      </c>
      <c r="D1103" s="979">
        <v>8</v>
      </c>
      <c r="E1103" s="979">
        <v>2090</v>
      </c>
      <c r="F1103" s="979" t="s">
        <v>4905</v>
      </c>
      <c r="G1103" s="979" t="s">
        <v>4905</v>
      </c>
      <c r="H1103" s="1030">
        <v>547625</v>
      </c>
      <c r="I1103" s="1030">
        <v>544275</v>
      </c>
      <c r="J1103" s="1034">
        <v>0.8900319366565117</v>
      </c>
      <c r="K1103" s="1030">
        <v>487403.73931152222</v>
      </c>
      <c r="L1103" s="1030">
        <v>487403.73931152222</v>
      </c>
      <c r="M1103" s="979">
        <v>599</v>
      </c>
    </row>
    <row r="1104" spans="1:13" ht="15">
      <c r="A1104" s="979" t="s">
        <v>3554</v>
      </c>
      <c r="B1104" s="722" t="str">
        <f>CONCATENATE(LEFT(RIGHT(CONCATENATE("000",IFAData_TEA!A1104),6),3),"-",(RIGHT(RIGHT(CONCATENATE("000",IFAData_TEA!A1104),6),3)))</f>
        <v>108-907</v>
      </c>
      <c r="C1104" s="979" t="s">
        <v>2234</v>
      </c>
      <c r="D1104" s="979">
        <v>7</v>
      </c>
      <c r="E1104" s="979">
        <v>2094</v>
      </c>
      <c r="F1104" s="979" t="s">
        <v>4903</v>
      </c>
      <c r="G1104" s="979" t="s">
        <v>4904</v>
      </c>
      <c r="H1104" s="1030">
        <v>1254960</v>
      </c>
      <c r="I1104" s="1030">
        <v>294594</v>
      </c>
      <c r="J1104" s="1034">
        <v>0.51782270978311118</v>
      </c>
      <c r="K1104" s="1030">
        <v>649846.78786941315</v>
      </c>
      <c r="L1104" s="1030">
        <v>294594</v>
      </c>
      <c r="M1104" s="979">
        <v>599</v>
      </c>
    </row>
    <row r="1105" spans="1:13" ht="15">
      <c r="A1105" s="979" t="s">
        <v>3554</v>
      </c>
      <c r="B1105" s="722" t="str">
        <f>CONCATENATE(LEFT(RIGHT(CONCATENATE("000",IFAData_TEA!A1105),6),3),"-",(RIGHT(RIGHT(CONCATENATE("000",IFAData_TEA!A1105),6),3)))</f>
        <v>108-907</v>
      </c>
      <c r="C1105" s="979" t="s">
        <v>2234</v>
      </c>
      <c r="D1105" s="979">
        <v>2</v>
      </c>
      <c r="E1105" s="979">
        <v>2092</v>
      </c>
      <c r="F1105" s="979" t="s">
        <v>4898</v>
      </c>
      <c r="G1105" s="979" t="s">
        <v>4899</v>
      </c>
      <c r="H1105" s="1030">
        <v>1136573</v>
      </c>
      <c r="I1105" s="1030">
        <v>913963</v>
      </c>
      <c r="J1105" s="1034">
        <v>0.87300342529214325</v>
      </c>
      <c r="K1105" s="1030">
        <v>992232.12209456717</v>
      </c>
      <c r="L1105" s="1030">
        <v>913963</v>
      </c>
      <c r="M1105" s="979">
        <v>599</v>
      </c>
    </row>
    <row r="1106" spans="1:13" ht="15">
      <c r="A1106" s="979" t="s">
        <v>3554</v>
      </c>
      <c r="B1106" s="722" t="str">
        <f>CONCATENATE(LEFT(RIGHT(CONCATENATE("000",IFAData_TEA!A1106),6),3),"-",(RIGHT(RIGHT(CONCATENATE("000",IFAData_TEA!A1106),6),3)))</f>
        <v>108-907</v>
      </c>
      <c r="C1106" s="979" t="s">
        <v>2234</v>
      </c>
      <c r="D1106" s="979">
        <v>4</v>
      </c>
      <c r="E1106" s="979">
        <v>2093</v>
      </c>
      <c r="F1106" s="979" t="s">
        <v>4900</v>
      </c>
      <c r="G1106" s="979" t="s">
        <v>4899</v>
      </c>
      <c r="H1106" s="1030">
        <v>1178123</v>
      </c>
      <c r="I1106" s="1030">
        <v>1147269</v>
      </c>
      <c r="J1106" s="1034">
        <v>0.89294350868645112</v>
      </c>
      <c r="K1106" s="1030">
        <v>1051997.2852842079</v>
      </c>
      <c r="L1106" s="1030">
        <v>1051997.2852842079</v>
      </c>
      <c r="M1106" s="979">
        <v>599</v>
      </c>
    </row>
    <row r="1107" spans="1:13" ht="15">
      <c r="A1107" s="979" t="s">
        <v>3554</v>
      </c>
      <c r="B1107" s="722" t="str">
        <f>CONCATENATE(LEFT(RIGHT(CONCATENATE("000",IFAData_TEA!A1107),6),3),"-",(RIGHT(RIGHT(CONCATENATE("000",IFAData_TEA!A1107),6),3)))</f>
        <v>108-907</v>
      </c>
      <c r="C1107" s="979" t="s">
        <v>2234</v>
      </c>
      <c r="D1107" s="979">
        <v>2</v>
      </c>
      <c r="E1107" s="979">
        <v>2092</v>
      </c>
      <c r="F1107" s="979" t="s">
        <v>4898</v>
      </c>
      <c r="G1107" s="979" t="s">
        <v>4898</v>
      </c>
      <c r="H1107" s="1030">
        <v>1136573</v>
      </c>
      <c r="I1107" s="1030">
        <v>0</v>
      </c>
      <c r="J1107" s="1034">
        <v>0</v>
      </c>
      <c r="K1107" s="1030">
        <v>0</v>
      </c>
      <c r="L1107" s="1030">
        <v>0</v>
      </c>
      <c r="M1107" s="979">
        <v>599</v>
      </c>
    </row>
    <row r="1108" spans="1:13" ht="15">
      <c r="A1108" s="979" t="s">
        <v>3554</v>
      </c>
      <c r="B1108" s="722" t="str">
        <f>CONCATENATE(LEFT(RIGHT(CONCATENATE("000",IFAData_TEA!A1108),6),3),"-",(RIGHT(RIGHT(CONCATENATE("000",IFAData_TEA!A1108),6),3)))</f>
        <v>108-907</v>
      </c>
      <c r="C1108" s="979" t="s">
        <v>2234</v>
      </c>
      <c r="D1108" s="979">
        <v>6</v>
      </c>
      <c r="E1108" s="979">
        <v>2091</v>
      </c>
      <c r="F1108" s="979" t="s">
        <v>4901</v>
      </c>
      <c r="G1108" s="979" t="s">
        <v>4902</v>
      </c>
      <c r="H1108" s="1030">
        <v>668147</v>
      </c>
      <c r="I1108" s="1030">
        <v>641578</v>
      </c>
      <c r="J1108" s="1034">
        <v>1</v>
      </c>
      <c r="K1108" s="1030">
        <v>668147</v>
      </c>
      <c r="L1108" s="1030">
        <v>641578</v>
      </c>
      <c r="M1108" s="979">
        <v>599</v>
      </c>
    </row>
    <row r="1109" spans="1:13" ht="15">
      <c r="A1109" s="979" t="s">
        <v>3554</v>
      </c>
      <c r="B1109" s="722" t="str">
        <f>CONCATENATE(LEFT(RIGHT(CONCATENATE("000",IFAData_TEA!A1109),6),3),"-",(RIGHT(RIGHT(CONCATENATE("000",IFAData_TEA!A1109),6),3)))</f>
        <v>108-907</v>
      </c>
      <c r="C1109" s="979" t="s">
        <v>2234</v>
      </c>
      <c r="D1109" s="979">
        <v>4</v>
      </c>
      <c r="E1109" s="979">
        <v>2093</v>
      </c>
      <c r="F1109" s="979" t="s">
        <v>4900</v>
      </c>
      <c r="G1109" s="979" t="s">
        <v>4900</v>
      </c>
      <c r="H1109" s="1030">
        <v>1178123</v>
      </c>
      <c r="I1109" s="1030">
        <v>0</v>
      </c>
      <c r="J1109" s="1034">
        <v>0</v>
      </c>
      <c r="K1109" s="1030">
        <v>0</v>
      </c>
      <c r="L1109" s="1030">
        <v>0</v>
      </c>
      <c r="M1109" s="979">
        <v>599</v>
      </c>
    </row>
    <row r="1110" spans="1:13" ht="15">
      <c r="A1110" s="979" t="s">
        <v>3554</v>
      </c>
      <c r="B1110" s="722" t="str">
        <f>CONCATENATE(LEFT(RIGHT(CONCATENATE("000",IFAData_TEA!A1110),6),3),"-",(RIGHT(RIGHT(CONCATENATE("000",IFAData_TEA!A1110),6),3)))</f>
        <v>108-907</v>
      </c>
      <c r="C1110" s="979" t="s">
        <v>2234</v>
      </c>
      <c r="D1110" s="979">
        <v>7</v>
      </c>
      <c r="E1110" s="979">
        <v>2094</v>
      </c>
      <c r="F1110" s="979" t="s">
        <v>4903</v>
      </c>
      <c r="G1110" s="979" t="s">
        <v>4903</v>
      </c>
      <c r="H1110" s="1030">
        <v>1254960</v>
      </c>
      <c r="I1110" s="1030">
        <v>274315</v>
      </c>
      <c r="J1110" s="1034">
        <v>0.48217729021688882</v>
      </c>
      <c r="K1110" s="1030">
        <v>605113.21213058685</v>
      </c>
      <c r="L1110" s="1030">
        <v>274315</v>
      </c>
      <c r="M1110" s="979">
        <v>599</v>
      </c>
    </row>
    <row r="1111" spans="1:13" ht="15">
      <c r="A1111" s="979" t="s">
        <v>3554</v>
      </c>
      <c r="B1111" s="722" t="str">
        <f>CONCATENATE(LEFT(RIGHT(CONCATENATE("000",IFAData_TEA!A1111),6),3),"-",(RIGHT(RIGHT(CONCATENATE("000",IFAData_TEA!A1111),6),3)))</f>
        <v>108-907</v>
      </c>
      <c r="C1111" s="979" t="s">
        <v>2234</v>
      </c>
      <c r="D1111" s="979">
        <v>6</v>
      </c>
      <c r="E1111" s="979">
        <v>2091</v>
      </c>
      <c r="F1111" s="979" t="s">
        <v>4901</v>
      </c>
      <c r="G1111" s="979" t="s">
        <v>4901</v>
      </c>
      <c r="H1111" s="1030">
        <v>668147</v>
      </c>
      <c r="I1111" s="1030">
        <v>0</v>
      </c>
      <c r="J1111" s="1034">
        <v>0</v>
      </c>
      <c r="K1111" s="1030">
        <v>0</v>
      </c>
      <c r="L1111" s="1030">
        <v>0</v>
      </c>
      <c r="M1111" s="979">
        <v>599</v>
      </c>
    </row>
    <row r="1112" spans="1:13" ht="15">
      <c r="A1112" s="979" t="s">
        <v>3554</v>
      </c>
      <c r="B1112" s="722" t="str">
        <f>CONCATENATE(LEFT(RIGHT(CONCATENATE("000",IFAData_TEA!A1112),6),3),"-",(RIGHT(RIGHT(CONCATENATE("000",IFAData_TEA!A1112),6),3)))</f>
        <v>108-907</v>
      </c>
      <c r="C1112" s="979" t="s">
        <v>2234</v>
      </c>
      <c r="D1112" s="979">
        <v>8</v>
      </c>
      <c r="E1112" s="979">
        <v>2090</v>
      </c>
      <c r="F1112" s="979" t="s">
        <v>4905</v>
      </c>
      <c r="G1112" s="979" t="s">
        <v>6266</v>
      </c>
      <c r="H1112" s="1030">
        <v>547625</v>
      </c>
      <c r="I1112" s="1030">
        <v>67248</v>
      </c>
      <c r="J1112" s="1034">
        <v>0.10996806334348831</v>
      </c>
      <c r="K1112" s="1030">
        <v>60221.260688477785</v>
      </c>
      <c r="L1112" s="1030">
        <v>60221.260688477785</v>
      </c>
      <c r="M1112" s="979">
        <v>599</v>
      </c>
    </row>
    <row r="1113" spans="1:13" ht="15">
      <c r="A1113" s="979" t="s">
        <v>3554</v>
      </c>
      <c r="B1113" s="722" t="str">
        <f>CONCATENATE(LEFT(RIGHT(CONCATENATE("000",IFAData_TEA!A1113),6),3),"-",(RIGHT(RIGHT(CONCATENATE("000",IFAData_TEA!A1113),6),3)))</f>
        <v>108-907</v>
      </c>
      <c r="C1113" s="979" t="s">
        <v>2234</v>
      </c>
      <c r="D1113" s="979">
        <v>4</v>
      </c>
      <c r="E1113" s="979">
        <v>2093</v>
      </c>
      <c r="F1113" s="979" t="s">
        <v>4900</v>
      </c>
      <c r="G1113" s="979" t="s">
        <v>6266</v>
      </c>
      <c r="H1113" s="1030">
        <v>1178123</v>
      </c>
      <c r="I1113" s="1030">
        <v>137548</v>
      </c>
      <c r="J1113" s="1034">
        <v>0.10705649131354893</v>
      </c>
      <c r="K1113" s="1030">
        <v>126125.7147157922</v>
      </c>
      <c r="L1113" s="1030">
        <v>126125.7147157922</v>
      </c>
      <c r="M1113" s="979">
        <v>599</v>
      </c>
    </row>
    <row r="1114" spans="1:13" ht="15">
      <c r="A1114" s="979" t="s">
        <v>3555</v>
      </c>
      <c r="B1114" s="722" t="str">
        <f>CONCATENATE(LEFT(RIGHT(CONCATENATE("000",IFAData_TEA!A1114),6),3),"-",(RIGHT(RIGHT(CONCATENATE("000",IFAData_TEA!A1114),6),3)))</f>
        <v>108-908</v>
      </c>
      <c r="C1114" s="979" t="s">
        <v>38</v>
      </c>
      <c r="D1114" s="979">
        <v>4</v>
      </c>
      <c r="E1114" s="979">
        <v>2111</v>
      </c>
      <c r="F1114" s="979" t="s">
        <v>4909</v>
      </c>
      <c r="G1114" s="979" t="s">
        <v>6267</v>
      </c>
      <c r="H1114" s="1030">
        <v>2592893</v>
      </c>
      <c r="I1114" s="1030">
        <v>691370</v>
      </c>
      <c r="J1114" s="1034">
        <v>0.28279285812745703</v>
      </c>
      <c r="K1114" s="1030">
        <v>733251.62228867644</v>
      </c>
      <c r="L1114" s="1030">
        <v>691370</v>
      </c>
      <c r="M1114" s="979">
        <v>599</v>
      </c>
    </row>
    <row r="1115" spans="1:13" ht="15">
      <c r="A1115" s="979" t="s">
        <v>3555</v>
      </c>
      <c r="B1115" s="722" t="str">
        <f>CONCATENATE(LEFT(RIGHT(CONCATENATE("000",IFAData_TEA!A1115),6),3),"-",(RIGHT(RIGHT(CONCATENATE("000",IFAData_TEA!A1115),6),3)))</f>
        <v>108-908</v>
      </c>
      <c r="C1115" s="979" t="s">
        <v>38</v>
      </c>
      <c r="D1115" s="979">
        <v>8</v>
      </c>
      <c r="E1115" s="979">
        <v>2113</v>
      </c>
      <c r="F1115" s="979" t="s">
        <v>4910</v>
      </c>
      <c r="G1115" s="979" t="s">
        <v>6268</v>
      </c>
      <c r="H1115" s="1030">
        <v>3559524</v>
      </c>
      <c r="I1115" s="1030">
        <v>2190890</v>
      </c>
      <c r="J1115" s="1034">
        <v>0.61609087445147304</v>
      </c>
      <c r="K1115" s="1030">
        <v>2192990.2537910049</v>
      </c>
      <c r="L1115" s="1030">
        <v>2190890</v>
      </c>
      <c r="M1115" s="979">
        <v>599</v>
      </c>
    </row>
    <row r="1116" spans="1:13" ht="15">
      <c r="A1116" s="979" t="s">
        <v>3555</v>
      </c>
      <c r="B1116" s="722" t="str">
        <f>CONCATENATE(LEFT(RIGHT(CONCATENATE("000",IFAData_TEA!A1116),6),3),"-",(RIGHT(RIGHT(CONCATENATE("000",IFAData_TEA!A1116),6),3)))</f>
        <v>108-908</v>
      </c>
      <c r="C1116" s="979" t="s">
        <v>38</v>
      </c>
      <c r="D1116" s="979">
        <v>8</v>
      </c>
      <c r="E1116" s="979">
        <v>2113</v>
      </c>
      <c r="F1116" s="979" t="s">
        <v>4910</v>
      </c>
      <c r="G1116" s="979" t="s">
        <v>4910</v>
      </c>
      <c r="H1116" s="1030">
        <v>3559524</v>
      </c>
      <c r="I1116" s="1030">
        <v>1365225</v>
      </c>
      <c r="J1116" s="1034">
        <v>0.38390912554852696</v>
      </c>
      <c r="K1116" s="1030">
        <v>1366533.7462089949</v>
      </c>
      <c r="L1116" s="1030">
        <v>1365225</v>
      </c>
      <c r="M1116" s="979">
        <v>599</v>
      </c>
    </row>
    <row r="1117" spans="1:13" ht="15">
      <c r="A1117" s="979" t="s">
        <v>3555</v>
      </c>
      <c r="B1117" s="722" t="str">
        <f>CONCATENATE(LEFT(RIGHT(CONCATENATE("000",IFAData_TEA!A1117),6),3),"-",(RIGHT(RIGHT(CONCATENATE("000",IFAData_TEA!A1117),6),3)))</f>
        <v>108-908</v>
      </c>
      <c r="C1117" s="979" t="s">
        <v>38</v>
      </c>
      <c r="D1117" s="979">
        <v>2</v>
      </c>
      <c r="E1117" s="979">
        <v>2112</v>
      </c>
      <c r="F1117" s="979" t="s">
        <v>4906</v>
      </c>
      <c r="G1117" s="979" t="s">
        <v>4906</v>
      </c>
      <c r="H1117" s="1030">
        <v>2844700</v>
      </c>
      <c r="I1117" s="1030">
        <v>0</v>
      </c>
      <c r="J1117" s="1034">
        <v>0</v>
      </c>
      <c r="K1117" s="1030">
        <v>0</v>
      </c>
      <c r="L1117" s="1030">
        <v>0</v>
      </c>
      <c r="M1117" s="979">
        <v>599</v>
      </c>
    </row>
    <row r="1118" spans="1:13" ht="15">
      <c r="A1118" s="979" t="s">
        <v>3555</v>
      </c>
      <c r="B1118" s="722" t="str">
        <f>CONCATENATE(LEFT(RIGHT(CONCATENATE("000",IFAData_TEA!A1118),6),3),"-",(RIGHT(RIGHT(CONCATENATE("000",IFAData_TEA!A1118),6),3)))</f>
        <v>108-908</v>
      </c>
      <c r="C1118" s="979" t="s">
        <v>38</v>
      </c>
      <c r="D1118" s="979">
        <v>2</v>
      </c>
      <c r="E1118" s="979">
        <v>2112</v>
      </c>
      <c r="F1118" s="979" t="s">
        <v>4906</v>
      </c>
      <c r="G1118" s="979" t="s">
        <v>4908</v>
      </c>
      <c r="H1118" s="1030">
        <v>2844700</v>
      </c>
      <c r="I1118" s="1030">
        <v>146488</v>
      </c>
      <c r="J1118" s="1034">
        <v>5.4758737163818294E-2</v>
      </c>
      <c r="K1118" s="1030">
        <v>155772.1796099139</v>
      </c>
      <c r="L1118" s="1030">
        <v>146488</v>
      </c>
      <c r="M1118" s="979">
        <v>599</v>
      </c>
    </row>
    <row r="1119" spans="1:13" ht="15">
      <c r="A1119" s="979" t="s">
        <v>3555</v>
      </c>
      <c r="B1119" s="722" t="str">
        <f>CONCATENATE(LEFT(RIGHT(CONCATENATE("000",IFAData_TEA!A1119),6),3),"-",(RIGHT(RIGHT(CONCATENATE("000",IFAData_TEA!A1119),6),3)))</f>
        <v>108-908</v>
      </c>
      <c r="C1119" s="979" t="s">
        <v>38</v>
      </c>
      <c r="D1119" s="979">
        <v>4</v>
      </c>
      <c r="E1119" s="979">
        <v>2111</v>
      </c>
      <c r="F1119" s="979" t="s">
        <v>4909</v>
      </c>
      <c r="G1119" s="979" t="s">
        <v>4907</v>
      </c>
      <c r="H1119" s="1030">
        <v>2592893</v>
      </c>
      <c r="I1119" s="1030">
        <v>1753423</v>
      </c>
      <c r="J1119" s="1034">
        <v>0.71720714187254297</v>
      </c>
      <c r="K1119" s="1030">
        <v>1859641.3777113236</v>
      </c>
      <c r="L1119" s="1030">
        <v>1753423</v>
      </c>
      <c r="M1119" s="979">
        <v>599</v>
      </c>
    </row>
    <row r="1120" spans="1:13" ht="15">
      <c r="A1120" s="979" t="s">
        <v>3555</v>
      </c>
      <c r="B1120" s="722" t="str">
        <f>CONCATENATE(LEFT(RIGHT(CONCATENATE("000",IFAData_TEA!A1120),6),3),"-",(RIGHT(RIGHT(CONCATENATE("000",IFAData_TEA!A1120),6),3)))</f>
        <v>108-908</v>
      </c>
      <c r="C1120" s="979" t="s">
        <v>38</v>
      </c>
      <c r="D1120" s="979">
        <v>2</v>
      </c>
      <c r="E1120" s="979">
        <v>2112</v>
      </c>
      <c r="F1120" s="979" t="s">
        <v>4906</v>
      </c>
      <c r="G1120" s="979" t="s">
        <v>4907</v>
      </c>
      <c r="H1120" s="1030">
        <v>2844700</v>
      </c>
      <c r="I1120" s="1030">
        <v>1813577</v>
      </c>
      <c r="J1120" s="1034">
        <v>0.67793393499362464</v>
      </c>
      <c r="K1120" s="1030">
        <v>1928518.6648763639</v>
      </c>
      <c r="L1120" s="1030">
        <v>1813577</v>
      </c>
      <c r="M1120" s="979">
        <v>599</v>
      </c>
    </row>
    <row r="1121" spans="1:13" ht="15">
      <c r="A1121" s="979" t="s">
        <v>3555</v>
      </c>
      <c r="B1121" s="722" t="str">
        <f>CONCATENATE(LEFT(RIGHT(CONCATENATE("000",IFAData_TEA!A1121),6),3),"-",(RIGHT(RIGHT(CONCATENATE("000",IFAData_TEA!A1121),6),3)))</f>
        <v>108-908</v>
      </c>
      <c r="C1121" s="979" t="s">
        <v>38</v>
      </c>
      <c r="D1121" s="979">
        <v>2</v>
      </c>
      <c r="E1121" s="979">
        <v>2112</v>
      </c>
      <c r="F1121" s="979" t="s">
        <v>4906</v>
      </c>
      <c r="G1121" s="979" t="s">
        <v>6267</v>
      </c>
      <c r="H1121" s="1030">
        <v>2844700</v>
      </c>
      <c r="I1121" s="1030">
        <v>715088</v>
      </c>
      <c r="J1121" s="1034">
        <v>0.26730732784255706</v>
      </c>
      <c r="K1121" s="1030">
        <v>760409.1555137221</v>
      </c>
      <c r="L1121" s="1030">
        <v>715088</v>
      </c>
      <c r="M1121" s="979">
        <v>599</v>
      </c>
    </row>
    <row r="1122" spans="1:13" ht="15">
      <c r="A1122" s="979" t="s">
        <v>3555</v>
      </c>
      <c r="B1122" s="722" t="str">
        <f>CONCATENATE(LEFT(RIGHT(CONCATENATE("000",IFAData_TEA!A1122),6),3),"-",(RIGHT(RIGHT(CONCATENATE("000",IFAData_TEA!A1122),6),3)))</f>
        <v>108-908</v>
      </c>
      <c r="C1122" s="979" t="s">
        <v>38</v>
      </c>
      <c r="D1122" s="979">
        <v>4</v>
      </c>
      <c r="E1122" s="979">
        <v>2111</v>
      </c>
      <c r="F1122" s="979" t="s">
        <v>4909</v>
      </c>
      <c r="G1122" s="979" t="s">
        <v>4909</v>
      </c>
      <c r="H1122" s="1030">
        <v>2592893</v>
      </c>
      <c r="I1122" s="1030">
        <v>0</v>
      </c>
      <c r="J1122" s="1034">
        <v>0</v>
      </c>
      <c r="K1122" s="1030">
        <v>0</v>
      </c>
      <c r="L1122" s="1030">
        <v>0</v>
      </c>
      <c r="M1122" s="979">
        <v>599</v>
      </c>
    </row>
    <row r="1123" spans="1:13" ht="15">
      <c r="A1123" s="979" t="s">
        <v>3555</v>
      </c>
      <c r="B1123" s="722" t="str">
        <f>CONCATENATE(LEFT(RIGHT(CONCATENATE("000",IFAData_TEA!A1123),6),3),"-",(RIGHT(RIGHT(CONCATENATE("000",IFAData_TEA!A1123),6),3)))</f>
        <v>108-908</v>
      </c>
      <c r="C1123" s="979" t="s">
        <v>38</v>
      </c>
      <c r="D1123" s="979">
        <v>9</v>
      </c>
      <c r="E1123" s="979">
        <v>2114</v>
      </c>
      <c r="F1123" s="979" t="s">
        <v>4911</v>
      </c>
      <c r="G1123" s="979" t="s">
        <v>4911</v>
      </c>
      <c r="H1123" s="1030">
        <v>3776225</v>
      </c>
      <c r="I1123" s="1030">
        <v>3757038</v>
      </c>
      <c r="J1123" s="1034">
        <v>1</v>
      </c>
      <c r="K1123" s="1030">
        <v>3776225</v>
      </c>
      <c r="L1123" s="1030">
        <v>3757038</v>
      </c>
      <c r="M1123" s="979">
        <v>599</v>
      </c>
    </row>
    <row r="1124" spans="1:13" ht="15">
      <c r="A1124" s="979" t="s">
        <v>3556</v>
      </c>
      <c r="B1124" s="722" t="str">
        <f>CONCATENATE(LEFT(RIGHT(CONCATENATE("000",IFAData_TEA!A1124),6),3),"-",(RIGHT(RIGHT(CONCATENATE("000",IFAData_TEA!A1124),6),3)))</f>
        <v>108-909</v>
      </c>
      <c r="C1124" s="979" t="s">
        <v>999</v>
      </c>
      <c r="D1124" s="979">
        <v>8</v>
      </c>
      <c r="E1124" s="979">
        <v>2191</v>
      </c>
      <c r="F1124" s="979" t="s">
        <v>4916</v>
      </c>
      <c r="G1124" s="979" t="s">
        <v>6269</v>
      </c>
      <c r="H1124" s="1030">
        <v>1734000</v>
      </c>
      <c r="I1124" s="1030">
        <v>333564</v>
      </c>
      <c r="J1124" s="1034">
        <v>0.14518310889037842</v>
      </c>
      <c r="K1124" s="1030">
        <v>251747.51081591618</v>
      </c>
      <c r="L1124" s="1030">
        <v>251747.51081591618</v>
      </c>
      <c r="M1124" s="979">
        <v>599</v>
      </c>
    </row>
    <row r="1125" spans="1:13" ht="15">
      <c r="A1125" s="979" t="s">
        <v>3556</v>
      </c>
      <c r="B1125" s="722" t="str">
        <f>CONCATENATE(LEFT(RIGHT(CONCATENATE("000",IFAData_TEA!A1125),6),3),"-",(RIGHT(RIGHT(CONCATENATE("000",IFAData_TEA!A1125),6),3)))</f>
        <v>108-909</v>
      </c>
      <c r="C1125" s="979" t="s">
        <v>999</v>
      </c>
      <c r="D1125" s="979">
        <v>4</v>
      </c>
      <c r="E1125" s="979">
        <v>2193</v>
      </c>
      <c r="F1125" s="979" t="s">
        <v>4915</v>
      </c>
      <c r="G1125" s="979" t="s">
        <v>6269</v>
      </c>
      <c r="H1125" s="1030">
        <v>4254043</v>
      </c>
      <c r="I1125" s="1030">
        <v>126147</v>
      </c>
      <c r="J1125" s="1034">
        <v>3.090421034863669E-2</v>
      </c>
      <c r="K1125" s="1030">
        <v>131467.83970414547</v>
      </c>
      <c r="L1125" s="1030">
        <v>126147</v>
      </c>
      <c r="M1125" s="979">
        <v>599</v>
      </c>
    </row>
    <row r="1126" spans="1:13" ht="15">
      <c r="A1126" s="979" t="s">
        <v>3556</v>
      </c>
      <c r="B1126" s="722" t="str">
        <f>CONCATENATE(LEFT(RIGHT(CONCATENATE("000",IFAData_TEA!A1126),6),3),"-",(RIGHT(RIGHT(CONCATENATE("000",IFAData_TEA!A1126),6),3)))</f>
        <v>108-909</v>
      </c>
      <c r="C1126" s="979" t="s">
        <v>999</v>
      </c>
      <c r="D1126" s="979">
        <v>8</v>
      </c>
      <c r="E1126" s="979">
        <v>2194</v>
      </c>
      <c r="F1126" s="979" t="s">
        <v>4913</v>
      </c>
      <c r="G1126" s="979" t="s">
        <v>6269</v>
      </c>
      <c r="H1126" s="1030">
        <v>4319089</v>
      </c>
      <c r="I1126" s="1030">
        <v>72008</v>
      </c>
      <c r="J1126" s="1034">
        <v>1.5288670039850162E-2</v>
      </c>
      <c r="K1126" s="1030">
        <v>66033.12659374639</v>
      </c>
      <c r="L1126" s="1030">
        <v>66033.12659374639</v>
      </c>
      <c r="M1126" s="979">
        <v>599</v>
      </c>
    </row>
    <row r="1127" spans="1:13" ht="15">
      <c r="A1127" s="979" t="s">
        <v>3556</v>
      </c>
      <c r="B1127" s="722" t="str">
        <f>CONCATENATE(LEFT(RIGHT(CONCATENATE("000",IFAData_TEA!A1127),6),3),"-",(RIGHT(RIGHT(CONCATENATE("000",IFAData_TEA!A1127),6),3)))</f>
        <v>108-909</v>
      </c>
      <c r="C1127" s="979" t="s">
        <v>999</v>
      </c>
      <c r="D1127" s="979">
        <v>9</v>
      </c>
      <c r="E1127" s="979">
        <v>2196</v>
      </c>
      <c r="F1127" s="979" t="s">
        <v>4917</v>
      </c>
      <c r="G1127" s="979" t="s">
        <v>6269</v>
      </c>
      <c r="H1127" s="1030">
        <v>6721621</v>
      </c>
      <c r="I1127" s="1030">
        <v>1324276</v>
      </c>
      <c r="J1127" s="1034">
        <v>0.19757310247759341</v>
      </c>
      <c r="K1127" s="1030">
        <v>1328011.5146485439</v>
      </c>
      <c r="L1127" s="1030">
        <v>1324276</v>
      </c>
      <c r="M1127" s="979">
        <v>599</v>
      </c>
    </row>
    <row r="1128" spans="1:13" ht="15">
      <c r="A1128" s="979" t="s">
        <v>3556</v>
      </c>
      <c r="B1128" s="722" t="str">
        <f>CONCATENATE(LEFT(RIGHT(CONCATENATE("000",IFAData_TEA!A1128),6),3),"-",(RIGHT(RIGHT(CONCATENATE("000",IFAData_TEA!A1128),6),3)))</f>
        <v>108-909</v>
      </c>
      <c r="C1128" s="979" t="s">
        <v>999</v>
      </c>
      <c r="D1128" s="979">
        <v>1</v>
      </c>
      <c r="E1128" s="979">
        <v>2192</v>
      </c>
      <c r="F1128" s="979" t="s">
        <v>4912</v>
      </c>
      <c r="G1128" s="979" t="s">
        <v>4913</v>
      </c>
      <c r="H1128" s="1030">
        <v>3945431</v>
      </c>
      <c r="I1128" s="1030">
        <v>3698686</v>
      </c>
      <c r="J1128" s="1034">
        <v>0.97643912920318288</v>
      </c>
      <c r="K1128" s="1030">
        <v>3852473.209971243</v>
      </c>
      <c r="L1128" s="1030">
        <v>3698686</v>
      </c>
      <c r="M1128" s="979">
        <v>599</v>
      </c>
    </row>
    <row r="1129" spans="1:13" ht="15">
      <c r="A1129" s="979" t="s">
        <v>3556</v>
      </c>
      <c r="B1129" s="722" t="str">
        <f>CONCATENATE(LEFT(RIGHT(CONCATENATE("000",IFAData_TEA!A1129),6),3),"-",(RIGHT(RIGHT(CONCATENATE("000",IFAData_TEA!A1129),6),3)))</f>
        <v>108-909</v>
      </c>
      <c r="C1129" s="979" t="s">
        <v>999</v>
      </c>
      <c r="D1129" s="979">
        <v>4</v>
      </c>
      <c r="E1129" s="979">
        <v>2193</v>
      </c>
      <c r="F1129" s="979" t="s">
        <v>4915</v>
      </c>
      <c r="G1129" s="979" t="s">
        <v>4913</v>
      </c>
      <c r="H1129" s="1030">
        <v>4254043</v>
      </c>
      <c r="I1129" s="1030">
        <v>3162066</v>
      </c>
      <c r="J1129" s="1034">
        <v>0.77466093367477806</v>
      </c>
      <c r="K1129" s="1030">
        <v>3295440.9222726538</v>
      </c>
      <c r="L1129" s="1030">
        <v>3162066</v>
      </c>
      <c r="M1129" s="979">
        <v>599</v>
      </c>
    </row>
    <row r="1130" spans="1:13" ht="15">
      <c r="A1130" s="979" t="s">
        <v>3556</v>
      </c>
      <c r="B1130" s="722" t="str">
        <f>CONCATENATE(LEFT(RIGHT(CONCATENATE("000",IFAData_TEA!A1130),6),3),"-",(RIGHT(RIGHT(CONCATENATE("000",IFAData_TEA!A1130),6),3)))</f>
        <v>108-909</v>
      </c>
      <c r="C1130" s="979" t="s">
        <v>999</v>
      </c>
      <c r="D1130" s="979">
        <v>1</v>
      </c>
      <c r="E1130" s="979">
        <v>2192</v>
      </c>
      <c r="F1130" s="979" t="s">
        <v>4912</v>
      </c>
      <c r="G1130" s="979" t="s">
        <v>4914</v>
      </c>
      <c r="H1130" s="1030">
        <v>3945431</v>
      </c>
      <c r="I1130" s="1030">
        <v>0</v>
      </c>
      <c r="J1130" s="1034">
        <v>0</v>
      </c>
      <c r="K1130" s="1030">
        <v>0</v>
      </c>
      <c r="L1130" s="1030">
        <v>0</v>
      </c>
      <c r="M1130" s="979">
        <v>599</v>
      </c>
    </row>
    <row r="1131" spans="1:13" ht="15">
      <c r="A1131" s="979" t="s">
        <v>3556</v>
      </c>
      <c r="B1131" s="722" t="str">
        <f>CONCATENATE(LEFT(RIGHT(CONCATENATE("000",IFAData_TEA!A1131),6),3),"-",(RIGHT(RIGHT(CONCATENATE("000",IFAData_TEA!A1131),6),3)))</f>
        <v>108-909</v>
      </c>
      <c r="C1131" s="979" t="s">
        <v>999</v>
      </c>
      <c r="D1131" s="979">
        <v>8</v>
      </c>
      <c r="E1131" s="979">
        <v>2194</v>
      </c>
      <c r="F1131" s="979" t="s">
        <v>4913</v>
      </c>
      <c r="G1131" s="979" t="s">
        <v>4914</v>
      </c>
      <c r="H1131" s="1030">
        <v>4319089</v>
      </c>
      <c r="I1131" s="1030">
        <v>526714</v>
      </c>
      <c r="J1131" s="1034">
        <v>0.11183141527843626</v>
      </c>
      <c r="K1131" s="1030">
        <v>483009.835583526</v>
      </c>
      <c r="L1131" s="1030">
        <v>483009.835583526</v>
      </c>
      <c r="M1131" s="979">
        <v>599</v>
      </c>
    </row>
    <row r="1132" spans="1:13" ht="15">
      <c r="A1132" s="979" t="s">
        <v>3556</v>
      </c>
      <c r="B1132" s="722" t="str">
        <f>CONCATENATE(LEFT(RIGHT(CONCATENATE("000",IFAData_TEA!A1132),6),3),"-",(RIGHT(RIGHT(CONCATENATE("000",IFAData_TEA!A1132),6),3)))</f>
        <v>108-909</v>
      </c>
      <c r="C1132" s="979" t="s">
        <v>999</v>
      </c>
      <c r="D1132" s="979">
        <v>8</v>
      </c>
      <c r="E1132" s="979">
        <v>2191</v>
      </c>
      <c r="F1132" s="979" t="s">
        <v>4916</v>
      </c>
      <c r="G1132" s="979" t="s">
        <v>4914</v>
      </c>
      <c r="H1132" s="1030">
        <v>1734000</v>
      </c>
      <c r="I1132" s="1030">
        <v>318306</v>
      </c>
      <c r="J1132" s="1034">
        <v>0.13854209284713215</v>
      </c>
      <c r="K1132" s="1030">
        <v>240231.98899692713</v>
      </c>
      <c r="L1132" s="1030">
        <v>240231.98899692713</v>
      </c>
      <c r="M1132" s="979">
        <v>599</v>
      </c>
    </row>
    <row r="1133" spans="1:13" ht="15">
      <c r="A1133" s="979" t="s">
        <v>3556</v>
      </c>
      <c r="B1133" s="722" t="str">
        <f>CONCATENATE(LEFT(RIGHT(CONCATENATE("000",IFAData_TEA!A1133),6),3),"-",(RIGHT(RIGHT(CONCATENATE("000",IFAData_TEA!A1133),6),3)))</f>
        <v>108-909</v>
      </c>
      <c r="C1133" s="979" t="s">
        <v>999</v>
      </c>
      <c r="D1133" s="979">
        <v>8</v>
      </c>
      <c r="E1133" s="979">
        <v>2191</v>
      </c>
      <c r="F1133" s="979" t="s">
        <v>4916</v>
      </c>
      <c r="G1133" s="979" t="s">
        <v>4913</v>
      </c>
      <c r="H1133" s="1030">
        <v>1734000</v>
      </c>
      <c r="I1133" s="1030">
        <v>1645670</v>
      </c>
      <c r="J1133" s="1034">
        <v>0.71627479826248941</v>
      </c>
      <c r="K1133" s="1030">
        <v>1242020.5001871567</v>
      </c>
      <c r="L1133" s="1030">
        <v>1242020.5001871567</v>
      </c>
      <c r="M1133" s="979">
        <v>599</v>
      </c>
    </row>
    <row r="1134" spans="1:13" ht="15">
      <c r="A1134" s="979" t="s">
        <v>3556</v>
      </c>
      <c r="B1134" s="722" t="str">
        <f>CONCATENATE(LEFT(RIGHT(CONCATENATE("000",IFAData_TEA!A1134),6),3),"-",(RIGHT(RIGHT(CONCATENATE("000",IFAData_TEA!A1134),6),3)))</f>
        <v>108-909</v>
      </c>
      <c r="C1134" s="979" t="s">
        <v>999</v>
      </c>
      <c r="D1134" s="979">
        <v>8</v>
      </c>
      <c r="E1134" s="979">
        <v>2191</v>
      </c>
      <c r="F1134" s="979" t="s">
        <v>4916</v>
      </c>
      <c r="G1134" s="979" t="s">
        <v>4916</v>
      </c>
      <c r="H1134" s="1030">
        <v>1734000</v>
      </c>
      <c r="I1134" s="1030">
        <v>0</v>
      </c>
      <c r="J1134" s="1034">
        <v>0</v>
      </c>
      <c r="K1134" s="1030">
        <v>0</v>
      </c>
      <c r="L1134" s="1030">
        <v>0</v>
      </c>
      <c r="M1134" s="979">
        <v>599</v>
      </c>
    </row>
    <row r="1135" spans="1:13" ht="15">
      <c r="A1135" s="979" t="s">
        <v>3556</v>
      </c>
      <c r="B1135" s="722" t="str">
        <f>CONCATENATE(LEFT(RIGHT(CONCATENATE("000",IFAData_TEA!A1135),6),3),"-",(RIGHT(RIGHT(CONCATENATE("000",IFAData_TEA!A1135),6),3)))</f>
        <v>108-909</v>
      </c>
      <c r="C1135" s="979" t="s">
        <v>999</v>
      </c>
      <c r="D1135" s="979">
        <v>10</v>
      </c>
      <c r="E1135" s="979">
        <v>2195</v>
      </c>
      <c r="F1135" s="979" t="s">
        <v>4918</v>
      </c>
      <c r="G1135" s="979" t="s">
        <v>4918</v>
      </c>
      <c r="H1135" s="1030">
        <v>5985990</v>
      </c>
      <c r="I1135" s="1030">
        <v>6157600</v>
      </c>
      <c r="J1135" s="1034">
        <v>1</v>
      </c>
      <c r="K1135" s="1030">
        <v>5985990</v>
      </c>
      <c r="L1135" s="1030">
        <v>5985990</v>
      </c>
      <c r="M1135" s="979">
        <v>599</v>
      </c>
    </row>
    <row r="1136" spans="1:13" ht="15">
      <c r="A1136" s="979" t="s">
        <v>3556</v>
      </c>
      <c r="B1136" s="722" t="str">
        <f>CONCATENATE(LEFT(RIGHT(CONCATENATE("000",IFAData_TEA!A1136),6),3),"-",(RIGHT(RIGHT(CONCATENATE("000",IFAData_TEA!A1136),6),3)))</f>
        <v>108-909</v>
      </c>
      <c r="C1136" s="979" t="s">
        <v>999</v>
      </c>
      <c r="D1136" s="979">
        <v>1</v>
      </c>
      <c r="E1136" s="979">
        <v>2192</v>
      </c>
      <c r="F1136" s="979" t="s">
        <v>4912</v>
      </c>
      <c r="G1136" s="979" t="s">
        <v>4912</v>
      </c>
      <c r="H1136" s="1030">
        <v>3945431</v>
      </c>
      <c r="I1136" s="1030">
        <v>0</v>
      </c>
      <c r="J1136" s="1034">
        <v>0</v>
      </c>
      <c r="K1136" s="1030">
        <v>0</v>
      </c>
      <c r="L1136" s="1030">
        <v>0</v>
      </c>
      <c r="M1136" s="979">
        <v>599</v>
      </c>
    </row>
    <row r="1137" spans="1:13" ht="15">
      <c r="A1137" s="979" t="s">
        <v>3556</v>
      </c>
      <c r="B1137" s="722" t="str">
        <f>CONCATENATE(LEFT(RIGHT(CONCATENATE("000",IFAData_TEA!A1137),6),3),"-",(RIGHT(RIGHT(CONCATENATE("000",IFAData_TEA!A1137),6),3)))</f>
        <v>108-909</v>
      </c>
      <c r="C1137" s="979" t="s">
        <v>999</v>
      </c>
      <c r="D1137" s="979">
        <v>4</v>
      </c>
      <c r="E1137" s="979">
        <v>2193</v>
      </c>
      <c r="F1137" s="979" t="s">
        <v>4915</v>
      </c>
      <c r="G1137" s="979" t="s">
        <v>4915</v>
      </c>
      <c r="H1137" s="1030">
        <v>4254043</v>
      </c>
      <c r="I1137" s="1030">
        <v>0</v>
      </c>
      <c r="J1137" s="1034">
        <v>0</v>
      </c>
      <c r="K1137" s="1030">
        <v>0</v>
      </c>
      <c r="L1137" s="1030">
        <v>0</v>
      </c>
      <c r="M1137" s="979">
        <v>599</v>
      </c>
    </row>
    <row r="1138" spans="1:13" ht="15">
      <c r="A1138" s="979" t="s">
        <v>3556</v>
      </c>
      <c r="B1138" s="722" t="str">
        <f>CONCATENATE(LEFT(RIGHT(CONCATENATE("000",IFAData_TEA!A1138),6),3),"-",(RIGHT(RIGHT(CONCATENATE("000",IFAData_TEA!A1138),6),3)))</f>
        <v>108-909</v>
      </c>
      <c r="C1138" s="979" t="s">
        <v>999</v>
      </c>
      <c r="D1138" s="979">
        <v>8</v>
      </c>
      <c r="E1138" s="979">
        <v>2194</v>
      </c>
      <c r="F1138" s="979" t="s">
        <v>4913</v>
      </c>
      <c r="G1138" s="979" t="s">
        <v>4913</v>
      </c>
      <c r="H1138" s="1030">
        <v>4319089</v>
      </c>
      <c r="I1138" s="1030">
        <v>4111171</v>
      </c>
      <c r="J1138" s="1034">
        <v>0.87287991468171355</v>
      </c>
      <c r="K1138" s="1030">
        <v>3770046.0378227276</v>
      </c>
      <c r="L1138" s="1030">
        <v>3770046.0378227276</v>
      </c>
      <c r="M1138" s="979">
        <v>599</v>
      </c>
    </row>
    <row r="1139" spans="1:13" ht="15">
      <c r="A1139" s="979" t="s">
        <v>3556</v>
      </c>
      <c r="B1139" s="722" t="str">
        <f>CONCATENATE(LEFT(RIGHT(CONCATENATE("000",IFAData_TEA!A1139),6),3),"-",(RIGHT(RIGHT(CONCATENATE("000",IFAData_TEA!A1139),6),3)))</f>
        <v>108-909</v>
      </c>
      <c r="C1139" s="979" t="s">
        <v>999</v>
      </c>
      <c r="D1139" s="979">
        <v>9</v>
      </c>
      <c r="E1139" s="979">
        <v>2196</v>
      </c>
      <c r="F1139" s="979" t="s">
        <v>4917</v>
      </c>
      <c r="G1139" s="979" t="s">
        <v>4917</v>
      </c>
      <c r="H1139" s="1030">
        <v>6721621</v>
      </c>
      <c r="I1139" s="1030">
        <v>5378438</v>
      </c>
      <c r="J1139" s="1034">
        <v>0.80242689752240659</v>
      </c>
      <c r="K1139" s="1030">
        <v>5393609.4853514563</v>
      </c>
      <c r="L1139" s="1030">
        <v>5378438</v>
      </c>
      <c r="M1139" s="979">
        <v>599</v>
      </c>
    </row>
    <row r="1140" spans="1:13" ht="15">
      <c r="A1140" s="979" t="s">
        <v>3556</v>
      </c>
      <c r="B1140" s="722" t="str">
        <f>CONCATENATE(LEFT(RIGHT(CONCATENATE("000",IFAData_TEA!A1140),6),3),"-",(RIGHT(RIGHT(CONCATENATE("000",IFAData_TEA!A1140),6),3)))</f>
        <v>108-909</v>
      </c>
      <c r="C1140" s="979" t="s">
        <v>999</v>
      </c>
      <c r="D1140" s="979">
        <v>1</v>
      </c>
      <c r="E1140" s="979">
        <v>2192</v>
      </c>
      <c r="F1140" s="979" t="s">
        <v>4912</v>
      </c>
      <c r="G1140" s="979" t="s">
        <v>6269</v>
      </c>
      <c r="H1140" s="1030">
        <v>3945431</v>
      </c>
      <c r="I1140" s="1030">
        <v>89247</v>
      </c>
      <c r="J1140" s="1034">
        <v>2.3560870796817155E-2</v>
      </c>
      <c r="K1140" s="1030">
        <v>92957.79002875711</v>
      </c>
      <c r="L1140" s="1030">
        <v>89247</v>
      </c>
      <c r="M1140" s="979">
        <v>599</v>
      </c>
    </row>
    <row r="1141" spans="1:13" ht="15">
      <c r="A1141" s="979" t="s">
        <v>3556</v>
      </c>
      <c r="B1141" s="722" t="str">
        <f>CONCATENATE(LEFT(RIGHT(CONCATENATE("000",IFAData_TEA!A1141),6),3),"-",(RIGHT(RIGHT(CONCATENATE("000",IFAData_TEA!A1141),6),3)))</f>
        <v>108-909</v>
      </c>
      <c r="C1141" s="979" t="s">
        <v>999</v>
      </c>
      <c r="D1141" s="979">
        <v>4</v>
      </c>
      <c r="E1141" s="979">
        <v>2193</v>
      </c>
      <c r="F1141" s="979" t="s">
        <v>4915</v>
      </c>
      <c r="G1141" s="979" t="s">
        <v>4914</v>
      </c>
      <c r="H1141" s="1030">
        <v>4254043</v>
      </c>
      <c r="I1141" s="1030">
        <v>793658</v>
      </c>
      <c r="J1141" s="1034">
        <v>0.19443485597658525</v>
      </c>
      <c r="K1141" s="1030">
        <v>827134.23802320065</v>
      </c>
      <c r="L1141" s="1030">
        <v>793658</v>
      </c>
      <c r="M1141" s="979">
        <v>599</v>
      </c>
    </row>
    <row r="1142" spans="1:13" ht="15">
      <c r="A1142" s="979" t="s">
        <v>3557</v>
      </c>
      <c r="B1142" s="722" t="str">
        <f>CONCATENATE(LEFT(RIGHT(CONCATENATE("000",IFAData_TEA!A1142),6),3),"-",(RIGHT(RIGHT(CONCATENATE("000",IFAData_TEA!A1142),6),3)))</f>
        <v>108-910</v>
      </c>
      <c r="C1142" s="979" t="s">
        <v>75</v>
      </c>
      <c r="D1142" s="979">
        <v>8</v>
      </c>
      <c r="E1142" s="979">
        <v>2221</v>
      </c>
      <c r="F1142" s="979" t="s">
        <v>4926</v>
      </c>
      <c r="G1142" s="979" t="s">
        <v>4926</v>
      </c>
      <c r="H1142" s="1030">
        <v>486219</v>
      </c>
      <c r="I1142" s="1030">
        <v>482991</v>
      </c>
      <c r="J1142" s="1034">
        <v>1</v>
      </c>
      <c r="K1142" s="1030">
        <v>486219</v>
      </c>
      <c r="L1142" s="1030">
        <v>482991</v>
      </c>
      <c r="M1142" s="979">
        <v>599</v>
      </c>
    </row>
    <row r="1143" spans="1:13" ht="15">
      <c r="A1143" s="979" t="s">
        <v>3557</v>
      </c>
      <c r="B1143" s="722" t="str">
        <f>CONCATENATE(LEFT(RIGHT(CONCATENATE("000",IFAData_TEA!A1143),6),3),"-",(RIGHT(RIGHT(CONCATENATE("000",IFAData_TEA!A1143),6),3)))</f>
        <v>108-910</v>
      </c>
      <c r="C1143" s="979" t="s">
        <v>75</v>
      </c>
      <c r="D1143" s="979">
        <v>7</v>
      </c>
      <c r="E1143" s="979">
        <v>2217</v>
      </c>
      <c r="F1143" s="979" t="s">
        <v>4924</v>
      </c>
      <c r="G1143" s="979" t="s">
        <v>4925</v>
      </c>
      <c r="H1143" s="1030">
        <v>267450</v>
      </c>
      <c r="I1143" s="1030">
        <v>237075</v>
      </c>
      <c r="J1143" s="1034">
        <v>1</v>
      </c>
      <c r="K1143" s="1030">
        <v>267450</v>
      </c>
      <c r="L1143" s="1030">
        <v>237075</v>
      </c>
      <c r="M1143" s="979">
        <v>599</v>
      </c>
    </row>
    <row r="1144" spans="1:13" ht="15">
      <c r="A1144" s="979" t="s">
        <v>3557</v>
      </c>
      <c r="B1144" s="722" t="str">
        <f>CONCATENATE(LEFT(RIGHT(CONCATENATE("000",IFAData_TEA!A1144),6),3),"-",(RIGHT(RIGHT(CONCATENATE("000",IFAData_TEA!A1144),6),3)))</f>
        <v>108-910</v>
      </c>
      <c r="C1144" s="979" t="s">
        <v>75</v>
      </c>
      <c r="D1144" s="979">
        <v>1</v>
      </c>
      <c r="E1144" s="979">
        <v>2218</v>
      </c>
      <c r="F1144" s="979" t="s">
        <v>4919</v>
      </c>
      <c r="G1144" s="979" t="s">
        <v>4919</v>
      </c>
      <c r="H1144" s="1030">
        <v>426618</v>
      </c>
      <c r="I1144" s="1030">
        <v>0</v>
      </c>
      <c r="J1144" s="1034">
        <v>0</v>
      </c>
      <c r="K1144" s="1030">
        <v>0</v>
      </c>
      <c r="L1144" s="1030">
        <v>0</v>
      </c>
      <c r="M1144" s="979">
        <v>599</v>
      </c>
    </row>
    <row r="1145" spans="1:13" ht="15">
      <c r="A1145" s="979" t="s">
        <v>3557</v>
      </c>
      <c r="B1145" s="722" t="str">
        <f>CONCATENATE(LEFT(RIGHT(CONCATENATE("000",IFAData_TEA!A1145),6),3),"-",(RIGHT(RIGHT(CONCATENATE("000",IFAData_TEA!A1145),6),3)))</f>
        <v>108-910</v>
      </c>
      <c r="C1145" s="979" t="s">
        <v>75</v>
      </c>
      <c r="D1145" s="979">
        <v>6</v>
      </c>
      <c r="E1145" s="979">
        <v>2220</v>
      </c>
      <c r="F1145" s="979" t="s">
        <v>4921</v>
      </c>
      <c r="G1145" s="979" t="s">
        <v>4923</v>
      </c>
      <c r="H1145" s="1030">
        <v>448118</v>
      </c>
      <c r="I1145" s="1030">
        <v>0</v>
      </c>
      <c r="J1145" s="1034">
        <v>0</v>
      </c>
      <c r="K1145" s="1030">
        <v>0</v>
      </c>
      <c r="L1145" s="1030">
        <v>0</v>
      </c>
      <c r="M1145" s="979">
        <v>599</v>
      </c>
    </row>
    <row r="1146" spans="1:13" ht="15">
      <c r="A1146" s="979" t="s">
        <v>3557</v>
      </c>
      <c r="B1146" s="722" t="str">
        <f>CONCATENATE(LEFT(RIGHT(CONCATENATE("000",IFAData_TEA!A1146),6),3),"-",(RIGHT(RIGHT(CONCATENATE("000",IFAData_TEA!A1146),6),3)))</f>
        <v>108-910</v>
      </c>
      <c r="C1146" s="979" t="s">
        <v>75</v>
      </c>
      <c r="D1146" s="979">
        <v>6</v>
      </c>
      <c r="E1146" s="979">
        <v>2220</v>
      </c>
      <c r="F1146" s="979" t="s">
        <v>4921</v>
      </c>
      <c r="G1146" s="979" t="s">
        <v>4922</v>
      </c>
      <c r="H1146" s="1030">
        <v>448118</v>
      </c>
      <c r="I1146" s="1030">
        <v>427263</v>
      </c>
      <c r="J1146" s="1034">
        <v>1</v>
      </c>
      <c r="K1146" s="1030">
        <v>448118</v>
      </c>
      <c r="L1146" s="1030">
        <v>427263</v>
      </c>
      <c r="M1146" s="979">
        <v>599</v>
      </c>
    </row>
    <row r="1147" spans="1:13" ht="15">
      <c r="A1147" s="979" t="s">
        <v>3557</v>
      </c>
      <c r="B1147" s="722" t="str">
        <f>CONCATENATE(LEFT(RIGHT(CONCATENATE("000",IFAData_TEA!A1147),6),3),"-",(RIGHT(RIGHT(CONCATENATE("000",IFAData_TEA!A1147),6),3)))</f>
        <v>108-910</v>
      </c>
      <c r="C1147" s="979" t="s">
        <v>75</v>
      </c>
      <c r="D1147" s="979">
        <v>10</v>
      </c>
      <c r="E1147" s="979">
        <v>2219</v>
      </c>
      <c r="F1147" s="979" t="s">
        <v>4927</v>
      </c>
      <c r="G1147" s="979" t="s">
        <v>4927</v>
      </c>
      <c r="H1147" s="1030">
        <v>428983</v>
      </c>
      <c r="I1147" s="1030">
        <v>478881</v>
      </c>
      <c r="J1147" s="1034">
        <v>1</v>
      </c>
      <c r="K1147" s="1030">
        <v>428983</v>
      </c>
      <c r="L1147" s="1030">
        <v>428983</v>
      </c>
      <c r="M1147" s="979">
        <v>599</v>
      </c>
    </row>
    <row r="1148" spans="1:13" ht="15">
      <c r="A1148" s="979" t="s">
        <v>3557</v>
      </c>
      <c r="B1148" s="722" t="str">
        <f>CONCATENATE(LEFT(RIGHT(CONCATENATE("000",IFAData_TEA!A1148),6),3),"-",(RIGHT(RIGHT(CONCATENATE("000",IFAData_TEA!A1148),6),3)))</f>
        <v>108-910</v>
      </c>
      <c r="C1148" s="979" t="s">
        <v>75</v>
      </c>
      <c r="D1148" s="979">
        <v>1</v>
      </c>
      <c r="E1148" s="979">
        <v>2218</v>
      </c>
      <c r="F1148" s="979" t="s">
        <v>4919</v>
      </c>
      <c r="G1148" s="979" t="s">
        <v>4920</v>
      </c>
      <c r="H1148" s="1030">
        <v>426618</v>
      </c>
      <c r="I1148" s="1030">
        <v>391900</v>
      </c>
      <c r="J1148" s="1034">
        <v>1</v>
      </c>
      <c r="K1148" s="1030">
        <v>426618</v>
      </c>
      <c r="L1148" s="1030">
        <v>391900</v>
      </c>
      <c r="M1148" s="979">
        <v>599</v>
      </c>
    </row>
    <row r="1149" spans="1:13" ht="15">
      <c r="A1149" s="979" t="s">
        <v>3557</v>
      </c>
      <c r="B1149" s="722" t="str">
        <f>CONCATENATE(LEFT(RIGHT(CONCATENATE("000",IFAData_TEA!A1149),6),3),"-",(RIGHT(RIGHT(CONCATENATE("000",IFAData_TEA!A1149),6),3)))</f>
        <v>108-910</v>
      </c>
      <c r="C1149" s="979" t="s">
        <v>75</v>
      </c>
      <c r="D1149" s="979">
        <v>7</v>
      </c>
      <c r="E1149" s="979">
        <v>2217</v>
      </c>
      <c r="F1149" s="979" t="s">
        <v>4924</v>
      </c>
      <c r="G1149" s="979" t="s">
        <v>4924</v>
      </c>
      <c r="H1149" s="1030">
        <v>267450</v>
      </c>
      <c r="I1149" s="1030">
        <v>0</v>
      </c>
      <c r="J1149" s="1034">
        <v>0</v>
      </c>
      <c r="K1149" s="1030">
        <v>0</v>
      </c>
      <c r="L1149" s="1030">
        <v>0</v>
      </c>
      <c r="M1149" s="979">
        <v>599</v>
      </c>
    </row>
    <row r="1150" spans="1:13" ht="15">
      <c r="A1150" s="979" t="s">
        <v>3557</v>
      </c>
      <c r="B1150" s="722" t="str">
        <f>CONCATENATE(LEFT(RIGHT(CONCATENATE("000",IFAData_TEA!A1150),6),3),"-",(RIGHT(RIGHT(CONCATENATE("000",IFAData_TEA!A1150),6),3)))</f>
        <v>108-910</v>
      </c>
      <c r="C1150" s="979" t="s">
        <v>75</v>
      </c>
      <c r="D1150" s="979">
        <v>6</v>
      </c>
      <c r="E1150" s="979">
        <v>2220</v>
      </c>
      <c r="F1150" s="979" t="s">
        <v>4921</v>
      </c>
      <c r="G1150" s="979" t="s">
        <v>4921</v>
      </c>
      <c r="H1150" s="1030">
        <v>448118</v>
      </c>
      <c r="I1150" s="1030">
        <v>0</v>
      </c>
      <c r="J1150" s="1034">
        <v>0</v>
      </c>
      <c r="K1150" s="1030">
        <v>0</v>
      </c>
      <c r="L1150" s="1030">
        <v>0</v>
      </c>
      <c r="M1150" s="979">
        <v>599</v>
      </c>
    </row>
    <row r="1151" spans="1:13" ht="15">
      <c r="A1151" s="979" t="s">
        <v>3558</v>
      </c>
      <c r="B1151" s="722" t="str">
        <f>CONCATENATE(LEFT(RIGHT(CONCATENATE("000",IFAData_TEA!A1151),6),3),"-",(RIGHT(RIGHT(CONCATENATE("000",IFAData_TEA!A1151),6),3)))</f>
        <v>108-911</v>
      </c>
      <c r="C1151" s="979" t="s">
        <v>2602</v>
      </c>
      <c r="D1151" s="979">
        <v>10</v>
      </c>
      <c r="E1151" s="979">
        <v>2327</v>
      </c>
      <c r="F1151" s="979" t="s">
        <v>4928</v>
      </c>
      <c r="G1151" s="979" t="s">
        <v>4928</v>
      </c>
      <c r="H1151" s="1030">
        <v>570407</v>
      </c>
      <c r="I1151" s="1030">
        <v>563512</v>
      </c>
      <c r="J1151" s="1034">
        <v>1</v>
      </c>
      <c r="K1151" s="1030">
        <v>570407</v>
      </c>
      <c r="L1151" s="1030">
        <v>563512</v>
      </c>
      <c r="M1151" s="979">
        <v>599</v>
      </c>
    </row>
    <row r="1152" spans="1:13" ht="15">
      <c r="A1152" s="979" t="s">
        <v>3559</v>
      </c>
      <c r="B1152" s="722" t="str">
        <f>CONCATENATE(LEFT(RIGHT(CONCATENATE("000",IFAData_TEA!A1152),6),3),"-",(RIGHT(RIGHT(CONCATENATE("000",IFAData_TEA!A1152),6),3)))</f>
        <v>108-912</v>
      </c>
      <c r="C1152" s="979" t="s">
        <v>1897</v>
      </c>
      <c r="D1152" s="979">
        <v>2</v>
      </c>
      <c r="E1152" s="979">
        <v>1981</v>
      </c>
      <c r="F1152" s="979" t="s">
        <v>4929</v>
      </c>
      <c r="G1152" s="979" t="s">
        <v>6270</v>
      </c>
      <c r="H1152" s="1030">
        <v>3415997</v>
      </c>
      <c r="I1152" s="1030">
        <v>1504901</v>
      </c>
      <c r="J1152" s="1034">
        <v>0.30914763314970878</v>
      </c>
      <c r="K1152" s="1030">
        <v>1056047.3873965058</v>
      </c>
      <c r="L1152" s="1030">
        <v>1056047.3873965058</v>
      </c>
      <c r="M1152" s="979">
        <v>599</v>
      </c>
    </row>
    <row r="1153" spans="1:13" ht="15">
      <c r="A1153" s="979" t="s">
        <v>3559</v>
      </c>
      <c r="B1153" s="722" t="str">
        <f>CONCATENATE(LEFT(RIGHT(CONCATENATE("000",IFAData_TEA!A1153),6),3),"-",(RIGHT(RIGHT(CONCATENATE("000",IFAData_TEA!A1153),6),3)))</f>
        <v>108-912</v>
      </c>
      <c r="C1153" s="979" t="s">
        <v>1897</v>
      </c>
      <c r="D1153" s="979">
        <v>4</v>
      </c>
      <c r="E1153" s="979">
        <v>1982</v>
      </c>
      <c r="F1153" s="979" t="s">
        <v>4933</v>
      </c>
      <c r="G1153" s="979" t="s">
        <v>6270</v>
      </c>
      <c r="H1153" s="1030">
        <v>3469419</v>
      </c>
      <c r="I1153" s="1030">
        <v>245743</v>
      </c>
      <c r="J1153" s="1034">
        <v>6.6779368269562087E-2</v>
      </c>
      <c r="K1153" s="1030">
        <v>231685.60908241582</v>
      </c>
      <c r="L1153" s="1030">
        <v>231685.60908241582</v>
      </c>
      <c r="M1153" s="979">
        <v>599</v>
      </c>
    </row>
    <row r="1154" spans="1:13" ht="15">
      <c r="A1154" s="979" t="s">
        <v>3559</v>
      </c>
      <c r="B1154" s="722" t="str">
        <f>CONCATENATE(LEFT(RIGHT(CONCATENATE("000",IFAData_TEA!A1154),6),3),"-",(RIGHT(RIGHT(CONCATENATE("000",IFAData_TEA!A1154),6),3)))</f>
        <v>108-912</v>
      </c>
      <c r="C1154" s="979" t="s">
        <v>1897</v>
      </c>
      <c r="D1154" s="979">
        <v>8</v>
      </c>
      <c r="E1154" s="979">
        <v>1984</v>
      </c>
      <c r="F1154" s="979" t="s">
        <v>4937</v>
      </c>
      <c r="G1154" s="979" t="s">
        <v>6270</v>
      </c>
      <c r="H1154" s="1030">
        <v>5556579</v>
      </c>
      <c r="I1154" s="1030">
        <v>61418</v>
      </c>
      <c r="J1154" s="1034">
        <v>1.159892475108335E-2</v>
      </c>
      <c r="K1154" s="1030">
        <v>64450.34169444997</v>
      </c>
      <c r="L1154" s="1030">
        <v>61418</v>
      </c>
      <c r="M1154" s="979">
        <v>599</v>
      </c>
    </row>
    <row r="1155" spans="1:13" ht="15">
      <c r="A1155" s="979" t="s">
        <v>3559</v>
      </c>
      <c r="B1155" s="722" t="str">
        <f>CONCATENATE(LEFT(RIGHT(CONCATENATE("000",IFAData_TEA!A1155),6),3),"-",(RIGHT(RIGHT(CONCATENATE("000",IFAData_TEA!A1155),6),3)))</f>
        <v>108-912</v>
      </c>
      <c r="C1155" s="979" t="s">
        <v>1897</v>
      </c>
      <c r="D1155" s="979">
        <v>9</v>
      </c>
      <c r="E1155" s="979">
        <v>1985</v>
      </c>
      <c r="F1155" s="979" t="s">
        <v>4939</v>
      </c>
      <c r="G1155" s="979" t="s">
        <v>6270</v>
      </c>
      <c r="H1155" s="1030">
        <v>5948498</v>
      </c>
      <c r="I1155" s="1030">
        <v>623604</v>
      </c>
      <c r="J1155" s="1034">
        <v>0.12061737285209709</v>
      </c>
      <c r="K1155" s="1030">
        <v>717492.20117595384</v>
      </c>
      <c r="L1155" s="1030">
        <v>623604</v>
      </c>
      <c r="M1155" s="979">
        <v>599</v>
      </c>
    </row>
    <row r="1156" spans="1:13" ht="15">
      <c r="A1156" s="979" t="s">
        <v>3559</v>
      </c>
      <c r="B1156" s="722" t="str">
        <f>CONCATENATE(LEFT(RIGHT(CONCATENATE("000",IFAData_TEA!A1156),6),3),"-",(RIGHT(RIGHT(CONCATENATE("000",IFAData_TEA!A1156),6),3)))</f>
        <v>108-912</v>
      </c>
      <c r="C1156" s="979" t="s">
        <v>1897</v>
      </c>
      <c r="D1156" s="979">
        <v>4</v>
      </c>
      <c r="E1156" s="979">
        <v>1982</v>
      </c>
      <c r="F1156" s="979" t="s">
        <v>4933</v>
      </c>
      <c r="G1156" s="979" t="s">
        <v>4932</v>
      </c>
      <c r="H1156" s="1030">
        <v>3469419</v>
      </c>
      <c r="I1156" s="1030">
        <v>607494</v>
      </c>
      <c r="J1156" s="1034">
        <v>0.16508330063338264</v>
      </c>
      <c r="K1156" s="1030">
        <v>572743.13980016974</v>
      </c>
      <c r="L1156" s="1030">
        <v>572743.13980016974</v>
      </c>
      <c r="M1156" s="979">
        <v>599</v>
      </c>
    </row>
    <row r="1157" spans="1:13" ht="15">
      <c r="A1157" s="979" t="s">
        <v>3559</v>
      </c>
      <c r="B1157" s="722" t="str">
        <f>CONCATENATE(LEFT(RIGHT(CONCATENATE("000",IFAData_TEA!A1157),6),3),"-",(RIGHT(RIGHT(CONCATENATE("000",IFAData_TEA!A1157),6),3)))</f>
        <v>108-912</v>
      </c>
      <c r="C1157" s="979" t="s">
        <v>1897</v>
      </c>
      <c r="D1157" s="979">
        <v>8</v>
      </c>
      <c r="E1157" s="979">
        <v>1984</v>
      </c>
      <c r="F1157" s="979" t="s">
        <v>4937</v>
      </c>
      <c r="G1157" s="979" t="s">
        <v>4938</v>
      </c>
      <c r="H1157" s="1030">
        <v>5556579</v>
      </c>
      <c r="I1157" s="1030">
        <v>1772678</v>
      </c>
      <c r="J1157" s="1034">
        <v>0.33477414975904346</v>
      </c>
      <c r="K1157" s="1030">
        <v>1860199.0102939559</v>
      </c>
      <c r="L1157" s="1030">
        <v>1772678</v>
      </c>
      <c r="M1157" s="979">
        <v>599</v>
      </c>
    </row>
    <row r="1158" spans="1:13" ht="15">
      <c r="A1158" s="979" t="s">
        <v>3559</v>
      </c>
      <c r="B1158" s="722" t="str">
        <f>CONCATENATE(LEFT(RIGHT(CONCATENATE("000",IFAData_TEA!A1158),6),3),"-",(RIGHT(RIGHT(CONCATENATE("000",IFAData_TEA!A1158),6),3)))</f>
        <v>108-912</v>
      </c>
      <c r="C1158" s="979" t="s">
        <v>1897</v>
      </c>
      <c r="D1158" s="979">
        <v>9</v>
      </c>
      <c r="E1158" s="979">
        <v>1985</v>
      </c>
      <c r="F1158" s="979" t="s">
        <v>4939</v>
      </c>
      <c r="G1158" s="979" t="s">
        <v>4938</v>
      </c>
      <c r="H1158" s="1030">
        <v>5948498</v>
      </c>
      <c r="I1158" s="1030">
        <v>2192722</v>
      </c>
      <c r="J1158" s="1034">
        <v>0.42411589251351184</v>
      </c>
      <c r="K1158" s="1030">
        <v>2522852.5383848404</v>
      </c>
      <c r="L1158" s="1030">
        <v>2192722</v>
      </c>
      <c r="M1158" s="979">
        <v>599</v>
      </c>
    </row>
    <row r="1159" spans="1:13" ht="15">
      <c r="A1159" s="979" t="s">
        <v>3559</v>
      </c>
      <c r="B1159" s="722" t="str">
        <f>CONCATENATE(LEFT(RIGHT(CONCATENATE("000",IFAData_TEA!A1159),6),3),"-",(RIGHT(RIGHT(CONCATENATE("000",IFAData_TEA!A1159),6),3)))</f>
        <v>108-912</v>
      </c>
      <c r="C1159" s="979" t="s">
        <v>1897</v>
      </c>
      <c r="D1159" s="979">
        <v>7</v>
      </c>
      <c r="E1159" s="979">
        <v>1983</v>
      </c>
      <c r="F1159" s="979" t="s">
        <v>4934</v>
      </c>
      <c r="G1159" s="979" t="s">
        <v>4936</v>
      </c>
      <c r="H1159" s="1030">
        <v>5218175</v>
      </c>
      <c r="I1159" s="1030">
        <v>1637625</v>
      </c>
      <c r="J1159" s="1034">
        <v>0.43838480046514766</v>
      </c>
      <c r="K1159" s="1030">
        <v>2287568.6061672219</v>
      </c>
      <c r="L1159" s="1030">
        <v>1637625</v>
      </c>
      <c r="M1159" s="979">
        <v>599</v>
      </c>
    </row>
    <row r="1160" spans="1:13" ht="15">
      <c r="A1160" s="979" t="s">
        <v>3559</v>
      </c>
      <c r="B1160" s="722" t="str">
        <f>CONCATENATE(LEFT(RIGHT(CONCATENATE("000",IFAData_TEA!A1160),6),3),"-",(RIGHT(RIGHT(CONCATENATE("000",IFAData_TEA!A1160),6),3)))</f>
        <v>108-912</v>
      </c>
      <c r="C1160" s="979" t="s">
        <v>1897</v>
      </c>
      <c r="D1160" s="979">
        <v>8</v>
      </c>
      <c r="E1160" s="979">
        <v>1984</v>
      </c>
      <c r="F1160" s="979" t="s">
        <v>4937</v>
      </c>
      <c r="G1160" s="979" t="s">
        <v>4936</v>
      </c>
      <c r="H1160" s="1030">
        <v>5556579</v>
      </c>
      <c r="I1160" s="1030">
        <v>1349050</v>
      </c>
      <c r="J1160" s="1034">
        <v>0.2547710676910514</v>
      </c>
      <c r="K1160" s="1030">
        <v>1415655.5645396747</v>
      </c>
      <c r="L1160" s="1030">
        <v>1349050</v>
      </c>
      <c r="M1160" s="979">
        <v>599</v>
      </c>
    </row>
    <row r="1161" spans="1:13" ht="15">
      <c r="A1161" s="979" t="s">
        <v>3559</v>
      </c>
      <c r="B1161" s="722" t="str">
        <f>CONCATENATE(LEFT(RIGHT(CONCATENATE("000",IFAData_TEA!A1161),6),3),"-",(RIGHT(RIGHT(CONCATENATE("000",IFAData_TEA!A1161),6),3)))</f>
        <v>108-912</v>
      </c>
      <c r="C1161" s="979" t="s">
        <v>1897</v>
      </c>
      <c r="D1161" s="979">
        <v>7</v>
      </c>
      <c r="E1161" s="979">
        <v>1983</v>
      </c>
      <c r="F1161" s="979" t="s">
        <v>4934</v>
      </c>
      <c r="G1161" s="979" t="s">
        <v>4935</v>
      </c>
      <c r="H1161" s="1030">
        <v>5218175</v>
      </c>
      <c r="I1161" s="1030">
        <v>784300</v>
      </c>
      <c r="J1161" s="1034">
        <v>0.20995356018918573</v>
      </c>
      <c r="K1161" s="1030">
        <v>1095574.4189402042</v>
      </c>
      <c r="L1161" s="1030">
        <v>784300</v>
      </c>
      <c r="M1161" s="979">
        <v>599</v>
      </c>
    </row>
    <row r="1162" spans="1:13" ht="15">
      <c r="A1162" s="979" t="s">
        <v>3559</v>
      </c>
      <c r="B1162" s="722" t="str">
        <f>CONCATENATE(LEFT(RIGHT(CONCATENATE("000",IFAData_TEA!A1162),6),3),"-",(RIGHT(RIGHT(CONCATENATE("000",IFAData_TEA!A1162),6),3)))</f>
        <v>108-912</v>
      </c>
      <c r="C1162" s="979" t="s">
        <v>1897</v>
      </c>
      <c r="D1162" s="979">
        <v>4</v>
      </c>
      <c r="E1162" s="979">
        <v>1982</v>
      </c>
      <c r="F1162" s="979" t="s">
        <v>4933</v>
      </c>
      <c r="G1162" s="979" t="s">
        <v>4930</v>
      </c>
      <c r="H1162" s="1030">
        <v>3469419</v>
      </c>
      <c r="I1162" s="1030">
        <v>2826687</v>
      </c>
      <c r="J1162" s="1034">
        <v>0.76813733109705529</v>
      </c>
      <c r="K1162" s="1030">
        <v>2664990.2511174143</v>
      </c>
      <c r="L1162" s="1030">
        <v>2664990.2511174143</v>
      </c>
      <c r="M1162" s="979">
        <v>599</v>
      </c>
    </row>
    <row r="1163" spans="1:13" ht="15">
      <c r="A1163" s="979" t="s">
        <v>3559</v>
      </c>
      <c r="B1163" s="722" t="str">
        <f>CONCATENATE(LEFT(RIGHT(CONCATENATE("000",IFAData_TEA!A1163),6),3),"-",(RIGHT(RIGHT(CONCATENATE("000",IFAData_TEA!A1163),6),3)))</f>
        <v>108-912</v>
      </c>
      <c r="C1163" s="979" t="s">
        <v>1897</v>
      </c>
      <c r="D1163" s="979">
        <v>2</v>
      </c>
      <c r="E1163" s="979">
        <v>1981</v>
      </c>
      <c r="F1163" s="979" t="s">
        <v>4929</v>
      </c>
      <c r="G1163" s="979" t="s">
        <v>4931</v>
      </c>
      <c r="H1163" s="1030">
        <v>3415997</v>
      </c>
      <c r="I1163" s="1030">
        <v>1703962</v>
      </c>
      <c r="J1163" s="1034">
        <v>0.35004018156479666</v>
      </c>
      <c r="K1163" s="1030">
        <v>1195736.2101048008</v>
      </c>
      <c r="L1163" s="1030">
        <v>1195736.2101048008</v>
      </c>
      <c r="M1163" s="979">
        <v>599</v>
      </c>
    </row>
    <row r="1164" spans="1:13" ht="15">
      <c r="A1164" s="979" t="s">
        <v>3559</v>
      </c>
      <c r="B1164" s="722" t="str">
        <f>CONCATENATE(LEFT(RIGHT(CONCATENATE("000",IFAData_TEA!A1164),6),3),"-",(RIGHT(RIGHT(CONCATENATE("000",IFAData_TEA!A1164),6),3)))</f>
        <v>108-912</v>
      </c>
      <c r="C1164" s="979" t="s">
        <v>1897</v>
      </c>
      <c r="D1164" s="979">
        <v>7</v>
      </c>
      <c r="E1164" s="979">
        <v>1983</v>
      </c>
      <c r="F1164" s="979" t="s">
        <v>4934</v>
      </c>
      <c r="G1164" s="979" t="s">
        <v>4931</v>
      </c>
      <c r="H1164" s="1030">
        <v>5218175</v>
      </c>
      <c r="I1164" s="1030">
        <v>1313663</v>
      </c>
      <c r="J1164" s="1034">
        <v>0.35166163934566658</v>
      </c>
      <c r="K1164" s="1030">
        <v>1835031.9748925737</v>
      </c>
      <c r="L1164" s="1030">
        <v>1313663</v>
      </c>
      <c r="M1164" s="979">
        <v>599</v>
      </c>
    </row>
    <row r="1165" spans="1:13" ht="15">
      <c r="A1165" s="979" t="s">
        <v>3559</v>
      </c>
      <c r="B1165" s="722" t="str">
        <f>CONCATENATE(LEFT(RIGHT(CONCATENATE("000",IFAData_TEA!A1165),6),3),"-",(RIGHT(RIGHT(CONCATENATE("000",IFAData_TEA!A1165),6),3)))</f>
        <v>108-912</v>
      </c>
      <c r="C1165" s="979" t="s">
        <v>1897</v>
      </c>
      <c r="D1165" s="979">
        <v>2</v>
      </c>
      <c r="E1165" s="979">
        <v>1981</v>
      </c>
      <c r="F1165" s="979" t="s">
        <v>4929</v>
      </c>
      <c r="G1165" s="979" t="s">
        <v>4930</v>
      </c>
      <c r="H1165" s="1030">
        <v>3415997</v>
      </c>
      <c r="I1165" s="1030">
        <v>1365563</v>
      </c>
      <c r="J1165" s="1034">
        <v>0.28052381476709481</v>
      </c>
      <c r="K1165" s="1030">
        <v>958268.50967295154</v>
      </c>
      <c r="L1165" s="1030">
        <v>958268.50967295154</v>
      </c>
      <c r="M1165" s="979">
        <v>599</v>
      </c>
    </row>
    <row r="1166" spans="1:13" ht="15">
      <c r="A1166" s="979" t="s">
        <v>3559</v>
      </c>
      <c r="B1166" s="722" t="str">
        <f>CONCATENATE(LEFT(RIGHT(CONCATENATE("000",IFAData_TEA!A1166),6),3),"-",(RIGHT(RIGHT(CONCATENATE("000",IFAData_TEA!A1166),6),3)))</f>
        <v>108-912</v>
      </c>
      <c r="C1166" s="979" t="s">
        <v>1897</v>
      </c>
      <c r="D1166" s="979">
        <v>4</v>
      </c>
      <c r="E1166" s="979">
        <v>1982</v>
      </c>
      <c r="F1166" s="979" t="s">
        <v>4933</v>
      </c>
      <c r="G1166" s="979" t="s">
        <v>4933</v>
      </c>
      <c r="H1166" s="1030">
        <v>3469419</v>
      </c>
      <c r="I1166" s="1030">
        <v>0</v>
      </c>
      <c r="J1166" s="1034">
        <v>0</v>
      </c>
      <c r="K1166" s="1030">
        <v>0</v>
      </c>
      <c r="L1166" s="1030">
        <v>0</v>
      </c>
      <c r="M1166" s="979">
        <v>599</v>
      </c>
    </row>
    <row r="1167" spans="1:13" ht="15">
      <c r="A1167" s="979" t="s">
        <v>3559</v>
      </c>
      <c r="B1167" s="722" t="str">
        <f>CONCATENATE(LEFT(RIGHT(CONCATENATE("000",IFAData_TEA!A1167),6),3),"-",(RIGHT(RIGHT(CONCATENATE("000",IFAData_TEA!A1167),6),3)))</f>
        <v>108-912</v>
      </c>
      <c r="C1167" s="979" t="s">
        <v>1897</v>
      </c>
      <c r="D1167" s="979">
        <v>7</v>
      </c>
      <c r="E1167" s="979">
        <v>1983</v>
      </c>
      <c r="F1167" s="979" t="s">
        <v>4934</v>
      </c>
      <c r="G1167" s="979" t="s">
        <v>4934</v>
      </c>
      <c r="H1167" s="1030">
        <v>5218175</v>
      </c>
      <c r="I1167" s="1030">
        <v>0</v>
      </c>
      <c r="J1167" s="1034">
        <v>0</v>
      </c>
      <c r="K1167" s="1030">
        <v>0</v>
      </c>
      <c r="L1167" s="1030">
        <v>0</v>
      </c>
      <c r="M1167" s="979">
        <v>599</v>
      </c>
    </row>
    <row r="1168" spans="1:13" ht="15">
      <c r="A1168" s="979" t="s">
        <v>3559</v>
      </c>
      <c r="B1168" s="722" t="str">
        <f>CONCATENATE(LEFT(RIGHT(CONCATENATE("000",IFAData_TEA!A1168),6),3),"-",(RIGHT(RIGHT(CONCATENATE("000",IFAData_TEA!A1168),6),3)))</f>
        <v>108-912</v>
      </c>
      <c r="C1168" s="979" t="s">
        <v>1897</v>
      </c>
      <c r="D1168" s="979">
        <v>8</v>
      </c>
      <c r="E1168" s="979">
        <v>1984</v>
      </c>
      <c r="F1168" s="979" t="s">
        <v>4937</v>
      </c>
      <c r="G1168" s="979" t="s">
        <v>4937</v>
      </c>
      <c r="H1168" s="1030">
        <v>5556579</v>
      </c>
      <c r="I1168" s="1030">
        <v>2112000</v>
      </c>
      <c r="J1168" s="1034">
        <v>0.39885585779882177</v>
      </c>
      <c r="K1168" s="1030">
        <v>2216274.0834719194</v>
      </c>
      <c r="L1168" s="1030">
        <v>2112000</v>
      </c>
      <c r="M1168" s="979">
        <v>599</v>
      </c>
    </row>
    <row r="1169" spans="1:13" ht="15">
      <c r="A1169" s="979" t="s">
        <v>3559</v>
      </c>
      <c r="B1169" s="722" t="str">
        <f>CONCATENATE(LEFT(RIGHT(CONCATENATE("000",IFAData_TEA!A1169),6),3),"-",(RIGHT(RIGHT(CONCATENATE("000",IFAData_TEA!A1169),6),3)))</f>
        <v>108-912</v>
      </c>
      <c r="C1169" s="979" t="s">
        <v>1897</v>
      </c>
      <c r="D1169" s="979">
        <v>2</v>
      </c>
      <c r="E1169" s="979">
        <v>1981</v>
      </c>
      <c r="F1169" s="979" t="s">
        <v>4929</v>
      </c>
      <c r="G1169" s="979" t="s">
        <v>4929</v>
      </c>
      <c r="H1169" s="1030">
        <v>3415997</v>
      </c>
      <c r="I1169" s="1030">
        <v>0</v>
      </c>
      <c r="J1169" s="1034">
        <v>0</v>
      </c>
      <c r="K1169" s="1030">
        <v>0</v>
      </c>
      <c r="L1169" s="1030">
        <v>0</v>
      </c>
      <c r="M1169" s="979">
        <v>599</v>
      </c>
    </row>
    <row r="1170" spans="1:13" ht="15">
      <c r="A1170" s="979" t="s">
        <v>3559</v>
      </c>
      <c r="B1170" s="722" t="str">
        <f>CONCATENATE(LEFT(RIGHT(CONCATENATE("000",IFAData_TEA!A1170),6),3),"-",(RIGHT(RIGHT(CONCATENATE("000",IFAData_TEA!A1170),6),3)))</f>
        <v>108-912</v>
      </c>
      <c r="C1170" s="979" t="s">
        <v>1897</v>
      </c>
      <c r="D1170" s="979">
        <v>2</v>
      </c>
      <c r="E1170" s="979">
        <v>1981</v>
      </c>
      <c r="F1170" s="979" t="s">
        <v>4929</v>
      </c>
      <c r="G1170" s="979" t="s">
        <v>4932</v>
      </c>
      <c r="H1170" s="1030">
        <v>3415997</v>
      </c>
      <c r="I1170" s="1030">
        <v>293478</v>
      </c>
      <c r="J1170" s="1034">
        <v>6.0288370518399706E-2</v>
      </c>
      <c r="K1170" s="1030">
        <v>205944.89282574184</v>
      </c>
      <c r="L1170" s="1030">
        <v>205944.89282574184</v>
      </c>
      <c r="M1170" s="979">
        <v>599</v>
      </c>
    </row>
    <row r="1171" spans="1:13" ht="15">
      <c r="A1171" s="979" t="s">
        <v>3559</v>
      </c>
      <c r="B1171" s="722" t="str">
        <f>CONCATENATE(LEFT(RIGHT(CONCATENATE("000",IFAData_TEA!A1171),6),3),"-",(RIGHT(RIGHT(CONCATENATE("000",IFAData_TEA!A1171),6),3)))</f>
        <v>108-912</v>
      </c>
      <c r="C1171" s="979" t="s">
        <v>1897</v>
      </c>
      <c r="D1171" s="979">
        <v>9</v>
      </c>
      <c r="E1171" s="979">
        <v>1985</v>
      </c>
      <c r="F1171" s="979" t="s">
        <v>4939</v>
      </c>
      <c r="G1171" s="979" t="s">
        <v>4939</v>
      </c>
      <c r="H1171" s="1030">
        <v>5948498</v>
      </c>
      <c r="I1171" s="1030">
        <v>2353775</v>
      </c>
      <c r="J1171" s="1034">
        <v>0.4552667346343911</v>
      </c>
      <c r="K1171" s="1030">
        <v>2708153.2604392064</v>
      </c>
      <c r="L1171" s="1030">
        <v>2353775</v>
      </c>
      <c r="M1171" s="979">
        <v>599</v>
      </c>
    </row>
    <row r="1172" spans="1:13" ht="15">
      <c r="A1172" s="979" t="s">
        <v>3560</v>
      </c>
      <c r="B1172" s="722" t="str">
        <f>CONCATENATE(LEFT(RIGHT(CONCATENATE("000",IFAData_TEA!A1172),6),3),"-",(RIGHT(RIGHT(CONCATENATE("000",IFAData_TEA!A1172),6),3)))</f>
        <v>108-913</v>
      </c>
      <c r="C1172" s="979" t="s">
        <v>141</v>
      </c>
      <c r="D1172" s="979">
        <v>8</v>
      </c>
      <c r="E1172" s="979">
        <v>2441</v>
      </c>
      <c r="F1172" s="979" t="s">
        <v>4942</v>
      </c>
      <c r="G1172" s="979" t="s">
        <v>6271</v>
      </c>
      <c r="H1172" s="1030">
        <v>1506042</v>
      </c>
      <c r="I1172" s="1030">
        <v>457038</v>
      </c>
      <c r="J1172" s="1034">
        <v>0.23283031901724227</v>
      </c>
      <c r="K1172" s="1030">
        <v>350652.2393133656</v>
      </c>
      <c r="L1172" s="1030">
        <v>350652.2393133656</v>
      </c>
      <c r="M1172" s="979">
        <v>599</v>
      </c>
    </row>
    <row r="1173" spans="1:13" ht="15">
      <c r="A1173" s="979" t="s">
        <v>3560</v>
      </c>
      <c r="B1173" s="722" t="str">
        <f>CONCATENATE(LEFT(RIGHT(CONCATENATE("000",IFAData_TEA!A1173),6),3),"-",(RIGHT(RIGHT(CONCATENATE("000",IFAData_TEA!A1173),6),3)))</f>
        <v>108-913</v>
      </c>
      <c r="C1173" s="979" t="s">
        <v>141</v>
      </c>
      <c r="D1173" s="979">
        <v>4</v>
      </c>
      <c r="E1173" s="979">
        <v>2440</v>
      </c>
      <c r="F1173" s="979" t="s">
        <v>4940</v>
      </c>
      <c r="G1173" s="979" t="s">
        <v>6272</v>
      </c>
      <c r="H1173" s="1030">
        <v>1471397</v>
      </c>
      <c r="I1173" s="1030">
        <v>207886</v>
      </c>
      <c r="J1173" s="1034">
        <v>0.12650628070828815</v>
      </c>
      <c r="K1173" s="1030">
        <v>186140.96191533306</v>
      </c>
      <c r="L1173" s="1030">
        <v>186140.96191533306</v>
      </c>
      <c r="M1173" s="979">
        <v>599</v>
      </c>
    </row>
    <row r="1174" spans="1:13" ht="15">
      <c r="A1174" s="979" t="s">
        <v>3560</v>
      </c>
      <c r="B1174" s="722" t="str">
        <f>CONCATENATE(LEFT(RIGHT(CONCATENATE("000",IFAData_TEA!A1174),6),3),"-",(RIGHT(RIGHT(CONCATENATE("000",IFAData_TEA!A1174),6),3)))</f>
        <v>108-913</v>
      </c>
      <c r="C1174" s="979" t="s">
        <v>141</v>
      </c>
      <c r="D1174" s="979">
        <v>8</v>
      </c>
      <c r="E1174" s="979">
        <v>2441</v>
      </c>
      <c r="F1174" s="979" t="s">
        <v>4942</v>
      </c>
      <c r="G1174" s="979" t="s">
        <v>4942</v>
      </c>
      <c r="H1174" s="1030">
        <v>1506042</v>
      </c>
      <c r="I1174" s="1030">
        <v>1505928</v>
      </c>
      <c r="J1174" s="1034">
        <v>0.76716968098275773</v>
      </c>
      <c r="K1174" s="1030">
        <v>1155389.7606866343</v>
      </c>
      <c r="L1174" s="1030">
        <v>1155389.7606866343</v>
      </c>
      <c r="M1174" s="979">
        <v>599</v>
      </c>
    </row>
    <row r="1175" spans="1:13" ht="15">
      <c r="A1175" s="979" t="s">
        <v>3560</v>
      </c>
      <c r="B1175" s="722" t="str">
        <f>CONCATENATE(LEFT(RIGHT(CONCATENATE("000",IFAData_TEA!A1175),6),3),"-",(RIGHT(RIGHT(CONCATENATE("000",IFAData_TEA!A1175),6),3)))</f>
        <v>108-913</v>
      </c>
      <c r="C1175" s="979" t="s">
        <v>141</v>
      </c>
      <c r="D1175" s="979">
        <v>4</v>
      </c>
      <c r="E1175" s="979">
        <v>2440</v>
      </c>
      <c r="F1175" s="979" t="s">
        <v>4940</v>
      </c>
      <c r="G1175" s="979" t="s">
        <v>4941</v>
      </c>
      <c r="H1175" s="1030">
        <v>1471397</v>
      </c>
      <c r="I1175" s="1030">
        <v>1435400</v>
      </c>
      <c r="J1175" s="1034">
        <v>0.87349371929171182</v>
      </c>
      <c r="K1175" s="1030">
        <v>1285256.0380846669</v>
      </c>
      <c r="L1175" s="1030">
        <v>1285256.0380846669</v>
      </c>
      <c r="M1175" s="979">
        <v>599</v>
      </c>
    </row>
    <row r="1176" spans="1:13" ht="15">
      <c r="A1176" s="979" t="s">
        <v>3560</v>
      </c>
      <c r="B1176" s="722" t="str">
        <f>CONCATENATE(LEFT(RIGHT(CONCATENATE("000",IFAData_TEA!A1176),6),3),"-",(RIGHT(RIGHT(CONCATENATE("000",IFAData_TEA!A1176),6),3)))</f>
        <v>108-913</v>
      </c>
      <c r="C1176" s="979" t="s">
        <v>141</v>
      </c>
      <c r="D1176" s="979">
        <v>4</v>
      </c>
      <c r="E1176" s="979">
        <v>2440</v>
      </c>
      <c r="F1176" s="979" t="s">
        <v>4940</v>
      </c>
      <c r="G1176" s="979" t="s">
        <v>4940</v>
      </c>
      <c r="H1176" s="1030">
        <v>1471397</v>
      </c>
      <c r="I1176" s="1030">
        <v>0</v>
      </c>
      <c r="J1176" s="1034">
        <v>0</v>
      </c>
      <c r="K1176" s="1030">
        <v>0</v>
      </c>
      <c r="L1176" s="1030">
        <v>0</v>
      </c>
      <c r="M1176" s="979">
        <v>599</v>
      </c>
    </row>
    <row r="1177" spans="1:13" ht="15">
      <c r="A1177" s="979" t="s">
        <v>3560</v>
      </c>
      <c r="B1177" s="722" t="str">
        <f>CONCATENATE(LEFT(RIGHT(CONCATENATE("000",IFAData_TEA!A1177),6),3),"-",(RIGHT(RIGHT(CONCATENATE("000",IFAData_TEA!A1177),6),3)))</f>
        <v>108-913</v>
      </c>
      <c r="C1177" s="979" t="s">
        <v>141</v>
      </c>
      <c r="D1177" s="979">
        <v>9</v>
      </c>
      <c r="E1177" s="979">
        <v>2442</v>
      </c>
      <c r="F1177" s="979" t="s">
        <v>4943</v>
      </c>
      <c r="G1177" s="979" t="s">
        <v>4943</v>
      </c>
      <c r="H1177" s="1030">
        <v>1586343</v>
      </c>
      <c r="I1177" s="1030">
        <v>1584288</v>
      </c>
      <c r="J1177" s="1034">
        <v>1</v>
      </c>
      <c r="K1177" s="1030">
        <v>1586343</v>
      </c>
      <c r="L1177" s="1030">
        <v>1584288</v>
      </c>
      <c r="M1177" s="979">
        <v>599</v>
      </c>
    </row>
    <row r="1178" spans="1:13" ht="15">
      <c r="A1178" s="979" t="s">
        <v>3561</v>
      </c>
      <c r="B1178" s="722" t="str">
        <f>CONCATENATE(LEFT(RIGHT(CONCATENATE("000",IFAData_TEA!A1178),6),3),"-",(RIGHT(RIGHT(CONCATENATE("000",IFAData_TEA!A1178),6),3)))</f>
        <v>108-914</v>
      </c>
      <c r="C1178" s="979" t="s">
        <v>2299</v>
      </c>
      <c r="D1178" s="979">
        <v>1</v>
      </c>
      <c r="E1178" s="979">
        <v>1993</v>
      </c>
      <c r="F1178" s="979" t="s">
        <v>4944</v>
      </c>
      <c r="G1178" s="979" t="s">
        <v>4944</v>
      </c>
      <c r="H1178" s="1030">
        <v>163370</v>
      </c>
      <c r="I1178" s="1030">
        <v>0</v>
      </c>
      <c r="J1178" s="1034">
        <v>0</v>
      </c>
      <c r="K1178" s="1030">
        <v>0</v>
      </c>
      <c r="L1178" s="1030">
        <v>0</v>
      </c>
      <c r="M1178" s="979">
        <v>599</v>
      </c>
    </row>
    <row r="1179" spans="1:13" ht="15">
      <c r="A1179" s="979" t="s">
        <v>3561</v>
      </c>
      <c r="B1179" s="722" t="str">
        <f>CONCATENATE(LEFT(RIGHT(CONCATENATE("000",IFAData_TEA!A1179),6),3),"-",(RIGHT(RIGHT(CONCATENATE("000",IFAData_TEA!A1179),6),3)))</f>
        <v>108-914</v>
      </c>
      <c r="C1179" s="979" t="s">
        <v>2299</v>
      </c>
      <c r="D1179" s="979">
        <v>4</v>
      </c>
      <c r="E1179" s="979">
        <v>1994</v>
      </c>
      <c r="F1179" s="979" t="s">
        <v>4946</v>
      </c>
      <c r="G1179" s="979" t="s">
        <v>4946</v>
      </c>
      <c r="H1179" s="1030">
        <v>173535</v>
      </c>
      <c r="I1179" s="1030">
        <v>0</v>
      </c>
      <c r="J1179" s="1034">
        <v>0</v>
      </c>
      <c r="K1179" s="1030">
        <v>0</v>
      </c>
      <c r="L1179" s="1030">
        <v>0</v>
      </c>
      <c r="M1179" s="979">
        <v>599</v>
      </c>
    </row>
    <row r="1180" spans="1:13" ht="15">
      <c r="A1180" s="979" t="s">
        <v>3561</v>
      </c>
      <c r="B1180" s="722" t="str">
        <f>CONCATENATE(LEFT(RIGHT(CONCATENATE("000",IFAData_TEA!A1180),6),3),"-",(RIGHT(RIGHT(CONCATENATE("000",IFAData_TEA!A1180),6),3)))</f>
        <v>108-914</v>
      </c>
      <c r="C1180" s="979" t="s">
        <v>2299</v>
      </c>
      <c r="D1180" s="979">
        <v>1</v>
      </c>
      <c r="E1180" s="979">
        <v>1993</v>
      </c>
      <c r="F1180" s="979" t="s">
        <v>4944</v>
      </c>
      <c r="G1180" s="979" t="s">
        <v>4945</v>
      </c>
      <c r="H1180" s="1030">
        <v>163370</v>
      </c>
      <c r="I1180" s="1030">
        <v>154623</v>
      </c>
      <c r="J1180" s="1034">
        <v>1</v>
      </c>
      <c r="K1180" s="1030">
        <v>163370</v>
      </c>
      <c r="L1180" s="1030">
        <v>154623</v>
      </c>
      <c r="M1180" s="979">
        <v>599</v>
      </c>
    </row>
    <row r="1181" spans="1:13" ht="15">
      <c r="A1181" s="979" t="s">
        <v>3561</v>
      </c>
      <c r="B1181" s="722" t="str">
        <f>CONCATENATE(LEFT(RIGHT(CONCATENATE("000",IFAData_TEA!A1181),6),3),"-",(RIGHT(RIGHT(CONCATENATE("000",IFAData_TEA!A1181),6),3)))</f>
        <v>108-914</v>
      </c>
      <c r="C1181" s="979" t="s">
        <v>2299</v>
      </c>
      <c r="D1181" s="979">
        <v>4</v>
      </c>
      <c r="E1181" s="979">
        <v>1994</v>
      </c>
      <c r="F1181" s="979" t="s">
        <v>4946</v>
      </c>
      <c r="G1181" s="979" t="s">
        <v>4945</v>
      </c>
      <c r="H1181" s="1030">
        <v>173535</v>
      </c>
      <c r="I1181" s="1030">
        <v>174489</v>
      </c>
      <c r="J1181" s="1034">
        <v>1</v>
      </c>
      <c r="K1181" s="1030">
        <v>173535</v>
      </c>
      <c r="L1181" s="1030">
        <v>173535</v>
      </c>
      <c r="M1181" s="979">
        <v>599</v>
      </c>
    </row>
    <row r="1182" spans="1:13" ht="15">
      <c r="A1182" s="979" t="s">
        <v>3562</v>
      </c>
      <c r="B1182" s="722" t="str">
        <f>CONCATENATE(LEFT(RIGHT(CONCATENATE("000",IFAData_TEA!A1182),6),3),"-",(RIGHT(RIGHT(CONCATENATE("000",IFAData_TEA!A1182),6),3)))</f>
        <v>108-915</v>
      </c>
      <c r="C1182" s="979" t="s">
        <v>2242</v>
      </c>
      <c r="D1182" s="979">
        <v>5</v>
      </c>
      <c r="E1182" s="979">
        <v>2116</v>
      </c>
      <c r="F1182" s="979" t="s">
        <v>4949</v>
      </c>
      <c r="G1182" s="979" t="s">
        <v>4949</v>
      </c>
      <c r="H1182" s="1030">
        <v>110000</v>
      </c>
      <c r="I1182" s="1030">
        <v>0</v>
      </c>
      <c r="J1182" s="1034">
        <v>0</v>
      </c>
      <c r="K1182" s="1030">
        <v>0</v>
      </c>
      <c r="L1182" s="1030">
        <v>0</v>
      </c>
      <c r="M1182" s="979">
        <v>599</v>
      </c>
    </row>
    <row r="1183" spans="1:13" ht="15">
      <c r="A1183" s="979" t="s">
        <v>3562</v>
      </c>
      <c r="B1183" s="722" t="str">
        <f>CONCATENATE(LEFT(RIGHT(CONCATENATE("000",IFAData_TEA!A1183),6),3),"-",(RIGHT(RIGHT(CONCATENATE("000",IFAData_TEA!A1183),6),3)))</f>
        <v>108-915</v>
      </c>
      <c r="C1183" s="979" t="s">
        <v>2242</v>
      </c>
      <c r="D1183" s="979">
        <v>4</v>
      </c>
      <c r="E1183" s="979">
        <v>2115</v>
      </c>
      <c r="F1183" s="979" t="s">
        <v>4947</v>
      </c>
      <c r="G1183" s="979" t="s">
        <v>4948</v>
      </c>
      <c r="H1183" s="1030">
        <v>99356</v>
      </c>
      <c r="I1183" s="1030">
        <v>81875</v>
      </c>
      <c r="J1183" s="1034">
        <v>1</v>
      </c>
      <c r="K1183" s="1030">
        <v>99356</v>
      </c>
      <c r="L1183" s="1030">
        <v>81875</v>
      </c>
      <c r="M1183" s="979">
        <v>599</v>
      </c>
    </row>
    <row r="1184" spans="1:13" ht="15">
      <c r="A1184" s="979" t="s">
        <v>3562</v>
      </c>
      <c r="B1184" s="722" t="str">
        <f>CONCATENATE(LEFT(RIGHT(CONCATENATE("000",IFAData_TEA!A1184),6),3),"-",(RIGHT(RIGHT(CONCATENATE("000",IFAData_TEA!A1184),6),3)))</f>
        <v>108-915</v>
      </c>
      <c r="C1184" s="979" t="s">
        <v>2242</v>
      </c>
      <c r="D1184" s="979">
        <v>5</v>
      </c>
      <c r="E1184" s="979">
        <v>2116</v>
      </c>
      <c r="F1184" s="979" t="s">
        <v>4949</v>
      </c>
      <c r="G1184" s="979" t="s">
        <v>4948</v>
      </c>
      <c r="H1184" s="1030">
        <v>110000</v>
      </c>
      <c r="I1184" s="1030">
        <v>88950</v>
      </c>
      <c r="J1184" s="1034">
        <v>1</v>
      </c>
      <c r="K1184" s="1030">
        <v>110000</v>
      </c>
      <c r="L1184" s="1030">
        <v>88950</v>
      </c>
      <c r="M1184" s="979">
        <v>599</v>
      </c>
    </row>
    <row r="1185" spans="1:13" ht="15">
      <c r="A1185" s="979" t="s">
        <v>3562</v>
      </c>
      <c r="B1185" s="722" t="str">
        <f>CONCATENATE(LEFT(RIGHT(CONCATENATE("000",IFAData_TEA!A1185),6),3),"-",(RIGHT(RIGHT(CONCATENATE("000",IFAData_TEA!A1185),6),3)))</f>
        <v>108-915</v>
      </c>
      <c r="C1185" s="979" t="s">
        <v>2242</v>
      </c>
      <c r="D1185" s="979">
        <v>4</v>
      </c>
      <c r="E1185" s="979">
        <v>2115</v>
      </c>
      <c r="F1185" s="979" t="s">
        <v>4947</v>
      </c>
      <c r="G1185" s="979" t="s">
        <v>4947</v>
      </c>
      <c r="H1185" s="1030">
        <v>99356</v>
      </c>
      <c r="I1185" s="1030">
        <v>0</v>
      </c>
      <c r="J1185" s="1034">
        <v>0</v>
      </c>
      <c r="K1185" s="1030">
        <v>0</v>
      </c>
      <c r="L1185" s="1030">
        <v>0</v>
      </c>
      <c r="M1185" s="979">
        <v>599</v>
      </c>
    </row>
    <row r="1186" spans="1:13" ht="15">
      <c r="A1186" s="979" t="s">
        <v>3562</v>
      </c>
      <c r="B1186" s="722" t="str">
        <f>CONCATENATE(LEFT(RIGHT(CONCATENATE("000",IFAData_TEA!A1186),6),3),"-",(RIGHT(RIGHT(CONCATENATE("000",IFAData_TEA!A1186),6),3)))</f>
        <v>108-915</v>
      </c>
      <c r="C1186" s="979" t="s">
        <v>2242</v>
      </c>
      <c r="D1186" s="979">
        <v>10</v>
      </c>
      <c r="E1186" s="979">
        <v>2118</v>
      </c>
      <c r="F1186" s="979" t="s">
        <v>4951</v>
      </c>
      <c r="G1186" s="979" t="s">
        <v>4951</v>
      </c>
      <c r="H1186" s="1030">
        <v>184727</v>
      </c>
      <c r="I1186" s="1030">
        <v>633850</v>
      </c>
      <c r="J1186" s="1034">
        <v>1</v>
      </c>
      <c r="K1186" s="1030">
        <v>184727</v>
      </c>
      <c r="L1186" s="1030">
        <v>184727</v>
      </c>
      <c r="M1186" s="979">
        <v>599</v>
      </c>
    </row>
    <row r="1187" spans="1:13" ht="15">
      <c r="A1187" s="979" t="s">
        <v>3562</v>
      </c>
      <c r="B1187" s="722" t="str">
        <f>CONCATENATE(LEFT(RIGHT(CONCATENATE("000",IFAData_TEA!A1187),6),3),"-",(RIGHT(RIGHT(CONCATENATE("000",IFAData_TEA!A1187),6),3)))</f>
        <v>108-915</v>
      </c>
      <c r="C1187" s="979" t="s">
        <v>2242</v>
      </c>
      <c r="D1187" s="979">
        <v>9</v>
      </c>
      <c r="E1187" s="979">
        <v>2117</v>
      </c>
      <c r="F1187" s="979" t="s">
        <v>4950</v>
      </c>
      <c r="G1187" s="979" t="s">
        <v>4950</v>
      </c>
      <c r="H1187" s="1030">
        <v>152606</v>
      </c>
      <c r="I1187" s="1030">
        <v>165205</v>
      </c>
      <c r="J1187" s="1034">
        <v>1</v>
      </c>
      <c r="K1187" s="1030">
        <v>152606</v>
      </c>
      <c r="L1187" s="1030">
        <v>152606</v>
      </c>
      <c r="M1187" s="979">
        <v>599</v>
      </c>
    </row>
    <row r="1188" spans="1:13" ht="15">
      <c r="A1188" s="979" t="s">
        <v>3563</v>
      </c>
      <c r="B1188" s="722" t="str">
        <f>CONCATENATE(LEFT(RIGHT(CONCATENATE("000",IFAData_TEA!A1188),6),3),"-",(RIGHT(RIGHT(CONCATENATE("000",IFAData_TEA!A1188),6),3)))</f>
        <v>108-916</v>
      </c>
      <c r="C1188" s="979" t="s">
        <v>2364</v>
      </c>
      <c r="D1188" s="979">
        <v>5</v>
      </c>
      <c r="E1188" s="979">
        <v>2412</v>
      </c>
      <c r="F1188" s="979" t="s">
        <v>4955</v>
      </c>
      <c r="G1188" s="979" t="s">
        <v>4954</v>
      </c>
      <c r="H1188" s="1030">
        <v>164762</v>
      </c>
      <c r="I1188" s="1030">
        <v>159650</v>
      </c>
      <c r="J1188" s="1034">
        <v>1</v>
      </c>
      <c r="K1188" s="1030">
        <v>164762</v>
      </c>
      <c r="L1188" s="1030">
        <v>159650</v>
      </c>
      <c r="M1188" s="979">
        <v>599</v>
      </c>
    </row>
    <row r="1189" spans="1:13" ht="15">
      <c r="A1189" s="979" t="s">
        <v>3563</v>
      </c>
      <c r="B1189" s="722" t="str">
        <f>CONCATENATE(LEFT(RIGHT(CONCATENATE("000",IFAData_TEA!A1189),6),3),"-",(RIGHT(RIGHT(CONCATENATE("000",IFAData_TEA!A1189),6),3)))</f>
        <v>108-916</v>
      </c>
      <c r="C1189" s="979" t="s">
        <v>2364</v>
      </c>
      <c r="D1189" s="979">
        <v>4</v>
      </c>
      <c r="E1189" s="979">
        <v>2414</v>
      </c>
      <c r="F1189" s="979" t="s">
        <v>4953</v>
      </c>
      <c r="G1189" s="979" t="s">
        <v>4954</v>
      </c>
      <c r="H1189" s="1030">
        <v>511379</v>
      </c>
      <c r="I1189" s="1030">
        <v>481825</v>
      </c>
      <c r="J1189" s="1034">
        <v>1</v>
      </c>
      <c r="K1189" s="1030">
        <v>511379</v>
      </c>
      <c r="L1189" s="1030">
        <v>481825</v>
      </c>
      <c r="M1189" s="979">
        <v>599</v>
      </c>
    </row>
    <row r="1190" spans="1:13" ht="15">
      <c r="A1190" s="979" t="s">
        <v>3563</v>
      </c>
      <c r="B1190" s="722" t="str">
        <f>CONCATENATE(LEFT(RIGHT(CONCATENATE("000",IFAData_TEA!A1190),6),3),"-",(RIGHT(RIGHT(CONCATENATE("000",IFAData_TEA!A1190),6),3)))</f>
        <v>108-916</v>
      </c>
      <c r="C1190" s="979" t="s">
        <v>2364</v>
      </c>
      <c r="D1190" s="979">
        <v>7</v>
      </c>
      <c r="E1190" s="979">
        <v>2415</v>
      </c>
      <c r="F1190" s="979" t="s">
        <v>4956</v>
      </c>
      <c r="G1190" s="979" t="s">
        <v>6273</v>
      </c>
      <c r="H1190" s="1030">
        <v>753475</v>
      </c>
      <c r="I1190" s="1030">
        <v>25444</v>
      </c>
      <c r="J1190" s="1034">
        <v>3.4710153033523317E-2</v>
      </c>
      <c r="K1190" s="1030">
        <v>26153.232556933981</v>
      </c>
      <c r="L1190" s="1030">
        <v>25444</v>
      </c>
      <c r="M1190" s="979">
        <v>599</v>
      </c>
    </row>
    <row r="1191" spans="1:13" ht="15">
      <c r="A1191" s="979" t="s">
        <v>3563</v>
      </c>
      <c r="B1191" s="722" t="str">
        <f>CONCATENATE(LEFT(RIGHT(CONCATENATE("000",IFAData_TEA!A1191),6),3),"-",(RIGHT(RIGHT(CONCATENATE("000",IFAData_TEA!A1191),6),3)))</f>
        <v>108-916</v>
      </c>
      <c r="C1191" s="979" t="s">
        <v>2364</v>
      </c>
      <c r="D1191" s="979">
        <v>8</v>
      </c>
      <c r="E1191" s="979">
        <v>2416</v>
      </c>
      <c r="F1191" s="979" t="s">
        <v>4959</v>
      </c>
      <c r="G1191" s="979" t="s">
        <v>6273</v>
      </c>
      <c r="H1191" s="1030">
        <v>913768</v>
      </c>
      <c r="I1191" s="1030">
        <v>351424</v>
      </c>
      <c r="J1191" s="1034">
        <v>0.35137340223007885</v>
      </c>
      <c r="K1191" s="1030">
        <v>321073.7710089747</v>
      </c>
      <c r="L1191" s="1030">
        <v>321073.7710089747</v>
      </c>
      <c r="M1191" s="979">
        <v>599</v>
      </c>
    </row>
    <row r="1192" spans="1:13" ht="15">
      <c r="A1192" s="979" t="s">
        <v>3563</v>
      </c>
      <c r="B1192" s="722" t="str">
        <f>CONCATENATE(LEFT(RIGHT(CONCATENATE("000",IFAData_TEA!A1192),6),3),"-",(RIGHT(RIGHT(CONCATENATE("000",IFAData_TEA!A1192),6),3)))</f>
        <v>108-916</v>
      </c>
      <c r="C1192" s="979" t="s">
        <v>2364</v>
      </c>
      <c r="D1192" s="979">
        <v>8</v>
      </c>
      <c r="E1192" s="979">
        <v>2416</v>
      </c>
      <c r="F1192" s="979" t="s">
        <v>4959</v>
      </c>
      <c r="G1192" s="979" t="s">
        <v>4959</v>
      </c>
      <c r="H1192" s="1030">
        <v>913768</v>
      </c>
      <c r="I1192" s="1030">
        <v>414998</v>
      </c>
      <c r="J1192" s="1034">
        <v>0.41493824889215952</v>
      </c>
      <c r="K1192" s="1030">
        <v>379157.29381369083</v>
      </c>
      <c r="L1192" s="1030">
        <v>379157.29381369083</v>
      </c>
      <c r="M1192" s="979">
        <v>599</v>
      </c>
    </row>
    <row r="1193" spans="1:13" ht="15">
      <c r="A1193" s="979" t="s">
        <v>3563</v>
      </c>
      <c r="B1193" s="722" t="str">
        <f>CONCATENATE(LEFT(RIGHT(CONCATENATE("000",IFAData_TEA!A1193),6),3),"-",(RIGHT(RIGHT(CONCATENATE("000",IFAData_TEA!A1193),6),3)))</f>
        <v>108-916</v>
      </c>
      <c r="C1193" s="979" t="s">
        <v>2364</v>
      </c>
      <c r="D1193" s="979">
        <v>5</v>
      </c>
      <c r="E1193" s="979">
        <v>2412</v>
      </c>
      <c r="F1193" s="979" t="s">
        <v>4955</v>
      </c>
      <c r="G1193" s="979" t="s">
        <v>4955</v>
      </c>
      <c r="H1193" s="1030">
        <v>164762</v>
      </c>
      <c r="I1193" s="1030">
        <v>0</v>
      </c>
      <c r="J1193" s="1034">
        <v>0</v>
      </c>
      <c r="K1193" s="1030">
        <v>0</v>
      </c>
      <c r="L1193" s="1030">
        <v>0</v>
      </c>
      <c r="M1193" s="979">
        <v>599</v>
      </c>
    </row>
    <row r="1194" spans="1:13" ht="15">
      <c r="A1194" s="979" t="s">
        <v>3563</v>
      </c>
      <c r="B1194" s="722" t="str">
        <f>CONCATENATE(LEFT(RIGHT(CONCATENATE("000",IFAData_TEA!A1194),6),3),"-",(RIGHT(RIGHT(CONCATENATE("000",IFAData_TEA!A1194),6),3)))</f>
        <v>108-916</v>
      </c>
      <c r="C1194" s="979" t="s">
        <v>2364</v>
      </c>
      <c r="D1194" s="979">
        <v>7</v>
      </c>
      <c r="E1194" s="979">
        <v>2415</v>
      </c>
      <c r="F1194" s="979" t="s">
        <v>4956</v>
      </c>
      <c r="G1194" s="979" t="s">
        <v>4958</v>
      </c>
      <c r="H1194" s="1030">
        <v>753475</v>
      </c>
      <c r="I1194" s="1030">
        <v>103379</v>
      </c>
      <c r="J1194" s="1034">
        <v>0.14102738997219805</v>
      </c>
      <c r="K1194" s="1030">
        <v>106260.61265930193</v>
      </c>
      <c r="L1194" s="1030">
        <v>103379</v>
      </c>
      <c r="M1194" s="979">
        <v>599</v>
      </c>
    </row>
    <row r="1195" spans="1:13" ht="15">
      <c r="A1195" s="979" t="s">
        <v>3563</v>
      </c>
      <c r="B1195" s="722" t="str">
        <f>CONCATENATE(LEFT(RIGHT(CONCATENATE("000",IFAData_TEA!A1195),6),3),"-",(RIGHT(RIGHT(CONCATENATE("000",IFAData_TEA!A1195),6),3)))</f>
        <v>108-916</v>
      </c>
      <c r="C1195" s="979" t="s">
        <v>2364</v>
      </c>
      <c r="D1195" s="979">
        <v>8</v>
      </c>
      <c r="E1195" s="979">
        <v>2416</v>
      </c>
      <c r="F1195" s="979" t="s">
        <v>4959</v>
      </c>
      <c r="G1195" s="979" t="s">
        <v>4958</v>
      </c>
      <c r="H1195" s="1030">
        <v>913768</v>
      </c>
      <c r="I1195" s="1030">
        <v>233722</v>
      </c>
      <c r="J1195" s="1034">
        <v>0.2336883488777616</v>
      </c>
      <c r="K1195" s="1030">
        <v>213536.93517733447</v>
      </c>
      <c r="L1195" s="1030">
        <v>213536.93517733447</v>
      </c>
      <c r="M1195" s="979">
        <v>599</v>
      </c>
    </row>
    <row r="1196" spans="1:13" ht="15">
      <c r="A1196" s="979" t="s">
        <v>3563</v>
      </c>
      <c r="B1196" s="722" t="str">
        <f>CONCATENATE(LEFT(RIGHT(CONCATENATE("000",IFAData_TEA!A1196),6),3),"-",(RIGHT(RIGHT(CONCATENATE("000",IFAData_TEA!A1196),6),3)))</f>
        <v>108-916</v>
      </c>
      <c r="C1196" s="979" t="s">
        <v>2364</v>
      </c>
      <c r="D1196" s="979">
        <v>7</v>
      </c>
      <c r="E1196" s="979">
        <v>2415</v>
      </c>
      <c r="F1196" s="979" t="s">
        <v>4956</v>
      </c>
      <c r="G1196" s="979" t="s">
        <v>4956</v>
      </c>
      <c r="H1196" s="1030">
        <v>753475</v>
      </c>
      <c r="I1196" s="1030">
        <v>305626</v>
      </c>
      <c r="J1196" s="1034">
        <v>0.41692836153999363</v>
      </c>
      <c r="K1196" s="1030">
        <v>314145.09721134673</v>
      </c>
      <c r="L1196" s="1030">
        <v>305626</v>
      </c>
      <c r="M1196" s="979">
        <v>599</v>
      </c>
    </row>
    <row r="1197" spans="1:13" ht="15">
      <c r="A1197" s="979" t="s">
        <v>3563</v>
      </c>
      <c r="B1197" s="722" t="str">
        <f>CONCATENATE(LEFT(RIGHT(CONCATENATE("000",IFAData_TEA!A1197),6),3),"-",(RIGHT(RIGHT(CONCATENATE("000",IFAData_TEA!A1197),6),3)))</f>
        <v>108-916</v>
      </c>
      <c r="C1197" s="979" t="s">
        <v>2364</v>
      </c>
      <c r="D1197" s="979">
        <v>4</v>
      </c>
      <c r="E1197" s="979">
        <v>2414</v>
      </c>
      <c r="F1197" s="979" t="s">
        <v>4953</v>
      </c>
      <c r="G1197" s="979" t="s">
        <v>4953</v>
      </c>
      <c r="H1197" s="1030">
        <v>511379</v>
      </c>
      <c r="I1197" s="1030">
        <v>0</v>
      </c>
      <c r="J1197" s="1034">
        <v>0</v>
      </c>
      <c r="K1197" s="1030">
        <v>0</v>
      </c>
      <c r="L1197" s="1030">
        <v>0</v>
      </c>
      <c r="M1197" s="979">
        <v>599</v>
      </c>
    </row>
    <row r="1198" spans="1:13" ht="15">
      <c r="A1198" s="979" t="s">
        <v>3563</v>
      </c>
      <c r="B1198" s="722" t="str">
        <f>CONCATENATE(LEFT(RIGHT(CONCATENATE("000",IFAData_TEA!A1198),6),3),"-",(RIGHT(RIGHT(CONCATENATE("000",IFAData_TEA!A1198),6),3)))</f>
        <v>108-916</v>
      </c>
      <c r="C1198" s="979" t="s">
        <v>2364</v>
      </c>
      <c r="D1198" s="979">
        <v>9</v>
      </c>
      <c r="E1198" s="979">
        <v>2417</v>
      </c>
      <c r="F1198" s="979" t="s">
        <v>4960</v>
      </c>
      <c r="G1198" s="979" t="s">
        <v>4960</v>
      </c>
      <c r="H1198" s="1030">
        <v>1075060</v>
      </c>
      <c r="I1198" s="1030">
        <v>1068944</v>
      </c>
      <c r="J1198" s="1034">
        <v>1</v>
      </c>
      <c r="K1198" s="1030">
        <v>1075060</v>
      </c>
      <c r="L1198" s="1030">
        <v>1068944</v>
      </c>
      <c r="M1198" s="979">
        <v>599</v>
      </c>
    </row>
    <row r="1199" spans="1:13" ht="15">
      <c r="A1199" s="979" t="s">
        <v>3563</v>
      </c>
      <c r="B1199" s="722" t="str">
        <f>CONCATENATE(LEFT(RIGHT(CONCATENATE("000",IFAData_TEA!A1199),6),3),"-",(RIGHT(RIGHT(CONCATENATE("000",IFAData_TEA!A1199),6),3)))</f>
        <v>108-916</v>
      </c>
      <c r="C1199" s="979" t="s">
        <v>2364</v>
      </c>
      <c r="D1199" s="979">
        <v>1</v>
      </c>
      <c r="E1199" s="979">
        <v>2413</v>
      </c>
      <c r="F1199" s="979" t="s">
        <v>4952</v>
      </c>
      <c r="G1199" s="979" t="s">
        <v>4952</v>
      </c>
      <c r="H1199" s="1030">
        <v>401791</v>
      </c>
      <c r="I1199" s="1030">
        <v>0</v>
      </c>
      <c r="J1199" s="1034">
        <v>0</v>
      </c>
      <c r="K1199" s="1030"/>
      <c r="L1199" s="1030">
        <v>0</v>
      </c>
      <c r="M1199" s="979">
        <v>599</v>
      </c>
    </row>
    <row r="1200" spans="1:13" ht="15">
      <c r="A1200" s="979" t="s">
        <v>3563</v>
      </c>
      <c r="B1200" s="722" t="str">
        <f>CONCATENATE(LEFT(RIGHT(CONCATENATE("000",IFAData_TEA!A1200),6),3),"-",(RIGHT(RIGHT(CONCATENATE("000",IFAData_TEA!A1200),6),3)))</f>
        <v>108-916</v>
      </c>
      <c r="C1200" s="979" t="s">
        <v>2364</v>
      </c>
      <c r="D1200" s="979">
        <v>7</v>
      </c>
      <c r="E1200" s="979">
        <v>2415</v>
      </c>
      <c r="F1200" s="979" t="s">
        <v>4956</v>
      </c>
      <c r="G1200" s="979" t="s">
        <v>4957</v>
      </c>
      <c r="H1200" s="1030">
        <v>753475</v>
      </c>
      <c r="I1200" s="1030">
        <v>298593</v>
      </c>
      <c r="J1200" s="1034">
        <v>0.40733409545428501</v>
      </c>
      <c r="K1200" s="1030">
        <v>306916.05757241737</v>
      </c>
      <c r="L1200" s="1030">
        <v>298593</v>
      </c>
      <c r="M1200" s="979">
        <v>599</v>
      </c>
    </row>
    <row r="1201" spans="1:13" ht="15">
      <c r="A1201" s="979" t="s">
        <v>3564</v>
      </c>
      <c r="B1201" s="722" t="str">
        <f>CONCATENATE(LEFT(RIGHT(CONCATENATE("000",IFAData_TEA!A1201),6),3),"-",(RIGHT(RIGHT(CONCATENATE("000",IFAData_TEA!A1201),6),3)))</f>
        <v>109-901</v>
      </c>
      <c r="C1201" s="979" t="s">
        <v>2150</v>
      </c>
      <c r="D1201" s="979">
        <v>9</v>
      </c>
      <c r="E1201" s="979">
        <v>1541</v>
      </c>
      <c r="F1201" s="979" t="s">
        <v>4961</v>
      </c>
      <c r="G1201" s="979" t="s">
        <v>4961</v>
      </c>
      <c r="H1201" s="1030">
        <v>100000</v>
      </c>
      <c r="I1201" s="1030">
        <v>156678</v>
      </c>
      <c r="J1201" s="1034">
        <v>0.7310197454369004</v>
      </c>
      <c r="K1201" s="1030">
        <v>73101.974543690041</v>
      </c>
      <c r="L1201" s="1030">
        <v>73101.974543690041</v>
      </c>
      <c r="M1201" s="979">
        <v>599</v>
      </c>
    </row>
    <row r="1202" spans="1:13" ht="15">
      <c r="A1202" s="979" t="s">
        <v>3564</v>
      </c>
      <c r="B1202" s="722" t="str">
        <f>CONCATENATE(LEFT(RIGHT(CONCATENATE("000",IFAData_TEA!A1202),6),3),"-",(RIGHT(RIGHT(CONCATENATE("000",IFAData_TEA!A1202),6),3)))</f>
        <v>109-901</v>
      </c>
      <c r="C1202" s="979" t="s">
        <v>2150</v>
      </c>
      <c r="D1202" s="979">
        <v>9</v>
      </c>
      <c r="E1202" s="979">
        <v>1541</v>
      </c>
      <c r="F1202" s="979" t="s">
        <v>4961</v>
      </c>
      <c r="G1202" s="979" t="s">
        <v>6274</v>
      </c>
      <c r="H1202" s="1030">
        <v>100000</v>
      </c>
      <c r="I1202" s="1030">
        <v>57650</v>
      </c>
      <c r="J1202" s="1034">
        <v>0.26898025456309954</v>
      </c>
      <c r="K1202" s="1030">
        <v>26898.025456309955</v>
      </c>
      <c r="L1202" s="1030">
        <v>26898.025456309955</v>
      </c>
      <c r="M1202" s="979">
        <v>599</v>
      </c>
    </row>
    <row r="1203" spans="1:13" ht="15">
      <c r="A1203" s="979" t="s">
        <v>3565</v>
      </c>
      <c r="B1203" s="722" t="str">
        <f>CONCATENATE(LEFT(RIGHT(CONCATENATE("000",IFAData_TEA!A1203),6),3),"-",(RIGHT(RIGHT(CONCATENATE("000",IFAData_TEA!A1203),6),3)))</f>
        <v>109-902</v>
      </c>
      <c r="C1203" s="979" t="s">
        <v>898</v>
      </c>
      <c r="D1203" s="979">
        <v>6</v>
      </c>
      <c r="E1203" s="979">
        <v>1656</v>
      </c>
      <c r="F1203" s="979" t="s">
        <v>4962</v>
      </c>
      <c r="G1203" s="979" t="s">
        <v>4963</v>
      </c>
      <c r="H1203" s="1030">
        <v>93778</v>
      </c>
      <c r="I1203" s="1030">
        <v>89125</v>
      </c>
      <c r="J1203" s="1034">
        <v>1</v>
      </c>
      <c r="K1203" s="1030">
        <v>93778</v>
      </c>
      <c r="L1203" s="1030">
        <v>89125</v>
      </c>
      <c r="M1203" s="979">
        <v>599</v>
      </c>
    </row>
    <row r="1204" spans="1:13" ht="15">
      <c r="A1204" s="979" t="s">
        <v>3565</v>
      </c>
      <c r="B1204" s="722" t="str">
        <f>CONCATENATE(LEFT(RIGHT(CONCATENATE("000",IFAData_TEA!A1204),6),3),"-",(RIGHT(RIGHT(CONCATENATE("000",IFAData_TEA!A1204),6),3)))</f>
        <v>109-902</v>
      </c>
      <c r="C1204" s="979" t="s">
        <v>898</v>
      </c>
      <c r="D1204" s="979">
        <v>6</v>
      </c>
      <c r="E1204" s="979">
        <v>1656</v>
      </c>
      <c r="F1204" s="979" t="s">
        <v>4962</v>
      </c>
      <c r="G1204" s="979" t="s">
        <v>4962</v>
      </c>
      <c r="H1204" s="1030">
        <v>93778</v>
      </c>
      <c r="I1204" s="1030">
        <v>0</v>
      </c>
      <c r="J1204" s="1034">
        <v>0</v>
      </c>
      <c r="K1204" s="1030">
        <v>0</v>
      </c>
      <c r="L1204" s="1030">
        <v>0</v>
      </c>
      <c r="M1204" s="979">
        <v>599</v>
      </c>
    </row>
    <row r="1205" spans="1:13" ht="15">
      <c r="A1205" s="979" t="s">
        <v>4964</v>
      </c>
      <c r="B1205" s="722" t="str">
        <f>CONCATENATE(LEFT(RIGHT(CONCATENATE("000",IFAData_TEA!A1205),6),3),"-",(RIGHT(RIGHT(CONCATENATE("000",IFAData_TEA!A1205),6),3)))</f>
        <v>109-903</v>
      </c>
      <c r="C1205" s="979" t="s">
        <v>667</v>
      </c>
      <c r="D1205" s="979">
        <v>3</v>
      </c>
      <c r="E1205" s="979">
        <v>1727</v>
      </c>
      <c r="F1205" s="979" t="s">
        <v>4965</v>
      </c>
      <c r="G1205" s="979" t="s">
        <v>4965</v>
      </c>
      <c r="H1205" s="1030">
        <v>111000</v>
      </c>
      <c r="I1205" s="1030">
        <v>0</v>
      </c>
      <c r="J1205" s="1034">
        <v>0</v>
      </c>
      <c r="K1205" s="1030"/>
      <c r="L1205" s="1030">
        <v>0</v>
      </c>
      <c r="M1205" s="979">
        <v>199</v>
      </c>
    </row>
    <row r="1206" spans="1:13" ht="15">
      <c r="A1206" s="979" t="s">
        <v>3566</v>
      </c>
      <c r="B1206" s="722" t="str">
        <f>CONCATENATE(LEFT(RIGHT(CONCATENATE("000",IFAData_TEA!A1206),6),3),"-",(RIGHT(RIGHT(CONCATENATE("000",IFAData_TEA!A1206),6),3)))</f>
        <v>109-904</v>
      </c>
      <c r="C1206" s="979" t="s">
        <v>2376</v>
      </c>
      <c r="D1206" s="979">
        <v>1</v>
      </c>
      <c r="E1206" s="979">
        <v>1892</v>
      </c>
      <c r="F1206" s="979" t="s">
        <v>4966</v>
      </c>
      <c r="G1206" s="979" t="s">
        <v>4969</v>
      </c>
      <c r="H1206" s="1030">
        <v>373075</v>
      </c>
      <c r="I1206" s="1030">
        <v>0</v>
      </c>
      <c r="J1206" s="1034">
        <v>0</v>
      </c>
      <c r="K1206" s="1030">
        <v>0</v>
      </c>
      <c r="L1206" s="1030">
        <v>0</v>
      </c>
      <c r="M1206" s="979">
        <v>599</v>
      </c>
    </row>
    <row r="1207" spans="1:13" ht="15">
      <c r="A1207" s="979" t="s">
        <v>3566</v>
      </c>
      <c r="B1207" s="722" t="str">
        <f>CONCATENATE(LEFT(RIGHT(CONCATENATE("000",IFAData_TEA!A1207),6),3),"-",(RIGHT(RIGHT(CONCATENATE("000",IFAData_TEA!A1207),6),3)))</f>
        <v>109-904</v>
      </c>
      <c r="C1207" s="979" t="s">
        <v>2376</v>
      </c>
      <c r="D1207" s="979">
        <v>6</v>
      </c>
      <c r="E1207" s="979">
        <v>1893</v>
      </c>
      <c r="F1207" s="979" t="s">
        <v>4967</v>
      </c>
      <c r="G1207" s="979" t="s">
        <v>4969</v>
      </c>
      <c r="H1207" s="1030">
        <v>449169</v>
      </c>
      <c r="I1207" s="1030">
        <v>820946</v>
      </c>
      <c r="J1207" s="1034">
        <v>1</v>
      </c>
      <c r="K1207" s="1030">
        <v>449169</v>
      </c>
      <c r="L1207" s="1030">
        <v>449169</v>
      </c>
      <c r="M1207" s="979">
        <v>599</v>
      </c>
    </row>
    <row r="1208" spans="1:13" ht="15">
      <c r="A1208" s="979" t="s">
        <v>3566</v>
      </c>
      <c r="B1208" s="722" t="str">
        <f>CONCATENATE(LEFT(RIGHT(CONCATENATE("000",IFAData_TEA!A1208),6),3),"-",(RIGHT(RIGHT(CONCATENATE("000",IFAData_TEA!A1208),6),3)))</f>
        <v>109-904</v>
      </c>
      <c r="C1208" s="979" t="s">
        <v>2376</v>
      </c>
      <c r="D1208" s="979">
        <v>1</v>
      </c>
      <c r="E1208" s="979">
        <v>1892</v>
      </c>
      <c r="F1208" s="979" t="s">
        <v>4966</v>
      </c>
      <c r="G1208" s="979" t="s">
        <v>4970</v>
      </c>
      <c r="H1208" s="1030">
        <v>373075</v>
      </c>
      <c r="I1208" s="1030">
        <v>603157</v>
      </c>
      <c r="J1208" s="1034">
        <v>0.46944498493964182</v>
      </c>
      <c r="K1208" s="1030">
        <v>175138.18775635687</v>
      </c>
      <c r="L1208" s="1030">
        <v>175138.18775635687</v>
      </c>
      <c r="M1208" s="979">
        <v>599</v>
      </c>
    </row>
    <row r="1209" spans="1:13" ht="15">
      <c r="A1209" s="979" t="s">
        <v>3566</v>
      </c>
      <c r="B1209" s="722" t="str">
        <f>CONCATENATE(LEFT(RIGHT(CONCATENATE("000",IFAData_TEA!A1209),6),3),"-",(RIGHT(RIGHT(CONCATENATE("000",IFAData_TEA!A1209),6),3)))</f>
        <v>109-904</v>
      </c>
      <c r="C1209" s="979" t="s">
        <v>2376</v>
      </c>
      <c r="D1209" s="979">
        <v>1</v>
      </c>
      <c r="E1209" s="979">
        <v>1892</v>
      </c>
      <c r="F1209" s="979" t="s">
        <v>4966</v>
      </c>
      <c r="G1209" s="979" t="s">
        <v>4967</v>
      </c>
      <c r="H1209" s="1030">
        <v>373075</v>
      </c>
      <c r="I1209" s="1030">
        <v>0</v>
      </c>
      <c r="J1209" s="1034">
        <v>0</v>
      </c>
      <c r="K1209" s="1030">
        <v>0</v>
      </c>
      <c r="L1209" s="1030">
        <v>0</v>
      </c>
      <c r="M1209" s="979">
        <v>599</v>
      </c>
    </row>
    <row r="1210" spans="1:13" ht="15">
      <c r="A1210" s="979" t="s">
        <v>3566</v>
      </c>
      <c r="B1210" s="722" t="str">
        <f>CONCATENATE(LEFT(RIGHT(CONCATENATE("000",IFAData_TEA!A1210),6),3),"-",(RIGHT(RIGHT(CONCATENATE("000",IFAData_TEA!A1210),6),3)))</f>
        <v>109-904</v>
      </c>
      <c r="C1210" s="979" t="s">
        <v>2376</v>
      </c>
      <c r="D1210" s="979">
        <v>6</v>
      </c>
      <c r="E1210" s="979">
        <v>1893</v>
      </c>
      <c r="F1210" s="979" t="s">
        <v>4967</v>
      </c>
      <c r="G1210" s="979" t="s">
        <v>4967</v>
      </c>
      <c r="H1210" s="1030">
        <v>449169</v>
      </c>
      <c r="I1210" s="1030">
        <v>0</v>
      </c>
      <c r="J1210" s="1034">
        <v>0</v>
      </c>
      <c r="K1210" s="1030">
        <v>0</v>
      </c>
      <c r="L1210" s="1030">
        <v>0</v>
      </c>
      <c r="M1210" s="979">
        <v>599</v>
      </c>
    </row>
    <row r="1211" spans="1:13" ht="15">
      <c r="A1211" s="979" t="s">
        <v>3566</v>
      </c>
      <c r="B1211" s="722" t="str">
        <f>CONCATENATE(LEFT(RIGHT(CONCATENATE("000",IFAData_TEA!A1211),6),3),"-",(RIGHT(RIGHT(CONCATENATE("000",IFAData_TEA!A1211),6),3)))</f>
        <v>109-904</v>
      </c>
      <c r="C1211" s="979" t="s">
        <v>2376</v>
      </c>
      <c r="D1211" s="979">
        <v>6</v>
      </c>
      <c r="E1211" s="979">
        <v>1893</v>
      </c>
      <c r="F1211" s="979" t="s">
        <v>4967</v>
      </c>
      <c r="G1211" s="979" t="s">
        <v>6275</v>
      </c>
      <c r="H1211" s="1030">
        <v>449169</v>
      </c>
      <c r="I1211" s="1030">
        <v>0</v>
      </c>
      <c r="J1211" s="1034">
        <v>0</v>
      </c>
      <c r="K1211" s="1030">
        <v>0</v>
      </c>
      <c r="L1211" s="1030">
        <v>0</v>
      </c>
      <c r="M1211" s="979">
        <v>599</v>
      </c>
    </row>
    <row r="1212" spans="1:13" ht="15">
      <c r="A1212" s="979" t="s">
        <v>3566</v>
      </c>
      <c r="B1212" s="722" t="str">
        <f>CONCATENATE(LEFT(RIGHT(CONCATENATE("000",IFAData_TEA!A1212),6),3),"-",(RIGHT(RIGHT(CONCATENATE("000",IFAData_TEA!A1212),6),3)))</f>
        <v>109-904</v>
      </c>
      <c r="C1212" s="979" t="s">
        <v>2376</v>
      </c>
      <c r="D1212" s="979">
        <v>1</v>
      </c>
      <c r="E1212" s="979">
        <v>1892</v>
      </c>
      <c r="F1212" s="979" t="s">
        <v>4966</v>
      </c>
      <c r="G1212" s="979" t="s">
        <v>4968</v>
      </c>
      <c r="H1212" s="1030">
        <v>373075</v>
      </c>
      <c r="I1212" s="1030">
        <v>681673</v>
      </c>
      <c r="J1212" s="1034">
        <v>0.53055501506035818</v>
      </c>
      <c r="K1212" s="1030">
        <v>197936.81224364313</v>
      </c>
      <c r="L1212" s="1030">
        <v>197936.81224364313</v>
      </c>
      <c r="M1212" s="979">
        <v>599</v>
      </c>
    </row>
    <row r="1213" spans="1:13" ht="15">
      <c r="A1213" s="979" t="s">
        <v>3566</v>
      </c>
      <c r="B1213" s="722" t="str">
        <f>CONCATENATE(LEFT(RIGHT(CONCATENATE("000",IFAData_TEA!A1213),6),3),"-",(RIGHT(RIGHT(CONCATENATE("000",IFAData_TEA!A1213),6),3)))</f>
        <v>109-904</v>
      </c>
      <c r="C1213" s="979" t="s">
        <v>2376</v>
      </c>
      <c r="D1213" s="979">
        <v>1</v>
      </c>
      <c r="E1213" s="979">
        <v>1892</v>
      </c>
      <c r="F1213" s="979" t="s">
        <v>4966</v>
      </c>
      <c r="G1213" s="979" t="s">
        <v>4966</v>
      </c>
      <c r="H1213" s="1030">
        <v>373075</v>
      </c>
      <c r="I1213" s="1030">
        <v>0</v>
      </c>
      <c r="J1213" s="1034">
        <v>0</v>
      </c>
      <c r="K1213" s="1030">
        <v>0</v>
      </c>
      <c r="L1213" s="1030">
        <v>0</v>
      </c>
      <c r="M1213" s="979">
        <v>599</v>
      </c>
    </row>
    <row r="1214" spans="1:13" ht="15">
      <c r="A1214" s="979" t="s">
        <v>3566</v>
      </c>
      <c r="B1214" s="722" t="str">
        <f>CONCATENATE(LEFT(RIGHT(CONCATENATE("000",IFAData_TEA!A1214),6),3),"-",(RIGHT(RIGHT(CONCATENATE("000",IFAData_TEA!A1214),6),3)))</f>
        <v>109-904</v>
      </c>
      <c r="C1214" s="979" t="s">
        <v>2376</v>
      </c>
      <c r="D1214" s="979">
        <v>1</v>
      </c>
      <c r="E1214" s="979">
        <v>1892</v>
      </c>
      <c r="F1214" s="979" t="s">
        <v>4966</v>
      </c>
      <c r="G1214" s="979" t="s">
        <v>6275</v>
      </c>
      <c r="H1214" s="1030">
        <v>373075</v>
      </c>
      <c r="I1214" s="1030">
        <v>0</v>
      </c>
      <c r="J1214" s="1034">
        <v>0</v>
      </c>
      <c r="K1214" s="1030">
        <v>0</v>
      </c>
      <c r="L1214" s="1030">
        <v>0</v>
      </c>
      <c r="M1214" s="979">
        <v>599</v>
      </c>
    </row>
    <row r="1215" spans="1:13" ht="15">
      <c r="A1215" s="979" t="s">
        <v>3567</v>
      </c>
      <c r="B1215" s="722" t="str">
        <f>CONCATENATE(LEFT(RIGHT(CONCATENATE("000",IFAData_TEA!A1215),6),3),"-",(RIGHT(RIGHT(CONCATENATE("000",IFAData_TEA!A1215),6),3)))</f>
        <v>109-905</v>
      </c>
      <c r="C1215" s="979" t="s">
        <v>2381</v>
      </c>
      <c r="D1215" s="979">
        <v>5</v>
      </c>
      <c r="E1215" s="979">
        <v>1907</v>
      </c>
      <c r="F1215" s="979" t="s">
        <v>4973</v>
      </c>
      <c r="G1215" s="979" t="s">
        <v>4973</v>
      </c>
      <c r="H1215" s="1030">
        <v>109410</v>
      </c>
      <c r="I1215" s="1030">
        <v>0</v>
      </c>
      <c r="J1215" s="1034">
        <v>0</v>
      </c>
      <c r="K1215" s="1030">
        <v>0</v>
      </c>
      <c r="L1215" s="1030">
        <v>0</v>
      </c>
      <c r="M1215" s="979">
        <v>599</v>
      </c>
    </row>
    <row r="1216" spans="1:13" ht="15">
      <c r="A1216" s="979" t="s">
        <v>3567</v>
      </c>
      <c r="B1216" s="722" t="str">
        <f>CONCATENATE(LEFT(RIGHT(CONCATENATE("000",IFAData_TEA!A1216),6),3),"-",(RIGHT(RIGHT(CONCATENATE("000",IFAData_TEA!A1216),6),3)))</f>
        <v>109-905</v>
      </c>
      <c r="C1216" s="979" t="s">
        <v>2381</v>
      </c>
      <c r="D1216" s="979">
        <v>10</v>
      </c>
      <c r="E1216" s="979">
        <v>1905</v>
      </c>
      <c r="F1216" s="979" t="s">
        <v>4974</v>
      </c>
      <c r="G1216" s="979" t="s">
        <v>4974</v>
      </c>
      <c r="H1216" s="1030">
        <v>100000</v>
      </c>
      <c r="I1216" s="1030">
        <v>238144</v>
      </c>
      <c r="J1216" s="1034">
        <v>1</v>
      </c>
      <c r="K1216" s="1030">
        <v>100000</v>
      </c>
      <c r="L1216" s="1030">
        <v>100000</v>
      </c>
      <c r="M1216" s="979">
        <v>599</v>
      </c>
    </row>
    <row r="1217" spans="1:13" ht="15">
      <c r="A1217" s="979" t="s">
        <v>3567</v>
      </c>
      <c r="B1217" s="722" t="str">
        <f>CONCATENATE(LEFT(RIGHT(CONCATENATE("000",IFAData_TEA!A1217),6),3),"-",(RIGHT(RIGHT(CONCATENATE("000",IFAData_TEA!A1217),6),3)))</f>
        <v>109-905</v>
      </c>
      <c r="C1217" s="979" t="s">
        <v>2381</v>
      </c>
      <c r="D1217" s="979">
        <v>5</v>
      </c>
      <c r="E1217" s="979">
        <v>1907</v>
      </c>
      <c r="F1217" s="979" t="s">
        <v>4973</v>
      </c>
      <c r="G1217" s="979" t="s">
        <v>4974</v>
      </c>
      <c r="H1217" s="1030">
        <v>109410</v>
      </c>
      <c r="I1217" s="1030">
        <v>106125</v>
      </c>
      <c r="J1217" s="1034">
        <v>1</v>
      </c>
      <c r="K1217" s="1030">
        <v>109410</v>
      </c>
      <c r="L1217" s="1030">
        <v>106125</v>
      </c>
      <c r="M1217" s="979">
        <v>599</v>
      </c>
    </row>
    <row r="1218" spans="1:13" ht="15">
      <c r="A1218" s="979" t="s">
        <v>3567</v>
      </c>
      <c r="B1218" s="722" t="str">
        <f>CONCATENATE(LEFT(RIGHT(CONCATENATE("000",IFAData_TEA!A1218),6),3),"-",(RIGHT(RIGHT(CONCATENATE("000",IFAData_TEA!A1218),6),3)))</f>
        <v>109-905</v>
      </c>
      <c r="C1218" s="979" t="s">
        <v>2381</v>
      </c>
      <c r="D1218" s="979">
        <v>4</v>
      </c>
      <c r="E1218" s="979">
        <v>1906</v>
      </c>
      <c r="F1218" s="979" t="s">
        <v>4971</v>
      </c>
      <c r="G1218" s="979" t="s">
        <v>4971</v>
      </c>
      <c r="H1218" s="1030">
        <v>105808</v>
      </c>
      <c r="I1218" s="1030">
        <v>0</v>
      </c>
      <c r="J1218" s="1034">
        <v>0</v>
      </c>
      <c r="K1218" s="1030">
        <v>0</v>
      </c>
      <c r="L1218" s="1030">
        <v>0</v>
      </c>
      <c r="M1218" s="979">
        <v>599</v>
      </c>
    </row>
    <row r="1219" spans="1:13" ht="15">
      <c r="A1219" s="979" t="s">
        <v>3567</v>
      </c>
      <c r="B1219" s="722" t="str">
        <f>CONCATENATE(LEFT(RIGHT(CONCATENATE("000",IFAData_TEA!A1219),6),3),"-",(RIGHT(RIGHT(CONCATENATE("000",IFAData_TEA!A1219),6),3)))</f>
        <v>109-905</v>
      </c>
      <c r="C1219" s="979" t="s">
        <v>2381</v>
      </c>
      <c r="D1219" s="979">
        <v>4</v>
      </c>
      <c r="E1219" s="979">
        <v>1906</v>
      </c>
      <c r="F1219" s="979" t="s">
        <v>4971</v>
      </c>
      <c r="G1219" s="979" t="s">
        <v>4972</v>
      </c>
      <c r="H1219" s="1030">
        <v>105808</v>
      </c>
      <c r="I1219" s="1030">
        <v>87965</v>
      </c>
      <c r="J1219" s="1034">
        <v>1</v>
      </c>
      <c r="K1219" s="1030">
        <v>105808</v>
      </c>
      <c r="L1219" s="1030">
        <v>87965</v>
      </c>
      <c r="M1219" s="979">
        <v>599</v>
      </c>
    </row>
    <row r="1220" spans="1:13" ht="15">
      <c r="A1220" s="979" t="s">
        <v>3568</v>
      </c>
      <c r="B1220" s="722" t="str">
        <f>CONCATENATE(LEFT(RIGHT(CONCATENATE("000",IFAData_TEA!A1220),6),3),"-",(RIGHT(RIGHT(CONCATENATE("000",IFAData_TEA!A1220),6),3)))</f>
        <v>109-907</v>
      </c>
      <c r="C1220" s="979" t="s">
        <v>404</v>
      </c>
      <c r="D1220" s="979">
        <v>2</v>
      </c>
      <c r="E1220" s="979">
        <v>1931</v>
      </c>
      <c r="F1220" s="979" t="s">
        <v>4975</v>
      </c>
      <c r="G1220" s="979" t="s">
        <v>4975</v>
      </c>
      <c r="H1220" s="1030">
        <v>110751</v>
      </c>
      <c r="I1220" s="1030">
        <v>113250</v>
      </c>
      <c r="J1220" s="1034">
        <v>1</v>
      </c>
      <c r="K1220" s="1030">
        <v>110751</v>
      </c>
      <c r="L1220" s="1030">
        <v>110751</v>
      </c>
      <c r="M1220" s="979">
        <v>599</v>
      </c>
    </row>
    <row r="1221" spans="1:13" ht="15">
      <c r="A1221" s="979" t="s">
        <v>3569</v>
      </c>
      <c r="B1221" s="722" t="str">
        <f>CONCATENATE(LEFT(RIGHT(CONCATENATE("000",IFAData_TEA!A1221),6),3),"-",(RIGHT(RIGHT(CONCATENATE("000",IFAData_TEA!A1221),6),3)))</f>
        <v>109-908</v>
      </c>
      <c r="C1221" s="979" t="s">
        <v>2152</v>
      </c>
      <c r="D1221" s="979">
        <v>9</v>
      </c>
      <c r="E1221" s="979">
        <v>2054</v>
      </c>
      <c r="F1221" s="979" t="s">
        <v>4977</v>
      </c>
      <c r="G1221" s="979" t="s">
        <v>4977</v>
      </c>
      <c r="H1221" s="1030">
        <v>100000</v>
      </c>
      <c r="I1221" s="1030">
        <v>73452</v>
      </c>
      <c r="J1221" s="1034">
        <v>1</v>
      </c>
      <c r="K1221" s="1030">
        <v>100000</v>
      </c>
      <c r="L1221" s="1030">
        <v>73452</v>
      </c>
      <c r="M1221" s="979">
        <v>599</v>
      </c>
    </row>
    <row r="1222" spans="1:13" ht="15">
      <c r="A1222" s="979" t="s">
        <v>3569</v>
      </c>
      <c r="B1222" s="722" t="str">
        <f>CONCATENATE(LEFT(RIGHT(CONCATENATE("000",IFAData_TEA!A1222),6),3),"-",(RIGHT(RIGHT(CONCATENATE("000",IFAData_TEA!A1222),6),3)))</f>
        <v>109-908</v>
      </c>
      <c r="C1222" s="979" t="s">
        <v>2152</v>
      </c>
      <c r="D1222" s="979">
        <v>5</v>
      </c>
      <c r="E1222" s="979">
        <v>2053</v>
      </c>
      <c r="F1222" s="979" t="s">
        <v>4976</v>
      </c>
      <c r="G1222" s="979" t="s">
        <v>4976</v>
      </c>
      <c r="H1222" s="1030">
        <v>99613</v>
      </c>
      <c r="I1222" s="1030">
        <v>99112</v>
      </c>
      <c r="J1222" s="1034">
        <v>1</v>
      </c>
      <c r="K1222" s="1030">
        <v>99613</v>
      </c>
      <c r="L1222" s="1030">
        <v>99112</v>
      </c>
      <c r="M1222" s="979">
        <v>199</v>
      </c>
    </row>
    <row r="1223" spans="1:13" ht="15">
      <c r="A1223" s="979" t="s">
        <v>3570</v>
      </c>
      <c r="B1223" s="722" t="str">
        <f>CONCATENATE(LEFT(RIGHT(CONCATENATE("000",IFAData_TEA!A1223),6),3),"-",(RIGHT(RIGHT(CONCATENATE("000",IFAData_TEA!A1223),6),3)))</f>
        <v>109-910</v>
      </c>
      <c r="C1223" s="979" t="s">
        <v>2243</v>
      </c>
      <c r="D1223" s="979">
        <v>5</v>
      </c>
      <c r="E1223" s="979">
        <v>2121</v>
      </c>
      <c r="F1223" s="979" t="s">
        <v>4978</v>
      </c>
      <c r="G1223" s="979" t="s">
        <v>4978</v>
      </c>
      <c r="H1223" s="1030">
        <v>100000</v>
      </c>
      <c r="I1223" s="1030">
        <v>105055</v>
      </c>
      <c r="J1223" s="1034">
        <v>1</v>
      </c>
      <c r="K1223" s="1030">
        <v>100000</v>
      </c>
      <c r="L1223" s="1030">
        <v>100000</v>
      </c>
      <c r="M1223" s="979">
        <v>199</v>
      </c>
    </row>
    <row r="1224" spans="1:13" ht="15">
      <c r="A1224" s="979" t="s">
        <v>3570</v>
      </c>
      <c r="B1224" s="722" t="str">
        <f>CONCATENATE(LEFT(RIGHT(CONCATENATE("000",IFAData_TEA!A1224),6),3),"-",(RIGHT(RIGHT(CONCATENATE("000",IFAData_TEA!A1224),6),3)))</f>
        <v>109-910</v>
      </c>
      <c r="C1224" s="979" t="s">
        <v>2243</v>
      </c>
      <c r="D1224" s="979">
        <v>10</v>
      </c>
      <c r="E1224" s="979">
        <v>2120</v>
      </c>
      <c r="F1224" s="979" t="s">
        <v>4979</v>
      </c>
      <c r="G1224" s="979" t="s">
        <v>4979</v>
      </c>
      <c r="H1224" s="1030">
        <v>85000</v>
      </c>
      <c r="I1224" s="1030">
        <v>85000</v>
      </c>
      <c r="J1224" s="1034">
        <v>1</v>
      </c>
      <c r="K1224" s="1030">
        <v>85000</v>
      </c>
      <c r="L1224" s="1030">
        <v>85000</v>
      </c>
      <c r="M1224" s="979">
        <v>599</v>
      </c>
    </row>
    <row r="1225" spans="1:13" ht="15">
      <c r="A1225" s="979" t="s">
        <v>3571</v>
      </c>
      <c r="B1225" s="722" t="str">
        <f>CONCATENATE(LEFT(RIGHT(CONCATENATE("000",IFAData_TEA!A1225),6),3),"-",(RIGHT(RIGHT(CONCATENATE("000",IFAData_TEA!A1225),6),3)))</f>
        <v>109-912</v>
      </c>
      <c r="C1225" s="979" t="s">
        <v>2419</v>
      </c>
      <c r="D1225" s="979">
        <v>5</v>
      </c>
      <c r="E1225" s="979">
        <v>1581</v>
      </c>
      <c r="F1225" s="979" t="s">
        <v>4980</v>
      </c>
      <c r="G1225" s="979" t="s">
        <v>4980</v>
      </c>
      <c r="H1225" s="1030">
        <v>88897</v>
      </c>
      <c r="I1225" s="1030">
        <v>0</v>
      </c>
      <c r="J1225" s="1034">
        <v>0</v>
      </c>
      <c r="K1225" s="1030">
        <v>0</v>
      </c>
      <c r="L1225" s="1030">
        <v>0</v>
      </c>
      <c r="M1225" s="979">
        <v>599</v>
      </c>
    </row>
    <row r="1226" spans="1:13" ht="15">
      <c r="A1226" s="979" t="s">
        <v>3571</v>
      </c>
      <c r="B1226" s="722" t="str">
        <f>CONCATENATE(LEFT(RIGHT(CONCATENATE("000",IFAData_TEA!A1226),6),3),"-",(RIGHT(RIGHT(CONCATENATE("000",IFAData_TEA!A1226),6),3)))</f>
        <v>109-912</v>
      </c>
      <c r="C1226" s="979" t="s">
        <v>2419</v>
      </c>
      <c r="D1226" s="979">
        <v>5</v>
      </c>
      <c r="E1226" s="979">
        <v>1581</v>
      </c>
      <c r="F1226" s="979" t="s">
        <v>4980</v>
      </c>
      <c r="G1226" s="979" t="s">
        <v>4981</v>
      </c>
      <c r="H1226" s="1030">
        <v>88897</v>
      </c>
      <c r="I1226" s="1030">
        <v>91010</v>
      </c>
      <c r="J1226" s="1034">
        <v>1</v>
      </c>
      <c r="K1226" s="1030">
        <v>88897</v>
      </c>
      <c r="L1226" s="1030">
        <v>88897</v>
      </c>
      <c r="M1226" s="979">
        <v>599</v>
      </c>
    </row>
    <row r="1227" spans="1:13" ht="15">
      <c r="A1227" s="979" t="s">
        <v>4982</v>
      </c>
      <c r="B1227" s="722" t="str">
        <f>CONCATENATE(LEFT(RIGHT(CONCATENATE("000",IFAData_TEA!A1227),6),3),"-",(RIGHT(RIGHT(CONCATENATE("000",IFAData_TEA!A1227),6),3)))</f>
        <v>109-913</v>
      </c>
      <c r="C1227" s="979" t="s">
        <v>1346</v>
      </c>
      <c r="D1227" s="979">
        <v>5</v>
      </c>
      <c r="E1227" s="979">
        <v>1625</v>
      </c>
      <c r="F1227" s="979" t="s">
        <v>4983</v>
      </c>
      <c r="G1227" s="979" t="s">
        <v>4984</v>
      </c>
      <c r="H1227" s="1030">
        <v>91413</v>
      </c>
      <c r="I1227" s="1030">
        <v>0</v>
      </c>
      <c r="J1227" s="1034">
        <v>0</v>
      </c>
      <c r="K1227" s="1030"/>
      <c r="L1227" s="1030">
        <v>0</v>
      </c>
      <c r="M1227" s="979">
        <v>599</v>
      </c>
    </row>
    <row r="1228" spans="1:13" ht="15">
      <c r="A1228" s="979" t="s">
        <v>4982</v>
      </c>
      <c r="B1228" s="722" t="str">
        <f>CONCATENATE(LEFT(RIGHT(CONCATENATE("000",IFAData_TEA!A1228),6),3),"-",(RIGHT(RIGHT(CONCATENATE("000",IFAData_TEA!A1228),6),3)))</f>
        <v>109-913</v>
      </c>
      <c r="C1228" s="979" t="s">
        <v>1346</v>
      </c>
      <c r="D1228" s="979">
        <v>5</v>
      </c>
      <c r="E1228" s="979">
        <v>1625</v>
      </c>
      <c r="F1228" s="979" t="s">
        <v>4983</v>
      </c>
      <c r="G1228" s="979" t="s">
        <v>4983</v>
      </c>
      <c r="H1228" s="1030">
        <v>91413</v>
      </c>
      <c r="I1228" s="1030">
        <v>0</v>
      </c>
      <c r="J1228" s="1034">
        <v>0</v>
      </c>
      <c r="K1228" s="1030"/>
      <c r="L1228" s="1030">
        <v>0</v>
      </c>
      <c r="M1228" s="979">
        <v>599</v>
      </c>
    </row>
    <row r="1229" spans="1:13" ht="15">
      <c r="A1229" s="979" t="s">
        <v>4985</v>
      </c>
      <c r="B1229" s="722" t="str">
        <f>CONCATENATE(LEFT(RIGHT(CONCATENATE("000",IFAData_TEA!A1229),6),3),"-",(RIGHT(RIGHT(CONCATENATE("000",IFAData_TEA!A1229),6),3)))</f>
        <v>109-914</v>
      </c>
      <c r="C1229" s="979" t="s">
        <v>2594</v>
      </c>
      <c r="D1229" s="979">
        <v>5</v>
      </c>
      <c r="E1229" s="979">
        <v>2185</v>
      </c>
      <c r="F1229" s="979" t="s">
        <v>4986</v>
      </c>
      <c r="G1229" s="979" t="s">
        <v>4986</v>
      </c>
      <c r="H1229" s="1030">
        <v>99258</v>
      </c>
      <c r="I1229" s="1030">
        <v>150850</v>
      </c>
      <c r="J1229" s="1034">
        <v>1</v>
      </c>
      <c r="K1229" s="1030">
        <v>99258</v>
      </c>
      <c r="L1229" s="1030">
        <v>99258</v>
      </c>
      <c r="M1229" s="979">
        <v>199</v>
      </c>
    </row>
    <row r="1230" spans="1:13" ht="15">
      <c r="A1230" s="979" t="s">
        <v>3572</v>
      </c>
      <c r="B1230" s="722" t="str">
        <f>CONCATENATE(LEFT(RIGHT(CONCATENATE("000",IFAData_TEA!A1230),6),3),"-",(RIGHT(RIGHT(CONCATENATE("000",IFAData_TEA!A1230),6),3)))</f>
        <v>110-906</v>
      </c>
      <c r="C1230" s="979" t="s">
        <v>1929</v>
      </c>
      <c r="D1230" s="979">
        <v>4</v>
      </c>
      <c r="E1230" s="979">
        <v>2344</v>
      </c>
      <c r="F1230" s="979" t="s">
        <v>4987</v>
      </c>
      <c r="G1230" s="979" t="s">
        <v>4987</v>
      </c>
      <c r="H1230" s="1030">
        <v>97293</v>
      </c>
      <c r="I1230" s="1030">
        <v>99082</v>
      </c>
      <c r="J1230" s="1034">
        <v>1</v>
      </c>
      <c r="K1230" s="1030">
        <v>97293</v>
      </c>
      <c r="L1230" s="1030">
        <v>97293</v>
      </c>
      <c r="M1230" s="979">
        <v>199</v>
      </c>
    </row>
    <row r="1231" spans="1:13" ht="15">
      <c r="A1231" s="979" t="s">
        <v>3572</v>
      </c>
      <c r="B1231" s="722" t="str">
        <f>CONCATENATE(LEFT(RIGHT(CONCATENATE("000",IFAData_TEA!A1231),6),3),"-",(RIGHT(RIGHT(CONCATENATE("000",IFAData_TEA!A1231),6),3)))</f>
        <v>110-906</v>
      </c>
      <c r="C1231" s="979" t="s">
        <v>1929</v>
      </c>
      <c r="D1231" s="979">
        <v>10</v>
      </c>
      <c r="E1231" s="979">
        <v>2343</v>
      </c>
      <c r="F1231" s="979" t="s">
        <v>4988</v>
      </c>
      <c r="G1231" s="979" t="s">
        <v>4988</v>
      </c>
      <c r="H1231" s="1030">
        <v>51451</v>
      </c>
      <c r="I1231" s="1030">
        <v>48176</v>
      </c>
      <c r="J1231" s="1034">
        <v>1</v>
      </c>
      <c r="K1231" s="1030">
        <v>51451</v>
      </c>
      <c r="L1231" s="1030">
        <v>48176</v>
      </c>
      <c r="M1231" s="979">
        <v>599</v>
      </c>
    </row>
    <row r="1232" spans="1:13" ht="15">
      <c r="A1232" s="979" t="s">
        <v>3573</v>
      </c>
      <c r="B1232" s="722" t="str">
        <f>CONCATENATE(LEFT(RIGHT(CONCATENATE("000",IFAData_TEA!A1232),6),3),"-",(RIGHT(RIGHT(CONCATENATE("000",IFAData_TEA!A1232),6),3)))</f>
        <v>111-902</v>
      </c>
      <c r="C1232" s="979" t="s">
        <v>1566</v>
      </c>
      <c r="D1232" s="979">
        <v>2</v>
      </c>
      <c r="E1232" s="979">
        <v>2023</v>
      </c>
      <c r="F1232" s="979" t="s">
        <v>4989</v>
      </c>
      <c r="G1232" s="979" t="s">
        <v>4989</v>
      </c>
      <c r="H1232" s="1030">
        <v>100000</v>
      </c>
      <c r="I1232" s="1030">
        <v>0</v>
      </c>
      <c r="J1232" s="1034">
        <v>0</v>
      </c>
      <c r="K1232" s="1030">
        <v>0</v>
      </c>
      <c r="L1232" s="1030">
        <v>0</v>
      </c>
      <c r="M1232" s="979">
        <v>599</v>
      </c>
    </row>
    <row r="1233" spans="1:13" ht="15">
      <c r="A1233" s="979" t="s">
        <v>3573</v>
      </c>
      <c r="B1233" s="722" t="str">
        <f>CONCATENATE(LEFT(RIGHT(CONCATENATE("000",IFAData_TEA!A1233),6),3),"-",(RIGHT(RIGHT(CONCATENATE("000",IFAData_TEA!A1233),6),3)))</f>
        <v>111-902</v>
      </c>
      <c r="C1233" s="979" t="s">
        <v>1566</v>
      </c>
      <c r="D1233" s="979">
        <v>2</v>
      </c>
      <c r="E1233" s="979">
        <v>2023</v>
      </c>
      <c r="F1233" s="979" t="s">
        <v>4989</v>
      </c>
      <c r="G1233" s="979" t="s">
        <v>4990</v>
      </c>
      <c r="H1233" s="1030">
        <v>100000</v>
      </c>
      <c r="I1233" s="1030">
        <v>87280</v>
      </c>
      <c r="J1233" s="1034">
        <v>1</v>
      </c>
      <c r="K1233" s="1030">
        <v>100000</v>
      </c>
      <c r="L1233" s="1030">
        <v>87280</v>
      </c>
      <c r="M1233" s="979">
        <v>599</v>
      </c>
    </row>
    <row r="1234" spans="1:13" ht="15">
      <c r="A1234" s="979" t="s">
        <v>3573</v>
      </c>
      <c r="B1234" s="722" t="str">
        <f>CONCATENATE(LEFT(RIGHT(CONCATENATE("000",IFAData_TEA!A1234),6),3),"-",(RIGHT(RIGHT(CONCATENATE("000",IFAData_TEA!A1234),6),3)))</f>
        <v>111-902</v>
      </c>
      <c r="C1234" s="979" t="s">
        <v>1566</v>
      </c>
      <c r="D1234" s="979">
        <v>3</v>
      </c>
      <c r="E1234" s="979">
        <v>2024</v>
      </c>
      <c r="F1234" s="979" t="s">
        <v>4991</v>
      </c>
      <c r="G1234" s="979" t="s">
        <v>4991</v>
      </c>
      <c r="H1234" s="1030">
        <v>100000</v>
      </c>
      <c r="I1234" s="1030">
        <v>155000</v>
      </c>
      <c r="J1234" s="1034">
        <v>1</v>
      </c>
      <c r="K1234" s="1030">
        <v>100000</v>
      </c>
      <c r="L1234" s="1030">
        <v>100000</v>
      </c>
      <c r="M1234" s="979">
        <v>599</v>
      </c>
    </row>
    <row r="1235" spans="1:13" ht="15">
      <c r="A1235" s="979" t="s">
        <v>3574</v>
      </c>
      <c r="B1235" s="722" t="str">
        <f>CONCATENATE(LEFT(RIGHT(CONCATENATE("000",IFAData_TEA!A1235),6),3),"-",(RIGHT(RIGHT(CONCATENATE("000",IFAData_TEA!A1235),6),3)))</f>
        <v>111-903</v>
      </c>
      <c r="C1235" s="979" t="s">
        <v>605</v>
      </c>
      <c r="D1235" s="979">
        <v>3</v>
      </c>
      <c r="E1235" s="979">
        <v>2394</v>
      </c>
      <c r="F1235" s="979" t="s">
        <v>4992</v>
      </c>
      <c r="G1235" s="979" t="s">
        <v>4992</v>
      </c>
      <c r="H1235" s="1030">
        <v>142382</v>
      </c>
      <c r="I1235" s="1030">
        <v>0</v>
      </c>
      <c r="J1235" s="1034">
        <v>0</v>
      </c>
      <c r="K1235" s="1030">
        <v>0</v>
      </c>
      <c r="L1235" s="1030">
        <v>0</v>
      </c>
      <c r="M1235" s="979">
        <v>599</v>
      </c>
    </row>
    <row r="1236" spans="1:13" ht="15">
      <c r="A1236" s="979" t="s">
        <v>3574</v>
      </c>
      <c r="B1236" s="722" t="str">
        <f>CONCATENATE(LEFT(RIGHT(CONCATENATE("000",IFAData_TEA!A1236),6),3),"-",(RIGHT(RIGHT(CONCATENATE("000",IFAData_TEA!A1236),6),3)))</f>
        <v>111-903</v>
      </c>
      <c r="C1236" s="979" t="s">
        <v>605</v>
      </c>
      <c r="D1236" s="979">
        <v>3</v>
      </c>
      <c r="E1236" s="979">
        <v>2394</v>
      </c>
      <c r="F1236" s="979" t="s">
        <v>4992</v>
      </c>
      <c r="G1236" s="979" t="s">
        <v>4993</v>
      </c>
      <c r="H1236" s="1030">
        <v>142382</v>
      </c>
      <c r="I1236" s="1030">
        <v>208713</v>
      </c>
      <c r="J1236" s="1034">
        <v>1</v>
      </c>
      <c r="K1236" s="1030">
        <v>142382</v>
      </c>
      <c r="L1236" s="1030">
        <v>142382</v>
      </c>
      <c r="M1236" s="979">
        <v>599</v>
      </c>
    </row>
    <row r="1237" spans="1:13" ht="15">
      <c r="A1237" s="979" t="s">
        <v>3575</v>
      </c>
      <c r="B1237" s="722" t="str">
        <f>CONCATENATE(LEFT(RIGHT(CONCATENATE("000",IFAData_TEA!A1237),6),3),"-",(RIGHT(RIGHT(CONCATENATE("000",IFAData_TEA!A1237),6),3)))</f>
        <v>112-901</v>
      </c>
      <c r="C1237" s="979" t="s">
        <v>220</v>
      </c>
      <c r="D1237" s="979">
        <v>10</v>
      </c>
      <c r="E1237" s="979">
        <v>2387</v>
      </c>
      <c r="F1237" s="979" t="s">
        <v>4994</v>
      </c>
      <c r="G1237" s="979" t="s">
        <v>4994</v>
      </c>
      <c r="H1237" s="1030">
        <v>922406</v>
      </c>
      <c r="I1237" s="1030">
        <v>2082977</v>
      </c>
      <c r="J1237" s="1034">
        <v>1</v>
      </c>
      <c r="K1237" s="1030">
        <v>922406</v>
      </c>
      <c r="L1237" s="1030">
        <v>922406</v>
      </c>
      <c r="M1237" s="979">
        <v>599</v>
      </c>
    </row>
    <row r="1238" spans="1:13" ht="15">
      <c r="A1238" s="979" t="s">
        <v>3576</v>
      </c>
      <c r="B1238" s="722" t="str">
        <f>CONCATENATE(LEFT(RIGHT(CONCATENATE("000",IFAData_TEA!A1238),6),3),"-",(RIGHT(RIGHT(CONCATENATE("000",IFAData_TEA!A1238),6),3)))</f>
        <v>112-905</v>
      </c>
      <c r="C1238" s="979" t="s">
        <v>422</v>
      </c>
      <c r="D1238" s="979">
        <v>5</v>
      </c>
      <c r="E1238" s="979">
        <v>1742</v>
      </c>
      <c r="F1238" s="979" t="s">
        <v>4995</v>
      </c>
      <c r="G1238" s="979" t="s">
        <v>4995</v>
      </c>
      <c r="H1238" s="1030">
        <v>100000</v>
      </c>
      <c r="I1238" s="1030">
        <v>0</v>
      </c>
      <c r="J1238" s="1034">
        <v>0</v>
      </c>
      <c r="K1238" s="1030">
        <v>0</v>
      </c>
      <c r="L1238" s="1030">
        <v>0</v>
      </c>
      <c r="M1238" s="979">
        <v>599</v>
      </c>
    </row>
    <row r="1239" spans="1:13" ht="15">
      <c r="A1239" s="979" t="s">
        <v>3576</v>
      </c>
      <c r="B1239" s="722" t="str">
        <f>CONCATENATE(LEFT(RIGHT(CONCATENATE("000",IFAData_TEA!A1239),6),3),"-",(RIGHT(RIGHT(CONCATENATE("000",IFAData_TEA!A1239),6),3)))</f>
        <v>112-905</v>
      </c>
      <c r="C1239" s="979" t="s">
        <v>422</v>
      </c>
      <c r="D1239" s="979">
        <v>5</v>
      </c>
      <c r="E1239" s="979">
        <v>1742</v>
      </c>
      <c r="F1239" s="979" t="s">
        <v>4995</v>
      </c>
      <c r="G1239" s="979" t="s">
        <v>4996</v>
      </c>
      <c r="H1239" s="1030">
        <v>100000</v>
      </c>
      <c r="I1239" s="1030">
        <v>94900</v>
      </c>
      <c r="J1239" s="1034">
        <v>1</v>
      </c>
      <c r="K1239" s="1030">
        <v>100000</v>
      </c>
      <c r="L1239" s="1030">
        <v>94900</v>
      </c>
      <c r="M1239" s="979">
        <v>599</v>
      </c>
    </row>
    <row r="1240" spans="1:13" ht="15">
      <c r="A1240" s="979" t="s">
        <v>3577</v>
      </c>
      <c r="B1240" s="722" t="str">
        <f>CONCATENATE(LEFT(RIGHT(CONCATENATE("000",IFAData_TEA!A1240),6),3),"-",(RIGHT(RIGHT(CONCATENATE("000",IFAData_TEA!A1240),6),3)))</f>
        <v>112-907</v>
      </c>
      <c r="C1240" s="979" t="s">
        <v>2238</v>
      </c>
      <c r="D1240" s="979">
        <v>6</v>
      </c>
      <c r="E1240" s="979">
        <v>2106</v>
      </c>
      <c r="F1240" s="979" t="s">
        <v>4999</v>
      </c>
      <c r="G1240" s="979" t="s">
        <v>4998</v>
      </c>
      <c r="H1240" s="1030">
        <v>94341</v>
      </c>
      <c r="I1240" s="1030">
        <v>101226</v>
      </c>
      <c r="J1240" s="1034">
        <v>1</v>
      </c>
      <c r="K1240" s="1030">
        <v>94341</v>
      </c>
      <c r="L1240" s="1030">
        <v>94341</v>
      </c>
      <c r="M1240" s="979">
        <v>599</v>
      </c>
    </row>
    <row r="1241" spans="1:13" ht="15">
      <c r="A1241" s="979" t="s">
        <v>3577</v>
      </c>
      <c r="B1241" s="722" t="str">
        <f>CONCATENATE(LEFT(RIGHT(CONCATENATE("000",IFAData_TEA!A1241),6),3),"-",(RIGHT(RIGHT(CONCATENATE("000",IFAData_TEA!A1241),6),3)))</f>
        <v>112-907</v>
      </c>
      <c r="C1241" s="979" t="s">
        <v>2238</v>
      </c>
      <c r="D1241" s="979">
        <v>4</v>
      </c>
      <c r="E1241" s="979">
        <v>2107</v>
      </c>
      <c r="F1241" s="979" t="s">
        <v>4997</v>
      </c>
      <c r="G1241" s="979" t="s">
        <v>4998</v>
      </c>
      <c r="H1241" s="1030">
        <v>98475</v>
      </c>
      <c r="I1241" s="1030">
        <v>80724</v>
      </c>
      <c r="J1241" s="1034">
        <v>1</v>
      </c>
      <c r="K1241" s="1030">
        <v>98475</v>
      </c>
      <c r="L1241" s="1030">
        <v>80724</v>
      </c>
      <c r="M1241" s="979">
        <v>599</v>
      </c>
    </row>
    <row r="1242" spans="1:13" ht="15">
      <c r="A1242" s="979" t="s">
        <v>3577</v>
      </c>
      <c r="B1242" s="722" t="str">
        <f>CONCATENATE(LEFT(RIGHT(CONCATENATE("000",IFAData_TEA!A1242),6),3),"-",(RIGHT(RIGHT(CONCATENATE("000",IFAData_TEA!A1242),6),3)))</f>
        <v>112-907</v>
      </c>
      <c r="C1242" s="979" t="s">
        <v>2238</v>
      </c>
      <c r="D1242" s="979">
        <v>4</v>
      </c>
      <c r="E1242" s="979">
        <v>2107</v>
      </c>
      <c r="F1242" s="979" t="s">
        <v>4997</v>
      </c>
      <c r="G1242" s="979" t="s">
        <v>4997</v>
      </c>
      <c r="H1242" s="1030">
        <v>98475</v>
      </c>
      <c r="I1242" s="1030">
        <v>0</v>
      </c>
      <c r="J1242" s="1034">
        <v>0</v>
      </c>
      <c r="K1242" s="1030">
        <v>0</v>
      </c>
      <c r="L1242" s="1030">
        <v>0</v>
      </c>
      <c r="M1242" s="979">
        <v>599</v>
      </c>
    </row>
    <row r="1243" spans="1:13" ht="15">
      <c r="A1243" s="979" t="s">
        <v>3577</v>
      </c>
      <c r="B1243" s="722" t="str">
        <f>CONCATENATE(LEFT(RIGHT(CONCATENATE("000",IFAData_TEA!A1243),6),3),"-",(RIGHT(RIGHT(CONCATENATE("000",IFAData_TEA!A1243),6),3)))</f>
        <v>112-907</v>
      </c>
      <c r="C1243" s="979" t="s">
        <v>2238</v>
      </c>
      <c r="D1243" s="979">
        <v>6</v>
      </c>
      <c r="E1243" s="979">
        <v>2106</v>
      </c>
      <c r="F1243" s="979" t="s">
        <v>4999</v>
      </c>
      <c r="G1243" s="979" t="s">
        <v>4999</v>
      </c>
      <c r="H1243" s="1030">
        <v>94341</v>
      </c>
      <c r="I1243" s="1030">
        <v>0</v>
      </c>
      <c r="J1243" s="1034">
        <v>0</v>
      </c>
      <c r="K1243" s="1030">
        <v>0</v>
      </c>
      <c r="L1243" s="1030">
        <v>0</v>
      </c>
      <c r="M1243" s="979">
        <v>599</v>
      </c>
    </row>
    <row r="1244" spans="1:13" ht="15">
      <c r="A1244" s="979" t="s">
        <v>3578</v>
      </c>
      <c r="B1244" s="722" t="str">
        <f>CONCATENATE(LEFT(RIGHT(CONCATENATE("000",IFAData_TEA!A1244),6),3),"-",(RIGHT(RIGHT(CONCATENATE("000",IFAData_TEA!A1244),6),3)))</f>
        <v>112-910</v>
      </c>
      <c r="C1244" s="979" t="s">
        <v>1942</v>
      </c>
      <c r="D1244" s="979">
        <v>5</v>
      </c>
      <c r="E1244" s="979">
        <v>2386</v>
      </c>
      <c r="F1244" s="979" t="s">
        <v>5000</v>
      </c>
      <c r="G1244" s="979" t="s">
        <v>5000</v>
      </c>
      <c r="H1244" s="1030">
        <v>100000</v>
      </c>
      <c r="I1244" s="1030">
        <v>0</v>
      </c>
      <c r="J1244" s="1034">
        <v>0</v>
      </c>
      <c r="K1244" s="1030">
        <v>0</v>
      </c>
      <c r="L1244" s="1030">
        <v>0</v>
      </c>
      <c r="M1244" s="979">
        <v>599</v>
      </c>
    </row>
    <row r="1245" spans="1:13" ht="15">
      <c r="A1245" s="979" t="s">
        <v>3578</v>
      </c>
      <c r="B1245" s="722" t="str">
        <f>CONCATENATE(LEFT(RIGHT(CONCATENATE("000",IFAData_TEA!A1245),6),3),"-",(RIGHT(RIGHT(CONCATENATE("000",IFAData_TEA!A1245),6),3)))</f>
        <v>112-910</v>
      </c>
      <c r="C1245" s="979" t="s">
        <v>1942</v>
      </c>
      <c r="D1245" s="979">
        <v>5</v>
      </c>
      <c r="E1245" s="979">
        <v>2386</v>
      </c>
      <c r="F1245" s="979" t="s">
        <v>5000</v>
      </c>
      <c r="G1245" s="979" t="s">
        <v>5001</v>
      </c>
      <c r="H1245" s="1030">
        <v>100000</v>
      </c>
      <c r="I1245" s="1030">
        <v>86799</v>
      </c>
      <c r="J1245" s="1034">
        <v>1</v>
      </c>
      <c r="K1245" s="1030">
        <v>100000</v>
      </c>
      <c r="L1245" s="1030">
        <v>86799</v>
      </c>
      <c r="M1245" s="979">
        <v>599</v>
      </c>
    </row>
    <row r="1246" spans="1:13" ht="15">
      <c r="A1246" s="979" t="s">
        <v>3579</v>
      </c>
      <c r="B1246" s="722" t="str">
        <f>CONCATENATE(LEFT(RIGHT(CONCATENATE("000",IFAData_TEA!A1246),6),3),"-",(RIGHT(RIGHT(CONCATENATE("000",IFAData_TEA!A1246),6),3)))</f>
        <v>114-901</v>
      </c>
      <c r="C1246" s="979" t="s">
        <v>1572</v>
      </c>
      <c r="D1246" s="979">
        <v>10</v>
      </c>
      <c r="E1246" s="979">
        <v>1608</v>
      </c>
      <c r="F1246" s="979" t="s">
        <v>5002</v>
      </c>
      <c r="G1246" s="979" t="s">
        <v>5002</v>
      </c>
      <c r="H1246" s="1030">
        <v>889573</v>
      </c>
      <c r="I1246" s="1030">
        <v>2633638</v>
      </c>
      <c r="J1246" s="1034">
        <v>1</v>
      </c>
      <c r="K1246" s="1030">
        <v>889573</v>
      </c>
      <c r="L1246" s="1030">
        <v>889573</v>
      </c>
      <c r="M1246" s="979">
        <v>599</v>
      </c>
    </row>
    <row r="1247" spans="1:13" ht="15">
      <c r="A1247" s="979" t="s">
        <v>3580</v>
      </c>
      <c r="B1247" s="722" t="str">
        <f>CONCATENATE(LEFT(RIGHT(CONCATENATE("000",IFAData_TEA!A1247),6),3),"-",(RIGHT(RIGHT(CONCATENATE("000",IFAData_TEA!A1247),6),3)))</f>
        <v>116-901</v>
      </c>
      <c r="C1247" s="979" t="s">
        <v>651</v>
      </c>
      <c r="D1247" s="979">
        <v>9</v>
      </c>
      <c r="E1247" s="979">
        <v>1657</v>
      </c>
      <c r="F1247" s="979" t="s">
        <v>5006</v>
      </c>
      <c r="G1247" s="979" t="s">
        <v>6276</v>
      </c>
      <c r="H1247" s="1030">
        <v>355698</v>
      </c>
      <c r="I1247" s="1030">
        <v>163110</v>
      </c>
      <c r="J1247" s="1034">
        <v>0.17185465211839226</v>
      </c>
      <c r="K1247" s="1030">
        <v>61128.35604920789</v>
      </c>
      <c r="L1247" s="1030">
        <v>61128.35604920789</v>
      </c>
      <c r="M1247" s="979">
        <v>599</v>
      </c>
    </row>
    <row r="1248" spans="1:13" ht="15">
      <c r="A1248" s="979" t="s">
        <v>3580</v>
      </c>
      <c r="B1248" s="722" t="str">
        <f>CONCATENATE(LEFT(RIGHT(CONCATENATE("000",IFAData_TEA!A1248),6),3),"-",(RIGHT(RIGHT(CONCATENATE("000",IFAData_TEA!A1248),6),3)))</f>
        <v>116-901</v>
      </c>
      <c r="C1248" s="979" t="s">
        <v>651</v>
      </c>
      <c r="D1248" s="979">
        <v>5</v>
      </c>
      <c r="E1248" s="979">
        <v>1658</v>
      </c>
      <c r="F1248" s="979" t="s">
        <v>5003</v>
      </c>
      <c r="G1248" s="979" t="s">
        <v>5004</v>
      </c>
      <c r="H1248" s="1030">
        <v>490385</v>
      </c>
      <c r="I1248" s="1030">
        <v>181123</v>
      </c>
      <c r="J1248" s="1034">
        <v>0.3733994413119891</v>
      </c>
      <c r="K1248" s="1030">
        <v>183109.48502777977</v>
      </c>
      <c r="L1248" s="1030">
        <v>181123</v>
      </c>
      <c r="M1248" s="979">
        <v>599</v>
      </c>
    </row>
    <row r="1249" spans="1:13" ht="15">
      <c r="A1249" s="979" t="s">
        <v>3580</v>
      </c>
      <c r="B1249" s="722" t="str">
        <f>CONCATENATE(LEFT(RIGHT(CONCATENATE("000",IFAData_TEA!A1249),6),3),"-",(RIGHT(RIGHT(CONCATENATE("000",IFAData_TEA!A1249),6),3)))</f>
        <v>116-901</v>
      </c>
      <c r="C1249" s="979" t="s">
        <v>651</v>
      </c>
      <c r="D1249" s="979">
        <v>5</v>
      </c>
      <c r="E1249" s="979">
        <v>1658</v>
      </c>
      <c r="F1249" s="979" t="s">
        <v>5003</v>
      </c>
      <c r="G1249" s="979" t="s">
        <v>5005</v>
      </c>
      <c r="H1249" s="1030">
        <v>490385</v>
      </c>
      <c r="I1249" s="1030">
        <v>98509</v>
      </c>
      <c r="J1249" s="1034">
        <v>0.20308412274643606</v>
      </c>
      <c r="K1249" s="1030">
        <v>99589.40753301105</v>
      </c>
      <c r="L1249" s="1030">
        <v>98509</v>
      </c>
      <c r="M1249" s="979">
        <v>599</v>
      </c>
    </row>
    <row r="1250" spans="1:13" ht="15">
      <c r="A1250" s="979" t="s">
        <v>3580</v>
      </c>
      <c r="B1250" s="722" t="str">
        <f>CONCATENATE(LEFT(RIGHT(CONCATENATE("000",IFAData_TEA!A1250),6),3),"-",(RIGHT(RIGHT(CONCATENATE("000",IFAData_TEA!A1250),6),3)))</f>
        <v>116-901</v>
      </c>
      <c r="C1250" s="979" t="s">
        <v>651</v>
      </c>
      <c r="D1250" s="979">
        <v>5</v>
      </c>
      <c r="E1250" s="979">
        <v>1658</v>
      </c>
      <c r="F1250" s="979" t="s">
        <v>5003</v>
      </c>
      <c r="G1250" s="979" t="s">
        <v>5003</v>
      </c>
      <c r="H1250" s="1030">
        <v>490385</v>
      </c>
      <c r="I1250" s="1030">
        <v>138358</v>
      </c>
      <c r="J1250" s="1034">
        <v>0.28523599929906301</v>
      </c>
      <c r="K1250" s="1030">
        <v>139875.455516271</v>
      </c>
      <c r="L1250" s="1030">
        <v>138358</v>
      </c>
      <c r="M1250" s="979">
        <v>599</v>
      </c>
    </row>
    <row r="1251" spans="1:13" ht="15">
      <c r="A1251" s="979" t="s">
        <v>3580</v>
      </c>
      <c r="B1251" s="722" t="str">
        <f>CONCATENATE(LEFT(RIGHT(CONCATENATE("000",IFAData_TEA!A1251),6),3),"-",(RIGHT(RIGHT(CONCATENATE("000",IFAData_TEA!A1251),6),3)))</f>
        <v>116-901</v>
      </c>
      <c r="C1251" s="979" t="s">
        <v>651</v>
      </c>
      <c r="D1251" s="979">
        <v>9</v>
      </c>
      <c r="E1251" s="979">
        <v>1657</v>
      </c>
      <c r="F1251" s="979" t="s">
        <v>5006</v>
      </c>
      <c r="G1251" s="979" t="s">
        <v>5006</v>
      </c>
      <c r="H1251" s="1030">
        <v>355698</v>
      </c>
      <c r="I1251" s="1030">
        <v>786006</v>
      </c>
      <c r="J1251" s="1034">
        <v>0.82814534788160776</v>
      </c>
      <c r="K1251" s="1030">
        <v>294569.64395079215</v>
      </c>
      <c r="L1251" s="1030">
        <v>294569.64395079215</v>
      </c>
      <c r="M1251" s="979">
        <v>599</v>
      </c>
    </row>
    <row r="1252" spans="1:13" ht="15">
      <c r="A1252" s="979" t="s">
        <v>3580</v>
      </c>
      <c r="B1252" s="722" t="str">
        <f>CONCATENATE(LEFT(RIGHT(CONCATENATE("000",IFAData_TEA!A1252),6),3),"-",(RIGHT(RIGHT(CONCATENATE("000",IFAData_TEA!A1252),6),3)))</f>
        <v>116-901</v>
      </c>
      <c r="C1252" s="979" t="s">
        <v>651</v>
      </c>
      <c r="D1252" s="979">
        <v>5</v>
      </c>
      <c r="E1252" s="979">
        <v>1658</v>
      </c>
      <c r="F1252" s="979" t="s">
        <v>5003</v>
      </c>
      <c r="G1252" s="979" t="s">
        <v>6277</v>
      </c>
      <c r="H1252" s="1030">
        <v>490385</v>
      </c>
      <c r="I1252" s="1030">
        <v>67075</v>
      </c>
      <c r="J1252" s="1034">
        <v>0.13828043664251183</v>
      </c>
      <c r="K1252" s="1030">
        <v>67810.651922938167</v>
      </c>
      <c r="L1252" s="1030">
        <v>67075</v>
      </c>
      <c r="M1252" s="979">
        <v>599</v>
      </c>
    </row>
    <row r="1253" spans="1:13" ht="15">
      <c r="A1253" s="979" t="s">
        <v>3581</v>
      </c>
      <c r="B1253" s="722" t="str">
        <f>CONCATENATE(LEFT(RIGHT(CONCATENATE("000",IFAData_TEA!A1253),6),3),"-",(RIGHT(RIGHT(CONCATENATE("000",IFAData_TEA!A1253),6),3)))</f>
        <v>116-902</v>
      </c>
      <c r="C1253" s="979" t="s">
        <v>1578</v>
      </c>
      <c r="D1253" s="979">
        <v>9</v>
      </c>
      <c r="E1253" s="979">
        <v>1670</v>
      </c>
      <c r="F1253" s="979" t="s">
        <v>5007</v>
      </c>
      <c r="G1253" s="979" t="s">
        <v>6278</v>
      </c>
      <c r="H1253" s="1030">
        <v>123500</v>
      </c>
      <c r="I1253" s="1030">
        <v>0</v>
      </c>
      <c r="J1253" s="1034">
        <v>0</v>
      </c>
      <c r="K1253" s="1030">
        <v>0</v>
      </c>
      <c r="L1253" s="1030">
        <v>0</v>
      </c>
      <c r="M1253" s="979">
        <v>599</v>
      </c>
    </row>
    <row r="1254" spans="1:13" ht="15">
      <c r="A1254" s="979" t="s">
        <v>3581</v>
      </c>
      <c r="B1254" s="722" t="str">
        <f>CONCATENATE(LEFT(RIGHT(CONCATENATE("000",IFAData_TEA!A1254),6),3),"-",(RIGHT(RIGHT(CONCATENATE("000",IFAData_TEA!A1254),6),3)))</f>
        <v>116-902</v>
      </c>
      <c r="C1254" s="979" t="s">
        <v>1578</v>
      </c>
      <c r="D1254" s="979">
        <v>9</v>
      </c>
      <c r="E1254" s="979">
        <v>1670</v>
      </c>
      <c r="F1254" s="979" t="s">
        <v>5007</v>
      </c>
      <c r="G1254" s="979" t="s">
        <v>5007</v>
      </c>
      <c r="H1254" s="1030">
        <v>123500</v>
      </c>
      <c r="I1254" s="1030">
        <v>473227</v>
      </c>
      <c r="J1254" s="1034">
        <v>1</v>
      </c>
      <c r="K1254" s="1030">
        <v>123500</v>
      </c>
      <c r="L1254" s="1030">
        <v>123500</v>
      </c>
      <c r="M1254" s="979">
        <v>599</v>
      </c>
    </row>
    <row r="1255" spans="1:13" ht="15">
      <c r="A1255" s="979" t="s">
        <v>3582</v>
      </c>
      <c r="B1255" s="722" t="str">
        <f>CONCATENATE(LEFT(RIGHT(CONCATENATE("000",IFAData_TEA!A1255),6),3),"-",(RIGHT(RIGHT(CONCATENATE("000",IFAData_TEA!A1255),6),3)))</f>
        <v>116-903</v>
      </c>
      <c r="C1255" s="979" t="s">
        <v>1550</v>
      </c>
      <c r="D1255" s="979">
        <v>5</v>
      </c>
      <c r="E1255" s="979">
        <v>1711</v>
      </c>
      <c r="F1255" s="979" t="s">
        <v>5008</v>
      </c>
      <c r="G1255" s="979" t="s">
        <v>5010</v>
      </c>
      <c r="H1255" s="1030">
        <v>568204</v>
      </c>
      <c r="I1255" s="1030">
        <v>190983</v>
      </c>
      <c r="J1255" s="1034">
        <v>0.16144310863975034</v>
      </c>
      <c r="K1255" s="1030">
        <v>91732.620101540699</v>
      </c>
      <c r="L1255" s="1030">
        <v>91732.620101540699</v>
      </c>
      <c r="M1255" s="979">
        <v>599</v>
      </c>
    </row>
    <row r="1256" spans="1:13" ht="15">
      <c r="A1256" s="979" t="s">
        <v>3582</v>
      </c>
      <c r="B1256" s="722" t="str">
        <f>CONCATENATE(LEFT(RIGHT(CONCATENATE("000",IFAData_TEA!A1256),6),3),"-",(RIGHT(RIGHT(CONCATENATE("000",IFAData_TEA!A1256),6),3)))</f>
        <v>116-903</v>
      </c>
      <c r="C1256" s="979" t="s">
        <v>1550</v>
      </c>
      <c r="D1256" s="979">
        <v>5</v>
      </c>
      <c r="E1256" s="979">
        <v>1711</v>
      </c>
      <c r="F1256" s="979" t="s">
        <v>5008</v>
      </c>
      <c r="G1256" s="979" t="s">
        <v>6279</v>
      </c>
      <c r="H1256" s="1030">
        <v>568204</v>
      </c>
      <c r="I1256" s="1030">
        <v>0</v>
      </c>
      <c r="J1256" s="1034">
        <v>0</v>
      </c>
      <c r="K1256" s="1030">
        <v>0</v>
      </c>
      <c r="L1256" s="1030">
        <v>0</v>
      </c>
      <c r="M1256" s="979">
        <v>599</v>
      </c>
    </row>
    <row r="1257" spans="1:13" ht="15">
      <c r="A1257" s="979" t="s">
        <v>3582</v>
      </c>
      <c r="B1257" s="722" t="str">
        <f>CONCATENATE(LEFT(RIGHT(CONCATENATE("000",IFAData_TEA!A1257),6),3),"-",(RIGHT(RIGHT(CONCATENATE("000",IFAData_TEA!A1257),6),3)))</f>
        <v>116-903</v>
      </c>
      <c r="C1257" s="979" t="s">
        <v>1550</v>
      </c>
      <c r="D1257" s="979">
        <v>5</v>
      </c>
      <c r="E1257" s="979">
        <v>1711</v>
      </c>
      <c r="F1257" s="979" t="s">
        <v>5008</v>
      </c>
      <c r="G1257" s="979" t="s">
        <v>5008</v>
      </c>
      <c r="H1257" s="1030">
        <v>568204</v>
      </c>
      <c r="I1257" s="1030">
        <v>0</v>
      </c>
      <c r="J1257" s="1034">
        <v>0</v>
      </c>
      <c r="K1257" s="1030">
        <v>0</v>
      </c>
      <c r="L1257" s="1030">
        <v>0</v>
      </c>
      <c r="M1257" s="979">
        <v>599</v>
      </c>
    </row>
    <row r="1258" spans="1:13" ht="15">
      <c r="A1258" s="979" t="s">
        <v>3582</v>
      </c>
      <c r="B1258" s="722" t="str">
        <f>CONCATENATE(LEFT(RIGHT(CONCATENATE("000",IFAData_TEA!A1258),6),3),"-",(RIGHT(RIGHT(CONCATENATE("000",IFAData_TEA!A1258),6),3)))</f>
        <v>116-903</v>
      </c>
      <c r="C1258" s="979" t="s">
        <v>1550</v>
      </c>
      <c r="D1258" s="979">
        <v>5</v>
      </c>
      <c r="E1258" s="979">
        <v>1711</v>
      </c>
      <c r="F1258" s="979" t="s">
        <v>5008</v>
      </c>
      <c r="G1258" s="979" t="s">
        <v>5009</v>
      </c>
      <c r="H1258" s="1030">
        <v>568204</v>
      </c>
      <c r="I1258" s="1030">
        <v>991991</v>
      </c>
      <c r="J1258" s="1034">
        <v>0.83855689136024969</v>
      </c>
      <c r="K1258" s="1030">
        <v>476471.3798984593</v>
      </c>
      <c r="L1258" s="1030">
        <v>476471.3798984593</v>
      </c>
      <c r="M1258" s="979">
        <v>599</v>
      </c>
    </row>
    <row r="1259" spans="1:13" ht="15">
      <c r="A1259" s="979" t="s">
        <v>3583</v>
      </c>
      <c r="B1259" s="722" t="str">
        <f>CONCATENATE(LEFT(RIGHT(CONCATENATE("000",IFAData_TEA!A1259),6),3),"-",(RIGHT(RIGHT(CONCATENATE("000",IFAData_TEA!A1259),6),3)))</f>
        <v>116-906</v>
      </c>
      <c r="C1259" s="979" t="s">
        <v>2125</v>
      </c>
      <c r="D1259" s="979">
        <v>4</v>
      </c>
      <c r="E1259" s="979">
        <v>2033</v>
      </c>
      <c r="F1259" s="979" t="s">
        <v>5011</v>
      </c>
      <c r="G1259" s="979" t="s">
        <v>5012</v>
      </c>
      <c r="H1259" s="1030">
        <v>179503</v>
      </c>
      <c r="I1259" s="1030">
        <v>231027</v>
      </c>
      <c r="J1259" s="1034">
        <v>0.46370385832793076</v>
      </c>
      <c r="K1259" s="1030">
        <v>83236.233681438549</v>
      </c>
      <c r="L1259" s="1030">
        <v>83236.233681438549</v>
      </c>
      <c r="M1259" s="979">
        <v>599</v>
      </c>
    </row>
    <row r="1260" spans="1:13" ht="15">
      <c r="A1260" s="979" t="s">
        <v>3583</v>
      </c>
      <c r="B1260" s="722" t="str">
        <f>CONCATENATE(LEFT(RIGHT(CONCATENATE("000",IFAData_TEA!A1260),6),3),"-",(RIGHT(RIGHT(CONCATENATE("000",IFAData_TEA!A1260),6),3)))</f>
        <v>116-906</v>
      </c>
      <c r="C1260" s="979" t="s">
        <v>2125</v>
      </c>
      <c r="D1260" s="979">
        <v>4</v>
      </c>
      <c r="E1260" s="979">
        <v>2033</v>
      </c>
      <c r="F1260" s="979" t="s">
        <v>5011</v>
      </c>
      <c r="G1260" s="979" t="s">
        <v>5011</v>
      </c>
      <c r="H1260" s="1030">
        <v>179503</v>
      </c>
      <c r="I1260" s="1030">
        <v>267194</v>
      </c>
      <c r="J1260" s="1034">
        <v>0.53629614167206918</v>
      </c>
      <c r="K1260" s="1030">
        <v>96266.766318561436</v>
      </c>
      <c r="L1260" s="1030">
        <v>96266.766318561436</v>
      </c>
      <c r="M1260" s="979">
        <v>599</v>
      </c>
    </row>
    <row r="1261" spans="1:13" ht="15">
      <c r="A1261" s="979" t="s">
        <v>3584</v>
      </c>
      <c r="B1261" s="722" t="str">
        <f>CONCATENATE(LEFT(RIGHT(CONCATENATE("000",IFAData_TEA!A1261),6),3),"-",(RIGHT(RIGHT(CONCATENATE("000",IFAData_TEA!A1261),6),3)))</f>
        <v>116-908</v>
      </c>
      <c r="C1261" s="979" t="s">
        <v>77</v>
      </c>
      <c r="D1261" s="979">
        <v>6</v>
      </c>
      <c r="E1261" s="979">
        <v>2224</v>
      </c>
      <c r="F1261" s="979" t="s">
        <v>5015</v>
      </c>
      <c r="G1261" s="979" t="s">
        <v>5016</v>
      </c>
      <c r="H1261" s="1030">
        <v>685070</v>
      </c>
      <c r="I1261" s="1030">
        <v>625560</v>
      </c>
      <c r="J1261" s="1034">
        <v>1</v>
      </c>
      <c r="K1261" s="1030">
        <v>685070</v>
      </c>
      <c r="L1261" s="1030">
        <v>625560</v>
      </c>
      <c r="M1261" s="979">
        <v>599</v>
      </c>
    </row>
    <row r="1262" spans="1:13" ht="15">
      <c r="A1262" s="979" t="s">
        <v>3584</v>
      </c>
      <c r="B1262" s="722" t="str">
        <f>CONCATENATE(LEFT(RIGHT(CONCATENATE("000",IFAData_TEA!A1262),6),3),"-",(RIGHT(RIGHT(CONCATENATE("000",IFAData_TEA!A1262),6),3)))</f>
        <v>116-908</v>
      </c>
      <c r="C1262" s="979" t="s">
        <v>77</v>
      </c>
      <c r="D1262" s="979">
        <v>1</v>
      </c>
      <c r="E1262" s="979">
        <v>2223</v>
      </c>
      <c r="F1262" s="979" t="s">
        <v>5013</v>
      </c>
      <c r="G1262" s="979" t="s">
        <v>5013</v>
      </c>
      <c r="H1262" s="1030">
        <v>647776</v>
      </c>
      <c r="I1262" s="1030">
        <v>0</v>
      </c>
      <c r="J1262" s="1034">
        <v>0</v>
      </c>
      <c r="K1262" s="1030">
        <v>0</v>
      </c>
      <c r="L1262" s="1030">
        <v>0</v>
      </c>
      <c r="M1262" s="979">
        <v>599</v>
      </c>
    </row>
    <row r="1263" spans="1:13" ht="15">
      <c r="A1263" s="979" t="s">
        <v>3584</v>
      </c>
      <c r="B1263" s="722" t="str">
        <f>CONCATENATE(LEFT(RIGHT(CONCATENATE("000",IFAData_TEA!A1263),6),3),"-",(RIGHT(RIGHT(CONCATENATE("000",IFAData_TEA!A1263),6),3)))</f>
        <v>116-908</v>
      </c>
      <c r="C1263" s="979" t="s">
        <v>77</v>
      </c>
      <c r="D1263" s="979">
        <v>6</v>
      </c>
      <c r="E1263" s="979">
        <v>2224</v>
      </c>
      <c r="F1263" s="979" t="s">
        <v>5015</v>
      </c>
      <c r="G1263" s="979" t="s">
        <v>5015</v>
      </c>
      <c r="H1263" s="1030">
        <v>685070</v>
      </c>
      <c r="I1263" s="1030">
        <v>0</v>
      </c>
      <c r="J1263" s="1034">
        <v>0</v>
      </c>
      <c r="K1263" s="1030">
        <v>0</v>
      </c>
      <c r="L1263" s="1030">
        <v>0</v>
      </c>
      <c r="M1263" s="979">
        <v>599</v>
      </c>
    </row>
    <row r="1264" spans="1:13" ht="15">
      <c r="A1264" s="979" t="s">
        <v>3584</v>
      </c>
      <c r="B1264" s="722" t="str">
        <f>CONCATENATE(LEFT(RIGHT(CONCATENATE("000",IFAData_TEA!A1264),6),3),"-",(RIGHT(RIGHT(CONCATENATE("000",IFAData_TEA!A1264),6),3)))</f>
        <v>116-908</v>
      </c>
      <c r="C1264" s="979" t="s">
        <v>77</v>
      </c>
      <c r="D1264" s="979">
        <v>1</v>
      </c>
      <c r="E1264" s="979">
        <v>2223</v>
      </c>
      <c r="F1264" s="979" t="s">
        <v>5013</v>
      </c>
      <c r="G1264" s="979" t="s">
        <v>5014</v>
      </c>
      <c r="H1264" s="1030">
        <v>647776</v>
      </c>
      <c r="I1264" s="1030">
        <v>593445</v>
      </c>
      <c r="J1264" s="1034">
        <v>1</v>
      </c>
      <c r="K1264" s="1030">
        <v>647776</v>
      </c>
      <c r="L1264" s="1030">
        <v>593445</v>
      </c>
      <c r="M1264" s="979">
        <v>599</v>
      </c>
    </row>
    <row r="1265" spans="1:13" ht="15">
      <c r="A1265" s="979" t="s">
        <v>3585</v>
      </c>
      <c r="B1265" s="722" t="str">
        <f>CONCATENATE(LEFT(RIGHT(CONCATENATE("000",IFAData_TEA!A1265),6),3),"-",(RIGHT(RIGHT(CONCATENATE("000",IFAData_TEA!A1265),6),3)))</f>
        <v>116-909</v>
      </c>
      <c r="C1265" s="979" t="s">
        <v>1131</v>
      </c>
      <c r="D1265" s="979">
        <v>5</v>
      </c>
      <c r="E1265" s="979">
        <v>2461</v>
      </c>
      <c r="F1265" s="979" t="s">
        <v>5017</v>
      </c>
      <c r="G1265" s="979" t="s">
        <v>5017</v>
      </c>
      <c r="H1265" s="1030">
        <v>144000</v>
      </c>
      <c r="I1265" s="1030">
        <v>0</v>
      </c>
      <c r="J1265" s="1034">
        <v>0</v>
      </c>
      <c r="K1265" s="1030">
        <v>0</v>
      </c>
      <c r="L1265" s="1030">
        <v>0</v>
      </c>
      <c r="M1265" s="979">
        <v>599</v>
      </c>
    </row>
    <row r="1266" spans="1:13" ht="15">
      <c r="A1266" s="979" t="s">
        <v>3585</v>
      </c>
      <c r="B1266" s="722" t="str">
        <f>CONCATENATE(LEFT(RIGHT(CONCATENATE("000",IFAData_TEA!A1266),6),3),"-",(RIGHT(RIGHT(CONCATENATE("000",IFAData_TEA!A1266),6),3)))</f>
        <v>116-909</v>
      </c>
      <c r="C1266" s="979" t="s">
        <v>1131</v>
      </c>
      <c r="D1266" s="979">
        <v>5</v>
      </c>
      <c r="E1266" s="979">
        <v>2461</v>
      </c>
      <c r="F1266" s="979" t="s">
        <v>5017</v>
      </c>
      <c r="G1266" s="979" t="s">
        <v>5018</v>
      </c>
      <c r="H1266" s="1030">
        <v>144000</v>
      </c>
      <c r="I1266" s="1030">
        <v>119800</v>
      </c>
      <c r="J1266" s="1034">
        <v>1</v>
      </c>
      <c r="K1266" s="1030">
        <v>144000</v>
      </c>
      <c r="L1266" s="1030">
        <v>119800</v>
      </c>
      <c r="M1266" s="979">
        <v>599</v>
      </c>
    </row>
    <row r="1267" spans="1:13" ht="15">
      <c r="A1267" s="979" t="s">
        <v>3586</v>
      </c>
      <c r="B1267" s="722" t="str">
        <f>CONCATENATE(LEFT(RIGHT(CONCATENATE("000",IFAData_TEA!A1267),6),3),"-",(RIGHT(RIGHT(CONCATENATE("000",IFAData_TEA!A1267),6),3)))</f>
        <v>116-915</v>
      </c>
      <c r="C1267" s="979" t="s">
        <v>799</v>
      </c>
      <c r="D1267" s="979">
        <v>2</v>
      </c>
      <c r="E1267" s="979">
        <v>1614</v>
      </c>
      <c r="F1267" s="979" t="s">
        <v>5019</v>
      </c>
      <c r="G1267" s="979" t="s">
        <v>5019</v>
      </c>
      <c r="H1267" s="1030">
        <v>93784</v>
      </c>
      <c r="I1267" s="1030">
        <v>0</v>
      </c>
      <c r="J1267" s="1034">
        <v>0</v>
      </c>
      <c r="K1267" s="1030"/>
      <c r="L1267" s="1030">
        <v>0</v>
      </c>
      <c r="M1267" s="979">
        <v>199</v>
      </c>
    </row>
    <row r="1268" spans="1:13" ht="15">
      <c r="A1268" s="979" t="s">
        <v>3586</v>
      </c>
      <c r="B1268" s="722" t="str">
        <f>CONCATENATE(LEFT(RIGHT(CONCATENATE("000",IFAData_TEA!A1268),6),3),"-",(RIGHT(RIGHT(CONCATENATE("000",IFAData_TEA!A1268),6),3)))</f>
        <v>116-915</v>
      </c>
      <c r="C1268" s="979" t="s">
        <v>799</v>
      </c>
      <c r="D1268" s="979">
        <v>9</v>
      </c>
      <c r="E1268" s="979">
        <v>1615</v>
      </c>
      <c r="F1268" s="979" t="s">
        <v>5020</v>
      </c>
      <c r="G1268" s="979" t="s">
        <v>5020</v>
      </c>
      <c r="H1268" s="1030">
        <v>136678</v>
      </c>
      <c r="I1268" s="1030">
        <v>734138</v>
      </c>
      <c r="J1268" s="1034">
        <v>1</v>
      </c>
      <c r="K1268" s="1030">
        <v>136678</v>
      </c>
      <c r="L1268" s="1030">
        <v>136678</v>
      </c>
      <c r="M1268" s="979">
        <v>599</v>
      </c>
    </row>
    <row r="1269" spans="1:13" ht="15">
      <c r="A1269" s="979" t="s">
        <v>3587</v>
      </c>
      <c r="B1269" s="722" t="str">
        <f>CONCATENATE(LEFT(RIGHT(CONCATENATE("000",IFAData_TEA!A1269),6),3),"-",(RIGHT(RIGHT(CONCATENATE("000",IFAData_TEA!A1269),6),3)))</f>
        <v>116-916</v>
      </c>
      <c r="C1269" s="979" t="s">
        <v>1347</v>
      </c>
      <c r="D1269" s="979">
        <v>5</v>
      </c>
      <c r="E1269" s="979">
        <v>1626</v>
      </c>
      <c r="F1269" s="979" t="s">
        <v>5021</v>
      </c>
      <c r="G1269" s="979" t="s">
        <v>6280</v>
      </c>
      <c r="H1269" s="1030">
        <v>139355</v>
      </c>
      <c r="I1269" s="1030">
        <v>27738</v>
      </c>
      <c r="J1269" s="1034">
        <v>0.25810954162246663</v>
      </c>
      <c r="K1269" s="1030">
        <v>35968.855172798838</v>
      </c>
      <c r="L1269" s="1030">
        <v>27738</v>
      </c>
      <c r="M1269" s="979">
        <v>599</v>
      </c>
    </row>
    <row r="1270" spans="1:13" ht="15">
      <c r="A1270" s="979" t="s">
        <v>3587</v>
      </c>
      <c r="B1270" s="722" t="str">
        <f>CONCATENATE(LEFT(RIGHT(CONCATENATE("000",IFAData_TEA!A1270),6),3),"-",(RIGHT(RIGHT(CONCATENATE("000",IFAData_TEA!A1270),6),3)))</f>
        <v>116-916</v>
      </c>
      <c r="C1270" s="979" t="s">
        <v>1347</v>
      </c>
      <c r="D1270" s="979">
        <v>5</v>
      </c>
      <c r="E1270" s="979">
        <v>1626</v>
      </c>
      <c r="F1270" s="979" t="s">
        <v>5021</v>
      </c>
      <c r="G1270" s="979" t="s">
        <v>5021</v>
      </c>
      <c r="H1270" s="1030">
        <v>139355</v>
      </c>
      <c r="I1270" s="1030">
        <v>0</v>
      </c>
      <c r="J1270" s="1034">
        <v>0</v>
      </c>
      <c r="K1270" s="1030">
        <v>0</v>
      </c>
      <c r="L1270" s="1030">
        <v>0</v>
      </c>
      <c r="M1270" s="979">
        <v>599</v>
      </c>
    </row>
    <row r="1271" spans="1:13" ht="15">
      <c r="A1271" s="979" t="s">
        <v>3587</v>
      </c>
      <c r="B1271" s="722" t="str">
        <f>CONCATENATE(LEFT(RIGHT(CONCATENATE("000",IFAData_TEA!A1271),6),3),"-",(RIGHT(RIGHT(CONCATENATE("000",IFAData_TEA!A1271),6),3)))</f>
        <v>116-916</v>
      </c>
      <c r="C1271" s="979" t="s">
        <v>1347</v>
      </c>
      <c r="D1271" s="979">
        <v>5</v>
      </c>
      <c r="E1271" s="979">
        <v>1626</v>
      </c>
      <c r="F1271" s="979" t="s">
        <v>5021</v>
      </c>
      <c r="G1271" s="979" t="s">
        <v>5022</v>
      </c>
      <c r="H1271" s="1030">
        <v>139355</v>
      </c>
      <c r="I1271" s="1030">
        <v>79728</v>
      </c>
      <c r="J1271" s="1034">
        <v>0.74189045837753331</v>
      </c>
      <c r="K1271" s="1030">
        <v>103386.14482720115</v>
      </c>
      <c r="L1271" s="1030">
        <v>79728</v>
      </c>
      <c r="M1271" s="979">
        <v>599</v>
      </c>
    </row>
    <row r="1272" spans="1:13" ht="15">
      <c r="A1272" s="979" t="s">
        <v>3588</v>
      </c>
      <c r="B1272" s="722" t="str">
        <f>CONCATENATE(LEFT(RIGHT(CONCATENATE("000",IFAData_TEA!A1272),6),3),"-",(RIGHT(RIGHT(CONCATENATE("000",IFAData_TEA!A1272),6),3)))</f>
        <v>120-902</v>
      </c>
      <c r="C1272" s="979" t="s">
        <v>1481</v>
      </c>
      <c r="D1272" s="979">
        <v>9</v>
      </c>
      <c r="E1272" s="979">
        <v>1841</v>
      </c>
      <c r="F1272" s="979" t="s">
        <v>5024</v>
      </c>
      <c r="G1272" s="979" t="s">
        <v>5024</v>
      </c>
      <c r="H1272" s="1030">
        <v>152500</v>
      </c>
      <c r="I1272" s="1030">
        <v>371642</v>
      </c>
      <c r="J1272" s="1034">
        <v>1</v>
      </c>
      <c r="K1272" s="1030">
        <v>152500</v>
      </c>
      <c r="L1272" s="1030">
        <v>152500</v>
      </c>
      <c r="M1272" s="979">
        <v>599</v>
      </c>
    </row>
    <row r="1273" spans="1:13" ht="15">
      <c r="A1273" s="979" t="s">
        <v>3588</v>
      </c>
      <c r="B1273" s="722" t="str">
        <f>CONCATENATE(LEFT(RIGHT(CONCATENATE("000",IFAData_TEA!A1273),6),3),"-",(RIGHT(RIGHT(CONCATENATE("000",IFAData_TEA!A1273),6),3)))</f>
        <v>120-902</v>
      </c>
      <c r="C1273" s="979" t="s">
        <v>1481</v>
      </c>
      <c r="D1273" s="979">
        <v>2</v>
      </c>
      <c r="E1273" s="979">
        <v>1840</v>
      </c>
      <c r="F1273" s="979" t="s">
        <v>5023</v>
      </c>
      <c r="G1273" s="979" t="s">
        <v>5023</v>
      </c>
      <c r="H1273" s="1030">
        <v>137438</v>
      </c>
      <c r="I1273" s="1030">
        <v>0</v>
      </c>
      <c r="J1273" s="1034">
        <v>0</v>
      </c>
      <c r="K1273" s="1030"/>
      <c r="L1273" s="1030">
        <v>0</v>
      </c>
      <c r="M1273" s="979">
        <v>599</v>
      </c>
    </row>
    <row r="1274" spans="1:13" ht="15">
      <c r="A1274" s="979" t="s">
        <v>3589</v>
      </c>
      <c r="B1274" s="722" t="str">
        <f>CONCATENATE(LEFT(RIGHT(CONCATENATE("000",IFAData_TEA!A1274),6),3),"-",(RIGHT(RIGHT(CONCATENATE("000",IFAData_TEA!A1274),6),3)))</f>
        <v>121-903</v>
      </c>
      <c r="C1274" s="979" t="s">
        <v>1447</v>
      </c>
      <c r="D1274" s="979">
        <v>2</v>
      </c>
      <c r="E1274" s="979">
        <v>1651</v>
      </c>
      <c r="F1274" s="979" t="s">
        <v>5025</v>
      </c>
      <c r="G1274" s="979" t="s">
        <v>5025</v>
      </c>
      <c r="H1274" s="1030">
        <v>409486</v>
      </c>
      <c r="I1274" s="1030">
        <v>0</v>
      </c>
      <c r="J1274" s="1034">
        <v>0</v>
      </c>
      <c r="K1274" s="1030">
        <v>0</v>
      </c>
      <c r="L1274" s="1030">
        <v>0</v>
      </c>
      <c r="M1274" s="979">
        <v>599</v>
      </c>
    </row>
    <row r="1275" spans="1:13" ht="15">
      <c r="A1275" s="979" t="s">
        <v>3589</v>
      </c>
      <c r="B1275" s="722" t="str">
        <f>CONCATENATE(LEFT(RIGHT(CONCATENATE("000",IFAData_TEA!A1275),6),3),"-",(RIGHT(RIGHT(CONCATENATE("000",IFAData_TEA!A1275),6),3)))</f>
        <v>121-903</v>
      </c>
      <c r="C1275" s="979" t="s">
        <v>1447</v>
      </c>
      <c r="D1275" s="979">
        <v>3</v>
      </c>
      <c r="E1275" s="979">
        <v>1650</v>
      </c>
      <c r="F1275" s="979" t="s">
        <v>5027</v>
      </c>
      <c r="G1275" s="979" t="s">
        <v>5027</v>
      </c>
      <c r="H1275" s="1030">
        <v>319854</v>
      </c>
      <c r="I1275" s="1030">
        <v>0</v>
      </c>
      <c r="J1275" s="1034">
        <v>0</v>
      </c>
      <c r="K1275" s="1030">
        <v>0</v>
      </c>
      <c r="L1275" s="1030">
        <v>0</v>
      </c>
      <c r="M1275" s="979">
        <v>599</v>
      </c>
    </row>
    <row r="1276" spans="1:13" ht="15">
      <c r="A1276" s="979" t="s">
        <v>3589</v>
      </c>
      <c r="B1276" s="722" t="str">
        <f>CONCATENATE(LEFT(RIGHT(CONCATENATE("000",IFAData_TEA!A1276),6),3),"-",(RIGHT(RIGHT(CONCATENATE("000",IFAData_TEA!A1276),6),3)))</f>
        <v>121-903</v>
      </c>
      <c r="C1276" s="979" t="s">
        <v>1447</v>
      </c>
      <c r="D1276" s="979">
        <v>3</v>
      </c>
      <c r="E1276" s="979">
        <v>1650</v>
      </c>
      <c r="F1276" s="979" t="s">
        <v>5027</v>
      </c>
      <c r="G1276" s="979" t="s">
        <v>5026</v>
      </c>
      <c r="H1276" s="1030">
        <v>319854</v>
      </c>
      <c r="I1276" s="1030">
        <v>313124</v>
      </c>
      <c r="J1276" s="1034">
        <v>1</v>
      </c>
      <c r="K1276" s="1030">
        <v>319854</v>
      </c>
      <c r="L1276" s="1030">
        <v>313124</v>
      </c>
      <c r="M1276" s="979">
        <v>599</v>
      </c>
    </row>
    <row r="1277" spans="1:13" ht="15">
      <c r="A1277" s="979" t="s">
        <v>3589</v>
      </c>
      <c r="B1277" s="722" t="str">
        <f>CONCATENATE(LEFT(RIGHT(CONCATENATE("000",IFAData_TEA!A1277),6),3),"-",(RIGHT(RIGHT(CONCATENATE("000",IFAData_TEA!A1277),6),3)))</f>
        <v>121-903</v>
      </c>
      <c r="C1277" s="979" t="s">
        <v>1447</v>
      </c>
      <c r="D1277" s="979">
        <v>2</v>
      </c>
      <c r="E1277" s="979">
        <v>1651</v>
      </c>
      <c r="F1277" s="979" t="s">
        <v>5025</v>
      </c>
      <c r="G1277" s="979" t="s">
        <v>5026</v>
      </c>
      <c r="H1277" s="1030">
        <v>409486</v>
      </c>
      <c r="I1277" s="1030">
        <v>586304</v>
      </c>
      <c r="J1277" s="1034">
        <v>1</v>
      </c>
      <c r="K1277" s="1030">
        <v>409486</v>
      </c>
      <c r="L1277" s="1030">
        <v>409486</v>
      </c>
      <c r="M1277" s="979">
        <v>599</v>
      </c>
    </row>
    <row r="1278" spans="1:13" ht="15">
      <c r="A1278" s="979" t="s">
        <v>3590</v>
      </c>
      <c r="B1278" s="722" t="str">
        <f>CONCATENATE(LEFT(RIGHT(CONCATENATE("000",IFAData_TEA!A1278),6),3),"-",(RIGHT(RIGHT(CONCATENATE("000",IFAData_TEA!A1278),6),3)))</f>
        <v>121-904</v>
      </c>
      <c r="C1278" s="979" t="s">
        <v>406</v>
      </c>
      <c r="D1278" s="979">
        <v>1</v>
      </c>
      <c r="E1278" s="979">
        <v>1935</v>
      </c>
      <c r="F1278" s="979" t="s">
        <v>5028</v>
      </c>
      <c r="G1278" s="979" t="s">
        <v>5028</v>
      </c>
      <c r="H1278" s="1030">
        <v>422458</v>
      </c>
      <c r="I1278" s="1030">
        <v>0</v>
      </c>
      <c r="J1278" s="1034">
        <v>0</v>
      </c>
      <c r="K1278" s="1030">
        <v>0</v>
      </c>
      <c r="L1278" s="1030">
        <v>0</v>
      </c>
      <c r="M1278" s="979">
        <v>599</v>
      </c>
    </row>
    <row r="1279" spans="1:13" ht="15">
      <c r="A1279" s="979" t="s">
        <v>3590</v>
      </c>
      <c r="B1279" s="722" t="str">
        <f>CONCATENATE(LEFT(RIGHT(CONCATENATE("000",IFAData_TEA!A1279),6),3),"-",(RIGHT(RIGHT(CONCATENATE("000",IFAData_TEA!A1279),6),3)))</f>
        <v>121-904</v>
      </c>
      <c r="C1279" s="979" t="s">
        <v>406</v>
      </c>
      <c r="D1279" s="979">
        <v>1</v>
      </c>
      <c r="E1279" s="979">
        <v>1935</v>
      </c>
      <c r="F1279" s="979" t="s">
        <v>5028</v>
      </c>
      <c r="G1279" s="979" t="s">
        <v>5030</v>
      </c>
      <c r="H1279" s="1030">
        <v>422458</v>
      </c>
      <c r="I1279" s="1030">
        <v>514950</v>
      </c>
      <c r="J1279" s="1034">
        <v>1</v>
      </c>
      <c r="K1279" s="1030">
        <v>422458</v>
      </c>
      <c r="L1279" s="1030">
        <v>422458</v>
      </c>
      <c r="M1279" s="979">
        <v>599</v>
      </c>
    </row>
    <row r="1280" spans="1:13" ht="15">
      <c r="A1280" s="979" t="s">
        <v>3590</v>
      </c>
      <c r="B1280" s="722" t="str">
        <f>CONCATENATE(LEFT(RIGHT(CONCATENATE("000",IFAData_TEA!A1280),6),3),"-",(RIGHT(RIGHT(CONCATENATE("000",IFAData_TEA!A1280),6),3)))</f>
        <v>121-904</v>
      </c>
      <c r="C1280" s="979" t="s">
        <v>406</v>
      </c>
      <c r="D1280" s="979">
        <v>3</v>
      </c>
      <c r="E1280" s="979">
        <v>1933</v>
      </c>
      <c r="F1280" s="979" t="s">
        <v>5033</v>
      </c>
      <c r="G1280" s="979" t="s">
        <v>5032</v>
      </c>
      <c r="H1280" s="1030">
        <v>359938</v>
      </c>
      <c r="I1280" s="1030">
        <v>354273</v>
      </c>
      <c r="J1280" s="1034">
        <v>1</v>
      </c>
      <c r="K1280" s="1030">
        <v>359938</v>
      </c>
      <c r="L1280" s="1030">
        <v>354273</v>
      </c>
      <c r="M1280" s="979">
        <v>599</v>
      </c>
    </row>
    <row r="1281" spans="1:13" ht="15">
      <c r="A1281" s="979" t="s">
        <v>3590</v>
      </c>
      <c r="B1281" s="722" t="str">
        <f>CONCATENATE(LEFT(RIGHT(CONCATENATE("000",IFAData_TEA!A1281),6),3),"-",(RIGHT(RIGHT(CONCATENATE("000",IFAData_TEA!A1281),6),3)))</f>
        <v>121-904</v>
      </c>
      <c r="C1281" s="979" t="s">
        <v>406</v>
      </c>
      <c r="D1281" s="979">
        <v>2</v>
      </c>
      <c r="E1281" s="979">
        <v>1934</v>
      </c>
      <c r="F1281" s="979" t="s">
        <v>5031</v>
      </c>
      <c r="G1281" s="979" t="s">
        <v>5032</v>
      </c>
      <c r="H1281" s="1030">
        <v>410042</v>
      </c>
      <c r="I1281" s="1030">
        <v>440634</v>
      </c>
      <c r="J1281" s="1034">
        <v>1</v>
      </c>
      <c r="K1281" s="1030">
        <v>410042</v>
      </c>
      <c r="L1281" s="1030">
        <v>410042</v>
      </c>
      <c r="M1281" s="979">
        <v>599</v>
      </c>
    </row>
    <row r="1282" spans="1:13" ht="15">
      <c r="A1282" s="979" t="s">
        <v>3590</v>
      </c>
      <c r="B1282" s="722" t="str">
        <f>CONCATENATE(LEFT(RIGHT(CONCATENATE("000",IFAData_TEA!A1282),6),3),"-",(RIGHT(RIGHT(CONCATENATE("000",IFAData_TEA!A1282),6),3)))</f>
        <v>121-904</v>
      </c>
      <c r="C1282" s="979" t="s">
        <v>406</v>
      </c>
      <c r="D1282" s="979">
        <v>1</v>
      </c>
      <c r="E1282" s="979">
        <v>1935</v>
      </c>
      <c r="F1282" s="979" t="s">
        <v>5028</v>
      </c>
      <c r="G1282" s="979" t="s">
        <v>5029</v>
      </c>
      <c r="H1282" s="1030">
        <v>422458</v>
      </c>
      <c r="I1282" s="1030">
        <v>0</v>
      </c>
      <c r="J1282" s="1034">
        <v>0</v>
      </c>
      <c r="K1282" s="1030">
        <v>0</v>
      </c>
      <c r="L1282" s="1030">
        <v>0</v>
      </c>
      <c r="M1282" s="979">
        <v>599</v>
      </c>
    </row>
    <row r="1283" spans="1:13" ht="15">
      <c r="A1283" s="979" t="s">
        <v>3590</v>
      </c>
      <c r="B1283" s="722" t="str">
        <f>CONCATENATE(LEFT(RIGHT(CONCATENATE("000",IFAData_TEA!A1283),6),3),"-",(RIGHT(RIGHT(CONCATENATE("000",IFAData_TEA!A1283),6),3)))</f>
        <v>121-904</v>
      </c>
      <c r="C1283" s="979" t="s">
        <v>406</v>
      </c>
      <c r="D1283" s="979">
        <v>2</v>
      </c>
      <c r="E1283" s="979">
        <v>1934</v>
      </c>
      <c r="F1283" s="979" t="s">
        <v>5031</v>
      </c>
      <c r="G1283" s="979" t="s">
        <v>5031</v>
      </c>
      <c r="H1283" s="1030">
        <v>410042</v>
      </c>
      <c r="I1283" s="1030">
        <v>0</v>
      </c>
      <c r="J1283" s="1034">
        <v>0</v>
      </c>
      <c r="K1283" s="1030">
        <v>0</v>
      </c>
      <c r="L1283" s="1030">
        <v>0</v>
      </c>
      <c r="M1283" s="979">
        <v>599</v>
      </c>
    </row>
    <row r="1284" spans="1:13" ht="15">
      <c r="A1284" s="979" t="s">
        <v>3590</v>
      </c>
      <c r="B1284" s="722" t="str">
        <f>CONCATENATE(LEFT(RIGHT(CONCATENATE("000",IFAData_TEA!A1284),6),3),"-",(RIGHT(RIGHT(CONCATENATE("000",IFAData_TEA!A1284),6),3)))</f>
        <v>121-904</v>
      </c>
      <c r="C1284" s="979" t="s">
        <v>406</v>
      </c>
      <c r="D1284" s="979">
        <v>3</v>
      </c>
      <c r="E1284" s="979">
        <v>1933</v>
      </c>
      <c r="F1284" s="979" t="s">
        <v>5033</v>
      </c>
      <c r="G1284" s="979" t="s">
        <v>5033</v>
      </c>
      <c r="H1284" s="1030">
        <v>359938</v>
      </c>
      <c r="I1284" s="1030">
        <v>0</v>
      </c>
      <c r="J1284" s="1034">
        <v>0</v>
      </c>
      <c r="K1284" s="1030">
        <v>0</v>
      </c>
      <c r="L1284" s="1030">
        <v>0</v>
      </c>
      <c r="M1284" s="979">
        <v>599</v>
      </c>
    </row>
    <row r="1285" spans="1:13" ht="15">
      <c r="A1285" s="979" t="s">
        <v>3591</v>
      </c>
      <c r="B1285" s="722" t="str">
        <f>CONCATENATE(LEFT(RIGHT(CONCATENATE("000",IFAData_TEA!A1285),6),3),"-",(RIGHT(RIGHT(CONCATENATE("000",IFAData_TEA!A1285),6),3)))</f>
        <v>121-905</v>
      </c>
      <c r="C1285" s="979" t="s">
        <v>2017</v>
      </c>
      <c r="D1285" s="979">
        <v>3</v>
      </c>
      <c r="E1285" s="979">
        <v>1962</v>
      </c>
      <c r="F1285" s="979" t="s">
        <v>5034</v>
      </c>
      <c r="G1285" s="979" t="s">
        <v>5035</v>
      </c>
      <c r="H1285" s="1030">
        <v>413051</v>
      </c>
      <c r="I1285" s="1030">
        <v>400771</v>
      </c>
      <c r="J1285" s="1034">
        <v>0.86552507569573123</v>
      </c>
      <c r="K1285" s="1030">
        <v>357505.99804119748</v>
      </c>
      <c r="L1285" s="1030">
        <v>357505.99804119748</v>
      </c>
      <c r="M1285" s="979">
        <v>599</v>
      </c>
    </row>
    <row r="1286" spans="1:13" ht="15">
      <c r="A1286" s="979" t="s">
        <v>3591</v>
      </c>
      <c r="B1286" s="722" t="str">
        <f>CONCATENATE(LEFT(RIGHT(CONCATENATE("000",IFAData_TEA!A1286),6),3),"-",(RIGHT(RIGHT(CONCATENATE("000",IFAData_TEA!A1286),6),3)))</f>
        <v>121-905</v>
      </c>
      <c r="C1286" s="979" t="s">
        <v>2017</v>
      </c>
      <c r="D1286" s="979">
        <v>3</v>
      </c>
      <c r="E1286" s="979">
        <v>1962</v>
      </c>
      <c r="F1286" s="979" t="s">
        <v>5034</v>
      </c>
      <c r="G1286" s="979" t="s">
        <v>5034</v>
      </c>
      <c r="H1286" s="1030">
        <v>413051</v>
      </c>
      <c r="I1286" s="1030">
        <v>0</v>
      </c>
      <c r="J1286" s="1034">
        <v>0</v>
      </c>
      <c r="K1286" s="1030">
        <v>0</v>
      </c>
      <c r="L1286" s="1030">
        <v>0</v>
      </c>
      <c r="M1286" s="979">
        <v>599</v>
      </c>
    </row>
    <row r="1287" spans="1:13" ht="15">
      <c r="A1287" s="979" t="s">
        <v>3591</v>
      </c>
      <c r="B1287" s="722" t="str">
        <f>CONCATENATE(LEFT(RIGHT(CONCATENATE("000",IFAData_TEA!A1287),6),3),"-",(RIGHT(RIGHT(CONCATENATE("000",IFAData_TEA!A1287),6),3)))</f>
        <v>121-905</v>
      </c>
      <c r="C1287" s="979" t="s">
        <v>2017</v>
      </c>
      <c r="D1287" s="979">
        <v>3</v>
      </c>
      <c r="E1287" s="979">
        <v>1962</v>
      </c>
      <c r="F1287" s="979" t="s">
        <v>5034</v>
      </c>
      <c r="G1287" s="979" t="s">
        <v>6281</v>
      </c>
      <c r="H1287" s="1030">
        <v>413051</v>
      </c>
      <c r="I1287" s="1030">
        <v>62267</v>
      </c>
      <c r="J1287" s="1034">
        <v>0.13447492430426877</v>
      </c>
      <c r="K1287" s="1030">
        <v>55545.001958802524</v>
      </c>
      <c r="L1287" s="1030">
        <v>55545.001958802524</v>
      </c>
      <c r="M1287" s="979">
        <v>599</v>
      </c>
    </row>
    <row r="1288" spans="1:13" ht="15">
      <c r="A1288" s="979" t="s">
        <v>3592</v>
      </c>
      <c r="B1288" s="722" t="str">
        <f>CONCATENATE(LEFT(RIGHT(CONCATENATE("000",IFAData_TEA!A1288),6),3),"-",(RIGHT(RIGHT(CONCATENATE("000",IFAData_TEA!A1288),6),3)))</f>
        <v>123-905</v>
      </c>
      <c r="C1288" s="979" t="s">
        <v>390</v>
      </c>
      <c r="D1288" s="979">
        <v>2</v>
      </c>
      <c r="E1288" s="979">
        <v>2130</v>
      </c>
      <c r="F1288" s="979" t="s">
        <v>5038</v>
      </c>
      <c r="G1288" s="979" t="s">
        <v>5038</v>
      </c>
      <c r="H1288" s="1030">
        <v>539458</v>
      </c>
      <c r="I1288" s="1030">
        <v>0</v>
      </c>
      <c r="J1288" s="1034">
        <v>0</v>
      </c>
      <c r="K1288" s="1030">
        <v>0</v>
      </c>
      <c r="L1288" s="1030">
        <v>0</v>
      </c>
      <c r="M1288" s="979">
        <v>599</v>
      </c>
    </row>
    <row r="1289" spans="1:13" ht="15">
      <c r="A1289" s="979" t="s">
        <v>3592</v>
      </c>
      <c r="B1289" s="722" t="str">
        <f>CONCATENATE(LEFT(RIGHT(CONCATENATE("000",IFAData_TEA!A1289),6),3),"-",(RIGHT(RIGHT(CONCATENATE("000",IFAData_TEA!A1289),6),3)))</f>
        <v>123-905</v>
      </c>
      <c r="C1289" s="979" t="s">
        <v>390</v>
      </c>
      <c r="D1289" s="979">
        <v>1</v>
      </c>
      <c r="E1289" s="979">
        <v>2129</v>
      </c>
      <c r="F1289" s="979" t="s">
        <v>5036</v>
      </c>
      <c r="G1289" s="979" t="s">
        <v>5036</v>
      </c>
      <c r="H1289" s="1030">
        <v>285609</v>
      </c>
      <c r="I1289" s="1030">
        <v>0</v>
      </c>
      <c r="J1289" s="1034">
        <v>0</v>
      </c>
      <c r="K1289" s="1030">
        <v>0</v>
      </c>
      <c r="L1289" s="1030">
        <v>0</v>
      </c>
      <c r="M1289" s="979">
        <v>599</v>
      </c>
    </row>
    <row r="1290" spans="1:13" ht="15">
      <c r="A1290" s="979" t="s">
        <v>3592</v>
      </c>
      <c r="B1290" s="722" t="str">
        <f>CONCATENATE(LEFT(RIGHT(CONCATENATE("000",IFAData_TEA!A1290),6),3),"-",(RIGHT(RIGHT(CONCATENATE("000",IFAData_TEA!A1290),6),3)))</f>
        <v>123-905</v>
      </c>
      <c r="C1290" s="979" t="s">
        <v>390</v>
      </c>
      <c r="D1290" s="979">
        <v>1</v>
      </c>
      <c r="E1290" s="979">
        <v>2129</v>
      </c>
      <c r="F1290" s="979" t="s">
        <v>5036</v>
      </c>
      <c r="G1290" s="979" t="s">
        <v>5037</v>
      </c>
      <c r="H1290" s="1030">
        <v>285609</v>
      </c>
      <c r="I1290" s="1030">
        <v>287230</v>
      </c>
      <c r="J1290" s="1034">
        <v>1</v>
      </c>
      <c r="K1290" s="1030">
        <v>285609</v>
      </c>
      <c r="L1290" s="1030">
        <v>285609</v>
      </c>
      <c r="M1290" s="979">
        <v>599</v>
      </c>
    </row>
    <row r="1291" spans="1:13" ht="15">
      <c r="A1291" s="979" t="s">
        <v>3592</v>
      </c>
      <c r="B1291" s="722" t="str">
        <f>CONCATENATE(LEFT(RIGHT(CONCATENATE("000",IFAData_TEA!A1291),6),3),"-",(RIGHT(RIGHT(CONCATENATE("000",IFAData_TEA!A1291),6),3)))</f>
        <v>123-905</v>
      </c>
      <c r="C1291" s="979" t="s">
        <v>390</v>
      </c>
      <c r="D1291" s="979">
        <v>2</v>
      </c>
      <c r="E1291" s="979">
        <v>2130</v>
      </c>
      <c r="F1291" s="979" t="s">
        <v>5038</v>
      </c>
      <c r="G1291" s="979" t="s">
        <v>5037</v>
      </c>
      <c r="H1291" s="1030">
        <v>539458</v>
      </c>
      <c r="I1291" s="1030">
        <v>518769</v>
      </c>
      <c r="J1291" s="1034">
        <v>1</v>
      </c>
      <c r="K1291" s="1030">
        <v>539458</v>
      </c>
      <c r="L1291" s="1030">
        <v>518769</v>
      </c>
      <c r="M1291" s="979">
        <v>599</v>
      </c>
    </row>
    <row r="1292" spans="1:13" ht="15">
      <c r="A1292" s="979" t="s">
        <v>3593</v>
      </c>
      <c r="B1292" s="722" t="str">
        <f>CONCATENATE(LEFT(RIGHT(CONCATENATE("000",IFAData_TEA!A1292),6),3),"-",(RIGHT(RIGHT(CONCATENATE("000",IFAData_TEA!A1292),6),3)))</f>
        <v>123-914</v>
      </c>
      <c r="C1292" s="979" t="s">
        <v>1734</v>
      </c>
      <c r="D1292" s="979">
        <v>2</v>
      </c>
      <c r="E1292" s="979">
        <v>1864</v>
      </c>
      <c r="F1292" s="979" t="s">
        <v>5039</v>
      </c>
      <c r="G1292" s="979" t="s">
        <v>5040</v>
      </c>
      <c r="H1292" s="1030">
        <v>512950</v>
      </c>
      <c r="I1292" s="1030">
        <v>778196</v>
      </c>
      <c r="J1292" s="1034">
        <v>1</v>
      </c>
      <c r="K1292" s="1030">
        <v>512950</v>
      </c>
      <c r="L1292" s="1030">
        <v>512950</v>
      </c>
      <c r="M1292" s="979">
        <v>599</v>
      </c>
    </row>
    <row r="1293" spans="1:13" ht="15">
      <c r="A1293" s="979" t="s">
        <v>3593</v>
      </c>
      <c r="B1293" s="722" t="str">
        <f>CONCATENATE(LEFT(RIGHT(CONCATENATE("000",IFAData_TEA!A1293),6),3),"-",(RIGHT(RIGHT(CONCATENATE("000",IFAData_TEA!A1293),6),3)))</f>
        <v>123-914</v>
      </c>
      <c r="C1293" s="979" t="s">
        <v>1734</v>
      </c>
      <c r="D1293" s="979">
        <v>2</v>
      </c>
      <c r="E1293" s="979">
        <v>1864</v>
      </c>
      <c r="F1293" s="979" t="s">
        <v>5039</v>
      </c>
      <c r="G1293" s="979" t="s">
        <v>5039</v>
      </c>
      <c r="H1293" s="1030">
        <v>512950</v>
      </c>
      <c r="I1293" s="1030">
        <v>0</v>
      </c>
      <c r="J1293" s="1034">
        <v>0</v>
      </c>
      <c r="K1293" s="1030">
        <v>0</v>
      </c>
      <c r="L1293" s="1030">
        <v>0</v>
      </c>
      <c r="M1293" s="979">
        <v>599</v>
      </c>
    </row>
    <row r="1294" spans="1:13" ht="15">
      <c r="A1294" s="979" t="s">
        <v>3594</v>
      </c>
      <c r="B1294" s="722" t="str">
        <f>CONCATENATE(LEFT(RIGHT(CONCATENATE("000",IFAData_TEA!A1294),6),3),"-",(RIGHT(RIGHT(CONCATENATE("000",IFAData_TEA!A1294),6),3)))</f>
        <v>125-901</v>
      </c>
      <c r="C1294" s="979" t="s">
        <v>701</v>
      </c>
      <c r="D1294" s="979">
        <v>6</v>
      </c>
      <c r="E1294" s="979">
        <v>1549</v>
      </c>
      <c r="F1294" s="979" t="s">
        <v>5045</v>
      </c>
      <c r="G1294" s="979" t="s">
        <v>5046</v>
      </c>
      <c r="H1294" s="1030">
        <v>1226843</v>
      </c>
      <c r="I1294" s="1030">
        <v>424300</v>
      </c>
      <c r="J1294" s="1034">
        <v>0.4258654815100309</v>
      </c>
      <c r="K1294" s="1030">
        <v>522470.08493221086</v>
      </c>
      <c r="L1294" s="1030">
        <v>424300</v>
      </c>
      <c r="M1294" s="979">
        <v>599</v>
      </c>
    </row>
    <row r="1295" spans="1:13" ht="15">
      <c r="A1295" s="979" t="s">
        <v>3594</v>
      </c>
      <c r="B1295" s="722" t="str">
        <f>CONCATENATE(LEFT(RIGHT(CONCATENATE("000",IFAData_TEA!A1295),6),3),"-",(RIGHT(RIGHT(CONCATENATE("000",IFAData_TEA!A1295),6),3)))</f>
        <v>125-901</v>
      </c>
      <c r="C1295" s="979" t="s">
        <v>701</v>
      </c>
      <c r="D1295" s="979">
        <v>3</v>
      </c>
      <c r="E1295" s="979">
        <v>1551</v>
      </c>
      <c r="F1295" s="979" t="s">
        <v>5041</v>
      </c>
      <c r="G1295" s="979" t="s">
        <v>5044</v>
      </c>
      <c r="H1295" s="1030">
        <v>1313562</v>
      </c>
      <c r="I1295" s="1030">
        <v>1263900</v>
      </c>
      <c r="J1295" s="1034">
        <v>1</v>
      </c>
      <c r="K1295" s="1030">
        <v>1313562</v>
      </c>
      <c r="L1295" s="1030">
        <v>1263900</v>
      </c>
      <c r="M1295" s="979">
        <v>599</v>
      </c>
    </row>
    <row r="1296" spans="1:13" ht="15">
      <c r="A1296" s="979" t="s">
        <v>3594</v>
      </c>
      <c r="B1296" s="722" t="str">
        <f>CONCATENATE(LEFT(RIGHT(CONCATENATE("000",IFAData_TEA!A1296),6),3),"-",(RIGHT(RIGHT(CONCATENATE("000",IFAData_TEA!A1296),6),3)))</f>
        <v>125-901</v>
      </c>
      <c r="C1296" s="979" t="s">
        <v>701</v>
      </c>
      <c r="D1296" s="979">
        <v>3</v>
      </c>
      <c r="E1296" s="979">
        <v>1551</v>
      </c>
      <c r="F1296" s="979" t="s">
        <v>5041</v>
      </c>
      <c r="G1296" s="979" t="s">
        <v>5042</v>
      </c>
      <c r="H1296" s="1030">
        <v>1313562</v>
      </c>
      <c r="I1296" s="1030">
        <v>0</v>
      </c>
      <c r="J1296" s="1034">
        <v>0</v>
      </c>
      <c r="K1296" s="1030">
        <v>0</v>
      </c>
      <c r="L1296" s="1030">
        <v>0</v>
      </c>
      <c r="M1296" s="979">
        <v>599</v>
      </c>
    </row>
    <row r="1297" spans="1:13" ht="15">
      <c r="A1297" s="979" t="s">
        <v>3594</v>
      </c>
      <c r="B1297" s="722" t="str">
        <f>CONCATENATE(LEFT(RIGHT(CONCATENATE("000",IFAData_TEA!A1297),6),3),"-",(RIGHT(RIGHT(CONCATENATE("000",IFAData_TEA!A1297),6),3)))</f>
        <v>125-901</v>
      </c>
      <c r="C1297" s="979" t="s">
        <v>701</v>
      </c>
      <c r="D1297" s="979">
        <v>6</v>
      </c>
      <c r="E1297" s="979">
        <v>1549</v>
      </c>
      <c r="F1297" s="979" t="s">
        <v>5045</v>
      </c>
      <c r="G1297" s="979" t="s">
        <v>5043</v>
      </c>
      <c r="H1297" s="1030">
        <v>1226843</v>
      </c>
      <c r="I1297" s="1030">
        <v>572024</v>
      </c>
      <c r="J1297" s="1034">
        <v>0.5741345184899691</v>
      </c>
      <c r="K1297" s="1030">
        <v>704372.91506778914</v>
      </c>
      <c r="L1297" s="1030">
        <v>572024</v>
      </c>
      <c r="M1297" s="979">
        <v>599</v>
      </c>
    </row>
    <row r="1298" spans="1:13" ht="15">
      <c r="A1298" s="979" t="s">
        <v>3594</v>
      </c>
      <c r="B1298" s="722" t="str">
        <f>CONCATENATE(LEFT(RIGHT(CONCATENATE("000",IFAData_TEA!A1298),6),3),"-",(RIGHT(RIGHT(CONCATENATE("000",IFAData_TEA!A1298),6),3)))</f>
        <v>125-901</v>
      </c>
      <c r="C1298" s="979" t="s">
        <v>701</v>
      </c>
      <c r="D1298" s="979">
        <v>3</v>
      </c>
      <c r="E1298" s="979">
        <v>1551</v>
      </c>
      <c r="F1298" s="979" t="s">
        <v>5041</v>
      </c>
      <c r="G1298" s="979" t="s">
        <v>5043</v>
      </c>
      <c r="H1298" s="1030">
        <v>1313562</v>
      </c>
      <c r="I1298" s="1030">
        <v>0</v>
      </c>
      <c r="J1298" s="1034">
        <v>0</v>
      </c>
      <c r="K1298" s="1030">
        <v>0</v>
      </c>
      <c r="L1298" s="1030">
        <v>0</v>
      </c>
      <c r="M1298" s="979">
        <v>599</v>
      </c>
    </row>
    <row r="1299" spans="1:13" ht="15">
      <c r="A1299" s="979" t="s">
        <v>3594</v>
      </c>
      <c r="B1299" s="722" t="str">
        <f>CONCATENATE(LEFT(RIGHT(CONCATENATE("000",IFAData_TEA!A1299),6),3),"-",(RIGHT(RIGHT(CONCATENATE("000",IFAData_TEA!A1299),6),3)))</f>
        <v>125-901</v>
      </c>
      <c r="C1299" s="979" t="s">
        <v>701</v>
      </c>
      <c r="D1299" s="979">
        <v>9</v>
      </c>
      <c r="E1299" s="979">
        <v>1550</v>
      </c>
      <c r="F1299" s="979" t="s">
        <v>5047</v>
      </c>
      <c r="G1299" s="979" t="s">
        <v>5047</v>
      </c>
      <c r="H1299" s="1030">
        <v>1240465</v>
      </c>
      <c r="I1299" s="1030">
        <v>1279350</v>
      </c>
      <c r="J1299" s="1034">
        <v>1</v>
      </c>
      <c r="K1299" s="1030">
        <v>1240465</v>
      </c>
      <c r="L1299" s="1030">
        <v>1240465</v>
      </c>
      <c r="M1299" s="979">
        <v>599</v>
      </c>
    </row>
    <row r="1300" spans="1:13" ht="15">
      <c r="A1300" s="979" t="s">
        <v>3594</v>
      </c>
      <c r="B1300" s="722" t="str">
        <f>CONCATENATE(LEFT(RIGHT(CONCATENATE("000",IFAData_TEA!A1300),6),3),"-",(RIGHT(RIGHT(CONCATENATE("000",IFAData_TEA!A1300),6),3)))</f>
        <v>125-901</v>
      </c>
      <c r="C1300" s="979" t="s">
        <v>701</v>
      </c>
      <c r="D1300" s="979">
        <v>3</v>
      </c>
      <c r="E1300" s="979">
        <v>1551</v>
      </c>
      <c r="F1300" s="979" t="s">
        <v>5041</v>
      </c>
      <c r="G1300" s="979" t="s">
        <v>5041</v>
      </c>
      <c r="H1300" s="1030">
        <v>1313562</v>
      </c>
      <c r="I1300" s="1030">
        <v>0</v>
      </c>
      <c r="J1300" s="1034">
        <v>0</v>
      </c>
      <c r="K1300" s="1030">
        <v>0</v>
      </c>
      <c r="L1300" s="1030">
        <v>0</v>
      </c>
      <c r="M1300" s="979">
        <v>599</v>
      </c>
    </row>
    <row r="1301" spans="1:13" ht="15">
      <c r="A1301" s="979" t="s">
        <v>3594</v>
      </c>
      <c r="B1301" s="722" t="str">
        <f>CONCATENATE(LEFT(RIGHT(CONCATENATE("000",IFAData_TEA!A1301),6),3),"-",(RIGHT(RIGHT(CONCATENATE("000",IFAData_TEA!A1301),6),3)))</f>
        <v>125-901</v>
      </c>
      <c r="C1301" s="979" t="s">
        <v>701</v>
      </c>
      <c r="D1301" s="979">
        <v>6</v>
      </c>
      <c r="E1301" s="979">
        <v>1549</v>
      </c>
      <c r="F1301" s="979" t="s">
        <v>5045</v>
      </c>
      <c r="G1301" s="979" t="s">
        <v>5045</v>
      </c>
      <c r="H1301" s="1030">
        <v>1226843</v>
      </c>
      <c r="I1301" s="1030">
        <v>0</v>
      </c>
      <c r="J1301" s="1034">
        <v>0</v>
      </c>
      <c r="K1301" s="1030">
        <v>0</v>
      </c>
      <c r="L1301" s="1030">
        <v>0</v>
      </c>
      <c r="M1301" s="979">
        <v>599</v>
      </c>
    </row>
    <row r="1302" spans="1:13" ht="15">
      <c r="A1302" s="979" t="s">
        <v>3595</v>
      </c>
      <c r="B1302" s="722" t="str">
        <f>CONCATENATE(LEFT(RIGHT(CONCATENATE("000",IFAData_TEA!A1302),6),3),"-",(RIGHT(RIGHT(CONCATENATE("000",IFAData_TEA!A1302),6),3)))</f>
        <v>125-902</v>
      </c>
      <c r="C1302" s="979" t="s">
        <v>2681</v>
      </c>
      <c r="D1302" s="979">
        <v>4</v>
      </c>
      <c r="E1302" s="979">
        <v>1607</v>
      </c>
      <c r="F1302" s="979" t="s">
        <v>5048</v>
      </c>
      <c r="G1302" s="979" t="s">
        <v>5049</v>
      </c>
      <c r="H1302" s="1030">
        <v>148749</v>
      </c>
      <c r="I1302" s="1030">
        <v>144352</v>
      </c>
      <c r="J1302" s="1034">
        <v>1</v>
      </c>
      <c r="K1302" s="1030">
        <v>148749</v>
      </c>
      <c r="L1302" s="1030">
        <v>144352</v>
      </c>
      <c r="M1302" s="979">
        <v>599</v>
      </c>
    </row>
    <row r="1303" spans="1:13" ht="15">
      <c r="A1303" s="979" t="s">
        <v>3595</v>
      </c>
      <c r="B1303" s="722" t="str">
        <f>CONCATENATE(LEFT(RIGHT(CONCATENATE("000",IFAData_TEA!A1303),6),3),"-",(RIGHT(RIGHT(CONCATENATE("000",IFAData_TEA!A1303),6),3)))</f>
        <v>125-902</v>
      </c>
      <c r="C1303" s="979" t="s">
        <v>2681</v>
      </c>
      <c r="D1303" s="979">
        <v>6</v>
      </c>
      <c r="E1303" s="979">
        <v>1605</v>
      </c>
      <c r="F1303" s="979" t="s">
        <v>5050</v>
      </c>
      <c r="G1303" s="979" t="s">
        <v>5051</v>
      </c>
      <c r="H1303" s="1030">
        <v>134002</v>
      </c>
      <c r="I1303" s="1030">
        <v>128438</v>
      </c>
      <c r="J1303" s="1034">
        <v>1</v>
      </c>
      <c r="K1303" s="1030">
        <v>134002</v>
      </c>
      <c r="L1303" s="1030">
        <v>128438</v>
      </c>
      <c r="M1303" s="979">
        <v>599</v>
      </c>
    </row>
    <row r="1304" spans="1:13" ht="15">
      <c r="A1304" s="979" t="s">
        <v>3595</v>
      </c>
      <c r="B1304" s="722" t="str">
        <f>CONCATENATE(LEFT(RIGHT(CONCATENATE("000",IFAData_TEA!A1304),6),3),"-",(RIGHT(RIGHT(CONCATENATE("000",IFAData_TEA!A1304),6),3)))</f>
        <v>125-902</v>
      </c>
      <c r="C1304" s="979" t="s">
        <v>2681</v>
      </c>
      <c r="D1304" s="979">
        <v>4</v>
      </c>
      <c r="E1304" s="979">
        <v>1607</v>
      </c>
      <c r="F1304" s="979" t="s">
        <v>5048</v>
      </c>
      <c r="G1304" s="979" t="s">
        <v>5048</v>
      </c>
      <c r="H1304" s="1030">
        <v>148749</v>
      </c>
      <c r="I1304" s="1030">
        <v>0</v>
      </c>
      <c r="J1304" s="1034">
        <v>0</v>
      </c>
      <c r="K1304" s="1030">
        <v>0</v>
      </c>
      <c r="L1304" s="1030">
        <v>0</v>
      </c>
      <c r="M1304" s="979">
        <v>599</v>
      </c>
    </row>
    <row r="1305" spans="1:13" ht="15">
      <c r="A1305" s="979" t="s">
        <v>3595</v>
      </c>
      <c r="B1305" s="722" t="str">
        <f>CONCATENATE(LEFT(RIGHT(CONCATENATE("000",IFAData_TEA!A1305),6),3),"-",(RIGHT(RIGHT(CONCATENATE("000",IFAData_TEA!A1305),6),3)))</f>
        <v>125-902</v>
      </c>
      <c r="C1305" s="979" t="s">
        <v>2681</v>
      </c>
      <c r="D1305" s="979">
        <v>10</v>
      </c>
      <c r="E1305" s="979">
        <v>1606</v>
      </c>
      <c r="F1305" s="979" t="s">
        <v>5052</v>
      </c>
      <c r="G1305" s="979" t="s">
        <v>5052</v>
      </c>
      <c r="H1305" s="1030">
        <v>142643</v>
      </c>
      <c r="I1305" s="1030">
        <v>163275</v>
      </c>
      <c r="J1305" s="1034">
        <v>1</v>
      </c>
      <c r="K1305" s="1030">
        <v>142643</v>
      </c>
      <c r="L1305" s="1030">
        <v>142643</v>
      </c>
      <c r="M1305" s="979">
        <v>599</v>
      </c>
    </row>
    <row r="1306" spans="1:13" ht="15">
      <c r="A1306" s="979" t="s">
        <v>3595</v>
      </c>
      <c r="B1306" s="722" t="str">
        <f>CONCATENATE(LEFT(RIGHT(CONCATENATE("000",IFAData_TEA!A1306),6),3),"-",(RIGHT(RIGHT(CONCATENATE("000",IFAData_TEA!A1306),6),3)))</f>
        <v>125-902</v>
      </c>
      <c r="C1306" s="979" t="s">
        <v>2681</v>
      </c>
      <c r="D1306" s="979">
        <v>6</v>
      </c>
      <c r="E1306" s="979">
        <v>1605</v>
      </c>
      <c r="F1306" s="979" t="s">
        <v>5050</v>
      </c>
      <c r="G1306" s="979" t="s">
        <v>5050</v>
      </c>
      <c r="H1306" s="1030">
        <v>134002</v>
      </c>
      <c r="I1306" s="1030">
        <v>0</v>
      </c>
      <c r="J1306" s="1034">
        <v>0</v>
      </c>
      <c r="K1306" s="1030">
        <v>0</v>
      </c>
      <c r="L1306" s="1030">
        <v>0</v>
      </c>
      <c r="M1306" s="979">
        <v>599</v>
      </c>
    </row>
    <row r="1307" spans="1:13" ht="15">
      <c r="A1307" s="979" t="s">
        <v>3596</v>
      </c>
      <c r="B1307" s="722" t="str">
        <f>CONCATENATE(LEFT(RIGHT(CONCATENATE("000",IFAData_TEA!A1307),6),3),"-",(RIGHT(RIGHT(CONCATENATE("000",IFAData_TEA!A1307),6),3)))</f>
        <v>125-903</v>
      </c>
      <c r="C1307" s="979" t="s">
        <v>1016</v>
      </c>
      <c r="D1307" s="979">
        <v>2</v>
      </c>
      <c r="E1307" s="979">
        <v>2163</v>
      </c>
      <c r="F1307" s="979" t="s">
        <v>5053</v>
      </c>
      <c r="G1307" s="979" t="s">
        <v>5053</v>
      </c>
      <c r="H1307" s="1030">
        <v>340500</v>
      </c>
      <c r="I1307" s="1030">
        <v>0</v>
      </c>
      <c r="J1307" s="1034">
        <v>0</v>
      </c>
      <c r="K1307" s="1030">
        <v>0</v>
      </c>
      <c r="L1307" s="1030">
        <v>0</v>
      </c>
      <c r="M1307" s="979">
        <v>599</v>
      </c>
    </row>
    <row r="1308" spans="1:13" ht="15">
      <c r="A1308" s="979" t="s">
        <v>3596</v>
      </c>
      <c r="B1308" s="722" t="str">
        <f>CONCATENATE(LEFT(RIGHT(CONCATENATE("000",IFAData_TEA!A1308),6),3),"-",(RIGHT(RIGHT(CONCATENATE("000",IFAData_TEA!A1308),6),3)))</f>
        <v>125-903</v>
      </c>
      <c r="C1308" s="979" t="s">
        <v>1016</v>
      </c>
      <c r="D1308" s="979">
        <v>6</v>
      </c>
      <c r="E1308" s="979">
        <v>2162</v>
      </c>
      <c r="F1308" s="979" t="s">
        <v>5055</v>
      </c>
      <c r="G1308" s="979" t="s">
        <v>5054</v>
      </c>
      <c r="H1308" s="1030">
        <v>318941</v>
      </c>
      <c r="I1308" s="1030">
        <v>337400</v>
      </c>
      <c r="J1308" s="1034">
        <v>1</v>
      </c>
      <c r="K1308" s="1030">
        <v>318941</v>
      </c>
      <c r="L1308" s="1030">
        <v>318941</v>
      </c>
      <c r="M1308" s="979">
        <v>599</v>
      </c>
    </row>
    <row r="1309" spans="1:13" ht="15">
      <c r="A1309" s="979" t="s">
        <v>3596</v>
      </c>
      <c r="B1309" s="722" t="str">
        <f>CONCATENATE(LEFT(RIGHT(CONCATENATE("000",IFAData_TEA!A1309),6),3),"-",(RIGHT(RIGHT(CONCATENATE("000",IFAData_TEA!A1309),6),3)))</f>
        <v>125-903</v>
      </c>
      <c r="C1309" s="979" t="s">
        <v>1016</v>
      </c>
      <c r="D1309" s="979">
        <v>2</v>
      </c>
      <c r="E1309" s="979">
        <v>2163</v>
      </c>
      <c r="F1309" s="979" t="s">
        <v>5053</v>
      </c>
      <c r="G1309" s="979" t="s">
        <v>5054</v>
      </c>
      <c r="H1309" s="1030">
        <v>340500</v>
      </c>
      <c r="I1309" s="1030">
        <v>410346</v>
      </c>
      <c r="J1309" s="1034">
        <v>1</v>
      </c>
      <c r="K1309" s="1030">
        <v>340500</v>
      </c>
      <c r="L1309" s="1030">
        <v>340500</v>
      </c>
      <c r="M1309" s="979">
        <v>599</v>
      </c>
    </row>
    <row r="1310" spans="1:13" ht="15">
      <c r="A1310" s="979" t="s">
        <v>3596</v>
      </c>
      <c r="B1310" s="722" t="str">
        <f>CONCATENATE(LEFT(RIGHT(CONCATENATE("000",IFAData_TEA!A1310),6),3),"-",(RIGHT(RIGHT(CONCATENATE("000",IFAData_TEA!A1310),6),3)))</f>
        <v>125-903</v>
      </c>
      <c r="C1310" s="979" t="s">
        <v>1016</v>
      </c>
      <c r="D1310" s="979">
        <v>9</v>
      </c>
      <c r="E1310" s="979">
        <v>2164</v>
      </c>
      <c r="F1310" s="979" t="s">
        <v>5056</v>
      </c>
      <c r="G1310" s="979" t="s">
        <v>5056</v>
      </c>
      <c r="H1310" s="1030">
        <v>408114</v>
      </c>
      <c r="I1310" s="1030">
        <v>410793</v>
      </c>
      <c r="J1310" s="1034">
        <v>0.78478732245030514</v>
      </c>
      <c r="K1310" s="1030">
        <v>320282.69331448385</v>
      </c>
      <c r="L1310" s="1030">
        <v>320282.69331448385</v>
      </c>
      <c r="M1310" s="979">
        <v>599</v>
      </c>
    </row>
    <row r="1311" spans="1:13" ht="15">
      <c r="A1311" s="979" t="s">
        <v>3596</v>
      </c>
      <c r="B1311" s="722" t="str">
        <f>CONCATENATE(LEFT(RIGHT(CONCATENATE("000",IFAData_TEA!A1311),6),3),"-",(RIGHT(RIGHT(CONCATENATE("000",IFAData_TEA!A1311),6),3)))</f>
        <v>125-903</v>
      </c>
      <c r="C1311" s="979" t="s">
        <v>1016</v>
      </c>
      <c r="D1311" s="979">
        <v>6</v>
      </c>
      <c r="E1311" s="979">
        <v>2162</v>
      </c>
      <c r="F1311" s="979" t="s">
        <v>5055</v>
      </c>
      <c r="G1311" s="979" t="s">
        <v>5055</v>
      </c>
      <c r="H1311" s="1030">
        <v>318941</v>
      </c>
      <c r="I1311" s="1030">
        <v>0</v>
      </c>
      <c r="J1311" s="1034">
        <v>0</v>
      </c>
      <c r="K1311" s="1030">
        <v>0</v>
      </c>
      <c r="L1311" s="1030">
        <v>0</v>
      </c>
      <c r="M1311" s="979">
        <v>599</v>
      </c>
    </row>
    <row r="1312" spans="1:13" ht="15">
      <c r="A1312" s="979" t="s">
        <v>3596</v>
      </c>
      <c r="B1312" s="722" t="str">
        <f>CONCATENATE(LEFT(RIGHT(CONCATENATE("000",IFAData_TEA!A1312),6),3),"-",(RIGHT(RIGHT(CONCATENATE("000",IFAData_TEA!A1312),6),3)))</f>
        <v>125-903</v>
      </c>
      <c r="C1312" s="979" t="s">
        <v>1016</v>
      </c>
      <c r="D1312" s="979">
        <v>9</v>
      </c>
      <c r="E1312" s="979">
        <v>2164</v>
      </c>
      <c r="F1312" s="979" t="s">
        <v>5056</v>
      </c>
      <c r="G1312" s="979" t="s">
        <v>6282</v>
      </c>
      <c r="H1312" s="1030">
        <v>408114</v>
      </c>
      <c r="I1312" s="1030">
        <v>112652</v>
      </c>
      <c r="J1312" s="1034">
        <v>0.21521267754969481</v>
      </c>
      <c r="K1312" s="1030">
        <v>87831.306685516145</v>
      </c>
      <c r="L1312" s="1030">
        <v>87831.306685516145</v>
      </c>
      <c r="M1312" s="979">
        <v>599</v>
      </c>
    </row>
    <row r="1313" spans="1:13" ht="15">
      <c r="A1313" s="979" t="s">
        <v>3597</v>
      </c>
      <c r="B1313" s="722" t="str">
        <f>CONCATENATE(LEFT(RIGHT(CONCATENATE("000",IFAData_TEA!A1313),6),3),"-",(RIGHT(RIGHT(CONCATENATE("000",IFAData_TEA!A1313),6),3)))</f>
        <v>125-905</v>
      </c>
      <c r="C1313" s="979" t="s">
        <v>2102</v>
      </c>
      <c r="D1313" s="979">
        <v>3</v>
      </c>
      <c r="E1313" s="979">
        <v>2209</v>
      </c>
      <c r="F1313" s="979" t="s">
        <v>5057</v>
      </c>
      <c r="G1313" s="979" t="s">
        <v>5058</v>
      </c>
      <c r="H1313" s="1030">
        <v>228901</v>
      </c>
      <c r="I1313" s="1030">
        <v>235776</v>
      </c>
      <c r="J1313" s="1034">
        <v>1</v>
      </c>
      <c r="K1313" s="1030">
        <v>228901</v>
      </c>
      <c r="L1313" s="1030">
        <v>228901</v>
      </c>
      <c r="M1313" s="979">
        <v>599</v>
      </c>
    </row>
    <row r="1314" spans="1:13" ht="15">
      <c r="A1314" s="979" t="s">
        <v>3597</v>
      </c>
      <c r="B1314" s="722" t="str">
        <f>CONCATENATE(LEFT(RIGHT(CONCATENATE("000",IFAData_TEA!A1314),6),3),"-",(RIGHT(RIGHT(CONCATENATE("000",IFAData_TEA!A1314),6),3)))</f>
        <v>125-905</v>
      </c>
      <c r="C1314" s="979" t="s">
        <v>2102</v>
      </c>
      <c r="D1314" s="979">
        <v>3</v>
      </c>
      <c r="E1314" s="979">
        <v>2209</v>
      </c>
      <c r="F1314" s="979" t="s">
        <v>5057</v>
      </c>
      <c r="G1314" s="979" t="s">
        <v>5057</v>
      </c>
      <c r="H1314" s="1030">
        <v>228901</v>
      </c>
      <c r="I1314" s="1030">
        <v>0</v>
      </c>
      <c r="J1314" s="1034">
        <v>0</v>
      </c>
      <c r="K1314" s="1030">
        <v>0</v>
      </c>
      <c r="L1314" s="1030">
        <v>0</v>
      </c>
      <c r="M1314" s="979">
        <v>599</v>
      </c>
    </row>
    <row r="1315" spans="1:13" ht="15">
      <c r="A1315" s="979" t="s">
        <v>3598</v>
      </c>
      <c r="B1315" s="722" t="str">
        <f>CONCATENATE(LEFT(RIGHT(CONCATENATE("000",IFAData_TEA!A1315),6),3),"-",(RIGHT(RIGHT(CONCATENATE("000",IFAData_TEA!A1315),6),3)))</f>
        <v>126-901</v>
      </c>
      <c r="C1315" s="979" t="s">
        <v>1051</v>
      </c>
      <c r="D1315" s="979">
        <v>9</v>
      </c>
      <c r="E1315" s="979">
        <v>1563</v>
      </c>
      <c r="F1315" s="979" t="s">
        <v>5065</v>
      </c>
      <c r="G1315" s="979" t="s">
        <v>5065</v>
      </c>
      <c r="H1315" s="1030">
        <v>760564</v>
      </c>
      <c r="I1315" s="1030">
        <v>1187085</v>
      </c>
      <c r="J1315" s="1034">
        <v>0.82414595572563387</v>
      </c>
      <c r="K1315" s="1030">
        <v>626815.74467051099</v>
      </c>
      <c r="L1315" s="1030">
        <v>626815.74467051099</v>
      </c>
      <c r="M1315" s="979">
        <v>599</v>
      </c>
    </row>
    <row r="1316" spans="1:13" ht="15">
      <c r="A1316" s="979" t="s">
        <v>3598</v>
      </c>
      <c r="B1316" s="722" t="str">
        <f>CONCATENATE(LEFT(RIGHT(CONCATENATE("000",IFAData_TEA!A1316),6),3),"-",(RIGHT(RIGHT(CONCATENATE("000",IFAData_TEA!A1316),6),3)))</f>
        <v>126-901</v>
      </c>
      <c r="C1316" s="979" t="s">
        <v>1051</v>
      </c>
      <c r="D1316" s="979">
        <v>3</v>
      </c>
      <c r="E1316" s="979">
        <v>1561</v>
      </c>
      <c r="F1316" s="979" t="s">
        <v>5061</v>
      </c>
      <c r="G1316" s="979" t="s">
        <v>5061</v>
      </c>
      <c r="H1316" s="1030">
        <v>87080</v>
      </c>
      <c r="I1316" s="1030">
        <v>0</v>
      </c>
      <c r="J1316" s="1034">
        <v>0</v>
      </c>
      <c r="K1316" s="1030"/>
      <c r="L1316" s="1030">
        <v>0</v>
      </c>
      <c r="M1316" s="979">
        <v>599</v>
      </c>
    </row>
    <row r="1317" spans="1:13" ht="15">
      <c r="A1317" s="979" t="s">
        <v>3598</v>
      </c>
      <c r="B1317" s="722" t="str">
        <f>CONCATENATE(LEFT(RIGHT(CONCATENATE("000",IFAData_TEA!A1317),6),3),"-",(RIGHT(RIGHT(CONCATENATE("000",IFAData_TEA!A1317),6),3)))</f>
        <v>126-901</v>
      </c>
      <c r="C1317" s="979" t="s">
        <v>1051</v>
      </c>
      <c r="D1317" s="979">
        <v>3</v>
      </c>
      <c r="E1317" s="979">
        <v>1562</v>
      </c>
      <c r="F1317" s="979" t="s">
        <v>5059</v>
      </c>
      <c r="G1317" s="979" t="s">
        <v>5059</v>
      </c>
      <c r="H1317" s="1030">
        <v>590835</v>
      </c>
      <c r="I1317" s="1030">
        <v>0</v>
      </c>
      <c r="J1317" s="1034">
        <v>0</v>
      </c>
      <c r="K1317" s="1030">
        <v>0</v>
      </c>
      <c r="L1317" s="1030">
        <v>0</v>
      </c>
      <c r="M1317" s="979">
        <v>599</v>
      </c>
    </row>
    <row r="1318" spans="1:13" ht="15">
      <c r="A1318" s="979" t="s">
        <v>3598</v>
      </c>
      <c r="B1318" s="722" t="str">
        <f>CONCATENATE(LEFT(RIGHT(CONCATENATE("000",IFAData_TEA!A1318),6),3),"-",(RIGHT(RIGHT(CONCATENATE("000",IFAData_TEA!A1318),6),3)))</f>
        <v>126-901</v>
      </c>
      <c r="C1318" s="979" t="s">
        <v>1051</v>
      </c>
      <c r="D1318" s="979">
        <v>5</v>
      </c>
      <c r="E1318" s="979">
        <v>1564</v>
      </c>
      <c r="F1318" s="979" t="s">
        <v>5062</v>
      </c>
      <c r="G1318" s="979" t="s">
        <v>5062</v>
      </c>
      <c r="H1318" s="1030">
        <v>793345</v>
      </c>
      <c r="I1318" s="1030">
        <v>0</v>
      </c>
      <c r="J1318" s="1034">
        <v>0</v>
      </c>
      <c r="K1318" s="1030">
        <v>0</v>
      </c>
      <c r="L1318" s="1030">
        <v>0</v>
      </c>
      <c r="M1318" s="979">
        <v>599</v>
      </c>
    </row>
    <row r="1319" spans="1:13" ht="15">
      <c r="A1319" s="979" t="s">
        <v>3598</v>
      </c>
      <c r="B1319" s="722" t="str">
        <f>CONCATENATE(LEFT(RIGHT(CONCATENATE("000",IFAData_TEA!A1319),6),3),"-",(RIGHT(RIGHT(CONCATENATE("000",IFAData_TEA!A1319),6),3)))</f>
        <v>126-901</v>
      </c>
      <c r="C1319" s="979" t="s">
        <v>1051</v>
      </c>
      <c r="D1319" s="979">
        <v>5</v>
      </c>
      <c r="E1319" s="979">
        <v>1564</v>
      </c>
      <c r="F1319" s="979" t="s">
        <v>5062</v>
      </c>
      <c r="G1319" s="979" t="s">
        <v>5064</v>
      </c>
      <c r="H1319" s="1030">
        <v>793345</v>
      </c>
      <c r="I1319" s="1030">
        <v>400263</v>
      </c>
      <c r="J1319" s="1034">
        <v>0.42732415688292497</v>
      </c>
      <c r="K1319" s="1030">
        <v>339015.4832422841</v>
      </c>
      <c r="L1319" s="1030">
        <v>339015.4832422841</v>
      </c>
      <c r="M1319" s="979">
        <v>599</v>
      </c>
    </row>
    <row r="1320" spans="1:13" ht="15">
      <c r="A1320" s="979" t="s">
        <v>3598</v>
      </c>
      <c r="B1320" s="722" t="str">
        <f>CONCATENATE(LEFT(RIGHT(CONCATENATE("000",IFAData_TEA!A1320),6),3),"-",(RIGHT(RIGHT(CONCATENATE("000",IFAData_TEA!A1320),6),3)))</f>
        <v>126-901</v>
      </c>
      <c r="C1320" s="979" t="s">
        <v>1051</v>
      </c>
      <c r="D1320" s="979">
        <v>5</v>
      </c>
      <c r="E1320" s="979">
        <v>1564</v>
      </c>
      <c r="F1320" s="979" t="s">
        <v>5062</v>
      </c>
      <c r="G1320" s="979" t="s">
        <v>5063</v>
      </c>
      <c r="H1320" s="1030">
        <v>793345</v>
      </c>
      <c r="I1320" s="1030">
        <v>536410</v>
      </c>
      <c r="J1320" s="1034">
        <v>0.57267584311707498</v>
      </c>
      <c r="K1320" s="1030">
        <v>454329.51675771584</v>
      </c>
      <c r="L1320" s="1030">
        <v>454329.51675771584</v>
      </c>
      <c r="M1320" s="979">
        <v>599</v>
      </c>
    </row>
    <row r="1321" spans="1:13" ht="15">
      <c r="A1321" s="979" t="s">
        <v>3598</v>
      </c>
      <c r="B1321" s="722" t="str">
        <f>CONCATENATE(LEFT(RIGHT(CONCATENATE("000",IFAData_TEA!A1321),6),3),"-",(RIGHT(RIGHT(CONCATENATE("000",IFAData_TEA!A1321),6),3)))</f>
        <v>126-901</v>
      </c>
      <c r="C1321" s="979" t="s">
        <v>1051</v>
      </c>
      <c r="D1321" s="979">
        <v>3</v>
      </c>
      <c r="E1321" s="979">
        <v>1562</v>
      </c>
      <c r="F1321" s="979" t="s">
        <v>5059</v>
      </c>
      <c r="G1321" s="979" t="s">
        <v>5060</v>
      </c>
      <c r="H1321" s="1030">
        <v>590835</v>
      </c>
      <c r="I1321" s="1030">
        <v>493050</v>
      </c>
      <c r="J1321" s="1034">
        <v>1</v>
      </c>
      <c r="K1321" s="1030">
        <v>590835</v>
      </c>
      <c r="L1321" s="1030">
        <v>493050</v>
      </c>
      <c r="M1321" s="979">
        <v>599</v>
      </c>
    </row>
    <row r="1322" spans="1:13" ht="15">
      <c r="A1322" s="979" t="s">
        <v>3598</v>
      </c>
      <c r="B1322" s="722" t="str">
        <f>CONCATENATE(LEFT(RIGHT(CONCATENATE("000",IFAData_TEA!A1322),6),3),"-",(RIGHT(RIGHT(CONCATENATE("000",IFAData_TEA!A1322),6),3)))</f>
        <v>126-901</v>
      </c>
      <c r="C1322" s="979" t="s">
        <v>1051</v>
      </c>
      <c r="D1322" s="979">
        <v>9</v>
      </c>
      <c r="E1322" s="979">
        <v>1563</v>
      </c>
      <c r="F1322" s="979" t="s">
        <v>5065</v>
      </c>
      <c r="G1322" s="979" t="s">
        <v>6283</v>
      </c>
      <c r="H1322" s="1030">
        <v>760564</v>
      </c>
      <c r="I1322" s="1030">
        <v>253297</v>
      </c>
      <c r="J1322" s="1034">
        <v>0.1758540442743661</v>
      </c>
      <c r="K1322" s="1030">
        <v>133748.25532948898</v>
      </c>
      <c r="L1322" s="1030">
        <v>133748.25532948898</v>
      </c>
      <c r="M1322" s="979">
        <v>599</v>
      </c>
    </row>
    <row r="1323" spans="1:13" ht="15">
      <c r="A1323" s="979" t="s">
        <v>3599</v>
      </c>
      <c r="B1323" s="722" t="str">
        <f>CONCATENATE(LEFT(RIGHT(CONCATENATE("000",IFAData_TEA!A1323),6),3),"-",(RIGHT(RIGHT(CONCATENATE("000",IFAData_TEA!A1323),6),3)))</f>
        <v>126-902</v>
      </c>
      <c r="C1323" s="979" t="s">
        <v>1449</v>
      </c>
      <c r="D1323" s="979">
        <v>1</v>
      </c>
      <c r="E1323" s="979">
        <v>1653</v>
      </c>
      <c r="F1323" s="979" t="s">
        <v>5066</v>
      </c>
      <c r="G1323" s="979" t="s">
        <v>5066</v>
      </c>
      <c r="H1323" s="1030">
        <v>584119</v>
      </c>
      <c r="I1323" s="1030">
        <v>0</v>
      </c>
      <c r="J1323" s="1034">
        <v>0</v>
      </c>
      <c r="K1323" s="1030">
        <v>0</v>
      </c>
      <c r="L1323" s="1030">
        <v>0</v>
      </c>
      <c r="M1323" s="979">
        <v>599</v>
      </c>
    </row>
    <row r="1324" spans="1:13" ht="15">
      <c r="A1324" s="979" t="s">
        <v>3599</v>
      </c>
      <c r="B1324" s="722" t="str">
        <f>CONCATENATE(LEFT(RIGHT(CONCATENATE("000",IFAData_TEA!A1324),6),3),"-",(RIGHT(RIGHT(CONCATENATE("000",IFAData_TEA!A1324),6),3)))</f>
        <v>126-902</v>
      </c>
      <c r="C1324" s="979" t="s">
        <v>1449</v>
      </c>
      <c r="D1324" s="979">
        <v>1</v>
      </c>
      <c r="E1324" s="979">
        <v>1653</v>
      </c>
      <c r="F1324" s="979" t="s">
        <v>5066</v>
      </c>
      <c r="G1324" s="979" t="s">
        <v>5067</v>
      </c>
      <c r="H1324" s="1030">
        <v>584119</v>
      </c>
      <c r="I1324" s="1030">
        <v>210140</v>
      </c>
      <c r="J1324" s="1034">
        <v>1</v>
      </c>
      <c r="K1324" s="1030">
        <v>584119</v>
      </c>
      <c r="L1324" s="1030">
        <v>210140</v>
      </c>
      <c r="M1324" s="979">
        <v>599</v>
      </c>
    </row>
    <row r="1325" spans="1:13" ht="15">
      <c r="A1325" s="979" t="s">
        <v>3599</v>
      </c>
      <c r="B1325" s="722" t="str">
        <f>CONCATENATE(LEFT(RIGHT(CONCATENATE("000",IFAData_TEA!A1325),6),3),"-",(RIGHT(RIGHT(CONCATENATE("000",IFAData_TEA!A1325),6),3)))</f>
        <v>126-902</v>
      </c>
      <c r="C1325" s="979" t="s">
        <v>1449</v>
      </c>
      <c r="D1325" s="979">
        <v>9</v>
      </c>
      <c r="E1325" s="979">
        <v>1654</v>
      </c>
      <c r="F1325" s="979" t="s">
        <v>5068</v>
      </c>
      <c r="G1325" s="979" t="s">
        <v>5068</v>
      </c>
      <c r="H1325" s="1030">
        <v>2156750</v>
      </c>
      <c r="I1325" s="1030">
        <v>4252519</v>
      </c>
      <c r="J1325" s="1034">
        <v>1</v>
      </c>
      <c r="K1325" s="1030">
        <v>2156750</v>
      </c>
      <c r="L1325" s="1030">
        <v>2156750</v>
      </c>
      <c r="M1325" s="979">
        <v>599</v>
      </c>
    </row>
    <row r="1326" spans="1:13" ht="15">
      <c r="A1326" s="979" t="s">
        <v>5069</v>
      </c>
      <c r="B1326" s="722" t="str">
        <f>CONCATENATE(LEFT(RIGHT(CONCATENATE("000",IFAData_TEA!A1326),6),3),"-",(RIGHT(RIGHT(CONCATENATE("000",IFAData_TEA!A1326),6),3)))</f>
        <v>126-904</v>
      </c>
      <c r="C1326" s="979" t="s">
        <v>865</v>
      </c>
      <c r="D1326" s="979">
        <v>6</v>
      </c>
      <c r="E1326" s="979">
        <v>1858</v>
      </c>
      <c r="F1326" s="979" t="s">
        <v>5070</v>
      </c>
      <c r="G1326" s="979" t="s">
        <v>5070</v>
      </c>
      <c r="H1326" s="1030">
        <v>262527</v>
      </c>
      <c r="I1326" s="1030">
        <v>0</v>
      </c>
      <c r="J1326" s="1034">
        <v>0</v>
      </c>
      <c r="K1326" s="1030"/>
      <c r="L1326" s="1030">
        <v>0</v>
      </c>
      <c r="M1326" s="979">
        <v>199</v>
      </c>
    </row>
    <row r="1327" spans="1:13" ht="15">
      <c r="A1327" s="979" t="s">
        <v>3600</v>
      </c>
      <c r="B1327" s="722" t="str">
        <f>CONCATENATE(LEFT(RIGHT(CONCATENATE("000",IFAData_TEA!A1327),6),3),"-",(RIGHT(RIGHT(CONCATENATE("000",IFAData_TEA!A1327),6),3)))</f>
        <v>126-905</v>
      </c>
      <c r="C1327" s="979" t="s">
        <v>407</v>
      </c>
      <c r="D1327" s="979">
        <v>2</v>
      </c>
      <c r="E1327" s="979">
        <v>1936</v>
      </c>
      <c r="F1327" s="979" t="s">
        <v>5071</v>
      </c>
      <c r="G1327" s="979" t="s">
        <v>5072</v>
      </c>
      <c r="H1327" s="1030">
        <v>787721</v>
      </c>
      <c r="I1327" s="1030">
        <v>760860</v>
      </c>
      <c r="J1327" s="1034">
        <v>1</v>
      </c>
      <c r="K1327" s="1030">
        <v>787721</v>
      </c>
      <c r="L1327" s="1030">
        <v>760860</v>
      </c>
      <c r="M1327" s="979">
        <v>599</v>
      </c>
    </row>
    <row r="1328" spans="1:13" ht="15">
      <c r="A1328" s="979" t="s">
        <v>3600</v>
      </c>
      <c r="B1328" s="722" t="str">
        <f>CONCATENATE(LEFT(RIGHT(CONCATENATE("000",IFAData_TEA!A1328),6),3),"-",(RIGHT(RIGHT(CONCATENATE("000",IFAData_TEA!A1328),6),3)))</f>
        <v>126-905</v>
      </c>
      <c r="C1328" s="979" t="s">
        <v>407</v>
      </c>
      <c r="D1328" s="979">
        <v>2</v>
      </c>
      <c r="E1328" s="979">
        <v>1936</v>
      </c>
      <c r="F1328" s="979" t="s">
        <v>5071</v>
      </c>
      <c r="G1328" s="979" t="s">
        <v>5071</v>
      </c>
      <c r="H1328" s="1030">
        <v>787721</v>
      </c>
      <c r="I1328" s="1030">
        <v>0</v>
      </c>
      <c r="J1328" s="1034">
        <v>0</v>
      </c>
      <c r="K1328" s="1030">
        <v>0</v>
      </c>
      <c r="L1328" s="1030">
        <v>0</v>
      </c>
      <c r="M1328" s="979">
        <v>599</v>
      </c>
    </row>
    <row r="1329" spans="1:13" ht="15">
      <c r="A1329" s="979" t="s">
        <v>3601</v>
      </c>
      <c r="B1329" s="722" t="str">
        <f>CONCATENATE(LEFT(RIGHT(CONCATENATE("000",IFAData_TEA!A1329),6),3),"-",(RIGHT(RIGHT(CONCATENATE("000",IFAData_TEA!A1329),6),3)))</f>
        <v>126-906</v>
      </c>
      <c r="C1329" s="979" t="s">
        <v>2034</v>
      </c>
      <c r="D1329" s="979">
        <v>9</v>
      </c>
      <c r="E1329" s="979">
        <v>1949</v>
      </c>
      <c r="F1329" s="979" t="s">
        <v>5073</v>
      </c>
      <c r="G1329" s="979" t="s">
        <v>5074</v>
      </c>
      <c r="H1329" s="1030">
        <v>196049</v>
      </c>
      <c r="I1329" s="1030">
        <v>841512</v>
      </c>
      <c r="J1329" s="1034">
        <v>1</v>
      </c>
      <c r="K1329" s="1030">
        <v>196049</v>
      </c>
      <c r="L1329" s="1030">
        <v>196049</v>
      </c>
      <c r="M1329" s="979">
        <v>599</v>
      </c>
    </row>
    <row r="1330" spans="1:13" ht="15">
      <c r="A1330" s="979" t="s">
        <v>3601</v>
      </c>
      <c r="B1330" s="722" t="str">
        <f>CONCATENATE(LEFT(RIGHT(CONCATENATE("000",IFAData_TEA!A1330),6),3),"-",(RIGHT(RIGHT(CONCATENATE("000",IFAData_TEA!A1330),6),3)))</f>
        <v>126-906</v>
      </c>
      <c r="C1330" s="979" t="s">
        <v>2034</v>
      </c>
      <c r="D1330" s="979">
        <v>9</v>
      </c>
      <c r="E1330" s="979">
        <v>1949</v>
      </c>
      <c r="F1330" s="979" t="s">
        <v>5073</v>
      </c>
      <c r="G1330" s="979" t="s">
        <v>5073</v>
      </c>
      <c r="H1330" s="1030">
        <v>196049</v>
      </c>
      <c r="I1330" s="1030">
        <v>0</v>
      </c>
      <c r="J1330" s="1034">
        <v>0</v>
      </c>
      <c r="K1330" s="1030">
        <v>0</v>
      </c>
      <c r="L1330" s="1030">
        <v>0</v>
      </c>
      <c r="M1330" s="979">
        <v>599</v>
      </c>
    </row>
    <row r="1331" spans="1:13" ht="15">
      <c r="A1331" s="979" t="s">
        <v>3602</v>
      </c>
      <c r="B1331" s="722" t="str">
        <f>CONCATENATE(LEFT(RIGHT(CONCATENATE("000",IFAData_TEA!A1331),6),3),"-",(RIGHT(RIGHT(CONCATENATE("000",IFAData_TEA!A1331),6),3)))</f>
        <v>126-907</v>
      </c>
      <c r="C1331" s="979" t="s">
        <v>2695</v>
      </c>
      <c r="D1331" s="979">
        <v>4</v>
      </c>
      <c r="E1331" s="979">
        <v>2248</v>
      </c>
      <c r="F1331" s="979" t="s">
        <v>5075</v>
      </c>
      <c r="G1331" s="979" t="s">
        <v>5076</v>
      </c>
      <c r="H1331" s="1030">
        <v>140320</v>
      </c>
      <c r="I1331" s="1030">
        <v>276725</v>
      </c>
      <c r="J1331" s="1034">
        <v>1</v>
      </c>
      <c r="K1331" s="1030">
        <v>140320</v>
      </c>
      <c r="L1331" s="1030">
        <v>140320</v>
      </c>
      <c r="M1331" s="979">
        <v>599</v>
      </c>
    </row>
    <row r="1332" spans="1:13" ht="15">
      <c r="A1332" s="979" t="s">
        <v>3602</v>
      </c>
      <c r="B1332" s="722" t="str">
        <f>CONCATENATE(LEFT(RIGHT(CONCATENATE("000",IFAData_TEA!A1332),6),3),"-",(RIGHT(RIGHT(CONCATENATE("000",IFAData_TEA!A1332),6),3)))</f>
        <v>126-907</v>
      </c>
      <c r="C1332" s="979" t="s">
        <v>2695</v>
      </c>
      <c r="D1332" s="979">
        <v>4</v>
      </c>
      <c r="E1332" s="979">
        <v>2248</v>
      </c>
      <c r="F1332" s="979" t="s">
        <v>5075</v>
      </c>
      <c r="G1332" s="979" t="s">
        <v>5075</v>
      </c>
      <c r="H1332" s="1030">
        <v>140320</v>
      </c>
      <c r="I1332" s="1030">
        <v>0</v>
      </c>
      <c r="J1332" s="1034">
        <v>0</v>
      </c>
      <c r="K1332" s="1030">
        <v>0</v>
      </c>
      <c r="L1332" s="1030">
        <v>0</v>
      </c>
      <c r="M1332" s="979">
        <v>599</v>
      </c>
    </row>
    <row r="1333" spans="1:13" ht="15">
      <c r="A1333" s="979" t="s">
        <v>3603</v>
      </c>
      <c r="B1333" s="722" t="str">
        <f>CONCATENATE(LEFT(RIGHT(CONCATENATE("000",IFAData_TEA!A1333),6),3),"-",(RIGHT(RIGHT(CONCATENATE("000",IFAData_TEA!A1333),6),3)))</f>
        <v>126-908</v>
      </c>
      <c r="C1333" s="979" t="s">
        <v>2644</v>
      </c>
      <c r="D1333" s="979">
        <v>3</v>
      </c>
      <c r="E1333" s="979">
        <v>2422</v>
      </c>
      <c r="F1333" s="979" t="s">
        <v>5077</v>
      </c>
      <c r="G1333" s="979" t="s">
        <v>5079</v>
      </c>
      <c r="H1333" s="1030">
        <v>198161</v>
      </c>
      <c r="I1333" s="1030">
        <v>171172</v>
      </c>
      <c r="J1333" s="1034">
        <v>0.53919233919233922</v>
      </c>
      <c r="K1333" s="1030">
        <v>106846.89312669313</v>
      </c>
      <c r="L1333" s="1030">
        <v>106846.89312669313</v>
      </c>
      <c r="M1333" s="979">
        <v>599</v>
      </c>
    </row>
    <row r="1334" spans="1:13" ht="15">
      <c r="A1334" s="979" t="s">
        <v>3603</v>
      </c>
      <c r="B1334" s="722" t="str">
        <f>CONCATENATE(LEFT(RIGHT(CONCATENATE("000",IFAData_TEA!A1334),6),3),"-",(RIGHT(RIGHT(CONCATENATE("000",IFAData_TEA!A1334),6),3)))</f>
        <v>126-908</v>
      </c>
      <c r="C1334" s="979" t="s">
        <v>2644</v>
      </c>
      <c r="D1334" s="979">
        <v>3</v>
      </c>
      <c r="E1334" s="979">
        <v>2423</v>
      </c>
      <c r="F1334" s="979" t="s">
        <v>5081</v>
      </c>
      <c r="G1334" s="979" t="s">
        <v>5079</v>
      </c>
      <c r="H1334" s="1030">
        <v>260380</v>
      </c>
      <c r="I1334" s="1030">
        <v>164976</v>
      </c>
      <c r="J1334" s="1034">
        <v>0.57180289686294494</v>
      </c>
      <c r="K1334" s="1030">
        <v>148886.03828517359</v>
      </c>
      <c r="L1334" s="1030">
        <v>148886.03828517359</v>
      </c>
      <c r="M1334" s="979">
        <v>599</v>
      </c>
    </row>
    <row r="1335" spans="1:13" ht="15">
      <c r="A1335" s="979" t="s">
        <v>3603</v>
      </c>
      <c r="B1335" s="722" t="str">
        <f>CONCATENATE(LEFT(RIGHT(CONCATENATE("000",IFAData_TEA!A1335),6),3),"-",(RIGHT(RIGHT(CONCATENATE("000",IFAData_TEA!A1335),6),3)))</f>
        <v>126-908</v>
      </c>
      <c r="C1335" s="979" t="s">
        <v>2644</v>
      </c>
      <c r="D1335" s="979">
        <v>3</v>
      </c>
      <c r="E1335" s="979">
        <v>2422</v>
      </c>
      <c r="F1335" s="979" t="s">
        <v>5077</v>
      </c>
      <c r="G1335" s="979" t="s">
        <v>5078</v>
      </c>
      <c r="H1335" s="1030">
        <v>198161</v>
      </c>
      <c r="I1335" s="1030">
        <v>0</v>
      </c>
      <c r="J1335" s="1034">
        <v>0</v>
      </c>
      <c r="K1335" s="1030">
        <v>0</v>
      </c>
      <c r="L1335" s="1030">
        <v>0</v>
      </c>
      <c r="M1335" s="979">
        <v>599</v>
      </c>
    </row>
    <row r="1336" spans="1:13" ht="15">
      <c r="A1336" s="979" t="s">
        <v>3603</v>
      </c>
      <c r="B1336" s="722" t="str">
        <f>CONCATENATE(LEFT(RIGHT(CONCATENATE("000",IFAData_TEA!A1336),6),3),"-",(RIGHT(RIGHT(CONCATENATE("000",IFAData_TEA!A1336),6),3)))</f>
        <v>126-908</v>
      </c>
      <c r="C1336" s="979" t="s">
        <v>2644</v>
      </c>
      <c r="D1336" s="979">
        <v>3</v>
      </c>
      <c r="E1336" s="979">
        <v>2423</v>
      </c>
      <c r="F1336" s="979" t="s">
        <v>5081</v>
      </c>
      <c r="G1336" s="979" t="s">
        <v>5078</v>
      </c>
      <c r="H1336" s="1030">
        <v>260380</v>
      </c>
      <c r="I1336" s="1030">
        <v>98863</v>
      </c>
      <c r="J1336" s="1034">
        <v>0.34265680943022814</v>
      </c>
      <c r="K1336" s="1030">
        <v>89220.980039442802</v>
      </c>
      <c r="L1336" s="1030">
        <v>89220.980039442802</v>
      </c>
      <c r="M1336" s="979">
        <v>599</v>
      </c>
    </row>
    <row r="1337" spans="1:13" ht="15">
      <c r="A1337" s="979" t="s">
        <v>3603</v>
      </c>
      <c r="B1337" s="722" t="str">
        <f>CONCATENATE(LEFT(RIGHT(CONCATENATE("000",IFAData_TEA!A1337),6),3),"-",(RIGHT(RIGHT(CONCATENATE("000",IFAData_TEA!A1337),6),3)))</f>
        <v>126-908</v>
      </c>
      <c r="C1337" s="979" t="s">
        <v>2644</v>
      </c>
      <c r="D1337" s="979">
        <v>8</v>
      </c>
      <c r="E1337" s="979">
        <v>2424</v>
      </c>
      <c r="F1337" s="979" t="s">
        <v>5078</v>
      </c>
      <c r="G1337" s="979" t="s">
        <v>5078</v>
      </c>
      <c r="H1337" s="1030">
        <v>338505</v>
      </c>
      <c r="I1337" s="1030">
        <v>198770</v>
      </c>
      <c r="J1337" s="1034">
        <v>1</v>
      </c>
      <c r="K1337" s="1030">
        <v>338505</v>
      </c>
      <c r="L1337" s="1030">
        <v>198770</v>
      </c>
      <c r="M1337" s="979">
        <v>599</v>
      </c>
    </row>
    <row r="1338" spans="1:13" ht="15">
      <c r="A1338" s="979" t="s">
        <v>3603</v>
      </c>
      <c r="B1338" s="722" t="str">
        <f>CONCATENATE(LEFT(RIGHT(CONCATENATE("000",IFAData_TEA!A1338),6),3),"-",(RIGHT(RIGHT(CONCATENATE("000",IFAData_TEA!A1338),6),3)))</f>
        <v>126-908</v>
      </c>
      <c r="C1338" s="979" t="s">
        <v>2644</v>
      </c>
      <c r="D1338" s="979">
        <v>3</v>
      </c>
      <c r="E1338" s="979">
        <v>2422</v>
      </c>
      <c r="F1338" s="979" t="s">
        <v>5077</v>
      </c>
      <c r="G1338" s="979" t="s">
        <v>5080</v>
      </c>
      <c r="H1338" s="1030">
        <v>198161</v>
      </c>
      <c r="I1338" s="1030">
        <v>146288</v>
      </c>
      <c r="J1338" s="1034">
        <v>0.46080766080766083</v>
      </c>
      <c r="K1338" s="1030">
        <v>91314.106873306882</v>
      </c>
      <c r="L1338" s="1030">
        <v>91314.106873306882</v>
      </c>
      <c r="M1338" s="979">
        <v>599</v>
      </c>
    </row>
    <row r="1339" spans="1:13" ht="15">
      <c r="A1339" s="979" t="s">
        <v>3603</v>
      </c>
      <c r="B1339" s="722" t="str">
        <f>CONCATENATE(LEFT(RIGHT(CONCATENATE("000",IFAData_TEA!A1339),6),3),"-",(RIGHT(RIGHT(CONCATENATE("000",IFAData_TEA!A1339),6),3)))</f>
        <v>126-908</v>
      </c>
      <c r="C1339" s="979" t="s">
        <v>2644</v>
      </c>
      <c r="D1339" s="979">
        <v>3</v>
      </c>
      <c r="E1339" s="979">
        <v>2423</v>
      </c>
      <c r="F1339" s="979" t="s">
        <v>5081</v>
      </c>
      <c r="G1339" s="979" t="s">
        <v>5080</v>
      </c>
      <c r="H1339" s="1030">
        <v>260380</v>
      </c>
      <c r="I1339" s="1030">
        <v>24680</v>
      </c>
      <c r="J1339" s="1034">
        <v>8.5540293706826934E-2</v>
      </c>
      <c r="K1339" s="1030">
        <v>22272.981675383598</v>
      </c>
      <c r="L1339" s="1030">
        <v>22272.981675383598</v>
      </c>
      <c r="M1339" s="979">
        <v>599</v>
      </c>
    </row>
    <row r="1340" spans="1:13" ht="15">
      <c r="A1340" s="979" t="s">
        <v>3603</v>
      </c>
      <c r="B1340" s="722" t="str">
        <f>CONCATENATE(LEFT(RIGHT(CONCATENATE("000",IFAData_TEA!A1340),6),3),"-",(RIGHT(RIGHT(CONCATENATE("000",IFAData_TEA!A1340),6),3)))</f>
        <v>126-908</v>
      </c>
      <c r="C1340" s="979" t="s">
        <v>2644</v>
      </c>
      <c r="D1340" s="979">
        <v>3</v>
      </c>
      <c r="E1340" s="979">
        <v>2422</v>
      </c>
      <c r="F1340" s="979" t="s">
        <v>5077</v>
      </c>
      <c r="G1340" s="979" t="s">
        <v>5077</v>
      </c>
      <c r="H1340" s="1030">
        <v>198161</v>
      </c>
      <c r="I1340" s="1030">
        <v>0</v>
      </c>
      <c r="J1340" s="1034">
        <v>0</v>
      </c>
      <c r="K1340" s="1030">
        <v>0</v>
      </c>
      <c r="L1340" s="1030">
        <v>0</v>
      </c>
      <c r="M1340" s="979">
        <v>599</v>
      </c>
    </row>
    <row r="1341" spans="1:13" ht="15">
      <c r="A1341" s="979" t="s">
        <v>3603</v>
      </c>
      <c r="B1341" s="722" t="str">
        <f>CONCATENATE(LEFT(RIGHT(CONCATENATE("000",IFAData_TEA!A1341),6),3),"-",(RIGHT(RIGHT(CONCATENATE("000",IFAData_TEA!A1341),6),3)))</f>
        <v>126-908</v>
      </c>
      <c r="C1341" s="979" t="s">
        <v>2644</v>
      </c>
      <c r="D1341" s="979">
        <v>3</v>
      </c>
      <c r="E1341" s="979">
        <v>2423</v>
      </c>
      <c r="F1341" s="979" t="s">
        <v>5081</v>
      </c>
      <c r="G1341" s="979" t="s">
        <v>5081</v>
      </c>
      <c r="H1341" s="1030">
        <v>260380</v>
      </c>
      <c r="I1341" s="1030">
        <v>0</v>
      </c>
      <c r="J1341" s="1034">
        <v>0</v>
      </c>
      <c r="K1341" s="1030">
        <v>0</v>
      </c>
      <c r="L1341" s="1030">
        <v>0</v>
      </c>
      <c r="M1341" s="979">
        <v>599</v>
      </c>
    </row>
    <row r="1342" spans="1:13" ht="15">
      <c r="A1342" s="979" t="s">
        <v>3604</v>
      </c>
      <c r="B1342" s="722" t="str">
        <f>CONCATENATE(LEFT(RIGHT(CONCATENATE("000",IFAData_TEA!A1342),6),3),"-",(RIGHT(RIGHT(CONCATENATE("000",IFAData_TEA!A1342),6),3)))</f>
        <v>126-911</v>
      </c>
      <c r="C1342" s="979" t="s">
        <v>2322</v>
      </c>
      <c r="D1342" s="979">
        <v>1</v>
      </c>
      <c r="E1342" s="979">
        <v>1847</v>
      </c>
      <c r="F1342" s="979" t="s">
        <v>5082</v>
      </c>
      <c r="G1342" s="979" t="s">
        <v>6284</v>
      </c>
      <c r="H1342" s="1030">
        <v>212707</v>
      </c>
      <c r="I1342" s="1030">
        <v>33460</v>
      </c>
      <c r="J1342" s="1034">
        <v>0.13771644242127401</v>
      </c>
      <c r="K1342" s="1030">
        <v>29293.251318101931</v>
      </c>
      <c r="L1342" s="1030">
        <v>29293.251318101931</v>
      </c>
      <c r="M1342" s="979">
        <v>599</v>
      </c>
    </row>
    <row r="1343" spans="1:13" ht="15">
      <c r="A1343" s="979" t="s">
        <v>3604</v>
      </c>
      <c r="B1343" s="722" t="str">
        <f>CONCATENATE(LEFT(RIGHT(CONCATENATE("000",IFAData_TEA!A1343),6),3),"-",(RIGHT(RIGHT(CONCATENATE("000",IFAData_TEA!A1343),6),3)))</f>
        <v>126-911</v>
      </c>
      <c r="C1343" s="979" t="s">
        <v>2322</v>
      </c>
      <c r="D1343" s="979">
        <v>1</v>
      </c>
      <c r="E1343" s="979">
        <v>1847</v>
      </c>
      <c r="F1343" s="979" t="s">
        <v>5082</v>
      </c>
      <c r="G1343" s="979" t="s">
        <v>5083</v>
      </c>
      <c r="H1343" s="1030">
        <v>212707</v>
      </c>
      <c r="I1343" s="1030">
        <v>209503</v>
      </c>
      <c r="J1343" s="1034">
        <v>0.86228355757872599</v>
      </c>
      <c r="K1343" s="1030">
        <v>183413.74868189808</v>
      </c>
      <c r="L1343" s="1030">
        <v>183413.74868189808</v>
      </c>
      <c r="M1343" s="979">
        <v>599</v>
      </c>
    </row>
    <row r="1344" spans="1:13" ht="15">
      <c r="A1344" s="979" t="s">
        <v>3604</v>
      </c>
      <c r="B1344" s="722" t="str">
        <f>CONCATENATE(LEFT(RIGHT(CONCATENATE("000",IFAData_TEA!A1344),6),3),"-",(RIGHT(RIGHT(CONCATENATE("000",IFAData_TEA!A1344),6),3)))</f>
        <v>126-911</v>
      </c>
      <c r="C1344" s="979" t="s">
        <v>2322</v>
      </c>
      <c r="D1344" s="979">
        <v>4</v>
      </c>
      <c r="E1344" s="979">
        <v>1848</v>
      </c>
      <c r="F1344" s="979" t="s">
        <v>5084</v>
      </c>
      <c r="G1344" s="979" t="s">
        <v>5083</v>
      </c>
      <c r="H1344" s="1030">
        <v>279766</v>
      </c>
      <c r="I1344" s="1030">
        <v>270941</v>
      </c>
      <c r="J1344" s="1034">
        <v>0.8455623277688834</v>
      </c>
      <c r="K1344" s="1030">
        <v>236559.59019058943</v>
      </c>
      <c r="L1344" s="1030">
        <v>236559.59019058943</v>
      </c>
      <c r="M1344" s="979">
        <v>599</v>
      </c>
    </row>
    <row r="1345" spans="1:13" ht="15">
      <c r="A1345" s="979" t="s">
        <v>3604</v>
      </c>
      <c r="B1345" s="722" t="str">
        <f>CONCATENATE(LEFT(RIGHT(CONCATENATE("000",IFAData_TEA!A1345),6),3),"-",(RIGHT(RIGHT(CONCATENATE("000",IFAData_TEA!A1345),6),3)))</f>
        <v>126-911</v>
      </c>
      <c r="C1345" s="979" t="s">
        <v>2322</v>
      </c>
      <c r="D1345" s="979">
        <v>1</v>
      </c>
      <c r="E1345" s="979">
        <v>1847</v>
      </c>
      <c r="F1345" s="979" t="s">
        <v>5082</v>
      </c>
      <c r="G1345" s="979" t="s">
        <v>5082</v>
      </c>
      <c r="H1345" s="1030">
        <v>212707</v>
      </c>
      <c r="I1345" s="1030">
        <v>0</v>
      </c>
      <c r="J1345" s="1034">
        <v>0</v>
      </c>
      <c r="K1345" s="1030">
        <v>0</v>
      </c>
      <c r="L1345" s="1030">
        <v>0</v>
      </c>
      <c r="M1345" s="979">
        <v>599</v>
      </c>
    </row>
    <row r="1346" spans="1:13" ht="15">
      <c r="A1346" s="979" t="s">
        <v>3604</v>
      </c>
      <c r="B1346" s="722" t="str">
        <f>CONCATENATE(LEFT(RIGHT(CONCATENATE("000",IFAData_TEA!A1346),6),3),"-",(RIGHT(RIGHT(CONCATENATE("000",IFAData_TEA!A1346),6),3)))</f>
        <v>126-911</v>
      </c>
      <c r="C1346" s="979" t="s">
        <v>2322</v>
      </c>
      <c r="D1346" s="979">
        <v>4</v>
      </c>
      <c r="E1346" s="979">
        <v>1848</v>
      </c>
      <c r="F1346" s="979" t="s">
        <v>5084</v>
      </c>
      <c r="G1346" s="979" t="s">
        <v>5084</v>
      </c>
      <c r="H1346" s="1030">
        <v>279766</v>
      </c>
      <c r="I1346" s="1030">
        <v>0</v>
      </c>
      <c r="J1346" s="1034">
        <v>0</v>
      </c>
      <c r="K1346" s="1030">
        <v>0</v>
      </c>
      <c r="L1346" s="1030">
        <v>0</v>
      </c>
      <c r="M1346" s="979">
        <v>599</v>
      </c>
    </row>
    <row r="1347" spans="1:13" ht="15">
      <c r="A1347" s="979" t="s">
        <v>3604</v>
      </c>
      <c r="B1347" s="722" t="str">
        <f>CONCATENATE(LEFT(RIGHT(CONCATENATE("000",IFAData_TEA!A1347),6),3),"-",(RIGHT(RIGHT(CONCATENATE("000",IFAData_TEA!A1347),6),3)))</f>
        <v>126-911</v>
      </c>
      <c r="C1347" s="979" t="s">
        <v>2322</v>
      </c>
      <c r="D1347" s="979">
        <v>4</v>
      </c>
      <c r="E1347" s="979">
        <v>1848</v>
      </c>
      <c r="F1347" s="979" t="s">
        <v>5084</v>
      </c>
      <c r="G1347" s="979" t="s">
        <v>6284</v>
      </c>
      <c r="H1347" s="1030">
        <v>279766</v>
      </c>
      <c r="I1347" s="1030">
        <v>49486</v>
      </c>
      <c r="J1347" s="1034">
        <v>0.1544376722311166</v>
      </c>
      <c r="K1347" s="1030">
        <v>43206.409809410565</v>
      </c>
      <c r="L1347" s="1030">
        <v>43206.409809410565</v>
      </c>
      <c r="M1347" s="979">
        <v>599</v>
      </c>
    </row>
    <row r="1348" spans="1:13" ht="15">
      <c r="A1348" s="979" t="s">
        <v>3605</v>
      </c>
      <c r="B1348" s="722" t="str">
        <f>CONCATENATE(LEFT(RIGHT(CONCATENATE("000",IFAData_TEA!A1348),6),3),"-",(RIGHT(RIGHT(CONCATENATE("000",IFAData_TEA!A1348),6),3)))</f>
        <v>127-905</v>
      </c>
      <c r="C1348" s="979" t="s">
        <v>144</v>
      </c>
      <c r="D1348" s="979">
        <v>6</v>
      </c>
      <c r="E1348" s="979">
        <v>2042</v>
      </c>
      <c r="F1348" s="979" t="s">
        <v>5085</v>
      </c>
      <c r="G1348" s="979" t="s">
        <v>5086</v>
      </c>
      <c r="H1348" s="1030">
        <v>100000</v>
      </c>
      <c r="I1348" s="1030">
        <v>95600</v>
      </c>
      <c r="J1348" s="1034">
        <v>1</v>
      </c>
      <c r="K1348" s="1030">
        <v>100000</v>
      </c>
      <c r="L1348" s="1030">
        <v>95600</v>
      </c>
      <c r="M1348" s="979">
        <v>599</v>
      </c>
    </row>
    <row r="1349" spans="1:13" ht="15">
      <c r="A1349" s="979" t="s">
        <v>3605</v>
      </c>
      <c r="B1349" s="722" t="str">
        <f>CONCATENATE(LEFT(RIGHT(CONCATENATE("000",IFAData_TEA!A1349),6),3),"-",(RIGHT(RIGHT(CONCATENATE("000",IFAData_TEA!A1349),6),3)))</f>
        <v>127-905</v>
      </c>
      <c r="C1349" s="979" t="s">
        <v>144</v>
      </c>
      <c r="D1349" s="979">
        <v>6</v>
      </c>
      <c r="E1349" s="979">
        <v>2042</v>
      </c>
      <c r="F1349" s="979" t="s">
        <v>5085</v>
      </c>
      <c r="G1349" s="979" t="s">
        <v>5085</v>
      </c>
      <c r="H1349" s="1030">
        <v>100000</v>
      </c>
      <c r="I1349" s="1030">
        <v>0</v>
      </c>
      <c r="J1349" s="1034">
        <v>0</v>
      </c>
      <c r="K1349" s="1030">
        <v>0</v>
      </c>
      <c r="L1349" s="1030">
        <v>0</v>
      </c>
      <c r="M1349" s="979">
        <v>599</v>
      </c>
    </row>
    <row r="1350" spans="1:13" ht="15">
      <c r="A1350" s="979" t="s">
        <v>3606</v>
      </c>
      <c r="B1350" s="722" t="str">
        <f>CONCATENATE(LEFT(RIGHT(CONCATENATE("000",IFAData_TEA!A1350),6),3),"-",(RIGHT(RIGHT(CONCATENATE("000",IFAData_TEA!A1350),6),3)))</f>
        <v>127-906</v>
      </c>
      <c r="C1350" s="979" t="s">
        <v>1939</v>
      </c>
      <c r="D1350" s="979">
        <v>5</v>
      </c>
      <c r="E1350" s="979">
        <v>2382</v>
      </c>
      <c r="F1350" s="979" t="s">
        <v>5087</v>
      </c>
      <c r="G1350" s="979" t="s">
        <v>5087</v>
      </c>
      <c r="H1350" s="1030">
        <v>187854</v>
      </c>
      <c r="I1350" s="1030">
        <v>0</v>
      </c>
      <c r="J1350" s="1034">
        <v>0</v>
      </c>
      <c r="K1350" s="1030">
        <v>0</v>
      </c>
      <c r="L1350" s="1030">
        <v>0</v>
      </c>
      <c r="M1350" s="979">
        <v>599</v>
      </c>
    </row>
    <row r="1351" spans="1:13" ht="15">
      <c r="A1351" s="979" t="s">
        <v>3606</v>
      </c>
      <c r="B1351" s="722" t="str">
        <f>CONCATENATE(LEFT(RIGHT(CONCATENATE("000",IFAData_TEA!A1351),6),3),"-",(RIGHT(RIGHT(CONCATENATE("000",IFAData_TEA!A1351),6),3)))</f>
        <v>127-906</v>
      </c>
      <c r="C1351" s="979" t="s">
        <v>1939</v>
      </c>
      <c r="D1351" s="979">
        <v>10</v>
      </c>
      <c r="E1351" s="979">
        <v>2381</v>
      </c>
      <c r="F1351" s="979" t="s">
        <v>5089</v>
      </c>
      <c r="G1351" s="979" t="s">
        <v>5089</v>
      </c>
      <c r="H1351" s="1030">
        <v>143981</v>
      </c>
      <c r="I1351" s="1030">
        <v>448746</v>
      </c>
      <c r="J1351" s="1034">
        <v>1</v>
      </c>
      <c r="K1351" s="1030">
        <v>143981</v>
      </c>
      <c r="L1351" s="1030">
        <v>143981</v>
      </c>
      <c r="M1351" s="979">
        <v>599</v>
      </c>
    </row>
    <row r="1352" spans="1:13" ht="15">
      <c r="A1352" s="979" t="s">
        <v>3606</v>
      </c>
      <c r="B1352" s="722" t="str">
        <f>CONCATENATE(LEFT(RIGHT(CONCATENATE("000",IFAData_TEA!A1352),6),3),"-",(RIGHT(RIGHT(CONCATENATE("000",IFAData_TEA!A1352),6),3)))</f>
        <v>127-906</v>
      </c>
      <c r="C1352" s="979" t="s">
        <v>1939</v>
      </c>
      <c r="D1352" s="979">
        <v>5</v>
      </c>
      <c r="E1352" s="979">
        <v>2382</v>
      </c>
      <c r="F1352" s="979" t="s">
        <v>5087</v>
      </c>
      <c r="G1352" s="979" t="s">
        <v>5088</v>
      </c>
      <c r="H1352" s="1030">
        <v>187854</v>
      </c>
      <c r="I1352" s="1030">
        <v>172118</v>
      </c>
      <c r="J1352" s="1034">
        <v>1</v>
      </c>
      <c r="K1352" s="1030">
        <v>187854</v>
      </c>
      <c r="L1352" s="1030">
        <v>172118</v>
      </c>
      <c r="M1352" s="979">
        <v>599</v>
      </c>
    </row>
    <row r="1353" spans="1:13" ht="15">
      <c r="A1353" s="979" t="s">
        <v>5090</v>
      </c>
      <c r="B1353" s="722" t="str">
        <f>CONCATENATE(LEFT(RIGHT(CONCATENATE("000",IFAData_TEA!A1353),6),3),"-",(RIGHT(RIGHT(CONCATENATE("000",IFAData_TEA!A1353),6),3)))</f>
        <v>128-901</v>
      </c>
      <c r="C1353" s="979" t="s">
        <v>409</v>
      </c>
      <c r="D1353" s="979">
        <v>2</v>
      </c>
      <c r="E1353" s="979">
        <v>1940</v>
      </c>
      <c r="F1353" s="979" t="s">
        <v>5091</v>
      </c>
      <c r="G1353" s="979" t="s">
        <v>5091</v>
      </c>
      <c r="H1353" s="1030">
        <v>91832</v>
      </c>
      <c r="I1353" s="1030">
        <v>0</v>
      </c>
      <c r="J1353" s="1034">
        <v>0</v>
      </c>
      <c r="K1353" s="1030"/>
      <c r="L1353" s="1030">
        <v>0</v>
      </c>
      <c r="M1353" s="979">
        <v>599</v>
      </c>
    </row>
    <row r="1354" spans="1:13" ht="15">
      <c r="A1354" s="979" t="s">
        <v>3607</v>
      </c>
      <c r="B1354" s="722" t="str">
        <f>CONCATENATE(LEFT(RIGHT(CONCATENATE("000",IFAData_TEA!A1354),6),3),"-",(RIGHT(RIGHT(CONCATENATE("000",IFAData_TEA!A1354),6),3)))</f>
        <v>128-902</v>
      </c>
      <c r="C1354" s="979" t="s">
        <v>414</v>
      </c>
      <c r="D1354" s="979">
        <v>6</v>
      </c>
      <c r="E1354" s="979">
        <v>1954</v>
      </c>
      <c r="F1354" s="979" t="s">
        <v>5092</v>
      </c>
      <c r="G1354" s="979" t="s">
        <v>5093</v>
      </c>
      <c r="H1354" s="1030">
        <v>195337</v>
      </c>
      <c r="I1354" s="1030">
        <v>196225</v>
      </c>
      <c r="J1354" s="1034">
        <v>1</v>
      </c>
      <c r="K1354" s="1030">
        <v>195337</v>
      </c>
      <c r="L1354" s="1030">
        <v>195337</v>
      </c>
      <c r="M1354" s="979">
        <v>599</v>
      </c>
    </row>
    <row r="1355" spans="1:13" ht="15">
      <c r="A1355" s="979" t="s">
        <v>3607</v>
      </c>
      <c r="B1355" s="722" t="str">
        <f>CONCATENATE(LEFT(RIGHT(CONCATENATE("000",IFAData_TEA!A1355),6),3),"-",(RIGHT(RIGHT(CONCATENATE("000",IFAData_TEA!A1355),6),3)))</f>
        <v>128-902</v>
      </c>
      <c r="C1355" s="979" t="s">
        <v>414</v>
      </c>
      <c r="D1355" s="979">
        <v>6</v>
      </c>
      <c r="E1355" s="979">
        <v>1954</v>
      </c>
      <c r="F1355" s="979" t="s">
        <v>5092</v>
      </c>
      <c r="G1355" s="979" t="s">
        <v>5092</v>
      </c>
      <c r="H1355" s="1030">
        <v>195337</v>
      </c>
      <c r="I1355" s="1030">
        <v>0</v>
      </c>
      <c r="J1355" s="1034">
        <v>0</v>
      </c>
      <c r="K1355" s="1030">
        <v>0</v>
      </c>
      <c r="L1355" s="1030">
        <v>0</v>
      </c>
      <c r="M1355" s="979">
        <v>599</v>
      </c>
    </row>
    <row r="1356" spans="1:13" ht="15">
      <c r="A1356" s="979" t="s">
        <v>3608</v>
      </c>
      <c r="B1356" s="722" t="str">
        <f>CONCATENATE(LEFT(RIGHT(CONCATENATE("000",IFAData_TEA!A1356),6),3),"-",(RIGHT(RIGHT(CONCATENATE("000",IFAData_TEA!A1356),6),3)))</f>
        <v>128-904</v>
      </c>
      <c r="C1356" s="979" t="s">
        <v>893</v>
      </c>
      <c r="D1356" s="979">
        <v>5</v>
      </c>
      <c r="E1356" s="979">
        <v>1808</v>
      </c>
      <c r="F1356" s="979" t="s">
        <v>5095</v>
      </c>
      <c r="G1356" s="979" t="s">
        <v>5095</v>
      </c>
      <c r="H1356" s="1030">
        <v>95588</v>
      </c>
      <c r="I1356" s="1030">
        <v>0</v>
      </c>
      <c r="J1356" s="1034">
        <v>0</v>
      </c>
      <c r="K1356" s="1030">
        <v>0</v>
      </c>
      <c r="L1356" s="1030">
        <v>0</v>
      </c>
      <c r="M1356" s="979">
        <v>199</v>
      </c>
    </row>
    <row r="1357" spans="1:13" ht="15">
      <c r="A1357" s="979" t="s">
        <v>3608</v>
      </c>
      <c r="B1357" s="722" t="str">
        <f>CONCATENATE(LEFT(RIGHT(CONCATENATE("000",IFAData_TEA!A1357),6),3),"-",(RIGHT(RIGHT(CONCATENATE("000",IFAData_TEA!A1357),6),3)))</f>
        <v>128-904</v>
      </c>
      <c r="C1357" s="979" t="s">
        <v>893</v>
      </c>
      <c r="D1357" s="979">
        <v>5</v>
      </c>
      <c r="E1357" s="979">
        <v>1808</v>
      </c>
      <c r="F1357" s="979" t="s">
        <v>5095</v>
      </c>
      <c r="G1357" s="979" t="s">
        <v>5098</v>
      </c>
      <c r="H1357" s="1030">
        <v>95588</v>
      </c>
      <c r="I1357" s="1030">
        <v>0</v>
      </c>
      <c r="J1357" s="1034">
        <v>0</v>
      </c>
      <c r="K1357" s="1030">
        <v>0</v>
      </c>
      <c r="L1357" s="1030">
        <v>0</v>
      </c>
      <c r="M1357" s="979">
        <v>599</v>
      </c>
    </row>
    <row r="1358" spans="1:13" ht="15">
      <c r="A1358" s="979" t="s">
        <v>3608</v>
      </c>
      <c r="B1358" s="722" t="str">
        <f>CONCATENATE(LEFT(RIGHT(CONCATENATE("000",IFAData_TEA!A1358),6),3),"-",(RIGHT(RIGHT(CONCATENATE("000",IFAData_TEA!A1358),6),3)))</f>
        <v>128-904</v>
      </c>
      <c r="C1358" s="979" t="s">
        <v>893</v>
      </c>
      <c r="D1358" s="979">
        <v>3</v>
      </c>
      <c r="E1358" s="979">
        <v>1809</v>
      </c>
      <c r="F1358" s="979" t="s">
        <v>5094</v>
      </c>
      <c r="G1358" s="979" t="s">
        <v>5094</v>
      </c>
      <c r="H1358" s="1030">
        <v>114000</v>
      </c>
      <c r="I1358" s="1030">
        <v>0</v>
      </c>
      <c r="J1358" s="1034">
        <v>0</v>
      </c>
      <c r="K1358" s="1030"/>
      <c r="L1358" s="1030">
        <v>0</v>
      </c>
      <c r="M1358" s="979">
        <v>199</v>
      </c>
    </row>
    <row r="1359" spans="1:13" ht="15">
      <c r="A1359" s="979" t="s">
        <v>3608</v>
      </c>
      <c r="B1359" s="722" t="str">
        <f>CONCATENATE(LEFT(RIGHT(CONCATENATE("000",IFAData_TEA!A1359),6),3),"-",(RIGHT(RIGHT(CONCATENATE("000",IFAData_TEA!A1359),6),3)))</f>
        <v>128-904</v>
      </c>
      <c r="C1359" s="979" t="s">
        <v>893</v>
      </c>
      <c r="D1359" s="979">
        <v>5</v>
      </c>
      <c r="E1359" s="979">
        <v>1808</v>
      </c>
      <c r="F1359" s="979" t="s">
        <v>5095</v>
      </c>
      <c r="G1359" s="979" t="s">
        <v>5097</v>
      </c>
      <c r="H1359" s="1030">
        <v>95588</v>
      </c>
      <c r="I1359" s="1030">
        <v>80680</v>
      </c>
      <c r="J1359" s="1034">
        <v>1</v>
      </c>
      <c r="K1359" s="1030">
        <v>95588</v>
      </c>
      <c r="L1359" s="1030">
        <v>80680</v>
      </c>
      <c r="M1359" s="979">
        <v>599</v>
      </c>
    </row>
    <row r="1360" spans="1:13" ht="15">
      <c r="A1360" s="979" t="s">
        <v>3608</v>
      </c>
      <c r="B1360" s="722" t="str">
        <f>CONCATENATE(LEFT(RIGHT(CONCATENATE("000",IFAData_TEA!A1360),6),3),"-",(RIGHT(RIGHT(CONCATENATE("000",IFAData_TEA!A1360),6),3)))</f>
        <v>128-904</v>
      </c>
      <c r="C1360" s="979" t="s">
        <v>893</v>
      </c>
      <c r="D1360" s="979">
        <v>5</v>
      </c>
      <c r="E1360" s="979">
        <v>1808</v>
      </c>
      <c r="F1360" s="979" t="s">
        <v>5095</v>
      </c>
      <c r="G1360" s="979" t="s">
        <v>5096</v>
      </c>
      <c r="H1360" s="1030">
        <v>95588</v>
      </c>
      <c r="I1360" s="1030">
        <v>0</v>
      </c>
      <c r="J1360" s="1034">
        <v>0</v>
      </c>
      <c r="K1360" s="1030">
        <v>0</v>
      </c>
      <c r="L1360" s="1030">
        <v>0</v>
      </c>
      <c r="M1360" s="979">
        <v>599</v>
      </c>
    </row>
    <row r="1361" spans="1:13" ht="15">
      <c r="A1361" s="979" t="s">
        <v>3609</v>
      </c>
      <c r="B1361" s="722" t="str">
        <f>CONCATENATE(LEFT(RIGHT(CONCATENATE("000",IFAData_TEA!A1361),6),3),"-",(RIGHT(RIGHT(CONCATENATE("000",IFAData_TEA!A1361),6),3)))</f>
        <v>129-901</v>
      </c>
      <c r="C1361" s="979" t="s">
        <v>416</v>
      </c>
      <c r="D1361" s="979">
        <v>2</v>
      </c>
      <c r="E1361" s="979">
        <v>1728</v>
      </c>
      <c r="F1361" s="979" t="s">
        <v>5099</v>
      </c>
      <c r="G1361" s="979" t="s">
        <v>5101</v>
      </c>
      <c r="H1361" s="1030">
        <v>347484</v>
      </c>
      <c r="I1361" s="1030">
        <v>281386</v>
      </c>
      <c r="J1361" s="1034">
        <v>1</v>
      </c>
      <c r="K1361" s="1030">
        <v>347484</v>
      </c>
      <c r="L1361" s="1030">
        <v>281386</v>
      </c>
      <c r="M1361" s="979">
        <v>599</v>
      </c>
    </row>
    <row r="1362" spans="1:13" ht="15">
      <c r="A1362" s="979" t="s">
        <v>3609</v>
      </c>
      <c r="B1362" s="722" t="str">
        <f>CONCATENATE(LEFT(RIGHT(CONCATENATE("000",IFAData_TEA!A1362),6),3),"-",(RIGHT(RIGHT(CONCATENATE("000",IFAData_TEA!A1362),6),3)))</f>
        <v>129-901</v>
      </c>
      <c r="C1362" s="979" t="s">
        <v>416</v>
      </c>
      <c r="D1362" s="979">
        <v>6</v>
      </c>
      <c r="E1362" s="979">
        <v>1729</v>
      </c>
      <c r="F1362" s="979" t="s">
        <v>5102</v>
      </c>
      <c r="G1362" s="979" t="s">
        <v>5103</v>
      </c>
      <c r="H1362" s="1030">
        <v>483733</v>
      </c>
      <c r="I1362" s="1030">
        <v>1043456</v>
      </c>
      <c r="J1362" s="1034">
        <v>0.7451899832530503</v>
      </c>
      <c r="K1362" s="1030">
        <v>360472.98616894777</v>
      </c>
      <c r="L1362" s="1030">
        <v>360472.98616894777</v>
      </c>
      <c r="M1362" s="979">
        <v>599</v>
      </c>
    </row>
    <row r="1363" spans="1:13" ht="15">
      <c r="A1363" s="979" t="s">
        <v>3609</v>
      </c>
      <c r="B1363" s="722" t="str">
        <f>CONCATENATE(LEFT(RIGHT(CONCATENATE("000",IFAData_TEA!A1363),6),3),"-",(RIGHT(RIGHT(CONCATENATE("000",IFAData_TEA!A1363),6),3)))</f>
        <v>129-901</v>
      </c>
      <c r="C1363" s="979" t="s">
        <v>416</v>
      </c>
      <c r="D1363" s="979">
        <v>2</v>
      </c>
      <c r="E1363" s="979">
        <v>1728</v>
      </c>
      <c r="F1363" s="979" t="s">
        <v>5099</v>
      </c>
      <c r="G1363" s="979" t="s">
        <v>5099</v>
      </c>
      <c r="H1363" s="1030">
        <v>347484</v>
      </c>
      <c r="I1363" s="1030">
        <v>0</v>
      </c>
      <c r="J1363" s="1034">
        <v>0</v>
      </c>
      <c r="K1363" s="1030">
        <v>0</v>
      </c>
      <c r="L1363" s="1030">
        <v>0</v>
      </c>
      <c r="M1363" s="979">
        <v>599</v>
      </c>
    </row>
    <row r="1364" spans="1:13" ht="15">
      <c r="A1364" s="979" t="s">
        <v>3609</v>
      </c>
      <c r="B1364" s="722" t="str">
        <f>CONCATENATE(LEFT(RIGHT(CONCATENATE("000",IFAData_TEA!A1364),6),3),"-",(RIGHT(RIGHT(CONCATENATE("000",IFAData_TEA!A1364),6),3)))</f>
        <v>129-901</v>
      </c>
      <c r="C1364" s="979" t="s">
        <v>416</v>
      </c>
      <c r="D1364" s="979">
        <v>9</v>
      </c>
      <c r="E1364" s="979">
        <v>1730</v>
      </c>
      <c r="F1364" s="979" t="s">
        <v>5104</v>
      </c>
      <c r="G1364" s="979" t="s">
        <v>5104</v>
      </c>
      <c r="H1364" s="1030">
        <v>538407</v>
      </c>
      <c r="I1364" s="1030">
        <v>1272900</v>
      </c>
      <c r="J1364" s="1034">
        <v>1</v>
      </c>
      <c r="K1364" s="1030">
        <v>538407</v>
      </c>
      <c r="L1364" s="1030">
        <v>538407</v>
      </c>
      <c r="M1364" s="979">
        <v>599</v>
      </c>
    </row>
    <row r="1365" spans="1:13" ht="15">
      <c r="A1365" s="979" t="s">
        <v>3609</v>
      </c>
      <c r="B1365" s="722" t="str">
        <f>CONCATENATE(LEFT(RIGHT(CONCATENATE("000",IFAData_TEA!A1365),6),3),"-",(RIGHT(RIGHT(CONCATENATE("000",IFAData_TEA!A1365),6),3)))</f>
        <v>129-901</v>
      </c>
      <c r="C1365" s="979" t="s">
        <v>416</v>
      </c>
      <c r="D1365" s="979">
        <v>6</v>
      </c>
      <c r="E1365" s="979">
        <v>1729</v>
      </c>
      <c r="F1365" s="979" t="s">
        <v>5102</v>
      </c>
      <c r="G1365" s="979" t="s">
        <v>5102</v>
      </c>
      <c r="H1365" s="1030">
        <v>483733</v>
      </c>
      <c r="I1365" s="1030">
        <v>356799</v>
      </c>
      <c r="J1365" s="1034">
        <v>0.25481001674694964</v>
      </c>
      <c r="K1365" s="1030">
        <v>123260.01383105219</v>
      </c>
      <c r="L1365" s="1030">
        <v>123260.01383105219</v>
      </c>
      <c r="M1365" s="979">
        <v>599</v>
      </c>
    </row>
    <row r="1366" spans="1:13" ht="15">
      <c r="A1366" s="979" t="s">
        <v>3609</v>
      </c>
      <c r="B1366" s="722" t="str">
        <f>CONCATENATE(LEFT(RIGHT(CONCATENATE("000",IFAData_TEA!A1366),6),3),"-",(RIGHT(RIGHT(CONCATENATE("000",IFAData_TEA!A1366),6),3)))</f>
        <v>129-901</v>
      </c>
      <c r="C1366" s="979" t="s">
        <v>416</v>
      </c>
      <c r="D1366" s="979">
        <v>2</v>
      </c>
      <c r="E1366" s="979">
        <v>1728</v>
      </c>
      <c r="F1366" s="979" t="s">
        <v>5099</v>
      </c>
      <c r="G1366" s="979" t="s">
        <v>5100</v>
      </c>
      <c r="H1366" s="1030">
        <v>347484</v>
      </c>
      <c r="I1366" s="1030">
        <v>0</v>
      </c>
      <c r="J1366" s="1034">
        <v>0</v>
      </c>
      <c r="K1366" s="1030">
        <v>0</v>
      </c>
      <c r="L1366" s="1030">
        <v>0</v>
      </c>
      <c r="M1366" s="979">
        <v>599</v>
      </c>
    </row>
    <row r="1367" spans="1:13" ht="15">
      <c r="A1367" s="979" t="s">
        <v>3610</v>
      </c>
      <c r="B1367" s="722" t="str">
        <f>CONCATENATE(LEFT(RIGHT(CONCATENATE("000",IFAData_TEA!A1367),6),3),"-",(RIGHT(RIGHT(CONCATENATE("000",IFAData_TEA!A1367),6),3)))</f>
        <v>129-902</v>
      </c>
      <c r="C1367" s="979" t="s">
        <v>111</v>
      </c>
      <c r="D1367" s="979">
        <v>1</v>
      </c>
      <c r="E1367" s="979">
        <v>1817</v>
      </c>
      <c r="F1367" s="979" t="s">
        <v>5105</v>
      </c>
      <c r="G1367" s="979" t="s">
        <v>5108</v>
      </c>
      <c r="H1367" s="1030">
        <v>553750</v>
      </c>
      <c r="I1367" s="1030">
        <v>18000</v>
      </c>
      <c r="J1367" s="1034">
        <v>2.470308267023855E-2</v>
      </c>
      <c r="K1367" s="1030">
        <v>13679.332028644598</v>
      </c>
      <c r="L1367" s="1030">
        <v>13679.332028644598</v>
      </c>
      <c r="M1367" s="979">
        <v>599</v>
      </c>
    </row>
    <row r="1368" spans="1:13" ht="15">
      <c r="A1368" s="979" t="s">
        <v>3610</v>
      </c>
      <c r="B1368" s="722" t="str">
        <f>CONCATENATE(LEFT(RIGHT(CONCATENATE("000",IFAData_TEA!A1368),6),3),"-",(RIGHT(RIGHT(CONCATENATE("000",IFAData_TEA!A1368),6),3)))</f>
        <v>129-902</v>
      </c>
      <c r="C1368" s="979" t="s">
        <v>111</v>
      </c>
      <c r="D1368" s="979">
        <v>1</v>
      </c>
      <c r="E1368" s="979">
        <v>1817</v>
      </c>
      <c r="F1368" s="979" t="s">
        <v>5105</v>
      </c>
      <c r="G1368" s="979" t="s">
        <v>5105</v>
      </c>
      <c r="H1368" s="1030">
        <v>553750</v>
      </c>
      <c r="I1368" s="1030">
        <v>0</v>
      </c>
      <c r="J1368" s="1034">
        <v>0</v>
      </c>
      <c r="K1368" s="1030">
        <v>0</v>
      </c>
      <c r="L1368" s="1030">
        <v>0</v>
      </c>
      <c r="M1368" s="979">
        <v>599</v>
      </c>
    </row>
    <row r="1369" spans="1:13" ht="15">
      <c r="A1369" s="979" t="s">
        <v>3610</v>
      </c>
      <c r="B1369" s="722" t="str">
        <f>CONCATENATE(LEFT(RIGHT(CONCATENATE("000",IFAData_TEA!A1369),6),3),"-",(RIGHT(RIGHT(CONCATENATE("000",IFAData_TEA!A1369),6),3)))</f>
        <v>129-902</v>
      </c>
      <c r="C1369" s="979" t="s">
        <v>111</v>
      </c>
      <c r="D1369" s="979">
        <v>9</v>
      </c>
      <c r="E1369" s="979">
        <v>1818</v>
      </c>
      <c r="F1369" s="979" t="s">
        <v>5109</v>
      </c>
      <c r="G1369" s="979" t="s">
        <v>6285</v>
      </c>
      <c r="H1369" s="1030">
        <v>1954750</v>
      </c>
      <c r="I1369" s="1030">
        <v>157505</v>
      </c>
      <c r="J1369" s="1034">
        <v>6.8846970064539256E-2</v>
      </c>
      <c r="K1369" s="1030">
        <v>134578.61473365812</v>
      </c>
      <c r="L1369" s="1030">
        <v>134578.61473365812</v>
      </c>
      <c r="M1369" s="979">
        <v>599</v>
      </c>
    </row>
    <row r="1370" spans="1:13" ht="15">
      <c r="A1370" s="979" t="s">
        <v>3610</v>
      </c>
      <c r="B1370" s="722" t="str">
        <f>CONCATENATE(LEFT(RIGHT(CONCATENATE("000",IFAData_TEA!A1370),6),3),"-",(RIGHT(RIGHT(CONCATENATE("000",IFAData_TEA!A1370),6),3)))</f>
        <v>129-902</v>
      </c>
      <c r="C1370" s="979" t="s">
        <v>111</v>
      </c>
      <c r="D1370" s="979">
        <v>1</v>
      </c>
      <c r="E1370" s="979">
        <v>1817</v>
      </c>
      <c r="F1370" s="979" t="s">
        <v>5105</v>
      </c>
      <c r="G1370" s="979" t="s">
        <v>5107</v>
      </c>
      <c r="H1370" s="1030">
        <v>553750</v>
      </c>
      <c r="I1370" s="1030">
        <v>32233</v>
      </c>
      <c r="J1370" s="1034">
        <v>4.4236359094988839E-2</v>
      </c>
      <c r="K1370" s="1030">
        <v>24495.88384885007</v>
      </c>
      <c r="L1370" s="1030">
        <v>24495.88384885007</v>
      </c>
      <c r="M1370" s="979">
        <v>599</v>
      </c>
    </row>
    <row r="1371" spans="1:13" ht="15">
      <c r="A1371" s="979" t="s">
        <v>3610</v>
      </c>
      <c r="B1371" s="722" t="str">
        <f>CONCATENATE(LEFT(RIGHT(CONCATENATE("000",IFAData_TEA!A1371),6),3),"-",(RIGHT(RIGHT(CONCATENATE("000",IFAData_TEA!A1371),6),3)))</f>
        <v>129-902</v>
      </c>
      <c r="C1371" s="979" t="s">
        <v>111</v>
      </c>
      <c r="D1371" s="979">
        <v>10</v>
      </c>
      <c r="E1371" s="979">
        <v>1816</v>
      </c>
      <c r="F1371" s="979" t="s">
        <v>5111</v>
      </c>
      <c r="G1371" s="979" t="s">
        <v>5111</v>
      </c>
      <c r="H1371" s="1030">
        <v>497282</v>
      </c>
      <c r="I1371" s="1030">
        <v>412492</v>
      </c>
      <c r="J1371" s="1034">
        <v>1</v>
      </c>
      <c r="K1371" s="1030">
        <v>497282</v>
      </c>
      <c r="L1371" s="1030">
        <v>412492</v>
      </c>
      <c r="M1371" s="979">
        <v>599</v>
      </c>
    </row>
    <row r="1372" spans="1:13" ht="15">
      <c r="A1372" s="979" t="s">
        <v>3610</v>
      </c>
      <c r="B1372" s="722" t="str">
        <f>CONCATENATE(LEFT(RIGHT(CONCATENATE("000",IFAData_TEA!A1372),6),3),"-",(RIGHT(RIGHT(CONCATENATE("000",IFAData_TEA!A1372),6),3)))</f>
        <v>129-902</v>
      </c>
      <c r="C1372" s="979" t="s">
        <v>111</v>
      </c>
      <c r="D1372" s="979">
        <v>1</v>
      </c>
      <c r="E1372" s="979">
        <v>1817</v>
      </c>
      <c r="F1372" s="979" t="s">
        <v>5105</v>
      </c>
      <c r="G1372" s="979" t="s">
        <v>5106</v>
      </c>
      <c r="H1372" s="1030">
        <v>553750</v>
      </c>
      <c r="I1372" s="1030">
        <v>652000</v>
      </c>
      <c r="J1372" s="1034">
        <v>0.89480055005530745</v>
      </c>
      <c r="K1372" s="1030">
        <v>495495.80459312652</v>
      </c>
      <c r="L1372" s="1030">
        <v>495495.80459312652</v>
      </c>
      <c r="M1372" s="979">
        <v>599</v>
      </c>
    </row>
    <row r="1373" spans="1:13" ht="15">
      <c r="A1373" s="979" t="s">
        <v>3610</v>
      </c>
      <c r="B1373" s="722" t="str">
        <f>CONCATENATE(LEFT(RIGHT(CONCATENATE("000",IFAData_TEA!A1373),6),3),"-",(RIGHT(RIGHT(CONCATENATE("000",IFAData_TEA!A1373),6),3)))</f>
        <v>129-902</v>
      </c>
      <c r="C1373" s="979" t="s">
        <v>111</v>
      </c>
      <c r="D1373" s="979">
        <v>10</v>
      </c>
      <c r="E1373" s="979">
        <v>1819</v>
      </c>
      <c r="F1373" s="979" t="s">
        <v>5110</v>
      </c>
      <c r="G1373" s="979" t="s">
        <v>5110</v>
      </c>
      <c r="H1373" s="1030">
        <v>2007613</v>
      </c>
      <c r="I1373" s="1030">
        <v>2397612</v>
      </c>
      <c r="J1373" s="1034">
        <v>0.86991030999651686</v>
      </c>
      <c r="K1373" s="1030">
        <v>1746443.2471830372</v>
      </c>
      <c r="L1373" s="1030">
        <v>1746443.2471830372</v>
      </c>
      <c r="M1373" s="979">
        <v>599</v>
      </c>
    </row>
    <row r="1374" spans="1:13" ht="15">
      <c r="A1374" s="979" t="s">
        <v>3610</v>
      </c>
      <c r="B1374" s="722" t="str">
        <f>CONCATENATE(LEFT(RIGHT(CONCATENATE("000",IFAData_TEA!A1374),6),3),"-",(RIGHT(RIGHT(CONCATENATE("000",IFAData_TEA!A1374),6),3)))</f>
        <v>129-902</v>
      </c>
      <c r="C1374" s="979" t="s">
        <v>111</v>
      </c>
      <c r="D1374" s="979">
        <v>9</v>
      </c>
      <c r="E1374" s="979">
        <v>1818</v>
      </c>
      <c r="F1374" s="979" t="s">
        <v>5109</v>
      </c>
      <c r="G1374" s="979" t="s">
        <v>5109</v>
      </c>
      <c r="H1374" s="1030">
        <v>1954750</v>
      </c>
      <c r="I1374" s="1030">
        <v>2130250</v>
      </c>
      <c r="J1374" s="1034">
        <v>0.93115302993546079</v>
      </c>
      <c r="K1374" s="1030">
        <v>1820171.385266342</v>
      </c>
      <c r="L1374" s="1030">
        <v>1820171.385266342</v>
      </c>
      <c r="M1374" s="979">
        <v>599</v>
      </c>
    </row>
    <row r="1375" spans="1:13" ht="15">
      <c r="A1375" s="979" t="s">
        <v>3610</v>
      </c>
      <c r="B1375" s="722" t="str">
        <f>CONCATENATE(LEFT(RIGHT(CONCATENATE("000",IFAData_TEA!A1375),6),3),"-",(RIGHT(RIGHT(CONCATENATE("000",IFAData_TEA!A1375),6),3)))</f>
        <v>129-902</v>
      </c>
      <c r="C1375" s="979" t="s">
        <v>111</v>
      </c>
      <c r="D1375" s="979">
        <v>1</v>
      </c>
      <c r="E1375" s="979">
        <v>1817</v>
      </c>
      <c r="F1375" s="979" t="s">
        <v>5105</v>
      </c>
      <c r="G1375" s="979" t="s">
        <v>6285</v>
      </c>
      <c r="H1375" s="1030">
        <v>553750</v>
      </c>
      <c r="I1375" s="1030">
        <v>26421</v>
      </c>
      <c r="J1375" s="1034">
        <v>3.6260008179465147E-2</v>
      </c>
      <c r="K1375" s="1030">
        <v>20078.979529378827</v>
      </c>
      <c r="L1375" s="1030">
        <v>20078.979529378827</v>
      </c>
      <c r="M1375" s="979">
        <v>599</v>
      </c>
    </row>
    <row r="1376" spans="1:13" ht="15">
      <c r="A1376" s="979" t="s">
        <v>3610</v>
      </c>
      <c r="B1376" s="722" t="str">
        <f>CONCATENATE(LEFT(RIGHT(CONCATENATE("000",IFAData_TEA!A1376),6),3),"-",(RIGHT(RIGHT(CONCATENATE("000",IFAData_TEA!A1376),6),3)))</f>
        <v>129-902</v>
      </c>
      <c r="C1376" s="979" t="s">
        <v>111</v>
      </c>
      <c r="D1376" s="979">
        <v>10</v>
      </c>
      <c r="E1376" s="979">
        <v>1819</v>
      </c>
      <c r="F1376" s="979" t="s">
        <v>5110</v>
      </c>
      <c r="G1376" s="979" t="s">
        <v>6285</v>
      </c>
      <c r="H1376" s="1030">
        <v>2007613</v>
      </c>
      <c r="I1376" s="1030">
        <v>358548</v>
      </c>
      <c r="J1376" s="1034">
        <v>0.13008969000348311</v>
      </c>
      <c r="K1376" s="1030">
        <v>261169.75281696275</v>
      </c>
      <c r="L1376" s="1030">
        <v>261169.75281696275</v>
      </c>
      <c r="M1376" s="979">
        <v>599</v>
      </c>
    </row>
    <row r="1377" spans="1:13" ht="15">
      <c r="A1377" s="979" t="s">
        <v>3611</v>
      </c>
      <c r="B1377" s="722" t="str">
        <f>CONCATENATE(LEFT(RIGHT(CONCATENATE("000",IFAData_TEA!A1377),6),3),"-",(RIGHT(RIGHT(CONCATENATE("000",IFAData_TEA!A1377),6),3)))</f>
        <v>129-903</v>
      </c>
      <c r="C1377" s="979" t="s">
        <v>411</v>
      </c>
      <c r="D1377" s="979">
        <v>3</v>
      </c>
      <c r="E1377" s="979">
        <v>1947</v>
      </c>
      <c r="F1377" s="979" t="s">
        <v>5112</v>
      </c>
      <c r="G1377" s="979" t="s">
        <v>5114</v>
      </c>
      <c r="H1377" s="1030">
        <v>709521</v>
      </c>
      <c r="I1377" s="1030">
        <v>763896</v>
      </c>
      <c r="J1377" s="1034">
        <v>0.93921446882280979</v>
      </c>
      <c r="K1377" s="1030">
        <v>666392.38913362881</v>
      </c>
      <c r="L1377" s="1030">
        <v>666392.38913362881</v>
      </c>
      <c r="M1377" s="979">
        <v>599</v>
      </c>
    </row>
    <row r="1378" spans="1:13" ht="15">
      <c r="A1378" s="979" t="s">
        <v>3611</v>
      </c>
      <c r="B1378" s="722" t="str">
        <f>CONCATENATE(LEFT(RIGHT(CONCATENATE("000",IFAData_TEA!A1378),6),3),"-",(RIGHT(RIGHT(CONCATENATE("000",IFAData_TEA!A1378),6),3)))</f>
        <v>129-903</v>
      </c>
      <c r="C1378" s="979" t="s">
        <v>411</v>
      </c>
      <c r="D1378" s="979">
        <v>6</v>
      </c>
      <c r="E1378" s="979">
        <v>1948</v>
      </c>
      <c r="F1378" s="979" t="s">
        <v>5113</v>
      </c>
      <c r="G1378" s="979" t="s">
        <v>5114</v>
      </c>
      <c r="H1378" s="1030">
        <v>812500</v>
      </c>
      <c r="I1378" s="1030">
        <v>526406</v>
      </c>
      <c r="J1378" s="1034">
        <v>0.42817948519812432</v>
      </c>
      <c r="K1378" s="1030">
        <v>347895.831723476</v>
      </c>
      <c r="L1378" s="1030">
        <v>347895.831723476</v>
      </c>
      <c r="M1378" s="979">
        <v>599</v>
      </c>
    </row>
    <row r="1379" spans="1:13" ht="15">
      <c r="A1379" s="979" t="s">
        <v>3611</v>
      </c>
      <c r="B1379" s="722" t="str">
        <f>CONCATENATE(LEFT(RIGHT(CONCATENATE("000",IFAData_TEA!A1379),6),3),"-",(RIGHT(RIGHT(CONCATENATE("000",IFAData_TEA!A1379),6),3)))</f>
        <v>129-903</v>
      </c>
      <c r="C1379" s="979" t="s">
        <v>411</v>
      </c>
      <c r="D1379" s="979">
        <v>3</v>
      </c>
      <c r="E1379" s="979">
        <v>1947</v>
      </c>
      <c r="F1379" s="979" t="s">
        <v>5112</v>
      </c>
      <c r="G1379" s="979" t="s">
        <v>6286</v>
      </c>
      <c r="H1379" s="1030">
        <v>709521</v>
      </c>
      <c r="I1379" s="1030">
        <v>15211</v>
      </c>
      <c r="J1379" s="1034">
        <v>1.8702010856535129E-2</v>
      </c>
      <c r="K1379" s="1030">
        <v>13269.469444939661</v>
      </c>
      <c r="L1379" s="1030">
        <v>13269.469444939661</v>
      </c>
      <c r="M1379" s="979">
        <v>599</v>
      </c>
    </row>
    <row r="1380" spans="1:13" ht="15">
      <c r="A1380" s="979" t="s">
        <v>3611</v>
      </c>
      <c r="B1380" s="722" t="str">
        <f>CONCATENATE(LEFT(RIGHT(CONCATENATE("000",IFAData_TEA!A1380),6),3),"-",(RIGHT(RIGHT(CONCATENATE("000",IFAData_TEA!A1380),6),3)))</f>
        <v>129-903</v>
      </c>
      <c r="C1380" s="979" t="s">
        <v>411</v>
      </c>
      <c r="D1380" s="979">
        <v>6</v>
      </c>
      <c r="E1380" s="979">
        <v>1948</v>
      </c>
      <c r="F1380" s="979" t="s">
        <v>5113</v>
      </c>
      <c r="G1380" s="979" t="s">
        <v>6286</v>
      </c>
      <c r="H1380" s="1030">
        <v>812500</v>
      </c>
      <c r="I1380" s="1030">
        <v>24986</v>
      </c>
      <c r="J1380" s="1034">
        <v>2.032365249856638E-2</v>
      </c>
      <c r="K1380" s="1030">
        <v>16512.967655085184</v>
      </c>
      <c r="L1380" s="1030">
        <v>16512.967655085184</v>
      </c>
      <c r="M1380" s="979">
        <v>599</v>
      </c>
    </row>
    <row r="1381" spans="1:13" ht="15">
      <c r="A1381" s="979" t="s">
        <v>3611</v>
      </c>
      <c r="B1381" s="722" t="str">
        <f>CONCATENATE(LEFT(RIGHT(CONCATENATE("000",IFAData_TEA!A1381),6),3),"-",(RIGHT(RIGHT(CONCATENATE("000",IFAData_TEA!A1381),6),3)))</f>
        <v>129-903</v>
      </c>
      <c r="C1381" s="979" t="s">
        <v>411</v>
      </c>
      <c r="D1381" s="979">
        <v>3</v>
      </c>
      <c r="E1381" s="979">
        <v>1947</v>
      </c>
      <c r="F1381" s="979" t="s">
        <v>5112</v>
      </c>
      <c r="G1381" s="979" t="s">
        <v>5113</v>
      </c>
      <c r="H1381" s="1030">
        <v>709521</v>
      </c>
      <c r="I1381" s="1030">
        <v>34228</v>
      </c>
      <c r="J1381" s="1034">
        <v>4.2083520320655078E-2</v>
      </c>
      <c r="K1381" s="1030">
        <v>29859.141421431512</v>
      </c>
      <c r="L1381" s="1030">
        <v>29859.141421431512</v>
      </c>
      <c r="M1381" s="979">
        <v>599</v>
      </c>
    </row>
    <row r="1382" spans="1:13" ht="15">
      <c r="A1382" s="979" t="s">
        <v>3611</v>
      </c>
      <c r="B1382" s="722" t="str">
        <f>CONCATENATE(LEFT(RIGHT(CONCATENATE("000",IFAData_TEA!A1382),6),3),"-",(RIGHT(RIGHT(CONCATENATE("000",IFAData_TEA!A1382),6),3)))</f>
        <v>129-903</v>
      </c>
      <c r="C1382" s="979" t="s">
        <v>411</v>
      </c>
      <c r="D1382" s="979">
        <v>3</v>
      </c>
      <c r="E1382" s="979">
        <v>1947</v>
      </c>
      <c r="F1382" s="979" t="s">
        <v>5112</v>
      </c>
      <c r="G1382" s="979" t="s">
        <v>5112</v>
      </c>
      <c r="H1382" s="1030">
        <v>709521</v>
      </c>
      <c r="I1382" s="1030">
        <v>0</v>
      </c>
      <c r="J1382" s="1034">
        <v>0</v>
      </c>
      <c r="K1382" s="1030">
        <v>0</v>
      </c>
      <c r="L1382" s="1030">
        <v>0</v>
      </c>
      <c r="M1382" s="979">
        <v>199</v>
      </c>
    </row>
    <row r="1383" spans="1:13" ht="15">
      <c r="A1383" s="979" t="s">
        <v>3611</v>
      </c>
      <c r="B1383" s="722" t="str">
        <f>CONCATENATE(LEFT(RIGHT(CONCATENATE("000",IFAData_TEA!A1383),6),3),"-",(RIGHT(RIGHT(CONCATENATE("000",IFAData_TEA!A1383),6),3)))</f>
        <v>129-903</v>
      </c>
      <c r="C1383" s="979" t="s">
        <v>411</v>
      </c>
      <c r="D1383" s="979">
        <v>6</v>
      </c>
      <c r="E1383" s="979">
        <v>1948</v>
      </c>
      <c r="F1383" s="979" t="s">
        <v>5113</v>
      </c>
      <c r="G1383" s="979" t="s">
        <v>5113</v>
      </c>
      <c r="H1383" s="1030">
        <v>812500</v>
      </c>
      <c r="I1383" s="1030">
        <v>678013</v>
      </c>
      <c r="J1383" s="1034">
        <v>0.5514968623033093</v>
      </c>
      <c r="K1383" s="1030">
        <v>448091.20062143879</v>
      </c>
      <c r="L1383" s="1030">
        <v>448091.20062143879</v>
      </c>
      <c r="M1383" s="979">
        <v>599</v>
      </c>
    </row>
    <row r="1384" spans="1:13" ht="15">
      <c r="A1384" s="979" t="s">
        <v>3612</v>
      </c>
      <c r="B1384" s="722" t="str">
        <f>CONCATENATE(LEFT(RIGHT(CONCATENATE("000",IFAData_TEA!A1384),6),3),"-",(RIGHT(RIGHT(CONCATENATE("000",IFAData_TEA!A1384),6),3)))</f>
        <v>129-904</v>
      </c>
      <c r="C1384" s="979" t="s">
        <v>413</v>
      </c>
      <c r="D1384" s="979">
        <v>9</v>
      </c>
      <c r="E1384" s="979">
        <v>1952</v>
      </c>
      <c r="F1384" s="979" t="s">
        <v>5118</v>
      </c>
      <c r="G1384" s="979" t="s">
        <v>6287</v>
      </c>
      <c r="H1384" s="1030">
        <v>395867</v>
      </c>
      <c r="I1384" s="1030">
        <v>205579</v>
      </c>
      <c r="J1384" s="1034">
        <v>0.16261485451761101</v>
      </c>
      <c r="K1384" s="1030">
        <v>64373.854613323121</v>
      </c>
      <c r="L1384" s="1030">
        <v>64373.854613323121</v>
      </c>
      <c r="M1384" s="979">
        <v>599</v>
      </c>
    </row>
    <row r="1385" spans="1:13" ht="15">
      <c r="A1385" s="979" t="s">
        <v>3612</v>
      </c>
      <c r="B1385" s="722" t="str">
        <f>CONCATENATE(LEFT(RIGHT(CONCATENATE("000",IFAData_TEA!A1385),6),3),"-",(RIGHT(RIGHT(CONCATENATE("000",IFAData_TEA!A1385),6),3)))</f>
        <v>129-904</v>
      </c>
      <c r="C1385" s="979" t="s">
        <v>413</v>
      </c>
      <c r="D1385" s="979">
        <v>9</v>
      </c>
      <c r="E1385" s="979">
        <v>1952</v>
      </c>
      <c r="F1385" s="979" t="s">
        <v>5118</v>
      </c>
      <c r="G1385" s="979" t="s">
        <v>6288</v>
      </c>
      <c r="H1385" s="1030">
        <v>395867</v>
      </c>
      <c r="I1385" s="1030">
        <v>370906</v>
      </c>
      <c r="J1385" s="1034">
        <v>0.29339001177021501</v>
      </c>
      <c r="K1385" s="1030">
        <v>116143.42378943971</v>
      </c>
      <c r="L1385" s="1030">
        <v>116143.42378943971</v>
      </c>
      <c r="M1385" s="979">
        <v>599</v>
      </c>
    </row>
    <row r="1386" spans="1:13" ht="15">
      <c r="A1386" s="979" t="s">
        <v>3612</v>
      </c>
      <c r="B1386" s="722" t="str">
        <f>CONCATENATE(LEFT(RIGHT(CONCATENATE("000",IFAData_TEA!A1386),6),3),"-",(RIGHT(RIGHT(CONCATENATE("000",IFAData_TEA!A1386),6),3)))</f>
        <v>129-904</v>
      </c>
      <c r="C1386" s="979" t="s">
        <v>413</v>
      </c>
      <c r="D1386" s="979">
        <v>3</v>
      </c>
      <c r="E1386" s="979">
        <v>1953</v>
      </c>
      <c r="F1386" s="979" t="s">
        <v>5115</v>
      </c>
      <c r="G1386" s="979" t="s">
        <v>5117</v>
      </c>
      <c r="H1386" s="1030">
        <v>438984</v>
      </c>
      <c r="I1386" s="1030">
        <v>602375</v>
      </c>
      <c r="J1386" s="1034">
        <v>1</v>
      </c>
      <c r="K1386" s="1030">
        <v>438984</v>
      </c>
      <c r="L1386" s="1030">
        <v>438984</v>
      </c>
      <c r="M1386" s="979">
        <v>599</v>
      </c>
    </row>
    <row r="1387" spans="1:13" ht="15">
      <c r="A1387" s="979" t="s">
        <v>3612</v>
      </c>
      <c r="B1387" s="722" t="str">
        <f>CONCATENATE(LEFT(RIGHT(CONCATENATE("000",IFAData_TEA!A1387),6),3),"-",(RIGHT(RIGHT(CONCATENATE("000",IFAData_TEA!A1387),6),3)))</f>
        <v>129-904</v>
      </c>
      <c r="C1387" s="979" t="s">
        <v>413</v>
      </c>
      <c r="D1387" s="979">
        <v>3</v>
      </c>
      <c r="E1387" s="979">
        <v>1953</v>
      </c>
      <c r="F1387" s="979" t="s">
        <v>5115</v>
      </c>
      <c r="G1387" s="979" t="s">
        <v>5116</v>
      </c>
      <c r="H1387" s="1030">
        <v>438984</v>
      </c>
      <c r="I1387" s="1030">
        <v>0</v>
      </c>
      <c r="J1387" s="1034">
        <v>0</v>
      </c>
      <c r="K1387" s="1030">
        <v>0</v>
      </c>
      <c r="L1387" s="1030">
        <v>0</v>
      </c>
      <c r="M1387" s="979">
        <v>599</v>
      </c>
    </row>
    <row r="1388" spans="1:13" ht="15">
      <c r="A1388" s="979" t="s">
        <v>3612</v>
      </c>
      <c r="B1388" s="722" t="str">
        <f>CONCATENATE(LEFT(RIGHT(CONCATENATE("000",IFAData_TEA!A1388),6),3),"-",(RIGHT(RIGHT(CONCATENATE("000",IFAData_TEA!A1388),6),3)))</f>
        <v>129-904</v>
      </c>
      <c r="C1388" s="979" t="s">
        <v>413</v>
      </c>
      <c r="D1388" s="979">
        <v>3</v>
      </c>
      <c r="E1388" s="979">
        <v>1953</v>
      </c>
      <c r="F1388" s="979" t="s">
        <v>5115</v>
      </c>
      <c r="G1388" s="979" t="s">
        <v>5115</v>
      </c>
      <c r="H1388" s="1030">
        <v>438984</v>
      </c>
      <c r="I1388" s="1030">
        <v>0</v>
      </c>
      <c r="J1388" s="1034">
        <v>0</v>
      </c>
      <c r="K1388" s="1030">
        <v>0</v>
      </c>
      <c r="L1388" s="1030">
        <v>0</v>
      </c>
      <c r="M1388" s="979">
        <v>599</v>
      </c>
    </row>
    <row r="1389" spans="1:13" ht="15">
      <c r="A1389" s="979" t="s">
        <v>3612</v>
      </c>
      <c r="B1389" s="722" t="str">
        <f>CONCATENATE(LEFT(RIGHT(CONCATENATE("000",IFAData_TEA!A1389),6),3),"-",(RIGHT(RIGHT(CONCATENATE("000",IFAData_TEA!A1389),6),3)))</f>
        <v>129-904</v>
      </c>
      <c r="C1389" s="979" t="s">
        <v>413</v>
      </c>
      <c r="D1389" s="979">
        <v>9</v>
      </c>
      <c r="E1389" s="979">
        <v>1952</v>
      </c>
      <c r="F1389" s="979" t="s">
        <v>5118</v>
      </c>
      <c r="G1389" s="979" t="s">
        <v>5118</v>
      </c>
      <c r="H1389" s="1030">
        <v>395867</v>
      </c>
      <c r="I1389" s="1030">
        <v>687723</v>
      </c>
      <c r="J1389" s="1034">
        <v>0.5439951337121739</v>
      </c>
      <c r="K1389" s="1030">
        <v>215349.72159723713</v>
      </c>
      <c r="L1389" s="1030">
        <v>215349.72159723713</v>
      </c>
      <c r="M1389" s="979">
        <v>599</v>
      </c>
    </row>
    <row r="1390" spans="1:13" ht="15">
      <c r="A1390" s="979" t="s">
        <v>3613</v>
      </c>
      <c r="B1390" s="722" t="str">
        <f>CONCATENATE(LEFT(RIGHT(CONCATENATE("000",IFAData_TEA!A1390),6),3),"-",(RIGHT(RIGHT(CONCATENATE("000",IFAData_TEA!A1390),6),3)))</f>
        <v>129-910</v>
      </c>
      <c r="C1390" s="979" t="s">
        <v>1246</v>
      </c>
      <c r="D1390" s="979">
        <v>6</v>
      </c>
      <c r="E1390" s="979">
        <v>2322</v>
      </c>
      <c r="F1390" s="979" t="s">
        <v>5120</v>
      </c>
      <c r="G1390" s="979" t="s">
        <v>5121</v>
      </c>
      <c r="H1390" s="1030">
        <v>186248</v>
      </c>
      <c r="I1390" s="1030">
        <v>249178</v>
      </c>
      <c r="J1390" s="1034">
        <v>0.41819335262249852</v>
      </c>
      <c r="K1390" s="1030">
        <v>77887.675539235104</v>
      </c>
      <c r="L1390" s="1030">
        <v>77887.675539235104</v>
      </c>
      <c r="M1390" s="979">
        <v>599</v>
      </c>
    </row>
    <row r="1391" spans="1:13" ht="15">
      <c r="A1391" s="979" t="s">
        <v>3613</v>
      </c>
      <c r="B1391" s="722" t="str">
        <f>CONCATENATE(LEFT(RIGHT(CONCATENATE("000",IFAData_TEA!A1391),6),3),"-",(RIGHT(RIGHT(CONCATENATE("000",IFAData_TEA!A1391),6),3)))</f>
        <v>129-910</v>
      </c>
      <c r="C1391" s="979" t="s">
        <v>1246</v>
      </c>
      <c r="D1391" s="979">
        <v>6</v>
      </c>
      <c r="E1391" s="979">
        <v>2322</v>
      </c>
      <c r="F1391" s="979" t="s">
        <v>5120</v>
      </c>
      <c r="G1391" s="979" t="s">
        <v>5122</v>
      </c>
      <c r="H1391" s="1030">
        <v>186248</v>
      </c>
      <c r="I1391" s="1030">
        <v>36173</v>
      </c>
      <c r="J1391" s="1034">
        <v>6.0708843254274607E-2</v>
      </c>
      <c r="K1391" s="1030">
        <v>11306.900638422137</v>
      </c>
      <c r="L1391" s="1030">
        <v>11306.900638422137</v>
      </c>
      <c r="M1391" s="979">
        <v>599</v>
      </c>
    </row>
    <row r="1392" spans="1:13" ht="15">
      <c r="A1392" s="979" t="s">
        <v>3613</v>
      </c>
      <c r="B1392" s="722" t="str">
        <f>CONCATENATE(LEFT(RIGHT(CONCATENATE("000",IFAData_TEA!A1392),6),3),"-",(RIGHT(RIGHT(CONCATENATE("000",IFAData_TEA!A1392),6),3)))</f>
        <v>129-910</v>
      </c>
      <c r="C1392" s="979" t="s">
        <v>1246</v>
      </c>
      <c r="D1392" s="979">
        <v>2</v>
      </c>
      <c r="E1392" s="979">
        <v>2321</v>
      </c>
      <c r="F1392" s="979" t="s">
        <v>5119</v>
      </c>
      <c r="G1392" s="979" t="s">
        <v>5119</v>
      </c>
      <c r="H1392" s="1030">
        <v>170846</v>
      </c>
      <c r="I1392" s="1030">
        <v>0</v>
      </c>
      <c r="J1392" s="1034">
        <v>0</v>
      </c>
      <c r="K1392" s="1030"/>
      <c r="L1392" s="1030">
        <v>0</v>
      </c>
      <c r="M1392" s="979">
        <v>199</v>
      </c>
    </row>
    <row r="1393" spans="1:13" ht="15">
      <c r="A1393" s="979" t="s">
        <v>3613</v>
      </c>
      <c r="B1393" s="722" t="str">
        <f>CONCATENATE(LEFT(RIGHT(CONCATENATE("000",IFAData_TEA!A1393),6),3),"-",(RIGHT(RIGHT(CONCATENATE("000",IFAData_TEA!A1393),6),3)))</f>
        <v>129-910</v>
      </c>
      <c r="C1393" s="979" t="s">
        <v>1246</v>
      </c>
      <c r="D1393" s="979">
        <v>6</v>
      </c>
      <c r="E1393" s="979">
        <v>2322</v>
      </c>
      <c r="F1393" s="979" t="s">
        <v>5120</v>
      </c>
      <c r="G1393" s="979" t="s">
        <v>5120</v>
      </c>
      <c r="H1393" s="1030">
        <v>186248</v>
      </c>
      <c r="I1393" s="1030">
        <v>310493</v>
      </c>
      <c r="J1393" s="1034">
        <v>0.52109780412322693</v>
      </c>
      <c r="K1393" s="1030">
        <v>97053.423822342767</v>
      </c>
      <c r="L1393" s="1030">
        <v>97053.423822342767</v>
      </c>
      <c r="M1393" s="979">
        <v>599</v>
      </c>
    </row>
    <row r="1394" spans="1:13" ht="15">
      <c r="A1394" s="979" t="s">
        <v>3614</v>
      </c>
      <c r="B1394" s="722" t="str">
        <f>CONCATENATE(LEFT(RIGHT(CONCATENATE("000",IFAData_TEA!A1394),6),3),"-",(RIGHT(RIGHT(CONCATENATE("000",IFAData_TEA!A1394),6),3)))</f>
        <v>133-901</v>
      </c>
      <c r="C1394" s="979" t="s">
        <v>659</v>
      </c>
      <c r="D1394" s="979">
        <v>6</v>
      </c>
      <c r="E1394" s="979">
        <v>1674</v>
      </c>
      <c r="F1394" s="979" t="s">
        <v>5123</v>
      </c>
      <c r="G1394" s="979" t="s">
        <v>5123</v>
      </c>
      <c r="H1394" s="1030">
        <v>140055</v>
      </c>
      <c r="I1394" s="1030">
        <v>0</v>
      </c>
      <c r="J1394" s="1034">
        <v>0</v>
      </c>
      <c r="K1394" s="1030">
        <v>0</v>
      </c>
      <c r="L1394" s="1030">
        <v>0</v>
      </c>
      <c r="M1394" s="979">
        <v>599</v>
      </c>
    </row>
    <row r="1395" spans="1:13" ht="15">
      <c r="A1395" s="979" t="s">
        <v>3614</v>
      </c>
      <c r="B1395" s="722" t="str">
        <f>CONCATENATE(LEFT(RIGHT(CONCATENATE("000",IFAData_TEA!A1395),6),3),"-",(RIGHT(RIGHT(CONCATENATE("000",IFAData_TEA!A1395),6),3)))</f>
        <v>133-901</v>
      </c>
      <c r="C1395" s="979" t="s">
        <v>659</v>
      </c>
      <c r="D1395" s="979">
        <v>6</v>
      </c>
      <c r="E1395" s="979">
        <v>1674</v>
      </c>
      <c r="F1395" s="979" t="s">
        <v>5123</v>
      </c>
      <c r="G1395" s="979" t="s">
        <v>5124</v>
      </c>
      <c r="H1395" s="1030">
        <v>140055</v>
      </c>
      <c r="I1395" s="1030">
        <v>129875</v>
      </c>
      <c r="J1395" s="1034">
        <v>1</v>
      </c>
      <c r="K1395" s="1030">
        <v>140055</v>
      </c>
      <c r="L1395" s="1030">
        <v>129875</v>
      </c>
      <c r="M1395" s="979">
        <v>599</v>
      </c>
    </row>
    <row r="1396" spans="1:13" ht="15">
      <c r="A1396" s="979" t="s">
        <v>3615</v>
      </c>
      <c r="B1396" s="722" t="str">
        <f>CONCATENATE(LEFT(RIGHT(CONCATENATE("000",IFAData_TEA!A1396),6),3),"-",(RIGHT(RIGHT(CONCATENATE("000",IFAData_TEA!A1396),6),3)))</f>
        <v>137-901</v>
      </c>
      <c r="C1396" s="979" t="s">
        <v>2016</v>
      </c>
      <c r="D1396" s="979">
        <v>9</v>
      </c>
      <c r="E1396" s="979">
        <v>1960</v>
      </c>
      <c r="F1396" s="979" t="s">
        <v>5128</v>
      </c>
      <c r="G1396" s="979" t="s">
        <v>6289</v>
      </c>
      <c r="H1396" s="1030">
        <v>889358</v>
      </c>
      <c r="I1396" s="1030">
        <v>204749</v>
      </c>
      <c r="J1396" s="1034">
        <v>9.1946688174138674E-2</v>
      </c>
      <c r="K1396" s="1030">
        <v>81773.522701175621</v>
      </c>
      <c r="L1396" s="1030">
        <v>81773.522701175621</v>
      </c>
      <c r="M1396" s="979">
        <v>599</v>
      </c>
    </row>
    <row r="1397" spans="1:13" ht="15">
      <c r="A1397" s="979" t="s">
        <v>3615</v>
      </c>
      <c r="B1397" s="722" t="str">
        <f>CONCATENATE(LEFT(RIGHT(CONCATENATE("000",IFAData_TEA!A1397),6),3),"-",(RIGHT(RIGHT(CONCATENATE("000",IFAData_TEA!A1397),6),3)))</f>
        <v>137-901</v>
      </c>
      <c r="C1397" s="979" t="s">
        <v>2016</v>
      </c>
      <c r="D1397" s="979">
        <v>9</v>
      </c>
      <c r="E1397" s="979">
        <v>1960</v>
      </c>
      <c r="F1397" s="979" t="s">
        <v>5128</v>
      </c>
      <c r="G1397" s="979" t="s">
        <v>6290</v>
      </c>
      <c r="H1397" s="1030">
        <v>889358</v>
      </c>
      <c r="I1397" s="1030">
        <v>428412</v>
      </c>
      <c r="J1397" s="1034">
        <v>0.19238709138535035</v>
      </c>
      <c r="K1397" s="1030">
        <v>171100.99882029241</v>
      </c>
      <c r="L1397" s="1030">
        <v>171100.99882029241</v>
      </c>
      <c r="M1397" s="979">
        <v>599</v>
      </c>
    </row>
    <row r="1398" spans="1:13" ht="15">
      <c r="A1398" s="979" t="s">
        <v>3615</v>
      </c>
      <c r="B1398" s="722" t="str">
        <f>CONCATENATE(LEFT(RIGHT(CONCATENATE("000",IFAData_TEA!A1398),6),3),"-",(RIGHT(RIGHT(CONCATENATE("000",IFAData_TEA!A1398),6),3)))</f>
        <v>137-901</v>
      </c>
      <c r="C1398" s="979" t="s">
        <v>2016</v>
      </c>
      <c r="D1398" s="979">
        <v>6</v>
      </c>
      <c r="E1398" s="979">
        <v>1961</v>
      </c>
      <c r="F1398" s="979" t="s">
        <v>5125</v>
      </c>
      <c r="G1398" s="979" t="s">
        <v>5126</v>
      </c>
      <c r="H1398" s="1030">
        <v>1060285</v>
      </c>
      <c r="I1398" s="1030">
        <v>438950</v>
      </c>
      <c r="J1398" s="1034">
        <v>0.35888316572643286</v>
      </c>
      <c r="K1398" s="1030">
        <v>380518.43737225089</v>
      </c>
      <c r="L1398" s="1030">
        <v>380518.43737225089</v>
      </c>
      <c r="M1398" s="979">
        <v>599</v>
      </c>
    </row>
    <row r="1399" spans="1:13" ht="15">
      <c r="A1399" s="979" t="s">
        <v>3615</v>
      </c>
      <c r="B1399" s="722" t="str">
        <f>CONCATENATE(LEFT(RIGHT(CONCATENATE("000",IFAData_TEA!A1399),6),3),"-",(RIGHT(RIGHT(CONCATENATE("000",IFAData_TEA!A1399),6),3)))</f>
        <v>137-901</v>
      </c>
      <c r="C1399" s="979" t="s">
        <v>2016</v>
      </c>
      <c r="D1399" s="979">
        <v>10</v>
      </c>
      <c r="E1399" s="979">
        <v>1959</v>
      </c>
      <c r="F1399" s="979" t="s">
        <v>5129</v>
      </c>
      <c r="G1399" s="979" t="s">
        <v>5129</v>
      </c>
      <c r="H1399" s="1030">
        <v>861411</v>
      </c>
      <c r="I1399" s="1030">
        <v>860625</v>
      </c>
      <c r="J1399" s="1034">
        <v>1</v>
      </c>
      <c r="K1399" s="1030">
        <v>861411</v>
      </c>
      <c r="L1399" s="1030">
        <v>860625</v>
      </c>
      <c r="M1399" s="979">
        <v>599</v>
      </c>
    </row>
    <row r="1400" spans="1:13" ht="15">
      <c r="A1400" s="979" t="s">
        <v>3615</v>
      </c>
      <c r="B1400" s="722" t="str">
        <f>CONCATENATE(LEFT(RIGHT(CONCATENATE("000",IFAData_TEA!A1400),6),3),"-",(RIGHT(RIGHT(CONCATENATE("000",IFAData_TEA!A1400),6),3)))</f>
        <v>137-901</v>
      </c>
      <c r="C1400" s="979" t="s">
        <v>2016</v>
      </c>
      <c r="D1400" s="979">
        <v>6</v>
      </c>
      <c r="E1400" s="979">
        <v>1961</v>
      </c>
      <c r="F1400" s="979" t="s">
        <v>5125</v>
      </c>
      <c r="G1400" s="979" t="s">
        <v>5127</v>
      </c>
      <c r="H1400" s="1030">
        <v>1060285</v>
      </c>
      <c r="I1400" s="1030">
        <v>784150</v>
      </c>
      <c r="J1400" s="1034">
        <v>0.64111683427356714</v>
      </c>
      <c r="K1400" s="1030">
        <v>679766.56262774917</v>
      </c>
      <c r="L1400" s="1030">
        <v>679766.56262774917</v>
      </c>
      <c r="M1400" s="979">
        <v>599</v>
      </c>
    </row>
    <row r="1401" spans="1:13" ht="15">
      <c r="A1401" s="979" t="s">
        <v>3615</v>
      </c>
      <c r="B1401" s="722" t="str">
        <f>CONCATENATE(LEFT(RIGHT(CONCATENATE("000",IFAData_TEA!A1401),6),3),"-",(RIGHT(RIGHT(CONCATENATE("000",IFAData_TEA!A1401),6),3)))</f>
        <v>137-901</v>
      </c>
      <c r="C1401" s="979" t="s">
        <v>2016</v>
      </c>
      <c r="D1401" s="979">
        <v>6</v>
      </c>
      <c r="E1401" s="979">
        <v>1961</v>
      </c>
      <c r="F1401" s="979" t="s">
        <v>5125</v>
      </c>
      <c r="G1401" s="979" t="s">
        <v>5125</v>
      </c>
      <c r="H1401" s="1030">
        <v>1060285</v>
      </c>
      <c r="I1401" s="1030">
        <v>0</v>
      </c>
      <c r="J1401" s="1034">
        <v>0</v>
      </c>
      <c r="K1401" s="1030">
        <v>0</v>
      </c>
      <c r="L1401" s="1030">
        <v>0</v>
      </c>
      <c r="M1401" s="979">
        <v>599</v>
      </c>
    </row>
    <row r="1402" spans="1:13" ht="15">
      <c r="A1402" s="979" t="s">
        <v>3615</v>
      </c>
      <c r="B1402" s="722" t="str">
        <f>CONCATENATE(LEFT(RIGHT(CONCATENATE("000",IFAData_TEA!A1402),6),3),"-",(RIGHT(RIGHT(CONCATENATE("000",IFAData_TEA!A1402),6),3)))</f>
        <v>137-901</v>
      </c>
      <c r="C1402" s="979" t="s">
        <v>2016</v>
      </c>
      <c r="D1402" s="979">
        <v>9</v>
      </c>
      <c r="E1402" s="979">
        <v>1960</v>
      </c>
      <c r="F1402" s="979" t="s">
        <v>5128</v>
      </c>
      <c r="G1402" s="979" t="s">
        <v>5128</v>
      </c>
      <c r="H1402" s="1030">
        <v>889358</v>
      </c>
      <c r="I1402" s="1030">
        <v>1593662</v>
      </c>
      <c r="J1402" s="1034">
        <v>0.71566622044051098</v>
      </c>
      <c r="K1402" s="1030">
        <v>636483.47847853194</v>
      </c>
      <c r="L1402" s="1030">
        <v>636483.47847853194</v>
      </c>
      <c r="M1402" s="979">
        <v>599</v>
      </c>
    </row>
    <row r="1403" spans="1:13" ht="15">
      <c r="A1403" s="979" t="s">
        <v>3616</v>
      </c>
      <c r="B1403" s="722" t="str">
        <f>CONCATENATE(LEFT(RIGHT(CONCATENATE("000",IFAData_TEA!A1403),6),3),"-",(RIGHT(RIGHT(CONCATENATE("000",IFAData_TEA!A1403),6),3)))</f>
        <v>138-902</v>
      </c>
      <c r="C1403" s="979" t="s">
        <v>1691</v>
      </c>
      <c r="D1403" s="979">
        <v>6</v>
      </c>
      <c r="E1403" s="979">
        <v>1971</v>
      </c>
      <c r="F1403" s="979" t="s">
        <v>5130</v>
      </c>
      <c r="G1403" s="979" t="s">
        <v>5130</v>
      </c>
      <c r="H1403" s="1030">
        <v>88605</v>
      </c>
      <c r="I1403" s="1030">
        <v>89465</v>
      </c>
      <c r="J1403" s="1034">
        <v>1</v>
      </c>
      <c r="K1403" s="1030">
        <v>88605</v>
      </c>
      <c r="L1403" s="1030">
        <v>88605</v>
      </c>
      <c r="M1403" s="979">
        <v>599</v>
      </c>
    </row>
    <row r="1404" spans="1:13" ht="15">
      <c r="A1404" s="979" t="s">
        <v>3617</v>
      </c>
      <c r="B1404" s="722" t="str">
        <f>CONCATENATE(LEFT(RIGHT(CONCATENATE("000",IFAData_TEA!A1404),6),3),"-",(RIGHT(RIGHT(CONCATENATE("000",IFAData_TEA!A1404),6),3)))</f>
        <v>139-908</v>
      </c>
      <c r="C1404" s="979" t="s">
        <v>612</v>
      </c>
      <c r="D1404" s="979">
        <v>4</v>
      </c>
      <c r="E1404" s="979">
        <v>2267</v>
      </c>
      <c r="F1404" s="979" t="s">
        <v>5131</v>
      </c>
      <c r="G1404" s="979" t="s">
        <v>5132</v>
      </c>
      <c r="H1404" s="1030">
        <v>84250</v>
      </c>
      <c r="I1404" s="1030">
        <v>75544</v>
      </c>
      <c r="J1404" s="1034">
        <v>1</v>
      </c>
      <c r="K1404" s="1030">
        <v>84250</v>
      </c>
      <c r="L1404" s="1030">
        <v>75544</v>
      </c>
      <c r="M1404" s="979">
        <v>599</v>
      </c>
    </row>
    <row r="1405" spans="1:13" ht="15">
      <c r="A1405" s="979" t="s">
        <v>3617</v>
      </c>
      <c r="B1405" s="722" t="str">
        <f>CONCATENATE(LEFT(RIGHT(CONCATENATE("000",IFAData_TEA!A1405),6),3),"-",(RIGHT(RIGHT(CONCATENATE("000",IFAData_TEA!A1405),6),3)))</f>
        <v>139-908</v>
      </c>
      <c r="C1405" s="979" t="s">
        <v>612</v>
      </c>
      <c r="D1405" s="979">
        <v>4</v>
      </c>
      <c r="E1405" s="979">
        <v>2267</v>
      </c>
      <c r="F1405" s="979" t="s">
        <v>5131</v>
      </c>
      <c r="G1405" s="979" t="s">
        <v>5131</v>
      </c>
      <c r="H1405" s="1030">
        <v>84250</v>
      </c>
      <c r="I1405" s="1030">
        <v>0</v>
      </c>
      <c r="J1405" s="1034">
        <v>0</v>
      </c>
      <c r="K1405" s="1030">
        <v>0</v>
      </c>
      <c r="L1405" s="1030">
        <v>0</v>
      </c>
      <c r="M1405" s="979">
        <v>599</v>
      </c>
    </row>
    <row r="1406" spans="1:13" ht="15">
      <c r="A1406" s="979" t="s">
        <v>3618</v>
      </c>
      <c r="B1406" s="722" t="str">
        <f>CONCATENATE(LEFT(RIGHT(CONCATENATE("000",IFAData_TEA!A1406),6),3),"-",(RIGHT(RIGHT(CONCATENATE("000",IFAData_TEA!A1406),6),3)))</f>
        <v>139-909</v>
      </c>
      <c r="C1406" s="979" t="s">
        <v>198</v>
      </c>
      <c r="D1406" s="979">
        <v>1</v>
      </c>
      <c r="E1406" s="979">
        <v>2177</v>
      </c>
      <c r="F1406" s="979" t="s">
        <v>5133</v>
      </c>
      <c r="G1406" s="979" t="s">
        <v>6291</v>
      </c>
      <c r="H1406" s="1030">
        <v>824548</v>
      </c>
      <c r="I1406" s="1030">
        <v>3813</v>
      </c>
      <c r="J1406" s="1034">
        <v>1.0689924892974592E-2</v>
      </c>
      <c r="K1406" s="1030">
        <v>8814.3561906524137</v>
      </c>
      <c r="L1406" s="1030">
        <v>3813</v>
      </c>
      <c r="M1406" s="979">
        <v>599</v>
      </c>
    </row>
    <row r="1407" spans="1:13" ht="15">
      <c r="A1407" s="979" t="s">
        <v>3618</v>
      </c>
      <c r="B1407" s="722" t="str">
        <f>CONCATENATE(LEFT(RIGHT(CONCATENATE("000",IFAData_TEA!A1407),6),3),"-",(RIGHT(RIGHT(CONCATENATE("000",IFAData_TEA!A1407),6),3)))</f>
        <v>139-909</v>
      </c>
      <c r="C1407" s="979" t="s">
        <v>198</v>
      </c>
      <c r="D1407" s="979">
        <v>1</v>
      </c>
      <c r="E1407" s="979">
        <v>2177</v>
      </c>
      <c r="F1407" s="979" t="s">
        <v>5133</v>
      </c>
      <c r="G1407" s="979" t="s">
        <v>5136</v>
      </c>
      <c r="H1407" s="1030">
        <v>824548</v>
      </c>
      <c r="I1407" s="1030">
        <v>3358</v>
      </c>
      <c r="J1407" s="1034">
        <v>9.4143109862598155E-3</v>
      </c>
      <c r="K1407" s="1030">
        <v>7762.5512950985585</v>
      </c>
      <c r="L1407" s="1030">
        <v>3358</v>
      </c>
      <c r="M1407" s="979">
        <v>599</v>
      </c>
    </row>
    <row r="1408" spans="1:13" ht="15">
      <c r="A1408" s="979" t="s">
        <v>3618</v>
      </c>
      <c r="B1408" s="722" t="str">
        <f>CONCATENATE(LEFT(RIGHT(CONCATENATE("000",IFAData_TEA!A1408),6),3),"-",(RIGHT(RIGHT(CONCATENATE("000",IFAData_TEA!A1408),6),3)))</f>
        <v>139-909</v>
      </c>
      <c r="C1408" s="979" t="s">
        <v>198</v>
      </c>
      <c r="D1408" s="979">
        <v>1</v>
      </c>
      <c r="E1408" s="979">
        <v>2177</v>
      </c>
      <c r="F1408" s="979" t="s">
        <v>5133</v>
      </c>
      <c r="G1408" s="979" t="s">
        <v>5134</v>
      </c>
      <c r="H1408" s="1030">
        <v>824548</v>
      </c>
      <c r="I1408" s="1030">
        <v>322976</v>
      </c>
      <c r="J1408" s="1034">
        <v>0.90547841128595896</v>
      </c>
      <c r="K1408" s="1030">
        <v>746610.4130690149</v>
      </c>
      <c r="L1408" s="1030">
        <v>322976</v>
      </c>
      <c r="M1408" s="979">
        <v>599</v>
      </c>
    </row>
    <row r="1409" spans="1:13" ht="15">
      <c r="A1409" s="979" t="s">
        <v>3618</v>
      </c>
      <c r="B1409" s="722" t="str">
        <f>CONCATENATE(LEFT(RIGHT(CONCATENATE("000",IFAData_TEA!A1409),6),3),"-",(RIGHT(RIGHT(CONCATENATE("000",IFAData_TEA!A1409),6),3)))</f>
        <v>139-909</v>
      </c>
      <c r="C1409" s="979" t="s">
        <v>198</v>
      </c>
      <c r="D1409" s="979">
        <v>10</v>
      </c>
      <c r="E1409" s="979">
        <v>2175</v>
      </c>
      <c r="F1409" s="979" t="s">
        <v>5138</v>
      </c>
      <c r="G1409" s="979" t="s">
        <v>5138</v>
      </c>
      <c r="H1409" s="1030">
        <v>185701</v>
      </c>
      <c r="I1409" s="1030">
        <v>178750</v>
      </c>
      <c r="J1409" s="1034">
        <v>1</v>
      </c>
      <c r="K1409" s="1030">
        <v>185701</v>
      </c>
      <c r="L1409" s="1030">
        <v>178750</v>
      </c>
      <c r="M1409" s="979">
        <v>599</v>
      </c>
    </row>
    <row r="1410" spans="1:13" ht="15">
      <c r="A1410" s="979" t="s">
        <v>3618</v>
      </c>
      <c r="B1410" s="722" t="str">
        <f>CONCATENATE(LEFT(RIGHT(CONCATENATE("000",IFAData_TEA!A1410),6),3),"-",(RIGHT(RIGHT(CONCATENATE("000",IFAData_TEA!A1410),6),3)))</f>
        <v>139-909</v>
      </c>
      <c r="C1410" s="979" t="s">
        <v>198</v>
      </c>
      <c r="D1410" s="979">
        <v>1</v>
      </c>
      <c r="E1410" s="979">
        <v>2177</v>
      </c>
      <c r="F1410" s="979" t="s">
        <v>5133</v>
      </c>
      <c r="G1410" s="979" t="s">
        <v>5133</v>
      </c>
      <c r="H1410" s="1030">
        <v>824548</v>
      </c>
      <c r="I1410" s="1030">
        <v>0</v>
      </c>
      <c r="J1410" s="1034">
        <v>0</v>
      </c>
      <c r="K1410" s="1030">
        <v>0</v>
      </c>
      <c r="L1410" s="1030">
        <v>0</v>
      </c>
      <c r="M1410" s="979">
        <v>599</v>
      </c>
    </row>
    <row r="1411" spans="1:13" ht="15">
      <c r="A1411" s="979" t="s">
        <v>3618</v>
      </c>
      <c r="B1411" s="722" t="str">
        <f>CONCATENATE(LEFT(RIGHT(CONCATENATE("000",IFAData_TEA!A1411),6),3),"-",(RIGHT(RIGHT(CONCATENATE("000",IFAData_TEA!A1411),6),3)))</f>
        <v>139-909</v>
      </c>
      <c r="C1411" s="979" t="s">
        <v>198</v>
      </c>
      <c r="D1411" s="979">
        <v>10</v>
      </c>
      <c r="E1411" s="979">
        <v>2176</v>
      </c>
      <c r="F1411" s="979" t="s">
        <v>5137</v>
      </c>
      <c r="G1411" s="979" t="s">
        <v>5137</v>
      </c>
      <c r="H1411" s="1030">
        <v>493697</v>
      </c>
      <c r="I1411" s="1030">
        <v>498697</v>
      </c>
      <c r="J1411" s="1034">
        <v>1</v>
      </c>
      <c r="K1411" s="1030">
        <v>493697</v>
      </c>
      <c r="L1411" s="1030">
        <v>493697</v>
      </c>
      <c r="M1411" s="979">
        <v>599</v>
      </c>
    </row>
    <row r="1412" spans="1:13" ht="15">
      <c r="A1412" s="979" t="s">
        <v>3618</v>
      </c>
      <c r="B1412" s="722" t="str">
        <f>CONCATENATE(LEFT(RIGHT(CONCATENATE("000",IFAData_TEA!A1412),6),3),"-",(RIGHT(RIGHT(CONCATENATE("000",IFAData_TEA!A1412),6),3)))</f>
        <v>139-909</v>
      </c>
      <c r="C1412" s="979" t="s">
        <v>198</v>
      </c>
      <c r="D1412" s="979">
        <v>1</v>
      </c>
      <c r="E1412" s="979">
        <v>2177</v>
      </c>
      <c r="F1412" s="979" t="s">
        <v>5133</v>
      </c>
      <c r="G1412" s="979" t="s">
        <v>5135</v>
      </c>
      <c r="H1412" s="1030">
        <v>824548</v>
      </c>
      <c r="I1412" s="1030">
        <v>26544</v>
      </c>
      <c r="J1412" s="1034">
        <v>7.4417352834806591E-2</v>
      </c>
      <c r="K1412" s="1030">
        <v>61360.679445234106</v>
      </c>
      <c r="L1412" s="1030">
        <v>26544</v>
      </c>
      <c r="M1412" s="979">
        <v>599</v>
      </c>
    </row>
    <row r="1413" spans="1:13" ht="15">
      <c r="A1413" s="979" t="s">
        <v>3619</v>
      </c>
      <c r="B1413" s="722" t="str">
        <f>CONCATENATE(LEFT(RIGHT(CONCATENATE("000",IFAData_TEA!A1413),6),3),"-",(RIGHT(RIGHT(CONCATENATE("000",IFAData_TEA!A1413),6),3)))</f>
        <v>139-912</v>
      </c>
      <c r="C1413" s="979" t="s">
        <v>2101</v>
      </c>
      <c r="D1413" s="979">
        <v>6</v>
      </c>
      <c r="E1413" s="979">
        <v>2208</v>
      </c>
      <c r="F1413" s="979" t="s">
        <v>5139</v>
      </c>
      <c r="G1413" s="979" t="s">
        <v>5141</v>
      </c>
      <c r="H1413" s="1030">
        <v>229112</v>
      </c>
      <c r="I1413" s="1030">
        <v>80886</v>
      </c>
      <c r="J1413" s="1034">
        <v>0.23642028714399288</v>
      </c>
      <c r="K1413" s="1030">
        <v>54166.724828134495</v>
      </c>
      <c r="L1413" s="1030">
        <v>54166.724828134495</v>
      </c>
      <c r="M1413" s="979">
        <v>599</v>
      </c>
    </row>
    <row r="1414" spans="1:13" ht="15">
      <c r="A1414" s="979" t="s">
        <v>3619</v>
      </c>
      <c r="B1414" s="722" t="str">
        <f>CONCATENATE(LEFT(RIGHT(CONCATENATE("000",IFAData_TEA!A1414),6),3),"-",(RIGHT(RIGHT(CONCATENATE("000",IFAData_TEA!A1414),6),3)))</f>
        <v>139-912</v>
      </c>
      <c r="C1414" s="979" t="s">
        <v>2101</v>
      </c>
      <c r="D1414" s="979">
        <v>6</v>
      </c>
      <c r="E1414" s="979">
        <v>2208</v>
      </c>
      <c r="F1414" s="979" t="s">
        <v>5139</v>
      </c>
      <c r="G1414" s="979" t="s">
        <v>5140</v>
      </c>
      <c r="H1414" s="1030">
        <v>229112</v>
      </c>
      <c r="I1414" s="1030">
        <v>261242</v>
      </c>
      <c r="J1414" s="1034">
        <v>0.76357971285600712</v>
      </c>
      <c r="K1414" s="1030">
        <v>174945.27517186551</v>
      </c>
      <c r="L1414" s="1030">
        <v>174945.27517186551</v>
      </c>
      <c r="M1414" s="979">
        <v>599</v>
      </c>
    </row>
    <row r="1415" spans="1:13" ht="15">
      <c r="A1415" s="979" t="s">
        <v>3619</v>
      </c>
      <c r="B1415" s="722" t="str">
        <f>CONCATENATE(LEFT(RIGHT(CONCATENATE("000",IFAData_TEA!A1415),6),3),"-",(RIGHT(RIGHT(CONCATENATE("000",IFAData_TEA!A1415),6),3)))</f>
        <v>139-912</v>
      </c>
      <c r="C1415" s="979" t="s">
        <v>2101</v>
      </c>
      <c r="D1415" s="979">
        <v>6</v>
      </c>
      <c r="E1415" s="979">
        <v>2208</v>
      </c>
      <c r="F1415" s="979" t="s">
        <v>5139</v>
      </c>
      <c r="G1415" s="979" t="s">
        <v>5139</v>
      </c>
      <c r="H1415" s="1030">
        <v>229112</v>
      </c>
      <c r="I1415" s="1030">
        <v>0</v>
      </c>
      <c r="J1415" s="1034">
        <v>0</v>
      </c>
      <c r="K1415" s="1030">
        <v>0</v>
      </c>
      <c r="L1415" s="1030">
        <v>0</v>
      </c>
      <c r="M1415" s="979">
        <v>599</v>
      </c>
    </row>
    <row r="1416" spans="1:13" ht="15">
      <c r="A1416" s="979" t="s">
        <v>5142</v>
      </c>
      <c r="B1416" s="722" t="str">
        <f>CONCATENATE(LEFT(RIGHT(CONCATENATE("000",IFAData_TEA!A1416),6),3),"-",(RIGHT(RIGHT(CONCATENATE("000",IFAData_TEA!A1416),6),3)))</f>
        <v>140-905</v>
      </c>
      <c r="C1416" s="979" t="s">
        <v>826</v>
      </c>
      <c r="D1416" s="979">
        <v>2</v>
      </c>
      <c r="E1416" s="979">
        <v>2161</v>
      </c>
      <c r="F1416" s="979" t="s">
        <v>5143</v>
      </c>
      <c r="G1416" s="979" t="s">
        <v>5143</v>
      </c>
      <c r="H1416" s="1030">
        <v>187763</v>
      </c>
      <c r="I1416" s="1030">
        <v>0</v>
      </c>
      <c r="J1416" s="1034">
        <v>0</v>
      </c>
      <c r="K1416" s="1030">
        <v>0</v>
      </c>
      <c r="L1416" s="1030">
        <v>0</v>
      </c>
      <c r="M1416" s="979">
        <v>599</v>
      </c>
    </row>
    <row r="1417" spans="1:13" ht="15">
      <c r="A1417" s="979" t="s">
        <v>5142</v>
      </c>
      <c r="B1417" s="722" t="str">
        <f>CONCATENATE(LEFT(RIGHT(CONCATENATE("000",IFAData_TEA!A1417),6),3),"-",(RIGHT(RIGHT(CONCATENATE("000",IFAData_TEA!A1417),6),3)))</f>
        <v>140-905</v>
      </c>
      <c r="C1417" s="979" t="s">
        <v>826</v>
      </c>
      <c r="D1417" s="979">
        <v>2</v>
      </c>
      <c r="E1417" s="979">
        <v>2161</v>
      </c>
      <c r="F1417" s="979" t="s">
        <v>5143</v>
      </c>
      <c r="G1417" s="979" t="s">
        <v>5144</v>
      </c>
      <c r="H1417" s="1030">
        <v>187763</v>
      </c>
      <c r="I1417" s="1030">
        <v>184575</v>
      </c>
      <c r="J1417" s="1034">
        <v>1</v>
      </c>
      <c r="K1417" s="1030">
        <v>187763</v>
      </c>
      <c r="L1417" s="1030">
        <v>184575</v>
      </c>
      <c r="M1417" s="979">
        <v>599</v>
      </c>
    </row>
    <row r="1418" spans="1:13" ht="15">
      <c r="A1418" s="979" t="s">
        <v>3620</v>
      </c>
      <c r="B1418" s="722" t="str">
        <f>CONCATENATE(LEFT(RIGHT(CONCATENATE("000",IFAData_TEA!A1418),6),3),"-",(RIGHT(RIGHT(CONCATENATE("000",IFAData_TEA!A1418),6),3)))</f>
        <v>141-901</v>
      </c>
      <c r="C1418" s="979" t="s">
        <v>947</v>
      </c>
      <c r="D1418" s="979">
        <v>9</v>
      </c>
      <c r="E1418" s="979">
        <v>2002</v>
      </c>
      <c r="F1418" s="979" t="s">
        <v>5145</v>
      </c>
      <c r="G1418" s="979" t="s">
        <v>5147</v>
      </c>
      <c r="H1418" s="1030">
        <v>800000</v>
      </c>
      <c r="I1418" s="1030">
        <v>1122872</v>
      </c>
      <c r="J1418" s="1034">
        <v>0.48694508818917304</v>
      </c>
      <c r="K1418" s="1030">
        <v>389556.07055133843</v>
      </c>
      <c r="L1418" s="1030">
        <v>389556.07055133843</v>
      </c>
      <c r="M1418" s="979">
        <v>599</v>
      </c>
    </row>
    <row r="1419" spans="1:13" ht="15">
      <c r="A1419" s="979" t="s">
        <v>3620</v>
      </c>
      <c r="B1419" s="722" t="str">
        <f>CONCATENATE(LEFT(RIGHT(CONCATENATE("000",IFAData_TEA!A1419),6),3),"-",(RIGHT(RIGHT(CONCATENATE("000",IFAData_TEA!A1419),6),3)))</f>
        <v>141-901</v>
      </c>
      <c r="C1419" s="979" t="s">
        <v>947</v>
      </c>
      <c r="D1419" s="979">
        <v>9</v>
      </c>
      <c r="E1419" s="979">
        <v>2002</v>
      </c>
      <c r="F1419" s="979" t="s">
        <v>5145</v>
      </c>
      <c r="G1419" s="979" t="s">
        <v>5146</v>
      </c>
      <c r="H1419" s="1030">
        <v>800000</v>
      </c>
      <c r="I1419" s="1030">
        <v>273979</v>
      </c>
      <c r="J1419" s="1034">
        <v>0.11881383480662217</v>
      </c>
      <c r="K1419" s="1030">
        <v>95051.06784529773</v>
      </c>
      <c r="L1419" s="1030">
        <v>95051.06784529773</v>
      </c>
      <c r="M1419" s="979">
        <v>599</v>
      </c>
    </row>
    <row r="1420" spans="1:13" ht="15">
      <c r="A1420" s="979" t="s">
        <v>3620</v>
      </c>
      <c r="B1420" s="722" t="str">
        <f>CONCATENATE(LEFT(RIGHT(CONCATENATE("000",IFAData_TEA!A1420),6),3),"-",(RIGHT(RIGHT(CONCATENATE("000",IFAData_TEA!A1420),6),3)))</f>
        <v>141-901</v>
      </c>
      <c r="C1420" s="979" t="s">
        <v>947</v>
      </c>
      <c r="D1420" s="979">
        <v>9</v>
      </c>
      <c r="E1420" s="979">
        <v>2002</v>
      </c>
      <c r="F1420" s="979" t="s">
        <v>5145</v>
      </c>
      <c r="G1420" s="979" t="s">
        <v>5145</v>
      </c>
      <c r="H1420" s="1030">
        <v>800000</v>
      </c>
      <c r="I1420" s="1030">
        <v>909101</v>
      </c>
      <c r="J1420" s="1034">
        <v>0.3942410770042048</v>
      </c>
      <c r="K1420" s="1030">
        <v>315392.86160336382</v>
      </c>
      <c r="L1420" s="1030">
        <v>315392.86160336382</v>
      </c>
      <c r="M1420" s="979">
        <v>599</v>
      </c>
    </row>
    <row r="1421" spans="1:13" ht="15">
      <c r="A1421" s="979" t="s">
        <v>3621</v>
      </c>
      <c r="B1421" s="722" t="str">
        <f>CONCATENATE(LEFT(RIGHT(CONCATENATE("000",IFAData_TEA!A1421),6),3),"-",(RIGHT(RIGHT(CONCATENATE("000",IFAData_TEA!A1421),6),3)))</f>
        <v>142-901</v>
      </c>
      <c r="C1421" s="979" t="s">
        <v>1102</v>
      </c>
      <c r="D1421" s="979">
        <v>2</v>
      </c>
      <c r="E1421" s="979">
        <v>1726</v>
      </c>
      <c r="F1421" s="979" t="s">
        <v>5148</v>
      </c>
      <c r="G1421" s="979" t="s">
        <v>5148</v>
      </c>
      <c r="H1421" s="1030">
        <v>282771</v>
      </c>
      <c r="I1421" s="1030">
        <v>0</v>
      </c>
      <c r="J1421" s="1034">
        <v>0</v>
      </c>
      <c r="K1421" s="1030">
        <v>0</v>
      </c>
      <c r="L1421" s="1030">
        <v>0</v>
      </c>
      <c r="M1421" s="979">
        <v>599</v>
      </c>
    </row>
    <row r="1422" spans="1:13" ht="15">
      <c r="A1422" s="979" t="s">
        <v>3621</v>
      </c>
      <c r="B1422" s="722" t="str">
        <f>CONCATENATE(LEFT(RIGHT(CONCATENATE("000",IFAData_TEA!A1422),6),3),"-",(RIGHT(RIGHT(CONCATENATE("000",IFAData_TEA!A1422),6),3)))</f>
        <v>142-901</v>
      </c>
      <c r="C1422" s="979" t="s">
        <v>1102</v>
      </c>
      <c r="D1422" s="979">
        <v>2</v>
      </c>
      <c r="E1422" s="979">
        <v>1726</v>
      </c>
      <c r="F1422" s="979" t="s">
        <v>5148</v>
      </c>
      <c r="G1422" s="979" t="s">
        <v>5149</v>
      </c>
      <c r="H1422" s="1030">
        <v>282771</v>
      </c>
      <c r="I1422" s="1030">
        <v>235700</v>
      </c>
      <c r="J1422" s="1034">
        <v>1</v>
      </c>
      <c r="K1422" s="1030">
        <v>282771</v>
      </c>
      <c r="L1422" s="1030">
        <v>235700</v>
      </c>
      <c r="M1422" s="979">
        <v>599</v>
      </c>
    </row>
    <row r="1423" spans="1:13" ht="15">
      <c r="A1423" s="979" t="s">
        <v>3622</v>
      </c>
      <c r="B1423" s="722" t="str">
        <f>CONCATENATE(LEFT(RIGHT(CONCATENATE("000",IFAData_TEA!A1423),6),3),"-",(RIGHT(RIGHT(CONCATENATE("000",IFAData_TEA!A1423),6),3)))</f>
        <v>146-901</v>
      </c>
      <c r="C1423" s="979" t="s">
        <v>1164</v>
      </c>
      <c r="D1423" s="979">
        <v>5</v>
      </c>
      <c r="E1423" s="979">
        <v>1694</v>
      </c>
      <c r="F1423" s="979" t="s">
        <v>5150</v>
      </c>
      <c r="G1423" s="979" t="s">
        <v>5151</v>
      </c>
      <c r="H1423" s="1030">
        <v>754473</v>
      </c>
      <c r="I1423" s="1030">
        <v>165709</v>
      </c>
      <c r="J1423" s="1034">
        <v>0.14028940207959065</v>
      </c>
      <c r="K1423" s="1030">
        <v>105844.566055195</v>
      </c>
      <c r="L1423" s="1030">
        <v>105844.566055195</v>
      </c>
      <c r="M1423" s="979">
        <v>599</v>
      </c>
    </row>
    <row r="1424" spans="1:13" ht="15">
      <c r="A1424" s="979" t="s">
        <v>3622</v>
      </c>
      <c r="B1424" s="722" t="str">
        <f>CONCATENATE(LEFT(RIGHT(CONCATENATE("000",IFAData_TEA!A1424),6),3),"-",(RIGHT(RIGHT(CONCATENATE("000",IFAData_TEA!A1424),6),3)))</f>
        <v>146-901</v>
      </c>
      <c r="C1424" s="979" t="s">
        <v>1164</v>
      </c>
      <c r="D1424" s="979">
        <v>5</v>
      </c>
      <c r="E1424" s="979">
        <v>1694</v>
      </c>
      <c r="F1424" s="979" t="s">
        <v>5150</v>
      </c>
      <c r="G1424" s="979" t="s">
        <v>5150</v>
      </c>
      <c r="H1424" s="1030">
        <v>754473</v>
      </c>
      <c r="I1424" s="1030">
        <v>0</v>
      </c>
      <c r="J1424" s="1034">
        <v>0</v>
      </c>
      <c r="K1424" s="1030">
        <v>0</v>
      </c>
      <c r="L1424" s="1030">
        <v>0</v>
      </c>
      <c r="M1424" s="979">
        <v>599</v>
      </c>
    </row>
    <row r="1425" spans="1:13" ht="15">
      <c r="A1425" s="979" t="s">
        <v>3622</v>
      </c>
      <c r="B1425" s="722" t="str">
        <f>CONCATENATE(LEFT(RIGHT(CONCATENATE("000",IFAData_TEA!A1425),6),3),"-",(RIGHT(RIGHT(CONCATENATE("000",IFAData_TEA!A1425),6),3)))</f>
        <v>146-901</v>
      </c>
      <c r="C1425" s="979" t="s">
        <v>1164</v>
      </c>
      <c r="D1425" s="979">
        <v>5</v>
      </c>
      <c r="E1425" s="979">
        <v>1694</v>
      </c>
      <c r="F1425" s="979" t="s">
        <v>5150</v>
      </c>
      <c r="G1425" s="979" t="s">
        <v>5153</v>
      </c>
      <c r="H1425" s="1030">
        <v>754473</v>
      </c>
      <c r="I1425" s="1030">
        <v>223843</v>
      </c>
      <c r="J1425" s="1034">
        <v>0.18950570355081384</v>
      </c>
      <c r="K1425" s="1030">
        <v>142976.93667509317</v>
      </c>
      <c r="L1425" s="1030">
        <v>142976.93667509317</v>
      </c>
      <c r="M1425" s="979">
        <v>599</v>
      </c>
    </row>
    <row r="1426" spans="1:13" ht="15">
      <c r="A1426" s="979" t="s">
        <v>3622</v>
      </c>
      <c r="B1426" s="722" t="str">
        <f>CONCATENATE(LEFT(RIGHT(CONCATENATE("000",IFAData_TEA!A1426),6),3),"-",(RIGHT(RIGHT(CONCATENATE("000",IFAData_TEA!A1426),6),3)))</f>
        <v>146-901</v>
      </c>
      <c r="C1426" s="979" t="s">
        <v>1164</v>
      </c>
      <c r="D1426" s="979">
        <v>5</v>
      </c>
      <c r="E1426" s="979">
        <v>1694</v>
      </c>
      <c r="F1426" s="979" t="s">
        <v>5150</v>
      </c>
      <c r="G1426" s="979" t="s">
        <v>5152</v>
      </c>
      <c r="H1426" s="1030">
        <v>754473</v>
      </c>
      <c r="I1426" s="1030">
        <v>791642</v>
      </c>
      <c r="J1426" s="1034">
        <v>0.67020489436959552</v>
      </c>
      <c r="K1426" s="1030">
        <v>505651.49726971186</v>
      </c>
      <c r="L1426" s="1030">
        <v>505651.49726971186</v>
      </c>
      <c r="M1426" s="979">
        <v>599</v>
      </c>
    </row>
    <row r="1427" spans="1:13" ht="15">
      <c r="A1427" s="979" t="s">
        <v>3623</v>
      </c>
      <c r="B1427" s="722" t="str">
        <f>CONCATENATE(LEFT(RIGHT(CONCATENATE("000",IFAData_TEA!A1427),6),3),"-",(RIGHT(RIGHT(CONCATENATE("000",IFAData_TEA!A1427),6),3)))</f>
        <v>146-902</v>
      </c>
      <c r="C1427" s="979" t="s">
        <v>2664</v>
      </c>
      <c r="D1427" s="979">
        <v>1</v>
      </c>
      <c r="E1427" s="979">
        <v>1747</v>
      </c>
      <c r="F1427" s="979" t="s">
        <v>5154</v>
      </c>
      <c r="G1427" s="979" t="s">
        <v>5154</v>
      </c>
      <c r="H1427" s="1030">
        <v>967500</v>
      </c>
      <c r="I1427" s="1030">
        <v>0</v>
      </c>
      <c r="J1427" s="1034">
        <v>0</v>
      </c>
      <c r="K1427" s="1030">
        <v>0</v>
      </c>
      <c r="L1427" s="1030">
        <v>0</v>
      </c>
      <c r="M1427" s="979">
        <v>599</v>
      </c>
    </row>
    <row r="1428" spans="1:13" ht="15">
      <c r="A1428" s="979" t="s">
        <v>3623</v>
      </c>
      <c r="B1428" s="722" t="str">
        <f>CONCATENATE(LEFT(RIGHT(CONCATENATE("000",IFAData_TEA!A1428),6),3),"-",(RIGHT(RIGHT(CONCATENATE("000",IFAData_TEA!A1428),6),3)))</f>
        <v>146-902</v>
      </c>
      <c r="C1428" s="979" t="s">
        <v>2664</v>
      </c>
      <c r="D1428" s="979">
        <v>1</v>
      </c>
      <c r="E1428" s="979">
        <v>1747</v>
      </c>
      <c r="F1428" s="979" t="s">
        <v>5154</v>
      </c>
      <c r="G1428" s="979" t="s">
        <v>5157</v>
      </c>
      <c r="H1428" s="1030">
        <v>967500</v>
      </c>
      <c r="I1428" s="1030">
        <v>1388208</v>
      </c>
      <c r="J1428" s="1034">
        <v>0.46392752051518987</v>
      </c>
      <c r="K1428" s="1030">
        <v>448849.8760984462</v>
      </c>
      <c r="L1428" s="1030">
        <v>448849.8760984462</v>
      </c>
      <c r="M1428" s="979">
        <v>599</v>
      </c>
    </row>
    <row r="1429" spans="1:13" ht="15">
      <c r="A1429" s="979" t="s">
        <v>3623</v>
      </c>
      <c r="B1429" s="722" t="str">
        <f>CONCATENATE(LEFT(RIGHT(CONCATENATE("000",IFAData_TEA!A1429),6),3),"-",(RIGHT(RIGHT(CONCATENATE("000",IFAData_TEA!A1429),6),3)))</f>
        <v>146-902</v>
      </c>
      <c r="C1429" s="979" t="s">
        <v>2664</v>
      </c>
      <c r="D1429" s="979">
        <v>1</v>
      </c>
      <c r="E1429" s="979">
        <v>1747</v>
      </c>
      <c r="F1429" s="979" t="s">
        <v>5154</v>
      </c>
      <c r="G1429" s="979" t="s">
        <v>5155</v>
      </c>
      <c r="H1429" s="1030">
        <v>967500</v>
      </c>
      <c r="I1429" s="1030">
        <v>1452281</v>
      </c>
      <c r="J1429" s="1034">
        <v>0.48534018203419116</v>
      </c>
      <c r="K1429" s="1030">
        <v>469566.62611807993</v>
      </c>
      <c r="L1429" s="1030">
        <v>469566.62611807993</v>
      </c>
      <c r="M1429" s="979">
        <v>599</v>
      </c>
    </row>
    <row r="1430" spans="1:13" ht="15">
      <c r="A1430" s="979" t="s">
        <v>3623</v>
      </c>
      <c r="B1430" s="722" t="str">
        <f>CONCATENATE(LEFT(RIGHT(CONCATENATE("000",IFAData_TEA!A1430),6),3),"-",(RIGHT(RIGHT(CONCATENATE("000",IFAData_TEA!A1430),6),3)))</f>
        <v>146-902</v>
      </c>
      <c r="C1430" s="979" t="s">
        <v>2664</v>
      </c>
      <c r="D1430" s="979">
        <v>1</v>
      </c>
      <c r="E1430" s="979">
        <v>1747</v>
      </c>
      <c r="F1430" s="979" t="s">
        <v>5154</v>
      </c>
      <c r="G1430" s="979" t="s">
        <v>5156</v>
      </c>
      <c r="H1430" s="1030">
        <v>967500</v>
      </c>
      <c r="I1430" s="1030">
        <v>151806</v>
      </c>
      <c r="J1430" s="1034">
        <v>5.0732297450619003E-2</v>
      </c>
      <c r="K1430" s="1030">
        <v>49083.497783473882</v>
      </c>
      <c r="L1430" s="1030">
        <v>49083.497783473882</v>
      </c>
      <c r="M1430" s="979">
        <v>599</v>
      </c>
    </row>
    <row r="1431" spans="1:13" ht="15">
      <c r="A1431" s="979" t="s">
        <v>3624</v>
      </c>
      <c r="B1431" s="722" t="str">
        <f>CONCATENATE(LEFT(RIGHT(CONCATENATE("000",IFAData_TEA!A1431),6),3),"-",(RIGHT(RIGHT(CONCATENATE("000",IFAData_TEA!A1431),6),3)))</f>
        <v>146-904</v>
      </c>
      <c r="C1431" s="979" t="s">
        <v>1735</v>
      </c>
      <c r="D1431" s="979">
        <v>9</v>
      </c>
      <c r="E1431" s="979">
        <v>1865</v>
      </c>
      <c r="F1431" s="979" t="s">
        <v>5158</v>
      </c>
      <c r="G1431" s="979" t="s">
        <v>5158</v>
      </c>
      <c r="H1431" s="1030">
        <v>80675</v>
      </c>
      <c r="I1431" s="1030">
        <v>131255</v>
      </c>
      <c r="J1431" s="1034">
        <v>1</v>
      </c>
      <c r="K1431" s="1030">
        <v>80675</v>
      </c>
      <c r="L1431" s="1030">
        <v>80675</v>
      </c>
      <c r="M1431" s="979">
        <v>599</v>
      </c>
    </row>
    <row r="1432" spans="1:13" ht="15">
      <c r="A1432" s="979" t="s">
        <v>3625</v>
      </c>
      <c r="B1432" s="722" t="str">
        <f>CONCATENATE(LEFT(RIGHT(CONCATENATE("000",IFAData_TEA!A1432),6),3),"-",(RIGHT(RIGHT(CONCATENATE("000",IFAData_TEA!A1432),6),3)))</f>
        <v>146-905</v>
      </c>
      <c r="C1432" s="979" t="s">
        <v>2384</v>
      </c>
      <c r="D1432" s="979">
        <v>2</v>
      </c>
      <c r="E1432" s="979">
        <v>1913</v>
      </c>
      <c r="F1432" s="979" t="s">
        <v>5159</v>
      </c>
      <c r="G1432" s="979" t="s">
        <v>5160</v>
      </c>
      <c r="H1432" s="1030">
        <v>159897</v>
      </c>
      <c r="I1432" s="1030">
        <v>154157</v>
      </c>
      <c r="J1432" s="1034">
        <v>0.48475976943903748</v>
      </c>
      <c r="K1432" s="1030">
        <v>77511.632853993782</v>
      </c>
      <c r="L1432" s="1030">
        <v>77511.632853993782</v>
      </c>
      <c r="M1432" s="979">
        <v>599</v>
      </c>
    </row>
    <row r="1433" spans="1:13" ht="15">
      <c r="A1433" s="979" t="s">
        <v>3625</v>
      </c>
      <c r="B1433" s="722" t="str">
        <f>CONCATENATE(LEFT(RIGHT(CONCATENATE("000",IFAData_TEA!A1433),6),3),"-",(RIGHT(RIGHT(CONCATENATE("000",IFAData_TEA!A1433),6),3)))</f>
        <v>146-905</v>
      </c>
      <c r="C1433" s="979" t="s">
        <v>2384</v>
      </c>
      <c r="D1433" s="979">
        <v>2</v>
      </c>
      <c r="E1433" s="979">
        <v>1913</v>
      </c>
      <c r="F1433" s="979" t="s">
        <v>5159</v>
      </c>
      <c r="G1433" s="979" t="s">
        <v>5159</v>
      </c>
      <c r="H1433" s="1030">
        <v>159897</v>
      </c>
      <c r="I1433" s="1030">
        <v>163850</v>
      </c>
      <c r="J1433" s="1034">
        <v>0.51524023056096246</v>
      </c>
      <c r="K1433" s="1030">
        <v>82385.367146006218</v>
      </c>
      <c r="L1433" s="1030">
        <v>82385.367146006218</v>
      </c>
      <c r="M1433" s="979">
        <v>599</v>
      </c>
    </row>
    <row r="1434" spans="1:13" ht="15">
      <c r="A1434" s="979" t="s">
        <v>3626</v>
      </c>
      <c r="B1434" s="722" t="str">
        <f>CONCATENATE(LEFT(RIGHT(CONCATENATE("000",IFAData_TEA!A1434),6),3),"-",(RIGHT(RIGHT(CONCATENATE("000",IFAData_TEA!A1434),6),3)))</f>
        <v>147-901</v>
      </c>
      <c r="C1434" s="979" t="s">
        <v>1554</v>
      </c>
      <c r="D1434" s="979">
        <v>4</v>
      </c>
      <c r="E1434" s="979">
        <v>1718</v>
      </c>
      <c r="F1434" s="979" t="s">
        <v>5161</v>
      </c>
      <c r="G1434" s="979" t="s">
        <v>5162</v>
      </c>
      <c r="H1434" s="1030">
        <v>100000</v>
      </c>
      <c r="I1434" s="1030">
        <v>89575</v>
      </c>
      <c r="J1434" s="1034">
        <v>1</v>
      </c>
      <c r="K1434" s="1030">
        <v>100000</v>
      </c>
      <c r="L1434" s="1030">
        <v>89575</v>
      </c>
      <c r="M1434" s="979">
        <v>599</v>
      </c>
    </row>
    <row r="1435" spans="1:13" ht="15">
      <c r="A1435" s="979" t="s">
        <v>3626</v>
      </c>
      <c r="B1435" s="722" t="str">
        <f>CONCATENATE(LEFT(RIGHT(CONCATENATE("000",IFAData_TEA!A1435),6),3),"-",(RIGHT(RIGHT(CONCATENATE("000",IFAData_TEA!A1435),6),3)))</f>
        <v>147-901</v>
      </c>
      <c r="C1435" s="979" t="s">
        <v>1554</v>
      </c>
      <c r="D1435" s="979">
        <v>4</v>
      </c>
      <c r="E1435" s="979">
        <v>1718</v>
      </c>
      <c r="F1435" s="979" t="s">
        <v>5161</v>
      </c>
      <c r="G1435" s="979" t="s">
        <v>5161</v>
      </c>
      <c r="H1435" s="1030">
        <v>100000</v>
      </c>
      <c r="I1435" s="1030">
        <v>0</v>
      </c>
      <c r="J1435" s="1034">
        <v>0</v>
      </c>
      <c r="K1435" s="1030">
        <v>0</v>
      </c>
      <c r="L1435" s="1030">
        <v>0</v>
      </c>
      <c r="M1435" s="979">
        <v>599</v>
      </c>
    </row>
    <row r="1436" spans="1:13" ht="15">
      <c r="A1436" s="979" t="s">
        <v>5163</v>
      </c>
      <c r="B1436" s="722" t="str">
        <f>CONCATENATE(LEFT(RIGHT(CONCATENATE("000",IFAData_TEA!A1436),6),3),"-",(RIGHT(RIGHT(CONCATENATE("000",IFAData_TEA!A1436),6),3)))</f>
        <v>152-901</v>
      </c>
      <c r="C1436" s="979" t="s">
        <v>586</v>
      </c>
      <c r="D1436" s="979">
        <v>1</v>
      </c>
      <c r="E1436" s="979">
        <v>2040</v>
      </c>
      <c r="F1436" s="979" t="s">
        <v>5164</v>
      </c>
      <c r="G1436" s="979" t="s">
        <v>5164</v>
      </c>
      <c r="H1436" s="1030">
        <v>112803</v>
      </c>
      <c r="I1436" s="1030">
        <v>0</v>
      </c>
      <c r="J1436" s="1034">
        <v>0</v>
      </c>
      <c r="K1436" s="1030"/>
      <c r="L1436" s="1030">
        <v>0</v>
      </c>
      <c r="M1436" s="979">
        <v>599</v>
      </c>
    </row>
    <row r="1437" spans="1:13" ht="15">
      <c r="A1437" s="979" t="s">
        <v>3627</v>
      </c>
      <c r="B1437" s="722" t="str">
        <f>CONCATENATE(LEFT(RIGHT(CONCATENATE("000",IFAData_TEA!A1437),6),3),"-",(RIGHT(RIGHT(CONCATENATE("000",IFAData_TEA!A1437),6),3)))</f>
        <v>152-906</v>
      </c>
      <c r="C1437" s="979" t="s">
        <v>587</v>
      </c>
      <c r="D1437" s="979">
        <v>5</v>
      </c>
      <c r="E1437" s="979">
        <v>2041</v>
      </c>
      <c r="F1437" s="979" t="s">
        <v>5165</v>
      </c>
      <c r="G1437" s="979" t="s">
        <v>5165</v>
      </c>
      <c r="H1437" s="1030">
        <v>445840</v>
      </c>
      <c r="I1437" s="1030">
        <v>0</v>
      </c>
      <c r="J1437" s="1034">
        <v>0</v>
      </c>
      <c r="K1437" s="1030">
        <v>0</v>
      </c>
      <c r="L1437" s="1030">
        <v>0</v>
      </c>
      <c r="M1437" s="979">
        <v>599</v>
      </c>
    </row>
    <row r="1438" spans="1:13" ht="15">
      <c r="A1438" s="979" t="s">
        <v>3627</v>
      </c>
      <c r="B1438" s="722" t="str">
        <f>CONCATENATE(LEFT(RIGHT(CONCATENATE("000",IFAData_TEA!A1438),6),3),"-",(RIGHT(RIGHT(CONCATENATE("000",IFAData_TEA!A1438),6),3)))</f>
        <v>152-906</v>
      </c>
      <c r="C1438" s="979" t="s">
        <v>587</v>
      </c>
      <c r="D1438" s="979">
        <v>5</v>
      </c>
      <c r="E1438" s="979">
        <v>2041</v>
      </c>
      <c r="F1438" s="979" t="s">
        <v>5165</v>
      </c>
      <c r="G1438" s="979" t="s">
        <v>5166</v>
      </c>
      <c r="H1438" s="1030">
        <v>445840</v>
      </c>
      <c r="I1438" s="1030">
        <v>658600</v>
      </c>
      <c r="J1438" s="1034">
        <v>1</v>
      </c>
      <c r="K1438" s="1030">
        <v>445840</v>
      </c>
      <c r="L1438" s="1030">
        <v>445840</v>
      </c>
      <c r="M1438" s="979">
        <v>599</v>
      </c>
    </row>
    <row r="1439" spans="1:13" ht="15">
      <c r="A1439" s="979" t="s">
        <v>3628</v>
      </c>
      <c r="B1439" s="722" t="str">
        <f>CONCATENATE(LEFT(RIGHT(CONCATENATE("000",IFAData_TEA!A1439),6),3),"-",(RIGHT(RIGHT(CONCATENATE("000",IFAData_TEA!A1439),6),3)))</f>
        <v>152-907</v>
      </c>
      <c r="C1439" s="979" t="s">
        <v>2303</v>
      </c>
      <c r="D1439" s="979">
        <v>1</v>
      </c>
      <c r="E1439" s="979">
        <v>1825</v>
      </c>
      <c r="F1439" s="979" t="s">
        <v>5167</v>
      </c>
      <c r="G1439" s="979" t="s">
        <v>5168</v>
      </c>
      <c r="H1439" s="1030">
        <v>125335</v>
      </c>
      <c r="I1439" s="1030">
        <v>113403</v>
      </c>
      <c r="J1439" s="1034">
        <v>1</v>
      </c>
      <c r="K1439" s="1030">
        <v>125335</v>
      </c>
      <c r="L1439" s="1030">
        <v>113403</v>
      </c>
      <c r="M1439" s="979">
        <v>599</v>
      </c>
    </row>
    <row r="1440" spans="1:13" ht="15">
      <c r="A1440" s="979" t="s">
        <v>3628</v>
      </c>
      <c r="B1440" s="722" t="str">
        <f>CONCATENATE(LEFT(RIGHT(CONCATENATE("000",IFAData_TEA!A1440),6),3),"-",(RIGHT(RIGHT(CONCATENATE("000",IFAData_TEA!A1440),6),3)))</f>
        <v>152-907</v>
      </c>
      <c r="C1440" s="979" t="s">
        <v>2303</v>
      </c>
      <c r="D1440" s="979">
        <v>2</v>
      </c>
      <c r="E1440" s="979">
        <v>1826</v>
      </c>
      <c r="F1440" s="979" t="s">
        <v>5169</v>
      </c>
      <c r="G1440" s="979" t="s">
        <v>5169</v>
      </c>
      <c r="H1440" s="1030">
        <v>596622</v>
      </c>
      <c r="I1440" s="1030">
        <v>0</v>
      </c>
      <c r="J1440" s="1034">
        <v>0</v>
      </c>
      <c r="K1440" s="1030">
        <v>0</v>
      </c>
      <c r="L1440" s="1030">
        <v>0</v>
      </c>
      <c r="M1440" s="979">
        <v>599</v>
      </c>
    </row>
    <row r="1441" spans="1:13" ht="15">
      <c r="A1441" s="979" t="s">
        <v>3628</v>
      </c>
      <c r="B1441" s="722" t="str">
        <f>CONCATENATE(LEFT(RIGHT(CONCATENATE("000",IFAData_TEA!A1441),6),3),"-",(RIGHT(RIGHT(CONCATENATE("000",IFAData_TEA!A1441),6),3)))</f>
        <v>152-907</v>
      </c>
      <c r="C1441" s="979" t="s">
        <v>2303</v>
      </c>
      <c r="D1441" s="979">
        <v>9</v>
      </c>
      <c r="E1441" s="979">
        <v>1828</v>
      </c>
      <c r="F1441" s="979" t="s">
        <v>5171</v>
      </c>
      <c r="G1441" s="979" t="s">
        <v>6292</v>
      </c>
      <c r="H1441" s="1030">
        <v>1482602</v>
      </c>
      <c r="I1441" s="1030">
        <v>2551151</v>
      </c>
      <c r="J1441" s="1034">
        <v>0.59539961412173481</v>
      </c>
      <c r="K1441" s="1030">
        <v>882740.65869611222</v>
      </c>
      <c r="L1441" s="1030">
        <v>882740.65869611222</v>
      </c>
      <c r="M1441" s="979">
        <v>599</v>
      </c>
    </row>
    <row r="1442" spans="1:13" ht="15">
      <c r="A1442" s="979" t="s">
        <v>3628</v>
      </c>
      <c r="B1442" s="722" t="str">
        <f>CONCATENATE(LEFT(RIGHT(CONCATENATE("000",IFAData_TEA!A1442),6),3),"-",(RIGHT(RIGHT(CONCATENATE("000",IFAData_TEA!A1442),6),3)))</f>
        <v>152-907</v>
      </c>
      <c r="C1442" s="979" t="s">
        <v>2303</v>
      </c>
      <c r="D1442" s="979">
        <v>10</v>
      </c>
      <c r="E1442" s="979">
        <v>1827</v>
      </c>
      <c r="F1442" s="979" t="s">
        <v>5172</v>
      </c>
      <c r="G1442" s="979" t="s">
        <v>5172</v>
      </c>
      <c r="H1442" s="1030">
        <v>664408</v>
      </c>
      <c r="I1442" s="1030">
        <v>468994</v>
      </c>
      <c r="J1442" s="1034">
        <v>1</v>
      </c>
      <c r="K1442" s="1030">
        <v>664408</v>
      </c>
      <c r="L1442" s="1030">
        <v>468994</v>
      </c>
      <c r="M1442" s="979">
        <v>599</v>
      </c>
    </row>
    <row r="1443" spans="1:13" ht="15">
      <c r="A1443" s="979" t="s">
        <v>3628</v>
      </c>
      <c r="B1443" s="722" t="str">
        <f>CONCATENATE(LEFT(RIGHT(CONCATENATE("000",IFAData_TEA!A1443),6),3),"-",(RIGHT(RIGHT(CONCATENATE("000",IFAData_TEA!A1443),6),3)))</f>
        <v>152-907</v>
      </c>
      <c r="C1443" s="979" t="s">
        <v>2303</v>
      </c>
      <c r="D1443" s="979">
        <v>2</v>
      </c>
      <c r="E1443" s="979">
        <v>1826</v>
      </c>
      <c r="F1443" s="979" t="s">
        <v>5169</v>
      </c>
      <c r="G1443" s="979" t="s">
        <v>5170</v>
      </c>
      <c r="H1443" s="1030">
        <v>596622</v>
      </c>
      <c r="I1443" s="1030">
        <v>570992</v>
      </c>
      <c r="J1443" s="1034">
        <v>1</v>
      </c>
      <c r="K1443" s="1030">
        <v>596622</v>
      </c>
      <c r="L1443" s="1030">
        <v>570992</v>
      </c>
      <c r="M1443" s="979">
        <v>599</v>
      </c>
    </row>
    <row r="1444" spans="1:13" ht="15">
      <c r="A1444" s="979" t="s">
        <v>3628</v>
      </c>
      <c r="B1444" s="722" t="str">
        <f>CONCATENATE(LEFT(RIGHT(CONCATENATE("000",IFAData_TEA!A1444),6),3),"-",(RIGHT(RIGHT(CONCATENATE("000",IFAData_TEA!A1444),6),3)))</f>
        <v>152-907</v>
      </c>
      <c r="C1444" s="979" t="s">
        <v>2303</v>
      </c>
      <c r="D1444" s="979">
        <v>1</v>
      </c>
      <c r="E1444" s="979">
        <v>1825</v>
      </c>
      <c r="F1444" s="979" t="s">
        <v>5167</v>
      </c>
      <c r="G1444" s="979" t="s">
        <v>5167</v>
      </c>
      <c r="H1444" s="1030">
        <v>125335</v>
      </c>
      <c r="I1444" s="1030">
        <v>0</v>
      </c>
      <c r="J1444" s="1034">
        <v>0</v>
      </c>
      <c r="K1444" s="1030">
        <v>0</v>
      </c>
      <c r="L1444" s="1030">
        <v>0</v>
      </c>
      <c r="M1444" s="979">
        <v>599</v>
      </c>
    </row>
    <row r="1445" spans="1:13" ht="15">
      <c r="A1445" s="979" t="s">
        <v>3628</v>
      </c>
      <c r="B1445" s="722" t="str">
        <f>CONCATENATE(LEFT(RIGHT(CONCATENATE("000",IFAData_TEA!A1445),6),3),"-",(RIGHT(RIGHT(CONCATENATE("000",IFAData_TEA!A1445),6),3)))</f>
        <v>152-907</v>
      </c>
      <c r="C1445" s="979" t="s">
        <v>2303</v>
      </c>
      <c r="D1445" s="979">
        <v>9</v>
      </c>
      <c r="E1445" s="979">
        <v>1828</v>
      </c>
      <c r="F1445" s="979" t="s">
        <v>5171</v>
      </c>
      <c r="G1445" s="979" t="s">
        <v>5171</v>
      </c>
      <c r="H1445" s="1030">
        <v>1482602</v>
      </c>
      <c r="I1445" s="1030">
        <v>1733620</v>
      </c>
      <c r="J1445" s="1034">
        <v>0.40460038587826513</v>
      </c>
      <c r="K1445" s="1030">
        <v>599861.34130388766</v>
      </c>
      <c r="L1445" s="1030">
        <v>599861.34130388766</v>
      </c>
      <c r="M1445" s="979">
        <v>599</v>
      </c>
    </row>
    <row r="1446" spans="1:13" ht="15">
      <c r="A1446" s="979" t="s">
        <v>3629</v>
      </c>
      <c r="B1446" s="722" t="str">
        <f>CONCATENATE(LEFT(RIGHT(CONCATENATE("000",IFAData_TEA!A1446),6),3),"-",(RIGHT(RIGHT(CONCATENATE("000",IFAData_TEA!A1446),6),3)))</f>
        <v>152-909</v>
      </c>
      <c r="C1446" s="979" t="s">
        <v>1248</v>
      </c>
      <c r="D1446" s="979">
        <v>5</v>
      </c>
      <c r="E1446" s="979">
        <v>2326</v>
      </c>
      <c r="F1446" s="979" t="s">
        <v>5176</v>
      </c>
      <c r="G1446" s="979" t="s">
        <v>5176</v>
      </c>
      <c r="H1446" s="1030">
        <v>289979</v>
      </c>
      <c r="I1446" s="1030">
        <v>0</v>
      </c>
      <c r="J1446" s="1034">
        <v>0</v>
      </c>
      <c r="K1446" s="1030">
        <v>0</v>
      </c>
      <c r="L1446" s="1030">
        <v>0</v>
      </c>
      <c r="M1446" s="979">
        <v>599</v>
      </c>
    </row>
    <row r="1447" spans="1:13" ht="15">
      <c r="A1447" s="979" t="s">
        <v>3629</v>
      </c>
      <c r="B1447" s="722" t="str">
        <f>CONCATENATE(LEFT(RIGHT(CONCATENATE("000",IFAData_TEA!A1447),6),3),"-",(RIGHT(RIGHT(CONCATENATE("000",IFAData_TEA!A1447),6),3)))</f>
        <v>152-909</v>
      </c>
      <c r="C1447" s="979" t="s">
        <v>1248</v>
      </c>
      <c r="D1447" s="979">
        <v>2</v>
      </c>
      <c r="E1447" s="979">
        <v>2325</v>
      </c>
      <c r="F1447" s="979" t="s">
        <v>5173</v>
      </c>
      <c r="G1447" s="979" t="s">
        <v>5173</v>
      </c>
      <c r="H1447" s="1030">
        <v>281008</v>
      </c>
      <c r="I1447" s="1030">
        <v>0</v>
      </c>
      <c r="J1447" s="1034">
        <v>0</v>
      </c>
      <c r="K1447" s="1030">
        <v>0</v>
      </c>
      <c r="L1447" s="1030">
        <v>0</v>
      </c>
      <c r="M1447" s="979">
        <v>599</v>
      </c>
    </row>
    <row r="1448" spans="1:13" ht="15">
      <c r="A1448" s="979" t="s">
        <v>3629</v>
      </c>
      <c r="B1448" s="722" t="str">
        <f>CONCATENATE(LEFT(RIGHT(CONCATENATE("000",IFAData_TEA!A1448),6),3),"-",(RIGHT(RIGHT(CONCATENATE("000",IFAData_TEA!A1448),6),3)))</f>
        <v>152-909</v>
      </c>
      <c r="C1448" s="979" t="s">
        <v>1248</v>
      </c>
      <c r="D1448" s="979">
        <v>2</v>
      </c>
      <c r="E1448" s="979">
        <v>2325</v>
      </c>
      <c r="F1448" s="979" t="s">
        <v>5173</v>
      </c>
      <c r="G1448" s="979" t="s">
        <v>5175</v>
      </c>
      <c r="H1448" s="1030">
        <v>281008</v>
      </c>
      <c r="I1448" s="1030">
        <v>51571</v>
      </c>
      <c r="J1448" s="1034">
        <v>0.20208943175450353</v>
      </c>
      <c r="K1448" s="1030">
        <v>56788.747038469526</v>
      </c>
      <c r="L1448" s="1030">
        <v>51571</v>
      </c>
      <c r="M1448" s="979">
        <v>599</v>
      </c>
    </row>
    <row r="1449" spans="1:13" ht="15">
      <c r="A1449" s="979" t="s">
        <v>3629</v>
      </c>
      <c r="B1449" s="722" t="str">
        <f>CONCATENATE(LEFT(RIGHT(CONCATENATE("000",IFAData_TEA!A1449),6),3),"-",(RIGHT(RIGHT(CONCATENATE("000",IFAData_TEA!A1449),6),3)))</f>
        <v>152-909</v>
      </c>
      <c r="C1449" s="979" t="s">
        <v>1248</v>
      </c>
      <c r="D1449" s="979">
        <v>5</v>
      </c>
      <c r="E1449" s="979">
        <v>2326</v>
      </c>
      <c r="F1449" s="979" t="s">
        <v>5176</v>
      </c>
      <c r="G1449" s="979" t="s">
        <v>5175</v>
      </c>
      <c r="H1449" s="1030">
        <v>289979</v>
      </c>
      <c r="I1449" s="1030">
        <v>83718</v>
      </c>
      <c r="J1449" s="1034">
        <v>0.26777592262076111</v>
      </c>
      <c r="K1449" s="1030">
        <v>77649.394265645678</v>
      </c>
      <c r="L1449" s="1030">
        <v>77649.394265645678</v>
      </c>
      <c r="M1449" s="979">
        <v>599</v>
      </c>
    </row>
    <row r="1450" spans="1:13" ht="15">
      <c r="A1450" s="979" t="s">
        <v>3629</v>
      </c>
      <c r="B1450" s="722" t="str">
        <f>CONCATENATE(LEFT(RIGHT(CONCATENATE("000",IFAData_TEA!A1450),6),3),"-",(RIGHT(RIGHT(CONCATENATE("000",IFAData_TEA!A1450),6),3)))</f>
        <v>152-909</v>
      </c>
      <c r="C1450" s="979" t="s">
        <v>1248</v>
      </c>
      <c r="D1450" s="979">
        <v>2</v>
      </c>
      <c r="E1450" s="979">
        <v>2325</v>
      </c>
      <c r="F1450" s="979" t="s">
        <v>5173</v>
      </c>
      <c r="G1450" s="979" t="s">
        <v>5174</v>
      </c>
      <c r="H1450" s="1030">
        <v>281008</v>
      </c>
      <c r="I1450" s="1030">
        <v>203618</v>
      </c>
      <c r="J1450" s="1034">
        <v>0.79791056824549644</v>
      </c>
      <c r="K1450" s="1030">
        <v>224219.25296153047</v>
      </c>
      <c r="L1450" s="1030">
        <v>203618</v>
      </c>
      <c r="M1450" s="979">
        <v>599</v>
      </c>
    </row>
    <row r="1451" spans="1:13" ht="15">
      <c r="A1451" s="979" t="s">
        <v>3629</v>
      </c>
      <c r="B1451" s="722" t="str">
        <f>CONCATENATE(LEFT(RIGHT(CONCATENATE("000",IFAData_TEA!A1451),6),3),"-",(RIGHT(RIGHT(CONCATENATE("000",IFAData_TEA!A1451),6),3)))</f>
        <v>152-909</v>
      </c>
      <c r="C1451" s="979" t="s">
        <v>1248</v>
      </c>
      <c r="D1451" s="979">
        <v>5</v>
      </c>
      <c r="E1451" s="979">
        <v>2326</v>
      </c>
      <c r="F1451" s="979" t="s">
        <v>5176</v>
      </c>
      <c r="G1451" s="979" t="s">
        <v>5174</v>
      </c>
      <c r="H1451" s="1030">
        <v>289979</v>
      </c>
      <c r="I1451" s="1030">
        <v>228924</v>
      </c>
      <c r="J1451" s="1034">
        <v>0.73222407737923889</v>
      </c>
      <c r="K1451" s="1030">
        <v>212329.60573435432</v>
      </c>
      <c r="L1451" s="1030">
        <v>212329.60573435432</v>
      </c>
      <c r="M1451" s="979">
        <v>599</v>
      </c>
    </row>
    <row r="1452" spans="1:13" ht="15">
      <c r="A1452" s="979" t="s">
        <v>3630</v>
      </c>
      <c r="B1452" s="722" t="str">
        <f>CONCATENATE(LEFT(RIGHT(CONCATENATE("000",IFAData_TEA!A1452),6),3),"-",(RIGHT(RIGHT(CONCATENATE("000",IFAData_TEA!A1452),6),3)))</f>
        <v>152-910</v>
      </c>
      <c r="C1452" s="979" t="s">
        <v>557</v>
      </c>
      <c r="D1452" s="979">
        <v>10</v>
      </c>
      <c r="E1452" s="979">
        <v>1923</v>
      </c>
      <c r="F1452" s="979" t="s">
        <v>5177</v>
      </c>
      <c r="G1452" s="979" t="s">
        <v>5177</v>
      </c>
      <c r="H1452" s="1030">
        <v>220668</v>
      </c>
      <c r="I1452" s="1030">
        <v>834637</v>
      </c>
      <c r="J1452" s="1034">
        <v>1</v>
      </c>
      <c r="K1452" s="1030">
        <v>220668</v>
      </c>
      <c r="L1452" s="1030">
        <v>220668</v>
      </c>
      <c r="M1452" s="979">
        <v>599</v>
      </c>
    </row>
    <row r="1453" spans="1:13" ht="15">
      <c r="A1453" s="979" t="s">
        <v>3631</v>
      </c>
      <c r="B1453" s="722" t="str">
        <f>CONCATENATE(LEFT(RIGHT(CONCATENATE("000",IFAData_TEA!A1453),6),3),"-",(RIGHT(RIGHT(CONCATENATE("000",IFAData_TEA!A1453),6),3)))</f>
        <v>154-901</v>
      </c>
      <c r="C1453" s="979" t="s">
        <v>37</v>
      </c>
      <c r="D1453" s="979">
        <v>6</v>
      </c>
      <c r="E1453" s="979">
        <v>2050</v>
      </c>
      <c r="F1453" s="979" t="s">
        <v>5180</v>
      </c>
      <c r="G1453" s="979" t="s">
        <v>5181</v>
      </c>
      <c r="H1453" s="1030">
        <v>471900</v>
      </c>
      <c r="I1453" s="1030">
        <v>435380</v>
      </c>
      <c r="J1453" s="1034">
        <v>1</v>
      </c>
      <c r="K1453" s="1030">
        <v>471900</v>
      </c>
      <c r="L1453" s="1030">
        <v>435380</v>
      </c>
      <c r="M1453" s="979">
        <v>599</v>
      </c>
    </row>
    <row r="1454" spans="1:13" ht="15">
      <c r="A1454" s="979" t="s">
        <v>3631</v>
      </c>
      <c r="B1454" s="722" t="str">
        <f>CONCATENATE(LEFT(RIGHT(CONCATENATE("000",IFAData_TEA!A1454),6),3),"-",(RIGHT(RIGHT(CONCATENATE("000",IFAData_TEA!A1454),6),3)))</f>
        <v>154-901</v>
      </c>
      <c r="C1454" s="979" t="s">
        <v>37</v>
      </c>
      <c r="D1454" s="979">
        <v>6</v>
      </c>
      <c r="E1454" s="979">
        <v>2050</v>
      </c>
      <c r="F1454" s="979" t="s">
        <v>5180</v>
      </c>
      <c r="G1454" s="979" t="s">
        <v>5180</v>
      </c>
      <c r="H1454" s="1030">
        <v>471900</v>
      </c>
      <c r="I1454" s="1030">
        <v>0</v>
      </c>
      <c r="J1454" s="1034">
        <v>0</v>
      </c>
      <c r="K1454" s="1030">
        <v>0</v>
      </c>
      <c r="L1454" s="1030">
        <v>0</v>
      </c>
      <c r="M1454" s="979">
        <v>599</v>
      </c>
    </row>
    <row r="1455" spans="1:13" ht="15">
      <c r="A1455" s="979" t="s">
        <v>3631</v>
      </c>
      <c r="B1455" s="722" t="str">
        <f>CONCATENATE(LEFT(RIGHT(CONCATENATE("000",IFAData_TEA!A1455),6),3),"-",(RIGHT(RIGHT(CONCATENATE("000",IFAData_TEA!A1455),6),3)))</f>
        <v>154-901</v>
      </c>
      <c r="C1455" s="979" t="s">
        <v>37</v>
      </c>
      <c r="D1455" s="979">
        <v>3</v>
      </c>
      <c r="E1455" s="979">
        <v>2049</v>
      </c>
      <c r="F1455" s="979" t="s">
        <v>5178</v>
      </c>
      <c r="G1455" s="979" t="s">
        <v>5179</v>
      </c>
      <c r="H1455" s="1030">
        <v>471642</v>
      </c>
      <c r="I1455" s="1030">
        <v>722181</v>
      </c>
      <c r="J1455" s="1034">
        <v>1</v>
      </c>
      <c r="K1455" s="1030">
        <v>471642</v>
      </c>
      <c r="L1455" s="1030">
        <v>471642</v>
      </c>
      <c r="M1455" s="979">
        <v>599</v>
      </c>
    </row>
    <row r="1456" spans="1:13" ht="15">
      <c r="A1456" s="979" t="s">
        <v>3631</v>
      </c>
      <c r="B1456" s="722" t="str">
        <f>CONCATENATE(LEFT(RIGHT(CONCATENATE("000",IFAData_TEA!A1456),6),3),"-",(RIGHT(RIGHT(CONCATENATE("000",IFAData_TEA!A1456),6),3)))</f>
        <v>154-901</v>
      </c>
      <c r="C1456" s="979" t="s">
        <v>37</v>
      </c>
      <c r="D1456" s="979">
        <v>3</v>
      </c>
      <c r="E1456" s="979">
        <v>2049</v>
      </c>
      <c r="F1456" s="979" t="s">
        <v>5178</v>
      </c>
      <c r="G1456" s="979" t="s">
        <v>5178</v>
      </c>
      <c r="H1456" s="1030">
        <v>471642</v>
      </c>
      <c r="I1456" s="1030">
        <v>0</v>
      </c>
      <c r="J1456" s="1034">
        <v>0</v>
      </c>
      <c r="K1456" s="1030">
        <v>0</v>
      </c>
      <c r="L1456" s="1030">
        <v>0</v>
      </c>
      <c r="M1456" s="979">
        <v>599</v>
      </c>
    </row>
    <row r="1457" spans="1:13" ht="15">
      <c r="A1457" s="979" t="s">
        <v>3632</v>
      </c>
      <c r="B1457" s="722" t="str">
        <f>CONCATENATE(LEFT(RIGHT(CONCATENATE("000",IFAData_TEA!A1457),6),3),"-",(RIGHT(RIGHT(CONCATENATE("000",IFAData_TEA!A1457),6),3)))</f>
        <v>154-903</v>
      </c>
      <c r="C1457" s="979" t="s">
        <v>562</v>
      </c>
      <c r="D1457" s="979">
        <v>9</v>
      </c>
      <c r="E1457" s="979">
        <v>2150</v>
      </c>
      <c r="F1457" s="979" t="s">
        <v>5182</v>
      </c>
      <c r="G1457" s="979" t="s">
        <v>5182</v>
      </c>
      <c r="H1457" s="1030">
        <v>100000</v>
      </c>
      <c r="I1457" s="1030">
        <v>183094</v>
      </c>
      <c r="J1457" s="1034">
        <v>0.51507291713552683</v>
      </c>
      <c r="K1457" s="1030">
        <v>51507.29171355268</v>
      </c>
      <c r="L1457" s="1030">
        <v>51507.29171355268</v>
      </c>
      <c r="M1457" s="979">
        <v>599</v>
      </c>
    </row>
    <row r="1458" spans="1:13" ht="15">
      <c r="A1458" s="979" t="s">
        <v>3632</v>
      </c>
      <c r="B1458" s="722" t="str">
        <f>CONCATENATE(LEFT(RIGHT(CONCATENATE("000",IFAData_TEA!A1458),6),3),"-",(RIGHT(RIGHT(CONCATENATE("000",IFAData_TEA!A1458),6),3)))</f>
        <v>154-903</v>
      </c>
      <c r="C1458" s="979" t="s">
        <v>562</v>
      </c>
      <c r="D1458" s="979">
        <v>9</v>
      </c>
      <c r="E1458" s="979">
        <v>2150</v>
      </c>
      <c r="F1458" s="979" t="s">
        <v>5182</v>
      </c>
      <c r="G1458" s="979" t="s">
        <v>5183</v>
      </c>
      <c r="H1458" s="1030">
        <v>100000</v>
      </c>
      <c r="I1458" s="1030">
        <v>172378</v>
      </c>
      <c r="J1458" s="1034">
        <v>0.48492708286447317</v>
      </c>
      <c r="K1458" s="1030">
        <v>48492.70828644732</v>
      </c>
      <c r="L1458" s="1030">
        <v>48492.70828644732</v>
      </c>
      <c r="M1458" s="979">
        <v>599</v>
      </c>
    </row>
    <row r="1459" spans="1:13" ht="15">
      <c r="A1459" s="979" t="s">
        <v>3633</v>
      </c>
      <c r="B1459" s="722" t="str">
        <f>CONCATENATE(LEFT(RIGHT(CONCATENATE("000",IFAData_TEA!A1459),6),3),"-",(RIGHT(RIGHT(CONCATENATE("000",IFAData_TEA!A1459),6),3)))</f>
        <v>159-901</v>
      </c>
      <c r="C1459" s="979" t="s">
        <v>1062</v>
      </c>
      <c r="D1459" s="979">
        <v>1</v>
      </c>
      <c r="E1459" s="979">
        <v>1774</v>
      </c>
      <c r="F1459" s="979" t="s">
        <v>5184</v>
      </c>
      <c r="G1459" s="979" t="s">
        <v>6293</v>
      </c>
      <c r="H1459" s="1030">
        <v>1514140</v>
      </c>
      <c r="I1459" s="1030">
        <v>93630</v>
      </c>
      <c r="J1459" s="1034">
        <v>6.3986386747580781E-2</v>
      </c>
      <c r="K1459" s="1030">
        <v>96884.347629981959</v>
      </c>
      <c r="L1459" s="1030">
        <v>93630</v>
      </c>
      <c r="M1459" s="979">
        <v>599</v>
      </c>
    </row>
    <row r="1460" spans="1:13" ht="15">
      <c r="A1460" s="979" t="s">
        <v>3633</v>
      </c>
      <c r="B1460" s="722" t="str">
        <f>CONCATENATE(LEFT(RIGHT(CONCATENATE("000",IFAData_TEA!A1460),6),3),"-",(RIGHT(RIGHT(CONCATENATE("000",IFAData_TEA!A1460),6),3)))</f>
        <v>159-901</v>
      </c>
      <c r="C1460" s="979" t="s">
        <v>1062</v>
      </c>
      <c r="D1460" s="979">
        <v>1</v>
      </c>
      <c r="E1460" s="979">
        <v>1774</v>
      </c>
      <c r="F1460" s="979" t="s">
        <v>5184</v>
      </c>
      <c r="G1460" s="979" t="s">
        <v>5184</v>
      </c>
      <c r="H1460" s="1030">
        <v>1514140</v>
      </c>
      <c r="I1460" s="1030">
        <v>0</v>
      </c>
      <c r="J1460" s="1034">
        <v>0</v>
      </c>
      <c r="K1460" s="1030">
        <v>0</v>
      </c>
      <c r="L1460" s="1030">
        <v>0</v>
      </c>
      <c r="M1460" s="979">
        <v>599</v>
      </c>
    </row>
    <row r="1461" spans="1:13" ht="15">
      <c r="A1461" s="979" t="s">
        <v>3633</v>
      </c>
      <c r="B1461" s="722" t="str">
        <f>CONCATENATE(LEFT(RIGHT(CONCATENATE("000",IFAData_TEA!A1461),6),3),"-",(RIGHT(RIGHT(CONCATENATE("000",IFAData_TEA!A1461),6),3)))</f>
        <v>159-901</v>
      </c>
      <c r="C1461" s="979" t="s">
        <v>1062</v>
      </c>
      <c r="D1461" s="979">
        <v>4</v>
      </c>
      <c r="E1461" s="979">
        <v>1773</v>
      </c>
      <c r="F1461" s="979" t="s">
        <v>5186</v>
      </c>
      <c r="G1461" s="979" t="s">
        <v>5185</v>
      </c>
      <c r="H1461" s="1030">
        <v>1415215</v>
      </c>
      <c r="I1461" s="1030">
        <v>1385500</v>
      </c>
      <c r="J1461" s="1034">
        <v>0.92525069585797548</v>
      </c>
      <c r="K1461" s="1030">
        <v>1309428.6635386448</v>
      </c>
      <c r="L1461" s="1030">
        <v>1309428.6635386448</v>
      </c>
      <c r="M1461" s="979">
        <v>599</v>
      </c>
    </row>
    <row r="1462" spans="1:13" ht="15">
      <c r="A1462" s="979" t="s">
        <v>3633</v>
      </c>
      <c r="B1462" s="722" t="str">
        <f>CONCATENATE(LEFT(RIGHT(CONCATENATE("000",IFAData_TEA!A1462),6),3),"-",(RIGHT(RIGHT(CONCATENATE("000",IFAData_TEA!A1462),6),3)))</f>
        <v>159-901</v>
      </c>
      <c r="C1462" s="979" t="s">
        <v>1062</v>
      </c>
      <c r="D1462" s="979">
        <v>1</v>
      </c>
      <c r="E1462" s="979">
        <v>1774</v>
      </c>
      <c r="F1462" s="979" t="s">
        <v>5184</v>
      </c>
      <c r="G1462" s="979" t="s">
        <v>5185</v>
      </c>
      <c r="H1462" s="1030">
        <v>1514140</v>
      </c>
      <c r="I1462" s="1030">
        <v>1369650</v>
      </c>
      <c r="J1462" s="1034">
        <v>0.93601361325241927</v>
      </c>
      <c r="K1462" s="1030">
        <v>1417255.6523700182</v>
      </c>
      <c r="L1462" s="1030">
        <v>1369650</v>
      </c>
      <c r="M1462" s="979">
        <v>599</v>
      </c>
    </row>
    <row r="1463" spans="1:13" ht="15">
      <c r="A1463" s="979" t="s">
        <v>3633</v>
      </c>
      <c r="B1463" s="722" t="str">
        <f>CONCATENATE(LEFT(RIGHT(CONCATENATE("000",IFAData_TEA!A1463),6),3),"-",(RIGHT(RIGHT(CONCATENATE("000",IFAData_TEA!A1463),6),3)))</f>
        <v>159-901</v>
      </c>
      <c r="C1463" s="979" t="s">
        <v>1062</v>
      </c>
      <c r="D1463" s="979">
        <v>4</v>
      </c>
      <c r="E1463" s="979">
        <v>1773</v>
      </c>
      <c r="F1463" s="979" t="s">
        <v>5186</v>
      </c>
      <c r="G1463" s="979" t="s">
        <v>5186</v>
      </c>
      <c r="H1463" s="1030">
        <v>1415215</v>
      </c>
      <c r="I1463" s="1030">
        <v>0</v>
      </c>
      <c r="J1463" s="1034">
        <v>0</v>
      </c>
      <c r="K1463" s="1030">
        <v>0</v>
      </c>
      <c r="L1463" s="1030">
        <v>0</v>
      </c>
      <c r="M1463" s="979">
        <v>599</v>
      </c>
    </row>
    <row r="1464" spans="1:13" ht="15">
      <c r="A1464" s="979" t="s">
        <v>3633</v>
      </c>
      <c r="B1464" s="722" t="str">
        <f>CONCATENATE(LEFT(RIGHT(CONCATENATE("000",IFAData_TEA!A1464),6),3),"-",(RIGHT(RIGHT(CONCATENATE("000",IFAData_TEA!A1464),6),3)))</f>
        <v>159-901</v>
      </c>
      <c r="C1464" s="979" t="s">
        <v>1062</v>
      </c>
      <c r="D1464" s="979">
        <v>9</v>
      </c>
      <c r="E1464" s="979">
        <v>1775</v>
      </c>
      <c r="F1464" s="979" t="s">
        <v>5187</v>
      </c>
      <c r="G1464" s="979" t="s">
        <v>5187</v>
      </c>
      <c r="H1464" s="1030">
        <v>1955528</v>
      </c>
      <c r="I1464" s="1030">
        <v>1948744</v>
      </c>
      <c r="J1464" s="1034">
        <v>1</v>
      </c>
      <c r="K1464" s="1030">
        <v>1955528</v>
      </c>
      <c r="L1464" s="1030">
        <v>1948744</v>
      </c>
      <c r="M1464" s="979">
        <v>599</v>
      </c>
    </row>
    <row r="1465" spans="1:13" ht="15">
      <c r="A1465" s="979" t="s">
        <v>3633</v>
      </c>
      <c r="B1465" s="722" t="str">
        <f>CONCATENATE(LEFT(RIGHT(CONCATENATE("000",IFAData_TEA!A1465),6),3),"-",(RIGHT(RIGHT(CONCATENATE("000",IFAData_TEA!A1465),6),3)))</f>
        <v>159-901</v>
      </c>
      <c r="C1465" s="979" t="s">
        <v>1062</v>
      </c>
      <c r="D1465" s="979">
        <v>4</v>
      </c>
      <c r="E1465" s="979">
        <v>1773</v>
      </c>
      <c r="F1465" s="979" t="s">
        <v>5186</v>
      </c>
      <c r="G1465" s="979" t="s">
        <v>6293</v>
      </c>
      <c r="H1465" s="1030">
        <v>1415215</v>
      </c>
      <c r="I1465" s="1030">
        <v>111932</v>
      </c>
      <c r="J1465" s="1034">
        <v>7.4749304142024478E-2</v>
      </c>
      <c r="K1465" s="1030">
        <v>105786.33646135517</v>
      </c>
      <c r="L1465" s="1030">
        <v>105786.33646135517</v>
      </c>
      <c r="M1465" s="979">
        <v>599</v>
      </c>
    </row>
    <row r="1466" spans="1:13" ht="15">
      <c r="A1466" s="979" t="s">
        <v>3634</v>
      </c>
      <c r="B1466" s="722" t="str">
        <f>CONCATENATE(LEFT(RIGHT(CONCATENATE("000",IFAData_TEA!A1466),6),3),"-",(RIGHT(RIGHT(CONCATENATE("000",IFAData_TEA!A1466),6),3)))</f>
        <v>160-901</v>
      </c>
      <c r="C1466" s="979" t="s">
        <v>1854</v>
      </c>
      <c r="D1466" s="979">
        <v>2</v>
      </c>
      <c r="E1466" s="979">
        <v>1632</v>
      </c>
      <c r="F1466" s="979" t="s">
        <v>5188</v>
      </c>
      <c r="G1466" s="979" t="s">
        <v>5188</v>
      </c>
      <c r="H1466" s="1030">
        <v>348110</v>
      </c>
      <c r="I1466" s="1030">
        <v>0</v>
      </c>
      <c r="J1466" s="1034">
        <v>0</v>
      </c>
      <c r="K1466" s="1030">
        <v>0</v>
      </c>
      <c r="L1466" s="1030">
        <v>0</v>
      </c>
      <c r="M1466" s="979">
        <v>599</v>
      </c>
    </row>
    <row r="1467" spans="1:13" ht="15">
      <c r="A1467" s="979" t="s">
        <v>3634</v>
      </c>
      <c r="B1467" s="722" t="str">
        <f>CONCATENATE(LEFT(RIGHT(CONCATENATE("000",IFAData_TEA!A1467),6),3),"-",(RIGHT(RIGHT(CONCATENATE("000",IFAData_TEA!A1467),6),3)))</f>
        <v>160-901</v>
      </c>
      <c r="C1467" s="979" t="s">
        <v>1854</v>
      </c>
      <c r="D1467" s="979">
        <v>2</v>
      </c>
      <c r="E1467" s="979">
        <v>1632</v>
      </c>
      <c r="F1467" s="979" t="s">
        <v>5188</v>
      </c>
      <c r="G1467" s="979" t="s">
        <v>5190</v>
      </c>
      <c r="H1467" s="1030">
        <v>348110</v>
      </c>
      <c r="I1467" s="1030">
        <v>60770</v>
      </c>
      <c r="J1467" s="1034">
        <v>9.4700983631082244E-2</v>
      </c>
      <c r="K1467" s="1030">
        <v>32966.35941181604</v>
      </c>
      <c r="L1467" s="1030">
        <v>32966.35941181604</v>
      </c>
      <c r="M1467" s="979">
        <v>599</v>
      </c>
    </row>
    <row r="1468" spans="1:13" ht="15">
      <c r="A1468" s="979" t="s">
        <v>3634</v>
      </c>
      <c r="B1468" s="722" t="str">
        <f>CONCATENATE(LEFT(RIGHT(CONCATENATE("000",IFAData_TEA!A1468),6),3),"-",(RIGHT(RIGHT(CONCATENATE("000",IFAData_TEA!A1468),6),3)))</f>
        <v>160-901</v>
      </c>
      <c r="C1468" s="979" t="s">
        <v>1854</v>
      </c>
      <c r="D1468" s="979">
        <v>2</v>
      </c>
      <c r="E1468" s="979">
        <v>1632</v>
      </c>
      <c r="F1468" s="979" t="s">
        <v>5188</v>
      </c>
      <c r="G1468" s="979" t="s">
        <v>5189</v>
      </c>
      <c r="H1468" s="1030">
        <v>348110</v>
      </c>
      <c r="I1468" s="1030">
        <v>433970</v>
      </c>
      <c r="J1468" s="1034">
        <v>0.67627753606023966</v>
      </c>
      <c r="K1468" s="1030">
        <v>235418.97307793002</v>
      </c>
      <c r="L1468" s="1030">
        <v>235418.97307793002</v>
      </c>
      <c r="M1468" s="979">
        <v>599</v>
      </c>
    </row>
    <row r="1469" spans="1:13" ht="15">
      <c r="A1469" s="979" t="s">
        <v>3634</v>
      </c>
      <c r="B1469" s="722" t="str">
        <f>CONCATENATE(LEFT(RIGHT(CONCATENATE("000",IFAData_TEA!A1469),6),3),"-",(RIGHT(RIGHT(CONCATENATE("000",IFAData_TEA!A1469),6),3)))</f>
        <v>160-901</v>
      </c>
      <c r="C1469" s="979" t="s">
        <v>1854</v>
      </c>
      <c r="D1469" s="979">
        <v>2</v>
      </c>
      <c r="E1469" s="979">
        <v>1632</v>
      </c>
      <c r="F1469" s="979" t="s">
        <v>5188</v>
      </c>
      <c r="G1469" s="979" t="s">
        <v>5191</v>
      </c>
      <c r="H1469" s="1030">
        <v>348110</v>
      </c>
      <c r="I1469" s="1030">
        <v>146964</v>
      </c>
      <c r="J1469" s="1034">
        <v>0.22902148030867814</v>
      </c>
      <c r="K1469" s="1030">
        <v>79724.667510253945</v>
      </c>
      <c r="L1469" s="1030">
        <v>79724.667510253945</v>
      </c>
      <c r="M1469" s="979">
        <v>599</v>
      </c>
    </row>
    <row r="1470" spans="1:13" ht="15">
      <c r="A1470" s="979" t="s">
        <v>3634</v>
      </c>
      <c r="B1470" s="722" t="str">
        <f>CONCATENATE(LEFT(RIGHT(CONCATENATE("000",IFAData_TEA!A1470),6),3),"-",(RIGHT(RIGHT(CONCATENATE("000",IFAData_TEA!A1470),6),3)))</f>
        <v>160-901</v>
      </c>
      <c r="C1470" s="979" t="s">
        <v>1854</v>
      </c>
      <c r="D1470" s="979">
        <v>9</v>
      </c>
      <c r="E1470" s="979">
        <v>1631</v>
      </c>
      <c r="F1470" s="979" t="s">
        <v>5192</v>
      </c>
      <c r="G1470" s="979" t="s">
        <v>5192</v>
      </c>
      <c r="H1470" s="1030">
        <v>309622</v>
      </c>
      <c r="I1470" s="1030">
        <v>843080</v>
      </c>
      <c r="J1470" s="1034">
        <v>0.77337352414797089</v>
      </c>
      <c r="K1470" s="1030">
        <v>239453.45729374303</v>
      </c>
      <c r="L1470" s="1030">
        <v>239453.45729374303</v>
      </c>
      <c r="M1470" s="979">
        <v>599</v>
      </c>
    </row>
    <row r="1471" spans="1:13" ht="15">
      <c r="A1471" s="979" t="s">
        <v>3634</v>
      </c>
      <c r="B1471" s="722" t="str">
        <f>CONCATENATE(LEFT(RIGHT(CONCATENATE("000",IFAData_TEA!A1471),6),3),"-",(RIGHT(RIGHT(CONCATENATE("000",IFAData_TEA!A1471),6),3)))</f>
        <v>160-901</v>
      </c>
      <c r="C1471" s="979" t="s">
        <v>1854</v>
      </c>
      <c r="D1471" s="979">
        <v>9</v>
      </c>
      <c r="E1471" s="979">
        <v>1631</v>
      </c>
      <c r="F1471" s="979" t="s">
        <v>5192</v>
      </c>
      <c r="G1471" s="979" t="s">
        <v>6294</v>
      </c>
      <c r="H1471" s="1030">
        <v>309622</v>
      </c>
      <c r="I1471" s="1030">
        <v>247053</v>
      </c>
      <c r="J1471" s="1034">
        <v>0.22662647585202905</v>
      </c>
      <c r="K1471" s="1030">
        <v>70168.542706256936</v>
      </c>
      <c r="L1471" s="1030">
        <v>70168.542706256936</v>
      </c>
      <c r="M1471" s="979">
        <v>599</v>
      </c>
    </row>
    <row r="1472" spans="1:13" ht="15">
      <c r="A1472" s="979" t="s">
        <v>3635</v>
      </c>
      <c r="B1472" s="722" t="str">
        <f>CONCATENATE(LEFT(RIGHT(CONCATENATE("000",IFAData_TEA!A1472),6),3),"-",(RIGHT(RIGHT(CONCATENATE("000",IFAData_TEA!A1472),6),3)))</f>
        <v>160-905</v>
      </c>
      <c r="C1472" s="979" t="s">
        <v>2228</v>
      </c>
      <c r="D1472" s="979">
        <v>6</v>
      </c>
      <c r="E1472" s="979">
        <v>2032</v>
      </c>
      <c r="F1472" s="979" t="s">
        <v>5193</v>
      </c>
      <c r="G1472" s="979" t="s">
        <v>5193</v>
      </c>
      <c r="H1472" s="1030">
        <v>100000</v>
      </c>
      <c r="I1472" s="1030">
        <v>93718</v>
      </c>
      <c r="J1472" s="1034">
        <v>1</v>
      </c>
      <c r="K1472" s="1030">
        <v>100000</v>
      </c>
      <c r="L1472" s="1030">
        <v>93718</v>
      </c>
      <c r="M1472" s="979">
        <v>599</v>
      </c>
    </row>
    <row r="1473" spans="1:13" ht="15">
      <c r="A1473" s="979" t="s">
        <v>3636</v>
      </c>
      <c r="B1473" s="722" t="str">
        <f>CONCATENATE(LEFT(RIGHT(CONCATENATE("000",IFAData_TEA!A1473),6),3),"-",(RIGHT(RIGHT(CONCATENATE("000",IFAData_TEA!A1473),6),3)))</f>
        <v>161-901</v>
      </c>
      <c r="C1473" s="979" t="s">
        <v>417</v>
      </c>
      <c r="D1473" s="979">
        <v>5</v>
      </c>
      <c r="E1473" s="979">
        <v>1731</v>
      </c>
      <c r="F1473" s="979" t="s">
        <v>5194</v>
      </c>
      <c r="G1473" s="979" t="s">
        <v>6295</v>
      </c>
      <c r="H1473" s="1030">
        <v>257868</v>
      </c>
      <c r="I1473" s="1030">
        <v>103245</v>
      </c>
      <c r="J1473" s="1034">
        <v>0.41991702932443975</v>
      </c>
      <c r="K1473" s="1030">
        <v>108283.16451783462</v>
      </c>
      <c r="L1473" s="1030">
        <v>103245</v>
      </c>
      <c r="M1473" s="979">
        <v>599</v>
      </c>
    </row>
    <row r="1474" spans="1:13" ht="15">
      <c r="A1474" s="979" t="s">
        <v>3636</v>
      </c>
      <c r="B1474" s="722" t="str">
        <f>CONCATENATE(LEFT(RIGHT(CONCATENATE("000",IFAData_TEA!A1474),6),3),"-",(RIGHT(RIGHT(CONCATENATE("000",IFAData_TEA!A1474),6),3)))</f>
        <v>161-901</v>
      </c>
      <c r="C1474" s="979" t="s">
        <v>417</v>
      </c>
      <c r="D1474" s="979">
        <v>5</v>
      </c>
      <c r="E1474" s="979">
        <v>1731</v>
      </c>
      <c r="F1474" s="979" t="s">
        <v>5194</v>
      </c>
      <c r="G1474" s="979" t="s">
        <v>5195</v>
      </c>
      <c r="H1474" s="1030">
        <v>257868</v>
      </c>
      <c r="I1474" s="1030">
        <v>142625</v>
      </c>
      <c r="J1474" s="1034">
        <v>0.58008297067556025</v>
      </c>
      <c r="K1474" s="1030">
        <v>149584.83548216536</v>
      </c>
      <c r="L1474" s="1030">
        <v>142625</v>
      </c>
      <c r="M1474" s="979">
        <v>599</v>
      </c>
    </row>
    <row r="1475" spans="1:13" ht="15">
      <c r="A1475" s="979" t="s">
        <v>3636</v>
      </c>
      <c r="B1475" s="722" t="str">
        <f>CONCATENATE(LEFT(RIGHT(CONCATENATE("000",IFAData_TEA!A1475),6),3),"-",(RIGHT(RIGHT(CONCATENATE("000",IFAData_TEA!A1475),6),3)))</f>
        <v>161-901</v>
      </c>
      <c r="C1475" s="979" t="s">
        <v>417</v>
      </c>
      <c r="D1475" s="979">
        <v>5</v>
      </c>
      <c r="E1475" s="979">
        <v>1731</v>
      </c>
      <c r="F1475" s="979" t="s">
        <v>5194</v>
      </c>
      <c r="G1475" s="979" t="s">
        <v>5194</v>
      </c>
      <c r="H1475" s="1030">
        <v>257868</v>
      </c>
      <c r="I1475" s="1030">
        <v>0</v>
      </c>
      <c r="J1475" s="1034">
        <v>0</v>
      </c>
      <c r="K1475" s="1030">
        <v>0</v>
      </c>
      <c r="L1475" s="1030">
        <v>0</v>
      </c>
      <c r="M1475" s="979">
        <v>599</v>
      </c>
    </row>
    <row r="1476" spans="1:13" ht="15">
      <c r="A1476" s="979" t="s">
        <v>3637</v>
      </c>
      <c r="B1476" s="722" t="str">
        <f>CONCATENATE(LEFT(RIGHT(CONCATENATE("000",IFAData_TEA!A1476),6),3),"-",(RIGHT(RIGHT(CONCATENATE("000",IFAData_TEA!A1476),6),3)))</f>
        <v>161-906</v>
      </c>
      <c r="C1476" s="979" t="s">
        <v>1899</v>
      </c>
      <c r="D1476" s="979">
        <v>5</v>
      </c>
      <c r="E1476" s="979">
        <v>1988</v>
      </c>
      <c r="F1476" s="979" t="s">
        <v>5196</v>
      </c>
      <c r="G1476" s="979" t="s">
        <v>5197</v>
      </c>
      <c r="H1476" s="1030">
        <v>575000</v>
      </c>
      <c r="I1476" s="1030">
        <v>536480</v>
      </c>
      <c r="J1476" s="1034">
        <v>1</v>
      </c>
      <c r="K1476" s="1030">
        <v>575000</v>
      </c>
      <c r="L1476" s="1030">
        <v>536480</v>
      </c>
      <c r="M1476" s="979">
        <v>599</v>
      </c>
    </row>
    <row r="1477" spans="1:13" ht="15">
      <c r="A1477" s="979" t="s">
        <v>3637</v>
      </c>
      <c r="B1477" s="722" t="str">
        <f>CONCATENATE(LEFT(RIGHT(CONCATENATE("000",IFAData_TEA!A1477),6),3),"-",(RIGHT(RIGHT(CONCATENATE("000",IFAData_TEA!A1477),6),3)))</f>
        <v>161-906</v>
      </c>
      <c r="C1477" s="979" t="s">
        <v>1899</v>
      </c>
      <c r="D1477" s="979">
        <v>5</v>
      </c>
      <c r="E1477" s="979">
        <v>1988</v>
      </c>
      <c r="F1477" s="979" t="s">
        <v>5196</v>
      </c>
      <c r="G1477" s="979" t="s">
        <v>5196</v>
      </c>
      <c r="H1477" s="1030">
        <v>575000</v>
      </c>
      <c r="I1477" s="1030">
        <v>0</v>
      </c>
      <c r="J1477" s="1034">
        <v>0</v>
      </c>
      <c r="K1477" s="1030">
        <v>0</v>
      </c>
      <c r="L1477" s="1030">
        <v>0</v>
      </c>
      <c r="M1477" s="979">
        <v>599</v>
      </c>
    </row>
    <row r="1478" spans="1:13" ht="15">
      <c r="A1478" s="979" t="s">
        <v>3637</v>
      </c>
      <c r="B1478" s="722" t="str">
        <f>CONCATENATE(LEFT(RIGHT(CONCATENATE("000",IFAData_TEA!A1478),6),3),"-",(RIGHT(RIGHT(CONCATENATE("000",IFAData_TEA!A1478),6),3)))</f>
        <v>161-906</v>
      </c>
      <c r="C1478" s="979" t="s">
        <v>1899</v>
      </c>
      <c r="D1478" s="979">
        <v>10</v>
      </c>
      <c r="E1478" s="979">
        <v>1989</v>
      </c>
      <c r="F1478" s="979" t="s">
        <v>5198</v>
      </c>
      <c r="G1478" s="979" t="s">
        <v>5198</v>
      </c>
      <c r="H1478" s="1030">
        <v>634429</v>
      </c>
      <c r="I1478" s="1030">
        <v>1025350</v>
      </c>
      <c r="J1478" s="1034">
        <v>1</v>
      </c>
      <c r="K1478" s="1030">
        <v>634429</v>
      </c>
      <c r="L1478" s="1030">
        <v>634429</v>
      </c>
      <c r="M1478" s="979">
        <v>599</v>
      </c>
    </row>
    <row r="1479" spans="1:13" ht="15">
      <c r="A1479" s="979" t="s">
        <v>3638</v>
      </c>
      <c r="B1479" s="722" t="str">
        <f>CONCATENATE(LEFT(RIGHT(CONCATENATE("000",IFAData_TEA!A1479),6),3),"-",(RIGHT(RIGHT(CONCATENATE("000",IFAData_TEA!A1479),6),3)))</f>
        <v>161-907</v>
      </c>
      <c r="C1479" s="979" t="s">
        <v>1257</v>
      </c>
      <c r="D1479" s="979">
        <v>4</v>
      </c>
      <c r="E1479" s="979">
        <v>2036</v>
      </c>
      <c r="F1479" s="979" t="s">
        <v>5199</v>
      </c>
      <c r="G1479" s="979" t="s">
        <v>6296</v>
      </c>
      <c r="H1479" s="1030">
        <v>336827</v>
      </c>
      <c r="I1479" s="1030">
        <v>82323</v>
      </c>
      <c r="J1479" s="1034">
        <v>0.20080494676374813</v>
      </c>
      <c r="K1479" s="1030">
        <v>67636.527803592995</v>
      </c>
      <c r="L1479" s="1030">
        <v>67636.527803592995</v>
      </c>
      <c r="M1479" s="979">
        <v>599</v>
      </c>
    </row>
    <row r="1480" spans="1:13" ht="15">
      <c r="A1480" s="979" t="s">
        <v>3638</v>
      </c>
      <c r="B1480" s="722" t="str">
        <f>CONCATENATE(LEFT(RIGHT(CONCATENATE("000",IFAData_TEA!A1480),6),3),"-",(RIGHT(RIGHT(CONCATENATE("000",IFAData_TEA!A1480),6),3)))</f>
        <v>161-907</v>
      </c>
      <c r="C1480" s="979" t="s">
        <v>1257</v>
      </c>
      <c r="D1480" s="979">
        <v>6</v>
      </c>
      <c r="E1480" s="979">
        <v>2035</v>
      </c>
      <c r="F1480" s="979" t="s">
        <v>5201</v>
      </c>
      <c r="G1480" s="979" t="s">
        <v>5202</v>
      </c>
      <c r="H1480" s="1030">
        <v>330640</v>
      </c>
      <c r="I1480" s="1030">
        <v>138100</v>
      </c>
      <c r="J1480" s="1034">
        <v>0.36020762148204177</v>
      </c>
      <c r="K1480" s="1030">
        <v>119099.0479668223</v>
      </c>
      <c r="L1480" s="1030">
        <v>119099.0479668223</v>
      </c>
      <c r="M1480" s="979">
        <v>599</v>
      </c>
    </row>
    <row r="1481" spans="1:13" ht="15">
      <c r="A1481" s="979" t="s">
        <v>3638</v>
      </c>
      <c r="B1481" s="722" t="str">
        <f>CONCATENATE(LEFT(RIGHT(CONCATENATE("000",IFAData_TEA!A1481),6),3),"-",(RIGHT(RIGHT(CONCATENATE("000",IFAData_TEA!A1481),6),3)))</f>
        <v>161-907</v>
      </c>
      <c r="C1481" s="979" t="s">
        <v>1257</v>
      </c>
      <c r="D1481" s="979">
        <v>6</v>
      </c>
      <c r="E1481" s="979">
        <v>2035</v>
      </c>
      <c r="F1481" s="979" t="s">
        <v>5201</v>
      </c>
      <c r="G1481" s="979" t="s">
        <v>5203</v>
      </c>
      <c r="H1481" s="1030">
        <v>330640</v>
      </c>
      <c r="I1481" s="1030">
        <v>245290</v>
      </c>
      <c r="J1481" s="1034">
        <v>0.63979237851795823</v>
      </c>
      <c r="K1481" s="1030">
        <v>211540.95203317772</v>
      </c>
      <c r="L1481" s="1030">
        <v>211540.95203317772</v>
      </c>
      <c r="M1481" s="979">
        <v>599</v>
      </c>
    </row>
    <row r="1482" spans="1:13" ht="15">
      <c r="A1482" s="979" t="s">
        <v>3638</v>
      </c>
      <c r="B1482" s="722" t="str">
        <f>CONCATENATE(LEFT(RIGHT(CONCATENATE("000",IFAData_TEA!A1482),6),3),"-",(RIGHT(RIGHT(CONCATENATE("000",IFAData_TEA!A1482),6),3)))</f>
        <v>161-907</v>
      </c>
      <c r="C1482" s="979" t="s">
        <v>1257</v>
      </c>
      <c r="D1482" s="979">
        <v>4</v>
      </c>
      <c r="E1482" s="979">
        <v>2036</v>
      </c>
      <c r="F1482" s="979" t="s">
        <v>5199</v>
      </c>
      <c r="G1482" s="979" t="s">
        <v>5199</v>
      </c>
      <c r="H1482" s="1030">
        <v>336827</v>
      </c>
      <c r="I1482" s="1030">
        <v>0</v>
      </c>
      <c r="J1482" s="1034">
        <v>0</v>
      </c>
      <c r="K1482" s="1030">
        <v>0</v>
      </c>
      <c r="L1482" s="1030">
        <v>0</v>
      </c>
      <c r="M1482" s="979">
        <v>599</v>
      </c>
    </row>
    <row r="1483" spans="1:13" ht="15">
      <c r="A1483" s="979" t="s">
        <v>3638</v>
      </c>
      <c r="B1483" s="722" t="str">
        <f>CONCATENATE(LEFT(RIGHT(CONCATENATE("000",IFAData_TEA!A1483),6),3),"-",(RIGHT(RIGHT(CONCATENATE("000",IFAData_TEA!A1483),6),3)))</f>
        <v>161-907</v>
      </c>
      <c r="C1483" s="979" t="s">
        <v>1257</v>
      </c>
      <c r="D1483" s="979">
        <v>4</v>
      </c>
      <c r="E1483" s="979">
        <v>2036</v>
      </c>
      <c r="F1483" s="979" t="s">
        <v>5199</v>
      </c>
      <c r="G1483" s="979" t="s">
        <v>5200</v>
      </c>
      <c r="H1483" s="1030">
        <v>336827</v>
      </c>
      <c r="I1483" s="1030">
        <v>327642</v>
      </c>
      <c r="J1483" s="1034">
        <v>0.79919505323625184</v>
      </c>
      <c r="K1483" s="1030">
        <v>269190.47219640698</v>
      </c>
      <c r="L1483" s="1030">
        <v>269190.47219640698</v>
      </c>
      <c r="M1483" s="979">
        <v>599</v>
      </c>
    </row>
    <row r="1484" spans="1:13" ht="15">
      <c r="A1484" s="979" t="s">
        <v>3638</v>
      </c>
      <c r="B1484" s="722" t="str">
        <f>CONCATENATE(LEFT(RIGHT(CONCATENATE("000",IFAData_TEA!A1484),6),3),"-",(RIGHT(RIGHT(CONCATENATE("000",IFAData_TEA!A1484),6),3)))</f>
        <v>161-907</v>
      </c>
      <c r="C1484" s="979" t="s">
        <v>1257</v>
      </c>
      <c r="D1484" s="979">
        <v>6</v>
      </c>
      <c r="E1484" s="979">
        <v>2035</v>
      </c>
      <c r="F1484" s="979" t="s">
        <v>5201</v>
      </c>
      <c r="G1484" s="979" t="s">
        <v>5201</v>
      </c>
      <c r="H1484" s="1030">
        <v>330640</v>
      </c>
      <c r="I1484" s="1030">
        <v>0</v>
      </c>
      <c r="J1484" s="1034">
        <v>0</v>
      </c>
      <c r="K1484" s="1030">
        <v>0</v>
      </c>
      <c r="L1484" s="1030">
        <v>0</v>
      </c>
      <c r="M1484" s="979">
        <v>599</v>
      </c>
    </row>
    <row r="1485" spans="1:13" ht="15">
      <c r="A1485" s="979" t="s">
        <v>3639</v>
      </c>
      <c r="B1485" s="722" t="str">
        <f>CONCATENATE(LEFT(RIGHT(CONCATENATE("000",IFAData_TEA!A1485),6),3),"-",(RIGHT(RIGHT(CONCATENATE("000",IFAData_TEA!A1485),6),3)))</f>
        <v>161-908</v>
      </c>
      <c r="C1485" s="979" t="s">
        <v>2064</v>
      </c>
      <c r="D1485" s="979">
        <v>2</v>
      </c>
      <c r="E1485" s="979">
        <v>2069</v>
      </c>
      <c r="F1485" s="979" t="s">
        <v>5204</v>
      </c>
      <c r="G1485" s="979" t="s">
        <v>5205</v>
      </c>
      <c r="H1485" s="1030">
        <v>177063</v>
      </c>
      <c r="I1485" s="1030">
        <v>304475</v>
      </c>
      <c r="J1485" s="1034">
        <v>1</v>
      </c>
      <c r="K1485" s="1030">
        <v>177063</v>
      </c>
      <c r="L1485" s="1030">
        <v>177063</v>
      </c>
      <c r="M1485" s="979">
        <v>599</v>
      </c>
    </row>
    <row r="1486" spans="1:13" ht="15">
      <c r="A1486" s="979" t="s">
        <v>3639</v>
      </c>
      <c r="B1486" s="722" t="str">
        <f>CONCATENATE(LEFT(RIGHT(CONCATENATE("000",IFAData_TEA!A1486),6),3),"-",(RIGHT(RIGHT(CONCATENATE("000",IFAData_TEA!A1486),6),3)))</f>
        <v>161-908</v>
      </c>
      <c r="C1486" s="979" t="s">
        <v>2064</v>
      </c>
      <c r="D1486" s="979">
        <v>2</v>
      </c>
      <c r="E1486" s="979">
        <v>2069</v>
      </c>
      <c r="F1486" s="979" t="s">
        <v>5204</v>
      </c>
      <c r="G1486" s="979" t="s">
        <v>5204</v>
      </c>
      <c r="H1486" s="1030">
        <v>177063</v>
      </c>
      <c r="I1486" s="1030">
        <v>0</v>
      </c>
      <c r="J1486" s="1034">
        <v>0</v>
      </c>
      <c r="K1486" s="1030">
        <v>0</v>
      </c>
      <c r="L1486" s="1030">
        <v>0</v>
      </c>
      <c r="M1486" s="979">
        <v>599</v>
      </c>
    </row>
    <row r="1487" spans="1:13" ht="15">
      <c r="A1487" s="979" t="s">
        <v>3640</v>
      </c>
      <c r="B1487" s="722" t="str">
        <f>CONCATENATE(LEFT(RIGHT(CONCATENATE("000",IFAData_TEA!A1487),6),3),"-",(RIGHT(RIGHT(CONCATENATE("000",IFAData_TEA!A1487),6),3)))</f>
        <v>161-909</v>
      </c>
      <c r="C1487" s="979" t="s">
        <v>819</v>
      </c>
      <c r="D1487" s="979">
        <v>5</v>
      </c>
      <c r="E1487" s="979">
        <v>2081</v>
      </c>
      <c r="F1487" s="979" t="s">
        <v>5206</v>
      </c>
      <c r="G1487" s="979" t="s">
        <v>5206</v>
      </c>
      <c r="H1487" s="1030">
        <v>241790</v>
      </c>
      <c r="I1487" s="1030">
        <v>314365</v>
      </c>
      <c r="J1487" s="1034">
        <v>0.50724813068579711</v>
      </c>
      <c r="K1487" s="1030">
        <v>122647.52551851889</v>
      </c>
      <c r="L1487" s="1030">
        <v>122647.52551851889</v>
      </c>
      <c r="M1487" s="979">
        <v>599</v>
      </c>
    </row>
    <row r="1488" spans="1:13" ht="15">
      <c r="A1488" s="979" t="s">
        <v>3640</v>
      </c>
      <c r="B1488" s="722" t="str">
        <f>CONCATENATE(LEFT(RIGHT(CONCATENATE("000",IFAData_TEA!A1488),6),3),"-",(RIGHT(RIGHT(CONCATENATE("000",IFAData_TEA!A1488),6),3)))</f>
        <v>161-909</v>
      </c>
      <c r="C1488" s="979" t="s">
        <v>819</v>
      </c>
      <c r="D1488" s="979">
        <v>5</v>
      </c>
      <c r="E1488" s="979">
        <v>2081</v>
      </c>
      <c r="F1488" s="979" t="s">
        <v>5206</v>
      </c>
      <c r="G1488" s="979" t="s">
        <v>5207</v>
      </c>
      <c r="H1488" s="1030">
        <v>241790</v>
      </c>
      <c r="I1488" s="1030">
        <v>305381</v>
      </c>
      <c r="J1488" s="1034">
        <v>0.49275186931420289</v>
      </c>
      <c r="K1488" s="1030">
        <v>119142.47448148111</v>
      </c>
      <c r="L1488" s="1030">
        <v>119142.47448148111</v>
      </c>
      <c r="M1488" s="979">
        <v>599</v>
      </c>
    </row>
    <row r="1489" spans="1:13" ht="15">
      <c r="A1489" s="979" t="s">
        <v>3641</v>
      </c>
      <c r="B1489" s="722" t="str">
        <f>CONCATENATE(LEFT(RIGHT(CONCATENATE("000",IFAData_TEA!A1489),6),3),"-",(RIGHT(RIGHT(CONCATENATE("000",IFAData_TEA!A1489),6),3)))</f>
        <v>161-910</v>
      </c>
      <c r="C1489" s="979" t="s">
        <v>1750</v>
      </c>
      <c r="D1489" s="979">
        <v>10</v>
      </c>
      <c r="E1489" s="979">
        <v>2119</v>
      </c>
      <c r="F1489" s="979" t="s">
        <v>5208</v>
      </c>
      <c r="G1489" s="979" t="s">
        <v>5208</v>
      </c>
      <c r="H1489" s="1030">
        <v>185967</v>
      </c>
      <c r="I1489" s="1030">
        <v>726744</v>
      </c>
      <c r="J1489" s="1034">
        <v>1</v>
      </c>
      <c r="K1489" s="1030">
        <v>185967</v>
      </c>
      <c r="L1489" s="1030">
        <v>185967</v>
      </c>
      <c r="M1489" s="979">
        <v>599</v>
      </c>
    </row>
    <row r="1490" spans="1:13" ht="15">
      <c r="A1490" s="979" t="s">
        <v>3642</v>
      </c>
      <c r="B1490" s="722" t="str">
        <f>CONCATENATE(LEFT(RIGHT(CONCATENATE("000",IFAData_TEA!A1490),6),3),"-",(RIGHT(RIGHT(CONCATENATE("000",IFAData_TEA!A1490),6),3)))</f>
        <v>161-912</v>
      </c>
      <c r="C1490" s="979" t="s">
        <v>1740</v>
      </c>
      <c r="D1490" s="979">
        <v>2</v>
      </c>
      <c r="E1490" s="979">
        <v>2238</v>
      </c>
      <c r="F1490" s="979" t="s">
        <v>5209</v>
      </c>
      <c r="G1490" s="979" t="s">
        <v>5209</v>
      </c>
      <c r="H1490" s="1030">
        <v>154071</v>
      </c>
      <c r="I1490" s="1030">
        <v>0</v>
      </c>
      <c r="J1490" s="1034">
        <v>0</v>
      </c>
      <c r="K1490" s="1030">
        <v>0</v>
      </c>
      <c r="L1490" s="1030">
        <v>0</v>
      </c>
      <c r="M1490" s="979">
        <v>599</v>
      </c>
    </row>
    <row r="1491" spans="1:13" ht="15">
      <c r="A1491" s="979" t="s">
        <v>3642</v>
      </c>
      <c r="B1491" s="722" t="str">
        <f>CONCATENATE(LEFT(RIGHT(CONCATENATE("000",IFAData_TEA!A1491),6),3),"-",(RIGHT(RIGHT(CONCATENATE("000",IFAData_TEA!A1491),6),3)))</f>
        <v>161-912</v>
      </c>
      <c r="C1491" s="979" t="s">
        <v>1740</v>
      </c>
      <c r="D1491" s="979">
        <v>10</v>
      </c>
      <c r="E1491" s="979">
        <v>2237</v>
      </c>
      <c r="F1491" s="979" t="s">
        <v>5212</v>
      </c>
      <c r="G1491" s="979" t="s">
        <v>5212</v>
      </c>
      <c r="H1491" s="1030">
        <v>131250</v>
      </c>
      <c r="I1491" s="1030">
        <v>775000</v>
      </c>
      <c r="J1491" s="1034">
        <v>1</v>
      </c>
      <c r="K1491" s="1030">
        <v>131250</v>
      </c>
      <c r="L1491" s="1030">
        <v>131250</v>
      </c>
      <c r="M1491" s="979">
        <v>599</v>
      </c>
    </row>
    <row r="1492" spans="1:13" ht="15">
      <c r="A1492" s="979" t="s">
        <v>3642</v>
      </c>
      <c r="B1492" s="722" t="str">
        <f>CONCATENATE(LEFT(RIGHT(CONCATENATE("000",IFAData_TEA!A1492),6),3),"-",(RIGHT(RIGHT(CONCATENATE("000",IFAData_TEA!A1492),6),3)))</f>
        <v>161-912</v>
      </c>
      <c r="C1492" s="979" t="s">
        <v>1740</v>
      </c>
      <c r="D1492" s="979">
        <v>2</v>
      </c>
      <c r="E1492" s="979">
        <v>2238</v>
      </c>
      <c r="F1492" s="979" t="s">
        <v>5209</v>
      </c>
      <c r="G1492" s="979" t="s">
        <v>5210</v>
      </c>
      <c r="H1492" s="1030">
        <v>154071</v>
      </c>
      <c r="I1492" s="1030">
        <v>138800</v>
      </c>
      <c r="J1492" s="1034">
        <v>1</v>
      </c>
      <c r="K1492" s="1030">
        <v>154071</v>
      </c>
      <c r="L1492" s="1030">
        <v>138800</v>
      </c>
      <c r="M1492" s="979">
        <v>599</v>
      </c>
    </row>
    <row r="1493" spans="1:13" ht="15">
      <c r="A1493" s="979" t="s">
        <v>3642</v>
      </c>
      <c r="B1493" s="722" t="str">
        <f>CONCATENATE(LEFT(RIGHT(CONCATENATE("000",IFAData_TEA!A1493),6),3),"-",(RIGHT(RIGHT(CONCATENATE("000",IFAData_TEA!A1493),6),3)))</f>
        <v>161-912</v>
      </c>
      <c r="C1493" s="979" t="s">
        <v>1740</v>
      </c>
      <c r="D1493" s="979">
        <v>6</v>
      </c>
      <c r="E1493" s="979">
        <v>2236</v>
      </c>
      <c r="F1493" s="979" t="s">
        <v>5211</v>
      </c>
      <c r="G1493" s="979" t="s">
        <v>5211</v>
      </c>
      <c r="H1493" s="1030">
        <v>120494</v>
      </c>
      <c r="I1493" s="1030">
        <v>124844</v>
      </c>
      <c r="J1493" s="1034">
        <v>1</v>
      </c>
      <c r="K1493" s="1030">
        <v>120494</v>
      </c>
      <c r="L1493" s="1030">
        <v>120494</v>
      </c>
      <c r="M1493" s="979">
        <v>599</v>
      </c>
    </row>
    <row r="1494" spans="1:13" ht="15">
      <c r="A1494" s="979" t="s">
        <v>3643</v>
      </c>
      <c r="B1494" s="722" t="str">
        <f>CONCATENATE(LEFT(RIGHT(CONCATENATE("000",IFAData_TEA!A1494),6),3),"-",(RIGHT(RIGHT(CONCATENATE("000",IFAData_TEA!A1494),6),3)))</f>
        <v>161-914</v>
      </c>
      <c r="C1494" s="979" t="s">
        <v>136</v>
      </c>
      <c r="D1494" s="979">
        <v>6</v>
      </c>
      <c r="E1494" s="979">
        <v>2429</v>
      </c>
      <c r="F1494" s="979" t="s">
        <v>5214</v>
      </c>
      <c r="G1494" s="979" t="s">
        <v>5215</v>
      </c>
      <c r="H1494" s="1030">
        <v>908082</v>
      </c>
      <c r="I1494" s="1030">
        <v>216400</v>
      </c>
      <c r="J1494" s="1034">
        <v>0.10045697711772035</v>
      </c>
      <c r="K1494" s="1030">
        <v>91223.172695013738</v>
      </c>
      <c r="L1494" s="1030">
        <v>91223.172695013738</v>
      </c>
      <c r="M1494" s="979">
        <v>599</v>
      </c>
    </row>
    <row r="1495" spans="1:13" ht="15">
      <c r="A1495" s="979" t="s">
        <v>3643</v>
      </c>
      <c r="B1495" s="722" t="str">
        <f>CONCATENATE(LEFT(RIGHT(CONCATENATE("000",IFAData_TEA!A1495),6),3),"-",(RIGHT(RIGHT(CONCATENATE("000",IFAData_TEA!A1495),6),3)))</f>
        <v>161-914</v>
      </c>
      <c r="C1495" s="979" t="s">
        <v>136</v>
      </c>
      <c r="D1495" s="979">
        <v>6</v>
      </c>
      <c r="E1495" s="979">
        <v>2429</v>
      </c>
      <c r="F1495" s="979" t="s">
        <v>5214</v>
      </c>
      <c r="G1495" s="979" t="s">
        <v>5214</v>
      </c>
      <c r="H1495" s="1030">
        <v>908082</v>
      </c>
      <c r="I1495" s="1030">
        <v>1614150</v>
      </c>
      <c r="J1495" s="1034">
        <v>0.74931899082517706</v>
      </c>
      <c r="K1495" s="1030">
        <v>680443.08782650845</v>
      </c>
      <c r="L1495" s="1030">
        <v>680443.08782650845</v>
      </c>
      <c r="M1495" s="979">
        <v>599</v>
      </c>
    </row>
    <row r="1496" spans="1:13" ht="15">
      <c r="A1496" s="979" t="s">
        <v>3643</v>
      </c>
      <c r="B1496" s="722" t="str">
        <f>CONCATENATE(LEFT(RIGHT(CONCATENATE("000",IFAData_TEA!A1496),6),3),"-",(RIGHT(RIGHT(CONCATENATE("000",IFAData_TEA!A1496),6),3)))</f>
        <v>161-914</v>
      </c>
      <c r="C1496" s="979" t="s">
        <v>136</v>
      </c>
      <c r="D1496" s="979">
        <v>2</v>
      </c>
      <c r="E1496" s="979">
        <v>2430</v>
      </c>
      <c r="F1496" s="979" t="s">
        <v>5213</v>
      </c>
      <c r="G1496" s="979" t="s">
        <v>5213</v>
      </c>
      <c r="H1496" s="1030">
        <v>1464892</v>
      </c>
      <c r="I1496" s="1030">
        <v>0</v>
      </c>
      <c r="J1496" s="1034">
        <v>0</v>
      </c>
      <c r="K1496" s="1030"/>
      <c r="L1496" s="1030">
        <v>0</v>
      </c>
      <c r="M1496" s="979">
        <v>599</v>
      </c>
    </row>
    <row r="1497" spans="1:13" ht="15">
      <c r="A1497" s="979" t="s">
        <v>3643</v>
      </c>
      <c r="B1497" s="722" t="str">
        <f>CONCATENATE(LEFT(RIGHT(CONCATENATE("000",IFAData_TEA!A1497),6),3),"-",(RIGHT(RIGHT(CONCATENATE("000",IFAData_TEA!A1497),6),3)))</f>
        <v>161-914</v>
      </c>
      <c r="C1497" s="979" t="s">
        <v>136</v>
      </c>
      <c r="D1497" s="979">
        <v>6</v>
      </c>
      <c r="E1497" s="979">
        <v>2429</v>
      </c>
      <c r="F1497" s="979" t="s">
        <v>5214</v>
      </c>
      <c r="G1497" s="979" t="s">
        <v>5216</v>
      </c>
      <c r="H1497" s="1030">
        <v>908082</v>
      </c>
      <c r="I1497" s="1030">
        <v>323606</v>
      </c>
      <c r="J1497" s="1034">
        <v>0.15022403205710264</v>
      </c>
      <c r="K1497" s="1030">
        <v>136415.73947847789</v>
      </c>
      <c r="L1497" s="1030">
        <v>136415.73947847789</v>
      </c>
      <c r="M1497" s="979">
        <v>599</v>
      </c>
    </row>
    <row r="1498" spans="1:13" ht="15">
      <c r="A1498" s="979" t="s">
        <v>3643</v>
      </c>
      <c r="B1498" s="722" t="str">
        <f>CONCATENATE(LEFT(RIGHT(CONCATENATE("000",IFAData_TEA!A1498),6),3),"-",(RIGHT(RIGHT(CONCATENATE("000",IFAData_TEA!A1498),6),3)))</f>
        <v>161-914</v>
      </c>
      <c r="C1498" s="979" t="s">
        <v>136</v>
      </c>
      <c r="D1498" s="979">
        <v>10</v>
      </c>
      <c r="E1498" s="979">
        <v>2431</v>
      </c>
      <c r="F1498" s="979" t="s">
        <v>5217</v>
      </c>
      <c r="G1498" s="979" t="s">
        <v>5217</v>
      </c>
      <c r="H1498" s="1030">
        <v>2267241</v>
      </c>
      <c r="I1498" s="1030">
        <v>2362745</v>
      </c>
      <c r="J1498" s="1034">
        <v>1</v>
      </c>
      <c r="K1498" s="1030">
        <v>2267241</v>
      </c>
      <c r="L1498" s="1030">
        <v>2267241</v>
      </c>
      <c r="M1498" s="979">
        <v>599</v>
      </c>
    </row>
    <row r="1499" spans="1:13" ht="15">
      <c r="A1499" s="979" t="s">
        <v>3644</v>
      </c>
      <c r="B1499" s="722" t="str">
        <f>CONCATENATE(LEFT(RIGHT(CONCATENATE("000",IFAData_TEA!A1499),6),3),"-",(RIGHT(RIGHT(CONCATENATE("000",IFAData_TEA!A1499),6),3)))</f>
        <v>161-916</v>
      </c>
      <c r="C1499" s="979" t="s">
        <v>1430</v>
      </c>
      <c r="D1499" s="979">
        <v>3</v>
      </c>
      <c r="E1499" s="979">
        <v>2444</v>
      </c>
      <c r="F1499" s="979" t="s">
        <v>5218</v>
      </c>
      <c r="G1499" s="979" t="s">
        <v>5219</v>
      </c>
      <c r="H1499" s="1030">
        <v>489842</v>
      </c>
      <c r="I1499" s="1030">
        <v>643422</v>
      </c>
      <c r="J1499" s="1034">
        <v>0.94915259237842076</v>
      </c>
      <c r="K1499" s="1030">
        <v>464934.80415583035</v>
      </c>
      <c r="L1499" s="1030">
        <v>464934.80415583035</v>
      </c>
      <c r="M1499" s="979">
        <v>599</v>
      </c>
    </row>
    <row r="1500" spans="1:13" ht="15">
      <c r="A1500" s="979" t="s">
        <v>3644</v>
      </c>
      <c r="B1500" s="722" t="str">
        <f>CONCATENATE(LEFT(RIGHT(CONCATENATE("000",IFAData_TEA!A1500),6),3),"-",(RIGHT(RIGHT(CONCATENATE("000",IFAData_TEA!A1500),6),3)))</f>
        <v>161-916</v>
      </c>
      <c r="C1500" s="979" t="s">
        <v>1430</v>
      </c>
      <c r="D1500" s="979">
        <v>3</v>
      </c>
      <c r="E1500" s="979">
        <v>2444</v>
      </c>
      <c r="F1500" s="979" t="s">
        <v>5218</v>
      </c>
      <c r="G1500" s="979" t="s">
        <v>5218</v>
      </c>
      <c r="H1500" s="1030">
        <v>489842</v>
      </c>
      <c r="I1500" s="1030">
        <v>34469</v>
      </c>
      <c r="J1500" s="1034">
        <v>5.0847407621579278E-2</v>
      </c>
      <c r="K1500" s="1030">
        <v>24907.195844169637</v>
      </c>
      <c r="L1500" s="1030">
        <v>24907.195844169637</v>
      </c>
      <c r="M1500" s="979">
        <v>599</v>
      </c>
    </row>
    <row r="1501" spans="1:13" ht="15">
      <c r="A1501" s="979" t="s">
        <v>3645</v>
      </c>
      <c r="B1501" s="722" t="str">
        <f>CONCATENATE(LEFT(RIGHT(CONCATENATE("000",IFAData_TEA!A1501),6),3),"-",(RIGHT(RIGHT(CONCATENATE("000",IFAData_TEA!A1501),6),3)))</f>
        <v>161-919</v>
      </c>
      <c r="C1501" s="979" t="s">
        <v>1752</v>
      </c>
      <c r="D1501" s="979">
        <v>9</v>
      </c>
      <c r="E1501" s="979">
        <v>1645</v>
      </c>
      <c r="F1501" s="979" t="s">
        <v>5220</v>
      </c>
      <c r="G1501" s="979" t="s">
        <v>5220</v>
      </c>
      <c r="H1501" s="1030">
        <v>204185</v>
      </c>
      <c r="I1501" s="1030">
        <v>362935</v>
      </c>
      <c r="J1501" s="1034">
        <v>1</v>
      </c>
      <c r="K1501" s="1030">
        <v>204185</v>
      </c>
      <c r="L1501" s="1030">
        <v>204185</v>
      </c>
      <c r="M1501" s="979">
        <v>599</v>
      </c>
    </row>
    <row r="1502" spans="1:13" ht="15">
      <c r="A1502" s="979" t="s">
        <v>3646</v>
      </c>
      <c r="B1502" s="722" t="str">
        <f>CONCATENATE(LEFT(RIGHT(CONCATENATE("000",IFAData_TEA!A1502),6),3),"-",(RIGHT(RIGHT(CONCATENATE("000",IFAData_TEA!A1502),6),3)))</f>
        <v>161-920</v>
      </c>
      <c r="C1502" s="979" t="s">
        <v>1160</v>
      </c>
      <c r="D1502" s="979">
        <v>2</v>
      </c>
      <c r="E1502" s="979">
        <v>1688</v>
      </c>
      <c r="F1502" s="979" t="s">
        <v>5221</v>
      </c>
      <c r="G1502" s="979" t="s">
        <v>5222</v>
      </c>
      <c r="H1502" s="1030">
        <v>361316</v>
      </c>
      <c r="I1502" s="1030">
        <v>332054</v>
      </c>
      <c r="J1502" s="1034">
        <v>1</v>
      </c>
      <c r="K1502" s="1030">
        <v>361316</v>
      </c>
      <c r="L1502" s="1030">
        <v>332054</v>
      </c>
      <c r="M1502" s="979">
        <v>599</v>
      </c>
    </row>
    <row r="1503" spans="1:13" ht="15">
      <c r="A1503" s="979" t="s">
        <v>3646</v>
      </c>
      <c r="B1503" s="722" t="str">
        <f>CONCATENATE(LEFT(RIGHT(CONCATENATE("000",IFAData_TEA!A1503),6),3),"-",(RIGHT(RIGHT(CONCATENATE("000",IFAData_TEA!A1503),6),3)))</f>
        <v>161-920</v>
      </c>
      <c r="C1503" s="979" t="s">
        <v>1160</v>
      </c>
      <c r="D1503" s="979">
        <v>6</v>
      </c>
      <c r="E1503" s="979">
        <v>1689</v>
      </c>
      <c r="F1503" s="979" t="s">
        <v>5223</v>
      </c>
      <c r="G1503" s="979" t="s">
        <v>5222</v>
      </c>
      <c r="H1503" s="1030">
        <v>361625</v>
      </c>
      <c r="I1503" s="1030">
        <v>168337</v>
      </c>
      <c r="J1503" s="1034">
        <v>0.43080927251974427</v>
      </c>
      <c r="K1503" s="1030">
        <v>155791.40317495252</v>
      </c>
      <c r="L1503" s="1030">
        <v>155791.40317495252</v>
      </c>
      <c r="M1503" s="979">
        <v>599</v>
      </c>
    </row>
    <row r="1504" spans="1:13" ht="15">
      <c r="A1504" s="979" t="s">
        <v>3646</v>
      </c>
      <c r="B1504" s="722" t="str">
        <f>CONCATENATE(LEFT(RIGHT(CONCATENATE("000",IFAData_TEA!A1504),6),3),"-",(RIGHT(RIGHT(CONCATENATE("000",IFAData_TEA!A1504),6),3)))</f>
        <v>161-920</v>
      </c>
      <c r="C1504" s="979" t="s">
        <v>1160</v>
      </c>
      <c r="D1504" s="979">
        <v>6</v>
      </c>
      <c r="E1504" s="979">
        <v>1689</v>
      </c>
      <c r="F1504" s="979" t="s">
        <v>5223</v>
      </c>
      <c r="G1504" s="979" t="s">
        <v>5224</v>
      </c>
      <c r="H1504" s="1030">
        <v>361625</v>
      </c>
      <c r="I1504" s="1030">
        <v>222409</v>
      </c>
      <c r="J1504" s="1034">
        <v>0.56919072748025568</v>
      </c>
      <c r="K1504" s="1030">
        <v>205833.59682504745</v>
      </c>
      <c r="L1504" s="1030">
        <v>205833.59682504745</v>
      </c>
      <c r="M1504" s="979">
        <v>599</v>
      </c>
    </row>
    <row r="1505" spans="1:13" ht="15">
      <c r="A1505" s="979" t="s">
        <v>3646</v>
      </c>
      <c r="B1505" s="722" t="str">
        <f>CONCATENATE(LEFT(RIGHT(CONCATENATE("000",IFAData_TEA!A1505),6),3),"-",(RIGHT(RIGHT(CONCATENATE("000",IFAData_TEA!A1505),6),3)))</f>
        <v>161-920</v>
      </c>
      <c r="C1505" s="979" t="s">
        <v>1160</v>
      </c>
      <c r="D1505" s="979">
        <v>2</v>
      </c>
      <c r="E1505" s="979">
        <v>1688</v>
      </c>
      <c r="F1505" s="979" t="s">
        <v>5221</v>
      </c>
      <c r="G1505" s="979" t="s">
        <v>5221</v>
      </c>
      <c r="H1505" s="1030">
        <v>361316</v>
      </c>
      <c r="I1505" s="1030">
        <v>0</v>
      </c>
      <c r="J1505" s="1034">
        <v>0</v>
      </c>
      <c r="K1505" s="1030">
        <v>0</v>
      </c>
      <c r="L1505" s="1030">
        <v>0</v>
      </c>
      <c r="M1505" s="979">
        <v>599</v>
      </c>
    </row>
    <row r="1506" spans="1:13" ht="15">
      <c r="A1506" s="979" t="s">
        <v>3646</v>
      </c>
      <c r="B1506" s="722" t="str">
        <f>CONCATENATE(LEFT(RIGHT(CONCATENATE("000",IFAData_TEA!A1506),6),3),"-",(RIGHT(RIGHT(CONCATENATE("000",IFAData_TEA!A1506),6),3)))</f>
        <v>161-920</v>
      </c>
      <c r="C1506" s="979" t="s">
        <v>1160</v>
      </c>
      <c r="D1506" s="979">
        <v>6</v>
      </c>
      <c r="E1506" s="979">
        <v>1689</v>
      </c>
      <c r="F1506" s="979" t="s">
        <v>5223</v>
      </c>
      <c r="G1506" s="979" t="s">
        <v>5223</v>
      </c>
      <c r="H1506" s="1030">
        <v>361625</v>
      </c>
      <c r="I1506" s="1030">
        <v>0</v>
      </c>
      <c r="J1506" s="1034">
        <v>0</v>
      </c>
      <c r="K1506" s="1030">
        <v>0</v>
      </c>
      <c r="L1506" s="1030">
        <v>0</v>
      </c>
      <c r="M1506" s="979">
        <v>599</v>
      </c>
    </row>
    <row r="1507" spans="1:13" ht="15">
      <c r="A1507" s="979" t="s">
        <v>3646</v>
      </c>
      <c r="B1507" s="722" t="str">
        <f>CONCATENATE(LEFT(RIGHT(CONCATENATE("000",IFAData_TEA!A1507),6),3),"-",(RIGHT(RIGHT(CONCATENATE("000",IFAData_TEA!A1507),6),3)))</f>
        <v>161-920</v>
      </c>
      <c r="C1507" s="979" t="s">
        <v>1160</v>
      </c>
      <c r="D1507" s="979">
        <v>9</v>
      </c>
      <c r="E1507" s="979">
        <v>1690</v>
      </c>
      <c r="F1507" s="979" t="s">
        <v>5225</v>
      </c>
      <c r="G1507" s="979" t="s">
        <v>5225</v>
      </c>
      <c r="H1507" s="1030">
        <v>535250</v>
      </c>
      <c r="I1507" s="1030">
        <v>1407420</v>
      </c>
      <c r="J1507" s="1034">
        <v>0.89163218192737803</v>
      </c>
      <c r="K1507" s="1030">
        <v>477246.12537662912</v>
      </c>
      <c r="L1507" s="1030">
        <v>477246.12537662912</v>
      </c>
      <c r="M1507" s="979">
        <v>599</v>
      </c>
    </row>
    <row r="1508" spans="1:13" ht="15">
      <c r="A1508" s="979" t="s">
        <v>3646</v>
      </c>
      <c r="B1508" s="722" t="str">
        <f>CONCATENATE(LEFT(RIGHT(CONCATENATE("000",IFAData_TEA!A1508),6),3),"-",(RIGHT(RIGHT(CONCATENATE("000",IFAData_TEA!A1508),6),3)))</f>
        <v>161-920</v>
      </c>
      <c r="C1508" s="979" t="s">
        <v>1160</v>
      </c>
      <c r="D1508" s="979">
        <v>9</v>
      </c>
      <c r="E1508" s="979">
        <v>1690</v>
      </c>
      <c r="F1508" s="979" t="s">
        <v>5225</v>
      </c>
      <c r="G1508" s="979" t="s">
        <v>6297</v>
      </c>
      <c r="H1508" s="1030">
        <v>535250</v>
      </c>
      <c r="I1508" s="1030">
        <v>171056</v>
      </c>
      <c r="J1508" s="1034">
        <v>0.10836781807262194</v>
      </c>
      <c r="K1508" s="1030">
        <v>58003.874623370895</v>
      </c>
      <c r="L1508" s="1030">
        <v>58003.874623370895</v>
      </c>
      <c r="M1508" s="979">
        <v>599</v>
      </c>
    </row>
    <row r="1509" spans="1:13" ht="15">
      <c r="A1509" s="979" t="s">
        <v>3647</v>
      </c>
      <c r="B1509" s="722" t="str">
        <f>CONCATENATE(LEFT(RIGHT(CONCATENATE("000",IFAData_TEA!A1509),6),3),"-",(RIGHT(RIGHT(CONCATENATE("000",IFAData_TEA!A1509),6),3)))</f>
        <v>161-921</v>
      </c>
      <c r="C1509" s="979" t="s">
        <v>1552</v>
      </c>
      <c r="D1509" s="979">
        <v>3</v>
      </c>
      <c r="E1509" s="979">
        <v>1716</v>
      </c>
      <c r="F1509" s="979" t="s">
        <v>5227</v>
      </c>
      <c r="G1509" s="979" t="s">
        <v>5228</v>
      </c>
      <c r="H1509" s="1030">
        <v>590544</v>
      </c>
      <c r="I1509" s="1030">
        <v>805120</v>
      </c>
      <c r="J1509" s="1034">
        <v>0.92735567946610709</v>
      </c>
      <c r="K1509" s="1030">
        <v>547644.33237463271</v>
      </c>
      <c r="L1509" s="1030">
        <v>547644.33237463271</v>
      </c>
      <c r="M1509" s="979">
        <v>599</v>
      </c>
    </row>
    <row r="1510" spans="1:13" ht="15">
      <c r="A1510" s="979" t="s">
        <v>3647</v>
      </c>
      <c r="B1510" s="722" t="str">
        <f>CONCATENATE(LEFT(RIGHT(CONCATENATE("000",IFAData_TEA!A1510),6),3),"-",(RIGHT(RIGHT(CONCATENATE("000",IFAData_TEA!A1510),6),3)))</f>
        <v>161-921</v>
      </c>
      <c r="C1510" s="979" t="s">
        <v>1552</v>
      </c>
      <c r="D1510" s="979">
        <v>3</v>
      </c>
      <c r="E1510" s="979">
        <v>1716</v>
      </c>
      <c r="F1510" s="979" t="s">
        <v>5227</v>
      </c>
      <c r="G1510" s="979" t="s">
        <v>5229</v>
      </c>
      <c r="H1510" s="1030">
        <v>590544</v>
      </c>
      <c r="I1510" s="1030">
        <v>63069</v>
      </c>
      <c r="J1510" s="1034">
        <v>7.264432053389297E-2</v>
      </c>
      <c r="K1510" s="1030">
        <v>42899.667625367292</v>
      </c>
      <c r="L1510" s="1030">
        <v>42899.667625367292</v>
      </c>
      <c r="M1510" s="979">
        <v>599</v>
      </c>
    </row>
    <row r="1511" spans="1:13" ht="15">
      <c r="A1511" s="979" t="s">
        <v>3647</v>
      </c>
      <c r="B1511" s="722" t="str">
        <f>CONCATENATE(LEFT(RIGHT(CONCATENATE("000",IFAData_TEA!A1511),6),3),"-",(RIGHT(RIGHT(CONCATENATE("000",IFAData_TEA!A1511),6),3)))</f>
        <v>161-921</v>
      </c>
      <c r="C1511" s="979" t="s">
        <v>1552</v>
      </c>
      <c r="D1511" s="979">
        <v>2</v>
      </c>
      <c r="E1511" s="979">
        <v>1715</v>
      </c>
      <c r="F1511" s="979" t="s">
        <v>5226</v>
      </c>
      <c r="G1511" s="979" t="s">
        <v>5226</v>
      </c>
      <c r="H1511" s="1030">
        <v>141220</v>
      </c>
      <c r="I1511" s="1030">
        <v>0</v>
      </c>
      <c r="J1511" s="1034">
        <v>0</v>
      </c>
      <c r="K1511" s="1030"/>
      <c r="L1511" s="1030">
        <v>0</v>
      </c>
      <c r="M1511" s="979">
        <v>599</v>
      </c>
    </row>
    <row r="1512" spans="1:13" ht="15">
      <c r="A1512" s="979" t="s">
        <v>3647</v>
      </c>
      <c r="B1512" s="722" t="str">
        <f>CONCATENATE(LEFT(RIGHT(CONCATENATE("000",IFAData_TEA!A1512),6),3),"-",(RIGHT(RIGHT(CONCATENATE("000",IFAData_TEA!A1512),6),3)))</f>
        <v>161-921</v>
      </c>
      <c r="C1512" s="979" t="s">
        <v>1552</v>
      </c>
      <c r="D1512" s="979">
        <v>3</v>
      </c>
      <c r="E1512" s="979">
        <v>1716</v>
      </c>
      <c r="F1512" s="979" t="s">
        <v>5227</v>
      </c>
      <c r="G1512" s="979" t="s">
        <v>5227</v>
      </c>
      <c r="H1512" s="1030">
        <v>590544</v>
      </c>
      <c r="I1512" s="1030">
        <v>0</v>
      </c>
      <c r="J1512" s="1034">
        <v>0</v>
      </c>
      <c r="K1512" s="1030">
        <v>0</v>
      </c>
      <c r="L1512" s="1030">
        <v>0</v>
      </c>
      <c r="M1512" s="979">
        <v>599</v>
      </c>
    </row>
    <row r="1513" spans="1:13" ht="15">
      <c r="A1513" s="979" t="s">
        <v>3648</v>
      </c>
      <c r="B1513" s="722" t="str">
        <f>CONCATENATE(LEFT(RIGHT(CONCATENATE("000",IFAData_TEA!A1513),6),3),"-",(RIGHT(RIGHT(CONCATENATE("000",IFAData_TEA!A1513),6),3)))</f>
        <v>161-922</v>
      </c>
      <c r="C1513" s="979" t="s">
        <v>2698</v>
      </c>
      <c r="D1513" s="979">
        <v>3</v>
      </c>
      <c r="E1513" s="979">
        <v>2252</v>
      </c>
      <c r="F1513" s="979" t="s">
        <v>5230</v>
      </c>
      <c r="G1513" s="979" t="s">
        <v>5231</v>
      </c>
      <c r="H1513" s="1030">
        <v>486000</v>
      </c>
      <c r="I1513" s="1030">
        <v>1075814</v>
      </c>
      <c r="J1513" s="1034">
        <v>1</v>
      </c>
      <c r="K1513" s="1030">
        <v>486000</v>
      </c>
      <c r="L1513" s="1030">
        <v>486000</v>
      </c>
      <c r="M1513" s="979">
        <v>599</v>
      </c>
    </row>
    <row r="1514" spans="1:13" ht="15">
      <c r="A1514" s="979" t="s">
        <v>3648</v>
      </c>
      <c r="B1514" s="722" t="str">
        <f>CONCATENATE(LEFT(RIGHT(CONCATENATE("000",IFAData_TEA!A1514),6),3),"-",(RIGHT(RIGHT(CONCATENATE("000",IFAData_TEA!A1514),6),3)))</f>
        <v>161-922</v>
      </c>
      <c r="C1514" s="979" t="s">
        <v>2698</v>
      </c>
      <c r="D1514" s="979">
        <v>3</v>
      </c>
      <c r="E1514" s="979">
        <v>2252</v>
      </c>
      <c r="F1514" s="979" t="s">
        <v>5230</v>
      </c>
      <c r="G1514" s="979" t="s">
        <v>5232</v>
      </c>
      <c r="H1514" s="1030">
        <v>486000</v>
      </c>
      <c r="I1514" s="1030">
        <v>0</v>
      </c>
      <c r="J1514" s="1034">
        <v>0</v>
      </c>
      <c r="K1514" s="1030">
        <v>0</v>
      </c>
      <c r="L1514" s="1030">
        <v>0</v>
      </c>
      <c r="M1514" s="979">
        <v>599</v>
      </c>
    </row>
    <row r="1515" spans="1:13" ht="15">
      <c r="A1515" s="979" t="s">
        <v>3648</v>
      </c>
      <c r="B1515" s="722" t="str">
        <f>CONCATENATE(LEFT(RIGHT(CONCATENATE("000",IFAData_TEA!A1515),6),3),"-",(RIGHT(RIGHT(CONCATENATE("000",IFAData_TEA!A1515),6),3)))</f>
        <v>161-922</v>
      </c>
      <c r="C1515" s="979" t="s">
        <v>2698</v>
      </c>
      <c r="D1515" s="979">
        <v>3</v>
      </c>
      <c r="E1515" s="979">
        <v>2252</v>
      </c>
      <c r="F1515" s="979" t="s">
        <v>5230</v>
      </c>
      <c r="G1515" s="979" t="s">
        <v>5230</v>
      </c>
      <c r="H1515" s="1030">
        <v>486000</v>
      </c>
      <c r="I1515" s="1030">
        <v>0</v>
      </c>
      <c r="J1515" s="1034">
        <v>0</v>
      </c>
      <c r="K1515" s="1030">
        <v>0</v>
      </c>
      <c r="L1515" s="1030">
        <v>0</v>
      </c>
      <c r="M1515" s="979">
        <v>599</v>
      </c>
    </row>
    <row r="1516" spans="1:13" ht="15">
      <c r="A1516" s="979" t="s">
        <v>3649</v>
      </c>
      <c r="B1516" s="722" t="str">
        <f>CONCATENATE(LEFT(RIGHT(CONCATENATE("000",IFAData_TEA!A1516),6),3),"-",(RIGHT(RIGHT(CONCATENATE("000",IFAData_TEA!A1516),6),3)))</f>
        <v>161-923</v>
      </c>
      <c r="C1516" s="979" t="s">
        <v>1348</v>
      </c>
      <c r="D1516" s="979">
        <v>5</v>
      </c>
      <c r="E1516" s="979">
        <v>1627</v>
      </c>
      <c r="F1516" s="979" t="s">
        <v>5235</v>
      </c>
      <c r="G1516" s="979" t="s">
        <v>5235</v>
      </c>
      <c r="H1516" s="1030">
        <v>47466</v>
      </c>
      <c r="I1516" s="1030">
        <v>44190</v>
      </c>
      <c r="J1516" s="1034">
        <v>1</v>
      </c>
      <c r="K1516" s="1030">
        <v>47466</v>
      </c>
      <c r="L1516" s="1030">
        <v>44190</v>
      </c>
      <c r="M1516" s="979">
        <v>599</v>
      </c>
    </row>
    <row r="1517" spans="1:13" ht="15">
      <c r="A1517" s="979" t="s">
        <v>3649</v>
      </c>
      <c r="B1517" s="722" t="str">
        <f>CONCATENATE(LEFT(RIGHT(CONCATENATE("000",IFAData_TEA!A1517),6),3),"-",(RIGHT(RIGHT(CONCATENATE("000",IFAData_TEA!A1517),6),3)))</f>
        <v>161-923</v>
      </c>
      <c r="C1517" s="979" t="s">
        <v>1348</v>
      </c>
      <c r="D1517" s="979">
        <v>3</v>
      </c>
      <c r="E1517" s="979">
        <v>1628</v>
      </c>
      <c r="F1517" s="979" t="s">
        <v>5233</v>
      </c>
      <c r="G1517" s="979" t="s">
        <v>5233</v>
      </c>
      <c r="H1517" s="1030">
        <v>96640</v>
      </c>
      <c r="I1517" s="1030">
        <v>0</v>
      </c>
      <c r="J1517" s="1034">
        <v>0</v>
      </c>
      <c r="K1517" s="1030">
        <v>0</v>
      </c>
      <c r="L1517" s="1030">
        <v>0</v>
      </c>
      <c r="M1517" s="979">
        <v>599</v>
      </c>
    </row>
    <row r="1518" spans="1:13" ht="15">
      <c r="A1518" s="979" t="s">
        <v>3649</v>
      </c>
      <c r="B1518" s="722" t="str">
        <f>CONCATENATE(LEFT(RIGHT(CONCATENATE("000",IFAData_TEA!A1518),6),3),"-",(RIGHT(RIGHT(CONCATENATE("000",IFAData_TEA!A1518),6),3)))</f>
        <v>161-923</v>
      </c>
      <c r="C1518" s="979" t="s">
        <v>1348</v>
      </c>
      <c r="D1518" s="979">
        <v>3</v>
      </c>
      <c r="E1518" s="979">
        <v>1628</v>
      </c>
      <c r="F1518" s="979" t="s">
        <v>5233</v>
      </c>
      <c r="G1518" s="979" t="s">
        <v>6298</v>
      </c>
      <c r="H1518" s="1030">
        <v>96640</v>
      </c>
      <c r="I1518" s="1030">
        <v>14176</v>
      </c>
      <c r="J1518" s="1034">
        <v>0.12703191927881427</v>
      </c>
      <c r="K1518" s="1030">
        <v>12276.36467910461</v>
      </c>
      <c r="L1518" s="1030">
        <v>12276.36467910461</v>
      </c>
      <c r="M1518" s="979">
        <v>599</v>
      </c>
    </row>
    <row r="1519" spans="1:13" ht="15">
      <c r="A1519" s="979" t="s">
        <v>3649</v>
      </c>
      <c r="B1519" s="722" t="str">
        <f>CONCATENATE(LEFT(RIGHT(CONCATENATE("000",IFAData_TEA!A1519),6),3),"-",(RIGHT(RIGHT(CONCATENATE("000",IFAData_TEA!A1519),6),3)))</f>
        <v>161-923</v>
      </c>
      <c r="C1519" s="979" t="s">
        <v>1348</v>
      </c>
      <c r="D1519" s="979">
        <v>9</v>
      </c>
      <c r="E1519" s="979">
        <v>1629</v>
      </c>
      <c r="F1519" s="979" t="s">
        <v>5234</v>
      </c>
      <c r="G1519" s="979" t="s">
        <v>6298</v>
      </c>
      <c r="H1519" s="1030">
        <v>109337</v>
      </c>
      <c r="I1519" s="1030">
        <v>89355</v>
      </c>
      <c r="J1519" s="1034">
        <v>0.19905501497005987</v>
      </c>
      <c r="K1519" s="1030">
        <v>21764.078171781435</v>
      </c>
      <c r="L1519" s="1030">
        <v>21764.078171781435</v>
      </c>
      <c r="M1519" s="979">
        <v>599</v>
      </c>
    </row>
    <row r="1520" spans="1:13" ht="15">
      <c r="A1520" s="979" t="s">
        <v>3649</v>
      </c>
      <c r="B1520" s="722" t="str">
        <f>CONCATENATE(LEFT(RIGHT(CONCATENATE("000",IFAData_TEA!A1520),6),3),"-",(RIGHT(RIGHT(CONCATENATE("000",IFAData_TEA!A1520),6),3)))</f>
        <v>161-923</v>
      </c>
      <c r="C1520" s="979" t="s">
        <v>1348</v>
      </c>
      <c r="D1520" s="979">
        <v>3</v>
      </c>
      <c r="E1520" s="979">
        <v>1628</v>
      </c>
      <c r="F1520" s="979" t="s">
        <v>5233</v>
      </c>
      <c r="G1520" s="979" t="s">
        <v>5234</v>
      </c>
      <c r="H1520" s="1030">
        <v>96640</v>
      </c>
      <c r="I1520" s="1030">
        <v>97418</v>
      </c>
      <c r="J1520" s="1034">
        <v>0.8729680807211857</v>
      </c>
      <c r="K1520" s="1030">
        <v>84363.635320895381</v>
      </c>
      <c r="L1520" s="1030">
        <v>84363.635320895381</v>
      </c>
      <c r="M1520" s="979">
        <v>599</v>
      </c>
    </row>
    <row r="1521" spans="1:13" ht="15">
      <c r="A1521" s="979" t="s">
        <v>3649</v>
      </c>
      <c r="B1521" s="722" t="str">
        <f>CONCATENATE(LEFT(RIGHT(CONCATENATE("000",IFAData_TEA!A1521),6),3),"-",(RIGHT(RIGHT(CONCATENATE("000",IFAData_TEA!A1521),6),3)))</f>
        <v>161-923</v>
      </c>
      <c r="C1521" s="979" t="s">
        <v>1348</v>
      </c>
      <c r="D1521" s="979">
        <v>9</v>
      </c>
      <c r="E1521" s="979">
        <v>1629</v>
      </c>
      <c r="F1521" s="979" t="s">
        <v>5234</v>
      </c>
      <c r="G1521" s="979" t="s">
        <v>5234</v>
      </c>
      <c r="H1521" s="1030">
        <v>109337</v>
      </c>
      <c r="I1521" s="1030">
        <v>359541</v>
      </c>
      <c r="J1521" s="1034">
        <v>0.80094498502994016</v>
      </c>
      <c r="K1521" s="1030">
        <v>87572.921828218561</v>
      </c>
      <c r="L1521" s="1030">
        <v>87572.921828218561</v>
      </c>
      <c r="M1521" s="979">
        <v>599</v>
      </c>
    </row>
    <row r="1522" spans="1:13" ht="15">
      <c r="A1522" s="979" t="s">
        <v>3650</v>
      </c>
      <c r="B1522" s="722" t="str">
        <f>CONCATENATE(LEFT(RIGHT(CONCATENATE("000",IFAData_TEA!A1522),6),3),"-",(RIGHT(RIGHT(CONCATENATE("000",IFAData_TEA!A1522),6),3)))</f>
        <v>163-901</v>
      </c>
      <c r="C1522" s="979" t="s">
        <v>2669</v>
      </c>
      <c r="D1522" s="979">
        <v>10</v>
      </c>
      <c r="E1522" s="979">
        <v>1756</v>
      </c>
      <c r="F1522" s="979" t="s">
        <v>5239</v>
      </c>
      <c r="G1522" s="979" t="s">
        <v>5239</v>
      </c>
      <c r="H1522" s="1030">
        <v>403194</v>
      </c>
      <c r="I1522" s="1030">
        <v>401250</v>
      </c>
      <c r="J1522" s="1034">
        <v>1</v>
      </c>
      <c r="K1522" s="1030">
        <v>403194</v>
      </c>
      <c r="L1522" s="1030">
        <v>401250</v>
      </c>
      <c r="M1522" s="979">
        <v>599</v>
      </c>
    </row>
    <row r="1523" spans="1:13" ht="15">
      <c r="A1523" s="979" t="s">
        <v>3650</v>
      </c>
      <c r="B1523" s="722" t="str">
        <f>CONCATENATE(LEFT(RIGHT(CONCATENATE("000",IFAData_TEA!A1523),6),3),"-",(RIGHT(RIGHT(CONCATENATE("000",IFAData_TEA!A1523),6),3)))</f>
        <v>163-901</v>
      </c>
      <c r="C1523" s="979" t="s">
        <v>2669</v>
      </c>
      <c r="D1523" s="979">
        <v>2</v>
      </c>
      <c r="E1523" s="979">
        <v>1758</v>
      </c>
      <c r="F1523" s="979" t="s">
        <v>5236</v>
      </c>
      <c r="G1523" s="979" t="s">
        <v>5236</v>
      </c>
      <c r="H1523" s="1030">
        <v>429904</v>
      </c>
      <c r="I1523" s="1030">
        <v>0</v>
      </c>
      <c r="J1523" s="1034">
        <v>0</v>
      </c>
      <c r="K1523" s="1030">
        <v>0</v>
      </c>
      <c r="L1523" s="1030">
        <v>0</v>
      </c>
      <c r="M1523" s="979">
        <v>599</v>
      </c>
    </row>
    <row r="1524" spans="1:13" ht="15">
      <c r="A1524" s="979" t="s">
        <v>3650</v>
      </c>
      <c r="B1524" s="722" t="str">
        <f>CONCATENATE(LEFT(RIGHT(CONCATENATE("000",IFAData_TEA!A1524),6),3),"-",(RIGHT(RIGHT(CONCATENATE("000",IFAData_TEA!A1524),6),3)))</f>
        <v>163-901</v>
      </c>
      <c r="C1524" s="979" t="s">
        <v>2669</v>
      </c>
      <c r="D1524" s="979">
        <v>2</v>
      </c>
      <c r="E1524" s="979">
        <v>1758</v>
      </c>
      <c r="F1524" s="979" t="s">
        <v>5236</v>
      </c>
      <c r="G1524" s="979" t="s">
        <v>5237</v>
      </c>
      <c r="H1524" s="1030">
        <v>429904</v>
      </c>
      <c r="I1524" s="1030">
        <v>390491</v>
      </c>
      <c r="J1524" s="1034">
        <v>1</v>
      </c>
      <c r="K1524" s="1030">
        <v>429904</v>
      </c>
      <c r="L1524" s="1030">
        <v>390491</v>
      </c>
      <c r="M1524" s="979">
        <v>599</v>
      </c>
    </row>
    <row r="1525" spans="1:13" ht="15">
      <c r="A1525" s="979" t="s">
        <v>3650</v>
      </c>
      <c r="B1525" s="722" t="str">
        <f>CONCATENATE(LEFT(RIGHT(CONCATENATE("000",IFAData_TEA!A1525),6),3),"-",(RIGHT(RIGHT(CONCATENATE("000",IFAData_TEA!A1525),6),3)))</f>
        <v>163-901</v>
      </c>
      <c r="C1525" s="979" t="s">
        <v>2669</v>
      </c>
      <c r="D1525" s="979">
        <v>9</v>
      </c>
      <c r="E1525" s="979">
        <v>1757</v>
      </c>
      <c r="F1525" s="979" t="s">
        <v>5238</v>
      </c>
      <c r="G1525" s="979" t="s">
        <v>5238</v>
      </c>
      <c r="H1525" s="1030">
        <v>417950</v>
      </c>
      <c r="I1525" s="1030">
        <v>405588</v>
      </c>
      <c r="J1525" s="1034">
        <v>1</v>
      </c>
      <c r="K1525" s="1030">
        <v>417950</v>
      </c>
      <c r="L1525" s="1030">
        <v>405588</v>
      </c>
      <c r="M1525" s="979">
        <v>599</v>
      </c>
    </row>
    <row r="1526" spans="1:13" ht="15">
      <c r="A1526" s="979" t="s">
        <v>3651</v>
      </c>
      <c r="B1526" s="722" t="str">
        <f>CONCATENATE(LEFT(RIGHT(CONCATENATE("000",IFAData_TEA!A1526),6),3),"-",(RIGHT(RIGHT(CONCATENATE("000",IFAData_TEA!A1526),6),3)))</f>
        <v>163-902</v>
      </c>
      <c r="C1526" s="979" t="s">
        <v>2178</v>
      </c>
      <c r="D1526" s="979">
        <v>6</v>
      </c>
      <c r="E1526" s="979">
        <v>1760</v>
      </c>
      <c r="F1526" s="979" t="s">
        <v>5240</v>
      </c>
      <c r="G1526" s="979" t="s">
        <v>5241</v>
      </c>
      <c r="H1526" s="1030">
        <v>100000</v>
      </c>
      <c r="I1526" s="1030">
        <v>86585</v>
      </c>
      <c r="J1526" s="1034">
        <v>1</v>
      </c>
      <c r="K1526" s="1030">
        <v>100000</v>
      </c>
      <c r="L1526" s="1030">
        <v>86585</v>
      </c>
      <c r="M1526" s="979">
        <v>599</v>
      </c>
    </row>
    <row r="1527" spans="1:13" ht="15">
      <c r="A1527" s="979" t="s">
        <v>3651</v>
      </c>
      <c r="B1527" s="722" t="str">
        <f>CONCATENATE(LEFT(RIGHT(CONCATENATE("000",IFAData_TEA!A1527),6),3),"-",(RIGHT(RIGHT(CONCATENATE("000",IFAData_TEA!A1527),6),3)))</f>
        <v>163-902</v>
      </c>
      <c r="C1527" s="979" t="s">
        <v>2178</v>
      </c>
      <c r="D1527" s="979">
        <v>6</v>
      </c>
      <c r="E1527" s="979">
        <v>1760</v>
      </c>
      <c r="F1527" s="979" t="s">
        <v>5240</v>
      </c>
      <c r="G1527" s="979" t="s">
        <v>5240</v>
      </c>
      <c r="H1527" s="1030">
        <v>100000</v>
      </c>
      <c r="I1527" s="1030">
        <v>0</v>
      </c>
      <c r="J1527" s="1034">
        <v>0</v>
      </c>
      <c r="K1527" s="1030">
        <v>0</v>
      </c>
      <c r="L1527" s="1030">
        <v>0</v>
      </c>
      <c r="M1527" s="979">
        <v>599</v>
      </c>
    </row>
    <row r="1528" spans="1:13" ht="15">
      <c r="A1528" s="979" t="s">
        <v>3651</v>
      </c>
      <c r="B1528" s="722" t="str">
        <f>CONCATENATE(LEFT(RIGHT(CONCATENATE("000",IFAData_TEA!A1528),6),3),"-",(RIGHT(RIGHT(CONCATENATE("000",IFAData_TEA!A1528),6),3)))</f>
        <v>163-902</v>
      </c>
      <c r="C1528" s="979" t="s">
        <v>2178</v>
      </c>
      <c r="D1528" s="979">
        <v>9</v>
      </c>
      <c r="E1528" s="979">
        <v>1761</v>
      </c>
      <c r="F1528" s="979" t="s">
        <v>5242</v>
      </c>
      <c r="G1528" s="979" t="s">
        <v>6299</v>
      </c>
      <c r="H1528" s="1030">
        <v>100000</v>
      </c>
      <c r="I1528" s="1030">
        <v>481</v>
      </c>
      <c r="J1528" s="1034">
        <v>2.9699424535058905E-3</v>
      </c>
      <c r="K1528" s="1030">
        <v>296.99424535058904</v>
      </c>
      <c r="L1528" s="1030">
        <v>296.99424535058904</v>
      </c>
      <c r="M1528" s="979">
        <v>599</v>
      </c>
    </row>
    <row r="1529" spans="1:13" ht="15">
      <c r="A1529" s="979" t="s">
        <v>3651</v>
      </c>
      <c r="B1529" s="722" t="str">
        <f>CONCATENATE(LEFT(RIGHT(CONCATENATE("000",IFAData_TEA!A1529),6),3),"-",(RIGHT(RIGHT(CONCATENATE("000",IFAData_TEA!A1529),6),3)))</f>
        <v>163-902</v>
      </c>
      <c r="C1529" s="979" t="s">
        <v>2178</v>
      </c>
      <c r="D1529" s="979">
        <v>9</v>
      </c>
      <c r="E1529" s="979">
        <v>1761</v>
      </c>
      <c r="F1529" s="979" t="s">
        <v>5242</v>
      </c>
      <c r="G1529" s="979" t="s">
        <v>5242</v>
      </c>
      <c r="H1529" s="1030">
        <v>100000</v>
      </c>
      <c r="I1529" s="1030">
        <v>161475</v>
      </c>
      <c r="J1529" s="1034">
        <v>0.9970300575464941</v>
      </c>
      <c r="K1529" s="1030">
        <v>99703.005754649406</v>
      </c>
      <c r="L1529" s="1030">
        <v>99703.005754649406</v>
      </c>
      <c r="M1529" s="979">
        <v>599</v>
      </c>
    </row>
    <row r="1530" spans="1:13" ht="15">
      <c r="A1530" s="979" t="s">
        <v>3652</v>
      </c>
      <c r="B1530" s="722" t="str">
        <f>CONCATENATE(LEFT(RIGHT(CONCATENATE("000",IFAData_TEA!A1530),6),3),"-",(RIGHT(RIGHT(CONCATENATE("000",IFAData_TEA!A1530),6),3)))</f>
        <v>163-903</v>
      </c>
      <c r="C1530" s="979" t="s">
        <v>2244</v>
      </c>
      <c r="D1530" s="979">
        <v>8</v>
      </c>
      <c r="E1530" s="979">
        <v>2126</v>
      </c>
      <c r="F1530" s="979" t="s">
        <v>5245</v>
      </c>
      <c r="G1530" s="979" t="s">
        <v>5245</v>
      </c>
      <c r="H1530" s="1030">
        <v>260720</v>
      </c>
      <c r="I1530" s="1030">
        <v>256194</v>
      </c>
      <c r="J1530" s="1034">
        <v>1</v>
      </c>
      <c r="K1530" s="1030">
        <v>260720</v>
      </c>
      <c r="L1530" s="1030">
        <v>256194</v>
      </c>
      <c r="M1530" s="979">
        <v>599</v>
      </c>
    </row>
    <row r="1531" spans="1:13" ht="15">
      <c r="A1531" s="979" t="s">
        <v>3652</v>
      </c>
      <c r="B1531" s="722" t="str">
        <f>CONCATENATE(LEFT(RIGHT(CONCATENATE("000",IFAData_TEA!A1531),6),3),"-",(RIGHT(RIGHT(CONCATENATE("000",IFAData_TEA!A1531),6),3)))</f>
        <v>163-903</v>
      </c>
      <c r="C1531" s="979" t="s">
        <v>2244</v>
      </c>
      <c r="D1531" s="979">
        <v>4</v>
      </c>
      <c r="E1531" s="979">
        <v>2125</v>
      </c>
      <c r="F1531" s="979" t="s">
        <v>5243</v>
      </c>
      <c r="G1531" s="979" t="s">
        <v>5244</v>
      </c>
      <c r="H1531" s="1030">
        <v>240522</v>
      </c>
      <c r="I1531" s="1030">
        <v>235298</v>
      </c>
      <c r="J1531" s="1034">
        <v>1</v>
      </c>
      <c r="K1531" s="1030">
        <v>240522</v>
      </c>
      <c r="L1531" s="1030">
        <v>235298</v>
      </c>
      <c r="M1531" s="979">
        <v>599</v>
      </c>
    </row>
    <row r="1532" spans="1:13" ht="15">
      <c r="A1532" s="979" t="s">
        <v>3652</v>
      </c>
      <c r="B1532" s="722" t="str">
        <f>CONCATENATE(LEFT(RIGHT(CONCATENATE("000",IFAData_TEA!A1532),6),3),"-",(RIGHT(RIGHT(CONCATENATE("000",IFAData_TEA!A1532),6),3)))</f>
        <v>163-903</v>
      </c>
      <c r="C1532" s="979" t="s">
        <v>2244</v>
      </c>
      <c r="D1532" s="979">
        <v>4</v>
      </c>
      <c r="E1532" s="979">
        <v>2125</v>
      </c>
      <c r="F1532" s="979" t="s">
        <v>5243</v>
      </c>
      <c r="G1532" s="979" t="s">
        <v>5243</v>
      </c>
      <c r="H1532" s="1030">
        <v>240522</v>
      </c>
      <c r="I1532" s="1030">
        <v>0</v>
      </c>
      <c r="J1532" s="1034">
        <v>0</v>
      </c>
      <c r="K1532" s="1030">
        <v>0</v>
      </c>
      <c r="L1532" s="1030">
        <v>0</v>
      </c>
      <c r="M1532" s="979">
        <v>599</v>
      </c>
    </row>
    <row r="1533" spans="1:13" ht="15">
      <c r="A1533" s="979" t="s">
        <v>3653</v>
      </c>
      <c r="B1533" s="722" t="str">
        <f>CONCATENATE(LEFT(RIGHT(CONCATENATE("000",IFAData_TEA!A1533),6),3),"-",(RIGHT(RIGHT(CONCATENATE("000",IFAData_TEA!A1533),6),3)))</f>
        <v>163-904</v>
      </c>
      <c r="C1533" s="979" t="s">
        <v>2378</v>
      </c>
      <c r="D1533" s="979">
        <v>5</v>
      </c>
      <c r="E1533" s="979">
        <v>1897</v>
      </c>
      <c r="F1533" s="979" t="s">
        <v>5249</v>
      </c>
      <c r="G1533" s="979" t="s">
        <v>5249</v>
      </c>
      <c r="H1533" s="1030">
        <v>351045</v>
      </c>
      <c r="I1533" s="1030">
        <v>0</v>
      </c>
      <c r="J1533" s="1034">
        <v>0</v>
      </c>
      <c r="K1533" s="1030">
        <v>0</v>
      </c>
      <c r="L1533" s="1030">
        <v>0</v>
      </c>
      <c r="M1533" s="979">
        <v>599</v>
      </c>
    </row>
    <row r="1534" spans="1:13" ht="15">
      <c r="A1534" s="979" t="s">
        <v>3653</v>
      </c>
      <c r="B1534" s="722" t="str">
        <f>CONCATENATE(LEFT(RIGHT(CONCATENATE("000",IFAData_TEA!A1534),6),3),"-",(RIGHT(RIGHT(CONCATENATE("000",IFAData_TEA!A1534),6),3)))</f>
        <v>163-904</v>
      </c>
      <c r="C1534" s="979" t="s">
        <v>2378</v>
      </c>
      <c r="D1534" s="979">
        <v>5</v>
      </c>
      <c r="E1534" s="979">
        <v>1897</v>
      </c>
      <c r="F1534" s="979" t="s">
        <v>5249</v>
      </c>
      <c r="G1534" s="979" t="s">
        <v>5248</v>
      </c>
      <c r="H1534" s="1030">
        <v>351045</v>
      </c>
      <c r="I1534" s="1030">
        <v>185185</v>
      </c>
      <c r="J1534" s="1034">
        <v>0.57403016072286539</v>
      </c>
      <c r="K1534" s="1030">
        <v>201510.41777095827</v>
      </c>
      <c r="L1534" s="1030">
        <v>185185</v>
      </c>
      <c r="M1534" s="979">
        <v>599</v>
      </c>
    </row>
    <row r="1535" spans="1:13" ht="15">
      <c r="A1535" s="979" t="s">
        <v>3653</v>
      </c>
      <c r="B1535" s="722" t="str">
        <f>CONCATENATE(LEFT(RIGHT(CONCATENATE("000",IFAData_TEA!A1535),6),3),"-",(RIGHT(RIGHT(CONCATENATE("000",IFAData_TEA!A1535),6),3)))</f>
        <v>163-904</v>
      </c>
      <c r="C1535" s="979" t="s">
        <v>2378</v>
      </c>
      <c r="D1535" s="979">
        <v>2</v>
      </c>
      <c r="E1535" s="979">
        <v>1898</v>
      </c>
      <c r="F1535" s="979" t="s">
        <v>5246</v>
      </c>
      <c r="G1535" s="979" t="s">
        <v>5248</v>
      </c>
      <c r="H1535" s="1030">
        <v>468918</v>
      </c>
      <c r="I1535" s="1030">
        <v>412308</v>
      </c>
      <c r="J1535" s="1034">
        <v>1</v>
      </c>
      <c r="K1535" s="1030">
        <v>468918</v>
      </c>
      <c r="L1535" s="1030">
        <v>412308</v>
      </c>
      <c r="M1535" s="979">
        <v>599</v>
      </c>
    </row>
    <row r="1536" spans="1:13" ht="15">
      <c r="A1536" s="979" t="s">
        <v>3653</v>
      </c>
      <c r="B1536" s="722" t="str">
        <f>CONCATENATE(LEFT(RIGHT(CONCATENATE("000",IFAData_TEA!A1536),6),3),"-",(RIGHT(RIGHT(CONCATENATE("000",IFAData_TEA!A1536),6),3)))</f>
        <v>163-904</v>
      </c>
      <c r="C1536" s="979" t="s">
        <v>2378</v>
      </c>
      <c r="D1536" s="979">
        <v>2</v>
      </c>
      <c r="E1536" s="979">
        <v>1898</v>
      </c>
      <c r="F1536" s="979" t="s">
        <v>5246</v>
      </c>
      <c r="G1536" s="979" t="s">
        <v>5247</v>
      </c>
      <c r="H1536" s="1030">
        <v>468918</v>
      </c>
      <c r="I1536" s="1030">
        <v>0</v>
      </c>
      <c r="J1536" s="1034">
        <v>0</v>
      </c>
      <c r="K1536" s="1030">
        <v>0</v>
      </c>
      <c r="L1536" s="1030">
        <v>0</v>
      </c>
      <c r="M1536" s="979">
        <v>599</v>
      </c>
    </row>
    <row r="1537" spans="1:13" ht="15">
      <c r="A1537" s="979" t="s">
        <v>3653</v>
      </c>
      <c r="B1537" s="722" t="str">
        <f>CONCATENATE(LEFT(RIGHT(CONCATENATE("000",IFAData_TEA!A1537),6),3),"-",(RIGHT(RIGHT(CONCATENATE("000",IFAData_TEA!A1537),6),3)))</f>
        <v>163-904</v>
      </c>
      <c r="C1537" s="979" t="s">
        <v>2378</v>
      </c>
      <c r="D1537" s="979">
        <v>2</v>
      </c>
      <c r="E1537" s="979">
        <v>1898</v>
      </c>
      <c r="F1537" s="979" t="s">
        <v>5246</v>
      </c>
      <c r="G1537" s="979" t="s">
        <v>5246</v>
      </c>
      <c r="H1537" s="1030">
        <v>468918</v>
      </c>
      <c r="I1537" s="1030">
        <v>0</v>
      </c>
      <c r="J1537" s="1034">
        <v>0</v>
      </c>
      <c r="K1537" s="1030">
        <v>0</v>
      </c>
      <c r="L1537" s="1030">
        <v>0</v>
      </c>
      <c r="M1537" s="979">
        <v>599</v>
      </c>
    </row>
    <row r="1538" spans="1:13" ht="15">
      <c r="A1538" s="979" t="s">
        <v>3653</v>
      </c>
      <c r="B1538" s="722" t="str">
        <f>CONCATENATE(LEFT(RIGHT(CONCATENATE("000",IFAData_TEA!A1538),6),3),"-",(RIGHT(RIGHT(CONCATENATE("000",IFAData_TEA!A1538),6),3)))</f>
        <v>163-904</v>
      </c>
      <c r="C1538" s="979" t="s">
        <v>2378</v>
      </c>
      <c r="D1538" s="979">
        <v>5</v>
      </c>
      <c r="E1538" s="979">
        <v>1897</v>
      </c>
      <c r="F1538" s="979" t="s">
        <v>5249</v>
      </c>
      <c r="G1538" s="979" t="s">
        <v>5250</v>
      </c>
      <c r="H1538" s="1030">
        <v>351045</v>
      </c>
      <c r="I1538" s="1030">
        <v>137420</v>
      </c>
      <c r="J1538" s="1034">
        <v>0.42596983927713455</v>
      </c>
      <c r="K1538" s="1030">
        <v>149534.5822290417</v>
      </c>
      <c r="L1538" s="1030">
        <v>137420</v>
      </c>
      <c r="M1538" s="979">
        <v>599</v>
      </c>
    </row>
    <row r="1539" spans="1:13" ht="15">
      <c r="A1539" s="979" t="s">
        <v>3654</v>
      </c>
      <c r="B1539" s="722" t="str">
        <f>CONCATENATE(LEFT(RIGHT(CONCATENATE("000",IFAData_TEA!A1539),6),3),"-",(RIGHT(RIGHT(CONCATENATE("000",IFAData_TEA!A1539),6),3)))</f>
        <v>163-908</v>
      </c>
      <c r="C1539" s="979" t="s">
        <v>823</v>
      </c>
      <c r="D1539" s="979">
        <v>9</v>
      </c>
      <c r="E1539" s="979">
        <v>2087</v>
      </c>
      <c r="F1539" s="979" t="s">
        <v>5255</v>
      </c>
      <c r="G1539" s="979" t="s">
        <v>6300</v>
      </c>
      <c r="H1539" s="1030">
        <v>778750</v>
      </c>
      <c r="I1539" s="1030">
        <v>99191</v>
      </c>
      <c r="J1539" s="1034">
        <v>4.5075713165211119E-2</v>
      </c>
      <c r="K1539" s="1030">
        <v>35102.711627408156</v>
      </c>
      <c r="L1539" s="1030">
        <v>35102.711627408156</v>
      </c>
      <c r="M1539" s="979">
        <v>599</v>
      </c>
    </row>
    <row r="1540" spans="1:13" ht="15">
      <c r="A1540" s="979" t="s">
        <v>3654</v>
      </c>
      <c r="B1540" s="722" t="str">
        <f>CONCATENATE(LEFT(RIGHT(CONCATENATE("000",IFAData_TEA!A1540),6),3),"-",(RIGHT(RIGHT(CONCATENATE("000",IFAData_TEA!A1540),6),3)))</f>
        <v>163-908</v>
      </c>
      <c r="C1540" s="979" t="s">
        <v>823</v>
      </c>
      <c r="D1540" s="979">
        <v>5</v>
      </c>
      <c r="E1540" s="979">
        <v>2086</v>
      </c>
      <c r="F1540" s="979" t="s">
        <v>5254</v>
      </c>
      <c r="G1540" s="979" t="s">
        <v>5254</v>
      </c>
      <c r="H1540" s="1030">
        <v>728095</v>
      </c>
      <c r="I1540" s="1030">
        <v>0</v>
      </c>
      <c r="J1540" s="1034">
        <v>0</v>
      </c>
      <c r="K1540" s="1030">
        <v>0</v>
      </c>
      <c r="L1540" s="1030">
        <v>0</v>
      </c>
      <c r="M1540" s="979">
        <v>599</v>
      </c>
    </row>
    <row r="1541" spans="1:13" ht="15">
      <c r="A1541" s="979" t="s">
        <v>3654</v>
      </c>
      <c r="B1541" s="722" t="str">
        <f>CONCATENATE(LEFT(RIGHT(CONCATENATE("000",IFAData_TEA!A1541),6),3),"-",(RIGHT(RIGHT(CONCATENATE("000",IFAData_TEA!A1541),6),3)))</f>
        <v>163-908</v>
      </c>
      <c r="C1541" s="979" t="s">
        <v>823</v>
      </c>
      <c r="D1541" s="979">
        <v>5</v>
      </c>
      <c r="E1541" s="979">
        <v>2086</v>
      </c>
      <c r="F1541" s="979" t="s">
        <v>5254</v>
      </c>
      <c r="G1541" s="979" t="s">
        <v>5252</v>
      </c>
      <c r="H1541" s="1030">
        <v>728095</v>
      </c>
      <c r="I1541" s="1030">
        <v>343569</v>
      </c>
      <c r="J1541" s="1034">
        <v>0.49272674861354315</v>
      </c>
      <c r="K1541" s="1030">
        <v>358751.8820317777</v>
      </c>
      <c r="L1541" s="1030">
        <v>343569</v>
      </c>
      <c r="M1541" s="979">
        <v>599</v>
      </c>
    </row>
    <row r="1542" spans="1:13" ht="15">
      <c r="A1542" s="979" t="s">
        <v>3654</v>
      </c>
      <c r="B1542" s="722" t="str">
        <f>CONCATENATE(LEFT(RIGHT(CONCATENATE("000",IFAData_TEA!A1542),6),3),"-",(RIGHT(RIGHT(CONCATENATE("000",IFAData_TEA!A1542),6),3)))</f>
        <v>163-908</v>
      </c>
      <c r="C1542" s="979" t="s">
        <v>823</v>
      </c>
      <c r="D1542" s="979">
        <v>2</v>
      </c>
      <c r="E1542" s="979">
        <v>2085</v>
      </c>
      <c r="F1542" s="979" t="s">
        <v>5251</v>
      </c>
      <c r="G1542" s="979" t="s">
        <v>5252</v>
      </c>
      <c r="H1542" s="1030">
        <v>528404</v>
      </c>
      <c r="I1542" s="1030">
        <v>496171</v>
      </c>
      <c r="J1542" s="1034">
        <v>1</v>
      </c>
      <c r="K1542" s="1030">
        <v>528404</v>
      </c>
      <c r="L1542" s="1030">
        <v>496171</v>
      </c>
      <c r="M1542" s="979">
        <v>599</v>
      </c>
    </row>
    <row r="1543" spans="1:13" ht="15">
      <c r="A1543" s="979" t="s">
        <v>3654</v>
      </c>
      <c r="B1543" s="722" t="str">
        <f>CONCATENATE(LEFT(RIGHT(CONCATENATE("000",IFAData_TEA!A1543),6),3),"-",(RIGHT(RIGHT(CONCATENATE("000",IFAData_TEA!A1543),6),3)))</f>
        <v>163-908</v>
      </c>
      <c r="C1543" s="979" t="s">
        <v>823</v>
      </c>
      <c r="D1543" s="979">
        <v>2</v>
      </c>
      <c r="E1543" s="979">
        <v>2085</v>
      </c>
      <c r="F1543" s="979" t="s">
        <v>5251</v>
      </c>
      <c r="G1543" s="979" t="s">
        <v>5253</v>
      </c>
      <c r="H1543" s="1030">
        <v>528404</v>
      </c>
      <c r="I1543" s="1030">
        <v>0</v>
      </c>
      <c r="J1543" s="1034">
        <v>0</v>
      </c>
      <c r="K1543" s="1030">
        <v>0</v>
      </c>
      <c r="L1543" s="1030">
        <v>0</v>
      </c>
      <c r="M1543" s="979">
        <v>599</v>
      </c>
    </row>
    <row r="1544" spans="1:13" ht="15">
      <c r="A1544" s="979" t="s">
        <v>3654</v>
      </c>
      <c r="B1544" s="722" t="str">
        <f>CONCATENATE(LEFT(RIGHT(CONCATENATE("000",IFAData_TEA!A1544),6),3),"-",(RIGHT(RIGHT(CONCATENATE("000",IFAData_TEA!A1544),6),3)))</f>
        <v>163-908</v>
      </c>
      <c r="C1544" s="979" t="s">
        <v>823</v>
      </c>
      <c r="D1544" s="979">
        <v>5</v>
      </c>
      <c r="E1544" s="979">
        <v>2086</v>
      </c>
      <c r="F1544" s="979" t="s">
        <v>5254</v>
      </c>
      <c r="G1544" s="979" t="s">
        <v>5253</v>
      </c>
      <c r="H1544" s="1030">
        <v>728095</v>
      </c>
      <c r="I1544" s="1030">
        <v>353712</v>
      </c>
      <c r="J1544" s="1034">
        <v>0.50727325138645685</v>
      </c>
      <c r="K1544" s="1030">
        <v>369343.1179682223</v>
      </c>
      <c r="L1544" s="1030">
        <v>353712</v>
      </c>
      <c r="M1544" s="979">
        <v>599</v>
      </c>
    </row>
    <row r="1545" spans="1:13" ht="15">
      <c r="A1545" s="979" t="s">
        <v>3654</v>
      </c>
      <c r="B1545" s="722" t="str">
        <f>CONCATENATE(LEFT(RIGHT(CONCATENATE("000",IFAData_TEA!A1545),6),3),"-",(RIGHT(RIGHT(CONCATENATE("000",IFAData_TEA!A1545),6),3)))</f>
        <v>163-908</v>
      </c>
      <c r="C1545" s="979" t="s">
        <v>823</v>
      </c>
      <c r="D1545" s="979">
        <v>2</v>
      </c>
      <c r="E1545" s="979">
        <v>2085</v>
      </c>
      <c r="F1545" s="979" t="s">
        <v>5251</v>
      </c>
      <c r="G1545" s="979" t="s">
        <v>5251</v>
      </c>
      <c r="H1545" s="1030">
        <v>528404</v>
      </c>
      <c r="I1545" s="1030">
        <v>0</v>
      </c>
      <c r="J1545" s="1034">
        <v>0</v>
      </c>
      <c r="K1545" s="1030">
        <v>0</v>
      </c>
      <c r="L1545" s="1030">
        <v>0</v>
      </c>
      <c r="M1545" s="979">
        <v>599</v>
      </c>
    </row>
    <row r="1546" spans="1:13" ht="15">
      <c r="A1546" s="979" t="s">
        <v>3654</v>
      </c>
      <c r="B1546" s="722" t="str">
        <f>CONCATENATE(LEFT(RIGHT(CONCATENATE("000",IFAData_TEA!A1546),6),3),"-",(RIGHT(RIGHT(CONCATENATE("000",IFAData_TEA!A1546),6),3)))</f>
        <v>163-908</v>
      </c>
      <c r="C1546" s="979" t="s">
        <v>823</v>
      </c>
      <c r="D1546" s="979">
        <v>9</v>
      </c>
      <c r="E1546" s="979">
        <v>2087</v>
      </c>
      <c r="F1546" s="979" t="s">
        <v>5255</v>
      </c>
      <c r="G1546" s="979" t="s">
        <v>5255</v>
      </c>
      <c r="H1546" s="1030">
        <v>778750</v>
      </c>
      <c r="I1546" s="1030">
        <v>1941312</v>
      </c>
      <c r="J1546" s="1034">
        <v>0.88219720414334291</v>
      </c>
      <c r="K1546" s="1030">
        <v>687011.07272662828</v>
      </c>
      <c r="L1546" s="1030">
        <v>687011.07272662828</v>
      </c>
      <c r="M1546" s="979">
        <v>599</v>
      </c>
    </row>
    <row r="1547" spans="1:13" ht="15">
      <c r="A1547" s="979" t="s">
        <v>3654</v>
      </c>
      <c r="B1547" s="722" t="str">
        <f>CONCATENATE(LEFT(RIGHT(CONCATENATE("000",IFAData_TEA!A1547),6),3),"-",(RIGHT(RIGHT(CONCATENATE("000",IFAData_TEA!A1547),6),3)))</f>
        <v>163-908</v>
      </c>
      <c r="C1547" s="979" t="s">
        <v>823</v>
      </c>
      <c r="D1547" s="979">
        <v>9</v>
      </c>
      <c r="E1547" s="979">
        <v>2087</v>
      </c>
      <c r="F1547" s="979" t="s">
        <v>5255</v>
      </c>
      <c r="G1547" s="979" t="s">
        <v>6301</v>
      </c>
      <c r="H1547" s="1030">
        <v>778750</v>
      </c>
      <c r="I1547" s="1030">
        <v>160039</v>
      </c>
      <c r="J1547" s="1034">
        <v>7.272708269144601E-2</v>
      </c>
      <c r="K1547" s="1030">
        <v>56636.215645963581</v>
      </c>
      <c r="L1547" s="1030">
        <v>56636.215645963581</v>
      </c>
      <c r="M1547" s="979">
        <v>599</v>
      </c>
    </row>
    <row r="1548" spans="1:13" ht="15">
      <c r="A1548" s="979" t="s">
        <v>3655</v>
      </c>
      <c r="B1548" s="722" t="str">
        <f>CONCATENATE(LEFT(RIGHT(CONCATENATE("000",IFAData_TEA!A1548),6),3),"-",(RIGHT(RIGHT(CONCATENATE("000",IFAData_TEA!A1548),6),3)))</f>
        <v>165-901</v>
      </c>
      <c r="C1548" s="979" t="s">
        <v>2236</v>
      </c>
      <c r="D1548" s="979">
        <v>1</v>
      </c>
      <c r="E1548" s="979">
        <v>2104</v>
      </c>
      <c r="F1548" s="979" t="s">
        <v>5258</v>
      </c>
      <c r="G1548" s="979" t="s">
        <v>5258</v>
      </c>
      <c r="H1548" s="1030">
        <v>1498095</v>
      </c>
      <c r="I1548" s="1030">
        <v>0</v>
      </c>
      <c r="J1548" s="1034">
        <v>0</v>
      </c>
      <c r="K1548" s="1030">
        <v>0</v>
      </c>
      <c r="L1548" s="1030">
        <v>0</v>
      </c>
      <c r="M1548" s="979">
        <v>599</v>
      </c>
    </row>
    <row r="1549" spans="1:13" ht="15">
      <c r="A1549" s="979" t="s">
        <v>3655</v>
      </c>
      <c r="B1549" s="722" t="str">
        <f>CONCATENATE(LEFT(RIGHT(CONCATENATE("000",IFAData_TEA!A1549),6),3),"-",(RIGHT(RIGHT(CONCATENATE("000",IFAData_TEA!A1549),6),3)))</f>
        <v>165-901</v>
      </c>
      <c r="C1549" s="979" t="s">
        <v>2236</v>
      </c>
      <c r="D1549" s="979">
        <v>1</v>
      </c>
      <c r="E1549" s="979">
        <v>2103</v>
      </c>
      <c r="F1549" s="979" t="s">
        <v>5256</v>
      </c>
      <c r="G1549" s="979" t="s">
        <v>5257</v>
      </c>
      <c r="H1549" s="1030">
        <v>1268572</v>
      </c>
      <c r="I1549" s="1030">
        <v>80710</v>
      </c>
      <c r="J1549" s="1034">
        <v>1</v>
      </c>
      <c r="K1549" s="1030">
        <v>1268572</v>
      </c>
      <c r="L1549" s="1030">
        <v>80710</v>
      </c>
      <c r="M1549" s="979">
        <v>599</v>
      </c>
    </row>
    <row r="1550" spans="1:13" ht="15">
      <c r="A1550" s="979" t="s">
        <v>3655</v>
      </c>
      <c r="B1550" s="722" t="str">
        <f>CONCATENATE(LEFT(RIGHT(CONCATENATE("000",IFAData_TEA!A1550),6),3),"-",(RIGHT(RIGHT(CONCATENATE("000",IFAData_TEA!A1550),6),3)))</f>
        <v>165-901</v>
      </c>
      <c r="C1550" s="979" t="s">
        <v>2236</v>
      </c>
      <c r="D1550" s="979">
        <v>1</v>
      </c>
      <c r="E1550" s="979">
        <v>2103</v>
      </c>
      <c r="F1550" s="979" t="s">
        <v>5256</v>
      </c>
      <c r="G1550" s="979" t="s">
        <v>5256</v>
      </c>
      <c r="H1550" s="1030">
        <v>1268572</v>
      </c>
      <c r="I1550" s="1030">
        <v>0</v>
      </c>
      <c r="J1550" s="1034">
        <v>0</v>
      </c>
      <c r="K1550" s="1030">
        <v>0</v>
      </c>
      <c r="L1550" s="1030">
        <v>0</v>
      </c>
      <c r="M1550" s="979">
        <v>599</v>
      </c>
    </row>
    <row r="1551" spans="1:13" ht="15">
      <c r="A1551" s="979" t="s">
        <v>3655</v>
      </c>
      <c r="B1551" s="722" t="str">
        <f>CONCATENATE(LEFT(RIGHT(CONCATENATE("000",IFAData_TEA!A1551),6),3),"-",(RIGHT(RIGHT(CONCATENATE("000",IFAData_TEA!A1551),6),3)))</f>
        <v>165-901</v>
      </c>
      <c r="C1551" s="979" t="s">
        <v>2236</v>
      </c>
      <c r="D1551" s="979">
        <v>1</v>
      </c>
      <c r="E1551" s="979">
        <v>2104</v>
      </c>
      <c r="F1551" s="979" t="s">
        <v>5258</v>
      </c>
      <c r="G1551" s="979" t="s">
        <v>5259</v>
      </c>
      <c r="H1551" s="1030">
        <v>1498095</v>
      </c>
      <c r="I1551" s="1030">
        <v>103984</v>
      </c>
      <c r="J1551" s="1034">
        <v>1</v>
      </c>
      <c r="K1551" s="1030">
        <v>1498095</v>
      </c>
      <c r="L1551" s="1030">
        <v>103984</v>
      </c>
      <c r="M1551" s="979">
        <v>599</v>
      </c>
    </row>
    <row r="1552" spans="1:13" ht="15">
      <c r="A1552" s="979" t="s">
        <v>3656</v>
      </c>
      <c r="B1552" s="722" t="str">
        <f>CONCATENATE(LEFT(RIGHT(CONCATENATE("000",IFAData_TEA!A1552),6),3),"-",(RIGHT(RIGHT(CONCATENATE("000",IFAData_TEA!A1552),6),3)))</f>
        <v>166-901</v>
      </c>
      <c r="C1552" s="979" t="s">
        <v>652</v>
      </c>
      <c r="D1552" s="979">
        <v>3</v>
      </c>
      <c r="E1552" s="979">
        <v>1660</v>
      </c>
      <c r="F1552" s="979" t="s">
        <v>5260</v>
      </c>
      <c r="G1552" s="979" t="s">
        <v>5261</v>
      </c>
      <c r="H1552" s="1030">
        <v>407753</v>
      </c>
      <c r="I1552" s="1030">
        <v>536197</v>
      </c>
      <c r="J1552" s="1034">
        <v>1</v>
      </c>
      <c r="K1552" s="1030">
        <v>407753</v>
      </c>
      <c r="L1552" s="1030">
        <v>407753</v>
      </c>
      <c r="M1552" s="979">
        <v>599</v>
      </c>
    </row>
    <row r="1553" spans="1:13" ht="15">
      <c r="A1553" s="979" t="s">
        <v>3656</v>
      </c>
      <c r="B1553" s="722" t="str">
        <f>CONCATENATE(LEFT(RIGHT(CONCATENATE("000",IFAData_TEA!A1553),6),3),"-",(RIGHT(RIGHT(CONCATENATE("000",IFAData_TEA!A1553),6),3)))</f>
        <v>166-901</v>
      </c>
      <c r="C1553" s="979" t="s">
        <v>652</v>
      </c>
      <c r="D1553" s="979">
        <v>6</v>
      </c>
      <c r="E1553" s="979">
        <v>1659</v>
      </c>
      <c r="F1553" s="979" t="s">
        <v>5262</v>
      </c>
      <c r="G1553" s="979" t="s">
        <v>5263</v>
      </c>
      <c r="H1553" s="1030">
        <v>390173</v>
      </c>
      <c r="I1553" s="1030">
        <v>717290</v>
      </c>
      <c r="J1553" s="1034">
        <v>1</v>
      </c>
      <c r="K1553" s="1030">
        <v>390173</v>
      </c>
      <c r="L1553" s="1030">
        <v>390173</v>
      </c>
      <c r="M1553" s="979">
        <v>599</v>
      </c>
    </row>
    <row r="1554" spans="1:13" ht="15">
      <c r="A1554" s="979" t="s">
        <v>3656</v>
      </c>
      <c r="B1554" s="722" t="str">
        <f>CONCATENATE(LEFT(RIGHT(CONCATENATE("000",IFAData_TEA!A1554),6),3),"-",(RIGHT(RIGHT(CONCATENATE("000",IFAData_TEA!A1554),6),3)))</f>
        <v>166-901</v>
      </c>
      <c r="C1554" s="979" t="s">
        <v>652</v>
      </c>
      <c r="D1554" s="979">
        <v>6</v>
      </c>
      <c r="E1554" s="979">
        <v>1659</v>
      </c>
      <c r="F1554" s="979" t="s">
        <v>5262</v>
      </c>
      <c r="G1554" s="979" t="s">
        <v>5262</v>
      </c>
      <c r="H1554" s="1030">
        <v>390173</v>
      </c>
      <c r="I1554" s="1030">
        <v>0</v>
      </c>
      <c r="J1554" s="1034">
        <v>0</v>
      </c>
      <c r="K1554" s="1030">
        <v>0</v>
      </c>
      <c r="L1554" s="1030">
        <v>0</v>
      </c>
      <c r="M1554" s="979">
        <v>599</v>
      </c>
    </row>
    <row r="1555" spans="1:13" ht="15">
      <c r="A1555" s="979" t="s">
        <v>3656</v>
      </c>
      <c r="B1555" s="722" t="str">
        <f>CONCATENATE(LEFT(RIGHT(CONCATENATE("000",IFAData_TEA!A1555),6),3),"-",(RIGHT(RIGHT(CONCATENATE("000",IFAData_TEA!A1555),6),3)))</f>
        <v>166-901</v>
      </c>
      <c r="C1555" s="979" t="s">
        <v>652</v>
      </c>
      <c r="D1555" s="979">
        <v>3</v>
      </c>
      <c r="E1555" s="979">
        <v>1660</v>
      </c>
      <c r="F1555" s="979" t="s">
        <v>5260</v>
      </c>
      <c r="G1555" s="979" t="s">
        <v>5260</v>
      </c>
      <c r="H1555" s="1030">
        <v>407753</v>
      </c>
      <c r="I1555" s="1030">
        <v>0</v>
      </c>
      <c r="J1555" s="1034">
        <v>0</v>
      </c>
      <c r="K1555" s="1030">
        <v>0</v>
      </c>
      <c r="L1555" s="1030">
        <v>0</v>
      </c>
      <c r="M1555" s="979">
        <v>599</v>
      </c>
    </row>
    <row r="1556" spans="1:13" ht="15">
      <c r="A1556" s="979" t="s">
        <v>3657</v>
      </c>
      <c r="B1556" s="722" t="str">
        <f>CONCATENATE(LEFT(RIGHT(CONCATENATE("000",IFAData_TEA!A1556),6),3),"-",(RIGHT(RIGHT(CONCATENATE("000",IFAData_TEA!A1556),6),3)))</f>
        <v>166-907</v>
      </c>
      <c r="C1556" s="979" t="s">
        <v>2637</v>
      </c>
      <c r="D1556" s="979">
        <v>4</v>
      </c>
      <c r="E1556" s="979">
        <v>1649</v>
      </c>
      <c r="F1556" s="979" t="s">
        <v>5264</v>
      </c>
      <c r="G1556" s="979" t="s">
        <v>5265</v>
      </c>
      <c r="H1556" s="1030">
        <v>100000</v>
      </c>
      <c r="I1556" s="1030">
        <v>85304</v>
      </c>
      <c r="J1556" s="1034">
        <v>1</v>
      </c>
      <c r="K1556" s="1030">
        <v>100000</v>
      </c>
      <c r="L1556" s="1030">
        <v>85304</v>
      </c>
      <c r="M1556" s="979">
        <v>599</v>
      </c>
    </row>
    <row r="1557" spans="1:13" ht="15">
      <c r="A1557" s="979" t="s">
        <v>3657</v>
      </c>
      <c r="B1557" s="722" t="str">
        <f>CONCATENATE(LEFT(RIGHT(CONCATENATE("000",IFAData_TEA!A1557),6),3),"-",(RIGHT(RIGHT(CONCATENATE("000",IFAData_TEA!A1557),6),3)))</f>
        <v>166-907</v>
      </c>
      <c r="C1557" s="979" t="s">
        <v>2637</v>
      </c>
      <c r="D1557" s="979">
        <v>4</v>
      </c>
      <c r="E1557" s="979">
        <v>1649</v>
      </c>
      <c r="F1557" s="979" t="s">
        <v>5264</v>
      </c>
      <c r="G1557" s="979" t="s">
        <v>5264</v>
      </c>
      <c r="H1557" s="1030">
        <v>100000</v>
      </c>
      <c r="I1557" s="1030">
        <v>0</v>
      </c>
      <c r="J1557" s="1034">
        <v>0</v>
      </c>
      <c r="K1557" s="1030">
        <v>0</v>
      </c>
      <c r="L1557" s="1030">
        <v>0</v>
      </c>
      <c r="M1557" s="979">
        <v>599</v>
      </c>
    </row>
    <row r="1558" spans="1:13" ht="15">
      <c r="A1558" s="979" t="s">
        <v>3658</v>
      </c>
      <c r="B1558" s="722" t="str">
        <f>CONCATENATE(LEFT(RIGHT(CONCATENATE("000",IFAData_TEA!A1558),6),3),"-",(RIGHT(RIGHT(CONCATENATE("000",IFAData_TEA!A1558),6),3)))</f>
        <v>167-901</v>
      </c>
      <c r="C1558" s="979" t="s">
        <v>860</v>
      </c>
      <c r="D1558" s="979">
        <v>2</v>
      </c>
      <c r="E1558" s="979">
        <v>1849</v>
      </c>
      <c r="F1558" s="979" t="s">
        <v>5266</v>
      </c>
      <c r="G1558" s="979" t="s">
        <v>5266</v>
      </c>
      <c r="H1558" s="1030">
        <v>149754</v>
      </c>
      <c r="I1558" s="1030">
        <v>0</v>
      </c>
      <c r="J1558" s="1034">
        <v>0</v>
      </c>
      <c r="K1558" s="1030">
        <v>0</v>
      </c>
      <c r="L1558" s="1030">
        <v>0</v>
      </c>
      <c r="M1558" s="979">
        <v>599</v>
      </c>
    </row>
    <row r="1559" spans="1:13" ht="15">
      <c r="A1559" s="979" t="s">
        <v>3658</v>
      </c>
      <c r="B1559" s="722" t="str">
        <f>CONCATENATE(LEFT(RIGHT(CONCATENATE("000",IFAData_TEA!A1559),6),3),"-",(RIGHT(RIGHT(CONCATENATE("000",IFAData_TEA!A1559),6),3)))</f>
        <v>167-901</v>
      </c>
      <c r="C1559" s="979" t="s">
        <v>860</v>
      </c>
      <c r="D1559" s="979">
        <v>2</v>
      </c>
      <c r="E1559" s="979">
        <v>1849</v>
      </c>
      <c r="F1559" s="979" t="s">
        <v>5266</v>
      </c>
      <c r="G1559" s="979" t="s">
        <v>5267</v>
      </c>
      <c r="H1559" s="1030">
        <v>149754</v>
      </c>
      <c r="I1559" s="1030">
        <v>147360</v>
      </c>
      <c r="J1559" s="1034">
        <v>1</v>
      </c>
      <c r="K1559" s="1030">
        <v>149754</v>
      </c>
      <c r="L1559" s="1030">
        <v>147360</v>
      </c>
      <c r="M1559" s="979">
        <v>599</v>
      </c>
    </row>
    <row r="1560" spans="1:13" ht="15">
      <c r="A1560" s="979" t="s">
        <v>3659</v>
      </c>
      <c r="B1560" s="722" t="str">
        <f>CONCATENATE(LEFT(RIGHT(CONCATENATE("000",IFAData_TEA!A1560),6),3),"-",(RIGHT(RIGHT(CONCATENATE("000",IFAData_TEA!A1560),6),3)))</f>
        <v>167-904</v>
      </c>
      <c r="C1560" s="979" t="s">
        <v>73</v>
      </c>
      <c r="D1560" s="979">
        <v>6</v>
      </c>
      <c r="E1560" s="979">
        <v>2212</v>
      </c>
      <c r="F1560" s="979" t="s">
        <v>5268</v>
      </c>
      <c r="G1560" s="979" t="s">
        <v>5268</v>
      </c>
      <c r="H1560" s="1030">
        <v>73691</v>
      </c>
      <c r="I1560" s="1030">
        <v>73470</v>
      </c>
      <c r="J1560" s="1034">
        <v>1</v>
      </c>
      <c r="K1560" s="1030">
        <v>73691</v>
      </c>
      <c r="L1560" s="1030">
        <v>73470</v>
      </c>
      <c r="M1560" s="979">
        <v>599</v>
      </c>
    </row>
    <row r="1561" spans="1:13" ht="15">
      <c r="A1561" s="979" t="s">
        <v>3660</v>
      </c>
      <c r="B1561" s="722" t="str">
        <f>CONCATENATE(LEFT(RIGHT(CONCATENATE("000",IFAData_TEA!A1561),6),3),"-",(RIGHT(RIGHT(CONCATENATE("000",IFAData_TEA!A1561),6),3)))</f>
        <v>169-901</v>
      </c>
      <c r="C1561" s="979" t="s">
        <v>1366</v>
      </c>
      <c r="D1561" s="979">
        <v>9</v>
      </c>
      <c r="E1561" s="979">
        <v>1630</v>
      </c>
      <c r="F1561" s="979" t="s">
        <v>5269</v>
      </c>
      <c r="G1561" s="979" t="s">
        <v>5270</v>
      </c>
      <c r="H1561" s="1030">
        <v>357946</v>
      </c>
      <c r="I1561" s="1030">
        <v>327868</v>
      </c>
      <c r="J1561" s="1034">
        <v>0.3601259190752461</v>
      </c>
      <c r="K1561" s="1030">
        <v>128905.63222930804</v>
      </c>
      <c r="L1561" s="1030">
        <v>128905.63222930804</v>
      </c>
      <c r="M1561" s="979">
        <v>599</v>
      </c>
    </row>
    <row r="1562" spans="1:13" ht="15">
      <c r="A1562" s="979" t="s">
        <v>3660</v>
      </c>
      <c r="B1562" s="722" t="str">
        <f>CONCATENATE(LEFT(RIGHT(CONCATENATE("000",IFAData_TEA!A1562),6),3),"-",(RIGHT(RIGHT(CONCATENATE("000",IFAData_TEA!A1562),6),3)))</f>
        <v>169-901</v>
      </c>
      <c r="C1562" s="979" t="s">
        <v>1366</v>
      </c>
      <c r="D1562" s="979">
        <v>9</v>
      </c>
      <c r="E1562" s="979">
        <v>1630</v>
      </c>
      <c r="F1562" s="979" t="s">
        <v>5269</v>
      </c>
      <c r="G1562" s="979" t="s">
        <v>5269</v>
      </c>
      <c r="H1562" s="1030">
        <v>357946</v>
      </c>
      <c r="I1562" s="1030">
        <v>582558</v>
      </c>
      <c r="J1562" s="1034">
        <v>0.63987408092475395</v>
      </c>
      <c r="K1562" s="1030">
        <v>229040.36777069198</v>
      </c>
      <c r="L1562" s="1030">
        <v>229040.36777069198</v>
      </c>
      <c r="M1562" s="979">
        <v>599</v>
      </c>
    </row>
    <row r="1563" spans="1:13" ht="15">
      <c r="A1563" s="979" t="s">
        <v>3661</v>
      </c>
      <c r="B1563" s="722" t="str">
        <f>CONCATENATE(LEFT(RIGHT(CONCATENATE("000",IFAData_TEA!A1563),6),3),"-",(RIGHT(RIGHT(CONCATENATE("000",IFAData_TEA!A1563),6),3)))</f>
        <v>170-902</v>
      </c>
      <c r="C1563" s="979" t="s">
        <v>1553</v>
      </c>
      <c r="D1563" s="979">
        <v>1</v>
      </c>
      <c r="E1563" s="979">
        <v>1717</v>
      </c>
      <c r="F1563" s="979" t="s">
        <v>5271</v>
      </c>
      <c r="G1563" s="979" t="s">
        <v>5273</v>
      </c>
      <c r="H1563" s="1030">
        <v>398132</v>
      </c>
      <c r="I1563" s="1030">
        <v>635023</v>
      </c>
      <c r="J1563" s="1034">
        <v>0.6353730905729057</v>
      </c>
      <c r="K1563" s="1030">
        <v>252962.3592959721</v>
      </c>
      <c r="L1563" s="1030">
        <v>252962.3592959721</v>
      </c>
      <c r="M1563" s="979">
        <v>599</v>
      </c>
    </row>
    <row r="1564" spans="1:13" ht="15">
      <c r="A1564" s="979" t="s">
        <v>3661</v>
      </c>
      <c r="B1564" s="722" t="str">
        <f>CONCATENATE(LEFT(RIGHT(CONCATENATE("000",IFAData_TEA!A1564),6),3),"-",(RIGHT(RIGHT(CONCATENATE("000",IFAData_TEA!A1564),6),3)))</f>
        <v>170-902</v>
      </c>
      <c r="C1564" s="979" t="s">
        <v>1553</v>
      </c>
      <c r="D1564" s="979">
        <v>1</v>
      </c>
      <c r="E1564" s="979">
        <v>1717</v>
      </c>
      <c r="F1564" s="979" t="s">
        <v>5271</v>
      </c>
      <c r="G1564" s="979" t="s">
        <v>6302</v>
      </c>
      <c r="H1564" s="1030">
        <v>398132</v>
      </c>
      <c r="I1564" s="1030">
        <v>63444</v>
      </c>
      <c r="J1564" s="1034">
        <v>6.3478976916280877E-2</v>
      </c>
      <c r="K1564" s="1030">
        <v>25273.01203763274</v>
      </c>
      <c r="L1564" s="1030">
        <v>25273.01203763274</v>
      </c>
      <c r="M1564" s="979">
        <v>599</v>
      </c>
    </row>
    <row r="1565" spans="1:13" ht="15">
      <c r="A1565" s="979" t="s">
        <v>3661</v>
      </c>
      <c r="B1565" s="722" t="str">
        <f>CONCATENATE(LEFT(RIGHT(CONCATENATE("000",IFAData_TEA!A1565),6),3),"-",(RIGHT(RIGHT(CONCATENATE("000",IFAData_TEA!A1565),6),3)))</f>
        <v>170-902</v>
      </c>
      <c r="C1565" s="979" t="s">
        <v>1553</v>
      </c>
      <c r="D1565" s="979">
        <v>1</v>
      </c>
      <c r="E1565" s="979">
        <v>1717</v>
      </c>
      <c r="F1565" s="979" t="s">
        <v>5271</v>
      </c>
      <c r="G1565" s="979" t="s">
        <v>5275</v>
      </c>
      <c r="H1565" s="1030">
        <v>398132</v>
      </c>
      <c r="I1565" s="1030">
        <v>87580</v>
      </c>
      <c r="J1565" s="1034">
        <v>8.76282831840344E-2</v>
      </c>
      <c r="K1565" s="1030">
        <v>34887.623640625985</v>
      </c>
      <c r="L1565" s="1030">
        <v>34887.623640625985</v>
      </c>
      <c r="M1565" s="979">
        <v>599</v>
      </c>
    </row>
    <row r="1566" spans="1:13" ht="15">
      <c r="A1566" s="979" t="s">
        <v>3661</v>
      </c>
      <c r="B1566" s="722" t="str">
        <f>CONCATENATE(LEFT(RIGHT(CONCATENATE("000",IFAData_TEA!A1566),6),3),"-",(RIGHT(RIGHT(CONCATENATE("000",IFAData_TEA!A1566),6),3)))</f>
        <v>170-902</v>
      </c>
      <c r="C1566" s="979" t="s">
        <v>1553</v>
      </c>
      <c r="D1566" s="979">
        <v>1</v>
      </c>
      <c r="E1566" s="979">
        <v>1717</v>
      </c>
      <c r="F1566" s="979" t="s">
        <v>5271</v>
      </c>
      <c r="G1566" s="979" t="s">
        <v>5274</v>
      </c>
      <c r="H1566" s="1030">
        <v>398132</v>
      </c>
      <c r="I1566" s="1030">
        <v>48940</v>
      </c>
      <c r="J1566" s="1034">
        <v>4.8966980806424337E-2</v>
      </c>
      <c r="K1566" s="1030">
        <v>19495.322002423334</v>
      </c>
      <c r="L1566" s="1030">
        <v>19495.322002423334</v>
      </c>
      <c r="M1566" s="979">
        <v>599</v>
      </c>
    </row>
    <row r="1567" spans="1:13" ht="15">
      <c r="A1567" s="979" t="s">
        <v>3661</v>
      </c>
      <c r="B1567" s="722" t="str">
        <f>CONCATENATE(LEFT(RIGHT(CONCATENATE("000",IFAData_TEA!A1567),6),3),"-",(RIGHT(RIGHT(CONCATENATE("000",IFAData_TEA!A1567),6),3)))</f>
        <v>170-902</v>
      </c>
      <c r="C1567" s="979" t="s">
        <v>1553</v>
      </c>
      <c r="D1567" s="979">
        <v>1</v>
      </c>
      <c r="E1567" s="979">
        <v>1717</v>
      </c>
      <c r="F1567" s="979" t="s">
        <v>5271</v>
      </c>
      <c r="G1567" s="979" t="s">
        <v>5272</v>
      </c>
      <c r="H1567" s="1030">
        <v>398132</v>
      </c>
      <c r="I1567" s="1030">
        <v>164462</v>
      </c>
      <c r="J1567" s="1034">
        <v>0.16455266852035472</v>
      </c>
      <c r="K1567" s="1030">
        <v>65513.683023345868</v>
      </c>
      <c r="L1567" s="1030">
        <v>65513.683023345868</v>
      </c>
      <c r="M1567" s="979">
        <v>599</v>
      </c>
    </row>
    <row r="1568" spans="1:13" ht="15">
      <c r="A1568" s="979" t="s">
        <v>3661</v>
      </c>
      <c r="B1568" s="722" t="str">
        <f>CONCATENATE(LEFT(RIGHT(CONCATENATE("000",IFAData_TEA!A1568),6),3),"-",(RIGHT(RIGHT(CONCATENATE("000",IFAData_TEA!A1568),6),3)))</f>
        <v>170-902</v>
      </c>
      <c r="C1568" s="979" t="s">
        <v>1553</v>
      </c>
      <c r="D1568" s="979">
        <v>1</v>
      </c>
      <c r="E1568" s="979">
        <v>1717</v>
      </c>
      <c r="F1568" s="979" t="s">
        <v>5271</v>
      </c>
      <c r="G1568" s="979" t="s">
        <v>5271</v>
      </c>
      <c r="H1568" s="1030">
        <v>398132</v>
      </c>
      <c r="I1568" s="1030">
        <v>0</v>
      </c>
      <c r="J1568" s="1034">
        <v>0</v>
      </c>
      <c r="K1568" s="1030">
        <v>0</v>
      </c>
      <c r="L1568" s="1030">
        <v>0</v>
      </c>
      <c r="M1568" s="979">
        <v>599</v>
      </c>
    </row>
    <row r="1569" spans="1:13" ht="15">
      <c r="A1569" s="979" t="s">
        <v>3662</v>
      </c>
      <c r="B1569" s="722" t="str">
        <f>CONCATENATE(LEFT(RIGHT(CONCATENATE("000",IFAData_TEA!A1569),6),3),"-",(RIGHT(RIGHT(CONCATENATE("000",IFAData_TEA!A1569),6),3)))</f>
        <v>170-904</v>
      </c>
      <c r="C1569" s="979" t="s">
        <v>1127</v>
      </c>
      <c r="D1569" s="979">
        <v>9</v>
      </c>
      <c r="E1569" s="979">
        <v>2456</v>
      </c>
      <c r="F1569" s="979" t="s">
        <v>5281</v>
      </c>
      <c r="G1569" s="979" t="s">
        <v>5282</v>
      </c>
      <c r="H1569" s="1030">
        <v>798894</v>
      </c>
      <c r="I1569" s="1030">
        <v>167831</v>
      </c>
      <c r="J1569" s="1034">
        <v>0.10801735939258859</v>
      </c>
      <c r="K1569" s="1030">
        <v>86294.420314582676</v>
      </c>
      <c r="L1569" s="1030">
        <v>86294.420314582676</v>
      </c>
      <c r="M1569" s="979">
        <v>599</v>
      </c>
    </row>
    <row r="1570" spans="1:13" ht="15">
      <c r="A1570" s="979" t="s">
        <v>3662</v>
      </c>
      <c r="B1570" s="722" t="str">
        <f>CONCATENATE(LEFT(RIGHT(CONCATENATE("000",IFAData_TEA!A1570),6),3),"-",(RIGHT(RIGHT(CONCATENATE("000",IFAData_TEA!A1570),6),3)))</f>
        <v>170-904</v>
      </c>
      <c r="C1570" s="979" t="s">
        <v>1127</v>
      </c>
      <c r="D1570" s="979">
        <v>2</v>
      </c>
      <c r="E1570" s="979">
        <v>2457</v>
      </c>
      <c r="F1570" s="979" t="s">
        <v>5276</v>
      </c>
      <c r="G1570" s="979" t="s">
        <v>5277</v>
      </c>
      <c r="H1570" s="1030">
        <v>890114</v>
      </c>
      <c r="I1570" s="1030">
        <v>227294</v>
      </c>
      <c r="J1570" s="1034">
        <v>0.25329498333424344</v>
      </c>
      <c r="K1570" s="1030">
        <v>225461.41079557675</v>
      </c>
      <c r="L1570" s="1030">
        <v>225461.41079557675</v>
      </c>
      <c r="M1570" s="979">
        <v>599</v>
      </c>
    </row>
    <row r="1571" spans="1:13" ht="15">
      <c r="A1571" s="979" t="s">
        <v>3662</v>
      </c>
      <c r="B1571" s="722" t="str">
        <f>CONCATENATE(LEFT(RIGHT(CONCATENATE("000",IFAData_TEA!A1571),6),3),"-",(RIGHT(RIGHT(CONCATENATE("000",IFAData_TEA!A1571),6),3)))</f>
        <v>170-904</v>
      </c>
      <c r="C1571" s="979" t="s">
        <v>1127</v>
      </c>
      <c r="D1571" s="979">
        <v>6</v>
      </c>
      <c r="E1571" s="979">
        <v>2455</v>
      </c>
      <c r="F1571" s="979" t="s">
        <v>5279</v>
      </c>
      <c r="G1571" s="979" t="s">
        <v>5280</v>
      </c>
      <c r="H1571" s="1030">
        <v>700706</v>
      </c>
      <c r="I1571" s="1030">
        <v>624240</v>
      </c>
      <c r="J1571" s="1034">
        <v>0.91511201414359977</v>
      </c>
      <c r="K1571" s="1030">
        <v>641224.47898250527</v>
      </c>
      <c r="L1571" s="1030">
        <v>624240</v>
      </c>
      <c r="M1571" s="979">
        <v>599</v>
      </c>
    </row>
    <row r="1572" spans="1:13" ht="15">
      <c r="A1572" s="979" t="s">
        <v>3662</v>
      </c>
      <c r="B1572" s="722" t="str">
        <f>CONCATENATE(LEFT(RIGHT(CONCATENATE("000",IFAData_TEA!A1572),6),3),"-",(RIGHT(RIGHT(CONCATENATE("000",IFAData_TEA!A1572),6),3)))</f>
        <v>170-904</v>
      </c>
      <c r="C1572" s="979" t="s">
        <v>1127</v>
      </c>
      <c r="D1572" s="979">
        <v>6</v>
      </c>
      <c r="E1572" s="979">
        <v>2455</v>
      </c>
      <c r="F1572" s="979" t="s">
        <v>5279</v>
      </c>
      <c r="G1572" s="979" t="s">
        <v>5279</v>
      </c>
      <c r="H1572" s="1030">
        <v>700706</v>
      </c>
      <c r="I1572" s="1030">
        <v>53740</v>
      </c>
      <c r="J1572" s="1034">
        <v>7.8780788863381149E-2</v>
      </c>
      <c r="K1572" s="1030">
        <v>55202.171441304352</v>
      </c>
      <c r="L1572" s="1030">
        <v>53740</v>
      </c>
      <c r="M1572" s="979">
        <v>599</v>
      </c>
    </row>
    <row r="1573" spans="1:13" ht="15">
      <c r="A1573" s="979" t="s">
        <v>3662</v>
      </c>
      <c r="B1573" s="722" t="str">
        <f>CONCATENATE(LEFT(RIGHT(CONCATENATE("000",IFAData_TEA!A1573),6),3),"-",(RIGHT(RIGHT(CONCATENATE("000",IFAData_TEA!A1573),6),3)))</f>
        <v>170-904</v>
      </c>
      <c r="C1573" s="979" t="s">
        <v>1127</v>
      </c>
      <c r="D1573" s="979">
        <v>10</v>
      </c>
      <c r="E1573" s="979">
        <v>2454</v>
      </c>
      <c r="F1573" s="979" t="s">
        <v>5283</v>
      </c>
      <c r="G1573" s="979" t="s">
        <v>5283</v>
      </c>
      <c r="H1573" s="1030">
        <v>258116</v>
      </c>
      <c r="I1573" s="1030">
        <v>454267</v>
      </c>
      <c r="J1573" s="1034">
        <v>1</v>
      </c>
      <c r="K1573" s="1030">
        <v>258116</v>
      </c>
      <c r="L1573" s="1030">
        <v>258116</v>
      </c>
      <c r="M1573" s="979">
        <v>599</v>
      </c>
    </row>
    <row r="1574" spans="1:13" ht="15">
      <c r="A1574" s="979" t="s">
        <v>3662</v>
      </c>
      <c r="B1574" s="722" t="str">
        <f>CONCATENATE(LEFT(RIGHT(CONCATENATE("000",IFAData_TEA!A1574),6),3),"-",(RIGHT(RIGHT(CONCATENATE("000",IFAData_TEA!A1574),6),3)))</f>
        <v>170-904</v>
      </c>
      <c r="C1574" s="979" t="s">
        <v>1127</v>
      </c>
      <c r="D1574" s="979">
        <v>2</v>
      </c>
      <c r="E1574" s="979">
        <v>2457</v>
      </c>
      <c r="F1574" s="979" t="s">
        <v>5276</v>
      </c>
      <c r="G1574" s="979" t="s">
        <v>5278</v>
      </c>
      <c r="H1574" s="1030">
        <v>890114</v>
      </c>
      <c r="I1574" s="1030">
        <v>59360</v>
      </c>
      <c r="J1574" s="1034">
        <v>6.6150405249239708E-2</v>
      </c>
      <c r="K1574" s="1030">
        <v>58881.401818021754</v>
      </c>
      <c r="L1574" s="1030">
        <v>58881.401818021754</v>
      </c>
      <c r="M1574" s="979">
        <v>599</v>
      </c>
    </row>
    <row r="1575" spans="1:13" ht="15">
      <c r="A1575" s="979" t="s">
        <v>3662</v>
      </c>
      <c r="B1575" s="722" t="str">
        <f>CONCATENATE(LEFT(RIGHT(CONCATENATE("000",IFAData_TEA!A1575),6),3),"-",(RIGHT(RIGHT(CONCATENATE("000",IFAData_TEA!A1575),6),3)))</f>
        <v>170-904</v>
      </c>
      <c r="C1575" s="979" t="s">
        <v>1127</v>
      </c>
      <c r="D1575" s="979">
        <v>2</v>
      </c>
      <c r="E1575" s="979">
        <v>2457</v>
      </c>
      <c r="F1575" s="979" t="s">
        <v>5276</v>
      </c>
      <c r="G1575" s="979" t="s">
        <v>5276</v>
      </c>
      <c r="H1575" s="1030">
        <v>890114</v>
      </c>
      <c r="I1575" s="1030">
        <v>582027</v>
      </c>
      <c r="J1575" s="1034">
        <v>0.64860717513475807</v>
      </c>
      <c r="K1575" s="1030">
        <v>577334.32708790002</v>
      </c>
      <c r="L1575" s="1030">
        <v>577334.32708790002</v>
      </c>
      <c r="M1575" s="979">
        <v>599</v>
      </c>
    </row>
    <row r="1576" spans="1:13" ht="15">
      <c r="A1576" s="979" t="s">
        <v>3662</v>
      </c>
      <c r="B1576" s="722" t="str">
        <f>CONCATENATE(LEFT(RIGHT(CONCATENATE("000",IFAData_TEA!A1576),6),3),"-",(RIGHT(RIGHT(CONCATENATE("000",IFAData_TEA!A1576),6),3)))</f>
        <v>170-904</v>
      </c>
      <c r="C1576" s="979" t="s">
        <v>1127</v>
      </c>
      <c r="D1576" s="979">
        <v>9</v>
      </c>
      <c r="E1576" s="979">
        <v>2456</v>
      </c>
      <c r="F1576" s="979" t="s">
        <v>5281</v>
      </c>
      <c r="G1576" s="979" t="s">
        <v>5281</v>
      </c>
      <c r="H1576" s="1030">
        <v>798894</v>
      </c>
      <c r="I1576" s="1030">
        <v>1296460</v>
      </c>
      <c r="J1576" s="1034">
        <v>0.83441191292499839</v>
      </c>
      <c r="K1576" s="1030">
        <v>666606.67076430365</v>
      </c>
      <c r="L1576" s="1030">
        <v>666606.67076430365</v>
      </c>
      <c r="M1576" s="979">
        <v>599</v>
      </c>
    </row>
    <row r="1577" spans="1:13" ht="15">
      <c r="A1577" s="979" t="s">
        <v>3662</v>
      </c>
      <c r="B1577" s="722" t="str">
        <f>CONCATENATE(LEFT(RIGHT(CONCATENATE("000",IFAData_TEA!A1577),6),3),"-",(RIGHT(RIGHT(CONCATENATE("000",IFAData_TEA!A1577),6),3)))</f>
        <v>170-904</v>
      </c>
      <c r="C1577" s="979" t="s">
        <v>1127</v>
      </c>
      <c r="D1577" s="979">
        <v>6</v>
      </c>
      <c r="E1577" s="979">
        <v>2455</v>
      </c>
      <c r="F1577" s="979" t="s">
        <v>5279</v>
      </c>
      <c r="G1577" s="979" t="s">
        <v>6303</v>
      </c>
      <c r="H1577" s="1030">
        <v>700706</v>
      </c>
      <c r="I1577" s="1030">
        <v>4166</v>
      </c>
      <c r="J1577" s="1034">
        <v>6.1071969930190893E-3</v>
      </c>
      <c r="K1577" s="1030">
        <v>4279.3495761904342</v>
      </c>
      <c r="L1577" s="1030">
        <v>4166</v>
      </c>
      <c r="M1577" s="979">
        <v>599</v>
      </c>
    </row>
    <row r="1578" spans="1:13" ht="15">
      <c r="A1578" s="979" t="s">
        <v>3662</v>
      </c>
      <c r="B1578" s="722" t="str">
        <f>CONCATENATE(LEFT(RIGHT(CONCATENATE("000",IFAData_TEA!A1578),6),3),"-",(RIGHT(RIGHT(CONCATENATE("000",IFAData_TEA!A1578),6),3)))</f>
        <v>170-904</v>
      </c>
      <c r="C1578" s="979" t="s">
        <v>1127</v>
      </c>
      <c r="D1578" s="979">
        <v>9</v>
      </c>
      <c r="E1578" s="979">
        <v>2456</v>
      </c>
      <c r="F1578" s="979" t="s">
        <v>5281</v>
      </c>
      <c r="G1578" s="979" t="s">
        <v>6303</v>
      </c>
      <c r="H1578" s="1030">
        <v>798894</v>
      </c>
      <c r="I1578" s="1030">
        <v>89450</v>
      </c>
      <c r="J1578" s="1034">
        <v>5.7570727682412962E-2</v>
      </c>
      <c r="K1578" s="1030">
        <v>45992.908921113623</v>
      </c>
      <c r="L1578" s="1030">
        <v>45992.908921113623</v>
      </c>
      <c r="M1578" s="979">
        <v>599</v>
      </c>
    </row>
    <row r="1579" spans="1:13" ht="15">
      <c r="A1579" s="979" t="s">
        <v>3662</v>
      </c>
      <c r="B1579" s="722" t="str">
        <f>CONCATENATE(LEFT(RIGHT(CONCATENATE("000",IFAData_TEA!A1579),6),3),"-",(RIGHT(RIGHT(CONCATENATE("000",IFAData_TEA!A1579),6),3)))</f>
        <v>170-904</v>
      </c>
      <c r="C1579" s="979" t="s">
        <v>1127</v>
      </c>
      <c r="D1579" s="979">
        <v>2</v>
      </c>
      <c r="E1579" s="979">
        <v>2457</v>
      </c>
      <c r="F1579" s="979" t="s">
        <v>5276</v>
      </c>
      <c r="G1579" s="979" t="s">
        <v>6303</v>
      </c>
      <c r="H1579" s="1030">
        <v>890114</v>
      </c>
      <c r="I1579" s="1030">
        <v>28668</v>
      </c>
      <c r="J1579" s="1034">
        <v>3.1947436281758827E-2</v>
      </c>
      <c r="K1579" s="1030">
        <v>28436.860298501477</v>
      </c>
      <c r="L1579" s="1030">
        <v>28436.860298501477</v>
      </c>
      <c r="M1579" s="979">
        <v>599</v>
      </c>
    </row>
    <row r="1580" spans="1:13" ht="15">
      <c r="A1580" s="979" t="s">
        <v>3663</v>
      </c>
      <c r="B1580" s="722" t="str">
        <f>CONCATENATE(LEFT(RIGHT(CONCATENATE("000",IFAData_TEA!A1580),6),3),"-",(RIGHT(RIGHT(CONCATENATE("000",IFAData_TEA!A1580),6),3)))</f>
        <v>170-906</v>
      </c>
      <c r="C1580" s="979" t="s">
        <v>288</v>
      </c>
      <c r="D1580" s="979">
        <v>9</v>
      </c>
      <c r="E1580" s="979">
        <v>2051</v>
      </c>
      <c r="F1580" s="979" t="s">
        <v>5285</v>
      </c>
      <c r="G1580" s="979" t="s">
        <v>5285</v>
      </c>
      <c r="H1580" s="1030">
        <v>617287</v>
      </c>
      <c r="I1580" s="1030">
        <v>844996</v>
      </c>
      <c r="J1580" s="1034">
        <v>1</v>
      </c>
      <c r="K1580" s="1030">
        <v>617287</v>
      </c>
      <c r="L1580" s="1030">
        <v>617287</v>
      </c>
      <c r="M1580" s="979">
        <v>599</v>
      </c>
    </row>
    <row r="1581" spans="1:13" ht="15">
      <c r="A1581" s="979" t="s">
        <v>3663</v>
      </c>
      <c r="B1581" s="722" t="str">
        <f>CONCATENATE(LEFT(RIGHT(CONCATENATE("000",IFAData_TEA!A1581),6),3),"-",(RIGHT(RIGHT(CONCATENATE("000",IFAData_TEA!A1581),6),3)))</f>
        <v>170-906</v>
      </c>
      <c r="C1581" s="979" t="s">
        <v>288</v>
      </c>
      <c r="D1581" s="979">
        <v>3</v>
      </c>
      <c r="E1581" s="979">
        <v>2052</v>
      </c>
      <c r="F1581" s="979" t="s">
        <v>5284</v>
      </c>
      <c r="G1581" s="979" t="s">
        <v>5285</v>
      </c>
      <c r="H1581" s="1030">
        <v>1530990</v>
      </c>
      <c r="I1581" s="1030">
        <v>1794823</v>
      </c>
      <c r="J1581" s="1034">
        <v>0.60928285597509124</v>
      </c>
      <c r="K1581" s="1030">
        <v>932805.9596693049</v>
      </c>
      <c r="L1581" s="1030">
        <v>932805.9596693049</v>
      </c>
      <c r="M1581" s="979">
        <v>599</v>
      </c>
    </row>
    <row r="1582" spans="1:13" ht="15">
      <c r="A1582" s="979" t="s">
        <v>3663</v>
      </c>
      <c r="B1582" s="722" t="str">
        <f>CONCATENATE(LEFT(RIGHT(CONCATENATE("000",IFAData_TEA!A1582),6),3),"-",(RIGHT(RIGHT(CONCATENATE("000",IFAData_TEA!A1582),6),3)))</f>
        <v>170-906</v>
      </c>
      <c r="C1582" s="979" t="s">
        <v>288</v>
      </c>
      <c r="D1582" s="979">
        <v>3</v>
      </c>
      <c r="E1582" s="979">
        <v>2052</v>
      </c>
      <c r="F1582" s="979" t="s">
        <v>5284</v>
      </c>
      <c r="G1582" s="979" t="s">
        <v>5286</v>
      </c>
      <c r="H1582" s="1030">
        <v>1530990</v>
      </c>
      <c r="I1582" s="1030">
        <v>1150973</v>
      </c>
      <c r="J1582" s="1034">
        <v>0.3907171440249087</v>
      </c>
      <c r="K1582" s="1030">
        <v>598184.04033069499</v>
      </c>
      <c r="L1582" s="1030">
        <v>598184.04033069499</v>
      </c>
      <c r="M1582" s="979">
        <v>599</v>
      </c>
    </row>
    <row r="1583" spans="1:13" ht="15">
      <c r="A1583" s="979" t="s">
        <v>3663</v>
      </c>
      <c r="B1583" s="722" t="str">
        <f>CONCATENATE(LEFT(RIGHT(CONCATENATE("000",IFAData_TEA!A1583),6),3),"-",(RIGHT(RIGHT(CONCATENATE("000",IFAData_TEA!A1583),6),3)))</f>
        <v>170-906</v>
      </c>
      <c r="C1583" s="979" t="s">
        <v>288</v>
      </c>
      <c r="D1583" s="979">
        <v>3</v>
      </c>
      <c r="E1583" s="979">
        <v>2052</v>
      </c>
      <c r="F1583" s="979" t="s">
        <v>5284</v>
      </c>
      <c r="G1583" s="979" t="s">
        <v>5284</v>
      </c>
      <c r="H1583" s="1030">
        <v>1530990</v>
      </c>
      <c r="I1583" s="1030">
        <v>0</v>
      </c>
      <c r="J1583" s="1034">
        <v>0</v>
      </c>
      <c r="K1583" s="1030">
        <v>0</v>
      </c>
      <c r="L1583" s="1030">
        <v>0</v>
      </c>
      <c r="M1583" s="979">
        <v>599</v>
      </c>
    </row>
    <row r="1584" spans="1:13" ht="15">
      <c r="A1584" s="979" t="s">
        <v>3664</v>
      </c>
      <c r="B1584" s="722" t="str">
        <f>CONCATENATE(LEFT(RIGHT(CONCATENATE("000",IFAData_TEA!A1584),6),3),"-",(RIGHT(RIGHT(CONCATENATE("000",IFAData_TEA!A1584),6),3)))</f>
        <v>170-907</v>
      </c>
      <c r="C1584" s="979" t="s">
        <v>1935</v>
      </c>
      <c r="D1584" s="979">
        <v>2</v>
      </c>
      <c r="E1584" s="979">
        <v>2373</v>
      </c>
      <c r="F1584" s="979" t="s">
        <v>5287</v>
      </c>
      <c r="G1584" s="979" t="s">
        <v>5287</v>
      </c>
      <c r="H1584" s="1030">
        <v>605123</v>
      </c>
      <c r="I1584" s="1030">
        <v>0</v>
      </c>
      <c r="J1584" s="1034">
        <v>0</v>
      </c>
      <c r="K1584" s="1030"/>
      <c r="L1584" s="1030">
        <v>0</v>
      </c>
      <c r="M1584" s="979">
        <v>199</v>
      </c>
    </row>
    <row r="1585" spans="1:13" ht="15">
      <c r="A1585" s="979" t="s">
        <v>3664</v>
      </c>
      <c r="B1585" s="722" t="str">
        <f>CONCATENATE(LEFT(RIGHT(CONCATENATE("000",IFAData_TEA!A1585),6),3),"-",(RIGHT(RIGHT(CONCATENATE("000",IFAData_TEA!A1585),6),3)))</f>
        <v>170-907</v>
      </c>
      <c r="C1585" s="979" t="s">
        <v>1935</v>
      </c>
      <c r="D1585" s="979">
        <v>6</v>
      </c>
      <c r="E1585" s="979">
        <v>2374</v>
      </c>
      <c r="F1585" s="979" t="s">
        <v>5288</v>
      </c>
      <c r="G1585" s="979" t="s">
        <v>5289</v>
      </c>
      <c r="H1585" s="1030">
        <v>687496</v>
      </c>
      <c r="I1585" s="1030">
        <v>284442</v>
      </c>
      <c r="J1585" s="1034">
        <v>0.3997054645046787</v>
      </c>
      <c r="K1585" s="1030">
        <v>274795.90802510857</v>
      </c>
      <c r="L1585" s="1030">
        <v>274795.90802510857</v>
      </c>
      <c r="M1585" s="979">
        <v>599</v>
      </c>
    </row>
    <row r="1586" spans="1:13" ht="15">
      <c r="A1586" s="979" t="s">
        <v>3664</v>
      </c>
      <c r="B1586" s="722" t="str">
        <f>CONCATENATE(LEFT(RIGHT(CONCATENATE("000",IFAData_TEA!A1586),6),3),"-",(RIGHT(RIGHT(CONCATENATE("000",IFAData_TEA!A1586),6),3)))</f>
        <v>170-907</v>
      </c>
      <c r="C1586" s="979" t="s">
        <v>1935</v>
      </c>
      <c r="D1586" s="979">
        <v>9</v>
      </c>
      <c r="E1586" s="979">
        <v>2371</v>
      </c>
      <c r="F1586" s="979" t="s">
        <v>5291</v>
      </c>
      <c r="G1586" s="979" t="s">
        <v>5291</v>
      </c>
      <c r="H1586" s="1030">
        <v>207452</v>
      </c>
      <c r="I1586" s="1030">
        <v>506001</v>
      </c>
      <c r="J1586" s="1034">
        <v>1</v>
      </c>
      <c r="K1586" s="1030">
        <v>207452</v>
      </c>
      <c r="L1586" s="1030">
        <v>207452</v>
      </c>
      <c r="M1586" s="979">
        <v>599</v>
      </c>
    </row>
    <row r="1587" spans="1:13" ht="15">
      <c r="A1587" s="979" t="s">
        <v>3664</v>
      </c>
      <c r="B1587" s="722" t="str">
        <f>CONCATENATE(LEFT(RIGHT(CONCATENATE("000",IFAData_TEA!A1587),6),3),"-",(RIGHT(RIGHT(CONCATENATE("000",IFAData_TEA!A1587),6),3)))</f>
        <v>170-907</v>
      </c>
      <c r="C1587" s="979" t="s">
        <v>1935</v>
      </c>
      <c r="D1587" s="979">
        <v>9</v>
      </c>
      <c r="E1587" s="979">
        <v>2372</v>
      </c>
      <c r="F1587" s="979" t="s">
        <v>5290</v>
      </c>
      <c r="G1587" s="979" t="s">
        <v>5290</v>
      </c>
      <c r="H1587" s="1030">
        <v>565041</v>
      </c>
      <c r="I1587" s="1030">
        <v>550112</v>
      </c>
      <c r="J1587" s="1034">
        <v>1</v>
      </c>
      <c r="K1587" s="1030">
        <v>565041</v>
      </c>
      <c r="L1587" s="1030">
        <v>550112</v>
      </c>
      <c r="M1587" s="979">
        <v>599</v>
      </c>
    </row>
    <row r="1588" spans="1:13" ht="15">
      <c r="A1588" s="979" t="s">
        <v>3664</v>
      </c>
      <c r="B1588" s="722" t="str">
        <f>CONCATENATE(LEFT(RIGHT(CONCATENATE("000",IFAData_TEA!A1588),6),3),"-",(RIGHT(RIGHT(CONCATENATE("000",IFAData_TEA!A1588),6),3)))</f>
        <v>170-907</v>
      </c>
      <c r="C1588" s="979" t="s">
        <v>1935</v>
      </c>
      <c r="D1588" s="979">
        <v>6</v>
      </c>
      <c r="E1588" s="979">
        <v>2374</v>
      </c>
      <c r="F1588" s="979" t="s">
        <v>5288</v>
      </c>
      <c r="G1588" s="979" t="s">
        <v>5288</v>
      </c>
      <c r="H1588" s="1030">
        <v>687496</v>
      </c>
      <c r="I1588" s="1030">
        <v>427187</v>
      </c>
      <c r="J1588" s="1034">
        <v>0.6002945354953213</v>
      </c>
      <c r="K1588" s="1030">
        <v>412700.09197489143</v>
      </c>
      <c r="L1588" s="1030">
        <v>412700.09197489143</v>
      </c>
      <c r="M1588" s="979">
        <v>599</v>
      </c>
    </row>
    <row r="1589" spans="1:13" ht="15">
      <c r="A1589" s="979" t="s">
        <v>3665</v>
      </c>
      <c r="B1589" s="722" t="str">
        <f>CONCATENATE(LEFT(RIGHT(CONCATENATE("000",IFAData_TEA!A1589),6),3),"-",(RIGHT(RIGHT(CONCATENATE("000",IFAData_TEA!A1589),6),3)))</f>
        <v>170-908</v>
      </c>
      <c r="C1589" s="979" t="s">
        <v>1142</v>
      </c>
      <c r="D1589" s="979">
        <v>9</v>
      </c>
      <c r="E1589" s="979">
        <v>2137</v>
      </c>
      <c r="F1589" s="979" t="s">
        <v>5297</v>
      </c>
      <c r="G1589" s="979" t="s">
        <v>6304</v>
      </c>
      <c r="H1589" s="1030">
        <v>527036</v>
      </c>
      <c r="I1589" s="1030">
        <v>527337</v>
      </c>
      <c r="J1589" s="1034">
        <v>0.20664817295939941</v>
      </c>
      <c r="K1589" s="1030">
        <v>108911.02648383004</v>
      </c>
      <c r="L1589" s="1030">
        <v>108911.02648383004</v>
      </c>
      <c r="M1589" s="979">
        <v>599</v>
      </c>
    </row>
    <row r="1590" spans="1:13" ht="15">
      <c r="A1590" s="979" t="s">
        <v>3665</v>
      </c>
      <c r="B1590" s="722" t="str">
        <f>CONCATENATE(LEFT(RIGHT(CONCATENATE("000",IFAData_TEA!A1590),6),3),"-",(RIGHT(RIGHT(CONCATENATE("000",IFAData_TEA!A1590),6),3)))</f>
        <v>170-908</v>
      </c>
      <c r="C1590" s="979" t="s">
        <v>1142</v>
      </c>
      <c r="D1590" s="979">
        <v>9</v>
      </c>
      <c r="E1590" s="979">
        <v>2138</v>
      </c>
      <c r="F1590" s="979" t="s">
        <v>5296</v>
      </c>
      <c r="G1590" s="979" t="s">
        <v>6304</v>
      </c>
      <c r="H1590" s="1030">
        <v>571354</v>
      </c>
      <c r="I1590" s="1030">
        <v>225304</v>
      </c>
      <c r="J1590" s="1034">
        <v>0.21036886259973203</v>
      </c>
      <c r="K1590" s="1030">
        <v>120195.0911218073</v>
      </c>
      <c r="L1590" s="1030">
        <v>120195.0911218073</v>
      </c>
      <c r="M1590" s="979">
        <v>599</v>
      </c>
    </row>
    <row r="1591" spans="1:13" ht="15">
      <c r="A1591" s="979" t="s">
        <v>3665</v>
      </c>
      <c r="B1591" s="722" t="str">
        <f>CONCATENATE(LEFT(RIGHT(CONCATENATE("000",IFAData_TEA!A1591),6),3),"-",(RIGHT(RIGHT(CONCATENATE("000",IFAData_TEA!A1591),6),3)))</f>
        <v>170-908</v>
      </c>
      <c r="C1591" s="979" t="s">
        <v>1142</v>
      </c>
      <c r="D1591" s="979">
        <v>9</v>
      </c>
      <c r="E1591" s="979">
        <v>2138</v>
      </c>
      <c r="F1591" s="979" t="s">
        <v>5296</v>
      </c>
      <c r="G1591" s="979" t="s">
        <v>5296</v>
      </c>
      <c r="H1591" s="1030">
        <v>571354</v>
      </c>
      <c r="I1591" s="1030">
        <v>845691</v>
      </c>
      <c r="J1591" s="1034">
        <v>0.78963113740026802</v>
      </c>
      <c r="K1591" s="1030">
        <v>451158.90887819271</v>
      </c>
      <c r="L1591" s="1030">
        <v>451158.90887819271</v>
      </c>
      <c r="M1591" s="979">
        <v>599</v>
      </c>
    </row>
    <row r="1592" spans="1:13" ht="15">
      <c r="A1592" s="979" t="s">
        <v>3665</v>
      </c>
      <c r="B1592" s="722" t="str">
        <f>CONCATENATE(LEFT(RIGHT(CONCATENATE("000",IFAData_TEA!A1592),6),3),"-",(RIGHT(RIGHT(CONCATENATE("000",IFAData_TEA!A1592),6),3)))</f>
        <v>170-908</v>
      </c>
      <c r="C1592" s="979" t="s">
        <v>1142</v>
      </c>
      <c r="D1592" s="979">
        <v>5</v>
      </c>
      <c r="E1592" s="979">
        <v>2136</v>
      </c>
      <c r="F1592" s="979" t="s">
        <v>5292</v>
      </c>
      <c r="G1592" s="979" t="s">
        <v>5292</v>
      </c>
      <c r="H1592" s="1030">
        <v>342303</v>
      </c>
      <c r="I1592" s="1030">
        <v>0</v>
      </c>
      <c r="J1592" s="1034">
        <v>0</v>
      </c>
      <c r="K1592" s="1030">
        <v>0</v>
      </c>
      <c r="L1592" s="1030">
        <v>0</v>
      </c>
      <c r="M1592" s="979">
        <v>599</v>
      </c>
    </row>
    <row r="1593" spans="1:13" ht="15">
      <c r="A1593" s="979" t="s">
        <v>3665</v>
      </c>
      <c r="B1593" s="722" t="str">
        <f>CONCATENATE(LEFT(RIGHT(CONCATENATE("000",IFAData_TEA!A1593),6),3),"-",(RIGHT(RIGHT(CONCATENATE("000",IFAData_TEA!A1593),6),3)))</f>
        <v>170-908</v>
      </c>
      <c r="C1593" s="979" t="s">
        <v>1142</v>
      </c>
      <c r="D1593" s="979">
        <v>5</v>
      </c>
      <c r="E1593" s="979">
        <v>2136</v>
      </c>
      <c r="F1593" s="979" t="s">
        <v>5292</v>
      </c>
      <c r="G1593" s="979" t="s">
        <v>5293</v>
      </c>
      <c r="H1593" s="1030">
        <v>342303</v>
      </c>
      <c r="I1593" s="1030">
        <v>302300</v>
      </c>
      <c r="J1593" s="1034">
        <v>1</v>
      </c>
      <c r="K1593" s="1030">
        <v>342303</v>
      </c>
      <c r="L1593" s="1030">
        <v>302300</v>
      </c>
      <c r="M1593" s="979">
        <v>599</v>
      </c>
    </row>
    <row r="1594" spans="1:13" ht="15">
      <c r="A1594" s="979" t="s">
        <v>3665</v>
      </c>
      <c r="B1594" s="722" t="str">
        <f>CONCATENATE(LEFT(RIGHT(CONCATENATE("000",IFAData_TEA!A1594),6),3),"-",(RIGHT(RIGHT(CONCATENATE("000",IFAData_TEA!A1594),6),3)))</f>
        <v>170-908</v>
      </c>
      <c r="C1594" s="979" t="s">
        <v>1142</v>
      </c>
      <c r="D1594" s="979">
        <v>6</v>
      </c>
      <c r="E1594" s="979">
        <v>2139</v>
      </c>
      <c r="F1594" s="979" t="s">
        <v>5294</v>
      </c>
      <c r="G1594" s="979" t="s">
        <v>5295</v>
      </c>
      <c r="H1594" s="1030">
        <v>945263</v>
      </c>
      <c r="I1594" s="1030">
        <v>624000</v>
      </c>
      <c r="J1594" s="1034">
        <v>1</v>
      </c>
      <c r="K1594" s="1030">
        <v>945263</v>
      </c>
      <c r="L1594" s="1030">
        <v>624000</v>
      </c>
      <c r="M1594" s="979">
        <v>599</v>
      </c>
    </row>
    <row r="1595" spans="1:13" ht="15">
      <c r="A1595" s="979" t="s">
        <v>3665</v>
      </c>
      <c r="B1595" s="722" t="str">
        <f>CONCATENATE(LEFT(RIGHT(CONCATENATE("000",IFAData_TEA!A1595),6),3),"-",(RIGHT(RIGHT(CONCATENATE("000",IFAData_TEA!A1595),6),3)))</f>
        <v>170-908</v>
      </c>
      <c r="C1595" s="979" t="s">
        <v>1142</v>
      </c>
      <c r="D1595" s="979">
        <v>10</v>
      </c>
      <c r="E1595" s="979">
        <v>2141</v>
      </c>
      <c r="F1595" s="979" t="s">
        <v>5299</v>
      </c>
      <c r="G1595" s="979" t="s">
        <v>5299</v>
      </c>
      <c r="H1595" s="1030">
        <v>2229297</v>
      </c>
      <c r="I1595" s="1030">
        <v>1620294</v>
      </c>
      <c r="J1595" s="1034">
        <v>1</v>
      </c>
      <c r="K1595" s="1030">
        <v>2229297</v>
      </c>
      <c r="L1595" s="1030">
        <v>1620294</v>
      </c>
      <c r="M1595" s="979">
        <v>599</v>
      </c>
    </row>
    <row r="1596" spans="1:13" ht="15">
      <c r="A1596" s="979" t="s">
        <v>3665</v>
      </c>
      <c r="B1596" s="722" t="str">
        <f>CONCATENATE(LEFT(RIGHT(CONCATENATE("000",IFAData_TEA!A1596),6),3),"-",(RIGHT(RIGHT(CONCATENATE("000",IFAData_TEA!A1596),6),3)))</f>
        <v>170-908</v>
      </c>
      <c r="C1596" s="979" t="s">
        <v>1142</v>
      </c>
      <c r="D1596" s="979">
        <v>9</v>
      </c>
      <c r="E1596" s="979">
        <v>2140</v>
      </c>
      <c r="F1596" s="979" t="s">
        <v>5298</v>
      </c>
      <c r="G1596" s="979" t="s">
        <v>5298</v>
      </c>
      <c r="H1596" s="1030">
        <v>1003527</v>
      </c>
      <c r="I1596" s="1030">
        <v>1314494</v>
      </c>
      <c r="J1596" s="1034">
        <v>1</v>
      </c>
      <c r="K1596" s="1030">
        <v>1003527</v>
      </c>
      <c r="L1596" s="1030">
        <v>1003527</v>
      </c>
      <c r="M1596" s="979">
        <v>599</v>
      </c>
    </row>
    <row r="1597" spans="1:13" ht="15">
      <c r="A1597" s="979" t="s">
        <v>3665</v>
      </c>
      <c r="B1597" s="722" t="str">
        <f>CONCATENATE(LEFT(RIGHT(CONCATENATE("000",IFAData_TEA!A1597),6),3),"-",(RIGHT(RIGHT(CONCATENATE("000",IFAData_TEA!A1597),6),3)))</f>
        <v>170-908</v>
      </c>
      <c r="C1597" s="979" t="s">
        <v>1142</v>
      </c>
      <c r="D1597" s="979">
        <v>9</v>
      </c>
      <c r="E1597" s="979">
        <v>2137</v>
      </c>
      <c r="F1597" s="979" t="s">
        <v>5297</v>
      </c>
      <c r="G1597" s="979" t="s">
        <v>5297</v>
      </c>
      <c r="H1597" s="1030">
        <v>527036</v>
      </c>
      <c r="I1597" s="1030">
        <v>2024522</v>
      </c>
      <c r="J1597" s="1034">
        <v>0.79335182704060059</v>
      </c>
      <c r="K1597" s="1030">
        <v>418124.97351616999</v>
      </c>
      <c r="L1597" s="1030">
        <v>418124.97351616999</v>
      </c>
      <c r="M1597" s="979">
        <v>599</v>
      </c>
    </row>
    <row r="1598" spans="1:13" ht="15">
      <c r="A1598" s="979" t="s">
        <v>3665</v>
      </c>
      <c r="B1598" s="722" t="str">
        <f>CONCATENATE(LEFT(RIGHT(CONCATENATE("000",IFAData_TEA!A1598),6),3),"-",(RIGHT(RIGHT(CONCATENATE("000",IFAData_TEA!A1598),6),3)))</f>
        <v>170-908</v>
      </c>
      <c r="C1598" s="979" t="s">
        <v>1142</v>
      </c>
      <c r="D1598" s="979">
        <v>6</v>
      </c>
      <c r="E1598" s="979">
        <v>2139</v>
      </c>
      <c r="F1598" s="979" t="s">
        <v>5294</v>
      </c>
      <c r="G1598" s="979" t="s">
        <v>5294</v>
      </c>
      <c r="H1598" s="1030">
        <v>945263</v>
      </c>
      <c r="I1598" s="1030">
        <v>0</v>
      </c>
      <c r="J1598" s="1034">
        <v>0</v>
      </c>
      <c r="K1598" s="1030">
        <v>0</v>
      </c>
      <c r="L1598" s="1030">
        <v>0</v>
      </c>
      <c r="M1598" s="979">
        <v>599</v>
      </c>
    </row>
    <row r="1599" spans="1:13" ht="15">
      <c r="A1599" s="979" t="s">
        <v>3666</v>
      </c>
      <c r="B1599" s="722" t="str">
        <f>CONCATENATE(LEFT(RIGHT(CONCATENATE("000",IFAData_TEA!A1599),6),3),"-",(RIGHT(RIGHT(CONCATENATE("000",IFAData_TEA!A1599),6),3)))</f>
        <v>174-901</v>
      </c>
      <c r="C1599" s="979" t="s">
        <v>1161</v>
      </c>
      <c r="D1599" s="979">
        <v>5</v>
      </c>
      <c r="E1599" s="979">
        <v>1691</v>
      </c>
      <c r="F1599" s="979" t="s">
        <v>5300</v>
      </c>
      <c r="G1599" s="979" t="s">
        <v>5300</v>
      </c>
      <c r="H1599" s="1030">
        <v>91693</v>
      </c>
      <c r="I1599" s="1030">
        <v>0</v>
      </c>
      <c r="J1599" s="1034">
        <v>0</v>
      </c>
      <c r="K1599" s="1030">
        <v>0</v>
      </c>
      <c r="L1599" s="1030">
        <v>0</v>
      </c>
      <c r="M1599" s="979">
        <v>599</v>
      </c>
    </row>
    <row r="1600" spans="1:13" ht="15">
      <c r="A1600" s="979" t="s">
        <v>3666</v>
      </c>
      <c r="B1600" s="722" t="str">
        <f>CONCATENATE(LEFT(RIGHT(CONCATENATE("000",IFAData_TEA!A1600),6),3),"-",(RIGHT(RIGHT(CONCATENATE("000",IFAData_TEA!A1600),6),3)))</f>
        <v>174-901</v>
      </c>
      <c r="C1600" s="979" t="s">
        <v>1161</v>
      </c>
      <c r="D1600" s="979">
        <v>5</v>
      </c>
      <c r="E1600" s="979">
        <v>1691</v>
      </c>
      <c r="F1600" s="979" t="s">
        <v>5300</v>
      </c>
      <c r="G1600" s="979" t="s">
        <v>5301</v>
      </c>
      <c r="H1600" s="1030">
        <v>91693</v>
      </c>
      <c r="I1600" s="1030">
        <v>83706</v>
      </c>
      <c r="J1600" s="1034">
        <v>1</v>
      </c>
      <c r="K1600" s="1030">
        <v>91693</v>
      </c>
      <c r="L1600" s="1030">
        <v>83706</v>
      </c>
      <c r="M1600" s="979">
        <v>599</v>
      </c>
    </row>
    <row r="1601" spans="1:13" ht="15">
      <c r="A1601" s="979" t="s">
        <v>3667</v>
      </c>
      <c r="B1601" s="722" t="str">
        <f>CONCATENATE(LEFT(RIGHT(CONCATENATE("000",IFAData_TEA!A1601),6),3),"-",(RIGHT(RIGHT(CONCATENATE("000",IFAData_TEA!A1601),6),3)))</f>
        <v>174-903</v>
      </c>
      <c r="C1601" s="979" t="s">
        <v>453</v>
      </c>
      <c r="D1601" s="979">
        <v>5</v>
      </c>
      <c r="E1601" s="979">
        <v>1844</v>
      </c>
      <c r="F1601" s="979" t="s">
        <v>5302</v>
      </c>
      <c r="G1601" s="979" t="s">
        <v>5302</v>
      </c>
      <c r="H1601" s="1030">
        <v>152414</v>
      </c>
      <c r="I1601" s="1030">
        <v>0</v>
      </c>
      <c r="J1601" s="1034">
        <v>0</v>
      </c>
      <c r="K1601" s="1030">
        <v>0</v>
      </c>
      <c r="L1601" s="1030">
        <v>0</v>
      </c>
      <c r="M1601" s="979">
        <v>599</v>
      </c>
    </row>
    <row r="1602" spans="1:13" ht="15">
      <c r="A1602" s="979" t="s">
        <v>3667</v>
      </c>
      <c r="B1602" s="722" t="str">
        <f>CONCATENATE(LEFT(RIGHT(CONCATENATE("000",IFAData_TEA!A1602),6),3),"-",(RIGHT(RIGHT(CONCATENATE("000",IFAData_TEA!A1602),6),3)))</f>
        <v>174-903</v>
      </c>
      <c r="C1602" s="979" t="s">
        <v>453</v>
      </c>
      <c r="D1602" s="979">
        <v>5</v>
      </c>
      <c r="E1602" s="979">
        <v>1844</v>
      </c>
      <c r="F1602" s="979" t="s">
        <v>5302</v>
      </c>
      <c r="G1602" s="979" t="s">
        <v>5303</v>
      </c>
      <c r="H1602" s="1030">
        <v>152414</v>
      </c>
      <c r="I1602" s="1030">
        <v>142488</v>
      </c>
      <c r="J1602" s="1034">
        <v>1</v>
      </c>
      <c r="K1602" s="1030">
        <v>152414</v>
      </c>
      <c r="L1602" s="1030">
        <v>142488</v>
      </c>
      <c r="M1602" s="979">
        <v>599</v>
      </c>
    </row>
    <row r="1603" spans="1:13" ht="15">
      <c r="A1603" s="979" t="s">
        <v>3668</v>
      </c>
      <c r="B1603" s="722" t="str">
        <f>CONCATENATE(LEFT(RIGHT(CONCATENATE("000",IFAData_TEA!A1603),6),3),"-",(RIGHT(RIGHT(CONCATENATE("000",IFAData_TEA!A1603),6),3)))</f>
        <v>174-906</v>
      </c>
      <c r="C1603" s="979" t="s">
        <v>1130</v>
      </c>
      <c r="D1603" s="979">
        <v>4</v>
      </c>
      <c r="E1603" s="979">
        <v>2460</v>
      </c>
      <c r="F1603" s="979" t="s">
        <v>5304</v>
      </c>
      <c r="G1603" s="979" t="s">
        <v>5304</v>
      </c>
      <c r="H1603" s="1030">
        <v>188922</v>
      </c>
      <c r="I1603" s="1030">
        <v>0</v>
      </c>
      <c r="J1603" s="1034">
        <v>0</v>
      </c>
      <c r="K1603" s="1030">
        <v>0</v>
      </c>
      <c r="L1603" s="1030">
        <v>0</v>
      </c>
      <c r="M1603" s="979">
        <v>599</v>
      </c>
    </row>
    <row r="1604" spans="1:13" ht="15">
      <c r="A1604" s="979" t="s">
        <v>3668</v>
      </c>
      <c r="B1604" s="722" t="str">
        <f>CONCATENATE(LEFT(RIGHT(CONCATENATE("000",IFAData_TEA!A1604),6),3),"-",(RIGHT(RIGHT(CONCATENATE("000",IFAData_TEA!A1604),6),3)))</f>
        <v>174-906</v>
      </c>
      <c r="C1604" s="979" t="s">
        <v>1130</v>
      </c>
      <c r="D1604" s="979">
        <v>4</v>
      </c>
      <c r="E1604" s="979">
        <v>2460</v>
      </c>
      <c r="F1604" s="979" t="s">
        <v>5304</v>
      </c>
      <c r="G1604" s="979" t="s">
        <v>5305</v>
      </c>
      <c r="H1604" s="1030">
        <v>188922</v>
      </c>
      <c r="I1604" s="1030">
        <v>175600</v>
      </c>
      <c r="J1604" s="1034">
        <v>1</v>
      </c>
      <c r="K1604" s="1030">
        <v>188922</v>
      </c>
      <c r="L1604" s="1030">
        <v>175600</v>
      </c>
      <c r="M1604" s="979">
        <v>599</v>
      </c>
    </row>
    <row r="1605" spans="1:13" ht="15">
      <c r="A1605" s="979" t="s">
        <v>3669</v>
      </c>
      <c r="B1605" s="722" t="str">
        <f>CONCATENATE(LEFT(RIGHT(CONCATENATE("000",IFAData_TEA!A1605),6),3),"-",(RIGHT(RIGHT(CONCATENATE("000",IFAData_TEA!A1605),6),3)))</f>
        <v>174-908</v>
      </c>
      <c r="C1605" s="979" t="s">
        <v>2257</v>
      </c>
      <c r="D1605" s="979">
        <v>10</v>
      </c>
      <c r="E1605" s="979">
        <v>1675</v>
      </c>
      <c r="F1605" s="979" t="s">
        <v>5306</v>
      </c>
      <c r="G1605" s="979" t="s">
        <v>5306</v>
      </c>
      <c r="H1605" s="1030">
        <v>176552</v>
      </c>
      <c r="I1605" s="1030">
        <v>762631</v>
      </c>
      <c r="J1605" s="1034">
        <v>1</v>
      </c>
      <c r="K1605" s="1030">
        <v>176552</v>
      </c>
      <c r="L1605" s="1030">
        <v>176552</v>
      </c>
      <c r="M1605" s="979">
        <v>599</v>
      </c>
    </row>
    <row r="1606" spans="1:13" ht="15">
      <c r="A1606" s="979" t="s">
        <v>5307</v>
      </c>
      <c r="B1606" s="722" t="str">
        <f>CONCATENATE(LEFT(RIGHT(CONCATENATE("000",IFAData_TEA!A1606),6),3),"-",(RIGHT(RIGHT(CONCATENATE("000",IFAData_TEA!A1606),6),3)))</f>
        <v>174-909</v>
      </c>
      <c r="C1606" s="979" t="s">
        <v>2258</v>
      </c>
      <c r="D1606" s="979">
        <v>10</v>
      </c>
      <c r="E1606" s="979">
        <v>2072</v>
      </c>
      <c r="F1606" s="979" t="s">
        <v>5308</v>
      </c>
      <c r="G1606" s="979" t="s">
        <v>5308</v>
      </c>
      <c r="H1606" s="1030">
        <v>100000</v>
      </c>
      <c r="I1606" s="1030">
        <v>176471</v>
      </c>
      <c r="J1606" s="1034">
        <v>1</v>
      </c>
      <c r="K1606" s="1030">
        <v>100000</v>
      </c>
      <c r="L1606" s="1030">
        <v>100000</v>
      </c>
      <c r="M1606" s="979">
        <v>599</v>
      </c>
    </row>
    <row r="1607" spans="1:13" ht="15">
      <c r="A1607" s="979" t="s">
        <v>3670</v>
      </c>
      <c r="B1607" s="722" t="str">
        <f>CONCATENATE(LEFT(RIGHT(CONCATENATE("000",IFAData_TEA!A1607),6),3),"-",(RIGHT(RIGHT(CONCATENATE("000",IFAData_TEA!A1607),6),3)))</f>
        <v>175-903</v>
      </c>
      <c r="C1607" s="979" t="s">
        <v>1101</v>
      </c>
      <c r="D1607" s="979">
        <v>2</v>
      </c>
      <c r="E1607" s="979">
        <v>1725</v>
      </c>
      <c r="F1607" s="979" t="s">
        <v>5309</v>
      </c>
      <c r="G1607" s="979" t="s">
        <v>5310</v>
      </c>
      <c r="H1607" s="1030">
        <v>1169000</v>
      </c>
      <c r="I1607" s="1030">
        <v>1461860</v>
      </c>
      <c r="J1607" s="1034">
        <v>1</v>
      </c>
      <c r="K1607" s="1030">
        <v>1169000</v>
      </c>
      <c r="L1607" s="1030">
        <v>1169000</v>
      </c>
      <c r="M1607" s="979">
        <v>599</v>
      </c>
    </row>
    <row r="1608" spans="1:13" ht="15">
      <c r="A1608" s="979" t="s">
        <v>3670</v>
      </c>
      <c r="B1608" s="722" t="str">
        <f>CONCATENATE(LEFT(RIGHT(CONCATENATE("000",IFAData_TEA!A1608),6),3),"-",(RIGHT(RIGHT(CONCATENATE("000",IFAData_TEA!A1608),6),3)))</f>
        <v>175-903</v>
      </c>
      <c r="C1608" s="979" t="s">
        <v>1101</v>
      </c>
      <c r="D1608" s="979">
        <v>2</v>
      </c>
      <c r="E1608" s="979">
        <v>1725</v>
      </c>
      <c r="F1608" s="979" t="s">
        <v>5309</v>
      </c>
      <c r="G1608" s="979" t="s">
        <v>5309</v>
      </c>
      <c r="H1608" s="1030">
        <v>1169000</v>
      </c>
      <c r="I1608" s="1030">
        <v>0</v>
      </c>
      <c r="J1608" s="1034">
        <v>0</v>
      </c>
      <c r="K1608" s="1030">
        <v>0</v>
      </c>
      <c r="L1608" s="1030">
        <v>0</v>
      </c>
      <c r="M1608" s="979">
        <v>599</v>
      </c>
    </row>
    <row r="1609" spans="1:13" ht="15">
      <c r="A1609" s="979" t="s">
        <v>3671</v>
      </c>
      <c r="B1609" s="722" t="str">
        <f>CONCATENATE(LEFT(RIGHT(CONCATENATE("000",IFAData_TEA!A1609),6),3),"-",(RIGHT(RIGHT(CONCATENATE("000",IFAData_TEA!A1609),6),3)))</f>
        <v>175-904</v>
      </c>
      <c r="C1609" s="979" t="s">
        <v>2663</v>
      </c>
      <c r="D1609" s="979">
        <v>4</v>
      </c>
      <c r="E1609" s="979">
        <v>1746</v>
      </c>
      <c r="F1609" s="979" t="s">
        <v>5311</v>
      </c>
      <c r="G1609" s="979" t="s">
        <v>5311</v>
      </c>
      <c r="H1609" s="1030">
        <v>123498</v>
      </c>
      <c r="I1609" s="1030">
        <v>0</v>
      </c>
      <c r="J1609" s="1034">
        <v>0</v>
      </c>
      <c r="K1609" s="1030">
        <v>0</v>
      </c>
      <c r="L1609" s="1030">
        <v>0</v>
      </c>
      <c r="M1609" s="979">
        <v>199</v>
      </c>
    </row>
    <row r="1610" spans="1:13" ht="15">
      <c r="A1610" s="979" t="s">
        <v>3671</v>
      </c>
      <c r="B1610" s="722" t="str">
        <f>CONCATENATE(LEFT(RIGHT(CONCATENATE("000",IFAData_TEA!A1610),6),3),"-",(RIGHT(RIGHT(CONCATENATE("000",IFAData_TEA!A1610),6),3)))</f>
        <v>175-904</v>
      </c>
      <c r="C1610" s="979" t="s">
        <v>2663</v>
      </c>
      <c r="D1610" s="979">
        <v>4</v>
      </c>
      <c r="E1610" s="979">
        <v>1746</v>
      </c>
      <c r="F1610" s="979" t="s">
        <v>5311</v>
      </c>
      <c r="G1610" s="979" t="s">
        <v>5312</v>
      </c>
      <c r="H1610" s="1030">
        <v>123498</v>
      </c>
      <c r="I1610" s="1030">
        <v>123498</v>
      </c>
      <c r="J1610" s="1034">
        <v>1</v>
      </c>
      <c r="K1610" s="1030">
        <v>123498</v>
      </c>
      <c r="L1610" s="1030">
        <v>123498</v>
      </c>
      <c r="M1610" s="979">
        <v>599</v>
      </c>
    </row>
    <row r="1611" spans="1:13" ht="15">
      <c r="A1611" s="979" t="s">
        <v>3671</v>
      </c>
      <c r="B1611" s="722" t="str">
        <f>CONCATENATE(LEFT(RIGHT(CONCATENATE("000",IFAData_TEA!A1611),6),3),"-",(RIGHT(RIGHT(CONCATENATE("000",IFAData_TEA!A1611),6),3)))</f>
        <v>175-904</v>
      </c>
      <c r="C1611" s="979" t="s">
        <v>2663</v>
      </c>
      <c r="D1611" s="979">
        <v>9</v>
      </c>
      <c r="E1611" s="979">
        <v>1745</v>
      </c>
      <c r="F1611" s="979" t="s">
        <v>5313</v>
      </c>
      <c r="G1611" s="979" t="s">
        <v>5313</v>
      </c>
      <c r="H1611" s="1030">
        <v>45525</v>
      </c>
      <c r="I1611" s="1030">
        <v>169594</v>
      </c>
      <c r="J1611" s="1034">
        <v>1</v>
      </c>
      <c r="K1611" s="1030">
        <v>45525</v>
      </c>
      <c r="L1611" s="1030">
        <v>45525</v>
      </c>
      <c r="M1611" s="979">
        <v>599</v>
      </c>
    </row>
    <row r="1612" spans="1:13" ht="15">
      <c r="A1612" s="979" t="s">
        <v>3672</v>
      </c>
      <c r="B1612" s="722" t="str">
        <f>CONCATENATE(LEFT(RIGHT(CONCATENATE("000",IFAData_TEA!A1612),6),3),"-",(RIGHT(RIGHT(CONCATENATE("000",IFAData_TEA!A1612),6),3)))</f>
        <v>175-907</v>
      </c>
      <c r="C1612" s="979" t="s">
        <v>2517</v>
      </c>
      <c r="D1612" s="979">
        <v>5</v>
      </c>
      <c r="E1612" s="979">
        <v>1956</v>
      </c>
      <c r="F1612" s="979" t="s">
        <v>5314</v>
      </c>
      <c r="G1612" s="979" t="s">
        <v>5314</v>
      </c>
      <c r="H1612" s="1030">
        <v>172700</v>
      </c>
      <c r="I1612" s="1030">
        <v>0</v>
      </c>
      <c r="J1612" s="1034">
        <v>0</v>
      </c>
      <c r="K1612" s="1030">
        <v>0</v>
      </c>
      <c r="L1612" s="1030">
        <v>0</v>
      </c>
      <c r="M1612" s="979">
        <v>599</v>
      </c>
    </row>
    <row r="1613" spans="1:13" ht="15">
      <c r="A1613" s="979" t="s">
        <v>3672</v>
      </c>
      <c r="B1613" s="722" t="str">
        <f>CONCATENATE(LEFT(RIGHT(CONCATENATE("000",IFAData_TEA!A1613),6),3),"-",(RIGHT(RIGHT(CONCATENATE("000",IFAData_TEA!A1613),6),3)))</f>
        <v>175-907</v>
      </c>
      <c r="C1613" s="979" t="s">
        <v>2517</v>
      </c>
      <c r="D1613" s="979">
        <v>5</v>
      </c>
      <c r="E1613" s="979">
        <v>1956</v>
      </c>
      <c r="F1613" s="979" t="s">
        <v>5314</v>
      </c>
      <c r="G1613" s="979" t="s">
        <v>5315</v>
      </c>
      <c r="H1613" s="1030">
        <v>172700</v>
      </c>
      <c r="I1613" s="1030">
        <v>156500</v>
      </c>
      <c r="J1613" s="1034">
        <v>1</v>
      </c>
      <c r="K1613" s="1030">
        <v>172700</v>
      </c>
      <c r="L1613" s="1030">
        <v>156500</v>
      </c>
      <c r="M1613" s="979">
        <v>599</v>
      </c>
    </row>
    <row r="1614" spans="1:13" ht="15">
      <c r="A1614" s="979" t="s">
        <v>3673</v>
      </c>
      <c r="B1614" s="722" t="str">
        <f>CONCATENATE(LEFT(RIGHT(CONCATENATE("000",IFAData_TEA!A1614),6),3),"-",(RIGHT(RIGHT(CONCATENATE("000",IFAData_TEA!A1614),6),3)))</f>
        <v>175-911</v>
      </c>
      <c r="C1614" s="979" t="s">
        <v>80</v>
      </c>
      <c r="D1614" s="979">
        <v>2</v>
      </c>
      <c r="E1614" s="979">
        <v>2234</v>
      </c>
      <c r="F1614" s="979" t="s">
        <v>5316</v>
      </c>
      <c r="G1614" s="979" t="s">
        <v>6305</v>
      </c>
      <c r="H1614" s="1030">
        <v>81645</v>
      </c>
      <c r="I1614" s="1030">
        <v>16866</v>
      </c>
      <c r="J1614" s="1034">
        <v>0.24097039661675621</v>
      </c>
      <c r="K1614" s="1030">
        <v>19674.028031775062</v>
      </c>
      <c r="L1614" s="1030">
        <v>16866</v>
      </c>
      <c r="M1614" s="979">
        <v>599</v>
      </c>
    </row>
    <row r="1615" spans="1:13" ht="15">
      <c r="A1615" s="979" t="s">
        <v>3673</v>
      </c>
      <c r="B1615" s="722" t="str">
        <f>CONCATENATE(LEFT(RIGHT(CONCATENATE("000",IFAData_TEA!A1615),6),3),"-",(RIGHT(RIGHT(CONCATENATE("000",IFAData_TEA!A1615),6),3)))</f>
        <v>175-911</v>
      </c>
      <c r="C1615" s="979" t="s">
        <v>80</v>
      </c>
      <c r="D1615" s="979">
        <v>2</v>
      </c>
      <c r="E1615" s="979">
        <v>2234</v>
      </c>
      <c r="F1615" s="979" t="s">
        <v>5316</v>
      </c>
      <c r="G1615" s="979" t="s">
        <v>5316</v>
      </c>
      <c r="H1615" s="1030">
        <v>81645</v>
      </c>
      <c r="I1615" s="1030">
        <v>0</v>
      </c>
      <c r="J1615" s="1034">
        <v>0</v>
      </c>
      <c r="K1615" s="1030">
        <v>0</v>
      </c>
      <c r="L1615" s="1030">
        <v>0</v>
      </c>
      <c r="M1615" s="979">
        <v>599</v>
      </c>
    </row>
    <row r="1616" spans="1:13" ht="15">
      <c r="A1616" s="979" t="s">
        <v>3673</v>
      </c>
      <c r="B1616" s="722" t="str">
        <f>CONCATENATE(LEFT(RIGHT(CONCATENATE("000",IFAData_TEA!A1616),6),3),"-",(RIGHT(RIGHT(CONCATENATE("000",IFAData_TEA!A1616),6),3)))</f>
        <v>175-911</v>
      </c>
      <c r="C1616" s="979" t="s">
        <v>80</v>
      </c>
      <c r="D1616" s="979">
        <v>2</v>
      </c>
      <c r="E1616" s="979">
        <v>2234</v>
      </c>
      <c r="F1616" s="979" t="s">
        <v>5316</v>
      </c>
      <c r="G1616" s="979" t="s">
        <v>5317</v>
      </c>
      <c r="H1616" s="1030">
        <v>81645</v>
      </c>
      <c r="I1616" s="1030">
        <v>53126</v>
      </c>
      <c r="J1616" s="1034">
        <v>0.75902960338324377</v>
      </c>
      <c r="K1616" s="1030">
        <v>61970.971968224934</v>
      </c>
      <c r="L1616" s="1030">
        <v>53126</v>
      </c>
      <c r="M1616" s="979">
        <v>599</v>
      </c>
    </row>
    <row r="1617" spans="1:13" ht="15">
      <c r="A1617" s="979" t="s">
        <v>3673</v>
      </c>
      <c r="B1617" s="722" t="str">
        <f>CONCATENATE(LEFT(RIGHT(CONCATENATE("000",IFAData_TEA!A1617),6),3),"-",(RIGHT(RIGHT(CONCATENATE("000",IFAData_TEA!A1617),6),3)))</f>
        <v>175-911</v>
      </c>
      <c r="C1617" s="979" t="s">
        <v>80</v>
      </c>
      <c r="D1617" s="979">
        <v>10</v>
      </c>
      <c r="E1617" s="979">
        <v>2233</v>
      </c>
      <c r="F1617" s="979" t="s">
        <v>5319</v>
      </c>
      <c r="G1617" s="979" t="s">
        <v>5319</v>
      </c>
      <c r="H1617" s="1030">
        <v>62309</v>
      </c>
      <c r="I1617" s="1030">
        <v>43116</v>
      </c>
      <c r="J1617" s="1034">
        <v>1</v>
      </c>
      <c r="K1617" s="1030">
        <v>62309</v>
      </c>
      <c r="L1617" s="1030">
        <v>43116</v>
      </c>
      <c r="M1617" s="979">
        <v>599</v>
      </c>
    </row>
    <row r="1618" spans="1:13" ht="15">
      <c r="A1618" s="979" t="s">
        <v>3673</v>
      </c>
      <c r="B1618" s="722" t="str">
        <f>CONCATENATE(LEFT(RIGHT(CONCATENATE("000",IFAData_TEA!A1618),6),3),"-",(RIGHT(RIGHT(CONCATENATE("000",IFAData_TEA!A1618),6),3)))</f>
        <v>175-911</v>
      </c>
      <c r="C1618" s="979" t="s">
        <v>80</v>
      </c>
      <c r="D1618" s="979">
        <v>9</v>
      </c>
      <c r="E1618" s="979">
        <v>2235</v>
      </c>
      <c r="F1618" s="979" t="s">
        <v>5318</v>
      </c>
      <c r="G1618" s="979" t="s">
        <v>5319</v>
      </c>
      <c r="H1618" s="1030">
        <v>173838</v>
      </c>
      <c r="I1618" s="1030">
        <v>462163</v>
      </c>
      <c r="J1618" s="1034">
        <v>1</v>
      </c>
      <c r="K1618" s="1030">
        <v>173838</v>
      </c>
      <c r="L1618" s="1030">
        <v>173838</v>
      </c>
      <c r="M1618" s="979">
        <v>599</v>
      </c>
    </row>
    <row r="1619" spans="1:13" ht="15">
      <c r="A1619" s="979" t="s">
        <v>3673</v>
      </c>
      <c r="B1619" s="722" t="str">
        <f>CONCATENATE(LEFT(RIGHT(CONCATENATE("000",IFAData_TEA!A1619),6),3),"-",(RIGHT(RIGHT(CONCATENATE("000",IFAData_TEA!A1619),6),3)))</f>
        <v>175-911</v>
      </c>
      <c r="C1619" s="979" t="s">
        <v>80</v>
      </c>
      <c r="D1619" s="979">
        <v>9</v>
      </c>
      <c r="E1619" s="979">
        <v>2235</v>
      </c>
      <c r="F1619" s="979" t="s">
        <v>5318</v>
      </c>
      <c r="G1619" s="979" t="s">
        <v>5318</v>
      </c>
      <c r="H1619" s="1030">
        <v>173838</v>
      </c>
      <c r="I1619" s="1030">
        <v>0</v>
      </c>
      <c r="J1619" s="1034">
        <v>0</v>
      </c>
      <c r="K1619" s="1030">
        <v>0</v>
      </c>
      <c r="L1619" s="1030">
        <v>0</v>
      </c>
      <c r="M1619" s="979">
        <v>599</v>
      </c>
    </row>
    <row r="1620" spans="1:13" ht="15">
      <c r="A1620" s="979" t="s">
        <v>3674</v>
      </c>
      <c r="B1620" s="722" t="str">
        <f>CONCATENATE(LEFT(RIGHT(CONCATENATE("000",IFAData_TEA!A1620),6),3),"-",(RIGHT(RIGHT(CONCATENATE("000",IFAData_TEA!A1620),6),3)))</f>
        <v>176-902</v>
      </c>
      <c r="C1620" s="979" t="s">
        <v>2286</v>
      </c>
      <c r="D1620" s="979">
        <v>3</v>
      </c>
      <c r="E1620" s="979">
        <v>2146</v>
      </c>
      <c r="F1620" s="979" t="s">
        <v>5320</v>
      </c>
      <c r="G1620" s="979" t="s">
        <v>5321</v>
      </c>
      <c r="H1620" s="1030">
        <v>343700</v>
      </c>
      <c r="I1620" s="1030">
        <v>388645</v>
      </c>
      <c r="J1620" s="1034">
        <v>1</v>
      </c>
      <c r="K1620" s="1030">
        <v>343700</v>
      </c>
      <c r="L1620" s="1030">
        <v>343700</v>
      </c>
      <c r="M1620" s="979">
        <v>599</v>
      </c>
    </row>
    <row r="1621" spans="1:13" ht="15">
      <c r="A1621" s="979" t="s">
        <v>3674</v>
      </c>
      <c r="B1621" s="722" t="str">
        <f>CONCATENATE(LEFT(RIGHT(CONCATENATE("000",IFAData_TEA!A1621),6),3),"-",(RIGHT(RIGHT(CONCATENATE("000",IFAData_TEA!A1621),6),3)))</f>
        <v>176-902</v>
      </c>
      <c r="C1621" s="979" t="s">
        <v>2286</v>
      </c>
      <c r="D1621" s="979">
        <v>3</v>
      </c>
      <c r="E1621" s="979">
        <v>2146</v>
      </c>
      <c r="F1621" s="979" t="s">
        <v>5320</v>
      </c>
      <c r="G1621" s="979" t="s">
        <v>5320</v>
      </c>
      <c r="H1621" s="1030">
        <v>343700</v>
      </c>
      <c r="I1621" s="1030">
        <v>0</v>
      </c>
      <c r="J1621" s="1034">
        <v>0</v>
      </c>
      <c r="K1621" s="1030">
        <v>0</v>
      </c>
      <c r="L1621" s="1030">
        <v>0</v>
      </c>
      <c r="M1621" s="979">
        <v>599</v>
      </c>
    </row>
    <row r="1622" spans="1:13" ht="15">
      <c r="A1622" s="979" t="s">
        <v>3675</v>
      </c>
      <c r="B1622" s="722" t="str">
        <f>CONCATENATE(LEFT(RIGHT(CONCATENATE("000",IFAData_TEA!A1622),6),3),"-",(RIGHT(RIGHT(CONCATENATE("000",IFAData_TEA!A1622),6),3)))</f>
        <v>176-903</v>
      </c>
      <c r="C1622" s="979" t="s">
        <v>2670</v>
      </c>
      <c r="D1622" s="979">
        <v>6</v>
      </c>
      <c r="E1622" s="979">
        <v>1759</v>
      </c>
      <c r="F1622" s="979" t="s">
        <v>5322</v>
      </c>
      <c r="G1622" s="979" t="s">
        <v>5323</v>
      </c>
      <c r="H1622" s="1030">
        <v>173765</v>
      </c>
      <c r="I1622" s="1030">
        <v>549600</v>
      </c>
      <c r="J1622" s="1034">
        <v>1</v>
      </c>
      <c r="K1622" s="1030">
        <v>173765</v>
      </c>
      <c r="L1622" s="1030">
        <v>173765</v>
      </c>
      <c r="M1622" s="979">
        <v>599</v>
      </c>
    </row>
    <row r="1623" spans="1:13" ht="15">
      <c r="A1623" s="979" t="s">
        <v>3675</v>
      </c>
      <c r="B1623" s="722" t="str">
        <f>CONCATENATE(LEFT(RIGHT(CONCATENATE("000",IFAData_TEA!A1623),6),3),"-",(RIGHT(RIGHT(CONCATENATE("000",IFAData_TEA!A1623),6),3)))</f>
        <v>176-903</v>
      </c>
      <c r="C1623" s="979" t="s">
        <v>2670</v>
      </c>
      <c r="D1623" s="979">
        <v>6</v>
      </c>
      <c r="E1623" s="979">
        <v>1759</v>
      </c>
      <c r="F1623" s="979" t="s">
        <v>5322</v>
      </c>
      <c r="G1623" s="979" t="s">
        <v>5322</v>
      </c>
      <c r="H1623" s="1030">
        <v>173765</v>
      </c>
      <c r="I1623" s="1030">
        <v>0</v>
      </c>
      <c r="J1623" s="1034">
        <v>0</v>
      </c>
      <c r="K1623" s="1030">
        <v>0</v>
      </c>
      <c r="L1623" s="1030">
        <v>0</v>
      </c>
      <c r="M1623" s="979">
        <v>599</v>
      </c>
    </row>
    <row r="1624" spans="1:13" ht="15">
      <c r="A1624" s="979" t="s">
        <v>3676</v>
      </c>
      <c r="B1624" s="722" t="str">
        <f>CONCATENATE(LEFT(RIGHT(CONCATENATE("000",IFAData_TEA!A1624),6),3),"-",(RIGHT(RIGHT(CONCATENATE("000",IFAData_TEA!A1624),6),3)))</f>
        <v>177-901</v>
      </c>
      <c r="C1624" s="979" t="s">
        <v>3914</v>
      </c>
      <c r="D1624" s="979">
        <v>5</v>
      </c>
      <c r="E1624" s="979">
        <v>2264</v>
      </c>
      <c r="F1624" s="979" t="s">
        <v>5324</v>
      </c>
      <c r="G1624" s="979" t="s">
        <v>5324</v>
      </c>
      <c r="H1624" s="1030">
        <v>100000</v>
      </c>
      <c r="I1624" s="1030">
        <v>104138</v>
      </c>
      <c r="J1624" s="1034">
        <v>0.57778049024068179</v>
      </c>
      <c r="K1624" s="1030">
        <v>57778.049024068176</v>
      </c>
      <c r="L1624" s="1030">
        <v>57778.049024068176</v>
      </c>
      <c r="M1624" s="979">
        <v>599</v>
      </c>
    </row>
    <row r="1625" spans="1:13" ht="15">
      <c r="A1625" s="979" t="s">
        <v>3676</v>
      </c>
      <c r="B1625" s="722" t="str">
        <f>CONCATENATE(LEFT(RIGHT(CONCATENATE("000",IFAData_TEA!A1625),6),3),"-",(RIGHT(RIGHT(CONCATENATE("000",IFAData_TEA!A1625),6),3)))</f>
        <v>177-901</v>
      </c>
      <c r="C1625" s="979" t="s">
        <v>3914</v>
      </c>
      <c r="D1625" s="979">
        <v>5</v>
      </c>
      <c r="E1625" s="979">
        <v>2264</v>
      </c>
      <c r="F1625" s="979" t="s">
        <v>5324</v>
      </c>
      <c r="G1625" s="979" t="s">
        <v>5325</v>
      </c>
      <c r="H1625" s="1030">
        <v>100000</v>
      </c>
      <c r="I1625" s="1030">
        <v>76100</v>
      </c>
      <c r="J1625" s="1034">
        <v>0.42221950975931821</v>
      </c>
      <c r="K1625" s="1030">
        <v>42221.950975931824</v>
      </c>
      <c r="L1625" s="1030">
        <v>42221.950975931824</v>
      </c>
      <c r="M1625" s="979">
        <v>599</v>
      </c>
    </row>
    <row r="1626" spans="1:13" ht="15">
      <c r="A1626" s="979" t="s">
        <v>3677</v>
      </c>
      <c r="B1626" s="722" t="str">
        <f>CONCATENATE(LEFT(RIGHT(CONCATENATE("000",IFAData_TEA!A1626),6),3),"-",(RIGHT(RIGHT(CONCATENATE("000",IFAData_TEA!A1626),6),3)))</f>
        <v>178-904</v>
      </c>
      <c r="C1626" s="979" t="s">
        <v>1100</v>
      </c>
      <c r="D1626" s="979">
        <v>9</v>
      </c>
      <c r="E1626" s="979">
        <v>1721</v>
      </c>
      <c r="F1626" s="979" t="s">
        <v>5329</v>
      </c>
      <c r="G1626" s="979" t="s">
        <v>5329</v>
      </c>
      <c r="H1626" s="1030">
        <v>379812</v>
      </c>
      <c r="I1626" s="1030">
        <v>0</v>
      </c>
      <c r="J1626" s="1034">
        <v>0</v>
      </c>
      <c r="K1626" s="1030">
        <v>0</v>
      </c>
      <c r="L1626" s="1030">
        <v>0</v>
      </c>
      <c r="M1626" s="979">
        <v>199</v>
      </c>
    </row>
    <row r="1627" spans="1:13" ht="15">
      <c r="A1627" s="979" t="s">
        <v>3677</v>
      </c>
      <c r="B1627" s="722" t="str">
        <f>CONCATENATE(LEFT(RIGHT(CONCATENATE("000",IFAData_TEA!A1627),6),3),"-",(RIGHT(RIGHT(CONCATENATE("000",IFAData_TEA!A1627),6),3)))</f>
        <v>178-904</v>
      </c>
      <c r="C1627" s="979" t="s">
        <v>1100</v>
      </c>
      <c r="D1627" s="979">
        <v>9</v>
      </c>
      <c r="E1627" s="979">
        <v>1723</v>
      </c>
      <c r="F1627" s="979" t="s">
        <v>5327</v>
      </c>
      <c r="G1627" s="979" t="s">
        <v>5327</v>
      </c>
      <c r="H1627" s="1030">
        <v>822393</v>
      </c>
      <c r="I1627" s="1030">
        <v>0</v>
      </c>
      <c r="J1627" s="1034">
        <v>0</v>
      </c>
      <c r="K1627" s="1030">
        <v>0</v>
      </c>
      <c r="L1627" s="1030">
        <v>0</v>
      </c>
      <c r="M1627" s="979">
        <v>199</v>
      </c>
    </row>
    <row r="1628" spans="1:13" ht="15">
      <c r="A1628" s="979" t="s">
        <v>3677</v>
      </c>
      <c r="B1628" s="722" t="str">
        <f>CONCATENATE(LEFT(RIGHT(CONCATENATE("000",IFAData_TEA!A1628),6),3),"-",(RIGHT(RIGHT(CONCATENATE("000",IFAData_TEA!A1628),6),3)))</f>
        <v>178-904</v>
      </c>
      <c r="C1628" s="979" t="s">
        <v>1100</v>
      </c>
      <c r="D1628" s="979">
        <v>9</v>
      </c>
      <c r="E1628" s="979">
        <v>1721</v>
      </c>
      <c r="F1628" s="979" t="s">
        <v>5329</v>
      </c>
      <c r="G1628" s="979" t="s">
        <v>5328</v>
      </c>
      <c r="H1628" s="1030">
        <v>379812</v>
      </c>
      <c r="I1628" s="1030">
        <v>370838</v>
      </c>
      <c r="J1628" s="1034">
        <v>1</v>
      </c>
      <c r="K1628" s="1030">
        <v>379812</v>
      </c>
      <c r="L1628" s="1030">
        <v>370838</v>
      </c>
      <c r="M1628" s="979">
        <v>599</v>
      </c>
    </row>
    <row r="1629" spans="1:13" ht="15">
      <c r="A1629" s="979" t="s">
        <v>3677</v>
      </c>
      <c r="B1629" s="722" t="str">
        <f>CONCATENATE(LEFT(RIGHT(CONCATENATE("000",IFAData_TEA!A1629),6),3),"-",(RIGHT(RIGHT(CONCATENATE("000",IFAData_TEA!A1629),6),3)))</f>
        <v>178-904</v>
      </c>
      <c r="C1629" s="979" t="s">
        <v>1100</v>
      </c>
      <c r="D1629" s="979">
        <v>9</v>
      </c>
      <c r="E1629" s="979">
        <v>1723</v>
      </c>
      <c r="F1629" s="979" t="s">
        <v>5327</v>
      </c>
      <c r="G1629" s="979" t="s">
        <v>5328</v>
      </c>
      <c r="H1629" s="1030">
        <v>822393</v>
      </c>
      <c r="I1629" s="1030">
        <v>808527</v>
      </c>
      <c r="J1629" s="1034">
        <v>1</v>
      </c>
      <c r="K1629" s="1030">
        <v>822393</v>
      </c>
      <c r="L1629" s="1030">
        <v>808527</v>
      </c>
      <c r="M1629" s="979">
        <v>599</v>
      </c>
    </row>
    <row r="1630" spans="1:13" ht="15">
      <c r="A1630" s="979" t="s">
        <v>3677</v>
      </c>
      <c r="B1630" s="722" t="str">
        <f>CONCATENATE(LEFT(RIGHT(CONCATENATE("000",IFAData_TEA!A1630),6),3),"-",(RIGHT(RIGHT(CONCATENATE("000",IFAData_TEA!A1630),6),3)))</f>
        <v>178-904</v>
      </c>
      <c r="C1630" s="979" t="s">
        <v>1100</v>
      </c>
      <c r="D1630" s="979">
        <v>1</v>
      </c>
      <c r="E1630" s="979">
        <v>1724</v>
      </c>
      <c r="F1630" s="979" t="s">
        <v>5326</v>
      </c>
      <c r="G1630" s="979" t="s">
        <v>5326</v>
      </c>
      <c r="H1630" s="1030">
        <v>3668595</v>
      </c>
      <c r="I1630" s="1030">
        <v>0</v>
      </c>
      <c r="J1630" s="1034">
        <v>0</v>
      </c>
      <c r="K1630" s="1030"/>
      <c r="L1630" s="1030">
        <v>0</v>
      </c>
      <c r="M1630" s="979">
        <v>599</v>
      </c>
    </row>
    <row r="1631" spans="1:13" ht="15">
      <c r="A1631" s="979" t="s">
        <v>3678</v>
      </c>
      <c r="B1631" s="722" t="str">
        <f>CONCATENATE(LEFT(RIGHT(CONCATENATE("000",IFAData_TEA!A1631),6),3),"-",(RIGHT(RIGHT(CONCATENATE("000",IFAData_TEA!A1631),6),3)))</f>
        <v>178-909</v>
      </c>
      <c r="C1631" s="979" t="s">
        <v>2699</v>
      </c>
      <c r="D1631" s="979">
        <v>9</v>
      </c>
      <c r="E1631" s="979">
        <v>2255</v>
      </c>
      <c r="F1631" s="979" t="s">
        <v>5335</v>
      </c>
      <c r="G1631" s="979" t="s">
        <v>6306</v>
      </c>
      <c r="H1631" s="1030">
        <v>829400</v>
      </c>
      <c r="I1631" s="1030">
        <v>228612</v>
      </c>
      <c r="J1631" s="1034">
        <v>0.25036770141440468</v>
      </c>
      <c r="K1631" s="1030">
        <v>207654.97155310723</v>
      </c>
      <c r="L1631" s="1030">
        <v>207654.97155310723</v>
      </c>
      <c r="M1631" s="979">
        <v>599</v>
      </c>
    </row>
    <row r="1632" spans="1:13" ht="15">
      <c r="A1632" s="979" t="s">
        <v>3678</v>
      </c>
      <c r="B1632" s="722" t="str">
        <f>CONCATENATE(LEFT(RIGHT(CONCATENATE("000",IFAData_TEA!A1632),6),3),"-",(RIGHT(RIGHT(CONCATENATE("000",IFAData_TEA!A1632),6),3)))</f>
        <v>178-909</v>
      </c>
      <c r="C1632" s="979" t="s">
        <v>2699</v>
      </c>
      <c r="D1632" s="979">
        <v>7</v>
      </c>
      <c r="E1632" s="979">
        <v>2256</v>
      </c>
      <c r="F1632" s="979" t="s">
        <v>5332</v>
      </c>
      <c r="G1632" s="979" t="s">
        <v>5334</v>
      </c>
      <c r="H1632" s="1030">
        <v>883718</v>
      </c>
      <c r="I1632" s="1030">
        <v>463850</v>
      </c>
      <c r="J1632" s="1034">
        <v>0.54336430183807893</v>
      </c>
      <c r="K1632" s="1030">
        <v>480180.81409174344</v>
      </c>
      <c r="L1632" s="1030">
        <v>463850</v>
      </c>
      <c r="M1632" s="979">
        <v>599</v>
      </c>
    </row>
    <row r="1633" spans="1:13" ht="15">
      <c r="A1633" s="979" t="s">
        <v>3678</v>
      </c>
      <c r="B1633" s="722" t="str">
        <f>CONCATENATE(LEFT(RIGHT(CONCATENATE("000",IFAData_TEA!A1633),6),3),"-",(RIGHT(RIGHT(CONCATENATE("000",IFAData_TEA!A1633),6),3)))</f>
        <v>178-909</v>
      </c>
      <c r="C1633" s="979" t="s">
        <v>2699</v>
      </c>
      <c r="D1633" s="979">
        <v>1</v>
      </c>
      <c r="E1633" s="979">
        <v>2253</v>
      </c>
      <c r="F1633" s="979" t="s">
        <v>5330</v>
      </c>
      <c r="G1633" s="979" t="s">
        <v>5330</v>
      </c>
      <c r="H1633" s="1030">
        <v>485685</v>
      </c>
      <c r="I1633" s="1030">
        <v>0</v>
      </c>
      <c r="J1633" s="1034">
        <v>0</v>
      </c>
      <c r="K1633" s="1030">
        <v>0</v>
      </c>
      <c r="L1633" s="1030">
        <v>0</v>
      </c>
      <c r="M1633" s="979">
        <v>599</v>
      </c>
    </row>
    <row r="1634" spans="1:13" ht="15">
      <c r="A1634" s="979" t="s">
        <v>3678</v>
      </c>
      <c r="B1634" s="722" t="str">
        <f>CONCATENATE(LEFT(RIGHT(CONCATENATE("000",IFAData_TEA!A1634),6),3),"-",(RIGHT(RIGHT(CONCATENATE("000",IFAData_TEA!A1634),6),3)))</f>
        <v>178-909</v>
      </c>
      <c r="C1634" s="979" t="s">
        <v>2699</v>
      </c>
      <c r="D1634" s="979">
        <v>7</v>
      </c>
      <c r="E1634" s="979">
        <v>2256</v>
      </c>
      <c r="F1634" s="979" t="s">
        <v>5332</v>
      </c>
      <c r="G1634" s="979" t="s">
        <v>5333</v>
      </c>
      <c r="H1634" s="1030">
        <v>883718</v>
      </c>
      <c r="I1634" s="1030">
        <v>389813</v>
      </c>
      <c r="J1634" s="1034">
        <v>0.45663569816192107</v>
      </c>
      <c r="K1634" s="1030">
        <v>403537.18590825656</v>
      </c>
      <c r="L1634" s="1030">
        <v>389813</v>
      </c>
      <c r="M1634" s="979">
        <v>599</v>
      </c>
    </row>
    <row r="1635" spans="1:13" ht="15">
      <c r="A1635" s="979" t="s">
        <v>3678</v>
      </c>
      <c r="B1635" s="722" t="str">
        <f>CONCATENATE(LEFT(RIGHT(CONCATENATE("000",IFAData_TEA!A1635),6),3),"-",(RIGHT(RIGHT(CONCATENATE("000",IFAData_TEA!A1635),6),3)))</f>
        <v>178-909</v>
      </c>
      <c r="C1635" s="979" t="s">
        <v>2699</v>
      </c>
      <c r="D1635" s="979">
        <v>10</v>
      </c>
      <c r="E1635" s="979">
        <v>2254</v>
      </c>
      <c r="F1635" s="979" t="s">
        <v>5336</v>
      </c>
      <c r="G1635" s="979" t="s">
        <v>5336</v>
      </c>
      <c r="H1635" s="1030">
        <v>707375</v>
      </c>
      <c r="I1635" s="1030">
        <v>701262</v>
      </c>
      <c r="J1635" s="1034">
        <v>1</v>
      </c>
      <c r="K1635" s="1030">
        <v>707375</v>
      </c>
      <c r="L1635" s="1030">
        <v>701262</v>
      </c>
      <c r="M1635" s="979">
        <v>599</v>
      </c>
    </row>
    <row r="1636" spans="1:13" ht="15">
      <c r="A1636" s="979" t="s">
        <v>3678</v>
      </c>
      <c r="B1636" s="722" t="str">
        <f>CONCATENATE(LEFT(RIGHT(CONCATENATE("000",IFAData_TEA!A1636),6),3),"-",(RIGHT(RIGHT(CONCATENATE("000",IFAData_TEA!A1636),6),3)))</f>
        <v>178-909</v>
      </c>
      <c r="C1636" s="979" t="s">
        <v>2699</v>
      </c>
      <c r="D1636" s="979">
        <v>1</v>
      </c>
      <c r="E1636" s="979">
        <v>2253</v>
      </c>
      <c r="F1636" s="979" t="s">
        <v>5330</v>
      </c>
      <c r="G1636" s="979" t="s">
        <v>5331</v>
      </c>
      <c r="H1636" s="1030">
        <v>485685</v>
      </c>
      <c r="I1636" s="1030">
        <v>414575</v>
      </c>
      <c r="J1636" s="1034">
        <v>1</v>
      </c>
      <c r="K1636" s="1030">
        <v>485685</v>
      </c>
      <c r="L1636" s="1030">
        <v>414575</v>
      </c>
      <c r="M1636" s="979">
        <v>599</v>
      </c>
    </row>
    <row r="1637" spans="1:13" ht="15">
      <c r="A1637" s="979" t="s">
        <v>3678</v>
      </c>
      <c r="B1637" s="722" t="str">
        <f>CONCATENATE(LEFT(RIGHT(CONCATENATE("000",IFAData_TEA!A1637),6),3),"-",(RIGHT(RIGHT(CONCATENATE("000",IFAData_TEA!A1637),6),3)))</f>
        <v>178-909</v>
      </c>
      <c r="C1637" s="979" t="s">
        <v>2699</v>
      </c>
      <c r="D1637" s="979">
        <v>7</v>
      </c>
      <c r="E1637" s="979">
        <v>2256</v>
      </c>
      <c r="F1637" s="979" t="s">
        <v>5332</v>
      </c>
      <c r="G1637" s="979" t="s">
        <v>5332</v>
      </c>
      <c r="H1637" s="1030">
        <v>883718</v>
      </c>
      <c r="I1637" s="1030">
        <v>0</v>
      </c>
      <c r="J1637" s="1034">
        <v>0</v>
      </c>
      <c r="K1637" s="1030">
        <v>0</v>
      </c>
      <c r="L1637" s="1030">
        <v>0</v>
      </c>
      <c r="M1637" s="979">
        <v>599</v>
      </c>
    </row>
    <row r="1638" spans="1:13" ht="15">
      <c r="A1638" s="979" t="s">
        <v>3678</v>
      </c>
      <c r="B1638" s="722" t="str">
        <f>CONCATENATE(LEFT(RIGHT(CONCATENATE("000",IFAData_TEA!A1638),6),3),"-",(RIGHT(RIGHT(CONCATENATE("000",IFAData_TEA!A1638),6),3)))</f>
        <v>178-909</v>
      </c>
      <c r="C1638" s="979" t="s">
        <v>2699</v>
      </c>
      <c r="D1638" s="979">
        <v>9</v>
      </c>
      <c r="E1638" s="979">
        <v>2255</v>
      </c>
      <c r="F1638" s="979" t="s">
        <v>5335</v>
      </c>
      <c r="G1638" s="979" t="s">
        <v>5335</v>
      </c>
      <c r="H1638" s="1030">
        <v>829400</v>
      </c>
      <c r="I1638" s="1030">
        <v>684493</v>
      </c>
      <c r="J1638" s="1034">
        <v>0.74963229858559532</v>
      </c>
      <c r="K1638" s="1030">
        <v>621745.02844689274</v>
      </c>
      <c r="L1638" s="1030">
        <v>621745.02844689274</v>
      </c>
      <c r="M1638" s="979">
        <v>599</v>
      </c>
    </row>
    <row r="1639" spans="1:13" ht="15">
      <c r="A1639" s="979" t="s">
        <v>3679</v>
      </c>
      <c r="B1639" s="722" t="str">
        <f>CONCATENATE(LEFT(RIGHT(CONCATENATE("000",IFAData_TEA!A1639),6),3),"-",(RIGHT(RIGHT(CONCATENATE("000",IFAData_TEA!A1639),6),3)))</f>
        <v>178-913</v>
      </c>
      <c r="C1639" s="979" t="s">
        <v>321</v>
      </c>
      <c r="D1639" s="979">
        <v>9</v>
      </c>
      <c r="E1639" s="979">
        <v>1592</v>
      </c>
      <c r="F1639" s="979" t="s">
        <v>5337</v>
      </c>
      <c r="G1639" s="979" t="s">
        <v>5337</v>
      </c>
      <c r="H1639" s="1030">
        <v>156610</v>
      </c>
      <c r="I1639" s="1030">
        <v>155211</v>
      </c>
      <c r="J1639" s="1034">
        <v>0.8603094012072301</v>
      </c>
      <c r="K1639" s="1030">
        <v>134733.0553230643</v>
      </c>
      <c r="L1639" s="1030">
        <v>134733.0553230643</v>
      </c>
      <c r="M1639" s="979">
        <v>599</v>
      </c>
    </row>
    <row r="1640" spans="1:13" ht="15">
      <c r="A1640" s="979" t="s">
        <v>3679</v>
      </c>
      <c r="B1640" s="722" t="str">
        <f>CONCATENATE(LEFT(RIGHT(CONCATENATE("000",IFAData_TEA!A1640),6),3),"-",(RIGHT(RIGHT(CONCATENATE("000",IFAData_TEA!A1640),6),3)))</f>
        <v>178-913</v>
      </c>
      <c r="C1640" s="979" t="s">
        <v>321</v>
      </c>
      <c r="D1640" s="979">
        <v>9</v>
      </c>
      <c r="E1640" s="979">
        <v>1592</v>
      </c>
      <c r="F1640" s="979" t="s">
        <v>5337</v>
      </c>
      <c r="G1640" s="979" t="s">
        <v>6307</v>
      </c>
      <c r="H1640" s="1030">
        <v>156610</v>
      </c>
      <c r="I1640" s="1030">
        <v>25202</v>
      </c>
      <c r="J1640" s="1034">
        <v>0.13969059879276993</v>
      </c>
      <c r="K1640" s="1030">
        <v>21876.944676935698</v>
      </c>
      <c r="L1640" s="1030">
        <v>21876.944676935698</v>
      </c>
      <c r="M1640" s="979">
        <v>599</v>
      </c>
    </row>
    <row r="1641" spans="1:13" ht="15">
      <c r="A1641" s="979" t="s">
        <v>3680</v>
      </c>
      <c r="B1641" s="722" t="str">
        <f>CONCATENATE(LEFT(RIGHT(CONCATENATE("000",IFAData_TEA!A1641),6),3),"-",(RIGHT(RIGHT(CONCATENATE("000",IFAData_TEA!A1641),6),3)))</f>
        <v>178-915</v>
      </c>
      <c r="C1641" s="979" t="s">
        <v>323</v>
      </c>
      <c r="D1641" s="979">
        <v>10</v>
      </c>
      <c r="E1641" s="979">
        <v>2445</v>
      </c>
      <c r="F1641" s="979" t="s">
        <v>5338</v>
      </c>
      <c r="G1641" s="979" t="s">
        <v>5338</v>
      </c>
      <c r="H1641" s="1030">
        <v>243416</v>
      </c>
      <c r="I1641" s="1030">
        <v>578416</v>
      </c>
      <c r="J1641" s="1034">
        <v>1</v>
      </c>
      <c r="K1641" s="1030">
        <v>243416</v>
      </c>
      <c r="L1641" s="1030">
        <v>243416</v>
      </c>
      <c r="M1641" s="979">
        <v>599</v>
      </c>
    </row>
    <row r="1642" spans="1:13" ht="15">
      <c r="A1642" s="979" t="s">
        <v>3681</v>
      </c>
      <c r="B1642" s="722" t="str">
        <f>CONCATENATE(LEFT(RIGHT(CONCATENATE("000",IFAData_TEA!A1642),6),3),"-",(RIGHT(RIGHT(CONCATENATE("000",IFAData_TEA!A1642),6),3)))</f>
        <v>179-901</v>
      </c>
      <c r="C1642" s="979" t="s">
        <v>996</v>
      </c>
      <c r="D1642" s="979">
        <v>1</v>
      </c>
      <c r="E1642" s="979">
        <v>2186</v>
      </c>
      <c r="F1642" s="979" t="s">
        <v>5339</v>
      </c>
      <c r="G1642" s="979" t="s">
        <v>5339</v>
      </c>
      <c r="H1642" s="1030">
        <v>477623</v>
      </c>
      <c r="I1642" s="1030">
        <v>0</v>
      </c>
      <c r="J1642" s="1034">
        <v>0</v>
      </c>
      <c r="K1642" s="1030">
        <v>0</v>
      </c>
      <c r="L1642" s="1030">
        <v>0</v>
      </c>
      <c r="M1642" s="979">
        <v>599</v>
      </c>
    </row>
    <row r="1643" spans="1:13" ht="15">
      <c r="A1643" s="979" t="s">
        <v>3681</v>
      </c>
      <c r="B1643" s="722" t="str">
        <f>CONCATENATE(LEFT(RIGHT(CONCATENATE("000",IFAData_TEA!A1643),6),3),"-",(RIGHT(RIGHT(CONCATENATE("000",IFAData_TEA!A1643),6),3)))</f>
        <v>179-901</v>
      </c>
      <c r="C1643" s="979" t="s">
        <v>996</v>
      </c>
      <c r="D1643" s="979">
        <v>1</v>
      </c>
      <c r="E1643" s="979">
        <v>2186</v>
      </c>
      <c r="F1643" s="979" t="s">
        <v>5339</v>
      </c>
      <c r="G1643" s="979" t="s">
        <v>5340</v>
      </c>
      <c r="H1643" s="1030">
        <v>477623</v>
      </c>
      <c r="I1643" s="1030">
        <v>578371</v>
      </c>
      <c r="J1643" s="1034">
        <v>1</v>
      </c>
      <c r="K1643" s="1030">
        <v>477623</v>
      </c>
      <c r="L1643" s="1030">
        <v>477623</v>
      </c>
      <c r="M1643" s="979">
        <v>599</v>
      </c>
    </row>
    <row r="1644" spans="1:13" ht="15">
      <c r="A1644" s="979" t="s">
        <v>3682</v>
      </c>
      <c r="B1644" s="722" t="str">
        <f>CONCATENATE(LEFT(RIGHT(CONCATENATE("000",IFAData_TEA!A1644),6),3),"-",(RIGHT(RIGHT(CONCATENATE("000",IFAData_TEA!A1644),6),3)))</f>
        <v>181-901</v>
      </c>
      <c r="C1644" s="979" t="s">
        <v>1855</v>
      </c>
      <c r="D1644" s="979">
        <v>6</v>
      </c>
      <c r="E1644" s="979">
        <v>1633</v>
      </c>
      <c r="F1644" s="979" t="s">
        <v>5341</v>
      </c>
      <c r="G1644" s="979" t="s">
        <v>5343</v>
      </c>
      <c r="H1644" s="1030">
        <v>649545</v>
      </c>
      <c r="I1644" s="1030">
        <v>14736</v>
      </c>
      <c r="J1644" s="1034">
        <v>1.6767748028628973E-2</v>
      </c>
      <c r="K1644" s="1030">
        <v>10891.406893255806</v>
      </c>
      <c r="L1644" s="1030">
        <v>10891.406893255806</v>
      </c>
      <c r="M1644" s="979">
        <v>599</v>
      </c>
    </row>
    <row r="1645" spans="1:13" ht="15">
      <c r="A1645" s="979" t="s">
        <v>3682</v>
      </c>
      <c r="B1645" s="722" t="str">
        <f>CONCATENATE(LEFT(RIGHT(CONCATENATE("000",IFAData_TEA!A1645),6),3),"-",(RIGHT(RIGHT(CONCATENATE("000",IFAData_TEA!A1645),6),3)))</f>
        <v>181-901</v>
      </c>
      <c r="C1645" s="979" t="s">
        <v>1855</v>
      </c>
      <c r="D1645" s="979">
        <v>6</v>
      </c>
      <c r="E1645" s="979">
        <v>1633</v>
      </c>
      <c r="F1645" s="979" t="s">
        <v>5341</v>
      </c>
      <c r="G1645" s="979" t="s">
        <v>5342</v>
      </c>
      <c r="H1645" s="1030">
        <v>649545</v>
      </c>
      <c r="I1645" s="1030">
        <v>384094</v>
      </c>
      <c r="J1645" s="1034">
        <v>0.43705153442645334</v>
      </c>
      <c r="K1645" s="1030">
        <v>283884.63892903063</v>
      </c>
      <c r="L1645" s="1030">
        <v>283884.63892903063</v>
      </c>
      <c r="M1645" s="979">
        <v>599</v>
      </c>
    </row>
    <row r="1646" spans="1:13" ht="15">
      <c r="A1646" s="979" t="s">
        <v>3682</v>
      </c>
      <c r="B1646" s="722" t="str">
        <f>CONCATENATE(LEFT(RIGHT(CONCATENATE("000",IFAData_TEA!A1646),6),3),"-",(RIGHT(RIGHT(CONCATENATE("000",IFAData_TEA!A1646),6),3)))</f>
        <v>181-901</v>
      </c>
      <c r="C1646" s="979" t="s">
        <v>1855</v>
      </c>
      <c r="D1646" s="979">
        <v>6</v>
      </c>
      <c r="E1646" s="979">
        <v>1633</v>
      </c>
      <c r="F1646" s="979" t="s">
        <v>5341</v>
      </c>
      <c r="G1646" s="979" t="s">
        <v>5341</v>
      </c>
      <c r="H1646" s="1030">
        <v>649545</v>
      </c>
      <c r="I1646" s="1030">
        <v>480000</v>
      </c>
      <c r="J1646" s="1034">
        <v>0.5461807175449177</v>
      </c>
      <c r="K1646" s="1030">
        <v>354768.95417771355</v>
      </c>
      <c r="L1646" s="1030">
        <v>354768.95417771355</v>
      </c>
      <c r="M1646" s="979">
        <v>599</v>
      </c>
    </row>
    <row r="1647" spans="1:13" ht="15">
      <c r="A1647" s="979" t="s">
        <v>3683</v>
      </c>
      <c r="B1647" s="722" t="str">
        <f>CONCATENATE(LEFT(RIGHT(CONCATENATE("000",IFAData_TEA!A1647),6),3),"-",(RIGHT(RIGHT(CONCATENATE("000",IFAData_TEA!A1647),6),3)))</f>
        <v>181-907</v>
      </c>
      <c r="C1647" s="979" t="s">
        <v>135</v>
      </c>
      <c r="D1647" s="979">
        <v>6</v>
      </c>
      <c r="E1647" s="979">
        <v>2428</v>
      </c>
      <c r="F1647" s="979" t="s">
        <v>5344</v>
      </c>
      <c r="G1647" s="979" t="s">
        <v>5346</v>
      </c>
      <c r="H1647" s="1030">
        <v>1258064</v>
      </c>
      <c r="I1647" s="1030">
        <v>761950</v>
      </c>
      <c r="J1647" s="1034">
        <v>0.63852021191546848</v>
      </c>
      <c r="K1647" s="1030">
        <v>803299.29188322194</v>
      </c>
      <c r="L1647" s="1030">
        <v>761950</v>
      </c>
      <c r="M1647" s="979">
        <v>599</v>
      </c>
    </row>
    <row r="1648" spans="1:13" ht="15">
      <c r="A1648" s="979" t="s">
        <v>3683</v>
      </c>
      <c r="B1648" s="722" t="str">
        <f>CONCATENATE(LEFT(RIGHT(CONCATENATE("000",IFAData_TEA!A1648),6),3),"-",(RIGHT(RIGHT(CONCATENATE("000",IFAData_TEA!A1648),6),3)))</f>
        <v>181-907</v>
      </c>
      <c r="C1648" s="979" t="s">
        <v>135</v>
      </c>
      <c r="D1648" s="979">
        <v>6</v>
      </c>
      <c r="E1648" s="979">
        <v>2428</v>
      </c>
      <c r="F1648" s="979" t="s">
        <v>5344</v>
      </c>
      <c r="G1648" s="979" t="s">
        <v>5345</v>
      </c>
      <c r="H1648" s="1030">
        <v>1258064</v>
      </c>
      <c r="I1648" s="1030">
        <v>431356</v>
      </c>
      <c r="J1648" s="1034">
        <v>0.36147978808453157</v>
      </c>
      <c r="K1648" s="1030">
        <v>454764.70811677811</v>
      </c>
      <c r="L1648" s="1030">
        <v>431356</v>
      </c>
      <c r="M1648" s="979">
        <v>599</v>
      </c>
    </row>
    <row r="1649" spans="1:13" ht="15">
      <c r="A1649" s="979" t="s">
        <v>3683</v>
      </c>
      <c r="B1649" s="722" t="str">
        <f>CONCATENATE(LEFT(RIGHT(CONCATENATE("000",IFAData_TEA!A1649),6),3),"-",(RIGHT(RIGHT(CONCATENATE("000",IFAData_TEA!A1649),6),3)))</f>
        <v>181-907</v>
      </c>
      <c r="C1649" s="979" t="s">
        <v>135</v>
      </c>
      <c r="D1649" s="979">
        <v>6</v>
      </c>
      <c r="E1649" s="979">
        <v>2428</v>
      </c>
      <c r="F1649" s="979" t="s">
        <v>5344</v>
      </c>
      <c r="G1649" s="979" t="s">
        <v>5344</v>
      </c>
      <c r="H1649" s="1030">
        <v>1258064</v>
      </c>
      <c r="I1649" s="1030">
        <v>0</v>
      </c>
      <c r="J1649" s="1034">
        <v>0</v>
      </c>
      <c r="K1649" s="1030">
        <v>0</v>
      </c>
      <c r="L1649" s="1030">
        <v>0</v>
      </c>
      <c r="M1649" s="979">
        <v>599</v>
      </c>
    </row>
    <row r="1650" spans="1:13" ht="15">
      <c r="A1650" s="979" t="s">
        <v>3684</v>
      </c>
      <c r="B1650" s="722" t="str">
        <f>CONCATENATE(LEFT(RIGHT(CONCATENATE("000",IFAData_TEA!A1650),6),3),"-",(RIGHT(RIGHT(CONCATENATE("000",IFAData_TEA!A1650),6),3)))</f>
        <v>182-903</v>
      </c>
      <c r="C1650" s="979" t="s">
        <v>2240</v>
      </c>
      <c r="D1650" s="979">
        <v>2</v>
      </c>
      <c r="E1650" s="979">
        <v>2110</v>
      </c>
      <c r="F1650" s="979" t="s">
        <v>5347</v>
      </c>
      <c r="G1650" s="979" t="s">
        <v>6308</v>
      </c>
      <c r="H1650" s="1030">
        <v>772750</v>
      </c>
      <c r="I1650" s="1030">
        <v>56137</v>
      </c>
      <c r="J1650" s="1034">
        <v>3.5724581467408006E-2</v>
      </c>
      <c r="K1650" s="1030">
        <v>27606.170328939537</v>
      </c>
      <c r="L1650" s="1030">
        <v>27606.170328939537</v>
      </c>
      <c r="M1650" s="979">
        <v>599</v>
      </c>
    </row>
    <row r="1651" spans="1:13" ht="15">
      <c r="A1651" s="979" t="s">
        <v>3684</v>
      </c>
      <c r="B1651" s="722" t="str">
        <f>CONCATENATE(LEFT(RIGHT(CONCATENATE("000",IFAData_TEA!A1651),6),3),"-",(RIGHT(RIGHT(CONCATENATE("000",IFAData_TEA!A1651),6),3)))</f>
        <v>182-903</v>
      </c>
      <c r="C1651" s="979" t="s">
        <v>2240</v>
      </c>
      <c r="D1651" s="979">
        <v>2</v>
      </c>
      <c r="E1651" s="979">
        <v>2110</v>
      </c>
      <c r="F1651" s="979" t="s">
        <v>5347</v>
      </c>
      <c r="G1651" s="979" t="s">
        <v>5348</v>
      </c>
      <c r="H1651" s="1030">
        <v>772750</v>
      </c>
      <c r="I1651" s="1030">
        <v>934826</v>
      </c>
      <c r="J1651" s="1034">
        <v>0.59490652501649821</v>
      </c>
      <c r="K1651" s="1030">
        <v>459714.017206499</v>
      </c>
      <c r="L1651" s="1030">
        <v>459714.017206499</v>
      </c>
      <c r="M1651" s="979">
        <v>599</v>
      </c>
    </row>
    <row r="1652" spans="1:13" ht="15">
      <c r="A1652" s="979" t="s">
        <v>3684</v>
      </c>
      <c r="B1652" s="722" t="str">
        <f>CONCATENATE(LEFT(RIGHT(CONCATENATE("000",IFAData_TEA!A1652),6),3),"-",(RIGHT(RIGHT(CONCATENATE("000",IFAData_TEA!A1652),6),3)))</f>
        <v>182-903</v>
      </c>
      <c r="C1652" s="979" t="s">
        <v>2240</v>
      </c>
      <c r="D1652" s="979">
        <v>2</v>
      </c>
      <c r="E1652" s="979">
        <v>2110</v>
      </c>
      <c r="F1652" s="979" t="s">
        <v>5347</v>
      </c>
      <c r="G1652" s="979" t="s">
        <v>5347</v>
      </c>
      <c r="H1652" s="1030">
        <v>772750</v>
      </c>
      <c r="I1652" s="1030">
        <v>0</v>
      </c>
      <c r="J1652" s="1034">
        <v>0</v>
      </c>
      <c r="K1652" s="1030">
        <v>0</v>
      </c>
      <c r="L1652" s="1030">
        <v>0</v>
      </c>
      <c r="M1652" s="979">
        <v>599</v>
      </c>
    </row>
    <row r="1653" spans="1:13" ht="15">
      <c r="A1653" s="979" t="s">
        <v>3684</v>
      </c>
      <c r="B1653" s="722" t="str">
        <f>CONCATENATE(LEFT(RIGHT(CONCATENATE("000",IFAData_TEA!A1653),6),3),"-",(RIGHT(RIGHT(CONCATENATE("000",IFAData_TEA!A1653),6),3)))</f>
        <v>182-903</v>
      </c>
      <c r="C1653" s="979" t="s">
        <v>2240</v>
      </c>
      <c r="D1653" s="979">
        <v>2</v>
      </c>
      <c r="E1653" s="979">
        <v>2110</v>
      </c>
      <c r="F1653" s="979" t="s">
        <v>5347</v>
      </c>
      <c r="G1653" s="979" t="s">
        <v>5350</v>
      </c>
      <c r="H1653" s="1030">
        <v>772750</v>
      </c>
      <c r="I1653" s="1030">
        <v>284105</v>
      </c>
      <c r="J1653" s="1034">
        <v>0.18079933408977952</v>
      </c>
      <c r="K1653" s="1030">
        <v>139712.68541787713</v>
      </c>
      <c r="L1653" s="1030">
        <v>139712.68541787713</v>
      </c>
      <c r="M1653" s="979">
        <v>599</v>
      </c>
    </row>
    <row r="1654" spans="1:13" ht="15">
      <c r="A1654" s="979" t="s">
        <v>3684</v>
      </c>
      <c r="B1654" s="722" t="str">
        <f>CONCATENATE(LEFT(RIGHT(CONCATENATE("000",IFAData_TEA!A1654),6),3),"-",(RIGHT(RIGHT(CONCATENATE("000",IFAData_TEA!A1654),6),3)))</f>
        <v>182-903</v>
      </c>
      <c r="C1654" s="979" t="s">
        <v>2240</v>
      </c>
      <c r="D1654" s="979">
        <v>2</v>
      </c>
      <c r="E1654" s="979">
        <v>2110</v>
      </c>
      <c r="F1654" s="979" t="s">
        <v>5347</v>
      </c>
      <c r="G1654" s="979" t="s">
        <v>5349</v>
      </c>
      <c r="H1654" s="1030">
        <v>772750</v>
      </c>
      <c r="I1654" s="1030">
        <v>296315</v>
      </c>
      <c r="J1654" s="1034">
        <v>0.18856955942631426</v>
      </c>
      <c r="K1654" s="1030">
        <v>145717.12704668436</v>
      </c>
      <c r="L1654" s="1030">
        <v>145717.12704668436</v>
      </c>
      <c r="M1654" s="979">
        <v>599</v>
      </c>
    </row>
    <row r="1655" spans="1:13" ht="15">
      <c r="A1655" s="979" t="s">
        <v>3685</v>
      </c>
      <c r="B1655" s="722" t="str">
        <f>CONCATENATE(LEFT(RIGHT(CONCATENATE("000",IFAData_TEA!A1655),6),3),"-",(RIGHT(RIGHT(CONCATENATE("000",IFAData_TEA!A1655),6),3)))</f>
        <v>183-904</v>
      </c>
      <c r="C1655" s="979" t="s">
        <v>454</v>
      </c>
      <c r="D1655" s="979">
        <v>1</v>
      </c>
      <c r="E1655" s="979">
        <v>1845</v>
      </c>
      <c r="F1655" s="979" t="s">
        <v>5351</v>
      </c>
      <c r="G1655" s="979" t="s">
        <v>5351</v>
      </c>
      <c r="H1655" s="1030">
        <v>100000</v>
      </c>
      <c r="I1655" s="1030">
        <v>0</v>
      </c>
      <c r="J1655" s="1034">
        <v>0</v>
      </c>
      <c r="K1655" s="1030">
        <v>0</v>
      </c>
      <c r="L1655" s="1030">
        <v>0</v>
      </c>
      <c r="M1655" s="979">
        <v>599</v>
      </c>
    </row>
    <row r="1656" spans="1:13" ht="15">
      <c r="A1656" s="979" t="s">
        <v>3685</v>
      </c>
      <c r="B1656" s="722" t="str">
        <f>CONCATENATE(LEFT(RIGHT(CONCATENATE("000",IFAData_TEA!A1656),6),3),"-",(RIGHT(RIGHT(CONCATENATE("000",IFAData_TEA!A1656),6),3)))</f>
        <v>183-904</v>
      </c>
      <c r="C1656" s="979" t="s">
        <v>454</v>
      </c>
      <c r="D1656" s="979">
        <v>1</v>
      </c>
      <c r="E1656" s="979">
        <v>1845</v>
      </c>
      <c r="F1656" s="979" t="s">
        <v>5351</v>
      </c>
      <c r="G1656" s="979" t="s">
        <v>5352</v>
      </c>
      <c r="H1656" s="1030">
        <v>100000</v>
      </c>
      <c r="I1656" s="1030">
        <v>104082</v>
      </c>
      <c r="J1656" s="1034">
        <v>1</v>
      </c>
      <c r="K1656" s="1030">
        <v>100000</v>
      </c>
      <c r="L1656" s="1030">
        <v>100000</v>
      </c>
      <c r="M1656" s="979">
        <v>599</v>
      </c>
    </row>
    <row r="1657" spans="1:13" ht="15">
      <c r="A1657" s="979" t="s">
        <v>3686</v>
      </c>
      <c r="B1657" s="722" t="str">
        <f>CONCATENATE(LEFT(RIGHT(CONCATENATE("000",IFAData_TEA!A1657),6),3),"-",(RIGHT(RIGHT(CONCATENATE("000",IFAData_TEA!A1657),6),3)))</f>
        <v>184-901</v>
      </c>
      <c r="C1657" s="979" t="s">
        <v>1003</v>
      </c>
      <c r="D1657" s="979">
        <v>5</v>
      </c>
      <c r="E1657" s="979">
        <v>2202</v>
      </c>
      <c r="F1657" s="979" t="s">
        <v>5353</v>
      </c>
      <c r="G1657" s="979" t="s">
        <v>5353</v>
      </c>
      <c r="H1657" s="1030">
        <v>107925</v>
      </c>
      <c r="I1657" s="1030">
        <v>0</v>
      </c>
      <c r="J1657" s="1034">
        <v>0</v>
      </c>
      <c r="K1657" s="1030">
        <v>0</v>
      </c>
      <c r="L1657" s="1030">
        <v>0</v>
      </c>
      <c r="M1657" s="979">
        <v>599</v>
      </c>
    </row>
    <row r="1658" spans="1:13" ht="15">
      <c r="A1658" s="979" t="s">
        <v>3686</v>
      </c>
      <c r="B1658" s="722" t="str">
        <f>CONCATENATE(LEFT(RIGHT(CONCATENATE("000",IFAData_TEA!A1658),6),3),"-",(RIGHT(RIGHT(CONCATENATE("000",IFAData_TEA!A1658),6),3)))</f>
        <v>184-901</v>
      </c>
      <c r="C1658" s="979" t="s">
        <v>1003</v>
      </c>
      <c r="D1658" s="979">
        <v>5</v>
      </c>
      <c r="E1658" s="979">
        <v>2202</v>
      </c>
      <c r="F1658" s="979" t="s">
        <v>5353</v>
      </c>
      <c r="G1658" s="979" t="s">
        <v>5354</v>
      </c>
      <c r="H1658" s="1030">
        <v>107925</v>
      </c>
      <c r="I1658" s="1030">
        <v>110747</v>
      </c>
      <c r="J1658" s="1034">
        <v>1</v>
      </c>
      <c r="K1658" s="1030">
        <v>107925</v>
      </c>
      <c r="L1658" s="1030">
        <v>107925</v>
      </c>
      <c r="M1658" s="979">
        <v>599</v>
      </c>
    </row>
    <row r="1659" spans="1:13" ht="15">
      <c r="A1659" s="979" t="s">
        <v>3687</v>
      </c>
      <c r="B1659" s="722" t="str">
        <f>CONCATENATE(LEFT(RIGHT(CONCATENATE("000",IFAData_TEA!A1659),6),3),"-",(RIGHT(RIGHT(CONCATENATE("000",IFAData_TEA!A1659),6),3)))</f>
        <v>184-902</v>
      </c>
      <c r="C1659" s="979" t="s">
        <v>1937</v>
      </c>
      <c r="D1659" s="979">
        <v>2</v>
      </c>
      <c r="E1659" s="979">
        <v>2378</v>
      </c>
      <c r="F1659" s="979" t="s">
        <v>5355</v>
      </c>
      <c r="G1659" s="979" t="s">
        <v>6309</v>
      </c>
      <c r="H1659" s="1030">
        <v>700070</v>
      </c>
      <c r="I1659" s="1030">
        <v>239980</v>
      </c>
      <c r="J1659" s="1034">
        <v>0.13169440619805525</v>
      </c>
      <c r="K1659" s="1030">
        <v>92195.302947072545</v>
      </c>
      <c r="L1659" s="1030">
        <v>92195.302947072545</v>
      </c>
      <c r="M1659" s="979">
        <v>599</v>
      </c>
    </row>
    <row r="1660" spans="1:13" ht="15">
      <c r="A1660" s="979" t="s">
        <v>3687</v>
      </c>
      <c r="B1660" s="722" t="str">
        <f>CONCATENATE(LEFT(RIGHT(CONCATENATE("000",IFAData_TEA!A1660),6),3),"-",(RIGHT(RIGHT(CONCATENATE("000",IFAData_TEA!A1660),6),3)))</f>
        <v>184-902</v>
      </c>
      <c r="C1660" s="979" t="s">
        <v>1937</v>
      </c>
      <c r="D1660" s="979">
        <v>2</v>
      </c>
      <c r="E1660" s="979">
        <v>2378</v>
      </c>
      <c r="F1660" s="979" t="s">
        <v>5355</v>
      </c>
      <c r="G1660" s="979" t="s">
        <v>5358</v>
      </c>
      <c r="H1660" s="1030">
        <v>700070</v>
      </c>
      <c r="I1660" s="1030">
        <v>0</v>
      </c>
      <c r="J1660" s="1034">
        <v>0</v>
      </c>
      <c r="K1660" s="1030">
        <v>0</v>
      </c>
      <c r="L1660" s="1030">
        <v>0</v>
      </c>
      <c r="M1660" s="979">
        <v>599</v>
      </c>
    </row>
    <row r="1661" spans="1:13" ht="15">
      <c r="A1661" s="979" t="s">
        <v>3687</v>
      </c>
      <c r="B1661" s="722" t="str">
        <f>CONCATENATE(LEFT(RIGHT(CONCATENATE("000",IFAData_TEA!A1661),6),3),"-",(RIGHT(RIGHT(CONCATENATE("000",IFAData_TEA!A1661),6),3)))</f>
        <v>184-902</v>
      </c>
      <c r="C1661" s="979" t="s">
        <v>1937</v>
      </c>
      <c r="D1661" s="979">
        <v>2</v>
      </c>
      <c r="E1661" s="979">
        <v>2378</v>
      </c>
      <c r="F1661" s="979" t="s">
        <v>5355</v>
      </c>
      <c r="G1661" s="979" t="s">
        <v>5356</v>
      </c>
      <c r="H1661" s="1030">
        <v>700070</v>
      </c>
      <c r="I1661" s="1030">
        <v>1231192</v>
      </c>
      <c r="J1661" s="1034">
        <v>0.6756442176672891</v>
      </c>
      <c r="K1661" s="1030">
        <v>472998.24746233906</v>
      </c>
      <c r="L1661" s="1030">
        <v>472998.24746233906</v>
      </c>
      <c r="M1661" s="979">
        <v>599</v>
      </c>
    </row>
    <row r="1662" spans="1:13" ht="15">
      <c r="A1662" s="979" t="s">
        <v>3687</v>
      </c>
      <c r="B1662" s="722" t="str">
        <f>CONCATENATE(LEFT(RIGHT(CONCATENATE("000",IFAData_TEA!A1662),6),3),"-",(RIGHT(RIGHT(CONCATENATE("000",IFAData_TEA!A1662),6),3)))</f>
        <v>184-902</v>
      </c>
      <c r="C1662" s="979" t="s">
        <v>1937</v>
      </c>
      <c r="D1662" s="979">
        <v>2</v>
      </c>
      <c r="E1662" s="979">
        <v>2378</v>
      </c>
      <c r="F1662" s="979" t="s">
        <v>5355</v>
      </c>
      <c r="G1662" s="979" t="s">
        <v>5355</v>
      </c>
      <c r="H1662" s="1030">
        <v>700070</v>
      </c>
      <c r="I1662" s="1030">
        <v>0</v>
      </c>
      <c r="J1662" s="1034">
        <v>0</v>
      </c>
      <c r="K1662" s="1030">
        <v>0</v>
      </c>
      <c r="L1662" s="1030">
        <v>0</v>
      </c>
      <c r="M1662" s="979">
        <v>599</v>
      </c>
    </row>
    <row r="1663" spans="1:13" ht="15">
      <c r="A1663" s="979" t="s">
        <v>3687</v>
      </c>
      <c r="B1663" s="722" t="str">
        <f>CONCATENATE(LEFT(RIGHT(CONCATENATE("000",IFAData_TEA!A1663),6),3),"-",(RIGHT(RIGHT(CONCATENATE("000",IFAData_TEA!A1663),6),3)))</f>
        <v>184-902</v>
      </c>
      <c r="C1663" s="979" t="s">
        <v>1937</v>
      </c>
      <c r="D1663" s="979">
        <v>9</v>
      </c>
      <c r="E1663" s="979">
        <v>2379</v>
      </c>
      <c r="F1663" s="979" t="s">
        <v>5359</v>
      </c>
      <c r="G1663" s="979" t="s">
        <v>5359</v>
      </c>
      <c r="H1663" s="1030">
        <v>824218</v>
      </c>
      <c r="I1663" s="1030">
        <v>1241835</v>
      </c>
      <c r="J1663" s="1034">
        <v>0.91574944361935751</v>
      </c>
      <c r="K1663" s="1030">
        <v>754777.17492105963</v>
      </c>
      <c r="L1663" s="1030">
        <v>754777.17492105963</v>
      </c>
      <c r="M1663" s="979">
        <v>599</v>
      </c>
    </row>
    <row r="1664" spans="1:13" ht="15">
      <c r="A1664" s="979" t="s">
        <v>3687</v>
      </c>
      <c r="B1664" s="722" t="str">
        <f>CONCATENATE(LEFT(RIGHT(CONCATENATE("000",IFAData_TEA!A1664),6),3),"-",(RIGHT(RIGHT(CONCATENATE("000",IFAData_TEA!A1664),6),3)))</f>
        <v>184-902</v>
      </c>
      <c r="C1664" s="979" t="s">
        <v>1937</v>
      </c>
      <c r="D1664" s="979">
        <v>2</v>
      </c>
      <c r="E1664" s="979">
        <v>2378</v>
      </c>
      <c r="F1664" s="979" t="s">
        <v>5355</v>
      </c>
      <c r="G1664" s="979" t="s">
        <v>5357</v>
      </c>
      <c r="H1664" s="1030">
        <v>700070</v>
      </c>
      <c r="I1664" s="1030">
        <v>333834</v>
      </c>
      <c r="J1664" s="1034">
        <v>0.18319889323577623</v>
      </c>
      <c r="K1664" s="1030">
        <v>128252.04918756986</v>
      </c>
      <c r="L1664" s="1030">
        <v>128252.04918756986</v>
      </c>
      <c r="M1664" s="979">
        <v>599</v>
      </c>
    </row>
    <row r="1665" spans="1:13" ht="15">
      <c r="A1665" s="979" t="s">
        <v>3687</v>
      </c>
      <c r="B1665" s="722" t="str">
        <f>CONCATENATE(LEFT(RIGHT(CONCATENATE("000",IFAData_TEA!A1665),6),3),"-",(RIGHT(RIGHT(CONCATENATE("000",IFAData_TEA!A1665),6),3)))</f>
        <v>184-902</v>
      </c>
      <c r="C1665" s="979" t="s">
        <v>1937</v>
      </c>
      <c r="D1665" s="979">
        <v>2</v>
      </c>
      <c r="E1665" s="979">
        <v>2378</v>
      </c>
      <c r="F1665" s="979" t="s">
        <v>5355</v>
      </c>
      <c r="G1665" s="979" t="s">
        <v>6310</v>
      </c>
      <c r="H1665" s="1030">
        <v>700070</v>
      </c>
      <c r="I1665" s="1030">
        <v>17243</v>
      </c>
      <c r="J1665" s="1034">
        <v>9.4624828988793524E-3</v>
      </c>
      <c r="K1665" s="1030">
        <v>6624.4004030184678</v>
      </c>
      <c r="L1665" s="1030">
        <v>6624.4004030184678</v>
      </c>
      <c r="M1665" s="979">
        <v>599</v>
      </c>
    </row>
    <row r="1666" spans="1:13" ht="15">
      <c r="A1666" s="979" t="s">
        <v>3687</v>
      </c>
      <c r="B1666" s="722" t="str">
        <f>CONCATENATE(LEFT(RIGHT(CONCATENATE("000",IFAData_TEA!A1666),6),3),"-",(RIGHT(RIGHT(CONCATENATE("000",IFAData_TEA!A1666),6),3)))</f>
        <v>184-902</v>
      </c>
      <c r="C1666" s="979" t="s">
        <v>1937</v>
      </c>
      <c r="D1666" s="979">
        <v>9</v>
      </c>
      <c r="E1666" s="979">
        <v>2379</v>
      </c>
      <c r="F1666" s="979" t="s">
        <v>5359</v>
      </c>
      <c r="G1666" s="979" t="s">
        <v>6310</v>
      </c>
      <c r="H1666" s="1030">
        <v>824218</v>
      </c>
      <c r="I1666" s="1030">
        <v>114251</v>
      </c>
      <c r="J1666" s="1034">
        <v>8.4250556380642522E-2</v>
      </c>
      <c r="K1666" s="1030">
        <v>69440.825078940412</v>
      </c>
      <c r="L1666" s="1030">
        <v>69440.825078940412</v>
      </c>
      <c r="M1666" s="979">
        <v>599</v>
      </c>
    </row>
    <row r="1667" spans="1:13" ht="15">
      <c r="A1667" s="979" t="s">
        <v>3688</v>
      </c>
      <c r="B1667" s="722" t="str">
        <f>CONCATENATE(LEFT(RIGHT(CONCATENATE("000",IFAData_TEA!A1667),6),3),"-",(RIGHT(RIGHT(CONCATENATE("000",IFAData_TEA!A1667),6),3)))</f>
        <v>184-903</v>
      </c>
      <c r="C1667" s="979" t="s">
        <v>140</v>
      </c>
      <c r="D1667" s="979">
        <v>6</v>
      </c>
      <c r="E1667" s="979">
        <v>2439</v>
      </c>
      <c r="F1667" s="979" t="s">
        <v>5360</v>
      </c>
      <c r="G1667" s="979" t="s">
        <v>5363</v>
      </c>
      <c r="H1667" s="1030">
        <v>240000</v>
      </c>
      <c r="I1667" s="1030">
        <v>414325</v>
      </c>
      <c r="J1667" s="1034">
        <v>0.10150782577378815</v>
      </c>
      <c r="K1667" s="1030">
        <v>24361.878185709156</v>
      </c>
      <c r="L1667" s="1030">
        <v>24361.878185709156</v>
      </c>
      <c r="M1667" s="979">
        <v>599</v>
      </c>
    </row>
    <row r="1668" spans="1:13" ht="15">
      <c r="A1668" s="979" t="s">
        <v>3688</v>
      </c>
      <c r="B1668" s="722" t="str">
        <f>CONCATENATE(LEFT(RIGHT(CONCATENATE("000",IFAData_TEA!A1668),6),3),"-",(RIGHT(RIGHT(CONCATENATE("000",IFAData_TEA!A1668),6),3)))</f>
        <v>184-903</v>
      </c>
      <c r="C1668" s="979" t="s">
        <v>140</v>
      </c>
      <c r="D1668" s="979">
        <v>6</v>
      </c>
      <c r="E1668" s="979">
        <v>2439</v>
      </c>
      <c r="F1668" s="979" t="s">
        <v>5360</v>
      </c>
      <c r="G1668" s="979" t="s">
        <v>5365</v>
      </c>
      <c r="H1668" s="1030">
        <v>240000</v>
      </c>
      <c r="I1668" s="1030">
        <v>113632</v>
      </c>
      <c r="J1668" s="1034">
        <v>2.7839346547582446E-2</v>
      </c>
      <c r="K1668" s="1030">
        <v>6681.4431714197872</v>
      </c>
      <c r="L1668" s="1030">
        <v>6681.4431714197872</v>
      </c>
      <c r="M1668" s="979">
        <v>599</v>
      </c>
    </row>
    <row r="1669" spans="1:13" ht="15">
      <c r="A1669" s="979" t="s">
        <v>3688</v>
      </c>
      <c r="B1669" s="722" t="str">
        <f>CONCATENATE(LEFT(RIGHT(CONCATENATE("000",IFAData_TEA!A1669),6),3),"-",(RIGHT(RIGHT(CONCATENATE("000",IFAData_TEA!A1669),6),3)))</f>
        <v>184-903</v>
      </c>
      <c r="C1669" s="979" t="s">
        <v>140</v>
      </c>
      <c r="D1669" s="979">
        <v>6</v>
      </c>
      <c r="E1669" s="979">
        <v>2439</v>
      </c>
      <c r="F1669" s="979" t="s">
        <v>5360</v>
      </c>
      <c r="G1669" s="979" t="s">
        <v>5361</v>
      </c>
      <c r="H1669" s="1030">
        <v>240000</v>
      </c>
      <c r="I1669" s="1030">
        <v>0</v>
      </c>
      <c r="J1669" s="1034">
        <v>0</v>
      </c>
      <c r="K1669" s="1030">
        <v>0</v>
      </c>
      <c r="L1669" s="1030">
        <v>0</v>
      </c>
      <c r="M1669" s="979">
        <v>599</v>
      </c>
    </row>
    <row r="1670" spans="1:13" ht="15">
      <c r="A1670" s="979" t="s">
        <v>3688</v>
      </c>
      <c r="B1670" s="722" t="str">
        <f>CONCATENATE(LEFT(RIGHT(CONCATENATE("000",IFAData_TEA!A1670),6),3),"-",(RIGHT(RIGHT(CONCATENATE("000",IFAData_TEA!A1670),6),3)))</f>
        <v>184-903</v>
      </c>
      <c r="C1670" s="979" t="s">
        <v>140</v>
      </c>
      <c r="D1670" s="979">
        <v>6</v>
      </c>
      <c r="E1670" s="979">
        <v>2439</v>
      </c>
      <c r="F1670" s="979" t="s">
        <v>5360</v>
      </c>
      <c r="G1670" s="979" t="s">
        <v>5364</v>
      </c>
      <c r="H1670" s="1030">
        <v>240000</v>
      </c>
      <c r="I1670" s="1030">
        <v>58748</v>
      </c>
      <c r="J1670" s="1034">
        <v>1.4393004883988432E-2</v>
      </c>
      <c r="K1670" s="1030">
        <v>3454.3211721572238</v>
      </c>
      <c r="L1670" s="1030">
        <v>3454.3211721572238</v>
      </c>
      <c r="M1670" s="979">
        <v>599</v>
      </c>
    </row>
    <row r="1671" spans="1:13" ht="15">
      <c r="A1671" s="979" t="s">
        <v>3688</v>
      </c>
      <c r="B1671" s="722" t="str">
        <f>CONCATENATE(LEFT(RIGHT(CONCATENATE("000",IFAData_TEA!A1671),6),3),"-",(RIGHT(RIGHT(CONCATENATE("000",IFAData_TEA!A1671),6),3)))</f>
        <v>184-903</v>
      </c>
      <c r="C1671" s="979" t="s">
        <v>140</v>
      </c>
      <c r="D1671" s="979">
        <v>6</v>
      </c>
      <c r="E1671" s="979">
        <v>2439</v>
      </c>
      <c r="F1671" s="979" t="s">
        <v>5360</v>
      </c>
      <c r="G1671" s="979" t="s">
        <v>5360</v>
      </c>
      <c r="H1671" s="1030">
        <v>240000</v>
      </c>
      <c r="I1671" s="1030">
        <v>3495000</v>
      </c>
      <c r="J1671" s="1034">
        <v>0.85625982279464097</v>
      </c>
      <c r="K1671" s="1030">
        <v>205502.35747071385</v>
      </c>
      <c r="L1671" s="1030">
        <v>205502.35747071385</v>
      </c>
      <c r="M1671" s="979">
        <v>599</v>
      </c>
    </row>
    <row r="1672" spans="1:13" ht="15">
      <c r="A1672" s="979" t="s">
        <v>3688</v>
      </c>
      <c r="B1672" s="722" t="str">
        <f>CONCATENATE(LEFT(RIGHT(CONCATENATE("000",IFAData_TEA!A1672),6),3),"-",(RIGHT(RIGHT(CONCATENATE("000",IFAData_TEA!A1672),6),3)))</f>
        <v>184-903</v>
      </c>
      <c r="C1672" s="979" t="s">
        <v>140</v>
      </c>
      <c r="D1672" s="979">
        <v>6</v>
      </c>
      <c r="E1672" s="979">
        <v>2439</v>
      </c>
      <c r="F1672" s="979" t="s">
        <v>5360</v>
      </c>
      <c r="G1672" s="979" t="s">
        <v>5362</v>
      </c>
      <c r="H1672" s="1030">
        <v>240000</v>
      </c>
      <c r="I1672" s="1030">
        <v>0</v>
      </c>
      <c r="J1672" s="1034">
        <v>0</v>
      </c>
      <c r="K1672" s="1030">
        <v>0</v>
      </c>
      <c r="L1672" s="1030">
        <v>0</v>
      </c>
      <c r="M1672" s="979">
        <v>599</v>
      </c>
    </row>
    <row r="1673" spans="1:13" ht="15">
      <c r="A1673" s="979" t="s">
        <v>3689</v>
      </c>
      <c r="B1673" s="722" t="str">
        <f>CONCATENATE(LEFT(RIGHT(CONCATENATE("000",IFAData_TEA!A1673),6),3),"-",(RIGHT(RIGHT(CONCATENATE("000",IFAData_TEA!A1673),6),3)))</f>
        <v>184-904</v>
      </c>
      <c r="C1673" s="979" t="s">
        <v>2239</v>
      </c>
      <c r="D1673" s="979">
        <v>9</v>
      </c>
      <c r="E1673" s="979">
        <v>2109</v>
      </c>
      <c r="F1673" s="979" t="s">
        <v>5368</v>
      </c>
      <c r="G1673" s="979" t="s">
        <v>6311</v>
      </c>
      <c r="H1673" s="1030">
        <v>193685</v>
      </c>
      <c r="I1673" s="1030">
        <v>197344</v>
      </c>
      <c r="J1673" s="1034">
        <v>0.32183698098437652</v>
      </c>
      <c r="K1673" s="1030">
        <v>62334.995661958965</v>
      </c>
      <c r="L1673" s="1030">
        <v>62334.995661958965</v>
      </c>
      <c r="M1673" s="979">
        <v>599</v>
      </c>
    </row>
    <row r="1674" spans="1:13" ht="15">
      <c r="A1674" s="979" t="s">
        <v>3689</v>
      </c>
      <c r="B1674" s="722" t="str">
        <f>CONCATENATE(LEFT(RIGHT(CONCATENATE("000",IFAData_TEA!A1674),6),3),"-",(RIGHT(RIGHT(CONCATENATE("000",IFAData_TEA!A1674),6),3)))</f>
        <v>184-904</v>
      </c>
      <c r="C1674" s="979" t="s">
        <v>2239</v>
      </c>
      <c r="D1674" s="979">
        <v>9</v>
      </c>
      <c r="E1674" s="979">
        <v>2109</v>
      </c>
      <c r="F1674" s="979" t="s">
        <v>5368</v>
      </c>
      <c r="G1674" s="979" t="s">
        <v>6312</v>
      </c>
      <c r="H1674" s="1030">
        <v>193685</v>
      </c>
      <c r="I1674" s="1030">
        <v>136211</v>
      </c>
      <c r="J1674" s="1034">
        <v>0.22213868684562446</v>
      </c>
      <c r="K1674" s="1030">
        <v>43024.931561694772</v>
      </c>
      <c r="L1674" s="1030">
        <v>43024.931561694772</v>
      </c>
      <c r="M1674" s="979">
        <v>599</v>
      </c>
    </row>
    <row r="1675" spans="1:13" ht="15">
      <c r="A1675" s="979" t="s">
        <v>3689</v>
      </c>
      <c r="B1675" s="722" t="str">
        <f>CONCATENATE(LEFT(RIGHT(CONCATENATE("000",IFAData_TEA!A1675),6),3),"-",(RIGHT(RIGHT(CONCATENATE("000",IFAData_TEA!A1675),6),3)))</f>
        <v>184-904</v>
      </c>
      <c r="C1675" s="979" t="s">
        <v>2239</v>
      </c>
      <c r="D1675" s="979">
        <v>3</v>
      </c>
      <c r="E1675" s="979">
        <v>2108</v>
      </c>
      <c r="F1675" s="979" t="s">
        <v>5366</v>
      </c>
      <c r="G1675" s="979" t="s">
        <v>6313</v>
      </c>
      <c r="H1675" s="1030">
        <v>166883</v>
      </c>
      <c r="I1675" s="1030">
        <v>163806</v>
      </c>
      <c r="J1675" s="1034">
        <v>0.3279405964776706</v>
      </c>
      <c r="K1675" s="1030">
        <v>54727.710561983105</v>
      </c>
      <c r="L1675" s="1030">
        <v>54727.710561983105</v>
      </c>
      <c r="M1675" s="979">
        <v>599</v>
      </c>
    </row>
    <row r="1676" spans="1:13" ht="15">
      <c r="A1676" s="979" t="s">
        <v>3689</v>
      </c>
      <c r="B1676" s="722" t="str">
        <f>CONCATENATE(LEFT(RIGHT(CONCATENATE("000",IFAData_TEA!A1676),6),3),"-",(RIGHT(RIGHT(CONCATENATE("000",IFAData_TEA!A1676),6),3)))</f>
        <v>184-904</v>
      </c>
      <c r="C1676" s="979" t="s">
        <v>2239</v>
      </c>
      <c r="D1676" s="979">
        <v>3</v>
      </c>
      <c r="E1676" s="979">
        <v>2108</v>
      </c>
      <c r="F1676" s="979" t="s">
        <v>5366</v>
      </c>
      <c r="G1676" s="979" t="s">
        <v>5367</v>
      </c>
      <c r="H1676" s="1030">
        <v>166883</v>
      </c>
      <c r="I1676" s="1030">
        <v>335693</v>
      </c>
      <c r="J1676" s="1034">
        <v>0.6720594035223294</v>
      </c>
      <c r="K1676" s="1030">
        <v>112155.2894380169</v>
      </c>
      <c r="L1676" s="1030">
        <v>112155.2894380169</v>
      </c>
      <c r="M1676" s="979">
        <v>599</v>
      </c>
    </row>
    <row r="1677" spans="1:13" ht="15">
      <c r="A1677" s="979" t="s">
        <v>3689</v>
      </c>
      <c r="B1677" s="722" t="str">
        <f>CONCATENATE(LEFT(RIGHT(CONCATENATE("000",IFAData_TEA!A1677),6),3),"-",(RIGHT(RIGHT(CONCATENATE("000",IFAData_TEA!A1677),6),3)))</f>
        <v>184-904</v>
      </c>
      <c r="C1677" s="979" t="s">
        <v>2239</v>
      </c>
      <c r="D1677" s="979">
        <v>3</v>
      </c>
      <c r="E1677" s="979">
        <v>2108</v>
      </c>
      <c r="F1677" s="979" t="s">
        <v>5366</v>
      </c>
      <c r="G1677" s="979" t="s">
        <v>5366</v>
      </c>
      <c r="H1677" s="1030">
        <v>166883</v>
      </c>
      <c r="I1677" s="1030">
        <v>0</v>
      </c>
      <c r="J1677" s="1034">
        <v>0</v>
      </c>
      <c r="K1677" s="1030">
        <v>0</v>
      </c>
      <c r="L1677" s="1030">
        <v>0</v>
      </c>
      <c r="M1677" s="979">
        <v>599</v>
      </c>
    </row>
    <row r="1678" spans="1:13" ht="15">
      <c r="A1678" s="979" t="s">
        <v>3689</v>
      </c>
      <c r="B1678" s="722" t="str">
        <f>CONCATENATE(LEFT(RIGHT(CONCATENATE("000",IFAData_TEA!A1678),6),3),"-",(RIGHT(RIGHT(CONCATENATE("000",IFAData_TEA!A1678),6),3)))</f>
        <v>184-904</v>
      </c>
      <c r="C1678" s="979" t="s">
        <v>2239</v>
      </c>
      <c r="D1678" s="979">
        <v>9</v>
      </c>
      <c r="E1678" s="979">
        <v>2109</v>
      </c>
      <c r="F1678" s="979" t="s">
        <v>5368</v>
      </c>
      <c r="G1678" s="979" t="s">
        <v>5368</v>
      </c>
      <c r="H1678" s="1030">
        <v>193685</v>
      </c>
      <c r="I1678" s="1030">
        <v>279625</v>
      </c>
      <c r="J1678" s="1034">
        <v>0.45602433216999905</v>
      </c>
      <c r="K1678" s="1030">
        <v>88325.072776346264</v>
      </c>
      <c r="L1678" s="1030">
        <v>88325.072776346264</v>
      </c>
      <c r="M1678" s="979">
        <v>599</v>
      </c>
    </row>
    <row r="1679" spans="1:13" ht="15">
      <c r="A1679" s="979" t="s">
        <v>3690</v>
      </c>
      <c r="B1679" s="722" t="str">
        <f>CONCATENATE(LEFT(RIGHT(CONCATENATE("000",IFAData_TEA!A1679),6),3),"-",(RIGHT(RIGHT(CONCATENATE("000",IFAData_TEA!A1679),6),3)))</f>
        <v>184-908</v>
      </c>
      <c r="C1679" s="979" t="s">
        <v>2593</v>
      </c>
      <c r="D1679" s="979">
        <v>6</v>
      </c>
      <c r="E1679" s="979">
        <v>2184</v>
      </c>
      <c r="F1679" s="979" t="s">
        <v>5369</v>
      </c>
      <c r="G1679" s="979" t="s">
        <v>5370</v>
      </c>
      <c r="H1679" s="1030">
        <v>242636</v>
      </c>
      <c r="I1679" s="1030">
        <v>612997</v>
      </c>
      <c r="J1679" s="1034">
        <v>1</v>
      </c>
      <c r="K1679" s="1030">
        <v>242636</v>
      </c>
      <c r="L1679" s="1030">
        <v>242636</v>
      </c>
      <c r="M1679" s="979">
        <v>599</v>
      </c>
    </row>
    <row r="1680" spans="1:13" ht="15">
      <c r="A1680" s="979" t="s">
        <v>3690</v>
      </c>
      <c r="B1680" s="722" t="str">
        <f>CONCATENATE(LEFT(RIGHT(CONCATENATE("000",IFAData_TEA!A1680),6),3),"-",(RIGHT(RIGHT(CONCATENATE("000",IFAData_TEA!A1680),6),3)))</f>
        <v>184-908</v>
      </c>
      <c r="C1680" s="979" t="s">
        <v>2593</v>
      </c>
      <c r="D1680" s="979">
        <v>6</v>
      </c>
      <c r="E1680" s="979">
        <v>2184</v>
      </c>
      <c r="F1680" s="979" t="s">
        <v>5369</v>
      </c>
      <c r="G1680" s="979" t="s">
        <v>5369</v>
      </c>
      <c r="H1680" s="1030">
        <v>242636</v>
      </c>
      <c r="I1680" s="1030">
        <v>0</v>
      </c>
      <c r="J1680" s="1034">
        <v>0</v>
      </c>
      <c r="K1680" s="1030">
        <v>0</v>
      </c>
      <c r="L1680" s="1030">
        <v>0</v>
      </c>
      <c r="M1680" s="979">
        <v>599</v>
      </c>
    </row>
    <row r="1681" spans="1:13" ht="15">
      <c r="A1681" s="979" t="s">
        <v>3690</v>
      </c>
      <c r="B1681" s="722" t="str">
        <f>CONCATENATE(LEFT(RIGHT(CONCATENATE("000",IFAData_TEA!A1681),6),3),"-",(RIGHT(RIGHT(CONCATENATE("000",IFAData_TEA!A1681),6),3)))</f>
        <v>184-908</v>
      </c>
      <c r="C1681" s="979" t="s">
        <v>2593</v>
      </c>
      <c r="D1681" s="979">
        <v>9</v>
      </c>
      <c r="E1681" s="979">
        <v>2183</v>
      </c>
      <c r="F1681" s="979" t="s">
        <v>5371</v>
      </c>
      <c r="G1681" s="979" t="s">
        <v>5371</v>
      </c>
      <c r="H1681" s="1030">
        <v>201241</v>
      </c>
      <c r="I1681" s="1030">
        <v>275329</v>
      </c>
      <c r="J1681" s="1034">
        <v>1</v>
      </c>
      <c r="K1681" s="1030">
        <v>201241</v>
      </c>
      <c r="L1681" s="1030">
        <v>201241</v>
      </c>
      <c r="M1681" s="979">
        <v>599</v>
      </c>
    </row>
    <row r="1682" spans="1:13" ht="15">
      <c r="A1682" s="979" t="s">
        <v>3690</v>
      </c>
      <c r="B1682" s="722" t="str">
        <f>CONCATENATE(LEFT(RIGHT(CONCATENATE("000",IFAData_TEA!A1682),6),3),"-",(RIGHT(RIGHT(CONCATENATE("000",IFAData_TEA!A1682),6),3)))</f>
        <v>184-908</v>
      </c>
      <c r="C1682" s="979" t="s">
        <v>2593</v>
      </c>
      <c r="D1682" s="979">
        <v>9</v>
      </c>
      <c r="E1682" s="979">
        <v>2183</v>
      </c>
      <c r="F1682" s="979" t="s">
        <v>5371</v>
      </c>
      <c r="G1682" s="979" t="s">
        <v>6314</v>
      </c>
      <c r="H1682" s="1030">
        <v>201241</v>
      </c>
      <c r="I1682" s="1030">
        <v>0</v>
      </c>
      <c r="J1682" s="1034">
        <v>0</v>
      </c>
      <c r="K1682" s="1030">
        <v>0</v>
      </c>
      <c r="L1682" s="1030">
        <v>0</v>
      </c>
      <c r="M1682" s="979">
        <v>599</v>
      </c>
    </row>
    <row r="1683" spans="1:13" ht="15">
      <c r="A1683" s="979" t="s">
        <v>3691</v>
      </c>
      <c r="B1683" s="722" t="str">
        <f>CONCATENATE(LEFT(RIGHT(CONCATENATE("000",IFAData_TEA!A1683),6),3),"-",(RIGHT(RIGHT(CONCATENATE("000",IFAData_TEA!A1683),6),3)))</f>
        <v>184-909</v>
      </c>
      <c r="C1683" s="979" t="s">
        <v>1856</v>
      </c>
      <c r="D1683" s="979">
        <v>5</v>
      </c>
      <c r="E1683" s="979">
        <v>1634</v>
      </c>
      <c r="F1683" s="979" t="s">
        <v>5372</v>
      </c>
      <c r="G1683" s="979" t="s">
        <v>5373</v>
      </c>
      <c r="H1683" s="1030">
        <v>167169</v>
      </c>
      <c r="I1683" s="1030">
        <v>0</v>
      </c>
      <c r="J1683" s="1034">
        <v>0</v>
      </c>
      <c r="K1683" s="1030">
        <v>0</v>
      </c>
      <c r="L1683" s="1030">
        <v>0</v>
      </c>
      <c r="M1683" s="979">
        <v>599</v>
      </c>
    </row>
    <row r="1684" spans="1:13" ht="15">
      <c r="A1684" s="979" t="s">
        <v>3691</v>
      </c>
      <c r="B1684" s="722" t="str">
        <f>CONCATENATE(LEFT(RIGHT(CONCATENATE("000",IFAData_TEA!A1684),6),3),"-",(RIGHT(RIGHT(CONCATENATE("000",IFAData_TEA!A1684),6),3)))</f>
        <v>184-909</v>
      </c>
      <c r="C1684" s="979" t="s">
        <v>1856</v>
      </c>
      <c r="D1684" s="979">
        <v>5</v>
      </c>
      <c r="E1684" s="979">
        <v>1634</v>
      </c>
      <c r="F1684" s="979" t="s">
        <v>5372</v>
      </c>
      <c r="G1684" s="979" t="s">
        <v>5372</v>
      </c>
      <c r="H1684" s="1030">
        <v>167169</v>
      </c>
      <c r="I1684" s="1030">
        <v>195267</v>
      </c>
      <c r="J1684" s="1034">
        <v>1</v>
      </c>
      <c r="K1684" s="1030">
        <v>167169</v>
      </c>
      <c r="L1684" s="1030">
        <v>167169</v>
      </c>
      <c r="M1684" s="979">
        <v>599</v>
      </c>
    </row>
    <row r="1685" spans="1:13" ht="15">
      <c r="A1685" s="979" t="s">
        <v>3692</v>
      </c>
      <c r="B1685" s="722" t="str">
        <f>CONCATENATE(LEFT(RIGHT(CONCATENATE("000",IFAData_TEA!A1685),6),3),"-",(RIGHT(RIGHT(CONCATENATE("000",IFAData_TEA!A1685),6),3)))</f>
        <v>187-907</v>
      </c>
      <c r="C1685" s="979" t="s">
        <v>2226</v>
      </c>
      <c r="D1685" s="979">
        <v>1</v>
      </c>
      <c r="E1685" s="979">
        <v>2028</v>
      </c>
      <c r="F1685" s="979" t="s">
        <v>5374</v>
      </c>
      <c r="G1685" s="979" t="s">
        <v>5375</v>
      </c>
      <c r="H1685" s="1030">
        <v>925000</v>
      </c>
      <c r="I1685" s="1030">
        <v>947194</v>
      </c>
      <c r="J1685" s="1034">
        <v>1</v>
      </c>
      <c r="K1685" s="1030">
        <v>925000</v>
      </c>
      <c r="L1685" s="1030">
        <v>925000</v>
      </c>
      <c r="M1685" s="979">
        <v>599</v>
      </c>
    </row>
    <row r="1686" spans="1:13" ht="15">
      <c r="A1686" s="979" t="s">
        <v>3692</v>
      </c>
      <c r="B1686" s="722" t="str">
        <f>CONCATENATE(LEFT(RIGHT(CONCATENATE("000",IFAData_TEA!A1686),6),3),"-",(RIGHT(RIGHT(CONCATENATE("000",IFAData_TEA!A1686),6),3)))</f>
        <v>187-907</v>
      </c>
      <c r="C1686" s="979" t="s">
        <v>2226</v>
      </c>
      <c r="D1686" s="979">
        <v>1</v>
      </c>
      <c r="E1686" s="979">
        <v>2028</v>
      </c>
      <c r="F1686" s="979" t="s">
        <v>5374</v>
      </c>
      <c r="G1686" s="979" t="s">
        <v>5374</v>
      </c>
      <c r="H1686" s="1030">
        <v>925000</v>
      </c>
      <c r="I1686" s="1030">
        <v>0</v>
      </c>
      <c r="J1686" s="1034">
        <v>0</v>
      </c>
      <c r="K1686" s="1030">
        <v>0</v>
      </c>
      <c r="L1686" s="1030">
        <v>0</v>
      </c>
      <c r="M1686" s="979">
        <v>599</v>
      </c>
    </row>
    <row r="1687" spans="1:13" ht="15">
      <c r="A1687" s="979" t="s">
        <v>3692</v>
      </c>
      <c r="B1687" s="722" t="str">
        <f>CONCATENATE(LEFT(RIGHT(CONCATENATE("000",IFAData_TEA!A1687),6),3),"-",(RIGHT(RIGHT(CONCATENATE("000",IFAData_TEA!A1687),6),3)))</f>
        <v>187-907</v>
      </c>
      <c r="C1687" s="979" t="s">
        <v>2226</v>
      </c>
      <c r="D1687" s="979">
        <v>9</v>
      </c>
      <c r="E1687" s="979">
        <v>2029</v>
      </c>
      <c r="F1687" s="979" t="s">
        <v>5376</v>
      </c>
      <c r="G1687" s="979" t="s">
        <v>5376</v>
      </c>
      <c r="H1687" s="1030">
        <v>954000</v>
      </c>
      <c r="I1687" s="1030">
        <v>3233275</v>
      </c>
      <c r="J1687" s="1034">
        <v>1</v>
      </c>
      <c r="K1687" s="1030">
        <v>954000</v>
      </c>
      <c r="L1687" s="1030">
        <v>954000</v>
      </c>
      <c r="M1687" s="979">
        <v>599</v>
      </c>
    </row>
    <row r="1688" spans="1:13" ht="15">
      <c r="A1688" s="979" t="s">
        <v>3692</v>
      </c>
      <c r="B1688" s="722" t="str">
        <f>CONCATENATE(LEFT(RIGHT(CONCATENATE("000",IFAData_TEA!A1688),6),3),"-",(RIGHT(RIGHT(CONCATENATE("000",IFAData_TEA!A1688),6),3)))</f>
        <v>187-907</v>
      </c>
      <c r="C1688" s="979" t="s">
        <v>2226</v>
      </c>
      <c r="D1688" s="979">
        <v>1</v>
      </c>
      <c r="E1688" s="979">
        <v>2028</v>
      </c>
      <c r="F1688" s="979" t="s">
        <v>5374</v>
      </c>
      <c r="G1688" s="979" t="s">
        <v>6315</v>
      </c>
      <c r="H1688" s="1030">
        <v>925000</v>
      </c>
      <c r="I1688" s="1030">
        <v>0</v>
      </c>
      <c r="J1688" s="1034">
        <v>0</v>
      </c>
      <c r="K1688" s="1030">
        <v>0</v>
      </c>
      <c r="L1688" s="1030">
        <v>0</v>
      </c>
      <c r="M1688" s="979">
        <v>599</v>
      </c>
    </row>
    <row r="1689" spans="1:13" ht="15">
      <c r="A1689" s="979" t="s">
        <v>3693</v>
      </c>
      <c r="B1689" s="722" t="str">
        <f>CONCATENATE(LEFT(RIGHT(CONCATENATE("000",IFAData_TEA!A1689),6),3),"-",(RIGHT(RIGHT(CONCATENATE("000",IFAData_TEA!A1689),6),3)))</f>
        <v>188-901</v>
      </c>
      <c r="C1689" s="979" t="s">
        <v>1054</v>
      </c>
      <c r="D1689" s="979">
        <v>1</v>
      </c>
      <c r="E1689" s="979">
        <v>1571</v>
      </c>
      <c r="F1689" s="979" t="s">
        <v>5377</v>
      </c>
      <c r="G1689" s="979" t="s">
        <v>5379</v>
      </c>
      <c r="H1689" s="1030">
        <v>2142810</v>
      </c>
      <c r="I1689" s="1030">
        <v>1798900</v>
      </c>
      <c r="J1689" s="1034">
        <v>1</v>
      </c>
      <c r="K1689" s="1030">
        <v>2142810</v>
      </c>
      <c r="L1689" s="1030">
        <v>1798900</v>
      </c>
      <c r="M1689" s="979">
        <v>599</v>
      </c>
    </row>
    <row r="1690" spans="1:13" ht="15">
      <c r="A1690" s="979" t="s">
        <v>3693</v>
      </c>
      <c r="B1690" s="722" t="str">
        <f>CONCATENATE(LEFT(RIGHT(CONCATENATE("000",IFAData_TEA!A1690),6),3),"-",(RIGHT(RIGHT(CONCATENATE("000",IFAData_TEA!A1690),6),3)))</f>
        <v>188-901</v>
      </c>
      <c r="C1690" s="979" t="s">
        <v>1054</v>
      </c>
      <c r="D1690" s="979">
        <v>1</v>
      </c>
      <c r="E1690" s="979">
        <v>1571</v>
      </c>
      <c r="F1690" s="979" t="s">
        <v>5377</v>
      </c>
      <c r="G1690" s="979" t="s">
        <v>5378</v>
      </c>
      <c r="H1690" s="1030">
        <v>2142810</v>
      </c>
      <c r="I1690" s="1030">
        <v>0</v>
      </c>
      <c r="J1690" s="1034">
        <v>0</v>
      </c>
      <c r="K1690" s="1030">
        <v>0</v>
      </c>
      <c r="L1690" s="1030">
        <v>0</v>
      </c>
      <c r="M1690" s="979">
        <v>599</v>
      </c>
    </row>
    <row r="1691" spans="1:13" ht="15">
      <c r="A1691" s="979" t="s">
        <v>3693</v>
      </c>
      <c r="B1691" s="722" t="str">
        <f>CONCATENATE(LEFT(RIGHT(CONCATENATE("000",IFAData_TEA!A1691),6),3),"-",(RIGHT(RIGHT(CONCATENATE("000",IFAData_TEA!A1691),6),3)))</f>
        <v>188-901</v>
      </c>
      <c r="C1691" s="979" t="s">
        <v>1054</v>
      </c>
      <c r="D1691" s="979">
        <v>1</v>
      </c>
      <c r="E1691" s="979">
        <v>1571</v>
      </c>
      <c r="F1691" s="979" t="s">
        <v>5377</v>
      </c>
      <c r="G1691" s="979" t="s">
        <v>5377</v>
      </c>
      <c r="H1691" s="1030">
        <v>2142810</v>
      </c>
      <c r="I1691" s="1030">
        <v>0</v>
      </c>
      <c r="J1691" s="1034">
        <v>0</v>
      </c>
      <c r="K1691" s="1030">
        <v>0</v>
      </c>
      <c r="L1691" s="1030">
        <v>0</v>
      </c>
      <c r="M1691" s="979">
        <v>599</v>
      </c>
    </row>
    <row r="1692" spans="1:13" ht="15">
      <c r="A1692" s="979" t="s">
        <v>3694</v>
      </c>
      <c r="B1692" s="722" t="str">
        <f>CONCATENATE(LEFT(RIGHT(CONCATENATE("000",IFAData_TEA!A1692),6),3),"-",(RIGHT(RIGHT(CONCATENATE("000",IFAData_TEA!A1692),6),3)))</f>
        <v>188-902</v>
      </c>
      <c r="C1692" s="979" t="s">
        <v>2696</v>
      </c>
      <c r="D1692" s="979">
        <v>1</v>
      </c>
      <c r="E1692" s="979">
        <v>2249</v>
      </c>
      <c r="F1692" s="979" t="s">
        <v>5380</v>
      </c>
      <c r="G1692" s="979" t="s">
        <v>5381</v>
      </c>
      <c r="H1692" s="1030">
        <v>331772</v>
      </c>
      <c r="I1692" s="1030">
        <v>311050</v>
      </c>
      <c r="J1692" s="1034">
        <v>1</v>
      </c>
      <c r="K1692" s="1030">
        <v>331772</v>
      </c>
      <c r="L1692" s="1030">
        <v>311050</v>
      </c>
      <c r="M1692" s="979">
        <v>599</v>
      </c>
    </row>
    <row r="1693" spans="1:13" ht="15">
      <c r="A1693" s="979" t="s">
        <v>3694</v>
      </c>
      <c r="B1693" s="722" t="str">
        <f>CONCATENATE(LEFT(RIGHT(CONCATENATE("000",IFAData_TEA!A1693),6),3),"-",(RIGHT(RIGHT(CONCATENATE("000",IFAData_TEA!A1693),6),3)))</f>
        <v>188-902</v>
      </c>
      <c r="C1693" s="979" t="s">
        <v>2696</v>
      </c>
      <c r="D1693" s="979">
        <v>1</v>
      </c>
      <c r="E1693" s="979">
        <v>2249</v>
      </c>
      <c r="F1693" s="979" t="s">
        <v>5380</v>
      </c>
      <c r="G1693" s="979" t="s">
        <v>5380</v>
      </c>
      <c r="H1693" s="1030">
        <v>331772</v>
      </c>
      <c r="I1693" s="1030">
        <v>0</v>
      </c>
      <c r="J1693" s="1034">
        <v>0</v>
      </c>
      <c r="K1693" s="1030">
        <v>0</v>
      </c>
      <c r="L1693" s="1030">
        <v>0</v>
      </c>
      <c r="M1693" s="979">
        <v>599</v>
      </c>
    </row>
    <row r="1694" spans="1:13" ht="15">
      <c r="A1694" s="979" t="s">
        <v>3695</v>
      </c>
      <c r="B1694" s="722" t="str">
        <f>CONCATENATE(LEFT(RIGHT(CONCATENATE("000",IFAData_TEA!A1694),6),3),"-",(RIGHT(RIGHT(CONCATENATE("000",IFAData_TEA!A1694),6),3)))</f>
        <v>189-901</v>
      </c>
      <c r="C1694" s="979" t="s">
        <v>292</v>
      </c>
      <c r="D1694" s="979">
        <v>6</v>
      </c>
      <c r="E1694" s="979">
        <v>2064</v>
      </c>
      <c r="F1694" s="979" t="s">
        <v>5382</v>
      </c>
      <c r="G1694" s="979" t="s">
        <v>5383</v>
      </c>
      <c r="H1694" s="1030">
        <v>141412</v>
      </c>
      <c r="I1694" s="1030">
        <v>188950</v>
      </c>
      <c r="J1694" s="1034">
        <v>0.86200210767384888</v>
      </c>
      <c r="K1694" s="1030">
        <v>121897.44205037432</v>
      </c>
      <c r="L1694" s="1030">
        <v>121897.44205037432</v>
      </c>
      <c r="M1694" s="979">
        <v>599</v>
      </c>
    </row>
    <row r="1695" spans="1:13" ht="15">
      <c r="A1695" s="979" t="s">
        <v>3695</v>
      </c>
      <c r="B1695" s="722" t="str">
        <f>CONCATENATE(LEFT(RIGHT(CONCATENATE("000",IFAData_TEA!A1695),6),3),"-",(RIGHT(RIGHT(CONCATENATE("000",IFAData_TEA!A1695),6),3)))</f>
        <v>189-901</v>
      </c>
      <c r="C1695" s="979" t="s">
        <v>292</v>
      </c>
      <c r="D1695" s="979">
        <v>6</v>
      </c>
      <c r="E1695" s="979">
        <v>2064</v>
      </c>
      <c r="F1695" s="979" t="s">
        <v>5382</v>
      </c>
      <c r="G1695" s="979" t="s">
        <v>5382</v>
      </c>
      <c r="H1695" s="1030">
        <v>141412</v>
      </c>
      <c r="I1695" s="1030">
        <v>0</v>
      </c>
      <c r="J1695" s="1034">
        <v>0</v>
      </c>
      <c r="K1695" s="1030">
        <v>0</v>
      </c>
      <c r="L1695" s="1030">
        <v>0</v>
      </c>
      <c r="M1695" s="979">
        <v>599</v>
      </c>
    </row>
    <row r="1696" spans="1:13" ht="15">
      <c r="A1696" s="979" t="s">
        <v>3695</v>
      </c>
      <c r="B1696" s="722" t="str">
        <f>CONCATENATE(LEFT(RIGHT(CONCATENATE("000",IFAData_TEA!A1696),6),3),"-",(RIGHT(RIGHT(CONCATENATE("000",IFAData_TEA!A1696),6),3)))</f>
        <v>189-901</v>
      </c>
      <c r="C1696" s="979" t="s">
        <v>292</v>
      </c>
      <c r="D1696" s="979">
        <v>9</v>
      </c>
      <c r="E1696" s="979">
        <v>2063</v>
      </c>
      <c r="F1696" s="979" t="s">
        <v>5384</v>
      </c>
      <c r="G1696" s="979" t="s">
        <v>5384</v>
      </c>
      <c r="H1696" s="1030">
        <v>100000</v>
      </c>
      <c r="I1696" s="1030">
        <v>162398</v>
      </c>
      <c r="J1696" s="1034">
        <v>0.84421363442604203</v>
      </c>
      <c r="K1696" s="1030">
        <v>84421.363442604197</v>
      </c>
      <c r="L1696" s="1030">
        <v>84421.363442604197</v>
      </c>
      <c r="M1696" s="979">
        <v>599</v>
      </c>
    </row>
    <row r="1697" spans="1:13" ht="15">
      <c r="A1697" s="979" t="s">
        <v>3695</v>
      </c>
      <c r="B1697" s="722" t="str">
        <f>CONCATENATE(LEFT(RIGHT(CONCATENATE("000",IFAData_TEA!A1697),6),3),"-",(RIGHT(RIGHT(CONCATENATE("000",IFAData_TEA!A1697),6),3)))</f>
        <v>189-901</v>
      </c>
      <c r="C1697" s="979" t="s">
        <v>292</v>
      </c>
      <c r="D1697" s="979">
        <v>9</v>
      </c>
      <c r="E1697" s="979">
        <v>2063</v>
      </c>
      <c r="F1697" s="979" t="s">
        <v>5384</v>
      </c>
      <c r="G1697" s="979" t="s">
        <v>6316</v>
      </c>
      <c r="H1697" s="1030">
        <v>100000</v>
      </c>
      <c r="I1697" s="1030">
        <v>29968</v>
      </c>
      <c r="J1697" s="1034">
        <v>0.15578636557395797</v>
      </c>
      <c r="K1697" s="1030">
        <v>15578.636557395797</v>
      </c>
      <c r="L1697" s="1030">
        <v>15578.636557395797</v>
      </c>
      <c r="M1697" s="979">
        <v>599</v>
      </c>
    </row>
    <row r="1698" spans="1:13" ht="15">
      <c r="A1698" s="979" t="s">
        <v>3695</v>
      </c>
      <c r="B1698" s="722" t="str">
        <f>CONCATENATE(LEFT(RIGHT(CONCATENATE("000",IFAData_TEA!A1698),6),3),"-",(RIGHT(RIGHT(CONCATENATE("000",IFAData_TEA!A1698),6),3)))</f>
        <v>189-901</v>
      </c>
      <c r="C1698" s="979" t="s">
        <v>292</v>
      </c>
      <c r="D1698" s="979">
        <v>6</v>
      </c>
      <c r="E1698" s="979">
        <v>2064</v>
      </c>
      <c r="F1698" s="979" t="s">
        <v>5382</v>
      </c>
      <c r="G1698" s="979" t="s">
        <v>6316</v>
      </c>
      <c r="H1698" s="1030">
        <v>141412</v>
      </c>
      <c r="I1698" s="1030">
        <v>30249</v>
      </c>
      <c r="J1698" s="1034">
        <v>0.13799789232615112</v>
      </c>
      <c r="K1698" s="1030">
        <v>19514.557949625683</v>
      </c>
      <c r="L1698" s="1030">
        <v>19514.557949625683</v>
      </c>
      <c r="M1698" s="979">
        <v>599</v>
      </c>
    </row>
    <row r="1699" spans="1:13" ht="15">
      <c r="A1699" s="979" t="s">
        <v>3696</v>
      </c>
      <c r="B1699" s="722" t="str">
        <f>CONCATENATE(LEFT(RIGHT(CONCATENATE("000",IFAData_TEA!A1699),6),3),"-",(RIGHT(RIGHT(CONCATENATE("000",IFAData_TEA!A1699),6),3)))</f>
        <v>189-902</v>
      </c>
      <c r="C1699" s="979" t="s">
        <v>2103</v>
      </c>
      <c r="D1699" s="979">
        <v>2</v>
      </c>
      <c r="E1699" s="979">
        <v>2210</v>
      </c>
      <c r="F1699" s="979" t="s">
        <v>5385</v>
      </c>
      <c r="G1699" s="979" t="s">
        <v>5386</v>
      </c>
      <c r="H1699" s="1030">
        <v>292085</v>
      </c>
      <c r="I1699" s="1030">
        <v>281430</v>
      </c>
      <c r="J1699" s="1034">
        <v>0.99734212204975548</v>
      </c>
      <c r="K1699" s="1030">
        <v>291308.67371890281</v>
      </c>
      <c r="L1699" s="1030">
        <v>281430</v>
      </c>
      <c r="M1699" s="979">
        <v>599</v>
      </c>
    </row>
    <row r="1700" spans="1:13" ht="15">
      <c r="A1700" s="979" t="s">
        <v>3696</v>
      </c>
      <c r="B1700" s="722" t="str">
        <f>CONCATENATE(LEFT(RIGHT(CONCATENATE("000",IFAData_TEA!A1700),6),3),"-",(RIGHT(RIGHT(CONCATENATE("000",IFAData_TEA!A1700),6),3)))</f>
        <v>189-902</v>
      </c>
      <c r="C1700" s="979" t="s">
        <v>2103</v>
      </c>
      <c r="D1700" s="979">
        <v>4</v>
      </c>
      <c r="E1700" s="979">
        <v>2211</v>
      </c>
      <c r="F1700" s="979" t="s">
        <v>5387</v>
      </c>
      <c r="G1700" s="979" t="s">
        <v>5386</v>
      </c>
      <c r="H1700" s="1030">
        <v>333511</v>
      </c>
      <c r="I1700" s="1030">
        <v>287578</v>
      </c>
      <c r="J1700" s="1034">
        <v>1</v>
      </c>
      <c r="K1700" s="1030">
        <v>333511</v>
      </c>
      <c r="L1700" s="1030">
        <v>287578</v>
      </c>
      <c r="M1700" s="979">
        <v>599</v>
      </c>
    </row>
    <row r="1701" spans="1:13" ht="15">
      <c r="A1701" s="979" t="s">
        <v>3696</v>
      </c>
      <c r="B1701" s="722" t="str">
        <f>CONCATENATE(LEFT(RIGHT(CONCATENATE("000",IFAData_TEA!A1701),6),3),"-",(RIGHT(RIGHT(CONCATENATE("000",IFAData_TEA!A1701),6),3)))</f>
        <v>189-902</v>
      </c>
      <c r="C1701" s="979" t="s">
        <v>2103</v>
      </c>
      <c r="D1701" s="979">
        <v>2</v>
      </c>
      <c r="E1701" s="979">
        <v>2210</v>
      </c>
      <c r="F1701" s="979" t="s">
        <v>5385</v>
      </c>
      <c r="G1701" s="979" t="s">
        <v>5385</v>
      </c>
      <c r="H1701" s="1030">
        <v>292085</v>
      </c>
      <c r="I1701" s="1030">
        <v>750</v>
      </c>
      <c r="J1701" s="1034">
        <v>2.6578779502445249E-3</v>
      </c>
      <c r="K1701" s="1030">
        <v>776.326281097172</v>
      </c>
      <c r="L1701" s="1030">
        <v>750</v>
      </c>
      <c r="M1701" s="979">
        <v>599</v>
      </c>
    </row>
    <row r="1702" spans="1:13" ht="15">
      <c r="A1702" s="979" t="s">
        <v>3696</v>
      </c>
      <c r="B1702" s="722" t="str">
        <f>CONCATENATE(LEFT(RIGHT(CONCATENATE("000",IFAData_TEA!A1702),6),3),"-",(RIGHT(RIGHT(CONCATENATE("000",IFAData_TEA!A1702),6),3)))</f>
        <v>189-902</v>
      </c>
      <c r="C1702" s="979" t="s">
        <v>2103</v>
      </c>
      <c r="D1702" s="979">
        <v>4</v>
      </c>
      <c r="E1702" s="979">
        <v>2211</v>
      </c>
      <c r="F1702" s="979" t="s">
        <v>5387</v>
      </c>
      <c r="G1702" s="979" t="s">
        <v>5387</v>
      </c>
      <c r="H1702" s="1030">
        <v>333511</v>
      </c>
      <c r="I1702" s="1030">
        <v>0</v>
      </c>
      <c r="J1702" s="1034">
        <v>0</v>
      </c>
      <c r="K1702" s="1030">
        <v>0</v>
      </c>
      <c r="L1702" s="1030">
        <v>0</v>
      </c>
      <c r="M1702" s="979">
        <v>599</v>
      </c>
    </row>
    <row r="1703" spans="1:13" ht="15">
      <c r="A1703" s="979" t="s">
        <v>3697</v>
      </c>
      <c r="B1703" s="722" t="str">
        <f>CONCATENATE(LEFT(RIGHT(CONCATENATE("000",IFAData_TEA!A1703),6),3),"-",(RIGHT(RIGHT(CONCATENATE("000",IFAData_TEA!A1703),6),3)))</f>
        <v>194-903</v>
      </c>
      <c r="C1703" s="979" t="s">
        <v>2697</v>
      </c>
      <c r="D1703" s="979">
        <v>3</v>
      </c>
      <c r="E1703" s="979">
        <v>2251</v>
      </c>
      <c r="F1703" s="979" t="s">
        <v>5388</v>
      </c>
      <c r="G1703" s="979" t="s">
        <v>6317</v>
      </c>
      <c r="H1703" s="1030">
        <v>172500</v>
      </c>
      <c r="I1703" s="1030">
        <v>91768</v>
      </c>
      <c r="J1703" s="1034">
        <v>0.37258930238978799</v>
      </c>
      <c r="K1703" s="1030">
        <v>64271.654662238427</v>
      </c>
      <c r="L1703" s="1030">
        <v>64271.654662238427</v>
      </c>
      <c r="M1703" s="979">
        <v>599</v>
      </c>
    </row>
    <row r="1704" spans="1:13" ht="15">
      <c r="A1704" s="979" t="s">
        <v>3697</v>
      </c>
      <c r="B1704" s="722" t="str">
        <f>CONCATENATE(LEFT(RIGHT(CONCATENATE("000",IFAData_TEA!A1704),6),3),"-",(RIGHT(RIGHT(CONCATENATE("000",IFAData_TEA!A1704),6),3)))</f>
        <v>194-903</v>
      </c>
      <c r="C1704" s="979" t="s">
        <v>2697</v>
      </c>
      <c r="D1704" s="979">
        <v>5</v>
      </c>
      <c r="E1704" s="979">
        <v>2250</v>
      </c>
      <c r="F1704" s="979" t="s">
        <v>5390</v>
      </c>
      <c r="G1704" s="979" t="s">
        <v>5390</v>
      </c>
      <c r="H1704" s="1030">
        <v>166474</v>
      </c>
      <c r="I1704" s="1030">
        <v>0</v>
      </c>
      <c r="J1704" s="1034">
        <v>0</v>
      </c>
      <c r="K1704" s="1030">
        <v>0</v>
      </c>
      <c r="L1704" s="1030">
        <v>0</v>
      </c>
      <c r="M1704" s="979">
        <v>599</v>
      </c>
    </row>
    <row r="1705" spans="1:13" ht="15">
      <c r="A1705" s="979" t="s">
        <v>3697</v>
      </c>
      <c r="B1705" s="722" t="str">
        <f>CONCATENATE(LEFT(RIGHT(CONCATENATE("000",IFAData_TEA!A1705),6),3),"-",(RIGHT(RIGHT(CONCATENATE("000",IFAData_TEA!A1705),6),3)))</f>
        <v>194-903</v>
      </c>
      <c r="C1705" s="979" t="s">
        <v>2697</v>
      </c>
      <c r="D1705" s="979">
        <v>3</v>
      </c>
      <c r="E1705" s="979">
        <v>2251</v>
      </c>
      <c r="F1705" s="979" t="s">
        <v>5388</v>
      </c>
      <c r="G1705" s="979" t="s">
        <v>5389</v>
      </c>
      <c r="H1705" s="1030">
        <v>172500</v>
      </c>
      <c r="I1705" s="1030">
        <v>154530</v>
      </c>
      <c r="J1705" s="1034">
        <v>0.62741069761021206</v>
      </c>
      <c r="K1705" s="1030">
        <v>108228.34533776158</v>
      </c>
      <c r="L1705" s="1030">
        <v>108228.34533776158</v>
      </c>
      <c r="M1705" s="979">
        <v>599</v>
      </c>
    </row>
    <row r="1706" spans="1:13" ht="15">
      <c r="A1706" s="979" t="s">
        <v>3697</v>
      </c>
      <c r="B1706" s="722" t="str">
        <f>CONCATENATE(LEFT(RIGHT(CONCATENATE("000",IFAData_TEA!A1706),6),3),"-",(RIGHT(RIGHT(CONCATENATE("000",IFAData_TEA!A1706),6),3)))</f>
        <v>194-903</v>
      </c>
      <c r="C1706" s="979" t="s">
        <v>2697</v>
      </c>
      <c r="D1706" s="979">
        <v>5</v>
      </c>
      <c r="E1706" s="979">
        <v>2250</v>
      </c>
      <c r="F1706" s="979" t="s">
        <v>5390</v>
      </c>
      <c r="G1706" s="979" t="s">
        <v>5391</v>
      </c>
      <c r="H1706" s="1030">
        <v>166474</v>
      </c>
      <c r="I1706" s="1030">
        <v>197475</v>
      </c>
      <c r="J1706" s="1034">
        <v>1</v>
      </c>
      <c r="K1706" s="1030">
        <v>166474</v>
      </c>
      <c r="L1706" s="1030">
        <v>166474</v>
      </c>
      <c r="M1706" s="979">
        <v>599</v>
      </c>
    </row>
    <row r="1707" spans="1:13" ht="15">
      <c r="A1707" s="979" t="s">
        <v>3697</v>
      </c>
      <c r="B1707" s="722" t="str">
        <f>CONCATENATE(LEFT(RIGHT(CONCATENATE("000",IFAData_TEA!A1707),6),3),"-",(RIGHT(RIGHT(CONCATENATE("000",IFAData_TEA!A1707),6),3)))</f>
        <v>194-903</v>
      </c>
      <c r="C1707" s="979" t="s">
        <v>2697</v>
      </c>
      <c r="D1707" s="979">
        <v>3</v>
      </c>
      <c r="E1707" s="979">
        <v>2251</v>
      </c>
      <c r="F1707" s="979" t="s">
        <v>5388</v>
      </c>
      <c r="G1707" s="979" t="s">
        <v>5388</v>
      </c>
      <c r="H1707" s="1030">
        <v>172500</v>
      </c>
      <c r="I1707" s="1030">
        <v>0</v>
      </c>
      <c r="J1707" s="1034">
        <v>0</v>
      </c>
      <c r="K1707" s="1030">
        <v>0</v>
      </c>
      <c r="L1707" s="1030">
        <v>0</v>
      </c>
      <c r="M1707" s="979">
        <v>599</v>
      </c>
    </row>
    <row r="1708" spans="1:13" ht="15">
      <c r="A1708" s="979" t="s">
        <v>3698</v>
      </c>
      <c r="B1708" s="722" t="str">
        <f>CONCATENATE(LEFT(RIGHT(CONCATENATE("000",IFAData_TEA!A1708),6),3),"-",(RIGHT(RIGHT(CONCATENATE("000",IFAData_TEA!A1708),6),3)))</f>
        <v>194-905</v>
      </c>
      <c r="C1708" s="979" t="s">
        <v>2668</v>
      </c>
      <c r="D1708" s="979">
        <v>8</v>
      </c>
      <c r="E1708" s="979">
        <v>1755</v>
      </c>
      <c r="F1708" s="979" t="s">
        <v>5394</v>
      </c>
      <c r="G1708" s="979" t="s">
        <v>5394</v>
      </c>
      <c r="H1708" s="1030">
        <v>116500</v>
      </c>
      <c r="I1708" s="1030">
        <v>125550</v>
      </c>
      <c r="J1708" s="1034">
        <v>1</v>
      </c>
      <c r="K1708" s="1030">
        <v>116500</v>
      </c>
      <c r="L1708" s="1030">
        <v>116500</v>
      </c>
      <c r="M1708" s="979">
        <v>599</v>
      </c>
    </row>
    <row r="1709" spans="1:13" ht="15">
      <c r="A1709" s="979" t="s">
        <v>3698</v>
      </c>
      <c r="B1709" s="722" t="str">
        <f>CONCATENATE(LEFT(RIGHT(CONCATENATE("000",IFAData_TEA!A1709),6),3),"-",(RIGHT(RIGHT(CONCATENATE("000",IFAData_TEA!A1709),6),3)))</f>
        <v>194-905</v>
      </c>
      <c r="C1709" s="979" t="s">
        <v>2668</v>
      </c>
      <c r="D1709" s="979">
        <v>4</v>
      </c>
      <c r="E1709" s="979">
        <v>1753</v>
      </c>
      <c r="F1709" s="979" t="s">
        <v>5392</v>
      </c>
      <c r="G1709" s="979" t="s">
        <v>5392</v>
      </c>
      <c r="H1709" s="1030">
        <v>109658</v>
      </c>
      <c r="I1709" s="1030">
        <v>0</v>
      </c>
      <c r="J1709" s="1034">
        <v>0</v>
      </c>
      <c r="K1709" s="1030">
        <v>0</v>
      </c>
      <c r="L1709" s="1030">
        <v>0</v>
      </c>
      <c r="M1709" s="979">
        <v>599</v>
      </c>
    </row>
    <row r="1710" spans="1:13" ht="15">
      <c r="A1710" s="979" t="s">
        <v>3698</v>
      </c>
      <c r="B1710" s="722" t="str">
        <f>CONCATENATE(LEFT(RIGHT(CONCATENATE("000",IFAData_TEA!A1710),6),3),"-",(RIGHT(RIGHT(CONCATENATE("000",IFAData_TEA!A1710),6),3)))</f>
        <v>194-905</v>
      </c>
      <c r="C1710" s="979" t="s">
        <v>2668</v>
      </c>
      <c r="D1710" s="979">
        <v>4</v>
      </c>
      <c r="E1710" s="979">
        <v>1753</v>
      </c>
      <c r="F1710" s="979" t="s">
        <v>5392</v>
      </c>
      <c r="G1710" s="979" t="s">
        <v>5393</v>
      </c>
      <c r="H1710" s="1030">
        <v>109658</v>
      </c>
      <c r="I1710" s="1030">
        <v>93200</v>
      </c>
      <c r="J1710" s="1034">
        <v>1</v>
      </c>
      <c r="K1710" s="1030">
        <v>109658</v>
      </c>
      <c r="L1710" s="1030">
        <v>93200</v>
      </c>
      <c r="M1710" s="979">
        <v>599</v>
      </c>
    </row>
    <row r="1711" spans="1:13" ht="15">
      <c r="A1711" s="979" t="s">
        <v>3698</v>
      </c>
      <c r="B1711" s="722" t="str">
        <f>CONCATENATE(LEFT(RIGHT(CONCATENATE("000",IFAData_TEA!A1711),6),3),"-",(RIGHT(RIGHT(CONCATENATE("000",IFAData_TEA!A1711),6),3)))</f>
        <v>194-905</v>
      </c>
      <c r="C1711" s="979" t="s">
        <v>2668</v>
      </c>
      <c r="D1711" s="979">
        <v>9</v>
      </c>
      <c r="E1711" s="979">
        <v>1754</v>
      </c>
      <c r="F1711" s="979" t="s">
        <v>5393</v>
      </c>
      <c r="G1711" s="979" t="s">
        <v>5393</v>
      </c>
      <c r="H1711" s="1030">
        <v>115000</v>
      </c>
      <c r="I1711" s="1030">
        <v>212165</v>
      </c>
      <c r="J1711" s="1034">
        <v>1</v>
      </c>
      <c r="K1711" s="1030">
        <v>115000</v>
      </c>
      <c r="L1711" s="1030">
        <v>115000</v>
      </c>
      <c r="M1711" s="979">
        <v>599</v>
      </c>
    </row>
    <row r="1712" spans="1:13" ht="15">
      <c r="A1712" s="979" t="s">
        <v>3699</v>
      </c>
      <c r="B1712" s="722" t="str">
        <f>CONCATENATE(LEFT(RIGHT(CONCATENATE("000",IFAData_TEA!A1712),6),3),"-",(RIGHT(RIGHT(CONCATENATE("000",IFAData_TEA!A1712),6),3)))</f>
        <v>195-902</v>
      </c>
      <c r="C1712" s="979" t="s">
        <v>2120</v>
      </c>
      <c r="D1712" s="979">
        <v>5</v>
      </c>
      <c r="E1712" s="979">
        <v>1590</v>
      </c>
      <c r="F1712" s="979" t="s">
        <v>5395</v>
      </c>
      <c r="G1712" s="979" t="s">
        <v>5395</v>
      </c>
      <c r="H1712" s="1030">
        <v>100000</v>
      </c>
      <c r="I1712" s="1030">
        <v>0</v>
      </c>
      <c r="J1712" s="1034">
        <v>0</v>
      </c>
      <c r="K1712" s="1030">
        <v>0</v>
      </c>
      <c r="L1712" s="1030">
        <v>0</v>
      </c>
      <c r="M1712" s="979">
        <v>599</v>
      </c>
    </row>
    <row r="1713" spans="1:13" ht="15">
      <c r="A1713" s="979" t="s">
        <v>3699</v>
      </c>
      <c r="B1713" s="722" t="str">
        <f>CONCATENATE(LEFT(RIGHT(CONCATENATE("000",IFAData_TEA!A1713),6),3),"-",(RIGHT(RIGHT(CONCATENATE("000",IFAData_TEA!A1713),6),3)))</f>
        <v>195-902</v>
      </c>
      <c r="C1713" s="979" t="s">
        <v>2120</v>
      </c>
      <c r="D1713" s="979">
        <v>5</v>
      </c>
      <c r="E1713" s="979">
        <v>1590</v>
      </c>
      <c r="F1713" s="979" t="s">
        <v>5395</v>
      </c>
      <c r="G1713" s="979" t="s">
        <v>5396</v>
      </c>
      <c r="H1713" s="1030">
        <v>100000</v>
      </c>
      <c r="I1713" s="1030">
        <v>93512</v>
      </c>
      <c r="J1713" s="1034">
        <v>1</v>
      </c>
      <c r="K1713" s="1030">
        <v>100000</v>
      </c>
      <c r="L1713" s="1030">
        <v>93512</v>
      </c>
      <c r="M1713" s="979">
        <v>599</v>
      </c>
    </row>
    <row r="1714" spans="1:13" ht="15">
      <c r="A1714" s="979" t="s">
        <v>3700</v>
      </c>
      <c r="B1714" s="722" t="str">
        <f>CONCATENATE(LEFT(RIGHT(CONCATENATE("000",IFAData_TEA!A1714),6),3),"-",(RIGHT(RIGHT(CONCATENATE("000",IFAData_TEA!A1714),6),3)))</f>
        <v>199-902</v>
      </c>
      <c r="C1714" s="979" t="s">
        <v>613</v>
      </c>
      <c r="D1714" s="979">
        <v>9</v>
      </c>
      <c r="E1714" s="979">
        <v>2271</v>
      </c>
      <c r="F1714" s="979" t="s">
        <v>5400</v>
      </c>
      <c r="G1714" s="979" t="s">
        <v>6318</v>
      </c>
      <c r="H1714" s="1030">
        <v>523367</v>
      </c>
      <c r="I1714" s="1030">
        <v>105204</v>
      </c>
      <c r="J1714" s="1034">
        <v>6.0860389723084184E-2</v>
      </c>
      <c r="K1714" s="1030">
        <v>31852.319588201401</v>
      </c>
      <c r="L1714" s="1030">
        <v>31852.319588201401</v>
      </c>
      <c r="M1714" s="979">
        <v>599</v>
      </c>
    </row>
    <row r="1715" spans="1:13" ht="15">
      <c r="A1715" s="979" t="s">
        <v>3700</v>
      </c>
      <c r="B1715" s="722" t="str">
        <f>CONCATENATE(LEFT(RIGHT(CONCATENATE("000",IFAData_TEA!A1715),6),3),"-",(RIGHT(RIGHT(CONCATENATE("000",IFAData_TEA!A1715),6),3)))</f>
        <v>199-902</v>
      </c>
      <c r="C1715" s="979" t="s">
        <v>613</v>
      </c>
      <c r="D1715" s="979">
        <v>5</v>
      </c>
      <c r="E1715" s="979">
        <v>2270</v>
      </c>
      <c r="F1715" s="979" t="s">
        <v>5397</v>
      </c>
      <c r="G1715" s="979" t="s">
        <v>5399</v>
      </c>
      <c r="H1715" s="1030">
        <v>491500</v>
      </c>
      <c r="I1715" s="1030">
        <v>1389</v>
      </c>
      <c r="J1715" s="1034">
        <v>9.3878436548923232E-4</v>
      </c>
      <c r="K1715" s="1030">
        <v>461.41251563795771</v>
      </c>
      <c r="L1715" s="1030">
        <v>461.41251563795771</v>
      </c>
      <c r="M1715" s="979">
        <v>599</v>
      </c>
    </row>
    <row r="1716" spans="1:13" ht="15">
      <c r="A1716" s="979" t="s">
        <v>3700</v>
      </c>
      <c r="B1716" s="722" t="str">
        <f>CONCATENATE(LEFT(RIGHT(CONCATENATE("000",IFAData_TEA!A1716),6),3),"-",(RIGHT(RIGHT(CONCATENATE("000",IFAData_TEA!A1716),6),3)))</f>
        <v>199-902</v>
      </c>
      <c r="C1716" s="979" t="s">
        <v>613</v>
      </c>
      <c r="D1716" s="979">
        <v>5</v>
      </c>
      <c r="E1716" s="979">
        <v>2270</v>
      </c>
      <c r="F1716" s="979" t="s">
        <v>5397</v>
      </c>
      <c r="G1716" s="979" t="s">
        <v>5397</v>
      </c>
      <c r="H1716" s="1030">
        <v>491500</v>
      </c>
      <c r="I1716" s="1030">
        <v>865954</v>
      </c>
      <c r="J1716" s="1034">
        <v>0.5852729131986053</v>
      </c>
      <c r="K1716" s="1030">
        <v>287661.63683711452</v>
      </c>
      <c r="L1716" s="1030">
        <v>287661.63683711452</v>
      </c>
      <c r="M1716" s="979">
        <v>599</v>
      </c>
    </row>
    <row r="1717" spans="1:13" ht="15">
      <c r="A1717" s="979" t="s">
        <v>3700</v>
      </c>
      <c r="B1717" s="722" t="str">
        <f>CONCATENATE(LEFT(RIGHT(CONCATENATE("000",IFAData_TEA!A1717),6),3),"-",(RIGHT(RIGHT(CONCATENATE("000",IFAData_TEA!A1717),6),3)))</f>
        <v>199-902</v>
      </c>
      <c r="C1717" s="979" t="s">
        <v>613</v>
      </c>
      <c r="D1717" s="979">
        <v>5</v>
      </c>
      <c r="E1717" s="979">
        <v>2270</v>
      </c>
      <c r="F1717" s="979" t="s">
        <v>5397</v>
      </c>
      <c r="G1717" s="979" t="s">
        <v>5398</v>
      </c>
      <c r="H1717" s="1030">
        <v>491500</v>
      </c>
      <c r="I1717" s="1030">
        <v>612230</v>
      </c>
      <c r="J1717" s="1034">
        <v>0.41378830243590548</v>
      </c>
      <c r="K1717" s="1030">
        <v>203376.95064724755</v>
      </c>
      <c r="L1717" s="1030">
        <v>203376.95064724755</v>
      </c>
      <c r="M1717" s="979">
        <v>599</v>
      </c>
    </row>
    <row r="1718" spans="1:13" ht="15">
      <c r="A1718" s="979" t="s">
        <v>3700</v>
      </c>
      <c r="B1718" s="722" t="str">
        <f>CONCATENATE(LEFT(RIGHT(CONCATENATE("000",IFAData_TEA!A1718),6),3),"-",(RIGHT(RIGHT(CONCATENATE("000",IFAData_TEA!A1718),6),3)))</f>
        <v>199-902</v>
      </c>
      <c r="C1718" s="979" t="s">
        <v>613</v>
      </c>
      <c r="D1718" s="979">
        <v>9</v>
      </c>
      <c r="E1718" s="979">
        <v>2271</v>
      </c>
      <c r="F1718" s="979" t="s">
        <v>5400</v>
      </c>
      <c r="G1718" s="979" t="s">
        <v>5400</v>
      </c>
      <c r="H1718" s="1030">
        <v>523367</v>
      </c>
      <c r="I1718" s="1030">
        <v>1623408</v>
      </c>
      <c r="J1718" s="1034">
        <v>0.93913961027691584</v>
      </c>
      <c r="K1718" s="1030">
        <v>491514.68041179859</v>
      </c>
      <c r="L1718" s="1030">
        <v>491514.68041179859</v>
      </c>
      <c r="M1718" s="979">
        <v>599</v>
      </c>
    </row>
    <row r="1719" spans="1:13" ht="15">
      <c r="A1719" s="979" t="s">
        <v>3701</v>
      </c>
      <c r="B1719" s="722" t="str">
        <f>CONCATENATE(LEFT(RIGHT(CONCATENATE("000",IFAData_TEA!A1719),6),3),"-",(RIGHT(RIGHT(CONCATENATE("000",IFAData_TEA!A1719),6),3)))</f>
        <v>200-902</v>
      </c>
      <c r="C1719" s="979" t="s">
        <v>2237</v>
      </c>
      <c r="D1719" s="979">
        <v>4</v>
      </c>
      <c r="E1719" s="979">
        <v>2105</v>
      </c>
      <c r="F1719" s="979" t="s">
        <v>5401</v>
      </c>
      <c r="G1719" s="979" t="s">
        <v>5402</v>
      </c>
      <c r="H1719" s="1030">
        <v>116481</v>
      </c>
      <c r="I1719" s="1030">
        <v>97429</v>
      </c>
      <c r="J1719" s="1034">
        <v>1</v>
      </c>
      <c r="K1719" s="1030">
        <v>116481</v>
      </c>
      <c r="L1719" s="1030">
        <v>97429</v>
      </c>
      <c r="M1719" s="979">
        <v>599</v>
      </c>
    </row>
    <row r="1720" spans="1:13" ht="15">
      <c r="A1720" s="979" t="s">
        <v>3701</v>
      </c>
      <c r="B1720" s="722" t="str">
        <f>CONCATENATE(LEFT(RIGHT(CONCATENATE("000",IFAData_TEA!A1720),6),3),"-",(RIGHT(RIGHT(CONCATENATE("000",IFAData_TEA!A1720),6),3)))</f>
        <v>200-902</v>
      </c>
      <c r="C1720" s="979" t="s">
        <v>2237</v>
      </c>
      <c r="D1720" s="979">
        <v>4</v>
      </c>
      <c r="E1720" s="979">
        <v>2105</v>
      </c>
      <c r="F1720" s="979" t="s">
        <v>5401</v>
      </c>
      <c r="G1720" s="979" t="s">
        <v>5401</v>
      </c>
      <c r="H1720" s="1030">
        <v>116481</v>
      </c>
      <c r="I1720" s="1030">
        <v>0</v>
      </c>
      <c r="J1720" s="1034">
        <v>0</v>
      </c>
      <c r="K1720" s="1030">
        <v>0</v>
      </c>
      <c r="L1720" s="1030">
        <v>0</v>
      </c>
      <c r="M1720" s="979">
        <v>599</v>
      </c>
    </row>
    <row r="1721" spans="1:13" ht="15">
      <c r="A1721" s="979" t="s">
        <v>5403</v>
      </c>
      <c r="B1721" s="722" t="str">
        <f>CONCATENATE(LEFT(RIGHT(CONCATENATE("000",IFAData_TEA!A1721),6),3),"-",(RIGHT(RIGHT(CONCATENATE("000",IFAData_TEA!A1721),6),3)))</f>
        <v>200-904</v>
      </c>
      <c r="C1721" s="979" t="s">
        <v>1129</v>
      </c>
      <c r="D1721" s="979">
        <v>2</v>
      </c>
      <c r="E1721" s="979">
        <v>2459</v>
      </c>
      <c r="F1721" s="979" t="s">
        <v>5404</v>
      </c>
      <c r="G1721" s="979" t="s">
        <v>5404</v>
      </c>
      <c r="H1721" s="1030">
        <v>177666</v>
      </c>
      <c r="I1721" s="1030">
        <v>0</v>
      </c>
      <c r="J1721" s="1034">
        <v>0</v>
      </c>
      <c r="K1721" s="1030"/>
      <c r="L1721" s="1030">
        <v>0</v>
      </c>
      <c r="M1721" s="979">
        <v>199</v>
      </c>
    </row>
    <row r="1722" spans="1:13" ht="15">
      <c r="A1722" s="979" t="s">
        <v>3702</v>
      </c>
      <c r="B1722" s="722" t="str">
        <f>CONCATENATE(LEFT(RIGHT(CONCATENATE("000",IFAData_TEA!A1722),6),3),"-",(RIGHT(RIGHT(CONCATENATE("000",IFAData_TEA!A1722),6),3)))</f>
        <v>200-906</v>
      </c>
      <c r="C1722" s="979" t="s">
        <v>262</v>
      </c>
      <c r="D1722" s="979">
        <v>4</v>
      </c>
      <c r="E1722" s="979">
        <v>2158</v>
      </c>
      <c r="F1722" s="979" t="s">
        <v>5405</v>
      </c>
      <c r="G1722" s="979" t="s">
        <v>5406</v>
      </c>
      <c r="H1722" s="1030">
        <v>100000</v>
      </c>
      <c r="I1722" s="1030">
        <v>85000</v>
      </c>
      <c r="J1722" s="1034">
        <v>1</v>
      </c>
      <c r="K1722" s="1030">
        <v>100000</v>
      </c>
      <c r="L1722" s="1030">
        <v>85000</v>
      </c>
      <c r="M1722" s="979">
        <v>599</v>
      </c>
    </row>
    <row r="1723" spans="1:13" ht="15">
      <c r="A1723" s="979" t="s">
        <v>3702</v>
      </c>
      <c r="B1723" s="722" t="str">
        <f>CONCATENATE(LEFT(RIGHT(CONCATENATE("000",IFAData_TEA!A1723),6),3),"-",(RIGHT(RIGHT(CONCATENATE("000",IFAData_TEA!A1723),6),3)))</f>
        <v>200-906</v>
      </c>
      <c r="C1723" s="979" t="s">
        <v>262</v>
      </c>
      <c r="D1723" s="979">
        <v>4</v>
      </c>
      <c r="E1723" s="979">
        <v>2158</v>
      </c>
      <c r="F1723" s="979" t="s">
        <v>5405</v>
      </c>
      <c r="G1723" s="979" t="s">
        <v>5405</v>
      </c>
      <c r="H1723" s="1030">
        <v>100000</v>
      </c>
      <c r="I1723" s="1030">
        <v>0</v>
      </c>
      <c r="J1723" s="1034">
        <v>0</v>
      </c>
      <c r="K1723" s="1030">
        <v>0</v>
      </c>
      <c r="L1723" s="1030">
        <v>0</v>
      </c>
      <c r="M1723" s="979">
        <v>599</v>
      </c>
    </row>
    <row r="1724" spans="1:13" ht="15">
      <c r="A1724" s="979" t="s">
        <v>5407</v>
      </c>
      <c r="B1724" s="722" t="str">
        <f>CONCATENATE(LEFT(RIGHT(CONCATENATE("000",IFAData_TEA!A1724),6),3),"-",(RIGHT(RIGHT(CONCATENATE("000",IFAData_TEA!A1724),6),3)))</f>
        <v>201-907</v>
      </c>
      <c r="C1724" s="979" t="s">
        <v>2153</v>
      </c>
      <c r="D1724" s="979">
        <v>5</v>
      </c>
      <c r="E1724" s="979">
        <v>2122</v>
      </c>
      <c r="F1724" s="979" t="s">
        <v>5408</v>
      </c>
      <c r="G1724" s="979" t="s">
        <v>5408</v>
      </c>
      <c r="H1724" s="1030">
        <v>59747</v>
      </c>
      <c r="I1724" s="1030">
        <v>0</v>
      </c>
      <c r="J1724" s="1034">
        <v>0</v>
      </c>
      <c r="K1724" s="1030"/>
      <c r="L1724" s="1030">
        <v>0</v>
      </c>
      <c r="M1724" s="979">
        <v>199</v>
      </c>
    </row>
    <row r="1725" spans="1:13" ht="15">
      <c r="A1725" s="979" t="s">
        <v>3703</v>
      </c>
      <c r="B1725" s="722" t="str">
        <f>CONCATENATE(LEFT(RIGHT(CONCATENATE("000",IFAData_TEA!A1725),6),3),"-",(RIGHT(RIGHT(CONCATENATE("000",IFAData_TEA!A1725),6),3)))</f>
        <v>201-908</v>
      </c>
      <c r="C1725" s="979" t="s">
        <v>1362</v>
      </c>
      <c r="D1725" s="979">
        <v>5</v>
      </c>
      <c r="E1725" s="979">
        <v>2167</v>
      </c>
      <c r="F1725" s="979" t="s">
        <v>5409</v>
      </c>
      <c r="G1725" s="979" t="s">
        <v>6319</v>
      </c>
      <c r="H1725" s="1030">
        <v>112110</v>
      </c>
      <c r="I1725" s="1030">
        <v>3311</v>
      </c>
      <c r="J1725" s="1034">
        <v>3.0021942948334331E-2</v>
      </c>
      <c r="K1725" s="1030">
        <v>3365.7600239377616</v>
      </c>
      <c r="L1725" s="1030">
        <v>3311</v>
      </c>
      <c r="M1725" s="979">
        <v>599</v>
      </c>
    </row>
    <row r="1726" spans="1:13" ht="15">
      <c r="A1726" s="979" t="s">
        <v>3703</v>
      </c>
      <c r="B1726" s="722" t="str">
        <f>CONCATENATE(LEFT(RIGHT(CONCATENATE("000",IFAData_TEA!A1726),6),3),"-",(RIGHT(RIGHT(CONCATENATE("000",IFAData_TEA!A1726),6),3)))</f>
        <v>201-908</v>
      </c>
      <c r="C1726" s="979" t="s">
        <v>1362</v>
      </c>
      <c r="D1726" s="979">
        <v>5</v>
      </c>
      <c r="E1726" s="979">
        <v>2167</v>
      </c>
      <c r="F1726" s="979" t="s">
        <v>5409</v>
      </c>
      <c r="G1726" s="979" t="s">
        <v>5409</v>
      </c>
      <c r="H1726" s="1030">
        <v>112110</v>
      </c>
      <c r="I1726" s="1030">
        <v>106975</v>
      </c>
      <c r="J1726" s="1034">
        <v>0.96997805705166562</v>
      </c>
      <c r="K1726" s="1030">
        <v>108744.23997606224</v>
      </c>
      <c r="L1726" s="1030">
        <v>106975</v>
      </c>
      <c r="M1726" s="979">
        <v>599</v>
      </c>
    </row>
    <row r="1727" spans="1:13" ht="15">
      <c r="A1727" s="979" t="s">
        <v>3703</v>
      </c>
      <c r="B1727" s="722" t="str">
        <f>CONCATENATE(LEFT(RIGHT(CONCATENATE("000",IFAData_TEA!A1727),6),3),"-",(RIGHT(RIGHT(CONCATENATE("000",IFAData_TEA!A1727),6),3)))</f>
        <v>201-908</v>
      </c>
      <c r="C1727" s="979" t="s">
        <v>1362</v>
      </c>
      <c r="D1727" s="979">
        <v>8</v>
      </c>
      <c r="E1727" s="979">
        <v>2169</v>
      </c>
      <c r="F1727" s="979" t="s">
        <v>5410</v>
      </c>
      <c r="G1727" s="979" t="s">
        <v>5410</v>
      </c>
      <c r="H1727" s="1030">
        <v>126133</v>
      </c>
      <c r="I1727" s="1030">
        <v>122188</v>
      </c>
      <c r="J1727" s="1034">
        <v>1</v>
      </c>
      <c r="K1727" s="1030">
        <v>126133</v>
      </c>
      <c r="L1727" s="1030">
        <v>122188</v>
      </c>
      <c r="M1727" s="979">
        <v>599</v>
      </c>
    </row>
    <row r="1728" spans="1:13" ht="15">
      <c r="A1728" s="979" t="s">
        <v>3703</v>
      </c>
      <c r="B1728" s="722" t="str">
        <f>CONCATENATE(LEFT(RIGHT(CONCATENATE("000",IFAData_TEA!A1728),6),3),"-",(RIGHT(RIGHT(CONCATENATE("000",IFAData_TEA!A1728),6),3)))</f>
        <v>201-908</v>
      </c>
      <c r="C1728" s="979" t="s">
        <v>1362</v>
      </c>
      <c r="D1728" s="979">
        <v>10</v>
      </c>
      <c r="E1728" s="979">
        <v>2168</v>
      </c>
      <c r="F1728" s="979" t="s">
        <v>5411</v>
      </c>
      <c r="G1728" s="979" t="s">
        <v>5411</v>
      </c>
      <c r="H1728" s="1030">
        <v>123590</v>
      </c>
      <c r="I1728" s="1030">
        <v>355926</v>
      </c>
      <c r="J1728" s="1034">
        <v>1</v>
      </c>
      <c r="K1728" s="1030">
        <v>123590</v>
      </c>
      <c r="L1728" s="1030">
        <v>123590</v>
      </c>
      <c r="M1728" s="979">
        <v>599</v>
      </c>
    </row>
    <row r="1729" spans="1:13" ht="15">
      <c r="A1729" s="979" t="s">
        <v>3704</v>
      </c>
      <c r="B1729" s="722" t="str">
        <f>CONCATENATE(LEFT(RIGHT(CONCATENATE("000",IFAData_TEA!A1729),6),3),"-",(RIGHT(RIGHT(CONCATENATE("000",IFAData_TEA!A1729),6),3)))</f>
        <v>201-913</v>
      </c>
      <c r="C1729" s="979" t="s">
        <v>654</v>
      </c>
      <c r="D1729" s="979">
        <v>8</v>
      </c>
      <c r="E1729" s="979">
        <v>1664</v>
      </c>
      <c r="F1729" s="979" t="s">
        <v>5414</v>
      </c>
      <c r="G1729" s="979" t="s">
        <v>5414</v>
      </c>
      <c r="H1729" s="1030">
        <v>134790</v>
      </c>
      <c r="I1729" s="1030">
        <v>114725</v>
      </c>
      <c r="J1729" s="1034">
        <v>1</v>
      </c>
      <c r="K1729" s="1030">
        <v>134790</v>
      </c>
      <c r="L1729" s="1030">
        <v>114725</v>
      </c>
      <c r="M1729" s="979">
        <v>599</v>
      </c>
    </row>
    <row r="1730" spans="1:13" ht="15">
      <c r="A1730" s="979" t="s">
        <v>3704</v>
      </c>
      <c r="B1730" s="722" t="str">
        <f>CONCATENATE(LEFT(RIGHT(CONCATENATE("000",IFAData_TEA!A1730),6),3),"-",(RIGHT(RIGHT(CONCATENATE("000",IFAData_TEA!A1730),6),3)))</f>
        <v>201-913</v>
      </c>
      <c r="C1730" s="979" t="s">
        <v>654</v>
      </c>
      <c r="D1730" s="979">
        <v>4</v>
      </c>
      <c r="E1730" s="979">
        <v>1663</v>
      </c>
      <c r="F1730" s="979" t="s">
        <v>5412</v>
      </c>
      <c r="G1730" s="979" t="s">
        <v>5413</v>
      </c>
      <c r="H1730" s="1030">
        <v>113895</v>
      </c>
      <c r="I1730" s="1030">
        <v>97031</v>
      </c>
      <c r="J1730" s="1034">
        <v>1</v>
      </c>
      <c r="K1730" s="1030">
        <v>113895</v>
      </c>
      <c r="L1730" s="1030">
        <v>97031</v>
      </c>
      <c r="M1730" s="979">
        <v>599</v>
      </c>
    </row>
    <row r="1731" spans="1:13" ht="15">
      <c r="A1731" s="979" t="s">
        <v>3704</v>
      </c>
      <c r="B1731" s="722" t="str">
        <f>CONCATENATE(LEFT(RIGHT(CONCATENATE("000",IFAData_TEA!A1731),6),3),"-",(RIGHT(RIGHT(CONCATENATE("000",IFAData_TEA!A1731),6),3)))</f>
        <v>201-913</v>
      </c>
      <c r="C1731" s="979" t="s">
        <v>654</v>
      </c>
      <c r="D1731" s="979">
        <v>4</v>
      </c>
      <c r="E1731" s="979">
        <v>1663</v>
      </c>
      <c r="F1731" s="979" t="s">
        <v>5412</v>
      </c>
      <c r="G1731" s="979" t="s">
        <v>5412</v>
      </c>
      <c r="H1731" s="1030">
        <v>113895</v>
      </c>
      <c r="I1731" s="1030">
        <v>0</v>
      </c>
      <c r="J1731" s="1034">
        <v>0</v>
      </c>
      <c r="K1731" s="1030">
        <v>0</v>
      </c>
      <c r="L1731" s="1030">
        <v>0</v>
      </c>
      <c r="M1731" s="979">
        <v>599</v>
      </c>
    </row>
    <row r="1732" spans="1:13" ht="15">
      <c r="A1732" s="979" t="s">
        <v>3705</v>
      </c>
      <c r="B1732" s="722" t="str">
        <f>CONCATENATE(LEFT(RIGHT(CONCATENATE("000",IFAData_TEA!A1732),6),3),"-",(RIGHT(RIGHT(CONCATENATE("000",IFAData_TEA!A1732),6),3)))</f>
        <v>202-905</v>
      </c>
      <c r="C1732" s="979" t="s">
        <v>1530</v>
      </c>
      <c r="D1732" s="979">
        <v>9</v>
      </c>
      <c r="E1732" s="979">
        <v>2446</v>
      </c>
      <c r="F1732" s="979" t="s">
        <v>5415</v>
      </c>
      <c r="G1732" s="979" t="s">
        <v>6320</v>
      </c>
      <c r="H1732" s="1030">
        <v>142579</v>
      </c>
      <c r="I1732" s="1030">
        <v>202612</v>
      </c>
      <c r="J1732" s="1034">
        <v>0.24487793086777859</v>
      </c>
      <c r="K1732" s="1030">
        <v>34914.450505197005</v>
      </c>
      <c r="L1732" s="1030">
        <v>34914.450505197005</v>
      </c>
      <c r="M1732" s="979">
        <v>599</v>
      </c>
    </row>
    <row r="1733" spans="1:13" ht="15">
      <c r="A1733" s="979" t="s">
        <v>3705</v>
      </c>
      <c r="B1733" s="722" t="str">
        <f>CONCATENATE(LEFT(RIGHT(CONCATENATE("000",IFAData_TEA!A1733),6),3),"-",(RIGHT(RIGHT(CONCATENATE("000",IFAData_TEA!A1733),6),3)))</f>
        <v>202-905</v>
      </c>
      <c r="C1733" s="979" t="s">
        <v>1530</v>
      </c>
      <c r="D1733" s="979">
        <v>9</v>
      </c>
      <c r="E1733" s="979">
        <v>2446</v>
      </c>
      <c r="F1733" s="979" t="s">
        <v>5415</v>
      </c>
      <c r="G1733" s="979" t="s">
        <v>5415</v>
      </c>
      <c r="H1733" s="1030">
        <v>142579</v>
      </c>
      <c r="I1733" s="1030">
        <v>624788</v>
      </c>
      <c r="J1733" s="1034">
        <v>0.75512206913222146</v>
      </c>
      <c r="K1733" s="1030">
        <v>107664.54949480301</v>
      </c>
      <c r="L1733" s="1030">
        <v>107664.54949480301</v>
      </c>
      <c r="M1733" s="979">
        <v>599</v>
      </c>
    </row>
    <row r="1734" spans="1:13" ht="15">
      <c r="A1734" s="979" t="s">
        <v>3706</v>
      </c>
      <c r="B1734" s="722" t="str">
        <f>CONCATENATE(LEFT(RIGHT(CONCATENATE("000",IFAData_TEA!A1734),6),3),"-",(RIGHT(RIGHT(CONCATENATE("000",IFAData_TEA!A1734),6),3)))</f>
        <v>203-901</v>
      </c>
      <c r="C1734" s="979" t="s">
        <v>2070</v>
      </c>
      <c r="D1734" s="979">
        <v>9</v>
      </c>
      <c r="E1734" s="979">
        <v>2283</v>
      </c>
      <c r="F1734" s="979" t="s">
        <v>5416</v>
      </c>
      <c r="G1734" s="979" t="s">
        <v>5416</v>
      </c>
      <c r="H1734" s="1030">
        <v>152660</v>
      </c>
      <c r="I1734" s="1030">
        <v>207965</v>
      </c>
      <c r="J1734" s="1034">
        <v>1</v>
      </c>
      <c r="K1734" s="1030">
        <v>152660</v>
      </c>
      <c r="L1734" s="1030">
        <v>152660</v>
      </c>
      <c r="M1734" s="979">
        <v>599</v>
      </c>
    </row>
    <row r="1735" spans="1:13" ht="15">
      <c r="A1735" s="979" t="s">
        <v>3707</v>
      </c>
      <c r="B1735" s="722" t="str">
        <f>CONCATENATE(LEFT(RIGHT(CONCATENATE("000",IFAData_TEA!A1735),6),3),"-",(RIGHT(RIGHT(CONCATENATE("000",IFAData_TEA!A1735),6),3)))</f>
        <v>204-904</v>
      </c>
      <c r="C1735" s="979" t="s">
        <v>351</v>
      </c>
      <c r="D1735" s="979">
        <v>10</v>
      </c>
      <c r="E1735" s="979">
        <v>2329</v>
      </c>
      <c r="F1735" s="979" t="s">
        <v>5418</v>
      </c>
      <c r="G1735" s="979" t="s">
        <v>5418</v>
      </c>
      <c r="H1735" s="1030">
        <v>132650</v>
      </c>
      <c r="I1735" s="1030">
        <v>180750</v>
      </c>
      <c r="J1735" s="1034">
        <v>1</v>
      </c>
      <c r="K1735" s="1030">
        <v>132650</v>
      </c>
      <c r="L1735" s="1030">
        <v>132650</v>
      </c>
      <c r="M1735" s="979">
        <v>599</v>
      </c>
    </row>
    <row r="1736" spans="1:13" ht="15">
      <c r="A1736" s="979" t="s">
        <v>3707</v>
      </c>
      <c r="B1736" s="722" t="str">
        <f>CONCATENATE(LEFT(RIGHT(CONCATENATE("000",IFAData_TEA!A1736),6),3),"-",(RIGHT(RIGHT(CONCATENATE("000",IFAData_TEA!A1736),6),3)))</f>
        <v>204-904</v>
      </c>
      <c r="C1736" s="979" t="s">
        <v>351</v>
      </c>
      <c r="D1736" s="979">
        <v>9</v>
      </c>
      <c r="E1736" s="979">
        <v>2330</v>
      </c>
      <c r="F1736" s="979" t="s">
        <v>5417</v>
      </c>
      <c r="G1736" s="979" t="s">
        <v>5417</v>
      </c>
      <c r="H1736" s="1030">
        <v>436757</v>
      </c>
      <c r="I1736" s="1030">
        <v>438450</v>
      </c>
      <c r="J1736" s="1034">
        <v>1</v>
      </c>
      <c r="K1736" s="1030">
        <v>436757</v>
      </c>
      <c r="L1736" s="1030">
        <v>436757</v>
      </c>
      <c r="M1736" s="979">
        <v>599</v>
      </c>
    </row>
    <row r="1737" spans="1:13" ht="15">
      <c r="A1737" s="979" t="s">
        <v>3708</v>
      </c>
      <c r="B1737" s="722" t="str">
        <f>CONCATENATE(LEFT(RIGHT(CONCATENATE("000",IFAData_TEA!A1737),6),3),"-",(RIGHT(RIGHT(CONCATENATE("000",IFAData_TEA!A1737),6),3)))</f>
        <v>205-901</v>
      </c>
      <c r="C1737" s="979" t="s">
        <v>2420</v>
      </c>
      <c r="D1737" s="979">
        <v>5</v>
      </c>
      <c r="E1737" s="979">
        <v>1582</v>
      </c>
      <c r="F1737" s="979" t="s">
        <v>5419</v>
      </c>
      <c r="G1737" s="979" t="s">
        <v>5419</v>
      </c>
      <c r="H1737" s="1030">
        <v>270047</v>
      </c>
      <c r="I1737" s="1030">
        <v>0</v>
      </c>
      <c r="J1737" s="1034">
        <v>0</v>
      </c>
      <c r="K1737" s="1030">
        <v>0</v>
      </c>
      <c r="L1737" s="1030">
        <v>0</v>
      </c>
      <c r="M1737" s="979">
        <v>599</v>
      </c>
    </row>
    <row r="1738" spans="1:13" ht="15">
      <c r="A1738" s="979" t="s">
        <v>3708</v>
      </c>
      <c r="B1738" s="722" t="str">
        <f>CONCATENATE(LEFT(RIGHT(CONCATENATE("000",IFAData_TEA!A1738),6),3),"-",(RIGHT(RIGHT(CONCATENATE("000",IFAData_TEA!A1738),6),3)))</f>
        <v>205-901</v>
      </c>
      <c r="C1738" s="979" t="s">
        <v>2420</v>
      </c>
      <c r="D1738" s="979">
        <v>5</v>
      </c>
      <c r="E1738" s="979">
        <v>1582</v>
      </c>
      <c r="F1738" s="979" t="s">
        <v>5419</v>
      </c>
      <c r="G1738" s="979" t="s">
        <v>5420</v>
      </c>
      <c r="H1738" s="1030">
        <v>270047</v>
      </c>
      <c r="I1738" s="1030">
        <v>248775</v>
      </c>
      <c r="J1738" s="1034">
        <v>1</v>
      </c>
      <c r="K1738" s="1030">
        <v>270047</v>
      </c>
      <c r="L1738" s="1030">
        <v>248775</v>
      </c>
      <c r="M1738" s="979">
        <v>599</v>
      </c>
    </row>
    <row r="1739" spans="1:13" ht="15">
      <c r="A1739" s="979" t="s">
        <v>3709</v>
      </c>
      <c r="B1739" s="722" t="str">
        <f>CONCATENATE(LEFT(RIGHT(CONCATENATE("000",IFAData_TEA!A1739),6),3),"-",(RIGHT(RIGHT(CONCATENATE("000",IFAData_TEA!A1739),6),3)))</f>
        <v>205-904</v>
      </c>
      <c r="C1739" s="979" t="s">
        <v>2066</v>
      </c>
      <c r="D1739" s="979">
        <v>10</v>
      </c>
      <c r="E1739" s="979">
        <v>2073</v>
      </c>
      <c r="F1739" s="979" t="s">
        <v>5423</v>
      </c>
      <c r="G1739" s="979" t="s">
        <v>5423</v>
      </c>
      <c r="H1739" s="1030">
        <v>383389</v>
      </c>
      <c r="I1739" s="1030">
        <v>364956</v>
      </c>
      <c r="J1739" s="1034">
        <v>1</v>
      </c>
      <c r="K1739" s="1030">
        <v>383389</v>
      </c>
      <c r="L1739" s="1030">
        <v>364956</v>
      </c>
      <c r="M1739" s="979">
        <v>599</v>
      </c>
    </row>
    <row r="1740" spans="1:13" ht="15">
      <c r="A1740" s="979" t="s">
        <v>3709</v>
      </c>
      <c r="B1740" s="722" t="str">
        <f>CONCATENATE(LEFT(RIGHT(CONCATENATE("000",IFAData_TEA!A1740),6),3),"-",(RIGHT(RIGHT(CONCATENATE("000",IFAData_TEA!A1740),6),3)))</f>
        <v>205-904</v>
      </c>
      <c r="C1740" s="979" t="s">
        <v>2066</v>
      </c>
      <c r="D1740" s="979">
        <v>3</v>
      </c>
      <c r="E1740" s="979">
        <v>2075</v>
      </c>
      <c r="F1740" s="979" t="s">
        <v>5421</v>
      </c>
      <c r="G1740" s="979" t="s">
        <v>5423</v>
      </c>
      <c r="H1740" s="1030">
        <v>513813</v>
      </c>
      <c r="I1740" s="1030">
        <v>357000</v>
      </c>
      <c r="J1740" s="1034">
        <v>0.73360485617645976</v>
      </c>
      <c r="K1740" s="1030">
        <v>376935.71196659532</v>
      </c>
      <c r="L1740" s="1030">
        <v>357000</v>
      </c>
      <c r="M1740" s="979">
        <v>599</v>
      </c>
    </row>
    <row r="1741" spans="1:13" ht="15">
      <c r="A1741" s="979" t="s">
        <v>3709</v>
      </c>
      <c r="B1741" s="722" t="str">
        <f>CONCATENATE(LEFT(RIGHT(CONCATENATE("000",IFAData_TEA!A1741),6),3),"-",(RIGHT(RIGHT(CONCATENATE("000",IFAData_TEA!A1741),6),3)))</f>
        <v>205-904</v>
      </c>
      <c r="C1741" s="979" t="s">
        <v>2066</v>
      </c>
      <c r="D1741" s="979">
        <v>3</v>
      </c>
      <c r="E1741" s="979">
        <v>2075</v>
      </c>
      <c r="F1741" s="979" t="s">
        <v>5421</v>
      </c>
      <c r="G1741" s="979" t="s">
        <v>5421</v>
      </c>
      <c r="H1741" s="1030">
        <v>513813</v>
      </c>
      <c r="I1741" s="1030">
        <v>0</v>
      </c>
      <c r="J1741" s="1034">
        <v>0</v>
      </c>
      <c r="K1741" s="1030">
        <v>0</v>
      </c>
      <c r="L1741" s="1030">
        <v>0</v>
      </c>
      <c r="M1741" s="979">
        <v>599</v>
      </c>
    </row>
    <row r="1742" spans="1:13" ht="15">
      <c r="A1742" s="979" t="s">
        <v>3709</v>
      </c>
      <c r="B1742" s="722" t="str">
        <f>CONCATENATE(LEFT(RIGHT(CONCATENATE("000",IFAData_TEA!A1742),6),3),"-",(RIGHT(RIGHT(CONCATENATE("000",IFAData_TEA!A1742),6),3)))</f>
        <v>205-904</v>
      </c>
      <c r="C1742" s="979" t="s">
        <v>2066</v>
      </c>
      <c r="D1742" s="979">
        <v>9</v>
      </c>
      <c r="E1742" s="979">
        <v>2074</v>
      </c>
      <c r="F1742" s="979" t="s">
        <v>5422</v>
      </c>
      <c r="G1742" s="979" t="s">
        <v>5422</v>
      </c>
      <c r="H1742" s="1030">
        <v>425296</v>
      </c>
      <c r="I1742" s="1030">
        <v>440022</v>
      </c>
      <c r="J1742" s="1034">
        <v>1</v>
      </c>
      <c r="K1742" s="1030">
        <v>425296</v>
      </c>
      <c r="L1742" s="1030">
        <v>425296</v>
      </c>
      <c r="M1742" s="979">
        <v>599</v>
      </c>
    </row>
    <row r="1743" spans="1:13" ht="15">
      <c r="A1743" s="979" t="s">
        <v>3709</v>
      </c>
      <c r="B1743" s="722" t="str">
        <f>CONCATENATE(LEFT(RIGHT(CONCATENATE("000",IFAData_TEA!A1743),6),3),"-",(RIGHT(RIGHT(CONCATENATE("000",IFAData_TEA!A1743),6),3)))</f>
        <v>205-904</v>
      </c>
      <c r="C1743" s="979" t="s">
        <v>2066</v>
      </c>
      <c r="D1743" s="979">
        <v>3</v>
      </c>
      <c r="E1743" s="979">
        <v>2075</v>
      </c>
      <c r="F1743" s="979" t="s">
        <v>5421</v>
      </c>
      <c r="G1743" s="979" t="s">
        <v>5422</v>
      </c>
      <c r="H1743" s="1030">
        <v>513813</v>
      </c>
      <c r="I1743" s="1030">
        <v>129638</v>
      </c>
      <c r="J1743" s="1034">
        <v>0.26639514382354029</v>
      </c>
      <c r="K1743" s="1030">
        <v>136877.28803340471</v>
      </c>
      <c r="L1743" s="1030">
        <v>129638</v>
      </c>
      <c r="M1743" s="979">
        <v>599</v>
      </c>
    </row>
    <row r="1744" spans="1:13" ht="15">
      <c r="A1744" s="979" t="s">
        <v>3710</v>
      </c>
      <c r="B1744" s="722" t="str">
        <f>CONCATENATE(LEFT(RIGHT(CONCATENATE("000",IFAData_TEA!A1744),6),3),"-",(RIGHT(RIGHT(CONCATENATE("000",IFAData_TEA!A1744),6),3)))</f>
        <v>205-905</v>
      </c>
      <c r="C1744" s="979" t="s">
        <v>260</v>
      </c>
      <c r="D1744" s="979">
        <v>5</v>
      </c>
      <c r="E1744" s="979">
        <v>2156</v>
      </c>
      <c r="F1744" s="979" t="s">
        <v>5426</v>
      </c>
      <c r="G1744" s="979" t="s">
        <v>5426</v>
      </c>
      <c r="H1744" s="1030">
        <v>274260</v>
      </c>
      <c r="I1744" s="1030">
        <v>140273</v>
      </c>
      <c r="J1744" s="1034">
        <v>0.52209563298135653</v>
      </c>
      <c r="K1744" s="1030">
        <v>143189.94830146685</v>
      </c>
      <c r="L1744" s="1030">
        <v>140273</v>
      </c>
      <c r="M1744" s="979">
        <v>599</v>
      </c>
    </row>
    <row r="1745" spans="1:13" ht="15">
      <c r="A1745" s="979" t="s">
        <v>3710</v>
      </c>
      <c r="B1745" s="722" t="str">
        <f>CONCATENATE(LEFT(RIGHT(CONCATENATE("000",IFAData_TEA!A1745),6),3),"-",(RIGHT(RIGHT(CONCATENATE("000",IFAData_TEA!A1745),6),3)))</f>
        <v>205-905</v>
      </c>
      <c r="C1745" s="979" t="s">
        <v>260</v>
      </c>
      <c r="D1745" s="979">
        <v>3</v>
      </c>
      <c r="E1745" s="979">
        <v>2155</v>
      </c>
      <c r="F1745" s="979" t="s">
        <v>5424</v>
      </c>
      <c r="G1745" s="979" t="s">
        <v>5425</v>
      </c>
      <c r="H1745" s="1030">
        <v>175026</v>
      </c>
      <c r="I1745" s="1030">
        <v>161074</v>
      </c>
      <c r="J1745" s="1034">
        <v>1</v>
      </c>
      <c r="K1745" s="1030">
        <v>175026</v>
      </c>
      <c r="L1745" s="1030">
        <v>161074</v>
      </c>
      <c r="M1745" s="979">
        <v>599</v>
      </c>
    </row>
    <row r="1746" spans="1:13" ht="15">
      <c r="A1746" s="979" t="s">
        <v>3710</v>
      </c>
      <c r="B1746" s="722" t="str">
        <f>CONCATENATE(LEFT(RIGHT(CONCATENATE("000",IFAData_TEA!A1746),6),3),"-",(RIGHT(RIGHT(CONCATENATE("000",IFAData_TEA!A1746),6),3)))</f>
        <v>205-905</v>
      </c>
      <c r="C1746" s="979" t="s">
        <v>260</v>
      </c>
      <c r="D1746" s="979">
        <v>5</v>
      </c>
      <c r="E1746" s="979">
        <v>2156</v>
      </c>
      <c r="F1746" s="979" t="s">
        <v>5426</v>
      </c>
      <c r="G1746" s="979" t="s">
        <v>5425</v>
      </c>
      <c r="H1746" s="1030">
        <v>274260</v>
      </c>
      <c r="I1746" s="1030">
        <v>128400</v>
      </c>
      <c r="J1746" s="1034">
        <v>0.47790436701864347</v>
      </c>
      <c r="K1746" s="1030">
        <v>131070.05169853316</v>
      </c>
      <c r="L1746" s="1030">
        <v>128400</v>
      </c>
      <c r="M1746" s="979">
        <v>599</v>
      </c>
    </row>
    <row r="1747" spans="1:13" ht="15">
      <c r="A1747" s="979" t="s">
        <v>3710</v>
      </c>
      <c r="B1747" s="722" t="str">
        <f>CONCATENATE(LEFT(RIGHT(CONCATENATE("000",IFAData_TEA!A1747),6),3),"-",(RIGHT(RIGHT(CONCATENATE("000",IFAData_TEA!A1747),6),3)))</f>
        <v>205-905</v>
      </c>
      <c r="C1747" s="979" t="s">
        <v>260</v>
      </c>
      <c r="D1747" s="979">
        <v>3</v>
      </c>
      <c r="E1747" s="979">
        <v>2155</v>
      </c>
      <c r="F1747" s="979" t="s">
        <v>5424</v>
      </c>
      <c r="G1747" s="979" t="s">
        <v>5424</v>
      </c>
      <c r="H1747" s="1030">
        <v>175026</v>
      </c>
      <c r="I1747" s="1030">
        <v>0</v>
      </c>
      <c r="J1747" s="1034">
        <v>0</v>
      </c>
      <c r="K1747" s="1030">
        <v>0</v>
      </c>
      <c r="L1747" s="1030">
        <v>0</v>
      </c>
      <c r="M1747" s="979">
        <v>599</v>
      </c>
    </row>
    <row r="1748" spans="1:13" ht="15">
      <c r="A1748" s="979" t="s">
        <v>3711</v>
      </c>
      <c r="B1748" s="722" t="str">
        <f>CONCATENATE(LEFT(RIGHT(CONCATENATE("000",IFAData_TEA!A1748),6),3),"-",(RIGHT(RIGHT(CONCATENATE("000",IFAData_TEA!A1748),6),3)))</f>
        <v>205-906</v>
      </c>
      <c r="C1748" s="979" t="s">
        <v>267</v>
      </c>
      <c r="D1748" s="979">
        <v>5</v>
      </c>
      <c r="E1748" s="979">
        <v>2337</v>
      </c>
      <c r="F1748" s="979" t="s">
        <v>5427</v>
      </c>
      <c r="G1748" s="979" t="s">
        <v>5427</v>
      </c>
      <c r="H1748" s="1030">
        <v>463509</v>
      </c>
      <c r="I1748" s="1030">
        <v>0</v>
      </c>
      <c r="J1748" s="1034">
        <v>0</v>
      </c>
      <c r="K1748" s="1030">
        <v>0</v>
      </c>
      <c r="L1748" s="1030">
        <v>0</v>
      </c>
      <c r="M1748" s="979">
        <v>599</v>
      </c>
    </row>
    <row r="1749" spans="1:13" ht="15">
      <c r="A1749" s="979" t="s">
        <v>3711</v>
      </c>
      <c r="B1749" s="722" t="str">
        <f>CONCATENATE(LEFT(RIGHT(CONCATENATE("000",IFAData_TEA!A1749),6),3),"-",(RIGHT(RIGHT(CONCATENATE("000",IFAData_TEA!A1749),6),3)))</f>
        <v>205-906</v>
      </c>
      <c r="C1749" s="979" t="s">
        <v>267</v>
      </c>
      <c r="D1749" s="979">
        <v>5</v>
      </c>
      <c r="E1749" s="979">
        <v>2337</v>
      </c>
      <c r="F1749" s="979" t="s">
        <v>5427</v>
      </c>
      <c r="G1749" s="979" t="s">
        <v>5429</v>
      </c>
      <c r="H1749" s="1030">
        <v>463509</v>
      </c>
      <c r="I1749" s="1030">
        <v>305200</v>
      </c>
      <c r="J1749" s="1034">
        <v>0.67799321118200073</v>
      </c>
      <c r="K1749" s="1030">
        <v>314255.955321758</v>
      </c>
      <c r="L1749" s="1030">
        <v>305200</v>
      </c>
      <c r="M1749" s="979">
        <v>599</v>
      </c>
    </row>
    <row r="1750" spans="1:13" ht="15">
      <c r="A1750" s="979" t="s">
        <v>3711</v>
      </c>
      <c r="B1750" s="722" t="str">
        <f>CONCATENATE(LEFT(RIGHT(CONCATENATE("000",IFAData_TEA!A1750),6),3),"-",(RIGHT(RIGHT(CONCATENATE("000",IFAData_TEA!A1750),6),3)))</f>
        <v>205-906</v>
      </c>
      <c r="C1750" s="979" t="s">
        <v>267</v>
      </c>
      <c r="D1750" s="979">
        <v>10</v>
      </c>
      <c r="E1750" s="979">
        <v>2336</v>
      </c>
      <c r="F1750" s="979" t="s">
        <v>5430</v>
      </c>
      <c r="G1750" s="979" t="s">
        <v>5430</v>
      </c>
      <c r="H1750" s="1030">
        <v>359677</v>
      </c>
      <c r="I1750" s="1030">
        <v>352078</v>
      </c>
      <c r="J1750" s="1034">
        <v>1</v>
      </c>
      <c r="K1750" s="1030">
        <v>359677</v>
      </c>
      <c r="L1750" s="1030">
        <v>352078</v>
      </c>
      <c r="M1750" s="979">
        <v>199</v>
      </c>
    </row>
    <row r="1751" spans="1:13" ht="15">
      <c r="A1751" s="979" t="s">
        <v>3711</v>
      </c>
      <c r="B1751" s="722" t="str">
        <f>CONCATENATE(LEFT(RIGHT(CONCATENATE("000",IFAData_TEA!A1751),6),3),"-",(RIGHT(RIGHT(CONCATENATE("000",IFAData_TEA!A1751),6),3)))</f>
        <v>205-906</v>
      </c>
      <c r="C1751" s="979" t="s">
        <v>267</v>
      </c>
      <c r="D1751" s="979">
        <v>5</v>
      </c>
      <c r="E1751" s="979">
        <v>2337</v>
      </c>
      <c r="F1751" s="979" t="s">
        <v>5427</v>
      </c>
      <c r="G1751" s="979" t="s">
        <v>5428</v>
      </c>
      <c r="H1751" s="1030">
        <v>463509</v>
      </c>
      <c r="I1751" s="1030">
        <v>144952</v>
      </c>
      <c r="J1751" s="1034">
        <v>0.32200678881799927</v>
      </c>
      <c r="K1751" s="1030">
        <v>149253.04467824203</v>
      </c>
      <c r="L1751" s="1030">
        <v>144952</v>
      </c>
      <c r="M1751" s="979">
        <v>599</v>
      </c>
    </row>
    <row r="1752" spans="1:13" ht="15">
      <c r="A1752" s="979" t="s">
        <v>3712</v>
      </c>
      <c r="B1752" s="722" t="str">
        <f>CONCATENATE(LEFT(RIGHT(CONCATENATE("000",IFAData_TEA!A1752),6),3),"-",(RIGHT(RIGHT(CONCATENATE("000",IFAData_TEA!A1752),6),3)))</f>
        <v>205-907</v>
      </c>
      <c r="C1752" s="979" t="s">
        <v>601</v>
      </c>
      <c r="D1752" s="979">
        <v>4</v>
      </c>
      <c r="E1752" s="979">
        <v>2389</v>
      </c>
      <c r="F1752" s="979" t="s">
        <v>5431</v>
      </c>
      <c r="G1752" s="979" t="s">
        <v>5432</v>
      </c>
      <c r="H1752" s="1030">
        <v>347528</v>
      </c>
      <c r="I1752" s="1030">
        <v>335213</v>
      </c>
      <c r="J1752" s="1034">
        <v>1</v>
      </c>
      <c r="K1752" s="1030">
        <v>347528</v>
      </c>
      <c r="L1752" s="1030">
        <v>335213</v>
      </c>
      <c r="M1752" s="979">
        <v>599</v>
      </c>
    </row>
    <row r="1753" spans="1:13" ht="15">
      <c r="A1753" s="979" t="s">
        <v>3712</v>
      </c>
      <c r="B1753" s="722" t="str">
        <f>CONCATENATE(LEFT(RIGHT(CONCATENATE("000",IFAData_TEA!A1753),6),3),"-",(RIGHT(RIGHT(CONCATENATE("000",IFAData_TEA!A1753),6),3)))</f>
        <v>205-907</v>
      </c>
      <c r="C1753" s="979" t="s">
        <v>601</v>
      </c>
      <c r="D1753" s="979">
        <v>10</v>
      </c>
      <c r="E1753" s="979">
        <v>2388</v>
      </c>
      <c r="F1753" s="979" t="s">
        <v>5433</v>
      </c>
      <c r="G1753" s="979" t="s">
        <v>5433</v>
      </c>
      <c r="H1753" s="1030">
        <v>284438</v>
      </c>
      <c r="I1753" s="1030">
        <v>880937</v>
      </c>
      <c r="J1753" s="1034">
        <v>1</v>
      </c>
      <c r="K1753" s="1030">
        <v>284438</v>
      </c>
      <c r="L1753" s="1030">
        <v>284438</v>
      </c>
      <c r="M1753" s="979">
        <v>599</v>
      </c>
    </row>
    <row r="1754" spans="1:13" ht="15">
      <c r="A1754" s="979" t="s">
        <v>3712</v>
      </c>
      <c r="B1754" s="722" t="str">
        <f>CONCATENATE(LEFT(RIGHT(CONCATENATE("000",IFAData_TEA!A1754),6),3),"-",(RIGHT(RIGHT(CONCATENATE("000",IFAData_TEA!A1754),6),3)))</f>
        <v>205-907</v>
      </c>
      <c r="C1754" s="979" t="s">
        <v>601</v>
      </c>
      <c r="D1754" s="979">
        <v>4</v>
      </c>
      <c r="E1754" s="979">
        <v>2389</v>
      </c>
      <c r="F1754" s="979" t="s">
        <v>5431</v>
      </c>
      <c r="G1754" s="979" t="s">
        <v>5431</v>
      </c>
      <c r="H1754" s="1030">
        <v>347528</v>
      </c>
      <c r="I1754" s="1030">
        <v>0</v>
      </c>
      <c r="J1754" s="1034">
        <v>0</v>
      </c>
      <c r="K1754" s="1030">
        <v>0</v>
      </c>
      <c r="L1754" s="1030">
        <v>0</v>
      </c>
      <c r="M1754" s="979">
        <v>599</v>
      </c>
    </row>
    <row r="1755" spans="1:13" ht="15">
      <c r="A1755" s="979" t="s">
        <v>3713</v>
      </c>
      <c r="B1755" s="722" t="str">
        <f>CONCATENATE(LEFT(RIGHT(CONCATENATE("000",IFAData_TEA!A1755),6),3),"-",(RIGHT(RIGHT(CONCATENATE("000",IFAData_TEA!A1755),6),3)))</f>
        <v>206-901</v>
      </c>
      <c r="C1755" s="979" t="s">
        <v>1404</v>
      </c>
      <c r="D1755" s="979">
        <v>2</v>
      </c>
      <c r="E1755" s="979">
        <v>2302</v>
      </c>
      <c r="F1755" s="979" t="s">
        <v>5434</v>
      </c>
      <c r="G1755" s="979" t="s">
        <v>5434</v>
      </c>
      <c r="H1755" s="1030">
        <v>190287</v>
      </c>
      <c r="I1755" s="1030">
        <v>0</v>
      </c>
      <c r="J1755" s="1034">
        <v>0</v>
      </c>
      <c r="K1755" s="1030">
        <v>0</v>
      </c>
      <c r="L1755" s="1030">
        <v>0</v>
      </c>
      <c r="M1755" s="979">
        <v>599</v>
      </c>
    </row>
    <row r="1756" spans="1:13" ht="15">
      <c r="A1756" s="979" t="s">
        <v>3713</v>
      </c>
      <c r="B1756" s="722" t="str">
        <f>CONCATENATE(LEFT(RIGHT(CONCATENATE("000",IFAData_TEA!A1756),6),3),"-",(RIGHT(RIGHT(CONCATENATE("000",IFAData_TEA!A1756),6),3)))</f>
        <v>206-901</v>
      </c>
      <c r="C1756" s="979" t="s">
        <v>1404</v>
      </c>
      <c r="D1756" s="979">
        <v>2</v>
      </c>
      <c r="E1756" s="979">
        <v>2302</v>
      </c>
      <c r="F1756" s="979" t="s">
        <v>5434</v>
      </c>
      <c r="G1756" s="979" t="s">
        <v>5435</v>
      </c>
      <c r="H1756" s="1030">
        <v>190287</v>
      </c>
      <c r="I1756" s="1030">
        <v>179925</v>
      </c>
      <c r="J1756" s="1034">
        <v>1</v>
      </c>
      <c r="K1756" s="1030">
        <v>190287</v>
      </c>
      <c r="L1756" s="1030">
        <v>179925</v>
      </c>
      <c r="M1756" s="979">
        <v>599</v>
      </c>
    </row>
    <row r="1757" spans="1:13" ht="15">
      <c r="A1757" s="979" t="s">
        <v>3714</v>
      </c>
      <c r="B1757" s="722" t="str">
        <f>CONCATENATE(LEFT(RIGHT(CONCATENATE("000",IFAData_TEA!A1757),6),3),"-",(RIGHT(RIGHT(CONCATENATE("000",IFAData_TEA!A1757),6),3)))</f>
        <v>210-901</v>
      </c>
      <c r="C1757" s="979" t="s">
        <v>1776</v>
      </c>
      <c r="D1757" s="979">
        <v>9</v>
      </c>
      <c r="E1757" s="979">
        <v>1673</v>
      </c>
      <c r="F1757" s="979" t="s">
        <v>5436</v>
      </c>
      <c r="G1757" s="979" t="s">
        <v>5436</v>
      </c>
      <c r="H1757" s="1030">
        <v>246712</v>
      </c>
      <c r="I1757" s="1030">
        <v>1291712</v>
      </c>
      <c r="J1757" s="1034">
        <v>1</v>
      </c>
      <c r="K1757" s="1030">
        <v>246712</v>
      </c>
      <c r="L1757" s="1030">
        <v>246712</v>
      </c>
      <c r="M1757" s="979">
        <v>599</v>
      </c>
    </row>
    <row r="1758" spans="1:13" ht="15">
      <c r="A1758" s="979" t="s">
        <v>3715</v>
      </c>
      <c r="B1758" s="722" t="str">
        <f>CONCATENATE(LEFT(RIGHT(CONCATENATE("000",IFAData_TEA!A1758),6),3),"-",(RIGHT(RIGHT(CONCATENATE("000",IFAData_TEA!A1758),6),3)))</f>
        <v>210-903</v>
      </c>
      <c r="C1758" s="979" t="s">
        <v>1249</v>
      </c>
      <c r="D1758" s="979">
        <v>4</v>
      </c>
      <c r="E1758" s="979">
        <v>2328</v>
      </c>
      <c r="F1758" s="979" t="s">
        <v>5437</v>
      </c>
      <c r="G1758" s="979" t="s">
        <v>6321</v>
      </c>
      <c r="H1758" s="1030">
        <v>176318</v>
      </c>
      <c r="I1758" s="1030">
        <v>49675</v>
      </c>
      <c r="J1758" s="1034">
        <v>0.31685536597033964</v>
      </c>
      <c r="K1758" s="1030">
        <v>55867.304417158346</v>
      </c>
      <c r="L1758" s="1030">
        <v>49675</v>
      </c>
      <c r="M1758" s="979">
        <v>599</v>
      </c>
    </row>
    <row r="1759" spans="1:13" ht="15">
      <c r="A1759" s="979" t="s">
        <v>3715</v>
      </c>
      <c r="B1759" s="722" t="str">
        <f>CONCATENATE(LEFT(RIGHT(CONCATENATE("000",IFAData_TEA!A1759),6),3),"-",(RIGHT(RIGHT(CONCATENATE("000",IFAData_TEA!A1759),6),3)))</f>
        <v>210-903</v>
      </c>
      <c r="C1759" s="979" t="s">
        <v>1249</v>
      </c>
      <c r="D1759" s="979">
        <v>4</v>
      </c>
      <c r="E1759" s="979">
        <v>2328</v>
      </c>
      <c r="F1759" s="979" t="s">
        <v>5437</v>
      </c>
      <c r="G1759" s="979" t="s">
        <v>5438</v>
      </c>
      <c r="H1759" s="1030">
        <v>176318</v>
      </c>
      <c r="I1759" s="1030">
        <v>107100</v>
      </c>
      <c r="J1759" s="1034">
        <v>0.6831446340296603</v>
      </c>
      <c r="K1759" s="1030">
        <v>120450.69558284164</v>
      </c>
      <c r="L1759" s="1030">
        <v>107100</v>
      </c>
      <c r="M1759" s="979">
        <v>599</v>
      </c>
    </row>
    <row r="1760" spans="1:13" ht="15">
      <c r="A1760" s="979" t="s">
        <v>3715</v>
      </c>
      <c r="B1760" s="722" t="str">
        <f>CONCATENATE(LEFT(RIGHT(CONCATENATE("000",IFAData_TEA!A1760),6),3),"-",(RIGHT(RIGHT(CONCATENATE("000",IFAData_TEA!A1760),6),3)))</f>
        <v>210-903</v>
      </c>
      <c r="C1760" s="979" t="s">
        <v>1249</v>
      </c>
      <c r="D1760" s="979">
        <v>4</v>
      </c>
      <c r="E1760" s="979">
        <v>2328</v>
      </c>
      <c r="F1760" s="979" t="s">
        <v>5437</v>
      </c>
      <c r="G1760" s="979" t="s">
        <v>5437</v>
      </c>
      <c r="H1760" s="1030">
        <v>176318</v>
      </c>
      <c r="I1760" s="1030">
        <v>0</v>
      </c>
      <c r="J1760" s="1034">
        <v>0</v>
      </c>
      <c r="K1760" s="1030">
        <v>0</v>
      </c>
      <c r="L1760" s="1030">
        <v>0</v>
      </c>
      <c r="M1760" s="979">
        <v>599</v>
      </c>
    </row>
    <row r="1761" spans="1:13" ht="15">
      <c r="A1761" s="979" t="s">
        <v>3716</v>
      </c>
      <c r="B1761" s="722" t="str">
        <f>CONCATENATE(LEFT(RIGHT(CONCATENATE("000",IFAData_TEA!A1761),6),3),"-",(RIGHT(RIGHT(CONCATENATE("000",IFAData_TEA!A1761),6),3)))</f>
        <v>212-901</v>
      </c>
      <c r="C1761" s="979" t="s">
        <v>2115</v>
      </c>
      <c r="D1761" s="979">
        <v>6</v>
      </c>
      <c r="E1761" s="979">
        <v>1584</v>
      </c>
      <c r="F1761" s="979" t="s">
        <v>5439</v>
      </c>
      <c r="G1761" s="979" t="s">
        <v>5441</v>
      </c>
      <c r="H1761" s="1030">
        <v>219258</v>
      </c>
      <c r="I1761" s="1030">
        <v>187058</v>
      </c>
      <c r="J1761" s="1034">
        <v>0.46246767438525704</v>
      </c>
      <c r="K1761" s="1030">
        <v>101399.73735036269</v>
      </c>
      <c r="L1761" s="1030">
        <v>101399.73735036269</v>
      </c>
      <c r="M1761" s="979">
        <v>599</v>
      </c>
    </row>
    <row r="1762" spans="1:13" ht="15">
      <c r="A1762" s="979" t="s">
        <v>3716</v>
      </c>
      <c r="B1762" s="722" t="str">
        <f>CONCATENATE(LEFT(RIGHT(CONCATENATE("000",IFAData_TEA!A1762),6),3),"-",(RIGHT(RIGHT(CONCATENATE("000",IFAData_TEA!A1762),6),3)))</f>
        <v>212-901</v>
      </c>
      <c r="C1762" s="979" t="s">
        <v>2115</v>
      </c>
      <c r="D1762" s="979">
        <v>6</v>
      </c>
      <c r="E1762" s="979">
        <v>1584</v>
      </c>
      <c r="F1762" s="979" t="s">
        <v>5439</v>
      </c>
      <c r="G1762" s="979" t="s">
        <v>5439</v>
      </c>
      <c r="H1762" s="1030">
        <v>219258</v>
      </c>
      <c r="I1762" s="1030">
        <v>0</v>
      </c>
      <c r="J1762" s="1034">
        <v>0</v>
      </c>
      <c r="K1762" s="1030">
        <v>0</v>
      </c>
      <c r="L1762" s="1030">
        <v>0</v>
      </c>
      <c r="M1762" s="979">
        <v>599</v>
      </c>
    </row>
    <row r="1763" spans="1:13" ht="15">
      <c r="A1763" s="979" t="s">
        <v>3716</v>
      </c>
      <c r="B1763" s="722" t="str">
        <f>CONCATENATE(LEFT(RIGHT(CONCATENATE("000",IFAData_TEA!A1763),6),3),"-",(RIGHT(RIGHT(CONCATENATE("000",IFAData_TEA!A1763),6),3)))</f>
        <v>212-901</v>
      </c>
      <c r="C1763" s="979" t="s">
        <v>2115</v>
      </c>
      <c r="D1763" s="979">
        <v>6</v>
      </c>
      <c r="E1763" s="979">
        <v>1584</v>
      </c>
      <c r="F1763" s="979" t="s">
        <v>5439</v>
      </c>
      <c r="G1763" s="979" t="s">
        <v>5440</v>
      </c>
      <c r="H1763" s="1030">
        <v>219258</v>
      </c>
      <c r="I1763" s="1030">
        <v>217420</v>
      </c>
      <c r="J1763" s="1034">
        <v>0.53753232561474296</v>
      </c>
      <c r="K1763" s="1030">
        <v>117858.26264963731</v>
      </c>
      <c r="L1763" s="1030">
        <v>117858.26264963731</v>
      </c>
      <c r="M1763" s="979">
        <v>599</v>
      </c>
    </row>
    <row r="1764" spans="1:13" ht="15">
      <c r="A1764" s="979" t="s">
        <v>3717</v>
      </c>
      <c r="B1764" s="722" t="str">
        <f>CONCATENATE(LEFT(RIGHT(CONCATENATE("000",IFAData_TEA!A1764),6),3),"-",(RIGHT(RIGHT(CONCATENATE("000",IFAData_TEA!A1764),6),3)))</f>
        <v>212-903</v>
      </c>
      <c r="C1764" s="979" t="s">
        <v>1996</v>
      </c>
      <c r="D1764" s="979">
        <v>10</v>
      </c>
      <c r="E1764" s="979">
        <v>2021</v>
      </c>
      <c r="F1764" s="979" t="s">
        <v>5442</v>
      </c>
      <c r="G1764" s="979" t="s">
        <v>5442</v>
      </c>
      <c r="H1764" s="1030">
        <v>863361</v>
      </c>
      <c r="I1764" s="1030">
        <v>991065</v>
      </c>
      <c r="J1764" s="1034">
        <v>1</v>
      </c>
      <c r="K1764" s="1030">
        <v>863361</v>
      </c>
      <c r="L1764" s="1030">
        <v>863361</v>
      </c>
      <c r="M1764" s="979">
        <v>599</v>
      </c>
    </row>
    <row r="1765" spans="1:13" ht="15">
      <c r="A1765" s="979" t="s">
        <v>3718</v>
      </c>
      <c r="B1765" s="722" t="str">
        <f>CONCATENATE(LEFT(RIGHT(CONCATENATE("000",IFAData_TEA!A1765),6),3),"-",(RIGHT(RIGHT(CONCATENATE("000",IFAData_TEA!A1765),6),3)))</f>
        <v>212-906</v>
      </c>
      <c r="C1765" s="979" t="s">
        <v>1334</v>
      </c>
      <c r="D1765" s="979">
        <v>2</v>
      </c>
      <c r="E1765" s="979">
        <v>2451</v>
      </c>
      <c r="F1765" s="979" t="s">
        <v>5443</v>
      </c>
      <c r="G1765" s="979" t="s">
        <v>5444</v>
      </c>
      <c r="H1765" s="1030">
        <v>962500</v>
      </c>
      <c r="I1765" s="1030">
        <v>1729837</v>
      </c>
      <c r="J1765" s="1034">
        <v>0.97645229919737087</v>
      </c>
      <c r="K1765" s="1030">
        <v>939835.33797746943</v>
      </c>
      <c r="L1765" s="1030">
        <v>939835.33797746943</v>
      </c>
      <c r="M1765" s="979">
        <v>599</v>
      </c>
    </row>
    <row r="1766" spans="1:13" ht="15">
      <c r="A1766" s="979" t="s">
        <v>3718</v>
      </c>
      <c r="B1766" s="722" t="str">
        <f>CONCATENATE(LEFT(RIGHT(CONCATENATE("000",IFAData_TEA!A1766),6),3),"-",(RIGHT(RIGHT(CONCATENATE("000",IFAData_TEA!A1766),6),3)))</f>
        <v>212-906</v>
      </c>
      <c r="C1766" s="979" t="s">
        <v>1334</v>
      </c>
      <c r="D1766" s="979">
        <v>2</v>
      </c>
      <c r="E1766" s="979">
        <v>2451</v>
      </c>
      <c r="F1766" s="979" t="s">
        <v>5443</v>
      </c>
      <c r="G1766" s="979" t="s">
        <v>5443</v>
      </c>
      <c r="H1766" s="1030">
        <v>962500</v>
      </c>
      <c r="I1766" s="1030">
        <v>41716</v>
      </c>
      <c r="J1766" s="1034">
        <v>2.3547700802629107E-2</v>
      </c>
      <c r="K1766" s="1030">
        <v>22664.662022530516</v>
      </c>
      <c r="L1766" s="1030">
        <v>22664.662022530516</v>
      </c>
      <c r="M1766" s="979">
        <v>599</v>
      </c>
    </row>
    <row r="1767" spans="1:13" ht="15">
      <c r="A1767" s="979" t="s">
        <v>3719</v>
      </c>
      <c r="B1767" s="722" t="str">
        <f>CONCATENATE(LEFT(RIGHT(CONCATENATE("000",IFAData_TEA!A1767),6),3),"-",(RIGHT(RIGHT(CONCATENATE("000",IFAData_TEA!A1767),6),3)))</f>
        <v>212-909</v>
      </c>
      <c r="C1767" s="979" t="s">
        <v>660</v>
      </c>
      <c r="D1767" s="979">
        <v>9</v>
      </c>
      <c r="E1767" s="979">
        <v>1681</v>
      </c>
      <c r="F1767" s="979" t="s">
        <v>5445</v>
      </c>
      <c r="G1767" s="979" t="s">
        <v>6322</v>
      </c>
      <c r="H1767" s="1030">
        <v>722890</v>
      </c>
      <c r="I1767" s="1030">
        <v>279347</v>
      </c>
      <c r="J1767" s="1034">
        <v>0.26499638572732259</v>
      </c>
      <c r="K1767" s="1030">
        <v>191563.23727842423</v>
      </c>
      <c r="L1767" s="1030">
        <v>191563.23727842423</v>
      </c>
      <c r="M1767" s="979">
        <v>599</v>
      </c>
    </row>
    <row r="1768" spans="1:13" ht="15">
      <c r="A1768" s="979" t="s">
        <v>3719</v>
      </c>
      <c r="B1768" s="722" t="str">
        <f>CONCATENATE(LEFT(RIGHT(CONCATENATE("000",IFAData_TEA!A1768),6),3),"-",(RIGHT(RIGHT(CONCATENATE("000",IFAData_TEA!A1768),6),3)))</f>
        <v>212-909</v>
      </c>
      <c r="C1768" s="979" t="s">
        <v>660</v>
      </c>
      <c r="D1768" s="979">
        <v>9</v>
      </c>
      <c r="E1768" s="979">
        <v>1681</v>
      </c>
      <c r="F1768" s="979" t="s">
        <v>5445</v>
      </c>
      <c r="G1768" s="979" t="s">
        <v>5445</v>
      </c>
      <c r="H1768" s="1030">
        <v>722890</v>
      </c>
      <c r="I1768" s="1030">
        <v>774807</v>
      </c>
      <c r="J1768" s="1034">
        <v>0.73500361427267746</v>
      </c>
      <c r="K1768" s="1030">
        <v>531326.7627215758</v>
      </c>
      <c r="L1768" s="1030">
        <v>531326.7627215758</v>
      </c>
      <c r="M1768" s="979">
        <v>599</v>
      </c>
    </row>
    <row r="1769" spans="1:13" ht="15">
      <c r="A1769" s="979" t="s">
        <v>3719</v>
      </c>
      <c r="B1769" s="722" t="str">
        <f>CONCATENATE(LEFT(RIGHT(CONCATENATE("000",IFAData_TEA!A1769),6),3),"-",(RIGHT(RIGHT(CONCATENATE("000",IFAData_TEA!A1769),6),3)))</f>
        <v>212-909</v>
      </c>
      <c r="C1769" s="979" t="s">
        <v>660</v>
      </c>
      <c r="D1769" s="979">
        <v>9</v>
      </c>
      <c r="E1769" s="979">
        <v>1681</v>
      </c>
      <c r="F1769" s="979" t="s">
        <v>5445</v>
      </c>
      <c r="G1769" s="979" t="s">
        <v>6323</v>
      </c>
      <c r="H1769" s="1030">
        <v>722890</v>
      </c>
      <c r="I1769" s="1030">
        <v>0</v>
      </c>
      <c r="J1769" s="1034">
        <v>0</v>
      </c>
      <c r="K1769" s="1030">
        <v>0</v>
      </c>
      <c r="L1769" s="1030">
        <v>0</v>
      </c>
      <c r="M1769" s="979">
        <v>599</v>
      </c>
    </row>
    <row r="1770" spans="1:13" ht="15">
      <c r="A1770" s="979" t="s">
        <v>3720</v>
      </c>
      <c r="B1770" s="722" t="str">
        <f>CONCATENATE(LEFT(RIGHT(CONCATENATE("000",IFAData_TEA!A1770),6),3),"-",(RIGHT(RIGHT(CONCATENATE("000",IFAData_TEA!A1770),6),3)))</f>
        <v>214-901</v>
      </c>
      <c r="C1770" s="979" t="s">
        <v>2693</v>
      </c>
      <c r="D1770" s="979">
        <v>2</v>
      </c>
      <c r="E1770" s="979">
        <v>2239</v>
      </c>
      <c r="F1770" s="979" t="s">
        <v>5446</v>
      </c>
      <c r="G1770" s="979" t="s">
        <v>5446</v>
      </c>
      <c r="H1770" s="1030">
        <v>595803</v>
      </c>
      <c r="I1770" s="1030">
        <v>0</v>
      </c>
      <c r="J1770" s="1034">
        <v>0</v>
      </c>
      <c r="K1770" s="1030"/>
      <c r="L1770" s="1030">
        <v>0</v>
      </c>
      <c r="M1770" s="979">
        <v>199</v>
      </c>
    </row>
    <row r="1771" spans="1:13" ht="15">
      <c r="A1771" s="979" t="s">
        <v>3720</v>
      </c>
      <c r="B1771" s="722" t="str">
        <f>CONCATENATE(LEFT(RIGHT(CONCATENATE("000",IFAData_TEA!A1771),6),3),"-",(RIGHT(RIGHT(CONCATENATE("000",IFAData_TEA!A1771),6),3)))</f>
        <v>214-901</v>
      </c>
      <c r="C1771" s="979" t="s">
        <v>2693</v>
      </c>
      <c r="D1771" s="979">
        <v>8</v>
      </c>
      <c r="E1771" s="979">
        <v>2244</v>
      </c>
      <c r="F1771" s="979" t="s">
        <v>5454</v>
      </c>
      <c r="G1771" s="979" t="s">
        <v>5454</v>
      </c>
      <c r="H1771" s="1030">
        <v>2370209</v>
      </c>
      <c r="I1771" s="1030">
        <v>2367634</v>
      </c>
      <c r="J1771" s="1034">
        <v>1</v>
      </c>
      <c r="K1771" s="1030">
        <v>2370209</v>
      </c>
      <c r="L1771" s="1030">
        <v>2367634</v>
      </c>
      <c r="M1771" s="979">
        <v>599</v>
      </c>
    </row>
    <row r="1772" spans="1:13" ht="15">
      <c r="A1772" s="979" t="s">
        <v>3720</v>
      </c>
      <c r="B1772" s="722" t="str">
        <f>CONCATENATE(LEFT(RIGHT(CONCATENATE("000",IFAData_TEA!A1772),6),3),"-",(RIGHT(RIGHT(CONCATENATE("000",IFAData_TEA!A1772),6),3)))</f>
        <v>214-901</v>
      </c>
      <c r="C1772" s="979" t="s">
        <v>2693</v>
      </c>
      <c r="D1772" s="979">
        <v>7</v>
      </c>
      <c r="E1772" s="979">
        <v>2240</v>
      </c>
      <c r="F1772" s="979" t="s">
        <v>5452</v>
      </c>
      <c r="G1772" s="979" t="s">
        <v>5453</v>
      </c>
      <c r="H1772" s="1030">
        <v>1469426</v>
      </c>
      <c r="I1772" s="1030">
        <v>1354325</v>
      </c>
      <c r="J1772" s="1034">
        <v>1</v>
      </c>
      <c r="K1772" s="1030">
        <v>1469426</v>
      </c>
      <c r="L1772" s="1030">
        <v>1354325</v>
      </c>
      <c r="M1772" s="979">
        <v>599</v>
      </c>
    </row>
    <row r="1773" spans="1:13" ht="15">
      <c r="A1773" s="979" t="s">
        <v>3720</v>
      </c>
      <c r="B1773" s="722" t="str">
        <f>CONCATENATE(LEFT(RIGHT(CONCATENATE("000",IFAData_TEA!A1773),6),3),"-",(RIGHT(RIGHT(CONCATENATE("000",IFAData_TEA!A1773),6),3)))</f>
        <v>214-901</v>
      </c>
      <c r="C1773" s="979" t="s">
        <v>2693</v>
      </c>
      <c r="D1773" s="979">
        <v>6</v>
      </c>
      <c r="E1773" s="979">
        <v>2241</v>
      </c>
      <c r="F1773" s="979" t="s">
        <v>5449</v>
      </c>
      <c r="G1773" s="979" t="s">
        <v>5451</v>
      </c>
      <c r="H1773" s="1030">
        <v>1797043</v>
      </c>
      <c r="I1773" s="1030">
        <v>1242790</v>
      </c>
      <c r="J1773" s="1034">
        <v>0.76625468123228158</v>
      </c>
      <c r="K1773" s="1030">
        <v>1376992.611125703</v>
      </c>
      <c r="L1773" s="1030">
        <v>1242790</v>
      </c>
      <c r="M1773" s="979">
        <v>599</v>
      </c>
    </row>
    <row r="1774" spans="1:13" ht="15">
      <c r="A1774" s="979" t="s">
        <v>3720</v>
      </c>
      <c r="B1774" s="722" t="str">
        <f>CONCATENATE(LEFT(RIGHT(CONCATENATE("000",IFAData_TEA!A1774),6),3),"-",(RIGHT(RIGHT(CONCATENATE("000",IFAData_TEA!A1774),6),3)))</f>
        <v>214-901</v>
      </c>
      <c r="C1774" s="979" t="s">
        <v>2693</v>
      </c>
      <c r="D1774" s="979">
        <v>6</v>
      </c>
      <c r="E1774" s="979">
        <v>2241</v>
      </c>
      <c r="F1774" s="979" t="s">
        <v>5449</v>
      </c>
      <c r="G1774" s="979" t="s">
        <v>5450</v>
      </c>
      <c r="H1774" s="1030">
        <v>1797043</v>
      </c>
      <c r="I1774" s="1030">
        <v>379112</v>
      </c>
      <c r="J1774" s="1034">
        <v>0.2337453187677184</v>
      </c>
      <c r="K1774" s="1030">
        <v>420050.38887429697</v>
      </c>
      <c r="L1774" s="1030">
        <v>379112</v>
      </c>
      <c r="M1774" s="979">
        <v>599</v>
      </c>
    </row>
    <row r="1775" spans="1:13" ht="15">
      <c r="A1775" s="979" t="s">
        <v>3720</v>
      </c>
      <c r="B1775" s="722" t="str">
        <f>CONCATENATE(LEFT(RIGHT(CONCATENATE("000",IFAData_TEA!A1775),6),3),"-",(RIGHT(RIGHT(CONCATENATE("000",IFAData_TEA!A1775),6),3)))</f>
        <v>214-901</v>
      </c>
      <c r="C1775" s="979" t="s">
        <v>2693</v>
      </c>
      <c r="D1775" s="979">
        <v>4</v>
      </c>
      <c r="E1775" s="979">
        <v>2242</v>
      </c>
      <c r="F1775" s="979" t="s">
        <v>5447</v>
      </c>
      <c r="G1775" s="979" t="s">
        <v>5448</v>
      </c>
      <c r="H1775" s="1030">
        <v>1967288</v>
      </c>
      <c r="I1775" s="1030">
        <v>1908750</v>
      </c>
      <c r="J1775" s="1034">
        <v>0.83048636588303271</v>
      </c>
      <c r="K1775" s="1030">
        <v>1633805.8617652997</v>
      </c>
      <c r="L1775" s="1030">
        <v>1633805.8617652997</v>
      </c>
      <c r="M1775" s="979">
        <v>599</v>
      </c>
    </row>
    <row r="1776" spans="1:13" ht="15">
      <c r="A1776" s="979" t="s">
        <v>3720</v>
      </c>
      <c r="B1776" s="722" t="str">
        <f>CONCATENATE(LEFT(RIGHT(CONCATENATE("000",IFAData_TEA!A1776),6),3),"-",(RIGHT(RIGHT(CONCATENATE("000",IFAData_TEA!A1776),6),3)))</f>
        <v>214-901</v>
      </c>
      <c r="C1776" s="979" t="s">
        <v>2693</v>
      </c>
      <c r="D1776" s="979">
        <v>4</v>
      </c>
      <c r="E1776" s="979">
        <v>2242</v>
      </c>
      <c r="F1776" s="979" t="s">
        <v>5447</v>
      </c>
      <c r="G1776" s="979" t="s">
        <v>5447</v>
      </c>
      <c r="H1776" s="1030">
        <v>1967288</v>
      </c>
      <c r="I1776" s="1030">
        <v>0</v>
      </c>
      <c r="J1776" s="1034">
        <v>0</v>
      </c>
      <c r="K1776" s="1030">
        <v>0</v>
      </c>
      <c r="L1776" s="1030">
        <v>0</v>
      </c>
      <c r="M1776" s="979">
        <v>599</v>
      </c>
    </row>
    <row r="1777" spans="1:13" ht="15">
      <c r="A1777" s="979" t="s">
        <v>3720</v>
      </c>
      <c r="B1777" s="722" t="str">
        <f>CONCATENATE(LEFT(RIGHT(CONCATENATE("000",IFAData_TEA!A1777),6),3),"-",(RIGHT(RIGHT(CONCATENATE("000",IFAData_TEA!A1777),6),3)))</f>
        <v>214-901</v>
      </c>
      <c r="C1777" s="979" t="s">
        <v>2693</v>
      </c>
      <c r="D1777" s="979">
        <v>10</v>
      </c>
      <c r="E1777" s="979">
        <v>2243</v>
      </c>
      <c r="F1777" s="979" t="s">
        <v>5455</v>
      </c>
      <c r="G1777" s="979" t="s">
        <v>5455</v>
      </c>
      <c r="H1777" s="1030">
        <v>2133360</v>
      </c>
      <c r="I1777" s="1030">
        <v>2125260</v>
      </c>
      <c r="J1777" s="1034">
        <v>1</v>
      </c>
      <c r="K1777" s="1030">
        <v>2133360</v>
      </c>
      <c r="L1777" s="1030">
        <v>2125260</v>
      </c>
      <c r="M1777" s="979">
        <v>599</v>
      </c>
    </row>
    <row r="1778" spans="1:13" ht="15">
      <c r="A1778" s="979" t="s">
        <v>3720</v>
      </c>
      <c r="B1778" s="722" t="str">
        <f>CONCATENATE(LEFT(RIGHT(CONCATENATE("000",IFAData_TEA!A1778),6),3),"-",(RIGHT(RIGHT(CONCATENATE("000",IFAData_TEA!A1778),6),3)))</f>
        <v>214-901</v>
      </c>
      <c r="C1778" s="979" t="s">
        <v>2693</v>
      </c>
      <c r="D1778" s="979">
        <v>7</v>
      </c>
      <c r="E1778" s="979">
        <v>2240</v>
      </c>
      <c r="F1778" s="979" t="s">
        <v>5452</v>
      </c>
      <c r="G1778" s="979" t="s">
        <v>5452</v>
      </c>
      <c r="H1778" s="1030">
        <v>1469426</v>
      </c>
      <c r="I1778" s="1030">
        <v>0</v>
      </c>
      <c r="J1778" s="1034">
        <v>0</v>
      </c>
      <c r="K1778" s="1030">
        <v>0</v>
      </c>
      <c r="L1778" s="1030">
        <v>0</v>
      </c>
      <c r="M1778" s="979">
        <v>599</v>
      </c>
    </row>
    <row r="1779" spans="1:13" ht="15">
      <c r="A1779" s="979" t="s">
        <v>3720</v>
      </c>
      <c r="B1779" s="722" t="str">
        <f>CONCATENATE(LEFT(RIGHT(CONCATENATE("000",IFAData_TEA!A1779),6),3),"-",(RIGHT(RIGHT(CONCATENATE("000",IFAData_TEA!A1779),6),3)))</f>
        <v>214-901</v>
      </c>
      <c r="C1779" s="979" t="s">
        <v>2693</v>
      </c>
      <c r="D1779" s="979">
        <v>6</v>
      </c>
      <c r="E1779" s="979">
        <v>2241</v>
      </c>
      <c r="F1779" s="979" t="s">
        <v>5449</v>
      </c>
      <c r="G1779" s="979" t="s">
        <v>5449</v>
      </c>
      <c r="H1779" s="1030">
        <v>1797043</v>
      </c>
      <c r="I1779" s="1030">
        <v>0</v>
      </c>
      <c r="J1779" s="1034">
        <v>0</v>
      </c>
      <c r="K1779" s="1030">
        <v>0</v>
      </c>
      <c r="L1779" s="1030">
        <v>0</v>
      </c>
      <c r="M1779" s="979">
        <v>599</v>
      </c>
    </row>
    <row r="1780" spans="1:13" ht="15">
      <c r="A1780" s="979" t="s">
        <v>3720</v>
      </c>
      <c r="B1780" s="722" t="str">
        <f>CONCATENATE(LEFT(RIGHT(CONCATENATE("000",IFAData_TEA!A1780),6),3),"-",(RIGHT(RIGHT(CONCATENATE("000",IFAData_TEA!A1780),6),3)))</f>
        <v>214-901</v>
      </c>
      <c r="C1780" s="979" t="s">
        <v>2693</v>
      </c>
      <c r="D1780" s="979">
        <v>4</v>
      </c>
      <c r="E1780" s="979">
        <v>2242</v>
      </c>
      <c r="F1780" s="979" t="s">
        <v>5447</v>
      </c>
      <c r="G1780" s="979" t="s">
        <v>6324</v>
      </c>
      <c r="H1780" s="1030">
        <v>1967288</v>
      </c>
      <c r="I1780" s="1030">
        <v>389602</v>
      </c>
      <c r="J1780" s="1034">
        <v>0.16951363411696729</v>
      </c>
      <c r="K1780" s="1030">
        <v>333482.13823470037</v>
      </c>
      <c r="L1780" s="1030">
        <v>333482.13823470037</v>
      </c>
      <c r="M1780" s="979">
        <v>599</v>
      </c>
    </row>
    <row r="1781" spans="1:13" ht="15">
      <c r="A1781" s="979" t="s">
        <v>3721</v>
      </c>
      <c r="B1781" s="722" t="str">
        <f>CONCATENATE(LEFT(RIGHT(CONCATENATE("000",IFAData_TEA!A1781),6),3),"-",(RIGHT(RIGHT(CONCATENATE("000",IFAData_TEA!A1781),6),3)))</f>
        <v>214-903</v>
      </c>
      <c r="C1781" s="979" t="s">
        <v>608</v>
      </c>
      <c r="D1781" s="979">
        <v>8</v>
      </c>
      <c r="E1781" s="979">
        <v>2263</v>
      </c>
      <c r="F1781" s="979" t="s">
        <v>5460</v>
      </c>
      <c r="G1781" s="979" t="s">
        <v>5462</v>
      </c>
      <c r="H1781" s="1030">
        <v>1448810</v>
      </c>
      <c r="I1781" s="1030">
        <v>333975</v>
      </c>
      <c r="J1781" s="1034">
        <v>0.25251398760018146</v>
      </c>
      <c r="K1781" s="1030">
        <v>365844.7903750189</v>
      </c>
      <c r="L1781" s="1030">
        <v>333975</v>
      </c>
      <c r="M1781" s="979">
        <v>599</v>
      </c>
    </row>
    <row r="1782" spans="1:13" ht="15">
      <c r="A1782" s="979" t="s">
        <v>3721</v>
      </c>
      <c r="B1782" s="722" t="str">
        <f>CONCATENATE(LEFT(RIGHT(CONCATENATE("000",IFAData_TEA!A1782),6),3),"-",(RIGHT(RIGHT(CONCATENATE("000",IFAData_TEA!A1782),6),3)))</f>
        <v>214-903</v>
      </c>
      <c r="C1782" s="979" t="s">
        <v>608</v>
      </c>
      <c r="D1782" s="979">
        <v>8</v>
      </c>
      <c r="E1782" s="979">
        <v>2263</v>
      </c>
      <c r="F1782" s="979" t="s">
        <v>5460</v>
      </c>
      <c r="G1782" s="979" t="s">
        <v>5460</v>
      </c>
      <c r="H1782" s="1030">
        <v>1448810</v>
      </c>
      <c r="I1782" s="1030">
        <v>631900</v>
      </c>
      <c r="J1782" s="1034">
        <v>0.47777105700892181</v>
      </c>
      <c r="K1782" s="1030">
        <v>692199.48510509601</v>
      </c>
      <c r="L1782" s="1030">
        <v>631900</v>
      </c>
      <c r="M1782" s="979">
        <v>599</v>
      </c>
    </row>
    <row r="1783" spans="1:13" ht="15">
      <c r="A1783" s="979" t="s">
        <v>3721</v>
      </c>
      <c r="B1783" s="722" t="str">
        <f>CONCATENATE(LEFT(RIGHT(CONCATENATE("000",IFAData_TEA!A1783),6),3),"-",(RIGHT(RIGHT(CONCATENATE("000",IFAData_TEA!A1783),6),3)))</f>
        <v>214-903</v>
      </c>
      <c r="C1783" s="979" t="s">
        <v>608</v>
      </c>
      <c r="D1783" s="979">
        <v>8</v>
      </c>
      <c r="E1783" s="979">
        <v>2263</v>
      </c>
      <c r="F1783" s="979" t="s">
        <v>5460</v>
      </c>
      <c r="G1783" s="979" t="s">
        <v>5461</v>
      </c>
      <c r="H1783" s="1030">
        <v>1448810</v>
      </c>
      <c r="I1783" s="1030">
        <v>356725</v>
      </c>
      <c r="J1783" s="1034">
        <v>0.26971495539089674</v>
      </c>
      <c r="K1783" s="1030">
        <v>390765.72451988509</v>
      </c>
      <c r="L1783" s="1030">
        <v>356725</v>
      </c>
      <c r="M1783" s="979">
        <v>599</v>
      </c>
    </row>
    <row r="1784" spans="1:13" ht="15">
      <c r="A1784" s="979" t="s">
        <v>3721</v>
      </c>
      <c r="B1784" s="722" t="str">
        <f>CONCATENATE(LEFT(RIGHT(CONCATENATE("000",IFAData_TEA!A1784),6),3),"-",(RIGHT(RIGHT(CONCATENATE("000",IFAData_TEA!A1784),6),3)))</f>
        <v>214-903</v>
      </c>
      <c r="C1784" s="979" t="s">
        <v>608</v>
      </c>
      <c r="D1784" s="979">
        <v>7</v>
      </c>
      <c r="E1784" s="979">
        <v>2260</v>
      </c>
      <c r="F1784" s="979" t="s">
        <v>5458</v>
      </c>
      <c r="G1784" s="979" t="s">
        <v>5459</v>
      </c>
      <c r="H1784" s="1030">
        <v>816105</v>
      </c>
      <c r="I1784" s="1030">
        <v>740150</v>
      </c>
      <c r="J1784" s="1034">
        <v>0.47734921079209719</v>
      </c>
      <c r="K1784" s="1030">
        <v>389567.07767348445</v>
      </c>
      <c r="L1784" s="1030">
        <v>389567.07767348445</v>
      </c>
      <c r="M1784" s="979">
        <v>599</v>
      </c>
    </row>
    <row r="1785" spans="1:13" ht="15">
      <c r="A1785" s="979" t="s">
        <v>3721</v>
      </c>
      <c r="B1785" s="722" t="str">
        <f>CONCATENATE(LEFT(RIGHT(CONCATENATE("000",IFAData_TEA!A1785),6),3),"-",(RIGHT(RIGHT(CONCATENATE("000",IFAData_TEA!A1785),6),3)))</f>
        <v>214-903</v>
      </c>
      <c r="C1785" s="979" t="s">
        <v>608</v>
      </c>
      <c r="D1785" s="979">
        <v>10</v>
      </c>
      <c r="E1785" s="979">
        <v>2259</v>
      </c>
      <c r="F1785" s="979" t="s">
        <v>5464</v>
      </c>
      <c r="G1785" s="979" t="s">
        <v>5464</v>
      </c>
      <c r="H1785" s="1030">
        <v>623963</v>
      </c>
      <c r="I1785" s="1030">
        <v>619462</v>
      </c>
      <c r="J1785" s="1034">
        <v>1</v>
      </c>
      <c r="K1785" s="1030">
        <v>623963</v>
      </c>
      <c r="L1785" s="1030">
        <v>619462</v>
      </c>
      <c r="M1785" s="979">
        <v>599</v>
      </c>
    </row>
    <row r="1786" spans="1:13" ht="15">
      <c r="A1786" s="979" t="s">
        <v>3721</v>
      </c>
      <c r="B1786" s="722" t="str">
        <f>CONCATENATE(LEFT(RIGHT(CONCATENATE("000",IFAData_TEA!A1786),6),3),"-",(RIGHT(RIGHT(CONCATENATE("000",IFAData_TEA!A1786),6),3)))</f>
        <v>214-903</v>
      </c>
      <c r="C1786" s="979" t="s">
        <v>608</v>
      </c>
      <c r="D1786" s="979">
        <v>4</v>
      </c>
      <c r="E1786" s="979">
        <v>2262</v>
      </c>
      <c r="F1786" s="979" t="s">
        <v>5456</v>
      </c>
      <c r="G1786" s="979" t="s">
        <v>5457</v>
      </c>
      <c r="H1786" s="1030">
        <v>1385266</v>
      </c>
      <c r="I1786" s="1030">
        <v>1352275</v>
      </c>
      <c r="J1786" s="1034">
        <v>0.83898800900611925</v>
      </c>
      <c r="K1786" s="1030">
        <v>1162221.5632838707</v>
      </c>
      <c r="L1786" s="1030">
        <v>1162221.5632838707</v>
      </c>
      <c r="M1786" s="979">
        <v>599</v>
      </c>
    </row>
    <row r="1787" spans="1:13" ht="15">
      <c r="A1787" s="979" t="s">
        <v>3721</v>
      </c>
      <c r="B1787" s="722" t="str">
        <f>CONCATENATE(LEFT(RIGHT(CONCATENATE("000",IFAData_TEA!A1787),6),3),"-",(RIGHT(RIGHT(CONCATENATE("000",IFAData_TEA!A1787),6),3)))</f>
        <v>214-903</v>
      </c>
      <c r="C1787" s="979" t="s">
        <v>608</v>
      </c>
      <c r="D1787" s="979">
        <v>4</v>
      </c>
      <c r="E1787" s="979">
        <v>2262</v>
      </c>
      <c r="F1787" s="979" t="s">
        <v>5456</v>
      </c>
      <c r="G1787" s="979" t="s">
        <v>5456</v>
      </c>
      <c r="H1787" s="1030">
        <v>1385266</v>
      </c>
      <c r="I1787" s="1030">
        <v>0</v>
      </c>
      <c r="J1787" s="1034">
        <v>0</v>
      </c>
      <c r="K1787" s="1030">
        <v>0</v>
      </c>
      <c r="L1787" s="1030">
        <v>0</v>
      </c>
      <c r="M1787" s="979">
        <v>599</v>
      </c>
    </row>
    <row r="1788" spans="1:13" ht="15">
      <c r="A1788" s="979" t="s">
        <v>3721</v>
      </c>
      <c r="B1788" s="722" t="str">
        <f>CONCATENATE(LEFT(RIGHT(CONCATENATE("000",IFAData_TEA!A1788),6),3),"-",(RIGHT(RIGHT(CONCATENATE("000",IFAData_TEA!A1788),6),3)))</f>
        <v>214-903</v>
      </c>
      <c r="C1788" s="979" t="s">
        <v>608</v>
      </c>
      <c r="D1788" s="979">
        <v>7</v>
      </c>
      <c r="E1788" s="979">
        <v>2260</v>
      </c>
      <c r="F1788" s="979" t="s">
        <v>5458</v>
      </c>
      <c r="G1788" s="979" t="s">
        <v>5458</v>
      </c>
      <c r="H1788" s="1030">
        <v>816105</v>
      </c>
      <c r="I1788" s="1030">
        <v>810392</v>
      </c>
      <c r="J1788" s="1034">
        <v>0.52265078920790276</v>
      </c>
      <c r="K1788" s="1030">
        <v>426537.92232651549</v>
      </c>
      <c r="L1788" s="1030">
        <v>426537.92232651549</v>
      </c>
      <c r="M1788" s="979">
        <v>599</v>
      </c>
    </row>
    <row r="1789" spans="1:13" ht="15">
      <c r="A1789" s="979" t="s">
        <v>3721</v>
      </c>
      <c r="B1789" s="722" t="str">
        <f>CONCATENATE(LEFT(RIGHT(CONCATENATE("000",IFAData_TEA!A1789),6),3),"-",(RIGHT(RIGHT(CONCATENATE("000",IFAData_TEA!A1789),6),3)))</f>
        <v>214-903</v>
      </c>
      <c r="C1789" s="979" t="s">
        <v>608</v>
      </c>
      <c r="D1789" s="979">
        <v>9</v>
      </c>
      <c r="E1789" s="979">
        <v>2261</v>
      </c>
      <c r="F1789" s="979" t="s">
        <v>5463</v>
      </c>
      <c r="G1789" s="979" t="s">
        <v>5463</v>
      </c>
      <c r="H1789" s="1030">
        <v>1016430</v>
      </c>
      <c r="I1789" s="1030">
        <v>1012471</v>
      </c>
      <c r="J1789" s="1034">
        <v>1</v>
      </c>
      <c r="K1789" s="1030">
        <v>1016430</v>
      </c>
      <c r="L1789" s="1030">
        <v>1012471</v>
      </c>
      <c r="M1789" s="979">
        <v>599</v>
      </c>
    </row>
    <row r="1790" spans="1:13" ht="15">
      <c r="A1790" s="979" t="s">
        <v>3721</v>
      </c>
      <c r="B1790" s="722" t="str">
        <f>CONCATENATE(LEFT(RIGHT(CONCATENATE("000",IFAData_TEA!A1790),6),3),"-",(RIGHT(RIGHT(CONCATENATE("000",IFAData_TEA!A1790),6),3)))</f>
        <v>214-903</v>
      </c>
      <c r="C1790" s="979" t="s">
        <v>608</v>
      </c>
      <c r="D1790" s="979">
        <v>4</v>
      </c>
      <c r="E1790" s="979">
        <v>2262</v>
      </c>
      <c r="F1790" s="979" t="s">
        <v>5456</v>
      </c>
      <c r="G1790" s="979" t="s">
        <v>6325</v>
      </c>
      <c r="H1790" s="1030">
        <v>1385266</v>
      </c>
      <c r="I1790" s="1030">
        <v>259518</v>
      </c>
      <c r="J1790" s="1034">
        <v>0.16101199099388072</v>
      </c>
      <c r="K1790" s="1030">
        <v>223044.43671612916</v>
      </c>
      <c r="L1790" s="1030">
        <v>223044.43671612916</v>
      </c>
      <c r="M1790" s="979">
        <v>599</v>
      </c>
    </row>
    <row r="1791" spans="1:13" ht="15">
      <c r="A1791" s="979" t="s">
        <v>3722</v>
      </c>
      <c r="B1791" s="722" t="str">
        <f>CONCATENATE(LEFT(RIGHT(CONCATENATE("000",IFAData_TEA!A1791),6),3),"-",(RIGHT(RIGHT(CONCATENATE("000",IFAData_TEA!A1791),6),3)))</f>
        <v>220-901</v>
      </c>
      <c r="C1791" s="979" t="s">
        <v>2421</v>
      </c>
      <c r="D1791" s="979">
        <v>1</v>
      </c>
      <c r="E1791" s="979">
        <v>1583</v>
      </c>
      <c r="F1791" s="979" t="s">
        <v>5465</v>
      </c>
      <c r="G1791" s="979" t="s">
        <v>5465</v>
      </c>
      <c r="H1791" s="1030">
        <v>5173531</v>
      </c>
      <c r="I1791" s="1030">
        <v>0</v>
      </c>
      <c r="J1791" s="1034">
        <v>0</v>
      </c>
      <c r="K1791" s="1030">
        <v>0</v>
      </c>
      <c r="L1791" s="1030">
        <v>0</v>
      </c>
      <c r="M1791" s="979">
        <v>599</v>
      </c>
    </row>
    <row r="1792" spans="1:13" ht="15">
      <c r="A1792" s="979" t="s">
        <v>3722</v>
      </c>
      <c r="B1792" s="722" t="str">
        <f>CONCATENATE(LEFT(RIGHT(CONCATENATE("000",IFAData_TEA!A1792),6),3),"-",(RIGHT(RIGHT(CONCATENATE("000",IFAData_TEA!A1792),6),3)))</f>
        <v>220-901</v>
      </c>
      <c r="C1792" s="979" t="s">
        <v>2421</v>
      </c>
      <c r="D1792" s="979">
        <v>1</v>
      </c>
      <c r="E1792" s="979">
        <v>1583</v>
      </c>
      <c r="F1792" s="979" t="s">
        <v>5465</v>
      </c>
      <c r="G1792" s="979" t="s">
        <v>5468</v>
      </c>
      <c r="H1792" s="1030">
        <v>5173531</v>
      </c>
      <c r="I1792" s="1030">
        <v>0</v>
      </c>
      <c r="J1792" s="1034">
        <v>0</v>
      </c>
      <c r="K1792" s="1030">
        <v>0</v>
      </c>
      <c r="L1792" s="1030">
        <v>0</v>
      </c>
      <c r="M1792" s="979">
        <v>599</v>
      </c>
    </row>
    <row r="1793" spans="1:13" ht="15">
      <c r="A1793" s="979" t="s">
        <v>3722</v>
      </c>
      <c r="B1793" s="722" t="str">
        <f>CONCATENATE(LEFT(RIGHT(CONCATENATE("000",IFAData_TEA!A1793),6),3),"-",(RIGHT(RIGHT(CONCATENATE("000",IFAData_TEA!A1793),6),3)))</f>
        <v>220-901</v>
      </c>
      <c r="C1793" s="979" t="s">
        <v>2421</v>
      </c>
      <c r="D1793" s="979">
        <v>1</v>
      </c>
      <c r="E1793" s="979">
        <v>1583</v>
      </c>
      <c r="F1793" s="979" t="s">
        <v>5465</v>
      </c>
      <c r="G1793" s="979" t="s">
        <v>5466</v>
      </c>
      <c r="H1793" s="1030">
        <v>5173531</v>
      </c>
      <c r="I1793" s="1030">
        <v>4125106</v>
      </c>
      <c r="J1793" s="1034">
        <v>0.91714492229369715</v>
      </c>
      <c r="K1793" s="1030">
        <v>4744877.6869790331</v>
      </c>
      <c r="L1793" s="1030">
        <v>4125106</v>
      </c>
      <c r="M1793" s="979">
        <v>599</v>
      </c>
    </row>
    <row r="1794" spans="1:13" ht="15">
      <c r="A1794" s="979" t="s">
        <v>3722</v>
      </c>
      <c r="B1794" s="722" t="str">
        <f>CONCATENATE(LEFT(RIGHT(CONCATENATE("000",IFAData_TEA!A1794),6),3),"-",(RIGHT(RIGHT(CONCATENATE("000",IFAData_TEA!A1794),6),3)))</f>
        <v>220-901</v>
      </c>
      <c r="C1794" s="979" t="s">
        <v>2421</v>
      </c>
      <c r="D1794" s="979">
        <v>1</v>
      </c>
      <c r="E1794" s="979">
        <v>1583</v>
      </c>
      <c r="F1794" s="979" t="s">
        <v>5465</v>
      </c>
      <c r="G1794" s="979" t="s">
        <v>5467</v>
      </c>
      <c r="H1794" s="1030">
        <v>5173531</v>
      </c>
      <c r="I1794" s="1030">
        <v>372663</v>
      </c>
      <c r="J1794" s="1034">
        <v>8.2855077706302835E-2</v>
      </c>
      <c r="K1794" s="1030">
        <v>428653.3130209666</v>
      </c>
      <c r="L1794" s="1030">
        <v>372663</v>
      </c>
      <c r="M1794" s="979">
        <v>599</v>
      </c>
    </row>
    <row r="1795" spans="1:13" ht="15">
      <c r="A1795" s="979" t="s">
        <v>3723</v>
      </c>
      <c r="B1795" s="722" t="str">
        <f>CONCATENATE(LEFT(RIGHT(CONCATENATE("000",IFAData_TEA!A1795),6),3),"-",(RIGHT(RIGHT(CONCATENATE("000",IFAData_TEA!A1795),6),3)))</f>
        <v>220-902</v>
      </c>
      <c r="C1795" s="979" t="s">
        <v>797</v>
      </c>
      <c r="D1795" s="979">
        <v>1</v>
      </c>
      <c r="E1795" s="979">
        <v>1609</v>
      </c>
      <c r="F1795" s="979" t="s">
        <v>5469</v>
      </c>
      <c r="G1795" s="979" t="s">
        <v>6326</v>
      </c>
      <c r="H1795" s="1030">
        <v>796895</v>
      </c>
      <c r="I1795" s="1030">
        <v>12812</v>
      </c>
      <c r="J1795" s="1034">
        <v>3.1091382260924937E-3</v>
      </c>
      <c r="K1795" s="1030">
        <v>2477.6567066819775</v>
      </c>
      <c r="L1795" s="1030">
        <v>2477.6567066819775</v>
      </c>
      <c r="M1795" s="979">
        <v>599</v>
      </c>
    </row>
    <row r="1796" spans="1:13" ht="15">
      <c r="A1796" s="979" t="s">
        <v>3723</v>
      </c>
      <c r="B1796" s="722" t="str">
        <f>CONCATENATE(LEFT(RIGHT(CONCATENATE("000",IFAData_TEA!A1796),6),3),"-",(RIGHT(RIGHT(CONCATENATE("000",IFAData_TEA!A1796),6),3)))</f>
        <v>220-902</v>
      </c>
      <c r="C1796" s="979" t="s">
        <v>797</v>
      </c>
      <c r="D1796" s="979">
        <v>9</v>
      </c>
      <c r="E1796" s="979">
        <v>1610</v>
      </c>
      <c r="F1796" s="979" t="s">
        <v>5472</v>
      </c>
      <c r="G1796" s="979" t="s">
        <v>6326</v>
      </c>
      <c r="H1796" s="1030">
        <v>1653470</v>
      </c>
      <c r="I1796" s="1030">
        <v>896531</v>
      </c>
      <c r="J1796" s="1034">
        <v>0.24551293724917264</v>
      </c>
      <c r="K1796" s="1030">
        <v>405948.27635338949</v>
      </c>
      <c r="L1796" s="1030">
        <v>405948.27635338949</v>
      </c>
      <c r="M1796" s="979">
        <v>599</v>
      </c>
    </row>
    <row r="1797" spans="1:13" ht="15">
      <c r="A1797" s="979" t="s">
        <v>3723</v>
      </c>
      <c r="B1797" s="722" t="str">
        <f>CONCATENATE(LEFT(RIGHT(CONCATENATE("000",IFAData_TEA!A1797),6),3),"-",(RIGHT(RIGHT(CONCATENATE("000",IFAData_TEA!A1797),6),3)))</f>
        <v>220-902</v>
      </c>
      <c r="C1797" s="979" t="s">
        <v>797</v>
      </c>
      <c r="D1797" s="979">
        <v>1</v>
      </c>
      <c r="E1797" s="979">
        <v>1609</v>
      </c>
      <c r="F1797" s="979" t="s">
        <v>5469</v>
      </c>
      <c r="G1797" s="979" t="s">
        <v>5472</v>
      </c>
      <c r="H1797" s="1030">
        <v>796895</v>
      </c>
      <c r="I1797" s="1030">
        <v>2755134</v>
      </c>
      <c r="J1797" s="1034">
        <v>0.66859915995996855</v>
      </c>
      <c r="K1797" s="1030">
        <v>532803.32757629908</v>
      </c>
      <c r="L1797" s="1030">
        <v>532803.32757629908</v>
      </c>
      <c r="M1797" s="979">
        <v>599</v>
      </c>
    </row>
    <row r="1798" spans="1:13" ht="15">
      <c r="A1798" s="979" t="s">
        <v>3723</v>
      </c>
      <c r="B1798" s="722" t="str">
        <f>CONCATENATE(LEFT(RIGHT(CONCATENATE("000",IFAData_TEA!A1798),6),3),"-",(RIGHT(RIGHT(CONCATENATE("000",IFAData_TEA!A1798),6),3)))</f>
        <v>220-902</v>
      </c>
      <c r="C1798" s="979" t="s">
        <v>797</v>
      </c>
      <c r="D1798" s="979">
        <v>9</v>
      </c>
      <c r="E1798" s="979">
        <v>1610</v>
      </c>
      <c r="F1798" s="979" t="s">
        <v>5472</v>
      </c>
      <c r="G1798" s="979" t="s">
        <v>5472</v>
      </c>
      <c r="H1798" s="1030">
        <v>1653470</v>
      </c>
      <c r="I1798" s="1030">
        <v>2755134</v>
      </c>
      <c r="J1798" s="1034">
        <v>0.75448706275082733</v>
      </c>
      <c r="K1798" s="1030">
        <v>1247521.7236466105</v>
      </c>
      <c r="L1798" s="1030">
        <v>1247521.7236466105</v>
      </c>
      <c r="M1798" s="979">
        <v>599</v>
      </c>
    </row>
    <row r="1799" spans="1:13" ht="15">
      <c r="A1799" s="979" t="s">
        <v>3723</v>
      </c>
      <c r="B1799" s="722" t="str">
        <f>CONCATENATE(LEFT(RIGHT(CONCATENATE("000",IFAData_TEA!A1799),6),3),"-",(RIGHT(RIGHT(CONCATENATE("000",IFAData_TEA!A1799),6),3)))</f>
        <v>220-902</v>
      </c>
      <c r="C1799" s="979" t="s">
        <v>797</v>
      </c>
      <c r="D1799" s="979">
        <v>1</v>
      </c>
      <c r="E1799" s="979">
        <v>1611</v>
      </c>
      <c r="F1799" s="979" t="s">
        <v>5474</v>
      </c>
      <c r="G1799" s="979" t="s">
        <v>5474</v>
      </c>
      <c r="H1799" s="1030">
        <v>1775156</v>
      </c>
      <c r="I1799" s="1030">
        <v>0</v>
      </c>
      <c r="J1799" s="1034">
        <v>0</v>
      </c>
      <c r="K1799" s="1030">
        <v>0</v>
      </c>
      <c r="L1799" s="1030">
        <v>0</v>
      </c>
      <c r="M1799" s="979">
        <v>599</v>
      </c>
    </row>
    <row r="1800" spans="1:13" ht="15">
      <c r="A1800" s="979" t="s">
        <v>3723</v>
      </c>
      <c r="B1800" s="722" t="str">
        <f>CONCATENATE(LEFT(RIGHT(CONCATENATE("000",IFAData_TEA!A1800),6),3),"-",(RIGHT(RIGHT(CONCATENATE("000",IFAData_TEA!A1800),6),3)))</f>
        <v>220-902</v>
      </c>
      <c r="C1800" s="979" t="s">
        <v>797</v>
      </c>
      <c r="D1800" s="979">
        <v>1</v>
      </c>
      <c r="E1800" s="979">
        <v>1609</v>
      </c>
      <c r="F1800" s="979" t="s">
        <v>5469</v>
      </c>
      <c r="G1800" s="979" t="s">
        <v>5473</v>
      </c>
      <c r="H1800" s="1030">
        <v>796895</v>
      </c>
      <c r="I1800" s="1030">
        <v>1352810</v>
      </c>
      <c r="J1800" s="1034">
        <v>0.32829170181393902</v>
      </c>
      <c r="K1800" s="1030">
        <v>261614.01571701895</v>
      </c>
      <c r="L1800" s="1030">
        <v>261614.01571701895</v>
      </c>
      <c r="M1800" s="979">
        <v>599</v>
      </c>
    </row>
    <row r="1801" spans="1:13" ht="15">
      <c r="A1801" s="979" t="s">
        <v>3723</v>
      </c>
      <c r="B1801" s="722" t="str">
        <f>CONCATENATE(LEFT(RIGHT(CONCATENATE("000",IFAData_TEA!A1801),6),3),"-",(RIGHT(RIGHT(CONCATENATE("000",IFAData_TEA!A1801),6),3)))</f>
        <v>220-902</v>
      </c>
      <c r="C1801" s="979" t="s">
        <v>797</v>
      </c>
      <c r="D1801" s="979">
        <v>1</v>
      </c>
      <c r="E1801" s="979">
        <v>1611</v>
      </c>
      <c r="F1801" s="979" t="s">
        <v>5474</v>
      </c>
      <c r="G1801" s="979" t="s">
        <v>5473</v>
      </c>
      <c r="H1801" s="1030">
        <v>1775156</v>
      </c>
      <c r="I1801" s="1030">
        <v>5192169</v>
      </c>
      <c r="J1801" s="1034">
        <v>0.78316435463218648</v>
      </c>
      <c r="K1801" s="1030">
        <v>1390238.9031114536</v>
      </c>
      <c r="L1801" s="1030">
        <v>1390238.9031114536</v>
      </c>
      <c r="M1801" s="979">
        <v>599</v>
      </c>
    </row>
    <row r="1802" spans="1:13" ht="15">
      <c r="A1802" s="979" t="s">
        <v>3723</v>
      </c>
      <c r="B1802" s="722" t="str">
        <f>CONCATENATE(LEFT(RIGHT(CONCATENATE("000",IFAData_TEA!A1802),6),3),"-",(RIGHT(RIGHT(CONCATENATE("000",IFAData_TEA!A1802),6),3)))</f>
        <v>220-902</v>
      </c>
      <c r="C1802" s="979" t="s">
        <v>797</v>
      </c>
      <c r="D1802" s="979">
        <v>1</v>
      </c>
      <c r="E1802" s="979">
        <v>1609</v>
      </c>
      <c r="F1802" s="979" t="s">
        <v>5469</v>
      </c>
      <c r="G1802" s="979" t="s">
        <v>5469</v>
      </c>
      <c r="H1802" s="1030">
        <v>796895</v>
      </c>
      <c r="I1802" s="1030">
        <v>0</v>
      </c>
      <c r="J1802" s="1034">
        <v>0</v>
      </c>
      <c r="K1802" s="1030">
        <v>0</v>
      </c>
      <c r="L1802" s="1030">
        <v>0</v>
      </c>
      <c r="M1802" s="979">
        <v>599</v>
      </c>
    </row>
    <row r="1803" spans="1:13" ht="15">
      <c r="A1803" s="979" t="s">
        <v>3723</v>
      </c>
      <c r="B1803" s="722" t="str">
        <f>CONCATENATE(LEFT(RIGHT(CONCATENATE("000",IFAData_TEA!A1803),6),3),"-",(RIGHT(RIGHT(CONCATENATE("000",IFAData_TEA!A1803),6),3)))</f>
        <v>220-902</v>
      </c>
      <c r="C1803" s="979" t="s">
        <v>797</v>
      </c>
      <c r="D1803" s="979">
        <v>9</v>
      </c>
      <c r="E1803" s="979">
        <v>1612</v>
      </c>
      <c r="F1803" s="979" t="s">
        <v>5476</v>
      </c>
      <c r="G1803" s="979" t="s">
        <v>5477</v>
      </c>
      <c r="H1803" s="1030">
        <v>3559977</v>
      </c>
      <c r="I1803" s="1030">
        <v>707384</v>
      </c>
      <c r="J1803" s="1034">
        <v>0.53686291623185656</v>
      </c>
      <c r="K1803" s="1030">
        <v>1911219.633938336</v>
      </c>
      <c r="L1803" s="1030">
        <v>707384</v>
      </c>
      <c r="M1803" s="979">
        <v>599</v>
      </c>
    </row>
    <row r="1804" spans="1:13" ht="15">
      <c r="A1804" s="979" t="s">
        <v>3723</v>
      </c>
      <c r="B1804" s="722" t="str">
        <f>CONCATENATE(LEFT(RIGHT(CONCATENATE("000",IFAData_TEA!A1804),6),3),"-",(RIGHT(RIGHT(CONCATENATE("000",IFAData_TEA!A1804),6),3)))</f>
        <v>220-902</v>
      </c>
      <c r="C1804" s="979" t="s">
        <v>797</v>
      </c>
      <c r="D1804" s="979">
        <v>9</v>
      </c>
      <c r="E1804" s="979">
        <v>1612</v>
      </c>
      <c r="F1804" s="979" t="s">
        <v>5476</v>
      </c>
      <c r="G1804" s="979" t="s">
        <v>5476</v>
      </c>
      <c r="H1804" s="1030">
        <v>3559977</v>
      </c>
      <c r="I1804" s="1030">
        <v>610241</v>
      </c>
      <c r="J1804" s="1034">
        <v>0.46313708376814344</v>
      </c>
      <c r="K1804" s="1030">
        <v>1648757.366061664</v>
      </c>
      <c r="L1804" s="1030">
        <v>610241</v>
      </c>
      <c r="M1804" s="979">
        <v>599</v>
      </c>
    </row>
    <row r="1805" spans="1:13" ht="15">
      <c r="A1805" s="979" t="s">
        <v>3723</v>
      </c>
      <c r="B1805" s="722" t="str">
        <f>CONCATENATE(LEFT(RIGHT(CONCATENATE("000",IFAData_TEA!A1805),6),3),"-",(RIGHT(RIGHT(CONCATENATE("000",IFAData_TEA!A1805),6),3)))</f>
        <v>220-902</v>
      </c>
      <c r="C1805" s="979" t="s">
        <v>797</v>
      </c>
      <c r="D1805" s="979">
        <v>1</v>
      </c>
      <c r="E1805" s="979">
        <v>1609</v>
      </c>
      <c r="F1805" s="979" t="s">
        <v>5469</v>
      </c>
      <c r="G1805" s="979" t="s">
        <v>5471</v>
      </c>
      <c r="H1805" s="1030">
        <v>796895</v>
      </c>
      <c r="I1805" s="1030">
        <v>0</v>
      </c>
      <c r="J1805" s="1034">
        <v>0</v>
      </c>
      <c r="K1805" s="1030">
        <v>0</v>
      </c>
      <c r="L1805" s="1030">
        <v>0</v>
      </c>
      <c r="M1805" s="979">
        <v>599</v>
      </c>
    </row>
    <row r="1806" spans="1:13" ht="15">
      <c r="A1806" s="979" t="s">
        <v>3723</v>
      </c>
      <c r="B1806" s="722" t="str">
        <f>CONCATENATE(LEFT(RIGHT(CONCATENATE("000",IFAData_TEA!A1806),6),3),"-",(RIGHT(RIGHT(CONCATENATE("000",IFAData_TEA!A1806),6),3)))</f>
        <v>220-902</v>
      </c>
      <c r="C1806" s="979" t="s">
        <v>797</v>
      </c>
      <c r="D1806" s="979">
        <v>1</v>
      </c>
      <c r="E1806" s="979">
        <v>1611</v>
      </c>
      <c r="F1806" s="979" t="s">
        <v>5474</v>
      </c>
      <c r="G1806" s="979" t="s">
        <v>5471</v>
      </c>
      <c r="H1806" s="1030">
        <v>1775156</v>
      </c>
      <c r="I1806" s="1030">
        <v>0</v>
      </c>
      <c r="J1806" s="1034">
        <v>0</v>
      </c>
      <c r="K1806" s="1030">
        <v>0</v>
      </c>
      <c r="L1806" s="1030">
        <v>0</v>
      </c>
      <c r="M1806" s="979">
        <v>599</v>
      </c>
    </row>
    <row r="1807" spans="1:13" ht="15">
      <c r="A1807" s="979" t="s">
        <v>3723</v>
      </c>
      <c r="B1807" s="722" t="str">
        <f>CONCATENATE(LEFT(RIGHT(CONCATENATE("000",IFAData_TEA!A1807),6),3),"-",(RIGHT(RIGHT(CONCATENATE("000",IFAData_TEA!A1807),6),3)))</f>
        <v>220-902</v>
      </c>
      <c r="C1807" s="979" t="s">
        <v>797</v>
      </c>
      <c r="D1807" s="979">
        <v>1</v>
      </c>
      <c r="E1807" s="979">
        <v>1609</v>
      </c>
      <c r="F1807" s="979" t="s">
        <v>5469</v>
      </c>
      <c r="G1807" s="979" t="s">
        <v>5470</v>
      </c>
      <c r="H1807" s="1030">
        <v>796895</v>
      </c>
      <c r="I1807" s="1030">
        <v>0</v>
      </c>
      <c r="J1807" s="1034">
        <v>0</v>
      </c>
      <c r="K1807" s="1030">
        <v>0</v>
      </c>
      <c r="L1807" s="1030">
        <v>0</v>
      </c>
      <c r="M1807" s="979">
        <v>599</v>
      </c>
    </row>
    <row r="1808" spans="1:13" ht="15">
      <c r="A1808" s="979" t="s">
        <v>3723</v>
      </c>
      <c r="B1808" s="722" t="str">
        <f>CONCATENATE(LEFT(RIGHT(CONCATENATE("000",IFAData_TEA!A1808),6),3),"-",(RIGHT(RIGHT(CONCATENATE("000",IFAData_TEA!A1808),6),3)))</f>
        <v>220-902</v>
      </c>
      <c r="C1808" s="979" t="s">
        <v>797</v>
      </c>
      <c r="D1808" s="979">
        <v>1</v>
      </c>
      <c r="E1808" s="979">
        <v>1611</v>
      </c>
      <c r="F1808" s="979" t="s">
        <v>5474</v>
      </c>
      <c r="G1808" s="979" t="s">
        <v>5475</v>
      </c>
      <c r="H1808" s="1030">
        <v>1775156</v>
      </c>
      <c r="I1808" s="1030">
        <v>1437562</v>
      </c>
      <c r="J1808" s="1034">
        <v>0.21683564536781358</v>
      </c>
      <c r="K1808" s="1030">
        <v>384917.09688854648</v>
      </c>
      <c r="L1808" s="1030">
        <v>384917.09688854648</v>
      </c>
      <c r="M1808" s="979">
        <v>599</v>
      </c>
    </row>
    <row r="1809" spans="1:13" ht="15">
      <c r="A1809" s="979" t="s">
        <v>3724</v>
      </c>
      <c r="B1809" s="722" t="str">
        <f>CONCATENATE(LEFT(RIGHT(CONCATENATE("000",IFAData_TEA!A1809),6),3),"-",(RIGHT(RIGHT(CONCATENATE("000",IFAData_TEA!A1809),6),3)))</f>
        <v>220-904</v>
      </c>
      <c r="C1809" s="979" t="s">
        <v>2568</v>
      </c>
      <c r="D1809" s="979">
        <v>9</v>
      </c>
      <c r="E1809" s="979">
        <v>1804</v>
      </c>
      <c r="F1809" s="979" t="s">
        <v>5478</v>
      </c>
      <c r="G1809" s="979" t="s">
        <v>5479</v>
      </c>
      <c r="H1809" s="1030">
        <v>784151</v>
      </c>
      <c r="I1809" s="1030">
        <v>436065</v>
      </c>
      <c r="J1809" s="1034">
        <v>0.5524810429692697</v>
      </c>
      <c r="K1809" s="1030">
        <v>433228.56232539582</v>
      </c>
      <c r="L1809" s="1030">
        <v>433228.56232539582</v>
      </c>
      <c r="M1809" s="979">
        <v>599</v>
      </c>
    </row>
    <row r="1810" spans="1:13" ht="15">
      <c r="A1810" s="979" t="s">
        <v>3724</v>
      </c>
      <c r="B1810" s="722" t="str">
        <f>CONCATENATE(LEFT(RIGHT(CONCATENATE("000",IFAData_TEA!A1810),6),3),"-",(RIGHT(RIGHT(CONCATENATE("000",IFAData_TEA!A1810),6),3)))</f>
        <v>220-904</v>
      </c>
      <c r="C1810" s="979" t="s">
        <v>2568</v>
      </c>
      <c r="D1810" s="979">
        <v>9</v>
      </c>
      <c r="E1810" s="979">
        <v>1804</v>
      </c>
      <c r="F1810" s="979" t="s">
        <v>5478</v>
      </c>
      <c r="G1810" s="979" t="s">
        <v>5478</v>
      </c>
      <c r="H1810" s="1030">
        <v>784151</v>
      </c>
      <c r="I1810" s="1030">
        <v>349157</v>
      </c>
      <c r="J1810" s="1034">
        <v>0.44237126006448874</v>
      </c>
      <c r="K1810" s="1030">
        <v>346885.86595082888</v>
      </c>
      <c r="L1810" s="1030">
        <v>346885.86595082888</v>
      </c>
      <c r="M1810" s="979">
        <v>599</v>
      </c>
    </row>
    <row r="1811" spans="1:13" ht="15">
      <c r="A1811" s="979" t="s">
        <v>3724</v>
      </c>
      <c r="B1811" s="722" t="str">
        <f>CONCATENATE(LEFT(RIGHT(CONCATENATE("000",IFAData_TEA!A1811),6),3),"-",(RIGHT(RIGHT(CONCATENATE("000",IFAData_TEA!A1811),6),3)))</f>
        <v>220-904</v>
      </c>
      <c r="C1811" s="979" t="s">
        <v>2568</v>
      </c>
      <c r="D1811" s="979">
        <v>9</v>
      </c>
      <c r="E1811" s="979">
        <v>1803</v>
      </c>
      <c r="F1811" s="979" t="s">
        <v>5480</v>
      </c>
      <c r="G1811" s="979" t="s">
        <v>5480</v>
      </c>
      <c r="H1811" s="1030">
        <v>357599</v>
      </c>
      <c r="I1811" s="1030">
        <v>1269220</v>
      </c>
      <c r="J1811" s="1034">
        <v>1</v>
      </c>
      <c r="K1811" s="1030">
        <v>357599</v>
      </c>
      <c r="L1811" s="1030">
        <v>357599</v>
      </c>
      <c r="M1811" s="979">
        <v>599</v>
      </c>
    </row>
    <row r="1812" spans="1:13" ht="15">
      <c r="A1812" s="979" t="s">
        <v>3724</v>
      </c>
      <c r="B1812" s="722" t="str">
        <f>CONCATENATE(LEFT(RIGHT(CONCATENATE("000",IFAData_TEA!A1812),6),3),"-",(RIGHT(RIGHT(CONCATENATE("000",IFAData_TEA!A1812),6),3)))</f>
        <v>220-904</v>
      </c>
      <c r="C1812" s="979" t="s">
        <v>2568</v>
      </c>
      <c r="D1812" s="979">
        <v>9</v>
      </c>
      <c r="E1812" s="979">
        <v>1804</v>
      </c>
      <c r="F1812" s="979" t="s">
        <v>5478</v>
      </c>
      <c r="G1812" s="979" t="s">
        <v>6327</v>
      </c>
      <c r="H1812" s="1030">
        <v>784151</v>
      </c>
      <c r="I1812" s="1030">
        <v>4063</v>
      </c>
      <c r="J1812" s="1034">
        <v>5.1476969662415982E-3</v>
      </c>
      <c r="K1812" s="1030">
        <v>4036.5717237753156</v>
      </c>
      <c r="L1812" s="1030">
        <v>4036.5717237753156</v>
      </c>
      <c r="M1812" s="979">
        <v>599</v>
      </c>
    </row>
    <row r="1813" spans="1:13" ht="15">
      <c r="A1813" s="979" t="s">
        <v>3725</v>
      </c>
      <c r="B1813" s="722" t="str">
        <f>CONCATENATE(LEFT(RIGHT(CONCATENATE("000",IFAData_TEA!A1813),6),3),"-",(RIGHT(RIGHT(CONCATENATE("000",IFAData_TEA!A1813),6),3)))</f>
        <v>220-907</v>
      </c>
      <c r="C1813" s="979" t="s">
        <v>412</v>
      </c>
      <c r="D1813" s="979">
        <v>2</v>
      </c>
      <c r="E1813" s="979">
        <v>1950</v>
      </c>
      <c r="F1813" s="979" t="s">
        <v>5481</v>
      </c>
      <c r="G1813" s="979" t="s">
        <v>5486</v>
      </c>
      <c r="H1813" s="1030">
        <v>1280601</v>
      </c>
      <c r="I1813" s="1030">
        <v>1631759</v>
      </c>
      <c r="J1813" s="1034">
        <v>0.29657167398542333</v>
      </c>
      <c r="K1813" s="1030">
        <v>379789.98227740708</v>
      </c>
      <c r="L1813" s="1030">
        <v>379789.98227740708</v>
      </c>
      <c r="M1813" s="979">
        <v>599</v>
      </c>
    </row>
    <row r="1814" spans="1:13" ht="15">
      <c r="A1814" s="979" t="s">
        <v>3725</v>
      </c>
      <c r="B1814" s="722" t="str">
        <f>CONCATENATE(LEFT(RIGHT(CONCATENATE("000",IFAData_TEA!A1814),6),3),"-",(RIGHT(RIGHT(CONCATENATE("000",IFAData_TEA!A1814),6),3)))</f>
        <v>220-907</v>
      </c>
      <c r="C1814" s="979" t="s">
        <v>412</v>
      </c>
      <c r="D1814" s="979">
        <v>2</v>
      </c>
      <c r="E1814" s="979">
        <v>1950</v>
      </c>
      <c r="F1814" s="979" t="s">
        <v>5481</v>
      </c>
      <c r="G1814" s="979" t="s">
        <v>5493</v>
      </c>
      <c r="H1814" s="1030">
        <v>1280601</v>
      </c>
      <c r="I1814" s="1030">
        <v>103960</v>
      </c>
      <c r="J1814" s="1034">
        <v>1.8894696598900088E-2</v>
      </c>
      <c r="K1814" s="1030">
        <v>24196.567359248053</v>
      </c>
      <c r="L1814" s="1030">
        <v>24196.567359248053</v>
      </c>
      <c r="M1814" s="979">
        <v>599</v>
      </c>
    </row>
    <row r="1815" spans="1:13" ht="15">
      <c r="A1815" s="979" t="s">
        <v>3725</v>
      </c>
      <c r="B1815" s="722" t="str">
        <f>CONCATENATE(LEFT(RIGHT(CONCATENATE("000",IFAData_TEA!A1815),6),3),"-",(RIGHT(RIGHT(CONCATENATE("000",IFAData_TEA!A1815),6),3)))</f>
        <v>220-907</v>
      </c>
      <c r="C1815" s="979" t="s">
        <v>412</v>
      </c>
      <c r="D1815" s="979">
        <v>2</v>
      </c>
      <c r="E1815" s="979">
        <v>1950</v>
      </c>
      <c r="F1815" s="979" t="s">
        <v>5481</v>
      </c>
      <c r="G1815" s="979" t="s">
        <v>5492</v>
      </c>
      <c r="H1815" s="1030">
        <v>1280601</v>
      </c>
      <c r="I1815" s="1030">
        <v>0</v>
      </c>
      <c r="J1815" s="1034">
        <v>0</v>
      </c>
      <c r="K1815" s="1030">
        <v>0</v>
      </c>
      <c r="L1815" s="1030">
        <v>0</v>
      </c>
      <c r="M1815" s="979">
        <v>599</v>
      </c>
    </row>
    <row r="1816" spans="1:13" ht="15">
      <c r="A1816" s="979" t="s">
        <v>3725</v>
      </c>
      <c r="B1816" s="722" t="str">
        <f>CONCATENATE(LEFT(RIGHT(CONCATENATE("000",IFAData_TEA!A1816),6),3),"-",(RIGHT(RIGHT(CONCATENATE("000",IFAData_TEA!A1816),6),3)))</f>
        <v>220-907</v>
      </c>
      <c r="C1816" s="979" t="s">
        <v>412</v>
      </c>
      <c r="D1816" s="979">
        <v>2</v>
      </c>
      <c r="E1816" s="979">
        <v>1950</v>
      </c>
      <c r="F1816" s="979" t="s">
        <v>5481</v>
      </c>
      <c r="G1816" s="979" t="s">
        <v>5485</v>
      </c>
      <c r="H1816" s="1030">
        <v>1280601</v>
      </c>
      <c r="I1816" s="1030">
        <v>0</v>
      </c>
      <c r="J1816" s="1034">
        <v>0</v>
      </c>
      <c r="K1816" s="1030">
        <v>0</v>
      </c>
      <c r="L1816" s="1030">
        <v>0</v>
      </c>
      <c r="M1816" s="979">
        <v>599</v>
      </c>
    </row>
    <row r="1817" spans="1:13" ht="15">
      <c r="A1817" s="979" t="s">
        <v>3725</v>
      </c>
      <c r="B1817" s="722" t="str">
        <f>CONCATENATE(LEFT(RIGHT(CONCATENATE("000",IFAData_TEA!A1817),6),3),"-",(RIGHT(RIGHT(CONCATENATE("000",IFAData_TEA!A1817),6),3)))</f>
        <v>220-907</v>
      </c>
      <c r="C1817" s="979" t="s">
        <v>412</v>
      </c>
      <c r="D1817" s="979">
        <v>2</v>
      </c>
      <c r="E1817" s="979">
        <v>1950</v>
      </c>
      <c r="F1817" s="979" t="s">
        <v>5481</v>
      </c>
      <c r="G1817" s="979" t="s">
        <v>5482</v>
      </c>
      <c r="H1817" s="1030">
        <v>1280601</v>
      </c>
      <c r="I1817" s="1030">
        <v>0</v>
      </c>
      <c r="J1817" s="1034">
        <v>0</v>
      </c>
      <c r="K1817" s="1030">
        <v>0</v>
      </c>
      <c r="L1817" s="1030">
        <v>0</v>
      </c>
      <c r="M1817" s="979">
        <v>599</v>
      </c>
    </row>
    <row r="1818" spans="1:13" ht="15">
      <c r="A1818" s="979" t="s">
        <v>3725</v>
      </c>
      <c r="B1818" s="722" t="str">
        <f>CONCATENATE(LEFT(RIGHT(CONCATENATE("000",IFAData_TEA!A1818),6),3),"-",(RIGHT(RIGHT(CONCATENATE("000",IFAData_TEA!A1818),6),3)))</f>
        <v>220-907</v>
      </c>
      <c r="C1818" s="979" t="s">
        <v>412</v>
      </c>
      <c r="D1818" s="979">
        <v>2</v>
      </c>
      <c r="E1818" s="979">
        <v>1950</v>
      </c>
      <c r="F1818" s="979" t="s">
        <v>5481</v>
      </c>
      <c r="G1818" s="979" t="s">
        <v>5491</v>
      </c>
      <c r="H1818" s="1030">
        <v>1280601</v>
      </c>
      <c r="I1818" s="1030">
        <v>0</v>
      </c>
      <c r="J1818" s="1034">
        <v>0</v>
      </c>
      <c r="K1818" s="1030">
        <v>0</v>
      </c>
      <c r="L1818" s="1030">
        <v>0</v>
      </c>
      <c r="M1818" s="979">
        <v>599</v>
      </c>
    </row>
    <row r="1819" spans="1:13" ht="15">
      <c r="A1819" s="979" t="s">
        <v>3725</v>
      </c>
      <c r="B1819" s="722" t="str">
        <f>CONCATENATE(LEFT(RIGHT(CONCATENATE("000",IFAData_TEA!A1819),6),3),"-",(RIGHT(RIGHT(CONCATENATE("000",IFAData_TEA!A1819),6),3)))</f>
        <v>220-907</v>
      </c>
      <c r="C1819" s="979" t="s">
        <v>412</v>
      </c>
      <c r="D1819" s="979">
        <v>2</v>
      </c>
      <c r="E1819" s="979">
        <v>1950</v>
      </c>
      <c r="F1819" s="979" t="s">
        <v>5481</v>
      </c>
      <c r="G1819" s="979" t="s">
        <v>5490</v>
      </c>
      <c r="H1819" s="1030">
        <v>1280601</v>
      </c>
      <c r="I1819" s="1030">
        <v>0</v>
      </c>
      <c r="J1819" s="1034">
        <v>0</v>
      </c>
      <c r="K1819" s="1030">
        <v>0</v>
      </c>
      <c r="L1819" s="1030">
        <v>0</v>
      </c>
      <c r="M1819" s="979">
        <v>599</v>
      </c>
    </row>
    <row r="1820" spans="1:13" ht="15">
      <c r="A1820" s="979" t="s">
        <v>3725</v>
      </c>
      <c r="B1820" s="722" t="str">
        <f>CONCATENATE(LEFT(RIGHT(CONCATENATE("000",IFAData_TEA!A1820),6),3),"-",(RIGHT(RIGHT(CONCATENATE("000",IFAData_TEA!A1820),6),3)))</f>
        <v>220-907</v>
      </c>
      <c r="C1820" s="979" t="s">
        <v>412</v>
      </c>
      <c r="D1820" s="979">
        <v>2</v>
      </c>
      <c r="E1820" s="979">
        <v>1950</v>
      </c>
      <c r="F1820" s="979" t="s">
        <v>5481</v>
      </c>
      <c r="G1820" s="979" t="s">
        <v>5489</v>
      </c>
      <c r="H1820" s="1030">
        <v>1280601</v>
      </c>
      <c r="I1820" s="1030">
        <v>0</v>
      </c>
      <c r="J1820" s="1034">
        <v>0</v>
      </c>
      <c r="K1820" s="1030">
        <v>0</v>
      </c>
      <c r="L1820" s="1030">
        <v>0</v>
      </c>
      <c r="M1820" s="979">
        <v>599</v>
      </c>
    </row>
    <row r="1821" spans="1:13" ht="15">
      <c r="A1821" s="979" t="s">
        <v>3725</v>
      </c>
      <c r="B1821" s="722" t="str">
        <f>CONCATENATE(LEFT(RIGHT(CONCATENATE("000",IFAData_TEA!A1821),6),3),"-",(RIGHT(RIGHT(CONCATENATE("000",IFAData_TEA!A1821),6),3)))</f>
        <v>220-907</v>
      </c>
      <c r="C1821" s="979" t="s">
        <v>412</v>
      </c>
      <c r="D1821" s="979">
        <v>2</v>
      </c>
      <c r="E1821" s="979">
        <v>1950</v>
      </c>
      <c r="F1821" s="979" t="s">
        <v>5481</v>
      </c>
      <c r="G1821" s="979" t="s">
        <v>5484</v>
      </c>
      <c r="H1821" s="1030">
        <v>1280601</v>
      </c>
      <c r="I1821" s="1030">
        <v>138846</v>
      </c>
      <c r="J1821" s="1034">
        <v>2.523521589044711E-2</v>
      </c>
      <c r="K1821" s="1030">
        <v>32316.242704522461</v>
      </c>
      <c r="L1821" s="1030">
        <v>32316.242704522461</v>
      </c>
      <c r="M1821" s="979">
        <v>599</v>
      </c>
    </row>
    <row r="1822" spans="1:13" ht="15">
      <c r="A1822" s="979" t="s">
        <v>3725</v>
      </c>
      <c r="B1822" s="722" t="str">
        <f>CONCATENATE(LEFT(RIGHT(CONCATENATE("000",IFAData_TEA!A1822),6),3),"-",(RIGHT(RIGHT(CONCATENATE("000",IFAData_TEA!A1822),6),3)))</f>
        <v>220-907</v>
      </c>
      <c r="C1822" s="979" t="s">
        <v>412</v>
      </c>
      <c r="D1822" s="979">
        <v>2</v>
      </c>
      <c r="E1822" s="979">
        <v>1950</v>
      </c>
      <c r="F1822" s="979" t="s">
        <v>5481</v>
      </c>
      <c r="G1822" s="979" t="s">
        <v>5483</v>
      </c>
      <c r="H1822" s="1030">
        <v>1280601</v>
      </c>
      <c r="I1822" s="1030">
        <v>985685</v>
      </c>
      <c r="J1822" s="1034">
        <v>0.1791479320612431</v>
      </c>
      <c r="K1822" s="1030">
        <v>229417.02094555998</v>
      </c>
      <c r="L1822" s="1030">
        <v>229417.02094555998</v>
      </c>
      <c r="M1822" s="979">
        <v>599</v>
      </c>
    </row>
    <row r="1823" spans="1:13" ht="15">
      <c r="A1823" s="979" t="s">
        <v>3725</v>
      </c>
      <c r="B1823" s="722" t="str">
        <f>CONCATENATE(LEFT(RIGHT(CONCATENATE("000",IFAData_TEA!A1823),6),3),"-",(RIGHT(RIGHT(CONCATENATE("000",IFAData_TEA!A1823),6),3)))</f>
        <v>220-907</v>
      </c>
      <c r="C1823" s="979" t="s">
        <v>412</v>
      </c>
      <c r="D1823" s="979">
        <v>2</v>
      </c>
      <c r="E1823" s="979">
        <v>1950</v>
      </c>
      <c r="F1823" s="979" t="s">
        <v>5481</v>
      </c>
      <c r="G1823" s="979" t="s">
        <v>5488</v>
      </c>
      <c r="H1823" s="1030">
        <v>1280601</v>
      </c>
      <c r="I1823" s="1030">
        <v>637101</v>
      </c>
      <c r="J1823" s="1034">
        <v>0.11579290205709739</v>
      </c>
      <c r="K1823" s="1030">
        <v>148284.50616722097</v>
      </c>
      <c r="L1823" s="1030">
        <v>148284.50616722097</v>
      </c>
      <c r="M1823" s="979">
        <v>599</v>
      </c>
    </row>
    <row r="1824" spans="1:13" ht="15">
      <c r="A1824" s="979" t="s">
        <v>3725</v>
      </c>
      <c r="B1824" s="722" t="str">
        <f>CONCATENATE(LEFT(RIGHT(CONCATENATE("000",IFAData_TEA!A1824),6),3),"-",(RIGHT(RIGHT(CONCATENATE("000",IFAData_TEA!A1824),6),3)))</f>
        <v>220-907</v>
      </c>
      <c r="C1824" s="979" t="s">
        <v>412</v>
      </c>
      <c r="D1824" s="979">
        <v>10</v>
      </c>
      <c r="E1824" s="979">
        <v>1951</v>
      </c>
      <c r="F1824" s="979" t="s">
        <v>5494</v>
      </c>
      <c r="G1824" s="979" t="s">
        <v>5494</v>
      </c>
      <c r="H1824" s="1030">
        <v>6801638</v>
      </c>
      <c r="I1824" s="1030">
        <v>8475778</v>
      </c>
      <c r="J1824" s="1034">
        <v>0.77505292051082775</v>
      </c>
      <c r="K1824" s="1030">
        <v>5271629.3961574258</v>
      </c>
      <c r="L1824" s="1030">
        <v>5271629.3961574258</v>
      </c>
      <c r="M1824" s="979">
        <v>599</v>
      </c>
    </row>
    <row r="1825" spans="1:13" ht="15">
      <c r="A1825" s="979" t="s">
        <v>3725</v>
      </c>
      <c r="B1825" s="722" t="str">
        <f>CONCATENATE(LEFT(RIGHT(CONCATENATE("000",IFAData_TEA!A1825),6),3),"-",(RIGHT(RIGHT(CONCATENATE("000",IFAData_TEA!A1825),6),3)))</f>
        <v>220-907</v>
      </c>
      <c r="C1825" s="979" t="s">
        <v>412</v>
      </c>
      <c r="D1825" s="979">
        <v>2</v>
      </c>
      <c r="E1825" s="979">
        <v>1950</v>
      </c>
      <c r="F1825" s="979" t="s">
        <v>5481</v>
      </c>
      <c r="G1825" s="979" t="s">
        <v>5487</v>
      </c>
      <c r="H1825" s="1030">
        <v>1280601</v>
      </c>
      <c r="I1825" s="1030">
        <v>1936828</v>
      </c>
      <c r="J1825" s="1034">
        <v>0.35201786672041613</v>
      </c>
      <c r="K1825" s="1030">
        <v>450794.4321400316</v>
      </c>
      <c r="L1825" s="1030">
        <v>450794.4321400316</v>
      </c>
      <c r="M1825" s="979">
        <v>599</v>
      </c>
    </row>
    <row r="1826" spans="1:13" ht="15">
      <c r="A1826" s="979" t="s">
        <v>3725</v>
      </c>
      <c r="B1826" s="722" t="str">
        <f>CONCATENATE(LEFT(RIGHT(CONCATENATE("000",IFAData_TEA!A1826),6),3),"-",(RIGHT(RIGHT(CONCATENATE("000",IFAData_TEA!A1826),6),3)))</f>
        <v>220-907</v>
      </c>
      <c r="C1826" s="979" t="s">
        <v>412</v>
      </c>
      <c r="D1826" s="979">
        <v>2</v>
      </c>
      <c r="E1826" s="979">
        <v>1950</v>
      </c>
      <c r="F1826" s="979" t="s">
        <v>5481</v>
      </c>
      <c r="G1826" s="979" t="s">
        <v>5481</v>
      </c>
      <c r="H1826" s="1030">
        <v>1280601</v>
      </c>
      <c r="I1826" s="1030">
        <v>0</v>
      </c>
      <c r="J1826" s="1034">
        <v>0</v>
      </c>
      <c r="K1826" s="1030">
        <v>0</v>
      </c>
      <c r="L1826" s="1030">
        <v>0</v>
      </c>
      <c r="M1826" s="979">
        <v>599</v>
      </c>
    </row>
    <row r="1827" spans="1:13" ht="15">
      <c r="A1827" s="979" t="s">
        <v>3725</v>
      </c>
      <c r="B1827" s="722" t="str">
        <f>CONCATENATE(LEFT(RIGHT(CONCATENATE("000",IFAData_TEA!A1827),6),3),"-",(RIGHT(RIGHT(CONCATENATE("000",IFAData_TEA!A1827),6),3)))</f>
        <v>220-907</v>
      </c>
      <c r="C1827" s="979" t="s">
        <v>412</v>
      </c>
      <c r="D1827" s="979">
        <v>10</v>
      </c>
      <c r="E1827" s="979">
        <v>1951</v>
      </c>
      <c r="F1827" s="979" t="s">
        <v>5494</v>
      </c>
      <c r="G1827" s="979" t="s">
        <v>6328</v>
      </c>
      <c r="H1827" s="1030">
        <v>6801638</v>
      </c>
      <c r="I1827" s="1030">
        <v>2459963</v>
      </c>
      <c r="J1827" s="1034">
        <v>0.22494707948917225</v>
      </c>
      <c r="K1827" s="1030">
        <v>1530008.6038425746</v>
      </c>
      <c r="L1827" s="1030">
        <v>1530008.6038425746</v>
      </c>
      <c r="M1827" s="979">
        <v>599</v>
      </c>
    </row>
    <row r="1828" spans="1:13" ht="15">
      <c r="A1828" s="979" t="s">
        <v>3725</v>
      </c>
      <c r="B1828" s="722" t="str">
        <f>CONCATENATE(LEFT(RIGHT(CONCATENATE("000",IFAData_TEA!A1828),6),3),"-",(RIGHT(RIGHT(CONCATENATE("000",IFAData_TEA!A1828),6),3)))</f>
        <v>220-907</v>
      </c>
      <c r="C1828" s="979" t="s">
        <v>412</v>
      </c>
      <c r="D1828" s="979">
        <v>2</v>
      </c>
      <c r="E1828" s="979">
        <v>1950</v>
      </c>
      <c r="F1828" s="979" t="s">
        <v>5481</v>
      </c>
      <c r="G1828" s="979" t="s">
        <v>6329</v>
      </c>
      <c r="H1828" s="1030">
        <v>1280601</v>
      </c>
      <c r="I1828" s="1030">
        <v>67894</v>
      </c>
      <c r="J1828" s="1034">
        <v>1.2339712686472899E-2</v>
      </c>
      <c r="K1828" s="1030">
        <v>15802.24840600988</v>
      </c>
      <c r="L1828" s="1030">
        <v>15802.24840600988</v>
      </c>
      <c r="M1828" s="979">
        <v>599</v>
      </c>
    </row>
    <row r="1829" spans="1:13" ht="15">
      <c r="A1829" s="979" t="s">
        <v>3726</v>
      </c>
      <c r="B1829" s="722" t="str">
        <f>CONCATENATE(LEFT(RIGHT(CONCATENATE("000",IFAData_TEA!A1829),6),3),"-",(RIGHT(RIGHT(CONCATENATE("000",IFAData_TEA!A1829),6),3)))</f>
        <v>220-908</v>
      </c>
      <c r="C1829" s="979" t="s">
        <v>290</v>
      </c>
      <c r="D1829" s="979">
        <v>9</v>
      </c>
      <c r="E1829" s="979">
        <v>2059</v>
      </c>
      <c r="F1829" s="979" t="s">
        <v>5505</v>
      </c>
      <c r="G1829" s="979" t="s">
        <v>6330</v>
      </c>
      <c r="H1829" s="1030">
        <v>3920147</v>
      </c>
      <c r="I1829" s="1030">
        <v>936921</v>
      </c>
      <c r="J1829" s="1034">
        <v>0.19155132239824485</v>
      </c>
      <c r="K1829" s="1030">
        <v>750909.34184551239</v>
      </c>
      <c r="L1829" s="1030">
        <v>750909.34184551239</v>
      </c>
      <c r="M1829" s="979">
        <v>599</v>
      </c>
    </row>
    <row r="1830" spans="1:13" ht="15">
      <c r="A1830" s="979" t="s">
        <v>3726</v>
      </c>
      <c r="B1830" s="722" t="str">
        <f>CONCATENATE(LEFT(RIGHT(CONCATENATE("000",IFAData_TEA!A1830),6),3),"-",(RIGHT(RIGHT(CONCATENATE("000",IFAData_TEA!A1830),6),3)))</f>
        <v>220-908</v>
      </c>
      <c r="C1830" s="979" t="s">
        <v>290</v>
      </c>
      <c r="D1830" s="979">
        <v>6</v>
      </c>
      <c r="E1830" s="979">
        <v>2057</v>
      </c>
      <c r="F1830" s="979" t="s">
        <v>5499</v>
      </c>
      <c r="G1830" s="979" t="s">
        <v>5500</v>
      </c>
      <c r="H1830" s="1030">
        <v>2346513</v>
      </c>
      <c r="I1830" s="1030">
        <v>536407</v>
      </c>
      <c r="J1830" s="1034">
        <v>0.1553264941148127</v>
      </c>
      <c r="K1830" s="1030">
        <v>364475.63768483151</v>
      </c>
      <c r="L1830" s="1030">
        <v>364475.63768483151</v>
      </c>
      <c r="M1830" s="979">
        <v>599</v>
      </c>
    </row>
    <row r="1831" spans="1:13" ht="15">
      <c r="A1831" s="979" t="s">
        <v>3726</v>
      </c>
      <c r="B1831" s="722" t="str">
        <f>CONCATENATE(LEFT(RIGHT(CONCATENATE("000",IFAData_TEA!A1831),6),3),"-",(RIGHT(RIGHT(CONCATENATE("000",IFAData_TEA!A1831),6),3)))</f>
        <v>220-908</v>
      </c>
      <c r="C1831" s="979" t="s">
        <v>290</v>
      </c>
      <c r="D1831" s="979">
        <v>6</v>
      </c>
      <c r="E1831" s="979">
        <v>2056</v>
      </c>
      <c r="F1831" s="979" t="s">
        <v>5502</v>
      </c>
      <c r="G1831" s="979" t="s">
        <v>5500</v>
      </c>
      <c r="H1831" s="1030">
        <v>2153875</v>
      </c>
      <c r="I1831" s="1030">
        <v>3809170</v>
      </c>
      <c r="J1831" s="1034">
        <v>0.68520616157947634</v>
      </c>
      <c r="K1831" s="1030">
        <v>1475848.4212719945</v>
      </c>
      <c r="L1831" s="1030">
        <v>1475848.4212719945</v>
      </c>
      <c r="M1831" s="979">
        <v>599</v>
      </c>
    </row>
    <row r="1832" spans="1:13" ht="15">
      <c r="A1832" s="979" t="s">
        <v>3726</v>
      </c>
      <c r="B1832" s="722" t="str">
        <f>CONCATENATE(LEFT(RIGHT(CONCATENATE("000",IFAData_TEA!A1832),6),3),"-",(RIGHT(RIGHT(CONCATENATE("000",IFAData_TEA!A1832),6),3)))</f>
        <v>220-908</v>
      </c>
      <c r="C1832" s="979" t="s">
        <v>290</v>
      </c>
      <c r="D1832" s="979">
        <v>9</v>
      </c>
      <c r="E1832" s="979">
        <v>2060</v>
      </c>
      <c r="F1832" s="979" t="s">
        <v>5503</v>
      </c>
      <c r="G1832" s="979" t="s">
        <v>5504</v>
      </c>
      <c r="H1832" s="1030">
        <v>4155279</v>
      </c>
      <c r="I1832" s="1030">
        <v>3823066</v>
      </c>
      <c r="J1832" s="1034">
        <v>0.58558068827135679</v>
      </c>
      <c r="K1832" s="1030">
        <v>2433251.1367795151</v>
      </c>
      <c r="L1832" s="1030">
        <v>2433251.1367795151</v>
      </c>
      <c r="M1832" s="979">
        <v>599</v>
      </c>
    </row>
    <row r="1833" spans="1:13" ht="15">
      <c r="A1833" s="979" t="s">
        <v>3726</v>
      </c>
      <c r="B1833" s="722" t="str">
        <f>CONCATENATE(LEFT(RIGHT(CONCATENATE("000",IFAData_TEA!A1833),6),3),"-",(RIGHT(RIGHT(CONCATENATE("000",IFAData_TEA!A1833),6),3)))</f>
        <v>220-908</v>
      </c>
      <c r="C1833" s="979" t="s">
        <v>290</v>
      </c>
      <c r="D1833" s="979">
        <v>9</v>
      </c>
      <c r="E1833" s="979">
        <v>2060</v>
      </c>
      <c r="F1833" s="979" t="s">
        <v>5503</v>
      </c>
      <c r="G1833" s="979" t="s">
        <v>5503</v>
      </c>
      <c r="H1833" s="1030">
        <v>4155279</v>
      </c>
      <c r="I1833" s="1030">
        <v>2705609</v>
      </c>
      <c r="J1833" s="1034">
        <v>0.41441931172864327</v>
      </c>
      <c r="K1833" s="1030">
        <v>1722027.8632204852</v>
      </c>
      <c r="L1833" s="1030">
        <v>1722027.8632204852</v>
      </c>
      <c r="M1833" s="979">
        <v>599</v>
      </c>
    </row>
    <row r="1834" spans="1:13" ht="15">
      <c r="A1834" s="979" t="s">
        <v>3726</v>
      </c>
      <c r="B1834" s="722" t="str">
        <f>CONCATENATE(LEFT(RIGHT(CONCATENATE("000",IFAData_TEA!A1834),6),3),"-",(RIGHT(RIGHT(CONCATENATE("000",IFAData_TEA!A1834),6),3)))</f>
        <v>220-908</v>
      </c>
      <c r="C1834" s="979" t="s">
        <v>290</v>
      </c>
      <c r="D1834" s="979">
        <v>1</v>
      </c>
      <c r="E1834" s="979">
        <v>2058</v>
      </c>
      <c r="F1834" s="979" t="s">
        <v>5495</v>
      </c>
      <c r="G1834" s="979" t="s">
        <v>5498</v>
      </c>
      <c r="H1834" s="1030">
        <v>2772030</v>
      </c>
      <c r="I1834" s="1030">
        <v>716137</v>
      </c>
      <c r="J1834" s="1034">
        <v>0.50107998463462089</v>
      </c>
      <c r="K1834" s="1030">
        <v>1389008.7498067082</v>
      </c>
      <c r="L1834" s="1030">
        <v>716137</v>
      </c>
      <c r="M1834" s="979">
        <v>599</v>
      </c>
    </row>
    <row r="1835" spans="1:13" ht="15">
      <c r="A1835" s="979" t="s">
        <v>3726</v>
      </c>
      <c r="B1835" s="722" t="str">
        <f>CONCATENATE(LEFT(RIGHT(CONCATENATE("000",IFAData_TEA!A1835),6),3),"-",(RIGHT(RIGHT(CONCATENATE("000",IFAData_TEA!A1835),6),3)))</f>
        <v>220-908</v>
      </c>
      <c r="C1835" s="979" t="s">
        <v>290</v>
      </c>
      <c r="D1835" s="979">
        <v>6</v>
      </c>
      <c r="E1835" s="979">
        <v>2057</v>
      </c>
      <c r="F1835" s="979" t="s">
        <v>5499</v>
      </c>
      <c r="G1835" s="979" t="s">
        <v>5499</v>
      </c>
      <c r="H1835" s="1030">
        <v>2346513</v>
      </c>
      <c r="I1835" s="1030">
        <v>0</v>
      </c>
      <c r="J1835" s="1034">
        <v>0</v>
      </c>
      <c r="K1835" s="1030">
        <v>0</v>
      </c>
      <c r="L1835" s="1030">
        <v>0</v>
      </c>
      <c r="M1835" s="979">
        <v>599</v>
      </c>
    </row>
    <row r="1836" spans="1:13" ht="15">
      <c r="A1836" s="979" t="s">
        <v>3726</v>
      </c>
      <c r="B1836" s="722" t="str">
        <f>CONCATENATE(LEFT(RIGHT(CONCATENATE("000",IFAData_TEA!A1836),6),3),"-",(RIGHT(RIGHT(CONCATENATE("000",IFAData_TEA!A1836),6),3)))</f>
        <v>220-908</v>
      </c>
      <c r="C1836" s="979" t="s">
        <v>290</v>
      </c>
      <c r="D1836" s="979">
        <v>10</v>
      </c>
      <c r="E1836" s="979">
        <v>2061</v>
      </c>
      <c r="F1836" s="979" t="s">
        <v>5506</v>
      </c>
      <c r="G1836" s="979" t="s">
        <v>5506</v>
      </c>
      <c r="H1836" s="1030">
        <v>4627576</v>
      </c>
      <c r="I1836" s="1030">
        <v>2321250</v>
      </c>
      <c r="J1836" s="1034">
        <v>1</v>
      </c>
      <c r="K1836" s="1030">
        <v>4627576</v>
      </c>
      <c r="L1836" s="1030">
        <v>2321250</v>
      </c>
      <c r="M1836" s="979">
        <v>599</v>
      </c>
    </row>
    <row r="1837" spans="1:13" ht="15">
      <c r="A1837" s="979" t="s">
        <v>3726</v>
      </c>
      <c r="B1837" s="722" t="str">
        <f>CONCATENATE(LEFT(RIGHT(CONCATENATE("000",IFAData_TEA!A1837),6),3),"-",(RIGHT(RIGHT(CONCATENATE("000",IFAData_TEA!A1837),6),3)))</f>
        <v>220-908</v>
      </c>
      <c r="C1837" s="979" t="s">
        <v>290</v>
      </c>
      <c r="D1837" s="979">
        <v>1</v>
      </c>
      <c r="E1837" s="979">
        <v>2058</v>
      </c>
      <c r="F1837" s="979" t="s">
        <v>5495</v>
      </c>
      <c r="G1837" s="979" t="s">
        <v>5495</v>
      </c>
      <c r="H1837" s="1030">
        <v>2772030</v>
      </c>
      <c r="I1837" s="1030">
        <v>0</v>
      </c>
      <c r="J1837" s="1034">
        <v>0</v>
      </c>
      <c r="K1837" s="1030">
        <v>0</v>
      </c>
      <c r="L1837" s="1030">
        <v>0</v>
      </c>
      <c r="M1837" s="979">
        <v>599</v>
      </c>
    </row>
    <row r="1838" spans="1:13" ht="15">
      <c r="A1838" s="979" t="s">
        <v>3726</v>
      </c>
      <c r="B1838" s="722" t="str">
        <f>CONCATENATE(LEFT(RIGHT(CONCATENATE("000",IFAData_TEA!A1838),6),3),"-",(RIGHT(RIGHT(CONCATENATE("000",IFAData_TEA!A1838),6),3)))</f>
        <v>220-908</v>
      </c>
      <c r="C1838" s="979" t="s">
        <v>290</v>
      </c>
      <c r="D1838" s="979">
        <v>6</v>
      </c>
      <c r="E1838" s="979">
        <v>2056</v>
      </c>
      <c r="F1838" s="979" t="s">
        <v>5502</v>
      </c>
      <c r="G1838" s="979" t="s">
        <v>5497</v>
      </c>
      <c r="H1838" s="1030">
        <v>2153875</v>
      </c>
      <c r="I1838" s="1030">
        <v>1683024</v>
      </c>
      <c r="J1838" s="1034">
        <v>0.30274795162361789</v>
      </c>
      <c r="K1838" s="1030">
        <v>652081.24430331995</v>
      </c>
      <c r="L1838" s="1030">
        <v>652081.24430331995</v>
      </c>
      <c r="M1838" s="979">
        <v>599</v>
      </c>
    </row>
    <row r="1839" spans="1:13" ht="15">
      <c r="A1839" s="979" t="s">
        <v>3726</v>
      </c>
      <c r="B1839" s="722" t="str">
        <f>CONCATENATE(LEFT(RIGHT(CONCATENATE("000",IFAData_TEA!A1839),6),3),"-",(RIGHT(RIGHT(CONCATENATE("000",IFAData_TEA!A1839),6),3)))</f>
        <v>220-908</v>
      </c>
      <c r="C1839" s="979" t="s">
        <v>290</v>
      </c>
      <c r="D1839" s="979">
        <v>1</v>
      </c>
      <c r="E1839" s="979">
        <v>2058</v>
      </c>
      <c r="F1839" s="979" t="s">
        <v>5495</v>
      </c>
      <c r="G1839" s="979" t="s">
        <v>5497</v>
      </c>
      <c r="H1839" s="1030">
        <v>2772030</v>
      </c>
      <c r="I1839" s="1030">
        <v>713050</v>
      </c>
      <c r="J1839" s="1034">
        <v>0.49892001536537905</v>
      </c>
      <c r="K1839" s="1030">
        <v>1383021.2501932918</v>
      </c>
      <c r="L1839" s="1030">
        <v>713050</v>
      </c>
      <c r="M1839" s="979">
        <v>599</v>
      </c>
    </row>
    <row r="1840" spans="1:13" ht="15">
      <c r="A1840" s="979" t="s">
        <v>3726</v>
      </c>
      <c r="B1840" s="722" t="str">
        <f>CONCATENATE(LEFT(RIGHT(CONCATENATE("000",IFAData_TEA!A1840),6),3),"-",(RIGHT(RIGHT(CONCATENATE("000",IFAData_TEA!A1840),6),3)))</f>
        <v>220-908</v>
      </c>
      <c r="C1840" s="979" t="s">
        <v>290</v>
      </c>
      <c r="D1840" s="979">
        <v>6</v>
      </c>
      <c r="E1840" s="979">
        <v>2057</v>
      </c>
      <c r="F1840" s="979" t="s">
        <v>5499</v>
      </c>
      <c r="G1840" s="979" t="s">
        <v>5501</v>
      </c>
      <c r="H1840" s="1030">
        <v>2346513</v>
      </c>
      <c r="I1840" s="1030">
        <v>2917009</v>
      </c>
      <c r="J1840" s="1034">
        <v>0.8446735058851873</v>
      </c>
      <c r="K1840" s="1030">
        <v>1982037.3623151686</v>
      </c>
      <c r="L1840" s="1030">
        <v>1982037.3623151686</v>
      </c>
      <c r="M1840" s="979">
        <v>599</v>
      </c>
    </row>
    <row r="1841" spans="1:13" ht="15">
      <c r="A1841" s="979" t="s">
        <v>3726</v>
      </c>
      <c r="B1841" s="722" t="str">
        <f>CONCATENATE(LEFT(RIGHT(CONCATENATE("000",IFAData_TEA!A1841),6),3),"-",(RIGHT(RIGHT(CONCATENATE("000",IFAData_TEA!A1841),6),3)))</f>
        <v>220-908</v>
      </c>
      <c r="C1841" s="979" t="s">
        <v>290</v>
      </c>
      <c r="D1841" s="979">
        <v>1</v>
      </c>
      <c r="E1841" s="979">
        <v>2058</v>
      </c>
      <c r="F1841" s="979" t="s">
        <v>5495</v>
      </c>
      <c r="G1841" s="979" t="s">
        <v>5496</v>
      </c>
      <c r="H1841" s="1030">
        <v>2772030</v>
      </c>
      <c r="I1841" s="1030">
        <v>0</v>
      </c>
      <c r="J1841" s="1034">
        <v>0</v>
      </c>
      <c r="K1841" s="1030">
        <v>0</v>
      </c>
      <c r="L1841" s="1030">
        <v>0</v>
      </c>
      <c r="M1841" s="979">
        <v>599</v>
      </c>
    </row>
    <row r="1842" spans="1:13" ht="15">
      <c r="A1842" s="979" t="s">
        <v>3726</v>
      </c>
      <c r="B1842" s="722" t="str">
        <f>CONCATENATE(LEFT(RIGHT(CONCATENATE("000",IFAData_TEA!A1842),6),3),"-",(RIGHT(RIGHT(CONCATENATE("000",IFAData_TEA!A1842),6),3)))</f>
        <v>220-908</v>
      </c>
      <c r="C1842" s="979" t="s">
        <v>290</v>
      </c>
      <c r="D1842" s="979">
        <v>9</v>
      </c>
      <c r="E1842" s="979">
        <v>2059</v>
      </c>
      <c r="F1842" s="979" t="s">
        <v>5505</v>
      </c>
      <c r="G1842" s="979" t="s">
        <v>5505</v>
      </c>
      <c r="H1842" s="1030">
        <v>3920147</v>
      </c>
      <c r="I1842" s="1030">
        <v>3954306</v>
      </c>
      <c r="J1842" s="1034">
        <v>0.80844867760175509</v>
      </c>
      <c r="K1842" s="1030">
        <v>3169237.6581544876</v>
      </c>
      <c r="L1842" s="1030">
        <v>3169237.6581544876</v>
      </c>
      <c r="M1842" s="979">
        <v>599</v>
      </c>
    </row>
    <row r="1843" spans="1:13" ht="15">
      <c r="A1843" s="979" t="s">
        <v>3726</v>
      </c>
      <c r="B1843" s="722" t="str">
        <f>CONCATENATE(LEFT(RIGHT(CONCATENATE("000",IFAData_TEA!A1843),6),3),"-",(RIGHT(RIGHT(CONCATENATE("000",IFAData_TEA!A1843),6),3)))</f>
        <v>220-908</v>
      </c>
      <c r="C1843" s="979" t="s">
        <v>290</v>
      </c>
      <c r="D1843" s="979">
        <v>6</v>
      </c>
      <c r="E1843" s="979">
        <v>2056</v>
      </c>
      <c r="F1843" s="979" t="s">
        <v>5502</v>
      </c>
      <c r="G1843" s="979" t="s">
        <v>5502</v>
      </c>
      <c r="H1843" s="1030">
        <v>2153875</v>
      </c>
      <c r="I1843" s="1030">
        <v>66965</v>
      </c>
      <c r="J1843" s="1034">
        <v>1.2045886796905792E-2</v>
      </c>
      <c r="K1843" s="1030">
        <v>25945.334424685461</v>
      </c>
      <c r="L1843" s="1030">
        <v>25945.334424685461</v>
      </c>
      <c r="M1843" s="979">
        <v>599</v>
      </c>
    </row>
    <row r="1844" spans="1:13" ht="15">
      <c r="A1844" s="979" t="s">
        <v>3727</v>
      </c>
      <c r="B1844" s="722" t="str">
        <f>CONCATENATE(LEFT(RIGHT(CONCATENATE("000",IFAData_TEA!A1844),6),3),"-",(RIGHT(RIGHT(CONCATENATE("000",IFAData_TEA!A1844),6),3)))</f>
        <v>220-910</v>
      </c>
      <c r="C1844" s="979" t="s">
        <v>2301</v>
      </c>
      <c r="D1844" s="979">
        <v>5</v>
      </c>
      <c r="E1844" s="979">
        <v>2001</v>
      </c>
      <c r="F1844" s="979" t="s">
        <v>5509</v>
      </c>
      <c r="G1844" s="979" t="s">
        <v>5510</v>
      </c>
      <c r="H1844" s="1030">
        <v>464180</v>
      </c>
      <c r="I1844" s="1030">
        <v>646725</v>
      </c>
      <c r="J1844" s="1034">
        <v>1</v>
      </c>
      <c r="K1844" s="1030">
        <v>464180</v>
      </c>
      <c r="L1844" s="1030">
        <v>464180</v>
      </c>
      <c r="M1844" s="979">
        <v>599</v>
      </c>
    </row>
    <row r="1845" spans="1:13" ht="15">
      <c r="A1845" s="979" t="s">
        <v>3727</v>
      </c>
      <c r="B1845" s="722" t="str">
        <f>CONCATENATE(LEFT(RIGHT(CONCATENATE("000",IFAData_TEA!A1845),6),3),"-",(RIGHT(RIGHT(CONCATENATE("000",IFAData_TEA!A1845),6),3)))</f>
        <v>220-910</v>
      </c>
      <c r="C1845" s="979" t="s">
        <v>2301</v>
      </c>
      <c r="D1845" s="979">
        <v>9</v>
      </c>
      <c r="E1845" s="979">
        <v>1999</v>
      </c>
      <c r="F1845" s="979" t="s">
        <v>5511</v>
      </c>
      <c r="G1845" s="979" t="s">
        <v>6331</v>
      </c>
      <c r="H1845" s="1030">
        <v>335046</v>
      </c>
      <c r="I1845" s="1030">
        <v>161852</v>
      </c>
      <c r="J1845" s="1034">
        <v>0.49139127134724858</v>
      </c>
      <c r="K1845" s="1030">
        <v>164638.67989981026</v>
      </c>
      <c r="L1845" s="1030">
        <v>161852</v>
      </c>
      <c r="M1845" s="979">
        <v>599</v>
      </c>
    </row>
    <row r="1846" spans="1:13" ht="15">
      <c r="A1846" s="979" t="s">
        <v>3727</v>
      </c>
      <c r="B1846" s="722" t="str">
        <f>CONCATENATE(LEFT(RIGHT(CONCATENATE("000",IFAData_TEA!A1846),6),3),"-",(RIGHT(RIGHT(CONCATENATE("000",IFAData_TEA!A1846),6),3)))</f>
        <v>220-910</v>
      </c>
      <c r="C1846" s="979" t="s">
        <v>2301</v>
      </c>
      <c r="D1846" s="979">
        <v>9</v>
      </c>
      <c r="E1846" s="979">
        <v>1999</v>
      </c>
      <c r="F1846" s="979" t="s">
        <v>5511</v>
      </c>
      <c r="G1846" s="979" t="s">
        <v>5511</v>
      </c>
      <c r="H1846" s="1030">
        <v>335046</v>
      </c>
      <c r="I1846" s="1030">
        <v>167523</v>
      </c>
      <c r="J1846" s="1034">
        <v>0.50860872865275142</v>
      </c>
      <c r="K1846" s="1030">
        <v>170407.32010018974</v>
      </c>
      <c r="L1846" s="1030">
        <v>167523</v>
      </c>
      <c r="M1846" s="979">
        <v>599</v>
      </c>
    </row>
    <row r="1847" spans="1:13" ht="15">
      <c r="A1847" s="979" t="s">
        <v>3727</v>
      </c>
      <c r="B1847" s="722" t="str">
        <f>CONCATENATE(LEFT(RIGHT(CONCATENATE("000",IFAData_TEA!A1847),6),3),"-",(RIGHT(RIGHT(CONCATENATE("000",IFAData_TEA!A1847),6),3)))</f>
        <v>220-910</v>
      </c>
      <c r="C1847" s="979" t="s">
        <v>2301</v>
      </c>
      <c r="D1847" s="979">
        <v>5</v>
      </c>
      <c r="E1847" s="979">
        <v>2001</v>
      </c>
      <c r="F1847" s="979" t="s">
        <v>5509</v>
      </c>
      <c r="G1847" s="979" t="s">
        <v>5509</v>
      </c>
      <c r="H1847" s="1030">
        <v>464180</v>
      </c>
      <c r="I1847" s="1030">
        <v>0</v>
      </c>
      <c r="J1847" s="1034">
        <v>0</v>
      </c>
      <c r="K1847" s="1030">
        <v>0</v>
      </c>
      <c r="L1847" s="1030">
        <v>0</v>
      </c>
      <c r="M1847" s="979">
        <v>599</v>
      </c>
    </row>
    <row r="1848" spans="1:13" ht="15">
      <c r="A1848" s="979" t="s">
        <v>3727</v>
      </c>
      <c r="B1848" s="722" t="str">
        <f>CONCATENATE(LEFT(RIGHT(CONCATENATE("000",IFAData_TEA!A1848),6),3),"-",(RIGHT(RIGHT(CONCATENATE("000",IFAData_TEA!A1848),6),3)))</f>
        <v>220-910</v>
      </c>
      <c r="C1848" s="979" t="s">
        <v>2301</v>
      </c>
      <c r="D1848" s="979">
        <v>2</v>
      </c>
      <c r="E1848" s="979">
        <v>2000</v>
      </c>
      <c r="F1848" s="979" t="s">
        <v>5507</v>
      </c>
      <c r="G1848" s="979" t="s">
        <v>5508</v>
      </c>
      <c r="H1848" s="1030">
        <v>425000</v>
      </c>
      <c r="I1848" s="1030">
        <v>395231</v>
      </c>
      <c r="J1848" s="1034">
        <v>1</v>
      </c>
      <c r="K1848" s="1030">
        <v>425000</v>
      </c>
      <c r="L1848" s="1030">
        <v>395231</v>
      </c>
      <c r="M1848" s="979">
        <v>599</v>
      </c>
    </row>
    <row r="1849" spans="1:13" ht="15">
      <c r="A1849" s="979" t="s">
        <v>3727</v>
      </c>
      <c r="B1849" s="722" t="str">
        <f>CONCATENATE(LEFT(RIGHT(CONCATENATE("000",IFAData_TEA!A1849),6),3),"-",(RIGHT(RIGHT(CONCATENATE("000",IFAData_TEA!A1849),6),3)))</f>
        <v>220-910</v>
      </c>
      <c r="C1849" s="979" t="s">
        <v>2301</v>
      </c>
      <c r="D1849" s="979">
        <v>9</v>
      </c>
      <c r="E1849" s="979">
        <v>1998</v>
      </c>
      <c r="F1849" s="979" t="s">
        <v>5512</v>
      </c>
      <c r="G1849" s="979" t="s">
        <v>5512</v>
      </c>
      <c r="H1849" s="1030">
        <v>83579</v>
      </c>
      <c r="I1849" s="1030">
        <v>513775</v>
      </c>
      <c r="J1849" s="1034">
        <v>1</v>
      </c>
      <c r="K1849" s="1030">
        <v>83579</v>
      </c>
      <c r="L1849" s="1030">
        <v>83579</v>
      </c>
      <c r="M1849" s="979">
        <v>599</v>
      </c>
    </row>
    <row r="1850" spans="1:13" ht="15">
      <c r="A1850" s="979" t="s">
        <v>3727</v>
      </c>
      <c r="B1850" s="722" t="str">
        <f>CONCATENATE(LEFT(RIGHT(CONCATENATE("000",IFAData_TEA!A1850),6),3),"-",(RIGHT(RIGHT(CONCATENATE("000",IFAData_TEA!A1850),6),3)))</f>
        <v>220-910</v>
      </c>
      <c r="C1850" s="979" t="s">
        <v>2301</v>
      </c>
      <c r="D1850" s="979">
        <v>2</v>
      </c>
      <c r="E1850" s="979">
        <v>2000</v>
      </c>
      <c r="F1850" s="979" t="s">
        <v>5507</v>
      </c>
      <c r="G1850" s="979" t="s">
        <v>5507</v>
      </c>
      <c r="H1850" s="1030">
        <v>425000</v>
      </c>
      <c r="I1850" s="1030">
        <v>0</v>
      </c>
      <c r="J1850" s="1034">
        <v>0</v>
      </c>
      <c r="K1850" s="1030">
        <v>0</v>
      </c>
      <c r="L1850" s="1030">
        <v>0</v>
      </c>
      <c r="M1850" s="979">
        <v>599</v>
      </c>
    </row>
    <row r="1851" spans="1:13" ht="15">
      <c r="A1851" s="979" t="s">
        <v>3728</v>
      </c>
      <c r="B1851" s="722" t="str">
        <f>CONCATENATE(LEFT(RIGHT(CONCATENATE("000",IFAData_TEA!A1851),6),3),"-",(RIGHT(RIGHT(CONCATENATE("000",IFAData_TEA!A1851),6),3)))</f>
        <v>220-912</v>
      </c>
      <c r="C1851" s="979" t="s">
        <v>419</v>
      </c>
      <c r="D1851" s="979">
        <v>1</v>
      </c>
      <c r="E1851" s="979">
        <v>1733</v>
      </c>
      <c r="F1851" s="979" t="s">
        <v>5513</v>
      </c>
      <c r="G1851" s="979" t="s">
        <v>5515</v>
      </c>
      <c r="H1851" s="1030">
        <v>1863688</v>
      </c>
      <c r="I1851" s="1030">
        <v>377211</v>
      </c>
      <c r="J1851" s="1034">
        <v>0.16653583771441086</v>
      </c>
      <c r="K1851" s="1030">
        <v>310370.84231829492</v>
      </c>
      <c r="L1851" s="1030">
        <v>310370.84231829492</v>
      </c>
      <c r="M1851" s="979">
        <v>599</v>
      </c>
    </row>
    <row r="1852" spans="1:13" ht="15">
      <c r="A1852" s="979" t="s">
        <v>3728</v>
      </c>
      <c r="B1852" s="722" t="str">
        <f>CONCATENATE(LEFT(RIGHT(CONCATENATE("000",IFAData_TEA!A1852),6),3),"-",(RIGHT(RIGHT(CONCATENATE("000",IFAData_TEA!A1852),6),3)))</f>
        <v>220-912</v>
      </c>
      <c r="C1852" s="979" t="s">
        <v>419</v>
      </c>
      <c r="D1852" s="979">
        <v>1</v>
      </c>
      <c r="E1852" s="979">
        <v>1733</v>
      </c>
      <c r="F1852" s="979" t="s">
        <v>5513</v>
      </c>
      <c r="G1852" s="979" t="s">
        <v>5513</v>
      </c>
      <c r="H1852" s="1030">
        <v>1863688</v>
      </c>
      <c r="I1852" s="1030">
        <v>0</v>
      </c>
      <c r="J1852" s="1034">
        <v>0</v>
      </c>
      <c r="K1852" s="1030">
        <v>0</v>
      </c>
      <c r="L1852" s="1030">
        <v>0</v>
      </c>
      <c r="M1852" s="979">
        <v>599</v>
      </c>
    </row>
    <row r="1853" spans="1:13" ht="15">
      <c r="A1853" s="979" t="s">
        <v>3728</v>
      </c>
      <c r="B1853" s="722" t="str">
        <f>CONCATENATE(LEFT(RIGHT(CONCATENATE("000",IFAData_TEA!A1853),6),3),"-",(RIGHT(RIGHT(CONCATENATE("000",IFAData_TEA!A1853),6),3)))</f>
        <v>220-912</v>
      </c>
      <c r="C1853" s="979" t="s">
        <v>419</v>
      </c>
      <c r="D1853" s="979">
        <v>1</v>
      </c>
      <c r="E1853" s="979">
        <v>1733</v>
      </c>
      <c r="F1853" s="979" t="s">
        <v>5513</v>
      </c>
      <c r="G1853" s="979" t="s">
        <v>5514</v>
      </c>
      <c r="H1853" s="1030">
        <v>1863688</v>
      </c>
      <c r="I1853" s="1030">
        <v>1484921</v>
      </c>
      <c r="J1853" s="1034">
        <v>0.65558152512710566</v>
      </c>
      <c r="K1853" s="1030">
        <v>1221799.4214010853</v>
      </c>
      <c r="L1853" s="1030">
        <v>1221799.4214010853</v>
      </c>
      <c r="M1853" s="979">
        <v>599</v>
      </c>
    </row>
    <row r="1854" spans="1:13" ht="15">
      <c r="A1854" s="979" t="s">
        <v>3728</v>
      </c>
      <c r="B1854" s="722" t="str">
        <f>CONCATENATE(LEFT(RIGHT(CONCATENATE("000",IFAData_TEA!A1854),6),3),"-",(RIGHT(RIGHT(CONCATENATE("000",IFAData_TEA!A1854),6),3)))</f>
        <v>220-912</v>
      </c>
      <c r="C1854" s="979" t="s">
        <v>419</v>
      </c>
      <c r="D1854" s="979">
        <v>10</v>
      </c>
      <c r="E1854" s="979">
        <v>1734</v>
      </c>
      <c r="F1854" s="979" t="s">
        <v>5517</v>
      </c>
      <c r="G1854" s="979" t="s">
        <v>5517</v>
      </c>
      <c r="H1854" s="1030">
        <v>3735112</v>
      </c>
      <c r="I1854" s="1030">
        <v>4239445</v>
      </c>
      <c r="J1854" s="1034">
        <v>1</v>
      </c>
      <c r="K1854" s="1030">
        <v>3735112</v>
      </c>
      <c r="L1854" s="1030">
        <v>3735112</v>
      </c>
      <c r="M1854" s="979">
        <v>599</v>
      </c>
    </row>
    <row r="1855" spans="1:13" ht="15">
      <c r="A1855" s="979" t="s">
        <v>3728</v>
      </c>
      <c r="B1855" s="722" t="str">
        <f>CONCATENATE(LEFT(RIGHT(CONCATENATE("000",IFAData_TEA!A1855),6),3),"-",(RIGHT(RIGHT(CONCATENATE("000",IFAData_TEA!A1855),6),3)))</f>
        <v>220-912</v>
      </c>
      <c r="C1855" s="979" t="s">
        <v>419</v>
      </c>
      <c r="D1855" s="979">
        <v>9</v>
      </c>
      <c r="E1855" s="979">
        <v>1735</v>
      </c>
      <c r="F1855" s="979" t="s">
        <v>5516</v>
      </c>
      <c r="G1855" s="979" t="s">
        <v>5516</v>
      </c>
      <c r="H1855" s="1030">
        <v>3761388</v>
      </c>
      <c r="I1855" s="1030">
        <v>3366388</v>
      </c>
      <c r="J1855" s="1034">
        <v>1</v>
      </c>
      <c r="K1855" s="1030">
        <v>3761388</v>
      </c>
      <c r="L1855" s="1030">
        <v>3366388</v>
      </c>
      <c r="M1855" s="979">
        <v>599</v>
      </c>
    </row>
    <row r="1856" spans="1:13" ht="15">
      <c r="A1856" s="979" t="s">
        <v>3728</v>
      </c>
      <c r="B1856" s="722" t="str">
        <f>CONCATENATE(LEFT(RIGHT(CONCATENATE("000",IFAData_TEA!A1856),6),3),"-",(RIGHT(RIGHT(CONCATENATE("000",IFAData_TEA!A1856),6),3)))</f>
        <v>220-912</v>
      </c>
      <c r="C1856" s="979" t="s">
        <v>419</v>
      </c>
      <c r="D1856" s="979">
        <v>9</v>
      </c>
      <c r="E1856" s="979">
        <v>1735</v>
      </c>
      <c r="F1856" s="979" t="s">
        <v>5516</v>
      </c>
      <c r="G1856" s="979" t="s">
        <v>6332</v>
      </c>
      <c r="H1856" s="1030">
        <v>3761388</v>
      </c>
      <c r="I1856" s="1030">
        <v>0</v>
      </c>
      <c r="J1856" s="1034">
        <v>0</v>
      </c>
      <c r="K1856" s="1030">
        <v>0</v>
      </c>
      <c r="L1856" s="1030">
        <v>0</v>
      </c>
      <c r="M1856" s="979">
        <v>599</v>
      </c>
    </row>
    <row r="1857" spans="1:13" ht="15">
      <c r="A1857" s="979" t="s">
        <v>3728</v>
      </c>
      <c r="B1857" s="722" t="str">
        <f>CONCATENATE(LEFT(RIGHT(CONCATENATE("000",IFAData_TEA!A1857),6),3),"-",(RIGHT(RIGHT(CONCATENATE("000",IFAData_TEA!A1857),6),3)))</f>
        <v>220-912</v>
      </c>
      <c r="C1857" s="979" t="s">
        <v>419</v>
      </c>
      <c r="D1857" s="979">
        <v>1</v>
      </c>
      <c r="E1857" s="979">
        <v>1733</v>
      </c>
      <c r="F1857" s="979" t="s">
        <v>5513</v>
      </c>
      <c r="G1857" s="979" t="s">
        <v>6333</v>
      </c>
      <c r="H1857" s="1030">
        <v>1863688</v>
      </c>
      <c r="I1857" s="1030">
        <v>402912</v>
      </c>
      <c r="J1857" s="1034">
        <v>0.17788263715848346</v>
      </c>
      <c r="K1857" s="1030">
        <v>331517.73628061975</v>
      </c>
      <c r="L1857" s="1030">
        <v>331517.73628061975</v>
      </c>
      <c r="M1857" s="979">
        <v>599</v>
      </c>
    </row>
    <row r="1858" spans="1:13" ht="15">
      <c r="A1858" s="979" t="s">
        <v>3729</v>
      </c>
      <c r="B1858" s="722" t="str">
        <f>CONCATENATE(LEFT(RIGHT(CONCATENATE("000",IFAData_TEA!A1858),6),3),"-",(RIGHT(RIGHT(CONCATENATE("000",IFAData_TEA!A1858),6),3)))</f>
        <v>220-914</v>
      </c>
      <c r="C1858" s="979" t="s">
        <v>2516</v>
      </c>
      <c r="D1858" s="979">
        <v>1</v>
      </c>
      <c r="E1858" s="979">
        <v>1955</v>
      </c>
      <c r="F1858" s="979" t="s">
        <v>5518</v>
      </c>
      <c r="G1858" s="979" t="s">
        <v>6334</v>
      </c>
      <c r="H1858" s="1030">
        <v>565360</v>
      </c>
      <c r="I1858" s="1030">
        <v>115311</v>
      </c>
      <c r="J1858" s="1034">
        <v>0.22436796728003627</v>
      </c>
      <c r="K1858" s="1030">
        <v>126848.6739814413</v>
      </c>
      <c r="L1858" s="1030">
        <v>115311</v>
      </c>
      <c r="M1858" s="979">
        <v>599</v>
      </c>
    </row>
    <row r="1859" spans="1:13" ht="15">
      <c r="A1859" s="979" t="s">
        <v>3729</v>
      </c>
      <c r="B1859" s="722" t="str">
        <f>CONCATENATE(LEFT(RIGHT(CONCATENATE("000",IFAData_TEA!A1859),6),3),"-",(RIGHT(RIGHT(CONCATENATE("000",IFAData_TEA!A1859),6),3)))</f>
        <v>220-914</v>
      </c>
      <c r="C1859" s="979" t="s">
        <v>2516</v>
      </c>
      <c r="D1859" s="979">
        <v>1</v>
      </c>
      <c r="E1859" s="979">
        <v>1955</v>
      </c>
      <c r="F1859" s="979" t="s">
        <v>5518</v>
      </c>
      <c r="G1859" s="979" t="s">
        <v>5520</v>
      </c>
      <c r="H1859" s="1030">
        <v>565360</v>
      </c>
      <c r="I1859" s="1030">
        <v>0</v>
      </c>
      <c r="J1859" s="1034">
        <v>0</v>
      </c>
      <c r="K1859" s="1030">
        <v>0</v>
      </c>
      <c r="L1859" s="1030">
        <v>0</v>
      </c>
      <c r="M1859" s="979">
        <v>599</v>
      </c>
    </row>
    <row r="1860" spans="1:13" ht="15">
      <c r="A1860" s="979" t="s">
        <v>3729</v>
      </c>
      <c r="B1860" s="722" t="str">
        <f>CONCATENATE(LEFT(RIGHT(CONCATENATE("000",IFAData_TEA!A1860),6),3),"-",(RIGHT(RIGHT(CONCATENATE("000",IFAData_TEA!A1860),6),3)))</f>
        <v>220-914</v>
      </c>
      <c r="C1860" s="979" t="s">
        <v>2516</v>
      </c>
      <c r="D1860" s="979">
        <v>1</v>
      </c>
      <c r="E1860" s="979">
        <v>1955</v>
      </c>
      <c r="F1860" s="979" t="s">
        <v>5518</v>
      </c>
      <c r="G1860" s="979" t="s">
        <v>5519</v>
      </c>
      <c r="H1860" s="1030">
        <v>565360</v>
      </c>
      <c r="I1860" s="1030">
        <v>398626</v>
      </c>
      <c r="J1860" s="1034">
        <v>0.77563203271996373</v>
      </c>
      <c r="K1860" s="1030">
        <v>438511.3260185587</v>
      </c>
      <c r="L1860" s="1030">
        <v>398626</v>
      </c>
      <c r="M1860" s="979">
        <v>599</v>
      </c>
    </row>
    <row r="1861" spans="1:13" ht="15">
      <c r="A1861" s="979" t="s">
        <v>3729</v>
      </c>
      <c r="B1861" s="722" t="str">
        <f>CONCATENATE(LEFT(RIGHT(CONCATENATE("000",IFAData_TEA!A1861),6),3),"-",(RIGHT(RIGHT(CONCATENATE("000",IFAData_TEA!A1861),6),3)))</f>
        <v>220-914</v>
      </c>
      <c r="C1861" s="979" t="s">
        <v>2516</v>
      </c>
      <c r="D1861" s="979">
        <v>1</v>
      </c>
      <c r="E1861" s="979">
        <v>1955</v>
      </c>
      <c r="F1861" s="979" t="s">
        <v>5518</v>
      </c>
      <c r="G1861" s="979" t="s">
        <v>5518</v>
      </c>
      <c r="H1861" s="1030">
        <v>565360</v>
      </c>
      <c r="I1861" s="1030">
        <v>0</v>
      </c>
      <c r="J1861" s="1034">
        <v>0</v>
      </c>
      <c r="K1861" s="1030">
        <v>0</v>
      </c>
      <c r="L1861" s="1030">
        <v>0</v>
      </c>
      <c r="M1861" s="979">
        <v>599</v>
      </c>
    </row>
    <row r="1862" spans="1:13" ht="15">
      <c r="A1862" s="979" t="s">
        <v>3730</v>
      </c>
      <c r="B1862" s="722" t="str">
        <f>CONCATENATE(LEFT(RIGHT(CONCATENATE("000",IFAData_TEA!A1862),6),3),"-",(RIGHT(RIGHT(CONCATENATE("000",IFAData_TEA!A1862),6),3)))</f>
        <v>220-915</v>
      </c>
      <c r="C1862" s="979" t="s">
        <v>2119</v>
      </c>
      <c r="D1862" s="979">
        <v>3</v>
      </c>
      <c r="E1862" s="979">
        <v>1588</v>
      </c>
      <c r="F1862" s="979" t="s">
        <v>5521</v>
      </c>
      <c r="G1862" s="979" t="s">
        <v>5522</v>
      </c>
      <c r="H1862" s="1030">
        <v>1377910</v>
      </c>
      <c r="I1862" s="1030">
        <v>0</v>
      </c>
      <c r="J1862" s="1034">
        <v>0</v>
      </c>
      <c r="K1862" s="1030">
        <v>0</v>
      </c>
      <c r="L1862" s="1030">
        <v>0</v>
      </c>
      <c r="M1862" s="979">
        <v>599</v>
      </c>
    </row>
    <row r="1863" spans="1:13" ht="15">
      <c r="A1863" s="979" t="s">
        <v>3730</v>
      </c>
      <c r="B1863" s="722" t="str">
        <f>CONCATENATE(LEFT(RIGHT(CONCATENATE("000",IFAData_TEA!A1863),6),3),"-",(RIGHT(RIGHT(CONCATENATE("000",IFAData_TEA!A1863),6),3)))</f>
        <v>220-915</v>
      </c>
      <c r="C1863" s="979" t="s">
        <v>2119</v>
      </c>
      <c r="D1863" s="979">
        <v>3</v>
      </c>
      <c r="E1863" s="979">
        <v>1588</v>
      </c>
      <c r="F1863" s="979" t="s">
        <v>5521</v>
      </c>
      <c r="G1863" s="979" t="s">
        <v>5524</v>
      </c>
      <c r="H1863" s="1030">
        <v>1377910</v>
      </c>
      <c r="I1863" s="1030">
        <v>495565</v>
      </c>
      <c r="J1863" s="1034">
        <v>0.19033991286609703</v>
      </c>
      <c r="K1863" s="1030">
        <v>262271.26933732373</v>
      </c>
      <c r="L1863" s="1030">
        <v>262271.26933732373</v>
      </c>
      <c r="M1863" s="979">
        <v>599</v>
      </c>
    </row>
    <row r="1864" spans="1:13" ht="15">
      <c r="A1864" s="979" t="s">
        <v>3730</v>
      </c>
      <c r="B1864" s="722" t="str">
        <f>CONCATENATE(LEFT(RIGHT(CONCATENATE("000",IFAData_TEA!A1864),6),3),"-",(RIGHT(RIGHT(CONCATENATE("000",IFAData_TEA!A1864),6),3)))</f>
        <v>220-915</v>
      </c>
      <c r="C1864" s="979" t="s">
        <v>2119</v>
      </c>
      <c r="D1864" s="979">
        <v>3</v>
      </c>
      <c r="E1864" s="979">
        <v>1588</v>
      </c>
      <c r="F1864" s="979" t="s">
        <v>5521</v>
      </c>
      <c r="G1864" s="979" t="s">
        <v>5523</v>
      </c>
      <c r="H1864" s="1030">
        <v>1377910</v>
      </c>
      <c r="I1864" s="1030">
        <v>2108014</v>
      </c>
      <c r="J1864" s="1034">
        <v>0.80966008713390303</v>
      </c>
      <c r="K1864" s="1030">
        <v>1115638.7306626763</v>
      </c>
      <c r="L1864" s="1030">
        <v>1115638.7306626763</v>
      </c>
      <c r="M1864" s="979">
        <v>599</v>
      </c>
    </row>
    <row r="1865" spans="1:13" ht="15">
      <c r="A1865" s="979" t="s">
        <v>3730</v>
      </c>
      <c r="B1865" s="722" t="str">
        <f>CONCATENATE(LEFT(RIGHT(CONCATENATE("000",IFAData_TEA!A1865),6),3),"-",(RIGHT(RIGHT(CONCATENATE("000",IFAData_TEA!A1865),6),3)))</f>
        <v>220-915</v>
      </c>
      <c r="C1865" s="979" t="s">
        <v>2119</v>
      </c>
      <c r="D1865" s="979">
        <v>3</v>
      </c>
      <c r="E1865" s="979">
        <v>1588</v>
      </c>
      <c r="F1865" s="979" t="s">
        <v>5521</v>
      </c>
      <c r="G1865" s="979" t="s">
        <v>5521</v>
      </c>
      <c r="H1865" s="1030">
        <v>1377910</v>
      </c>
      <c r="I1865" s="1030">
        <v>0</v>
      </c>
      <c r="J1865" s="1034">
        <v>0</v>
      </c>
      <c r="K1865" s="1030">
        <v>0</v>
      </c>
      <c r="L1865" s="1030">
        <v>0</v>
      </c>
      <c r="M1865" s="979">
        <v>599</v>
      </c>
    </row>
    <row r="1866" spans="1:13" ht="15">
      <c r="A1866" s="979" t="s">
        <v>3731</v>
      </c>
      <c r="B1866" s="722" t="str">
        <f>CONCATENATE(LEFT(RIGHT(CONCATENATE("000",IFAData_TEA!A1866),6),3),"-",(RIGHT(RIGHT(CONCATENATE("000",IFAData_TEA!A1866),6),3)))</f>
        <v>220-916</v>
      </c>
      <c r="C1866" s="979" t="s">
        <v>1267</v>
      </c>
      <c r="D1866" s="979">
        <v>2</v>
      </c>
      <c r="E1866" s="979">
        <v>1920</v>
      </c>
      <c r="F1866" s="979" t="s">
        <v>5525</v>
      </c>
      <c r="G1866" s="979" t="s">
        <v>5525</v>
      </c>
      <c r="H1866" s="1030">
        <v>4462566</v>
      </c>
      <c r="I1866" s="1030">
        <v>0</v>
      </c>
      <c r="J1866" s="1034">
        <v>0</v>
      </c>
      <c r="K1866" s="1030">
        <v>0</v>
      </c>
      <c r="L1866" s="1030">
        <v>0</v>
      </c>
      <c r="M1866" s="979">
        <v>599</v>
      </c>
    </row>
    <row r="1867" spans="1:13" ht="15">
      <c r="A1867" s="979" t="s">
        <v>3731</v>
      </c>
      <c r="B1867" s="722" t="str">
        <f>CONCATENATE(LEFT(RIGHT(CONCATENATE("000",IFAData_TEA!A1867),6),3),"-",(RIGHT(RIGHT(CONCATENATE("000",IFAData_TEA!A1867),6),3)))</f>
        <v>220-916</v>
      </c>
      <c r="C1867" s="979" t="s">
        <v>1267</v>
      </c>
      <c r="D1867" s="979">
        <v>2</v>
      </c>
      <c r="E1867" s="979">
        <v>1920</v>
      </c>
      <c r="F1867" s="979" t="s">
        <v>5525</v>
      </c>
      <c r="G1867" s="979" t="s">
        <v>5526</v>
      </c>
      <c r="H1867" s="1030">
        <v>4462566</v>
      </c>
      <c r="I1867" s="1030">
        <v>5173652</v>
      </c>
      <c r="J1867" s="1034">
        <v>0.58395017736958466</v>
      </c>
      <c r="K1867" s="1030">
        <v>2605916.2072234778</v>
      </c>
      <c r="L1867" s="1030">
        <v>2605916.2072234778</v>
      </c>
      <c r="M1867" s="979">
        <v>599</v>
      </c>
    </row>
    <row r="1868" spans="1:13" ht="15">
      <c r="A1868" s="979" t="s">
        <v>3731</v>
      </c>
      <c r="B1868" s="722" t="str">
        <f>CONCATENATE(LEFT(RIGHT(CONCATENATE("000",IFAData_TEA!A1868),6),3),"-",(RIGHT(RIGHT(CONCATENATE("000",IFAData_TEA!A1868),6),3)))</f>
        <v>220-916</v>
      </c>
      <c r="C1868" s="979" t="s">
        <v>1267</v>
      </c>
      <c r="D1868" s="979">
        <v>2</v>
      </c>
      <c r="E1868" s="979">
        <v>1920</v>
      </c>
      <c r="F1868" s="979" t="s">
        <v>5525</v>
      </c>
      <c r="G1868" s="979" t="s">
        <v>5527</v>
      </c>
      <c r="H1868" s="1030">
        <v>4462566</v>
      </c>
      <c r="I1868" s="1030">
        <v>3648505</v>
      </c>
      <c r="J1868" s="1034">
        <v>0.41180681303725419</v>
      </c>
      <c r="K1868" s="1030">
        <v>1837715.0824284074</v>
      </c>
      <c r="L1868" s="1030">
        <v>1837715.0824284074</v>
      </c>
      <c r="M1868" s="979">
        <v>599</v>
      </c>
    </row>
    <row r="1869" spans="1:13" ht="15">
      <c r="A1869" s="979" t="s">
        <v>3731</v>
      </c>
      <c r="B1869" s="722" t="str">
        <f>CONCATENATE(LEFT(RIGHT(CONCATENATE("000",IFAData_TEA!A1869),6),3),"-",(RIGHT(RIGHT(CONCATENATE("000",IFAData_TEA!A1869),6),3)))</f>
        <v>220-916</v>
      </c>
      <c r="C1869" s="979" t="s">
        <v>1267</v>
      </c>
      <c r="D1869" s="979">
        <v>2</v>
      </c>
      <c r="E1869" s="979">
        <v>1920</v>
      </c>
      <c r="F1869" s="979" t="s">
        <v>5525</v>
      </c>
      <c r="G1869" s="979" t="s">
        <v>6335</v>
      </c>
      <c r="H1869" s="1030">
        <v>4462566</v>
      </c>
      <c r="I1869" s="1030">
        <v>37592</v>
      </c>
      <c r="J1869" s="1034">
        <v>4.2430095931611607E-3</v>
      </c>
      <c r="K1869" s="1030">
        <v>18934.71034811483</v>
      </c>
      <c r="L1869" s="1030">
        <v>18934.71034811483</v>
      </c>
      <c r="M1869" s="979">
        <v>599</v>
      </c>
    </row>
    <row r="1870" spans="1:13" ht="15">
      <c r="A1870" s="979" t="s">
        <v>3732</v>
      </c>
      <c r="B1870" s="722" t="str">
        <f>CONCATENATE(LEFT(RIGHT(CONCATENATE("000",IFAData_TEA!A1870),6),3),"-",(RIGHT(RIGHT(CONCATENATE("000",IFAData_TEA!A1870),6),3)))</f>
        <v>220-917</v>
      </c>
      <c r="C1870" s="979" t="s">
        <v>657</v>
      </c>
      <c r="D1870" s="979">
        <v>5</v>
      </c>
      <c r="E1870" s="979">
        <v>1668</v>
      </c>
      <c r="F1870" s="979" t="s">
        <v>5528</v>
      </c>
      <c r="G1870" s="979" t="s">
        <v>5528</v>
      </c>
      <c r="H1870" s="1030">
        <v>711722</v>
      </c>
      <c r="I1870" s="1030">
        <v>0</v>
      </c>
      <c r="J1870" s="1034">
        <v>0</v>
      </c>
      <c r="K1870" s="1030">
        <v>0</v>
      </c>
      <c r="L1870" s="1030">
        <v>0</v>
      </c>
      <c r="M1870" s="979">
        <v>199</v>
      </c>
    </row>
    <row r="1871" spans="1:13" ht="15">
      <c r="A1871" s="979" t="s">
        <v>3732</v>
      </c>
      <c r="B1871" s="722" t="str">
        <f>CONCATENATE(LEFT(RIGHT(CONCATENATE("000",IFAData_TEA!A1871),6),3),"-",(RIGHT(RIGHT(CONCATENATE("000",IFAData_TEA!A1871),6),3)))</f>
        <v>220-917</v>
      </c>
      <c r="C1871" s="979" t="s">
        <v>657</v>
      </c>
      <c r="D1871" s="979">
        <v>5</v>
      </c>
      <c r="E1871" s="979">
        <v>1668</v>
      </c>
      <c r="F1871" s="979" t="s">
        <v>5528</v>
      </c>
      <c r="G1871" s="979" t="s">
        <v>5529</v>
      </c>
      <c r="H1871" s="1030">
        <v>711722</v>
      </c>
      <c r="I1871" s="1030">
        <v>0</v>
      </c>
      <c r="J1871" s="1034">
        <v>0</v>
      </c>
      <c r="K1871" s="1030">
        <v>0</v>
      </c>
      <c r="L1871" s="1030">
        <v>0</v>
      </c>
      <c r="M1871" s="979">
        <v>599</v>
      </c>
    </row>
    <row r="1872" spans="1:13" ht="15">
      <c r="A1872" s="979" t="s">
        <v>3732</v>
      </c>
      <c r="B1872" s="722" t="str">
        <f>CONCATENATE(LEFT(RIGHT(CONCATENATE("000",IFAData_TEA!A1872),6),3),"-",(RIGHT(RIGHT(CONCATENATE("000",IFAData_TEA!A1872),6),3)))</f>
        <v>220-917</v>
      </c>
      <c r="C1872" s="979" t="s">
        <v>657</v>
      </c>
      <c r="D1872" s="979">
        <v>5</v>
      </c>
      <c r="E1872" s="979">
        <v>1668</v>
      </c>
      <c r="F1872" s="979" t="s">
        <v>5528</v>
      </c>
      <c r="G1872" s="979" t="s">
        <v>5530</v>
      </c>
      <c r="H1872" s="1030">
        <v>711722</v>
      </c>
      <c r="I1872" s="1030">
        <v>502948</v>
      </c>
      <c r="J1872" s="1034">
        <v>1</v>
      </c>
      <c r="K1872" s="1030">
        <v>711722</v>
      </c>
      <c r="L1872" s="1030">
        <v>502948</v>
      </c>
      <c r="M1872" s="979">
        <v>599</v>
      </c>
    </row>
    <row r="1873" spans="1:13" ht="15">
      <c r="A1873" s="979" t="s">
        <v>3732</v>
      </c>
      <c r="B1873" s="722" t="str">
        <f>CONCATENATE(LEFT(RIGHT(CONCATENATE("000",IFAData_TEA!A1873),6),3),"-",(RIGHT(RIGHT(CONCATENATE("000",IFAData_TEA!A1873),6),3)))</f>
        <v>220-917</v>
      </c>
      <c r="C1873" s="979" t="s">
        <v>657</v>
      </c>
      <c r="D1873" s="979">
        <v>10</v>
      </c>
      <c r="E1873" s="979">
        <v>1669</v>
      </c>
      <c r="F1873" s="979" t="s">
        <v>5531</v>
      </c>
      <c r="G1873" s="979" t="s">
        <v>5531</v>
      </c>
      <c r="H1873" s="1030">
        <v>843841</v>
      </c>
      <c r="I1873" s="1030">
        <v>1446850</v>
      </c>
      <c r="J1873" s="1034">
        <v>1</v>
      </c>
      <c r="K1873" s="1030">
        <v>843841</v>
      </c>
      <c r="L1873" s="1030">
        <v>843841</v>
      </c>
      <c r="M1873" s="979">
        <v>599</v>
      </c>
    </row>
    <row r="1874" spans="1:13" ht="15">
      <c r="A1874" s="979" t="s">
        <v>3733</v>
      </c>
      <c r="B1874" s="722" t="str">
        <f>CONCATENATE(LEFT(RIGHT(CONCATENATE("000",IFAData_TEA!A1874),6),3),"-",(RIGHT(RIGHT(CONCATENATE("000",IFAData_TEA!A1874),6),3)))</f>
        <v>220-918</v>
      </c>
      <c r="C1874" s="979" t="s">
        <v>1280</v>
      </c>
      <c r="D1874" s="979">
        <v>10</v>
      </c>
      <c r="E1874" s="979">
        <v>1772</v>
      </c>
      <c r="F1874" s="979" t="s">
        <v>5532</v>
      </c>
      <c r="G1874" s="979" t="s">
        <v>6336</v>
      </c>
      <c r="H1874" s="1030">
        <v>4072151</v>
      </c>
      <c r="I1874" s="1030">
        <v>0</v>
      </c>
      <c r="J1874" s="1034">
        <v>0</v>
      </c>
      <c r="K1874" s="1030">
        <v>0</v>
      </c>
      <c r="L1874" s="1030">
        <v>0</v>
      </c>
      <c r="M1874" s="979">
        <v>599</v>
      </c>
    </row>
    <row r="1875" spans="1:13" ht="15">
      <c r="A1875" s="979" t="s">
        <v>3733</v>
      </c>
      <c r="B1875" s="722" t="str">
        <f>CONCATENATE(LEFT(RIGHT(CONCATENATE("000",IFAData_TEA!A1875),6),3),"-",(RIGHT(RIGHT(CONCATENATE("000",IFAData_TEA!A1875),6),3)))</f>
        <v>220-918</v>
      </c>
      <c r="C1875" s="979" t="s">
        <v>1280</v>
      </c>
      <c r="D1875" s="979">
        <v>10</v>
      </c>
      <c r="E1875" s="979">
        <v>1772</v>
      </c>
      <c r="F1875" s="979" t="s">
        <v>5532</v>
      </c>
      <c r="G1875" s="979" t="s">
        <v>5532</v>
      </c>
      <c r="H1875" s="1030">
        <v>4072151</v>
      </c>
      <c r="I1875" s="1030">
        <v>4405954</v>
      </c>
      <c r="J1875" s="1034">
        <v>1</v>
      </c>
      <c r="K1875" s="1030">
        <v>4072151</v>
      </c>
      <c r="L1875" s="1030">
        <v>4072151</v>
      </c>
      <c r="M1875" s="979">
        <v>599</v>
      </c>
    </row>
    <row r="1876" spans="1:13" ht="15">
      <c r="A1876" s="979" t="s">
        <v>5533</v>
      </c>
      <c r="B1876" s="722" t="str">
        <f>CONCATENATE(LEFT(RIGHT(CONCATENATE("000",IFAData_TEA!A1876),6),3),"-",(RIGHT(RIGHT(CONCATENATE("000",IFAData_TEA!A1876),6),3)))</f>
        <v>220-919</v>
      </c>
      <c r="C1876" s="979" t="s">
        <v>656</v>
      </c>
      <c r="D1876" s="979">
        <v>1</v>
      </c>
      <c r="E1876" s="979">
        <v>1667</v>
      </c>
      <c r="F1876" s="979" t="s">
        <v>5535</v>
      </c>
      <c r="G1876" s="979" t="s">
        <v>5535</v>
      </c>
      <c r="H1876" s="1030">
        <v>693277</v>
      </c>
      <c r="I1876" s="1030">
        <v>0</v>
      </c>
      <c r="J1876" s="1034">
        <v>0</v>
      </c>
      <c r="K1876" s="1030"/>
      <c r="L1876" s="1030">
        <v>0</v>
      </c>
      <c r="M1876" s="979">
        <v>599</v>
      </c>
    </row>
    <row r="1877" spans="1:13" ht="15">
      <c r="A1877" s="979" t="s">
        <v>5533</v>
      </c>
      <c r="B1877" s="722" t="str">
        <f>CONCATENATE(LEFT(RIGHT(CONCATENATE("000",IFAData_TEA!A1877),6),3),"-",(RIGHT(RIGHT(CONCATENATE("000",IFAData_TEA!A1877),6),3)))</f>
        <v>220-919</v>
      </c>
      <c r="C1877" s="979" t="s">
        <v>656</v>
      </c>
      <c r="D1877" s="979">
        <v>1</v>
      </c>
      <c r="E1877" s="979">
        <v>1666</v>
      </c>
      <c r="F1877" s="979" t="s">
        <v>5534</v>
      </c>
      <c r="G1877" s="979" t="s">
        <v>5534</v>
      </c>
      <c r="H1877" s="1030">
        <v>602473</v>
      </c>
      <c r="I1877" s="1030">
        <v>0</v>
      </c>
      <c r="J1877" s="1034">
        <v>0</v>
      </c>
      <c r="K1877" s="1030"/>
      <c r="L1877" s="1030">
        <v>0</v>
      </c>
      <c r="M1877" s="979">
        <v>599</v>
      </c>
    </row>
    <row r="1878" spans="1:13" ht="15">
      <c r="A1878" s="979" t="s">
        <v>3734</v>
      </c>
      <c r="B1878" s="722" t="str">
        <f>CONCATENATE(LEFT(RIGHT(CONCATENATE("000",IFAData_TEA!A1878),6),3),"-",(RIGHT(RIGHT(CONCATENATE("000",IFAData_TEA!A1878),6),3)))</f>
        <v>220-920</v>
      </c>
      <c r="C1878" s="979" t="s">
        <v>1333</v>
      </c>
      <c r="D1878" s="979">
        <v>1</v>
      </c>
      <c r="E1878" s="979">
        <v>2449</v>
      </c>
      <c r="F1878" s="979" t="s">
        <v>5536</v>
      </c>
      <c r="G1878" s="979" t="s">
        <v>5540</v>
      </c>
      <c r="H1878" s="1030">
        <v>729878</v>
      </c>
      <c r="I1878" s="1030">
        <v>5346</v>
      </c>
      <c r="J1878" s="1034">
        <v>5.8251855919820338E-3</v>
      </c>
      <c r="K1878" s="1030">
        <v>4251.6748095046632</v>
      </c>
      <c r="L1878" s="1030">
        <v>4251.6748095046632</v>
      </c>
      <c r="M1878" s="979">
        <v>599</v>
      </c>
    </row>
    <row r="1879" spans="1:13" ht="15">
      <c r="A1879" s="979" t="s">
        <v>3734</v>
      </c>
      <c r="B1879" s="722" t="str">
        <f>CONCATENATE(LEFT(RIGHT(CONCATENATE("000",IFAData_TEA!A1879),6),3),"-",(RIGHT(RIGHT(CONCATENATE("000",IFAData_TEA!A1879),6),3)))</f>
        <v>220-920</v>
      </c>
      <c r="C1879" s="979" t="s">
        <v>1333</v>
      </c>
      <c r="D1879" s="979">
        <v>9</v>
      </c>
      <c r="E1879" s="979">
        <v>2450</v>
      </c>
      <c r="F1879" s="979" t="s">
        <v>5537</v>
      </c>
      <c r="G1879" s="979" t="s">
        <v>5540</v>
      </c>
      <c r="H1879" s="1030">
        <v>1433532</v>
      </c>
      <c r="I1879" s="1030">
        <v>361</v>
      </c>
      <c r="J1879" s="1034">
        <v>3.9114304783863669E-4</v>
      </c>
      <c r="K1879" s="1030">
        <v>560.71607565421652</v>
      </c>
      <c r="L1879" s="1030">
        <v>361</v>
      </c>
      <c r="M1879" s="979">
        <v>599</v>
      </c>
    </row>
    <row r="1880" spans="1:13" ht="15">
      <c r="A1880" s="979" t="s">
        <v>3734</v>
      </c>
      <c r="B1880" s="722" t="str">
        <f>CONCATENATE(LEFT(RIGHT(CONCATENATE("000",IFAData_TEA!A1880),6),3),"-",(RIGHT(RIGHT(CONCATENATE("000",IFAData_TEA!A1880),6),3)))</f>
        <v>220-920</v>
      </c>
      <c r="C1880" s="979" t="s">
        <v>1333</v>
      </c>
      <c r="D1880" s="979">
        <v>1</v>
      </c>
      <c r="E1880" s="979">
        <v>2449</v>
      </c>
      <c r="F1880" s="979" t="s">
        <v>5536</v>
      </c>
      <c r="G1880" s="979" t="s">
        <v>5539</v>
      </c>
      <c r="H1880" s="1030">
        <v>729878</v>
      </c>
      <c r="I1880" s="1030">
        <v>662028</v>
      </c>
      <c r="J1880" s="1034">
        <v>0.7213684936566932</v>
      </c>
      <c r="K1880" s="1030">
        <v>526510.99341315997</v>
      </c>
      <c r="L1880" s="1030">
        <v>526510.99341315997</v>
      </c>
      <c r="M1880" s="979">
        <v>599</v>
      </c>
    </row>
    <row r="1881" spans="1:13" ht="15">
      <c r="A1881" s="979" t="s">
        <v>3734</v>
      </c>
      <c r="B1881" s="722" t="str">
        <f>CONCATENATE(LEFT(RIGHT(CONCATENATE("000",IFAData_TEA!A1881),6),3),"-",(RIGHT(RIGHT(CONCATENATE("000",IFAData_TEA!A1881),6),3)))</f>
        <v>220-920</v>
      </c>
      <c r="C1881" s="979" t="s">
        <v>1333</v>
      </c>
      <c r="D1881" s="979">
        <v>9</v>
      </c>
      <c r="E1881" s="979">
        <v>2450</v>
      </c>
      <c r="F1881" s="979" t="s">
        <v>5537</v>
      </c>
      <c r="G1881" s="979" t="s">
        <v>5539</v>
      </c>
      <c r="H1881" s="1030">
        <v>1433532</v>
      </c>
      <c r="I1881" s="1030">
        <v>647358</v>
      </c>
      <c r="J1881" s="1034">
        <v>0.70141158216821098</v>
      </c>
      <c r="K1881" s="1030">
        <v>1005495.9482087598</v>
      </c>
      <c r="L1881" s="1030">
        <v>647358</v>
      </c>
      <c r="M1881" s="979">
        <v>599</v>
      </c>
    </row>
    <row r="1882" spans="1:13" ht="15">
      <c r="A1882" s="979" t="s">
        <v>3734</v>
      </c>
      <c r="B1882" s="722" t="str">
        <f>CONCATENATE(LEFT(RIGHT(CONCATENATE("000",IFAData_TEA!A1882),6),3),"-",(RIGHT(RIGHT(CONCATENATE("000",IFAData_TEA!A1882),6),3)))</f>
        <v>220-920</v>
      </c>
      <c r="C1882" s="979" t="s">
        <v>1333</v>
      </c>
      <c r="D1882" s="979">
        <v>9</v>
      </c>
      <c r="E1882" s="979">
        <v>2450</v>
      </c>
      <c r="F1882" s="979" t="s">
        <v>5537</v>
      </c>
      <c r="G1882" s="979" t="s">
        <v>5537</v>
      </c>
      <c r="H1882" s="1030">
        <v>1433532</v>
      </c>
      <c r="I1882" s="1030">
        <v>214990</v>
      </c>
      <c r="J1882" s="1034">
        <v>0.23294139571974654</v>
      </c>
      <c r="K1882" s="1030">
        <v>333928.94488891971</v>
      </c>
      <c r="L1882" s="1030">
        <v>214990</v>
      </c>
      <c r="M1882" s="979">
        <v>599</v>
      </c>
    </row>
    <row r="1883" spans="1:13" ht="15">
      <c r="A1883" s="979" t="s">
        <v>3734</v>
      </c>
      <c r="B1883" s="722" t="str">
        <f>CONCATENATE(LEFT(RIGHT(CONCATENATE("000",IFAData_TEA!A1883),6),3),"-",(RIGHT(RIGHT(CONCATENATE("000",IFAData_TEA!A1883),6),3)))</f>
        <v>220-920</v>
      </c>
      <c r="C1883" s="979" t="s">
        <v>1333</v>
      </c>
      <c r="D1883" s="979">
        <v>1</v>
      </c>
      <c r="E1883" s="979">
        <v>2449</v>
      </c>
      <c r="F1883" s="979" t="s">
        <v>5536</v>
      </c>
      <c r="G1883" s="979" t="s">
        <v>5537</v>
      </c>
      <c r="H1883" s="1030">
        <v>729878</v>
      </c>
      <c r="I1883" s="1030">
        <v>114802</v>
      </c>
      <c r="J1883" s="1034">
        <v>0.12509221031251805</v>
      </c>
      <c r="K1883" s="1030">
        <v>91302.052278480041</v>
      </c>
      <c r="L1883" s="1030">
        <v>91302.052278480041</v>
      </c>
      <c r="M1883" s="979">
        <v>599</v>
      </c>
    </row>
    <row r="1884" spans="1:13" ht="15">
      <c r="A1884" s="979" t="s">
        <v>3734</v>
      </c>
      <c r="B1884" s="722" t="str">
        <f>CONCATENATE(LEFT(RIGHT(CONCATENATE("000",IFAData_TEA!A1884),6),3),"-",(RIGHT(RIGHT(CONCATENATE("000",IFAData_TEA!A1884),6),3)))</f>
        <v>220-920</v>
      </c>
      <c r="C1884" s="979" t="s">
        <v>1333</v>
      </c>
      <c r="D1884" s="979">
        <v>1</v>
      </c>
      <c r="E1884" s="979">
        <v>2449</v>
      </c>
      <c r="F1884" s="979" t="s">
        <v>5536</v>
      </c>
      <c r="G1884" s="979" t="s">
        <v>5538</v>
      </c>
      <c r="H1884" s="1030">
        <v>729878</v>
      </c>
      <c r="I1884" s="1030">
        <v>87432</v>
      </c>
      <c r="J1884" s="1034">
        <v>9.5268916325883496E-2</v>
      </c>
      <c r="K1884" s="1030">
        <v>69534.686110103197</v>
      </c>
      <c r="L1884" s="1030">
        <v>69534.686110103197</v>
      </c>
      <c r="M1884" s="979">
        <v>599</v>
      </c>
    </row>
    <row r="1885" spans="1:13" ht="15">
      <c r="A1885" s="979" t="s">
        <v>3734</v>
      </c>
      <c r="B1885" s="722" t="str">
        <f>CONCATENATE(LEFT(RIGHT(CONCATENATE("000",IFAData_TEA!A1885),6),3),"-",(RIGHT(RIGHT(CONCATENATE("000",IFAData_TEA!A1885),6),3)))</f>
        <v>220-920</v>
      </c>
      <c r="C1885" s="979" t="s">
        <v>1333</v>
      </c>
      <c r="D1885" s="979">
        <v>1</v>
      </c>
      <c r="E1885" s="979">
        <v>2449</v>
      </c>
      <c r="F1885" s="979" t="s">
        <v>5536</v>
      </c>
      <c r="G1885" s="979" t="s">
        <v>5536</v>
      </c>
      <c r="H1885" s="1030">
        <v>729878</v>
      </c>
      <c r="I1885" s="1030">
        <v>0</v>
      </c>
      <c r="J1885" s="1034">
        <v>0</v>
      </c>
      <c r="K1885" s="1030">
        <v>0</v>
      </c>
      <c r="L1885" s="1030">
        <v>0</v>
      </c>
      <c r="M1885" s="979">
        <v>599</v>
      </c>
    </row>
    <row r="1886" spans="1:13" ht="15">
      <c r="A1886" s="979" t="s">
        <v>3734</v>
      </c>
      <c r="B1886" s="722" t="str">
        <f>CONCATENATE(LEFT(RIGHT(CONCATENATE("000",IFAData_TEA!A1886),6),3),"-",(RIGHT(RIGHT(CONCATENATE("000",IFAData_TEA!A1886),6),3)))</f>
        <v>220-920</v>
      </c>
      <c r="C1886" s="979" t="s">
        <v>1333</v>
      </c>
      <c r="D1886" s="979">
        <v>1</v>
      </c>
      <c r="E1886" s="979">
        <v>2449</v>
      </c>
      <c r="F1886" s="979" t="s">
        <v>5536</v>
      </c>
      <c r="G1886" s="979" t="s">
        <v>6337</v>
      </c>
      <c r="H1886" s="1030">
        <v>729878</v>
      </c>
      <c r="I1886" s="1030">
        <v>10620</v>
      </c>
      <c r="J1886" s="1034">
        <v>1.1571917505957575E-2</v>
      </c>
      <c r="K1886" s="1030">
        <v>8446.0880054133031</v>
      </c>
      <c r="L1886" s="1030">
        <v>8446.0880054133031</v>
      </c>
      <c r="M1886" s="979">
        <v>599</v>
      </c>
    </row>
    <row r="1887" spans="1:13" ht="15">
      <c r="A1887" s="979" t="s">
        <v>3734</v>
      </c>
      <c r="B1887" s="722" t="str">
        <f>CONCATENATE(LEFT(RIGHT(CONCATENATE("000",IFAData_TEA!A1887),6),3),"-",(RIGHT(RIGHT(CONCATENATE("000",IFAData_TEA!A1887),6),3)))</f>
        <v>220-920</v>
      </c>
      <c r="C1887" s="979" t="s">
        <v>1333</v>
      </c>
      <c r="D1887" s="979">
        <v>9</v>
      </c>
      <c r="E1887" s="979">
        <v>2450</v>
      </c>
      <c r="F1887" s="979" t="s">
        <v>5537</v>
      </c>
      <c r="G1887" s="979" t="s">
        <v>6337</v>
      </c>
      <c r="H1887" s="1030">
        <v>1433532</v>
      </c>
      <c r="I1887" s="1030">
        <v>60227</v>
      </c>
      <c r="J1887" s="1034">
        <v>6.5255879064203798E-2</v>
      </c>
      <c r="K1887" s="1030">
        <v>93546.390826666204</v>
      </c>
      <c r="L1887" s="1030">
        <v>60227</v>
      </c>
      <c r="M1887" s="979">
        <v>599</v>
      </c>
    </row>
    <row r="1888" spans="1:13" ht="15">
      <c r="A1888" s="979" t="s">
        <v>3734</v>
      </c>
      <c r="B1888" s="722" t="str">
        <f>CONCATENATE(LEFT(RIGHT(CONCATENATE("000",IFAData_TEA!A1888),6),3),"-",(RIGHT(RIGHT(CONCATENATE("000",IFAData_TEA!A1888),6),3)))</f>
        <v>220-920</v>
      </c>
      <c r="C1888" s="979" t="s">
        <v>1333</v>
      </c>
      <c r="D1888" s="979">
        <v>1</v>
      </c>
      <c r="E1888" s="979">
        <v>2449</v>
      </c>
      <c r="F1888" s="979" t="s">
        <v>5536</v>
      </c>
      <c r="G1888" s="979" t="s">
        <v>6338</v>
      </c>
      <c r="H1888" s="1030">
        <v>729878</v>
      </c>
      <c r="I1888" s="1030">
        <v>37511</v>
      </c>
      <c r="J1888" s="1034">
        <v>4.0873276606965596E-2</v>
      </c>
      <c r="K1888" s="1030">
        <v>29832.505383338834</v>
      </c>
      <c r="L1888" s="1030">
        <v>29832.505383338834</v>
      </c>
      <c r="M1888" s="979">
        <v>599</v>
      </c>
    </row>
    <row r="1889" spans="1:13" ht="15">
      <c r="A1889" s="979" t="s">
        <v>3735</v>
      </c>
      <c r="B1889" s="722" t="str">
        <f>CONCATENATE(LEFT(RIGHT(CONCATENATE("000",IFAData_TEA!A1889),6),3),"-",(RIGHT(RIGHT(CONCATENATE("000",IFAData_TEA!A1889),6),3)))</f>
        <v>223-902</v>
      </c>
      <c r="C1889" s="979" t="s">
        <v>822</v>
      </c>
      <c r="D1889" s="979">
        <v>5</v>
      </c>
      <c r="E1889" s="979">
        <v>2084</v>
      </c>
      <c r="F1889" s="979" t="s">
        <v>5541</v>
      </c>
      <c r="G1889" s="979" t="s">
        <v>5541</v>
      </c>
      <c r="H1889" s="1030">
        <v>100000</v>
      </c>
      <c r="I1889" s="1030">
        <v>0</v>
      </c>
      <c r="J1889" s="1034">
        <v>0</v>
      </c>
      <c r="K1889" s="1030">
        <v>0</v>
      </c>
      <c r="L1889" s="1030">
        <v>0</v>
      </c>
      <c r="M1889" s="979">
        <v>599</v>
      </c>
    </row>
    <row r="1890" spans="1:13" ht="15">
      <c r="A1890" s="979" t="s">
        <v>3735</v>
      </c>
      <c r="B1890" s="722" t="str">
        <f>CONCATENATE(LEFT(RIGHT(CONCATENATE("000",IFAData_TEA!A1890),6),3),"-",(RIGHT(RIGHT(CONCATENATE("000",IFAData_TEA!A1890),6),3)))</f>
        <v>223-902</v>
      </c>
      <c r="C1890" s="979" t="s">
        <v>822</v>
      </c>
      <c r="D1890" s="979">
        <v>5</v>
      </c>
      <c r="E1890" s="979">
        <v>2084</v>
      </c>
      <c r="F1890" s="979" t="s">
        <v>5541</v>
      </c>
      <c r="G1890" s="979" t="s">
        <v>5542</v>
      </c>
      <c r="H1890" s="1030">
        <v>100000</v>
      </c>
      <c r="I1890" s="1030">
        <v>89350</v>
      </c>
      <c r="J1890" s="1034">
        <v>1</v>
      </c>
      <c r="K1890" s="1030">
        <v>100000</v>
      </c>
      <c r="L1890" s="1030">
        <v>89350</v>
      </c>
      <c r="M1890" s="979">
        <v>599</v>
      </c>
    </row>
    <row r="1891" spans="1:13" ht="15">
      <c r="A1891" s="979" t="s">
        <v>3736</v>
      </c>
      <c r="B1891" s="722" t="str">
        <f>CONCATENATE(LEFT(RIGHT(CONCATENATE("000",IFAData_TEA!A1891),6),3),"-",(RIGHT(RIGHT(CONCATENATE("000",IFAData_TEA!A1891),6),3)))</f>
        <v>225-906</v>
      </c>
      <c r="C1891" s="979" t="s">
        <v>660</v>
      </c>
      <c r="D1891" s="979">
        <v>8</v>
      </c>
      <c r="E1891" s="979">
        <v>1679</v>
      </c>
      <c r="F1891" s="979" t="s">
        <v>5545</v>
      </c>
      <c r="G1891" s="979" t="s">
        <v>5545</v>
      </c>
      <c r="H1891" s="1030">
        <v>163986</v>
      </c>
      <c r="I1891" s="1030">
        <v>141962</v>
      </c>
      <c r="J1891" s="1034">
        <v>1</v>
      </c>
      <c r="K1891" s="1030">
        <v>163986</v>
      </c>
      <c r="L1891" s="1030">
        <v>141962</v>
      </c>
      <c r="M1891" s="979">
        <v>599</v>
      </c>
    </row>
    <row r="1892" spans="1:13" ht="15">
      <c r="A1892" s="979" t="s">
        <v>3736</v>
      </c>
      <c r="B1892" s="722" t="str">
        <f>CONCATENATE(LEFT(RIGHT(CONCATENATE("000",IFAData_TEA!A1892),6),3),"-",(RIGHT(RIGHT(CONCATENATE("000",IFAData_TEA!A1892),6),3)))</f>
        <v>225-906</v>
      </c>
      <c r="C1892" s="979" t="s">
        <v>660</v>
      </c>
      <c r="D1892" s="979">
        <v>6</v>
      </c>
      <c r="E1892" s="979">
        <v>1680</v>
      </c>
      <c r="F1892" s="979" t="s">
        <v>5543</v>
      </c>
      <c r="G1892" s="979" t="s">
        <v>5544</v>
      </c>
      <c r="H1892" s="1030">
        <v>178703</v>
      </c>
      <c r="I1892" s="1030">
        <v>159498</v>
      </c>
      <c r="J1892" s="1034">
        <v>1</v>
      </c>
      <c r="K1892" s="1030">
        <v>178703</v>
      </c>
      <c r="L1892" s="1030">
        <v>159498</v>
      </c>
      <c r="M1892" s="979">
        <v>599</v>
      </c>
    </row>
    <row r="1893" spans="1:13" ht="15">
      <c r="A1893" s="979" t="s">
        <v>3736</v>
      </c>
      <c r="B1893" s="722" t="str">
        <f>CONCATENATE(LEFT(RIGHT(CONCATENATE("000",IFAData_TEA!A1893),6),3),"-",(RIGHT(RIGHT(CONCATENATE("000",IFAData_TEA!A1893),6),3)))</f>
        <v>225-906</v>
      </c>
      <c r="C1893" s="979" t="s">
        <v>660</v>
      </c>
      <c r="D1893" s="979">
        <v>6</v>
      </c>
      <c r="E1893" s="979">
        <v>1680</v>
      </c>
      <c r="F1893" s="979" t="s">
        <v>5543</v>
      </c>
      <c r="G1893" s="979" t="s">
        <v>5543</v>
      </c>
      <c r="H1893" s="1030">
        <v>178703</v>
      </c>
      <c r="I1893" s="1030">
        <v>0</v>
      </c>
      <c r="J1893" s="1034">
        <v>0</v>
      </c>
      <c r="K1893" s="1030">
        <v>0</v>
      </c>
      <c r="L1893" s="1030">
        <v>0</v>
      </c>
      <c r="M1893" s="979">
        <v>599</v>
      </c>
    </row>
    <row r="1894" spans="1:13" ht="15">
      <c r="A1894" s="979" t="s">
        <v>3737</v>
      </c>
      <c r="B1894" s="722" t="str">
        <f>CONCATENATE(LEFT(RIGHT(CONCATENATE("000",IFAData_TEA!A1894),6),3),"-",(RIGHT(RIGHT(CONCATENATE("000",IFAData_TEA!A1894),6),3)))</f>
        <v>226-903</v>
      </c>
      <c r="C1894" s="979" t="s">
        <v>2027</v>
      </c>
      <c r="D1894" s="979">
        <v>1</v>
      </c>
      <c r="E1894" s="979">
        <v>2277</v>
      </c>
      <c r="F1894" s="979" t="s">
        <v>5548</v>
      </c>
      <c r="G1894" s="979" t="s">
        <v>6339</v>
      </c>
      <c r="H1894" s="1030">
        <v>726000</v>
      </c>
      <c r="I1894" s="1030">
        <v>128692</v>
      </c>
      <c r="J1894" s="1034">
        <v>0.29554337891154275</v>
      </c>
      <c r="K1894" s="1030">
        <v>214564.49308978004</v>
      </c>
      <c r="L1894" s="1030">
        <v>128692</v>
      </c>
      <c r="M1894" s="979">
        <v>599</v>
      </c>
    </row>
    <row r="1895" spans="1:13" ht="15">
      <c r="A1895" s="979" t="s">
        <v>3737</v>
      </c>
      <c r="B1895" s="722" t="str">
        <f>CONCATENATE(LEFT(RIGHT(CONCATENATE("000",IFAData_TEA!A1895),6),3),"-",(RIGHT(RIGHT(CONCATENATE("000",IFAData_TEA!A1895),6),3)))</f>
        <v>226-903</v>
      </c>
      <c r="C1895" s="979" t="s">
        <v>2027</v>
      </c>
      <c r="D1895" s="979">
        <v>10</v>
      </c>
      <c r="E1895" s="979">
        <v>2279</v>
      </c>
      <c r="F1895" s="979" t="s">
        <v>5550</v>
      </c>
      <c r="G1895" s="979" t="s">
        <v>6340</v>
      </c>
      <c r="H1895" s="1030">
        <v>3492500</v>
      </c>
      <c r="I1895" s="1030">
        <v>4890092</v>
      </c>
      <c r="J1895" s="1034">
        <v>0.66093667426707015</v>
      </c>
      <c r="K1895" s="1030">
        <v>2308321.3348777425</v>
      </c>
      <c r="L1895" s="1030">
        <v>2308321.3348777425</v>
      </c>
      <c r="M1895" s="979">
        <v>599</v>
      </c>
    </row>
    <row r="1896" spans="1:13" ht="15">
      <c r="A1896" s="979" t="s">
        <v>3737</v>
      </c>
      <c r="B1896" s="722" t="str">
        <f>CONCATENATE(LEFT(RIGHT(CONCATENATE("000",IFAData_TEA!A1896),6),3),"-",(RIGHT(RIGHT(CONCATENATE("000",IFAData_TEA!A1896),6),3)))</f>
        <v>226-903</v>
      </c>
      <c r="C1896" s="979" t="s">
        <v>2027</v>
      </c>
      <c r="D1896" s="979">
        <v>1</v>
      </c>
      <c r="E1896" s="979">
        <v>2277</v>
      </c>
      <c r="F1896" s="979" t="s">
        <v>5548</v>
      </c>
      <c r="G1896" s="979" t="s">
        <v>5548</v>
      </c>
      <c r="H1896" s="1030">
        <v>726000</v>
      </c>
      <c r="I1896" s="1030">
        <v>0</v>
      </c>
      <c r="J1896" s="1034">
        <v>0</v>
      </c>
      <c r="K1896" s="1030">
        <v>0</v>
      </c>
      <c r="L1896" s="1030">
        <v>0</v>
      </c>
      <c r="M1896" s="979">
        <v>599</v>
      </c>
    </row>
    <row r="1897" spans="1:13" ht="15">
      <c r="A1897" s="979" t="s">
        <v>3737</v>
      </c>
      <c r="B1897" s="722" t="str">
        <f>CONCATENATE(LEFT(RIGHT(CONCATENATE("000",IFAData_TEA!A1897),6),3),"-",(RIGHT(RIGHT(CONCATENATE("000",IFAData_TEA!A1897),6),3)))</f>
        <v>226-903</v>
      </c>
      <c r="C1897" s="979" t="s">
        <v>2027</v>
      </c>
      <c r="D1897" s="979">
        <v>1</v>
      </c>
      <c r="E1897" s="979">
        <v>2278</v>
      </c>
      <c r="F1897" s="979" t="s">
        <v>5546</v>
      </c>
      <c r="G1897" s="979" t="s">
        <v>5546</v>
      </c>
      <c r="H1897" s="1030">
        <v>1247036</v>
      </c>
      <c r="I1897" s="1030">
        <v>0</v>
      </c>
      <c r="J1897" s="1034">
        <v>0</v>
      </c>
      <c r="K1897" s="1030">
        <v>0</v>
      </c>
      <c r="L1897" s="1030">
        <v>0</v>
      </c>
      <c r="M1897" s="979">
        <v>599</v>
      </c>
    </row>
    <row r="1898" spans="1:13" ht="15">
      <c r="A1898" s="979" t="s">
        <v>3737</v>
      </c>
      <c r="B1898" s="722" t="str">
        <f>CONCATENATE(LEFT(RIGHT(CONCATENATE("000",IFAData_TEA!A1898),6),3),"-",(RIGHT(RIGHT(CONCATENATE("000",IFAData_TEA!A1898),6),3)))</f>
        <v>226-903</v>
      </c>
      <c r="C1898" s="979" t="s">
        <v>2027</v>
      </c>
      <c r="D1898" s="979">
        <v>1</v>
      </c>
      <c r="E1898" s="979">
        <v>2277</v>
      </c>
      <c r="F1898" s="979" t="s">
        <v>5548</v>
      </c>
      <c r="G1898" s="979" t="s">
        <v>5549</v>
      </c>
      <c r="H1898" s="1030">
        <v>726000</v>
      </c>
      <c r="I1898" s="1030">
        <v>306750</v>
      </c>
      <c r="J1898" s="1034">
        <v>0.70445662108845719</v>
      </c>
      <c r="K1898" s="1030">
        <v>511435.5069102199</v>
      </c>
      <c r="L1898" s="1030">
        <v>306750</v>
      </c>
      <c r="M1898" s="979">
        <v>599</v>
      </c>
    </row>
    <row r="1899" spans="1:13" ht="15">
      <c r="A1899" s="979" t="s">
        <v>3737</v>
      </c>
      <c r="B1899" s="722" t="str">
        <f>CONCATENATE(LEFT(RIGHT(CONCATENATE("000",IFAData_TEA!A1899),6),3),"-",(RIGHT(RIGHT(CONCATENATE("000",IFAData_TEA!A1899),6),3)))</f>
        <v>226-903</v>
      </c>
      <c r="C1899" s="979" t="s">
        <v>2027</v>
      </c>
      <c r="D1899" s="979">
        <v>1</v>
      </c>
      <c r="E1899" s="979">
        <v>2278</v>
      </c>
      <c r="F1899" s="979" t="s">
        <v>5546</v>
      </c>
      <c r="G1899" s="979" t="s">
        <v>5547</v>
      </c>
      <c r="H1899" s="1030">
        <v>1247036</v>
      </c>
      <c r="I1899" s="1030">
        <v>588350</v>
      </c>
      <c r="J1899" s="1034">
        <v>1</v>
      </c>
      <c r="K1899" s="1030">
        <v>1247036</v>
      </c>
      <c r="L1899" s="1030">
        <v>588350</v>
      </c>
      <c r="M1899" s="979">
        <v>599</v>
      </c>
    </row>
    <row r="1900" spans="1:13" ht="15">
      <c r="A1900" s="979" t="s">
        <v>3737</v>
      </c>
      <c r="B1900" s="722" t="str">
        <f>CONCATENATE(LEFT(RIGHT(CONCATENATE("000",IFAData_TEA!A1900),6),3),"-",(RIGHT(RIGHT(CONCATENATE("000",IFAData_TEA!A1900),6),3)))</f>
        <v>226-903</v>
      </c>
      <c r="C1900" s="979" t="s">
        <v>2027</v>
      </c>
      <c r="D1900" s="979">
        <v>10</v>
      </c>
      <c r="E1900" s="979">
        <v>2279</v>
      </c>
      <c r="F1900" s="979" t="s">
        <v>5550</v>
      </c>
      <c r="G1900" s="979" t="s">
        <v>5550</v>
      </c>
      <c r="H1900" s="1030">
        <v>3492500</v>
      </c>
      <c r="I1900" s="1030">
        <v>2508638</v>
      </c>
      <c r="J1900" s="1034">
        <v>0.33906332573292985</v>
      </c>
      <c r="K1900" s="1030">
        <v>1184178.6651222575</v>
      </c>
      <c r="L1900" s="1030">
        <v>1184178.6651222575</v>
      </c>
      <c r="M1900" s="979">
        <v>599</v>
      </c>
    </row>
    <row r="1901" spans="1:13" ht="15">
      <c r="A1901" s="979" t="s">
        <v>3738</v>
      </c>
      <c r="B1901" s="722" t="str">
        <f>CONCATENATE(LEFT(RIGHT(CONCATENATE("000",IFAData_TEA!A1901),6),3),"-",(RIGHT(RIGHT(CONCATENATE("000",IFAData_TEA!A1901),6),3)))</f>
        <v>226-906</v>
      </c>
      <c r="C1901" s="979" t="s">
        <v>137</v>
      </c>
      <c r="D1901" s="979">
        <v>1</v>
      </c>
      <c r="E1901" s="979">
        <v>2432</v>
      </c>
      <c r="F1901" s="979" t="s">
        <v>5551</v>
      </c>
      <c r="G1901" s="979" t="s">
        <v>5552</v>
      </c>
      <c r="H1901" s="1030">
        <v>216359</v>
      </c>
      <c r="I1901" s="1030">
        <v>211484</v>
      </c>
      <c r="J1901" s="1034">
        <v>1</v>
      </c>
      <c r="K1901" s="1030">
        <v>216359</v>
      </c>
      <c r="L1901" s="1030">
        <v>211484</v>
      </c>
      <c r="M1901" s="979">
        <v>599</v>
      </c>
    </row>
    <row r="1902" spans="1:13" ht="15">
      <c r="A1902" s="979" t="s">
        <v>3738</v>
      </c>
      <c r="B1902" s="722" t="str">
        <f>CONCATENATE(LEFT(RIGHT(CONCATENATE("000",IFAData_TEA!A1902),6),3),"-",(RIGHT(RIGHT(CONCATENATE("000",IFAData_TEA!A1902),6),3)))</f>
        <v>226-906</v>
      </c>
      <c r="C1902" s="979" t="s">
        <v>137</v>
      </c>
      <c r="D1902" s="979">
        <v>1</v>
      </c>
      <c r="E1902" s="979">
        <v>2432</v>
      </c>
      <c r="F1902" s="979" t="s">
        <v>5551</v>
      </c>
      <c r="G1902" s="979" t="s">
        <v>5551</v>
      </c>
      <c r="H1902" s="1030">
        <v>216359</v>
      </c>
      <c r="I1902" s="1030">
        <v>0</v>
      </c>
      <c r="J1902" s="1034">
        <v>0</v>
      </c>
      <c r="K1902" s="1030">
        <v>0</v>
      </c>
      <c r="L1902" s="1030">
        <v>0</v>
      </c>
      <c r="M1902" s="979">
        <v>599</v>
      </c>
    </row>
    <row r="1903" spans="1:13" ht="15">
      <c r="A1903" s="979" t="s">
        <v>3738</v>
      </c>
      <c r="B1903" s="722" t="str">
        <f>CONCATENATE(LEFT(RIGHT(CONCATENATE("000",IFAData_TEA!A1903),6),3),"-",(RIGHT(RIGHT(CONCATENATE("000",IFAData_TEA!A1903),6),3)))</f>
        <v>226-906</v>
      </c>
      <c r="C1903" s="979" t="s">
        <v>137</v>
      </c>
      <c r="D1903" s="979">
        <v>1</v>
      </c>
      <c r="E1903" s="979">
        <v>2432</v>
      </c>
      <c r="F1903" s="979" t="s">
        <v>5551</v>
      </c>
      <c r="G1903" s="979" t="s">
        <v>6341</v>
      </c>
      <c r="H1903" s="1030">
        <v>216359</v>
      </c>
      <c r="I1903" s="1030">
        <v>0</v>
      </c>
      <c r="J1903" s="1034">
        <v>0</v>
      </c>
      <c r="K1903" s="1030">
        <v>0</v>
      </c>
      <c r="L1903" s="1030">
        <v>0</v>
      </c>
      <c r="M1903" s="979">
        <v>599</v>
      </c>
    </row>
    <row r="1904" spans="1:13" ht="15">
      <c r="A1904" s="979" t="s">
        <v>3739</v>
      </c>
      <c r="B1904" s="722" t="str">
        <f>CONCATENATE(LEFT(RIGHT(CONCATENATE("000",IFAData_TEA!A1904),6),3),"-",(RIGHT(RIGHT(CONCATENATE("000",IFAData_TEA!A1904),6),3)))</f>
        <v>226-907</v>
      </c>
      <c r="C1904" s="979" t="s">
        <v>1731</v>
      </c>
      <c r="D1904" s="979">
        <v>4</v>
      </c>
      <c r="E1904" s="979">
        <v>1860</v>
      </c>
      <c r="F1904" s="979" t="s">
        <v>5553</v>
      </c>
      <c r="G1904" s="979" t="s">
        <v>5553</v>
      </c>
      <c r="H1904" s="1030">
        <v>498900</v>
      </c>
      <c r="I1904" s="1030">
        <v>0</v>
      </c>
      <c r="J1904" s="1034">
        <v>0</v>
      </c>
      <c r="K1904" s="1030">
        <v>0</v>
      </c>
      <c r="L1904" s="1030">
        <v>0</v>
      </c>
      <c r="M1904" s="979">
        <v>599</v>
      </c>
    </row>
    <row r="1905" spans="1:13" ht="15">
      <c r="A1905" s="979" t="s">
        <v>3739</v>
      </c>
      <c r="B1905" s="722" t="str">
        <f>CONCATENATE(LEFT(RIGHT(CONCATENATE("000",IFAData_TEA!A1905),6),3),"-",(RIGHT(RIGHT(CONCATENATE("000",IFAData_TEA!A1905),6),3)))</f>
        <v>226-907</v>
      </c>
      <c r="C1905" s="979" t="s">
        <v>1731</v>
      </c>
      <c r="D1905" s="979">
        <v>4</v>
      </c>
      <c r="E1905" s="979">
        <v>1860</v>
      </c>
      <c r="F1905" s="979" t="s">
        <v>5553</v>
      </c>
      <c r="G1905" s="979" t="s">
        <v>5554</v>
      </c>
      <c r="H1905" s="1030">
        <v>498900</v>
      </c>
      <c r="I1905" s="1030">
        <v>631334</v>
      </c>
      <c r="J1905" s="1034">
        <v>1</v>
      </c>
      <c r="K1905" s="1030">
        <v>498900</v>
      </c>
      <c r="L1905" s="1030">
        <v>498900</v>
      </c>
      <c r="M1905" s="979">
        <v>599</v>
      </c>
    </row>
    <row r="1906" spans="1:13" ht="15">
      <c r="A1906" s="979" t="s">
        <v>3740</v>
      </c>
      <c r="B1906" s="722" t="str">
        <f>CONCATENATE(LEFT(RIGHT(CONCATENATE("000",IFAData_TEA!A1906),6),3),"-",(RIGHT(RIGHT(CONCATENATE("000",IFAData_TEA!A1906),6),3)))</f>
        <v>226-908</v>
      </c>
      <c r="C1906" s="979" t="s">
        <v>2645</v>
      </c>
      <c r="D1906" s="979">
        <v>5</v>
      </c>
      <c r="E1906" s="979">
        <v>2425</v>
      </c>
      <c r="F1906" s="979" t="s">
        <v>5555</v>
      </c>
      <c r="G1906" s="979" t="s">
        <v>5555</v>
      </c>
      <c r="H1906" s="1030">
        <v>100000</v>
      </c>
      <c r="I1906" s="1030">
        <v>0</v>
      </c>
      <c r="J1906" s="1034">
        <v>0</v>
      </c>
      <c r="K1906" s="1030">
        <v>0</v>
      </c>
      <c r="L1906" s="1030">
        <v>0</v>
      </c>
      <c r="M1906" s="979">
        <v>599</v>
      </c>
    </row>
    <row r="1907" spans="1:13" ht="15">
      <c r="A1907" s="979" t="s">
        <v>3740</v>
      </c>
      <c r="B1907" s="722" t="str">
        <f>CONCATENATE(LEFT(RIGHT(CONCATENATE("000",IFAData_TEA!A1907),6),3),"-",(RIGHT(RIGHT(CONCATENATE("000",IFAData_TEA!A1907),6),3)))</f>
        <v>226-908</v>
      </c>
      <c r="C1907" s="979" t="s">
        <v>2645</v>
      </c>
      <c r="D1907" s="979">
        <v>5</v>
      </c>
      <c r="E1907" s="979">
        <v>2425</v>
      </c>
      <c r="F1907" s="979" t="s">
        <v>5555</v>
      </c>
      <c r="G1907" s="979" t="s">
        <v>5556</v>
      </c>
      <c r="H1907" s="1030">
        <v>100000</v>
      </c>
      <c r="I1907" s="1030">
        <v>95334</v>
      </c>
      <c r="J1907" s="1034">
        <v>1</v>
      </c>
      <c r="K1907" s="1030">
        <v>100000</v>
      </c>
      <c r="L1907" s="1030">
        <v>95334</v>
      </c>
      <c r="M1907" s="979">
        <v>599</v>
      </c>
    </row>
    <row r="1908" spans="1:13" ht="15">
      <c r="A1908" s="979" t="s">
        <v>3741</v>
      </c>
      <c r="B1908" s="722" t="str">
        <f>CONCATENATE(LEFT(RIGHT(CONCATENATE("000",IFAData_TEA!A1908),6),3),"-",(RIGHT(RIGHT(CONCATENATE("000",IFAData_TEA!A1908),6),3)))</f>
        <v>227-904</v>
      </c>
      <c r="C1908" s="979" t="s">
        <v>998</v>
      </c>
      <c r="D1908" s="979">
        <v>9</v>
      </c>
      <c r="E1908" s="979">
        <v>2190</v>
      </c>
      <c r="F1908" s="979" t="s">
        <v>5563</v>
      </c>
      <c r="G1908" s="979" t="s">
        <v>6342</v>
      </c>
      <c r="H1908" s="1030">
        <v>5151250</v>
      </c>
      <c r="I1908" s="1030">
        <v>3474570</v>
      </c>
      <c r="J1908" s="1034">
        <v>0.3140147154209163</v>
      </c>
      <c r="K1908" s="1030">
        <v>1617568.3028119951</v>
      </c>
      <c r="L1908" s="1030">
        <v>1617568.3028119951</v>
      </c>
      <c r="M1908" s="979">
        <v>599</v>
      </c>
    </row>
    <row r="1909" spans="1:13" ht="15">
      <c r="A1909" s="979" t="s">
        <v>3741</v>
      </c>
      <c r="B1909" s="722" t="str">
        <f>CONCATENATE(LEFT(RIGHT(CONCATENATE("000",IFAData_TEA!A1909),6),3),"-",(RIGHT(RIGHT(CONCATENATE("000",IFAData_TEA!A1909),6),3)))</f>
        <v>227-904</v>
      </c>
      <c r="C1909" s="979" t="s">
        <v>998</v>
      </c>
      <c r="D1909" s="979">
        <v>1</v>
      </c>
      <c r="E1909" s="979">
        <v>2188</v>
      </c>
      <c r="F1909" s="979" t="s">
        <v>5560</v>
      </c>
      <c r="G1909" s="979" t="s">
        <v>5560</v>
      </c>
      <c r="H1909" s="1030">
        <v>743639</v>
      </c>
      <c r="I1909" s="1030">
        <v>0</v>
      </c>
      <c r="J1909" s="1034">
        <v>0</v>
      </c>
      <c r="K1909" s="1030">
        <v>0</v>
      </c>
      <c r="L1909" s="1030">
        <v>0</v>
      </c>
      <c r="M1909" s="979">
        <v>599</v>
      </c>
    </row>
    <row r="1910" spans="1:13" ht="15">
      <c r="A1910" s="979" t="s">
        <v>3741</v>
      </c>
      <c r="B1910" s="722" t="str">
        <f>CONCATENATE(LEFT(RIGHT(CONCATENATE("000",IFAData_TEA!A1910),6),3),"-",(RIGHT(RIGHT(CONCATENATE("000",IFAData_TEA!A1910),6),3)))</f>
        <v>227-904</v>
      </c>
      <c r="C1910" s="979" t="s">
        <v>998</v>
      </c>
      <c r="D1910" s="979">
        <v>1</v>
      </c>
      <c r="E1910" s="979">
        <v>2188</v>
      </c>
      <c r="F1910" s="979" t="s">
        <v>5560</v>
      </c>
      <c r="G1910" s="979" t="s">
        <v>5559</v>
      </c>
      <c r="H1910" s="1030">
        <v>743639</v>
      </c>
      <c r="I1910" s="1030">
        <v>57452</v>
      </c>
      <c r="J1910" s="1034">
        <v>6.7056737712820405E-2</v>
      </c>
      <c r="K1910" s="1030">
        <v>49866.005376024055</v>
      </c>
      <c r="L1910" s="1030">
        <v>49866.005376024055</v>
      </c>
      <c r="M1910" s="979">
        <v>599</v>
      </c>
    </row>
    <row r="1911" spans="1:13" ht="15">
      <c r="A1911" s="979" t="s">
        <v>3741</v>
      </c>
      <c r="B1911" s="722" t="str">
        <f>CONCATENATE(LEFT(RIGHT(CONCATENATE("000",IFAData_TEA!A1911),6),3),"-",(RIGHT(RIGHT(CONCATENATE("000",IFAData_TEA!A1911),6),3)))</f>
        <v>227-904</v>
      </c>
      <c r="C1911" s="979" t="s">
        <v>998</v>
      </c>
      <c r="D1911" s="979">
        <v>1</v>
      </c>
      <c r="E1911" s="979">
        <v>2189</v>
      </c>
      <c r="F1911" s="979" t="s">
        <v>5557</v>
      </c>
      <c r="G1911" s="979" t="s">
        <v>5559</v>
      </c>
      <c r="H1911" s="1030">
        <v>906295</v>
      </c>
      <c r="I1911" s="1030">
        <v>250738</v>
      </c>
      <c r="J1911" s="1034">
        <v>1</v>
      </c>
      <c r="K1911" s="1030">
        <v>906295</v>
      </c>
      <c r="L1911" s="1030">
        <v>250738</v>
      </c>
      <c r="M1911" s="979">
        <v>599</v>
      </c>
    </row>
    <row r="1912" spans="1:13" ht="15">
      <c r="A1912" s="979" t="s">
        <v>3741</v>
      </c>
      <c r="B1912" s="722" t="str">
        <f>CONCATENATE(LEFT(RIGHT(CONCATENATE("000",IFAData_TEA!A1912),6),3),"-",(RIGHT(RIGHT(CONCATENATE("000",IFAData_TEA!A1912),6),3)))</f>
        <v>227-904</v>
      </c>
      <c r="C1912" s="979" t="s">
        <v>998</v>
      </c>
      <c r="D1912" s="979">
        <v>1</v>
      </c>
      <c r="E1912" s="979">
        <v>2189</v>
      </c>
      <c r="F1912" s="979" t="s">
        <v>5557</v>
      </c>
      <c r="G1912" s="979" t="s">
        <v>5557</v>
      </c>
      <c r="H1912" s="1030">
        <v>906295</v>
      </c>
      <c r="I1912" s="1030">
        <v>0</v>
      </c>
      <c r="J1912" s="1034">
        <v>0</v>
      </c>
      <c r="K1912" s="1030">
        <v>0</v>
      </c>
      <c r="L1912" s="1030">
        <v>0</v>
      </c>
      <c r="M1912" s="979">
        <v>599</v>
      </c>
    </row>
    <row r="1913" spans="1:13" ht="15">
      <c r="A1913" s="979" t="s">
        <v>3741</v>
      </c>
      <c r="B1913" s="722" t="str">
        <f>CONCATENATE(LEFT(RIGHT(CONCATENATE("000",IFAData_TEA!A1913),6),3),"-",(RIGHT(RIGHT(CONCATENATE("000",IFAData_TEA!A1913),6),3)))</f>
        <v>227-904</v>
      </c>
      <c r="C1913" s="979" t="s">
        <v>998</v>
      </c>
      <c r="D1913" s="979">
        <v>1</v>
      </c>
      <c r="E1913" s="979">
        <v>2188</v>
      </c>
      <c r="F1913" s="979" t="s">
        <v>5560</v>
      </c>
      <c r="G1913" s="979" t="s">
        <v>5561</v>
      </c>
      <c r="H1913" s="1030">
        <v>743639</v>
      </c>
      <c r="I1913" s="1030">
        <v>0</v>
      </c>
      <c r="J1913" s="1034">
        <v>0</v>
      </c>
      <c r="K1913" s="1030">
        <v>0</v>
      </c>
      <c r="L1913" s="1030">
        <v>0</v>
      </c>
      <c r="M1913" s="979">
        <v>599</v>
      </c>
    </row>
    <row r="1914" spans="1:13" ht="15">
      <c r="A1914" s="979" t="s">
        <v>3741</v>
      </c>
      <c r="B1914" s="722" t="str">
        <f>CONCATENATE(LEFT(RIGHT(CONCATENATE("000",IFAData_TEA!A1914),6),3),"-",(RIGHT(RIGHT(CONCATENATE("000",IFAData_TEA!A1914),6),3)))</f>
        <v>227-904</v>
      </c>
      <c r="C1914" s="979" t="s">
        <v>998</v>
      </c>
      <c r="D1914" s="979">
        <v>1</v>
      </c>
      <c r="E1914" s="979">
        <v>2188</v>
      </c>
      <c r="F1914" s="979" t="s">
        <v>5560</v>
      </c>
      <c r="G1914" s="979" t="s">
        <v>5562</v>
      </c>
      <c r="H1914" s="1030">
        <v>743639</v>
      </c>
      <c r="I1914" s="1030">
        <v>799315</v>
      </c>
      <c r="J1914" s="1034">
        <v>0.93294326228717961</v>
      </c>
      <c r="K1914" s="1030">
        <v>693772.99462397594</v>
      </c>
      <c r="L1914" s="1030">
        <v>693772.99462397594</v>
      </c>
      <c r="M1914" s="979">
        <v>599</v>
      </c>
    </row>
    <row r="1915" spans="1:13" ht="15">
      <c r="A1915" s="979" t="s">
        <v>3741</v>
      </c>
      <c r="B1915" s="722" t="str">
        <f>CONCATENATE(LEFT(RIGHT(CONCATENATE("000",IFAData_TEA!A1915),6),3),"-",(RIGHT(RIGHT(CONCATENATE("000",IFAData_TEA!A1915),6),3)))</f>
        <v>227-904</v>
      </c>
      <c r="C1915" s="979" t="s">
        <v>998</v>
      </c>
      <c r="D1915" s="979">
        <v>1</v>
      </c>
      <c r="E1915" s="979">
        <v>2189</v>
      </c>
      <c r="F1915" s="979" t="s">
        <v>5557</v>
      </c>
      <c r="G1915" s="979" t="s">
        <v>5558</v>
      </c>
      <c r="H1915" s="1030">
        <v>906295</v>
      </c>
      <c r="I1915" s="1030">
        <v>0</v>
      </c>
      <c r="J1915" s="1034">
        <v>0</v>
      </c>
      <c r="K1915" s="1030">
        <v>0</v>
      </c>
      <c r="L1915" s="1030">
        <v>0</v>
      </c>
      <c r="M1915" s="979">
        <v>599</v>
      </c>
    </row>
    <row r="1916" spans="1:13" ht="15">
      <c r="A1916" s="979" t="s">
        <v>3741</v>
      </c>
      <c r="B1916" s="722" t="str">
        <f>CONCATENATE(LEFT(RIGHT(CONCATENATE("000",IFAData_TEA!A1916),6),3),"-",(RIGHT(RIGHT(CONCATENATE("000",IFAData_TEA!A1916),6),3)))</f>
        <v>227-904</v>
      </c>
      <c r="C1916" s="979" t="s">
        <v>998</v>
      </c>
      <c r="D1916" s="979">
        <v>9</v>
      </c>
      <c r="E1916" s="979">
        <v>2190</v>
      </c>
      <c r="F1916" s="979" t="s">
        <v>5563</v>
      </c>
      <c r="G1916" s="979" t="s">
        <v>5563</v>
      </c>
      <c r="H1916" s="1030">
        <v>5151250</v>
      </c>
      <c r="I1916" s="1030">
        <v>7590421</v>
      </c>
      <c r="J1916" s="1034">
        <v>0.6859852845790837</v>
      </c>
      <c r="K1916" s="1030">
        <v>3533681.6971880049</v>
      </c>
      <c r="L1916" s="1030">
        <v>3533681.6971880049</v>
      </c>
      <c r="M1916" s="979">
        <v>599</v>
      </c>
    </row>
    <row r="1917" spans="1:13" ht="15">
      <c r="A1917" s="979" t="s">
        <v>3742</v>
      </c>
      <c r="B1917" s="722" t="str">
        <f>CONCATENATE(LEFT(RIGHT(CONCATENATE("000",IFAData_TEA!A1917),6),3),"-",(RIGHT(RIGHT(CONCATENATE("000",IFAData_TEA!A1917),6),3)))</f>
        <v>227-910</v>
      </c>
      <c r="C1917" s="979" t="s">
        <v>2667</v>
      </c>
      <c r="D1917" s="979">
        <v>1</v>
      </c>
      <c r="E1917" s="979">
        <v>1751</v>
      </c>
      <c r="F1917" s="979" t="s">
        <v>5564</v>
      </c>
      <c r="G1917" s="979" t="s">
        <v>5566</v>
      </c>
      <c r="H1917" s="1030">
        <v>1138000</v>
      </c>
      <c r="I1917" s="1030">
        <v>2920822</v>
      </c>
      <c r="J1917" s="1034">
        <v>1</v>
      </c>
      <c r="K1917" s="1030">
        <v>1138000</v>
      </c>
      <c r="L1917" s="1030">
        <v>1138000</v>
      </c>
      <c r="M1917" s="979">
        <v>599</v>
      </c>
    </row>
    <row r="1918" spans="1:13" ht="15">
      <c r="A1918" s="979" t="s">
        <v>3742</v>
      </c>
      <c r="B1918" s="722" t="str">
        <f>CONCATENATE(LEFT(RIGHT(CONCATENATE("000",IFAData_TEA!A1918),6),3),"-",(RIGHT(RIGHT(CONCATENATE("000",IFAData_TEA!A1918),6),3)))</f>
        <v>227-910</v>
      </c>
      <c r="C1918" s="979" t="s">
        <v>2667</v>
      </c>
      <c r="D1918" s="979">
        <v>1</v>
      </c>
      <c r="E1918" s="979">
        <v>1751</v>
      </c>
      <c r="F1918" s="979" t="s">
        <v>5564</v>
      </c>
      <c r="G1918" s="979" t="s">
        <v>5564</v>
      </c>
      <c r="H1918" s="1030">
        <v>1138000</v>
      </c>
      <c r="I1918" s="1030">
        <v>0</v>
      </c>
      <c r="J1918" s="1034">
        <v>0</v>
      </c>
      <c r="K1918" s="1030">
        <v>0</v>
      </c>
      <c r="L1918" s="1030">
        <v>0</v>
      </c>
      <c r="M1918" s="979">
        <v>599</v>
      </c>
    </row>
    <row r="1919" spans="1:13" ht="15">
      <c r="A1919" s="979" t="s">
        <v>3742</v>
      </c>
      <c r="B1919" s="722" t="str">
        <f>CONCATENATE(LEFT(RIGHT(CONCATENATE("000",IFAData_TEA!A1919),6),3),"-",(RIGHT(RIGHT(CONCATENATE("000",IFAData_TEA!A1919),6),3)))</f>
        <v>227-910</v>
      </c>
      <c r="C1919" s="979" t="s">
        <v>2667</v>
      </c>
      <c r="D1919" s="979">
        <v>1</v>
      </c>
      <c r="E1919" s="979">
        <v>1751</v>
      </c>
      <c r="F1919" s="979" t="s">
        <v>5564</v>
      </c>
      <c r="G1919" s="979" t="s">
        <v>5565</v>
      </c>
      <c r="H1919" s="1030">
        <v>1138000</v>
      </c>
      <c r="I1919" s="1030">
        <v>0</v>
      </c>
      <c r="J1919" s="1034">
        <v>0</v>
      </c>
      <c r="K1919" s="1030">
        <v>0</v>
      </c>
      <c r="L1919" s="1030">
        <v>0</v>
      </c>
      <c r="M1919" s="979">
        <v>599</v>
      </c>
    </row>
    <row r="1920" spans="1:13" ht="15">
      <c r="A1920" s="979" t="s">
        <v>5567</v>
      </c>
      <c r="B1920" s="722" t="str">
        <f>CONCATENATE(LEFT(RIGHT(CONCATENATE("000",IFAData_TEA!A1920),6),3),"-",(RIGHT(RIGHT(CONCATENATE("000",IFAData_TEA!A1920),6),3)))</f>
        <v>229-901</v>
      </c>
      <c r="C1920" s="979" t="s">
        <v>1547</v>
      </c>
      <c r="D1920" s="979">
        <v>5</v>
      </c>
      <c r="E1920" s="979">
        <v>1707</v>
      </c>
      <c r="F1920" s="979" t="s">
        <v>5568</v>
      </c>
      <c r="G1920" s="979" t="s">
        <v>5568</v>
      </c>
      <c r="H1920" s="1030">
        <v>158074</v>
      </c>
      <c r="I1920" s="1030">
        <v>149652</v>
      </c>
      <c r="J1920" s="1034">
        <v>1</v>
      </c>
      <c r="K1920" s="1030">
        <v>158074</v>
      </c>
      <c r="L1920" s="1030">
        <v>149652</v>
      </c>
      <c r="M1920" s="979">
        <v>199</v>
      </c>
    </row>
    <row r="1921" spans="1:13" ht="15">
      <c r="A1921" s="979" t="s">
        <v>3743</v>
      </c>
      <c r="B1921" s="722" t="str">
        <f>CONCATENATE(LEFT(RIGHT(CONCATENATE("000",IFAData_TEA!A1921),6),3),"-",(RIGHT(RIGHT(CONCATENATE("000",IFAData_TEA!A1921),6),3)))</f>
        <v>229-904</v>
      </c>
      <c r="C1921" s="979" t="s">
        <v>1917</v>
      </c>
      <c r="D1921" s="979">
        <v>10</v>
      </c>
      <c r="E1921" s="979">
        <v>2437</v>
      </c>
      <c r="F1921" s="979" t="s">
        <v>5570</v>
      </c>
      <c r="G1921" s="979" t="s">
        <v>5570</v>
      </c>
      <c r="H1921" s="1030">
        <v>287703</v>
      </c>
      <c r="I1921" s="1030">
        <v>319074</v>
      </c>
      <c r="J1921" s="1034">
        <v>1</v>
      </c>
      <c r="K1921" s="1030">
        <v>287703</v>
      </c>
      <c r="L1921" s="1030">
        <v>287703</v>
      </c>
      <c r="M1921" s="979">
        <v>599</v>
      </c>
    </row>
    <row r="1922" spans="1:13" ht="15">
      <c r="A1922" s="979" t="s">
        <v>3743</v>
      </c>
      <c r="B1922" s="722" t="str">
        <f>CONCATENATE(LEFT(RIGHT(CONCATENATE("000",IFAData_TEA!A1922),6),3),"-",(RIGHT(RIGHT(CONCATENATE("000",IFAData_TEA!A1922),6),3)))</f>
        <v>229-904</v>
      </c>
      <c r="C1922" s="979" t="s">
        <v>1917</v>
      </c>
      <c r="D1922" s="979">
        <v>9</v>
      </c>
      <c r="E1922" s="979">
        <v>2436</v>
      </c>
      <c r="F1922" s="979" t="s">
        <v>5569</v>
      </c>
      <c r="G1922" s="979" t="s">
        <v>5569</v>
      </c>
      <c r="H1922" s="1030">
        <v>281704</v>
      </c>
      <c r="I1922" s="1030">
        <v>319139</v>
      </c>
      <c r="J1922" s="1034">
        <v>1</v>
      </c>
      <c r="K1922" s="1030">
        <v>281704</v>
      </c>
      <c r="L1922" s="1030">
        <v>281704</v>
      </c>
      <c r="M1922" s="979">
        <v>599</v>
      </c>
    </row>
    <row r="1923" spans="1:13" ht="15">
      <c r="A1923" s="979" t="s">
        <v>3744</v>
      </c>
      <c r="B1923" s="722" t="str">
        <f>CONCATENATE(LEFT(RIGHT(CONCATENATE("000",IFAData_TEA!A1923),6),3),"-",(RIGHT(RIGHT(CONCATENATE("000",IFAData_TEA!A1923),6),3)))</f>
        <v>229-905</v>
      </c>
      <c r="C1923" s="979" t="s">
        <v>1938</v>
      </c>
      <c r="D1923" s="979">
        <v>5</v>
      </c>
      <c r="E1923" s="979">
        <v>2380</v>
      </c>
      <c r="F1923" s="979" t="s">
        <v>5571</v>
      </c>
      <c r="G1923" s="979" t="s">
        <v>5571</v>
      </c>
      <c r="H1923" s="1030">
        <v>103335</v>
      </c>
      <c r="I1923" s="1030">
        <v>0</v>
      </c>
      <c r="J1923" s="1034">
        <v>0</v>
      </c>
      <c r="K1923" s="1030">
        <v>0</v>
      </c>
      <c r="L1923" s="1030">
        <v>0</v>
      </c>
      <c r="M1923" s="979">
        <v>599</v>
      </c>
    </row>
    <row r="1924" spans="1:13" ht="15">
      <c r="A1924" s="979" t="s">
        <v>3744</v>
      </c>
      <c r="B1924" s="722" t="str">
        <f>CONCATENATE(LEFT(RIGHT(CONCATENATE("000",IFAData_TEA!A1924),6),3),"-",(RIGHT(RIGHT(CONCATENATE("000",IFAData_TEA!A1924),6),3)))</f>
        <v>229-905</v>
      </c>
      <c r="C1924" s="979" t="s">
        <v>1938</v>
      </c>
      <c r="D1924" s="979">
        <v>5</v>
      </c>
      <c r="E1924" s="979">
        <v>2380</v>
      </c>
      <c r="F1924" s="979" t="s">
        <v>5571</v>
      </c>
      <c r="G1924" s="979" t="s">
        <v>5572</v>
      </c>
      <c r="H1924" s="1030">
        <v>103335</v>
      </c>
      <c r="I1924" s="1030">
        <v>185048</v>
      </c>
      <c r="J1924" s="1034">
        <v>1</v>
      </c>
      <c r="K1924" s="1030">
        <v>103335</v>
      </c>
      <c r="L1924" s="1030">
        <v>103335</v>
      </c>
      <c r="M1924" s="979">
        <v>599</v>
      </c>
    </row>
    <row r="1925" spans="1:13" ht="15">
      <c r="A1925" s="979" t="s">
        <v>3745</v>
      </c>
      <c r="B1925" s="722" t="str">
        <f>CONCATENATE(LEFT(RIGHT(CONCATENATE("000",IFAData_TEA!A1925),6),3),"-",(RIGHT(RIGHT(CONCATENATE("000",IFAData_TEA!A1925),6),3)))</f>
        <v>229-906</v>
      </c>
      <c r="C1925" s="979" t="s">
        <v>2184</v>
      </c>
      <c r="D1925" s="979">
        <v>2</v>
      </c>
      <c r="E1925" s="979">
        <v>1685</v>
      </c>
      <c r="F1925" s="979" t="s">
        <v>5573</v>
      </c>
      <c r="G1925" s="979" t="s">
        <v>5573</v>
      </c>
      <c r="H1925" s="1030">
        <v>71236</v>
      </c>
      <c r="I1925" s="1030">
        <v>65810</v>
      </c>
      <c r="J1925" s="1034">
        <v>1</v>
      </c>
      <c r="K1925" s="1030">
        <v>71236</v>
      </c>
      <c r="L1925" s="1030">
        <v>65810</v>
      </c>
      <c r="M1925" s="979">
        <v>599</v>
      </c>
    </row>
    <row r="1926" spans="1:13" ht="15">
      <c r="A1926" s="979" t="s">
        <v>3746</v>
      </c>
      <c r="B1926" s="722" t="str">
        <f>CONCATENATE(LEFT(RIGHT(CONCATENATE("000",IFAData_TEA!A1926),6),3),"-",(RIGHT(RIGHT(CONCATENATE("000",IFAData_TEA!A1926),6),3)))</f>
        <v>230-903</v>
      </c>
      <c r="C1926" s="979" t="s">
        <v>1017</v>
      </c>
      <c r="D1926" s="979">
        <v>2</v>
      </c>
      <c r="E1926" s="979">
        <v>2165</v>
      </c>
      <c r="F1926" s="979" t="s">
        <v>5574</v>
      </c>
      <c r="G1926" s="979" t="s">
        <v>5575</v>
      </c>
      <c r="H1926" s="1030">
        <v>184136</v>
      </c>
      <c r="I1926" s="1030">
        <v>166506</v>
      </c>
      <c r="J1926" s="1034">
        <v>1</v>
      </c>
      <c r="K1926" s="1030">
        <v>184136</v>
      </c>
      <c r="L1926" s="1030">
        <v>166506</v>
      </c>
      <c r="M1926" s="979">
        <v>599</v>
      </c>
    </row>
    <row r="1927" spans="1:13" ht="15">
      <c r="A1927" s="979" t="s">
        <v>3746</v>
      </c>
      <c r="B1927" s="722" t="str">
        <f>CONCATENATE(LEFT(RIGHT(CONCATENATE("000",IFAData_TEA!A1927),6),3),"-",(RIGHT(RIGHT(CONCATENATE("000",IFAData_TEA!A1927),6),3)))</f>
        <v>230-903</v>
      </c>
      <c r="C1927" s="979" t="s">
        <v>1017</v>
      </c>
      <c r="D1927" s="979">
        <v>9</v>
      </c>
      <c r="E1927" s="979">
        <v>2166</v>
      </c>
      <c r="F1927" s="979" t="s">
        <v>5576</v>
      </c>
      <c r="G1927" s="979" t="s">
        <v>5576</v>
      </c>
      <c r="H1927" s="1030">
        <v>202862</v>
      </c>
      <c r="I1927" s="1030">
        <v>472494</v>
      </c>
      <c r="J1927" s="1034">
        <v>1</v>
      </c>
      <c r="K1927" s="1030">
        <v>202862</v>
      </c>
      <c r="L1927" s="1030">
        <v>202862</v>
      </c>
      <c r="M1927" s="979">
        <v>599</v>
      </c>
    </row>
    <row r="1928" spans="1:13" ht="15">
      <c r="A1928" s="979" t="s">
        <v>3746</v>
      </c>
      <c r="B1928" s="722" t="str">
        <f>CONCATENATE(LEFT(RIGHT(CONCATENATE("000",IFAData_TEA!A1928),6),3),"-",(RIGHT(RIGHT(CONCATENATE("000",IFAData_TEA!A1928),6),3)))</f>
        <v>230-903</v>
      </c>
      <c r="C1928" s="979" t="s">
        <v>1017</v>
      </c>
      <c r="D1928" s="979">
        <v>2</v>
      </c>
      <c r="E1928" s="979">
        <v>2165</v>
      </c>
      <c r="F1928" s="979" t="s">
        <v>5574</v>
      </c>
      <c r="G1928" s="979" t="s">
        <v>5574</v>
      </c>
      <c r="H1928" s="1030">
        <v>184136</v>
      </c>
      <c r="I1928" s="1030">
        <v>0</v>
      </c>
      <c r="J1928" s="1034">
        <v>0</v>
      </c>
      <c r="K1928" s="1030">
        <v>0</v>
      </c>
      <c r="L1928" s="1030">
        <v>0</v>
      </c>
      <c r="M1928" s="979">
        <v>599</v>
      </c>
    </row>
    <row r="1929" spans="1:13" ht="15">
      <c r="A1929" s="979" t="s">
        <v>3747</v>
      </c>
      <c r="B1929" s="722" t="str">
        <f>CONCATENATE(LEFT(RIGHT(CONCATENATE("000",IFAData_TEA!A1929),6),3),"-",(RIGHT(RIGHT(CONCATENATE("000",IFAData_TEA!A1929),6),3)))</f>
        <v>230-905</v>
      </c>
      <c r="C1929" s="979" t="s">
        <v>827</v>
      </c>
      <c r="D1929" s="979">
        <v>1</v>
      </c>
      <c r="E1929" s="979">
        <v>1874</v>
      </c>
      <c r="F1929" s="979" t="s">
        <v>5577</v>
      </c>
      <c r="G1929" s="979" t="s">
        <v>5577</v>
      </c>
      <c r="H1929" s="1030">
        <v>223024</v>
      </c>
      <c r="I1929" s="1030">
        <v>0</v>
      </c>
      <c r="J1929" s="1034">
        <v>0</v>
      </c>
      <c r="K1929" s="1030">
        <v>0</v>
      </c>
      <c r="L1929" s="1030">
        <v>0</v>
      </c>
      <c r="M1929" s="979">
        <v>599</v>
      </c>
    </row>
    <row r="1930" spans="1:13" ht="15">
      <c r="A1930" s="979" t="s">
        <v>3747</v>
      </c>
      <c r="B1930" s="722" t="str">
        <f>CONCATENATE(LEFT(RIGHT(CONCATENATE("000",IFAData_TEA!A1930),6),3),"-",(RIGHT(RIGHT(CONCATENATE("000",IFAData_TEA!A1930),6),3)))</f>
        <v>230-905</v>
      </c>
      <c r="C1930" s="979" t="s">
        <v>827</v>
      </c>
      <c r="D1930" s="979">
        <v>1</v>
      </c>
      <c r="E1930" s="979">
        <v>1874</v>
      </c>
      <c r="F1930" s="979" t="s">
        <v>5577</v>
      </c>
      <c r="G1930" s="979" t="s">
        <v>5578</v>
      </c>
      <c r="H1930" s="1030">
        <v>223024</v>
      </c>
      <c r="I1930" s="1030">
        <v>244568</v>
      </c>
      <c r="J1930" s="1034">
        <v>1</v>
      </c>
      <c r="K1930" s="1030">
        <v>223024</v>
      </c>
      <c r="L1930" s="1030">
        <v>223024</v>
      </c>
      <c r="M1930" s="979">
        <v>599</v>
      </c>
    </row>
    <row r="1931" spans="1:13" ht="15">
      <c r="A1931" s="979" t="s">
        <v>3748</v>
      </c>
      <c r="B1931" s="722" t="str">
        <f>CONCATENATE(LEFT(RIGHT(CONCATENATE("000",IFAData_TEA!A1931),6),3),"-",(RIGHT(RIGHT(CONCATENATE("000",IFAData_TEA!A1931),6),3)))</f>
        <v>230-906</v>
      </c>
      <c r="C1931" s="979" t="s">
        <v>1536</v>
      </c>
      <c r="D1931" s="979">
        <v>8</v>
      </c>
      <c r="E1931" s="979">
        <v>2142</v>
      </c>
      <c r="F1931" s="979" t="s">
        <v>5579</v>
      </c>
      <c r="G1931" s="979" t="s">
        <v>5579</v>
      </c>
      <c r="H1931" s="1030">
        <v>207500</v>
      </c>
      <c r="I1931" s="1030">
        <v>263590</v>
      </c>
      <c r="J1931" s="1034">
        <v>1</v>
      </c>
      <c r="K1931" s="1030">
        <v>207500</v>
      </c>
      <c r="L1931" s="1030">
        <v>207500</v>
      </c>
      <c r="M1931" s="979">
        <v>599</v>
      </c>
    </row>
    <row r="1932" spans="1:13" ht="15">
      <c r="A1932" s="979" t="s">
        <v>3749</v>
      </c>
      <c r="B1932" s="722" t="str">
        <f>CONCATENATE(LEFT(RIGHT(CONCATENATE("000",IFAData_TEA!A1932),6),3),"-",(RIGHT(RIGHT(CONCATENATE("000",IFAData_TEA!A1932),6),3)))</f>
        <v>232-901</v>
      </c>
      <c r="C1932" s="979" t="s">
        <v>2472</v>
      </c>
      <c r="D1932" s="979">
        <v>5</v>
      </c>
      <c r="E1932" s="979">
        <v>1969</v>
      </c>
      <c r="F1932" s="979" t="s">
        <v>5582</v>
      </c>
      <c r="G1932" s="979" t="s">
        <v>5582</v>
      </c>
      <c r="H1932" s="1030">
        <v>39885</v>
      </c>
      <c r="I1932" s="1030">
        <v>0</v>
      </c>
      <c r="J1932" s="1034">
        <v>0</v>
      </c>
      <c r="K1932" s="1030">
        <v>0</v>
      </c>
      <c r="L1932" s="1030">
        <v>0</v>
      </c>
      <c r="M1932" s="979">
        <v>599</v>
      </c>
    </row>
    <row r="1933" spans="1:13" ht="15">
      <c r="A1933" s="979" t="s">
        <v>3749</v>
      </c>
      <c r="B1933" s="722" t="str">
        <f>CONCATENATE(LEFT(RIGHT(CONCATENATE("000",IFAData_TEA!A1933),6),3),"-",(RIGHT(RIGHT(CONCATENATE("000",IFAData_TEA!A1933),6),3)))</f>
        <v>232-901</v>
      </c>
      <c r="C1933" s="979" t="s">
        <v>2472</v>
      </c>
      <c r="D1933" s="979">
        <v>2</v>
      </c>
      <c r="E1933" s="979">
        <v>1970</v>
      </c>
      <c r="F1933" s="979" t="s">
        <v>5580</v>
      </c>
      <c r="G1933" s="979" t="s">
        <v>5580</v>
      </c>
      <c r="H1933" s="1030">
        <v>52660</v>
      </c>
      <c r="I1933" s="1030">
        <v>0</v>
      </c>
      <c r="J1933" s="1034">
        <v>0</v>
      </c>
      <c r="K1933" s="1030">
        <v>0</v>
      </c>
      <c r="L1933" s="1030">
        <v>0</v>
      </c>
      <c r="M1933" s="979">
        <v>599</v>
      </c>
    </row>
    <row r="1934" spans="1:13" ht="15">
      <c r="A1934" s="979" t="s">
        <v>3749</v>
      </c>
      <c r="B1934" s="722" t="str">
        <f>CONCATENATE(LEFT(RIGHT(CONCATENATE("000",IFAData_TEA!A1934),6),3),"-",(RIGHT(RIGHT(CONCATENATE("000",IFAData_TEA!A1934),6),3)))</f>
        <v>232-901</v>
      </c>
      <c r="C1934" s="979" t="s">
        <v>2472</v>
      </c>
      <c r="D1934" s="979">
        <v>5</v>
      </c>
      <c r="E1934" s="979">
        <v>1969</v>
      </c>
      <c r="F1934" s="979" t="s">
        <v>5582</v>
      </c>
      <c r="G1934" s="979" t="s">
        <v>5581</v>
      </c>
      <c r="H1934" s="1030">
        <v>39885</v>
      </c>
      <c r="I1934" s="1030">
        <v>41362</v>
      </c>
      <c r="J1934" s="1034">
        <v>1</v>
      </c>
      <c r="K1934" s="1030">
        <v>39885</v>
      </c>
      <c r="L1934" s="1030">
        <v>39885</v>
      </c>
      <c r="M1934" s="979">
        <v>599</v>
      </c>
    </row>
    <row r="1935" spans="1:13" ht="15">
      <c r="A1935" s="979" t="s">
        <v>3749</v>
      </c>
      <c r="B1935" s="722" t="str">
        <f>CONCATENATE(LEFT(RIGHT(CONCATENATE("000",IFAData_TEA!A1935),6),3),"-",(RIGHT(RIGHT(CONCATENATE("000",IFAData_TEA!A1935),6),3)))</f>
        <v>232-901</v>
      </c>
      <c r="C1935" s="979" t="s">
        <v>2472</v>
      </c>
      <c r="D1935" s="979">
        <v>2</v>
      </c>
      <c r="E1935" s="979">
        <v>1970</v>
      </c>
      <c r="F1935" s="979" t="s">
        <v>5580</v>
      </c>
      <c r="G1935" s="979" t="s">
        <v>5581</v>
      </c>
      <c r="H1935" s="1030">
        <v>52660</v>
      </c>
      <c r="I1935" s="1030">
        <v>46745</v>
      </c>
      <c r="J1935" s="1034">
        <v>1</v>
      </c>
      <c r="K1935" s="1030">
        <v>52660</v>
      </c>
      <c r="L1935" s="1030">
        <v>46745</v>
      </c>
      <c r="M1935" s="979">
        <v>599</v>
      </c>
    </row>
    <row r="1936" spans="1:13" ht="15">
      <c r="A1936" s="979" t="s">
        <v>3750</v>
      </c>
      <c r="B1936" s="722" t="str">
        <f>CONCATENATE(LEFT(RIGHT(CONCATENATE("000",IFAData_TEA!A1936),6),3),"-",(RIGHT(RIGHT(CONCATENATE("000",IFAData_TEA!A1936),6),3)))</f>
        <v>232-902</v>
      </c>
      <c r="C1936" s="979" t="s">
        <v>615</v>
      </c>
      <c r="D1936" s="979">
        <v>5</v>
      </c>
      <c r="E1936" s="979">
        <v>2274</v>
      </c>
      <c r="F1936" s="979" t="s">
        <v>5583</v>
      </c>
      <c r="G1936" s="979" t="s">
        <v>5584</v>
      </c>
      <c r="H1936" s="1030">
        <v>124225</v>
      </c>
      <c r="I1936" s="1030">
        <v>114222</v>
      </c>
      <c r="J1936" s="1034">
        <v>1</v>
      </c>
      <c r="K1936" s="1030">
        <v>124225</v>
      </c>
      <c r="L1936" s="1030">
        <v>114222</v>
      </c>
      <c r="M1936" s="979">
        <v>599</v>
      </c>
    </row>
    <row r="1937" spans="1:13" ht="15">
      <c r="A1937" s="979" t="s">
        <v>3750</v>
      </c>
      <c r="B1937" s="722" t="str">
        <f>CONCATENATE(LEFT(RIGHT(CONCATENATE("000",IFAData_TEA!A1937),6),3),"-",(RIGHT(RIGHT(CONCATENATE("000",IFAData_TEA!A1937),6),3)))</f>
        <v>232-902</v>
      </c>
      <c r="C1937" s="979" t="s">
        <v>615</v>
      </c>
      <c r="D1937" s="979">
        <v>5</v>
      </c>
      <c r="E1937" s="979">
        <v>2274</v>
      </c>
      <c r="F1937" s="979" t="s">
        <v>5583</v>
      </c>
      <c r="G1937" s="979" t="s">
        <v>5583</v>
      </c>
      <c r="H1937" s="1030">
        <v>124225</v>
      </c>
      <c r="I1937" s="1030">
        <v>0</v>
      </c>
      <c r="J1937" s="1034">
        <v>0</v>
      </c>
      <c r="K1937" s="1030">
        <v>0</v>
      </c>
      <c r="L1937" s="1030">
        <v>0</v>
      </c>
      <c r="M1937" s="979">
        <v>599</v>
      </c>
    </row>
    <row r="1938" spans="1:13" ht="15">
      <c r="A1938" s="979" t="s">
        <v>3751</v>
      </c>
      <c r="B1938" s="722" t="str">
        <f>CONCATENATE(LEFT(RIGHT(CONCATENATE("000",IFAData_TEA!A1938),6),3),"-",(RIGHT(RIGHT(CONCATENATE("000",IFAData_TEA!A1938),6),3)))</f>
        <v>232-903</v>
      </c>
      <c r="C1938" s="979" t="s">
        <v>296</v>
      </c>
      <c r="D1938" s="979">
        <v>4</v>
      </c>
      <c r="E1938" s="979">
        <v>2408</v>
      </c>
      <c r="F1938" s="979" t="s">
        <v>5589</v>
      </c>
      <c r="G1938" s="979" t="s">
        <v>5588</v>
      </c>
      <c r="H1938" s="1030">
        <v>1100156</v>
      </c>
      <c r="I1938" s="1030">
        <v>858028</v>
      </c>
      <c r="J1938" s="1034">
        <v>0.86785384118995268</v>
      </c>
      <c r="K1938" s="1030">
        <v>954774.61050817359</v>
      </c>
      <c r="L1938" s="1030">
        <v>858028</v>
      </c>
      <c r="M1938" s="979">
        <v>599</v>
      </c>
    </row>
    <row r="1939" spans="1:13" ht="15">
      <c r="A1939" s="979" t="s">
        <v>3751</v>
      </c>
      <c r="B1939" s="722" t="str">
        <f>CONCATENATE(LEFT(RIGHT(CONCATENATE("000",IFAData_TEA!A1939),6),3),"-",(RIGHT(RIGHT(CONCATENATE("000",IFAData_TEA!A1939),6),3)))</f>
        <v>232-903</v>
      </c>
      <c r="C1939" s="979" t="s">
        <v>296</v>
      </c>
      <c r="D1939" s="979">
        <v>2</v>
      </c>
      <c r="E1939" s="979">
        <v>2409</v>
      </c>
      <c r="F1939" s="979" t="s">
        <v>5585</v>
      </c>
      <c r="G1939" s="979" t="s">
        <v>5588</v>
      </c>
      <c r="H1939" s="1030">
        <v>1300000</v>
      </c>
      <c r="I1939" s="1030">
        <v>1105425</v>
      </c>
      <c r="J1939" s="1034">
        <v>0.89785888160860439</v>
      </c>
      <c r="K1939" s="1030">
        <v>1167216.5460911856</v>
      </c>
      <c r="L1939" s="1030">
        <v>1105425</v>
      </c>
      <c r="M1939" s="979">
        <v>599</v>
      </c>
    </row>
    <row r="1940" spans="1:13" ht="15">
      <c r="A1940" s="979" t="s">
        <v>3751</v>
      </c>
      <c r="B1940" s="722" t="str">
        <f>CONCATENATE(LEFT(RIGHT(CONCATENATE("000",IFAData_TEA!A1940),6),3),"-",(RIGHT(RIGHT(CONCATENATE("000",IFAData_TEA!A1940),6),3)))</f>
        <v>232-903</v>
      </c>
      <c r="C1940" s="979" t="s">
        <v>296</v>
      </c>
      <c r="D1940" s="979">
        <v>4</v>
      </c>
      <c r="E1940" s="979">
        <v>2408</v>
      </c>
      <c r="F1940" s="979" t="s">
        <v>5589</v>
      </c>
      <c r="G1940" s="979" t="s">
        <v>5587</v>
      </c>
      <c r="H1940" s="1030">
        <v>1100156</v>
      </c>
      <c r="I1940" s="1030">
        <v>130650</v>
      </c>
      <c r="J1940" s="1034">
        <v>0.13214615881004735</v>
      </c>
      <c r="K1940" s="1030">
        <v>145381.38949182644</v>
      </c>
      <c r="L1940" s="1030">
        <v>130650</v>
      </c>
      <c r="M1940" s="979">
        <v>599</v>
      </c>
    </row>
    <row r="1941" spans="1:13" ht="15">
      <c r="A1941" s="979" t="s">
        <v>3751</v>
      </c>
      <c r="B1941" s="722" t="str">
        <f>CONCATENATE(LEFT(RIGHT(CONCATENATE("000",IFAData_TEA!A1941),6),3),"-",(RIGHT(RIGHT(CONCATENATE("000",IFAData_TEA!A1941),6),3)))</f>
        <v>232-903</v>
      </c>
      <c r="C1941" s="979" t="s">
        <v>296</v>
      </c>
      <c r="D1941" s="979">
        <v>2</v>
      </c>
      <c r="E1941" s="979">
        <v>2409</v>
      </c>
      <c r="F1941" s="979" t="s">
        <v>5585</v>
      </c>
      <c r="G1941" s="979" t="s">
        <v>5587</v>
      </c>
      <c r="H1941" s="1030">
        <v>1300000</v>
      </c>
      <c r="I1941" s="1030">
        <v>125754</v>
      </c>
      <c r="J1941" s="1034">
        <v>0.10214111839139556</v>
      </c>
      <c r="K1941" s="1030">
        <v>132783.45390881423</v>
      </c>
      <c r="L1941" s="1030">
        <v>125754</v>
      </c>
      <c r="M1941" s="979">
        <v>599</v>
      </c>
    </row>
    <row r="1942" spans="1:13" ht="15">
      <c r="A1942" s="979" t="s">
        <v>3751</v>
      </c>
      <c r="B1942" s="722" t="str">
        <f>CONCATENATE(LEFT(RIGHT(CONCATENATE("000",IFAData_TEA!A1942),6),3),"-",(RIGHT(RIGHT(CONCATENATE("000",IFAData_TEA!A1942),6),3)))</f>
        <v>232-903</v>
      </c>
      <c r="C1942" s="979" t="s">
        <v>296</v>
      </c>
      <c r="D1942" s="979">
        <v>4</v>
      </c>
      <c r="E1942" s="979">
        <v>2408</v>
      </c>
      <c r="F1942" s="979" t="s">
        <v>5589</v>
      </c>
      <c r="G1942" s="979" t="s">
        <v>5589</v>
      </c>
      <c r="H1942" s="1030">
        <v>1100156</v>
      </c>
      <c r="I1942" s="1030">
        <v>0</v>
      </c>
      <c r="J1942" s="1034">
        <v>0</v>
      </c>
      <c r="K1942" s="1030">
        <v>0</v>
      </c>
      <c r="L1942" s="1030">
        <v>0</v>
      </c>
      <c r="M1942" s="979">
        <v>599</v>
      </c>
    </row>
    <row r="1943" spans="1:13" ht="15">
      <c r="A1943" s="979" t="s">
        <v>3751</v>
      </c>
      <c r="B1943" s="722" t="str">
        <f>CONCATENATE(LEFT(RIGHT(CONCATENATE("000",IFAData_TEA!A1943),6),3),"-",(RIGHT(RIGHT(CONCATENATE("000",IFAData_TEA!A1943),6),3)))</f>
        <v>232-903</v>
      </c>
      <c r="C1943" s="979" t="s">
        <v>296</v>
      </c>
      <c r="D1943" s="979">
        <v>2</v>
      </c>
      <c r="E1943" s="979">
        <v>2409</v>
      </c>
      <c r="F1943" s="979" t="s">
        <v>5585</v>
      </c>
      <c r="G1943" s="979" t="s">
        <v>5586</v>
      </c>
      <c r="H1943" s="1030">
        <v>1300000</v>
      </c>
      <c r="I1943" s="1030">
        <v>0</v>
      </c>
      <c r="J1943" s="1034">
        <v>0</v>
      </c>
      <c r="K1943" s="1030">
        <v>0</v>
      </c>
      <c r="L1943" s="1030">
        <v>0</v>
      </c>
      <c r="M1943" s="979">
        <v>599</v>
      </c>
    </row>
    <row r="1944" spans="1:13" ht="15">
      <c r="A1944" s="979" t="s">
        <v>3751</v>
      </c>
      <c r="B1944" s="722" t="str">
        <f>CONCATENATE(LEFT(RIGHT(CONCATENATE("000",IFAData_TEA!A1944),6),3),"-",(RIGHT(RIGHT(CONCATENATE("000",IFAData_TEA!A1944),6),3)))</f>
        <v>232-903</v>
      </c>
      <c r="C1944" s="979" t="s">
        <v>296</v>
      </c>
      <c r="D1944" s="979">
        <v>4</v>
      </c>
      <c r="E1944" s="979">
        <v>2408</v>
      </c>
      <c r="F1944" s="979" t="s">
        <v>5589</v>
      </c>
      <c r="G1944" s="979" t="s">
        <v>5586</v>
      </c>
      <c r="H1944" s="1030">
        <v>1100156</v>
      </c>
      <c r="I1944" s="1030">
        <v>0</v>
      </c>
      <c r="J1944" s="1034">
        <v>0</v>
      </c>
      <c r="K1944" s="1030">
        <v>0</v>
      </c>
      <c r="L1944" s="1030">
        <v>0</v>
      </c>
      <c r="M1944" s="979">
        <v>599</v>
      </c>
    </row>
    <row r="1945" spans="1:13" ht="15">
      <c r="A1945" s="979" t="s">
        <v>3751</v>
      </c>
      <c r="B1945" s="722" t="str">
        <f>CONCATENATE(LEFT(RIGHT(CONCATENATE("000",IFAData_TEA!A1945),6),3),"-",(RIGHT(RIGHT(CONCATENATE("000",IFAData_TEA!A1945),6),3)))</f>
        <v>232-903</v>
      </c>
      <c r="C1945" s="979" t="s">
        <v>296</v>
      </c>
      <c r="D1945" s="979">
        <v>2</v>
      </c>
      <c r="E1945" s="979">
        <v>2409</v>
      </c>
      <c r="F1945" s="979" t="s">
        <v>5585</v>
      </c>
      <c r="G1945" s="979" t="s">
        <v>5585</v>
      </c>
      <c r="H1945" s="1030">
        <v>1300000</v>
      </c>
      <c r="I1945" s="1030">
        <v>0</v>
      </c>
      <c r="J1945" s="1034">
        <v>0</v>
      </c>
      <c r="K1945" s="1030">
        <v>0</v>
      </c>
      <c r="L1945" s="1030">
        <v>0</v>
      </c>
      <c r="M1945" s="979">
        <v>599</v>
      </c>
    </row>
    <row r="1946" spans="1:13" ht="15">
      <c r="A1946" s="979" t="s">
        <v>3752</v>
      </c>
      <c r="B1946" s="722" t="str">
        <f>CONCATENATE(LEFT(RIGHT(CONCATENATE("000",IFAData_TEA!A1946),6),3),"-",(RIGHT(RIGHT(CONCATENATE("000",IFAData_TEA!A1946),6),3)))</f>
        <v>233-901</v>
      </c>
      <c r="C1946" s="979" t="s">
        <v>2146</v>
      </c>
      <c r="D1946" s="979">
        <v>4</v>
      </c>
      <c r="E1946" s="979">
        <v>2298</v>
      </c>
      <c r="F1946" s="979" t="s">
        <v>5590</v>
      </c>
      <c r="G1946" s="979" t="s">
        <v>5592</v>
      </c>
      <c r="H1946" s="1030">
        <v>2143670</v>
      </c>
      <c r="I1946" s="1030">
        <v>1934050</v>
      </c>
      <c r="J1946" s="1034">
        <v>1</v>
      </c>
      <c r="K1946" s="1030">
        <v>2143670</v>
      </c>
      <c r="L1946" s="1030">
        <v>1934050</v>
      </c>
      <c r="M1946" s="979">
        <v>599</v>
      </c>
    </row>
    <row r="1947" spans="1:13" ht="15">
      <c r="A1947" s="979" t="s">
        <v>3752</v>
      </c>
      <c r="B1947" s="722" t="str">
        <f>CONCATENATE(LEFT(RIGHT(CONCATENATE("000",IFAData_TEA!A1947),6),3),"-",(RIGHT(RIGHT(CONCATENATE("000",IFAData_TEA!A1947),6),3)))</f>
        <v>233-901</v>
      </c>
      <c r="C1947" s="979" t="s">
        <v>2146</v>
      </c>
      <c r="D1947" s="979">
        <v>8</v>
      </c>
      <c r="E1947" s="979">
        <v>2297</v>
      </c>
      <c r="F1947" s="979" t="s">
        <v>5593</v>
      </c>
      <c r="G1947" s="979" t="s">
        <v>5593</v>
      </c>
      <c r="H1947" s="1030">
        <v>1506687</v>
      </c>
      <c r="I1947" s="1030">
        <v>1163626</v>
      </c>
      <c r="J1947" s="1034">
        <v>0.69111407284925541</v>
      </c>
      <c r="K1947" s="1030">
        <v>1041292.5890790261</v>
      </c>
      <c r="L1947" s="1030">
        <v>1041292.5890790261</v>
      </c>
      <c r="M1947" s="979">
        <v>599</v>
      </c>
    </row>
    <row r="1948" spans="1:13" ht="15">
      <c r="A1948" s="979" t="s">
        <v>3752</v>
      </c>
      <c r="B1948" s="722" t="str">
        <f>CONCATENATE(LEFT(RIGHT(CONCATENATE("000",IFAData_TEA!A1948),6),3),"-",(RIGHT(RIGHT(CONCATENATE("000",IFAData_TEA!A1948),6),3)))</f>
        <v>233-901</v>
      </c>
      <c r="C1948" s="979" t="s">
        <v>2146</v>
      </c>
      <c r="D1948" s="979">
        <v>4</v>
      </c>
      <c r="E1948" s="979">
        <v>2298</v>
      </c>
      <c r="F1948" s="979" t="s">
        <v>5590</v>
      </c>
      <c r="G1948" s="979" t="s">
        <v>5590</v>
      </c>
      <c r="H1948" s="1030">
        <v>2143670</v>
      </c>
      <c r="I1948" s="1030">
        <v>0</v>
      </c>
      <c r="J1948" s="1034">
        <v>0</v>
      </c>
      <c r="K1948" s="1030">
        <v>0</v>
      </c>
      <c r="L1948" s="1030">
        <v>0</v>
      </c>
      <c r="M1948" s="979">
        <v>599</v>
      </c>
    </row>
    <row r="1949" spans="1:13" ht="15">
      <c r="A1949" s="979" t="s">
        <v>3752</v>
      </c>
      <c r="B1949" s="722" t="str">
        <f>CONCATENATE(LEFT(RIGHT(CONCATENATE("000",IFAData_TEA!A1949),6),3),"-",(RIGHT(RIGHT(CONCATENATE("000",IFAData_TEA!A1949),6),3)))</f>
        <v>233-901</v>
      </c>
      <c r="C1949" s="979" t="s">
        <v>2146</v>
      </c>
      <c r="D1949" s="979">
        <v>4</v>
      </c>
      <c r="E1949" s="979">
        <v>2298</v>
      </c>
      <c r="F1949" s="979" t="s">
        <v>5590</v>
      </c>
      <c r="G1949" s="979" t="s">
        <v>5591</v>
      </c>
      <c r="H1949" s="1030">
        <v>2143670</v>
      </c>
      <c r="I1949" s="1030">
        <v>0</v>
      </c>
      <c r="J1949" s="1034">
        <v>0</v>
      </c>
      <c r="K1949" s="1030">
        <v>0</v>
      </c>
      <c r="L1949" s="1030">
        <v>0</v>
      </c>
      <c r="M1949" s="979">
        <v>599</v>
      </c>
    </row>
    <row r="1950" spans="1:13" ht="15">
      <c r="A1950" s="979" t="s">
        <v>3752</v>
      </c>
      <c r="B1950" s="722" t="str">
        <f>CONCATENATE(LEFT(RIGHT(CONCATENATE("000",IFAData_TEA!A1950),6),3),"-",(RIGHT(RIGHT(CONCATENATE("000",IFAData_TEA!A1950),6),3)))</f>
        <v>233-901</v>
      </c>
      <c r="C1950" s="979" t="s">
        <v>2146</v>
      </c>
      <c r="D1950" s="979">
        <v>9</v>
      </c>
      <c r="E1950" s="979">
        <v>2296</v>
      </c>
      <c r="F1950" s="979" t="s">
        <v>5595</v>
      </c>
      <c r="G1950" s="979" t="s">
        <v>5595</v>
      </c>
      <c r="H1950" s="1030">
        <v>866517</v>
      </c>
      <c r="I1950" s="1030">
        <v>846869</v>
      </c>
      <c r="J1950" s="1034">
        <v>1</v>
      </c>
      <c r="K1950" s="1030">
        <v>866517</v>
      </c>
      <c r="L1950" s="1030">
        <v>846869</v>
      </c>
      <c r="M1950" s="979">
        <v>599</v>
      </c>
    </row>
    <row r="1951" spans="1:13" ht="15">
      <c r="A1951" s="979" t="s">
        <v>3752</v>
      </c>
      <c r="B1951" s="722" t="str">
        <f>CONCATENATE(LEFT(RIGHT(CONCATENATE("000",IFAData_TEA!A1951),6),3),"-",(RIGHT(RIGHT(CONCATENATE("000",IFAData_TEA!A1951),6),3)))</f>
        <v>233-901</v>
      </c>
      <c r="C1951" s="979" t="s">
        <v>2146</v>
      </c>
      <c r="D1951" s="979">
        <v>8</v>
      </c>
      <c r="E1951" s="979">
        <v>2297</v>
      </c>
      <c r="F1951" s="979" t="s">
        <v>5593</v>
      </c>
      <c r="G1951" s="979" t="s">
        <v>5594</v>
      </c>
      <c r="H1951" s="1030">
        <v>1506687</v>
      </c>
      <c r="I1951" s="1030">
        <v>322875</v>
      </c>
      <c r="J1951" s="1034">
        <v>0.19176561564557973</v>
      </c>
      <c r="K1951" s="1030">
        <v>288930.76014019159</v>
      </c>
      <c r="L1951" s="1030">
        <v>288930.76014019159</v>
      </c>
      <c r="M1951" s="979">
        <v>599</v>
      </c>
    </row>
    <row r="1952" spans="1:13" ht="15">
      <c r="A1952" s="979" t="s">
        <v>3752</v>
      </c>
      <c r="B1952" s="722" t="str">
        <f>CONCATENATE(LEFT(RIGHT(CONCATENATE("000",IFAData_TEA!A1952),6),3),"-",(RIGHT(RIGHT(CONCATENATE("000",IFAData_TEA!A1952),6),3)))</f>
        <v>233-901</v>
      </c>
      <c r="C1952" s="979" t="s">
        <v>2146</v>
      </c>
      <c r="D1952" s="979">
        <v>8</v>
      </c>
      <c r="E1952" s="979">
        <v>2297</v>
      </c>
      <c r="F1952" s="979" t="s">
        <v>5593</v>
      </c>
      <c r="G1952" s="979" t="s">
        <v>6343</v>
      </c>
      <c r="H1952" s="1030">
        <v>1506687</v>
      </c>
      <c r="I1952" s="1030">
        <v>197195</v>
      </c>
      <c r="J1952" s="1034">
        <v>0.11712031150516483</v>
      </c>
      <c r="K1952" s="1030">
        <v>176463.65078078228</v>
      </c>
      <c r="L1952" s="1030">
        <v>176463.65078078228</v>
      </c>
      <c r="M1952" s="979">
        <v>599</v>
      </c>
    </row>
    <row r="1953" spans="1:13" ht="15">
      <c r="A1953" s="979" t="s">
        <v>3753</v>
      </c>
      <c r="B1953" s="722" t="str">
        <f>CONCATENATE(LEFT(RIGHT(CONCATENATE("000",IFAData_TEA!A1953),6),3),"-",(RIGHT(RIGHT(CONCATENATE("000",IFAData_TEA!A1953),6),3)))</f>
        <v>234-902</v>
      </c>
      <c r="C1953" s="979" t="s">
        <v>1146</v>
      </c>
      <c r="D1953" s="979">
        <v>10</v>
      </c>
      <c r="E1953" s="979">
        <v>1661</v>
      </c>
      <c r="F1953" s="979" t="s">
        <v>5596</v>
      </c>
      <c r="G1953" s="979" t="s">
        <v>6344</v>
      </c>
      <c r="H1953" s="1030">
        <v>944380</v>
      </c>
      <c r="I1953" s="1030">
        <v>233289</v>
      </c>
      <c r="J1953" s="1034">
        <v>0.1294952168328406</v>
      </c>
      <c r="K1953" s="1030">
        <v>122292.69287259801</v>
      </c>
      <c r="L1953" s="1030">
        <v>122292.69287259801</v>
      </c>
      <c r="M1953" s="979">
        <v>599</v>
      </c>
    </row>
    <row r="1954" spans="1:13" ht="15">
      <c r="A1954" s="979" t="s">
        <v>3753</v>
      </c>
      <c r="B1954" s="722" t="str">
        <f>CONCATENATE(LEFT(RIGHT(CONCATENATE("000",IFAData_TEA!A1954),6),3),"-",(RIGHT(RIGHT(CONCATENATE("000",IFAData_TEA!A1954),6),3)))</f>
        <v>234-902</v>
      </c>
      <c r="C1954" s="979" t="s">
        <v>1146</v>
      </c>
      <c r="D1954" s="979">
        <v>10</v>
      </c>
      <c r="E1954" s="979">
        <v>1661</v>
      </c>
      <c r="F1954" s="979" t="s">
        <v>5596</v>
      </c>
      <c r="G1954" s="979" t="s">
        <v>6345</v>
      </c>
      <c r="H1954" s="1030">
        <v>944380</v>
      </c>
      <c r="I1954" s="1030">
        <v>377816</v>
      </c>
      <c r="J1954" s="1034">
        <v>0.20971998183761989</v>
      </c>
      <c r="K1954" s="1030">
        <v>198055.35644781147</v>
      </c>
      <c r="L1954" s="1030">
        <v>198055.35644781147</v>
      </c>
      <c r="M1954" s="979">
        <v>599</v>
      </c>
    </row>
    <row r="1955" spans="1:13" ht="15">
      <c r="A1955" s="979" t="s">
        <v>3753</v>
      </c>
      <c r="B1955" s="722" t="str">
        <f>CONCATENATE(LEFT(RIGHT(CONCATENATE("000",IFAData_TEA!A1955),6),3),"-",(RIGHT(RIGHT(CONCATENATE("000",IFAData_TEA!A1955),6),3)))</f>
        <v>234-902</v>
      </c>
      <c r="C1955" s="979" t="s">
        <v>1146</v>
      </c>
      <c r="D1955" s="979">
        <v>10</v>
      </c>
      <c r="E1955" s="979">
        <v>1661</v>
      </c>
      <c r="F1955" s="979" t="s">
        <v>5596</v>
      </c>
      <c r="G1955" s="979" t="s">
        <v>5596</v>
      </c>
      <c r="H1955" s="1030">
        <v>944380</v>
      </c>
      <c r="I1955" s="1030">
        <v>1190421</v>
      </c>
      <c r="J1955" s="1034">
        <v>0.66078480132953954</v>
      </c>
      <c r="K1955" s="1030">
        <v>624031.95067959058</v>
      </c>
      <c r="L1955" s="1030">
        <v>624031.95067959058</v>
      </c>
      <c r="M1955" s="979">
        <v>599</v>
      </c>
    </row>
    <row r="1956" spans="1:13" ht="15">
      <c r="A1956" s="979" t="s">
        <v>3754</v>
      </c>
      <c r="B1956" s="722" t="str">
        <f>CONCATENATE(LEFT(RIGHT(CONCATENATE("000",IFAData_TEA!A1956),6),3),"-",(RIGHT(RIGHT(CONCATENATE("000",IFAData_TEA!A1956),6),3)))</f>
        <v>234-904</v>
      </c>
      <c r="C1956" s="979" t="s">
        <v>864</v>
      </c>
      <c r="D1956" s="979">
        <v>5</v>
      </c>
      <c r="E1956" s="979">
        <v>1857</v>
      </c>
      <c r="F1956" s="979" t="s">
        <v>5597</v>
      </c>
      <c r="G1956" s="979" t="s">
        <v>5597</v>
      </c>
      <c r="H1956" s="1030">
        <v>287500</v>
      </c>
      <c r="I1956" s="1030">
        <v>0</v>
      </c>
      <c r="J1956" s="1034">
        <v>0</v>
      </c>
      <c r="K1956" s="1030">
        <v>0</v>
      </c>
      <c r="L1956" s="1030">
        <v>0</v>
      </c>
      <c r="M1956" s="979">
        <v>599</v>
      </c>
    </row>
    <row r="1957" spans="1:13" ht="15">
      <c r="A1957" s="979" t="s">
        <v>3754</v>
      </c>
      <c r="B1957" s="722" t="str">
        <f>CONCATENATE(LEFT(RIGHT(CONCATENATE("000",IFAData_TEA!A1957),6),3),"-",(RIGHT(RIGHT(CONCATENATE("000",IFAData_TEA!A1957),6),3)))</f>
        <v>234-904</v>
      </c>
      <c r="C1957" s="979" t="s">
        <v>864</v>
      </c>
      <c r="D1957" s="979">
        <v>5</v>
      </c>
      <c r="E1957" s="979">
        <v>1857</v>
      </c>
      <c r="F1957" s="979" t="s">
        <v>5597</v>
      </c>
      <c r="G1957" s="979" t="s">
        <v>5598</v>
      </c>
      <c r="H1957" s="1030">
        <v>287500</v>
      </c>
      <c r="I1957" s="1030">
        <v>567558</v>
      </c>
      <c r="J1957" s="1034">
        <v>1</v>
      </c>
      <c r="K1957" s="1030">
        <v>287500</v>
      </c>
      <c r="L1957" s="1030">
        <v>287500</v>
      </c>
      <c r="M1957" s="979">
        <v>599</v>
      </c>
    </row>
    <row r="1958" spans="1:13" ht="15">
      <c r="A1958" s="979" t="s">
        <v>3755</v>
      </c>
      <c r="B1958" s="722" t="str">
        <f>CONCATENATE(LEFT(RIGHT(CONCATENATE("000",IFAData_TEA!A1958),6),3),"-",(RIGHT(RIGHT(CONCATENATE("000",IFAData_TEA!A1958),6),3)))</f>
        <v>234-905</v>
      </c>
      <c r="C1958" s="979" t="s">
        <v>2065</v>
      </c>
      <c r="D1958" s="979">
        <v>2</v>
      </c>
      <c r="E1958" s="979">
        <v>2070</v>
      </c>
      <c r="F1958" s="979" t="s">
        <v>5599</v>
      </c>
      <c r="G1958" s="979" t="s">
        <v>5599</v>
      </c>
      <c r="H1958" s="1030">
        <v>95558</v>
      </c>
      <c r="I1958" s="1030">
        <v>0</v>
      </c>
      <c r="J1958" s="1034">
        <v>0</v>
      </c>
      <c r="K1958" s="1030">
        <v>0</v>
      </c>
      <c r="L1958" s="1030">
        <v>0</v>
      </c>
      <c r="M1958" s="979">
        <v>599</v>
      </c>
    </row>
    <row r="1959" spans="1:13" ht="15">
      <c r="A1959" s="979" t="s">
        <v>3755</v>
      </c>
      <c r="B1959" s="722" t="str">
        <f>CONCATENATE(LEFT(RIGHT(CONCATENATE("000",IFAData_TEA!A1959),6),3),"-",(RIGHT(RIGHT(CONCATENATE("000",IFAData_TEA!A1959),6),3)))</f>
        <v>234-905</v>
      </c>
      <c r="C1959" s="979" t="s">
        <v>2065</v>
      </c>
      <c r="D1959" s="979">
        <v>2</v>
      </c>
      <c r="E1959" s="979">
        <v>2070</v>
      </c>
      <c r="F1959" s="979" t="s">
        <v>5599</v>
      </c>
      <c r="G1959" s="979" t="s">
        <v>5600</v>
      </c>
      <c r="H1959" s="1030">
        <v>95558</v>
      </c>
      <c r="I1959" s="1030">
        <v>86780</v>
      </c>
      <c r="J1959" s="1034">
        <v>1</v>
      </c>
      <c r="K1959" s="1030">
        <v>95558</v>
      </c>
      <c r="L1959" s="1030">
        <v>86780</v>
      </c>
      <c r="M1959" s="979">
        <v>599</v>
      </c>
    </row>
    <row r="1960" spans="1:13" ht="15">
      <c r="A1960" s="979" t="s">
        <v>3755</v>
      </c>
      <c r="B1960" s="722" t="str">
        <f>CONCATENATE(LEFT(RIGHT(CONCATENATE("000",IFAData_TEA!A1960),6),3),"-",(RIGHT(RIGHT(CONCATENATE("000",IFAData_TEA!A1960),6),3)))</f>
        <v>234-905</v>
      </c>
      <c r="C1960" s="979" t="s">
        <v>2065</v>
      </c>
      <c r="D1960" s="979">
        <v>10</v>
      </c>
      <c r="E1960" s="979">
        <v>2071</v>
      </c>
      <c r="F1960" s="979" t="s">
        <v>5601</v>
      </c>
      <c r="G1960" s="979" t="s">
        <v>5601</v>
      </c>
      <c r="H1960" s="1030">
        <v>121250</v>
      </c>
      <c r="I1960" s="1030">
        <v>150194</v>
      </c>
      <c r="J1960" s="1034">
        <v>1</v>
      </c>
      <c r="K1960" s="1030">
        <v>121250</v>
      </c>
      <c r="L1960" s="1030">
        <v>121250</v>
      </c>
      <c r="M1960" s="979">
        <v>599</v>
      </c>
    </row>
    <row r="1961" spans="1:13" ht="15">
      <c r="A1961" s="979" t="s">
        <v>3756</v>
      </c>
      <c r="B1961" s="722" t="str">
        <f>CONCATENATE(LEFT(RIGHT(CONCATENATE("000",IFAData_TEA!A1961),6),3),"-",(RIGHT(RIGHT(CONCATENATE("000",IFAData_TEA!A1961),6),3)))</f>
        <v>234-906</v>
      </c>
      <c r="C1961" s="979" t="s">
        <v>1147</v>
      </c>
      <c r="D1961" s="979">
        <v>9</v>
      </c>
      <c r="E1961" s="979">
        <v>2421</v>
      </c>
      <c r="F1961" s="979" t="s">
        <v>5602</v>
      </c>
      <c r="G1961" s="979" t="s">
        <v>6346</v>
      </c>
      <c r="H1961" s="1030">
        <v>518746</v>
      </c>
      <c r="I1961" s="1030">
        <v>80903</v>
      </c>
      <c r="J1961" s="1034">
        <v>5.14877105492434E-2</v>
      </c>
      <c r="K1961" s="1030">
        <v>26709.043896577816</v>
      </c>
      <c r="L1961" s="1030">
        <v>26709.043896577816</v>
      </c>
      <c r="M1961" s="979">
        <v>599</v>
      </c>
    </row>
    <row r="1962" spans="1:13" ht="15">
      <c r="A1962" s="979" t="s">
        <v>3756</v>
      </c>
      <c r="B1962" s="722" t="str">
        <f>CONCATENATE(LEFT(RIGHT(CONCATENATE("000",IFAData_TEA!A1962),6),3),"-",(RIGHT(RIGHT(CONCATENATE("000",IFAData_TEA!A1962),6),3)))</f>
        <v>234-906</v>
      </c>
      <c r="C1962" s="979" t="s">
        <v>1147</v>
      </c>
      <c r="D1962" s="979">
        <v>9</v>
      </c>
      <c r="E1962" s="979">
        <v>2421</v>
      </c>
      <c r="F1962" s="979" t="s">
        <v>5602</v>
      </c>
      <c r="G1962" s="979" t="s">
        <v>6347</v>
      </c>
      <c r="H1962" s="1030">
        <v>518746</v>
      </c>
      <c r="I1962" s="1030">
        <v>256668</v>
      </c>
      <c r="J1962" s="1034">
        <v>0.16334681892208205</v>
      </c>
      <c r="K1962" s="1030">
        <v>84735.50892855438</v>
      </c>
      <c r="L1962" s="1030">
        <v>84735.50892855438</v>
      </c>
      <c r="M1962" s="979">
        <v>599</v>
      </c>
    </row>
    <row r="1963" spans="1:13" ht="15">
      <c r="A1963" s="979" t="s">
        <v>3756</v>
      </c>
      <c r="B1963" s="722" t="str">
        <f>CONCATENATE(LEFT(RIGHT(CONCATENATE("000",IFAData_TEA!A1963),6),3),"-",(RIGHT(RIGHT(CONCATENATE("000",IFAData_TEA!A1963),6),3)))</f>
        <v>234-906</v>
      </c>
      <c r="C1963" s="979" t="s">
        <v>1147</v>
      </c>
      <c r="D1963" s="979">
        <v>9</v>
      </c>
      <c r="E1963" s="979">
        <v>2421</v>
      </c>
      <c r="F1963" s="979" t="s">
        <v>5602</v>
      </c>
      <c r="G1963" s="979" t="s">
        <v>5602</v>
      </c>
      <c r="H1963" s="1030">
        <v>518746</v>
      </c>
      <c r="I1963" s="1030">
        <v>1233736</v>
      </c>
      <c r="J1963" s="1034">
        <v>0.78516547052867458</v>
      </c>
      <c r="K1963" s="1030">
        <v>407301.44717486785</v>
      </c>
      <c r="L1963" s="1030">
        <v>407301.44717486785</v>
      </c>
      <c r="M1963" s="979">
        <v>599</v>
      </c>
    </row>
    <row r="1964" spans="1:13" ht="15">
      <c r="A1964" s="979" t="s">
        <v>3757</v>
      </c>
      <c r="B1964" s="722" t="str">
        <f>CONCATENATE(LEFT(RIGHT(CONCATENATE("000",IFAData_TEA!A1964),6),3),"-",(RIGHT(RIGHT(CONCATENATE("000",IFAData_TEA!A1964),6),3)))</f>
        <v>234-909</v>
      </c>
      <c r="C1964" s="979" t="s">
        <v>1478</v>
      </c>
      <c r="D1964" s="979">
        <v>6</v>
      </c>
      <c r="E1964" s="979">
        <v>1832</v>
      </c>
      <c r="F1964" s="979" t="s">
        <v>5603</v>
      </c>
      <c r="G1964" s="979" t="s">
        <v>5604</v>
      </c>
      <c r="H1964" s="1030">
        <v>95608</v>
      </c>
      <c r="I1964" s="1030">
        <v>86300</v>
      </c>
      <c r="J1964" s="1034">
        <v>1</v>
      </c>
      <c r="K1964" s="1030">
        <v>95608</v>
      </c>
      <c r="L1964" s="1030">
        <v>86300</v>
      </c>
      <c r="M1964" s="979">
        <v>599</v>
      </c>
    </row>
    <row r="1965" spans="1:13" ht="15">
      <c r="A1965" s="979" t="s">
        <v>3757</v>
      </c>
      <c r="B1965" s="722" t="str">
        <f>CONCATENATE(LEFT(RIGHT(CONCATENATE("000",IFAData_TEA!A1965),6),3),"-",(RIGHT(RIGHT(CONCATENATE("000",IFAData_TEA!A1965),6),3)))</f>
        <v>234-909</v>
      </c>
      <c r="C1965" s="979" t="s">
        <v>1478</v>
      </c>
      <c r="D1965" s="979">
        <v>6</v>
      </c>
      <c r="E1965" s="979">
        <v>1832</v>
      </c>
      <c r="F1965" s="979" t="s">
        <v>5603</v>
      </c>
      <c r="G1965" s="979" t="s">
        <v>5603</v>
      </c>
      <c r="H1965" s="1030">
        <v>95608</v>
      </c>
      <c r="I1965" s="1030">
        <v>0</v>
      </c>
      <c r="J1965" s="1034">
        <v>0</v>
      </c>
      <c r="K1965" s="1030">
        <v>0</v>
      </c>
      <c r="L1965" s="1030">
        <v>0</v>
      </c>
      <c r="M1965" s="979">
        <v>599</v>
      </c>
    </row>
    <row r="1966" spans="1:13" ht="15">
      <c r="A1966" s="979" t="s">
        <v>3758</v>
      </c>
      <c r="B1966" s="722" t="str">
        <f>CONCATENATE(LEFT(RIGHT(CONCATENATE("000",IFAData_TEA!A1966),6),3),"-",(RIGHT(RIGHT(CONCATENATE("000",IFAData_TEA!A1966),6),3)))</f>
        <v>235-901</v>
      </c>
      <c r="C1966" s="979" t="s">
        <v>1344</v>
      </c>
      <c r="D1966" s="979">
        <v>6</v>
      </c>
      <c r="E1966" s="979">
        <v>1619</v>
      </c>
      <c r="F1966" s="979" t="s">
        <v>5607</v>
      </c>
      <c r="G1966" s="979" t="s">
        <v>5606</v>
      </c>
      <c r="H1966" s="1030">
        <v>218942</v>
      </c>
      <c r="I1966" s="1030">
        <v>78014</v>
      </c>
      <c r="J1966" s="1034">
        <v>0.36976263602927234</v>
      </c>
      <c r="K1966" s="1030">
        <v>80956.571057520938</v>
      </c>
      <c r="L1966" s="1030">
        <v>78014</v>
      </c>
      <c r="M1966" s="979">
        <v>599</v>
      </c>
    </row>
    <row r="1967" spans="1:13" ht="15">
      <c r="A1967" s="979" t="s">
        <v>3758</v>
      </c>
      <c r="B1967" s="722" t="str">
        <f>CONCATENATE(LEFT(RIGHT(CONCATENATE("000",IFAData_TEA!A1967),6),3),"-",(RIGHT(RIGHT(CONCATENATE("000",IFAData_TEA!A1967),6),3)))</f>
        <v>235-901</v>
      </c>
      <c r="C1967" s="979" t="s">
        <v>1344</v>
      </c>
      <c r="D1967" s="979">
        <v>3</v>
      </c>
      <c r="E1967" s="979">
        <v>1620</v>
      </c>
      <c r="F1967" s="979" t="s">
        <v>5605</v>
      </c>
      <c r="G1967" s="979" t="s">
        <v>5606</v>
      </c>
      <c r="H1967" s="1030">
        <v>239379</v>
      </c>
      <c r="I1967" s="1030">
        <v>238386</v>
      </c>
      <c r="J1967" s="1034">
        <v>1</v>
      </c>
      <c r="K1967" s="1030">
        <v>239379</v>
      </c>
      <c r="L1967" s="1030">
        <v>238386</v>
      </c>
      <c r="M1967" s="979">
        <v>599</v>
      </c>
    </row>
    <row r="1968" spans="1:13" ht="15">
      <c r="A1968" s="979" t="s">
        <v>3758</v>
      </c>
      <c r="B1968" s="722" t="str">
        <f>CONCATENATE(LEFT(RIGHT(CONCATENATE("000",IFAData_TEA!A1968),6),3),"-",(RIGHT(RIGHT(CONCATENATE("000",IFAData_TEA!A1968),6),3)))</f>
        <v>235-901</v>
      </c>
      <c r="C1968" s="979" t="s">
        <v>1344</v>
      </c>
      <c r="D1968" s="979">
        <v>6</v>
      </c>
      <c r="E1968" s="979">
        <v>1619</v>
      </c>
      <c r="F1968" s="979" t="s">
        <v>5607</v>
      </c>
      <c r="G1968" s="979" t="s">
        <v>5608</v>
      </c>
      <c r="H1968" s="1030">
        <v>218942</v>
      </c>
      <c r="I1968" s="1030">
        <v>132970</v>
      </c>
      <c r="J1968" s="1034">
        <v>0.6302373639707276</v>
      </c>
      <c r="K1968" s="1030">
        <v>137985.42894247905</v>
      </c>
      <c r="L1968" s="1030">
        <v>132970</v>
      </c>
      <c r="M1968" s="979">
        <v>599</v>
      </c>
    </row>
    <row r="1969" spans="1:13" ht="15">
      <c r="A1969" s="979" t="s">
        <v>3758</v>
      </c>
      <c r="B1969" s="722" t="str">
        <f>CONCATENATE(LEFT(RIGHT(CONCATENATE("000",IFAData_TEA!A1969),6),3),"-",(RIGHT(RIGHT(CONCATENATE("000",IFAData_TEA!A1969),6),3)))</f>
        <v>235-901</v>
      </c>
      <c r="C1969" s="979" t="s">
        <v>1344</v>
      </c>
      <c r="D1969" s="979">
        <v>10</v>
      </c>
      <c r="E1969" s="979">
        <v>1618</v>
      </c>
      <c r="F1969" s="979" t="s">
        <v>5609</v>
      </c>
      <c r="G1969" s="979" t="s">
        <v>5609</v>
      </c>
      <c r="H1969" s="1030">
        <v>191935</v>
      </c>
      <c r="I1969" s="1030">
        <v>364603</v>
      </c>
      <c r="J1969" s="1034">
        <v>1</v>
      </c>
      <c r="K1969" s="1030">
        <v>191935</v>
      </c>
      <c r="L1969" s="1030">
        <v>191935</v>
      </c>
      <c r="M1969" s="979">
        <v>599</v>
      </c>
    </row>
    <row r="1970" spans="1:13" ht="15">
      <c r="A1970" s="979" t="s">
        <v>3758</v>
      </c>
      <c r="B1970" s="722" t="str">
        <f>CONCATENATE(LEFT(RIGHT(CONCATENATE("000",IFAData_TEA!A1970),6),3),"-",(RIGHT(RIGHT(CONCATENATE("000",IFAData_TEA!A1970),6),3)))</f>
        <v>235-901</v>
      </c>
      <c r="C1970" s="979" t="s">
        <v>1344</v>
      </c>
      <c r="D1970" s="979">
        <v>3</v>
      </c>
      <c r="E1970" s="979">
        <v>1620</v>
      </c>
      <c r="F1970" s="979" t="s">
        <v>5605</v>
      </c>
      <c r="G1970" s="979" t="s">
        <v>5605</v>
      </c>
      <c r="H1970" s="1030">
        <v>239379</v>
      </c>
      <c r="I1970" s="1030">
        <v>0</v>
      </c>
      <c r="J1970" s="1034">
        <v>0</v>
      </c>
      <c r="K1970" s="1030">
        <v>0</v>
      </c>
      <c r="L1970" s="1030">
        <v>0</v>
      </c>
      <c r="M1970" s="979">
        <v>599</v>
      </c>
    </row>
    <row r="1971" spans="1:13" ht="15">
      <c r="A1971" s="979" t="s">
        <v>3758</v>
      </c>
      <c r="B1971" s="722" t="str">
        <f>CONCATENATE(LEFT(RIGHT(CONCATENATE("000",IFAData_TEA!A1971),6),3),"-",(RIGHT(RIGHT(CONCATENATE("000",IFAData_TEA!A1971),6),3)))</f>
        <v>235-901</v>
      </c>
      <c r="C1971" s="979" t="s">
        <v>1344</v>
      </c>
      <c r="D1971" s="979">
        <v>6</v>
      </c>
      <c r="E1971" s="979">
        <v>1619</v>
      </c>
      <c r="F1971" s="979" t="s">
        <v>5607</v>
      </c>
      <c r="G1971" s="979" t="s">
        <v>5607</v>
      </c>
      <c r="H1971" s="1030">
        <v>218942</v>
      </c>
      <c r="I1971" s="1030">
        <v>0</v>
      </c>
      <c r="J1971" s="1034">
        <v>0</v>
      </c>
      <c r="K1971" s="1030">
        <v>0</v>
      </c>
      <c r="L1971" s="1030">
        <v>0</v>
      </c>
      <c r="M1971" s="979">
        <v>599</v>
      </c>
    </row>
    <row r="1972" spans="1:13" ht="15">
      <c r="A1972" s="979" t="s">
        <v>3759</v>
      </c>
      <c r="B1972" s="722" t="str">
        <f>CONCATENATE(LEFT(RIGHT(CONCATENATE("000",IFAData_TEA!A1972),6),3),"-",(RIGHT(RIGHT(CONCATENATE("000",IFAData_TEA!A1972),6),3)))</f>
        <v>235-902</v>
      </c>
      <c r="C1972" s="979" t="s">
        <v>134</v>
      </c>
      <c r="D1972" s="979">
        <v>2</v>
      </c>
      <c r="E1972" s="979">
        <v>2426</v>
      </c>
      <c r="F1972" s="979" t="s">
        <v>5610</v>
      </c>
      <c r="G1972" s="979" t="s">
        <v>6348</v>
      </c>
      <c r="H1972" s="1030">
        <v>2126212</v>
      </c>
      <c r="I1972" s="1030">
        <v>630148</v>
      </c>
      <c r="J1972" s="1034">
        <v>0.32110417587076501</v>
      </c>
      <c r="K1972" s="1030">
        <v>682735.55198653101</v>
      </c>
      <c r="L1972" s="1030">
        <v>630148</v>
      </c>
      <c r="M1972" s="979">
        <v>599</v>
      </c>
    </row>
    <row r="1973" spans="1:13" ht="15">
      <c r="A1973" s="979" t="s">
        <v>3759</v>
      </c>
      <c r="B1973" s="722" t="str">
        <f>CONCATENATE(LEFT(RIGHT(CONCATENATE("000",IFAData_TEA!A1973),6),3),"-",(RIGHT(RIGHT(CONCATENATE("000",IFAData_TEA!A1973),6),3)))</f>
        <v>235-902</v>
      </c>
      <c r="C1973" s="979" t="s">
        <v>134</v>
      </c>
      <c r="D1973" s="979">
        <v>2</v>
      </c>
      <c r="E1973" s="979">
        <v>2426</v>
      </c>
      <c r="F1973" s="979" t="s">
        <v>5610</v>
      </c>
      <c r="G1973" s="979" t="s">
        <v>5610</v>
      </c>
      <c r="H1973" s="1030">
        <v>2126212</v>
      </c>
      <c r="I1973" s="1030">
        <v>0</v>
      </c>
      <c r="J1973" s="1034">
        <v>0</v>
      </c>
      <c r="K1973" s="1030">
        <v>0</v>
      </c>
      <c r="L1973" s="1030">
        <v>0</v>
      </c>
      <c r="M1973" s="979">
        <v>599</v>
      </c>
    </row>
    <row r="1974" spans="1:13" ht="15">
      <c r="A1974" s="979" t="s">
        <v>3759</v>
      </c>
      <c r="B1974" s="722" t="str">
        <f>CONCATENATE(LEFT(RIGHT(CONCATENATE("000",IFAData_TEA!A1974),6),3),"-",(RIGHT(RIGHT(CONCATENATE("000",IFAData_TEA!A1974),6),3)))</f>
        <v>235-902</v>
      </c>
      <c r="C1974" s="979" t="s">
        <v>134</v>
      </c>
      <c r="D1974" s="979">
        <v>2</v>
      </c>
      <c r="E1974" s="979">
        <v>2426</v>
      </c>
      <c r="F1974" s="979" t="s">
        <v>5610</v>
      </c>
      <c r="G1974" s="979" t="s">
        <v>5611</v>
      </c>
      <c r="H1974" s="1030">
        <v>2126212</v>
      </c>
      <c r="I1974" s="1030">
        <v>1332293</v>
      </c>
      <c r="J1974" s="1034">
        <v>0.67889582412923499</v>
      </c>
      <c r="K1974" s="1030">
        <v>1443476.4480134689</v>
      </c>
      <c r="L1974" s="1030">
        <v>1332293</v>
      </c>
      <c r="M1974" s="979">
        <v>599</v>
      </c>
    </row>
    <row r="1975" spans="1:13" ht="15">
      <c r="A1975" s="979" t="s">
        <v>3759</v>
      </c>
      <c r="B1975" s="722" t="str">
        <f>CONCATENATE(LEFT(RIGHT(CONCATENATE("000",IFAData_TEA!A1975),6),3),"-",(RIGHT(RIGHT(CONCATENATE("000",IFAData_TEA!A1975),6),3)))</f>
        <v>235-902</v>
      </c>
      <c r="C1975" s="979" t="s">
        <v>134</v>
      </c>
      <c r="D1975" s="979">
        <v>9</v>
      </c>
      <c r="E1975" s="979">
        <v>2427</v>
      </c>
      <c r="F1975" s="979" t="s">
        <v>5612</v>
      </c>
      <c r="G1975" s="979" t="s">
        <v>5612</v>
      </c>
      <c r="H1975" s="1030">
        <v>3088095</v>
      </c>
      <c r="I1975" s="1030">
        <v>6123191</v>
      </c>
      <c r="J1975" s="1034">
        <v>1</v>
      </c>
      <c r="K1975" s="1030">
        <v>3088095</v>
      </c>
      <c r="L1975" s="1030">
        <v>3088095</v>
      </c>
      <c r="M1975" s="979">
        <v>599</v>
      </c>
    </row>
    <row r="1976" spans="1:13" ht="15">
      <c r="A1976" s="979" t="s">
        <v>3760</v>
      </c>
      <c r="B1976" s="722" t="str">
        <f>CONCATENATE(LEFT(RIGHT(CONCATENATE("000",IFAData_TEA!A1976),6),3),"-",(RIGHT(RIGHT(CONCATENATE("000",IFAData_TEA!A1976),6),3)))</f>
        <v>236-901</v>
      </c>
      <c r="C1976" s="979" t="s">
        <v>1144</v>
      </c>
      <c r="D1976" s="979">
        <v>6</v>
      </c>
      <c r="E1976" s="979">
        <v>2144</v>
      </c>
      <c r="F1976" s="979" t="s">
        <v>5615</v>
      </c>
      <c r="G1976" s="979" t="s">
        <v>5616</v>
      </c>
      <c r="H1976" s="1030">
        <v>207728</v>
      </c>
      <c r="I1976" s="1030">
        <v>328012</v>
      </c>
      <c r="J1976" s="1034">
        <v>1</v>
      </c>
      <c r="K1976" s="1030">
        <v>207728</v>
      </c>
      <c r="L1976" s="1030">
        <v>207728</v>
      </c>
      <c r="M1976" s="979">
        <v>599</v>
      </c>
    </row>
    <row r="1977" spans="1:13" ht="15">
      <c r="A1977" s="979" t="s">
        <v>3760</v>
      </c>
      <c r="B1977" s="722" t="str">
        <f>CONCATENATE(LEFT(RIGHT(CONCATENATE("000",IFAData_TEA!A1977),6),3),"-",(RIGHT(RIGHT(CONCATENATE("000",IFAData_TEA!A1977),6),3)))</f>
        <v>236-901</v>
      </c>
      <c r="C1977" s="979" t="s">
        <v>1144</v>
      </c>
      <c r="D1977" s="979">
        <v>2</v>
      </c>
      <c r="E1977" s="979">
        <v>2145</v>
      </c>
      <c r="F1977" s="979" t="s">
        <v>5613</v>
      </c>
      <c r="G1977" s="979" t="s">
        <v>5613</v>
      </c>
      <c r="H1977" s="1030">
        <v>227546</v>
      </c>
      <c r="I1977" s="1030">
        <v>0</v>
      </c>
      <c r="J1977" s="1034">
        <v>0</v>
      </c>
      <c r="K1977" s="1030">
        <v>0</v>
      </c>
      <c r="L1977" s="1030">
        <v>0</v>
      </c>
      <c r="M1977" s="979">
        <v>599</v>
      </c>
    </row>
    <row r="1978" spans="1:13" ht="15">
      <c r="A1978" s="979" t="s">
        <v>3760</v>
      </c>
      <c r="B1978" s="722" t="str">
        <f>CONCATENATE(LEFT(RIGHT(CONCATENATE("000",IFAData_TEA!A1978),6),3),"-",(RIGHT(RIGHT(CONCATENATE("000",IFAData_TEA!A1978),6),3)))</f>
        <v>236-901</v>
      </c>
      <c r="C1978" s="979" t="s">
        <v>1144</v>
      </c>
      <c r="D1978" s="979">
        <v>2</v>
      </c>
      <c r="E1978" s="979">
        <v>2145</v>
      </c>
      <c r="F1978" s="979" t="s">
        <v>5613</v>
      </c>
      <c r="G1978" s="979" t="s">
        <v>5614</v>
      </c>
      <c r="H1978" s="1030">
        <v>227546</v>
      </c>
      <c r="I1978" s="1030">
        <v>262975</v>
      </c>
      <c r="J1978" s="1034">
        <v>1</v>
      </c>
      <c r="K1978" s="1030">
        <v>227546</v>
      </c>
      <c r="L1978" s="1030">
        <v>227546</v>
      </c>
      <c r="M1978" s="979">
        <v>599</v>
      </c>
    </row>
    <row r="1979" spans="1:13" ht="15">
      <c r="A1979" s="979" t="s">
        <v>3760</v>
      </c>
      <c r="B1979" s="722" t="str">
        <f>CONCATENATE(LEFT(RIGHT(CONCATENATE("000",IFAData_TEA!A1979),6),3),"-",(RIGHT(RIGHT(CONCATENATE("000",IFAData_TEA!A1979),6),3)))</f>
        <v>236-901</v>
      </c>
      <c r="C1979" s="979" t="s">
        <v>1144</v>
      </c>
      <c r="D1979" s="979">
        <v>6</v>
      </c>
      <c r="E1979" s="979">
        <v>2144</v>
      </c>
      <c r="F1979" s="979" t="s">
        <v>5615</v>
      </c>
      <c r="G1979" s="979" t="s">
        <v>5615</v>
      </c>
      <c r="H1979" s="1030">
        <v>207728</v>
      </c>
      <c r="I1979" s="1030">
        <v>0</v>
      </c>
      <c r="J1979" s="1034">
        <v>0</v>
      </c>
      <c r="K1979" s="1030">
        <v>0</v>
      </c>
      <c r="L1979" s="1030">
        <v>0</v>
      </c>
      <c r="M1979" s="979">
        <v>599</v>
      </c>
    </row>
    <row r="1980" spans="1:13" ht="15">
      <c r="A1980" s="979" t="s">
        <v>3761</v>
      </c>
      <c r="B1980" s="722" t="str">
        <f>CONCATENATE(LEFT(RIGHT(CONCATENATE("000",IFAData_TEA!A1980),6),3),"-",(RIGHT(RIGHT(CONCATENATE("000",IFAData_TEA!A1980),6),3)))</f>
        <v>236-902</v>
      </c>
      <c r="C1980" s="979" t="s">
        <v>93</v>
      </c>
      <c r="D1980" s="979">
        <v>10</v>
      </c>
      <c r="E1980" s="979">
        <v>1919</v>
      </c>
      <c r="F1980" s="979" t="s">
        <v>5617</v>
      </c>
      <c r="G1980" s="979" t="s">
        <v>5617</v>
      </c>
      <c r="H1980" s="1030">
        <v>470421</v>
      </c>
      <c r="I1980" s="1030">
        <v>468032</v>
      </c>
      <c r="J1980" s="1034">
        <v>1</v>
      </c>
      <c r="K1980" s="1030">
        <v>470421</v>
      </c>
      <c r="L1980" s="1030">
        <v>468032</v>
      </c>
      <c r="M1980" s="979">
        <v>199</v>
      </c>
    </row>
    <row r="1981" spans="1:13" ht="15">
      <c r="A1981" s="979" t="s">
        <v>3762</v>
      </c>
      <c r="B1981" s="722" t="str">
        <f>CONCATENATE(LEFT(RIGHT(CONCATENATE("000",IFAData_TEA!A1981),6),3),"-",(RIGHT(RIGHT(CONCATENATE("000",IFAData_TEA!A1981),6),3)))</f>
        <v>237-902</v>
      </c>
      <c r="C1981" s="979" t="s">
        <v>2371</v>
      </c>
      <c r="D1981" s="979">
        <v>6</v>
      </c>
      <c r="E1981" s="979">
        <v>1882</v>
      </c>
      <c r="F1981" s="979" t="s">
        <v>5618</v>
      </c>
      <c r="G1981" s="979" t="s">
        <v>6349</v>
      </c>
      <c r="H1981" s="1030">
        <v>361936</v>
      </c>
      <c r="I1981" s="1030">
        <v>60892</v>
      </c>
      <c r="J1981" s="1034">
        <v>0.14719518857479899</v>
      </c>
      <c r="K1981" s="1030">
        <v>53275.237772008448</v>
      </c>
      <c r="L1981" s="1030">
        <v>53275.237772008448</v>
      </c>
      <c r="M1981" s="979">
        <v>599</v>
      </c>
    </row>
    <row r="1982" spans="1:13" ht="15">
      <c r="A1982" s="979" t="s">
        <v>3762</v>
      </c>
      <c r="B1982" s="722" t="str">
        <f>CONCATENATE(LEFT(RIGHT(CONCATENATE("000",IFAData_TEA!A1982),6),3),"-",(RIGHT(RIGHT(CONCATENATE("000",IFAData_TEA!A1982),6),3)))</f>
        <v>237-902</v>
      </c>
      <c r="C1982" s="979" t="s">
        <v>2371</v>
      </c>
      <c r="D1982" s="979">
        <v>6</v>
      </c>
      <c r="E1982" s="979">
        <v>1882</v>
      </c>
      <c r="F1982" s="979" t="s">
        <v>5618</v>
      </c>
      <c r="G1982" s="979" t="s">
        <v>5618</v>
      </c>
      <c r="H1982" s="1030">
        <v>361936</v>
      </c>
      <c r="I1982" s="1030">
        <v>0</v>
      </c>
      <c r="J1982" s="1034">
        <v>0</v>
      </c>
      <c r="K1982" s="1030">
        <v>0</v>
      </c>
      <c r="L1982" s="1030">
        <v>0</v>
      </c>
      <c r="M1982" s="979">
        <v>599</v>
      </c>
    </row>
    <row r="1983" spans="1:13" ht="15">
      <c r="A1983" s="979" t="s">
        <v>3762</v>
      </c>
      <c r="B1983" s="722" t="str">
        <f>CONCATENATE(LEFT(RIGHT(CONCATENATE("000",IFAData_TEA!A1983),6),3),"-",(RIGHT(RIGHT(CONCATENATE("000",IFAData_TEA!A1983),6),3)))</f>
        <v>237-902</v>
      </c>
      <c r="C1983" s="979" t="s">
        <v>2371</v>
      </c>
      <c r="D1983" s="979">
        <v>6</v>
      </c>
      <c r="E1983" s="979">
        <v>1882</v>
      </c>
      <c r="F1983" s="979" t="s">
        <v>5618</v>
      </c>
      <c r="G1983" s="979" t="s">
        <v>5619</v>
      </c>
      <c r="H1983" s="1030">
        <v>361936</v>
      </c>
      <c r="I1983" s="1030">
        <v>352790</v>
      </c>
      <c r="J1983" s="1034">
        <v>0.85280481142520104</v>
      </c>
      <c r="K1983" s="1030">
        <v>308660.76222799154</v>
      </c>
      <c r="L1983" s="1030">
        <v>308660.76222799154</v>
      </c>
      <c r="M1983" s="979">
        <v>599</v>
      </c>
    </row>
    <row r="1984" spans="1:13" ht="15">
      <c r="A1984" s="979" t="s">
        <v>3762</v>
      </c>
      <c r="B1984" s="722" t="str">
        <f>CONCATENATE(LEFT(RIGHT(CONCATENATE("000",IFAData_TEA!A1984),6),3),"-",(RIGHT(RIGHT(CONCATENATE("000",IFAData_TEA!A1984),6),3)))</f>
        <v>237-902</v>
      </c>
      <c r="C1984" s="979" t="s">
        <v>2371</v>
      </c>
      <c r="D1984" s="979">
        <v>9</v>
      </c>
      <c r="E1984" s="979">
        <v>1881</v>
      </c>
      <c r="F1984" s="979" t="s">
        <v>5620</v>
      </c>
      <c r="G1984" s="979" t="s">
        <v>5620</v>
      </c>
      <c r="H1984" s="1030">
        <v>294703</v>
      </c>
      <c r="I1984" s="1030">
        <v>489316</v>
      </c>
      <c r="J1984" s="1034">
        <v>1</v>
      </c>
      <c r="K1984" s="1030">
        <v>294703</v>
      </c>
      <c r="L1984" s="1030">
        <v>294703</v>
      </c>
      <c r="M1984" s="979">
        <v>599</v>
      </c>
    </row>
    <row r="1985" spans="1:13" ht="15">
      <c r="A1985" s="979" t="s">
        <v>3763</v>
      </c>
      <c r="B1985" s="722" t="str">
        <f>CONCATENATE(LEFT(RIGHT(CONCATENATE("000",IFAData_TEA!A1985),6),3),"-",(RIGHT(RIGHT(CONCATENATE("000",IFAData_TEA!A1985),6),3)))</f>
        <v>237-904</v>
      </c>
      <c r="C1985" s="979" t="s">
        <v>138</v>
      </c>
      <c r="D1985" s="979">
        <v>9</v>
      </c>
      <c r="E1985" s="979">
        <v>2434</v>
      </c>
      <c r="F1985" s="979" t="s">
        <v>5626</v>
      </c>
      <c r="G1985" s="979" t="s">
        <v>6350</v>
      </c>
      <c r="H1985" s="1030">
        <v>1234114</v>
      </c>
      <c r="I1985" s="1030">
        <v>241506</v>
      </c>
      <c r="J1985" s="1034">
        <v>0.12051071321108911</v>
      </c>
      <c r="K1985" s="1030">
        <v>148723.95832379002</v>
      </c>
      <c r="L1985" s="1030">
        <v>148723.95832379002</v>
      </c>
      <c r="M1985" s="979">
        <v>599</v>
      </c>
    </row>
    <row r="1986" spans="1:13" ht="15">
      <c r="A1986" s="979" t="s">
        <v>3763</v>
      </c>
      <c r="B1986" s="722" t="str">
        <f>CONCATENATE(LEFT(RIGHT(CONCATENATE("000",IFAData_TEA!A1986),6),3),"-",(RIGHT(RIGHT(CONCATENATE("000",IFAData_TEA!A1986),6),3)))</f>
        <v>237-904</v>
      </c>
      <c r="C1986" s="979" t="s">
        <v>138</v>
      </c>
      <c r="D1986" s="979">
        <v>6</v>
      </c>
      <c r="E1986" s="979">
        <v>2433</v>
      </c>
      <c r="F1986" s="979" t="s">
        <v>5621</v>
      </c>
      <c r="G1986" s="979" t="s">
        <v>5625</v>
      </c>
      <c r="H1986" s="1030">
        <v>1125381</v>
      </c>
      <c r="I1986" s="1030">
        <v>69461</v>
      </c>
      <c r="J1986" s="1034">
        <v>6.847124810859033E-2</v>
      </c>
      <c r="K1986" s="1030">
        <v>77056.241667693495</v>
      </c>
      <c r="L1986" s="1030">
        <v>69461</v>
      </c>
      <c r="M1986" s="979">
        <v>599</v>
      </c>
    </row>
    <row r="1987" spans="1:13" ht="15">
      <c r="A1987" s="979" t="s">
        <v>3763</v>
      </c>
      <c r="B1987" s="722" t="str">
        <f>CONCATENATE(LEFT(RIGHT(CONCATENATE("000",IFAData_TEA!A1987),6),3),"-",(RIGHT(RIGHT(CONCATENATE("000",IFAData_TEA!A1987),6),3)))</f>
        <v>237-904</v>
      </c>
      <c r="C1987" s="979" t="s">
        <v>138</v>
      </c>
      <c r="D1987" s="979">
        <v>6</v>
      </c>
      <c r="E1987" s="979">
        <v>2433</v>
      </c>
      <c r="F1987" s="979" t="s">
        <v>5621</v>
      </c>
      <c r="G1987" s="979" t="s">
        <v>5624</v>
      </c>
      <c r="H1987" s="1030">
        <v>1125381</v>
      </c>
      <c r="I1987" s="1030">
        <v>0</v>
      </c>
      <c r="J1987" s="1034">
        <v>0</v>
      </c>
      <c r="K1987" s="1030">
        <v>0</v>
      </c>
      <c r="L1987" s="1030">
        <v>0</v>
      </c>
      <c r="M1987" s="979">
        <v>599</v>
      </c>
    </row>
    <row r="1988" spans="1:13" ht="15">
      <c r="A1988" s="979" t="s">
        <v>3763</v>
      </c>
      <c r="B1988" s="722" t="str">
        <f>CONCATENATE(LEFT(RIGHT(CONCATENATE("000",IFAData_TEA!A1988),6),3),"-",(RIGHT(RIGHT(CONCATENATE("000",IFAData_TEA!A1988),6),3)))</f>
        <v>237-904</v>
      </c>
      <c r="C1988" s="979" t="s">
        <v>138</v>
      </c>
      <c r="D1988" s="979">
        <v>6</v>
      </c>
      <c r="E1988" s="979">
        <v>2433</v>
      </c>
      <c r="F1988" s="979" t="s">
        <v>5621</v>
      </c>
      <c r="G1988" s="979" t="s">
        <v>5621</v>
      </c>
      <c r="H1988" s="1030">
        <v>1125381</v>
      </c>
      <c r="I1988" s="1030">
        <v>0</v>
      </c>
      <c r="J1988" s="1034">
        <v>0</v>
      </c>
      <c r="K1988" s="1030">
        <v>0</v>
      </c>
      <c r="L1988" s="1030">
        <v>0</v>
      </c>
      <c r="M1988" s="979">
        <v>599</v>
      </c>
    </row>
    <row r="1989" spans="1:13" ht="15">
      <c r="A1989" s="979" t="s">
        <v>3763</v>
      </c>
      <c r="B1989" s="722" t="str">
        <f>CONCATENATE(LEFT(RIGHT(CONCATENATE("000",IFAData_TEA!A1989),6),3),"-",(RIGHT(RIGHT(CONCATENATE("000",IFAData_TEA!A1989),6),3)))</f>
        <v>237-904</v>
      </c>
      <c r="C1989" s="979" t="s">
        <v>138</v>
      </c>
      <c r="D1989" s="979">
        <v>6</v>
      </c>
      <c r="E1989" s="979">
        <v>2433</v>
      </c>
      <c r="F1989" s="979" t="s">
        <v>5621</v>
      </c>
      <c r="G1989" s="979" t="s">
        <v>5623</v>
      </c>
      <c r="H1989" s="1030">
        <v>1125381</v>
      </c>
      <c r="I1989" s="1030">
        <v>944994</v>
      </c>
      <c r="J1989" s="1034">
        <v>0.93152875189140971</v>
      </c>
      <c r="K1989" s="1030">
        <v>1048324.7583323065</v>
      </c>
      <c r="L1989" s="1030">
        <v>944994</v>
      </c>
      <c r="M1989" s="979">
        <v>599</v>
      </c>
    </row>
    <row r="1990" spans="1:13" ht="15">
      <c r="A1990" s="979" t="s">
        <v>3763</v>
      </c>
      <c r="B1990" s="722" t="str">
        <f>CONCATENATE(LEFT(RIGHT(CONCATENATE("000",IFAData_TEA!A1990),6),3),"-",(RIGHT(RIGHT(CONCATENATE("000",IFAData_TEA!A1990),6),3)))</f>
        <v>237-904</v>
      </c>
      <c r="C1990" s="979" t="s">
        <v>138</v>
      </c>
      <c r="D1990" s="979">
        <v>6</v>
      </c>
      <c r="E1990" s="979">
        <v>2433</v>
      </c>
      <c r="F1990" s="979" t="s">
        <v>5621</v>
      </c>
      <c r="G1990" s="979" t="s">
        <v>5622</v>
      </c>
      <c r="H1990" s="1030">
        <v>1125381</v>
      </c>
      <c r="I1990" s="1030">
        <v>0</v>
      </c>
      <c r="J1990" s="1034">
        <v>0</v>
      </c>
      <c r="K1990" s="1030">
        <v>0</v>
      </c>
      <c r="L1990" s="1030">
        <v>0</v>
      </c>
      <c r="M1990" s="979">
        <v>599</v>
      </c>
    </row>
    <row r="1991" spans="1:13" ht="15">
      <c r="A1991" s="979" t="s">
        <v>3763</v>
      </c>
      <c r="B1991" s="722" t="str">
        <f>CONCATENATE(LEFT(RIGHT(CONCATENATE("000",IFAData_TEA!A1991),6),3),"-",(RIGHT(RIGHT(CONCATENATE("000",IFAData_TEA!A1991),6),3)))</f>
        <v>237-904</v>
      </c>
      <c r="C1991" s="979" t="s">
        <v>138</v>
      </c>
      <c r="D1991" s="979">
        <v>9</v>
      </c>
      <c r="E1991" s="979">
        <v>2434</v>
      </c>
      <c r="F1991" s="979" t="s">
        <v>5626</v>
      </c>
      <c r="G1991" s="979" t="s">
        <v>5626</v>
      </c>
      <c r="H1991" s="1030">
        <v>1234114</v>
      </c>
      <c r="I1991" s="1030">
        <v>1762515</v>
      </c>
      <c r="J1991" s="1034">
        <v>0.87948928678891092</v>
      </c>
      <c r="K1991" s="1030">
        <v>1085390.04167621</v>
      </c>
      <c r="L1991" s="1030">
        <v>1085390.04167621</v>
      </c>
      <c r="M1991" s="979">
        <v>599</v>
      </c>
    </row>
    <row r="1992" spans="1:13" ht="15">
      <c r="A1992" s="979" t="s">
        <v>3764</v>
      </c>
      <c r="B1992" s="722" t="str">
        <f>CONCATENATE(LEFT(RIGHT(CONCATENATE("000",IFAData_TEA!A1992),6),3),"-",(RIGHT(RIGHT(CONCATENATE("000",IFAData_TEA!A1992),6),3)))</f>
        <v>237-905</v>
      </c>
      <c r="C1992" s="979" t="s">
        <v>94</v>
      </c>
      <c r="D1992" s="979">
        <v>9</v>
      </c>
      <c r="E1992" s="979">
        <v>2269</v>
      </c>
      <c r="F1992" s="979" t="s">
        <v>5627</v>
      </c>
      <c r="G1992" s="979" t="s">
        <v>5627</v>
      </c>
      <c r="H1992" s="1030">
        <v>402311</v>
      </c>
      <c r="I1992" s="1030">
        <v>402310</v>
      </c>
      <c r="J1992" s="1034">
        <v>0.53290468886186682</v>
      </c>
      <c r="K1992" s="1030">
        <v>214393.41828070651</v>
      </c>
      <c r="L1992" s="1030">
        <v>214393.41828070651</v>
      </c>
      <c r="M1992" s="979">
        <v>599</v>
      </c>
    </row>
    <row r="1993" spans="1:13" ht="15">
      <c r="A1993" s="979" t="s">
        <v>3764</v>
      </c>
      <c r="B1993" s="722" t="str">
        <f>CONCATENATE(LEFT(RIGHT(CONCATENATE("000",IFAData_TEA!A1993),6),3),"-",(RIGHT(RIGHT(CONCATENATE("000",IFAData_TEA!A1993),6),3)))</f>
        <v>237-905</v>
      </c>
      <c r="C1993" s="979" t="s">
        <v>94</v>
      </c>
      <c r="D1993" s="979">
        <v>9</v>
      </c>
      <c r="E1993" s="979">
        <v>2269</v>
      </c>
      <c r="F1993" s="979" t="s">
        <v>5627</v>
      </c>
      <c r="G1993" s="979" t="s">
        <v>6351</v>
      </c>
      <c r="H1993" s="1030">
        <v>402311</v>
      </c>
      <c r="I1993" s="1030">
        <v>99130</v>
      </c>
      <c r="J1993" s="1034">
        <v>0.13130879621902725</v>
      </c>
      <c r="K1993" s="1030">
        <v>52826.97311567307</v>
      </c>
      <c r="L1993" s="1030">
        <v>52826.97311567307</v>
      </c>
      <c r="M1993" s="979">
        <v>599</v>
      </c>
    </row>
    <row r="1994" spans="1:13" ht="15">
      <c r="A1994" s="979" t="s">
        <v>3764</v>
      </c>
      <c r="B1994" s="722" t="str">
        <f>CONCATENATE(LEFT(RIGHT(CONCATENATE("000",IFAData_TEA!A1994),6),3),"-",(RIGHT(RIGHT(CONCATENATE("000",IFAData_TEA!A1994),6),3)))</f>
        <v>237-905</v>
      </c>
      <c r="C1994" s="979" t="s">
        <v>94</v>
      </c>
      <c r="D1994" s="979">
        <v>9</v>
      </c>
      <c r="E1994" s="979">
        <v>2269</v>
      </c>
      <c r="F1994" s="979" t="s">
        <v>5627</v>
      </c>
      <c r="G1994" s="979" t="s">
        <v>5628</v>
      </c>
      <c r="H1994" s="1030">
        <v>402311</v>
      </c>
      <c r="I1994" s="1030">
        <v>253498</v>
      </c>
      <c r="J1994" s="1034">
        <v>0.33578651491910594</v>
      </c>
      <c r="K1994" s="1030">
        <v>135090.60860362044</v>
      </c>
      <c r="L1994" s="1030">
        <v>135090.60860362044</v>
      </c>
      <c r="M1994" s="979">
        <v>599</v>
      </c>
    </row>
    <row r="1995" spans="1:13" ht="15">
      <c r="A1995" s="979" t="s">
        <v>3764</v>
      </c>
      <c r="B1995" s="722" t="str">
        <f>CONCATENATE(LEFT(RIGHT(CONCATENATE("000",IFAData_TEA!A1995),6),3),"-",(RIGHT(RIGHT(CONCATENATE("000",IFAData_TEA!A1995),6),3)))</f>
        <v>237-905</v>
      </c>
      <c r="C1995" s="979" t="s">
        <v>94</v>
      </c>
      <c r="D1995" s="979">
        <v>9</v>
      </c>
      <c r="E1995" s="979">
        <v>2268</v>
      </c>
      <c r="F1995" s="979" t="s">
        <v>5629</v>
      </c>
      <c r="G1995" s="979" t="s">
        <v>5629</v>
      </c>
      <c r="H1995" s="1030">
        <v>70170</v>
      </c>
      <c r="I1995" s="1030">
        <v>1928183</v>
      </c>
      <c r="J1995" s="1034">
        <v>0.98380147056197387</v>
      </c>
      <c r="K1995" s="1030">
        <v>69033.349189333705</v>
      </c>
      <c r="L1995" s="1030">
        <v>69033.349189333705</v>
      </c>
      <c r="M1995" s="979">
        <v>599</v>
      </c>
    </row>
    <row r="1996" spans="1:13" ht="15">
      <c r="A1996" s="979" t="s">
        <v>3764</v>
      </c>
      <c r="B1996" s="722" t="str">
        <f>CONCATENATE(LEFT(RIGHT(CONCATENATE("000",IFAData_TEA!A1996),6),3),"-",(RIGHT(RIGHT(CONCATENATE("000",IFAData_TEA!A1996),6),3)))</f>
        <v>237-905</v>
      </c>
      <c r="C1996" s="979" t="s">
        <v>94</v>
      </c>
      <c r="D1996" s="979">
        <v>9</v>
      </c>
      <c r="E1996" s="979">
        <v>2268</v>
      </c>
      <c r="F1996" s="979" t="s">
        <v>5629</v>
      </c>
      <c r="G1996" s="979" t="s">
        <v>6352</v>
      </c>
      <c r="H1996" s="1030">
        <v>70170</v>
      </c>
      <c r="I1996" s="1030">
        <v>31748</v>
      </c>
      <c r="J1996" s="1034">
        <v>1.6198529438026136E-2</v>
      </c>
      <c r="K1996" s="1030">
        <v>1136.6508106662939</v>
      </c>
      <c r="L1996" s="1030">
        <v>1136.6508106662939</v>
      </c>
      <c r="M1996" s="979">
        <v>599</v>
      </c>
    </row>
    <row r="1997" spans="1:13" ht="15">
      <c r="A1997" s="979" t="s">
        <v>3765</v>
      </c>
      <c r="B1997" s="722" t="str">
        <f>CONCATENATE(LEFT(RIGHT(CONCATENATE("000",IFAData_TEA!A1997),6),3),"-",(RIGHT(RIGHT(CONCATENATE("000",IFAData_TEA!A1997),6),3)))</f>
        <v>240-901</v>
      </c>
      <c r="C1997" s="979" t="s">
        <v>2345</v>
      </c>
      <c r="D1997" s="979">
        <v>5</v>
      </c>
      <c r="E1997" s="979">
        <v>2011</v>
      </c>
      <c r="F1997" s="979" t="s">
        <v>5631</v>
      </c>
      <c r="G1997" s="979" t="s">
        <v>5631</v>
      </c>
      <c r="H1997" s="1030">
        <v>5174604</v>
      </c>
      <c r="I1997" s="1030">
        <v>0</v>
      </c>
      <c r="J1997" s="1034">
        <v>0</v>
      </c>
      <c r="K1997" s="1030">
        <v>0</v>
      </c>
      <c r="L1997" s="1030">
        <v>0</v>
      </c>
      <c r="M1997" s="979">
        <v>599</v>
      </c>
    </row>
    <row r="1998" spans="1:13" ht="15">
      <c r="A1998" s="979" t="s">
        <v>3765</v>
      </c>
      <c r="B1998" s="722" t="str">
        <f>CONCATENATE(LEFT(RIGHT(CONCATENATE("000",IFAData_TEA!A1998),6),3),"-",(RIGHT(RIGHT(CONCATENATE("000",IFAData_TEA!A1998),6),3)))</f>
        <v>240-901</v>
      </c>
      <c r="C1998" s="979" t="s">
        <v>2345</v>
      </c>
      <c r="D1998" s="979">
        <v>3</v>
      </c>
      <c r="E1998" s="979">
        <v>2010</v>
      </c>
      <c r="F1998" s="979" t="s">
        <v>5630</v>
      </c>
      <c r="G1998" s="979" t="s">
        <v>5631</v>
      </c>
      <c r="H1998" s="1030">
        <v>5155243</v>
      </c>
      <c r="I1998" s="1030">
        <v>0</v>
      </c>
      <c r="J1998" s="1034">
        <v>0</v>
      </c>
      <c r="K1998" s="1030">
        <v>0</v>
      </c>
      <c r="L1998" s="1030">
        <v>0</v>
      </c>
      <c r="M1998" s="979">
        <v>599</v>
      </c>
    </row>
    <row r="1999" spans="1:13" ht="15">
      <c r="A1999" s="979" t="s">
        <v>3765</v>
      </c>
      <c r="B1999" s="722" t="str">
        <f>CONCATENATE(LEFT(RIGHT(CONCATENATE("000",IFAData_TEA!A1999),6),3),"-",(RIGHT(RIGHT(CONCATENATE("000",IFAData_TEA!A1999),6),3)))</f>
        <v>240-901</v>
      </c>
      <c r="C1999" s="979" t="s">
        <v>2345</v>
      </c>
      <c r="D1999" s="979">
        <v>8</v>
      </c>
      <c r="E1999" s="979">
        <v>2009</v>
      </c>
      <c r="F1999" s="979" t="s">
        <v>5642</v>
      </c>
      <c r="G1999" s="979" t="s">
        <v>5642</v>
      </c>
      <c r="H1999" s="1030">
        <v>4074803</v>
      </c>
      <c r="I1999" s="1030">
        <v>4067761</v>
      </c>
      <c r="J1999" s="1034">
        <v>0.80074634416556656</v>
      </c>
      <c r="K1999" s="1030">
        <v>3262883.605444883</v>
      </c>
      <c r="L1999" s="1030">
        <v>3262883.605444883</v>
      </c>
      <c r="M1999" s="979">
        <v>599</v>
      </c>
    </row>
    <row r="2000" spans="1:13" ht="15">
      <c r="A2000" s="979" t="s">
        <v>3765</v>
      </c>
      <c r="B2000" s="722" t="str">
        <f>CONCATENATE(LEFT(RIGHT(CONCATENATE("000",IFAData_TEA!A2000),6),3),"-",(RIGHT(RIGHT(CONCATENATE("000",IFAData_TEA!A2000),6),3)))</f>
        <v>240-901</v>
      </c>
      <c r="C2000" s="979" t="s">
        <v>2345</v>
      </c>
      <c r="D2000" s="979">
        <v>7</v>
      </c>
      <c r="E2000" s="979">
        <v>2003</v>
      </c>
      <c r="F2000" s="979" t="s">
        <v>5640</v>
      </c>
      <c r="G2000" s="979" t="s">
        <v>5636</v>
      </c>
      <c r="H2000" s="1030">
        <v>87600</v>
      </c>
      <c r="I2000" s="1030">
        <v>69689</v>
      </c>
      <c r="J2000" s="1034">
        <v>1</v>
      </c>
      <c r="K2000" s="1030">
        <v>87600</v>
      </c>
      <c r="L2000" s="1030">
        <v>69689</v>
      </c>
      <c r="M2000" s="979">
        <v>599</v>
      </c>
    </row>
    <row r="2001" spans="1:13" ht="15">
      <c r="A2001" s="979" t="s">
        <v>3765</v>
      </c>
      <c r="B2001" s="722" t="str">
        <f>CONCATENATE(LEFT(RIGHT(CONCATENATE("000",IFAData_TEA!A2001),6),3),"-",(RIGHT(RIGHT(CONCATENATE("000",IFAData_TEA!A2001),6),3)))</f>
        <v>240-901</v>
      </c>
      <c r="C2001" s="979" t="s">
        <v>2345</v>
      </c>
      <c r="D2001" s="979">
        <v>7</v>
      </c>
      <c r="E2001" s="979">
        <v>2004</v>
      </c>
      <c r="F2001" s="979" t="s">
        <v>5639</v>
      </c>
      <c r="G2001" s="979" t="s">
        <v>5636</v>
      </c>
      <c r="H2001" s="1030">
        <v>158336</v>
      </c>
      <c r="I2001" s="1030">
        <v>127013</v>
      </c>
      <c r="J2001" s="1034">
        <v>1</v>
      </c>
      <c r="K2001" s="1030">
        <v>158336</v>
      </c>
      <c r="L2001" s="1030">
        <v>127013</v>
      </c>
      <c r="M2001" s="979">
        <v>599</v>
      </c>
    </row>
    <row r="2002" spans="1:13" ht="15">
      <c r="A2002" s="979" t="s">
        <v>3765</v>
      </c>
      <c r="B2002" s="722" t="str">
        <f>CONCATENATE(LEFT(RIGHT(CONCATENATE("000",IFAData_TEA!A2002),6),3),"-",(RIGHT(RIGHT(CONCATENATE("000",IFAData_TEA!A2002),6),3)))</f>
        <v>240-901</v>
      </c>
      <c r="C2002" s="979" t="s">
        <v>2345</v>
      </c>
      <c r="D2002" s="979">
        <v>7</v>
      </c>
      <c r="E2002" s="979">
        <v>2005</v>
      </c>
      <c r="F2002" s="979" t="s">
        <v>5641</v>
      </c>
      <c r="G2002" s="979" t="s">
        <v>5636</v>
      </c>
      <c r="H2002" s="1030">
        <v>325863</v>
      </c>
      <c r="I2002" s="1030">
        <v>268678</v>
      </c>
      <c r="J2002" s="1034">
        <v>1</v>
      </c>
      <c r="K2002" s="1030">
        <v>325863</v>
      </c>
      <c r="L2002" s="1030">
        <v>268678</v>
      </c>
      <c r="M2002" s="979">
        <v>599</v>
      </c>
    </row>
    <row r="2003" spans="1:13" ht="15">
      <c r="A2003" s="979" t="s">
        <v>3765</v>
      </c>
      <c r="B2003" s="722" t="str">
        <f>CONCATENATE(LEFT(RIGHT(CONCATENATE("000",IFAData_TEA!A2003),6),3),"-",(RIGHT(RIGHT(CONCATENATE("000",IFAData_TEA!A2003),6),3)))</f>
        <v>240-901</v>
      </c>
      <c r="C2003" s="979" t="s">
        <v>2345</v>
      </c>
      <c r="D2003" s="979">
        <v>7</v>
      </c>
      <c r="E2003" s="979">
        <v>2006</v>
      </c>
      <c r="F2003" s="979" t="s">
        <v>5637</v>
      </c>
      <c r="G2003" s="979" t="s">
        <v>5636</v>
      </c>
      <c r="H2003" s="1030">
        <v>434993</v>
      </c>
      <c r="I2003" s="1030">
        <v>361200</v>
      </c>
      <c r="J2003" s="1034">
        <v>1</v>
      </c>
      <c r="K2003" s="1030">
        <v>434993</v>
      </c>
      <c r="L2003" s="1030">
        <v>361200</v>
      </c>
      <c r="M2003" s="979">
        <v>599</v>
      </c>
    </row>
    <row r="2004" spans="1:13" ht="15">
      <c r="A2004" s="979" t="s">
        <v>3765</v>
      </c>
      <c r="B2004" s="722" t="str">
        <f>CONCATENATE(LEFT(RIGHT(CONCATENATE("000",IFAData_TEA!A2004),6),3),"-",(RIGHT(RIGHT(CONCATENATE("000",IFAData_TEA!A2004),6),3)))</f>
        <v>240-901</v>
      </c>
      <c r="C2004" s="979" t="s">
        <v>2345</v>
      </c>
      <c r="D2004" s="979">
        <v>7</v>
      </c>
      <c r="E2004" s="979">
        <v>2007</v>
      </c>
      <c r="F2004" s="979" t="s">
        <v>5638</v>
      </c>
      <c r="G2004" s="979" t="s">
        <v>5636</v>
      </c>
      <c r="H2004" s="1030">
        <v>1646500</v>
      </c>
      <c r="I2004" s="1030">
        <v>1367744</v>
      </c>
      <c r="J2004" s="1034">
        <v>1</v>
      </c>
      <c r="K2004" s="1030">
        <v>1646500</v>
      </c>
      <c r="L2004" s="1030">
        <v>1367744</v>
      </c>
      <c r="M2004" s="979">
        <v>599</v>
      </c>
    </row>
    <row r="2005" spans="1:13" ht="15">
      <c r="A2005" s="979" t="s">
        <v>3765</v>
      </c>
      <c r="B2005" s="722" t="str">
        <f>CONCATENATE(LEFT(RIGHT(CONCATENATE("000",IFAData_TEA!A2005),6),3),"-",(RIGHT(RIGHT(CONCATENATE("000",IFAData_TEA!A2005),6),3)))</f>
        <v>240-901</v>
      </c>
      <c r="C2005" s="979" t="s">
        <v>2345</v>
      </c>
      <c r="D2005" s="979">
        <v>7</v>
      </c>
      <c r="E2005" s="979">
        <v>2008</v>
      </c>
      <c r="F2005" s="979" t="s">
        <v>5635</v>
      </c>
      <c r="G2005" s="979" t="s">
        <v>5636</v>
      </c>
      <c r="H2005" s="1030">
        <v>2084063</v>
      </c>
      <c r="I2005" s="1030">
        <v>1730909</v>
      </c>
      <c r="J2005" s="1034">
        <v>1</v>
      </c>
      <c r="K2005" s="1030">
        <v>2084063</v>
      </c>
      <c r="L2005" s="1030">
        <v>1730909</v>
      </c>
      <c r="M2005" s="979">
        <v>599</v>
      </c>
    </row>
    <row r="2006" spans="1:13" ht="15">
      <c r="A2006" s="979" t="s">
        <v>3765</v>
      </c>
      <c r="B2006" s="722" t="str">
        <f>CONCATENATE(LEFT(RIGHT(CONCATENATE("000",IFAData_TEA!A2006),6),3),"-",(RIGHT(RIGHT(CONCATENATE("000",IFAData_TEA!A2006),6),3)))</f>
        <v>240-901</v>
      </c>
      <c r="C2006" s="979" t="s">
        <v>2345</v>
      </c>
      <c r="D2006" s="979">
        <v>3</v>
      </c>
      <c r="E2006" s="979">
        <v>2010</v>
      </c>
      <c r="F2006" s="979" t="s">
        <v>5630</v>
      </c>
      <c r="G2006" s="979" t="s">
        <v>5634</v>
      </c>
      <c r="H2006" s="1030">
        <v>5155243</v>
      </c>
      <c r="I2006" s="1030">
        <v>2337515</v>
      </c>
      <c r="J2006" s="1034">
        <v>0.42228024812395865</v>
      </c>
      <c r="K2006" s="1030">
        <v>2176957.2931793011</v>
      </c>
      <c r="L2006" s="1030">
        <v>2176957.2931793011</v>
      </c>
      <c r="M2006" s="979">
        <v>599</v>
      </c>
    </row>
    <row r="2007" spans="1:13" ht="15">
      <c r="A2007" s="979" t="s">
        <v>3765</v>
      </c>
      <c r="B2007" s="722" t="str">
        <f>CONCATENATE(LEFT(RIGHT(CONCATENATE("000",IFAData_TEA!A2007),6),3),"-",(RIGHT(RIGHT(CONCATENATE("000",IFAData_TEA!A2007),6),3)))</f>
        <v>240-901</v>
      </c>
      <c r="C2007" s="979" t="s">
        <v>2345</v>
      </c>
      <c r="D2007" s="979">
        <v>5</v>
      </c>
      <c r="E2007" s="979">
        <v>2011</v>
      </c>
      <c r="F2007" s="979" t="s">
        <v>5631</v>
      </c>
      <c r="G2007" s="979" t="s">
        <v>5634</v>
      </c>
      <c r="H2007" s="1030">
        <v>5174604</v>
      </c>
      <c r="I2007" s="1030">
        <v>50400</v>
      </c>
      <c r="J2007" s="1034">
        <v>9.7645352081240939E-3</v>
      </c>
      <c r="K2007" s="1030">
        <v>50527.602946099767</v>
      </c>
      <c r="L2007" s="1030">
        <v>50400</v>
      </c>
      <c r="M2007" s="979">
        <v>599</v>
      </c>
    </row>
    <row r="2008" spans="1:13" ht="15">
      <c r="A2008" s="979" t="s">
        <v>3765</v>
      </c>
      <c r="B2008" s="722" t="str">
        <f>CONCATENATE(LEFT(RIGHT(CONCATENATE("000",IFAData_TEA!A2008),6),3),"-",(RIGHT(RIGHT(CONCATENATE("000",IFAData_TEA!A2008),6),3)))</f>
        <v>240-901</v>
      </c>
      <c r="C2008" s="979" t="s">
        <v>2345</v>
      </c>
      <c r="D2008" s="979">
        <v>3</v>
      </c>
      <c r="E2008" s="979">
        <v>2010</v>
      </c>
      <c r="F2008" s="979" t="s">
        <v>5630</v>
      </c>
      <c r="G2008" s="979" t="s">
        <v>5632</v>
      </c>
      <c r="H2008" s="1030">
        <v>5155243</v>
      </c>
      <c r="I2008" s="1030">
        <v>2703402</v>
      </c>
      <c r="J2008" s="1034">
        <v>0.48837901247213644</v>
      </c>
      <c r="K2008" s="1030">
        <v>2517712.4853938939</v>
      </c>
      <c r="L2008" s="1030">
        <v>2517712.4853938939</v>
      </c>
      <c r="M2008" s="979">
        <v>599</v>
      </c>
    </row>
    <row r="2009" spans="1:13" ht="15">
      <c r="A2009" s="979" t="s">
        <v>3765</v>
      </c>
      <c r="B2009" s="722" t="str">
        <f>CONCATENATE(LEFT(RIGHT(CONCATENATE("000",IFAData_TEA!A2009),6),3),"-",(RIGHT(RIGHT(CONCATENATE("000",IFAData_TEA!A2009),6),3)))</f>
        <v>240-901</v>
      </c>
      <c r="C2009" s="979" t="s">
        <v>2345</v>
      </c>
      <c r="D2009" s="979">
        <v>5</v>
      </c>
      <c r="E2009" s="979">
        <v>2011</v>
      </c>
      <c r="F2009" s="979" t="s">
        <v>5631</v>
      </c>
      <c r="G2009" s="979" t="s">
        <v>5632</v>
      </c>
      <c r="H2009" s="1030">
        <v>5174604</v>
      </c>
      <c r="I2009" s="1030">
        <v>4041138</v>
      </c>
      <c r="J2009" s="1034">
        <v>0.78293321987873377</v>
      </c>
      <c r="K2009" s="1030">
        <v>4051369.3713173755</v>
      </c>
      <c r="L2009" s="1030">
        <v>4041138</v>
      </c>
      <c r="M2009" s="979">
        <v>599</v>
      </c>
    </row>
    <row r="2010" spans="1:13" ht="15">
      <c r="A2010" s="979" t="s">
        <v>3765</v>
      </c>
      <c r="B2010" s="722" t="str">
        <f>CONCATENATE(LEFT(RIGHT(CONCATENATE("000",IFAData_TEA!A2010),6),3),"-",(RIGHT(RIGHT(CONCATENATE("000",IFAData_TEA!A2010),6),3)))</f>
        <v>240-901</v>
      </c>
      <c r="C2010" s="979" t="s">
        <v>2345</v>
      </c>
      <c r="D2010" s="979">
        <v>3</v>
      </c>
      <c r="E2010" s="979">
        <v>2010</v>
      </c>
      <c r="F2010" s="979" t="s">
        <v>5630</v>
      </c>
      <c r="G2010" s="979" t="s">
        <v>5633</v>
      </c>
      <c r="H2010" s="1030">
        <v>5155243</v>
      </c>
      <c r="I2010" s="1030">
        <v>0</v>
      </c>
      <c r="J2010" s="1034">
        <v>0</v>
      </c>
      <c r="K2010" s="1030">
        <v>0</v>
      </c>
      <c r="L2010" s="1030">
        <v>0</v>
      </c>
      <c r="M2010" s="979">
        <v>599</v>
      </c>
    </row>
    <row r="2011" spans="1:13" ht="15">
      <c r="A2011" s="979" t="s">
        <v>3765</v>
      </c>
      <c r="B2011" s="722" t="str">
        <f>CONCATENATE(LEFT(RIGHT(CONCATENATE("000",IFAData_TEA!A2011),6),3),"-",(RIGHT(RIGHT(CONCATENATE("000",IFAData_TEA!A2011),6),3)))</f>
        <v>240-901</v>
      </c>
      <c r="C2011" s="979" t="s">
        <v>2345</v>
      </c>
      <c r="D2011" s="979">
        <v>5</v>
      </c>
      <c r="E2011" s="979">
        <v>2011</v>
      </c>
      <c r="F2011" s="979" t="s">
        <v>5631</v>
      </c>
      <c r="G2011" s="979" t="s">
        <v>5633</v>
      </c>
      <c r="H2011" s="1030">
        <v>5174604</v>
      </c>
      <c r="I2011" s="1030">
        <v>822500</v>
      </c>
      <c r="J2011" s="1034">
        <v>0.15935178985480292</v>
      </c>
      <c r="K2011" s="1030">
        <v>824582.40918982262</v>
      </c>
      <c r="L2011" s="1030">
        <v>822500</v>
      </c>
      <c r="M2011" s="979">
        <v>599</v>
      </c>
    </row>
    <row r="2012" spans="1:13" ht="15">
      <c r="A2012" s="979" t="s">
        <v>3765</v>
      </c>
      <c r="B2012" s="722" t="str">
        <f>CONCATENATE(LEFT(RIGHT(CONCATENATE("000",IFAData_TEA!A2012),6),3),"-",(RIGHT(RIGHT(CONCATENATE("000",IFAData_TEA!A2012),6),3)))</f>
        <v>240-901</v>
      </c>
      <c r="C2012" s="979" t="s">
        <v>2345</v>
      </c>
      <c r="D2012" s="979">
        <v>7</v>
      </c>
      <c r="E2012" s="979">
        <v>2005</v>
      </c>
      <c r="F2012" s="979" t="s">
        <v>5641</v>
      </c>
      <c r="G2012" s="979" t="s">
        <v>5641</v>
      </c>
      <c r="H2012" s="1030">
        <v>325863</v>
      </c>
      <c r="I2012" s="1030">
        <v>0</v>
      </c>
      <c r="J2012" s="1034">
        <v>0</v>
      </c>
      <c r="K2012" s="1030">
        <v>0</v>
      </c>
      <c r="L2012" s="1030">
        <v>0</v>
      </c>
      <c r="M2012" s="979">
        <v>199</v>
      </c>
    </row>
    <row r="2013" spans="1:13" ht="15">
      <c r="A2013" s="979" t="s">
        <v>3765</v>
      </c>
      <c r="B2013" s="722" t="str">
        <f>CONCATENATE(LEFT(RIGHT(CONCATENATE("000",IFAData_TEA!A2013),6),3),"-",(RIGHT(RIGHT(CONCATENATE("000",IFAData_TEA!A2013),6),3)))</f>
        <v>240-901</v>
      </c>
      <c r="C2013" s="979" t="s">
        <v>2345</v>
      </c>
      <c r="D2013" s="979">
        <v>7</v>
      </c>
      <c r="E2013" s="979">
        <v>2003</v>
      </c>
      <c r="F2013" s="979" t="s">
        <v>5640</v>
      </c>
      <c r="G2013" s="979" t="s">
        <v>5640</v>
      </c>
      <c r="H2013" s="1030">
        <v>87600</v>
      </c>
      <c r="I2013" s="1030">
        <v>0</v>
      </c>
      <c r="J2013" s="1034">
        <v>0</v>
      </c>
      <c r="K2013" s="1030">
        <v>0</v>
      </c>
      <c r="L2013" s="1030">
        <v>0</v>
      </c>
      <c r="M2013" s="979">
        <v>199</v>
      </c>
    </row>
    <row r="2014" spans="1:13" ht="15">
      <c r="A2014" s="979" t="s">
        <v>3765</v>
      </c>
      <c r="B2014" s="722" t="str">
        <f>CONCATENATE(LEFT(RIGHT(CONCATENATE("000",IFAData_TEA!A2014),6),3),"-",(RIGHT(RIGHT(CONCATENATE("000",IFAData_TEA!A2014),6),3)))</f>
        <v>240-901</v>
      </c>
      <c r="C2014" s="979" t="s">
        <v>2345</v>
      </c>
      <c r="D2014" s="979">
        <v>7</v>
      </c>
      <c r="E2014" s="979">
        <v>2004</v>
      </c>
      <c r="F2014" s="979" t="s">
        <v>5639</v>
      </c>
      <c r="G2014" s="979" t="s">
        <v>5639</v>
      </c>
      <c r="H2014" s="1030">
        <v>158336</v>
      </c>
      <c r="I2014" s="1030">
        <v>0</v>
      </c>
      <c r="J2014" s="1034">
        <v>0</v>
      </c>
      <c r="K2014" s="1030">
        <v>0</v>
      </c>
      <c r="L2014" s="1030">
        <v>0</v>
      </c>
      <c r="M2014" s="979">
        <v>199</v>
      </c>
    </row>
    <row r="2015" spans="1:13" ht="15">
      <c r="A2015" s="979" t="s">
        <v>3765</v>
      </c>
      <c r="B2015" s="722" t="str">
        <f>CONCATENATE(LEFT(RIGHT(CONCATENATE("000",IFAData_TEA!A2015),6),3),"-",(RIGHT(RIGHT(CONCATENATE("000",IFAData_TEA!A2015),6),3)))</f>
        <v>240-901</v>
      </c>
      <c r="C2015" s="979" t="s">
        <v>2345</v>
      </c>
      <c r="D2015" s="979">
        <v>7</v>
      </c>
      <c r="E2015" s="979">
        <v>2007</v>
      </c>
      <c r="F2015" s="979" t="s">
        <v>5638</v>
      </c>
      <c r="G2015" s="979" t="s">
        <v>5638</v>
      </c>
      <c r="H2015" s="1030">
        <v>1646500</v>
      </c>
      <c r="I2015" s="1030">
        <v>0</v>
      </c>
      <c r="J2015" s="1034">
        <v>0</v>
      </c>
      <c r="K2015" s="1030">
        <v>0</v>
      </c>
      <c r="L2015" s="1030">
        <v>0</v>
      </c>
      <c r="M2015" s="979">
        <v>199</v>
      </c>
    </row>
    <row r="2016" spans="1:13" ht="15">
      <c r="A2016" s="979" t="s">
        <v>3765</v>
      </c>
      <c r="B2016" s="722" t="str">
        <f>CONCATENATE(LEFT(RIGHT(CONCATENATE("000",IFAData_TEA!A2016),6),3),"-",(RIGHT(RIGHT(CONCATENATE("000",IFAData_TEA!A2016),6),3)))</f>
        <v>240-901</v>
      </c>
      <c r="C2016" s="979" t="s">
        <v>2345</v>
      </c>
      <c r="D2016" s="979">
        <v>7</v>
      </c>
      <c r="E2016" s="979">
        <v>2006</v>
      </c>
      <c r="F2016" s="979" t="s">
        <v>5637</v>
      </c>
      <c r="G2016" s="979" t="s">
        <v>5637</v>
      </c>
      <c r="H2016" s="1030">
        <v>434993</v>
      </c>
      <c r="I2016" s="1030">
        <v>0</v>
      </c>
      <c r="J2016" s="1034">
        <v>0</v>
      </c>
      <c r="K2016" s="1030">
        <v>0</v>
      </c>
      <c r="L2016" s="1030">
        <v>0</v>
      </c>
      <c r="M2016" s="979">
        <v>199</v>
      </c>
    </row>
    <row r="2017" spans="1:13" ht="15">
      <c r="A2017" s="979" t="s">
        <v>3765</v>
      </c>
      <c r="B2017" s="722" t="str">
        <f>CONCATENATE(LEFT(RIGHT(CONCATENATE("000",IFAData_TEA!A2017),6),3),"-",(RIGHT(RIGHT(CONCATENATE("000",IFAData_TEA!A2017),6),3)))</f>
        <v>240-901</v>
      </c>
      <c r="C2017" s="979" t="s">
        <v>2345</v>
      </c>
      <c r="D2017" s="979">
        <v>7</v>
      </c>
      <c r="E2017" s="979">
        <v>2008</v>
      </c>
      <c r="F2017" s="979" t="s">
        <v>5635</v>
      </c>
      <c r="G2017" s="979" t="s">
        <v>5635</v>
      </c>
      <c r="H2017" s="1030">
        <v>2084063</v>
      </c>
      <c r="I2017" s="1030">
        <v>0</v>
      </c>
      <c r="J2017" s="1034">
        <v>0</v>
      </c>
      <c r="K2017" s="1030">
        <v>0</v>
      </c>
      <c r="L2017" s="1030">
        <v>0</v>
      </c>
      <c r="M2017" s="979">
        <v>199</v>
      </c>
    </row>
    <row r="2018" spans="1:13" ht="15">
      <c r="A2018" s="979" t="s">
        <v>3765</v>
      </c>
      <c r="B2018" s="722" t="str">
        <f>CONCATENATE(LEFT(RIGHT(CONCATENATE("000",IFAData_TEA!A2018),6),3),"-",(RIGHT(RIGHT(CONCATENATE("000",IFAData_TEA!A2018),6),3)))</f>
        <v>240-901</v>
      </c>
      <c r="C2018" s="979" t="s">
        <v>2345</v>
      </c>
      <c r="D2018" s="979">
        <v>3</v>
      </c>
      <c r="E2018" s="979">
        <v>2010</v>
      </c>
      <c r="F2018" s="979" t="s">
        <v>5630</v>
      </c>
      <c r="G2018" s="979" t="s">
        <v>5630</v>
      </c>
      <c r="H2018" s="1030">
        <v>5155243</v>
      </c>
      <c r="I2018" s="1030">
        <v>0</v>
      </c>
      <c r="J2018" s="1034">
        <v>0</v>
      </c>
      <c r="K2018" s="1030">
        <v>0</v>
      </c>
      <c r="L2018" s="1030">
        <v>0</v>
      </c>
      <c r="M2018" s="979">
        <v>599</v>
      </c>
    </row>
    <row r="2019" spans="1:13" ht="15">
      <c r="A2019" s="979" t="s">
        <v>3765</v>
      </c>
      <c r="B2019" s="722" t="str">
        <f>CONCATENATE(LEFT(RIGHT(CONCATENATE("000",IFAData_TEA!A2019),6),3),"-",(RIGHT(RIGHT(CONCATENATE("000",IFAData_TEA!A2019),6),3)))</f>
        <v>240-901</v>
      </c>
      <c r="C2019" s="979" t="s">
        <v>2345</v>
      </c>
      <c r="D2019" s="979">
        <v>8</v>
      </c>
      <c r="E2019" s="979">
        <v>2009</v>
      </c>
      <c r="F2019" s="979" t="s">
        <v>5642</v>
      </c>
      <c r="G2019" s="979" t="s">
        <v>6353</v>
      </c>
      <c r="H2019" s="1030">
        <v>4074803</v>
      </c>
      <c r="I2019" s="1030">
        <v>1012201</v>
      </c>
      <c r="J2019" s="1034">
        <v>0.19925365583443341</v>
      </c>
      <c r="K2019" s="1030">
        <v>811919.39455511677</v>
      </c>
      <c r="L2019" s="1030">
        <v>811919.39455511677</v>
      </c>
      <c r="M2019" s="979">
        <v>599</v>
      </c>
    </row>
    <row r="2020" spans="1:13" ht="15">
      <c r="A2020" s="979" t="s">
        <v>3765</v>
      </c>
      <c r="B2020" s="722" t="str">
        <f>CONCATENATE(LEFT(RIGHT(CONCATENATE("000",IFAData_TEA!A2020),6),3),"-",(RIGHT(RIGHT(CONCATENATE("000",IFAData_TEA!A2020),6),3)))</f>
        <v>240-901</v>
      </c>
      <c r="C2020" s="979" t="s">
        <v>2345</v>
      </c>
      <c r="D2020" s="979">
        <v>3</v>
      </c>
      <c r="E2020" s="979">
        <v>2010</v>
      </c>
      <c r="F2020" s="979" t="s">
        <v>5630</v>
      </c>
      <c r="G2020" s="979" t="s">
        <v>6353</v>
      </c>
      <c r="H2020" s="1030">
        <v>5155243</v>
      </c>
      <c r="I2020" s="1030">
        <v>494542</v>
      </c>
      <c r="J2020" s="1034">
        <v>8.9340739403904898E-2</v>
      </c>
      <c r="K2020" s="1030">
        <v>460573.2214268049</v>
      </c>
      <c r="L2020" s="1030">
        <v>460573.2214268049</v>
      </c>
      <c r="M2020" s="979">
        <v>599</v>
      </c>
    </row>
    <row r="2021" spans="1:13" ht="15">
      <c r="A2021" s="979" t="s">
        <v>3765</v>
      </c>
      <c r="B2021" s="722" t="str">
        <f>CONCATENATE(LEFT(RIGHT(CONCATENATE("000",IFAData_TEA!A2021),6),3),"-",(RIGHT(RIGHT(CONCATENATE("000",IFAData_TEA!A2021),6),3)))</f>
        <v>240-901</v>
      </c>
      <c r="C2021" s="979" t="s">
        <v>2345</v>
      </c>
      <c r="D2021" s="979">
        <v>5</v>
      </c>
      <c r="E2021" s="979">
        <v>2011</v>
      </c>
      <c r="F2021" s="979" t="s">
        <v>5631</v>
      </c>
      <c r="G2021" s="979" t="s">
        <v>6353</v>
      </c>
      <c r="H2021" s="1030">
        <v>5174604</v>
      </c>
      <c r="I2021" s="1030">
        <v>247498</v>
      </c>
      <c r="J2021" s="1034">
        <v>4.7950455058339225E-2</v>
      </c>
      <c r="K2021" s="1030">
        <v>248124.6165467024</v>
      </c>
      <c r="L2021" s="1030">
        <v>247498</v>
      </c>
      <c r="M2021" s="979">
        <v>599</v>
      </c>
    </row>
    <row r="2022" spans="1:13" ht="15">
      <c r="A2022" s="979" t="s">
        <v>3766</v>
      </c>
      <c r="B2022" s="722" t="str">
        <f>CONCATENATE(LEFT(RIGHT(CONCATENATE("000",IFAData_TEA!A2022),6),3),"-",(RIGHT(RIGHT(CONCATENATE("000",IFAData_TEA!A2022),6),3)))</f>
        <v>240-903</v>
      </c>
      <c r="C2022" s="979" t="s">
        <v>2362</v>
      </c>
      <c r="D2022" s="979">
        <v>5</v>
      </c>
      <c r="E2022" s="979">
        <v>2404</v>
      </c>
      <c r="F2022" s="979" t="s">
        <v>5647</v>
      </c>
      <c r="G2022" s="979" t="s">
        <v>5648</v>
      </c>
      <c r="H2022" s="1030">
        <v>827517</v>
      </c>
      <c r="I2022" s="1030">
        <v>144300</v>
      </c>
      <c r="J2022" s="1034">
        <v>0.11731058770734626</v>
      </c>
      <c r="K2022" s="1030">
        <v>97076.505607820058</v>
      </c>
      <c r="L2022" s="1030">
        <v>97076.505607820058</v>
      </c>
      <c r="M2022" s="979">
        <v>599</v>
      </c>
    </row>
    <row r="2023" spans="1:13" ht="15">
      <c r="A2023" s="979" t="s">
        <v>3766</v>
      </c>
      <c r="B2023" s="722" t="str">
        <f>CONCATENATE(LEFT(RIGHT(CONCATENATE("000",IFAData_TEA!A2023),6),3),"-",(RIGHT(RIGHT(CONCATENATE("000",IFAData_TEA!A2023),6),3)))</f>
        <v>240-903</v>
      </c>
      <c r="C2023" s="979" t="s">
        <v>2362</v>
      </c>
      <c r="D2023" s="979">
        <v>3</v>
      </c>
      <c r="E2023" s="979">
        <v>2405</v>
      </c>
      <c r="F2023" s="979" t="s">
        <v>5643</v>
      </c>
      <c r="G2023" s="979" t="s">
        <v>5643</v>
      </c>
      <c r="H2023" s="1030">
        <v>986173</v>
      </c>
      <c r="I2023" s="1030">
        <v>2796180</v>
      </c>
      <c r="J2023" s="1034">
        <v>0.96577120985106113</v>
      </c>
      <c r="K2023" s="1030">
        <v>952417.49133245053</v>
      </c>
      <c r="L2023" s="1030">
        <v>952417.49133245053</v>
      </c>
      <c r="M2023" s="979">
        <v>599</v>
      </c>
    </row>
    <row r="2024" spans="1:13" ht="15">
      <c r="A2024" s="979" t="s">
        <v>3766</v>
      </c>
      <c r="B2024" s="722" t="str">
        <f>CONCATENATE(LEFT(RIGHT(CONCATENATE("000",IFAData_TEA!A2024),6),3),"-",(RIGHT(RIGHT(CONCATENATE("000",IFAData_TEA!A2024),6),3)))</f>
        <v>240-903</v>
      </c>
      <c r="C2024" s="979" t="s">
        <v>2362</v>
      </c>
      <c r="D2024" s="979">
        <v>5</v>
      </c>
      <c r="E2024" s="979">
        <v>2406</v>
      </c>
      <c r="F2024" s="979" t="s">
        <v>5650</v>
      </c>
      <c r="G2024" s="979" t="s">
        <v>5651</v>
      </c>
      <c r="H2024" s="1030">
        <v>1047970</v>
      </c>
      <c r="I2024" s="1030">
        <v>249455</v>
      </c>
      <c r="J2024" s="1034">
        <v>0.14747683397911659</v>
      </c>
      <c r="K2024" s="1030">
        <v>154551.29770509482</v>
      </c>
      <c r="L2024" s="1030">
        <v>154551.29770509482</v>
      </c>
      <c r="M2024" s="979">
        <v>599</v>
      </c>
    </row>
    <row r="2025" spans="1:13" ht="15">
      <c r="A2025" s="979" t="s">
        <v>3766</v>
      </c>
      <c r="B2025" s="722" t="str">
        <f>CONCATENATE(LEFT(RIGHT(CONCATENATE("000",IFAData_TEA!A2025),6),3),"-",(RIGHT(RIGHT(CONCATENATE("000",IFAData_TEA!A2025),6),3)))</f>
        <v>240-903</v>
      </c>
      <c r="C2025" s="979" t="s">
        <v>2362</v>
      </c>
      <c r="D2025" s="979">
        <v>5</v>
      </c>
      <c r="E2025" s="979">
        <v>2406</v>
      </c>
      <c r="F2025" s="979" t="s">
        <v>5650</v>
      </c>
      <c r="G2025" s="979" t="s">
        <v>5650</v>
      </c>
      <c r="H2025" s="1030">
        <v>1047970</v>
      </c>
      <c r="I2025" s="1030">
        <v>0</v>
      </c>
      <c r="J2025" s="1034">
        <v>0</v>
      </c>
      <c r="K2025" s="1030">
        <v>0</v>
      </c>
      <c r="L2025" s="1030">
        <v>0</v>
      </c>
      <c r="M2025" s="979">
        <v>599</v>
      </c>
    </row>
    <row r="2026" spans="1:13" ht="15">
      <c r="A2026" s="979" t="s">
        <v>3766</v>
      </c>
      <c r="B2026" s="722" t="str">
        <f>CONCATENATE(LEFT(RIGHT(CONCATENATE("000",IFAData_TEA!A2026),6),3),"-",(RIGHT(RIGHT(CONCATENATE("000",IFAData_TEA!A2026),6),3)))</f>
        <v>240-903</v>
      </c>
      <c r="C2026" s="979" t="s">
        <v>2362</v>
      </c>
      <c r="D2026" s="979">
        <v>5</v>
      </c>
      <c r="E2026" s="979">
        <v>2404</v>
      </c>
      <c r="F2026" s="979" t="s">
        <v>5647</v>
      </c>
      <c r="G2026" s="979" t="s">
        <v>5649</v>
      </c>
      <c r="H2026" s="1030">
        <v>827517</v>
      </c>
      <c r="I2026" s="1030">
        <v>75485</v>
      </c>
      <c r="J2026" s="1034">
        <v>6.136652607823307E-2</v>
      </c>
      <c r="K2026" s="1030">
        <v>50781.843560681198</v>
      </c>
      <c r="L2026" s="1030">
        <v>50781.843560681198</v>
      </c>
      <c r="M2026" s="979">
        <v>599</v>
      </c>
    </row>
    <row r="2027" spans="1:13" ht="15">
      <c r="A2027" s="979" t="s">
        <v>3766</v>
      </c>
      <c r="B2027" s="722" t="str">
        <f>CONCATENATE(LEFT(RIGHT(CONCATENATE("000",IFAData_TEA!A2027),6),3),"-",(RIGHT(RIGHT(CONCATENATE("000",IFAData_TEA!A2027),6),3)))</f>
        <v>240-903</v>
      </c>
      <c r="C2027" s="979" t="s">
        <v>2362</v>
      </c>
      <c r="D2027" s="979">
        <v>5</v>
      </c>
      <c r="E2027" s="979">
        <v>2406</v>
      </c>
      <c r="F2027" s="979" t="s">
        <v>5650</v>
      </c>
      <c r="G2027" s="979" t="s">
        <v>5649</v>
      </c>
      <c r="H2027" s="1030">
        <v>1047970</v>
      </c>
      <c r="I2027" s="1030">
        <v>1442031</v>
      </c>
      <c r="J2027" s="1034">
        <v>0.85252316602088341</v>
      </c>
      <c r="K2027" s="1030">
        <v>893418.7022949052</v>
      </c>
      <c r="L2027" s="1030">
        <v>893418.7022949052</v>
      </c>
      <c r="M2027" s="979">
        <v>599</v>
      </c>
    </row>
    <row r="2028" spans="1:13" ht="15">
      <c r="A2028" s="979" t="s">
        <v>3766</v>
      </c>
      <c r="B2028" s="722" t="str">
        <f>CONCATENATE(LEFT(RIGHT(CONCATENATE("000",IFAData_TEA!A2028),6),3),"-",(RIGHT(RIGHT(CONCATENATE("000",IFAData_TEA!A2028),6),3)))</f>
        <v>240-903</v>
      </c>
      <c r="C2028" s="979" t="s">
        <v>2362</v>
      </c>
      <c r="D2028" s="979">
        <v>5</v>
      </c>
      <c r="E2028" s="979">
        <v>2404</v>
      </c>
      <c r="F2028" s="979" t="s">
        <v>5647</v>
      </c>
      <c r="G2028" s="979" t="s">
        <v>5644</v>
      </c>
      <c r="H2028" s="1030">
        <v>827517</v>
      </c>
      <c r="I2028" s="1030">
        <v>829530</v>
      </c>
      <c r="J2028" s="1034">
        <v>0.67437735149601485</v>
      </c>
      <c r="K2028" s="1030">
        <v>558058.72277792776</v>
      </c>
      <c r="L2028" s="1030">
        <v>558058.72277792776</v>
      </c>
      <c r="M2028" s="979">
        <v>599</v>
      </c>
    </row>
    <row r="2029" spans="1:13" ht="15">
      <c r="A2029" s="979" t="s">
        <v>3766</v>
      </c>
      <c r="B2029" s="722" t="str">
        <f>CONCATENATE(LEFT(RIGHT(CONCATENATE("000",IFAData_TEA!A2029),6),3),"-",(RIGHT(RIGHT(CONCATENATE("000",IFAData_TEA!A2029),6),3)))</f>
        <v>240-903</v>
      </c>
      <c r="C2029" s="979" t="s">
        <v>2362</v>
      </c>
      <c r="D2029" s="979">
        <v>3</v>
      </c>
      <c r="E2029" s="979">
        <v>2405</v>
      </c>
      <c r="F2029" s="979" t="s">
        <v>5643</v>
      </c>
      <c r="G2029" s="979" t="s">
        <v>5644</v>
      </c>
      <c r="H2029" s="1030">
        <v>986173</v>
      </c>
      <c r="I2029" s="1030">
        <v>0</v>
      </c>
      <c r="J2029" s="1034">
        <v>0</v>
      </c>
      <c r="K2029" s="1030">
        <v>0</v>
      </c>
      <c r="L2029" s="1030">
        <v>0</v>
      </c>
      <c r="M2029" s="979">
        <v>599</v>
      </c>
    </row>
    <row r="2030" spans="1:13" ht="15">
      <c r="A2030" s="979" t="s">
        <v>3766</v>
      </c>
      <c r="B2030" s="722" t="str">
        <f>CONCATENATE(LEFT(RIGHT(CONCATENATE("000",IFAData_TEA!A2030),6),3),"-",(RIGHT(RIGHT(CONCATENATE("000",IFAData_TEA!A2030),6),3)))</f>
        <v>240-903</v>
      </c>
      <c r="C2030" s="979" t="s">
        <v>2362</v>
      </c>
      <c r="D2030" s="979">
        <v>3</v>
      </c>
      <c r="E2030" s="979">
        <v>2407</v>
      </c>
      <c r="F2030" s="979" t="s">
        <v>5646</v>
      </c>
      <c r="G2030" s="979" t="s">
        <v>5644</v>
      </c>
      <c r="H2030" s="1030">
        <v>1098957</v>
      </c>
      <c r="I2030" s="1030">
        <v>2060508</v>
      </c>
      <c r="J2030" s="1034">
        <v>0.88850923347456856</v>
      </c>
      <c r="K2030" s="1030">
        <v>976433.44169151143</v>
      </c>
      <c r="L2030" s="1030">
        <v>976433.44169151143</v>
      </c>
      <c r="M2030" s="979">
        <v>599</v>
      </c>
    </row>
    <row r="2031" spans="1:13" ht="15">
      <c r="A2031" s="979" t="s">
        <v>3766</v>
      </c>
      <c r="B2031" s="722" t="str">
        <f>CONCATENATE(LEFT(RIGHT(CONCATENATE("000",IFAData_TEA!A2031),6),3),"-",(RIGHT(RIGHT(CONCATENATE("000",IFAData_TEA!A2031),6),3)))</f>
        <v>240-903</v>
      </c>
      <c r="C2031" s="979" t="s">
        <v>2362</v>
      </c>
      <c r="D2031" s="979">
        <v>5</v>
      </c>
      <c r="E2031" s="979">
        <v>2404</v>
      </c>
      <c r="F2031" s="979" t="s">
        <v>5647</v>
      </c>
      <c r="G2031" s="979" t="s">
        <v>5647</v>
      </c>
      <c r="H2031" s="1030">
        <v>827517</v>
      </c>
      <c r="I2031" s="1030">
        <v>87146</v>
      </c>
      <c r="J2031" s="1034">
        <v>7.0846489787556463E-2</v>
      </c>
      <c r="K2031" s="1030">
        <v>58626.674689529362</v>
      </c>
      <c r="L2031" s="1030">
        <v>58626.674689529362</v>
      </c>
      <c r="M2031" s="979">
        <v>599</v>
      </c>
    </row>
    <row r="2032" spans="1:13" ht="15">
      <c r="A2032" s="979" t="s">
        <v>3766</v>
      </c>
      <c r="B2032" s="722" t="str">
        <f>CONCATENATE(LEFT(RIGHT(CONCATENATE("000",IFAData_TEA!A2032),6),3),"-",(RIGHT(RIGHT(CONCATENATE("000",IFAData_TEA!A2032),6),3)))</f>
        <v>240-903</v>
      </c>
      <c r="C2032" s="979" t="s">
        <v>2362</v>
      </c>
      <c r="D2032" s="979">
        <v>3</v>
      </c>
      <c r="E2032" s="979">
        <v>2405</v>
      </c>
      <c r="F2032" s="979" t="s">
        <v>5643</v>
      </c>
      <c r="G2032" s="979" t="s">
        <v>5645</v>
      </c>
      <c r="H2032" s="1030">
        <v>986173</v>
      </c>
      <c r="I2032" s="1030">
        <v>0</v>
      </c>
      <c r="J2032" s="1034">
        <v>0</v>
      </c>
      <c r="K2032" s="1030">
        <v>0</v>
      </c>
      <c r="L2032" s="1030">
        <v>0</v>
      </c>
      <c r="M2032" s="979">
        <v>599</v>
      </c>
    </row>
    <row r="2033" spans="1:13" ht="15">
      <c r="A2033" s="979" t="s">
        <v>3766</v>
      </c>
      <c r="B2033" s="722" t="str">
        <f>CONCATENATE(LEFT(RIGHT(CONCATENATE("000",IFAData_TEA!A2033),6),3),"-",(RIGHT(RIGHT(CONCATENATE("000",IFAData_TEA!A2033),6),3)))</f>
        <v>240-903</v>
      </c>
      <c r="C2033" s="979" t="s">
        <v>2362</v>
      </c>
      <c r="D2033" s="979">
        <v>5</v>
      </c>
      <c r="E2033" s="979">
        <v>2404</v>
      </c>
      <c r="F2033" s="979" t="s">
        <v>5647</v>
      </c>
      <c r="G2033" s="979" t="s">
        <v>6354</v>
      </c>
      <c r="H2033" s="1030">
        <v>827517</v>
      </c>
      <c r="I2033" s="1030">
        <v>93607</v>
      </c>
      <c r="J2033" s="1034">
        <v>7.6099044930849347E-2</v>
      </c>
      <c r="K2033" s="1030">
        <v>62973.253364041659</v>
      </c>
      <c r="L2033" s="1030">
        <v>62973.253364041659</v>
      </c>
      <c r="M2033" s="979">
        <v>599</v>
      </c>
    </row>
    <row r="2034" spans="1:13" ht="15">
      <c r="A2034" s="979" t="s">
        <v>3766</v>
      </c>
      <c r="B2034" s="722" t="str">
        <f>CONCATENATE(LEFT(RIGHT(CONCATENATE("000",IFAData_TEA!A2034),6),3),"-",(RIGHT(RIGHT(CONCATENATE("000",IFAData_TEA!A2034),6),3)))</f>
        <v>240-903</v>
      </c>
      <c r="C2034" s="979" t="s">
        <v>2362</v>
      </c>
      <c r="D2034" s="979">
        <v>3</v>
      </c>
      <c r="E2034" s="979">
        <v>2405</v>
      </c>
      <c r="F2034" s="979" t="s">
        <v>5643</v>
      </c>
      <c r="G2034" s="979" t="s">
        <v>6354</v>
      </c>
      <c r="H2034" s="1030">
        <v>986173</v>
      </c>
      <c r="I2034" s="1030">
        <v>99102</v>
      </c>
      <c r="J2034" s="1034">
        <v>3.4228790148938863E-2</v>
      </c>
      <c r="K2034" s="1030">
        <v>33755.508667549482</v>
      </c>
      <c r="L2034" s="1030">
        <v>33755.508667549482</v>
      </c>
      <c r="M2034" s="979">
        <v>599</v>
      </c>
    </row>
    <row r="2035" spans="1:13" ht="15">
      <c r="A2035" s="979" t="s">
        <v>3766</v>
      </c>
      <c r="B2035" s="722" t="str">
        <f>CONCATENATE(LEFT(RIGHT(CONCATENATE("000",IFAData_TEA!A2035),6),3),"-",(RIGHT(RIGHT(CONCATENATE("000",IFAData_TEA!A2035),6),3)))</f>
        <v>240-903</v>
      </c>
      <c r="C2035" s="979" t="s">
        <v>2362</v>
      </c>
      <c r="D2035" s="979">
        <v>3</v>
      </c>
      <c r="E2035" s="979">
        <v>2407</v>
      </c>
      <c r="F2035" s="979" t="s">
        <v>5646</v>
      </c>
      <c r="G2035" s="979" t="s">
        <v>6354</v>
      </c>
      <c r="H2035" s="1030">
        <v>1098957</v>
      </c>
      <c r="I2035" s="1030">
        <v>258554</v>
      </c>
      <c r="J2035" s="1034">
        <v>0.1114907665254314</v>
      </c>
      <c r="K2035" s="1030">
        <v>122523.55830848851</v>
      </c>
      <c r="L2035" s="1030">
        <v>122523.55830848851</v>
      </c>
      <c r="M2035" s="979">
        <v>599</v>
      </c>
    </row>
    <row r="2036" spans="1:13" ht="15">
      <c r="A2036" s="979" t="s">
        <v>3766</v>
      </c>
      <c r="B2036" s="722" t="str">
        <f>CONCATENATE(LEFT(RIGHT(CONCATENATE("000",IFAData_TEA!A2036),6),3),"-",(RIGHT(RIGHT(CONCATENATE("000",IFAData_TEA!A2036),6),3)))</f>
        <v>240-903</v>
      </c>
      <c r="C2036" s="979" t="s">
        <v>2362</v>
      </c>
      <c r="D2036" s="979">
        <v>3</v>
      </c>
      <c r="E2036" s="979">
        <v>2407</v>
      </c>
      <c r="F2036" s="979" t="s">
        <v>5646</v>
      </c>
      <c r="G2036" s="979" t="s">
        <v>5646</v>
      </c>
      <c r="H2036" s="1030">
        <v>1098957</v>
      </c>
      <c r="I2036" s="1030">
        <v>0</v>
      </c>
      <c r="J2036" s="1034">
        <v>0</v>
      </c>
      <c r="K2036" s="1030">
        <v>0</v>
      </c>
      <c r="L2036" s="1030">
        <v>0</v>
      </c>
      <c r="M2036" s="979">
        <v>599</v>
      </c>
    </row>
    <row r="2037" spans="1:13" ht="15">
      <c r="A2037" s="979" t="s">
        <v>3767</v>
      </c>
      <c r="B2037" s="722" t="str">
        <f>CONCATENATE(LEFT(RIGHT(CONCATENATE("000",IFAData_TEA!A2037),6),3),"-",(RIGHT(RIGHT(CONCATENATE("000",IFAData_TEA!A2037),6),3)))</f>
        <v>243-901</v>
      </c>
      <c r="C2037" s="979" t="s">
        <v>1448</v>
      </c>
      <c r="D2037" s="979">
        <v>2</v>
      </c>
      <c r="E2037" s="979">
        <v>1652</v>
      </c>
      <c r="F2037" s="979" t="s">
        <v>5652</v>
      </c>
      <c r="G2037" s="979" t="s">
        <v>5654</v>
      </c>
      <c r="H2037" s="1030">
        <v>871498</v>
      </c>
      <c r="I2037" s="1030">
        <v>1083620</v>
      </c>
      <c r="J2037" s="1034">
        <v>0.65293613985445986</v>
      </c>
      <c r="K2037" s="1030">
        <v>569032.54001088208</v>
      </c>
      <c r="L2037" s="1030">
        <v>569032.54001088208</v>
      </c>
      <c r="M2037" s="979">
        <v>599</v>
      </c>
    </row>
    <row r="2038" spans="1:13" ht="15">
      <c r="A2038" s="979" t="s">
        <v>3767</v>
      </c>
      <c r="B2038" s="722" t="str">
        <f>CONCATENATE(LEFT(RIGHT(CONCATENATE("000",IFAData_TEA!A2038),6),3),"-",(RIGHT(RIGHT(CONCATENATE("000",IFAData_TEA!A2038),6),3)))</f>
        <v>243-901</v>
      </c>
      <c r="C2038" s="979" t="s">
        <v>1448</v>
      </c>
      <c r="D2038" s="979">
        <v>2</v>
      </c>
      <c r="E2038" s="979">
        <v>1652</v>
      </c>
      <c r="F2038" s="979" t="s">
        <v>5652</v>
      </c>
      <c r="G2038" s="979" t="s">
        <v>5653</v>
      </c>
      <c r="H2038" s="1030">
        <v>871498</v>
      </c>
      <c r="I2038" s="1030">
        <v>303453</v>
      </c>
      <c r="J2038" s="1034">
        <v>0.18284585966229436</v>
      </c>
      <c r="K2038" s="1030">
        <v>159349.80100397021</v>
      </c>
      <c r="L2038" s="1030">
        <v>159349.80100397021</v>
      </c>
      <c r="M2038" s="979">
        <v>599</v>
      </c>
    </row>
    <row r="2039" spans="1:13" ht="15">
      <c r="A2039" s="979" t="s">
        <v>3767</v>
      </c>
      <c r="B2039" s="722" t="str">
        <f>CONCATENATE(LEFT(RIGHT(CONCATENATE("000",IFAData_TEA!A2039),6),3),"-",(RIGHT(RIGHT(CONCATENATE("000",IFAData_TEA!A2039),6),3)))</f>
        <v>243-901</v>
      </c>
      <c r="C2039" s="979" t="s">
        <v>1448</v>
      </c>
      <c r="D2039" s="979">
        <v>2</v>
      </c>
      <c r="E2039" s="979">
        <v>1652</v>
      </c>
      <c r="F2039" s="979" t="s">
        <v>5652</v>
      </c>
      <c r="G2039" s="979" t="s">
        <v>5652</v>
      </c>
      <c r="H2039" s="1030">
        <v>871498</v>
      </c>
      <c r="I2039" s="1030">
        <v>272538</v>
      </c>
      <c r="J2039" s="1034">
        <v>0.16421800048324578</v>
      </c>
      <c r="K2039" s="1030">
        <v>143115.65898514772</v>
      </c>
      <c r="L2039" s="1030">
        <v>143115.65898514772</v>
      </c>
      <c r="M2039" s="979">
        <v>599</v>
      </c>
    </row>
    <row r="2040" spans="1:13" ht="15">
      <c r="A2040" s="979" t="s">
        <v>3768</v>
      </c>
      <c r="B2040" s="722" t="str">
        <f>CONCATENATE(LEFT(RIGHT(CONCATENATE("000",IFAData_TEA!A2040),6),3),"-",(RIGHT(RIGHT(CONCATENATE("000",IFAData_TEA!A2040),6),3)))</f>
        <v>243-905</v>
      </c>
      <c r="C2040" s="979" t="s">
        <v>1609</v>
      </c>
      <c r="D2040" s="979">
        <v>9</v>
      </c>
      <c r="E2040" s="979">
        <v>2453</v>
      </c>
      <c r="F2040" s="979" t="s">
        <v>5655</v>
      </c>
      <c r="G2040" s="979" t="s">
        <v>6355</v>
      </c>
      <c r="H2040" s="1030">
        <v>3370543</v>
      </c>
      <c r="I2040" s="1030">
        <v>456143</v>
      </c>
      <c r="J2040" s="1034">
        <v>8.8539685177047148E-2</v>
      </c>
      <c r="K2040" s="1030">
        <v>298426.81609570002</v>
      </c>
      <c r="L2040" s="1030">
        <v>298426.81609570002</v>
      </c>
      <c r="M2040" s="979">
        <v>599</v>
      </c>
    </row>
    <row r="2041" spans="1:13" ht="15">
      <c r="A2041" s="979" t="s">
        <v>3768</v>
      </c>
      <c r="B2041" s="722" t="str">
        <f>CONCATENATE(LEFT(RIGHT(CONCATENATE("000",IFAData_TEA!A2041),6),3),"-",(RIGHT(RIGHT(CONCATENATE("000",IFAData_TEA!A2041),6),3)))</f>
        <v>243-905</v>
      </c>
      <c r="C2041" s="979" t="s">
        <v>1609</v>
      </c>
      <c r="D2041" s="979">
        <v>9</v>
      </c>
      <c r="E2041" s="979">
        <v>2453</v>
      </c>
      <c r="F2041" s="979" t="s">
        <v>5655</v>
      </c>
      <c r="G2041" s="979" t="s">
        <v>5655</v>
      </c>
      <c r="H2041" s="1030">
        <v>3370543</v>
      </c>
      <c r="I2041" s="1030">
        <v>4695705</v>
      </c>
      <c r="J2041" s="1034">
        <v>0.91146031482295287</v>
      </c>
      <c r="K2041" s="1030">
        <v>3072116.1839043</v>
      </c>
      <c r="L2041" s="1030">
        <v>3072116.1839043</v>
      </c>
      <c r="M2041" s="979">
        <v>599</v>
      </c>
    </row>
    <row r="2042" spans="1:13" ht="15">
      <c r="A2042" s="979" t="s">
        <v>3769</v>
      </c>
      <c r="B2042" s="722" t="str">
        <f>CONCATENATE(LEFT(RIGHT(CONCATENATE("000",IFAData_TEA!A2042),6),3),"-",(RIGHT(RIGHT(CONCATENATE("000",IFAData_TEA!A2042),6),3)))</f>
        <v>243-906</v>
      </c>
      <c r="C2042" s="979" t="s">
        <v>1162</v>
      </c>
      <c r="D2042" s="979">
        <v>5</v>
      </c>
      <c r="E2042" s="979">
        <v>1693</v>
      </c>
      <c r="F2042" s="979" t="s">
        <v>5656</v>
      </c>
      <c r="G2042" s="979" t="s">
        <v>5656</v>
      </c>
      <c r="H2042" s="1030">
        <v>347638</v>
      </c>
      <c r="I2042" s="1030">
        <v>646697</v>
      </c>
      <c r="J2042" s="1034">
        <v>1</v>
      </c>
      <c r="K2042" s="1030">
        <v>347638</v>
      </c>
      <c r="L2042" s="1030">
        <v>347638</v>
      </c>
      <c r="M2042" s="979">
        <v>599</v>
      </c>
    </row>
    <row r="2043" spans="1:13" ht="15">
      <c r="A2043" s="979" t="s">
        <v>3770</v>
      </c>
      <c r="B2043" s="722" t="str">
        <f>CONCATENATE(LEFT(RIGHT(CONCATENATE("000",IFAData_TEA!A2043),6),3),"-",(RIGHT(RIGHT(CONCATENATE("000",IFAData_TEA!A2043),6),3)))</f>
        <v>244-905</v>
      </c>
      <c r="C2043" s="979" t="s">
        <v>2289</v>
      </c>
      <c r="D2043" s="979">
        <v>8</v>
      </c>
      <c r="E2043" s="979">
        <v>2151</v>
      </c>
      <c r="F2043" s="979" t="s">
        <v>5657</v>
      </c>
      <c r="G2043" s="979" t="s">
        <v>5657</v>
      </c>
      <c r="H2043" s="1030">
        <v>100000</v>
      </c>
      <c r="I2043" s="1030">
        <v>131695</v>
      </c>
      <c r="J2043" s="1034">
        <v>1</v>
      </c>
      <c r="K2043" s="1030">
        <v>100000</v>
      </c>
      <c r="L2043" s="1030">
        <v>100000</v>
      </c>
      <c r="M2043" s="979">
        <v>599</v>
      </c>
    </row>
    <row r="2044" spans="1:13" ht="15">
      <c r="A2044" s="979" t="s">
        <v>3771</v>
      </c>
      <c r="B2044" s="722" t="str">
        <f>CONCATENATE(LEFT(RIGHT(CONCATENATE("000",IFAData_TEA!A2044),6),3),"-",(RIGHT(RIGHT(CONCATENATE("000",IFAData_TEA!A2044),6),3)))</f>
        <v>245-901</v>
      </c>
      <c r="C2044" s="979" t="s">
        <v>2346</v>
      </c>
      <c r="D2044" s="979">
        <v>5</v>
      </c>
      <c r="E2044" s="979">
        <v>2012</v>
      </c>
      <c r="F2044" s="979" t="s">
        <v>5660</v>
      </c>
      <c r="G2044" s="979" t="s">
        <v>5660</v>
      </c>
      <c r="H2044" s="1030">
        <v>92936</v>
      </c>
      <c r="I2044" s="1030">
        <v>0</v>
      </c>
      <c r="J2044" s="1034">
        <v>0</v>
      </c>
      <c r="K2044" s="1030">
        <v>0</v>
      </c>
      <c r="L2044" s="1030">
        <v>0</v>
      </c>
      <c r="M2044" s="979">
        <v>599</v>
      </c>
    </row>
    <row r="2045" spans="1:13" ht="15">
      <c r="A2045" s="979" t="s">
        <v>3771</v>
      </c>
      <c r="B2045" s="722" t="str">
        <f>CONCATENATE(LEFT(RIGHT(CONCATENATE("000",IFAData_TEA!A2045),6),3),"-",(RIGHT(RIGHT(CONCATENATE("000",IFAData_TEA!A2045),6),3)))</f>
        <v>245-901</v>
      </c>
      <c r="C2045" s="979" t="s">
        <v>2346</v>
      </c>
      <c r="D2045" s="979">
        <v>8</v>
      </c>
      <c r="E2045" s="979">
        <v>2014</v>
      </c>
      <c r="F2045" s="979" t="s">
        <v>5661</v>
      </c>
      <c r="G2045" s="979" t="s">
        <v>5661</v>
      </c>
      <c r="H2045" s="1030">
        <v>98876</v>
      </c>
      <c r="I2045" s="1030">
        <v>93991</v>
      </c>
      <c r="J2045" s="1034">
        <v>1</v>
      </c>
      <c r="K2045" s="1030">
        <v>98876</v>
      </c>
      <c r="L2045" s="1030">
        <v>93991</v>
      </c>
      <c r="M2045" s="979">
        <v>599</v>
      </c>
    </row>
    <row r="2046" spans="1:13" ht="15">
      <c r="A2046" s="979" t="s">
        <v>3771</v>
      </c>
      <c r="B2046" s="722" t="str">
        <f>CONCATENATE(LEFT(RIGHT(CONCATENATE("000",IFAData_TEA!A2046),6),3),"-",(RIGHT(RIGHT(CONCATENATE("000",IFAData_TEA!A2046),6),3)))</f>
        <v>245-901</v>
      </c>
      <c r="C2046" s="979" t="s">
        <v>2346</v>
      </c>
      <c r="D2046" s="979">
        <v>4</v>
      </c>
      <c r="E2046" s="979">
        <v>2013</v>
      </c>
      <c r="F2046" s="979" t="s">
        <v>5658</v>
      </c>
      <c r="G2046" s="979" t="s">
        <v>5658</v>
      </c>
      <c r="H2046" s="1030">
        <v>98474</v>
      </c>
      <c r="I2046" s="1030">
        <v>0</v>
      </c>
      <c r="J2046" s="1034">
        <v>0</v>
      </c>
      <c r="K2046" s="1030">
        <v>0</v>
      </c>
      <c r="L2046" s="1030">
        <v>0</v>
      </c>
      <c r="M2046" s="979">
        <v>599</v>
      </c>
    </row>
    <row r="2047" spans="1:13" ht="15">
      <c r="A2047" s="979" t="s">
        <v>3771</v>
      </c>
      <c r="B2047" s="722" t="str">
        <f>CONCATENATE(LEFT(RIGHT(CONCATENATE("000",IFAData_TEA!A2047),6),3),"-",(RIGHT(RIGHT(CONCATENATE("000",IFAData_TEA!A2047),6),3)))</f>
        <v>245-901</v>
      </c>
      <c r="C2047" s="979" t="s">
        <v>2346</v>
      </c>
      <c r="D2047" s="979">
        <v>5</v>
      </c>
      <c r="E2047" s="979">
        <v>2012</v>
      </c>
      <c r="F2047" s="979" t="s">
        <v>5660</v>
      </c>
      <c r="G2047" s="979" t="s">
        <v>5659</v>
      </c>
      <c r="H2047" s="1030">
        <v>92936</v>
      </c>
      <c r="I2047" s="1030">
        <v>77514</v>
      </c>
      <c r="J2047" s="1034">
        <v>1</v>
      </c>
      <c r="K2047" s="1030">
        <v>92936</v>
      </c>
      <c r="L2047" s="1030">
        <v>77514</v>
      </c>
      <c r="M2047" s="979">
        <v>599</v>
      </c>
    </row>
    <row r="2048" spans="1:13" ht="15">
      <c r="A2048" s="979" t="s">
        <v>3771</v>
      </c>
      <c r="B2048" s="722" t="str">
        <f>CONCATENATE(LEFT(RIGHT(CONCATENATE("000",IFAData_TEA!A2048),6),3),"-",(RIGHT(RIGHT(CONCATENATE("000",IFAData_TEA!A2048),6),3)))</f>
        <v>245-901</v>
      </c>
      <c r="C2048" s="979" t="s">
        <v>2346</v>
      </c>
      <c r="D2048" s="979">
        <v>4</v>
      </c>
      <c r="E2048" s="979">
        <v>2013</v>
      </c>
      <c r="F2048" s="979" t="s">
        <v>5658</v>
      </c>
      <c r="G2048" s="979" t="s">
        <v>5659</v>
      </c>
      <c r="H2048" s="1030">
        <v>98474</v>
      </c>
      <c r="I2048" s="1030">
        <v>81441</v>
      </c>
      <c r="J2048" s="1034">
        <v>1</v>
      </c>
      <c r="K2048" s="1030">
        <v>98474</v>
      </c>
      <c r="L2048" s="1030">
        <v>81441</v>
      </c>
      <c r="M2048" s="979">
        <v>599</v>
      </c>
    </row>
    <row r="2049" spans="1:13" ht="15">
      <c r="A2049" s="979" t="s">
        <v>3771</v>
      </c>
      <c r="B2049" s="722" t="str">
        <f>CONCATENATE(LEFT(RIGHT(CONCATENATE("000",IFAData_TEA!A2049),6),3),"-",(RIGHT(RIGHT(CONCATENATE("000",IFAData_TEA!A2049),6),3)))</f>
        <v>245-901</v>
      </c>
      <c r="C2049" s="979" t="s">
        <v>2346</v>
      </c>
      <c r="D2049" s="979">
        <v>10</v>
      </c>
      <c r="E2049" s="979">
        <v>2016</v>
      </c>
      <c r="F2049" s="979" t="s">
        <v>5663</v>
      </c>
      <c r="G2049" s="979" t="s">
        <v>5663</v>
      </c>
      <c r="H2049" s="1030">
        <v>108827</v>
      </c>
      <c r="I2049" s="1030">
        <v>114475</v>
      </c>
      <c r="J2049" s="1034">
        <v>1</v>
      </c>
      <c r="K2049" s="1030">
        <v>108827</v>
      </c>
      <c r="L2049" s="1030">
        <v>108827</v>
      </c>
      <c r="M2049" s="979">
        <v>599</v>
      </c>
    </row>
    <row r="2050" spans="1:13" ht="15">
      <c r="A2050" s="979" t="s">
        <v>3771</v>
      </c>
      <c r="B2050" s="722" t="str">
        <f>CONCATENATE(LEFT(RIGHT(CONCATENATE("000",IFAData_TEA!A2050),6),3),"-",(RIGHT(RIGHT(CONCATENATE("000",IFAData_TEA!A2050),6),3)))</f>
        <v>245-901</v>
      </c>
      <c r="C2050" s="979" t="s">
        <v>2346</v>
      </c>
      <c r="D2050" s="979">
        <v>9</v>
      </c>
      <c r="E2050" s="979">
        <v>2015</v>
      </c>
      <c r="F2050" s="979" t="s">
        <v>5662</v>
      </c>
      <c r="G2050" s="979" t="s">
        <v>5662</v>
      </c>
      <c r="H2050" s="1030">
        <v>100000</v>
      </c>
      <c r="I2050" s="1030">
        <v>111740</v>
      </c>
      <c r="J2050" s="1034">
        <v>1</v>
      </c>
      <c r="K2050" s="1030">
        <v>100000</v>
      </c>
      <c r="L2050" s="1030">
        <v>100000</v>
      </c>
      <c r="M2050" s="979">
        <v>599</v>
      </c>
    </row>
    <row r="2051" spans="1:13" ht="15">
      <c r="A2051" s="979" t="s">
        <v>3772</v>
      </c>
      <c r="B2051" s="722" t="str">
        <f>CONCATENATE(LEFT(RIGHT(CONCATENATE("000",IFAData_TEA!A2051),6),3),"-",(RIGHT(RIGHT(CONCATENATE("000",IFAData_TEA!A2051),6),3)))</f>
        <v>245-902</v>
      </c>
      <c r="C2051" s="979" t="s">
        <v>840</v>
      </c>
      <c r="D2051" s="979">
        <v>1</v>
      </c>
      <c r="E2051" s="979">
        <v>2047</v>
      </c>
      <c r="F2051" s="979" t="s">
        <v>5664</v>
      </c>
      <c r="G2051" s="979" t="s">
        <v>5664</v>
      </c>
      <c r="H2051" s="1030">
        <v>412085</v>
      </c>
      <c r="I2051" s="1030">
        <v>0</v>
      </c>
      <c r="J2051" s="1034">
        <v>0</v>
      </c>
      <c r="K2051" s="1030">
        <v>0</v>
      </c>
      <c r="L2051" s="1030">
        <v>0</v>
      </c>
      <c r="M2051" s="979">
        <v>199</v>
      </c>
    </row>
    <row r="2052" spans="1:13" ht="15">
      <c r="A2052" s="979" t="s">
        <v>3772</v>
      </c>
      <c r="B2052" s="722" t="str">
        <f>CONCATENATE(LEFT(RIGHT(CONCATENATE("000",IFAData_TEA!A2052),6),3),"-",(RIGHT(RIGHT(CONCATENATE("000",IFAData_TEA!A2052),6),3)))</f>
        <v>245-902</v>
      </c>
      <c r="C2052" s="979" t="s">
        <v>840</v>
      </c>
      <c r="D2052" s="979">
        <v>1</v>
      </c>
      <c r="E2052" s="979">
        <v>2047</v>
      </c>
      <c r="F2052" s="979" t="s">
        <v>5664</v>
      </c>
      <c r="G2052" s="979" t="s">
        <v>5665</v>
      </c>
      <c r="H2052" s="1030">
        <v>412085</v>
      </c>
      <c r="I2052" s="1030">
        <v>452445</v>
      </c>
      <c r="J2052" s="1034">
        <v>1</v>
      </c>
      <c r="K2052" s="1030">
        <v>412085</v>
      </c>
      <c r="L2052" s="1030">
        <v>412085</v>
      </c>
      <c r="M2052" s="979">
        <v>599</v>
      </c>
    </row>
    <row r="2053" spans="1:13" ht="15">
      <c r="A2053" s="979" t="s">
        <v>3772</v>
      </c>
      <c r="B2053" s="722" t="str">
        <f>CONCATENATE(LEFT(RIGHT(CONCATENATE("000",IFAData_TEA!A2053),6),3),"-",(RIGHT(RIGHT(CONCATENATE("000",IFAData_TEA!A2053),6),3)))</f>
        <v>245-902</v>
      </c>
      <c r="C2053" s="979" t="s">
        <v>840</v>
      </c>
      <c r="D2053" s="979">
        <v>6</v>
      </c>
      <c r="E2053" s="979">
        <v>2046</v>
      </c>
      <c r="F2053" s="979" t="s">
        <v>5666</v>
      </c>
      <c r="G2053" s="979" t="s">
        <v>5666</v>
      </c>
      <c r="H2053" s="1030">
        <v>342241</v>
      </c>
      <c r="I2053" s="1030">
        <v>0</v>
      </c>
      <c r="J2053" s="1034">
        <v>0</v>
      </c>
      <c r="K2053" s="1030">
        <v>0</v>
      </c>
      <c r="L2053" s="1030">
        <v>0</v>
      </c>
      <c r="M2053" s="979">
        <v>599</v>
      </c>
    </row>
    <row r="2054" spans="1:13" ht="15">
      <c r="A2054" s="979" t="s">
        <v>3772</v>
      </c>
      <c r="B2054" s="722" t="str">
        <f>CONCATENATE(LEFT(RIGHT(CONCATENATE("000",IFAData_TEA!A2054),6),3),"-",(RIGHT(RIGHT(CONCATENATE("000",IFAData_TEA!A2054),6),3)))</f>
        <v>245-902</v>
      </c>
      <c r="C2054" s="979" t="s">
        <v>840</v>
      </c>
      <c r="D2054" s="979">
        <v>6</v>
      </c>
      <c r="E2054" s="979">
        <v>2046</v>
      </c>
      <c r="F2054" s="979" t="s">
        <v>5666</v>
      </c>
      <c r="G2054" s="979" t="s">
        <v>5667</v>
      </c>
      <c r="H2054" s="1030">
        <v>342241</v>
      </c>
      <c r="I2054" s="1030">
        <v>339939</v>
      </c>
      <c r="J2054" s="1034">
        <v>1</v>
      </c>
      <c r="K2054" s="1030">
        <v>342241</v>
      </c>
      <c r="L2054" s="1030">
        <v>339939</v>
      </c>
      <c r="M2054" s="979">
        <v>599</v>
      </c>
    </row>
    <row r="2055" spans="1:13" ht="15">
      <c r="A2055" s="979" t="s">
        <v>3773</v>
      </c>
      <c r="B2055" s="722" t="str">
        <f>CONCATENATE(LEFT(RIGHT(CONCATENATE("000",IFAData_TEA!A2055),6),3),"-",(RIGHT(RIGHT(CONCATENATE("000",IFAData_TEA!A2055),6),3)))</f>
        <v>245-903</v>
      </c>
      <c r="C2055" s="979" t="s">
        <v>78</v>
      </c>
      <c r="D2055" s="979">
        <v>5</v>
      </c>
      <c r="E2055" s="979">
        <v>2225</v>
      </c>
      <c r="F2055" s="979" t="s">
        <v>5672</v>
      </c>
      <c r="G2055" s="979" t="s">
        <v>6356</v>
      </c>
      <c r="H2055" s="1030">
        <v>198867</v>
      </c>
      <c r="I2055" s="1030">
        <v>21264</v>
      </c>
      <c r="J2055" s="1034">
        <v>0.12796995739149275</v>
      </c>
      <c r="K2055" s="1030">
        <v>25449.00151657399</v>
      </c>
      <c r="L2055" s="1030">
        <v>21264</v>
      </c>
      <c r="M2055" s="979">
        <v>599</v>
      </c>
    </row>
    <row r="2056" spans="1:13" ht="15">
      <c r="A2056" s="979" t="s">
        <v>3773</v>
      </c>
      <c r="B2056" s="722" t="str">
        <f>CONCATENATE(LEFT(RIGHT(CONCATENATE("000",IFAData_TEA!A2056),6),3),"-",(RIGHT(RIGHT(CONCATENATE("000",IFAData_TEA!A2056),6),3)))</f>
        <v>245-903</v>
      </c>
      <c r="C2056" s="979" t="s">
        <v>78</v>
      </c>
      <c r="D2056" s="979">
        <v>3</v>
      </c>
      <c r="E2056" s="979">
        <v>2226</v>
      </c>
      <c r="F2056" s="979" t="s">
        <v>5671</v>
      </c>
      <c r="G2056" s="979" t="s">
        <v>6356</v>
      </c>
      <c r="H2056" s="1030">
        <v>415048</v>
      </c>
      <c r="I2056" s="1030">
        <v>177247</v>
      </c>
      <c r="J2056" s="1034">
        <v>0.434565255766515</v>
      </c>
      <c r="K2056" s="1030">
        <v>180365.4402753805</v>
      </c>
      <c r="L2056" s="1030">
        <v>177247</v>
      </c>
      <c r="M2056" s="979">
        <v>599</v>
      </c>
    </row>
    <row r="2057" spans="1:13" ht="15">
      <c r="A2057" s="979" t="s">
        <v>3773</v>
      </c>
      <c r="B2057" s="722" t="str">
        <f>CONCATENATE(LEFT(RIGHT(CONCATENATE("000",IFAData_TEA!A2057),6),3),"-",(RIGHT(RIGHT(CONCATENATE("000",IFAData_TEA!A2057),6),3)))</f>
        <v>245-903</v>
      </c>
      <c r="C2057" s="979" t="s">
        <v>78</v>
      </c>
      <c r="D2057" s="979">
        <v>2</v>
      </c>
      <c r="E2057" s="979">
        <v>2228</v>
      </c>
      <c r="F2057" s="979" t="s">
        <v>5668</v>
      </c>
      <c r="G2057" s="979" t="s">
        <v>6356</v>
      </c>
      <c r="H2057" s="1030">
        <v>679270</v>
      </c>
      <c r="I2057" s="1030">
        <v>33958</v>
      </c>
      <c r="J2057" s="1034">
        <v>5.467660650168258E-2</v>
      </c>
      <c r="K2057" s="1030">
        <v>37140.178498397923</v>
      </c>
      <c r="L2057" s="1030">
        <v>33958</v>
      </c>
      <c r="M2057" s="979">
        <v>599</v>
      </c>
    </row>
    <row r="2058" spans="1:13" ht="15">
      <c r="A2058" s="979" t="s">
        <v>3773</v>
      </c>
      <c r="B2058" s="722" t="str">
        <f>CONCATENATE(LEFT(RIGHT(CONCATENATE("000",IFAData_TEA!A2058),6),3),"-",(RIGHT(RIGHT(CONCATENATE("000",IFAData_TEA!A2058),6),3)))</f>
        <v>245-903</v>
      </c>
      <c r="C2058" s="979" t="s">
        <v>78</v>
      </c>
      <c r="D2058" s="979">
        <v>5</v>
      </c>
      <c r="E2058" s="979">
        <v>2225</v>
      </c>
      <c r="F2058" s="979" t="s">
        <v>5672</v>
      </c>
      <c r="G2058" s="979" t="s">
        <v>5672</v>
      </c>
      <c r="H2058" s="1030">
        <v>198867</v>
      </c>
      <c r="I2058" s="1030">
        <v>0</v>
      </c>
      <c r="J2058" s="1034">
        <v>0</v>
      </c>
      <c r="K2058" s="1030">
        <v>0</v>
      </c>
      <c r="L2058" s="1030">
        <v>0</v>
      </c>
      <c r="M2058" s="979">
        <v>599</v>
      </c>
    </row>
    <row r="2059" spans="1:13" ht="15">
      <c r="A2059" s="979" t="s">
        <v>3773</v>
      </c>
      <c r="B2059" s="722" t="str">
        <f>CONCATENATE(LEFT(RIGHT(CONCATENATE("000",IFAData_TEA!A2059),6),3),"-",(RIGHT(RIGHT(CONCATENATE("000",IFAData_TEA!A2059),6),3)))</f>
        <v>245-903</v>
      </c>
      <c r="C2059" s="979" t="s">
        <v>78</v>
      </c>
      <c r="D2059" s="979">
        <v>2</v>
      </c>
      <c r="E2059" s="979">
        <v>2228</v>
      </c>
      <c r="F2059" s="979" t="s">
        <v>5668</v>
      </c>
      <c r="G2059" s="979" t="s">
        <v>5668</v>
      </c>
      <c r="H2059" s="1030">
        <v>679270</v>
      </c>
      <c r="I2059" s="1030">
        <v>0</v>
      </c>
      <c r="J2059" s="1034">
        <v>0</v>
      </c>
      <c r="K2059" s="1030">
        <v>0</v>
      </c>
      <c r="L2059" s="1030">
        <v>0</v>
      </c>
      <c r="M2059" s="979">
        <v>599</v>
      </c>
    </row>
    <row r="2060" spans="1:13" ht="15">
      <c r="A2060" s="979" t="s">
        <v>3773</v>
      </c>
      <c r="B2060" s="722" t="str">
        <f>CONCATENATE(LEFT(RIGHT(CONCATENATE("000",IFAData_TEA!A2060),6),3),"-",(RIGHT(RIGHT(CONCATENATE("000",IFAData_TEA!A2060),6),3)))</f>
        <v>245-903</v>
      </c>
      <c r="C2060" s="979" t="s">
        <v>78</v>
      </c>
      <c r="D2060" s="979">
        <v>5</v>
      </c>
      <c r="E2060" s="979">
        <v>2225</v>
      </c>
      <c r="F2060" s="979" t="s">
        <v>5672</v>
      </c>
      <c r="G2060" s="979" t="s">
        <v>5673</v>
      </c>
      <c r="H2060" s="1030">
        <v>198867</v>
      </c>
      <c r="I2060" s="1030">
        <v>144900</v>
      </c>
      <c r="J2060" s="1034">
        <v>0.87203004260850725</v>
      </c>
      <c r="K2060" s="1030">
        <v>173417.99848342602</v>
      </c>
      <c r="L2060" s="1030">
        <v>144900</v>
      </c>
      <c r="M2060" s="979">
        <v>599</v>
      </c>
    </row>
    <row r="2061" spans="1:13" ht="15">
      <c r="A2061" s="979" t="s">
        <v>3773</v>
      </c>
      <c r="B2061" s="722" t="str">
        <f>CONCATENATE(LEFT(RIGHT(CONCATENATE("000",IFAData_TEA!A2061),6),3),"-",(RIGHT(RIGHT(CONCATENATE("000",IFAData_TEA!A2061),6),3)))</f>
        <v>245-903</v>
      </c>
      <c r="C2061" s="979" t="s">
        <v>78</v>
      </c>
      <c r="D2061" s="979">
        <v>2</v>
      </c>
      <c r="E2061" s="979">
        <v>2228</v>
      </c>
      <c r="F2061" s="979" t="s">
        <v>5668</v>
      </c>
      <c r="G2061" s="979" t="s">
        <v>5669</v>
      </c>
      <c r="H2061" s="1030">
        <v>679270</v>
      </c>
      <c r="I2061" s="1030">
        <v>0</v>
      </c>
      <c r="J2061" s="1034">
        <v>0</v>
      </c>
      <c r="K2061" s="1030">
        <v>0</v>
      </c>
      <c r="L2061" s="1030">
        <v>0</v>
      </c>
      <c r="M2061" s="979">
        <v>599</v>
      </c>
    </row>
    <row r="2062" spans="1:13" ht="15">
      <c r="A2062" s="979" t="s">
        <v>3773</v>
      </c>
      <c r="B2062" s="722" t="str">
        <f>CONCATENATE(LEFT(RIGHT(CONCATENATE("000",IFAData_TEA!A2062),6),3),"-",(RIGHT(RIGHT(CONCATENATE("000",IFAData_TEA!A2062),6),3)))</f>
        <v>245-903</v>
      </c>
      <c r="C2062" s="979" t="s">
        <v>78</v>
      </c>
      <c r="D2062" s="979">
        <v>3</v>
      </c>
      <c r="E2062" s="979">
        <v>2226</v>
      </c>
      <c r="F2062" s="979" t="s">
        <v>5671</v>
      </c>
      <c r="G2062" s="979" t="s">
        <v>5669</v>
      </c>
      <c r="H2062" s="1030">
        <v>415048</v>
      </c>
      <c r="I2062" s="1030">
        <v>230625</v>
      </c>
      <c r="J2062" s="1034">
        <v>0.56543474423348505</v>
      </c>
      <c r="K2062" s="1030">
        <v>234682.5597246195</v>
      </c>
      <c r="L2062" s="1030">
        <v>230625</v>
      </c>
      <c r="M2062" s="979">
        <v>599</v>
      </c>
    </row>
    <row r="2063" spans="1:13" ht="15">
      <c r="A2063" s="979" t="s">
        <v>3773</v>
      </c>
      <c r="B2063" s="722" t="str">
        <f>CONCATENATE(LEFT(RIGHT(CONCATENATE("000",IFAData_TEA!A2063),6),3),"-",(RIGHT(RIGHT(CONCATENATE("000",IFAData_TEA!A2063),6),3)))</f>
        <v>245-903</v>
      </c>
      <c r="C2063" s="979" t="s">
        <v>78</v>
      </c>
      <c r="D2063" s="979">
        <v>5</v>
      </c>
      <c r="E2063" s="979">
        <v>2225</v>
      </c>
      <c r="F2063" s="979" t="s">
        <v>5672</v>
      </c>
      <c r="G2063" s="979" t="s">
        <v>5669</v>
      </c>
      <c r="H2063" s="1030">
        <v>198867</v>
      </c>
      <c r="I2063" s="1030">
        <v>0</v>
      </c>
      <c r="J2063" s="1034">
        <v>0</v>
      </c>
      <c r="K2063" s="1030">
        <v>0</v>
      </c>
      <c r="L2063" s="1030">
        <v>0</v>
      </c>
      <c r="M2063" s="979">
        <v>599</v>
      </c>
    </row>
    <row r="2064" spans="1:13" ht="15">
      <c r="A2064" s="979" t="s">
        <v>3773</v>
      </c>
      <c r="B2064" s="722" t="str">
        <f>CONCATENATE(LEFT(RIGHT(CONCATENATE("000",IFAData_TEA!A2064),6),3),"-",(RIGHT(RIGHT(CONCATENATE("000",IFAData_TEA!A2064),6),3)))</f>
        <v>245-903</v>
      </c>
      <c r="C2064" s="979" t="s">
        <v>78</v>
      </c>
      <c r="D2064" s="979">
        <v>2</v>
      </c>
      <c r="E2064" s="979">
        <v>2228</v>
      </c>
      <c r="F2064" s="979" t="s">
        <v>5668</v>
      </c>
      <c r="G2064" s="979" t="s">
        <v>5670</v>
      </c>
      <c r="H2064" s="1030">
        <v>679270</v>
      </c>
      <c r="I2064" s="1030">
        <v>587112</v>
      </c>
      <c r="J2064" s="1034">
        <v>0.9453233934983174</v>
      </c>
      <c r="K2064" s="1030">
        <v>642129.82150160207</v>
      </c>
      <c r="L2064" s="1030">
        <v>587112</v>
      </c>
      <c r="M2064" s="979">
        <v>599</v>
      </c>
    </row>
    <row r="2065" spans="1:13" ht="15">
      <c r="A2065" s="979" t="s">
        <v>3773</v>
      </c>
      <c r="B2065" s="722" t="str">
        <f>CONCATENATE(LEFT(RIGHT(CONCATENATE("000",IFAData_TEA!A2065),6),3),"-",(RIGHT(RIGHT(CONCATENATE("000",IFAData_TEA!A2065),6),3)))</f>
        <v>245-903</v>
      </c>
      <c r="C2065" s="979" t="s">
        <v>78</v>
      </c>
      <c r="D2065" s="979">
        <v>9</v>
      </c>
      <c r="E2065" s="979">
        <v>2227</v>
      </c>
      <c r="F2065" s="979" t="s">
        <v>5674</v>
      </c>
      <c r="G2065" s="979" t="s">
        <v>5674</v>
      </c>
      <c r="H2065" s="1030">
        <v>540475</v>
      </c>
      <c r="I2065" s="1030">
        <v>614448</v>
      </c>
      <c r="J2065" s="1034">
        <v>1</v>
      </c>
      <c r="K2065" s="1030">
        <v>540475</v>
      </c>
      <c r="L2065" s="1030">
        <v>540475</v>
      </c>
      <c r="M2065" s="979">
        <v>599</v>
      </c>
    </row>
    <row r="2066" spans="1:13" ht="15">
      <c r="A2066" s="979" t="s">
        <v>3773</v>
      </c>
      <c r="B2066" s="722" t="str">
        <f>CONCATENATE(LEFT(RIGHT(CONCATENATE("000",IFAData_TEA!A2066),6),3),"-",(RIGHT(RIGHT(CONCATENATE("000",IFAData_TEA!A2066),6),3)))</f>
        <v>245-903</v>
      </c>
      <c r="C2066" s="979" t="s">
        <v>78</v>
      </c>
      <c r="D2066" s="979">
        <v>3</v>
      </c>
      <c r="E2066" s="979">
        <v>2226</v>
      </c>
      <c r="F2066" s="979" t="s">
        <v>5671</v>
      </c>
      <c r="G2066" s="979" t="s">
        <v>5671</v>
      </c>
      <c r="H2066" s="1030">
        <v>415048</v>
      </c>
      <c r="I2066" s="1030">
        <v>0</v>
      </c>
      <c r="J2066" s="1034">
        <v>0</v>
      </c>
      <c r="K2066" s="1030">
        <v>0</v>
      </c>
      <c r="L2066" s="1030">
        <v>0</v>
      </c>
      <c r="M2066" s="979">
        <v>599</v>
      </c>
    </row>
    <row r="2067" spans="1:13" ht="15">
      <c r="A2067" s="979" t="s">
        <v>3774</v>
      </c>
      <c r="B2067" s="722" t="str">
        <f>CONCATENATE(LEFT(RIGHT(CONCATENATE("000",IFAData_TEA!A2067),6),3),"-",(RIGHT(RIGHT(CONCATENATE("000",IFAData_TEA!A2067),6),3)))</f>
        <v>245-904</v>
      </c>
      <c r="C2067" s="979" t="s">
        <v>534</v>
      </c>
      <c r="D2067" s="979">
        <v>6</v>
      </c>
      <c r="E2067" s="979">
        <v>2300</v>
      </c>
      <c r="F2067" s="979" t="s">
        <v>5675</v>
      </c>
      <c r="G2067" s="979" t="s">
        <v>5676</v>
      </c>
      <c r="H2067" s="1030">
        <v>99319</v>
      </c>
      <c r="I2067" s="1030">
        <v>89400</v>
      </c>
      <c r="J2067" s="1034">
        <v>1</v>
      </c>
      <c r="K2067" s="1030">
        <v>99319</v>
      </c>
      <c r="L2067" s="1030">
        <v>89400</v>
      </c>
      <c r="M2067" s="979">
        <v>599</v>
      </c>
    </row>
    <row r="2068" spans="1:13" ht="15">
      <c r="A2068" s="979" t="s">
        <v>3774</v>
      </c>
      <c r="B2068" s="722" t="str">
        <f>CONCATENATE(LEFT(RIGHT(CONCATENATE("000",IFAData_TEA!A2068),6),3),"-",(RIGHT(RIGHT(CONCATENATE("000",IFAData_TEA!A2068),6),3)))</f>
        <v>245-904</v>
      </c>
      <c r="C2068" s="979" t="s">
        <v>534</v>
      </c>
      <c r="D2068" s="979">
        <v>6</v>
      </c>
      <c r="E2068" s="979">
        <v>2300</v>
      </c>
      <c r="F2068" s="979" t="s">
        <v>5675</v>
      </c>
      <c r="G2068" s="979" t="s">
        <v>5675</v>
      </c>
      <c r="H2068" s="1030">
        <v>99319</v>
      </c>
      <c r="I2068" s="1030">
        <v>0</v>
      </c>
      <c r="J2068" s="1034">
        <v>0</v>
      </c>
      <c r="K2068" s="1030">
        <v>0</v>
      </c>
      <c r="L2068" s="1030">
        <v>0</v>
      </c>
      <c r="M2068" s="979">
        <v>599</v>
      </c>
    </row>
    <row r="2069" spans="1:13" ht="15">
      <c r="A2069" s="979" t="s">
        <v>3774</v>
      </c>
      <c r="B2069" s="722" t="str">
        <f>CONCATENATE(LEFT(RIGHT(CONCATENATE("000",IFAData_TEA!A2069),6),3),"-",(RIGHT(RIGHT(CONCATENATE("000",IFAData_TEA!A2069),6),3)))</f>
        <v>245-904</v>
      </c>
      <c r="C2069" s="979" t="s">
        <v>534</v>
      </c>
      <c r="D2069" s="979">
        <v>9</v>
      </c>
      <c r="E2069" s="979">
        <v>2301</v>
      </c>
      <c r="F2069" s="979" t="s">
        <v>5677</v>
      </c>
      <c r="G2069" s="979" t="s">
        <v>5677</v>
      </c>
      <c r="H2069" s="1030">
        <v>100000</v>
      </c>
      <c r="I2069" s="1030">
        <v>165315</v>
      </c>
      <c r="J2069" s="1034">
        <v>1</v>
      </c>
      <c r="K2069" s="1030">
        <v>100000</v>
      </c>
      <c r="L2069" s="1030">
        <v>100000</v>
      </c>
      <c r="M2069" s="979">
        <v>599</v>
      </c>
    </row>
    <row r="2070" spans="1:13" ht="15">
      <c r="A2070" s="979" t="s">
        <v>3775</v>
      </c>
      <c r="B2070" s="722" t="str">
        <f>CONCATENATE(LEFT(RIGHT(CONCATENATE("000",IFAData_TEA!A2070),6),3),"-",(RIGHT(RIGHT(CONCATENATE("000",IFAData_TEA!A2070),6),3)))</f>
        <v>246-902</v>
      </c>
      <c r="C2070" s="979" t="s">
        <v>109</v>
      </c>
      <c r="D2070" s="979">
        <v>2</v>
      </c>
      <c r="E2070" s="979">
        <v>1813</v>
      </c>
      <c r="F2070" s="979" t="s">
        <v>5678</v>
      </c>
      <c r="G2070" s="979" t="s">
        <v>5679</v>
      </c>
      <c r="H2070" s="1030">
        <v>231000</v>
      </c>
      <c r="I2070" s="1030">
        <v>473840</v>
      </c>
      <c r="J2070" s="1034">
        <v>1</v>
      </c>
      <c r="K2070" s="1030">
        <v>231000</v>
      </c>
      <c r="L2070" s="1030">
        <v>231000</v>
      </c>
      <c r="M2070" s="979">
        <v>599</v>
      </c>
    </row>
    <row r="2071" spans="1:13" ht="15">
      <c r="A2071" s="979" t="s">
        <v>3775</v>
      </c>
      <c r="B2071" s="722" t="str">
        <f>CONCATENATE(LEFT(RIGHT(CONCATENATE("000",IFAData_TEA!A2071),6),3),"-",(RIGHT(RIGHT(CONCATENATE("000",IFAData_TEA!A2071),6),3)))</f>
        <v>246-902</v>
      </c>
      <c r="C2071" s="979" t="s">
        <v>109</v>
      </c>
      <c r="D2071" s="979">
        <v>2</v>
      </c>
      <c r="E2071" s="979">
        <v>1813</v>
      </c>
      <c r="F2071" s="979" t="s">
        <v>5678</v>
      </c>
      <c r="G2071" s="979" t="s">
        <v>5678</v>
      </c>
      <c r="H2071" s="1030">
        <v>231000</v>
      </c>
      <c r="I2071" s="1030">
        <v>0</v>
      </c>
      <c r="J2071" s="1034">
        <v>0</v>
      </c>
      <c r="K2071" s="1030">
        <v>0</v>
      </c>
      <c r="L2071" s="1030">
        <v>0</v>
      </c>
      <c r="M2071" s="979">
        <v>599</v>
      </c>
    </row>
    <row r="2072" spans="1:13" ht="15">
      <c r="A2072" s="979" t="s">
        <v>3777</v>
      </c>
      <c r="B2072" s="722" t="str">
        <f>CONCATENATE(LEFT(RIGHT(CONCATENATE("000",IFAData_TEA!A2072),6),3),"-",(RIGHT(RIGHT(CONCATENATE("000",IFAData_TEA!A2072),6),3)))</f>
        <v>246-905</v>
      </c>
      <c r="C2072" s="979" t="s">
        <v>1018</v>
      </c>
      <c r="D2072" s="979">
        <v>2</v>
      </c>
      <c r="E2072" s="979">
        <v>1859</v>
      </c>
      <c r="F2072" s="979" t="s">
        <v>5680</v>
      </c>
      <c r="G2072" s="979" t="s">
        <v>5680</v>
      </c>
      <c r="H2072" s="1030">
        <v>99992</v>
      </c>
      <c r="I2072" s="1030">
        <v>0</v>
      </c>
      <c r="J2072" s="1034">
        <v>0</v>
      </c>
      <c r="K2072" s="1030">
        <v>0</v>
      </c>
      <c r="L2072" s="1030">
        <v>0</v>
      </c>
      <c r="M2072" s="979">
        <v>599</v>
      </c>
    </row>
    <row r="2073" spans="1:13" ht="15">
      <c r="A2073" s="979" t="s">
        <v>3777</v>
      </c>
      <c r="B2073" s="722" t="str">
        <f>CONCATENATE(LEFT(RIGHT(CONCATENATE("000",IFAData_TEA!A2073),6),3),"-",(RIGHT(RIGHT(CONCATENATE("000",IFAData_TEA!A2073),6),3)))</f>
        <v>246-905</v>
      </c>
      <c r="C2073" s="979" t="s">
        <v>1018</v>
      </c>
      <c r="D2073" s="979">
        <v>2</v>
      </c>
      <c r="E2073" s="979">
        <v>1859</v>
      </c>
      <c r="F2073" s="979" t="s">
        <v>5680</v>
      </c>
      <c r="G2073" s="979" t="s">
        <v>5681</v>
      </c>
      <c r="H2073" s="1030">
        <v>99992</v>
      </c>
      <c r="I2073" s="1030">
        <v>102748</v>
      </c>
      <c r="J2073" s="1034">
        <v>1</v>
      </c>
      <c r="K2073" s="1030">
        <v>99992</v>
      </c>
      <c r="L2073" s="1030">
        <v>99992</v>
      </c>
      <c r="M2073" s="979">
        <v>599</v>
      </c>
    </row>
    <row r="2074" spans="1:13" ht="15">
      <c r="A2074" s="979" t="s">
        <v>3778</v>
      </c>
      <c r="B2074" s="722" t="str">
        <f>CONCATENATE(LEFT(RIGHT(CONCATENATE("000",IFAData_TEA!A2074),6),3),"-",(RIGHT(RIGHT(CONCATENATE("000",IFAData_TEA!A2074),6),3)))</f>
        <v>246-906</v>
      </c>
      <c r="C2074" s="979" t="s">
        <v>1268</v>
      </c>
      <c r="D2074" s="979">
        <v>9</v>
      </c>
      <c r="E2074" s="979">
        <v>1922</v>
      </c>
      <c r="F2074" s="979" t="s">
        <v>5685</v>
      </c>
      <c r="G2074" s="979" t="s">
        <v>6357</v>
      </c>
      <c r="H2074" s="1030">
        <v>1273250</v>
      </c>
      <c r="I2074" s="1030">
        <v>302416</v>
      </c>
      <c r="J2074" s="1034">
        <v>0.23080081508673653</v>
      </c>
      <c r="K2074" s="1030">
        <v>293867.13780918729</v>
      </c>
      <c r="L2074" s="1030">
        <v>293867.13780918729</v>
      </c>
      <c r="M2074" s="979">
        <v>599</v>
      </c>
    </row>
    <row r="2075" spans="1:13" ht="15">
      <c r="A2075" s="979" t="s">
        <v>3778</v>
      </c>
      <c r="B2075" s="722" t="str">
        <f>CONCATENATE(LEFT(RIGHT(CONCATENATE("000",IFAData_TEA!A2075),6),3),"-",(RIGHT(RIGHT(CONCATENATE("000",IFAData_TEA!A2075),6),3)))</f>
        <v>246-906</v>
      </c>
      <c r="C2075" s="979" t="s">
        <v>1268</v>
      </c>
      <c r="D2075" s="979">
        <v>9</v>
      </c>
      <c r="E2075" s="979">
        <v>1922</v>
      </c>
      <c r="F2075" s="979" t="s">
        <v>5685</v>
      </c>
      <c r="G2075" s="979" t="s">
        <v>5685</v>
      </c>
      <c r="H2075" s="1030">
        <v>1273250</v>
      </c>
      <c r="I2075" s="1030">
        <v>967670</v>
      </c>
      <c r="J2075" s="1034">
        <v>0.7385159010600707</v>
      </c>
      <c r="K2075" s="1030">
        <v>940315.37102473504</v>
      </c>
      <c r="L2075" s="1030">
        <v>940315.37102473504</v>
      </c>
      <c r="M2075" s="979">
        <v>599</v>
      </c>
    </row>
    <row r="2076" spans="1:13" ht="15">
      <c r="A2076" s="979" t="s">
        <v>3778</v>
      </c>
      <c r="B2076" s="722" t="str">
        <f>CONCATENATE(LEFT(RIGHT(CONCATENATE("000",IFAData_TEA!A2076),6),3),"-",(RIGHT(RIGHT(CONCATENATE("000",IFAData_TEA!A2076),6),3)))</f>
        <v>246-906</v>
      </c>
      <c r="C2076" s="979" t="s">
        <v>1268</v>
      </c>
      <c r="D2076" s="979">
        <v>3</v>
      </c>
      <c r="E2076" s="979">
        <v>1921</v>
      </c>
      <c r="F2076" s="979" t="s">
        <v>5682</v>
      </c>
      <c r="G2076" s="979" t="s">
        <v>5684</v>
      </c>
      <c r="H2076" s="1030">
        <v>502075</v>
      </c>
      <c r="I2076" s="1030">
        <v>324007</v>
      </c>
      <c r="J2076" s="1034">
        <v>0.24818024236881392</v>
      </c>
      <c r="K2076" s="1030">
        <v>124605.09518732225</v>
      </c>
      <c r="L2076" s="1030">
        <v>124605.09518732225</v>
      </c>
      <c r="M2076" s="979">
        <v>599</v>
      </c>
    </row>
    <row r="2077" spans="1:13" ht="15">
      <c r="A2077" s="979" t="s">
        <v>3778</v>
      </c>
      <c r="B2077" s="722" t="str">
        <f>CONCATENATE(LEFT(RIGHT(CONCATENATE("000",IFAData_TEA!A2077),6),3),"-",(RIGHT(RIGHT(CONCATENATE("000",IFAData_TEA!A2077),6),3)))</f>
        <v>246-906</v>
      </c>
      <c r="C2077" s="979" t="s">
        <v>1268</v>
      </c>
      <c r="D2077" s="979">
        <v>9</v>
      </c>
      <c r="E2077" s="979">
        <v>1922</v>
      </c>
      <c r="F2077" s="979" t="s">
        <v>5685</v>
      </c>
      <c r="G2077" s="979" t="s">
        <v>5686</v>
      </c>
      <c r="H2077" s="1030">
        <v>1273250</v>
      </c>
      <c r="I2077" s="1030">
        <v>40204</v>
      </c>
      <c r="J2077" s="1034">
        <v>3.0683283853192803E-2</v>
      </c>
      <c r="K2077" s="1030">
        <v>39067.491166077736</v>
      </c>
      <c r="L2077" s="1030">
        <v>39067.491166077736</v>
      </c>
      <c r="M2077" s="979">
        <v>599</v>
      </c>
    </row>
    <row r="2078" spans="1:13" ht="15">
      <c r="A2078" s="979" t="s">
        <v>3778</v>
      </c>
      <c r="B2078" s="722" t="str">
        <f>CONCATENATE(LEFT(RIGHT(CONCATENATE("000",IFAData_TEA!A2078),6),3),"-",(RIGHT(RIGHT(CONCATENATE("000",IFAData_TEA!A2078),6),3)))</f>
        <v>246-906</v>
      </c>
      <c r="C2078" s="979" t="s">
        <v>1268</v>
      </c>
      <c r="D2078" s="979">
        <v>3</v>
      </c>
      <c r="E2078" s="979">
        <v>1921</v>
      </c>
      <c r="F2078" s="979" t="s">
        <v>5682</v>
      </c>
      <c r="G2078" s="979" t="s">
        <v>5683</v>
      </c>
      <c r="H2078" s="1030">
        <v>502075</v>
      </c>
      <c r="I2078" s="1030">
        <v>981524</v>
      </c>
      <c r="J2078" s="1034">
        <v>0.75181975763118614</v>
      </c>
      <c r="K2078" s="1030">
        <v>377469.90481267776</v>
      </c>
      <c r="L2078" s="1030">
        <v>377469.90481267776</v>
      </c>
      <c r="M2078" s="979">
        <v>599</v>
      </c>
    </row>
    <row r="2079" spans="1:13" ht="15">
      <c r="A2079" s="979" t="s">
        <v>3778</v>
      </c>
      <c r="B2079" s="722" t="str">
        <f>CONCATENATE(LEFT(RIGHT(CONCATENATE("000",IFAData_TEA!A2079),6),3),"-",(RIGHT(RIGHT(CONCATENATE("000",IFAData_TEA!A2079),6),3)))</f>
        <v>246-906</v>
      </c>
      <c r="C2079" s="979" t="s">
        <v>1268</v>
      </c>
      <c r="D2079" s="979">
        <v>3</v>
      </c>
      <c r="E2079" s="979">
        <v>1921</v>
      </c>
      <c r="F2079" s="979" t="s">
        <v>5682</v>
      </c>
      <c r="G2079" s="979" t="s">
        <v>5682</v>
      </c>
      <c r="H2079" s="1030">
        <v>502075</v>
      </c>
      <c r="I2079" s="1030">
        <v>0</v>
      </c>
      <c r="J2079" s="1034">
        <v>0</v>
      </c>
      <c r="K2079" s="1030">
        <v>0</v>
      </c>
      <c r="L2079" s="1030">
        <v>0</v>
      </c>
      <c r="M2079" s="979">
        <v>599</v>
      </c>
    </row>
    <row r="2080" spans="1:13" ht="15">
      <c r="A2080" s="979" t="s">
        <v>3779</v>
      </c>
      <c r="B2080" s="722" t="str">
        <f>CONCATENATE(LEFT(RIGHT(CONCATENATE("000",IFAData_TEA!A2080),6),3),"-",(RIGHT(RIGHT(CONCATENATE("000",IFAData_TEA!A2080),6),3)))</f>
        <v>246-908</v>
      </c>
      <c r="C2080" s="979" t="s">
        <v>2467</v>
      </c>
      <c r="D2080" s="979">
        <v>1</v>
      </c>
      <c r="E2080" s="979">
        <v>2020</v>
      </c>
      <c r="F2080" s="979" t="s">
        <v>5687</v>
      </c>
      <c r="G2080" s="979" t="s">
        <v>6358</v>
      </c>
      <c r="H2080" s="1030">
        <v>293067</v>
      </c>
      <c r="I2080" s="1030">
        <v>374</v>
      </c>
      <c r="J2080" s="1034">
        <v>2.8651758559138302E-4</v>
      </c>
      <c r="K2080" s="1030">
        <v>83.968849256509841</v>
      </c>
      <c r="L2080" s="1030">
        <v>83.968849256509841</v>
      </c>
      <c r="M2080" s="979">
        <v>599</v>
      </c>
    </row>
    <row r="2081" spans="1:13" ht="15">
      <c r="A2081" s="979" t="s">
        <v>3779</v>
      </c>
      <c r="B2081" s="722" t="str">
        <f>CONCATENATE(LEFT(RIGHT(CONCATENATE("000",IFAData_TEA!A2081),6),3),"-",(RIGHT(RIGHT(CONCATENATE("000",IFAData_TEA!A2081),6),3)))</f>
        <v>246-908</v>
      </c>
      <c r="C2081" s="979" t="s">
        <v>2467</v>
      </c>
      <c r="D2081" s="979">
        <v>1</v>
      </c>
      <c r="E2081" s="979">
        <v>2020</v>
      </c>
      <c r="F2081" s="979" t="s">
        <v>5687</v>
      </c>
      <c r="G2081" s="979" t="s">
        <v>5690</v>
      </c>
      <c r="H2081" s="1030">
        <v>293067</v>
      </c>
      <c r="I2081" s="1030">
        <v>402070</v>
      </c>
      <c r="J2081" s="1034">
        <v>0.30802172630675767</v>
      </c>
      <c r="K2081" s="1030">
        <v>90271.003263542545</v>
      </c>
      <c r="L2081" s="1030">
        <v>90271.003263542545</v>
      </c>
      <c r="M2081" s="979">
        <v>599</v>
      </c>
    </row>
    <row r="2082" spans="1:13" ht="15">
      <c r="A2082" s="979" t="s">
        <v>3779</v>
      </c>
      <c r="B2082" s="722" t="str">
        <f>CONCATENATE(LEFT(RIGHT(CONCATENATE("000",IFAData_TEA!A2082),6),3),"-",(RIGHT(RIGHT(CONCATENATE("000",IFAData_TEA!A2082),6),3)))</f>
        <v>246-908</v>
      </c>
      <c r="C2082" s="979" t="s">
        <v>2467</v>
      </c>
      <c r="D2082" s="979">
        <v>1</v>
      </c>
      <c r="E2082" s="979">
        <v>2020</v>
      </c>
      <c r="F2082" s="979" t="s">
        <v>5687</v>
      </c>
      <c r="G2082" s="979" t="s">
        <v>5687</v>
      </c>
      <c r="H2082" s="1030">
        <v>293067</v>
      </c>
      <c r="I2082" s="1030">
        <v>0</v>
      </c>
      <c r="J2082" s="1034">
        <v>0</v>
      </c>
      <c r="K2082" s="1030">
        <v>0</v>
      </c>
      <c r="L2082" s="1030">
        <v>0</v>
      </c>
      <c r="M2082" s="979">
        <v>599</v>
      </c>
    </row>
    <row r="2083" spans="1:13" ht="15">
      <c r="A2083" s="979" t="s">
        <v>3779</v>
      </c>
      <c r="B2083" s="722" t="str">
        <f>CONCATENATE(LEFT(RIGHT(CONCATENATE("000",IFAData_TEA!A2083),6),3),"-",(RIGHT(RIGHT(CONCATENATE("000",IFAData_TEA!A2083),6),3)))</f>
        <v>246-908</v>
      </c>
      <c r="C2083" s="979" t="s">
        <v>2467</v>
      </c>
      <c r="D2083" s="979">
        <v>1</v>
      </c>
      <c r="E2083" s="979">
        <v>2020</v>
      </c>
      <c r="F2083" s="979" t="s">
        <v>5687</v>
      </c>
      <c r="G2083" s="979" t="s">
        <v>5688</v>
      </c>
      <c r="H2083" s="1030">
        <v>293067</v>
      </c>
      <c r="I2083" s="1030">
        <v>798829</v>
      </c>
      <c r="J2083" s="1034">
        <v>0.61197474968015753</v>
      </c>
      <c r="K2083" s="1030">
        <v>179349.60396451474</v>
      </c>
      <c r="L2083" s="1030">
        <v>179349.60396451474</v>
      </c>
      <c r="M2083" s="979">
        <v>599</v>
      </c>
    </row>
    <row r="2084" spans="1:13" ht="15">
      <c r="A2084" s="979" t="s">
        <v>3779</v>
      </c>
      <c r="B2084" s="722" t="str">
        <f>CONCATENATE(LEFT(RIGHT(CONCATENATE("000",IFAData_TEA!A2084),6),3),"-",(RIGHT(RIGHT(CONCATENATE("000",IFAData_TEA!A2084),6),3)))</f>
        <v>246-908</v>
      </c>
      <c r="C2084" s="979" t="s">
        <v>2467</v>
      </c>
      <c r="D2084" s="979">
        <v>1</v>
      </c>
      <c r="E2084" s="979">
        <v>2020</v>
      </c>
      <c r="F2084" s="979" t="s">
        <v>5687</v>
      </c>
      <c r="G2084" s="979" t="s">
        <v>5689</v>
      </c>
      <c r="H2084" s="1030">
        <v>293067</v>
      </c>
      <c r="I2084" s="1030">
        <v>104057</v>
      </c>
      <c r="J2084" s="1034">
        <v>7.9717006427493436E-2</v>
      </c>
      <c r="K2084" s="1030">
        <v>23362.423922686219</v>
      </c>
      <c r="L2084" s="1030">
        <v>23362.423922686219</v>
      </c>
      <c r="M2084" s="979">
        <v>599</v>
      </c>
    </row>
    <row r="2085" spans="1:13" ht="15">
      <c r="A2085" s="979" t="s">
        <v>5691</v>
      </c>
      <c r="B2085" s="722" t="str">
        <f>CONCATENATE(LEFT(RIGHT(CONCATENATE("000",IFAData_TEA!A2085),6),3),"-",(RIGHT(RIGHT(CONCATENATE("000",IFAData_TEA!A2085),6),3)))</f>
        <v>246-909</v>
      </c>
      <c r="C2085" s="979" t="s">
        <v>611</v>
      </c>
      <c r="D2085" s="979">
        <v>2</v>
      </c>
      <c r="E2085" s="979">
        <v>2266</v>
      </c>
      <c r="F2085" s="979" t="s">
        <v>5692</v>
      </c>
      <c r="G2085" s="979" t="s">
        <v>5692</v>
      </c>
      <c r="H2085" s="1030">
        <v>4872062</v>
      </c>
      <c r="I2085" s="1030">
        <v>0</v>
      </c>
      <c r="J2085" s="1034">
        <v>0</v>
      </c>
      <c r="K2085" s="1030"/>
      <c r="L2085" s="1030">
        <v>0</v>
      </c>
      <c r="M2085" s="979">
        <v>599</v>
      </c>
    </row>
    <row r="2086" spans="1:13" ht="15">
      <c r="A2086" s="979" t="s">
        <v>3780</v>
      </c>
      <c r="B2086" s="722" t="str">
        <f>CONCATENATE(LEFT(RIGHT(CONCATENATE("000",IFAData_TEA!A2086),6),3),"-",(RIGHT(RIGHT(CONCATENATE("000",IFAData_TEA!A2086),6),3)))</f>
        <v>246-911</v>
      </c>
      <c r="C2086" s="979" t="s">
        <v>602</v>
      </c>
      <c r="D2086" s="979">
        <v>5</v>
      </c>
      <c r="E2086" s="979">
        <v>2390</v>
      </c>
      <c r="F2086" s="979" t="s">
        <v>5693</v>
      </c>
      <c r="G2086" s="979" t="s">
        <v>5696</v>
      </c>
      <c r="H2086" s="1030">
        <v>472480</v>
      </c>
      <c r="I2086" s="1030">
        <v>522650</v>
      </c>
      <c r="J2086" s="1034">
        <v>1</v>
      </c>
      <c r="K2086" s="1030">
        <v>472480</v>
      </c>
      <c r="L2086" s="1030">
        <v>472480</v>
      </c>
      <c r="M2086" s="979">
        <v>599</v>
      </c>
    </row>
    <row r="2087" spans="1:13" ht="15">
      <c r="A2087" s="979" t="s">
        <v>3780</v>
      </c>
      <c r="B2087" s="722" t="str">
        <f>CONCATENATE(LEFT(RIGHT(CONCATENATE("000",IFAData_TEA!A2087),6),3),"-",(RIGHT(RIGHT(CONCATENATE("000",IFAData_TEA!A2087),6),3)))</f>
        <v>246-911</v>
      </c>
      <c r="C2087" s="979" t="s">
        <v>602</v>
      </c>
      <c r="D2087" s="979">
        <v>5</v>
      </c>
      <c r="E2087" s="979">
        <v>2390</v>
      </c>
      <c r="F2087" s="979" t="s">
        <v>5693</v>
      </c>
      <c r="G2087" s="979" t="s">
        <v>5694</v>
      </c>
      <c r="H2087" s="1030">
        <v>472480</v>
      </c>
      <c r="I2087" s="1030">
        <v>0</v>
      </c>
      <c r="J2087" s="1034">
        <v>0</v>
      </c>
      <c r="K2087" s="1030">
        <v>0</v>
      </c>
      <c r="L2087" s="1030">
        <v>0</v>
      </c>
      <c r="M2087" s="979">
        <v>599</v>
      </c>
    </row>
    <row r="2088" spans="1:13" ht="15">
      <c r="A2088" s="979" t="s">
        <v>3780</v>
      </c>
      <c r="B2088" s="722" t="str">
        <f>CONCATENATE(LEFT(RIGHT(CONCATENATE("000",IFAData_TEA!A2088),6),3),"-",(RIGHT(RIGHT(CONCATENATE("000",IFAData_TEA!A2088),6),3)))</f>
        <v>246-911</v>
      </c>
      <c r="C2088" s="979" t="s">
        <v>602</v>
      </c>
      <c r="D2088" s="979">
        <v>5</v>
      </c>
      <c r="E2088" s="979">
        <v>2390</v>
      </c>
      <c r="F2088" s="979" t="s">
        <v>5693</v>
      </c>
      <c r="G2088" s="979" t="s">
        <v>5695</v>
      </c>
      <c r="H2088" s="1030">
        <v>472480</v>
      </c>
      <c r="I2088" s="1030">
        <v>0</v>
      </c>
      <c r="J2088" s="1034">
        <v>0</v>
      </c>
      <c r="K2088" s="1030">
        <v>0</v>
      </c>
      <c r="L2088" s="1030">
        <v>0</v>
      </c>
      <c r="M2088" s="979">
        <v>599</v>
      </c>
    </row>
    <row r="2089" spans="1:13" ht="15">
      <c r="A2089" s="979" t="s">
        <v>3780</v>
      </c>
      <c r="B2089" s="722" t="str">
        <f>CONCATENATE(LEFT(RIGHT(CONCATENATE("000",IFAData_TEA!A2089),6),3),"-",(RIGHT(RIGHT(CONCATENATE("000",IFAData_TEA!A2089),6),3)))</f>
        <v>246-911</v>
      </c>
      <c r="C2089" s="979" t="s">
        <v>602</v>
      </c>
      <c r="D2089" s="979">
        <v>5</v>
      </c>
      <c r="E2089" s="979">
        <v>2390</v>
      </c>
      <c r="F2089" s="979" t="s">
        <v>5693</v>
      </c>
      <c r="G2089" s="979" t="s">
        <v>5693</v>
      </c>
      <c r="H2089" s="1030">
        <v>472480</v>
      </c>
      <c r="I2089" s="1030">
        <v>0</v>
      </c>
      <c r="J2089" s="1034">
        <v>0</v>
      </c>
      <c r="K2089" s="1030">
        <v>0</v>
      </c>
      <c r="L2089" s="1030">
        <v>0</v>
      </c>
      <c r="M2089" s="979">
        <v>599</v>
      </c>
    </row>
    <row r="2090" spans="1:13" ht="15">
      <c r="A2090" s="979" t="s">
        <v>3781</v>
      </c>
      <c r="B2090" s="722" t="str">
        <f>CONCATENATE(LEFT(RIGHT(CONCATENATE("000",IFAData_TEA!A2090),6),3),"-",(RIGHT(RIGHT(CONCATENATE("000",IFAData_TEA!A2090),6),3)))</f>
        <v>246-912</v>
      </c>
      <c r="C2090" s="979" t="s">
        <v>604</v>
      </c>
      <c r="D2090" s="979">
        <v>1</v>
      </c>
      <c r="E2090" s="979">
        <v>2393</v>
      </c>
      <c r="F2090" s="979" t="s">
        <v>5697</v>
      </c>
      <c r="G2090" s="979" t="s">
        <v>6359</v>
      </c>
      <c r="H2090" s="1030">
        <v>114342</v>
      </c>
      <c r="I2090" s="1030">
        <v>2162</v>
      </c>
      <c r="J2090" s="1034">
        <v>1.6898546193528215E-2</v>
      </c>
      <c r="K2090" s="1030">
        <v>1932.213568860403</v>
      </c>
      <c r="L2090" s="1030">
        <v>1932.213568860403</v>
      </c>
      <c r="M2090" s="979">
        <v>599</v>
      </c>
    </row>
    <row r="2091" spans="1:13" ht="15">
      <c r="A2091" s="979" t="s">
        <v>3781</v>
      </c>
      <c r="B2091" s="722" t="str">
        <f>CONCATENATE(LEFT(RIGHT(CONCATENATE("000",IFAData_TEA!A2091),6),3),"-",(RIGHT(RIGHT(CONCATENATE("000",IFAData_TEA!A2091),6),3)))</f>
        <v>246-912</v>
      </c>
      <c r="C2091" s="979" t="s">
        <v>604</v>
      </c>
      <c r="D2091" s="979">
        <v>1</v>
      </c>
      <c r="E2091" s="979">
        <v>2393</v>
      </c>
      <c r="F2091" s="979" t="s">
        <v>5697</v>
      </c>
      <c r="G2091" s="979" t="s">
        <v>5698</v>
      </c>
      <c r="H2091" s="1030">
        <v>114342</v>
      </c>
      <c r="I2091" s="1030">
        <v>125778</v>
      </c>
      <c r="J2091" s="1034">
        <v>0.98310145380647174</v>
      </c>
      <c r="K2091" s="1030">
        <v>112409.7864311396</v>
      </c>
      <c r="L2091" s="1030">
        <v>112409.7864311396</v>
      </c>
      <c r="M2091" s="979">
        <v>599</v>
      </c>
    </row>
    <row r="2092" spans="1:13" ht="15">
      <c r="A2092" s="979" t="s">
        <v>3781</v>
      </c>
      <c r="B2092" s="722" t="str">
        <f>CONCATENATE(LEFT(RIGHT(CONCATENATE("000",IFAData_TEA!A2092),6),3),"-",(RIGHT(RIGHT(CONCATENATE("000",IFAData_TEA!A2092),6),3)))</f>
        <v>246-912</v>
      </c>
      <c r="C2092" s="979" t="s">
        <v>604</v>
      </c>
      <c r="D2092" s="979">
        <v>1</v>
      </c>
      <c r="E2092" s="979">
        <v>2393</v>
      </c>
      <c r="F2092" s="979" t="s">
        <v>5697</v>
      </c>
      <c r="G2092" s="979" t="s">
        <v>5697</v>
      </c>
      <c r="H2092" s="1030">
        <v>114342</v>
      </c>
      <c r="I2092" s="1030">
        <v>0</v>
      </c>
      <c r="J2092" s="1034">
        <v>0</v>
      </c>
      <c r="K2092" s="1030">
        <v>0</v>
      </c>
      <c r="L2092" s="1030">
        <v>0</v>
      </c>
      <c r="M2092" s="979">
        <v>599</v>
      </c>
    </row>
    <row r="2093" spans="1:13" ht="15">
      <c r="A2093" s="979" t="s">
        <v>3782</v>
      </c>
      <c r="B2093" s="722" t="str">
        <f>CONCATENATE(LEFT(RIGHT(CONCATENATE("000",IFAData_TEA!A2093),6),3),"-",(RIGHT(RIGHT(CONCATENATE("000",IFAData_TEA!A2093),6),3)))</f>
        <v>246-913</v>
      </c>
      <c r="C2093" s="979" t="s">
        <v>2465</v>
      </c>
      <c r="D2093" s="979">
        <v>1</v>
      </c>
      <c r="E2093" s="979">
        <v>2017</v>
      </c>
      <c r="F2093" s="979" t="s">
        <v>5699</v>
      </c>
      <c r="G2093" s="979" t="s">
        <v>6360</v>
      </c>
      <c r="H2093" s="1030">
        <v>379027</v>
      </c>
      <c r="I2093" s="1030">
        <v>35942</v>
      </c>
      <c r="J2093" s="1034">
        <v>1.145266812562693E-2</v>
      </c>
      <c r="K2093" s="1030">
        <v>4340.8704416519986</v>
      </c>
      <c r="L2093" s="1030">
        <v>4340.8704416519986</v>
      </c>
      <c r="M2093" s="979">
        <v>599</v>
      </c>
    </row>
    <row r="2094" spans="1:13" ht="15">
      <c r="A2094" s="979" t="s">
        <v>3782</v>
      </c>
      <c r="B2094" s="722" t="str">
        <f>CONCATENATE(LEFT(RIGHT(CONCATENATE("000",IFAData_TEA!A2094),6),3),"-",(RIGHT(RIGHT(CONCATENATE("000",IFAData_TEA!A2094),6),3)))</f>
        <v>246-913</v>
      </c>
      <c r="C2094" s="979" t="s">
        <v>2465</v>
      </c>
      <c r="D2094" s="979">
        <v>1</v>
      </c>
      <c r="E2094" s="979">
        <v>2017</v>
      </c>
      <c r="F2094" s="979" t="s">
        <v>5699</v>
      </c>
      <c r="G2094" s="979" t="s">
        <v>5699</v>
      </c>
      <c r="H2094" s="1030">
        <v>379027</v>
      </c>
      <c r="I2094" s="1030">
        <v>0</v>
      </c>
      <c r="J2094" s="1034">
        <v>0</v>
      </c>
      <c r="K2094" s="1030">
        <v>0</v>
      </c>
      <c r="L2094" s="1030">
        <v>0</v>
      </c>
      <c r="M2094" s="979">
        <v>599</v>
      </c>
    </row>
    <row r="2095" spans="1:13" ht="15">
      <c r="A2095" s="979" t="s">
        <v>3782</v>
      </c>
      <c r="B2095" s="722" t="str">
        <f>CONCATENATE(LEFT(RIGHT(CONCATENATE("000",IFAData_TEA!A2095),6),3),"-",(RIGHT(RIGHT(CONCATENATE("000",IFAData_TEA!A2095),6),3)))</f>
        <v>246-913</v>
      </c>
      <c r="C2095" s="979" t="s">
        <v>2465</v>
      </c>
      <c r="D2095" s="979">
        <v>1</v>
      </c>
      <c r="E2095" s="979">
        <v>2017</v>
      </c>
      <c r="F2095" s="979" t="s">
        <v>5699</v>
      </c>
      <c r="G2095" s="979" t="s">
        <v>5701</v>
      </c>
      <c r="H2095" s="1030">
        <v>379027</v>
      </c>
      <c r="I2095" s="1030">
        <v>2582444</v>
      </c>
      <c r="J2095" s="1034">
        <v>0.82287780549264122</v>
      </c>
      <c r="K2095" s="1030">
        <v>311892.90598245931</v>
      </c>
      <c r="L2095" s="1030">
        <v>311892.90598245931</v>
      </c>
      <c r="M2095" s="979">
        <v>599</v>
      </c>
    </row>
    <row r="2096" spans="1:13" ht="15">
      <c r="A2096" s="979" t="s">
        <v>3782</v>
      </c>
      <c r="B2096" s="722" t="str">
        <f>CONCATENATE(LEFT(RIGHT(CONCATENATE("000",IFAData_TEA!A2096),6),3),"-",(RIGHT(RIGHT(CONCATENATE("000",IFAData_TEA!A2096),6),3)))</f>
        <v>246-913</v>
      </c>
      <c r="C2096" s="979" t="s">
        <v>2465</v>
      </c>
      <c r="D2096" s="979">
        <v>1</v>
      </c>
      <c r="E2096" s="979">
        <v>2017</v>
      </c>
      <c r="F2096" s="979" t="s">
        <v>5699</v>
      </c>
      <c r="G2096" s="979" t="s">
        <v>6361</v>
      </c>
      <c r="H2096" s="1030">
        <v>379027</v>
      </c>
      <c r="I2096" s="1030">
        <v>7831</v>
      </c>
      <c r="J2096" s="1034">
        <v>2.4952936423066189E-3</v>
      </c>
      <c r="K2096" s="1030">
        <v>945.7836633625509</v>
      </c>
      <c r="L2096" s="1030">
        <v>945.7836633625509</v>
      </c>
      <c r="M2096" s="979">
        <v>599</v>
      </c>
    </row>
    <row r="2097" spans="1:13" ht="15">
      <c r="A2097" s="979" t="s">
        <v>3782</v>
      </c>
      <c r="B2097" s="722" t="str">
        <f>CONCATENATE(LEFT(RIGHT(CONCATENATE("000",IFAData_TEA!A2097),6),3),"-",(RIGHT(RIGHT(CONCATENATE("000",IFAData_TEA!A2097),6),3)))</f>
        <v>246-913</v>
      </c>
      <c r="C2097" s="979" t="s">
        <v>2465</v>
      </c>
      <c r="D2097" s="979">
        <v>1</v>
      </c>
      <c r="E2097" s="979">
        <v>2017</v>
      </c>
      <c r="F2097" s="979" t="s">
        <v>5699</v>
      </c>
      <c r="G2097" s="979" t="s">
        <v>5700</v>
      </c>
      <c r="H2097" s="1030">
        <v>379027</v>
      </c>
      <c r="I2097" s="1030">
        <v>512091</v>
      </c>
      <c r="J2097" s="1034">
        <v>0.16317423273942519</v>
      </c>
      <c r="K2097" s="1030">
        <v>61847.439912526112</v>
      </c>
      <c r="L2097" s="1030">
        <v>61847.439912526112</v>
      </c>
      <c r="M2097" s="979">
        <v>599</v>
      </c>
    </row>
    <row r="2098" spans="1:13" ht="15">
      <c r="A2098" s="979" t="s">
        <v>3783</v>
      </c>
      <c r="B2098" s="722" t="str">
        <f>CONCATENATE(LEFT(RIGHT(CONCATENATE("000",IFAData_TEA!A2098),6),3),"-",(RIGHT(RIGHT(CONCATENATE("000",IFAData_TEA!A2098),6),3)))</f>
        <v>247-901</v>
      </c>
      <c r="C2098" s="979" t="s">
        <v>110</v>
      </c>
      <c r="D2098" s="979">
        <v>5</v>
      </c>
      <c r="E2098" s="979">
        <v>1815</v>
      </c>
      <c r="F2098" s="979" t="s">
        <v>5702</v>
      </c>
      <c r="G2098" s="979" t="s">
        <v>5703</v>
      </c>
      <c r="H2098" s="1030">
        <v>825000</v>
      </c>
      <c r="I2098" s="1030">
        <v>407467</v>
      </c>
      <c r="J2098" s="1034">
        <v>0.32315593873894738</v>
      </c>
      <c r="K2098" s="1030">
        <v>266603.64945963159</v>
      </c>
      <c r="L2098" s="1030">
        <v>266603.64945963159</v>
      </c>
      <c r="M2098" s="979">
        <v>599</v>
      </c>
    </row>
    <row r="2099" spans="1:13" ht="15">
      <c r="A2099" s="979" t="s">
        <v>3783</v>
      </c>
      <c r="B2099" s="722" t="str">
        <f>CONCATENATE(LEFT(RIGHT(CONCATENATE("000",IFAData_TEA!A2099),6),3),"-",(RIGHT(RIGHT(CONCATENATE("000",IFAData_TEA!A2099),6),3)))</f>
        <v>247-901</v>
      </c>
      <c r="C2099" s="979" t="s">
        <v>110</v>
      </c>
      <c r="D2099" s="979">
        <v>5</v>
      </c>
      <c r="E2099" s="979">
        <v>1815</v>
      </c>
      <c r="F2099" s="979" t="s">
        <v>5702</v>
      </c>
      <c r="G2099" s="979" t="s">
        <v>5702</v>
      </c>
      <c r="H2099" s="1030">
        <v>825000</v>
      </c>
      <c r="I2099" s="1030">
        <v>0</v>
      </c>
      <c r="J2099" s="1034">
        <v>0</v>
      </c>
      <c r="K2099" s="1030">
        <v>0</v>
      </c>
      <c r="L2099" s="1030">
        <v>0</v>
      </c>
      <c r="M2099" s="979">
        <v>599</v>
      </c>
    </row>
    <row r="2100" spans="1:13" ht="15">
      <c r="A2100" s="979" t="s">
        <v>3783</v>
      </c>
      <c r="B2100" s="722" t="str">
        <f>CONCATENATE(LEFT(RIGHT(CONCATENATE("000",IFAData_TEA!A2100),6),3),"-",(RIGHT(RIGHT(CONCATENATE("000",IFAData_TEA!A2100),6),3)))</f>
        <v>247-901</v>
      </c>
      <c r="C2100" s="979" t="s">
        <v>110</v>
      </c>
      <c r="D2100" s="979">
        <v>9</v>
      </c>
      <c r="E2100" s="979">
        <v>1814</v>
      </c>
      <c r="F2100" s="979" t="s">
        <v>5705</v>
      </c>
      <c r="G2100" s="979" t="s">
        <v>5705</v>
      </c>
      <c r="H2100" s="1030">
        <v>812750</v>
      </c>
      <c r="I2100" s="1030">
        <v>898069</v>
      </c>
      <c r="J2100" s="1034">
        <v>1</v>
      </c>
      <c r="K2100" s="1030">
        <v>812750</v>
      </c>
      <c r="L2100" s="1030">
        <v>812750</v>
      </c>
      <c r="M2100" s="979">
        <v>599</v>
      </c>
    </row>
    <row r="2101" spans="1:13" ht="15">
      <c r="A2101" s="979" t="s">
        <v>3783</v>
      </c>
      <c r="B2101" s="722" t="str">
        <f>CONCATENATE(LEFT(RIGHT(CONCATENATE("000",IFAData_TEA!A2101),6),3),"-",(RIGHT(RIGHT(CONCATENATE("000",IFAData_TEA!A2101),6),3)))</f>
        <v>247-901</v>
      </c>
      <c r="C2101" s="979" t="s">
        <v>110</v>
      </c>
      <c r="D2101" s="979">
        <v>5</v>
      </c>
      <c r="E2101" s="979">
        <v>1815</v>
      </c>
      <c r="F2101" s="979" t="s">
        <v>5702</v>
      </c>
      <c r="G2101" s="979" t="s">
        <v>5704</v>
      </c>
      <c r="H2101" s="1030">
        <v>825000</v>
      </c>
      <c r="I2101" s="1030">
        <v>853432</v>
      </c>
      <c r="J2101" s="1034">
        <v>0.67684406126105268</v>
      </c>
      <c r="K2101" s="1030">
        <v>558396.35054036847</v>
      </c>
      <c r="L2101" s="1030">
        <v>558396.35054036847</v>
      </c>
      <c r="M2101" s="979">
        <v>599</v>
      </c>
    </row>
    <row r="2102" spans="1:13" ht="15">
      <c r="A2102" s="979" t="s">
        <v>3784</v>
      </c>
      <c r="B2102" s="722" t="str">
        <f>CONCATENATE(LEFT(RIGHT(CONCATENATE("000",IFAData_TEA!A2102),6),3),"-",(RIGHT(RIGHT(CONCATENATE("000",IFAData_TEA!A2102),6),3)))</f>
        <v>247-903</v>
      </c>
      <c r="C2102" s="979" t="s">
        <v>1900</v>
      </c>
      <c r="D2102" s="979">
        <v>9</v>
      </c>
      <c r="E2102" s="979">
        <v>1992</v>
      </c>
      <c r="F2102" s="979" t="s">
        <v>5708</v>
      </c>
      <c r="G2102" s="979" t="s">
        <v>6362</v>
      </c>
      <c r="H2102" s="1030">
        <v>706725</v>
      </c>
      <c r="I2102" s="1030">
        <v>110587</v>
      </c>
      <c r="J2102" s="1034">
        <v>0.23577457641934432</v>
      </c>
      <c r="K2102" s="1030">
        <v>166627.78751996113</v>
      </c>
      <c r="L2102" s="1030">
        <v>110587</v>
      </c>
      <c r="M2102" s="979">
        <v>599</v>
      </c>
    </row>
    <row r="2103" spans="1:13" ht="15">
      <c r="A2103" s="979" t="s">
        <v>3784</v>
      </c>
      <c r="B2103" s="722" t="str">
        <f>CONCATENATE(LEFT(RIGHT(CONCATENATE("000",IFAData_TEA!A2103),6),3),"-",(RIGHT(RIGHT(CONCATENATE("000",IFAData_TEA!A2103),6),3)))</f>
        <v>247-903</v>
      </c>
      <c r="C2103" s="979" t="s">
        <v>1900</v>
      </c>
      <c r="D2103" s="979">
        <v>9</v>
      </c>
      <c r="E2103" s="979">
        <v>1992</v>
      </c>
      <c r="F2103" s="979" t="s">
        <v>5708</v>
      </c>
      <c r="G2103" s="979" t="s">
        <v>5709</v>
      </c>
      <c r="H2103" s="1030">
        <v>706725</v>
      </c>
      <c r="I2103" s="1030">
        <v>358450</v>
      </c>
      <c r="J2103" s="1034">
        <v>0.76422542358065571</v>
      </c>
      <c r="K2103" s="1030">
        <v>540097.21248003887</v>
      </c>
      <c r="L2103" s="1030">
        <v>358450</v>
      </c>
      <c r="M2103" s="979">
        <v>599</v>
      </c>
    </row>
    <row r="2104" spans="1:13" ht="15">
      <c r="A2104" s="979" t="s">
        <v>3784</v>
      </c>
      <c r="B2104" s="722" t="str">
        <f>CONCATENATE(LEFT(RIGHT(CONCATENATE("000",IFAData_TEA!A2104),6),3),"-",(RIGHT(RIGHT(CONCATENATE("000",IFAData_TEA!A2104),6),3)))</f>
        <v>247-903</v>
      </c>
      <c r="C2104" s="979" t="s">
        <v>1900</v>
      </c>
      <c r="D2104" s="979">
        <v>2</v>
      </c>
      <c r="E2104" s="979">
        <v>1991</v>
      </c>
      <c r="F2104" s="979" t="s">
        <v>5706</v>
      </c>
      <c r="G2104" s="979" t="s">
        <v>5706</v>
      </c>
      <c r="H2104" s="1030">
        <v>437879</v>
      </c>
      <c r="I2104" s="1030">
        <v>0</v>
      </c>
      <c r="J2104" s="1034">
        <v>0</v>
      </c>
      <c r="K2104" s="1030">
        <v>0</v>
      </c>
      <c r="L2104" s="1030">
        <v>0</v>
      </c>
      <c r="M2104" s="979">
        <v>599</v>
      </c>
    </row>
    <row r="2105" spans="1:13" ht="15">
      <c r="A2105" s="979" t="s">
        <v>3784</v>
      </c>
      <c r="B2105" s="722" t="str">
        <f>CONCATENATE(LEFT(RIGHT(CONCATENATE("000",IFAData_TEA!A2105),6),3),"-",(RIGHT(RIGHT(CONCATENATE("000",IFAData_TEA!A2105),6),3)))</f>
        <v>247-903</v>
      </c>
      <c r="C2105" s="979" t="s">
        <v>1900</v>
      </c>
      <c r="D2105" s="979">
        <v>2</v>
      </c>
      <c r="E2105" s="979">
        <v>1991</v>
      </c>
      <c r="F2105" s="979" t="s">
        <v>5706</v>
      </c>
      <c r="G2105" s="979" t="s">
        <v>5707</v>
      </c>
      <c r="H2105" s="1030">
        <v>437879</v>
      </c>
      <c r="I2105" s="1030">
        <v>406175</v>
      </c>
      <c r="J2105" s="1034">
        <v>1</v>
      </c>
      <c r="K2105" s="1030">
        <v>437879</v>
      </c>
      <c r="L2105" s="1030">
        <v>406175</v>
      </c>
      <c r="M2105" s="979">
        <v>599</v>
      </c>
    </row>
    <row r="2106" spans="1:13" ht="15">
      <c r="A2106" s="979" t="s">
        <v>3784</v>
      </c>
      <c r="B2106" s="722" t="str">
        <f>CONCATENATE(LEFT(RIGHT(CONCATENATE("000",IFAData_TEA!A2106),6),3),"-",(RIGHT(RIGHT(CONCATENATE("000",IFAData_TEA!A2106),6),3)))</f>
        <v>247-903</v>
      </c>
      <c r="C2106" s="979" t="s">
        <v>1900</v>
      </c>
      <c r="D2106" s="979">
        <v>10</v>
      </c>
      <c r="E2106" s="979">
        <v>1990</v>
      </c>
      <c r="F2106" s="979" t="s">
        <v>5710</v>
      </c>
      <c r="G2106" s="979" t="s">
        <v>5710</v>
      </c>
      <c r="H2106" s="1030">
        <v>294937</v>
      </c>
      <c r="I2106" s="1030">
        <v>455314</v>
      </c>
      <c r="J2106" s="1034">
        <v>1</v>
      </c>
      <c r="K2106" s="1030">
        <v>294937</v>
      </c>
      <c r="L2106" s="1030">
        <v>294937</v>
      </c>
      <c r="M2106" s="979">
        <v>599</v>
      </c>
    </row>
    <row r="2107" spans="1:13" ht="15">
      <c r="A2107" s="979" t="s">
        <v>3784</v>
      </c>
      <c r="B2107" s="722" t="str">
        <f>CONCATENATE(LEFT(RIGHT(CONCATENATE("000",IFAData_TEA!A2107),6),3),"-",(RIGHT(RIGHT(CONCATENATE("000",IFAData_TEA!A2107),6),3)))</f>
        <v>247-903</v>
      </c>
      <c r="C2107" s="979" t="s">
        <v>1900</v>
      </c>
      <c r="D2107" s="979">
        <v>9</v>
      </c>
      <c r="E2107" s="979">
        <v>1992</v>
      </c>
      <c r="F2107" s="979" t="s">
        <v>5708</v>
      </c>
      <c r="G2107" s="979" t="s">
        <v>5708</v>
      </c>
      <c r="H2107" s="1030">
        <v>706725</v>
      </c>
      <c r="I2107" s="1030">
        <v>0</v>
      </c>
      <c r="J2107" s="1034">
        <v>0</v>
      </c>
      <c r="K2107" s="1030">
        <v>0</v>
      </c>
      <c r="L2107" s="1030">
        <v>0</v>
      </c>
      <c r="M2107" s="979">
        <v>599</v>
      </c>
    </row>
    <row r="2108" spans="1:13" ht="15">
      <c r="A2108" s="979" t="s">
        <v>3785</v>
      </c>
      <c r="B2108" s="722" t="str">
        <f>CONCATENATE(LEFT(RIGHT(CONCATENATE("000",IFAData_TEA!A2108),6),3),"-",(RIGHT(RIGHT(CONCATENATE("000",IFAData_TEA!A2108),6),3)))</f>
        <v>247-904</v>
      </c>
      <c r="C2108" s="979" t="s">
        <v>1005</v>
      </c>
      <c r="D2108" s="979">
        <v>5</v>
      </c>
      <c r="E2108" s="979">
        <v>2206</v>
      </c>
      <c r="F2108" s="979" t="s">
        <v>5711</v>
      </c>
      <c r="G2108" s="979" t="s">
        <v>5711</v>
      </c>
      <c r="H2108" s="1030">
        <v>154875</v>
      </c>
      <c r="I2108" s="1030">
        <v>0</v>
      </c>
      <c r="J2108" s="1034">
        <v>0</v>
      </c>
      <c r="K2108" s="1030">
        <v>0</v>
      </c>
      <c r="L2108" s="1030">
        <v>0</v>
      </c>
      <c r="M2108" s="979">
        <v>599</v>
      </c>
    </row>
    <row r="2109" spans="1:13" ht="15">
      <c r="A2109" s="979" t="s">
        <v>3785</v>
      </c>
      <c r="B2109" s="722" t="str">
        <f>CONCATENATE(LEFT(RIGHT(CONCATENATE("000",IFAData_TEA!A2109),6),3),"-",(RIGHT(RIGHT(CONCATENATE("000",IFAData_TEA!A2109),6),3)))</f>
        <v>247-904</v>
      </c>
      <c r="C2109" s="979" t="s">
        <v>1005</v>
      </c>
      <c r="D2109" s="979">
        <v>5</v>
      </c>
      <c r="E2109" s="979">
        <v>2206</v>
      </c>
      <c r="F2109" s="979" t="s">
        <v>5711</v>
      </c>
      <c r="G2109" s="979" t="s">
        <v>5712</v>
      </c>
      <c r="H2109" s="1030">
        <v>154875</v>
      </c>
      <c r="I2109" s="1030">
        <v>138525</v>
      </c>
      <c r="J2109" s="1034">
        <v>1</v>
      </c>
      <c r="K2109" s="1030">
        <v>154875</v>
      </c>
      <c r="L2109" s="1030">
        <v>138525</v>
      </c>
      <c r="M2109" s="979">
        <v>599</v>
      </c>
    </row>
    <row r="2110" spans="1:13" ht="15">
      <c r="A2110" s="979" t="s">
        <v>3786</v>
      </c>
      <c r="B2110" s="722" t="str">
        <f>CONCATENATE(LEFT(RIGHT(CONCATENATE("000",IFAData_TEA!A2110),6),3),"-",(RIGHT(RIGHT(CONCATENATE("000",IFAData_TEA!A2110),6),3)))</f>
        <v>247-906</v>
      </c>
      <c r="C2110" s="979" t="s">
        <v>1941</v>
      </c>
      <c r="D2110" s="979">
        <v>3</v>
      </c>
      <c r="E2110" s="979">
        <v>2385</v>
      </c>
      <c r="F2110" s="979" t="s">
        <v>5713</v>
      </c>
      <c r="G2110" s="979" t="s">
        <v>5714</v>
      </c>
      <c r="H2110" s="1030">
        <v>184365</v>
      </c>
      <c r="I2110" s="1030">
        <v>182600</v>
      </c>
      <c r="J2110" s="1034">
        <v>1</v>
      </c>
      <c r="K2110" s="1030">
        <v>184365</v>
      </c>
      <c r="L2110" s="1030">
        <v>182600</v>
      </c>
      <c r="M2110" s="979">
        <v>599</v>
      </c>
    </row>
    <row r="2111" spans="1:13" ht="15">
      <c r="A2111" s="979" t="s">
        <v>3786</v>
      </c>
      <c r="B2111" s="722" t="str">
        <f>CONCATENATE(LEFT(RIGHT(CONCATENATE("000",IFAData_TEA!A2111),6),3),"-",(RIGHT(RIGHT(CONCATENATE("000",IFAData_TEA!A2111),6),3)))</f>
        <v>247-906</v>
      </c>
      <c r="C2111" s="979" t="s">
        <v>1941</v>
      </c>
      <c r="D2111" s="979">
        <v>3</v>
      </c>
      <c r="E2111" s="979">
        <v>2385</v>
      </c>
      <c r="F2111" s="979" t="s">
        <v>5713</v>
      </c>
      <c r="G2111" s="979" t="s">
        <v>5713</v>
      </c>
      <c r="H2111" s="1030">
        <v>184365</v>
      </c>
      <c r="I2111" s="1030">
        <v>0</v>
      </c>
      <c r="J2111" s="1034">
        <v>0</v>
      </c>
      <c r="K2111" s="1030">
        <v>0</v>
      </c>
      <c r="L2111" s="1030">
        <v>0</v>
      </c>
      <c r="M2111" s="979">
        <v>599</v>
      </c>
    </row>
    <row r="2112" spans="1:13" ht="15">
      <c r="A2112" s="979" t="s">
        <v>3786</v>
      </c>
      <c r="B2112" s="722" t="str">
        <f>CONCATENATE(LEFT(RIGHT(CONCATENATE("000",IFAData_TEA!A2112),6),3),"-",(RIGHT(RIGHT(CONCATENATE("000",IFAData_TEA!A2112),6),3)))</f>
        <v>247-906</v>
      </c>
      <c r="C2112" s="979" t="s">
        <v>1941</v>
      </c>
      <c r="D2112" s="979">
        <v>9</v>
      </c>
      <c r="E2112" s="979">
        <v>2384</v>
      </c>
      <c r="F2112" s="979" t="s">
        <v>5715</v>
      </c>
      <c r="G2112" s="979" t="s">
        <v>5715</v>
      </c>
      <c r="H2112" s="1030">
        <v>179000</v>
      </c>
      <c r="I2112" s="1030">
        <v>372070</v>
      </c>
      <c r="J2112" s="1034">
        <v>1</v>
      </c>
      <c r="K2112" s="1030">
        <v>179000</v>
      </c>
      <c r="L2112" s="1030">
        <v>179000</v>
      </c>
      <c r="M2112" s="979">
        <v>599</v>
      </c>
    </row>
    <row r="2113" spans="1:13" ht="15">
      <c r="A2113" s="979" t="s">
        <v>3786</v>
      </c>
      <c r="B2113" s="722" t="str">
        <f>CONCATENATE(LEFT(RIGHT(CONCATENATE("000",IFAData_TEA!A2113),6),3),"-",(RIGHT(RIGHT(CONCATENATE("000",IFAData_TEA!A2113),6),3)))</f>
        <v>247-906</v>
      </c>
      <c r="C2113" s="979" t="s">
        <v>1941</v>
      </c>
      <c r="D2113" s="979">
        <v>9</v>
      </c>
      <c r="E2113" s="979">
        <v>2384</v>
      </c>
      <c r="F2113" s="979" t="s">
        <v>5715</v>
      </c>
      <c r="G2113" s="979" t="s">
        <v>6363</v>
      </c>
      <c r="H2113" s="1030">
        <v>179000</v>
      </c>
      <c r="I2113" s="1030">
        <v>0</v>
      </c>
      <c r="J2113" s="1034">
        <v>0</v>
      </c>
      <c r="K2113" s="1030">
        <v>0</v>
      </c>
      <c r="L2113" s="1030">
        <v>0</v>
      </c>
      <c r="M2113" s="979">
        <v>599</v>
      </c>
    </row>
    <row r="2114" spans="1:13" ht="15">
      <c r="A2114" s="979" t="s">
        <v>3787</v>
      </c>
      <c r="B2114" s="722" t="str">
        <f>CONCATENATE(LEFT(RIGHT(CONCATENATE("000",IFAData_TEA!A2114),6),3),"-",(RIGHT(RIGHT(CONCATENATE("000",IFAData_TEA!A2114),6),3)))</f>
        <v>249-901</v>
      </c>
      <c r="C2114" s="979" t="s">
        <v>1053</v>
      </c>
      <c r="D2114" s="979">
        <v>5</v>
      </c>
      <c r="E2114" s="979">
        <v>1570</v>
      </c>
      <c r="F2114" s="979" t="s">
        <v>5716</v>
      </c>
      <c r="G2114" s="979" t="s">
        <v>5717</v>
      </c>
      <c r="H2114" s="1030">
        <v>283052</v>
      </c>
      <c r="I2114" s="1030">
        <v>351475</v>
      </c>
      <c r="J2114" s="1034">
        <v>0.87713497110115102</v>
      </c>
      <c r="K2114" s="1030">
        <v>248274.80784012299</v>
      </c>
      <c r="L2114" s="1030">
        <v>248274.80784012299</v>
      </c>
      <c r="M2114" s="979">
        <v>599</v>
      </c>
    </row>
    <row r="2115" spans="1:13" ht="15">
      <c r="A2115" s="979" t="s">
        <v>3787</v>
      </c>
      <c r="B2115" s="722" t="str">
        <f>CONCATENATE(LEFT(RIGHT(CONCATENATE("000",IFAData_TEA!A2115),6),3),"-",(RIGHT(RIGHT(CONCATENATE("000",IFAData_TEA!A2115),6),3)))</f>
        <v>249-901</v>
      </c>
      <c r="C2115" s="979" t="s">
        <v>1053</v>
      </c>
      <c r="D2115" s="979">
        <v>5</v>
      </c>
      <c r="E2115" s="979">
        <v>1570</v>
      </c>
      <c r="F2115" s="979" t="s">
        <v>5716</v>
      </c>
      <c r="G2115" s="979" t="s">
        <v>5716</v>
      </c>
      <c r="H2115" s="1030">
        <v>283052</v>
      </c>
      <c r="I2115" s="1030">
        <v>0</v>
      </c>
      <c r="J2115" s="1034">
        <v>0</v>
      </c>
      <c r="K2115" s="1030">
        <v>0</v>
      </c>
      <c r="L2115" s="1030">
        <v>0</v>
      </c>
      <c r="M2115" s="979">
        <v>599</v>
      </c>
    </row>
    <row r="2116" spans="1:13" ht="15">
      <c r="A2116" s="979" t="s">
        <v>3787</v>
      </c>
      <c r="B2116" s="722" t="str">
        <f>CONCATENATE(LEFT(RIGHT(CONCATENATE("000",IFAData_TEA!A2116),6),3),"-",(RIGHT(RIGHT(CONCATENATE("000",IFAData_TEA!A2116),6),3)))</f>
        <v>249-901</v>
      </c>
      <c r="C2116" s="979" t="s">
        <v>1053</v>
      </c>
      <c r="D2116" s="979">
        <v>9</v>
      </c>
      <c r="E2116" s="979">
        <v>1569</v>
      </c>
      <c r="F2116" s="979" t="s">
        <v>5718</v>
      </c>
      <c r="G2116" s="979" t="s">
        <v>5718</v>
      </c>
      <c r="H2116" s="1030">
        <v>183118</v>
      </c>
      <c r="I2116" s="1030">
        <v>361423</v>
      </c>
      <c r="J2116" s="1034">
        <v>0.88684490771412727</v>
      </c>
      <c r="K2116" s="1030">
        <v>162397.26581079556</v>
      </c>
      <c r="L2116" s="1030">
        <v>162397.26581079556</v>
      </c>
      <c r="M2116" s="979">
        <v>599</v>
      </c>
    </row>
    <row r="2117" spans="1:13" ht="15">
      <c r="A2117" s="979" t="s">
        <v>3787</v>
      </c>
      <c r="B2117" s="722" t="str">
        <f>CONCATENATE(LEFT(RIGHT(CONCATENATE("000",IFAData_TEA!A2117),6),3),"-",(RIGHT(RIGHT(CONCATENATE("000",IFAData_TEA!A2117),6),3)))</f>
        <v>249-901</v>
      </c>
      <c r="C2117" s="979" t="s">
        <v>1053</v>
      </c>
      <c r="D2117" s="979">
        <v>9</v>
      </c>
      <c r="E2117" s="979">
        <v>1569</v>
      </c>
      <c r="F2117" s="979" t="s">
        <v>5718</v>
      </c>
      <c r="G2117" s="979" t="s">
        <v>6364</v>
      </c>
      <c r="H2117" s="1030">
        <v>183118</v>
      </c>
      <c r="I2117" s="1030">
        <v>46115</v>
      </c>
      <c r="J2117" s="1034">
        <v>0.11315509228587273</v>
      </c>
      <c r="K2117" s="1030">
        <v>20720.734189204442</v>
      </c>
      <c r="L2117" s="1030">
        <v>20720.734189204442</v>
      </c>
      <c r="M2117" s="979">
        <v>599</v>
      </c>
    </row>
    <row r="2118" spans="1:13" ht="15">
      <c r="A2118" s="979" t="s">
        <v>3787</v>
      </c>
      <c r="B2118" s="722" t="str">
        <f>CONCATENATE(LEFT(RIGHT(CONCATENATE("000",IFAData_TEA!A2118),6),3),"-",(RIGHT(RIGHT(CONCATENATE("000",IFAData_TEA!A2118),6),3)))</f>
        <v>249-901</v>
      </c>
      <c r="C2118" s="979" t="s">
        <v>1053</v>
      </c>
      <c r="D2118" s="979">
        <v>5</v>
      </c>
      <c r="E2118" s="979">
        <v>1570</v>
      </c>
      <c r="F2118" s="979" t="s">
        <v>5716</v>
      </c>
      <c r="G2118" s="979" t="s">
        <v>6364</v>
      </c>
      <c r="H2118" s="1030">
        <v>283052</v>
      </c>
      <c r="I2118" s="1030">
        <v>49233</v>
      </c>
      <c r="J2118" s="1034">
        <v>0.12286502889884904</v>
      </c>
      <c r="K2118" s="1030">
        <v>34777.19215987702</v>
      </c>
      <c r="L2118" s="1030">
        <v>34777.19215987702</v>
      </c>
      <c r="M2118" s="979">
        <v>599</v>
      </c>
    </row>
    <row r="2119" spans="1:13" ht="15">
      <c r="A2119" s="979" t="s">
        <v>3788</v>
      </c>
      <c r="B2119" s="722" t="str">
        <f>CONCATENATE(LEFT(RIGHT(CONCATENATE("000",IFAData_TEA!A2119),6),3),"-",(RIGHT(RIGHT(CONCATENATE("000",IFAData_TEA!A2119),6),3)))</f>
        <v>249-906</v>
      </c>
      <c r="C2119" s="979" t="s">
        <v>1365</v>
      </c>
      <c r="D2119" s="979">
        <v>5</v>
      </c>
      <c r="E2119" s="979">
        <v>2174</v>
      </c>
      <c r="F2119" s="979" t="s">
        <v>5721</v>
      </c>
      <c r="G2119" s="979" t="s">
        <v>5721</v>
      </c>
      <c r="H2119" s="1030">
        <v>221531</v>
      </c>
      <c r="I2119" s="1030">
        <v>0</v>
      </c>
      <c r="J2119" s="1034">
        <v>0</v>
      </c>
      <c r="K2119" s="1030">
        <v>0</v>
      </c>
      <c r="L2119" s="1030">
        <v>0</v>
      </c>
      <c r="M2119" s="979">
        <v>599</v>
      </c>
    </row>
    <row r="2120" spans="1:13" ht="15">
      <c r="A2120" s="979" t="s">
        <v>3788</v>
      </c>
      <c r="B2120" s="722" t="str">
        <f>CONCATENATE(LEFT(RIGHT(CONCATENATE("000",IFAData_TEA!A2120),6),3),"-",(RIGHT(RIGHT(CONCATENATE("000",IFAData_TEA!A2120),6),3)))</f>
        <v>249-906</v>
      </c>
      <c r="C2120" s="979" t="s">
        <v>1365</v>
      </c>
      <c r="D2120" s="979">
        <v>5</v>
      </c>
      <c r="E2120" s="979">
        <v>2174</v>
      </c>
      <c r="F2120" s="979" t="s">
        <v>5721</v>
      </c>
      <c r="G2120" s="979" t="s">
        <v>5720</v>
      </c>
      <c r="H2120" s="1030">
        <v>221531</v>
      </c>
      <c r="I2120" s="1030">
        <v>346748</v>
      </c>
      <c r="J2120" s="1034">
        <v>1</v>
      </c>
      <c r="K2120" s="1030">
        <v>221531</v>
      </c>
      <c r="L2120" s="1030">
        <v>221531</v>
      </c>
      <c r="M2120" s="979">
        <v>599</v>
      </c>
    </row>
    <row r="2121" spans="1:13" ht="15">
      <c r="A2121" s="979" t="s">
        <v>3788</v>
      </c>
      <c r="B2121" s="722" t="str">
        <f>CONCATENATE(LEFT(RIGHT(CONCATENATE("000",IFAData_TEA!A2121),6),3),"-",(RIGHT(RIGHT(CONCATENATE("000",IFAData_TEA!A2121),6),3)))</f>
        <v>249-906</v>
      </c>
      <c r="C2121" s="979" t="s">
        <v>1365</v>
      </c>
      <c r="D2121" s="979">
        <v>2</v>
      </c>
      <c r="E2121" s="979">
        <v>2173</v>
      </c>
      <c r="F2121" s="979" t="s">
        <v>5719</v>
      </c>
      <c r="G2121" s="979" t="s">
        <v>5720</v>
      </c>
      <c r="H2121" s="1030">
        <v>191624</v>
      </c>
      <c r="I2121" s="1030">
        <v>177494</v>
      </c>
      <c r="J2121" s="1034">
        <v>1</v>
      </c>
      <c r="K2121" s="1030">
        <v>191624</v>
      </c>
      <c r="L2121" s="1030">
        <v>177494</v>
      </c>
      <c r="M2121" s="979">
        <v>599</v>
      </c>
    </row>
    <row r="2122" spans="1:13" ht="15">
      <c r="A2122" s="979" t="s">
        <v>3788</v>
      </c>
      <c r="B2122" s="722" t="str">
        <f>CONCATENATE(LEFT(RIGHT(CONCATENATE("000",IFAData_TEA!A2122),6),3),"-",(RIGHT(RIGHT(CONCATENATE("000",IFAData_TEA!A2122),6),3)))</f>
        <v>249-906</v>
      </c>
      <c r="C2122" s="979" t="s">
        <v>1365</v>
      </c>
      <c r="D2122" s="979">
        <v>2</v>
      </c>
      <c r="E2122" s="979">
        <v>2173</v>
      </c>
      <c r="F2122" s="979" t="s">
        <v>5719</v>
      </c>
      <c r="G2122" s="979" t="s">
        <v>5719</v>
      </c>
      <c r="H2122" s="1030">
        <v>191624</v>
      </c>
      <c r="I2122" s="1030">
        <v>0</v>
      </c>
      <c r="J2122" s="1034">
        <v>0</v>
      </c>
      <c r="K2122" s="1030">
        <v>0</v>
      </c>
      <c r="L2122" s="1030">
        <v>0</v>
      </c>
      <c r="M2122" s="979">
        <v>599</v>
      </c>
    </row>
    <row r="2123" spans="1:13" ht="15">
      <c r="A2123" s="979" t="s">
        <v>3789</v>
      </c>
      <c r="B2123" s="722" t="str">
        <f>CONCATENATE(LEFT(RIGHT(CONCATENATE("000",IFAData_TEA!A2123),6),3),"-",(RIGHT(RIGHT(CONCATENATE("000",IFAData_TEA!A2123),6),3)))</f>
        <v>249-908</v>
      </c>
      <c r="C2123" s="979" t="s">
        <v>1927</v>
      </c>
      <c r="D2123" s="979">
        <v>1</v>
      </c>
      <c r="E2123" s="979">
        <v>2340</v>
      </c>
      <c r="F2123" s="979" t="s">
        <v>5722</v>
      </c>
      <c r="G2123" s="979" t="s">
        <v>5723</v>
      </c>
      <c r="H2123" s="1030">
        <v>100000</v>
      </c>
      <c r="I2123" s="1030">
        <v>69216</v>
      </c>
      <c r="J2123" s="1034">
        <v>1</v>
      </c>
      <c r="K2123" s="1030">
        <v>100000</v>
      </c>
      <c r="L2123" s="1030">
        <v>69216</v>
      </c>
      <c r="M2123" s="979">
        <v>599</v>
      </c>
    </row>
    <row r="2124" spans="1:13" ht="15">
      <c r="A2124" s="979" t="s">
        <v>3789</v>
      </c>
      <c r="B2124" s="722" t="str">
        <f>CONCATENATE(LEFT(RIGHT(CONCATENATE("000",IFAData_TEA!A2124),6),3),"-",(RIGHT(RIGHT(CONCATENATE("000",IFAData_TEA!A2124),6),3)))</f>
        <v>249-908</v>
      </c>
      <c r="C2124" s="979" t="s">
        <v>1927</v>
      </c>
      <c r="D2124" s="979">
        <v>5</v>
      </c>
      <c r="E2124" s="979">
        <v>2341</v>
      </c>
      <c r="F2124" s="979" t="s">
        <v>5724</v>
      </c>
      <c r="G2124" s="979" t="s">
        <v>5723</v>
      </c>
      <c r="H2124" s="1030">
        <v>100000</v>
      </c>
      <c r="I2124" s="1030">
        <v>112429</v>
      </c>
      <c r="J2124" s="1034">
        <v>1</v>
      </c>
      <c r="K2124" s="1030">
        <v>100000</v>
      </c>
      <c r="L2124" s="1030">
        <v>100000</v>
      </c>
      <c r="M2124" s="979">
        <v>599</v>
      </c>
    </row>
    <row r="2125" spans="1:13" ht="15">
      <c r="A2125" s="979" t="s">
        <v>3789</v>
      </c>
      <c r="B2125" s="722" t="str">
        <f>CONCATENATE(LEFT(RIGHT(CONCATENATE("000",IFAData_TEA!A2125),6),3),"-",(RIGHT(RIGHT(CONCATENATE("000",IFAData_TEA!A2125),6),3)))</f>
        <v>249-908</v>
      </c>
      <c r="C2125" s="979" t="s">
        <v>1927</v>
      </c>
      <c r="D2125" s="979">
        <v>1</v>
      </c>
      <c r="E2125" s="979">
        <v>2340</v>
      </c>
      <c r="F2125" s="979" t="s">
        <v>5722</v>
      </c>
      <c r="G2125" s="979" t="s">
        <v>5722</v>
      </c>
      <c r="H2125" s="1030">
        <v>100000</v>
      </c>
      <c r="I2125" s="1030">
        <v>0</v>
      </c>
      <c r="J2125" s="1034">
        <v>0</v>
      </c>
      <c r="K2125" s="1030">
        <v>0</v>
      </c>
      <c r="L2125" s="1030">
        <v>0</v>
      </c>
      <c r="M2125" s="979">
        <v>599</v>
      </c>
    </row>
    <row r="2126" spans="1:13" ht="15">
      <c r="A2126" s="979" t="s">
        <v>3789</v>
      </c>
      <c r="B2126" s="722" t="str">
        <f>CONCATENATE(LEFT(RIGHT(CONCATENATE("000",IFAData_TEA!A2126),6),3),"-",(RIGHT(RIGHT(CONCATENATE("000",IFAData_TEA!A2126),6),3)))</f>
        <v>249-908</v>
      </c>
      <c r="C2126" s="979" t="s">
        <v>1927</v>
      </c>
      <c r="D2126" s="979">
        <v>5</v>
      </c>
      <c r="E2126" s="979">
        <v>2341</v>
      </c>
      <c r="F2126" s="979" t="s">
        <v>5724</v>
      </c>
      <c r="G2126" s="979" t="s">
        <v>5724</v>
      </c>
      <c r="H2126" s="1030">
        <v>100000</v>
      </c>
      <c r="I2126" s="1030">
        <v>0</v>
      </c>
      <c r="J2126" s="1034">
        <v>0</v>
      </c>
      <c r="K2126" s="1030">
        <v>0</v>
      </c>
      <c r="L2126" s="1030">
        <v>0</v>
      </c>
      <c r="M2126" s="979">
        <v>599</v>
      </c>
    </row>
    <row r="2127" spans="1:13" ht="15">
      <c r="A2127" s="979" t="s">
        <v>3790</v>
      </c>
      <c r="B2127" s="722" t="str">
        <f>CONCATENATE(LEFT(RIGHT(CONCATENATE("000",IFAData_TEA!A2127),6),3),"-",(RIGHT(RIGHT(CONCATENATE("000",IFAData_TEA!A2127),6),3)))</f>
        <v>252-901</v>
      </c>
      <c r="C2127" s="979" t="s">
        <v>862</v>
      </c>
      <c r="D2127" s="979">
        <v>9</v>
      </c>
      <c r="E2127" s="979">
        <v>1853</v>
      </c>
      <c r="F2127" s="979" t="s">
        <v>5728</v>
      </c>
      <c r="G2127" s="979" t="s">
        <v>5729</v>
      </c>
      <c r="H2127" s="1030">
        <v>557500</v>
      </c>
      <c r="I2127" s="1030">
        <v>1931212</v>
      </c>
      <c r="J2127" s="1034">
        <v>1</v>
      </c>
      <c r="K2127" s="1030">
        <v>557500</v>
      </c>
      <c r="L2127" s="1030">
        <v>557500</v>
      </c>
      <c r="M2127" s="979">
        <v>599</v>
      </c>
    </row>
    <row r="2128" spans="1:13" ht="15">
      <c r="A2128" s="979" t="s">
        <v>3790</v>
      </c>
      <c r="B2128" s="722" t="str">
        <f>CONCATENATE(LEFT(RIGHT(CONCATENATE("000",IFAData_TEA!A2128),6),3),"-",(RIGHT(RIGHT(CONCATENATE("000",IFAData_TEA!A2128),6),3)))</f>
        <v>252-901</v>
      </c>
      <c r="C2128" s="979" t="s">
        <v>862</v>
      </c>
      <c r="D2128" s="979">
        <v>6</v>
      </c>
      <c r="E2128" s="979">
        <v>1852</v>
      </c>
      <c r="F2128" s="979" t="s">
        <v>5726</v>
      </c>
      <c r="G2128" s="979" t="s">
        <v>5727</v>
      </c>
      <c r="H2128" s="1030">
        <v>486964</v>
      </c>
      <c r="I2128" s="1030">
        <v>454971</v>
      </c>
      <c r="J2128" s="1034">
        <v>1</v>
      </c>
      <c r="K2128" s="1030">
        <v>486964</v>
      </c>
      <c r="L2128" s="1030">
        <v>454971</v>
      </c>
      <c r="M2128" s="979">
        <v>599</v>
      </c>
    </row>
    <row r="2129" spans="1:13" ht="15">
      <c r="A2129" s="979" t="s">
        <v>3790</v>
      </c>
      <c r="B2129" s="722" t="str">
        <f>CONCATENATE(LEFT(RIGHT(CONCATENATE("000",IFAData_TEA!A2129),6),3),"-",(RIGHT(RIGHT(CONCATENATE("000",IFAData_TEA!A2129),6),3)))</f>
        <v>252-901</v>
      </c>
      <c r="C2129" s="979" t="s">
        <v>862</v>
      </c>
      <c r="D2129" s="979">
        <v>2</v>
      </c>
      <c r="E2129" s="979">
        <v>1851</v>
      </c>
      <c r="F2129" s="979" t="s">
        <v>5725</v>
      </c>
      <c r="G2129" s="979" t="s">
        <v>5725</v>
      </c>
      <c r="H2129" s="1030">
        <v>126142</v>
      </c>
      <c r="I2129" s="1030">
        <v>0</v>
      </c>
      <c r="J2129" s="1034">
        <v>0</v>
      </c>
      <c r="K2129" s="1030"/>
      <c r="L2129" s="1030">
        <v>0</v>
      </c>
      <c r="M2129" s="979">
        <v>599</v>
      </c>
    </row>
    <row r="2130" spans="1:13" ht="15">
      <c r="A2130" s="979" t="s">
        <v>3790</v>
      </c>
      <c r="B2130" s="722" t="str">
        <f>CONCATENATE(LEFT(RIGHT(CONCATENATE("000",IFAData_TEA!A2130),6),3),"-",(RIGHT(RIGHT(CONCATENATE("000",IFAData_TEA!A2130),6),3)))</f>
        <v>252-901</v>
      </c>
      <c r="C2130" s="979" t="s">
        <v>862</v>
      </c>
      <c r="D2130" s="979">
        <v>6</v>
      </c>
      <c r="E2130" s="979">
        <v>1852</v>
      </c>
      <c r="F2130" s="979" t="s">
        <v>5726</v>
      </c>
      <c r="G2130" s="979" t="s">
        <v>5726</v>
      </c>
      <c r="H2130" s="1030">
        <v>486964</v>
      </c>
      <c r="I2130" s="1030">
        <v>0</v>
      </c>
      <c r="J2130" s="1034">
        <v>0</v>
      </c>
      <c r="K2130" s="1030">
        <v>0</v>
      </c>
      <c r="L2130" s="1030">
        <v>0</v>
      </c>
      <c r="M2130" s="979">
        <v>599</v>
      </c>
    </row>
    <row r="2131" spans="1:13" ht="15">
      <c r="A2131" s="979" t="s">
        <v>3790</v>
      </c>
      <c r="B2131" s="722" t="str">
        <f>CONCATENATE(LEFT(RIGHT(CONCATENATE("000",IFAData_TEA!A2131),6),3),"-",(RIGHT(RIGHT(CONCATENATE("000",IFAData_TEA!A2131),6),3)))</f>
        <v>252-901</v>
      </c>
      <c r="C2131" s="979" t="s">
        <v>862</v>
      </c>
      <c r="D2131" s="979">
        <v>9</v>
      </c>
      <c r="E2131" s="979">
        <v>1853</v>
      </c>
      <c r="F2131" s="979" t="s">
        <v>5728</v>
      </c>
      <c r="G2131" s="979" t="s">
        <v>5728</v>
      </c>
      <c r="H2131" s="1030">
        <v>557500</v>
      </c>
      <c r="I2131" s="1030">
        <v>0</v>
      </c>
      <c r="J2131" s="1034">
        <v>0</v>
      </c>
      <c r="K2131" s="1030">
        <v>0</v>
      </c>
      <c r="L2131" s="1030">
        <v>0</v>
      </c>
      <c r="M2131" s="979">
        <v>599</v>
      </c>
    </row>
    <row r="2132" spans="1:13" ht="15">
      <c r="A2132" s="979" t="s">
        <v>3791</v>
      </c>
      <c r="B2132" s="722" t="str">
        <f>CONCATENATE(LEFT(RIGHT(CONCATENATE("000",IFAData_TEA!A2132),6),3),"-",(RIGHT(RIGHT(CONCATENATE("000",IFAData_TEA!A2132),6),3)))</f>
        <v>252-903</v>
      </c>
      <c r="C2132" s="979" t="s">
        <v>825</v>
      </c>
      <c r="D2132" s="979">
        <v>5</v>
      </c>
      <c r="E2132" s="979">
        <v>2159</v>
      </c>
      <c r="F2132" s="979" t="s">
        <v>5732</v>
      </c>
      <c r="G2132" s="979" t="s">
        <v>5732</v>
      </c>
      <c r="H2132" s="1030">
        <v>188253</v>
      </c>
      <c r="I2132" s="1030">
        <v>0</v>
      </c>
      <c r="J2132" s="1034">
        <v>0</v>
      </c>
      <c r="K2132" s="1030">
        <v>0</v>
      </c>
      <c r="L2132" s="1030">
        <v>0</v>
      </c>
      <c r="M2132" s="979">
        <v>599</v>
      </c>
    </row>
    <row r="2133" spans="1:13" ht="15">
      <c r="A2133" s="979" t="s">
        <v>3791</v>
      </c>
      <c r="B2133" s="722" t="str">
        <f>CONCATENATE(LEFT(RIGHT(CONCATENATE("000",IFAData_TEA!A2133),6),3),"-",(RIGHT(RIGHT(CONCATENATE("000",IFAData_TEA!A2133),6),3)))</f>
        <v>252-903</v>
      </c>
      <c r="C2133" s="979" t="s">
        <v>825</v>
      </c>
      <c r="D2133" s="979">
        <v>4</v>
      </c>
      <c r="E2133" s="979">
        <v>2160</v>
      </c>
      <c r="F2133" s="979" t="s">
        <v>5730</v>
      </c>
      <c r="G2133" s="979" t="s">
        <v>5731</v>
      </c>
      <c r="H2133" s="1030">
        <v>195206</v>
      </c>
      <c r="I2133" s="1030">
        <v>190283</v>
      </c>
      <c r="J2133" s="1034">
        <v>1</v>
      </c>
      <c r="K2133" s="1030">
        <v>195206</v>
      </c>
      <c r="L2133" s="1030">
        <v>190283</v>
      </c>
      <c r="M2133" s="979">
        <v>599</v>
      </c>
    </row>
    <row r="2134" spans="1:13" ht="15">
      <c r="A2134" s="979" t="s">
        <v>3791</v>
      </c>
      <c r="B2134" s="722" t="str">
        <f>CONCATENATE(LEFT(RIGHT(CONCATENATE("000",IFAData_TEA!A2134),6),3),"-",(RIGHT(RIGHT(CONCATENATE("000",IFAData_TEA!A2134),6),3)))</f>
        <v>252-903</v>
      </c>
      <c r="C2134" s="979" t="s">
        <v>825</v>
      </c>
      <c r="D2134" s="979">
        <v>4</v>
      </c>
      <c r="E2134" s="979">
        <v>2160</v>
      </c>
      <c r="F2134" s="979" t="s">
        <v>5730</v>
      </c>
      <c r="G2134" s="979" t="s">
        <v>5730</v>
      </c>
      <c r="H2134" s="1030">
        <v>195206</v>
      </c>
      <c r="I2134" s="1030">
        <v>0</v>
      </c>
      <c r="J2134" s="1034">
        <v>0</v>
      </c>
      <c r="K2134" s="1030">
        <v>0</v>
      </c>
      <c r="L2134" s="1030">
        <v>0</v>
      </c>
      <c r="M2134" s="979">
        <v>599</v>
      </c>
    </row>
    <row r="2135" spans="1:13" ht="15">
      <c r="A2135" s="979" t="s">
        <v>3791</v>
      </c>
      <c r="B2135" s="722" t="str">
        <f>CONCATENATE(LEFT(RIGHT(CONCATENATE("000",IFAData_TEA!A2135),6),3),"-",(RIGHT(RIGHT(CONCATENATE("000",IFAData_TEA!A2135),6),3)))</f>
        <v>252-903</v>
      </c>
      <c r="C2135" s="979" t="s">
        <v>825</v>
      </c>
      <c r="D2135" s="979">
        <v>5</v>
      </c>
      <c r="E2135" s="979">
        <v>2159</v>
      </c>
      <c r="F2135" s="979" t="s">
        <v>5732</v>
      </c>
      <c r="G2135" s="979" t="s">
        <v>5733</v>
      </c>
      <c r="H2135" s="1030">
        <v>188253</v>
      </c>
      <c r="I2135" s="1030">
        <v>184475</v>
      </c>
      <c r="J2135" s="1034">
        <v>1</v>
      </c>
      <c r="K2135" s="1030">
        <v>188253</v>
      </c>
      <c r="L2135" s="1030">
        <v>184475</v>
      </c>
      <c r="M2135" s="979">
        <v>599</v>
      </c>
    </row>
    <row r="2136" spans="1:13" ht="15">
      <c r="A2136" s="979" t="s">
        <v>3792</v>
      </c>
      <c r="B2136" s="722" t="str">
        <f>CONCATENATE(LEFT(RIGHT(CONCATENATE("000",IFAData_TEA!A2136),6),3),"-",(RIGHT(RIGHT(CONCATENATE("000",IFAData_TEA!A2136),6),3)))</f>
        <v>254-901</v>
      </c>
      <c r="C2136" s="979" t="s">
        <v>420</v>
      </c>
      <c r="D2136" s="979">
        <v>4</v>
      </c>
      <c r="E2136" s="979">
        <v>1736</v>
      </c>
      <c r="F2136" s="979" t="s">
        <v>5737</v>
      </c>
      <c r="G2136" s="979" t="s">
        <v>6365</v>
      </c>
      <c r="H2136" s="1030">
        <v>192712</v>
      </c>
      <c r="I2136" s="1030">
        <v>76365</v>
      </c>
      <c r="J2136" s="1034">
        <v>0.44562775362530271</v>
      </c>
      <c r="K2136" s="1030">
        <v>85877.81565663933</v>
      </c>
      <c r="L2136" s="1030">
        <v>76365</v>
      </c>
      <c r="M2136" s="979">
        <v>599</v>
      </c>
    </row>
    <row r="2137" spans="1:13" ht="15">
      <c r="A2137" s="979" t="s">
        <v>3792</v>
      </c>
      <c r="B2137" s="722" t="str">
        <f>CONCATENATE(LEFT(RIGHT(CONCATENATE("000",IFAData_TEA!A2137),6),3),"-",(RIGHT(RIGHT(CONCATENATE("000",IFAData_TEA!A2137),6),3)))</f>
        <v>254-901</v>
      </c>
      <c r="C2137" s="979" t="s">
        <v>420</v>
      </c>
      <c r="D2137" s="979">
        <v>5</v>
      </c>
      <c r="E2137" s="979">
        <v>1737</v>
      </c>
      <c r="F2137" s="979" t="s">
        <v>5738</v>
      </c>
      <c r="G2137" s="979" t="s">
        <v>6365</v>
      </c>
      <c r="H2137" s="1030">
        <v>197353</v>
      </c>
      <c r="I2137" s="1030">
        <v>74010</v>
      </c>
      <c r="J2137" s="1034">
        <v>0.39053142033971644</v>
      </c>
      <c r="K2137" s="1030">
        <v>77072.547398304057</v>
      </c>
      <c r="L2137" s="1030">
        <v>74010</v>
      </c>
      <c r="M2137" s="979">
        <v>599</v>
      </c>
    </row>
    <row r="2138" spans="1:13" ht="15">
      <c r="A2138" s="979" t="s">
        <v>3792</v>
      </c>
      <c r="B2138" s="722" t="str">
        <f>CONCATENATE(LEFT(RIGHT(CONCATENATE("000",IFAData_TEA!A2138),6),3),"-",(RIGHT(RIGHT(CONCATENATE("000",IFAData_TEA!A2138),6),3)))</f>
        <v>254-901</v>
      </c>
      <c r="C2138" s="979" t="s">
        <v>420</v>
      </c>
      <c r="D2138" s="979">
        <v>2</v>
      </c>
      <c r="E2138" s="979">
        <v>1739</v>
      </c>
      <c r="F2138" s="979" t="s">
        <v>5734</v>
      </c>
      <c r="G2138" s="979" t="s">
        <v>6365</v>
      </c>
      <c r="H2138" s="1030">
        <v>396447</v>
      </c>
      <c r="I2138" s="1030">
        <v>192587</v>
      </c>
      <c r="J2138" s="1034">
        <v>0.38626558654758347</v>
      </c>
      <c r="K2138" s="1030">
        <v>153133.83299002983</v>
      </c>
      <c r="L2138" s="1030">
        <v>153133.83299002983</v>
      </c>
      <c r="M2138" s="979">
        <v>599</v>
      </c>
    </row>
    <row r="2139" spans="1:13" ht="15">
      <c r="A2139" s="979" t="s">
        <v>3792</v>
      </c>
      <c r="B2139" s="722" t="str">
        <f>CONCATENATE(LEFT(RIGHT(CONCATENATE("000",IFAData_TEA!A2139),6),3),"-",(RIGHT(RIGHT(CONCATENATE("000",IFAData_TEA!A2139),6),3)))</f>
        <v>254-901</v>
      </c>
      <c r="C2139" s="979" t="s">
        <v>420</v>
      </c>
      <c r="D2139" s="979">
        <v>5</v>
      </c>
      <c r="E2139" s="979">
        <v>1737</v>
      </c>
      <c r="F2139" s="979" t="s">
        <v>5738</v>
      </c>
      <c r="G2139" s="979" t="s">
        <v>5738</v>
      </c>
      <c r="H2139" s="1030">
        <v>197353</v>
      </c>
      <c r="I2139" s="1030">
        <v>0</v>
      </c>
      <c r="J2139" s="1034">
        <v>0</v>
      </c>
      <c r="K2139" s="1030">
        <v>0</v>
      </c>
      <c r="L2139" s="1030">
        <v>0</v>
      </c>
      <c r="M2139" s="979">
        <v>599</v>
      </c>
    </row>
    <row r="2140" spans="1:13" ht="15">
      <c r="A2140" s="979" t="s">
        <v>3792</v>
      </c>
      <c r="B2140" s="722" t="str">
        <f>CONCATENATE(LEFT(RIGHT(CONCATENATE("000",IFAData_TEA!A2140),6),3),"-",(RIGHT(RIGHT(CONCATENATE("000",IFAData_TEA!A2140),6),3)))</f>
        <v>254-901</v>
      </c>
      <c r="C2140" s="979" t="s">
        <v>420</v>
      </c>
      <c r="D2140" s="979">
        <v>8</v>
      </c>
      <c r="E2140" s="979">
        <v>1740</v>
      </c>
      <c r="F2140" s="979" t="s">
        <v>5740</v>
      </c>
      <c r="G2140" s="979" t="s">
        <v>5740</v>
      </c>
      <c r="H2140" s="1030">
        <v>464096</v>
      </c>
      <c r="I2140" s="1030">
        <v>586065</v>
      </c>
      <c r="J2140" s="1034">
        <v>0.78549620162228528</v>
      </c>
      <c r="K2140" s="1030">
        <v>364545.6451880961</v>
      </c>
      <c r="L2140" s="1030">
        <v>364545.6451880961</v>
      </c>
      <c r="M2140" s="979">
        <v>599</v>
      </c>
    </row>
    <row r="2141" spans="1:13" ht="15">
      <c r="A2141" s="979" t="s">
        <v>3792</v>
      </c>
      <c r="B2141" s="722" t="str">
        <f>CONCATENATE(LEFT(RIGHT(CONCATENATE("000",IFAData_TEA!A2141),6),3),"-",(RIGHT(RIGHT(CONCATENATE("000",IFAData_TEA!A2141),6),3)))</f>
        <v>254-901</v>
      </c>
      <c r="C2141" s="979" t="s">
        <v>420</v>
      </c>
      <c r="D2141" s="979">
        <v>2</v>
      </c>
      <c r="E2141" s="979">
        <v>1739</v>
      </c>
      <c r="F2141" s="979" t="s">
        <v>5734</v>
      </c>
      <c r="G2141" s="979" t="s">
        <v>5734</v>
      </c>
      <c r="H2141" s="1030">
        <v>396447</v>
      </c>
      <c r="I2141" s="1030">
        <v>0</v>
      </c>
      <c r="J2141" s="1034">
        <v>0</v>
      </c>
      <c r="K2141" s="1030">
        <v>0</v>
      </c>
      <c r="L2141" s="1030">
        <v>0</v>
      </c>
      <c r="M2141" s="979">
        <v>599</v>
      </c>
    </row>
    <row r="2142" spans="1:13" ht="15">
      <c r="A2142" s="979" t="s">
        <v>3792</v>
      </c>
      <c r="B2142" s="722" t="str">
        <f>CONCATENATE(LEFT(RIGHT(CONCATENATE("000",IFAData_TEA!A2142),6),3),"-",(RIGHT(RIGHT(CONCATENATE("000",IFAData_TEA!A2142),6),3)))</f>
        <v>254-901</v>
      </c>
      <c r="C2142" s="979" t="s">
        <v>420</v>
      </c>
      <c r="D2142" s="979">
        <v>5</v>
      </c>
      <c r="E2142" s="979">
        <v>1737</v>
      </c>
      <c r="F2142" s="979" t="s">
        <v>5738</v>
      </c>
      <c r="G2142" s="979" t="s">
        <v>5735</v>
      </c>
      <c r="H2142" s="1030">
        <v>197353</v>
      </c>
      <c r="I2142" s="1030">
        <v>14001</v>
      </c>
      <c r="J2142" s="1034">
        <v>7.387961648664193E-2</v>
      </c>
      <c r="K2142" s="1030">
        <v>14580.363952488246</v>
      </c>
      <c r="L2142" s="1030">
        <v>14001</v>
      </c>
      <c r="M2142" s="979">
        <v>599</v>
      </c>
    </row>
    <row r="2143" spans="1:13" ht="15">
      <c r="A2143" s="979" t="s">
        <v>3792</v>
      </c>
      <c r="B2143" s="722" t="str">
        <f>CONCATENATE(LEFT(RIGHT(CONCATENATE("000",IFAData_TEA!A2143),6),3),"-",(RIGHT(RIGHT(CONCATENATE("000",IFAData_TEA!A2143),6),3)))</f>
        <v>254-901</v>
      </c>
      <c r="C2143" s="979" t="s">
        <v>420</v>
      </c>
      <c r="D2143" s="979">
        <v>2</v>
      </c>
      <c r="E2143" s="979">
        <v>1739</v>
      </c>
      <c r="F2143" s="979" t="s">
        <v>5734</v>
      </c>
      <c r="G2143" s="979" t="s">
        <v>5735</v>
      </c>
      <c r="H2143" s="1030">
        <v>396447</v>
      </c>
      <c r="I2143" s="1030">
        <v>306000</v>
      </c>
      <c r="J2143" s="1034">
        <v>0.61373441345241653</v>
      </c>
      <c r="K2143" s="1030">
        <v>243313.16700997017</v>
      </c>
      <c r="L2143" s="1030">
        <v>243313.16700997017</v>
      </c>
      <c r="M2143" s="979">
        <v>599</v>
      </c>
    </row>
    <row r="2144" spans="1:13" ht="15">
      <c r="A2144" s="979" t="s">
        <v>3792</v>
      </c>
      <c r="B2144" s="722" t="str">
        <f>CONCATENATE(LEFT(RIGHT(CONCATENATE("000",IFAData_TEA!A2144),6),3),"-",(RIGHT(RIGHT(CONCATENATE("000",IFAData_TEA!A2144),6),3)))</f>
        <v>254-901</v>
      </c>
      <c r="C2144" s="979" t="s">
        <v>420</v>
      </c>
      <c r="D2144" s="979">
        <v>4</v>
      </c>
      <c r="E2144" s="979">
        <v>1736</v>
      </c>
      <c r="F2144" s="979" t="s">
        <v>5737</v>
      </c>
      <c r="G2144" s="979" t="s">
        <v>5735</v>
      </c>
      <c r="H2144" s="1030">
        <v>192712</v>
      </c>
      <c r="I2144" s="1030">
        <v>95000</v>
      </c>
      <c r="J2144" s="1034">
        <v>0.55437224637469729</v>
      </c>
      <c r="K2144" s="1030">
        <v>106834.18434336067</v>
      </c>
      <c r="L2144" s="1030">
        <v>95000</v>
      </c>
      <c r="M2144" s="979">
        <v>599</v>
      </c>
    </row>
    <row r="2145" spans="1:13" ht="15">
      <c r="A2145" s="979" t="s">
        <v>3792</v>
      </c>
      <c r="B2145" s="722" t="str">
        <f>CONCATENATE(LEFT(RIGHT(CONCATENATE("000",IFAData_TEA!A2145),6),3),"-",(RIGHT(RIGHT(CONCATENATE("000",IFAData_TEA!A2145),6),3)))</f>
        <v>254-901</v>
      </c>
      <c r="C2145" s="979" t="s">
        <v>420</v>
      </c>
      <c r="D2145" s="979">
        <v>4</v>
      </c>
      <c r="E2145" s="979">
        <v>1736</v>
      </c>
      <c r="F2145" s="979" t="s">
        <v>5737</v>
      </c>
      <c r="G2145" s="979" t="s">
        <v>5736</v>
      </c>
      <c r="H2145" s="1030">
        <v>192712</v>
      </c>
      <c r="I2145" s="1030">
        <v>0</v>
      </c>
      <c r="J2145" s="1034">
        <v>0</v>
      </c>
      <c r="K2145" s="1030">
        <v>0</v>
      </c>
      <c r="L2145" s="1030">
        <v>0</v>
      </c>
      <c r="M2145" s="979">
        <v>599</v>
      </c>
    </row>
    <row r="2146" spans="1:13" ht="15">
      <c r="A2146" s="979" t="s">
        <v>3792</v>
      </c>
      <c r="B2146" s="722" t="str">
        <f>CONCATENATE(LEFT(RIGHT(CONCATENATE("000",IFAData_TEA!A2146),6),3),"-",(RIGHT(RIGHT(CONCATENATE("000",IFAData_TEA!A2146),6),3)))</f>
        <v>254-901</v>
      </c>
      <c r="C2146" s="979" t="s">
        <v>420</v>
      </c>
      <c r="D2146" s="979">
        <v>2</v>
      </c>
      <c r="E2146" s="979">
        <v>1739</v>
      </c>
      <c r="F2146" s="979" t="s">
        <v>5734</v>
      </c>
      <c r="G2146" s="979" t="s">
        <v>5736</v>
      </c>
      <c r="H2146" s="1030">
        <v>396447</v>
      </c>
      <c r="I2146" s="1030">
        <v>0</v>
      </c>
      <c r="J2146" s="1034">
        <v>0</v>
      </c>
      <c r="K2146" s="1030">
        <v>0</v>
      </c>
      <c r="L2146" s="1030">
        <v>0</v>
      </c>
      <c r="M2146" s="979">
        <v>599</v>
      </c>
    </row>
    <row r="2147" spans="1:13" ht="15">
      <c r="A2147" s="979" t="s">
        <v>3792</v>
      </c>
      <c r="B2147" s="722" t="str">
        <f>CONCATENATE(LEFT(RIGHT(CONCATENATE("000",IFAData_TEA!A2147),6),3),"-",(RIGHT(RIGHT(CONCATENATE("000",IFAData_TEA!A2147),6),3)))</f>
        <v>254-901</v>
      </c>
      <c r="C2147" s="979" t="s">
        <v>420</v>
      </c>
      <c r="D2147" s="979">
        <v>6</v>
      </c>
      <c r="E2147" s="979">
        <v>1738</v>
      </c>
      <c r="F2147" s="979" t="s">
        <v>5739</v>
      </c>
      <c r="G2147" s="979" t="s">
        <v>5736</v>
      </c>
      <c r="H2147" s="1030">
        <v>209248</v>
      </c>
      <c r="I2147" s="1030">
        <v>169900</v>
      </c>
      <c r="J2147" s="1034">
        <v>1</v>
      </c>
      <c r="K2147" s="1030">
        <v>209248</v>
      </c>
      <c r="L2147" s="1030">
        <v>169900</v>
      </c>
      <c r="M2147" s="979">
        <v>599</v>
      </c>
    </row>
    <row r="2148" spans="1:13" ht="15">
      <c r="A2148" s="979" t="s">
        <v>3792</v>
      </c>
      <c r="B2148" s="722" t="str">
        <f>CONCATENATE(LEFT(RIGHT(CONCATENATE("000",IFAData_TEA!A2148),6),3),"-",(RIGHT(RIGHT(CONCATENATE("000",IFAData_TEA!A2148),6),3)))</f>
        <v>254-901</v>
      </c>
      <c r="C2148" s="979" t="s">
        <v>420</v>
      </c>
      <c r="D2148" s="979">
        <v>5</v>
      </c>
      <c r="E2148" s="979">
        <v>1737</v>
      </c>
      <c r="F2148" s="979" t="s">
        <v>5738</v>
      </c>
      <c r="G2148" s="979" t="s">
        <v>5736</v>
      </c>
      <c r="H2148" s="1030">
        <v>197353</v>
      </c>
      <c r="I2148" s="1030">
        <v>101500</v>
      </c>
      <c r="J2148" s="1034">
        <v>0.53558896317364169</v>
      </c>
      <c r="K2148" s="1030">
        <v>105700.08864920771</v>
      </c>
      <c r="L2148" s="1030">
        <v>101500</v>
      </c>
      <c r="M2148" s="979">
        <v>599</v>
      </c>
    </row>
    <row r="2149" spans="1:13" ht="15">
      <c r="A2149" s="979" t="s">
        <v>3792</v>
      </c>
      <c r="B2149" s="722" t="str">
        <f>CONCATENATE(LEFT(RIGHT(CONCATENATE("000",IFAData_TEA!A2149),6),3),"-",(RIGHT(RIGHT(CONCATENATE("000",IFAData_TEA!A2149),6),3)))</f>
        <v>254-901</v>
      </c>
      <c r="C2149" s="979" t="s">
        <v>420</v>
      </c>
      <c r="D2149" s="979">
        <v>4</v>
      </c>
      <c r="E2149" s="979">
        <v>1736</v>
      </c>
      <c r="F2149" s="979" t="s">
        <v>5737</v>
      </c>
      <c r="G2149" s="979" t="s">
        <v>5737</v>
      </c>
      <c r="H2149" s="1030">
        <v>192712</v>
      </c>
      <c r="I2149" s="1030">
        <v>0</v>
      </c>
      <c r="J2149" s="1034">
        <v>0</v>
      </c>
      <c r="K2149" s="1030">
        <v>0</v>
      </c>
      <c r="L2149" s="1030">
        <v>0</v>
      </c>
      <c r="M2149" s="979">
        <v>599</v>
      </c>
    </row>
    <row r="2150" spans="1:13" ht="15">
      <c r="A2150" s="979" t="s">
        <v>3792</v>
      </c>
      <c r="B2150" s="722" t="str">
        <f>CONCATENATE(LEFT(RIGHT(CONCATENATE("000",IFAData_TEA!A2150),6),3),"-",(RIGHT(RIGHT(CONCATENATE("000",IFAData_TEA!A2150),6),3)))</f>
        <v>254-901</v>
      </c>
      <c r="C2150" s="979" t="s">
        <v>420</v>
      </c>
      <c r="D2150" s="979">
        <v>6</v>
      </c>
      <c r="E2150" s="979">
        <v>1738</v>
      </c>
      <c r="F2150" s="979" t="s">
        <v>5739</v>
      </c>
      <c r="G2150" s="979" t="s">
        <v>5739</v>
      </c>
      <c r="H2150" s="1030">
        <v>209248</v>
      </c>
      <c r="I2150" s="1030">
        <v>0</v>
      </c>
      <c r="J2150" s="1034">
        <v>0</v>
      </c>
      <c r="K2150" s="1030">
        <v>0</v>
      </c>
      <c r="L2150" s="1030">
        <v>0</v>
      </c>
      <c r="M2150" s="979">
        <v>599</v>
      </c>
    </row>
    <row r="2151" spans="1:13" ht="15">
      <c r="A2151" s="979" t="s">
        <v>3792</v>
      </c>
      <c r="B2151" s="722" t="str">
        <f>CONCATENATE(LEFT(RIGHT(CONCATENATE("000",IFAData_TEA!A2151),6),3),"-",(RIGHT(RIGHT(CONCATENATE("000",IFAData_TEA!A2151),6),3)))</f>
        <v>254-901</v>
      </c>
      <c r="C2151" s="979" t="s">
        <v>420</v>
      </c>
      <c r="D2151" s="979">
        <v>8</v>
      </c>
      <c r="E2151" s="979">
        <v>1740</v>
      </c>
      <c r="F2151" s="979" t="s">
        <v>5740</v>
      </c>
      <c r="G2151" s="979" t="s">
        <v>6366</v>
      </c>
      <c r="H2151" s="1030">
        <v>464096</v>
      </c>
      <c r="I2151" s="1030">
        <v>160043</v>
      </c>
      <c r="J2151" s="1034">
        <v>0.21450379837771474</v>
      </c>
      <c r="K2151" s="1030">
        <v>99550.354811903904</v>
      </c>
      <c r="L2151" s="1030">
        <v>99550.354811903904</v>
      </c>
      <c r="M2151" s="979">
        <v>599</v>
      </c>
    </row>
    <row r="2152" spans="1:13" ht="15">
      <c r="A2152" s="979" t="s">
        <v>3793</v>
      </c>
      <c r="B2152" s="722" t="str">
        <f>CONCATENATE(LEFT(RIGHT(CONCATENATE("000",IFAData_TEA!A2152),6),3),"-",(RIGHT(RIGHT(CONCATENATE("000",IFAData_TEA!A2152),6),3)))</f>
        <v>254-902</v>
      </c>
      <c r="C2152" s="979" t="s">
        <v>1898</v>
      </c>
      <c r="D2152" s="979">
        <v>4</v>
      </c>
      <c r="E2152" s="979">
        <v>1987</v>
      </c>
      <c r="F2152" s="979" t="s">
        <v>5741</v>
      </c>
      <c r="G2152" s="979" t="s">
        <v>5742</v>
      </c>
      <c r="H2152" s="1030">
        <v>100000</v>
      </c>
      <c r="I2152" s="1030">
        <v>93110</v>
      </c>
      <c r="J2152" s="1034">
        <v>1</v>
      </c>
      <c r="K2152" s="1030">
        <v>100000</v>
      </c>
      <c r="L2152" s="1030">
        <v>93110</v>
      </c>
      <c r="M2152" s="979">
        <v>599</v>
      </c>
    </row>
    <row r="2153" spans="1:13" ht="15">
      <c r="A2153" s="979" t="s">
        <v>3793</v>
      </c>
      <c r="B2153" s="722" t="str">
        <f>CONCATENATE(LEFT(RIGHT(CONCATENATE("000",IFAData_TEA!A2153),6),3),"-",(RIGHT(RIGHT(CONCATENATE("000",IFAData_TEA!A2153),6),3)))</f>
        <v>254-902</v>
      </c>
      <c r="C2153" s="979" t="s">
        <v>1898</v>
      </c>
      <c r="D2153" s="979">
        <v>8</v>
      </c>
      <c r="E2153" s="979">
        <v>1986</v>
      </c>
      <c r="F2153" s="979" t="s">
        <v>5742</v>
      </c>
      <c r="G2153" s="979" t="s">
        <v>5742</v>
      </c>
      <c r="H2153" s="1030">
        <v>95242</v>
      </c>
      <c r="I2153" s="1030">
        <v>94919</v>
      </c>
      <c r="J2153" s="1034">
        <v>1</v>
      </c>
      <c r="K2153" s="1030">
        <v>95242</v>
      </c>
      <c r="L2153" s="1030">
        <v>94919</v>
      </c>
      <c r="M2153" s="979">
        <v>599</v>
      </c>
    </row>
    <row r="2154" spans="1:13" ht="15">
      <c r="A2154" s="979" t="s">
        <v>3793</v>
      </c>
      <c r="B2154" s="722" t="str">
        <f>CONCATENATE(LEFT(RIGHT(CONCATENATE("000",IFAData_TEA!A2154),6),3),"-",(RIGHT(RIGHT(CONCATENATE("000",IFAData_TEA!A2154),6),3)))</f>
        <v>254-902</v>
      </c>
      <c r="C2154" s="979" t="s">
        <v>1898</v>
      </c>
      <c r="D2154" s="979">
        <v>4</v>
      </c>
      <c r="E2154" s="979">
        <v>1987</v>
      </c>
      <c r="F2154" s="979" t="s">
        <v>5741</v>
      </c>
      <c r="G2154" s="979" t="s">
        <v>5741</v>
      </c>
      <c r="H2154" s="1030">
        <v>100000</v>
      </c>
      <c r="I2154" s="1030">
        <v>0</v>
      </c>
      <c r="J2154" s="1034">
        <v>0</v>
      </c>
      <c r="K2154" s="1030">
        <v>0</v>
      </c>
      <c r="L2154" s="1030">
        <v>0</v>
      </c>
      <c r="M2154" s="979">
        <v>599</v>
      </c>
    </row>
    <row r="2155" spans="1:13">
      <c r="L2155" s="963">
        <f>SUM(L2:L2154)</f>
        <v>771883775.00000048</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5703125" customWidth="1"/>
  </cols>
  <sheetData>
    <row r="1" spans="1:3" ht="15">
      <c r="A1" t="s">
        <v>3365</v>
      </c>
      <c r="B1" s="722" t="str">
        <f>CONCATENATE(LEFT(RIGHT(CONCATENATE("000",HH_debt1718!A1),6),3),"-",(RIGHT(RIGHT(CONCATENATE("000",HH_debt1718!A1),6),3)))</f>
        <v>001-903</v>
      </c>
      <c r="C1" s="91">
        <v>972831</v>
      </c>
    </row>
    <row r="2" spans="1:3" ht="15">
      <c r="A2" t="s">
        <v>5753</v>
      </c>
      <c r="B2" s="722" t="str">
        <f>CONCATENATE(LEFT(RIGHT(CONCATENATE("000",HH_debt1718!A2),6),3),"-",(RIGHT(RIGHT(CONCATENATE("000",HH_debt1718!A2),6),3)))</f>
        <v>001-904</v>
      </c>
      <c r="C2" s="91">
        <v>916788</v>
      </c>
    </row>
    <row r="3" spans="1:3" ht="15">
      <c r="A3" t="s">
        <v>5754</v>
      </c>
      <c r="B3" s="722" t="str">
        <f>CONCATENATE(LEFT(RIGHT(CONCATENATE("000",HH_debt1718!A3),6),3),"-",(RIGHT(RIGHT(CONCATENATE("000",HH_debt1718!A3),6),3)))</f>
        <v>001-906</v>
      </c>
      <c r="C3" s="91">
        <v>325212</v>
      </c>
    </row>
    <row r="4" spans="1:3" ht="15">
      <c r="A4" t="s">
        <v>3366</v>
      </c>
      <c r="B4" s="722" t="str">
        <f>CONCATENATE(LEFT(RIGHT(CONCATENATE("000",HH_debt1718!A4),6),3),"-",(RIGHT(RIGHT(CONCATENATE("000",HH_debt1718!A4),6),3)))</f>
        <v>001-907</v>
      </c>
      <c r="C4" s="91">
        <v>3826481</v>
      </c>
    </row>
    <row r="5" spans="1:3" ht="15">
      <c r="A5" t="s">
        <v>5755</v>
      </c>
      <c r="B5" s="722" t="str">
        <f>CONCATENATE(LEFT(RIGHT(CONCATENATE("000",HH_debt1718!A5),6),3),"-",(RIGHT(RIGHT(CONCATENATE("000",HH_debt1718!A5),6),3)))</f>
        <v>001-909</v>
      </c>
      <c r="C5" s="91">
        <v>200225</v>
      </c>
    </row>
    <row r="6" spans="1:3" ht="15">
      <c r="A6" t="s">
        <v>5756</v>
      </c>
      <c r="B6" s="722" t="str">
        <f>CONCATENATE(LEFT(RIGHT(CONCATENATE("000",HH_debt1718!A6),6),3),"-",(RIGHT(RIGHT(CONCATENATE("000",HH_debt1718!A6),6),3)))</f>
        <v>002-901</v>
      </c>
      <c r="C6" s="91">
        <v>4373638</v>
      </c>
    </row>
    <row r="7" spans="1:3" ht="15">
      <c r="A7" t="s">
        <v>3367</v>
      </c>
      <c r="B7" s="722" t="str">
        <f>CONCATENATE(LEFT(RIGHT(CONCATENATE("000",HH_debt1718!A7),6),3),"-",(RIGHT(RIGHT(CONCATENATE("000",HH_debt1718!A7),6),3)))</f>
        <v>003-902</v>
      </c>
      <c r="C7" s="91">
        <v>1109397</v>
      </c>
    </row>
    <row r="8" spans="1:3" ht="15">
      <c r="A8" t="s">
        <v>5757</v>
      </c>
      <c r="B8" s="722" t="str">
        <f>CONCATENATE(LEFT(RIGHT(CONCATENATE("000",HH_debt1718!A8),6),3),"-",(RIGHT(RIGHT(CONCATENATE("000",HH_debt1718!A8),6),3)))</f>
        <v>003-903</v>
      </c>
      <c r="C8" s="91">
        <v>4668607</v>
      </c>
    </row>
    <row r="9" spans="1:3" ht="15">
      <c r="A9" t="s">
        <v>3368</v>
      </c>
      <c r="B9" s="722" t="str">
        <f>CONCATENATE(LEFT(RIGHT(CONCATENATE("000",HH_debt1718!A9),6),3),"-",(RIGHT(RIGHT(CONCATENATE("000",HH_debt1718!A9),6),3)))</f>
        <v>003-904</v>
      </c>
      <c r="C9" s="91">
        <v>1300712</v>
      </c>
    </row>
    <row r="10" spans="1:3" ht="15">
      <c r="A10" t="s">
        <v>3369</v>
      </c>
      <c r="B10" s="722" t="str">
        <f>CONCATENATE(LEFT(RIGHT(CONCATENATE("000",HH_debt1718!A10),6),3),"-",(RIGHT(RIGHT(CONCATENATE("000",HH_debt1718!A10),6),3)))</f>
        <v>003-905</v>
      </c>
      <c r="C10" s="91">
        <v>1313974</v>
      </c>
    </row>
    <row r="11" spans="1:3" ht="15">
      <c r="A11" t="s">
        <v>5758</v>
      </c>
      <c r="B11" s="722" t="str">
        <f>CONCATENATE(LEFT(RIGHT(CONCATENATE("000",HH_debt1718!A11),6),3),"-",(RIGHT(RIGHT(CONCATENATE("000",HH_debt1718!A11),6),3)))</f>
        <v>003-906</v>
      </c>
      <c r="C11" s="91">
        <v>424223</v>
      </c>
    </row>
    <row r="12" spans="1:3" ht="15">
      <c r="A12" t="s">
        <v>3370</v>
      </c>
      <c r="B12" s="722" t="str">
        <f>CONCATENATE(LEFT(RIGHT(CONCATENATE("000",HH_debt1718!A12),6),3),"-",(RIGHT(RIGHT(CONCATENATE("000",HH_debt1718!A12),6),3)))</f>
        <v>003-907</v>
      </c>
      <c r="C12" s="91">
        <v>724750</v>
      </c>
    </row>
    <row r="13" spans="1:3" ht="15">
      <c r="A13" t="s">
        <v>5759</v>
      </c>
      <c r="B13" s="722" t="str">
        <f>CONCATENATE(LEFT(RIGHT(CONCATENATE("000",HH_debt1718!A13),6),3),"-",(RIGHT(RIGHT(CONCATENATE("000",HH_debt1718!A13),6),3)))</f>
        <v>004-901</v>
      </c>
      <c r="C13" s="91">
        <v>2654788</v>
      </c>
    </row>
    <row r="14" spans="1:3" ht="15">
      <c r="A14" t="s">
        <v>5760</v>
      </c>
      <c r="B14" s="722" t="str">
        <f>CONCATENATE(LEFT(RIGHT(CONCATENATE("000",HH_debt1718!A14),6),3),"-",(RIGHT(RIGHT(CONCATENATE("000",HH_debt1718!A14),6),3)))</f>
        <v>005-901</v>
      </c>
      <c r="C14" s="91">
        <v>142275</v>
      </c>
    </row>
    <row r="15" spans="1:3" ht="15">
      <c r="A15" t="s">
        <v>5761</v>
      </c>
      <c r="B15" s="722" t="str">
        <f>CONCATENATE(LEFT(RIGHT(CONCATENATE("000",HH_debt1718!A15),6),3),"-",(RIGHT(RIGHT(CONCATENATE("000",HH_debt1718!A15),6),3)))</f>
        <v>005-902</v>
      </c>
      <c r="C15" s="91">
        <v>1030935</v>
      </c>
    </row>
    <row r="16" spans="1:3" ht="15">
      <c r="A16" t="s">
        <v>3371</v>
      </c>
      <c r="B16" s="722" t="str">
        <f>CONCATENATE(LEFT(RIGHT(CONCATENATE("000",HH_debt1718!A16),6),3),"-",(RIGHT(RIGHT(CONCATENATE("000",HH_debt1718!A16),6),3)))</f>
        <v>005-904</v>
      </c>
      <c r="C16" s="91">
        <v>176262</v>
      </c>
    </row>
    <row r="17" spans="1:3" ht="15">
      <c r="A17" t="s">
        <v>5762</v>
      </c>
      <c r="B17" s="722" t="str">
        <f>CONCATENATE(LEFT(RIGHT(CONCATENATE("000",HH_debt1718!A17),6),3),"-",(RIGHT(RIGHT(CONCATENATE("000",HH_debt1718!A17),6),3)))</f>
        <v>006-902</v>
      </c>
      <c r="C17" s="91">
        <v>136550</v>
      </c>
    </row>
    <row r="18" spans="1:3" ht="15">
      <c r="A18" t="s">
        <v>3372</v>
      </c>
      <c r="B18" s="722" t="str">
        <f>CONCATENATE(LEFT(RIGHT(CONCATENATE("000",HH_debt1718!A18),6),3),"-",(RIGHT(RIGHT(CONCATENATE("000",HH_debt1718!A18),6),3)))</f>
        <v>007-901</v>
      </c>
      <c r="C18" s="91">
        <v>370438</v>
      </c>
    </row>
    <row r="19" spans="1:3" ht="15">
      <c r="A19" t="s">
        <v>3373</v>
      </c>
      <c r="B19" s="722" t="str">
        <f>CONCATENATE(LEFT(RIGHT(CONCATENATE("000",HH_debt1718!A19),6),3),"-",(RIGHT(RIGHT(CONCATENATE("000",HH_debt1718!A19),6),3)))</f>
        <v>007-904</v>
      </c>
      <c r="C19" s="91">
        <v>1176655</v>
      </c>
    </row>
    <row r="20" spans="1:3" ht="15">
      <c r="A20" t="s">
        <v>3374</v>
      </c>
      <c r="B20" s="722" t="str">
        <f>CONCATENATE(LEFT(RIGHT(CONCATENATE("000",HH_debt1718!A20),6),3),"-",(RIGHT(RIGHT(CONCATENATE("000",HH_debt1718!A20),6),3)))</f>
        <v>007-905</v>
      </c>
      <c r="C20" s="91">
        <v>6414450</v>
      </c>
    </row>
    <row r="21" spans="1:3" ht="15">
      <c r="A21" t="s">
        <v>3375</v>
      </c>
      <c r="B21" s="722" t="str">
        <f>CONCATENATE(LEFT(RIGHT(CONCATENATE("000",HH_debt1718!A21),6),3),"-",(RIGHT(RIGHT(CONCATENATE("000",HH_debt1718!A21),6),3)))</f>
        <v>007-906</v>
      </c>
      <c r="C21" s="91">
        <v>2035122</v>
      </c>
    </row>
    <row r="22" spans="1:3" ht="15">
      <c r="A22" t="s">
        <v>5763</v>
      </c>
      <c r="B22" s="722" t="str">
        <f>CONCATENATE(LEFT(RIGHT(CONCATENATE("000",HH_debt1718!A22),6),3),"-",(RIGHT(RIGHT(CONCATENATE("000",HH_debt1718!A22),6),3)))</f>
        <v>008-901</v>
      </c>
      <c r="C22" s="91">
        <v>1845754</v>
      </c>
    </row>
    <row r="23" spans="1:3" ht="15">
      <c r="A23" t="s">
        <v>5764</v>
      </c>
      <c r="B23" s="722" t="str">
        <f>CONCATENATE(LEFT(RIGHT(CONCATENATE("000",HH_debt1718!A23),6),3),"-",(RIGHT(RIGHT(CONCATENATE("000",HH_debt1718!A23),6),3)))</f>
        <v>008-902</v>
      </c>
      <c r="C23" s="91">
        <v>2477532</v>
      </c>
    </row>
    <row r="24" spans="1:3" ht="15">
      <c r="A24" t="s">
        <v>5765</v>
      </c>
      <c r="B24" s="722" t="str">
        <f>CONCATENATE(LEFT(RIGHT(CONCATENATE("000",HH_debt1718!A24),6),3),"-",(RIGHT(RIGHT(CONCATENATE("000",HH_debt1718!A24),6),3)))</f>
        <v>008-903</v>
      </c>
      <c r="C24" s="91">
        <v>1061258</v>
      </c>
    </row>
    <row r="25" spans="1:3" ht="15">
      <c r="A25" t="s">
        <v>3376</v>
      </c>
      <c r="B25" s="722" t="str">
        <f>CONCATENATE(LEFT(RIGHT(CONCATENATE("000",HH_debt1718!A25),6),3),"-",(RIGHT(RIGHT(CONCATENATE("000",HH_debt1718!A25),6),3)))</f>
        <v>009-901</v>
      </c>
      <c r="C25" s="91">
        <v>1506086</v>
      </c>
    </row>
    <row r="26" spans="1:3" ht="15">
      <c r="A26" t="s">
        <v>3377</v>
      </c>
      <c r="B26" s="722" t="str">
        <f>CONCATENATE(LEFT(RIGHT(CONCATENATE("000",HH_debt1718!A26),6),3),"-",(RIGHT(RIGHT(CONCATENATE("000",HH_debt1718!A26),6),3)))</f>
        <v>010-902</v>
      </c>
      <c r="C26" s="91">
        <v>1885562</v>
      </c>
    </row>
    <row r="27" spans="1:3" ht="15">
      <c r="A27" t="s">
        <v>3378</v>
      </c>
      <c r="B27" s="722" t="str">
        <f>CONCATENATE(LEFT(RIGHT(CONCATENATE("000",HH_debt1718!A27),6),3),"-",(RIGHT(RIGHT(CONCATENATE("000",HH_debt1718!A27),6),3)))</f>
        <v>011-901</v>
      </c>
      <c r="C27" s="91">
        <v>13144526</v>
      </c>
    </row>
    <row r="28" spans="1:3" ht="15">
      <c r="A28" t="s">
        <v>3379</v>
      </c>
      <c r="B28" s="722" t="str">
        <f>CONCATENATE(LEFT(RIGHT(CONCATENATE("000",HH_debt1718!A28),6),3),"-",(RIGHT(RIGHT(CONCATENATE("000",HH_debt1718!A28),6),3)))</f>
        <v>011-902</v>
      </c>
      <c r="C28" s="91">
        <v>6303650</v>
      </c>
    </row>
    <row r="29" spans="1:3" ht="15">
      <c r="A29" t="s">
        <v>3380</v>
      </c>
      <c r="B29" s="722" t="str">
        <f>CONCATENATE(LEFT(RIGHT(CONCATENATE("000",HH_debt1718!A29),6),3),"-",(RIGHT(RIGHT(CONCATENATE("000",HH_debt1718!A29),6),3)))</f>
        <v>011-904</v>
      </c>
      <c r="C29" s="91">
        <v>1082750</v>
      </c>
    </row>
    <row r="30" spans="1:3" ht="15">
      <c r="A30" t="s">
        <v>3381</v>
      </c>
      <c r="B30" s="722" t="str">
        <f>CONCATENATE(LEFT(RIGHT(CONCATENATE("000",HH_debt1718!A30),6),3),"-",(RIGHT(RIGHT(CONCATENATE("000",HH_debt1718!A30),6),3)))</f>
        <v>011-905</v>
      </c>
      <c r="C30" s="91">
        <v>96025</v>
      </c>
    </row>
    <row r="31" spans="1:3" ht="15">
      <c r="A31" t="s">
        <v>3382</v>
      </c>
      <c r="B31" s="722" t="str">
        <f>CONCATENATE(LEFT(RIGHT(CONCATENATE("000",HH_debt1718!A31),6),3),"-",(RIGHT(RIGHT(CONCATENATE("000",HH_debt1718!A31),6),3)))</f>
        <v>013-901</v>
      </c>
      <c r="C31" s="91">
        <v>1599100</v>
      </c>
    </row>
    <row r="32" spans="1:3" ht="15">
      <c r="A32" t="s">
        <v>5766</v>
      </c>
      <c r="B32" s="722" t="str">
        <f>CONCATENATE(LEFT(RIGHT(CONCATENATE("000",HH_debt1718!A32),6),3),"-",(RIGHT(RIGHT(CONCATENATE("000",HH_debt1718!A32),6),3)))</f>
        <v>013-902</v>
      </c>
      <c r="C32" s="91">
        <v>755393</v>
      </c>
    </row>
    <row r="33" spans="1:3" ht="15">
      <c r="A33" t="s">
        <v>5767</v>
      </c>
      <c r="B33" s="722" t="str">
        <f>CONCATENATE(LEFT(RIGHT(CONCATENATE("000",HH_debt1718!A33),6),3),"-",(RIGHT(RIGHT(CONCATENATE("000",HH_debt1718!A33),6),3)))</f>
        <v>013-903</v>
      </c>
      <c r="C33" s="91">
        <v>554938</v>
      </c>
    </row>
    <row r="34" spans="1:3" ht="15">
      <c r="A34" t="s">
        <v>3383</v>
      </c>
      <c r="B34" s="722" t="str">
        <f>CONCATENATE(LEFT(RIGHT(CONCATENATE("000",HH_debt1718!A34),6),3),"-",(RIGHT(RIGHT(CONCATENATE("000",HH_debt1718!A34),6),3)))</f>
        <v>013-905</v>
      </c>
      <c r="C34" s="91">
        <v>786128</v>
      </c>
    </row>
    <row r="35" spans="1:3" ht="15">
      <c r="A35" t="s">
        <v>5768</v>
      </c>
      <c r="B35" s="722" t="str">
        <f>CONCATENATE(LEFT(RIGHT(CONCATENATE("000",HH_debt1718!A35),6),3),"-",(RIGHT(RIGHT(CONCATENATE("000",HH_debt1718!A35),6),3)))</f>
        <v>014-901</v>
      </c>
      <c r="C35" s="91">
        <v>1516550</v>
      </c>
    </row>
    <row r="36" spans="1:3" ht="15">
      <c r="A36" t="s">
        <v>3384</v>
      </c>
      <c r="B36" s="722" t="str">
        <f>CONCATENATE(LEFT(RIGHT(CONCATENATE("000",HH_debt1718!A36),6),3),"-",(RIGHT(RIGHT(CONCATENATE("000",HH_debt1718!A36),6),3)))</f>
        <v>014-902</v>
      </c>
      <c r="C36" s="91">
        <v>164525</v>
      </c>
    </row>
    <row r="37" spans="1:3" ht="15">
      <c r="A37" t="s">
        <v>3385</v>
      </c>
      <c r="B37" s="722" t="str">
        <f>CONCATENATE(LEFT(RIGHT(CONCATENATE("000",HH_debt1718!A37),6),3),"-",(RIGHT(RIGHT(CONCATENATE("000",HH_debt1718!A37),6),3)))</f>
        <v>014-903</v>
      </c>
      <c r="C37" s="91">
        <v>9124890</v>
      </c>
    </row>
    <row r="38" spans="1:3" ht="15">
      <c r="A38" t="s">
        <v>3386</v>
      </c>
      <c r="B38" s="722" t="str">
        <f>CONCATENATE(LEFT(RIGHT(CONCATENATE("000",HH_debt1718!A38),6),3),"-",(RIGHT(RIGHT(CONCATENATE("000",HH_debt1718!A38),6),3)))</f>
        <v>014-905</v>
      </c>
      <c r="C38" s="91">
        <v>476125</v>
      </c>
    </row>
    <row r="39" spans="1:3" ht="15">
      <c r="A39" t="s">
        <v>3387</v>
      </c>
      <c r="B39" s="722" t="str">
        <f>CONCATENATE(LEFT(RIGHT(CONCATENATE("000",HH_debt1718!A39),6),3),"-",(RIGHT(RIGHT(CONCATENATE("000",HH_debt1718!A39),6),3)))</f>
        <v>014-906</v>
      </c>
      <c r="C39" s="91">
        <v>10356450</v>
      </c>
    </row>
    <row r="40" spans="1:3" ht="15">
      <c r="A40" t="s">
        <v>3388</v>
      </c>
      <c r="B40" s="722" t="str">
        <f>CONCATENATE(LEFT(RIGHT(CONCATENATE("000",HH_debt1718!A40),6),3),"-",(RIGHT(RIGHT(CONCATENATE("000",HH_debt1718!A40),6),3)))</f>
        <v>014-907</v>
      </c>
      <c r="C40" s="91">
        <v>226200</v>
      </c>
    </row>
    <row r="41" spans="1:3" ht="15">
      <c r="A41" t="s">
        <v>3389</v>
      </c>
      <c r="B41" s="722" t="str">
        <f>CONCATENATE(LEFT(RIGHT(CONCATENATE("000",HH_debt1718!A41),6),3),"-",(RIGHT(RIGHT(CONCATENATE("000",HH_debt1718!A41),6),3)))</f>
        <v>014-908</v>
      </c>
      <c r="C41" s="91">
        <v>1317100</v>
      </c>
    </row>
    <row r="42" spans="1:3" ht="15">
      <c r="A42" t="s">
        <v>3390</v>
      </c>
      <c r="B42" s="722" t="str">
        <f>CONCATENATE(LEFT(RIGHT(CONCATENATE("000",HH_debt1718!A42),6),3),"-",(RIGHT(RIGHT(CONCATENATE("000",HH_debt1718!A42),6),3)))</f>
        <v>014-909</v>
      </c>
      <c r="C42" s="91">
        <v>7028350</v>
      </c>
    </row>
    <row r="43" spans="1:3" ht="15">
      <c r="A43" t="s">
        <v>3391</v>
      </c>
      <c r="B43" s="722" t="str">
        <f>CONCATENATE(LEFT(RIGHT(CONCATENATE("000",HH_debt1718!A43),6),3),"-",(RIGHT(RIGHT(CONCATENATE("000",HH_debt1718!A43),6),3)))</f>
        <v>014-910</v>
      </c>
      <c r="C43" s="91">
        <v>1335381</v>
      </c>
    </row>
    <row r="44" spans="1:3" ht="15">
      <c r="A44" t="s">
        <v>5769</v>
      </c>
      <c r="B44" s="722" t="str">
        <f>CONCATENATE(LEFT(RIGHT(CONCATENATE("000",HH_debt1718!A44),6),3),"-",(RIGHT(RIGHT(CONCATENATE("000",HH_debt1718!A44),6),3)))</f>
        <v>015-901</v>
      </c>
      <c r="C44" s="91">
        <v>7913589</v>
      </c>
    </row>
    <row r="45" spans="1:3" ht="15">
      <c r="A45" t="s">
        <v>3392</v>
      </c>
      <c r="B45" s="722" t="str">
        <f>CONCATENATE(LEFT(RIGHT(CONCATENATE("000",HH_debt1718!A45),6),3),"-",(RIGHT(RIGHT(CONCATENATE("000",HH_debt1718!A45),6),3)))</f>
        <v>015-904</v>
      </c>
      <c r="C45" s="91">
        <v>16694842</v>
      </c>
    </row>
    <row r="46" spans="1:3" ht="15">
      <c r="A46" t="s">
        <v>3393</v>
      </c>
      <c r="B46" s="722" t="str">
        <f>CONCATENATE(LEFT(RIGHT(CONCATENATE("000",HH_debt1718!A46),6),3),"-",(RIGHT(RIGHT(CONCATENATE("000",HH_debt1718!A46),6),3)))</f>
        <v>015-905</v>
      </c>
      <c r="C46" s="91">
        <v>7293306</v>
      </c>
    </row>
    <row r="47" spans="1:3" ht="15">
      <c r="A47" t="s">
        <v>3394</v>
      </c>
      <c r="B47" s="722" t="str">
        <f>CONCATENATE(LEFT(RIGHT(CONCATENATE("000",HH_debt1718!A47),6),3),"-",(RIGHT(RIGHT(CONCATENATE("000",HH_debt1718!A47),6),3)))</f>
        <v>015-907</v>
      </c>
      <c r="C47" s="91">
        <v>58394228</v>
      </c>
    </row>
    <row r="48" spans="1:3" ht="15">
      <c r="A48" t="s">
        <v>3395</v>
      </c>
      <c r="B48" s="722" t="str">
        <f>CONCATENATE(LEFT(RIGHT(CONCATENATE("000",HH_debt1718!A48),6),3),"-",(RIGHT(RIGHT(CONCATENATE("000",HH_debt1718!A48),6),3)))</f>
        <v>015-908</v>
      </c>
      <c r="C48" s="91">
        <v>12186379</v>
      </c>
    </row>
    <row r="49" spans="1:3" ht="15">
      <c r="A49" t="s">
        <v>3396</v>
      </c>
      <c r="B49" s="722" t="str">
        <f>CONCATENATE(LEFT(RIGHT(CONCATENATE("000",HH_debt1718!A49),6),3),"-",(RIGHT(RIGHT(CONCATENATE("000",HH_debt1718!A49),6),3)))</f>
        <v>015-909</v>
      </c>
      <c r="C49" s="91">
        <v>2446437</v>
      </c>
    </row>
    <row r="50" spans="1:3" ht="15">
      <c r="A50" t="s">
        <v>3397</v>
      </c>
      <c r="B50" s="722" t="str">
        <f>CONCATENATE(LEFT(RIGHT(CONCATENATE("000",HH_debt1718!A50),6),3),"-",(RIGHT(RIGHT(CONCATENATE("000",HH_debt1718!A50),6),3)))</f>
        <v>015-910</v>
      </c>
      <c r="C50" s="91">
        <v>93678548</v>
      </c>
    </row>
    <row r="51" spans="1:3" ht="15">
      <c r="A51" t="s">
        <v>3398</v>
      </c>
      <c r="B51" s="722" t="str">
        <f>CONCATENATE(LEFT(RIGHT(CONCATENATE("000",HH_debt1718!A51),6),3),"-",(RIGHT(RIGHT(CONCATENATE("000",HH_debt1718!A51),6),3)))</f>
        <v>015-911</v>
      </c>
      <c r="C51" s="91">
        <v>6635066</v>
      </c>
    </row>
    <row r="52" spans="1:3" ht="15">
      <c r="A52" t="s">
        <v>3399</v>
      </c>
      <c r="B52" s="722" t="str">
        <f>CONCATENATE(LEFT(RIGHT(CONCATENATE("000",HH_debt1718!A52),6),3),"-",(RIGHT(RIGHT(CONCATENATE("000",HH_debt1718!A52),6),3)))</f>
        <v>015-912</v>
      </c>
      <c r="C52" s="91">
        <v>15421141</v>
      </c>
    </row>
    <row r="53" spans="1:3" ht="15">
      <c r="A53" t="s">
        <v>3400</v>
      </c>
      <c r="B53" s="722" t="str">
        <f>CONCATENATE(LEFT(RIGHT(CONCATENATE("000",HH_debt1718!A53),6),3),"-",(RIGHT(RIGHT(CONCATENATE("000",HH_debt1718!A53),6),3)))</f>
        <v>015-915</v>
      </c>
      <c r="C53" s="91">
        <v>140559913</v>
      </c>
    </row>
    <row r="54" spans="1:3" ht="15">
      <c r="A54" t="s">
        <v>3401</v>
      </c>
      <c r="B54" s="722" t="str">
        <f>CONCATENATE(LEFT(RIGHT(CONCATENATE("000",HH_debt1718!A54),6),3),"-",(RIGHT(RIGHT(CONCATENATE("000",HH_debt1718!A54),6),3)))</f>
        <v>015-916</v>
      </c>
      <c r="C54" s="91">
        <v>29806668</v>
      </c>
    </row>
    <row r="55" spans="1:3" ht="15">
      <c r="A55" t="s">
        <v>3402</v>
      </c>
      <c r="B55" s="722" t="str">
        <f>CONCATENATE(LEFT(RIGHT(CONCATENATE("000",HH_debt1718!A55),6),3),"-",(RIGHT(RIGHT(CONCATENATE("000",HH_debt1718!A55),6),3)))</f>
        <v>015-917</v>
      </c>
      <c r="C55" s="91">
        <v>4147662</v>
      </c>
    </row>
    <row r="56" spans="1:3" ht="15">
      <c r="A56" t="s">
        <v>5770</v>
      </c>
      <c r="B56" s="722" t="str">
        <f>CONCATENATE(LEFT(RIGHT(CONCATENATE("000",HH_debt1718!A56),6),3),"-",(RIGHT(RIGHT(CONCATENATE("000",HH_debt1718!A56),6),3)))</f>
        <v>016-901</v>
      </c>
      <c r="C56" s="91">
        <v>598425</v>
      </c>
    </row>
    <row r="57" spans="1:3" ht="15">
      <c r="A57" t="s">
        <v>3403</v>
      </c>
      <c r="B57" s="722" t="str">
        <f>CONCATENATE(LEFT(RIGHT(CONCATENATE("000",HH_debt1718!A57),6),3),"-",(RIGHT(RIGHT(CONCATENATE("000",HH_debt1718!A57),6),3)))</f>
        <v>016-902</v>
      </c>
      <c r="C57" s="91">
        <v>1060165</v>
      </c>
    </row>
    <row r="58" spans="1:3" ht="15">
      <c r="A58" t="s">
        <v>5771</v>
      </c>
      <c r="B58" s="722" t="str">
        <f>CONCATENATE(LEFT(RIGHT(CONCATENATE("000",HH_debt1718!A58),6),3),"-",(RIGHT(RIGHT(CONCATENATE("000",HH_debt1718!A58),6),3)))</f>
        <v>017-901</v>
      </c>
      <c r="C58" s="91">
        <v>1669512</v>
      </c>
    </row>
    <row r="59" spans="1:3" ht="15">
      <c r="A59" t="s">
        <v>3404</v>
      </c>
      <c r="B59" s="722" t="str">
        <f>CONCATENATE(LEFT(RIGHT(CONCATENATE("000",HH_debt1718!A59),6),3),"-",(RIGHT(RIGHT(CONCATENATE("000",HH_debt1718!A59),6),3)))</f>
        <v>018-901</v>
      </c>
      <c r="C59" s="91">
        <v>503350</v>
      </c>
    </row>
    <row r="60" spans="1:3" ht="15">
      <c r="A60" t="s">
        <v>3405</v>
      </c>
      <c r="B60" s="722" t="str">
        <f>CONCATENATE(LEFT(RIGHT(CONCATENATE("000",HH_debt1718!A60),6),3),"-",(RIGHT(RIGHT(CONCATENATE("000",HH_debt1718!A60),6),3)))</f>
        <v>018-902</v>
      </c>
      <c r="C60" s="91">
        <v>245766</v>
      </c>
    </row>
    <row r="61" spans="1:3" ht="15">
      <c r="A61" t="s">
        <v>3406</v>
      </c>
      <c r="B61" s="722" t="str">
        <f>CONCATENATE(LEFT(RIGHT(CONCATENATE("000",HH_debt1718!A61),6),3),"-",(RIGHT(RIGHT(CONCATENATE("000",HH_debt1718!A61),6),3)))</f>
        <v>018-904</v>
      </c>
      <c r="C61" s="91">
        <v>474575</v>
      </c>
    </row>
    <row r="62" spans="1:3" ht="15">
      <c r="A62" t="s">
        <v>5772</v>
      </c>
      <c r="B62" s="722" t="str">
        <f>CONCATENATE(LEFT(RIGHT(CONCATENATE("000",HH_debt1718!A62),6),3),"-",(RIGHT(RIGHT(CONCATENATE("000",HH_debt1718!A62),6),3)))</f>
        <v>018-906</v>
      </c>
      <c r="C62" s="91">
        <v>66430</v>
      </c>
    </row>
    <row r="63" spans="1:3" ht="15">
      <c r="A63" t="s">
        <v>5773</v>
      </c>
      <c r="B63" s="722" t="str">
        <f>CONCATENATE(LEFT(RIGHT(CONCATENATE("000",HH_debt1718!A63),6),3),"-",(RIGHT(RIGHT(CONCATENATE("000",HH_debt1718!A63),6),3)))</f>
        <v>018-907</v>
      </c>
      <c r="C63" s="91">
        <v>17969</v>
      </c>
    </row>
    <row r="64" spans="1:3" ht="15">
      <c r="A64" t="s">
        <v>3407</v>
      </c>
      <c r="B64" s="722" t="str">
        <f>CONCATENATE(LEFT(RIGHT(CONCATENATE("000",HH_debt1718!A64),6),3),"-",(RIGHT(RIGHT(CONCATENATE("000",HH_debt1718!A64),6),3)))</f>
        <v>019-902</v>
      </c>
      <c r="C64" s="91">
        <v>693067</v>
      </c>
    </row>
    <row r="65" spans="1:3" ht="15">
      <c r="A65" t="s">
        <v>3408</v>
      </c>
      <c r="B65" s="722" t="str">
        <f>CONCATENATE(LEFT(RIGHT(CONCATENATE("000",HH_debt1718!A65),6),3),"-",(RIGHT(RIGHT(CONCATENATE("000",HH_debt1718!A65),6),3)))</f>
        <v>019-903</v>
      </c>
      <c r="C65" s="91">
        <v>124978</v>
      </c>
    </row>
    <row r="66" spans="1:3" ht="15">
      <c r="A66" t="s">
        <v>3409</v>
      </c>
      <c r="B66" s="722" t="str">
        <f>CONCATENATE(LEFT(RIGHT(CONCATENATE("000",HH_debt1718!A66),6),3),"-",(RIGHT(RIGHT(CONCATENATE("000",HH_debt1718!A66),6),3)))</f>
        <v>019-905</v>
      </c>
      <c r="C66" s="91">
        <v>1037958</v>
      </c>
    </row>
    <row r="67" spans="1:3" ht="15">
      <c r="A67" t="s">
        <v>5775</v>
      </c>
      <c r="B67" s="722" t="str">
        <f>CONCATENATE(LEFT(RIGHT(CONCATENATE("000",HH_debt1718!A67),6),3),"-",(RIGHT(RIGHT(CONCATENATE("000",HH_debt1718!A67),6),3)))</f>
        <v>019-907</v>
      </c>
      <c r="C67" s="91">
        <v>5727487</v>
      </c>
    </row>
    <row r="68" spans="1:3" ht="15">
      <c r="A68" t="s">
        <v>5776</v>
      </c>
      <c r="B68" s="722" t="str">
        <f>CONCATENATE(LEFT(RIGHT(CONCATENATE("000",HH_debt1718!A68),6),3),"-",(RIGHT(RIGHT(CONCATENATE("000",HH_debt1718!A68),6),3)))</f>
        <v>019-908</v>
      </c>
      <c r="C68" s="91">
        <v>427475</v>
      </c>
    </row>
    <row r="69" spans="1:3" ht="15">
      <c r="A69" t="s">
        <v>3410</v>
      </c>
      <c r="B69" s="722" t="str">
        <f>CONCATENATE(LEFT(RIGHT(CONCATENATE("000",HH_debt1718!A69),6),3),"-",(RIGHT(RIGHT(CONCATENATE("000",HH_debt1718!A69),6),3)))</f>
        <v>019-909</v>
      </c>
      <c r="C69" s="91">
        <v>120300</v>
      </c>
    </row>
    <row r="70" spans="1:3" ht="15">
      <c r="A70" t="s">
        <v>3411</v>
      </c>
      <c r="B70" s="722" t="str">
        <f>CONCATENATE(LEFT(RIGHT(CONCATENATE("000",HH_debt1718!A70),6),3),"-",(RIGHT(RIGHT(CONCATENATE("000",HH_debt1718!A70),6),3)))</f>
        <v>019-910</v>
      </c>
      <c r="C70" s="91">
        <v>72631</v>
      </c>
    </row>
    <row r="71" spans="1:3" ht="15">
      <c r="A71" t="s">
        <v>5777</v>
      </c>
      <c r="B71" s="722" t="str">
        <f>CONCATENATE(LEFT(RIGHT(CONCATENATE("000",HH_debt1718!A71),6),3),"-",(RIGHT(RIGHT(CONCATENATE("000",HH_debt1718!A71),6),3)))</f>
        <v>019-911</v>
      </c>
      <c r="C71" s="91">
        <v>332162</v>
      </c>
    </row>
    <row r="72" spans="1:3" ht="15">
      <c r="A72" t="s">
        <v>5778</v>
      </c>
      <c r="B72" s="722" t="str">
        <f>CONCATENATE(LEFT(RIGHT(CONCATENATE("000",HH_debt1718!A72),6),3),"-",(RIGHT(RIGHT(CONCATENATE("000",HH_debt1718!A72),6),3)))</f>
        <v>019-912</v>
      </c>
      <c r="C72" s="91">
        <v>2477944</v>
      </c>
    </row>
    <row r="73" spans="1:3" ht="15">
      <c r="A73" t="s">
        <v>3412</v>
      </c>
      <c r="B73" s="722" t="str">
        <f>CONCATENATE(LEFT(RIGHT(CONCATENATE("000",HH_debt1718!A73),6),3),"-",(RIGHT(RIGHT(CONCATENATE("000",HH_debt1718!A73),6),3)))</f>
        <v>020-901</v>
      </c>
      <c r="C73" s="91">
        <v>32897529</v>
      </c>
    </row>
    <row r="74" spans="1:3" ht="15">
      <c r="A74" t="s">
        <v>5779</v>
      </c>
      <c r="B74" s="722" t="str">
        <f>CONCATENATE(LEFT(RIGHT(CONCATENATE("000",HH_debt1718!A74),6),3),"-",(RIGHT(RIGHT(CONCATENATE("000",HH_debt1718!A74),6),3)))</f>
        <v>020-902</v>
      </c>
      <c r="C74" s="91">
        <v>9595976</v>
      </c>
    </row>
    <row r="75" spans="1:3" ht="15">
      <c r="A75" t="s">
        <v>3413</v>
      </c>
      <c r="B75" s="722" t="str">
        <f>CONCATENATE(LEFT(RIGHT(CONCATENATE("000",HH_debt1718!A75),6),3),"-",(RIGHT(RIGHT(CONCATENATE("000",HH_debt1718!A75),6),3)))</f>
        <v>020-904</v>
      </c>
      <c r="C75" s="91">
        <v>224375</v>
      </c>
    </row>
    <row r="76" spans="1:3" ht="15">
      <c r="A76" t="s">
        <v>5780</v>
      </c>
      <c r="B76" s="722" t="str">
        <f>CONCATENATE(LEFT(RIGHT(CONCATENATE("000",HH_debt1718!A76),6),3),"-",(RIGHT(RIGHT(CONCATENATE("000",HH_debt1718!A76),6),3)))</f>
        <v>020-905</v>
      </c>
      <c r="C76" s="91">
        <v>15262741</v>
      </c>
    </row>
    <row r="77" spans="1:3" ht="15">
      <c r="A77" t="s">
        <v>5781</v>
      </c>
      <c r="B77" s="722" t="str">
        <f>CONCATENATE(LEFT(RIGHT(CONCATENATE("000",HH_debt1718!A77),6),3),"-",(RIGHT(RIGHT(CONCATENATE("000",HH_debt1718!A77),6),3)))</f>
        <v>020-906</v>
      </c>
      <c r="C77" s="91">
        <v>1675048</v>
      </c>
    </row>
    <row r="78" spans="1:3" ht="15">
      <c r="A78" t="s">
        <v>3414</v>
      </c>
      <c r="B78" s="722" t="str">
        <f>CONCATENATE(LEFT(RIGHT(CONCATENATE("000",HH_debt1718!A78),6),3),"-",(RIGHT(RIGHT(CONCATENATE("000",HH_debt1718!A78),6),3)))</f>
        <v>020-907</v>
      </c>
      <c r="C78" s="91">
        <v>2624120</v>
      </c>
    </row>
    <row r="79" spans="1:3" ht="15">
      <c r="A79" t="s">
        <v>3415</v>
      </c>
      <c r="B79" s="722" t="str">
        <f>CONCATENATE(LEFT(RIGHT(CONCATENATE("000",HH_debt1718!A79),6),3),"-",(RIGHT(RIGHT(CONCATENATE("000",HH_debt1718!A79),6),3)))</f>
        <v>020-908</v>
      </c>
      <c r="C79" s="91">
        <v>25715266</v>
      </c>
    </row>
    <row r="80" spans="1:3" ht="15">
      <c r="A80" t="s">
        <v>3417</v>
      </c>
      <c r="B80" s="722" t="str">
        <f>CONCATENATE(LEFT(RIGHT(CONCATENATE("000",HH_debt1718!A80),6),3),"-",(RIGHT(RIGHT(CONCATENATE("000",HH_debt1718!A80),6),3)))</f>
        <v>021-901</v>
      </c>
      <c r="C80" s="91">
        <v>24481188</v>
      </c>
    </row>
    <row r="81" spans="1:3" ht="15">
      <c r="A81" t="s">
        <v>3418</v>
      </c>
      <c r="B81" s="722" t="str">
        <f>CONCATENATE(LEFT(RIGHT(CONCATENATE("000",HH_debt1718!A81),6),3),"-",(RIGHT(RIGHT(CONCATENATE("000",HH_debt1718!A81),6),3)))</f>
        <v>021-902</v>
      </c>
      <c r="C81" s="91">
        <v>12808496</v>
      </c>
    </row>
    <row r="82" spans="1:3" ht="15">
      <c r="A82" t="s">
        <v>5782</v>
      </c>
      <c r="B82" s="722" t="str">
        <f>CONCATENATE(LEFT(RIGHT(CONCATENATE("000",HH_debt1718!A82),6),3),"-",(RIGHT(RIGHT(CONCATENATE("000",HH_debt1718!A82),6),3)))</f>
        <v>022-901</v>
      </c>
      <c r="C82" s="91">
        <v>329750</v>
      </c>
    </row>
    <row r="83" spans="1:3" ht="15">
      <c r="A83" t="s">
        <v>5783</v>
      </c>
      <c r="B83" s="722" t="str">
        <f>CONCATENATE(LEFT(RIGHT(CONCATENATE("000",HH_debt1718!A83),6),3),"-",(RIGHT(RIGHT(CONCATENATE("000",HH_debt1718!A83),6),3)))</f>
        <v>024-901</v>
      </c>
      <c r="C83" s="91">
        <v>2096369</v>
      </c>
    </row>
    <row r="84" spans="1:3" ht="15">
      <c r="A84" t="s">
        <v>5784</v>
      </c>
      <c r="B84" s="722" t="str">
        <f>CONCATENATE(LEFT(RIGHT(CONCATENATE("000",HH_debt1718!A84),6),3),"-",(RIGHT(RIGHT(CONCATENATE("000",HH_debt1718!A84),6),3)))</f>
        <v>025-901</v>
      </c>
      <c r="C84" s="91">
        <v>548238</v>
      </c>
    </row>
    <row r="85" spans="1:3" ht="15">
      <c r="A85" t="s">
        <v>5785</v>
      </c>
      <c r="B85" s="722" t="str">
        <f>CONCATENATE(LEFT(RIGHT(CONCATENATE("000",HH_debt1718!A85),6),3),"-",(RIGHT(RIGHT(CONCATENATE("000",HH_debt1718!A85),6),3)))</f>
        <v>025-902</v>
      </c>
      <c r="C85" s="91">
        <v>2303825</v>
      </c>
    </row>
    <row r="86" spans="1:3" ht="15">
      <c r="A86" t="s">
        <v>3419</v>
      </c>
      <c r="B86" s="722" t="str">
        <f>CONCATENATE(LEFT(RIGHT(CONCATENATE("000",HH_debt1718!A86),6),3),"-",(RIGHT(RIGHT(CONCATENATE("000",HH_debt1718!A86),6),3)))</f>
        <v>025-904</v>
      </c>
      <c r="C86" s="91">
        <v>91180</v>
      </c>
    </row>
    <row r="87" spans="1:3" ht="15">
      <c r="A87" t="s">
        <v>3420</v>
      </c>
      <c r="B87" s="722" t="str">
        <f>CONCATENATE(LEFT(RIGHT(CONCATENATE("000",HH_debt1718!A87),6),3),"-",(RIGHT(RIGHT(CONCATENATE("000",HH_debt1718!A87),6),3)))</f>
        <v>025-905</v>
      </c>
      <c r="C87" s="91">
        <v>399276</v>
      </c>
    </row>
    <row r="88" spans="1:3" ht="15">
      <c r="A88" t="s">
        <v>3421</v>
      </c>
      <c r="B88" s="722" t="str">
        <f>CONCATENATE(LEFT(RIGHT(CONCATENATE("000",HH_debt1718!A88),6),3),"-",(RIGHT(RIGHT(CONCATENATE("000",HH_debt1718!A88),6),3)))</f>
        <v>025-906</v>
      </c>
      <c r="C88" s="91">
        <v>327545</v>
      </c>
    </row>
    <row r="89" spans="1:3" ht="15">
      <c r="A89" t="s">
        <v>3422</v>
      </c>
      <c r="B89" s="722" t="str">
        <f>CONCATENATE(LEFT(RIGHT(CONCATENATE("000",HH_debt1718!A89),6),3),"-",(RIGHT(RIGHT(CONCATENATE("000",HH_debt1718!A89),6),3)))</f>
        <v>025-908</v>
      </c>
      <c r="C89" s="91">
        <v>91452</v>
      </c>
    </row>
    <row r="90" spans="1:3" ht="15">
      <c r="A90" t="s">
        <v>3423</v>
      </c>
      <c r="B90" s="722" t="str">
        <f>CONCATENATE(LEFT(RIGHT(CONCATENATE("000",HH_debt1718!A90),6),3),"-",(RIGHT(RIGHT(CONCATENATE("000",HH_debt1718!A90),6),3)))</f>
        <v>025-909</v>
      </c>
      <c r="C90" s="91">
        <v>1417625</v>
      </c>
    </row>
    <row r="91" spans="1:3" ht="15">
      <c r="A91" t="s">
        <v>5786</v>
      </c>
      <c r="B91" s="722" t="str">
        <f>CONCATENATE(LEFT(RIGHT(CONCATENATE("000",HH_debt1718!A91),6),3),"-",(RIGHT(RIGHT(CONCATENATE("000",HH_debt1718!A91),6),3)))</f>
        <v>026-901</v>
      </c>
      <c r="C91" s="91">
        <v>631062</v>
      </c>
    </row>
    <row r="92" spans="1:3" ht="15">
      <c r="A92" t="s">
        <v>5787</v>
      </c>
      <c r="B92" s="722" t="str">
        <f>CONCATENATE(LEFT(RIGHT(CONCATENATE("000",HH_debt1718!A92),6),3),"-",(RIGHT(RIGHT(CONCATENATE("000",HH_debt1718!A92),6),3)))</f>
        <v>026-902</v>
      </c>
      <c r="C92" s="91">
        <v>198250</v>
      </c>
    </row>
    <row r="93" spans="1:3" ht="15">
      <c r="A93" t="s">
        <v>3424</v>
      </c>
      <c r="B93" s="722" t="str">
        <f>CONCATENATE(LEFT(RIGHT(CONCATENATE("000",HH_debt1718!A93),6),3),"-",(RIGHT(RIGHT(CONCATENATE("000",HH_debt1718!A93),6),3)))</f>
        <v>026-903</v>
      </c>
      <c r="C93" s="91">
        <v>515050</v>
      </c>
    </row>
    <row r="94" spans="1:3" ht="15">
      <c r="A94" t="s">
        <v>3425</v>
      </c>
      <c r="B94" s="722" t="str">
        <f>CONCATENATE(LEFT(RIGHT(CONCATENATE("000",HH_debt1718!A94),6),3),"-",(RIGHT(RIGHT(CONCATENATE("000",HH_debt1718!A94),6),3)))</f>
        <v>027-903</v>
      </c>
      <c r="C94" s="91">
        <v>3473400</v>
      </c>
    </row>
    <row r="95" spans="1:3" ht="15">
      <c r="A95" t="s">
        <v>4299</v>
      </c>
      <c r="B95" s="722" t="str">
        <f>CONCATENATE(LEFT(RIGHT(CONCATENATE("000",HH_debt1718!A95),6),3),"-",(RIGHT(RIGHT(CONCATENATE("000",HH_debt1718!A95),6),3)))</f>
        <v>027-904</v>
      </c>
      <c r="C95" s="91">
        <v>6841148</v>
      </c>
    </row>
    <row r="96" spans="1:3" ht="15">
      <c r="A96" t="s">
        <v>3426</v>
      </c>
      <c r="B96" s="722" t="str">
        <f>CONCATENATE(LEFT(RIGHT(CONCATENATE("000",HH_debt1718!A96),6),3),"-",(RIGHT(RIGHT(CONCATENATE("000",HH_debt1718!A96),6),3)))</f>
        <v>028-902</v>
      </c>
      <c r="C96" s="91">
        <v>5202983</v>
      </c>
    </row>
    <row r="97" spans="1:3" ht="15">
      <c r="A97" t="s">
        <v>3427</v>
      </c>
      <c r="B97" s="722" t="str">
        <f>CONCATENATE(LEFT(RIGHT(CONCATENATE("000",HH_debt1718!A97),6),3),"-",(RIGHT(RIGHT(CONCATENATE("000",HH_debt1718!A97),6),3)))</f>
        <v>028-903</v>
      </c>
      <c r="C97" s="91">
        <v>333250</v>
      </c>
    </row>
    <row r="98" spans="1:3" ht="15">
      <c r="A98" t="s">
        <v>5788</v>
      </c>
      <c r="B98" s="722" t="str">
        <f>CONCATENATE(LEFT(RIGHT(CONCATENATE("000",HH_debt1718!A98),6),3),"-",(RIGHT(RIGHT(CONCATENATE("000",HH_debt1718!A98),6),3)))</f>
        <v>029-901</v>
      </c>
      <c r="C98" s="91">
        <v>8312625</v>
      </c>
    </row>
    <row r="99" spans="1:3" ht="15">
      <c r="A99" t="s">
        <v>3428</v>
      </c>
      <c r="B99" s="722" t="str">
        <f>CONCATENATE(LEFT(RIGHT(CONCATENATE("000",HH_debt1718!A99),6),3),"-",(RIGHT(RIGHT(CONCATENATE("000",HH_debt1718!A99),6),3)))</f>
        <v>030-902</v>
      </c>
      <c r="C99" s="91">
        <v>1359475</v>
      </c>
    </row>
    <row r="100" spans="1:3" ht="15">
      <c r="A100" t="s">
        <v>3429</v>
      </c>
      <c r="B100" s="722" t="str">
        <f>CONCATENATE(LEFT(RIGHT(CONCATENATE("000",HH_debt1718!A100),6),3),"-",(RIGHT(RIGHT(CONCATENATE("000",HH_debt1718!A100),6),3)))</f>
        <v>030-903</v>
      </c>
      <c r="C100" s="91">
        <v>399533</v>
      </c>
    </row>
    <row r="101" spans="1:3" ht="15">
      <c r="A101" t="s">
        <v>5789</v>
      </c>
      <c r="B101" s="722" t="str">
        <f>CONCATENATE(LEFT(RIGHT(CONCATENATE("000",HH_debt1718!A101),6),3),"-",(RIGHT(RIGHT(CONCATENATE("000",HH_debt1718!A101),6),3)))</f>
        <v>030-906</v>
      </c>
      <c r="C101" s="91">
        <v>483339</v>
      </c>
    </row>
    <row r="102" spans="1:3" ht="15">
      <c r="A102" t="s">
        <v>3430</v>
      </c>
      <c r="B102" s="722" t="str">
        <f>CONCATENATE(LEFT(RIGHT(CONCATENATE("000",HH_debt1718!A102),6),3),"-",(RIGHT(RIGHT(CONCATENATE("000",HH_debt1718!A102),6),3)))</f>
        <v>031-901</v>
      </c>
      <c r="C102" s="91">
        <v>16605125</v>
      </c>
    </row>
    <row r="103" spans="1:3" ht="15">
      <c r="A103" t="s">
        <v>3431</v>
      </c>
      <c r="B103" s="722" t="str">
        <f>CONCATENATE(LEFT(RIGHT(CONCATENATE("000",HH_debt1718!A103),6),3),"-",(RIGHT(RIGHT(CONCATENATE("000",HH_debt1718!A103),6),3)))</f>
        <v>031-903</v>
      </c>
      <c r="C103" s="91">
        <v>9946858</v>
      </c>
    </row>
    <row r="104" spans="1:3" ht="15">
      <c r="A104" t="s">
        <v>3432</v>
      </c>
      <c r="B104" s="722" t="str">
        <f>CONCATENATE(LEFT(RIGHT(CONCATENATE("000",HH_debt1718!A104),6),3),"-",(RIGHT(RIGHT(CONCATENATE("000",HH_debt1718!A104),6),3)))</f>
        <v>031-905</v>
      </c>
      <c r="C104" s="91">
        <v>2304000</v>
      </c>
    </row>
    <row r="105" spans="1:3" ht="15">
      <c r="A105" t="s">
        <v>3433</v>
      </c>
      <c r="B105" s="722" t="str">
        <f>CONCATENATE(LEFT(RIGHT(CONCATENATE("000",HH_debt1718!A105),6),3),"-",(RIGHT(RIGHT(CONCATENATE("000",HH_debt1718!A105),6),3)))</f>
        <v>031-906</v>
      </c>
      <c r="C105" s="91">
        <v>1932045</v>
      </c>
    </row>
    <row r="106" spans="1:3" ht="15">
      <c r="A106" t="s">
        <v>5790</v>
      </c>
      <c r="B106" s="722" t="str">
        <f>CONCATENATE(LEFT(RIGHT(CONCATENATE("000",HH_debt1718!A106),6),3),"-",(RIGHT(RIGHT(CONCATENATE("000",HH_debt1718!A106),6),3)))</f>
        <v>031-909</v>
      </c>
      <c r="C106" s="91">
        <v>1406850</v>
      </c>
    </row>
    <row r="107" spans="1:3" ht="15">
      <c r="A107" t="s">
        <v>3434</v>
      </c>
      <c r="B107" s="722" t="str">
        <f>CONCATENATE(LEFT(RIGHT(CONCATENATE("000",HH_debt1718!A107),6),3),"-",(RIGHT(RIGHT(CONCATENATE("000",HH_debt1718!A107),6),3)))</f>
        <v>031-911</v>
      </c>
      <c r="C107" s="91">
        <v>1516957</v>
      </c>
    </row>
    <row r="108" spans="1:3" ht="15">
      <c r="A108" t="s">
        <v>3435</v>
      </c>
      <c r="B108" s="722" t="str">
        <f>CONCATENATE(LEFT(RIGHT(CONCATENATE("000",HH_debt1718!A108),6),3),"-",(RIGHT(RIGHT(CONCATENATE("000",HH_debt1718!A108),6),3)))</f>
        <v>031-912</v>
      </c>
      <c r="C108" s="91">
        <v>7807406</v>
      </c>
    </row>
    <row r="109" spans="1:3" ht="15">
      <c r="A109" t="s">
        <v>3436</v>
      </c>
      <c r="B109" s="722" t="str">
        <f>CONCATENATE(LEFT(RIGHT(CONCATENATE("000",HH_debt1718!A109),6),3),"-",(RIGHT(RIGHT(CONCATENATE("000",HH_debt1718!A109),6),3)))</f>
        <v>031-913</v>
      </c>
      <c r="C109" s="91">
        <v>265913</v>
      </c>
    </row>
    <row r="110" spans="1:3" ht="15">
      <c r="A110" t="s">
        <v>3437</v>
      </c>
      <c r="B110" s="722" t="str">
        <f>CONCATENATE(LEFT(RIGHT(CONCATENATE("000",HH_debt1718!A110),6),3),"-",(RIGHT(RIGHT(CONCATENATE("000",HH_debt1718!A110),6),3)))</f>
        <v>031-914</v>
      </c>
      <c r="C110" s="91">
        <v>1031588</v>
      </c>
    </row>
    <row r="111" spans="1:3" ht="15">
      <c r="A111" t="s">
        <v>5791</v>
      </c>
      <c r="B111" s="722" t="str">
        <f>CONCATENATE(LEFT(RIGHT(CONCATENATE("000",HH_debt1718!A111),6),3),"-",(RIGHT(RIGHT(CONCATENATE("000",HH_debt1718!A111),6),3)))</f>
        <v>032-902</v>
      </c>
      <c r="C111" s="91">
        <v>912228</v>
      </c>
    </row>
    <row r="112" spans="1:3" ht="15">
      <c r="A112" t="s">
        <v>5792</v>
      </c>
      <c r="B112" s="722" t="str">
        <f>CONCATENATE(LEFT(RIGHT(CONCATENATE("000",HH_debt1718!A112),6),3),"-",(RIGHT(RIGHT(CONCATENATE("000",HH_debt1718!A112),6),3)))</f>
        <v>033-901</v>
      </c>
      <c r="C112" s="91">
        <v>155775</v>
      </c>
    </row>
    <row r="113" spans="1:3" ht="15">
      <c r="A113" t="s">
        <v>5793</v>
      </c>
      <c r="B113" s="722" t="str">
        <f>CONCATENATE(LEFT(RIGHT(CONCATENATE("000",HH_debt1718!A113),6),3),"-",(RIGHT(RIGHT(CONCATENATE("000",HH_debt1718!A113),6),3)))</f>
        <v>033-902</v>
      </c>
      <c r="C113" s="91">
        <v>1674076</v>
      </c>
    </row>
    <row r="114" spans="1:3" ht="15">
      <c r="A114" t="s">
        <v>5794</v>
      </c>
      <c r="B114" s="722" t="str">
        <f>CONCATENATE(LEFT(RIGHT(CONCATENATE("000",HH_debt1718!A114),6),3),"-",(RIGHT(RIGHT(CONCATENATE("000",HH_debt1718!A114),6),3)))</f>
        <v>033-904</v>
      </c>
      <c r="C114" s="91">
        <v>413169</v>
      </c>
    </row>
    <row r="115" spans="1:3" ht="15">
      <c r="A115" t="s">
        <v>5795</v>
      </c>
      <c r="B115" s="722" t="str">
        <f>CONCATENATE(LEFT(RIGHT(CONCATENATE("000",HH_debt1718!A115),6),3),"-",(RIGHT(RIGHT(CONCATENATE("000",HH_debt1718!A115),6),3)))</f>
        <v>034-901</v>
      </c>
      <c r="C115" s="91">
        <v>563780</v>
      </c>
    </row>
    <row r="116" spans="1:3" ht="15">
      <c r="A116" t="s">
        <v>5796</v>
      </c>
      <c r="B116" s="722" t="str">
        <f>CONCATENATE(LEFT(RIGHT(CONCATENATE("000",HH_debt1718!A116),6),3),"-",(RIGHT(RIGHT(CONCATENATE("000",HH_debt1718!A116),6),3)))</f>
        <v>034-903</v>
      </c>
      <c r="C116" s="91">
        <v>207826</v>
      </c>
    </row>
    <row r="117" spans="1:3" ht="15">
      <c r="A117" t="s">
        <v>5797</v>
      </c>
      <c r="B117" s="722" t="str">
        <f>CONCATENATE(LEFT(RIGHT(CONCATENATE("000",HH_debt1718!A117),6),3),"-",(RIGHT(RIGHT(CONCATENATE("000",HH_debt1718!A117),6),3)))</f>
        <v>034-907</v>
      </c>
      <c r="C117" s="91">
        <v>278650</v>
      </c>
    </row>
    <row r="118" spans="1:3" ht="15">
      <c r="A118" t="s">
        <v>5798</v>
      </c>
      <c r="B118" s="722" t="str">
        <f>CONCATENATE(LEFT(RIGHT(CONCATENATE("000",HH_debt1718!A118),6),3),"-",(RIGHT(RIGHT(CONCATENATE("000",HH_debt1718!A118),6),3)))</f>
        <v>034-909</v>
      </c>
      <c r="C118" s="91">
        <v>90744</v>
      </c>
    </row>
    <row r="119" spans="1:3" ht="15">
      <c r="A119" t="s">
        <v>5799</v>
      </c>
      <c r="B119" s="722" t="str">
        <f>CONCATENATE(LEFT(RIGHT(CONCATENATE("000",HH_debt1718!A119),6),3),"-",(RIGHT(RIGHT(CONCATENATE("000",HH_debt1718!A119),6),3)))</f>
        <v>035-901</v>
      </c>
      <c r="C119" s="91">
        <v>994065</v>
      </c>
    </row>
    <row r="120" spans="1:3" ht="15">
      <c r="A120" t="s">
        <v>3438</v>
      </c>
      <c r="B120" s="722" t="str">
        <f>CONCATENATE(LEFT(RIGHT(CONCATENATE("000",HH_debt1718!A120),6),3),"-",(RIGHT(RIGHT(CONCATENATE("000",HH_debt1718!A120),6),3)))</f>
        <v>035-903</v>
      </c>
      <c r="C120" s="91">
        <v>70265</v>
      </c>
    </row>
    <row r="121" spans="1:3" ht="15">
      <c r="A121" t="s">
        <v>3439</v>
      </c>
      <c r="B121" s="722" t="str">
        <f>CONCATENATE(LEFT(RIGHT(CONCATENATE("000",HH_debt1718!A121),6),3),"-",(RIGHT(RIGHT(CONCATENATE("000",HH_debt1718!A121),6),3)))</f>
        <v>036-901</v>
      </c>
      <c r="C121" s="91">
        <v>1238797</v>
      </c>
    </row>
    <row r="122" spans="1:3" ht="15">
      <c r="A122" t="s">
        <v>5800</v>
      </c>
      <c r="B122" s="722" t="str">
        <f>CONCATENATE(LEFT(RIGHT(CONCATENATE("000",HH_debt1718!A122),6),3),"-",(RIGHT(RIGHT(CONCATENATE("000",HH_debt1718!A122),6),3)))</f>
        <v>036-902</v>
      </c>
      <c r="C122" s="91">
        <v>18017179</v>
      </c>
    </row>
    <row r="123" spans="1:3" ht="15">
      <c r="A123" t="s">
        <v>3440</v>
      </c>
      <c r="B123" s="722" t="str">
        <f>CONCATENATE(LEFT(RIGHT(CONCATENATE("000",HH_debt1718!A123),6),3),"-",(RIGHT(RIGHT(CONCATENATE("000",HH_debt1718!A123),6),3)))</f>
        <v>036-903</v>
      </c>
      <c r="C123" s="91">
        <v>725300</v>
      </c>
    </row>
    <row r="124" spans="1:3" ht="15">
      <c r="A124" t="s">
        <v>5801</v>
      </c>
      <c r="B124" s="722" t="str">
        <f>CONCATENATE(LEFT(RIGHT(CONCATENATE("000",HH_debt1718!A124),6),3),"-",(RIGHT(RIGHT(CONCATENATE("000",HH_debt1718!A124),6),3)))</f>
        <v>037-901</v>
      </c>
      <c r="C124" s="91">
        <v>584550</v>
      </c>
    </row>
    <row r="125" spans="1:3" ht="15">
      <c r="A125" t="s">
        <v>3441</v>
      </c>
      <c r="B125" s="722" t="str">
        <f>CONCATENATE(LEFT(RIGHT(CONCATENATE("000",HH_debt1718!A125),6),3),"-",(RIGHT(RIGHT(CONCATENATE("000",HH_debt1718!A125),6),3)))</f>
        <v>037-904</v>
      </c>
      <c r="C125" s="91">
        <v>5472923</v>
      </c>
    </row>
    <row r="126" spans="1:3" ht="15">
      <c r="A126" t="s">
        <v>3442</v>
      </c>
      <c r="B126" s="722" t="str">
        <f>CONCATENATE(LEFT(RIGHT(CONCATENATE("000",HH_debt1718!A126),6),3),"-",(RIGHT(RIGHT(CONCATENATE("000",HH_debt1718!A126),6),3)))</f>
        <v>037-907</v>
      </c>
      <c r="C126" s="91">
        <v>372912</v>
      </c>
    </row>
    <row r="127" spans="1:3" ht="15">
      <c r="A127" t="s">
        <v>4382</v>
      </c>
      <c r="B127" s="722" t="str">
        <f>CONCATENATE(LEFT(RIGHT(CONCATENATE("000",HH_debt1718!A127),6),3),"-",(RIGHT(RIGHT(CONCATENATE("000",HH_debt1718!A127),6),3)))</f>
        <v>037-908</v>
      </c>
      <c r="C127" s="91">
        <v>499825</v>
      </c>
    </row>
    <row r="128" spans="1:3" ht="15">
      <c r="A128" t="s">
        <v>5802</v>
      </c>
      <c r="B128" s="722" t="str">
        <f>CONCATENATE(LEFT(RIGHT(CONCATENATE("000",HH_debt1718!A128),6),3),"-",(RIGHT(RIGHT(CONCATENATE("000",HH_debt1718!A128),6),3)))</f>
        <v>037-909</v>
      </c>
      <c r="C128" s="91">
        <v>205350</v>
      </c>
    </row>
    <row r="129" spans="1:3" ht="15">
      <c r="A129" t="s">
        <v>3443</v>
      </c>
      <c r="B129" s="722" t="str">
        <f>CONCATENATE(LEFT(RIGHT(CONCATENATE("000",HH_debt1718!A129),6),3),"-",(RIGHT(RIGHT(CONCATENATE("000",HH_debt1718!A129),6),3)))</f>
        <v>038-901</v>
      </c>
      <c r="C129" s="91">
        <v>307500</v>
      </c>
    </row>
    <row r="130" spans="1:3" ht="15">
      <c r="A130" t="s">
        <v>5803</v>
      </c>
      <c r="B130" s="722" t="str">
        <f>CONCATENATE(LEFT(RIGHT(CONCATENATE("000",HH_debt1718!A130),6),3),"-",(RIGHT(RIGHT(CONCATENATE("000",HH_debt1718!A130),6),3)))</f>
        <v>039-902</v>
      </c>
      <c r="C130" s="91">
        <v>823312</v>
      </c>
    </row>
    <row r="131" spans="1:3" ht="15">
      <c r="A131" t="s">
        <v>3444</v>
      </c>
      <c r="B131" s="722" t="str">
        <f>CONCATENATE(LEFT(RIGHT(CONCATENATE("000",HH_debt1718!A131),6),3),"-",(RIGHT(RIGHT(CONCATENATE("000",HH_debt1718!A131),6),3)))</f>
        <v>039-903</v>
      </c>
      <c r="C131" s="91">
        <v>292075</v>
      </c>
    </row>
    <row r="132" spans="1:3" ht="15">
      <c r="A132" t="s">
        <v>5804</v>
      </c>
      <c r="B132" s="722" t="str">
        <f>CONCATENATE(LEFT(RIGHT(CONCATENATE("000",HH_debt1718!A132),6),3),"-",(RIGHT(RIGHT(CONCATENATE("000",HH_debt1718!A132),6),3)))</f>
        <v>040-902</v>
      </c>
      <c r="C132" s="91">
        <v>1009230</v>
      </c>
    </row>
    <row r="133" spans="1:3" ht="15">
      <c r="A133" t="s">
        <v>5805</v>
      </c>
      <c r="B133" s="722" t="str">
        <f>CONCATENATE(LEFT(RIGHT(CONCATENATE("000",HH_debt1718!A133),6),3),"-",(RIGHT(RIGHT(CONCATENATE("000",HH_debt1718!A133),6),3)))</f>
        <v>041-902</v>
      </c>
      <c r="C133" s="91">
        <v>690150</v>
      </c>
    </row>
    <row r="134" spans="1:3" ht="15">
      <c r="A134" t="s">
        <v>3445</v>
      </c>
      <c r="B134" s="722" t="str">
        <f>CONCATENATE(LEFT(RIGHT(CONCATENATE("000",HH_debt1718!A134),6),3),"-",(RIGHT(RIGHT(CONCATENATE("000",HH_debt1718!A134),6),3)))</f>
        <v>042-903</v>
      </c>
      <c r="C134" s="91">
        <v>94635</v>
      </c>
    </row>
    <row r="135" spans="1:3" ht="15">
      <c r="A135" t="s">
        <v>5806</v>
      </c>
      <c r="B135" s="722" t="str">
        <f>CONCATENATE(LEFT(RIGHT(CONCATENATE("000",HH_debt1718!A135),6),3),"-",(RIGHT(RIGHT(CONCATENATE("000",HH_debt1718!A135),6),3)))</f>
        <v>042-905</v>
      </c>
      <c r="C135" s="91">
        <v>74112</v>
      </c>
    </row>
    <row r="136" spans="1:3" ht="15">
      <c r="A136" t="s">
        <v>3446</v>
      </c>
      <c r="B136" s="722" t="str">
        <f>CONCATENATE(LEFT(RIGHT(CONCATENATE("000",HH_debt1718!A136),6),3),"-",(RIGHT(RIGHT(CONCATENATE("000",HH_debt1718!A136),6),3)))</f>
        <v>043-901</v>
      </c>
      <c r="C136" s="91">
        <v>37986556</v>
      </c>
    </row>
    <row r="137" spans="1:3" ht="15">
      <c r="A137" t="s">
        <v>3447</v>
      </c>
      <c r="B137" s="722" t="str">
        <f>CONCATENATE(LEFT(RIGHT(CONCATENATE("000",HH_debt1718!A137),6),3),"-",(RIGHT(RIGHT(CONCATENATE("000",HH_debt1718!A137),6),3)))</f>
        <v>043-902</v>
      </c>
      <c r="C137" s="91">
        <v>5321957</v>
      </c>
    </row>
    <row r="138" spans="1:3" ht="15">
      <c r="A138" t="s">
        <v>3448</v>
      </c>
      <c r="B138" s="722" t="str">
        <f>CONCATENATE(LEFT(RIGHT(CONCATENATE("000",HH_debt1718!A138),6),3),"-",(RIGHT(RIGHT(CONCATENATE("000",HH_debt1718!A138),6),3)))</f>
        <v>043-903</v>
      </c>
      <c r="C138" s="91">
        <v>3970369</v>
      </c>
    </row>
    <row r="139" spans="1:3" ht="15">
      <c r="A139" t="s">
        <v>3449</v>
      </c>
      <c r="B139" s="722" t="str">
        <f>CONCATENATE(LEFT(RIGHT(CONCATENATE("000",HH_debt1718!A139),6),3),"-",(RIGHT(RIGHT(CONCATENATE("000",HH_debt1718!A139),6),3)))</f>
        <v>043-904</v>
      </c>
      <c r="C139" s="91">
        <v>934550</v>
      </c>
    </row>
    <row r="140" spans="1:3" ht="15">
      <c r="A140" t="s">
        <v>3450</v>
      </c>
      <c r="B140" s="722" t="str">
        <f>CONCATENATE(LEFT(RIGHT(CONCATENATE("000",HH_debt1718!A140),6),3),"-",(RIGHT(RIGHT(CONCATENATE("000",HH_debt1718!A140),6),3)))</f>
        <v>043-905</v>
      </c>
      <c r="C140" s="91">
        <v>109749689</v>
      </c>
    </row>
    <row r="141" spans="1:3" ht="15">
      <c r="A141" t="s">
        <v>3451</v>
      </c>
      <c r="B141" s="722" t="str">
        <f>CONCATENATE(LEFT(RIGHT(CONCATENATE("000",HH_debt1718!A141),6),3),"-",(RIGHT(RIGHT(CONCATENATE("000",HH_debt1718!A141),6),3)))</f>
        <v>043-907</v>
      </c>
      <c r="C141" s="91">
        <v>46960515</v>
      </c>
    </row>
    <row r="142" spans="1:3" ht="15">
      <c r="A142" t="s">
        <v>3452</v>
      </c>
      <c r="B142" s="722" t="str">
        <f>CONCATENATE(LEFT(RIGHT(CONCATENATE("000",HH_debt1718!A142),6),3),"-",(RIGHT(RIGHT(CONCATENATE("000",HH_debt1718!A142),6),3)))</f>
        <v>043-908</v>
      </c>
      <c r="C142" s="91">
        <v>3061452</v>
      </c>
    </row>
    <row r="143" spans="1:3" ht="15">
      <c r="A143" t="s">
        <v>5807</v>
      </c>
      <c r="B143" s="722" t="str">
        <f>CONCATENATE(LEFT(RIGHT(CONCATENATE("000",HH_debt1718!A143),6),3),"-",(RIGHT(RIGHT(CONCATENATE("000",HH_debt1718!A143),6),3)))</f>
        <v>043-910</v>
      </c>
      <c r="C143" s="91">
        <v>94083825</v>
      </c>
    </row>
    <row r="144" spans="1:3" ht="15">
      <c r="A144" t="s">
        <v>3453</v>
      </c>
      <c r="B144" s="722" t="str">
        <f>CONCATENATE(LEFT(RIGHT(CONCATENATE("000",HH_debt1718!A144),6),3),"-",(RIGHT(RIGHT(CONCATENATE("000",HH_debt1718!A144),6),3)))</f>
        <v>043-911</v>
      </c>
      <c r="C144" s="91">
        <v>6621606</v>
      </c>
    </row>
    <row r="145" spans="1:3" ht="15">
      <c r="A145" t="s">
        <v>3454</v>
      </c>
      <c r="B145" s="722" t="str">
        <f>CONCATENATE(LEFT(RIGHT(CONCATENATE("000",HH_debt1718!A145),6),3),"-",(RIGHT(RIGHT(CONCATENATE("000",HH_debt1718!A145),6),3)))</f>
        <v>043-912</v>
      </c>
      <c r="C145" s="91">
        <v>17841512</v>
      </c>
    </row>
    <row r="146" spans="1:3" ht="15">
      <c r="A146" t="s">
        <v>3455</v>
      </c>
      <c r="B146" s="722" t="str">
        <f>CONCATENATE(LEFT(RIGHT(CONCATENATE("000",HH_debt1718!A146),6),3),"-",(RIGHT(RIGHT(CONCATENATE("000",HH_debt1718!A146),6),3)))</f>
        <v>043-914</v>
      </c>
      <c r="C146" s="91">
        <v>22010688</v>
      </c>
    </row>
    <row r="147" spans="1:3" ht="15">
      <c r="A147" t="s">
        <v>3456</v>
      </c>
      <c r="B147" s="722" t="str">
        <f>CONCATENATE(LEFT(RIGHT(CONCATENATE("000",HH_debt1718!A147),6),3),"-",(RIGHT(RIGHT(CONCATENATE("000",HH_debt1718!A147),6),3)))</f>
        <v>043-917</v>
      </c>
      <c r="C147" s="91">
        <v>924700</v>
      </c>
    </row>
    <row r="148" spans="1:3" ht="15">
      <c r="A148" t="s">
        <v>3457</v>
      </c>
      <c r="B148" s="722" t="str">
        <f>CONCATENATE(LEFT(RIGHT(CONCATENATE("000",HH_debt1718!A148),6),3),"-",(RIGHT(RIGHT(CONCATENATE("000",HH_debt1718!A148),6),3)))</f>
        <v>043-918</v>
      </c>
      <c r="C148" s="91">
        <v>2341947</v>
      </c>
    </row>
    <row r="149" spans="1:3" ht="15">
      <c r="A149" t="s">
        <v>5808</v>
      </c>
      <c r="B149" s="722" t="str">
        <f>CONCATENATE(LEFT(RIGHT(CONCATENATE("000",HH_debt1718!A149),6),3),"-",(RIGHT(RIGHT(CONCATENATE("000",HH_debt1718!A149),6),3)))</f>
        <v>043-919</v>
      </c>
      <c r="C149" s="91">
        <v>9812747</v>
      </c>
    </row>
    <row r="150" spans="1:3" ht="15">
      <c r="A150" t="s">
        <v>3458</v>
      </c>
      <c r="B150" s="722" t="str">
        <f>CONCATENATE(LEFT(RIGHT(CONCATENATE("000",HH_debt1718!A150),6),3),"-",(RIGHT(RIGHT(CONCATENATE("000",HH_debt1718!A150),6),3)))</f>
        <v>045-902</v>
      </c>
      <c r="C150" s="91">
        <v>1201806</v>
      </c>
    </row>
    <row r="151" spans="1:3" ht="15">
      <c r="A151" t="s">
        <v>5809</v>
      </c>
      <c r="B151" s="722" t="str">
        <f>CONCATENATE(LEFT(RIGHT(CONCATENATE("000",HH_debt1718!A151),6),3),"-",(RIGHT(RIGHT(CONCATENATE("000",HH_debt1718!A151),6),3)))</f>
        <v>045-903</v>
      </c>
      <c r="C151" s="91">
        <v>929225</v>
      </c>
    </row>
    <row r="152" spans="1:3" ht="15">
      <c r="A152" t="s">
        <v>5810</v>
      </c>
      <c r="B152" s="722" t="str">
        <f>CONCATENATE(LEFT(RIGHT(CONCATENATE("000",HH_debt1718!A152),6),3),"-",(RIGHT(RIGHT(CONCATENATE("000",HH_debt1718!A152),6),3)))</f>
        <v>045-905</v>
      </c>
      <c r="C152" s="91">
        <v>625943</v>
      </c>
    </row>
    <row r="153" spans="1:3" ht="15">
      <c r="A153" t="s">
        <v>3459</v>
      </c>
      <c r="B153" s="722" t="str">
        <f>CONCATENATE(LEFT(RIGHT(CONCATENATE("000",HH_debt1718!A153),6),3),"-",(RIGHT(RIGHT(CONCATENATE("000",HH_debt1718!A153),6),3)))</f>
        <v>046-901</v>
      </c>
      <c r="C153" s="91">
        <v>13185312</v>
      </c>
    </row>
    <row r="154" spans="1:3" ht="15">
      <c r="A154" t="s">
        <v>5811</v>
      </c>
      <c r="B154" s="722" t="str">
        <f>CONCATENATE(LEFT(RIGHT(CONCATENATE("000",HH_debt1718!A154),6),3),"-",(RIGHT(RIGHT(CONCATENATE("000",HH_debt1718!A154),6),3)))</f>
        <v>046-902</v>
      </c>
      <c r="C154" s="91">
        <v>46399038</v>
      </c>
    </row>
    <row r="155" spans="1:3" ht="15">
      <c r="A155" t="s">
        <v>3460</v>
      </c>
      <c r="B155" s="722" t="str">
        <f>CONCATENATE(LEFT(RIGHT(CONCATENATE("000",HH_debt1718!A155),6),3),"-",(RIGHT(RIGHT(CONCATENATE("000",HH_debt1718!A155),6),3)))</f>
        <v>047-901</v>
      </c>
      <c r="C155" s="91">
        <v>754812</v>
      </c>
    </row>
    <row r="156" spans="1:3" ht="15">
      <c r="A156" t="s">
        <v>3461</v>
      </c>
      <c r="B156" s="722" t="str">
        <f>CONCATENATE(LEFT(RIGHT(CONCATENATE("000",HH_debt1718!A156),6),3),"-",(RIGHT(RIGHT(CONCATENATE("000",HH_debt1718!A156),6),3)))</f>
        <v>047-902</v>
      </c>
      <c r="C156" s="91">
        <v>423598</v>
      </c>
    </row>
    <row r="157" spans="1:3" ht="15">
      <c r="A157" t="s">
        <v>3462</v>
      </c>
      <c r="B157" s="722" t="str">
        <f>CONCATENATE(LEFT(RIGHT(CONCATENATE("000",HH_debt1718!A157),6),3),"-",(RIGHT(RIGHT(CONCATENATE("000",HH_debt1718!A157),6),3)))</f>
        <v>047-903</v>
      </c>
      <c r="C157" s="91">
        <v>82138</v>
      </c>
    </row>
    <row r="158" spans="1:3" ht="15">
      <c r="A158" t="s">
        <v>3463</v>
      </c>
      <c r="B158" s="722" t="str">
        <f>CONCATENATE(LEFT(RIGHT(CONCATENATE("000",HH_debt1718!A158),6),3),"-",(RIGHT(RIGHT(CONCATENATE("000",HH_debt1718!A158),6),3)))</f>
        <v>047-905</v>
      </c>
      <c r="C158" s="91">
        <v>95275</v>
      </c>
    </row>
    <row r="159" spans="1:3" ht="15">
      <c r="A159" t="s">
        <v>5812</v>
      </c>
      <c r="B159" s="722" t="str">
        <f>CONCATENATE(LEFT(RIGHT(CONCATENATE("000",HH_debt1718!A159),6),3),"-",(RIGHT(RIGHT(CONCATENATE("000",HH_debt1718!A159),6),3)))</f>
        <v>048-903</v>
      </c>
      <c r="C159" s="91">
        <v>158550</v>
      </c>
    </row>
    <row r="160" spans="1:3" ht="15">
      <c r="A160" t="s">
        <v>3464</v>
      </c>
      <c r="B160" s="722" t="str">
        <f>CONCATENATE(LEFT(RIGHT(CONCATENATE("000",HH_debt1718!A160),6),3),"-",(RIGHT(RIGHT(CONCATENATE("000",HH_debt1718!A160),6),3)))</f>
        <v>049-901</v>
      </c>
      <c r="C160" s="91">
        <v>2283264</v>
      </c>
    </row>
    <row r="161" spans="1:3" ht="15">
      <c r="A161" t="s">
        <v>5813</v>
      </c>
      <c r="B161" s="722" t="str">
        <f>CONCATENATE(LEFT(RIGHT(CONCATENATE("000",HH_debt1718!A161),6),3),"-",(RIGHT(RIGHT(CONCATENATE("000",HH_debt1718!A161),6),3)))</f>
        <v>049-902</v>
      </c>
      <c r="C161" s="91">
        <v>1260619</v>
      </c>
    </row>
    <row r="162" spans="1:3" ht="15">
      <c r="A162" t="s">
        <v>3465</v>
      </c>
      <c r="B162" s="722" t="str">
        <f>CONCATENATE(LEFT(RIGHT(CONCATENATE("000",HH_debt1718!A162),6),3),"-",(RIGHT(RIGHT(CONCATENATE("000",HH_debt1718!A162),6),3)))</f>
        <v>049-903</v>
      </c>
      <c r="C162" s="91">
        <v>864932</v>
      </c>
    </row>
    <row r="163" spans="1:3" ht="15">
      <c r="A163" t="s">
        <v>5814</v>
      </c>
      <c r="B163" s="722" t="str">
        <f>CONCATENATE(LEFT(RIGHT(CONCATENATE("000",HH_debt1718!A163),6),3),"-",(RIGHT(RIGHT(CONCATENATE("000",HH_debt1718!A163),6),3)))</f>
        <v>049-905</v>
      </c>
      <c r="C163" s="91">
        <v>1229641</v>
      </c>
    </row>
    <row r="164" spans="1:3" ht="15">
      <c r="A164" t="s">
        <v>3466</v>
      </c>
      <c r="B164" s="722" t="str">
        <f>CONCATENATE(LEFT(RIGHT(CONCATENATE("000",HH_debt1718!A164),6),3),"-",(RIGHT(RIGHT(CONCATENATE("000",HH_debt1718!A164),6),3)))</f>
        <v>049-906</v>
      </c>
      <c r="C164" s="91">
        <v>213260</v>
      </c>
    </row>
    <row r="165" spans="1:3" ht="15">
      <c r="A165" t="s">
        <v>5815</v>
      </c>
      <c r="B165" s="722" t="str">
        <f>CONCATENATE(LEFT(RIGHT(CONCATENATE("000",HH_debt1718!A165),6),3),"-",(RIGHT(RIGHT(CONCATENATE("000",HH_debt1718!A165),6),3)))</f>
        <v>049-907</v>
      </c>
      <c r="C165" s="91">
        <v>127500</v>
      </c>
    </row>
    <row r="166" spans="1:3" ht="15">
      <c r="A166" t="s">
        <v>5816</v>
      </c>
      <c r="B166" s="722" t="str">
        <f>CONCATENATE(LEFT(RIGHT(CONCATENATE("000",HH_debt1718!A166),6),3),"-",(RIGHT(RIGHT(CONCATENATE("000",HH_debt1718!A166),6),3)))</f>
        <v>050-902</v>
      </c>
      <c r="C166" s="91">
        <v>1290736</v>
      </c>
    </row>
    <row r="167" spans="1:3" ht="15">
      <c r="A167" t="s">
        <v>3467</v>
      </c>
      <c r="B167" s="722" t="str">
        <f>CONCATENATE(LEFT(RIGHT(CONCATENATE("000",HH_debt1718!A167),6),3),"-",(RIGHT(RIGHT(CONCATENATE("000",HH_debt1718!A167),6),3)))</f>
        <v>050-904</v>
      </c>
      <c r="C167" s="91">
        <v>92160</v>
      </c>
    </row>
    <row r="168" spans="1:3" ht="15">
      <c r="A168" t="s">
        <v>5817</v>
      </c>
      <c r="B168" s="722" t="str">
        <f>CONCATENATE(LEFT(RIGHT(CONCATENATE("000",HH_debt1718!A168),6),3),"-",(RIGHT(RIGHT(CONCATENATE("000",HH_debt1718!A168),6),3)))</f>
        <v>050-909</v>
      </c>
      <c r="C168" s="91">
        <v>50425</v>
      </c>
    </row>
    <row r="169" spans="1:3" ht="15">
      <c r="A169" t="s">
        <v>3468</v>
      </c>
      <c r="B169" s="722" t="str">
        <f>CONCATENATE(LEFT(RIGHT(CONCATENATE("000",HH_debt1718!A169),6),3),"-",(RIGHT(RIGHT(CONCATENATE("000",HH_debt1718!A169),6),3)))</f>
        <v>050-910</v>
      </c>
      <c r="C169" s="91">
        <v>4669200</v>
      </c>
    </row>
    <row r="170" spans="1:3" ht="15">
      <c r="A170" t="s">
        <v>5820</v>
      </c>
      <c r="B170" s="722" t="str">
        <f>CONCATENATE(LEFT(RIGHT(CONCATENATE("000",HH_debt1718!A170),6),3),"-",(RIGHT(RIGHT(CONCATENATE("000",HH_debt1718!A170),6),3)))</f>
        <v>056-901</v>
      </c>
      <c r="C170" s="91">
        <v>953950</v>
      </c>
    </row>
    <row r="171" spans="1:3" ht="15">
      <c r="A171" t="s">
        <v>5821</v>
      </c>
      <c r="B171" s="722" t="str">
        <f>CONCATENATE(LEFT(RIGHT(CONCATENATE("000",HH_debt1718!A171),6),3),"-",(RIGHT(RIGHT(CONCATENATE("000",HH_debt1718!A171),6),3)))</f>
        <v>057-903</v>
      </c>
      <c r="C171" s="91">
        <v>32150562</v>
      </c>
    </row>
    <row r="172" spans="1:3" ht="15">
      <c r="A172" t="s">
        <v>5822</v>
      </c>
      <c r="B172" s="722" t="str">
        <f>CONCATENATE(LEFT(RIGHT(CONCATENATE("000",HH_debt1718!A172),6),3),"-",(RIGHT(RIGHT(CONCATENATE("000",HH_debt1718!A172),6),3)))</f>
        <v>057-904</v>
      </c>
      <c r="C172" s="91">
        <v>9324758</v>
      </c>
    </row>
    <row r="173" spans="1:3" ht="15">
      <c r="A173" t="s">
        <v>5823</v>
      </c>
      <c r="B173" s="722" t="str">
        <f>CONCATENATE(LEFT(RIGHT(CONCATENATE("000",HH_debt1718!A173),6),3),"-",(RIGHT(RIGHT(CONCATENATE("000",HH_debt1718!A173),6),3)))</f>
        <v>057-905</v>
      </c>
      <c r="C173" s="91">
        <v>162060637</v>
      </c>
    </row>
    <row r="174" spans="1:3" ht="15">
      <c r="A174" t="s">
        <v>3469</v>
      </c>
      <c r="B174" s="722" t="str">
        <f>CONCATENATE(LEFT(RIGHT(CONCATENATE("000",HH_debt1718!A174),6),3),"-",(RIGHT(RIGHT(CONCATENATE("000",HH_debt1718!A174),6),3)))</f>
        <v>057-906</v>
      </c>
      <c r="C174" s="91">
        <v>12556806</v>
      </c>
    </row>
    <row r="175" spans="1:3" ht="15">
      <c r="A175" t="s">
        <v>5824</v>
      </c>
      <c r="B175" s="722" t="str">
        <f>CONCATENATE(LEFT(RIGHT(CONCATENATE("000",HH_debt1718!A175),6),3),"-",(RIGHT(RIGHT(CONCATENATE("000",HH_debt1718!A175),6),3)))</f>
        <v>057-907</v>
      </c>
      <c r="C175" s="91">
        <v>18697500</v>
      </c>
    </row>
    <row r="176" spans="1:3" ht="15">
      <c r="A176" t="s">
        <v>3470</v>
      </c>
      <c r="B176" s="722" t="str">
        <f>CONCATENATE(LEFT(RIGHT(CONCATENATE("000",HH_debt1718!A176),6),3),"-",(RIGHT(RIGHT(CONCATENATE("000",HH_debt1718!A176),6),3)))</f>
        <v>057-909</v>
      </c>
      <c r="C176" s="91">
        <v>55523529</v>
      </c>
    </row>
    <row r="177" spans="1:3" ht="15">
      <c r="A177" t="s">
        <v>3471</v>
      </c>
      <c r="B177" s="722" t="str">
        <f>CONCATENATE(LEFT(RIGHT(CONCATENATE("000",HH_debt1718!A177),6),3),"-",(RIGHT(RIGHT(CONCATENATE("000",HH_debt1718!A177),6),3)))</f>
        <v>057-910</v>
      </c>
      <c r="C177" s="91">
        <v>34489547</v>
      </c>
    </row>
    <row r="178" spans="1:3" ht="15">
      <c r="A178" t="s">
        <v>5825</v>
      </c>
      <c r="B178" s="722" t="str">
        <f>CONCATENATE(LEFT(RIGHT(CONCATENATE("000",HH_debt1718!A178),6),3),"-",(RIGHT(RIGHT(CONCATENATE("000",HH_debt1718!A178),6),3)))</f>
        <v>057-911</v>
      </c>
      <c r="C178" s="91">
        <v>10341937</v>
      </c>
    </row>
    <row r="179" spans="1:3" ht="15">
      <c r="A179" t="s">
        <v>3472</v>
      </c>
      <c r="B179" s="722" t="str">
        <f>CONCATENATE(LEFT(RIGHT(CONCATENATE("000",HH_debt1718!A179),6),3),"-",(RIGHT(RIGHT(CONCATENATE("000",HH_debt1718!A179),6),3)))</f>
        <v>057-912</v>
      </c>
      <c r="C179" s="91">
        <v>45847938</v>
      </c>
    </row>
    <row r="180" spans="1:3" ht="15">
      <c r="A180" t="s">
        <v>5826</v>
      </c>
      <c r="B180" s="722" t="str">
        <f>CONCATENATE(LEFT(RIGHT(CONCATENATE("000",HH_debt1718!A180),6),3),"-",(RIGHT(RIGHT(CONCATENATE("000",HH_debt1718!A180),6),3)))</f>
        <v>057-913</v>
      </c>
      <c r="C180" s="91">
        <v>9408013</v>
      </c>
    </row>
    <row r="181" spans="1:3" ht="15">
      <c r="A181" t="s">
        <v>3473</v>
      </c>
      <c r="B181" s="722" t="str">
        <f>CONCATENATE(LEFT(RIGHT(CONCATENATE("000",HH_debt1718!A181),6),3),"-",(RIGHT(RIGHT(CONCATENATE("000",HH_debt1718!A181),6),3)))</f>
        <v>057-914</v>
      </c>
      <c r="C181" s="91">
        <v>36995535</v>
      </c>
    </row>
    <row r="182" spans="1:3" ht="15">
      <c r="A182" t="s">
        <v>5827</v>
      </c>
      <c r="B182" s="722" t="str">
        <f>CONCATENATE(LEFT(RIGHT(CONCATENATE("000",HH_debt1718!A182),6),3),"-",(RIGHT(RIGHT(CONCATENATE("000",HH_debt1718!A182),6),3)))</f>
        <v>057-916</v>
      </c>
      <c r="C182" s="91">
        <v>32899682</v>
      </c>
    </row>
    <row r="183" spans="1:3" ht="15">
      <c r="A183" t="s">
        <v>5828</v>
      </c>
      <c r="B183" s="722" t="str">
        <f>CONCATENATE(LEFT(RIGHT(CONCATENATE("000",HH_debt1718!A183),6),3),"-",(RIGHT(RIGHT(CONCATENATE("000",HH_debt1718!A183),6),3)))</f>
        <v>057-919</v>
      </c>
      <c r="C183" s="91">
        <v>3682801</v>
      </c>
    </row>
    <row r="184" spans="1:3" ht="15">
      <c r="A184" t="s">
        <v>5829</v>
      </c>
      <c r="B184" s="722" t="str">
        <f>CONCATENATE(LEFT(RIGHT(CONCATENATE("000",HH_debt1718!A184),6),3),"-",(RIGHT(RIGHT(CONCATENATE("000",HH_debt1718!A184),6),3)))</f>
        <v>057-922</v>
      </c>
      <c r="C184" s="91">
        <v>25316962</v>
      </c>
    </row>
    <row r="185" spans="1:3" ht="15">
      <c r="A185" t="s">
        <v>5830</v>
      </c>
      <c r="B185" s="722" t="str">
        <f>CONCATENATE(LEFT(RIGHT(CONCATENATE("000",HH_debt1718!A185),6),3),"-",(RIGHT(RIGHT(CONCATENATE("000",HH_debt1718!A185),6),3)))</f>
        <v>058-905</v>
      </c>
      <c r="C185" s="91">
        <v>1019875</v>
      </c>
    </row>
    <row r="186" spans="1:3" ht="15">
      <c r="A186" t="s">
        <v>5831</v>
      </c>
      <c r="B186" s="722" t="str">
        <f>CONCATENATE(LEFT(RIGHT(CONCATENATE("000",HH_debt1718!A186),6),3),"-",(RIGHT(RIGHT(CONCATENATE("000",HH_debt1718!A186),6),3)))</f>
        <v>058-909</v>
      </c>
      <c r="C186" s="91">
        <v>750950</v>
      </c>
    </row>
    <row r="187" spans="1:3" ht="15">
      <c r="A187" t="s">
        <v>3474</v>
      </c>
      <c r="B187" s="722" t="str">
        <f>CONCATENATE(LEFT(RIGHT(CONCATENATE("000",HH_debt1718!A187),6),3),"-",(RIGHT(RIGHT(CONCATENATE("000",HH_debt1718!A187),6),3)))</f>
        <v>060-902</v>
      </c>
      <c r="C187" s="91">
        <v>767784</v>
      </c>
    </row>
    <row r="188" spans="1:3" ht="15">
      <c r="A188" t="s">
        <v>3475</v>
      </c>
      <c r="B188" s="722" t="str">
        <f>CONCATENATE(LEFT(RIGHT(CONCATENATE("000",HH_debt1718!A188),6),3),"-",(RIGHT(RIGHT(CONCATENATE("000",HH_debt1718!A188),6),3)))</f>
        <v>060-914</v>
      </c>
      <c r="C188" s="91">
        <v>101500</v>
      </c>
    </row>
    <row r="189" spans="1:3" ht="15">
      <c r="A189" t="s">
        <v>5832</v>
      </c>
      <c r="B189" s="722" t="str">
        <f>CONCATENATE(LEFT(RIGHT(CONCATENATE("000",HH_debt1718!A189),6),3),"-",(RIGHT(RIGHT(CONCATENATE("000",HH_debt1718!A189),6),3)))</f>
        <v>061-901</v>
      </c>
      <c r="C189" s="91">
        <v>57636484</v>
      </c>
    </row>
    <row r="190" spans="1:3" ht="15">
      <c r="A190" t="s">
        <v>3476</v>
      </c>
      <c r="B190" s="722" t="str">
        <f>CONCATENATE(LEFT(RIGHT(CONCATENATE("000",HH_debt1718!A190),6),3),"-",(RIGHT(RIGHT(CONCATENATE("000",HH_debt1718!A190),6),3)))</f>
        <v>061-902</v>
      </c>
      <c r="C190" s="91">
        <v>121556163</v>
      </c>
    </row>
    <row r="191" spans="1:3" ht="15">
      <c r="A191" t="s">
        <v>4518</v>
      </c>
      <c r="B191" s="722" t="str">
        <f>CONCATENATE(LEFT(RIGHT(CONCATENATE("000",HH_debt1718!A191),6),3),"-",(RIGHT(RIGHT(CONCATENATE("000",HH_debt1718!A191),6),3)))</f>
        <v>061-903</v>
      </c>
      <c r="C191" s="91">
        <v>1350770</v>
      </c>
    </row>
    <row r="192" spans="1:3" ht="15">
      <c r="A192" t="s">
        <v>3477</v>
      </c>
      <c r="B192" s="722" t="str">
        <f>CONCATENATE(LEFT(RIGHT(CONCATENATE("000",HH_debt1718!A192),6),3),"-",(RIGHT(RIGHT(CONCATENATE("000",HH_debt1718!A192),6),3)))</f>
        <v>061-905</v>
      </c>
      <c r="C192" s="91">
        <v>2864247</v>
      </c>
    </row>
    <row r="193" spans="1:3" ht="15">
      <c r="A193" t="s">
        <v>3478</v>
      </c>
      <c r="B193" s="722" t="str">
        <f>CONCATENATE(LEFT(RIGHT(CONCATENATE("000",HH_debt1718!A193),6),3),"-",(RIGHT(RIGHT(CONCATENATE("000",HH_debt1718!A193),6),3)))</f>
        <v>061-906</v>
      </c>
      <c r="C193" s="91">
        <v>2296700</v>
      </c>
    </row>
    <row r="194" spans="1:3" ht="15">
      <c r="A194" t="s">
        <v>3479</v>
      </c>
      <c r="B194" s="722" t="str">
        <f>CONCATENATE(LEFT(RIGHT(CONCATENATE("000",HH_debt1718!A194),6),3),"-",(RIGHT(RIGHT(CONCATENATE("000",HH_debt1718!A194),6),3)))</f>
        <v>061-907</v>
      </c>
      <c r="C194" s="91">
        <v>3634837</v>
      </c>
    </row>
    <row r="195" spans="1:3" ht="15">
      <c r="A195" t="s">
        <v>3480</v>
      </c>
      <c r="B195" s="722" t="str">
        <f>CONCATENATE(LEFT(RIGHT(CONCATENATE("000",HH_debt1718!A195),6),3),"-",(RIGHT(RIGHT(CONCATENATE("000",HH_debt1718!A195),6),3)))</f>
        <v>061-908</v>
      </c>
      <c r="C195" s="91">
        <v>2873864</v>
      </c>
    </row>
    <row r="196" spans="1:3" ht="15">
      <c r="A196" t="s">
        <v>5833</v>
      </c>
      <c r="B196" s="722" t="str">
        <f>CONCATENATE(LEFT(RIGHT(CONCATENATE("000",HH_debt1718!A196),6),3),"-",(RIGHT(RIGHT(CONCATENATE("000",HH_debt1718!A196),6),3)))</f>
        <v>061-910</v>
      </c>
      <c r="C196" s="91">
        <v>6844864</v>
      </c>
    </row>
    <row r="197" spans="1:3" ht="15">
      <c r="A197" t="s">
        <v>3481</v>
      </c>
      <c r="B197" s="722" t="str">
        <f>CONCATENATE(LEFT(RIGHT(CONCATENATE("000",HH_debt1718!A197),6),3),"-",(RIGHT(RIGHT(CONCATENATE("000",HH_debt1718!A197),6),3)))</f>
        <v>061-911</v>
      </c>
      <c r="C197" s="91">
        <v>50273163</v>
      </c>
    </row>
    <row r="198" spans="1:3" ht="15">
      <c r="A198" t="s">
        <v>3482</v>
      </c>
      <c r="B198" s="722" t="str">
        <f>CONCATENATE(LEFT(RIGHT(CONCATENATE("000",HH_debt1718!A198),6),3),"-",(RIGHT(RIGHT(CONCATENATE("000",HH_debt1718!A198),6),3)))</f>
        <v>061-912</v>
      </c>
      <c r="C198" s="91">
        <v>7305887</v>
      </c>
    </row>
    <row r="199" spans="1:3" ht="15">
      <c r="A199" t="s">
        <v>3483</v>
      </c>
      <c r="B199" s="722" t="str">
        <f>CONCATENATE(LEFT(RIGHT(CONCATENATE("000",HH_debt1718!A199),6),3),"-",(RIGHT(RIGHT(CONCATENATE("000",HH_debt1718!A199),6),3)))</f>
        <v>061-914</v>
      </c>
      <c r="C199" s="91">
        <v>11380705</v>
      </c>
    </row>
    <row r="200" spans="1:3" ht="15">
      <c r="A200" t="s">
        <v>3484</v>
      </c>
      <c r="B200" s="722" t="str">
        <f>CONCATENATE(LEFT(RIGHT(CONCATENATE("000",HH_debt1718!A200),6),3),"-",(RIGHT(RIGHT(CONCATENATE("000",HH_debt1718!A200),6),3)))</f>
        <v>062-901</v>
      </c>
      <c r="C200" s="91">
        <v>6625225</v>
      </c>
    </row>
    <row r="201" spans="1:3" ht="15">
      <c r="A201" t="s">
        <v>3485</v>
      </c>
      <c r="B201" s="722" t="str">
        <f>CONCATENATE(LEFT(RIGHT(CONCATENATE("000",HH_debt1718!A201),6),3),"-",(RIGHT(RIGHT(CONCATENATE("000",HH_debt1718!A201),6),3)))</f>
        <v>062-903</v>
      </c>
      <c r="C201" s="91">
        <v>4147975</v>
      </c>
    </row>
    <row r="202" spans="1:3" ht="15">
      <c r="A202" t="s">
        <v>5835</v>
      </c>
      <c r="B202" s="722" t="str">
        <f>CONCATENATE(LEFT(RIGHT(CONCATENATE("000",HH_debt1718!A202),6),3),"-",(RIGHT(RIGHT(CONCATENATE("000",HH_debt1718!A202),6),3)))</f>
        <v>062-904</v>
      </c>
      <c r="C202" s="91">
        <v>383512</v>
      </c>
    </row>
    <row r="203" spans="1:3" ht="15">
      <c r="A203" t="s">
        <v>5836</v>
      </c>
      <c r="B203" s="722" t="str">
        <f>CONCATENATE(LEFT(RIGHT(CONCATENATE("000",HH_debt1718!A203),6),3),"-",(RIGHT(RIGHT(CONCATENATE("000",HH_debt1718!A203),6),3)))</f>
        <v>063-903</v>
      </c>
      <c r="C203" s="91">
        <v>567325</v>
      </c>
    </row>
    <row r="204" spans="1:3" ht="15">
      <c r="A204" t="s">
        <v>3486</v>
      </c>
      <c r="B204" s="722" t="str">
        <f>CONCATENATE(LEFT(RIGHT(CONCATENATE("000",HH_debt1718!A204),6),3),"-",(RIGHT(RIGHT(CONCATENATE("000",HH_debt1718!A204),6),3)))</f>
        <v>064-903</v>
      </c>
      <c r="C204" s="91">
        <v>3147037</v>
      </c>
    </row>
    <row r="205" spans="1:3" ht="15">
      <c r="A205" t="s">
        <v>5837</v>
      </c>
      <c r="B205" s="722" t="str">
        <f>CONCATENATE(LEFT(RIGHT(CONCATENATE("000",HH_debt1718!A205),6),3),"-",(RIGHT(RIGHT(CONCATENATE("000",HH_debt1718!A205),6),3)))</f>
        <v>066-901</v>
      </c>
      <c r="C205" s="91">
        <v>533982</v>
      </c>
    </row>
    <row r="206" spans="1:3" ht="15">
      <c r="A206" t="s">
        <v>3488</v>
      </c>
      <c r="B206" s="722" t="str">
        <f>CONCATENATE(LEFT(RIGHT(CONCATENATE("000",HH_debt1718!A206),6),3),"-",(RIGHT(RIGHT(CONCATENATE("000",HH_debt1718!A206),6),3)))</f>
        <v>066-902</v>
      </c>
      <c r="C206" s="91">
        <v>1658796</v>
      </c>
    </row>
    <row r="207" spans="1:3" ht="15">
      <c r="A207" t="s">
        <v>5838</v>
      </c>
      <c r="B207" s="722" t="str">
        <f>CONCATENATE(LEFT(RIGHT(CONCATENATE("000",HH_debt1718!A207),6),3),"-",(RIGHT(RIGHT(CONCATENATE("000",HH_debt1718!A207),6),3)))</f>
        <v>066-903</v>
      </c>
      <c r="C207" s="91">
        <v>1251100</v>
      </c>
    </row>
    <row r="208" spans="1:3" ht="15">
      <c r="A208" t="s">
        <v>5839</v>
      </c>
      <c r="B208" s="722" t="str">
        <f>CONCATENATE(LEFT(RIGHT(CONCATENATE("000",HH_debt1718!A208),6),3),"-",(RIGHT(RIGHT(CONCATENATE("000",HH_debt1718!A208),6),3)))</f>
        <v>067-904</v>
      </c>
      <c r="C208" s="91">
        <v>318000</v>
      </c>
    </row>
    <row r="209" spans="1:3" ht="15">
      <c r="A209" t="s">
        <v>5840</v>
      </c>
      <c r="B209" s="722" t="str">
        <f>CONCATENATE(LEFT(RIGHT(CONCATENATE("000",HH_debt1718!A209),6),3),"-",(RIGHT(RIGHT(CONCATENATE("000",HH_debt1718!A209),6),3)))</f>
        <v>068-901</v>
      </c>
      <c r="C209" s="91">
        <v>13193869</v>
      </c>
    </row>
    <row r="210" spans="1:3" ht="15">
      <c r="A210" t="s">
        <v>5841</v>
      </c>
      <c r="B210" s="722" t="str">
        <f>CONCATENATE(LEFT(RIGHT(CONCATENATE("000",HH_debt1718!A210),6),3),"-",(RIGHT(RIGHT(CONCATENATE("000",HH_debt1718!A210),6),3)))</f>
        <v>069-901</v>
      </c>
      <c r="C210" s="91">
        <v>287200</v>
      </c>
    </row>
    <row r="211" spans="1:3" ht="15">
      <c r="A211" t="s">
        <v>3489</v>
      </c>
      <c r="B211" s="722" t="str">
        <f>CONCATENATE(LEFT(RIGHT(CONCATENATE("000",HH_debt1718!A211),6),3),"-",(RIGHT(RIGHT(CONCATENATE("000",HH_debt1718!A211),6),3)))</f>
        <v>070-901</v>
      </c>
      <c r="C211" s="91">
        <v>88000</v>
      </c>
    </row>
    <row r="212" spans="1:3" ht="15">
      <c r="A212" t="s">
        <v>5842</v>
      </c>
      <c r="B212" s="722" t="str">
        <f>CONCATENATE(LEFT(RIGHT(CONCATENATE("000",HH_debt1718!A212),6),3),"-",(RIGHT(RIGHT(CONCATENATE("000",HH_debt1718!A212),6),3)))</f>
        <v>070-903</v>
      </c>
      <c r="C212" s="91">
        <v>9343000</v>
      </c>
    </row>
    <row r="213" spans="1:3" ht="15">
      <c r="A213" t="s">
        <v>3490</v>
      </c>
      <c r="B213" s="722" t="str">
        <f>CONCATENATE(LEFT(RIGHT(CONCATENATE("000",HH_debt1718!A213),6),3),"-",(RIGHT(RIGHT(CONCATENATE("000",HH_debt1718!A213),6),3)))</f>
        <v>070-905</v>
      </c>
      <c r="C213" s="91">
        <v>2453800</v>
      </c>
    </row>
    <row r="214" spans="1:3" ht="15">
      <c r="A214" t="s">
        <v>3491</v>
      </c>
      <c r="B214" s="722" t="str">
        <f>CONCATENATE(LEFT(RIGHT(CONCATENATE("000",HH_debt1718!A214),6),3),"-",(RIGHT(RIGHT(CONCATENATE("000",HH_debt1718!A214),6),3)))</f>
        <v>070-907</v>
      </c>
      <c r="C214" s="91">
        <v>528812</v>
      </c>
    </row>
    <row r="215" spans="1:3" ht="15">
      <c r="A215" t="s">
        <v>5843</v>
      </c>
      <c r="B215" s="722" t="str">
        <f>CONCATENATE(LEFT(RIGHT(CONCATENATE("000",HH_debt1718!A215),6),3),"-",(RIGHT(RIGHT(CONCATENATE("000",HH_debt1718!A215),6),3)))</f>
        <v>070-908</v>
      </c>
      <c r="C215" s="91">
        <v>15537627</v>
      </c>
    </row>
    <row r="216" spans="1:3" ht="15">
      <c r="A216" t="s">
        <v>3492</v>
      </c>
      <c r="B216" s="722" t="str">
        <f>CONCATENATE(LEFT(RIGHT(CONCATENATE("000",HH_debt1718!A216),6),3),"-",(RIGHT(RIGHT(CONCATENATE("000",HH_debt1718!A216),6),3)))</f>
        <v>070-910</v>
      </c>
      <c r="C216" s="91">
        <v>1233248</v>
      </c>
    </row>
    <row r="217" spans="1:3" ht="15">
      <c r="A217" t="s">
        <v>3493</v>
      </c>
      <c r="B217" s="722" t="str">
        <f>CONCATENATE(LEFT(RIGHT(CONCATENATE("000",HH_debt1718!A217),6),3),"-",(RIGHT(RIGHT(CONCATENATE("000",HH_debt1718!A217),6),3)))</f>
        <v>070-911</v>
      </c>
      <c r="C217" s="91">
        <v>7798894</v>
      </c>
    </row>
    <row r="218" spans="1:3" ht="15">
      <c r="A218" t="s">
        <v>3494</v>
      </c>
      <c r="B218" s="722" t="str">
        <f>CONCATENATE(LEFT(RIGHT(CONCATENATE("000",HH_debt1718!A218),6),3),"-",(RIGHT(RIGHT(CONCATENATE("000",HH_debt1718!A218),6),3)))</f>
        <v>070-912</v>
      </c>
      <c r="C218" s="91">
        <v>13622721</v>
      </c>
    </row>
    <row r="219" spans="1:3" ht="15">
      <c r="A219" t="s">
        <v>3495</v>
      </c>
      <c r="B219" s="722" t="str">
        <f>CONCATENATE(LEFT(RIGHT(CONCATENATE("000",HH_debt1718!A219),6),3),"-",(RIGHT(RIGHT(CONCATENATE("000",HH_debt1718!A219),6),3)))</f>
        <v>070-915</v>
      </c>
      <c r="C219" s="91">
        <v>983801</v>
      </c>
    </row>
    <row r="220" spans="1:3" ht="15">
      <c r="A220" t="s">
        <v>3496</v>
      </c>
      <c r="B220" s="722" t="str">
        <f>CONCATENATE(LEFT(RIGHT(CONCATENATE("000",HH_debt1718!A220),6),3),"-",(RIGHT(RIGHT(CONCATENATE("000",HH_debt1718!A220),6),3)))</f>
        <v>071-901</v>
      </c>
      <c r="C220" s="91">
        <v>14538125</v>
      </c>
    </row>
    <row r="221" spans="1:3" ht="15">
      <c r="A221" t="s">
        <v>3497</v>
      </c>
      <c r="B221" s="722" t="str">
        <f>CONCATENATE(LEFT(RIGHT(CONCATENATE("000",HH_debt1718!A221),6),3),"-",(RIGHT(RIGHT(CONCATENATE("000",HH_debt1718!A221),6),3)))</f>
        <v>071-902</v>
      </c>
      <c r="C221" s="91">
        <v>32490347</v>
      </c>
    </row>
    <row r="222" spans="1:3" ht="15">
      <c r="A222" t="s">
        <v>3498</v>
      </c>
      <c r="B222" s="722" t="str">
        <f>CONCATENATE(LEFT(RIGHT(CONCATENATE("000",HH_debt1718!A222),6),3),"-",(RIGHT(RIGHT(CONCATENATE("000",HH_debt1718!A222),6),3)))</f>
        <v>071-903</v>
      </c>
      <c r="C222" s="91">
        <v>1920671</v>
      </c>
    </row>
    <row r="223" spans="1:3" ht="15">
      <c r="A223" t="s">
        <v>4611</v>
      </c>
      <c r="B223" s="722" t="str">
        <f>CONCATENATE(LEFT(RIGHT(CONCATENATE("000",HH_debt1718!A223),6),3),"-",(RIGHT(RIGHT(CONCATENATE("000",HH_debt1718!A223),6),3)))</f>
        <v>071-904</v>
      </c>
      <c r="C223" s="91">
        <v>1679395</v>
      </c>
    </row>
    <row r="224" spans="1:3" ht="15">
      <c r="A224" t="s">
        <v>4617</v>
      </c>
      <c r="B224" s="722" t="str">
        <f>CONCATENATE(LEFT(RIGHT(CONCATENATE("000",HH_debt1718!A224),6),3),"-",(RIGHT(RIGHT(CONCATENATE("000",HH_debt1718!A224),6),3)))</f>
        <v>071-905</v>
      </c>
      <c r="C224" s="91">
        <v>15812950</v>
      </c>
    </row>
    <row r="225" spans="1:3" ht="15">
      <c r="A225" t="s">
        <v>3499</v>
      </c>
      <c r="B225" s="722" t="str">
        <f>CONCATENATE(LEFT(RIGHT(CONCATENATE("000",HH_debt1718!A225),6),3),"-",(RIGHT(RIGHT(CONCATENATE("000",HH_debt1718!A225),6),3)))</f>
        <v>071-906</v>
      </c>
      <c r="C225" s="91">
        <v>477275</v>
      </c>
    </row>
    <row r="226" spans="1:3" ht="15">
      <c r="A226" t="s">
        <v>3500</v>
      </c>
      <c r="B226" s="722" t="str">
        <f>CONCATENATE(LEFT(RIGHT(CONCATENATE("000",HH_debt1718!A226),6),3),"-",(RIGHT(RIGHT(CONCATENATE("000",HH_debt1718!A226),6),3)))</f>
        <v>071-907</v>
      </c>
      <c r="C226" s="91">
        <v>7174131</v>
      </c>
    </row>
    <row r="227" spans="1:3" ht="15">
      <c r="A227" t="s">
        <v>3501</v>
      </c>
      <c r="B227" s="722" t="str">
        <f>CONCATENATE(LEFT(RIGHT(CONCATENATE("000",HH_debt1718!A227),6),3),"-",(RIGHT(RIGHT(CONCATENATE("000",HH_debt1718!A227),6),3)))</f>
        <v>071-908</v>
      </c>
      <c r="C227" s="91">
        <v>998486</v>
      </c>
    </row>
    <row r="228" spans="1:3" ht="15">
      <c r="A228" t="s">
        <v>3502</v>
      </c>
      <c r="B228" s="722" t="str">
        <f>CONCATENATE(LEFT(RIGHT(CONCATENATE("000",HH_debt1718!A228),6),3),"-",(RIGHT(RIGHT(CONCATENATE("000",HH_debt1718!A228),6),3)))</f>
        <v>071-909</v>
      </c>
      <c r="C228" s="91">
        <v>36817595</v>
      </c>
    </row>
    <row r="229" spans="1:3" ht="15">
      <c r="A229" t="s">
        <v>5844</v>
      </c>
      <c r="B229" s="722" t="str">
        <f>CONCATENATE(LEFT(RIGHT(CONCATENATE("000",HH_debt1718!A229),6),3),"-",(RIGHT(RIGHT(CONCATENATE("000",HH_debt1718!A229),6),3)))</f>
        <v>072-902</v>
      </c>
      <c r="C229" s="91">
        <v>631150</v>
      </c>
    </row>
    <row r="230" spans="1:3" ht="15">
      <c r="A230" t="s">
        <v>3503</v>
      </c>
      <c r="B230" s="722" t="str">
        <f>CONCATENATE(LEFT(RIGHT(CONCATENATE("000",HH_debt1718!A230),6),3),"-",(RIGHT(RIGHT(CONCATENATE("000",HH_debt1718!A230),6),3)))</f>
        <v>072-903</v>
      </c>
      <c r="C230" s="91">
        <v>2448169</v>
      </c>
    </row>
    <row r="231" spans="1:3" ht="15">
      <c r="A231" t="s">
        <v>5845</v>
      </c>
      <c r="B231" s="722" t="str">
        <f>CONCATENATE(LEFT(RIGHT(CONCATENATE("000",HH_debt1718!A231),6),3),"-",(RIGHT(RIGHT(CONCATENATE("000",HH_debt1718!A231),6),3)))</f>
        <v>072-904</v>
      </c>
      <c r="C231" s="91">
        <v>51250</v>
      </c>
    </row>
    <row r="232" spans="1:3" ht="15">
      <c r="A232" t="s">
        <v>3504</v>
      </c>
      <c r="B232" s="722" t="str">
        <f>CONCATENATE(LEFT(RIGHT(CONCATENATE("000",HH_debt1718!A232),6),3),"-",(RIGHT(RIGHT(CONCATENATE("000",HH_debt1718!A232),6),3)))</f>
        <v>072-909</v>
      </c>
      <c r="C232" s="91">
        <v>93751</v>
      </c>
    </row>
    <row r="233" spans="1:3" ht="15">
      <c r="A233" t="s">
        <v>5846</v>
      </c>
      <c r="B233" s="722" t="str">
        <f>CONCATENATE(LEFT(RIGHT(CONCATENATE("000",HH_debt1718!A233),6),3),"-",(RIGHT(RIGHT(CONCATENATE("000",HH_debt1718!A233),6),3)))</f>
        <v>073-901</v>
      </c>
      <c r="C233" s="91">
        <v>342356</v>
      </c>
    </row>
    <row r="234" spans="1:3" ht="15">
      <c r="A234" t="s">
        <v>4653</v>
      </c>
      <c r="B234" s="722" t="str">
        <f>CONCATENATE(LEFT(RIGHT(CONCATENATE("000",HH_debt1718!A234),6),3),"-",(RIGHT(RIGHT(CONCATENATE("000",HH_debt1718!A234),6),3)))</f>
        <v>073-903</v>
      </c>
      <c r="C234" s="91">
        <v>355250</v>
      </c>
    </row>
    <row r="235" spans="1:3" ht="15">
      <c r="A235" t="s">
        <v>5847</v>
      </c>
      <c r="B235" s="722" t="str">
        <f>CONCATENATE(LEFT(RIGHT(CONCATENATE("000",HH_debt1718!A235),6),3),"-",(RIGHT(RIGHT(CONCATENATE("000",HH_debt1718!A235),6),3)))</f>
        <v>074-903</v>
      </c>
      <c r="C235" s="91">
        <v>888388</v>
      </c>
    </row>
    <row r="236" spans="1:3" ht="15">
      <c r="A236" t="s">
        <v>3505</v>
      </c>
      <c r="B236" s="722" t="str">
        <f>CONCATENATE(LEFT(RIGHT(CONCATENATE("000",HH_debt1718!A236),6),3),"-",(RIGHT(RIGHT(CONCATENATE("000",HH_debt1718!A236),6),3)))</f>
        <v>074-904</v>
      </c>
      <c r="C236" s="91">
        <v>291712</v>
      </c>
    </row>
    <row r="237" spans="1:3" ht="15">
      <c r="A237" t="s">
        <v>3506</v>
      </c>
      <c r="B237" s="722" t="str">
        <f>CONCATENATE(LEFT(RIGHT(CONCATENATE("000",HH_debt1718!A237),6),3),"-",(RIGHT(RIGHT(CONCATENATE("000",HH_debt1718!A237),6),3)))</f>
        <v>074-905</v>
      </c>
      <c r="C237" s="91">
        <v>159500</v>
      </c>
    </row>
    <row r="238" spans="1:3" ht="15">
      <c r="A238" t="s">
        <v>3507</v>
      </c>
      <c r="B238" s="722" t="str">
        <f>CONCATENATE(LEFT(RIGHT(CONCATENATE("000",HH_debt1718!A238),6),3),"-",(RIGHT(RIGHT(CONCATENATE("000",HH_debt1718!A238),6),3)))</f>
        <v>074-907</v>
      </c>
      <c r="C238" s="91">
        <v>669875</v>
      </c>
    </row>
    <row r="239" spans="1:3" ht="15">
      <c r="A239" t="s">
        <v>5848</v>
      </c>
      <c r="B239" s="722" t="str">
        <f>CONCATENATE(LEFT(RIGHT(CONCATENATE("000",HH_debt1718!A239),6),3),"-",(RIGHT(RIGHT(CONCATENATE("000",HH_debt1718!A239),6),3)))</f>
        <v>074-909</v>
      </c>
      <c r="C239" s="91">
        <v>272950</v>
      </c>
    </row>
    <row r="240" spans="1:3" ht="15">
      <c r="A240" t="s">
        <v>5849</v>
      </c>
      <c r="B240" s="722" t="str">
        <f>CONCATENATE(LEFT(RIGHT(CONCATENATE("000",HH_debt1718!A240),6),3),"-",(RIGHT(RIGHT(CONCATENATE("000",HH_debt1718!A240),6),3)))</f>
        <v>074-911</v>
      </c>
      <c r="C240" s="91">
        <v>240931</v>
      </c>
    </row>
    <row r="241" spans="1:3" ht="15">
      <c r="A241" t="s">
        <v>3508</v>
      </c>
      <c r="B241" s="722" t="str">
        <f>CONCATENATE(LEFT(RIGHT(CONCATENATE("000",HH_debt1718!A241),6),3),"-",(RIGHT(RIGHT(CONCATENATE("000",HH_debt1718!A241),6),3)))</f>
        <v>074-912</v>
      </c>
      <c r="C241" s="91">
        <v>478525</v>
      </c>
    </row>
    <row r="242" spans="1:3" ht="15">
      <c r="A242" t="s">
        <v>3509</v>
      </c>
      <c r="B242" s="722" t="str">
        <f>CONCATENATE(LEFT(RIGHT(CONCATENATE("000",HH_debt1718!A242),6),3),"-",(RIGHT(RIGHT(CONCATENATE("000",HH_debt1718!A242),6),3)))</f>
        <v>074-917</v>
      </c>
      <c r="C242" s="91">
        <v>255200</v>
      </c>
    </row>
    <row r="243" spans="1:3" ht="15">
      <c r="A243" t="s">
        <v>5850</v>
      </c>
      <c r="B243" s="722" t="str">
        <f>CONCATENATE(LEFT(RIGHT(CONCATENATE("000",HH_debt1718!A243),6),3),"-",(RIGHT(RIGHT(CONCATENATE("000",HH_debt1718!A243),6),3)))</f>
        <v>075-901</v>
      </c>
      <c r="C243" s="91">
        <v>328360</v>
      </c>
    </row>
    <row r="244" spans="1:3" ht="15">
      <c r="A244" t="s">
        <v>5851</v>
      </c>
      <c r="B244" s="722" t="str">
        <f>CONCATENATE(LEFT(RIGHT(CONCATENATE("000",HH_debt1718!A244),6),3),"-",(RIGHT(RIGHT(CONCATENATE("000",HH_debt1718!A244),6),3)))</f>
        <v>075-903</v>
      </c>
      <c r="C244" s="91">
        <v>498896</v>
      </c>
    </row>
    <row r="245" spans="1:3" ht="15">
      <c r="A245" t="s">
        <v>5852</v>
      </c>
      <c r="B245" s="722" t="str">
        <f>CONCATENATE(LEFT(RIGHT(CONCATENATE("000",HH_debt1718!A245),6),3),"-",(RIGHT(RIGHT(CONCATENATE("000",HH_debt1718!A245),6),3)))</f>
        <v>075-908</v>
      </c>
      <c r="C245" s="91">
        <v>71225</v>
      </c>
    </row>
    <row r="246" spans="1:3" ht="15">
      <c r="A246" t="s">
        <v>5854</v>
      </c>
      <c r="B246" s="722" t="str">
        <f>CONCATENATE(LEFT(RIGHT(CONCATENATE("000",HH_debt1718!A246),6),3),"-",(RIGHT(RIGHT(CONCATENATE("000",HH_debt1718!A246),6),3)))</f>
        <v>079-901</v>
      </c>
      <c r="C246" s="91">
        <v>49703319</v>
      </c>
    </row>
    <row r="247" spans="1:3" ht="15">
      <c r="A247" t="s">
        <v>3511</v>
      </c>
      <c r="B247" s="722" t="str">
        <f>CONCATENATE(LEFT(RIGHT(CONCATENATE("000",HH_debt1718!A247),6),3),"-",(RIGHT(RIGHT(CONCATENATE("000",HH_debt1718!A247),6),3)))</f>
        <v>079-906</v>
      </c>
      <c r="C247" s="91">
        <v>4993958</v>
      </c>
    </row>
    <row r="248" spans="1:3" ht="15">
      <c r="A248" t="s">
        <v>3512</v>
      </c>
      <c r="B248" s="722" t="str">
        <f>CONCATENATE(LEFT(RIGHT(CONCATENATE("000",HH_debt1718!A248),6),3),"-",(RIGHT(RIGHT(CONCATENATE("000",HH_debt1718!A248),6),3)))</f>
        <v>079-907</v>
      </c>
      <c r="C248" s="91">
        <v>71496353</v>
      </c>
    </row>
    <row r="249" spans="1:3" ht="15">
      <c r="A249" t="s">
        <v>5855</v>
      </c>
      <c r="B249" s="722" t="str">
        <f>CONCATENATE(LEFT(RIGHT(CONCATENATE("000",HH_debt1718!A249),6),3),"-",(RIGHT(RIGHT(CONCATENATE("000",HH_debt1718!A249),6),3)))</f>
        <v>079-910</v>
      </c>
      <c r="C249" s="91">
        <v>4211725</v>
      </c>
    </row>
    <row r="250" spans="1:3" ht="15">
      <c r="A250" t="s">
        <v>5856</v>
      </c>
      <c r="B250" s="722" t="str">
        <f>CONCATENATE(LEFT(RIGHT(CONCATENATE("000",HH_debt1718!A250),6),3),"-",(RIGHT(RIGHT(CONCATENATE("000",HH_debt1718!A250),6),3)))</f>
        <v>080-901</v>
      </c>
      <c r="C250" s="91">
        <v>2440419</v>
      </c>
    </row>
    <row r="251" spans="1:3" ht="15">
      <c r="A251" t="s">
        <v>5857</v>
      </c>
      <c r="B251" s="722" t="str">
        <f>CONCATENATE(LEFT(RIGHT(CONCATENATE("000",HH_debt1718!A251),6),3),"-",(RIGHT(RIGHT(CONCATENATE("000",HH_debt1718!A251),6),3)))</f>
        <v>081-902</v>
      </c>
      <c r="C251" s="91">
        <v>3539838</v>
      </c>
    </row>
    <row r="252" spans="1:3" ht="15">
      <c r="A252" t="s">
        <v>5858</v>
      </c>
      <c r="B252" s="722" t="str">
        <f>CONCATENATE(LEFT(RIGHT(CONCATENATE("000",HH_debt1718!A252),6),3),"-",(RIGHT(RIGHT(CONCATENATE("000",HH_debt1718!A252),6),3)))</f>
        <v>081-904</v>
      </c>
      <c r="C252" s="91">
        <v>4039063</v>
      </c>
    </row>
    <row r="253" spans="1:3" ht="15">
      <c r="A253" t="s">
        <v>5859</v>
      </c>
      <c r="B253" s="722" t="str">
        <f>CONCATENATE(LEFT(RIGHT(CONCATENATE("000",HH_debt1718!A253),6),3),"-",(RIGHT(RIGHT(CONCATENATE("000",HH_debt1718!A253),6),3)))</f>
        <v>081-905</v>
      </c>
      <c r="C253" s="91">
        <v>456311</v>
      </c>
    </row>
    <row r="254" spans="1:3" ht="15">
      <c r="A254" t="s">
        <v>5860</v>
      </c>
      <c r="B254" s="722" t="str">
        <f>CONCATENATE(LEFT(RIGHT(CONCATENATE("000",HH_debt1718!A254),6),3),"-",(RIGHT(RIGHT(CONCATENATE("000",HH_debt1718!A254),6),3)))</f>
        <v>081-906</v>
      </c>
      <c r="C254" s="91">
        <v>296308</v>
      </c>
    </row>
    <row r="255" spans="1:3" ht="15">
      <c r="A255" t="s">
        <v>3513</v>
      </c>
      <c r="B255" s="722" t="str">
        <f>CONCATENATE(LEFT(RIGHT(CONCATENATE("000",HH_debt1718!A255),6),3),"-",(RIGHT(RIGHT(CONCATENATE("000",HH_debt1718!A255),6),3)))</f>
        <v>082-902</v>
      </c>
      <c r="C255" s="91">
        <v>1878712</v>
      </c>
    </row>
    <row r="256" spans="1:3" ht="15">
      <c r="A256" t="s">
        <v>3514</v>
      </c>
      <c r="B256" s="722" t="str">
        <f>CONCATENATE(LEFT(RIGHT(CONCATENATE("000",HH_debt1718!A256),6),3),"-",(RIGHT(RIGHT(CONCATENATE("000",HH_debt1718!A256),6),3)))</f>
        <v>082-903</v>
      </c>
      <c r="C256" s="91">
        <v>1632350</v>
      </c>
    </row>
    <row r="257" spans="1:3" ht="15">
      <c r="A257" t="s">
        <v>5861</v>
      </c>
      <c r="B257" s="722" t="str">
        <f>CONCATENATE(LEFT(RIGHT(CONCATENATE("000",HH_debt1718!A257),6),3),"-",(RIGHT(RIGHT(CONCATENATE("000",HH_debt1718!A257),6),3)))</f>
        <v>083-901</v>
      </c>
      <c r="C257" s="91">
        <v>804875</v>
      </c>
    </row>
    <row r="258" spans="1:3" ht="15">
      <c r="A258" t="s">
        <v>5862</v>
      </c>
      <c r="B258" s="722" t="str">
        <f>CONCATENATE(LEFT(RIGHT(CONCATENATE("000",HH_debt1718!A258),6),3),"-",(RIGHT(RIGHT(CONCATENATE("000",HH_debt1718!A258),6),3)))</f>
        <v>083-902</v>
      </c>
      <c r="C258" s="91">
        <v>381300</v>
      </c>
    </row>
    <row r="259" spans="1:3" ht="15">
      <c r="A259" t="s">
        <v>5863</v>
      </c>
      <c r="B259" s="722" t="str">
        <f>CONCATENATE(LEFT(RIGHT(CONCATENATE("000",HH_debt1718!A259),6),3),"-",(RIGHT(RIGHT(CONCATENATE("000",HH_debt1718!A259),6),3)))</f>
        <v>083-903</v>
      </c>
      <c r="C259" s="91">
        <v>4352500</v>
      </c>
    </row>
    <row r="260" spans="1:3" ht="15">
      <c r="A260" t="s">
        <v>5864</v>
      </c>
      <c r="B260" s="722" t="str">
        <f>CONCATENATE(LEFT(RIGHT(CONCATENATE("000",HH_debt1718!A260),6),3),"-",(RIGHT(RIGHT(CONCATENATE("000",HH_debt1718!A260),6),3)))</f>
        <v>084-901</v>
      </c>
      <c r="C260" s="91">
        <v>14777732</v>
      </c>
    </row>
    <row r="261" spans="1:3" ht="15">
      <c r="A261" t="s">
        <v>5865</v>
      </c>
      <c r="B261" s="722" t="str">
        <f>CONCATENATE(LEFT(RIGHT(CONCATENATE("000",HH_debt1718!A261),6),3),"-",(RIGHT(RIGHT(CONCATENATE("000",HH_debt1718!A261),6),3)))</f>
        <v>084-902</v>
      </c>
      <c r="C261" s="91">
        <v>6237925</v>
      </c>
    </row>
    <row r="262" spans="1:3" ht="15">
      <c r="A262" t="s">
        <v>5866</v>
      </c>
      <c r="B262" s="722" t="str">
        <f>CONCATENATE(LEFT(RIGHT(CONCATENATE("000",HH_debt1718!A262),6),3),"-",(RIGHT(RIGHT(CONCATENATE("000",HH_debt1718!A262),6),3)))</f>
        <v>084-903</v>
      </c>
      <c r="C262" s="91">
        <v>172450</v>
      </c>
    </row>
    <row r="263" spans="1:3" ht="15">
      <c r="A263" t="s">
        <v>5867</v>
      </c>
      <c r="B263" s="722" t="str">
        <f>CONCATENATE(LEFT(RIGHT(CONCATENATE("000",HH_debt1718!A263),6),3),"-",(RIGHT(RIGHT(CONCATENATE("000",HH_debt1718!A263),6),3)))</f>
        <v>084-906</v>
      </c>
      <c r="C263" s="91">
        <v>11954535</v>
      </c>
    </row>
    <row r="264" spans="1:3" ht="15">
      <c r="A264" t="s">
        <v>5868</v>
      </c>
      <c r="B264" s="722" t="str">
        <f>CONCATENATE(LEFT(RIGHT(CONCATENATE("000",HH_debt1718!A264),6),3),"-",(RIGHT(RIGHT(CONCATENATE("000",HH_debt1718!A264),6),3)))</f>
        <v>084-908</v>
      </c>
      <c r="C264" s="91">
        <v>2535894</v>
      </c>
    </row>
    <row r="265" spans="1:3" ht="15">
      <c r="A265" t="s">
        <v>3515</v>
      </c>
      <c r="B265" s="722" t="str">
        <f>CONCATENATE(LEFT(RIGHT(CONCATENATE("000",HH_debt1718!A265),6),3),"-",(RIGHT(RIGHT(CONCATENATE("000",HH_debt1718!A265),6),3)))</f>
        <v>084-909</v>
      </c>
      <c r="C265" s="91">
        <v>5455485</v>
      </c>
    </row>
    <row r="266" spans="1:3" ht="15">
      <c r="A266" t="s">
        <v>5869</v>
      </c>
      <c r="B266" s="722" t="str">
        <f>CONCATENATE(LEFT(RIGHT(CONCATENATE("000",HH_debt1718!A266),6),3),"-",(RIGHT(RIGHT(CONCATENATE("000",HH_debt1718!A266),6),3)))</f>
        <v>084-910</v>
      </c>
      <c r="C266" s="91">
        <v>48421123</v>
      </c>
    </row>
    <row r="267" spans="1:3" ht="15">
      <c r="A267" t="s">
        <v>3516</v>
      </c>
      <c r="B267" s="722" t="str">
        <f>CONCATENATE(LEFT(RIGHT(CONCATENATE("000",HH_debt1718!A267),6),3),"-",(RIGHT(RIGHT(CONCATENATE("000",HH_debt1718!A267),6),3)))</f>
        <v>084-911</v>
      </c>
      <c r="C267" s="91">
        <v>7011850</v>
      </c>
    </row>
    <row r="268" spans="1:3" ht="15">
      <c r="A268" t="s">
        <v>5870</v>
      </c>
      <c r="B268" s="722" t="str">
        <f>CONCATENATE(LEFT(RIGHT(CONCATENATE("000",HH_debt1718!A268),6),3),"-",(RIGHT(RIGHT(CONCATENATE("000",HH_debt1718!A268),6),3)))</f>
        <v>085-902</v>
      </c>
      <c r="C268" s="91">
        <v>2516352</v>
      </c>
    </row>
    <row r="269" spans="1:3" ht="15">
      <c r="A269" t="s">
        <v>5871</v>
      </c>
      <c r="B269" s="722" t="str">
        <f>CONCATENATE(LEFT(RIGHT(CONCATENATE("000",HH_debt1718!A269),6),3),"-",(RIGHT(RIGHT(CONCATENATE("000",HH_debt1718!A269),6),3)))</f>
        <v>086-901</v>
      </c>
      <c r="C269" s="91">
        <v>1225422</v>
      </c>
    </row>
    <row r="270" spans="1:3" ht="15">
      <c r="A270" t="s">
        <v>5872</v>
      </c>
      <c r="B270" s="722" t="str">
        <f>CONCATENATE(LEFT(RIGHT(CONCATENATE("000",HH_debt1718!A270),6),3),"-",(RIGHT(RIGHT(CONCATENATE("000",HH_debt1718!A270),6),3)))</f>
        <v>087-901</v>
      </c>
      <c r="C270" s="91">
        <v>1466850</v>
      </c>
    </row>
    <row r="271" spans="1:3" ht="15">
      <c r="A271" t="s">
        <v>5873</v>
      </c>
      <c r="B271" s="722" t="str">
        <f>CONCATENATE(LEFT(RIGHT(CONCATENATE("000",HH_debt1718!A271),6),3),"-",(RIGHT(RIGHT(CONCATENATE("000",HH_debt1718!A271),6),3)))</f>
        <v>088-902</v>
      </c>
      <c r="C271" s="91">
        <v>1259600</v>
      </c>
    </row>
    <row r="272" spans="1:3" ht="15">
      <c r="A272" t="s">
        <v>3517</v>
      </c>
      <c r="B272" s="722" t="str">
        <f>CONCATENATE(LEFT(RIGHT(CONCATENATE("000",HH_debt1718!A272),6),3),"-",(RIGHT(RIGHT(CONCATENATE("000",HH_debt1718!A272),6),3)))</f>
        <v>089-901</v>
      </c>
      <c r="C272" s="91">
        <v>1121093</v>
      </c>
    </row>
    <row r="273" spans="1:3" ht="15">
      <c r="A273" t="s">
        <v>5874</v>
      </c>
      <c r="B273" s="722" t="str">
        <f>CONCATENATE(LEFT(RIGHT(CONCATENATE("000",HH_debt1718!A273),6),3),"-",(RIGHT(RIGHT(CONCATENATE("000",HH_debt1718!A273),6),3)))</f>
        <v>089-903</v>
      </c>
      <c r="C273" s="91">
        <v>1507426</v>
      </c>
    </row>
    <row r="274" spans="1:3" ht="15">
      <c r="A274" t="s">
        <v>5875</v>
      </c>
      <c r="B274" s="722" t="str">
        <f>CONCATENATE(LEFT(RIGHT(CONCATENATE("000",HH_debt1718!A274),6),3),"-",(RIGHT(RIGHT(CONCATENATE("000",HH_debt1718!A274),6),3)))</f>
        <v>089-905</v>
      </c>
      <c r="C274" s="91">
        <v>226862</v>
      </c>
    </row>
    <row r="275" spans="1:3" ht="15">
      <c r="A275" t="s">
        <v>5876</v>
      </c>
      <c r="B275" s="722" t="str">
        <f>CONCATENATE(LEFT(RIGHT(CONCATENATE("000",HH_debt1718!A275),6),3),"-",(RIGHT(RIGHT(CONCATENATE("000",HH_debt1718!A275),6),3)))</f>
        <v>090-902</v>
      </c>
      <c r="C275" s="91">
        <v>381175</v>
      </c>
    </row>
    <row r="276" spans="1:3" ht="15">
      <c r="A276" t="s">
        <v>5877</v>
      </c>
      <c r="B276" s="722" t="str">
        <f>CONCATENATE(LEFT(RIGHT(CONCATENATE("000",HH_debt1718!A276),6),3),"-",(RIGHT(RIGHT(CONCATENATE("000",HH_debt1718!A276),6),3)))</f>
        <v>090-903</v>
      </c>
      <c r="C276" s="91">
        <v>209900</v>
      </c>
    </row>
    <row r="277" spans="1:3" ht="15">
      <c r="A277" t="s">
        <v>3518</v>
      </c>
      <c r="B277" s="722" t="str">
        <f>CONCATENATE(LEFT(RIGHT(CONCATENATE("000",HH_debt1718!A277),6),3),"-",(RIGHT(RIGHT(CONCATENATE("000",HH_debt1718!A277),6),3)))</f>
        <v>090-904</v>
      </c>
      <c r="C277" s="91">
        <v>2939800</v>
      </c>
    </row>
    <row r="278" spans="1:3" ht="15">
      <c r="A278" t="s">
        <v>5878</v>
      </c>
      <c r="B278" s="722" t="str">
        <f>CONCATENATE(LEFT(RIGHT(CONCATENATE("000",HH_debt1718!A278),6),3),"-",(RIGHT(RIGHT(CONCATENATE("000",HH_debt1718!A278),6),3)))</f>
        <v>090-905</v>
      </c>
      <c r="C278" s="91">
        <v>114815</v>
      </c>
    </row>
    <row r="279" spans="1:3" ht="15">
      <c r="A279" t="s">
        <v>3519</v>
      </c>
      <c r="B279" s="722" t="str">
        <f>CONCATENATE(LEFT(RIGHT(CONCATENATE("000",HH_debt1718!A279),6),3),"-",(RIGHT(RIGHT(CONCATENATE("000",HH_debt1718!A279),6),3)))</f>
        <v>091-901</v>
      </c>
      <c r="C279" s="91">
        <v>605712</v>
      </c>
    </row>
    <row r="280" spans="1:3" ht="15">
      <c r="A280" t="s">
        <v>4707</v>
      </c>
      <c r="B280" s="722" t="str">
        <f>CONCATENATE(LEFT(RIGHT(CONCATENATE("000",HH_debt1718!A280),6),3),"-",(RIGHT(RIGHT(CONCATENATE("000",HH_debt1718!A280),6),3)))</f>
        <v>091-902</v>
      </c>
      <c r="C280" s="91">
        <v>235894</v>
      </c>
    </row>
    <row r="281" spans="1:3" ht="15">
      <c r="A281" t="s">
        <v>5879</v>
      </c>
      <c r="B281" s="722" t="str">
        <f>CONCATENATE(LEFT(RIGHT(CONCATENATE("000",HH_debt1718!A281),6),3),"-",(RIGHT(RIGHT(CONCATENATE("000",HH_debt1718!A281),6),3)))</f>
        <v>091-903</v>
      </c>
      <c r="C281" s="91">
        <v>4742468</v>
      </c>
    </row>
    <row r="282" spans="1:3" ht="15">
      <c r="A282" t="s">
        <v>3520</v>
      </c>
      <c r="B282" s="722" t="str">
        <f>CONCATENATE(LEFT(RIGHT(CONCATENATE("000",HH_debt1718!A282),6),3),"-",(RIGHT(RIGHT(CONCATENATE("000",HH_debt1718!A282),6),3)))</f>
        <v>091-905</v>
      </c>
      <c r="C282" s="91">
        <v>900650</v>
      </c>
    </row>
    <row r="283" spans="1:3" ht="15">
      <c r="A283" t="s">
        <v>3521</v>
      </c>
      <c r="B283" s="722" t="str">
        <f>CONCATENATE(LEFT(RIGHT(CONCATENATE("000",HH_debt1718!A283),6),3),"-",(RIGHT(RIGHT(CONCATENATE("000",HH_debt1718!A283),6),3)))</f>
        <v>091-906</v>
      </c>
      <c r="C283" s="91">
        <v>7918225</v>
      </c>
    </row>
    <row r="284" spans="1:3" ht="15">
      <c r="A284" t="s">
        <v>5880</v>
      </c>
      <c r="B284" s="722" t="str">
        <f>CONCATENATE(LEFT(RIGHT(CONCATENATE("000",HH_debt1718!A284),6),3),"-",(RIGHT(RIGHT(CONCATENATE("000",HH_debt1718!A284),6),3)))</f>
        <v>091-907</v>
      </c>
      <c r="C284" s="91">
        <v>197875</v>
      </c>
    </row>
    <row r="285" spans="1:3" ht="15">
      <c r="A285" t="s">
        <v>3522</v>
      </c>
      <c r="B285" s="722" t="str">
        <f>CONCATENATE(LEFT(RIGHT(CONCATENATE("000",HH_debt1718!A285),6),3),"-",(RIGHT(RIGHT(CONCATENATE("000",HH_debt1718!A285),6),3)))</f>
        <v>091-908</v>
      </c>
      <c r="C285" s="91">
        <v>2444179</v>
      </c>
    </row>
    <row r="286" spans="1:3" ht="15">
      <c r="A286" t="s">
        <v>3523</v>
      </c>
      <c r="B286" s="722" t="str">
        <f>CONCATENATE(LEFT(RIGHT(CONCATENATE("000",HH_debt1718!A286),6),3),"-",(RIGHT(RIGHT(CONCATENATE("000",HH_debt1718!A286),6),3)))</f>
        <v>091-909</v>
      </c>
      <c r="C286" s="91">
        <v>1178318</v>
      </c>
    </row>
    <row r="287" spans="1:3" ht="15">
      <c r="A287" t="s">
        <v>5881</v>
      </c>
      <c r="B287" s="722" t="str">
        <f>CONCATENATE(LEFT(RIGHT(CONCATENATE("000",HH_debt1718!A287),6),3),"-",(RIGHT(RIGHT(CONCATENATE("000",HH_debt1718!A287),6),3)))</f>
        <v>091-910</v>
      </c>
      <c r="C287" s="91">
        <v>546400</v>
      </c>
    </row>
    <row r="288" spans="1:3" ht="15">
      <c r="A288" t="s">
        <v>3524</v>
      </c>
      <c r="B288" s="722" t="str">
        <f>CONCATENATE(LEFT(RIGHT(CONCATENATE("000",HH_debt1718!A288),6),3),"-",(RIGHT(RIGHT(CONCATENATE("000",HH_debt1718!A288),6),3)))</f>
        <v>091-913</v>
      </c>
      <c r="C288" s="91">
        <v>1002900</v>
      </c>
    </row>
    <row r="289" spans="1:3" ht="15">
      <c r="A289" t="s">
        <v>5882</v>
      </c>
      <c r="B289" s="722" t="str">
        <f>CONCATENATE(LEFT(RIGHT(CONCATENATE("000",HH_debt1718!A289),6),3),"-",(RIGHT(RIGHT(CONCATENATE("000",HH_debt1718!A289),6),3)))</f>
        <v>091-914</v>
      </c>
      <c r="C289" s="91">
        <v>539899</v>
      </c>
    </row>
    <row r="290" spans="1:3" ht="15">
      <c r="A290" t="s">
        <v>3525</v>
      </c>
      <c r="B290" s="722" t="str">
        <f>CONCATENATE(LEFT(RIGHT(CONCATENATE("000",HH_debt1718!A290),6),3),"-",(RIGHT(RIGHT(CONCATENATE("000",HH_debt1718!A290),6),3)))</f>
        <v>091-917</v>
      </c>
      <c r="C290" s="91">
        <v>1048405</v>
      </c>
    </row>
    <row r="291" spans="1:3" ht="15">
      <c r="A291" t="s">
        <v>5883</v>
      </c>
      <c r="B291" s="722" t="str">
        <f>CONCATENATE(LEFT(RIGHT(CONCATENATE("000",HH_debt1718!A291),6),3),"-",(RIGHT(RIGHT(CONCATENATE("000",HH_debt1718!A291),6),3)))</f>
        <v>091-918</v>
      </c>
      <c r="C291" s="91">
        <v>578526</v>
      </c>
    </row>
    <row r="292" spans="1:3" ht="15">
      <c r="A292" t="s">
        <v>5884</v>
      </c>
      <c r="B292" s="722" t="str">
        <f>CONCATENATE(LEFT(RIGHT(CONCATENATE("000",HH_debt1718!A292),6),3),"-",(RIGHT(RIGHT(CONCATENATE("000",HH_debt1718!A292),6),3)))</f>
        <v>092-901</v>
      </c>
      <c r="C292" s="91">
        <v>1989981</v>
      </c>
    </row>
    <row r="293" spans="1:3" ht="15">
      <c r="A293" t="s">
        <v>5885</v>
      </c>
      <c r="B293" s="722" t="str">
        <f>CONCATENATE(LEFT(RIGHT(CONCATENATE("000",HH_debt1718!A293),6),3),"-",(RIGHT(RIGHT(CONCATENATE("000",HH_debt1718!A293),6),3)))</f>
        <v>092-902</v>
      </c>
      <c r="C293" s="91">
        <v>3568319</v>
      </c>
    </row>
    <row r="294" spans="1:3" ht="15">
      <c r="A294" t="s">
        <v>4728</v>
      </c>
      <c r="B294" s="722" t="str">
        <f>CONCATENATE(LEFT(RIGHT(CONCATENATE("000",HH_debt1718!A294),6),3),"-",(RIGHT(RIGHT(CONCATENATE("000",HH_debt1718!A294),6),3)))</f>
        <v>092-903</v>
      </c>
      <c r="C294" s="91">
        <v>16530518</v>
      </c>
    </row>
    <row r="295" spans="1:3" ht="15">
      <c r="A295" t="s">
        <v>5886</v>
      </c>
      <c r="B295" s="722" t="str">
        <f>CONCATENATE(LEFT(RIGHT(CONCATENATE("000",HH_debt1718!A295),6),3),"-",(RIGHT(RIGHT(CONCATENATE("000",HH_debt1718!A295),6),3)))</f>
        <v>092-904</v>
      </c>
      <c r="C295" s="91">
        <v>5484460</v>
      </c>
    </row>
    <row r="296" spans="1:3" ht="15">
      <c r="A296" t="s">
        <v>5887</v>
      </c>
      <c r="B296" s="722" t="str">
        <f>CONCATENATE(LEFT(RIGHT(CONCATENATE("000",HH_debt1718!A296),6),3),"-",(RIGHT(RIGHT(CONCATENATE("000",HH_debt1718!A296),6),3)))</f>
        <v>092-906</v>
      </c>
      <c r="C296" s="91">
        <v>1048381</v>
      </c>
    </row>
    <row r="297" spans="1:3" ht="15">
      <c r="A297" t="s">
        <v>3526</v>
      </c>
      <c r="B297" s="722" t="str">
        <f>CONCATENATE(LEFT(RIGHT(CONCATENATE("000",HH_debt1718!A297),6),3),"-",(RIGHT(RIGHT(CONCATENATE("000",HH_debt1718!A297),6),3)))</f>
        <v>092-907</v>
      </c>
      <c r="C297" s="91">
        <v>2493679</v>
      </c>
    </row>
    <row r="298" spans="1:3" ht="15">
      <c r="A298" t="s">
        <v>5888</v>
      </c>
      <c r="B298" s="722" t="str">
        <f>CONCATENATE(LEFT(RIGHT(CONCATENATE("000",HH_debt1718!A298),6),3),"-",(RIGHT(RIGHT(CONCATENATE("000",HH_debt1718!A298),6),3)))</f>
        <v>092-908</v>
      </c>
      <c r="C298" s="91">
        <v>310475</v>
      </c>
    </row>
    <row r="299" spans="1:3" ht="15">
      <c r="A299" t="s">
        <v>5889</v>
      </c>
      <c r="B299" s="722" t="str">
        <f>CONCATENATE(LEFT(RIGHT(CONCATENATE("000",HH_debt1718!A299),6),3),"-",(RIGHT(RIGHT(CONCATENATE("000",HH_debt1718!A299),6),3)))</f>
        <v>093-901</v>
      </c>
      <c r="C299" s="91">
        <v>2059027</v>
      </c>
    </row>
    <row r="300" spans="1:3" ht="15">
      <c r="A300" t="s">
        <v>3527</v>
      </c>
      <c r="B300" s="722" t="str">
        <f>CONCATENATE(LEFT(RIGHT(CONCATENATE("000",HH_debt1718!A300),6),3),"-",(RIGHT(RIGHT(CONCATENATE("000",HH_debt1718!A300),6),3)))</f>
        <v>093-903</v>
      </c>
      <c r="C300" s="91">
        <v>603800</v>
      </c>
    </row>
    <row r="301" spans="1:3" ht="15">
      <c r="A301" t="s">
        <v>5890</v>
      </c>
      <c r="B301" s="722" t="str">
        <f>CONCATENATE(LEFT(RIGHT(CONCATENATE("000",HH_debt1718!A301),6),3),"-",(RIGHT(RIGHT(CONCATENATE("000",HH_debt1718!A301),6),3)))</f>
        <v>093-904</v>
      </c>
      <c r="C301" s="91">
        <v>2193210</v>
      </c>
    </row>
    <row r="302" spans="1:3" ht="15">
      <c r="A302" t="s">
        <v>3528</v>
      </c>
      <c r="B302" s="722" t="str">
        <f>CONCATENATE(LEFT(RIGHT(CONCATENATE("000",HH_debt1718!A302),6),3),"-",(RIGHT(RIGHT(CONCATENATE("000",HH_debt1718!A302),6),3)))</f>
        <v>094-901</v>
      </c>
      <c r="C302" s="91">
        <v>9600409</v>
      </c>
    </row>
    <row r="303" spans="1:3" ht="15">
      <c r="A303" t="s">
        <v>3529</v>
      </c>
      <c r="B303" s="722" t="str">
        <f>CONCATENATE(LEFT(RIGHT(CONCATENATE("000",HH_debt1718!A303),6),3),"-",(RIGHT(RIGHT(CONCATENATE("000",HH_debt1718!A303),6),3)))</f>
        <v>094-902</v>
      </c>
      <c r="C303" s="91">
        <v>26358059</v>
      </c>
    </row>
    <row r="304" spans="1:3" ht="15">
      <c r="A304" t="s">
        <v>3530</v>
      </c>
      <c r="B304" s="722" t="str">
        <f>CONCATENATE(LEFT(RIGHT(CONCATENATE("000",HH_debt1718!A304),6),3),"-",(RIGHT(RIGHT(CONCATENATE("000",HH_debt1718!A304),6),3)))</f>
        <v>094-903</v>
      </c>
      <c r="C304" s="91">
        <v>1503741</v>
      </c>
    </row>
    <row r="305" spans="1:3" ht="15">
      <c r="A305" t="s">
        <v>4755</v>
      </c>
      <c r="B305" s="722" t="str">
        <f>CONCATENATE(LEFT(RIGHT(CONCATENATE("000",HH_debt1718!A305),6),3),"-",(RIGHT(RIGHT(CONCATENATE("000",HH_debt1718!A305),6),3)))</f>
        <v>094-904</v>
      </c>
      <c r="C305" s="91">
        <v>655700</v>
      </c>
    </row>
    <row r="306" spans="1:3" ht="15">
      <c r="A306" t="s">
        <v>5891</v>
      </c>
      <c r="B306" s="722" t="str">
        <f>CONCATENATE(LEFT(RIGHT(CONCATENATE("000",HH_debt1718!A306),6),3),"-",(RIGHT(RIGHT(CONCATENATE("000",HH_debt1718!A306),6),3)))</f>
        <v>095-901</v>
      </c>
      <c r="C306" s="91">
        <v>1466223</v>
      </c>
    </row>
    <row r="307" spans="1:3" ht="15">
      <c r="A307" t="s">
        <v>5892</v>
      </c>
      <c r="B307" s="722" t="str">
        <f>CONCATENATE(LEFT(RIGHT(CONCATENATE("000",HH_debt1718!A307),6),3),"-",(RIGHT(RIGHT(CONCATENATE("000",HH_debt1718!A307),6),3)))</f>
        <v>095-903</v>
      </c>
      <c r="C307" s="91">
        <v>550925</v>
      </c>
    </row>
    <row r="308" spans="1:3" ht="15">
      <c r="A308" t="s">
        <v>5893</v>
      </c>
      <c r="B308" s="722" t="str">
        <f>CONCATENATE(LEFT(RIGHT(CONCATENATE("000",HH_debt1718!A308),6),3),"-",(RIGHT(RIGHT(CONCATENATE("000",HH_debt1718!A308),6),3)))</f>
        <v>096-905</v>
      </c>
      <c r="C308" s="91">
        <v>163862</v>
      </c>
    </row>
    <row r="309" spans="1:3" ht="15">
      <c r="A309" t="s">
        <v>5894</v>
      </c>
      <c r="B309" s="722" t="str">
        <f>CONCATENATE(LEFT(RIGHT(CONCATENATE("000",HH_debt1718!A309),6),3),"-",(RIGHT(RIGHT(CONCATENATE("000",HH_debt1718!A309),6),3)))</f>
        <v>097-902</v>
      </c>
      <c r="C309" s="91">
        <v>416150</v>
      </c>
    </row>
    <row r="310" spans="1:3" ht="15">
      <c r="A310" t="s">
        <v>3531</v>
      </c>
      <c r="B310" s="722" t="str">
        <f>CONCATENATE(LEFT(RIGHT(CONCATENATE("000",HH_debt1718!A310),6),3),"-",(RIGHT(RIGHT(CONCATENATE("000",HH_debt1718!A310),6),3)))</f>
        <v>097-903</v>
      </c>
      <c r="C310" s="91">
        <v>331012</v>
      </c>
    </row>
    <row r="311" spans="1:3" ht="15">
      <c r="A311" t="s">
        <v>5895</v>
      </c>
      <c r="B311" s="722" t="str">
        <f>CONCATENATE(LEFT(RIGHT(CONCATENATE("000",HH_debt1718!A311),6),3),"-",(RIGHT(RIGHT(CONCATENATE("000",HH_debt1718!A311),6),3)))</f>
        <v>098-901</v>
      </c>
      <c r="C311" s="91">
        <v>328429</v>
      </c>
    </row>
    <row r="312" spans="1:3" ht="15">
      <c r="A312" t="s">
        <v>5896</v>
      </c>
      <c r="B312" s="722" t="str">
        <f>CONCATENATE(LEFT(RIGHT(CONCATENATE("000",HH_debt1718!A312),6),3),"-",(RIGHT(RIGHT(CONCATENATE("000",HH_debt1718!A312),6),3)))</f>
        <v>098-903</v>
      </c>
      <c r="C312" s="91">
        <v>451753</v>
      </c>
    </row>
    <row r="313" spans="1:3" ht="15">
      <c r="A313" t="s">
        <v>5897</v>
      </c>
      <c r="B313" s="722" t="str">
        <f>CONCATENATE(LEFT(RIGHT(CONCATENATE("000",HH_debt1718!A313),6),3),"-",(RIGHT(RIGHT(CONCATENATE("000",HH_debt1718!A313),6),3)))</f>
        <v>098-904</v>
      </c>
      <c r="C313" s="91">
        <v>778200</v>
      </c>
    </row>
    <row r="314" spans="1:3" ht="15">
      <c r="A314" t="s">
        <v>5898</v>
      </c>
      <c r="B314" s="722" t="str">
        <f>CONCATENATE(LEFT(RIGHT(CONCATENATE("000",HH_debt1718!A314),6),3),"-",(RIGHT(RIGHT(CONCATENATE("000",HH_debt1718!A314),6),3)))</f>
        <v>099-902</v>
      </c>
      <c r="C314" s="91">
        <v>316800</v>
      </c>
    </row>
    <row r="315" spans="1:3" ht="15">
      <c r="A315" t="s">
        <v>5899</v>
      </c>
      <c r="B315" s="722" t="str">
        <f>CONCATENATE(LEFT(RIGHT(CONCATENATE("000",HH_debt1718!A315),6),3),"-",(RIGHT(RIGHT(CONCATENATE("000",HH_debt1718!A315),6),3)))</f>
        <v>100-903</v>
      </c>
      <c r="C315" s="91">
        <v>690875</v>
      </c>
    </row>
    <row r="316" spans="1:3" ht="15">
      <c r="A316" t="s">
        <v>3532</v>
      </c>
      <c r="B316" s="722" t="str">
        <f>CONCATENATE(LEFT(RIGHT(CONCATENATE("000",HH_debt1718!A316),6),3),"-",(RIGHT(RIGHT(CONCATENATE("000",HH_debt1718!A316),6),3)))</f>
        <v>100-904</v>
      </c>
      <c r="C316" s="91">
        <v>2927949</v>
      </c>
    </row>
    <row r="317" spans="1:3" ht="15">
      <c r="A317" t="s">
        <v>5900</v>
      </c>
      <c r="B317" s="722" t="str">
        <f>CONCATENATE(LEFT(RIGHT(CONCATENATE("000",HH_debt1718!A317),6),3),"-",(RIGHT(RIGHT(CONCATENATE("000",HH_debt1718!A317),6),3)))</f>
        <v>100-905</v>
      </c>
      <c r="C317" s="91">
        <v>2240491</v>
      </c>
    </row>
    <row r="318" spans="1:3" ht="15">
      <c r="A318" t="s">
        <v>3533</v>
      </c>
      <c r="B318" s="722" t="str">
        <f>CONCATENATE(LEFT(RIGHT(CONCATENATE("000",HH_debt1718!A318),6),3),"-",(RIGHT(RIGHT(CONCATENATE("000",HH_debt1718!A318),6),3)))</f>
        <v>100-907</v>
      </c>
      <c r="C318" s="91">
        <v>1541500</v>
      </c>
    </row>
    <row r="319" spans="1:3" ht="15">
      <c r="A319" t="s">
        <v>3534</v>
      </c>
      <c r="B319" s="722" t="str">
        <f>CONCATENATE(LEFT(RIGHT(CONCATENATE("000",HH_debt1718!A319),6),3),"-",(RIGHT(RIGHT(CONCATENATE("000",HH_debt1718!A319),6),3)))</f>
        <v>100-908</v>
      </c>
      <c r="C319" s="91">
        <v>230500</v>
      </c>
    </row>
    <row r="320" spans="1:3" ht="15">
      <c r="A320" t="s">
        <v>3535</v>
      </c>
      <c r="B320" s="722" t="str">
        <f>CONCATENATE(LEFT(RIGHT(CONCATENATE("000",HH_debt1718!A320),6),3),"-",(RIGHT(RIGHT(CONCATENATE("000",HH_debt1718!A320),6),3)))</f>
        <v>101-902</v>
      </c>
      <c r="C320" s="91">
        <v>39745149</v>
      </c>
    </row>
    <row r="321" spans="1:3" ht="15">
      <c r="A321" t="s">
        <v>3536</v>
      </c>
      <c r="B321" s="722" t="str">
        <f>CONCATENATE(LEFT(RIGHT(CONCATENATE("000",HH_debt1718!A321),6),3),"-",(RIGHT(RIGHT(CONCATENATE("000",HH_debt1718!A321),6),3)))</f>
        <v>101-903</v>
      </c>
      <c r="C321" s="91">
        <v>21969691</v>
      </c>
    </row>
    <row r="322" spans="1:3" ht="15">
      <c r="A322" t="s">
        <v>3537</v>
      </c>
      <c r="B322" s="722" t="str">
        <f>CONCATENATE(LEFT(RIGHT(CONCATENATE("000",HH_debt1718!A322),6),3),"-",(RIGHT(RIGHT(CONCATENATE("000",HH_debt1718!A322),6),3)))</f>
        <v>101-905</v>
      </c>
      <c r="C322" s="91">
        <v>10154391</v>
      </c>
    </row>
    <row r="323" spans="1:3" ht="15">
      <c r="A323" t="s">
        <v>3538</v>
      </c>
      <c r="B323" s="722" t="str">
        <f>CONCATENATE(LEFT(RIGHT(CONCATENATE("000",HH_debt1718!A323),6),3),"-",(RIGHT(RIGHT(CONCATENATE("000",HH_debt1718!A323),6),3)))</f>
        <v>101-906</v>
      </c>
      <c r="C323" s="91">
        <v>9765897</v>
      </c>
    </row>
    <row r="324" spans="1:3" ht="15">
      <c r="A324" t="s">
        <v>5901</v>
      </c>
      <c r="B324" s="722" t="str">
        <f>CONCATENATE(LEFT(RIGHT(CONCATENATE("000",HH_debt1718!A324),6),3),"-",(RIGHT(RIGHT(CONCATENATE("000",HH_debt1718!A324),6),3)))</f>
        <v>101-907</v>
      </c>
      <c r="C324" s="91">
        <v>157791545</v>
      </c>
    </row>
    <row r="325" spans="1:3" ht="15">
      <c r="A325" t="s">
        <v>5902</v>
      </c>
      <c r="B325" s="722" t="str">
        <f>CONCATENATE(LEFT(RIGHT(CONCATENATE("000",HH_debt1718!A325),6),3),"-",(RIGHT(RIGHT(CONCATENATE("000",HH_debt1718!A325),6),3)))</f>
        <v>101-908</v>
      </c>
      <c r="C325" s="91">
        <v>23569904</v>
      </c>
    </row>
    <row r="326" spans="1:3" ht="15">
      <c r="A326" t="s">
        <v>3539</v>
      </c>
      <c r="B326" s="722" t="str">
        <f>CONCATENATE(LEFT(RIGHT(CONCATENATE("000",HH_debt1718!A326),6),3),"-",(RIGHT(RIGHT(CONCATENATE("000",HH_debt1718!A326),6),3)))</f>
        <v>101-910</v>
      </c>
      <c r="C326" s="91">
        <v>19727959</v>
      </c>
    </row>
    <row r="327" spans="1:3" ht="15">
      <c r="A327" t="s">
        <v>5903</v>
      </c>
      <c r="B327" s="722" t="str">
        <f>CONCATENATE(LEFT(RIGHT(CONCATENATE("000",HH_debt1718!A327),6),3),"-",(RIGHT(RIGHT(CONCATENATE("000",HH_debt1718!A327),6),3)))</f>
        <v>101-911</v>
      </c>
      <c r="C327" s="91">
        <v>39129254</v>
      </c>
    </row>
    <row r="328" spans="1:3" ht="15">
      <c r="A328" t="s">
        <v>5904</v>
      </c>
      <c r="B328" s="722" t="str">
        <f>CONCATENATE(LEFT(RIGHT(CONCATENATE("000",HH_debt1718!A328),6),3),"-",(RIGHT(RIGHT(CONCATENATE("000",HH_debt1718!A328),6),3)))</f>
        <v>101-912</v>
      </c>
      <c r="C328" s="91">
        <v>186316512</v>
      </c>
    </row>
    <row r="329" spans="1:3" ht="15">
      <c r="A329" t="s">
        <v>3540</v>
      </c>
      <c r="B329" s="722" t="str">
        <f>CONCATENATE(LEFT(RIGHT(CONCATENATE("000",HH_debt1718!A329),6),3),"-",(RIGHT(RIGHT(CONCATENATE("000",HH_debt1718!A329),6),3)))</f>
        <v>101-913</v>
      </c>
      <c r="C329" s="91">
        <v>57054557</v>
      </c>
    </row>
    <row r="330" spans="1:3" ht="15">
      <c r="A330" t="s">
        <v>3541</v>
      </c>
      <c r="B330" s="722" t="str">
        <f>CONCATENATE(LEFT(RIGHT(CONCATENATE("000",HH_debt1718!A330),6),3),"-",(RIGHT(RIGHT(CONCATENATE("000",HH_debt1718!A330),6),3)))</f>
        <v>101-914</v>
      </c>
      <c r="C330" s="91">
        <v>101172841</v>
      </c>
    </row>
    <row r="331" spans="1:3" ht="15">
      <c r="A331" t="s">
        <v>3542</v>
      </c>
      <c r="B331" s="722" t="str">
        <f>CONCATENATE(LEFT(RIGHT(CONCATENATE("000",HH_debt1718!A331),6),3),"-",(RIGHT(RIGHT(CONCATENATE("000",HH_debt1718!A331),6),3)))</f>
        <v>101-915</v>
      </c>
      <c r="C331" s="91">
        <v>73805187</v>
      </c>
    </row>
    <row r="332" spans="1:3" ht="15">
      <c r="A332" t="s">
        <v>5905</v>
      </c>
      <c r="B332" s="722" t="str">
        <f>CONCATENATE(LEFT(RIGHT(CONCATENATE("000",HH_debt1718!A332),6),3),"-",(RIGHT(RIGHT(CONCATENATE("000",HH_debt1718!A332),6),3)))</f>
        <v>101-916</v>
      </c>
      <c r="C332" s="91">
        <v>27193431</v>
      </c>
    </row>
    <row r="333" spans="1:3" ht="15">
      <c r="A333" t="s">
        <v>3543</v>
      </c>
      <c r="B333" s="722" t="str">
        <f>CONCATENATE(LEFT(RIGHT(CONCATENATE("000",HH_debt1718!A333),6),3),"-",(RIGHT(RIGHT(CONCATENATE("000",HH_debt1718!A333),6),3)))</f>
        <v>101-917</v>
      </c>
      <c r="C333" s="91">
        <v>48778774</v>
      </c>
    </row>
    <row r="334" spans="1:3" ht="15">
      <c r="A334" t="s">
        <v>5906</v>
      </c>
      <c r="B334" s="722" t="str">
        <f>CONCATENATE(LEFT(RIGHT(CONCATENATE("000",HH_debt1718!A334),6),3),"-",(RIGHT(RIGHT(CONCATENATE("000",HH_debt1718!A334),6),3)))</f>
        <v>101-919</v>
      </c>
      <c r="C334" s="91">
        <v>49835465</v>
      </c>
    </row>
    <row r="335" spans="1:3" ht="15">
      <c r="A335" t="s">
        <v>5907</v>
      </c>
      <c r="B335" s="722" t="str">
        <f>CONCATENATE(LEFT(RIGHT(CONCATENATE("000",HH_debt1718!A335),6),3),"-",(RIGHT(RIGHT(CONCATENATE("000",HH_debt1718!A335),6),3)))</f>
        <v>101-920</v>
      </c>
      <c r="C335" s="91">
        <v>55320179</v>
      </c>
    </row>
    <row r="336" spans="1:3" ht="15">
      <c r="A336" t="s">
        <v>5908</v>
      </c>
      <c r="B336" s="722" t="str">
        <f>CONCATENATE(LEFT(RIGHT(CONCATENATE("000",HH_debt1718!A336),6),3),"-",(RIGHT(RIGHT(CONCATENATE("000",HH_debt1718!A336),6),3)))</f>
        <v>101-921</v>
      </c>
      <c r="C336" s="91">
        <v>28821637</v>
      </c>
    </row>
    <row r="337" spans="1:3" ht="15">
      <c r="A337" t="s">
        <v>5909</v>
      </c>
      <c r="B337" s="722" t="str">
        <f>CONCATENATE(LEFT(RIGHT(CONCATENATE("000",HH_debt1718!A337),6),3),"-",(RIGHT(RIGHT(CONCATENATE("000",HH_debt1718!A337),6),3)))</f>
        <v>101-924</v>
      </c>
      <c r="C337" s="91">
        <v>11806635</v>
      </c>
    </row>
    <row r="338" spans="1:3" ht="15">
      <c r="A338" t="s">
        <v>3544</v>
      </c>
      <c r="B338" s="722" t="str">
        <f>CONCATENATE(LEFT(RIGHT(CONCATENATE("000",HH_debt1718!A338),6),3),"-",(RIGHT(RIGHT(CONCATENATE("000",HH_debt1718!A338),6),3)))</f>
        <v>101-925</v>
      </c>
      <c r="C338" s="91">
        <v>3415476</v>
      </c>
    </row>
    <row r="339" spans="1:3" ht="15">
      <c r="A339" t="s">
        <v>5910</v>
      </c>
      <c r="B339" s="722" t="str">
        <f>CONCATENATE(LEFT(RIGHT(CONCATENATE("000",HH_debt1718!A339),6),3),"-",(RIGHT(RIGHT(CONCATENATE("000",HH_debt1718!A339),6),3)))</f>
        <v>102-902</v>
      </c>
      <c r="C339" s="91">
        <v>5422050</v>
      </c>
    </row>
    <row r="340" spans="1:3" ht="15">
      <c r="A340" t="s">
        <v>5911</v>
      </c>
      <c r="B340" s="722" t="str">
        <f>CONCATENATE(LEFT(RIGHT(CONCATENATE("000",HH_debt1718!A340),6),3),"-",(RIGHT(RIGHT(CONCATENATE("000",HH_debt1718!A340),6),3)))</f>
        <v>102-903</v>
      </c>
      <c r="C340" s="91">
        <v>502769</v>
      </c>
    </row>
    <row r="341" spans="1:3" ht="15">
      <c r="A341" t="s">
        <v>5912</v>
      </c>
      <c r="B341" s="722" t="str">
        <f>CONCATENATE(LEFT(RIGHT(CONCATENATE("000",HH_debt1718!A341),6),3),"-",(RIGHT(RIGHT(CONCATENATE("000",HH_debt1718!A341),6),3)))</f>
        <v>102-904</v>
      </c>
      <c r="C341" s="91">
        <v>7345130</v>
      </c>
    </row>
    <row r="342" spans="1:3" ht="15">
      <c r="A342" t="s">
        <v>5913</v>
      </c>
      <c r="B342" s="722" t="str">
        <f>CONCATENATE(LEFT(RIGHT(CONCATENATE("000",HH_debt1718!A342),6),3),"-",(RIGHT(RIGHT(CONCATENATE("000",HH_debt1718!A342),6),3)))</f>
        <v>102-905</v>
      </c>
      <c r="C342" s="91">
        <v>157071</v>
      </c>
    </row>
    <row r="343" spans="1:3" ht="15">
      <c r="A343" t="s">
        <v>5914</v>
      </c>
      <c r="B343" s="722" t="str">
        <f>CONCATENATE(LEFT(RIGHT(CONCATENATE("000",HH_debt1718!A343),6),3),"-",(RIGHT(RIGHT(CONCATENATE("000",HH_debt1718!A343),6),3)))</f>
        <v>102-906</v>
      </c>
      <c r="C343" s="91">
        <v>925400</v>
      </c>
    </row>
    <row r="344" spans="1:3" ht="15">
      <c r="A344" t="s">
        <v>5915</v>
      </c>
      <c r="B344" s="722" t="str">
        <f>CONCATENATE(LEFT(RIGHT(CONCATENATE("000",HH_debt1718!A344),6),3),"-",(RIGHT(RIGHT(CONCATENATE("000",HH_debt1718!A344),6),3)))</f>
        <v>103-901</v>
      </c>
      <c r="C344" s="91">
        <v>280575</v>
      </c>
    </row>
    <row r="345" spans="1:3" ht="15">
      <c r="A345" t="s">
        <v>5916</v>
      </c>
      <c r="B345" s="722" t="str">
        <f>CONCATENATE(LEFT(RIGHT(CONCATENATE("000",HH_debt1718!A345),6),3),"-",(RIGHT(RIGHT(CONCATENATE("000",HH_debt1718!A345),6),3)))</f>
        <v>103-902</v>
      </c>
      <c r="C345" s="91">
        <v>422962</v>
      </c>
    </row>
    <row r="346" spans="1:3" ht="15">
      <c r="A346" t="s">
        <v>3545</v>
      </c>
      <c r="B346" s="722" t="str">
        <f>CONCATENATE(LEFT(RIGHT(CONCATENATE("000",HH_debt1718!A346),6),3),"-",(RIGHT(RIGHT(CONCATENATE("000",HH_debt1718!A346),6),3)))</f>
        <v>104-901</v>
      </c>
      <c r="C346" s="91">
        <v>84018</v>
      </c>
    </row>
    <row r="347" spans="1:3" ht="15">
      <c r="A347" t="s">
        <v>5917</v>
      </c>
      <c r="B347" s="722" t="str">
        <f>CONCATENATE(LEFT(RIGHT(CONCATENATE("000",HH_debt1718!A347),6),3),"-",(RIGHT(RIGHT(CONCATENATE("000",HH_debt1718!A347),6),3)))</f>
        <v>104-907</v>
      </c>
      <c r="C347" s="91">
        <v>105566</v>
      </c>
    </row>
    <row r="348" spans="1:3" ht="15">
      <c r="A348" t="s">
        <v>5918</v>
      </c>
      <c r="B348" s="722" t="str">
        <f>CONCATENATE(LEFT(RIGHT(CONCATENATE("000",HH_debt1718!A348),6),3),"-",(RIGHT(RIGHT(CONCATENATE("000",HH_debt1718!A348),6),3)))</f>
        <v>105-902</v>
      </c>
      <c r="C348" s="91">
        <v>12881516</v>
      </c>
    </row>
    <row r="349" spans="1:3" ht="15">
      <c r="A349" t="s">
        <v>3546</v>
      </c>
      <c r="B349" s="722" t="str">
        <f>CONCATENATE(LEFT(RIGHT(CONCATENATE("000",HH_debt1718!A349),6),3),"-",(RIGHT(RIGHT(CONCATENATE("000",HH_debt1718!A349),6),3)))</f>
        <v>105-904</v>
      </c>
      <c r="C349" s="91">
        <v>14478725</v>
      </c>
    </row>
    <row r="350" spans="1:3" ht="15">
      <c r="A350" t="s">
        <v>5919</v>
      </c>
      <c r="B350" s="722" t="str">
        <f>CONCATENATE(LEFT(RIGHT(CONCATENATE("000",HH_debt1718!A350),6),3),"-",(RIGHT(RIGHT(CONCATENATE("000",HH_debt1718!A350),6),3)))</f>
        <v>105-905</v>
      </c>
      <c r="C350" s="91">
        <v>3182592</v>
      </c>
    </row>
    <row r="351" spans="1:3" ht="15">
      <c r="A351" t="s">
        <v>3547</v>
      </c>
      <c r="B351" s="722" t="str">
        <f>CONCATENATE(LEFT(RIGHT(CONCATENATE("000",HH_debt1718!A351),6),3),"-",(RIGHT(RIGHT(CONCATENATE("000",HH_debt1718!A351),6),3)))</f>
        <v>105-906</v>
      </c>
      <c r="C351" s="91">
        <v>26442193</v>
      </c>
    </row>
    <row r="352" spans="1:3" ht="15">
      <c r="A352" t="s">
        <v>5921</v>
      </c>
      <c r="B352" s="722" t="str">
        <f>CONCATENATE(LEFT(RIGHT(CONCATENATE("000",HH_debt1718!A352),6),3),"-",(RIGHT(RIGHT(CONCATENATE("000",HH_debt1718!A352),6),3)))</f>
        <v>107-901</v>
      </c>
      <c r="C352" s="91">
        <v>1776685</v>
      </c>
    </row>
    <row r="353" spans="1:3" ht="15">
      <c r="A353" t="s">
        <v>5922</v>
      </c>
      <c r="B353" s="722" t="str">
        <f>CONCATENATE(LEFT(RIGHT(CONCATENATE("000",HH_debt1718!A353),6),3),"-",(RIGHT(RIGHT(CONCATENATE("000",HH_debt1718!A353),6),3)))</f>
        <v>107-902</v>
      </c>
      <c r="C353" s="91">
        <v>2642200</v>
      </c>
    </row>
    <row r="354" spans="1:3" ht="15">
      <c r="A354" t="s">
        <v>5923</v>
      </c>
      <c r="B354" s="722" t="str">
        <f>CONCATENATE(LEFT(RIGHT(CONCATENATE("000",HH_debt1718!A354),6),3),"-",(RIGHT(RIGHT(CONCATENATE("000",HH_debt1718!A354),6),3)))</f>
        <v>107-904</v>
      </c>
      <c r="C354" s="91">
        <v>381450</v>
      </c>
    </row>
    <row r="355" spans="1:3" ht="15">
      <c r="A355" t="s">
        <v>5924</v>
      </c>
      <c r="B355" s="722" t="str">
        <f>CONCATENATE(LEFT(RIGHT(CONCATENATE("000",HH_debt1718!A355),6),3),"-",(RIGHT(RIGHT(CONCATENATE("000",HH_debt1718!A355),6),3)))</f>
        <v>107-905</v>
      </c>
      <c r="C355" s="91">
        <v>892350</v>
      </c>
    </row>
    <row r="356" spans="1:3" ht="15">
      <c r="A356" t="s">
        <v>5925</v>
      </c>
      <c r="B356" s="722" t="str">
        <f>CONCATENATE(LEFT(RIGHT(CONCATENATE("000",HH_debt1718!A356),6),3),"-",(RIGHT(RIGHT(CONCATENATE("000",HH_debt1718!A356),6),3)))</f>
        <v>107-906</v>
      </c>
      <c r="C356" s="91">
        <v>1783415</v>
      </c>
    </row>
    <row r="357" spans="1:3" ht="15">
      <c r="A357" t="s">
        <v>3548</v>
      </c>
      <c r="B357" s="722" t="str">
        <f>CONCATENATE(LEFT(RIGHT(CONCATENATE("000",HH_debt1718!A357),6),3),"-",(RIGHT(RIGHT(CONCATENATE("000",HH_debt1718!A357),6),3)))</f>
        <v>107-907</v>
      </c>
      <c r="C357" s="91">
        <v>147375</v>
      </c>
    </row>
    <row r="358" spans="1:3" ht="15">
      <c r="A358" t="s">
        <v>5926</v>
      </c>
      <c r="B358" s="722" t="str">
        <f>CONCATENATE(LEFT(RIGHT(CONCATENATE("000",HH_debt1718!A358),6),3),"-",(RIGHT(RIGHT(CONCATENATE("000",HH_debt1718!A358),6),3)))</f>
        <v>107-910</v>
      </c>
      <c r="C358" s="91">
        <v>532947</v>
      </c>
    </row>
    <row r="359" spans="1:3" ht="15">
      <c r="A359" t="s">
        <v>3549</v>
      </c>
      <c r="B359" s="722" t="str">
        <f>CONCATENATE(LEFT(RIGHT(CONCATENATE("000",HH_debt1718!A359),6),3),"-",(RIGHT(RIGHT(CONCATENATE("000",HH_debt1718!A359),6),3)))</f>
        <v>108-902</v>
      </c>
      <c r="C359" s="91">
        <v>8590794</v>
      </c>
    </row>
    <row r="360" spans="1:3" ht="15">
      <c r="A360" t="s">
        <v>3550</v>
      </c>
      <c r="B360" s="722" t="str">
        <f>CONCATENATE(LEFT(RIGHT(CONCATENATE("000",HH_debt1718!A360),6),3),"-",(RIGHT(RIGHT(CONCATENATE("000",HH_debt1718!A360),6),3)))</f>
        <v>108-903</v>
      </c>
      <c r="C360" s="91">
        <v>3494169</v>
      </c>
    </row>
    <row r="361" spans="1:3" ht="15">
      <c r="A361" t="s">
        <v>3551</v>
      </c>
      <c r="B361" s="722" t="str">
        <f>CONCATENATE(LEFT(RIGHT(CONCATENATE("000",HH_debt1718!A361),6),3),"-",(RIGHT(RIGHT(CONCATENATE("000",HH_debt1718!A361),6),3)))</f>
        <v>108-904</v>
      </c>
      <c r="C361" s="91">
        <v>14265300</v>
      </c>
    </row>
    <row r="362" spans="1:3" ht="15">
      <c r="A362" t="s">
        <v>3552</v>
      </c>
      <c r="B362" s="722" t="str">
        <f>CONCATENATE(LEFT(RIGHT(CONCATENATE("000",HH_debt1718!A362),6),3),"-",(RIGHT(RIGHT(CONCATENATE("000",HH_debt1718!A362),6),3)))</f>
        <v>108-905</v>
      </c>
      <c r="C362" s="91">
        <v>3555750</v>
      </c>
    </row>
    <row r="363" spans="1:3" ht="15">
      <c r="A363" t="s">
        <v>3553</v>
      </c>
      <c r="B363" s="722" t="str">
        <f>CONCATENATE(LEFT(RIGHT(CONCATENATE("000",HH_debt1718!A363),6),3),"-",(RIGHT(RIGHT(CONCATENATE("000",HH_debt1718!A363),6),3)))</f>
        <v>108-906</v>
      </c>
      <c r="C363" s="91">
        <v>9739050</v>
      </c>
    </row>
    <row r="364" spans="1:3" ht="15">
      <c r="A364" t="s">
        <v>3554</v>
      </c>
      <c r="B364" s="722" t="str">
        <f>CONCATENATE(LEFT(RIGHT(CONCATENATE("000",HH_debt1718!A364),6),3),"-",(RIGHT(RIGHT(CONCATENATE("000",HH_debt1718!A364),6),3)))</f>
        <v>108-907</v>
      </c>
      <c r="C364" s="91">
        <v>5471925</v>
      </c>
    </row>
    <row r="365" spans="1:3" ht="15">
      <c r="A365" t="s">
        <v>3555</v>
      </c>
      <c r="B365" s="722" t="str">
        <f>CONCATENATE(LEFT(RIGHT(CONCATENATE("000",HH_debt1718!A365),6),3),"-",(RIGHT(RIGHT(CONCATENATE("000",HH_debt1718!A365),6),3)))</f>
        <v>108-908</v>
      </c>
      <c r="C365" s="91">
        <v>8876518</v>
      </c>
    </row>
    <row r="366" spans="1:3" ht="15">
      <c r="A366" t="s">
        <v>3556</v>
      </c>
      <c r="B366" s="722" t="str">
        <f>CONCATENATE(LEFT(RIGHT(CONCATENATE("000",HH_debt1718!A366),6),3),"-",(RIGHT(RIGHT(CONCATENATE("000",HH_debt1718!A366),6),3)))</f>
        <v>108-909</v>
      </c>
      <c r="C366" s="91">
        <v>24514303</v>
      </c>
    </row>
    <row r="367" spans="1:3" ht="15">
      <c r="A367" t="s">
        <v>3557</v>
      </c>
      <c r="B367" s="722" t="str">
        <f>CONCATENATE(LEFT(RIGHT(CONCATENATE("000",HH_debt1718!A367),6),3),"-",(RIGHT(RIGHT(CONCATENATE("000",HH_debt1718!A367),6),3)))</f>
        <v>108-910</v>
      </c>
      <c r="C367" s="91">
        <v>2130568</v>
      </c>
    </row>
    <row r="368" spans="1:3" ht="15">
      <c r="A368" t="s">
        <v>3558</v>
      </c>
      <c r="B368" s="722" t="str">
        <f>CONCATENATE(LEFT(RIGHT(CONCATENATE("000",HH_debt1718!A368),6),3),"-",(RIGHT(RIGHT(CONCATENATE("000",HH_debt1718!A368),6),3)))</f>
        <v>108-911</v>
      </c>
      <c r="C368" s="91">
        <v>8248200</v>
      </c>
    </row>
    <row r="369" spans="1:3" ht="15">
      <c r="A369" t="s">
        <v>3559</v>
      </c>
      <c r="B369" s="722" t="str">
        <f>CONCATENATE(LEFT(RIGHT(CONCATENATE("000",HH_debt1718!A369),6),3),"-",(RIGHT(RIGHT(CONCATENATE("000",HH_debt1718!A369),6),3)))</f>
        <v>108-912</v>
      </c>
      <c r="C369" s="91">
        <v>24055198</v>
      </c>
    </row>
    <row r="370" spans="1:3" ht="15">
      <c r="A370" t="s">
        <v>3560</v>
      </c>
      <c r="B370" s="722" t="str">
        <f>CONCATENATE(LEFT(RIGHT(CONCATENATE("000",HH_debt1718!A370),6),3),"-",(RIGHT(RIGHT(CONCATENATE("000",HH_debt1718!A370),6),3)))</f>
        <v>108-913</v>
      </c>
      <c r="C370" s="91">
        <v>4786500</v>
      </c>
    </row>
    <row r="371" spans="1:3" ht="15">
      <c r="A371" t="s">
        <v>3561</v>
      </c>
      <c r="B371" s="722" t="str">
        <f>CONCATENATE(LEFT(RIGHT(CONCATENATE("000",HH_debt1718!A371),6),3),"-",(RIGHT(RIGHT(CONCATENATE("000",HH_debt1718!A371),6),3)))</f>
        <v>108-914</v>
      </c>
      <c r="C371" s="91">
        <v>483362</v>
      </c>
    </row>
    <row r="372" spans="1:3" ht="15">
      <c r="A372" t="s">
        <v>3562</v>
      </c>
      <c r="B372" s="722" t="str">
        <f>CONCATENATE(LEFT(RIGHT(CONCATENATE("000",HH_debt1718!A372),6),3),"-",(RIGHT(RIGHT(CONCATENATE("000",HH_debt1718!A372),6),3)))</f>
        <v>108-915</v>
      </c>
      <c r="C372" s="91">
        <v>867012</v>
      </c>
    </row>
    <row r="373" spans="1:3" ht="15">
      <c r="A373" t="s">
        <v>3563</v>
      </c>
      <c r="B373" s="722" t="str">
        <f>CONCATENATE(LEFT(RIGHT(CONCATENATE("000",HH_debt1718!A373),6),3),"-",(RIGHT(RIGHT(CONCATENATE("000",HH_debt1718!A373),6),3)))</f>
        <v>108-916</v>
      </c>
      <c r="C373" s="91">
        <v>3469574</v>
      </c>
    </row>
    <row r="374" spans="1:3" ht="15">
      <c r="A374" t="s">
        <v>3564</v>
      </c>
      <c r="B374" s="722" t="str">
        <f>CONCATENATE(LEFT(RIGHT(CONCATENATE("000",HH_debt1718!A374),6),3),"-",(RIGHT(RIGHT(CONCATENATE("000",HH_debt1718!A374),6),3)))</f>
        <v>109-901</v>
      </c>
      <c r="C374" s="91">
        <v>264688</v>
      </c>
    </row>
    <row r="375" spans="1:3" ht="15">
      <c r="A375" t="s">
        <v>3565</v>
      </c>
      <c r="B375" s="722" t="str">
        <f>CONCATENATE(LEFT(RIGHT(CONCATENATE("000",HH_debt1718!A375),6),3),"-",(RIGHT(RIGHT(CONCATENATE("000",HH_debt1718!A375),6),3)))</f>
        <v>109-902</v>
      </c>
      <c r="C375" s="91">
        <v>170373</v>
      </c>
    </row>
    <row r="376" spans="1:3" ht="15">
      <c r="A376" t="s">
        <v>4964</v>
      </c>
      <c r="B376" s="722" t="str">
        <f>CONCATENATE(LEFT(RIGHT(CONCATENATE("000",HH_debt1718!A376),6),3),"-",(RIGHT(RIGHT(CONCATENATE("000",HH_debt1718!A376),6),3)))</f>
        <v>109-903</v>
      </c>
      <c r="C376" s="91">
        <v>120358</v>
      </c>
    </row>
    <row r="377" spans="1:3" ht="15">
      <c r="A377" t="s">
        <v>3566</v>
      </c>
      <c r="B377" s="722" t="str">
        <f>CONCATENATE(LEFT(RIGHT(CONCATENATE("000",HH_debt1718!A377),6),3),"-",(RIGHT(RIGHT(CONCATENATE("000",HH_debt1718!A377),6),3)))</f>
        <v>109-904</v>
      </c>
      <c r="C377" s="91">
        <v>691800</v>
      </c>
    </row>
    <row r="378" spans="1:3" ht="15">
      <c r="A378" t="s">
        <v>3567</v>
      </c>
      <c r="B378" s="722" t="str">
        <f>CONCATENATE(LEFT(RIGHT(CONCATENATE("000",HH_debt1718!A378),6),3),"-",(RIGHT(RIGHT(CONCATENATE("000",HH_debt1718!A378),6),3)))</f>
        <v>109-905</v>
      </c>
      <c r="C378" s="91">
        <v>669932</v>
      </c>
    </row>
    <row r="379" spans="1:3" ht="15">
      <c r="A379" t="s">
        <v>3568</v>
      </c>
      <c r="B379" s="722" t="str">
        <f>CONCATENATE(LEFT(RIGHT(CONCATENATE("000",HH_debt1718!A379),6),3),"-",(RIGHT(RIGHT(CONCATENATE("000",HH_debt1718!A379),6),3)))</f>
        <v>109-907</v>
      </c>
      <c r="C379" s="91">
        <v>545881</v>
      </c>
    </row>
    <row r="380" spans="1:3" ht="15">
      <c r="A380" t="s">
        <v>3569</v>
      </c>
      <c r="B380" s="722" t="str">
        <f>CONCATENATE(LEFT(RIGHT(CONCATENATE("000",HH_debt1718!A380),6),3),"-",(RIGHT(RIGHT(CONCATENATE("000",HH_debt1718!A380),6),3)))</f>
        <v>109-908</v>
      </c>
      <c r="C380" s="91">
        <v>78960</v>
      </c>
    </row>
    <row r="381" spans="1:3" ht="15">
      <c r="A381" t="s">
        <v>3570</v>
      </c>
      <c r="B381" s="722" t="str">
        <f>CONCATENATE(LEFT(RIGHT(CONCATENATE("000",HH_debt1718!A381),6),3),"-",(RIGHT(RIGHT(CONCATENATE("000",HH_debt1718!A381),6),3)))</f>
        <v>109-910</v>
      </c>
      <c r="C381" s="91">
        <v>95773</v>
      </c>
    </row>
    <row r="382" spans="1:3" ht="15">
      <c r="A382" t="s">
        <v>5927</v>
      </c>
      <c r="B382" s="722" t="str">
        <f>CONCATENATE(LEFT(RIGHT(CONCATENATE("000",HH_debt1718!A382),6),3),"-",(RIGHT(RIGHT(CONCATENATE("000",HH_debt1718!A382),6),3)))</f>
        <v>109-911</v>
      </c>
      <c r="C382" s="91">
        <v>1889556</v>
      </c>
    </row>
    <row r="383" spans="1:3" ht="15">
      <c r="A383" t="s">
        <v>3571</v>
      </c>
      <c r="B383" s="722" t="str">
        <f>CONCATENATE(LEFT(RIGHT(CONCATENATE("000",HH_debt1718!A383),6),3),"-",(RIGHT(RIGHT(CONCATENATE("000",HH_debt1718!A383),6),3)))</f>
        <v>109-912</v>
      </c>
      <c r="C383" s="91">
        <v>209270</v>
      </c>
    </row>
    <row r="384" spans="1:3" ht="15">
      <c r="A384" t="s">
        <v>4982</v>
      </c>
      <c r="B384" s="722" t="str">
        <f>CONCATENATE(LEFT(RIGHT(CONCATENATE("000",HH_debt1718!A384),6),3),"-",(RIGHT(RIGHT(CONCATENATE("000",HH_debt1718!A384),6),3)))</f>
        <v>109-913</v>
      </c>
      <c r="C384" s="91">
        <v>256000</v>
      </c>
    </row>
    <row r="385" spans="1:3" ht="15">
      <c r="A385" t="s">
        <v>5928</v>
      </c>
      <c r="B385" s="722" t="str">
        <f>CONCATENATE(LEFT(RIGHT(CONCATENATE("000",HH_debt1718!A385),6),3),"-",(RIGHT(RIGHT(CONCATENATE("000",HH_debt1718!A385),6),3)))</f>
        <v>110-902</v>
      </c>
      <c r="C385" s="91">
        <v>3822182</v>
      </c>
    </row>
    <row r="386" spans="1:3" ht="15">
      <c r="A386" t="s">
        <v>5929</v>
      </c>
      <c r="B386" s="722" t="str">
        <f>CONCATENATE(LEFT(RIGHT(CONCATENATE("000",HH_debt1718!A386),6),3),"-",(RIGHT(RIGHT(CONCATENATE("000",HH_debt1718!A386),6),3)))</f>
        <v>110-905</v>
      </c>
      <c r="C386" s="91">
        <v>298925</v>
      </c>
    </row>
    <row r="387" spans="1:3" ht="15">
      <c r="A387" t="s">
        <v>3572</v>
      </c>
      <c r="B387" s="722" t="str">
        <f>CONCATENATE(LEFT(RIGHT(CONCATENATE("000",HH_debt1718!A387),6),3),"-",(RIGHT(RIGHT(CONCATENATE("000",HH_debt1718!A387),6),3)))</f>
        <v>110-906</v>
      </c>
      <c r="C387" s="91">
        <v>109864</v>
      </c>
    </row>
    <row r="388" spans="1:3" ht="15">
      <c r="A388" t="s">
        <v>5930</v>
      </c>
      <c r="B388" s="722" t="str">
        <f>CONCATENATE(LEFT(RIGHT(CONCATENATE("000",HH_debt1718!A388),6),3),"-",(RIGHT(RIGHT(CONCATENATE("000",HH_debt1718!A388),6),3)))</f>
        <v>111-901</v>
      </c>
      <c r="C388" s="91">
        <v>8017327</v>
      </c>
    </row>
    <row r="389" spans="1:3" ht="15">
      <c r="A389" t="s">
        <v>3573</v>
      </c>
      <c r="B389" s="722" t="str">
        <f>CONCATENATE(LEFT(RIGHT(CONCATENATE("000",HH_debt1718!A389),6),3),"-",(RIGHT(RIGHT(CONCATENATE("000",HH_debt1718!A389),6),3)))</f>
        <v>111-902</v>
      </c>
      <c r="C389" s="91">
        <v>539431</v>
      </c>
    </row>
    <row r="390" spans="1:3" ht="15">
      <c r="A390" t="s">
        <v>3574</v>
      </c>
      <c r="B390" s="722" t="str">
        <f>CONCATENATE(LEFT(RIGHT(CONCATENATE("000",HH_debt1718!A390),6),3),"-",(RIGHT(RIGHT(CONCATENATE("000",HH_debt1718!A390),6),3)))</f>
        <v>111-903</v>
      </c>
      <c r="C390" s="91">
        <v>862823</v>
      </c>
    </row>
    <row r="391" spans="1:3" ht="15">
      <c r="A391" t="s">
        <v>3575</v>
      </c>
      <c r="B391" s="722" t="str">
        <f>CONCATENATE(LEFT(RIGHT(CONCATENATE("000",HH_debt1718!A391),6),3),"-",(RIGHT(RIGHT(CONCATENATE("000",HH_debt1718!A391),6),3)))</f>
        <v>112-901</v>
      </c>
      <c r="C391" s="91">
        <v>4214098</v>
      </c>
    </row>
    <row r="392" spans="1:3" ht="15">
      <c r="A392" t="s">
        <v>3576</v>
      </c>
      <c r="B392" s="722" t="str">
        <f>CONCATENATE(LEFT(RIGHT(CONCATENATE("000",HH_debt1718!A392),6),3),"-",(RIGHT(RIGHT(CONCATENATE("000",HH_debt1718!A392),6),3)))</f>
        <v>112-905</v>
      </c>
      <c r="C392" s="91">
        <v>153496</v>
      </c>
    </row>
    <row r="393" spans="1:3" ht="15">
      <c r="A393" t="s">
        <v>5931</v>
      </c>
      <c r="B393" s="722" t="str">
        <f>CONCATENATE(LEFT(RIGHT(CONCATENATE("000",HH_debt1718!A393),6),3),"-",(RIGHT(RIGHT(CONCATENATE("000",HH_debt1718!A393),6),3)))</f>
        <v>112-906</v>
      </c>
      <c r="C393" s="91">
        <v>306812</v>
      </c>
    </row>
    <row r="394" spans="1:3" ht="15">
      <c r="A394" t="s">
        <v>3577</v>
      </c>
      <c r="B394" s="722" t="str">
        <f>CONCATENATE(LEFT(RIGHT(CONCATENATE("000",HH_debt1718!A394),6),3),"-",(RIGHT(RIGHT(CONCATENATE("000",HH_debt1718!A394),6),3)))</f>
        <v>112-907</v>
      </c>
      <c r="C394" s="91">
        <v>179100</v>
      </c>
    </row>
    <row r="395" spans="1:3" ht="15">
      <c r="A395" t="s">
        <v>3578</v>
      </c>
      <c r="B395" s="722" t="str">
        <f>CONCATENATE(LEFT(RIGHT(CONCATENATE("000",HH_debt1718!A395),6),3),"-",(RIGHT(RIGHT(CONCATENATE("000",HH_debt1718!A395),6),3)))</f>
        <v>112-910</v>
      </c>
      <c r="C395" s="91">
        <v>83823</v>
      </c>
    </row>
    <row r="396" spans="1:3" ht="15">
      <c r="A396" t="s">
        <v>5932</v>
      </c>
      <c r="B396" s="722" t="str">
        <f>CONCATENATE(LEFT(RIGHT(CONCATENATE("000",HH_debt1718!A396),6),3),"-",(RIGHT(RIGHT(CONCATENATE("000",HH_debt1718!A396),6),3)))</f>
        <v>113-901</v>
      </c>
      <c r="C396" s="91">
        <v>989974</v>
      </c>
    </row>
    <row r="397" spans="1:3" ht="15">
      <c r="A397" t="s">
        <v>5933</v>
      </c>
      <c r="B397" s="722" t="str">
        <f>CONCATENATE(LEFT(RIGHT(CONCATENATE("000",HH_debt1718!A397),6),3),"-",(RIGHT(RIGHT(CONCATENATE("000",HH_debt1718!A397),6),3)))</f>
        <v>113-902</v>
      </c>
      <c r="C397" s="91">
        <v>257388</v>
      </c>
    </row>
    <row r="398" spans="1:3" ht="15">
      <c r="A398" t="s">
        <v>5934</v>
      </c>
      <c r="B398" s="722" t="str">
        <f>CONCATENATE(LEFT(RIGHT(CONCATENATE("000",HH_debt1718!A398),6),3),"-",(RIGHT(RIGHT(CONCATENATE("000",HH_debt1718!A398),6),3)))</f>
        <v>113-905</v>
      </c>
      <c r="C398" s="91">
        <v>244322</v>
      </c>
    </row>
    <row r="399" spans="1:3" ht="15">
      <c r="A399" t="s">
        <v>3579</v>
      </c>
      <c r="B399" s="722" t="str">
        <f>CONCATENATE(LEFT(RIGHT(CONCATENATE("000",HH_debt1718!A399),6),3),"-",(RIGHT(RIGHT(CONCATENATE("000",HH_debt1718!A399),6),3)))</f>
        <v>114-901</v>
      </c>
      <c r="C399" s="91">
        <v>3192968</v>
      </c>
    </row>
    <row r="400" spans="1:3" ht="15">
      <c r="A400" t="s">
        <v>5935</v>
      </c>
      <c r="B400" s="722" t="str">
        <f>CONCATENATE(LEFT(RIGHT(CONCATENATE("000",HH_debt1718!A400),6),3),"-",(RIGHT(RIGHT(CONCATENATE("000",HH_debt1718!A400),6),3)))</f>
        <v>114-902</v>
      </c>
      <c r="C400" s="91">
        <v>828775</v>
      </c>
    </row>
    <row r="401" spans="1:3" ht="15">
      <c r="A401" t="s">
        <v>5936</v>
      </c>
      <c r="B401" s="722" t="str">
        <f>CONCATENATE(LEFT(RIGHT(CONCATENATE("000",HH_debt1718!A401),6),3),"-",(RIGHT(RIGHT(CONCATENATE("000",HH_debt1718!A401),6),3)))</f>
        <v>114-904</v>
      </c>
      <c r="C401" s="91">
        <v>1437450</v>
      </c>
    </row>
    <row r="402" spans="1:3" ht="15">
      <c r="A402" t="s">
        <v>5937</v>
      </c>
      <c r="B402" s="722" t="str">
        <f>CONCATENATE(LEFT(RIGHT(CONCATENATE("000",HH_debt1718!A402),6),3),"-",(RIGHT(RIGHT(CONCATENATE("000",HH_debt1718!A402),6),3)))</f>
        <v>115-901</v>
      </c>
      <c r="C402" s="91">
        <v>119050</v>
      </c>
    </row>
    <row r="403" spans="1:3" ht="15">
      <c r="A403" t="s">
        <v>3580</v>
      </c>
      <c r="B403" s="722" t="str">
        <f>CONCATENATE(LEFT(RIGHT(CONCATENATE("000",HH_debt1718!A403),6),3),"-",(RIGHT(RIGHT(CONCATENATE("000",HH_debt1718!A403),6),3)))</f>
        <v>116-901</v>
      </c>
      <c r="C403" s="91">
        <v>2086919</v>
      </c>
    </row>
    <row r="404" spans="1:3" ht="15">
      <c r="A404" t="s">
        <v>3581</v>
      </c>
      <c r="B404" s="722" t="str">
        <f>CONCATENATE(LEFT(RIGHT(CONCATENATE("000",HH_debt1718!A404),6),3),"-",(RIGHT(RIGHT(CONCATENATE("000",HH_debt1718!A404),6),3)))</f>
        <v>116-902</v>
      </c>
      <c r="C404" s="91">
        <v>493625</v>
      </c>
    </row>
    <row r="405" spans="1:3" ht="15">
      <c r="A405" t="s">
        <v>3582</v>
      </c>
      <c r="B405" s="722" t="str">
        <f>CONCATENATE(LEFT(RIGHT(CONCATENATE("000",HH_debt1718!A405),6),3),"-",(RIGHT(RIGHT(CONCATENATE("000",HH_debt1718!A405),6),3)))</f>
        <v>116-903</v>
      </c>
      <c r="C405" s="91">
        <v>1923724</v>
      </c>
    </row>
    <row r="406" spans="1:3" ht="15">
      <c r="A406" t="s">
        <v>5938</v>
      </c>
      <c r="B406" s="722" t="str">
        <f>CONCATENATE(LEFT(RIGHT(CONCATENATE("000",HH_debt1718!A406),6),3),"-",(RIGHT(RIGHT(CONCATENATE("000",HH_debt1718!A406),6),3)))</f>
        <v>116-905</v>
      </c>
      <c r="C406" s="91">
        <v>5263737</v>
      </c>
    </row>
    <row r="407" spans="1:3" ht="15">
      <c r="A407" t="s">
        <v>3583</v>
      </c>
      <c r="B407" s="722" t="str">
        <f>CONCATENATE(LEFT(RIGHT(CONCATENATE("000",HH_debt1718!A407),6),3),"-",(RIGHT(RIGHT(CONCATENATE("000",HH_debt1718!A407),6),3)))</f>
        <v>116-906</v>
      </c>
      <c r="C407" s="91">
        <v>750240</v>
      </c>
    </row>
    <row r="408" spans="1:3" ht="15">
      <c r="A408" t="s">
        <v>3584</v>
      </c>
      <c r="B408" s="722" t="str">
        <f>CONCATENATE(LEFT(RIGHT(CONCATENATE("000",HH_debt1718!A408),6),3),"-",(RIGHT(RIGHT(CONCATENATE("000",HH_debt1718!A408),6),3)))</f>
        <v>116-908</v>
      </c>
      <c r="C408" s="91">
        <v>1597575</v>
      </c>
    </row>
    <row r="409" spans="1:3" ht="15">
      <c r="A409" t="s">
        <v>3585</v>
      </c>
      <c r="B409" s="722" t="str">
        <f>CONCATENATE(LEFT(RIGHT(CONCATENATE("000",HH_debt1718!A409),6),3),"-",(RIGHT(RIGHT(CONCATENATE("000",HH_debt1718!A409),6),3)))</f>
        <v>116-909</v>
      </c>
      <c r="C409" s="91">
        <v>120300</v>
      </c>
    </row>
    <row r="410" spans="1:3" ht="15">
      <c r="A410" t="s">
        <v>5939</v>
      </c>
      <c r="B410" s="722" t="str">
        <f>CONCATENATE(LEFT(RIGHT(CONCATENATE("000",HH_debt1718!A410),6),3),"-",(RIGHT(RIGHT(CONCATENATE("000",HH_debt1718!A410),6),3)))</f>
        <v>116-910</v>
      </c>
      <c r="C410" s="91">
        <v>50095</v>
      </c>
    </row>
    <row r="411" spans="1:3" ht="15">
      <c r="A411" t="s">
        <v>3586</v>
      </c>
      <c r="B411" s="722" t="str">
        <f>CONCATENATE(LEFT(RIGHT(CONCATENATE("000",HH_debt1718!A411),6),3),"-",(RIGHT(RIGHT(CONCATENATE("000",HH_debt1718!A411),6),3)))</f>
        <v>116-915</v>
      </c>
      <c r="C411" s="91">
        <v>837151</v>
      </c>
    </row>
    <row r="412" spans="1:3" ht="15">
      <c r="A412" t="s">
        <v>3587</v>
      </c>
      <c r="B412" s="722" t="str">
        <f>CONCATENATE(LEFT(RIGHT(CONCATENATE("000",HH_debt1718!A412),6),3),"-",(RIGHT(RIGHT(CONCATENATE("000",HH_debt1718!A412),6),3)))</f>
        <v>116-916</v>
      </c>
      <c r="C412" s="91">
        <v>588913</v>
      </c>
    </row>
    <row r="413" spans="1:3" ht="15">
      <c r="A413" t="s">
        <v>5940</v>
      </c>
      <c r="B413" s="722" t="str">
        <f>CONCATENATE(LEFT(RIGHT(CONCATENATE("000",HH_debt1718!A413),6),3),"-",(RIGHT(RIGHT(CONCATENATE("000",HH_debt1718!A413),6),3)))</f>
        <v>117-901</v>
      </c>
      <c r="C413" s="91">
        <v>2139237</v>
      </c>
    </row>
    <row r="414" spans="1:3" ht="15">
      <c r="A414" t="s">
        <v>5941</v>
      </c>
      <c r="B414" s="722" t="str">
        <f>CONCATENATE(LEFT(RIGHT(CONCATENATE("000",HH_debt1718!A414),6),3),"-",(RIGHT(RIGHT(CONCATENATE("000",HH_debt1718!A414),6),3)))</f>
        <v>117-903</v>
      </c>
      <c r="C414" s="91">
        <v>630850</v>
      </c>
    </row>
    <row r="415" spans="1:3" ht="15">
      <c r="A415" t="s">
        <v>5942</v>
      </c>
      <c r="B415" s="722" t="str">
        <f>CONCATENATE(LEFT(RIGHT(CONCATENATE("000",HH_debt1718!A415),6),3),"-",(RIGHT(RIGHT(CONCATENATE("000",HH_debt1718!A415),6),3)))</f>
        <v>117-904</v>
      </c>
      <c r="C415" s="91">
        <v>3384738</v>
      </c>
    </row>
    <row r="416" spans="1:3" ht="15">
      <c r="A416" t="s">
        <v>5944</v>
      </c>
      <c r="B416" s="722" t="str">
        <f>CONCATENATE(LEFT(RIGHT(CONCATENATE("000",HH_debt1718!A416),6),3),"-",(RIGHT(RIGHT(CONCATENATE("000",HH_debt1718!A416),6),3)))</f>
        <v>119-901</v>
      </c>
      <c r="C416" s="91">
        <v>1276088</v>
      </c>
    </row>
    <row r="417" spans="1:3" ht="15">
      <c r="A417" t="s">
        <v>5945</v>
      </c>
      <c r="B417" s="722" t="str">
        <f>CONCATENATE(LEFT(RIGHT(CONCATENATE("000",HH_debt1718!A417),6),3),"-",(RIGHT(RIGHT(CONCATENATE("000",HH_debt1718!A417),6),3)))</f>
        <v>119-902</v>
      </c>
      <c r="C417" s="91">
        <v>3523378</v>
      </c>
    </row>
    <row r="418" spans="1:3" ht="15">
      <c r="A418" t="s">
        <v>5946</v>
      </c>
      <c r="B418" s="722" t="str">
        <f>CONCATENATE(LEFT(RIGHT(CONCATENATE("000",HH_debt1718!A418),6),3),"-",(RIGHT(RIGHT(CONCATENATE("000",HH_debt1718!A418),6),3)))</f>
        <v>119-903</v>
      </c>
      <c r="C418" s="91">
        <v>548388</v>
      </c>
    </row>
    <row r="419" spans="1:3" ht="15">
      <c r="A419" t="s">
        <v>5947</v>
      </c>
      <c r="B419" s="722" t="str">
        <f>CONCATENATE(LEFT(RIGHT(CONCATENATE("000",HH_debt1718!A419),6),3),"-",(RIGHT(RIGHT(CONCATENATE("000",HH_debt1718!A419),6),3)))</f>
        <v>120-901</v>
      </c>
      <c r="C419" s="91">
        <v>1454227</v>
      </c>
    </row>
    <row r="420" spans="1:3" ht="15">
      <c r="A420" t="s">
        <v>3588</v>
      </c>
      <c r="B420" s="722" t="str">
        <f>CONCATENATE(LEFT(RIGHT(CONCATENATE("000",HH_debt1718!A420),6),3),"-",(RIGHT(RIGHT(CONCATENATE("000",HH_debt1718!A420),6),3)))</f>
        <v>120-902</v>
      </c>
      <c r="C420" s="91">
        <v>381625</v>
      </c>
    </row>
    <row r="421" spans="1:3" ht="15">
      <c r="A421" t="s">
        <v>3589</v>
      </c>
      <c r="B421" s="722" t="str">
        <f>CONCATENATE(LEFT(RIGHT(CONCATENATE("000",HH_debt1718!A421),6),3),"-",(RIGHT(RIGHT(CONCATENATE("000",HH_debt1718!A421),6),3)))</f>
        <v>121-903</v>
      </c>
      <c r="C421" s="91">
        <v>1742015</v>
      </c>
    </row>
    <row r="422" spans="1:3" ht="15">
      <c r="A422" t="s">
        <v>3590</v>
      </c>
      <c r="B422" s="722" t="str">
        <f>CONCATENATE(LEFT(RIGHT(CONCATENATE("000",HH_debt1718!A422),6),3),"-",(RIGHT(RIGHT(CONCATENATE("000",HH_debt1718!A422),6),3)))</f>
        <v>121-904</v>
      </c>
      <c r="C422" s="91">
        <v>1533828</v>
      </c>
    </row>
    <row r="423" spans="1:3" ht="15">
      <c r="A423" t="s">
        <v>3591</v>
      </c>
      <c r="B423" s="722" t="str">
        <f>CONCATENATE(LEFT(RIGHT(CONCATENATE("000",HH_debt1718!A423),6),3),"-",(RIGHT(RIGHT(CONCATENATE("000",HH_debt1718!A423),6),3)))</f>
        <v>121-905</v>
      </c>
      <c r="C423" s="91">
        <v>1501169</v>
      </c>
    </row>
    <row r="424" spans="1:3" ht="15">
      <c r="A424" t="s">
        <v>3592</v>
      </c>
      <c r="B424" s="722" t="str">
        <f>CONCATENATE(LEFT(RIGHT(CONCATENATE("000",HH_debt1718!A424),6),3),"-",(RIGHT(RIGHT(CONCATENATE("000",HH_debt1718!A424),6),3)))</f>
        <v>123-905</v>
      </c>
      <c r="C424" s="91">
        <v>2398258</v>
      </c>
    </row>
    <row r="425" spans="1:3" ht="15">
      <c r="A425" t="s">
        <v>5950</v>
      </c>
      <c r="B425" s="722" t="str">
        <f>CONCATENATE(LEFT(RIGHT(CONCATENATE("000",HH_debt1718!A425),6),3),"-",(RIGHT(RIGHT(CONCATENATE("000",HH_debt1718!A425),6),3)))</f>
        <v>123-907</v>
      </c>
      <c r="C425" s="91">
        <v>23281348</v>
      </c>
    </row>
    <row r="426" spans="1:3" ht="15">
      <c r="A426" t="s">
        <v>5951</v>
      </c>
      <c r="B426" s="722" t="str">
        <f>CONCATENATE(LEFT(RIGHT(CONCATENATE("000",HH_debt1718!A426),6),3),"-",(RIGHT(RIGHT(CONCATENATE("000",HH_debt1718!A426),6),3)))</f>
        <v>123-908</v>
      </c>
      <c r="C426" s="91">
        <v>9266337</v>
      </c>
    </row>
    <row r="427" spans="1:3" ht="15">
      <c r="A427" t="s">
        <v>5952</v>
      </c>
      <c r="B427" s="722" t="str">
        <f>CONCATENATE(LEFT(RIGHT(CONCATENATE("000",HH_debt1718!A427),6),3),"-",(RIGHT(RIGHT(CONCATENATE("000",HH_debt1718!A427),6),3)))</f>
        <v>123-910</v>
      </c>
      <c r="C427" s="91">
        <v>26857611</v>
      </c>
    </row>
    <row r="428" spans="1:3" ht="15">
      <c r="A428" t="s">
        <v>5953</v>
      </c>
      <c r="B428" s="722" t="str">
        <f>CONCATENATE(LEFT(RIGHT(CONCATENATE("000",HH_debt1718!A428),6),3),"-",(RIGHT(RIGHT(CONCATENATE("000",HH_debt1718!A428),6),3)))</f>
        <v>123-913</v>
      </c>
      <c r="C428" s="91">
        <v>1541045</v>
      </c>
    </row>
    <row r="429" spans="1:3" ht="15">
      <c r="A429" t="s">
        <v>3593</v>
      </c>
      <c r="B429" s="722" t="str">
        <f>CONCATENATE(LEFT(RIGHT(CONCATENATE("000",HH_debt1718!A429),6),3),"-",(RIGHT(RIGHT(CONCATENATE("000",HH_debt1718!A429),6),3)))</f>
        <v>123-914</v>
      </c>
      <c r="C429" s="91">
        <v>1005814</v>
      </c>
    </row>
    <row r="430" spans="1:3" ht="15">
      <c r="A430" t="s">
        <v>5954</v>
      </c>
      <c r="B430" s="722" t="str">
        <f>CONCATENATE(LEFT(RIGHT(CONCATENATE("000",HH_debt1718!A430),6),3),"-",(RIGHT(RIGHT(CONCATENATE("000",HH_debt1718!A430),6),3)))</f>
        <v>124-901</v>
      </c>
      <c r="C430" s="91">
        <v>346738</v>
      </c>
    </row>
    <row r="431" spans="1:3" ht="15">
      <c r="A431" t="s">
        <v>3594</v>
      </c>
      <c r="B431" s="722" t="str">
        <f>CONCATENATE(LEFT(RIGHT(CONCATENATE("000",HH_debt1718!A431),6),3),"-",(RIGHT(RIGHT(CONCATENATE("000",HH_debt1718!A431),6),3)))</f>
        <v>125-901</v>
      </c>
      <c r="C431" s="91">
        <v>3544325</v>
      </c>
    </row>
    <row r="432" spans="1:3" ht="15">
      <c r="A432" t="s">
        <v>3595</v>
      </c>
      <c r="B432" s="722" t="str">
        <f>CONCATENATE(LEFT(RIGHT(CONCATENATE("000",HH_debt1718!A432),6),3),"-",(RIGHT(RIGHT(CONCATENATE("000",HH_debt1718!A432),6),3)))</f>
        <v>125-902</v>
      </c>
      <c r="C432" s="91">
        <v>439345</v>
      </c>
    </row>
    <row r="433" spans="1:3" ht="15">
      <c r="A433" t="s">
        <v>3596</v>
      </c>
      <c r="B433" s="722" t="str">
        <f>CONCATENATE(LEFT(RIGHT(CONCATENATE("000",HH_debt1718!A433),6),3),"-",(RIGHT(RIGHT(CONCATENATE("000",HH_debt1718!A433),6),3)))</f>
        <v>125-903</v>
      </c>
      <c r="C433" s="91">
        <v>1239400</v>
      </c>
    </row>
    <row r="434" spans="1:3" ht="15">
      <c r="A434" t="s">
        <v>3597</v>
      </c>
      <c r="B434" s="722" t="str">
        <f>CONCATENATE(LEFT(RIGHT(CONCATENATE("000",HH_debt1718!A434),6),3),"-",(RIGHT(RIGHT(CONCATENATE("000",HH_debt1718!A434),6),3)))</f>
        <v>125-905</v>
      </c>
      <c r="C434" s="91">
        <v>236976</v>
      </c>
    </row>
    <row r="435" spans="1:3" ht="15">
      <c r="A435" t="s">
        <v>3598</v>
      </c>
      <c r="B435" s="722" t="str">
        <f>CONCATENATE(LEFT(RIGHT(CONCATENATE("000",HH_debt1718!A435),6),3),"-",(RIGHT(RIGHT(CONCATENATE("000",HH_debt1718!A435),6),3)))</f>
        <v>126-901</v>
      </c>
      <c r="C435" s="91">
        <v>4885664</v>
      </c>
    </row>
    <row r="436" spans="1:3" ht="15">
      <c r="A436" t="s">
        <v>3599</v>
      </c>
      <c r="B436" s="722" t="str">
        <f>CONCATENATE(LEFT(RIGHT(CONCATENATE("000",HH_debt1718!A436),6),3),"-",(RIGHT(RIGHT(CONCATENATE("000",HH_debt1718!A436),6),3)))</f>
        <v>126-902</v>
      </c>
      <c r="C436" s="91">
        <v>21468060</v>
      </c>
    </row>
    <row r="437" spans="1:3" ht="15">
      <c r="A437" t="s">
        <v>5955</v>
      </c>
      <c r="B437" s="722" t="str">
        <f>CONCATENATE(LEFT(RIGHT(CONCATENATE("000",HH_debt1718!A437),6),3),"-",(RIGHT(RIGHT(CONCATENATE("000",HH_debt1718!A437),6),3)))</f>
        <v>126-903</v>
      </c>
      <c r="C437" s="91">
        <v>5550573</v>
      </c>
    </row>
    <row r="438" spans="1:3" ht="15">
      <c r="A438" t="s">
        <v>5069</v>
      </c>
      <c r="B438" s="722" t="str">
        <f>CONCATENATE(LEFT(RIGHT(CONCATENATE("000",HH_debt1718!A438),6),3),"-",(RIGHT(RIGHT(CONCATENATE("000",HH_debt1718!A438),6),3)))</f>
        <v>126-904</v>
      </c>
      <c r="C438" s="91">
        <v>1110595</v>
      </c>
    </row>
    <row r="439" spans="1:3" ht="15">
      <c r="A439" t="s">
        <v>3600</v>
      </c>
      <c r="B439" s="722" t="str">
        <f>CONCATENATE(LEFT(RIGHT(CONCATENATE("000",HH_debt1718!A439),6),3),"-",(RIGHT(RIGHT(CONCATENATE("000",HH_debt1718!A439),6),3)))</f>
        <v>126-905</v>
      </c>
      <c r="C439" s="91">
        <v>7288894</v>
      </c>
    </row>
    <row r="440" spans="1:3" ht="15">
      <c r="A440" t="s">
        <v>3601</v>
      </c>
      <c r="B440" s="722" t="str">
        <f>CONCATENATE(LEFT(RIGHT(CONCATENATE("000",HH_debt1718!A440),6),3),"-",(RIGHT(RIGHT(CONCATENATE("000",HH_debt1718!A440),6),3)))</f>
        <v>126-906</v>
      </c>
      <c r="C440" s="91">
        <v>885000</v>
      </c>
    </row>
    <row r="441" spans="1:3" ht="15">
      <c r="A441" t="s">
        <v>3602</v>
      </c>
      <c r="B441" s="722" t="str">
        <f>CONCATENATE(LEFT(RIGHT(CONCATENATE("000",HH_debt1718!A441),6),3),"-",(RIGHT(RIGHT(CONCATENATE("000",HH_debt1718!A441),6),3)))</f>
        <v>126-907</v>
      </c>
      <c r="C441" s="91">
        <v>1170143</v>
      </c>
    </row>
    <row r="442" spans="1:3" ht="15">
      <c r="A442" t="s">
        <v>3603</v>
      </c>
      <c r="B442" s="722" t="str">
        <f>CONCATENATE(LEFT(RIGHT(CONCATENATE("000",HH_debt1718!A442),6),3),"-",(RIGHT(RIGHT(CONCATENATE("000",HH_debt1718!A442),6),3)))</f>
        <v>126-908</v>
      </c>
      <c r="C442" s="91">
        <v>1115670</v>
      </c>
    </row>
    <row r="443" spans="1:3" ht="15">
      <c r="A443" t="s">
        <v>3604</v>
      </c>
      <c r="B443" s="722" t="str">
        <f>CONCATENATE(LEFT(RIGHT(CONCATENATE("000",HH_debt1718!A443),6),3),"-",(RIGHT(RIGHT(CONCATENATE("000",HH_debt1718!A443),6),3)))</f>
        <v>126-911</v>
      </c>
      <c r="C443" s="91">
        <v>2633474</v>
      </c>
    </row>
    <row r="444" spans="1:3" ht="15">
      <c r="A444" t="s">
        <v>5956</v>
      </c>
      <c r="B444" s="722" t="str">
        <f>CONCATENATE(LEFT(RIGHT(CONCATENATE("000",HH_debt1718!A444),6),3),"-",(RIGHT(RIGHT(CONCATENATE("000",HH_debt1718!A444),6),3)))</f>
        <v>127-901</v>
      </c>
      <c r="C444" s="91">
        <v>530200</v>
      </c>
    </row>
    <row r="445" spans="1:3" ht="15">
      <c r="A445" t="s">
        <v>5957</v>
      </c>
      <c r="B445" s="722" t="str">
        <f>CONCATENATE(LEFT(RIGHT(CONCATENATE("000",HH_debt1718!A445),6),3),"-",(RIGHT(RIGHT(CONCATENATE("000",HH_debt1718!A445),6),3)))</f>
        <v>127-903</v>
      </c>
      <c r="C445" s="91">
        <v>326775</v>
      </c>
    </row>
    <row r="446" spans="1:3" ht="15">
      <c r="A446" t="s">
        <v>5958</v>
      </c>
      <c r="B446" s="722" t="str">
        <f>CONCATENATE(LEFT(RIGHT(CONCATENATE("000",HH_debt1718!A446),6),3),"-",(RIGHT(RIGHT(CONCATENATE("000",HH_debt1718!A446),6),3)))</f>
        <v>127-904</v>
      </c>
      <c r="C446" s="91">
        <v>547050</v>
      </c>
    </row>
    <row r="447" spans="1:3" ht="15">
      <c r="A447" t="s">
        <v>3605</v>
      </c>
      <c r="B447" s="722" t="str">
        <f>CONCATENATE(LEFT(RIGHT(CONCATENATE("000",HH_debt1718!A447),6),3),"-",(RIGHT(RIGHT(CONCATENATE("000",HH_debt1718!A447),6),3)))</f>
        <v>127-905</v>
      </c>
      <c r="C447" s="91">
        <v>92500</v>
      </c>
    </row>
    <row r="448" spans="1:3" ht="15">
      <c r="A448" t="s">
        <v>3606</v>
      </c>
      <c r="B448" s="722" t="str">
        <f>CONCATENATE(LEFT(RIGHT(CONCATENATE("000",HH_debt1718!A448),6),3),"-",(RIGHT(RIGHT(CONCATENATE("000",HH_debt1718!A448),6),3)))</f>
        <v>127-906</v>
      </c>
      <c r="C448" s="91">
        <v>665583</v>
      </c>
    </row>
    <row r="449" spans="1:3" ht="15">
      <c r="A449" t="s">
        <v>5090</v>
      </c>
      <c r="B449" s="722" t="str">
        <f>CONCATENATE(LEFT(RIGHT(CONCATENATE("000",HH_debt1718!A449),6),3),"-",(RIGHT(RIGHT(CONCATENATE("000",HH_debt1718!A449),6),3)))</f>
        <v>128-901</v>
      </c>
      <c r="C449" s="91">
        <v>2489675</v>
      </c>
    </row>
    <row r="450" spans="1:3" ht="15">
      <c r="A450" t="s">
        <v>3607</v>
      </c>
      <c r="B450" s="722" t="str">
        <f>CONCATENATE(LEFT(RIGHT(CONCATENATE("000",HH_debt1718!A450),6),3),"-",(RIGHT(RIGHT(CONCATENATE("000",HH_debt1718!A450),6),3)))</f>
        <v>128-902</v>
      </c>
      <c r="C450" s="91">
        <v>1455037</v>
      </c>
    </row>
    <row r="451" spans="1:3" ht="15">
      <c r="A451" t="s">
        <v>5959</v>
      </c>
      <c r="B451" s="722" t="str">
        <f>CONCATENATE(LEFT(RIGHT(CONCATENATE("000",HH_debt1718!A451),6),3),"-",(RIGHT(RIGHT(CONCATENATE("000",HH_debt1718!A451),6),3)))</f>
        <v>128-903</v>
      </c>
      <c r="C451" s="91">
        <v>596613</v>
      </c>
    </row>
    <row r="452" spans="1:3" ht="15">
      <c r="A452" t="s">
        <v>3608</v>
      </c>
      <c r="B452" s="722" t="str">
        <f>CONCATENATE(LEFT(RIGHT(CONCATENATE("000",HH_debt1718!A452),6),3),"-",(RIGHT(RIGHT(CONCATENATE("000",HH_debt1718!A452),6),3)))</f>
        <v>128-904</v>
      </c>
      <c r="C452" s="91">
        <v>2023100</v>
      </c>
    </row>
    <row r="453" spans="1:3" ht="15">
      <c r="A453" t="s">
        <v>3609</v>
      </c>
      <c r="B453" s="722" t="str">
        <f>CONCATENATE(LEFT(RIGHT(CONCATENATE("000",HH_debt1718!A453),6),3),"-",(RIGHT(RIGHT(CONCATENATE("000",HH_debt1718!A453),6),3)))</f>
        <v>129-901</v>
      </c>
      <c r="C453" s="91">
        <v>4412825</v>
      </c>
    </row>
    <row r="454" spans="1:3" ht="15">
      <c r="A454" t="s">
        <v>3610</v>
      </c>
      <c r="B454" s="722" t="str">
        <f>CONCATENATE(LEFT(RIGHT(CONCATENATE("000",HH_debt1718!A454),6),3),"-",(RIGHT(RIGHT(CONCATENATE("000",HH_debt1718!A454),6),3)))</f>
        <v>129-902</v>
      </c>
      <c r="C454" s="91">
        <v>16218271</v>
      </c>
    </row>
    <row r="455" spans="1:3" ht="15">
      <c r="A455" t="s">
        <v>3611</v>
      </c>
      <c r="B455" s="722" t="str">
        <f>CONCATENATE(LEFT(RIGHT(CONCATENATE("000",HH_debt1718!A455),6),3),"-",(RIGHT(RIGHT(CONCATENATE("000",HH_debt1718!A455),6),3)))</f>
        <v>129-903</v>
      </c>
      <c r="C455" s="91">
        <v>2089956</v>
      </c>
    </row>
    <row r="456" spans="1:3" ht="15">
      <c r="A456" t="s">
        <v>3612</v>
      </c>
      <c r="B456" s="722" t="str">
        <f>CONCATENATE(LEFT(RIGHT(CONCATENATE("000",HH_debt1718!A456),6),3),"-",(RIGHT(RIGHT(CONCATENATE("000",HH_debt1718!A456),6),3)))</f>
        <v>129-904</v>
      </c>
      <c r="C456" s="91">
        <v>1783687</v>
      </c>
    </row>
    <row r="457" spans="1:3" ht="15">
      <c r="A457" t="s">
        <v>5960</v>
      </c>
      <c r="B457" s="722" t="str">
        <f>CONCATENATE(LEFT(RIGHT(CONCATENATE("000",HH_debt1718!A457),6),3),"-",(RIGHT(RIGHT(CONCATENATE("000",HH_debt1718!A457),6),3)))</f>
        <v>129-905</v>
      </c>
      <c r="C457" s="91">
        <v>3337430</v>
      </c>
    </row>
    <row r="458" spans="1:3" ht="15">
      <c r="A458" t="s">
        <v>5961</v>
      </c>
      <c r="B458" s="722" t="str">
        <f>CONCATENATE(LEFT(RIGHT(CONCATENATE("000",HH_debt1718!A458),6),3),"-",(RIGHT(RIGHT(CONCATENATE("000",HH_debt1718!A458),6),3)))</f>
        <v>129-906</v>
      </c>
      <c r="C458" s="91">
        <v>3917000</v>
      </c>
    </row>
    <row r="459" spans="1:3" ht="15">
      <c r="A459" t="s">
        <v>3613</v>
      </c>
      <c r="B459" s="722" t="str">
        <f>CONCATENATE(LEFT(RIGHT(CONCATENATE("000",HH_debt1718!A459),6),3),"-",(RIGHT(RIGHT(CONCATENATE("000",HH_debt1718!A459),6),3)))</f>
        <v>129-910</v>
      </c>
      <c r="C459" s="91">
        <v>537562</v>
      </c>
    </row>
    <row r="460" spans="1:3" ht="15">
      <c r="A460" t="s">
        <v>5962</v>
      </c>
      <c r="B460" s="722" t="str">
        <f>CONCATENATE(LEFT(RIGHT(CONCATENATE("000",HH_debt1718!A460),6),3),"-",(RIGHT(RIGHT(CONCATENATE("000",HH_debt1718!A460),6),3)))</f>
        <v>130-901</v>
      </c>
      <c r="C460" s="91">
        <v>14541639</v>
      </c>
    </row>
    <row r="461" spans="1:3" ht="15">
      <c r="A461" t="s">
        <v>5963</v>
      </c>
      <c r="B461" s="722" t="str">
        <f>CONCATENATE(LEFT(RIGHT(CONCATENATE("000",HH_debt1718!A461),6),3),"-",(RIGHT(RIGHT(CONCATENATE("000",HH_debt1718!A461),6),3)))</f>
        <v>130-902</v>
      </c>
      <c r="C461" s="91">
        <v>1424358</v>
      </c>
    </row>
    <row r="462" spans="1:3" ht="15">
      <c r="A462" t="s">
        <v>5964</v>
      </c>
      <c r="B462" s="722" t="str">
        <f>CONCATENATE(LEFT(RIGHT(CONCATENATE("000",HH_debt1718!A462),6),3),"-",(RIGHT(RIGHT(CONCATENATE("000",HH_debt1718!A462),6),3)))</f>
        <v>131-001</v>
      </c>
      <c r="C462" s="91">
        <v>299307</v>
      </c>
    </row>
    <row r="463" spans="1:3" ht="15">
      <c r="A463" t="s">
        <v>3614</v>
      </c>
      <c r="B463" s="722" t="str">
        <f>CONCATENATE(LEFT(RIGHT(CONCATENATE("000",HH_debt1718!A463),6),3),"-",(RIGHT(RIGHT(CONCATENATE("000",HH_debt1718!A463),6),3)))</f>
        <v>133-901</v>
      </c>
      <c r="C463" s="91">
        <v>129475</v>
      </c>
    </row>
    <row r="464" spans="1:3" ht="15">
      <c r="A464" t="s">
        <v>5965</v>
      </c>
      <c r="B464" s="722" t="str">
        <f>CONCATENATE(LEFT(RIGHT(CONCATENATE("000",HH_debt1718!A464),6),3),"-",(RIGHT(RIGHT(CONCATENATE("000",HH_debt1718!A464),6),3)))</f>
        <v>133-902</v>
      </c>
      <c r="C464" s="91">
        <v>307325</v>
      </c>
    </row>
    <row r="465" spans="1:3" ht="15">
      <c r="A465" t="s">
        <v>5966</v>
      </c>
      <c r="B465" s="722" t="str">
        <f>CONCATENATE(LEFT(RIGHT(CONCATENATE("000",HH_debt1718!A465),6),3),"-",(RIGHT(RIGHT(CONCATENATE("000",HH_debt1718!A465),6),3)))</f>
        <v>133-903</v>
      </c>
      <c r="C465" s="91">
        <v>3362231</v>
      </c>
    </row>
    <row r="466" spans="1:3" ht="15">
      <c r="A466" t="s">
        <v>5967</v>
      </c>
      <c r="B466" s="722" t="str">
        <f>CONCATENATE(LEFT(RIGHT(CONCATENATE("000",HH_debt1718!A466),6),3),"-",(RIGHT(RIGHT(CONCATENATE("000",HH_debt1718!A466),6),3)))</f>
        <v>133-904</v>
      </c>
      <c r="C466" s="91">
        <v>1074925</v>
      </c>
    </row>
    <row r="467" spans="1:3" ht="15">
      <c r="A467" t="s">
        <v>5968</v>
      </c>
      <c r="B467" s="722" t="str">
        <f>CONCATENATE(LEFT(RIGHT(CONCATENATE("000",HH_debt1718!A467),6),3),"-",(RIGHT(RIGHT(CONCATENATE("000",HH_debt1718!A467),6),3)))</f>
        <v>135-001</v>
      </c>
      <c r="C467" s="91">
        <v>520713</v>
      </c>
    </row>
    <row r="468" spans="1:3" ht="15">
      <c r="A468" t="s">
        <v>3615</v>
      </c>
      <c r="B468" s="722" t="str">
        <f>CONCATENATE(LEFT(RIGHT(CONCATENATE("000",HH_debt1718!A468),6),3),"-",(RIGHT(RIGHT(CONCATENATE("000",HH_debt1718!A468),6),3)))</f>
        <v>137-901</v>
      </c>
      <c r="C468" s="91">
        <v>4704272</v>
      </c>
    </row>
    <row r="469" spans="1:3" ht="15">
      <c r="A469" t="s">
        <v>5969</v>
      </c>
      <c r="B469" s="722" t="str">
        <f>CONCATENATE(LEFT(RIGHT(CONCATENATE("000",HH_debt1718!A469),6),3),"-",(RIGHT(RIGHT(CONCATENATE("000",HH_debt1718!A469),6),3)))</f>
        <v>137-904</v>
      </c>
      <c r="C469" s="91">
        <v>661300</v>
      </c>
    </row>
    <row r="470" spans="1:3" ht="15">
      <c r="A470" t="s">
        <v>5970</v>
      </c>
      <c r="B470" s="722" t="str">
        <f>CONCATENATE(LEFT(RIGHT(CONCATENATE("000",HH_debt1718!A470),6),3),"-",(RIGHT(RIGHT(CONCATENATE("000",HH_debt1718!A470),6),3)))</f>
        <v>139-905</v>
      </c>
      <c r="C470" s="91">
        <v>1005600</v>
      </c>
    </row>
    <row r="471" spans="1:3" ht="15">
      <c r="A471" t="s">
        <v>3617</v>
      </c>
      <c r="B471" s="722" t="str">
        <f>CONCATENATE(LEFT(RIGHT(CONCATENATE("000",HH_debt1718!A471),6),3),"-",(RIGHT(RIGHT(CONCATENATE("000",HH_debt1718!A471),6),3)))</f>
        <v>139-908</v>
      </c>
      <c r="C471" s="91">
        <v>74392</v>
      </c>
    </row>
    <row r="472" spans="1:3" ht="15">
      <c r="A472" t="s">
        <v>3618</v>
      </c>
      <c r="B472" s="722" t="str">
        <f>CONCATENATE(LEFT(RIGHT(CONCATENATE("000",HH_debt1718!A472),6),3),"-",(RIGHT(RIGHT(CONCATENATE("000",HH_debt1718!A472),6),3)))</f>
        <v>139-909</v>
      </c>
      <c r="C472" s="91">
        <v>3394739</v>
      </c>
    </row>
    <row r="473" spans="1:3" ht="15">
      <c r="A473" t="s">
        <v>3619</v>
      </c>
      <c r="B473" s="722" t="str">
        <f>CONCATENATE(LEFT(RIGHT(CONCATENATE("000",HH_debt1718!A473),6),3),"-",(RIGHT(RIGHT(CONCATENATE("000",HH_debt1718!A473),6),3)))</f>
        <v>139-912</v>
      </c>
      <c r="C473" s="91">
        <v>523313</v>
      </c>
    </row>
    <row r="474" spans="1:3" ht="15">
      <c r="A474" t="s">
        <v>5142</v>
      </c>
      <c r="B474" s="722" t="str">
        <f>CONCATENATE(LEFT(RIGHT(CONCATENATE("000",HH_debt1718!A474),6),3),"-",(RIGHT(RIGHT(CONCATENATE("000",HH_debt1718!A474),6),3)))</f>
        <v>140-905</v>
      </c>
      <c r="C474" s="91">
        <v>192375</v>
      </c>
    </row>
    <row r="475" spans="1:3" ht="15">
      <c r="A475" t="s">
        <v>5972</v>
      </c>
      <c r="B475" s="722" t="str">
        <f>CONCATENATE(LEFT(RIGHT(CONCATENATE("000",HH_debt1718!A475),6),3),"-",(RIGHT(RIGHT(CONCATENATE("000",HH_debt1718!A475),6),3)))</f>
        <v>140-908</v>
      </c>
      <c r="C475" s="91">
        <v>684050</v>
      </c>
    </row>
    <row r="476" spans="1:3" ht="15">
      <c r="A476" t="s">
        <v>3620</v>
      </c>
      <c r="B476" s="722" t="str">
        <f>CONCATENATE(LEFT(RIGHT(CONCATENATE("000",HH_debt1718!A476),6),3),"-",(RIGHT(RIGHT(CONCATENATE("000",HH_debt1718!A476),6),3)))</f>
        <v>141-901</v>
      </c>
      <c r="C476" s="91">
        <v>3156339</v>
      </c>
    </row>
    <row r="477" spans="1:3" ht="15">
      <c r="A477" t="s">
        <v>5973</v>
      </c>
      <c r="B477" s="722" t="str">
        <f>CONCATENATE(LEFT(RIGHT(CONCATENATE("000",HH_debt1718!A477),6),3),"-",(RIGHT(RIGHT(CONCATENATE("000",HH_debt1718!A477),6),3)))</f>
        <v>141-902</v>
      </c>
      <c r="C477" s="91">
        <v>370062</v>
      </c>
    </row>
    <row r="478" spans="1:3" ht="15">
      <c r="A478" t="s">
        <v>3621</v>
      </c>
      <c r="B478" s="722" t="str">
        <f>CONCATENATE(LEFT(RIGHT(CONCATENATE("000",HH_debt1718!A478),6),3),"-",(RIGHT(RIGHT(CONCATENATE("000",HH_debt1718!A478),6),3)))</f>
        <v>142-901</v>
      </c>
      <c r="C478" s="91">
        <v>8892475</v>
      </c>
    </row>
    <row r="479" spans="1:3" ht="15">
      <c r="A479" t="s">
        <v>5974</v>
      </c>
      <c r="B479" s="722" t="str">
        <f>CONCATENATE(LEFT(RIGHT(CONCATENATE("000",HH_debt1718!A479),6),3),"-",(RIGHT(RIGHT(CONCATENATE("000",HH_debt1718!A479),6),3)))</f>
        <v>143-901</v>
      </c>
      <c r="C479" s="91">
        <v>1617512</v>
      </c>
    </row>
    <row r="480" spans="1:3" ht="15">
      <c r="A480" t="s">
        <v>5975</v>
      </c>
      <c r="B480" s="722" t="str">
        <f>CONCATENATE(LEFT(RIGHT(CONCATENATE("000",HH_debt1718!A480),6),3),"-",(RIGHT(RIGHT(CONCATENATE("000",HH_debt1718!A480),6),3)))</f>
        <v>143-906</v>
      </c>
      <c r="C480" s="91">
        <v>224800</v>
      </c>
    </row>
    <row r="481" spans="1:3" ht="15">
      <c r="A481" t="s">
        <v>5976</v>
      </c>
      <c r="B481" s="722" t="str">
        <f>CONCATENATE(LEFT(RIGHT(CONCATENATE("000",HH_debt1718!A481),6),3),"-",(RIGHT(RIGHT(CONCATENATE("000",HH_debt1718!A481),6),3)))</f>
        <v>144-901</v>
      </c>
      <c r="C481" s="91">
        <v>2316400</v>
      </c>
    </row>
    <row r="482" spans="1:3" ht="15">
      <c r="A482" t="s">
        <v>5978</v>
      </c>
      <c r="B482" s="722" t="str">
        <f>CONCATENATE(LEFT(RIGHT(CONCATENATE("000",HH_debt1718!A482),6),3),"-",(RIGHT(RIGHT(CONCATENATE("000",HH_debt1718!A482),6),3)))</f>
        <v>145-901</v>
      </c>
      <c r="C482" s="91">
        <v>1296422</v>
      </c>
    </row>
    <row r="483" spans="1:3" ht="15">
      <c r="A483" t="s">
        <v>5979</v>
      </c>
      <c r="B483" s="722" t="str">
        <f>CONCATENATE(LEFT(RIGHT(CONCATENATE("000",HH_debt1718!A483),6),3),"-",(RIGHT(RIGHT(CONCATENATE("000",HH_debt1718!A483),6),3)))</f>
        <v>145-902</v>
      </c>
      <c r="C483" s="91">
        <v>851900</v>
      </c>
    </row>
    <row r="484" spans="1:3" ht="15">
      <c r="A484" t="s">
        <v>5980</v>
      </c>
      <c r="B484" s="722" t="str">
        <f>CONCATENATE(LEFT(RIGHT(CONCATENATE("000",HH_debt1718!A484),6),3),"-",(RIGHT(RIGHT(CONCATENATE("000",HH_debt1718!A484),6),3)))</f>
        <v>145-906</v>
      </c>
      <c r="C484" s="91">
        <v>734060</v>
      </c>
    </row>
    <row r="485" spans="1:3" ht="15">
      <c r="A485" t="s">
        <v>5981</v>
      </c>
      <c r="B485" s="722" t="str">
        <f>CONCATENATE(LEFT(RIGHT(CONCATENATE("000",HH_debt1718!A485),6),3),"-",(RIGHT(RIGHT(CONCATENATE("000",HH_debt1718!A485),6),3)))</f>
        <v>145-907</v>
      </c>
      <c r="C485" s="91">
        <v>158067</v>
      </c>
    </row>
    <row r="486" spans="1:3" ht="15">
      <c r="A486" t="s">
        <v>5982</v>
      </c>
      <c r="B486" s="722" t="str">
        <f>CONCATENATE(LEFT(RIGHT(CONCATENATE("000",HH_debt1718!A486),6),3),"-",(RIGHT(RIGHT(CONCATENATE("000",HH_debt1718!A486),6),3)))</f>
        <v>145-911</v>
      </c>
      <c r="C486" s="91">
        <v>1447650</v>
      </c>
    </row>
    <row r="487" spans="1:3" ht="15">
      <c r="A487" t="s">
        <v>3622</v>
      </c>
      <c r="B487" s="722" t="str">
        <f>CONCATENATE(LEFT(RIGHT(CONCATENATE("000",HH_debt1718!A487),6),3),"-",(RIGHT(RIGHT(CONCATENATE("000",HH_debt1718!A487),6),3)))</f>
        <v>146-901</v>
      </c>
      <c r="C487" s="91">
        <v>2824225</v>
      </c>
    </row>
    <row r="488" spans="1:3" ht="15">
      <c r="A488" t="s">
        <v>3623</v>
      </c>
      <c r="B488" s="722" t="str">
        <f>CONCATENATE(LEFT(RIGHT(CONCATENATE("000",HH_debt1718!A488),6),3),"-",(RIGHT(RIGHT(CONCATENATE("000",HH_debt1718!A488),6),3)))</f>
        <v>146-902</v>
      </c>
      <c r="C488" s="91">
        <v>6490398</v>
      </c>
    </row>
    <row r="489" spans="1:3" ht="15">
      <c r="A489" t="s">
        <v>5983</v>
      </c>
      <c r="B489" s="722" t="str">
        <f>CONCATENATE(LEFT(RIGHT(CONCATENATE("000",HH_debt1718!A489),6),3),"-",(RIGHT(RIGHT(CONCATENATE("000",HH_debt1718!A489),6),3)))</f>
        <v>146-903</v>
      </c>
      <c r="C489" s="91">
        <v>136950</v>
      </c>
    </row>
    <row r="490" spans="1:3" ht="15">
      <c r="A490" t="s">
        <v>3624</v>
      </c>
      <c r="B490" s="722" t="str">
        <f>CONCATENATE(LEFT(RIGHT(CONCATENATE("000",HH_debt1718!A490),6),3),"-",(RIGHT(RIGHT(CONCATENATE("000",HH_debt1718!A490),6),3)))</f>
        <v>146-904</v>
      </c>
      <c r="C490" s="91">
        <v>1107149</v>
      </c>
    </row>
    <row r="491" spans="1:3" ht="15">
      <c r="A491" t="s">
        <v>3625</v>
      </c>
      <c r="B491" s="722" t="str">
        <f>CONCATENATE(LEFT(RIGHT(CONCATENATE("000",HH_debt1718!A491),6),3),"-",(RIGHT(RIGHT(CONCATENATE("000",HH_debt1718!A491),6),3)))</f>
        <v>146-905</v>
      </c>
      <c r="C491" s="91">
        <v>272009</v>
      </c>
    </row>
    <row r="492" spans="1:3" ht="15">
      <c r="A492" t="s">
        <v>5984</v>
      </c>
      <c r="B492" s="722" t="str">
        <f>CONCATENATE(LEFT(RIGHT(CONCATENATE("000",HH_debt1718!A492),6),3),"-",(RIGHT(RIGHT(CONCATENATE("000",HH_debt1718!A492),6),3)))</f>
        <v>146-906</v>
      </c>
      <c r="C492" s="91">
        <v>2528213</v>
      </c>
    </row>
    <row r="493" spans="1:3" ht="15">
      <c r="A493" t="s">
        <v>5985</v>
      </c>
      <c r="B493" s="722" t="str">
        <f>CONCATENATE(LEFT(RIGHT(CONCATENATE("000",HH_debt1718!A493),6),3),"-",(RIGHT(RIGHT(CONCATENATE("000",HH_debt1718!A493),6),3)))</f>
        <v>146-907</v>
      </c>
      <c r="C493" s="91">
        <v>743712</v>
      </c>
    </row>
    <row r="494" spans="1:3" ht="15">
      <c r="A494" t="s">
        <v>3626</v>
      </c>
      <c r="B494" s="722" t="str">
        <f>CONCATENATE(LEFT(RIGHT(CONCATENATE("000",HH_debt1718!A494),6),3),"-",(RIGHT(RIGHT(CONCATENATE("000",HH_debt1718!A494),6),3)))</f>
        <v>147-901</v>
      </c>
      <c r="C494" s="91">
        <v>223328</v>
      </c>
    </row>
    <row r="495" spans="1:3" ht="15">
      <c r="A495" t="s">
        <v>5986</v>
      </c>
      <c r="B495" s="722" t="str">
        <f>CONCATENATE(LEFT(RIGHT(CONCATENATE("000",HH_debt1718!A495),6),3),"-",(RIGHT(RIGHT(CONCATENATE("000",HH_debt1718!A495),6),3)))</f>
        <v>147-902</v>
      </c>
      <c r="C495" s="91">
        <v>2420057</v>
      </c>
    </row>
    <row r="496" spans="1:3" ht="15">
      <c r="A496" t="s">
        <v>5987</v>
      </c>
      <c r="B496" s="722" t="str">
        <f>CONCATENATE(LEFT(RIGHT(CONCATENATE("000",HH_debt1718!A496),6),3),"-",(RIGHT(RIGHT(CONCATENATE("000",HH_debt1718!A496),6),3)))</f>
        <v>147-903</v>
      </c>
      <c r="C496" s="91">
        <v>749850</v>
      </c>
    </row>
    <row r="497" spans="1:3" ht="15">
      <c r="A497" t="s">
        <v>5989</v>
      </c>
      <c r="B497" s="722" t="str">
        <f>CONCATENATE(LEFT(RIGHT(CONCATENATE("000",HH_debt1718!A497),6),3),"-",(RIGHT(RIGHT(CONCATENATE("000",HH_debt1718!A497),6),3)))</f>
        <v>148-902</v>
      </c>
      <c r="C497" s="91">
        <v>283450</v>
      </c>
    </row>
    <row r="498" spans="1:3" ht="15">
      <c r="A498" t="s">
        <v>5990</v>
      </c>
      <c r="B498" s="722" t="str">
        <f>CONCATENATE(LEFT(RIGHT(CONCATENATE("000",HH_debt1718!A498),6),3),"-",(RIGHT(RIGHT(CONCATENATE("000",HH_debt1718!A498),6),3)))</f>
        <v>148-903</v>
      </c>
      <c r="C498" s="91">
        <v>484800</v>
      </c>
    </row>
    <row r="499" spans="1:3" ht="15">
      <c r="A499" t="s">
        <v>5991</v>
      </c>
      <c r="B499" s="722" t="str">
        <f>CONCATENATE(LEFT(RIGHT(CONCATENATE("000",HH_debt1718!A499),6),3),"-",(RIGHT(RIGHT(CONCATENATE("000",HH_debt1718!A499),6),3)))</f>
        <v>148-905</v>
      </c>
      <c r="C499" s="91">
        <v>633450</v>
      </c>
    </row>
    <row r="500" spans="1:3" ht="15">
      <c r="A500" t="s">
        <v>5992</v>
      </c>
      <c r="B500" s="722" t="str">
        <f>CONCATENATE(LEFT(RIGHT(CONCATENATE("000",HH_debt1718!A500),6),3),"-",(RIGHT(RIGHT(CONCATENATE("000",HH_debt1718!A500),6),3)))</f>
        <v>149-901</v>
      </c>
      <c r="C500" s="91">
        <v>986662</v>
      </c>
    </row>
    <row r="501" spans="1:3" ht="15">
      <c r="A501" t="s">
        <v>5993</v>
      </c>
      <c r="B501" s="722" t="str">
        <f>CONCATENATE(LEFT(RIGHT(CONCATENATE("000",HH_debt1718!A501),6),3),"-",(RIGHT(RIGHT(CONCATENATE("000",HH_debt1718!A501),6),3)))</f>
        <v>149-902</v>
      </c>
      <c r="C501" s="91">
        <v>1957228</v>
      </c>
    </row>
    <row r="502" spans="1:3" ht="15">
      <c r="A502" t="s">
        <v>5994</v>
      </c>
      <c r="B502" s="722" t="str">
        <f>CONCATENATE(LEFT(RIGHT(CONCATENATE("000",HH_debt1718!A502),6),3),"-",(RIGHT(RIGHT(CONCATENATE("000",HH_debt1718!A502),6),3)))</f>
        <v>150-901</v>
      </c>
      <c r="C502" s="91">
        <v>3856844</v>
      </c>
    </row>
    <row r="503" spans="1:3" ht="15">
      <c r="A503" t="s">
        <v>5163</v>
      </c>
      <c r="B503" s="722" t="str">
        <f>CONCATENATE(LEFT(RIGHT(CONCATENATE("000",HH_debt1718!A503),6),3),"-",(RIGHT(RIGHT(CONCATENATE("000",HH_debt1718!A503),6),3)))</f>
        <v>152-901</v>
      </c>
      <c r="C503" s="91">
        <v>17924098</v>
      </c>
    </row>
    <row r="504" spans="1:3" ht="15">
      <c r="A504" t="s">
        <v>5995</v>
      </c>
      <c r="B504" s="722" t="str">
        <f>CONCATENATE(LEFT(RIGHT(CONCATENATE("000",HH_debt1718!A504),6),3),"-",(RIGHT(RIGHT(CONCATENATE("000",HH_debt1718!A504),6),3)))</f>
        <v>152-903</v>
      </c>
      <c r="C504" s="91">
        <v>1174737</v>
      </c>
    </row>
    <row r="505" spans="1:3" ht="15">
      <c r="A505" t="s">
        <v>3627</v>
      </c>
      <c r="B505" s="722" t="str">
        <f>CONCATENATE(LEFT(RIGHT(CONCATENATE("000",HH_debt1718!A505),6),3),"-",(RIGHT(RIGHT(CONCATENATE("000",HH_debt1718!A505),6),3)))</f>
        <v>152-906</v>
      </c>
      <c r="C505" s="91">
        <v>10330316</v>
      </c>
    </row>
    <row r="506" spans="1:3" ht="15">
      <c r="A506" t="s">
        <v>3628</v>
      </c>
      <c r="B506" s="722" t="str">
        <f>CONCATENATE(LEFT(RIGHT(CONCATENATE("000",HH_debt1718!A506),6),3),"-",(RIGHT(RIGHT(CONCATENATE("000",HH_debt1718!A506),6),3)))</f>
        <v>152-907</v>
      </c>
      <c r="C506" s="91">
        <v>15094537</v>
      </c>
    </row>
    <row r="507" spans="1:3" ht="15">
      <c r="A507" t="s">
        <v>5996</v>
      </c>
      <c r="B507" s="722" t="str">
        <f>CONCATENATE(LEFT(RIGHT(CONCATENATE("000",HH_debt1718!A507),6),3),"-",(RIGHT(RIGHT(CONCATENATE("000",HH_debt1718!A507),6),3)))</f>
        <v>152-908</v>
      </c>
      <c r="C507" s="91">
        <v>742303</v>
      </c>
    </row>
    <row r="508" spans="1:3" ht="15">
      <c r="A508" t="s">
        <v>3629</v>
      </c>
      <c r="B508" s="722" t="str">
        <f>CONCATENATE(LEFT(RIGHT(CONCATENATE("000",HH_debt1718!A508),6),3),"-",(RIGHT(RIGHT(CONCATENATE("000",HH_debt1718!A508),6),3)))</f>
        <v>152-909</v>
      </c>
      <c r="C508" s="91">
        <v>1935106</v>
      </c>
    </row>
    <row r="509" spans="1:3" ht="15">
      <c r="A509" t="s">
        <v>3630</v>
      </c>
      <c r="B509" s="722" t="str">
        <f>CONCATENATE(LEFT(RIGHT(CONCATENATE("000",HH_debt1718!A509),6),3),"-",(RIGHT(RIGHT(CONCATENATE("000",HH_debt1718!A509),6),3)))</f>
        <v>152-910</v>
      </c>
      <c r="C509" s="91">
        <v>875400</v>
      </c>
    </row>
    <row r="510" spans="1:3" ht="15">
      <c r="A510" t="s">
        <v>5997</v>
      </c>
      <c r="B510" s="722" t="str">
        <f>CONCATENATE(LEFT(RIGHT(CONCATENATE("000",HH_debt1718!A510),6),3),"-",(RIGHT(RIGHT(CONCATENATE("000",HH_debt1718!A510),6),3)))</f>
        <v>153-903</v>
      </c>
      <c r="C510" s="91">
        <v>880277</v>
      </c>
    </row>
    <row r="511" spans="1:3" ht="15">
      <c r="A511" t="s">
        <v>5998</v>
      </c>
      <c r="B511" s="722" t="str">
        <f>CONCATENATE(LEFT(RIGHT(CONCATENATE("000",HH_debt1718!A511),6),3),"-",(RIGHT(RIGHT(CONCATENATE("000",HH_debt1718!A511),6),3)))</f>
        <v>153-905</v>
      </c>
      <c r="C511" s="91">
        <v>314024</v>
      </c>
    </row>
    <row r="512" spans="1:3" ht="15">
      <c r="A512" t="s">
        <v>3631</v>
      </c>
      <c r="B512" s="722" t="str">
        <f>CONCATENATE(LEFT(RIGHT(CONCATENATE("000",HH_debt1718!A512),6),3),"-",(RIGHT(RIGHT(CONCATENATE("000",HH_debt1718!A512),6),3)))</f>
        <v>154-901</v>
      </c>
      <c r="C512" s="91">
        <v>1490930</v>
      </c>
    </row>
    <row r="513" spans="1:3" ht="15">
      <c r="A513" t="s">
        <v>3632</v>
      </c>
      <c r="B513" s="722" t="str">
        <f>CONCATENATE(LEFT(RIGHT(CONCATENATE("000",HH_debt1718!A513),6),3),"-",(RIGHT(RIGHT(CONCATENATE("000",HH_debt1718!A513),6),3)))</f>
        <v>154-903</v>
      </c>
      <c r="C513" s="91">
        <v>622045</v>
      </c>
    </row>
    <row r="514" spans="1:3" ht="15">
      <c r="A514" t="s">
        <v>5999</v>
      </c>
      <c r="B514" s="722" t="str">
        <f>CONCATENATE(LEFT(RIGHT(CONCATENATE("000",HH_debt1718!A514),6),3),"-",(RIGHT(RIGHT(CONCATENATE("000",HH_debt1718!A514),6),3)))</f>
        <v>155-901</v>
      </c>
      <c r="C514" s="91">
        <v>521090</v>
      </c>
    </row>
    <row r="515" spans="1:3" ht="15">
      <c r="A515" t="s">
        <v>6000</v>
      </c>
      <c r="B515" s="722" t="str">
        <f>CONCATENATE(LEFT(RIGHT(CONCATENATE("000",HH_debt1718!A515),6),3),"-",(RIGHT(RIGHT(CONCATENATE("000",HH_debt1718!A515),6),3)))</f>
        <v>156-902</v>
      </c>
      <c r="C515" s="91">
        <v>5576353</v>
      </c>
    </row>
    <row r="516" spans="1:3" ht="15">
      <c r="A516" t="s">
        <v>6001</v>
      </c>
      <c r="B516" s="722" t="str">
        <f>CONCATENATE(LEFT(RIGHT(CONCATENATE("000",HH_debt1718!A516),6),3),"-",(RIGHT(RIGHT(CONCATENATE("000",HH_debt1718!A516),6),3)))</f>
        <v>156-905</v>
      </c>
      <c r="C516" s="91">
        <v>813150</v>
      </c>
    </row>
    <row r="517" spans="1:3" ht="15">
      <c r="A517" t="s">
        <v>6003</v>
      </c>
      <c r="B517" s="722" t="str">
        <f>CONCATENATE(LEFT(RIGHT(CONCATENATE("000",HH_debt1718!A517),6),3),"-",(RIGHT(RIGHT(CONCATENATE("000",HH_debt1718!A517),6),3)))</f>
        <v>158-901</v>
      </c>
      <c r="C517" s="91">
        <v>1941200</v>
      </c>
    </row>
    <row r="518" spans="1:3" ht="15">
      <c r="A518" t="s">
        <v>6004</v>
      </c>
      <c r="B518" s="722" t="str">
        <f>CONCATENATE(LEFT(RIGHT(CONCATENATE("000",HH_debt1718!A518),6),3),"-",(RIGHT(RIGHT(CONCATENATE("000",HH_debt1718!A518),6),3)))</f>
        <v>158-902</v>
      </c>
      <c r="C518" s="91">
        <v>2653911</v>
      </c>
    </row>
    <row r="519" spans="1:3" ht="15">
      <c r="A519" t="s">
        <v>6005</v>
      </c>
      <c r="B519" s="722" t="str">
        <f>CONCATENATE(LEFT(RIGHT(CONCATENATE("000",HH_debt1718!A519),6),3),"-",(RIGHT(RIGHT(CONCATENATE("000",HH_debt1718!A519),6),3)))</f>
        <v>158-904</v>
      </c>
      <c r="C519" s="91">
        <v>319012</v>
      </c>
    </row>
    <row r="520" spans="1:3" ht="15">
      <c r="A520" t="s">
        <v>6006</v>
      </c>
      <c r="B520" s="722" t="str">
        <f>CONCATENATE(LEFT(RIGHT(CONCATENATE("000",HH_debt1718!A520),6),3),"-",(RIGHT(RIGHT(CONCATENATE("000",HH_debt1718!A520),6),3)))</f>
        <v>158-905</v>
      </c>
      <c r="C520" s="91">
        <v>344385</v>
      </c>
    </row>
    <row r="521" spans="1:3" ht="15">
      <c r="A521" t="s">
        <v>3633</v>
      </c>
      <c r="B521" s="722" t="str">
        <f>CONCATENATE(LEFT(RIGHT(CONCATENATE("000",HH_debt1718!A521),6),3),"-",(RIGHT(RIGHT(CONCATENATE("000",HH_debt1718!A521),6),3)))</f>
        <v>159-901</v>
      </c>
      <c r="C521" s="91">
        <v>4513705</v>
      </c>
    </row>
    <row r="522" spans="1:3" ht="15">
      <c r="A522" t="s">
        <v>3634</v>
      </c>
      <c r="B522" s="722" t="str">
        <f>CONCATENATE(LEFT(RIGHT(CONCATENATE("000",HH_debt1718!A522),6),3),"-",(RIGHT(RIGHT(CONCATENATE("000",HH_debt1718!A522),6),3)))</f>
        <v>160-901</v>
      </c>
      <c r="C522" s="91">
        <v>1468354</v>
      </c>
    </row>
    <row r="523" spans="1:3" ht="15">
      <c r="A523" t="s">
        <v>3635</v>
      </c>
      <c r="B523" s="722" t="str">
        <f>CONCATENATE(LEFT(RIGHT(CONCATENATE("000",HH_debt1718!A523),6),3),"-",(RIGHT(RIGHT(CONCATENATE("000",HH_debt1718!A523),6),3)))</f>
        <v>160-905</v>
      </c>
      <c r="C523" s="91">
        <v>93230</v>
      </c>
    </row>
    <row r="524" spans="1:3" ht="15">
      <c r="A524" t="s">
        <v>3636</v>
      </c>
      <c r="B524" s="722" t="str">
        <f>CONCATENATE(LEFT(RIGHT(CONCATENATE("000",HH_debt1718!A524),6),3),"-",(RIGHT(RIGHT(CONCATENATE("000",HH_debt1718!A524),6),3)))</f>
        <v>161-901</v>
      </c>
      <c r="C524" s="91">
        <v>389650</v>
      </c>
    </row>
    <row r="525" spans="1:3" ht="15">
      <c r="A525" t="s">
        <v>6007</v>
      </c>
      <c r="B525" s="722" t="str">
        <f>CONCATENATE(LEFT(RIGHT(CONCATENATE("000",HH_debt1718!A525),6),3),"-",(RIGHT(RIGHT(CONCATENATE("000",HH_debt1718!A525),6),3)))</f>
        <v>161-903</v>
      </c>
      <c r="C525" s="91">
        <v>12802500</v>
      </c>
    </row>
    <row r="526" spans="1:3" ht="15">
      <c r="A526" t="s">
        <v>3637</v>
      </c>
      <c r="B526" s="722" t="str">
        <f>CONCATENATE(LEFT(RIGHT(CONCATENATE("000",HH_debt1718!A526),6),3),"-",(RIGHT(RIGHT(CONCATENATE("000",HH_debt1718!A526),6),3)))</f>
        <v>161-906</v>
      </c>
      <c r="C526" s="91">
        <v>2341173</v>
      </c>
    </row>
    <row r="527" spans="1:3" ht="15">
      <c r="A527" t="s">
        <v>3638</v>
      </c>
      <c r="B527" s="722" t="str">
        <f>CONCATENATE(LEFT(RIGHT(CONCATENATE("000",HH_debt1718!A527),6),3),"-",(RIGHT(RIGHT(CONCATENATE("000",HH_debt1718!A527),6),3)))</f>
        <v>161-907</v>
      </c>
      <c r="C527" s="91">
        <v>2155794</v>
      </c>
    </row>
    <row r="528" spans="1:3" ht="15">
      <c r="A528" t="s">
        <v>3639</v>
      </c>
      <c r="B528" s="722" t="str">
        <f>CONCATENATE(LEFT(RIGHT(CONCATENATE("000",HH_debt1718!A528),6),3),"-",(RIGHT(RIGHT(CONCATENATE("000",HH_debt1718!A528),6),3)))</f>
        <v>161-908</v>
      </c>
      <c r="C528" s="91">
        <v>304888</v>
      </c>
    </row>
    <row r="529" spans="1:3" ht="15">
      <c r="A529" t="s">
        <v>3640</v>
      </c>
      <c r="B529" s="722" t="str">
        <f>CONCATENATE(LEFT(RIGHT(CONCATENATE("000",HH_debt1718!A529),6),3),"-",(RIGHT(RIGHT(CONCATENATE("000",HH_debt1718!A529),6),3)))</f>
        <v>161-909</v>
      </c>
      <c r="C529" s="91">
        <v>1515070</v>
      </c>
    </row>
    <row r="530" spans="1:3" ht="15">
      <c r="A530" t="s">
        <v>3641</v>
      </c>
      <c r="B530" s="722" t="str">
        <f>CONCATENATE(LEFT(RIGHT(CONCATENATE("000",HH_debt1718!A530),6),3),"-",(RIGHT(RIGHT(CONCATENATE("000",HH_debt1718!A530),6),3)))</f>
        <v>161-910</v>
      </c>
      <c r="C530" s="91">
        <v>680162</v>
      </c>
    </row>
    <row r="531" spans="1:3" ht="15">
      <c r="A531" t="s">
        <v>3642</v>
      </c>
      <c r="B531" s="722" t="str">
        <f>CONCATENATE(LEFT(RIGHT(CONCATENATE("000",HH_debt1718!A531),6),3),"-",(RIGHT(RIGHT(CONCATENATE("000",HH_debt1718!A531),6),3)))</f>
        <v>161-912</v>
      </c>
      <c r="C531" s="91">
        <v>1674533</v>
      </c>
    </row>
    <row r="532" spans="1:3" ht="15">
      <c r="A532" t="s">
        <v>3643</v>
      </c>
      <c r="B532" s="722" t="str">
        <f>CONCATENATE(LEFT(RIGHT(CONCATENATE("000",HH_debt1718!A532),6),3),"-",(RIGHT(RIGHT(CONCATENATE("000",HH_debt1718!A532),6),3)))</f>
        <v>161-914</v>
      </c>
      <c r="C532" s="91">
        <v>13962706</v>
      </c>
    </row>
    <row r="533" spans="1:3" ht="15">
      <c r="A533" t="s">
        <v>3644</v>
      </c>
      <c r="B533" s="722" t="str">
        <f>CONCATENATE(LEFT(RIGHT(CONCATENATE("000",HH_debt1718!A533),6),3),"-",(RIGHT(RIGHT(CONCATENATE("000",HH_debt1718!A533),6),3)))</f>
        <v>161-916</v>
      </c>
      <c r="C533" s="91">
        <v>1088460</v>
      </c>
    </row>
    <row r="534" spans="1:3" ht="15">
      <c r="A534" t="s">
        <v>3645</v>
      </c>
      <c r="B534" s="722" t="str">
        <f>CONCATENATE(LEFT(RIGHT(CONCATENATE("000",HH_debt1718!A534),6),3),"-",(RIGHT(RIGHT(CONCATENATE("000",HH_debt1718!A534),6),3)))</f>
        <v>161-919</v>
      </c>
      <c r="C534" s="91">
        <v>417450</v>
      </c>
    </row>
    <row r="535" spans="1:3" ht="15">
      <c r="A535" t="s">
        <v>3646</v>
      </c>
      <c r="B535" s="722" t="str">
        <f>CONCATENATE(LEFT(RIGHT(CONCATENATE("000",HH_debt1718!A535),6),3),"-",(RIGHT(RIGHT(CONCATENATE("000",HH_debt1718!A535),6),3)))</f>
        <v>161-920</v>
      </c>
      <c r="C535" s="91">
        <v>3101413</v>
      </c>
    </row>
    <row r="536" spans="1:3" ht="15">
      <c r="A536" t="s">
        <v>3647</v>
      </c>
      <c r="B536" s="722" t="str">
        <f>CONCATENATE(LEFT(RIGHT(CONCATENATE("000",HH_debt1718!A536),6),3),"-",(RIGHT(RIGHT(CONCATENATE("000",HH_debt1718!A536),6),3)))</f>
        <v>161-921</v>
      </c>
      <c r="C536" s="91">
        <v>1558438</v>
      </c>
    </row>
    <row r="537" spans="1:3" ht="15">
      <c r="A537" t="s">
        <v>3648</v>
      </c>
      <c r="B537" s="722" t="str">
        <f>CONCATENATE(LEFT(RIGHT(CONCATENATE("000",HH_debt1718!A537),6),3),"-",(RIGHT(RIGHT(CONCATENATE("000",HH_debt1718!A537),6),3)))</f>
        <v>161-922</v>
      </c>
      <c r="C537" s="91">
        <v>2203951</v>
      </c>
    </row>
    <row r="538" spans="1:3" ht="15">
      <c r="A538" t="s">
        <v>3649</v>
      </c>
      <c r="B538" s="722" t="str">
        <f>CONCATENATE(LEFT(RIGHT(CONCATENATE("000",HH_debt1718!A538),6),3),"-",(RIGHT(RIGHT(CONCATENATE("000",HH_debt1718!A538),6),3)))</f>
        <v>161-923</v>
      </c>
      <c r="C538" s="91">
        <v>521044</v>
      </c>
    </row>
    <row r="539" spans="1:3" ht="15">
      <c r="A539" t="s">
        <v>6008</v>
      </c>
      <c r="B539" s="722" t="str">
        <f>CONCATENATE(LEFT(RIGHT(CONCATENATE("000",HH_debt1718!A539),6),3),"-",(RIGHT(RIGHT(CONCATENATE("000",HH_debt1718!A539),6),3)))</f>
        <v>161-924</v>
      </c>
      <c r="C539" s="91">
        <v>140862</v>
      </c>
    </row>
    <row r="540" spans="1:3" ht="15">
      <c r="A540" t="s">
        <v>6009</v>
      </c>
      <c r="B540" s="722" t="str">
        <f>CONCATENATE(LEFT(RIGHT(CONCATENATE("000",HH_debt1718!A540),6),3),"-",(RIGHT(RIGHT(CONCATENATE("000",HH_debt1718!A540),6),3)))</f>
        <v>162-904</v>
      </c>
      <c r="C540" s="91">
        <v>1643765</v>
      </c>
    </row>
    <row r="541" spans="1:3" ht="15">
      <c r="A541" t="s">
        <v>3650</v>
      </c>
      <c r="B541" s="722" t="str">
        <f>CONCATENATE(LEFT(RIGHT(CONCATENATE("000",HH_debt1718!A541),6),3),"-",(RIGHT(RIGHT(CONCATENATE("000",HH_debt1718!A541),6),3)))</f>
        <v>163-901</v>
      </c>
      <c r="C541" s="91">
        <v>1347020</v>
      </c>
    </row>
    <row r="542" spans="1:3" ht="15">
      <c r="A542" t="s">
        <v>3651</v>
      </c>
      <c r="B542" s="722" t="str">
        <f>CONCATENATE(LEFT(RIGHT(CONCATENATE("000",HH_debt1718!A542),6),3),"-",(RIGHT(RIGHT(CONCATENATE("000",HH_debt1718!A542),6),3)))</f>
        <v>163-902</v>
      </c>
      <c r="C542" s="91">
        <v>320525</v>
      </c>
    </row>
    <row r="543" spans="1:3" ht="15">
      <c r="A543" t="s">
        <v>3652</v>
      </c>
      <c r="B543" s="722" t="str">
        <f>CONCATENATE(LEFT(RIGHT(CONCATENATE("000",HH_debt1718!A543),6),3),"-",(RIGHT(RIGHT(CONCATENATE("000",HH_debt1718!A543),6),3)))</f>
        <v>163-903</v>
      </c>
      <c r="C543" s="91">
        <v>363710</v>
      </c>
    </row>
    <row r="544" spans="1:3" ht="15">
      <c r="A544" t="s">
        <v>3653</v>
      </c>
      <c r="B544" s="722" t="str">
        <f>CONCATENATE(LEFT(RIGHT(CONCATENATE("000",HH_debt1718!A544),6),3),"-",(RIGHT(RIGHT(CONCATENATE("000",HH_debt1718!A544),6),3)))</f>
        <v>163-904</v>
      </c>
      <c r="C544" s="91">
        <v>1140834</v>
      </c>
    </row>
    <row r="545" spans="1:3" ht="15">
      <c r="A545" t="s">
        <v>3654</v>
      </c>
      <c r="B545" s="722" t="str">
        <f>CONCATENATE(LEFT(RIGHT(CONCATENATE("000",HH_debt1718!A545),6),3),"-",(RIGHT(RIGHT(CONCATENATE("000",HH_debt1718!A545),6),3)))</f>
        <v>163-908</v>
      </c>
      <c r="C545" s="91">
        <v>4290100</v>
      </c>
    </row>
    <row r="546" spans="1:3" ht="15">
      <c r="A546" t="s">
        <v>3655</v>
      </c>
      <c r="B546" s="722" t="str">
        <f>CONCATENATE(LEFT(RIGHT(CONCATENATE("000",HH_debt1718!A546),6),3),"-",(RIGHT(RIGHT(CONCATENATE("000",HH_debt1718!A546),6),3)))</f>
        <v>165-901</v>
      </c>
      <c r="C546" s="91">
        <v>17658113</v>
      </c>
    </row>
    <row r="547" spans="1:3" ht="15">
      <c r="A547" t="s">
        <v>6010</v>
      </c>
      <c r="B547" s="722" t="str">
        <f>CONCATENATE(LEFT(RIGHT(CONCATENATE("000",HH_debt1718!A547),6),3),"-",(RIGHT(RIGHT(CONCATENATE("000",HH_debt1718!A547),6),3)))</f>
        <v>165-902</v>
      </c>
      <c r="C547" s="91">
        <v>3840606</v>
      </c>
    </row>
    <row r="548" spans="1:3" ht="15">
      <c r="A548" t="s">
        <v>3656</v>
      </c>
      <c r="B548" s="722" t="str">
        <f>CONCATENATE(LEFT(RIGHT(CONCATENATE("000",HH_debt1718!A548),6),3),"-",(RIGHT(RIGHT(CONCATENATE("000",HH_debt1718!A548),6),3)))</f>
        <v>166-901</v>
      </c>
      <c r="C548" s="91">
        <v>1731100</v>
      </c>
    </row>
    <row r="549" spans="1:3" ht="15">
      <c r="A549" t="s">
        <v>6011</v>
      </c>
      <c r="B549" s="722" t="str">
        <f>CONCATENATE(LEFT(RIGHT(CONCATENATE("000",HH_debt1718!A549),6),3),"-",(RIGHT(RIGHT(CONCATENATE("000",HH_debt1718!A549),6),3)))</f>
        <v>166-903</v>
      </c>
      <c r="C549" s="91">
        <v>427231</v>
      </c>
    </row>
    <row r="550" spans="1:3" ht="15">
      <c r="A550" t="s">
        <v>6012</v>
      </c>
      <c r="B550" s="722" t="str">
        <f>CONCATENATE(LEFT(RIGHT(CONCATENATE("000",HH_debt1718!A550),6),3),"-",(RIGHT(RIGHT(CONCATENATE("000",HH_debt1718!A550),6),3)))</f>
        <v>166-904</v>
      </c>
      <c r="C550" s="91">
        <v>1753262</v>
      </c>
    </row>
    <row r="551" spans="1:3" ht="15">
      <c r="A551" t="s">
        <v>3657</v>
      </c>
      <c r="B551" s="722" t="str">
        <f>CONCATENATE(LEFT(RIGHT(CONCATENATE("000",HH_debt1718!A551),6),3),"-",(RIGHT(RIGHT(CONCATENATE("000",HH_debt1718!A551),6),3)))</f>
        <v>166-907</v>
      </c>
      <c r="C551" s="91">
        <v>85536</v>
      </c>
    </row>
    <row r="552" spans="1:3" ht="15">
      <c r="A552" t="s">
        <v>3658</v>
      </c>
      <c r="B552" s="722" t="str">
        <f>CONCATENATE(LEFT(RIGHT(CONCATENATE("000",HH_debt1718!A552),6),3),"-",(RIGHT(RIGHT(CONCATENATE("000",HH_debt1718!A552),6),3)))</f>
        <v>167-901</v>
      </c>
      <c r="C552" s="91">
        <v>606888</v>
      </c>
    </row>
    <row r="553" spans="1:3" ht="15">
      <c r="A553" t="s">
        <v>6014</v>
      </c>
      <c r="B553" s="722" t="str">
        <f>CONCATENATE(LEFT(RIGHT(CONCATENATE("000",HH_debt1718!A553),6),3),"-",(RIGHT(RIGHT(CONCATENATE("000",HH_debt1718!A553),6),3)))</f>
        <v>168-901</v>
      </c>
      <c r="C553" s="91">
        <v>1710788</v>
      </c>
    </row>
    <row r="554" spans="1:3" ht="15">
      <c r="A554" t="s">
        <v>6015</v>
      </c>
      <c r="B554" s="722" t="str">
        <f>CONCATENATE(LEFT(RIGHT(CONCATENATE("000",HH_debt1718!A554),6),3),"-",(RIGHT(RIGHT(CONCATENATE("000",HH_debt1718!A554),6),3)))</f>
        <v>168-902</v>
      </c>
      <c r="C554" s="91">
        <v>792020</v>
      </c>
    </row>
    <row r="555" spans="1:3" ht="15">
      <c r="A555" t="s">
        <v>3660</v>
      </c>
      <c r="B555" s="722" t="str">
        <f>CONCATENATE(LEFT(RIGHT(CONCATENATE("000",HH_debt1718!A555),6),3),"-",(RIGHT(RIGHT(CONCATENATE("000",HH_debt1718!A555),6),3)))</f>
        <v>169-901</v>
      </c>
      <c r="C555" s="91">
        <v>1695488</v>
      </c>
    </row>
    <row r="556" spans="1:3" ht="15">
      <c r="A556" t="s">
        <v>6016</v>
      </c>
      <c r="B556" s="722" t="str">
        <f>CONCATENATE(LEFT(RIGHT(CONCATENATE("000",HH_debt1718!A556),6),3),"-",(RIGHT(RIGHT(CONCATENATE("000",HH_debt1718!A556),6),3)))</f>
        <v>169-906</v>
      </c>
      <c r="C556" s="91">
        <v>89550</v>
      </c>
    </row>
    <row r="557" spans="1:3" ht="15">
      <c r="A557" t="s">
        <v>3661</v>
      </c>
      <c r="B557" s="722" t="str">
        <f>CONCATENATE(LEFT(RIGHT(CONCATENATE("000",HH_debt1718!A557),6),3),"-",(RIGHT(RIGHT(CONCATENATE("000",HH_debt1718!A557),6),3)))</f>
        <v>170-902</v>
      </c>
      <c r="C557" s="91">
        <v>81042382</v>
      </c>
    </row>
    <row r="558" spans="1:3" ht="15">
      <c r="A558" t="s">
        <v>6019</v>
      </c>
      <c r="B558" s="722" t="str">
        <f>CONCATENATE(LEFT(RIGHT(CONCATENATE("000",HH_debt1718!A558),6),3),"-",(RIGHT(RIGHT(CONCATENATE("000",HH_debt1718!A558),6),3)))</f>
        <v>170-903</v>
      </c>
      <c r="C558" s="91">
        <v>19871338</v>
      </c>
    </row>
    <row r="559" spans="1:3" ht="15">
      <c r="A559" t="s">
        <v>3662</v>
      </c>
      <c r="B559" s="722" t="str">
        <f>CONCATENATE(LEFT(RIGHT(CONCATENATE("000",HH_debt1718!A559),6),3),"-",(RIGHT(RIGHT(CONCATENATE("000",HH_debt1718!A559),6),3)))</f>
        <v>170-904</v>
      </c>
      <c r="C559" s="91">
        <v>7501475</v>
      </c>
    </row>
    <row r="560" spans="1:3" ht="15">
      <c r="A560" t="s">
        <v>3663</v>
      </c>
      <c r="B560" s="722" t="str">
        <f>CONCATENATE(LEFT(RIGHT(CONCATENATE("000",HH_debt1718!A560),6),3),"-",(RIGHT(RIGHT(CONCATENATE("000",HH_debt1718!A560),6),3)))</f>
        <v>170-906</v>
      </c>
      <c r="C560" s="91">
        <v>14393813</v>
      </c>
    </row>
    <row r="561" spans="1:3" ht="15">
      <c r="A561" t="s">
        <v>3664</v>
      </c>
      <c r="B561" s="722" t="str">
        <f>CONCATENATE(LEFT(RIGHT(CONCATENATE("000",HH_debt1718!A561),6),3),"-",(RIGHT(RIGHT(CONCATENATE("000",HH_debt1718!A561),6),3)))</f>
        <v>170-907</v>
      </c>
      <c r="C561" s="91">
        <v>3457949</v>
      </c>
    </row>
    <row r="562" spans="1:3" ht="15">
      <c r="A562" t="s">
        <v>3665</v>
      </c>
      <c r="B562" s="722" t="str">
        <f>CONCATENATE(LEFT(RIGHT(CONCATENATE("000",HH_debt1718!A562),6),3),"-",(RIGHT(RIGHT(CONCATENATE("000",HH_debt1718!A562),6),3)))</f>
        <v>170-908</v>
      </c>
      <c r="C562" s="91">
        <v>22580056</v>
      </c>
    </row>
    <row r="563" spans="1:3" ht="15">
      <c r="A563" t="s">
        <v>6020</v>
      </c>
      <c r="B563" s="722" t="str">
        <f>CONCATENATE(LEFT(RIGHT(CONCATENATE("000",HH_debt1718!A563),6),3),"-",(RIGHT(RIGHT(CONCATENATE("000",HH_debt1718!A563),6),3)))</f>
        <v>171-901</v>
      </c>
      <c r="C563" s="91">
        <v>2026150</v>
      </c>
    </row>
    <row r="564" spans="1:3" ht="15">
      <c r="A564" t="s">
        <v>6021</v>
      </c>
      <c r="B564" s="722" t="str">
        <f>CONCATENATE(LEFT(RIGHT(CONCATENATE("000",HH_debt1718!A564),6),3),"-",(RIGHT(RIGHT(CONCATENATE("000",HH_debt1718!A564),6),3)))</f>
        <v>171-902</v>
      </c>
      <c r="C564" s="91">
        <v>672810</v>
      </c>
    </row>
    <row r="565" spans="1:3" ht="15">
      <c r="A565" t="s">
        <v>6022</v>
      </c>
      <c r="B565" s="722" t="str">
        <f>CONCATENATE(LEFT(RIGHT(CONCATENATE("000",HH_debt1718!A565),6),3),"-",(RIGHT(RIGHT(CONCATENATE("000",HH_debt1718!A565),6),3)))</f>
        <v>172-902</v>
      </c>
      <c r="C565" s="91">
        <v>840536</v>
      </c>
    </row>
    <row r="566" spans="1:3" ht="15">
      <c r="A566" t="s">
        <v>6023</v>
      </c>
      <c r="B566" s="722" t="str">
        <f>CONCATENATE(LEFT(RIGHT(CONCATENATE("000",HH_debt1718!A566),6),3),"-",(RIGHT(RIGHT(CONCATENATE("000",HH_debt1718!A566),6),3)))</f>
        <v>172-905</v>
      </c>
      <c r="C566" s="91">
        <v>175700</v>
      </c>
    </row>
    <row r="567" spans="1:3" ht="15">
      <c r="A567" t="s">
        <v>3666</v>
      </c>
      <c r="B567" s="722" t="str">
        <f>CONCATENATE(LEFT(RIGHT(CONCATENATE("000",HH_debt1718!A567),6),3),"-",(RIGHT(RIGHT(CONCATENATE("000",HH_debt1718!A567),6),3)))</f>
        <v>174-901</v>
      </c>
      <c r="C567" s="91">
        <v>81000</v>
      </c>
    </row>
    <row r="568" spans="1:3" ht="15">
      <c r="A568" t="s">
        <v>6024</v>
      </c>
      <c r="B568" s="722" t="str">
        <f>CONCATENATE(LEFT(RIGHT(CONCATENATE("000",HH_debt1718!A568),6),3),"-",(RIGHT(RIGHT(CONCATENATE("000",HH_debt1718!A568),6),3)))</f>
        <v>174-902</v>
      </c>
      <c r="C568" s="91">
        <v>1113013</v>
      </c>
    </row>
    <row r="569" spans="1:3" ht="15">
      <c r="A569" t="s">
        <v>3667</v>
      </c>
      <c r="B569" s="722" t="str">
        <f>CONCATENATE(LEFT(RIGHT(CONCATENATE("000",HH_debt1718!A569),6),3),"-",(RIGHT(RIGHT(CONCATENATE("000",HH_debt1718!A569),6),3)))</f>
        <v>174-903</v>
      </c>
      <c r="C569" s="91">
        <v>140062</v>
      </c>
    </row>
    <row r="570" spans="1:3" ht="15">
      <c r="A570" t="s">
        <v>6025</v>
      </c>
      <c r="B570" s="722" t="str">
        <f>CONCATENATE(LEFT(RIGHT(CONCATENATE("000",HH_debt1718!A570),6),3),"-",(RIGHT(RIGHT(CONCATENATE("000",HH_debt1718!A570),6),3)))</f>
        <v>174-904</v>
      </c>
      <c r="C570" s="91">
        <v>3244125</v>
      </c>
    </row>
    <row r="571" spans="1:3" ht="15">
      <c r="A571" t="s">
        <v>3668</v>
      </c>
      <c r="B571" s="722" t="str">
        <f>CONCATENATE(LEFT(RIGHT(CONCATENATE("000",HH_debt1718!A571),6),3),"-",(RIGHT(RIGHT(CONCATENATE("000",HH_debt1718!A571),6),3)))</f>
        <v>174-906</v>
      </c>
      <c r="C571" s="91">
        <v>174350</v>
      </c>
    </row>
    <row r="572" spans="1:3" ht="15">
      <c r="A572" t="s">
        <v>3669</v>
      </c>
      <c r="B572" s="722" t="str">
        <f>CONCATENATE(LEFT(RIGHT(CONCATENATE("000",HH_debt1718!A572),6),3),"-",(RIGHT(RIGHT(CONCATENATE("000",HH_debt1718!A572),6),3)))</f>
        <v>174-908</v>
      </c>
      <c r="C572" s="91">
        <v>875028</v>
      </c>
    </row>
    <row r="573" spans="1:3" ht="15">
      <c r="A573" t="s">
        <v>5307</v>
      </c>
      <c r="B573" s="722" t="str">
        <f>CONCATENATE(LEFT(RIGHT(CONCATENATE("000",HH_debt1718!A573),6),3),"-",(RIGHT(RIGHT(CONCATENATE("000",HH_debt1718!A573),6),3)))</f>
        <v>174-909</v>
      </c>
      <c r="C573" s="91">
        <v>316724</v>
      </c>
    </row>
    <row r="574" spans="1:3" ht="15">
      <c r="A574" t="s">
        <v>6026</v>
      </c>
      <c r="B574" s="722" t="str">
        <f>CONCATENATE(LEFT(RIGHT(CONCATENATE("000",HH_debt1718!A574),6),3),"-",(RIGHT(RIGHT(CONCATENATE("000",HH_debt1718!A574),6),3)))</f>
        <v>174-910</v>
      </c>
      <c r="C574" s="91">
        <v>159475</v>
      </c>
    </row>
    <row r="575" spans="1:3" ht="15">
      <c r="A575" t="s">
        <v>6027</v>
      </c>
      <c r="B575" s="722" t="str">
        <f>CONCATENATE(LEFT(RIGHT(CONCATENATE("000",HH_debt1718!A575),6),3),"-",(RIGHT(RIGHT(CONCATENATE("000",HH_debt1718!A575),6),3)))</f>
        <v>175-902</v>
      </c>
      <c r="C575" s="91">
        <v>181950</v>
      </c>
    </row>
    <row r="576" spans="1:3" ht="15">
      <c r="A576" t="s">
        <v>3670</v>
      </c>
      <c r="B576" s="722" t="str">
        <f>CONCATENATE(LEFT(RIGHT(CONCATENATE("000",HH_debt1718!A576),6),3),"-",(RIGHT(RIGHT(CONCATENATE("000",HH_debt1718!A576),6),3)))</f>
        <v>175-903</v>
      </c>
      <c r="C576" s="91">
        <v>6211513</v>
      </c>
    </row>
    <row r="577" spans="1:3" ht="15">
      <c r="A577" t="s">
        <v>3671</v>
      </c>
      <c r="B577" s="722" t="str">
        <f>CONCATENATE(LEFT(RIGHT(CONCATENATE("000",HH_debt1718!A577),6),3),"-",(RIGHT(RIGHT(CONCATENATE("000",HH_debt1718!A577),6),3)))</f>
        <v>175-904</v>
      </c>
      <c r="C577" s="91">
        <v>310200</v>
      </c>
    </row>
    <row r="578" spans="1:3" ht="15">
      <c r="A578" t="s">
        <v>6028</v>
      </c>
      <c r="B578" s="722" t="str">
        <f>CONCATENATE(LEFT(RIGHT(CONCATENATE("000",HH_debt1718!A578),6),3),"-",(RIGHT(RIGHT(CONCATENATE("000",HH_debt1718!A578),6),3)))</f>
        <v>175-905</v>
      </c>
      <c r="C578" s="91">
        <v>100766</v>
      </c>
    </row>
    <row r="579" spans="1:3" ht="15">
      <c r="A579" t="s">
        <v>3672</v>
      </c>
      <c r="B579" s="722" t="str">
        <f>CONCATENATE(LEFT(RIGHT(CONCATENATE("000",HH_debt1718!A579),6),3),"-",(RIGHT(RIGHT(CONCATENATE("000",HH_debt1718!A579),6),3)))</f>
        <v>175-907</v>
      </c>
      <c r="C579" s="91">
        <v>155675</v>
      </c>
    </row>
    <row r="580" spans="1:3" ht="15">
      <c r="A580" t="s">
        <v>6029</v>
      </c>
      <c r="B580" s="722" t="str">
        <f>CONCATENATE(LEFT(RIGHT(CONCATENATE("000",HH_debt1718!A580),6),3),"-",(RIGHT(RIGHT(CONCATENATE("000",HH_debt1718!A580),6),3)))</f>
        <v>175-910</v>
      </c>
      <c r="C580" s="91">
        <v>888287</v>
      </c>
    </row>
    <row r="581" spans="1:3" ht="15">
      <c r="A581" t="s">
        <v>3673</v>
      </c>
      <c r="B581" s="722" t="str">
        <f>CONCATENATE(LEFT(RIGHT(CONCATENATE("000",HH_debt1718!A581),6),3),"-",(RIGHT(RIGHT(CONCATENATE("000",HH_debt1718!A581),6),3)))</f>
        <v>175-911</v>
      </c>
      <c r="C581" s="91">
        <v>805252</v>
      </c>
    </row>
    <row r="582" spans="1:3" ht="15">
      <c r="A582" t="s">
        <v>6030</v>
      </c>
      <c r="B582" s="722" t="str">
        <f>CONCATENATE(LEFT(RIGHT(CONCATENATE("000",HH_debt1718!A582),6),3),"-",(RIGHT(RIGHT(CONCATENATE("000",HH_debt1718!A582),6),3)))</f>
        <v>176-901</v>
      </c>
      <c r="C582" s="91">
        <v>220800</v>
      </c>
    </row>
    <row r="583" spans="1:3" ht="15">
      <c r="A583" t="s">
        <v>3674</v>
      </c>
      <c r="B583" s="722" t="str">
        <f>CONCATENATE(LEFT(RIGHT(CONCATENATE("000",HH_debt1718!A583),6),3),"-",(RIGHT(RIGHT(CONCATENATE("000",HH_debt1718!A583),6),3)))</f>
        <v>176-902</v>
      </c>
      <c r="C583" s="91">
        <v>741500</v>
      </c>
    </row>
    <row r="584" spans="1:3" ht="15">
      <c r="A584" t="s">
        <v>3675</v>
      </c>
      <c r="B584" s="722" t="str">
        <f>CONCATENATE(LEFT(RIGHT(CONCATENATE("000",HH_debt1718!A584),6),3),"-",(RIGHT(RIGHT(CONCATENATE("000",HH_debt1718!A584),6),3)))</f>
        <v>176-903</v>
      </c>
      <c r="C584" s="91">
        <v>849550</v>
      </c>
    </row>
    <row r="585" spans="1:3" ht="15">
      <c r="A585" t="s">
        <v>3676</v>
      </c>
      <c r="B585" s="722" t="str">
        <f>CONCATENATE(LEFT(RIGHT(CONCATENATE("000",HH_debt1718!A585),6),3),"-",(RIGHT(RIGHT(CONCATENATE("000",HH_debt1718!A585),6),3)))</f>
        <v>177-901</v>
      </c>
      <c r="C585" s="91">
        <v>1178470</v>
      </c>
    </row>
    <row r="586" spans="1:3" ht="15">
      <c r="A586" t="s">
        <v>6031</v>
      </c>
      <c r="B586" s="722" t="str">
        <f>CONCATENATE(LEFT(RIGHT(CONCATENATE("000",HH_debt1718!A586),6),3),"-",(RIGHT(RIGHT(CONCATENATE("000",HH_debt1718!A586),6),3)))</f>
        <v>177-902</v>
      </c>
      <c r="C586" s="91">
        <v>823250</v>
      </c>
    </row>
    <row r="587" spans="1:3" ht="15">
      <c r="A587" t="s">
        <v>6032</v>
      </c>
      <c r="B587" s="722" t="str">
        <f>CONCATENATE(LEFT(RIGHT(CONCATENATE("000",HH_debt1718!A587),6),3),"-",(RIGHT(RIGHT(CONCATENATE("000",HH_debt1718!A587),6),3)))</f>
        <v>177-903</v>
      </c>
      <c r="C587" s="91">
        <v>833375</v>
      </c>
    </row>
    <row r="588" spans="1:3" ht="15">
      <c r="A588" t="s">
        <v>6033</v>
      </c>
      <c r="B588" s="722" t="str">
        <f>CONCATENATE(LEFT(RIGHT(CONCATENATE("000",HH_debt1718!A588),6),3),"-",(RIGHT(RIGHT(CONCATENATE("000",HH_debt1718!A588),6),3)))</f>
        <v>177-905</v>
      </c>
      <c r="C588" s="91">
        <v>509938</v>
      </c>
    </row>
    <row r="589" spans="1:3" ht="15">
      <c r="A589" t="s">
        <v>6034</v>
      </c>
      <c r="B589" s="722" t="str">
        <f>CONCATENATE(LEFT(RIGHT(CONCATENATE("000",HH_debt1718!A589),6),3),"-",(RIGHT(RIGHT(CONCATENATE("000",HH_debt1718!A589),6),3)))</f>
        <v>178-901</v>
      </c>
      <c r="C589" s="91">
        <v>272460</v>
      </c>
    </row>
    <row r="590" spans="1:3" ht="15">
      <c r="A590" t="s">
        <v>6035</v>
      </c>
      <c r="B590" s="722" t="str">
        <f>CONCATENATE(LEFT(RIGHT(CONCATENATE("000",HH_debt1718!A590),6),3),"-",(RIGHT(RIGHT(CONCATENATE("000",HH_debt1718!A590),6),3)))</f>
        <v>178-902</v>
      </c>
      <c r="C590" s="91">
        <v>1654950</v>
      </c>
    </row>
    <row r="591" spans="1:3" ht="15">
      <c r="A591" t="s">
        <v>6036</v>
      </c>
      <c r="B591" s="722" t="str">
        <f>CONCATENATE(LEFT(RIGHT(CONCATENATE("000",HH_debt1718!A591),6),3),"-",(RIGHT(RIGHT(CONCATENATE("000",HH_debt1718!A591),6),3)))</f>
        <v>178-903</v>
      </c>
      <c r="C591" s="91">
        <v>2693808</v>
      </c>
    </row>
    <row r="592" spans="1:3" ht="15">
      <c r="A592" t="s">
        <v>3677</v>
      </c>
      <c r="B592" s="722" t="str">
        <f>CONCATENATE(LEFT(RIGHT(CONCATENATE("000",HH_debt1718!A592),6),3),"-",(RIGHT(RIGHT(CONCATENATE("000",HH_debt1718!A592),6),3)))</f>
        <v>178-904</v>
      </c>
      <c r="C592" s="91">
        <v>26507918</v>
      </c>
    </row>
    <row r="593" spans="1:3" ht="15">
      <c r="A593" t="s">
        <v>6037</v>
      </c>
      <c r="B593" s="722" t="str">
        <f>CONCATENATE(LEFT(RIGHT(CONCATENATE("000",HH_debt1718!A593),6),3),"-",(RIGHT(RIGHT(CONCATENATE("000",HH_debt1718!A593),6),3)))</f>
        <v>178-905</v>
      </c>
      <c r="C593" s="91">
        <v>558770</v>
      </c>
    </row>
    <row r="594" spans="1:3" ht="15">
      <c r="A594" t="s">
        <v>6038</v>
      </c>
      <c r="B594" s="722" t="str">
        <f>CONCATENATE(LEFT(RIGHT(CONCATENATE("000",HH_debt1718!A594),6),3),"-",(RIGHT(RIGHT(CONCATENATE("000",HH_debt1718!A594),6),3)))</f>
        <v>178-906</v>
      </c>
      <c r="C594" s="91">
        <v>1183750</v>
      </c>
    </row>
    <row r="595" spans="1:3" ht="15">
      <c r="A595" t="s">
        <v>6039</v>
      </c>
      <c r="B595" s="722" t="str">
        <f>CONCATENATE(LEFT(RIGHT(CONCATENATE("000",HH_debt1718!A595),6),3),"-",(RIGHT(RIGHT(CONCATENATE("000",HH_debt1718!A595),6),3)))</f>
        <v>178-908</v>
      </c>
      <c r="C595" s="91">
        <v>941700</v>
      </c>
    </row>
    <row r="596" spans="1:3" ht="15">
      <c r="A596" t="s">
        <v>3678</v>
      </c>
      <c r="B596" s="722" t="str">
        <f>CONCATENATE(LEFT(RIGHT(CONCATENATE("000",HH_debt1718!A596),6),3),"-",(RIGHT(RIGHT(CONCATENATE("000",HH_debt1718!A596),6),3)))</f>
        <v>178-909</v>
      </c>
      <c r="C596" s="91">
        <v>4479214</v>
      </c>
    </row>
    <row r="597" spans="1:3" ht="15">
      <c r="A597" t="s">
        <v>6040</v>
      </c>
      <c r="B597" s="722" t="str">
        <f>CONCATENATE(LEFT(RIGHT(CONCATENATE("000",HH_debt1718!A597),6),3),"-",(RIGHT(RIGHT(CONCATENATE("000",HH_debt1718!A597),6),3)))</f>
        <v>178-912</v>
      </c>
      <c r="C597" s="91">
        <v>6419506</v>
      </c>
    </row>
    <row r="598" spans="1:3" ht="15">
      <c r="A598" t="s">
        <v>3679</v>
      </c>
      <c r="B598" s="722" t="str">
        <f>CONCATENATE(LEFT(RIGHT(CONCATENATE("000",HH_debt1718!A598),6),3),"-",(RIGHT(RIGHT(CONCATENATE("000",HH_debt1718!A598),6),3)))</f>
        <v>178-913</v>
      </c>
      <c r="C598" s="91">
        <v>1151063</v>
      </c>
    </row>
    <row r="599" spans="1:3" ht="15">
      <c r="A599" t="s">
        <v>6041</v>
      </c>
      <c r="B599" s="722" t="str">
        <f>CONCATENATE(LEFT(RIGHT(CONCATENATE("000",HH_debt1718!A599),6),3),"-",(RIGHT(RIGHT(CONCATENATE("000",HH_debt1718!A599),6),3)))</f>
        <v>178-914</v>
      </c>
      <c r="C599" s="91">
        <v>3143494</v>
      </c>
    </row>
    <row r="600" spans="1:3" ht="15">
      <c r="A600" t="s">
        <v>3680</v>
      </c>
      <c r="B600" s="722" t="str">
        <f>CONCATENATE(LEFT(RIGHT(CONCATENATE("000",HH_debt1718!A600),6),3),"-",(RIGHT(RIGHT(CONCATENATE("000",HH_debt1718!A600),6),3)))</f>
        <v>178-915</v>
      </c>
      <c r="C600" s="91">
        <v>2309805</v>
      </c>
    </row>
    <row r="601" spans="1:3" ht="15">
      <c r="A601" t="s">
        <v>3681</v>
      </c>
      <c r="B601" s="722" t="str">
        <f>CONCATENATE(LEFT(RIGHT(CONCATENATE("000",HH_debt1718!A601),6),3),"-",(RIGHT(RIGHT(CONCATENATE("000",HH_debt1718!A601),6),3)))</f>
        <v>179-901</v>
      </c>
      <c r="C601" s="91">
        <v>1132593</v>
      </c>
    </row>
    <row r="602" spans="1:3" ht="15">
      <c r="A602" t="s">
        <v>6042</v>
      </c>
      <c r="B602" s="722" t="str">
        <f>CONCATENATE(LEFT(RIGHT(CONCATENATE("000",HH_debt1718!A602),6),3),"-",(RIGHT(RIGHT(CONCATENATE("000",HH_debt1718!A602),6),3)))</f>
        <v>180-902</v>
      </c>
      <c r="C602" s="91">
        <v>1615561</v>
      </c>
    </row>
    <row r="603" spans="1:3" ht="15">
      <c r="A603" t="s">
        <v>6043</v>
      </c>
      <c r="B603" s="722" t="str">
        <f>CONCATENATE(LEFT(RIGHT(CONCATENATE("000",HH_debt1718!A603),6),3),"-",(RIGHT(RIGHT(CONCATENATE("000",HH_debt1718!A603),6),3)))</f>
        <v>180-904</v>
      </c>
      <c r="C603" s="91">
        <v>783269</v>
      </c>
    </row>
    <row r="604" spans="1:3" ht="15">
      <c r="A604" t="s">
        <v>3682</v>
      </c>
      <c r="B604" s="722" t="str">
        <f>CONCATENATE(LEFT(RIGHT(CONCATENATE("000",HH_debt1718!A604),6),3),"-",(RIGHT(RIGHT(CONCATENATE("000",HH_debt1718!A604),6),3)))</f>
        <v>181-901</v>
      </c>
      <c r="C604" s="91">
        <v>1377831</v>
      </c>
    </row>
    <row r="605" spans="1:3" ht="15">
      <c r="A605" t="s">
        <v>6044</v>
      </c>
      <c r="B605" s="722" t="str">
        <f>CONCATENATE(LEFT(RIGHT(CONCATENATE("000",HH_debt1718!A605),6),3),"-",(RIGHT(RIGHT(CONCATENATE("000",HH_debt1718!A605),6),3)))</f>
        <v>181-905</v>
      </c>
      <c r="C605" s="91">
        <v>670900</v>
      </c>
    </row>
    <row r="606" spans="1:3" ht="15">
      <c r="A606" t="s">
        <v>6045</v>
      </c>
      <c r="B606" s="722" t="str">
        <f>CONCATENATE(LEFT(RIGHT(CONCATENATE("000",HH_debt1718!A606),6),3),"-",(RIGHT(RIGHT(CONCATENATE("000",HH_debt1718!A606),6),3)))</f>
        <v>181-906</v>
      </c>
      <c r="C606" s="91">
        <v>4050071</v>
      </c>
    </row>
    <row r="607" spans="1:3" ht="15">
      <c r="A607" t="s">
        <v>3683</v>
      </c>
      <c r="B607" s="722" t="str">
        <f>CONCATENATE(LEFT(RIGHT(CONCATENATE("000",HH_debt1718!A607),6),3),"-",(RIGHT(RIGHT(CONCATENATE("000",HH_debt1718!A607),6),3)))</f>
        <v>181-907</v>
      </c>
      <c r="C607" s="91">
        <v>1309375</v>
      </c>
    </row>
    <row r="608" spans="1:3" ht="15">
      <c r="A608" t="s">
        <v>6046</v>
      </c>
      <c r="B608" s="722" t="str">
        <f>CONCATENATE(LEFT(RIGHT(CONCATENATE("000",HH_debt1718!A608),6),3),"-",(RIGHT(RIGHT(CONCATENATE("000",HH_debt1718!A608),6),3)))</f>
        <v>181-908</v>
      </c>
      <c r="C608" s="91">
        <v>4144516</v>
      </c>
    </row>
    <row r="609" spans="1:3" ht="15">
      <c r="A609" t="s">
        <v>6047</v>
      </c>
      <c r="B609" s="722" t="str">
        <f>CONCATENATE(LEFT(RIGHT(CONCATENATE("000",HH_debt1718!A609),6),3),"-",(RIGHT(RIGHT(CONCATENATE("000",HH_debt1718!A609),6),3)))</f>
        <v>182-901</v>
      </c>
      <c r="C609" s="91">
        <v>72893</v>
      </c>
    </row>
    <row r="610" spans="1:3" ht="15">
      <c r="A610" t="s">
        <v>6048</v>
      </c>
      <c r="B610" s="722" t="str">
        <f>CONCATENATE(LEFT(RIGHT(CONCATENATE("000",HH_debt1718!A610),6),3),"-",(RIGHT(RIGHT(CONCATENATE("000",HH_debt1718!A610),6),3)))</f>
        <v>182-902</v>
      </c>
      <c r="C610" s="91">
        <v>742398</v>
      </c>
    </row>
    <row r="611" spans="1:3" ht="15">
      <c r="A611" t="s">
        <v>3684</v>
      </c>
      <c r="B611" s="722" t="str">
        <f>CONCATENATE(LEFT(RIGHT(CONCATENATE("000",HH_debt1718!A611),6),3),"-",(RIGHT(RIGHT(CONCATENATE("000",HH_debt1718!A611),6),3)))</f>
        <v>182-903</v>
      </c>
      <c r="C611" s="91">
        <v>3856300</v>
      </c>
    </row>
    <row r="612" spans="1:3" ht="15">
      <c r="A612" t="s">
        <v>6049</v>
      </c>
      <c r="B612" s="722" t="str">
        <f>CONCATENATE(LEFT(RIGHT(CONCATENATE("000",HH_debt1718!A612),6),3),"-",(RIGHT(RIGHT(CONCATENATE("000",HH_debt1718!A612),6),3)))</f>
        <v>182-904</v>
      </c>
      <c r="C612" s="91">
        <v>342705</v>
      </c>
    </row>
    <row r="613" spans="1:3" ht="15">
      <c r="A613" t="s">
        <v>6050</v>
      </c>
      <c r="B613" s="722" t="str">
        <f>CONCATENATE(LEFT(RIGHT(CONCATENATE("000",HH_debt1718!A613),6),3),"-",(RIGHT(RIGHT(CONCATENATE("000",HH_debt1718!A613),6),3)))</f>
        <v>182-906</v>
      </c>
      <c r="C613" s="91">
        <v>241100</v>
      </c>
    </row>
    <row r="614" spans="1:3" ht="15">
      <c r="A614" t="s">
        <v>6051</v>
      </c>
      <c r="B614" s="722" t="str">
        <f>CONCATENATE(LEFT(RIGHT(CONCATENATE("000",HH_debt1718!A614),6),3),"-",(RIGHT(RIGHT(CONCATENATE("000",HH_debt1718!A614),6),3)))</f>
        <v>183-901</v>
      </c>
      <c r="C614" s="91">
        <v>1126650</v>
      </c>
    </row>
    <row r="615" spans="1:3" ht="15">
      <c r="A615" t="s">
        <v>6052</v>
      </c>
      <c r="B615" s="722" t="str">
        <f>CONCATENATE(LEFT(RIGHT(CONCATENATE("000",HH_debt1718!A615),6),3),"-",(RIGHT(RIGHT(CONCATENATE("000",HH_debt1718!A615),6),3)))</f>
        <v>183-902</v>
      </c>
      <c r="C615" s="91">
        <v>3567512</v>
      </c>
    </row>
    <row r="616" spans="1:3" ht="15">
      <c r="A616" t="s">
        <v>3685</v>
      </c>
      <c r="B616" s="722" t="str">
        <f>CONCATENATE(LEFT(RIGHT(CONCATENATE("000",HH_debt1718!A616),6),3),"-",(RIGHT(RIGHT(CONCATENATE("000",HH_debt1718!A616),6),3)))</f>
        <v>183-904</v>
      </c>
      <c r="C616" s="91">
        <v>676019</v>
      </c>
    </row>
    <row r="617" spans="1:3" ht="15">
      <c r="A617" t="s">
        <v>3686</v>
      </c>
      <c r="B617" s="722" t="str">
        <f>CONCATENATE(LEFT(RIGHT(CONCATENATE("000",HH_debt1718!A617),6),3),"-",(RIGHT(RIGHT(CONCATENATE("000",HH_debt1718!A617),6),3)))</f>
        <v>184-901</v>
      </c>
      <c r="C617" s="91">
        <v>347994</v>
      </c>
    </row>
    <row r="618" spans="1:3" ht="15">
      <c r="A618" t="s">
        <v>3687</v>
      </c>
      <c r="B618" s="722" t="str">
        <f>CONCATENATE(LEFT(RIGHT(CONCATENATE("000",HH_debt1718!A618),6),3),"-",(RIGHT(RIGHT(CONCATENATE("000",HH_debt1718!A618),6),3)))</f>
        <v>184-902</v>
      </c>
      <c r="C618" s="91">
        <v>3875937</v>
      </c>
    </row>
    <row r="619" spans="1:3" ht="15">
      <c r="A619" t="s">
        <v>3688</v>
      </c>
      <c r="B619" s="722" t="str">
        <f>CONCATENATE(LEFT(RIGHT(CONCATENATE("000",HH_debt1718!A619),6),3),"-",(RIGHT(RIGHT(CONCATENATE("000",HH_debt1718!A619),6),3)))</f>
        <v>184-903</v>
      </c>
      <c r="C619" s="91">
        <v>12447807</v>
      </c>
    </row>
    <row r="620" spans="1:3" ht="15">
      <c r="A620" t="s">
        <v>3689</v>
      </c>
      <c r="B620" s="722" t="str">
        <f>CONCATENATE(LEFT(RIGHT(CONCATENATE("000",HH_debt1718!A620),6),3),"-",(RIGHT(RIGHT(CONCATENATE("000",HH_debt1718!A620),6),3)))</f>
        <v>184-904</v>
      </c>
      <c r="C620" s="91">
        <v>1398550</v>
      </c>
    </row>
    <row r="621" spans="1:3" ht="15">
      <c r="A621" t="s">
        <v>6053</v>
      </c>
      <c r="B621" s="722" t="str">
        <f>CONCATENATE(LEFT(RIGHT(CONCATENATE("000",HH_debt1718!A621),6),3),"-",(RIGHT(RIGHT(CONCATENATE("000",HH_debt1718!A621),6),3)))</f>
        <v>184-907</v>
      </c>
      <c r="C621" s="91">
        <v>12344661</v>
      </c>
    </row>
    <row r="622" spans="1:3" ht="15">
      <c r="A622" t="s">
        <v>3690</v>
      </c>
      <c r="B622" s="722" t="str">
        <f>CONCATENATE(LEFT(RIGHT(CONCATENATE("000",HH_debt1718!A622),6),3),"-",(RIGHT(RIGHT(CONCATENATE("000",HH_debt1718!A622),6),3)))</f>
        <v>184-908</v>
      </c>
      <c r="C622" s="91">
        <v>1535925</v>
      </c>
    </row>
    <row r="623" spans="1:3" ht="15">
      <c r="A623" t="s">
        <v>3691</v>
      </c>
      <c r="B623" s="722" t="str">
        <f>CONCATENATE(LEFT(RIGHT(CONCATENATE("000",HH_debt1718!A623),6),3),"-",(RIGHT(RIGHT(CONCATENATE("000",HH_debt1718!A623),6),3)))</f>
        <v>184-909</v>
      </c>
      <c r="C623" s="91">
        <v>1954188</v>
      </c>
    </row>
    <row r="624" spans="1:3" ht="15">
      <c r="A624" t="s">
        <v>6054</v>
      </c>
      <c r="B624" s="722" t="str">
        <f>CONCATENATE(LEFT(RIGHT(CONCATENATE("000",HH_debt1718!A624),6),3),"-",(RIGHT(RIGHT(CONCATENATE("000",HH_debt1718!A624),6),3)))</f>
        <v>184-911</v>
      </c>
      <c r="C624" s="91">
        <v>164150</v>
      </c>
    </row>
    <row r="625" spans="1:3" ht="15">
      <c r="A625" t="s">
        <v>6055</v>
      </c>
      <c r="B625" s="722" t="str">
        <f>CONCATENATE(LEFT(RIGHT(CONCATENATE("000",HH_debt1718!A625),6),3),"-",(RIGHT(RIGHT(CONCATENATE("000",HH_debt1718!A625),6),3)))</f>
        <v>185-903</v>
      </c>
      <c r="C625" s="91">
        <v>305112</v>
      </c>
    </row>
    <row r="626" spans="1:3" ht="15">
      <c r="A626" t="s">
        <v>6056</v>
      </c>
      <c r="B626" s="722" t="str">
        <f>CONCATENATE(LEFT(RIGHT(CONCATENATE("000",HH_debt1718!A626),6),3),"-",(RIGHT(RIGHT(CONCATENATE("000",HH_debt1718!A626),6),3)))</f>
        <v>186-901</v>
      </c>
      <c r="C626" s="91">
        <v>71600</v>
      </c>
    </row>
    <row r="627" spans="1:3" ht="15">
      <c r="A627" t="s">
        <v>6057</v>
      </c>
      <c r="B627" s="722" t="str">
        <f>CONCATENATE(LEFT(RIGHT(CONCATENATE("000",HH_debt1718!A627),6),3),"-",(RIGHT(RIGHT(CONCATENATE("000",HH_debt1718!A627),6),3)))</f>
        <v>186-902</v>
      </c>
      <c r="C627" s="91">
        <v>2855467</v>
      </c>
    </row>
    <row r="628" spans="1:3" ht="15">
      <c r="A628" t="s">
        <v>6058</v>
      </c>
      <c r="B628" s="722" t="str">
        <f>CONCATENATE(LEFT(RIGHT(CONCATENATE("000",HH_debt1718!A628),6),3),"-",(RIGHT(RIGHT(CONCATENATE("000",HH_debt1718!A628),6),3)))</f>
        <v>186-903</v>
      </c>
      <c r="C628" s="91">
        <v>881350</v>
      </c>
    </row>
    <row r="629" spans="1:3" ht="15">
      <c r="A629" t="s">
        <v>6059</v>
      </c>
      <c r="B629" s="722" t="str">
        <f>CONCATENATE(LEFT(RIGHT(CONCATENATE("000",HH_debt1718!A629),6),3),"-",(RIGHT(RIGHT(CONCATENATE("000",HH_debt1718!A629),6),3)))</f>
        <v>187-901</v>
      </c>
      <c r="C629" s="91">
        <v>298262</v>
      </c>
    </row>
    <row r="630" spans="1:3" ht="15">
      <c r="A630" t="s">
        <v>6060</v>
      </c>
      <c r="B630" s="722" t="str">
        <f>CONCATENATE(LEFT(RIGHT(CONCATENATE("000",HH_debt1718!A630),6),3),"-",(RIGHT(RIGHT(CONCATENATE("000",HH_debt1718!A630),6),3)))</f>
        <v>187-904</v>
      </c>
      <c r="C630" s="91">
        <v>585162</v>
      </c>
    </row>
    <row r="631" spans="1:3" ht="15">
      <c r="A631" t="s">
        <v>6061</v>
      </c>
      <c r="B631" s="722" t="str">
        <f>CONCATENATE(LEFT(RIGHT(CONCATENATE("000",HH_debt1718!A631),6),3),"-",(RIGHT(RIGHT(CONCATENATE("000",HH_debt1718!A631),6),3)))</f>
        <v>187-906</v>
      </c>
      <c r="C631" s="91">
        <v>130456</v>
      </c>
    </row>
    <row r="632" spans="1:3" ht="15">
      <c r="A632" t="s">
        <v>3692</v>
      </c>
      <c r="B632" s="722" t="str">
        <f>CONCATENATE(LEFT(RIGHT(CONCATENATE("000",HH_debt1718!A632),6),3),"-",(RIGHT(RIGHT(CONCATENATE("000",HH_debt1718!A632),6),3)))</f>
        <v>187-907</v>
      </c>
      <c r="C632" s="91">
        <v>3543423</v>
      </c>
    </row>
    <row r="633" spans="1:3" ht="15">
      <c r="A633" t="s">
        <v>6062</v>
      </c>
      <c r="B633" s="722" t="str">
        <f>CONCATENATE(LEFT(RIGHT(CONCATENATE("000",HH_debt1718!A633),6),3),"-",(RIGHT(RIGHT(CONCATENATE("000",HH_debt1718!A633),6),3)))</f>
        <v>187-910</v>
      </c>
      <c r="C633" s="91">
        <v>1020795</v>
      </c>
    </row>
    <row r="634" spans="1:3" ht="15">
      <c r="A634" t="s">
        <v>3693</v>
      </c>
      <c r="B634" s="722" t="str">
        <f>CONCATENATE(LEFT(RIGHT(CONCATENATE("000",HH_debt1718!A634),6),3),"-",(RIGHT(RIGHT(CONCATENATE("000",HH_debt1718!A634),6),3)))</f>
        <v>188-901</v>
      </c>
      <c r="C634" s="91">
        <v>11269581</v>
      </c>
    </row>
    <row r="635" spans="1:3" ht="15">
      <c r="A635" t="s">
        <v>3694</v>
      </c>
      <c r="B635" s="722" t="str">
        <f>CONCATENATE(LEFT(RIGHT(CONCATENATE("000",HH_debt1718!A635),6),3),"-",(RIGHT(RIGHT(CONCATENATE("000",HH_debt1718!A635),6),3)))</f>
        <v>188-902</v>
      </c>
      <c r="C635" s="91">
        <v>1233600</v>
      </c>
    </row>
    <row r="636" spans="1:3" ht="15">
      <c r="A636" t="s">
        <v>6063</v>
      </c>
      <c r="B636" s="722" t="str">
        <f>CONCATENATE(LEFT(RIGHT(CONCATENATE("000",HH_debt1718!A636),6),3),"-",(RIGHT(RIGHT(CONCATENATE("000",HH_debt1718!A636),6),3)))</f>
        <v>188-903</v>
      </c>
      <c r="C636" s="91">
        <v>1183140</v>
      </c>
    </row>
    <row r="637" spans="1:3" ht="15">
      <c r="A637" t="s">
        <v>6064</v>
      </c>
      <c r="B637" s="722" t="str">
        <f>CONCATENATE(LEFT(RIGHT(CONCATENATE("000",HH_debt1718!A637),6),3),"-",(RIGHT(RIGHT(CONCATENATE("000",HH_debt1718!A637),6),3)))</f>
        <v>188-904</v>
      </c>
      <c r="C637" s="91">
        <v>2373212</v>
      </c>
    </row>
    <row r="638" spans="1:3" ht="15">
      <c r="A638" t="s">
        <v>3695</v>
      </c>
      <c r="B638" s="722" t="str">
        <f>CONCATENATE(LEFT(RIGHT(CONCATENATE("000",HH_debt1718!A638),6),3),"-",(RIGHT(RIGHT(CONCATENATE("000",HH_debt1718!A638),6),3)))</f>
        <v>189-901</v>
      </c>
      <c r="C638" s="91">
        <v>409581</v>
      </c>
    </row>
    <row r="639" spans="1:3" ht="15">
      <c r="A639" t="s">
        <v>3696</v>
      </c>
      <c r="B639" s="722" t="str">
        <f>CONCATENATE(LEFT(RIGHT(CONCATENATE("000",HH_debt1718!A639),6),3),"-",(RIGHT(RIGHT(CONCATENATE("000",HH_debt1718!A639),6),3)))</f>
        <v>189-902</v>
      </c>
      <c r="C639" s="91">
        <v>667150</v>
      </c>
    </row>
    <row r="640" spans="1:3" ht="15">
      <c r="A640" t="s">
        <v>6065</v>
      </c>
      <c r="B640" s="722" t="str">
        <f>CONCATENATE(LEFT(RIGHT(CONCATENATE("000",HH_debt1718!A640),6),3),"-",(RIGHT(RIGHT(CONCATENATE("000",HH_debt1718!A640),6),3)))</f>
        <v>190-903</v>
      </c>
      <c r="C640" s="91">
        <v>1138281</v>
      </c>
    </row>
    <row r="641" spans="1:3" ht="15">
      <c r="A641" t="s">
        <v>6066</v>
      </c>
      <c r="B641" s="722" t="str">
        <f>CONCATENATE(LEFT(RIGHT(CONCATENATE("000",HH_debt1718!A641),6),3),"-",(RIGHT(RIGHT(CONCATENATE("000",HH_debt1718!A641),6),3)))</f>
        <v>191-901</v>
      </c>
      <c r="C641" s="91">
        <v>6339193</v>
      </c>
    </row>
    <row r="642" spans="1:3" ht="15">
      <c r="A642" t="s">
        <v>6067</v>
      </c>
      <c r="B642" s="722" t="str">
        <f>CONCATENATE(LEFT(RIGHT(CONCATENATE("000",HH_debt1718!A642),6),3),"-",(RIGHT(RIGHT(CONCATENATE("000",HH_debt1718!A642),6),3)))</f>
        <v>192-901</v>
      </c>
      <c r="C642" s="91">
        <v>1885294</v>
      </c>
    </row>
    <row r="643" spans="1:3" ht="15">
      <c r="A643" t="s">
        <v>6068</v>
      </c>
      <c r="B643" s="722" t="str">
        <f>CONCATENATE(LEFT(RIGHT(CONCATENATE("000",HH_debt1718!A643),6),3),"-",(RIGHT(RIGHT(CONCATENATE("000",HH_debt1718!A643),6),3)))</f>
        <v>193-902</v>
      </c>
      <c r="C643" s="91">
        <v>464188</v>
      </c>
    </row>
    <row r="644" spans="1:3" ht="15">
      <c r="A644" t="s">
        <v>3697</v>
      </c>
      <c r="B644" s="722" t="str">
        <f>CONCATENATE(LEFT(RIGHT(CONCATENATE("000",HH_debt1718!A644),6),3),"-",(RIGHT(RIGHT(CONCATENATE("000",HH_debt1718!A644),6),3)))</f>
        <v>194-903</v>
      </c>
      <c r="C644" s="91">
        <v>504275</v>
      </c>
    </row>
    <row r="645" spans="1:3" ht="15">
      <c r="A645" t="s">
        <v>3698</v>
      </c>
      <c r="B645" s="722" t="str">
        <f>CONCATENATE(LEFT(RIGHT(CONCATENATE("000",HH_debt1718!A645),6),3),"-",(RIGHT(RIGHT(CONCATENATE("000",HH_debt1718!A645),6),3)))</f>
        <v>194-905</v>
      </c>
      <c r="C645" s="91">
        <v>411115</v>
      </c>
    </row>
    <row r="646" spans="1:3" ht="15">
      <c r="A646" t="s">
        <v>6069</v>
      </c>
      <c r="B646" s="722" t="str">
        <f>CONCATENATE(LEFT(RIGHT(CONCATENATE("000",HH_debt1718!A646),6),3),"-",(RIGHT(RIGHT(CONCATENATE("000",HH_debt1718!A646),6),3)))</f>
        <v>195-901</v>
      </c>
      <c r="C646" s="91">
        <v>1963550</v>
      </c>
    </row>
    <row r="647" spans="1:3" ht="15">
      <c r="A647" t="s">
        <v>3699</v>
      </c>
      <c r="B647" s="722" t="str">
        <f>CONCATENATE(LEFT(RIGHT(CONCATENATE("000",HH_debt1718!A647),6),3),"-",(RIGHT(RIGHT(CONCATENATE("000",HH_debt1718!A647),6),3)))</f>
        <v>195-902</v>
      </c>
      <c r="C647" s="91">
        <v>94000</v>
      </c>
    </row>
    <row r="648" spans="1:3" ht="15">
      <c r="A648" t="s">
        <v>6070</v>
      </c>
      <c r="B648" s="722" t="str">
        <f>CONCATENATE(LEFT(RIGHT(CONCATENATE("000",HH_debt1718!A648),6),3),"-",(RIGHT(RIGHT(CONCATENATE("000",HH_debt1718!A648),6),3)))</f>
        <v>196-901</v>
      </c>
      <c r="C648" s="91">
        <v>650258</v>
      </c>
    </row>
    <row r="649" spans="1:3" ht="15">
      <c r="A649" t="s">
        <v>6071</v>
      </c>
      <c r="B649" s="722" t="str">
        <f>CONCATENATE(LEFT(RIGHT(CONCATENATE("000",HH_debt1718!A649),6),3),"-",(RIGHT(RIGHT(CONCATENATE("000",HH_debt1718!A649),6),3)))</f>
        <v>196-902</v>
      </c>
      <c r="C649" s="91">
        <v>915463</v>
      </c>
    </row>
    <row r="650" spans="1:3" ht="15">
      <c r="A650" t="s">
        <v>6072</v>
      </c>
      <c r="B650" s="722" t="str">
        <f>CONCATENATE(LEFT(RIGHT(CONCATENATE("000",HH_debt1718!A650),6),3),"-",(RIGHT(RIGHT(CONCATENATE("000",HH_debt1718!A650),6),3)))</f>
        <v>196-903</v>
      </c>
      <c r="C650" s="91">
        <v>241682</v>
      </c>
    </row>
    <row r="651" spans="1:3" ht="15">
      <c r="A651" t="s">
        <v>6073</v>
      </c>
      <c r="B651" s="722" t="str">
        <f>CONCATENATE(LEFT(RIGHT(CONCATENATE("000",HH_debt1718!A651),6),3),"-",(RIGHT(RIGHT(CONCATENATE("000",HH_debt1718!A651),6),3)))</f>
        <v>197-902</v>
      </c>
      <c r="C651" s="91">
        <v>2732175</v>
      </c>
    </row>
    <row r="652" spans="1:3" ht="15">
      <c r="A652" t="s">
        <v>6074</v>
      </c>
      <c r="B652" s="722" t="str">
        <f>CONCATENATE(LEFT(RIGHT(CONCATENATE("000",HH_debt1718!A652),6),3),"-",(RIGHT(RIGHT(CONCATENATE("000",HH_debt1718!A652),6),3)))</f>
        <v>198-901</v>
      </c>
      <c r="C652" s="91">
        <v>923500</v>
      </c>
    </row>
    <row r="653" spans="1:3" ht="15">
      <c r="A653" t="s">
        <v>6075</v>
      </c>
      <c r="B653" s="722" t="str">
        <f>CONCATENATE(LEFT(RIGHT(CONCATENATE("000",HH_debt1718!A653),6),3),"-",(RIGHT(RIGHT(CONCATENATE("000",HH_debt1718!A653),6),3)))</f>
        <v>198-903</v>
      </c>
      <c r="C653" s="91">
        <v>715625</v>
      </c>
    </row>
    <row r="654" spans="1:3" ht="15">
      <c r="A654" t="s">
        <v>6076</v>
      </c>
      <c r="B654" s="722" t="str">
        <f>CONCATENATE(LEFT(RIGHT(CONCATENATE("000",HH_debt1718!A654),6),3),"-",(RIGHT(RIGHT(CONCATENATE("000",HH_debt1718!A654),6),3)))</f>
        <v>198-905</v>
      </c>
      <c r="C654" s="91">
        <v>875150</v>
      </c>
    </row>
    <row r="655" spans="1:3" ht="15">
      <c r="A655" t="s">
        <v>6077</v>
      </c>
      <c r="B655" s="722" t="str">
        <f>CONCATENATE(LEFT(RIGHT(CONCATENATE("000",HH_debt1718!A655),6),3),"-",(RIGHT(RIGHT(CONCATENATE("000",HH_debt1718!A655),6),3)))</f>
        <v>199-901</v>
      </c>
      <c r="C655" s="91">
        <v>26233647</v>
      </c>
    </row>
    <row r="656" spans="1:3" ht="15">
      <c r="A656" t="s">
        <v>3700</v>
      </c>
      <c r="B656" s="722" t="str">
        <f>CONCATENATE(LEFT(RIGHT(CONCATENATE("000",HH_debt1718!A656),6),3),"-",(RIGHT(RIGHT(CONCATENATE("000",HH_debt1718!A656),6),3)))</f>
        <v>199-902</v>
      </c>
      <c r="C656" s="91">
        <v>8152002</v>
      </c>
    </row>
    <row r="657" spans="1:3" ht="15">
      <c r="A657" t="s">
        <v>3701</v>
      </c>
      <c r="B657" s="722" t="str">
        <f>CONCATENATE(LEFT(RIGHT(CONCATENATE("000",HH_debt1718!A657),6),3),"-",(RIGHT(RIGHT(CONCATENATE("000",HH_debt1718!A657),6),3)))</f>
        <v>200-902</v>
      </c>
      <c r="C657" s="91">
        <v>510415</v>
      </c>
    </row>
    <row r="658" spans="1:3" ht="15">
      <c r="A658" t="s">
        <v>3702</v>
      </c>
      <c r="B658" s="722" t="str">
        <f>CONCATENATE(LEFT(RIGHT(CONCATENATE("000",HH_debt1718!A658),6),3),"-",(RIGHT(RIGHT(CONCATENATE("000",HH_debt1718!A658),6),3)))</f>
        <v>200-906</v>
      </c>
      <c r="C658" s="91">
        <v>86450</v>
      </c>
    </row>
    <row r="659" spans="1:3" ht="15">
      <c r="A659" t="s">
        <v>6078</v>
      </c>
      <c r="B659" s="722" t="str">
        <f>CONCATENATE(LEFT(RIGHT(CONCATENATE("000",HH_debt1718!A659),6),3),"-",(RIGHT(RIGHT(CONCATENATE("000",HH_debt1718!A659),6),3)))</f>
        <v>201-902</v>
      </c>
      <c r="C659" s="91">
        <v>3455372</v>
      </c>
    </row>
    <row r="660" spans="1:3" ht="15">
      <c r="A660" t="s">
        <v>5407</v>
      </c>
      <c r="B660" s="722" t="str">
        <f>CONCATENATE(LEFT(RIGHT(CONCATENATE("000",HH_debt1718!A660),6),3),"-",(RIGHT(RIGHT(CONCATENATE("000",HH_debt1718!A660),6),3)))</f>
        <v>201-907</v>
      </c>
      <c r="C660" s="91">
        <v>188981</v>
      </c>
    </row>
    <row r="661" spans="1:3" ht="15">
      <c r="A661" t="s">
        <v>3703</v>
      </c>
      <c r="B661" s="722" t="str">
        <f>CONCATENATE(LEFT(RIGHT(CONCATENATE("000",HH_debt1718!A661),6),3),"-",(RIGHT(RIGHT(CONCATENATE("000",HH_debt1718!A661),6),3)))</f>
        <v>201-908</v>
      </c>
      <c r="C661" s="91">
        <v>671670</v>
      </c>
    </row>
    <row r="662" spans="1:3" ht="15">
      <c r="A662" t="s">
        <v>6079</v>
      </c>
      <c r="B662" s="722" t="str">
        <f>CONCATENATE(LEFT(RIGHT(CONCATENATE("000",HH_debt1718!A662),6),3),"-",(RIGHT(RIGHT(CONCATENATE("000",HH_debt1718!A662),6),3)))</f>
        <v>201-910</v>
      </c>
      <c r="C662" s="91">
        <v>1563925</v>
      </c>
    </row>
    <row r="663" spans="1:3" ht="15">
      <c r="A663" t="s">
        <v>3704</v>
      </c>
      <c r="B663" s="722" t="str">
        <f>CONCATENATE(LEFT(RIGHT(CONCATENATE("000",HH_debt1718!A663),6),3),"-",(RIGHT(RIGHT(CONCATENATE("000",HH_debt1718!A663),6),3)))</f>
        <v>201-913</v>
      </c>
      <c r="C663" s="91">
        <v>687540</v>
      </c>
    </row>
    <row r="664" spans="1:3" ht="15">
      <c r="A664" t="s">
        <v>6080</v>
      </c>
      <c r="B664" s="722" t="str">
        <f>CONCATENATE(LEFT(RIGHT(CONCATENATE("000",HH_debt1718!A664),6),3),"-",(RIGHT(RIGHT(CONCATENATE("000",HH_debt1718!A664),6),3)))</f>
        <v>201-914</v>
      </c>
      <c r="C664" s="91">
        <v>1119195</v>
      </c>
    </row>
    <row r="665" spans="1:3" ht="15">
      <c r="A665" t="s">
        <v>3705</v>
      </c>
      <c r="B665" s="722" t="str">
        <f>CONCATENATE(LEFT(RIGHT(CONCATENATE("000",HH_debt1718!A665),6),3),"-",(RIGHT(RIGHT(CONCATENATE("000",HH_debt1718!A665),6),3)))</f>
        <v>202-905</v>
      </c>
      <c r="C665" s="91">
        <v>549925</v>
      </c>
    </row>
    <row r="666" spans="1:3" ht="15">
      <c r="A666" t="s">
        <v>3706</v>
      </c>
      <c r="B666" s="722" t="str">
        <f>CONCATENATE(LEFT(RIGHT(CONCATENATE("000",HH_debt1718!A666),6),3),"-",(RIGHT(RIGHT(CONCATENATE("000",HH_debt1718!A666),6),3)))</f>
        <v>203-901</v>
      </c>
      <c r="C666" s="91">
        <v>711075</v>
      </c>
    </row>
    <row r="667" spans="1:3" ht="15">
      <c r="A667" t="s">
        <v>3707</v>
      </c>
      <c r="B667" s="722" t="str">
        <f>CONCATENATE(LEFT(RIGHT(CONCATENATE("000",HH_debt1718!A667),6),3),"-",(RIGHT(RIGHT(CONCATENATE("000",HH_debt1718!A667),6),3)))</f>
        <v>204-904</v>
      </c>
      <c r="C667" s="91">
        <v>1560974</v>
      </c>
    </row>
    <row r="668" spans="1:3" ht="15">
      <c r="A668" t="s">
        <v>3708</v>
      </c>
      <c r="B668" s="722" t="str">
        <f>CONCATENATE(LEFT(RIGHT(CONCATENATE("000",HH_debt1718!A668),6),3),"-",(RIGHT(RIGHT(CONCATENATE("000",HH_debt1718!A668),6),3)))</f>
        <v>205-901</v>
      </c>
      <c r="C668" s="91">
        <v>251200</v>
      </c>
    </row>
    <row r="669" spans="1:3" ht="15">
      <c r="A669" t="s">
        <v>6082</v>
      </c>
      <c r="B669" s="722" t="str">
        <f>CONCATENATE(LEFT(RIGHT(CONCATENATE("000",HH_debt1718!A669),6),3),"-",(RIGHT(RIGHT(CONCATENATE("000",HH_debt1718!A669),6),3)))</f>
        <v>205-902</v>
      </c>
      <c r="C669" s="91">
        <v>3952194</v>
      </c>
    </row>
    <row r="670" spans="1:3" ht="15">
      <c r="A670" t="s">
        <v>6083</v>
      </c>
      <c r="B670" s="722" t="str">
        <f>CONCATENATE(LEFT(RIGHT(CONCATENATE("000",HH_debt1718!A670),6),3),"-",(RIGHT(RIGHT(CONCATENATE("000",HH_debt1718!A670),6),3)))</f>
        <v>205-903</v>
      </c>
      <c r="C670" s="91">
        <v>671750</v>
      </c>
    </row>
    <row r="671" spans="1:3" ht="15">
      <c r="A671" t="s">
        <v>3709</v>
      </c>
      <c r="B671" s="722" t="str">
        <f>CONCATENATE(LEFT(RIGHT(CONCATENATE("000",HH_debt1718!A671),6),3),"-",(RIGHT(RIGHT(CONCATENATE("000",HH_debt1718!A671),6),3)))</f>
        <v>205-904</v>
      </c>
      <c r="C671" s="91">
        <v>1328515</v>
      </c>
    </row>
    <row r="672" spans="1:3" ht="15">
      <c r="A672" t="s">
        <v>3710</v>
      </c>
      <c r="B672" s="722" t="str">
        <f>CONCATENATE(LEFT(RIGHT(CONCATENATE("000",HH_debt1718!A672),6),3),"-",(RIGHT(RIGHT(CONCATENATE("000",HH_debt1718!A672),6),3)))</f>
        <v>205-905</v>
      </c>
      <c r="C672" s="91">
        <v>1586512</v>
      </c>
    </row>
    <row r="673" spans="1:3" ht="15">
      <c r="A673" t="s">
        <v>3711</v>
      </c>
      <c r="B673" s="722" t="str">
        <f>CONCATENATE(LEFT(RIGHT(CONCATENATE("000",HH_debt1718!A673),6),3),"-",(RIGHT(RIGHT(CONCATENATE("000",HH_debt1718!A673),6),3)))</f>
        <v>205-906</v>
      </c>
      <c r="C673" s="91">
        <v>1980694</v>
      </c>
    </row>
    <row r="674" spans="1:3" ht="15">
      <c r="A674" t="s">
        <v>3712</v>
      </c>
      <c r="B674" s="722" t="str">
        <f>CONCATENATE(LEFT(RIGHT(CONCATENATE("000",HH_debt1718!A674),6),3),"-",(RIGHT(RIGHT(CONCATENATE("000",HH_debt1718!A674),6),3)))</f>
        <v>205-907</v>
      </c>
      <c r="C674" s="91">
        <v>1687807</v>
      </c>
    </row>
    <row r="675" spans="1:3" ht="15">
      <c r="A675" t="s">
        <v>3713</v>
      </c>
      <c r="B675" s="722" t="str">
        <f>CONCATENATE(LEFT(RIGHT(CONCATENATE("000",HH_debt1718!A675),6),3),"-",(RIGHT(RIGHT(CONCATENATE("000",HH_debt1718!A675),6),3)))</f>
        <v>206-901</v>
      </c>
      <c r="C675" s="91">
        <v>524080</v>
      </c>
    </row>
    <row r="676" spans="1:3" ht="15">
      <c r="A676" t="s">
        <v>6084</v>
      </c>
      <c r="B676" s="722" t="str">
        <f>CONCATENATE(LEFT(RIGHT(CONCATENATE("000",HH_debt1718!A676),6),3),"-",(RIGHT(RIGHT(CONCATENATE("000",HH_debt1718!A676),6),3)))</f>
        <v>208-901</v>
      </c>
      <c r="C676" s="91">
        <v>799775</v>
      </c>
    </row>
    <row r="677" spans="1:3" ht="15">
      <c r="A677" t="s">
        <v>6085</v>
      </c>
      <c r="B677" s="722" t="str">
        <f>CONCATENATE(LEFT(RIGHT(CONCATENATE("000",HH_debt1718!A677),6),3),"-",(RIGHT(RIGHT(CONCATENATE("000",HH_debt1718!A677),6),3)))</f>
        <v>208-902</v>
      </c>
      <c r="C677" s="91">
        <v>2281956</v>
      </c>
    </row>
    <row r="678" spans="1:3" ht="15">
      <c r="A678" t="s">
        <v>6086</v>
      </c>
      <c r="B678" s="722" t="str">
        <f>CONCATENATE(LEFT(RIGHT(CONCATENATE("000",HH_debt1718!A678),6),3),"-",(RIGHT(RIGHT(CONCATENATE("000",HH_debt1718!A678),6),3)))</f>
        <v>208-903</v>
      </c>
      <c r="C678" s="91">
        <v>773294</v>
      </c>
    </row>
    <row r="679" spans="1:3" ht="15">
      <c r="A679" t="s">
        <v>3714</v>
      </c>
      <c r="B679" s="722" t="str">
        <f>CONCATENATE(LEFT(RIGHT(CONCATENATE("000",HH_debt1718!A679),6),3),"-",(RIGHT(RIGHT(CONCATENATE("000",HH_debt1718!A679),6),3)))</f>
        <v>210-901</v>
      </c>
      <c r="C679" s="91">
        <v>1236400</v>
      </c>
    </row>
    <row r="680" spans="1:3" ht="15">
      <c r="A680" t="s">
        <v>6087</v>
      </c>
      <c r="B680" s="722" t="str">
        <f>CONCATENATE(LEFT(RIGHT(CONCATENATE("000",HH_debt1718!A680),6),3),"-",(RIGHT(RIGHT(CONCATENATE("000",HH_debt1718!A680),6),3)))</f>
        <v>210-902</v>
      </c>
      <c r="C680" s="91">
        <v>1044529</v>
      </c>
    </row>
    <row r="681" spans="1:3" ht="15">
      <c r="A681" t="s">
        <v>3715</v>
      </c>
      <c r="B681" s="722" t="str">
        <f>CONCATENATE(LEFT(RIGHT(CONCATENATE("000",HH_debt1718!A681),6),3),"-",(RIGHT(RIGHT(CONCATENATE("000",HH_debt1718!A681),6),3)))</f>
        <v>210-903</v>
      </c>
      <c r="C681" s="91">
        <v>156050</v>
      </c>
    </row>
    <row r="682" spans="1:3" ht="15">
      <c r="A682" t="s">
        <v>6088</v>
      </c>
      <c r="B682" s="722" t="str">
        <f>CONCATENATE(LEFT(RIGHT(CONCATENATE("000",HH_debt1718!A682),6),3),"-",(RIGHT(RIGHT(CONCATENATE("000",HH_debt1718!A682),6),3)))</f>
        <v>210-904</v>
      </c>
      <c r="C682" s="91">
        <v>230750</v>
      </c>
    </row>
    <row r="683" spans="1:3" ht="15">
      <c r="A683" t="s">
        <v>3716</v>
      </c>
      <c r="B683" s="722" t="str">
        <f>CONCATENATE(LEFT(RIGHT(CONCATENATE("000",HH_debt1718!A683),6),3),"-",(RIGHT(RIGHT(CONCATENATE("000",HH_debt1718!A683),6),3)))</f>
        <v>212-901</v>
      </c>
      <c r="C683" s="91">
        <v>976119</v>
      </c>
    </row>
    <row r="684" spans="1:3" ht="15">
      <c r="A684" t="s">
        <v>6090</v>
      </c>
      <c r="B684" s="722" t="str">
        <f>CONCATENATE(LEFT(RIGHT(CONCATENATE("000",HH_debt1718!A684),6),3),"-",(RIGHT(RIGHT(CONCATENATE("000",HH_debt1718!A684),6),3)))</f>
        <v>212-902</v>
      </c>
      <c r="C684" s="91">
        <v>4477075</v>
      </c>
    </row>
    <row r="685" spans="1:3" ht="15">
      <c r="A685" t="s">
        <v>3717</v>
      </c>
      <c r="B685" s="722" t="str">
        <f>CONCATENATE(LEFT(RIGHT(CONCATENATE("000",HH_debt1718!A685),6),3),"-",(RIGHT(RIGHT(CONCATENATE("000",HH_debt1718!A685),6),3)))</f>
        <v>212-903</v>
      </c>
      <c r="C685" s="91">
        <v>4336134</v>
      </c>
    </row>
    <row r="686" spans="1:3" ht="15">
      <c r="A686" t="s">
        <v>6091</v>
      </c>
      <c r="B686" s="722" t="str">
        <f>CONCATENATE(LEFT(RIGHT(CONCATENATE("000",HH_debt1718!A686),6),3),"-",(RIGHT(RIGHT(CONCATENATE("000",HH_debt1718!A686),6),3)))</f>
        <v>212-904</v>
      </c>
      <c r="C686" s="91">
        <v>489430</v>
      </c>
    </row>
    <row r="687" spans="1:3" ht="15">
      <c r="A687" t="s">
        <v>6092</v>
      </c>
      <c r="B687" s="722" t="str">
        <f>CONCATENATE(LEFT(RIGHT(CONCATENATE("000",HH_debt1718!A687),6),3),"-",(RIGHT(RIGHT(CONCATENATE("000",HH_debt1718!A687),6),3)))</f>
        <v>212-905</v>
      </c>
      <c r="C687" s="91">
        <v>21111207</v>
      </c>
    </row>
    <row r="688" spans="1:3" ht="15">
      <c r="A688" t="s">
        <v>3718</v>
      </c>
      <c r="B688" s="722" t="str">
        <f>CONCATENATE(LEFT(RIGHT(CONCATENATE("000",HH_debt1718!A688),6),3),"-",(RIGHT(RIGHT(CONCATENATE("000",HH_debt1718!A688),6),3)))</f>
        <v>212-906</v>
      </c>
      <c r="C688" s="91">
        <v>2325750</v>
      </c>
    </row>
    <row r="689" spans="1:3" ht="15">
      <c r="A689" t="s">
        <v>3719</v>
      </c>
      <c r="B689" s="722" t="str">
        <f>CONCATENATE(LEFT(RIGHT(CONCATENATE("000",HH_debt1718!A689),6),3),"-",(RIGHT(RIGHT(CONCATENATE("000",HH_debt1718!A689),6),3)))</f>
        <v>212-909</v>
      </c>
      <c r="C689" s="91">
        <v>1411344</v>
      </c>
    </row>
    <row r="690" spans="1:3" ht="15">
      <c r="A690" t="s">
        <v>6093</v>
      </c>
      <c r="B690" s="722" t="str">
        <f>CONCATENATE(LEFT(RIGHT(CONCATENATE("000",HH_debt1718!A690),6),3),"-",(RIGHT(RIGHT(CONCATENATE("000",HH_debt1718!A690),6),3)))</f>
        <v>212-910</v>
      </c>
      <c r="C690" s="91">
        <v>1632702</v>
      </c>
    </row>
    <row r="691" spans="1:3" ht="15">
      <c r="A691" t="s">
        <v>6094</v>
      </c>
      <c r="B691" s="722" t="str">
        <f>CONCATENATE(LEFT(RIGHT(CONCATENATE("000",HH_debt1718!A691),6),3),"-",(RIGHT(RIGHT(CONCATENATE("000",HH_debt1718!A691),6),3)))</f>
        <v>213-901</v>
      </c>
      <c r="C691" s="91">
        <v>2450892</v>
      </c>
    </row>
    <row r="692" spans="1:3" ht="15">
      <c r="A692" t="s">
        <v>3720</v>
      </c>
      <c r="B692" s="722" t="str">
        <f>CONCATENATE(LEFT(RIGHT(CONCATENATE("000",HH_debt1718!A692),6),3),"-",(RIGHT(RIGHT(CONCATENATE("000",HH_debt1718!A692),6),3)))</f>
        <v>214-901</v>
      </c>
      <c r="C692" s="91">
        <v>8890287</v>
      </c>
    </row>
    <row r="693" spans="1:3" ht="15">
      <c r="A693" t="s">
        <v>6095</v>
      </c>
      <c r="B693" s="722" t="str">
        <f>CONCATENATE(LEFT(RIGHT(CONCATENATE("000",HH_debt1718!A693),6),3),"-",(RIGHT(RIGHT(CONCATENATE("000",HH_debt1718!A693),6),3)))</f>
        <v>214-902</v>
      </c>
      <c r="C693" s="91">
        <v>186128</v>
      </c>
    </row>
    <row r="694" spans="1:3" ht="15">
      <c r="A694" t="s">
        <v>3721</v>
      </c>
      <c r="B694" s="722" t="str">
        <f>CONCATENATE(LEFT(RIGHT(CONCATENATE("000",HH_debt1718!A694),6),3),"-",(RIGHT(RIGHT(CONCATENATE("000",HH_debt1718!A694),6),3)))</f>
        <v>214-903</v>
      </c>
      <c r="C694" s="91">
        <v>4795799</v>
      </c>
    </row>
    <row r="695" spans="1:3" ht="15">
      <c r="A695" t="s">
        <v>6096</v>
      </c>
      <c r="B695" s="722" t="str">
        <f>CONCATENATE(LEFT(RIGHT(CONCATENATE("000",HH_debt1718!A695),6),3),"-",(RIGHT(RIGHT(CONCATENATE("000",HH_debt1718!A695),6),3)))</f>
        <v>215-901</v>
      </c>
      <c r="C695" s="91">
        <v>601250</v>
      </c>
    </row>
    <row r="696" spans="1:3" ht="15">
      <c r="A696" t="s">
        <v>6097</v>
      </c>
      <c r="B696" s="722" t="str">
        <f>CONCATENATE(LEFT(RIGHT(CONCATENATE("000",HH_debt1718!A696),6),3),"-",(RIGHT(RIGHT(CONCATENATE("000",HH_debt1718!A696),6),3)))</f>
        <v>216-901</v>
      </c>
      <c r="C696" s="91">
        <v>1285754</v>
      </c>
    </row>
    <row r="697" spans="1:3" ht="15">
      <c r="A697" t="s">
        <v>6098</v>
      </c>
      <c r="B697" s="722" t="str">
        <f>CONCATENATE(LEFT(RIGHT(CONCATENATE("000",HH_debt1718!A697),6),3),"-",(RIGHT(RIGHT(CONCATENATE("000",HH_debt1718!A697),6),3)))</f>
        <v>217-901</v>
      </c>
      <c r="C697" s="91">
        <v>579562</v>
      </c>
    </row>
    <row r="698" spans="1:3" ht="15">
      <c r="A698" t="s">
        <v>6100</v>
      </c>
      <c r="B698" s="722" t="str">
        <f>CONCATENATE(LEFT(RIGHT(CONCATENATE("000",HH_debt1718!A698),6),3),"-",(RIGHT(RIGHT(CONCATENATE("000",HH_debt1718!A698),6),3)))</f>
        <v>219-905</v>
      </c>
      <c r="C698" s="91">
        <v>204000</v>
      </c>
    </row>
    <row r="699" spans="1:3" ht="15">
      <c r="A699" t="s">
        <v>3722</v>
      </c>
      <c r="B699" s="722" t="str">
        <f>CONCATENATE(LEFT(RIGHT(CONCATENATE("000",HH_debt1718!A699),6),3),"-",(RIGHT(RIGHT(CONCATENATE("000",HH_debt1718!A699),6),3)))</f>
        <v>220-901</v>
      </c>
      <c r="C699" s="91">
        <v>71264030</v>
      </c>
    </row>
    <row r="700" spans="1:3" ht="15">
      <c r="A700" t="s">
        <v>3723</v>
      </c>
      <c r="B700" s="722" t="str">
        <f>CONCATENATE(LEFT(RIGHT(CONCATENATE("000",HH_debt1718!A700),6),3),"-",(RIGHT(RIGHT(CONCATENATE("000",HH_debt1718!A700),6),3)))</f>
        <v>220-902</v>
      </c>
      <c r="C700" s="91">
        <v>30499356</v>
      </c>
    </row>
    <row r="701" spans="1:3" ht="15">
      <c r="A701" t="s">
        <v>3724</v>
      </c>
      <c r="B701" s="722" t="str">
        <f>CONCATENATE(LEFT(RIGHT(CONCATENATE("000",HH_debt1718!A701),6),3),"-",(RIGHT(RIGHT(CONCATENATE("000",HH_debt1718!A701),6),3)))</f>
        <v>220-904</v>
      </c>
      <c r="C701" s="91">
        <v>6270476</v>
      </c>
    </row>
    <row r="702" spans="1:3" ht="15">
      <c r="A702" t="s">
        <v>6101</v>
      </c>
      <c r="B702" s="722" t="str">
        <f>CONCATENATE(LEFT(RIGHT(CONCATENATE("000",HH_debt1718!A702),6),3),"-",(RIGHT(RIGHT(CONCATENATE("000",HH_debt1718!A702),6),3)))</f>
        <v>220-905</v>
      </c>
      <c r="C702" s="91">
        <v>77711312</v>
      </c>
    </row>
    <row r="703" spans="1:3" ht="15">
      <c r="A703" t="s">
        <v>6102</v>
      </c>
      <c r="B703" s="722" t="str">
        <f>CONCATENATE(LEFT(RIGHT(CONCATENATE("000",HH_debt1718!A703),6),3),"-",(RIGHT(RIGHT(CONCATENATE("000",HH_debt1718!A703),6),3)))</f>
        <v>220-906</v>
      </c>
      <c r="C703" s="91">
        <v>30840037</v>
      </c>
    </row>
    <row r="704" spans="1:3" ht="15">
      <c r="A704" t="s">
        <v>3725</v>
      </c>
      <c r="B704" s="722" t="str">
        <f>CONCATENATE(LEFT(RIGHT(CONCATENATE("000",HH_debt1718!A704),6),3),"-",(RIGHT(RIGHT(CONCATENATE("000",HH_debt1718!A704),6),3)))</f>
        <v>220-907</v>
      </c>
      <c r="C704" s="91">
        <v>64561428</v>
      </c>
    </row>
    <row r="705" spans="1:3" ht="15">
      <c r="A705" t="s">
        <v>3726</v>
      </c>
      <c r="B705" s="722" t="str">
        <f>CONCATENATE(LEFT(RIGHT(CONCATENATE("000",HH_debt1718!A705),6),3),"-",(RIGHT(RIGHT(CONCATENATE("000",HH_debt1718!A705),6),3)))</f>
        <v>220-908</v>
      </c>
      <c r="C705" s="91">
        <v>54390122</v>
      </c>
    </row>
    <row r="706" spans="1:3" ht="15">
      <c r="A706" t="s">
        <v>3727</v>
      </c>
      <c r="B706" s="722" t="str">
        <f>CONCATENATE(LEFT(RIGHT(CONCATENATE("000",HH_debt1718!A706),6),3),"-",(RIGHT(RIGHT(CONCATENATE("000",HH_debt1718!A706),6),3)))</f>
        <v>220-910</v>
      </c>
      <c r="C706" s="91">
        <v>4076149</v>
      </c>
    </row>
    <row r="707" spans="1:3" ht="15">
      <c r="A707" t="s">
        <v>3728</v>
      </c>
      <c r="B707" s="722" t="str">
        <f>CONCATENATE(LEFT(RIGHT(CONCATENATE("000",HH_debt1718!A707),6),3),"-",(RIGHT(RIGHT(CONCATENATE("000",HH_debt1718!A707),6),3)))</f>
        <v>220-912</v>
      </c>
      <c r="C707" s="91">
        <v>24390463</v>
      </c>
    </row>
    <row r="708" spans="1:3" ht="15">
      <c r="A708" t="s">
        <v>3729</v>
      </c>
      <c r="B708" s="722" t="str">
        <f>CONCATENATE(LEFT(RIGHT(CONCATENATE("000",HH_debt1718!A708),6),3),"-",(RIGHT(RIGHT(CONCATENATE("000",HH_debt1718!A708),6),3)))</f>
        <v>220-914</v>
      </c>
      <c r="C708" s="91">
        <v>3546275</v>
      </c>
    </row>
    <row r="709" spans="1:3" ht="15">
      <c r="A709" t="s">
        <v>3730</v>
      </c>
      <c r="B709" s="722" t="str">
        <f>CONCATENATE(LEFT(RIGHT(CONCATENATE("000",HH_debt1718!A709),6),3),"-",(RIGHT(RIGHT(CONCATENATE("000",HH_debt1718!A709),6),3)))</f>
        <v>220-915</v>
      </c>
      <c r="C709" s="91">
        <v>3982775</v>
      </c>
    </row>
    <row r="710" spans="1:3" ht="15">
      <c r="A710" t="s">
        <v>3731</v>
      </c>
      <c r="B710" s="722" t="str">
        <f>CONCATENATE(LEFT(RIGHT(CONCATENATE("000",HH_debt1718!A710),6),3),"-",(RIGHT(RIGHT(CONCATENATE("000",HH_debt1718!A710),6),3)))</f>
        <v>220-916</v>
      </c>
      <c r="C710" s="91">
        <v>27372484</v>
      </c>
    </row>
    <row r="711" spans="1:3" ht="15">
      <c r="A711" t="s">
        <v>3732</v>
      </c>
      <c r="B711" s="722" t="str">
        <f>CONCATENATE(LEFT(RIGHT(CONCATENATE("000",HH_debt1718!A711),6),3),"-",(RIGHT(RIGHT(CONCATENATE("000",HH_debt1718!A711),6),3)))</f>
        <v>220-917</v>
      </c>
      <c r="C711" s="91">
        <v>3201453</v>
      </c>
    </row>
    <row r="712" spans="1:3" ht="15">
      <c r="A712" t="s">
        <v>3733</v>
      </c>
      <c r="B712" s="722" t="str">
        <f>CONCATENATE(LEFT(RIGHT(CONCATENATE("000",HH_debt1718!A712),6),3),"-",(RIGHT(RIGHT(CONCATENATE("000",HH_debt1718!A712),6),3)))</f>
        <v>220-918</v>
      </c>
      <c r="C712" s="91">
        <v>35158383</v>
      </c>
    </row>
    <row r="713" spans="1:3" ht="15">
      <c r="A713" t="s">
        <v>5533</v>
      </c>
      <c r="B713" s="722" t="str">
        <f>CONCATENATE(LEFT(RIGHT(CONCATENATE("000",HH_debt1718!A713),6),3),"-",(RIGHT(RIGHT(CONCATENATE("000",HH_debt1718!A713),6),3)))</f>
        <v>220-919</v>
      </c>
      <c r="C713" s="91">
        <v>17486829</v>
      </c>
    </row>
    <row r="714" spans="1:3" ht="15">
      <c r="A714" t="s">
        <v>3734</v>
      </c>
      <c r="B714" s="722" t="str">
        <f>CONCATENATE(LEFT(RIGHT(CONCATENATE("000",HH_debt1718!A714),6),3),"-",(RIGHT(RIGHT(CONCATENATE("000",HH_debt1718!A714),6),3)))</f>
        <v>220-920</v>
      </c>
      <c r="C714" s="91">
        <v>10490663</v>
      </c>
    </row>
    <row r="715" spans="1:3" ht="15">
      <c r="A715" t="s">
        <v>6103</v>
      </c>
      <c r="B715" s="722" t="str">
        <f>CONCATENATE(LEFT(RIGHT(CONCATENATE("000",HH_debt1718!A715),6),3),"-",(RIGHT(RIGHT(CONCATENATE("000",HH_debt1718!A715),6),3)))</f>
        <v>221-901</v>
      </c>
      <c r="C715" s="91">
        <v>9467400</v>
      </c>
    </row>
    <row r="716" spans="1:3" ht="15">
      <c r="A716" t="s">
        <v>6104</v>
      </c>
      <c r="B716" s="722" t="str">
        <f>CONCATENATE(LEFT(RIGHT(CONCATENATE("000",HH_debt1718!A716),6),3),"-",(RIGHT(RIGHT(CONCATENATE("000",HH_debt1718!A716),6),3)))</f>
        <v>221-904</v>
      </c>
      <c r="C716" s="91">
        <v>942806</v>
      </c>
    </row>
    <row r="717" spans="1:3" ht="15">
      <c r="A717" t="s">
        <v>6105</v>
      </c>
      <c r="B717" s="722" t="str">
        <f>CONCATENATE(LEFT(RIGHT(CONCATENATE("000",HH_debt1718!A717),6),3),"-",(RIGHT(RIGHT(CONCATENATE("000",HH_debt1718!A717),6),3)))</f>
        <v>221-905</v>
      </c>
      <c r="C717" s="91">
        <v>511642</v>
      </c>
    </row>
    <row r="718" spans="1:3" ht="15">
      <c r="A718" t="s">
        <v>6106</v>
      </c>
      <c r="B718" s="722" t="str">
        <f>CONCATENATE(LEFT(RIGHT(CONCATENATE("000",HH_debt1718!A718),6),3),"-",(RIGHT(RIGHT(CONCATENATE("000",HH_debt1718!A718),6),3)))</f>
        <v>221-911</v>
      </c>
      <c r="C718" s="91">
        <v>559050</v>
      </c>
    </row>
    <row r="719" spans="1:3" ht="15">
      <c r="A719" t="s">
        <v>6107</v>
      </c>
      <c r="B719" s="722" t="str">
        <f>CONCATENATE(LEFT(RIGHT(CONCATENATE("000",HH_debt1718!A719),6),3),"-",(RIGHT(RIGHT(CONCATENATE("000",HH_debt1718!A719),6),3)))</f>
        <v>221-912</v>
      </c>
      <c r="C719" s="91">
        <v>1681844</v>
      </c>
    </row>
    <row r="720" spans="1:3" ht="15">
      <c r="A720" t="s">
        <v>6108</v>
      </c>
      <c r="B720" s="722" t="str">
        <f>CONCATENATE(LEFT(RIGHT(CONCATENATE("000",HH_debt1718!A720),6),3),"-",(RIGHT(RIGHT(CONCATENATE("000",HH_debt1718!A720),6),3)))</f>
        <v>222-901</v>
      </c>
      <c r="C720" s="91">
        <v>1088960</v>
      </c>
    </row>
    <row r="721" spans="1:3" ht="15">
      <c r="A721" t="s">
        <v>6109</v>
      </c>
      <c r="B721" s="722" t="str">
        <f>CONCATENATE(LEFT(RIGHT(CONCATENATE("000",HH_debt1718!A721),6),3),"-",(RIGHT(RIGHT(CONCATENATE("000",HH_debt1718!A721),6),3)))</f>
        <v>223-901</v>
      </c>
      <c r="C721" s="91">
        <v>809068</v>
      </c>
    </row>
    <row r="722" spans="1:3" ht="15">
      <c r="A722" t="s">
        <v>3735</v>
      </c>
      <c r="B722" s="722" t="str">
        <f>CONCATENATE(LEFT(RIGHT(CONCATENATE("000",HH_debt1718!A722),6),3),"-",(RIGHT(RIGHT(CONCATENATE("000",HH_debt1718!A722),6),3)))</f>
        <v>223-902</v>
      </c>
      <c r="C722" s="91">
        <v>91225</v>
      </c>
    </row>
    <row r="723" spans="1:3" ht="15">
      <c r="A723" t="s">
        <v>6110</v>
      </c>
      <c r="B723" s="722" t="str">
        <f>CONCATENATE(LEFT(RIGHT(CONCATENATE("000",HH_debt1718!A723),6),3),"-",(RIGHT(RIGHT(CONCATENATE("000",HH_debt1718!A723),6),3)))</f>
        <v>223-904</v>
      </c>
      <c r="C723" s="91">
        <v>1038956</v>
      </c>
    </row>
    <row r="724" spans="1:3" ht="15">
      <c r="A724" t="s">
        <v>6111</v>
      </c>
      <c r="B724" s="722" t="str">
        <f>CONCATENATE(LEFT(RIGHT(CONCATENATE("000",HH_debt1718!A724),6),3),"-",(RIGHT(RIGHT(CONCATENATE("000",HH_debt1718!A724),6),3)))</f>
        <v>225-902</v>
      </c>
      <c r="C724" s="91">
        <v>2919784</v>
      </c>
    </row>
    <row r="725" spans="1:3" ht="15">
      <c r="A725" t="s">
        <v>3736</v>
      </c>
      <c r="B725" s="722" t="str">
        <f>CONCATENATE(LEFT(RIGHT(CONCATENATE("000",HH_debt1718!A725),6),3),"-",(RIGHT(RIGHT(CONCATENATE("000",HH_debt1718!A725),6),3)))</f>
        <v>225-906</v>
      </c>
      <c r="C725" s="91">
        <v>703928</v>
      </c>
    </row>
    <row r="726" spans="1:3" ht="15">
      <c r="A726" t="s">
        <v>6112</v>
      </c>
      <c r="B726" s="722" t="str">
        <f>CONCATENATE(LEFT(RIGHT(CONCATENATE("000",HH_debt1718!A726),6),3),"-",(RIGHT(RIGHT(CONCATENATE("000",HH_debt1718!A726),6),3)))</f>
        <v>226-901</v>
      </c>
      <c r="C726" s="91">
        <v>101400</v>
      </c>
    </row>
    <row r="727" spans="1:3" ht="15">
      <c r="A727" t="s">
        <v>3737</v>
      </c>
      <c r="B727" s="722" t="str">
        <f>CONCATENATE(LEFT(RIGHT(CONCATENATE("000",HH_debt1718!A727),6),3),"-",(RIGHT(RIGHT(CONCATENATE("000",HH_debt1718!A727),6),3)))</f>
        <v>226-903</v>
      </c>
      <c r="C727" s="91">
        <v>9133350</v>
      </c>
    </row>
    <row r="728" spans="1:3" ht="15">
      <c r="A728" t="s">
        <v>6113</v>
      </c>
      <c r="B728" s="722" t="str">
        <f>CONCATENATE(LEFT(RIGHT(CONCATENATE("000",HH_debt1718!A728),6),3),"-",(RIGHT(RIGHT(CONCATENATE("000",HH_debt1718!A728),6),3)))</f>
        <v>226-905</v>
      </c>
      <c r="C728" s="91">
        <v>228397</v>
      </c>
    </row>
    <row r="729" spans="1:3" ht="15">
      <c r="A729" t="s">
        <v>3739</v>
      </c>
      <c r="B729" s="722" t="str">
        <f>CONCATENATE(LEFT(RIGHT(CONCATENATE("000",HH_debt1718!A729),6),3),"-",(RIGHT(RIGHT(CONCATENATE("000",HH_debt1718!A729),6),3)))</f>
        <v>226-907</v>
      </c>
      <c r="C729" s="91">
        <v>653925</v>
      </c>
    </row>
    <row r="730" spans="1:3" ht="15">
      <c r="A730" t="s">
        <v>3740</v>
      </c>
      <c r="B730" s="722" t="str">
        <f>CONCATENATE(LEFT(RIGHT(CONCATENATE("000",HH_debt1718!A730),6),3),"-",(RIGHT(RIGHT(CONCATENATE("000",HH_debt1718!A730),6),3)))</f>
        <v>226-908</v>
      </c>
      <c r="C730" s="91">
        <v>99050</v>
      </c>
    </row>
    <row r="731" spans="1:3" ht="15">
      <c r="A731" t="s">
        <v>6114</v>
      </c>
      <c r="B731" s="722" t="str">
        <f>CONCATENATE(LEFT(RIGHT(CONCATENATE("000",HH_debt1718!A731),6),3),"-",(RIGHT(RIGHT(CONCATENATE("000",HH_debt1718!A731),6),3)))</f>
        <v>227-901</v>
      </c>
      <c r="C731" s="91">
        <v>71484335</v>
      </c>
    </row>
    <row r="732" spans="1:3" ht="15">
      <c r="A732" t="s">
        <v>3741</v>
      </c>
      <c r="B732" s="722" t="str">
        <f>CONCATENATE(LEFT(RIGHT(CONCATENATE("000",HH_debt1718!A732),6),3),"-",(RIGHT(RIGHT(CONCATENATE("000",HH_debt1718!A732),6),3)))</f>
        <v>227-904</v>
      </c>
      <c r="C732" s="91">
        <v>40444426</v>
      </c>
    </row>
    <row r="733" spans="1:3" ht="15">
      <c r="A733" t="s">
        <v>6115</v>
      </c>
      <c r="B733" s="722" t="str">
        <f>CONCATENATE(LEFT(RIGHT(CONCATENATE("000",HH_debt1718!A733),6),3),"-",(RIGHT(RIGHT(CONCATENATE("000",HH_debt1718!A733),6),3)))</f>
        <v>227-907</v>
      </c>
      <c r="C733" s="91">
        <v>20500242</v>
      </c>
    </row>
    <row r="734" spans="1:3" ht="15">
      <c r="A734" t="s">
        <v>6116</v>
      </c>
      <c r="B734" s="722" t="str">
        <f>CONCATENATE(LEFT(RIGHT(CONCATENATE("000",HH_debt1718!A734),6),3),"-",(RIGHT(RIGHT(CONCATENATE("000",HH_debt1718!A734),6),3)))</f>
        <v>227-909</v>
      </c>
      <c r="C734" s="91">
        <v>19470050</v>
      </c>
    </row>
    <row r="735" spans="1:3" ht="15">
      <c r="A735" t="s">
        <v>3742</v>
      </c>
      <c r="B735" s="722" t="str">
        <f>CONCATENATE(LEFT(RIGHT(CONCATENATE("000",HH_debt1718!A735),6),3),"-",(RIGHT(RIGHT(CONCATENATE("000",HH_debt1718!A735),6),3)))</f>
        <v>227-910</v>
      </c>
      <c r="C735" s="91">
        <v>14643525</v>
      </c>
    </row>
    <row r="736" spans="1:3" ht="15">
      <c r="A736" t="s">
        <v>6117</v>
      </c>
      <c r="B736" s="722" t="str">
        <f>CONCATENATE(LEFT(RIGHT(CONCATENATE("000",HH_debt1718!A736),6),3),"-",(RIGHT(RIGHT(CONCATENATE("000",HH_debt1718!A736),6),3)))</f>
        <v>227-912</v>
      </c>
      <c r="C736" s="91">
        <v>3293888</v>
      </c>
    </row>
    <row r="737" spans="1:3" ht="15">
      <c r="A737" t="s">
        <v>6118</v>
      </c>
      <c r="B737" s="722" t="str">
        <f>CONCATENATE(LEFT(RIGHT(CONCATENATE("000",HH_debt1718!A737),6),3),"-",(RIGHT(RIGHT(CONCATENATE("000",HH_debt1718!A737),6),3)))</f>
        <v>227-913</v>
      </c>
      <c r="C737" s="91">
        <v>18561075</v>
      </c>
    </row>
    <row r="738" spans="1:3" ht="15">
      <c r="A738" t="s">
        <v>6119</v>
      </c>
      <c r="B738" s="722" t="str">
        <f>CONCATENATE(LEFT(RIGHT(CONCATENATE("000",HH_debt1718!A738),6),3),"-",(RIGHT(RIGHT(CONCATENATE("000",HH_debt1718!A738),6),3)))</f>
        <v>228-903</v>
      </c>
      <c r="C738" s="91">
        <v>348250</v>
      </c>
    </row>
    <row r="739" spans="1:3" ht="15">
      <c r="A739" t="s">
        <v>5567</v>
      </c>
      <c r="B739" s="722" t="str">
        <f>CONCATENATE(LEFT(RIGHT(CONCATENATE("000",HH_debt1718!A739),6),3),"-",(RIGHT(RIGHT(CONCATENATE("000",HH_debt1718!A739),6),3)))</f>
        <v>229-901</v>
      </c>
      <c r="C739" s="91">
        <v>96275</v>
      </c>
    </row>
    <row r="740" spans="1:3" ht="15">
      <c r="A740" t="s">
        <v>6120</v>
      </c>
      <c r="B740" s="722" t="str">
        <f>CONCATENATE(LEFT(RIGHT(CONCATENATE("000",HH_debt1718!A740),6),3),"-",(RIGHT(RIGHT(CONCATENATE("000",HH_debt1718!A740),6),3)))</f>
        <v>229-903</v>
      </c>
      <c r="C740" s="91">
        <v>610325</v>
      </c>
    </row>
    <row r="741" spans="1:3" ht="15">
      <c r="A741" t="s">
        <v>3743</v>
      </c>
      <c r="B741" s="722" t="str">
        <f>CONCATENATE(LEFT(RIGHT(CONCATENATE("000",HH_debt1718!A741),6),3),"-",(RIGHT(RIGHT(CONCATENATE("000",HH_debt1718!A741),6),3)))</f>
        <v>229-904</v>
      </c>
      <c r="C741" s="91">
        <v>1523162</v>
      </c>
    </row>
    <row r="742" spans="1:3" ht="15">
      <c r="A742" t="s">
        <v>3744</v>
      </c>
      <c r="B742" s="722" t="str">
        <f>CONCATENATE(LEFT(RIGHT(CONCATENATE("000",HH_debt1718!A742),6),3),"-",(RIGHT(RIGHT(CONCATENATE("000",HH_debt1718!A742),6),3)))</f>
        <v>229-905</v>
      </c>
      <c r="C742" s="91">
        <v>200181</v>
      </c>
    </row>
    <row r="743" spans="1:3" ht="15">
      <c r="A743" t="s">
        <v>3745</v>
      </c>
      <c r="B743" s="722" t="str">
        <f>CONCATENATE(LEFT(RIGHT(CONCATENATE("000",HH_debt1718!A743),6),3),"-",(RIGHT(RIGHT(CONCATENATE("000",HH_debt1718!A743),6),3)))</f>
        <v>229-906</v>
      </c>
      <c r="C743" s="91">
        <v>66658</v>
      </c>
    </row>
    <row r="744" spans="1:3" ht="15">
      <c r="A744" t="s">
        <v>6121</v>
      </c>
      <c r="B744" s="722" t="str">
        <f>CONCATENATE(LEFT(RIGHT(CONCATENATE("000",HH_debt1718!A744),6),3),"-",(RIGHT(RIGHT(CONCATENATE("000",HH_debt1718!A744),6),3)))</f>
        <v>230-901</v>
      </c>
      <c r="C744" s="91">
        <v>505725</v>
      </c>
    </row>
    <row r="745" spans="1:3" ht="15">
      <c r="A745" t="s">
        <v>6122</v>
      </c>
      <c r="B745" s="722" t="str">
        <f>CONCATENATE(LEFT(RIGHT(CONCATENATE("000",HH_debt1718!A745),6),3),"-",(RIGHT(RIGHT(CONCATENATE("000",HH_debt1718!A745),6),3)))</f>
        <v>230-902</v>
      </c>
      <c r="C745" s="91">
        <v>1199563</v>
      </c>
    </row>
    <row r="746" spans="1:3" ht="15">
      <c r="A746" t="s">
        <v>3746</v>
      </c>
      <c r="B746" s="722" t="str">
        <f>CONCATENATE(LEFT(RIGHT(CONCATENATE("000",HH_debt1718!A746),6),3),"-",(RIGHT(RIGHT(CONCATENATE("000",HH_debt1718!A746),6),3)))</f>
        <v>230-903</v>
      </c>
      <c r="C746" s="91">
        <v>643787</v>
      </c>
    </row>
    <row r="747" spans="1:3" ht="15">
      <c r="A747" t="s">
        <v>3747</v>
      </c>
      <c r="B747" s="722" t="str">
        <f>CONCATENATE(LEFT(RIGHT(CONCATENATE("000",HH_debt1718!A747),6),3),"-",(RIGHT(RIGHT(CONCATENATE("000",HH_debt1718!A747),6),3)))</f>
        <v>230-905</v>
      </c>
      <c r="C747" s="91">
        <v>243658</v>
      </c>
    </row>
    <row r="748" spans="1:3" ht="15">
      <c r="A748" t="s">
        <v>3748</v>
      </c>
      <c r="B748" s="722" t="str">
        <f>CONCATENATE(LEFT(RIGHT(CONCATENATE("000",HH_debt1718!A748),6),3),"-",(RIGHT(RIGHT(CONCATENATE("000",HH_debt1718!A748),6),3)))</f>
        <v>230-906</v>
      </c>
      <c r="C748" s="91">
        <v>264206</v>
      </c>
    </row>
    <row r="749" spans="1:3" ht="15">
      <c r="A749" t="s">
        <v>6123</v>
      </c>
      <c r="B749" s="722" t="str">
        <f>CONCATENATE(LEFT(RIGHT(CONCATENATE("000",HH_debt1718!A749),6),3),"-",(RIGHT(RIGHT(CONCATENATE("000",HH_debt1718!A749),6),3)))</f>
        <v>230-908</v>
      </c>
      <c r="C749" s="91">
        <v>856181</v>
      </c>
    </row>
    <row r="750" spans="1:3" ht="15">
      <c r="A750" t="s">
        <v>6124</v>
      </c>
      <c r="B750" s="722" t="str">
        <f>CONCATENATE(LEFT(RIGHT(CONCATENATE("000",HH_debt1718!A750),6),3),"-",(RIGHT(RIGHT(CONCATENATE("000",HH_debt1718!A750),6),3)))</f>
        <v>231-902</v>
      </c>
      <c r="C750" s="91">
        <v>2325624</v>
      </c>
    </row>
    <row r="751" spans="1:3" ht="15">
      <c r="A751" t="s">
        <v>3749</v>
      </c>
      <c r="B751" s="722" t="str">
        <f>CONCATENATE(LEFT(RIGHT(CONCATENATE("000",HH_debt1718!A751),6),3),"-",(RIGHT(RIGHT(CONCATENATE("000",HH_debt1718!A751),6),3)))</f>
        <v>232-901</v>
      </c>
      <c r="C751" s="91">
        <v>235552</v>
      </c>
    </row>
    <row r="752" spans="1:3" ht="15">
      <c r="A752" t="s">
        <v>3750</v>
      </c>
      <c r="B752" s="722" t="str">
        <f>CONCATENATE(LEFT(RIGHT(CONCATENATE("000",HH_debt1718!A752),6),3),"-",(RIGHT(RIGHT(CONCATENATE("000",HH_debt1718!A752),6),3)))</f>
        <v>232-902</v>
      </c>
      <c r="C752" s="91">
        <v>114350</v>
      </c>
    </row>
    <row r="753" spans="1:3" ht="15">
      <c r="A753" t="s">
        <v>3751</v>
      </c>
      <c r="B753" s="722" t="str">
        <f>CONCATENATE(LEFT(RIGHT(CONCATENATE("000",HH_debt1718!A753),6),3),"-",(RIGHT(RIGHT(CONCATENATE("000",HH_debt1718!A753),6),3)))</f>
        <v>232-903</v>
      </c>
      <c r="C753" s="91">
        <v>2634250</v>
      </c>
    </row>
    <row r="754" spans="1:3" ht="15">
      <c r="A754" t="s">
        <v>3752</v>
      </c>
      <c r="B754" s="722" t="str">
        <f>CONCATENATE(LEFT(RIGHT(CONCATENATE("000",HH_debt1718!A754),6),3),"-",(RIGHT(RIGHT(CONCATENATE("000",HH_debt1718!A754),6),3)))</f>
        <v>233-901</v>
      </c>
      <c r="C754" s="91">
        <v>4092430</v>
      </c>
    </row>
    <row r="755" spans="1:3" ht="15">
      <c r="A755" t="s">
        <v>6125</v>
      </c>
      <c r="B755" s="722" t="str">
        <f>CONCATENATE(LEFT(RIGHT(CONCATENATE("000",HH_debt1718!A755),6),3),"-",(RIGHT(RIGHT(CONCATENATE("000",HH_debt1718!A755),6),3)))</f>
        <v>233-903</v>
      </c>
      <c r="C755" s="91">
        <v>275688</v>
      </c>
    </row>
    <row r="756" spans="1:3" ht="15">
      <c r="A756" t="s">
        <v>3753</v>
      </c>
      <c r="B756" s="722" t="str">
        <f>CONCATENATE(LEFT(RIGHT(CONCATENATE("000",HH_debt1718!A756),6),3),"-",(RIGHT(RIGHT(CONCATENATE("000",HH_debt1718!A756),6),3)))</f>
        <v>234-902</v>
      </c>
      <c r="C756" s="91">
        <v>2606017</v>
      </c>
    </row>
    <row r="757" spans="1:3" ht="15">
      <c r="A757" t="s">
        <v>6126</v>
      </c>
      <c r="B757" s="722" t="str">
        <f>CONCATENATE(LEFT(RIGHT(CONCATENATE("000",HH_debt1718!A757),6),3),"-",(RIGHT(RIGHT(CONCATENATE("000",HH_debt1718!A757),6),3)))</f>
        <v>234-903</v>
      </c>
      <c r="C757" s="91">
        <v>528675</v>
      </c>
    </row>
    <row r="758" spans="1:3" ht="15">
      <c r="A758" t="s">
        <v>3754</v>
      </c>
      <c r="B758" s="722" t="str">
        <f>CONCATENATE(LEFT(RIGHT(CONCATENATE("000",HH_debt1718!A758),6),3),"-",(RIGHT(RIGHT(CONCATENATE("000",HH_debt1718!A758),6),3)))</f>
        <v>234-904</v>
      </c>
      <c r="C758" s="91">
        <v>911750</v>
      </c>
    </row>
    <row r="759" spans="1:3" ht="15">
      <c r="A759" t="s">
        <v>3755</v>
      </c>
      <c r="B759" s="722" t="str">
        <f>CONCATENATE(LEFT(RIGHT(CONCATENATE("000",HH_debt1718!A759),6),3),"-",(RIGHT(RIGHT(CONCATENATE("000",HH_debt1718!A759),6),3)))</f>
        <v>234-905</v>
      </c>
      <c r="C759" s="91">
        <v>221642</v>
      </c>
    </row>
    <row r="760" spans="1:3" ht="15">
      <c r="A760" t="s">
        <v>3756</v>
      </c>
      <c r="B760" s="722" t="str">
        <f>CONCATENATE(LEFT(RIGHT(CONCATENATE("000",HH_debt1718!A760),6),3),"-",(RIGHT(RIGHT(CONCATENATE("000",HH_debt1718!A760),6),3)))</f>
        <v>234-906</v>
      </c>
      <c r="C760" s="91">
        <v>2285573</v>
      </c>
    </row>
    <row r="761" spans="1:3" ht="15">
      <c r="A761" t="s">
        <v>3757</v>
      </c>
      <c r="B761" s="722" t="str">
        <f>CONCATENATE(LEFT(RIGHT(CONCATENATE("000",HH_debt1718!A761),6),3),"-",(RIGHT(RIGHT(CONCATENATE("000",HH_debt1718!A761),6),3)))</f>
        <v>234-909</v>
      </c>
      <c r="C761" s="91">
        <v>88150</v>
      </c>
    </row>
    <row r="762" spans="1:3" ht="15">
      <c r="A762" t="s">
        <v>3758</v>
      </c>
      <c r="B762" s="722" t="str">
        <f>CONCATENATE(LEFT(RIGHT(CONCATENATE("000",HH_debt1718!A762),6),3),"-",(RIGHT(RIGHT(CONCATENATE("000",HH_debt1718!A762),6),3)))</f>
        <v>235-901</v>
      </c>
      <c r="C762" s="91">
        <v>946874</v>
      </c>
    </row>
    <row r="763" spans="1:3" ht="15">
      <c r="A763" t="s">
        <v>3759</v>
      </c>
      <c r="B763" s="722" t="str">
        <f>CONCATENATE(LEFT(RIGHT(CONCATENATE("000",HH_debt1718!A763),6),3),"-",(RIGHT(RIGHT(CONCATENATE("000",HH_debt1718!A763),6),3)))</f>
        <v>235-902</v>
      </c>
      <c r="C763" s="91">
        <v>12365450</v>
      </c>
    </row>
    <row r="764" spans="1:3" ht="15">
      <c r="A764" t="s">
        <v>6128</v>
      </c>
      <c r="B764" s="722" t="str">
        <f>CONCATENATE(LEFT(RIGHT(CONCATENATE("000",HH_debt1718!A764),6),3),"-",(RIGHT(RIGHT(CONCATENATE("000",HH_debt1718!A764),6),3)))</f>
        <v>235-904</v>
      </c>
      <c r="C764" s="91">
        <v>225100</v>
      </c>
    </row>
    <row r="765" spans="1:3" ht="15">
      <c r="A765" t="s">
        <v>3760</v>
      </c>
      <c r="B765" s="722" t="str">
        <f>CONCATENATE(LEFT(RIGHT(CONCATENATE("000",HH_debt1718!A765),6),3),"-",(RIGHT(RIGHT(CONCATENATE("000",HH_debt1718!A765),6),3)))</f>
        <v>236-901</v>
      </c>
      <c r="C765" s="91">
        <v>616600</v>
      </c>
    </row>
    <row r="766" spans="1:3" ht="15">
      <c r="A766" t="s">
        <v>3761</v>
      </c>
      <c r="B766" s="722" t="str">
        <f>CONCATENATE(LEFT(RIGHT(CONCATENATE("000",HH_debt1718!A766),6),3),"-",(RIGHT(RIGHT(CONCATENATE("000",HH_debt1718!A766),6),3)))</f>
        <v>236-902</v>
      </c>
      <c r="C766" s="91">
        <v>2012100</v>
      </c>
    </row>
    <row r="767" spans="1:3" ht="15">
      <c r="A767" t="s">
        <v>3762</v>
      </c>
      <c r="B767" s="722" t="str">
        <f>CONCATENATE(LEFT(RIGHT(CONCATENATE("000",HH_debt1718!A767),6),3),"-",(RIGHT(RIGHT(CONCATENATE("000",HH_debt1718!A767),6),3)))</f>
        <v>237-902</v>
      </c>
      <c r="C767" s="91">
        <v>1437288</v>
      </c>
    </row>
    <row r="768" spans="1:3" ht="15">
      <c r="A768" t="s">
        <v>3763</v>
      </c>
      <c r="B768" s="722" t="str">
        <f>CONCATENATE(LEFT(RIGHT(CONCATENATE("000",HH_debt1718!A768),6),3),"-",(RIGHT(RIGHT(CONCATENATE("000",HH_debt1718!A768),6),3)))</f>
        <v>237-904</v>
      </c>
      <c r="C768" s="91">
        <v>7080291</v>
      </c>
    </row>
    <row r="769" spans="1:3" ht="15">
      <c r="A769" t="s">
        <v>3764</v>
      </c>
      <c r="B769" s="722" t="str">
        <f>CONCATENATE(LEFT(RIGHT(CONCATENATE("000",HH_debt1718!A769),6),3),"-",(RIGHT(RIGHT(CONCATENATE("000",HH_debt1718!A769),6),3)))</f>
        <v>237-905</v>
      </c>
      <c r="C769" s="91">
        <v>5052731</v>
      </c>
    </row>
    <row r="770" spans="1:3" ht="15">
      <c r="A770" t="s">
        <v>6129</v>
      </c>
      <c r="B770" s="722" t="str">
        <f>CONCATENATE(LEFT(RIGHT(CONCATENATE("000",HH_debt1718!A770),6),3),"-",(RIGHT(RIGHT(CONCATENATE("000",HH_debt1718!A770),6),3)))</f>
        <v>238-902</v>
      </c>
      <c r="C770" s="91">
        <v>2108344</v>
      </c>
    </row>
    <row r="771" spans="1:3" ht="15">
      <c r="A771" t="s">
        <v>6130</v>
      </c>
      <c r="B771" s="722" t="str">
        <f>CONCATENATE(LEFT(RIGHT(CONCATENATE("000",HH_debt1718!A771),6),3),"-",(RIGHT(RIGHT(CONCATENATE("000",HH_debt1718!A771),6),3)))</f>
        <v>239-901</v>
      </c>
      <c r="C771" s="91">
        <v>2323514</v>
      </c>
    </row>
    <row r="772" spans="1:3" ht="15">
      <c r="A772" t="s">
        <v>6131</v>
      </c>
      <c r="B772" s="722" t="str">
        <f>CONCATENATE(LEFT(RIGHT(CONCATENATE("000",HH_debt1718!A772),6),3),"-",(RIGHT(RIGHT(CONCATENATE("000",HH_debt1718!A772),6),3)))</f>
        <v>239-903</v>
      </c>
      <c r="C772" s="91">
        <v>483719</v>
      </c>
    </row>
    <row r="773" spans="1:3" ht="15">
      <c r="A773" t="s">
        <v>3765</v>
      </c>
      <c r="B773" s="722" t="str">
        <f>CONCATENATE(LEFT(RIGHT(CONCATENATE("000",HH_debt1718!A773),6),3),"-",(RIGHT(RIGHT(CONCATENATE("000",HH_debt1718!A773),6),3)))</f>
        <v>240-901</v>
      </c>
      <c r="C773" s="91">
        <v>26920862</v>
      </c>
    </row>
    <row r="774" spans="1:3" ht="15">
      <c r="A774" t="s">
        <v>3766</v>
      </c>
      <c r="B774" s="722" t="str">
        <f>CONCATENATE(LEFT(RIGHT(CONCATENATE("000",HH_debt1718!A774),6),3),"-",(RIGHT(RIGHT(CONCATENATE("000",HH_debt1718!A774),6),3)))</f>
        <v>240-903</v>
      </c>
      <c r="C774" s="91">
        <v>29937887</v>
      </c>
    </row>
    <row r="775" spans="1:3" ht="15">
      <c r="A775" t="s">
        <v>6133</v>
      </c>
      <c r="B775" s="722" t="str">
        <f>CONCATENATE(LEFT(RIGHT(CONCATENATE("000",HH_debt1718!A775),6),3),"-",(RIGHT(RIGHT(CONCATENATE("000",HH_debt1718!A775),6),3)))</f>
        <v>241-902</v>
      </c>
      <c r="C775" s="91">
        <v>214850</v>
      </c>
    </row>
    <row r="776" spans="1:3" ht="15">
      <c r="A776" t="s">
        <v>6134</v>
      </c>
      <c r="B776" s="722" t="str">
        <f>CONCATENATE(LEFT(RIGHT(CONCATENATE("000",HH_debt1718!A776),6),3),"-",(RIGHT(RIGHT(CONCATENATE("000",HH_debt1718!A776),6),3)))</f>
        <v>241-903</v>
      </c>
      <c r="C776" s="91">
        <v>2045666</v>
      </c>
    </row>
    <row r="777" spans="1:3" ht="15">
      <c r="A777" t="s">
        <v>6135</v>
      </c>
      <c r="B777" s="722" t="str">
        <f>CONCATENATE(LEFT(RIGHT(CONCATENATE("000",HH_debt1718!A777),6),3),"-",(RIGHT(RIGHT(CONCATENATE("000",HH_debt1718!A777),6),3)))</f>
        <v>241-904</v>
      </c>
      <c r="C777" s="91">
        <v>1420387</v>
      </c>
    </row>
    <row r="778" spans="1:3" ht="15">
      <c r="A778" t="s">
        <v>6137</v>
      </c>
      <c r="B778" s="722" t="str">
        <f>CONCATENATE(LEFT(RIGHT(CONCATENATE("000",HH_debt1718!A778),6),3),"-",(RIGHT(RIGHT(CONCATENATE("000",HH_debt1718!A778),6),3)))</f>
        <v>242-903</v>
      </c>
      <c r="C778" s="91">
        <v>622274</v>
      </c>
    </row>
    <row r="779" spans="1:3" ht="15">
      <c r="A779" t="s">
        <v>3767</v>
      </c>
      <c r="B779" s="722" t="str">
        <f>CONCATENATE(LEFT(RIGHT(CONCATENATE("000",HH_debt1718!A779),6),3),"-",(RIGHT(RIGHT(CONCATENATE("000",HH_debt1718!A779),6),3)))</f>
        <v>243-901</v>
      </c>
      <c r="C779" s="91">
        <v>1090800</v>
      </c>
    </row>
    <row r="780" spans="1:3" ht="15">
      <c r="A780" t="s">
        <v>6139</v>
      </c>
      <c r="B780" s="722" t="str">
        <f>CONCATENATE(LEFT(RIGHT(CONCATENATE("000",HH_debt1718!A780),6),3),"-",(RIGHT(RIGHT(CONCATENATE("000",HH_debt1718!A780),6),3)))</f>
        <v>243-902</v>
      </c>
      <c r="C780" s="91">
        <v>864381</v>
      </c>
    </row>
    <row r="781" spans="1:3" ht="15">
      <c r="A781" t="s">
        <v>6140</v>
      </c>
      <c r="B781" s="722" t="str">
        <f>CONCATENATE(LEFT(RIGHT(CONCATENATE("000",HH_debt1718!A781),6),3),"-",(RIGHT(RIGHT(CONCATENATE("000",HH_debt1718!A781),6),3)))</f>
        <v>243-903</v>
      </c>
      <c r="C781" s="91">
        <v>1383325</v>
      </c>
    </row>
    <row r="782" spans="1:3" ht="15">
      <c r="A782" t="s">
        <v>3768</v>
      </c>
      <c r="B782" s="722" t="str">
        <f>CONCATENATE(LEFT(RIGHT(CONCATENATE("000",HH_debt1718!A782),6),3),"-",(RIGHT(RIGHT(CONCATENATE("000",HH_debt1718!A782),6),3)))</f>
        <v>243-905</v>
      </c>
      <c r="C782" s="91">
        <v>8406500</v>
      </c>
    </row>
    <row r="783" spans="1:3" ht="15">
      <c r="A783" t="s">
        <v>3769</v>
      </c>
      <c r="B783" s="722" t="str">
        <f>CONCATENATE(LEFT(RIGHT(CONCATENATE("000",HH_debt1718!A783),6),3),"-",(RIGHT(RIGHT(CONCATENATE("000",HH_debt1718!A783),6),3)))</f>
        <v>243-906</v>
      </c>
      <c r="C783" s="91">
        <v>720000</v>
      </c>
    </row>
    <row r="784" spans="1:3" ht="15">
      <c r="A784" t="s">
        <v>6141</v>
      </c>
      <c r="B784" s="722" t="str">
        <f>CONCATENATE(LEFT(RIGHT(CONCATENATE("000",HH_debt1718!A784),6),3),"-",(RIGHT(RIGHT(CONCATENATE("000",HH_debt1718!A784),6),3)))</f>
        <v>244-903</v>
      </c>
      <c r="C784" s="91">
        <v>582850</v>
      </c>
    </row>
    <row r="785" spans="1:3" ht="15">
      <c r="A785" t="s">
        <v>3770</v>
      </c>
      <c r="B785" s="722" t="str">
        <f>CONCATENATE(LEFT(RIGHT(CONCATENATE("000",HH_debt1718!A785),6),3),"-",(RIGHT(RIGHT(CONCATENATE("000",HH_debt1718!A785),6),3)))</f>
        <v>244-905</v>
      </c>
      <c r="C785" s="91">
        <v>131965</v>
      </c>
    </row>
    <row r="786" spans="1:3" ht="15">
      <c r="A786" t="s">
        <v>3771</v>
      </c>
      <c r="B786" s="722" t="str">
        <f>CONCATENATE(LEFT(RIGHT(CONCATENATE("000",HH_debt1718!A786),6),3),"-",(RIGHT(RIGHT(CONCATENATE("000",HH_debt1718!A786),6),3)))</f>
        <v>245-901</v>
      </c>
      <c r="C786" s="91">
        <v>521497</v>
      </c>
    </row>
    <row r="787" spans="1:3" ht="15">
      <c r="A787" t="s">
        <v>3772</v>
      </c>
      <c r="B787" s="722" t="str">
        <f>CONCATENATE(LEFT(RIGHT(CONCATENATE("000",HH_debt1718!A787),6),3),"-",(RIGHT(RIGHT(CONCATENATE("000",HH_debt1718!A787),6),3)))</f>
        <v>245-902</v>
      </c>
      <c r="C787" s="91">
        <v>812930</v>
      </c>
    </row>
    <row r="788" spans="1:3" ht="15">
      <c r="A788" t="s">
        <v>3773</v>
      </c>
      <c r="B788" s="722" t="str">
        <f>CONCATENATE(LEFT(RIGHT(CONCATENATE("000",HH_debt1718!A788),6),3),"-",(RIGHT(RIGHT(CONCATENATE("000",HH_debt1718!A788),6),3)))</f>
        <v>245-903</v>
      </c>
      <c r="C788" s="91">
        <v>1681013</v>
      </c>
    </row>
    <row r="789" spans="1:3" ht="15">
      <c r="A789" t="s">
        <v>3774</v>
      </c>
      <c r="B789" s="722" t="str">
        <f>CONCATENATE(LEFT(RIGHT(CONCATENATE("000",HH_debt1718!A789),6),3),"-",(RIGHT(RIGHT(CONCATENATE("000",HH_debt1718!A789),6),3)))</f>
        <v>245-904</v>
      </c>
      <c r="C789" s="91">
        <v>255750</v>
      </c>
    </row>
    <row r="790" spans="1:3" ht="15">
      <c r="A790" t="s">
        <v>3775</v>
      </c>
      <c r="B790" s="722" t="str">
        <f>CONCATENATE(LEFT(RIGHT(CONCATENATE("000",HH_debt1718!A790),6),3),"-",(RIGHT(RIGHT(CONCATENATE("000",HH_debt1718!A790),6),3)))</f>
        <v>246-902</v>
      </c>
      <c r="C790" s="91">
        <v>736051</v>
      </c>
    </row>
    <row r="791" spans="1:3" ht="15">
      <c r="A791" t="s">
        <v>3776</v>
      </c>
      <c r="B791" s="722" t="str">
        <f>CONCATENATE(LEFT(RIGHT(CONCATENATE("000",HH_debt1718!A791),6),3),"-",(RIGHT(RIGHT(CONCATENATE("000",HH_debt1718!A791),6),3)))</f>
        <v>246-904</v>
      </c>
      <c r="C791" s="91">
        <v>17697063</v>
      </c>
    </row>
    <row r="792" spans="1:3" ht="15">
      <c r="A792" t="s">
        <v>3777</v>
      </c>
      <c r="B792" s="722" t="str">
        <f>CONCATENATE(LEFT(RIGHT(CONCATENATE("000",HH_debt1718!A792),6),3),"-",(RIGHT(RIGHT(CONCATENATE("000",HH_debt1718!A792),6),3)))</f>
        <v>246-905</v>
      </c>
      <c r="C792" s="91">
        <v>101488</v>
      </c>
    </row>
    <row r="793" spans="1:3" ht="15">
      <c r="A793" t="s">
        <v>3778</v>
      </c>
      <c r="B793" s="722" t="str">
        <f>CONCATENATE(LEFT(RIGHT(CONCATENATE("000",HH_debt1718!A793),6),3),"-",(RIGHT(RIGHT(CONCATENATE("000",HH_debt1718!A793),6),3)))</f>
        <v>246-906</v>
      </c>
      <c r="C793" s="91">
        <v>11380693</v>
      </c>
    </row>
    <row r="794" spans="1:3" ht="15">
      <c r="A794" t="s">
        <v>6142</v>
      </c>
      <c r="B794" s="722" t="str">
        <f>CONCATENATE(LEFT(RIGHT(CONCATENATE("000",HH_debt1718!A794),6),3),"-",(RIGHT(RIGHT(CONCATENATE("000",HH_debt1718!A794),6),3)))</f>
        <v>246-907</v>
      </c>
      <c r="C794" s="91">
        <v>3206913</v>
      </c>
    </row>
    <row r="795" spans="1:3" ht="15">
      <c r="A795" t="s">
        <v>3779</v>
      </c>
      <c r="B795" s="722" t="str">
        <f>CONCATENATE(LEFT(RIGHT(CONCATENATE("000",HH_debt1718!A795),6),3),"-",(RIGHT(RIGHT(CONCATENATE("000",HH_debt1718!A795),6),3)))</f>
        <v>246-908</v>
      </c>
      <c r="C795" s="91">
        <v>8516475</v>
      </c>
    </row>
    <row r="796" spans="1:3" ht="15">
      <c r="A796" t="s">
        <v>5691</v>
      </c>
      <c r="B796" s="722" t="str">
        <f>CONCATENATE(LEFT(RIGHT(CONCATENATE("000",HH_debt1718!A796),6),3),"-",(RIGHT(RIGHT(CONCATENATE("000",HH_debt1718!A796),6),3)))</f>
        <v>246-909</v>
      </c>
      <c r="C796" s="91">
        <v>58301295</v>
      </c>
    </row>
    <row r="797" spans="1:3" ht="15">
      <c r="A797" t="s">
        <v>3780</v>
      </c>
      <c r="B797" s="722" t="str">
        <f>CONCATENATE(LEFT(RIGHT(CONCATENATE("000",HH_debt1718!A797),6),3),"-",(RIGHT(RIGHT(CONCATENATE("000",HH_debt1718!A797),6),3)))</f>
        <v>246-911</v>
      </c>
      <c r="C797" s="91">
        <v>3600942</v>
      </c>
    </row>
    <row r="798" spans="1:3" ht="15">
      <c r="A798" t="s">
        <v>3781</v>
      </c>
      <c r="B798" s="722" t="str">
        <f>CONCATENATE(LEFT(RIGHT(CONCATENATE("000",HH_debt1718!A798),6),3),"-",(RIGHT(RIGHT(CONCATENATE("000",HH_debt1718!A798),6),3)))</f>
        <v>246-912</v>
      </c>
      <c r="C798" s="91">
        <v>306573</v>
      </c>
    </row>
    <row r="799" spans="1:3" ht="15">
      <c r="A799" t="s">
        <v>3782</v>
      </c>
      <c r="B799" s="722" t="str">
        <f>CONCATENATE(LEFT(RIGHT(CONCATENATE("000",HH_debt1718!A799),6),3),"-",(RIGHT(RIGHT(CONCATENATE("000",HH_debt1718!A799),6),3)))</f>
        <v>246-913</v>
      </c>
      <c r="C799" s="91">
        <v>80080606</v>
      </c>
    </row>
    <row r="800" spans="1:3" ht="15">
      <c r="A800" t="s">
        <v>3783</v>
      </c>
      <c r="B800" s="722" t="str">
        <f>CONCATENATE(LEFT(RIGHT(CONCATENATE("000",HH_debt1718!A800),6),3),"-",(RIGHT(RIGHT(CONCATENATE("000",HH_debt1718!A800),6),3)))</f>
        <v>247-901</v>
      </c>
      <c r="C800" s="91">
        <v>5182695</v>
      </c>
    </row>
    <row r="801" spans="1:3" ht="15">
      <c r="A801" t="s">
        <v>3784</v>
      </c>
      <c r="B801" s="722" t="str">
        <f>CONCATENATE(LEFT(RIGHT(CONCATENATE("000",HH_debt1718!A801),6),3),"-",(RIGHT(RIGHT(CONCATENATE("000",HH_debt1718!A801),6),3)))</f>
        <v>247-903</v>
      </c>
      <c r="C801" s="91">
        <v>3312964</v>
      </c>
    </row>
    <row r="802" spans="1:3" ht="15">
      <c r="A802" t="s">
        <v>3785</v>
      </c>
      <c r="B802" s="722" t="str">
        <f>CONCATENATE(LEFT(RIGHT(CONCATENATE("000",HH_debt1718!A802),6),3),"-",(RIGHT(RIGHT(CONCATENATE("000",HH_debt1718!A802),6),3)))</f>
        <v>247-904</v>
      </c>
      <c r="C802" s="91">
        <v>404822</v>
      </c>
    </row>
    <row r="803" spans="1:3" ht="15">
      <c r="A803" t="s">
        <v>3786</v>
      </c>
      <c r="B803" s="722" t="str">
        <f>CONCATENATE(LEFT(RIGHT(CONCATENATE("000",HH_debt1718!A803),6),3),"-",(RIGHT(RIGHT(CONCATENATE("000",HH_debt1718!A803),6),3)))</f>
        <v>247-906</v>
      </c>
      <c r="C803" s="91">
        <v>773074</v>
      </c>
    </row>
    <row r="804" spans="1:3" ht="15">
      <c r="A804" t="s">
        <v>6143</v>
      </c>
      <c r="B804" s="722" t="str">
        <f>CONCATENATE(LEFT(RIGHT(CONCATENATE("000",HH_debt1718!A804),6),3),"-",(RIGHT(RIGHT(CONCATENATE("000",HH_debt1718!A804),6),3)))</f>
        <v>248-901</v>
      </c>
      <c r="C804" s="91">
        <v>2075175</v>
      </c>
    </row>
    <row r="805" spans="1:3" ht="15">
      <c r="A805" t="s">
        <v>6144</v>
      </c>
      <c r="B805" s="722" t="str">
        <f>CONCATENATE(LEFT(RIGHT(CONCATENATE("000",HH_debt1718!A805),6),3),"-",(RIGHT(RIGHT(CONCATENATE("000",HH_debt1718!A805),6),3)))</f>
        <v>248-902</v>
      </c>
      <c r="C805" s="91">
        <v>3070500</v>
      </c>
    </row>
    <row r="806" spans="1:3" ht="15">
      <c r="A806" t="s">
        <v>3787</v>
      </c>
      <c r="B806" s="722" t="str">
        <f>CONCATENATE(LEFT(RIGHT(CONCATENATE("000",HH_debt1718!A806),6),3),"-",(RIGHT(RIGHT(CONCATENATE("000",HH_debt1718!A806),6),3)))</f>
        <v>249-901</v>
      </c>
      <c r="C806" s="91">
        <v>742925</v>
      </c>
    </row>
    <row r="807" spans="1:3" ht="15">
      <c r="A807" t="s">
        <v>6145</v>
      </c>
      <c r="B807" s="722" t="str">
        <f>CONCATENATE(LEFT(RIGHT(CONCATENATE("000",HH_debt1718!A807),6),3),"-",(RIGHT(RIGHT(CONCATENATE("000",HH_debt1718!A807),6),3)))</f>
        <v>249-902</v>
      </c>
      <c r="C807" s="91">
        <v>1408632</v>
      </c>
    </row>
    <row r="808" spans="1:3" ht="15">
      <c r="A808" t="s">
        <v>6146</v>
      </c>
      <c r="B808" s="722" t="str">
        <f>CONCATENATE(LEFT(RIGHT(CONCATENATE("000",HH_debt1718!A808),6),3),"-",(RIGHT(RIGHT(CONCATENATE("000",HH_debt1718!A808),6),3)))</f>
        <v>249-903</v>
      </c>
      <c r="C808" s="91">
        <v>2620265</v>
      </c>
    </row>
    <row r="809" spans="1:3" ht="15">
      <c r="A809" t="s">
        <v>6147</v>
      </c>
      <c r="B809" s="722" t="str">
        <f>CONCATENATE(LEFT(RIGHT(CONCATENATE("000",HH_debt1718!A809),6),3),"-",(RIGHT(RIGHT(CONCATENATE("000",HH_debt1718!A809),6),3)))</f>
        <v>249-904</v>
      </c>
      <c r="C809" s="91">
        <v>1159496</v>
      </c>
    </row>
    <row r="810" spans="1:3" ht="15">
      <c r="A810" t="s">
        <v>6148</v>
      </c>
      <c r="B810" s="722" t="str">
        <f>CONCATENATE(LEFT(RIGHT(CONCATENATE("000",HH_debt1718!A810),6),3),"-",(RIGHT(RIGHT(CONCATENATE("000",HH_debt1718!A810),6),3)))</f>
        <v>249-905</v>
      </c>
      <c r="C810" s="91">
        <v>5681337</v>
      </c>
    </row>
    <row r="811" spans="1:3" ht="15">
      <c r="A811" t="s">
        <v>3788</v>
      </c>
      <c r="B811" s="722" t="str">
        <f>CONCATENATE(LEFT(RIGHT(CONCATENATE("000",HH_debt1718!A811),6),3),"-",(RIGHT(RIGHT(CONCATENATE("000",HH_debt1718!A811),6),3)))</f>
        <v>249-906</v>
      </c>
      <c r="C811" s="91">
        <v>1119925</v>
      </c>
    </row>
    <row r="812" spans="1:3" ht="15">
      <c r="A812" t="s">
        <v>3789</v>
      </c>
      <c r="B812" s="722" t="str">
        <f>CONCATENATE(LEFT(RIGHT(CONCATENATE("000",HH_debt1718!A812),6),3),"-",(RIGHT(RIGHT(CONCATENATE("000",HH_debt1718!A812),6),3)))</f>
        <v>249-908</v>
      </c>
      <c r="C812" s="91">
        <v>201150</v>
      </c>
    </row>
    <row r="813" spans="1:3" ht="15">
      <c r="A813" t="s">
        <v>6149</v>
      </c>
      <c r="B813" s="722" t="str">
        <f>CONCATENATE(LEFT(RIGHT(CONCATENATE("000",HH_debt1718!A813),6),3),"-",(RIGHT(RIGHT(CONCATENATE("000",HH_debt1718!A813),6),3)))</f>
        <v>250-902</v>
      </c>
      <c r="C813" s="91">
        <v>1500471</v>
      </c>
    </row>
    <row r="814" spans="1:3" ht="15">
      <c r="A814" t="s">
        <v>6150</v>
      </c>
      <c r="B814" s="722" t="str">
        <f>CONCATENATE(LEFT(RIGHT(CONCATENATE("000",HH_debt1718!A814),6),3),"-",(RIGHT(RIGHT(CONCATENATE("000",HH_debt1718!A814),6),3)))</f>
        <v>250-904</v>
      </c>
      <c r="C814" s="91">
        <v>535400</v>
      </c>
    </row>
    <row r="815" spans="1:3" ht="15">
      <c r="A815" t="s">
        <v>6151</v>
      </c>
      <c r="B815" s="722" t="str">
        <f>CONCATENATE(LEFT(RIGHT(CONCATENATE("000",HH_debt1718!A815),6),3),"-",(RIGHT(RIGHT(CONCATENATE("000",HH_debt1718!A815),6),3)))</f>
        <v>250-905</v>
      </c>
      <c r="C815" s="91">
        <v>171250</v>
      </c>
    </row>
    <row r="816" spans="1:3" ht="15">
      <c r="A816" t="s">
        <v>6152</v>
      </c>
      <c r="B816" s="722" t="str">
        <f>CONCATENATE(LEFT(RIGHT(CONCATENATE("000",HH_debt1718!A816),6),3),"-",(RIGHT(RIGHT(CONCATENATE("000",HH_debt1718!A816),6),3)))</f>
        <v>250-906</v>
      </c>
      <c r="C816" s="91">
        <v>136438</v>
      </c>
    </row>
    <row r="817" spans="1:3" ht="15">
      <c r="A817" t="s">
        <v>6153</v>
      </c>
      <c r="B817" s="722" t="str">
        <f>CONCATENATE(LEFT(RIGHT(CONCATENATE("000",HH_debt1718!A817),6),3),"-",(RIGHT(RIGHT(CONCATENATE("000",HH_debt1718!A817),6),3)))</f>
        <v>251-901</v>
      </c>
      <c r="C817" s="91">
        <v>3581300</v>
      </c>
    </row>
    <row r="818" spans="1:3" ht="15">
      <c r="A818" t="s">
        <v>6154</v>
      </c>
      <c r="B818" s="722" t="str">
        <f>CONCATENATE(LEFT(RIGHT(CONCATENATE("000",HH_debt1718!A818),6),3),"-",(RIGHT(RIGHT(CONCATENATE("000",HH_debt1718!A818),6),3)))</f>
        <v>251-902</v>
      </c>
      <c r="C818" s="91">
        <v>3660469</v>
      </c>
    </row>
    <row r="819" spans="1:3" ht="15">
      <c r="A819" t="s">
        <v>3790</v>
      </c>
      <c r="B819" s="722" t="str">
        <f>CONCATENATE(LEFT(RIGHT(CONCATENATE("000",HH_debt1718!A819),6),3),"-",(RIGHT(RIGHT(CONCATENATE("000",HH_debt1718!A819),6),3)))</f>
        <v>252-901</v>
      </c>
      <c r="C819" s="91">
        <v>2505517</v>
      </c>
    </row>
    <row r="820" spans="1:3" ht="15">
      <c r="A820" t="s">
        <v>6155</v>
      </c>
      <c r="B820" s="722" t="str">
        <f>CONCATENATE(LEFT(RIGHT(CONCATENATE("000",HH_debt1718!A820),6),3),"-",(RIGHT(RIGHT(CONCATENATE("000",HH_debt1718!A820),6),3)))</f>
        <v>252-902</v>
      </c>
      <c r="C820" s="91">
        <v>322940</v>
      </c>
    </row>
    <row r="821" spans="1:3" ht="15">
      <c r="A821" t="s">
        <v>3791</v>
      </c>
      <c r="B821" s="722" t="str">
        <f>CONCATENATE(LEFT(RIGHT(CONCATENATE("000",HH_debt1718!A821),6),3),"-",(RIGHT(RIGHT(CONCATENATE("000",HH_debt1718!A821),6),3)))</f>
        <v>252-903</v>
      </c>
      <c r="C821" s="91">
        <v>189000</v>
      </c>
    </row>
    <row r="822" spans="1:3" ht="15">
      <c r="A822" t="s">
        <v>3792</v>
      </c>
      <c r="B822" s="722" t="str">
        <f>CONCATENATE(LEFT(RIGHT(CONCATENATE("000",HH_debt1718!A822),6),3),"-",(RIGHT(RIGHT(CONCATENATE("000",HH_debt1718!A822),6),3)))</f>
        <v>254-901</v>
      </c>
      <c r="C822" s="91">
        <v>3666225</v>
      </c>
    </row>
    <row r="823" spans="1:3" ht="15">
      <c r="A823" t="s">
        <v>3793</v>
      </c>
      <c r="B823" s="722"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42578125" customWidth="1"/>
    <col min="3" max="3" width="15.5703125" customWidth="1"/>
  </cols>
  <sheetData>
    <row r="1" spans="1:3" ht="15">
      <c r="A1" t="s">
        <v>3365</v>
      </c>
      <c r="B1" s="722" t="str">
        <f>CONCATENATE(LEFT(RIGHT(CONCATENATE("000",HH_debt1819!A1),6),3),"-",(RIGHT(RIGHT(CONCATENATE("000",HH_debt1819!A1),6),3)))</f>
        <v>001-903</v>
      </c>
      <c r="C1" s="91">
        <v>1060294</v>
      </c>
    </row>
    <row r="2" spans="1:3" ht="15">
      <c r="A2" t="s">
        <v>5753</v>
      </c>
      <c r="B2" s="722" t="str">
        <f>CONCATENATE(LEFT(RIGHT(CONCATENATE("000",HH_debt1819!A2),6),3),"-",(RIGHT(RIGHT(CONCATENATE("000",HH_debt1819!A2),6),3)))</f>
        <v>001-904</v>
      </c>
      <c r="C2" s="91">
        <v>950397</v>
      </c>
    </row>
    <row r="3" spans="1:3" ht="15">
      <c r="A3" t="s">
        <v>5754</v>
      </c>
      <c r="B3" s="722" t="str">
        <f>CONCATENATE(LEFT(RIGHT(CONCATENATE("000",HH_debt1819!A3),6),3),"-",(RIGHT(RIGHT(CONCATENATE("000",HH_debt1819!A3),6),3)))</f>
        <v>001-906</v>
      </c>
      <c r="C3" s="91">
        <v>332525</v>
      </c>
    </row>
    <row r="4" spans="1:3" ht="15">
      <c r="A4" t="s">
        <v>3366</v>
      </c>
      <c r="B4" s="722" t="str">
        <f>CONCATENATE(LEFT(RIGHT(CONCATENATE("000",HH_debt1819!A4),6),3),"-",(RIGHT(RIGHT(CONCATENATE("000",HH_debt1819!A4),6),3)))</f>
        <v>001-907</v>
      </c>
      <c r="C4" s="91">
        <v>4259451</v>
      </c>
    </row>
    <row r="5" spans="1:3" ht="15">
      <c r="A5" t="s">
        <v>5755</v>
      </c>
      <c r="B5" s="722" t="str">
        <f>CONCATENATE(LEFT(RIGHT(CONCATENATE("000",HH_debt1819!A5),6),3),"-",(RIGHT(RIGHT(CONCATENATE("000",HH_debt1819!A5),6),3)))</f>
        <v>001-909</v>
      </c>
      <c r="C5" s="91">
        <v>202300</v>
      </c>
    </row>
    <row r="6" spans="1:3" ht="15">
      <c r="A6" t="s">
        <v>5756</v>
      </c>
      <c r="B6" s="722" t="str">
        <f>CONCATENATE(LEFT(RIGHT(CONCATENATE("000",HH_debt1819!A6),6),3),"-",(RIGHT(RIGHT(CONCATENATE("000",HH_debt1819!A6),6),3)))</f>
        <v>002-901</v>
      </c>
      <c r="C6" s="91">
        <v>4380138</v>
      </c>
    </row>
    <row r="7" spans="1:3" ht="15">
      <c r="A7" t="s">
        <v>3367</v>
      </c>
      <c r="B7" s="722" t="str">
        <f>CONCATENATE(LEFT(RIGHT(CONCATENATE("000",HH_debt1819!A7),6),3),"-",(RIGHT(RIGHT(CONCATENATE("000",HH_debt1819!A7),6),3)))</f>
        <v>003-902</v>
      </c>
      <c r="C7" s="91">
        <v>1540032</v>
      </c>
    </row>
    <row r="8" spans="1:3" ht="15">
      <c r="A8" t="s">
        <v>5757</v>
      </c>
      <c r="B8" s="722" t="str">
        <f>CONCATENATE(LEFT(RIGHT(CONCATENATE("000",HH_debt1819!A8),6),3),"-",(RIGHT(RIGHT(CONCATENATE("000",HH_debt1819!A8),6),3)))</f>
        <v>003-903</v>
      </c>
      <c r="C8" s="91">
        <v>4716295</v>
      </c>
    </row>
    <row r="9" spans="1:3" ht="15">
      <c r="A9" t="s">
        <v>3368</v>
      </c>
      <c r="B9" s="722" t="str">
        <f>CONCATENATE(LEFT(RIGHT(CONCATENATE("000",HH_debt1819!A9),6),3),"-",(RIGHT(RIGHT(CONCATENATE("000",HH_debt1819!A9),6),3)))</f>
        <v>003-904</v>
      </c>
      <c r="C9" s="91">
        <v>1357250</v>
      </c>
    </row>
    <row r="10" spans="1:3" ht="15">
      <c r="A10" t="s">
        <v>3369</v>
      </c>
      <c r="B10" s="722" t="str">
        <f>CONCATENATE(LEFT(RIGHT(CONCATENATE("000",HH_debt1819!A10),6),3),"-",(RIGHT(RIGHT(CONCATENATE("000",HH_debt1819!A10),6),3)))</f>
        <v>003-905</v>
      </c>
      <c r="C10" s="91">
        <v>1311399</v>
      </c>
    </row>
    <row r="11" spans="1:3" ht="15">
      <c r="A11" t="s">
        <v>5758</v>
      </c>
      <c r="B11" s="722" t="str">
        <f>CONCATENATE(LEFT(RIGHT(CONCATENATE("000",HH_debt1819!A11),6),3),"-",(RIGHT(RIGHT(CONCATENATE("000",HH_debt1819!A11),6),3)))</f>
        <v>003-906</v>
      </c>
      <c r="C11" s="91">
        <v>424223</v>
      </c>
    </row>
    <row r="12" spans="1:3" ht="15">
      <c r="A12" t="s">
        <v>3370</v>
      </c>
      <c r="B12" s="722" t="str">
        <f>CONCATENATE(LEFT(RIGHT(CONCATENATE("000",HH_debt1819!A12),6),3),"-",(RIGHT(RIGHT(CONCATENATE("000",HH_debt1819!A12),6),3)))</f>
        <v>003-907</v>
      </c>
      <c r="C12" s="91">
        <v>811656</v>
      </c>
    </row>
    <row r="13" spans="1:3" ht="15">
      <c r="A13" t="s">
        <v>5759</v>
      </c>
      <c r="B13" s="722" t="str">
        <f>CONCATENATE(LEFT(RIGHT(CONCATENATE("000",HH_debt1819!A13),6),3),"-",(RIGHT(RIGHT(CONCATENATE("000",HH_debt1819!A13),6),3)))</f>
        <v>004-901</v>
      </c>
      <c r="C13" s="91">
        <v>2656963</v>
      </c>
    </row>
    <row r="14" spans="1:3" ht="15">
      <c r="A14" t="s">
        <v>5761</v>
      </c>
      <c r="B14" s="722" t="str">
        <f>CONCATENATE(LEFT(RIGHT(CONCATENATE("000",HH_debt1819!A14),6),3),"-",(RIGHT(RIGHT(CONCATENATE("000",HH_debt1819!A14),6),3)))</f>
        <v>005-902</v>
      </c>
      <c r="C14" s="91">
        <v>1255685</v>
      </c>
    </row>
    <row r="15" spans="1:3" ht="15">
      <c r="A15" t="s">
        <v>3371</v>
      </c>
      <c r="B15" s="722" t="str">
        <f>CONCATENATE(LEFT(RIGHT(CONCATENATE("000",HH_debt1819!A15),6),3),"-",(RIGHT(RIGHT(CONCATENATE("000",HH_debt1819!A15),6),3)))</f>
        <v>005-904</v>
      </c>
      <c r="C15" s="91">
        <v>173506</v>
      </c>
    </row>
    <row r="16" spans="1:3" ht="15">
      <c r="A16" t="s">
        <v>5762</v>
      </c>
      <c r="B16" s="722" t="str">
        <f>CONCATENATE(LEFT(RIGHT(CONCATENATE("000",HH_debt1819!A16),6),3),"-",(RIGHT(RIGHT(CONCATENATE("000",HH_debt1819!A16),6),3)))</f>
        <v>006-902</v>
      </c>
      <c r="C16" s="91">
        <v>134650</v>
      </c>
    </row>
    <row r="17" spans="1:3" ht="15">
      <c r="A17" t="s">
        <v>3372</v>
      </c>
      <c r="B17" s="722" t="str">
        <f>CONCATENATE(LEFT(RIGHT(CONCATENATE("000",HH_debt1819!A17),6),3),"-",(RIGHT(RIGHT(CONCATENATE("000",HH_debt1819!A17),6),3)))</f>
        <v>007-901</v>
      </c>
      <c r="C17" s="91">
        <v>357766</v>
      </c>
    </row>
    <row r="18" spans="1:3" ht="15">
      <c r="A18" t="s">
        <v>3373</v>
      </c>
      <c r="B18" s="722" t="str">
        <f>CONCATENATE(LEFT(RIGHT(CONCATENATE("000",HH_debt1819!A18),6),3),"-",(RIGHT(RIGHT(CONCATENATE("000",HH_debt1819!A18),6),3)))</f>
        <v>007-904</v>
      </c>
      <c r="C18" s="91">
        <v>1250089</v>
      </c>
    </row>
    <row r="19" spans="1:3" ht="15">
      <c r="A19" t="s">
        <v>3374</v>
      </c>
      <c r="B19" s="722" t="str">
        <f>CONCATENATE(LEFT(RIGHT(CONCATENATE("000",HH_debt1819!A19),6),3),"-",(RIGHT(RIGHT(CONCATENATE("000",HH_debt1819!A19),6),3)))</f>
        <v>007-905</v>
      </c>
      <c r="C19" s="91">
        <v>5708169</v>
      </c>
    </row>
    <row r="20" spans="1:3" ht="15">
      <c r="A20" t="s">
        <v>3375</v>
      </c>
      <c r="B20" s="722" t="str">
        <f>CONCATENATE(LEFT(RIGHT(CONCATENATE("000",HH_debt1819!A20),6),3),"-",(RIGHT(RIGHT(CONCATENATE("000",HH_debt1819!A20),6),3)))</f>
        <v>007-906</v>
      </c>
      <c r="C20" s="91">
        <v>2037172</v>
      </c>
    </row>
    <row r="21" spans="1:3" ht="15">
      <c r="A21" t="s">
        <v>5763</v>
      </c>
      <c r="B21" s="722" t="str">
        <f>CONCATENATE(LEFT(RIGHT(CONCATENATE("000",HH_debt1819!A21),6),3),"-",(RIGHT(RIGHT(CONCATENATE("000",HH_debt1819!A21),6),3)))</f>
        <v>008-901</v>
      </c>
      <c r="C21" s="91">
        <v>1848517</v>
      </c>
    </row>
    <row r="22" spans="1:3" ht="15">
      <c r="A22" t="s">
        <v>5764</v>
      </c>
      <c r="B22" s="722" t="str">
        <f>CONCATENATE(LEFT(RIGHT(CONCATENATE("000",HH_debt1819!A22),6),3),"-",(RIGHT(RIGHT(CONCATENATE("000",HH_debt1819!A22),6),3)))</f>
        <v>008-902</v>
      </c>
      <c r="C22" s="91">
        <v>2475100</v>
      </c>
    </row>
    <row r="23" spans="1:3" ht="15">
      <c r="A23" t="s">
        <v>5765</v>
      </c>
      <c r="B23" s="722" t="str">
        <f>CONCATENATE(LEFT(RIGHT(CONCATENATE("000",HH_debt1819!A23),6),3),"-",(RIGHT(RIGHT(CONCATENATE("000",HH_debt1819!A23),6),3)))</f>
        <v>008-903</v>
      </c>
      <c r="C23" s="91">
        <v>1097577</v>
      </c>
    </row>
    <row r="24" spans="1:3" ht="15">
      <c r="A24" t="s">
        <v>3376</v>
      </c>
      <c r="B24" s="722" t="str">
        <f>CONCATENATE(LEFT(RIGHT(CONCATENATE("000",HH_debt1819!A24),6),3),"-",(RIGHT(RIGHT(CONCATENATE("000",HH_debt1819!A24),6),3)))</f>
        <v>009-901</v>
      </c>
      <c r="C24" s="91">
        <v>1508186</v>
      </c>
    </row>
    <row r="25" spans="1:3" ht="15">
      <c r="A25" t="s">
        <v>3377</v>
      </c>
      <c r="B25" s="722" t="str">
        <f>CONCATENATE(LEFT(RIGHT(CONCATENATE("000",HH_debt1819!A25),6),3),"-",(RIGHT(RIGHT(CONCATENATE("000",HH_debt1819!A25),6),3)))</f>
        <v>010-902</v>
      </c>
      <c r="C25" s="91">
        <v>1890641</v>
      </c>
    </row>
    <row r="26" spans="1:3" ht="15">
      <c r="A26" t="s">
        <v>3378</v>
      </c>
      <c r="B26" s="722" t="str">
        <f>CONCATENATE(LEFT(RIGHT(CONCATENATE("000",HH_debt1819!A26),6),3),"-",(RIGHT(RIGHT(CONCATENATE("000",HH_debt1819!A26),6),3)))</f>
        <v>011-901</v>
      </c>
      <c r="C26" s="91">
        <v>13140300</v>
      </c>
    </row>
    <row r="27" spans="1:3" ht="15">
      <c r="A27" t="s">
        <v>3379</v>
      </c>
      <c r="B27" s="722" t="str">
        <f>CONCATENATE(LEFT(RIGHT(CONCATENATE("000",HH_debt1819!A27),6),3),"-",(RIGHT(RIGHT(CONCATENATE("000",HH_debt1819!A27),6),3)))</f>
        <v>011-902</v>
      </c>
      <c r="C27" s="91">
        <v>6637207</v>
      </c>
    </row>
    <row r="28" spans="1:3" ht="15">
      <c r="A28" t="s">
        <v>3380</v>
      </c>
      <c r="B28" s="722" t="str">
        <f>CONCATENATE(LEFT(RIGHT(CONCATENATE("000",HH_debt1819!A28),6),3),"-",(RIGHT(RIGHT(CONCATENATE("000",HH_debt1819!A28),6),3)))</f>
        <v>011-904</v>
      </c>
      <c r="C28" s="91">
        <v>1027750</v>
      </c>
    </row>
    <row r="29" spans="1:3" ht="15">
      <c r="A29" t="s">
        <v>3381</v>
      </c>
      <c r="B29" s="722" t="str">
        <f>CONCATENATE(LEFT(RIGHT(CONCATENATE("000",HH_debt1819!A29),6),3),"-",(RIGHT(RIGHT(CONCATENATE("000",HH_debt1819!A29),6),3)))</f>
        <v>011-905</v>
      </c>
      <c r="C29" s="91">
        <v>94075</v>
      </c>
    </row>
    <row r="30" spans="1:3" ht="15">
      <c r="A30" t="s">
        <v>3382</v>
      </c>
      <c r="B30" s="722" t="str">
        <f>CONCATENATE(LEFT(RIGHT(CONCATENATE("000",HH_debt1819!A30),6),3),"-",(RIGHT(RIGHT(CONCATENATE("000",HH_debt1819!A30),6),3)))</f>
        <v>013-901</v>
      </c>
      <c r="C30" s="91">
        <v>1623171</v>
      </c>
    </row>
    <row r="31" spans="1:3" ht="15">
      <c r="A31" t="s">
        <v>5766</v>
      </c>
      <c r="B31" s="722" t="str">
        <f>CONCATENATE(LEFT(RIGHT(CONCATENATE("000",HH_debt1819!A31),6),3),"-",(RIGHT(RIGHT(CONCATENATE("000",HH_debt1819!A31),6),3)))</f>
        <v>013-902</v>
      </c>
      <c r="C31" s="91">
        <v>829300</v>
      </c>
    </row>
    <row r="32" spans="1:3" ht="15">
      <c r="A32" t="s">
        <v>5767</v>
      </c>
      <c r="B32" s="722" t="str">
        <f>CONCATENATE(LEFT(RIGHT(CONCATENATE("000",HH_debt1819!A32),6),3),"-",(RIGHT(RIGHT(CONCATENATE("000",HH_debt1819!A32),6),3)))</f>
        <v>013-903</v>
      </c>
      <c r="C32" s="91">
        <v>554838</v>
      </c>
    </row>
    <row r="33" spans="1:3" ht="15">
      <c r="A33" t="s">
        <v>3383</v>
      </c>
      <c r="B33" s="722" t="str">
        <f>CONCATENATE(LEFT(RIGHT(CONCATENATE("000",HH_debt1819!A33),6),3),"-",(RIGHT(RIGHT(CONCATENATE("000",HH_debt1819!A33),6),3)))</f>
        <v>013-905</v>
      </c>
      <c r="C33" s="91">
        <v>796248</v>
      </c>
    </row>
    <row r="34" spans="1:3" ht="15">
      <c r="A34" t="s">
        <v>5768</v>
      </c>
      <c r="B34" s="722" t="str">
        <f>CONCATENATE(LEFT(RIGHT(CONCATENATE("000",HH_debt1819!A34),6),3),"-",(RIGHT(RIGHT(CONCATENATE("000",HH_debt1819!A34),6),3)))</f>
        <v>014-901</v>
      </c>
      <c r="C34" s="91">
        <v>1516900</v>
      </c>
    </row>
    <row r="35" spans="1:3" ht="15">
      <c r="A35" t="s">
        <v>3384</v>
      </c>
      <c r="B35" s="722" t="str">
        <f>CONCATENATE(LEFT(RIGHT(CONCATENATE("000",HH_debt1819!A35),6),3),"-",(RIGHT(RIGHT(CONCATENATE("000",HH_debt1819!A35),6),3)))</f>
        <v>014-902</v>
      </c>
      <c r="C35" s="91">
        <v>167200</v>
      </c>
    </row>
    <row r="36" spans="1:3" ht="15">
      <c r="A36" t="s">
        <v>3385</v>
      </c>
      <c r="B36" s="722" t="str">
        <f>CONCATENATE(LEFT(RIGHT(CONCATENATE("000",HH_debt1819!A36),6),3),"-",(RIGHT(RIGHT(CONCATENATE("000",HH_debt1819!A36),6),3)))</f>
        <v>014-903</v>
      </c>
      <c r="C36" s="91">
        <v>8916574</v>
      </c>
    </row>
    <row r="37" spans="1:3" ht="15">
      <c r="A37" t="s">
        <v>3386</v>
      </c>
      <c r="B37" s="722" t="str">
        <f>CONCATENATE(LEFT(RIGHT(CONCATENATE("000",HH_debt1819!A37),6),3),"-",(RIGHT(RIGHT(CONCATENATE("000",HH_debt1819!A37),6),3)))</f>
        <v>014-905</v>
      </c>
      <c r="C37" s="91">
        <v>471925</v>
      </c>
    </row>
    <row r="38" spans="1:3" ht="15">
      <c r="A38" t="s">
        <v>3387</v>
      </c>
      <c r="B38" s="722" t="str">
        <f>CONCATENATE(LEFT(RIGHT(CONCATENATE("000",HH_debt1819!A38),6),3),"-",(RIGHT(RIGHT(CONCATENATE("000",HH_debt1819!A38),6),3)))</f>
        <v>014-906</v>
      </c>
      <c r="C38" s="91">
        <v>5837550</v>
      </c>
    </row>
    <row r="39" spans="1:3" ht="15">
      <c r="A39" t="s">
        <v>3388</v>
      </c>
      <c r="B39" s="722" t="str">
        <f>CONCATENATE(LEFT(RIGHT(CONCATENATE("000",HH_debt1819!A39),6),3),"-",(RIGHT(RIGHT(CONCATENATE("000",HH_debt1819!A39),6),3)))</f>
        <v>014-907</v>
      </c>
      <c r="C39" s="91">
        <v>562049</v>
      </c>
    </row>
    <row r="40" spans="1:3" ht="15">
      <c r="A40" t="s">
        <v>3389</v>
      </c>
      <c r="B40" s="722" t="str">
        <f>CONCATENATE(LEFT(RIGHT(CONCATENATE("000",HH_debt1819!A40),6),3),"-",(RIGHT(RIGHT(CONCATENATE("000",HH_debt1819!A40),6),3)))</f>
        <v>014-908</v>
      </c>
      <c r="C40" s="91">
        <v>1345388</v>
      </c>
    </row>
    <row r="41" spans="1:3" ht="15">
      <c r="A41" t="s">
        <v>3390</v>
      </c>
      <c r="B41" s="722" t="str">
        <f>CONCATENATE(LEFT(RIGHT(CONCATENATE("000",HH_debt1819!A41),6),3),"-",(RIGHT(RIGHT(CONCATENATE("000",HH_debt1819!A41),6),3)))</f>
        <v>014-909</v>
      </c>
      <c r="C41" s="91">
        <v>7028500</v>
      </c>
    </row>
    <row r="42" spans="1:3" ht="15">
      <c r="A42" t="s">
        <v>3391</v>
      </c>
      <c r="B42" s="722" t="str">
        <f>CONCATENATE(LEFT(RIGHT(CONCATENATE("000",HH_debt1819!A42),6),3),"-",(RIGHT(RIGHT(CONCATENATE("000",HH_debt1819!A42),6),3)))</f>
        <v>014-910</v>
      </c>
      <c r="C42" s="91">
        <v>1331642</v>
      </c>
    </row>
    <row r="43" spans="1:3" ht="15">
      <c r="A43" t="s">
        <v>5769</v>
      </c>
      <c r="B43" s="722" t="str">
        <f>CONCATENATE(LEFT(RIGHT(CONCATENATE("000",HH_debt1819!A43),6),3),"-",(RIGHT(RIGHT(CONCATENATE("000",HH_debt1819!A43),6),3)))</f>
        <v>015-901</v>
      </c>
      <c r="C43" s="91">
        <v>7920609</v>
      </c>
    </row>
    <row r="44" spans="1:3" ht="15">
      <c r="A44" t="s">
        <v>3392</v>
      </c>
      <c r="B44" s="722" t="str">
        <f>CONCATENATE(LEFT(RIGHT(CONCATENATE("000",HH_debt1819!A44),6),3),"-",(RIGHT(RIGHT(CONCATENATE("000",HH_debt1819!A44),6),3)))</f>
        <v>015-904</v>
      </c>
      <c r="C44" s="91">
        <v>16021154</v>
      </c>
    </row>
    <row r="45" spans="1:3" ht="15">
      <c r="A45" t="s">
        <v>3393</v>
      </c>
      <c r="B45" s="722" t="str">
        <f>CONCATENATE(LEFT(RIGHT(CONCATENATE("000",HH_debt1819!A45),6),3),"-",(RIGHT(RIGHT(CONCATENATE("000",HH_debt1819!A45),6),3)))</f>
        <v>015-905</v>
      </c>
      <c r="C45" s="91">
        <v>6686317</v>
      </c>
    </row>
    <row r="46" spans="1:3" ht="15">
      <c r="A46" t="s">
        <v>3394</v>
      </c>
      <c r="B46" s="722" t="str">
        <f>CONCATENATE(LEFT(RIGHT(CONCATENATE("000",HH_debt1819!A46),6),3),"-",(RIGHT(RIGHT(CONCATENATE("000",HH_debt1819!A46),6),3)))</f>
        <v>015-907</v>
      </c>
      <c r="C46" s="91">
        <v>54912027</v>
      </c>
    </row>
    <row r="47" spans="1:3" ht="15">
      <c r="A47" t="s">
        <v>3395</v>
      </c>
      <c r="B47" s="722" t="str">
        <f>CONCATENATE(LEFT(RIGHT(CONCATENATE("000",HH_debt1819!A47),6),3),"-",(RIGHT(RIGHT(CONCATENATE("000",HH_debt1819!A47),6),3)))</f>
        <v>015-908</v>
      </c>
      <c r="C47" s="91">
        <v>12287898</v>
      </c>
    </row>
    <row r="48" spans="1:3" ht="15">
      <c r="A48" t="s">
        <v>3396</v>
      </c>
      <c r="B48" s="722" t="str">
        <f>CONCATENATE(LEFT(RIGHT(CONCATENATE("000",HH_debt1819!A48),6),3),"-",(RIGHT(RIGHT(CONCATENATE("000",HH_debt1819!A48),6),3)))</f>
        <v>015-909</v>
      </c>
      <c r="C48" s="91">
        <v>2536479</v>
      </c>
    </row>
    <row r="49" spans="1:3" ht="15">
      <c r="A49" t="s">
        <v>3397</v>
      </c>
      <c r="B49" s="722" t="str">
        <f>CONCATENATE(LEFT(RIGHT(CONCATENATE("000",HH_debt1819!A49),6),3),"-",(RIGHT(RIGHT(CONCATENATE("000",HH_debt1819!A49),6),3)))</f>
        <v>015-910</v>
      </c>
      <c r="C49" s="91">
        <v>94946155</v>
      </c>
    </row>
    <row r="50" spans="1:3" ht="15">
      <c r="A50" t="s">
        <v>3398</v>
      </c>
      <c r="B50" s="722" t="str">
        <f>CONCATENATE(LEFT(RIGHT(CONCATENATE("000",HH_debt1819!A50),6),3),"-",(RIGHT(RIGHT(CONCATENATE("000",HH_debt1819!A50),6),3)))</f>
        <v>015-911</v>
      </c>
      <c r="C50" s="91">
        <v>6719702</v>
      </c>
    </row>
    <row r="51" spans="1:3" ht="15">
      <c r="A51" t="s">
        <v>3399</v>
      </c>
      <c r="B51" s="722" t="str">
        <f>CONCATENATE(LEFT(RIGHT(CONCATENATE("000",HH_debt1819!A51),6),3),"-",(RIGHT(RIGHT(CONCATENATE("000",HH_debt1819!A51),6),3)))</f>
        <v>015-912</v>
      </c>
      <c r="C51" s="91">
        <v>15459750</v>
      </c>
    </row>
    <row r="52" spans="1:3" ht="15">
      <c r="A52" t="s">
        <v>3400</v>
      </c>
      <c r="B52" s="722" t="str">
        <f>CONCATENATE(LEFT(RIGHT(CONCATENATE("000",HH_debt1819!A52),6),3),"-",(RIGHT(RIGHT(CONCATENATE("000",HH_debt1819!A52),6),3)))</f>
        <v>015-915</v>
      </c>
      <c r="C52" s="91">
        <v>138481389</v>
      </c>
    </row>
    <row r="53" spans="1:3" ht="15">
      <c r="A53" t="s">
        <v>3401</v>
      </c>
      <c r="B53" s="722" t="str">
        <f>CONCATENATE(LEFT(RIGHT(CONCATENATE("000",HH_debt1819!A53),6),3),"-",(RIGHT(RIGHT(CONCATENATE("000",HH_debt1819!A53),6),3)))</f>
        <v>015-916</v>
      </c>
      <c r="C53" s="91">
        <v>26125494</v>
      </c>
    </row>
    <row r="54" spans="1:3" ht="15">
      <c r="A54" t="s">
        <v>3402</v>
      </c>
      <c r="B54" s="722" t="str">
        <f>CONCATENATE(LEFT(RIGHT(CONCATENATE("000",HH_debt1819!A54),6),3),"-",(RIGHT(RIGHT(CONCATENATE("000",HH_debt1819!A54),6),3)))</f>
        <v>015-917</v>
      </c>
      <c r="C54" s="91">
        <v>3853810</v>
      </c>
    </row>
    <row r="55" spans="1:3" ht="15">
      <c r="A55" t="s">
        <v>5770</v>
      </c>
      <c r="B55" s="722" t="str">
        <f>CONCATENATE(LEFT(RIGHT(CONCATENATE("000",HH_debt1819!A55),6),3),"-",(RIGHT(RIGHT(CONCATENATE("000",HH_debt1819!A55),6),3)))</f>
        <v>016-901</v>
      </c>
      <c r="C55" s="91">
        <v>594625</v>
      </c>
    </row>
    <row r="56" spans="1:3" ht="15">
      <c r="A56" t="s">
        <v>3403</v>
      </c>
      <c r="B56" s="722" t="str">
        <f>CONCATENATE(LEFT(RIGHT(CONCATENATE("000",HH_debt1819!A56),6),3),"-",(RIGHT(RIGHT(CONCATENATE("000",HH_debt1819!A56),6),3)))</f>
        <v>016-902</v>
      </c>
      <c r="C56" s="91">
        <v>1073465</v>
      </c>
    </row>
    <row r="57" spans="1:3" ht="15">
      <c r="A57" t="s">
        <v>5771</v>
      </c>
      <c r="B57" s="722" t="str">
        <f>CONCATENATE(LEFT(RIGHT(CONCATENATE("000",HH_debt1819!A57),6),3),"-",(RIGHT(RIGHT(CONCATENATE("000",HH_debt1819!A57),6),3)))</f>
        <v>017-901</v>
      </c>
      <c r="C57" s="91">
        <v>1640588</v>
      </c>
    </row>
    <row r="58" spans="1:3" ht="15">
      <c r="A58" t="s">
        <v>3404</v>
      </c>
      <c r="B58" s="722" t="str">
        <f>CONCATENATE(LEFT(RIGHT(CONCATENATE("000",HH_debt1819!A58),6),3),"-",(RIGHT(RIGHT(CONCATENATE("000",HH_debt1819!A58),6),3)))</f>
        <v>018-901</v>
      </c>
      <c r="C58" s="91">
        <v>524950</v>
      </c>
    </row>
    <row r="59" spans="1:3" ht="15">
      <c r="A59" t="s">
        <v>3405</v>
      </c>
      <c r="B59" s="722" t="str">
        <f>CONCATENATE(LEFT(RIGHT(CONCATENATE("000",HH_debt1819!A59),6),3),"-",(RIGHT(RIGHT(CONCATENATE("000",HH_debt1819!A59),6),3)))</f>
        <v>018-902</v>
      </c>
      <c r="C59" s="91">
        <v>488726</v>
      </c>
    </row>
    <row r="60" spans="1:3" ht="15">
      <c r="A60" t="s">
        <v>3406</v>
      </c>
      <c r="B60" s="722" t="str">
        <f>CONCATENATE(LEFT(RIGHT(CONCATENATE("000",HH_debt1819!A60),6),3),"-",(RIGHT(RIGHT(CONCATENATE("000",HH_debt1819!A60),6),3)))</f>
        <v>018-904</v>
      </c>
      <c r="C60" s="91">
        <v>531252</v>
      </c>
    </row>
    <row r="61" spans="1:3" ht="15">
      <c r="A61" t="s">
        <v>5773</v>
      </c>
      <c r="B61" s="722" t="str">
        <f>CONCATENATE(LEFT(RIGHT(CONCATENATE("000",HH_debt1819!A61),6),3),"-",(RIGHT(RIGHT(CONCATENATE("000",HH_debt1819!A61),6),3)))</f>
        <v>018-907</v>
      </c>
      <c r="C61" s="91">
        <v>21875</v>
      </c>
    </row>
    <row r="62" spans="1:3" ht="15">
      <c r="A62" t="s">
        <v>3407</v>
      </c>
      <c r="B62" s="722" t="str">
        <f>CONCATENATE(LEFT(RIGHT(CONCATENATE("000",HH_debt1819!A62),6),3),"-",(RIGHT(RIGHT(CONCATENATE("000",HH_debt1819!A62),6),3)))</f>
        <v>019-902</v>
      </c>
      <c r="C62" s="91">
        <v>695036</v>
      </c>
    </row>
    <row r="63" spans="1:3" ht="15">
      <c r="A63" t="s">
        <v>3408</v>
      </c>
      <c r="B63" s="722" t="str">
        <f>CONCATENATE(LEFT(RIGHT(CONCATENATE("000",HH_debt1819!A63),6),3),"-",(RIGHT(RIGHT(CONCATENATE("000",HH_debt1819!A63),6),3)))</f>
        <v>019-903</v>
      </c>
      <c r="C63" s="91">
        <v>123978</v>
      </c>
    </row>
    <row r="64" spans="1:3" ht="15">
      <c r="A64" t="s">
        <v>3409</v>
      </c>
      <c r="B64" s="722" t="str">
        <f>CONCATENATE(LEFT(RIGHT(CONCATENATE("000",HH_debt1819!A64),6),3),"-",(RIGHT(RIGHT(CONCATENATE("000",HH_debt1819!A64),6),3)))</f>
        <v>019-905</v>
      </c>
      <c r="C64" s="91">
        <v>1050408</v>
      </c>
    </row>
    <row r="65" spans="1:3" ht="15">
      <c r="A65" t="s">
        <v>5775</v>
      </c>
      <c r="B65" s="722" t="str">
        <f>CONCATENATE(LEFT(RIGHT(CONCATENATE("000",HH_debt1819!A65),6),3),"-",(RIGHT(RIGHT(CONCATENATE("000",HH_debt1819!A65),6),3)))</f>
        <v>019-907</v>
      </c>
      <c r="C65" s="91">
        <v>5724772</v>
      </c>
    </row>
    <row r="66" spans="1:3" ht="15">
      <c r="A66" t="s">
        <v>5776</v>
      </c>
      <c r="B66" s="722" t="str">
        <f>CONCATENATE(LEFT(RIGHT(CONCATENATE("000",HH_debt1819!A66),6),3),"-",(RIGHT(RIGHT(CONCATENATE("000",HH_debt1819!A66),6),3)))</f>
        <v>019-908</v>
      </c>
      <c r="C66" s="91">
        <v>426100</v>
      </c>
    </row>
    <row r="67" spans="1:3" ht="15">
      <c r="A67" t="s">
        <v>3410</v>
      </c>
      <c r="B67" s="722" t="str">
        <f>CONCATENATE(LEFT(RIGHT(CONCATENATE("000",HH_debt1819!A67),6),3),"-",(RIGHT(RIGHT(CONCATENATE("000",HH_debt1819!A67),6),3)))</f>
        <v>019-909</v>
      </c>
      <c r="C67" s="91">
        <v>123125</v>
      </c>
    </row>
    <row r="68" spans="1:3" ht="15">
      <c r="A68" t="s">
        <v>3411</v>
      </c>
      <c r="B68" s="722" t="str">
        <f>CONCATENATE(LEFT(RIGHT(CONCATENATE("000",HH_debt1819!A68),6),3),"-",(RIGHT(RIGHT(CONCATENATE("000",HH_debt1819!A68),6),3)))</f>
        <v>019-910</v>
      </c>
      <c r="C68" s="91">
        <v>71731</v>
      </c>
    </row>
    <row r="69" spans="1:3" ht="15">
      <c r="A69" t="s">
        <v>5777</v>
      </c>
      <c r="B69" s="722" t="str">
        <f>CONCATENATE(LEFT(RIGHT(CONCATENATE("000",HH_debt1819!A69),6),3),"-",(RIGHT(RIGHT(CONCATENATE("000",HH_debt1819!A69),6),3)))</f>
        <v>019-911</v>
      </c>
      <c r="C69" s="91">
        <v>329862</v>
      </c>
    </row>
    <row r="70" spans="1:3" ht="15">
      <c r="A70" t="s">
        <v>5778</v>
      </c>
      <c r="B70" s="722" t="str">
        <f>CONCATENATE(LEFT(RIGHT(CONCATENATE("000",HH_debt1819!A70),6),3),"-",(RIGHT(RIGHT(CONCATENATE("000",HH_debt1819!A70),6),3)))</f>
        <v>019-912</v>
      </c>
      <c r="C70" s="91">
        <v>2516394</v>
      </c>
    </row>
    <row r="71" spans="1:3" ht="15">
      <c r="A71" t="s">
        <v>3412</v>
      </c>
      <c r="B71" s="722" t="str">
        <f>CONCATENATE(LEFT(RIGHT(CONCATENATE("000",HH_debt1819!A71),6),3),"-",(RIGHT(RIGHT(CONCATENATE("000",HH_debt1819!A71),6),3)))</f>
        <v>020-901</v>
      </c>
      <c r="C71" s="91">
        <v>33900923</v>
      </c>
    </row>
    <row r="72" spans="1:3" ht="15">
      <c r="A72" t="s">
        <v>5779</v>
      </c>
      <c r="B72" s="722" t="str">
        <f>CONCATENATE(LEFT(RIGHT(CONCATENATE("000",HH_debt1819!A72),6),3),"-",(RIGHT(RIGHT(CONCATENATE("000",HH_debt1819!A72),6),3)))</f>
        <v>020-902</v>
      </c>
      <c r="C72" s="91">
        <v>10068411</v>
      </c>
    </row>
    <row r="73" spans="1:3" ht="15">
      <c r="A73" t="s">
        <v>3413</v>
      </c>
      <c r="B73" s="722" t="str">
        <f>CONCATENATE(LEFT(RIGHT(CONCATENATE("000",HH_debt1819!A73),6),3),"-",(RIGHT(RIGHT(CONCATENATE("000",HH_debt1819!A73),6),3)))</f>
        <v>020-904</v>
      </c>
      <c r="C73" s="91">
        <v>250530</v>
      </c>
    </row>
    <row r="74" spans="1:3" ht="15">
      <c r="A74" t="s">
        <v>5780</v>
      </c>
      <c r="B74" s="722" t="str">
        <f>CONCATENATE(LEFT(RIGHT(CONCATENATE("000",HH_debt1819!A74),6),3),"-",(RIGHT(RIGHT(CONCATENATE("000",HH_debt1819!A74),6),3)))</f>
        <v>020-905</v>
      </c>
      <c r="C74" s="91">
        <v>15094403</v>
      </c>
    </row>
    <row r="75" spans="1:3" ht="15">
      <c r="A75" t="s">
        <v>5781</v>
      </c>
      <c r="B75" s="722" t="str">
        <f>CONCATENATE(LEFT(RIGHT(CONCATENATE("000",HH_debt1819!A75),6),3),"-",(RIGHT(RIGHT(CONCATENATE("000",HH_debt1819!A75),6),3)))</f>
        <v>020-906</v>
      </c>
      <c r="C75" s="91">
        <v>2198670</v>
      </c>
    </row>
    <row r="76" spans="1:3" ht="15">
      <c r="A76" t="s">
        <v>3414</v>
      </c>
      <c r="B76" s="722" t="str">
        <f>CONCATENATE(LEFT(RIGHT(CONCATENATE("000",HH_debt1819!A76),6),3),"-",(RIGHT(RIGHT(CONCATENATE("000",HH_debt1819!A76),6),3)))</f>
        <v>020-907</v>
      </c>
      <c r="C76" s="91">
        <v>2710810</v>
      </c>
    </row>
    <row r="77" spans="1:3" ht="15">
      <c r="A77" t="s">
        <v>3415</v>
      </c>
      <c r="B77" s="722" t="str">
        <f>CONCATENATE(LEFT(RIGHT(CONCATENATE("000",HH_debt1819!A77),6),3),"-",(RIGHT(RIGHT(CONCATENATE("000",HH_debt1819!A77),6),3)))</f>
        <v>020-908</v>
      </c>
      <c r="C77" s="91">
        <v>25716928</v>
      </c>
    </row>
    <row r="78" spans="1:3" ht="15">
      <c r="A78" t="s">
        <v>3417</v>
      </c>
      <c r="B78" s="722" t="str">
        <f>CONCATENATE(LEFT(RIGHT(CONCATENATE("000",HH_debt1819!A78),6),3),"-",(RIGHT(RIGHT(CONCATENATE("000",HH_debt1819!A78),6),3)))</f>
        <v>021-901</v>
      </c>
      <c r="C78" s="91">
        <v>24504976</v>
      </c>
    </row>
    <row r="79" spans="1:3" ht="15">
      <c r="A79" t="s">
        <v>3418</v>
      </c>
      <c r="B79" s="722" t="str">
        <f>CONCATENATE(LEFT(RIGHT(CONCATENATE("000",HH_debt1819!A79),6),3),"-",(RIGHT(RIGHT(CONCATENATE("000",HH_debt1819!A79),6),3)))</f>
        <v>021-902</v>
      </c>
      <c r="C79" s="91">
        <v>13182336</v>
      </c>
    </row>
    <row r="80" spans="1:3" ht="15">
      <c r="A80" t="s">
        <v>5782</v>
      </c>
      <c r="B80" s="722" t="str">
        <f>CONCATENATE(LEFT(RIGHT(CONCATENATE("000",HH_debt1819!A80),6),3),"-",(RIGHT(RIGHT(CONCATENATE("000",HH_debt1819!A80),6),3)))</f>
        <v>022-901</v>
      </c>
      <c r="C80" s="91">
        <v>330450</v>
      </c>
    </row>
    <row r="81" spans="1:3" ht="15">
      <c r="A81" t="s">
        <v>5783</v>
      </c>
      <c r="B81" s="722" t="str">
        <f>CONCATENATE(LEFT(RIGHT(CONCATENATE("000",HH_debt1819!A81),6),3),"-",(RIGHT(RIGHT(CONCATENATE("000",HH_debt1819!A81),6),3)))</f>
        <v>024-901</v>
      </c>
      <c r="C81" s="91">
        <v>2478119</v>
      </c>
    </row>
    <row r="82" spans="1:3" ht="15">
      <c r="A82" t="s">
        <v>5784</v>
      </c>
      <c r="B82" s="722" t="str">
        <f>CONCATENATE(LEFT(RIGHT(CONCATENATE("000",HH_debt1819!A82),6),3),"-",(RIGHT(RIGHT(CONCATENATE("000",HH_debt1819!A82),6),3)))</f>
        <v>025-901</v>
      </c>
      <c r="C82" s="91">
        <v>548238</v>
      </c>
    </row>
    <row r="83" spans="1:3" ht="15">
      <c r="A83" t="s">
        <v>5785</v>
      </c>
      <c r="B83" s="722" t="str">
        <f>CONCATENATE(LEFT(RIGHT(CONCATENATE("000",HH_debt1819!A83),6),3),"-",(RIGHT(RIGHT(CONCATENATE("000",HH_debt1819!A83),6),3)))</f>
        <v>025-902</v>
      </c>
      <c r="C83" s="91">
        <v>2304675</v>
      </c>
    </row>
    <row r="84" spans="1:3" ht="15">
      <c r="A84" t="s">
        <v>3419</v>
      </c>
      <c r="B84" s="722" t="str">
        <f>CONCATENATE(LEFT(RIGHT(CONCATENATE("000",HH_debt1819!A84),6),3),"-",(RIGHT(RIGHT(CONCATENATE("000",HH_debt1819!A84),6),3)))</f>
        <v>025-904</v>
      </c>
      <c r="C84" s="91">
        <v>94365</v>
      </c>
    </row>
    <row r="85" spans="1:3" ht="15">
      <c r="A85" t="s">
        <v>3420</v>
      </c>
      <c r="B85" s="722" t="str">
        <f>CONCATENATE(LEFT(RIGHT(CONCATENATE("000",HH_debt1819!A85),6),3),"-",(RIGHT(RIGHT(CONCATENATE("000",HH_debt1819!A85),6),3)))</f>
        <v>025-905</v>
      </c>
      <c r="C85" s="91">
        <v>393955</v>
      </c>
    </row>
    <row r="86" spans="1:3" ht="15">
      <c r="A86" t="s">
        <v>3421</v>
      </c>
      <c r="B86" s="722" t="str">
        <f>CONCATENATE(LEFT(RIGHT(CONCATENATE("000",HH_debt1819!A86),6),3),"-",(RIGHT(RIGHT(CONCATENATE("000",HH_debt1819!A86),6),3)))</f>
        <v>025-906</v>
      </c>
      <c r="C86" s="91">
        <v>292190</v>
      </c>
    </row>
    <row r="87" spans="1:3" ht="15">
      <c r="A87" t="s">
        <v>3422</v>
      </c>
      <c r="B87" s="722" t="str">
        <f>CONCATENATE(LEFT(RIGHT(CONCATENATE("000",HH_debt1819!A87),6),3),"-",(RIGHT(RIGHT(CONCATENATE("000",HH_debt1819!A87),6),3)))</f>
        <v>025-908</v>
      </c>
      <c r="C87" s="91">
        <v>94168</v>
      </c>
    </row>
    <row r="88" spans="1:3" ht="15">
      <c r="A88" t="s">
        <v>3423</v>
      </c>
      <c r="B88" s="722" t="str">
        <f>CONCATENATE(LEFT(RIGHT(CONCATENATE("000",HH_debt1819!A88),6),3),"-",(RIGHT(RIGHT(CONCATENATE("000",HH_debt1819!A88),6),3)))</f>
        <v>025-909</v>
      </c>
      <c r="C88" s="91">
        <v>1570627</v>
      </c>
    </row>
    <row r="89" spans="1:3" ht="15">
      <c r="A89" t="s">
        <v>5787</v>
      </c>
      <c r="B89" s="722" t="str">
        <f>CONCATENATE(LEFT(RIGHT(CONCATENATE("000",HH_debt1819!A89),6),3),"-",(RIGHT(RIGHT(CONCATENATE("000",HH_debt1819!A89),6),3)))</f>
        <v>026-902</v>
      </c>
      <c r="C89" s="91">
        <v>194050</v>
      </c>
    </row>
    <row r="90" spans="1:3" ht="15">
      <c r="A90" t="s">
        <v>3424</v>
      </c>
      <c r="B90" s="722" t="str">
        <f>CONCATENATE(LEFT(RIGHT(CONCATENATE("000",HH_debt1819!A90),6),3),"-",(RIGHT(RIGHT(CONCATENATE("000",HH_debt1819!A90),6),3)))</f>
        <v>026-903</v>
      </c>
      <c r="C90" s="91">
        <v>576542</v>
      </c>
    </row>
    <row r="91" spans="1:3" ht="15">
      <c r="A91" t="s">
        <v>3425</v>
      </c>
      <c r="B91" s="722" t="str">
        <f>CONCATENATE(LEFT(RIGHT(CONCATENATE("000",HH_debt1819!A91),6),3),"-",(RIGHT(RIGHT(CONCATENATE("000",HH_debt1819!A91),6),3)))</f>
        <v>027-903</v>
      </c>
      <c r="C91" s="91">
        <v>3593331</v>
      </c>
    </row>
    <row r="92" spans="1:3" ht="15">
      <c r="A92" t="s">
        <v>4299</v>
      </c>
      <c r="B92" s="722" t="str">
        <f>CONCATENATE(LEFT(RIGHT(CONCATENATE("000",HH_debt1819!A92),6),3),"-",(RIGHT(RIGHT(CONCATENATE("000",HH_debt1819!A92),6),3)))</f>
        <v>027-904</v>
      </c>
      <c r="C92" s="91">
        <v>6841448</v>
      </c>
    </row>
    <row r="93" spans="1:3" ht="15">
      <c r="A93" t="s">
        <v>3426</v>
      </c>
      <c r="B93" s="722" t="str">
        <f>CONCATENATE(LEFT(RIGHT(CONCATENATE("000",HH_debt1819!A93),6),3),"-",(RIGHT(RIGHT(CONCATENATE("000",HH_debt1819!A93),6),3)))</f>
        <v>028-902</v>
      </c>
      <c r="C93" s="91">
        <v>5203238</v>
      </c>
    </row>
    <row r="94" spans="1:3" ht="15">
      <c r="A94" t="s">
        <v>3427</v>
      </c>
      <c r="B94" s="722" t="str">
        <f>CONCATENATE(LEFT(RIGHT(CONCATENATE("000",HH_debt1819!A94),6),3),"-",(RIGHT(RIGHT(CONCATENATE("000",HH_debt1819!A94),6),3)))</f>
        <v>028-903</v>
      </c>
      <c r="C94" s="91">
        <v>370545</v>
      </c>
    </row>
    <row r="95" spans="1:3" ht="15">
      <c r="A95" t="s">
        <v>5788</v>
      </c>
      <c r="B95" s="722" t="str">
        <f>CONCATENATE(LEFT(RIGHT(CONCATENATE("000",HH_debt1819!A95),6),3),"-",(RIGHT(RIGHT(CONCATENATE("000",HH_debt1819!A95),6),3)))</f>
        <v>029-901</v>
      </c>
      <c r="C95" s="91">
        <v>8313150</v>
      </c>
    </row>
    <row r="96" spans="1:3" ht="15">
      <c r="A96" t="s">
        <v>3428</v>
      </c>
      <c r="B96" s="722" t="str">
        <f>CONCATENATE(LEFT(RIGHT(CONCATENATE("000",HH_debt1819!A96),6),3),"-",(RIGHT(RIGHT(CONCATENATE("000",HH_debt1819!A96),6),3)))</f>
        <v>030-902</v>
      </c>
      <c r="C96" s="91">
        <v>1329300</v>
      </c>
    </row>
    <row r="97" spans="1:3" ht="15">
      <c r="A97" t="s">
        <v>3429</v>
      </c>
      <c r="B97" s="722" t="str">
        <f>CONCATENATE(LEFT(RIGHT(CONCATENATE("000",HH_debt1819!A97),6),3),"-",(RIGHT(RIGHT(CONCATENATE("000",HH_debt1819!A97),6),3)))</f>
        <v>030-903</v>
      </c>
      <c r="C97" s="91">
        <v>398028</v>
      </c>
    </row>
    <row r="98" spans="1:3" ht="15">
      <c r="A98" t="s">
        <v>5789</v>
      </c>
      <c r="B98" s="722" t="str">
        <f>CONCATENATE(LEFT(RIGHT(CONCATENATE("000",HH_debt1819!A98),6),3),"-",(RIGHT(RIGHT(CONCATENATE("000",HH_debt1819!A98),6),3)))</f>
        <v>030-906</v>
      </c>
      <c r="C98" s="91">
        <v>488603</v>
      </c>
    </row>
    <row r="99" spans="1:3" ht="15">
      <c r="A99" t="s">
        <v>3430</v>
      </c>
      <c r="B99" s="722" t="str">
        <f>CONCATENATE(LEFT(RIGHT(CONCATENATE("000",HH_debt1819!A99),6),3),"-",(RIGHT(RIGHT(CONCATENATE("000",HH_debt1819!A99),6),3)))</f>
        <v>031-901</v>
      </c>
      <c r="C99" s="91">
        <v>17414137</v>
      </c>
    </row>
    <row r="100" spans="1:3" ht="15">
      <c r="A100" t="s">
        <v>3431</v>
      </c>
      <c r="B100" s="722" t="str">
        <f>CONCATENATE(LEFT(RIGHT(CONCATENATE("000",HH_debt1819!A100),6),3),"-",(RIGHT(RIGHT(CONCATENATE("000",HH_debt1819!A100),6),3)))</f>
        <v>031-903</v>
      </c>
      <c r="C100" s="91">
        <v>11542311</v>
      </c>
    </row>
    <row r="101" spans="1:3" ht="15">
      <c r="A101" t="s">
        <v>3432</v>
      </c>
      <c r="B101" s="722" t="str">
        <f>CONCATENATE(LEFT(RIGHT(CONCATENATE("000",HH_debt1819!A101),6),3),"-",(RIGHT(RIGHT(CONCATENATE("000",HH_debt1819!A101),6),3)))</f>
        <v>031-905</v>
      </c>
      <c r="C101" s="91">
        <v>2297075</v>
      </c>
    </row>
    <row r="102" spans="1:3" ht="15">
      <c r="A102" t="s">
        <v>5790</v>
      </c>
      <c r="B102" s="722" t="str">
        <f>CONCATENATE(LEFT(RIGHT(CONCATENATE("000",HH_debt1819!A102),6),3),"-",(RIGHT(RIGHT(CONCATENATE("000",HH_debt1819!A102),6),3)))</f>
        <v>031-909</v>
      </c>
      <c r="C102" s="91">
        <v>1845925</v>
      </c>
    </row>
    <row r="103" spans="1:3" ht="15">
      <c r="A103" t="s">
        <v>3434</v>
      </c>
      <c r="B103" s="722" t="str">
        <f>CONCATENATE(LEFT(RIGHT(CONCATENATE("000",HH_debt1819!A103),6),3),"-",(RIGHT(RIGHT(CONCATENATE("000",HH_debt1819!A103),6),3)))</f>
        <v>031-911</v>
      </c>
      <c r="C103" s="91">
        <v>1744129</v>
      </c>
    </row>
    <row r="104" spans="1:3" ht="15">
      <c r="A104" t="s">
        <v>3435</v>
      </c>
      <c r="B104" s="722" t="str">
        <f>CONCATENATE(LEFT(RIGHT(CONCATENATE("000",HH_debt1819!A104),6),3),"-",(RIGHT(RIGHT(CONCATENATE("000",HH_debt1819!A104),6),3)))</f>
        <v>031-912</v>
      </c>
      <c r="C104" s="91">
        <v>6262819</v>
      </c>
    </row>
    <row r="105" spans="1:3" ht="15">
      <c r="A105" t="s">
        <v>3436</v>
      </c>
      <c r="B105" s="722" t="str">
        <f>CONCATENATE(LEFT(RIGHT(CONCATENATE("000",HH_debt1819!A105),6),3),"-",(RIGHT(RIGHT(CONCATENATE("000",HH_debt1819!A105),6),3)))</f>
        <v>031-913</v>
      </c>
      <c r="C105" s="91">
        <v>279192</v>
      </c>
    </row>
    <row r="106" spans="1:3" ht="15">
      <c r="A106" t="s">
        <v>3437</v>
      </c>
      <c r="B106" s="722" t="str">
        <f>CONCATENATE(LEFT(RIGHT(CONCATENATE("000",HH_debt1819!A106),6),3),"-",(RIGHT(RIGHT(CONCATENATE("000",HH_debt1819!A106),6),3)))</f>
        <v>031-914</v>
      </c>
      <c r="C106" s="91">
        <v>1112513</v>
      </c>
    </row>
    <row r="107" spans="1:3" ht="15">
      <c r="A107" t="s">
        <v>5791</v>
      </c>
      <c r="B107" s="722" t="str">
        <f>CONCATENATE(LEFT(RIGHT(CONCATENATE("000",HH_debt1819!A107),6),3),"-",(RIGHT(RIGHT(CONCATENATE("000",HH_debt1819!A107),6),3)))</f>
        <v>032-902</v>
      </c>
      <c r="C107" s="91">
        <v>912764</v>
      </c>
    </row>
    <row r="108" spans="1:3" ht="15">
      <c r="A108" t="s">
        <v>5792</v>
      </c>
      <c r="B108" s="722" t="str">
        <f>CONCATENATE(LEFT(RIGHT(CONCATENATE("000",HH_debt1819!A108),6),3),"-",(RIGHT(RIGHT(CONCATENATE("000",HH_debt1819!A108),6),3)))</f>
        <v>033-901</v>
      </c>
      <c r="C108" s="91">
        <v>157100</v>
      </c>
    </row>
    <row r="109" spans="1:3" ht="15">
      <c r="A109" t="s">
        <v>5794</v>
      </c>
      <c r="B109" s="722" t="str">
        <f>CONCATENATE(LEFT(RIGHT(CONCATENATE("000",HH_debt1819!A109),6),3),"-",(RIGHT(RIGHT(CONCATENATE("000",HH_debt1819!A109),6),3)))</f>
        <v>033-904</v>
      </c>
      <c r="C109" s="91">
        <v>427113</v>
      </c>
    </row>
    <row r="110" spans="1:3" ht="15">
      <c r="A110" t="s">
        <v>5795</v>
      </c>
      <c r="B110" s="722" t="str">
        <f>CONCATENATE(LEFT(RIGHT(CONCATENATE("000",HH_debt1819!A110),6),3),"-",(RIGHT(RIGHT(CONCATENATE("000",HH_debt1819!A110),6),3)))</f>
        <v>034-901</v>
      </c>
      <c r="C110" s="91">
        <v>562780</v>
      </c>
    </row>
    <row r="111" spans="1:3" ht="15">
      <c r="A111" t="s">
        <v>5796</v>
      </c>
      <c r="B111" s="722" t="str">
        <f>CONCATENATE(LEFT(RIGHT(CONCATENATE("000",HH_debt1819!A111),6),3),"-",(RIGHT(RIGHT(CONCATENATE("000",HH_debt1819!A111),6),3)))</f>
        <v>034-903</v>
      </c>
      <c r="C111" s="91">
        <v>207401</v>
      </c>
    </row>
    <row r="112" spans="1:3" ht="15">
      <c r="A112" t="s">
        <v>5797</v>
      </c>
      <c r="B112" s="722" t="str">
        <f>CONCATENATE(LEFT(RIGHT(CONCATENATE("000",HH_debt1819!A112),6),3),"-",(RIGHT(RIGHT(CONCATENATE("000",HH_debt1819!A112),6),3)))</f>
        <v>034-907</v>
      </c>
      <c r="C112" s="91">
        <v>322000</v>
      </c>
    </row>
    <row r="113" spans="1:3" ht="15">
      <c r="A113" t="s">
        <v>5798</v>
      </c>
      <c r="B113" s="722" t="str">
        <f>CONCATENATE(LEFT(RIGHT(CONCATENATE("000",HH_debt1819!A113),6),3),"-",(RIGHT(RIGHT(CONCATENATE("000",HH_debt1819!A113),6),3)))</f>
        <v>034-909</v>
      </c>
      <c r="C113" s="91">
        <v>90944</v>
      </c>
    </row>
    <row r="114" spans="1:3" ht="15">
      <c r="A114" t="s">
        <v>5799</v>
      </c>
      <c r="B114" s="722" t="str">
        <f>CONCATENATE(LEFT(RIGHT(CONCATENATE("000",HH_debt1819!A114),6),3),"-",(RIGHT(RIGHT(CONCATENATE("000",HH_debt1819!A114),6),3)))</f>
        <v>035-901</v>
      </c>
      <c r="C114" s="91">
        <v>353490</v>
      </c>
    </row>
    <row r="115" spans="1:3" ht="15">
      <c r="A115" t="s">
        <v>3438</v>
      </c>
      <c r="B115" s="722" t="str">
        <f>CONCATENATE(LEFT(RIGHT(CONCATENATE("000",HH_debt1819!A115),6),3),"-",(RIGHT(RIGHT(CONCATENATE("000",HH_debt1819!A115),6),3)))</f>
        <v>035-903</v>
      </c>
      <c r="C115" s="91">
        <v>70265</v>
      </c>
    </row>
    <row r="116" spans="1:3" ht="15">
      <c r="A116" t="s">
        <v>3439</v>
      </c>
      <c r="B116" s="722" t="str">
        <f>CONCATENATE(LEFT(RIGHT(CONCATENATE("000",HH_debt1819!A116),6),3),"-",(RIGHT(RIGHT(CONCATENATE("000",HH_debt1819!A116),6),3)))</f>
        <v>036-901</v>
      </c>
      <c r="C116" s="91">
        <v>1235534</v>
      </c>
    </row>
    <row r="117" spans="1:3" ht="15">
      <c r="A117" t="s">
        <v>5800</v>
      </c>
      <c r="B117" s="722" t="str">
        <f>CONCATENATE(LEFT(RIGHT(CONCATENATE("000",HH_debt1819!A117),6),3),"-",(RIGHT(RIGHT(CONCATENATE("000",HH_debt1819!A117),6),3)))</f>
        <v>036-902</v>
      </c>
      <c r="C117" s="91">
        <v>18660217</v>
      </c>
    </row>
    <row r="118" spans="1:3" ht="15">
      <c r="A118" t="s">
        <v>3440</v>
      </c>
      <c r="B118" s="722" t="str">
        <f>CONCATENATE(LEFT(RIGHT(CONCATENATE("000",HH_debt1819!A118),6),3),"-",(RIGHT(RIGHT(CONCATENATE("000",HH_debt1819!A118),6),3)))</f>
        <v>036-903</v>
      </c>
      <c r="C118" s="91">
        <v>730000</v>
      </c>
    </row>
    <row r="119" spans="1:3" ht="15">
      <c r="A119" t="s">
        <v>5801</v>
      </c>
      <c r="B119" s="722" t="str">
        <f>CONCATENATE(LEFT(RIGHT(CONCATENATE("000",HH_debt1819!A119),6),3),"-",(RIGHT(RIGHT(CONCATENATE("000",HH_debt1819!A119),6),3)))</f>
        <v>037-901</v>
      </c>
      <c r="C119" s="91">
        <v>609000</v>
      </c>
    </row>
    <row r="120" spans="1:3" ht="15">
      <c r="A120" t="s">
        <v>3441</v>
      </c>
      <c r="B120" s="722" t="str">
        <f>CONCATENATE(LEFT(RIGHT(CONCATENATE("000",HH_debt1819!A120),6),3),"-",(RIGHT(RIGHT(CONCATENATE("000",HH_debt1819!A120),6),3)))</f>
        <v>037-904</v>
      </c>
      <c r="C120" s="91">
        <v>5174523</v>
      </c>
    </row>
    <row r="121" spans="1:3" ht="15">
      <c r="A121" t="s">
        <v>3442</v>
      </c>
      <c r="B121" s="722" t="str">
        <f>CONCATENATE(LEFT(RIGHT(CONCATENATE("000",HH_debt1819!A121),6),3),"-",(RIGHT(RIGHT(CONCATENATE("000",HH_debt1819!A121),6),3)))</f>
        <v>037-907</v>
      </c>
      <c r="C121" s="91">
        <v>379650</v>
      </c>
    </row>
    <row r="122" spans="1:3" ht="15">
      <c r="A122" t="s">
        <v>4382</v>
      </c>
      <c r="B122" s="722" t="str">
        <f>CONCATENATE(LEFT(RIGHT(CONCATENATE("000",HH_debt1819!A122),6),3),"-",(RIGHT(RIGHT(CONCATENATE("000",HH_debt1819!A122),6),3)))</f>
        <v>037-908</v>
      </c>
      <c r="C122" s="91">
        <v>498825</v>
      </c>
    </row>
    <row r="123" spans="1:3" ht="15">
      <c r="A123" t="s">
        <v>5802</v>
      </c>
      <c r="B123" s="722" t="str">
        <f>CONCATENATE(LEFT(RIGHT(CONCATENATE("000",HH_debt1819!A123),6),3),"-",(RIGHT(RIGHT(CONCATENATE("000",HH_debt1819!A123),6),3)))</f>
        <v>037-909</v>
      </c>
      <c r="C123" s="91">
        <v>202850</v>
      </c>
    </row>
    <row r="124" spans="1:3" ht="15">
      <c r="A124" t="s">
        <v>3443</v>
      </c>
      <c r="B124" s="722" t="str">
        <f>CONCATENATE(LEFT(RIGHT(CONCATENATE("000",HH_debt1819!A124),6),3),"-",(RIGHT(RIGHT(CONCATENATE("000",HH_debt1819!A124),6),3)))</f>
        <v>038-901</v>
      </c>
      <c r="C124" s="91">
        <v>163950</v>
      </c>
    </row>
    <row r="125" spans="1:3" ht="15">
      <c r="A125" t="s">
        <v>5803</v>
      </c>
      <c r="B125" s="722" t="str">
        <f>CONCATENATE(LEFT(RIGHT(CONCATENATE("000",HH_debt1819!A125),6),3),"-",(RIGHT(RIGHT(CONCATENATE("000",HH_debt1819!A125),6),3)))</f>
        <v>039-902</v>
      </c>
      <c r="C125" s="91">
        <v>821088</v>
      </c>
    </row>
    <row r="126" spans="1:3" ht="15">
      <c r="A126" t="s">
        <v>3444</v>
      </c>
      <c r="B126" s="722" t="str">
        <f>CONCATENATE(LEFT(RIGHT(CONCATENATE("000",HH_debt1819!A126),6),3),"-",(RIGHT(RIGHT(CONCATENATE("000",HH_debt1819!A126),6),3)))</f>
        <v>039-903</v>
      </c>
      <c r="C126" s="91">
        <v>332258</v>
      </c>
    </row>
    <row r="127" spans="1:3" ht="15">
      <c r="A127" t="s">
        <v>5804</v>
      </c>
      <c r="B127" s="722" t="str">
        <f>CONCATENATE(LEFT(RIGHT(CONCATENATE("000",HH_debt1819!A127),6),3),"-",(RIGHT(RIGHT(CONCATENATE("000",HH_debt1819!A127),6),3)))</f>
        <v>040-902</v>
      </c>
      <c r="C127" s="91">
        <v>1004443</v>
      </c>
    </row>
    <row r="128" spans="1:3" ht="15">
      <c r="A128" t="s">
        <v>5805</v>
      </c>
      <c r="B128" s="722" t="str">
        <f>CONCATENATE(LEFT(RIGHT(CONCATENATE("000",HH_debt1819!A128),6),3),"-",(RIGHT(RIGHT(CONCATENATE("000",HH_debt1819!A128),6),3)))</f>
        <v>041-902</v>
      </c>
      <c r="C128" s="91">
        <v>1053704</v>
      </c>
    </row>
    <row r="129" spans="1:3" ht="15">
      <c r="A129" t="s">
        <v>3445</v>
      </c>
      <c r="B129" s="722" t="str">
        <f>CONCATENATE(LEFT(RIGHT(CONCATENATE("000",HH_debt1819!A129),6),3),"-",(RIGHT(RIGHT(CONCATENATE("000",HH_debt1819!A129),6),3)))</f>
        <v>042-903</v>
      </c>
      <c r="C129" s="91">
        <v>93315</v>
      </c>
    </row>
    <row r="130" spans="1:3" ht="15">
      <c r="A130" t="s">
        <v>5806</v>
      </c>
      <c r="B130" s="722" t="str">
        <f>CONCATENATE(LEFT(RIGHT(CONCATENATE("000",HH_debt1819!A130),6),3),"-",(RIGHT(RIGHT(CONCATENATE("000",HH_debt1819!A130),6),3)))</f>
        <v>042-905</v>
      </c>
      <c r="C130" s="91">
        <v>72706</v>
      </c>
    </row>
    <row r="131" spans="1:3" ht="15">
      <c r="A131" t="s">
        <v>3446</v>
      </c>
      <c r="B131" s="722" t="str">
        <f>CONCATENATE(LEFT(RIGHT(CONCATENATE("000",HH_debt1819!A131),6),3),"-",(RIGHT(RIGHT(CONCATENATE("000",HH_debt1819!A131),6),3)))</f>
        <v>043-901</v>
      </c>
      <c r="C131" s="91">
        <v>37941412</v>
      </c>
    </row>
    <row r="132" spans="1:3" ht="15">
      <c r="A132" t="s">
        <v>3447</v>
      </c>
      <c r="B132" s="722" t="str">
        <f>CONCATENATE(LEFT(RIGHT(CONCATENATE("000",HH_debt1819!A132),6),3),"-",(RIGHT(RIGHT(CONCATENATE("000",HH_debt1819!A132),6),3)))</f>
        <v>043-902</v>
      </c>
      <c r="C132" s="91">
        <v>5322757</v>
      </c>
    </row>
    <row r="133" spans="1:3" ht="15">
      <c r="A133" t="s">
        <v>3448</v>
      </c>
      <c r="B133" s="722" t="str">
        <f>CONCATENATE(LEFT(RIGHT(CONCATENATE("000",HH_debt1819!A133),6),3),"-",(RIGHT(RIGHT(CONCATENATE("000",HH_debt1819!A133),6),3)))</f>
        <v>043-903</v>
      </c>
      <c r="C133" s="91">
        <v>3544293</v>
      </c>
    </row>
    <row r="134" spans="1:3" ht="15">
      <c r="A134" t="s">
        <v>3449</v>
      </c>
      <c r="B134" s="722" t="str">
        <f>CONCATENATE(LEFT(RIGHT(CONCATENATE("000",HH_debt1819!A134),6),3),"-",(RIGHT(RIGHT(CONCATENATE("000",HH_debt1819!A134),6),3)))</f>
        <v>043-904</v>
      </c>
      <c r="C134" s="91">
        <v>936250</v>
      </c>
    </row>
    <row r="135" spans="1:3" ht="15">
      <c r="A135" t="s">
        <v>3450</v>
      </c>
      <c r="B135" s="722" t="str">
        <f>CONCATENATE(LEFT(RIGHT(CONCATENATE("000",HH_debt1819!A135),6),3),"-",(RIGHT(RIGHT(CONCATENATE("000",HH_debt1819!A135),6),3)))</f>
        <v>043-905</v>
      </c>
      <c r="C135" s="91">
        <v>109830925</v>
      </c>
    </row>
    <row r="136" spans="1:3" ht="15">
      <c r="A136" t="s">
        <v>3451</v>
      </c>
      <c r="B136" s="722" t="str">
        <f>CONCATENATE(LEFT(RIGHT(CONCATENATE("000",HH_debt1819!A136),6),3),"-",(RIGHT(RIGHT(CONCATENATE("000",HH_debt1819!A136),6),3)))</f>
        <v>043-907</v>
      </c>
      <c r="C136" s="91">
        <v>46161812</v>
      </c>
    </row>
    <row r="137" spans="1:3" ht="15">
      <c r="A137" t="s">
        <v>3452</v>
      </c>
      <c r="B137" s="722" t="str">
        <f>CONCATENATE(LEFT(RIGHT(CONCATENATE("000",HH_debt1819!A137),6),3),"-",(RIGHT(RIGHT(CONCATENATE("000",HH_debt1819!A137),6),3)))</f>
        <v>043-908</v>
      </c>
      <c r="C137" s="91">
        <v>2969508</v>
      </c>
    </row>
    <row r="138" spans="1:3" ht="15">
      <c r="A138" t="s">
        <v>5807</v>
      </c>
      <c r="B138" s="722" t="str">
        <f>CONCATENATE(LEFT(RIGHT(CONCATENATE("000",HH_debt1819!A138),6),3),"-",(RIGHT(RIGHT(CONCATENATE("000",HH_debt1819!A138),6),3)))</f>
        <v>043-910</v>
      </c>
      <c r="C138" s="91">
        <v>85104171</v>
      </c>
    </row>
    <row r="139" spans="1:3" ht="15">
      <c r="A139" t="s">
        <v>3453</v>
      </c>
      <c r="B139" s="722" t="str">
        <f>CONCATENATE(LEFT(RIGHT(CONCATENATE("000",HH_debt1819!A139),6),3),"-",(RIGHT(RIGHT(CONCATENATE("000",HH_debt1819!A139),6),3)))</f>
        <v>043-911</v>
      </c>
      <c r="C139" s="91">
        <v>6632301</v>
      </c>
    </row>
    <row r="140" spans="1:3" ht="15">
      <c r="A140" t="s">
        <v>3454</v>
      </c>
      <c r="B140" s="722" t="str">
        <f>CONCATENATE(LEFT(RIGHT(CONCATENATE("000",HH_debt1819!A140),6),3),"-",(RIGHT(RIGHT(CONCATENATE("000",HH_debt1819!A140),6),3)))</f>
        <v>043-912</v>
      </c>
      <c r="C140" s="91">
        <v>18069844</v>
      </c>
    </row>
    <row r="141" spans="1:3" ht="15">
      <c r="A141" t="s">
        <v>3455</v>
      </c>
      <c r="B141" s="722" t="str">
        <f>CONCATENATE(LEFT(RIGHT(CONCATENATE("000",HH_debt1819!A141),6),3),"-",(RIGHT(RIGHT(CONCATENATE("000",HH_debt1819!A141),6),3)))</f>
        <v>043-914</v>
      </c>
      <c r="C141" s="91">
        <v>22473788</v>
      </c>
    </row>
    <row r="142" spans="1:3" ht="15">
      <c r="A142" t="s">
        <v>3456</v>
      </c>
      <c r="B142" s="722" t="str">
        <f>CONCATENATE(LEFT(RIGHT(CONCATENATE("000",HH_debt1819!A142),6),3),"-",(RIGHT(RIGHT(CONCATENATE("000",HH_debt1819!A142),6),3)))</f>
        <v>043-917</v>
      </c>
      <c r="C142" s="91">
        <v>836044</v>
      </c>
    </row>
    <row r="143" spans="1:3" ht="15">
      <c r="A143" t="s">
        <v>3457</v>
      </c>
      <c r="B143" s="722" t="str">
        <f>CONCATENATE(LEFT(RIGHT(CONCATENATE("000",HH_debt1819!A143),6),3),"-",(RIGHT(RIGHT(CONCATENATE("000",HH_debt1819!A143),6),3)))</f>
        <v>043-918</v>
      </c>
      <c r="C143" s="91">
        <v>2343373</v>
      </c>
    </row>
    <row r="144" spans="1:3" ht="15">
      <c r="A144" t="s">
        <v>5808</v>
      </c>
      <c r="B144" s="722" t="str">
        <f>CONCATENATE(LEFT(RIGHT(CONCATENATE("000",HH_debt1819!A144),6),3),"-",(RIGHT(RIGHT(CONCATENATE("000",HH_debt1819!A144),6),3)))</f>
        <v>043-919</v>
      </c>
      <c r="C144" s="91">
        <v>10116518</v>
      </c>
    </row>
    <row r="145" spans="1:3" ht="15">
      <c r="A145" t="s">
        <v>3458</v>
      </c>
      <c r="B145" s="722" t="str">
        <f>CONCATENATE(LEFT(RIGHT(CONCATENATE("000",HH_debt1819!A145),6),3),"-",(RIGHT(RIGHT(CONCATENATE("000",HH_debt1819!A145),6),3)))</f>
        <v>045-902</v>
      </c>
      <c r="C145" s="91">
        <v>1198496</v>
      </c>
    </row>
    <row r="146" spans="1:3" ht="15">
      <c r="A146" t="s">
        <v>5809</v>
      </c>
      <c r="B146" s="722" t="str">
        <f>CONCATENATE(LEFT(RIGHT(CONCATENATE("000",HH_debt1819!A146),6),3),"-",(RIGHT(RIGHT(CONCATENATE("000",HH_debt1819!A146),6),3)))</f>
        <v>045-903</v>
      </c>
      <c r="C146" s="91">
        <v>928925</v>
      </c>
    </row>
    <row r="147" spans="1:3" ht="15">
      <c r="A147" t="s">
        <v>5810</v>
      </c>
      <c r="B147" s="722" t="str">
        <f>CONCATENATE(LEFT(RIGHT(CONCATENATE("000",HH_debt1819!A147),6),3),"-",(RIGHT(RIGHT(CONCATENATE("000",HH_debt1819!A147),6),3)))</f>
        <v>045-905</v>
      </c>
      <c r="C147" s="91">
        <v>628743</v>
      </c>
    </row>
    <row r="148" spans="1:3" ht="15">
      <c r="A148" t="s">
        <v>3459</v>
      </c>
      <c r="B148" s="722" t="str">
        <f>CONCATENATE(LEFT(RIGHT(CONCATENATE("000",HH_debt1819!A148),6),3),"-",(RIGHT(RIGHT(CONCATENATE("000",HH_debt1819!A148),6),3)))</f>
        <v>046-901</v>
      </c>
      <c r="C148" s="91">
        <v>13183857</v>
      </c>
    </row>
    <row r="149" spans="1:3" ht="15">
      <c r="A149" t="s">
        <v>5811</v>
      </c>
      <c r="B149" s="722" t="str">
        <f>CONCATENATE(LEFT(RIGHT(CONCATENATE("000",HH_debt1819!A149),6),3),"-",(RIGHT(RIGHT(CONCATENATE("000",HH_debt1819!A149),6),3)))</f>
        <v>046-902</v>
      </c>
      <c r="C149" s="91">
        <v>34430750</v>
      </c>
    </row>
    <row r="150" spans="1:3" ht="15">
      <c r="A150" t="s">
        <v>3460</v>
      </c>
      <c r="B150" s="722" t="str">
        <f>CONCATENATE(LEFT(RIGHT(CONCATENATE("000",HH_debt1819!A150),6),3),"-",(RIGHT(RIGHT(CONCATENATE("000",HH_debt1819!A150),6),3)))</f>
        <v>047-901</v>
      </c>
      <c r="C150" s="91">
        <v>755412</v>
      </c>
    </row>
    <row r="151" spans="1:3" ht="15">
      <c r="A151" t="s">
        <v>3461</v>
      </c>
      <c r="B151" s="722" t="str">
        <f>CONCATENATE(LEFT(RIGHT(CONCATENATE("000",HH_debt1819!A151),6),3),"-",(RIGHT(RIGHT(CONCATENATE("000",HH_debt1819!A151),6),3)))</f>
        <v>047-902</v>
      </c>
      <c r="C151" s="91">
        <v>423598</v>
      </c>
    </row>
    <row r="152" spans="1:3" ht="15">
      <c r="A152" t="s">
        <v>3462</v>
      </c>
      <c r="B152" s="722" t="str">
        <f>CONCATENATE(LEFT(RIGHT(CONCATENATE("000",HH_debt1819!A152),6),3),"-",(RIGHT(RIGHT(CONCATENATE("000",HH_debt1819!A152),6),3)))</f>
        <v>047-903</v>
      </c>
      <c r="C152" s="91">
        <v>86038</v>
      </c>
    </row>
    <row r="153" spans="1:3" ht="15">
      <c r="A153" t="s">
        <v>3463</v>
      </c>
      <c r="B153" s="722" t="str">
        <f>CONCATENATE(LEFT(RIGHT(CONCATENATE("000",HH_debt1819!A153),6),3),"-",(RIGHT(RIGHT(CONCATENATE("000",HH_debt1819!A153),6),3)))</f>
        <v>047-905</v>
      </c>
      <c r="C153" s="91">
        <v>93775</v>
      </c>
    </row>
    <row r="154" spans="1:3" ht="15">
      <c r="A154" t="s">
        <v>5812</v>
      </c>
      <c r="B154" s="722" t="str">
        <f>CONCATENATE(LEFT(RIGHT(CONCATENATE("000",HH_debt1819!A154),6),3),"-",(RIGHT(RIGHT(CONCATENATE("000",HH_debt1819!A154),6),3)))</f>
        <v>048-903</v>
      </c>
      <c r="C154" s="91">
        <v>162650</v>
      </c>
    </row>
    <row r="155" spans="1:3" ht="15">
      <c r="A155" t="s">
        <v>3464</v>
      </c>
      <c r="B155" s="722" t="str">
        <f>CONCATENATE(LEFT(RIGHT(CONCATENATE("000",HH_debt1819!A155),6),3),"-",(RIGHT(RIGHT(CONCATENATE("000",HH_debt1819!A155),6),3)))</f>
        <v>049-901</v>
      </c>
      <c r="C155" s="91">
        <v>2280594</v>
      </c>
    </row>
    <row r="156" spans="1:3" ht="15">
      <c r="A156" t="s">
        <v>5813</v>
      </c>
      <c r="B156" s="722" t="str">
        <f>CONCATENATE(LEFT(RIGHT(CONCATENATE("000",HH_debt1819!A156),6),3),"-",(RIGHT(RIGHT(CONCATENATE("000",HH_debt1819!A156),6),3)))</f>
        <v>049-902</v>
      </c>
      <c r="C156" s="91">
        <v>1256493</v>
      </c>
    </row>
    <row r="157" spans="1:3" ht="15">
      <c r="A157" t="s">
        <v>3465</v>
      </c>
      <c r="B157" s="722" t="str">
        <f>CONCATENATE(LEFT(RIGHT(CONCATENATE("000",HH_debt1819!A157),6),3),"-",(RIGHT(RIGHT(CONCATENATE("000",HH_debt1819!A157),6),3)))</f>
        <v>049-903</v>
      </c>
      <c r="C157" s="91">
        <v>859682</v>
      </c>
    </row>
    <row r="158" spans="1:3" ht="15">
      <c r="A158" t="s">
        <v>5814</v>
      </c>
      <c r="B158" s="722" t="str">
        <f>CONCATENATE(LEFT(RIGHT(CONCATENATE("000",HH_debt1819!A158),6),3),"-",(RIGHT(RIGHT(CONCATENATE("000",HH_debt1819!A158),6),3)))</f>
        <v>049-905</v>
      </c>
      <c r="C158" s="91">
        <v>1224291</v>
      </c>
    </row>
    <row r="159" spans="1:3" ht="15">
      <c r="A159" t="s">
        <v>3466</v>
      </c>
      <c r="B159" s="722" t="str">
        <f>CONCATENATE(LEFT(RIGHT(CONCATENATE("000",HH_debt1819!A159),6),3),"-",(RIGHT(RIGHT(CONCATENATE("000",HH_debt1819!A159),6),3)))</f>
        <v>049-906</v>
      </c>
      <c r="C159" s="91">
        <v>213260</v>
      </c>
    </row>
    <row r="160" spans="1:3" ht="15">
      <c r="A160" t="s">
        <v>5816</v>
      </c>
      <c r="B160" s="722" t="str">
        <f>CONCATENATE(LEFT(RIGHT(CONCATENATE("000",HH_debt1819!A160),6),3),"-",(RIGHT(RIGHT(CONCATENATE("000",HH_debt1819!A160),6),3)))</f>
        <v>050-902</v>
      </c>
      <c r="C160" s="91">
        <v>1293986</v>
      </c>
    </row>
    <row r="161" spans="1:3" ht="15">
      <c r="A161" t="s">
        <v>5817</v>
      </c>
      <c r="B161" s="722" t="str">
        <f>CONCATENATE(LEFT(RIGHT(CONCATENATE("000",HH_debt1819!A161),6),3),"-",(RIGHT(RIGHT(CONCATENATE("000",HH_debt1819!A161),6),3)))</f>
        <v>050-909</v>
      </c>
      <c r="C161" s="91">
        <v>50375</v>
      </c>
    </row>
    <row r="162" spans="1:3" ht="15">
      <c r="A162" t="s">
        <v>3468</v>
      </c>
      <c r="B162" s="722" t="str">
        <f>CONCATENATE(LEFT(RIGHT(CONCATENATE("000",HH_debt1819!A162),6),3),"-",(RIGHT(RIGHT(CONCATENATE("000",HH_debt1819!A162),6),3)))</f>
        <v>050-910</v>
      </c>
      <c r="C162" s="91">
        <v>1753250</v>
      </c>
    </row>
    <row r="163" spans="1:3" ht="15">
      <c r="A163" t="s">
        <v>5819</v>
      </c>
      <c r="B163" s="722" t="str">
        <f>CONCATENATE(LEFT(RIGHT(CONCATENATE("000",HH_debt1819!A163),6),3),"-",(RIGHT(RIGHT(CONCATENATE("000",HH_debt1819!A163),6),3)))</f>
        <v>055-901</v>
      </c>
      <c r="C163" s="91">
        <v>137632</v>
      </c>
    </row>
    <row r="164" spans="1:3" ht="15">
      <c r="A164" t="s">
        <v>5820</v>
      </c>
      <c r="B164" s="722" t="str">
        <f>CONCATENATE(LEFT(RIGHT(CONCATENATE("000",HH_debt1819!A164),6),3),"-",(RIGHT(RIGHT(CONCATENATE("000",HH_debt1819!A164),6),3)))</f>
        <v>056-901</v>
      </c>
      <c r="C164" s="91">
        <v>951550</v>
      </c>
    </row>
    <row r="165" spans="1:3" ht="15">
      <c r="A165" t="s">
        <v>5821</v>
      </c>
      <c r="B165" s="722" t="str">
        <f>CONCATENATE(LEFT(RIGHT(CONCATENATE("000",HH_debt1819!A165),6),3),"-",(RIGHT(RIGHT(CONCATENATE("000",HH_debt1819!A165),6),3)))</f>
        <v>057-903</v>
      </c>
      <c r="C165" s="91">
        <v>32241556</v>
      </c>
    </row>
    <row r="166" spans="1:3" ht="15">
      <c r="A166" t="s">
        <v>5822</v>
      </c>
      <c r="B166" s="722" t="str">
        <f>CONCATENATE(LEFT(RIGHT(CONCATENATE("000",HH_debt1819!A166),6),3),"-",(RIGHT(RIGHT(CONCATENATE("000",HH_debt1819!A166),6),3)))</f>
        <v>057-904</v>
      </c>
      <c r="C166" s="91">
        <v>12160559</v>
      </c>
    </row>
    <row r="167" spans="1:3" ht="15">
      <c r="A167" t="s">
        <v>5823</v>
      </c>
      <c r="B167" s="722" t="str">
        <f>CONCATENATE(LEFT(RIGHT(CONCATENATE("000",HH_debt1819!A167),6),3),"-",(RIGHT(RIGHT(CONCATENATE("000",HH_debt1819!A167),6),3)))</f>
        <v>057-905</v>
      </c>
      <c r="C167" s="91">
        <v>162878136</v>
      </c>
    </row>
    <row r="168" spans="1:3" ht="15">
      <c r="A168" t="s">
        <v>3469</v>
      </c>
      <c r="B168" s="722" t="str">
        <f>CONCATENATE(LEFT(RIGHT(CONCATENATE("000",HH_debt1819!A168),6),3),"-",(RIGHT(RIGHT(CONCATENATE("000",HH_debt1819!A168),6),3)))</f>
        <v>057-906</v>
      </c>
      <c r="C168" s="91">
        <v>12805836</v>
      </c>
    </row>
    <row r="169" spans="1:3" ht="15">
      <c r="A169" t="s">
        <v>5824</v>
      </c>
      <c r="B169" s="722" t="str">
        <f>CONCATENATE(LEFT(RIGHT(CONCATENATE("000",HH_debt1819!A169),6),3),"-",(RIGHT(RIGHT(CONCATENATE("000",HH_debt1819!A169),6),3)))</f>
        <v>057-907</v>
      </c>
      <c r="C169" s="91">
        <v>18735150</v>
      </c>
    </row>
    <row r="170" spans="1:3" ht="15">
      <c r="A170" t="s">
        <v>3470</v>
      </c>
      <c r="B170" s="722" t="str">
        <f>CONCATENATE(LEFT(RIGHT(CONCATENATE("000",HH_debt1819!A170),6),3),"-",(RIGHT(RIGHT(CONCATENATE("000",HH_debt1819!A170),6),3)))</f>
        <v>057-909</v>
      </c>
      <c r="C170" s="91">
        <v>51072342</v>
      </c>
    </row>
    <row r="171" spans="1:3" ht="15">
      <c r="A171" t="s">
        <v>3471</v>
      </c>
      <c r="B171" s="722" t="str">
        <f>CONCATENATE(LEFT(RIGHT(CONCATENATE("000",HH_debt1819!A171),6),3),"-",(RIGHT(RIGHT(CONCATENATE("000",HH_debt1819!A171),6),3)))</f>
        <v>057-910</v>
      </c>
      <c r="C171" s="91">
        <v>34487343</v>
      </c>
    </row>
    <row r="172" spans="1:3" ht="15">
      <c r="A172" t="s">
        <v>5825</v>
      </c>
      <c r="B172" s="722" t="str">
        <f>CONCATENATE(LEFT(RIGHT(CONCATENATE("000",HH_debt1819!A172),6),3),"-",(RIGHT(RIGHT(CONCATENATE("000",HH_debt1819!A172),6),3)))</f>
        <v>057-911</v>
      </c>
      <c r="C172" s="91">
        <v>10828390</v>
      </c>
    </row>
    <row r="173" spans="1:3" ht="15">
      <c r="A173" t="s">
        <v>3472</v>
      </c>
      <c r="B173" s="722" t="str">
        <f>CONCATENATE(LEFT(RIGHT(CONCATENATE("000",HH_debt1819!A173),6),3),"-",(RIGHT(RIGHT(CONCATENATE("000",HH_debt1819!A173),6),3)))</f>
        <v>057-912</v>
      </c>
      <c r="C173" s="91">
        <v>45858599</v>
      </c>
    </row>
    <row r="174" spans="1:3" ht="15">
      <c r="A174" t="s">
        <v>5826</v>
      </c>
      <c r="B174" s="722" t="str">
        <f>CONCATENATE(LEFT(RIGHT(CONCATENATE("000",HH_debt1819!A174),6),3),"-",(RIGHT(RIGHT(CONCATENATE("000",HH_debt1819!A174),6),3)))</f>
        <v>057-913</v>
      </c>
      <c r="C174" s="91">
        <v>9607963</v>
      </c>
    </row>
    <row r="175" spans="1:3" ht="15">
      <c r="A175" t="s">
        <v>3473</v>
      </c>
      <c r="B175" s="722" t="str">
        <f>CONCATENATE(LEFT(RIGHT(CONCATENATE("000",HH_debt1819!A175),6),3),"-",(RIGHT(RIGHT(CONCATENATE("000",HH_debt1819!A175),6),3)))</f>
        <v>057-914</v>
      </c>
      <c r="C175" s="91">
        <v>38481501</v>
      </c>
    </row>
    <row r="176" spans="1:3" ht="15">
      <c r="A176" t="s">
        <v>5827</v>
      </c>
      <c r="B176" s="722" t="str">
        <f>CONCATENATE(LEFT(RIGHT(CONCATENATE("000",HH_debt1819!A176),6),3),"-",(RIGHT(RIGHT(CONCATENATE("000",HH_debt1819!A176),6),3)))</f>
        <v>057-916</v>
      </c>
      <c r="C176" s="91">
        <v>30236388</v>
      </c>
    </row>
    <row r="177" spans="1:3" ht="15">
      <c r="A177" t="s">
        <v>5828</v>
      </c>
      <c r="B177" s="722" t="str">
        <f>CONCATENATE(LEFT(RIGHT(CONCATENATE("000",HH_debt1819!A177),6),3),"-",(RIGHT(RIGHT(CONCATENATE("000",HH_debt1819!A177),6),3)))</f>
        <v>057-919</v>
      </c>
      <c r="C177" s="91">
        <v>3810244</v>
      </c>
    </row>
    <row r="178" spans="1:3" ht="15">
      <c r="A178" t="s">
        <v>5829</v>
      </c>
      <c r="B178" s="722" t="str">
        <f>CONCATENATE(LEFT(RIGHT(CONCATENATE("000",HH_debt1819!A178),6),3),"-",(RIGHT(RIGHT(CONCATENATE("000",HH_debt1819!A178),6),3)))</f>
        <v>057-922</v>
      </c>
      <c r="C178" s="91">
        <v>26015299</v>
      </c>
    </row>
    <row r="179" spans="1:3" ht="15">
      <c r="A179" t="s">
        <v>5830</v>
      </c>
      <c r="B179" s="722" t="str">
        <f>CONCATENATE(LEFT(RIGHT(CONCATENATE("000",HH_debt1819!A179),6),3),"-",(RIGHT(RIGHT(CONCATENATE("000",HH_debt1819!A179),6),3)))</f>
        <v>058-905</v>
      </c>
      <c r="C179" s="91">
        <v>988100</v>
      </c>
    </row>
    <row r="180" spans="1:3" ht="15">
      <c r="A180" t="s">
        <v>5831</v>
      </c>
      <c r="B180" s="722" t="str">
        <f>CONCATENATE(LEFT(RIGHT(CONCATENATE("000",HH_debt1819!A180),6),3),"-",(RIGHT(RIGHT(CONCATENATE("000",HH_debt1819!A180),6),3)))</f>
        <v>058-909</v>
      </c>
      <c r="C180" s="91">
        <v>733400</v>
      </c>
    </row>
    <row r="181" spans="1:3" ht="15">
      <c r="A181" t="s">
        <v>3474</v>
      </c>
      <c r="B181" s="722" t="str">
        <f>CONCATENATE(LEFT(RIGHT(CONCATENATE("000",HH_debt1819!A181),6),3),"-",(RIGHT(RIGHT(CONCATENATE("000",HH_debt1819!A181),6),3)))</f>
        <v>060-902</v>
      </c>
      <c r="C181" s="91">
        <v>832549</v>
      </c>
    </row>
    <row r="182" spans="1:3" ht="15">
      <c r="A182" t="s">
        <v>3475</v>
      </c>
      <c r="B182" s="722" t="str">
        <f>CONCATENATE(LEFT(RIGHT(CONCATENATE("000",HH_debt1819!A182),6),3),"-",(RIGHT(RIGHT(CONCATENATE("000",HH_debt1819!A182),6),3)))</f>
        <v>060-914</v>
      </c>
      <c r="C182" s="91">
        <v>104700</v>
      </c>
    </row>
    <row r="183" spans="1:3" ht="15">
      <c r="A183" t="s">
        <v>5832</v>
      </c>
      <c r="B183" s="722" t="str">
        <f>CONCATENATE(LEFT(RIGHT(CONCATENATE("000",HH_debt1819!A183),6),3),"-",(RIGHT(RIGHT(CONCATENATE("000",HH_debt1819!A183),6),3)))</f>
        <v>061-901</v>
      </c>
      <c r="C183" s="91">
        <v>57665034</v>
      </c>
    </row>
    <row r="184" spans="1:3" ht="15">
      <c r="A184" t="s">
        <v>3476</v>
      </c>
      <c r="B184" s="722" t="str">
        <f>CONCATENATE(LEFT(RIGHT(CONCATENATE("000",HH_debt1819!A184),6),3),"-",(RIGHT(RIGHT(CONCATENATE("000",HH_debt1819!A184),6),3)))</f>
        <v>061-902</v>
      </c>
      <c r="C184" s="91">
        <v>121555323</v>
      </c>
    </row>
    <row r="185" spans="1:3" ht="15">
      <c r="A185" t="s">
        <v>4518</v>
      </c>
      <c r="B185" s="722" t="str">
        <f>CONCATENATE(LEFT(RIGHT(CONCATENATE("000",HH_debt1819!A185),6),3),"-",(RIGHT(RIGHT(CONCATENATE("000",HH_debt1819!A185),6),3)))</f>
        <v>061-903</v>
      </c>
      <c r="C185" s="91">
        <v>1388545</v>
      </c>
    </row>
    <row r="186" spans="1:3" ht="15">
      <c r="A186" t="s">
        <v>3477</v>
      </c>
      <c r="B186" s="722" t="str">
        <f>CONCATENATE(LEFT(RIGHT(CONCATENATE("000",HH_debt1819!A186),6),3),"-",(RIGHT(RIGHT(CONCATENATE("000",HH_debt1819!A186),6),3)))</f>
        <v>061-905</v>
      </c>
      <c r="C186" s="91">
        <v>3048935</v>
      </c>
    </row>
    <row r="187" spans="1:3" ht="15">
      <c r="A187" t="s">
        <v>3478</v>
      </c>
      <c r="B187" s="722" t="str">
        <f>CONCATENATE(LEFT(RIGHT(CONCATENATE("000",HH_debt1819!A187),6),3),"-",(RIGHT(RIGHT(CONCATENATE("000",HH_debt1819!A187),6),3)))</f>
        <v>061-906</v>
      </c>
      <c r="C187" s="91">
        <v>2374507</v>
      </c>
    </row>
    <row r="188" spans="1:3" ht="15">
      <c r="A188" t="s">
        <v>3479</v>
      </c>
      <c r="B188" s="722" t="str">
        <f>CONCATENATE(LEFT(RIGHT(CONCATENATE("000",HH_debt1819!A188),6),3),"-",(RIGHT(RIGHT(CONCATENATE("000",HH_debt1819!A188),6),3)))</f>
        <v>061-907</v>
      </c>
      <c r="C188" s="91">
        <v>3786440</v>
      </c>
    </row>
    <row r="189" spans="1:3" ht="15">
      <c r="A189" t="s">
        <v>3480</v>
      </c>
      <c r="B189" s="722" t="str">
        <f>CONCATENATE(LEFT(RIGHT(CONCATENATE("000",HH_debt1819!A189),6),3),"-",(RIGHT(RIGHT(CONCATENATE("000",HH_debt1819!A189),6),3)))</f>
        <v>061-908</v>
      </c>
      <c r="C189" s="91">
        <v>2879098</v>
      </c>
    </row>
    <row r="190" spans="1:3" ht="15">
      <c r="A190" t="s">
        <v>5833</v>
      </c>
      <c r="B190" s="722" t="str">
        <f>CONCATENATE(LEFT(RIGHT(CONCATENATE("000",HH_debt1819!A190),6),3),"-",(RIGHT(RIGHT(CONCATENATE("000",HH_debt1819!A190),6),3)))</f>
        <v>061-910</v>
      </c>
      <c r="C190" s="91">
        <v>6727964</v>
      </c>
    </row>
    <row r="191" spans="1:3" ht="15">
      <c r="A191" t="s">
        <v>3481</v>
      </c>
      <c r="B191" s="722" t="str">
        <f>CONCATENATE(LEFT(RIGHT(CONCATENATE("000",HH_debt1819!A191),6),3),"-",(RIGHT(RIGHT(CONCATENATE("000",HH_debt1819!A191),6),3)))</f>
        <v>061-911</v>
      </c>
      <c r="C191" s="91">
        <v>46041671</v>
      </c>
    </row>
    <row r="192" spans="1:3" ht="15">
      <c r="A192" t="s">
        <v>3482</v>
      </c>
      <c r="B192" s="722" t="str">
        <f>CONCATENATE(LEFT(RIGHT(CONCATENATE("000",HH_debt1819!A192),6),3),"-",(RIGHT(RIGHT(CONCATENATE("000",HH_debt1819!A192),6),3)))</f>
        <v>061-912</v>
      </c>
      <c r="C192" s="91">
        <v>7439687</v>
      </c>
    </row>
    <row r="193" spans="1:3" ht="15">
      <c r="A193" t="s">
        <v>3483</v>
      </c>
      <c r="B193" s="722" t="str">
        <f>CONCATENATE(LEFT(RIGHT(CONCATENATE("000",HH_debt1819!A193),6),3),"-",(RIGHT(RIGHT(CONCATENATE("000",HH_debt1819!A193),6),3)))</f>
        <v>061-914</v>
      </c>
      <c r="C193" s="91">
        <v>11378100</v>
      </c>
    </row>
    <row r="194" spans="1:3" ht="15">
      <c r="A194" t="s">
        <v>3484</v>
      </c>
      <c r="B194" s="722" t="str">
        <f>CONCATENATE(LEFT(RIGHT(CONCATENATE("000",HH_debt1819!A194),6),3),"-",(RIGHT(RIGHT(CONCATENATE("000",HH_debt1819!A194),6),3)))</f>
        <v>062-901</v>
      </c>
      <c r="C194" s="91">
        <v>6632175</v>
      </c>
    </row>
    <row r="195" spans="1:3" ht="15">
      <c r="A195" t="s">
        <v>3485</v>
      </c>
      <c r="B195" s="722" t="str">
        <f>CONCATENATE(LEFT(RIGHT(CONCATENATE("000",HH_debt1819!A195),6),3),"-",(RIGHT(RIGHT(CONCATENATE("000",HH_debt1819!A195),6),3)))</f>
        <v>062-903</v>
      </c>
      <c r="C195" s="91">
        <v>4149725</v>
      </c>
    </row>
    <row r="196" spans="1:3" ht="15">
      <c r="A196" t="s">
        <v>5835</v>
      </c>
      <c r="B196" s="722" t="str">
        <f>CONCATENATE(LEFT(RIGHT(CONCATENATE("000",HH_debt1819!A196),6),3),"-",(RIGHT(RIGHT(CONCATENATE("000",HH_debt1819!A196),6),3)))</f>
        <v>062-904</v>
      </c>
      <c r="C196" s="91">
        <v>384312</v>
      </c>
    </row>
    <row r="197" spans="1:3" ht="15">
      <c r="A197" t="s">
        <v>5836</v>
      </c>
      <c r="B197" s="722" t="str">
        <f>CONCATENATE(LEFT(RIGHT(CONCATENATE("000",HH_debt1819!A197),6),3),"-",(RIGHT(RIGHT(CONCATENATE("000",HH_debt1819!A197),6),3)))</f>
        <v>063-903</v>
      </c>
      <c r="C197" s="91">
        <v>579925</v>
      </c>
    </row>
    <row r="198" spans="1:3" ht="15">
      <c r="A198" t="s">
        <v>3486</v>
      </c>
      <c r="B198" s="722" t="str">
        <f>CONCATENATE(LEFT(RIGHT(CONCATENATE("000",HH_debt1819!A198),6),3),"-",(RIGHT(RIGHT(CONCATENATE("000",HH_debt1819!A198),6),3)))</f>
        <v>064-903</v>
      </c>
      <c r="C198" s="91">
        <v>3198412</v>
      </c>
    </row>
    <row r="199" spans="1:3" ht="15">
      <c r="A199" t="s">
        <v>5837</v>
      </c>
      <c r="B199" s="722" t="str">
        <f>CONCATENATE(LEFT(RIGHT(CONCATENATE("000",HH_debt1819!A199),6),3),"-",(RIGHT(RIGHT(CONCATENATE("000",HH_debt1819!A199),6),3)))</f>
        <v>066-901</v>
      </c>
      <c r="C199" s="91">
        <v>535782</v>
      </c>
    </row>
    <row r="200" spans="1:3" ht="15">
      <c r="A200" t="s">
        <v>3488</v>
      </c>
      <c r="B200" s="722" t="str">
        <f>CONCATENATE(LEFT(RIGHT(CONCATENATE("000",HH_debt1819!A200),6),3),"-",(RIGHT(RIGHT(CONCATENATE("000",HH_debt1819!A200),6),3)))</f>
        <v>066-902</v>
      </c>
      <c r="C200" s="91">
        <v>1718016</v>
      </c>
    </row>
    <row r="201" spans="1:3" ht="15">
      <c r="A201" t="s">
        <v>5838</v>
      </c>
      <c r="B201" s="722" t="str">
        <f>CONCATENATE(LEFT(RIGHT(CONCATENATE("000",HH_debt1819!A201),6),3),"-",(RIGHT(RIGHT(CONCATENATE("000",HH_debt1819!A201),6),3)))</f>
        <v>066-903</v>
      </c>
      <c r="C201" s="91">
        <v>1177200</v>
      </c>
    </row>
    <row r="202" spans="1:3" ht="15">
      <c r="A202" t="s">
        <v>5839</v>
      </c>
      <c r="B202" s="722" t="str">
        <f>CONCATENATE(LEFT(RIGHT(CONCATENATE("000",HH_debt1819!A202),6),3),"-",(RIGHT(RIGHT(CONCATENATE("000",HH_debt1819!A202),6),3)))</f>
        <v>067-904</v>
      </c>
      <c r="C202" s="91">
        <v>318000</v>
      </c>
    </row>
    <row r="203" spans="1:3" ht="15">
      <c r="A203" t="s">
        <v>5840</v>
      </c>
      <c r="B203" s="722" t="str">
        <f>CONCATENATE(LEFT(RIGHT(CONCATENATE("000",HH_debt1819!A203),6),3),"-",(RIGHT(RIGHT(CONCATENATE("000",HH_debt1819!A203),6),3)))</f>
        <v>068-901</v>
      </c>
      <c r="C203" s="91">
        <v>14152779</v>
      </c>
    </row>
    <row r="204" spans="1:3" ht="15">
      <c r="A204" t="s">
        <v>5841</v>
      </c>
      <c r="B204" s="722" t="str">
        <f>CONCATENATE(LEFT(RIGHT(CONCATENATE("000",HH_debt1819!A204),6),3),"-",(RIGHT(RIGHT(CONCATENATE("000",HH_debt1819!A204),6),3)))</f>
        <v>069-901</v>
      </c>
      <c r="C204" s="91">
        <v>284650</v>
      </c>
    </row>
    <row r="205" spans="1:3" ht="15">
      <c r="A205" t="s">
        <v>3489</v>
      </c>
      <c r="B205" s="722" t="str">
        <f>CONCATENATE(LEFT(RIGHT(CONCATENATE("000",HH_debt1819!A205),6),3),"-",(RIGHT(RIGHT(CONCATENATE("000",HH_debt1819!A205),6),3)))</f>
        <v>070-901</v>
      </c>
      <c r="C205" s="91">
        <v>81900</v>
      </c>
    </row>
    <row r="206" spans="1:3" ht="15">
      <c r="A206" t="s">
        <v>5842</v>
      </c>
      <c r="B206" s="722" t="str">
        <f>CONCATENATE(LEFT(RIGHT(CONCATENATE("000",HH_debt1819!A206),6),3),"-",(RIGHT(RIGHT(CONCATENATE("000",HH_debt1819!A206),6),3)))</f>
        <v>070-903</v>
      </c>
      <c r="C206" s="91">
        <v>9338500</v>
      </c>
    </row>
    <row r="207" spans="1:3" ht="15">
      <c r="A207" t="s">
        <v>3490</v>
      </c>
      <c r="B207" s="722" t="str">
        <f>CONCATENATE(LEFT(RIGHT(CONCATENATE("000",HH_debt1819!A207),6),3),"-",(RIGHT(RIGHT(CONCATENATE("000",HH_debt1819!A207),6),3)))</f>
        <v>070-905</v>
      </c>
      <c r="C207" s="91">
        <v>2519625</v>
      </c>
    </row>
    <row r="208" spans="1:3" ht="15">
      <c r="A208" t="s">
        <v>3491</v>
      </c>
      <c r="B208" s="722" t="str">
        <f>CONCATENATE(LEFT(RIGHT(CONCATENATE("000",HH_debt1819!A208),6),3),"-",(RIGHT(RIGHT(CONCATENATE("000",HH_debt1819!A208),6),3)))</f>
        <v>070-907</v>
      </c>
      <c r="C208" s="91">
        <v>537612</v>
      </c>
    </row>
    <row r="209" spans="1:3" ht="15">
      <c r="A209" t="s">
        <v>5843</v>
      </c>
      <c r="B209" s="722" t="str">
        <f>CONCATENATE(LEFT(RIGHT(CONCATENATE("000",HH_debt1819!A209),6),3),"-",(RIGHT(RIGHT(CONCATENATE("000",HH_debt1819!A209),6),3)))</f>
        <v>070-908</v>
      </c>
      <c r="C209" s="91">
        <v>16337126</v>
      </c>
    </row>
    <row r="210" spans="1:3" ht="15">
      <c r="A210" t="s">
        <v>3492</v>
      </c>
      <c r="B210" s="722" t="str">
        <f>CONCATENATE(LEFT(RIGHT(CONCATENATE("000",HH_debt1819!A210),6),3),"-",(RIGHT(RIGHT(CONCATENATE("000",HH_debt1819!A210),6),3)))</f>
        <v>070-910</v>
      </c>
      <c r="C210" s="91">
        <v>1282978</v>
      </c>
    </row>
    <row r="211" spans="1:3" ht="15">
      <c r="A211" t="s">
        <v>3493</v>
      </c>
      <c r="B211" s="722" t="str">
        <f>CONCATENATE(LEFT(RIGHT(CONCATENATE("000",HH_debt1819!A211),6),3),"-",(RIGHT(RIGHT(CONCATENATE("000",HH_debt1819!A211),6),3)))</f>
        <v>070-911</v>
      </c>
      <c r="C211" s="91">
        <v>7796244</v>
      </c>
    </row>
    <row r="212" spans="1:3" ht="15">
      <c r="A212" t="s">
        <v>3494</v>
      </c>
      <c r="B212" s="722" t="str">
        <f>CONCATENATE(LEFT(RIGHT(CONCATENATE("000",HH_debt1819!A212),6),3),"-",(RIGHT(RIGHT(CONCATENATE("000",HH_debt1819!A212),6),3)))</f>
        <v>070-912</v>
      </c>
      <c r="C212" s="91">
        <v>13738390</v>
      </c>
    </row>
    <row r="213" spans="1:3" ht="15">
      <c r="A213" t="s">
        <v>3495</v>
      </c>
      <c r="B213" s="722" t="str">
        <f>CONCATENATE(LEFT(RIGHT(CONCATENATE("000",HH_debt1819!A213),6),3),"-",(RIGHT(RIGHT(CONCATENATE("000",HH_debt1819!A213),6),3)))</f>
        <v>070-915</v>
      </c>
      <c r="C213" s="91">
        <v>1009151</v>
      </c>
    </row>
    <row r="214" spans="1:3" ht="15">
      <c r="A214" t="s">
        <v>3496</v>
      </c>
      <c r="B214" s="722" t="str">
        <f>CONCATENATE(LEFT(RIGHT(CONCATENATE("000",HH_debt1819!A214),6),3),"-",(RIGHT(RIGHT(CONCATENATE("000",HH_debt1819!A214),6),3)))</f>
        <v>071-901</v>
      </c>
      <c r="C214" s="91">
        <v>15004152</v>
      </c>
    </row>
    <row r="215" spans="1:3" ht="15">
      <c r="A215" t="s">
        <v>3497</v>
      </c>
      <c r="B215" s="722" t="str">
        <f>CONCATENATE(LEFT(RIGHT(CONCATENATE("000",HH_debt1819!A215),6),3),"-",(RIGHT(RIGHT(CONCATENATE("000",HH_debt1819!A215),6),3)))</f>
        <v>071-902</v>
      </c>
      <c r="C215" s="91">
        <v>30857680</v>
      </c>
    </row>
    <row r="216" spans="1:3" ht="15">
      <c r="A216" t="s">
        <v>3498</v>
      </c>
      <c r="B216" s="722" t="str">
        <f>CONCATENATE(LEFT(RIGHT(CONCATENATE("000",HH_debt1819!A216),6),3),"-",(RIGHT(RIGHT(CONCATENATE("000",HH_debt1819!A216),6),3)))</f>
        <v>071-903</v>
      </c>
      <c r="C216" s="91">
        <v>1951538</v>
      </c>
    </row>
    <row r="217" spans="1:3" ht="15">
      <c r="A217" t="s">
        <v>4611</v>
      </c>
      <c r="B217" s="722" t="str">
        <f>CONCATENATE(LEFT(RIGHT(CONCATENATE("000",HH_debt1819!A217),6),3),"-",(RIGHT(RIGHT(CONCATENATE("000",HH_debt1819!A217),6),3)))</f>
        <v>071-904</v>
      </c>
      <c r="C217" s="91">
        <v>1674637</v>
      </c>
    </row>
    <row r="218" spans="1:3" ht="15">
      <c r="A218" t="s">
        <v>4617</v>
      </c>
      <c r="B218" s="722" t="str">
        <f>CONCATENATE(LEFT(RIGHT(CONCATENATE("000",HH_debt1819!A218),6),3),"-",(RIGHT(RIGHT(CONCATENATE("000",HH_debt1819!A218),6),3)))</f>
        <v>071-905</v>
      </c>
      <c r="C218" s="91">
        <v>15888000</v>
      </c>
    </row>
    <row r="219" spans="1:3" ht="15">
      <c r="A219" t="s">
        <v>3499</v>
      </c>
      <c r="B219" s="722" t="str">
        <f>CONCATENATE(LEFT(RIGHT(CONCATENATE("000",HH_debt1819!A219),6),3),"-",(RIGHT(RIGHT(CONCATENATE("000",HH_debt1819!A219),6),3)))</f>
        <v>071-906</v>
      </c>
      <c r="C219" s="91">
        <v>499302</v>
      </c>
    </row>
    <row r="220" spans="1:3" ht="15">
      <c r="A220" t="s">
        <v>3500</v>
      </c>
      <c r="B220" s="722" t="str">
        <f>CONCATENATE(LEFT(RIGHT(CONCATENATE("000",HH_debt1819!A220),6),3),"-",(RIGHT(RIGHT(CONCATENATE("000",HH_debt1819!A220),6),3)))</f>
        <v>071-907</v>
      </c>
      <c r="C220" s="91">
        <v>7290045</v>
      </c>
    </row>
    <row r="221" spans="1:3" ht="15">
      <c r="A221" t="s">
        <v>3501</v>
      </c>
      <c r="B221" s="722" t="str">
        <f>CONCATENATE(LEFT(RIGHT(CONCATENATE("000",HH_debt1819!A221),6),3),"-",(RIGHT(RIGHT(CONCATENATE("000",HH_debt1819!A221),6),3)))</f>
        <v>071-908</v>
      </c>
      <c r="C221" s="91">
        <v>1017374</v>
      </c>
    </row>
    <row r="222" spans="1:3" ht="15">
      <c r="A222" t="s">
        <v>3502</v>
      </c>
      <c r="B222" s="722" t="str">
        <f>CONCATENATE(LEFT(RIGHT(CONCATENATE("000",HH_debt1819!A222),6),3),"-",(RIGHT(RIGHT(CONCATENATE("000",HH_debt1819!A222),6),3)))</f>
        <v>071-909</v>
      </c>
      <c r="C222" s="91">
        <v>45636098</v>
      </c>
    </row>
    <row r="223" spans="1:3" ht="15">
      <c r="A223" t="s">
        <v>5844</v>
      </c>
      <c r="B223" s="722" t="str">
        <f>CONCATENATE(LEFT(RIGHT(CONCATENATE("000",HH_debt1819!A223),6),3),"-",(RIGHT(RIGHT(CONCATENATE("000",HH_debt1819!A223),6),3)))</f>
        <v>072-902</v>
      </c>
      <c r="C223" s="91">
        <v>682550</v>
      </c>
    </row>
    <row r="224" spans="1:3" ht="15">
      <c r="A224" t="s">
        <v>3503</v>
      </c>
      <c r="B224" s="722" t="str">
        <f>CONCATENATE(LEFT(RIGHT(CONCATENATE("000",HH_debt1819!A224),6),3),"-",(RIGHT(RIGHT(CONCATENATE("000",HH_debt1819!A224),6),3)))</f>
        <v>072-903</v>
      </c>
      <c r="C224" s="91">
        <v>1665569</v>
      </c>
    </row>
    <row r="225" spans="1:3" ht="15">
      <c r="A225" t="s">
        <v>3504</v>
      </c>
      <c r="B225" s="722" t="str">
        <f>CONCATENATE(LEFT(RIGHT(CONCATENATE("000",HH_debt1819!A225),6),3),"-",(RIGHT(RIGHT(CONCATENATE("000",HH_debt1819!A225),6),3)))</f>
        <v>072-909</v>
      </c>
      <c r="C225" s="91">
        <v>89851</v>
      </c>
    </row>
    <row r="226" spans="1:3" ht="15">
      <c r="A226" t="s">
        <v>5846</v>
      </c>
      <c r="B226" s="722" t="str">
        <f>CONCATENATE(LEFT(RIGHT(CONCATENATE("000",HH_debt1819!A226),6),3),"-",(RIGHT(RIGHT(CONCATENATE("000",HH_debt1819!A226),6),3)))</f>
        <v>073-901</v>
      </c>
      <c r="C226" s="91">
        <v>344048</v>
      </c>
    </row>
    <row r="227" spans="1:3" ht="15">
      <c r="A227" t="s">
        <v>5847</v>
      </c>
      <c r="B227" s="722" t="str">
        <f>CONCATENATE(LEFT(RIGHT(CONCATENATE("000",HH_debt1819!A227),6),3),"-",(RIGHT(RIGHT(CONCATENATE("000",HH_debt1819!A227),6),3)))</f>
        <v>074-903</v>
      </c>
      <c r="C227" s="91">
        <v>885688</v>
      </c>
    </row>
    <row r="228" spans="1:3" ht="15">
      <c r="A228" t="s">
        <v>3505</v>
      </c>
      <c r="B228" s="722" t="str">
        <f>CONCATENATE(LEFT(RIGHT(CONCATENATE("000",HH_debt1819!A228),6),3),"-",(RIGHT(RIGHT(CONCATENATE("000",HH_debt1819!A228),6),3)))</f>
        <v>074-904</v>
      </c>
      <c r="C228" s="91">
        <v>293475</v>
      </c>
    </row>
    <row r="229" spans="1:3" ht="15">
      <c r="A229" t="s">
        <v>3506</v>
      </c>
      <c r="B229" s="722" t="str">
        <f>CONCATENATE(LEFT(RIGHT(CONCATENATE("000",HH_debt1819!A229),6),3),"-",(RIGHT(RIGHT(CONCATENATE("000",HH_debt1819!A229),6),3)))</f>
        <v>074-905</v>
      </c>
      <c r="C229" s="91">
        <v>161800</v>
      </c>
    </row>
    <row r="230" spans="1:3" ht="15">
      <c r="A230" t="s">
        <v>3507</v>
      </c>
      <c r="B230" s="722" t="str">
        <f>CONCATENATE(LEFT(RIGHT(CONCATENATE("000",HH_debt1819!A230),6),3),"-",(RIGHT(RIGHT(CONCATENATE("000",HH_debt1819!A230),6),3)))</f>
        <v>074-907</v>
      </c>
      <c r="C230" s="91">
        <v>637775</v>
      </c>
    </row>
    <row r="231" spans="1:3" ht="15">
      <c r="A231" t="s">
        <v>5849</v>
      </c>
      <c r="B231" s="722" t="str">
        <f>CONCATENATE(LEFT(RIGHT(CONCATENATE("000",HH_debt1819!A231),6),3),"-",(RIGHT(RIGHT(CONCATENATE("000",HH_debt1819!A231),6),3)))</f>
        <v>074-911</v>
      </c>
      <c r="C231" s="91">
        <v>244831</v>
      </c>
    </row>
    <row r="232" spans="1:3" ht="15">
      <c r="A232" t="s">
        <v>3508</v>
      </c>
      <c r="B232" s="722" t="str">
        <f>CONCATENATE(LEFT(RIGHT(CONCATENATE("000",HH_debt1819!A232),6),3),"-",(RIGHT(RIGHT(CONCATENATE("000",HH_debt1819!A232),6),3)))</f>
        <v>074-912</v>
      </c>
      <c r="C232" s="91">
        <v>502155</v>
      </c>
    </row>
    <row r="233" spans="1:3" ht="15">
      <c r="A233" t="s">
        <v>3509</v>
      </c>
      <c r="B233" s="722" t="str">
        <f>CONCATENATE(LEFT(RIGHT(CONCATENATE("000",HH_debt1819!A233),6),3),"-",(RIGHT(RIGHT(CONCATENATE("000",HH_debt1819!A233),6),3)))</f>
        <v>074-917</v>
      </c>
      <c r="C233" s="91">
        <v>252200</v>
      </c>
    </row>
    <row r="234" spans="1:3" ht="15">
      <c r="A234" t="s">
        <v>5850</v>
      </c>
      <c r="B234" s="722" t="str">
        <f>CONCATENATE(LEFT(RIGHT(CONCATENATE("000",HH_debt1819!A234),6),3),"-",(RIGHT(RIGHT(CONCATENATE("000",HH_debt1819!A234),6),3)))</f>
        <v>075-901</v>
      </c>
      <c r="C234" s="91">
        <v>325060</v>
      </c>
    </row>
    <row r="235" spans="1:3" ht="15">
      <c r="A235" t="s">
        <v>5851</v>
      </c>
      <c r="B235" s="722" t="str">
        <f>CONCATENATE(LEFT(RIGHT(CONCATENATE("000",HH_debt1819!A235),6),3),"-",(RIGHT(RIGHT(CONCATENATE("000",HH_debt1819!A235),6),3)))</f>
        <v>075-903</v>
      </c>
      <c r="C235" s="91">
        <v>466020</v>
      </c>
    </row>
    <row r="236" spans="1:3" ht="15">
      <c r="A236" t="s">
        <v>5853</v>
      </c>
      <c r="B236" s="722" t="str">
        <f>CONCATENATE(LEFT(RIGHT(CONCATENATE("000",HH_debt1819!A236),6),3),"-",(RIGHT(RIGHT(CONCATENATE("000",HH_debt1819!A236),6),3)))</f>
        <v>077-901</v>
      </c>
      <c r="C236" s="91">
        <v>358654</v>
      </c>
    </row>
    <row r="237" spans="1:3" ht="15">
      <c r="A237" t="s">
        <v>5854</v>
      </c>
      <c r="B237" s="722" t="str">
        <f>CONCATENATE(LEFT(RIGHT(CONCATENATE("000",HH_debt1819!A237),6),3),"-",(RIGHT(RIGHT(CONCATENATE("000",HH_debt1819!A237),6),3)))</f>
        <v>079-901</v>
      </c>
      <c r="C237" s="91">
        <v>53540326</v>
      </c>
    </row>
    <row r="238" spans="1:3" ht="15">
      <c r="A238" t="s">
        <v>3511</v>
      </c>
      <c r="B238" s="722" t="str">
        <f>CONCATENATE(LEFT(RIGHT(CONCATENATE("000",HH_debt1819!A238),6),3),"-",(RIGHT(RIGHT(CONCATENATE("000",HH_debt1819!A238),6),3)))</f>
        <v>079-906</v>
      </c>
      <c r="C238" s="91">
        <v>4986908</v>
      </c>
    </row>
    <row r="239" spans="1:3" ht="15">
      <c r="A239" t="s">
        <v>3512</v>
      </c>
      <c r="B239" s="722" t="str">
        <f>CONCATENATE(LEFT(RIGHT(CONCATENATE("000",HH_debt1819!A239),6),3),"-",(RIGHT(RIGHT(CONCATENATE("000",HH_debt1819!A239),6),3)))</f>
        <v>079-907</v>
      </c>
      <c r="C239" s="91">
        <v>75997409</v>
      </c>
    </row>
    <row r="240" spans="1:3" ht="15">
      <c r="A240" t="s">
        <v>5855</v>
      </c>
      <c r="B240" s="722" t="str">
        <f>CONCATENATE(LEFT(RIGHT(CONCATENATE("000",HH_debt1819!A240),6),3),"-",(RIGHT(RIGHT(CONCATENATE("000",HH_debt1819!A240),6),3)))</f>
        <v>079-910</v>
      </c>
      <c r="C240" s="91">
        <v>4318725</v>
      </c>
    </row>
    <row r="241" spans="1:3" ht="15">
      <c r="A241" t="s">
        <v>5856</v>
      </c>
      <c r="B241" s="722" t="str">
        <f>CONCATENATE(LEFT(RIGHT(CONCATENATE("000",HH_debt1819!A241),6),3),"-",(RIGHT(RIGHT(CONCATENATE("000",HH_debt1819!A241),6),3)))</f>
        <v>080-901</v>
      </c>
      <c r="C241" s="91">
        <v>2498366</v>
      </c>
    </row>
    <row r="242" spans="1:3" ht="15">
      <c r="A242" t="s">
        <v>5857</v>
      </c>
      <c r="B242" s="722" t="str">
        <f>CONCATENATE(LEFT(RIGHT(CONCATENATE("000",HH_debt1819!A242),6),3),"-",(RIGHT(RIGHT(CONCATENATE("000",HH_debt1819!A242),6),3)))</f>
        <v>081-902</v>
      </c>
      <c r="C242" s="91">
        <v>2725850</v>
      </c>
    </row>
    <row r="243" spans="1:3" ht="15">
      <c r="A243" t="s">
        <v>5858</v>
      </c>
      <c r="B243" s="722" t="str">
        <f>CONCATENATE(LEFT(RIGHT(CONCATENATE("000",HH_debt1819!A243),6),3),"-",(RIGHT(RIGHT(CONCATENATE("000",HH_debt1819!A243),6),3)))</f>
        <v>081-904</v>
      </c>
      <c r="C243" s="91">
        <v>4037623</v>
      </c>
    </row>
    <row r="244" spans="1:3" ht="15">
      <c r="A244" t="s">
        <v>5859</v>
      </c>
      <c r="B244" s="722" t="str">
        <f>CONCATENATE(LEFT(RIGHT(CONCATENATE("000",HH_debt1819!A244),6),3),"-",(RIGHT(RIGHT(CONCATENATE("000",HH_debt1819!A244),6),3)))</f>
        <v>081-905</v>
      </c>
      <c r="C244" s="91">
        <v>456311</v>
      </c>
    </row>
    <row r="245" spans="1:3" ht="15">
      <c r="A245" t="s">
        <v>3513</v>
      </c>
      <c r="B245" s="722" t="str">
        <f>CONCATENATE(LEFT(RIGHT(CONCATENATE("000",HH_debt1819!A245),6),3),"-",(RIGHT(RIGHT(CONCATENATE("000",HH_debt1819!A245),6),3)))</f>
        <v>082-902</v>
      </c>
      <c r="C245" s="91">
        <v>1879600</v>
      </c>
    </row>
    <row r="246" spans="1:3" ht="15">
      <c r="A246" t="s">
        <v>3514</v>
      </c>
      <c r="B246" s="722" t="str">
        <f>CONCATENATE(LEFT(RIGHT(CONCATENATE("000",HH_debt1819!A246),6),3),"-",(RIGHT(RIGHT(CONCATENATE("000",HH_debt1819!A246),6),3)))</f>
        <v>082-903</v>
      </c>
      <c r="C246" s="91">
        <v>1745018</v>
      </c>
    </row>
    <row r="247" spans="1:3" ht="15">
      <c r="A247" t="s">
        <v>5861</v>
      </c>
      <c r="B247" s="722" t="str">
        <f>CONCATENATE(LEFT(RIGHT(CONCATENATE("000",HH_debt1819!A247),6),3),"-",(RIGHT(RIGHT(CONCATENATE("000",HH_debt1819!A247),6),3)))</f>
        <v>083-901</v>
      </c>
      <c r="C247" s="91">
        <v>800375</v>
      </c>
    </row>
    <row r="248" spans="1:3" ht="15">
      <c r="A248" t="s">
        <v>5862</v>
      </c>
      <c r="B248" s="722" t="str">
        <f>CONCATENATE(LEFT(RIGHT(CONCATENATE("000",HH_debt1819!A248),6),3),"-",(RIGHT(RIGHT(CONCATENATE("000",HH_debt1819!A248),6),3)))</f>
        <v>083-902</v>
      </c>
      <c r="C248" s="91">
        <v>359450</v>
      </c>
    </row>
    <row r="249" spans="1:3" ht="15">
      <c r="A249" t="s">
        <v>5863</v>
      </c>
      <c r="B249" s="722" t="str">
        <f>CONCATENATE(LEFT(RIGHT(CONCATENATE("000",HH_debt1819!A249),6),3),"-",(RIGHT(RIGHT(CONCATENATE("000",HH_debt1819!A249),6),3)))</f>
        <v>083-903</v>
      </c>
      <c r="C249" s="91">
        <v>4753250</v>
      </c>
    </row>
    <row r="250" spans="1:3" ht="15">
      <c r="A250" t="s">
        <v>5864</v>
      </c>
      <c r="B250" s="722" t="str">
        <f>CONCATENATE(LEFT(RIGHT(CONCATENATE("000",HH_debt1819!A250),6),3),"-",(RIGHT(RIGHT(CONCATENATE("000",HH_debt1819!A250),6),3)))</f>
        <v>084-901</v>
      </c>
      <c r="C250" s="91">
        <v>17677420</v>
      </c>
    </row>
    <row r="251" spans="1:3" ht="15">
      <c r="A251" t="s">
        <v>5865</v>
      </c>
      <c r="B251" s="722" t="str">
        <f>CONCATENATE(LEFT(RIGHT(CONCATENATE("000",HH_debt1819!A251),6),3),"-",(RIGHT(RIGHT(CONCATENATE("000",HH_debt1819!A251),6),3)))</f>
        <v>084-902</v>
      </c>
      <c r="C251" s="91">
        <v>4693087</v>
      </c>
    </row>
    <row r="252" spans="1:3" ht="15">
      <c r="A252" t="s">
        <v>5866</v>
      </c>
      <c r="B252" s="722" t="str">
        <f>CONCATENATE(LEFT(RIGHT(CONCATENATE("000",HH_debt1819!A252),6),3),"-",(RIGHT(RIGHT(CONCATENATE("000",HH_debt1819!A252),6),3)))</f>
        <v>084-903</v>
      </c>
      <c r="C252" s="91">
        <v>172875</v>
      </c>
    </row>
    <row r="253" spans="1:3" ht="15">
      <c r="A253" t="s">
        <v>5867</v>
      </c>
      <c r="B253" s="722" t="str">
        <f>CONCATENATE(LEFT(RIGHT(CONCATENATE("000",HH_debt1819!A253),6),3),"-",(RIGHT(RIGHT(CONCATENATE("000",HH_debt1819!A253),6),3)))</f>
        <v>084-906</v>
      </c>
      <c r="C253" s="91">
        <v>12050384</v>
      </c>
    </row>
    <row r="254" spans="1:3" ht="15">
      <c r="A254" t="s">
        <v>5868</v>
      </c>
      <c r="B254" s="722" t="str">
        <f>CONCATENATE(LEFT(RIGHT(CONCATENATE("000",HH_debt1819!A254),6),3),"-",(RIGHT(RIGHT(CONCATENATE("000",HH_debt1819!A254),6),3)))</f>
        <v>084-908</v>
      </c>
      <c r="C254" s="91">
        <v>2532228</v>
      </c>
    </row>
    <row r="255" spans="1:3" ht="15">
      <c r="A255" t="s">
        <v>3515</v>
      </c>
      <c r="B255" s="722" t="str">
        <f>CONCATENATE(LEFT(RIGHT(CONCATENATE("000",HH_debt1819!A255),6),3),"-",(RIGHT(RIGHT(CONCATENATE("000",HH_debt1819!A255),6),3)))</f>
        <v>084-909</v>
      </c>
      <c r="C255" s="91">
        <v>5456684</v>
      </c>
    </row>
    <row r="256" spans="1:3" ht="15">
      <c r="A256" t="s">
        <v>5869</v>
      </c>
      <c r="B256" s="722" t="str">
        <f>CONCATENATE(LEFT(RIGHT(CONCATENATE("000",HH_debt1819!A256),6),3),"-",(RIGHT(RIGHT(CONCATENATE("000",HH_debt1819!A256),6),3)))</f>
        <v>084-910</v>
      </c>
      <c r="C256" s="91">
        <v>64346655</v>
      </c>
    </row>
    <row r="257" spans="1:3" ht="15">
      <c r="A257" t="s">
        <v>3516</v>
      </c>
      <c r="B257" s="722" t="str">
        <f>CONCATENATE(LEFT(RIGHT(CONCATENATE("000",HH_debt1819!A257),6),3),"-",(RIGHT(RIGHT(CONCATENATE("000",HH_debt1819!A257),6),3)))</f>
        <v>084-911</v>
      </c>
      <c r="C257" s="91">
        <v>8596037</v>
      </c>
    </row>
    <row r="258" spans="1:3" ht="15">
      <c r="A258" t="s">
        <v>5870</v>
      </c>
      <c r="B258" s="722" t="str">
        <f>CONCATENATE(LEFT(RIGHT(CONCATENATE("000",HH_debt1819!A258),6),3),"-",(RIGHT(RIGHT(CONCATENATE("000",HH_debt1819!A258),6),3)))</f>
        <v>085-902</v>
      </c>
      <c r="C258" s="91">
        <v>2511802</v>
      </c>
    </row>
    <row r="259" spans="1:3" ht="15">
      <c r="A259" t="s">
        <v>5871</v>
      </c>
      <c r="B259" s="722" t="str">
        <f>CONCATENATE(LEFT(RIGHT(CONCATENATE("000",HH_debt1819!A259),6),3),"-",(RIGHT(RIGHT(CONCATENATE("000",HH_debt1819!A259),6),3)))</f>
        <v>086-901</v>
      </c>
      <c r="C259" s="91">
        <v>1735528</v>
      </c>
    </row>
    <row r="260" spans="1:3" ht="15">
      <c r="A260" t="s">
        <v>5872</v>
      </c>
      <c r="B260" s="722" t="str">
        <f>CONCATENATE(LEFT(RIGHT(CONCATENATE("000",HH_debt1819!A260),6),3),"-",(RIGHT(RIGHT(CONCATENATE("000",HH_debt1819!A260),6),3)))</f>
        <v>087-901</v>
      </c>
      <c r="C260" s="91">
        <v>1256163</v>
      </c>
    </row>
    <row r="261" spans="1:3" ht="15">
      <c r="A261" t="s">
        <v>5873</v>
      </c>
      <c r="B261" s="722" t="str">
        <f>CONCATENATE(LEFT(RIGHT(CONCATENATE("000",HH_debt1819!A261),6),3),"-",(RIGHT(RIGHT(CONCATENATE("000",HH_debt1819!A261),6),3)))</f>
        <v>088-902</v>
      </c>
      <c r="C261" s="91">
        <v>1286275</v>
      </c>
    </row>
    <row r="262" spans="1:3" ht="15">
      <c r="A262" t="s">
        <v>3517</v>
      </c>
      <c r="B262" s="722" t="str">
        <f>CONCATENATE(LEFT(RIGHT(CONCATENATE("000",HH_debt1819!A262),6),3),"-",(RIGHT(RIGHT(CONCATENATE("000",HH_debt1819!A262),6),3)))</f>
        <v>089-901</v>
      </c>
      <c r="C262" s="91">
        <v>959231</v>
      </c>
    </row>
    <row r="263" spans="1:3" ht="15">
      <c r="A263" t="s">
        <v>5874</v>
      </c>
      <c r="B263" s="722" t="str">
        <f>CONCATENATE(LEFT(RIGHT(CONCATENATE("000",HH_debt1819!A263),6),3),"-",(RIGHT(RIGHT(CONCATENATE("000",HH_debt1819!A263),6),3)))</f>
        <v>089-903</v>
      </c>
      <c r="C263" s="91">
        <v>1508341</v>
      </c>
    </row>
    <row r="264" spans="1:3" ht="15">
      <c r="A264" t="s">
        <v>5875</v>
      </c>
      <c r="B264" s="722" t="str">
        <f>CONCATENATE(LEFT(RIGHT(CONCATENATE("000",HH_debt1819!A264),6),3),"-",(RIGHT(RIGHT(CONCATENATE("000",HH_debt1819!A264),6),3)))</f>
        <v>089-905</v>
      </c>
      <c r="C264" s="91">
        <v>219662</v>
      </c>
    </row>
    <row r="265" spans="1:3" ht="15">
      <c r="A265" t="s">
        <v>5876</v>
      </c>
      <c r="B265" s="722" t="str">
        <f>CONCATENATE(LEFT(RIGHT(CONCATENATE("000",HH_debt1819!A265),6),3),"-",(RIGHT(RIGHT(CONCATENATE("000",HH_debt1819!A265),6),3)))</f>
        <v>090-902</v>
      </c>
      <c r="C265" s="91">
        <v>381825</v>
      </c>
    </row>
    <row r="266" spans="1:3" ht="15">
      <c r="A266" t="s">
        <v>5877</v>
      </c>
      <c r="B266" s="722" t="str">
        <f>CONCATENATE(LEFT(RIGHT(CONCATENATE("000",HH_debt1819!A266),6),3),"-",(RIGHT(RIGHT(CONCATENATE("000",HH_debt1819!A266),6),3)))</f>
        <v>090-903</v>
      </c>
      <c r="C266" s="91">
        <v>210325</v>
      </c>
    </row>
    <row r="267" spans="1:3" ht="15">
      <c r="A267" t="s">
        <v>3518</v>
      </c>
      <c r="B267" s="722" t="str">
        <f>CONCATENATE(LEFT(RIGHT(CONCATENATE("000",HH_debt1819!A267),6),3),"-",(RIGHT(RIGHT(CONCATENATE("000",HH_debt1819!A267),6),3)))</f>
        <v>090-904</v>
      </c>
      <c r="C267" s="91">
        <v>2875794</v>
      </c>
    </row>
    <row r="268" spans="1:3" ht="15">
      <c r="A268" t="s">
        <v>5878</v>
      </c>
      <c r="B268" s="722" t="str">
        <f>CONCATENATE(LEFT(RIGHT(CONCATENATE("000",HH_debt1819!A268),6),3),"-",(RIGHT(RIGHT(CONCATENATE("000",HH_debt1819!A268),6),3)))</f>
        <v>090-905</v>
      </c>
      <c r="C268" s="91">
        <v>112085</v>
      </c>
    </row>
    <row r="269" spans="1:3" ht="15">
      <c r="A269" t="s">
        <v>3519</v>
      </c>
      <c r="B269" s="722" t="str">
        <f>CONCATENATE(LEFT(RIGHT(CONCATENATE("000",HH_debt1819!A269),6),3),"-",(RIGHT(RIGHT(CONCATENATE("000",HH_debt1819!A269),6),3)))</f>
        <v>091-901</v>
      </c>
      <c r="C269" s="91">
        <v>716506</v>
      </c>
    </row>
    <row r="270" spans="1:3" ht="15">
      <c r="A270" t="s">
        <v>4707</v>
      </c>
      <c r="B270" s="722" t="str">
        <f>CONCATENATE(LEFT(RIGHT(CONCATENATE("000",HH_debt1819!A270),6),3),"-",(RIGHT(RIGHT(CONCATENATE("000",HH_debt1819!A270),6),3)))</f>
        <v>091-902</v>
      </c>
      <c r="C270" s="91">
        <v>237343</v>
      </c>
    </row>
    <row r="271" spans="1:3" ht="15">
      <c r="A271" t="s">
        <v>5879</v>
      </c>
      <c r="B271" s="722" t="str">
        <f>CONCATENATE(LEFT(RIGHT(CONCATENATE("000",HH_debt1819!A271),6),3),"-",(RIGHT(RIGHT(CONCATENATE("000",HH_debt1819!A271),6),3)))</f>
        <v>091-903</v>
      </c>
      <c r="C271" s="91">
        <v>5308818</v>
      </c>
    </row>
    <row r="272" spans="1:3" ht="15">
      <c r="A272" t="s">
        <v>3520</v>
      </c>
      <c r="B272" s="722" t="str">
        <f>CONCATENATE(LEFT(RIGHT(CONCATENATE("000",HH_debt1819!A272),6),3),"-",(RIGHT(RIGHT(CONCATENATE("000",HH_debt1819!A272),6),3)))</f>
        <v>091-905</v>
      </c>
      <c r="C272" s="91">
        <v>987353</v>
      </c>
    </row>
    <row r="273" spans="1:3" ht="15">
      <c r="A273" t="s">
        <v>3521</v>
      </c>
      <c r="B273" s="722" t="str">
        <f>CONCATENATE(LEFT(RIGHT(CONCATENATE("000",HH_debt1819!A273),6),3),"-",(RIGHT(RIGHT(CONCATENATE("000",HH_debt1819!A273),6),3)))</f>
        <v>091-906</v>
      </c>
      <c r="C273" s="91">
        <v>7916600</v>
      </c>
    </row>
    <row r="274" spans="1:3" ht="15">
      <c r="A274" t="s">
        <v>5880</v>
      </c>
      <c r="B274" s="722" t="str">
        <f>CONCATENATE(LEFT(RIGHT(CONCATENATE("000",HH_debt1819!A274),6),3),"-",(RIGHT(RIGHT(CONCATENATE("000",HH_debt1819!A274),6),3)))</f>
        <v>091-907</v>
      </c>
      <c r="C274" s="91">
        <v>202375</v>
      </c>
    </row>
    <row r="275" spans="1:3" ht="15">
      <c r="A275" t="s">
        <v>3522</v>
      </c>
      <c r="B275" s="722" t="str">
        <f>CONCATENATE(LEFT(RIGHT(CONCATENATE("000",HH_debt1819!A275),6),3),"-",(RIGHT(RIGHT(CONCATENATE("000",HH_debt1819!A275),6),3)))</f>
        <v>091-908</v>
      </c>
      <c r="C275" s="91">
        <v>2495558</v>
      </c>
    </row>
    <row r="276" spans="1:3" ht="15">
      <c r="A276" t="s">
        <v>3523</v>
      </c>
      <c r="B276" s="722" t="str">
        <f>CONCATENATE(LEFT(RIGHT(CONCATENATE("000",HH_debt1819!A276),6),3),"-",(RIGHT(RIGHT(CONCATENATE("000",HH_debt1819!A276),6),3)))</f>
        <v>091-909</v>
      </c>
      <c r="C276" s="91">
        <v>1179118</v>
      </c>
    </row>
    <row r="277" spans="1:3" ht="15">
      <c r="A277" t="s">
        <v>5881</v>
      </c>
      <c r="B277" s="722" t="str">
        <f>CONCATENATE(LEFT(RIGHT(CONCATENATE("000",HH_debt1819!A277),6),3),"-",(RIGHT(RIGHT(CONCATENATE("000",HH_debt1819!A277),6),3)))</f>
        <v>091-910</v>
      </c>
      <c r="C277" s="91">
        <v>554300</v>
      </c>
    </row>
    <row r="278" spans="1:3" ht="15">
      <c r="A278" t="s">
        <v>5882</v>
      </c>
      <c r="B278" s="722" t="str">
        <f>CONCATENATE(LEFT(RIGHT(CONCATENATE("000",HH_debt1819!A278),6),3),"-",(RIGHT(RIGHT(CONCATENATE("000",HH_debt1819!A278),6),3)))</f>
        <v>091-914</v>
      </c>
      <c r="C278" s="91">
        <v>539899</v>
      </c>
    </row>
    <row r="279" spans="1:3" ht="15">
      <c r="A279" t="s">
        <v>3525</v>
      </c>
      <c r="B279" s="722" t="str">
        <f>CONCATENATE(LEFT(RIGHT(CONCATENATE("000",HH_debt1819!A279),6),3),"-",(RIGHT(RIGHT(CONCATENATE("000",HH_debt1819!A279),6),3)))</f>
        <v>091-917</v>
      </c>
      <c r="C279" s="91">
        <v>1050670</v>
      </c>
    </row>
    <row r="280" spans="1:3" ht="15">
      <c r="A280" t="s">
        <v>5883</v>
      </c>
      <c r="B280" s="722" t="str">
        <f>CONCATENATE(LEFT(RIGHT(CONCATENATE("000",HH_debt1819!A280),6),3),"-",(RIGHT(RIGHT(CONCATENATE("000",HH_debt1819!A280),6),3)))</f>
        <v>091-918</v>
      </c>
      <c r="C280" s="91">
        <v>576500</v>
      </c>
    </row>
    <row r="281" spans="1:3" ht="15">
      <c r="A281" t="s">
        <v>5884</v>
      </c>
      <c r="B281" s="722" t="str">
        <f>CONCATENATE(LEFT(RIGHT(CONCATENATE("000",HH_debt1819!A281),6),3),"-",(RIGHT(RIGHT(CONCATENATE("000",HH_debt1819!A281),6),3)))</f>
        <v>092-901</v>
      </c>
      <c r="C281" s="91">
        <v>1989681</v>
      </c>
    </row>
    <row r="282" spans="1:3" ht="15">
      <c r="A282" t="s">
        <v>5885</v>
      </c>
      <c r="B282" s="722" t="str">
        <f>CONCATENATE(LEFT(RIGHT(CONCATENATE("000",HH_debt1819!A282),6),3),"-",(RIGHT(RIGHT(CONCATENATE("000",HH_debt1819!A282),6),3)))</f>
        <v>092-902</v>
      </c>
      <c r="C282" s="91">
        <v>3892928</v>
      </c>
    </row>
    <row r="283" spans="1:3" ht="15">
      <c r="A283" t="s">
        <v>4728</v>
      </c>
      <c r="B283" s="722" t="str">
        <f>CONCATENATE(LEFT(RIGHT(CONCATENATE("000",HH_debt1819!A283),6),3),"-",(RIGHT(RIGHT(CONCATENATE("000",HH_debt1819!A283),6),3)))</f>
        <v>092-903</v>
      </c>
      <c r="C283" s="91">
        <v>17406443</v>
      </c>
    </row>
    <row r="284" spans="1:3" ht="15">
      <c r="A284" t="s">
        <v>5886</v>
      </c>
      <c r="B284" s="722" t="str">
        <f>CONCATENATE(LEFT(RIGHT(CONCATENATE("000",HH_debt1819!A284),6),3),"-",(RIGHT(RIGHT(CONCATENATE("000",HH_debt1819!A284),6),3)))</f>
        <v>092-904</v>
      </c>
      <c r="C284" s="91">
        <v>5480734</v>
      </c>
    </row>
    <row r="285" spans="1:3" ht="15">
      <c r="A285" t="s">
        <v>5887</v>
      </c>
      <c r="B285" s="722" t="str">
        <f>CONCATENATE(LEFT(RIGHT(CONCATENATE("000",HH_debt1819!A285),6),3),"-",(RIGHT(RIGHT(CONCATENATE("000",HH_debt1819!A285),6),3)))</f>
        <v>092-906</v>
      </c>
      <c r="C285" s="91">
        <v>1048581</v>
      </c>
    </row>
    <row r="286" spans="1:3" ht="15">
      <c r="A286" t="s">
        <v>3526</v>
      </c>
      <c r="B286" s="722" t="str">
        <f>CONCATENATE(LEFT(RIGHT(CONCATENATE("000",HH_debt1819!A286),6),3),"-",(RIGHT(RIGHT(CONCATENATE("000",HH_debt1819!A286),6),3)))</f>
        <v>092-907</v>
      </c>
      <c r="C286" s="91">
        <v>2726419</v>
      </c>
    </row>
    <row r="287" spans="1:3" ht="15">
      <c r="A287" t="s">
        <v>5888</v>
      </c>
      <c r="B287" s="722" t="str">
        <f>CONCATENATE(LEFT(RIGHT(CONCATENATE("000",HH_debt1819!A287),6),3),"-",(RIGHT(RIGHT(CONCATENATE("000",HH_debt1819!A287),6),3)))</f>
        <v>092-908</v>
      </c>
      <c r="C287" s="91">
        <v>330100</v>
      </c>
    </row>
    <row r="288" spans="1:3" ht="15">
      <c r="A288" t="s">
        <v>5889</v>
      </c>
      <c r="B288" s="722" t="str">
        <f>CONCATENATE(LEFT(RIGHT(CONCATENATE("000",HH_debt1819!A288),6),3),"-",(RIGHT(RIGHT(CONCATENATE("000",HH_debt1819!A288),6),3)))</f>
        <v>093-901</v>
      </c>
      <c r="C288" s="91">
        <v>2062527</v>
      </c>
    </row>
    <row r="289" spans="1:3" ht="15">
      <c r="A289" t="s">
        <v>3527</v>
      </c>
      <c r="B289" s="722" t="str">
        <f>CONCATENATE(LEFT(RIGHT(CONCATENATE("000",HH_debt1819!A289),6),3),"-",(RIGHT(RIGHT(CONCATENATE("000",HH_debt1819!A289),6),3)))</f>
        <v>093-903</v>
      </c>
      <c r="C289" s="91">
        <v>727075</v>
      </c>
    </row>
    <row r="290" spans="1:3" ht="15">
      <c r="A290" t="s">
        <v>5890</v>
      </c>
      <c r="B290" s="722" t="str">
        <f>CONCATENATE(LEFT(RIGHT(CONCATENATE("000",HH_debt1819!A290),6),3),"-",(RIGHT(RIGHT(CONCATENATE("000",HH_debt1819!A290),6),3)))</f>
        <v>093-904</v>
      </c>
      <c r="C290" s="91">
        <v>2174060</v>
      </c>
    </row>
    <row r="291" spans="1:3" ht="15">
      <c r="A291" t="s">
        <v>3528</v>
      </c>
      <c r="B291" s="722" t="str">
        <f>CONCATENATE(LEFT(RIGHT(CONCATENATE("000",HH_debt1819!A291),6),3),"-",(RIGHT(RIGHT(CONCATENATE("000",HH_debt1819!A291),6),3)))</f>
        <v>094-901</v>
      </c>
      <c r="C291" s="91">
        <v>10133614</v>
      </c>
    </row>
    <row r="292" spans="1:3" ht="15">
      <c r="A292" t="s">
        <v>3529</v>
      </c>
      <c r="B292" s="722" t="str">
        <f>CONCATENATE(LEFT(RIGHT(CONCATENATE("000",HH_debt1819!A292),6),3),"-",(RIGHT(RIGHT(CONCATENATE("000",HH_debt1819!A292),6),3)))</f>
        <v>094-902</v>
      </c>
      <c r="C292" s="91">
        <v>26462324</v>
      </c>
    </row>
    <row r="293" spans="1:3" ht="15">
      <c r="A293" t="s">
        <v>3530</v>
      </c>
      <c r="B293" s="722" t="str">
        <f>CONCATENATE(LEFT(RIGHT(CONCATENATE("000",HH_debt1819!A293),6),3),"-",(RIGHT(RIGHT(CONCATENATE("000",HH_debt1819!A293),6),3)))</f>
        <v>094-903</v>
      </c>
      <c r="C293" s="91">
        <v>1562550</v>
      </c>
    </row>
    <row r="294" spans="1:3" ht="15">
      <c r="A294" t="s">
        <v>4755</v>
      </c>
      <c r="B294" s="722" t="str">
        <f>CONCATENATE(LEFT(RIGHT(CONCATENATE("000",HH_debt1819!A294),6),3),"-",(RIGHT(RIGHT(CONCATENATE("000",HH_debt1819!A294),6),3)))</f>
        <v>094-904</v>
      </c>
      <c r="C294" s="91">
        <v>660775</v>
      </c>
    </row>
    <row r="295" spans="1:3" ht="15">
      <c r="A295" t="s">
        <v>5891</v>
      </c>
      <c r="B295" s="722" t="str">
        <f>CONCATENATE(LEFT(RIGHT(CONCATENATE("000",HH_debt1819!A295),6),3),"-",(RIGHT(RIGHT(CONCATENATE("000",HH_debt1819!A295),6),3)))</f>
        <v>095-901</v>
      </c>
      <c r="C295" s="91">
        <v>1711521</v>
      </c>
    </row>
    <row r="296" spans="1:3" ht="15">
      <c r="A296" t="s">
        <v>5892</v>
      </c>
      <c r="B296" s="722" t="str">
        <f>CONCATENATE(LEFT(RIGHT(CONCATENATE("000",HH_debt1819!A296),6),3),"-",(RIGHT(RIGHT(CONCATENATE("000",HH_debt1819!A296),6),3)))</f>
        <v>095-903</v>
      </c>
      <c r="C296" s="91">
        <v>550925</v>
      </c>
    </row>
    <row r="297" spans="1:3" ht="15">
      <c r="A297" t="s">
        <v>5893</v>
      </c>
      <c r="B297" s="722" t="str">
        <f>CONCATENATE(LEFT(RIGHT(CONCATENATE("000",HH_debt1819!A297),6),3),"-",(RIGHT(RIGHT(CONCATENATE("000",HH_debt1819!A297),6),3)))</f>
        <v>096-905</v>
      </c>
      <c r="C297" s="91">
        <v>166388</v>
      </c>
    </row>
    <row r="298" spans="1:3" ht="15">
      <c r="A298" t="s">
        <v>3531</v>
      </c>
      <c r="B298" s="722" t="str">
        <f>CONCATENATE(LEFT(RIGHT(CONCATENATE("000",HH_debt1819!A298),6),3),"-",(RIGHT(RIGHT(CONCATENATE("000",HH_debt1819!A298),6),3)))</f>
        <v>097-903</v>
      </c>
      <c r="C298" s="91">
        <v>339000</v>
      </c>
    </row>
    <row r="299" spans="1:3" ht="15">
      <c r="A299" t="s">
        <v>5895</v>
      </c>
      <c r="B299" s="722" t="str">
        <f>CONCATENATE(LEFT(RIGHT(CONCATENATE("000",HH_debt1819!A299),6),3),"-",(RIGHT(RIGHT(CONCATENATE("000",HH_debt1819!A299),6),3)))</f>
        <v>098-901</v>
      </c>
      <c r="C299" s="91">
        <v>322771</v>
      </c>
    </row>
    <row r="300" spans="1:3" ht="15">
      <c r="A300" t="s">
        <v>5896</v>
      </c>
      <c r="B300" s="722" t="str">
        <f>CONCATENATE(LEFT(RIGHT(CONCATENATE("000",HH_debt1819!A300),6),3),"-",(RIGHT(RIGHT(CONCATENATE("000",HH_debt1819!A300),6),3)))</f>
        <v>098-903</v>
      </c>
      <c r="C300" s="91">
        <v>447713</v>
      </c>
    </row>
    <row r="301" spans="1:3" ht="15">
      <c r="A301" t="s">
        <v>5897</v>
      </c>
      <c r="B301" s="722" t="str">
        <f>CONCATENATE(LEFT(RIGHT(CONCATENATE("000",HH_debt1819!A301),6),3),"-",(RIGHT(RIGHT(CONCATENATE("000",HH_debt1819!A301),6),3)))</f>
        <v>098-904</v>
      </c>
      <c r="C301" s="91">
        <v>780800</v>
      </c>
    </row>
    <row r="302" spans="1:3" ht="15">
      <c r="A302" t="s">
        <v>5898</v>
      </c>
      <c r="B302" s="722" t="str">
        <f>CONCATENATE(LEFT(RIGHT(CONCATENATE("000",HH_debt1819!A302),6),3),"-",(RIGHT(RIGHT(CONCATENATE("000",HH_debt1819!A302),6),3)))</f>
        <v>099-902</v>
      </c>
      <c r="C302" s="91">
        <v>316100</v>
      </c>
    </row>
    <row r="303" spans="1:3" ht="15">
      <c r="A303" t="s">
        <v>5899</v>
      </c>
      <c r="B303" s="722" t="str">
        <f>CONCATENATE(LEFT(RIGHT(CONCATENATE("000",HH_debt1819!A303),6),3),"-",(RIGHT(RIGHT(CONCATENATE("000",HH_debt1819!A303),6),3)))</f>
        <v>100-903</v>
      </c>
      <c r="C303" s="91">
        <v>695025</v>
      </c>
    </row>
    <row r="304" spans="1:3" ht="15">
      <c r="A304" t="s">
        <v>3532</v>
      </c>
      <c r="B304" s="722" t="str">
        <f>CONCATENATE(LEFT(RIGHT(CONCATENATE("000",HH_debt1819!A304),6),3),"-",(RIGHT(RIGHT(CONCATENATE("000",HH_debt1819!A304),6),3)))</f>
        <v>100-904</v>
      </c>
      <c r="C304" s="91">
        <v>2918525</v>
      </c>
    </row>
    <row r="305" spans="1:3" ht="15">
      <c r="A305" t="s">
        <v>5900</v>
      </c>
      <c r="B305" s="722" t="str">
        <f>CONCATENATE(LEFT(RIGHT(CONCATENATE("000",HH_debt1819!A305),6),3),"-",(RIGHT(RIGHT(CONCATENATE("000",HH_debt1819!A305),6),3)))</f>
        <v>100-905</v>
      </c>
      <c r="C305" s="91">
        <v>2241428</v>
      </c>
    </row>
    <row r="306" spans="1:3" ht="15">
      <c r="A306" t="s">
        <v>3533</v>
      </c>
      <c r="B306" s="722" t="str">
        <f>CONCATENATE(LEFT(RIGHT(CONCATENATE("000",HH_debt1819!A306),6),3),"-",(RIGHT(RIGHT(CONCATENATE("000",HH_debt1819!A306),6),3)))</f>
        <v>100-907</v>
      </c>
      <c r="C306" s="91">
        <v>1612619</v>
      </c>
    </row>
    <row r="307" spans="1:3" ht="15">
      <c r="A307" t="s">
        <v>3534</v>
      </c>
      <c r="B307" s="722" t="str">
        <f>CONCATENATE(LEFT(RIGHT(CONCATENATE("000",HH_debt1819!A307),6),3),"-",(RIGHT(RIGHT(CONCATENATE("000",HH_debt1819!A307),6),3)))</f>
        <v>100-908</v>
      </c>
      <c r="C307" s="91">
        <v>264600</v>
      </c>
    </row>
    <row r="308" spans="1:3" ht="15">
      <c r="A308" t="s">
        <v>3535</v>
      </c>
      <c r="B308" s="722" t="str">
        <f>CONCATENATE(LEFT(RIGHT(CONCATENATE("000",HH_debt1819!A308),6),3),"-",(RIGHT(RIGHT(CONCATENATE("000",HH_debt1819!A308),6),3)))</f>
        <v>101-902</v>
      </c>
      <c r="C308" s="91">
        <v>39253150</v>
      </c>
    </row>
    <row r="309" spans="1:3" ht="15">
      <c r="A309" t="s">
        <v>3536</v>
      </c>
      <c r="B309" s="722" t="str">
        <f>CONCATENATE(LEFT(RIGHT(CONCATENATE("000",HH_debt1819!A309),6),3),"-",(RIGHT(RIGHT(CONCATENATE("000",HH_debt1819!A309),6),3)))</f>
        <v>101-903</v>
      </c>
      <c r="C309" s="91">
        <v>18019808</v>
      </c>
    </row>
    <row r="310" spans="1:3" ht="15">
      <c r="A310" t="s">
        <v>3537</v>
      </c>
      <c r="B310" s="722" t="str">
        <f>CONCATENATE(LEFT(RIGHT(CONCATENATE("000",HH_debt1819!A310),6),3),"-",(RIGHT(RIGHT(CONCATENATE("000",HH_debt1819!A310),6),3)))</f>
        <v>101-905</v>
      </c>
      <c r="C310" s="91">
        <v>10213585</v>
      </c>
    </row>
    <row r="311" spans="1:3" ht="15">
      <c r="A311" t="s">
        <v>3538</v>
      </c>
      <c r="B311" s="722" t="str">
        <f>CONCATENATE(LEFT(RIGHT(CONCATENATE("000",HH_debt1819!A311),6),3),"-",(RIGHT(RIGHT(CONCATENATE("000",HH_debt1819!A311),6),3)))</f>
        <v>101-906</v>
      </c>
      <c r="C311" s="91">
        <v>8233947</v>
      </c>
    </row>
    <row r="312" spans="1:3" ht="15">
      <c r="A312" t="s">
        <v>5901</v>
      </c>
      <c r="B312" s="722" t="str">
        <f>CONCATENATE(LEFT(RIGHT(CONCATENATE("000",HH_debt1819!A312),6),3),"-",(RIGHT(RIGHT(CONCATENATE("000",HH_debt1819!A312),6),3)))</f>
        <v>101-907</v>
      </c>
      <c r="C312" s="91">
        <v>158712200</v>
      </c>
    </row>
    <row r="313" spans="1:3" ht="15">
      <c r="A313" t="s">
        <v>5902</v>
      </c>
      <c r="B313" s="722" t="str">
        <f>CONCATENATE(LEFT(RIGHT(CONCATENATE("000",HH_debt1819!A313),6),3),"-",(RIGHT(RIGHT(CONCATENATE("000",HH_debt1819!A313),6),3)))</f>
        <v>101-908</v>
      </c>
      <c r="C313" s="91">
        <v>23597464</v>
      </c>
    </row>
    <row r="314" spans="1:3" ht="15">
      <c r="A314" t="s">
        <v>3539</v>
      </c>
      <c r="B314" s="722" t="str">
        <f>CONCATENATE(LEFT(RIGHT(CONCATENATE("000",HH_debt1819!A314),6),3),"-",(RIGHT(RIGHT(CONCATENATE("000",HH_debt1819!A314),6),3)))</f>
        <v>101-910</v>
      </c>
      <c r="C314" s="91">
        <v>18313506</v>
      </c>
    </row>
    <row r="315" spans="1:3" ht="15">
      <c r="A315" t="s">
        <v>5903</v>
      </c>
      <c r="B315" s="722" t="str">
        <f>CONCATENATE(LEFT(RIGHT(CONCATENATE("000",HH_debt1819!A315),6),3),"-",(RIGHT(RIGHT(CONCATENATE("000",HH_debt1819!A315),6),3)))</f>
        <v>101-911</v>
      </c>
      <c r="C315" s="91">
        <v>39126161</v>
      </c>
    </row>
    <row r="316" spans="1:3" ht="15">
      <c r="A316" t="s">
        <v>5904</v>
      </c>
      <c r="B316" s="722" t="str">
        <f>CONCATENATE(LEFT(RIGHT(CONCATENATE("000",HH_debt1819!A316),6),3),"-",(RIGHT(RIGHT(CONCATENATE("000",HH_debt1819!A316),6),3)))</f>
        <v>101-912</v>
      </c>
      <c r="C316" s="91">
        <v>211496365</v>
      </c>
    </row>
    <row r="317" spans="1:3" ht="15">
      <c r="A317" t="s">
        <v>3540</v>
      </c>
      <c r="B317" s="722" t="str">
        <f>CONCATENATE(LEFT(RIGHT(CONCATENATE("000",HH_debt1819!A317),6),3),"-",(RIGHT(RIGHT(CONCATENATE("000",HH_debt1819!A317),6),3)))</f>
        <v>101-913</v>
      </c>
      <c r="C317" s="91">
        <v>56314000</v>
      </c>
    </row>
    <row r="318" spans="1:3" ht="15">
      <c r="A318" t="s">
        <v>3541</v>
      </c>
      <c r="B318" s="722" t="str">
        <f>CONCATENATE(LEFT(RIGHT(CONCATENATE("000",HH_debt1819!A318),6),3),"-",(RIGHT(RIGHT(CONCATENATE("000",HH_debt1819!A318),6),3)))</f>
        <v>101-914</v>
      </c>
      <c r="C318" s="91">
        <v>98693378</v>
      </c>
    </row>
    <row r="319" spans="1:3" ht="15">
      <c r="A319" t="s">
        <v>3542</v>
      </c>
      <c r="B319" s="722" t="str">
        <f>CONCATENATE(LEFT(RIGHT(CONCATENATE("000",HH_debt1819!A319),6),3),"-",(RIGHT(RIGHT(CONCATENATE("000",HH_debt1819!A319),6),3)))</f>
        <v>101-915</v>
      </c>
      <c r="C319" s="91">
        <v>71343811</v>
      </c>
    </row>
    <row r="320" spans="1:3" ht="15">
      <c r="A320" t="s">
        <v>5905</v>
      </c>
      <c r="B320" s="722" t="str">
        <f>CONCATENATE(LEFT(RIGHT(CONCATENATE("000",HH_debt1819!A320),6),3),"-",(RIGHT(RIGHT(CONCATENATE("000",HH_debt1819!A320),6),3)))</f>
        <v>101-916</v>
      </c>
      <c r="C320" s="91">
        <v>26722081</v>
      </c>
    </row>
    <row r="321" spans="1:3" ht="15">
      <c r="A321" t="s">
        <v>3543</v>
      </c>
      <c r="B321" s="722" t="str">
        <f>CONCATENATE(LEFT(RIGHT(CONCATENATE("000",HH_debt1819!A321),6),3),"-",(RIGHT(RIGHT(CONCATENATE("000",HH_debt1819!A321),6),3)))</f>
        <v>101-917</v>
      </c>
      <c r="C321" s="91">
        <v>49052481</v>
      </c>
    </row>
    <row r="322" spans="1:3" ht="15">
      <c r="A322" t="s">
        <v>5906</v>
      </c>
      <c r="B322" s="722" t="str">
        <f>CONCATENATE(LEFT(RIGHT(CONCATENATE("000",HH_debt1819!A322),6),3),"-",(RIGHT(RIGHT(CONCATENATE("000",HH_debt1819!A322),6),3)))</f>
        <v>101-919</v>
      </c>
      <c r="C322" s="91">
        <v>49836540</v>
      </c>
    </row>
    <row r="323" spans="1:3" ht="15">
      <c r="A323" t="s">
        <v>5907</v>
      </c>
      <c r="B323" s="722" t="str">
        <f>CONCATENATE(LEFT(RIGHT(CONCATENATE("000",HH_debt1819!A323),6),3),"-",(RIGHT(RIGHT(CONCATENATE("000",HH_debt1819!A323),6),3)))</f>
        <v>101-920</v>
      </c>
      <c r="C323" s="91">
        <v>58561490</v>
      </c>
    </row>
    <row r="324" spans="1:3" ht="15">
      <c r="A324" t="s">
        <v>5908</v>
      </c>
      <c r="B324" s="722" t="str">
        <f>CONCATENATE(LEFT(RIGHT(CONCATENATE("000",HH_debt1819!A324),6),3),"-",(RIGHT(RIGHT(CONCATENATE("000",HH_debt1819!A324),6),3)))</f>
        <v>101-921</v>
      </c>
      <c r="C324" s="91">
        <v>28632274</v>
      </c>
    </row>
    <row r="325" spans="1:3" ht="15">
      <c r="A325" t="s">
        <v>5909</v>
      </c>
      <c r="B325" s="722" t="str">
        <f>CONCATENATE(LEFT(RIGHT(CONCATENATE("000",HH_debt1819!A325),6),3),"-",(RIGHT(RIGHT(CONCATENATE("000",HH_debt1819!A325),6),3)))</f>
        <v>101-924</v>
      </c>
      <c r="C325" s="91">
        <v>11796823</v>
      </c>
    </row>
    <row r="326" spans="1:3" ht="15">
      <c r="A326" t="s">
        <v>3544</v>
      </c>
      <c r="B326" s="722" t="str">
        <f>CONCATENATE(LEFT(RIGHT(CONCATENATE("000",HH_debt1819!A326),6),3),"-",(RIGHT(RIGHT(CONCATENATE("000",HH_debt1819!A326),6),3)))</f>
        <v>101-925</v>
      </c>
      <c r="C326" s="91">
        <v>3416557</v>
      </c>
    </row>
    <row r="327" spans="1:3" ht="15">
      <c r="A327" t="s">
        <v>5910</v>
      </c>
      <c r="B327" s="722" t="str">
        <f>CONCATENATE(LEFT(RIGHT(CONCATENATE("000",HH_debt1819!A327),6),3),"-",(RIGHT(RIGHT(CONCATENATE("000",HH_debt1819!A327),6),3)))</f>
        <v>102-902</v>
      </c>
      <c r="C327" s="91">
        <v>5424075</v>
      </c>
    </row>
    <row r="328" spans="1:3" ht="15">
      <c r="A328" t="s">
        <v>5911</v>
      </c>
      <c r="B328" s="722" t="str">
        <f>CONCATENATE(LEFT(RIGHT(CONCATENATE("000",HH_debt1819!A328),6),3),"-",(RIGHT(RIGHT(CONCATENATE("000",HH_debt1819!A328),6),3)))</f>
        <v>102-903</v>
      </c>
      <c r="C328" s="91">
        <v>504894</v>
      </c>
    </row>
    <row r="329" spans="1:3" ht="15">
      <c r="A329" t="s">
        <v>5912</v>
      </c>
      <c r="B329" s="722" t="str">
        <f>CONCATENATE(LEFT(RIGHT(CONCATENATE("000",HH_debt1819!A329),6),3),"-",(RIGHT(RIGHT(CONCATENATE("000",HH_debt1819!A329),6),3)))</f>
        <v>102-904</v>
      </c>
      <c r="C329" s="91">
        <v>7343116</v>
      </c>
    </row>
    <row r="330" spans="1:3" ht="15">
      <c r="A330" t="s">
        <v>5913</v>
      </c>
      <c r="B330" s="722" t="str">
        <f>CONCATENATE(LEFT(RIGHT(CONCATENATE("000",HH_debt1819!A330),6),3),"-",(RIGHT(RIGHT(CONCATENATE("000",HH_debt1819!A330),6),3)))</f>
        <v>102-905</v>
      </c>
      <c r="C330" s="91">
        <v>154298</v>
      </c>
    </row>
    <row r="331" spans="1:3" ht="15">
      <c r="A331" t="s">
        <v>5914</v>
      </c>
      <c r="B331" s="722" t="str">
        <f>CONCATENATE(LEFT(RIGHT(CONCATENATE("000",HH_debt1819!A331),6),3),"-",(RIGHT(RIGHT(CONCATENATE("000",HH_debt1819!A331),6),3)))</f>
        <v>102-906</v>
      </c>
      <c r="C331" s="91">
        <v>1030481</v>
      </c>
    </row>
    <row r="332" spans="1:3" ht="15">
      <c r="A332" t="s">
        <v>5915</v>
      </c>
      <c r="B332" s="722" t="str">
        <f>CONCATENATE(LEFT(RIGHT(CONCATENATE("000",HH_debt1819!A332),6),3),"-",(RIGHT(RIGHT(CONCATENATE("000",HH_debt1819!A332),6),3)))</f>
        <v>103-901</v>
      </c>
      <c r="C332" s="91">
        <v>280000</v>
      </c>
    </row>
    <row r="333" spans="1:3" ht="15">
      <c r="A333" t="s">
        <v>5916</v>
      </c>
      <c r="B333" s="722" t="str">
        <f>CONCATENATE(LEFT(RIGHT(CONCATENATE("000",HH_debt1819!A333),6),3),"-",(RIGHT(RIGHT(CONCATENATE("000",HH_debt1819!A333),6),3)))</f>
        <v>103-902</v>
      </c>
      <c r="C333" s="91">
        <v>422612</v>
      </c>
    </row>
    <row r="334" spans="1:3" ht="15">
      <c r="A334" t="s">
        <v>3545</v>
      </c>
      <c r="B334" s="722" t="str">
        <f>CONCATENATE(LEFT(RIGHT(CONCATENATE("000",HH_debt1819!A334),6),3),"-",(RIGHT(RIGHT(CONCATENATE("000",HH_debt1819!A334),6),3)))</f>
        <v>104-901</v>
      </c>
      <c r="C334" s="91">
        <v>82920</v>
      </c>
    </row>
    <row r="335" spans="1:3" ht="15">
      <c r="A335" t="s">
        <v>5917</v>
      </c>
      <c r="B335" s="722" t="str">
        <f>CONCATENATE(LEFT(RIGHT(CONCATENATE("000",HH_debt1819!A335),6),3),"-",(RIGHT(RIGHT(CONCATENATE("000",HH_debt1819!A335),6),3)))</f>
        <v>104-907</v>
      </c>
      <c r="C335" s="91">
        <v>105566</v>
      </c>
    </row>
    <row r="336" spans="1:3" ht="15">
      <c r="A336" t="s">
        <v>5918</v>
      </c>
      <c r="B336" s="722" t="str">
        <f>CONCATENATE(LEFT(RIGHT(CONCATENATE("000",HH_debt1819!A336),6),3),"-",(RIGHT(RIGHT(CONCATENATE("000",HH_debt1819!A336),6),3)))</f>
        <v>105-902</v>
      </c>
      <c r="C336" s="91">
        <v>14090781</v>
      </c>
    </row>
    <row r="337" spans="1:3" ht="15">
      <c r="A337" t="s">
        <v>3546</v>
      </c>
      <c r="B337" s="722" t="str">
        <f>CONCATENATE(LEFT(RIGHT(CONCATENATE("000",HH_debt1819!A337),6),3),"-",(RIGHT(RIGHT(CONCATENATE("000",HH_debt1819!A337),6),3)))</f>
        <v>105-904</v>
      </c>
      <c r="C337" s="91">
        <v>14478900</v>
      </c>
    </row>
    <row r="338" spans="1:3" ht="15">
      <c r="A338" t="s">
        <v>5919</v>
      </c>
      <c r="B338" s="722" t="str">
        <f>CONCATENATE(LEFT(RIGHT(CONCATENATE("000",HH_debt1819!A338),6),3),"-",(RIGHT(RIGHT(CONCATENATE("000",HH_debt1819!A338),6),3)))</f>
        <v>105-905</v>
      </c>
      <c r="C338" s="91">
        <v>3255492</v>
      </c>
    </row>
    <row r="339" spans="1:3" ht="15">
      <c r="A339" t="s">
        <v>3547</v>
      </c>
      <c r="B339" s="722" t="str">
        <f>CONCATENATE(LEFT(RIGHT(CONCATENATE("000",HH_debt1819!A339),6),3),"-",(RIGHT(RIGHT(CONCATENATE("000",HH_debt1819!A339),6),3)))</f>
        <v>105-906</v>
      </c>
      <c r="C339" s="91">
        <v>27618136</v>
      </c>
    </row>
    <row r="340" spans="1:3" ht="15">
      <c r="A340" t="s">
        <v>5920</v>
      </c>
      <c r="B340" s="722" t="str">
        <f>CONCATENATE(LEFT(RIGHT(CONCATENATE("000",HH_debt1819!A340),6),3),"-",(RIGHT(RIGHT(CONCATENATE("000",HH_debt1819!A340),6),3)))</f>
        <v>106-901</v>
      </c>
      <c r="C340" s="91">
        <v>552250</v>
      </c>
    </row>
    <row r="341" spans="1:3" ht="15">
      <c r="A341" t="s">
        <v>5921</v>
      </c>
      <c r="B341" s="722" t="str">
        <f>CONCATENATE(LEFT(RIGHT(CONCATENATE("000",HH_debt1819!A341),6),3),"-",(RIGHT(RIGHT(CONCATENATE("000",HH_debt1819!A341),6),3)))</f>
        <v>107-901</v>
      </c>
      <c r="C341" s="91">
        <v>359120</v>
      </c>
    </row>
    <row r="342" spans="1:3" ht="15">
      <c r="A342" t="s">
        <v>5922</v>
      </c>
      <c r="B342" s="722" t="str">
        <f>CONCATENATE(LEFT(RIGHT(CONCATENATE("000",HH_debt1819!A342),6),3),"-",(RIGHT(RIGHT(CONCATENATE("000",HH_debt1819!A342),6),3)))</f>
        <v>107-902</v>
      </c>
      <c r="C342" s="91">
        <v>2643500</v>
      </c>
    </row>
    <row r="343" spans="1:3" ht="15">
      <c r="A343" t="s">
        <v>5923</v>
      </c>
      <c r="B343" s="722" t="str">
        <f>CONCATENATE(LEFT(RIGHT(CONCATENATE("000",HH_debt1819!A343),6),3),"-",(RIGHT(RIGHT(CONCATENATE("000",HH_debt1819!A343),6),3)))</f>
        <v>107-904</v>
      </c>
      <c r="C343" s="91">
        <v>387250</v>
      </c>
    </row>
    <row r="344" spans="1:3" ht="15">
      <c r="A344" t="s">
        <v>5924</v>
      </c>
      <c r="B344" s="722" t="str">
        <f>CONCATENATE(LEFT(RIGHT(CONCATENATE("000",HH_debt1819!A344),6),3),"-",(RIGHT(RIGHT(CONCATENATE("000",HH_debt1819!A344),6),3)))</f>
        <v>107-905</v>
      </c>
      <c r="C344" s="91">
        <v>627300</v>
      </c>
    </row>
    <row r="345" spans="1:3" ht="15">
      <c r="A345" t="s">
        <v>5925</v>
      </c>
      <c r="B345" s="722" t="str">
        <f>CONCATENATE(LEFT(RIGHT(CONCATENATE("000",HH_debt1819!A345),6),3),"-",(RIGHT(RIGHT(CONCATENATE("000",HH_debt1819!A345),6),3)))</f>
        <v>107-906</v>
      </c>
      <c r="C345" s="91">
        <v>1786590</v>
      </c>
    </row>
    <row r="346" spans="1:3" ht="15">
      <c r="A346" t="s">
        <v>3548</v>
      </c>
      <c r="B346" s="722" t="str">
        <f>CONCATENATE(LEFT(RIGHT(CONCATENATE("000",HH_debt1819!A346),6),3),"-",(RIGHT(RIGHT(CONCATENATE("000",HH_debt1819!A346),6),3)))</f>
        <v>107-907</v>
      </c>
      <c r="C346" s="91">
        <v>144975</v>
      </c>
    </row>
    <row r="347" spans="1:3" ht="15">
      <c r="A347" t="s">
        <v>5926</v>
      </c>
      <c r="B347" s="722" t="str">
        <f>CONCATENATE(LEFT(RIGHT(CONCATENATE("000",HH_debt1819!A347),6),3),"-",(RIGHT(RIGHT(CONCATENATE("000",HH_debt1819!A347),6),3)))</f>
        <v>107-910</v>
      </c>
      <c r="C347" s="91">
        <v>532647</v>
      </c>
    </row>
    <row r="348" spans="1:3" ht="15">
      <c r="A348" t="s">
        <v>3549</v>
      </c>
      <c r="B348" s="722" t="str">
        <f>CONCATENATE(LEFT(RIGHT(CONCATENATE("000",HH_debt1819!A348),6),3),"-",(RIGHT(RIGHT(CONCATENATE("000",HH_debt1819!A348),6),3)))</f>
        <v>108-902</v>
      </c>
      <c r="C348" s="91">
        <v>6546812</v>
      </c>
    </row>
    <row r="349" spans="1:3" ht="15">
      <c r="A349" t="s">
        <v>3550</v>
      </c>
      <c r="B349" s="722" t="str">
        <f>CONCATENATE(LEFT(RIGHT(CONCATENATE("000",HH_debt1819!A349),6),3),"-",(RIGHT(RIGHT(CONCATENATE("000",HH_debt1819!A349),6),3)))</f>
        <v>108-903</v>
      </c>
      <c r="C349" s="91">
        <v>3540194</v>
      </c>
    </row>
    <row r="350" spans="1:3" ht="15">
      <c r="A350" t="s">
        <v>3551</v>
      </c>
      <c r="B350" s="722" t="str">
        <f>CONCATENATE(LEFT(RIGHT(CONCATENATE("000",HH_debt1819!A350),6),3),"-",(RIGHT(RIGHT(CONCATENATE("000",HH_debt1819!A350),6),3)))</f>
        <v>108-904</v>
      </c>
      <c r="C350" s="91">
        <v>14789006</v>
      </c>
    </row>
    <row r="351" spans="1:3" ht="15">
      <c r="A351" t="s">
        <v>3552</v>
      </c>
      <c r="B351" s="722" t="str">
        <f>CONCATENATE(LEFT(RIGHT(CONCATENATE("000",HH_debt1819!A351),6),3),"-",(RIGHT(RIGHT(CONCATENATE("000",HH_debt1819!A351),6),3)))</f>
        <v>108-905</v>
      </c>
      <c r="C351" s="91">
        <v>4105202</v>
      </c>
    </row>
    <row r="352" spans="1:3" ht="15">
      <c r="A352" t="s">
        <v>3553</v>
      </c>
      <c r="B352" s="722" t="str">
        <f>CONCATENATE(LEFT(RIGHT(CONCATENATE("000",HH_debt1819!A352),6),3),"-",(RIGHT(RIGHT(CONCATENATE("000",HH_debt1819!A352),6),3)))</f>
        <v>108-906</v>
      </c>
      <c r="C352" s="91">
        <v>8857200</v>
      </c>
    </row>
    <row r="353" spans="1:3" ht="15">
      <c r="A353" t="s">
        <v>3554</v>
      </c>
      <c r="B353" s="722" t="str">
        <f>CONCATENATE(LEFT(RIGHT(CONCATENATE("000",HH_debt1819!A353),6),3),"-",(RIGHT(RIGHT(CONCATENATE("000",HH_debt1819!A353),6),3)))</f>
        <v>108-907</v>
      </c>
      <c r="C353" s="91">
        <v>5468525</v>
      </c>
    </row>
    <row r="354" spans="1:3" ht="15">
      <c r="A354" t="s">
        <v>3555</v>
      </c>
      <c r="B354" s="722" t="str">
        <f>CONCATENATE(LEFT(RIGHT(CONCATENATE("000",HH_debt1819!A354),6),3),"-",(RIGHT(RIGHT(CONCATENATE("000",HH_debt1819!A354),6),3)))</f>
        <v>108-908</v>
      </c>
      <c r="C354" s="91">
        <v>9647575</v>
      </c>
    </row>
    <row r="355" spans="1:3" ht="15">
      <c r="A355" t="s">
        <v>3556</v>
      </c>
      <c r="B355" s="722" t="str">
        <f>CONCATENATE(LEFT(RIGHT(CONCATENATE("000",HH_debt1819!A355),6),3),"-",(RIGHT(RIGHT(CONCATENATE("000",HH_debt1819!A355),6),3)))</f>
        <v>108-909</v>
      </c>
      <c r="C355" s="91">
        <v>24509884</v>
      </c>
    </row>
    <row r="356" spans="1:3" ht="15">
      <c r="A356" t="s">
        <v>3557</v>
      </c>
      <c r="B356" s="722" t="str">
        <f>CONCATENATE(LEFT(RIGHT(CONCATENATE("000",HH_debt1819!A356),6),3),"-",(RIGHT(RIGHT(CONCATENATE("000",HH_debt1819!A356),6),3)))</f>
        <v>108-910</v>
      </c>
      <c r="C356" s="91">
        <v>2203747</v>
      </c>
    </row>
    <row r="357" spans="1:3" ht="15">
      <c r="A357" t="s">
        <v>3558</v>
      </c>
      <c r="B357" s="722" t="str">
        <f>CONCATENATE(LEFT(RIGHT(CONCATENATE("000",HH_debt1819!A357),6),3),"-",(RIGHT(RIGHT(CONCATENATE("000",HH_debt1819!A357),6),3)))</f>
        <v>108-911</v>
      </c>
      <c r="C357" s="91">
        <v>8294487</v>
      </c>
    </row>
    <row r="358" spans="1:3" ht="15">
      <c r="A358" t="s">
        <v>3559</v>
      </c>
      <c r="B358" s="722" t="str">
        <f>CONCATENATE(LEFT(RIGHT(CONCATENATE("000",HH_debt1819!A358),6),3),"-",(RIGHT(RIGHT(CONCATENATE("000",HH_debt1819!A358),6),3)))</f>
        <v>108-912</v>
      </c>
      <c r="C358" s="91">
        <v>21912647</v>
      </c>
    </row>
    <row r="359" spans="1:3" ht="15">
      <c r="A359" t="s">
        <v>3560</v>
      </c>
      <c r="B359" s="722" t="str">
        <f>CONCATENATE(LEFT(RIGHT(CONCATENATE("000",HH_debt1819!A359),6),3),"-",(RIGHT(RIGHT(CONCATENATE("000",HH_debt1819!A359),6),3)))</f>
        <v>108-913</v>
      </c>
      <c r="C359" s="91">
        <v>4366675</v>
      </c>
    </row>
    <row r="360" spans="1:3" ht="15">
      <c r="A360" t="s">
        <v>3561</v>
      </c>
      <c r="B360" s="722" t="str">
        <f>CONCATENATE(LEFT(RIGHT(CONCATENATE("000",HH_debt1819!A360),6),3),"-",(RIGHT(RIGHT(CONCATENATE("000",HH_debt1819!A360),6),3)))</f>
        <v>108-914</v>
      </c>
      <c r="C360" s="91">
        <v>496000</v>
      </c>
    </row>
    <row r="361" spans="1:3" ht="15">
      <c r="A361" t="s">
        <v>3562</v>
      </c>
      <c r="B361" s="722" t="str">
        <f>CONCATENATE(LEFT(RIGHT(CONCATENATE("000",HH_debt1819!A361),6),3),"-",(RIGHT(RIGHT(CONCATENATE("000",HH_debt1819!A361),6),3)))</f>
        <v>108-915</v>
      </c>
      <c r="C361" s="91">
        <v>973740</v>
      </c>
    </row>
    <row r="362" spans="1:3" ht="15">
      <c r="A362" t="s">
        <v>3563</v>
      </c>
      <c r="B362" s="722" t="str">
        <f>CONCATENATE(LEFT(RIGHT(CONCATENATE("000",HH_debt1819!A362),6),3),"-",(RIGHT(RIGHT(CONCATENATE("000",HH_debt1819!A362),6),3)))</f>
        <v>108-916</v>
      </c>
      <c r="C362" s="91">
        <v>3603999</v>
      </c>
    </row>
    <row r="363" spans="1:3" ht="15">
      <c r="A363" t="s">
        <v>3564</v>
      </c>
      <c r="B363" s="722" t="str">
        <f>CONCATENATE(LEFT(RIGHT(CONCATENATE("000",HH_debt1819!A363),6),3),"-",(RIGHT(RIGHT(CONCATENATE("000",HH_debt1819!A363),6),3)))</f>
        <v>109-901</v>
      </c>
      <c r="C363" s="91">
        <v>314688</v>
      </c>
    </row>
    <row r="364" spans="1:3" ht="15">
      <c r="A364" t="s">
        <v>3565</v>
      </c>
      <c r="B364" s="722" t="str">
        <f>CONCATENATE(LEFT(RIGHT(CONCATENATE("000",HH_debt1819!A364),6),3),"-",(RIGHT(RIGHT(CONCATENATE("000",HH_debt1819!A364),6),3)))</f>
        <v>109-902</v>
      </c>
      <c r="C364" s="91">
        <v>168194</v>
      </c>
    </row>
    <row r="365" spans="1:3" ht="15">
      <c r="A365" t="s">
        <v>4964</v>
      </c>
      <c r="B365" s="722" t="str">
        <f>CONCATENATE(LEFT(RIGHT(CONCATENATE("000",HH_debt1819!A365),6),3),"-",(RIGHT(RIGHT(CONCATENATE("000",HH_debt1819!A365),6),3)))</f>
        <v>109-903</v>
      </c>
      <c r="C365" s="91">
        <v>120590</v>
      </c>
    </row>
    <row r="366" spans="1:3" ht="15">
      <c r="A366" t="s">
        <v>3566</v>
      </c>
      <c r="B366" s="722" t="str">
        <f>CONCATENATE(LEFT(RIGHT(CONCATENATE("000",HH_debt1819!A366),6),3),"-",(RIGHT(RIGHT(CONCATENATE("000",HH_debt1819!A366),6),3)))</f>
        <v>109-904</v>
      </c>
      <c r="C366" s="91">
        <v>696000</v>
      </c>
    </row>
    <row r="367" spans="1:3" ht="15">
      <c r="A367" t="s">
        <v>3567</v>
      </c>
      <c r="B367" s="722" t="str">
        <f>CONCATENATE(LEFT(RIGHT(CONCATENATE("000",HH_debt1819!A367),6),3),"-",(RIGHT(RIGHT(CONCATENATE("000",HH_debt1819!A367),6),3)))</f>
        <v>109-905</v>
      </c>
      <c r="C367" s="91">
        <v>666256</v>
      </c>
    </row>
    <row r="368" spans="1:3" ht="15">
      <c r="A368" t="s">
        <v>3568</v>
      </c>
      <c r="B368" s="722" t="str">
        <f>CONCATENATE(LEFT(RIGHT(CONCATENATE("000",HH_debt1819!A368),6),3),"-",(RIGHT(RIGHT(CONCATENATE("000",HH_debt1819!A368),6),3)))</f>
        <v>109-907</v>
      </c>
      <c r="C368" s="91">
        <v>544241</v>
      </c>
    </row>
    <row r="369" spans="1:3" ht="15">
      <c r="A369" t="s">
        <v>3569</v>
      </c>
      <c r="B369" s="722" t="str">
        <f>CONCATENATE(LEFT(RIGHT(CONCATENATE("000",HH_debt1819!A369),6),3),"-",(RIGHT(RIGHT(CONCATENATE("000",HH_debt1819!A369),6),3)))</f>
        <v>109-908</v>
      </c>
      <c r="C369" s="91">
        <v>80231</v>
      </c>
    </row>
    <row r="370" spans="1:3" ht="15">
      <c r="A370" t="s">
        <v>3570</v>
      </c>
      <c r="B370" s="722" t="str">
        <f>CONCATENATE(LEFT(RIGHT(CONCATENATE("000",HH_debt1819!A370),6),3),"-",(RIGHT(RIGHT(CONCATENATE("000",HH_debt1819!A370),6),3)))</f>
        <v>109-910</v>
      </c>
      <c r="C370" s="91">
        <v>95773</v>
      </c>
    </row>
    <row r="371" spans="1:3" ht="15">
      <c r="A371" t="s">
        <v>5927</v>
      </c>
      <c r="B371" s="722" t="str">
        <f>CONCATENATE(LEFT(RIGHT(CONCATENATE("000",HH_debt1819!A371),6),3),"-",(RIGHT(RIGHT(CONCATENATE("000",HH_debt1819!A371),6),3)))</f>
        <v>109-911</v>
      </c>
      <c r="C371" s="91">
        <v>1888956</v>
      </c>
    </row>
    <row r="372" spans="1:3" ht="15">
      <c r="A372" t="s">
        <v>3571</v>
      </c>
      <c r="B372" s="722" t="str">
        <f>CONCATENATE(LEFT(RIGHT(CONCATENATE("000",HH_debt1819!A372),6),3),"-",(RIGHT(RIGHT(CONCATENATE("000",HH_debt1819!A372),6),3)))</f>
        <v>109-912</v>
      </c>
      <c r="C372" s="91">
        <v>208401</v>
      </c>
    </row>
    <row r="373" spans="1:3" ht="15">
      <c r="A373" t="s">
        <v>4982</v>
      </c>
      <c r="B373" s="722" t="str">
        <f>CONCATENATE(LEFT(RIGHT(CONCATENATE("000",HH_debt1819!A373),6),3),"-",(RIGHT(RIGHT(CONCATENATE("000",HH_debt1819!A373),6),3)))</f>
        <v>109-913</v>
      </c>
      <c r="C373" s="91">
        <v>272935</v>
      </c>
    </row>
    <row r="374" spans="1:3" ht="15">
      <c r="A374" t="s">
        <v>4985</v>
      </c>
      <c r="B374" s="722" t="str">
        <f>CONCATENATE(LEFT(RIGHT(CONCATENATE("000",HH_debt1819!A374),6),3),"-",(RIGHT(RIGHT(CONCATENATE("000",HH_debt1819!A374),6),3)))</f>
        <v>109-914</v>
      </c>
      <c r="C374" s="91">
        <v>89260</v>
      </c>
    </row>
    <row r="375" spans="1:3" ht="15">
      <c r="A375" t="s">
        <v>5928</v>
      </c>
      <c r="B375" s="722" t="str">
        <f>CONCATENATE(LEFT(RIGHT(CONCATENATE("000",HH_debt1819!A375),6),3),"-",(RIGHT(RIGHT(CONCATENATE("000",HH_debt1819!A375),6),3)))</f>
        <v>110-902</v>
      </c>
      <c r="C375" s="91">
        <v>3824508</v>
      </c>
    </row>
    <row r="376" spans="1:3" ht="15">
      <c r="A376" t="s">
        <v>5929</v>
      </c>
      <c r="B376" s="722" t="str">
        <f>CONCATENATE(LEFT(RIGHT(CONCATENATE("000",HH_debt1819!A376),6),3),"-",(RIGHT(RIGHT(CONCATENATE("000",HH_debt1819!A376),6),3)))</f>
        <v>110-905</v>
      </c>
      <c r="C376" s="91">
        <v>296175</v>
      </c>
    </row>
    <row r="377" spans="1:3" ht="15">
      <c r="A377" t="s">
        <v>3572</v>
      </c>
      <c r="B377" s="722" t="str">
        <f>CONCATENATE(LEFT(RIGHT(CONCATENATE("000",HH_debt1819!A377),6),3),"-",(RIGHT(RIGHT(CONCATENATE("000",HH_debt1819!A377),6),3)))</f>
        <v>110-906</v>
      </c>
      <c r="C377" s="91">
        <v>107488</v>
      </c>
    </row>
    <row r="378" spans="1:3" ht="15">
      <c r="A378" t="s">
        <v>5930</v>
      </c>
      <c r="B378" s="722" t="str">
        <f>CONCATENATE(LEFT(RIGHT(CONCATENATE("000",HH_debt1819!A378),6),3),"-",(RIGHT(RIGHT(CONCATENATE("000",HH_debt1819!A378),6),3)))</f>
        <v>111-901</v>
      </c>
      <c r="C378" s="91">
        <v>7900391</v>
      </c>
    </row>
    <row r="379" spans="1:3" ht="15">
      <c r="A379" t="s">
        <v>3573</v>
      </c>
      <c r="B379" s="722" t="str">
        <f>CONCATENATE(LEFT(RIGHT(CONCATENATE("000",HH_debt1819!A379),6),3),"-",(RIGHT(RIGHT(CONCATENATE("000",HH_debt1819!A379),6),3)))</f>
        <v>111-902</v>
      </c>
      <c r="C379" s="91">
        <v>538001</v>
      </c>
    </row>
    <row r="380" spans="1:3" ht="15">
      <c r="A380" t="s">
        <v>3574</v>
      </c>
      <c r="B380" s="722" t="str">
        <f>CONCATENATE(LEFT(RIGHT(CONCATENATE("000",HH_debt1819!A380),6),3),"-",(RIGHT(RIGHT(CONCATENATE("000",HH_debt1819!A380),6),3)))</f>
        <v>111-903</v>
      </c>
      <c r="C380" s="91">
        <v>877987</v>
      </c>
    </row>
    <row r="381" spans="1:3" ht="15">
      <c r="A381" t="s">
        <v>3575</v>
      </c>
      <c r="B381" s="722" t="str">
        <f>CONCATENATE(LEFT(RIGHT(CONCATENATE("000",HH_debt1819!A381),6),3),"-",(RIGHT(RIGHT(CONCATENATE("000",HH_debt1819!A381),6),3)))</f>
        <v>112-901</v>
      </c>
      <c r="C381" s="91">
        <v>4214635</v>
      </c>
    </row>
    <row r="382" spans="1:3" ht="15">
      <c r="A382" t="s">
        <v>3576</v>
      </c>
      <c r="B382" s="722" t="str">
        <f>CONCATENATE(LEFT(RIGHT(CONCATENATE("000",HH_debt1819!A382),6),3),"-",(RIGHT(RIGHT(CONCATENATE("000",HH_debt1819!A382),6),3)))</f>
        <v>112-905</v>
      </c>
      <c r="C382" s="91">
        <v>149951</v>
      </c>
    </row>
    <row r="383" spans="1:3" ht="15">
      <c r="A383" t="s">
        <v>5931</v>
      </c>
      <c r="B383" s="722" t="str">
        <f>CONCATENATE(LEFT(RIGHT(CONCATENATE("000",HH_debt1819!A383),6),3),"-",(RIGHT(RIGHT(CONCATENATE("000",HH_debt1819!A383),6),3)))</f>
        <v>112-906</v>
      </c>
      <c r="C383" s="91">
        <v>303912</v>
      </c>
    </row>
    <row r="384" spans="1:3" ht="15">
      <c r="A384" t="s">
        <v>3577</v>
      </c>
      <c r="B384" s="722" t="str">
        <f>CONCATENATE(LEFT(RIGHT(CONCATENATE("000",HH_debt1819!A384),6),3),"-",(RIGHT(RIGHT(CONCATENATE("000",HH_debt1819!A384),6),3)))</f>
        <v>112-907</v>
      </c>
      <c r="C384" s="91">
        <v>185975</v>
      </c>
    </row>
    <row r="385" spans="1:3" ht="15">
      <c r="A385" t="s">
        <v>3578</v>
      </c>
      <c r="B385" s="722" t="str">
        <f>CONCATENATE(LEFT(RIGHT(CONCATENATE("000",HH_debt1819!A385),6),3),"-",(RIGHT(RIGHT(CONCATENATE("000",HH_debt1819!A385),6),3)))</f>
        <v>112-910</v>
      </c>
      <c r="C385" s="91">
        <v>83610</v>
      </c>
    </row>
    <row r="386" spans="1:3" ht="15">
      <c r="A386" t="s">
        <v>5932</v>
      </c>
      <c r="B386" s="722" t="str">
        <f>CONCATENATE(LEFT(RIGHT(CONCATENATE("000",HH_debt1819!A386),6),3),"-",(RIGHT(RIGHT(CONCATENATE("000",HH_debt1819!A386),6),3)))</f>
        <v>113-901</v>
      </c>
      <c r="C386" s="91">
        <v>994621</v>
      </c>
    </row>
    <row r="387" spans="1:3" ht="15">
      <c r="A387" t="s">
        <v>5933</v>
      </c>
      <c r="B387" s="722" t="str">
        <f>CONCATENATE(LEFT(RIGHT(CONCATENATE("000",HH_debt1819!A387),6),3),"-",(RIGHT(RIGHT(CONCATENATE("000",HH_debt1819!A387),6),3)))</f>
        <v>113-902</v>
      </c>
      <c r="C387" s="91">
        <v>259000</v>
      </c>
    </row>
    <row r="388" spans="1:3" ht="15">
      <c r="A388" t="s">
        <v>5934</v>
      </c>
      <c r="B388" s="722" t="str">
        <f>CONCATENATE(LEFT(RIGHT(CONCATENATE("000",HH_debt1819!A388),6),3),"-",(RIGHT(RIGHT(CONCATENATE("000",HH_debt1819!A388),6),3)))</f>
        <v>113-905</v>
      </c>
      <c r="C388" s="91">
        <v>246519</v>
      </c>
    </row>
    <row r="389" spans="1:3" ht="15">
      <c r="A389" t="s">
        <v>3579</v>
      </c>
      <c r="B389" s="722" t="str">
        <f>CONCATENATE(LEFT(RIGHT(CONCATENATE("000",HH_debt1819!A389),6),3),"-",(RIGHT(RIGHT(CONCATENATE("000",HH_debt1819!A389),6),3)))</f>
        <v>114-901</v>
      </c>
      <c r="C389" s="91">
        <v>3974738</v>
      </c>
    </row>
    <row r="390" spans="1:3" ht="15">
      <c r="A390" t="s">
        <v>5935</v>
      </c>
      <c r="B390" s="722" t="str">
        <f>CONCATENATE(LEFT(RIGHT(CONCATENATE("000",HH_debt1819!A390),6),3),"-",(RIGHT(RIGHT(CONCATENATE("000",HH_debt1819!A390),6),3)))</f>
        <v>114-902</v>
      </c>
      <c r="C390" s="91">
        <v>854044</v>
      </c>
    </row>
    <row r="391" spans="1:3" ht="15">
      <c r="A391" t="s">
        <v>5936</v>
      </c>
      <c r="B391" s="722" t="str">
        <f>CONCATENATE(LEFT(RIGHT(CONCATENATE("000",HH_debt1819!A391),6),3),"-",(RIGHT(RIGHT(CONCATENATE("000",HH_debt1819!A391),6),3)))</f>
        <v>114-904</v>
      </c>
      <c r="C391" s="91">
        <v>1743650</v>
      </c>
    </row>
    <row r="392" spans="1:3" ht="15">
      <c r="A392" t="s">
        <v>5937</v>
      </c>
      <c r="B392" s="722" t="str">
        <f>CONCATENATE(LEFT(RIGHT(CONCATENATE("000",HH_debt1819!A392),6),3),"-",(RIGHT(RIGHT(CONCATENATE("000",HH_debt1819!A392),6),3)))</f>
        <v>115-901</v>
      </c>
      <c r="C392" s="91">
        <v>117450</v>
      </c>
    </row>
    <row r="393" spans="1:3" ht="15">
      <c r="A393" t="s">
        <v>3580</v>
      </c>
      <c r="B393" s="722" t="str">
        <f>CONCATENATE(LEFT(RIGHT(CONCATENATE("000",HH_debt1819!A393),6),3),"-",(RIGHT(RIGHT(CONCATENATE("000",HH_debt1819!A393),6),3)))</f>
        <v>116-901</v>
      </c>
      <c r="C393" s="91">
        <v>2223564</v>
      </c>
    </row>
    <row r="394" spans="1:3" ht="15">
      <c r="A394" t="s">
        <v>3582</v>
      </c>
      <c r="B394" s="722" t="str">
        <f>CONCATENATE(LEFT(RIGHT(CONCATENATE("000",HH_debt1819!A394),6),3),"-",(RIGHT(RIGHT(CONCATENATE("000",HH_debt1819!A394),6),3)))</f>
        <v>116-903</v>
      </c>
      <c r="C394" s="91">
        <v>1326261</v>
      </c>
    </row>
    <row r="395" spans="1:3" ht="15">
      <c r="A395" t="s">
        <v>5938</v>
      </c>
      <c r="B395" s="722" t="str">
        <f>CONCATENATE(LEFT(RIGHT(CONCATENATE("000",HH_debt1819!A395),6),3),"-",(RIGHT(RIGHT(CONCATENATE("000",HH_debt1819!A395),6),3)))</f>
        <v>116-905</v>
      </c>
      <c r="C395" s="91">
        <v>5532593</v>
      </c>
    </row>
    <row r="396" spans="1:3" ht="15">
      <c r="A396" t="s">
        <v>3583</v>
      </c>
      <c r="B396" s="722" t="str">
        <f>CONCATENATE(LEFT(RIGHT(CONCATENATE("000",HH_debt1819!A396),6),3),"-",(RIGHT(RIGHT(CONCATENATE("000",HH_debt1819!A396),6),3)))</f>
        <v>116-906</v>
      </c>
      <c r="C396" s="91">
        <v>444428</v>
      </c>
    </row>
    <row r="397" spans="1:3" ht="15">
      <c r="A397" t="s">
        <v>3584</v>
      </c>
      <c r="B397" s="722" t="str">
        <f>CONCATENATE(LEFT(RIGHT(CONCATENATE("000",HH_debt1819!A397),6),3),"-",(RIGHT(RIGHT(CONCATENATE("000",HH_debt1819!A397),6),3)))</f>
        <v>116-908</v>
      </c>
      <c r="C397" s="91">
        <v>1637625</v>
      </c>
    </row>
    <row r="398" spans="1:3" ht="15">
      <c r="A398" t="s">
        <v>3585</v>
      </c>
      <c r="B398" s="722" t="str">
        <f>CONCATENATE(LEFT(RIGHT(CONCATENATE("000",HH_debt1819!A398),6),3),"-",(RIGHT(RIGHT(CONCATENATE("000",HH_debt1819!A398),6),3)))</f>
        <v>116-909</v>
      </c>
      <c r="C398" s="91">
        <v>357460</v>
      </c>
    </row>
    <row r="399" spans="1:3" ht="15">
      <c r="A399" t="s">
        <v>3586</v>
      </c>
      <c r="B399" s="722" t="str">
        <f>CONCATENATE(LEFT(RIGHT(CONCATENATE("000",HH_debt1819!A399),6),3),"-",(RIGHT(RIGHT(CONCATENATE("000",HH_debt1819!A399),6),3)))</f>
        <v>116-915</v>
      </c>
      <c r="C399" s="91">
        <v>854705</v>
      </c>
    </row>
    <row r="400" spans="1:3" ht="15">
      <c r="A400" t="s">
        <v>3587</v>
      </c>
      <c r="B400" s="722" t="str">
        <f>CONCATENATE(LEFT(RIGHT(CONCATENATE("000",HH_debt1819!A400),6),3),"-",(RIGHT(RIGHT(CONCATENATE("000",HH_debt1819!A400),6),3)))</f>
        <v>116-916</v>
      </c>
      <c r="C400" s="91">
        <v>590852</v>
      </c>
    </row>
    <row r="401" spans="1:3" ht="15">
      <c r="A401" t="s">
        <v>5940</v>
      </c>
      <c r="B401" s="722" t="str">
        <f>CONCATENATE(LEFT(RIGHT(CONCATENATE("000",HH_debt1819!A401),6),3),"-",(RIGHT(RIGHT(CONCATENATE("000",HH_debt1819!A401),6),3)))</f>
        <v>117-901</v>
      </c>
      <c r="C401" s="91">
        <v>2237887</v>
      </c>
    </row>
    <row r="402" spans="1:3" ht="15">
      <c r="A402" t="s">
        <v>5941</v>
      </c>
      <c r="B402" s="722" t="str">
        <f>CONCATENATE(LEFT(RIGHT(CONCATENATE("000",HH_debt1819!A402),6),3),"-",(RIGHT(RIGHT(CONCATENATE("000",HH_debt1819!A402),6),3)))</f>
        <v>117-903</v>
      </c>
      <c r="C402" s="91">
        <v>564588</v>
      </c>
    </row>
    <row r="403" spans="1:3" ht="15">
      <c r="A403" t="s">
        <v>5942</v>
      </c>
      <c r="B403" s="722" t="str">
        <f>CONCATENATE(LEFT(RIGHT(CONCATENATE("000",HH_debt1819!A403),6),3),"-",(RIGHT(RIGHT(CONCATENATE("000",HH_debt1819!A403),6),3)))</f>
        <v>117-904</v>
      </c>
      <c r="C403" s="91">
        <v>3385138</v>
      </c>
    </row>
    <row r="404" spans="1:3" ht="15">
      <c r="A404" t="s">
        <v>5943</v>
      </c>
      <c r="B404" s="722" t="str">
        <f>CONCATENATE(LEFT(RIGHT(CONCATENATE("000",HH_debt1819!A404),6),3),"-",(RIGHT(RIGHT(CONCATENATE("000",HH_debt1819!A404),6),3)))</f>
        <v>118-902</v>
      </c>
      <c r="C404" s="91">
        <v>346050</v>
      </c>
    </row>
    <row r="405" spans="1:3" ht="15">
      <c r="A405" t="s">
        <v>5944</v>
      </c>
      <c r="B405" s="722" t="str">
        <f>CONCATENATE(LEFT(RIGHT(CONCATENATE("000",HH_debt1819!A405),6),3),"-",(RIGHT(RIGHT(CONCATENATE("000",HH_debt1819!A405),6),3)))</f>
        <v>119-901</v>
      </c>
      <c r="C405" s="91">
        <v>1211438</v>
      </c>
    </row>
    <row r="406" spans="1:3" ht="15">
      <c r="A406" t="s">
        <v>5945</v>
      </c>
      <c r="B406" s="722" t="str">
        <f>CONCATENATE(LEFT(RIGHT(CONCATENATE("000",HH_debt1819!A406),6),3),"-",(RIGHT(RIGHT(CONCATENATE("000",HH_debt1819!A406),6),3)))</f>
        <v>119-902</v>
      </c>
      <c r="C406" s="91">
        <v>2580831</v>
      </c>
    </row>
    <row r="407" spans="1:3" ht="15">
      <c r="A407" t="s">
        <v>5946</v>
      </c>
      <c r="B407" s="722" t="str">
        <f>CONCATENATE(LEFT(RIGHT(CONCATENATE("000",HH_debt1819!A407),6),3),"-",(RIGHT(RIGHT(CONCATENATE("000",HH_debt1819!A407),6),3)))</f>
        <v>119-903</v>
      </c>
      <c r="C407" s="91">
        <v>580338</v>
      </c>
    </row>
    <row r="408" spans="1:3" ht="15">
      <c r="A408" t="s">
        <v>5947</v>
      </c>
      <c r="B408" s="722" t="str">
        <f>CONCATENATE(LEFT(RIGHT(CONCATENATE("000",HH_debt1819!A408),6),3),"-",(RIGHT(RIGHT(CONCATENATE("000",HH_debt1819!A408),6),3)))</f>
        <v>120-901</v>
      </c>
      <c r="C408" s="91">
        <v>1465027</v>
      </c>
    </row>
    <row r="409" spans="1:3" ht="15">
      <c r="A409" t="s">
        <v>3588</v>
      </c>
      <c r="B409" s="722" t="str">
        <f>CONCATENATE(LEFT(RIGHT(CONCATENATE("000",HH_debt1819!A409),6),3),"-",(RIGHT(RIGHT(CONCATENATE("000",HH_debt1819!A409),6),3)))</f>
        <v>120-902</v>
      </c>
      <c r="C409" s="91">
        <v>407470</v>
      </c>
    </row>
    <row r="410" spans="1:3" ht="15">
      <c r="A410" t="s">
        <v>3589</v>
      </c>
      <c r="B410" s="722" t="str">
        <f>CONCATENATE(LEFT(RIGHT(CONCATENATE("000",HH_debt1819!A410),6),3),"-",(RIGHT(RIGHT(CONCATENATE("000",HH_debt1819!A410),6),3)))</f>
        <v>121-903</v>
      </c>
      <c r="C410" s="91">
        <v>1816315</v>
      </c>
    </row>
    <row r="411" spans="1:3" ht="15">
      <c r="A411" t="s">
        <v>3590</v>
      </c>
      <c r="B411" s="722" t="str">
        <f>CONCATENATE(LEFT(RIGHT(CONCATENATE("000",HH_debt1819!A411),6),3),"-",(RIGHT(RIGHT(CONCATENATE("000",HH_debt1819!A411),6),3)))</f>
        <v>121-904</v>
      </c>
      <c r="C411" s="91">
        <v>1532753</v>
      </c>
    </row>
    <row r="412" spans="1:3" ht="15">
      <c r="A412" t="s">
        <v>3591</v>
      </c>
      <c r="B412" s="722" t="str">
        <f>CONCATENATE(LEFT(RIGHT(CONCATENATE("000",HH_debt1819!A412),6),3),"-",(RIGHT(RIGHT(CONCATENATE("000",HH_debt1819!A412),6),3)))</f>
        <v>121-905</v>
      </c>
      <c r="C412" s="91">
        <v>1502319</v>
      </c>
    </row>
    <row r="413" spans="1:3" ht="15">
      <c r="A413" t="s">
        <v>3592</v>
      </c>
      <c r="B413" s="722" t="str">
        <f>CONCATENATE(LEFT(RIGHT(CONCATENATE("000",HH_debt1819!A413),6),3),"-",(RIGHT(RIGHT(CONCATENATE("000",HH_debt1819!A413),6),3)))</f>
        <v>123-905</v>
      </c>
      <c r="C413" s="91">
        <v>1650583</v>
      </c>
    </row>
    <row r="414" spans="1:3" ht="15">
      <c r="A414" t="s">
        <v>5950</v>
      </c>
      <c r="B414" s="722" t="str">
        <f>CONCATENATE(LEFT(RIGHT(CONCATENATE("000",HH_debt1819!A414),6),3),"-",(RIGHT(RIGHT(CONCATENATE("000",HH_debt1819!A414),6),3)))</f>
        <v>123-907</v>
      </c>
      <c r="C414" s="91">
        <v>23276982</v>
      </c>
    </row>
    <row r="415" spans="1:3" ht="15">
      <c r="A415" t="s">
        <v>5951</v>
      </c>
      <c r="B415" s="722" t="str">
        <f>CONCATENATE(LEFT(RIGHT(CONCATENATE("000",HH_debt1819!A415),6),3),"-",(RIGHT(RIGHT(CONCATENATE("000",HH_debt1819!A415),6),3)))</f>
        <v>123-908</v>
      </c>
      <c r="C415" s="91">
        <v>8761945</v>
      </c>
    </row>
    <row r="416" spans="1:3" ht="15">
      <c r="A416" t="s">
        <v>5952</v>
      </c>
      <c r="B416" s="722" t="str">
        <f>CONCATENATE(LEFT(RIGHT(CONCATENATE("000",HH_debt1819!A416),6),3),"-",(RIGHT(RIGHT(CONCATENATE("000",HH_debt1819!A416),6),3)))</f>
        <v>123-910</v>
      </c>
      <c r="C416" s="91">
        <v>26857961</v>
      </c>
    </row>
    <row r="417" spans="1:3" ht="15">
      <c r="A417" t="s">
        <v>5953</v>
      </c>
      <c r="B417" s="722" t="str">
        <f>CONCATENATE(LEFT(RIGHT(CONCATENATE("000",HH_debt1819!A417),6),3),"-",(RIGHT(RIGHT(CONCATENATE("000",HH_debt1819!A417),6),3)))</f>
        <v>123-913</v>
      </c>
      <c r="C417" s="91">
        <v>1559508</v>
      </c>
    </row>
    <row r="418" spans="1:3" ht="15">
      <c r="A418" t="s">
        <v>3593</v>
      </c>
      <c r="B418" s="722" t="str">
        <f>CONCATENATE(LEFT(RIGHT(CONCATENATE("000",HH_debt1819!A418),6),3),"-",(RIGHT(RIGHT(CONCATENATE("000",HH_debt1819!A418),6),3)))</f>
        <v>123-914</v>
      </c>
      <c r="C418" s="91">
        <v>999355</v>
      </c>
    </row>
    <row r="419" spans="1:3" ht="15">
      <c r="A419" t="s">
        <v>5954</v>
      </c>
      <c r="B419" s="722" t="str">
        <f>CONCATENATE(LEFT(RIGHT(CONCATENATE("000",HH_debt1819!A419),6),3),"-",(RIGHT(RIGHT(CONCATENATE("000",HH_debt1819!A419),6),3)))</f>
        <v>124-901</v>
      </c>
      <c r="C419" s="91">
        <v>350688</v>
      </c>
    </row>
    <row r="420" spans="1:3" ht="15">
      <c r="A420" t="s">
        <v>3594</v>
      </c>
      <c r="B420" s="722" t="str">
        <f>CONCATENATE(LEFT(RIGHT(CONCATENATE("000",HH_debt1819!A420),6),3),"-",(RIGHT(RIGHT(CONCATENATE("000",HH_debt1819!A420),6),3)))</f>
        <v>125-901</v>
      </c>
      <c r="C420" s="91">
        <v>3799625</v>
      </c>
    </row>
    <row r="421" spans="1:3" ht="15">
      <c r="A421" t="s">
        <v>3595</v>
      </c>
      <c r="B421" s="722" t="str">
        <f>CONCATENATE(LEFT(RIGHT(CONCATENATE("000",HH_debt1819!A421),6),3),"-",(RIGHT(RIGHT(CONCATENATE("000",HH_debt1819!A421),6),3)))</f>
        <v>125-902</v>
      </c>
      <c r="C421" s="91">
        <v>431058</v>
      </c>
    </row>
    <row r="422" spans="1:3" ht="15">
      <c r="A422" t="s">
        <v>3596</v>
      </c>
      <c r="B422" s="722" t="str">
        <f>CONCATENATE(LEFT(RIGHT(CONCATENATE("000",HH_debt1819!A422),6),3),"-",(RIGHT(RIGHT(CONCATENATE("000",HH_debt1819!A422),6),3)))</f>
        <v>125-903</v>
      </c>
      <c r="C422" s="91">
        <v>1248450</v>
      </c>
    </row>
    <row r="423" spans="1:3" ht="15">
      <c r="A423" t="s">
        <v>3597</v>
      </c>
      <c r="B423" s="722" t="str">
        <f>CONCATENATE(LEFT(RIGHT(CONCATENATE("000",HH_debt1819!A423),6),3),"-",(RIGHT(RIGHT(CONCATENATE("000",HH_debt1819!A423),6),3)))</f>
        <v>125-905</v>
      </c>
      <c r="C423" s="91">
        <v>229776</v>
      </c>
    </row>
    <row r="424" spans="1:3" ht="15">
      <c r="A424" t="s">
        <v>3598</v>
      </c>
      <c r="B424" s="722" t="str">
        <f>CONCATENATE(LEFT(RIGHT(CONCATENATE("000",HH_debt1819!A424),6),3),"-",(RIGHT(RIGHT(CONCATENATE("000",HH_debt1819!A424),6),3)))</f>
        <v>126-901</v>
      </c>
      <c r="C424" s="91">
        <v>5791761</v>
      </c>
    </row>
    <row r="425" spans="1:3" ht="15">
      <c r="A425" t="s">
        <v>3599</v>
      </c>
      <c r="B425" s="722" t="str">
        <f>CONCATENATE(LEFT(RIGHT(CONCATENATE("000",HH_debt1819!A425),6),3),"-",(RIGHT(RIGHT(CONCATENATE("000",HH_debt1819!A425),6),3)))</f>
        <v>126-902</v>
      </c>
      <c r="C425" s="91">
        <v>16415210</v>
      </c>
    </row>
    <row r="426" spans="1:3" ht="15">
      <c r="A426" t="s">
        <v>5955</v>
      </c>
      <c r="B426" s="722" t="str">
        <f>CONCATENATE(LEFT(RIGHT(CONCATENATE("000",HH_debt1819!A426),6),3),"-",(RIGHT(RIGHT(CONCATENATE("000",HH_debt1819!A426),6),3)))</f>
        <v>126-903</v>
      </c>
      <c r="C426" s="91">
        <v>3463625</v>
      </c>
    </row>
    <row r="427" spans="1:3" ht="15">
      <c r="A427" t="s">
        <v>5069</v>
      </c>
      <c r="B427" s="722" t="str">
        <f>CONCATENATE(LEFT(RIGHT(CONCATENATE("000",HH_debt1819!A427),6),3),"-",(RIGHT(RIGHT(CONCATENATE("000",HH_debt1819!A427),6),3)))</f>
        <v>126-904</v>
      </c>
      <c r="C427" s="91">
        <v>1125370</v>
      </c>
    </row>
    <row r="428" spans="1:3" ht="15">
      <c r="A428" t="s">
        <v>3600</v>
      </c>
      <c r="B428" s="722" t="str">
        <f>CONCATENATE(LEFT(RIGHT(CONCATENATE("000",HH_debt1819!A428),6),3),"-",(RIGHT(RIGHT(CONCATENATE("000",HH_debt1819!A428),6),3)))</f>
        <v>126-905</v>
      </c>
      <c r="C428" s="91">
        <v>7531998</v>
      </c>
    </row>
    <row r="429" spans="1:3" ht="15">
      <c r="A429" t="s">
        <v>3601</v>
      </c>
      <c r="B429" s="722" t="str">
        <f>CONCATENATE(LEFT(RIGHT(CONCATENATE("000",HH_debt1819!A429),6),3),"-",(RIGHT(RIGHT(CONCATENATE("000",HH_debt1819!A429),6),3)))</f>
        <v>126-906</v>
      </c>
      <c r="C429" s="91">
        <v>884100</v>
      </c>
    </row>
    <row r="430" spans="1:3" ht="15">
      <c r="A430" t="s">
        <v>3602</v>
      </c>
      <c r="B430" s="722" t="str">
        <f>CONCATENATE(LEFT(RIGHT(CONCATENATE("000",HH_debt1819!A430),6),3),"-",(RIGHT(RIGHT(CONCATENATE("000",HH_debt1819!A430),6),3)))</f>
        <v>126-907</v>
      </c>
      <c r="C430" s="91">
        <v>1176123</v>
      </c>
    </row>
    <row r="431" spans="1:3" ht="15">
      <c r="A431" t="s">
        <v>3603</v>
      </c>
      <c r="B431" s="722" t="str">
        <f>CONCATENATE(LEFT(RIGHT(CONCATENATE("000",HH_debt1819!A431),6),3),"-",(RIGHT(RIGHT(CONCATENATE("000",HH_debt1819!A431),6),3)))</f>
        <v>126-908</v>
      </c>
      <c r="C431" s="91">
        <v>1128495</v>
      </c>
    </row>
    <row r="432" spans="1:3" ht="15">
      <c r="A432" t="s">
        <v>3604</v>
      </c>
      <c r="B432" s="722" t="str">
        <f>CONCATENATE(LEFT(RIGHT(CONCATENATE("000",HH_debt1819!A432),6),3),"-",(RIGHT(RIGHT(CONCATENATE("000",HH_debt1819!A432),6),3)))</f>
        <v>126-911</v>
      </c>
      <c r="C432" s="91">
        <v>2670674</v>
      </c>
    </row>
    <row r="433" spans="1:3" ht="15">
      <c r="A433" t="s">
        <v>5957</v>
      </c>
      <c r="B433" s="722" t="str">
        <f>CONCATENATE(LEFT(RIGHT(CONCATENATE("000",HH_debt1819!A433),6),3),"-",(RIGHT(RIGHT(CONCATENATE("000",HH_debt1819!A433),6),3)))</f>
        <v>127-903</v>
      </c>
      <c r="C433" s="91">
        <v>330775</v>
      </c>
    </row>
    <row r="434" spans="1:3" ht="15">
      <c r="A434" t="s">
        <v>5958</v>
      </c>
      <c r="B434" s="722" t="str">
        <f>CONCATENATE(LEFT(RIGHT(CONCATENATE("000",HH_debt1819!A434),6),3),"-",(RIGHT(RIGHT(CONCATENATE("000",HH_debt1819!A434),6),3)))</f>
        <v>127-904</v>
      </c>
      <c r="C434" s="91">
        <v>545300</v>
      </c>
    </row>
    <row r="435" spans="1:3" ht="15">
      <c r="A435" t="s">
        <v>3605</v>
      </c>
      <c r="B435" s="722" t="str">
        <f>CONCATENATE(LEFT(RIGHT(CONCATENATE("000",HH_debt1819!A435),6),3),"-",(RIGHT(RIGHT(CONCATENATE("000",HH_debt1819!A435),6),3)))</f>
        <v>127-905</v>
      </c>
      <c r="C435" s="91">
        <v>91400</v>
      </c>
    </row>
    <row r="436" spans="1:3" ht="15">
      <c r="A436" t="s">
        <v>3606</v>
      </c>
      <c r="B436" s="722" t="str">
        <f>CONCATENATE(LEFT(RIGHT(CONCATENATE("000",HH_debt1819!A436),6),3),"-",(RIGHT(RIGHT(CONCATENATE("000",HH_debt1819!A436),6),3)))</f>
        <v>127-906</v>
      </c>
      <c r="C436" s="91">
        <v>660333</v>
      </c>
    </row>
    <row r="437" spans="1:3" ht="15">
      <c r="A437" t="s">
        <v>5090</v>
      </c>
      <c r="B437" s="722" t="str">
        <f>CONCATENATE(LEFT(RIGHT(CONCATENATE("000",HH_debt1819!A437),6),3),"-",(RIGHT(RIGHT(CONCATENATE("000",HH_debt1819!A437),6),3)))</f>
        <v>128-901</v>
      </c>
      <c r="C437" s="91">
        <v>2474750</v>
      </c>
    </row>
    <row r="438" spans="1:3" ht="15">
      <c r="A438" t="s">
        <v>3607</v>
      </c>
      <c r="B438" s="722" t="str">
        <f>CONCATENATE(LEFT(RIGHT(CONCATENATE("000",HH_debt1819!A438),6),3),"-",(RIGHT(RIGHT(CONCATENATE("000",HH_debt1819!A438),6),3)))</f>
        <v>128-902</v>
      </c>
      <c r="C438" s="91">
        <v>1449437</v>
      </c>
    </row>
    <row r="439" spans="1:3" ht="15">
      <c r="A439" t="s">
        <v>5959</v>
      </c>
      <c r="B439" s="722" t="str">
        <f>CONCATENATE(LEFT(RIGHT(CONCATENATE("000",HH_debt1819!A439),6),3),"-",(RIGHT(RIGHT(CONCATENATE("000",HH_debt1819!A439),6),3)))</f>
        <v>128-903</v>
      </c>
      <c r="C439" s="91">
        <v>595755</v>
      </c>
    </row>
    <row r="440" spans="1:3" ht="15">
      <c r="A440" t="s">
        <v>3608</v>
      </c>
      <c r="B440" s="722" t="str">
        <f>CONCATENATE(LEFT(RIGHT(CONCATENATE("000",HH_debt1819!A440),6),3),"-",(RIGHT(RIGHT(CONCATENATE("000",HH_debt1819!A440),6),3)))</f>
        <v>128-904</v>
      </c>
      <c r="C440" s="91">
        <v>2548550</v>
      </c>
    </row>
    <row r="441" spans="1:3" ht="15">
      <c r="A441" t="s">
        <v>3609</v>
      </c>
      <c r="B441" s="722" t="str">
        <f>CONCATENATE(LEFT(RIGHT(CONCATENATE("000",HH_debt1819!A441),6),3),"-",(RIGHT(RIGHT(CONCATENATE("000",HH_debt1819!A441),6),3)))</f>
        <v>129-901</v>
      </c>
      <c r="C441" s="91">
        <v>5566125</v>
      </c>
    </row>
    <row r="442" spans="1:3" ht="15">
      <c r="A442" t="s">
        <v>3610</v>
      </c>
      <c r="B442" s="722" t="str">
        <f>CONCATENATE(LEFT(RIGHT(CONCATENATE("000",HH_debt1819!A442),6),3),"-",(RIGHT(RIGHT(CONCATENATE("000",HH_debt1819!A442),6),3)))</f>
        <v>129-902</v>
      </c>
      <c r="C442" s="91">
        <v>17621108</v>
      </c>
    </row>
    <row r="443" spans="1:3" ht="15">
      <c r="A443" t="s">
        <v>3611</v>
      </c>
      <c r="B443" s="722" t="str">
        <f>CONCATENATE(LEFT(RIGHT(CONCATENATE("000",HH_debt1819!A443),6),3),"-",(RIGHT(RIGHT(CONCATENATE("000",HH_debt1819!A443),6),3)))</f>
        <v>129-903</v>
      </c>
      <c r="C443" s="91">
        <v>2089956</v>
      </c>
    </row>
    <row r="444" spans="1:3" ht="15">
      <c r="A444" t="s">
        <v>3612</v>
      </c>
      <c r="B444" s="722" t="str">
        <f>CONCATENATE(LEFT(RIGHT(CONCATENATE("000",HH_debt1819!A444),6),3),"-",(RIGHT(RIGHT(CONCATENATE("000",HH_debt1819!A444),6),3)))</f>
        <v>129-904</v>
      </c>
      <c r="C444" s="91">
        <v>1830387</v>
      </c>
    </row>
    <row r="445" spans="1:3" ht="15">
      <c r="A445" t="s">
        <v>5960</v>
      </c>
      <c r="B445" s="722" t="str">
        <f>CONCATENATE(LEFT(RIGHT(CONCATENATE("000",HH_debt1819!A445),6),3),"-",(RIGHT(RIGHT(CONCATENATE("000",HH_debt1819!A445),6),3)))</f>
        <v>129-905</v>
      </c>
      <c r="C445" s="91">
        <v>3344130</v>
      </c>
    </row>
    <row r="446" spans="1:3" ht="15">
      <c r="A446" t="s">
        <v>5961</v>
      </c>
      <c r="B446" s="722" t="str">
        <f>CONCATENATE(LEFT(RIGHT(CONCATENATE("000",HH_debt1819!A446),6),3),"-",(RIGHT(RIGHT(CONCATENATE("000",HH_debt1819!A446),6),3)))</f>
        <v>129-906</v>
      </c>
      <c r="C446" s="91">
        <v>3913600</v>
      </c>
    </row>
    <row r="447" spans="1:3" ht="15">
      <c r="A447" t="s">
        <v>3613</v>
      </c>
      <c r="B447" s="722" t="str">
        <f>CONCATENATE(LEFT(RIGHT(CONCATENATE("000",HH_debt1819!A447),6),3),"-",(RIGHT(RIGHT(CONCATENATE("000",HH_debt1819!A447),6),3)))</f>
        <v>129-910</v>
      </c>
      <c r="C447" s="91">
        <v>627882</v>
      </c>
    </row>
    <row r="448" spans="1:3" ht="15">
      <c r="A448" t="s">
        <v>5962</v>
      </c>
      <c r="B448" s="722" t="str">
        <f>CONCATENATE(LEFT(RIGHT(CONCATENATE("000",HH_debt1819!A448),6),3),"-",(RIGHT(RIGHT(CONCATENATE("000",HH_debt1819!A448),6),3)))</f>
        <v>130-901</v>
      </c>
      <c r="C448" s="91">
        <v>14710016</v>
      </c>
    </row>
    <row r="449" spans="1:3" ht="15">
      <c r="A449" t="s">
        <v>5963</v>
      </c>
      <c r="B449" s="722" t="str">
        <f>CONCATENATE(LEFT(RIGHT(CONCATENATE("000",HH_debt1819!A449),6),3),"-",(RIGHT(RIGHT(CONCATENATE("000",HH_debt1819!A449),6),3)))</f>
        <v>130-902</v>
      </c>
      <c r="C449" s="91">
        <v>1425319</v>
      </c>
    </row>
    <row r="450" spans="1:3" ht="15">
      <c r="A450" t="s">
        <v>5964</v>
      </c>
      <c r="B450" s="722" t="str">
        <f>CONCATENATE(LEFT(RIGHT(CONCATENATE("000",HH_debt1819!A450),6),3),"-",(RIGHT(RIGHT(CONCATENATE("000",HH_debt1819!A450),6),3)))</f>
        <v>131-001</v>
      </c>
      <c r="C450" s="91">
        <v>297513</v>
      </c>
    </row>
    <row r="451" spans="1:3" ht="15">
      <c r="A451" t="s">
        <v>3614</v>
      </c>
      <c r="B451" s="722" t="str">
        <f>CONCATENATE(LEFT(RIGHT(CONCATENATE("000",HH_debt1819!A451),6),3),"-",(RIGHT(RIGHT(CONCATENATE("000",HH_debt1819!A451),6),3)))</f>
        <v>133-901</v>
      </c>
      <c r="C451" s="91">
        <v>131775</v>
      </c>
    </row>
    <row r="452" spans="1:3" ht="15">
      <c r="A452" t="s">
        <v>5965</v>
      </c>
      <c r="B452" s="722" t="str">
        <f>CONCATENATE(LEFT(RIGHT(CONCATENATE("000",HH_debt1819!A452),6),3),"-",(RIGHT(RIGHT(CONCATENATE("000",HH_debt1819!A452),6),3)))</f>
        <v>133-902</v>
      </c>
      <c r="C452" s="91">
        <v>308775</v>
      </c>
    </row>
    <row r="453" spans="1:3" ht="15">
      <c r="A453" t="s">
        <v>5966</v>
      </c>
      <c r="B453" s="722" t="str">
        <f>CONCATENATE(LEFT(RIGHT(CONCATENATE("000",HH_debt1819!A453),6),3),"-",(RIGHT(RIGHT(CONCATENATE("000",HH_debt1819!A453),6),3)))</f>
        <v>133-903</v>
      </c>
      <c r="C453" s="91">
        <v>3364831</v>
      </c>
    </row>
    <row r="454" spans="1:3" ht="15">
      <c r="A454" t="s">
        <v>5967</v>
      </c>
      <c r="B454" s="722" t="str">
        <f>CONCATENATE(LEFT(RIGHT(CONCATENATE("000",HH_debt1819!A454),6),3),"-",(RIGHT(RIGHT(CONCATENATE("000",HH_debt1819!A454),6),3)))</f>
        <v>133-904</v>
      </c>
      <c r="C454" s="91">
        <v>1084325</v>
      </c>
    </row>
    <row r="455" spans="1:3" ht="15">
      <c r="A455" t="s">
        <v>5968</v>
      </c>
      <c r="B455" s="722" t="str">
        <f>CONCATENATE(LEFT(RIGHT(CONCATENATE("000",HH_debt1819!A455),6),3),"-",(RIGHT(RIGHT(CONCATENATE("000",HH_debt1819!A455),6),3)))</f>
        <v>135-001</v>
      </c>
      <c r="C455" s="91">
        <v>887944</v>
      </c>
    </row>
    <row r="456" spans="1:3" ht="15">
      <c r="A456" t="s">
        <v>3615</v>
      </c>
      <c r="B456" s="722" t="str">
        <f>CONCATENATE(LEFT(RIGHT(CONCATENATE("000",HH_debt1819!A456),6),3),"-",(RIGHT(RIGHT(CONCATENATE("000",HH_debt1819!A456),6),3)))</f>
        <v>137-901</v>
      </c>
      <c r="C456" s="91">
        <v>4900107</v>
      </c>
    </row>
    <row r="457" spans="1:3" ht="15">
      <c r="A457" t="s">
        <v>5969</v>
      </c>
      <c r="B457" s="722" t="str">
        <f>CONCATENATE(LEFT(RIGHT(CONCATENATE("000",HH_debt1819!A457),6),3),"-",(RIGHT(RIGHT(CONCATENATE("000",HH_debt1819!A457),6),3)))</f>
        <v>137-904</v>
      </c>
      <c r="C457" s="91">
        <v>673333</v>
      </c>
    </row>
    <row r="458" spans="1:3" ht="15">
      <c r="A458" t="s">
        <v>5970</v>
      </c>
      <c r="B458" s="722" t="str">
        <f>CONCATENATE(LEFT(RIGHT(CONCATENATE("000",HH_debt1819!A458),6),3),"-",(RIGHT(RIGHT(CONCATENATE("000",HH_debt1819!A458),6),3)))</f>
        <v>139-905</v>
      </c>
      <c r="C458" s="91">
        <v>1003800</v>
      </c>
    </row>
    <row r="459" spans="1:3" ht="15">
      <c r="A459" t="s">
        <v>3617</v>
      </c>
      <c r="B459" s="722" t="str">
        <f>CONCATENATE(LEFT(RIGHT(CONCATENATE("000",HH_debt1819!A459),6),3),"-",(RIGHT(RIGHT(CONCATENATE("000",HH_debt1819!A459),6),3)))</f>
        <v>139-908</v>
      </c>
      <c r="C459" s="91">
        <v>75676</v>
      </c>
    </row>
    <row r="460" spans="1:3" ht="15">
      <c r="A460" t="s">
        <v>3618</v>
      </c>
      <c r="B460" s="722" t="str">
        <f>CONCATENATE(LEFT(RIGHT(CONCATENATE("000",HH_debt1819!A460),6),3),"-",(RIGHT(RIGHT(CONCATENATE("000",HH_debt1819!A460),6),3)))</f>
        <v>139-909</v>
      </c>
      <c r="C460" s="91">
        <v>3393801</v>
      </c>
    </row>
    <row r="461" spans="1:3" ht="15">
      <c r="A461" t="s">
        <v>3619</v>
      </c>
      <c r="B461" s="722" t="str">
        <f>CONCATENATE(LEFT(RIGHT(CONCATENATE("000",HH_debt1819!A461),6),3),"-",(RIGHT(RIGHT(CONCATENATE("000",HH_debt1819!A461),6),3)))</f>
        <v>139-912</v>
      </c>
      <c r="C461" s="91">
        <v>527438</v>
      </c>
    </row>
    <row r="462" spans="1:3" ht="15">
      <c r="A462" t="s">
        <v>5972</v>
      </c>
      <c r="B462" s="722" t="str">
        <f>CONCATENATE(LEFT(RIGHT(CONCATENATE("000",HH_debt1819!A462),6),3),"-",(RIGHT(RIGHT(CONCATENATE("000",HH_debt1819!A462),6),3)))</f>
        <v>140-908</v>
      </c>
      <c r="C462" s="91">
        <v>686400</v>
      </c>
    </row>
    <row r="463" spans="1:3" ht="15">
      <c r="A463" t="s">
        <v>3620</v>
      </c>
      <c r="B463" s="722" t="str">
        <f>CONCATENATE(LEFT(RIGHT(CONCATENATE("000",HH_debt1819!A463),6),3),"-",(RIGHT(RIGHT(CONCATENATE("000",HH_debt1819!A463),6),3)))</f>
        <v>141-901</v>
      </c>
      <c r="C463" s="91">
        <v>3154739</v>
      </c>
    </row>
    <row r="464" spans="1:3" ht="15">
      <c r="A464" t="s">
        <v>5973</v>
      </c>
      <c r="B464" s="722" t="str">
        <f>CONCATENATE(LEFT(RIGHT(CONCATENATE("000",HH_debt1819!A464),6),3),"-",(RIGHT(RIGHT(CONCATENATE("000",HH_debt1819!A464),6),3)))</f>
        <v>141-902</v>
      </c>
      <c r="C464" s="91">
        <v>368462</v>
      </c>
    </row>
    <row r="465" spans="1:3" ht="15">
      <c r="A465" t="s">
        <v>3621</v>
      </c>
      <c r="B465" s="722" t="str">
        <f>CONCATENATE(LEFT(RIGHT(CONCATENATE("000",HH_debt1819!A465),6),3),"-",(RIGHT(RIGHT(CONCATENATE("000",HH_debt1819!A465),6),3)))</f>
        <v>142-901</v>
      </c>
      <c r="C465" s="91">
        <v>8889000</v>
      </c>
    </row>
    <row r="466" spans="1:3" ht="15">
      <c r="A466" t="s">
        <v>5974</v>
      </c>
      <c r="B466" s="722" t="str">
        <f>CONCATENATE(LEFT(RIGHT(CONCATENATE("000",HH_debt1819!A466),6),3),"-",(RIGHT(RIGHT(CONCATENATE("000",HH_debt1819!A466),6),3)))</f>
        <v>143-901</v>
      </c>
      <c r="C466" s="91">
        <v>1614549</v>
      </c>
    </row>
    <row r="467" spans="1:3" ht="15">
      <c r="A467" t="s">
        <v>6759</v>
      </c>
      <c r="B467" s="722" t="str">
        <f>CONCATENATE(LEFT(RIGHT(CONCATENATE("000",HH_debt1819!A467),6),3),"-",(RIGHT(RIGHT(CONCATENATE("000",HH_debt1819!A467),6),3)))</f>
        <v>143-903</v>
      </c>
      <c r="C467" s="91">
        <v>315000</v>
      </c>
    </row>
    <row r="468" spans="1:3" ht="15">
      <c r="A468" t="s">
        <v>5975</v>
      </c>
      <c r="B468" s="722" t="str">
        <f>CONCATENATE(LEFT(RIGHT(CONCATENATE("000",HH_debt1819!A468),6),3),"-",(RIGHT(RIGHT(CONCATENATE("000",HH_debt1819!A468),6),3)))</f>
        <v>143-906</v>
      </c>
      <c r="C468" s="91">
        <v>222675</v>
      </c>
    </row>
    <row r="469" spans="1:3" ht="15">
      <c r="A469" t="s">
        <v>5976</v>
      </c>
      <c r="B469" s="722" t="str">
        <f>CONCATENATE(LEFT(RIGHT(CONCATENATE("000",HH_debt1819!A469),6),3),"-",(RIGHT(RIGHT(CONCATENATE("000",HH_debt1819!A469),6),3)))</f>
        <v>144-901</v>
      </c>
      <c r="C469" s="91">
        <v>2506112</v>
      </c>
    </row>
    <row r="470" spans="1:3" ht="15">
      <c r="A470" t="s">
        <v>5978</v>
      </c>
      <c r="B470" s="722" t="str">
        <f>CONCATENATE(LEFT(RIGHT(CONCATENATE("000",HH_debt1819!A470),6),3),"-",(RIGHT(RIGHT(CONCATENATE("000",HH_debt1819!A470),6),3)))</f>
        <v>145-901</v>
      </c>
      <c r="C470" s="91">
        <v>1304422</v>
      </c>
    </row>
    <row r="471" spans="1:3" ht="15">
      <c r="A471" t="s">
        <v>5979</v>
      </c>
      <c r="B471" s="722" t="str">
        <f>CONCATENATE(LEFT(RIGHT(CONCATENATE("000",HH_debt1819!A471),6),3),"-",(RIGHT(RIGHT(CONCATENATE("000",HH_debt1819!A471),6),3)))</f>
        <v>145-902</v>
      </c>
      <c r="C471" s="91">
        <v>1200175</v>
      </c>
    </row>
    <row r="472" spans="1:3" ht="15">
      <c r="A472" t="s">
        <v>5980</v>
      </c>
      <c r="B472" s="722" t="str">
        <f>CONCATENATE(LEFT(RIGHT(CONCATENATE("000",HH_debt1819!A472),6),3),"-",(RIGHT(RIGHT(CONCATENATE("000",HH_debt1819!A472),6),3)))</f>
        <v>145-906</v>
      </c>
      <c r="C472" s="91">
        <v>737630</v>
      </c>
    </row>
    <row r="473" spans="1:3" ht="15">
      <c r="A473" t="s">
        <v>5981</v>
      </c>
      <c r="B473" s="722" t="str">
        <f>CONCATENATE(LEFT(RIGHT(CONCATENATE("000",HH_debt1819!A473),6),3),"-",(RIGHT(RIGHT(CONCATENATE("000",HH_debt1819!A473),6),3)))</f>
        <v>145-907</v>
      </c>
      <c r="C473" s="91">
        <v>292770</v>
      </c>
    </row>
    <row r="474" spans="1:3" ht="15">
      <c r="A474" t="s">
        <v>5982</v>
      </c>
      <c r="B474" s="722" t="str">
        <f>CONCATENATE(LEFT(RIGHT(CONCATENATE("000",HH_debt1819!A474),6),3),"-",(RIGHT(RIGHT(CONCATENATE("000",HH_debt1819!A474),6),3)))</f>
        <v>145-911</v>
      </c>
      <c r="C474" s="91">
        <v>1437950</v>
      </c>
    </row>
    <row r="475" spans="1:3" ht="15">
      <c r="A475" t="s">
        <v>3622</v>
      </c>
      <c r="B475" s="722" t="str">
        <f>CONCATENATE(LEFT(RIGHT(CONCATENATE("000",HH_debt1819!A475),6),3),"-",(RIGHT(RIGHT(CONCATENATE("000",HH_debt1819!A475),6),3)))</f>
        <v>146-901</v>
      </c>
      <c r="C475" s="91">
        <v>2987150</v>
      </c>
    </row>
    <row r="476" spans="1:3" ht="15">
      <c r="A476" t="s">
        <v>3623</v>
      </c>
      <c r="B476" s="722" t="str">
        <f>CONCATENATE(LEFT(RIGHT(CONCATENATE("000",HH_debt1819!A476),6),3),"-",(RIGHT(RIGHT(CONCATENATE("000",HH_debt1819!A476),6),3)))</f>
        <v>146-902</v>
      </c>
      <c r="C476" s="91">
        <v>6504473</v>
      </c>
    </row>
    <row r="477" spans="1:3" ht="15">
      <c r="A477" t="s">
        <v>5983</v>
      </c>
      <c r="B477" s="722" t="str">
        <f>CONCATENATE(LEFT(RIGHT(CONCATENATE("000",HH_debt1819!A477),6),3),"-",(RIGHT(RIGHT(CONCATENATE("000",HH_debt1819!A477),6),3)))</f>
        <v>146-903</v>
      </c>
      <c r="C477" s="91">
        <v>139400</v>
      </c>
    </row>
    <row r="478" spans="1:3" ht="15">
      <c r="A478" t="s">
        <v>3624</v>
      </c>
      <c r="B478" s="722" t="str">
        <f>CONCATENATE(LEFT(RIGHT(CONCATENATE("000",HH_debt1819!A478),6),3),"-",(RIGHT(RIGHT(CONCATENATE("000",HH_debt1819!A478),6),3)))</f>
        <v>146-904</v>
      </c>
      <c r="C478" s="91">
        <v>1112143</v>
      </c>
    </row>
    <row r="479" spans="1:3" ht="15">
      <c r="A479" t="s">
        <v>3625</v>
      </c>
      <c r="B479" s="722" t="str">
        <f>CONCATENATE(LEFT(RIGHT(CONCATENATE("000",HH_debt1819!A479),6),3),"-",(RIGHT(RIGHT(CONCATENATE("000",HH_debt1819!A479),6),3)))</f>
        <v>146-905</v>
      </c>
      <c r="C479" s="91">
        <v>117744</v>
      </c>
    </row>
    <row r="480" spans="1:3" ht="15">
      <c r="A480" t="s">
        <v>5984</v>
      </c>
      <c r="B480" s="722" t="str">
        <f>CONCATENATE(LEFT(RIGHT(CONCATENATE("000",HH_debt1819!A480),6),3),"-",(RIGHT(RIGHT(CONCATENATE("000",HH_debt1819!A480),6),3)))</f>
        <v>146-906</v>
      </c>
      <c r="C480" s="91">
        <v>2591762</v>
      </c>
    </row>
    <row r="481" spans="1:3" ht="15">
      <c r="A481" t="s">
        <v>5985</v>
      </c>
      <c r="B481" s="722" t="str">
        <f>CONCATENATE(LEFT(RIGHT(CONCATENATE("000",HH_debt1819!A481),6),3),"-",(RIGHT(RIGHT(CONCATENATE("000",HH_debt1819!A481),6),3)))</f>
        <v>146-907</v>
      </c>
      <c r="C481" s="91">
        <v>751176</v>
      </c>
    </row>
    <row r="482" spans="1:3" ht="15">
      <c r="A482" t="s">
        <v>3626</v>
      </c>
      <c r="B482" s="722" t="str">
        <f>CONCATENATE(LEFT(RIGHT(CONCATENATE("000",HH_debt1819!A482),6),3),"-",(RIGHT(RIGHT(CONCATENATE("000",HH_debt1819!A482),6),3)))</f>
        <v>147-901</v>
      </c>
      <c r="C482" s="91">
        <v>224131</v>
      </c>
    </row>
    <row r="483" spans="1:3" ht="15">
      <c r="A483" t="s">
        <v>5986</v>
      </c>
      <c r="B483" s="722" t="str">
        <f>CONCATENATE(LEFT(RIGHT(CONCATENATE("000",HH_debt1819!A483),6),3),"-",(RIGHT(RIGHT(CONCATENATE("000",HH_debt1819!A483),6),3)))</f>
        <v>147-902</v>
      </c>
      <c r="C483" s="91">
        <v>2421363</v>
      </c>
    </row>
    <row r="484" spans="1:3" ht="15">
      <c r="A484" t="s">
        <v>5987</v>
      </c>
      <c r="B484" s="722" t="str">
        <f>CONCATENATE(LEFT(RIGHT(CONCATENATE("000",HH_debt1819!A484),6),3),"-",(RIGHT(RIGHT(CONCATENATE("000",HH_debt1819!A484),6),3)))</f>
        <v>147-903</v>
      </c>
      <c r="C484" s="91">
        <v>749850</v>
      </c>
    </row>
    <row r="485" spans="1:3" ht="15">
      <c r="A485" t="s">
        <v>5989</v>
      </c>
      <c r="B485" s="722" t="str">
        <f>CONCATENATE(LEFT(RIGHT(CONCATENATE("000",HH_debt1819!A485),6),3),"-",(RIGHT(RIGHT(CONCATENATE("000",HH_debt1819!A485),6),3)))</f>
        <v>148-902</v>
      </c>
      <c r="C485" s="91">
        <v>287850</v>
      </c>
    </row>
    <row r="486" spans="1:3" ht="15">
      <c r="A486" t="s">
        <v>5991</v>
      </c>
      <c r="B486" s="722" t="str">
        <f>CONCATENATE(LEFT(RIGHT(CONCATENATE("000",HH_debt1819!A486),6),3),"-",(RIGHT(RIGHT(CONCATENATE("000",HH_debt1819!A486),6),3)))</f>
        <v>148-905</v>
      </c>
      <c r="C486" s="91">
        <v>621150</v>
      </c>
    </row>
    <row r="487" spans="1:3" ht="15">
      <c r="A487" t="s">
        <v>5992</v>
      </c>
      <c r="B487" s="722" t="str">
        <f>CONCATENATE(LEFT(RIGHT(CONCATENATE("000",HH_debt1819!A487),6),3),"-",(RIGHT(RIGHT(CONCATENATE("000",HH_debt1819!A487),6),3)))</f>
        <v>149-901</v>
      </c>
      <c r="C487" s="91">
        <v>1050828</v>
      </c>
    </row>
    <row r="488" spans="1:3" ht="15">
      <c r="A488" t="s">
        <v>5993</v>
      </c>
      <c r="B488" s="722" t="str">
        <f>CONCATENATE(LEFT(RIGHT(CONCATENATE("000",HH_debt1819!A488),6),3),"-",(RIGHT(RIGHT(CONCATENATE("000",HH_debt1819!A488),6),3)))</f>
        <v>149-902</v>
      </c>
      <c r="C488" s="91">
        <v>1957976</v>
      </c>
    </row>
    <row r="489" spans="1:3" ht="15">
      <c r="A489" t="s">
        <v>5994</v>
      </c>
      <c r="B489" s="722" t="str">
        <f>CONCATENATE(LEFT(RIGHT(CONCATENATE("000",HH_debt1819!A489),6),3),"-",(RIGHT(RIGHT(CONCATENATE("000",HH_debt1819!A489),6),3)))</f>
        <v>150-901</v>
      </c>
      <c r="C489" s="91">
        <v>3868297</v>
      </c>
    </row>
    <row r="490" spans="1:3" ht="15">
      <c r="A490" t="s">
        <v>5163</v>
      </c>
      <c r="B490" s="722" t="str">
        <f>CONCATENATE(LEFT(RIGHT(CONCATENATE("000",HH_debt1819!A490),6),3),"-",(RIGHT(RIGHT(CONCATENATE("000",HH_debt1819!A490),6),3)))</f>
        <v>152-901</v>
      </c>
      <c r="C490" s="91">
        <v>15936398</v>
      </c>
    </row>
    <row r="491" spans="1:3" ht="15">
      <c r="A491" t="s">
        <v>5995</v>
      </c>
      <c r="B491" s="722" t="str">
        <f>CONCATENATE(LEFT(RIGHT(CONCATENATE("000",HH_debt1819!A491),6),3),"-",(RIGHT(RIGHT(CONCATENATE("000",HH_debt1819!A491),6),3)))</f>
        <v>152-903</v>
      </c>
      <c r="C491" s="91">
        <v>1175762</v>
      </c>
    </row>
    <row r="492" spans="1:3" ht="15">
      <c r="A492" t="s">
        <v>3627</v>
      </c>
      <c r="B492" s="722" t="str">
        <f>CONCATENATE(LEFT(RIGHT(CONCATENATE("000",HH_debt1819!A492),6),3),"-",(RIGHT(RIGHT(CONCATENATE("000",HH_debt1819!A492),6),3)))</f>
        <v>152-906</v>
      </c>
      <c r="C492" s="91">
        <v>10325841</v>
      </c>
    </row>
    <row r="493" spans="1:3" ht="15">
      <c r="A493" t="s">
        <v>3628</v>
      </c>
      <c r="B493" s="722" t="str">
        <f>CONCATENATE(LEFT(RIGHT(CONCATENATE("000",HH_debt1819!A493),6),3),"-",(RIGHT(RIGHT(CONCATENATE("000",HH_debt1819!A493),6),3)))</f>
        <v>152-907</v>
      </c>
      <c r="C493" s="91">
        <v>15343143</v>
      </c>
    </row>
    <row r="494" spans="1:3" ht="15">
      <c r="A494" t="s">
        <v>5996</v>
      </c>
      <c r="B494" s="722" t="str">
        <f>CONCATENATE(LEFT(RIGHT(CONCATENATE("000",HH_debt1819!A494),6),3),"-",(RIGHT(RIGHT(CONCATENATE("000",HH_debt1819!A494),6),3)))</f>
        <v>152-908</v>
      </c>
      <c r="C494" s="91">
        <v>740331</v>
      </c>
    </row>
    <row r="495" spans="1:3" ht="15">
      <c r="A495" t="s">
        <v>3629</v>
      </c>
      <c r="B495" s="722" t="str">
        <f>CONCATENATE(LEFT(RIGHT(CONCATENATE("000",HH_debt1819!A495),6),3),"-",(RIGHT(RIGHT(CONCATENATE("000",HH_debt1819!A495),6),3)))</f>
        <v>152-909</v>
      </c>
      <c r="C495" s="91">
        <v>1950344</v>
      </c>
    </row>
    <row r="496" spans="1:3" ht="15">
      <c r="A496" t="s">
        <v>3630</v>
      </c>
      <c r="B496" s="722" t="str">
        <f>CONCATENATE(LEFT(RIGHT(CONCATENATE("000",HH_debt1819!A496),6),3),"-",(RIGHT(RIGHT(CONCATENATE("000",HH_debt1819!A496),6),3)))</f>
        <v>152-910</v>
      </c>
      <c r="C496" s="91">
        <v>922900</v>
      </c>
    </row>
    <row r="497" spans="1:3" ht="15">
      <c r="A497" t="s">
        <v>5997</v>
      </c>
      <c r="B497" s="722" t="str">
        <f>CONCATENATE(LEFT(RIGHT(CONCATENATE("000",HH_debt1819!A497),6),3),"-",(RIGHT(RIGHT(CONCATENATE("000",HH_debt1819!A497),6),3)))</f>
        <v>153-903</v>
      </c>
      <c r="C497" s="91">
        <v>882266</v>
      </c>
    </row>
    <row r="498" spans="1:3" ht="15">
      <c r="A498" t="s">
        <v>5998</v>
      </c>
      <c r="B498" s="722" t="str">
        <f>CONCATENATE(LEFT(RIGHT(CONCATENATE("000",HH_debt1819!A498),6),3),"-",(RIGHT(RIGHT(CONCATENATE("000",HH_debt1819!A498),6),3)))</f>
        <v>153-905</v>
      </c>
      <c r="C498" s="91">
        <v>325414</v>
      </c>
    </row>
    <row r="499" spans="1:3" ht="15">
      <c r="A499" t="s">
        <v>3631</v>
      </c>
      <c r="B499" s="722" t="str">
        <f>CONCATENATE(LEFT(RIGHT(CONCATENATE("000",HH_debt1819!A499),6),3),"-",(RIGHT(RIGHT(CONCATENATE("000",HH_debt1819!A499),6),3)))</f>
        <v>154-901</v>
      </c>
      <c r="C499" s="91">
        <v>1467330</v>
      </c>
    </row>
    <row r="500" spans="1:3" ht="15">
      <c r="A500" t="s">
        <v>3632</v>
      </c>
      <c r="B500" s="722" t="str">
        <f>CONCATENATE(LEFT(RIGHT(CONCATENATE("000",HH_debt1819!A500),6),3),"-",(RIGHT(RIGHT(CONCATENATE("000",HH_debt1819!A500),6),3)))</f>
        <v>154-903</v>
      </c>
      <c r="C500" s="91">
        <v>620238</v>
      </c>
    </row>
    <row r="501" spans="1:3" ht="15">
      <c r="A501" t="s">
        <v>5999</v>
      </c>
      <c r="B501" s="722" t="str">
        <f>CONCATENATE(LEFT(RIGHT(CONCATENATE("000",HH_debt1819!A501),6),3),"-",(RIGHT(RIGHT(CONCATENATE("000",HH_debt1819!A501),6),3)))</f>
        <v>155-901</v>
      </c>
      <c r="C501" s="91">
        <v>502140</v>
      </c>
    </row>
    <row r="502" spans="1:3" ht="15">
      <c r="A502" t="s">
        <v>6000</v>
      </c>
      <c r="B502" s="722" t="str">
        <f>CONCATENATE(LEFT(RIGHT(CONCATENATE("000",HH_debt1819!A502),6),3),"-",(RIGHT(RIGHT(CONCATENATE("000",HH_debt1819!A502),6),3)))</f>
        <v>156-902</v>
      </c>
      <c r="C502" s="91">
        <v>3713725</v>
      </c>
    </row>
    <row r="503" spans="1:3" ht="15">
      <c r="A503" t="s">
        <v>6001</v>
      </c>
      <c r="B503" s="722" t="str">
        <f>CONCATENATE(LEFT(RIGHT(CONCATENATE("000",HH_debt1819!A503),6),3),"-",(RIGHT(RIGHT(CONCATENATE("000",HH_debt1819!A503),6),3)))</f>
        <v>156-905</v>
      </c>
      <c r="C503" s="91">
        <v>807225</v>
      </c>
    </row>
    <row r="504" spans="1:3" ht="15">
      <c r="A504" t="s">
        <v>6003</v>
      </c>
      <c r="B504" s="722" t="str">
        <f>CONCATENATE(LEFT(RIGHT(CONCATENATE("000",HH_debt1819!A504),6),3),"-",(RIGHT(RIGHT(CONCATENATE("000",HH_debt1819!A504),6),3)))</f>
        <v>158-901</v>
      </c>
      <c r="C504" s="91">
        <v>1932600</v>
      </c>
    </row>
    <row r="505" spans="1:3" ht="15">
      <c r="A505" t="s">
        <v>6004</v>
      </c>
      <c r="B505" s="722" t="str">
        <f>CONCATENATE(LEFT(RIGHT(CONCATENATE("000",HH_debt1819!A505),6),3),"-",(RIGHT(RIGHT(CONCATENATE("000",HH_debt1819!A505),6),3)))</f>
        <v>158-902</v>
      </c>
      <c r="C505" s="91">
        <v>2637536</v>
      </c>
    </row>
    <row r="506" spans="1:3" ht="15">
      <c r="A506" t="s">
        <v>6005</v>
      </c>
      <c r="B506" s="722" t="str">
        <f>CONCATENATE(LEFT(RIGHT(CONCATENATE("000",HH_debt1819!A506),6),3),"-",(RIGHT(RIGHT(CONCATENATE("000",HH_debt1819!A506),6),3)))</f>
        <v>158-904</v>
      </c>
      <c r="C506" s="91">
        <v>319012</v>
      </c>
    </row>
    <row r="507" spans="1:3" ht="15">
      <c r="A507" t="s">
        <v>6006</v>
      </c>
      <c r="B507" s="722" t="str">
        <f>CONCATENATE(LEFT(RIGHT(CONCATENATE("000",HH_debt1819!A507),6),3),"-",(RIGHT(RIGHT(CONCATENATE("000",HH_debt1819!A507),6),3)))</f>
        <v>158-905</v>
      </c>
      <c r="C507" s="91">
        <v>344966</v>
      </c>
    </row>
    <row r="508" spans="1:3" ht="15">
      <c r="A508" t="s">
        <v>3633</v>
      </c>
      <c r="B508" s="722" t="str">
        <f>CONCATENATE(LEFT(RIGHT(CONCATENATE("000",HH_debt1819!A508),6),3),"-",(RIGHT(RIGHT(CONCATENATE("000",HH_debt1819!A508),6),3)))</f>
        <v>159-901</v>
      </c>
      <c r="C508" s="91">
        <v>4519105</v>
      </c>
    </row>
    <row r="509" spans="1:3" ht="15">
      <c r="A509" t="s">
        <v>3634</v>
      </c>
      <c r="B509" s="722" t="str">
        <f>CONCATENATE(LEFT(RIGHT(CONCATENATE("000",HH_debt1819!A509),6),3),"-",(RIGHT(RIGHT(CONCATENATE("000",HH_debt1819!A509),6),3)))</f>
        <v>160-901</v>
      </c>
      <c r="C509" s="91">
        <v>1465183</v>
      </c>
    </row>
    <row r="510" spans="1:3" ht="15">
      <c r="A510" t="s">
        <v>3635</v>
      </c>
      <c r="B510" s="722" t="str">
        <f>CONCATENATE(LEFT(RIGHT(CONCATENATE("000",HH_debt1819!A510),6),3),"-",(RIGHT(RIGHT(CONCATENATE("000",HH_debt1819!A510),6),3)))</f>
        <v>160-905</v>
      </c>
      <c r="C510" s="91">
        <v>96228</v>
      </c>
    </row>
    <row r="511" spans="1:3" ht="15">
      <c r="A511" t="s">
        <v>3636</v>
      </c>
      <c r="B511" s="722" t="str">
        <f>CONCATENATE(LEFT(RIGHT(CONCATENATE("000",HH_debt1819!A511),6),3),"-",(RIGHT(RIGHT(CONCATENATE("000",HH_debt1819!A511),6),3)))</f>
        <v>161-901</v>
      </c>
      <c r="C511" s="91">
        <v>407300</v>
      </c>
    </row>
    <row r="512" spans="1:3" ht="15">
      <c r="A512" t="s">
        <v>6007</v>
      </c>
      <c r="B512" s="722" t="str">
        <f>CONCATENATE(LEFT(RIGHT(CONCATENATE("000",HH_debt1819!A512),6),3),"-",(RIGHT(RIGHT(CONCATENATE("000",HH_debt1819!A512),6),3)))</f>
        <v>161-903</v>
      </c>
      <c r="C512" s="91">
        <v>11265850</v>
      </c>
    </row>
    <row r="513" spans="1:3" ht="15">
      <c r="A513" t="s">
        <v>3637</v>
      </c>
      <c r="B513" s="722" t="str">
        <f>CONCATENATE(LEFT(RIGHT(CONCATENATE("000",HH_debt1819!A513),6),3),"-",(RIGHT(RIGHT(CONCATENATE("000",HH_debt1819!A513),6),3)))</f>
        <v>161-906</v>
      </c>
      <c r="C513" s="91">
        <v>2838241</v>
      </c>
    </row>
    <row r="514" spans="1:3" ht="15">
      <c r="A514" t="s">
        <v>3638</v>
      </c>
      <c r="B514" s="722" t="str">
        <f>CONCATENATE(LEFT(RIGHT(CONCATENATE("000",HH_debt1819!A514),6),3),"-",(RIGHT(RIGHT(CONCATENATE("000",HH_debt1819!A514),6),3)))</f>
        <v>161-907</v>
      </c>
      <c r="C514" s="91">
        <v>2209830</v>
      </c>
    </row>
    <row r="515" spans="1:3" ht="15">
      <c r="A515" t="s">
        <v>3639</v>
      </c>
      <c r="B515" s="722" t="str">
        <f>CONCATENATE(LEFT(RIGHT(CONCATENATE("000",HH_debt1819!A515),6),3),"-",(RIGHT(RIGHT(CONCATENATE("000",HH_debt1819!A515),6),3)))</f>
        <v>161-908</v>
      </c>
      <c r="C515" s="91">
        <v>305500</v>
      </c>
    </row>
    <row r="516" spans="1:3" ht="15">
      <c r="A516" t="s">
        <v>3640</v>
      </c>
      <c r="B516" s="722" t="str">
        <f>CONCATENATE(LEFT(RIGHT(CONCATENATE("000",HH_debt1819!A516),6),3),"-",(RIGHT(RIGHT(CONCATENATE("000",HH_debt1819!A516),6),3)))</f>
        <v>161-909</v>
      </c>
      <c r="C516" s="91">
        <v>1560528</v>
      </c>
    </row>
    <row r="517" spans="1:3" ht="15">
      <c r="A517" t="s">
        <v>3641</v>
      </c>
      <c r="B517" s="722" t="str">
        <f>CONCATENATE(LEFT(RIGHT(CONCATENATE("000",HH_debt1819!A517),6),3),"-",(RIGHT(RIGHT(CONCATENATE("000",HH_debt1819!A517),6),3)))</f>
        <v>161-910</v>
      </c>
      <c r="C517" s="91">
        <v>728344</v>
      </c>
    </row>
    <row r="518" spans="1:3" ht="15">
      <c r="A518" t="s">
        <v>3642</v>
      </c>
      <c r="B518" s="722" t="str">
        <f>CONCATENATE(LEFT(RIGHT(CONCATENATE("000",HH_debt1819!A518),6),3),"-",(RIGHT(RIGHT(CONCATENATE("000",HH_debt1819!A518),6),3)))</f>
        <v>161-912</v>
      </c>
      <c r="C518" s="91">
        <v>1675133</v>
      </c>
    </row>
    <row r="519" spans="1:3" ht="15">
      <c r="A519" t="s">
        <v>3643</v>
      </c>
      <c r="B519" s="722" t="str">
        <f>CONCATENATE(LEFT(RIGHT(CONCATENATE("000",HH_debt1819!A519),6),3),"-",(RIGHT(RIGHT(CONCATENATE("000",HH_debt1819!A519),6),3)))</f>
        <v>161-914</v>
      </c>
      <c r="C519" s="91">
        <v>13857806</v>
      </c>
    </row>
    <row r="520" spans="1:3" ht="15">
      <c r="A520" t="s">
        <v>3644</v>
      </c>
      <c r="B520" s="722" t="str">
        <f>CONCATENATE(LEFT(RIGHT(CONCATENATE("000",HH_debt1819!A520),6),3),"-",(RIGHT(RIGHT(CONCATENATE("000",HH_debt1819!A520),6),3)))</f>
        <v>161-916</v>
      </c>
      <c r="C520" s="91">
        <v>1090277</v>
      </c>
    </row>
    <row r="521" spans="1:3" ht="15">
      <c r="A521" t="s">
        <v>3645</v>
      </c>
      <c r="B521" s="722" t="str">
        <f>CONCATENATE(LEFT(RIGHT(CONCATENATE("000",HH_debt1819!A521),6),3),"-",(RIGHT(RIGHT(CONCATENATE("000",HH_debt1819!A521),6),3)))</f>
        <v>161-919</v>
      </c>
      <c r="C521" s="91">
        <v>461756</v>
      </c>
    </row>
    <row r="522" spans="1:3" ht="15">
      <c r="A522" t="s">
        <v>3646</v>
      </c>
      <c r="B522" s="722" t="str">
        <f>CONCATENATE(LEFT(RIGHT(CONCATENATE("000",HH_debt1819!A522),6),3),"-",(RIGHT(RIGHT(CONCATENATE("000",HH_debt1819!A522),6),3)))</f>
        <v>161-920</v>
      </c>
      <c r="C522" s="91">
        <v>3445078</v>
      </c>
    </row>
    <row r="523" spans="1:3" ht="15">
      <c r="A523" t="s">
        <v>3647</v>
      </c>
      <c r="B523" s="722" t="str">
        <f>CONCATENATE(LEFT(RIGHT(CONCATENATE("000",HH_debt1819!A523),6),3),"-",(RIGHT(RIGHT(CONCATENATE("000",HH_debt1819!A523),6),3)))</f>
        <v>161-921</v>
      </c>
      <c r="C523" s="91">
        <v>1735272</v>
      </c>
    </row>
    <row r="524" spans="1:3" ht="15">
      <c r="A524" t="s">
        <v>3648</v>
      </c>
      <c r="B524" s="722" t="str">
        <f>CONCATENATE(LEFT(RIGHT(CONCATENATE("000",HH_debt1819!A524),6),3),"-",(RIGHT(RIGHT(CONCATENATE("000",HH_debt1819!A524),6),3)))</f>
        <v>161-922</v>
      </c>
      <c r="C524" s="91">
        <v>2203846</v>
      </c>
    </row>
    <row r="525" spans="1:3" ht="15">
      <c r="A525" t="s">
        <v>3649</v>
      </c>
      <c r="B525" s="722" t="str">
        <f>CONCATENATE(LEFT(RIGHT(CONCATENATE("000",HH_debt1819!A525),6),3),"-",(RIGHT(RIGHT(CONCATENATE("000",HH_debt1819!A525),6),3)))</f>
        <v>161-923</v>
      </c>
      <c r="C525" s="91">
        <v>523436</v>
      </c>
    </row>
    <row r="526" spans="1:3" ht="15">
      <c r="A526" t="s">
        <v>6008</v>
      </c>
      <c r="B526" s="722" t="str">
        <f>CONCATENATE(LEFT(RIGHT(CONCATENATE("000",HH_debt1819!A526),6),3),"-",(RIGHT(RIGHT(CONCATENATE("000",HH_debt1819!A526),6),3)))</f>
        <v>161-924</v>
      </c>
      <c r="C526" s="91">
        <v>139762</v>
      </c>
    </row>
    <row r="527" spans="1:3" ht="15">
      <c r="A527" t="s">
        <v>6009</v>
      </c>
      <c r="B527" s="722" t="str">
        <f>CONCATENATE(LEFT(RIGHT(CONCATENATE("000",HH_debt1819!A527),6),3),"-",(RIGHT(RIGHT(CONCATENATE("000",HH_debt1819!A527),6),3)))</f>
        <v>162-904</v>
      </c>
      <c r="C527" s="91">
        <v>1643831</v>
      </c>
    </row>
    <row r="528" spans="1:3" ht="15">
      <c r="A528" t="s">
        <v>3650</v>
      </c>
      <c r="B528" s="722" t="str">
        <f>CONCATENATE(LEFT(RIGHT(CONCATENATE("000",HH_debt1819!A528),6),3),"-",(RIGHT(RIGHT(CONCATENATE("000",HH_debt1819!A528),6),3)))</f>
        <v>163-901</v>
      </c>
      <c r="C528" s="91">
        <v>1012853</v>
      </c>
    </row>
    <row r="529" spans="1:3" ht="15">
      <c r="A529" t="s">
        <v>3651</v>
      </c>
      <c r="B529" s="722" t="str">
        <f>CONCATENATE(LEFT(RIGHT(CONCATENATE("000",HH_debt1819!A529),6),3),"-",(RIGHT(RIGHT(CONCATENATE("000",HH_debt1819!A529),6),3)))</f>
        <v>163-902</v>
      </c>
      <c r="C529" s="91">
        <v>315305</v>
      </c>
    </row>
    <row r="530" spans="1:3" ht="15">
      <c r="A530" t="s">
        <v>3652</v>
      </c>
      <c r="B530" s="722" t="str">
        <f>CONCATENATE(LEFT(RIGHT(CONCATENATE("000",HH_debt1819!A530),6),3),"-",(RIGHT(RIGHT(CONCATENATE("000",HH_debt1819!A530),6),3)))</f>
        <v>163-903</v>
      </c>
      <c r="C530" s="91">
        <v>381329</v>
      </c>
    </row>
    <row r="531" spans="1:3" ht="15">
      <c r="A531" t="s">
        <v>3653</v>
      </c>
      <c r="B531" s="722" t="str">
        <f>CONCATENATE(LEFT(RIGHT(CONCATENATE("000",HH_debt1819!A531),6),3),"-",(RIGHT(RIGHT(CONCATENATE("000",HH_debt1819!A531),6),3)))</f>
        <v>163-904</v>
      </c>
      <c r="C531" s="91">
        <v>1147090</v>
      </c>
    </row>
    <row r="532" spans="1:3" ht="15">
      <c r="A532" t="s">
        <v>3654</v>
      </c>
      <c r="B532" s="722" t="str">
        <f>CONCATENATE(LEFT(RIGHT(CONCATENATE("000",HH_debt1819!A532),6),3),"-",(RIGHT(RIGHT(CONCATENATE("000",HH_debt1819!A532),6),3)))</f>
        <v>163-908</v>
      </c>
      <c r="C532" s="91">
        <v>4202065</v>
      </c>
    </row>
    <row r="533" spans="1:3" ht="15">
      <c r="A533" t="s">
        <v>3655</v>
      </c>
      <c r="B533" s="722" t="str">
        <f>CONCATENATE(LEFT(RIGHT(CONCATENATE("000",HH_debt1819!A533),6),3),"-",(RIGHT(RIGHT(CONCATENATE("000",HH_debt1819!A533),6),3)))</f>
        <v>165-901</v>
      </c>
      <c r="C533" s="91">
        <v>17660594</v>
      </c>
    </row>
    <row r="534" spans="1:3" ht="15">
      <c r="A534" t="s">
        <v>6010</v>
      </c>
      <c r="B534" s="722" t="str">
        <f>CONCATENATE(LEFT(RIGHT(CONCATENATE("000",HH_debt1819!A534),6),3),"-",(RIGHT(RIGHT(CONCATENATE("000",HH_debt1819!A534),6),3)))</f>
        <v>165-902</v>
      </c>
      <c r="C534" s="91">
        <v>3888626</v>
      </c>
    </row>
    <row r="535" spans="1:3" ht="15">
      <c r="A535" t="s">
        <v>3656</v>
      </c>
      <c r="B535" s="722" t="str">
        <f>CONCATENATE(LEFT(RIGHT(CONCATENATE("000",HH_debt1819!A535),6),3),"-",(RIGHT(RIGHT(CONCATENATE("000",HH_debt1819!A535),6),3)))</f>
        <v>166-901</v>
      </c>
      <c r="C535" s="91">
        <v>1777025</v>
      </c>
    </row>
    <row r="536" spans="1:3" ht="15">
      <c r="A536" t="s">
        <v>6011</v>
      </c>
      <c r="B536" s="722" t="str">
        <f>CONCATENATE(LEFT(RIGHT(CONCATENATE("000",HH_debt1819!A536),6),3),"-",(RIGHT(RIGHT(CONCATENATE("000",HH_debt1819!A536),6),3)))</f>
        <v>166-903</v>
      </c>
      <c r="C536" s="91">
        <v>452506</v>
      </c>
    </row>
    <row r="537" spans="1:3" ht="15">
      <c r="A537" t="s">
        <v>6012</v>
      </c>
      <c r="B537" s="722" t="str">
        <f>CONCATENATE(LEFT(RIGHT(CONCATENATE("000",HH_debt1819!A537),6),3),"-",(RIGHT(RIGHT(CONCATENATE("000",HH_debt1819!A537),6),3)))</f>
        <v>166-904</v>
      </c>
      <c r="C537" s="91">
        <v>1759762</v>
      </c>
    </row>
    <row r="538" spans="1:3" ht="15">
      <c r="A538" t="s">
        <v>3657</v>
      </c>
      <c r="B538" s="722" t="str">
        <f>CONCATENATE(LEFT(RIGHT(CONCATENATE("000",HH_debt1819!A538),6),3),"-",(RIGHT(RIGHT(CONCATENATE("000",HH_debt1819!A538),6),3)))</f>
        <v>166-907</v>
      </c>
      <c r="C538" s="91">
        <v>83557</v>
      </c>
    </row>
    <row r="539" spans="1:3" ht="15">
      <c r="A539" t="s">
        <v>3658</v>
      </c>
      <c r="B539" s="722" t="str">
        <f>CONCATENATE(LEFT(RIGHT(CONCATENATE("000",HH_debt1819!A539),6),3),"-",(RIGHT(RIGHT(CONCATENATE("000",HH_debt1819!A539),6),3)))</f>
        <v>167-901</v>
      </c>
      <c r="C539" s="91">
        <v>611433</v>
      </c>
    </row>
    <row r="540" spans="1:3" ht="15">
      <c r="A540" t="s">
        <v>6014</v>
      </c>
      <c r="B540" s="722" t="str">
        <f>CONCATENATE(LEFT(RIGHT(CONCATENATE("000",HH_debt1819!A540),6),3),"-",(RIGHT(RIGHT(CONCATENATE("000",HH_debt1819!A540),6),3)))</f>
        <v>168-901</v>
      </c>
      <c r="C540" s="91">
        <v>1708638</v>
      </c>
    </row>
    <row r="541" spans="1:3" ht="15">
      <c r="A541" t="s">
        <v>6015</v>
      </c>
      <c r="B541" s="722" t="str">
        <f>CONCATENATE(LEFT(RIGHT(CONCATENATE("000",HH_debt1819!A541),6),3),"-",(RIGHT(RIGHT(CONCATENATE("000",HH_debt1819!A541),6),3)))</f>
        <v>168-902</v>
      </c>
      <c r="C541" s="91">
        <v>794395</v>
      </c>
    </row>
    <row r="542" spans="1:3" ht="15">
      <c r="A542" t="s">
        <v>3660</v>
      </c>
      <c r="B542" s="722" t="str">
        <f>CONCATENATE(LEFT(RIGHT(CONCATENATE("000",HH_debt1819!A542),6),3),"-",(RIGHT(RIGHT(CONCATENATE("000",HH_debt1819!A542),6),3)))</f>
        <v>169-901</v>
      </c>
      <c r="C542" s="91">
        <v>1756238</v>
      </c>
    </row>
    <row r="543" spans="1:3" ht="15">
      <c r="A543" t="s">
        <v>6016</v>
      </c>
      <c r="B543" s="722" t="str">
        <f>CONCATENATE(LEFT(RIGHT(CONCATENATE("000",HH_debt1819!A543),6),3),"-",(RIGHT(RIGHT(CONCATENATE("000",HH_debt1819!A543),6),3)))</f>
        <v>169-906</v>
      </c>
      <c r="C543" s="91">
        <v>92800</v>
      </c>
    </row>
    <row r="544" spans="1:3" ht="15">
      <c r="A544" t="s">
        <v>3661</v>
      </c>
      <c r="B544" s="722" t="str">
        <f>CONCATENATE(LEFT(RIGHT(CONCATENATE("000",HH_debt1819!A544),6),3),"-",(RIGHT(RIGHT(CONCATENATE("000",HH_debt1819!A544),6),3)))</f>
        <v>170-902</v>
      </c>
      <c r="C544" s="91">
        <v>81039988</v>
      </c>
    </row>
    <row r="545" spans="1:3" ht="15">
      <c r="A545" t="s">
        <v>6019</v>
      </c>
      <c r="B545" s="722" t="str">
        <f>CONCATENATE(LEFT(RIGHT(CONCATENATE("000",HH_debt1819!A545),6),3),"-",(RIGHT(RIGHT(CONCATENATE("000",HH_debt1819!A545),6),3)))</f>
        <v>170-903</v>
      </c>
      <c r="C545" s="91">
        <v>19861244</v>
      </c>
    </row>
    <row r="546" spans="1:3" ht="15">
      <c r="A546" t="s">
        <v>3662</v>
      </c>
      <c r="B546" s="722" t="str">
        <f>CONCATENATE(LEFT(RIGHT(CONCATENATE("000",HH_debt1819!A546),6),3),"-",(RIGHT(RIGHT(CONCATENATE("000",HH_debt1819!A546),6),3)))</f>
        <v>170-904</v>
      </c>
      <c r="C546" s="91">
        <v>7454043</v>
      </c>
    </row>
    <row r="547" spans="1:3" ht="15">
      <c r="A547" t="s">
        <v>3663</v>
      </c>
      <c r="B547" s="722" t="str">
        <f>CONCATENATE(LEFT(RIGHT(CONCATENATE("000",HH_debt1819!A547),6),3),"-",(RIGHT(RIGHT(CONCATENATE("000",HH_debt1819!A547),6),3)))</f>
        <v>170-906</v>
      </c>
      <c r="C547" s="91">
        <v>14351725</v>
      </c>
    </row>
    <row r="548" spans="1:3" ht="15">
      <c r="A548" t="s">
        <v>3664</v>
      </c>
      <c r="B548" s="722" t="str">
        <f>CONCATENATE(LEFT(RIGHT(CONCATENATE("000",HH_debt1819!A548),6),3),"-",(RIGHT(RIGHT(CONCATENATE("000",HH_debt1819!A548),6),3)))</f>
        <v>170-907</v>
      </c>
      <c r="C548" s="91">
        <v>3462128</v>
      </c>
    </row>
    <row r="549" spans="1:3" ht="15">
      <c r="A549" t="s">
        <v>3665</v>
      </c>
      <c r="B549" s="722" t="str">
        <f>CONCATENATE(LEFT(RIGHT(CONCATENATE("000",HH_debt1819!A549),6),3),"-",(RIGHT(RIGHT(CONCATENATE("000",HH_debt1819!A549),6),3)))</f>
        <v>170-908</v>
      </c>
      <c r="C549" s="91">
        <v>21608811</v>
      </c>
    </row>
    <row r="550" spans="1:3" ht="15">
      <c r="A550" t="s">
        <v>6020</v>
      </c>
      <c r="B550" s="722" t="str">
        <f>CONCATENATE(LEFT(RIGHT(CONCATENATE("000",HH_debt1819!A550),6),3),"-",(RIGHT(RIGHT(CONCATENATE("000",HH_debt1819!A550),6),3)))</f>
        <v>171-901</v>
      </c>
      <c r="C550" s="91">
        <v>2109250</v>
      </c>
    </row>
    <row r="551" spans="1:3" ht="15">
      <c r="A551" t="s">
        <v>6021</v>
      </c>
      <c r="B551" s="722" t="str">
        <f>CONCATENATE(LEFT(RIGHT(CONCATENATE("000",HH_debt1819!A551),6),3),"-",(RIGHT(RIGHT(CONCATENATE("000",HH_debt1819!A551),6),3)))</f>
        <v>171-902</v>
      </c>
      <c r="C551" s="91">
        <v>676890</v>
      </c>
    </row>
    <row r="552" spans="1:3" ht="15">
      <c r="A552" t="s">
        <v>6022</v>
      </c>
      <c r="B552" s="722" t="str">
        <f>CONCATENATE(LEFT(RIGHT(CONCATENATE("000",HH_debt1819!A552),6),3),"-",(RIGHT(RIGHT(CONCATENATE("000",HH_debt1819!A552),6),3)))</f>
        <v>172-902</v>
      </c>
      <c r="C552" s="91">
        <v>839986</v>
      </c>
    </row>
    <row r="553" spans="1:3" ht="15">
      <c r="A553" t="s">
        <v>6023</v>
      </c>
      <c r="B553" s="722" t="str">
        <f>CONCATENATE(LEFT(RIGHT(CONCATENATE("000",HH_debt1819!A553),6),3),"-",(RIGHT(RIGHT(CONCATENATE("000",HH_debt1819!A553),6),3)))</f>
        <v>172-905</v>
      </c>
      <c r="C553" s="91">
        <v>176425</v>
      </c>
    </row>
    <row r="554" spans="1:3" ht="15">
      <c r="A554" t="s">
        <v>3666</v>
      </c>
      <c r="B554" s="722" t="str">
        <f>CONCATENATE(LEFT(RIGHT(CONCATENATE("000",HH_debt1819!A554),6),3),"-",(RIGHT(RIGHT(CONCATENATE("000",HH_debt1819!A554),6),3)))</f>
        <v>174-901</v>
      </c>
      <c r="C554" s="91">
        <v>85147</v>
      </c>
    </row>
    <row r="555" spans="1:3" ht="15">
      <c r="A555" t="s">
        <v>6024</v>
      </c>
      <c r="B555" s="722" t="str">
        <f>CONCATENATE(LEFT(RIGHT(CONCATENATE("000",HH_debt1819!A555),6),3),"-",(RIGHT(RIGHT(CONCATENATE("000",HH_debt1819!A555),6),3)))</f>
        <v>174-902</v>
      </c>
      <c r="C555" s="91">
        <v>1118390</v>
      </c>
    </row>
    <row r="556" spans="1:3" ht="15">
      <c r="A556" t="s">
        <v>3667</v>
      </c>
      <c r="B556" s="722" t="str">
        <f>CONCATENATE(LEFT(RIGHT(CONCATENATE("000",HH_debt1819!A556),6),3),"-",(RIGHT(RIGHT(CONCATENATE("000",HH_debt1819!A556),6),3)))</f>
        <v>174-903</v>
      </c>
      <c r="C556" s="91">
        <v>142438</v>
      </c>
    </row>
    <row r="557" spans="1:3" ht="15">
      <c r="A557" t="s">
        <v>6025</v>
      </c>
      <c r="B557" s="722" t="str">
        <f>CONCATENATE(LEFT(RIGHT(CONCATENATE("000",HH_debt1819!A557),6),3),"-",(RIGHT(RIGHT(CONCATENATE("000",HH_debt1819!A557),6),3)))</f>
        <v>174-904</v>
      </c>
      <c r="C557" s="91">
        <v>3506044</v>
      </c>
    </row>
    <row r="558" spans="1:3" ht="15">
      <c r="A558" t="s">
        <v>3668</v>
      </c>
      <c r="B558" s="722" t="str">
        <f>CONCATENATE(LEFT(RIGHT(CONCATENATE("000",HH_debt1819!A558),6),3),"-",(RIGHT(RIGHT(CONCATENATE("000",HH_debt1819!A558),6),3)))</f>
        <v>174-906</v>
      </c>
      <c r="C558" s="91">
        <v>180300</v>
      </c>
    </row>
    <row r="559" spans="1:3" ht="15">
      <c r="A559" t="s">
        <v>3669</v>
      </c>
      <c r="B559" s="722" t="str">
        <f>CONCATENATE(LEFT(RIGHT(CONCATENATE("000",HH_debt1819!A559),6),3),"-",(RIGHT(RIGHT(CONCATENATE("000",HH_debt1819!A559),6),3)))</f>
        <v>174-908</v>
      </c>
      <c r="C559" s="91">
        <v>950693</v>
      </c>
    </row>
    <row r="560" spans="1:3" ht="15">
      <c r="A560" t="s">
        <v>5307</v>
      </c>
      <c r="B560" s="722" t="str">
        <f>CONCATENATE(LEFT(RIGHT(CONCATENATE("000",HH_debt1819!A560),6),3),"-",(RIGHT(RIGHT(CONCATENATE("000",HH_debt1819!A560),6),3)))</f>
        <v>174-909</v>
      </c>
      <c r="C560" s="91">
        <v>317697</v>
      </c>
    </row>
    <row r="561" spans="1:3" ht="15">
      <c r="A561" t="s">
        <v>6026</v>
      </c>
      <c r="B561" s="722" t="str">
        <f>CONCATENATE(LEFT(RIGHT(CONCATENATE("000",HH_debt1819!A561),6),3),"-",(RIGHT(RIGHT(CONCATENATE("000",HH_debt1819!A561),6),3)))</f>
        <v>174-910</v>
      </c>
      <c r="C561" s="91">
        <v>156550</v>
      </c>
    </row>
    <row r="562" spans="1:3" ht="15">
      <c r="A562" t="s">
        <v>6027</v>
      </c>
      <c r="B562" s="722" t="str">
        <f>CONCATENATE(LEFT(RIGHT(CONCATENATE("000",HH_debt1819!A562),6),3),"-",(RIGHT(RIGHT(CONCATENATE("000",HH_debt1819!A562),6),3)))</f>
        <v>175-902</v>
      </c>
      <c r="C562" s="91">
        <v>181950</v>
      </c>
    </row>
    <row r="563" spans="1:3" ht="15">
      <c r="A563" t="s">
        <v>3670</v>
      </c>
      <c r="B563" s="722" t="str">
        <f>CONCATENATE(LEFT(RIGHT(CONCATENATE("000",HH_debt1819!A563),6),3),"-",(RIGHT(RIGHT(CONCATENATE("000",HH_debt1819!A563),6),3)))</f>
        <v>175-903</v>
      </c>
      <c r="C563" s="91">
        <v>6375944</v>
      </c>
    </row>
    <row r="564" spans="1:3" ht="15">
      <c r="A564" t="s">
        <v>3671</v>
      </c>
      <c r="B564" s="722" t="str">
        <f>CONCATENATE(LEFT(RIGHT(CONCATENATE("000",HH_debt1819!A564),6),3),"-",(RIGHT(RIGHT(CONCATENATE("000",HH_debt1819!A564),6),3)))</f>
        <v>175-904</v>
      </c>
      <c r="C564" s="91">
        <v>354594</v>
      </c>
    </row>
    <row r="565" spans="1:3" ht="15">
      <c r="A565" t="s">
        <v>6028</v>
      </c>
      <c r="B565" s="722" t="str">
        <f>CONCATENATE(LEFT(RIGHT(CONCATENATE("000",HH_debt1819!A565),6),3),"-",(RIGHT(RIGHT(CONCATENATE("000",HH_debt1819!A565),6),3)))</f>
        <v>175-905</v>
      </c>
      <c r="C565" s="91">
        <v>100927</v>
      </c>
    </row>
    <row r="566" spans="1:3" ht="15">
      <c r="A566" t="s">
        <v>3672</v>
      </c>
      <c r="B566" s="722" t="str">
        <f>CONCATENATE(LEFT(RIGHT(CONCATENATE("000",HH_debt1819!A566),6),3),"-",(RIGHT(RIGHT(CONCATENATE("000",HH_debt1819!A566),6),3)))</f>
        <v>175-907</v>
      </c>
      <c r="C566" s="91">
        <v>152825</v>
      </c>
    </row>
    <row r="567" spans="1:3" ht="15">
      <c r="A567" t="s">
        <v>6029</v>
      </c>
      <c r="B567" s="722" t="str">
        <f>CONCATENATE(LEFT(RIGHT(CONCATENATE("000",HH_debt1819!A567),6),3),"-",(RIGHT(RIGHT(CONCATENATE("000",HH_debt1819!A567),6),3)))</f>
        <v>175-910</v>
      </c>
      <c r="C567" s="91">
        <v>291588</v>
      </c>
    </row>
    <row r="568" spans="1:3" ht="15">
      <c r="A568" t="s">
        <v>3673</v>
      </c>
      <c r="B568" s="722" t="str">
        <f>CONCATENATE(LEFT(RIGHT(CONCATENATE("000",HH_debt1819!A568),6),3),"-",(RIGHT(RIGHT(CONCATENATE("000",HH_debt1819!A568),6),3)))</f>
        <v>175-911</v>
      </c>
      <c r="C568" s="91">
        <v>803866</v>
      </c>
    </row>
    <row r="569" spans="1:3" ht="15">
      <c r="A569" t="s">
        <v>6030</v>
      </c>
      <c r="B569" s="722" t="str">
        <f>CONCATENATE(LEFT(RIGHT(CONCATENATE("000",HH_debt1819!A569),6),3),"-",(RIGHT(RIGHT(CONCATENATE("000",HH_debt1819!A569),6),3)))</f>
        <v>176-901</v>
      </c>
      <c r="C569" s="91">
        <v>218900</v>
      </c>
    </row>
    <row r="570" spans="1:3" ht="15">
      <c r="A570" t="s">
        <v>3674</v>
      </c>
      <c r="B570" s="722" t="str">
        <f>CONCATENATE(LEFT(RIGHT(CONCATENATE("000",HH_debt1819!A570),6),3),"-",(RIGHT(RIGHT(CONCATENATE("000",HH_debt1819!A570),6),3)))</f>
        <v>176-902</v>
      </c>
      <c r="C570" s="91">
        <v>796160</v>
      </c>
    </row>
    <row r="571" spans="1:3" ht="15">
      <c r="A571" t="s">
        <v>3675</v>
      </c>
      <c r="B571" s="722" t="str">
        <f>CONCATENATE(LEFT(RIGHT(CONCATENATE("000",HH_debt1819!A571),6),3),"-",(RIGHT(RIGHT(CONCATENATE("000",HH_debt1819!A571),6),3)))</f>
        <v>176-903</v>
      </c>
      <c r="C571" s="91">
        <v>855775</v>
      </c>
    </row>
    <row r="572" spans="1:3" ht="15">
      <c r="A572" t="s">
        <v>3676</v>
      </c>
      <c r="B572" s="722" t="str">
        <f>CONCATENATE(LEFT(RIGHT(CONCATENATE("000",HH_debt1819!A572),6),3),"-",(RIGHT(RIGHT(CONCATENATE("000",HH_debt1819!A572),6),3)))</f>
        <v>177-901</v>
      </c>
      <c r="C572" s="91">
        <v>1211262</v>
      </c>
    </row>
    <row r="573" spans="1:3" ht="15">
      <c r="A573" t="s">
        <v>6031</v>
      </c>
      <c r="B573" s="722" t="str">
        <f>CONCATENATE(LEFT(RIGHT(CONCATENATE("000",HH_debt1819!A573),6),3),"-",(RIGHT(RIGHT(CONCATENATE("000",HH_debt1819!A573),6),3)))</f>
        <v>177-902</v>
      </c>
      <c r="C573" s="91">
        <v>911568</v>
      </c>
    </row>
    <row r="574" spans="1:3" ht="15">
      <c r="A574" t="s">
        <v>6033</v>
      </c>
      <c r="B574" s="722" t="str">
        <f>CONCATENATE(LEFT(RIGHT(CONCATENATE("000",HH_debt1819!A574),6),3),"-",(RIGHT(RIGHT(CONCATENATE("000",HH_debt1819!A574),6),3)))</f>
        <v>177-905</v>
      </c>
      <c r="C574" s="91">
        <v>458575</v>
      </c>
    </row>
    <row r="575" spans="1:3" ht="15">
      <c r="A575" t="s">
        <v>6034</v>
      </c>
      <c r="B575" s="722" t="str">
        <f>CONCATENATE(LEFT(RIGHT(CONCATENATE("000",HH_debt1819!A575),6),3),"-",(RIGHT(RIGHT(CONCATENATE("000",HH_debt1819!A575),6),3)))</f>
        <v>178-901</v>
      </c>
      <c r="C575" s="91">
        <v>282660</v>
      </c>
    </row>
    <row r="576" spans="1:3" ht="15">
      <c r="A576" t="s">
        <v>6035</v>
      </c>
      <c r="B576" s="722" t="str">
        <f>CONCATENATE(LEFT(RIGHT(CONCATENATE("000",HH_debt1819!A576),6),3),"-",(RIGHT(RIGHT(CONCATENATE("000",HH_debt1819!A576),6),3)))</f>
        <v>178-902</v>
      </c>
      <c r="C576" s="91">
        <v>1745112</v>
      </c>
    </row>
    <row r="577" spans="1:3" ht="15">
      <c r="A577" t="s">
        <v>6036</v>
      </c>
      <c r="B577" s="722" t="str">
        <f>CONCATENATE(LEFT(RIGHT(CONCATENATE("000",HH_debt1819!A577),6),3),"-",(RIGHT(RIGHT(CONCATENATE("000",HH_debt1819!A577),6),3)))</f>
        <v>178-903</v>
      </c>
      <c r="C577" s="91">
        <v>2948245</v>
      </c>
    </row>
    <row r="578" spans="1:3" ht="15">
      <c r="A578" t="s">
        <v>3677</v>
      </c>
      <c r="B578" s="722" t="str">
        <f>CONCATENATE(LEFT(RIGHT(CONCATENATE("000",HH_debt1819!A578),6),3),"-",(RIGHT(RIGHT(CONCATENATE("000",HH_debt1819!A578),6),3)))</f>
        <v>178-904</v>
      </c>
      <c r="C578" s="91">
        <v>28211339</v>
      </c>
    </row>
    <row r="579" spans="1:3" ht="15">
      <c r="A579" t="s">
        <v>6037</v>
      </c>
      <c r="B579" s="722" t="str">
        <f>CONCATENATE(LEFT(RIGHT(CONCATENATE("000",HH_debt1819!A579),6),3),"-",(RIGHT(RIGHT(CONCATENATE("000",HH_debt1819!A579),6),3)))</f>
        <v>178-905</v>
      </c>
      <c r="C579" s="91">
        <v>570000</v>
      </c>
    </row>
    <row r="580" spans="1:3" ht="15">
      <c r="A580" t="s">
        <v>6038</v>
      </c>
      <c r="B580" s="722" t="str">
        <f>CONCATENATE(LEFT(RIGHT(CONCATENATE("000",HH_debt1819!A580),6),3),"-",(RIGHT(RIGHT(CONCATENATE("000",HH_debt1819!A580),6),3)))</f>
        <v>178-906</v>
      </c>
      <c r="C580" s="91">
        <v>1187075</v>
      </c>
    </row>
    <row r="581" spans="1:3" ht="15">
      <c r="A581" t="s">
        <v>6039</v>
      </c>
      <c r="B581" s="722" t="str">
        <f>CONCATENATE(LEFT(RIGHT(CONCATENATE("000",HH_debt1819!A581),6),3),"-",(RIGHT(RIGHT(CONCATENATE("000",HH_debt1819!A581),6),3)))</f>
        <v>178-908</v>
      </c>
      <c r="C581" s="91">
        <v>926669</v>
      </c>
    </row>
    <row r="582" spans="1:3" ht="15">
      <c r="A582" t="s">
        <v>3678</v>
      </c>
      <c r="B582" s="722" t="str">
        <f>CONCATENATE(LEFT(RIGHT(CONCATENATE("000",HH_debt1819!A582),6),3),"-",(RIGHT(RIGHT(CONCATENATE("000",HH_debt1819!A582),6),3)))</f>
        <v>178-909</v>
      </c>
      <c r="C582" s="91">
        <v>4600374</v>
      </c>
    </row>
    <row r="583" spans="1:3" ht="15">
      <c r="A583" t="s">
        <v>6040</v>
      </c>
      <c r="B583" s="722" t="str">
        <f>CONCATENATE(LEFT(RIGHT(CONCATENATE("000",HH_debt1819!A583),6),3),"-",(RIGHT(RIGHT(CONCATENATE("000",HH_debt1819!A583),6),3)))</f>
        <v>178-912</v>
      </c>
      <c r="C583" s="91">
        <v>6631222</v>
      </c>
    </row>
    <row r="584" spans="1:3" ht="15">
      <c r="A584" t="s">
        <v>3679</v>
      </c>
      <c r="B584" s="722" t="str">
        <f>CONCATENATE(LEFT(RIGHT(CONCATENATE("000",HH_debt1819!A584),6),3),"-",(RIGHT(RIGHT(CONCATENATE("000",HH_debt1819!A584),6),3)))</f>
        <v>178-913</v>
      </c>
      <c r="C584" s="91">
        <v>1146912</v>
      </c>
    </row>
    <row r="585" spans="1:3" ht="15">
      <c r="A585" t="s">
        <v>6041</v>
      </c>
      <c r="B585" s="722" t="str">
        <f>CONCATENATE(LEFT(RIGHT(CONCATENATE("000",HH_debt1819!A585),6),3),"-",(RIGHT(RIGHT(CONCATENATE("000",HH_debt1819!A585),6),3)))</f>
        <v>178-914</v>
      </c>
      <c r="C585" s="91">
        <v>3150094</v>
      </c>
    </row>
    <row r="586" spans="1:3" ht="15">
      <c r="A586" t="s">
        <v>3680</v>
      </c>
      <c r="B586" s="722" t="str">
        <f>CONCATENATE(LEFT(RIGHT(CONCATENATE("000",HH_debt1819!A586),6),3),"-",(RIGHT(RIGHT(CONCATENATE("000",HH_debt1819!A586),6),3)))</f>
        <v>178-915</v>
      </c>
      <c r="C586" s="91">
        <v>2311605</v>
      </c>
    </row>
    <row r="587" spans="1:3" ht="15">
      <c r="A587" t="s">
        <v>3681</v>
      </c>
      <c r="B587" s="722" t="str">
        <f>CONCATENATE(LEFT(RIGHT(CONCATENATE("000",HH_debt1819!A587),6),3),"-",(RIGHT(RIGHT(CONCATENATE("000",HH_debt1819!A587),6),3)))</f>
        <v>179-901</v>
      </c>
      <c r="C587" s="91">
        <v>1131193</v>
      </c>
    </row>
    <row r="588" spans="1:3" ht="15">
      <c r="A588" t="s">
        <v>6042</v>
      </c>
      <c r="B588" s="722" t="str">
        <f>CONCATENATE(LEFT(RIGHT(CONCATENATE("000",HH_debt1819!A588),6),3),"-",(RIGHT(RIGHT(CONCATENATE("000",HH_debt1819!A588),6),3)))</f>
        <v>180-902</v>
      </c>
      <c r="C588" s="91">
        <v>1563061</v>
      </c>
    </row>
    <row r="589" spans="1:3" ht="15">
      <c r="A589" t="s">
        <v>6043</v>
      </c>
      <c r="B589" s="722" t="str">
        <f>CONCATENATE(LEFT(RIGHT(CONCATENATE("000",HH_debt1819!A589),6),3),"-",(RIGHT(RIGHT(CONCATENATE("000",HH_debt1819!A589),6),3)))</f>
        <v>180-904</v>
      </c>
      <c r="C589" s="91">
        <v>786594</v>
      </c>
    </row>
    <row r="590" spans="1:3" ht="15">
      <c r="A590" t="s">
        <v>3682</v>
      </c>
      <c r="B590" s="722" t="str">
        <f>CONCATENATE(LEFT(RIGHT(CONCATENATE("000",HH_debt1819!A590),6),3),"-",(RIGHT(RIGHT(CONCATENATE("000",HH_debt1819!A590),6),3)))</f>
        <v>181-901</v>
      </c>
      <c r="C590" s="91">
        <v>1476650</v>
      </c>
    </row>
    <row r="591" spans="1:3" ht="15">
      <c r="A591" t="s">
        <v>6044</v>
      </c>
      <c r="B591" s="722" t="str">
        <f>CONCATENATE(LEFT(RIGHT(CONCATENATE("000",HH_debt1819!A591),6),3),"-",(RIGHT(RIGHT(CONCATENATE("000",HH_debt1819!A591),6),3)))</f>
        <v>181-905</v>
      </c>
      <c r="C591" s="91">
        <v>669650</v>
      </c>
    </row>
    <row r="592" spans="1:3" ht="15">
      <c r="A592" t="s">
        <v>6045</v>
      </c>
      <c r="B592" s="722" t="str">
        <f>CONCATENATE(LEFT(RIGHT(CONCATENATE("000",HH_debt1819!A592),6),3),"-",(RIGHT(RIGHT(CONCATENATE("000",HH_debt1819!A592),6),3)))</f>
        <v>181-906</v>
      </c>
      <c r="C592" s="91">
        <v>4160835</v>
      </c>
    </row>
    <row r="593" spans="1:3" ht="15">
      <c r="A593" t="s">
        <v>3683</v>
      </c>
      <c r="B593" s="722" t="str">
        <f>CONCATENATE(LEFT(RIGHT(CONCATENATE("000",HH_debt1819!A593),6),3),"-",(RIGHT(RIGHT(CONCATENATE("000",HH_debt1819!A593),6),3)))</f>
        <v>181-907</v>
      </c>
      <c r="C593" s="91">
        <v>1441912</v>
      </c>
    </row>
    <row r="594" spans="1:3" ht="15">
      <c r="A594" t="s">
        <v>6046</v>
      </c>
      <c r="B594" s="722" t="str">
        <f>CONCATENATE(LEFT(RIGHT(CONCATENATE("000",HH_debt1819!A594),6),3),"-",(RIGHT(RIGHT(CONCATENATE("000",HH_debt1819!A594),6),3)))</f>
        <v>181-908</v>
      </c>
      <c r="C594" s="91">
        <v>4146491</v>
      </c>
    </row>
    <row r="595" spans="1:3" ht="15">
      <c r="A595" t="s">
        <v>6047</v>
      </c>
      <c r="B595" s="722" t="str">
        <f>CONCATENATE(LEFT(RIGHT(CONCATENATE("000",HH_debt1819!A595),6),3),"-",(RIGHT(RIGHT(CONCATENATE("000",HH_debt1819!A595),6),3)))</f>
        <v>182-901</v>
      </c>
      <c r="C595" s="91">
        <v>69589</v>
      </c>
    </row>
    <row r="596" spans="1:3" ht="15">
      <c r="A596" t="s">
        <v>6048</v>
      </c>
      <c r="B596" s="722" t="str">
        <f>CONCATENATE(LEFT(RIGHT(CONCATENATE("000",HH_debt1819!A596),6),3),"-",(RIGHT(RIGHT(CONCATENATE("000",HH_debt1819!A596),6),3)))</f>
        <v>182-902</v>
      </c>
      <c r="C596" s="91">
        <v>769750</v>
      </c>
    </row>
    <row r="597" spans="1:3" ht="15">
      <c r="A597" t="s">
        <v>3684</v>
      </c>
      <c r="B597" s="722" t="str">
        <f>CONCATENATE(LEFT(RIGHT(CONCATENATE("000",HH_debt1819!A597),6),3),"-",(RIGHT(RIGHT(CONCATENATE("000",HH_debt1819!A597),6),3)))</f>
        <v>182-903</v>
      </c>
      <c r="C597" s="91">
        <v>3936967</v>
      </c>
    </row>
    <row r="598" spans="1:3" ht="15">
      <c r="A598" t="s">
        <v>6050</v>
      </c>
      <c r="B598" s="722" t="str">
        <f>CONCATENATE(LEFT(RIGHT(CONCATENATE("000",HH_debt1819!A598),6),3),"-",(RIGHT(RIGHT(CONCATENATE("000",HH_debt1819!A598),6),3)))</f>
        <v>182-906</v>
      </c>
      <c r="C598" s="91">
        <v>238300</v>
      </c>
    </row>
    <row r="599" spans="1:3" ht="15">
      <c r="A599" t="s">
        <v>6052</v>
      </c>
      <c r="B599" s="722" t="str">
        <f>CONCATENATE(LEFT(RIGHT(CONCATENATE("000",HH_debt1819!A599),6),3),"-",(RIGHT(RIGHT(CONCATENATE("000",HH_debt1819!A599),6),3)))</f>
        <v>183-902</v>
      </c>
      <c r="C599" s="91">
        <v>1431613</v>
      </c>
    </row>
    <row r="600" spans="1:3" ht="15">
      <c r="A600" t="s">
        <v>3685</v>
      </c>
      <c r="B600" s="722" t="str">
        <f>CONCATENATE(LEFT(RIGHT(CONCATENATE("000",HH_debt1819!A600),6),3),"-",(RIGHT(RIGHT(CONCATENATE("000",HH_debt1819!A600),6),3)))</f>
        <v>183-904</v>
      </c>
      <c r="C600" s="91">
        <v>747074</v>
      </c>
    </row>
    <row r="601" spans="1:3" ht="15">
      <c r="A601" t="s">
        <v>3686</v>
      </c>
      <c r="B601" s="722" t="str">
        <f>CONCATENATE(LEFT(RIGHT(CONCATENATE("000",HH_debt1819!A601),6),3),"-",(RIGHT(RIGHT(CONCATENATE("000",HH_debt1819!A601),6),3)))</f>
        <v>184-901</v>
      </c>
      <c r="C601" s="91">
        <v>346769</v>
      </c>
    </row>
    <row r="602" spans="1:3" ht="15">
      <c r="A602" t="s">
        <v>3687</v>
      </c>
      <c r="B602" s="722" t="str">
        <f>CONCATENATE(LEFT(RIGHT(CONCATENATE("000",HH_debt1819!A602),6),3),"-",(RIGHT(RIGHT(CONCATENATE("000",HH_debt1819!A602),6),3)))</f>
        <v>184-902</v>
      </c>
      <c r="C602" s="91">
        <v>4226564</v>
      </c>
    </row>
    <row r="603" spans="1:3" ht="15">
      <c r="A603" t="s">
        <v>3688</v>
      </c>
      <c r="B603" s="722" t="str">
        <f>CONCATENATE(LEFT(RIGHT(CONCATENATE("000",HH_debt1819!A603),6),3),"-",(RIGHT(RIGHT(CONCATENATE("000",HH_debt1819!A603),6),3)))</f>
        <v>184-903</v>
      </c>
      <c r="C603" s="91">
        <v>12697121</v>
      </c>
    </row>
    <row r="604" spans="1:3" ht="15">
      <c r="A604" t="s">
        <v>3689</v>
      </c>
      <c r="B604" s="722" t="str">
        <f>CONCATENATE(LEFT(RIGHT(CONCATENATE("000",HH_debt1819!A604),6),3),"-",(RIGHT(RIGHT(CONCATENATE("000",HH_debt1819!A604),6),3)))</f>
        <v>184-904</v>
      </c>
      <c r="C604" s="91">
        <v>1447462</v>
      </c>
    </row>
    <row r="605" spans="1:3" ht="15">
      <c r="A605" t="s">
        <v>6053</v>
      </c>
      <c r="B605" s="722" t="str">
        <f>CONCATENATE(LEFT(RIGHT(CONCATENATE("000",HH_debt1819!A605),6),3),"-",(RIGHT(RIGHT(CONCATENATE("000",HH_debt1819!A605),6),3)))</f>
        <v>184-907</v>
      </c>
      <c r="C605" s="91">
        <v>12660539</v>
      </c>
    </row>
    <row r="606" spans="1:3" ht="15">
      <c r="A606" t="s">
        <v>3690</v>
      </c>
      <c r="B606" s="722" t="str">
        <f>CONCATENATE(LEFT(RIGHT(CONCATENATE("000",HH_debt1819!A606),6),3),"-",(RIGHT(RIGHT(CONCATENATE("000",HH_debt1819!A606),6),3)))</f>
        <v>184-908</v>
      </c>
      <c r="C606" s="91">
        <v>1328000</v>
      </c>
    </row>
    <row r="607" spans="1:3" ht="15">
      <c r="A607" t="s">
        <v>3691</v>
      </c>
      <c r="B607" s="722" t="str">
        <f>CONCATENATE(LEFT(RIGHT(CONCATENATE("000",HH_debt1819!A607),6),3),"-",(RIGHT(RIGHT(CONCATENATE("000",HH_debt1819!A607),6),3)))</f>
        <v>184-909</v>
      </c>
      <c r="C607" s="91">
        <v>2019188</v>
      </c>
    </row>
    <row r="608" spans="1:3" ht="15">
      <c r="A608" t="s">
        <v>6054</v>
      </c>
      <c r="B608" s="722" t="str">
        <f>CONCATENATE(LEFT(RIGHT(CONCATENATE("000",HH_debt1819!A608),6),3),"-",(RIGHT(RIGHT(CONCATENATE("000",HH_debt1819!A608),6),3)))</f>
        <v>184-911</v>
      </c>
      <c r="C608" s="91">
        <v>159350</v>
      </c>
    </row>
    <row r="609" spans="1:3" ht="15">
      <c r="A609" t="s">
        <v>6055</v>
      </c>
      <c r="B609" s="722" t="str">
        <f>CONCATENATE(LEFT(RIGHT(CONCATENATE("000",HH_debt1819!A609),6),3),"-",(RIGHT(RIGHT(CONCATENATE("000",HH_debt1819!A609),6),3)))</f>
        <v>185-903</v>
      </c>
      <c r="C609" s="91">
        <v>306250</v>
      </c>
    </row>
    <row r="610" spans="1:3" ht="15">
      <c r="A610" t="s">
        <v>6057</v>
      </c>
      <c r="B610" s="722" t="str">
        <f>CONCATENATE(LEFT(RIGHT(CONCATENATE("000",HH_debt1819!A610),6),3),"-",(RIGHT(RIGHT(CONCATENATE("000",HH_debt1819!A610),6),3)))</f>
        <v>186-902</v>
      </c>
      <c r="C610" s="91">
        <v>2848233</v>
      </c>
    </row>
    <row r="611" spans="1:3" ht="15">
      <c r="A611" t="s">
        <v>6058</v>
      </c>
      <c r="B611" s="722" t="str">
        <f>CONCATENATE(LEFT(RIGHT(CONCATENATE("000",HH_debt1819!A611),6),3),"-",(RIGHT(RIGHT(CONCATENATE("000",HH_debt1819!A611),6),3)))</f>
        <v>186-903</v>
      </c>
      <c r="C611" s="91">
        <v>875050</v>
      </c>
    </row>
    <row r="612" spans="1:3" ht="15">
      <c r="A612" t="s">
        <v>6059</v>
      </c>
      <c r="B612" s="722" t="str">
        <f>CONCATENATE(LEFT(RIGHT(CONCATENATE("000",HH_debt1819!A612),6),3),"-",(RIGHT(RIGHT(CONCATENATE("000",HH_debt1819!A612),6),3)))</f>
        <v>187-901</v>
      </c>
      <c r="C612" s="91">
        <v>313788</v>
      </c>
    </row>
    <row r="613" spans="1:3" ht="15">
      <c r="A613" t="s">
        <v>6060</v>
      </c>
      <c r="B613" s="722" t="str">
        <f>CONCATENATE(LEFT(RIGHT(CONCATENATE("000",HH_debt1819!A613),6),3),"-",(RIGHT(RIGHT(CONCATENATE("000",HH_debt1819!A613),6),3)))</f>
        <v>187-904</v>
      </c>
      <c r="C613" s="91">
        <v>582212</v>
      </c>
    </row>
    <row r="614" spans="1:3" ht="15">
      <c r="A614" t="s">
        <v>6061</v>
      </c>
      <c r="B614" s="722" t="str">
        <f>CONCATENATE(LEFT(RIGHT(CONCATENATE("000",HH_debt1819!A614),6),3),"-",(RIGHT(RIGHT(CONCATENATE("000",HH_debt1819!A614),6),3)))</f>
        <v>187-906</v>
      </c>
      <c r="C614" s="91">
        <v>131775</v>
      </c>
    </row>
    <row r="615" spans="1:3" ht="15">
      <c r="A615" t="s">
        <v>3692</v>
      </c>
      <c r="B615" s="722" t="str">
        <f>CONCATENATE(LEFT(RIGHT(CONCATENATE("000",HH_debt1819!A615),6),3),"-",(RIGHT(RIGHT(CONCATENATE("000",HH_debt1819!A615),6),3)))</f>
        <v>187-907</v>
      </c>
      <c r="C615" s="91">
        <v>3893124</v>
      </c>
    </row>
    <row r="616" spans="1:3" ht="15">
      <c r="A616" t="s">
        <v>6062</v>
      </c>
      <c r="B616" s="722" t="str">
        <f>CONCATENATE(LEFT(RIGHT(CONCATENATE("000",HH_debt1819!A616),6),3),"-",(RIGHT(RIGHT(CONCATENATE("000",HH_debt1819!A616),6),3)))</f>
        <v>187-910</v>
      </c>
      <c r="C616" s="91">
        <v>1022995</v>
      </c>
    </row>
    <row r="617" spans="1:3" ht="15">
      <c r="A617" t="s">
        <v>3693</v>
      </c>
      <c r="B617" s="722" t="str">
        <f>CONCATENATE(LEFT(RIGHT(CONCATENATE("000",HH_debt1819!A617),6),3),"-",(RIGHT(RIGHT(CONCATENATE("000",HH_debt1819!A617),6),3)))</f>
        <v>188-901</v>
      </c>
      <c r="C617" s="91">
        <v>11274206</v>
      </c>
    </row>
    <row r="618" spans="1:3" ht="15">
      <c r="A618" t="s">
        <v>3694</v>
      </c>
      <c r="B618" s="722" t="str">
        <f>CONCATENATE(LEFT(RIGHT(CONCATENATE("000",HH_debt1819!A618),6),3),"-",(RIGHT(RIGHT(CONCATENATE("000",HH_debt1819!A618),6),3)))</f>
        <v>188-902</v>
      </c>
      <c r="C618" s="91">
        <v>1236650</v>
      </c>
    </row>
    <row r="619" spans="1:3" ht="15">
      <c r="A619" t="s">
        <v>6063</v>
      </c>
      <c r="B619" s="722" t="str">
        <f>CONCATENATE(LEFT(RIGHT(CONCATENATE("000",HH_debt1819!A619),6),3),"-",(RIGHT(RIGHT(CONCATENATE("000",HH_debt1819!A619),6),3)))</f>
        <v>188-903</v>
      </c>
      <c r="C619" s="91">
        <v>1178053</v>
      </c>
    </row>
    <row r="620" spans="1:3" ht="15">
      <c r="A620" t="s">
        <v>6064</v>
      </c>
      <c r="B620" s="722" t="str">
        <f>CONCATENATE(LEFT(RIGHT(CONCATENATE("000",HH_debt1819!A620),6),3),"-",(RIGHT(RIGHT(CONCATENATE("000",HH_debt1819!A620),6),3)))</f>
        <v>188-904</v>
      </c>
      <c r="C620" s="91">
        <v>2415431</v>
      </c>
    </row>
    <row r="621" spans="1:3" ht="15">
      <c r="A621" t="s">
        <v>3695</v>
      </c>
      <c r="B621" s="722" t="str">
        <f>CONCATENATE(LEFT(RIGHT(CONCATENATE("000",HH_debt1819!A621),6),3),"-",(RIGHT(RIGHT(CONCATENATE("000",HH_debt1819!A621),6),3)))</f>
        <v>189-901</v>
      </c>
      <c r="C621" s="91">
        <v>412781</v>
      </c>
    </row>
    <row r="622" spans="1:3" ht="15">
      <c r="A622" t="s">
        <v>3696</v>
      </c>
      <c r="B622" s="722" t="str">
        <f>CONCATENATE(LEFT(RIGHT(CONCATENATE("000",HH_debt1819!A622),6),3),"-",(RIGHT(RIGHT(CONCATENATE("000",HH_debt1819!A622),6),3)))</f>
        <v>189-902</v>
      </c>
      <c r="C622" s="91">
        <v>808466</v>
      </c>
    </row>
    <row r="623" spans="1:3" ht="15">
      <c r="A623" t="s">
        <v>6065</v>
      </c>
      <c r="B623" s="722" t="str">
        <f>CONCATENATE(LEFT(RIGHT(CONCATENATE("000",HH_debt1819!A623),6),3),"-",(RIGHT(RIGHT(CONCATENATE("000",HH_debt1819!A623),6),3)))</f>
        <v>190-903</v>
      </c>
      <c r="C623" s="91">
        <v>1140494</v>
      </c>
    </row>
    <row r="624" spans="1:3" ht="15">
      <c r="A624" t="s">
        <v>6066</v>
      </c>
      <c r="B624" s="722" t="str">
        <f>CONCATENATE(LEFT(RIGHT(CONCATENATE("000",HH_debt1819!A624),6),3),"-",(RIGHT(RIGHT(CONCATENATE("000",HH_debt1819!A624),6),3)))</f>
        <v>191-901</v>
      </c>
      <c r="C624" s="91">
        <v>5897906</v>
      </c>
    </row>
    <row r="625" spans="1:3" ht="15">
      <c r="A625" t="s">
        <v>6067</v>
      </c>
      <c r="B625" s="722" t="str">
        <f>CONCATENATE(LEFT(RIGHT(CONCATENATE("000",HH_debt1819!A625),6),3),"-",(RIGHT(RIGHT(CONCATENATE("000",HH_debt1819!A625),6),3)))</f>
        <v>192-901</v>
      </c>
      <c r="C625" s="91">
        <v>2333794</v>
      </c>
    </row>
    <row r="626" spans="1:3" ht="15">
      <c r="A626" t="s">
        <v>6068</v>
      </c>
      <c r="B626" s="722" t="str">
        <f>CONCATENATE(LEFT(RIGHT(CONCATENATE("000",HH_debt1819!A626),6),3),"-",(RIGHT(RIGHT(CONCATENATE("000",HH_debt1819!A626),6),3)))</f>
        <v>193-902</v>
      </c>
      <c r="C626" s="91">
        <v>467138</v>
      </c>
    </row>
    <row r="627" spans="1:3" ht="15">
      <c r="A627" t="s">
        <v>3697</v>
      </c>
      <c r="B627" s="722" t="str">
        <f>CONCATENATE(LEFT(RIGHT(CONCATENATE("000",HH_debt1819!A627),6),3),"-",(RIGHT(RIGHT(CONCATENATE("000",HH_debt1819!A627),6),3)))</f>
        <v>194-903</v>
      </c>
      <c r="C627" s="91">
        <v>511350</v>
      </c>
    </row>
    <row r="628" spans="1:3" ht="15">
      <c r="A628" t="s">
        <v>3698</v>
      </c>
      <c r="B628" s="722" t="str">
        <f>CONCATENATE(LEFT(RIGHT(CONCATENATE("000",HH_debt1819!A628),6),3),"-",(RIGHT(RIGHT(CONCATENATE("000",HH_debt1819!A628),6),3)))</f>
        <v>194-905</v>
      </c>
      <c r="C628" s="91">
        <v>429215</v>
      </c>
    </row>
    <row r="629" spans="1:3" ht="15">
      <c r="A629" t="s">
        <v>6069</v>
      </c>
      <c r="B629" s="722" t="str">
        <f>CONCATENATE(LEFT(RIGHT(CONCATENATE("000",HH_debt1819!A629),6),3),"-",(RIGHT(RIGHT(CONCATENATE("000",HH_debt1819!A629),6),3)))</f>
        <v>195-901</v>
      </c>
      <c r="C629" s="91">
        <v>2149390</v>
      </c>
    </row>
    <row r="630" spans="1:3" ht="15">
      <c r="A630" t="s">
        <v>3699</v>
      </c>
      <c r="B630" s="722" t="str">
        <f>CONCATENATE(LEFT(RIGHT(CONCATENATE("000",HH_debt1819!A630),6),3),"-",(RIGHT(RIGHT(CONCATENATE("000",HH_debt1819!A630),6),3)))</f>
        <v>195-902</v>
      </c>
      <c r="C630" s="91">
        <v>97488</v>
      </c>
    </row>
    <row r="631" spans="1:3" ht="15">
      <c r="A631" t="s">
        <v>6070</v>
      </c>
      <c r="B631" s="722" t="str">
        <f>CONCATENATE(LEFT(RIGHT(CONCATENATE("000",HH_debt1819!A631),6),3),"-",(RIGHT(RIGHT(CONCATENATE("000",HH_debt1819!A631),6),3)))</f>
        <v>196-901</v>
      </c>
      <c r="C631" s="91">
        <v>647761</v>
      </c>
    </row>
    <row r="632" spans="1:3" ht="15">
      <c r="A632" t="s">
        <v>6071</v>
      </c>
      <c r="B632" s="722" t="str">
        <f>CONCATENATE(LEFT(RIGHT(CONCATENATE("000",HH_debt1819!A632),6),3),"-",(RIGHT(RIGHT(CONCATENATE("000",HH_debt1819!A632),6),3)))</f>
        <v>196-902</v>
      </c>
      <c r="C632" s="91">
        <v>939514</v>
      </c>
    </row>
    <row r="633" spans="1:3" ht="15">
      <c r="A633" t="s">
        <v>6072</v>
      </c>
      <c r="B633" s="722" t="str">
        <f>CONCATENATE(LEFT(RIGHT(CONCATENATE("000",HH_debt1819!A633),6),3),"-",(RIGHT(RIGHT(CONCATENATE("000",HH_debt1819!A633),6),3)))</f>
        <v>196-903</v>
      </c>
      <c r="C633" s="91">
        <v>242078</v>
      </c>
    </row>
    <row r="634" spans="1:3" ht="15">
      <c r="A634" t="s">
        <v>6073</v>
      </c>
      <c r="B634" s="722" t="str">
        <f>CONCATENATE(LEFT(RIGHT(CONCATENATE("000",HH_debt1819!A634),6),3),"-",(RIGHT(RIGHT(CONCATENATE("000",HH_debt1819!A634),6),3)))</f>
        <v>197-902</v>
      </c>
      <c r="C634" s="91">
        <v>2731150</v>
      </c>
    </row>
    <row r="635" spans="1:3" ht="15">
      <c r="A635" t="s">
        <v>6074</v>
      </c>
      <c r="B635" s="722" t="str">
        <f>CONCATENATE(LEFT(RIGHT(CONCATENATE("000",HH_debt1819!A635),6),3),"-",(RIGHT(RIGHT(CONCATENATE("000",HH_debt1819!A635),6),3)))</f>
        <v>198-901</v>
      </c>
      <c r="C635" s="91">
        <v>1009444</v>
      </c>
    </row>
    <row r="636" spans="1:3" ht="15">
      <c r="A636" t="s">
        <v>6075</v>
      </c>
      <c r="B636" s="722" t="str">
        <f>CONCATENATE(LEFT(RIGHT(CONCATENATE("000",HH_debt1819!A636),6),3),"-",(RIGHT(RIGHT(CONCATENATE("000",HH_debt1819!A636),6),3)))</f>
        <v>198-903</v>
      </c>
      <c r="C636" s="91">
        <v>798706</v>
      </c>
    </row>
    <row r="637" spans="1:3" ht="15">
      <c r="A637" t="s">
        <v>6076</v>
      </c>
      <c r="B637" s="722" t="str">
        <f>CONCATENATE(LEFT(RIGHT(CONCATENATE("000",HH_debt1819!A637),6),3),"-",(RIGHT(RIGHT(CONCATENATE("000",HH_debt1819!A637),6),3)))</f>
        <v>198-905</v>
      </c>
      <c r="C637" s="91">
        <v>878400</v>
      </c>
    </row>
    <row r="638" spans="1:3" ht="15">
      <c r="A638" t="s">
        <v>6077</v>
      </c>
      <c r="B638" s="722" t="str">
        <f>CONCATENATE(LEFT(RIGHT(CONCATENATE("000",HH_debt1819!A638),6),3),"-",(RIGHT(RIGHT(CONCATENATE("000",HH_debt1819!A638),6),3)))</f>
        <v>199-901</v>
      </c>
      <c r="C638" s="91">
        <v>29102178</v>
      </c>
    </row>
    <row r="639" spans="1:3" ht="15">
      <c r="A639" t="s">
        <v>3700</v>
      </c>
      <c r="B639" s="722" t="str">
        <f>CONCATENATE(LEFT(RIGHT(CONCATENATE("000",HH_debt1819!A639),6),3),"-",(RIGHT(RIGHT(CONCATENATE("000",HH_debt1819!A639),6),3)))</f>
        <v>199-902</v>
      </c>
      <c r="C639" s="91">
        <v>8340502</v>
      </c>
    </row>
    <row r="640" spans="1:3" ht="15">
      <c r="A640" t="s">
        <v>3701</v>
      </c>
      <c r="B640" s="722" t="str">
        <f>CONCATENATE(LEFT(RIGHT(CONCATENATE("000",HH_debt1819!A640),6),3),"-",(RIGHT(RIGHT(CONCATENATE("000",HH_debt1819!A640),6),3)))</f>
        <v>200-902</v>
      </c>
      <c r="C640" s="91">
        <v>506330</v>
      </c>
    </row>
    <row r="641" spans="1:3" ht="15">
      <c r="A641" t="s">
        <v>3702</v>
      </c>
      <c r="B641" s="722" t="str">
        <f>CONCATENATE(LEFT(RIGHT(CONCATENATE("000",HH_debt1819!A641),6),3),"-",(RIGHT(RIGHT(CONCATENATE("000",HH_debt1819!A641),6),3)))</f>
        <v>200-906</v>
      </c>
      <c r="C641" s="91">
        <v>85075</v>
      </c>
    </row>
    <row r="642" spans="1:3" ht="15">
      <c r="A642" t="s">
        <v>6078</v>
      </c>
      <c r="B642" s="722" t="str">
        <f>CONCATENATE(LEFT(RIGHT(CONCATENATE("000",HH_debt1819!A642),6),3),"-",(RIGHT(RIGHT(CONCATENATE("000",HH_debt1819!A642),6),3)))</f>
        <v>201-902</v>
      </c>
      <c r="C642" s="91">
        <v>3453422</v>
      </c>
    </row>
    <row r="643" spans="1:3" ht="15">
      <c r="A643" t="s">
        <v>5407</v>
      </c>
      <c r="B643" s="722" t="str">
        <f>CONCATENATE(LEFT(RIGHT(CONCATENATE("000",HH_debt1819!A643),6),3),"-",(RIGHT(RIGHT(CONCATENATE("000",HH_debt1819!A643),6),3)))</f>
        <v>201-907</v>
      </c>
      <c r="C643" s="91">
        <v>201436</v>
      </c>
    </row>
    <row r="644" spans="1:3" ht="15">
      <c r="A644" t="s">
        <v>3703</v>
      </c>
      <c r="B644" s="722" t="str">
        <f>CONCATENATE(LEFT(RIGHT(CONCATENATE("000",HH_debt1819!A644),6),3),"-",(RIGHT(RIGHT(CONCATENATE("000",HH_debt1819!A644),6),3)))</f>
        <v>201-908</v>
      </c>
      <c r="C644" s="91">
        <v>673265</v>
      </c>
    </row>
    <row r="645" spans="1:3" ht="15">
      <c r="A645" t="s">
        <v>6079</v>
      </c>
      <c r="B645" s="722" t="str">
        <f>CONCATENATE(LEFT(RIGHT(CONCATENATE("000",HH_debt1819!A645),6),3),"-",(RIGHT(RIGHT(CONCATENATE("000",HH_debt1819!A645),6),3)))</f>
        <v>201-910</v>
      </c>
      <c r="C645" s="91">
        <v>1687200</v>
      </c>
    </row>
    <row r="646" spans="1:3" ht="15">
      <c r="A646" t="s">
        <v>3704</v>
      </c>
      <c r="B646" s="722" t="str">
        <f>CONCATENATE(LEFT(RIGHT(CONCATENATE("000",HH_debt1819!A646),6),3),"-",(RIGHT(RIGHT(CONCATENATE("000",HH_debt1819!A646),6),3)))</f>
        <v>201-913</v>
      </c>
      <c r="C646" s="91">
        <v>694166</v>
      </c>
    </row>
    <row r="647" spans="1:3" ht="15">
      <c r="A647" t="s">
        <v>6080</v>
      </c>
      <c r="B647" s="722" t="str">
        <f>CONCATENATE(LEFT(RIGHT(CONCATENATE("000",HH_debt1819!A647),6),3),"-",(RIGHT(RIGHT(CONCATENATE("000",HH_debt1819!A647),6),3)))</f>
        <v>201-914</v>
      </c>
      <c r="C647" s="91">
        <v>1114245</v>
      </c>
    </row>
    <row r="648" spans="1:3" ht="15">
      <c r="A648" t="s">
        <v>3705</v>
      </c>
      <c r="B648" s="722" t="str">
        <f>CONCATENATE(LEFT(RIGHT(CONCATENATE("000",HH_debt1819!A648),6),3),"-",(RIGHT(RIGHT(CONCATENATE("000",HH_debt1819!A648),6),3)))</f>
        <v>202-905</v>
      </c>
      <c r="C648" s="91">
        <v>559925</v>
      </c>
    </row>
    <row r="649" spans="1:3" ht="15">
      <c r="A649" t="s">
        <v>3706</v>
      </c>
      <c r="B649" s="722" t="str">
        <f>CONCATENATE(LEFT(RIGHT(CONCATENATE("000",HH_debt1819!A649),6),3),"-",(RIGHT(RIGHT(CONCATENATE("000",HH_debt1819!A649),6),3)))</f>
        <v>203-901</v>
      </c>
      <c r="C649" s="91">
        <v>477834</v>
      </c>
    </row>
    <row r="650" spans="1:3" ht="15">
      <c r="A650" t="s">
        <v>3707</v>
      </c>
      <c r="B650" s="722" t="str">
        <f>CONCATENATE(LEFT(RIGHT(CONCATENATE("000",HH_debt1819!A650),6),3),"-",(RIGHT(RIGHT(CONCATENATE("000",HH_debt1819!A650),6),3)))</f>
        <v>204-904</v>
      </c>
      <c r="C650" s="91">
        <v>1550914</v>
      </c>
    </row>
    <row r="651" spans="1:3" ht="15">
      <c r="A651" t="s">
        <v>3708</v>
      </c>
      <c r="B651" s="722" t="str">
        <f>CONCATENATE(LEFT(RIGHT(CONCATENATE("000",HH_debt1819!A651),6),3),"-",(RIGHT(RIGHT(CONCATENATE("000",HH_debt1819!A651),6),3)))</f>
        <v>205-901</v>
      </c>
      <c r="C651" s="91">
        <v>247700</v>
      </c>
    </row>
    <row r="652" spans="1:3" ht="15">
      <c r="A652" t="s">
        <v>6082</v>
      </c>
      <c r="B652" s="722" t="str">
        <f>CONCATENATE(LEFT(RIGHT(CONCATENATE("000",HH_debt1819!A652),6),3),"-",(RIGHT(RIGHT(CONCATENATE("000",HH_debt1819!A652),6),3)))</f>
        <v>205-902</v>
      </c>
      <c r="C652" s="91">
        <v>3951594</v>
      </c>
    </row>
    <row r="653" spans="1:3" ht="15">
      <c r="A653" t="s">
        <v>6083</v>
      </c>
      <c r="B653" s="722" t="str">
        <f>CONCATENATE(LEFT(RIGHT(CONCATENATE("000",HH_debt1819!A653),6),3),"-",(RIGHT(RIGHT(CONCATENATE("000",HH_debt1819!A653),6),3)))</f>
        <v>205-903</v>
      </c>
      <c r="C653" s="91">
        <v>669000</v>
      </c>
    </row>
    <row r="654" spans="1:3" ht="15">
      <c r="A654" t="s">
        <v>3709</v>
      </c>
      <c r="B654" s="722" t="str">
        <f>CONCATENATE(LEFT(RIGHT(CONCATENATE("000",HH_debt1819!A654),6),3),"-",(RIGHT(RIGHT(CONCATENATE("000",HH_debt1819!A654),6),3)))</f>
        <v>205-904</v>
      </c>
      <c r="C654" s="91">
        <v>1323500</v>
      </c>
    </row>
    <row r="655" spans="1:3" ht="15">
      <c r="A655" t="s">
        <v>3710</v>
      </c>
      <c r="B655" s="722" t="str">
        <f>CONCATENATE(LEFT(RIGHT(CONCATENATE("000",HH_debt1819!A655),6),3),"-",(RIGHT(RIGHT(CONCATENATE("000",HH_debt1819!A655),6),3)))</f>
        <v>205-905</v>
      </c>
      <c r="C655" s="91">
        <v>1689060</v>
      </c>
    </row>
    <row r="656" spans="1:3" ht="15">
      <c r="A656" t="s">
        <v>3711</v>
      </c>
      <c r="B656" s="722" t="str">
        <f>CONCATENATE(LEFT(RIGHT(CONCATENATE("000",HH_debt1819!A656),6),3),"-",(RIGHT(RIGHT(CONCATENATE("000",HH_debt1819!A656),6),3)))</f>
        <v>205-906</v>
      </c>
      <c r="C656" s="91">
        <v>2427074</v>
      </c>
    </row>
    <row r="657" spans="1:3" ht="15">
      <c r="A657" t="s">
        <v>3712</v>
      </c>
      <c r="B657" s="722" t="str">
        <f>CONCATENATE(LEFT(RIGHT(CONCATENATE("000",HH_debt1819!A657),6),3),"-",(RIGHT(RIGHT(CONCATENATE("000",HH_debt1819!A657),6),3)))</f>
        <v>205-907</v>
      </c>
      <c r="C657" s="91">
        <v>1742366</v>
      </c>
    </row>
    <row r="658" spans="1:3" ht="15">
      <c r="A658" t="s">
        <v>3713</v>
      </c>
      <c r="B658" s="722" t="str">
        <f>CONCATENATE(LEFT(RIGHT(CONCATENATE("000",HH_debt1819!A658),6),3),"-",(RIGHT(RIGHT(CONCATENATE("000",HH_debt1819!A658),6),3)))</f>
        <v>206-901</v>
      </c>
      <c r="C658" s="91">
        <v>521830</v>
      </c>
    </row>
    <row r="659" spans="1:3" ht="15">
      <c r="A659" t="s">
        <v>6084</v>
      </c>
      <c r="B659" s="722" t="str">
        <f>CONCATENATE(LEFT(RIGHT(CONCATENATE("000",HH_debt1819!A659),6),3),"-",(RIGHT(RIGHT(CONCATENATE("000",HH_debt1819!A659),6),3)))</f>
        <v>208-901</v>
      </c>
      <c r="C659" s="91">
        <v>777356</v>
      </c>
    </row>
    <row r="660" spans="1:3" ht="15">
      <c r="A660" t="s">
        <v>6085</v>
      </c>
      <c r="B660" s="722" t="str">
        <f>CONCATENATE(LEFT(RIGHT(CONCATENATE("000",HH_debt1819!A660),6),3),"-",(RIGHT(RIGHT(CONCATENATE("000",HH_debt1819!A660),6),3)))</f>
        <v>208-902</v>
      </c>
      <c r="C660" s="91">
        <v>2144481</v>
      </c>
    </row>
    <row r="661" spans="1:3" ht="15">
      <c r="A661" t="s">
        <v>6086</v>
      </c>
      <c r="B661" s="722" t="str">
        <f>CONCATENATE(LEFT(RIGHT(CONCATENATE("000",HH_debt1819!A661),6),3),"-",(RIGHT(RIGHT(CONCATENATE("000",HH_debt1819!A661),6),3)))</f>
        <v>208-903</v>
      </c>
      <c r="C661" s="91">
        <v>773094</v>
      </c>
    </row>
    <row r="662" spans="1:3" ht="15">
      <c r="A662" t="s">
        <v>3714</v>
      </c>
      <c r="B662" s="722" t="str">
        <f>CONCATENATE(LEFT(RIGHT(CONCATENATE("000",HH_debt1819!A662),6),3),"-",(RIGHT(RIGHT(CONCATENATE("000",HH_debt1819!A662),6),3)))</f>
        <v>210-901</v>
      </c>
      <c r="C662" s="91">
        <v>1287862</v>
      </c>
    </row>
    <row r="663" spans="1:3" ht="15">
      <c r="A663" t="s">
        <v>6087</v>
      </c>
      <c r="B663" s="722" t="str">
        <f>CONCATENATE(LEFT(RIGHT(CONCATENATE("000",HH_debt1819!A663),6),3),"-",(RIGHT(RIGHT(CONCATENATE("000",HH_debt1819!A663),6),3)))</f>
        <v>210-902</v>
      </c>
      <c r="C663" s="91">
        <v>1045338</v>
      </c>
    </row>
    <row r="664" spans="1:3" ht="15">
      <c r="A664" t="s">
        <v>3715</v>
      </c>
      <c r="B664" s="722" t="str">
        <f>CONCATENATE(LEFT(RIGHT(CONCATENATE("000",HH_debt1819!A664),6),3),"-",(RIGHT(RIGHT(CONCATENATE("000",HH_debt1819!A664),6),3)))</f>
        <v>210-903</v>
      </c>
      <c r="C664" s="91">
        <v>152450</v>
      </c>
    </row>
    <row r="665" spans="1:3" ht="15">
      <c r="A665" t="s">
        <v>3716</v>
      </c>
      <c r="B665" s="722" t="str">
        <f>CONCATENATE(LEFT(RIGHT(CONCATENATE("000",HH_debt1819!A665),6),3),"-",(RIGHT(RIGHT(CONCATENATE("000",HH_debt1819!A665),6),3)))</f>
        <v>212-901</v>
      </c>
      <c r="C665" s="91">
        <v>1078220</v>
      </c>
    </row>
    <row r="666" spans="1:3" ht="15">
      <c r="A666" t="s">
        <v>6090</v>
      </c>
      <c r="B666" s="722" t="str">
        <f>CONCATENATE(LEFT(RIGHT(CONCATENATE("000",HH_debt1819!A666),6),3),"-",(RIGHT(RIGHT(CONCATENATE("000",HH_debt1819!A666),6),3)))</f>
        <v>212-902</v>
      </c>
      <c r="C666" s="91">
        <v>4602926</v>
      </c>
    </row>
    <row r="667" spans="1:3" ht="15">
      <c r="A667" t="s">
        <v>3717</v>
      </c>
      <c r="B667" s="722" t="str">
        <f>CONCATENATE(LEFT(RIGHT(CONCATENATE("000",HH_debt1819!A667),6),3),"-",(RIGHT(RIGHT(CONCATENATE("000",HH_debt1819!A667),6),3)))</f>
        <v>212-903</v>
      </c>
      <c r="C667" s="91">
        <v>4432109</v>
      </c>
    </row>
    <row r="668" spans="1:3" ht="15">
      <c r="A668" t="s">
        <v>6091</v>
      </c>
      <c r="B668" s="722" t="str">
        <f>CONCATENATE(LEFT(RIGHT(CONCATENATE("000",HH_debt1819!A668),6),3),"-",(RIGHT(RIGHT(CONCATENATE("000",HH_debt1819!A668),6),3)))</f>
        <v>212-904</v>
      </c>
      <c r="C668" s="91">
        <v>490980</v>
      </c>
    </row>
    <row r="669" spans="1:3" ht="15">
      <c r="A669" t="s">
        <v>6092</v>
      </c>
      <c r="B669" s="722" t="str">
        <f>CONCATENATE(LEFT(RIGHT(CONCATENATE("000",HH_debt1819!A669),6),3),"-",(RIGHT(RIGHT(CONCATENATE("000",HH_debt1819!A669),6),3)))</f>
        <v>212-905</v>
      </c>
      <c r="C669" s="91">
        <v>22870269</v>
      </c>
    </row>
    <row r="670" spans="1:3" ht="15">
      <c r="A670" t="s">
        <v>3718</v>
      </c>
      <c r="B670" s="722" t="str">
        <f>CONCATENATE(LEFT(RIGHT(CONCATENATE("000",HH_debt1819!A670),6),3),"-",(RIGHT(RIGHT(CONCATENATE("000",HH_debt1819!A670),6),3)))</f>
        <v>212-906</v>
      </c>
      <c r="C670" s="91">
        <v>2764050</v>
      </c>
    </row>
    <row r="671" spans="1:3" ht="15">
      <c r="A671" t="s">
        <v>3719</v>
      </c>
      <c r="B671" s="722" t="str">
        <f>CONCATENATE(LEFT(RIGHT(CONCATENATE("000",HH_debt1819!A671),6),3),"-",(RIGHT(RIGHT(CONCATENATE("000",HH_debt1819!A671),6),3)))</f>
        <v>212-909</v>
      </c>
      <c r="C671" s="91">
        <v>383400</v>
      </c>
    </row>
    <row r="672" spans="1:3" ht="15">
      <c r="A672" t="s">
        <v>6093</v>
      </c>
      <c r="B672" s="722" t="str">
        <f>CONCATENATE(LEFT(RIGHT(CONCATENATE("000",HH_debt1819!A672),6),3),"-",(RIGHT(RIGHT(CONCATENATE("000",HH_debt1819!A672),6),3)))</f>
        <v>212-910</v>
      </c>
      <c r="C672" s="91">
        <v>1729278</v>
      </c>
    </row>
    <row r="673" spans="1:3" ht="15">
      <c r="A673" t="s">
        <v>6094</v>
      </c>
      <c r="B673" s="722" t="str">
        <f>CONCATENATE(LEFT(RIGHT(CONCATENATE("000",HH_debt1819!A673),6),3),"-",(RIGHT(RIGHT(CONCATENATE("000",HH_debt1819!A673),6),3)))</f>
        <v>213-901</v>
      </c>
      <c r="C673" s="91">
        <v>2448017</v>
      </c>
    </row>
    <row r="674" spans="1:3" ht="15">
      <c r="A674" t="s">
        <v>3720</v>
      </c>
      <c r="B674" s="722" t="str">
        <f>CONCATENATE(LEFT(RIGHT(CONCATENATE("000",HH_debt1819!A674),6),3),"-",(RIGHT(RIGHT(CONCATENATE("000",HH_debt1819!A674),6),3)))</f>
        <v>214-901</v>
      </c>
      <c r="C674" s="91">
        <v>9166749</v>
      </c>
    </row>
    <row r="675" spans="1:3" ht="15">
      <c r="A675" t="s">
        <v>6095</v>
      </c>
      <c r="B675" s="722" t="str">
        <f>CONCATENATE(LEFT(RIGHT(CONCATENATE("000",HH_debt1819!A675),6),3),"-",(RIGHT(RIGHT(CONCATENATE("000",HH_debt1819!A675),6),3)))</f>
        <v>214-902</v>
      </c>
      <c r="C675" s="91">
        <v>186302</v>
      </c>
    </row>
    <row r="676" spans="1:3" ht="15">
      <c r="A676" t="s">
        <v>3721</v>
      </c>
      <c r="B676" s="722" t="str">
        <f>CONCATENATE(LEFT(RIGHT(CONCATENATE("000",HH_debt1819!A676),6),3),"-",(RIGHT(RIGHT(CONCATENATE("000",HH_debt1819!A676),6),3)))</f>
        <v>214-903</v>
      </c>
      <c r="C676" s="91">
        <v>4188563</v>
      </c>
    </row>
    <row r="677" spans="1:3" ht="15">
      <c r="A677" t="s">
        <v>6096</v>
      </c>
      <c r="B677" s="722" t="str">
        <f>CONCATENATE(LEFT(RIGHT(CONCATENATE("000",HH_debt1819!A677),6),3),"-",(RIGHT(RIGHT(CONCATENATE("000",HH_debt1819!A677),6),3)))</f>
        <v>215-901</v>
      </c>
      <c r="C677" s="91">
        <v>602650</v>
      </c>
    </row>
    <row r="678" spans="1:3" ht="15">
      <c r="A678" t="s">
        <v>6097</v>
      </c>
      <c r="B678" s="722" t="str">
        <f>CONCATENATE(LEFT(RIGHT(CONCATENATE("000",HH_debt1819!A678),6),3),"-",(RIGHT(RIGHT(CONCATENATE("000",HH_debt1819!A678),6),3)))</f>
        <v>216-901</v>
      </c>
      <c r="C678" s="91">
        <v>1285554</v>
      </c>
    </row>
    <row r="679" spans="1:3" ht="15">
      <c r="A679" t="s">
        <v>6098</v>
      </c>
      <c r="B679" s="722" t="str">
        <f>CONCATENATE(LEFT(RIGHT(CONCATENATE("000",HH_debt1819!A679),6),3),"-",(RIGHT(RIGHT(CONCATENATE("000",HH_debt1819!A679),6),3)))</f>
        <v>217-901</v>
      </c>
      <c r="C679" s="91">
        <v>582862</v>
      </c>
    </row>
    <row r="680" spans="1:3" ht="15">
      <c r="A680" t="s">
        <v>6100</v>
      </c>
      <c r="B680" s="722" t="str">
        <f>CONCATENATE(LEFT(RIGHT(CONCATENATE("000",HH_debt1819!A680),6),3),"-",(RIGHT(RIGHT(CONCATENATE("000",HH_debt1819!A680),6),3)))</f>
        <v>219-905</v>
      </c>
      <c r="C680" s="91">
        <v>201800</v>
      </c>
    </row>
    <row r="681" spans="1:3" ht="15">
      <c r="A681" t="s">
        <v>3722</v>
      </c>
      <c r="B681" s="722" t="str">
        <f>CONCATENATE(LEFT(RIGHT(CONCATENATE("000",HH_debt1819!A681),6),3),"-",(RIGHT(RIGHT(CONCATENATE("000",HH_debt1819!A681),6),3)))</f>
        <v>220-901</v>
      </c>
      <c r="C681" s="91">
        <v>69728331</v>
      </c>
    </row>
    <row r="682" spans="1:3" ht="15">
      <c r="A682" t="s">
        <v>3723</v>
      </c>
      <c r="B682" s="722" t="str">
        <f>CONCATENATE(LEFT(RIGHT(CONCATENATE("000",HH_debt1819!A682),6),3),"-",(RIGHT(RIGHT(CONCATENATE("000",HH_debt1819!A682),6),3)))</f>
        <v>220-902</v>
      </c>
      <c r="C682" s="91">
        <v>30349506</v>
      </c>
    </row>
    <row r="683" spans="1:3" ht="15">
      <c r="A683" t="s">
        <v>3724</v>
      </c>
      <c r="B683" s="722" t="str">
        <f>CONCATENATE(LEFT(RIGHT(CONCATENATE("000",HH_debt1819!A683),6),3),"-",(RIGHT(RIGHT(CONCATENATE("000",HH_debt1819!A683),6),3)))</f>
        <v>220-904</v>
      </c>
      <c r="C683" s="91">
        <v>6268026</v>
      </c>
    </row>
    <row r="684" spans="1:3" ht="15">
      <c r="A684" t="s">
        <v>6101</v>
      </c>
      <c r="B684" s="722" t="str">
        <f>CONCATENATE(LEFT(RIGHT(CONCATENATE("000",HH_debt1819!A684),6),3),"-",(RIGHT(RIGHT(CONCATENATE("000",HH_debt1819!A684),6),3)))</f>
        <v>220-905</v>
      </c>
      <c r="C684" s="91">
        <v>74842949</v>
      </c>
    </row>
    <row r="685" spans="1:3" ht="15">
      <c r="A685" t="s">
        <v>6102</v>
      </c>
      <c r="B685" s="722" t="str">
        <f>CONCATENATE(LEFT(RIGHT(CONCATENATE("000",HH_debt1819!A685),6),3),"-",(RIGHT(RIGHT(CONCATENATE("000",HH_debt1819!A685),6),3)))</f>
        <v>220-906</v>
      </c>
      <c r="C685" s="91">
        <v>31264337</v>
      </c>
    </row>
    <row r="686" spans="1:3" ht="15">
      <c r="A686" t="s">
        <v>3725</v>
      </c>
      <c r="B686" s="722" t="str">
        <f>CONCATENATE(LEFT(RIGHT(CONCATENATE("000",HH_debt1819!A686),6),3),"-",(RIGHT(RIGHT(CONCATENATE("000",HH_debt1819!A686),6),3)))</f>
        <v>220-907</v>
      </c>
      <c r="C686" s="91">
        <v>62229561</v>
      </c>
    </row>
    <row r="687" spans="1:3" ht="15">
      <c r="A687" t="s">
        <v>3726</v>
      </c>
      <c r="B687" s="722" t="str">
        <f>CONCATENATE(LEFT(RIGHT(CONCATENATE("000",HH_debt1819!A687),6),3),"-",(RIGHT(RIGHT(CONCATENATE("000",HH_debt1819!A687),6),3)))</f>
        <v>220-908</v>
      </c>
      <c r="C687" s="91">
        <v>54936094</v>
      </c>
    </row>
    <row r="688" spans="1:3" ht="15">
      <c r="A688" t="s">
        <v>3727</v>
      </c>
      <c r="B688" s="722" t="str">
        <f>CONCATENATE(LEFT(RIGHT(CONCATENATE("000",HH_debt1819!A688),6),3),"-",(RIGHT(RIGHT(CONCATENATE("000",HH_debt1819!A688),6),3)))</f>
        <v>220-910</v>
      </c>
      <c r="C688" s="91">
        <v>3527582</v>
      </c>
    </row>
    <row r="689" spans="1:3" ht="15">
      <c r="A689" t="s">
        <v>3728</v>
      </c>
      <c r="B689" s="722" t="str">
        <f>CONCATENATE(LEFT(RIGHT(CONCATENATE("000",HH_debt1819!A689),6),3),"-",(RIGHT(RIGHT(CONCATENATE("000",HH_debt1819!A689),6),3)))</f>
        <v>220-912</v>
      </c>
      <c r="C689" s="91">
        <v>23545946</v>
      </c>
    </row>
    <row r="690" spans="1:3" ht="15">
      <c r="A690" t="s">
        <v>3729</v>
      </c>
      <c r="B690" s="722" t="str">
        <f>CONCATENATE(LEFT(RIGHT(CONCATENATE("000",HH_debt1819!A690),6),3),"-",(RIGHT(RIGHT(CONCATENATE("000",HH_debt1819!A690),6),3)))</f>
        <v>220-914</v>
      </c>
      <c r="C690" s="91">
        <v>3696298</v>
      </c>
    </row>
    <row r="691" spans="1:3" ht="15">
      <c r="A691" t="s">
        <v>3730</v>
      </c>
      <c r="B691" s="722" t="str">
        <f>CONCATENATE(LEFT(RIGHT(CONCATENATE("000",HH_debt1819!A691),6),3),"-",(RIGHT(RIGHT(CONCATENATE("000",HH_debt1819!A691),6),3)))</f>
        <v>220-915</v>
      </c>
      <c r="C691" s="91">
        <v>3978375</v>
      </c>
    </row>
    <row r="692" spans="1:3" ht="15">
      <c r="A692" t="s">
        <v>3731</v>
      </c>
      <c r="B692" s="722" t="str">
        <f>CONCATENATE(LEFT(RIGHT(CONCATENATE("000",HH_debt1819!A692),6),3),"-",(RIGHT(RIGHT(CONCATENATE("000",HH_debt1819!A692),6),3)))</f>
        <v>220-916</v>
      </c>
      <c r="C692" s="91">
        <v>27054981</v>
      </c>
    </row>
    <row r="693" spans="1:3" ht="15">
      <c r="A693" t="s">
        <v>3732</v>
      </c>
      <c r="B693" s="722" t="str">
        <f>CONCATENATE(LEFT(RIGHT(CONCATENATE("000",HH_debt1819!A693),6),3),"-",(RIGHT(RIGHT(CONCATENATE("000",HH_debt1819!A693),6),3)))</f>
        <v>220-917</v>
      </c>
      <c r="C693" s="91">
        <v>3233115</v>
      </c>
    </row>
    <row r="694" spans="1:3" ht="15">
      <c r="A694" t="s">
        <v>3733</v>
      </c>
      <c r="B694" s="722" t="str">
        <f>CONCATENATE(LEFT(RIGHT(CONCATENATE("000",HH_debt1819!A694),6),3),"-",(RIGHT(RIGHT(CONCATENATE("000",HH_debt1819!A694),6),3)))</f>
        <v>220-918</v>
      </c>
      <c r="C694" s="91">
        <v>35455446</v>
      </c>
    </row>
    <row r="695" spans="1:3" ht="15">
      <c r="A695" t="s">
        <v>5533</v>
      </c>
      <c r="B695" s="722" t="str">
        <f>CONCATENATE(LEFT(RIGHT(CONCATENATE("000",HH_debt1819!A695),6),3),"-",(RIGHT(RIGHT(CONCATENATE("000",HH_debt1819!A695),6),3)))</f>
        <v>220-919</v>
      </c>
      <c r="C695" s="91">
        <v>17290804</v>
      </c>
    </row>
    <row r="696" spans="1:3" ht="15">
      <c r="A696" t="s">
        <v>3734</v>
      </c>
      <c r="B696" s="722" t="str">
        <f>CONCATENATE(LEFT(RIGHT(CONCATENATE("000",HH_debt1819!A696),6),3),"-",(RIGHT(RIGHT(CONCATENATE("000",HH_debt1819!A696),6),3)))</f>
        <v>220-920</v>
      </c>
      <c r="C696" s="91">
        <v>10551943</v>
      </c>
    </row>
    <row r="697" spans="1:3" ht="15">
      <c r="A697" t="s">
        <v>6103</v>
      </c>
      <c r="B697" s="722" t="str">
        <f>CONCATENATE(LEFT(RIGHT(CONCATENATE("000",HH_debt1819!A697),6),3),"-",(RIGHT(RIGHT(CONCATENATE("000",HH_debt1819!A697),6),3)))</f>
        <v>221-901</v>
      </c>
      <c r="C697" s="91">
        <v>9467700</v>
      </c>
    </row>
    <row r="698" spans="1:3" ht="15">
      <c r="A698" t="s">
        <v>6104</v>
      </c>
      <c r="B698" s="722" t="str">
        <f>CONCATENATE(LEFT(RIGHT(CONCATENATE("000",HH_debt1819!A698),6),3),"-",(RIGHT(RIGHT(CONCATENATE("000",HH_debt1819!A698),6),3)))</f>
        <v>221-904</v>
      </c>
      <c r="C698" s="91">
        <v>946806</v>
      </c>
    </row>
    <row r="699" spans="1:3" ht="15">
      <c r="A699" t="s">
        <v>6105</v>
      </c>
      <c r="B699" s="722" t="str">
        <f>CONCATENATE(LEFT(RIGHT(CONCATENATE("000",HH_debt1819!A699),6),3),"-",(RIGHT(RIGHT(CONCATENATE("000",HH_debt1819!A699),6),3)))</f>
        <v>221-905</v>
      </c>
      <c r="C699" s="91">
        <v>500934</v>
      </c>
    </row>
    <row r="700" spans="1:3" ht="15">
      <c r="A700" t="s">
        <v>6106</v>
      </c>
      <c r="B700" s="722" t="str">
        <f>CONCATENATE(LEFT(RIGHT(CONCATENATE("000",HH_debt1819!A700),6),3),"-",(RIGHT(RIGHT(CONCATENATE("000",HH_debt1819!A700),6),3)))</f>
        <v>221-911</v>
      </c>
      <c r="C700" s="91">
        <v>555575</v>
      </c>
    </row>
    <row r="701" spans="1:3" ht="15">
      <c r="A701" t="s">
        <v>6107</v>
      </c>
      <c r="B701" s="722" t="str">
        <f>CONCATENATE(LEFT(RIGHT(CONCATENATE("000",HH_debt1819!A701),6),3),"-",(RIGHT(RIGHT(CONCATENATE("000",HH_debt1819!A701),6),3)))</f>
        <v>221-912</v>
      </c>
      <c r="C701" s="91">
        <v>1681844</v>
      </c>
    </row>
    <row r="702" spans="1:3" ht="15">
      <c r="A702" t="s">
        <v>6108</v>
      </c>
      <c r="B702" s="722" t="str">
        <f>CONCATENATE(LEFT(RIGHT(CONCATENATE("000",HH_debt1819!A702),6),3),"-",(RIGHT(RIGHT(CONCATENATE("000",HH_debt1819!A702),6),3)))</f>
        <v>222-901</v>
      </c>
      <c r="C702" s="91">
        <v>1085157</v>
      </c>
    </row>
    <row r="703" spans="1:3" ht="15">
      <c r="A703" t="s">
        <v>6109</v>
      </c>
      <c r="B703" s="722" t="str">
        <f>CONCATENATE(LEFT(RIGHT(CONCATENATE("000",HH_debt1819!A703),6),3),"-",(RIGHT(RIGHT(CONCATENATE("000",HH_debt1819!A703),6),3)))</f>
        <v>223-901</v>
      </c>
      <c r="C703" s="91">
        <v>805642</v>
      </c>
    </row>
    <row r="704" spans="1:3" ht="15">
      <c r="A704" t="s">
        <v>3735</v>
      </c>
      <c r="B704" s="722" t="str">
        <f>CONCATENATE(LEFT(RIGHT(CONCATENATE("000",HH_debt1819!A704),6),3),"-",(RIGHT(RIGHT(CONCATENATE("000",HH_debt1819!A704),6),3)))</f>
        <v>223-902</v>
      </c>
      <c r="C704" s="91">
        <v>89850</v>
      </c>
    </row>
    <row r="705" spans="1:3" ht="15">
      <c r="A705" t="s">
        <v>6110</v>
      </c>
      <c r="B705" s="722" t="str">
        <f>CONCATENATE(LEFT(RIGHT(CONCATENATE("000",HH_debt1819!A705),6),3),"-",(RIGHT(RIGHT(CONCATENATE("000",HH_debt1819!A705),6),3)))</f>
        <v>223-904</v>
      </c>
      <c r="C705" s="91">
        <v>1041956</v>
      </c>
    </row>
    <row r="706" spans="1:3" ht="15">
      <c r="A706" t="s">
        <v>6111</v>
      </c>
      <c r="B706" s="722" t="str">
        <f>CONCATENATE(LEFT(RIGHT(CONCATENATE("000",HH_debt1819!A706),6),3),"-",(RIGHT(RIGHT(CONCATENATE("000",HH_debt1819!A706),6),3)))</f>
        <v>225-902</v>
      </c>
      <c r="C706" s="91">
        <v>2932391</v>
      </c>
    </row>
    <row r="707" spans="1:3" ht="15">
      <c r="A707" t="s">
        <v>3736</v>
      </c>
      <c r="B707" s="722" t="str">
        <f>CONCATENATE(LEFT(RIGHT(CONCATENATE("000",HH_debt1819!A707),6),3),"-",(RIGHT(RIGHT(CONCATENATE("000",HH_debt1819!A707),6),3)))</f>
        <v>225-906</v>
      </c>
      <c r="C707" s="91">
        <v>715861</v>
      </c>
    </row>
    <row r="708" spans="1:3" ht="15">
      <c r="A708" t="s">
        <v>6112</v>
      </c>
      <c r="B708" s="722" t="str">
        <f>CONCATENATE(LEFT(RIGHT(CONCATENATE("000",HH_debt1819!A708),6),3),"-",(RIGHT(RIGHT(CONCATENATE("000",HH_debt1819!A708),6),3)))</f>
        <v>226-901</v>
      </c>
      <c r="C708" s="91">
        <v>98600</v>
      </c>
    </row>
    <row r="709" spans="1:3" ht="15">
      <c r="A709" t="s">
        <v>3737</v>
      </c>
      <c r="B709" s="722" t="str">
        <f>CONCATENATE(LEFT(RIGHT(CONCATENATE("000",HH_debt1819!A709),6),3),"-",(RIGHT(RIGHT(CONCATENATE("000",HH_debt1819!A709),6),3)))</f>
        <v>226-903</v>
      </c>
      <c r="C709" s="91">
        <v>9131875</v>
      </c>
    </row>
    <row r="710" spans="1:3" ht="15">
      <c r="A710" t="s">
        <v>6113</v>
      </c>
      <c r="B710" s="722" t="str">
        <f>CONCATENATE(LEFT(RIGHT(CONCATENATE("000",HH_debt1819!A710),6),3),"-",(RIGHT(RIGHT(CONCATENATE("000",HH_debt1819!A710),6),3)))</f>
        <v>226-905</v>
      </c>
      <c r="C710" s="91">
        <v>225697</v>
      </c>
    </row>
    <row r="711" spans="1:3" ht="15">
      <c r="A711" t="s">
        <v>3739</v>
      </c>
      <c r="B711" s="722" t="str">
        <f>CONCATENATE(LEFT(RIGHT(CONCATENATE("000",HH_debt1819!A711),6),3),"-",(RIGHT(RIGHT(CONCATENATE("000",HH_debt1819!A711),6),3)))</f>
        <v>226-907</v>
      </c>
      <c r="C711" s="91">
        <v>651462</v>
      </c>
    </row>
    <row r="712" spans="1:3" ht="15">
      <c r="A712" t="s">
        <v>3740</v>
      </c>
      <c r="B712" s="722" t="str">
        <f>CONCATENATE(LEFT(RIGHT(CONCATENATE("000",HH_debt1819!A712),6),3),"-",(RIGHT(RIGHT(CONCATENATE("000",HH_debt1819!A712),6),3)))</f>
        <v>226-908</v>
      </c>
      <c r="C712" s="91">
        <v>102100</v>
      </c>
    </row>
    <row r="713" spans="1:3" ht="15">
      <c r="A713" t="s">
        <v>6114</v>
      </c>
      <c r="B713" s="722" t="str">
        <f>CONCATENATE(LEFT(RIGHT(CONCATENATE("000",HH_debt1819!A713),6),3),"-",(RIGHT(RIGHT(CONCATENATE("000",HH_debt1819!A713),6),3)))</f>
        <v>227-901</v>
      </c>
      <c r="C713" s="91">
        <v>53087750</v>
      </c>
    </row>
    <row r="714" spans="1:3" ht="15">
      <c r="A714" t="s">
        <v>3741</v>
      </c>
      <c r="B714" s="722" t="str">
        <f>CONCATENATE(LEFT(RIGHT(CONCATENATE("000",HH_debt1819!A714),6),3),"-",(RIGHT(RIGHT(CONCATENATE("000",HH_debt1819!A714),6),3)))</f>
        <v>227-904</v>
      </c>
      <c r="C714" s="91">
        <v>40417551</v>
      </c>
    </row>
    <row r="715" spans="1:3" ht="15">
      <c r="A715" t="s">
        <v>6115</v>
      </c>
      <c r="B715" s="722" t="str">
        <f>CONCATENATE(LEFT(RIGHT(CONCATENATE("000",HH_debt1819!A715),6),3),"-",(RIGHT(RIGHT(CONCATENATE("000",HH_debt1819!A715),6),3)))</f>
        <v>227-907</v>
      </c>
      <c r="C715" s="91">
        <v>19174707</v>
      </c>
    </row>
    <row r="716" spans="1:3" ht="15">
      <c r="A716" t="s">
        <v>6116</v>
      </c>
      <c r="B716" s="722" t="str">
        <f>CONCATENATE(LEFT(RIGHT(CONCATENATE("000",HH_debt1819!A716),6),3),"-",(RIGHT(RIGHT(CONCATENATE("000",HH_debt1819!A716),6),3)))</f>
        <v>227-909</v>
      </c>
      <c r="C716" s="91">
        <v>19895162</v>
      </c>
    </row>
    <row r="717" spans="1:3" ht="15">
      <c r="A717" t="s">
        <v>3742</v>
      </c>
      <c r="B717" s="722" t="str">
        <f>CONCATENATE(LEFT(RIGHT(CONCATENATE("000",HH_debt1819!A717),6),3),"-",(RIGHT(RIGHT(CONCATENATE("000",HH_debt1819!A717),6),3)))</f>
        <v>227-910</v>
      </c>
      <c r="C717" s="91">
        <v>13939919</v>
      </c>
    </row>
    <row r="718" spans="1:3" ht="15">
      <c r="A718" t="s">
        <v>6117</v>
      </c>
      <c r="B718" s="722" t="str">
        <f>CONCATENATE(LEFT(RIGHT(CONCATENATE("000",HH_debt1819!A718),6),3),"-",(RIGHT(RIGHT(CONCATENATE("000",HH_debt1819!A718),6),3)))</f>
        <v>227-912</v>
      </c>
      <c r="C718" s="91">
        <v>3289688</v>
      </c>
    </row>
    <row r="719" spans="1:3" ht="15">
      <c r="A719" t="s">
        <v>6118</v>
      </c>
      <c r="B719" s="722" t="str">
        <f>CONCATENATE(LEFT(RIGHT(CONCATENATE("000",HH_debt1819!A719),6),3),"-",(RIGHT(RIGHT(CONCATENATE("000",HH_debt1819!A719),6),3)))</f>
        <v>227-913</v>
      </c>
      <c r="C719" s="91">
        <v>22771876</v>
      </c>
    </row>
    <row r="720" spans="1:3" ht="15">
      <c r="A720" t="s">
        <v>6119</v>
      </c>
      <c r="B720" s="722" t="str">
        <f>CONCATENATE(LEFT(RIGHT(CONCATENATE("000",HH_debt1819!A720),6),3),"-",(RIGHT(RIGHT(CONCATENATE("000",HH_debt1819!A720),6),3)))</f>
        <v>228-903</v>
      </c>
      <c r="C720" s="91">
        <v>348200</v>
      </c>
    </row>
    <row r="721" spans="1:3" ht="15">
      <c r="A721" t="s">
        <v>5567</v>
      </c>
      <c r="B721" s="722" t="str">
        <f>CONCATENATE(LEFT(RIGHT(CONCATENATE("000",HH_debt1819!A721),6),3),"-",(RIGHT(RIGHT(CONCATENATE("000",HH_debt1819!A721),6),3)))</f>
        <v>229-901</v>
      </c>
      <c r="C721" s="91">
        <v>99900</v>
      </c>
    </row>
    <row r="722" spans="1:3" ht="15">
      <c r="A722" t="s">
        <v>6120</v>
      </c>
      <c r="B722" s="722" t="str">
        <f>CONCATENATE(LEFT(RIGHT(CONCATENATE("000",HH_debt1819!A722),6),3),"-",(RIGHT(RIGHT(CONCATENATE("000",HH_debt1819!A722),6),3)))</f>
        <v>229-903</v>
      </c>
      <c r="C722" s="91">
        <v>610500</v>
      </c>
    </row>
    <row r="723" spans="1:3" ht="15">
      <c r="A723" t="s">
        <v>3743</v>
      </c>
      <c r="B723" s="722" t="str">
        <f>CONCATENATE(LEFT(RIGHT(CONCATENATE("000",HH_debt1819!A723),6),3),"-",(RIGHT(RIGHT(CONCATENATE("000",HH_debt1819!A723),6),3)))</f>
        <v>229-904</v>
      </c>
      <c r="C723" s="91">
        <v>1494249</v>
      </c>
    </row>
    <row r="724" spans="1:3" ht="15">
      <c r="A724" t="s">
        <v>3744</v>
      </c>
      <c r="B724" s="722" t="str">
        <f>CONCATENATE(LEFT(RIGHT(CONCATENATE("000",HH_debt1819!A724),6),3),"-",(RIGHT(RIGHT(CONCATENATE("000",HH_debt1819!A724),6),3)))</f>
        <v>229-905</v>
      </c>
      <c r="C724" s="91">
        <v>201356</v>
      </c>
    </row>
    <row r="725" spans="1:3" ht="15">
      <c r="A725" t="s">
        <v>6121</v>
      </c>
      <c r="B725" s="722" t="str">
        <f>CONCATENATE(LEFT(RIGHT(CONCATENATE("000",HH_debt1819!A725),6),3),"-",(RIGHT(RIGHT(CONCATENATE("000",HH_debt1819!A725),6),3)))</f>
        <v>230-901</v>
      </c>
      <c r="C725" s="91">
        <v>569346</v>
      </c>
    </row>
    <row r="726" spans="1:3" ht="15">
      <c r="A726" t="s">
        <v>6122</v>
      </c>
      <c r="B726" s="722" t="str">
        <f>CONCATENATE(LEFT(RIGHT(CONCATENATE("000",HH_debt1819!A726),6),3),"-",(RIGHT(RIGHT(CONCATENATE("000",HH_debt1819!A726),6),3)))</f>
        <v>230-902</v>
      </c>
      <c r="C726" s="91">
        <v>1199288</v>
      </c>
    </row>
    <row r="727" spans="1:3" ht="15">
      <c r="A727" t="s">
        <v>3746</v>
      </c>
      <c r="B727" s="722" t="str">
        <f>CONCATENATE(LEFT(RIGHT(CONCATENATE("000",HH_debt1819!A727),6),3),"-",(RIGHT(RIGHT(CONCATENATE("000",HH_debt1819!A727),6),3)))</f>
        <v>230-903</v>
      </c>
      <c r="C727" s="91">
        <v>651381</v>
      </c>
    </row>
    <row r="728" spans="1:3" ht="15">
      <c r="A728" t="s">
        <v>3747</v>
      </c>
      <c r="B728" s="722" t="str">
        <f>CONCATENATE(LEFT(RIGHT(CONCATENATE("000",HH_debt1819!A728),6),3),"-",(RIGHT(RIGHT(CONCATENATE("000",HH_debt1819!A728),6),3)))</f>
        <v>230-905</v>
      </c>
      <c r="C728" s="91">
        <v>244422</v>
      </c>
    </row>
    <row r="729" spans="1:3" ht="15">
      <c r="A729" t="s">
        <v>3748</v>
      </c>
      <c r="B729" s="722" t="str">
        <f>CONCATENATE(LEFT(RIGHT(CONCATENATE("000",HH_debt1819!A729),6),3),"-",(RIGHT(RIGHT(CONCATENATE("000",HH_debt1819!A729),6),3)))</f>
        <v>230-906</v>
      </c>
      <c r="C729" s="91">
        <v>270302</v>
      </c>
    </row>
    <row r="730" spans="1:3" ht="15">
      <c r="A730" t="s">
        <v>6123</v>
      </c>
      <c r="B730" s="722" t="str">
        <f>CONCATENATE(LEFT(RIGHT(CONCATENATE("000",HH_debt1819!A730),6),3),"-",(RIGHT(RIGHT(CONCATENATE("000",HH_debt1819!A730),6),3)))</f>
        <v>230-908</v>
      </c>
      <c r="C730" s="91">
        <v>856987</v>
      </c>
    </row>
    <row r="731" spans="1:3" ht="15">
      <c r="A731" t="s">
        <v>6124</v>
      </c>
      <c r="B731" s="722" t="str">
        <f>CONCATENATE(LEFT(RIGHT(CONCATENATE("000",HH_debt1819!A731),6),3),"-",(RIGHT(RIGHT(CONCATENATE("000",HH_debt1819!A731),6),3)))</f>
        <v>231-902</v>
      </c>
      <c r="C731" s="91">
        <v>2272635</v>
      </c>
    </row>
    <row r="732" spans="1:3" ht="15">
      <c r="A732" t="s">
        <v>3749</v>
      </c>
      <c r="B732" s="722" t="str">
        <f>CONCATENATE(LEFT(RIGHT(CONCATENATE("000",HH_debt1819!A732),6),3),"-",(RIGHT(RIGHT(CONCATENATE("000",HH_debt1819!A732),6),3)))</f>
        <v>232-901</v>
      </c>
      <c r="C732" s="91">
        <v>236656</v>
      </c>
    </row>
    <row r="733" spans="1:3" ht="15">
      <c r="A733" t="s">
        <v>3750</v>
      </c>
      <c r="B733" s="722" t="str">
        <f>CONCATENATE(LEFT(RIGHT(CONCATENATE("000",HH_debt1819!A733),6),3),"-",(RIGHT(RIGHT(CONCATENATE("000",HH_debt1819!A733),6),3)))</f>
        <v>232-902</v>
      </c>
      <c r="C733" s="91">
        <v>117182</v>
      </c>
    </row>
    <row r="734" spans="1:3" ht="15">
      <c r="A734" t="s">
        <v>3751</v>
      </c>
      <c r="B734" s="722" t="str">
        <f>CONCATENATE(LEFT(RIGHT(CONCATENATE("000",HH_debt1819!A734),6),3),"-",(RIGHT(RIGHT(CONCATENATE("000",HH_debt1819!A734),6),3)))</f>
        <v>232-903</v>
      </c>
      <c r="C734" s="91">
        <v>2633600</v>
      </c>
    </row>
    <row r="735" spans="1:3" ht="15">
      <c r="A735" t="s">
        <v>3752</v>
      </c>
      <c r="B735" s="722" t="str">
        <f>CONCATENATE(LEFT(RIGHT(CONCATENATE("000",HH_debt1819!A735),6),3),"-",(RIGHT(RIGHT(CONCATENATE("000",HH_debt1819!A735),6),3)))</f>
        <v>233-901</v>
      </c>
      <c r="C735" s="91">
        <v>4182579</v>
      </c>
    </row>
    <row r="736" spans="1:3" ht="15">
      <c r="A736" t="s">
        <v>6125</v>
      </c>
      <c r="B736" s="722" t="str">
        <f>CONCATENATE(LEFT(RIGHT(CONCATENATE("000",HH_debt1819!A736),6),3),"-",(RIGHT(RIGHT(CONCATENATE("000",HH_debt1819!A736),6),3)))</f>
        <v>233-903</v>
      </c>
      <c r="C736" s="91">
        <v>274012</v>
      </c>
    </row>
    <row r="737" spans="1:3" ht="15">
      <c r="A737" t="s">
        <v>3753</v>
      </c>
      <c r="B737" s="722" t="str">
        <f>CONCATENATE(LEFT(RIGHT(CONCATENATE("000",HH_debt1819!A737),6),3),"-",(RIGHT(RIGHT(CONCATENATE("000",HH_debt1819!A737),6),3)))</f>
        <v>234-902</v>
      </c>
      <c r="C737" s="91">
        <v>2720274</v>
      </c>
    </row>
    <row r="738" spans="1:3" ht="15">
      <c r="A738" t="s">
        <v>6126</v>
      </c>
      <c r="B738" s="722" t="str">
        <f>CONCATENATE(LEFT(RIGHT(CONCATENATE("000",HH_debt1819!A738),6),3),"-",(RIGHT(RIGHT(CONCATENATE("000",HH_debt1819!A738),6),3)))</f>
        <v>234-903</v>
      </c>
      <c r="C738" s="91">
        <v>522875</v>
      </c>
    </row>
    <row r="739" spans="1:3" ht="15">
      <c r="A739" t="s">
        <v>3754</v>
      </c>
      <c r="B739" s="722" t="str">
        <f>CONCATENATE(LEFT(RIGHT(CONCATENATE("000",HH_debt1819!A739),6),3),"-",(RIGHT(RIGHT(CONCATENATE("000",HH_debt1819!A739),6),3)))</f>
        <v>234-904</v>
      </c>
      <c r="C739" s="91">
        <v>916236</v>
      </c>
    </row>
    <row r="740" spans="1:3" ht="15">
      <c r="A740" t="s">
        <v>3755</v>
      </c>
      <c r="B740" s="722" t="str">
        <f>CONCATENATE(LEFT(RIGHT(CONCATENATE("000",HH_debt1819!A740),6),3),"-",(RIGHT(RIGHT(CONCATENATE("000",HH_debt1819!A740),6),3)))</f>
        <v>234-905</v>
      </c>
      <c r="C740" s="91">
        <v>234411</v>
      </c>
    </row>
    <row r="741" spans="1:3" ht="15">
      <c r="A741" t="s">
        <v>3756</v>
      </c>
      <c r="B741" s="722" t="str">
        <f>CONCATENATE(LEFT(RIGHT(CONCATENATE("000",HH_debt1819!A741),6),3),"-",(RIGHT(RIGHT(CONCATENATE("000",HH_debt1819!A741),6),3)))</f>
        <v>234-906</v>
      </c>
      <c r="C741" s="91">
        <v>2287418</v>
      </c>
    </row>
    <row r="742" spans="1:3" ht="15">
      <c r="A742" t="s">
        <v>3757</v>
      </c>
      <c r="B742" s="722" t="str">
        <f>CONCATENATE(LEFT(RIGHT(CONCATENATE("000",HH_debt1819!A742),6),3),"-",(RIGHT(RIGHT(CONCATENATE("000",HH_debt1819!A742),6),3)))</f>
        <v>234-909</v>
      </c>
      <c r="C742" s="91">
        <v>91450</v>
      </c>
    </row>
    <row r="743" spans="1:3" ht="15">
      <c r="A743" t="s">
        <v>3758</v>
      </c>
      <c r="B743" s="722" t="str">
        <f>CONCATENATE(LEFT(RIGHT(CONCATENATE("000",HH_debt1819!A743),6),3),"-",(RIGHT(RIGHT(CONCATENATE("000",HH_debt1819!A743),6),3)))</f>
        <v>235-901</v>
      </c>
      <c r="C743" s="91">
        <v>959192</v>
      </c>
    </row>
    <row r="744" spans="1:3" ht="15">
      <c r="A744" t="s">
        <v>3759</v>
      </c>
      <c r="B744" s="722" t="str">
        <f>CONCATENATE(LEFT(RIGHT(CONCATENATE("000",HH_debt1819!A744),6),3),"-",(RIGHT(RIGHT(CONCATENATE("000",HH_debt1819!A744),6),3)))</f>
        <v>235-902</v>
      </c>
      <c r="C744" s="91">
        <v>12367475</v>
      </c>
    </row>
    <row r="745" spans="1:3" ht="15">
      <c r="A745" t="s">
        <v>6128</v>
      </c>
      <c r="B745" s="722" t="str">
        <f>CONCATENATE(LEFT(RIGHT(CONCATENATE("000",HH_debt1819!A745),6),3),"-",(RIGHT(RIGHT(CONCATENATE("000",HH_debt1819!A745),6),3)))</f>
        <v>235-904</v>
      </c>
      <c r="C745" s="91">
        <v>227800</v>
      </c>
    </row>
    <row r="746" spans="1:3" ht="15">
      <c r="A746" t="s">
        <v>3760</v>
      </c>
      <c r="B746" s="722" t="str">
        <f>CONCATENATE(LEFT(RIGHT(CONCATENATE("000",HH_debt1819!A746),6),3),"-",(RIGHT(RIGHT(CONCATENATE("000",HH_debt1819!A746),6),3)))</f>
        <v>236-901</v>
      </c>
      <c r="C746" s="91">
        <v>441500</v>
      </c>
    </row>
    <row r="747" spans="1:3" ht="15">
      <c r="A747" t="s">
        <v>3761</v>
      </c>
      <c r="B747" s="722" t="str">
        <f>CONCATENATE(LEFT(RIGHT(CONCATENATE("000",HH_debt1819!A747),6),3),"-",(RIGHT(RIGHT(CONCATENATE("000",HH_debt1819!A747),6),3)))</f>
        <v>236-902</v>
      </c>
      <c r="C747" s="91">
        <v>2550009</v>
      </c>
    </row>
    <row r="748" spans="1:3" ht="15">
      <c r="A748" t="s">
        <v>3762</v>
      </c>
      <c r="B748" s="722" t="str">
        <f>CONCATENATE(LEFT(RIGHT(CONCATENATE("000",HH_debt1819!A748),6),3),"-",(RIGHT(RIGHT(CONCATENATE("000",HH_debt1819!A748),6),3)))</f>
        <v>237-902</v>
      </c>
      <c r="C748" s="91">
        <v>1504659</v>
      </c>
    </row>
    <row r="749" spans="1:3" ht="15">
      <c r="A749" t="s">
        <v>3763</v>
      </c>
      <c r="B749" s="722" t="str">
        <f>CONCATENATE(LEFT(RIGHT(CONCATENATE("000",HH_debt1819!A749),6),3),"-",(RIGHT(RIGHT(CONCATENATE("000",HH_debt1819!A749),6),3)))</f>
        <v>237-904</v>
      </c>
      <c r="C749" s="91">
        <v>7099875</v>
      </c>
    </row>
    <row r="750" spans="1:3" ht="15">
      <c r="A750" t="s">
        <v>3764</v>
      </c>
      <c r="B750" s="722" t="str">
        <f>CONCATENATE(LEFT(RIGHT(CONCATENATE("000",HH_debt1819!A750),6),3),"-",(RIGHT(RIGHT(CONCATENATE("000",HH_debt1819!A750),6),3)))</f>
        <v>237-905</v>
      </c>
      <c r="C750" s="91">
        <v>5053631</v>
      </c>
    </row>
    <row r="751" spans="1:3" ht="15">
      <c r="A751" t="s">
        <v>6129</v>
      </c>
      <c r="B751" s="722" t="str">
        <f>CONCATENATE(LEFT(RIGHT(CONCATENATE("000",HH_debt1819!A751),6),3),"-",(RIGHT(RIGHT(CONCATENATE("000",HH_debt1819!A751),6),3)))</f>
        <v>238-902</v>
      </c>
      <c r="C751" s="91">
        <v>2178429</v>
      </c>
    </row>
    <row r="752" spans="1:3" ht="15">
      <c r="A752" t="s">
        <v>6130</v>
      </c>
      <c r="B752" s="722" t="str">
        <f>CONCATENATE(LEFT(RIGHT(CONCATENATE("000",HH_debt1819!A752),6),3),"-",(RIGHT(RIGHT(CONCATENATE("000",HH_debt1819!A752),6),3)))</f>
        <v>239-901</v>
      </c>
      <c r="C752" s="91">
        <v>2343514</v>
      </c>
    </row>
    <row r="753" spans="1:3" ht="15">
      <c r="A753" t="s">
        <v>6131</v>
      </c>
      <c r="B753" s="722" t="str">
        <f>CONCATENATE(LEFT(RIGHT(CONCATENATE("000",HH_debt1819!A753),6),3),"-",(RIGHT(RIGHT(CONCATENATE("000",HH_debt1819!A753),6),3)))</f>
        <v>239-903</v>
      </c>
      <c r="C753" s="91">
        <v>305244</v>
      </c>
    </row>
    <row r="754" spans="1:3" ht="15">
      <c r="A754" t="s">
        <v>3765</v>
      </c>
      <c r="B754" s="722" t="str">
        <f>CONCATENATE(LEFT(RIGHT(CONCATENATE("000",HH_debt1819!A754),6),3),"-",(RIGHT(RIGHT(CONCATENATE("000",HH_debt1819!A754),6),3)))</f>
        <v>240-901</v>
      </c>
      <c r="C754" s="91">
        <v>26929462</v>
      </c>
    </row>
    <row r="755" spans="1:3" ht="15">
      <c r="A755" t="s">
        <v>3766</v>
      </c>
      <c r="B755" s="722" t="str">
        <f>CONCATENATE(LEFT(RIGHT(CONCATENATE("000",HH_debt1819!A755),6),3),"-",(RIGHT(RIGHT(CONCATENATE("000",HH_debt1819!A755),6),3)))</f>
        <v>240-903</v>
      </c>
      <c r="C755" s="91">
        <v>30228487</v>
      </c>
    </row>
    <row r="756" spans="1:3" ht="15">
      <c r="A756" t="s">
        <v>6133</v>
      </c>
      <c r="B756" s="722" t="str">
        <f>CONCATENATE(LEFT(RIGHT(CONCATENATE("000",HH_debt1819!A756),6),3),"-",(RIGHT(RIGHT(CONCATENATE("000",HH_debt1819!A756),6),3)))</f>
        <v>241-902</v>
      </c>
      <c r="C756" s="91">
        <v>211750</v>
      </c>
    </row>
    <row r="757" spans="1:3" ht="15">
      <c r="A757" t="s">
        <v>6134</v>
      </c>
      <c r="B757" s="722" t="str">
        <f>CONCATENATE(LEFT(RIGHT(CONCATENATE("000",HH_debt1819!A757),6),3),"-",(RIGHT(RIGHT(CONCATENATE("000",HH_debt1819!A757),6),3)))</f>
        <v>241-903</v>
      </c>
      <c r="C757" s="91">
        <v>2054666</v>
      </c>
    </row>
    <row r="758" spans="1:3" ht="15">
      <c r="A758" t="s">
        <v>6135</v>
      </c>
      <c r="B758" s="722" t="str">
        <f>CONCATENATE(LEFT(RIGHT(CONCATENATE("000",HH_debt1819!A758),6),3),"-",(RIGHT(RIGHT(CONCATENATE("000",HH_debt1819!A758),6),3)))</f>
        <v>241-904</v>
      </c>
      <c r="C758" s="91">
        <v>1487165</v>
      </c>
    </row>
    <row r="759" spans="1:3" ht="15">
      <c r="A759" t="s">
        <v>6137</v>
      </c>
      <c r="B759" s="722" t="str">
        <f>CONCATENATE(LEFT(RIGHT(CONCATENATE("000",HH_debt1819!A759),6),3),"-",(RIGHT(RIGHT(CONCATENATE("000",HH_debt1819!A759),6),3)))</f>
        <v>242-903</v>
      </c>
      <c r="C759" s="91">
        <v>378000</v>
      </c>
    </row>
    <row r="760" spans="1:3" ht="15">
      <c r="A760" t="s">
        <v>6139</v>
      </c>
      <c r="B760" s="722" t="str">
        <f>CONCATENATE(LEFT(RIGHT(CONCATENATE("000",HH_debt1819!A760),6),3),"-",(RIGHT(RIGHT(CONCATENATE("000",HH_debt1819!A760),6),3)))</f>
        <v>243-902</v>
      </c>
      <c r="C760" s="91">
        <v>665581</v>
      </c>
    </row>
    <row r="761" spans="1:3" ht="15">
      <c r="A761" t="s">
        <v>6140</v>
      </c>
      <c r="B761" s="722" t="str">
        <f>CONCATENATE(LEFT(RIGHT(CONCATENATE("000",HH_debt1819!A761),6),3),"-",(RIGHT(RIGHT(CONCATENATE("000",HH_debt1819!A761),6),3)))</f>
        <v>243-903</v>
      </c>
      <c r="C761" s="91">
        <v>1384700</v>
      </c>
    </row>
    <row r="762" spans="1:3" ht="15">
      <c r="A762" t="s">
        <v>3768</v>
      </c>
      <c r="B762" s="722" t="str">
        <f>CONCATENATE(LEFT(RIGHT(CONCATENATE("000",HH_debt1819!A762),6),3),"-",(RIGHT(RIGHT(CONCATENATE("000",HH_debt1819!A762),6),3)))</f>
        <v>243-905</v>
      </c>
      <c r="C762" s="91">
        <v>8404025</v>
      </c>
    </row>
    <row r="763" spans="1:3" ht="15">
      <c r="A763" t="s">
        <v>3769</v>
      </c>
      <c r="B763" s="722" t="str">
        <f>CONCATENATE(LEFT(RIGHT(CONCATENATE("000",HH_debt1819!A763),6),3),"-",(RIGHT(RIGHT(CONCATENATE("000",HH_debt1819!A763),6),3)))</f>
        <v>243-906</v>
      </c>
      <c r="C763" s="91">
        <v>720000</v>
      </c>
    </row>
    <row r="764" spans="1:3" ht="15">
      <c r="A764" t="s">
        <v>6141</v>
      </c>
      <c r="B764" s="722" t="str">
        <f>CONCATENATE(LEFT(RIGHT(CONCATENATE("000",HH_debt1819!A764),6),3),"-",(RIGHT(RIGHT(CONCATENATE("000",HH_debt1819!A764),6),3)))</f>
        <v>244-903</v>
      </c>
      <c r="C764" s="91">
        <v>765000</v>
      </c>
    </row>
    <row r="765" spans="1:3" ht="15">
      <c r="A765" t="s">
        <v>3770</v>
      </c>
      <c r="B765" s="722" t="str">
        <f>CONCATENATE(LEFT(RIGHT(CONCATENATE("000",HH_debt1819!A765),6),3),"-",(RIGHT(RIGHT(CONCATENATE("000",HH_debt1819!A765),6),3)))</f>
        <v>244-905</v>
      </c>
      <c r="C765" s="91">
        <v>133637</v>
      </c>
    </row>
    <row r="766" spans="1:3" ht="15">
      <c r="A766" t="s">
        <v>3771</v>
      </c>
      <c r="B766" s="722" t="str">
        <f>CONCATENATE(LEFT(RIGHT(CONCATENATE("000",HH_debt1819!A766),6),3),"-",(RIGHT(RIGHT(CONCATENATE("000",HH_debt1819!A766),6),3)))</f>
        <v>245-901</v>
      </c>
      <c r="C766" s="91">
        <v>519289</v>
      </c>
    </row>
    <row r="767" spans="1:3" ht="15">
      <c r="A767" t="s">
        <v>3772</v>
      </c>
      <c r="B767" s="722" t="str">
        <f>CONCATENATE(LEFT(RIGHT(CONCATENATE("000",HH_debt1819!A767),6),3),"-",(RIGHT(RIGHT(CONCATENATE("000",HH_debt1819!A767),6),3)))</f>
        <v>245-902</v>
      </c>
      <c r="C767" s="91">
        <v>863054</v>
      </c>
    </row>
    <row r="768" spans="1:3" ht="15">
      <c r="A768" t="s">
        <v>3773</v>
      </c>
      <c r="B768" s="722" t="str">
        <f>CONCATENATE(LEFT(RIGHT(CONCATENATE("000",HH_debt1819!A768),6),3),"-",(RIGHT(RIGHT(CONCATENATE("000",HH_debt1819!A768),6),3)))</f>
        <v>245-903</v>
      </c>
      <c r="C768" s="91">
        <v>1779579</v>
      </c>
    </row>
    <row r="769" spans="1:3" ht="15">
      <c r="A769" t="s">
        <v>3774</v>
      </c>
      <c r="B769" s="722" t="str">
        <f>CONCATENATE(LEFT(RIGHT(CONCATENATE("000",HH_debt1819!A769),6),3),"-",(RIGHT(RIGHT(CONCATENATE("000",HH_debt1819!A769),6),3)))</f>
        <v>245-904</v>
      </c>
      <c r="C769" s="91">
        <v>275588</v>
      </c>
    </row>
    <row r="770" spans="1:3" ht="15">
      <c r="A770" t="s">
        <v>3775</v>
      </c>
      <c r="B770" s="722" t="str">
        <f>CONCATENATE(LEFT(RIGHT(CONCATENATE("000",HH_debt1819!A770),6),3),"-",(RIGHT(RIGHT(CONCATENATE("000",HH_debt1819!A770),6),3)))</f>
        <v>246-902</v>
      </c>
      <c r="C770" s="91">
        <v>735923</v>
      </c>
    </row>
    <row r="771" spans="1:3" ht="15">
      <c r="A771" t="s">
        <v>3776</v>
      </c>
      <c r="B771" s="722" t="str">
        <f>CONCATENATE(LEFT(RIGHT(CONCATENATE("000",HH_debt1819!A771),6),3),"-",(RIGHT(RIGHT(CONCATENATE("000",HH_debt1819!A771),6),3)))</f>
        <v>246-904</v>
      </c>
      <c r="C771" s="91">
        <v>17183837</v>
      </c>
    </row>
    <row r="772" spans="1:3" ht="15">
      <c r="A772" t="s">
        <v>3777</v>
      </c>
      <c r="B772" s="722" t="str">
        <f>CONCATENATE(LEFT(RIGHT(CONCATENATE("000",HH_debt1819!A772),6),3),"-",(RIGHT(RIGHT(CONCATENATE("000",HH_debt1819!A772),6),3)))</f>
        <v>246-905</v>
      </c>
      <c r="C772" s="91">
        <v>98938</v>
      </c>
    </row>
    <row r="773" spans="1:3" ht="15">
      <c r="A773" t="s">
        <v>3778</v>
      </c>
      <c r="B773" s="722" t="str">
        <f>CONCATENATE(LEFT(RIGHT(CONCATENATE("000",HH_debt1819!A773),6),3),"-",(RIGHT(RIGHT(CONCATENATE("000",HH_debt1819!A773),6),3)))</f>
        <v>246-906</v>
      </c>
      <c r="C773" s="91">
        <v>11489568</v>
      </c>
    </row>
    <row r="774" spans="1:3" ht="15">
      <c r="A774" t="s">
        <v>6142</v>
      </c>
      <c r="B774" s="722" t="str">
        <f>CONCATENATE(LEFT(RIGHT(CONCATENATE("000",HH_debt1819!A774),6),3),"-",(RIGHT(RIGHT(CONCATENATE("000",HH_debt1819!A774),6),3)))</f>
        <v>246-907</v>
      </c>
      <c r="C774" s="91">
        <v>3215987</v>
      </c>
    </row>
    <row r="775" spans="1:3" ht="15">
      <c r="A775" t="s">
        <v>3779</v>
      </c>
      <c r="B775" s="722" t="str">
        <f>CONCATENATE(LEFT(RIGHT(CONCATENATE("000",HH_debt1819!A775),6),3),"-",(RIGHT(RIGHT(CONCATENATE("000",HH_debt1819!A775),6),3)))</f>
        <v>246-908</v>
      </c>
      <c r="C775" s="91">
        <v>8714750</v>
      </c>
    </row>
    <row r="776" spans="1:3" ht="15">
      <c r="A776" t="s">
        <v>5691</v>
      </c>
      <c r="B776" s="722" t="str">
        <f>CONCATENATE(LEFT(RIGHT(CONCATENATE("000",HH_debt1819!A776),6),3),"-",(RIGHT(RIGHT(CONCATENATE("000",HH_debt1819!A776),6),3)))</f>
        <v>246-909</v>
      </c>
      <c r="C776" s="91">
        <v>51605569</v>
      </c>
    </row>
    <row r="777" spans="1:3" ht="15">
      <c r="A777" t="s">
        <v>3780</v>
      </c>
      <c r="B777" s="722" t="str">
        <f>CONCATENATE(LEFT(RIGHT(CONCATENATE("000",HH_debt1819!A777),6),3),"-",(RIGHT(RIGHT(CONCATENATE("000",HH_debt1819!A777),6),3)))</f>
        <v>246-911</v>
      </c>
      <c r="C777" s="91">
        <v>3848249</v>
      </c>
    </row>
    <row r="778" spans="1:3" ht="15">
      <c r="A778" t="s">
        <v>3781</v>
      </c>
      <c r="B778" s="722" t="str">
        <f>CONCATENATE(LEFT(RIGHT(CONCATENATE("000",HH_debt1819!A778),6),3),"-",(RIGHT(RIGHT(CONCATENATE("000",HH_debt1819!A778),6),3)))</f>
        <v>246-912</v>
      </c>
      <c r="C778" s="91">
        <v>79460</v>
      </c>
    </row>
    <row r="779" spans="1:3" ht="15">
      <c r="A779" t="s">
        <v>3782</v>
      </c>
      <c r="B779" s="722" t="str">
        <f>CONCATENATE(LEFT(RIGHT(CONCATENATE("000",HH_debt1819!A779),6),3),"-",(RIGHT(RIGHT(CONCATENATE("000",HH_debt1819!A779),6),3)))</f>
        <v>246-913</v>
      </c>
      <c r="C779" s="91">
        <v>83294644</v>
      </c>
    </row>
    <row r="780" spans="1:3" ht="15">
      <c r="A780" t="s">
        <v>3783</v>
      </c>
      <c r="B780" s="722" t="str">
        <f>CONCATENATE(LEFT(RIGHT(CONCATENATE("000",HH_debt1819!A780),6),3),"-",(RIGHT(RIGHT(CONCATENATE("000",HH_debt1819!A780),6),3)))</f>
        <v>247-901</v>
      </c>
      <c r="C780" s="91">
        <v>5179309</v>
      </c>
    </row>
    <row r="781" spans="1:3" ht="15">
      <c r="A781" t="s">
        <v>3784</v>
      </c>
      <c r="B781" s="722" t="str">
        <f>CONCATENATE(LEFT(RIGHT(CONCATENATE("000",HH_debt1819!A781),6),3),"-",(RIGHT(RIGHT(CONCATENATE("000",HH_debt1819!A781),6),3)))</f>
        <v>247-903</v>
      </c>
      <c r="C781" s="91">
        <v>3292914</v>
      </c>
    </row>
    <row r="782" spans="1:3" ht="15">
      <c r="A782" t="s">
        <v>3785</v>
      </c>
      <c r="B782" s="722" t="str">
        <f>CONCATENATE(LEFT(RIGHT(CONCATENATE("000",HH_debt1819!A782),6),3),"-",(RIGHT(RIGHT(CONCATENATE("000",HH_debt1819!A782),6),3)))</f>
        <v>247-904</v>
      </c>
      <c r="C782" s="91">
        <v>420100</v>
      </c>
    </row>
    <row r="783" spans="1:3" ht="15">
      <c r="A783" t="s">
        <v>3786</v>
      </c>
      <c r="B783" s="722" t="str">
        <f>CONCATENATE(LEFT(RIGHT(CONCATENATE("000",HH_debt1819!A783),6),3),"-",(RIGHT(RIGHT(CONCATENATE("000",HH_debt1819!A783),6),3)))</f>
        <v>247-906</v>
      </c>
      <c r="C783" s="91">
        <v>434704</v>
      </c>
    </row>
    <row r="784" spans="1:3" ht="15">
      <c r="A784" t="s">
        <v>6143</v>
      </c>
      <c r="B784" s="722" t="str">
        <f>CONCATENATE(LEFT(RIGHT(CONCATENATE("000",HH_debt1819!A784),6),3),"-",(RIGHT(RIGHT(CONCATENATE("000",HH_debt1819!A784),6),3)))</f>
        <v>248-901</v>
      </c>
      <c r="C784" s="91">
        <v>2074375</v>
      </c>
    </row>
    <row r="785" spans="1:3" ht="15">
      <c r="A785" t="s">
        <v>6144</v>
      </c>
      <c r="B785" s="722" t="str">
        <f>CONCATENATE(LEFT(RIGHT(CONCATENATE("000",HH_debt1819!A785),6),3),"-",(RIGHT(RIGHT(CONCATENATE("000",HH_debt1819!A785),6),3)))</f>
        <v>248-902</v>
      </c>
      <c r="C785" s="91">
        <v>3173362</v>
      </c>
    </row>
    <row r="786" spans="1:3" ht="15">
      <c r="A786" t="s">
        <v>3787</v>
      </c>
      <c r="B786" s="722" t="str">
        <f>CONCATENATE(LEFT(RIGHT(CONCATENATE("000",HH_debt1819!A786),6),3),"-",(RIGHT(RIGHT(CONCATENATE("000",HH_debt1819!A786),6),3)))</f>
        <v>249-901</v>
      </c>
      <c r="C786" s="91">
        <v>744125</v>
      </c>
    </row>
    <row r="787" spans="1:3" ht="15">
      <c r="A787" t="s">
        <v>6145</v>
      </c>
      <c r="B787" s="722" t="str">
        <f>CONCATENATE(LEFT(RIGHT(CONCATENATE("000",HH_debt1819!A787),6),3),"-",(RIGHT(RIGHT(CONCATENATE("000",HH_debt1819!A787),6),3)))</f>
        <v>249-902</v>
      </c>
      <c r="C787" s="91">
        <v>1564042</v>
      </c>
    </row>
    <row r="788" spans="1:3" ht="15">
      <c r="A788" t="s">
        <v>6146</v>
      </c>
      <c r="B788" s="722" t="str">
        <f>CONCATENATE(LEFT(RIGHT(CONCATENATE("000",HH_debt1819!A788),6),3),"-",(RIGHT(RIGHT(CONCATENATE("000",HH_debt1819!A788),6),3)))</f>
        <v>249-903</v>
      </c>
      <c r="C788" s="91">
        <v>2647265</v>
      </c>
    </row>
    <row r="789" spans="1:3" ht="15">
      <c r="A789" t="s">
        <v>6147</v>
      </c>
      <c r="B789" s="722" t="str">
        <f>CONCATENATE(LEFT(RIGHT(CONCATENATE("000",HH_debt1819!A789),6),3),"-",(RIGHT(RIGHT(CONCATENATE("000",HH_debt1819!A789),6),3)))</f>
        <v>249-904</v>
      </c>
      <c r="C789" s="91">
        <v>1212799</v>
      </c>
    </row>
    <row r="790" spans="1:3" ht="15">
      <c r="A790" t="s">
        <v>6148</v>
      </c>
      <c r="B790" s="722" t="str">
        <f>CONCATENATE(LEFT(RIGHT(CONCATENATE("000",HH_debt1819!A790),6),3),"-",(RIGHT(RIGHT(CONCATENATE("000",HH_debt1819!A790),6),3)))</f>
        <v>249-905</v>
      </c>
      <c r="C790" s="91">
        <v>6681837</v>
      </c>
    </row>
    <row r="791" spans="1:3" ht="15">
      <c r="A791" t="s">
        <v>3788</v>
      </c>
      <c r="B791" s="722" t="str">
        <f>CONCATENATE(LEFT(RIGHT(CONCATENATE("000",HH_debt1819!A791),6),3),"-",(RIGHT(RIGHT(CONCATENATE("000",HH_debt1819!A791),6),3)))</f>
        <v>249-906</v>
      </c>
      <c r="C791" s="91">
        <v>573400</v>
      </c>
    </row>
    <row r="792" spans="1:3" ht="15">
      <c r="A792" t="s">
        <v>3789</v>
      </c>
      <c r="B792" s="722" t="str">
        <f>CONCATENATE(LEFT(RIGHT(CONCATENATE("000",HH_debt1819!A792),6),3),"-",(RIGHT(RIGHT(CONCATENATE("000",HH_debt1819!A792),6),3)))</f>
        <v>249-908</v>
      </c>
      <c r="C792" s="91">
        <v>201500</v>
      </c>
    </row>
    <row r="793" spans="1:3" ht="15">
      <c r="A793" t="s">
        <v>6149</v>
      </c>
      <c r="B793" s="722" t="str">
        <f>CONCATENATE(LEFT(RIGHT(CONCATENATE("000",HH_debt1819!A793),6),3),"-",(RIGHT(RIGHT(CONCATENATE("000",HH_debt1819!A793),6),3)))</f>
        <v>250-902</v>
      </c>
      <c r="C793" s="91">
        <v>1496301</v>
      </c>
    </row>
    <row r="794" spans="1:3" ht="15">
      <c r="A794" t="s">
        <v>6150</v>
      </c>
      <c r="B794" s="722" t="str">
        <f>CONCATENATE(LEFT(RIGHT(CONCATENATE("000",HH_debt1819!A794),6),3),"-",(RIGHT(RIGHT(CONCATENATE("000",HH_debt1819!A794),6),3)))</f>
        <v>250-904</v>
      </c>
      <c r="C794" s="91">
        <v>539800</v>
      </c>
    </row>
    <row r="795" spans="1:3" ht="15">
      <c r="A795" t="s">
        <v>6151</v>
      </c>
      <c r="B795" s="722" t="str">
        <f>CONCATENATE(LEFT(RIGHT(CONCATENATE("000",HH_debt1819!A795),6),3),"-",(RIGHT(RIGHT(CONCATENATE("000",HH_debt1819!A795),6),3)))</f>
        <v>250-905</v>
      </c>
      <c r="C795" s="91">
        <v>171450</v>
      </c>
    </row>
    <row r="796" spans="1:3" ht="15">
      <c r="A796" t="s">
        <v>6152</v>
      </c>
      <c r="B796" s="722" t="str">
        <f>CONCATENATE(LEFT(RIGHT(CONCATENATE("000",HH_debt1819!A796),6),3),"-",(RIGHT(RIGHT(CONCATENATE("000",HH_debt1819!A796),6),3)))</f>
        <v>250-906</v>
      </c>
      <c r="C796" s="91">
        <v>139788</v>
      </c>
    </row>
    <row r="797" spans="1:3" ht="15">
      <c r="A797" t="s">
        <v>6153</v>
      </c>
      <c r="B797" s="722" t="str">
        <f>CONCATENATE(LEFT(RIGHT(CONCATENATE("000",HH_debt1819!A797),6),3),"-",(RIGHT(RIGHT(CONCATENATE("000",HH_debt1819!A797),6),3)))</f>
        <v>251-901</v>
      </c>
      <c r="C797" s="91">
        <v>3720375</v>
      </c>
    </row>
    <row r="798" spans="1:3" ht="15">
      <c r="A798" t="s">
        <v>6154</v>
      </c>
      <c r="B798" s="722" t="str">
        <f>CONCATENATE(LEFT(RIGHT(CONCATENATE("000",HH_debt1819!A798),6),3),"-",(RIGHT(RIGHT(CONCATENATE("000",HH_debt1819!A798),6),3)))</f>
        <v>251-902</v>
      </c>
      <c r="C798" s="91">
        <v>3663819</v>
      </c>
    </row>
    <row r="799" spans="1:3" ht="15">
      <c r="A799" t="s">
        <v>3790</v>
      </c>
      <c r="B799" s="722" t="str">
        <f>CONCATENATE(LEFT(RIGHT(CONCATENATE("000",HH_debt1819!A799),6),3),"-",(RIGHT(RIGHT(CONCATENATE("000",HH_debt1819!A799),6),3)))</f>
        <v>252-901</v>
      </c>
      <c r="C799" s="91">
        <v>2502655</v>
      </c>
    </row>
    <row r="800" spans="1:3" ht="15">
      <c r="A800" t="s">
        <v>6155</v>
      </c>
      <c r="B800" s="722" t="str">
        <f>CONCATENATE(LEFT(RIGHT(CONCATENATE("000",HH_debt1819!A800),6),3),"-",(RIGHT(RIGHT(CONCATENATE("000",HH_debt1819!A800),6),3)))</f>
        <v>252-902</v>
      </c>
      <c r="C800" s="91">
        <v>322940</v>
      </c>
    </row>
    <row r="801" spans="1:3" ht="15">
      <c r="A801" t="s">
        <v>3791</v>
      </c>
      <c r="B801" s="722" t="str">
        <f>CONCATENATE(LEFT(RIGHT(CONCATENATE("000",HH_debt1819!A801),6),3),"-",(RIGHT(RIGHT(CONCATENATE("000",HH_debt1819!A801),6),3)))</f>
        <v>252-903</v>
      </c>
      <c r="C801" s="91">
        <v>401492</v>
      </c>
    </row>
    <row r="802" spans="1:3" ht="15">
      <c r="A802" t="s">
        <v>3792</v>
      </c>
      <c r="B802" s="722" t="str">
        <f>CONCATENATE(LEFT(RIGHT(CONCATENATE("000",HH_debt1819!A802),6),3),"-",(RIGHT(RIGHT(CONCATENATE("000",HH_debt1819!A802),6),3)))</f>
        <v>254-901</v>
      </c>
      <c r="C802" s="91">
        <v>3666994</v>
      </c>
    </row>
    <row r="803" spans="1:3" ht="15">
      <c r="A803" t="s">
        <v>3793</v>
      </c>
      <c r="B803" s="722"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1" sqref="D1"/>
    </sheetView>
  </sheetViews>
  <sheetFormatPr defaultRowHeight="12.75"/>
  <cols>
    <col min="1" max="1" width="9.140625" style="64" customWidth="1"/>
    <col min="2" max="2" width="86.140625" style="35" customWidth="1"/>
    <col min="3" max="3" width="4.140625" style="35" customWidth="1"/>
    <col min="4" max="4" width="20.5703125" style="35" customWidth="1"/>
    <col min="5" max="5" width="32.5703125" style="35" customWidth="1"/>
    <col min="6" max="6" width="14.85546875" style="35" customWidth="1"/>
    <col min="7" max="12" width="9.140625" style="35" customWidth="1"/>
  </cols>
  <sheetData>
    <row r="1" spans="1:12">
      <c r="A1" s="380" t="s">
        <v>2864</v>
      </c>
      <c r="C1" s="755"/>
      <c r="D1" s="754" t="str">
        <f>'Data Entry - SOF'!S1</f>
        <v>Release 10</v>
      </c>
    </row>
    <row r="2" spans="1:12">
      <c r="A2" s="484" t="s">
        <v>9515</v>
      </c>
      <c r="D2" s="4526">
        <f>'Data Entry - SOF'!S2</f>
        <v>43724</v>
      </c>
    </row>
    <row r="3" spans="1:12">
      <c r="D3" s="58"/>
    </row>
    <row r="4" spans="1:12" s="382" customFormat="1" ht="15.75">
      <c r="A4" s="381" t="s">
        <v>3228</v>
      </c>
      <c r="B4" s="325"/>
      <c r="C4" s="325"/>
      <c r="D4" s="325"/>
      <c r="E4" s="325"/>
      <c r="F4" s="325"/>
      <c r="G4" s="325"/>
      <c r="H4" s="325"/>
      <c r="I4" s="325"/>
      <c r="J4" s="325"/>
      <c r="K4" s="325"/>
      <c r="L4" s="325"/>
    </row>
    <row r="5" spans="1:12" s="382" customFormat="1" ht="15.75">
      <c r="A5" s="383">
        <f>'Data Entry - SOF'!B1</f>
        <v>0</v>
      </c>
      <c r="B5" s="325"/>
      <c r="C5" s="325"/>
      <c r="D5" s="325"/>
      <c r="E5" s="325"/>
      <c r="F5" s="325"/>
      <c r="G5" s="325"/>
      <c r="H5" s="325"/>
      <c r="I5" s="325"/>
      <c r="J5" s="325"/>
      <c r="K5" s="325"/>
      <c r="L5" s="325"/>
    </row>
    <row r="6" spans="1:12" s="382" customFormat="1" ht="15.75">
      <c r="A6" s="381">
        <f>'Data Entry - SOF'!B2</f>
        <v>0</v>
      </c>
      <c r="B6" s="325"/>
      <c r="C6" s="325"/>
      <c r="D6" s="325"/>
      <c r="E6" s="325"/>
      <c r="F6" s="325"/>
      <c r="G6" s="325"/>
      <c r="H6" s="325"/>
      <c r="I6" s="325"/>
      <c r="J6" s="325"/>
      <c r="K6" s="325"/>
      <c r="L6" s="325"/>
    </row>
    <row r="7" spans="1:12" s="382" customFormat="1" ht="15.75">
      <c r="A7" s="381"/>
      <c r="B7" s="325"/>
      <c r="C7" s="325"/>
      <c r="D7" s="325"/>
      <c r="E7" s="325"/>
      <c r="F7" s="325"/>
      <c r="G7" s="325"/>
      <c r="H7" s="325"/>
      <c r="I7" s="325"/>
      <c r="J7" s="325"/>
      <c r="K7" s="325"/>
      <c r="L7" s="325"/>
    </row>
    <row r="8" spans="1:12" s="382" customFormat="1" ht="15.75">
      <c r="A8" s="381"/>
      <c r="B8" s="1290" t="s">
        <v>3229</v>
      </c>
      <c r="C8" s="1291"/>
      <c r="D8" s="1299" t="e">
        <f>ASATR!H42</f>
        <v>#DIV/0!</v>
      </c>
      <c r="E8" s="473" t="s">
        <v>6836</v>
      </c>
      <c r="F8" s="325"/>
      <c r="G8" s="325"/>
      <c r="H8" s="325"/>
      <c r="I8" s="325"/>
      <c r="J8" s="325"/>
      <c r="K8" s="325"/>
      <c r="L8" s="325"/>
    </row>
    <row r="9" spans="1:12" s="382" customFormat="1" ht="18">
      <c r="A9" s="564" t="s">
        <v>2707</v>
      </c>
      <c r="B9" s="1288"/>
      <c r="C9" s="1288"/>
      <c r="D9" s="532" t="s">
        <v>2715</v>
      </c>
      <c r="E9" s="1088">
        <f>IF(ISNA('DE1'!D22),0,'DE1'!D22)</f>
        <v>0</v>
      </c>
      <c r="F9" s="473" t="s">
        <v>6835</v>
      </c>
      <c r="G9" s="325"/>
      <c r="H9" s="325"/>
      <c r="I9" s="325"/>
      <c r="J9" s="325"/>
      <c r="K9" s="325"/>
      <c r="L9" s="325"/>
    </row>
    <row r="10" spans="1:12" s="382" customFormat="1" ht="18">
      <c r="A10" s="1372" t="s">
        <v>2708</v>
      </c>
      <c r="B10" s="1387"/>
      <c r="C10" s="1387"/>
      <c r="D10" s="533" t="s">
        <v>2716</v>
      </c>
      <c r="E10" s="325"/>
      <c r="F10" s="473" t="s">
        <v>6852</v>
      </c>
      <c r="G10" s="325"/>
      <c r="H10" s="325"/>
      <c r="I10" s="325"/>
      <c r="J10" s="325"/>
      <c r="K10" s="325"/>
      <c r="L10" s="325"/>
    </row>
    <row r="11" spans="1:12" s="382" customFormat="1" ht="15.75">
      <c r="A11" s="385" t="s">
        <v>2186</v>
      </c>
      <c r="B11" s="386" t="s">
        <v>2709</v>
      </c>
      <c r="C11" s="386"/>
      <c r="D11" s="387">
        <f>'SOF1819-SB1'!F8</f>
        <v>0</v>
      </c>
      <c r="E11" s="325"/>
      <c r="F11" s="473" t="s">
        <v>6853</v>
      </c>
      <c r="G11" s="325"/>
      <c r="H11" s="325"/>
      <c r="I11" s="325"/>
      <c r="J11" s="325"/>
      <c r="K11" s="325"/>
      <c r="L11" s="325"/>
    </row>
    <row r="12" spans="1:12" s="382" customFormat="1" ht="15.75">
      <c r="A12" s="385" t="s">
        <v>2187</v>
      </c>
      <c r="B12" s="718" t="s">
        <v>3351</v>
      </c>
      <c r="C12" s="386"/>
      <c r="D12" s="387">
        <f>'Calc Data'!E10</f>
        <v>0</v>
      </c>
      <c r="E12" s="325"/>
      <c r="F12" s="325"/>
      <c r="G12" s="325"/>
      <c r="H12" s="325"/>
      <c r="I12" s="325"/>
      <c r="J12" s="325"/>
      <c r="K12" s="325"/>
      <c r="L12" s="325"/>
    </row>
    <row r="13" spans="1:12" s="382" customFormat="1" ht="15.75">
      <c r="A13" s="385" t="s">
        <v>2188</v>
      </c>
      <c r="B13" s="703" t="s">
        <v>3354</v>
      </c>
      <c r="C13" s="386"/>
      <c r="D13" s="387">
        <f>'SOF1819-SB1'!F9</f>
        <v>0</v>
      </c>
      <c r="E13" s="325"/>
      <c r="F13" s="325"/>
      <c r="G13" s="325"/>
      <c r="H13" s="325"/>
      <c r="I13" s="325"/>
      <c r="J13" s="325"/>
      <c r="K13" s="325"/>
      <c r="L13" s="325"/>
    </row>
    <row r="14" spans="1:12" s="382" customFormat="1" ht="15.75">
      <c r="A14" s="385" t="s">
        <v>909</v>
      </c>
      <c r="B14" s="386" t="s">
        <v>824</v>
      </c>
      <c r="C14" s="386"/>
      <c r="D14" s="387">
        <f>'SOF1819-SB1'!F10</f>
        <v>0</v>
      </c>
      <c r="E14" s="325"/>
      <c r="F14" s="325"/>
      <c r="G14" s="325"/>
      <c r="H14" s="325"/>
      <c r="I14" s="325"/>
      <c r="J14" s="325"/>
      <c r="K14" s="325"/>
      <c r="L14" s="325"/>
    </row>
    <row r="15" spans="1:12" s="382" customFormat="1" ht="15.75">
      <c r="A15" s="385" t="s">
        <v>910</v>
      </c>
      <c r="B15" s="386" t="s">
        <v>643</v>
      </c>
      <c r="C15" s="386"/>
      <c r="D15" s="387">
        <f>'Data Entry - SOF'!E37</f>
        <v>0</v>
      </c>
      <c r="E15" s="325"/>
      <c r="F15" s="325"/>
      <c r="G15" s="325"/>
      <c r="H15" s="325"/>
      <c r="I15" s="325"/>
      <c r="J15" s="325"/>
      <c r="K15" s="325"/>
      <c r="L15" s="325"/>
    </row>
    <row r="16" spans="1:12" s="382" customFormat="1" ht="15.75">
      <c r="A16" s="385" t="s">
        <v>912</v>
      </c>
      <c r="B16" s="386" t="s">
        <v>2711</v>
      </c>
      <c r="C16" s="386"/>
      <c r="D16" s="387">
        <f>'Data Entry - SOF'!E21</f>
        <v>0</v>
      </c>
      <c r="E16" s="325"/>
      <c r="F16" s="325"/>
      <c r="G16" s="325"/>
      <c r="H16" s="325"/>
      <c r="I16" s="325"/>
      <c r="J16" s="325"/>
      <c r="K16" s="325"/>
      <c r="L16" s="325"/>
    </row>
    <row r="17" spans="1:12" s="382" customFormat="1" ht="15.75">
      <c r="A17" s="385" t="s">
        <v>913</v>
      </c>
      <c r="B17" s="638" t="s">
        <v>3198</v>
      </c>
      <c r="C17" s="386"/>
      <c r="D17" s="387">
        <f>'Calc Data'!E25</f>
        <v>0</v>
      </c>
      <c r="E17" s="325"/>
      <c r="F17" s="325"/>
      <c r="G17" s="325"/>
      <c r="H17" s="325"/>
      <c r="I17" s="325"/>
      <c r="J17" s="325"/>
      <c r="K17" s="325"/>
      <c r="L17" s="325"/>
    </row>
    <row r="18" spans="1:12" s="382" customFormat="1" ht="15.75">
      <c r="A18" s="385" t="s">
        <v>914</v>
      </c>
      <c r="B18" s="386" t="s">
        <v>2712</v>
      </c>
      <c r="C18" s="386"/>
      <c r="D18" s="387">
        <f>'Report-SOF1718'!D11</f>
        <v>0</v>
      </c>
      <c r="E18" s="325"/>
      <c r="F18" s="325"/>
      <c r="G18" s="325"/>
      <c r="H18" s="325"/>
      <c r="I18" s="325"/>
      <c r="J18" s="325"/>
      <c r="K18" s="325"/>
      <c r="L18" s="325"/>
    </row>
    <row r="19" spans="1:12" s="382" customFormat="1" ht="15.75">
      <c r="A19" s="385" t="s">
        <v>118</v>
      </c>
      <c r="B19" s="386" t="s">
        <v>2713</v>
      </c>
      <c r="C19" s="386"/>
      <c r="D19" s="387">
        <f>'Data Entry - SOF'!E111</f>
        <v>0</v>
      </c>
      <c r="E19" s="325"/>
      <c r="F19" s="325"/>
      <c r="G19" s="325"/>
      <c r="H19" s="325"/>
      <c r="I19" s="325"/>
      <c r="J19" s="325"/>
      <c r="K19" s="325"/>
      <c r="L19" s="325"/>
    </row>
    <row r="20" spans="1:12" s="382" customFormat="1" ht="15.75">
      <c r="A20" s="385" t="s">
        <v>119</v>
      </c>
      <c r="B20" s="386" t="s">
        <v>2714</v>
      </c>
      <c r="C20" s="386"/>
      <c r="D20" s="387">
        <f>'Data Entry - SOF'!E110</f>
        <v>0</v>
      </c>
      <c r="E20" s="325"/>
      <c r="F20" s="325"/>
      <c r="G20" s="325"/>
      <c r="H20" s="325"/>
      <c r="I20" s="325"/>
      <c r="J20" s="325"/>
      <c r="K20" s="325"/>
      <c r="L20" s="325"/>
    </row>
    <row r="21" spans="1:12" s="382" customFormat="1" ht="18">
      <c r="A21" s="1372" t="s">
        <v>2717</v>
      </c>
      <c r="B21" s="1387"/>
      <c r="C21" s="1387"/>
      <c r="D21" s="1373"/>
      <c r="E21" s="325"/>
      <c r="F21" s="325"/>
      <c r="G21" s="325"/>
      <c r="H21" s="325"/>
      <c r="I21" s="325"/>
      <c r="J21" s="325"/>
      <c r="K21" s="325"/>
      <c r="L21" s="325"/>
    </row>
    <row r="22" spans="1:12" s="382" customFormat="1" ht="15.75">
      <c r="A22" s="385" t="s">
        <v>120</v>
      </c>
      <c r="B22" s="386" t="s">
        <v>2718</v>
      </c>
      <c r="C22" s="386"/>
      <c r="D22" s="387">
        <f>'Data Entry - SOF'!E69</f>
        <v>0</v>
      </c>
      <c r="E22" s="325"/>
      <c r="F22" s="325"/>
      <c r="G22" s="325"/>
      <c r="H22" s="325"/>
      <c r="I22" s="325"/>
      <c r="J22" s="325"/>
      <c r="K22" s="325"/>
      <c r="L22" s="325"/>
    </row>
    <row r="23" spans="1:12" s="382" customFormat="1" ht="15.75">
      <c r="A23" s="385" t="s">
        <v>121</v>
      </c>
      <c r="B23" s="386" t="s">
        <v>2719</v>
      </c>
      <c r="C23" s="386"/>
      <c r="D23" s="387">
        <f>'Data Entry - SOF'!E70</f>
        <v>0</v>
      </c>
      <c r="E23" s="325"/>
      <c r="F23" s="325"/>
      <c r="G23" s="325"/>
      <c r="H23" s="325"/>
      <c r="I23" s="325"/>
      <c r="J23" s="325"/>
      <c r="K23" s="325"/>
      <c r="L23" s="325"/>
    </row>
    <row r="24" spans="1:12" s="382" customFormat="1" ht="18">
      <c r="A24" s="1372" t="s">
        <v>2720</v>
      </c>
      <c r="B24" s="1387"/>
      <c r="C24" s="1387"/>
      <c r="D24" s="1373"/>
      <c r="E24" s="325"/>
      <c r="F24" s="325"/>
      <c r="G24" s="325"/>
      <c r="H24" s="325"/>
      <c r="I24" s="325"/>
      <c r="J24" s="325"/>
      <c r="K24" s="325"/>
      <c r="L24" s="325"/>
    </row>
    <row r="25" spans="1:12" s="382" customFormat="1" ht="15.75">
      <c r="A25" s="385" t="s">
        <v>1513</v>
      </c>
      <c r="B25" s="386" t="s">
        <v>3995</v>
      </c>
      <c r="C25" s="386"/>
      <c r="D25" s="491" t="s">
        <v>3028</v>
      </c>
      <c r="E25" s="325"/>
      <c r="F25" s="325"/>
      <c r="G25" s="325"/>
      <c r="H25" s="325"/>
      <c r="I25" s="325"/>
      <c r="J25" s="325"/>
      <c r="K25" s="325"/>
      <c r="L25" s="325"/>
    </row>
    <row r="26" spans="1:12" s="382" customFormat="1" ht="15.75">
      <c r="A26" s="385" t="s">
        <v>6</v>
      </c>
      <c r="B26" s="386" t="s">
        <v>3996</v>
      </c>
      <c r="C26" s="386"/>
      <c r="D26" s="388">
        <f>'Data Entry - SOF'!E73</f>
        <v>0</v>
      </c>
      <c r="E26" s="325"/>
      <c r="F26" s="325"/>
      <c r="G26" s="325"/>
      <c r="H26" s="325"/>
      <c r="I26" s="325"/>
      <c r="J26" s="325"/>
      <c r="K26" s="325"/>
      <c r="L26" s="325"/>
    </row>
    <row r="27" spans="1:12" s="382" customFormat="1" ht="18">
      <c r="A27" s="1372" t="s">
        <v>2721</v>
      </c>
      <c r="B27" s="1387"/>
      <c r="C27" s="1387"/>
      <c r="D27" s="1373"/>
      <c r="E27" s="325"/>
      <c r="F27" s="325"/>
      <c r="G27" s="325"/>
      <c r="H27" s="325"/>
      <c r="I27" s="325"/>
      <c r="J27" s="325"/>
      <c r="K27" s="325"/>
      <c r="L27" s="325"/>
    </row>
    <row r="28" spans="1:12" s="382" customFormat="1" ht="15.75">
      <c r="A28" s="385" t="s">
        <v>2232</v>
      </c>
      <c r="B28" s="386" t="s">
        <v>2724</v>
      </c>
      <c r="C28" s="384"/>
      <c r="D28" s="389">
        <f>'Data Entry - SOF'!E161</f>
        <v>0</v>
      </c>
      <c r="E28" s="325"/>
      <c r="F28" s="325"/>
      <c r="G28" s="325"/>
      <c r="H28" s="325"/>
      <c r="I28" s="325"/>
      <c r="J28" s="325"/>
      <c r="K28" s="325"/>
      <c r="L28" s="325"/>
    </row>
    <row r="29" spans="1:12" s="382" customFormat="1" ht="15.75">
      <c r="A29" s="385" t="s">
        <v>2233</v>
      </c>
      <c r="B29" s="386" t="s">
        <v>3997</v>
      </c>
      <c r="C29" s="384"/>
      <c r="D29" s="389">
        <f>'Data Entry - SOF'!E154</f>
        <v>0</v>
      </c>
      <c r="E29" s="325"/>
      <c r="F29" s="325"/>
      <c r="G29" s="325"/>
      <c r="H29" s="325"/>
      <c r="I29" s="325"/>
      <c r="J29" s="325"/>
      <c r="K29" s="325"/>
      <c r="L29" s="325"/>
    </row>
    <row r="30" spans="1:12" s="382" customFormat="1" ht="15.75">
      <c r="A30" s="385" t="s">
        <v>2722</v>
      </c>
      <c r="B30" s="386" t="s">
        <v>2725</v>
      </c>
      <c r="C30" s="384"/>
      <c r="D30" s="491" t="s">
        <v>3028</v>
      </c>
      <c r="E30" s="325"/>
      <c r="F30" s="325"/>
      <c r="G30" s="325"/>
      <c r="H30" s="325"/>
      <c r="I30" s="325"/>
      <c r="J30" s="325"/>
      <c r="K30" s="325"/>
      <c r="L30" s="325"/>
    </row>
    <row r="31" spans="1:12" s="382" customFormat="1" ht="15.75">
      <c r="A31" s="385" t="s">
        <v>2723</v>
      </c>
      <c r="B31" s="386" t="s">
        <v>3998</v>
      </c>
      <c r="C31" s="384"/>
      <c r="D31" s="389">
        <f>'Data Entry - SOF'!E92</f>
        <v>1.17</v>
      </c>
      <c r="E31" s="325"/>
      <c r="F31" s="325"/>
      <c r="G31" s="325"/>
      <c r="H31" s="325"/>
      <c r="I31" s="325"/>
      <c r="J31" s="325"/>
      <c r="K31" s="325"/>
      <c r="L31" s="325"/>
    </row>
    <row r="32" spans="1:12" s="382" customFormat="1" ht="15.75">
      <c r="A32" s="385" t="s">
        <v>2726</v>
      </c>
      <c r="B32" s="701" t="s">
        <v>4005</v>
      </c>
      <c r="C32" s="386"/>
      <c r="D32" s="390">
        <f>'Data Entry - SOF'!E93</f>
        <v>0</v>
      </c>
      <c r="E32" s="325"/>
      <c r="F32" s="325"/>
      <c r="G32" s="325"/>
      <c r="H32" s="325"/>
      <c r="I32" s="325"/>
      <c r="J32" s="325"/>
      <c r="K32" s="325"/>
      <c r="L32" s="325"/>
    </row>
    <row r="33" spans="1:12" s="382" customFormat="1" ht="15.75">
      <c r="A33" s="385" t="s">
        <v>2727</v>
      </c>
      <c r="B33" s="386" t="s">
        <v>3317</v>
      </c>
      <c r="C33" s="386"/>
      <c r="D33" s="390">
        <f>'Data Entry - SOF'!E101</f>
        <v>0</v>
      </c>
      <c r="E33" s="325"/>
      <c r="F33" s="325"/>
      <c r="G33" s="325"/>
      <c r="H33" s="325"/>
      <c r="I33" s="325"/>
      <c r="J33" s="325"/>
      <c r="K33" s="325"/>
      <c r="L33" s="325"/>
    </row>
    <row r="34" spans="1:12" s="382" customFormat="1" ht="15.75">
      <c r="A34" s="385" t="s">
        <v>2728</v>
      </c>
      <c r="B34" s="386" t="s">
        <v>3230</v>
      </c>
      <c r="C34" s="386"/>
      <c r="D34" s="390">
        <f>'Data Entry - SOF'!E207</f>
        <v>0</v>
      </c>
      <c r="E34" s="325"/>
      <c r="F34" s="325"/>
      <c r="G34" s="325"/>
      <c r="H34" s="325"/>
      <c r="I34" s="325"/>
      <c r="J34" s="325"/>
      <c r="K34" s="325"/>
      <c r="L34" s="325"/>
    </row>
    <row r="35" spans="1:12" s="382" customFormat="1" ht="15.75">
      <c r="A35" s="385" t="s">
        <v>2729</v>
      </c>
      <c r="B35" s="386" t="s">
        <v>3999</v>
      </c>
      <c r="C35" s="386"/>
      <c r="D35" s="390">
        <f>'Data Entry - SOF'!E112</f>
        <v>0</v>
      </c>
      <c r="E35" s="325"/>
      <c r="F35" s="325"/>
      <c r="G35" s="325"/>
      <c r="H35" s="325"/>
      <c r="I35" s="325"/>
      <c r="J35" s="325"/>
      <c r="K35" s="325"/>
      <c r="L35" s="325"/>
    </row>
    <row r="36" spans="1:12" s="382" customFormat="1" ht="18">
      <c r="A36" s="1384" t="s">
        <v>2730</v>
      </c>
      <c r="B36" s="1395"/>
      <c r="C36" s="1387"/>
      <c r="D36" s="1373"/>
      <c r="E36" s="325"/>
      <c r="F36" s="325"/>
      <c r="G36" s="325"/>
      <c r="H36" s="325"/>
      <c r="I36" s="325"/>
      <c r="J36" s="325"/>
      <c r="K36" s="325"/>
      <c r="L36" s="325"/>
    </row>
    <row r="37" spans="1:12" s="382" customFormat="1" ht="15.75">
      <c r="A37" s="385" t="s">
        <v>2731</v>
      </c>
      <c r="B37" s="701" t="s">
        <v>3264</v>
      </c>
      <c r="C37" s="404"/>
      <c r="D37" s="772">
        <f>'Calc Data'!AG23</f>
        <v>2147</v>
      </c>
      <c r="E37" s="325"/>
      <c r="F37" s="325"/>
      <c r="G37" s="325"/>
      <c r="H37" s="325"/>
      <c r="I37" s="325"/>
      <c r="J37" s="325"/>
      <c r="K37" s="325"/>
      <c r="L37" s="325"/>
    </row>
    <row r="38" spans="1:12" s="382" customFormat="1" ht="15.75">
      <c r="A38" s="385" t="s">
        <v>2732</v>
      </c>
      <c r="B38" s="386" t="s">
        <v>2736</v>
      </c>
      <c r="C38" s="386"/>
      <c r="D38" s="478" t="e">
        <f>ASATR!H46</f>
        <v>#DIV/0!</v>
      </c>
      <c r="E38" s="325"/>
      <c r="F38" s="325"/>
      <c r="G38" s="325"/>
      <c r="H38" s="325"/>
      <c r="I38" s="325"/>
      <c r="J38" s="325"/>
      <c r="K38" s="325"/>
      <c r="L38" s="325"/>
    </row>
    <row r="39" spans="1:12" s="382" customFormat="1" ht="15.75">
      <c r="A39" s="385" t="s">
        <v>2733</v>
      </c>
      <c r="B39" s="386" t="s">
        <v>2781</v>
      </c>
      <c r="C39" s="386"/>
      <c r="D39" s="391">
        <f>'Data Entry - SOF'!E159</f>
        <v>0</v>
      </c>
      <c r="E39" s="325"/>
      <c r="F39" s="325"/>
      <c r="G39" s="325"/>
      <c r="H39" s="325"/>
      <c r="I39" s="325"/>
      <c r="J39" s="325"/>
      <c r="K39" s="325"/>
      <c r="L39" s="325"/>
    </row>
    <row r="40" spans="1:12" s="382" customFormat="1" ht="15.75">
      <c r="A40" s="385" t="s">
        <v>2734</v>
      </c>
      <c r="B40" s="386" t="s">
        <v>2737</v>
      </c>
      <c r="C40" s="386"/>
      <c r="D40" s="391">
        <f>'Calc Data'!E59</f>
        <v>0</v>
      </c>
      <c r="E40" s="325"/>
      <c r="F40" s="325"/>
      <c r="G40" s="325"/>
      <c r="H40" s="325"/>
      <c r="I40" s="325"/>
      <c r="J40" s="325"/>
      <c r="K40" s="325"/>
      <c r="L40" s="325"/>
    </row>
    <row r="41" spans="1:12" s="382" customFormat="1" ht="15.75">
      <c r="A41" s="385" t="s">
        <v>2735</v>
      </c>
      <c r="B41" s="386" t="s">
        <v>2738</v>
      </c>
      <c r="C41" s="386"/>
      <c r="D41" s="392">
        <f>Assumptions!G114</f>
        <v>486.23099999999999</v>
      </c>
      <c r="E41" s="325"/>
      <c r="F41" s="325"/>
      <c r="G41" s="325"/>
      <c r="H41" s="325"/>
      <c r="I41" s="325"/>
      <c r="J41" s="325"/>
      <c r="K41" s="325"/>
      <c r="L41" s="325"/>
    </row>
    <row r="42" spans="1:12" s="382" customFormat="1" ht="18">
      <c r="A42" s="1372" t="s">
        <v>2739</v>
      </c>
      <c r="B42" s="1388"/>
      <c r="C42" s="1388"/>
      <c r="D42" s="1389"/>
      <c r="E42" s="325"/>
      <c r="F42" s="325"/>
      <c r="G42" s="325"/>
      <c r="H42" s="325"/>
      <c r="I42" s="325"/>
      <c r="J42" s="325"/>
      <c r="K42" s="325"/>
      <c r="L42" s="325"/>
    </row>
    <row r="43" spans="1:12" s="382" customFormat="1" ht="18">
      <c r="A43" s="1378"/>
      <c r="B43" s="1388" t="s">
        <v>2759</v>
      </c>
      <c r="C43" s="1387"/>
      <c r="D43" s="1373"/>
      <c r="E43" s="325"/>
      <c r="F43" s="325"/>
      <c r="G43" s="325"/>
      <c r="H43" s="325"/>
      <c r="I43" s="325"/>
      <c r="J43" s="325"/>
      <c r="K43" s="325"/>
      <c r="L43" s="325"/>
    </row>
    <row r="44" spans="1:12" s="382" customFormat="1" ht="15.75">
      <c r="A44" s="385" t="s">
        <v>2740</v>
      </c>
      <c r="B44" s="386" t="s">
        <v>2760</v>
      </c>
      <c r="C44" s="386"/>
      <c r="D44" s="390">
        <f>'SOF1819-SB1'!H20</f>
        <v>0</v>
      </c>
      <c r="E44" s="325"/>
      <c r="F44" s="325"/>
      <c r="G44" s="325"/>
      <c r="H44" s="325"/>
      <c r="I44" s="325"/>
      <c r="J44" s="325"/>
      <c r="K44" s="325"/>
      <c r="L44" s="325"/>
    </row>
    <row r="45" spans="1:12" s="382" customFormat="1" ht="15.75">
      <c r="A45" s="385" t="s">
        <v>2741</v>
      </c>
      <c r="B45" s="386" t="s">
        <v>3187</v>
      </c>
      <c r="C45" s="386"/>
      <c r="D45" s="390">
        <f>'SOF1819-SB1'!H131</f>
        <v>0</v>
      </c>
      <c r="E45" s="325"/>
      <c r="F45" s="325"/>
      <c r="G45" s="325"/>
      <c r="H45" s="325"/>
      <c r="I45" s="325"/>
      <c r="J45" s="325"/>
      <c r="K45" s="325"/>
      <c r="L45" s="325"/>
    </row>
    <row r="46" spans="1:12" s="382" customFormat="1" ht="15.75">
      <c r="A46" s="385" t="s">
        <v>2742</v>
      </c>
      <c r="B46" s="386" t="s">
        <v>3188</v>
      </c>
      <c r="C46" s="386"/>
      <c r="D46" s="390">
        <f>'SOF1819-SB1'!H132</f>
        <v>0</v>
      </c>
      <c r="E46" s="325"/>
      <c r="F46" s="325"/>
      <c r="G46" s="325"/>
      <c r="H46" s="325"/>
      <c r="I46" s="325"/>
      <c r="J46" s="325"/>
      <c r="K46" s="325"/>
      <c r="L46" s="325"/>
    </row>
    <row r="47" spans="1:12" s="382" customFormat="1" ht="15.75">
      <c r="A47" s="385" t="s">
        <v>2743</v>
      </c>
      <c r="B47" s="386" t="s">
        <v>3189</v>
      </c>
      <c r="C47" s="386"/>
      <c r="D47" s="390">
        <f>'SOF1819-SB1'!H133</f>
        <v>0</v>
      </c>
      <c r="E47" s="325"/>
      <c r="F47" s="325"/>
      <c r="G47" s="325"/>
      <c r="H47" s="325"/>
      <c r="I47" s="325"/>
      <c r="J47" s="325"/>
      <c r="K47" s="325"/>
      <c r="L47" s="325"/>
    </row>
    <row r="48" spans="1:12" s="382" customFormat="1" ht="15.75">
      <c r="A48" s="385" t="s">
        <v>2744</v>
      </c>
      <c r="B48" s="386" t="s">
        <v>3191</v>
      </c>
      <c r="C48" s="386"/>
      <c r="D48" s="390">
        <f>'SOF1819-SB1'!H134</f>
        <v>0</v>
      </c>
      <c r="E48" s="325"/>
      <c r="F48" s="325"/>
      <c r="G48" s="325"/>
      <c r="H48" s="325"/>
      <c r="I48" s="325"/>
      <c r="J48" s="325"/>
      <c r="K48" s="325"/>
      <c r="L48" s="325"/>
    </row>
    <row r="49" spans="1:12" s="382" customFormat="1" ht="15.75">
      <c r="A49" s="385" t="s">
        <v>2745</v>
      </c>
      <c r="B49" s="386" t="s">
        <v>3190</v>
      </c>
      <c r="C49" s="386"/>
      <c r="D49" s="390">
        <f>'SOF1819-SB1'!H38</f>
        <v>0</v>
      </c>
      <c r="E49" s="325"/>
      <c r="F49" s="325"/>
      <c r="G49" s="325"/>
      <c r="H49" s="325"/>
      <c r="I49" s="325"/>
      <c r="J49" s="325"/>
      <c r="K49" s="325"/>
      <c r="L49" s="325"/>
    </row>
    <row r="50" spans="1:12" s="382" customFormat="1" ht="15.75">
      <c r="A50" s="385" t="s">
        <v>2746</v>
      </c>
      <c r="B50" s="386" t="s">
        <v>2761</v>
      </c>
      <c r="C50" s="386"/>
      <c r="D50" s="390">
        <f>'SOF1819-SB1'!H40</f>
        <v>0</v>
      </c>
      <c r="E50" s="325"/>
      <c r="F50" s="325"/>
      <c r="G50" s="325"/>
      <c r="H50" s="325"/>
      <c r="I50" s="325"/>
      <c r="J50" s="325"/>
      <c r="K50" s="325"/>
      <c r="L50" s="325"/>
    </row>
    <row r="51" spans="1:12" s="382" customFormat="1" ht="15.75">
      <c r="A51" s="385" t="s">
        <v>2747</v>
      </c>
      <c r="B51" s="386" t="s">
        <v>2771</v>
      </c>
      <c r="C51" s="386"/>
      <c r="D51" s="390">
        <f>'SOF1819-SB1'!H41</f>
        <v>0</v>
      </c>
      <c r="E51" s="325"/>
      <c r="F51" s="325"/>
      <c r="G51" s="325"/>
      <c r="H51" s="325"/>
      <c r="I51" s="325"/>
      <c r="J51" s="325"/>
      <c r="K51" s="325"/>
      <c r="L51" s="325"/>
    </row>
    <row r="52" spans="1:12" s="382" customFormat="1" ht="15.75">
      <c r="A52" s="385" t="s">
        <v>2748</v>
      </c>
      <c r="B52" s="386" t="s">
        <v>3192</v>
      </c>
      <c r="C52" s="386"/>
      <c r="D52" s="390">
        <f>'SOF1819-SB1'!H42</f>
        <v>0</v>
      </c>
      <c r="E52" s="325"/>
      <c r="F52" s="325"/>
      <c r="G52" s="325"/>
      <c r="H52" s="325"/>
      <c r="I52" s="325"/>
      <c r="J52" s="325"/>
      <c r="K52" s="325"/>
      <c r="L52" s="325"/>
    </row>
    <row r="53" spans="1:12" s="382" customFormat="1" ht="15.75">
      <c r="A53" s="385" t="s">
        <v>2749</v>
      </c>
      <c r="B53" s="386" t="s">
        <v>2762</v>
      </c>
      <c r="C53" s="386"/>
      <c r="D53" s="390">
        <f>'SOF1819-SB1'!H39</f>
        <v>0</v>
      </c>
      <c r="E53" s="325"/>
      <c r="F53" s="325"/>
      <c r="G53" s="325"/>
      <c r="H53" s="325"/>
      <c r="I53" s="325"/>
      <c r="J53" s="325"/>
      <c r="K53" s="325"/>
      <c r="L53" s="325"/>
    </row>
    <row r="54" spans="1:12" s="382" customFormat="1" ht="15.75">
      <c r="A54" s="385" t="s">
        <v>2750</v>
      </c>
      <c r="B54" s="701" t="s">
        <v>3265</v>
      </c>
      <c r="C54" s="386"/>
      <c r="D54" s="390">
        <f>'SOF1819-SB1'!H43</f>
        <v>0</v>
      </c>
      <c r="E54" s="325"/>
      <c r="F54" s="325"/>
      <c r="G54" s="325"/>
      <c r="H54" s="325"/>
      <c r="I54" s="325"/>
      <c r="J54" s="325"/>
      <c r="K54" s="325"/>
      <c r="L54" s="325"/>
    </row>
    <row r="55" spans="1:12" s="382" customFormat="1" ht="15.75">
      <c r="A55" s="385" t="s">
        <v>2751</v>
      </c>
      <c r="B55" s="386" t="s">
        <v>2763</v>
      </c>
      <c r="C55" s="386"/>
      <c r="D55" s="390">
        <f>'SOF1819-SB1'!H44</f>
        <v>0</v>
      </c>
      <c r="E55" s="325"/>
      <c r="F55" s="325"/>
      <c r="G55" s="325"/>
      <c r="H55" s="325"/>
      <c r="I55" s="325"/>
      <c r="J55" s="325"/>
      <c r="K55" s="325"/>
      <c r="L55" s="325"/>
    </row>
    <row r="56" spans="1:12" s="382" customFormat="1" ht="15.75">
      <c r="A56" s="385" t="s">
        <v>2752</v>
      </c>
      <c r="B56" s="386" t="s">
        <v>785</v>
      </c>
      <c r="C56" s="386"/>
      <c r="D56" s="390">
        <f>'SOF1819-SB1'!H45</f>
        <v>0</v>
      </c>
      <c r="E56" s="325"/>
      <c r="F56" s="325"/>
      <c r="G56" s="325"/>
      <c r="H56" s="325"/>
      <c r="I56" s="325"/>
      <c r="J56" s="325"/>
      <c r="K56" s="325"/>
      <c r="L56" s="325"/>
    </row>
    <row r="57" spans="1:12" s="382" customFormat="1" ht="15.75">
      <c r="A57" s="385" t="s">
        <v>2753</v>
      </c>
      <c r="B57" s="386" t="s">
        <v>2764</v>
      </c>
      <c r="C57" s="386"/>
      <c r="D57" s="390">
        <f>'SOF1819-SB1'!H75</f>
        <v>0</v>
      </c>
      <c r="E57" s="325"/>
      <c r="F57" s="325"/>
      <c r="G57" s="325"/>
      <c r="H57" s="325"/>
      <c r="I57" s="325"/>
      <c r="J57" s="325"/>
      <c r="K57" s="325"/>
      <c r="L57" s="325"/>
    </row>
    <row r="58" spans="1:12" s="382" customFormat="1" ht="18">
      <c r="A58" s="1390" t="s">
        <v>3101</v>
      </c>
      <c r="B58" s="1400"/>
      <c r="C58" s="1400"/>
      <c r="D58" s="1401"/>
      <c r="E58" s="325"/>
      <c r="F58" s="325"/>
      <c r="G58" s="325"/>
      <c r="H58" s="325"/>
      <c r="I58" s="325"/>
      <c r="J58" s="325"/>
      <c r="K58" s="325"/>
      <c r="L58" s="325"/>
    </row>
    <row r="59" spans="1:12" s="382" customFormat="1" ht="18">
      <c r="A59" s="1382" t="s">
        <v>3102</v>
      </c>
      <c r="B59" s="1402"/>
      <c r="C59" s="1402"/>
      <c r="D59" s="1403"/>
      <c r="E59" s="325"/>
      <c r="F59" s="325"/>
      <c r="G59" s="325"/>
      <c r="H59" s="325"/>
      <c r="I59" s="325"/>
      <c r="J59" s="325"/>
      <c r="K59" s="325"/>
      <c r="L59" s="325"/>
    </row>
    <row r="60" spans="1:12" s="382" customFormat="1" ht="15.75">
      <c r="A60" s="385" t="s">
        <v>2754</v>
      </c>
      <c r="B60" s="386" t="s">
        <v>2765</v>
      </c>
      <c r="C60" s="386"/>
      <c r="D60" s="390">
        <f>'SOF1819-SB1'!H48</f>
        <v>0</v>
      </c>
      <c r="E60" s="325"/>
      <c r="F60" s="325"/>
      <c r="G60" s="325"/>
      <c r="H60" s="325"/>
      <c r="I60" s="325"/>
      <c r="J60" s="325"/>
      <c r="K60" s="325"/>
      <c r="L60" s="325"/>
    </row>
    <row r="61" spans="1:12" s="382" customFormat="1" ht="15.75">
      <c r="A61" s="385" t="s">
        <v>2755</v>
      </c>
      <c r="B61" s="702" t="s">
        <v>3266</v>
      </c>
      <c r="C61" s="386"/>
      <c r="D61" s="390" t="e">
        <f>'SOF1819-SB1'!H53</f>
        <v>#DIV/0!</v>
      </c>
      <c r="E61" s="325"/>
      <c r="F61" s="325"/>
      <c r="G61" s="325"/>
      <c r="H61" s="325"/>
      <c r="I61" s="325"/>
      <c r="J61" s="325"/>
      <c r="K61" s="325"/>
      <c r="L61" s="325"/>
    </row>
    <row r="62" spans="1:12" s="382" customFormat="1" ht="15.75">
      <c r="A62" s="385" t="s">
        <v>2756</v>
      </c>
      <c r="B62" s="701" t="s">
        <v>3267</v>
      </c>
      <c r="C62" s="386"/>
      <c r="D62" s="390" t="e">
        <f>'Report-Other1819'!D28</f>
        <v>#DIV/0!</v>
      </c>
      <c r="E62" s="325" t="s">
        <v>4016</v>
      </c>
      <c r="F62" s="325"/>
      <c r="G62" s="325"/>
      <c r="H62" s="325"/>
      <c r="I62" s="325"/>
      <c r="J62" s="325"/>
      <c r="K62" s="325"/>
      <c r="L62" s="325"/>
    </row>
    <row r="63" spans="1:12" s="382" customFormat="1" ht="15.75">
      <c r="A63" s="385" t="s">
        <v>2757</v>
      </c>
      <c r="B63" s="386" t="str">
        <f>CONCATENATE("Less: Total Available School Fund ($",Assumptions!G114," * Prior Year ADA)")</f>
        <v>Less: Total Available School Fund ($486.231 * Prior Year ADA)</v>
      </c>
      <c r="C63" s="386"/>
      <c r="D63" s="390">
        <f>'SOF1819-SB1'!H70</f>
        <v>0</v>
      </c>
      <c r="E63" s="325"/>
      <c r="F63" s="325"/>
      <c r="G63" s="325"/>
      <c r="H63" s="325"/>
      <c r="I63" s="325"/>
      <c r="J63" s="325"/>
      <c r="K63" s="325"/>
      <c r="L63" s="325"/>
    </row>
    <row r="64" spans="1:12" s="382" customFormat="1" ht="15.75">
      <c r="A64" s="385" t="s">
        <v>2758</v>
      </c>
      <c r="B64" s="386" t="s">
        <v>2766</v>
      </c>
      <c r="C64" s="386"/>
      <c r="D64" s="390" t="e">
        <f>'SOF1819-SB1'!H74+'HH1819-Calcs'!D26</f>
        <v>#DIV/0!</v>
      </c>
      <c r="E64" s="325"/>
      <c r="F64" s="325"/>
      <c r="G64" s="325"/>
      <c r="H64" s="325"/>
      <c r="I64" s="325"/>
      <c r="J64" s="325"/>
      <c r="K64" s="325"/>
      <c r="L64" s="325"/>
    </row>
    <row r="65" spans="1:12" s="382" customFormat="1" ht="18">
      <c r="A65" s="1372" t="s">
        <v>2772</v>
      </c>
      <c r="B65" s="1388"/>
      <c r="C65" s="1388"/>
      <c r="D65" s="1389"/>
      <c r="E65" s="325"/>
      <c r="F65" s="325"/>
      <c r="G65" s="325"/>
      <c r="H65" s="325"/>
      <c r="I65" s="325"/>
      <c r="J65" s="325"/>
      <c r="K65" s="325"/>
      <c r="L65" s="325"/>
    </row>
    <row r="66" spans="1:12" s="382" customFormat="1" ht="18">
      <c r="A66" s="1378"/>
      <c r="B66" s="1388" t="s">
        <v>2780</v>
      </c>
      <c r="C66" s="1387"/>
      <c r="D66" s="1373"/>
      <c r="E66" s="325"/>
      <c r="F66" s="325"/>
      <c r="G66" s="325"/>
      <c r="H66" s="325"/>
      <c r="I66" s="325"/>
      <c r="J66" s="325"/>
      <c r="K66" s="325"/>
      <c r="L66" s="325"/>
    </row>
    <row r="67" spans="1:12" s="382" customFormat="1" ht="15.75">
      <c r="A67" s="385" t="s">
        <v>2773</v>
      </c>
      <c r="B67" s="386" t="s">
        <v>2779</v>
      </c>
      <c r="C67" s="386"/>
      <c r="D67" s="390" t="e">
        <f>'SOF1819-SB1'!H74+'HH1819-Calcs'!D26</f>
        <v>#DIV/0!</v>
      </c>
      <c r="E67" s="325"/>
      <c r="F67" s="325"/>
      <c r="G67" s="325"/>
      <c r="H67" s="325"/>
      <c r="I67" s="325"/>
      <c r="J67" s="325"/>
      <c r="K67" s="325"/>
      <c r="L67" s="325"/>
    </row>
    <row r="68" spans="1:12" s="382" customFormat="1" ht="15.75">
      <c r="A68" s="385" t="s">
        <v>2774</v>
      </c>
      <c r="B68" s="386" t="s">
        <v>3047</v>
      </c>
      <c r="C68" s="386"/>
      <c r="D68" s="390">
        <f>'SOF1819-SB1'!H75</f>
        <v>0</v>
      </c>
      <c r="E68" s="325"/>
      <c r="F68" s="325"/>
      <c r="G68" s="325"/>
      <c r="H68" s="325"/>
      <c r="I68" s="325"/>
      <c r="J68" s="325"/>
      <c r="K68" s="325"/>
      <c r="L68" s="325"/>
    </row>
    <row r="69" spans="1:12" s="382" customFormat="1" ht="15.75">
      <c r="A69" s="385" t="s">
        <v>2775</v>
      </c>
      <c r="B69" s="702" t="s">
        <v>3268</v>
      </c>
      <c r="C69" s="386"/>
      <c r="D69" s="390">
        <f>'Existing Debt-OldLaw'!I74</f>
        <v>0</v>
      </c>
      <c r="E69" s="325"/>
      <c r="F69" s="325"/>
      <c r="G69" s="325"/>
      <c r="H69" s="325"/>
      <c r="I69" s="325"/>
      <c r="J69" s="325"/>
      <c r="K69" s="325"/>
      <c r="L69" s="325"/>
    </row>
    <row r="70" spans="1:12" s="382" customFormat="1" ht="15.75">
      <c r="A70" s="385" t="s">
        <v>2776</v>
      </c>
      <c r="B70" s="701" t="s">
        <v>3269</v>
      </c>
      <c r="C70" s="386"/>
      <c r="D70" s="390">
        <f>'IFA-OldLaw'!L86</f>
        <v>0</v>
      </c>
      <c r="E70" s="325"/>
      <c r="F70" s="325"/>
      <c r="G70" s="325"/>
      <c r="H70" s="325"/>
      <c r="I70" s="325"/>
      <c r="J70" s="325"/>
      <c r="K70" s="325"/>
      <c r="L70" s="325"/>
    </row>
    <row r="71" spans="1:12" s="382" customFormat="1" ht="15.75">
      <c r="A71" s="385" t="s">
        <v>2777</v>
      </c>
      <c r="B71" s="386" t="s">
        <v>3194</v>
      </c>
      <c r="C71" s="386"/>
      <c r="D71" s="390">
        <f>'IFA-OldLaw'!M86</f>
        <v>0</v>
      </c>
      <c r="E71" s="325"/>
      <c r="F71" s="325"/>
      <c r="G71" s="325"/>
      <c r="H71" s="325"/>
      <c r="I71" s="325"/>
      <c r="J71" s="325"/>
      <c r="K71" s="325"/>
      <c r="L71" s="325"/>
    </row>
    <row r="72" spans="1:12" s="382" customFormat="1" ht="15.75">
      <c r="A72" s="385" t="s">
        <v>2778</v>
      </c>
      <c r="B72" s="386" t="s">
        <v>4035</v>
      </c>
      <c r="C72" s="386"/>
      <c r="D72" s="390" t="e">
        <f>'HH1819-Calcs'!C51</f>
        <v>#DIV/0!</v>
      </c>
      <c r="E72" s="325"/>
      <c r="F72" s="325"/>
      <c r="G72" s="325"/>
      <c r="H72" s="325"/>
      <c r="I72" s="325"/>
      <c r="J72" s="325"/>
      <c r="K72" s="325"/>
      <c r="L72" s="325"/>
    </row>
    <row r="73" spans="1:12" s="382" customFormat="1" ht="18">
      <c r="A73" s="491" t="s">
        <v>2917</v>
      </c>
      <c r="B73" s="1303" t="s">
        <v>3231</v>
      </c>
      <c r="C73" s="1393"/>
      <c r="D73" s="1404" t="e">
        <f>'SOF1819-SB1'!H80+'HH1819-Calcs'!D26+D72</f>
        <v>#DIV/0!</v>
      </c>
      <c r="E73" s="325" t="s">
        <v>4015</v>
      </c>
      <c r="F73" s="325"/>
      <c r="G73" s="325"/>
      <c r="H73" s="325"/>
      <c r="I73" s="325"/>
      <c r="J73" s="325"/>
      <c r="K73" s="325"/>
      <c r="L73" s="325"/>
    </row>
    <row r="74" spans="1:12" s="382" customFormat="1" ht="18">
      <c r="A74" s="423"/>
      <c r="B74" s="589"/>
      <c r="D74" s="590"/>
      <c r="E74" s="325"/>
      <c r="F74" s="325"/>
      <c r="G74" s="325"/>
      <c r="H74" s="325"/>
      <c r="I74" s="325"/>
      <c r="J74" s="325"/>
      <c r="K74" s="325"/>
      <c r="L74" s="325"/>
    </row>
    <row r="75" spans="1:12" s="382" customFormat="1" ht="15.75">
      <c r="A75" s="1392"/>
      <c r="B75" s="4696" t="s">
        <v>10204</v>
      </c>
      <c r="C75" s="1378"/>
      <c r="D75" s="1378"/>
      <c r="G75" s="325"/>
      <c r="H75" s="325"/>
      <c r="I75" s="325"/>
      <c r="J75" s="325"/>
      <c r="K75" s="325"/>
      <c r="L75" s="325"/>
    </row>
    <row r="76" spans="1:12" s="382" customFormat="1" ht="15.75">
      <c r="A76" s="394"/>
      <c r="D76" s="3060"/>
      <c r="G76" s="325"/>
      <c r="H76" s="325"/>
      <c r="I76" s="325"/>
      <c r="J76" s="325"/>
      <c r="K76" s="325"/>
      <c r="L76" s="325"/>
    </row>
    <row r="77" spans="1:12" s="382" customFormat="1" ht="15.75">
      <c r="A77" s="381"/>
      <c r="D77" s="3060"/>
      <c r="G77" s="325"/>
      <c r="H77" s="325"/>
      <c r="I77" s="325"/>
      <c r="J77" s="325"/>
      <c r="K77" s="325"/>
      <c r="L77" s="325"/>
    </row>
    <row r="78" spans="1:12" ht="16.5" thickBot="1">
      <c r="A78" s="381" t="s">
        <v>3103</v>
      </c>
      <c r="B78" s="382"/>
      <c r="C78" s="382"/>
      <c r="D78" s="382"/>
    </row>
    <row r="79" spans="1:12" ht="16.5" thickTop="1">
      <c r="A79" s="498" t="s">
        <v>2457</v>
      </c>
      <c r="B79" s="421"/>
      <c r="C79" s="642"/>
      <c r="D79" s="420"/>
    </row>
    <row r="80" spans="1:12" ht="15.75">
      <c r="A80" s="645" t="s">
        <v>3206</v>
      </c>
      <c r="B80" s="650" t="s">
        <v>3219</v>
      </c>
      <c r="C80" s="384"/>
      <c r="D80" s="422" t="e">
        <f>'SOF1819-SB1'!H88+'HH1819-Calcs'!D26</f>
        <v>#DIV/0!</v>
      </c>
    </row>
    <row r="81" spans="1:5" ht="15.75">
      <c r="A81" s="645" t="s">
        <v>3207</v>
      </c>
      <c r="B81" s="644" t="s">
        <v>2861</v>
      </c>
      <c r="C81" s="651"/>
      <c r="D81" s="422" t="e">
        <f>'SOF1819-SB1'!H89</f>
        <v>#DIV/0!</v>
      </c>
    </row>
    <row r="82" spans="1:5" ht="15.75">
      <c r="A82" s="645" t="s">
        <v>3208</v>
      </c>
      <c r="B82" s="644" t="s">
        <v>3220</v>
      </c>
      <c r="C82" s="384"/>
      <c r="D82" s="422">
        <f>'SOF1819-SB1'!H90</f>
        <v>0</v>
      </c>
    </row>
    <row r="83" spans="1:5" ht="15.75">
      <c r="A83" s="645" t="s">
        <v>3209</v>
      </c>
      <c r="B83" s="644" t="s">
        <v>3221</v>
      </c>
      <c r="C83" s="384"/>
      <c r="D83" s="422" t="e">
        <f>'SOF1819-SB1'!H91</f>
        <v>#DIV/0!</v>
      </c>
    </row>
    <row r="84" spans="1:5" ht="15.75">
      <c r="A84" s="645" t="s">
        <v>3210</v>
      </c>
      <c r="B84" s="644" t="s">
        <v>8146</v>
      </c>
      <c r="C84" s="384"/>
      <c r="D84" s="1079">
        <f>'Data Entry - SOF'!E142*-1</f>
        <v>0</v>
      </c>
    </row>
    <row r="85" spans="1:5" ht="15.75">
      <c r="A85" s="645" t="s">
        <v>3211</v>
      </c>
      <c r="B85" s="652" t="s">
        <v>3232</v>
      </c>
      <c r="C85" s="384"/>
      <c r="D85" s="422" t="e">
        <f>'SOF1819-SB1'!H92+'HH1819-Calcs'!D26+D84</f>
        <v>#DIV/0!</v>
      </c>
    </row>
    <row r="86" spans="1:5" ht="15.75">
      <c r="A86" s="645" t="s">
        <v>3212</v>
      </c>
      <c r="B86" s="653" t="s">
        <v>2862</v>
      </c>
      <c r="C86" s="384"/>
      <c r="D86" s="422" t="e">
        <f>'SOF1819-SB1'!H93</f>
        <v>#DIV/0!</v>
      </c>
    </row>
    <row r="87" spans="1:5" ht="16.5" thickBot="1">
      <c r="A87" s="646" t="s">
        <v>3213</v>
      </c>
      <c r="B87" s="654" t="s">
        <v>3233</v>
      </c>
      <c r="C87" s="643"/>
      <c r="D87" s="471" t="e">
        <f>D85+D86</f>
        <v>#DIV/0!</v>
      </c>
    </row>
    <row r="88" spans="1:5" ht="13.5" customHeight="1" thickTop="1">
      <c r="B88" s="450"/>
      <c r="C88" s="325"/>
      <c r="D88" s="325"/>
      <c r="E88" s="590"/>
    </row>
    <row r="89" spans="1:5" ht="13.5" thickBot="1">
      <c r="B89" s="64"/>
    </row>
    <row r="90" spans="1:5" ht="16.5" thickTop="1">
      <c r="A90" s="498" t="s">
        <v>3050</v>
      </c>
      <c r="B90" s="500"/>
      <c r="C90" s="500"/>
      <c r="D90" s="497"/>
    </row>
    <row r="91" spans="1:5" ht="15">
      <c r="A91" s="645" t="s">
        <v>3214</v>
      </c>
      <c r="B91" s="649" t="str">
        <f>CONCATENATE("Recapture at the $",Assumptions!G112," Level")</f>
        <v>Recapture at the $514000 Level</v>
      </c>
      <c r="C91" s="647"/>
      <c r="D91" s="422" t="e">
        <f>ASATR!H39</f>
        <v>#DIV/0!</v>
      </c>
    </row>
    <row r="92" spans="1:5" ht="15">
      <c r="A92" s="645" t="s">
        <v>3215</v>
      </c>
      <c r="B92" s="649" t="str">
        <f>CONCATENATE("Recapture at the $",Assumptions!G71," Level")</f>
        <v>Recapture at the $319500 Level</v>
      </c>
      <c r="C92" s="647"/>
      <c r="D92" s="422" t="e">
        <f>IF('Report-Recapture1819'!G141="Y",MIN('Report-Recapture1819'!C141,'Report-Recapture1819'!E141),MAX('Report-Recapture1819'!C141,'Report-Recapture1819'!E141))</f>
        <v>#DIV/0!</v>
      </c>
    </row>
    <row r="93" spans="1:5" ht="15.75">
      <c r="A93" s="645" t="s">
        <v>3216</v>
      </c>
      <c r="B93" s="382" t="s">
        <v>7068</v>
      </c>
      <c r="C93" s="647"/>
      <c r="D93" s="501" t="e">
        <f>D91+D92</f>
        <v>#DIV/0!</v>
      </c>
    </row>
    <row r="94" spans="1:5" ht="15">
      <c r="A94" s="645" t="s">
        <v>3217</v>
      </c>
      <c r="B94" s="649" t="s">
        <v>10214</v>
      </c>
      <c r="C94" s="647"/>
      <c r="D94" s="1080">
        <f>'Data Entry - SOF'!E142</f>
        <v>0</v>
      </c>
    </row>
    <row r="95" spans="1:5" ht="16.5" thickBot="1">
      <c r="A95" s="646" t="s">
        <v>3218</v>
      </c>
      <c r="B95" s="1297" t="s">
        <v>6954</v>
      </c>
      <c r="C95" s="648"/>
      <c r="D95" s="471" t="e">
        <f>D93+D94</f>
        <v>#DIV/0!</v>
      </c>
    </row>
    <row r="96" spans="1:5" ht="13.5" thickTop="1"/>
    <row r="100" spans="2:4" hidden="1">
      <c r="B100" s="72" t="s">
        <v>8278</v>
      </c>
      <c r="D100" s="1990">
        <f>'Report-M&amp;O1819'!C18</f>
        <v>0</v>
      </c>
    </row>
    <row r="101" spans="2:4" hidden="1">
      <c r="B101" s="72" t="s">
        <v>8279</v>
      </c>
      <c r="D101" s="1990">
        <f>D55</f>
        <v>0</v>
      </c>
    </row>
    <row r="102" spans="2:4" hidden="1">
      <c r="B102" s="72" t="s">
        <v>8280</v>
      </c>
      <c r="D102" s="35">
        <f>IF(D100-D101&lt;=0,0,D100-D101)</f>
        <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5703125" customWidth="1"/>
    <col min="5" max="7" width="12.5703125" customWidth="1"/>
    <col min="8" max="12" width="20.5703125" customWidth="1"/>
  </cols>
  <sheetData>
    <row r="1" spans="1:13" ht="75">
      <c r="A1" s="958" t="s">
        <v>4040</v>
      </c>
      <c r="B1" s="958"/>
      <c r="C1" s="958" t="s">
        <v>4041</v>
      </c>
      <c r="D1" s="958" t="s">
        <v>4042</v>
      </c>
      <c r="E1" s="958" t="s">
        <v>4043</v>
      </c>
      <c r="F1" s="958" t="s">
        <v>4044</v>
      </c>
      <c r="G1" s="958" t="s">
        <v>4045</v>
      </c>
      <c r="H1" s="960" t="s">
        <v>4046</v>
      </c>
      <c r="I1" s="960" t="s">
        <v>4047</v>
      </c>
      <c r="J1" s="1084" t="s">
        <v>4048</v>
      </c>
      <c r="K1" s="960" t="s">
        <v>4049</v>
      </c>
      <c r="L1" s="960" t="s">
        <v>4050</v>
      </c>
      <c r="M1" s="958" t="s">
        <v>4051</v>
      </c>
    </row>
    <row r="2" spans="1:13" ht="15">
      <c r="A2" s="979" t="s">
        <v>3365</v>
      </c>
      <c r="B2" s="1040" t="str">
        <f>CONCATENATE(LEFT(RIGHT(CONCATENATE("000",IFAData_TEA_1617!A2),6),3),"-",(RIGHT(RIGHT(CONCATENATE("000",IFAData_TEA_1617!A2),6),3)))</f>
        <v>001-903</v>
      </c>
      <c r="C2" s="979" t="s">
        <v>280</v>
      </c>
      <c r="D2" s="979">
        <v>10</v>
      </c>
      <c r="E2" s="979">
        <v>1801</v>
      </c>
      <c r="F2" s="979" t="s">
        <v>4052</v>
      </c>
      <c r="G2" s="979" t="s">
        <v>4052</v>
      </c>
      <c r="H2" s="979">
        <v>319250</v>
      </c>
      <c r="I2" s="979">
        <v>1049794</v>
      </c>
      <c r="J2" s="979">
        <v>1</v>
      </c>
      <c r="K2" s="979">
        <v>319250</v>
      </c>
      <c r="L2" s="979">
        <v>319250</v>
      </c>
      <c r="M2" s="979">
        <v>599</v>
      </c>
    </row>
    <row r="3" spans="1:13" ht="15">
      <c r="A3" s="979" t="s">
        <v>3366</v>
      </c>
      <c r="B3" s="1040" t="str">
        <f>CONCATENATE(LEFT(RIGHT(CONCATENATE("000",IFAData_TEA_1617!A3),6),3),"-",(RIGHT(RIGHT(CONCATENATE("000",IFAData_TEA_1617!A3),6),3)))</f>
        <v>001-907</v>
      </c>
      <c r="C3" s="979" t="s">
        <v>283</v>
      </c>
      <c r="D3" s="979">
        <v>10</v>
      </c>
      <c r="E3" s="979">
        <v>2170</v>
      </c>
      <c r="F3" s="979" t="s">
        <v>4053</v>
      </c>
      <c r="G3" s="979" t="s">
        <v>6395</v>
      </c>
      <c r="H3" s="979">
        <v>751572</v>
      </c>
      <c r="I3" s="979">
        <v>2128916</v>
      </c>
      <c r="J3" s="979">
        <v>0.60171029261967135</v>
      </c>
      <c r="K3" s="979">
        <v>452228.60804475163</v>
      </c>
      <c r="L3" s="979">
        <v>452228.60804475163</v>
      </c>
      <c r="M3" s="979">
        <v>599</v>
      </c>
    </row>
    <row r="4" spans="1:13" ht="15">
      <c r="A4" s="979" t="s">
        <v>3366</v>
      </c>
      <c r="B4" s="1040" t="str">
        <f>CONCATENATE(LEFT(RIGHT(CONCATENATE("000",IFAData_TEA_1617!A4),6),3),"-",(RIGHT(RIGHT(CONCATENATE("000",IFAData_TEA_1617!A4),6),3)))</f>
        <v>001-907</v>
      </c>
      <c r="C4" s="979" t="s">
        <v>283</v>
      </c>
      <c r="D4" s="979">
        <v>10</v>
      </c>
      <c r="E4" s="979">
        <v>2170</v>
      </c>
      <c r="F4" s="979" t="s">
        <v>4053</v>
      </c>
      <c r="G4" s="979" t="s">
        <v>4053</v>
      </c>
      <c r="H4" s="979">
        <v>751572</v>
      </c>
      <c r="I4" s="979">
        <v>1409192</v>
      </c>
      <c r="J4" s="979">
        <v>0.39828970738032871</v>
      </c>
      <c r="K4" s="979">
        <v>299343.39195524843</v>
      </c>
      <c r="L4" s="979">
        <v>299343.39195524843</v>
      </c>
      <c r="M4" s="979">
        <v>599</v>
      </c>
    </row>
    <row r="5" spans="1:13" ht="15">
      <c r="A5" s="979" t="s">
        <v>3367</v>
      </c>
      <c r="B5" s="1040" t="str">
        <f>CONCATENATE(LEFT(RIGHT(CONCATENATE("000",IFAData_TEA_1617!A5),6),3),"-",(RIGHT(RIGHT(CONCATENATE("000",IFAData_TEA_1617!A5),6),3)))</f>
        <v>003-902</v>
      </c>
      <c r="C5" s="979" t="s">
        <v>2382</v>
      </c>
      <c r="D5" s="979">
        <v>9</v>
      </c>
      <c r="E5" s="979">
        <v>1910</v>
      </c>
      <c r="F5" s="979" t="s">
        <v>4057</v>
      </c>
      <c r="G5" s="979" t="s">
        <v>4057</v>
      </c>
      <c r="H5" s="979">
        <v>578788</v>
      </c>
      <c r="I5" s="979">
        <v>251738</v>
      </c>
      <c r="J5" s="979">
        <v>0.4838100875608275</v>
      </c>
      <c r="K5" s="979">
        <v>280023.47295915621</v>
      </c>
      <c r="L5" s="979">
        <v>251738</v>
      </c>
      <c r="M5" s="979">
        <v>599</v>
      </c>
    </row>
    <row r="6" spans="1:13" ht="15">
      <c r="A6" s="979" t="s">
        <v>3367</v>
      </c>
      <c r="B6" s="1040" t="str">
        <f>CONCATENATE(LEFT(RIGHT(CONCATENATE("000",IFAData_TEA_1617!A6),6),3),"-",(RIGHT(RIGHT(CONCATENATE("000",IFAData_TEA_1617!A6),6),3)))</f>
        <v>003-902</v>
      </c>
      <c r="C6" s="979" t="s">
        <v>2382</v>
      </c>
      <c r="D6" s="979">
        <v>4</v>
      </c>
      <c r="E6" s="979">
        <v>1909</v>
      </c>
      <c r="F6" s="979" t="s">
        <v>4054</v>
      </c>
      <c r="G6" s="979" t="s">
        <v>4055</v>
      </c>
      <c r="H6" s="979">
        <v>522310</v>
      </c>
      <c r="I6" s="979">
        <v>0</v>
      </c>
      <c r="J6" s="979">
        <v>0</v>
      </c>
      <c r="K6" s="979">
        <v>0</v>
      </c>
      <c r="L6" s="979">
        <v>0</v>
      </c>
      <c r="M6" s="979">
        <v>599</v>
      </c>
    </row>
    <row r="7" spans="1:13" ht="15">
      <c r="A7" s="979" t="s">
        <v>3367</v>
      </c>
      <c r="B7" s="1040" t="str">
        <f>CONCATENATE(LEFT(RIGHT(CONCATENATE("000",IFAData_TEA_1617!A7),6),3),"-",(RIGHT(RIGHT(CONCATENATE("000",IFAData_TEA_1617!A7),6),3)))</f>
        <v>003-902</v>
      </c>
      <c r="C7" s="979" t="s">
        <v>2382</v>
      </c>
      <c r="D7" s="979">
        <v>9</v>
      </c>
      <c r="E7" s="979">
        <v>1910</v>
      </c>
      <c r="F7" s="979" t="s">
        <v>4057</v>
      </c>
      <c r="G7" s="979" t="s">
        <v>6396</v>
      </c>
      <c r="H7" s="979">
        <v>578788</v>
      </c>
      <c r="I7" s="979">
        <v>268586</v>
      </c>
      <c r="J7" s="979">
        <v>0.51618991243917256</v>
      </c>
      <c r="K7" s="979">
        <v>298764.52704084379</v>
      </c>
      <c r="L7" s="979">
        <v>268586</v>
      </c>
      <c r="M7" s="979">
        <v>599</v>
      </c>
    </row>
    <row r="8" spans="1:13" ht="15">
      <c r="A8" s="979" t="s">
        <v>3367</v>
      </c>
      <c r="B8" s="1040" t="str">
        <f>CONCATENATE(LEFT(RIGHT(CONCATENATE("000",IFAData_TEA_1617!A8),6),3),"-",(RIGHT(RIGHT(CONCATENATE("000",IFAData_TEA_1617!A8),6),3)))</f>
        <v>003-902</v>
      </c>
      <c r="C8" s="979" t="s">
        <v>2382</v>
      </c>
      <c r="D8" s="979">
        <v>10</v>
      </c>
      <c r="E8" s="979">
        <v>1908</v>
      </c>
      <c r="F8" s="979" t="s">
        <v>4058</v>
      </c>
      <c r="G8" s="979" t="s">
        <v>4058</v>
      </c>
      <c r="H8" s="979">
        <v>61268</v>
      </c>
      <c r="I8" s="979">
        <v>154975</v>
      </c>
      <c r="J8" s="979">
        <v>1</v>
      </c>
      <c r="K8" s="979">
        <v>61268</v>
      </c>
      <c r="L8" s="979">
        <v>61268</v>
      </c>
      <c r="M8" s="979">
        <v>599</v>
      </c>
    </row>
    <row r="9" spans="1:13" ht="15">
      <c r="A9" s="979" t="s">
        <v>3367</v>
      </c>
      <c r="B9" s="1040" t="str">
        <f>CONCATENATE(LEFT(RIGHT(CONCATENATE("000",IFAData_TEA_1617!A9),6),3),"-",(RIGHT(RIGHT(CONCATENATE("000",IFAData_TEA_1617!A9),6),3)))</f>
        <v>003-902</v>
      </c>
      <c r="C9" s="979" t="s">
        <v>2382</v>
      </c>
      <c r="D9" s="979">
        <v>4</v>
      </c>
      <c r="E9" s="979">
        <v>1909</v>
      </c>
      <c r="F9" s="979" t="s">
        <v>4054</v>
      </c>
      <c r="G9" s="979" t="s">
        <v>4054</v>
      </c>
      <c r="H9" s="979">
        <v>522310</v>
      </c>
      <c r="I9" s="979">
        <v>0</v>
      </c>
      <c r="J9" s="979">
        <v>0</v>
      </c>
      <c r="K9" s="979">
        <v>0</v>
      </c>
      <c r="L9" s="979">
        <v>0</v>
      </c>
      <c r="M9" s="979">
        <v>599</v>
      </c>
    </row>
    <row r="10" spans="1:13" ht="15">
      <c r="A10" s="979" t="s">
        <v>3367</v>
      </c>
      <c r="B10" s="1040" t="str">
        <f>CONCATENATE(LEFT(RIGHT(CONCATENATE("000",IFAData_TEA_1617!A10),6),3),"-",(RIGHT(RIGHT(CONCATENATE("000",IFAData_TEA_1617!A10),6),3)))</f>
        <v>003-902</v>
      </c>
      <c r="C10" s="979" t="s">
        <v>2382</v>
      </c>
      <c r="D10" s="979">
        <v>4</v>
      </c>
      <c r="E10" s="979">
        <v>1909</v>
      </c>
      <c r="F10" s="979" t="s">
        <v>4054</v>
      </c>
      <c r="G10" s="979" t="s">
        <v>4056</v>
      </c>
      <c r="H10" s="979">
        <v>522310</v>
      </c>
      <c r="I10" s="979">
        <v>444830</v>
      </c>
      <c r="J10" s="979">
        <v>1</v>
      </c>
      <c r="K10" s="979">
        <v>522310</v>
      </c>
      <c r="L10" s="979">
        <v>444830</v>
      </c>
      <c r="M10" s="979">
        <v>599</v>
      </c>
    </row>
    <row r="11" spans="1:13" ht="15">
      <c r="A11" s="979" t="s">
        <v>3368</v>
      </c>
      <c r="B11" s="1040" t="str">
        <f>CONCATENATE(LEFT(RIGHT(CONCATENATE("000",IFAData_TEA_1617!A11),6),3),"-",(RIGHT(RIGHT(CONCATENATE("000",IFAData_TEA_1617!A11),6),3)))</f>
        <v>003-904</v>
      </c>
      <c r="C11" s="979" t="s">
        <v>1266</v>
      </c>
      <c r="D11" s="979">
        <v>3</v>
      </c>
      <c r="E11" s="979">
        <v>1917</v>
      </c>
      <c r="F11" s="979" t="s">
        <v>4061</v>
      </c>
      <c r="G11" s="979" t="s">
        <v>4060</v>
      </c>
      <c r="H11" s="979">
        <v>254314</v>
      </c>
      <c r="I11" s="979">
        <v>216281</v>
      </c>
      <c r="J11" s="979">
        <v>1</v>
      </c>
      <c r="K11" s="979">
        <v>254314</v>
      </c>
      <c r="L11" s="979">
        <v>216281</v>
      </c>
      <c r="M11" s="979">
        <v>599</v>
      </c>
    </row>
    <row r="12" spans="1:13" ht="15">
      <c r="A12" s="979" t="s">
        <v>3368</v>
      </c>
      <c r="B12" s="1040" t="str">
        <f>CONCATENATE(LEFT(RIGHT(CONCATENATE("000",IFAData_TEA_1617!A12),6),3),"-",(RIGHT(RIGHT(CONCATENATE("000",IFAData_TEA_1617!A12),6),3)))</f>
        <v>003-904</v>
      </c>
      <c r="C12" s="979" t="s">
        <v>1266</v>
      </c>
      <c r="D12" s="979">
        <v>9</v>
      </c>
      <c r="E12" s="979">
        <v>1918</v>
      </c>
      <c r="F12" s="979" t="s">
        <v>4062</v>
      </c>
      <c r="G12" s="979" t="s">
        <v>4062</v>
      </c>
      <c r="H12" s="979">
        <v>393008</v>
      </c>
      <c r="I12" s="979">
        <v>343254</v>
      </c>
      <c r="J12" s="979">
        <v>0.39396927018114913</v>
      </c>
      <c r="K12" s="979">
        <v>154833.07493535307</v>
      </c>
      <c r="L12" s="979">
        <v>154833.07493535307</v>
      </c>
      <c r="M12" s="979">
        <v>599</v>
      </c>
    </row>
    <row r="13" spans="1:13" ht="15">
      <c r="A13" s="979" t="s">
        <v>3368</v>
      </c>
      <c r="B13" s="1040" t="str">
        <f>CONCATENATE(LEFT(RIGHT(CONCATENATE("000",IFAData_TEA_1617!A13),6),3),"-",(RIGHT(RIGHT(CONCATENATE("000",IFAData_TEA_1617!A13),6),3)))</f>
        <v>003-904</v>
      </c>
      <c r="C13" s="979" t="s">
        <v>1266</v>
      </c>
      <c r="D13" s="979">
        <v>9</v>
      </c>
      <c r="E13" s="979">
        <v>1918</v>
      </c>
      <c r="F13" s="979" t="s">
        <v>4062</v>
      </c>
      <c r="G13" s="979" t="s">
        <v>6177</v>
      </c>
      <c r="H13" s="979">
        <v>393008</v>
      </c>
      <c r="I13" s="979">
        <v>433236</v>
      </c>
      <c r="J13" s="979">
        <v>0.49724597742837762</v>
      </c>
      <c r="K13" s="979">
        <v>195421.64709717184</v>
      </c>
      <c r="L13" s="979">
        <v>195421.64709717184</v>
      </c>
      <c r="M13" s="979">
        <v>599</v>
      </c>
    </row>
    <row r="14" spans="1:13" ht="15">
      <c r="A14" s="979" t="s">
        <v>3368</v>
      </c>
      <c r="B14" s="1040" t="str">
        <f>CONCATENATE(LEFT(RIGHT(CONCATENATE("000",IFAData_TEA_1617!A14),6),3),"-",(RIGHT(RIGHT(CONCATENATE("000",IFAData_TEA_1617!A14),6),3)))</f>
        <v>003-904</v>
      </c>
      <c r="C14" s="979" t="s">
        <v>1266</v>
      </c>
      <c r="D14" s="979">
        <v>3</v>
      </c>
      <c r="E14" s="979">
        <v>1916</v>
      </c>
      <c r="F14" s="979" t="s">
        <v>4059</v>
      </c>
      <c r="G14" s="979" t="s">
        <v>4059</v>
      </c>
      <c r="H14" s="979">
        <v>73837</v>
      </c>
      <c r="I14" s="979">
        <v>0</v>
      </c>
      <c r="J14" s="979">
        <v>0</v>
      </c>
      <c r="K14" s="979">
        <v>0</v>
      </c>
      <c r="L14" s="979">
        <v>0</v>
      </c>
      <c r="M14" s="979">
        <v>599</v>
      </c>
    </row>
    <row r="15" spans="1:13" ht="15">
      <c r="A15" s="979" t="s">
        <v>3368</v>
      </c>
      <c r="B15" s="1040" t="str">
        <f>CONCATENATE(LEFT(RIGHT(CONCATENATE("000",IFAData_TEA_1617!A15),6),3),"-",(RIGHT(RIGHT(CONCATENATE("000",IFAData_TEA_1617!A15),6),3)))</f>
        <v>003-904</v>
      </c>
      <c r="C15" s="979" t="s">
        <v>1266</v>
      </c>
      <c r="D15" s="979">
        <v>3</v>
      </c>
      <c r="E15" s="979">
        <v>1916</v>
      </c>
      <c r="F15" s="979" t="s">
        <v>4059</v>
      </c>
      <c r="G15" s="979" t="s">
        <v>4060</v>
      </c>
      <c r="H15" s="979">
        <v>73837</v>
      </c>
      <c r="I15" s="979">
        <v>440399</v>
      </c>
      <c r="J15" s="979">
        <v>1</v>
      </c>
      <c r="K15" s="979">
        <v>73837</v>
      </c>
      <c r="L15" s="979">
        <v>73837</v>
      </c>
      <c r="M15" s="979">
        <v>599</v>
      </c>
    </row>
    <row r="16" spans="1:13" ht="15">
      <c r="A16" s="979" t="s">
        <v>3368</v>
      </c>
      <c r="B16" s="1040" t="str">
        <f>CONCATENATE(LEFT(RIGHT(CONCATENATE("000",IFAData_TEA_1617!A16),6),3),"-",(RIGHT(RIGHT(CONCATENATE("000",IFAData_TEA_1617!A16),6),3)))</f>
        <v>003-904</v>
      </c>
      <c r="C16" s="979" t="s">
        <v>1266</v>
      </c>
      <c r="D16" s="979">
        <v>3</v>
      </c>
      <c r="E16" s="979">
        <v>1917</v>
      </c>
      <c r="F16" s="979" t="s">
        <v>4061</v>
      </c>
      <c r="G16" s="979" t="s">
        <v>4061</v>
      </c>
      <c r="H16" s="979">
        <v>254314</v>
      </c>
      <c r="I16" s="979">
        <v>0</v>
      </c>
      <c r="J16" s="979">
        <v>0</v>
      </c>
      <c r="K16" s="979">
        <v>0</v>
      </c>
      <c r="L16" s="979">
        <v>0</v>
      </c>
      <c r="M16" s="979">
        <v>599</v>
      </c>
    </row>
    <row r="17" spans="1:13" ht="15">
      <c r="A17" s="979" t="s">
        <v>3368</v>
      </c>
      <c r="B17" s="1040" t="str">
        <f>CONCATENATE(LEFT(RIGHT(CONCATENATE("000",IFAData_TEA_1617!A17),6),3),"-",(RIGHT(RIGHT(CONCATENATE("000",IFAData_TEA_1617!A17),6),3)))</f>
        <v>003-904</v>
      </c>
      <c r="C17" s="979" t="s">
        <v>1266</v>
      </c>
      <c r="D17" s="979">
        <v>9</v>
      </c>
      <c r="E17" s="979">
        <v>1918</v>
      </c>
      <c r="F17" s="979" t="s">
        <v>4062</v>
      </c>
      <c r="G17" s="979" t="s">
        <v>6397</v>
      </c>
      <c r="H17" s="979">
        <v>393008</v>
      </c>
      <c r="I17" s="979">
        <v>94781</v>
      </c>
      <c r="J17" s="979">
        <v>0.10878475239047322</v>
      </c>
      <c r="K17" s="979">
        <v>42753.2779674751</v>
      </c>
      <c r="L17" s="979">
        <v>42753.2779674751</v>
      </c>
      <c r="M17" s="979">
        <v>599</v>
      </c>
    </row>
    <row r="18" spans="1:13" ht="15">
      <c r="A18" s="979" t="s">
        <v>3369</v>
      </c>
      <c r="B18" s="1040" t="str">
        <f>CONCATENATE(LEFT(RIGHT(CONCATENATE("000",IFAData_TEA_1617!A18),6),3),"-",(RIGHT(RIGHT(CONCATENATE("000",IFAData_TEA_1617!A18),6),3)))</f>
        <v>003-905</v>
      </c>
      <c r="C18" s="979" t="s">
        <v>1192</v>
      </c>
      <c r="D18" s="979">
        <v>10</v>
      </c>
      <c r="E18" s="979">
        <v>1762</v>
      </c>
      <c r="F18" s="979" t="s">
        <v>4063</v>
      </c>
      <c r="G18" s="979" t="s">
        <v>4063</v>
      </c>
      <c r="H18" s="979">
        <v>437500</v>
      </c>
      <c r="I18" s="979">
        <v>475512</v>
      </c>
      <c r="J18" s="979">
        <v>1</v>
      </c>
      <c r="K18" s="979">
        <v>437500</v>
      </c>
      <c r="L18" s="979">
        <v>437500</v>
      </c>
      <c r="M18" s="979">
        <v>599</v>
      </c>
    </row>
    <row r="19" spans="1:13" ht="15">
      <c r="A19" s="979" t="s">
        <v>3370</v>
      </c>
      <c r="B19" s="1040" t="str">
        <f>CONCATENATE(LEFT(RIGHT(CONCATENATE("000",IFAData_TEA_1617!A19),6),3),"-",(RIGHT(RIGHT(CONCATENATE("000",IFAData_TEA_1617!A19),6),3)))</f>
        <v>003-907</v>
      </c>
      <c r="C19" s="979" t="s">
        <v>1194</v>
      </c>
      <c r="D19" s="979">
        <v>9</v>
      </c>
      <c r="E19" s="979">
        <v>1676</v>
      </c>
      <c r="F19" s="979" t="s">
        <v>4064</v>
      </c>
      <c r="G19" s="979" t="s">
        <v>6398</v>
      </c>
      <c r="H19" s="979">
        <v>393343</v>
      </c>
      <c r="I19" s="979">
        <v>250186</v>
      </c>
      <c r="J19" s="979">
        <v>0.43470162544415197</v>
      </c>
      <c r="K19" s="979">
        <v>170986.84145707908</v>
      </c>
      <c r="L19" s="979">
        <v>170986.84145707908</v>
      </c>
      <c r="M19" s="979">
        <v>599</v>
      </c>
    </row>
    <row r="20" spans="1:13" ht="15">
      <c r="A20" s="979" t="s">
        <v>3370</v>
      </c>
      <c r="B20" s="1040" t="str">
        <f>CONCATENATE(LEFT(RIGHT(CONCATENATE("000",IFAData_TEA_1617!A20),6),3),"-",(RIGHT(RIGHT(CONCATENATE("000",IFAData_TEA_1617!A20),6),3)))</f>
        <v>003-907</v>
      </c>
      <c r="C20" s="979" t="s">
        <v>1194</v>
      </c>
      <c r="D20" s="979">
        <v>9</v>
      </c>
      <c r="E20" s="979">
        <v>1676</v>
      </c>
      <c r="F20" s="979" t="s">
        <v>4064</v>
      </c>
      <c r="G20" s="979" t="s">
        <v>4064</v>
      </c>
      <c r="H20" s="979">
        <v>393343</v>
      </c>
      <c r="I20" s="979">
        <v>325349</v>
      </c>
      <c r="J20" s="979">
        <v>0.56529837455584808</v>
      </c>
      <c r="K20" s="979">
        <v>222356.15854292095</v>
      </c>
      <c r="L20" s="979">
        <v>222356.15854292095</v>
      </c>
      <c r="M20" s="979">
        <v>599</v>
      </c>
    </row>
    <row r="21" spans="1:13" ht="15">
      <c r="A21" s="979" t="s">
        <v>3371</v>
      </c>
      <c r="B21" s="1040" t="str">
        <f>CONCATENATE(LEFT(RIGHT(CONCATENATE("000",IFAData_TEA_1617!A21),6),3),"-",(RIGHT(RIGHT(CONCATENATE("000",IFAData_TEA_1617!A21),6),3)))</f>
        <v>005-904</v>
      </c>
      <c r="C21" s="979" t="s">
        <v>1128</v>
      </c>
      <c r="D21" s="979">
        <v>6</v>
      </c>
      <c r="E21" s="979">
        <v>2458</v>
      </c>
      <c r="F21" s="979" t="s">
        <v>4065</v>
      </c>
      <c r="G21" s="979" t="s">
        <v>4066</v>
      </c>
      <c r="H21" s="979">
        <v>108848</v>
      </c>
      <c r="I21" s="979">
        <v>169924</v>
      </c>
      <c r="J21" s="979">
        <v>1</v>
      </c>
      <c r="K21" s="979">
        <v>108848</v>
      </c>
      <c r="L21" s="979">
        <v>108848</v>
      </c>
      <c r="M21" s="979">
        <v>599</v>
      </c>
    </row>
    <row r="22" spans="1:13" ht="15">
      <c r="A22" s="979" t="s">
        <v>3371</v>
      </c>
      <c r="B22" s="1040" t="str">
        <f>CONCATENATE(LEFT(RIGHT(CONCATENATE("000",IFAData_TEA_1617!A22),6),3),"-",(RIGHT(RIGHT(CONCATENATE("000",IFAData_TEA_1617!A22),6),3)))</f>
        <v>005-904</v>
      </c>
      <c r="C22" s="979" t="s">
        <v>1128</v>
      </c>
      <c r="D22" s="979">
        <v>6</v>
      </c>
      <c r="E22" s="979">
        <v>2458</v>
      </c>
      <c r="F22" s="979" t="s">
        <v>4065</v>
      </c>
      <c r="G22" s="979" t="s">
        <v>4065</v>
      </c>
      <c r="H22" s="979">
        <v>108848</v>
      </c>
      <c r="I22" s="979">
        <v>0</v>
      </c>
      <c r="J22" s="979">
        <v>0</v>
      </c>
      <c r="K22" s="979">
        <v>0</v>
      </c>
      <c r="L22" s="979">
        <v>0</v>
      </c>
      <c r="M22" s="979">
        <v>599</v>
      </c>
    </row>
    <row r="23" spans="1:13" ht="15">
      <c r="A23" s="979" t="s">
        <v>3372</v>
      </c>
      <c r="B23" s="1040" t="str">
        <f>CONCATENATE(LEFT(RIGHT(CONCATENATE("000",IFAData_TEA_1617!A23),6),3),"-",(RIGHT(RIGHT(CONCATENATE("000",IFAData_TEA_1617!A23),6),3)))</f>
        <v>007-901</v>
      </c>
      <c r="C23" s="979" t="s">
        <v>661</v>
      </c>
      <c r="D23" s="979">
        <v>9</v>
      </c>
      <c r="E23" s="979">
        <v>1682</v>
      </c>
      <c r="F23" s="979" t="s">
        <v>4071</v>
      </c>
      <c r="G23" s="979" t="s">
        <v>4071</v>
      </c>
      <c r="H23" s="979">
        <v>35459</v>
      </c>
      <c r="I23" s="979">
        <v>34222</v>
      </c>
      <c r="J23" s="979">
        <v>1</v>
      </c>
      <c r="K23" s="979">
        <v>35459</v>
      </c>
      <c r="L23" s="979">
        <v>34222</v>
      </c>
      <c r="M23" s="979">
        <v>599</v>
      </c>
    </row>
    <row r="24" spans="1:13" ht="15">
      <c r="A24" s="979" t="s">
        <v>3372</v>
      </c>
      <c r="B24" s="1040" t="str">
        <f>CONCATENATE(LEFT(RIGHT(CONCATENATE("000",IFAData_TEA_1617!A24),6),3),"-",(RIGHT(RIGHT(CONCATENATE("000",IFAData_TEA_1617!A24),6),3)))</f>
        <v>007-901</v>
      </c>
      <c r="C24" s="979" t="s">
        <v>661</v>
      </c>
      <c r="D24" s="979">
        <v>4</v>
      </c>
      <c r="E24" s="979">
        <v>1684</v>
      </c>
      <c r="F24" s="979" t="s">
        <v>4067</v>
      </c>
      <c r="G24" s="979" t="s">
        <v>4069</v>
      </c>
      <c r="H24" s="979">
        <v>121726</v>
      </c>
      <c r="I24" s="979">
        <v>107705</v>
      </c>
      <c r="J24" s="979">
        <v>1</v>
      </c>
      <c r="K24" s="979">
        <v>121726</v>
      </c>
      <c r="L24" s="979">
        <v>107705</v>
      </c>
      <c r="M24" s="979">
        <v>599</v>
      </c>
    </row>
    <row r="25" spans="1:13" ht="15">
      <c r="A25" s="979" t="s">
        <v>3372</v>
      </c>
      <c r="B25" s="1040" t="str">
        <f>CONCATENATE(LEFT(RIGHT(CONCATENATE("000",IFAData_TEA_1617!A25),6),3),"-",(RIGHT(RIGHT(CONCATENATE("000",IFAData_TEA_1617!A25),6),3)))</f>
        <v>007-901</v>
      </c>
      <c r="C25" s="979" t="s">
        <v>661</v>
      </c>
      <c r="D25" s="979">
        <v>4</v>
      </c>
      <c r="E25" s="979">
        <v>1684</v>
      </c>
      <c r="F25" s="979" t="s">
        <v>4067</v>
      </c>
      <c r="G25" s="979" t="s">
        <v>4068</v>
      </c>
      <c r="H25" s="979">
        <v>121726</v>
      </c>
      <c r="I25" s="979">
        <v>0</v>
      </c>
      <c r="J25" s="979">
        <v>0</v>
      </c>
      <c r="K25" s="979">
        <v>0</v>
      </c>
      <c r="L25" s="979">
        <v>0</v>
      </c>
      <c r="M25" s="979">
        <v>599</v>
      </c>
    </row>
    <row r="26" spans="1:13" ht="15">
      <c r="A26" s="979" t="s">
        <v>3372</v>
      </c>
      <c r="B26" s="1040" t="str">
        <f>CONCATENATE(LEFT(RIGHT(CONCATENATE("000",IFAData_TEA_1617!A26),6),3),"-",(RIGHT(RIGHT(CONCATENATE("000",IFAData_TEA_1617!A26),6),3)))</f>
        <v>007-901</v>
      </c>
      <c r="C26" s="979" t="s">
        <v>661</v>
      </c>
      <c r="D26" s="979">
        <v>5</v>
      </c>
      <c r="E26" s="979">
        <v>1683</v>
      </c>
      <c r="F26" s="979" t="s">
        <v>4070</v>
      </c>
      <c r="G26" s="979" t="s">
        <v>4070</v>
      </c>
      <c r="H26" s="979">
        <v>116170</v>
      </c>
      <c r="I26" s="979">
        <v>0</v>
      </c>
      <c r="J26" s="979">
        <v>0</v>
      </c>
      <c r="K26" s="979">
        <v>0</v>
      </c>
      <c r="L26" s="979">
        <v>0</v>
      </c>
      <c r="M26" s="979">
        <v>599</v>
      </c>
    </row>
    <row r="27" spans="1:13" ht="15">
      <c r="A27" s="979" t="s">
        <v>3372</v>
      </c>
      <c r="B27" s="1040" t="str">
        <f>CONCATENATE(LEFT(RIGHT(CONCATENATE("000",IFAData_TEA_1617!A27),6),3),"-",(RIGHT(RIGHT(CONCATENATE("000",IFAData_TEA_1617!A27),6),3)))</f>
        <v>007-901</v>
      </c>
      <c r="C27" s="979" t="s">
        <v>661</v>
      </c>
      <c r="D27" s="979">
        <v>5</v>
      </c>
      <c r="E27" s="979">
        <v>1683</v>
      </c>
      <c r="F27" s="979" t="s">
        <v>4070</v>
      </c>
      <c r="G27" s="979" t="s">
        <v>4069</v>
      </c>
      <c r="H27" s="979">
        <v>116170</v>
      </c>
      <c r="I27" s="979">
        <v>105378</v>
      </c>
      <c r="J27" s="979">
        <v>1</v>
      </c>
      <c r="K27" s="979">
        <v>116170</v>
      </c>
      <c r="L27" s="979">
        <v>105378</v>
      </c>
      <c r="M27" s="979">
        <v>599</v>
      </c>
    </row>
    <row r="28" spans="1:13" ht="15">
      <c r="A28" s="979" t="s">
        <v>3372</v>
      </c>
      <c r="B28" s="1040" t="str">
        <f>CONCATENATE(LEFT(RIGHT(CONCATENATE("000",IFAData_TEA_1617!A28),6),3),"-",(RIGHT(RIGHT(CONCATENATE("000",IFAData_TEA_1617!A28),6),3)))</f>
        <v>007-901</v>
      </c>
      <c r="C28" s="979" t="s">
        <v>661</v>
      </c>
      <c r="D28" s="979">
        <v>4</v>
      </c>
      <c r="E28" s="979">
        <v>1684</v>
      </c>
      <c r="F28" s="979" t="s">
        <v>4067</v>
      </c>
      <c r="G28" s="979" t="s">
        <v>4067</v>
      </c>
      <c r="H28" s="979">
        <v>121726</v>
      </c>
      <c r="I28" s="979">
        <v>0</v>
      </c>
      <c r="J28" s="979">
        <v>0</v>
      </c>
      <c r="K28" s="979">
        <v>0</v>
      </c>
      <c r="L28" s="979">
        <v>0</v>
      </c>
      <c r="M28" s="979">
        <v>599</v>
      </c>
    </row>
    <row r="29" spans="1:13" ht="15">
      <c r="A29" s="979" t="s">
        <v>3372</v>
      </c>
      <c r="B29" s="1040" t="str">
        <f>CONCATENATE(LEFT(RIGHT(CONCATENATE("000",IFAData_TEA_1617!A29),6),3),"-",(RIGHT(RIGHT(CONCATENATE("000",IFAData_TEA_1617!A29),6),3)))</f>
        <v>007-901</v>
      </c>
      <c r="C29" s="979" t="s">
        <v>661</v>
      </c>
      <c r="D29" s="979">
        <v>5</v>
      </c>
      <c r="E29" s="979">
        <v>1683</v>
      </c>
      <c r="F29" s="979" t="s">
        <v>4070</v>
      </c>
      <c r="G29" s="979" t="s">
        <v>4068</v>
      </c>
      <c r="H29" s="979">
        <v>116170</v>
      </c>
      <c r="I29" s="979">
        <v>0</v>
      </c>
      <c r="J29" s="979">
        <v>0</v>
      </c>
      <c r="K29" s="979">
        <v>0</v>
      </c>
      <c r="L29" s="979">
        <v>0</v>
      </c>
      <c r="M29" s="979">
        <v>599</v>
      </c>
    </row>
    <row r="30" spans="1:13" ht="15">
      <c r="A30" s="979" t="s">
        <v>3373</v>
      </c>
      <c r="B30" s="1040" t="str">
        <f>CONCATENATE(LEFT(RIGHT(CONCATENATE("000",IFAData_TEA_1617!A30),6),3),"-",(RIGHT(RIGHT(CONCATENATE("000",IFAData_TEA_1617!A30),6),3)))</f>
        <v>007-904</v>
      </c>
      <c r="C30" s="979" t="s">
        <v>1200</v>
      </c>
      <c r="D30" s="979">
        <v>10</v>
      </c>
      <c r="E30" s="979">
        <v>2048</v>
      </c>
      <c r="F30" s="979" t="s">
        <v>4072</v>
      </c>
      <c r="G30" s="979" t="s">
        <v>4072</v>
      </c>
      <c r="H30" s="979">
        <v>399219</v>
      </c>
      <c r="I30" s="979">
        <v>792250</v>
      </c>
      <c r="J30" s="979">
        <v>1</v>
      </c>
      <c r="K30" s="979">
        <v>399219</v>
      </c>
      <c r="L30" s="979">
        <v>399219</v>
      </c>
      <c r="M30" s="979">
        <v>599</v>
      </c>
    </row>
    <row r="31" spans="1:13" ht="15">
      <c r="A31" s="979" t="s">
        <v>3374</v>
      </c>
      <c r="B31" s="1040" t="str">
        <f>CONCATENATE(LEFT(RIGHT(CONCATENATE("000",IFAData_TEA_1617!A31),6),3),"-",(RIGHT(RIGHT(CONCATENATE("000",IFAData_TEA_1617!A31),6),3)))</f>
        <v>007-905</v>
      </c>
      <c r="C31" s="979" t="s">
        <v>1001</v>
      </c>
      <c r="D31" s="979">
        <v>9</v>
      </c>
      <c r="E31" s="979">
        <v>2198</v>
      </c>
      <c r="F31" s="979" t="s">
        <v>4076</v>
      </c>
      <c r="G31" s="979" t="s">
        <v>6400</v>
      </c>
      <c r="H31" s="979">
        <v>212024</v>
      </c>
      <c r="I31" s="979">
        <v>162319</v>
      </c>
      <c r="J31" s="979">
        <v>0.62288080308832894</v>
      </c>
      <c r="K31" s="979">
        <v>132065.67939399986</v>
      </c>
      <c r="L31" s="979">
        <v>132065.67939399986</v>
      </c>
      <c r="M31" s="979">
        <v>599</v>
      </c>
    </row>
    <row r="32" spans="1:13" ht="15">
      <c r="A32" s="979" t="s">
        <v>3374</v>
      </c>
      <c r="B32" s="1040" t="str">
        <f>CONCATENATE(LEFT(RIGHT(CONCATENATE("000",IFAData_TEA_1617!A32),6),3),"-",(RIGHT(RIGHT(CONCATENATE("000",IFAData_TEA_1617!A32),6),3)))</f>
        <v>007-905</v>
      </c>
      <c r="C32" s="979" t="s">
        <v>1001</v>
      </c>
      <c r="D32" s="979">
        <v>3</v>
      </c>
      <c r="E32" s="979">
        <v>2200</v>
      </c>
      <c r="F32" s="979" t="s">
        <v>4073</v>
      </c>
      <c r="G32" s="979" t="s">
        <v>6399</v>
      </c>
      <c r="H32" s="979">
        <v>450000</v>
      </c>
      <c r="I32" s="979">
        <v>238098</v>
      </c>
      <c r="J32" s="979">
        <v>0.37570178400674092</v>
      </c>
      <c r="K32" s="979">
        <v>169065.80280303341</v>
      </c>
      <c r="L32" s="979">
        <v>169065.80280303341</v>
      </c>
      <c r="M32" s="979">
        <v>599</v>
      </c>
    </row>
    <row r="33" spans="1:13" ht="15">
      <c r="A33" s="979" t="s">
        <v>3374</v>
      </c>
      <c r="B33" s="1040" t="str">
        <f>CONCATENATE(LEFT(RIGHT(CONCATENATE("000",IFAData_TEA_1617!A33),6),3),"-",(RIGHT(RIGHT(CONCATENATE("000",IFAData_TEA_1617!A33),6),3)))</f>
        <v>007-905</v>
      </c>
      <c r="C33" s="979" t="s">
        <v>1001</v>
      </c>
      <c r="D33" s="979">
        <v>6</v>
      </c>
      <c r="E33" s="979">
        <v>2199</v>
      </c>
      <c r="F33" s="979" t="s">
        <v>4075</v>
      </c>
      <c r="G33" s="979" t="s">
        <v>4074</v>
      </c>
      <c r="H33" s="979">
        <v>406232</v>
      </c>
      <c r="I33" s="979">
        <v>321132</v>
      </c>
      <c r="J33" s="979">
        <v>0.43639476813317479</v>
      </c>
      <c r="K33" s="979">
        <v>177277.51944827585</v>
      </c>
      <c r="L33" s="979">
        <v>177277.51944827585</v>
      </c>
      <c r="M33" s="979">
        <v>599</v>
      </c>
    </row>
    <row r="34" spans="1:13" ht="15">
      <c r="A34" s="979" t="s">
        <v>3374</v>
      </c>
      <c r="B34" s="1040" t="str">
        <f>CONCATENATE(LEFT(RIGHT(CONCATENATE("000",IFAData_TEA_1617!A34),6),3),"-",(RIGHT(RIGHT(CONCATENATE("000",IFAData_TEA_1617!A34),6),3)))</f>
        <v>007-905</v>
      </c>
      <c r="C34" s="979" t="s">
        <v>1001</v>
      </c>
      <c r="D34" s="979">
        <v>6</v>
      </c>
      <c r="E34" s="979">
        <v>2199</v>
      </c>
      <c r="F34" s="979" t="s">
        <v>4075</v>
      </c>
      <c r="G34" s="979" t="s">
        <v>6399</v>
      </c>
      <c r="H34" s="979">
        <v>406232</v>
      </c>
      <c r="I34" s="979">
        <v>414743</v>
      </c>
      <c r="J34" s="979">
        <v>0.56360523186682521</v>
      </c>
      <c r="K34" s="979">
        <v>228954.48055172415</v>
      </c>
      <c r="L34" s="979">
        <v>228954.48055172415</v>
      </c>
      <c r="M34" s="979">
        <v>599</v>
      </c>
    </row>
    <row r="35" spans="1:13" ht="15">
      <c r="A35" s="979" t="s">
        <v>3374</v>
      </c>
      <c r="B35" s="1040" t="str">
        <f>CONCATENATE(LEFT(RIGHT(CONCATENATE("000",IFAData_TEA_1617!A35),6),3),"-",(RIGHT(RIGHT(CONCATENATE("000",IFAData_TEA_1617!A35),6),3)))</f>
        <v>007-905</v>
      </c>
      <c r="C35" s="979" t="s">
        <v>1001</v>
      </c>
      <c r="D35" s="979">
        <v>3</v>
      </c>
      <c r="E35" s="979">
        <v>2200</v>
      </c>
      <c r="F35" s="979" t="s">
        <v>4073</v>
      </c>
      <c r="G35" s="979" t="s">
        <v>4073</v>
      </c>
      <c r="H35" s="979">
        <v>450000</v>
      </c>
      <c r="I35" s="979">
        <v>0</v>
      </c>
      <c r="J35" s="979">
        <v>0</v>
      </c>
      <c r="K35" s="979">
        <v>0</v>
      </c>
      <c r="L35" s="979">
        <v>0</v>
      </c>
      <c r="M35" s="979">
        <v>599</v>
      </c>
    </row>
    <row r="36" spans="1:13" ht="15">
      <c r="A36" s="979" t="s">
        <v>3374</v>
      </c>
      <c r="B36" s="1040" t="str">
        <f>CONCATENATE(LEFT(RIGHT(CONCATENATE("000",IFAData_TEA_1617!A36),6),3),"-",(RIGHT(RIGHT(CONCATENATE("000",IFAData_TEA_1617!A36),6),3)))</f>
        <v>007-905</v>
      </c>
      <c r="C36" s="979" t="s">
        <v>1001</v>
      </c>
      <c r="D36" s="979">
        <v>9</v>
      </c>
      <c r="E36" s="979">
        <v>2198</v>
      </c>
      <c r="F36" s="979" t="s">
        <v>4076</v>
      </c>
      <c r="G36" s="979" t="s">
        <v>4076</v>
      </c>
      <c r="H36" s="979">
        <v>212024</v>
      </c>
      <c r="I36" s="979">
        <v>98275</v>
      </c>
      <c r="J36" s="979">
        <v>0.37711919691167101</v>
      </c>
      <c r="K36" s="979">
        <v>79958.320606000139</v>
      </c>
      <c r="L36" s="979">
        <v>79958.320606000139</v>
      </c>
      <c r="M36" s="979">
        <v>599</v>
      </c>
    </row>
    <row r="37" spans="1:13" ht="15">
      <c r="A37" s="979" t="s">
        <v>3374</v>
      </c>
      <c r="B37" s="1040" t="str">
        <f>CONCATENATE(LEFT(RIGHT(CONCATENATE("000",IFAData_TEA_1617!A37),6),3),"-",(RIGHT(RIGHT(CONCATENATE("000",IFAData_TEA_1617!A37),6),3)))</f>
        <v>007-905</v>
      </c>
      <c r="C37" s="979" t="s">
        <v>1001</v>
      </c>
      <c r="D37" s="979">
        <v>3</v>
      </c>
      <c r="E37" s="979">
        <v>2200</v>
      </c>
      <c r="F37" s="979" t="s">
        <v>4073</v>
      </c>
      <c r="G37" s="979" t="s">
        <v>4074</v>
      </c>
      <c r="H37" s="979">
        <v>450000</v>
      </c>
      <c r="I37" s="979">
        <v>395644</v>
      </c>
      <c r="J37" s="979">
        <v>0.62429821599325908</v>
      </c>
      <c r="K37" s="979">
        <v>280934.19719696656</v>
      </c>
      <c r="L37" s="979">
        <v>280934.19719696656</v>
      </c>
      <c r="M37" s="979">
        <v>599</v>
      </c>
    </row>
    <row r="38" spans="1:13" ht="15">
      <c r="A38" s="979" t="s">
        <v>3374</v>
      </c>
      <c r="B38" s="1040" t="str">
        <f>CONCATENATE(LEFT(RIGHT(CONCATENATE("000",IFAData_TEA_1617!A38),6),3),"-",(RIGHT(RIGHT(CONCATENATE("000",IFAData_TEA_1617!A38),6),3)))</f>
        <v>007-905</v>
      </c>
      <c r="C38" s="979" t="s">
        <v>1001</v>
      </c>
      <c r="D38" s="979">
        <v>6</v>
      </c>
      <c r="E38" s="979">
        <v>2199</v>
      </c>
      <c r="F38" s="979" t="s">
        <v>4075</v>
      </c>
      <c r="G38" s="979" t="s">
        <v>4075</v>
      </c>
      <c r="H38" s="979">
        <v>406232</v>
      </c>
      <c r="I38" s="979">
        <v>0</v>
      </c>
      <c r="J38" s="979">
        <v>0</v>
      </c>
      <c r="K38" s="979">
        <v>0</v>
      </c>
      <c r="L38" s="979">
        <v>0</v>
      </c>
      <c r="M38" s="979">
        <v>599</v>
      </c>
    </row>
    <row r="39" spans="1:13" ht="15">
      <c r="A39" s="979" t="s">
        <v>3375</v>
      </c>
      <c r="B39" s="1040" t="str">
        <f>CONCATENATE(LEFT(RIGHT(CONCATENATE("000",IFAData_TEA_1617!A39),6),3),"-",(RIGHT(RIGHT(CONCATENATE("000",IFAData_TEA_1617!A39),6),3)))</f>
        <v>007-906</v>
      </c>
      <c r="C39" s="979" t="s">
        <v>1004</v>
      </c>
      <c r="D39" s="979">
        <v>5</v>
      </c>
      <c r="E39" s="979">
        <v>2205</v>
      </c>
      <c r="F39" s="979" t="s">
        <v>4077</v>
      </c>
      <c r="G39" s="979" t="s">
        <v>4077</v>
      </c>
      <c r="H39" s="979">
        <v>362375</v>
      </c>
      <c r="I39" s="979">
        <v>0</v>
      </c>
      <c r="J39" s="979">
        <v>0</v>
      </c>
      <c r="K39" s="979">
        <v>0</v>
      </c>
      <c r="L39" s="979">
        <v>0</v>
      </c>
      <c r="M39" s="979">
        <v>599</v>
      </c>
    </row>
    <row r="40" spans="1:13" ht="15">
      <c r="A40" s="979" t="s">
        <v>3375</v>
      </c>
      <c r="B40" s="1040" t="str">
        <f>CONCATENATE(LEFT(RIGHT(CONCATENATE("000",IFAData_TEA_1617!A40),6),3),"-",(RIGHT(RIGHT(CONCATENATE("000",IFAData_TEA_1617!A40),6),3)))</f>
        <v>007-906</v>
      </c>
      <c r="C40" s="979" t="s">
        <v>1004</v>
      </c>
      <c r="D40" s="979">
        <v>8</v>
      </c>
      <c r="E40" s="979">
        <v>2204</v>
      </c>
      <c r="F40" s="979" t="s">
        <v>4078</v>
      </c>
      <c r="G40" s="979" t="s">
        <v>4078</v>
      </c>
      <c r="H40" s="979">
        <v>308669</v>
      </c>
      <c r="I40" s="979">
        <v>235825</v>
      </c>
      <c r="J40" s="979">
        <v>0.62384760473735312</v>
      </c>
      <c r="K40" s="979">
        <v>192562.41630667404</v>
      </c>
      <c r="L40" s="979">
        <v>192562.41630667404</v>
      </c>
      <c r="M40" s="979">
        <v>599</v>
      </c>
    </row>
    <row r="41" spans="1:13" ht="15">
      <c r="A41" s="979" t="s">
        <v>3375</v>
      </c>
      <c r="B41" s="1040" t="str">
        <f>CONCATENATE(LEFT(RIGHT(CONCATENATE("000",IFAData_TEA_1617!A41),6),3),"-",(RIGHT(RIGHT(CONCATENATE("000",IFAData_TEA_1617!A41),6),3)))</f>
        <v>007-906</v>
      </c>
      <c r="C41" s="979" t="s">
        <v>1004</v>
      </c>
      <c r="D41" s="979">
        <v>8</v>
      </c>
      <c r="E41" s="979">
        <v>2204</v>
      </c>
      <c r="F41" s="979" t="s">
        <v>4078</v>
      </c>
      <c r="G41" s="979" t="s">
        <v>6823</v>
      </c>
      <c r="H41" s="979">
        <v>308669</v>
      </c>
      <c r="I41" s="979">
        <v>75331</v>
      </c>
      <c r="J41" s="979">
        <v>0.19927939748741458</v>
      </c>
      <c r="K41" s="979">
        <v>61511.372343042771</v>
      </c>
      <c r="L41" s="979">
        <v>61511.372343042771</v>
      </c>
      <c r="M41" s="979">
        <v>599</v>
      </c>
    </row>
    <row r="42" spans="1:13" ht="15">
      <c r="A42" s="979" t="s">
        <v>3375</v>
      </c>
      <c r="B42" s="1040" t="str">
        <f>CONCATENATE(LEFT(RIGHT(CONCATENATE("000",IFAData_TEA_1617!A42),6),3),"-",(RIGHT(RIGHT(CONCATENATE("000",IFAData_TEA_1617!A42),6),3)))</f>
        <v>007-906</v>
      </c>
      <c r="C42" s="979" t="s">
        <v>1004</v>
      </c>
      <c r="D42" s="979">
        <v>6</v>
      </c>
      <c r="E42" s="979">
        <v>2203</v>
      </c>
      <c r="F42" s="979" t="s">
        <v>4079</v>
      </c>
      <c r="G42" s="979" t="s">
        <v>6401</v>
      </c>
      <c r="H42" s="979">
        <v>28625</v>
      </c>
      <c r="I42" s="979">
        <v>28629</v>
      </c>
      <c r="J42" s="979">
        <v>1</v>
      </c>
      <c r="K42" s="979">
        <v>28625</v>
      </c>
      <c r="L42" s="979">
        <v>28625</v>
      </c>
      <c r="M42" s="979">
        <v>599</v>
      </c>
    </row>
    <row r="43" spans="1:13" ht="15">
      <c r="A43" s="979" t="s">
        <v>3375</v>
      </c>
      <c r="B43" s="1040" t="str">
        <f>CONCATENATE(LEFT(RIGHT(CONCATENATE("000",IFAData_TEA_1617!A43),6),3),"-",(RIGHT(RIGHT(CONCATENATE("000",IFAData_TEA_1617!A43),6),3)))</f>
        <v>007-906</v>
      </c>
      <c r="C43" s="979" t="s">
        <v>1004</v>
      </c>
      <c r="D43" s="979">
        <v>5</v>
      </c>
      <c r="E43" s="979">
        <v>2205</v>
      </c>
      <c r="F43" s="979" t="s">
        <v>4077</v>
      </c>
      <c r="G43" s="979" t="s">
        <v>6823</v>
      </c>
      <c r="H43" s="979">
        <v>362375</v>
      </c>
      <c r="I43" s="979">
        <v>116168</v>
      </c>
      <c r="J43" s="979">
        <v>0.24902089822271858</v>
      </c>
      <c r="K43" s="979">
        <v>90238.947993457652</v>
      </c>
      <c r="L43" s="979">
        <v>90238.947993457652</v>
      </c>
      <c r="M43" s="979">
        <v>599</v>
      </c>
    </row>
    <row r="44" spans="1:13" ht="15">
      <c r="A44" s="979" t="s">
        <v>3375</v>
      </c>
      <c r="B44" s="1040" t="str">
        <f>CONCATENATE(LEFT(RIGHT(CONCATENATE("000",IFAData_TEA_1617!A44),6),3),"-",(RIGHT(RIGHT(CONCATENATE("000",IFAData_TEA_1617!A44),6),3)))</f>
        <v>007-906</v>
      </c>
      <c r="C44" s="979" t="s">
        <v>1004</v>
      </c>
      <c r="D44" s="979">
        <v>6</v>
      </c>
      <c r="E44" s="979">
        <v>2203</v>
      </c>
      <c r="F44" s="979" t="s">
        <v>4079</v>
      </c>
      <c r="G44" s="979" t="s">
        <v>4079</v>
      </c>
      <c r="H44" s="979">
        <v>28625</v>
      </c>
      <c r="I44" s="979">
        <v>0</v>
      </c>
      <c r="J44" s="979">
        <v>0</v>
      </c>
      <c r="K44" s="979">
        <v>0</v>
      </c>
      <c r="L44" s="979">
        <v>0</v>
      </c>
      <c r="M44" s="979">
        <v>599</v>
      </c>
    </row>
    <row r="45" spans="1:13" ht="15">
      <c r="A45" s="979" t="s">
        <v>3375</v>
      </c>
      <c r="B45" s="1040" t="str">
        <f>CONCATENATE(LEFT(RIGHT(CONCATENATE("000",IFAData_TEA_1617!A45),6),3),"-",(RIGHT(RIGHT(CONCATENATE("000",IFAData_TEA_1617!A45),6),3)))</f>
        <v>007-906</v>
      </c>
      <c r="C45" s="979" t="s">
        <v>1004</v>
      </c>
      <c r="D45" s="979">
        <v>5</v>
      </c>
      <c r="E45" s="979">
        <v>2205</v>
      </c>
      <c r="F45" s="979" t="s">
        <v>4077</v>
      </c>
      <c r="G45" s="979" t="s">
        <v>6401</v>
      </c>
      <c r="H45" s="979">
        <v>362375</v>
      </c>
      <c r="I45" s="979">
        <v>77385</v>
      </c>
      <c r="J45" s="979">
        <v>0.16588459996698815</v>
      </c>
      <c r="K45" s="979">
        <v>60112.431913037333</v>
      </c>
      <c r="L45" s="979">
        <v>60112.431913037333</v>
      </c>
      <c r="M45" s="979">
        <v>599</v>
      </c>
    </row>
    <row r="46" spans="1:13" ht="15">
      <c r="A46" s="979" t="s">
        <v>3375</v>
      </c>
      <c r="B46" s="1040" t="str">
        <f>CONCATENATE(LEFT(RIGHT(CONCATENATE("000",IFAData_TEA_1617!A46),6),3),"-",(RIGHT(RIGHT(CONCATENATE("000",IFAData_TEA_1617!A46),6),3)))</f>
        <v>007-906</v>
      </c>
      <c r="C46" s="979" t="s">
        <v>1004</v>
      </c>
      <c r="D46" s="979">
        <v>5</v>
      </c>
      <c r="E46" s="979">
        <v>2205</v>
      </c>
      <c r="F46" s="979" t="s">
        <v>4077</v>
      </c>
      <c r="G46" s="979" t="s">
        <v>4078</v>
      </c>
      <c r="H46" s="979">
        <v>362375</v>
      </c>
      <c r="I46" s="979">
        <v>272946</v>
      </c>
      <c r="J46" s="979">
        <v>0.58509450181029332</v>
      </c>
      <c r="K46" s="979">
        <v>212023.62009350504</v>
      </c>
      <c r="L46" s="979">
        <v>212023.62009350504</v>
      </c>
      <c r="M46" s="979">
        <v>599</v>
      </c>
    </row>
    <row r="47" spans="1:13" ht="15">
      <c r="A47" s="979" t="s">
        <v>3375</v>
      </c>
      <c r="B47" s="1040" t="str">
        <f>CONCATENATE(LEFT(RIGHT(CONCATENATE("000",IFAData_TEA_1617!A47),6),3),"-",(RIGHT(RIGHT(CONCATENATE("000",IFAData_TEA_1617!A47),6),3)))</f>
        <v>007-906</v>
      </c>
      <c r="C47" s="979" t="s">
        <v>1004</v>
      </c>
      <c r="D47" s="979">
        <v>8</v>
      </c>
      <c r="E47" s="979">
        <v>2204</v>
      </c>
      <c r="F47" s="979" t="s">
        <v>4078</v>
      </c>
      <c r="G47" s="979" t="s">
        <v>6401</v>
      </c>
      <c r="H47" s="979">
        <v>308669</v>
      </c>
      <c r="I47" s="979">
        <v>66861</v>
      </c>
      <c r="J47" s="979">
        <v>0.17687299777523233</v>
      </c>
      <c r="K47" s="979">
        <v>54595.211350283185</v>
      </c>
      <c r="L47" s="979">
        <v>54595.211350283185</v>
      </c>
      <c r="M47" s="979">
        <v>599</v>
      </c>
    </row>
    <row r="48" spans="1:13" ht="15">
      <c r="A48" s="979" t="s">
        <v>3376</v>
      </c>
      <c r="B48" s="1040" t="str">
        <f>CONCATENATE(LEFT(RIGHT(CONCATENATE("000",IFAData_TEA_1617!A48),6),3),"-",(RIGHT(RIGHT(CONCATENATE("000",IFAData_TEA_1617!A48),6),3)))</f>
        <v>009-901</v>
      </c>
      <c r="C48" s="979" t="s">
        <v>1204</v>
      </c>
      <c r="D48" s="979">
        <v>9</v>
      </c>
      <c r="E48" s="979">
        <v>2123</v>
      </c>
      <c r="F48" s="979" t="s">
        <v>4080</v>
      </c>
      <c r="G48" s="979" t="s">
        <v>4080</v>
      </c>
      <c r="H48" s="979">
        <v>263987</v>
      </c>
      <c r="I48" s="979">
        <v>267286</v>
      </c>
      <c r="J48" s="979">
        <v>1</v>
      </c>
      <c r="K48" s="979">
        <v>263987</v>
      </c>
      <c r="L48" s="979">
        <v>263987</v>
      </c>
      <c r="M48" s="979">
        <v>599</v>
      </c>
    </row>
    <row r="49" spans="1:13" ht="15">
      <c r="A49" s="979" t="s">
        <v>3377</v>
      </c>
      <c r="B49" s="1040" t="str">
        <f>CONCATENATE(LEFT(RIGHT(CONCATENATE("000",IFAData_TEA_1617!A49),6),3),"-",(RIGHT(RIGHT(CONCATENATE("000",IFAData_TEA_1617!A49),6),3)))</f>
        <v>010-902</v>
      </c>
      <c r="C49" s="979" t="s">
        <v>2121</v>
      </c>
      <c r="D49" s="979">
        <v>6</v>
      </c>
      <c r="E49" s="979">
        <v>1591</v>
      </c>
      <c r="F49" s="979" t="s">
        <v>4081</v>
      </c>
      <c r="G49" s="979" t="s">
        <v>4081</v>
      </c>
      <c r="H49" s="979">
        <v>691574</v>
      </c>
      <c r="I49" s="979">
        <v>0</v>
      </c>
      <c r="J49" s="979">
        <v>0</v>
      </c>
      <c r="K49" s="979">
        <v>0</v>
      </c>
      <c r="L49" s="979">
        <v>0</v>
      </c>
      <c r="M49" s="979">
        <v>599</v>
      </c>
    </row>
    <row r="50" spans="1:13" ht="15">
      <c r="A50" s="979" t="s">
        <v>3377</v>
      </c>
      <c r="B50" s="1040" t="str">
        <f>CONCATENATE(LEFT(RIGHT(CONCATENATE("000",IFAData_TEA_1617!A50),6),3),"-",(RIGHT(RIGHT(CONCATENATE("000",IFAData_TEA_1617!A50),6),3)))</f>
        <v>010-902</v>
      </c>
      <c r="C50" s="979" t="s">
        <v>2121</v>
      </c>
      <c r="D50" s="979">
        <v>6</v>
      </c>
      <c r="E50" s="979">
        <v>1591</v>
      </c>
      <c r="F50" s="979" t="s">
        <v>4081</v>
      </c>
      <c r="G50" s="979" t="s">
        <v>4082</v>
      </c>
      <c r="H50" s="979">
        <v>691574</v>
      </c>
      <c r="I50" s="979">
        <v>1255030</v>
      </c>
      <c r="J50" s="979">
        <v>1</v>
      </c>
      <c r="K50" s="979">
        <v>691574</v>
      </c>
      <c r="L50" s="979">
        <v>691574</v>
      </c>
      <c r="M50" s="979">
        <v>599</v>
      </c>
    </row>
    <row r="51" spans="1:13" ht="15">
      <c r="A51" s="979" t="s">
        <v>3378</v>
      </c>
      <c r="B51" s="1040" t="str">
        <f>CONCATENATE(LEFT(RIGHT(CONCATENATE("000",IFAData_TEA_1617!A51),6),3),"-",(RIGHT(RIGHT(CONCATENATE("000",IFAData_TEA_1617!A51),6),3)))</f>
        <v>011-901</v>
      </c>
      <c r="C51" s="979" t="s">
        <v>2123</v>
      </c>
      <c r="D51" s="979">
        <v>9</v>
      </c>
      <c r="E51" s="979">
        <v>1595</v>
      </c>
      <c r="F51" s="979" t="s">
        <v>4087</v>
      </c>
      <c r="G51" s="979" t="s">
        <v>6179</v>
      </c>
      <c r="H51" s="979">
        <v>1091461</v>
      </c>
      <c r="I51" s="979">
        <v>915001</v>
      </c>
      <c r="J51" s="979">
        <v>0.59434791984950996</v>
      </c>
      <c r="K51" s="979">
        <v>648707.57494686602</v>
      </c>
      <c r="L51" s="979">
        <v>648707.57494686602</v>
      </c>
      <c r="M51" s="979">
        <v>599</v>
      </c>
    </row>
    <row r="52" spans="1:13" ht="15">
      <c r="A52" s="979" t="s">
        <v>3378</v>
      </c>
      <c r="B52" s="1040" t="str">
        <f>CONCATENATE(LEFT(RIGHT(CONCATENATE("000",IFAData_TEA_1617!A52),6),3),"-",(RIGHT(RIGHT(CONCATENATE("000",IFAData_TEA_1617!A52),6),3)))</f>
        <v>011-901</v>
      </c>
      <c r="C52" s="979" t="s">
        <v>2123</v>
      </c>
      <c r="D52" s="979">
        <v>10</v>
      </c>
      <c r="E52" s="979">
        <v>1597</v>
      </c>
      <c r="F52" s="979" t="s">
        <v>4091</v>
      </c>
      <c r="G52" s="979" t="s">
        <v>6403</v>
      </c>
      <c r="H52" s="979">
        <v>2083922</v>
      </c>
      <c r="I52" s="979">
        <v>326200</v>
      </c>
      <c r="J52" s="979">
        <v>0.15257356810267611</v>
      </c>
      <c r="K52" s="979">
        <v>317951.41518766503</v>
      </c>
      <c r="L52" s="979">
        <v>317951.41518766503</v>
      </c>
      <c r="M52" s="979">
        <v>599</v>
      </c>
    </row>
    <row r="53" spans="1:13" ht="15">
      <c r="A53" s="979" t="s">
        <v>3378</v>
      </c>
      <c r="B53" s="1040" t="str">
        <f>CONCATENATE(LEFT(RIGHT(CONCATENATE("000",IFAData_TEA_1617!A53),6),3),"-",(RIGHT(RIGHT(CONCATENATE("000",IFAData_TEA_1617!A53),6),3)))</f>
        <v>011-901</v>
      </c>
      <c r="C53" s="979" t="s">
        <v>2123</v>
      </c>
      <c r="D53" s="979">
        <v>9</v>
      </c>
      <c r="E53" s="979">
        <v>1595</v>
      </c>
      <c r="F53" s="979" t="s">
        <v>4087</v>
      </c>
      <c r="G53" s="979" t="s">
        <v>6402</v>
      </c>
      <c r="H53" s="979">
        <v>1091461</v>
      </c>
      <c r="I53" s="979">
        <v>18889</v>
      </c>
      <c r="J53" s="979">
        <v>1.2269536162296427E-2</v>
      </c>
      <c r="K53" s="979">
        <v>13391.72020923622</v>
      </c>
      <c r="L53" s="979">
        <v>13391.72020923622</v>
      </c>
      <c r="M53" s="979">
        <v>599</v>
      </c>
    </row>
    <row r="54" spans="1:13" ht="15">
      <c r="A54" s="979" t="s">
        <v>3378</v>
      </c>
      <c r="B54" s="1040" t="str">
        <f>CONCATENATE(LEFT(RIGHT(CONCATENATE("000",IFAData_TEA_1617!A54),6),3),"-",(RIGHT(RIGHT(CONCATENATE("000",IFAData_TEA_1617!A54),6),3)))</f>
        <v>011-901</v>
      </c>
      <c r="C54" s="979" t="s">
        <v>2123</v>
      </c>
      <c r="D54" s="979">
        <v>3</v>
      </c>
      <c r="E54" s="979">
        <v>1596</v>
      </c>
      <c r="F54" s="979" t="s">
        <v>4083</v>
      </c>
      <c r="G54" s="979" t="s">
        <v>4083</v>
      </c>
      <c r="H54" s="979">
        <v>1423475</v>
      </c>
      <c r="I54" s="979">
        <v>2730925</v>
      </c>
      <c r="J54" s="979">
        <v>0.7811521208962644</v>
      </c>
      <c r="K54" s="979">
        <v>1111950.51529281</v>
      </c>
      <c r="L54" s="979">
        <v>1111950.51529281</v>
      </c>
      <c r="M54" s="979">
        <v>599</v>
      </c>
    </row>
    <row r="55" spans="1:13" ht="15">
      <c r="A55" s="979" t="s">
        <v>3378</v>
      </c>
      <c r="B55" s="1040" t="str">
        <f>CONCATENATE(LEFT(RIGHT(CONCATENATE("000",IFAData_TEA_1617!A55),6),3),"-",(RIGHT(RIGHT(CONCATENATE("000",IFAData_TEA_1617!A55),6),3)))</f>
        <v>011-901</v>
      </c>
      <c r="C55" s="979" t="s">
        <v>2123</v>
      </c>
      <c r="D55" s="979">
        <v>3</v>
      </c>
      <c r="E55" s="979">
        <v>1596</v>
      </c>
      <c r="F55" s="979" t="s">
        <v>4083</v>
      </c>
      <c r="G55" s="979" t="s">
        <v>6179</v>
      </c>
      <c r="H55" s="979">
        <v>1423475</v>
      </c>
      <c r="I55" s="979">
        <v>56682</v>
      </c>
      <c r="J55" s="979">
        <v>1.6213284699009331E-2</v>
      </c>
      <c r="K55" s="979">
        <v>23079.205436922308</v>
      </c>
      <c r="L55" s="979">
        <v>23079.205436922308</v>
      </c>
      <c r="M55" s="979">
        <v>599</v>
      </c>
    </row>
    <row r="56" spans="1:13" ht="15">
      <c r="A56" s="979" t="s">
        <v>3378</v>
      </c>
      <c r="B56" s="1040" t="str">
        <f>CONCATENATE(LEFT(RIGHT(CONCATENATE("000",IFAData_TEA_1617!A56),6),3),"-",(RIGHT(RIGHT(CONCATENATE("000",IFAData_TEA_1617!A56),6),3)))</f>
        <v>011-901</v>
      </c>
      <c r="C56" s="979" t="s">
        <v>2123</v>
      </c>
      <c r="D56" s="979">
        <v>3</v>
      </c>
      <c r="E56" s="979">
        <v>1596</v>
      </c>
      <c r="F56" s="979" t="s">
        <v>4083</v>
      </c>
      <c r="G56" s="979" t="s">
        <v>4085</v>
      </c>
      <c r="H56" s="979">
        <v>1423475</v>
      </c>
      <c r="I56" s="979">
        <v>0</v>
      </c>
      <c r="J56" s="979">
        <v>0</v>
      </c>
      <c r="K56" s="979">
        <v>0</v>
      </c>
      <c r="L56" s="979">
        <v>0</v>
      </c>
      <c r="M56" s="979">
        <v>599</v>
      </c>
    </row>
    <row r="57" spans="1:13" ht="15">
      <c r="A57" s="979" t="s">
        <v>3378</v>
      </c>
      <c r="B57" s="1040" t="str">
        <f>CONCATENATE(LEFT(RIGHT(CONCATENATE("000",IFAData_TEA_1617!A57),6),3),"-",(RIGHT(RIGHT(CONCATENATE("000",IFAData_TEA_1617!A57),6),3)))</f>
        <v>011-901</v>
      </c>
      <c r="C57" s="979" t="s">
        <v>2123</v>
      </c>
      <c r="D57" s="979">
        <v>9</v>
      </c>
      <c r="E57" s="979">
        <v>1594</v>
      </c>
      <c r="F57" s="979" t="s">
        <v>4089</v>
      </c>
      <c r="G57" s="979" t="s">
        <v>4089</v>
      </c>
      <c r="H57" s="979">
        <v>871791</v>
      </c>
      <c r="I57" s="979">
        <v>155839</v>
      </c>
      <c r="J57" s="979">
        <v>0.12173143454823397</v>
      </c>
      <c r="K57" s="979">
        <v>106124.36905623945</v>
      </c>
      <c r="L57" s="979">
        <v>106124.36905623945</v>
      </c>
      <c r="M57" s="979">
        <v>599</v>
      </c>
    </row>
    <row r="58" spans="1:13" ht="15">
      <c r="A58" s="979" t="s">
        <v>3378</v>
      </c>
      <c r="B58" s="1040" t="str">
        <f>CONCATENATE(LEFT(RIGHT(CONCATENATE("000",IFAData_TEA_1617!A58),6),3),"-",(RIGHT(RIGHT(CONCATENATE("000",IFAData_TEA_1617!A58),6),3)))</f>
        <v>011-901</v>
      </c>
      <c r="C58" s="979" t="s">
        <v>2123</v>
      </c>
      <c r="D58" s="979">
        <v>10</v>
      </c>
      <c r="E58" s="979">
        <v>1597</v>
      </c>
      <c r="F58" s="979" t="s">
        <v>4091</v>
      </c>
      <c r="G58" s="979" t="s">
        <v>4091</v>
      </c>
      <c r="H58" s="979">
        <v>2083922</v>
      </c>
      <c r="I58" s="979">
        <v>1811785</v>
      </c>
      <c r="J58" s="979">
        <v>0.84742643189732392</v>
      </c>
      <c r="K58" s="979">
        <v>1765970.584812335</v>
      </c>
      <c r="L58" s="979">
        <v>1765970.584812335</v>
      </c>
      <c r="M58" s="979">
        <v>599</v>
      </c>
    </row>
    <row r="59" spans="1:13" ht="15">
      <c r="A59" s="979" t="s">
        <v>3378</v>
      </c>
      <c r="B59" s="1040" t="str">
        <f>CONCATENATE(LEFT(RIGHT(CONCATENATE("000",IFAData_TEA_1617!A59),6),3),"-",(RIGHT(RIGHT(CONCATENATE("000",IFAData_TEA_1617!A59),6),3)))</f>
        <v>011-901</v>
      </c>
      <c r="C59" s="979" t="s">
        <v>2123</v>
      </c>
      <c r="D59" s="979">
        <v>9</v>
      </c>
      <c r="E59" s="979">
        <v>1594</v>
      </c>
      <c r="F59" s="979" t="s">
        <v>4089</v>
      </c>
      <c r="G59" s="979" t="s">
        <v>6180</v>
      </c>
      <c r="H59" s="979">
        <v>871791</v>
      </c>
      <c r="I59" s="979">
        <v>1124348</v>
      </c>
      <c r="J59" s="979">
        <v>0.87826856545176601</v>
      </c>
      <c r="K59" s="979">
        <v>765666.63094376051</v>
      </c>
      <c r="L59" s="979">
        <v>765666.63094376051</v>
      </c>
      <c r="M59" s="979">
        <v>599</v>
      </c>
    </row>
    <row r="60" spans="1:13" ht="15">
      <c r="A60" s="979" t="s">
        <v>3378</v>
      </c>
      <c r="B60" s="1040" t="str">
        <f>CONCATENATE(LEFT(RIGHT(CONCATENATE("000",IFAData_TEA_1617!A60),6),3),"-",(RIGHT(RIGHT(CONCATENATE("000",IFAData_TEA_1617!A60),6),3)))</f>
        <v>011-901</v>
      </c>
      <c r="C60" s="979" t="s">
        <v>2123</v>
      </c>
      <c r="D60" s="979">
        <v>3</v>
      </c>
      <c r="E60" s="979">
        <v>1596</v>
      </c>
      <c r="F60" s="979" t="s">
        <v>4083</v>
      </c>
      <c r="G60" s="979" t="s">
        <v>4086</v>
      </c>
      <c r="H60" s="979">
        <v>1423475</v>
      </c>
      <c r="I60" s="979">
        <v>703727</v>
      </c>
      <c r="J60" s="979">
        <v>0.2012936417448174</v>
      </c>
      <c r="K60" s="979">
        <v>286536.46668270393</v>
      </c>
      <c r="L60" s="979">
        <v>286536.46668270393</v>
      </c>
      <c r="M60" s="979">
        <v>599</v>
      </c>
    </row>
    <row r="61" spans="1:13" ht="15">
      <c r="A61" s="979" t="s">
        <v>3378</v>
      </c>
      <c r="B61" s="1040" t="str">
        <f>CONCATENATE(LEFT(RIGHT(CONCATENATE("000",IFAData_TEA_1617!A61),6),3),"-",(RIGHT(RIGHT(CONCATENATE("000",IFAData_TEA_1617!A61),6),3)))</f>
        <v>011-901</v>
      </c>
      <c r="C61" s="979" t="s">
        <v>2123</v>
      </c>
      <c r="D61" s="979">
        <v>9</v>
      </c>
      <c r="E61" s="979">
        <v>1595</v>
      </c>
      <c r="F61" s="979" t="s">
        <v>4087</v>
      </c>
      <c r="G61" s="979" t="s">
        <v>6178</v>
      </c>
      <c r="H61" s="979">
        <v>1091461</v>
      </c>
      <c r="I61" s="979">
        <v>260306</v>
      </c>
      <c r="J61" s="979">
        <v>0.16908432845903615</v>
      </c>
      <c r="K61" s="979">
        <v>184548.95022422806</v>
      </c>
      <c r="L61" s="979">
        <v>184548.95022422806</v>
      </c>
      <c r="M61" s="979">
        <v>599</v>
      </c>
    </row>
    <row r="62" spans="1:13" ht="15">
      <c r="A62" s="979" t="s">
        <v>3378</v>
      </c>
      <c r="B62" s="1040" t="str">
        <f>CONCATENATE(LEFT(RIGHT(CONCATENATE("000",IFAData_TEA_1617!A62),6),3),"-",(RIGHT(RIGHT(CONCATENATE("000",IFAData_TEA_1617!A62),6),3)))</f>
        <v>011-901</v>
      </c>
      <c r="C62" s="979" t="s">
        <v>2123</v>
      </c>
      <c r="D62" s="979">
        <v>9</v>
      </c>
      <c r="E62" s="979">
        <v>1594</v>
      </c>
      <c r="F62" s="979" t="s">
        <v>4089</v>
      </c>
      <c r="G62" s="979" t="s">
        <v>4090</v>
      </c>
      <c r="H62" s="979">
        <v>871791</v>
      </c>
      <c r="I62" s="979">
        <v>0</v>
      </c>
      <c r="J62" s="979">
        <v>0</v>
      </c>
      <c r="K62" s="979">
        <v>0</v>
      </c>
      <c r="L62" s="979">
        <v>0</v>
      </c>
      <c r="M62" s="979">
        <v>599</v>
      </c>
    </row>
    <row r="63" spans="1:13" ht="15">
      <c r="A63" s="979" t="s">
        <v>3378</v>
      </c>
      <c r="B63" s="1040" t="str">
        <f>CONCATENATE(LEFT(RIGHT(CONCATENATE("000",IFAData_TEA_1617!A63),6),3),"-",(RIGHT(RIGHT(CONCATENATE("000",IFAData_TEA_1617!A63),6),3)))</f>
        <v>011-901</v>
      </c>
      <c r="C63" s="979" t="s">
        <v>2123</v>
      </c>
      <c r="D63" s="979">
        <v>9</v>
      </c>
      <c r="E63" s="979">
        <v>1595</v>
      </c>
      <c r="F63" s="979" t="s">
        <v>4087</v>
      </c>
      <c r="G63" s="979" t="s">
        <v>4088</v>
      </c>
      <c r="H63" s="979">
        <v>1091461</v>
      </c>
      <c r="I63" s="979">
        <v>316688</v>
      </c>
      <c r="J63" s="979">
        <v>0.20570781238632702</v>
      </c>
      <c r="K63" s="979">
        <v>224522.05461499287</v>
      </c>
      <c r="L63" s="979">
        <v>224522.05461499287</v>
      </c>
      <c r="M63" s="979">
        <v>599</v>
      </c>
    </row>
    <row r="64" spans="1:13" ht="15">
      <c r="A64" s="979" t="s">
        <v>3378</v>
      </c>
      <c r="B64" s="1040" t="str">
        <f>CONCATENATE(LEFT(RIGHT(CONCATENATE("000",IFAData_TEA_1617!A64),6),3),"-",(RIGHT(RIGHT(CONCATENATE("000",IFAData_TEA_1617!A64),6),3)))</f>
        <v>011-901</v>
      </c>
      <c r="C64" s="979" t="s">
        <v>2123</v>
      </c>
      <c r="D64" s="979">
        <v>9</v>
      </c>
      <c r="E64" s="979">
        <v>1595</v>
      </c>
      <c r="F64" s="979" t="s">
        <v>4087</v>
      </c>
      <c r="G64" s="979" t="s">
        <v>4087</v>
      </c>
      <c r="H64" s="979">
        <v>1091461</v>
      </c>
      <c r="I64" s="979">
        <v>0</v>
      </c>
      <c r="J64" s="979">
        <v>0</v>
      </c>
      <c r="K64" s="979">
        <v>0</v>
      </c>
      <c r="L64" s="979">
        <v>0</v>
      </c>
      <c r="M64" s="979">
        <v>599</v>
      </c>
    </row>
    <row r="65" spans="1:13" ht="15">
      <c r="A65" s="979" t="s">
        <v>3378</v>
      </c>
      <c r="B65" s="1040" t="str">
        <f>CONCATENATE(LEFT(RIGHT(CONCATENATE("000",IFAData_TEA_1617!A65),6),3),"-",(RIGHT(RIGHT(CONCATENATE("000",IFAData_TEA_1617!A65),6),3)))</f>
        <v>011-901</v>
      </c>
      <c r="C65" s="979" t="s">
        <v>2123</v>
      </c>
      <c r="D65" s="979">
        <v>3</v>
      </c>
      <c r="E65" s="979">
        <v>1596</v>
      </c>
      <c r="F65" s="979" t="s">
        <v>4083</v>
      </c>
      <c r="G65" s="979" t="s">
        <v>4084</v>
      </c>
      <c r="H65" s="979">
        <v>1423475</v>
      </c>
      <c r="I65" s="979">
        <v>0</v>
      </c>
      <c r="J65" s="979">
        <v>0</v>
      </c>
      <c r="K65" s="979">
        <v>0</v>
      </c>
      <c r="L65" s="979">
        <v>0</v>
      </c>
      <c r="M65" s="979">
        <v>599</v>
      </c>
    </row>
    <row r="66" spans="1:13" ht="15">
      <c r="A66" s="979" t="s">
        <v>3378</v>
      </c>
      <c r="B66" s="1040" t="str">
        <f>CONCATENATE(LEFT(RIGHT(CONCATENATE("000",IFAData_TEA_1617!A66),6),3),"-",(RIGHT(RIGHT(CONCATENATE("000",IFAData_TEA_1617!A66),6),3)))</f>
        <v>011-901</v>
      </c>
      <c r="C66" s="979" t="s">
        <v>2123</v>
      </c>
      <c r="D66" s="979">
        <v>3</v>
      </c>
      <c r="E66" s="979">
        <v>1596</v>
      </c>
      <c r="F66" s="979" t="s">
        <v>4083</v>
      </c>
      <c r="G66" s="979" t="s">
        <v>6402</v>
      </c>
      <c r="H66" s="979">
        <v>1423475</v>
      </c>
      <c r="I66" s="979">
        <v>4688</v>
      </c>
      <c r="J66" s="979">
        <v>1.3409526599088906E-3</v>
      </c>
      <c r="K66" s="979">
        <v>1908.8125875638082</v>
      </c>
      <c r="L66" s="979">
        <v>1908.8125875638082</v>
      </c>
      <c r="M66" s="979">
        <v>599</v>
      </c>
    </row>
    <row r="67" spans="1:13" ht="15">
      <c r="A67" s="979" t="s">
        <v>3378</v>
      </c>
      <c r="B67" s="1040" t="str">
        <f>CONCATENATE(LEFT(RIGHT(CONCATENATE("000",IFAData_TEA_1617!A67),6),3),"-",(RIGHT(RIGHT(CONCATENATE("000",IFAData_TEA_1617!A67),6),3)))</f>
        <v>011-901</v>
      </c>
      <c r="C67" s="979" t="s">
        <v>2123</v>
      </c>
      <c r="D67" s="979">
        <v>9</v>
      </c>
      <c r="E67" s="979">
        <v>1595</v>
      </c>
      <c r="F67" s="979" t="s">
        <v>4087</v>
      </c>
      <c r="G67" s="979" t="s">
        <v>4086</v>
      </c>
      <c r="H67" s="979">
        <v>1091461</v>
      </c>
      <c r="I67" s="979">
        <v>28620</v>
      </c>
      <c r="J67" s="979">
        <v>1.859040314283042E-2</v>
      </c>
      <c r="K67" s="979">
        <v>20290.700004676833</v>
      </c>
      <c r="L67" s="979">
        <v>20290.700004676833</v>
      </c>
      <c r="M67" s="979">
        <v>599</v>
      </c>
    </row>
    <row r="68" spans="1:13" ht="15">
      <c r="A68" s="979" t="s">
        <v>3379</v>
      </c>
      <c r="B68" s="1040" t="str">
        <f>CONCATENATE(LEFT(RIGHT(CONCATENATE("000",IFAData_TEA_1617!A68),6),3),"-",(RIGHT(RIGHT(CONCATENATE("000",IFAData_TEA_1617!A68),6),3)))</f>
        <v>011-902</v>
      </c>
      <c r="C68" s="979" t="s">
        <v>890</v>
      </c>
      <c r="D68" s="979">
        <v>9</v>
      </c>
      <c r="E68" s="979">
        <v>1800</v>
      </c>
      <c r="F68" s="979" t="s">
        <v>4094</v>
      </c>
      <c r="G68" s="979" t="s">
        <v>4096</v>
      </c>
      <c r="H68" s="979">
        <v>945091</v>
      </c>
      <c r="I68" s="979">
        <v>321865</v>
      </c>
      <c r="J68" s="979">
        <v>0.12763314111598154</v>
      </c>
      <c r="K68" s="979">
        <v>120624.9329704441</v>
      </c>
      <c r="L68" s="979">
        <v>120624.9329704441</v>
      </c>
      <c r="M68" s="979">
        <v>599</v>
      </c>
    </row>
    <row r="69" spans="1:13" ht="15">
      <c r="A69" s="979" t="s">
        <v>3379</v>
      </c>
      <c r="B69" s="1040" t="str">
        <f>CONCATENATE(LEFT(RIGHT(CONCATENATE("000",IFAData_TEA_1617!A69),6),3),"-",(RIGHT(RIGHT(CONCATENATE("000",IFAData_TEA_1617!A69),6),3)))</f>
        <v>011-902</v>
      </c>
      <c r="C69" s="979" t="s">
        <v>890</v>
      </c>
      <c r="D69" s="979">
        <v>9</v>
      </c>
      <c r="E69" s="979">
        <v>1800</v>
      </c>
      <c r="F69" s="979" t="s">
        <v>4094</v>
      </c>
      <c r="G69" s="979" t="s">
        <v>4094</v>
      </c>
      <c r="H69" s="979">
        <v>945091</v>
      </c>
      <c r="I69" s="979">
        <v>2005243</v>
      </c>
      <c r="J69" s="979">
        <v>0.79516400599889447</v>
      </c>
      <c r="K69" s="979">
        <v>751502.34559350123</v>
      </c>
      <c r="L69" s="979">
        <v>751502.34559350123</v>
      </c>
      <c r="M69" s="979">
        <v>599</v>
      </c>
    </row>
    <row r="70" spans="1:13" ht="15">
      <c r="A70" s="979" t="s">
        <v>3379</v>
      </c>
      <c r="B70" s="1040" t="str">
        <f>CONCATENATE(LEFT(RIGHT(CONCATENATE("000",IFAData_TEA_1617!A70),6),3),"-",(RIGHT(RIGHT(CONCATENATE("000",IFAData_TEA_1617!A70),6),3)))</f>
        <v>011-902</v>
      </c>
      <c r="C70" s="979" t="s">
        <v>890</v>
      </c>
      <c r="D70" s="979">
        <v>1</v>
      </c>
      <c r="E70" s="979">
        <v>1799</v>
      </c>
      <c r="F70" s="979" t="s">
        <v>4092</v>
      </c>
      <c r="G70" s="979" t="s">
        <v>6404</v>
      </c>
      <c r="H70" s="979">
        <v>597138</v>
      </c>
      <c r="I70" s="979">
        <v>916545</v>
      </c>
      <c r="J70" s="979">
        <v>0.45495542003254275</v>
      </c>
      <c r="K70" s="979">
        <v>271671.16960739251</v>
      </c>
      <c r="L70" s="979">
        <v>271671.16960739251</v>
      </c>
      <c r="M70" s="979">
        <v>599</v>
      </c>
    </row>
    <row r="71" spans="1:13" ht="15">
      <c r="A71" s="979" t="s">
        <v>3379</v>
      </c>
      <c r="B71" s="1040" t="str">
        <f>CONCATENATE(LEFT(RIGHT(CONCATENATE("000",IFAData_TEA_1617!A71),6),3),"-",(RIGHT(RIGHT(CONCATENATE("000",IFAData_TEA_1617!A71),6),3)))</f>
        <v>011-902</v>
      </c>
      <c r="C71" s="979" t="s">
        <v>890</v>
      </c>
      <c r="D71" s="979">
        <v>9</v>
      </c>
      <c r="E71" s="979">
        <v>1800</v>
      </c>
      <c r="F71" s="979" t="s">
        <v>4094</v>
      </c>
      <c r="G71" s="979" t="s">
        <v>4095</v>
      </c>
      <c r="H71" s="979">
        <v>945091</v>
      </c>
      <c r="I71" s="979">
        <v>194690</v>
      </c>
      <c r="J71" s="979">
        <v>7.7202852885124032E-2</v>
      </c>
      <c r="K71" s="979">
        <v>72963.721436054751</v>
      </c>
      <c r="L71" s="979">
        <v>72963.721436054751</v>
      </c>
      <c r="M71" s="979">
        <v>599</v>
      </c>
    </row>
    <row r="72" spans="1:13" ht="15">
      <c r="A72" s="979" t="s">
        <v>3379</v>
      </c>
      <c r="B72" s="1040" t="str">
        <f>CONCATENATE(LEFT(RIGHT(CONCATENATE("000",IFAData_TEA_1617!A72),6),3),"-",(RIGHT(RIGHT(CONCATENATE("000",IFAData_TEA_1617!A72),6),3)))</f>
        <v>011-902</v>
      </c>
      <c r="C72" s="979" t="s">
        <v>890</v>
      </c>
      <c r="D72" s="979">
        <v>1</v>
      </c>
      <c r="E72" s="979">
        <v>1799</v>
      </c>
      <c r="F72" s="979" t="s">
        <v>4092</v>
      </c>
      <c r="G72" s="979" t="s">
        <v>4093</v>
      </c>
      <c r="H72" s="979">
        <v>597138</v>
      </c>
      <c r="I72" s="979">
        <v>1098037</v>
      </c>
      <c r="J72" s="979">
        <v>0.54504457996745725</v>
      </c>
      <c r="K72" s="979">
        <v>325466.83039260749</v>
      </c>
      <c r="L72" s="979">
        <v>325466.83039260749</v>
      </c>
      <c r="M72" s="979">
        <v>599</v>
      </c>
    </row>
    <row r="73" spans="1:13" ht="15">
      <c r="A73" s="979" t="s">
        <v>3379</v>
      </c>
      <c r="B73" s="1040" t="str">
        <f>CONCATENATE(LEFT(RIGHT(CONCATENATE("000",IFAData_TEA_1617!A73),6),3),"-",(RIGHT(RIGHT(CONCATENATE("000",IFAData_TEA_1617!A73),6),3)))</f>
        <v>011-902</v>
      </c>
      <c r="C73" s="979" t="s">
        <v>890</v>
      </c>
      <c r="D73" s="979">
        <v>1</v>
      </c>
      <c r="E73" s="979">
        <v>1799</v>
      </c>
      <c r="F73" s="979" t="s">
        <v>4092</v>
      </c>
      <c r="G73" s="979" t="s">
        <v>4092</v>
      </c>
      <c r="H73" s="979">
        <v>597138</v>
      </c>
      <c r="I73" s="979">
        <v>0</v>
      </c>
      <c r="J73" s="979">
        <v>0</v>
      </c>
      <c r="K73" s="979">
        <v>0</v>
      </c>
      <c r="L73" s="979">
        <v>0</v>
      </c>
      <c r="M73" s="979">
        <v>599</v>
      </c>
    </row>
    <row r="74" spans="1:13" ht="15">
      <c r="A74" s="979" t="s">
        <v>3380</v>
      </c>
      <c r="B74" s="1040" t="str">
        <f>CONCATENATE(LEFT(RIGHT(CONCATENATE("000",IFAData_TEA_1617!A74),6),3),"-",(RIGHT(RIGHT(CONCATENATE("000",IFAData_TEA_1617!A74),6),3)))</f>
        <v>011-904</v>
      </c>
      <c r="C74" s="979" t="s">
        <v>1928</v>
      </c>
      <c r="D74" s="979">
        <v>6</v>
      </c>
      <c r="E74" s="979">
        <v>2342</v>
      </c>
      <c r="F74" s="979" t="s">
        <v>4097</v>
      </c>
      <c r="G74" s="979" t="s">
        <v>4097</v>
      </c>
      <c r="H74" s="979">
        <v>449656</v>
      </c>
      <c r="I74" s="979">
        <v>0</v>
      </c>
      <c r="J74" s="979">
        <v>0</v>
      </c>
      <c r="K74" s="979">
        <v>0</v>
      </c>
      <c r="L74" s="979">
        <v>0</v>
      </c>
      <c r="M74" s="979">
        <v>599</v>
      </c>
    </row>
    <row r="75" spans="1:13" ht="15">
      <c r="A75" s="979" t="s">
        <v>3380</v>
      </c>
      <c r="B75" s="1040" t="str">
        <f>CONCATENATE(LEFT(RIGHT(CONCATENATE("000",IFAData_TEA_1617!A75),6),3),"-",(RIGHT(RIGHT(CONCATENATE("000",IFAData_TEA_1617!A75),6),3)))</f>
        <v>011-904</v>
      </c>
      <c r="C75" s="979" t="s">
        <v>1928</v>
      </c>
      <c r="D75" s="979">
        <v>6</v>
      </c>
      <c r="E75" s="979">
        <v>2342</v>
      </c>
      <c r="F75" s="979" t="s">
        <v>4097</v>
      </c>
      <c r="G75" s="979" t="s">
        <v>6181</v>
      </c>
      <c r="H75" s="979">
        <v>449656</v>
      </c>
      <c r="I75" s="979">
        <v>216263</v>
      </c>
      <c r="J75" s="979">
        <v>0.19665707613740524</v>
      </c>
      <c r="K75" s="979">
        <v>88428.034227641096</v>
      </c>
      <c r="L75" s="979">
        <v>88428.034227641096</v>
      </c>
      <c r="M75" s="979">
        <v>599</v>
      </c>
    </row>
    <row r="76" spans="1:13" ht="15">
      <c r="A76" s="979" t="s">
        <v>3380</v>
      </c>
      <c r="B76" s="1040" t="str">
        <f>CONCATENATE(LEFT(RIGHT(CONCATENATE("000",IFAData_TEA_1617!A76),6),3),"-",(RIGHT(RIGHT(CONCATENATE("000",IFAData_TEA_1617!A76),6),3)))</f>
        <v>011-904</v>
      </c>
      <c r="C76" s="979" t="s">
        <v>1928</v>
      </c>
      <c r="D76" s="979">
        <v>6</v>
      </c>
      <c r="E76" s="979">
        <v>2342</v>
      </c>
      <c r="F76" s="979" t="s">
        <v>4097</v>
      </c>
      <c r="G76" s="979" t="s">
        <v>4098</v>
      </c>
      <c r="H76" s="979">
        <v>449656</v>
      </c>
      <c r="I76" s="979">
        <v>322766</v>
      </c>
      <c r="J76" s="979">
        <v>0.29350475040374796</v>
      </c>
      <c r="K76" s="979">
        <v>131976.17204754771</v>
      </c>
      <c r="L76" s="979">
        <v>131976.17204754771</v>
      </c>
      <c r="M76" s="979">
        <v>599</v>
      </c>
    </row>
    <row r="77" spans="1:13" ht="15">
      <c r="A77" s="979" t="s">
        <v>3380</v>
      </c>
      <c r="B77" s="1040" t="str">
        <f>CONCATENATE(LEFT(RIGHT(CONCATENATE("000",IFAData_TEA_1617!A77),6),3),"-",(RIGHT(RIGHT(CONCATENATE("000",IFAData_TEA_1617!A77),6),3)))</f>
        <v>011-904</v>
      </c>
      <c r="C77" s="979" t="s">
        <v>1928</v>
      </c>
      <c r="D77" s="979">
        <v>6</v>
      </c>
      <c r="E77" s="979">
        <v>2342</v>
      </c>
      <c r="F77" s="979" t="s">
        <v>4097</v>
      </c>
      <c r="G77" s="979" t="s">
        <v>4099</v>
      </c>
      <c r="H77" s="979">
        <v>449656</v>
      </c>
      <c r="I77" s="979">
        <v>560667</v>
      </c>
      <c r="J77" s="979">
        <v>0.50983817345884686</v>
      </c>
      <c r="K77" s="979">
        <v>229251.79372481123</v>
      </c>
      <c r="L77" s="979">
        <v>229251.79372481123</v>
      </c>
      <c r="M77" s="979">
        <v>599</v>
      </c>
    </row>
    <row r="78" spans="1:13" ht="15">
      <c r="A78" s="979" t="s">
        <v>3381</v>
      </c>
      <c r="B78" s="1040" t="str">
        <f>CONCATENATE(LEFT(RIGHT(CONCATENATE("000",IFAData_TEA_1617!A78),6),3),"-",(RIGHT(RIGHT(CONCATENATE("000",IFAData_TEA_1617!A78),6),3)))</f>
        <v>011-905</v>
      </c>
      <c r="C78" s="979" t="s">
        <v>818</v>
      </c>
      <c r="D78" s="979">
        <v>5</v>
      </c>
      <c r="E78" s="979">
        <v>2080</v>
      </c>
      <c r="F78" s="979" t="s">
        <v>4100</v>
      </c>
      <c r="G78" s="979" t="s">
        <v>4100</v>
      </c>
      <c r="H78" s="979">
        <v>100000</v>
      </c>
      <c r="I78" s="979">
        <v>0</v>
      </c>
      <c r="J78" s="979">
        <v>0</v>
      </c>
      <c r="K78" s="979">
        <v>0</v>
      </c>
      <c r="L78" s="979">
        <v>0</v>
      </c>
      <c r="M78" s="979">
        <v>599</v>
      </c>
    </row>
    <row r="79" spans="1:13" ht="15">
      <c r="A79" s="979" t="s">
        <v>3381</v>
      </c>
      <c r="B79" s="1040" t="str">
        <f>CONCATENATE(LEFT(RIGHT(CONCATENATE("000",IFAData_TEA_1617!A79),6),3),"-",(RIGHT(RIGHT(CONCATENATE("000",IFAData_TEA_1617!A79),6),3)))</f>
        <v>011-905</v>
      </c>
      <c r="C79" s="979" t="s">
        <v>818</v>
      </c>
      <c r="D79" s="979">
        <v>5</v>
      </c>
      <c r="E79" s="979">
        <v>2080</v>
      </c>
      <c r="F79" s="979" t="s">
        <v>4100</v>
      </c>
      <c r="G79" s="979" t="s">
        <v>4101</v>
      </c>
      <c r="H79" s="979">
        <v>100000</v>
      </c>
      <c r="I79" s="979">
        <v>92750</v>
      </c>
      <c r="J79" s="979">
        <v>1</v>
      </c>
      <c r="K79" s="979">
        <v>100000</v>
      </c>
      <c r="L79" s="979">
        <v>92750</v>
      </c>
      <c r="M79" s="979">
        <v>599</v>
      </c>
    </row>
    <row r="80" spans="1:13" ht="15">
      <c r="A80" s="979" t="s">
        <v>3382</v>
      </c>
      <c r="B80" s="1040" t="str">
        <f>CONCATENATE(LEFT(RIGHT(CONCATENATE("000",IFAData_TEA_1617!A80),6),3),"-",(RIGHT(RIGHT(CONCATENATE("000",IFAData_TEA_1617!A80),6),3)))</f>
        <v>013-901</v>
      </c>
      <c r="C80" s="979" t="s">
        <v>2124</v>
      </c>
      <c r="D80" s="979">
        <v>6</v>
      </c>
      <c r="E80" s="979">
        <v>1599</v>
      </c>
      <c r="F80" s="979" t="s">
        <v>4102</v>
      </c>
      <c r="G80" s="979" t="s">
        <v>4102</v>
      </c>
      <c r="H80" s="979">
        <v>855519</v>
      </c>
      <c r="I80" s="979">
        <v>0</v>
      </c>
      <c r="J80" s="979">
        <v>0</v>
      </c>
      <c r="K80" s="979">
        <v>0</v>
      </c>
      <c r="L80" s="979">
        <v>0</v>
      </c>
      <c r="M80" s="979">
        <v>599</v>
      </c>
    </row>
    <row r="81" spans="1:13" ht="15">
      <c r="A81" s="979" t="s">
        <v>3382</v>
      </c>
      <c r="B81" s="1040" t="str">
        <f>CONCATENATE(LEFT(RIGHT(CONCATENATE("000",IFAData_TEA_1617!A81),6),3),"-",(RIGHT(RIGHT(CONCATENATE("000",IFAData_TEA_1617!A81),6),3)))</f>
        <v>013-901</v>
      </c>
      <c r="C81" s="979" t="s">
        <v>2124</v>
      </c>
      <c r="D81" s="979">
        <v>6</v>
      </c>
      <c r="E81" s="979">
        <v>1599</v>
      </c>
      <c r="F81" s="979" t="s">
        <v>4102</v>
      </c>
      <c r="G81" s="979" t="s">
        <v>6405</v>
      </c>
      <c r="H81" s="979">
        <v>855519</v>
      </c>
      <c r="I81" s="979">
        <v>239300</v>
      </c>
      <c r="J81" s="979">
        <v>0.28955169701736344</v>
      </c>
      <c r="K81" s="979">
        <v>247716.97828059774</v>
      </c>
      <c r="L81" s="979">
        <v>239300</v>
      </c>
      <c r="M81" s="979">
        <v>599</v>
      </c>
    </row>
    <row r="82" spans="1:13" ht="15">
      <c r="A82" s="979" t="s">
        <v>3382</v>
      </c>
      <c r="B82" s="1040" t="str">
        <f>CONCATENATE(LEFT(RIGHT(CONCATENATE("000",IFAData_TEA_1617!A82),6),3),"-",(RIGHT(RIGHT(CONCATENATE("000",IFAData_TEA_1617!A82),6),3)))</f>
        <v>013-901</v>
      </c>
      <c r="C82" s="979" t="s">
        <v>2124</v>
      </c>
      <c r="D82" s="979">
        <v>9</v>
      </c>
      <c r="E82" s="979">
        <v>1598</v>
      </c>
      <c r="F82" s="979" t="s">
        <v>4105</v>
      </c>
      <c r="G82" s="979" t="s">
        <v>4105</v>
      </c>
      <c r="H82" s="979">
        <v>605485</v>
      </c>
      <c r="I82" s="979">
        <v>462400</v>
      </c>
      <c r="J82" s="979">
        <v>0.60746190225959007</v>
      </c>
      <c r="K82" s="979">
        <v>367809.06988964789</v>
      </c>
      <c r="L82" s="979">
        <v>367809.06988964789</v>
      </c>
      <c r="M82" s="979">
        <v>599</v>
      </c>
    </row>
    <row r="83" spans="1:13" ht="15">
      <c r="A83" s="979" t="s">
        <v>3382</v>
      </c>
      <c r="B83" s="1040" t="str">
        <f>CONCATENATE(LEFT(RIGHT(CONCATENATE("000",IFAData_TEA_1617!A83),6),3),"-",(RIGHT(RIGHT(CONCATENATE("000",IFAData_TEA_1617!A83),6),3)))</f>
        <v>013-901</v>
      </c>
      <c r="C83" s="979" t="s">
        <v>2124</v>
      </c>
      <c r="D83" s="979">
        <v>9</v>
      </c>
      <c r="E83" s="979">
        <v>1598</v>
      </c>
      <c r="F83" s="979" t="s">
        <v>4105</v>
      </c>
      <c r="G83" s="979" t="s">
        <v>6182</v>
      </c>
      <c r="H83" s="979">
        <v>605485</v>
      </c>
      <c r="I83" s="979">
        <v>298800</v>
      </c>
      <c r="J83" s="979">
        <v>0.39253809774040987</v>
      </c>
      <c r="K83" s="979">
        <v>237675.93011035208</v>
      </c>
      <c r="L83" s="979">
        <v>237675.93011035208</v>
      </c>
      <c r="M83" s="979">
        <v>599</v>
      </c>
    </row>
    <row r="84" spans="1:13" ht="15">
      <c r="A84" s="979" t="s">
        <v>3382</v>
      </c>
      <c r="B84" s="1040" t="str">
        <f>CONCATENATE(LEFT(RIGHT(CONCATENATE("000",IFAData_TEA_1617!A84),6),3),"-",(RIGHT(RIGHT(CONCATENATE("000",IFAData_TEA_1617!A84),6),3)))</f>
        <v>013-901</v>
      </c>
      <c r="C84" s="979" t="s">
        <v>2124</v>
      </c>
      <c r="D84" s="979">
        <v>6</v>
      </c>
      <c r="E84" s="979">
        <v>1599</v>
      </c>
      <c r="F84" s="979" t="s">
        <v>4102</v>
      </c>
      <c r="G84" s="979" t="s">
        <v>4104</v>
      </c>
      <c r="H84" s="979">
        <v>855519</v>
      </c>
      <c r="I84" s="979">
        <v>587150</v>
      </c>
      <c r="J84" s="979">
        <v>0.71044830298263661</v>
      </c>
      <c r="K84" s="979">
        <v>607802.02171940228</v>
      </c>
      <c r="L84" s="979">
        <v>587150</v>
      </c>
      <c r="M84" s="979">
        <v>599</v>
      </c>
    </row>
    <row r="85" spans="1:13" ht="15">
      <c r="A85" s="979" t="s">
        <v>3382</v>
      </c>
      <c r="B85" s="1040" t="str">
        <f>CONCATENATE(LEFT(RIGHT(CONCATENATE("000",IFAData_TEA_1617!A85),6),3),"-",(RIGHT(RIGHT(CONCATENATE("000",IFAData_TEA_1617!A85),6),3)))</f>
        <v>013-901</v>
      </c>
      <c r="C85" s="979" t="s">
        <v>2124</v>
      </c>
      <c r="D85" s="979">
        <v>6</v>
      </c>
      <c r="E85" s="979">
        <v>1599</v>
      </c>
      <c r="F85" s="979" t="s">
        <v>4102</v>
      </c>
      <c r="G85" s="979" t="s">
        <v>4103</v>
      </c>
      <c r="H85" s="979">
        <v>855519</v>
      </c>
      <c r="I85" s="979">
        <v>0</v>
      </c>
      <c r="J85" s="979">
        <v>0</v>
      </c>
      <c r="K85" s="979">
        <v>0</v>
      </c>
      <c r="L85" s="979">
        <v>0</v>
      </c>
      <c r="M85" s="979">
        <v>599</v>
      </c>
    </row>
    <row r="86" spans="1:13" ht="15">
      <c r="A86" s="979" t="s">
        <v>3383</v>
      </c>
      <c r="B86" s="1040" t="str">
        <f>CONCATENATE(LEFT(RIGHT(CONCATENATE("000",IFAData_TEA_1617!A86),6),3),"-",(RIGHT(RIGHT(CONCATENATE("000",IFAData_TEA_1617!A86),6),3)))</f>
        <v>013-905</v>
      </c>
      <c r="C86" s="979" t="s">
        <v>1828</v>
      </c>
      <c r="D86" s="979">
        <v>3</v>
      </c>
      <c r="E86" s="979">
        <v>2338</v>
      </c>
      <c r="F86" s="979" t="s">
        <v>4106</v>
      </c>
      <c r="G86" s="979" t="s">
        <v>4106</v>
      </c>
      <c r="H86" s="979">
        <v>176917</v>
      </c>
      <c r="I86" s="979">
        <v>0</v>
      </c>
      <c r="J86" s="979">
        <v>0</v>
      </c>
      <c r="K86" s="979">
        <v>0</v>
      </c>
      <c r="L86" s="979">
        <v>0</v>
      </c>
      <c r="M86" s="979">
        <v>599</v>
      </c>
    </row>
    <row r="87" spans="1:13" ht="15">
      <c r="A87" s="979" t="s">
        <v>3383</v>
      </c>
      <c r="B87" s="1040" t="str">
        <f>CONCATENATE(LEFT(RIGHT(CONCATENATE("000",IFAData_TEA_1617!A87),6),3),"-",(RIGHT(RIGHT(CONCATENATE("000",IFAData_TEA_1617!A87),6),3)))</f>
        <v>013-905</v>
      </c>
      <c r="C87" s="979" t="s">
        <v>1828</v>
      </c>
      <c r="D87" s="979">
        <v>3</v>
      </c>
      <c r="E87" s="979">
        <v>2338</v>
      </c>
      <c r="F87" s="979" t="s">
        <v>4106</v>
      </c>
      <c r="G87" s="979" t="s">
        <v>6406</v>
      </c>
      <c r="H87" s="979">
        <v>176917</v>
      </c>
      <c r="I87" s="979">
        <v>159300</v>
      </c>
      <c r="J87" s="979">
        <v>1</v>
      </c>
      <c r="K87" s="979">
        <v>176917</v>
      </c>
      <c r="L87" s="979">
        <v>159300</v>
      </c>
      <c r="M87" s="979">
        <v>599</v>
      </c>
    </row>
    <row r="88" spans="1:13" ht="15">
      <c r="A88" s="979" t="s">
        <v>3383</v>
      </c>
      <c r="B88" s="1040" t="str">
        <f>CONCATENATE(LEFT(RIGHT(CONCATENATE("000",IFAData_TEA_1617!A88),6),3),"-",(RIGHT(RIGHT(CONCATENATE("000",IFAData_TEA_1617!A88),6),3)))</f>
        <v>013-905</v>
      </c>
      <c r="C88" s="979" t="s">
        <v>1828</v>
      </c>
      <c r="D88" s="979">
        <v>3</v>
      </c>
      <c r="E88" s="979">
        <v>2338</v>
      </c>
      <c r="F88" s="979" t="s">
        <v>4106</v>
      </c>
      <c r="G88" s="979" t="s">
        <v>4107</v>
      </c>
      <c r="H88" s="979">
        <v>176917</v>
      </c>
      <c r="I88" s="979">
        <v>0</v>
      </c>
      <c r="J88" s="979">
        <v>0</v>
      </c>
      <c r="K88" s="979">
        <v>0</v>
      </c>
      <c r="L88" s="979">
        <v>0</v>
      </c>
      <c r="M88" s="979">
        <v>599</v>
      </c>
    </row>
    <row r="89" spans="1:13" ht="15">
      <c r="A89" s="979" t="s">
        <v>3383</v>
      </c>
      <c r="B89" s="1040" t="str">
        <f>CONCATENATE(LEFT(RIGHT(CONCATENATE("000",IFAData_TEA_1617!A89),6),3),"-",(RIGHT(RIGHT(CONCATENATE("000",IFAData_TEA_1617!A89),6),3)))</f>
        <v>013-905</v>
      </c>
      <c r="C89" s="979" t="s">
        <v>1828</v>
      </c>
      <c r="D89" s="979">
        <v>9</v>
      </c>
      <c r="E89" s="979">
        <v>2339</v>
      </c>
      <c r="F89" s="979" t="s">
        <v>4108</v>
      </c>
      <c r="G89" s="979" t="s">
        <v>6183</v>
      </c>
      <c r="H89" s="979">
        <v>182500</v>
      </c>
      <c r="I89" s="979">
        <v>85652</v>
      </c>
      <c r="J89" s="979">
        <v>0.39871149137425405</v>
      </c>
      <c r="K89" s="979">
        <v>72764.847175801362</v>
      </c>
      <c r="L89" s="979">
        <v>72764.847175801362</v>
      </c>
      <c r="M89" s="979">
        <v>599</v>
      </c>
    </row>
    <row r="90" spans="1:13" ht="15">
      <c r="A90" s="979" t="s">
        <v>3383</v>
      </c>
      <c r="B90" s="1040" t="str">
        <f>CONCATENATE(LEFT(RIGHT(CONCATENATE("000",IFAData_TEA_1617!A90),6),3),"-",(RIGHT(RIGHT(CONCATENATE("000",IFAData_TEA_1617!A90),6),3)))</f>
        <v>013-905</v>
      </c>
      <c r="C90" s="979" t="s">
        <v>1828</v>
      </c>
      <c r="D90" s="979">
        <v>9</v>
      </c>
      <c r="E90" s="979">
        <v>2339</v>
      </c>
      <c r="F90" s="979" t="s">
        <v>4108</v>
      </c>
      <c r="G90" s="979" t="s">
        <v>4108</v>
      </c>
      <c r="H90" s="979">
        <v>182500</v>
      </c>
      <c r="I90" s="979">
        <v>129170</v>
      </c>
      <c r="J90" s="979">
        <v>0.60128850862574601</v>
      </c>
      <c r="K90" s="979">
        <v>109735.15282419865</v>
      </c>
      <c r="L90" s="979">
        <v>109735.15282419865</v>
      </c>
      <c r="M90" s="979">
        <v>599</v>
      </c>
    </row>
    <row r="91" spans="1:13" ht="15">
      <c r="A91" s="979" t="s">
        <v>3384</v>
      </c>
      <c r="B91" s="1040" t="str">
        <f>CONCATENATE(LEFT(RIGHT(CONCATENATE("000",IFAData_TEA_1617!A91),6),3),"-",(RIGHT(RIGHT(CONCATENATE("000",IFAData_TEA_1617!A91),6),3)))</f>
        <v>014-902</v>
      </c>
      <c r="C91" s="979" t="s">
        <v>2122</v>
      </c>
      <c r="D91" s="979">
        <v>2</v>
      </c>
      <c r="E91" s="979">
        <v>1593</v>
      </c>
      <c r="F91" s="979" t="s">
        <v>4109</v>
      </c>
      <c r="G91" s="979" t="s">
        <v>4110</v>
      </c>
      <c r="H91" s="979">
        <v>134523</v>
      </c>
      <c r="I91" s="979">
        <v>117792</v>
      </c>
      <c r="J91" s="979">
        <v>1</v>
      </c>
      <c r="K91" s="979">
        <v>134523</v>
      </c>
      <c r="L91" s="979">
        <v>117792</v>
      </c>
      <c r="M91" s="979">
        <v>599</v>
      </c>
    </row>
    <row r="92" spans="1:13" ht="15">
      <c r="A92" s="979" t="s">
        <v>3384</v>
      </c>
      <c r="B92" s="1040" t="str">
        <f>CONCATENATE(LEFT(RIGHT(CONCATENATE("000",IFAData_TEA_1617!A92),6),3),"-",(RIGHT(RIGHT(CONCATENATE("000",IFAData_TEA_1617!A92),6),3)))</f>
        <v>014-902</v>
      </c>
      <c r="C92" s="979" t="s">
        <v>2122</v>
      </c>
      <c r="D92" s="979">
        <v>2</v>
      </c>
      <c r="E92" s="979">
        <v>1593</v>
      </c>
      <c r="F92" s="979" t="s">
        <v>4109</v>
      </c>
      <c r="G92" s="979" t="s">
        <v>4109</v>
      </c>
      <c r="H92" s="979">
        <v>134523</v>
      </c>
      <c r="I92" s="979">
        <v>0</v>
      </c>
      <c r="J92" s="979">
        <v>0</v>
      </c>
      <c r="K92" s="979">
        <v>0</v>
      </c>
      <c r="L92" s="979">
        <v>0</v>
      </c>
      <c r="M92" s="979">
        <v>599</v>
      </c>
    </row>
    <row r="93" spans="1:13" ht="15">
      <c r="A93" s="979" t="s">
        <v>3385</v>
      </c>
      <c r="B93" s="1040" t="str">
        <f>CONCATENATE(LEFT(RIGHT(CONCATENATE("000",IFAData_TEA_1617!A93),6),3),"-",(RIGHT(RIGHT(CONCATENATE("000",IFAData_TEA_1617!A93),6),3)))</f>
        <v>014-903</v>
      </c>
      <c r="C93" s="979" t="s">
        <v>2680</v>
      </c>
      <c r="D93" s="979">
        <v>1</v>
      </c>
      <c r="E93" s="979">
        <v>1603</v>
      </c>
      <c r="F93" s="979" t="s">
        <v>4111</v>
      </c>
      <c r="G93" s="979" t="s">
        <v>4112</v>
      </c>
      <c r="H93" s="979">
        <v>428025</v>
      </c>
      <c r="I93" s="979">
        <v>947300</v>
      </c>
      <c r="J93" s="979">
        <v>1</v>
      </c>
      <c r="K93" s="979">
        <v>428025</v>
      </c>
      <c r="L93" s="979">
        <v>428025</v>
      </c>
      <c r="M93" s="979">
        <v>599</v>
      </c>
    </row>
    <row r="94" spans="1:13" ht="15">
      <c r="A94" s="979" t="s">
        <v>3385</v>
      </c>
      <c r="B94" s="1040" t="str">
        <f>CONCATENATE(LEFT(RIGHT(CONCATENATE("000",IFAData_TEA_1617!A94),6),3),"-",(RIGHT(RIGHT(CONCATENATE("000",IFAData_TEA_1617!A94),6),3)))</f>
        <v>014-903</v>
      </c>
      <c r="C94" s="979" t="s">
        <v>2680</v>
      </c>
      <c r="D94" s="979">
        <v>2</v>
      </c>
      <c r="E94" s="979">
        <v>1604</v>
      </c>
      <c r="F94" s="979" t="s">
        <v>4113</v>
      </c>
      <c r="G94" s="979" t="s">
        <v>4113</v>
      </c>
      <c r="H94" s="979">
        <v>1175975</v>
      </c>
      <c r="I94" s="979">
        <v>0</v>
      </c>
      <c r="J94" s="979">
        <v>0</v>
      </c>
      <c r="K94" s="979">
        <v>0</v>
      </c>
      <c r="L94" s="979">
        <v>0</v>
      </c>
      <c r="M94" s="979">
        <v>599</v>
      </c>
    </row>
    <row r="95" spans="1:13" ht="15">
      <c r="A95" s="979" t="s">
        <v>3385</v>
      </c>
      <c r="B95" s="1040" t="str">
        <f>CONCATENATE(LEFT(RIGHT(CONCATENATE("000",IFAData_TEA_1617!A95),6),3),"-",(RIGHT(RIGHT(CONCATENATE("000",IFAData_TEA_1617!A95),6),3)))</f>
        <v>014-903</v>
      </c>
      <c r="C95" s="979" t="s">
        <v>2680</v>
      </c>
      <c r="D95" s="979">
        <v>2</v>
      </c>
      <c r="E95" s="979">
        <v>1604</v>
      </c>
      <c r="F95" s="979" t="s">
        <v>4113</v>
      </c>
      <c r="G95" s="979" t="s">
        <v>4114</v>
      </c>
      <c r="H95" s="979">
        <v>1175975</v>
      </c>
      <c r="I95" s="979">
        <v>203437</v>
      </c>
      <c r="J95" s="979">
        <v>0.40016404922263488</v>
      </c>
      <c r="K95" s="979">
        <v>470582.91778458806</v>
      </c>
      <c r="L95" s="979">
        <v>203437</v>
      </c>
      <c r="M95" s="979">
        <v>599</v>
      </c>
    </row>
    <row r="96" spans="1:13" ht="15">
      <c r="A96" s="979" t="s">
        <v>3385</v>
      </c>
      <c r="B96" s="1040" t="str">
        <f>CONCATENATE(LEFT(RIGHT(CONCATENATE("000",IFAData_TEA_1617!A96),6),3),"-",(RIGHT(RIGHT(CONCATENATE("000",IFAData_TEA_1617!A96),6),3)))</f>
        <v>014-903</v>
      </c>
      <c r="C96" s="979" t="s">
        <v>2680</v>
      </c>
      <c r="D96" s="979">
        <v>1</v>
      </c>
      <c r="E96" s="979">
        <v>1603</v>
      </c>
      <c r="F96" s="979" t="s">
        <v>4111</v>
      </c>
      <c r="G96" s="979" t="s">
        <v>4111</v>
      </c>
      <c r="H96" s="979">
        <v>428025</v>
      </c>
      <c r="I96" s="979">
        <v>0</v>
      </c>
      <c r="J96" s="979">
        <v>0</v>
      </c>
      <c r="K96" s="979">
        <v>0</v>
      </c>
      <c r="L96" s="979">
        <v>0</v>
      </c>
      <c r="M96" s="979">
        <v>599</v>
      </c>
    </row>
    <row r="97" spans="1:13" ht="15">
      <c r="A97" s="979" t="s">
        <v>3385</v>
      </c>
      <c r="B97" s="1040" t="str">
        <f>CONCATENATE(LEFT(RIGHT(CONCATENATE("000",IFAData_TEA_1617!A97),6),3),"-",(RIGHT(RIGHT(CONCATENATE("000",IFAData_TEA_1617!A97),6),3)))</f>
        <v>014-903</v>
      </c>
      <c r="C97" s="979" t="s">
        <v>2680</v>
      </c>
      <c r="D97" s="979">
        <v>2</v>
      </c>
      <c r="E97" s="979">
        <v>1604</v>
      </c>
      <c r="F97" s="979" t="s">
        <v>4113</v>
      </c>
      <c r="G97" s="979" t="s">
        <v>4112</v>
      </c>
      <c r="H97" s="979">
        <v>1175975</v>
      </c>
      <c r="I97" s="979">
        <v>304947</v>
      </c>
      <c r="J97" s="979">
        <v>0.59983595077736518</v>
      </c>
      <c r="K97" s="979">
        <v>705392.08221541205</v>
      </c>
      <c r="L97" s="979">
        <v>304947</v>
      </c>
      <c r="M97" s="979">
        <v>599</v>
      </c>
    </row>
    <row r="98" spans="1:13" ht="15">
      <c r="A98" s="979" t="s">
        <v>3386</v>
      </c>
      <c r="B98" s="1040" t="str">
        <f>CONCATENATE(LEFT(RIGHT(CONCATENATE("000",IFAData_TEA_1617!A98),6),3),"-",(RIGHT(RIGHT(CONCATENATE("000",IFAData_TEA_1617!A98),6),3)))</f>
        <v>014-905</v>
      </c>
      <c r="C98" s="979" t="s">
        <v>2377</v>
      </c>
      <c r="D98" s="979">
        <v>4</v>
      </c>
      <c r="E98" s="979">
        <v>1895</v>
      </c>
      <c r="F98" s="979" t="s">
        <v>4117</v>
      </c>
      <c r="G98" s="979" t="s">
        <v>4116</v>
      </c>
      <c r="H98" s="979">
        <v>114590</v>
      </c>
      <c r="I98" s="979">
        <v>115700</v>
      </c>
      <c r="J98" s="979">
        <v>1</v>
      </c>
      <c r="K98" s="979">
        <v>114590</v>
      </c>
      <c r="L98" s="979">
        <v>114590</v>
      </c>
      <c r="M98" s="979">
        <v>599</v>
      </c>
    </row>
    <row r="99" spans="1:13" ht="15">
      <c r="A99" s="979" t="s">
        <v>3386</v>
      </c>
      <c r="B99" s="1040" t="str">
        <f>CONCATENATE(LEFT(RIGHT(CONCATENATE("000",IFAData_TEA_1617!A99),6),3),"-",(RIGHT(RIGHT(CONCATENATE("000",IFAData_TEA_1617!A99),6),3)))</f>
        <v>014-905</v>
      </c>
      <c r="C99" s="979" t="s">
        <v>2377</v>
      </c>
      <c r="D99" s="979">
        <v>2</v>
      </c>
      <c r="E99" s="979">
        <v>1894</v>
      </c>
      <c r="F99" s="979" t="s">
        <v>4115</v>
      </c>
      <c r="G99" s="979" t="s">
        <v>4116</v>
      </c>
      <c r="H99" s="979">
        <v>88580</v>
      </c>
      <c r="I99" s="979">
        <v>129425</v>
      </c>
      <c r="J99" s="979">
        <v>1</v>
      </c>
      <c r="K99" s="979">
        <v>88580</v>
      </c>
      <c r="L99" s="979">
        <v>88580</v>
      </c>
      <c r="M99" s="979">
        <v>599</v>
      </c>
    </row>
    <row r="100" spans="1:13" ht="15">
      <c r="A100" s="979" t="s">
        <v>3386</v>
      </c>
      <c r="B100" s="1040" t="str">
        <f>CONCATENATE(LEFT(RIGHT(CONCATENATE("000",IFAData_TEA_1617!A100),6),3),"-",(RIGHT(RIGHT(CONCATENATE("000",IFAData_TEA_1617!A100),6),3)))</f>
        <v>014-905</v>
      </c>
      <c r="C100" s="979" t="s">
        <v>2377</v>
      </c>
      <c r="D100" s="979">
        <v>2</v>
      </c>
      <c r="E100" s="979">
        <v>1894</v>
      </c>
      <c r="F100" s="979" t="s">
        <v>4115</v>
      </c>
      <c r="G100" s="979" t="s">
        <v>4115</v>
      </c>
      <c r="H100" s="979">
        <v>88580</v>
      </c>
      <c r="I100" s="979">
        <v>0</v>
      </c>
      <c r="J100" s="979">
        <v>0</v>
      </c>
      <c r="K100" s="979">
        <v>0</v>
      </c>
      <c r="L100" s="979">
        <v>0</v>
      </c>
      <c r="M100" s="979">
        <v>599</v>
      </c>
    </row>
    <row r="101" spans="1:13" ht="15">
      <c r="A101" s="979" t="s">
        <v>3386</v>
      </c>
      <c r="B101" s="1040" t="str">
        <f>CONCATENATE(LEFT(RIGHT(CONCATENATE("000",IFAData_TEA_1617!A101),6),3),"-",(RIGHT(RIGHT(CONCATENATE("000",IFAData_TEA_1617!A101),6),3)))</f>
        <v>014-905</v>
      </c>
      <c r="C101" s="979" t="s">
        <v>2377</v>
      </c>
      <c r="D101" s="979">
        <v>9</v>
      </c>
      <c r="E101" s="979">
        <v>1896</v>
      </c>
      <c r="F101" s="979" t="s">
        <v>4118</v>
      </c>
      <c r="G101" s="979" t="s">
        <v>4118</v>
      </c>
      <c r="H101" s="979">
        <v>137250</v>
      </c>
      <c r="I101" s="979">
        <v>225000</v>
      </c>
      <c r="J101" s="979">
        <v>1</v>
      </c>
      <c r="K101" s="979">
        <v>137250</v>
      </c>
      <c r="L101" s="979">
        <v>137250</v>
      </c>
      <c r="M101" s="979">
        <v>599</v>
      </c>
    </row>
    <row r="102" spans="1:13" ht="15">
      <c r="A102" s="979" t="s">
        <v>3386</v>
      </c>
      <c r="B102" s="1040" t="str">
        <f>CONCATENATE(LEFT(RIGHT(CONCATENATE("000",IFAData_TEA_1617!A102),6),3),"-",(RIGHT(RIGHT(CONCATENATE("000",IFAData_TEA_1617!A102),6),3)))</f>
        <v>014-905</v>
      </c>
      <c r="C102" s="979" t="s">
        <v>2377</v>
      </c>
      <c r="D102" s="979">
        <v>4</v>
      </c>
      <c r="E102" s="979">
        <v>1895</v>
      </c>
      <c r="F102" s="979" t="s">
        <v>4117</v>
      </c>
      <c r="G102" s="979" t="s">
        <v>4117</v>
      </c>
      <c r="H102" s="979">
        <v>114590</v>
      </c>
      <c r="I102" s="979">
        <v>0</v>
      </c>
      <c r="J102" s="979">
        <v>0</v>
      </c>
      <c r="K102" s="979">
        <v>0</v>
      </c>
      <c r="L102" s="979">
        <v>0</v>
      </c>
      <c r="M102" s="979">
        <v>599</v>
      </c>
    </row>
    <row r="103" spans="1:13" ht="15">
      <c r="A103" s="979" t="s">
        <v>3387</v>
      </c>
      <c r="B103" s="1040" t="str">
        <f>CONCATENATE(LEFT(RIGHT(CONCATENATE("000",IFAData_TEA_1617!A103),6),3),"-",(RIGHT(RIGHT(CONCATENATE("000",IFAData_TEA_1617!A103),6),3)))</f>
        <v>014-906</v>
      </c>
      <c r="C103" s="979" t="s">
        <v>2518</v>
      </c>
      <c r="D103" s="979">
        <v>6</v>
      </c>
      <c r="E103" s="979">
        <v>1958</v>
      </c>
      <c r="F103" s="979" t="s">
        <v>4122</v>
      </c>
      <c r="G103" s="979" t="s">
        <v>4123</v>
      </c>
      <c r="H103" s="979">
        <v>7058303</v>
      </c>
      <c r="I103" s="979">
        <v>5639358</v>
      </c>
      <c r="J103" s="979">
        <v>0.81076420637850777</v>
      </c>
      <c r="K103" s="979">
        <v>5722619.4301740406</v>
      </c>
      <c r="L103" s="979">
        <v>5639358</v>
      </c>
      <c r="M103" s="979">
        <v>599</v>
      </c>
    </row>
    <row r="104" spans="1:13" ht="15">
      <c r="A104" s="979" t="s">
        <v>3387</v>
      </c>
      <c r="B104" s="1040" t="str">
        <f>CONCATENATE(LEFT(RIGHT(CONCATENATE("000",IFAData_TEA_1617!A104),6),3),"-",(RIGHT(RIGHT(CONCATENATE("000",IFAData_TEA_1617!A104),6),3)))</f>
        <v>014-906</v>
      </c>
      <c r="C104" s="979" t="s">
        <v>2518</v>
      </c>
      <c r="D104" s="979">
        <v>2</v>
      </c>
      <c r="E104" s="979">
        <v>1957</v>
      </c>
      <c r="F104" s="979" t="s">
        <v>4119</v>
      </c>
      <c r="G104" s="979" t="s">
        <v>6184</v>
      </c>
      <c r="H104" s="979">
        <v>5126526</v>
      </c>
      <c r="I104" s="979">
        <v>3811625</v>
      </c>
      <c r="J104" s="979">
        <v>0.77316084930298123</v>
      </c>
      <c r="K104" s="979">
        <v>3963629.1961338152</v>
      </c>
      <c r="L104" s="979">
        <v>3811625</v>
      </c>
      <c r="M104" s="979">
        <v>599</v>
      </c>
    </row>
    <row r="105" spans="1:13" ht="15">
      <c r="A105" s="979" t="s">
        <v>3387</v>
      </c>
      <c r="B105" s="1040" t="str">
        <f>CONCATENATE(LEFT(RIGHT(CONCATENATE("000",IFAData_TEA_1617!A105),6),3),"-",(RIGHT(RIGHT(CONCATENATE("000",IFAData_TEA_1617!A105),6),3)))</f>
        <v>014-906</v>
      </c>
      <c r="C105" s="979" t="s">
        <v>2518</v>
      </c>
      <c r="D105" s="979">
        <v>2</v>
      </c>
      <c r="E105" s="979">
        <v>1957</v>
      </c>
      <c r="F105" s="979" t="s">
        <v>4119</v>
      </c>
      <c r="G105" s="979" t="s">
        <v>4120</v>
      </c>
      <c r="H105" s="979">
        <v>5126526</v>
      </c>
      <c r="I105" s="979">
        <v>0</v>
      </c>
      <c r="J105" s="979">
        <v>0</v>
      </c>
      <c r="K105" s="979">
        <v>0</v>
      </c>
      <c r="L105" s="979">
        <v>0</v>
      </c>
      <c r="M105" s="979">
        <v>599</v>
      </c>
    </row>
    <row r="106" spans="1:13" ht="15">
      <c r="A106" s="979" t="s">
        <v>3387</v>
      </c>
      <c r="B106" s="1040" t="str">
        <f>CONCATENATE(LEFT(RIGHT(CONCATENATE("000",IFAData_TEA_1617!A106),6),3),"-",(RIGHT(RIGHT(CONCATENATE("000",IFAData_TEA_1617!A106),6),3)))</f>
        <v>014-906</v>
      </c>
      <c r="C106" s="979" t="s">
        <v>2518</v>
      </c>
      <c r="D106" s="979">
        <v>6</v>
      </c>
      <c r="E106" s="979">
        <v>1958</v>
      </c>
      <c r="F106" s="979" t="s">
        <v>4122</v>
      </c>
      <c r="G106" s="979" t="s">
        <v>4124</v>
      </c>
      <c r="H106" s="979">
        <v>7058303</v>
      </c>
      <c r="I106" s="979">
        <v>1316250</v>
      </c>
      <c r="J106" s="979">
        <v>0.18923579362149218</v>
      </c>
      <c r="K106" s="979">
        <v>1335683.5698259592</v>
      </c>
      <c r="L106" s="979">
        <v>1316250</v>
      </c>
      <c r="M106" s="979">
        <v>599</v>
      </c>
    </row>
    <row r="107" spans="1:13" ht="15">
      <c r="A107" s="979" t="s">
        <v>3387</v>
      </c>
      <c r="B107" s="1040" t="str">
        <f>CONCATENATE(LEFT(RIGHT(CONCATENATE("000",IFAData_TEA_1617!A107),6),3),"-",(RIGHT(RIGHT(CONCATENATE("000",IFAData_TEA_1617!A107),6),3)))</f>
        <v>014-906</v>
      </c>
      <c r="C107" s="979" t="s">
        <v>2518</v>
      </c>
      <c r="D107" s="979">
        <v>6</v>
      </c>
      <c r="E107" s="979">
        <v>1958</v>
      </c>
      <c r="F107" s="979" t="s">
        <v>4122</v>
      </c>
      <c r="G107" s="979" t="s">
        <v>4122</v>
      </c>
      <c r="H107" s="979">
        <v>7058303</v>
      </c>
      <c r="I107" s="979">
        <v>0</v>
      </c>
      <c r="J107" s="979">
        <v>0</v>
      </c>
      <c r="K107" s="979">
        <v>0</v>
      </c>
      <c r="L107" s="979">
        <v>0</v>
      </c>
      <c r="M107" s="979">
        <v>599</v>
      </c>
    </row>
    <row r="108" spans="1:13" ht="15">
      <c r="A108" s="979" t="s">
        <v>3387</v>
      </c>
      <c r="B108" s="1040" t="str">
        <f>CONCATENATE(LEFT(RIGHT(CONCATENATE("000",IFAData_TEA_1617!A108),6),3),"-",(RIGHT(RIGHT(CONCATENATE("000",IFAData_TEA_1617!A108),6),3)))</f>
        <v>014-906</v>
      </c>
      <c r="C108" s="979" t="s">
        <v>2518</v>
      </c>
      <c r="D108" s="979">
        <v>2</v>
      </c>
      <c r="E108" s="979">
        <v>1957</v>
      </c>
      <c r="F108" s="979" t="s">
        <v>4119</v>
      </c>
      <c r="G108" s="979" t="s">
        <v>4121</v>
      </c>
      <c r="H108" s="979">
        <v>5126526</v>
      </c>
      <c r="I108" s="979">
        <v>1118300</v>
      </c>
      <c r="J108" s="979">
        <v>0.22683915069701871</v>
      </c>
      <c r="K108" s="979">
        <v>1162896.8038661845</v>
      </c>
      <c r="L108" s="979">
        <v>1118300</v>
      </c>
      <c r="M108" s="979">
        <v>599</v>
      </c>
    </row>
    <row r="109" spans="1:13" ht="15">
      <c r="A109" s="979" t="s">
        <v>3387</v>
      </c>
      <c r="B109" s="1040" t="str">
        <f>CONCATENATE(LEFT(RIGHT(CONCATENATE("000",IFAData_TEA_1617!A109),6),3),"-",(RIGHT(RIGHT(CONCATENATE("000",IFAData_TEA_1617!A109),6),3)))</f>
        <v>014-906</v>
      </c>
      <c r="C109" s="979" t="s">
        <v>2518</v>
      </c>
      <c r="D109" s="979">
        <v>2</v>
      </c>
      <c r="E109" s="979">
        <v>1957</v>
      </c>
      <c r="F109" s="979" t="s">
        <v>4119</v>
      </c>
      <c r="G109" s="979" t="s">
        <v>4119</v>
      </c>
      <c r="H109" s="979">
        <v>5126526</v>
      </c>
      <c r="I109" s="979">
        <v>0</v>
      </c>
      <c r="J109" s="979">
        <v>0</v>
      </c>
      <c r="K109" s="979">
        <v>0</v>
      </c>
      <c r="L109" s="979">
        <v>0</v>
      </c>
      <c r="M109" s="979">
        <v>599</v>
      </c>
    </row>
    <row r="110" spans="1:13" ht="15">
      <c r="A110" s="979" t="s">
        <v>3388</v>
      </c>
      <c r="B110" s="1040" t="str">
        <f>CONCATENATE(LEFT(RIGHT(CONCATENATE("000",IFAData_TEA_1617!A110),6),3),"-",(RIGHT(RIGHT(CONCATENATE("000",IFAData_TEA_1617!A110),6),3)))</f>
        <v>014-907</v>
      </c>
      <c r="C110" s="979" t="s">
        <v>1402</v>
      </c>
      <c r="D110" s="979">
        <v>9</v>
      </c>
      <c r="E110" s="979">
        <v>2258</v>
      </c>
      <c r="F110" s="979" t="s">
        <v>4126</v>
      </c>
      <c r="G110" s="979" t="s">
        <v>4126</v>
      </c>
      <c r="H110" s="979">
        <v>192381</v>
      </c>
      <c r="I110" s="979">
        <v>555049</v>
      </c>
      <c r="J110" s="979">
        <v>1</v>
      </c>
      <c r="K110" s="979">
        <v>192381</v>
      </c>
      <c r="L110" s="979">
        <v>192381</v>
      </c>
      <c r="M110" s="979">
        <v>599</v>
      </c>
    </row>
    <row r="111" spans="1:13" ht="15">
      <c r="A111" s="979" t="s">
        <v>3388</v>
      </c>
      <c r="B111" s="1040" t="str">
        <f>CONCATENATE(LEFT(RIGHT(CONCATENATE("000",IFAData_TEA_1617!A111),6),3),"-",(RIGHT(RIGHT(CONCATENATE("000",IFAData_TEA_1617!A111),6),3)))</f>
        <v>014-907</v>
      </c>
      <c r="C111" s="979" t="s">
        <v>1402</v>
      </c>
      <c r="D111" s="979">
        <v>2</v>
      </c>
      <c r="E111" s="979">
        <v>2257</v>
      </c>
      <c r="F111" s="979" t="s">
        <v>4125</v>
      </c>
      <c r="G111" s="979" t="s">
        <v>6185</v>
      </c>
      <c r="H111" s="979">
        <v>188100</v>
      </c>
      <c r="I111" s="979">
        <v>450400</v>
      </c>
      <c r="J111" s="979">
        <v>1</v>
      </c>
      <c r="K111" s="979">
        <v>188100</v>
      </c>
      <c r="L111" s="979">
        <v>188100</v>
      </c>
      <c r="M111" s="979">
        <v>599</v>
      </c>
    </row>
    <row r="112" spans="1:13" ht="15">
      <c r="A112" s="979" t="s">
        <v>3388</v>
      </c>
      <c r="B112" s="1040" t="str">
        <f>CONCATENATE(LEFT(RIGHT(CONCATENATE("000",IFAData_TEA_1617!A112),6),3),"-",(RIGHT(RIGHT(CONCATENATE("000",IFAData_TEA_1617!A112),6),3)))</f>
        <v>014-907</v>
      </c>
      <c r="C112" s="979" t="s">
        <v>1402</v>
      </c>
      <c r="D112" s="979">
        <v>2</v>
      </c>
      <c r="E112" s="979">
        <v>2257</v>
      </c>
      <c r="F112" s="979" t="s">
        <v>4125</v>
      </c>
      <c r="G112" s="979" t="s">
        <v>4125</v>
      </c>
      <c r="H112" s="979">
        <v>188100</v>
      </c>
      <c r="I112" s="979">
        <v>0</v>
      </c>
      <c r="J112" s="979">
        <v>0</v>
      </c>
      <c r="K112" s="979">
        <v>0</v>
      </c>
      <c r="L112" s="979">
        <v>0</v>
      </c>
      <c r="M112" s="979">
        <v>599</v>
      </c>
    </row>
    <row r="113" spans="1:13" ht="15">
      <c r="A113" s="979" t="s">
        <v>3389</v>
      </c>
      <c r="B113" s="1040" t="str">
        <f>CONCATENATE(LEFT(RIGHT(CONCATENATE("000",IFAData_TEA_1617!A113),6),3),"-",(RIGHT(RIGHT(CONCATENATE("000",IFAData_TEA_1617!A113),6),3)))</f>
        <v>014-908</v>
      </c>
      <c r="C113" s="979" t="s">
        <v>2025</v>
      </c>
      <c r="D113" s="979">
        <v>1</v>
      </c>
      <c r="E113" s="979">
        <v>2275</v>
      </c>
      <c r="F113" s="979" t="s">
        <v>4127</v>
      </c>
      <c r="G113" s="979" t="s">
        <v>4129</v>
      </c>
      <c r="H113" s="979">
        <v>211190</v>
      </c>
      <c r="I113" s="979">
        <v>68890</v>
      </c>
      <c r="J113" s="979">
        <v>7.2901862389136568E-2</v>
      </c>
      <c r="K113" s="979">
        <v>15396.144317961753</v>
      </c>
      <c r="L113" s="979">
        <v>15396.144317961753</v>
      </c>
      <c r="M113" s="979">
        <v>599</v>
      </c>
    </row>
    <row r="114" spans="1:13" ht="15">
      <c r="A114" s="979" t="s">
        <v>3389</v>
      </c>
      <c r="B114" s="1040" t="str">
        <f>CONCATENATE(LEFT(RIGHT(CONCATENATE("000",IFAData_TEA_1617!A114),6),3),"-",(RIGHT(RIGHT(CONCATENATE("000",IFAData_TEA_1617!A114),6),3)))</f>
        <v>014-908</v>
      </c>
      <c r="C114" s="979" t="s">
        <v>2025</v>
      </c>
      <c r="D114" s="979">
        <v>1</v>
      </c>
      <c r="E114" s="979">
        <v>2275</v>
      </c>
      <c r="F114" s="979" t="s">
        <v>4127</v>
      </c>
      <c r="G114" s="979" t="s">
        <v>4127</v>
      </c>
      <c r="H114" s="979">
        <v>211190</v>
      </c>
      <c r="I114" s="979">
        <v>0</v>
      </c>
      <c r="J114" s="979">
        <v>0</v>
      </c>
      <c r="K114" s="979">
        <v>0</v>
      </c>
      <c r="L114" s="979">
        <v>0</v>
      </c>
      <c r="M114" s="979">
        <v>599</v>
      </c>
    </row>
    <row r="115" spans="1:13" ht="15">
      <c r="A115" s="979" t="s">
        <v>3389</v>
      </c>
      <c r="B115" s="1040" t="str">
        <f>CONCATENATE(LEFT(RIGHT(CONCATENATE("000",IFAData_TEA_1617!A115),6),3),"-",(RIGHT(RIGHT(CONCATENATE("000",IFAData_TEA_1617!A115),6),3)))</f>
        <v>014-908</v>
      </c>
      <c r="C115" s="979" t="s">
        <v>2025</v>
      </c>
      <c r="D115" s="979">
        <v>1</v>
      </c>
      <c r="E115" s="979">
        <v>2275</v>
      </c>
      <c r="F115" s="979" t="s">
        <v>4127</v>
      </c>
      <c r="G115" s="979" t="s">
        <v>4128</v>
      </c>
      <c r="H115" s="979">
        <v>211190</v>
      </c>
      <c r="I115" s="979">
        <v>477183</v>
      </c>
      <c r="J115" s="979">
        <v>0.50497212077856524</v>
      </c>
      <c r="K115" s="979">
        <v>106645.06218722519</v>
      </c>
      <c r="L115" s="979">
        <v>106645.06218722519</v>
      </c>
      <c r="M115" s="979">
        <v>599</v>
      </c>
    </row>
    <row r="116" spans="1:13" ht="15">
      <c r="A116" s="979" t="s">
        <v>3389</v>
      </c>
      <c r="B116" s="1040" t="str">
        <f>CONCATENATE(LEFT(RIGHT(CONCATENATE("000",IFAData_TEA_1617!A116),6),3),"-",(RIGHT(RIGHT(CONCATENATE("000",IFAData_TEA_1617!A116),6),3)))</f>
        <v>014-908</v>
      </c>
      <c r="C116" s="979" t="s">
        <v>2025</v>
      </c>
      <c r="D116" s="979">
        <v>1</v>
      </c>
      <c r="E116" s="979">
        <v>2275</v>
      </c>
      <c r="F116" s="979" t="s">
        <v>4127</v>
      </c>
      <c r="G116" s="979" t="s">
        <v>6407</v>
      </c>
      <c r="H116" s="979">
        <v>211190</v>
      </c>
      <c r="I116" s="979">
        <v>398896</v>
      </c>
      <c r="J116" s="979">
        <v>0.42212601683229822</v>
      </c>
      <c r="K116" s="979">
        <v>89148.793494813057</v>
      </c>
      <c r="L116" s="979">
        <v>89148.793494813057</v>
      </c>
      <c r="M116" s="979">
        <v>599</v>
      </c>
    </row>
    <row r="117" spans="1:13" ht="15">
      <c r="A117" s="979" t="s">
        <v>3390</v>
      </c>
      <c r="B117" s="1040" t="str">
        <f>CONCATENATE(LEFT(RIGHT(CONCATENATE("000",IFAData_TEA_1617!A117),6),3),"-",(RIGHT(RIGHT(CONCATENATE("000",IFAData_TEA_1617!A117),6),3)))</f>
        <v>014-909</v>
      </c>
      <c r="C117" s="979" t="s">
        <v>603</v>
      </c>
      <c r="D117" s="979">
        <v>1</v>
      </c>
      <c r="E117" s="979">
        <v>2391</v>
      </c>
      <c r="F117" s="979" t="s">
        <v>4130</v>
      </c>
      <c r="G117" s="979" t="s">
        <v>4130</v>
      </c>
      <c r="H117" s="979">
        <v>767280</v>
      </c>
      <c r="I117" s="979">
        <v>0</v>
      </c>
      <c r="J117" s="979">
        <v>0</v>
      </c>
      <c r="K117" s="979">
        <v>0</v>
      </c>
      <c r="L117" s="979">
        <v>0</v>
      </c>
      <c r="M117" s="979">
        <v>599</v>
      </c>
    </row>
    <row r="118" spans="1:13" ht="15">
      <c r="A118" s="979" t="s">
        <v>3390</v>
      </c>
      <c r="B118" s="1040" t="str">
        <f>CONCATENATE(LEFT(RIGHT(CONCATENATE("000",IFAData_TEA_1617!A118),6),3),"-",(RIGHT(RIGHT(CONCATENATE("000",IFAData_TEA_1617!A118),6),3)))</f>
        <v>014-909</v>
      </c>
      <c r="C118" s="979" t="s">
        <v>603</v>
      </c>
      <c r="D118" s="979">
        <v>1</v>
      </c>
      <c r="E118" s="979">
        <v>2391</v>
      </c>
      <c r="F118" s="979" t="s">
        <v>4130</v>
      </c>
      <c r="G118" s="979" t="s">
        <v>4131</v>
      </c>
      <c r="H118" s="979">
        <v>767280</v>
      </c>
      <c r="I118" s="979">
        <v>1478941</v>
      </c>
      <c r="J118" s="979">
        <v>0.84592413033356706</v>
      </c>
      <c r="K118" s="979">
        <v>649060.66672233935</v>
      </c>
      <c r="L118" s="979">
        <v>649060.66672233935</v>
      </c>
      <c r="M118" s="979">
        <v>599</v>
      </c>
    </row>
    <row r="119" spans="1:13" ht="15">
      <c r="A119" s="979" t="s">
        <v>3390</v>
      </c>
      <c r="B119" s="1040" t="str">
        <f>CONCATENATE(LEFT(RIGHT(CONCATENATE("000",IFAData_TEA_1617!A119),6),3),"-",(RIGHT(RIGHT(CONCATENATE("000",IFAData_TEA_1617!A119),6),3)))</f>
        <v>014-909</v>
      </c>
      <c r="C119" s="979" t="s">
        <v>603</v>
      </c>
      <c r="D119" s="979">
        <v>9</v>
      </c>
      <c r="E119" s="979">
        <v>2392</v>
      </c>
      <c r="F119" s="979" t="s">
        <v>4133</v>
      </c>
      <c r="G119" s="979" t="s">
        <v>4133</v>
      </c>
      <c r="H119" s="979">
        <v>1498738</v>
      </c>
      <c r="I119" s="979">
        <v>881803</v>
      </c>
      <c r="J119" s="979">
        <v>0.63741585062342643</v>
      </c>
      <c r="K119" s="979">
        <v>955319.35713165288</v>
      </c>
      <c r="L119" s="979">
        <v>881803</v>
      </c>
      <c r="M119" s="979">
        <v>599</v>
      </c>
    </row>
    <row r="120" spans="1:13" ht="15">
      <c r="A120" s="979" t="s">
        <v>3390</v>
      </c>
      <c r="B120" s="1040" t="str">
        <f>CONCATENATE(LEFT(RIGHT(CONCATENATE("000",IFAData_TEA_1617!A120),6),3),"-",(RIGHT(RIGHT(CONCATENATE("000",IFAData_TEA_1617!A120),6),3)))</f>
        <v>014-909</v>
      </c>
      <c r="C120" s="979" t="s">
        <v>603</v>
      </c>
      <c r="D120" s="979">
        <v>1</v>
      </c>
      <c r="E120" s="979">
        <v>2391</v>
      </c>
      <c r="F120" s="979" t="s">
        <v>4130</v>
      </c>
      <c r="G120" s="979" t="s">
        <v>6186</v>
      </c>
      <c r="H120" s="979">
        <v>767280</v>
      </c>
      <c r="I120" s="979">
        <v>269373</v>
      </c>
      <c r="J120" s="979">
        <v>0.15407586966643291</v>
      </c>
      <c r="K120" s="979">
        <v>118219.33327766064</v>
      </c>
      <c r="L120" s="979">
        <v>118219.33327766064</v>
      </c>
      <c r="M120" s="979">
        <v>599</v>
      </c>
    </row>
    <row r="121" spans="1:13" ht="15">
      <c r="A121" s="979" t="s">
        <v>3390</v>
      </c>
      <c r="B121" s="1040" t="str">
        <f>CONCATENATE(LEFT(RIGHT(CONCATENATE("000",IFAData_TEA_1617!A121),6),3),"-",(RIGHT(RIGHT(CONCATENATE("000",IFAData_TEA_1617!A121),6),3)))</f>
        <v>014-909</v>
      </c>
      <c r="C121" s="979" t="s">
        <v>603</v>
      </c>
      <c r="D121" s="979">
        <v>1</v>
      </c>
      <c r="E121" s="979">
        <v>2391</v>
      </c>
      <c r="F121" s="979" t="s">
        <v>4130</v>
      </c>
      <c r="G121" s="979" t="s">
        <v>4132</v>
      </c>
      <c r="H121" s="979">
        <v>767280</v>
      </c>
      <c r="I121" s="979">
        <v>0</v>
      </c>
      <c r="J121" s="979">
        <v>0</v>
      </c>
      <c r="K121" s="979">
        <v>0</v>
      </c>
      <c r="L121" s="979">
        <v>0</v>
      </c>
      <c r="M121" s="979">
        <v>599</v>
      </c>
    </row>
    <row r="122" spans="1:13" ht="15">
      <c r="A122" s="979" t="s">
        <v>3390</v>
      </c>
      <c r="B122" s="1040" t="str">
        <f>CONCATENATE(LEFT(RIGHT(CONCATENATE("000",IFAData_TEA_1617!A122),6),3),"-",(RIGHT(RIGHT(CONCATENATE("000",IFAData_TEA_1617!A122),6),3)))</f>
        <v>014-909</v>
      </c>
      <c r="C122" s="979" t="s">
        <v>603</v>
      </c>
      <c r="D122" s="979">
        <v>9</v>
      </c>
      <c r="E122" s="979">
        <v>2392</v>
      </c>
      <c r="F122" s="979" t="s">
        <v>4133</v>
      </c>
      <c r="G122" s="979" t="s">
        <v>4134</v>
      </c>
      <c r="H122" s="979">
        <v>1498738</v>
      </c>
      <c r="I122" s="979">
        <v>209600</v>
      </c>
      <c r="J122" s="979">
        <v>0.15151044200424604</v>
      </c>
      <c r="K122" s="979">
        <v>227074.45682855972</v>
      </c>
      <c r="L122" s="979">
        <v>209600</v>
      </c>
      <c r="M122" s="979">
        <v>599</v>
      </c>
    </row>
    <row r="123" spans="1:13" ht="15">
      <c r="A123" s="979" t="s">
        <v>3390</v>
      </c>
      <c r="B123" s="1040" t="str">
        <f>CONCATENATE(LEFT(RIGHT(CONCATENATE("000",IFAData_TEA_1617!A123),6),3),"-",(RIGHT(RIGHT(CONCATENATE("000",IFAData_TEA_1617!A123),6),3)))</f>
        <v>014-909</v>
      </c>
      <c r="C123" s="979" t="s">
        <v>603</v>
      </c>
      <c r="D123" s="979">
        <v>9</v>
      </c>
      <c r="E123" s="979">
        <v>2392</v>
      </c>
      <c r="F123" s="979" t="s">
        <v>4133</v>
      </c>
      <c r="G123" s="979" t="s">
        <v>6187</v>
      </c>
      <c r="H123" s="979">
        <v>1498738</v>
      </c>
      <c r="I123" s="979">
        <v>292000</v>
      </c>
      <c r="J123" s="979">
        <v>0.2110737073723275</v>
      </c>
      <c r="K123" s="979">
        <v>316344.18603978737</v>
      </c>
      <c r="L123" s="979">
        <v>292000</v>
      </c>
      <c r="M123" s="979">
        <v>599</v>
      </c>
    </row>
    <row r="124" spans="1:13" ht="15">
      <c r="A124" s="979" t="s">
        <v>3391</v>
      </c>
      <c r="B124" s="1040" t="str">
        <f>CONCATENATE(LEFT(RIGHT(CONCATENATE("000",IFAData_TEA_1617!A124),6),3),"-",(RIGHT(RIGHT(CONCATENATE("000",IFAData_TEA_1617!A124),6),3)))</f>
        <v>014-910</v>
      </c>
      <c r="C124" s="979" t="s">
        <v>2312</v>
      </c>
      <c r="D124" s="979">
        <v>9</v>
      </c>
      <c r="E124" s="979">
        <v>2402</v>
      </c>
      <c r="F124" s="979" t="s">
        <v>4137</v>
      </c>
      <c r="G124" s="979" t="s">
        <v>4138</v>
      </c>
      <c r="H124" s="979">
        <v>284227</v>
      </c>
      <c r="I124" s="979">
        <v>350730</v>
      </c>
      <c r="J124" s="979">
        <v>0.47734408706054959</v>
      </c>
      <c r="K124" s="979">
        <v>135674.07783295884</v>
      </c>
      <c r="L124" s="979">
        <v>135674.07783295884</v>
      </c>
      <c r="M124" s="979">
        <v>599</v>
      </c>
    </row>
    <row r="125" spans="1:13" ht="15">
      <c r="A125" s="979" t="s">
        <v>3391</v>
      </c>
      <c r="B125" s="1040" t="str">
        <f>CONCATENATE(LEFT(RIGHT(CONCATENATE("000",IFAData_TEA_1617!A125),6),3),"-",(RIGHT(RIGHT(CONCATENATE("000",IFAData_TEA_1617!A125),6),3)))</f>
        <v>014-910</v>
      </c>
      <c r="C125" s="979" t="s">
        <v>2312</v>
      </c>
      <c r="D125" s="979">
        <v>9</v>
      </c>
      <c r="E125" s="979">
        <v>2402</v>
      </c>
      <c r="F125" s="979" t="s">
        <v>4137</v>
      </c>
      <c r="G125" s="979" t="s">
        <v>4137</v>
      </c>
      <c r="H125" s="979">
        <v>284227</v>
      </c>
      <c r="I125" s="979">
        <v>0</v>
      </c>
      <c r="J125" s="979">
        <v>0</v>
      </c>
      <c r="K125" s="979">
        <v>0</v>
      </c>
      <c r="L125" s="979">
        <v>0</v>
      </c>
      <c r="M125" s="979">
        <v>599</v>
      </c>
    </row>
    <row r="126" spans="1:13" ht="15">
      <c r="A126" s="979" t="s">
        <v>3391</v>
      </c>
      <c r="B126" s="1040" t="str">
        <f>CONCATENATE(LEFT(RIGHT(CONCATENATE("000",IFAData_TEA_1617!A126),6),3),"-",(RIGHT(RIGHT(CONCATENATE("000",IFAData_TEA_1617!A126),6),3)))</f>
        <v>014-910</v>
      </c>
      <c r="C126" s="979" t="s">
        <v>2312</v>
      </c>
      <c r="D126" s="979">
        <v>3</v>
      </c>
      <c r="E126" s="979">
        <v>2403</v>
      </c>
      <c r="F126" s="979" t="s">
        <v>4135</v>
      </c>
      <c r="G126" s="979" t="s">
        <v>4135</v>
      </c>
      <c r="H126" s="979">
        <v>290625</v>
      </c>
      <c r="I126" s="979">
        <v>0</v>
      </c>
      <c r="J126" s="979">
        <v>0</v>
      </c>
      <c r="K126" s="979">
        <v>0</v>
      </c>
      <c r="L126" s="979">
        <v>0</v>
      </c>
      <c r="M126" s="979">
        <v>599</v>
      </c>
    </row>
    <row r="127" spans="1:13" ht="15">
      <c r="A127" s="979" t="s">
        <v>3391</v>
      </c>
      <c r="B127" s="1040" t="str">
        <f>CONCATENATE(LEFT(RIGHT(CONCATENATE("000",IFAData_TEA_1617!A127),6),3),"-",(RIGHT(RIGHT(CONCATENATE("000",IFAData_TEA_1617!A127),6),3)))</f>
        <v>014-910</v>
      </c>
      <c r="C127" s="979" t="s">
        <v>2312</v>
      </c>
      <c r="D127" s="979">
        <v>9</v>
      </c>
      <c r="E127" s="979">
        <v>2402</v>
      </c>
      <c r="F127" s="979" t="s">
        <v>4137</v>
      </c>
      <c r="G127" s="979" t="s">
        <v>4139</v>
      </c>
      <c r="H127" s="979">
        <v>284227</v>
      </c>
      <c r="I127" s="979">
        <v>384023</v>
      </c>
      <c r="J127" s="979">
        <v>0.52265591293945035</v>
      </c>
      <c r="K127" s="979">
        <v>148552.92216704116</v>
      </c>
      <c r="L127" s="979">
        <v>148552.92216704116</v>
      </c>
      <c r="M127" s="979">
        <v>599</v>
      </c>
    </row>
    <row r="128" spans="1:13" ht="15">
      <c r="A128" s="979" t="s">
        <v>3391</v>
      </c>
      <c r="B128" s="1040" t="str">
        <f>CONCATENATE(LEFT(RIGHT(CONCATENATE("000",IFAData_TEA_1617!A128),6),3),"-",(RIGHT(RIGHT(CONCATENATE("000",IFAData_TEA_1617!A128),6),3)))</f>
        <v>014-910</v>
      </c>
      <c r="C128" s="979" t="s">
        <v>2312</v>
      </c>
      <c r="D128" s="979">
        <v>3</v>
      </c>
      <c r="E128" s="979">
        <v>2403</v>
      </c>
      <c r="F128" s="979" t="s">
        <v>4135</v>
      </c>
      <c r="G128" s="979" t="s">
        <v>4136</v>
      </c>
      <c r="H128" s="979">
        <v>290625</v>
      </c>
      <c r="I128" s="979">
        <v>559450</v>
      </c>
      <c r="J128" s="979">
        <v>1</v>
      </c>
      <c r="K128" s="979">
        <v>290625</v>
      </c>
      <c r="L128" s="979">
        <v>290625</v>
      </c>
      <c r="M128" s="979">
        <v>599</v>
      </c>
    </row>
    <row r="129" spans="1:13" ht="15">
      <c r="A129" s="979" t="s">
        <v>3392</v>
      </c>
      <c r="B129" s="1040" t="str">
        <f>CONCATENATE(LEFT(RIGHT(CONCATENATE("000",IFAData_TEA_1617!A129),6),3),"-",(RIGHT(RIGHT(CONCATENATE("000",IFAData_TEA_1617!A129),6),3)))</f>
        <v>015-904</v>
      </c>
      <c r="C129" s="979" t="s">
        <v>724</v>
      </c>
      <c r="D129" s="979">
        <v>2</v>
      </c>
      <c r="E129" s="979">
        <v>1868</v>
      </c>
      <c r="F129" s="979" t="s">
        <v>4140</v>
      </c>
      <c r="G129" s="979" t="s">
        <v>4141</v>
      </c>
      <c r="H129" s="979">
        <v>3489913</v>
      </c>
      <c r="I129" s="979">
        <v>0</v>
      </c>
      <c r="J129" s="979">
        <v>0</v>
      </c>
      <c r="K129" s="979"/>
      <c r="L129" s="979">
        <v>0</v>
      </c>
      <c r="M129" s="979">
        <v>599</v>
      </c>
    </row>
    <row r="130" spans="1:13" ht="15">
      <c r="A130" s="979" t="s">
        <v>3392</v>
      </c>
      <c r="B130" s="1040" t="str">
        <f>CONCATENATE(LEFT(RIGHT(CONCATENATE("000",IFAData_TEA_1617!A130),6),3),"-",(RIGHT(RIGHT(CONCATENATE("000",IFAData_TEA_1617!A130),6),3)))</f>
        <v>015-904</v>
      </c>
      <c r="C130" s="979" t="s">
        <v>724</v>
      </c>
      <c r="D130" s="979">
        <v>4</v>
      </c>
      <c r="E130" s="979">
        <v>1869</v>
      </c>
      <c r="F130" s="979" t="s">
        <v>4145</v>
      </c>
      <c r="G130" s="979" t="s">
        <v>4141</v>
      </c>
      <c r="H130" s="979">
        <v>3515081</v>
      </c>
      <c r="I130" s="979">
        <v>0</v>
      </c>
      <c r="J130" s="979">
        <v>0</v>
      </c>
      <c r="K130" s="979"/>
      <c r="L130" s="979">
        <v>0</v>
      </c>
      <c r="M130" s="979">
        <v>599</v>
      </c>
    </row>
    <row r="131" spans="1:13" ht="15">
      <c r="A131" s="979" t="s">
        <v>3392</v>
      </c>
      <c r="B131" s="1040" t="str">
        <f>CONCATENATE(LEFT(RIGHT(CONCATENATE("000",IFAData_TEA_1617!A131),6),3),"-",(RIGHT(RIGHT(CONCATENATE("000",IFAData_TEA_1617!A131),6),3)))</f>
        <v>015-904</v>
      </c>
      <c r="C131" s="979" t="s">
        <v>724</v>
      </c>
      <c r="D131" s="979">
        <v>4</v>
      </c>
      <c r="E131" s="979">
        <v>1869</v>
      </c>
      <c r="F131" s="979" t="s">
        <v>4145</v>
      </c>
      <c r="G131" s="979" t="s">
        <v>4146</v>
      </c>
      <c r="H131" s="979">
        <v>3515081</v>
      </c>
      <c r="I131" s="979">
        <v>0</v>
      </c>
      <c r="J131" s="979">
        <v>0</v>
      </c>
      <c r="K131" s="979"/>
      <c r="L131" s="979">
        <v>0</v>
      </c>
      <c r="M131" s="979">
        <v>599</v>
      </c>
    </row>
    <row r="132" spans="1:13" ht="15">
      <c r="A132" s="979" t="s">
        <v>3392</v>
      </c>
      <c r="B132" s="1040" t="str">
        <f>CONCATENATE(LEFT(RIGHT(CONCATENATE("000",IFAData_TEA_1617!A132),6),3),"-",(RIGHT(RIGHT(CONCATENATE("000",IFAData_TEA_1617!A132),6),3)))</f>
        <v>015-904</v>
      </c>
      <c r="C132" s="979" t="s">
        <v>724</v>
      </c>
      <c r="D132" s="979">
        <v>2</v>
      </c>
      <c r="E132" s="979">
        <v>1868</v>
      </c>
      <c r="F132" s="979" t="s">
        <v>4140</v>
      </c>
      <c r="G132" s="979" t="s">
        <v>4142</v>
      </c>
      <c r="H132" s="979">
        <v>3489913</v>
      </c>
      <c r="I132" s="979">
        <v>0</v>
      </c>
      <c r="J132" s="979">
        <v>0</v>
      </c>
      <c r="K132" s="979"/>
      <c r="L132" s="979">
        <v>0</v>
      </c>
      <c r="M132" s="979">
        <v>599</v>
      </c>
    </row>
    <row r="133" spans="1:13" ht="15">
      <c r="A133" s="979" t="s">
        <v>3392</v>
      </c>
      <c r="B133" s="1040" t="str">
        <f>CONCATENATE(LEFT(RIGHT(CONCATENATE("000",IFAData_TEA_1617!A133),6),3),"-",(RIGHT(RIGHT(CONCATENATE("000",IFAData_TEA_1617!A133),6),3)))</f>
        <v>015-904</v>
      </c>
      <c r="C133" s="979" t="s">
        <v>724</v>
      </c>
      <c r="D133" s="979">
        <v>2</v>
      </c>
      <c r="E133" s="979">
        <v>1868</v>
      </c>
      <c r="F133" s="979" t="s">
        <v>4140</v>
      </c>
      <c r="G133" s="979" t="s">
        <v>4143</v>
      </c>
      <c r="H133" s="979">
        <v>3489913</v>
      </c>
      <c r="I133" s="979">
        <v>0</v>
      </c>
      <c r="J133" s="979">
        <v>0</v>
      </c>
      <c r="K133" s="979"/>
      <c r="L133" s="979">
        <v>0</v>
      </c>
      <c r="M133" s="979">
        <v>599</v>
      </c>
    </row>
    <row r="134" spans="1:13" ht="15">
      <c r="A134" s="979" t="s">
        <v>3392</v>
      </c>
      <c r="B134" s="1040" t="str">
        <f>CONCATENATE(LEFT(RIGHT(CONCATENATE("000",IFAData_TEA_1617!A134),6),3),"-",(RIGHT(RIGHT(CONCATENATE("000",IFAData_TEA_1617!A134),6),3)))</f>
        <v>015-904</v>
      </c>
      <c r="C134" s="979" t="s">
        <v>724</v>
      </c>
      <c r="D134" s="979">
        <v>5</v>
      </c>
      <c r="E134" s="979">
        <v>1867</v>
      </c>
      <c r="F134" s="979" t="s">
        <v>4147</v>
      </c>
      <c r="G134" s="979" t="s">
        <v>4144</v>
      </c>
      <c r="H134" s="979">
        <v>3411660</v>
      </c>
      <c r="I134" s="979">
        <v>1537182</v>
      </c>
      <c r="J134" s="979">
        <v>0.4787816154677052</v>
      </c>
      <c r="K134" s="979">
        <v>1633440.0862265511</v>
      </c>
      <c r="L134" s="979">
        <v>1537182</v>
      </c>
      <c r="M134" s="979">
        <v>599</v>
      </c>
    </row>
    <row r="135" spans="1:13" ht="15">
      <c r="A135" s="979" t="s">
        <v>3392</v>
      </c>
      <c r="B135" s="1040" t="str">
        <f>CONCATENATE(LEFT(RIGHT(CONCATENATE("000",IFAData_TEA_1617!A135),6),3),"-",(RIGHT(RIGHT(CONCATENATE("000",IFAData_TEA_1617!A135),6),3)))</f>
        <v>015-904</v>
      </c>
      <c r="C135" s="979" t="s">
        <v>724</v>
      </c>
      <c r="D135" s="979">
        <v>2</v>
      </c>
      <c r="E135" s="979">
        <v>1868</v>
      </c>
      <c r="F135" s="979" t="s">
        <v>4140</v>
      </c>
      <c r="G135" s="979" t="s">
        <v>4140</v>
      </c>
      <c r="H135" s="979">
        <v>3489913</v>
      </c>
      <c r="I135" s="979">
        <v>0</v>
      </c>
      <c r="J135" s="979">
        <v>0</v>
      </c>
      <c r="K135" s="979"/>
      <c r="L135" s="979">
        <v>0</v>
      </c>
      <c r="M135" s="979">
        <v>599</v>
      </c>
    </row>
    <row r="136" spans="1:13" ht="15">
      <c r="A136" s="979" t="s">
        <v>3392</v>
      </c>
      <c r="B136" s="1040" t="str">
        <f>CONCATENATE(LEFT(RIGHT(CONCATENATE("000",IFAData_TEA_1617!A136),6),3),"-",(RIGHT(RIGHT(CONCATENATE("000",IFAData_TEA_1617!A136),6),3)))</f>
        <v>015-904</v>
      </c>
      <c r="C136" s="979" t="s">
        <v>724</v>
      </c>
      <c r="D136" s="979">
        <v>5</v>
      </c>
      <c r="E136" s="979">
        <v>1867</v>
      </c>
      <c r="F136" s="979" t="s">
        <v>4147</v>
      </c>
      <c r="G136" s="979" t="s">
        <v>4142</v>
      </c>
      <c r="H136" s="979">
        <v>3411660</v>
      </c>
      <c r="I136" s="979">
        <v>1431580</v>
      </c>
      <c r="J136" s="979">
        <v>0.44589006706509537</v>
      </c>
      <c r="K136" s="979">
        <v>1521225.3062033034</v>
      </c>
      <c r="L136" s="979">
        <v>1431580</v>
      </c>
      <c r="M136" s="979">
        <v>599</v>
      </c>
    </row>
    <row r="137" spans="1:13" ht="15">
      <c r="A137" s="979" t="s">
        <v>3392</v>
      </c>
      <c r="B137" s="1040" t="str">
        <f>CONCATENATE(LEFT(RIGHT(CONCATENATE("000",IFAData_TEA_1617!A137),6),3),"-",(RIGHT(RIGHT(CONCATENATE("000",IFAData_TEA_1617!A137),6),3)))</f>
        <v>015-904</v>
      </c>
      <c r="C137" s="979" t="s">
        <v>724</v>
      </c>
      <c r="D137" s="979">
        <v>5</v>
      </c>
      <c r="E137" s="979">
        <v>1867</v>
      </c>
      <c r="F137" s="979" t="s">
        <v>4147</v>
      </c>
      <c r="G137" s="979" t="s">
        <v>4147</v>
      </c>
      <c r="H137" s="979">
        <v>3411660</v>
      </c>
      <c r="I137" s="979">
        <v>0</v>
      </c>
      <c r="J137" s="979">
        <v>0</v>
      </c>
      <c r="K137" s="979">
        <v>0</v>
      </c>
      <c r="L137" s="979">
        <v>0</v>
      </c>
      <c r="M137" s="979">
        <v>599</v>
      </c>
    </row>
    <row r="138" spans="1:13" ht="15">
      <c r="A138" s="979" t="s">
        <v>3392</v>
      </c>
      <c r="B138" s="1040" t="str">
        <f>CONCATENATE(LEFT(RIGHT(CONCATENATE("000",IFAData_TEA_1617!A138),6),3),"-",(RIGHT(RIGHT(CONCATENATE("000",IFAData_TEA_1617!A138),6),3)))</f>
        <v>015-904</v>
      </c>
      <c r="C138" s="979" t="s">
        <v>724</v>
      </c>
      <c r="D138" s="979">
        <v>4</v>
      </c>
      <c r="E138" s="979">
        <v>1869</v>
      </c>
      <c r="F138" s="979" t="s">
        <v>4145</v>
      </c>
      <c r="G138" s="979" t="s">
        <v>4144</v>
      </c>
      <c r="H138" s="979">
        <v>3515081</v>
      </c>
      <c r="I138" s="979">
        <v>0</v>
      </c>
      <c r="J138" s="979">
        <v>0</v>
      </c>
      <c r="K138" s="979"/>
      <c r="L138" s="979">
        <v>0</v>
      </c>
      <c r="M138" s="979">
        <v>599</v>
      </c>
    </row>
    <row r="139" spans="1:13" ht="15">
      <c r="A139" s="979" t="s">
        <v>3392</v>
      </c>
      <c r="B139" s="1040" t="str">
        <f>CONCATENATE(LEFT(RIGHT(CONCATENATE("000",IFAData_TEA_1617!A139),6),3),"-",(RIGHT(RIGHT(CONCATENATE("000",IFAData_TEA_1617!A139),6),3)))</f>
        <v>015-904</v>
      </c>
      <c r="C139" s="979" t="s">
        <v>724</v>
      </c>
      <c r="D139" s="979">
        <v>4</v>
      </c>
      <c r="E139" s="979">
        <v>1869</v>
      </c>
      <c r="F139" s="979" t="s">
        <v>4145</v>
      </c>
      <c r="G139" s="979" t="s">
        <v>6188</v>
      </c>
      <c r="H139" s="979">
        <v>3515081</v>
      </c>
      <c r="I139" s="979">
        <v>0</v>
      </c>
      <c r="J139" s="979">
        <v>0</v>
      </c>
      <c r="K139" s="979"/>
      <c r="L139" s="979">
        <v>0</v>
      </c>
      <c r="M139" s="979">
        <v>599</v>
      </c>
    </row>
    <row r="140" spans="1:13" ht="15">
      <c r="A140" s="979" t="s">
        <v>3392</v>
      </c>
      <c r="B140" s="1040" t="str">
        <f>CONCATENATE(LEFT(RIGHT(CONCATENATE("000",IFAData_TEA_1617!A140),6),3),"-",(RIGHT(RIGHT(CONCATENATE("000",IFAData_TEA_1617!A140),6),3)))</f>
        <v>015-904</v>
      </c>
      <c r="C140" s="979" t="s">
        <v>724</v>
      </c>
      <c r="D140" s="979">
        <v>4</v>
      </c>
      <c r="E140" s="979">
        <v>1869</v>
      </c>
      <c r="F140" s="979" t="s">
        <v>4145</v>
      </c>
      <c r="G140" s="979" t="s">
        <v>4145</v>
      </c>
      <c r="H140" s="979">
        <v>3515081</v>
      </c>
      <c r="I140" s="979">
        <v>0</v>
      </c>
      <c r="J140" s="979">
        <v>0</v>
      </c>
      <c r="K140" s="979"/>
      <c r="L140" s="979">
        <v>0</v>
      </c>
      <c r="M140" s="979">
        <v>599</v>
      </c>
    </row>
    <row r="141" spans="1:13" ht="15">
      <c r="A141" s="979" t="s">
        <v>3392</v>
      </c>
      <c r="B141" s="1040" t="str">
        <f>CONCATENATE(LEFT(RIGHT(CONCATENATE("000",IFAData_TEA_1617!A141),6),3),"-",(RIGHT(RIGHT(CONCATENATE("000",IFAData_TEA_1617!A141),6),3)))</f>
        <v>015-904</v>
      </c>
      <c r="C141" s="979" t="s">
        <v>724</v>
      </c>
      <c r="D141" s="979">
        <v>8</v>
      </c>
      <c r="E141" s="979">
        <v>1866</v>
      </c>
      <c r="F141" s="979" t="s">
        <v>4149</v>
      </c>
      <c r="G141" s="979" t="s">
        <v>4150</v>
      </c>
      <c r="H141" s="979">
        <v>3182950</v>
      </c>
      <c r="I141" s="979">
        <v>327213</v>
      </c>
      <c r="J141" s="979">
        <v>0.1172391282226939</v>
      </c>
      <c r="K141" s="979">
        <v>373166.28317642357</v>
      </c>
      <c r="L141" s="979">
        <v>327213</v>
      </c>
      <c r="M141" s="979">
        <v>599</v>
      </c>
    </row>
    <row r="142" spans="1:13" ht="15">
      <c r="A142" s="979" t="s">
        <v>3392</v>
      </c>
      <c r="B142" s="1040" t="str">
        <f>CONCATENATE(LEFT(RIGHT(CONCATENATE("000",IFAData_TEA_1617!A142),6),3),"-",(RIGHT(RIGHT(CONCATENATE("000",IFAData_TEA_1617!A142),6),3)))</f>
        <v>015-904</v>
      </c>
      <c r="C142" s="979" t="s">
        <v>724</v>
      </c>
      <c r="D142" s="979">
        <v>8</v>
      </c>
      <c r="E142" s="979">
        <v>1866</v>
      </c>
      <c r="F142" s="979" t="s">
        <v>4149</v>
      </c>
      <c r="G142" s="979" t="s">
        <v>4151</v>
      </c>
      <c r="H142" s="979">
        <v>3182950</v>
      </c>
      <c r="I142" s="979">
        <v>340300</v>
      </c>
      <c r="J142" s="979">
        <v>0.12192814874159258</v>
      </c>
      <c r="K142" s="979">
        <v>388091.20103705209</v>
      </c>
      <c r="L142" s="979">
        <v>340300</v>
      </c>
      <c r="M142" s="979">
        <v>599</v>
      </c>
    </row>
    <row r="143" spans="1:13" ht="15">
      <c r="A143" s="979" t="s">
        <v>3392</v>
      </c>
      <c r="B143" s="1040" t="str">
        <f>CONCATENATE(LEFT(RIGHT(CONCATENATE("000",IFAData_TEA_1617!A143),6),3),"-",(RIGHT(RIGHT(CONCATENATE("000",IFAData_TEA_1617!A143),6),3)))</f>
        <v>015-904</v>
      </c>
      <c r="C143" s="979" t="s">
        <v>724</v>
      </c>
      <c r="D143" s="979">
        <v>4</v>
      </c>
      <c r="E143" s="979">
        <v>1869</v>
      </c>
      <c r="F143" s="979" t="s">
        <v>4145</v>
      </c>
      <c r="G143" s="979" t="s">
        <v>4143</v>
      </c>
      <c r="H143" s="979">
        <v>3515081</v>
      </c>
      <c r="I143" s="979">
        <v>0</v>
      </c>
      <c r="J143" s="979">
        <v>0</v>
      </c>
      <c r="K143" s="979"/>
      <c r="L143" s="979">
        <v>0</v>
      </c>
      <c r="M143" s="979">
        <v>599</v>
      </c>
    </row>
    <row r="144" spans="1:13" ht="15">
      <c r="A144" s="979" t="s">
        <v>3392</v>
      </c>
      <c r="B144" s="1040" t="str">
        <f>CONCATENATE(LEFT(RIGHT(CONCATENATE("000",IFAData_TEA_1617!A144),6),3),"-",(RIGHT(RIGHT(CONCATENATE("000",IFAData_TEA_1617!A144),6),3)))</f>
        <v>015-904</v>
      </c>
      <c r="C144" s="979" t="s">
        <v>724</v>
      </c>
      <c r="D144" s="979">
        <v>8</v>
      </c>
      <c r="E144" s="979">
        <v>1866</v>
      </c>
      <c r="F144" s="979" t="s">
        <v>4149</v>
      </c>
      <c r="G144" s="979" t="s">
        <v>6190</v>
      </c>
      <c r="H144" s="979">
        <v>3182950</v>
      </c>
      <c r="I144" s="979">
        <v>777900</v>
      </c>
      <c r="J144" s="979">
        <v>0.27871850398496878</v>
      </c>
      <c r="K144" s="979">
        <v>887147.06225895637</v>
      </c>
      <c r="L144" s="979">
        <v>777900</v>
      </c>
      <c r="M144" s="979">
        <v>599</v>
      </c>
    </row>
    <row r="145" spans="1:13" ht="15">
      <c r="A145" s="979" t="s">
        <v>3392</v>
      </c>
      <c r="B145" s="1040" t="str">
        <f>CONCATENATE(LEFT(RIGHT(CONCATENATE("000",IFAData_TEA_1617!A145),6),3),"-",(RIGHT(RIGHT(CONCATENATE("000",IFAData_TEA_1617!A145),6),3)))</f>
        <v>015-904</v>
      </c>
      <c r="C145" s="979" t="s">
        <v>724</v>
      </c>
      <c r="D145" s="979">
        <v>5</v>
      </c>
      <c r="E145" s="979">
        <v>1867</v>
      </c>
      <c r="F145" s="979" t="s">
        <v>4147</v>
      </c>
      <c r="G145" s="979" t="s">
        <v>4141</v>
      </c>
      <c r="H145" s="979">
        <v>3411660</v>
      </c>
      <c r="I145" s="979">
        <v>0</v>
      </c>
      <c r="J145" s="979">
        <v>0</v>
      </c>
      <c r="K145" s="979">
        <v>0</v>
      </c>
      <c r="L145" s="979">
        <v>0</v>
      </c>
      <c r="M145" s="979">
        <v>599</v>
      </c>
    </row>
    <row r="146" spans="1:13" ht="15">
      <c r="A146" s="979" t="s">
        <v>3392</v>
      </c>
      <c r="B146" s="1040" t="str">
        <f>CONCATENATE(LEFT(RIGHT(CONCATENATE("000",IFAData_TEA_1617!A146),6),3),"-",(RIGHT(RIGHT(CONCATENATE("000",IFAData_TEA_1617!A146),6),3)))</f>
        <v>015-904</v>
      </c>
      <c r="C146" s="979" t="s">
        <v>724</v>
      </c>
      <c r="D146" s="979">
        <v>8</v>
      </c>
      <c r="E146" s="979">
        <v>1866</v>
      </c>
      <c r="F146" s="979" t="s">
        <v>4149</v>
      </c>
      <c r="G146" s="979" t="s">
        <v>6189</v>
      </c>
      <c r="H146" s="979">
        <v>3182950</v>
      </c>
      <c r="I146" s="979">
        <v>1345575</v>
      </c>
      <c r="J146" s="979">
        <v>0.48211421905074475</v>
      </c>
      <c r="K146" s="979">
        <v>1534545.4535275679</v>
      </c>
      <c r="L146" s="979">
        <v>1345575</v>
      </c>
      <c r="M146" s="979">
        <v>599</v>
      </c>
    </row>
    <row r="147" spans="1:13" ht="15">
      <c r="A147" s="979" t="s">
        <v>3392</v>
      </c>
      <c r="B147" s="1040" t="str">
        <f>CONCATENATE(LEFT(RIGHT(CONCATENATE("000",IFAData_TEA_1617!A147),6),3),"-",(RIGHT(RIGHT(CONCATENATE("000",IFAData_TEA_1617!A147),6),3)))</f>
        <v>015-904</v>
      </c>
      <c r="C147" s="979" t="s">
        <v>724</v>
      </c>
      <c r="D147" s="979">
        <v>2</v>
      </c>
      <c r="E147" s="979">
        <v>1868</v>
      </c>
      <c r="F147" s="979" t="s">
        <v>4140</v>
      </c>
      <c r="G147" s="979" t="s">
        <v>4144</v>
      </c>
      <c r="H147" s="979">
        <v>3489913</v>
      </c>
      <c r="I147" s="979">
        <v>0</v>
      </c>
      <c r="J147" s="979">
        <v>0</v>
      </c>
      <c r="K147" s="979"/>
      <c r="L147" s="979">
        <v>0</v>
      </c>
      <c r="M147" s="979">
        <v>599</v>
      </c>
    </row>
    <row r="148" spans="1:13" ht="15">
      <c r="A148" s="979" t="s">
        <v>3392</v>
      </c>
      <c r="B148" s="1040" t="str">
        <f>CONCATENATE(LEFT(RIGHT(CONCATENATE("000",IFAData_TEA_1617!A148),6),3),"-",(RIGHT(RIGHT(CONCATENATE("000",IFAData_TEA_1617!A148),6),3)))</f>
        <v>015-904</v>
      </c>
      <c r="C148" s="979" t="s">
        <v>724</v>
      </c>
      <c r="D148" s="979">
        <v>5</v>
      </c>
      <c r="E148" s="979">
        <v>1867</v>
      </c>
      <c r="F148" s="979" t="s">
        <v>4147</v>
      </c>
      <c r="G148" s="979" t="s">
        <v>4148</v>
      </c>
      <c r="H148" s="979">
        <v>3411660</v>
      </c>
      <c r="I148" s="979">
        <v>241850</v>
      </c>
      <c r="J148" s="979">
        <v>7.5328317467199396E-2</v>
      </c>
      <c r="K148" s="979">
        <v>256994.60757014548</v>
      </c>
      <c r="L148" s="979">
        <v>241850</v>
      </c>
      <c r="M148" s="979">
        <v>599</v>
      </c>
    </row>
    <row r="149" spans="1:13" ht="15">
      <c r="A149" s="979" t="s">
        <v>3392</v>
      </c>
      <c r="B149" s="1040" t="str">
        <f>CONCATENATE(LEFT(RIGHT(CONCATENATE("000",IFAData_TEA_1617!A149),6),3),"-",(RIGHT(RIGHT(CONCATENATE("000",IFAData_TEA_1617!A149),6),3)))</f>
        <v>015-904</v>
      </c>
      <c r="C149" s="979" t="s">
        <v>724</v>
      </c>
      <c r="D149" s="979">
        <v>8</v>
      </c>
      <c r="E149" s="979">
        <v>1866</v>
      </c>
      <c r="F149" s="979" t="s">
        <v>4149</v>
      </c>
      <c r="G149" s="979" t="s">
        <v>4149</v>
      </c>
      <c r="H149" s="979">
        <v>3182950</v>
      </c>
      <c r="I149" s="979">
        <v>0</v>
      </c>
      <c r="J149" s="979">
        <v>0</v>
      </c>
      <c r="K149" s="979">
        <v>0</v>
      </c>
      <c r="L149" s="979">
        <v>0</v>
      </c>
      <c r="M149" s="979">
        <v>599</v>
      </c>
    </row>
    <row r="150" spans="1:13" ht="15">
      <c r="A150" s="979" t="s">
        <v>3393</v>
      </c>
      <c r="B150" s="1040" t="str">
        <f>CONCATENATE(LEFT(RIGHT(CONCATENATE("000",IFAData_TEA_1617!A150),6),3),"-",(RIGHT(RIGHT(CONCATENATE("000",IFAData_TEA_1617!A150),6),3)))</f>
        <v>015-905</v>
      </c>
      <c r="C150" s="979" t="s">
        <v>888</v>
      </c>
      <c r="D150" s="979">
        <v>1</v>
      </c>
      <c r="E150" s="979">
        <v>1789</v>
      </c>
      <c r="F150" s="979" t="s">
        <v>4154</v>
      </c>
      <c r="G150" s="979" t="s">
        <v>4155</v>
      </c>
      <c r="H150" s="979">
        <v>355472</v>
      </c>
      <c r="I150" s="979">
        <v>56257</v>
      </c>
      <c r="J150" s="979">
        <v>0.19045120316329708</v>
      </c>
      <c r="K150" s="979">
        <v>67700.070090863548</v>
      </c>
      <c r="L150" s="979">
        <v>56257</v>
      </c>
      <c r="M150" s="979">
        <v>599</v>
      </c>
    </row>
    <row r="151" spans="1:13" ht="15">
      <c r="A151" s="979" t="s">
        <v>3393</v>
      </c>
      <c r="B151" s="1040" t="str">
        <f>CONCATENATE(LEFT(RIGHT(CONCATENATE("000",IFAData_TEA_1617!A151),6),3),"-",(RIGHT(RIGHT(CONCATENATE("000",IFAData_TEA_1617!A151),6),3)))</f>
        <v>015-905</v>
      </c>
      <c r="C151" s="979" t="s">
        <v>888</v>
      </c>
      <c r="D151" s="979">
        <v>2</v>
      </c>
      <c r="E151" s="979">
        <v>1791</v>
      </c>
      <c r="F151" s="979" t="s">
        <v>4156</v>
      </c>
      <c r="G151" s="979" t="s">
        <v>4156</v>
      </c>
      <c r="H151" s="979">
        <v>591537</v>
      </c>
      <c r="I151" s="979">
        <v>0</v>
      </c>
      <c r="J151" s="979">
        <v>0</v>
      </c>
      <c r="K151" s="979">
        <v>0</v>
      </c>
      <c r="L151" s="979">
        <v>0</v>
      </c>
      <c r="M151" s="979">
        <v>599</v>
      </c>
    </row>
    <row r="152" spans="1:13" ht="15">
      <c r="A152" s="979" t="s">
        <v>3393</v>
      </c>
      <c r="B152" s="1040" t="str">
        <f>CONCATENATE(LEFT(RIGHT(CONCATENATE("000",IFAData_TEA_1617!A152),6),3),"-",(RIGHT(RIGHT(CONCATENATE("000",IFAData_TEA_1617!A152),6),3)))</f>
        <v>015-905</v>
      </c>
      <c r="C152" s="979" t="s">
        <v>888</v>
      </c>
      <c r="D152" s="979">
        <v>1</v>
      </c>
      <c r="E152" s="979">
        <v>1790</v>
      </c>
      <c r="F152" s="979" t="s">
        <v>4152</v>
      </c>
      <c r="G152" s="979" t="s">
        <v>4152</v>
      </c>
      <c r="H152" s="979">
        <v>394754</v>
      </c>
      <c r="I152" s="979">
        <v>0</v>
      </c>
      <c r="J152" s="979">
        <v>0</v>
      </c>
      <c r="K152" s="979">
        <v>0</v>
      </c>
      <c r="L152" s="979">
        <v>0</v>
      </c>
      <c r="M152" s="979">
        <v>599</v>
      </c>
    </row>
    <row r="153" spans="1:13" ht="15">
      <c r="A153" s="979" t="s">
        <v>3393</v>
      </c>
      <c r="B153" s="1040" t="str">
        <f>CONCATENATE(LEFT(RIGHT(CONCATENATE("000",IFAData_TEA_1617!A153),6),3),"-",(RIGHT(RIGHT(CONCATENATE("000",IFAData_TEA_1617!A153),6),3)))</f>
        <v>015-905</v>
      </c>
      <c r="C153" s="979" t="s">
        <v>888</v>
      </c>
      <c r="D153" s="979">
        <v>2</v>
      </c>
      <c r="E153" s="979">
        <v>1791</v>
      </c>
      <c r="F153" s="979" t="s">
        <v>4156</v>
      </c>
      <c r="G153" s="979" t="s">
        <v>4153</v>
      </c>
      <c r="H153" s="979">
        <v>591537</v>
      </c>
      <c r="I153" s="979">
        <v>0</v>
      </c>
      <c r="J153" s="979">
        <v>0</v>
      </c>
      <c r="K153" s="979">
        <v>0</v>
      </c>
      <c r="L153" s="979">
        <v>0</v>
      </c>
      <c r="M153" s="979">
        <v>599</v>
      </c>
    </row>
    <row r="154" spans="1:13" ht="15">
      <c r="A154" s="979" t="s">
        <v>3393</v>
      </c>
      <c r="B154" s="1040" t="str">
        <f>CONCATENATE(LEFT(RIGHT(CONCATENATE("000",IFAData_TEA_1617!A154),6),3),"-",(RIGHT(RIGHT(CONCATENATE("000",IFAData_TEA_1617!A154),6),3)))</f>
        <v>015-905</v>
      </c>
      <c r="C154" s="979" t="s">
        <v>888</v>
      </c>
      <c r="D154" s="979">
        <v>7</v>
      </c>
      <c r="E154" s="979">
        <v>1794</v>
      </c>
      <c r="F154" s="979" t="s">
        <v>4159</v>
      </c>
      <c r="G154" s="979" t="s">
        <v>4160</v>
      </c>
      <c r="H154" s="979">
        <v>3107457</v>
      </c>
      <c r="I154" s="979">
        <v>2808044</v>
      </c>
      <c r="J154" s="979">
        <v>1</v>
      </c>
      <c r="K154" s="979">
        <v>3107457</v>
      </c>
      <c r="L154" s="979">
        <v>2808044</v>
      </c>
      <c r="M154" s="979">
        <v>599</v>
      </c>
    </row>
    <row r="155" spans="1:13" ht="15">
      <c r="A155" s="979" t="s">
        <v>3393</v>
      </c>
      <c r="B155" s="1040" t="str">
        <f>CONCATENATE(LEFT(RIGHT(CONCATENATE("000",IFAData_TEA_1617!A155),6),3),"-",(RIGHT(RIGHT(CONCATENATE("000",IFAData_TEA_1617!A155),6),3)))</f>
        <v>015-905</v>
      </c>
      <c r="C155" s="979" t="s">
        <v>888</v>
      </c>
      <c r="D155" s="979">
        <v>1</v>
      </c>
      <c r="E155" s="979">
        <v>1790</v>
      </c>
      <c r="F155" s="979" t="s">
        <v>4152</v>
      </c>
      <c r="G155" s="979" t="s">
        <v>6191</v>
      </c>
      <c r="H155" s="979">
        <v>394754</v>
      </c>
      <c r="I155" s="979">
        <v>315747</v>
      </c>
      <c r="J155" s="979">
        <v>1</v>
      </c>
      <c r="K155" s="979">
        <v>394754</v>
      </c>
      <c r="L155" s="979">
        <v>315747</v>
      </c>
      <c r="M155" s="979">
        <v>599</v>
      </c>
    </row>
    <row r="156" spans="1:13" ht="15">
      <c r="A156" s="979" t="s">
        <v>3393</v>
      </c>
      <c r="B156" s="1040" t="str">
        <f>CONCATENATE(LEFT(RIGHT(CONCATENATE("000",IFAData_TEA_1617!A156),6),3),"-",(RIGHT(RIGHT(CONCATENATE("000",IFAData_TEA_1617!A156),6),3)))</f>
        <v>015-905</v>
      </c>
      <c r="C156" s="979" t="s">
        <v>888</v>
      </c>
      <c r="D156" s="979">
        <v>1</v>
      </c>
      <c r="E156" s="979">
        <v>1790</v>
      </c>
      <c r="F156" s="979" t="s">
        <v>4152</v>
      </c>
      <c r="G156" s="979" t="s">
        <v>4153</v>
      </c>
      <c r="H156" s="979">
        <v>394754</v>
      </c>
      <c r="I156" s="979">
        <v>0</v>
      </c>
      <c r="J156" s="979">
        <v>0</v>
      </c>
      <c r="K156" s="979">
        <v>0</v>
      </c>
      <c r="L156" s="979">
        <v>0</v>
      </c>
      <c r="M156" s="979">
        <v>599</v>
      </c>
    </row>
    <row r="157" spans="1:13" ht="15">
      <c r="A157" s="979" t="s">
        <v>3393</v>
      </c>
      <c r="B157" s="1040" t="str">
        <f>CONCATENATE(LEFT(RIGHT(CONCATENATE("000",IFAData_TEA_1617!A157),6),3),"-",(RIGHT(RIGHT(CONCATENATE("000",IFAData_TEA_1617!A157),6),3)))</f>
        <v>015-905</v>
      </c>
      <c r="C157" s="979" t="s">
        <v>888</v>
      </c>
      <c r="D157" s="979">
        <v>5</v>
      </c>
      <c r="E157" s="979">
        <v>1793</v>
      </c>
      <c r="F157" s="979" t="s">
        <v>4158</v>
      </c>
      <c r="G157" s="979" t="s">
        <v>4155</v>
      </c>
      <c r="H157" s="979">
        <v>2880403</v>
      </c>
      <c r="I157" s="979">
        <v>2644738</v>
      </c>
      <c r="J157" s="979">
        <v>1</v>
      </c>
      <c r="K157" s="979">
        <v>2880403</v>
      </c>
      <c r="L157" s="979">
        <v>2644738</v>
      </c>
      <c r="M157" s="979">
        <v>599</v>
      </c>
    </row>
    <row r="158" spans="1:13" ht="15">
      <c r="A158" s="979" t="s">
        <v>3393</v>
      </c>
      <c r="B158" s="1040" t="str">
        <f>CONCATENATE(LEFT(RIGHT(CONCATENATE("000",IFAData_TEA_1617!A158),6),3),"-",(RIGHT(RIGHT(CONCATENATE("000",IFAData_TEA_1617!A158),6),3)))</f>
        <v>015-905</v>
      </c>
      <c r="C158" s="979" t="s">
        <v>888</v>
      </c>
      <c r="D158" s="979">
        <v>5</v>
      </c>
      <c r="E158" s="979">
        <v>1793</v>
      </c>
      <c r="F158" s="979" t="s">
        <v>4158</v>
      </c>
      <c r="G158" s="979" t="s">
        <v>4158</v>
      </c>
      <c r="H158" s="979">
        <v>2880403</v>
      </c>
      <c r="I158" s="979">
        <v>0</v>
      </c>
      <c r="J158" s="979">
        <v>0</v>
      </c>
      <c r="K158" s="979">
        <v>0</v>
      </c>
      <c r="L158" s="979">
        <v>0</v>
      </c>
      <c r="M158" s="979">
        <v>599</v>
      </c>
    </row>
    <row r="159" spans="1:13" ht="15">
      <c r="A159" s="979" t="s">
        <v>3393</v>
      </c>
      <c r="B159" s="1040" t="str">
        <f>CONCATENATE(LEFT(RIGHT(CONCATENATE("000",IFAData_TEA_1617!A159),6),3),"-",(RIGHT(RIGHT(CONCATENATE("000",IFAData_TEA_1617!A159),6),3)))</f>
        <v>015-905</v>
      </c>
      <c r="C159" s="979" t="s">
        <v>888</v>
      </c>
      <c r="D159" s="979">
        <v>1</v>
      </c>
      <c r="E159" s="979">
        <v>1789</v>
      </c>
      <c r="F159" s="979" t="s">
        <v>4154</v>
      </c>
      <c r="G159" s="979" t="s">
        <v>6191</v>
      </c>
      <c r="H159" s="979">
        <v>355472</v>
      </c>
      <c r="I159" s="979">
        <v>239131</v>
      </c>
      <c r="J159" s="979">
        <v>0.80954879683670289</v>
      </c>
      <c r="K159" s="979">
        <v>287771.92990913644</v>
      </c>
      <c r="L159" s="979">
        <v>239131</v>
      </c>
      <c r="M159" s="979">
        <v>599</v>
      </c>
    </row>
    <row r="160" spans="1:13" ht="15">
      <c r="A160" s="979" t="s">
        <v>3393</v>
      </c>
      <c r="B160" s="1040" t="str">
        <f>CONCATENATE(LEFT(RIGHT(CONCATENATE("000",IFAData_TEA_1617!A160),6),3),"-",(RIGHT(RIGHT(CONCATENATE("000",IFAData_TEA_1617!A160),6),3)))</f>
        <v>015-905</v>
      </c>
      <c r="C160" s="979" t="s">
        <v>888</v>
      </c>
      <c r="D160" s="979">
        <v>5</v>
      </c>
      <c r="E160" s="979">
        <v>1793</v>
      </c>
      <c r="F160" s="979" t="s">
        <v>4158</v>
      </c>
      <c r="G160" s="979" t="s">
        <v>4153</v>
      </c>
      <c r="H160" s="979">
        <v>2880403</v>
      </c>
      <c r="I160" s="979">
        <v>0</v>
      </c>
      <c r="J160" s="979">
        <v>0</v>
      </c>
      <c r="K160" s="979">
        <v>0</v>
      </c>
      <c r="L160" s="979">
        <v>0</v>
      </c>
      <c r="M160" s="979">
        <v>599</v>
      </c>
    </row>
    <row r="161" spans="1:13" ht="15">
      <c r="A161" s="979" t="s">
        <v>3393</v>
      </c>
      <c r="B161" s="1040" t="str">
        <f>CONCATENATE(LEFT(RIGHT(CONCATENATE("000",IFAData_TEA_1617!A161),6),3),"-",(RIGHT(RIGHT(CONCATENATE("000",IFAData_TEA_1617!A161),6),3)))</f>
        <v>015-905</v>
      </c>
      <c r="C161" s="979" t="s">
        <v>888</v>
      </c>
      <c r="D161" s="979">
        <v>5</v>
      </c>
      <c r="E161" s="979">
        <v>1793</v>
      </c>
      <c r="F161" s="979" t="s">
        <v>4158</v>
      </c>
      <c r="G161" s="979" t="s">
        <v>6191</v>
      </c>
      <c r="H161" s="979">
        <v>2880403</v>
      </c>
      <c r="I161" s="979">
        <v>0</v>
      </c>
      <c r="J161" s="979">
        <v>0</v>
      </c>
      <c r="K161" s="979">
        <v>0</v>
      </c>
      <c r="L161" s="979">
        <v>0</v>
      </c>
      <c r="M161" s="979">
        <v>599</v>
      </c>
    </row>
    <row r="162" spans="1:13" ht="15">
      <c r="A162" s="979" t="s">
        <v>3393</v>
      </c>
      <c r="B162" s="1040" t="str">
        <f>CONCATENATE(LEFT(RIGHT(CONCATENATE("000",IFAData_TEA_1617!A162),6),3),"-",(RIGHT(RIGHT(CONCATENATE("000",IFAData_TEA_1617!A162),6),3)))</f>
        <v>015-905</v>
      </c>
      <c r="C162" s="979" t="s">
        <v>888</v>
      </c>
      <c r="D162" s="979">
        <v>2</v>
      </c>
      <c r="E162" s="979">
        <v>1791</v>
      </c>
      <c r="F162" s="979" t="s">
        <v>4156</v>
      </c>
      <c r="G162" s="979" t="s">
        <v>6191</v>
      </c>
      <c r="H162" s="979">
        <v>591537</v>
      </c>
      <c r="I162" s="979">
        <v>496572</v>
      </c>
      <c r="J162" s="979">
        <v>1</v>
      </c>
      <c r="K162" s="979">
        <v>591537</v>
      </c>
      <c r="L162" s="979">
        <v>496572</v>
      </c>
      <c r="M162" s="979">
        <v>599</v>
      </c>
    </row>
    <row r="163" spans="1:13" ht="15">
      <c r="A163" s="979" t="s">
        <v>3393</v>
      </c>
      <c r="B163" s="1040" t="str">
        <f>CONCATENATE(LEFT(RIGHT(CONCATENATE("000",IFAData_TEA_1617!A163),6),3),"-",(RIGHT(RIGHT(CONCATENATE("000",IFAData_TEA_1617!A163),6),3)))</f>
        <v>015-905</v>
      </c>
      <c r="C163" s="979" t="s">
        <v>888</v>
      </c>
      <c r="D163" s="979">
        <v>2</v>
      </c>
      <c r="E163" s="979">
        <v>1792</v>
      </c>
      <c r="F163" s="979" t="s">
        <v>4157</v>
      </c>
      <c r="G163" s="979" t="s">
        <v>4157</v>
      </c>
      <c r="H163" s="979">
        <v>892783</v>
      </c>
      <c r="I163" s="979">
        <v>0</v>
      </c>
      <c r="J163" s="979">
        <v>0</v>
      </c>
      <c r="K163" s="979"/>
      <c r="L163" s="979">
        <v>0</v>
      </c>
      <c r="M163" s="979">
        <v>199</v>
      </c>
    </row>
    <row r="164" spans="1:13" ht="15">
      <c r="A164" s="979" t="s">
        <v>3393</v>
      </c>
      <c r="B164" s="1040" t="str">
        <f>CONCATENATE(LEFT(RIGHT(CONCATENATE("000",IFAData_TEA_1617!A164),6),3),"-",(RIGHT(RIGHT(CONCATENATE("000",IFAData_TEA_1617!A164),6),3)))</f>
        <v>015-905</v>
      </c>
      <c r="C164" s="979" t="s">
        <v>888</v>
      </c>
      <c r="D164" s="979">
        <v>7</v>
      </c>
      <c r="E164" s="979">
        <v>1794</v>
      </c>
      <c r="F164" s="979" t="s">
        <v>4159</v>
      </c>
      <c r="G164" s="979" t="s">
        <v>4159</v>
      </c>
      <c r="H164" s="979">
        <v>3107457</v>
      </c>
      <c r="I164" s="979">
        <v>0</v>
      </c>
      <c r="J164" s="979">
        <v>0</v>
      </c>
      <c r="K164" s="979">
        <v>0</v>
      </c>
      <c r="L164" s="979">
        <v>0</v>
      </c>
      <c r="M164" s="979">
        <v>599</v>
      </c>
    </row>
    <row r="165" spans="1:13" ht="15">
      <c r="A165" s="979" t="s">
        <v>3393</v>
      </c>
      <c r="B165" s="1040" t="str">
        <f>CONCATENATE(LEFT(RIGHT(CONCATENATE("000",IFAData_TEA_1617!A165),6),3),"-",(RIGHT(RIGHT(CONCATENATE("000",IFAData_TEA_1617!A165),6),3)))</f>
        <v>015-905</v>
      </c>
      <c r="C165" s="979" t="s">
        <v>888</v>
      </c>
      <c r="D165" s="979">
        <v>1</v>
      </c>
      <c r="E165" s="979">
        <v>1789</v>
      </c>
      <c r="F165" s="979" t="s">
        <v>4154</v>
      </c>
      <c r="G165" s="979" t="s">
        <v>4153</v>
      </c>
      <c r="H165" s="979">
        <v>355472</v>
      </c>
      <c r="I165" s="979">
        <v>0</v>
      </c>
      <c r="J165" s="979">
        <v>0</v>
      </c>
      <c r="K165" s="979">
        <v>0</v>
      </c>
      <c r="L165" s="979">
        <v>0</v>
      </c>
      <c r="M165" s="979">
        <v>599</v>
      </c>
    </row>
    <row r="166" spans="1:13" ht="15">
      <c r="A166" s="979" t="s">
        <v>3393</v>
      </c>
      <c r="B166" s="1040" t="str">
        <f>CONCATENATE(LEFT(RIGHT(CONCATENATE("000",IFAData_TEA_1617!A166),6),3),"-",(RIGHT(RIGHT(CONCATENATE("000",IFAData_TEA_1617!A166),6),3)))</f>
        <v>015-905</v>
      </c>
      <c r="C166" s="979" t="s">
        <v>888</v>
      </c>
      <c r="D166" s="979">
        <v>1</v>
      </c>
      <c r="E166" s="979">
        <v>1789</v>
      </c>
      <c r="F166" s="979" t="s">
        <v>4154</v>
      </c>
      <c r="G166" s="979" t="s">
        <v>4154</v>
      </c>
      <c r="H166" s="979">
        <v>355472</v>
      </c>
      <c r="I166" s="979">
        <v>0</v>
      </c>
      <c r="J166" s="979">
        <v>0</v>
      </c>
      <c r="K166" s="979">
        <v>0</v>
      </c>
      <c r="L166" s="979">
        <v>0</v>
      </c>
      <c r="M166" s="979">
        <v>599</v>
      </c>
    </row>
    <row r="167" spans="1:13" ht="15">
      <c r="A167" s="979" t="s">
        <v>3394</v>
      </c>
      <c r="B167" s="1040" t="str">
        <f>CONCATENATE(LEFT(RIGHT(CONCATENATE("000",IFAData_TEA_1617!A167),6),3),"-",(RIGHT(RIGHT(CONCATENATE("000",IFAData_TEA_1617!A167),6),3)))</f>
        <v>015-907</v>
      </c>
      <c r="C167" s="979" t="s">
        <v>2028</v>
      </c>
      <c r="D167" s="979">
        <v>3</v>
      </c>
      <c r="E167" s="979">
        <v>2282</v>
      </c>
      <c r="F167" s="979" t="s">
        <v>4165</v>
      </c>
      <c r="G167" s="979" t="s">
        <v>4164</v>
      </c>
      <c r="H167" s="979">
        <v>14004279</v>
      </c>
      <c r="I167" s="979">
        <v>10647813</v>
      </c>
      <c r="J167" s="979">
        <v>0.81743207586713573</v>
      </c>
      <c r="K167" s="979">
        <v>11447546.853992535</v>
      </c>
      <c r="L167" s="979">
        <v>10647813</v>
      </c>
      <c r="M167" s="979">
        <v>599</v>
      </c>
    </row>
    <row r="168" spans="1:13" ht="15">
      <c r="A168" s="979" t="s">
        <v>3394</v>
      </c>
      <c r="B168" s="1040" t="str">
        <f>CONCATENATE(LEFT(RIGHT(CONCATENATE("000",IFAData_TEA_1617!A168),6),3),"-",(RIGHT(RIGHT(CONCATENATE("000",IFAData_TEA_1617!A168),6),3)))</f>
        <v>015-907</v>
      </c>
      <c r="C168" s="979" t="s">
        <v>2028</v>
      </c>
      <c r="D168" s="979">
        <v>3</v>
      </c>
      <c r="E168" s="979">
        <v>2282</v>
      </c>
      <c r="F168" s="979" t="s">
        <v>4165</v>
      </c>
      <c r="G168" s="979" t="s">
        <v>6192</v>
      </c>
      <c r="H168" s="979">
        <v>14004279</v>
      </c>
      <c r="I168" s="979">
        <v>2378117</v>
      </c>
      <c r="J168" s="979">
        <v>0.18256792413286421</v>
      </c>
      <c r="K168" s="979">
        <v>2556732.1460074633</v>
      </c>
      <c r="L168" s="979">
        <v>2378117</v>
      </c>
      <c r="M168" s="979">
        <v>599</v>
      </c>
    </row>
    <row r="169" spans="1:13" ht="15">
      <c r="A169" s="979" t="s">
        <v>3394</v>
      </c>
      <c r="B169" s="1040" t="str">
        <f>CONCATENATE(LEFT(RIGHT(CONCATENATE("000",IFAData_TEA_1617!A169),6),3),"-",(RIGHT(RIGHT(CONCATENATE("000",IFAData_TEA_1617!A169),6),3)))</f>
        <v>015-907</v>
      </c>
      <c r="C169" s="979" t="s">
        <v>2028</v>
      </c>
      <c r="D169" s="979">
        <v>1</v>
      </c>
      <c r="E169" s="979">
        <v>2281</v>
      </c>
      <c r="F169" s="979" t="s">
        <v>4161</v>
      </c>
      <c r="G169" s="979" t="s">
        <v>6192</v>
      </c>
      <c r="H169" s="979">
        <v>13875000</v>
      </c>
      <c r="I169" s="979">
        <v>13904827</v>
      </c>
      <c r="J169" s="979">
        <v>1</v>
      </c>
      <c r="K169" s="979">
        <v>13875000</v>
      </c>
      <c r="L169" s="979">
        <v>13875000</v>
      </c>
      <c r="M169" s="979">
        <v>599</v>
      </c>
    </row>
    <row r="170" spans="1:13" ht="15">
      <c r="A170" s="979" t="s">
        <v>3394</v>
      </c>
      <c r="B170" s="1040" t="str">
        <f>CONCATENATE(LEFT(RIGHT(CONCATENATE("000",IFAData_TEA_1617!A170),6),3),"-",(RIGHT(RIGHT(CONCATENATE("000",IFAData_TEA_1617!A170),6),3)))</f>
        <v>015-907</v>
      </c>
      <c r="C170" s="979" t="s">
        <v>2028</v>
      </c>
      <c r="D170" s="979">
        <v>1</v>
      </c>
      <c r="E170" s="979">
        <v>2281</v>
      </c>
      <c r="F170" s="979" t="s">
        <v>4161</v>
      </c>
      <c r="G170" s="979" t="s">
        <v>4163</v>
      </c>
      <c r="H170" s="979">
        <v>13875000</v>
      </c>
      <c r="I170" s="979">
        <v>0</v>
      </c>
      <c r="J170" s="979">
        <v>0</v>
      </c>
      <c r="K170" s="979">
        <v>0</v>
      </c>
      <c r="L170" s="979">
        <v>0</v>
      </c>
      <c r="M170" s="979">
        <v>599</v>
      </c>
    </row>
    <row r="171" spans="1:13" ht="15">
      <c r="A171" s="979" t="s">
        <v>3394</v>
      </c>
      <c r="B171" s="1040" t="str">
        <f>CONCATENATE(LEFT(RIGHT(CONCATENATE("000",IFAData_TEA_1617!A171),6),3),"-",(RIGHT(RIGHT(CONCATENATE("000",IFAData_TEA_1617!A171),6),3)))</f>
        <v>015-907</v>
      </c>
      <c r="C171" s="979" t="s">
        <v>2028</v>
      </c>
      <c r="D171" s="979">
        <v>1</v>
      </c>
      <c r="E171" s="979">
        <v>2281</v>
      </c>
      <c r="F171" s="979" t="s">
        <v>4161</v>
      </c>
      <c r="G171" s="979" t="s">
        <v>4161</v>
      </c>
      <c r="H171" s="979">
        <v>13875000</v>
      </c>
      <c r="I171" s="979">
        <v>0</v>
      </c>
      <c r="J171" s="979">
        <v>0</v>
      </c>
      <c r="K171" s="979">
        <v>0</v>
      </c>
      <c r="L171" s="979">
        <v>0</v>
      </c>
      <c r="M171" s="979">
        <v>599</v>
      </c>
    </row>
    <row r="172" spans="1:13" ht="15">
      <c r="A172" s="979" t="s">
        <v>3394</v>
      </c>
      <c r="B172" s="1040" t="str">
        <f>CONCATENATE(LEFT(RIGHT(CONCATENATE("000",IFAData_TEA_1617!A172),6),3),"-",(RIGHT(RIGHT(CONCATENATE("000",IFAData_TEA_1617!A172),6),3)))</f>
        <v>015-907</v>
      </c>
      <c r="C172" s="979" t="s">
        <v>2028</v>
      </c>
      <c r="D172" s="979">
        <v>3</v>
      </c>
      <c r="E172" s="979">
        <v>2282</v>
      </c>
      <c r="F172" s="979" t="s">
        <v>4165</v>
      </c>
      <c r="G172" s="979" t="s">
        <v>4165</v>
      </c>
      <c r="H172" s="979">
        <v>14004279</v>
      </c>
      <c r="I172" s="979">
        <v>0</v>
      </c>
      <c r="J172" s="979">
        <v>0</v>
      </c>
      <c r="K172" s="979">
        <v>0</v>
      </c>
      <c r="L172" s="979">
        <v>0</v>
      </c>
      <c r="M172" s="979">
        <v>599</v>
      </c>
    </row>
    <row r="173" spans="1:13" ht="15">
      <c r="A173" s="979" t="s">
        <v>3394</v>
      </c>
      <c r="B173" s="1040" t="str">
        <f>CONCATENATE(LEFT(RIGHT(CONCATENATE("000",IFAData_TEA_1617!A173),6),3),"-",(RIGHT(RIGHT(CONCATENATE("000",IFAData_TEA_1617!A173),6),3)))</f>
        <v>015-907</v>
      </c>
      <c r="C173" s="979" t="s">
        <v>2028</v>
      </c>
      <c r="D173" s="979">
        <v>5</v>
      </c>
      <c r="E173" s="979">
        <v>2280</v>
      </c>
      <c r="F173" s="979" t="s">
        <v>4166</v>
      </c>
      <c r="G173" s="979" t="s">
        <v>6408</v>
      </c>
      <c r="H173" s="979">
        <v>8227563</v>
      </c>
      <c r="I173" s="979">
        <v>2693450</v>
      </c>
      <c r="J173" s="979">
        <v>0.27071228654565616</v>
      </c>
      <c r="K173" s="979">
        <v>2227302.3924284382</v>
      </c>
      <c r="L173" s="979">
        <v>2227302.3924284382</v>
      </c>
      <c r="M173" s="979">
        <v>599</v>
      </c>
    </row>
    <row r="174" spans="1:13" ht="15">
      <c r="A174" s="979" t="s">
        <v>3394</v>
      </c>
      <c r="B174" s="1040" t="str">
        <f>CONCATENATE(LEFT(RIGHT(CONCATENATE("000",IFAData_TEA_1617!A174),6),3),"-",(RIGHT(RIGHT(CONCATENATE("000",IFAData_TEA_1617!A174),6),3)))</f>
        <v>015-907</v>
      </c>
      <c r="C174" s="979" t="s">
        <v>2028</v>
      </c>
      <c r="D174" s="979">
        <v>3</v>
      </c>
      <c r="E174" s="979">
        <v>2282</v>
      </c>
      <c r="F174" s="979" t="s">
        <v>4165</v>
      </c>
      <c r="G174" s="979" t="s">
        <v>4162</v>
      </c>
      <c r="H174" s="979">
        <v>14004279</v>
      </c>
      <c r="I174" s="979">
        <v>0</v>
      </c>
      <c r="J174" s="979">
        <v>0</v>
      </c>
      <c r="K174" s="979">
        <v>0</v>
      </c>
      <c r="L174" s="979">
        <v>0</v>
      </c>
      <c r="M174" s="979">
        <v>599</v>
      </c>
    </row>
    <row r="175" spans="1:13" ht="15">
      <c r="A175" s="979" t="s">
        <v>3394</v>
      </c>
      <c r="B175" s="1040" t="str">
        <f>CONCATENATE(LEFT(RIGHT(CONCATENATE("000",IFAData_TEA_1617!A175),6),3),"-",(RIGHT(RIGHT(CONCATENATE("000",IFAData_TEA_1617!A175),6),3)))</f>
        <v>015-907</v>
      </c>
      <c r="C175" s="979" t="s">
        <v>2028</v>
      </c>
      <c r="D175" s="979">
        <v>5</v>
      </c>
      <c r="E175" s="979">
        <v>2280</v>
      </c>
      <c r="F175" s="979" t="s">
        <v>4166</v>
      </c>
      <c r="G175" s="979" t="s">
        <v>6192</v>
      </c>
      <c r="H175" s="979">
        <v>8227563</v>
      </c>
      <c r="I175" s="979">
        <v>5014580</v>
      </c>
      <c r="J175" s="979">
        <v>0.50400357083521741</v>
      </c>
      <c r="K175" s="979">
        <v>4146721.1312717139</v>
      </c>
      <c r="L175" s="979">
        <v>4146721.1312717139</v>
      </c>
      <c r="M175" s="979">
        <v>599</v>
      </c>
    </row>
    <row r="176" spans="1:13" ht="15">
      <c r="A176" s="979" t="s">
        <v>3394</v>
      </c>
      <c r="B176" s="1040" t="str">
        <f>CONCATENATE(LEFT(RIGHT(CONCATENATE("000",IFAData_TEA_1617!A176),6),3),"-",(RIGHT(RIGHT(CONCATENATE("000",IFAData_TEA_1617!A176),6),3)))</f>
        <v>015-907</v>
      </c>
      <c r="C176" s="979" t="s">
        <v>2028</v>
      </c>
      <c r="D176" s="979">
        <v>1</v>
      </c>
      <c r="E176" s="979">
        <v>2281</v>
      </c>
      <c r="F176" s="979" t="s">
        <v>4161</v>
      </c>
      <c r="G176" s="979" t="s">
        <v>4162</v>
      </c>
      <c r="H176" s="979">
        <v>13875000</v>
      </c>
      <c r="I176" s="979">
        <v>0</v>
      </c>
      <c r="J176" s="979">
        <v>0</v>
      </c>
      <c r="K176" s="979">
        <v>0</v>
      </c>
      <c r="L176" s="979">
        <v>0</v>
      </c>
      <c r="M176" s="979">
        <v>599</v>
      </c>
    </row>
    <row r="177" spans="1:13" ht="15">
      <c r="A177" s="979" t="s">
        <v>3394</v>
      </c>
      <c r="B177" s="1040" t="str">
        <f>CONCATENATE(LEFT(RIGHT(CONCATENATE("000",IFAData_TEA_1617!A177),6),3),"-",(RIGHT(RIGHT(CONCATENATE("000",IFAData_TEA_1617!A177),6),3)))</f>
        <v>015-907</v>
      </c>
      <c r="C177" s="979" t="s">
        <v>2028</v>
      </c>
      <c r="D177" s="979">
        <v>5</v>
      </c>
      <c r="E177" s="979">
        <v>2280</v>
      </c>
      <c r="F177" s="979" t="s">
        <v>4166</v>
      </c>
      <c r="G177" s="979" t="s">
        <v>4167</v>
      </c>
      <c r="H177" s="979">
        <v>8227563</v>
      </c>
      <c r="I177" s="979">
        <v>2241463</v>
      </c>
      <c r="J177" s="979">
        <v>0.22528414261912641</v>
      </c>
      <c r="K177" s="979">
        <v>1853539.4762998475</v>
      </c>
      <c r="L177" s="979">
        <v>1853539.4762998475</v>
      </c>
      <c r="M177" s="979">
        <v>599</v>
      </c>
    </row>
    <row r="178" spans="1:13" ht="15">
      <c r="A178" s="979" t="s">
        <v>3394</v>
      </c>
      <c r="B178" s="1040" t="str">
        <f>CONCATENATE(LEFT(RIGHT(CONCATENATE("000",IFAData_TEA_1617!A178),6),3),"-",(RIGHT(RIGHT(CONCATENATE("000",IFAData_TEA_1617!A178),6),3)))</f>
        <v>015-907</v>
      </c>
      <c r="C178" s="979" t="s">
        <v>2028</v>
      </c>
      <c r="D178" s="979">
        <v>5</v>
      </c>
      <c r="E178" s="979">
        <v>2280</v>
      </c>
      <c r="F178" s="979" t="s">
        <v>4166</v>
      </c>
      <c r="G178" s="979" t="s">
        <v>4163</v>
      </c>
      <c r="H178" s="979">
        <v>8227563</v>
      </c>
      <c r="I178" s="979">
        <v>0</v>
      </c>
      <c r="J178" s="979">
        <v>0</v>
      </c>
      <c r="K178" s="979">
        <v>0</v>
      </c>
      <c r="L178" s="979">
        <v>0</v>
      </c>
      <c r="M178" s="979">
        <v>599</v>
      </c>
    </row>
    <row r="179" spans="1:13" ht="15">
      <c r="A179" s="979" t="s">
        <v>3394</v>
      </c>
      <c r="B179" s="1040" t="str">
        <f>CONCATENATE(LEFT(RIGHT(CONCATENATE("000",IFAData_TEA_1617!A179),6),3),"-",(RIGHT(RIGHT(CONCATENATE("000",IFAData_TEA_1617!A179),6),3)))</f>
        <v>015-907</v>
      </c>
      <c r="C179" s="979" t="s">
        <v>2028</v>
      </c>
      <c r="D179" s="979">
        <v>5</v>
      </c>
      <c r="E179" s="979">
        <v>2280</v>
      </c>
      <c r="F179" s="979" t="s">
        <v>4166</v>
      </c>
      <c r="G179" s="979" t="s">
        <v>4166</v>
      </c>
      <c r="H179" s="979">
        <v>8227563</v>
      </c>
      <c r="I179" s="979">
        <v>0</v>
      </c>
      <c r="J179" s="979">
        <v>0</v>
      </c>
      <c r="K179" s="979">
        <v>0</v>
      </c>
      <c r="L179" s="979">
        <v>0</v>
      </c>
      <c r="M179" s="979">
        <v>599</v>
      </c>
    </row>
    <row r="180" spans="1:13" ht="15">
      <c r="A180" s="979" t="s">
        <v>3394</v>
      </c>
      <c r="B180" s="1040" t="str">
        <f>CONCATENATE(LEFT(RIGHT(CONCATENATE("000",IFAData_TEA_1617!A180),6),3),"-",(RIGHT(RIGHT(CONCATENATE("000",IFAData_TEA_1617!A180),6),3)))</f>
        <v>015-907</v>
      </c>
      <c r="C180" s="979" t="s">
        <v>2028</v>
      </c>
      <c r="D180" s="979">
        <v>3</v>
      </c>
      <c r="E180" s="979">
        <v>2282</v>
      </c>
      <c r="F180" s="979" t="s">
        <v>4165</v>
      </c>
      <c r="G180" s="979" t="s">
        <v>4163</v>
      </c>
      <c r="H180" s="979">
        <v>14004279</v>
      </c>
      <c r="I180" s="979">
        <v>0</v>
      </c>
      <c r="J180" s="979">
        <v>0</v>
      </c>
      <c r="K180" s="979">
        <v>0</v>
      </c>
      <c r="L180" s="979">
        <v>0</v>
      </c>
      <c r="M180" s="979">
        <v>599</v>
      </c>
    </row>
    <row r="181" spans="1:13" ht="15">
      <c r="A181" s="979" t="s">
        <v>3394</v>
      </c>
      <c r="B181" s="1040" t="str">
        <f>CONCATENATE(LEFT(RIGHT(CONCATENATE("000",IFAData_TEA_1617!A181),6),3),"-",(RIGHT(RIGHT(CONCATENATE("000",IFAData_TEA_1617!A181),6),3)))</f>
        <v>015-907</v>
      </c>
      <c r="C181" s="979" t="s">
        <v>2028</v>
      </c>
      <c r="D181" s="979">
        <v>1</v>
      </c>
      <c r="E181" s="979">
        <v>2281</v>
      </c>
      <c r="F181" s="979" t="s">
        <v>4161</v>
      </c>
      <c r="G181" s="979" t="s">
        <v>4164</v>
      </c>
      <c r="H181" s="979">
        <v>13875000</v>
      </c>
      <c r="I181" s="979">
        <v>0</v>
      </c>
      <c r="J181" s="979">
        <v>0</v>
      </c>
      <c r="K181" s="979">
        <v>0</v>
      </c>
      <c r="L181" s="979">
        <v>0</v>
      </c>
      <c r="M181" s="979">
        <v>599</v>
      </c>
    </row>
    <row r="182" spans="1:13" ht="15">
      <c r="A182" s="979" t="s">
        <v>3395</v>
      </c>
      <c r="B182" s="1040" t="str">
        <f>CONCATENATE(LEFT(RIGHT(CONCATENATE("000",IFAData_TEA_1617!A182),6),3),"-",(RIGHT(RIGHT(CONCATENATE("000",IFAData_TEA_1617!A182),6),3)))</f>
        <v>015-908</v>
      </c>
      <c r="C182" s="979" t="s">
        <v>1932</v>
      </c>
      <c r="D182" s="979">
        <v>8</v>
      </c>
      <c r="E182" s="979">
        <v>2356</v>
      </c>
      <c r="F182" s="979" t="s">
        <v>4175</v>
      </c>
      <c r="G182" s="979" t="s">
        <v>4176</v>
      </c>
      <c r="H182" s="979">
        <v>1990738</v>
      </c>
      <c r="I182" s="979">
        <v>828600</v>
      </c>
      <c r="J182" s="979">
        <v>0.32316894333193968</v>
      </c>
      <c r="K182" s="979">
        <v>643344.6959107389</v>
      </c>
      <c r="L182" s="979">
        <v>643344.6959107389</v>
      </c>
      <c r="M182" s="979">
        <v>599</v>
      </c>
    </row>
    <row r="183" spans="1:13" ht="15">
      <c r="A183" s="979" t="s">
        <v>3395</v>
      </c>
      <c r="B183" s="1040" t="str">
        <f>CONCATENATE(LEFT(RIGHT(CONCATENATE("000",IFAData_TEA_1617!A183),6),3),"-",(RIGHT(RIGHT(CONCATENATE("000",IFAData_TEA_1617!A183),6),3)))</f>
        <v>015-908</v>
      </c>
      <c r="C183" s="979" t="s">
        <v>1932</v>
      </c>
      <c r="D183" s="979">
        <v>3</v>
      </c>
      <c r="E183" s="979">
        <v>2358</v>
      </c>
      <c r="F183" s="979" t="s">
        <v>4168</v>
      </c>
      <c r="G183" s="979" t="s">
        <v>4168</v>
      </c>
      <c r="H183" s="979">
        <v>2400433</v>
      </c>
      <c r="I183" s="979">
        <v>0</v>
      </c>
      <c r="J183" s="979">
        <v>0</v>
      </c>
      <c r="K183" s="979">
        <v>0</v>
      </c>
      <c r="L183" s="979">
        <v>0</v>
      </c>
      <c r="M183" s="979">
        <v>599</v>
      </c>
    </row>
    <row r="184" spans="1:13" ht="15">
      <c r="A184" s="979" t="s">
        <v>3395</v>
      </c>
      <c r="B184" s="1040" t="str">
        <f>CONCATENATE(LEFT(RIGHT(CONCATENATE("000",IFAData_TEA_1617!A184),6),3),"-",(RIGHT(RIGHT(CONCATENATE("000",IFAData_TEA_1617!A184),6),3)))</f>
        <v>015-908</v>
      </c>
      <c r="C184" s="979" t="s">
        <v>1932</v>
      </c>
      <c r="D184" s="979">
        <v>3</v>
      </c>
      <c r="E184" s="979">
        <v>2358</v>
      </c>
      <c r="F184" s="979" t="s">
        <v>4168</v>
      </c>
      <c r="G184" s="979" t="s">
        <v>4171</v>
      </c>
      <c r="H184" s="979">
        <v>2400433</v>
      </c>
      <c r="I184" s="979">
        <v>2022125</v>
      </c>
      <c r="J184" s="979">
        <v>0.92000458608949887</v>
      </c>
      <c r="K184" s="979">
        <v>2208409.3686005739</v>
      </c>
      <c r="L184" s="979">
        <v>2022125</v>
      </c>
      <c r="M184" s="979">
        <v>599</v>
      </c>
    </row>
    <row r="185" spans="1:13" ht="15">
      <c r="A185" s="979" t="s">
        <v>3395</v>
      </c>
      <c r="B185" s="1040" t="str">
        <f>CONCATENATE(LEFT(RIGHT(CONCATENATE("000",IFAData_TEA_1617!A185),6),3),"-",(RIGHT(RIGHT(CONCATENATE("000",IFAData_TEA_1617!A185),6),3)))</f>
        <v>015-908</v>
      </c>
      <c r="C185" s="979" t="s">
        <v>1932</v>
      </c>
      <c r="D185" s="979">
        <v>6</v>
      </c>
      <c r="E185" s="979">
        <v>2357</v>
      </c>
      <c r="F185" s="979" t="s">
        <v>4172</v>
      </c>
      <c r="G185" s="979" t="s">
        <v>4172</v>
      </c>
      <c r="H185" s="979">
        <v>2270472</v>
      </c>
      <c r="I185" s="979">
        <v>0</v>
      </c>
      <c r="J185" s="979">
        <v>0</v>
      </c>
      <c r="K185" s="979">
        <v>0</v>
      </c>
      <c r="L185" s="979">
        <v>0</v>
      </c>
      <c r="M185" s="979">
        <v>599</v>
      </c>
    </row>
    <row r="186" spans="1:13" ht="15">
      <c r="A186" s="979" t="s">
        <v>3395</v>
      </c>
      <c r="B186" s="1040" t="str">
        <f>CONCATENATE(LEFT(RIGHT(CONCATENATE("000",IFAData_TEA_1617!A186),6),3),"-",(RIGHT(RIGHT(CONCATENATE("000",IFAData_TEA_1617!A186),6),3)))</f>
        <v>015-908</v>
      </c>
      <c r="C186" s="979" t="s">
        <v>1932</v>
      </c>
      <c r="D186" s="979">
        <v>6</v>
      </c>
      <c r="E186" s="979">
        <v>2357</v>
      </c>
      <c r="F186" s="979" t="s">
        <v>4172</v>
      </c>
      <c r="G186" s="979" t="s">
        <v>4174</v>
      </c>
      <c r="H186" s="979">
        <v>2270472</v>
      </c>
      <c r="I186" s="979">
        <v>266738</v>
      </c>
      <c r="J186" s="979">
        <v>0.13220559080095162</v>
      </c>
      <c r="K186" s="979">
        <v>300169.09215701825</v>
      </c>
      <c r="L186" s="979">
        <v>266738</v>
      </c>
      <c r="M186" s="979">
        <v>599</v>
      </c>
    </row>
    <row r="187" spans="1:13" ht="15">
      <c r="A187" s="979" t="s">
        <v>3395</v>
      </c>
      <c r="B187" s="1040" t="str">
        <f>CONCATENATE(LEFT(RIGHT(CONCATENATE("000",IFAData_TEA_1617!A187),6),3),"-",(RIGHT(RIGHT(CONCATENATE("000",IFAData_TEA_1617!A187),6),3)))</f>
        <v>015-908</v>
      </c>
      <c r="C187" s="979" t="s">
        <v>1932</v>
      </c>
      <c r="D187" s="979">
        <v>3</v>
      </c>
      <c r="E187" s="979">
        <v>2358</v>
      </c>
      <c r="F187" s="979" t="s">
        <v>4168</v>
      </c>
      <c r="G187" s="979" t="s">
        <v>4170</v>
      </c>
      <c r="H187" s="979">
        <v>2400433</v>
      </c>
      <c r="I187" s="979">
        <v>175826</v>
      </c>
      <c r="J187" s="979">
        <v>7.999541391050119E-2</v>
      </c>
      <c r="K187" s="979">
        <v>192023.63139942611</v>
      </c>
      <c r="L187" s="979">
        <v>175826</v>
      </c>
      <c r="M187" s="979">
        <v>599</v>
      </c>
    </row>
    <row r="188" spans="1:13" ht="15">
      <c r="A188" s="979" t="s">
        <v>3395</v>
      </c>
      <c r="B188" s="1040" t="str">
        <f>CONCATENATE(LEFT(RIGHT(CONCATENATE("000",IFAData_TEA_1617!A188),6),3),"-",(RIGHT(RIGHT(CONCATENATE("000",IFAData_TEA_1617!A188),6),3)))</f>
        <v>015-908</v>
      </c>
      <c r="C188" s="979" t="s">
        <v>1932</v>
      </c>
      <c r="D188" s="979">
        <v>3</v>
      </c>
      <c r="E188" s="979">
        <v>2358</v>
      </c>
      <c r="F188" s="979" t="s">
        <v>4168</v>
      </c>
      <c r="G188" s="979" t="s">
        <v>4169</v>
      </c>
      <c r="H188" s="979">
        <v>2400433</v>
      </c>
      <c r="I188" s="979">
        <v>0</v>
      </c>
      <c r="J188" s="979">
        <v>0</v>
      </c>
      <c r="K188" s="979">
        <v>0</v>
      </c>
      <c r="L188" s="979">
        <v>0</v>
      </c>
      <c r="M188" s="979">
        <v>599</v>
      </c>
    </row>
    <row r="189" spans="1:13" ht="15">
      <c r="A189" s="979" t="s">
        <v>3395</v>
      </c>
      <c r="B189" s="1040" t="str">
        <f>CONCATENATE(LEFT(RIGHT(CONCATENATE("000",IFAData_TEA_1617!A189),6),3),"-",(RIGHT(RIGHT(CONCATENATE("000",IFAData_TEA_1617!A189),6),3)))</f>
        <v>015-908</v>
      </c>
      <c r="C189" s="979" t="s">
        <v>1932</v>
      </c>
      <c r="D189" s="979">
        <v>8</v>
      </c>
      <c r="E189" s="979">
        <v>2356</v>
      </c>
      <c r="F189" s="979" t="s">
        <v>4175</v>
      </c>
      <c r="G189" s="979" t="s">
        <v>4175</v>
      </c>
      <c r="H189" s="979">
        <v>1990738</v>
      </c>
      <c r="I189" s="979">
        <v>413050</v>
      </c>
      <c r="J189" s="979">
        <v>0.16109694912292744</v>
      </c>
      <c r="K189" s="979">
        <v>320701.8183030783</v>
      </c>
      <c r="L189" s="979">
        <v>320701.8183030783</v>
      </c>
      <c r="M189" s="979">
        <v>599</v>
      </c>
    </row>
    <row r="190" spans="1:13" ht="15">
      <c r="A190" s="979" t="s">
        <v>3395</v>
      </c>
      <c r="B190" s="1040" t="str">
        <f>CONCATENATE(LEFT(RIGHT(CONCATENATE("000",IFAData_TEA_1617!A190),6),3),"-",(RIGHT(RIGHT(CONCATENATE("000",IFAData_TEA_1617!A190),6),3)))</f>
        <v>015-908</v>
      </c>
      <c r="C190" s="979" t="s">
        <v>1932</v>
      </c>
      <c r="D190" s="979">
        <v>6</v>
      </c>
      <c r="E190" s="979">
        <v>2357</v>
      </c>
      <c r="F190" s="979" t="s">
        <v>4172</v>
      </c>
      <c r="G190" s="979" t="s">
        <v>4170</v>
      </c>
      <c r="H190" s="979">
        <v>2270472</v>
      </c>
      <c r="I190" s="979">
        <v>1340994</v>
      </c>
      <c r="J190" s="979">
        <v>0.66464809674861225</v>
      </c>
      <c r="K190" s="979">
        <v>1509064.8935210151</v>
      </c>
      <c r="L190" s="979">
        <v>1340994</v>
      </c>
      <c r="M190" s="979">
        <v>599</v>
      </c>
    </row>
    <row r="191" spans="1:13" ht="15">
      <c r="A191" s="979" t="s">
        <v>3395</v>
      </c>
      <c r="B191" s="1040" t="str">
        <f>CONCATENATE(LEFT(RIGHT(CONCATENATE("000",IFAData_TEA_1617!A191),6),3),"-",(RIGHT(RIGHT(CONCATENATE("000",IFAData_TEA_1617!A191),6),3)))</f>
        <v>015-908</v>
      </c>
      <c r="C191" s="979" t="s">
        <v>1932</v>
      </c>
      <c r="D191" s="979">
        <v>8</v>
      </c>
      <c r="E191" s="979">
        <v>2356</v>
      </c>
      <c r="F191" s="979" t="s">
        <v>4175</v>
      </c>
      <c r="G191" s="979" t="s">
        <v>4170</v>
      </c>
      <c r="H191" s="979">
        <v>1990738</v>
      </c>
      <c r="I191" s="979">
        <v>1322334</v>
      </c>
      <c r="J191" s="979">
        <v>0.51573410754513294</v>
      </c>
      <c r="K191" s="979">
        <v>1026691.4857861828</v>
      </c>
      <c r="L191" s="979">
        <v>1026691.4857861828</v>
      </c>
      <c r="M191" s="979">
        <v>599</v>
      </c>
    </row>
    <row r="192" spans="1:13" ht="15">
      <c r="A192" s="979" t="s">
        <v>3395</v>
      </c>
      <c r="B192" s="1040" t="str">
        <f>CONCATENATE(LEFT(RIGHT(CONCATENATE("000",IFAData_TEA_1617!A192),6),3),"-",(RIGHT(RIGHT(CONCATENATE("000",IFAData_TEA_1617!A192),6),3)))</f>
        <v>015-908</v>
      </c>
      <c r="C192" s="979" t="s">
        <v>1932</v>
      </c>
      <c r="D192" s="979">
        <v>6</v>
      </c>
      <c r="E192" s="979">
        <v>2357</v>
      </c>
      <c r="F192" s="979" t="s">
        <v>4172</v>
      </c>
      <c r="G192" s="979" t="s">
        <v>4173</v>
      </c>
      <c r="H192" s="979">
        <v>2270472</v>
      </c>
      <c r="I192" s="979">
        <v>409868</v>
      </c>
      <c r="J192" s="979">
        <v>0.20314631245043616</v>
      </c>
      <c r="K192" s="979">
        <v>461238.01432196668</v>
      </c>
      <c r="L192" s="979">
        <v>409868</v>
      </c>
      <c r="M192" s="979">
        <v>599</v>
      </c>
    </row>
    <row r="193" spans="1:13" ht="15">
      <c r="A193" s="979" t="s">
        <v>3396</v>
      </c>
      <c r="B193" s="1040" t="str">
        <f>CONCATENATE(LEFT(RIGHT(CONCATENATE("000",IFAData_TEA_1617!A193),6),3),"-",(RIGHT(RIGHT(CONCATENATE("000",IFAData_TEA_1617!A193),6),3)))</f>
        <v>015-909</v>
      </c>
      <c r="C193" s="979" t="s">
        <v>1931</v>
      </c>
      <c r="D193" s="979">
        <v>5</v>
      </c>
      <c r="E193" s="979">
        <v>2353</v>
      </c>
      <c r="F193" s="979" t="s">
        <v>4180</v>
      </c>
      <c r="G193" s="979" t="s">
        <v>4180</v>
      </c>
      <c r="H193" s="979">
        <v>460677</v>
      </c>
      <c r="I193" s="979">
        <v>0</v>
      </c>
      <c r="J193" s="979">
        <v>0</v>
      </c>
      <c r="K193" s="979">
        <v>0</v>
      </c>
      <c r="L193" s="979">
        <v>0</v>
      </c>
      <c r="M193" s="979">
        <v>599</v>
      </c>
    </row>
    <row r="194" spans="1:13" ht="15">
      <c r="A194" s="979" t="s">
        <v>3396</v>
      </c>
      <c r="B194" s="1040" t="str">
        <f>CONCATENATE(LEFT(RIGHT(CONCATENATE("000",IFAData_TEA_1617!A194),6),3),"-",(RIGHT(RIGHT(CONCATENATE("000",IFAData_TEA_1617!A194),6),3)))</f>
        <v>015-909</v>
      </c>
      <c r="C194" s="979" t="s">
        <v>1931</v>
      </c>
      <c r="D194" s="979">
        <v>6</v>
      </c>
      <c r="E194" s="979">
        <v>2351</v>
      </c>
      <c r="F194" s="979" t="s">
        <v>4181</v>
      </c>
      <c r="G194" s="979" t="s">
        <v>4182</v>
      </c>
      <c r="H194" s="979">
        <v>230217</v>
      </c>
      <c r="I194" s="979">
        <v>231183</v>
      </c>
      <c r="J194" s="979">
        <v>1</v>
      </c>
      <c r="K194" s="979">
        <v>230217</v>
      </c>
      <c r="L194" s="979">
        <v>230217</v>
      </c>
      <c r="M194" s="979">
        <v>599</v>
      </c>
    </row>
    <row r="195" spans="1:13" ht="15">
      <c r="A195" s="979" t="s">
        <v>3396</v>
      </c>
      <c r="B195" s="1040" t="str">
        <f>CONCATENATE(LEFT(RIGHT(CONCATENATE("000",IFAData_TEA_1617!A195),6),3),"-",(RIGHT(RIGHT(CONCATENATE("000",IFAData_TEA_1617!A195),6),3)))</f>
        <v>015-909</v>
      </c>
      <c r="C195" s="979" t="s">
        <v>1931</v>
      </c>
      <c r="D195" s="979">
        <v>4</v>
      </c>
      <c r="E195" s="979">
        <v>2354</v>
      </c>
      <c r="F195" s="979" t="s">
        <v>4177</v>
      </c>
      <c r="G195" s="979" t="s">
        <v>4178</v>
      </c>
      <c r="H195" s="979">
        <v>637500</v>
      </c>
      <c r="I195" s="979">
        <v>286801</v>
      </c>
      <c r="J195" s="979">
        <v>0.36285689343456518</v>
      </c>
      <c r="K195" s="979">
        <v>231321.26956453529</v>
      </c>
      <c r="L195" s="979">
        <v>231321.26956453529</v>
      </c>
      <c r="M195" s="979">
        <v>599</v>
      </c>
    </row>
    <row r="196" spans="1:13" ht="15">
      <c r="A196" s="979" t="s">
        <v>3396</v>
      </c>
      <c r="B196" s="1040" t="str">
        <f>CONCATENATE(LEFT(RIGHT(CONCATENATE("000",IFAData_TEA_1617!A196),6),3),"-",(RIGHT(RIGHT(CONCATENATE("000",IFAData_TEA_1617!A196),6),3)))</f>
        <v>015-909</v>
      </c>
      <c r="C196" s="979" t="s">
        <v>1931</v>
      </c>
      <c r="D196" s="979">
        <v>5</v>
      </c>
      <c r="E196" s="979">
        <v>2353</v>
      </c>
      <c r="F196" s="979" t="s">
        <v>4180</v>
      </c>
      <c r="G196" s="979" t="s">
        <v>6409</v>
      </c>
      <c r="H196" s="979">
        <v>460677</v>
      </c>
      <c r="I196" s="979">
        <v>125842</v>
      </c>
      <c r="J196" s="979">
        <v>0.2329152253137661</v>
      </c>
      <c r="K196" s="979">
        <v>107298.68725186982</v>
      </c>
      <c r="L196" s="979">
        <v>107298.68725186982</v>
      </c>
      <c r="M196" s="979">
        <v>599</v>
      </c>
    </row>
    <row r="197" spans="1:13" ht="15">
      <c r="A197" s="979" t="s">
        <v>3396</v>
      </c>
      <c r="B197" s="1040" t="str">
        <f>CONCATENATE(LEFT(RIGHT(CONCATENATE("000",IFAData_TEA_1617!A197),6),3),"-",(RIGHT(RIGHT(CONCATENATE("000",IFAData_TEA_1617!A197),6),3)))</f>
        <v>015-909</v>
      </c>
      <c r="C197" s="979" t="s">
        <v>1931</v>
      </c>
      <c r="D197" s="979">
        <v>7</v>
      </c>
      <c r="E197" s="979">
        <v>2352</v>
      </c>
      <c r="F197" s="979" t="s">
        <v>4183</v>
      </c>
      <c r="G197" s="979" t="s">
        <v>6193</v>
      </c>
      <c r="H197" s="979">
        <v>305924</v>
      </c>
      <c r="I197" s="979">
        <v>255113</v>
      </c>
      <c r="J197" s="979">
        <v>1</v>
      </c>
      <c r="K197" s="979">
        <v>305924</v>
      </c>
      <c r="L197" s="979">
        <v>255113</v>
      </c>
      <c r="M197" s="979">
        <v>599</v>
      </c>
    </row>
    <row r="198" spans="1:13" ht="15">
      <c r="A198" s="979" t="s">
        <v>3396</v>
      </c>
      <c r="B198" s="1040" t="str">
        <f>CONCATENATE(LEFT(RIGHT(CONCATENATE("000",IFAData_TEA_1617!A198),6),3),"-",(RIGHT(RIGHT(CONCATENATE("000",IFAData_TEA_1617!A198),6),3)))</f>
        <v>015-909</v>
      </c>
      <c r="C198" s="979" t="s">
        <v>1931</v>
      </c>
      <c r="D198" s="979">
        <v>10</v>
      </c>
      <c r="E198" s="979">
        <v>2355</v>
      </c>
      <c r="F198" s="979" t="s">
        <v>4179</v>
      </c>
      <c r="G198" s="979" t="s">
        <v>4179</v>
      </c>
      <c r="H198" s="979">
        <v>732634</v>
      </c>
      <c r="I198" s="979">
        <v>729950</v>
      </c>
      <c r="J198" s="979">
        <v>1</v>
      </c>
      <c r="K198" s="979">
        <v>732634</v>
      </c>
      <c r="L198" s="979">
        <v>729950</v>
      </c>
      <c r="M198" s="979">
        <v>599</v>
      </c>
    </row>
    <row r="199" spans="1:13" ht="15">
      <c r="A199" s="979" t="s">
        <v>3396</v>
      </c>
      <c r="B199" s="1040" t="str">
        <f>CONCATENATE(LEFT(RIGHT(CONCATENATE("000",IFAData_TEA_1617!A199),6),3),"-",(RIGHT(RIGHT(CONCATENATE("000",IFAData_TEA_1617!A199),6),3)))</f>
        <v>015-909</v>
      </c>
      <c r="C199" s="979" t="s">
        <v>1931</v>
      </c>
      <c r="D199" s="979">
        <v>5</v>
      </c>
      <c r="E199" s="979">
        <v>2353</v>
      </c>
      <c r="F199" s="979" t="s">
        <v>4180</v>
      </c>
      <c r="G199" s="979" t="s">
        <v>4178</v>
      </c>
      <c r="H199" s="979">
        <v>460677</v>
      </c>
      <c r="I199" s="979">
        <v>146304</v>
      </c>
      <c r="J199" s="979">
        <v>0.27078740900736825</v>
      </c>
      <c r="K199" s="979">
        <v>124745.53121928738</v>
      </c>
      <c r="L199" s="979">
        <v>124745.53121928738</v>
      </c>
      <c r="M199" s="979">
        <v>599</v>
      </c>
    </row>
    <row r="200" spans="1:13" ht="15">
      <c r="A200" s="979" t="s">
        <v>3396</v>
      </c>
      <c r="B200" s="1040" t="str">
        <f>CONCATENATE(LEFT(RIGHT(CONCATENATE("000",IFAData_TEA_1617!A200),6),3),"-",(RIGHT(RIGHT(CONCATENATE("000",IFAData_TEA_1617!A200),6),3)))</f>
        <v>015-909</v>
      </c>
      <c r="C200" s="979" t="s">
        <v>1931</v>
      </c>
      <c r="D200" s="979">
        <v>6</v>
      </c>
      <c r="E200" s="979">
        <v>2351</v>
      </c>
      <c r="F200" s="979" t="s">
        <v>4181</v>
      </c>
      <c r="G200" s="979" t="s">
        <v>4181</v>
      </c>
      <c r="H200" s="979">
        <v>230217</v>
      </c>
      <c r="I200" s="979">
        <v>0</v>
      </c>
      <c r="J200" s="979">
        <v>0</v>
      </c>
      <c r="K200" s="979">
        <v>0</v>
      </c>
      <c r="L200" s="979">
        <v>0</v>
      </c>
      <c r="M200" s="979">
        <v>599</v>
      </c>
    </row>
    <row r="201" spans="1:13" ht="15">
      <c r="A201" s="979" t="s">
        <v>3396</v>
      </c>
      <c r="B201" s="1040" t="str">
        <f>CONCATENATE(LEFT(RIGHT(CONCATENATE("000",IFAData_TEA_1617!A201),6),3),"-",(RIGHT(RIGHT(CONCATENATE("000",IFAData_TEA_1617!A201),6),3)))</f>
        <v>015-909</v>
      </c>
      <c r="C201" s="979" t="s">
        <v>1931</v>
      </c>
      <c r="D201" s="979">
        <v>4</v>
      </c>
      <c r="E201" s="979">
        <v>2354</v>
      </c>
      <c r="F201" s="979" t="s">
        <v>4177</v>
      </c>
      <c r="G201" s="979" t="s">
        <v>4177</v>
      </c>
      <c r="H201" s="979">
        <v>637500</v>
      </c>
      <c r="I201" s="979">
        <v>0</v>
      </c>
      <c r="J201" s="979">
        <v>0</v>
      </c>
      <c r="K201" s="979">
        <v>0</v>
      </c>
      <c r="L201" s="979">
        <v>0</v>
      </c>
      <c r="M201" s="979">
        <v>599</v>
      </c>
    </row>
    <row r="202" spans="1:13" ht="15">
      <c r="A202" s="979" t="s">
        <v>3396</v>
      </c>
      <c r="B202" s="1040" t="str">
        <f>CONCATENATE(LEFT(RIGHT(CONCATENATE("000",IFAData_TEA_1617!A202),6),3),"-",(RIGHT(RIGHT(CONCATENATE("000",IFAData_TEA_1617!A202),6),3)))</f>
        <v>015-909</v>
      </c>
      <c r="C202" s="979" t="s">
        <v>1931</v>
      </c>
      <c r="D202" s="979">
        <v>4</v>
      </c>
      <c r="E202" s="979">
        <v>2354</v>
      </c>
      <c r="F202" s="979" t="s">
        <v>4177</v>
      </c>
      <c r="G202" s="979" t="s">
        <v>6409</v>
      </c>
      <c r="H202" s="979">
        <v>637500</v>
      </c>
      <c r="I202" s="979">
        <v>220991</v>
      </c>
      <c r="J202" s="979">
        <v>0.27959493773382238</v>
      </c>
      <c r="K202" s="979">
        <v>178241.77280531178</v>
      </c>
      <c r="L202" s="979">
        <v>178241.77280531178</v>
      </c>
      <c r="M202" s="979">
        <v>599</v>
      </c>
    </row>
    <row r="203" spans="1:13" ht="15">
      <c r="A203" s="979" t="s">
        <v>3396</v>
      </c>
      <c r="B203" s="1040" t="str">
        <f>CONCATENATE(LEFT(RIGHT(CONCATENATE("000",IFAData_TEA_1617!A203),6),3),"-",(RIGHT(RIGHT(CONCATENATE("000",IFAData_TEA_1617!A203),6),3)))</f>
        <v>015-909</v>
      </c>
      <c r="C203" s="979" t="s">
        <v>1931</v>
      </c>
      <c r="D203" s="979">
        <v>7</v>
      </c>
      <c r="E203" s="979">
        <v>2352</v>
      </c>
      <c r="F203" s="979" t="s">
        <v>4183</v>
      </c>
      <c r="G203" s="979" t="s">
        <v>4183</v>
      </c>
      <c r="H203" s="979">
        <v>305924</v>
      </c>
      <c r="I203" s="979">
        <v>0</v>
      </c>
      <c r="J203" s="979">
        <v>0</v>
      </c>
      <c r="K203" s="979">
        <v>0</v>
      </c>
      <c r="L203" s="979">
        <v>0</v>
      </c>
      <c r="M203" s="979">
        <v>599</v>
      </c>
    </row>
    <row r="204" spans="1:13" ht="15">
      <c r="A204" s="979" t="s">
        <v>3396</v>
      </c>
      <c r="B204" s="1040" t="str">
        <f>CONCATENATE(LEFT(RIGHT(CONCATENATE("000",IFAData_TEA_1617!A204),6),3),"-",(RIGHT(RIGHT(CONCATENATE("000",IFAData_TEA_1617!A204),6),3)))</f>
        <v>015-909</v>
      </c>
      <c r="C204" s="979" t="s">
        <v>1931</v>
      </c>
      <c r="D204" s="979">
        <v>4</v>
      </c>
      <c r="E204" s="979">
        <v>2354</v>
      </c>
      <c r="F204" s="979" t="s">
        <v>4177</v>
      </c>
      <c r="G204" s="979" t="s">
        <v>4179</v>
      </c>
      <c r="H204" s="979">
        <v>637500</v>
      </c>
      <c r="I204" s="979">
        <v>282605</v>
      </c>
      <c r="J204" s="979">
        <v>0.35754816883161245</v>
      </c>
      <c r="K204" s="979">
        <v>227936.95763015293</v>
      </c>
      <c r="L204" s="979">
        <v>227936.95763015293</v>
      </c>
      <c r="M204" s="979">
        <v>599</v>
      </c>
    </row>
    <row r="205" spans="1:13" ht="15">
      <c r="A205" s="979" t="s">
        <v>3396</v>
      </c>
      <c r="B205" s="1040" t="str">
        <f>CONCATENATE(LEFT(RIGHT(CONCATENATE("000",IFAData_TEA_1617!A205),6),3),"-",(RIGHT(RIGHT(CONCATENATE("000",IFAData_TEA_1617!A205),6),3)))</f>
        <v>015-909</v>
      </c>
      <c r="C205" s="979" t="s">
        <v>1931</v>
      </c>
      <c r="D205" s="979">
        <v>5</v>
      </c>
      <c r="E205" s="979">
        <v>2353</v>
      </c>
      <c r="F205" s="979" t="s">
        <v>4180</v>
      </c>
      <c r="G205" s="979" t="s">
        <v>4179</v>
      </c>
      <c r="H205" s="979">
        <v>460677</v>
      </c>
      <c r="I205" s="979">
        <v>268145</v>
      </c>
      <c r="J205" s="979">
        <v>0.49629736567886562</v>
      </c>
      <c r="K205" s="979">
        <v>228632.78152884278</v>
      </c>
      <c r="L205" s="979">
        <v>228632.78152884278</v>
      </c>
      <c r="M205" s="979">
        <v>599</v>
      </c>
    </row>
    <row r="206" spans="1:13" ht="15">
      <c r="A206" s="979" t="s">
        <v>3397</v>
      </c>
      <c r="B206" s="1040" t="str">
        <f>CONCATENATE(LEFT(RIGHT(CONCATENATE("000",IFAData_TEA_1617!A206),6),3),"-",(RIGHT(RIGHT(CONCATENATE("000",IFAData_TEA_1617!A206),6),3)))</f>
        <v>015-910</v>
      </c>
      <c r="C206" s="979" t="s">
        <v>2287</v>
      </c>
      <c r="D206" s="979">
        <v>1</v>
      </c>
      <c r="E206" s="979">
        <v>2147</v>
      </c>
      <c r="F206" s="979" t="s">
        <v>4184</v>
      </c>
      <c r="G206" s="979" t="s">
        <v>4185</v>
      </c>
      <c r="H206" s="979">
        <v>6051325</v>
      </c>
      <c r="I206" s="979">
        <v>0</v>
      </c>
      <c r="J206" s="979">
        <v>0</v>
      </c>
      <c r="K206" s="979">
        <v>0</v>
      </c>
      <c r="L206" s="979">
        <v>0</v>
      </c>
      <c r="M206" s="979">
        <v>599</v>
      </c>
    </row>
    <row r="207" spans="1:13" ht="15">
      <c r="A207" s="979" t="s">
        <v>3397</v>
      </c>
      <c r="B207" s="1040" t="str">
        <f>CONCATENATE(LEFT(RIGHT(CONCATENATE("000",IFAData_TEA_1617!A207),6),3),"-",(RIGHT(RIGHT(CONCATENATE("000",IFAData_TEA_1617!A207),6),3)))</f>
        <v>015-910</v>
      </c>
      <c r="C207" s="979" t="s">
        <v>2287</v>
      </c>
      <c r="D207" s="979">
        <v>1</v>
      </c>
      <c r="E207" s="979">
        <v>2147</v>
      </c>
      <c r="F207" s="979" t="s">
        <v>4184</v>
      </c>
      <c r="G207" s="979" t="s">
        <v>4187</v>
      </c>
      <c r="H207" s="979">
        <v>6051325</v>
      </c>
      <c r="I207" s="979">
        <v>791548</v>
      </c>
      <c r="J207" s="979">
        <v>0.11961645266467837</v>
      </c>
      <c r="K207" s="979">
        <v>723838.03042108484</v>
      </c>
      <c r="L207" s="979">
        <v>723838.03042108484</v>
      </c>
      <c r="M207" s="979">
        <v>599</v>
      </c>
    </row>
    <row r="208" spans="1:13" ht="15">
      <c r="A208" s="979" t="s">
        <v>3397</v>
      </c>
      <c r="B208" s="1040" t="str">
        <f>CONCATENATE(LEFT(RIGHT(CONCATENATE("000",IFAData_TEA_1617!A208),6),3),"-",(RIGHT(RIGHT(CONCATENATE("000",IFAData_TEA_1617!A208),6),3)))</f>
        <v>015-910</v>
      </c>
      <c r="C208" s="979" t="s">
        <v>2287</v>
      </c>
      <c r="D208" s="979">
        <v>1</v>
      </c>
      <c r="E208" s="979">
        <v>2147</v>
      </c>
      <c r="F208" s="979" t="s">
        <v>4184</v>
      </c>
      <c r="G208" s="979" t="s">
        <v>4188</v>
      </c>
      <c r="H208" s="979">
        <v>6051325</v>
      </c>
      <c r="I208" s="979">
        <v>590636</v>
      </c>
      <c r="J208" s="979">
        <v>8.925521021600076E-2</v>
      </c>
      <c r="K208" s="979">
        <v>540112.28496034082</v>
      </c>
      <c r="L208" s="979">
        <v>540112.28496034082</v>
      </c>
      <c r="M208" s="979">
        <v>599</v>
      </c>
    </row>
    <row r="209" spans="1:13" ht="15">
      <c r="A209" s="979" t="s">
        <v>3397</v>
      </c>
      <c r="B209" s="1040" t="str">
        <f>CONCATENATE(LEFT(RIGHT(CONCATENATE("000",IFAData_TEA_1617!A209),6),3),"-",(RIGHT(RIGHT(CONCATENATE("000",IFAData_TEA_1617!A209),6),3)))</f>
        <v>015-910</v>
      </c>
      <c r="C209" s="979" t="s">
        <v>2287</v>
      </c>
      <c r="D209" s="979">
        <v>1</v>
      </c>
      <c r="E209" s="979">
        <v>2147</v>
      </c>
      <c r="F209" s="979" t="s">
        <v>4184</v>
      </c>
      <c r="G209" s="979" t="s">
        <v>4184</v>
      </c>
      <c r="H209" s="979">
        <v>6051325</v>
      </c>
      <c r="I209" s="979">
        <v>0</v>
      </c>
      <c r="J209" s="979">
        <v>0</v>
      </c>
      <c r="K209" s="979">
        <v>0</v>
      </c>
      <c r="L209" s="979">
        <v>0</v>
      </c>
      <c r="M209" s="979">
        <v>599</v>
      </c>
    </row>
    <row r="210" spans="1:13" ht="15">
      <c r="A210" s="979" t="s">
        <v>3397</v>
      </c>
      <c r="B210" s="1040" t="str">
        <f>CONCATENATE(LEFT(RIGHT(CONCATENATE("000",IFAData_TEA_1617!A210),6),3),"-",(RIGHT(RIGHT(CONCATENATE("000",IFAData_TEA_1617!A210),6),3)))</f>
        <v>015-910</v>
      </c>
      <c r="C210" s="979" t="s">
        <v>2287</v>
      </c>
      <c r="D210" s="979">
        <v>1</v>
      </c>
      <c r="E210" s="979">
        <v>2147</v>
      </c>
      <c r="F210" s="979" t="s">
        <v>4184</v>
      </c>
      <c r="G210" s="979" t="s">
        <v>4186</v>
      </c>
      <c r="H210" s="979">
        <v>6051325</v>
      </c>
      <c r="I210" s="979">
        <v>5235200</v>
      </c>
      <c r="J210" s="979">
        <v>0.79112833711932085</v>
      </c>
      <c r="K210" s="979">
        <v>4787374.6846185746</v>
      </c>
      <c r="L210" s="979">
        <v>4787374.6846185746</v>
      </c>
      <c r="M210" s="979">
        <v>599</v>
      </c>
    </row>
    <row r="211" spans="1:13" ht="15">
      <c r="A211" s="979" t="s">
        <v>3398</v>
      </c>
      <c r="B211" s="1040" t="str">
        <f>CONCATENATE(LEFT(RIGHT(CONCATENATE("000",IFAData_TEA_1617!A211),6),3),"-",(RIGHT(RIGHT(CONCATENATE("000",IFAData_TEA_1617!A211),6),3)))</f>
        <v>015-911</v>
      </c>
      <c r="C211" s="979" t="s">
        <v>1064</v>
      </c>
      <c r="D211" s="979">
        <v>3</v>
      </c>
      <c r="E211" s="979">
        <v>1780</v>
      </c>
      <c r="F211" s="979" t="s">
        <v>4189</v>
      </c>
      <c r="G211" s="979" t="s">
        <v>4190</v>
      </c>
      <c r="H211" s="979">
        <v>1803880</v>
      </c>
      <c r="I211" s="979">
        <v>0</v>
      </c>
      <c r="J211" s="979">
        <v>0</v>
      </c>
      <c r="K211" s="979">
        <v>0</v>
      </c>
      <c r="L211" s="979">
        <v>0</v>
      </c>
      <c r="M211" s="979">
        <v>599</v>
      </c>
    </row>
    <row r="212" spans="1:13" ht="15">
      <c r="A212" s="979" t="s">
        <v>3398</v>
      </c>
      <c r="B212" s="1040" t="str">
        <f>CONCATENATE(LEFT(RIGHT(CONCATENATE("000",IFAData_TEA_1617!A212),6),3),"-",(RIGHT(RIGHT(CONCATENATE("000",IFAData_TEA_1617!A212),6),3)))</f>
        <v>015-911</v>
      </c>
      <c r="C212" s="979" t="s">
        <v>1064</v>
      </c>
      <c r="D212" s="979">
        <v>9</v>
      </c>
      <c r="E212" s="979">
        <v>1781</v>
      </c>
      <c r="F212" s="979" t="s">
        <v>4194</v>
      </c>
      <c r="G212" s="979" t="s">
        <v>4194</v>
      </c>
      <c r="H212" s="979">
        <v>2096250</v>
      </c>
      <c r="I212" s="979">
        <v>3038763</v>
      </c>
      <c r="J212" s="979">
        <v>0.67183742521384293</v>
      </c>
      <c r="K212" s="979">
        <v>1408339.2026045183</v>
      </c>
      <c r="L212" s="979">
        <v>1408339.2026045183</v>
      </c>
      <c r="M212" s="979">
        <v>599</v>
      </c>
    </row>
    <row r="213" spans="1:13" ht="15">
      <c r="A213" s="979" t="s">
        <v>3398</v>
      </c>
      <c r="B213" s="1040" t="str">
        <f>CONCATENATE(LEFT(RIGHT(CONCATENATE("000",IFAData_TEA_1617!A213),6),3),"-",(RIGHT(RIGHT(CONCATENATE("000",IFAData_TEA_1617!A213),6),3)))</f>
        <v>015-911</v>
      </c>
      <c r="C213" s="979" t="s">
        <v>1064</v>
      </c>
      <c r="D213" s="979">
        <v>9</v>
      </c>
      <c r="E213" s="979">
        <v>1781</v>
      </c>
      <c r="F213" s="979" t="s">
        <v>4194</v>
      </c>
      <c r="G213" s="979" t="s">
        <v>6195</v>
      </c>
      <c r="H213" s="979">
        <v>2096250</v>
      </c>
      <c r="I213" s="979">
        <v>337400</v>
      </c>
      <c r="J213" s="979">
        <v>7.4595467717341102E-2</v>
      </c>
      <c r="K213" s="979">
        <v>156370.74920247629</v>
      </c>
      <c r="L213" s="979">
        <v>156370.74920247629</v>
      </c>
      <c r="M213" s="979">
        <v>599</v>
      </c>
    </row>
    <row r="214" spans="1:13" ht="15">
      <c r="A214" s="979" t="s">
        <v>3398</v>
      </c>
      <c r="B214" s="1040" t="str">
        <f>CONCATENATE(LEFT(RIGHT(CONCATENATE("000",IFAData_TEA_1617!A214),6),3),"-",(RIGHT(RIGHT(CONCATENATE("000",IFAData_TEA_1617!A214),6),3)))</f>
        <v>015-911</v>
      </c>
      <c r="C214" s="979" t="s">
        <v>1064</v>
      </c>
      <c r="D214" s="979">
        <v>9</v>
      </c>
      <c r="E214" s="979">
        <v>1781</v>
      </c>
      <c r="F214" s="979" t="s">
        <v>4194</v>
      </c>
      <c r="G214" s="979" t="s">
        <v>6194</v>
      </c>
      <c r="H214" s="979">
        <v>2096250</v>
      </c>
      <c r="I214" s="979">
        <v>349950</v>
      </c>
      <c r="J214" s="979">
        <v>7.7370136122357797E-2</v>
      </c>
      <c r="K214" s="979">
        <v>162187.14784649253</v>
      </c>
      <c r="L214" s="979">
        <v>162187.14784649253</v>
      </c>
      <c r="M214" s="979">
        <v>599</v>
      </c>
    </row>
    <row r="215" spans="1:13" ht="15">
      <c r="A215" s="979" t="s">
        <v>3398</v>
      </c>
      <c r="B215" s="1040" t="str">
        <f>CONCATENATE(LEFT(RIGHT(CONCATENATE("000",IFAData_TEA_1617!A215),6),3),"-",(RIGHT(RIGHT(CONCATENATE("000",IFAData_TEA_1617!A215),6),3)))</f>
        <v>015-911</v>
      </c>
      <c r="C215" s="979" t="s">
        <v>1064</v>
      </c>
      <c r="D215" s="979">
        <v>6</v>
      </c>
      <c r="E215" s="979">
        <v>1779</v>
      </c>
      <c r="F215" s="979" t="s">
        <v>4192</v>
      </c>
      <c r="G215" s="979" t="s">
        <v>4193</v>
      </c>
      <c r="H215" s="979">
        <v>1625293</v>
      </c>
      <c r="I215" s="979">
        <v>1651450</v>
      </c>
      <c r="J215" s="979">
        <v>1</v>
      </c>
      <c r="K215" s="979">
        <v>1625293</v>
      </c>
      <c r="L215" s="979">
        <v>1625293</v>
      </c>
      <c r="M215" s="979">
        <v>599</v>
      </c>
    </row>
    <row r="216" spans="1:13" ht="15">
      <c r="A216" s="979" t="s">
        <v>3398</v>
      </c>
      <c r="B216" s="1040" t="str">
        <f>CONCATENATE(LEFT(RIGHT(CONCATENATE("000",IFAData_TEA_1617!A216),6),3),"-",(RIGHT(RIGHT(CONCATENATE("000",IFAData_TEA_1617!A216),6),3)))</f>
        <v>015-911</v>
      </c>
      <c r="C216" s="979" t="s">
        <v>1064</v>
      </c>
      <c r="D216" s="979">
        <v>9</v>
      </c>
      <c r="E216" s="979">
        <v>1781</v>
      </c>
      <c r="F216" s="979" t="s">
        <v>4194</v>
      </c>
      <c r="G216" s="979" t="s">
        <v>6410</v>
      </c>
      <c r="H216" s="979">
        <v>2096250</v>
      </c>
      <c r="I216" s="979">
        <v>796950</v>
      </c>
      <c r="J216" s="979">
        <v>0.1761969709464582</v>
      </c>
      <c r="K216" s="979">
        <v>369352.90034651302</v>
      </c>
      <c r="L216" s="979">
        <v>369352.90034651302</v>
      </c>
      <c r="M216" s="979">
        <v>599</v>
      </c>
    </row>
    <row r="217" spans="1:13" ht="15">
      <c r="A217" s="979" t="s">
        <v>3398</v>
      </c>
      <c r="B217" s="1040" t="str">
        <f>CONCATENATE(LEFT(RIGHT(CONCATENATE("000",IFAData_TEA_1617!A217),6),3),"-",(RIGHT(RIGHT(CONCATENATE("000",IFAData_TEA_1617!A217),6),3)))</f>
        <v>015-911</v>
      </c>
      <c r="C217" s="979" t="s">
        <v>1064</v>
      </c>
      <c r="D217" s="979">
        <v>3</v>
      </c>
      <c r="E217" s="979">
        <v>1780</v>
      </c>
      <c r="F217" s="979" t="s">
        <v>4189</v>
      </c>
      <c r="G217" s="979" t="s">
        <v>4189</v>
      </c>
      <c r="H217" s="979">
        <v>1803880</v>
      </c>
      <c r="I217" s="979">
        <v>0</v>
      </c>
      <c r="J217" s="979">
        <v>0</v>
      </c>
      <c r="K217" s="979">
        <v>0</v>
      </c>
      <c r="L217" s="979">
        <v>0</v>
      </c>
      <c r="M217" s="979">
        <v>599</v>
      </c>
    </row>
    <row r="218" spans="1:13" ht="15">
      <c r="A218" s="979" t="s">
        <v>3398</v>
      </c>
      <c r="B218" s="1040" t="str">
        <f>CONCATENATE(LEFT(RIGHT(CONCATENATE("000",IFAData_TEA_1617!A218),6),3),"-",(RIGHT(RIGHT(CONCATENATE("000",IFAData_TEA_1617!A218),6),3)))</f>
        <v>015-911</v>
      </c>
      <c r="C218" s="979" t="s">
        <v>1064</v>
      </c>
      <c r="D218" s="979">
        <v>3</v>
      </c>
      <c r="E218" s="979">
        <v>1780</v>
      </c>
      <c r="F218" s="979" t="s">
        <v>4189</v>
      </c>
      <c r="G218" s="979" t="s">
        <v>4191</v>
      </c>
      <c r="H218" s="979">
        <v>1803880</v>
      </c>
      <c r="I218" s="979">
        <v>1800374</v>
      </c>
      <c r="J218" s="979">
        <v>1</v>
      </c>
      <c r="K218" s="979">
        <v>1803880</v>
      </c>
      <c r="L218" s="979">
        <v>1800374</v>
      </c>
      <c r="M218" s="979">
        <v>599</v>
      </c>
    </row>
    <row r="219" spans="1:13" ht="15">
      <c r="A219" s="979" t="s">
        <v>3398</v>
      </c>
      <c r="B219" s="1040" t="str">
        <f>CONCATENATE(LEFT(RIGHT(CONCATENATE("000",IFAData_TEA_1617!A219),6),3),"-",(RIGHT(RIGHT(CONCATENATE("000",IFAData_TEA_1617!A219),6),3)))</f>
        <v>015-911</v>
      </c>
      <c r="C219" s="979" t="s">
        <v>1064</v>
      </c>
      <c r="D219" s="979">
        <v>6</v>
      </c>
      <c r="E219" s="979">
        <v>1779</v>
      </c>
      <c r="F219" s="979" t="s">
        <v>4192</v>
      </c>
      <c r="G219" s="979" t="s">
        <v>4192</v>
      </c>
      <c r="H219" s="979">
        <v>1625293</v>
      </c>
      <c r="I219" s="979">
        <v>0</v>
      </c>
      <c r="J219" s="979">
        <v>0</v>
      </c>
      <c r="K219" s="979">
        <v>0</v>
      </c>
      <c r="L219" s="979">
        <v>0</v>
      </c>
      <c r="M219" s="979">
        <v>599</v>
      </c>
    </row>
    <row r="220" spans="1:13" ht="15">
      <c r="A220" s="979" t="s">
        <v>3399</v>
      </c>
      <c r="B220" s="1040" t="str">
        <f>CONCATENATE(LEFT(RIGHT(CONCATENATE("000",IFAData_TEA_1617!A220),6),3),"-",(RIGHT(RIGHT(CONCATENATE("000",IFAData_TEA_1617!A220),6),3)))</f>
        <v>015-912</v>
      </c>
      <c r="C220" s="979" t="s">
        <v>1934</v>
      </c>
      <c r="D220" s="979">
        <v>4</v>
      </c>
      <c r="E220" s="979">
        <v>2369</v>
      </c>
      <c r="F220" s="979" t="s">
        <v>4195</v>
      </c>
      <c r="G220" s="979" t="s">
        <v>4195</v>
      </c>
      <c r="H220" s="979">
        <v>2212705</v>
      </c>
      <c r="I220" s="979">
        <v>0</v>
      </c>
      <c r="J220" s="979">
        <v>0</v>
      </c>
      <c r="K220" s="979">
        <v>0</v>
      </c>
      <c r="L220" s="979">
        <v>0</v>
      </c>
      <c r="M220" s="979">
        <v>599</v>
      </c>
    </row>
    <row r="221" spans="1:13" ht="15">
      <c r="A221" s="979" t="s">
        <v>3399</v>
      </c>
      <c r="B221" s="1040" t="str">
        <f>CONCATENATE(LEFT(RIGHT(CONCATENATE("000",IFAData_TEA_1617!A221),6),3),"-",(RIGHT(RIGHT(CONCATENATE("000",IFAData_TEA_1617!A221),6),3)))</f>
        <v>015-912</v>
      </c>
      <c r="C221" s="979" t="s">
        <v>1934</v>
      </c>
      <c r="D221" s="979">
        <v>4</v>
      </c>
      <c r="E221" s="979">
        <v>2369</v>
      </c>
      <c r="F221" s="979" t="s">
        <v>4195</v>
      </c>
      <c r="G221" s="979" t="s">
        <v>6411</v>
      </c>
      <c r="H221" s="979">
        <v>2212705</v>
      </c>
      <c r="I221" s="979">
        <v>1632025</v>
      </c>
      <c r="J221" s="979">
        <v>0.83573586644817699</v>
      </c>
      <c r="K221" s="979">
        <v>1849236.9303692135</v>
      </c>
      <c r="L221" s="979">
        <v>1632025</v>
      </c>
      <c r="M221" s="979">
        <v>599</v>
      </c>
    </row>
    <row r="222" spans="1:13" ht="15">
      <c r="A222" s="979" t="s">
        <v>3399</v>
      </c>
      <c r="B222" s="1040" t="str">
        <f>CONCATENATE(LEFT(RIGHT(CONCATENATE("000",IFAData_TEA_1617!A222),6),3),"-",(RIGHT(RIGHT(CONCATENATE("000",IFAData_TEA_1617!A222),6),3)))</f>
        <v>015-912</v>
      </c>
      <c r="C222" s="979" t="s">
        <v>1934</v>
      </c>
      <c r="D222" s="979">
        <v>9</v>
      </c>
      <c r="E222" s="979">
        <v>2366</v>
      </c>
      <c r="F222" s="979" t="s">
        <v>4201</v>
      </c>
      <c r="G222" s="979" t="s">
        <v>6196</v>
      </c>
      <c r="H222" s="979">
        <v>907250</v>
      </c>
      <c r="I222" s="979">
        <v>493750</v>
      </c>
      <c r="J222" s="979">
        <v>0.58647107732509796</v>
      </c>
      <c r="K222" s="979">
        <v>532075.88490319508</v>
      </c>
      <c r="L222" s="979">
        <v>493750</v>
      </c>
      <c r="M222" s="979">
        <v>599</v>
      </c>
    </row>
    <row r="223" spans="1:13" ht="15">
      <c r="A223" s="979" t="s">
        <v>3399</v>
      </c>
      <c r="B223" s="1040" t="str">
        <f>CONCATENATE(LEFT(RIGHT(CONCATENATE("000",IFAData_TEA_1617!A223),6),3),"-",(RIGHT(RIGHT(CONCATENATE("000",IFAData_TEA_1617!A223),6),3)))</f>
        <v>015-912</v>
      </c>
      <c r="C223" s="979" t="s">
        <v>1934</v>
      </c>
      <c r="D223" s="979">
        <v>9</v>
      </c>
      <c r="E223" s="979">
        <v>2366</v>
      </c>
      <c r="F223" s="979" t="s">
        <v>4201</v>
      </c>
      <c r="G223" s="979" t="s">
        <v>6411</v>
      </c>
      <c r="H223" s="979">
        <v>907250</v>
      </c>
      <c r="I223" s="979">
        <v>348150</v>
      </c>
      <c r="J223" s="979">
        <v>0.41352892267490199</v>
      </c>
      <c r="K223" s="979">
        <v>375174.1150968048</v>
      </c>
      <c r="L223" s="979">
        <v>348150</v>
      </c>
      <c r="M223" s="979">
        <v>599</v>
      </c>
    </row>
    <row r="224" spans="1:13" ht="15">
      <c r="A224" s="979" t="s">
        <v>3399</v>
      </c>
      <c r="B224" s="1040" t="str">
        <f>CONCATENATE(LEFT(RIGHT(CONCATENATE("000",IFAData_TEA_1617!A224),6),3),"-",(RIGHT(RIGHT(CONCATENATE("000",IFAData_TEA_1617!A224),6),3)))</f>
        <v>015-912</v>
      </c>
      <c r="C224" s="979" t="s">
        <v>1934</v>
      </c>
      <c r="D224" s="979">
        <v>9</v>
      </c>
      <c r="E224" s="979">
        <v>2366</v>
      </c>
      <c r="F224" s="979" t="s">
        <v>4201</v>
      </c>
      <c r="G224" s="979" t="s">
        <v>4201</v>
      </c>
      <c r="H224" s="979">
        <v>907250</v>
      </c>
      <c r="I224" s="979">
        <v>0</v>
      </c>
      <c r="J224" s="979">
        <v>0</v>
      </c>
      <c r="K224" s="979">
        <v>0</v>
      </c>
      <c r="L224" s="979">
        <v>0</v>
      </c>
      <c r="M224" s="979">
        <v>599</v>
      </c>
    </row>
    <row r="225" spans="1:13" ht="15">
      <c r="A225" s="979" t="s">
        <v>3399</v>
      </c>
      <c r="B225" s="1040" t="str">
        <f>CONCATENATE(LEFT(RIGHT(CONCATENATE("000",IFAData_TEA_1617!A225),6),3),"-",(RIGHT(RIGHT(CONCATENATE("000",IFAData_TEA_1617!A225),6),3)))</f>
        <v>015-912</v>
      </c>
      <c r="C225" s="979" t="s">
        <v>1934</v>
      </c>
      <c r="D225" s="979">
        <v>6</v>
      </c>
      <c r="E225" s="979">
        <v>2368</v>
      </c>
      <c r="F225" s="979" t="s">
        <v>4197</v>
      </c>
      <c r="G225" s="979" t="s">
        <v>4197</v>
      </c>
      <c r="H225" s="979">
        <v>1856996</v>
      </c>
      <c r="I225" s="979">
        <v>0</v>
      </c>
      <c r="J225" s="979">
        <v>0</v>
      </c>
      <c r="K225" s="979">
        <v>0</v>
      </c>
      <c r="L225" s="979">
        <v>0</v>
      </c>
      <c r="M225" s="979">
        <v>599</v>
      </c>
    </row>
    <row r="226" spans="1:13" ht="15">
      <c r="A226" s="979" t="s">
        <v>3399</v>
      </c>
      <c r="B226" s="1040" t="str">
        <f>CONCATENATE(LEFT(RIGHT(CONCATENATE("000",IFAData_TEA_1617!A226),6),3),"-",(RIGHT(RIGHT(CONCATENATE("000",IFAData_TEA_1617!A226),6),3)))</f>
        <v>015-912</v>
      </c>
      <c r="C226" s="979" t="s">
        <v>1934</v>
      </c>
      <c r="D226" s="979">
        <v>6</v>
      </c>
      <c r="E226" s="979">
        <v>2368</v>
      </c>
      <c r="F226" s="979" t="s">
        <v>4197</v>
      </c>
      <c r="G226" s="979" t="s">
        <v>6411</v>
      </c>
      <c r="H226" s="979">
        <v>1856996</v>
      </c>
      <c r="I226" s="979">
        <v>489500</v>
      </c>
      <c r="J226" s="979">
        <v>0.2841304852565591</v>
      </c>
      <c r="K226" s="979">
        <v>527629.1745994892</v>
      </c>
      <c r="L226" s="979">
        <v>489500</v>
      </c>
      <c r="M226" s="979">
        <v>599</v>
      </c>
    </row>
    <row r="227" spans="1:13" ht="15">
      <c r="A227" s="979" t="s">
        <v>3399</v>
      </c>
      <c r="B227" s="1040" t="str">
        <f>CONCATENATE(LEFT(RIGHT(CONCATENATE("000",IFAData_TEA_1617!A227),6),3),"-",(RIGHT(RIGHT(CONCATENATE("000",IFAData_TEA_1617!A227),6),3)))</f>
        <v>015-912</v>
      </c>
      <c r="C227" s="979" t="s">
        <v>1934</v>
      </c>
      <c r="D227" s="979">
        <v>6</v>
      </c>
      <c r="E227" s="979">
        <v>2368</v>
      </c>
      <c r="F227" s="979" t="s">
        <v>4197</v>
      </c>
      <c r="G227" s="979" t="s">
        <v>4199</v>
      </c>
      <c r="H227" s="979">
        <v>1856996</v>
      </c>
      <c r="I227" s="979">
        <v>1233300</v>
      </c>
      <c r="J227" s="979">
        <v>0.71586951474344096</v>
      </c>
      <c r="K227" s="979">
        <v>1329366.8254005108</v>
      </c>
      <c r="L227" s="979">
        <v>1233300</v>
      </c>
      <c r="M227" s="979">
        <v>599</v>
      </c>
    </row>
    <row r="228" spans="1:13" ht="15">
      <c r="A228" s="979" t="s">
        <v>3399</v>
      </c>
      <c r="B228" s="1040" t="str">
        <f>CONCATENATE(LEFT(RIGHT(CONCATENATE("000",IFAData_TEA_1617!A228),6),3),"-",(RIGHT(RIGHT(CONCATENATE("000",IFAData_TEA_1617!A228),6),3)))</f>
        <v>015-912</v>
      </c>
      <c r="C228" s="979" t="s">
        <v>1934</v>
      </c>
      <c r="D228" s="979">
        <v>4</v>
      </c>
      <c r="E228" s="979">
        <v>2369</v>
      </c>
      <c r="F228" s="979" t="s">
        <v>4195</v>
      </c>
      <c r="G228" s="979" t="s">
        <v>4196</v>
      </c>
      <c r="H228" s="979">
        <v>2212705</v>
      </c>
      <c r="I228" s="979">
        <v>320775</v>
      </c>
      <c r="J228" s="979">
        <v>0.16426413355182301</v>
      </c>
      <c r="K228" s="979">
        <v>363468.06963078654</v>
      </c>
      <c r="L228" s="979">
        <v>320775</v>
      </c>
      <c r="M228" s="979">
        <v>599</v>
      </c>
    </row>
    <row r="229" spans="1:13" ht="15">
      <c r="A229" s="979" t="s">
        <v>3399</v>
      </c>
      <c r="B229" s="1040" t="str">
        <f>CONCATENATE(LEFT(RIGHT(CONCATENATE("000",IFAData_TEA_1617!A229),6),3),"-",(RIGHT(RIGHT(CONCATENATE("000",IFAData_TEA_1617!A229),6),3)))</f>
        <v>015-912</v>
      </c>
      <c r="C229" s="979" t="s">
        <v>1934</v>
      </c>
      <c r="D229" s="979">
        <v>8</v>
      </c>
      <c r="E229" s="979">
        <v>2370</v>
      </c>
      <c r="F229" s="979" t="s">
        <v>4200</v>
      </c>
      <c r="G229" s="979" t="s">
        <v>6196</v>
      </c>
      <c r="H229" s="979">
        <v>2355500</v>
      </c>
      <c r="I229" s="979">
        <v>1246600</v>
      </c>
      <c r="J229" s="979">
        <v>0.55461138052231174</v>
      </c>
      <c r="K229" s="979">
        <v>1306387.1068203053</v>
      </c>
      <c r="L229" s="979">
        <v>1246600</v>
      </c>
      <c r="M229" s="979">
        <v>599</v>
      </c>
    </row>
    <row r="230" spans="1:13" ht="15">
      <c r="A230" s="979" t="s">
        <v>3399</v>
      </c>
      <c r="B230" s="1040" t="str">
        <f>CONCATENATE(LEFT(RIGHT(CONCATENATE("000",IFAData_TEA_1617!A230),6),3),"-",(RIGHT(RIGHT(CONCATENATE("000",IFAData_TEA_1617!A230),6),3)))</f>
        <v>015-912</v>
      </c>
      <c r="C230" s="979" t="s">
        <v>1934</v>
      </c>
      <c r="D230" s="979">
        <v>8</v>
      </c>
      <c r="E230" s="979">
        <v>2370</v>
      </c>
      <c r="F230" s="979" t="s">
        <v>4200</v>
      </c>
      <c r="G230" s="979" t="s">
        <v>4200</v>
      </c>
      <c r="H230" s="979">
        <v>2355500</v>
      </c>
      <c r="I230" s="979">
        <v>0</v>
      </c>
      <c r="J230" s="979">
        <v>0</v>
      </c>
      <c r="K230" s="979">
        <v>0</v>
      </c>
      <c r="L230" s="979">
        <v>0</v>
      </c>
      <c r="M230" s="979">
        <v>599</v>
      </c>
    </row>
    <row r="231" spans="1:13" ht="15">
      <c r="A231" s="979" t="s">
        <v>3399</v>
      </c>
      <c r="B231" s="1040" t="str">
        <f>CONCATENATE(LEFT(RIGHT(CONCATENATE("000",IFAData_TEA_1617!A231),6),3),"-",(RIGHT(RIGHT(CONCATENATE("000",IFAData_TEA_1617!A231),6),3)))</f>
        <v>015-912</v>
      </c>
      <c r="C231" s="979" t="s">
        <v>1934</v>
      </c>
      <c r="D231" s="979">
        <v>6</v>
      </c>
      <c r="E231" s="979">
        <v>2368</v>
      </c>
      <c r="F231" s="979" t="s">
        <v>4197</v>
      </c>
      <c r="G231" s="979" t="s">
        <v>4198</v>
      </c>
      <c r="H231" s="979">
        <v>1856996</v>
      </c>
      <c r="I231" s="979">
        <v>0</v>
      </c>
      <c r="J231" s="979">
        <v>0</v>
      </c>
      <c r="K231" s="979">
        <v>0</v>
      </c>
      <c r="L231" s="979">
        <v>0</v>
      </c>
      <c r="M231" s="979">
        <v>599</v>
      </c>
    </row>
    <row r="232" spans="1:13" ht="15">
      <c r="A232" s="979" t="s">
        <v>3399</v>
      </c>
      <c r="B232" s="1040" t="str">
        <f>CONCATENATE(LEFT(RIGHT(CONCATENATE("000",IFAData_TEA_1617!A232),6),3),"-",(RIGHT(RIGHT(CONCATENATE("000",IFAData_TEA_1617!A232),6),3)))</f>
        <v>015-912</v>
      </c>
      <c r="C232" s="979" t="s">
        <v>1934</v>
      </c>
      <c r="D232" s="979">
        <v>9</v>
      </c>
      <c r="E232" s="979">
        <v>2367</v>
      </c>
      <c r="F232" s="979" t="s">
        <v>4202</v>
      </c>
      <c r="G232" s="979" t="s">
        <v>4202</v>
      </c>
      <c r="H232" s="979">
        <v>1378513</v>
      </c>
      <c r="I232" s="979">
        <v>488880</v>
      </c>
      <c r="J232" s="979">
        <v>0.26200662733994778</v>
      </c>
      <c r="K232" s="979">
        <v>361179.54187427345</v>
      </c>
      <c r="L232" s="979">
        <v>361179.54187427345</v>
      </c>
      <c r="M232" s="979">
        <v>599</v>
      </c>
    </row>
    <row r="233" spans="1:13" ht="15">
      <c r="A233" s="979" t="s">
        <v>3399</v>
      </c>
      <c r="B233" s="1040" t="str">
        <f>CONCATENATE(LEFT(RIGHT(CONCATENATE("000",IFAData_TEA_1617!A233),6),3),"-",(RIGHT(RIGHT(CONCATENATE("000",IFAData_TEA_1617!A233),6),3)))</f>
        <v>015-912</v>
      </c>
      <c r="C233" s="979" t="s">
        <v>1934</v>
      </c>
      <c r="D233" s="979">
        <v>8</v>
      </c>
      <c r="E233" s="979">
        <v>2370</v>
      </c>
      <c r="F233" s="979" t="s">
        <v>4200</v>
      </c>
      <c r="G233" s="979" t="s">
        <v>6411</v>
      </c>
      <c r="H233" s="979">
        <v>2355500</v>
      </c>
      <c r="I233" s="979">
        <v>1001100</v>
      </c>
      <c r="J233" s="979">
        <v>0.44538861947768832</v>
      </c>
      <c r="K233" s="979">
        <v>1049112.8931796949</v>
      </c>
      <c r="L233" s="979">
        <v>1001100</v>
      </c>
      <c r="M233" s="979">
        <v>599</v>
      </c>
    </row>
    <row r="234" spans="1:13" ht="15">
      <c r="A234" s="979" t="s">
        <v>3399</v>
      </c>
      <c r="B234" s="1040" t="str">
        <f>CONCATENATE(LEFT(RIGHT(CONCATENATE("000",IFAData_TEA_1617!A234),6),3),"-",(RIGHT(RIGHT(CONCATENATE("000",IFAData_TEA_1617!A234),6),3)))</f>
        <v>015-912</v>
      </c>
      <c r="C234" s="979" t="s">
        <v>1934</v>
      </c>
      <c r="D234" s="979">
        <v>9</v>
      </c>
      <c r="E234" s="979">
        <v>2367</v>
      </c>
      <c r="F234" s="979" t="s">
        <v>4202</v>
      </c>
      <c r="G234" s="979" t="s">
        <v>6824</v>
      </c>
      <c r="H234" s="979">
        <v>1378513</v>
      </c>
      <c r="I234" s="979">
        <v>1377027</v>
      </c>
      <c r="J234" s="979">
        <v>0.73799337266005216</v>
      </c>
      <c r="K234" s="979">
        <v>1017333.4581257264</v>
      </c>
      <c r="L234" s="979">
        <v>1017333.4581257264</v>
      </c>
      <c r="M234" s="979">
        <v>599</v>
      </c>
    </row>
    <row r="235" spans="1:13" ht="15">
      <c r="A235" s="979" t="s">
        <v>3400</v>
      </c>
      <c r="B235" s="1040" t="str">
        <f>CONCATENATE(LEFT(RIGHT(CONCATENATE("000",IFAData_TEA_1617!A235),6),3),"-",(RIGHT(RIGHT(CONCATENATE("000",IFAData_TEA_1617!A235),6),3)))</f>
        <v>015-915</v>
      </c>
      <c r="C235" s="979" t="s">
        <v>2289</v>
      </c>
      <c r="D235" s="979">
        <v>1</v>
      </c>
      <c r="E235" s="979">
        <v>2153</v>
      </c>
      <c r="F235" s="979" t="s">
        <v>4209</v>
      </c>
      <c r="G235" s="979" t="s">
        <v>4207</v>
      </c>
      <c r="H235" s="979">
        <v>3069626</v>
      </c>
      <c r="I235" s="979">
        <v>106141</v>
      </c>
      <c r="J235" s="979">
        <v>0.14149454369972619</v>
      </c>
      <c r="K235" s="979">
        <v>434335.33019881573</v>
      </c>
      <c r="L235" s="979">
        <v>106141</v>
      </c>
      <c r="M235" s="979">
        <v>599</v>
      </c>
    </row>
    <row r="236" spans="1:13" ht="15">
      <c r="A236" s="979" t="s">
        <v>3400</v>
      </c>
      <c r="B236" s="1040" t="str">
        <f>CONCATENATE(LEFT(RIGHT(CONCATENATE("000",IFAData_TEA_1617!A236),6),3),"-",(RIGHT(RIGHT(CONCATENATE("000",IFAData_TEA_1617!A236),6),3)))</f>
        <v>015-915</v>
      </c>
      <c r="C236" s="979" t="s">
        <v>2289</v>
      </c>
      <c r="D236" s="979">
        <v>1</v>
      </c>
      <c r="E236" s="979">
        <v>2152</v>
      </c>
      <c r="F236" s="979" t="s">
        <v>4203</v>
      </c>
      <c r="G236" s="979" t="s">
        <v>4204</v>
      </c>
      <c r="H236" s="979">
        <v>1368888</v>
      </c>
      <c r="I236" s="979">
        <v>0</v>
      </c>
      <c r="J236" s="979">
        <v>0</v>
      </c>
      <c r="K236" s="979">
        <v>0</v>
      </c>
      <c r="L236" s="979">
        <v>0</v>
      </c>
      <c r="M236" s="979">
        <v>599</v>
      </c>
    </row>
    <row r="237" spans="1:13" ht="15">
      <c r="A237" s="979" t="s">
        <v>3400</v>
      </c>
      <c r="B237" s="1040" t="str">
        <f>CONCATENATE(LEFT(RIGHT(CONCATENATE("000",IFAData_TEA_1617!A237),6),3),"-",(RIGHT(RIGHT(CONCATENATE("000",IFAData_TEA_1617!A237),6),3)))</f>
        <v>015-915</v>
      </c>
      <c r="C237" s="979" t="s">
        <v>2289</v>
      </c>
      <c r="D237" s="979">
        <v>1</v>
      </c>
      <c r="E237" s="979">
        <v>2152</v>
      </c>
      <c r="F237" s="979" t="s">
        <v>4203</v>
      </c>
      <c r="G237" s="979" t="s">
        <v>4207</v>
      </c>
      <c r="H237" s="979">
        <v>1368888</v>
      </c>
      <c r="I237" s="979">
        <v>610350</v>
      </c>
      <c r="J237" s="979">
        <v>0.44609640974066694</v>
      </c>
      <c r="K237" s="979">
        <v>610656.02213708207</v>
      </c>
      <c r="L237" s="979">
        <v>610350</v>
      </c>
      <c r="M237" s="979">
        <v>599</v>
      </c>
    </row>
    <row r="238" spans="1:13" ht="15">
      <c r="A238" s="979" t="s">
        <v>3400</v>
      </c>
      <c r="B238" s="1040" t="str">
        <f>CONCATENATE(LEFT(RIGHT(CONCATENATE("000",IFAData_TEA_1617!A238),6),3),"-",(RIGHT(RIGHT(CONCATENATE("000",IFAData_TEA_1617!A238),6),3)))</f>
        <v>015-915</v>
      </c>
      <c r="C238" s="979" t="s">
        <v>2289</v>
      </c>
      <c r="D238" s="979">
        <v>1</v>
      </c>
      <c r="E238" s="979">
        <v>2152</v>
      </c>
      <c r="F238" s="979" t="s">
        <v>4203</v>
      </c>
      <c r="G238" s="979" t="s">
        <v>4205</v>
      </c>
      <c r="H238" s="979">
        <v>1368888</v>
      </c>
      <c r="I238" s="979">
        <v>0</v>
      </c>
      <c r="J238" s="979">
        <v>0</v>
      </c>
      <c r="K238" s="979">
        <v>0</v>
      </c>
      <c r="L238" s="979">
        <v>0</v>
      </c>
      <c r="M238" s="979">
        <v>599</v>
      </c>
    </row>
    <row r="239" spans="1:13" ht="15">
      <c r="A239" s="979" t="s">
        <v>3400</v>
      </c>
      <c r="B239" s="1040" t="str">
        <f>CONCATENATE(LEFT(RIGHT(CONCATENATE("000",IFAData_TEA_1617!A239),6),3),"-",(RIGHT(RIGHT(CONCATENATE("000",IFAData_TEA_1617!A239),6),3)))</f>
        <v>015-915</v>
      </c>
      <c r="C239" s="979" t="s">
        <v>2289</v>
      </c>
      <c r="D239" s="979">
        <v>1</v>
      </c>
      <c r="E239" s="979">
        <v>2153</v>
      </c>
      <c r="F239" s="979" t="s">
        <v>4209</v>
      </c>
      <c r="G239" s="979" t="s">
        <v>6197</v>
      </c>
      <c r="H239" s="979">
        <v>3069626</v>
      </c>
      <c r="I239" s="979">
        <v>236782</v>
      </c>
      <c r="J239" s="979">
        <v>0.31564957034801411</v>
      </c>
      <c r="K239" s="979">
        <v>968926.12802909315</v>
      </c>
      <c r="L239" s="979">
        <v>236782</v>
      </c>
      <c r="M239" s="979">
        <v>599</v>
      </c>
    </row>
    <row r="240" spans="1:13" ht="15">
      <c r="A240" s="979" t="s">
        <v>3400</v>
      </c>
      <c r="B240" s="1040" t="str">
        <f>CONCATENATE(LEFT(RIGHT(CONCATENATE("000",IFAData_TEA_1617!A240),6),3),"-",(RIGHT(RIGHT(CONCATENATE("000",IFAData_TEA_1617!A240),6),3)))</f>
        <v>015-915</v>
      </c>
      <c r="C240" s="979" t="s">
        <v>2289</v>
      </c>
      <c r="D240" s="979">
        <v>1</v>
      </c>
      <c r="E240" s="979">
        <v>2153</v>
      </c>
      <c r="F240" s="979" t="s">
        <v>4209</v>
      </c>
      <c r="G240" s="979" t="s">
        <v>4206</v>
      </c>
      <c r="H240" s="979">
        <v>3069626</v>
      </c>
      <c r="I240" s="979">
        <v>100533</v>
      </c>
      <c r="J240" s="979">
        <v>0.13401862580684723</v>
      </c>
      <c r="K240" s="979">
        <v>411387.05826096924</v>
      </c>
      <c r="L240" s="979">
        <v>100533</v>
      </c>
      <c r="M240" s="979">
        <v>599</v>
      </c>
    </row>
    <row r="241" spans="1:13" ht="15">
      <c r="A241" s="979" t="s">
        <v>3400</v>
      </c>
      <c r="B241" s="1040" t="str">
        <f>CONCATENATE(LEFT(RIGHT(CONCATENATE("000",IFAData_TEA_1617!A241),6),3),"-",(RIGHT(RIGHT(CONCATENATE("000",IFAData_TEA_1617!A241),6),3)))</f>
        <v>015-915</v>
      </c>
      <c r="C241" s="979" t="s">
        <v>2289</v>
      </c>
      <c r="D241" s="979">
        <v>1</v>
      </c>
      <c r="E241" s="979">
        <v>2152</v>
      </c>
      <c r="F241" s="979" t="s">
        <v>4203</v>
      </c>
      <c r="G241" s="979" t="s">
        <v>4206</v>
      </c>
      <c r="H241" s="979">
        <v>1368888</v>
      </c>
      <c r="I241" s="979">
        <v>578098</v>
      </c>
      <c r="J241" s="979">
        <v>0.42252386708980105</v>
      </c>
      <c r="K241" s="979">
        <v>578387.85137282358</v>
      </c>
      <c r="L241" s="979">
        <v>578098</v>
      </c>
      <c r="M241" s="979">
        <v>599</v>
      </c>
    </row>
    <row r="242" spans="1:13" ht="15">
      <c r="A242" s="979" t="s">
        <v>3400</v>
      </c>
      <c r="B242" s="1040" t="str">
        <f>CONCATENATE(LEFT(RIGHT(CONCATENATE("000",IFAData_TEA_1617!A242),6),3),"-",(RIGHT(RIGHT(CONCATENATE("000",IFAData_TEA_1617!A242),6),3)))</f>
        <v>015-915</v>
      </c>
      <c r="C242" s="979" t="s">
        <v>2289</v>
      </c>
      <c r="D242" s="979">
        <v>1</v>
      </c>
      <c r="E242" s="979">
        <v>2153</v>
      </c>
      <c r="F242" s="979" t="s">
        <v>4209</v>
      </c>
      <c r="G242" s="979" t="s">
        <v>4208</v>
      </c>
      <c r="H242" s="979">
        <v>3069626</v>
      </c>
      <c r="I242" s="979">
        <v>306686</v>
      </c>
      <c r="J242" s="979">
        <v>0.4088372601454125</v>
      </c>
      <c r="K242" s="979">
        <v>1254977.4835111219</v>
      </c>
      <c r="L242" s="979">
        <v>306686</v>
      </c>
      <c r="M242" s="979">
        <v>599</v>
      </c>
    </row>
    <row r="243" spans="1:13" ht="15">
      <c r="A243" s="979" t="s">
        <v>3400</v>
      </c>
      <c r="B243" s="1040" t="str">
        <f>CONCATENATE(LEFT(RIGHT(CONCATENATE("000",IFAData_TEA_1617!A243),6),3),"-",(RIGHT(RIGHT(CONCATENATE("000",IFAData_TEA_1617!A243),6),3)))</f>
        <v>015-915</v>
      </c>
      <c r="C243" s="979" t="s">
        <v>2289</v>
      </c>
      <c r="D243" s="979">
        <v>1</v>
      </c>
      <c r="E243" s="979">
        <v>2152</v>
      </c>
      <c r="F243" s="979" t="s">
        <v>4203</v>
      </c>
      <c r="G243" s="979" t="s">
        <v>4208</v>
      </c>
      <c r="H243" s="979">
        <v>1368888</v>
      </c>
      <c r="I243" s="979">
        <v>179754</v>
      </c>
      <c r="J243" s="979">
        <v>0.13137972316953198</v>
      </c>
      <c r="K243" s="979">
        <v>179844.12649009429</v>
      </c>
      <c r="L243" s="979">
        <v>179754</v>
      </c>
      <c r="M243" s="979">
        <v>599</v>
      </c>
    </row>
    <row r="244" spans="1:13" ht="15">
      <c r="A244" s="979" t="s">
        <v>3400</v>
      </c>
      <c r="B244" s="1040" t="str">
        <f>CONCATENATE(LEFT(RIGHT(CONCATENATE("000",IFAData_TEA_1617!A244),6),3),"-",(RIGHT(RIGHT(CONCATENATE("000",IFAData_TEA_1617!A244),6),3)))</f>
        <v>015-915</v>
      </c>
      <c r="C244" s="979" t="s">
        <v>2289</v>
      </c>
      <c r="D244" s="979">
        <v>1</v>
      </c>
      <c r="E244" s="979">
        <v>2153</v>
      </c>
      <c r="F244" s="979" t="s">
        <v>4209</v>
      </c>
      <c r="G244" s="979" t="s">
        <v>4209</v>
      </c>
      <c r="H244" s="979">
        <v>3069626</v>
      </c>
      <c r="I244" s="979">
        <v>0</v>
      </c>
      <c r="J244" s="979">
        <v>0</v>
      </c>
      <c r="K244" s="979">
        <v>0</v>
      </c>
      <c r="L244" s="979">
        <v>0</v>
      </c>
      <c r="M244" s="979">
        <v>599</v>
      </c>
    </row>
    <row r="245" spans="1:13" ht="15">
      <c r="A245" s="979" t="s">
        <v>3400</v>
      </c>
      <c r="B245" s="1040" t="str">
        <f>CONCATENATE(LEFT(RIGHT(CONCATENATE("000",IFAData_TEA_1617!A245),6),3),"-",(RIGHT(RIGHT(CONCATENATE("000",IFAData_TEA_1617!A245),6),3)))</f>
        <v>015-915</v>
      </c>
      <c r="C245" s="979" t="s">
        <v>2289</v>
      </c>
      <c r="D245" s="979">
        <v>1</v>
      </c>
      <c r="E245" s="979">
        <v>2153</v>
      </c>
      <c r="F245" s="979" t="s">
        <v>4209</v>
      </c>
      <c r="G245" s="979" t="s">
        <v>4205</v>
      </c>
      <c r="H245" s="979">
        <v>3069626</v>
      </c>
      <c r="I245" s="979">
        <v>0</v>
      </c>
      <c r="J245" s="979">
        <v>0</v>
      </c>
      <c r="K245" s="979">
        <v>0</v>
      </c>
      <c r="L245" s="979">
        <v>0</v>
      </c>
      <c r="M245" s="979">
        <v>599</v>
      </c>
    </row>
    <row r="246" spans="1:13" ht="15">
      <c r="A246" s="979" t="s">
        <v>3400</v>
      </c>
      <c r="B246" s="1040" t="str">
        <f>CONCATENATE(LEFT(RIGHT(CONCATENATE("000",IFAData_TEA_1617!A246),6),3),"-",(RIGHT(RIGHT(CONCATENATE("000",IFAData_TEA_1617!A246),6),3)))</f>
        <v>015-915</v>
      </c>
      <c r="C246" s="979" t="s">
        <v>2289</v>
      </c>
      <c r="D246" s="979">
        <v>1</v>
      </c>
      <c r="E246" s="979">
        <v>2153</v>
      </c>
      <c r="F246" s="979" t="s">
        <v>4209</v>
      </c>
      <c r="G246" s="979" t="s">
        <v>4210</v>
      </c>
      <c r="H246" s="979">
        <v>3069626</v>
      </c>
      <c r="I246" s="979">
        <v>0</v>
      </c>
      <c r="J246" s="979">
        <v>0</v>
      </c>
      <c r="K246" s="979">
        <v>0</v>
      </c>
      <c r="L246" s="979">
        <v>0</v>
      </c>
      <c r="M246" s="979">
        <v>599</v>
      </c>
    </row>
    <row r="247" spans="1:13" ht="15">
      <c r="A247" s="979" t="s">
        <v>3400</v>
      </c>
      <c r="B247" s="1040" t="str">
        <f>CONCATENATE(LEFT(RIGHT(CONCATENATE("000",IFAData_TEA_1617!A247),6),3),"-",(RIGHT(RIGHT(CONCATENATE("000",IFAData_TEA_1617!A247),6),3)))</f>
        <v>015-915</v>
      </c>
      <c r="C247" s="979" t="s">
        <v>2289</v>
      </c>
      <c r="D247" s="979">
        <v>1</v>
      </c>
      <c r="E247" s="979">
        <v>2152</v>
      </c>
      <c r="F247" s="979" t="s">
        <v>4203</v>
      </c>
      <c r="G247" s="979" t="s">
        <v>4203</v>
      </c>
      <c r="H247" s="979">
        <v>1368888</v>
      </c>
      <c r="I247" s="979">
        <v>0</v>
      </c>
      <c r="J247" s="979">
        <v>0</v>
      </c>
      <c r="K247" s="979">
        <v>0</v>
      </c>
      <c r="L247" s="979">
        <v>0</v>
      </c>
      <c r="M247" s="979">
        <v>599</v>
      </c>
    </row>
    <row r="248" spans="1:13" ht="15">
      <c r="A248" s="979" t="s">
        <v>3400</v>
      </c>
      <c r="B248" s="1040" t="str">
        <f>CONCATENATE(LEFT(RIGHT(CONCATENATE("000",IFAData_TEA_1617!A248),6),3),"-",(RIGHT(RIGHT(CONCATENATE("000",IFAData_TEA_1617!A248),6),3)))</f>
        <v>015-915</v>
      </c>
      <c r="C248" s="979" t="s">
        <v>2289</v>
      </c>
      <c r="D248" s="979">
        <v>1</v>
      </c>
      <c r="E248" s="979">
        <v>2153</v>
      </c>
      <c r="F248" s="979" t="s">
        <v>4209</v>
      </c>
      <c r="G248" s="979" t="s">
        <v>4204</v>
      </c>
      <c r="H248" s="979">
        <v>3069626</v>
      </c>
      <c r="I248" s="979">
        <v>0</v>
      </c>
      <c r="J248" s="979">
        <v>0</v>
      </c>
      <c r="K248" s="979">
        <v>0</v>
      </c>
      <c r="L248" s="979">
        <v>0</v>
      </c>
      <c r="M248" s="979">
        <v>599</v>
      </c>
    </row>
    <row r="249" spans="1:13" ht="15">
      <c r="A249" s="979" t="s">
        <v>3401</v>
      </c>
      <c r="B249" s="1040" t="str">
        <f>CONCATENATE(LEFT(RIGHT(CONCATENATE("000",IFAData_TEA_1617!A249),6),3),"-",(RIGHT(RIGHT(CONCATENATE("000",IFAData_TEA_1617!A249),6),3)))</f>
        <v>015-916</v>
      </c>
      <c r="C249" s="979" t="s">
        <v>408</v>
      </c>
      <c r="D249" s="979">
        <v>6</v>
      </c>
      <c r="E249" s="979">
        <v>1938</v>
      </c>
      <c r="F249" s="979" t="s">
        <v>4212</v>
      </c>
      <c r="G249" s="979" t="s">
        <v>4212</v>
      </c>
      <c r="H249" s="979">
        <v>3992710</v>
      </c>
      <c r="I249" s="979">
        <v>0</v>
      </c>
      <c r="J249" s="979">
        <v>0</v>
      </c>
      <c r="K249" s="979">
        <v>0</v>
      </c>
      <c r="L249" s="979">
        <v>0</v>
      </c>
      <c r="M249" s="979">
        <v>599</v>
      </c>
    </row>
    <row r="250" spans="1:13" ht="15">
      <c r="A250" s="979" t="s">
        <v>3401</v>
      </c>
      <c r="B250" s="1040" t="str">
        <f>CONCATENATE(LEFT(RIGHT(CONCATENATE("000",IFAData_TEA_1617!A250),6),3),"-",(RIGHT(RIGHT(CONCATENATE("000",IFAData_TEA_1617!A250),6),3)))</f>
        <v>015-916</v>
      </c>
      <c r="C250" s="979" t="s">
        <v>408</v>
      </c>
      <c r="D250" s="979">
        <v>9</v>
      </c>
      <c r="E250" s="979">
        <v>1939</v>
      </c>
      <c r="F250" s="979" t="s">
        <v>4213</v>
      </c>
      <c r="G250" s="979" t="s">
        <v>4213</v>
      </c>
      <c r="H250" s="979">
        <v>4799160</v>
      </c>
      <c r="I250" s="979">
        <v>7568034</v>
      </c>
      <c r="J250" s="979">
        <v>1</v>
      </c>
      <c r="K250" s="979">
        <v>4799160</v>
      </c>
      <c r="L250" s="979">
        <v>4799160</v>
      </c>
      <c r="M250" s="979">
        <v>599</v>
      </c>
    </row>
    <row r="251" spans="1:13" ht="15">
      <c r="A251" s="979" t="s">
        <v>3401</v>
      </c>
      <c r="B251" s="1040" t="str">
        <f>CONCATENATE(LEFT(RIGHT(CONCATENATE("000",IFAData_TEA_1617!A251),6),3),"-",(RIGHT(RIGHT(CONCATENATE("000",IFAData_TEA_1617!A251),6),3)))</f>
        <v>015-916</v>
      </c>
      <c r="C251" s="979" t="s">
        <v>408</v>
      </c>
      <c r="D251" s="979">
        <v>6</v>
      </c>
      <c r="E251" s="979">
        <v>1938</v>
      </c>
      <c r="F251" s="979" t="s">
        <v>4212</v>
      </c>
      <c r="G251" s="979" t="s">
        <v>4214</v>
      </c>
      <c r="H251" s="979">
        <v>3992710</v>
      </c>
      <c r="I251" s="979">
        <v>0</v>
      </c>
      <c r="J251" s="979">
        <v>0</v>
      </c>
      <c r="K251" s="979">
        <v>0</v>
      </c>
      <c r="L251" s="979">
        <v>0</v>
      </c>
      <c r="M251" s="979">
        <v>599</v>
      </c>
    </row>
    <row r="252" spans="1:13" ht="15">
      <c r="A252" s="979" t="s">
        <v>3401</v>
      </c>
      <c r="B252" s="1040" t="str">
        <f>CONCATENATE(LEFT(RIGHT(CONCATENATE("000",IFAData_TEA_1617!A252),6),3),"-",(RIGHT(RIGHT(CONCATENATE("000",IFAData_TEA_1617!A252),6),3)))</f>
        <v>015-916</v>
      </c>
      <c r="C252" s="979" t="s">
        <v>408</v>
      </c>
      <c r="D252" s="979">
        <v>1</v>
      </c>
      <c r="E252" s="979">
        <v>1937</v>
      </c>
      <c r="F252" s="979" t="s">
        <v>4211</v>
      </c>
      <c r="G252" s="979" t="s">
        <v>4211</v>
      </c>
      <c r="H252" s="979">
        <v>738000</v>
      </c>
      <c r="I252" s="979">
        <v>0</v>
      </c>
      <c r="J252" s="979">
        <v>0</v>
      </c>
      <c r="K252" s="979"/>
      <c r="L252" s="979">
        <v>0</v>
      </c>
      <c r="M252" s="979">
        <v>599</v>
      </c>
    </row>
    <row r="253" spans="1:13" ht="15">
      <c r="A253" s="979" t="s">
        <v>3401</v>
      </c>
      <c r="B253" s="1040" t="str">
        <f>CONCATENATE(LEFT(RIGHT(CONCATENATE("000",IFAData_TEA_1617!A253),6),3),"-",(RIGHT(RIGHT(CONCATENATE("000",IFAData_TEA_1617!A253),6),3)))</f>
        <v>015-916</v>
      </c>
      <c r="C253" s="979" t="s">
        <v>408</v>
      </c>
      <c r="D253" s="979">
        <v>6</v>
      </c>
      <c r="E253" s="979">
        <v>1938</v>
      </c>
      <c r="F253" s="979" t="s">
        <v>4212</v>
      </c>
      <c r="G253" s="979" t="s">
        <v>4215</v>
      </c>
      <c r="H253" s="979">
        <v>3992710</v>
      </c>
      <c r="I253" s="979">
        <v>255642</v>
      </c>
      <c r="J253" s="979">
        <v>6.3559619122633498E-2</v>
      </c>
      <c r="K253" s="979">
        <v>253775.12686712999</v>
      </c>
      <c r="L253" s="979">
        <v>253775.12686712999</v>
      </c>
      <c r="M253" s="979">
        <v>599</v>
      </c>
    </row>
    <row r="254" spans="1:13" ht="15">
      <c r="A254" s="979" t="s">
        <v>3401</v>
      </c>
      <c r="B254" s="1040" t="str">
        <f>CONCATENATE(LEFT(RIGHT(CONCATENATE("000",IFAData_TEA_1617!A254),6),3),"-",(RIGHT(RIGHT(CONCATENATE("000",IFAData_TEA_1617!A254),6),3)))</f>
        <v>015-916</v>
      </c>
      <c r="C254" s="979" t="s">
        <v>408</v>
      </c>
      <c r="D254" s="979">
        <v>6</v>
      </c>
      <c r="E254" s="979">
        <v>1938</v>
      </c>
      <c r="F254" s="979" t="s">
        <v>4212</v>
      </c>
      <c r="G254" s="979" t="s">
        <v>4213</v>
      </c>
      <c r="H254" s="979">
        <v>3992710</v>
      </c>
      <c r="I254" s="979">
        <v>3766440</v>
      </c>
      <c r="J254" s="979">
        <v>0.93644038087736647</v>
      </c>
      <c r="K254" s="979">
        <v>3738934.8731328701</v>
      </c>
      <c r="L254" s="979">
        <v>3738934.8731328701</v>
      </c>
      <c r="M254" s="979">
        <v>599</v>
      </c>
    </row>
    <row r="255" spans="1:13" ht="15">
      <c r="A255" s="979" t="s">
        <v>3402</v>
      </c>
      <c r="B255" s="1040" t="str">
        <f>CONCATENATE(LEFT(RIGHT(CONCATENATE("000",IFAData_TEA_1617!A255),6),3),"-",(RIGHT(RIGHT(CONCATENATE("000",IFAData_TEA_1617!A255),6),3)))</f>
        <v>015-917</v>
      </c>
      <c r="C255" s="979" t="s">
        <v>1933</v>
      </c>
      <c r="D255" s="979">
        <v>8</v>
      </c>
      <c r="E255" s="979">
        <v>2364</v>
      </c>
      <c r="F255" s="979" t="s">
        <v>4227</v>
      </c>
      <c r="G255" s="979" t="s">
        <v>6412</v>
      </c>
      <c r="H255" s="979">
        <v>1193500</v>
      </c>
      <c r="I255" s="979">
        <v>635250</v>
      </c>
      <c r="J255" s="979">
        <v>0.37506243660396832</v>
      </c>
      <c r="K255" s="979">
        <v>447637.01808683621</v>
      </c>
      <c r="L255" s="979">
        <v>447637.01808683621</v>
      </c>
      <c r="M255" s="979">
        <v>599</v>
      </c>
    </row>
    <row r="256" spans="1:13" ht="15">
      <c r="A256" s="979" t="s">
        <v>3402</v>
      </c>
      <c r="B256" s="1040" t="str">
        <f>CONCATENATE(LEFT(RIGHT(CONCATENATE("000",IFAData_TEA_1617!A256),6),3),"-",(RIGHT(RIGHT(CONCATENATE("000",IFAData_TEA_1617!A256),6),3)))</f>
        <v>015-917</v>
      </c>
      <c r="C256" s="979" t="s">
        <v>1933</v>
      </c>
      <c r="D256" s="979">
        <v>8</v>
      </c>
      <c r="E256" s="979">
        <v>2364</v>
      </c>
      <c r="F256" s="979" t="s">
        <v>4227</v>
      </c>
      <c r="G256" s="979" t="s">
        <v>4227</v>
      </c>
      <c r="H256" s="979">
        <v>1193500</v>
      </c>
      <c r="I256" s="979">
        <v>713393</v>
      </c>
      <c r="J256" s="979">
        <v>0.42119939682993274</v>
      </c>
      <c r="K256" s="979">
        <v>502701.48011652473</v>
      </c>
      <c r="L256" s="979">
        <v>502701.48011652473</v>
      </c>
      <c r="M256" s="979">
        <v>599</v>
      </c>
    </row>
    <row r="257" spans="1:13" ht="15">
      <c r="A257" s="979" t="s">
        <v>3402</v>
      </c>
      <c r="B257" s="1040" t="str">
        <f>CONCATENATE(LEFT(RIGHT(CONCATENATE("000",IFAData_TEA_1617!A257),6),3),"-",(RIGHT(RIGHT(CONCATENATE("000",IFAData_TEA_1617!A257),6),3)))</f>
        <v>015-917</v>
      </c>
      <c r="C257" s="979" t="s">
        <v>1933</v>
      </c>
      <c r="D257" s="979">
        <v>6</v>
      </c>
      <c r="E257" s="979">
        <v>2363</v>
      </c>
      <c r="F257" s="979" t="s">
        <v>4222</v>
      </c>
      <c r="G257" s="979" t="s">
        <v>4222</v>
      </c>
      <c r="H257" s="979">
        <v>1121000</v>
      </c>
      <c r="I257" s="979">
        <v>0</v>
      </c>
      <c r="J257" s="979">
        <v>0</v>
      </c>
      <c r="K257" s="979">
        <v>0</v>
      </c>
      <c r="L257" s="979">
        <v>0</v>
      </c>
      <c r="M257" s="979">
        <v>599</v>
      </c>
    </row>
    <row r="258" spans="1:13" ht="15">
      <c r="A258" s="979" t="s">
        <v>3402</v>
      </c>
      <c r="B258" s="1040" t="str">
        <f>CONCATENATE(LEFT(RIGHT(CONCATENATE("000",IFAData_TEA_1617!A258),6),3),"-",(RIGHT(RIGHT(CONCATENATE("000",IFAData_TEA_1617!A258),6),3)))</f>
        <v>015-917</v>
      </c>
      <c r="C258" s="979" t="s">
        <v>1933</v>
      </c>
      <c r="D258" s="979">
        <v>6</v>
      </c>
      <c r="E258" s="979">
        <v>2363</v>
      </c>
      <c r="F258" s="979" t="s">
        <v>4222</v>
      </c>
      <c r="G258" s="979" t="s">
        <v>4224</v>
      </c>
      <c r="H258" s="979">
        <v>1121000</v>
      </c>
      <c r="I258" s="979">
        <v>609300</v>
      </c>
      <c r="J258" s="979">
        <v>0.63422504423857606</v>
      </c>
      <c r="K258" s="979">
        <v>710966.27459144371</v>
      </c>
      <c r="L258" s="979">
        <v>609300</v>
      </c>
      <c r="M258" s="979">
        <v>599</v>
      </c>
    </row>
    <row r="259" spans="1:13" ht="15">
      <c r="A259" s="979" t="s">
        <v>3402</v>
      </c>
      <c r="B259" s="1040" t="str">
        <f>CONCATENATE(LEFT(RIGHT(CONCATENATE("000",IFAData_TEA_1617!A259),6),3),"-",(RIGHT(RIGHT(CONCATENATE("000",IFAData_TEA_1617!A259),6),3)))</f>
        <v>015-917</v>
      </c>
      <c r="C259" s="979" t="s">
        <v>1933</v>
      </c>
      <c r="D259" s="979">
        <v>3</v>
      </c>
      <c r="E259" s="979">
        <v>2360</v>
      </c>
      <c r="F259" s="979" t="s">
        <v>4217</v>
      </c>
      <c r="G259" s="979" t="s">
        <v>4217</v>
      </c>
      <c r="H259" s="979">
        <v>441314</v>
      </c>
      <c r="I259" s="979">
        <v>0</v>
      </c>
      <c r="J259" s="979">
        <v>0</v>
      </c>
      <c r="K259" s="979">
        <v>0</v>
      </c>
      <c r="L259" s="979">
        <v>0</v>
      </c>
      <c r="M259" s="979">
        <v>199</v>
      </c>
    </row>
    <row r="260" spans="1:13" ht="15">
      <c r="A260" s="979" t="s">
        <v>3402</v>
      </c>
      <c r="B260" s="1040" t="str">
        <f>CONCATENATE(LEFT(RIGHT(CONCATENATE("000",IFAData_TEA_1617!A260),6),3),"-",(RIGHT(RIGHT(CONCATENATE("000",IFAData_TEA_1617!A260),6),3)))</f>
        <v>015-917</v>
      </c>
      <c r="C260" s="979" t="s">
        <v>1933</v>
      </c>
      <c r="D260" s="979">
        <v>2</v>
      </c>
      <c r="E260" s="979">
        <v>2362</v>
      </c>
      <c r="F260" s="979" t="s">
        <v>4216</v>
      </c>
      <c r="G260" s="979" t="s">
        <v>4216</v>
      </c>
      <c r="H260" s="979">
        <v>520585</v>
      </c>
      <c r="I260" s="979">
        <v>0</v>
      </c>
      <c r="J260" s="979">
        <v>0</v>
      </c>
      <c r="K260" s="979"/>
      <c r="L260" s="979">
        <v>0</v>
      </c>
      <c r="M260" s="979">
        <v>199</v>
      </c>
    </row>
    <row r="261" spans="1:13" ht="15">
      <c r="A261" s="979" t="s">
        <v>3402</v>
      </c>
      <c r="B261" s="1040" t="str">
        <f>CONCATENATE(LEFT(RIGHT(CONCATENATE("000",IFAData_TEA_1617!A261),6),3),"-",(RIGHT(RIGHT(CONCATENATE("000",IFAData_TEA_1617!A261),6),3)))</f>
        <v>015-917</v>
      </c>
      <c r="C261" s="979" t="s">
        <v>1933</v>
      </c>
      <c r="D261" s="979">
        <v>6</v>
      </c>
      <c r="E261" s="979">
        <v>2363</v>
      </c>
      <c r="F261" s="979" t="s">
        <v>4222</v>
      </c>
      <c r="G261" s="979" t="s">
        <v>4223</v>
      </c>
      <c r="H261" s="979">
        <v>1121000</v>
      </c>
      <c r="I261" s="979">
        <v>351400</v>
      </c>
      <c r="J261" s="979">
        <v>0.36577495576142394</v>
      </c>
      <c r="K261" s="979">
        <v>410033.72540855623</v>
      </c>
      <c r="L261" s="979">
        <v>351400</v>
      </c>
      <c r="M261" s="979">
        <v>599</v>
      </c>
    </row>
    <row r="262" spans="1:13" ht="15">
      <c r="A262" s="979" t="s">
        <v>3402</v>
      </c>
      <c r="B262" s="1040" t="str">
        <f>CONCATENATE(LEFT(RIGHT(CONCATENATE("000",IFAData_TEA_1617!A262),6),3),"-",(RIGHT(RIGHT(CONCATENATE("000",IFAData_TEA_1617!A262),6),3)))</f>
        <v>015-917</v>
      </c>
      <c r="C262" s="979" t="s">
        <v>1933</v>
      </c>
      <c r="D262" s="979">
        <v>3</v>
      </c>
      <c r="E262" s="979">
        <v>2360</v>
      </c>
      <c r="F262" s="979" t="s">
        <v>4217</v>
      </c>
      <c r="G262" s="979" t="s">
        <v>4218</v>
      </c>
      <c r="H262" s="979">
        <v>441314</v>
      </c>
      <c r="I262" s="979">
        <v>291052</v>
      </c>
      <c r="J262" s="979">
        <v>1</v>
      </c>
      <c r="K262" s="979">
        <v>441314</v>
      </c>
      <c r="L262" s="979">
        <v>291052</v>
      </c>
      <c r="M262" s="979">
        <v>599</v>
      </c>
    </row>
    <row r="263" spans="1:13" ht="15">
      <c r="A263" s="979" t="s">
        <v>3402</v>
      </c>
      <c r="B263" s="1040" t="str">
        <f>CONCATENATE(LEFT(RIGHT(CONCATENATE("000",IFAData_TEA_1617!A263),6),3),"-",(RIGHT(RIGHT(CONCATENATE("000",IFAData_TEA_1617!A263),6),3)))</f>
        <v>015-917</v>
      </c>
      <c r="C263" s="979" t="s">
        <v>1933</v>
      </c>
      <c r="D263" s="979">
        <v>4</v>
      </c>
      <c r="E263" s="979">
        <v>2359</v>
      </c>
      <c r="F263" s="979" t="s">
        <v>4219</v>
      </c>
      <c r="G263" s="979" t="s">
        <v>4219</v>
      </c>
      <c r="H263" s="979">
        <v>366250</v>
      </c>
      <c r="I263" s="979">
        <v>0</v>
      </c>
      <c r="J263" s="979">
        <v>0</v>
      </c>
      <c r="K263" s="979">
        <v>0</v>
      </c>
      <c r="L263" s="979">
        <v>0</v>
      </c>
      <c r="M263" s="979">
        <v>199</v>
      </c>
    </row>
    <row r="264" spans="1:13" ht="15">
      <c r="A264" s="979" t="s">
        <v>3402</v>
      </c>
      <c r="B264" s="1040" t="str">
        <f>CONCATENATE(LEFT(RIGHT(CONCATENATE("000",IFAData_TEA_1617!A264),6),3),"-",(RIGHT(RIGHT(CONCATENATE("000",IFAData_TEA_1617!A264),6),3)))</f>
        <v>015-917</v>
      </c>
      <c r="C264" s="979" t="s">
        <v>1933</v>
      </c>
      <c r="D264" s="979">
        <v>4</v>
      </c>
      <c r="E264" s="979">
        <v>2359</v>
      </c>
      <c r="F264" s="979" t="s">
        <v>4219</v>
      </c>
      <c r="G264" s="979" t="s">
        <v>4218</v>
      </c>
      <c r="H264" s="979">
        <v>366250</v>
      </c>
      <c r="I264" s="979">
        <v>334247</v>
      </c>
      <c r="J264" s="979">
        <v>1</v>
      </c>
      <c r="K264" s="979">
        <v>366250</v>
      </c>
      <c r="L264" s="979">
        <v>334247</v>
      </c>
      <c r="M264" s="979">
        <v>599</v>
      </c>
    </row>
    <row r="265" spans="1:13" ht="15">
      <c r="A265" s="979" t="s">
        <v>3402</v>
      </c>
      <c r="B265" s="1040" t="str">
        <f>CONCATENATE(LEFT(RIGHT(CONCATENATE("000",IFAData_TEA_1617!A265),6),3),"-",(RIGHT(RIGHT(CONCATENATE("000",IFAData_TEA_1617!A265),6),3)))</f>
        <v>015-917</v>
      </c>
      <c r="C265" s="979" t="s">
        <v>1933</v>
      </c>
      <c r="D265" s="979">
        <v>4</v>
      </c>
      <c r="E265" s="979">
        <v>2361</v>
      </c>
      <c r="F265" s="979" t="s">
        <v>4220</v>
      </c>
      <c r="G265" s="979" t="s">
        <v>4220</v>
      </c>
      <c r="H265" s="979">
        <v>518175</v>
      </c>
      <c r="I265" s="979">
        <v>0</v>
      </c>
      <c r="J265" s="979">
        <v>0</v>
      </c>
      <c r="K265" s="979">
        <v>0</v>
      </c>
      <c r="L265" s="979">
        <v>0</v>
      </c>
      <c r="M265" s="979">
        <v>599</v>
      </c>
    </row>
    <row r="266" spans="1:13" ht="15">
      <c r="A266" s="979" t="s">
        <v>3402</v>
      </c>
      <c r="B266" s="1040" t="str">
        <f>CONCATENATE(LEFT(RIGHT(CONCATENATE("000",IFAData_TEA_1617!A266),6),3),"-",(RIGHT(RIGHT(CONCATENATE("000",IFAData_TEA_1617!A266),6),3)))</f>
        <v>015-917</v>
      </c>
      <c r="C266" s="979" t="s">
        <v>1933</v>
      </c>
      <c r="D266" s="979">
        <v>8</v>
      </c>
      <c r="E266" s="979">
        <v>2364</v>
      </c>
      <c r="F266" s="979" t="s">
        <v>4227</v>
      </c>
      <c r="G266" s="979" t="s">
        <v>6413</v>
      </c>
      <c r="H266" s="979">
        <v>1193500</v>
      </c>
      <c r="I266" s="979">
        <v>345075</v>
      </c>
      <c r="J266" s="979">
        <v>0.20373816656609897</v>
      </c>
      <c r="K266" s="979">
        <v>243161.50179663912</v>
      </c>
      <c r="L266" s="979">
        <v>243161.50179663912</v>
      </c>
      <c r="M266" s="979">
        <v>599</v>
      </c>
    </row>
    <row r="267" spans="1:13" ht="15">
      <c r="A267" s="979" t="s">
        <v>3402</v>
      </c>
      <c r="B267" s="1040" t="str">
        <f>CONCATENATE(LEFT(RIGHT(CONCATENATE("000",IFAData_TEA_1617!A267),6),3),"-",(RIGHT(RIGHT(CONCATENATE("000",IFAData_TEA_1617!A267),6),3)))</f>
        <v>015-917</v>
      </c>
      <c r="C267" s="979" t="s">
        <v>1933</v>
      </c>
      <c r="D267" s="979">
        <v>4</v>
      </c>
      <c r="E267" s="979">
        <v>2361</v>
      </c>
      <c r="F267" s="979" t="s">
        <v>4220</v>
      </c>
      <c r="G267" s="979" t="s">
        <v>4221</v>
      </c>
      <c r="H267" s="979">
        <v>518175</v>
      </c>
      <c r="I267" s="979">
        <v>438361</v>
      </c>
      <c r="J267" s="979">
        <v>1</v>
      </c>
      <c r="K267" s="979">
        <v>518175</v>
      </c>
      <c r="L267" s="979">
        <v>438361</v>
      </c>
      <c r="M267" s="979">
        <v>599</v>
      </c>
    </row>
    <row r="268" spans="1:13" ht="15">
      <c r="A268" s="979" t="s">
        <v>3402</v>
      </c>
      <c r="B268" s="1040" t="str">
        <f>CONCATENATE(LEFT(RIGHT(CONCATENATE("000",IFAData_TEA_1617!A268),6),3),"-",(RIGHT(RIGHT(CONCATENATE("000",IFAData_TEA_1617!A268),6),3)))</f>
        <v>015-917</v>
      </c>
      <c r="C268" s="979" t="s">
        <v>1933</v>
      </c>
      <c r="D268" s="979">
        <v>7</v>
      </c>
      <c r="E268" s="979">
        <v>2365</v>
      </c>
      <c r="F268" s="979" t="s">
        <v>4225</v>
      </c>
      <c r="G268" s="979" t="s">
        <v>4225</v>
      </c>
      <c r="H268" s="979">
        <v>1207669</v>
      </c>
      <c r="I268" s="979">
        <v>0</v>
      </c>
      <c r="J268" s="979">
        <v>0</v>
      </c>
      <c r="K268" s="979">
        <v>0</v>
      </c>
      <c r="L268" s="979">
        <v>0</v>
      </c>
      <c r="M268" s="979">
        <v>599</v>
      </c>
    </row>
    <row r="269" spans="1:13" ht="15">
      <c r="A269" s="979" t="s">
        <v>3402</v>
      </c>
      <c r="B269" s="1040" t="str">
        <f>CONCATENATE(LEFT(RIGHT(CONCATENATE("000",IFAData_TEA_1617!A269),6),3),"-",(RIGHT(RIGHT(CONCATENATE("000",IFAData_TEA_1617!A269),6),3)))</f>
        <v>015-917</v>
      </c>
      <c r="C269" s="979" t="s">
        <v>1933</v>
      </c>
      <c r="D269" s="979">
        <v>7</v>
      </c>
      <c r="E269" s="979">
        <v>2365</v>
      </c>
      <c r="F269" s="979" t="s">
        <v>4225</v>
      </c>
      <c r="G269" s="979" t="s">
        <v>4226</v>
      </c>
      <c r="H269" s="979">
        <v>1207669</v>
      </c>
      <c r="I269" s="979">
        <v>1055163</v>
      </c>
      <c r="J269" s="979">
        <v>1</v>
      </c>
      <c r="K269" s="979">
        <v>1207669</v>
      </c>
      <c r="L269" s="979">
        <v>1055163</v>
      </c>
      <c r="M269" s="979">
        <v>599</v>
      </c>
    </row>
    <row r="270" spans="1:13" ht="15">
      <c r="A270" s="979" t="s">
        <v>3403</v>
      </c>
      <c r="B270" s="1040" t="str">
        <f>CONCATENATE(LEFT(RIGHT(CONCATENATE("000",IFAData_TEA_1617!A270),6),3),"-",(RIGHT(RIGHT(CONCATENATE("000",IFAData_TEA_1617!A270),6),3)))</f>
        <v>016-902</v>
      </c>
      <c r="C270" s="979" t="s">
        <v>798</v>
      </c>
      <c r="D270" s="979">
        <v>2</v>
      </c>
      <c r="E270" s="979">
        <v>1613</v>
      </c>
      <c r="F270" s="979" t="s">
        <v>4228</v>
      </c>
      <c r="G270" s="979" t="s">
        <v>4228</v>
      </c>
      <c r="H270" s="979">
        <v>248495</v>
      </c>
      <c r="I270" s="979">
        <v>0</v>
      </c>
      <c r="J270" s="979">
        <v>0</v>
      </c>
      <c r="K270" s="979">
        <v>0</v>
      </c>
      <c r="L270" s="979">
        <v>0</v>
      </c>
      <c r="M270" s="979">
        <v>599</v>
      </c>
    </row>
    <row r="271" spans="1:13" ht="15">
      <c r="A271" s="979" t="s">
        <v>3403</v>
      </c>
      <c r="B271" s="1040" t="str">
        <f>CONCATENATE(LEFT(RIGHT(CONCATENATE("000",IFAData_TEA_1617!A271),6),3),"-",(RIGHT(RIGHT(CONCATENATE("000",IFAData_TEA_1617!A271),6),3)))</f>
        <v>016-902</v>
      </c>
      <c r="C271" s="979" t="s">
        <v>798</v>
      </c>
      <c r="D271" s="979">
        <v>2</v>
      </c>
      <c r="E271" s="979">
        <v>1613</v>
      </c>
      <c r="F271" s="979" t="s">
        <v>4228</v>
      </c>
      <c r="G271" s="979" t="s">
        <v>6198</v>
      </c>
      <c r="H271" s="979">
        <v>248495</v>
      </c>
      <c r="I271" s="979">
        <v>599919</v>
      </c>
      <c r="J271" s="979">
        <v>1</v>
      </c>
      <c r="K271" s="979">
        <v>248495</v>
      </c>
      <c r="L271" s="979">
        <v>248495</v>
      </c>
      <c r="M271" s="979">
        <v>599</v>
      </c>
    </row>
    <row r="272" spans="1:13" ht="15">
      <c r="A272" s="979" t="s">
        <v>3403</v>
      </c>
      <c r="B272" s="1040" t="str">
        <f>CONCATENATE(LEFT(RIGHT(CONCATENATE("000",IFAData_TEA_1617!A272),6),3),"-",(RIGHT(RIGHT(CONCATENATE("000",IFAData_TEA_1617!A272),6),3)))</f>
        <v>016-902</v>
      </c>
      <c r="C272" s="979" t="s">
        <v>798</v>
      </c>
      <c r="D272" s="979">
        <v>2</v>
      </c>
      <c r="E272" s="979">
        <v>1613</v>
      </c>
      <c r="F272" s="979" t="s">
        <v>4228</v>
      </c>
      <c r="G272" s="979" t="s">
        <v>4229</v>
      </c>
      <c r="H272" s="979">
        <v>248495</v>
      </c>
      <c r="I272" s="979">
        <v>0</v>
      </c>
      <c r="J272" s="979">
        <v>0</v>
      </c>
      <c r="K272" s="979">
        <v>0</v>
      </c>
      <c r="L272" s="979">
        <v>0</v>
      </c>
      <c r="M272" s="979">
        <v>599</v>
      </c>
    </row>
    <row r="273" spans="1:13" ht="15">
      <c r="A273" s="979" t="s">
        <v>3404</v>
      </c>
      <c r="B273" s="1040" t="str">
        <f>CONCATENATE(LEFT(RIGHT(CONCATENATE("000",IFAData_TEA_1617!A273),6),3),"-",(RIGHT(RIGHT(CONCATENATE("000",IFAData_TEA_1617!A273),6),3)))</f>
        <v>018-901</v>
      </c>
      <c r="C273" s="979" t="s">
        <v>1165</v>
      </c>
      <c r="D273" s="979">
        <v>2</v>
      </c>
      <c r="E273" s="979">
        <v>1695</v>
      </c>
      <c r="F273" s="979" t="s">
        <v>4230</v>
      </c>
      <c r="G273" s="979" t="s">
        <v>4231</v>
      </c>
      <c r="H273" s="979">
        <v>314735</v>
      </c>
      <c r="I273" s="979">
        <v>526950</v>
      </c>
      <c r="J273" s="979">
        <v>1</v>
      </c>
      <c r="K273" s="979">
        <v>314735</v>
      </c>
      <c r="L273" s="979">
        <v>314735</v>
      </c>
      <c r="M273" s="979">
        <v>599</v>
      </c>
    </row>
    <row r="274" spans="1:13" ht="15">
      <c r="A274" s="979" t="s">
        <v>3404</v>
      </c>
      <c r="B274" s="1040" t="str">
        <f>CONCATENATE(LEFT(RIGHT(CONCATENATE("000",IFAData_TEA_1617!A274),6),3),"-",(RIGHT(RIGHT(CONCATENATE("000",IFAData_TEA_1617!A274),6),3)))</f>
        <v>018-901</v>
      </c>
      <c r="C274" s="979" t="s">
        <v>1165</v>
      </c>
      <c r="D274" s="979">
        <v>2</v>
      </c>
      <c r="E274" s="979">
        <v>1695</v>
      </c>
      <c r="F274" s="979" t="s">
        <v>4230</v>
      </c>
      <c r="G274" s="979" t="s">
        <v>4230</v>
      </c>
      <c r="H274" s="979">
        <v>314735</v>
      </c>
      <c r="I274" s="979">
        <v>0</v>
      </c>
      <c r="J274" s="979">
        <v>0</v>
      </c>
      <c r="K274" s="979">
        <v>0</v>
      </c>
      <c r="L274" s="979">
        <v>0</v>
      </c>
      <c r="M274" s="979">
        <v>599</v>
      </c>
    </row>
    <row r="275" spans="1:13" ht="15">
      <c r="A275" s="979" t="s">
        <v>3405</v>
      </c>
      <c r="B275" s="1040" t="str">
        <f>CONCATENATE(LEFT(RIGHT(CONCATENATE("000",IFAData_TEA_1617!A275),6),3),"-",(RIGHT(RIGHT(CONCATENATE("000",IFAData_TEA_1617!A275),6),3)))</f>
        <v>018-902</v>
      </c>
      <c r="C275" s="979" t="s">
        <v>2682</v>
      </c>
      <c r="D275" s="979">
        <v>9</v>
      </c>
      <c r="E275" s="979">
        <v>2095</v>
      </c>
      <c r="F275" s="979" t="s">
        <v>4232</v>
      </c>
      <c r="G275" s="979" t="s">
        <v>4233</v>
      </c>
      <c r="H275" s="979">
        <v>125707</v>
      </c>
      <c r="I275" s="979">
        <v>330240</v>
      </c>
      <c r="J275" s="979">
        <v>1</v>
      </c>
      <c r="K275" s="979">
        <v>125707</v>
      </c>
      <c r="L275" s="979">
        <v>125707</v>
      </c>
      <c r="M275" s="979">
        <v>599</v>
      </c>
    </row>
    <row r="276" spans="1:13" ht="15">
      <c r="A276" s="979" t="s">
        <v>3405</v>
      </c>
      <c r="B276" s="1040" t="str">
        <f>CONCATENATE(LEFT(RIGHT(CONCATENATE("000",IFAData_TEA_1617!A276),6),3),"-",(RIGHT(RIGHT(CONCATENATE("000",IFAData_TEA_1617!A276),6),3)))</f>
        <v>018-902</v>
      </c>
      <c r="C276" s="979" t="s">
        <v>2682</v>
      </c>
      <c r="D276" s="979">
        <v>9</v>
      </c>
      <c r="E276" s="979">
        <v>2095</v>
      </c>
      <c r="F276" s="979" t="s">
        <v>4232</v>
      </c>
      <c r="G276" s="979" t="s">
        <v>4232</v>
      </c>
      <c r="H276" s="979">
        <v>125707</v>
      </c>
      <c r="I276" s="979">
        <v>0</v>
      </c>
      <c r="J276" s="979">
        <v>0</v>
      </c>
      <c r="K276" s="979">
        <v>0</v>
      </c>
      <c r="L276" s="979">
        <v>0</v>
      </c>
      <c r="M276" s="979">
        <v>599</v>
      </c>
    </row>
    <row r="277" spans="1:13" ht="15">
      <c r="A277" s="979" t="s">
        <v>3406</v>
      </c>
      <c r="B277" s="1040" t="str">
        <f>CONCATENATE(LEFT(RIGHT(CONCATENATE("000",IFAData_TEA_1617!A277),6),3),"-",(RIGHT(RIGHT(CONCATENATE("000",IFAData_TEA_1617!A277),6),3)))</f>
        <v>018-904</v>
      </c>
      <c r="C277" s="979" t="s">
        <v>2684</v>
      </c>
      <c r="D277" s="979">
        <v>9</v>
      </c>
      <c r="E277" s="979">
        <v>2410</v>
      </c>
      <c r="F277" s="979" t="s">
        <v>4234</v>
      </c>
      <c r="G277" s="979" t="s">
        <v>4234</v>
      </c>
      <c r="H277" s="979">
        <v>161705</v>
      </c>
      <c r="I277" s="979">
        <v>163200</v>
      </c>
      <c r="J277" s="979">
        <v>0.4046113796950539</v>
      </c>
      <c r="K277" s="979">
        <v>65427.683153588689</v>
      </c>
      <c r="L277" s="979">
        <v>65427.683153588689</v>
      </c>
      <c r="M277" s="979">
        <v>599</v>
      </c>
    </row>
    <row r="278" spans="1:13" ht="15">
      <c r="A278" s="979" t="s">
        <v>3406</v>
      </c>
      <c r="B278" s="1040" t="str">
        <f>CONCATENATE(LEFT(RIGHT(CONCATENATE("000",IFAData_TEA_1617!A278),6),3),"-",(RIGHT(RIGHT(CONCATENATE("000",IFAData_TEA_1617!A278),6),3)))</f>
        <v>018-904</v>
      </c>
      <c r="C278" s="979" t="s">
        <v>2684</v>
      </c>
      <c r="D278" s="979">
        <v>9</v>
      </c>
      <c r="E278" s="979">
        <v>2410</v>
      </c>
      <c r="F278" s="979" t="s">
        <v>4234</v>
      </c>
      <c r="G278" s="979" t="s">
        <v>6414</v>
      </c>
      <c r="H278" s="979">
        <v>161705</v>
      </c>
      <c r="I278" s="979">
        <v>240150</v>
      </c>
      <c r="J278" s="979">
        <v>0.5953886203049461</v>
      </c>
      <c r="K278" s="979">
        <v>96277.316846411311</v>
      </c>
      <c r="L278" s="979">
        <v>96277.316846411311</v>
      </c>
      <c r="M278" s="979">
        <v>599</v>
      </c>
    </row>
    <row r="279" spans="1:13" ht="15">
      <c r="A279" s="979" t="s">
        <v>4235</v>
      </c>
      <c r="B279" s="1040" t="str">
        <f>CONCATENATE(LEFT(RIGHT(CONCATENATE("000",IFAData_TEA_1617!A279),6),3),"-",(RIGHT(RIGHT(CONCATENATE("000",IFAData_TEA_1617!A279),6),3)))</f>
        <v>018-905</v>
      </c>
      <c r="C279" s="979" t="s">
        <v>2024</v>
      </c>
      <c r="D279" s="979">
        <v>5</v>
      </c>
      <c r="E279" s="979">
        <v>2435</v>
      </c>
      <c r="F279" s="979" t="s">
        <v>4236</v>
      </c>
      <c r="G279" s="979" t="s">
        <v>4236</v>
      </c>
      <c r="H279" s="979">
        <v>100000</v>
      </c>
      <c r="I279" s="979">
        <v>111501</v>
      </c>
      <c r="J279" s="979">
        <v>1</v>
      </c>
      <c r="K279" s="979">
        <v>100000</v>
      </c>
      <c r="L279" s="979">
        <v>100000</v>
      </c>
      <c r="M279" s="979">
        <v>199</v>
      </c>
    </row>
    <row r="280" spans="1:13" ht="15">
      <c r="A280" s="979" t="s">
        <v>4237</v>
      </c>
      <c r="B280" s="1040" t="str">
        <f>CONCATENATE(LEFT(RIGHT(CONCATENATE("000",IFAData_TEA_1617!A280),6),3),"-",(RIGHT(RIGHT(CONCATENATE("000",IFAData_TEA_1617!A280),6),3)))</f>
        <v>019-901</v>
      </c>
      <c r="C280" s="979" t="s">
        <v>2666</v>
      </c>
      <c r="D280" s="979">
        <v>4</v>
      </c>
      <c r="E280" s="979">
        <v>1750</v>
      </c>
      <c r="F280" s="979" t="s">
        <v>4238</v>
      </c>
      <c r="G280" s="979" t="s">
        <v>4238</v>
      </c>
      <c r="H280" s="979">
        <v>243750</v>
      </c>
      <c r="I280" s="979">
        <v>0</v>
      </c>
      <c r="J280" s="979">
        <v>0</v>
      </c>
      <c r="K280" s="979"/>
      <c r="L280" s="979">
        <v>0</v>
      </c>
      <c r="M280" s="979">
        <v>199</v>
      </c>
    </row>
    <row r="281" spans="1:13" ht="15">
      <c r="A281" s="979" t="s">
        <v>3407</v>
      </c>
      <c r="B281" s="1040" t="str">
        <f>CONCATENATE(LEFT(RIGHT(CONCATENATE("000",IFAData_TEA_1617!A281),6),3),"-",(RIGHT(RIGHT(CONCATENATE("000",IFAData_TEA_1617!A281),6),3)))</f>
        <v>019-902</v>
      </c>
      <c r="C281" s="979" t="s">
        <v>2379</v>
      </c>
      <c r="D281" s="979">
        <v>4</v>
      </c>
      <c r="E281" s="979">
        <v>1902</v>
      </c>
      <c r="F281" s="979" t="s">
        <v>4241</v>
      </c>
      <c r="G281" s="979" t="s">
        <v>4242</v>
      </c>
      <c r="H281" s="979">
        <v>271149</v>
      </c>
      <c r="I281" s="979">
        <v>197925</v>
      </c>
      <c r="J281" s="979">
        <v>0.75043223076573096</v>
      </c>
      <c r="K281" s="979">
        <v>203478.94893989718</v>
      </c>
      <c r="L281" s="979">
        <v>197925</v>
      </c>
      <c r="M281" s="979">
        <v>599</v>
      </c>
    </row>
    <row r="282" spans="1:13" ht="15">
      <c r="A282" s="979" t="s">
        <v>3407</v>
      </c>
      <c r="B282" s="1040" t="str">
        <f>CONCATENATE(LEFT(RIGHT(CONCATENATE("000",IFAData_TEA_1617!A282),6),3),"-",(RIGHT(RIGHT(CONCATENATE("000",IFAData_TEA_1617!A282),6),3)))</f>
        <v>019-902</v>
      </c>
      <c r="C282" s="979" t="s">
        <v>2379</v>
      </c>
      <c r="D282" s="979">
        <v>6</v>
      </c>
      <c r="E282" s="979">
        <v>1900</v>
      </c>
      <c r="F282" s="979" t="s">
        <v>4243</v>
      </c>
      <c r="G282" s="979" t="s">
        <v>4243</v>
      </c>
      <c r="H282" s="979">
        <v>233415</v>
      </c>
      <c r="I282" s="979">
        <v>0</v>
      </c>
      <c r="J282" s="979">
        <v>0</v>
      </c>
      <c r="K282" s="979">
        <v>0</v>
      </c>
      <c r="L282" s="979">
        <v>0</v>
      </c>
      <c r="M282" s="979">
        <v>599</v>
      </c>
    </row>
    <row r="283" spans="1:13" ht="15">
      <c r="A283" s="979" t="s">
        <v>3407</v>
      </c>
      <c r="B283" s="1040" t="str">
        <f>CONCATENATE(LEFT(RIGHT(CONCATENATE("000",IFAData_TEA_1617!A283),6),3),"-",(RIGHT(RIGHT(CONCATENATE("000",IFAData_TEA_1617!A283),6),3)))</f>
        <v>019-902</v>
      </c>
      <c r="C283" s="979" t="s">
        <v>2379</v>
      </c>
      <c r="D283" s="979">
        <v>9</v>
      </c>
      <c r="E283" s="979">
        <v>1901</v>
      </c>
      <c r="F283" s="979" t="s">
        <v>4245</v>
      </c>
      <c r="G283" s="979" t="s">
        <v>4245</v>
      </c>
      <c r="H283" s="979">
        <v>245486</v>
      </c>
      <c r="I283" s="979">
        <v>95600</v>
      </c>
      <c r="J283" s="979">
        <v>0.46753653240478099</v>
      </c>
      <c r="K283" s="979">
        <v>114773.67319392007</v>
      </c>
      <c r="L283" s="979">
        <v>95600</v>
      </c>
      <c r="M283" s="979">
        <v>599</v>
      </c>
    </row>
    <row r="284" spans="1:13" ht="15">
      <c r="A284" s="979" t="s">
        <v>3407</v>
      </c>
      <c r="B284" s="1040" t="str">
        <f>CONCATENATE(LEFT(RIGHT(CONCATENATE("000",IFAData_TEA_1617!A284),6),3),"-",(RIGHT(RIGHT(CONCATENATE("000",IFAData_TEA_1617!A284),6),3)))</f>
        <v>019-902</v>
      </c>
      <c r="C284" s="979" t="s">
        <v>2379</v>
      </c>
      <c r="D284" s="979">
        <v>4</v>
      </c>
      <c r="E284" s="979">
        <v>1902</v>
      </c>
      <c r="F284" s="979" t="s">
        <v>4241</v>
      </c>
      <c r="G284" s="979" t="s">
        <v>6415</v>
      </c>
      <c r="H284" s="979">
        <v>271149</v>
      </c>
      <c r="I284" s="979">
        <v>65823</v>
      </c>
      <c r="J284" s="979">
        <v>0.24956776923426907</v>
      </c>
      <c r="K284" s="979">
        <v>67670.051060102822</v>
      </c>
      <c r="L284" s="979">
        <v>65823</v>
      </c>
      <c r="M284" s="979">
        <v>599</v>
      </c>
    </row>
    <row r="285" spans="1:13" ht="15">
      <c r="A285" s="979" t="s">
        <v>3407</v>
      </c>
      <c r="B285" s="1040" t="str">
        <f>CONCATENATE(LEFT(RIGHT(CONCATENATE("000",IFAData_TEA_1617!A285),6),3),"-",(RIGHT(RIGHT(CONCATENATE("000",IFAData_TEA_1617!A285),6),3)))</f>
        <v>019-902</v>
      </c>
      <c r="C285" s="979" t="s">
        <v>2379</v>
      </c>
      <c r="D285" s="979">
        <v>4</v>
      </c>
      <c r="E285" s="979">
        <v>1902</v>
      </c>
      <c r="F285" s="979" t="s">
        <v>4241</v>
      </c>
      <c r="G285" s="979" t="s">
        <v>4241</v>
      </c>
      <c r="H285" s="979">
        <v>271149</v>
      </c>
      <c r="I285" s="979">
        <v>0</v>
      </c>
      <c r="J285" s="979">
        <v>0</v>
      </c>
      <c r="K285" s="979">
        <v>0</v>
      </c>
      <c r="L285" s="979">
        <v>0</v>
      </c>
      <c r="M285" s="979">
        <v>599</v>
      </c>
    </row>
    <row r="286" spans="1:13" ht="15">
      <c r="A286" s="979" t="s">
        <v>3407</v>
      </c>
      <c r="B286" s="1040" t="str">
        <f>CONCATENATE(LEFT(RIGHT(CONCATENATE("000",IFAData_TEA_1617!A286),6),3),"-",(RIGHT(RIGHT(CONCATENATE("000",IFAData_TEA_1617!A286),6),3)))</f>
        <v>019-902</v>
      </c>
      <c r="C286" s="979" t="s">
        <v>2379</v>
      </c>
      <c r="D286" s="979">
        <v>9</v>
      </c>
      <c r="E286" s="979">
        <v>1901</v>
      </c>
      <c r="F286" s="979" t="s">
        <v>4245</v>
      </c>
      <c r="G286" s="979" t="s">
        <v>6415</v>
      </c>
      <c r="H286" s="979">
        <v>245486</v>
      </c>
      <c r="I286" s="979">
        <v>108876</v>
      </c>
      <c r="J286" s="979">
        <v>0.53246346759521901</v>
      </c>
      <c r="K286" s="979">
        <v>130712.32680607993</v>
      </c>
      <c r="L286" s="979">
        <v>108876</v>
      </c>
      <c r="M286" s="979">
        <v>599</v>
      </c>
    </row>
    <row r="287" spans="1:13" ht="15">
      <c r="A287" s="979" t="s">
        <v>3407</v>
      </c>
      <c r="B287" s="1040" t="str">
        <f>CONCATENATE(LEFT(RIGHT(CONCATENATE("000",IFAData_TEA_1617!A287),6),3),"-",(RIGHT(RIGHT(CONCATENATE("000",IFAData_TEA_1617!A287),6),3)))</f>
        <v>019-902</v>
      </c>
      <c r="C287" s="979" t="s">
        <v>2379</v>
      </c>
      <c r="D287" s="979">
        <v>6</v>
      </c>
      <c r="E287" s="979">
        <v>1900</v>
      </c>
      <c r="F287" s="979" t="s">
        <v>4243</v>
      </c>
      <c r="G287" s="979" t="s">
        <v>4244</v>
      </c>
      <c r="H287" s="979">
        <v>233415</v>
      </c>
      <c r="I287" s="979">
        <v>194800</v>
      </c>
      <c r="J287" s="979">
        <v>1</v>
      </c>
      <c r="K287" s="979">
        <v>233415</v>
      </c>
      <c r="L287" s="979">
        <v>194800</v>
      </c>
      <c r="M287" s="979">
        <v>599</v>
      </c>
    </row>
    <row r="288" spans="1:13" ht="15">
      <c r="A288" s="979" t="s">
        <v>3408</v>
      </c>
      <c r="B288" s="1040" t="str">
        <f>CONCATENATE(LEFT(RIGHT(CONCATENATE("000",IFAData_TEA_1617!A288),6),3),"-",(RIGHT(RIGHT(CONCATENATE("000",IFAData_TEA_1617!A288),6),3)))</f>
        <v>019-903</v>
      </c>
      <c r="C288" s="979" t="s">
        <v>2067</v>
      </c>
      <c r="D288" s="979">
        <v>5</v>
      </c>
      <c r="E288" s="979">
        <v>2076</v>
      </c>
      <c r="F288" s="979" t="s">
        <v>4246</v>
      </c>
      <c r="G288" s="979" t="s">
        <v>4246</v>
      </c>
      <c r="H288" s="979">
        <v>71216</v>
      </c>
      <c r="I288" s="979">
        <v>0</v>
      </c>
      <c r="J288" s="979">
        <v>0</v>
      </c>
      <c r="K288" s="979">
        <v>0</v>
      </c>
      <c r="L288" s="979">
        <v>0</v>
      </c>
      <c r="M288" s="979">
        <v>599</v>
      </c>
    </row>
    <row r="289" spans="1:13" ht="15">
      <c r="A289" s="979" t="s">
        <v>3408</v>
      </c>
      <c r="B289" s="1040" t="str">
        <f>CONCATENATE(LEFT(RIGHT(CONCATENATE("000",IFAData_TEA_1617!A289),6),3),"-",(RIGHT(RIGHT(CONCATENATE("000",IFAData_TEA_1617!A289),6),3)))</f>
        <v>019-903</v>
      </c>
      <c r="C289" s="979" t="s">
        <v>2067</v>
      </c>
      <c r="D289" s="979">
        <v>5</v>
      </c>
      <c r="E289" s="979">
        <v>2076</v>
      </c>
      <c r="F289" s="979" t="s">
        <v>4246</v>
      </c>
      <c r="G289" s="979" t="s">
        <v>4247</v>
      </c>
      <c r="H289" s="979">
        <v>71216</v>
      </c>
      <c r="I289" s="979">
        <v>65350</v>
      </c>
      <c r="J289" s="979">
        <v>1</v>
      </c>
      <c r="K289" s="979">
        <v>71216</v>
      </c>
      <c r="L289" s="979">
        <v>65350</v>
      </c>
      <c r="M289" s="979">
        <v>599</v>
      </c>
    </row>
    <row r="290" spans="1:13" ht="15">
      <c r="A290" s="979" t="s">
        <v>3409</v>
      </c>
      <c r="B290" s="1040" t="str">
        <f>CONCATENATE(LEFT(RIGHT(CONCATENATE("000",IFAData_TEA_1617!A290),6),3),"-",(RIGHT(RIGHT(CONCATENATE("000",IFAData_TEA_1617!A290),6),3)))</f>
        <v>019-905</v>
      </c>
      <c r="C290" s="979" t="s">
        <v>1398</v>
      </c>
      <c r="D290" s="979">
        <v>9</v>
      </c>
      <c r="E290" s="979">
        <v>2134</v>
      </c>
      <c r="F290" s="979" t="s">
        <v>4248</v>
      </c>
      <c r="G290" s="979" t="s">
        <v>6199</v>
      </c>
      <c r="H290" s="979">
        <v>323346</v>
      </c>
      <c r="I290" s="979">
        <v>218530</v>
      </c>
      <c r="J290" s="979">
        <v>0.53687730168362247</v>
      </c>
      <c r="K290" s="979">
        <v>173597.12799019259</v>
      </c>
      <c r="L290" s="979">
        <v>173597.12799019259</v>
      </c>
      <c r="M290" s="979">
        <v>599</v>
      </c>
    </row>
    <row r="291" spans="1:13" ht="15">
      <c r="A291" s="979" t="s">
        <v>3409</v>
      </c>
      <c r="B291" s="1040" t="str">
        <f>CONCATENATE(LEFT(RIGHT(CONCATENATE("000",IFAData_TEA_1617!A291),6),3),"-",(RIGHT(RIGHT(CONCATENATE("000",IFAData_TEA_1617!A291),6),3)))</f>
        <v>019-905</v>
      </c>
      <c r="C291" s="979" t="s">
        <v>1398</v>
      </c>
      <c r="D291" s="979">
        <v>9</v>
      </c>
      <c r="E291" s="979">
        <v>2134</v>
      </c>
      <c r="F291" s="979" t="s">
        <v>4248</v>
      </c>
      <c r="G291" s="979" t="s">
        <v>6416</v>
      </c>
      <c r="H291" s="979">
        <v>323346</v>
      </c>
      <c r="I291" s="979">
        <v>77989</v>
      </c>
      <c r="J291" s="979">
        <v>0.19160080483688297</v>
      </c>
      <c r="K291" s="979">
        <v>61953.35384078676</v>
      </c>
      <c r="L291" s="979">
        <v>61953.35384078676</v>
      </c>
      <c r="M291" s="979">
        <v>599</v>
      </c>
    </row>
    <row r="292" spans="1:13" ht="15">
      <c r="A292" s="979" t="s">
        <v>3409</v>
      </c>
      <c r="B292" s="1040" t="str">
        <f>CONCATENATE(LEFT(RIGHT(CONCATENATE("000",IFAData_TEA_1617!A292),6),3),"-",(RIGHT(RIGHT(CONCATENATE("000",IFAData_TEA_1617!A292),6),3)))</f>
        <v>019-905</v>
      </c>
      <c r="C292" s="979" t="s">
        <v>1398</v>
      </c>
      <c r="D292" s="979">
        <v>9</v>
      </c>
      <c r="E292" s="979">
        <v>2134</v>
      </c>
      <c r="F292" s="979" t="s">
        <v>4248</v>
      </c>
      <c r="G292" s="979" t="s">
        <v>4248</v>
      </c>
      <c r="H292" s="979">
        <v>323346</v>
      </c>
      <c r="I292" s="979">
        <v>110520</v>
      </c>
      <c r="J292" s="979">
        <v>0.27152189347949457</v>
      </c>
      <c r="K292" s="979">
        <v>87795.518169020652</v>
      </c>
      <c r="L292" s="979">
        <v>87795.518169020652</v>
      </c>
      <c r="M292" s="979">
        <v>599</v>
      </c>
    </row>
    <row r="293" spans="1:13" ht="15">
      <c r="A293" s="979" t="s">
        <v>3410</v>
      </c>
      <c r="B293" s="1040" t="str">
        <f>CONCATENATE(LEFT(RIGHT(CONCATENATE("000",IFAData_TEA_1617!A293),6),3),"-",(RIGHT(RIGHT(CONCATENATE("000",IFAData_TEA_1617!A293),6),3)))</f>
        <v>019-909</v>
      </c>
      <c r="C293" s="979" t="s">
        <v>266</v>
      </c>
      <c r="D293" s="979">
        <v>5</v>
      </c>
      <c r="E293" s="979">
        <v>2335</v>
      </c>
      <c r="F293" s="979" t="s">
        <v>4249</v>
      </c>
      <c r="G293" s="979" t="s">
        <v>4249</v>
      </c>
      <c r="H293" s="979">
        <v>130653</v>
      </c>
      <c r="I293" s="979">
        <v>0</v>
      </c>
      <c r="J293" s="979">
        <v>0</v>
      </c>
      <c r="K293" s="979">
        <v>0</v>
      </c>
      <c r="L293" s="979">
        <v>0</v>
      </c>
      <c r="M293" s="979">
        <v>599</v>
      </c>
    </row>
    <row r="294" spans="1:13" ht="15">
      <c r="A294" s="979" t="s">
        <v>3410</v>
      </c>
      <c r="B294" s="1040" t="str">
        <f>CONCATENATE(LEFT(RIGHT(CONCATENATE("000",IFAData_TEA_1617!A294),6),3),"-",(RIGHT(RIGHT(CONCATENATE("000",IFAData_TEA_1617!A294),6),3)))</f>
        <v>019-909</v>
      </c>
      <c r="C294" s="979" t="s">
        <v>266</v>
      </c>
      <c r="D294" s="979">
        <v>5</v>
      </c>
      <c r="E294" s="979">
        <v>2335</v>
      </c>
      <c r="F294" s="979" t="s">
        <v>4249</v>
      </c>
      <c r="G294" s="979" t="s">
        <v>4250</v>
      </c>
      <c r="H294" s="979">
        <v>130653</v>
      </c>
      <c r="I294" s="979">
        <v>122050</v>
      </c>
      <c r="J294" s="979">
        <v>1</v>
      </c>
      <c r="K294" s="979">
        <v>130653</v>
      </c>
      <c r="L294" s="979">
        <v>122050</v>
      </c>
      <c r="M294" s="979">
        <v>599</v>
      </c>
    </row>
    <row r="295" spans="1:13" ht="15">
      <c r="A295" s="979" t="s">
        <v>3411</v>
      </c>
      <c r="B295" s="1040" t="str">
        <f>CONCATENATE(LEFT(RIGHT(CONCATENATE("000",IFAData_TEA_1617!A295),6),3),"-",(RIGHT(RIGHT(CONCATENATE("000",IFAData_TEA_1617!A295),6),3)))</f>
        <v>019-910</v>
      </c>
      <c r="C295" s="979" t="s">
        <v>289</v>
      </c>
      <c r="D295" s="979">
        <v>5</v>
      </c>
      <c r="E295" s="979">
        <v>2055</v>
      </c>
      <c r="F295" s="979" t="s">
        <v>4251</v>
      </c>
      <c r="G295" s="979" t="s">
        <v>4251</v>
      </c>
      <c r="H295" s="979">
        <v>82900</v>
      </c>
      <c r="I295" s="979">
        <v>0</v>
      </c>
      <c r="J295" s="979">
        <v>0</v>
      </c>
      <c r="K295" s="979">
        <v>0</v>
      </c>
      <c r="L295" s="979">
        <v>0</v>
      </c>
      <c r="M295" s="979">
        <v>599</v>
      </c>
    </row>
    <row r="296" spans="1:13" ht="15">
      <c r="A296" s="979" t="s">
        <v>3411</v>
      </c>
      <c r="B296" s="1040" t="str">
        <f>CONCATENATE(LEFT(RIGHT(CONCATENATE("000",IFAData_TEA_1617!A296),6),3),"-",(RIGHT(RIGHT(CONCATENATE("000",IFAData_TEA_1617!A296),6),3)))</f>
        <v>019-910</v>
      </c>
      <c r="C296" s="979" t="s">
        <v>289</v>
      </c>
      <c r="D296" s="979">
        <v>5</v>
      </c>
      <c r="E296" s="979">
        <v>2055</v>
      </c>
      <c r="F296" s="979" t="s">
        <v>4251</v>
      </c>
      <c r="G296" s="979" t="s">
        <v>4252</v>
      </c>
      <c r="H296" s="979">
        <v>82900</v>
      </c>
      <c r="I296" s="979">
        <v>73419</v>
      </c>
      <c r="J296" s="979">
        <v>1</v>
      </c>
      <c r="K296" s="979">
        <v>82900</v>
      </c>
      <c r="L296" s="979">
        <v>73419</v>
      </c>
      <c r="M296" s="979">
        <v>599</v>
      </c>
    </row>
    <row r="297" spans="1:13" ht="15">
      <c r="A297" s="979" t="s">
        <v>3412</v>
      </c>
      <c r="B297" s="1040" t="str">
        <f>CONCATENATE(LEFT(RIGHT(CONCATENATE("000",IFAData_TEA_1617!A297),6),3),"-",(RIGHT(RIGHT(CONCATENATE("000",IFAData_TEA_1617!A297),6),3)))</f>
        <v>020-901</v>
      </c>
      <c r="C297" s="979" t="s">
        <v>1052</v>
      </c>
      <c r="D297" s="979">
        <v>5</v>
      </c>
      <c r="E297" s="979">
        <v>1567</v>
      </c>
      <c r="F297" s="979" t="s">
        <v>4253</v>
      </c>
      <c r="G297" s="979" t="s">
        <v>4255</v>
      </c>
      <c r="H297" s="979">
        <v>532173</v>
      </c>
      <c r="I297" s="979">
        <v>0</v>
      </c>
      <c r="J297" s="979">
        <v>0</v>
      </c>
      <c r="K297" s="979">
        <v>0</v>
      </c>
      <c r="L297" s="979">
        <v>0</v>
      </c>
      <c r="M297" s="979">
        <v>599</v>
      </c>
    </row>
    <row r="298" spans="1:13" ht="15">
      <c r="A298" s="979" t="s">
        <v>3412</v>
      </c>
      <c r="B298" s="1040" t="str">
        <f>CONCATENATE(LEFT(RIGHT(CONCATENATE("000",IFAData_TEA_1617!A298),6),3),"-",(RIGHT(RIGHT(CONCATENATE("000",IFAData_TEA_1617!A298),6),3)))</f>
        <v>020-901</v>
      </c>
      <c r="C298" s="979" t="s">
        <v>1052</v>
      </c>
      <c r="D298" s="979">
        <v>5</v>
      </c>
      <c r="E298" s="979">
        <v>1566</v>
      </c>
      <c r="F298" s="979" t="s">
        <v>4257</v>
      </c>
      <c r="G298" s="979" t="s">
        <v>6200</v>
      </c>
      <c r="H298" s="979">
        <v>348271</v>
      </c>
      <c r="I298" s="979">
        <v>103638</v>
      </c>
      <c r="J298" s="979">
        <v>0.16605061404984497</v>
      </c>
      <c r="K298" s="979">
        <v>57830.61340575356</v>
      </c>
      <c r="L298" s="979">
        <v>57830.61340575356</v>
      </c>
      <c r="M298" s="979">
        <v>599</v>
      </c>
    </row>
    <row r="299" spans="1:13" ht="15">
      <c r="A299" s="979" t="s">
        <v>3412</v>
      </c>
      <c r="B299" s="1040" t="str">
        <f>CONCATENATE(LEFT(RIGHT(CONCATENATE("000",IFAData_TEA_1617!A299),6),3),"-",(RIGHT(RIGHT(CONCATENATE("000",IFAData_TEA_1617!A299),6),3)))</f>
        <v>020-901</v>
      </c>
      <c r="C299" s="979" t="s">
        <v>1052</v>
      </c>
      <c r="D299" s="979">
        <v>6</v>
      </c>
      <c r="E299" s="979">
        <v>1565</v>
      </c>
      <c r="F299" s="979" t="s">
        <v>4258</v>
      </c>
      <c r="G299" s="979" t="s">
        <v>6200</v>
      </c>
      <c r="H299" s="979">
        <v>310452</v>
      </c>
      <c r="I299" s="979">
        <v>129313</v>
      </c>
      <c r="J299" s="979">
        <v>0.14789632057679486</v>
      </c>
      <c r="K299" s="979">
        <v>45914.70851570712</v>
      </c>
      <c r="L299" s="979">
        <v>45914.70851570712</v>
      </c>
      <c r="M299" s="979">
        <v>599</v>
      </c>
    </row>
    <row r="300" spans="1:13" ht="15">
      <c r="A300" s="979" t="s">
        <v>3412</v>
      </c>
      <c r="B300" s="1040" t="str">
        <f>CONCATENATE(LEFT(RIGHT(CONCATENATE("000",IFAData_TEA_1617!A300),6),3),"-",(RIGHT(RIGHT(CONCATENATE("000",IFAData_TEA_1617!A300),6),3)))</f>
        <v>020-901</v>
      </c>
      <c r="C300" s="979" t="s">
        <v>1052</v>
      </c>
      <c r="D300" s="979">
        <v>5</v>
      </c>
      <c r="E300" s="979">
        <v>1566</v>
      </c>
      <c r="F300" s="979" t="s">
        <v>4257</v>
      </c>
      <c r="G300" s="979" t="s">
        <v>4254</v>
      </c>
      <c r="H300" s="979">
        <v>348271</v>
      </c>
      <c r="I300" s="979">
        <v>0</v>
      </c>
      <c r="J300" s="979">
        <v>0</v>
      </c>
      <c r="K300" s="979">
        <v>0</v>
      </c>
      <c r="L300" s="979">
        <v>0</v>
      </c>
      <c r="M300" s="979">
        <v>599</v>
      </c>
    </row>
    <row r="301" spans="1:13" ht="15">
      <c r="A301" s="979" t="s">
        <v>3412</v>
      </c>
      <c r="B301" s="1040" t="str">
        <f>CONCATENATE(LEFT(RIGHT(CONCATENATE("000",IFAData_TEA_1617!A301),6),3),"-",(RIGHT(RIGHT(CONCATENATE("000",IFAData_TEA_1617!A301),6),3)))</f>
        <v>020-901</v>
      </c>
      <c r="C301" s="979" t="s">
        <v>1052</v>
      </c>
      <c r="D301" s="979">
        <v>5</v>
      </c>
      <c r="E301" s="979">
        <v>1567</v>
      </c>
      <c r="F301" s="979" t="s">
        <v>4253</v>
      </c>
      <c r="G301" s="979" t="s">
        <v>6200</v>
      </c>
      <c r="H301" s="979">
        <v>532173</v>
      </c>
      <c r="I301" s="979">
        <v>337806</v>
      </c>
      <c r="J301" s="979">
        <v>0.53872946309816572</v>
      </c>
      <c r="K301" s="979">
        <v>286697.27456534014</v>
      </c>
      <c r="L301" s="979">
        <v>286697.27456534014</v>
      </c>
      <c r="M301" s="979">
        <v>599</v>
      </c>
    </row>
    <row r="302" spans="1:13" ht="15">
      <c r="A302" s="979" t="s">
        <v>3412</v>
      </c>
      <c r="B302" s="1040" t="str">
        <f>CONCATENATE(LEFT(RIGHT(CONCATENATE("000",IFAData_TEA_1617!A302),6),3),"-",(RIGHT(RIGHT(CONCATENATE("000",IFAData_TEA_1617!A302),6),3)))</f>
        <v>020-901</v>
      </c>
      <c r="C302" s="979" t="s">
        <v>1052</v>
      </c>
      <c r="D302" s="979">
        <v>5</v>
      </c>
      <c r="E302" s="979">
        <v>1567</v>
      </c>
      <c r="F302" s="979" t="s">
        <v>4253</v>
      </c>
      <c r="G302" s="979" t="s">
        <v>4256</v>
      </c>
      <c r="H302" s="979">
        <v>532173</v>
      </c>
      <c r="I302" s="979">
        <v>235605</v>
      </c>
      <c r="J302" s="979">
        <v>0.37574038102710822</v>
      </c>
      <c r="K302" s="979">
        <v>199958.88579233925</v>
      </c>
      <c r="L302" s="979">
        <v>199958.88579233925</v>
      </c>
      <c r="M302" s="979">
        <v>599</v>
      </c>
    </row>
    <row r="303" spans="1:13" ht="15">
      <c r="A303" s="979" t="s">
        <v>3412</v>
      </c>
      <c r="B303" s="1040" t="str">
        <f>CONCATENATE(LEFT(RIGHT(CONCATENATE("000",IFAData_TEA_1617!A303),6),3),"-",(RIGHT(RIGHT(CONCATENATE("000",IFAData_TEA_1617!A303),6),3)))</f>
        <v>020-901</v>
      </c>
      <c r="C303" s="979" t="s">
        <v>1052</v>
      </c>
      <c r="D303" s="979">
        <v>5</v>
      </c>
      <c r="E303" s="979">
        <v>1567</v>
      </c>
      <c r="F303" s="979" t="s">
        <v>4253</v>
      </c>
      <c r="G303" s="979" t="s">
        <v>6417</v>
      </c>
      <c r="H303" s="979">
        <v>532173</v>
      </c>
      <c r="I303" s="979">
        <v>28957</v>
      </c>
      <c r="J303" s="979">
        <v>4.6180319659608129E-2</v>
      </c>
      <c r="K303" s="979">
        <v>24575.919254212637</v>
      </c>
      <c r="L303" s="979">
        <v>24575.919254212637</v>
      </c>
      <c r="M303" s="979">
        <v>599</v>
      </c>
    </row>
    <row r="304" spans="1:13" ht="15">
      <c r="A304" s="979" t="s">
        <v>3412</v>
      </c>
      <c r="B304" s="1040" t="str">
        <f>CONCATENATE(LEFT(RIGHT(CONCATENATE("000",IFAData_TEA_1617!A304),6),3),"-",(RIGHT(RIGHT(CONCATENATE("000",IFAData_TEA_1617!A304),6),3)))</f>
        <v>020-901</v>
      </c>
      <c r="C304" s="979" t="s">
        <v>1052</v>
      </c>
      <c r="D304" s="979">
        <v>5</v>
      </c>
      <c r="E304" s="979">
        <v>1567</v>
      </c>
      <c r="F304" s="979" t="s">
        <v>4253</v>
      </c>
      <c r="G304" s="979" t="s">
        <v>6418</v>
      </c>
      <c r="H304" s="979">
        <v>532173</v>
      </c>
      <c r="I304" s="979">
        <v>24674</v>
      </c>
      <c r="J304" s="979">
        <v>3.9349836215117964E-2</v>
      </c>
      <c r="K304" s="979">
        <v>20940.920388107974</v>
      </c>
      <c r="L304" s="979">
        <v>20940.920388107974</v>
      </c>
      <c r="M304" s="979">
        <v>599</v>
      </c>
    </row>
    <row r="305" spans="1:13" ht="15">
      <c r="A305" s="979" t="s">
        <v>3412</v>
      </c>
      <c r="B305" s="1040" t="str">
        <f>CONCATENATE(LEFT(RIGHT(CONCATENATE("000",IFAData_TEA_1617!A305),6),3),"-",(RIGHT(RIGHT(CONCATENATE("000",IFAData_TEA_1617!A305),6),3)))</f>
        <v>020-901</v>
      </c>
      <c r="C305" s="979" t="s">
        <v>1052</v>
      </c>
      <c r="D305" s="979">
        <v>5</v>
      </c>
      <c r="E305" s="979">
        <v>1567</v>
      </c>
      <c r="F305" s="979" t="s">
        <v>4253</v>
      </c>
      <c r="G305" s="979" t="s">
        <v>4253</v>
      </c>
      <c r="H305" s="979">
        <v>532173</v>
      </c>
      <c r="I305" s="979">
        <v>0</v>
      </c>
      <c r="J305" s="979">
        <v>0</v>
      </c>
      <c r="K305" s="979">
        <v>0</v>
      </c>
      <c r="L305" s="979">
        <v>0</v>
      </c>
      <c r="M305" s="979">
        <v>599</v>
      </c>
    </row>
    <row r="306" spans="1:13" ht="15">
      <c r="A306" s="979" t="s">
        <v>3412</v>
      </c>
      <c r="B306" s="1040" t="str">
        <f>CONCATENATE(LEFT(RIGHT(CONCATENATE("000",IFAData_TEA_1617!A306),6),3),"-",(RIGHT(RIGHT(CONCATENATE("000",IFAData_TEA_1617!A306),6),3)))</f>
        <v>020-901</v>
      </c>
      <c r="C306" s="979" t="s">
        <v>1052</v>
      </c>
      <c r="D306" s="979">
        <v>6</v>
      </c>
      <c r="E306" s="979">
        <v>1565</v>
      </c>
      <c r="F306" s="979" t="s">
        <v>4258</v>
      </c>
      <c r="G306" s="979" t="s">
        <v>4259</v>
      </c>
      <c r="H306" s="979">
        <v>310452</v>
      </c>
      <c r="I306" s="979">
        <v>127363</v>
      </c>
      <c r="J306" s="979">
        <v>0.14566608985656757</v>
      </c>
      <c r="K306" s="979">
        <v>45222.328928151117</v>
      </c>
      <c r="L306" s="979">
        <v>45222.328928151117</v>
      </c>
      <c r="M306" s="979">
        <v>599</v>
      </c>
    </row>
    <row r="307" spans="1:13" ht="15">
      <c r="A307" s="979" t="s">
        <v>3412</v>
      </c>
      <c r="B307" s="1040" t="str">
        <f>CONCATENATE(LEFT(RIGHT(CONCATENATE("000",IFAData_TEA_1617!A307),6),3),"-",(RIGHT(RIGHT(CONCATENATE("000",IFAData_TEA_1617!A307),6),3)))</f>
        <v>020-901</v>
      </c>
      <c r="C307" s="979" t="s">
        <v>1052</v>
      </c>
      <c r="D307" s="979">
        <v>6</v>
      </c>
      <c r="E307" s="979">
        <v>1565</v>
      </c>
      <c r="F307" s="979" t="s">
        <v>4258</v>
      </c>
      <c r="G307" s="979" t="s">
        <v>6417</v>
      </c>
      <c r="H307" s="979">
        <v>310452</v>
      </c>
      <c r="I307" s="979">
        <v>14102</v>
      </c>
      <c r="J307" s="979">
        <v>1.6128571085459009E-2</v>
      </c>
      <c r="K307" s="979">
        <v>5007.14715062292</v>
      </c>
      <c r="L307" s="979">
        <v>5007.14715062292</v>
      </c>
      <c r="M307" s="979">
        <v>599</v>
      </c>
    </row>
    <row r="308" spans="1:13" ht="15">
      <c r="A308" s="979" t="s">
        <v>3412</v>
      </c>
      <c r="B308" s="1040" t="str">
        <f>CONCATENATE(LEFT(RIGHT(CONCATENATE("000",IFAData_TEA_1617!A308),6),3),"-",(RIGHT(RIGHT(CONCATENATE("000",IFAData_TEA_1617!A308),6),3)))</f>
        <v>020-901</v>
      </c>
      <c r="C308" s="979" t="s">
        <v>1052</v>
      </c>
      <c r="D308" s="979">
        <v>6</v>
      </c>
      <c r="E308" s="979">
        <v>1565</v>
      </c>
      <c r="F308" s="979" t="s">
        <v>4258</v>
      </c>
      <c r="G308" s="979" t="s">
        <v>4258</v>
      </c>
      <c r="H308" s="979">
        <v>310452</v>
      </c>
      <c r="I308" s="979">
        <v>0</v>
      </c>
      <c r="J308" s="979">
        <v>0</v>
      </c>
      <c r="K308" s="979">
        <v>0</v>
      </c>
      <c r="L308" s="979">
        <v>0</v>
      </c>
      <c r="M308" s="979">
        <v>599</v>
      </c>
    </row>
    <row r="309" spans="1:13" ht="15">
      <c r="A309" s="979" t="s">
        <v>3412</v>
      </c>
      <c r="B309" s="1040" t="str">
        <f>CONCATENATE(LEFT(RIGHT(CONCATENATE("000",IFAData_TEA_1617!A309),6),3),"-",(RIGHT(RIGHT(CONCATENATE("000",IFAData_TEA_1617!A309),6),3)))</f>
        <v>020-901</v>
      </c>
      <c r="C309" s="979" t="s">
        <v>1052</v>
      </c>
      <c r="D309" s="979">
        <v>6</v>
      </c>
      <c r="E309" s="979">
        <v>1565</v>
      </c>
      <c r="F309" s="979" t="s">
        <v>4258</v>
      </c>
      <c r="G309" s="979" t="s">
        <v>6418</v>
      </c>
      <c r="H309" s="979">
        <v>310452</v>
      </c>
      <c r="I309" s="979">
        <v>12016</v>
      </c>
      <c r="J309" s="979">
        <v>1.374279606884665E-2</v>
      </c>
      <c r="K309" s="979">
        <v>4266.4785251655803</v>
      </c>
      <c r="L309" s="979">
        <v>4266.4785251655803</v>
      </c>
      <c r="M309" s="979">
        <v>599</v>
      </c>
    </row>
    <row r="310" spans="1:13" ht="15">
      <c r="A310" s="979" t="s">
        <v>3412</v>
      </c>
      <c r="B310" s="1040" t="str">
        <f>CONCATENATE(LEFT(RIGHT(CONCATENATE("000",IFAData_TEA_1617!A310),6),3),"-",(RIGHT(RIGHT(CONCATENATE("000",IFAData_TEA_1617!A310),6),3)))</f>
        <v>020-901</v>
      </c>
      <c r="C310" s="979" t="s">
        <v>1052</v>
      </c>
      <c r="D310" s="979">
        <v>5</v>
      </c>
      <c r="E310" s="979">
        <v>1567</v>
      </c>
      <c r="F310" s="979" t="s">
        <v>4253</v>
      </c>
      <c r="G310" s="979" t="s">
        <v>4254</v>
      </c>
      <c r="H310" s="979">
        <v>532173</v>
      </c>
      <c r="I310" s="979">
        <v>0</v>
      </c>
      <c r="J310" s="979">
        <v>0</v>
      </c>
      <c r="K310" s="979">
        <v>0</v>
      </c>
      <c r="L310" s="979">
        <v>0</v>
      </c>
      <c r="M310" s="979">
        <v>599</v>
      </c>
    </row>
    <row r="311" spans="1:13" ht="15">
      <c r="A311" s="979" t="s">
        <v>3412</v>
      </c>
      <c r="B311" s="1040" t="str">
        <f>CONCATENATE(LEFT(RIGHT(CONCATENATE("000",IFAData_TEA_1617!A311),6),3),"-",(RIGHT(RIGHT(CONCATENATE("000",IFAData_TEA_1617!A311),6),3)))</f>
        <v>020-901</v>
      </c>
      <c r="C311" s="979" t="s">
        <v>1052</v>
      </c>
      <c r="D311" s="979">
        <v>10</v>
      </c>
      <c r="E311" s="979">
        <v>1568</v>
      </c>
      <c r="F311" s="979" t="s">
        <v>4260</v>
      </c>
      <c r="G311" s="979" t="s">
        <v>4260</v>
      </c>
      <c r="H311" s="979">
        <v>750900</v>
      </c>
      <c r="I311" s="979">
        <v>835127</v>
      </c>
      <c r="J311" s="979">
        <v>1</v>
      </c>
      <c r="K311" s="979">
        <v>750900</v>
      </c>
      <c r="L311" s="979">
        <v>750900</v>
      </c>
      <c r="M311" s="979">
        <v>599</v>
      </c>
    </row>
    <row r="312" spans="1:13" ht="15">
      <c r="A312" s="979" t="s">
        <v>3412</v>
      </c>
      <c r="B312" s="1040" t="str">
        <f>CONCATENATE(LEFT(RIGHT(CONCATENATE("000",IFAData_TEA_1617!A312),6),3),"-",(RIGHT(RIGHT(CONCATENATE("000",IFAData_TEA_1617!A312),6),3)))</f>
        <v>020-901</v>
      </c>
      <c r="C312" s="979" t="s">
        <v>1052</v>
      </c>
      <c r="D312" s="979">
        <v>5</v>
      </c>
      <c r="E312" s="979">
        <v>1566</v>
      </c>
      <c r="F312" s="979" t="s">
        <v>4257</v>
      </c>
      <c r="G312" s="979" t="s">
        <v>4256</v>
      </c>
      <c r="H312" s="979">
        <v>348271</v>
      </c>
      <c r="I312" s="979">
        <v>337871</v>
      </c>
      <c r="J312" s="979">
        <v>0.54134281846074972</v>
      </c>
      <c r="K312" s="979">
        <v>188534.00472814377</v>
      </c>
      <c r="L312" s="979">
        <v>188534.00472814377</v>
      </c>
      <c r="M312" s="979">
        <v>599</v>
      </c>
    </row>
    <row r="313" spans="1:13" ht="15">
      <c r="A313" s="979" t="s">
        <v>3412</v>
      </c>
      <c r="B313" s="1040" t="str">
        <f>CONCATENATE(LEFT(RIGHT(CONCATENATE("000",IFAData_TEA_1617!A313),6),3),"-",(RIGHT(RIGHT(CONCATENATE("000",IFAData_TEA_1617!A313),6),3)))</f>
        <v>020-901</v>
      </c>
      <c r="C313" s="979" t="s">
        <v>1052</v>
      </c>
      <c r="D313" s="979">
        <v>5</v>
      </c>
      <c r="E313" s="979">
        <v>1566</v>
      </c>
      <c r="F313" s="979" t="s">
        <v>4257</v>
      </c>
      <c r="G313" s="979" t="s">
        <v>4257</v>
      </c>
      <c r="H313" s="979">
        <v>348271</v>
      </c>
      <c r="I313" s="979">
        <v>182626</v>
      </c>
      <c r="J313" s="979">
        <v>0.29260656748940533</v>
      </c>
      <c r="K313" s="979">
        <v>101906.38186610269</v>
      </c>
      <c r="L313" s="979">
        <v>101906.38186610269</v>
      </c>
      <c r="M313" s="979">
        <v>599</v>
      </c>
    </row>
    <row r="314" spans="1:13" ht="15">
      <c r="A314" s="979" t="s">
        <v>3412</v>
      </c>
      <c r="B314" s="1040" t="str">
        <f>CONCATENATE(LEFT(RIGHT(CONCATENATE("000",IFAData_TEA_1617!A314),6),3),"-",(RIGHT(RIGHT(CONCATENATE("000",IFAData_TEA_1617!A314),6),3)))</f>
        <v>020-901</v>
      </c>
      <c r="C314" s="979" t="s">
        <v>1052</v>
      </c>
      <c r="D314" s="979">
        <v>6</v>
      </c>
      <c r="E314" s="979">
        <v>1565</v>
      </c>
      <c r="F314" s="979" t="s">
        <v>4258</v>
      </c>
      <c r="G314" s="979" t="s">
        <v>4255</v>
      </c>
      <c r="H314" s="979">
        <v>310452</v>
      </c>
      <c r="I314" s="979">
        <v>591555</v>
      </c>
      <c r="J314" s="979">
        <v>0.67656622241233189</v>
      </c>
      <c r="K314" s="979">
        <v>210041.33688035325</v>
      </c>
      <c r="L314" s="979">
        <v>210041.33688035325</v>
      </c>
      <c r="M314" s="979">
        <v>599</v>
      </c>
    </row>
    <row r="315" spans="1:13" ht="15">
      <c r="A315" s="979" t="s">
        <v>3413</v>
      </c>
      <c r="B315" s="1040" t="str">
        <f>CONCATENATE(LEFT(RIGHT(CONCATENATE("000",IFAData_TEA_1617!A315),6),3),"-",(RIGHT(RIGHT(CONCATENATE("000",IFAData_TEA_1617!A315),6),3)))</f>
        <v>020-904</v>
      </c>
      <c r="C315" s="979" t="s">
        <v>2662</v>
      </c>
      <c r="D315" s="979">
        <v>4</v>
      </c>
      <c r="E315" s="979">
        <v>1744</v>
      </c>
      <c r="F315" s="979" t="s">
        <v>4261</v>
      </c>
      <c r="G315" s="979" t="s">
        <v>4261</v>
      </c>
      <c r="H315" s="979">
        <v>187870</v>
      </c>
      <c r="I315" s="979">
        <v>0</v>
      </c>
      <c r="J315" s="979">
        <v>0</v>
      </c>
      <c r="K315" s="979">
        <v>0</v>
      </c>
      <c r="L315" s="979">
        <v>0</v>
      </c>
      <c r="M315" s="979">
        <v>599</v>
      </c>
    </row>
    <row r="316" spans="1:13" ht="15">
      <c r="A316" s="979" t="s">
        <v>3413</v>
      </c>
      <c r="B316" s="1040" t="str">
        <f>CONCATENATE(LEFT(RIGHT(CONCATENATE("000",IFAData_TEA_1617!A316),6),3),"-",(RIGHT(RIGHT(CONCATENATE("000",IFAData_TEA_1617!A316),6),3)))</f>
        <v>020-904</v>
      </c>
      <c r="C316" s="979" t="s">
        <v>2662</v>
      </c>
      <c r="D316" s="979">
        <v>4</v>
      </c>
      <c r="E316" s="979">
        <v>1744</v>
      </c>
      <c r="F316" s="979" t="s">
        <v>4261</v>
      </c>
      <c r="G316" s="979" t="s">
        <v>4262</v>
      </c>
      <c r="H316" s="979">
        <v>187870</v>
      </c>
      <c r="I316" s="979">
        <v>0</v>
      </c>
      <c r="J316" s="979">
        <v>0</v>
      </c>
      <c r="K316" s="979">
        <v>0</v>
      </c>
      <c r="L316" s="979">
        <v>0</v>
      </c>
      <c r="M316" s="979">
        <v>599</v>
      </c>
    </row>
    <row r="317" spans="1:13" ht="15">
      <c r="A317" s="979" t="s">
        <v>3413</v>
      </c>
      <c r="B317" s="1040" t="str">
        <f>CONCATENATE(LEFT(RIGHT(CONCATENATE("000",IFAData_TEA_1617!A317),6),3),"-",(RIGHT(RIGHT(CONCATENATE("000",IFAData_TEA_1617!A317),6),3)))</f>
        <v>020-904</v>
      </c>
      <c r="C317" s="979" t="s">
        <v>2662</v>
      </c>
      <c r="D317" s="979">
        <v>4</v>
      </c>
      <c r="E317" s="979">
        <v>1744</v>
      </c>
      <c r="F317" s="979" t="s">
        <v>4261</v>
      </c>
      <c r="G317" s="979" t="s">
        <v>6419</v>
      </c>
      <c r="H317" s="979">
        <v>187870</v>
      </c>
      <c r="I317" s="979">
        <v>197098</v>
      </c>
      <c r="J317" s="979">
        <v>1</v>
      </c>
      <c r="K317" s="979">
        <v>187870</v>
      </c>
      <c r="L317" s="979">
        <v>187870</v>
      </c>
      <c r="M317" s="979">
        <v>599</v>
      </c>
    </row>
    <row r="318" spans="1:13" ht="15">
      <c r="A318" s="979" t="s">
        <v>3414</v>
      </c>
      <c r="B318" s="1040" t="str">
        <f>CONCATENATE(LEFT(RIGHT(CONCATENATE("000",IFAData_TEA_1617!A318),6),3),"-",(RIGHT(RIGHT(CONCATENATE("000",IFAData_TEA_1617!A318),6),3)))</f>
        <v>020-907</v>
      </c>
      <c r="C318" s="979" t="s">
        <v>1548</v>
      </c>
      <c r="D318" s="979">
        <v>3</v>
      </c>
      <c r="E318" s="979">
        <v>1708</v>
      </c>
      <c r="F318" s="979" t="s">
        <v>4263</v>
      </c>
      <c r="G318" s="979" t="s">
        <v>4264</v>
      </c>
      <c r="H318" s="979">
        <v>361373</v>
      </c>
      <c r="I318" s="979">
        <v>279030</v>
      </c>
      <c r="J318" s="979">
        <v>0.80157079493484706</v>
      </c>
      <c r="K318" s="979">
        <v>289666.04287799046</v>
      </c>
      <c r="L318" s="979">
        <v>279030</v>
      </c>
      <c r="M318" s="979">
        <v>599</v>
      </c>
    </row>
    <row r="319" spans="1:13" ht="15">
      <c r="A319" s="979" t="s">
        <v>3414</v>
      </c>
      <c r="B319" s="1040" t="str">
        <f>CONCATENATE(LEFT(RIGHT(CONCATENATE("000",IFAData_TEA_1617!A319),6),3),"-",(RIGHT(RIGHT(CONCATENATE("000",IFAData_TEA_1617!A319),6),3)))</f>
        <v>020-907</v>
      </c>
      <c r="C319" s="979" t="s">
        <v>1548</v>
      </c>
      <c r="D319" s="979">
        <v>3</v>
      </c>
      <c r="E319" s="979">
        <v>1708</v>
      </c>
      <c r="F319" s="979" t="s">
        <v>4263</v>
      </c>
      <c r="G319" s="979" t="s">
        <v>4263</v>
      </c>
      <c r="H319" s="979">
        <v>361373</v>
      </c>
      <c r="I319" s="979">
        <v>0</v>
      </c>
      <c r="J319" s="979">
        <v>0</v>
      </c>
      <c r="K319" s="979">
        <v>0</v>
      </c>
      <c r="L319" s="979">
        <v>0</v>
      </c>
      <c r="M319" s="979">
        <v>599</v>
      </c>
    </row>
    <row r="320" spans="1:13" ht="15">
      <c r="A320" s="979" t="s">
        <v>3414</v>
      </c>
      <c r="B320" s="1040" t="str">
        <f>CONCATENATE(LEFT(RIGHT(CONCATENATE("000",IFAData_TEA_1617!A320),6),3),"-",(RIGHT(RIGHT(CONCATENATE("000",IFAData_TEA_1617!A320),6),3)))</f>
        <v>020-907</v>
      </c>
      <c r="C320" s="979" t="s">
        <v>1548</v>
      </c>
      <c r="D320" s="979">
        <v>3</v>
      </c>
      <c r="E320" s="979">
        <v>1708</v>
      </c>
      <c r="F320" s="979" t="s">
        <v>4263</v>
      </c>
      <c r="G320" s="979" t="s">
        <v>4265</v>
      </c>
      <c r="H320" s="979">
        <v>361373</v>
      </c>
      <c r="I320" s="979">
        <v>0</v>
      </c>
      <c r="J320" s="979">
        <v>0</v>
      </c>
      <c r="K320" s="979">
        <v>0</v>
      </c>
      <c r="L320" s="979">
        <v>0</v>
      </c>
      <c r="M320" s="979">
        <v>599</v>
      </c>
    </row>
    <row r="321" spans="1:13" ht="15">
      <c r="A321" s="979" t="s">
        <v>3414</v>
      </c>
      <c r="B321" s="1040" t="str">
        <f>CONCATENATE(LEFT(RIGHT(CONCATENATE("000",IFAData_TEA_1617!A321),6),3),"-",(RIGHT(RIGHT(CONCATENATE("000",IFAData_TEA_1617!A321),6),3)))</f>
        <v>020-907</v>
      </c>
      <c r="C321" s="979" t="s">
        <v>1548</v>
      </c>
      <c r="D321" s="979">
        <v>3</v>
      </c>
      <c r="E321" s="979">
        <v>1708</v>
      </c>
      <c r="F321" s="979" t="s">
        <v>4263</v>
      </c>
      <c r="G321" s="979" t="s">
        <v>6420</v>
      </c>
      <c r="H321" s="979">
        <v>361373</v>
      </c>
      <c r="I321" s="979">
        <v>69074</v>
      </c>
      <c r="J321" s="979">
        <v>0.19842920506515294</v>
      </c>
      <c r="K321" s="979">
        <v>71706.957122009509</v>
      </c>
      <c r="L321" s="979">
        <v>69074</v>
      </c>
      <c r="M321" s="979">
        <v>599</v>
      </c>
    </row>
    <row r="322" spans="1:13" ht="15">
      <c r="A322" s="979" t="s">
        <v>3415</v>
      </c>
      <c r="B322" s="1040" t="str">
        <f>CONCATENATE(LEFT(RIGHT(CONCATENATE("000",IFAData_TEA_1617!A322),6),3),"-",(RIGHT(RIGHT(CONCATENATE("000",IFAData_TEA_1617!A322),6),3)))</f>
        <v>020-908</v>
      </c>
      <c r="C322" s="979" t="s">
        <v>273</v>
      </c>
      <c r="D322" s="979">
        <v>1</v>
      </c>
      <c r="E322" s="979">
        <v>2180</v>
      </c>
      <c r="F322" s="979" t="s">
        <v>4266</v>
      </c>
      <c r="G322" s="979" t="s">
        <v>4270</v>
      </c>
      <c r="H322" s="979">
        <v>1598791</v>
      </c>
      <c r="I322" s="979">
        <v>233762</v>
      </c>
      <c r="J322" s="979">
        <v>0.45746704449384729</v>
      </c>
      <c r="K322" s="979">
        <v>731394.19353336259</v>
      </c>
      <c r="L322" s="979">
        <v>233762</v>
      </c>
      <c r="M322" s="979">
        <v>599</v>
      </c>
    </row>
    <row r="323" spans="1:13" ht="15">
      <c r="A323" s="979" t="s">
        <v>3415</v>
      </c>
      <c r="B323" s="1040" t="str">
        <f>CONCATENATE(LEFT(RIGHT(CONCATENATE("000",IFAData_TEA_1617!A323),6),3),"-",(RIGHT(RIGHT(CONCATENATE("000",IFAData_TEA_1617!A323),6),3)))</f>
        <v>020-908</v>
      </c>
      <c r="C323" s="979" t="s">
        <v>273</v>
      </c>
      <c r="D323" s="979">
        <v>1</v>
      </c>
      <c r="E323" s="979">
        <v>2180</v>
      </c>
      <c r="F323" s="979" t="s">
        <v>4266</v>
      </c>
      <c r="G323" s="979" t="s">
        <v>4268</v>
      </c>
      <c r="H323" s="979">
        <v>1598791</v>
      </c>
      <c r="I323" s="979">
        <v>0</v>
      </c>
      <c r="J323" s="979">
        <v>0</v>
      </c>
      <c r="K323" s="979">
        <v>0</v>
      </c>
      <c r="L323" s="979">
        <v>0</v>
      </c>
      <c r="M323" s="979">
        <v>599</v>
      </c>
    </row>
    <row r="324" spans="1:13" ht="15">
      <c r="A324" s="979" t="s">
        <v>3415</v>
      </c>
      <c r="B324" s="1040" t="str">
        <f>CONCATENATE(LEFT(RIGHT(CONCATENATE("000",IFAData_TEA_1617!A324),6),3),"-",(RIGHT(RIGHT(CONCATENATE("000",IFAData_TEA_1617!A324),6),3)))</f>
        <v>020-908</v>
      </c>
      <c r="C324" s="979" t="s">
        <v>273</v>
      </c>
      <c r="D324" s="979">
        <v>1</v>
      </c>
      <c r="E324" s="979">
        <v>2180</v>
      </c>
      <c r="F324" s="979" t="s">
        <v>4266</v>
      </c>
      <c r="G324" s="979" t="s">
        <v>4267</v>
      </c>
      <c r="H324" s="979">
        <v>1598791</v>
      </c>
      <c r="I324" s="979">
        <v>0</v>
      </c>
      <c r="J324" s="979">
        <v>0</v>
      </c>
      <c r="K324" s="979">
        <v>0</v>
      </c>
      <c r="L324" s="979">
        <v>0</v>
      </c>
      <c r="M324" s="979">
        <v>599</v>
      </c>
    </row>
    <row r="325" spans="1:13" ht="15">
      <c r="A325" s="979" t="s">
        <v>3415</v>
      </c>
      <c r="B325" s="1040" t="str">
        <f>CONCATENATE(LEFT(RIGHT(CONCATENATE("000",IFAData_TEA_1617!A325),6),3),"-",(RIGHT(RIGHT(CONCATENATE("000",IFAData_TEA_1617!A325),6),3)))</f>
        <v>020-908</v>
      </c>
      <c r="C325" s="979" t="s">
        <v>273</v>
      </c>
      <c r="D325" s="979">
        <v>1</v>
      </c>
      <c r="E325" s="979">
        <v>2180</v>
      </c>
      <c r="F325" s="979" t="s">
        <v>4266</v>
      </c>
      <c r="G325" s="979" t="s">
        <v>6202</v>
      </c>
      <c r="H325" s="979">
        <v>1598791</v>
      </c>
      <c r="I325" s="979">
        <v>24309</v>
      </c>
      <c r="J325" s="979">
        <v>4.7572173341265615E-2</v>
      </c>
      <c r="K325" s="979">
        <v>76057.962588455397</v>
      </c>
      <c r="L325" s="979">
        <v>24309</v>
      </c>
      <c r="M325" s="979">
        <v>599</v>
      </c>
    </row>
    <row r="326" spans="1:13" ht="15">
      <c r="A326" s="979" t="s">
        <v>3415</v>
      </c>
      <c r="B326" s="1040" t="str">
        <f>CONCATENATE(LEFT(RIGHT(CONCATENATE("000",IFAData_TEA_1617!A326),6),3),"-",(RIGHT(RIGHT(CONCATENATE("000",IFAData_TEA_1617!A326),6),3)))</f>
        <v>020-908</v>
      </c>
      <c r="C326" s="979" t="s">
        <v>273</v>
      </c>
      <c r="D326" s="979">
        <v>1</v>
      </c>
      <c r="E326" s="979">
        <v>2180</v>
      </c>
      <c r="F326" s="979" t="s">
        <v>4266</v>
      </c>
      <c r="G326" s="979" t="s">
        <v>6201</v>
      </c>
      <c r="H326" s="979">
        <v>1598791</v>
      </c>
      <c r="I326" s="979">
        <v>5241</v>
      </c>
      <c r="J326" s="979">
        <v>1.0256520650029747E-2</v>
      </c>
      <c r="K326" s="979">
        <v>16398.03290658171</v>
      </c>
      <c r="L326" s="979">
        <v>5241</v>
      </c>
      <c r="M326" s="979">
        <v>599</v>
      </c>
    </row>
    <row r="327" spans="1:13" ht="15">
      <c r="A327" s="979" t="s">
        <v>3415</v>
      </c>
      <c r="B327" s="1040" t="str">
        <f>CONCATENATE(LEFT(RIGHT(CONCATENATE("000",IFAData_TEA_1617!A327),6),3),"-",(RIGHT(RIGHT(CONCATENATE("000",IFAData_TEA_1617!A327),6),3)))</f>
        <v>020-908</v>
      </c>
      <c r="C327" s="979" t="s">
        <v>273</v>
      </c>
      <c r="D327" s="979">
        <v>1</v>
      </c>
      <c r="E327" s="979">
        <v>2180</v>
      </c>
      <c r="F327" s="979" t="s">
        <v>4266</v>
      </c>
      <c r="G327" s="979" t="s">
        <v>4272</v>
      </c>
      <c r="H327" s="979">
        <v>1598791</v>
      </c>
      <c r="I327" s="979">
        <v>196545</v>
      </c>
      <c r="J327" s="979">
        <v>0.38463420170961582</v>
      </c>
      <c r="K327" s="979">
        <v>614949.69998551835</v>
      </c>
      <c r="L327" s="979">
        <v>196545</v>
      </c>
      <c r="M327" s="979">
        <v>599</v>
      </c>
    </row>
    <row r="328" spans="1:13" ht="15">
      <c r="A328" s="979" t="s">
        <v>3415</v>
      </c>
      <c r="B328" s="1040" t="str">
        <f>CONCATENATE(LEFT(RIGHT(CONCATENATE("000",IFAData_TEA_1617!A328),6),3),"-",(RIGHT(RIGHT(CONCATENATE("000",IFAData_TEA_1617!A328),6),3)))</f>
        <v>020-908</v>
      </c>
      <c r="C328" s="979" t="s">
        <v>273</v>
      </c>
      <c r="D328" s="979">
        <v>1</v>
      </c>
      <c r="E328" s="979">
        <v>2180</v>
      </c>
      <c r="F328" s="979" t="s">
        <v>4266</v>
      </c>
      <c r="G328" s="979" t="s">
        <v>4266</v>
      </c>
      <c r="H328" s="979">
        <v>1598791</v>
      </c>
      <c r="I328" s="979">
        <v>0</v>
      </c>
      <c r="J328" s="979">
        <v>0</v>
      </c>
      <c r="K328" s="979">
        <v>0</v>
      </c>
      <c r="L328" s="979">
        <v>0</v>
      </c>
      <c r="M328" s="979">
        <v>599</v>
      </c>
    </row>
    <row r="329" spans="1:13" ht="15">
      <c r="A329" s="979" t="s">
        <v>3415</v>
      </c>
      <c r="B329" s="1040" t="str">
        <f>CONCATENATE(LEFT(RIGHT(CONCATENATE("000",IFAData_TEA_1617!A329),6),3),"-",(RIGHT(RIGHT(CONCATENATE("000",IFAData_TEA_1617!A329),6),3)))</f>
        <v>020-908</v>
      </c>
      <c r="C329" s="979" t="s">
        <v>273</v>
      </c>
      <c r="D329" s="979">
        <v>1</v>
      </c>
      <c r="E329" s="979">
        <v>2180</v>
      </c>
      <c r="F329" s="979" t="s">
        <v>4266</v>
      </c>
      <c r="G329" s="979" t="s">
        <v>4269</v>
      </c>
      <c r="H329" s="979">
        <v>1598791</v>
      </c>
      <c r="I329" s="979">
        <v>0</v>
      </c>
      <c r="J329" s="979">
        <v>0</v>
      </c>
      <c r="K329" s="979">
        <v>0</v>
      </c>
      <c r="L329" s="979">
        <v>0</v>
      </c>
      <c r="M329" s="979">
        <v>599</v>
      </c>
    </row>
    <row r="330" spans="1:13" ht="15">
      <c r="A330" s="979" t="s">
        <v>3415</v>
      </c>
      <c r="B330" s="1040" t="str">
        <f>CONCATENATE(LEFT(RIGHT(CONCATENATE("000",IFAData_TEA_1617!A330),6),3),"-",(RIGHT(RIGHT(CONCATENATE("000",IFAData_TEA_1617!A330),6),3)))</f>
        <v>020-908</v>
      </c>
      <c r="C330" s="979" t="s">
        <v>273</v>
      </c>
      <c r="D330" s="979">
        <v>1</v>
      </c>
      <c r="E330" s="979">
        <v>2180</v>
      </c>
      <c r="F330" s="979" t="s">
        <v>4266</v>
      </c>
      <c r="G330" s="979" t="s">
        <v>4271</v>
      </c>
      <c r="H330" s="979">
        <v>1598791</v>
      </c>
      <c r="I330" s="979">
        <v>51135</v>
      </c>
      <c r="J330" s="979">
        <v>0.10007005980524157</v>
      </c>
      <c r="K330" s="979">
        <v>159991.11098608197</v>
      </c>
      <c r="L330" s="979">
        <v>51135</v>
      </c>
      <c r="M330" s="979">
        <v>599</v>
      </c>
    </row>
    <row r="331" spans="1:13" ht="15">
      <c r="A331" s="979" t="s">
        <v>3416</v>
      </c>
      <c r="B331" s="1040" t="str">
        <f>CONCATENATE(LEFT(RIGHT(CONCATENATE("000",IFAData_TEA_1617!A331),6),3),"-",(RIGHT(RIGHT(CONCATENATE("000",IFAData_TEA_1617!A331),6),3)))</f>
        <v>020-910</v>
      </c>
      <c r="C331" s="979" t="s">
        <v>2493</v>
      </c>
      <c r="D331" s="979">
        <v>10</v>
      </c>
      <c r="E331" s="979">
        <v>1743</v>
      </c>
      <c r="F331" s="979" t="s">
        <v>4273</v>
      </c>
      <c r="G331" s="979" t="s">
        <v>4273</v>
      </c>
      <c r="H331" s="979">
        <v>100000</v>
      </c>
      <c r="I331" s="979">
        <v>167575</v>
      </c>
      <c r="J331" s="979">
        <v>1</v>
      </c>
      <c r="K331" s="979">
        <v>100000</v>
      </c>
      <c r="L331" s="979">
        <v>100000</v>
      </c>
      <c r="M331" s="979">
        <v>199</v>
      </c>
    </row>
    <row r="332" spans="1:13" ht="15">
      <c r="A332" s="979" t="s">
        <v>3417</v>
      </c>
      <c r="B332" s="1040" t="str">
        <f>CONCATENATE(LEFT(RIGHT(CONCATENATE("000",IFAData_TEA_1617!A332),6),3),"-",(RIGHT(RIGHT(CONCATENATE("000",IFAData_TEA_1617!A332),6),3)))</f>
        <v>021-901</v>
      </c>
      <c r="C332" s="979" t="s">
        <v>1169</v>
      </c>
      <c r="D332" s="979">
        <v>2</v>
      </c>
      <c r="E332" s="979">
        <v>1705</v>
      </c>
      <c r="F332" s="979" t="s">
        <v>4274</v>
      </c>
      <c r="G332" s="979" t="s">
        <v>4276</v>
      </c>
      <c r="H332" s="979">
        <v>1632000</v>
      </c>
      <c r="I332" s="979">
        <v>3474625</v>
      </c>
      <c r="J332" s="979">
        <v>0.43856023123138282</v>
      </c>
      <c r="K332" s="979">
        <v>715730.2973696168</v>
      </c>
      <c r="L332" s="979">
        <v>715730.2973696168</v>
      </c>
      <c r="M332" s="979">
        <v>599</v>
      </c>
    </row>
    <row r="333" spans="1:13" ht="15">
      <c r="A333" s="979" t="s">
        <v>3417</v>
      </c>
      <c r="B333" s="1040" t="str">
        <f>CONCATENATE(LEFT(RIGHT(CONCATENATE("000",IFAData_TEA_1617!A333),6),3),"-",(RIGHT(RIGHT(CONCATENATE("000",IFAData_TEA_1617!A333),6),3)))</f>
        <v>021-901</v>
      </c>
      <c r="C333" s="979" t="s">
        <v>1169</v>
      </c>
      <c r="D333" s="979">
        <v>2</v>
      </c>
      <c r="E333" s="979">
        <v>1705</v>
      </c>
      <c r="F333" s="979" t="s">
        <v>4274</v>
      </c>
      <c r="G333" s="979" t="s">
        <v>4275</v>
      </c>
      <c r="H333" s="979">
        <v>1632000</v>
      </c>
      <c r="I333" s="979">
        <v>0</v>
      </c>
      <c r="J333" s="979">
        <v>0</v>
      </c>
      <c r="K333" s="979">
        <v>0</v>
      </c>
      <c r="L333" s="979">
        <v>0</v>
      </c>
      <c r="M333" s="979">
        <v>599</v>
      </c>
    </row>
    <row r="334" spans="1:13" ht="15">
      <c r="A334" s="979" t="s">
        <v>3417</v>
      </c>
      <c r="B334" s="1040" t="str">
        <f>CONCATENATE(LEFT(RIGHT(CONCATENATE("000",IFAData_TEA_1617!A334),6),3),"-",(RIGHT(RIGHT(CONCATENATE("000",IFAData_TEA_1617!A334),6),3)))</f>
        <v>021-901</v>
      </c>
      <c r="C334" s="979" t="s">
        <v>1169</v>
      </c>
      <c r="D334" s="979">
        <v>2</v>
      </c>
      <c r="E334" s="979">
        <v>1705</v>
      </c>
      <c r="F334" s="979" t="s">
        <v>4274</v>
      </c>
      <c r="G334" s="979" t="s">
        <v>6203</v>
      </c>
      <c r="H334" s="979">
        <v>1632000</v>
      </c>
      <c r="I334" s="979">
        <v>4448175</v>
      </c>
      <c r="J334" s="979">
        <v>0.56143976876861712</v>
      </c>
      <c r="K334" s="979">
        <v>916269.7026303832</v>
      </c>
      <c r="L334" s="979">
        <v>916269.7026303832</v>
      </c>
      <c r="M334" s="979">
        <v>599</v>
      </c>
    </row>
    <row r="335" spans="1:13" ht="15">
      <c r="A335" s="979" t="s">
        <v>3417</v>
      </c>
      <c r="B335" s="1040" t="str">
        <f>CONCATENATE(LEFT(RIGHT(CONCATENATE("000",IFAData_TEA_1617!A335),6),3),"-",(RIGHT(RIGHT(CONCATENATE("000",IFAData_TEA_1617!A335),6),3)))</f>
        <v>021-901</v>
      </c>
      <c r="C335" s="979" t="s">
        <v>1169</v>
      </c>
      <c r="D335" s="979">
        <v>2</v>
      </c>
      <c r="E335" s="979">
        <v>1705</v>
      </c>
      <c r="F335" s="979" t="s">
        <v>4274</v>
      </c>
      <c r="G335" s="979" t="s">
        <v>4274</v>
      </c>
      <c r="H335" s="979">
        <v>1632000</v>
      </c>
      <c r="I335" s="979">
        <v>0</v>
      </c>
      <c r="J335" s="979">
        <v>0</v>
      </c>
      <c r="K335" s="979">
        <v>0</v>
      </c>
      <c r="L335" s="979">
        <v>0</v>
      </c>
      <c r="M335" s="979">
        <v>599</v>
      </c>
    </row>
    <row r="336" spans="1:13" ht="15">
      <c r="A336" s="979" t="s">
        <v>3418</v>
      </c>
      <c r="B336" s="1040" t="str">
        <f>CONCATENATE(LEFT(RIGHT(CONCATENATE("000",IFAData_TEA_1617!A336),6),3),"-",(RIGHT(RIGHT(CONCATENATE("000",IFAData_TEA_1617!A336),6),3)))</f>
        <v>021-902</v>
      </c>
      <c r="C336" s="979" t="s">
        <v>2636</v>
      </c>
      <c r="D336" s="979">
        <v>9</v>
      </c>
      <c r="E336" s="979">
        <v>1648</v>
      </c>
      <c r="F336" s="979" t="s">
        <v>4279</v>
      </c>
      <c r="G336" s="979" t="s">
        <v>4279</v>
      </c>
      <c r="H336" s="979">
        <v>2150873</v>
      </c>
      <c r="I336" s="979">
        <v>1494738</v>
      </c>
      <c r="J336" s="979">
        <v>1</v>
      </c>
      <c r="K336" s="979">
        <v>2150873</v>
      </c>
      <c r="L336" s="979">
        <v>1494738</v>
      </c>
      <c r="M336" s="979">
        <v>599</v>
      </c>
    </row>
    <row r="337" spans="1:13" ht="15">
      <c r="A337" s="979" t="s">
        <v>3418</v>
      </c>
      <c r="B337" s="1040" t="str">
        <f>CONCATENATE(LEFT(RIGHT(CONCATENATE("000",IFAData_TEA_1617!A337),6),3),"-",(RIGHT(RIGHT(CONCATENATE("000",IFAData_TEA_1617!A337),6),3)))</f>
        <v>021-902</v>
      </c>
      <c r="C337" s="979" t="s">
        <v>2636</v>
      </c>
      <c r="D337" s="979">
        <v>2</v>
      </c>
      <c r="E337" s="979">
        <v>1647</v>
      </c>
      <c r="F337" s="979" t="s">
        <v>4277</v>
      </c>
      <c r="G337" s="979" t="s">
        <v>4277</v>
      </c>
      <c r="H337" s="979">
        <v>1547958</v>
      </c>
      <c r="I337" s="979">
        <v>0</v>
      </c>
      <c r="J337" s="979">
        <v>0</v>
      </c>
      <c r="K337" s="979"/>
      <c r="L337" s="979">
        <v>0</v>
      </c>
      <c r="M337" s="979">
        <v>199</v>
      </c>
    </row>
    <row r="338" spans="1:13" ht="15">
      <c r="A338" s="979" t="s">
        <v>3418</v>
      </c>
      <c r="B338" s="1040" t="str">
        <f>CONCATENATE(LEFT(RIGHT(CONCATENATE("000",IFAData_TEA_1617!A338),6),3),"-",(RIGHT(RIGHT(CONCATENATE("000",IFAData_TEA_1617!A338),6),3)))</f>
        <v>021-902</v>
      </c>
      <c r="C338" s="979" t="s">
        <v>2636</v>
      </c>
      <c r="D338" s="979">
        <v>6</v>
      </c>
      <c r="E338" s="979">
        <v>1646</v>
      </c>
      <c r="F338" s="979" t="s">
        <v>4278</v>
      </c>
      <c r="G338" s="979" t="s">
        <v>4278</v>
      </c>
      <c r="H338" s="979">
        <v>424846</v>
      </c>
      <c r="I338" s="979">
        <v>0</v>
      </c>
      <c r="J338" s="979">
        <v>0</v>
      </c>
      <c r="K338" s="979"/>
      <c r="L338" s="979">
        <v>0</v>
      </c>
      <c r="M338" s="979">
        <v>599</v>
      </c>
    </row>
    <row r="339" spans="1:13" ht="15">
      <c r="A339" s="979" t="s">
        <v>3419</v>
      </c>
      <c r="B339" s="1040" t="str">
        <f>CONCATENATE(LEFT(RIGHT(CONCATENATE("000",IFAData_TEA_1617!A339),6),3),"-",(RIGHT(RIGHT(CONCATENATE("000",IFAData_TEA_1617!A339),6),3)))</f>
        <v>025-904</v>
      </c>
      <c r="C339" s="979" t="s">
        <v>1343</v>
      </c>
      <c r="D339" s="979">
        <v>4</v>
      </c>
      <c r="E339" s="979">
        <v>1617</v>
      </c>
      <c r="F339" s="979" t="s">
        <v>4281</v>
      </c>
      <c r="G339" s="979" t="s">
        <v>4282</v>
      </c>
      <c r="H339" s="979">
        <v>100000</v>
      </c>
      <c r="I339" s="979">
        <v>92995</v>
      </c>
      <c r="J339" s="979">
        <v>1</v>
      </c>
      <c r="K339" s="979">
        <v>100000</v>
      </c>
      <c r="L339" s="979">
        <v>92995</v>
      </c>
      <c r="M339" s="979">
        <v>599</v>
      </c>
    </row>
    <row r="340" spans="1:13" ht="15">
      <c r="A340" s="979" t="s">
        <v>3419</v>
      </c>
      <c r="B340" s="1040" t="str">
        <f>CONCATENATE(LEFT(RIGHT(CONCATENATE("000",IFAData_TEA_1617!A340),6),3),"-",(RIGHT(RIGHT(CONCATENATE("000",IFAData_TEA_1617!A340),6),3)))</f>
        <v>025-904</v>
      </c>
      <c r="C340" s="979" t="s">
        <v>1343</v>
      </c>
      <c r="D340" s="979">
        <v>2</v>
      </c>
      <c r="E340" s="979">
        <v>1616</v>
      </c>
      <c r="F340" s="979" t="s">
        <v>4280</v>
      </c>
      <c r="G340" s="979" t="s">
        <v>4280</v>
      </c>
      <c r="H340" s="979">
        <v>100000</v>
      </c>
      <c r="I340" s="979">
        <v>0</v>
      </c>
      <c r="J340" s="979">
        <v>0</v>
      </c>
      <c r="K340" s="979"/>
      <c r="L340" s="979">
        <v>0</v>
      </c>
      <c r="M340" s="979">
        <v>199</v>
      </c>
    </row>
    <row r="341" spans="1:13" ht="15">
      <c r="A341" s="979" t="s">
        <v>3419</v>
      </c>
      <c r="B341" s="1040" t="str">
        <f>CONCATENATE(LEFT(RIGHT(CONCATENATE("000",IFAData_TEA_1617!A341),6),3),"-",(RIGHT(RIGHT(CONCATENATE("000",IFAData_TEA_1617!A341),6),3)))</f>
        <v>025-904</v>
      </c>
      <c r="C341" s="979" t="s">
        <v>1343</v>
      </c>
      <c r="D341" s="979">
        <v>4</v>
      </c>
      <c r="E341" s="979">
        <v>1617</v>
      </c>
      <c r="F341" s="979" t="s">
        <v>4281</v>
      </c>
      <c r="G341" s="979" t="s">
        <v>4281</v>
      </c>
      <c r="H341" s="979">
        <v>100000</v>
      </c>
      <c r="I341" s="979">
        <v>0</v>
      </c>
      <c r="J341" s="979">
        <v>0</v>
      </c>
      <c r="K341" s="979">
        <v>0</v>
      </c>
      <c r="L341" s="979">
        <v>0</v>
      </c>
      <c r="M341" s="979">
        <v>599</v>
      </c>
    </row>
    <row r="342" spans="1:13" ht="15">
      <c r="A342" s="979" t="s">
        <v>3420</v>
      </c>
      <c r="B342" s="1040" t="str">
        <f>CONCATENATE(LEFT(RIGHT(CONCATENATE("000",IFAData_TEA_1617!A342),6),3),"-",(RIGHT(RIGHT(CONCATENATE("000",IFAData_TEA_1617!A342),6),3)))</f>
        <v>025-905</v>
      </c>
      <c r="C342" s="979" t="s">
        <v>2068</v>
      </c>
      <c r="D342" s="979">
        <v>1</v>
      </c>
      <c r="E342" s="979">
        <v>2077</v>
      </c>
      <c r="F342" s="979" t="s">
        <v>4283</v>
      </c>
      <c r="G342" s="979" t="s">
        <v>4284</v>
      </c>
      <c r="H342" s="979">
        <v>92069</v>
      </c>
      <c r="I342" s="979">
        <v>92592</v>
      </c>
      <c r="J342" s="979">
        <v>1</v>
      </c>
      <c r="K342" s="979">
        <v>92069</v>
      </c>
      <c r="L342" s="979">
        <v>92069</v>
      </c>
      <c r="M342" s="979">
        <v>599</v>
      </c>
    </row>
    <row r="343" spans="1:13" ht="15">
      <c r="A343" s="979" t="s">
        <v>3420</v>
      </c>
      <c r="B343" s="1040" t="str">
        <f>CONCATENATE(LEFT(RIGHT(CONCATENATE("000",IFAData_TEA_1617!A343),6),3),"-",(RIGHT(RIGHT(CONCATENATE("000",IFAData_TEA_1617!A343),6),3)))</f>
        <v>025-905</v>
      </c>
      <c r="C343" s="979" t="s">
        <v>2068</v>
      </c>
      <c r="D343" s="979">
        <v>1</v>
      </c>
      <c r="E343" s="979">
        <v>2077</v>
      </c>
      <c r="F343" s="979" t="s">
        <v>4283</v>
      </c>
      <c r="G343" s="979" t="s">
        <v>4283</v>
      </c>
      <c r="H343" s="979">
        <v>92069</v>
      </c>
      <c r="I343" s="979">
        <v>0</v>
      </c>
      <c r="J343" s="979">
        <v>0</v>
      </c>
      <c r="K343" s="979">
        <v>0</v>
      </c>
      <c r="L343" s="979">
        <v>0</v>
      </c>
      <c r="M343" s="979">
        <v>599</v>
      </c>
    </row>
    <row r="344" spans="1:13" ht="15">
      <c r="A344" s="979" t="s">
        <v>3421</v>
      </c>
      <c r="B344" s="1040" t="str">
        <f>CONCATENATE(LEFT(RIGHT(CONCATENATE("000",IFAData_TEA_1617!A344),6),3),"-",(RIGHT(RIGHT(CONCATENATE("000",IFAData_TEA_1617!A344),6),3)))</f>
        <v>025-906</v>
      </c>
      <c r="C344" s="979" t="s">
        <v>2675</v>
      </c>
      <c r="D344" s="979">
        <v>9</v>
      </c>
      <c r="E344" s="979">
        <v>2471</v>
      </c>
      <c r="F344" s="979" t="s">
        <v>4286</v>
      </c>
      <c r="G344" s="979" t="s">
        <v>4286</v>
      </c>
      <c r="H344" s="979">
        <v>100000</v>
      </c>
      <c r="I344" s="979">
        <v>63610</v>
      </c>
      <c r="J344" s="979">
        <v>0.37614347972633361</v>
      </c>
      <c r="K344" s="979">
        <v>37614.347972633361</v>
      </c>
      <c r="L344" s="979">
        <v>37614.347972633361</v>
      </c>
      <c r="M344" s="979">
        <v>599</v>
      </c>
    </row>
    <row r="345" spans="1:13" ht="15">
      <c r="A345" s="979" t="s">
        <v>3421</v>
      </c>
      <c r="B345" s="1040" t="str">
        <f>CONCATENATE(LEFT(RIGHT(CONCATENATE("000",IFAData_TEA_1617!A345),6),3),"-",(RIGHT(RIGHT(CONCATENATE("000",IFAData_TEA_1617!A345),6),3)))</f>
        <v>025-906</v>
      </c>
      <c r="C345" s="979" t="s">
        <v>2675</v>
      </c>
      <c r="D345" s="979">
        <v>2</v>
      </c>
      <c r="E345" s="979">
        <v>2470</v>
      </c>
      <c r="F345" s="979" t="s">
        <v>4285</v>
      </c>
      <c r="G345" s="979" t="s">
        <v>4285</v>
      </c>
      <c r="H345" s="979">
        <v>43725</v>
      </c>
      <c r="I345" s="979">
        <v>43315</v>
      </c>
      <c r="J345" s="979">
        <v>1</v>
      </c>
      <c r="K345" s="979">
        <v>43725</v>
      </c>
      <c r="L345" s="979">
        <v>43315</v>
      </c>
      <c r="M345" s="979">
        <v>599</v>
      </c>
    </row>
    <row r="346" spans="1:13" ht="15">
      <c r="A346" s="979" t="s">
        <v>3421</v>
      </c>
      <c r="B346" s="1040" t="str">
        <f>CONCATENATE(LEFT(RIGHT(CONCATENATE("000",IFAData_TEA_1617!A346),6),3),"-",(RIGHT(RIGHT(CONCATENATE("000",IFAData_TEA_1617!A346),6),3)))</f>
        <v>025-906</v>
      </c>
      <c r="C346" s="979" t="s">
        <v>2675</v>
      </c>
      <c r="D346" s="979">
        <v>10</v>
      </c>
      <c r="E346" s="979">
        <v>2472</v>
      </c>
      <c r="F346" s="979" t="s">
        <v>4287</v>
      </c>
      <c r="G346" s="979" t="s">
        <v>4287</v>
      </c>
      <c r="H346" s="979">
        <v>100000</v>
      </c>
      <c r="I346" s="979">
        <v>33440</v>
      </c>
      <c r="J346" s="979">
        <v>0.37572611543690521</v>
      </c>
      <c r="K346" s="979">
        <v>37572.611543690524</v>
      </c>
      <c r="L346" s="979">
        <v>33440</v>
      </c>
      <c r="M346" s="979">
        <v>599</v>
      </c>
    </row>
    <row r="347" spans="1:13" ht="15">
      <c r="A347" s="979" t="s">
        <v>3421</v>
      </c>
      <c r="B347" s="1040" t="str">
        <f>CONCATENATE(LEFT(RIGHT(CONCATENATE("000",IFAData_TEA_1617!A347),6),3),"-",(RIGHT(RIGHT(CONCATENATE("000",IFAData_TEA_1617!A347),6),3)))</f>
        <v>025-906</v>
      </c>
      <c r="C347" s="979" t="s">
        <v>2675</v>
      </c>
      <c r="D347" s="979">
        <v>10</v>
      </c>
      <c r="E347" s="979">
        <v>2472</v>
      </c>
      <c r="F347" s="979" t="s">
        <v>4287</v>
      </c>
      <c r="G347" s="979" t="s">
        <v>6421</v>
      </c>
      <c r="H347" s="979">
        <v>100000</v>
      </c>
      <c r="I347" s="979">
        <v>55561</v>
      </c>
      <c r="J347" s="979">
        <v>0.62427388456309485</v>
      </c>
      <c r="K347" s="979">
        <v>62427.388456309483</v>
      </c>
      <c r="L347" s="979">
        <v>55561</v>
      </c>
      <c r="M347" s="979">
        <v>599</v>
      </c>
    </row>
    <row r="348" spans="1:13" ht="15">
      <c r="A348" s="979" t="s">
        <v>3421</v>
      </c>
      <c r="B348" s="1040" t="str">
        <f>CONCATENATE(LEFT(RIGHT(CONCATENATE("000",IFAData_TEA_1617!A348),6),3),"-",(RIGHT(RIGHT(CONCATENATE("000",IFAData_TEA_1617!A348),6),3)))</f>
        <v>025-906</v>
      </c>
      <c r="C348" s="979" t="s">
        <v>2675</v>
      </c>
      <c r="D348" s="979">
        <v>9</v>
      </c>
      <c r="E348" s="979">
        <v>2471</v>
      </c>
      <c r="F348" s="979" t="s">
        <v>4286</v>
      </c>
      <c r="G348" s="979" t="s">
        <v>6421</v>
      </c>
      <c r="H348" s="979">
        <v>100000</v>
      </c>
      <c r="I348" s="979">
        <v>105501</v>
      </c>
      <c r="J348" s="979">
        <v>0.62385652027366645</v>
      </c>
      <c r="K348" s="979">
        <v>62385.652027366647</v>
      </c>
      <c r="L348" s="979">
        <v>62385.652027366647</v>
      </c>
      <c r="M348" s="979">
        <v>599</v>
      </c>
    </row>
    <row r="349" spans="1:13" ht="15">
      <c r="A349" s="979" t="s">
        <v>3422</v>
      </c>
      <c r="B349" s="1040" t="str">
        <f>CONCATENATE(LEFT(RIGHT(CONCATENATE("000",IFAData_TEA_1617!A349),6),3),"-",(RIGHT(RIGHT(CONCATENATE("000",IFAData_TEA_1617!A349),6),3)))</f>
        <v>025-908</v>
      </c>
      <c r="C349" s="979" t="s">
        <v>2416</v>
      </c>
      <c r="D349" s="979">
        <v>4</v>
      </c>
      <c r="E349" s="979">
        <v>1636</v>
      </c>
      <c r="F349" s="979" t="s">
        <v>4288</v>
      </c>
      <c r="G349" s="979" t="s">
        <v>4288</v>
      </c>
      <c r="H349" s="979">
        <v>100000</v>
      </c>
      <c r="I349" s="979">
        <v>0</v>
      </c>
      <c r="J349" s="979">
        <v>0</v>
      </c>
      <c r="K349" s="979">
        <v>0</v>
      </c>
      <c r="L349" s="979">
        <v>0</v>
      </c>
      <c r="M349" s="979">
        <v>599</v>
      </c>
    </row>
    <row r="350" spans="1:13" ht="15">
      <c r="A350" s="979" t="s">
        <v>3422</v>
      </c>
      <c r="B350" s="1040" t="str">
        <f>CONCATENATE(LEFT(RIGHT(CONCATENATE("000",IFAData_TEA_1617!A350),6),3),"-",(RIGHT(RIGHT(CONCATENATE("000",IFAData_TEA_1617!A350),6),3)))</f>
        <v>025-908</v>
      </c>
      <c r="C350" s="979" t="s">
        <v>2416</v>
      </c>
      <c r="D350" s="979">
        <v>4</v>
      </c>
      <c r="E350" s="979">
        <v>1636</v>
      </c>
      <c r="F350" s="979" t="s">
        <v>4288</v>
      </c>
      <c r="G350" s="979" t="s">
        <v>4289</v>
      </c>
      <c r="H350" s="979">
        <v>100000</v>
      </c>
      <c r="I350" s="979">
        <v>93430</v>
      </c>
      <c r="J350" s="979">
        <v>1</v>
      </c>
      <c r="K350" s="979">
        <v>100000</v>
      </c>
      <c r="L350" s="979">
        <v>93430</v>
      </c>
      <c r="M350" s="979">
        <v>599</v>
      </c>
    </row>
    <row r="351" spans="1:13" ht="15">
      <c r="A351" s="979" t="s">
        <v>3423</v>
      </c>
      <c r="B351" s="1040" t="str">
        <f>CONCATENATE(LEFT(RIGHT(CONCATENATE("000",IFAData_TEA_1617!A351),6),3),"-",(RIGHT(RIGHT(CONCATENATE("000",IFAData_TEA_1617!A351),6),3)))</f>
        <v>025-909</v>
      </c>
      <c r="C351" s="979" t="s">
        <v>1063</v>
      </c>
      <c r="D351" s="979">
        <v>1</v>
      </c>
      <c r="E351" s="979">
        <v>1777</v>
      </c>
      <c r="F351" s="979" t="s">
        <v>4290</v>
      </c>
      <c r="G351" s="979" t="s">
        <v>4292</v>
      </c>
      <c r="H351" s="979">
        <v>209945</v>
      </c>
      <c r="I351" s="979">
        <v>362350</v>
      </c>
      <c r="J351" s="979">
        <v>1</v>
      </c>
      <c r="K351" s="979">
        <v>209945</v>
      </c>
      <c r="L351" s="979">
        <v>209945</v>
      </c>
      <c r="M351" s="979">
        <v>599</v>
      </c>
    </row>
    <row r="352" spans="1:13" ht="15">
      <c r="A352" s="979" t="s">
        <v>3423</v>
      </c>
      <c r="B352" s="1040" t="str">
        <f>CONCATENATE(LEFT(RIGHT(CONCATENATE("000",IFAData_TEA_1617!A352),6),3),"-",(RIGHT(RIGHT(CONCATENATE("000",IFAData_TEA_1617!A352),6),3)))</f>
        <v>025-909</v>
      </c>
      <c r="C352" s="979" t="s">
        <v>1063</v>
      </c>
      <c r="D352" s="979">
        <v>1</v>
      </c>
      <c r="E352" s="979">
        <v>1777</v>
      </c>
      <c r="F352" s="979" t="s">
        <v>4290</v>
      </c>
      <c r="G352" s="979" t="s">
        <v>4290</v>
      </c>
      <c r="H352" s="979">
        <v>209945</v>
      </c>
      <c r="I352" s="979">
        <v>0</v>
      </c>
      <c r="J352" s="979">
        <v>0</v>
      </c>
      <c r="K352" s="979">
        <v>0</v>
      </c>
      <c r="L352" s="979">
        <v>0</v>
      </c>
      <c r="M352" s="979">
        <v>599</v>
      </c>
    </row>
    <row r="353" spans="1:13" ht="15">
      <c r="A353" s="979" t="s">
        <v>3423</v>
      </c>
      <c r="B353" s="1040" t="str">
        <f>CONCATENATE(LEFT(RIGHT(CONCATENATE("000",IFAData_TEA_1617!A353),6),3),"-",(RIGHT(RIGHT(CONCATENATE("000",IFAData_TEA_1617!A353),6),3)))</f>
        <v>025-909</v>
      </c>
      <c r="C353" s="979" t="s">
        <v>1063</v>
      </c>
      <c r="D353" s="979">
        <v>9</v>
      </c>
      <c r="E353" s="979">
        <v>1778</v>
      </c>
      <c r="F353" s="979" t="s">
        <v>4293</v>
      </c>
      <c r="G353" s="979" t="s">
        <v>4294</v>
      </c>
      <c r="H353" s="979">
        <v>323704</v>
      </c>
      <c r="I353" s="979">
        <v>324950</v>
      </c>
      <c r="J353" s="979">
        <v>0.25977524784373351</v>
      </c>
      <c r="K353" s="979">
        <v>84090.286828007913</v>
      </c>
      <c r="L353" s="979">
        <v>84090.286828007913</v>
      </c>
      <c r="M353" s="979">
        <v>599</v>
      </c>
    </row>
    <row r="354" spans="1:13" ht="15">
      <c r="A354" s="979" t="s">
        <v>3423</v>
      </c>
      <c r="B354" s="1040" t="str">
        <f>CONCATENATE(LEFT(RIGHT(CONCATENATE("000",IFAData_TEA_1617!A354),6),3),"-",(RIGHT(RIGHT(CONCATENATE("000",IFAData_TEA_1617!A354),6),3)))</f>
        <v>025-909</v>
      </c>
      <c r="C354" s="979" t="s">
        <v>1063</v>
      </c>
      <c r="D354" s="979">
        <v>10</v>
      </c>
      <c r="E354" s="979">
        <v>1776</v>
      </c>
      <c r="F354" s="979" t="s">
        <v>4295</v>
      </c>
      <c r="G354" s="979" t="s">
        <v>4295</v>
      </c>
      <c r="H354" s="979">
        <v>160450</v>
      </c>
      <c r="I354" s="979">
        <v>109175</v>
      </c>
      <c r="J354" s="979">
        <v>1</v>
      </c>
      <c r="K354" s="979">
        <v>160450</v>
      </c>
      <c r="L354" s="979">
        <v>109175</v>
      </c>
      <c r="M354" s="979">
        <v>599</v>
      </c>
    </row>
    <row r="355" spans="1:13" ht="15">
      <c r="A355" s="979" t="s">
        <v>3423</v>
      </c>
      <c r="B355" s="1040" t="str">
        <f>CONCATENATE(LEFT(RIGHT(CONCATENATE("000",IFAData_TEA_1617!A355),6),3),"-",(RIGHT(RIGHT(CONCATENATE("000",IFAData_TEA_1617!A355),6),3)))</f>
        <v>025-909</v>
      </c>
      <c r="C355" s="979" t="s">
        <v>1063</v>
      </c>
      <c r="D355" s="979">
        <v>9</v>
      </c>
      <c r="E355" s="979">
        <v>1778</v>
      </c>
      <c r="F355" s="979" t="s">
        <v>4293</v>
      </c>
      <c r="G355" s="979" t="s">
        <v>6422</v>
      </c>
      <c r="H355" s="979">
        <v>323704</v>
      </c>
      <c r="I355" s="979">
        <v>247161</v>
      </c>
      <c r="J355" s="979">
        <v>0.19758827521866448</v>
      </c>
      <c r="K355" s="979">
        <v>63960.115041382567</v>
      </c>
      <c r="L355" s="979">
        <v>63960.115041382567</v>
      </c>
      <c r="M355" s="979">
        <v>599</v>
      </c>
    </row>
    <row r="356" spans="1:13" ht="15">
      <c r="A356" s="979" t="s">
        <v>3423</v>
      </c>
      <c r="B356" s="1040" t="str">
        <f>CONCATENATE(LEFT(RIGHT(CONCATENATE("000",IFAData_TEA_1617!A356),6),3),"-",(RIGHT(RIGHT(CONCATENATE("000",IFAData_TEA_1617!A356),6),3)))</f>
        <v>025-909</v>
      </c>
      <c r="C356" s="979" t="s">
        <v>1063</v>
      </c>
      <c r="D356" s="979">
        <v>9</v>
      </c>
      <c r="E356" s="979">
        <v>1778</v>
      </c>
      <c r="F356" s="979" t="s">
        <v>4293</v>
      </c>
      <c r="G356" s="979" t="s">
        <v>4293</v>
      </c>
      <c r="H356" s="979">
        <v>323704</v>
      </c>
      <c r="I356" s="979">
        <v>678778</v>
      </c>
      <c r="J356" s="979">
        <v>0.54263647693760197</v>
      </c>
      <c r="K356" s="979">
        <v>175653.59813060952</v>
      </c>
      <c r="L356" s="979">
        <v>175653.59813060952</v>
      </c>
      <c r="M356" s="979">
        <v>599</v>
      </c>
    </row>
    <row r="357" spans="1:13" ht="15">
      <c r="A357" s="979" t="s">
        <v>3423</v>
      </c>
      <c r="B357" s="1040" t="str">
        <f>CONCATENATE(LEFT(RIGHT(CONCATENATE("000",IFAData_TEA_1617!A357),6),3),"-",(RIGHT(RIGHT(CONCATENATE("000",IFAData_TEA_1617!A357),6),3)))</f>
        <v>025-909</v>
      </c>
      <c r="C357" s="979" t="s">
        <v>1063</v>
      </c>
      <c r="D357" s="979">
        <v>1</v>
      </c>
      <c r="E357" s="979">
        <v>1777</v>
      </c>
      <c r="F357" s="979" t="s">
        <v>4290</v>
      </c>
      <c r="G357" s="979" t="s">
        <v>4291</v>
      </c>
      <c r="H357" s="979">
        <v>209945</v>
      </c>
      <c r="I357" s="979">
        <v>0</v>
      </c>
      <c r="J357" s="979">
        <v>0</v>
      </c>
      <c r="K357" s="979">
        <v>0</v>
      </c>
      <c r="L357" s="979">
        <v>0</v>
      </c>
      <c r="M357" s="979">
        <v>599</v>
      </c>
    </row>
    <row r="358" spans="1:13" ht="15">
      <c r="A358" s="979" t="s">
        <v>3424</v>
      </c>
      <c r="B358" s="1040" t="str">
        <f>CONCATENATE(LEFT(RIGHT(CONCATENATE("000",IFAData_TEA_1617!A358),6),3),"-",(RIGHT(RIGHT(CONCATENATE("000",IFAData_TEA_1617!A358),6),3)))</f>
        <v>026-903</v>
      </c>
      <c r="C358" s="979" t="s">
        <v>1597</v>
      </c>
      <c r="D358" s="979">
        <v>9</v>
      </c>
      <c r="E358" s="979">
        <v>2345</v>
      </c>
      <c r="F358" s="979" t="s">
        <v>4296</v>
      </c>
      <c r="G358" s="979" t="s">
        <v>4296</v>
      </c>
      <c r="H358" s="979">
        <v>110365</v>
      </c>
      <c r="I358" s="979">
        <v>240875</v>
      </c>
      <c r="J358" s="979">
        <v>0.45300672340025389</v>
      </c>
      <c r="K358" s="979">
        <v>49996.087028069021</v>
      </c>
      <c r="L358" s="979">
        <v>49996.087028069021</v>
      </c>
      <c r="M358" s="979">
        <v>599</v>
      </c>
    </row>
    <row r="359" spans="1:13" ht="15">
      <c r="A359" s="979" t="s">
        <v>3424</v>
      </c>
      <c r="B359" s="1040" t="str">
        <f>CONCATENATE(LEFT(RIGHT(CONCATENATE("000",IFAData_TEA_1617!A359),6),3),"-",(RIGHT(RIGHT(CONCATENATE("000",IFAData_TEA_1617!A359),6),3)))</f>
        <v>026-903</v>
      </c>
      <c r="C359" s="979" t="s">
        <v>1597</v>
      </c>
      <c r="D359" s="979">
        <v>9</v>
      </c>
      <c r="E359" s="979">
        <v>2345</v>
      </c>
      <c r="F359" s="979" t="s">
        <v>4296</v>
      </c>
      <c r="G359" s="979" t="s">
        <v>6423</v>
      </c>
      <c r="H359" s="979">
        <v>110365</v>
      </c>
      <c r="I359" s="979">
        <v>290850</v>
      </c>
      <c r="J359" s="979">
        <v>0.54699327659974606</v>
      </c>
      <c r="K359" s="979">
        <v>60368.912971930971</v>
      </c>
      <c r="L359" s="979">
        <v>60368.912971930971</v>
      </c>
      <c r="M359" s="979">
        <v>599</v>
      </c>
    </row>
    <row r="360" spans="1:13" ht="15">
      <c r="A360" s="979" t="s">
        <v>3425</v>
      </c>
      <c r="B360" s="1040" t="str">
        <f>CONCATENATE(LEFT(RIGHT(CONCATENATE("000",IFAData_TEA_1617!A360),6),3),"-",(RIGHT(RIGHT(CONCATENATE("000",IFAData_TEA_1617!A360),6),3)))</f>
        <v>027-903</v>
      </c>
      <c r="C360" s="979" t="s">
        <v>133</v>
      </c>
      <c r="D360" s="979">
        <v>2</v>
      </c>
      <c r="E360" s="979">
        <v>1655</v>
      </c>
      <c r="F360" s="979" t="s">
        <v>4297</v>
      </c>
      <c r="G360" s="979" t="s">
        <v>4298</v>
      </c>
      <c r="H360" s="979">
        <v>546449</v>
      </c>
      <c r="I360" s="979">
        <v>0</v>
      </c>
      <c r="J360" s="979">
        <v>0</v>
      </c>
      <c r="K360" s="979">
        <v>0</v>
      </c>
      <c r="L360" s="979">
        <v>0</v>
      </c>
      <c r="M360" s="979">
        <v>599</v>
      </c>
    </row>
    <row r="361" spans="1:13" ht="15">
      <c r="A361" s="979" t="s">
        <v>3425</v>
      </c>
      <c r="B361" s="1040" t="str">
        <f>CONCATENATE(LEFT(RIGHT(CONCATENATE("000",IFAData_TEA_1617!A361),6),3),"-",(RIGHT(RIGHT(CONCATENATE("000",IFAData_TEA_1617!A361),6),3)))</f>
        <v>027-903</v>
      </c>
      <c r="C361" s="979" t="s">
        <v>133</v>
      </c>
      <c r="D361" s="979">
        <v>2</v>
      </c>
      <c r="E361" s="979">
        <v>1655</v>
      </c>
      <c r="F361" s="979" t="s">
        <v>4297</v>
      </c>
      <c r="G361" s="979" t="s">
        <v>4297</v>
      </c>
      <c r="H361" s="979">
        <v>546449</v>
      </c>
      <c r="I361" s="979">
        <v>0</v>
      </c>
      <c r="J361" s="979">
        <v>0</v>
      </c>
      <c r="K361" s="979">
        <v>0</v>
      </c>
      <c r="L361" s="979">
        <v>0</v>
      </c>
      <c r="M361" s="979">
        <v>599</v>
      </c>
    </row>
    <row r="362" spans="1:13" ht="15">
      <c r="A362" s="979" t="s">
        <v>3425</v>
      </c>
      <c r="B362" s="1040" t="str">
        <f>CONCATENATE(LEFT(RIGHT(CONCATENATE("000",IFAData_TEA_1617!A362),6),3),"-",(RIGHT(RIGHT(CONCATENATE("000",IFAData_TEA_1617!A362),6),3)))</f>
        <v>027-903</v>
      </c>
      <c r="C362" s="979" t="s">
        <v>133</v>
      </c>
      <c r="D362" s="979">
        <v>2</v>
      </c>
      <c r="E362" s="979">
        <v>1655</v>
      </c>
      <c r="F362" s="979" t="s">
        <v>4297</v>
      </c>
      <c r="G362" s="979" t="s">
        <v>6424</v>
      </c>
      <c r="H362" s="979">
        <v>546449</v>
      </c>
      <c r="I362" s="979">
        <v>487418</v>
      </c>
      <c r="J362" s="979">
        <v>1</v>
      </c>
      <c r="K362" s="979">
        <v>546449</v>
      </c>
      <c r="L362" s="979">
        <v>487418</v>
      </c>
      <c r="M362" s="979">
        <v>599</v>
      </c>
    </row>
    <row r="363" spans="1:13" ht="15">
      <c r="A363" s="979" t="s">
        <v>4299</v>
      </c>
      <c r="B363" s="1040" t="str">
        <f>CONCATENATE(LEFT(RIGHT(CONCATENATE("000",IFAData_TEA_1617!A363),6),3),"-",(RIGHT(RIGHT(CONCATENATE("000",IFAData_TEA_1617!A363),6),3)))</f>
        <v>027-904</v>
      </c>
      <c r="C363" s="979" t="s">
        <v>291</v>
      </c>
      <c r="D363" s="979">
        <v>1</v>
      </c>
      <c r="E363" s="979">
        <v>2062</v>
      </c>
      <c r="F363" s="979" t="s">
        <v>4300</v>
      </c>
      <c r="G363" s="979" t="s">
        <v>4300</v>
      </c>
      <c r="H363" s="979">
        <v>539135</v>
      </c>
      <c r="I363" s="979">
        <v>0</v>
      </c>
      <c r="J363" s="979">
        <v>0</v>
      </c>
      <c r="K363" s="979"/>
      <c r="L363" s="979">
        <v>0</v>
      </c>
      <c r="M363" s="979">
        <v>599</v>
      </c>
    </row>
    <row r="364" spans="1:13" ht="15">
      <c r="A364" s="979" t="s">
        <v>3426</v>
      </c>
      <c r="B364" s="1040" t="str">
        <f>CONCATENATE(LEFT(RIGHT(CONCATENATE("000",IFAData_TEA_1617!A364),6),3),"-",(RIGHT(RIGHT(CONCATENATE("000",IFAData_TEA_1617!A364),6),3)))</f>
        <v>028-902</v>
      </c>
      <c r="C364" s="979" t="s">
        <v>2227</v>
      </c>
      <c r="D364" s="979">
        <v>6</v>
      </c>
      <c r="E364" s="979">
        <v>2031</v>
      </c>
      <c r="F364" s="979" t="s">
        <v>4307</v>
      </c>
      <c r="G364" s="979" t="s">
        <v>4308</v>
      </c>
      <c r="H364" s="979">
        <v>954099</v>
      </c>
      <c r="I364" s="979">
        <v>1052528</v>
      </c>
      <c r="J364" s="979">
        <v>1</v>
      </c>
      <c r="K364" s="979">
        <v>954099</v>
      </c>
      <c r="L364" s="979">
        <v>954099</v>
      </c>
      <c r="M364" s="979">
        <v>599</v>
      </c>
    </row>
    <row r="365" spans="1:13" ht="15">
      <c r="A365" s="979" t="s">
        <v>3426</v>
      </c>
      <c r="B365" s="1040" t="str">
        <f>CONCATENATE(LEFT(RIGHT(CONCATENATE("000",IFAData_TEA_1617!A365),6),3),"-",(RIGHT(RIGHT(CONCATENATE("000",IFAData_TEA_1617!A365),6),3)))</f>
        <v>028-902</v>
      </c>
      <c r="C365" s="979" t="s">
        <v>2227</v>
      </c>
      <c r="D365" s="979">
        <v>6</v>
      </c>
      <c r="E365" s="979">
        <v>2031</v>
      </c>
      <c r="F365" s="979" t="s">
        <v>4307</v>
      </c>
      <c r="G365" s="979" t="s">
        <v>4307</v>
      </c>
      <c r="H365" s="979">
        <v>954099</v>
      </c>
      <c r="I365" s="979">
        <v>0</v>
      </c>
      <c r="J365" s="979">
        <v>0</v>
      </c>
      <c r="K365" s="979">
        <v>0</v>
      </c>
      <c r="L365" s="979">
        <v>0</v>
      </c>
      <c r="M365" s="979">
        <v>599</v>
      </c>
    </row>
    <row r="366" spans="1:13" ht="15">
      <c r="A366" s="979" t="s">
        <v>3426</v>
      </c>
      <c r="B366" s="1040" t="str">
        <f>CONCATENATE(LEFT(RIGHT(CONCATENATE("000",IFAData_TEA_1617!A366),6),3),"-",(RIGHT(RIGHT(CONCATENATE("000",IFAData_TEA_1617!A366),6),3)))</f>
        <v>028-902</v>
      </c>
      <c r="C366" s="979" t="s">
        <v>2227</v>
      </c>
      <c r="D366" s="979">
        <v>1</v>
      </c>
      <c r="E366" s="979">
        <v>2030</v>
      </c>
      <c r="F366" s="979" t="s">
        <v>4304</v>
      </c>
      <c r="G366" s="979" t="s">
        <v>4304</v>
      </c>
      <c r="H366" s="979">
        <v>930541</v>
      </c>
      <c r="I366" s="979">
        <v>0</v>
      </c>
      <c r="J366" s="979">
        <v>0</v>
      </c>
      <c r="K366" s="979">
        <v>0</v>
      </c>
      <c r="L366" s="979">
        <v>0</v>
      </c>
      <c r="M366" s="979">
        <v>599</v>
      </c>
    </row>
    <row r="367" spans="1:13" ht="15">
      <c r="A367" s="979" t="s">
        <v>3426</v>
      </c>
      <c r="B367" s="1040" t="str">
        <f>CONCATENATE(LEFT(RIGHT(CONCATENATE("000",IFAData_TEA_1617!A367),6),3),"-",(RIGHT(RIGHT(CONCATENATE("000",IFAData_TEA_1617!A367),6),3)))</f>
        <v>028-902</v>
      </c>
      <c r="C367" s="979" t="s">
        <v>2227</v>
      </c>
      <c r="D367" s="979">
        <v>1</v>
      </c>
      <c r="E367" s="979">
        <v>2030</v>
      </c>
      <c r="F367" s="979" t="s">
        <v>4304</v>
      </c>
      <c r="G367" s="979" t="s">
        <v>4305</v>
      </c>
      <c r="H367" s="979">
        <v>930541</v>
      </c>
      <c r="I367" s="979">
        <v>952875</v>
      </c>
      <c r="J367" s="979">
        <v>0.84105430675411952</v>
      </c>
      <c r="K367" s="979">
        <v>782635.51566128514</v>
      </c>
      <c r="L367" s="979">
        <v>782635.51566128514</v>
      </c>
      <c r="M367" s="979">
        <v>599</v>
      </c>
    </row>
    <row r="368" spans="1:13" ht="15">
      <c r="A368" s="979" t="s">
        <v>3426</v>
      </c>
      <c r="B368" s="1040" t="str">
        <f>CONCATENATE(LEFT(RIGHT(CONCATENATE("000",IFAData_TEA_1617!A368),6),3),"-",(RIGHT(RIGHT(CONCATENATE("000",IFAData_TEA_1617!A368),6),3)))</f>
        <v>028-902</v>
      </c>
      <c r="C368" s="979" t="s">
        <v>2227</v>
      </c>
      <c r="D368" s="979">
        <v>6</v>
      </c>
      <c r="E368" s="979">
        <v>2031</v>
      </c>
      <c r="F368" s="979" t="s">
        <v>4307</v>
      </c>
      <c r="G368" s="979" t="s">
        <v>4309</v>
      </c>
      <c r="H368" s="979">
        <v>954099</v>
      </c>
      <c r="I368" s="979">
        <v>0</v>
      </c>
      <c r="J368" s="979">
        <v>0</v>
      </c>
      <c r="K368" s="979">
        <v>0</v>
      </c>
      <c r="L368" s="979">
        <v>0</v>
      </c>
      <c r="M368" s="979">
        <v>599</v>
      </c>
    </row>
    <row r="369" spans="1:13" ht="15">
      <c r="A369" s="979" t="s">
        <v>3426</v>
      </c>
      <c r="B369" s="1040" t="str">
        <f>CONCATENATE(LEFT(RIGHT(CONCATENATE("000",IFAData_TEA_1617!A369),6),3),"-",(RIGHT(RIGHT(CONCATENATE("000",IFAData_TEA_1617!A369),6),3)))</f>
        <v>028-902</v>
      </c>
      <c r="C369" s="979" t="s">
        <v>2227</v>
      </c>
      <c r="D369" s="979">
        <v>1</v>
      </c>
      <c r="E369" s="979">
        <v>2030</v>
      </c>
      <c r="F369" s="979" t="s">
        <v>4304</v>
      </c>
      <c r="G369" s="979" t="s">
        <v>4306</v>
      </c>
      <c r="H369" s="979">
        <v>930541</v>
      </c>
      <c r="I369" s="979">
        <v>180078</v>
      </c>
      <c r="J369" s="979">
        <v>0.15894569324588045</v>
      </c>
      <c r="K369" s="979">
        <v>147905.48433871486</v>
      </c>
      <c r="L369" s="979">
        <v>147905.48433871486</v>
      </c>
      <c r="M369" s="979">
        <v>599</v>
      </c>
    </row>
    <row r="370" spans="1:13" ht="15">
      <c r="A370" s="979" t="s">
        <v>3427</v>
      </c>
      <c r="B370" s="1040" t="str">
        <f>CONCATENATE(LEFT(RIGHT(CONCATENATE("000",IFAData_TEA_1617!A370),6),3),"-",(RIGHT(RIGHT(CONCATENATE("000",IFAData_TEA_1617!A370),6),3)))</f>
        <v>028-903</v>
      </c>
      <c r="C370" s="979" t="s">
        <v>838</v>
      </c>
      <c r="D370" s="979">
        <v>5</v>
      </c>
      <c r="E370" s="979">
        <v>2043</v>
      </c>
      <c r="F370" s="979" t="s">
        <v>4310</v>
      </c>
      <c r="G370" s="979" t="s">
        <v>4311</v>
      </c>
      <c r="H370" s="979">
        <v>352232</v>
      </c>
      <c r="I370" s="979">
        <v>0</v>
      </c>
      <c r="J370" s="979">
        <v>0</v>
      </c>
      <c r="K370" s="979">
        <v>0</v>
      </c>
      <c r="L370" s="979">
        <v>0</v>
      </c>
      <c r="M370" s="979">
        <v>599</v>
      </c>
    </row>
    <row r="371" spans="1:13" ht="15">
      <c r="A371" s="979" t="s">
        <v>3427</v>
      </c>
      <c r="B371" s="1040" t="str">
        <f>CONCATENATE(LEFT(RIGHT(CONCATENATE("000",IFAData_TEA_1617!A371),6),3),"-",(RIGHT(RIGHT(CONCATENATE("000",IFAData_TEA_1617!A371),6),3)))</f>
        <v>028-903</v>
      </c>
      <c r="C371" s="979" t="s">
        <v>838</v>
      </c>
      <c r="D371" s="979">
        <v>5</v>
      </c>
      <c r="E371" s="979">
        <v>2043</v>
      </c>
      <c r="F371" s="979" t="s">
        <v>4310</v>
      </c>
      <c r="G371" s="979" t="s">
        <v>4310</v>
      </c>
      <c r="H371" s="979">
        <v>352232</v>
      </c>
      <c r="I371" s="979">
        <v>0</v>
      </c>
      <c r="J371" s="979">
        <v>0</v>
      </c>
      <c r="K371" s="979">
        <v>0</v>
      </c>
      <c r="L371" s="979">
        <v>0</v>
      </c>
      <c r="M371" s="979">
        <v>599</v>
      </c>
    </row>
    <row r="372" spans="1:13" ht="15">
      <c r="A372" s="979" t="s">
        <v>3427</v>
      </c>
      <c r="B372" s="1040" t="str">
        <f>CONCATENATE(LEFT(RIGHT(CONCATENATE("000",IFAData_TEA_1617!A372),6),3),"-",(RIGHT(RIGHT(CONCATENATE("000",IFAData_TEA_1617!A372),6),3)))</f>
        <v>028-903</v>
      </c>
      <c r="C372" s="979" t="s">
        <v>838</v>
      </c>
      <c r="D372" s="979">
        <v>5</v>
      </c>
      <c r="E372" s="979">
        <v>2043</v>
      </c>
      <c r="F372" s="979" t="s">
        <v>4310</v>
      </c>
      <c r="G372" s="979" t="s">
        <v>6425</v>
      </c>
      <c r="H372" s="979">
        <v>352232</v>
      </c>
      <c r="I372" s="979">
        <v>333250</v>
      </c>
      <c r="J372" s="979">
        <v>1</v>
      </c>
      <c r="K372" s="979">
        <v>352232</v>
      </c>
      <c r="L372" s="979">
        <v>333250</v>
      </c>
      <c r="M372" s="979">
        <v>599</v>
      </c>
    </row>
    <row r="373" spans="1:13" ht="15">
      <c r="A373" s="979" t="s">
        <v>3428</v>
      </c>
      <c r="B373" s="1040" t="str">
        <f>CONCATENATE(LEFT(RIGHT(CONCATENATE("000",IFAData_TEA_1617!A373),6),3),"-",(RIGHT(RIGHT(CONCATENATE("000",IFAData_TEA_1617!A373),6),3)))</f>
        <v>030-902</v>
      </c>
      <c r="C373" s="979" t="s">
        <v>31</v>
      </c>
      <c r="D373" s="979">
        <v>9</v>
      </c>
      <c r="E373" s="979">
        <v>1702</v>
      </c>
      <c r="F373" s="979" t="s">
        <v>4314</v>
      </c>
      <c r="G373" s="979" t="s">
        <v>6205</v>
      </c>
      <c r="H373" s="979">
        <v>342278</v>
      </c>
      <c r="I373" s="979">
        <v>165390</v>
      </c>
      <c r="J373" s="979">
        <v>0.36892952663078271</v>
      </c>
      <c r="K373" s="979">
        <v>126276.46051613105</v>
      </c>
      <c r="L373" s="979">
        <v>126276.46051613105</v>
      </c>
      <c r="M373" s="979">
        <v>599</v>
      </c>
    </row>
    <row r="374" spans="1:13" ht="15">
      <c r="A374" s="979" t="s">
        <v>3428</v>
      </c>
      <c r="B374" s="1040" t="str">
        <f>CONCATENATE(LEFT(RIGHT(CONCATENATE("000",IFAData_TEA_1617!A374),6),3),"-",(RIGHT(RIGHT(CONCATENATE("000",IFAData_TEA_1617!A374),6),3)))</f>
        <v>030-902</v>
      </c>
      <c r="C374" s="979" t="s">
        <v>31</v>
      </c>
      <c r="D374" s="979">
        <v>9</v>
      </c>
      <c r="E374" s="979">
        <v>1702</v>
      </c>
      <c r="F374" s="979" t="s">
        <v>4314</v>
      </c>
      <c r="G374" s="979" t="s">
        <v>4314</v>
      </c>
      <c r="H374" s="979">
        <v>342278</v>
      </c>
      <c r="I374" s="979">
        <v>185811</v>
      </c>
      <c r="J374" s="979">
        <v>0.41448191712190802</v>
      </c>
      <c r="K374" s="979">
        <v>141868.04162865243</v>
      </c>
      <c r="L374" s="979">
        <v>141868.04162865243</v>
      </c>
      <c r="M374" s="979">
        <v>599</v>
      </c>
    </row>
    <row r="375" spans="1:13" ht="15">
      <c r="A375" s="979" t="s">
        <v>3428</v>
      </c>
      <c r="B375" s="1040" t="str">
        <f>CONCATENATE(LEFT(RIGHT(CONCATENATE("000",IFAData_TEA_1617!A375),6),3),"-",(RIGHT(RIGHT(CONCATENATE("000",IFAData_TEA_1617!A375),6),3)))</f>
        <v>030-902</v>
      </c>
      <c r="C375" s="979" t="s">
        <v>31</v>
      </c>
      <c r="D375" s="979">
        <v>4</v>
      </c>
      <c r="E375" s="979">
        <v>1703</v>
      </c>
      <c r="F375" s="979" t="s">
        <v>4312</v>
      </c>
      <c r="G375" s="979" t="s">
        <v>4312</v>
      </c>
      <c r="H375" s="979">
        <v>375000</v>
      </c>
      <c r="I375" s="979">
        <v>0</v>
      </c>
      <c r="J375" s="979">
        <v>0</v>
      </c>
      <c r="K375" s="979">
        <v>0</v>
      </c>
      <c r="L375" s="979">
        <v>0</v>
      </c>
      <c r="M375" s="979">
        <v>599</v>
      </c>
    </row>
    <row r="376" spans="1:13" ht="15">
      <c r="A376" s="979" t="s">
        <v>3428</v>
      </c>
      <c r="B376" s="1040" t="str">
        <f>CONCATENATE(LEFT(RIGHT(CONCATENATE("000",IFAData_TEA_1617!A376),6),3),"-",(RIGHT(RIGHT(CONCATENATE("000",IFAData_TEA_1617!A376),6),3)))</f>
        <v>030-902</v>
      </c>
      <c r="C376" s="979" t="s">
        <v>31</v>
      </c>
      <c r="D376" s="979">
        <v>4</v>
      </c>
      <c r="E376" s="979">
        <v>1703</v>
      </c>
      <c r="F376" s="979" t="s">
        <v>4312</v>
      </c>
      <c r="G376" s="979" t="s">
        <v>4313</v>
      </c>
      <c r="H376" s="979">
        <v>375000</v>
      </c>
      <c r="I376" s="979">
        <v>0</v>
      </c>
      <c r="J376" s="979">
        <v>0</v>
      </c>
      <c r="K376" s="979">
        <v>0</v>
      </c>
      <c r="L376" s="979">
        <v>0</v>
      </c>
      <c r="M376" s="979">
        <v>599</v>
      </c>
    </row>
    <row r="377" spans="1:13" ht="15">
      <c r="A377" s="979" t="s">
        <v>3428</v>
      </c>
      <c r="B377" s="1040" t="str">
        <f>CONCATENATE(LEFT(RIGHT(CONCATENATE("000",IFAData_TEA_1617!A377),6),3),"-",(RIGHT(RIGHT(CONCATENATE("000",IFAData_TEA_1617!A377),6),3)))</f>
        <v>030-902</v>
      </c>
      <c r="C377" s="979" t="s">
        <v>31</v>
      </c>
      <c r="D377" s="979">
        <v>4</v>
      </c>
      <c r="E377" s="979">
        <v>1703</v>
      </c>
      <c r="F377" s="979" t="s">
        <v>4312</v>
      </c>
      <c r="G377" s="979" t="s">
        <v>6204</v>
      </c>
      <c r="H377" s="979">
        <v>375000</v>
      </c>
      <c r="I377" s="979">
        <v>433021</v>
      </c>
      <c r="J377" s="979">
        <v>1</v>
      </c>
      <c r="K377" s="979">
        <v>375000</v>
      </c>
      <c r="L377" s="979">
        <v>375000</v>
      </c>
      <c r="M377" s="979">
        <v>599</v>
      </c>
    </row>
    <row r="378" spans="1:13" ht="15">
      <c r="A378" s="979" t="s">
        <v>3428</v>
      </c>
      <c r="B378" s="1040" t="str">
        <f>CONCATENATE(LEFT(RIGHT(CONCATENATE("000",IFAData_TEA_1617!A378),6),3),"-",(RIGHT(RIGHT(CONCATENATE("000",IFAData_TEA_1617!A378),6),3)))</f>
        <v>030-902</v>
      </c>
      <c r="C378" s="979" t="s">
        <v>31</v>
      </c>
      <c r="D378" s="979">
        <v>9</v>
      </c>
      <c r="E378" s="979">
        <v>1702</v>
      </c>
      <c r="F378" s="979" t="s">
        <v>4314</v>
      </c>
      <c r="G378" s="979" t="s">
        <v>6204</v>
      </c>
      <c r="H378" s="979">
        <v>342278</v>
      </c>
      <c r="I378" s="979">
        <v>97096</v>
      </c>
      <c r="J378" s="979">
        <v>0.21658855624730927</v>
      </c>
      <c r="K378" s="979">
        <v>74133.497855216527</v>
      </c>
      <c r="L378" s="979">
        <v>74133.497855216527</v>
      </c>
      <c r="M378" s="979">
        <v>599</v>
      </c>
    </row>
    <row r="379" spans="1:13" ht="15">
      <c r="A379" s="979" t="s">
        <v>3429</v>
      </c>
      <c r="B379" s="1040" t="str">
        <f>CONCATENATE(LEFT(RIGHT(CONCATENATE("000",IFAData_TEA_1617!A379),6),3),"-",(RIGHT(RIGHT(CONCATENATE("000",IFAData_TEA_1617!A379),6),3)))</f>
        <v>030-903</v>
      </c>
      <c r="C379" s="979" t="s">
        <v>1601</v>
      </c>
      <c r="D379" s="979">
        <v>9</v>
      </c>
      <c r="E379" s="979">
        <v>1589</v>
      </c>
      <c r="F379" s="979" t="s">
        <v>4315</v>
      </c>
      <c r="G379" s="979" t="s">
        <v>4315</v>
      </c>
      <c r="H379" s="979">
        <v>94523</v>
      </c>
      <c r="I379" s="979">
        <v>94320</v>
      </c>
      <c r="J379" s="979">
        <v>1</v>
      </c>
      <c r="K379" s="979">
        <v>94523</v>
      </c>
      <c r="L379" s="979">
        <v>94320</v>
      </c>
      <c r="M379" s="979">
        <v>599</v>
      </c>
    </row>
    <row r="380" spans="1:13" ht="15">
      <c r="A380" s="979" t="s">
        <v>3430</v>
      </c>
      <c r="B380" s="1040" t="str">
        <f>CONCATENATE(LEFT(RIGHT(CONCATENATE("000",IFAData_TEA_1617!A380),6),3),"-",(RIGHT(RIGHT(CONCATENATE("000",IFAData_TEA_1617!A380),6),3)))</f>
        <v>031-901</v>
      </c>
      <c r="C380" s="979" t="s">
        <v>2635</v>
      </c>
      <c r="D380" s="979">
        <v>5</v>
      </c>
      <c r="E380" s="979">
        <v>1643</v>
      </c>
      <c r="F380" s="979" t="s">
        <v>4319</v>
      </c>
      <c r="G380" s="979" t="s">
        <v>4319</v>
      </c>
      <c r="H380" s="979">
        <v>3118521</v>
      </c>
      <c r="I380" s="979">
        <v>0</v>
      </c>
      <c r="J380" s="979">
        <v>0</v>
      </c>
      <c r="K380" s="979">
        <v>0</v>
      </c>
      <c r="L380" s="979">
        <v>0</v>
      </c>
      <c r="M380" s="979">
        <v>599</v>
      </c>
    </row>
    <row r="381" spans="1:13" ht="15">
      <c r="A381" s="979" t="s">
        <v>3430</v>
      </c>
      <c r="B381" s="1040" t="str">
        <f>CONCATENATE(LEFT(RIGHT(CONCATENATE("000",IFAData_TEA_1617!A381),6),3),"-",(RIGHT(RIGHT(CONCATENATE("000",IFAData_TEA_1617!A381),6),3)))</f>
        <v>031-901</v>
      </c>
      <c r="C381" s="979" t="s">
        <v>2635</v>
      </c>
      <c r="D381" s="979">
        <v>5</v>
      </c>
      <c r="E381" s="979">
        <v>1643</v>
      </c>
      <c r="F381" s="979" t="s">
        <v>4319</v>
      </c>
      <c r="G381" s="979" t="s">
        <v>6206</v>
      </c>
      <c r="H381" s="979">
        <v>3118521</v>
      </c>
      <c r="I381" s="979">
        <v>0</v>
      </c>
      <c r="J381" s="979">
        <v>0</v>
      </c>
      <c r="K381" s="979">
        <v>0</v>
      </c>
      <c r="L381" s="979">
        <v>0</v>
      </c>
      <c r="M381" s="979">
        <v>599</v>
      </c>
    </row>
    <row r="382" spans="1:13" ht="15">
      <c r="A382" s="979" t="s">
        <v>3430</v>
      </c>
      <c r="B382" s="1040" t="str">
        <f>CONCATENATE(LEFT(RIGHT(CONCATENATE("000",IFAData_TEA_1617!A382),6),3),"-",(RIGHT(RIGHT(CONCATENATE("000",IFAData_TEA_1617!A382),6),3)))</f>
        <v>031-901</v>
      </c>
      <c r="C382" s="979" t="s">
        <v>2635</v>
      </c>
      <c r="D382" s="979">
        <v>8</v>
      </c>
      <c r="E382" s="979">
        <v>1644</v>
      </c>
      <c r="F382" s="979" t="s">
        <v>4321</v>
      </c>
      <c r="G382" s="979" t="s">
        <v>4320</v>
      </c>
      <c r="H382" s="979">
        <v>9847713</v>
      </c>
      <c r="I382" s="979">
        <v>9263925</v>
      </c>
      <c r="J382" s="979">
        <v>1</v>
      </c>
      <c r="K382" s="979">
        <v>9847713</v>
      </c>
      <c r="L382" s="979">
        <v>9263925</v>
      </c>
      <c r="M382" s="979">
        <v>599</v>
      </c>
    </row>
    <row r="383" spans="1:13" ht="15">
      <c r="A383" s="979" t="s">
        <v>3430</v>
      </c>
      <c r="B383" s="1040" t="str">
        <f>CONCATENATE(LEFT(RIGHT(CONCATENATE("000",IFAData_TEA_1617!A383),6),3),"-",(RIGHT(RIGHT(CONCATENATE("000",IFAData_TEA_1617!A383),6),3)))</f>
        <v>031-901</v>
      </c>
      <c r="C383" s="979" t="s">
        <v>2635</v>
      </c>
      <c r="D383" s="979">
        <v>3</v>
      </c>
      <c r="E383" s="979">
        <v>1642</v>
      </c>
      <c r="F383" s="979" t="s">
        <v>4316</v>
      </c>
      <c r="G383" s="979" t="s">
        <v>4317</v>
      </c>
      <c r="H383" s="979">
        <v>2472263</v>
      </c>
      <c r="I383" s="979">
        <v>0</v>
      </c>
      <c r="J383" s="979">
        <v>0</v>
      </c>
      <c r="K383" s="979">
        <v>0</v>
      </c>
      <c r="L383" s="979">
        <v>0</v>
      </c>
      <c r="M383" s="979">
        <v>599</v>
      </c>
    </row>
    <row r="384" spans="1:13" ht="15">
      <c r="A384" s="979" t="s">
        <v>3430</v>
      </c>
      <c r="B384" s="1040" t="str">
        <f>CONCATENATE(LEFT(RIGHT(CONCATENATE("000",IFAData_TEA_1617!A384),6),3),"-",(RIGHT(RIGHT(CONCATENATE("000",IFAData_TEA_1617!A384),6),3)))</f>
        <v>031-901</v>
      </c>
      <c r="C384" s="979" t="s">
        <v>2635</v>
      </c>
      <c r="D384" s="979">
        <v>10</v>
      </c>
      <c r="E384" s="979">
        <v>1638</v>
      </c>
      <c r="F384" s="979" t="s">
        <v>4323</v>
      </c>
      <c r="G384" s="979" t="s">
        <v>4323</v>
      </c>
      <c r="H384" s="979">
        <v>414217</v>
      </c>
      <c r="I384" s="979">
        <v>326748</v>
      </c>
      <c r="J384" s="979">
        <v>1</v>
      </c>
      <c r="K384" s="979">
        <v>414217</v>
      </c>
      <c r="L384" s="979">
        <v>326748</v>
      </c>
      <c r="M384" s="979">
        <v>199</v>
      </c>
    </row>
    <row r="385" spans="1:13" ht="15">
      <c r="A385" s="979" t="s">
        <v>3430</v>
      </c>
      <c r="B385" s="1040" t="str">
        <f>CONCATENATE(LEFT(RIGHT(CONCATENATE("000",IFAData_TEA_1617!A385),6),3),"-",(RIGHT(RIGHT(CONCATENATE("000",IFAData_TEA_1617!A385),6),3)))</f>
        <v>031-901</v>
      </c>
      <c r="C385" s="979" t="s">
        <v>2635</v>
      </c>
      <c r="D385" s="979">
        <v>10</v>
      </c>
      <c r="E385" s="979">
        <v>1639</v>
      </c>
      <c r="F385" s="979" t="s">
        <v>4325</v>
      </c>
      <c r="G385" s="979" t="s">
        <v>4325</v>
      </c>
      <c r="H385" s="979">
        <v>427251</v>
      </c>
      <c r="I385" s="979">
        <v>347082</v>
      </c>
      <c r="J385" s="979">
        <v>1</v>
      </c>
      <c r="K385" s="979">
        <v>427251</v>
      </c>
      <c r="L385" s="979">
        <v>347082</v>
      </c>
      <c r="M385" s="979">
        <v>199</v>
      </c>
    </row>
    <row r="386" spans="1:13" ht="15">
      <c r="A386" s="979" t="s">
        <v>3430</v>
      </c>
      <c r="B386" s="1040" t="str">
        <f>CONCATENATE(LEFT(RIGHT(CONCATENATE("000",IFAData_TEA_1617!A386),6),3),"-",(RIGHT(RIGHT(CONCATENATE("000",IFAData_TEA_1617!A386),6),3)))</f>
        <v>031-901</v>
      </c>
      <c r="C386" s="979" t="s">
        <v>2635</v>
      </c>
      <c r="D386" s="979">
        <v>3</v>
      </c>
      <c r="E386" s="979">
        <v>1642</v>
      </c>
      <c r="F386" s="979" t="s">
        <v>4316</v>
      </c>
      <c r="G386" s="979" t="s">
        <v>4318</v>
      </c>
      <c r="H386" s="979">
        <v>2472263</v>
      </c>
      <c r="I386" s="979">
        <v>2062072</v>
      </c>
      <c r="J386" s="979">
        <v>0.8923350146611323</v>
      </c>
      <c r="K386" s="979">
        <v>2206086.8403511751</v>
      </c>
      <c r="L386" s="979">
        <v>2062072</v>
      </c>
      <c r="M386" s="979">
        <v>599</v>
      </c>
    </row>
    <row r="387" spans="1:13" ht="15">
      <c r="A387" s="979" t="s">
        <v>3430</v>
      </c>
      <c r="B387" s="1040" t="str">
        <f>CONCATENATE(LEFT(RIGHT(CONCATENATE("000",IFAData_TEA_1617!A387),6),3),"-",(RIGHT(RIGHT(CONCATENATE("000",IFAData_TEA_1617!A387),6),3)))</f>
        <v>031-901</v>
      </c>
      <c r="C387" s="979" t="s">
        <v>2635</v>
      </c>
      <c r="D387" s="979">
        <v>3</v>
      </c>
      <c r="E387" s="979">
        <v>1642</v>
      </c>
      <c r="F387" s="979" t="s">
        <v>4316</v>
      </c>
      <c r="G387" s="979" t="s">
        <v>6206</v>
      </c>
      <c r="H387" s="979">
        <v>2472263</v>
      </c>
      <c r="I387" s="979">
        <v>248800</v>
      </c>
      <c r="J387" s="979">
        <v>0.10766498533886776</v>
      </c>
      <c r="K387" s="979">
        <v>266176.15964882524</v>
      </c>
      <c r="L387" s="979">
        <v>248800</v>
      </c>
      <c r="M387" s="979">
        <v>599</v>
      </c>
    </row>
    <row r="388" spans="1:13" ht="15">
      <c r="A388" s="979" t="s">
        <v>3430</v>
      </c>
      <c r="B388" s="1040" t="str">
        <f>CONCATENATE(LEFT(RIGHT(CONCATENATE("000",IFAData_TEA_1617!A388),6),3),"-",(RIGHT(RIGHT(CONCATENATE("000",IFAData_TEA_1617!A388),6),3)))</f>
        <v>031-901</v>
      </c>
      <c r="C388" s="979" t="s">
        <v>2635</v>
      </c>
      <c r="D388" s="979">
        <v>5</v>
      </c>
      <c r="E388" s="979">
        <v>1643</v>
      </c>
      <c r="F388" s="979" t="s">
        <v>4319</v>
      </c>
      <c r="G388" s="979" t="s">
        <v>4320</v>
      </c>
      <c r="H388" s="979">
        <v>3118521</v>
      </c>
      <c r="I388" s="979">
        <v>0</v>
      </c>
      <c r="J388" s="979">
        <v>0</v>
      </c>
      <c r="K388" s="979">
        <v>0</v>
      </c>
      <c r="L388" s="979">
        <v>0</v>
      </c>
      <c r="M388" s="979">
        <v>599</v>
      </c>
    </row>
    <row r="389" spans="1:13" ht="15">
      <c r="A389" s="979" t="s">
        <v>3430</v>
      </c>
      <c r="B389" s="1040" t="str">
        <f>CONCATENATE(LEFT(RIGHT(CONCATENATE("000",IFAData_TEA_1617!A389),6),3),"-",(RIGHT(RIGHT(CONCATENATE("000",IFAData_TEA_1617!A389),6),3)))</f>
        <v>031-901</v>
      </c>
      <c r="C389" s="979" t="s">
        <v>2635</v>
      </c>
      <c r="D389" s="979">
        <v>5</v>
      </c>
      <c r="E389" s="979">
        <v>1643</v>
      </c>
      <c r="F389" s="979" t="s">
        <v>4319</v>
      </c>
      <c r="G389" s="979" t="s">
        <v>4317</v>
      </c>
      <c r="H389" s="979">
        <v>3118521</v>
      </c>
      <c r="I389" s="979">
        <v>0</v>
      </c>
      <c r="J389" s="979">
        <v>0</v>
      </c>
      <c r="K389" s="979">
        <v>0</v>
      </c>
      <c r="L389" s="979">
        <v>0</v>
      </c>
      <c r="M389" s="979">
        <v>599</v>
      </c>
    </row>
    <row r="390" spans="1:13" ht="15">
      <c r="A390" s="979" t="s">
        <v>3430</v>
      </c>
      <c r="B390" s="1040" t="str">
        <f>CONCATENATE(LEFT(RIGHT(CONCATENATE("000",IFAData_TEA_1617!A390),6),3),"-",(RIGHT(RIGHT(CONCATENATE("000",IFAData_TEA_1617!A390),6),3)))</f>
        <v>031-901</v>
      </c>
      <c r="C390" s="979" t="s">
        <v>2635</v>
      </c>
      <c r="D390" s="979">
        <v>10</v>
      </c>
      <c r="E390" s="979">
        <v>1640</v>
      </c>
      <c r="F390" s="979" t="s">
        <v>4324</v>
      </c>
      <c r="G390" s="979" t="s">
        <v>4324</v>
      </c>
      <c r="H390" s="979">
        <v>651339</v>
      </c>
      <c r="I390" s="979">
        <v>544198</v>
      </c>
      <c r="J390" s="979">
        <v>1</v>
      </c>
      <c r="K390" s="979">
        <v>651339</v>
      </c>
      <c r="L390" s="979">
        <v>544198</v>
      </c>
      <c r="M390" s="979">
        <v>199</v>
      </c>
    </row>
    <row r="391" spans="1:13" ht="15">
      <c r="A391" s="979" t="s">
        <v>3430</v>
      </c>
      <c r="B391" s="1040" t="str">
        <f>CONCATENATE(LEFT(RIGHT(CONCATENATE("000",IFAData_TEA_1617!A391),6),3),"-",(RIGHT(RIGHT(CONCATENATE("000",IFAData_TEA_1617!A391),6),3)))</f>
        <v>031-901</v>
      </c>
      <c r="C391" s="979" t="s">
        <v>2635</v>
      </c>
      <c r="D391" s="979">
        <v>8</v>
      </c>
      <c r="E391" s="979">
        <v>1644</v>
      </c>
      <c r="F391" s="979" t="s">
        <v>4321</v>
      </c>
      <c r="G391" s="979" t="s">
        <v>4321</v>
      </c>
      <c r="H391" s="979">
        <v>9847713</v>
      </c>
      <c r="I391" s="979">
        <v>0</v>
      </c>
      <c r="J391" s="979">
        <v>0</v>
      </c>
      <c r="K391" s="979">
        <v>0</v>
      </c>
      <c r="L391" s="979">
        <v>0</v>
      </c>
      <c r="M391" s="979">
        <v>599</v>
      </c>
    </row>
    <row r="392" spans="1:13" ht="15">
      <c r="A392" s="979" t="s">
        <v>3430</v>
      </c>
      <c r="B392" s="1040" t="str">
        <f>CONCATENATE(LEFT(RIGHT(CONCATENATE("000",IFAData_TEA_1617!A392),6),3),"-",(RIGHT(RIGHT(CONCATENATE("000",IFAData_TEA_1617!A392),6),3)))</f>
        <v>031-901</v>
      </c>
      <c r="C392" s="979" t="s">
        <v>2635</v>
      </c>
      <c r="D392" s="979">
        <v>10</v>
      </c>
      <c r="E392" s="979">
        <v>1637</v>
      </c>
      <c r="F392" s="979" t="s">
        <v>4326</v>
      </c>
      <c r="G392" s="979" t="s">
        <v>4326</v>
      </c>
      <c r="H392" s="979">
        <v>276579</v>
      </c>
      <c r="I392" s="979">
        <v>198207</v>
      </c>
      <c r="J392" s="979">
        <v>1</v>
      </c>
      <c r="K392" s="979">
        <v>276579</v>
      </c>
      <c r="L392" s="979">
        <v>198207</v>
      </c>
      <c r="M392" s="979">
        <v>199</v>
      </c>
    </row>
    <row r="393" spans="1:13" ht="15">
      <c r="A393" s="979" t="s">
        <v>3430</v>
      </c>
      <c r="B393" s="1040" t="str">
        <f>CONCATENATE(LEFT(RIGHT(CONCATENATE("000",IFAData_TEA_1617!A393),6),3),"-",(RIGHT(RIGHT(CONCATENATE("000",IFAData_TEA_1617!A393),6),3)))</f>
        <v>031-901</v>
      </c>
      <c r="C393" s="979" t="s">
        <v>2635</v>
      </c>
      <c r="D393" s="979">
        <v>3</v>
      </c>
      <c r="E393" s="979">
        <v>1642</v>
      </c>
      <c r="F393" s="979" t="s">
        <v>4316</v>
      </c>
      <c r="G393" s="979" t="s">
        <v>4316</v>
      </c>
      <c r="H393" s="979">
        <v>2472263</v>
      </c>
      <c r="I393" s="979">
        <v>0</v>
      </c>
      <c r="J393" s="979">
        <v>0</v>
      </c>
      <c r="K393" s="979">
        <v>0</v>
      </c>
      <c r="L393" s="979">
        <v>0</v>
      </c>
      <c r="M393" s="979">
        <v>599</v>
      </c>
    </row>
    <row r="394" spans="1:13" ht="15">
      <c r="A394" s="979" t="s">
        <v>3430</v>
      </c>
      <c r="B394" s="1040" t="str">
        <f>CONCATENATE(LEFT(RIGHT(CONCATENATE("000",IFAData_TEA_1617!A394),6),3),"-",(RIGHT(RIGHT(CONCATENATE("000",IFAData_TEA_1617!A394),6),3)))</f>
        <v>031-901</v>
      </c>
      <c r="C394" s="979" t="s">
        <v>2635</v>
      </c>
      <c r="D394" s="979">
        <v>10</v>
      </c>
      <c r="E394" s="979">
        <v>1641</v>
      </c>
      <c r="F394" s="979" t="s">
        <v>4322</v>
      </c>
      <c r="G394" s="979" t="s">
        <v>4322</v>
      </c>
      <c r="H394" s="979">
        <v>1323878</v>
      </c>
      <c r="I394" s="979">
        <v>1206014</v>
      </c>
      <c r="J394" s="979">
        <v>1</v>
      </c>
      <c r="K394" s="979">
        <v>1323878</v>
      </c>
      <c r="L394" s="979">
        <v>1206014</v>
      </c>
      <c r="M394" s="979">
        <v>199</v>
      </c>
    </row>
    <row r="395" spans="1:13" ht="15">
      <c r="A395" s="979" t="s">
        <v>3430</v>
      </c>
      <c r="B395" s="1040" t="str">
        <f>CONCATENATE(LEFT(RIGHT(CONCATENATE("000",IFAData_TEA_1617!A395),6),3),"-",(RIGHT(RIGHT(CONCATENATE("000",IFAData_TEA_1617!A395),6),3)))</f>
        <v>031-901</v>
      </c>
      <c r="C395" s="979" t="s">
        <v>2635</v>
      </c>
      <c r="D395" s="979">
        <v>5</v>
      </c>
      <c r="E395" s="979">
        <v>1643</v>
      </c>
      <c r="F395" s="979" t="s">
        <v>4319</v>
      </c>
      <c r="G395" s="979" t="s">
        <v>4318</v>
      </c>
      <c r="H395" s="979">
        <v>3118521</v>
      </c>
      <c r="I395" s="979">
        <v>2435015</v>
      </c>
      <c r="J395" s="979">
        <v>1</v>
      </c>
      <c r="K395" s="979">
        <v>3118521</v>
      </c>
      <c r="L395" s="979">
        <v>2435015</v>
      </c>
      <c r="M395" s="979">
        <v>599</v>
      </c>
    </row>
    <row r="396" spans="1:13" ht="15">
      <c r="A396" s="979" t="s">
        <v>3431</v>
      </c>
      <c r="B396" s="1040" t="str">
        <f>CONCATENATE(LEFT(RIGHT(CONCATENATE("000",IFAData_TEA_1617!A396),6),3),"-",(RIGHT(RIGHT(CONCATENATE("000",IFAData_TEA_1617!A396),6),3)))</f>
        <v>031-903</v>
      </c>
      <c r="C396" s="979" t="s">
        <v>34</v>
      </c>
      <c r="D396" s="979">
        <v>3</v>
      </c>
      <c r="E396" s="979">
        <v>1872</v>
      </c>
      <c r="F396" s="979" t="s">
        <v>4327</v>
      </c>
      <c r="G396" s="979" t="s">
        <v>4328</v>
      </c>
      <c r="H396" s="979">
        <v>3617370</v>
      </c>
      <c r="I396" s="979">
        <v>0</v>
      </c>
      <c r="J396" s="979">
        <v>0</v>
      </c>
      <c r="K396" s="979">
        <v>0</v>
      </c>
      <c r="L396" s="979">
        <v>0</v>
      </c>
      <c r="M396" s="979">
        <v>599</v>
      </c>
    </row>
    <row r="397" spans="1:13" ht="15">
      <c r="A397" s="979" t="s">
        <v>3431</v>
      </c>
      <c r="B397" s="1040" t="str">
        <f>CONCATENATE(LEFT(RIGHT(CONCATENATE("000",IFAData_TEA_1617!A397),6),3),"-",(RIGHT(RIGHT(CONCATENATE("000",IFAData_TEA_1617!A397),6),3)))</f>
        <v>031-903</v>
      </c>
      <c r="C397" s="979" t="s">
        <v>34</v>
      </c>
      <c r="D397" s="979">
        <v>5</v>
      </c>
      <c r="E397" s="979">
        <v>1871</v>
      </c>
      <c r="F397" s="979" t="s">
        <v>4329</v>
      </c>
      <c r="G397" s="979" t="s">
        <v>4330</v>
      </c>
      <c r="H397" s="979">
        <v>830941</v>
      </c>
      <c r="I397" s="979">
        <v>749550</v>
      </c>
      <c r="J397" s="979">
        <v>1</v>
      </c>
      <c r="K397" s="979">
        <v>830941</v>
      </c>
      <c r="L397" s="979">
        <v>749550</v>
      </c>
      <c r="M397" s="979">
        <v>599</v>
      </c>
    </row>
    <row r="398" spans="1:13" ht="15">
      <c r="A398" s="979" t="s">
        <v>3431</v>
      </c>
      <c r="B398" s="1040" t="str">
        <f>CONCATENATE(LEFT(RIGHT(CONCATENATE("000",IFAData_TEA_1617!A398),6),3),"-",(RIGHT(RIGHT(CONCATENATE("000",IFAData_TEA_1617!A398),6),3)))</f>
        <v>031-903</v>
      </c>
      <c r="C398" s="979" t="s">
        <v>34</v>
      </c>
      <c r="D398" s="979">
        <v>3</v>
      </c>
      <c r="E398" s="979">
        <v>1872</v>
      </c>
      <c r="F398" s="979" t="s">
        <v>4327</v>
      </c>
      <c r="G398" s="979" t="s">
        <v>6207</v>
      </c>
      <c r="H398" s="979">
        <v>3617370</v>
      </c>
      <c r="I398" s="979">
        <v>2846816</v>
      </c>
      <c r="J398" s="979">
        <v>1</v>
      </c>
      <c r="K398" s="979">
        <v>3617370</v>
      </c>
      <c r="L398" s="979">
        <v>2846816</v>
      </c>
      <c r="M398" s="979">
        <v>599</v>
      </c>
    </row>
    <row r="399" spans="1:13" ht="15">
      <c r="A399" s="979" t="s">
        <v>3431</v>
      </c>
      <c r="B399" s="1040" t="str">
        <f>CONCATENATE(LEFT(RIGHT(CONCATENATE("000",IFAData_TEA_1617!A399),6),3),"-",(RIGHT(RIGHT(CONCATENATE("000",IFAData_TEA_1617!A399),6),3)))</f>
        <v>031-903</v>
      </c>
      <c r="C399" s="979" t="s">
        <v>34</v>
      </c>
      <c r="D399" s="979">
        <v>5</v>
      </c>
      <c r="E399" s="979">
        <v>1871</v>
      </c>
      <c r="F399" s="979" t="s">
        <v>4329</v>
      </c>
      <c r="G399" s="979" t="s">
        <v>4329</v>
      </c>
      <c r="H399" s="979">
        <v>830941</v>
      </c>
      <c r="I399" s="979">
        <v>0</v>
      </c>
      <c r="J399" s="979">
        <v>0</v>
      </c>
      <c r="K399" s="979">
        <v>0</v>
      </c>
      <c r="L399" s="979">
        <v>0</v>
      </c>
      <c r="M399" s="979">
        <v>599</v>
      </c>
    </row>
    <row r="400" spans="1:13" ht="15">
      <c r="A400" s="979" t="s">
        <v>3431</v>
      </c>
      <c r="B400" s="1040" t="str">
        <f>CONCATENATE(LEFT(RIGHT(CONCATENATE("000",IFAData_TEA_1617!A400),6),3),"-",(RIGHT(RIGHT(CONCATENATE("000",IFAData_TEA_1617!A400),6),3)))</f>
        <v>031-903</v>
      </c>
      <c r="C400" s="979" t="s">
        <v>34</v>
      </c>
      <c r="D400" s="979">
        <v>9</v>
      </c>
      <c r="E400" s="979">
        <v>1870</v>
      </c>
      <c r="F400" s="979" t="s">
        <v>4331</v>
      </c>
      <c r="G400" s="979" t="s">
        <v>4331</v>
      </c>
      <c r="H400" s="979">
        <v>462864</v>
      </c>
      <c r="I400" s="979">
        <v>453586</v>
      </c>
      <c r="J400" s="979">
        <v>1</v>
      </c>
      <c r="K400" s="979">
        <v>462864</v>
      </c>
      <c r="L400" s="979">
        <v>453586</v>
      </c>
      <c r="M400" s="979">
        <v>199</v>
      </c>
    </row>
    <row r="401" spans="1:13" ht="15">
      <c r="A401" s="979" t="s">
        <v>3431</v>
      </c>
      <c r="B401" s="1040" t="str">
        <f>CONCATENATE(LEFT(RIGHT(CONCATENATE("000",IFAData_TEA_1617!A401),6),3),"-",(RIGHT(RIGHT(CONCATENATE("000",IFAData_TEA_1617!A401),6),3)))</f>
        <v>031-903</v>
      </c>
      <c r="C401" s="979" t="s">
        <v>34</v>
      </c>
      <c r="D401" s="979">
        <v>3</v>
      </c>
      <c r="E401" s="979">
        <v>1872</v>
      </c>
      <c r="F401" s="979" t="s">
        <v>4327</v>
      </c>
      <c r="G401" s="979" t="s">
        <v>4327</v>
      </c>
      <c r="H401" s="979">
        <v>3617370</v>
      </c>
      <c r="I401" s="979">
        <v>0</v>
      </c>
      <c r="J401" s="979">
        <v>0</v>
      </c>
      <c r="K401" s="979">
        <v>0</v>
      </c>
      <c r="L401" s="979">
        <v>0</v>
      </c>
      <c r="M401" s="979">
        <v>599</v>
      </c>
    </row>
    <row r="402" spans="1:13" ht="15">
      <c r="A402" s="979" t="s">
        <v>3431</v>
      </c>
      <c r="B402" s="1040" t="str">
        <f>CONCATENATE(LEFT(RIGHT(CONCATENATE("000",IFAData_TEA_1617!A402),6),3),"-",(RIGHT(RIGHT(CONCATENATE("000",IFAData_TEA_1617!A402),6),3)))</f>
        <v>031-903</v>
      </c>
      <c r="C402" s="979" t="s">
        <v>34</v>
      </c>
      <c r="D402" s="979">
        <v>10</v>
      </c>
      <c r="E402" s="979">
        <v>1873</v>
      </c>
      <c r="F402" s="979" t="s">
        <v>4332</v>
      </c>
      <c r="G402" s="979" t="s">
        <v>4332</v>
      </c>
      <c r="H402" s="979">
        <v>3813436</v>
      </c>
      <c r="I402" s="979">
        <v>3886939</v>
      </c>
      <c r="J402" s="979">
        <v>1</v>
      </c>
      <c r="K402" s="979">
        <v>3813436</v>
      </c>
      <c r="L402" s="979">
        <v>3813436</v>
      </c>
      <c r="M402" s="979">
        <v>599</v>
      </c>
    </row>
    <row r="403" spans="1:13" ht="15">
      <c r="A403" s="979" t="s">
        <v>3432</v>
      </c>
      <c r="B403" s="1040" t="str">
        <f>CONCATENATE(LEFT(RIGHT(CONCATENATE("000",IFAData_TEA_1617!A403),6),3),"-",(RIGHT(RIGHT(CONCATENATE("000",IFAData_TEA_1617!A403),6),3)))</f>
        <v>031-905</v>
      </c>
      <c r="C403" s="979" t="s">
        <v>1881</v>
      </c>
      <c r="D403" s="979">
        <v>8</v>
      </c>
      <c r="E403" s="979">
        <v>1977</v>
      </c>
      <c r="F403" s="979" t="s">
        <v>4340</v>
      </c>
      <c r="G403" s="979" t="s">
        <v>6210</v>
      </c>
      <c r="H403" s="979">
        <v>520989</v>
      </c>
      <c r="I403" s="979">
        <v>167000</v>
      </c>
      <c r="J403" s="979">
        <v>0.42820512820512818</v>
      </c>
      <c r="K403" s="979">
        <v>223090.16153846151</v>
      </c>
      <c r="L403" s="979">
        <v>167000</v>
      </c>
      <c r="M403" s="979">
        <v>599</v>
      </c>
    </row>
    <row r="404" spans="1:13" ht="15">
      <c r="A404" s="979" t="s">
        <v>3432</v>
      </c>
      <c r="B404" s="1040" t="str">
        <f>CONCATENATE(LEFT(RIGHT(CONCATENATE("000",IFAData_TEA_1617!A404),6),3),"-",(RIGHT(RIGHT(CONCATENATE("000",IFAData_TEA_1617!A404),6),3)))</f>
        <v>031-905</v>
      </c>
      <c r="C404" s="979" t="s">
        <v>1881</v>
      </c>
      <c r="D404" s="979">
        <v>3</v>
      </c>
      <c r="E404" s="979">
        <v>1975</v>
      </c>
      <c r="F404" s="979" t="s">
        <v>4335</v>
      </c>
      <c r="G404" s="979" t="s">
        <v>6208</v>
      </c>
      <c r="H404" s="979">
        <v>124856</v>
      </c>
      <c r="I404" s="979">
        <v>109532</v>
      </c>
      <c r="J404" s="979">
        <v>1</v>
      </c>
      <c r="K404" s="979">
        <v>124856</v>
      </c>
      <c r="L404" s="979">
        <v>109532</v>
      </c>
      <c r="M404" s="979">
        <v>599</v>
      </c>
    </row>
    <row r="405" spans="1:13" ht="15">
      <c r="A405" s="979" t="s">
        <v>3432</v>
      </c>
      <c r="B405" s="1040" t="str">
        <f>CONCATENATE(LEFT(RIGHT(CONCATENATE("000",IFAData_TEA_1617!A405),6),3),"-",(RIGHT(RIGHT(CONCATENATE("000",IFAData_TEA_1617!A405),6),3)))</f>
        <v>031-905</v>
      </c>
      <c r="C405" s="979" t="s">
        <v>1881</v>
      </c>
      <c r="D405" s="979">
        <v>3</v>
      </c>
      <c r="E405" s="979">
        <v>1975</v>
      </c>
      <c r="F405" s="979" t="s">
        <v>4335</v>
      </c>
      <c r="G405" s="979" t="s">
        <v>4335</v>
      </c>
      <c r="H405" s="979">
        <v>124856</v>
      </c>
      <c r="I405" s="979">
        <v>0</v>
      </c>
      <c r="J405" s="979">
        <v>0</v>
      </c>
      <c r="K405" s="979">
        <v>0</v>
      </c>
      <c r="L405" s="979">
        <v>0</v>
      </c>
      <c r="M405" s="979">
        <v>199</v>
      </c>
    </row>
    <row r="406" spans="1:13" ht="15">
      <c r="A406" s="979" t="s">
        <v>3432</v>
      </c>
      <c r="B406" s="1040" t="str">
        <f>CONCATENATE(LEFT(RIGHT(CONCATENATE("000",IFAData_TEA_1617!A406),6),3),"-",(RIGHT(RIGHT(CONCATENATE("000",IFAData_TEA_1617!A406),6),3)))</f>
        <v>031-905</v>
      </c>
      <c r="C406" s="979" t="s">
        <v>1881</v>
      </c>
      <c r="D406" s="979">
        <v>5</v>
      </c>
      <c r="E406" s="979">
        <v>1979</v>
      </c>
      <c r="F406" s="979" t="s">
        <v>4338</v>
      </c>
      <c r="G406" s="979" t="s">
        <v>4336</v>
      </c>
      <c r="H406" s="979">
        <v>562519</v>
      </c>
      <c r="I406" s="979">
        <v>0</v>
      </c>
      <c r="J406" s="979">
        <v>0</v>
      </c>
      <c r="K406" s="979">
        <v>0</v>
      </c>
      <c r="L406" s="979">
        <v>0</v>
      </c>
      <c r="M406" s="979">
        <v>599</v>
      </c>
    </row>
    <row r="407" spans="1:13" ht="15">
      <c r="A407" s="979" t="s">
        <v>3432</v>
      </c>
      <c r="B407" s="1040" t="str">
        <f>CONCATENATE(LEFT(RIGHT(CONCATENATE("000",IFAData_TEA_1617!A407),6),3),"-",(RIGHT(RIGHT(CONCATENATE("000",IFAData_TEA_1617!A407),6),3)))</f>
        <v>031-905</v>
      </c>
      <c r="C407" s="979" t="s">
        <v>1881</v>
      </c>
      <c r="D407" s="979">
        <v>3</v>
      </c>
      <c r="E407" s="979">
        <v>1975</v>
      </c>
      <c r="F407" s="979" t="s">
        <v>4335</v>
      </c>
      <c r="G407" s="979" t="s">
        <v>4336</v>
      </c>
      <c r="H407" s="979">
        <v>124856</v>
      </c>
      <c r="I407" s="979">
        <v>0</v>
      </c>
      <c r="J407" s="979">
        <v>0</v>
      </c>
      <c r="K407" s="979">
        <v>0</v>
      </c>
      <c r="L407" s="979">
        <v>0</v>
      </c>
      <c r="M407" s="979">
        <v>599</v>
      </c>
    </row>
    <row r="408" spans="1:13" ht="15">
      <c r="A408" s="979" t="s">
        <v>3432</v>
      </c>
      <c r="B408" s="1040" t="str">
        <f>CONCATENATE(LEFT(RIGHT(CONCATENATE("000",IFAData_TEA_1617!A408),6),3),"-",(RIGHT(RIGHT(CONCATENATE("000",IFAData_TEA_1617!A408),6),3)))</f>
        <v>031-905</v>
      </c>
      <c r="C408" s="979" t="s">
        <v>1881</v>
      </c>
      <c r="D408" s="979">
        <v>4</v>
      </c>
      <c r="E408" s="979">
        <v>1976</v>
      </c>
      <c r="F408" s="979" t="s">
        <v>4337</v>
      </c>
      <c r="G408" s="979" t="s">
        <v>4337</v>
      </c>
      <c r="H408" s="979">
        <v>159423</v>
      </c>
      <c r="I408" s="979">
        <v>0</v>
      </c>
      <c r="J408" s="979">
        <v>0</v>
      </c>
      <c r="K408" s="979"/>
      <c r="L408" s="979">
        <v>0</v>
      </c>
      <c r="M408" s="979">
        <v>199</v>
      </c>
    </row>
    <row r="409" spans="1:13" ht="15">
      <c r="A409" s="979" t="s">
        <v>3432</v>
      </c>
      <c r="B409" s="1040" t="str">
        <f>CONCATENATE(LEFT(RIGHT(CONCATENATE("000",IFAData_TEA_1617!A409),6),3),"-",(RIGHT(RIGHT(CONCATENATE("000",IFAData_TEA_1617!A409),6),3)))</f>
        <v>031-905</v>
      </c>
      <c r="C409" s="979" t="s">
        <v>1881</v>
      </c>
      <c r="D409" s="979">
        <v>1</v>
      </c>
      <c r="E409" s="979">
        <v>1978</v>
      </c>
      <c r="F409" s="979" t="s">
        <v>4333</v>
      </c>
      <c r="G409" s="979" t="s">
        <v>4333</v>
      </c>
      <c r="H409" s="979">
        <v>531801</v>
      </c>
      <c r="I409" s="979">
        <v>0</v>
      </c>
      <c r="J409" s="979">
        <v>0</v>
      </c>
      <c r="K409" s="979">
        <v>0</v>
      </c>
      <c r="L409" s="979">
        <v>0</v>
      </c>
      <c r="M409" s="979">
        <v>599</v>
      </c>
    </row>
    <row r="410" spans="1:13" ht="15">
      <c r="A410" s="979" t="s">
        <v>3432</v>
      </c>
      <c r="B410" s="1040" t="str">
        <f>CONCATENATE(LEFT(RIGHT(CONCATENATE("000",IFAData_TEA_1617!A410),6),3),"-",(RIGHT(RIGHT(CONCATENATE("000",IFAData_TEA_1617!A410),6),3)))</f>
        <v>031-905</v>
      </c>
      <c r="C410" s="979" t="s">
        <v>1881</v>
      </c>
      <c r="D410" s="979">
        <v>6</v>
      </c>
      <c r="E410" s="979">
        <v>1974</v>
      </c>
      <c r="F410" s="979" t="s">
        <v>4339</v>
      </c>
      <c r="G410" s="979" t="s">
        <v>4336</v>
      </c>
      <c r="H410" s="979">
        <v>89560</v>
      </c>
      <c r="I410" s="979">
        <v>0</v>
      </c>
      <c r="J410" s="979">
        <v>0</v>
      </c>
      <c r="K410" s="979">
        <v>0</v>
      </c>
      <c r="L410" s="979">
        <v>0</v>
      </c>
      <c r="M410" s="979">
        <v>599</v>
      </c>
    </row>
    <row r="411" spans="1:13" ht="15">
      <c r="A411" s="979" t="s">
        <v>3432</v>
      </c>
      <c r="B411" s="1040" t="str">
        <f>CONCATENATE(LEFT(RIGHT(CONCATENATE("000",IFAData_TEA_1617!A411),6),3),"-",(RIGHT(RIGHT(CONCATENATE("000",IFAData_TEA_1617!A411),6),3)))</f>
        <v>031-905</v>
      </c>
      <c r="C411" s="979" t="s">
        <v>1881</v>
      </c>
      <c r="D411" s="979">
        <v>5</v>
      </c>
      <c r="E411" s="979">
        <v>1979</v>
      </c>
      <c r="F411" s="979" t="s">
        <v>4338</v>
      </c>
      <c r="G411" s="979" t="s">
        <v>6208</v>
      </c>
      <c r="H411" s="979">
        <v>562519</v>
      </c>
      <c r="I411" s="979">
        <v>457750</v>
      </c>
      <c r="J411" s="979">
        <v>1</v>
      </c>
      <c r="K411" s="979">
        <v>562519</v>
      </c>
      <c r="L411" s="979">
        <v>457750</v>
      </c>
      <c r="M411" s="979">
        <v>599</v>
      </c>
    </row>
    <row r="412" spans="1:13" ht="15">
      <c r="A412" s="979" t="s">
        <v>3432</v>
      </c>
      <c r="B412" s="1040" t="str">
        <f>CONCATENATE(LEFT(RIGHT(CONCATENATE("000",IFAData_TEA_1617!A412),6),3),"-",(RIGHT(RIGHT(CONCATENATE("000",IFAData_TEA_1617!A412),6),3)))</f>
        <v>031-905</v>
      </c>
      <c r="C412" s="979" t="s">
        <v>1881</v>
      </c>
      <c r="D412" s="979">
        <v>1</v>
      </c>
      <c r="E412" s="979">
        <v>1978</v>
      </c>
      <c r="F412" s="979" t="s">
        <v>4333</v>
      </c>
      <c r="G412" s="979" t="s">
        <v>4334</v>
      </c>
      <c r="H412" s="979">
        <v>531801</v>
      </c>
      <c r="I412" s="979">
        <v>501800</v>
      </c>
      <c r="J412" s="979">
        <v>1</v>
      </c>
      <c r="K412" s="979">
        <v>531801</v>
      </c>
      <c r="L412" s="979">
        <v>501800</v>
      </c>
      <c r="M412" s="979">
        <v>599</v>
      </c>
    </row>
    <row r="413" spans="1:13" ht="15">
      <c r="A413" s="979" t="s">
        <v>3432</v>
      </c>
      <c r="B413" s="1040" t="str">
        <f>CONCATENATE(LEFT(RIGHT(CONCATENATE("000",IFAData_TEA_1617!A413),6),3),"-",(RIGHT(RIGHT(CONCATENATE("000",IFAData_TEA_1617!A413),6),3)))</f>
        <v>031-905</v>
      </c>
      <c r="C413" s="979" t="s">
        <v>1881</v>
      </c>
      <c r="D413" s="979">
        <v>8</v>
      </c>
      <c r="E413" s="979">
        <v>1977</v>
      </c>
      <c r="F413" s="979" t="s">
        <v>4340</v>
      </c>
      <c r="G413" s="979" t="s">
        <v>6209</v>
      </c>
      <c r="H413" s="979">
        <v>520989</v>
      </c>
      <c r="I413" s="979">
        <v>223000</v>
      </c>
      <c r="J413" s="979">
        <v>0.57179487179487176</v>
      </c>
      <c r="K413" s="979">
        <v>297898.83846153843</v>
      </c>
      <c r="L413" s="979">
        <v>223000</v>
      </c>
      <c r="M413" s="979">
        <v>599</v>
      </c>
    </row>
    <row r="414" spans="1:13" ht="15">
      <c r="A414" s="979" t="s">
        <v>3432</v>
      </c>
      <c r="B414" s="1040" t="str">
        <f>CONCATENATE(LEFT(RIGHT(CONCATENATE("000",IFAData_TEA_1617!A414),6),3),"-",(RIGHT(RIGHT(CONCATENATE("000",IFAData_TEA_1617!A414),6),3)))</f>
        <v>031-905</v>
      </c>
      <c r="C414" s="979" t="s">
        <v>1881</v>
      </c>
      <c r="D414" s="979">
        <v>6</v>
      </c>
      <c r="E414" s="979">
        <v>1974</v>
      </c>
      <c r="F414" s="979" t="s">
        <v>4339</v>
      </c>
      <c r="G414" s="979" t="s">
        <v>4339</v>
      </c>
      <c r="H414" s="979">
        <v>89560</v>
      </c>
      <c r="I414" s="979">
        <v>0</v>
      </c>
      <c r="J414" s="979">
        <v>0</v>
      </c>
      <c r="K414" s="979">
        <v>0</v>
      </c>
      <c r="L414" s="979">
        <v>0</v>
      </c>
      <c r="M414" s="979">
        <v>199</v>
      </c>
    </row>
    <row r="415" spans="1:13" ht="15">
      <c r="A415" s="979" t="s">
        <v>3432</v>
      </c>
      <c r="B415" s="1040" t="str">
        <f>CONCATENATE(LEFT(RIGHT(CONCATENATE("000",IFAData_TEA_1617!A415),6),3),"-",(RIGHT(RIGHT(CONCATENATE("000",IFAData_TEA_1617!A415),6),3)))</f>
        <v>031-905</v>
      </c>
      <c r="C415" s="979" t="s">
        <v>1881</v>
      </c>
      <c r="D415" s="979">
        <v>9</v>
      </c>
      <c r="E415" s="979">
        <v>1980</v>
      </c>
      <c r="F415" s="979" t="s">
        <v>4341</v>
      </c>
      <c r="G415" s="979" t="s">
        <v>4341</v>
      </c>
      <c r="H415" s="979">
        <v>790500</v>
      </c>
      <c r="I415" s="979">
        <v>786125</v>
      </c>
      <c r="J415" s="979">
        <v>1</v>
      </c>
      <c r="K415" s="979">
        <v>790500</v>
      </c>
      <c r="L415" s="979">
        <v>786125</v>
      </c>
      <c r="M415" s="979">
        <v>599</v>
      </c>
    </row>
    <row r="416" spans="1:13" ht="15">
      <c r="A416" s="979" t="s">
        <v>3432</v>
      </c>
      <c r="B416" s="1040" t="str">
        <f>CONCATENATE(LEFT(RIGHT(CONCATENATE("000",IFAData_TEA_1617!A416),6),3),"-",(RIGHT(RIGHT(CONCATENATE("000",IFAData_TEA_1617!A416),6),3)))</f>
        <v>031-905</v>
      </c>
      <c r="C416" s="979" t="s">
        <v>1881</v>
      </c>
      <c r="D416" s="979">
        <v>8</v>
      </c>
      <c r="E416" s="979">
        <v>1977</v>
      </c>
      <c r="F416" s="979" t="s">
        <v>4340</v>
      </c>
      <c r="G416" s="979" t="s">
        <v>4340</v>
      </c>
      <c r="H416" s="979">
        <v>520989</v>
      </c>
      <c r="I416" s="979">
        <v>0</v>
      </c>
      <c r="J416" s="979">
        <v>0</v>
      </c>
      <c r="K416" s="979">
        <v>0</v>
      </c>
      <c r="L416" s="979">
        <v>0</v>
      </c>
      <c r="M416" s="979">
        <v>599</v>
      </c>
    </row>
    <row r="417" spans="1:13" ht="15">
      <c r="A417" s="979" t="s">
        <v>3432</v>
      </c>
      <c r="B417" s="1040" t="str">
        <f>CONCATENATE(LEFT(RIGHT(CONCATENATE("000",IFAData_TEA_1617!A417),6),3),"-",(RIGHT(RIGHT(CONCATENATE("000",IFAData_TEA_1617!A417),6),3)))</f>
        <v>031-905</v>
      </c>
      <c r="C417" s="979" t="s">
        <v>1881</v>
      </c>
      <c r="D417" s="979">
        <v>6</v>
      </c>
      <c r="E417" s="979">
        <v>1974</v>
      </c>
      <c r="F417" s="979" t="s">
        <v>4339</v>
      </c>
      <c r="G417" s="979" t="s">
        <v>6208</v>
      </c>
      <c r="H417" s="979">
        <v>89560</v>
      </c>
      <c r="I417" s="979">
        <v>79244</v>
      </c>
      <c r="J417" s="979">
        <v>1</v>
      </c>
      <c r="K417" s="979">
        <v>89560</v>
      </c>
      <c r="L417" s="979">
        <v>79244</v>
      </c>
      <c r="M417" s="979">
        <v>599</v>
      </c>
    </row>
    <row r="418" spans="1:13" ht="15">
      <c r="A418" s="979" t="s">
        <v>3432</v>
      </c>
      <c r="B418" s="1040" t="str">
        <f>CONCATENATE(LEFT(RIGHT(CONCATENATE("000",IFAData_TEA_1617!A418),6),3),"-",(RIGHT(RIGHT(CONCATENATE("000",IFAData_TEA_1617!A418),6),3)))</f>
        <v>031-905</v>
      </c>
      <c r="C418" s="979" t="s">
        <v>1881</v>
      </c>
      <c r="D418" s="979">
        <v>5</v>
      </c>
      <c r="E418" s="979">
        <v>1979</v>
      </c>
      <c r="F418" s="979" t="s">
        <v>4338</v>
      </c>
      <c r="G418" s="979" t="s">
        <v>4338</v>
      </c>
      <c r="H418" s="979">
        <v>562519</v>
      </c>
      <c r="I418" s="979">
        <v>0</v>
      </c>
      <c r="J418" s="979">
        <v>0</v>
      </c>
      <c r="K418" s="979">
        <v>0</v>
      </c>
      <c r="L418" s="979">
        <v>0</v>
      </c>
      <c r="M418" s="979">
        <v>199</v>
      </c>
    </row>
    <row r="419" spans="1:13" ht="15">
      <c r="A419" s="979" t="s">
        <v>3433</v>
      </c>
      <c r="B419" s="1040" t="str">
        <f>CONCATENATE(LEFT(RIGHT(CONCATENATE("000",IFAData_TEA_1617!A419),6),3),"-",(RIGHT(RIGHT(CONCATENATE("000",IFAData_TEA_1617!A419),6),3)))</f>
        <v>031-906</v>
      </c>
      <c r="C419" s="979" t="s">
        <v>36</v>
      </c>
      <c r="D419" s="979">
        <v>1</v>
      </c>
      <c r="E419" s="979">
        <v>2037</v>
      </c>
      <c r="F419" s="979" t="s">
        <v>4342</v>
      </c>
      <c r="G419" s="979" t="s">
        <v>6426</v>
      </c>
      <c r="H419" s="979">
        <v>680974</v>
      </c>
      <c r="I419" s="979">
        <v>265142</v>
      </c>
      <c r="J419" s="979">
        <v>0.28744110613146695</v>
      </c>
      <c r="K419" s="979">
        <v>195739.91980676958</v>
      </c>
      <c r="L419" s="979">
        <v>195739.91980676958</v>
      </c>
      <c r="M419" s="979">
        <v>599</v>
      </c>
    </row>
    <row r="420" spans="1:13" ht="15">
      <c r="A420" s="979" t="s">
        <v>3433</v>
      </c>
      <c r="B420" s="1040" t="str">
        <f>CONCATENATE(LEFT(RIGHT(CONCATENATE("000",IFAData_TEA_1617!A420),6),3),"-",(RIGHT(RIGHT(CONCATENATE("000",IFAData_TEA_1617!A420),6),3)))</f>
        <v>031-906</v>
      </c>
      <c r="C420" s="979" t="s">
        <v>36</v>
      </c>
      <c r="D420" s="979">
        <v>4</v>
      </c>
      <c r="E420" s="979">
        <v>2038</v>
      </c>
      <c r="F420" s="979" t="s">
        <v>4344</v>
      </c>
      <c r="G420" s="979" t="s">
        <v>4343</v>
      </c>
      <c r="H420" s="979">
        <v>1668879</v>
      </c>
      <c r="I420" s="979">
        <v>1579045</v>
      </c>
      <c r="J420" s="979">
        <v>0.7008651598717085</v>
      </c>
      <c r="K420" s="979">
        <v>1169659.1471415369</v>
      </c>
      <c r="L420" s="979">
        <v>1169659.1471415369</v>
      </c>
      <c r="M420" s="979">
        <v>599</v>
      </c>
    </row>
    <row r="421" spans="1:13" ht="15">
      <c r="A421" s="979" t="s">
        <v>3433</v>
      </c>
      <c r="B421" s="1040" t="str">
        <f>CONCATENATE(LEFT(RIGHT(CONCATENATE("000",IFAData_TEA_1617!A421),6),3),"-",(RIGHT(RIGHT(CONCATENATE("000",IFAData_TEA_1617!A421),6),3)))</f>
        <v>031-906</v>
      </c>
      <c r="C421" s="979" t="s">
        <v>36</v>
      </c>
      <c r="D421" s="979">
        <v>8</v>
      </c>
      <c r="E421" s="979">
        <v>2039</v>
      </c>
      <c r="F421" s="979" t="s">
        <v>4345</v>
      </c>
      <c r="G421" s="979" t="s">
        <v>4345</v>
      </c>
      <c r="H421" s="979">
        <v>1935141</v>
      </c>
      <c r="I421" s="979">
        <v>0</v>
      </c>
      <c r="J421" s="979">
        <v>0</v>
      </c>
      <c r="K421" s="979">
        <v>0</v>
      </c>
      <c r="L421" s="979">
        <v>0</v>
      </c>
      <c r="M421" s="979">
        <v>599</v>
      </c>
    </row>
    <row r="422" spans="1:13" ht="15">
      <c r="A422" s="979" t="s">
        <v>3433</v>
      </c>
      <c r="B422" s="1040" t="str">
        <f>CONCATENATE(LEFT(RIGHT(CONCATENATE("000",IFAData_TEA_1617!A422),6),3),"-",(RIGHT(RIGHT(CONCATENATE("000",IFAData_TEA_1617!A422),6),3)))</f>
        <v>031-906</v>
      </c>
      <c r="C422" s="979" t="s">
        <v>36</v>
      </c>
      <c r="D422" s="979">
        <v>4</v>
      </c>
      <c r="E422" s="979">
        <v>2038</v>
      </c>
      <c r="F422" s="979" t="s">
        <v>4344</v>
      </c>
      <c r="G422" s="979" t="s">
        <v>4344</v>
      </c>
      <c r="H422" s="979">
        <v>1668879</v>
      </c>
      <c r="I422" s="979">
        <v>0</v>
      </c>
      <c r="J422" s="979">
        <v>0</v>
      </c>
      <c r="K422" s="979">
        <v>0</v>
      </c>
      <c r="L422" s="979">
        <v>0</v>
      </c>
      <c r="M422" s="979">
        <v>599</v>
      </c>
    </row>
    <row r="423" spans="1:13" ht="15">
      <c r="A423" s="979" t="s">
        <v>3433</v>
      </c>
      <c r="B423" s="1040" t="str">
        <f>CONCATENATE(LEFT(RIGHT(CONCATENATE("000",IFAData_TEA_1617!A423),6),3),"-",(RIGHT(RIGHT(CONCATENATE("000",IFAData_TEA_1617!A423),6),3)))</f>
        <v>031-906</v>
      </c>
      <c r="C423" s="979" t="s">
        <v>36</v>
      </c>
      <c r="D423" s="979">
        <v>8</v>
      </c>
      <c r="E423" s="979">
        <v>2039</v>
      </c>
      <c r="F423" s="979" t="s">
        <v>4345</v>
      </c>
      <c r="G423" s="979" t="s">
        <v>6426</v>
      </c>
      <c r="H423" s="979">
        <v>1935141</v>
      </c>
      <c r="I423" s="979">
        <v>3331524</v>
      </c>
      <c r="J423" s="979">
        <v>1</v>
      </c>
      <c r="K423" s="979">
        <v>1935141</v>
      </c>
      <c r="L423" s="979">
        <v>1935141</v>
      </c>
      <c r="M423" s="979">
        <v>599</v>
      </c>
    </row>
    <row r="424" spans="1:13" ht="15">
      <c r="A424" s="979" t="s">
        <v>3433</v>
      </c>
      <c r="B424" s="1040" t="str">
        <f>CONCATENATE(LEFT(RIGHT(CONCATENATE("000",IFAData_TEA_1617!A424),6),3),"-",(RIGHT(RIGHT(CONCATENATE("000",IFAData_TEA_1617!A424),6),3)))</f>
        <v>031-906</v>
      </c>
      <c r="C424" s="979" t="s">
        <v>36</v>
      </c>
      <c r="D424" s="979">
        <v>4</v>
      </c>
      <c r="E424" s="979">
        <v>2038</v>
      </c>
      <c r="F424" s="979" t="s">
        <v>4344</v>
      </c>
      <c r="G424" s="979" t="s">
        <v>6426</v>
      </c>
      <c r="H424" s="979">
        <v>1668879</v>
      </c>
      <c r="I424" s="979">
        <v>673949</v>
      </c>
      <c r="J424" s="979">
        <v>0.2991348401282915</v>
      </c>
      <c r="K424" s="979">
        <v>499219.85285846301</v>
      </c>
      <c r="L424" s="979">
        <v>499219.85285846301</v>
      </c>
      <c r="M424" s="979">
        <v>599</v>
      </c>
    </row>
    <row r="425" spans="1:13" ht="15">
      <c r="A425" s="979" t="s">
        <v>3433</v>
      </c>
      <c r="B425" s="1040" t="str">
        <f>CONCATENATE(LEFT(RIGHT(CONCATENATE("000",IFAData_TEA_1617!A425),6),3),"-",(RIGHT(RIGHT(CONCATENATE("000",IFAData_TEA_1617!A425),6),3)))</f>
        <v>031-906</v>
      </c>
      <c r="C425" s="979" t="s">
        <v>36</v>
      </c>
      <c r="D425" s="979">
        <v>1</v>
      </c>
      <c r="E425" s="979">
        <v>2037</v>
      </c>
      <c r="F425" s="979" t="s">
        <v>4342</v>
      </c>
      <c r="G425" s="979" t="s">
        <v>4342</v>
      </c>
      <c r="H425" s="979">
        <v>680974</v>
      </c>
      <c r="I425" s="979">
        <v>0</v>
      </c>
      <c r="J425" s="979">
        <v>0</v>
      </c>
      <c r="K425" s="979">
        <v>0</v>
      </c>
      <c r="L425" s="979">
        <v>0</v>
      </c>
      <c r="M425" s="979">
        <v>599</v>
      </c>
    </row>
    <row r="426" spans="1:13" ht="15">
      <c r="A426" s="979" t="s">
        <v>3433</v>
      </c>
      <c r="B426" s="1040" t="str">
        <f>CONCATENATE(LEFT(RIGHT(CONCATENATE("000",IFAData_TEA_1617!A426),6),3),"-",(RIGHT(RIGHT(CONCATENATE("000",IFAData_TEA_1617!A426),6),3)))</f>
        <v>031-906</v>
      </c>
      <c r="C426" s="979" t="s">
        <v>36</v>
      </c>
      <c r="D426" s="979">
        <v>1</v>
      </c>
      <c r="E426" s="979">
        <v>2037</v>
      </c>
      <c r="F426" s="979" t="s">
        <v>4342</v>
      </c>
      <c r="G426" s="979" t="s">
        <v>4343</v>
      </c>
      <c r="H426" s="979">
        <v>680974</v>
      </c>
      <c r="I426" s="979">
        <v>657280</v>
      </c>
      <c r="J426" s="979">
        <v>0.71255889386853311</v>
      </c>
      <c r="K426" s="979">
        <v>485234.08019323047</v>
      </c>
      <c r="L426" s="979">
        <v>485234.08019323047</v>
      </c>
      <c r="M426" s="979">
        <v>599</v>
      </c>
    </row>
    <row r="427" spans="1:13" ht="15">
      <c r="A427" s="979" t="s">
        <v>3434</v>
      </c>
      <c r="B427" s="1040" t="str">
        <f>CONCATENATE(LEFT(RIGHT(CONCATENATE("000",IFAData_TEA_1617!A427),6),3),"-",(RIGHT(RIGHT(CONCATENATE("000",IFAData_TEA_1617!A427),6),3)))</f>
        <v>031-911</v>
      </c>
      <c r="C427" s="979" t="s">
        <v>2694</v>
      </c>
      <c r="D427" s="979">
        <v>4</v>
      </c>
      <c r="E427" s="979">
        <v>2247</v>
      </c>
      <c r="F427" s="979" t="s">
        <v>4346</v>
      </c>
      <c r="G427" s="979" t="s">
        <v>6211</v>
      </c>
      <c r="H427" s="979">
        <v>501695</v>
      </c>
      <c r="I427" s="979">
        <v>434625</v>
      </c>
      <c r="J427" s="979">
        <v>1</v>
      </c>
      <c r="K427" s="979">
        <v>501695</v>
      </c>
      <c r="L427" s="979">
        <v>434625</v>
      </c>
      <c r="M427" s="979">
        <v>599</v>
      </c>
    </row>
    <row r="428" spans="1:13" ht="15">
      <c r="A428" s="979" t="s">
        <v>3434</v>
      </c>
      <c r="B428" s="1040" t="str">
        <f>CONCATENATE(LEFT(RIGHT(CONCATENATE("000",IFAData_TEA_1617!A428),6),3),"-",(RIGHT(RIGHT(CONCATENATE("000",IFAData_TEA_1617!A428),6),3)))</f>
        <v>031-911</v>
      </c>
      <c r="C428" s="979" t="s">
        <v>2694</v>
      </c>
      <c r="D428" s="979">
        <v>4</v>
      </c>
      <c r="E428" s="979">
        <v>2247</v>
      </c>
      <c r="F428" s="979" t="s">
        <v>4346</v>
      </c>
      <c r="G428" s="979" t="s">
        <v>4346</v>
      </c>
      <c r="H428" s="979">
        <v>501695</v>
      </c>
      <c r="I428" s="979">
        <v>0</v>
      </c>
      <c r="J428" s="979">
        <v>0</v>
      </c>
      <c r="K428" s="979">
        <v>0</v>
      </c>
      <c r="L428" s="979">
        <v>0</v>
      </c>
      <c r="M428" s="979">
        <v>599</v>
      </c>
    </row>
    <row r="429" spans="1:13" ht="15">
      <c r="A429" s="979" t="s">
        <v>3434</v>
      </c>
      <c r="B429" s="1040" t="str">
        <f>CONCATENATE(LEFT(RIGHT(CONCATENATE("000",IFAData_TEA_1617!A429),6),3),"-",(RIGHT(RIGHT(CONCATENATE("000",IFAData_TEA_1617!A429),6),3)))</f>
        <v>031-911</v>
      </c>
      <c r="C429" s="979" t="s">
        <v>2694</v>
      </c>
      <c r="D429" s="979">
        <v>5</v>
      </c>
      <c r="E429" s="979">
        <v>2246</v>
      </c>
      <c r="F429" s="979" t="s">
        <v>4348</v>
      </c>
      <c r="G429" s="979" t="s">
        <v>4349</v>
      </c>
      <c r="H429" s="979">
        <v>476290</v>
      </c>
      <c r="I429" s="979">
        <v>0</v>
      </c>
      <c r="J429" s="979">
        <v>0</v>
      </c>
      <c r="K429" s="979">
        <v>0</v>
      </c>
      <c r="L429" s="979">
        <v>0</v>
      </c>
      <c r="M429" s="979">
        <v>599</v>
      </c>
    </row>
    <row r="430" spans="1:13" ht="15">
      <c r="A430" s="979" t="s">
        <v>3434</v>
      </c>
      <c r="B430" s="1040" t="str">
        <f>CONCATENATE(LEFT(RIGHT(CONCATENATE("000",IFAData_TEA_1617!A430),6),3),"-",(RIGHT(RIGHT(CONCATENATE("000",IFAData_TEA_1617!A430),6),3)))</f>
        <v>031-911</v>
      </c>
      <c r="C430" s="979" t="s">
        <v>2694</v>
      </c>
      <c r="D430" s="979">
        <v>8</v>
      </c>
      <c r="E430" s="979">
        <v>2245</v>
      </c>
      <c r="F430" s="979" t="s">
        <v>4350</v>
      </c>
      <c r="G430" s="979" t="s">
        <v>4350</v>
      </c>
      <c r="H430" s="979">
        <v>262428</v>
      </c>
      <c r="I430" s="979">
        <v>259525</v>
      </c>
      <c r="J430" s="979">
        <v>1</v>
      </c>
      <c r="K430" s="979">
        <v>262428</v>
      </c>
      <c r="L430" s="979">
        <v>259525</v>
      </c>
      <c r="M430" s="979">
        <v>599</v>
      </c>
    </row>
    <row r="431" spans="1:13" ht="15">
      <c r="A431" s="979" t="s">
        <v>3434</v>
      </c>
      <c r="B431" s="1040" t="str">
        <f>CONCATENATE(LEFT(RIGHT(CONCATENATE("000",IFAData_TEA_1617!A431),6),3),"-",(RIGHT(RIGHT(CONCATENATE("000",IFAData_TEA_1617!A431),6),3)))</f>
        <v>031-911</v>
      </c>
      <c r="C431" s="979" t="s">
        <v>2694</v>
      </c>
      <c r="D431" s="979">
        <v>5</v>
      </c>
      <c r="E431" s="979">
        <v>2246</v>
      </c>
      <c r="F431" s="979" t="s">
        <v>4348</v>
      </c>
      <c r="G431" s="979" t="s">
        <v>4348</v>
      </c>
      <c r="H431" s="979">
        <v>476290</v>
      </c>
      <c r="I431" s="979">
        <v>0</v>
      </c>
      <c r="J431" s="979">
        <v>0</v>
      </c>
      <c r="K431" s="979">
        <v>0</v>
      </c>
      <c r="L431" s="979">
        <v>0</v>
      </c>
      <c r="M431" s="979">
        <v>599</v>
      </c>
    </row>
    <row r="432" spans="1:13" ht="15">
      <c r="A432" s="979" t="s">
        <v>3434</v>
      </c>
      <c r="B432" s="1040" t="str">
        <f>CONCATENATE(LEFT(RIGHT(CONCATENATE("000",IFAData_TEA_1617!A432),6),3),"-",(RIGHT(RIGHT(CONCATENATE("000",IFAData_TEA_1617!A432),6),3)))</f>
        <v>031-911</v>
      </c>
      <c r="C432" s="979" t="s">
        <v>2694</v>
      </c>
      <c r="D432" s="979">
        <v>5</v>
      </c>
      <c r="E432" s="979">
        <v>2246</v>
      </c>
      <c r="F432" s="979" t="s">
        <v>4348</v>
      </c>
      <c r="G432" s="979" t="s">
        <v>6427</v>
      </c>
      <c r="H432" s="979">
        <v>476290</v>
      </c>
      <c r="I432" s="979">
        <v>411100</v>
      </c>
      <c r="J432" s="979">
        <v>1</v>
      </c>
      <c r="K432" s="979">
        <v>476290</v>
      </c>
      <c r="L432" s="979">
        <v>411100</v>
      </c>
      <c r="M432" s="979">
        <v>599</v>
      </c>
    </row>
    <row r="433" spans="1:13" ht="15">
      <c r="A433" s="979" t="s">
        <v>3434</v>
      </c>
      <c r="B433" s="1040" t="str">
        <f>CONCATENATE(LEFT(RIGHT(CONCATENATE("000",IFAData_TEA_1617!A433),6),3),"-",(RIGHT(RIGHT(CONCATENATE("000",IFAData_TEA_1617!A433),6),3)))</f>
        <v>031-911</v>
      </c>
      <c r="C433" s="979" t="s">
        <v>2694</v>
      </c>
      <c r="D433" s="979">
        <v>4</v>
      </c>
      <c r="E433" s="979">
        <v>2247</v>
      </c>
      <c r="F433" s="979" t="s">
        <v>4346</v>
      </c>
      <c r="G433" s="979" t="s">
        <v>4347</v>
      </c>
      <c r="H433" s="979">
        <v>501695</v>
      </c>
      <c r="I433" s="979">
        <v>0</v>
      </c>
      <c r="J433" s="979">
        <v>0</v>
      </c>
      <c r="K433" s="979">
        <v>0</v>
      </c>
      <c r="L433" s="979">
        <v>0</v>
      </c>
      <c r="M433" s="979">
        <v>599</v>
      </c>
    </row>
    <row r="434" spans="1:13" ht="15">
      <c r="A434" s="979" t="s">
        <v>3435</v>
      </c>
      <c r="B434" s="1040" t="str">
        <f>CONCATENATE(LEFT(RIGHT(CONCATENATE("000",IFAData_TEA_1617!A434),6),3),"-",(RIGHT(RIGHT(CONCATENATE("000",IFAData_TEA_1617!A434),6),3)))</f>
        <v>031-912</v>
      </c>
      <c r="C434" s="979" t="s">
        <v>39</v>
      </c>
      <c r="D434" s="979">
        <v>4</v>
      </c>
      <c r="E434" s="979">
        <v>2285</v>
      </c>
      <c r="F434" s="979" t="s">
        <v>4353</v>
      </c>
      <c r="G434" s="979" t="s">
        <v>4353</v>
      </c>
      <c r="H434" s="979">
        <v>1943392</v>
      </c>
      <c r="I434" s="979">
        <v>0</v>
      </c>
      <c r="J434" s="979">
        <v>0</v>
      </c>
      <c r="K434" s="979">
        <v>0</v>
      </c>
      <c r="L434" s="979">
        <v>0</v>
      </c>
      <c r="M434" s="979">
        <v>599</v>
      </c>
    </row>
    <row r="435" spans="1:13" ht="15">
      <c r="A435" s="979" t="s">
        <v>3435</v>
      </c>
      <c r="B435" s="1040" t="str">
        <f>CONCATENATE(LEFT(RIGHT(CONCATENATE("000",IFAData_TEA_1617!A435),6),3),"-",(RIGHT(RIGHT(CONCATENATE("000",IFAData_TEA_1617!A435),6),3)))</f>
        <v>031-912</v>
      </c>
      <c r="C435" s="979" t="s">
        <v>39</v>
      </c>
      <c r="D435" s="979">
        <v>7</v>
      </c>
      <c r="E435" s="979">
        <v>2286</v>
      </c>
      <c r="F435" s="979" t="s">
        <v>4355</v>
      </c>
      <c r="G435" s="979" t="s">
        <v>4357</v>
      </c>
      <c r="H435" s="979">
        <v>2335517</v>
      </c>
      <c r="I435" s="979">
        <v>0</v>
      </c>
      <c r="J435" s="979">
        <v>0</v>
      </c>
      <c r="K435" s="979">
        <v>0</v>
      </c>
      <c r="L435" s="979">
        <v>0</v>
      </c>
      <c r="M435" s="979">
        <v>599</v>
      </c>
    </row>
    <row r="436" spans="1:13" ht="15">
      <c r="A436" s="979" t="s">
        <v>3435</v>
      </c>
      <c r="B436" s="1040" t="str">
        <f>CONCATENATE(LEFT(RIGHT(CONCATENATE("000",IFAData_TEA_1617!A436),6),3),"-",(RIGHT(RIGHT(CONCATENATE("000",IFAData_TEA_1617!A436),6),3)))</f>
        <v>031-912</v>
      </c>
      <c r="C436" s="979" t="s">
        <v>39</v>
      </c>
      <c r="D436" s="979">
        <v>7</v>
      </c>
      <c r="E436" s="979">
        <v>2286</v>
      </c>
      <c r="F436" s="979" t="s">
        <v>4355</v>
      </c>
      <c r="G436" s="979" t="s">
        <v>4356</v>
      </c>
      <c r="H436" s="979">
        <v>2335517</v>
      </c>
      <c r="I436" s="979">
        <v>352850</v>
      </c>
      <c r="J436" s="979">
        <v>1</v>
      </c>
      <c r="K436" s="979">
        <v>2335517</v>
      </c>
      <c r="L436" s="979">
        <v>352850</v>
      </c>
      <c r="M436" s="979">
        <v>599</v>
      </c>
    </row>
    <row r="437" spans="1:13" ht="15">
      <c r="A437" s="979" t="s">
        <v>3435</v>
      </c>
      <c r="B437" s="1040" t="str">
        <f>CONCATENATE(LEFT(RIGHT(CONCATENATE("000",IFAData_TEA_1617!A437),6),3),"-",(RIGHT(RIGHT(CONCATENATE("000",IFAData_TEA_1617!A437),6),3)))</f>
        <v>031-912</v>
      </c>
      <c r="C437" s="979" t="s">
        <v>39</v>
      </c>
      <c r="D437" s="979">
        <v>9</v>
      </c>
      <c r="E437" s="979">
        <v>2287</v>
      </c>
      <c r="F437" s="979" t="s">
        <v>4358</v>
      </c>
      <c r="G437" s="979" t="s">
        <v>6428</v>
      </c>
      <c r="H437" s="979">
        <v>2359625</v>
      </c>
      <c r="I437" s="979">
        <v>2079500</v>
      </c>
      <c r="J437" s="979">
        <v>1</v>
      </c>
      <c r="K437" s="979">
        <v>2359625</v>
      </c>
      <c r="L437" s="979">
        <v>2079500</v>
      </c>
      <c r="M437" s="979">
        <v>599</v>
      </c>
    </row>
    <row r="438" spans="1:13" ht="15">
      <c r="A438" s="979" t="s">
        <v>3435</v>
      </c>
      <c r="B438" s="1040" t="str">
        <f>CONCATENATE(LEFT(RIGHT(CONCATENATE("000",IFAData_TEA_1617!A438),6),3),"-",(RIGHT(RIGHT(CONCATENATE("000",IFAData_TEA_1617!A438),6),3)))</f>
        <v>031-912</v>
      </c>
      <c r="C438" s="979" t="s">
        <v>39</v>
      </c>
      <c r="D438" s="979">
        <v>2</v>
      </c>
      <c r="E438" s="979">
        <v>2284</v>
      </c>
      <c r="F438" s="979" t="s">
        <v>4351</v>
      </c>
      <c r="G438" s="979" t="s">
        <v>4352</v>
      </c>
      <c r="H438" s="979">
        <v>1925904</v>
      </c>
      <c r="I438" s="979">
        <v>0</v>
      </c>
      <c r="J438" s="979">
        <v>0</v>
      </c>
      <c r="K438" s="979">
        <v>0</v>
      </c>
      <c r="L438" s="979">
        <v>0</v>
      </c>
      <c r="M438" s="979">
        <v>599</v>
      </c>
    </row>
    <row r="439" spans="1:13" ht="15">
      <c r="A439" s="979" t="s">
        <v>3435</v>
      </c>
      <c r="B439" s="1040" t="str">
        <f>CONCATENATE(LEFT(RIGHT(CONCATENATE("000",IFAData_TEA_1617!A439),6),3),"-",(RIGHT(RIGHT(CONCATENATE("000",IFAData_TEA_1617!A439),6),3)))</f>
        <v>031-912</v>
      </c>
      <c r="C439" s="979" t="s">
        <v>39</v>
      </c>
      <c r="D439" s="979">
        <v>4</v>
      </c>
      <c r="E439" s="979">
        <v>2285</v>
      </c>
      <c r="F439" s="979" t="s">
        <v>4353</v>
      </c>
      <c r="G439" s="979" t="s">
        <v>4352</v>
      </c>
      <c r="H439" s="979">
        <v>1943392</v>
      </c>
      <c r="I439" s="979">
        <v>0</v>
      </c>
      <c r="J439" s="979">
        <v>0</v>
      </c>
      <c r="K439" s="979">
        <v>0</v>
      </c>
      <c r="L439" s="979">
        <v>0</v>
      </c>
      <c r="M439" s="979">
        <v>599</v>
      </c>
    </row>
    <row r="440" spans="1:13" ht="15">
      <c r="A440" s="979" t="s">
        <v>3435</v>
      </c>
      <c r="B440" s="1040" t="str">
        <f>CONCATENATE(LEFT(RIGHT(CONCATENATE("000",IFAData_TEA_1617!A440),6),3),"-",(RIGHT(RIGHT(CONCATENATE("000",IFAData_TEA_1617!A440),6),3)))</f>
        <v>031-912</v>
      </c>
      <c r="C440" s="979" t="s">
        <v>39</v>
      </c>
      <c r="D440" s="979">
        <v>4</v>
      </c>
      <c r="E440" s="979">
        <v>2285</v>
      </c>
      <c r="F440" s="979" t="s">
        <v>4353</v>
      </c>
      <c r="G440" s="979" t="s">
        <v>4354</v>
      </c>
      <c r="H440" s="979">
        <v>1943392</v>
      </c>
      <c r="I440" s="979">
        <v>1292075</v>
      </c>
      <c r="J440" s="979">
        <v>0.7113195643365513</v>
      </c>
      <c r="K440" s="979">
        <v>1382372.7507751391</v>
      </c>
      <c r="L440" s="979">
        <v>1292075</v>
      </c>
      <c r="M440" s="979">
        <v>599</v>
      </c>
    </row>
    <row r="441" spans="1:13" ht="15">
      <c r="A441" s="979" t="s">
        <v>3435</v>
      </c>
      <c r="B441" s="1040" t="str">
        <f>CONCATENATE(LEFT(RIGHT(CONCATENATE("000",IFAData_TEA_1617!A441),6),3),"-",(RIGHT(RIGHT(CONCATENATE("000",IFAData_TEA_1617!A441),6),3)))</f>
        <v>031-912</v>
      </c>
      <c r="C441" s="979" t="s">
        <v>39</v>
      </c>
      <c r="D441" s="979">
        <v>4</v>
      </c>
      <c r="E441" s="979">
        <v>2285</v>
      </c>
      <c r="F441" s="979" t="s">
        <v>4353</v>
      </c>
      <c r="G441" s="979" t="s">
        <v>6212</v>
      </c>
      <c r="H441" s="979">
        <v>1943392</v>
      </c>
      <c r="I441" s="979">
        <v>524373</v>
      </c>
      <c r="J441" s="979">
        <v>0.28868043566344864</v>
      </c>
      <c r="K441" s="979">
        <v>561019.2492248608</v>
      </c>
      <c r="L441" s="979">
        <v>524373</v>
      </c>
      <c r="M441" s="979">
        <v>599</v>
      </c>
    </row>
    <row r="442" spans="1:13" ht="15">
      <c r="A442" s="979" t="s">
        <v>3435</v>
      </c>
      <c r="B442" s="1040" t="str">
        <f>CONCATENATE(LEFT(RIGHT(CONCATENATE("000",IFAData_TEA_1617!A442),6),3),"-",(RIGHT(RIGHT(CONCATENATE("000",IFAData_TEA_1617!A442),6),3)))</f>
        <v>031-912</v>
      </c>
      <c r="C442" s="979" t="s">
        <v>39</v>
      </c>
      <c r="D442" s="979">
        <v>7</v>
      </c>
      <c r="E442" s="979">
        <v>2286</v>
      </c>
      <c r="F442" s="979" t="s">
        <v>4355</v>
      </c>
      <c r="G442" s="979" t="s">
        <v>4355</v>
      </c>
      <c r="H442" s="979">
        <v>2335517</v>
      </c>
      <c r="I442" s="979">
        <v>0</v>
      </c>
      <c r="J442" s="979">
        <v>0</v>
      </c>
      <c r="K442" s="979">
        <v>0</v>
      </c>
      <c r="L442" s="979">
        <v>0</v>
      </c>
      <c r="M442" s="979">
        <v>599</v>
      </c>
    </row>
    <row r="443" spans="1:13" ht="15">
      <c r="A443" s="979" t="s">
        <v>3435</v>
      </c>
      <c r="B443" s="1040" t="str">
        <f>CONCATENATE(LEFT(RIGHT(CONCATENATE("000",IFAData_TEA_1617!A443),6),3),"-",(RIGHT(RIGHT(CONCATENATE("000",IFAData_TEA_1617!A443),6),3)))</f>
        <v>031-912</v>
      </c>
      <c r="C443" s="979" t="s">
        <v>39</v>
      </c>
      <c r="D443" s="979">
        <v>2</v>
      </c>
      <c r="E443" s="979">
        <v>2284</v>
      </c>
      <c r="F443" s="979" t="s">
        <v>4351</v>
      </c>
      <c r="G443" s="979" t="s">
        <v>4351</v>
      </c>
      <c r="H443" s="979">
        <v>1925904</v>
      </c>
      <c r="I443" s="979">
        <v>0</v>
      </c>
      <c r="J443" s="979">
        <v>0</v>
      </c>
      <c r="K443" s="979">
        <v>0</v>
      </c>
      <c r="L443" s="979">
        <v>0</v>
      </c>
      <c r="M443" s="979">
        <v>599</v>
      </c>
    </row>
    <row r="444" spans="1:13" ht="15">
      <c r="A444" s="979" t="s">
        <v>3435</v>
      </c>
      <c r="B444" s="1040" t="str">
        <f>CONCATENATE(LEFT(RIGHT(CONCATENATE("000",IFAData_TEA_1617!A444),6),3),"-",(RIGHT(RIGHT(CONCATENATE("000",IFAData_TEA_1617!A444),6),3)))</f>
        <v>031-912</v>
      </c>
      <c r="C444" s="979" t="s">
        <v>39</v>
      </c>
      <c r="D444" s="979">
        <v>2</v>
      </c>
      <c r="E444" s="979">
        <v>2284</v>
      </c>
      <c r="F444" s="979" t="s">
        <v>4351</v>
      </c>
      <c r="G444" s="979" t="s">
        <v>6212</v>
      </c>
      <c r="H444" s="979">
        <v>1925904</v>
      </c>
      <c r="I444" s="979">
        <v>1596388</v>
      </c>
      <c r="J444" s="979">
        <v>1</v>
      </c>
      <c r="K444" s="979">
        <v>1925904</v>
      </c>
      <c r="L444" s="979">
        <v>1596388</v>
      </c>
      <c r="M444" s="979">
        <v>599</v>
      </c>
    </row>
    <row r="445" spans="1:13" ht="15">
      <c r="A445" s="979" t="s">
        <v>3435</v>
      </c>
      <c r="B445" s="1040" t="str">
        <f>CONCATENATE(LEFT(RIGHT(CONCATENATE("000",IFAData_TEA_1617!A445),6),3),"-",(RIGHT(RIGHT(CONCATENATE("000",IFAData_TEA_1617!A445),6),3)))</f>
        <v>031-912</v>
      </c>
      <c r="C445" s="979" t="s">
        <v>39</v>
      </c>
      <c r="D445" s="979">
        <v>9</v>
      </c>
      <c r="E445" s="979">
        <v>2287</v>
      </c>
      <c r="F445" s="979" t="s">
        <v>4358</v>
      </c>
      <c r="G445" s="979" t="s">
        <v>4358</v>
      </c>
      <c r="H445" s="979">
        <v>2359625</v>
      </c>
      <c r="I445" s="979">
        <v>0</v>
      </c>
      <c r="J445" s="979">
        <v>0</v>
      </c>
      <c r="K445" s="979">
        <v>0</v>
      </c>
      <c r="L445" s="979">
        <v>0</v>
      </c>
      <c r="M445" s="979">
        <v>599</v>
      </c>
    </row>
    <row r="446" spans="1:13" ht="15">
      <c r="A446" s="979" t="s">
        <v>3436</v>
      </c>
      <c r="B446" s="1040" t="str">
        <f>CONCATENATE(LEFT(RIGHT(CONCATENATE("000",IFAData_TEA_1617!A446),6),3),"-",(RIGHT(RIGHT(CONCATENATE("000",IFAData_TEA_1617!A446),6),3)))</f>
        <v>031-913</v>
      </c>
      <c r="C446" s="979" t="s">
        <v>86</v>
      </c>
      <c r="D446" s="979">
        <v>4</v>
      </c>
      <c r="E446" s="979">
        <v>2310</v>
      </c>
      <c r="F446" s="979" t="s">
        <v>4359</v>
      </c>
      <c r="G446" s="979" t="s">
        <v>4360</v>
      </c>
      <c r="H446" s="979">
        <v>103380</v>
      </c>
      <c r="I446" s="979">
        <v>100938</v>
      </c>
      <c r="J446" s="979">
        <v>1</v>
      </c>
      <c r="K446" s="979">
        <v>103380</v>
      </c>
      <c r="L446" s="979">
        <v>100938</v>
      </c>
      <c r="M446" s="979">
        <v>599</v>
      </c>
    </row>
    <row r="447" spans="1:13" ht="15">
      <c r="A447" s="979" t="s">
        <v>3436</v>
      </c>
      <c r="B447" s="1040" t="str">
        <f>CONCATENATE(LEFT(RIGHT(CONCATENATE("000",IFAData_TEA_1617!A447),6),3),"-",(RIGHT(RIGHT(CONCATENATE("000",IFAData_TEA_1617!A447),6),3)))</f>
        <v>031-913</v>
      </c>
      <c r="C447" s="979" t="s">
        <v>86</v>
      </c>
      <c r="D447" s="979">
        <v>7</v>
      </c>
      <c r="E447" s="979">
        <v>2311</v>
      </c>
      <c r="F447" s="979" t="s">
        <v>4361</v>
      </c>
      <c r="G447" s="979" t="s">
        <v>4361</v>
      </c>
      <c r="H447" s="979">
        <v>128701</v>
      </c>
      <c r="I447" s="979">
        <v>0</v>
      </c>
      <c r="J447" s="979">
        <v>0</v>
      </c>
      <c r="K447" s="979">
        <v>0</v>
      </c>
      <c r="L447" s="979">
        <v>0</v>
      </c>
      <c r="M447" s="979">
        <v>599</v>
      </c>
    </row>
    <row r="448" spans="1:13" ht="15">
      <c r="A448" s="979" t="s">
        <v>3436</v>
      </c>
      <c r="B448" s="1040" t="str">
        <f>CONCATENATE(LEFT(RIGHT(CONCATENATE("000",IFAData_TEA_1617!A448),6),3),"-",(RIGHT(RIGHT(CONCATENATE("000",IFAData_TEA_1617!A448),6),3)))</f>
        <v>031-913</v>
      </c>
      <c r="C448" s="979" t="s">
        <v>86</v>
      </c>
      <c r="D448" s="979">
        <v>4</v>
      </c>
      <c r="E448" s="979">
        <v>2310</v>
      </c>
      <c r="F448" s="979" t="s">
        <v>4359</v>
      </c>
      <c r="G448" s="979" t="s">
        <v>4359</v>
      </c>
      <c r="H448" s="979">
        <v>103380</v>
      </c>
      <c r="I448" s="979">
        <v>0</v>
      </c>
      <c r="J448" s="979">
        <v>0</v>
      </c>
      <c r="K448" s="979">
        <v>0</v>
      </c>
      <c r="L448" s="979">
        <v>0</v>
      </c>
      <c r="M448" s="979">
        <v>599</v>
      </c>
    </row>
    <row r="449" spans="1:13" ht="15">
      <c r="A449" s="979" t="s">
        <v>3436</v>
      </c>
      <c r="B449" s="1040" t="str">
        <f>CONCATENATE(LEFT(RIGHT(CONCATENATE("000",IFAData_TEA_1617!A449),6),3),"-",(RIGHT(RIGHT(CONCATENATE("000",IFAData_TEA_1617!A449),6),3)))</f>
        <v>031-913</v>
      </c>
      <c r="C449" s="979" t="s">
        <v>86</v>
      </c>
      <c r="D449" s="979">
        <v>10</v>
      </c>
      <c r="E449" s="979">
        <v>2309</v>
      </c>
      <c r="F449" s="979" t="s">
        <v>4362</v>
      </c>
      <c r="G449" s="979" t="s">
        <v>4362</v>
      </c>
      <c r="H449" s="979">
        <v>60163</v>
      </c>
      <c r="I449" s="979">
        <v>52700</v>
      </c>
      <c r="J449" s="979">
        <v>1</v>
      </c>
      <c r="K449" s="979">
        <v>60163</v>
      </c>
      <c r="L449" s="979">
        <v>52700</v>
      </c>
      <c r="M449" s="979">
        <v>599</v>
      </c>
    </row>
    <row r="450" spans="1:13" ht="15">
      <c r="A450" s="979" t="s">
        <v>3436</v>
      </c>
      <c r="B450" s="1040" t="str">
        <f>CONCATENATE(LEFT(RIGHT(CONCATENATE("000",IFAData_TEA_1617!A450),6),3),"-",(RIGHT(RIGHT(CONCATENATE("000",IFAData_TEA_1617!A450),6),3)))</f>
        <v>031-913</v>
      </c>
      <c r="C450" s="979" t="s">
        <v>86</v>
      </c>
      <c r="D450" s="979">
        <v>7</v>
      </c>
      <c r="E450" s="979">
        <v>2311</v>
      </c>
      <c r="F450" s="979" t="s">
        <v>4361</v>
      </c>
      <c r="G450" s="979" t="s">
        <v>6429</v>
      </c>
      <c r="H450" s="979">
        <v>128701</v>
      </c>
      <c r="I450" s="979">
        <v>105650</v>
      </c>
      <c r="J450" s="979">
        <v>1</v>
      </c>
      <c r="K450" s="979">
        <v>128701</v>
      </c>
      <c r="L450" s="979">
        <v>105650</v>
      </c>
      <c r="M450" s="979">
        <v>599</v>
      </c>
    </row>
    <row r="451" spans="1:13" ht="15">
      <c r="A451" s="979" t="s">
        <v>3437</v>
      </c>
      <c r="B451" s="1040" t="str">
        <f>CONCATENATE(LEFT(RIGHT(CONCATENATE("000",IFAData_TEA_1617!A451),6),3),"-",(RIGHT(RIGHT(CONCATENATE("000",IFAData_TEA_1617!A451),6),3)))</f>
        <v>031-914</v>
      </c>
      <c r="C451" s="979" t="s">
        <v>87</v>
      </c>
      <c r="D451" s="979">
        <v>5</v>
      </c>
      <c r="E451" s="979">
        <v>2312</v>
      </c>
      <c r="F451" s="979" t="s">
        <v>4366</v>
      </c>
      <c r="G451" s="979" t="s">
        <v>4366</v>
      </c>
      <c r="H451" s="979">
        <v>265690</v>
      </c>
      <c r="I451" s="979">
        <v>0</v>
      </c>
      <c r="J451" s="979">
        <v>0</v>
      </c>
      <c r="K451" s="979">
        <v>0</v>
      </c>
      <c r="L451" s="979">
        <v>0</v>
      </c>
      <c r="M451" s="979">
        <v>599</v>
      </c>
    </row>
    <row r="452" spans="1:13" ht="15">
      <c r="A452" s="979" t="s">
        <v>3437</v>
      </c>
      <c r="B452" s="1040" t="str">
        <f>CONCATENATE(LEFT(RIGHT(CONCATENATE("000",IFAData_TEA_1617!A452),6),3),"-",(RIGHT(RIGHT(CONCATENATE("000",IFAData_TEA_1617!A452),6),3)))</f>
        <v>031-914</v>
      </c>
      <c r="C452" s="979" t="s">
        <v>87</v>
      </c>
      <c r="D452" s="979">
        <v>4</v>
      </c>
      <c r="E452" s="979">
        <v>2315</v>
      </c>
      <c r="F452" s="979" t="s">
        <v>4365</v>
      </c>
      <c r="G452" s="979" t="s">
        <v>4365</v>
      </c>
      <c r="H452" s="979">
        <v>307688</v>
      </c>
      <c r="I452" s="979">
        <v>0</v>
      </c>
      <c r="J452" s="979">
        <v>0</v>
      </c>
      <c r="K452" s="979">
        <v>0</v>
      </c>
      <c r="L452" s="979">
        <v>0</v>
      </c>
      <c r="M452" s="979">
        <v>599</v>
      </c>
    </row>
    <row r="453" spans="1:13" ht="15">
      <c r="A453" s="979" t="s">
        <v>3437</v>
      </c>
      <c r="B453" s="1040" t="str">
        <f>CONCATENATE(LEFT(RIGHT(CONCATENATE("000",IFAData_TEA_1617!A453),6),3),"-",(RIGHT(RIGHT(CONCATENATE("000",IFAData_TEA_1617!A453),6),3)))</f>
        <v>031-914</v>
      </c>
      <c r="C453" s="979" t="s">
        <v>87</v>
      </c>
      <c r="D453" s="979">
        <v>1</v>
      </c>
      <c r="E453" s="979">
        <v>2314</v>
      </c>
      <c r="F453" s="979" t="s">
        <v>4363</v>
      </c>
      <c r="G453" s="979" t="s">
        <v>4364</v>
      </c>
      <c r="H453" s="979">
        <v>290250</v>
      </c>
      <c r="I453" s="979">
        <v>282399</v>
      </c>
      <c r="J453" s="979">
        <v>1</v>
      </c>
      <c r="K453" s="979">
        <v>290250</v>
      </c>
      <c r="L453" s="979">
        <v>282399</v>
      </c>
      <c r="M453" s="979">
        <v>599</v>
      </c>
    </row>
    <row r="454" spans="1:13" ht="15">
      <c r="A454" s="979" t="s">
        <v>3437</v>
      </c>
      <c r="B454" s="1040" t="str">
        <f>CONCATENATE(LEFT(RIGHT(CONCATENATE("000",IFAData_TEA_1617!A454),6),3),"-",(RIGHT(RIGHT(CONCATENATE("000",IFAData_TEA_1617!A454),6),3)))</f>
        <v>031-914</v>
      </c>
      <c r="C454" s="979" t="s">
        <v>87</v>
      </c>
      <c r="D454" s="979">
        <v>4</v>
      </c>
      <c r="E454" s="979">
        <v>2315</v>
      </c>
      <c r="F454" s="979" t="s">
        <v>4365</v>
      </c>
      <c r="G454" s="979" t="s">
        <v>4364</v>
      </c>
      <c r="H454" s="979">
        <v>307688</v>
      </c>
      <c r="I454" s="979">
        <v>287518</v>
      </c>
      <c r="J454" s="979">
        <v>1</v>
      </c>
      <c r="K454" s="979">
        <v>307688</v>
      </c>
      <c r="L454" s="979">
        <v>287518</v>
      </c>
      <c r="M454" s="979">
        <v>599</v>
      </c>
    </row>
    <row r="455" spans="1:13" ht="15">
      <c r="A455" s="979" t="s">
        <v>3437</v>
      </c>
      <c r="B455" s="1040" t="str">
        <f>CONCATENATE(LEFT(RIGHT(CONCATENATE("000",IFAData_TEA_1617!A455),6),3),"-",(RIGHT(RIGHT(CONCATENATE("000",IFAData_TEA_1617!A455),6),3)))</f>
        <v>031-914</v>
      </c>
      <c r="C455" s="979" t="s">
        <v>87</v>
      </c>
      <c r="D455" s="979">
        <v>9</v>
      </c>
      <c r="E455" s="979">
        <v>2313</v>
      </c>
      <c r="F455" s="979" t="s">
        <v>4367</v>
      </c>
      <c r="G455" s="979" t="s">
        <v>4367</v>
      </c>
      <c r="H455" s="979">
        <v>284877</v>
      </c>
      <c r="I455" s="979">
        <v>282688</v>
      </c>
      <c r="J455" s="979">
        <v>1</v>
      </c>
      <c r="K455" s="979">
        <v>284877</v>
      </c>
      <c r="L455" s="979">
        <v>282688</v>
      </c>
      <c r="M455" s="979">
        <v>599</v>
      </c>
    </row>
    <row r="456" spans="1:13" ht="15">
      <c r="A456" s="979" t="s">
        <v>3437</v>
      </c>
      <c r="B456" s="1040" t="str">
        <f>CONCATENATE(LEFT(RIGHT(CONCATENATE("000",IFAData_TEA_1617!A456),6),3),"-",(RIGHT(RIGHT(CONCATENATE("000",IFAData_TEA_1617!A456),6),3)))</f>
        <v>031-914</v>
      </c>
      <c r="C456" s="979" t="s">
        <v>87</v>
      </c>
      <c r="D456" s="979">
        <v>5</v>
      </c>
      <c r="E456" s="979">
        <v>2312</v>
      </c>
      <c r="F456" s="979" t="s">
        <v>4366</v>
      </c>
      <c r="G456" s="979" t="s">
        <v>4364</v>
      </c>
      <c r="H456" s="979">
        <v>265690</v>
      </c>
      <c r="I456" s="979">
        <v>261302</v>
      </c>
      <c r="J456" s="979">
        <v>1</v>
      </c>
      <c r="K456" s="979">
        <v>265690</v>
      </c>
      <c r="L456" s="979">
        <v>261302</v>
      </c>
      <c r="M456" s="979">
        <v>599</v>
      </c>
    </row>
    <row r="457" spans="1:13" ht="15">
      <c r="A457" s="979" t="s">
        <v>3437</v>
      </c>
      <c r="B457" s="1040" t="str">
        <f>CONCATENATE(LEFT(RIGHT(CONCATENATE("000",IFAData_TEA_1617!A457),6),3),"-",(RIGHT(RIGHT(CONCATENATE("000",IFAData_TEA_1617!A457),6),3)))</f>
        <v>031-914</v>
      </c>
      <c r="C457" s="979" t="s">
        <v>87</v>
      </c>
      <c r="D457" s="979">
        <v>1</v>
      </c>
      <c r="E457" s="979">
        <v>2314</v>
      </c>
      <c r="F457" s="979" t="s">
        <v>4363</v>
      </c>
      <c r="G457" s="979" t="s">
        <v>4363</v>
      </c>
      <c r="H457" s="979">
        <v>290250</v>
      </c>
      <c r="I457" s="979">
        <v>0</v>
      </c>
      <c r="J457" s="979">
        <v>0</v>
      </c>
      <c r="K457" s="979">
        <v>0</v>
      </c>
      <c r="L457" s="979">
        <v>0</v>
      </c>
      <c r="M457" s="979">
        <v>599</v>
      </c>
    </row>
    <row r="458" spans="1:13" ht="15">
      <c r="A458" s="979" t="s">
        <v>4368</v>
      </c>
      <c r="B458" s="1040" t="str">
        <f>CONCATENATE(LEFT(RIGHT(CONCATENATE("000",IFAData_TEA_1617!A458),6),3),"-",(RIGHT(RIGHT(CONCATENATE("000",IFAData_TEA_1617!A458),6),3)))</f>
        <v>034-906</v>
      </c>
      <c r="C458" s="979" t="s">
        <v>821</v>
      </c>
      <c r="D458" s="979">
        <v>4</v>
      </c>
      <c r="E458" s="979">
        <v>2083</v>
      </c>
      <c r="F458" s="979" t="s">
        <v>4369</v>
      </c>
      <c r="G458" s="979" t="s">
        <v>4369</v>
      </c>
      <c r="H458" s="979">
        <v>80006</v>
      </c>
      <c r="I458" s="979">
        <v>79646</v>
      </c>
      <c r="J458" s="979">
        <v>1</v>
      </c>
      <c r="K458" s="979">
        <v>80006</v>
      </c>
      <c r="L458" s="979">
        <v>79646</v>
      </c>
      <c r="M458" s="979">
        <v>199</v>
      </c>
    </row>
    <row r="459" spans="1:13" ht="15">
      <c r="A459" s="979" t="s">
        <v>3438</v>
      </c>
      <c r="B459" s="1040" t="str">
        <f>CONCATENATE(LEFT(RIGHT(CONCATENATE("000",IFAData_TEA_1617!A459),6),3),"-",(RIGHT(RIGHT(CONCATENATE("000",IFAData_TEA_1617!A459),6),3)))</f>
        <v>035-903</v>
      </c>
      <c r="C459" s="979" t="s">
        <v>389</v>
      </c>
      <c r="D459" s="979">
        <v>3</v>
      </c>
      <c r="E459" s="979">
        <v>2128</v>
      </c>
      <c r="F459" s="979" t="s">
        <v>4370</v>
      </c>
      <c r="G459" s="979" t="s">
        <v>4370</v>
      </c>
      <c r="H459" s="979">
        <v>100000</v>
      </c>
      <c r="I459" s="979">
        <v>0</v>
      </c>
      <c r="J459" s="979">
        <v>0</v>
      </c>
      <c r="K459" s="979"/>
      <c r="L459" s="979">
        <v>0</v>
      </c>
      <c r="M459" s="979">
        <v>599</v>
      </c>
    </row>
    <row r="460" spans="1:13" ht="15">
      <c r="A460" s="979" t="s">
        <v>3439</v>
      </c>
      <c r="B460" s="1040" t="str">
        <f>CONCATENATE(LEFT(RIGHT(CONCATENATE("000",IFAData_TEA_1617!A460),6),3),"-",(RIGHT(RIGHT(CONCATENATE("000",IFAData_TEA_1617!A460),6),3)))</f>
        <v>036-901</v>
      </c>
      <c r="C460" s="979" t="s">
        <v>1055</v>
      </c>
      <c r="D460" s="979">
        <v>3</v>
      </c>
      <c r="E460" s="979">
        <v>1573</v>
      </c>
      <c r="F460" s="979" t="s">
        <v>4371</v>
      </c>
      <c r="G460" s="979" t="s">
        <v>4371</v>
      </c>
      <c r="H460" s="979">
        <v>342500</v>
      </c>
      <c r="I460" s="979">
        <v>0</v>
      </c>
      <c r="J460" s="979">
        <v>0</v>
      </c>
      <c r="K460" s="979">
        <v>0</v>
      </c>
      <c r="L460" s="979">
        <v>0</v>
      </c>
      <c r="M460" s="979">
        <v>599</v>
      </c>
    </row>
    <row r="461" spans="1:13" ht="15">
      <c r="A461" s="979" t="s">
        <v>3439</v>
      </c>
      <c r="B461" s="1040" t="str">
        <f>CONCATENATE(LEFT(RIGHT(CONCATENATE("000",IFAData_TEA_1617!A461),6),3),"-",(RIGHT(RIGHT(CONCATENATE("000",IFAData_TEA_1617!A461),6),3)))</f>
        <v>036-901</v>
      </c>
      <c r="C461" s="979" t="s">
        <v>1055</v>
      </c>
      <c r="D461" s="979">
        <v>10</v>
      </c>
      <c r="E461" s="979">
        <v>1572</v>
      </c>
      <c r="F461" s="979" t="s">
        <v>4373</v>
      </c>
      <c r="G461" s="979" t="s">
        <v>4373</v>
      </c>
      <c r="H461" s="979">
        <v>321500</v>
      </c>
      <c r="I461" s="979">
        <v>718600</v>
      </c>
      <c r="J461" s="979">
        <v>1</v>
      </c>
      <c r="K461" s="979">
        <v>321500</v>
      </c>
      <c r="L461" s="979">
        <v>321500</v>
      </c>
      <c r="M461" s="979">
        <v>599</v>
      </c>
    </row>
    <row r="462" spans="1:13" ht="15">
      <c r="A462" s="979" t="s">
        <v>3439</v>
      </c>
      <c r="B462" s="1040" t="str">
        <f>CONCATENATE(LEFT(RIGHT(CONCATENATE("000",IFAData_TEA_1617!A462),6),3),"-",(RIGHT(RIGHT(CONCATENATE("000",IFAData_TEA_1617!A462),6),3)))</f>
        <v>036-901</v>
      </c>
      <c r="C462" s="979" t="s">
        <v>1055</v>
      </c>
      <c r="D462" s="979">
        <v>3</v>
      </c>
      <c r="E462" s="979">
        <v>1573</v>
      </c>
      <c r="F462" s="979" t="s">
        <v>4371</v>
      </c>
      <c r="G462" s="979" t="s">
        <v>4372</v>
      </c>
      <c r="H462" s="979">
        <v>342500</v>
      </c>
      <c r="I462" s="979">
        <v>515875</v>
      </c>
      <c r="J462" s="979">
        <v>1</v>
      </c>
      <c r="K462" s="979">
        <v>342500</v>
      </c>
      <c r="L462" s="979">
        <v>342500</v>
      </c>
      <c r="M462" s="979">
        <v>599</v>
      </c>
    </row>
    <row r="463" spans="1:13" ht="15">
      <c r="A463" s="979" t="s">
        <v>3440</v>
      </c>
      <c r="B463" s="1040" t="str">
        <f>CONCATENATE(LEFT(RIGHT(CONCATENATE("000",IFAData_TEA_1617!A463),6),3),"-",(RIGHT(RIGHT(CONCATENATE("000",IFAData_TEA_1617!A463),6),3)))</f>
        <v>036-903</v>
      </c>
      <c r="C463" s="979" t="s">
        <v>2369</v>
      </c>
      <c r="D463" s="979">
        <v>9</v>
      </c>
      <c r="E463" s="979">
        <v>1782</v>
      </c>
      <c r="F463" s="979" t="s">
        <v>4374</v>
      </c>
      <c r="G463" s="979" t="s">
        <v>4374</v>
      </c>
      <c r="H463" s="979">
        <v>300000</v>
      </c>
      <c r="I463" s="979">
        <v>545037</v>
      </c>
      <c r="J463" s="979">
        <v>1</v>
      </c>
      <c r="K463" s="979">
        <v>300000</v>
      </c>
      <c r="L463" s="979">
        <v>300000</v>
      </c>
      <c r="M463" s="979">
        <v>599</v>
      </c>
    </row>
    <row r="464" spans="1:13" ht="15">
      <c r="A464" s="979" t="s">
        <v>3441</v>
      </c>
      <c r="B464" s="1040" t="str">
        <f>CONCATENATE(LEFT(RIGHT(CONCATENATE("000",IFAData_TEA_1617!A464),6),3),"-",(RIGHT(RIGHT(CONCATENATE("000",IFAData_TEA_1617!A464),6),3)))</f>
        <v>037-904</v>
      </c>
      <c r="C464" s="979" t="s">
        <v>405</v>
      </c>
      <c r="D464" s="979">
        <v>2</v>
      </c>
      <c r="E464" s="979">
        <v>1932</v>
      </c>
      <c r="F464" s="979" t="s">
        <v>4375</v>
      </c>
      <c r="G464" s="979" t="s">
        <v>4377</v>
      </c>
      <c r="H464" s="979">
        <v>895013</v>
      </c>
      <c r="I464" s="979">
        <v>800175</v>
      </c>
      <c r="J464" s="979">
        <v>1</v>
      </c>
      <c r="K464" s="979">
        <v>895013</v>
      </c>
      <c r="L464" s="979">
        <v>800175</v>
      </c>
      <c r="M464" s="979">
        <v>599</v>
      </c>
    </row>
    <row r="465" spans="1:13" ht="15">
      <c r="A465" s="979" t="s">
        <v>3441</v>
      </c>
      <c r="B465" s="1040" t="str">
        <f>CONCATENATE(LEFT(RIGHT(CONCATENATE("000",IFAData_TEA_1617!A465),6),3),"-",(RIGHT(RIGHT(CONCATENATE("000",IFAData_TEA_1617!A465),6),3)))</f>
        <v>037-904</v>
      </c>
      <c r="C465" s="979" t="s">
        <v>405</v>
      </c>
      <c r="D465" s="979">
        <v>2</v>
      </c>
      <c r="E465" s="979">
        <v>1932</v>
      </c>
      <c r="F465" s="979" t="s">
        <v>4375</v>
      </c>
      <c r="G465" s="979" t="s">
        <v>4375</v>
      </c>
      <c r="H465" s="979">
        <v>895013</v>
      </c>
      <c r="I465" s="979">
        <v>0</v>
      </c>
      <c r="J465" s="979">
        <v>0</v>
      </c>
      <c r="K465" s="979">
        <v>0</v>
      </c>
      <c r="L465" s="979">
        <v>0</v>
      </c>
      <c r="M465" s="979">
        <v>599</v>
      </c>
    </row>
    <row r="466" spans="1:13" ht="15">
      <c r="A466" s="979" t="s">
        <v>3441</v>
      </c>
      <c r="B466" s="1040" t="str">
        <f>CONCATENATE(LEFT(RIGHT(CONCATENATE("000",IFAData_TEA_1617!A466),6),3),"-",(RIGHT(RIGHT(CONCATENATE("000",IFAData_TEA_1617!A466),6),3)))</f>
        <v>037-904</v>
      </c>
      <c r="C466" s="979" t="s">
        <v>405</v>
      </c>
      <c r="D466" s="979">
        <v>2</v>
      </c>
      <c r="E466" s="979">
        <v>1932</v>
      </c>
      <c r="F466" s="979" t="s">
        <v>4375</v>
      </c>
      <c r="G466" s="979" t="s">
        <v>4376</v>
      </c>
      <c r="H466" s="979">
        <v>895013</v>
      </c>
      <c r="I466" s="979">
        <v>0</v>
      </c>
      <c r="J466" s="979">
        <v>0</v>
      </c>
      <c r="K466" s="979">
        <v>0</v>
      </c>
      <c r="L466" s="979">
        <v>0</v>
      </c>
      <c r="M466" s="979">
        <v>599</v>
      </c>
    </row>
    <row r="467" spans="1:13" ht="15">
      <c r="A467" s="979" t="s">
        <v>3442</v>
      </c>
      <c r="B467" s="1040" t="str">
        <f>CONCATENATE(LEFT(RIGHT(CONCATENATE("000",IFAData_TEA_1617!A467),6),3),"-",(RIGHT(RIGHT(CONCATENATE("000",IFAData_TEA_1617!A467),6),3)))</f>
        <v>037-907</v>
      </c>
      <c r="C467" s="979" t="s">
        <v>614</v>
      </c>
      <c r="D467" s="979">
        <v>1</v>
      </c>
      <c r="E467" s="979">
        <v>2272</v>
      </c>
      <c r="F467" s="979" t="s">
        <v>4378</v>
      </c>
      <c r="G467" s="979" t="s">
        <v>4378</v>
      </c>
      <c r="H467" s="979">
        <v>30292</v>
      </c>
      <c r="I467" s="979">
        <v>0</v>
      </c>
      <c r="J467" s="979">
        <v>0</v>
      </c>
      <c r="K467" s="979"/>
      <c r="L467" s="979">
        <v>0</v>
      </c>
      <c r="M467" s="979">
        <v>599</v>
      </c>
    </row>
    <row r="468" spans="1:13" ht="15">
      <c r="A468" s="979" t="s">
        <v>3442</v>
      </c>
      <c r="B468" s="1040" t="str">
        <f>CONCATENATE(LEFT(RIGHT(CONCATENATE("000",IFAData_TEA_1617!A468),6),3),"-",(RIGHT(RIGHT(CONCATENATE("000",IFAData_TEA_1617!A468),6),3)))</f>
        <v>037-907</v>
      </c>
      <c r="C468" s="979" t="s">
        <v>614</v>
      </c>
      <c r="D468" s="979">
        <v>5</v>
      </c>
      <c r="E468" s="979">
        <v>2273</v>
      </c>
      <c r="F468" s="979" t="s">
        <v>4380</v>
      </c>
      <c r="G468" s="979" t="s">
        <v>4381</v>
      </c>
      <c r="H468" s="979">
        <v>387158</v>
      </c>
      <c r="I468" s="979">
        <v>376762</v>
      </c>
      <c r="J468" s="979">
        <v>1</v>
      </c>
      <c r="K468" s="979">
        <v>387158</v>
      </c>
      <c r="L468" s="979">
        <v>376762</v>
      </c>
      <c r="M468" s="979">
        <v>599</v>
      </c>
    </row>
    <row r="469" spans="1:13" ht="15">
      <c r="A469" s="979" t="s">
        <v>3442</v>
      </c>
      <c r="B469" s="1040" t="str">
        <f>CONCATENATE(LEFT(RIGHT(CONCATENATE("000",IFAData_TEA_1617!A469),6),3),"-",(RIGHT(RIGHT(CONCATENATE("000",IFAData_TEA_1617!A469),6),3)))</f>
        <v>037-907</v>
      </c>
      <c r="C469" s="979" t="s">
        <v>614</v>
      </c>
      <c r="D469" s="979">
        <v>5</v>
      </c>
      <c r="E469" s="979">
        <v>2273</v>
      </c>
      <c r="F469" s="979" t="s">
        <v>4380</v>
      </c>
      <c r="G469" s="979" t="s">
        <v>4380</v>
      </c>
      <c r="H469" s="979">
        <v>387158</v>
      </c>
      <c r="I469" s="979">
        <v>0</v>
      </c>
      <c r="J469" s="979">
        <v>0</v>
      </c>
      <c r="K469" s="979">
        <v>0</v>
      </c>
      <c r="L469" s="979">
        <v>0</v>
      </c>
      <c r="M469" s="979">
        <v>599</v>
      </c>
    </row>
    <row r="470" spans="1:13" ht="15">
      <c r="A470" s="979" t="s">
        <v>4382</v>
      </c>
      <c r="B470" s="1040" t="str">
        <f>CONCATENATE(LEFT(RIGHT(CONCATENATE("000",IFAData_TEA_1617!A470),6),3),"-",(RIGHT(RIGHT(CONCATENATE("000",IFAData_TEA_1617!A470),6),3)))</f>
        <v>037-908</v>
      </c>
      <c r="C470" s="979" t="s">
        <v>1143</v>
      </c>
      <c r="D470" s="979">
        <v>6</v>
      </c>
      <c r="E470" s="979">
        <v>2143</v>
      </c>
      <c r="F470" s="979" t="s">
        <v>4383</v>
      </c>
      <c r="G470" s="979" t="s">
        <v>4383</v>
      </c>
      <c r="H470" s="979">
        <v>100400</v>
      </c>
      <c r="I470" s="979">
        <v>0</v>
      </c>
      <c r="J470" s="979">
        <v>0</v>
      </c>
      <c r="K470" s="979"/>
      <c r="L470" s="979">
        <v>0</v>
      </c>
      <c r="M470" s="979">
        <v>199</v>
      </c>
    </row>
    <row r="471" spans="1:13" ht="15">
      <c r="A471" s="979" t="s">
        <v>3443</v>
      </c>
      <c r="B471" s="1040" t="str">
        <f>CONCATENATE(LEFT(RIGHT(CONCATENATE("000",IFAData_TEA_1617!A471),6),3),"-",(RIGHT(RIGHT(CONCATENATE("000",IFAData_TEA_1617!A471),6),3)))</f>
        <v>038-901</v>
      </c>
      <c r="C471" s="979" t="s">
        <v>2185</v>
      </c>
      <c r="D471" s="979">
        <v>2</v>
      </c>
      <c r="E471" s="979">
        <v>1686</v>
      </c>
      <c r="F471" s="979" t="s">
        <v>4384</v>
      </c>
      <c r="G471" s="979" t="s">
        <v>4384</v>
      </c>
      <c r="H471" s="979">
        <v>143416</v>
      </c>
      <c r="I471" s="979">
        <v>0</v>
      </c>
      <c r="J471" s="979">
        <v>0</v>
      </c>
      <c r="K471" s="979">
        <v>0</v>
      </c>
      <c r="L471" s="979">
        <v>0</v>
      </c>
      <c r="M471" s="979">
        <v>599</v>
      </c>
    </row>
    <row r="472" spans="1:13" ht="15">
      <c r="A472" s="979" t="s">
        <v>3443</v>
      </c>
      <c r="B472" s="1040" t="str">
        <f>CONCATENATE(LEFT(RIGHT(CONCATENATE("000",IFAData_TEA_1617!A472),6),3),"-",(RIGHT(RIGHT(CONCATENATE("000",IFAData_TEA_1617!A472),6),3)))</f>
        <v>038-901</v>
      </c>
      <c r="C472" s="979" t="s">
        <v>2185</v>
      </c>
      <c r="D472" s="979">
        <v>5</v>
      </c>
      <c r="E472" s="979">
        <v>1687</v>
      </c>
      <c r="F472" s="979" t="s">
        <v>4386</v>
      </c>
      <c r="G472" s="979" t="s">
        <v>4385</v>
      </c>
      <c r="H472" s="979">
        <v>198700</v>
      </c>
      <c r="I472" s="979">
        <v>171600</v>
      </c>
      <c r="J472" s="979">
        <v>1</v>
      </c>
      <c r="K472" s="979">
        <v>198700</v>
      </c>
      <c r="L472" s="979">
        <v>171600</v>
      </c>
      <c r="M472" s="979">
        <v>599</v>
      </c>
    </row>
    <row r="473" spans="1:13" ht="15">
      <c r="A473" s="979" t="s">
        <v>3443</v>
      </c>
      <c r="B473" s="1040" t="str">
        <f>CONCATENATE(LEFT(RIGHT(CONCATENATE("000",IFAData_TEA_1617!A473),6),3),"-",(RIGHT(RIGHT(CONCATENATE("000",IFAData_TEA_1617!A473),6),3)))</f>
        <v>038-901</v>
      </c>
      <c r="C473" s="979" t="s">
        <v>2185</v>
      </c>
      <c r="D473" s="979">
        <v>5</v>
      </c>
      <c r="E473" s="979">
        <v>1687</v>
      </c>
      <c r="F473" s="979" t="s">
        <v>4386</v>
      </c>
      <c r="G473" s="979" t="s">
        <v>4386</v>
      </c>
      <c r="H473" s="979">
        <v>198700</v>
      </c>
      <c r="I473" s="979">
        <v>0</v>
      </c>
      <c r="J473" s="979">
        <v>0</v>
      </c>
      <c r="K473" s="979">
        <v>0</v>
      </c>
      <c r="L473" s="979">
        <v>0</v>
      </c>
      <c r="M473" s="979">
        <v>599</v>
      </c>
    </row>
    <row r="474" spans="1:13" ht="15">
      <c r="A474" s="979" t="s">
        <v>3443</v>
      </c>
      <c r="B474" s="1040" t="str">
        <f>CONCATENATE(LEFT(RIGHT(CONCATENATE("000",IFAData_TEA_1617!A474),6),3),"-",(RIGHT(RIGHT(CONCATENATE("000",IFAData_TEA_1617!A474),6),3)))</f>
        <v>038-901</v>
      </c>
      <c r="C474" s="979" t="s">
        <v>2185</v>
      </c>
      <c r="D474" s="979">
        <v>2</v>
      </c>
      <c r="E474" s="979">
        <v>1686</v>
      </c>
      <c r="F474" s="979" t="s">
        <v>4384</v>
      </c>
      <c r="G474" s="979" t="s">
        <v>4385</v>
      </c>
      <c r="H474" s="979">
        <v>143416</v>
      </c>
      <c r="I474" s="979">
        <v>102243</v>
      </c>
      <c r="J474" s="979">
        <v>1</v>
      </c>
      <c r="K474" s="979">
        <v>143416</v>
      </c>
      <c r="L474" s="979">
        <v>102243</v>
      </c>
      <c r="M474" s="979">
        <v>599</v>
      </c>
    </row>
    <row r="475" spans="1:13" ht="15">
      <c r="A475" s="979" t="s">
        <v>3444</v>
      </c>
      <c r="B475" s="1040" t="str">
        <f>CONCATENATE(LEFT(RIGHT(CONCATENATE("000",IFAData_TEA_1617!A475),6),3),"-",(RIGHT(RIGHT(CONCATENATE("000",IFAData_TEA_1617!A475),6),3)))</f>
        <v>039-903</v>
      </c>
      <c r="C475" s="979" t="s">
        <v>3912</v>
      </c>
      <c r="D475" s="979">
        <v>5</v>
      </c>
      <c r="E475" s="979">
        <v>2187</v>
      </c>
      <c r="F475" s="979" t="s">
        <v>4387</v>
      </c>
      <c r="G475" s="979" t="s">
        <v>6430</v>
      </c>
      <c r="H475" s="979">
        <v>232853</v>
      </c>
      <c r="I475" s="979">
        <v>200311</v>
      </c>
      <c r="J475" s="979">
        <v>1</v>
      </c>
      <c r="K475" s="979">
        <v>232853</v>
      </c>
      <c r="L475" s="979">
        <v>200311</v>
      </c>
      <c r="M475" s="979">
        <v>599</v>
      </c>
    </row>
    <row r="476" spans="1:13" ht="15">
      <c r="A476" s="979" t="s">
        <v>3444</v>
      </c>
      <c r="B476" s="1040" t="str">
        <f>CONCATENATE(LEFT(RIGHT(CONCATENATE("000",IFAData_TEA_1617!A476),6),3),"-",(RIGHT(RIGHT(CONCATENATE("000",IFAData_TEA_1617!A476),6),3)))</f>
        <v>039-903</v>
      </c>
      <c r="C476" s="979" t="s">
        <v>3912</v>
      </c>
      <c r="D476" s="979">
        <v>5</v>
      </c>
      <c r="E476" s="979">
        <v>2187</v>
      </c>
      <c r="F476" s="979" t="s">
        <v>4387</v>
      </c>
      <c r="G476" s="979" t="s">
        <v>4388</v>
      </c>
      <c r="H476" s="979">
        <v>232853</v>
      </c>
      <c r="I476" s="979">
        <v>0</v>
      </c>
      <c r="J476" s="979">
        <v>0</v>
      </c>
      <c r="K476" s="979">
        <v>0</v>
      </c>
      <c r="L476" s="979">
        <v>0</v>
      </c>
      <c r="M476" s="979">
        <v>599</v>
      </c>
    </row>
    <row r="477" spans="1:13" ht="15">
      <c r="A477" s="979" t="s">
        <v>3444</v>
      </c>
      <c r="B477" s="1040" t="str">
        <f>CONCATENATE(LEFT(RIGHT(CONCATENATE("000",IFAData_TEA_1617!A477),6),3),"-",(RIGHT(RIGHT(CONCATENATE("000",IFAData_TEA_1617!A477),6),3)))</f>
        <v>039-903</v>
      </c>
      <c r="C477" s="979" t="s">
        <v>3912</v>
      </c>
      <c r="D477" s="979">
        <v>5</v>
      </c>
      <c r="E477" s="979">
        <v>2187</v>
      </c>
      <c r="F477" s="979" t="s">
        <v>4387</v>
      </c>
      <c r="G477" s="979" t="s">
        <v>4387</v>
      </c>
      <c r="H477" s="979">
        <v>232853</v>
      </c>
      <c r="I477" s="979">
        <v>0</v>
      </c>
      <c r="J477" s="979">
        <v>0</v>
      </c>
      <c r="K477" s="979">
        <v>0</v>
      </c>
      <c r="L477" s="979">
        <v>0</v>
      </c>
      <c r="M477" s="979">
        <v>599</v>
      </c>
    </row>
    <row r="478" spans="1:13" ht="15">
      <c r="A478" s="979" t="s">
        <v>4389</v>
      </c>
      <c r="B478" s="1040" t="str">
        <f>CONCATENATE(LEFT(RIGHT(CONCATENATE("000",IFAData_TEA_1617!A478),6),3),"-",(RIGHT(RIGHT(CONCATENATE("000",IFAData_TEA_1617!A478),6),3)))</f>
        <v>042-901</v>
      </c>
      <c r="C478" s="979" t="s">
        <v>1168</v>
      </c>
      <c r="D478" s="979">
        <v>2</v>
      </c>
      <c r="E478" s="979">
        <v>1704</v>
      </c>
      <c r="F478" s="979" t="s">
        <v>4390</v>
      </c>
      <c r="G478" s="979" t="s">
        <v>4390</v>
      </c>
      <c r="H478" s="979">
        <v>71550</v>
      </c>
      <c r="I478" s="979">
        <v>0</v>
      </c>
      <c r="J478" s="979">
        <v>0</v>
      </c>
      <c r="K478" s="979"/>
      <c r="L478" s="979">
        <v>0</v>
      </c>
      <c r="M478" s="979">
        <v>599</v>
      </c>
    </row>
    <row r="479" spans="1:13" ht="15">
      <c r="A479" s="979" t="s">
        <v>3445</v>
      </c>
      <c r="B479" s="1040" t="str">
        <f>CONCATENATE(LEFT(RIGHT(CONCATENATE("000",IFAData_TEA_1617!A479),6),3),"-",(RIGHT(RIGHT(CONCATENATE("000",IFAData_TEA_1617!A479),6),3)))</f>
        <v>042-903</v>
      </c>
      <c r="C479" s="979" t="s">
        <v>84</v>
      </c>
      <c r="D479" s="979">
        <v>6</v>
      </c>
      <c r="E479" s="979">
        <v>2306</v>
      </c>
      <c r="F479" s="979" t="s">
        <v>4391</v>
      </c>
      <c r="G479" s="979" t="s">
        <v>4392</v>
      </c>
      <c r="H479" s="979">
        <v>100000</v>
      </c>
      <c r="I479" s="979">
        <v>90432</v>
      </c>
      <c r="J479" s="979">
        <v>1</v>
      </c>
      <c r="K479" s="979">
        <v>100000</v>
      </c>
      <c r="L479" s="979">
        <v>90432</v>
      </c>
      <c r="M479" s="979">
        <v>599</v>
      </c>
    </row>
    <row r="480" spans="1:13" ht="15">
      <c r="A480" s="979" t="s">
        <v>3445</v>
      </c>
      <c r="B480" s="1040" t="str">
        <f>CONCATENATE(LEFT(RIGHT(CONCATENATE("000",IFAData_TEA_1617!A480),6),3),"-",(RIGHT(RIGHT(CONCATENATE("000",IFAData_TEA_1617!A480),6),3)))</f>
        <v>042-903</v>
      </c>
      <c r="C480" s="979" t="s">
        <v>84</v>
      </c>
      <c r="D480" s="979">
        <v>6</v>
      </c>
      <c r="E480" s="979">
        <v>2306</v>
      </c>
      <c r="F480" s="979" t="s">
        <v>4391</v>
      </c>
      <c r="G480" s="979" t="s">
        <v>4391</v>
      </c>
      <c r="H480" s="979">
        <v>100000</v>
      </c>
      <c r="I480" s="979">
        <v>0</v>
      </c>
      <c r="J480" s="979">
        <v>0</v>
      </c>
      <c r="K480" s="979">
        <v>0</v>
      </c>
      <c r="L480" s="979">
        <v>0</v>
      </c>
      <c r="M480" s="979">
        <v>599</v>
      </c>
    </row>
    <row r="481" spans="1:13" ht="15">
      <c r="A481" s="979" t="s">
        <v>3446</v>
      </c>
      <c r="B481" s="1040" t="str">
        <f>CONCATENATE(LEFT(RIGHT(CONCATENATE("000",IFAData_TEA_1617!A481),6),3),"-",(RIGHT(RIGHT(CONCATENATE("000",IFAData_TEA_1617!A481),6),3)))</f>
        <v>043-901</v>
      </c>
      <c r="C481" s="979" t="s">
        <v>1957</v>
      </c>
      <c r="D481" s="979">
        <v>1</v>
      </c>
      <c r="E481" s="979">
        <v>1560</v>
      </c>
      <c r="F481" s="979" t="s">
        <v>4393</v>
      </c>
      <c r="G481" s="979" t="s">
        <v>4393</v>
      </c>
      <c r="H481" s="979">
        <v>1385015</v>
      </c>
      <c r="I481" s="979">
        <v>0</v>
      </c>
      <c r="J481" s="979">
        <v>0</v>
      </c>
      <c r="K481" s="979">
        <v>0</v>
      </c>
      <c r="L481" s="979">
        <v>0</v>
      </c>
      <c r="M481" s="979">
        <v>599</v>
      </c>
    </row>
    <row r="482" spans="1:13" ht="15">
      <c r="A482" s="979" t="s">
        <v>3446</v>
      </c>
      <c r="B482" s="1040" t="str">
        <f>CONCATENATE(LEFT(RIGHT(CONCATENATE("000",IFAData_TEA_1617!A482),6),3),"-",(RIGHT(RIGHT(CONCATENATE("000",IFAData_TEA_1617!A482),6),3)))</f>
        <v>043-901</v>
      </c>
      <c r="C482" s="979" t="s">
        <v>1957</v>
      </c>
      <c r="D482" s="979">
        <v>1</v>
      </c>
      <c r="E482" s="979">
        <v>1560</v>
      </c>
      <c r="F482" s="979" t="s">
        <v>4393</v>
      </c>
      <c r="G482" s="979" t="s">
        <v>4394</v>
      </c>
      <c r="H482" s="979">
        <v>1385015</v>
      </c>
      <c r="I482" s="979">
        <v>0</v>
      </c>
      <c r="J482" s="979">
        <v>0</v>
      </c>
      <c r="K482" s="979">
        <v>0</v>
      </c>
      <c r="L482" s="979">
        <v>0</v>
      </c>
      <c r="M482" s="979">
        <v>599</v>
      </c>
    </row>
    <row r="483" spans="1:13" ht="15">
      <c r="A483" s="979" t="s">
        <v>3446</v>
      </c>
      <c r="B483" s="1040" t="str">
        <f>CONCATENATE(LEFT(RIGHT(CONCATENATE("000",IFAData_TEA_1617!A483),6),3),"-",(RIGHT(RIGHT(CONCATENATE("000",IFAData_TEA_1617!A483),6),3)))</f>
        <v>043-901</v>
      </c>
      <c r="C483" s="979" t="s">
        <v>1957</v>
      </c>
      <c r="D483" s="979">
        <v>1</v>
      </c>
      <c r="E483" s="979">
        <v>1560</v>
      </c>
      <c r="F483" s="979" t="s">
        <v>4393</v>
      </c>
      <c r="G483" s="979" t="s">
        <v>4395</v>
      </c>
      <c r="H483" s="979">
        <v>1385015</v>
      </c>
      <c r="I483" s="979">
        <v>1195721</v>
      </c>
      <c r="J483" s="979">
        <v>0.69738989341909263</v>
      </c>
      <c r="K483" s="979">
        <v>965895.46323384461</v>
      </c>
      <c r="L483" s="979">
        <v>965895.46323384461</v>
      </c>
      <c r="M483" s="979">
        <v>599</v>
      </c>
    </row>
    <row r="484" spans="1:13" ht="15">
      <c r="A484" s="979" t="s">
        <v>3446</v>
      </c>
      <c r="B484" s="1040" t="str">
        <f>CONCATENATE(LEFT(RIGHT(CONCATENATE("000",IFAData_TEA_1617!A484),6),3),"-",(RIGHT(RIGHT(CONCATENATE("000",IFAData_TEA_1617!A484),6),3)))</f>
        <v>043-901</v>
      </c>
      <c r="C484" s="979" t="s">
        <v>1957</v>
      </c>
      <c r="D484" s="979">
        <v>1</v>
      </c>
      <c r="E484" s="979">
        <v>1560</v>
      </c>
      <c r="F484" s="979" t="s">
        <v>4393</v>
      </c>
      <c r="G484" s="979" t="s">
        <v>6213</v>
      </c>
      <c r="H484" s="979">
        <v>1385015</v>
      </c>
      <c r="I484" s="979">
        <v>518845</v>
      </c>
      <c r="J484" s="979">
        <v>0.30261010658090737</v>
      </c>
      <c r="K484" s="979">
        <v>419119.53676615539</v>
      </c>
      <c r="L484" s="979">
        <v>419119.53676615539</v>
      </c>
      <c r="M484" s="979">
        <v>599</v>
      </c>
    </row>
    <row r="485" spans="1:13" ht="15">
      <c r="A485" s="979" t="s">
        <v>3447</v>
      </c>
      <c r="B485" s="1040" t="str">
        <f>CONCATENATE(LEFT(RIGHT(CONCATENATE("000",IFAData_TEA_1617!A485),6),3),"-",(RIGHT(RIGHT(CONCATENATE("000",IFAData_TEA_1617!A485),6),3)))</f>
        <v>043-902</v>
      </c>
      <c r="C485" s="979" t="s">
        <v>1056</v>
      </c>
      <c r="D485" s="979">
        <v>9</v>
      </c>
      <c r="E485" s="979">
        <v>1578</v>
      </c>
      <c r="F485" s="979" t="s">
        <v>4398</v>
      </c>
      <c r="G485" s="979" t="s">
        <v>6214</v>
      </c>
      <c r="H485" s="979">
        <v>634691</v>
      </c>
      <c r="I485" s="979">
        <v>132176</v>
      </c>
      <c r="J485" s="979">
        <v>9.18254277570172E-2</v>
      </c>
      <c r="K485" s="979">
        <v>58280.772568529006</v>
      </c>
      <c r="L485" s="979">
        <v>58280.772568529006</v>
      </c>
      <c r="M485" s="979">
        <v>599</v>
      </c>
    </row>
    <row r="486" spans="1:13" ht="15">
      <c r="A486" s="979" t="s">
        <v>3447</v>
      </c>
      <c r="B486" s="1040" t="str">
        <f>CONCATENATE(LEFT(RIGHT(CONCATENATE("000",IFAData_TEA_1617!A486),6),3),"-",(RIGHT(RIGHT(CONCATENATE("000",IFAData_TEA_1617!A486),6),3)))</f>
        <v>043-902</v>
      </c>
      <c r="C486" s="979" t="s">
        <v>1056</v>
      </c>
      <c r="D486" s="979">
        <v>2</v>
      </c>
      <c r="E486" s="979">
        <v>1575</v>
      </c>
      <c r="F486" s="979" t="s">
        <v>4396</v>
      </c>
      <c r="G486" s="979" t="s">
        <v>4397</v>
      </c>
      <c r="H486" s="979">
        <v>200000</v>
      </c>
      <c r="I486" s="979">
        <v>495949</v>
      </c>
      <c r="J486" s="979">
        <v>1</v>
      </c>
      <c r="K486" s="979">
        <v>200000</v>
      </c>
      <c r="L486" s="979">
        <v>200000</v>
      </c>
      <c r="M486" s="979">
        <v>599</v>
      </c>
    </row>
    <row r="487" spans="1:13" ht="15">
      <c r="A487" s="979" t="s">
        <v>3447</v>
      </c>
      <c r="B487" s="1040" t="str">
        <f>CONCATENATE(LEFT(RIGHT(CONCATENATE("000",IFAData_TEA_1617!A487),6),3),"-",(RIGHT(RIGHT(CONCATENATE("000",IFAData_TEA_1617!A487),6),3)))</f>
        <v>043-902</v>
      </c>
      <c r="C487" s="979" t="s">
        <v>1056</v>
      </c>
      <c r="D487" s="979">
        <v>10</v>
      </c>
      <c r="E487" s="979">
        <v>1574</v>
      </c>
      <c r="F487" s="979" t="s">
        <v>4399</v>
      </c>
      <c r="G487" s="979" t="s">
        <v>4399</v>
      </c>
      <c r="H487" s="979">
        <v>180500</v>
      </c>
      <c r="I487" s="979">
        <v>180500</v>
      </c>
      <c r="J487" s="979">
        <v>1</v>
      </c>
      <c r="K487" s="979">
        <v>180500</v>
      </c>
      <c r="L487" s="979">
        <v>180500</v>
      </c>
      <c r="M487" s="979">
        <v>599</v>
      </c>
    </row>
    <row r="488" spans="1:13" ht="15">
      <c r="A488" s="979" t="s">
        <v>3447</v>
      </c>
      <c r="B488" s="1040" t="str">
        <f>CONCATENATE(LEFT(RIGHT(CONCATENATE("000",IFAData_TEA_1617!A488),6),3),"-",(RIGHT(RIGHT(CONCATENATE("000",IFAData_TEA_1617!A488),6),3)))</f>
        <v>043-902</v>
      </c>
      <c r="C488" s="979" t="s">
        <v>1056</v>
      </c>
      <c r="D488" s="979">
        <v>10</v>
      </c>
      <c r="E488" s="979">
        <v>1576</v>
      </c>
      <c r="F488" s="979" t="s">
        <v>4400</v>
      </c>
      <c r="G488" s="979" t="s">
        <v>4400</v>
      </c>
      <c r="H488" s="979">
        <v>261525</v>
      </c>
      <c r="I488" s="979">
        <v>261525</v>
      </c>
      <c r="J488" s="979">
        <v>1</v>
      </c>
      <c r="K488" s="979">
        <v>261525</v>
      </c>
      <c r="L488" s="979">
        <v>261525</v>
      </c>
      <c r="M488" s="979">
        <v>599</v>
      </c>
    </row>
    <row r="489" spans="1:13" ht="15">
      <c r="A489" s="979" t="s">
        <v>3447</v>
      </c>
      <c r="B489" s="1040" t="str">
        <f>CONCATENATE(LEFT(RIGHT(CONCATENATE("000",IFAData_TEA_1617!A489),6),3),"-",(RIGHT(RIGHT(CONCATENATE("000",IFAData_TEA_1617!A489),6),3)))</f>
        <v>043-902</v>
      </c>
      <c r="C489" s="979" t="s">
        <v>1056</v>
      </c>
      <c r="D489" s="979">
        <v>10</v>
      </c>
      <c r="E489" s="979">
        <v>1577</v>
      </c>
      <c r="F489" s="979" t="s">
        <v>4401</v>
      </c>
      <c r="G489" s="979" t="s">
        <v>4401</v>
      </c>
      <c r="H489" s="979">
        <v>285928</v>
      </c>
      <c r="I489" s="979">
        <v>844750</v>
      </c>
      <c r="J489" s="979">
        <v>1</v>
      </c>
      <c r="K489" s="979">
        <v>285928</v>
      </c>
      <c r="L489" s="979">
        <v>285928</v>
      </c>
      <c r="M489" s="979">
        <v>599</v>
      </c>
    </row>
    <row r="490" spans="1:13" ht="15">
      <c r="A490" s="979" t="s">
        <v>3447</v>
      </c>
      <c r="B490" s="1040" t="str">
        <f>CONCATENATE(LEFT(RIGHT(CONCATENATE("000",IFAData_TEA_1617!A490),6),3),"-",(RIGHT(RIGHT(CONCATENATE("000",IFAData_TEA_1617!A490),6),3)))</f>
        <v>043-902</v>
      </c>
      <c r="C490" s="979" t="s">
        <v>1056</v>
      </c>
      <c r="D490" s="979">
        <v>2</v>
      </c>
      <c r="E490" s="979">
        <v>1575</v>
      </c>
      <c r="F490" s="979" t="s">
        <v>4396</v>
      </c>
      <c r="G490" s="979" t="s">
        <v>4396</v>
      </c>
      <c r="H490" s="979">
        <v>200000</v>
      </c>
      <c r="I490" s="979">
        <v>0</v>
      </c>
      <c r="J490" s="979">
        <v>0</v>
      </c>
      <c r="K490" s="979">
        <v>0</v>
      </c>
      <c r="L490" s="979">
        <v>0</v>
      </c>
      <c r="M490" s="979">
        <v>599</v>
      </c>
    </row>
    <row r="491" spans="1:13" ht="15">
      <c r="A491" s="979" t="s">
        <v>3447</v>
      </c>
      <c r="B491" s="1040" t="str">
        <f>CONCATENATE(LEFT(RIGHT(CONCATENATE("000",IFAData_TEA_1617!A491),6),3),"-",(RIGHT(RIGHT(CONCATENATE("000",IFAData_TEA_1617!A491),6),3)))</f>
        <v>043-902</v>
      </c>
      <c r="C491" s="979" t="s">
        <v>1056</v>
      </c>
      <c r="D491" s="979">
        <v>9</v>
      </c>
      <c r="E491" s="979">
        <v>1578</v>
      </c>
      <c r="F491" s="979" t="s">
        <v>4398</v>
      </c>
      <c r="G491" s="979" t="s">
        <v>4398</v>
      </c>
      <c r="H491" s="979">
        <v>634691</v>
      </c>
      <c r="I491" s="979">
        <v>836494</v>
      </c>
      <c r="J491" s="979">
        <v>0.58112985236486459</v>
      </c>
      <c r="K491" s="979">
        <v>368837.88712730829</v>
      </c>
      <c r="L491" s="979">
        <v>368837.88712730829</v>
      </c>
      <c r="M491" s="979">
        <v>599</v>
      </c>
    </row>
    <row r="492" spans="1:13" ht="15">
      <c r="A492" s="979" t="s">
        <v>3447</v>
      </c>
      <c r="B492" s="1040" t="str">
        <f>CONCATENATE(LEFT(RIGHT(CONCATENATE("000",IFAData_TEA_1617!A492),6),3),"-",(RIGHT(RIGHT(CONCATENATE("000",IFAData_TEA_1617!A492),6),3)))</f>
        <v>043-902</v>
      </c>
      <c r="C492" s="979" t="s">
        <v>1056</v>
      </c>
      <c r="D492" s="979">
        <v>9</v>
      </c>
      <c r="E492" s="979">
        <v>1578</v>
      </c>
      <c r="F492" s="979" t="s">
        <v>4398</v>
      </c>
      <c r="G492" s="979" t="s">
        <v>6825</v>
      </c>
      <c r="H492" s="979">
        <v>634691</v>
      </c>
      <c r="I492" s="979">
        <v>470757</v>
      </c>
      <c r="J492" s="979">
        <v>0.32704471987811817</v>
      </c>
      <c r="K492" s="979">
        <v>207572.3403041627</v>
      </c>
      <c r="L492" s="979">
        <v>207572.3403041627</v>
      </c>
      <c r="M492" s="979">
        <v>599</v>
      </c>
    </row>
    <row r="493" spans="1:13" ht="15">
      <c r="A493" s="979" t="s">
        <v>3448</v>
      </c>
      <c r="B493" s="1040" t="str">
        <f>CONCATENATE(LEFT(RIGHT(CONCATENATE("000",IFAData_TEA_1617!A493),6),3),"-",(RIGHT(RIGHT(CONCATENATE("000",IFAData_TEA_1617!A493),6),3)))</f>
        <v>043-903</v>
      </c>
      <c r="C493" s="979" t="s">
        <v>658</v>
      </c>
      <c r="D493" s="979">
        <v>6</v>
      </c>
      <c r="E493" s="979">
        <v>1671</v>
      </c>
      <c r="F493" s="979" t="s">
        <v>4402</v>
      </c>
      <c r="G493" s="979" t="s">
        <v>4403</v>
      </c>
      <c r="H493" s="979">
        <v>129550</v>
      </c>
      <c r="I493" s="979">
        <v>18138</v>
      </c>
      <c r="J493" s="979">
        <v>0.19123228744939272</v>
      </c>
      <c r="K493" s="979">
        <v>24774.142839068827</v>
      </c>
      <c r="L493" s="979">
        <v>18138</v>
      </c>
      <c r="M493" s="979">
        <v>599</v>
      </c>
    </row>
    <row r="494" spans="1:13" ht="15">
      <c r="A494" s="979" t="s">
        <v>3448</v>
      </c>
      <c r="B494" s="1040" t="str">
        <f>CONCATENATE(LEFT(RIGHT(CONCATENATE("000",IFAData_TEA_1617!A494),6),3),"-",(RIGHT(RIGHT(CONCATENATE("000",IFAData_TEA_1617!A494),6),3)))</f>
        <v>043-903</v>
      </c>
      <c r="C494" s="979" t="s">
        <v>658</v>
      </c>
      <c r="D494" s="979">
        <v>6</v>
      </c>
      <c r="E494" s="979">
        <v>1672</v>
      </c>
      <c r="F494" s="979" t="s">
        <v>4404</v>
      </c>
      <c r="G494" s="979" t="s">
        <v>4403</v>
      </c>
      <c r="H494" s="979">
        <v>143455</v>
      </c>
      <c r="I494" s="979">
        <v>237781</v>
      </c>
      <c r="J494" s="979">
        <v>0.53786019493900517</v>
      </c>
      <c r="K494" s="979">
        <v>77158.734264974992</v>
      </c>
      <c r="L494" s="979">
        <v>77158.734264974992</v>
      </c>
      <c r="M494" s="979">
        <v>599</v>
      </c>
    </row>
    <row r="495" spans="1:13" ht="15">
      <c r="A495" s="979" t="s">
        <v>3448</v>
      </c>
      <c r="B495" s="1040" t="str">
        <f>CONCATENATE(LEFT(RIGHT(CONCATENATE("000",IFAData_TEA_1617!A495),6),3),"-",(RIGHT(RIGHT(CONCATENATE("000",IFAData_TEA_1617!A495),6),3)))</f>
        <v>043-903</v>
      </c>
      <c r="C495" s="979" t="s">
        <v>658</v>
      </c>
      <c r="D495" s="979">
        <v>6</v>
      </c>
      <c r="E495" s="979">
        <v>1671</v>
      </c>
      <c r="F495" s="979" t="s">
        <v>4402</v>
      </c>
      <c r="G495" s="979" t="s">
        <v>4402</v>
      </c>
      <c r="H495" s="979">
        <v>129550</v>
      </c>
      <c r="I495" s="979">
        <v>0</v>
      </c>
      <c r="J495" s="979">
        <v>0</v>
      </c>
      <c r="K495" s="979">
        <v>0</v>
      </c>
      <c r="L495" s="979">
        <v>0</v>
      </c>
      <c r="M495" s="979">
        <v>599</v>
      </c>
    </row>
    <row r="496" spans="1:13" ht="15">
      <c r="A496" s="979" t="s">
        <v>3448</v>
      </c>
      <c r="B496" s="1040" t="str">
        <f>CONCATENATE(LEFT(RIGHT(CONCATENATE("000",IFAData_TEA_1617!A496),6),3),"-",(RIGHT(RIGHT(CONCATENATE("000",IFAData_TEA_1617!A496),6),3)))</f>
        <v>043-903</v>
      </c>
      <c r="C496" s="979" t="s">
        <v>658</v>
      </c>
      <c r="D496" s="979">
        <v>6</v>
      </c>
      <c r="E496" s="979">
        <v>1672</v>
      </c>
      <c r="F496" s="979" t="s">
        <v>4404</v>
      </c>
      <c r="G496" s="979" t="s">
        <v>4404</v>
      </c>
      <c r="H496" s="979">
        <v>143455</v>
      </c>
      <c r="I496" s="979">
        <v>0</v>
      </c>
      <c r="J496" s="979">
        <v>0</v>
      </c>
      <c r="K496" s="979">
        <v>0</v>
      </c>
      <c r="L496" s="979">
        <v>0</v>
      </c>
      <c r="M496" s="979">
        <v>599</v>
      </c>
    </row>
    <row r="497" spans="1:13" ht="15">
      <c r="A497" s="979" t="s">
        <v>3448</v>
      </c>
      <c r="B497" s="1040" t="str">
        <f>CONCATENATE(LEFT(RIGHT(CONCATENATE("000",IFAData_TEA_1617!A497),6),3),"-",(RIGHT(RIGHT(CONCATENATE("000",IFAData_TEA_1617!A497),6),3)))</f>
        <v>043-903</v>
      </c>
      <c r="C497" s="979" t="s">
        <v>658</v>
      </c>
      <c r="D497" s="979">
        <v>6</v>
      </c>
      <c r="E497" s="979">
        <v>1672</v>
      </c>
      <c r="F497" s="979" t="s">
        <v>4404</v>
      </c>
      <c r="G497" s="979" t="s">
        <v>6215</v>
      </c>
      <c r="H497" s="979">
        <v>143455</v>
      </c>
      <c r="I497" s="979">
        <v>204306</v>
      </c>
      <c r="J497" s="979">
        <v>0.46213980506099478</v>
      </c>
      <c r="K497" s="979">
        <v>66296.265735025008</v>
      </c>
      <c r="L497" s="979">
        <v>66296.265735025008</v>
      </c>
      <c r="M497" s="979">
        <v>599</v>
      </c>
    </row>
    <row r="498" spans="1:13" ht="15">
      <c r="A498" s="979" t="s">
        <v>3448</v>
      </c>
      <c r="B498" s="1040" t="str">
        <f>CONCATENATE(LEFT(RIGHT(CONCATENATE("000",IFAData_TEA_1617!A498),6),3),"-",(RIGHT(RIGHT(CONCATENATE("000",IFAData_TEA_1617!A498),6),3)))</f>
        <v>043-903</v>
      </c>
      <c r="C498" s="979" t="s">
        <v>658</v>
      </c>
      <c r="D498" s="979">
        <v>6</v>
      </c>
      <c r="E498" s="979">
        <v>1671</v>
      </c>
      <c r="F498" s="979" t="s">
        <v>4402</v>
      </c>
      <c r="G498" s="979" t="s">
        <v>6215</v>
      </c>
      <c r="H498" s="979">
        <v>129550</v>
      </c>
      <c r="I498" s="979">
        <v>76710</v>
      </c>
      <c r="J498" s="979">
        <v>0.80876771255060731</v>
      </c>
      <c r="K498" s="979">
        <v>104775.85716093118</v>
      </c>
      <c r="L498" s="979">
        <v>76710</v>
      </c>
      <c r="M498" s="979">
        <v>599</v>
      </c>
    </row>
    <row r="499" spans="1:13" ht="15">
      <c r="A499" s="979" t="s">
        <v>3449</v>
      </c>
      <c r="B499" s="1040" t="str">
        <f>CONCATENATE(LEFT(RIGHT(CONCATENATE("000",IFAData_TEA_1617!A499),6),3),"-",(RIGHT(RIGHT(CONCATENATE("000",IFAData_TEA_1617!A499),6),3)))</f>
        <v>043-904</v>
      </c>
      <c r="C499" s="979" t="s">
        <v>108</v>
      </c>
      <c r="D499" s="979">
        <v>3</v>
      </c>
      <c r="E499" s="979">
        <v>1811</v>
      </c>
      <c r="F499" s="979" t="s">
        <v>4405</v>
      </c>
      <c r="G499" s="979" t="s">
        <v>4406</v>
      </c>
      <c r="H499" s="979">
        <v>172081</v>
      </c>
      <c r="I499" s="979">
        <v>645100</v>
      </c>
      <c r="J499" s="979">
        <v>1</v>
      </c>
      <c r="K499" s="979">
        <v>172081</v>
      </c>
      <c r="L499" s="979">
        <v>172081</v>
      </c>
      <c r="M499" s="979">
        <v>599</v>
      </c>
    </row>
    <row r="500" spans="1:13" ht="15">
      <c r="A500" s="979" t="s">
        <v>3449</v>
      </c>
      <c r="B500" s="1040" t="str">
        <f>CONCATENATE(LEFT(RIGHT(CONCATENATE("000",IFAData_TEA_1617!A500),6),3),"-",(RIGHT(RIGHT(CONCATENATE("000",IFAData_TEA_1617!A500),6),3)))</f>
        <v>043-904</v>
      </c>
      <c r="C500" s="979" t="s">
        <v>108</v>
      </c>
      <c r="D500" s="979">
        <v>3</v>
      </c>
      <c r="E500" s="979">
        <v>1811</v>
      </c>
      <c r="F500" s="979" t="s">
        <v>4405</v>
      </c>
      <c r="G500" s="979" t="s">
        <v>4405</v>
      </c>
      <c r="H500" s="979">
        <v>172081</v>
      </c>
      <c r="I500" s="979">
        <v>0</v>
      </c>
      <c r="J500" s="979">
        <v>0</v>
      </c>
      <c r="K500" s="979">
        <v>0</v>
      </c>
      <c r="L500" s="979">
        <v>0</v>
      </c>
      <c r="M500" s="979">
        <v>599</v>
      </c>
    </row>
    <row r="501" spans="1:13" ht="15">
      <c r="A501" s="979" t="s">
        <v>3450</v>
      </c>
      <c r="B501" s="1040" t="str">
        <f>CONCATENATE(LEFT(RIGHT(CONCATENATE("000",IFAData_TEA_1617!A501),6),3),"-",(RIGHT(RIGHT(CONCATENATE("000",IFAData_TEA_1617!A501),6),3)))</f>
        <v>043-905</v>
      </c>
      <c r="C501" s="979" t="s">
        <v>1477</v>
      </c>
      <c r="D501" s="979">
        <v>1</v>
      </c>
      <c r="E501" s="979">
        <v>1831</v>
      </c>
      <c r="F501" s="979" t="s">
        <v>4407</v>
      </c>
      <c r="G501" s="979" t="s">
        <v>4411</v>
      </c>
      <c r="H501" s="979">
        <v>569214</v>
      </c>
      <c r="I501" s="979">
        <v>9037</v>
      </c>
      <c r="J501" s="979">
        <v>2.6796701488244382E-2</v>
      </c>
      <c r="K501" s="979">
        <v>15253.057640929537</v>
      </c>
      <c r="L501" s="979">
        <v>9037</v>
      </c>
      <c r="M501" s="979">
        <v>599</v>
      </c>
    </row>
    <row r="502" spans="1:13" ht="15">
      <c r="A502" s="979" t="s">
        <v>3450</v>
      </c>
      <c r="B502" s="1040" t="str">
        <f>CONCATENATE(LEFT(RIGHT(CONCATENATE("000",IFAData_TEA_1617!A502),6),3),"-",(RIGHT(RIGHT(CONCATENATE("000",IFAData_TEA_1617!A502),6),3)))</f>
        <v>043-905</v>
      </c>
      <c r="C502" s="979" t="s">
        <v>1477</v>
      </c>
      <c r="D502" s="979">
        <v>2</v>
      </c>
      <c r="E502" s="979">
        <v>1830</v>
      </c>
      <c r="F502" s="979" t="s">
        <v>4415</v>
      </c>
      <c r="G502" s="979" t="s">
        <v>4411</v>
      </c>
      <c r="H502" s="979">
        <v>364536</v>
      </c>
      <c r="I502" s="979">
        <v>21475</v>
      </c>
      <c r="J502" s="979">
        <v>1.7282033123561507E-2</v>
      </c>
      <c r="K502" s="979">
        <v>6299.9232267306179</v>
      </c>
      <c r="L502" s="979">
        <v>6299.9232267306179</v>
      </c>
      <c r="M502" s="979">
        <v>599</v>
      </c>
    </row>
    <row r="503" spans="1:13" ht="15">
      <c r="A503" s="979" t="s">
        <v>3450</v>
      </c>
      <c r="B503" s="1040" t="str">
        <f>CONCATENATE(LEFT(RIGHT(CONCATENATE("000",IFAData_TEA_1617!A503),6),3),"-",(RIGHT(RIGHT(CONCATENATE("000",IFAData_TEA_1617!A503),6),3)))</f>
        <v>043-905</v>
      </c>
      <c r="C503" s="979" t="s">
        <v>1477</v>
      </c>
      <c r="D503" s="979">
        <v>2</v>
      </c>
      <c r="E503" s="979">
        <v>1830</v>
      </c>
      <c r="F503" s="979" t="s">
        <v>4415</v>
      </c>
      <c r="G503" s="979" t="s">
        <v>4409</v>
      </c>
      <c r="H503" s="979">
        <v>364536</v>
      </c>
      <c r="I503" s="979">
        <v>0</v>
      </c>
      <c r="J503" s="979">
        <v>0</v>
      </c>
      <c r="K503" s="979">
        <v>0</v>
      </c>
      <c r="L503" s="979">
        <v>0</v>
      </c>
      <c r="M503" s="979">
        <v>599</v>
      </c>
    </row>
    <row r="504" spans="1:13" ht="15">
      <c r="A504" s="979" t="s">
        <v>3450</v>
      </c>
      <c r="B504" s="1040" t="str">
        <f>CONCATENATE(LEFT(RIGHT(CONCATENATE("000",IFAData_TEA_1617!A504),6),3),"-",(RIGHT(RIGHT(CONCATENATE("000",IFAData_TEA_1617!A504),6),3)))</f>
        <v>043-905</v>
      </c>
      <c r="C504" s="979" t="s">
        <v>1477</v>
      </c>
      <c r="D504" s="979">
        <v>2</v>
      </c>
      <c r="E504" s="979">
        <v>1830</v>
      </c>
      <c r="F504" s="979" t="s">
        <v>4415</v>
      </c>
      <c r="G504" s="979" t="s">
        <v>4413</v>
      </c>
      <c r="H504" s="979">
        <v>364536</v>
      </c>
      <c r="I504" s="979">
        <v>743</v>
      </c>
      <c r="J504" s="979">
        <v>5.9793017978142953E-4</v>
      </c>
      <c r="K504" s="979">
        <v>217.96707601680319</v>
      </c>
      <c r="L504" s="979">
        <v>217.96707601680319</v>
      </c>
      <c r="M504" s="979">
        <v>599</v>
      </c>
    </row>
    <row r="505" spans="1:13" ht="15">
      <c r="A505" s="979" t="s">
        <v>3450</v>
      </c>
      <c r="B505" s="1040" t="str">
        <f>CONCATENATE(LEFT(RIGHT(CONCATENATE("000",IFAData_TEA_1617!A505),6),3),"-",(RIGHT(RIGHT(CONCATENATE("000",IFAData_TEA_1617!A505),6),3)))</f>
        <v>043-905</v>
      </c>
      <c r="C505" s="979" t="s">
        <v>1477</v>
      </c>
      <c r="D505" s="979">
        <v>1</v>
      </c>
      <c r="E505" s="979">
        <v>1831</v>
      </c>
      <c r="F505" s="979" t="s">
        <v>4407</v>
      </c>
      <c r="G505" s="979" t="s">
        <v>4412</v>
      </c>
      <c r="H505" s="979">
        <v>569214</v>
      </c>
      <c r="I505" s="979">
        <v>6764</v>
      </c>
      <c r="J505" s="979">
        <v>2.0056754328481242E-2</v>
      </c>
      <c r="K505" s="979">
        <v>11416.585358332122</v>
      </c>
      <c r="L505" s="979">
        <v>6764</v>
      </c>
      <c r="M505" s="979">
        <v>599</v>
      </c>
    </row>
    <row r="506" spans="1:13" ht="15">
      <c r="A506" s="979" t="s">
        <v>3450</v>
      </c>
      <c r="B506" s="1040" t="str">
        <f>CONCATENATE(LEFT(RIGHT(CONCATENATE("000",IFAData_TEA_1617!A506),6),3),"-",(RIGHT(RIGHT(CONCATENATE("000",IFAData_TEA_1617!A506),6),3)))</f>
        <v>043-905</v>
      </c>
      <c r="C506" s="979" t="s">
        <v>1477</v>
      </c>
      <c r="D506" s="979">
        <v>1</v>
      </c>
      <c r="E506" s="979">
        <v>1831</v>
      </c>
      <c r="F506" s="979" t="s">
        <v>4407</v>
      </c>
      <c r="G506" s="979" t="s">
        <v>4409</v>
      </c>
      <c r="H506" s="979">
        <v>569214</v>
      </c>
      <c r="I506" s="979">
        <v>0</v>
      </c>
      <c r="J506" s="979">
        <v>0</v>
      </c>
      <c r="K506" s="979">
        <v>0</v>
      </c>
      <c r="L506" s="979">
        <v>0</v>
      </c>
      <c r="M506" s="979">
        <v>599</v>
      </c>
    </row>
    <row r="507" spans="1:13" ht="15">
      <c r="A507" s="979" t="s">
        <v>3450</v>
      </c>
      <c r="B507" s="1040" t="str">
        <f>CONCATENATE(LEFT(RIGHT(CONCATENATE("000",IFAData_TEA_1617!A507),6),3),"-",(RIGHT(RIGHT(CONCATENATE("000",IFAData_TEA_1617!A507),6),3)))</f>
        <v>043-905</v>
      </c>
      <c r="C507" s="979" t="s">
        <v>1477</v>
      </c>
      <c r="D507" s="979">
        <v>1</v>
      </c>
      <c r="E507" s="979">
        <v>1831</v>
      </c>
      <c r="F507" s="979" t="s">
        <v>4407</v>
      </c>
      <c r="G507" s="979" t="s">
        <v>4408</v>
      </c>
      <c r="H507" s="979">
        <v>569214</v>
      </c>
      <c r="I507" s="979">
        <v>0</v>
      </c>
      <c r="J507" s="979">
        <v>0</v>
      </c>
      <c r="K507" s="979">
        <v>0</v>
      </c>
      <c r="L507" s="979">
        <v>0</v>
      </c>
      <c r="M507" s="979">
        <v>599</v>
      </c>
    </row>
    <row r="508" spans="1:13" ht="15">
      <c r="A508" s="979" t="s">
        <v>3450</v>
      </c>
      <c r="B508" s="1040" t="str">
        <f>CONCATENATE(LEFT(RIGHT(CONCATENATE("000",IFAData_TEA_1617!A508),6),3),"-",(RIGHT(RIGHT(CONCATENATE("000",IFAData_TEA_1617!A508),6),3)))</f>
        <v>043-905</v>
      </c>
      <c r="C508" s="979" t="s">
        <v>1477</v>
      </c>
      <c r="D508" s="979">
        <v>2</v>
      </c>
      <c r="E508" s="979">
        <v>1830</v>
      </c>
      <c r="F508" s="979" t="s">
        <v>4415</v>
      </c>
      <c r="G508" s="979" t="s">
        <v>4416</v>
      </c>
      <c r="H508" s="979">
        <v>364536</v>
      </c>
      <c r="I508" s="979">
        <v>1204344</v>
      </c>
      <c r="J508" s="979">
        <v>0.96919734110186539</v>
      </c>
      <c r="K508" s="979">
        <v>353307.32193590963</v>
      </c>
      <c r="L508" s="979">
        <v>353307.32193590963</v>
      </c>
      <c r="M508" s="979">
        <v>599</v>
      </c>
    </row>
    <row r="509" spans="1:13" ht="15">
      <c r="A509" s="979" t="s">
        <v>3450</v>
      </c>
      <c r="B509" s="1040" t="str">
        <f>CONCATENATE(LEFT(RIGHT(CONCATENATE("000",IFAData_TEA_1617!A509),6),3),"-",(RIGHT(RIGHT(CONCATENATE("000",IFAData_TEA_1617!A509),6),3)))</f>
        <v>043-905</v>
      </c>
      <c r="C509" s="979" t="s">
        <v>1477</v>
      </c>
      <c r="D509" s="979">
        <v>1</v>
      </c>
      <c r="E509" s="979">
        <v>1831</v>
      </c>
      <c r="F509" s="979" t="s">
        <v>4407</v>
      </c>
      <c r="G509" s="979" t="s">
        <v>4410</v>
      </c>
      <c r="H509" s="979">
        <v>569214</v>
      </c>
      <c r="I509" s="979">
        <v>0</v>
      </c>
      <c r="J509" s="979">
        <v>0</v>
      </c>
      <c r="K509" s="979">
        <v>0</v>
      </c>
      <c r="L509" s="979">
        <v>0</v>
      </c>
      <c r="M509" s="979">
        <v>599</v>
      </c>
    </row>
    <row r="510" spans="1:13" ht="15">
      <c r="A510" s="979" t="s">
        <v>3450</v>
      </c>
      <c r="B510" s="1040" t="str">
        <f>CONCATENATE(LEFT(RIGHT(CONCATENATE("000",IFAData_TEA_1617!A510),6),3),"-",(RIGHT(RIGHT(CONCATENATE("000",IFAData_TEA_1617!A510),6),3)))</f>
        <v>043-905</v>
      </c>
      <c r="C510" s="979" t="s">
        <v>1477</v>
      </c>
      <c r="D510" s="979">
        <v>2</v>
      </c>
      <c r="E510" s="979">
        <v>1830</v>
      </c>
      <c r="F510" s="979" t="s">
        <v>4415</v>
      </c>
      <c r="G510" s="979" t="s">
        <v>4408</v>
      </c>
      <c r="H510" s="979">
        <v>364536</v>
      </c>
      <c r="I510" s="979">
        <v>0</v>
      </c>
      <c r="J510" s="979">
        <v>0</v>
      </c>
      <c r="K510" s="979">
        <v>0</v>
      </c>
      <c r="L510" s="979">
        <v>0</v>
      </c>
      <c r="M510" s="979">
        <v>599</v>
      </c>
    </row>
    <row r="511" spans="1:13" ht="15">
      <c r="A511" s="979" t="s">
        <v>3450</v>
      </c>
      <c r="B511" s="1040" t="str">
        <f>CONCATENATE(LEFT(RIGHT(CONCATENATE("000",IFAData_TEA_1617!A511),6),3),"-",(RIGHT(RIGHT(CONCATENATE("000",IFAData_TEA_1617!A511),6),3)))</f>
        <v>043-905</v>
      </c>
      <c r="C511" s="979" t="s">
        <v>1477</v>
      </c>
      <c r="D511" s="979">
        <v>1</v>
      </c>
      <c r="E511" s="979">
        <v>1831</v>
      </c>
      <c r="F511" s="979" t="s">
        <v>4407</v>
      </c>
      <c r="G511" s="979" t="s">
        <v>4407</v>
      </c>
      <c r="H511" s="979">
        <v>569214</v>
      </c>
      <c r="I511" s="979">
        <v>0</v>
      </c>
      <c r="J511" s="979">
        <v>0</v>
      </c>
      <c r="K511" s="979">
        <v>0</v>
      </c>
      <c r="L511" s="979">
        <v>0</v>
      </c>
      <c r="M511" s="979">
        <v>599</v>
      </c>
    </row>
    <row r="512" spans="1:13" ht="15">
      <c r="A512" s="979" t="s">
        <v>3450</v>
      </c>
      <c r="B512" s="1040" t="str">
        <f>CONCATENATE(LEFT(RIGHT(CONCATENATE("000",IFAData_TEA_1617!A512),6),3),"-",(RIGHT(RIGHT(CONCATENATE("000",IFAData_TEA_1617!A512),6),3)))</f>
        <v>043-905</v>
      </c>
      <c r="C512" s="979" t="s">
        <v>1477</v>
      </c>
      <c r="D512" s="979">
        <v>2</v>
      </c>
      <c r="E512" s="979">
        <v>1830</v>
      </c>
      <c r="F512" s="979" t="s">
        <v>4415</v>
      </c>
      <c r="G512" s="979" t="s">
        <v>4415</v>
      </c>
      <c r="H512" s="979">
        <v>364536</v>
      </c>
      <c r="I512" s="979">
        <v>0</v>
      </c>
      <c r="J512" s="979">
        <v>0</v>
      </c>
      <c r="K512" s="979">
        <v>0</v>
      </c>
      <c r="L512" s="979">
        <v>0</v>
      </c>
      <c r="M512" s="979">
        <v>599</v>
      </c>
    </row>
    <row r="513" spans="1:13" ht="15">
      <c r="A513" s="979" t="s">
        <v>3450</v>
      </c>
      <c r="B513" s="1040" t="str">
        <f>CONCATENATE(LEFT(RIGHT(CONCATENATE("000",IFAData_TEA_1617!A513),6),3),"-",(RIGHT(RIGHT(CONCATENATE("000",IFAData_TEA_1617!A513),6),3)))</f>
        <v>043-905</v>
      </c>
      <c r="C513" s="979" t="s">
        <v>1477</v>
      </c>
      <c r="D513" s="979">
        <v>1</v>
      </c>
      <c r="E513" s="979">
        <v>1831</v>
      </c>
      <c r="F513" s="979" t="s">
        <v>4407</v>
      </c>
      <c r="G513" s="979" t="s">
        <v>4413</v>
      </c>
      <c r="H513" s="979">
        <v>569214</v>
      </c>
      <c r="I513" s="979">
        <v>313</v>
      </c>
      <c r="J513" s="979">
        <v>9.2811414914468202E-4</v>
      </c>
      <c r="K513" s="979">
        <v>528.29556729124101</v>
      </c>
      <c r="L513" s="979">
        <v>313</v>
      </c>
      <c r="M513" s="979">
        <v>599</v>
      </c>
    </row>
    <row r="514" spans="1:13" ht="15">
      <c r="A514" s="979" t="s">
        <v>3450</v>
      </c>
      <c r="B514" s="1040" t="str">
        <f>CONCATENATE(LEFT(RIGHT(CONCATENATE("000",IFAData_TEA_1617!A514),6),3),"-",(RIGHT(RIGHT(CONCATENATE("000",IFAData_TEA_1617!A514),6),3)))</f>
        <v>043-905</v>
      </c>
      <c r="C514" s="979" t="s">
        <v>1477</v>
      </c>
      <c r="D514" s="979">
        <v>2</v>
      </c>
      <c r="E514" s="979">
        <v>1830</v>
      </c>
      <c r="F514" s="979" t="s">
        <v>4415</v>
      </c>
      <c r="G514" s="979" t="s">
        <v>4412</v>
      </c>
      <c r="H514" s="979">
        <v>364536</v>
      </c>
      <c r="I514" s="979">
        <v>16058</v>
      </c>
      <c r="J514" s="979">
        <v>1.292269559479165E-2</v>
      </c>
      <c r="K514" s="979">
        <v>4710.7877613429691</v>
      </c>
      <c r="L514" s="979">
        <v>4710.7877613429691</v>
      </c>
      <c r="M514" s="979">
        <v>599</v>
      </c>
    </row>
    <row r="515" spans="1:13" ht="15">
      <c r="A515" s="979" t="s">
        <v>3450</v>
      </c>
      <c r="B515" s="1040" t="str">
        <f>CONCATENATE(LEFT(RIGHT(CONCATENATE("000",IFAData_TEA_1617!A515),6),3),"-",(RIGHT(RIGHT(CONCATENATE("000",IFAData_TEA_1617!A515),6),3)))</f>
        <v>043-905</v>
      </c>
      <c r="C515" s="979" t="s">
        <v>1477</v>
      </c>
      <c r="D515" s="979">
        <v>1</v>
      </c>
      <c r="E515" s="979">
        <v>1831</v>
      </c>
      <c r="F515" s="979" t="s">
        <v>4407</v>
      </c>
      <c r="G515" s="979" t="s">
        <v>6216</v>
      </c>
      <c r="H515" s="979">
        <v>569214</v>
      </c>
      <c r="I515" s="979">
        <v>217879</v>
      </c>
      <c r="J515" s="979">
        <v>0.64605936965333599</v>
      </c>
      <c r="K515" s="979">
        <v>367746.03803785401</v>
      </c>
      <c r="L515" s="979">
        <v>217879</v>
      </c>
      <c r="M515" s="979">
        <v>599</v>
      </c>
    </row>
    <row r="516" spans="1:13" ht="15">
      <c r="A516" s="979" t="s">
        <v>3450</v>
      </c>
      <c r="B516" s="1040" t="str">
        <f>CONCATENATE(LEFT(RIGHT(CONCATENATE("000",IFAData_TEA_1617!A516),6),3),"-",(RIGHT(RIGHT(CONCATENATE("000",IFAData_TEA_1617!A516),6),3)))</f>
        <v>043-905</v>
      </c>
      <c r="C516" s="979" t="s">
        <v>1477</v>
      </c>
      <c r="D516" s="979">
        <v>1</v>
      </c>
      <c r="E516" s="979">
        <v>1831</v>
      </c>
      <c r="F516" s="979" t="s">
        <v>4407</v>
      </c>
      <c r="G516" s="979" t="s">
        <v>4414</v>
      </c>
      <c r="H516" s="979">
        <v>569214</v>
      </c>
      <c r="I516" s="979">
        <v>103250</v>
      </c>
      <c r="J516" s="979">
        <v>0.30615906038079366</v>
      </c>
      <c r="K516" s="979">
        <v>174270.02339559307</v>
      </c>
      <c r="L516" s="979">
        <v>103250</v>
      </c>
      <c r="M516" s="979">
        <v>599</v>
      </c>
    </row>
    <row r="517" spans="1:13" ht="15">
      <c r="A517" s="979" t="s">
        <v>3451</v>
      </c>
      <c r="B517" s="1040" t="str">
        <f>CONCATENATE(LEFT(RIGHT(CONCATENATE("000",IFAData_TEA_1617!A517),6),3),"-",(RIGHT(RIGHT(CONCATENATE("000",IFAData_TEA_1617!A517),6),3)))</f>
        <v>043-907</v>
      </c>
      <c r="C517" s="979" t="s">
        <v>820</v>
      </c>
      <c r="D517" s="979">
        <v>1</v>
      </c>
      <c r="E517" s="979">
        <v>2082</v>
      </c>
      <c r="F517" s="979" t="s">
        <v>4417</v>
      </c>
      <c r="G517" s="979" t="s">
        <v>6217</v>
      </c>
      <c r="H517" s="979">
        <v>1347187</v>
      </c>
      <c r="I517" s="979">
        <v>635003</v>
      </c>
      <c r="J517" s="979">
        <v>1</v>
      </c>
      <c r="K517" s="979">
        <v>1347187</v>
      </c>
      <c r="L517" s="979">
        <v>635003</v>
      </c>
      <c r="M517" s="979">
        <v>599</v>
      </c>
    </row>
    <row r="518" spans="1:13" ht="15">
      <c r="A518" s="979" t="s">
        <v>3451</v>
      </c>
      <c r="B518" s="1040" t="str">
        <f>CONCATENATE(LEFT(RIGHT(CONCATENATE("000",IFAData_TEA_1617!A518),6),3),"-",(RIGHT(RIGHT(CONCATENATE("000",IFAData_TEA_1617!A518),6),3)))</f>
        <v>043-907</v>
      </c>
      <c r="C518" s="979" t="s">
        <v>820</v>
      </c>
      <c r="D518" s="979">
        <v>1</v>
      </c>
      <c r="E518" s="979">
        <v>2082</v>
      </c>
      <c r="F518" s="979" t="s">
        <v>4417</v>
      </c>
      <c r="G518" s="979" t="s">
        <v>4418</v>
      </c>
      <c r="H518" s="979">
        <v>1347187</v>
      </c>
      <c r="I518" s="979">
        <v>0</v>
      </c>
      <c r="J518" s="979">
        <v>0</v>
      </c>
      <c r="K518" s="979">
        <v>0</v>
      </c>
      <c r="L518" s="979">
        <v>0</v>
      </c>
      <c r="M518" s="979">
        <v>599</v>
      </c>
    </row>
    <row r="519" spans="1:13" ht="15">
      <c r="A519" s="979" t="s">
        <v>3451</v>
      </c>
      <c r="B519" s="1040" t="str">
        <f>CONCATENATE(LEFT(RIGHT(CONCATENATE("000",IFAData_TEA_1617!A519),6),3),"-",(RIGHT(RIGHT(CONCATENATE("000",IFAData_TEA_1617!A519),6),3)))</f>
        <v>043-907</v>
      </c>
      <c r="C519" s="979" t="s">
        <v>820</v>
      </c>
      <c r="D519" s="979">
        <v>1</v>
      </c>
      <c r="E519" s="979">
        <v>2082</v>
      </c>
      <c r="F519" s="979" t="s">
        <v>4417</v>
      </c>
      <c r="G519" s="979" t="s">
        <v>4417</v>
      </c>
      <c r="H519" s="979">
        <v>1347187</v>
      </c>
      <c r="I519" s="979">
        <v>0</v>
      </c>
      <c r="J519" s="979">
        <v>0</v>
      </c>
      <c r="K519" s="979">
        <v>0</v>
      </c>
      <c r="L519" s="979">
        <v>0</v>
      </c>
      <c r="M519" s="979">
        <v>599</v>
      </c>
    </row>
    <row r="520" spans="1:13" ht="15">
      <c r="A520" s="979" t="s">
        <v>3452</v>
      </c>
      <c r="B520" s="1040" t="str">
        <f>CONCATENATE(LEFT(RIGHT(CONCATENATE("000",IFAData_TEA_1617!A520),6),3),"-",(RIGHT(RIGHT(CONCATENATE("000",IFAData_TEA_1617!A520),6),3)))</f>
        <v>043-908</v>
      </c>
      <c r="C520" s="979" t="s">
        <v>2199</v>
      </c>
      <c r="D520" s="979">
        <v>10</v>
      </c>
      <c r="E520" s="979">
        <v>2088</v>
      </c>
      <c r="F520" s="979" t="s">
        <v>4420</v>
      </c>
      <c r="G520" s="979" t="s">
        <v>4420</v>
      </c>
      <c r="H520" s="979">
        <v>121098</v>
      </c>
      <c r="I520" s="979">
        <v>226098</v>
      </c>
      <c r="J520" s="979">
        <v>1</v>
      </c>
      <c r="K520" s="979">
        <v>121098</v>
      </c>
      <c r="L520" s="979">
        <v>121098</v>
      </c>
      <c r="M520" s="979">
        <v>599</v>
      </c>
    </row>
    <row r="521" spans="1:13" ht="15">
      <c r="A521" s="979" t="s">
        <v>3452</v>
      </c>
      <c r="B521" s="1040" t="str">
        <f>CONCATENATE(LEFT(RIGHT(CONCATENATE("000",IFAData_TEA_1617!A521),6),3),"-",(RIGHT(RIGHT(CONCATENATE("000",IFAData_TEA_1617!A521),6),3)))</f>
        <v>043-908</v>
      </c>
      <c r="C521" s="979" t="s">
        <v>2199</v>
      </c>
      <c r="D521" s="979">
        <v>9</v>
      </c>
      <c r="E521" s="979">
        <v>2089</v>
      </c>
      <c r="F521" s="979" t="s">
        <v>4419</v>
      </c>
      <c r="G521" s="979" t="s">
        <v>4419</v>
      </c>
      <c r="H521" s="979">
        <v>334507</v>
      </c>
      <c r="I521" s="979">
        <v>278912</v>
      </c>
      <c r="J521" s="979">
        <v>0.43145177507927912</v>
      </c>
      <c r="K521" s="979">
        <v>144323.63892644443</v>
      </c>
      <c r="L521" s="979">
        <v>144323.63892644443</v>
      </c>
      <c r="M521" s="979">
        <v>599</v>
      </c>
    </row>
    <row r="522" spans="1:13" ht="15">
      <c r="A522" s="979" t="s">
        <v>3452</v>
      </c>
      <c r="B522" s="1040" t="str">
        <f>CONCATENATE(LEFT(RIGHT(CONCATENATE("000",IFAData_TEA_1617!A522),6),3),"-",(RIGHT(RIGHT(CONCATENATE("000",IFAData_TEA_1617!A522),6),3)))</f>
        <v>043-908</v>
      </c>
      <c r="C522" s="979" t="s">
        <v>2199</v>
      </c>
      <c r="D522" s="979">
        <v>9</v>
      </c>
      <c r="E522" s="979">
        <v>2089</v>
      </c>
      <c r="F522" s="979" t="s">
        <v>4419</v>
      </c>
      <c r="G522" s="979" t="s">
        <v>6826</v>
      </c>
      <c r="H522" s="979">
        <v>334507</v>
      </c>
      <c r="I522" s="979">
        <v>367538</v>
      </c>
      <c r="J522" s="979">
        <v>0.56854822492072088</v>
      </c>
      <c r="K522" s="979">
        <v>190183.36107355557</v>
      </c>
      <c r="L522" s="979">
        <v>190183.36107355557</v>
      </c>
      <c r="M522" s="979">
        <v>599</v>
      </c>
    </row>
    <row r="523" spans="1:13" ht="15">
      <c r="A523" s="979" t="s">
        <v>3453</v>
      </c>
      <c r="B523" s="1040" t="str">
        <f>CONCATENATE(LEFT(RIGHT(CONCATENATE("000",IFAData_TEA_1617!A523),6),3),"-",(RIGHT(RIGHT(CONCATENATE("000",IFAData_TEA_1617!A523),6),3)))</f>
        <v>043-911</v>
      </c>
      <c r="C523" s="979" t="s">
        <v>74</v>
      </c>
      <c r="D523" s="979">
        <v>10</v>
      </c>
      <c r="E523" s="979">
        <v>2213</v>
      </c>
      <c r="F523" s="979" t="s">
        <v>4427</v>
      </c>
      <c r="G523" s="979" t="s">
        <v>4427</v>
      </c>
      <c r="H523" s="979">
        <v>251143</v>
      </c>
      <c r="I523" s="979">
        <v>215250</v>
      </c>
      <c r="J523" s="979">
        <v>1</v>
      </c>
      <c r="K523" s="979">
        <v>251143</v>
      </c>
      <c r="L523" s="979">
        <v>215250</v>
      </c>
      <c r="M523" s="979">
        <v>599</v>
      </c>
    </row>
    <row r="524" spans="1:13" ht="15">
      <c r="A524" s="979" t="s">
        <v>3453</v>
      </c>
      <c r="B524" s="1040" t="str">
        <f>CONCATENATE(LEFT(RIGHT(CONCATENATE("000",IFAData_TEA_1617!A524),6),3),"-",(RIGHT(RIGHT(CONCATENATE("000",IFAData_TEA_1617!A524),6),3)))</f>
        <v>043-911</v>
      </c>
      <c r="C524" s="979" t="s">
        <v>74</v>
      </c>
      <c r="D524" s="979">
        <v>2</v>
      </c>
      <c r="E524" s="979">
        <v>2214</v>
      </c>
      <c r="F524" s="979" t="s">
        <v>4421</v>
      </c>
      <c r="G524" s="979" t="s">
        <v>4422</v>
      </c>
      <c r="H524" s="979">
        <v>470750</v>
      </c>
      <c r="I524" s="979">
        <v>663710</v>
      </c>
      <c r="J524" s="979">
        <v>1</v>
      </c>
      <c r="K524" s="979">
        <v>470750</v>
      </c>
      <c r="L524" s="979">
        <v>470750</v>
      </c>
      <c r="M524" s="979">
        <v>599</v>
      </c>
    </row>
    <row r="525" spans="1:13" ht="15">
      <c r="A525" s="979" t="s">
        <v>3453</v>
      </c>
      <c r="B525" s="1040" t="str">
        <f>CONCATENATE(LEFT(RIGHT(CONCATENATE("000",IFAData_TEA_1617!A525),6),3),"-",(RIGHT(RIGHT(CONCATENATE("000",IFAData_TEA_1617!A525),6),3)))</f>
        <v>043-911</v>
      </c>
      <c r="C525" s="979" t="s">
        <v>74</v>
      </c>
      <c r="D525" s="979">
        <v>9</v>
      </c>
      <c r="E525" s="979">
        <v>2216</v>
      </c>
      <c r="F525" s="979" t="s">
        <v>4426</v>
      </c>
      <c r="G525" s="979" t="s">
        <v>6431</v>
      </c>
      <c r="H525" s="979">
        <v>607244</v>
      </c>
      <c r="I525" s="979">
        <v>575744</v>
      </c>
      <c r="J525" s="979">
        <v>0.9695924553721792</v>
      </c>
      <c r="K525" s="979">
        <v>588779.20097002364</v>
      </c>
      <c r="L525" s="979">
        <v>575744</v>
      </c>
      <c r="M525" s="979">
        <v>599</v>
      </c>
    </row>
    <row r="526" spans="1:13" ht="15">
      <c r="A526" s="979" t="s">
        <v>3453</v>
      </c>
      <c r="B526" s="1040" t="str">
        <f>CONCATENATE(LEFT(RIGHT(CONCATENATE("000",IFAData_TEA_1617!A526),6),3),"-",(RIGHT(RIGHT(CONCATENATE("000",IFAData_TEA_1617!A526),6),3)))</f>
        <v>043-911</v>
      </c>
      <c r="C526" s="979" t="s">
        <v>74</v>
      </c>
      <c r="D526" s="979">
        <v>6</v>
      </c>
      <c r="E526" s="979">
        <v>2215</v>
      </c>
      <c r="F526" s="979" t="s">
        <v>4423</v>
      </c>
      <c r="G526" s="979" t="s">
        <v>6218</v>
      </c>
      <c r="H526" s="979">
        <v>556250</v>
      </c>
      <c r="I526" s="979">
        <v>433986</v>
      </c>
      <c r="J526" s="979">
        <v>0.30455820442409626</v>
      </c>
      <c r="K526" s="979">
        <v>169410.50121090355</v>
      </c>
      <c r="L526" s="979">
        <v>169410.50121090355</v>
      </c>
      <c r="M526" s="979">
        <v>599</v>
      </c>
    </row>
    <row r="527" spans="1:13" ht="15">
      <c r="A527" s="979" t="s">
        <v>3453</v>
      </c>
      <c r="B527" s="1040" t="str">
        <f>CONCATENATE(LEFT(RIGHT(CONCATENATE("000",IFAData_TEA_1617!A527),6),3),"-",(RIGHT(RIGHT(CONCATENATE("000",IFAData_TEA_1617!A527),6),3)))</f>
        <v>043-911</v>
      </c>
      <c r="C527" s="979" t="s">
        <v>74</v>
      </c>
      <c r="D527" s="979">
        <v>2</v>
      </c>
      <c r="E527" s="979">
        <v>2214</v>
      </c>
      <c r="F527" s="979" t="s">
        <v>4421</v>
      </c>
      <c r="G527" s="979" t="s">
        <v>4421</v>
      </c>
      <c r="H527" s="979">
        <v>470750</v>
      </c>
      <c r="I527" s="979">
        <v>0</v>
      </c>
      <c r="J527" s="979">
        <v>0</v>
      </c>
      <c r="K527" s="979">
        <v>0</v>
      </c>
      <c r="L527" s="979">
        <v>0</v>
      </c>
      <c r="M527" s="979">
        <v>599</v>
      </c>
    </row>
    <row r="528" spans="1:13" ht="15">
      <c r="A528" s="979" t="s">
        <v>3453</v>
      </c>
      <c r="B528" s="1040" t="str">
        <f>CONCATENATE(LEFT(RIGHT(CONCATENATE("000",IFAData_TEA_1617!A528),6),3),"-",(RIGHT(RIGHT(CONCATENATE("000",IFAData_TEA_1617!A528),6),3)))</f>
        <v>043-911</v>
      </c>
      <c r="C528" s="979" t="s">
        <v>74</v>
      </c>
      <c r="D528" s="979">
        <v>6</v>
      </c>
      <c r="E528" s="979">
        <v>2215</v>
      </c>
      <c r="F528" s="979" t="s">
        <v>4423</v>
      </c>
      <c r="G528" s="979" t="s">
        <v>4423</v>
      </c>
      <c r="H528" s="979">
        <v>556250</v>
      </c>
      <c r="I528" s="979">
        <v>0</v>
      </c>
      <c r="J528" s="979">
        <v>0</v>
      </c>
      <c r="K528" s="979">
        <v>0</v>
      </c>
      <c r="L528" s="979">
        <v>0</v>
      </c>
      <c r="M528" s="979">
        <v>599</v>
      </c>
    </row>
    <row r="529" spans="1:13" ht="15">
      <c r="A529" s="979" t="s">
        <v>3453</v>
      </c>
      <c r="B529" s="1040" t="str">
        <f>CONCATENATE(LEFT(RIGHT(CONCATENATE("000",IFAData_TEA_1617!A529),6),3),"-",(RIGHT(RIGHT(CONCATENATE("000",IFAData_TEA_1617!A529),6),3)))</f>
        <v>043-911</v>
      </c>
      <c r="C529" s="979" t="s">
        <v>74</v>
      </c>
      <c r="D529" s="979">
        <v>9</v>
      </c>
      <c r="E529" s="979">
        <v>2216</v>
      </c>
      <c r="F529" s="979" t="s">
        <v>4426</v>
      </c>
      <c r="G529" s="979" t="s">
        <v>4426</v>
      </c>
      <c r="H529" s="979">
        <v>607244</v>
      </c>
      <c r="I529" s="979">
        <v>18056</v>
      </c>
      <c r="J529" s="979">
        <v>3.0407544627820814E-2</v>
      </c>
      <c r="K529" s="979">
        <v>18464.799029976424</v>
      </c>
      <c r="L529" s="979">
        <v>18056</v>
      </c>
      <c r="M529" s="979">
        <v>599</v>
      </c>
    </row>
    <row r="530" spans="1:13" ht="15">
      <c r="A530" s="979" t="s">
        <v>3453</v>
      </c>
      <c r="B530" s="1040" t="str">
        <f>CONCATENATE(LEFT(RIGHT(CONCATENATE("000",IFAData_TEA_1617!A530),6),3),"-",(RIGHT(RIGHT(CONCATENATE("000",IFAData_TEA_1617!A530),6),3)))</f>
        <v>043-911</v>
      </c>
      <c r="C530" s="979" t="s">
        <v>74</v>
      </c>
      <c r="D530" s="979">
        <v>6</v>
      </c>
      <c r="E530" s="979">
        <v>2215</v>
      </c>
      <c r="F530" s="979" t="s">
        <v>4423</v>
      </c>
      <c r="G530" s="979" t="s">
        <v>4425</v>
      </c>
      <c r="H530" s="979">
        <v>556250</v>
      </c>
      <c r="I530" s="979">
        <v>550340</v>
      </c>
      <c r="J530" s="979">
        <v>0.38621191057489673</v>
      </c>
      <c r="K530" s="979">
        <v>214830.3752572863</v>
      </c>
      <c r="L530" s="979">
        <v>214830.3752572863</v>
      </c>
      <c r="M530" s="979">
        <v>599</v>
      </c>
    </row>
    <row r="531" spans="1:13" ht="15">
      <c r="A531" s="979" t="s">
        <v>3453</v>
      </c>
      <c r="B531" s="1040" t="str">
        <f>CONCATENATE(LEFT(RIGHT(CONCATENATE("000",IFAData_TEA_1617!A531),6),3),"-",(RIGHT(RIGHT(CONCATENATE("000",IFAData_TEA_1617!A531),6),3)))</f>
        <v>043-911</v>
      </c>
      <c r="C531" s="979" t="s">
        <v>74</v>
      </c>
      <c r="D531" s="979">
        <v>6</v>
      </c>
      <c r="E531" s="979">
        <v>2215</v>
      </c>
      <c r="F531" s="979" t="s">
        <v>4423</v>
      </c>
      <c r="G531" s="979" t="s">
        <v>4424</v>
      </c>
      <c r="H531" s="979">
        <v>556250</v>
      </c>
      <c r="I531" s="979">
        <v>440643</v>
      </c>
      <c r="J531" s="979">
        <v>0.30922988500100707</v>
      </c>
      <c r="K531" s="979">
        <v>172009.12353181018</v>
      </c>
      <c r="L531" s="979">
        <v>172009.12353181018</v>
      </c>
      <c r="M531" s="979">
        <v>599</v>
      </c>
    </row>
    <row r="532" spans="1:13" ht="15">
      <c r="A532" s="979" t="s">
        <v>3454</v>
      </c>
      <c r="B532" s="1040" t="str">
        <f>CONCATENATE(LEFT(RIGHT(CONCATENATE("000",IFAData_TEA_1617!A532),6),3),"-",(RIGHT(RIGHT(CONCATENATE("000",IFAData_TEA_1617!A532),6),3)))</f>
        <v>043-912</v>
      </c>
      <c r="C532" s="979" t="s">
        <v>76</v>
      </c>
      <c r="D532" s="979">
        <v>2</v>
      </c>
      <c r="E532" s="979">
        <v>2222</v>
      </c>
      <c r="F532" s="979" t="s">
        <v>4428</v>
      </c>
      <c r="G532" s="979" t="s">
        <v>4430</v>
      </c>
      <c r="H532" s="979">
        <v>210750</v>
      </c>
      <c r="I532" s="979">
        <v>258334</v>
      </c>
      <c r="J532" s="979">
        <v>0.4775217241015991</v>
      </c>
      <c r="K532" s="979">
        <v>100637.70335441201</v>
      </c>
      <c r="L532" s="979">
        <v>100637.70335441201</v>
      </c>
      <c r="M532" s="979">
        <v>599</v>
      </c>
    </row>
    <row r="533" spans="1:13" ht="15">
      <c r="A533" s="979" t="s">
        <v>3454</v>
      </c>
      <c r="B533" s="1040" t="str">
        <f>CONCATENATE(LEFT(RIGHT(CONCATENATE("000",IFAData_TEA_1617!A533),6),3),"-",(RIGHT(RIGHT(CONCATENATE("000",IFAData_TEA_1617!A533),6),3)))</f>
        <v>043-912</v>
      </c>
      <c r="C533" s="979" t="s">
        <v>76</v>
      </c>
      <c r="D533" s="979">
        <v>2</v>
      </c>
      <c r="E533" s="979">
        <v>2222</v>
      </c>
      <c r="F533" s="979" t="s">
        <v>4428</v>
      </c>
      <c r="G533" s="979" t="s">
        <v>4431</v>
      </c>
      <c r="H533" s="979">
        <v>210750</v>
      </c>
      <c r="I533" s="979">
        <v>970</v>
      </c>
      <c r="J533" s="979">
        <v>1.7930124272397406E-3</v>
      </c>
      <c r="K533" s="979">
        <v>377.87736904077536</v>
      </c>
      <c r="L533" s="979">
        <v>377.87736904077536</v>
      </c>
      <c r="M533" s="979">
        <v>599</v>
      </c>
    </row>
    <row r="534" spans="1:13" ht="15">
      <c r="A534" s="979" t="s">
        <v>3454</v>
      </c>
      <c r="B534" s="1040" t="str">
        <f>CONCATENATE(LEFT(RIGHT(CONCATENATE("000",IFAData_TEA_1617!A534),6),3),"-",(RIGHT(RIGHT(CONCATENATE("000",IFAData_TEA_1617!A534),6),3)))</f>
        <v>043-912</v>
      </c>
      <c r="C534" s="979" t="s">
        <v>76</v>
      </c>
      <c r="D534" s="979">
        <v>2</v>
      </c>
      <c r="E534" s="979">
        <v>2222</v>
      </c>
      <c r="F534" s="979" t="s">
        <v>4428</v>
      </c>
      <c r="G534" s="979" t="s">
        <v>4429</v>
      </c>
      <c r="H534" s="979">
        <v>210750</v>
      </c>
      <c r="I534" s="979">
        <v>8295</v>
      </c>
      <c r="J534" s="979">
        <v>1.5333028952529535E-2</v>
      </c>
      <c r="K534" s="979">
        <v>3231.4358517455994</v>
      </c>
      <c r="L534" s="979">
        <v>3231.4358517455994</v>
      </c>
      <c r="M534" s="979">
        <v>599</v>
      </c>
    </row>
    <row r="535" spans="1:13" ht="15">
      <c r="A535" s="979" t="s">
        <v>3454</v>
      </c>
      <c r="B535" s="1040" t="str">
        <f>CONCATENATE(LEFT(RIGHT(CONCATENATE("000",IFAData_TEA_1617!A535),6),3),"-",(RIGHT(RIGHT(CONCATENATE("000",IFAData_TEA_1617!A535),6),3)))</f>
        <v>043-912</v>
      </c>
      <c r="C535" s="979" t="s">
        <v>76</v>
      </c>
      <c r="D535" s="979">
        <v>2</v>
      </c>
      <c r="E535" s="979">
        <v>2222</v>
      </c>
      <c r="F535" s="979" t="s">
        <v>4428</v>
      </c>
      <c r="G535" s="979" t="s">
        <v>4428</v>
      </c>
      <c r="H535" s="979">
        <v>210750</v>
      </c>
      <c r="I535" s="979">
        <v>0</v>
      </c>
      <c r="J535" s="979">
        <v>0</v>
      </c>
      <c r="K535" s="979">
        <v>0</v>
      </c>
      <c r="L535" s="979">
        <v>0</v>
      </c>
      <c r="M535" s="979">
        <v>599</v>
      </c>
    </row>
    <row r="536" spans="1:13" ht="15">
      <c r="A536" s="979" t="s">
        <v>3454</v>
      </c>
      <c r="B536" s="1040" t="str">
        <f>CONCATENATE(LEFT(RIGHT(CONCATENATE("000",IFAData_TEA_1617!A536),6),3),"-",(RIGHT(RIGHT(CONCATENATE("000",IFAData_TEA_1617!A536),6),3)))</f>
        <v>043-912</v>
      </c>
      <c r="C536" s="979" t="s">
        <v>76</v>
      </c>
      <c r="D536" s="979">
        <v>2</v>
      </c>
      <c r="E536" s="979">
        <v>2222</v>
      </c>
      <c r="F536" s="979" t="s">
        <v>4428</v>
      </c>
      <c r="G536" s="979" t="s">
        <v>6219</v>
      </c>
      <c r="H536" s="979">
        <v>210750</v>
      </c>
      <c r="I536" s="979">
        <v>273390</v>
      </c>
      <c r="J536" s="979">
        <v>0.50535223451863165</v>
      </c>
      <c r="K536" s="979">
        <v>106502.98342480163</v>
      </c>
      <c r="L536" s="979">
        <v>106502.98342480163</v>
      </c>
      <c r="M536" s="979">
        <v>599</v>
      </c>
    </row>
    <row r="537" spans="1:13" ht="15">
      <c r="A537" s="979" t="s">
        <v>3455</v>
      </c>
      <c r="B537" s="1040" t="str">
        <f>CONCATENATE(LEFT(RIGHT(CONCATENATE("000",IFAData_TEA_1617!A537),6),3),"-",(RIGHT(RIGHT(CONCATENATE("000",IFAData_TEA_1617!A537),6),3)))</f>
        <v>043-914</v>
      </c>
      <c r="C537" s="979" t="s">
        <v>1132</v>
      </c>
      <c r="D537" s="979">
        <v>9</v>
      </c>
      <c r="E537" s="979">
        <v>2464</v>
      </c>
      <c r="F537" s="979" t="s">
        <v>4438</v>
      </c>
      <c r="G537" s="979" t="s">
        <v>6432</v>
      </c>
      <c r="H537" s="979">
        <v>633540</v>
      </c>
      <c r="I537" s="979">
        <v>829996</v>
      </c>
      <c r="J537" s="979">
        <v>0.38038383205102116</v>
      </c>
      <c r="K537" s="979">
        <v>240988.37295760395</v>
      </c>
      <c r="L537" s="979">
        <v>240988.37295760395</v>
      </c>
      <c r="M537" s="979">
        <v>599</v>
      </c>
    </row>
    <row r="538" spans="1:13" ht="15">
      <c r="A538" s="979" t="s">
        <v>3455</v>
      </c>
      <c r="B538" s="1040" t="str">
        <f>CONCATENATE(LEFT(RIGHT(CONCATENATE("000",IFAData_TEA_1617!A538),6),3),"-",(RIGHT(RIGHT(CONCATENATE("000",IFAData_TEA_1617!A538),6),3)))</f>
        <v>043-914</v>
      </c>
      <c r="C538" s="979" t="s">
        <v>1132</v>
      </c>
      <c r="D538" s="979">
        <v>5</v>
      </c>
      <c r="E538" s="979">
        <v>2463</v>
      </c>
      <c r="F538" s="979" t="s">
        <v>4432</v>
      </c>
      <c r="G538" s="979" t="s">
        <v>4436</v>
      </c>
      <c r="H538" s="979">
        <v>440511</v>
      </c>
      <c r="I538" s="979">
        <v>58977</v>
      </c>
      <c r="J538" s="979">
        <v>0.26549951381135883</v>
      </c>
      <c r="K538" s="979">
        <v>116955.45632855549</v>
      </c>
      <c r="L538" s="979">
        <v>58977</v>
      </c>
      <c r="M538" s="979">
        <v>599</v>
      </c>
    </row>
    <row r="539" spans="1:13" ht="15">
      <c r="A539" s="979" t="s">
        <v>3455</v>
      </c>
      <c r="B539" s="1040" t="str">
        <f>CONCATENATE(LEFT(RIGHT(CONCATENATE("000",IFAData_TEA_1617!A539),6),3),"-",(RIGHT(RIGHT(CONCATENATE("000",IFAData_TEA_1617!A539),6),3)))</f>
        <v>043-914</v>
      </c>
      <c r="C539" s="979" t="s">
        <v>1132</v>
      </c>
      <c r="D539" s="979">
        <v>9</v>
      </c>
      <c r="E539" s="979">
        <v>2464</v>
      </c>
      <c r="F539" s="979" t="s">
        <v>4438</v>
      </c>
      <c r="G539" s="979" t="s">
        <v>4438</v>
      </c>
      <c r="H539" s="979">
        <v>633540</v>
      </c>
      <c r="I539" s="979">
        <v>1352000</v>
      </c>
      <c r="J539" s="979">
        <v>0.61961616794897878</v>
      </c>
      <c r="K539" s="979">
        <v>392551.62704239599</v>
      </c>
      <c r="L539" s="979">
        <v>392551.62704239599</v>
      </c>
      <c r="M539" s="979">
        <v>599</v>
      </c>
    </row>
    <row r="540" spans="1:13" ht="15">
      <c r="A540" s="979" t="s">
        <v>3455</v>
      </c>
      <c r="B540" s="1040" t="str">
        <f>CONCATENATE(LEFT(RIGHT(CONCATENATE("000",IFAData_TEA_1617!A540),6),3),"-",(RIGHT(RIGHT(CONCATENATE("000",IFAData_TEA_1617!A540),6),3)))</f>
        <v>043-914</v>
      </c>
      <c r="C540" s="979" t="s">
        <v>1132</v>
      </c>
      <c r="D540" s="979">
        <v>5</v>
      </c>
      <c r="E540" s="979">
        <v>2463</v>
      </c>
      <c r="F540" s="979" t="s">
        <v>4432</v>
      </c>
      <c r="G540" s="979" t="s">
        <v>4435</v>
      </c>
      <c r="H540" s="979">
        <v>440511</v>
      </c>
      <c r="I540" s="979">
        <v>95872</v>
      </c>
      <c r="J540" s="979">
        <v>0.43159145748550437</v>
      </c>
      <c r="K540" s="979">
        <v>190120.78452839702</v>
      </c>
      <c r="L540" s="979">
        <v>95872</v>
      </c>
      <c r="M540" s="979">
        <v>599</v>
      </c>
    </row>
    <row r="541" spans="1:13" ht="15">
      <c r="A541" s="979" t="s">
        <v>3455</v>
      </c>
      <c r="B541" s="1040" t="str">
        <f>CONCATENATE(LEFT(RIGHT(CONCATENATE("000",IFAData_TEA_1617!A541),6),3),"-",(RIGHT(RIGHT(CONCATENATE("000",IFAData_TEA_1617!A541),6),3)))</f>
        <v>043-914</v>
      </c>
      <c r="C541" s="979" t="s">
        <v>1132</v>
      </c>
      <c r="D541" s="979">
        <v>5</v>
      </c>
      <c r="E541" s="979">
        <v>2463</v>
      </c>
      <c r="F541" s="979" t="s">
        <v>4432</v>
      </c>
      <c r="G541" s="979" t="s">
        <v>4434</v>
      </c>
      <c r="H541" s="979">
        <v>440511</v>
      </c>
      <c r="I541" s="979">
        <v>53430</v>
      </c>
      <c r="J541" s="979">
        <v>0.24052832499009616</v>
      </c>
      <c r="K541" s="979">
        <v>105955.37296971225</v>
      </c>
      <c r="L541" s="979">
        <v>53430</v>
      </c>
      <c r="M541" s="979">
        <v>599</v>
      </c>
    </row>
    <row r="542" spans="1:13" ht="15">
      <c r="A542" s="979" t="s">
        <v>3455</v>
      </c>
      <c r="B542" s="1040" t="str">
        <f>CONCATENATE(LEFT(RIGHT(CONCATENATE("000",IFAData_TEA_1617!A542),6),3),"-",(RIGHT(RIGHT(CONCATENATE("000",IFAData_TEA_1617!A542),6),3)))</f>
        <v>043-914</v>
      </c>
      <c r="C542" s="979" t="s">
        <v>1132</v>
      </c>
      <c r="D542" s="979">
        <v>9</v>
      </c>
      <c r="E542" s="979">
        <v>2465</v>
      </c>
      <c r="F542" s="979" t="s">
        <v>4437</v>
      </c>
      <c r="G542" s="979" t="s">
        <v>4436</v>
      </c>
      <c r="H542" s="979">
        <v>897102</v>
      </c>
      <c r="I542" s="979">
        <v>2510197</v>
      </c>
      <c r="J542" s="979">
        <v>1</v>
      </c>
      <c r="K542" s="979">
        <v>897102</v>
      </c>
      <c r="L542" s="979">
        <v>897102</v>
      </c>
      <c r="M542" s="979">
        <v>599</v>
      </c>
    </row>
    <row r="543" spans="1:13" ht="15">
      <c r="A543" s="979" t="s">
        <v>3455</v>
      </c>
      <c r="B543" s="1040" t="str">
        <f>CONCATENATE(LEFT(RIGHT(CONCATENATE("000",IFAData_TEA_1617!A543),6),3),"-",(RIGHT(RIGHT(CONCATENATE("000",IFAData_TEA_1617!A543),6),3)))</f>
        <v>043-914</v>
      </c>
      <c r="C543" s="979" t="s">
        <v>1132</v>
      </c>
      <c r="D543" s="979">
        <v>10</v>
      </c>
      <c r="E543" s="979">
        <v>2462</v>
      </c>
      <c r="F543" s="979" t="s">
        <v>4439</v>
      </c>
      <c r="G543" s="979" t="s">
        <v>4439</v>
      </c>
      <c r="H543" s="979">
        <v>92075</v>
      </c>
      <c r="I543" s="979">
        <v>0</v>
      </c>
      <c r="J543" s="979">
        <v>0</v>
      </c>
      <c r="K543" s="979"/>
      <c r="L543" s="979">
        <v>0</v>
      </c>
      <c r="M543" s="979">
        <v>599</v>
      </c>
    </row>
    <row r="544" spans="1:13" ht="15">
      <c r="A544" s="979" t="s">
        <v>3455</v>
      </c>
      <c r="B544" s="1040" t="str">
        <f>CONCATENATE(LEFT(RIGHT(CONCATENATE("000",IFAData_TEA_1617!A544),6),3),"-",(RIGHT(RIGHT(CONCATENATE("000",IFAData_TEA_1617!A544),6),3)))</f>
        <v>043-914</v>
      </c>
      <c r="C544" s="979" t="s">
        <v>1132</v>
      </c>
      <c r="D544" s="979">
        <v>9</v>
      </c>
      <c r="E544" s="979">
        <v>2465</v>
      </c>
      <c r="F544" s="979" t="s">
        <v>4437</v>
      </c>
      <c r="G544" s="979" t="s">
        <v>4437</v>
      </c>
      <c r="H544" s="979">
        <v>897102</v>
      </c>
      <c r="I544" s="979">
        <v>0</v>
      </c>
      <c r="J544" s="979">
        <v>0</v>
      </c>
      <c r="K544" s="979">
        <v>0</v>
      </c>
      <c r="L544" s="979">
        <v>0</v>
      </c>
      <c r="M544" s="979">
        <v>599</v>
      </c>
    </row>
    <row r="545" spans="1:13" ht="15">
      <c r="A545" s="979" t="s">
        <v>3455</v>
      </c>
      <c r="B545" s="1040" t="str">
        <f>CONCATENATE(LEFT(RIGHT(CONCATENATE("000",IFAData_TEA_1617!A545),6),3),"-",(RIGHT(RIGHT(CONCATENATE("000",IFAData_TEA_1617!A545),6),3)))</f>
        <v>043-914</v>
      </c>
      <c r="C545" s="979" t="s">
        <v>1132</v>
      </c>
      <c r="D545" s="979">
        <v>5</v>
      </c>
      <c r="E545" s="979">
        <v>2463</v>
      </c>
      <c r="F545" s="979" t="s">
        <v>4432</v>
      </c>
      <c r="G545" s="979" t="s">
        <v>4433</v>
      </c>
      <c r="H545" s="979">
        <v>440511</v>
      </c>
      <c r="I545" s="979">
        <v>0</v>
      </c>
      <c r="J545" s="979">
        <v>0</v>
      </c>
      <c r="K545" s="979">
        <v>0</v>
      </c>
      <c r="L545" s="979">
        <v>0</v>
      </c>
      <c r="M545" s="979">
        <v>599</v>
      </c>
    </row>
    <row r="546" spans="1:13" ht="15">
      <c r="A546" s="979" t="s">
        <v>3455</v>
      </c>
      <c r="B546" s="1040" t="str">
        <f>CONCATENATE(LEFT(RIGHT(CONCATENATE("000",IFAData_TEA_1617!A546),6),3),"-",(RIGHT(RIGHT(CONCATENATE("000",IFAData_TEA_1617!A546),6),3)))</f>
        <v>043-914</v>
      </c>
      <c r="C546" s="979" t="s">
        <v>1132</v>
      </c>
      <c r="D546" s="979">
        <v>5</v>
      </c>
      <c r="E546" s="979">
        <v>2463</v>
      </c>
      <c r="F546" s="979" t="s">
        <v>4432</v>
      </c>
      <c r="G546" s="979" t="s">
        <v>4432</v>
      </c>
      <c r="H546" s="979">
        <v>440511</v>
      </c>
      <c r="I546" s="979">
        <v>0</v>
      </c>
      <c r="J546" s="979">
        <v>0</v>
      </c>
      <c r="K546" s="979">
        <v>0</v>
      </c>
      <c r="L546" s="979">
        <v>0</v>
      </c>
      <c r="M546" s="979">
        <v>599</v>
      </c>
    </row>
    <row r="547" spans="1:13" ht="15">
      <c r="A547" s="979" t="s">
        <v>3455</v>
      </c>
      <c r="B547" s="1040" t="str">
        <f>CONCATENATE(LEFT(RIGHT(CONCATENATE("000",IFAData_TEA_1617!A547),6),3),"-",(RIGHT(RIGHT(CONCATENATE("000",IFAData_TEA_1617!A547),6),3)))</f>
        <v>043-914</v>
      </c>
      <c r="C547" s="979" t="s">
        <v>1132</v>
      </c>
      <c r="D547" s="979">
        <v>5</v>
      </c>
      <c r="E547" s="979">
        <v>2463</v>
      </c>
      <c r="F547" s="979" t="s">
        <v>4432</v>
      </c>
      <c r="G547" s="979" t="s">
        <v>6432</v>
      </c>
      <c r="H547" s="979">
        <v>440511</v>
      </c>
      <c r="I547" s="979">
        <v>13857</v>
      </c>
      <c r="J547" s="979">
        <v>6.2380703713040657E-2</v>
      </c>
      <c r="K547" s="979">
        <v>27479.386173335253</v>
      </c>
      <c r="L547" s="979">
        <v>13857</v>
      </c>
      <c r="M547" s="979">
        <v>599</v>
      </c>
    </row>
    <row r="548" spans="1:13" ht="15">
      <c r="A548" s="979" t="s">
        <v>3456</v>
      </c>
      <c r="B548" s="1040" t="str">
        <f>CONCATENATE(LEFT(RIGHT(CONCATENATE("000",IFAData_TEA_1617!A548),6),3),"-",(RIGHT(RIGHT(CONCATENATE("000",IFAData_TEA_1617!A548),6),3)))</f>
        <v>043-917</v>
      </c>
      <c r="C548" s="979" t="s">
        <v>1345</v>
      </c>
      <c r="D548" s="979">
        <v>6</v>
      </c>
      <c r="E548" s="979">
        <v>1624</v>
      </c>
      <c r="F548" s="979" t="s">
        <v>4443</v>
      </c>
      <c r="G548" s="979" t="s">
        <v>4444</v>
      </c>
      <c r="H548" s="979">
        <v>192252</v>
      </c>
      <c r="I548" s="979">
        <v>215078</v>
      </c>
      <c r="J548" s="979">
        <v>1</v>
      </c>
      <c r="K548" s="979">
        <v>192252</v>
      </c>
      <c r="L548" s="979">
        <v>192252</v>
      </c>
      <c r="M548" s="979">
        <v>599</v>
      </c>
    </row>
    <row r="549" spans="1:13" ht="15">
      <c r="A549" s="979" t="s">
        <v>3456</v>
      </c>
      <c r="B549" s="1040" t="str">
        <f>CONCATENATE(LEFT(RIGHT(CONCATENATE("000",IFAData_TEA_1617!A549),6),3),"-",(RIGHT(RIGHT(CONCATENATE("000",IFAData_TEA_1617!A549),6),3)))</f>
        <v>043-917</v>
      </c>
      <c r="C549" s="979" t="s">
        <v>1345</v>
      </c>
      <c r="D549" s="979">
        <v>4</v>
      </c>
      <c r="E549" s="979">
        <v>1623</v>
      </c>
      <c r="F549" s="979" t="s">
        <v>4441</v>
      </c>
      <c r="G549" s="979" t="s">
        <v>4442</v>
      </c>
      <c r="H549" s="979">
        <v>172750</v>
      </c>
      <c r="I549" s="979">
        <v>0</v>
      </c>
      <c r="J549" s="979">
        <v>0</v>
      </c>
      <c r="K549" s="979">
        <v>0</v>
      </c>
      <c r="L549" s="979">
        <v>0</v>
      </c>
      <c r="M549" s="979">
        <v>599</v>
      </c>
    </row>
    <row r="550" spans="1:13" ht="15">
      <c r="A550" s="979" t="s">
        <v>3456</v>
      </c>
      <c r="B550" s="1040" t="str">
        <f>CONCATENATE(LEFT(RIGHT(CONCATENATE("000",IFAData_TEA_1617!A550),6),3),"-",(RIGHT(RIGHT(CONCATENATE("000",IFAData_TEA_1617!A550),6),3)))</f>
        <v>043-917</v>
      </c>
      <c r="C550" s="979" t="s">
        <v>1345</v>
      </c>
      <c r="D550" s="979">
        <v>4</v>
      </c>
      <c r="E550" s="979">
        <v>1623</v>
      </c>
      <c r="F550" s="979" t="s">
        <v>4441</v>
      </c>
      <c r="G550" s="979" t="s">
        <v>4441</v>
      </c>
      <c r="H550" s="979">
        <v>172750</v>
      </c>
      <c r="I550" s="979">
        <v>0</v>
      </c>
      <c r="J550" s="979">
        <v>0</v>
      </c>
      <c r="K550" s="979">
        <v>0</v>
      </c>
      <c r="L550" s="979">
        <v>0</v>
      </c>
      <c r="M550" s="979">
        <v>599</v>
      </c>
    </row>
    <row r="551" spans="1:13" ht="15">
      <c r="A551" s="979" t="s">
        <v>3456</v>
      </c>
      <c r="B551" s="1040" t="str">
        <f>CONCATENATE(LEFT(RIGHT(CONCATENATE("000",IFAData_TEA_1617!A551),6),3),"-",(RIGHT(RIGHT(CONCATENATE("000",IFAData_TEA_1617!A551),6),3)))</f>
        <v>043-917</v>
      </c>
      <c r="C551" s="979" t="s">
        <v>1345</v>
      </c>
      <c r="D551" s="979">
        <v>10</v>
      </c>
      <c r="E551" s="979">
        <v>1622</v>
      </c>
      <c r="F551" s="979" t="s">
        <v>4445</v>
      </c>
      <c r="G551" s="979" t="s">
        <v>4445</v>
      </c>
      <c r="H551" s="979">
        <v>158475</v>
      </c>
      <c r="I551" s="979">
        <v>342100</v>
      </c>
      <c r="J551" s="979">
        <v>1</v>
      </c>
      <c r="K551" s="979">
        <v>158475</v>
      </c>
      <c r="L551" s="979">
        <v>158475</v>
      </c>
      <c r="M551" s="979">
        <v>599</v>
      </c>
    </row>
    <row r="552" spans="1:13" ht="15">
      <c r="A552" s="979" t="s">
        <v>3456</v>
      </c>
      <c r="B552" s="1040" t="str">
        <f>CONCATENATE(LEFT(RIGHT(CONCATENATE("000",IFAData_TEA_1617!A552),6),3),"-",(RIGHT(RIGHT(CONCATENATE("000",IFAData_TEA_1617!A552),6),3)))</f>
        <v>043-917</v>
      </c>
      <c r="C552" s="979" t="s">
        <v>1345</v>
      </c>
      <c r="D552" s="979">
        <v>4</v>
      </c>
      <c r="E552" s="979">
        <v>1623</v>
      </c>
      <c r="F552" s="979" t="s">
        <v>4441</v>
      </c>
      <c r="G552" s="979" t="s">
        <v>6433</v>
      </c>
      <c r="H552" s="979">
        <v>172750</v>
      </c>
      <c r="I552" s="979">
        <v>231288</v>
      </c>
      <c r="J552" s="979">
        <v>1</v>
      </c>
      <c r="K552" s="979">
        <v>172750</v>
      </c>
      <c r="L552" s="979">
        <v>172750</v>
      </c>
      <c r="M552" s="979">
        <v>599</v>
      </c>
    </row>
    <row r="553" spans="1:13" ht="15">
      <c r="A553" s="979" t="s">
        <v>3456</v>
      </c>
      <c r="B553" s="1040" t="str">
        <f>CONCATENATE(LEFT(RIGHT(CONCATENATE("000",IFAData_TEA_1617!A553),6),3),"-",(RIGHT(RIGHT(CONCATENATE("000",IFAData_TEA_1617!A553),6),3)))</f>
        <v>043-917</v>
      </c>
      <c r="C553" s="979" t="s">
        <v>1345</v>
      </c>
      <c r="D553" s="979">
        <v>6</v>
      </c>
      <c r="E553" s="979">
        <v>1624</v>
      </c>
      <c r="F553" s="979" t="s">
        <v>4443</v>
      </c>
      <c r="G553" s="979" t="s">
        <v>4443</v>
      </c>
      <c r="H553" s="979">
        <v>192252</v>
      </c>
      <c r="I553" s="979">
        <v>0</v>
      </c>
      <c r="J553" s="979">
        <v>0</v>
      </c>
      <c r="K553" s="979">
        <v>0</v>
      </c>
      <c r="L553" s="979">
        <v>0</v>
      </c>
      <c r="M553" s="979">
        <v>599</v>
      </c>
    </row>
    <row r="554" spans="1:13" ht="15">
      <c r="A554" s="979" t="s">
        <v>3456</v>
      </c>
      <c r="B554" s="1040" t="str">
        <f>CONCATENATE(LEFT(RIGHT(CONCATENATE("000",IFAData_TEA_1617!A554),6),3),"-",(RIGHT(RIGHT(CONCATENATE("000",IFAData_TEA_1617!A554),6),3)))</f>
        <v>043-917</v>
      </c>
      <c r="C554" s="979" t="s">
        <v>1345</v>
      </c>
      <c r="D554" s="979">
        <v>2</v>
      </c>
      <c r="E554" s="979">
        <v>1621</v>
      </c>
      <c r="F554" s="979" t="s">
        <v>4440</v>
      </c>
      <c r="G554" s="979" t="s">
        <v>4440</v>
      </c>
      <c r="H554" s="979">
        <v>95044</v>
      </c>
      <c r="I554" s="979">
        <v>0</v>
      </c>
      <c r="J554" s="979">
        <v>0</v>
      </c>
      <c r="K554" s="979"/>
      <c r="L554" s="979">
        <v>0</v>
      </c>
      <c r="M554" s="979">
        <v>199</v>
      </c>
    </row>
    <row r="555" spans="1:13" ht="15">
      <c r="A555" s="979" t="s">
        <v>3457</v>
      </c>
      <c r="B555" s="1040" t="str">
        <f>CONCATENATE(LEFT(RIGHT(CONCATENATE("000",IFAData_TEA_1617!A555),6),3),"-",(RIGHT(RIGHT(CONCATENATE("000",IFAData_TEA_1617!A555),6),3)))</f>
        <v>043-918</v>
      </c>
      <c r="C555" s="979" t="s">
        <v>1551</v>
      </c>
      <c r="D555" s="979">
        <v>2</v>
      </c>
      <c r="E555" s="979">
        <v>1713</v>
      </c>
      <c r="F555" s="979" t="s">
        <v>4446</v>
      </c>
      <c r="G555" s="979" t="s">
        <v>6220</v>
      </c>
      <c r="H555" s="979">
        <v>245000</v>
      </c>
      <c r="I555" s="979">
        <v>53725</v>
      </c>
      <c r="J555" s="979">
        <v>0.13868130790218869</v>
      </c>
      <c r="K555" s="979">
        <v>33976.920436036227</v>
      </c>
      <c r="L555" s="979">
        <v>33976.920436036227</v>
      </c>
      <c r="M555" s="979">
        <v>599</v>
      </c>
    </row>
    <row r="556" spans="1:13" ht="15">
      <c r="A556" s="979" t="s">
        <v>3457</v>
      </c>
      <c r="B556" s="1040" t="str">
        <f>CONCATENATE(LEFT(RIGHT(CONCATENATE("000",IFAData_TEA_1617!A556),6),3),"-",(RIGHT(RIGHT(CONCATENATE("000",IFAData_TEA_1617!A556),6),3)))</f>
        <v>043-918</v>
      </c>
      <c r="C556" s="979" t="s">
        <v>1551</v>
      </c>
      <c r="D556" s="979">
        <v>5</v>
      </c>
      <c r="E556" s="979">
        <v>1712</v>
      </c>
      <c r="F556" s="979" t="s">
        <v>4448</v>
      </c>
      <c r="G556" s="979" t="s">
        <v>4448</v>
      </c>
      <c r="H556" s="979">
        <v>12352</v>
      </c>
      <c r="I556" s="979">
        <v>66048</v>
      </c>
      <c r="J556" s="979">
        <v>0.47519623572749314</v>
      </c>
      <c r="K556" s="979">
        <v>5869.623903705995</v>
      </c>
      <c r="L556" s="979">
        <v>5869.623903705995</v>
      </c>
      <c r="M556" s="979">
        <v>599</v>
      </c>
    </row>
    <row r="557" spans="1:13" ht="15">
      <c r="A557" s="979" t="s">
        <v>3457</v>
      </c>
      <c r="B557" s="1040" t="str">
        <f>CONCATENATE(LEFT(RIGHT(CONCATENATE("000",IFAData_TEA_1617!A557),6),3),"-",(RIGHT(RIGHT(CONCATENATE("000",IFAData_TEA_1617!A557),6),3)))</f>
        <v>043-918</v>
      </c>
      <c r="C557" s="979" t="s">
        <v>1551</v>
      </c>
      <c r="D557" s="979">
        <v>9</v>
      </c>
      <c r="E557" s="979">
        <v>1714</v>
      </c>
      <c r="F557" s="979" t="s">
        <v>4449</v>
      </c>
      <c r="G557" s="979" t="s">
        <v>6220</v>
      </c>
      <c r="H557" s="979">
        <v>347968</v>
      </c>
      <c r="I557" s="979">
        <v>237090</v>
      </c>
      <c r="J557" s="979">
        <v>0.2892322031127626</v>
      </c>
      <c r="K557" s="979">
        <v>100643.55125274177</v>
      </c>
      <c r="L557" s="979">
        <v>100643.55125274177</v>
      </c>
      <c r="M557" s="979">
        <v>599</v>
      </c>
    </row>
    <row r="558" spans="1:13" ht="15">
      <c r="A558" s="979" t="s">
        <v>3457</v>
      </c>
      <c r="B558" s="1040" t="str">
        <f>CONCATENATE(LEFT(RIGHT(CONCATENATE("000",IFAData_TEA_1617!A558),6),3),"-",(RIGHT(RIGHT(CONCATENATE("000",IFAData_TEA_1617!A558),6),3)))</f>
        <v>043-918</v>
      </c>
      <c r="C558" s="979" t="s">
        <v>1551</v>
      </c>
      <c r="D558" s="979">
        <v>2</v>
      </c>
      <c r="E558" s="979">
        <v>1713</v>
      </c>
      <c r="F558" s="979" t="s">
        <v>4446</v>
      </c>
      <c r="G558" s="979" t="s">
        <v>4447</v>
      </c>
      <c r="H558" s="979">
        <v>245000</v>
      </c>
      <c r="I558" s="979">
        <v>0</v>
      </c>
      <c r="J558" s="979">
        <v>0</v>
      </c>
      <c r="K558" s="979">
        <v>0</v>
      </c>
      <c r="L558" s="979">
        <v>0</v>
      </c>
      <c r="M558" s="979">
        <v>599</v>
      </c>
    </row>
    <row r="559" spans="1:13" ht="15">
      <c r="A559" s="979" t="s">
        <v>3457</v>
      </c>
      <c r="B559" s="1040" t="str">
        <f>CONCATENATE(LEFT(RIGHT(CONCATENATE("000",IFAData_TEA_1617!A559),6),3),"-",(RIGHT(RIGHT(CONCATENATE("000",IFAData_TEA_1617!A559),6),3)))</f>
        <v>043-918</v>
      </c>
      <c r="C559" s="979" t="s">
        <v>1551</v>
      </c>
      <c r="D559" s="979">
        <v>5</v>
      </c>
      <c r="E559" s="979">
        <v>1712</v>
      </c>
      <c r="F559" s="979" t="s">
        <v>4448</v>
      </c>
      <c r="G559" s="979" t="s">
        <v>6434</v>
      </c>
      <c r="H559" s="979">
        <v>12352</v>
      </c>
      <c r="I559" s="979">
        <v>72943</v>
      </c>
      <c r="J559" s="979">
        <v>0.52480376427250686</v>
      </c>
      <c r="K559" s="979">
        <v>6482.376096294005</v>
      </c>
      <c r="L559" s="979">
        <v>6482.376096294005</v>
      </c>
      <c r="M559" s="979">
        <v>599</v>
      </c>
    </row>
    <row r="560" spans="1:13" ht="15">
      <c r="A560" s="979" t="s">
        <v>3457</v>
      </c>
      <c r="B560" s="1040" t="str">
        <f>CONCATENATE(LEFT(RIGHT(CONCATENATE("000",IFAData_TEA_1617!A560),6),3),"-",(RIGHT(RIGHT(CONCATENATE("000",IFAData_TEA_1617!A560),6),3)))</f>
        <v>043-918</v>
      </c>
      <c r="C560" s="979" t="s">
        <v>1551</v>
      </c>
      <c r="D560" s="979">
        <v>2</v>
      </c>
      <c r="E560" s="979">
        <v>1713</v>
      </c>
      <c r="F560" s="979" t="s">
        <v>4446</v>
      </c>
      <c r="G560" s="979" t="s">
        <v>4451</v>
      </c>
      <c r="H560" s="979">
        <v>245000</v>
      </c>
      <c r="I560" s="979">
        <v>0</v>
      </c>
      <c r="J560" s="979">
        <v>0</v>
      </c>
      <c r="K560" s="979">
        <v>0</v>
      </c>
      <c r="L560" s="979">
        <v>0</v>
      </c>
      <c r="M560" s="979">
        <v>599</v>
      </c>
    </row>
    <row r="561" spans="1:13" ht="15">
      <c r="A561" s="979" t="s">
        <v>3457</v>
      </c>
      <c r="B561" s="1040" t="str">
        <f>CONCATENATE(LEFT(RIGHT(CONCATENATE("000",IFAData_TEA_1617!A561),6),3),"-",(RIGHT(RIGHT(CONCATENATE("000",IFAData_TEA_1617!A561),6),3)))</f>
        <v>043-918</v>
      </c>
      <c r="C561" s="979" t="s">
        <v>1551</v>
      </c>
      <c r="D561" s="979">
        <v>2</v>
      </c>
      <c r="E561" s="979">
        <v>1713</v>
      </c>
      <c r="F561" s="979" t="s">
        <v>4446</v>
      </c>
      <c r="G561" s="979" t="s">
        <v>4446</v>
      </c>
      <c r="H561" s="979">
        <v>245000</v>
      </c>
      <c r="I561" s="979">
        <v>0</v>
      </c>
      <c r="J561" s="979">
        <v>0</v>
      </c>
      <c r="K561" s="979">
        <v>0</v>
      </c>
      <c r="L561" s="979">
        <v>0</v>
      </c>
      <c r="M561" s="979">
        <v>599</v>
      </c>
    </row>
    <row r="562" spans="1:13" ht="15">
      <c r="A562" s="979" t="s">
        <v>3457</v>
      </c>
      <c r="B562" s="1040" t="str">
        <f>CONCATENATE(LEFT(RIGHT(CONCATENATE("000",IFAData_TEA_1617!A562),6),3),"-",(RIGHT(RIGHT(CONCATENATE("000",IFAData_TEA_1617!A562),6),3)))</f>
        <v>043-918</v>
      </c>
      <c r="C562" s="979" t="s">
        <v>1551</v>
      </c>
      <c r="D562" s="979">
        <v>9</v>
      </c>
      <c r="E562" s="979">
        <v>1714</v>
      </c>
      <c r="F562" s="979" t="s">
        <v>4449</v>
      </c>
      <c r="G562" s="979" t="s">
        <v>6435</v>
      </c>
      <c r="H562" s="979">
        <v>347968</v>
      </c>
      <c r="I562" s="979">
        <v>183921</v>
      </c>
      <c r="J562" s="979">
        <v>0.2243699693310659</v>
      </c>
      <c r="K562" s="979">
        <v>78073.569488192341</v>
      </c>
      <c r="L562" s="979">
        <v>78073.569488192341</v>
      </c>
      <c r="M562" s="979">
        <v>599</v>
      </c>
    </row>
    <row r="563" spans="1:13" ht="15">
      <c r="A563" s="979" t="s">
        <v>3457</v>
      </c>
      <c r="B563" s="1040" t="str">
        <f>CONCATENATE(LEFT(RIGHT(CONCATENATE("000",IFAData_TEA_1617!A563),6),3),"-",(RIGHT(RIGHT(CONCATENATE("000",IFAData_TEA_1617!A563),6),3)))</f>
        <v>043-918</v>
      </c>
      <c r="C563" s="979" t="s">
        <v>1551</v>
      </c>
      <c r="D563" s="979">
        <v>2</v>
      </c>
      <c r="E563" s="979">
        <v>1713</v>
      </c>
      <c r="F563" s="979" t="s">
        <v>4446</v>
      </c>
      <c r="G563" s="979" t="s">
        <v>6435</v>
      </c>
      <c r="H563" s="979">
        <v>245000</v>
      </c>
      <c r="I563" s="979">
        <v>41669</v>
      </c>
      <c r="J563" s="979">
        <v>0.10756093846396093</v>
      </c>
      <c r="K563" s="979">
        <v>26352.429923670428</v>
      </c>
      <c r="L563" s="979">
        <v>26352.429923670428</v>
      </c>
      <c r="M563" s="979">
        <v>599</v>
      </c>
    </row>
    <row r="564" spans="1:13" ht="15">
      <c r="A564" s="979" t="s">
        <v>3457</v>
      </c>
      <c r="B564" s="1040" t="str">
        <f>CONCATENATE(LEFT(RIGHT(CONCATENATE("000",IFAData_TEA_1617!A564),6),3),"-",(RIGHT(RIGHT(CONCATENATE("000",IFAData_TEA_1617!A564),6),3)))</f>
        <v>043-918</v>
      </c>
      <c r="C564" s="979" t="s">
        <v>1551</v>
      </c>
      <c r="D564" s="979">
        <v>9</v>
      </c>
      <c r="E564" s="979">
        <v>1714</v>
      </c>
      <c r="F564" s="979" t="s">
        <v>4449</v>
      </c>
      <c r="G564" s="979" t="s">
        <v>4449</v>
      </c>
      <c r="H564" s="979">
        <v>347968</v>
      </c>
      <c r="I564" s="979">
        <v>398711</v>
      </c>
      <c r="J564" s="979">
        <v>0.4863978275561715</v>
      </c>
      <c r="K564" s="979">
        <v>169250.8792590659</v>
      </c>
      <c r="L564" s="979">
        <v>169250.8792590659</v>
      </c>
      <c r="M564" s="979">
        <v>599</v>
      </c>
    </row>
    <row r="565" spans="1:13" ht="15">
      <c r="A565" s="979" t="s">
        <v>3457</v>
      </c>
      <c r="B565" s="1040" t="str">
        <f>CONCATENATE(LEFT(RIGHT(CONCATENATE("000",IFAData_TEA_1617!A565),6),3),"-",(RIGHT(RIGHT(CONCATENATE("000",IFAData_TEA_1617!A565),6),3)))</f>
        <v>043-918</v>
      </c>
      <c r="C565" s="979" t="s">
        <v>1551</v>
      </c>
      <c r="D565" s="979">
        <v>2</v>
      </c>
      <c r="E565" s="979">
        <v>1713</v>
      </c>
      <c r="F565" s="979" t="s">
        <v>4446</v>
      </c>
      <c r="G565" s="979" t="s">
        <v>4448</v>
      </c>
      <c r="H565" s="979">
        <v>245000</v>
      </c>
      <c r="I565" s="979">
        <v>0</v>
      </c>
      <c r="J565" s="979">
        <v>0</v>
      </c>
      <c r="K565" s="979">
        <v>0</v>
      </c>
      <c r="L565" s="979">
        <v>0</v>
      </c>
      <c r="M565" s="979">
        <v>599</v>
      </c>
    </row>
    <row r="566" spans="1:13" ht="15">
      <c r="A566" s="979" t="s">
        <v>3457</v>
      </c>
      <c r="B566" s="1040" t="str">
        <f>CONCATENATE(LEFT(RIGHT(CONCATENATE("000",IFAData_TEA_1617!A566),6),3),"-",(RIGHT(RIGHT(CONCATENATE("000",IFAData_TEA_1617!A566),6),3)))</f>
        <v>043-918</v>
      </c>
      <c r="C566" s="979" t="s">
        <v>1551</v>
      </c>
      <c r="D566" s="979">
        <v>2</v>
      </c>
      <c r="E566" s="979">
        <v>1713</v>
      </c>
      <c r="F566" s="979" t="s">
        <v>4446</v>
      </c>
      <c r="G566" s="979" t="s">
        <v>4450</v>
      </c>
      <c r="H566" s="979">
        <v>245000</v>
      </c>
      <c r="I566" s="979">
        <v>0</v>
      </c>
      <c r="J566" s="979">
        <v>0</v>
      </c>
      <c r="K566" s="979">
        <v>0</v>
      </c>
      <c r="L566" s="979">
        <v>0</v>
      </c>
      <c r="M566" s="979">
        <v>599</v>
      </c>
    </row>
    <row r="567" spans="1:13" ht="15">
      <c r="A567" s="979" t="s">
        <v>3457</v>
      </c>
      <c r="B567" s="1040" t="str">
        <f>CONCATENATE(LEFT(RIGHT(CONCATENATE("000",IFAData_TEA_1617!A567),6),3),"-",(RIGHT(RIGHT(CONCATENATE("000",IFAData_TEA_1617!A567),6),3)))</f>
        <v>043-918</v>
      </c>
      <c r="C567" s="979" t="s">
        <v>1551</v>
      </c>
      <c r="D567" s="979">
        <v>2</v>
      </c>
      <c r="E567" s="979">
        <v>1713</v>
      </c>
      <c r="F567" s="979" t="s">
        <v>4446</v>
      </c>
      <c r="G567" s="979" t="s">
        <v>6434</v>
      </c>
      <c r="H567" s="979">
        <v>245000</v>
      </c>
      <c r="I567" s="979">
        <v>7644</v>
      </c>
      <c r="J567" s="979">
        <v>1.9731594557549192E-2</v>
      </c>
      <c r="K567" s="979">
        <v>4834.2406665995522</v>
      </c>
      <c r="L567" s="979">
        <v>4834.2406665995522</v>
      </c>
      <c r="M567" s="979">
        <v>599</v>
      </c>
    </row>
    <row r="568" spans="1:13" ht="15">
      <c r="A568" s="979" t="s">
        <v>3457</v>
      </c>
      <c r="B568" s="1040" t="str">
        <f>CONCATENATE(LEFT(RIGHT(CONCATENATE("000",IFAData_TEA_1617!A568),6),3),"-",(RIGHT(RIGHT(CONCATENATE("000",IFAData_TEA_1617!A568),6),3)))</f>
        <v>043-918</v>
      </c>
      <c r="C568" s="979" t="s">
        <v>1551</v>
      </c>
      <c r="D568" s="979">
        <v>2</v>
      </c>
      <c r="E568" s="979">
        <v>1713</v>
      </c>
      <c r="F568" s="979" t="s">
        <v>4446</v>
      </c>
      <c r="G568" s="979" t="s">
        <v>4449</v>
      </c>
      <c r="H568" s="979">
        <v>245000</v>
      </c>
      <c r="I568" s="979">
        <v>284361</v>
      </c>
      <c r="J568" s="979">
        <v>0.7340261590763012</v>
      </c>
      <c r="K568" s="979">
        <v>179836.40897369379</v>
      </c>
      <c r="L568" s="979">
        <v>179836.40897369379</v>
      </c>
      <c r="M568" s="979">
        <v>599</v>
      </c>
    </row>
    <row r="569" spans="1:13" ht="15">
      <c r="A569" s="979" t="s">
        <v>3458</v>
      </c>
      <c r="B569" s="1040" t="str">
        <f>CONCATENATE(LEFT(RIGHT(CONCATENATE("000",IFAData_TEA_1617!A569),6),3),"-",(RIGHT(RIGHT(CONCATENATE("000",IFAData_TEA_1617!A569),6),3)))</f>
        <v>045-902</v>
      </c>
      <c r="C569" s="979" t="s">
        <v>1549</v>
      </c>
      <c r="D569" s="979">
        <v>2</v>
      </c>
      <c r="E569" s="979">
        <v>1709</v>
      </c>
      <c r="F569" s="979" t="s">
        <v>4452</v>
      </c>
      <c r="G569" s="979" t="s">
        <v>4452</v>
      </c>
      <c r="H569" s="979">
        <v>289660</v>
      </c>
      <c r="I569" s="979">
        <v>0</v>
      </c>
      <c r="J569" s="979">
        <v>0</v>
      </c>
      <c r="K569" s="979">
        <v>0</v>
      </c>
      <c r="L569" s="979">
        <v>0</v>
      </c>
      <c r="M569" s="979">
        <v>599</v>
      </c>
    </row>
    <row r="570" spans="1:13" ht="15">
      <c r="A570" s="979" t="s">
        <v>3458</v>
      </c>
      <c r="B570" s="1040" t="str">
        <f>CONCATENATE(LEFT(RIGHT(CONCATENATE("000",IFAData_TEA_1617!A570),6),3),"-",(RIGHT(RIGHT(CONCATENATE("000",IFAData_TEA_1617!A570),6),3)))</f>
        <v>045-902</v>
      </c>
      <c r="C570" s="979" t="s">
        <v>1549</v>
      </c>
      <c r="D570" s="979">
        <v>2</v>
      </c>
      <c r="E570" s="979">
        <v>1709</v>
      </c>
      <c r="F570" s="979" t="s">
        <v>4452</v>
      </c>
      <c r="G570" s="979" t="s">
        <v>4453</v>
      </c>
      <c r="H570" s="979">
        <v>289660</v>
      </c>
      <c r="I570" s="979">
        <v>320480</v>
      </c>
      <c r="J570" s="979">
        <v>1</v>
      </c>
      <c r="K570" s="979">
        <v>289660</v>
      </c>
      <c r="L570" s="979">
        <v>289660</v>
      </c>
      <c r="M570" s="979">
        <v>599</v>
      </c>
    </row>
    <row r="571" spans="1:13" ht="15">
      <c r="A571" s="979" t="s">
        <v>3459</v>
      </c>
      <c r="B571" s="1040" t="str">
        <f>CONCATENATE(LEFT(RIGHT(CONCATENATE("000",IFAData_TEA_1617!A571),6),3),"-",(RIGHT(RIGHT(CONCATENATE("000",IFAData_TEA_1617!A571),6),3)))</f>
        <v>046-901</v>
      </c>
      <c r="C571" s="979" t="s">
        <v>2206</v>
      </c>
      <c r="D571" s="979">
        <v>9</v>
      </c>
      <c r="E571" s="979">
        <v>2135</v>
      </c>
      <c r="F571" s="979" t="s">
        <v>4454</v>
      </c>
      <c r="G571" s="979" t="s">
        <v>4455</v>
      </c>
      <c r="H571" s="979">
        <v>1200408</v>
      </c>
      <c r="I571" s="979">
        <v>307475</v>
      </c>
      <c r="J571" s="979">
        <v>0.33092500791055796</v>
      </c>
      <c r="K571" s="979">
        <v>397245.02689589706</v>
      </c>
      <c r="L571" s="979">
        <v>307475</v>
      </c>
      <c r="M571" s="979">
        <v>599</v>
      </c>
    </row>
    <row r="572" spans="1:13" ht="15">
      <c r="A572" s="979" t="s">
        <v>3459</v>
      </c>
      <c r="B572" s="1040" t="str">
        <f>CONCATENATE(LEFT(RIGHT(CONCATENATE("000",IFAData_TEA_1617!A572),6),3),"-",(RIGHT(RIGHT(CONCATENATE("000",IFAData_TEA_1617!A572),6),3)))</f>
        <v>046-901</v>
      </c>
      <c r="C572" s="979" t="s">
        <v>2206</v>
      </c>
      <c r="D572" s="979">
        <v>9</v>
      </c>
      <c r="E572" s="979">
        <v>2135</v>
      </c>
      <c r="F572" s="979" t="s">
        <v>4454</v>
      </c>
      <c r="G572" s="979" t="s">
        <v>4456</v>
      </c>
      <c r="H572" s="979">
        <v>1200408</v>
      </c>
      <c r="I572" s="979">
        <v>438438</v>
      </c>
      <c r="J572" s="979">
        <v>0.47187608299305378</v>
      </c>
      <c r="K572" s="979">
        <v>566443.8250335257</v>
      </c>
      <c r="L572" s="979">
        <v>438438</v>
      </c>
      <c r="M572" s="979">
        <v>599</v>
      </c>
    </row>
    <row r="573" spans="1:13" ht="15">
      <c r="A573" s="979" t="s">
        <v>3459</v>
      </c>
      <c r="B573" s="1040" t="str">
        <f>CONCATENATE(LEFT(RIGHT(CONCATENATE("000",IFAData_TEA_1617!A573),6),3),"-",(RIGHT(RIGHT(CONCATENATE("000",IFAData_TEA_1617!A573),6),3)))</f>
        <v>046-901</v>
      </c>
      <c r="C573" s="979" t="s">
        <v>2206</v>
      </c>
      <c r="D573" s="979">
        <v>9</v>
      </c>
      <c r="E573" s="979">
        <v>2135</v>
      </c>
      <c r="F573" s="979" t="s">
        <v>4454</v>
      </c>
      <c r="G573" s="979" t="s">
        <v>4454</v>
      </c>
      <c r="H573" s="979">
        <v>1200408</v>
      </c>
      <c r="I573" s="979">
        <v>0</v>
      </c>
      <c r="J573" s="979">
        <v>0</v>
      </c>
      <c r="K573" s="979">
        <v>0</v>
      </c>
      <c r="L573" s="979">
        <v>0</v>
      </c>
      <c r="M573" s="979">
        <v>599</v>
      </c>
    </row>
    <row r="574" spans="1:13" ht="15">
      <c r="A574" s="979" t="s">
        <v>3459</v>
      </c>
      <c r="B574" s="1040" t="str">
        <f>CONCATENATE(LEFT(RIGHT(CONCATENATE("000",IFAData_TEA_1617!A574),6),3),"-",(RIGHT(RIGHT(CONCATENATE("000",IFAData_TEA_1617!A574),6),3)))</f>
        <v>046-901</v>
      </c>
      <c r="C574" s="979" t="s">
        <v>2206</v>
      </c>
      <c r="D574" s="979">
        <v>9</v>
      </c>
      <c r="E574" s="979">
        <v>2135</v>
      </c>
      <c r="F574" s="979" t="s">
        <v>4454</v>
      </c>
      <c r="G574" s="979" t="s">
        <v>6221</v>
      </c>
      <c r="H574" s="979">
        <v>1200408</v>
      </c>
      <c r="I574" s="979">
        <v>183225</v>
      </c>
      <c r="J574" s="979">
        <v>0.19719890909638826</v>
      </c>
      <c r="K574" s="979">
        <v>236719.14807057724</v>
      </c>
      <c r="L574" s="979">
        <v>183225</v>
      </c>
      <c r="M574" s="979">
        <v>599</v>
      </c>
    </row>
    <row r="575" spans="1:13" ht="15">
      <c r="A575" s="979" t="s">
        <v>3460</v>
      </c>
      <c r="B575" s="1040" t="str">
        <f>CONCATENATE(LEFT(RIGHT(CONCATENATE("000",IFAData_TEA_1617!A575),6),3),"-",(RIGHT(RIGHT(CONCATENATE("000",IFAData_TEA_1617!A575),6),3)))</f>
        <v>047-901</v>
      </c>
      <c r="C575" s="979" t="s">
        <v>2208</v>
      </c>
      <c r="D575" s="979">
        <v>9</v>
      </c>
      <c r="E575" s="979">
        <v>1710</v>
      </c>
      <c r="F575" s="979" t="s">
        <v>4457</v>
      </c>
      <c r="G575" s="979" t="s">
        <v>6222</v>
      </c>
      <c r="H575" s="979">
        <v>312761</v>
      </c>
      <c r="I575" s="979">
        <v>401450</v>
      </c>
      <c r="J575" s="979">
        <v>1</v>
      </c>
      <c r="K575" s="979">
        <v>312761</v>
      </c>
      <c r="L575" s="979">
        <v>312761</v>
      </c>
      <c r="M575" s="979">
        <v>599</v>
      </c>
    </row>
    <row r="576" spans="1:13" ht="15">
      <c r="A576" s="979" t="s">
        <v>3460</v>
      </c>
      <c r="B576" s="1040" t="str">
        <f>CONCATENATE(LEFT(RIGHT(CONCATENATE("000",IFAData_TEA_1617!A576),6),3),"-",(RIGHT(RIGHT(CONCATENATE("000",IFAData_TEA_1617!A576),6),3)))</f>
        <v>047-901</v>
      </c>
      <c r="C576" s="979" t="s">
        <v>2208</v>
      </c>
      <c r="D576" s="979">
        <v>9</v>
      </c>
      <c r="E576" s="979">
        <v>1710</v>
      </c>
      <c r="F576" s="979" t="s">
        <v>4457</v>
      </c>
      <c r="G576" s="979" t="s">
        <v>4457</v>
      </c>
      <c r="H576" s="979">
        <v>312761</v>
      </c>
      <c r="I576" s="979">
        <v>0</v>
      </c>
      <c r="J576" s="979">
        <v>0</v>
      </c>
      <c r="K576" s="979">
        <v>0</v>
      </c>
      <c r="L576" s="979">
        <v>0</v>
      </c>
      <c r="M576" s="979">
        <v>599</v>
      </c>
    </row>
    <row r="577" spans="1:13" ht="15">
      <c r="A577" s="979" t="s">
        <v>3461</v>
      </c>
      <c r="B577" s="1040" t="str">
        <f>CONCATENATE(LEFT(RIGHT(CONCATENATE("000",IFAData_TEA_1617!A577),6),3),"-",(RIGHT(RIGHT(CONCATENATE("000",IFAData_TEA_1617!A577),6),3)))</f>
        <v>047-902</v>
      </c>
      <c r="C577" s="979" t="s">
        <v>2665</v>
      </c>
      <c r="D577" s="979">
        <v>10</v>
      </c>
      <c r="E577" s="979">
        <v>1749</v>
      </c>
      <c r="F577" s="979" t="s">
        <v>4459</v>
      </c>
      <c r="G577" s="979" t="s">
        <v>4459</v>
      </c>
      <c r="H577" s="979">
        <v>157394</v>
      </c>
      <c r="I577" s="979">
        <v>387313</v>
      </c>
      <c r="J577" s="979">
        <v>1</v>
      </c>
      <c r="K577" s="979">
        <v>157394</v>
      </c>
      <c r="L577" s="979">
        <v>157394</v>
      </c>
      <c r="M577" s="979">
        <v>599</v>
      </c>
    </row>
    <row r="578" spans="1:13" ht="15">
      <c r="A578" s="979" t="s">
        <v>3461</v>
      </c>
      <c r="B578" s="1040" t="str">
        <f>CONCATENATE(LEFT(RIGHT(CONCATENATE("000",IFAData_TEA_1617!A578),6),3),"-",(RIGHT(RIGHT(CONCATENATE("000",IFAData_TEA_1617!A578),6),3)))</f>
        <v>047-902</v>
      </c>
      <c r="C578" s="979" t="s">
        <v>2665</v>
      </c>
      <c r="D578" s="979">
        <v>2</v>
      </c>
      <c r="E578" s="979">
        <v>1748</v>
      </c>
      <c r="F578" s="979" t="s">
        <v>4458</v>
      </c>
      <c r="G578" s="979" t="s">
        <v>4458</v>
      </c>
      <c r="H578" s="979">
        <v>129726</v>
      </c>
      <c r="I578" s="979">
        <v>0</v>
      </c>
      <c r="J578" s="979">
        <v>0</v>
      </c>
      <c r="K578" s="979"/>
      <c r="L578" s="979">
        <v>0</v>
      </c>
      <c r="M578" s="979">
        <v>199</v>
      </c>
    </row>
    <row r="579" spans="1:13" ht="15">
      <c r="A579" s="979" t="s">
        <v>3462</v>
      </c>
      <c r="B579" s="1040" t="str">
        <f>CONCATENATE(LEFT(RIGHT(CONCATENATE("000",IFAData_TEA_1617!A579),6),3),"-",(RIGHT(RIGHT(CONCATENATE("000",IFAData_TEA_1617!A579),6),3)))</f>
        <v>047-903</v>
      </c>
      <c r="C579" s="979" t="s">
        <v>1733</v>
      </c>
      <c r="D579" s="979">
        <v>5</v>
      </c>
      <c r="E579" s="979">
        <v>1863</v>
      </c>
      <c r="F579" s="979" t="s">
        <v>4460</v>
      </c>
      <c r="G579" s="979" t="s">
        <v>4461</v>
      </c>
      <c r="H579" s="979">
        <v>100000</v>
      </c>
      <c r="I579" s="979">
        <v>83238</v>
      </c>
      <c r="J579" s="979">
        <v>1</v>
      </c>
      <c r="K579" s="979">
        <v>100000</v>
      </c>
      <c r="L579" s="979">
        <v>83238</v>
      </c>
      <c r="M579" s="979">
        <v>599</v>
      </c>
    </row>
    <row r="580" spans="1:13" ht="15">
      <c r="A580" s="979" t="s">
        <v>3462</v>
      </c>
      <c r="B580" s="1040" t="str">
        <f>CONCATENATE(LEFT(RIGHT(CONCATENATE("000",IFAData_TEA_1617!A580),6),3),"-",(RIGHT(RIGHT(CONCATENATE("000",IFAData_TEA_1617!A580),6),3)))</f>
        <v>047-903</v>
      </c>
      <c r="C580" s="979" t="s">
        <v>1733</v>
      </c>
      <c r="D580" s="979">
        <v>5</v>
      </c>
      <c r="E580" s="979">
        <v>1863</v>
      </c>
      <c r="F580" s="979" t="s">
        <v>4460</v>
      </c>
      <c r="G580" s="979" t="s">
        <v>4460</v>
      </c>
      <c r="H580" s="979">
        <v>100000</v>
      </c>
      <c r="I580" s="979">
        <v>0</v>
      </c>
      <c r="J580" s="979">
        <v>0</v>
      </c>
      <c r="K580" s="979">
        <v>0</v>
      </c>
      <c r="L580" s="979">
        <v>0</v>
      </c>
      <c r="M580" s="979">
        <v>599</v>
      </c>
    </row>
    <row r="581" spans="1:13" ht="15">
      <c r="A581" s="979" t="s">
        <v>3463</v>
      </c>
      <c r="B581" s="1040" t="str">
        <f>CONCATENATE(LEFT(RIGHT(CONCATENATE("000",IFAData_TEA_1617!A581),6),3),"-",(RIGHT(RIGHT(CONCATENATE("000",IFAData_TEA_1617!A581),6),3)))</f>
        <v>047-905</v>
      </c>
      <c r="C581" s="979" t="s">
        <v>2209</v>
      </c>
      <c r="D581" s="979">
        <v>10</v>
      </c>
      <c r="E581" s="979">
        <v>2332</v>
      </c>
      <c r="F581" s="979" t="s">
        <v>4462</v>
      </c>
      <c r="G581" s="979" t="s">
        <v>4462</v>
      </c>
      <c r="H581" s="979">
        <v>99680</v>
      </c>
      <c r="I581" s="979">
        <v>96775</v>
      </c>
      <c r="J581" s="979">
        <v>1</v>
      </c>
      <c r="K581" s="979">
        <v>99680</v>
      </c>
      <c r="L581" s="979">
        <v>96775</v>
      </c>
      <c r="M581" s="979">
        <v>599</v>
      </c>
    </row>
    <row r="582" spans="1:13" ht="15">
      <c r="A582" s="979" t="s">
        <v>3464</v>
      </c>
      <c r="B582" s="1040" t="str">
        <f>CONCATENATE(LEFT(RIGHT(CONCATENATE("000",IFAData_TEA_1617!A582),6),3),"-",(RIGHT(RIGHT(CONCATENATE("000",IFAData_TEA_1617!A582),6),3)))</f>
        <v>049-901</v>
      </c>
      <c r="C582" s="979" t="s">
        <v>1479</v>
      </c>
      <c r="D582" s="979">
        <v>1</v>
      </c>
      <c r="E582" s="979">
        <v>1833</v>
      </c>
      <c r="F582" s="979" t="s">
        <v>4463</v>
      </c>
      <c r="G582" s="979" t="s">
        <v>4463</v>
      </c>
      <c r="H582" s="979">
        <v>301682</v>
      </c>
      <c r="I582" s="979">
        <v>0</v>
      </c>
      <c r="J582" s="979">
        <v>0</v>
      </c>
      <c r="K582" s="979">
        <v>0</v>
      </c>
      <c r="L582" s="979">
        <v>0</v>
      </c>
      <c r="M582" s="979">
        <v>599</v>
      </c>
    </row>
    <row r="583" spans="1:13" ht="15">
      <c r="A583" s="979" t="s">
        <v>3464</v>
      </c>
      <c r="B583" s="1040" t="str">
        <f>CONCATENATE(LEFT(RIGHT(CONCATENATE("000",IFAData_TEA_1617!A583),6),3),"-",(RIGHT(RIGHT(CONCATENATE("000",IFAData_TEA_1617!A583),6),3)))</f>
        <v>049-901</v>
      </c>
      <c r="C583" s="979" t="s">
        <v>1479</v>
      </c>
      <c r="D583" s="979">
        <v>1</v>
      </c>
      <c r="E583" s="979">
        <v>1833</v>
      </c>
      <c r="F583" s="979" t="s">
        <v>4463</v>
      </c>
      <c r="G583" s="979" t="s">
        <v>4464</v>
      </c>
      <c r="H583" s="979">
        <v>301682</v>
      </c>
      <c r="I583" s="979">
        <v>0</v>
      </c>
      <c r="J583" s="979">
        <v>0</v>
      </c>
      <c r="K583" s="979">
        <v>0</v>
      </c>
      <c r="L583" s="979">
        <v>0</v>
      </c>
      <c r="M583" s="979">
        <v>599</v>
      </c>
    </row>
    <row r="584" spans="1:13" ht="15">
      <c r="A584" s="979" t="s">
        <v>3464</v>
      </c>
      <c r="B584" s="1040" t="str">
        <f>CONCATENATE(LEFT(RIGHT(CONCATENATE("000",IFAData_TEA_1617!A584),6),3),"-",(RIGHT(RIGHT(CONCATENATE("000",IFAData_TEA_1617!A584),6),3)))</f>
        <v>049-901</v>
      </c>
      <c r="C584" s="979" t="s">
        <v>1479</v>
      </c>
      <c r="D584" s="979">
        <v>1</v>
      </c>
      <c r="E584" s="979">
        <v>1833</v>
      </c>
      <c r="F584" s="979" t="s">
        <v>4463</v>
      </c>
      <c r="G584" s="979" t="s">
        <v>6223</v>
      </c>
      <c r="H584" s="979">
        <v>301682</v>
      </c>
      <c r="I584" s="979">
        <v>150972</v>
      </c>
      <c r="J584" s="979">
        <v>1</v>
      </c>
      <c r="K584" s="979">
        <v>301682</v>
      </c>
      <c r="L584" s="979">
        <v>150972</v>
      </c>
      <c r="M584" s="979">
        <v>599</v>
      </c>
    </row>
    <row r="585" spans="1:13" ht="15">
      <c r="A585" s="979" t="s">
        <v>3465</v>
      </c>
      <c r="B585" s="1040" t="str">
        <f>CONCATENATE(LEFT(RIGHT(CONCATENATE("000",IFAData_TEA_1617!A585),6),3),"-",(RIGHT(RIGHT(CONCATENATE("000",IFAData_TEA_1617!A585),6),3)))</f>
        <v>049-903</v>
      </c>
      <c r="C585" s="979" t="s">
        <v>2364</v>
      </c>
      <c r="D585" s="979">
        <v>6</v>
      </c>
      <c r="E585" s="979">
        <v>2411</v>
      </c>
      <c r="F585" s="979" t="s">
        <v>4465</v>
      </c>
      <c r="G585" s="979" t="s">
        <v>4465</v>
      </c>
      <c r="H585" s="979">
        <v>163056</v>
      </c>
      <c r="I585" s="979">
        <v>0</v>
      </c>
      <c r="J585" s="979">
        <v>0</v>
      </c>
      <c r="K585" s="979">
        <v>0</v>
      </c>
      <c r="L585" s="979">
        <v>0</v>
      </c>
      <c r="M585" s="979">
        <v>599</v>
      </c>
    </row>
    <row r="586" spans="1:13" ht="15">
      <c r="A586" s="979" t="s">
        <v>3465</v>
      </c>
      <c r="B586" s="1040" t="str">
        <f>CONCATENATE(LEFT(RIGHT(CONCATENATE("000",IFAData_TEA_1617!A586),6),3),"-",(RIGHT(RIGHT(CONCATENATE("000",IFAData_TEA_1617!A586),6),3)))</f>
        <v>049-903</v>
      </c>
      <c r="C586" s="979" t="s">
        <v>2364</v>
      </c>
      <c r="D586" s="979">
        <v>6</v>
      </c>
      <c r="E586" s="979">
        <v>2411</v>
      </c>
      <c r="F586" s="979" t="s">
        <v>4465</v>
      </c>
      <c r="G586" s="979" t="s">
        <v>4466</v>
      </c>
      <c r="H586" s="979">
        <v>163056</v>
      </c>
      <c r="I586" s="979">
        <v>159469</v>
      </c>
      <c r="J586" s="979">
        <v>1</v>
      </c>
      <c r="K586" s="979">
        <v>163056</v>
      </c>
      <c r="L586" s="979">
        <v>159469</v>
      </c>
      <c r="M586" s="979">
        <v>599</v>
      </c>
    </row>
    <row r="587" spans="1:13" ht="15">
      <c r="A587" s="979" t="s">
        <v>3466</v>
      </c>
      <c r="B587" s="1040" t="str">
        <f>CONCATENATE(LEFT(RIGHT(CONCATENATE("000",IFAData_TEA_1617!A587),6),3),"-",(RIGHT(RIGHT(CONCATENATE("000",IFAData_TEA_1617!A587),6),3)))</f>
        <v>049-906</v>
      </c>
      <c r="C587" s="979" t="s">
        <v>2214</v>
      </c>
      <c r="D587" s="979">
        <v>9</v>
      </c>
      <c r="E587" s="979">
        <v>1802</v>
      </c>
      <c r="F587" s="979" t="s">
        <v>4467</v>
      </c>
      <c r="G587" s="979" t="s">
        <v>6827</v>
      </c>
      <c r="H587" s="979">
        <v>43739</v>
      </c>
      <c r="I587" s="979">
        <v>45286</v>
      </c>
      <c r="J587" s="979">
        <v>0.27378692429537016</v>
      </c>
      <c r="K587" s="979">
        <v>11975.166281755195</v>
      </c>
      <c r="L587" s="979">
        <v>11975.166281755195</v>
      </c>
      <c r="M587" s="979">
        <v>599</v>
      </c>
    </row>
    <row r="588" spans="1:13" ht="15">
      <c r="A588" s="979" t="s">
        <v>3466</v>
      </c>
      <c r="B588" s="1040" t="str">
        <f>CONCATENATE(LEFT(RIGHT(CONCATENATE("000",IFAData_TEA_1617!A588),6),3),"-",(RIGHT(RIGHT(CONCATENATE("000",IFAData_TEA_1617!A588),6),3)))</f>
        <v>049-906</v>
      </c>
      <c r="C588" s="979" t="s">
        <v>2214</v>
      </c>
      <c r="D588" s="979">
        <v>9</v>
      </c>
      <c r="E588" s="979">
        <v>1802</v>
      </c>
      <c r="F588" s="979" t="s">
        <v>4467</v>
      </c>
      <c r="G588" s="979" t="s">
        <v>4467</v>
      </c>
      <c r="H588" s="979">
        <v>43739</v>
      </c>
      <c r="I588" s="979">
        <v>120120</v>
      </c>
      <c r="J588" s="979">
        <v>0.72621307570462978</v>
      </c>
      <c r="K588" s="979">
        <v>31763.833718244801</v>
      </c>
      <c r="L588" s="979">
        <v>31763.833718244801</v>
      </c>
      <c r="M588" s="979">
        <v>599</v>
      </c>
    </row>
    <row r="589" spans="1:13" ht="15">
      <c r="A589" s="979" t="s">
        <v>3467</v>
      </c>
      <c r="B589" s="1040" t="str">
        <f>CONCATENATE(LEFT(RIGHT(CONCATENATE("000",IFAData_TEA_1617!A589),6),3),"-",(RIGHT(RIGHT(CONCATENATE("000",IFAData_TEA_1617!A589),6),3)))</f>
        <v>050-904</v>
      </c>
      <c r="C589" s="979" t="s">
        <v>261</v>
      </c>
      <c r="D589" s="979">
        <v>5</v>
      </c>
      <c r="E589" s="979">
        <v>2157</v>
      </c>
      <c r="F589" s="979" t="s">
        <v>4468</v>
      </c>
      <c r="G589" s="979" t="s">
        <v>4468</v>
      </c>
      <c r="H589" s="979">
        <v>93713</v>
      </c>
      <c r="I589" s="979">
        <v>91360</v>
      </c>
      <c r="J589" s="979">
        <v>1</v>
      </c>
      <c r="K589" s="979">
        <v>93713</v>
      </c>
      <c r="L589" s="979">
        <v>91360</v>
      </c>
      <c r="M589" s="979">
        <v>599</v>
      </c>
    </row>
    <row r="590" spans="1:13" ht="15">
      <c r="A590" s="979" t="s">
        <v>3468</v>
      </c>
      <c r="B590" s="1040" t="str">
        <f>CONCATENATE(LEFT(RIGHT(CONCATENATE("000",IFAData_TEA_1617!A590),6),3),"-",(RIGHT(RIGHT(CONCATENATE("000",IFAData_TEA_1617!A590),6),3)))</f>
        <v>050-910</v>
      </c>
      <c r="C590" s="979" t="s">
        <v>2573</v>
      </c>
      <c r="D590" s="979">
        <v>1</v>
      </c>
      <c r="E590" s="979">
        <v>1720</v>
      </c>
      <c r="F590" s="979" t="s">
        <v>4469</v>
      </c>
      <c r="G590" s="979" t="s">
        <v>6224</v>
      </c>
      <c r="H590" s="979">
        <v>767600</v>
      </c>
      <c r="I590" s="979">
        <v>971054</v>
      </c>
      <c r="J590" s="979">
        <v>0.28324535033838788</v>
      </c>
      <c r="K590" s="979">
        <v>217419.13091974653</v>
      </c>
      <c r="L590" s="979">
        <v>217419.13091974653</v>
      </c>
      <c r="M590" s="979">
        <v>599</v>
      </c>
    </row>
    <row r="591" spans="1:13" ht="15">
      <c r="A591" s="979" t="s">
        <v>3468</v>
      </c>
      <c r="B591" s="1040" t="str">
        <f>CONCATENATE(LEFT(RIGHT(CONCATENATE("000",IFAData_TEA_1617!A591),6),3),"-",(RIGHT(RIGHT(CONCATENATE("000",IFAData_TEA_1617!A591),6),3)))</f>
        <v>050-910</v>
      </c>
      <c r="C591" s="979" t="s">
        <v>2573</v>
      </c>
      <c r="D591" s="979">
        <v>1</v>
      </c>
      <c r="E591" s="979">
        <v>1720</v>
      </c>
      <c r="F591" s="979" t="s">
        <v>4469</v>
      </c>
      <c r="G591" s="979" t="s">
        <v>4471</v>
      </c>
      <c r="H591" s="979">
        <v>767600</v>
      </c>
      <c r="I591" s="979">
        <v>0</v>
      </c>
      <c r="J591" s="979">
        <v>0</v>
      </c>
      <c r="K591" s="979">
        <v>0</v>
      </c>
      <c r="L591" s="979">
        <v>0</v>
      </c>
      <c r="M591" s="979">
        <v>599</v>
      </c>
    </row>
    <row r="592" spans="1:13" ht="15">
      <c r="A592" s="979" t="s">
        <v>3468</v>
      </c>
      <c r="B592" s="1040" t="str">
        <f>CONCATENATE(LEFT(RIGHT(CONCATENATE("000",IFAData_TEA_1617!A592),6),3),"-",(RIGHT(RIGHT(CONCATENATE("000",IFAData_TEA_1617!A592),6),3)))</f>
        <v>050-910</v>
      </c>
      <c r="C592" s="979" t="s">
        <v>2573</v>
      </c>
      <c r="D592" s="979">
        <v>1</v>
      </c>
      <c r="E592" s="979">
        <v>1720</v>
      </c>
      <c r="F592" s="979" t="s">
        <v>4469</v>
      </c>
      <c r="G592" s="979" t="s">
        <v>4472</v>
      </c>
      <c r="H592" s="979">
        <v>767600</v>
      </c>
      <c r="I592" s="979">
        <v>0</v>
      </c>
      <c r="J592" s="979">
        <v>0</v>
      </c>
      <c r="K592" s="979">
        <v>0</v>
      </c>
      <c r="L592" s="979">
        <v>0</v>
      </c>
      <c r="M592" s="979">
        <v>599</v>
      </c>
    </row>
    <row r="593" spans="1:13" ht="15">
      <c r="A593" s="979" t="s">
        <v>3468</v>
      </c>
      <c r="B593" s="1040" t="str">
        <f>CONCATENATE(LEFT(RIGHT(CONCATENATE("000",IFAData_TEA_1617!A593),6),3),"-",(RIGHT(RIGHT(CONCATENATE("000",IFAData_TEA_1617!A593),6),3)))</f>
        <v>050-910</v>
      </c>
      <c r="C593" s="979" t="s">
        <v>2573</v>
      </c>
      <c r="D593" s="979">
        <v>1</v>
      </c>
      <c r="E593" s="979">
        <v>1720</v>
      </c>
      <c r="F593" s="979" t="s">
        <v>4469</v>
      </c>
      <c r="G593" s="979" t="s">
        <v>4470</v>
      </c>
      <c r="H593" s="979">
        <v>767600</v>
      </c>
      <c r="I593" s="979">
        <v>2457260</v>
      </c>
      <c r="J593" s="979">
        <v>0.71675464966161206</v>
      </c>
      <c r="K593" s="979">
        <v>550180.86908025341</v>
      </c>
      <c r="L593" s="979">
        <v>550180.86908025341</v>
      </c>
      <c r="M593" s="979">
        <v>599</v>
      </c>
    </row>
    <row r="594" spans="1:13" ht="15">
      <c r="A594" s="979" t="s">
        <v>3468</v>
      </c>
      <c r="B594" s="1040" t="str">
        <f>CONCATENATE(LEFT(RIGHT(CONCATENATE("000",IFAData_TEA_1617!A594),6),3),"-",(RIGHT(RIGHT(CONCATENATE("000",IFAData_TEA_1617!A594),6),3)))</f>
        <v>050-910</v>
      </c>
      <c r="C594" s="979" t="s">
        <v>2573</v>
      </c>
      <c r="D594" s="979">
        <v>1</v>
      </c>
      <c r="E594" s="979">
        <v>1720</v>
      </c>
      <c r="F594" s="979" t="s">
        <v>4469</v>
      </c>
      <c r="G594" s="979" t="s">
        <v>4469</v>
      </c>
      <c r="H594" s="979">
        <v>767600</v>
      </c>
      <c r="I594" s="979">
        <v>0</v>
      </c>
      <c r="J594" s="979">
        <v>0</v>
      </c>
      <c r="K594" s="979">
        <v>0</v>
      </c>
      <c r="L594" s="979">
        <v>0</v>
      </c>
      <c r="M594" s="979">
        <v>599</v>
      </c>
    </row>
    <row r="595" spans="1:13" ht="15">
      <c r="A595" s="979" t="s">
        <v>3469</v>
      </c>
      <c r="B595" s="1040" t="str">
        <f>CONCATENATE(LEFT(RIGHT(CONCATENATE("000",IFAData_TEA_1617!A595),6),3),"-",(RIGHT(RIGHT(CONCATENATE("000",IFAData_TEA_1617!A595),6),3)))</f>
        <v>057-906</v>
      </c>
      <c r="C595" s="979" t="s">
        <v>128</v>
      </c>
      <c r="D595" s="979">
        <v>9</v>
      </c>
      <c r="E595" s="979">
        <v>1752</v>
      </c>
      <c r="F595" s="979" t="s">
        <v>4473</v>
      </c>
      <c r="G595" s="979" t="s">
        <v>6436</v>
      </c>
      <c r="H595" s="979">
        <v>1796397</v>
      </c>
      <c r="I595" s="979">
        <v>1622142</v>
      </c>
      <c r="J595" s="979">
        <v>0.95636988582933657</v>
      </c>
      <c r="K595" s="979">
        <v>1718019.9937941628</v>
      </c>
      <c r="L595" s="979">
        <v>1622142</v>
      </c>
      <c r="M595" s="979">
        <v>599</v>
      </c>
    </row>
    <row r="596" spans="1:13" ht="15">
      <c r="A596" s="979" t="s">
        <v>3469</v>
      </c>
      <c r="B596" s="1040" t="str">
        <f>CONCATENATE(LEFT(RIGHT(CONCATENATE("000",IFAData_TEA_1617!A596),6),3),"-",(RIGHT(RIGHT(CONCATENATE("000",IFAData_TEA_1617!A596),6),3)))</f>
        <v>057-906</v>
      </c>
      <c r="C596" s="979" t="s">
        <v>128</v>
      </c>
      <c r="D596" s="979">
        <v>9</v>
      </c>
      <c r="E596" s="979">
        <v>1752</v>
      </c>
      <c r="F596" s="979" t="s">
        <v>4473</v>
      </c>
      <c r="G596" s="979" t="s">
        <v>4473</v>
      </c>
      <c r="H596" s="979">
        <v>1796397</v>
      </c>
      <c r="I596" s="979">
        <v>0</v>
      </c>
      <c r="J596" s="979">
        <v>0</v>
      </c>
      <c r="K596" s="979">
        <v>0</v>
      </c>
      <c r="L596" s="979">
        <v>0</v>
      </c>
      <c r="M596" s="979">
        <v>599</v>
      </c>
    </row>
    <row r="597" spans="1:13" ht="15">
      <c r="A597" s="979" t="s">
        <v>3469</v>
      </c>
      <c r="B597" s="1040" t="str">
        <f>CONCATENATE(LEFT(RIGHT(CONCATENATE("000",IFAData_TEA_1617!A597),6),3),"-",(RIGHT(RIGHT(CONCATENATE("000",IFAData_TEA_1617!A597),6),3)))</f>
        <v>057-906</v>
      </c>
      <c r="C597" s="979" t="s">
        <v>128</v>
      </c>
      <c r="D597" s="979">
        <v>9</v>
      </c>
      <c r="E597" s="979">
        <v>1752</v>
      </c>
      <c r="F597" s="979" t="s">
        <v>4473</v>
      </c>
      <c r="G597" s="979" t="s">
        <v>6437</v>
      </c>
      <c r="H597" s="979">
        <v>1796397</v>
      </c>
      <c r="I597" s="979">
        <v>74003</v>
      </c>
      <c r="J597" s="979">
        <v>4.3630114170663474E-2</v>
      </c>
      <c r="K597" s="979">
        <v>78377.006205837359</v>
      </c>
      <c r="L597" s="979">
        <v>74003</v>
      </c>
      <c r="M597" s="979">
        <v>599</v>
      </c>
    </row>
    <row r="598" spans="1:13" ht="15">
      <c r="A598" s="979" t="s">
        <v>3470</v>
      </c>
      <c r="B598" s="1040" t="str">
        <f>CONCATENATE(LEFT(RIGHT(CONCATENATE("000",IFAData_TEA_1617!A598),6),3),"-",(RIGHT(RIGHT(CONCATENATE("000",IFAData_TEA_1617!A598),6),3)))</f>
        <v>057-909</v>
      </c>
      <c r="C598" s="979" t="s">
        <v>1482</v>
      </c>
      <c r="D598" s="979">
        <v>1</v>
      </c>
      <c r="E598" s="979">
        <v>1842</v>
      </c>
      <c r="F598" s="979" t="s">
        <v>4474</v>
      </c>
      <c r="G598" s="979" t="s">
        <v>4476</v>
      </c>
      <c r="H598" s="979">
        <v>1619723</v>
      </c>
      <c r="I598" s="979">
        <v>481440</v>
      </c>
      <c r="J598" s="979">
        <v>1</v>
      </c>
      <c r="K598" s="979">
        <v>1619723</v>
      </c>
      <c r="L598" s="979">
        <v>481440</v>
      </c>
      <c r="M598" s="979">
        <v>599</v>
      </c>
    </row>
    <row r="599" spans="1:13" ht="15">
      <c r="A599" s="979" t="s">
        <v>3470</v>
      </c>
      <c r="B599" s="1040" t="str">
        <f>CONCATENATE(LEFT(RIGHT(CONCATENATE("000",IFAData_TEA_1617!A599),6),3),"-",(RIGHT(RIGHT(CONCATENATE("000",IFAData_TEA_1617!A599),6),3)))</f>
        <v>057-909</v>
      </c>
      <c r="C599" s="979" t="s">
        <v>1482</v>
      </c>
      <c r="D599" s="979">
        <v>1</v>
      </c>
      <c r="E599" s="979">
        <v>1843</v>
      </c>
      <c r="F599" s="979" t="s">
        <v>4479</v>
      </c>
      <c r="G599" s="979" t="s">
        <v>4479</v>
      </c>
      <c r="H599" s="979">
        <v>8781971</v>
      </c>
      <c r="I599" s="979">
        <v>0</v>
      </c>
      <c r="J599" s="979">
        <v>0</v>
      </c>
      <c r="K599" s="979">
        <v>0</v>
      </c>
      <c r="L599" s="979">
        <v>0</v>
      </c>
      <c r="M599" s="979">
        <v>599</v>
      </c>
    </row>
    <row r="600" spans="1:13" ht="15">
      <c r="A600" s="979" t="s">
        <v>3470</v>
      </c>
      <c r="B600" s="1040" t="str">
        <f>CONCATENATE(LEFT(RIGHT(CONCATENATE("000",IFAData_TEA_1617!A600),6),3),"-",(RIGHT(RIGHT(CONCATENATE("000",IFAData_TEA_1617!A600),6),3)))</f>
        <v>057-909</v>
      </c>
      <c r="C600" s="979" t="s">
        <v>1482</v>
      </c>
      <c r="D600" s="979">
        <v>1</v>
      </c>
      <c r="E600" s="979">
        <v>1843</v>
      </c>
      <c r="F600" s="979" t="s">
        <v>4479</v>
      </c>
      <c r="G600" s="979" t="s">
        <v>4477</v>
      </c>
      <c r="H600" s="979">
        <v>8781971</v>
      </c>
      <c r="I600" s="979">
        <v>0</v>
      </c>
      <c r="J600" s="979">
        <v>0</v>
      </c>
      <c r="K600" s="979">
        <v>0</v>
      </c>
      <c r="L600" s="979">
        <v>0</v>
      </c>
      <c r="M600" s="979">
        <v>599</v>
      </c>
    </row>
    <row r="601" spans="1:13" ht="15">
      <c r="A601" s="979" t="s">
        <v>3470</v>
      </c>
      <c r="B601" s="1040" t="str">
        <f>CONCATENATE(LEFT(RIGHT(CONCATENATE("000",IFAData_TEA_1617!A601),6),3),"-",(RIGHT(RIGHT(CONCATENATE("000",IFAData_TEA_1617!A601),6),3)))</f>
        <v>057-909</v>
      </c>
      <c r="C601" s="979" t="s">
        <v>1482</v>
      </c>
      <c r="D601" s="979">
        <v>1</v>
      </c>
      <c r="E601" s="979">
        <v>1842</v>
      </c>
      <c r="F601" s="979" t="s">
        <v>4474</v>
      </c>
      <c r="G601" s="979" t="s">
        <v>6225</v>
      </c>
      <c r="H601" s="979">
        <v>1619723</v>
      </c>
      <c r="I601" s="979">
        <v>0</v>
      </c>
      <c r="J601" s="979">
        <v>0</v>
      </c>
      <c r="K601" s="979">
        <v>0</v>
      </c>
      <c r="L601" s="979">
        <v>0</v>
      </c>
      <c r="M601" s="979">
        <v>599</v>
      </c>
    </row>
    <row r="602" spans="1:13" ht="15">
      <c r="A602" s="979" t="s">
        <v>3470</v>
      </c>
      <c r="B602" s="1040" t="str">
        <f>CONCATENATE(LEFT(RIGHT(CONCATENATE("000",IFAData_TEA_1617!A602),6),3),"-",(RIGHT(RIGHT(CONCATENATE("000",IFAData_TEA_1617!A602),6),3)))</f>
        <v>057-909</v>
      </c>
      <c r="C602" s="979" t="s">
        <v>1482</v>
      </c>
      <c r="D602" s="979">
        <v>1</v>
      </c>
      <c r="E602" s="979">
        <v>1843</v>
      </c>
      <c r="F602" s="979" t="s">
        <v>4479</v>
      </c>
      <c r="G602" s="979" t="s">
        <v>4476</v>
      </c>
      <c r="H602" s="979">
        <v>8781971</v>
      </c>
      <c r="I602" s="979">
        <v>2125823</v>
      </c>
      <c r="J602" s="979">
        <v>1</v>
      </c>
      <c r="K602" s="979">
        <v>8781971</v>
      </c>
      <c r="L602" s="979">
        <v>2125823</v>
      </c>
      <c r="M602" s="979">
        <v>599</v>
      </c>
    </row>
    <row r="603" spans="1:13" ht="15">
      <c r="A603" s="979" t="s">
        <v>3470</v>
      </c>
      <c r="B603" s="1040" t="str">
        <f>CONCATENATE(LEFT(RIGHT(CONCATENATE("000",IFAData_TEA_1617!A603),6),3),"-",(RIGHT(RIGHT(CONCATENATE("000",IFAData_TEA_1617!A603),6),3)))</f>
        <v>057-909</v>
      </c>
      <c r="C603" s="979" t="s">
        <v>1482</v>
      </c>
      <c r="D603" s="979">
        <v>1</v>
      </c>
      <c r="E603" s="979">
        <v>1843</v>
      </c>
      <c r="F603" s="979" t="s">
        <v>4479</v>
      </c>
      <c r="G603" s="979" t="s">
        <v>4475</v>
      </c>
      <c r="H603" s="979">
        <v>8781971</v>
      </c>
      <c r="I603" s="979">
        <v>0</v>
      </c>
      <c r="J603" s="979">
        <v>0</v>
      </c>
      <c r="K603" s="979">
        <v>0</v>
      </c>
      <c r="L603" s="979">
        <v>0</v>
      </c>
      <c r="M603" s="979">
        <v>599</v>
      </c>
    </row>
    <row r="604" spans="1:13" ht="15">
      <c r="A604" s="979" t="s">
        <v>3470</v>
      </c>
      <c r="B604" s="1040" t="str">
        <f>CONCATENATE(LEFT(RIGHT(CONCATENATE("000",IFAData_TEA_1617!A604),6),3),"-",(RIGHT(RIGHT(CONCATENATE("000",IFAData_TEA_1617!A604),6),3)))</f>
        <v>057-909</v>
      </c>
      <c r="C604" s="979" t="s">
        <v>1482</v>
      </c>
      <c r="D604" s="979">
        <v>1</v>
      </c>
      <c r="E604" s="979">
        <v>1842</v>
      </c>
      <c r="F604" s="979" t="s">
        <v>4474</v>
      </c>
      <c r="G604" s="979" t="s">
        <v>4477</v>
      </c>
      <c r="H604" s="979">
        <v>1619723</v>
      </c>
      <c r="I604" s="979">
        <v>0</v>
      </c>
      <c r="J604" s="979">
        <v>0</v>
      </c>
      <c r="K604" s="979">
        <v>0</v>
      </c>
      <c r="L604" s="979">
        <v>0</v>
      </c>
      <c r="M604" s="979">
        <v>599</v>
      </c>
    </row>
    <row r="605" spans="1:13" ht="15">
      <c r="A605" s="979" t="s">
        <v>3470</v>
      </c>
      <c r="B605" s="1040" t="str">
        <f>CONCATENATE(LEFT(RIGHT(CONCATENATE("000",IFAData_TEA_1617!A605),6),3),"-",(RIGHT(RIGHT(CONCATENATE("000",IFAData_TEA_1617!A605),6),3)))</f>
        <v>057-909</v>
      </c>
      <c r="C605" s="979" t="s">
        <v>1482</v>
      </c>
      <c r="D605" s="979">
        <v>1</v>
      </c>
      <c r="E605" s="979">
        <v>1843</v>
      </c>
      <c r="F605" s="979" t="s">
        <v>4479</v>
      </c>
      <c r="G605" s="979" t="s">
        <v>4478</v>
      </c>
      <c r="H605" s="979">
        <v>8781971</v>
      </c>
      <c r="I605" s="979">
        <v>0</v>
      </c>
      <c r="J605" s="979">
        <v>0</v>
      </c>
      <c r="K605" s="979">
        <v>0</v>
      </c>
      <c r="L605" s="979">
        <v>0</v>
      </c>
      <c r="M605" s="979">
        <v>599</v>
      </c>
    </row>
    <row r="606" spans="1:13" ht="15">
      <c r="A606" s="979" t="s">
        <v>3470</v>
      </c>
      <c r="B606" s="1040" t="str">
        <f>CONCATENATE(LEFT(RIGHT(CONCATENATE("000",IFAData_TEA_1617!A606),6),3),"-",(RIGHT(RIGHT(CONCATENATE("000",IFAData_TEA_1617!A606),6),3)))</f>
        <v>057-909</v>
      </c>
      <c r="C606" s="979" t="s">
        <v>1482</v>
      </c>
      <c r="D606" s="979">
        <v>1</v>
      </c>
      <c r="E606" s="979">
        <v>1842</v>
      </c>
      <c r="F606" s="979" t="s">
        <v>4474</v>
      </c>
      <c r="G606" s="979" t="s">
        <v>4475</v>
      </c>
      <c r="H606" s="979">
        <v>1619723</v>
      </c>
      <c r="I606" s="979">
        <v>0</v>
      </c>
      <c r="J606" s="979">
        <v>0</v>
      </c>
      <c r="K606" s="979">
        <v>0</v>
      </c>
      <c r="L606" s="979">
        <v>0</v>
      </c>
      <c r="M606" s="979">
        <v>599</v>
      </c>
    </row>
    <row r="607" spans="1:13" ht="15">
      <c r="A607" s="979" t="s">
        <v>3470</v>
      </c>
      <c r="B607" s="1040" t="str">
        <f>CONCATENATE(LEFT(RIGHT(CONCATENATE("000",IFAData_TEA_1617!A607),6),3),"-",(RIGHT(RIGHT(CONCATENATE("000",IFAData_TEA_1617!A607),6),3)))</f>
        <v>057-909</v>
      </c>
      <c r="C607" s="979" t="s">
        <v>1482</v>
      </c>
      <c r="D607" s="979">
        <v>1</v>
      </c>
      <c r="E607" s="979">
        <v>1843</v>
      </c>
      <c r="F607" s="979" t="s">
        <v>4479</v>
      </c>
      <c r="G607" s="979" t="s">
        <v>6225</v>
      </c>
      <c r="H607" s="979">
        <v>8781971</v>
      </c>
      <c r="I607" s="979">
        <v>0</v>
      </c>
      <c r="J607" s="979">
        <v>0</v>
      </c>
      <c r="K607" s="979">
        <v>0</v>
      </c>
      <c r="L607" s="979">
        <v>0</v>
      </c>
      <c r="M607" s="979">
        <v>599</v>
      </c>
    </row>
    <row r="608" spans="1:13" ht="15">
      <c r="A608" s="979" t="s">
        <v>3470</v>
      </c>
      <c r="B608" s="1040" t="str">
        <f>CONCATENATE(LEFT(RIGHT(CONCATENATE("000",IFAData_TEA_1617!A608),6),3),"-",(RIGHT(RIGHT(CONCATENATE("000",IFAData_TEA_1617!A608),6),3)))</f>
        <v>057-909</v>
      </c>
      <c r="C608" s="979" t="s">
        <v>1482</v>
      </c>
      <c r="D608" s="979">
        <v>1</v>
      </c>
      <c r="E608" s="979">
        <v>1842</v>
      </c>
      <c r="F608" s="979" t="s">
        <v>4474</v>
      </c>
      <c r="G608" s="979" t="s">
        <v>4478</v>
      </c>
      <c r="H608" s="979">
        <v>1619723</v>
      </c>
      <c r="I608" s="979">
        <v>0</v>
      </c>
      <c r="J608" s="979">
        <v>0</v>
      </c>
      <c r="K608" s="979">
        <v>0</v>
      </c>
      <c r="L608" s="979">
        <v>0</v>
      </c>
      <c r="M608" s="979">
        <v>599</v>
      </c>
    </row>
    <row r="609" spans="1:13" ht="15">
      <c r="A609" s="979" t="s">
        <v>3470</v>
      </c>
      <c r="B609" s="1040" t="str">
        <f>CONCATENATE(LEFT(RIGHT(CONCATENATE("000",IFAData_TEA_1617!A609),6),3),"-",(RIGHT(RIGHT(CONCATENATE("000",IFAData_TEA_1617!A609),6),3)))</f>
        <v>057-909</v>
      </c>
      <c r="C609" s="979" t="s">
        <v>1482</v>
      </c>
      <c r="D609" s="979">
        <v>1</v>
      </c>
      <c r="E609" s="979">
        <v>1842</v>
      </c>
      <c r="F609" s="979" t="s">
        <v>4474</v>
      </c>
      <c r="G609" s="979" t="s">
        <v>4474</v>
      </c>
      <c r="H609" s="979">
        <v>1619723</v>
      </c>
      <c r="I609" s="979">
        <v>0</v>
      </c>
      <c r="J609" s="979">
        <v>0</v>
      </c>
      <c r="K609" s="979">
        <v>0</v>
      </c>
      <c r="L609" s="979">
        <v>0</v>
      </c>
      <c r="M609" s="979">
        <v>599</v>
      </c>
    </row>
    <row r="610" spans="1:13" ht="15">
      <c r="A610" s="979" t="s">
        <v>3471</v>
      </c>
      <c r="B610" s="1040" t="str">
        <f>CONCATENATE(LEFT(RIGHT(CONCATENATE("000",IFAData_TEA_1617!A610),6),3),"-",(RIGHT(RIGHT(CONCATENATE("000",IFAData_TEA_1617!A610),6),3)))</f>
        <v>057-910</v>
      </c>
      <c r="C610" s="979" t="s">
        <v>863</v>
      </c>
      <c r="D610" s="979">
        <v>9</v>
      </c>
      <c r="E610" s="979">
        <v>1856</v>
      </c>
      <c r="F610" s="979" t="s">
        <v>4484</v>
      </c>
      <c r="G610" s="979" t="s">
        <v>4484</v>
      </c>
      <c r="H610" s="979">
        <v>5871653</v>
      </c>
      <c r="I610" s="979">
        <v>2119281</v>
      </c>
      <c r="J610" s="979">
        <v>0.28827609134215876</v>
      </c>
      <c r="K610" s="979">
        <v>1692657.1765574606</v>
      </c>
      <c r="L610" s="979">
        <v>1692657.1765574606</v>
      </c>
      <c r="M610" s="979">
        <v>599</v>
      </c>
    </row>
    <row r="611" spans="1:13" ht="15">
      <c r="A611" s="979" t="s">
        <v>3471</v>
      </c>
      <c r="B611" s="1040" t="str">
        <f>CONCATENATE(LEFT(RIGHT(CONCATENATE("000",IFAData_TEA_1617!A611),6),3),"-",(RIGHT(RIGHT(CONCATENATE("000",IFAData_TEA_1617!A611),6),3)))</f>
        <v>057-910</v>
      </c>
      <c r="C611" s="979" t="s">
        <v>863</v>
      </c>
      <c r="D611" s="979">
        <v>5</v>
      </c>
      <c r="E611" s="979">
        <v>1855</v>
      </c>
      <c r="F611" s="979" t="s">
        <v>4481</v>
      </c>
      <c r="G611" s="979" t="s">
        <v>4482</v>
      </c>
      <c r="H611" s="979">
        <v>2988473</v>
      </c>
      <c r="I611" s="979">
        <v>223467</v>
      </c>
      <c r="J611" s="979">
        <v>3.7665391922032755E-2</v>
      </c>
      <c r="K611" s="979">
        <v>112562.00679341299</v>
      </c>
      <c r="L611" s="979">
        <v>112562.00679341299</v>
      </c>
      <c r="M611" s="979">
        <v>599</v>
      </c>
    </row>
    <row r="612" spans="1:13" ht="15">
      <c r="A612" s="979" t="s">
        <v>3471</v>
      </c>
      <c r="B612" s="1040" t="str">
        <f>CONCATENATE(LEFT(RIGHT(CONCATENATE("000",IFAData_TEA_1617!A612),6),3),"-",(RIGHT(RIGHT(CONCATENATE("000",IFAData_TEA_1617!A612),6),3)))</f>
        <v>057-910</v>
      </c>
      <c r="C612" s="979" t="s">
        <v>863</v>
      </c>
      <c r="D612" s="979">
        <v>5</v>
      </c>
      <c r="E612" s="979">
        <v>1854</v>
      </c>
      <c r="F612" s="979" t="s">
        <v>4480</v>
      </c>
      <c r="G612" s="979" t="s">
        <v>4480</v>
      </c>
      <c r="H612" s="979">
        <v>1848646</v>
      </c>
      <c r="I612" s="979">
        <v>0</v>
      </c>
      <c r="J612" s="979">
        <v>0</v>
      </c>
      <c r="K612" s="979"/>
      <c r="L612" s="979">
        <v>0</v>
      </c>
      <c r="M612" s="979">
        <v>599</v>
      </c>
    </row>
    <row r="613" spans="1:13" ht="15">
      <c r="A613" s="979" t="s">
        <v>3471</v>
      </c>
      <c r="B613" s="1040" t="str">
        <f>CONCATENATE(LEFT(RIGHT(CONCATENATE("000",IFAData_TEA_1617!A613),6),3),"-",(RIGHT(RIGHT(CONCATENATE("000",IFAData_TEA_1617!A613),6),3)))</f>
        <v>057-910</v>
      </c>
      <c r="C613" s="979" t="s">
        <v>863</v>
      </c>
      <c r="D613" s="979">
        <v>5</v>
      </c>
      <c r="E613" s="979">
        <v>1855</v>
      </c>
      <c r="F613" s="979" t="s">
        <v>4481</v>
      </c>
      <c r="G613" s="979" t="s">
        <v>4481</v>
      </c>
      <c r="H613" s="979">
        <v>2988473</v>
      </c>
      <c r="I613" s="979">
        <v>3731470</v>
      </c>
      <c r="J613" s="979">
        <v>0.62893975394714907</v>
      </c>
      <c r="K613" s="979">
        <v>1879569.4732976984</v>
      </c>
      <c r="L613" s="979">
        <v>1879569.4732976984</v>
      </c>
      <c r="M613" s="979">
        <v>599</v>
      </c>
    </row>
    <row r="614" spans="1:13" ht="15">
      <c r="A614" s="979" t="s">
        <v>3471</v>
      </c>
      <c r="B614" s="1040" t="str">
        <f>CONCATENATE(LEFT(RIGHT(CONCATENATE("000",IFAData_TEA_1617!A614),6),3),"-",(RIGHT(RIGHT(CONCATENATE("000",IFAData_TEA_1617!A614),6),3)))</f>
        <v>057-910</v>
      </c>
      <c r="C614" s="979" t="s">
        <v>863</v>
      </c>
      <c r="D614" s="979">
        <v>5</v>
      </c>
      <c r="E614" s="979">
        <v>1855</v>
      </c>
      <c r="F614" s="979" t="s">
        <v>4481</v>
      </c>
      <c r="G614" s="979" t="s">
        <v>4483</v>
      </c>
      <c r="H614" s="979">
        <v>2988473</v>
      </c>
      <c r="I614" s="979">
        <v>1978016</v>
      </c>
      <c r="J614" s="979">
        <v>0.33339485413081815</v>
      </c>
      <c r="K614" s="979">
        <v>996341.5199088885</v>
      </c>
      <c r="L614" s="979">
        <v>996341.5199088885</v>
      </c>
      <c r="M614" s="979">
        <v>599</v>
      </c>
    </row>
    <row r="615" spans="1:13" ht="15">
      <c r="A615" s="979" t="s">
        <v>3471</v>
      </c>
      <c r="B615" s="1040" t="str">
        <f>CONCATENATE(LEFT(RIGHT(CONCATENATE("000",IFAData_TEA_1617!A615),6),3),"-",(RIGHT(RIGHT(CONCATENATE("000",IFAData_TEA_1617!A615),6),3)))</f>
        <v>057-910</v>
      </c>
      <c r="C615" s="979" t="s">
        <v>863</v>
      </c>
      <c r="D615" s="979">
        <v>9</v>
      </c>
      <c r="E615" s="979">
        <v>1856</v>
      </c>
      <c r="F615" s="979" t="s">
        <v>4484</v>
      </c>
      <c r="G615" s="979" t="s">
        <v>6226</v>
      </c>
      <c r="H615" s="979">
        <v>5871653</v>
      </c>
      <c r="I615" s="979">
        <v>5232286</v>
      </c>
      <c r="J615" s="979">
        <v>0.7117239086578413</v>
      </c>
      <c r="K615" s="979">
        <v>4178995.8234425397</v>
      </c>
      <c r="L615" s="979">
        <v>4178995.8234425397</v>
      </c>
      <c r="M615" s="979">
        <v>599</v>
      </c>
    </row>
    <row r="616" spans="1:13" ht="15">
      <c r="A616" s="979" t="s">
        <v>3472</v>
      </c>
      <c r="B616" s="1040" t="str">
        <f>CONCATENATE(LEFT(RIGHT(CONCATENATE("000",IFAData_TEA_1617!A616),6),3),"-",(RIGHT(RIGHT(CONCATENATE("000",IFAData_TEA_1617!A616),6),3)))</f>
        <v>057-912</v>
      </c>
      <c r="C616" s="979" t="s">
        <v>1269</v>
      </c>
      <c r="D616" s="979">
        <v>2</v>
      </c>
      <c r="E616" s="979">
        <v>1929</v>
      </c>
      <c r="F616" s="979" t="s">
        <v>4485</v>
      </c>
      <c r="G616" s="979" t="s">
        <v>4485</v>
      </c>
      <c r="H616" s="979">
        <v>6225000</v>
      </c>
      <c r="I616" s="979">
        <v>0</v>
      </c>
      <c r="J616" s="979">
        <v>0</v>
      </c>
      <c r="K616" s="979">
        <v>0</v>
      </c>
      <c r="L616" s="979">
        <v>0</v>
      </c>
      <c r="M616" s="979">
        <v>599</v>
      </c>
    </row>
    <row r="617" spans="1:13" ht="15">
      <c r="A617" s="979" t="s">
        <v>3472</v>
      </c>
      <c r="B617" s="1040" t="str">
        <f>CONCATENATE(LEFT(RIGHT(CONCATENATE("000",IFAData_TEA_1617!A617),6),3),"-",(RIGHT(RIGHT(CONCATENATE("000",IFAData_TEA_1617!A617),6),3)))</f>
        <v>057-912</v>
      </c>
      <c r="C617" s="979" t="s">
        <v>1269</v>
      </c>
      <c r="D617" s="979">
        <v>2</v>
      </c>
      <c r="E617" s="979">
        <v>1929</v>
      </c>
      <c r="F617" s="979" t="s">
        <v>4485</v>
      </c>
      <c r="G617" s="979" t="s">
        <v>4489</v>
      </c>
      <c r="H617" s="979">
        <v>6225000</v>
      </c>
      <c r="I617" s="979">
        <v>1536125</v>
      </c>
      <c r="J617" s="979">
        <v>0.17684731984713623</v>
      </c>
      <c r="K617" s="979">
        <v>1100874.5660484231</v>
      </c>
      <c r="L617" s="979">
        <v>1100874.5660484231</v>
      </c>
      <c r="M617" s="979">
        <v>599</v>
      </c>
    </row>
    <row r="618" spans="1:13" ht="15">
      <c r="A618" s="979" t="s">
        <v>3472</v>
      </c>
      <c r="B618" s="1040" t="str">
        <f>CONCATENATE(LEFT(RIGHT(CONCATENATE("000",IFAData_TEA_1617!A618),6),3),"-",(RIGHT(RIGHT(CONCATENATE("000",IFAData_TEA_1617!A618),6),3)))</f>
        <v>057-912</v>
      </c>
      <c r="C618" s="979" t="s">
        <v>1269</v>
      </c>
      <c r="D618" s="979">
        <v>2</v>
      </c>
      <c r="E618" s="979">
        <v>1929</v>
      </c>
      <c r="F618" s="979" t="s">
        <v>4485</v>
      </c>
      <c r="G618" s="979" t="s">
        <v>6227</v>
      </c>
      <c r="H618" s="979">
        <v>6225000</v>
      </c>
      <c r="I618" s="979">
        <v>194538</v>
      </c>
      <c r="J618" s="979">
        <v>2.2396304928584708E-2</v>
      </c>
      <c r="K618" s="979">
        <v>139416.99818043981</v>
      </c>
      <c r="L618" s="979">
        <v>139416.99818043981</v>
      </c>
      <c r="M618" s="979">
        <v>599</v>
      </c>
    </row>
    <row r="619" spans="1:13" ht="15">
      <c r="A619" s="979" t="s">
        <v>3472</v>
      </c>
      <c r="B619" s="1040" t="str">
        <f>CONCATENATE(LEFT(RIGHT(CONCATENATE("000",IFAData_TEA_1617!A619),6),3),"-",(RIGHT(RIGHT(CONCATENATE("000",IFAData_TEA_1617!A619),6),3)))</f>
        <v>057-912</v>
      </c>
      <c r="C619" s="979" t="s">
        <v>1269</v>
      </c>
      <c r="D619" s="979">
        <v>2</v>
      </c>
      <c r="E619" s="979">
        <v>1929</v>
      </c>
      <c r="F619" s="979" t="s">
        <v>4485</v>
      </c>
      <c r="G619" s="979" t="s">
        <v>4490</v>
      </c>
      <c r="H619" s="979">
        <v>6225000</v>
      </c>
      <c r="I619" s="979">
        <v>5384956</v>
      </c>
      <c r="J619" s="979">
        <v>0.61994631693042901</v>
      </c>
      <c r="K619" s="979">
        <v>3859165.8228919208</v>
      </c>
      <c r="L619" s="979">
        <v>3859165.8228919208</v>
      </c>
      <c r="M619" s="979">
        <v>599</v>
      </c>
    </row>
    <row r="620" spans="1:13" ht="15">
      <c r="A620" s="979" t="s">
        <v>3472</v>
      </c>
      <c r="B620" s="1040" t="str">
        <f>CONCATENATE(LEFT(RIGHT(CONCATENATE("000",IFAData_TEA_1617!A620),6),3),"-",(RIGHT(RIGHT(CONCATENATE("000",IFAData_TEA_1617!A620),6),3)))</f>
        <v>057-912</v>
      </c>
      <c r="C620" s="979" t="s">
        <v>1269</v>
      </c>
      <c r="D620" s="979">
        <v>2</v>
      </c>
      <c r="E620" s="979">
        <v>1929</v>
      </c>
      <c r="F620" s="979" t="s">
        <v>4485</v>
      </c>
      <c r="G620" s="979" t="s">
        <v>6439</v>
      </c>
      <c r="H620" s="979">
        <v>6225000</v>
      </c>
      <c r="I620" s="979">
        <v>1570546</v>
      </c>
      <c r="J620" s="979">
        <v>0.18081005829385005</v>
      </c>
      <c r="K620" s="979">
        <v>1125542.6128792167</v>
      </c>
      <c r="L620" s="979">
        <v>1125542.6128792167</v>
      </c>
      <c r="M620" s="979">
        <v>599</v>
      </c>
    </row>
    <row r="621" spans="1:13" ht="15">
      <c r="A621" s="979" t="s">
        <v>3472</v>
      </c>
      <c r="B621" s="1040" t="str">
        <f>CONCATENATE(LEFT(RIGHT(CONCATENATE("000",IFAData_TEA_1617!A621),6),3),"-",(RIGHT(RIGHT(CONCATENATE("000",IFAData_TEA_1617!A621),6),3)))</f>
        <v>057-912</v>
      </c>
      <c r="C621" s="979" t="s">
        <v>1269</v>
      </c>
      <c r="D621" s="979">
        <v>9</v>
      </c>
      <c r="E621" s="979">
        <v>1928</v>
      </c>
      <c r="F621" s="979" t="s">
        <v>4491</v>
      </c>
      <c r="G621" s="979" t="s">
        <v>4491</v>
      </c>
      <c r="H621" s="979">
        <v>4239880</v>
      </c>
      <c r="I621" s="979">
        <v>1959582</v>
      </c>
      <c r="J621" s="979">
        <v>0.43278459558916094</v>
      </c>
      <c r="K621" s="979">
        <v>1834954.7511465717</v>
      </c>
      <c r="L621" s="979">
        <v>1834954.7511465717</v>
      </c>
      <c r="M621" s="979">
        <v>599</v>
      </c>
    </row>
    <row r="622" spans="1:13" ht="15">
      <c r="A622" s="979" t="s">
        <v>3472</v>
      </c>
      <c r="B622" s="1040" t="str">
        <f>CONCATENATE(LEFT(RIGHT(CONCATENATE("000",IFAData_TEA_1617!A622),6),3),"-",(RIGHT(RIGHT(CONCATENATE("000",IFAData_TEA_1617!A622),6),3)))</f>
        <v>057-912</v>
      </c>
      <c r="C622" s="979" t="s">
        <v>1269</v>
      </c>
      <c r="D622" s="979">
        <v>10</v>
      </c>
      <c r="E622" s="979">
        <v>1927</v>
      </c>
      <c r="F622" s="979" t="s">
        <v>4492</v>
      </c>
      <c r="G622" s="979" t="s">
        <v>6438</v>
      </c>
      <c r="H622" s="979">
        <v>3568037</v>
      </c>
      <c r="I622" s="979">
        <v>1557456</v>
      </c>
      <c r="J622" s="979">
        <v>0.45038210543027235</v>
      </c>
      <c r="K622" s="979">
        <v>1606980.0163131126</v>
      </c>
      <c r="L622" s="979">
        <v>1557456</v>
      </c>
      <c r="M622" s="979">
        <v>599</v>
      </c>
    </row>
    <row r="623" spans="1:13" ht="15">
      <c r="A623" s="979" t="s">
        <v>3472</v>
      </c>
      <c r="B623" s="1040" t="str">
        <f>CONCATENATE(LEFT(RIGHT(CONCATENATE("000",IFAData_TEA_1617!A623),6),3),"-",(RIGHT(RIGHT(CONCATENATE("000",IFAData_TEA_1617!A623),6),3)))</f>
        <v>057-912</v>
      </c>
      <c r="C623" s="979" t="s">
        <v>1269</v>
      </c>
      <c r="D623" s="979">
        <v>9</v>
      </c>
      <c r="E623" s="979">
        <v>1928</v>
      </c>
      <c r="F623" s="979" t="s">
        <v>4491</v>
      </c>
      <c r="G623" s="979" t="s">
        <v>6227</v>
      </c>
      <c r="H623" s="979">
        <v>4239880</v>
      </c>
      <c r="I623" s="979">
        <v>1493169</v>
      </c>
      <c r="J623" s="979">
        <v>0.32977468756667078</v>
      </c>
      <c r="K623" s="979">
        <v>1398205.1023201761</v>
      </c>
      <c r="L623" s="979">
        <v>1398205.1023201761</v>
      </c>
      <c r="M623" s="979">
        <v>599</v>
      </c>
    </row>
    <row r="624" spans="1:13" ht="15">
      <c r="A624" s="979" t="s">
        <v>3472</v>
      </c>
      <c r="B624" s="1040" t="str">
        <f>CONCATENATE(LEFT(RIGHT(CONCATENATE("000",IFAData_TEA_1617!A624),6),3),"-",(RIGHT(RIGHT(CONCATENATE("000",IFAData_TEA_1617!A624),6),3)))</f>
        <v>057-912</v>
      </c>
      <c r="C624" s="979" t="s">
        <v>1269</v>
      </c>
      <c r="D624" s="979">
        <v>10</v>
      </c>
      <c r="E624" s="979">
        <v>1927</v>
      </c>
      <c r="F624" s="979" t="s">
        <v>4492</v>
      </c>
      <c r="G624" s="979" t="s">
        <v>4492</v>
      </c>
      <c r="H624" s="979">
        <v>3568037</v>
      </c>
      <c r="I624" s="979">
        <v>1900621</v>
      </c>
      <c r="J624" s="979">
        <v>0.54961789456972765</v>
      </c>
      <c r="K624" s="979">
        <v>1961056.9836868874</v>
      </c>
      <c r="L624" s="979">
        <v>1900621</v>
      </c>
      <c r="M624" s="979">
        <v>599</v>
      </c>
    </row>
    <row r="625" spans="1:13" ht="15">
      <c r="A625" s="979" t="s">
        <v>3472</v>
      </c>
      <c r="B625" s="1040" t="str">
        <f>CONCATENATE(LEFT(RIGHT(CONCATENATE("000",IFAData_TEA_1617!A625),6),3),"-",(RIGHT(RIGHT(CONCATENATE("000",IFAData_TEA_1617!A625),6),3)))</f>
        <v>057-912</v>
      </c>
      <c r="C625" s="979" t="s">
        <v>1269</v>
      </c>
      <c r="D625" s="979">
        <v>10</v>
      </c>
      <c r="E625" s="979">
        <v>1925</v>
      </c>
      <c r="F625" s="979" t="s">
        <v>4493</v>
      </c>
      <c r="G625" s="979" t="s">
        <v>4493</v>
      </c>
      <c r="H625" s="979">
        <v>223714</v>
      </c>
      <c r="I625" s="979">
        <v>293540</v>
      </c>
      <c r="J625" s="979">
        <v>1</v>
      </c>
      <c r="K625" s="979">
        <v>223714</v>
      </c>
      <c r="L625" s="979">
        <v>223714</v>
      </c>
      <c r="M625" s="979">
        <v>599</v>
      </c>
    </row>
    <row r="626" spans="1:13" ht="15">
      <c r="A626" s="979" t="s">
        <v>3472</v>
      </c>
      <c r="B626" s="1040" t="str">
        <f>CONCATENATE(LEFT(RIGHT(CONCATENATE("000",IFAData_TEA_1617!A626),6),3),"-",(RIGHT(RIGHT(CONCATENATE("000",IFAData_TEA_1617!A626),6),3)))</f>
        <v>057-912</v>
      </c>
      <c r="C626" s="979" t="s">
        <v>1269</v>
      </c>
      <c r="D626" s="979">
        <v>2</v>
      </c>
      <c r="E626" s="979">
        <v>1929</v>
      </c>
      <c r="F626" s="979" t="s">
        <v>4485</v>
      </c>
      <c r="G626" s="979" t="s">
        <v>4488</v>
      </c>
      <c r="H626" s="979">
        <v>6225000</v>
      </c>
      <c r="I626" s="979">
        <v>0</v>
      </c>
      <c r="J626" s="979">
        <v>0</v>
      </c>
      <c r="K626" s="979">
        <v>0</v>
      </c>
      <c r="L626" s="979">
        <v>0</v>
      </c>
      <c r="M626" s="979">
        <v>599</v>
      </c>
    </row>
    <row r="627" spans="1:13" ht="15">
      <c r="A627" s="979" t="s">
        <v>3472</v>
      </c>
      <c r="B627" s="1040" t="str">
        <f>CONCATENATE(LEFT(RIGHT(CONCATENATE("000",IFAData_TEA_1617!A627),6),3),"-",(RIGHT(RIGHT(CONCATENATE("000",IFAData_TEA_1617!A627),6),3)))</f>
        <v>057-912</v>
      </c>
      <c r="C627" s="979" t="s">
        <v>1269</v>
      </c>
      <c r="D627" s="979">
        <v>2</v>
      </c>
      <c r="E627" s="979">
        <v>1929</v>
      </c>
      <c r="F627" s="979" t="s">
        <v>4485</v>
      </c>
      <c r="G627" s="979" t="s">
        <v>4486</v>
      </c>
      <c r="H627" s="979">
        <v>6225000</v>
      </c>
      <c r="I627" s="979">
        <v>0</v>
      </c>
      <c r="J627" s="979">
        <v>0</v>
      </c>
      <c r="K627" s="979">
        <v>0</v>
      </c>
      <c r="L627" s="979">
        <v>0</v>
      </c>
      <c r="M627" s="979">
        <v>599</v>
      </c>
    </row>
    <row r="628" spans="1:13" ht="15">
      <c r="A628" s="979" t="s">
        <v>3472</v>
      </c>
      <c r="B628" s="1040" t="str">
        <f>CONCATENATE(LEFT(RIGHT(CONCATENATE("000",IFAData_TEA_1617!A628),6),3),"-",(RIGHT(RIGHT(CONCATENATE("000",IFAData_TEA_1617!A628),6),3)))</f>
        <v>057-912</v>
      </c>
      <c r="C628" s="979" t="s">
        <v>1269</v>
      </c>
      <c r="D628" s="979">
        <v>2</v>
      </c>
      <c r="E628" s="979">
        <v>1929</v>
      </c>
      <c r="F628" s="979" t="s">
        <v>4485</v>
      </c>
      <c r="G628" s="979" t="s">
        <v>4487</v>
      </c>
      <c r="H628" s="979">
        <v>6225000</v>
      </c>
      <c r="I628" s="979">
        <v>0</v>
      </c>
      <c r="J628" s="979">
        <v>0</v>
      </c>
      <c r="K628" s="979">
        <v>0</v>
      </c>
      <c r="L628" s="979">
        <v>0</v>
      </c>
      <c r="M628" s="979">
        <v>599</v>
      </c>
    </row>
    <row r="629" spans="1:13" ht="15">
      <c r="A629" s="979" t="s">
        <v>3472</v>
      </c>
      <c r="B629" s="1040" t="str">
        <f>CONCATENATE(LEFT(RIGHT(CONCATENATE("000",IFAData_TEA_1617!A629),6),3),"-",(RIGHT(RIGHT(CONCATENATE("000",IFAData_TEA_1617!A629),6),3)))</f>
        <v>057-912</v>
      </c>
      <c r="C629" s="979" t="s">
        <v>1269</v>
      </c>
      <c r="D629" s="979">
        <v>9</v>
      </c>
      <c r="E629" s="979">
        <v>1928</v>
      </c>
      <c r="F629" s="979" t="s">
        <v>4491</v>
      </c>
      <c r="G629" s="979" t="s">
        <v>6438</v>
      </c>
      <c r="H629" s="979">
        <v>4239880</v>
      </c>
      <c r="I629" s="979">
        <v>1075095</v>
      </c>
      <c r="J629" s="979">
        <v>0.23744071684416829</v>
      </c>
      <c r="K629" s="979">
        <v>1006720.1465332522</v>
      </c>
      <c r="L629" s="979">
        <v>1006720.1465332522</v>
      </c>
      <c r="M629" s="979">
        <v>599</v>
      </c>
    </row>
    <row r="630" spans="1:13" ht="15">
      <c r="A630" s="979" t="s">
        <v>3472</v>
      </c>
      <c r="B630" s="1040" t="str">
        <f>CONCATENATE(LEFT(RIGHT(CONCATENATE("000",IFAData_TEA_1617!A630),6),3),"-",(RIGHT(RIGHT(CONCATENATE("000",IFAData_TEA_1617!A630),6),3)))</f>
        <v>057-912</v>
      </c>
      <c r="C630" s="979" t="s">
        <v>1269</v>
      </c>
      <c r="D630" s="979">
        <v>10</v>
      </c>
      <c r="E630" s="979">
        <v>1926</v>
      </c>
      <c r="F630" s="979" t="s">
        <v>4494</v>
      </c>
      <c r="G630" s="979" t="s">
        <v>4494</v>
      </c>
      <c r="H630" s="979">
        <v>1178718</v>
      </c>
      <c r="I630" s="979">
        <v>1301639</v>
      </c>
      <c r="J630" s="979">
        <v>1</v>
      </c>
      <c r="K630" s="979">
        <v>1178718</v>
      </c>
      <c r="L630" s="979">
        <v>1178718</v>
      </c>
      <c r="M630" s="979">
        <v>599</v>
      </c>
    </row>
    <row r="631" spans="1:13" ht="15">
      <c r="A631" s="979" t="s">
        <v>3473</v>
      </c>
      <c r="B631" s="1040" t="str">
        <f>CONCATENATE(LEFT(RIGHT(CONCATENATE("000",IFAData_TEA_1617!A631),6),3),"-",(RIGHT(RIGHT(CONCATENATE("000",IFAData_TEA_1617!A631),6),3)))</f>
        <v>057-914</v>
      </c>
      <c r="C631" s="979" t="s">
        <v>2235</v>
      </c>
      <c r="D631" s="979">
        <v>6</v>
      </c>
      <c r="E631" s="979">
        <v>2101</v>
      </c>
      <c r="F631" s="979" t="s">
        <v>4505</v>
      </c>
      <c r="G631" s="979" t="s">
        <v>6228</v>
      </c>
      <c r="H631" s="979">
        <v>3859835</v>
      </c>
      <c r="I631" s="979">
        <v>83973</v>
      </c>
      <c r="J631" s="979">
        <v>1.590818932740146E-2</v>
      </c>
      <c r="K631" s="979">
        <v>61402.985952530616</v>
      </c>
      <c r="L631" s="979">
        <v>61402.985952530616</v>
      </c>
      <c r="M631" s="979">
        <v>599</v>
      </c>
    </row>
    <row r="632" spans="1:13" ht="15">
      <c r="A632" s="979" t="s">
        <v>3473</v>
      </c>
      <c r="B632" s="1040" t="str">
        <f>CONCATENATE(LEFT(RIGHT(CONCATENATE("000",IFAData_TEA_1617!A632),6),3),"-",(RIGHT(RIGHT(CONCATENATE("000",IFAData_TEA_1617!A632),6),3)))</f>
        <v>057-914</v>
      </c>
      <c r="C632" s="979" t="s">
        <v>2235</v>
      </c>
      <c r="D632" s="979">
        <v>1</v>
      </c>
      <c r="E632" s="979">
        <v>2097</v>
      </c>
      <c r="F632" s="979" t="s">
        <v>4495</v>
      </c>
      <c r="G632" s="979" t="s">
        <v>4499</v>
      </c>
      <c r="H632" s="979">
        <v>838538</v>
      </c>
      <c r="I632" s="979">
        <v>171917</v>
      </c>
      <c r="J632" s="979">
        <v>0.14793242075771082</v>
      </c>
      <c r="K632" s="979">
        <v>124046.95623732932</v>
      </c>
      <c r="L632" s="979">
        <v>124046.95623732932</v>
      </c>
      <c r="M632" s="979">
        <v>599</v>
      </c>
    </row>
    <row r="633" spans="1:13" ht="15">
      <c r="A633" s="979" t="s">
        <v>3473</v>
      </c>
      <c r="B633" s="1040" t="str">
        <f>CONCATENATE(LEFT(RIGHT(CONCATENATE("000",IFAData_TEA_1617!A633),6),3),"-",(RIGHT(RIGHT(CONCATENATE("000",IFAData_TEA_1617!A633),6),3)))</f>
        <v>057-914</v>
      </c>
      <c r="C633" s="979" t="s">
        <v>2235</v>
      </c>
      <c r="D633" s="979">
        <v>1</v>
      </c>
      <c r="E633" s="979">
        <v>2102</v>
      </c>
      <c r="F633" s="979" t="s">
        <v>4500</v>
      </c>
      <c r="G633" s="979" t="s">
        <v>4499</v>
      </c>
      <c r="H633" s="979">
        <v>5978212</v>
      </c>
      <c r="I633" s="979">
        <v>3437795</v>
      </c>
      <c r="J633" s="979">
        <v>0.34205016278698158</v>
      </c>
      <c r="K633" s="979">
        <v>2044848.3877750868</v>
      </c>
      <c r="L633" s="979">
        <v>2044848.3877750868</v>
      </c>
      <c r="M633" s="979">
        <v>599</v>
      </c>
    </row>
    <row r="634" spans="1:13" ht="15">
      <c r="A634" s="979" t="s">
        <v>3473</v>
      </c>
      <c r="B634" s="1040" t="str">
        <f>CONCATENATE(LEFT(RIGHT(CONCATENATE("000",IFAData_TEA_1617!A634),6),3),"-",(RIGHT(RIGHT(CONCATENATE("000",IFAData_TEA_1617!A634),6),3)))</f>
        <v>057-914</v>
      </c>
      <c r="C634" s="979" t="s">
        <v>2235</v>
      </c>
      <c r="D634" s="979">
        <v>6</v>
      </c>
      <c r="E634" s="979">
        <v>2101</v>
      </c>
      <c r="F634" s="979" t="s">
        <v>4505</v>
      </c>
      <c r="G634" s="979" t="s">
        <v>4504</v>
      </c>
      <c r="H634" s="979">
        <v>3859835</v>
      </c>
      <c r="I634" s="979">
        <v>1255847</v>
      </c>
      <c r="J634" s="979">
        <v>0.2379128034278773</v>
      </c>
      <c r="K634" s="979">
        <v>918304.16561904072</v>
      </c>
      <c r="L634" s="979">
        <v>918304.16561904072</v>
      </c>
      <c r="M634" s="979">
        <v>599</v>
      </c>
    </row>
    <row r="635" spans="1:13" ht="15">
      <c r="A635" s="979" t="s">
        <v>3473</v>
      </c>
      <c r="B635" s="1040" t="str">
        <f>CONCATENATE(LEFT(RIGHT(CONCATENATE("000",IFAData_TEA_1617!A635),6),3),"-",(RIGHT(RIGHT(CONCATENATE("000",IFAData_TEA_1617!A635),6),3)))</f>
        <v>057-914</v>
      </c>
      <c r="C635" s="979" t="s">
        <v>2235</v>
      </c>
      <c r="D635" s="979">
        <v>1</v>
      </c>
      <c r="E635" s="979">
        <v>2097</v>
      </c>
      <c r="F635" s="979" t="s">
        <v>4495</v>
      </c>
      <c r="G635" s="979" t="s">
        <v>4495</v>
      </c>
      <c r="H635" s="979">
        <v>838538</v>
      </c>
      <c r="I635" s="979">
        <v>0</v>
      </c>
      <c r="J635" s="979">
        <v>0</v>
      </c>
      <c r="K635" s="979">
        <v>0</v>
      </c>
      <c r="L635" s="979">
        <v>0</v>
      </c>
      <c r="M635" s="979">
        <v>599</v>
      </c>
    </row>
    <row r="636" spans="1:13" ht="15">
      <c r="A636" s="979" t="s">
        <v>3473</v>
      </c>
      <c r="B636" s="1040" t="str">
        <f>CONCATENATE(LEFT(RIGHT(CONCATENATE("000",IFAData_TEA_1617!A636),6),3),"-",(RIGHT(RIGHT(CONCATENATE("000",IFAData_TEA_1617!A636),6),3)))</f>
        <v>057-914</v>
      </c>
      <c r="C636" s="979" t="s">
        <v>2235</v>
      </c>
      <c r="D636" s="979">
        <v>5</v>
      </c>
      <c r="E636" s="979">
        <v>2096</v>
      </c>
      <c r="F636" s="979" t="s">
        <v>4503</v>
      </c>
      <c r="G636" s="979" t="s">
        <v>4503</v>
      </c>
      <c r="H636" s="979">
        <v>684105</v>
      </c>
      <c r="I636" s="979">
        <v>0</v>
      </c>
      <c r="J636" s="979">
        <v>0</v>
      </c>
      <c r="K636" s="979">
        <v>0</v>
      </c>
      <c r="L636" s="979">
        <v>0</v>
      </c>
      <c r="M636" s="979">
        <v>599</v>
      </c>
    </row>
    <row r="637" spans="1:13" ht="15">
      <c r="A637" s="979" t="s">
        <v>3473</v>
      </c>
      <c r="B637" s="1040" t="str">
        <f>CONCATENATE(LEFT(RIGHT(CONCATENATE("000",IFAData_TEA_1617!A637),6),3),"-",(RIGHT(RIGHT(CONCATENATE("000",IFAData_TEA_1617!A637),6),3)))</f>
        <v>057-914</v>
      </c>
      <c r="C637" s="979" t="s">
        <v>2235</v>
      </c>
      <c r="D637" s="979">
        <v>1</v>
      </c>
      <c r="E637" s="979">
        <v>2097</v>
      </c>
      <c r="F637" s="979" t="s">
        <v>4495</v>
      </c>
      <c r="G637" s="979" t="s">
        <v>4498</v>
      </c>
      <c r="H637" s="979">
        <v>838538</v>
      </c>
      <c r="I637" s="979">
        <v>13495</v>
      </c>
      <c r="J637" s="979">
        <v>1.1612278123311294E-2</v>
      </c>
      <c r="K637" s="979">
        <v>9737.3364729652058</v>
      </c>
      <c r="L637" s="979">
        <v>9737.3364729652058</v>
      </c>
      <c r="M637" s="979">
        <v>599</v>
      </c>
    </row>
    <row r="638" spans="1:13" ht="15">
      <c r="A638" s="979" t="s">
        <v>3473</v>
      </c>
      <c r="B638" s="1040" t="str">
        <f>CONCATENATE(LEFT(RIGHT(CONCATENATE("000",IFAData_TEA_1617!A638),6),3),"-",(RIGHT(RIGHT(CONCATENATE("000",IFAData_TEA_1617!A638),6),3)))</f>
        <v>057-914</v>
      </c>
      <c r="C638" s="979" t="s">
        <v>2235</v>
      </c>
      <c r="D638" s="979">
        <v>1</v>
      </c>
      <c r="E638" s="979">
        <v>2097</v>
      </c>
      <c r="F638" s="979" t="s">
        <v>4495</v>
      </c>
      <c r="G638" s="979" t="s">
        <v>4497</v>
      </c>
      <c r="H638" s="979">
        <v>838538</v>
      </c>
      <c r="I638" s="979">
        <v>0</v>
      </c>
      <c r="J638" s="979">
        <v>0</v>
      </c>
      <c r="K638" s="979">
        <v>0</v>
      </c>
      <c r="L638" s="979">
        <v>0</v>
      </c>
      <c r="M638" s="979">
        <v>599</v>
      </c>
    </row>
    <row r="639" spans="1:13" ht="15">
      <c r="A639" s="979" t="s">
        <v>3473</v>
      </c>
      <c r="B639" s="1040" t="str">
        <f>CONCATENATE(LEFT(RIGHT(CONCATENATE("000",IFAData_TEA_1617!A639),6),3),"-",(RIGHT(RIGHT(CONCATENATE("000",IFAData_TEA_1617!A639),6),3)))</f>
        <v>057-914</v>
      </c>
      <c r="C639" s="979" t="s">
        <v>2235</v>
      </c>
      <c r="D639" s="979">
        <v>9</v>
      </c>
      <c r="E639" s="979">
        <v>2100</v>
      </c>
      <c r="F639" s="979" t="s">
        <v>4502</v>
      </c>
      <c r="G639" s="979" t="s">
        <v>6228</v>
      </c>
      <c r="H639" s="979">
        <v>3273731</v>
      </c>
      <c r="I639" s="979">
        <v>435647</v>
      </c>
      <c r="J639" s="979">
        <v>0.24851639283943841</v>
      </c>
      <c r="K639" s="979">
        <v>813575.81924664753</v>
      </c>
      <c r="L639" s="979">
        <v>435647</v>
      </c>
      <c r="M639" s="979">
        <v>599</v>
      </c>
    </row>
    <row r="640" spans="1:13" ht="15">
      <c r="A640" s="979" t="s">
        <v>3473</v>
      </c>
      <c r="B640" s="1040" t="str">
        <f>CONCATENATE(LEFT(RIGHT(CONCATENATE("000",IFAData_TEA_1617!A640),6),3),"-",(RIGHT(RIGHT(CONCATENATE("000",IFAData_TEA_1617!A640),6),3)))</f>
        <v>057-914</v>
      </c>
      <c r="C640" s="979" t="s">
        <v>2235</v>
      </c>
      <c r="D640" s="979">
        <v>10</v>
      </c>
      <c r="E640" s="979">
        <v>2098</v>
      </c>
      <c r="F640" s="979" t="s">
        <v>4506</v>
      </c>
      <c r="G640" s="979" t="s">
        <v>4506</v>
      </c>
      <c r="H640" s="979">
        <v>1093194</v>
      </c>
      <c r="I640" s="979">
        <v>1508250</v>
      </c>
      <c r="J640" s="979">
        <v>0.67639442865356136</v>
      </c>
      <c r="K640" s="979">
        <v>739430.33103750134</v>
      </c>
      <c r="L640" s="979">
        <v>739430.33103750134</v>
      </c>
      <c r="M640" s="979">
        <v>599</v>
      </c>
    </row>
    <row r="641" spans="1:13" ht="15">
      <c r="A641" s="979" t="s">
        <v>3473</v>
      </c>
      <c r="B641" s="1040" t="str">
        <f>CONCATENATE(LEFT(RIGHT(CONCATENATE("000",IFAData_TEA_1617!A641),6),3),"-",(RIGHT(RIGHT(CONCATENATE("000",IFAData_TEA_1617!A641),6),3)))</f>
        <v>057-914</v>
      </c>
      <c r="C641" s="979" t="s">
        <v>2235</v>
      </c>
      <c r="D641" s="979">
        <v>1</v>
      </c>
      <c r="E641" s="979">
        <v>2102</v>
      </c>
      <c r="F641" s="979" t="s">
        <v>4500</v>
      </c>
      <c r="G641" s="979" t="s">
        <v>4496</v>
      </c>
      <c r="H641" s="979">
        <v>5978212</v>
      </c>
      <c r="I641" s="979">
        <v>5142680</v>
      </c>
      <c r="J641" s="979">
        <v>0.51168104298288708</v>
      </c>
      <c r="K641" s="979">
        <v>3058937.7513328115</v>
      </c>
      <c r="L641" s="979">
        <v>3058937.7513328115</v>
      </c>
      <c r="M641" s="979">
        <v>599</v>
      </c>
    </row>
    <row r="642" spans="1:13" ht="15">
      <c r="A642" s="979" t="s">
        <v>3473</v>
      </c>
      <c r="B642" s="1040" t="str">
        <f>CONCATENATE(LEFT(RIGHT(CONCATENATE("000",IFAData_TEA_1617!A642),6),3),"-",(RIGHT(RIGHT(CONCATENATE("000",IFAData_TEA_1617!A642),6),3)))</f>
        <v>057-914</v>
      </c>
      <c r="C642" s="979" t="s">
        <v>2235</v>
      </c>
      <c r="D642" s="979">
        <v>1</v>
      </c>
      <c r="E642" s="979">
        <v>2097</v>
      </c>
      <c r="F642" s="979" t="s">
        <v>4495</v>
      </c>
      <c r="G642" s="979" t="s">
        <v>4496</v>
      </c>
      <c r="H642" s="979">
        <v>838538</v>
      </c>
      <c r="I642" s="979">
        <v>808500</v>
      </c>
      <c r="J642" s="979">
        <v>0.6957041024599615</v>
      </c>
      <c r="K642" s="979">
        <v>583374.32666857122</v>
      </c>
      <c r="L642" s="979">
        <v>583374.32666857122</v>
      </c>
      <c r="M642" s="979">
        <v>599</v>
      </c>
    </row>
    <row r="643" spans="1:13" ht="15">
      <c r="A643" s="979" t="s">
        <v>3473</v>
      </c>
      <c r="B643" s="1040" t="str">
        <f>CONCATENATE(LEFT(RIGHT(CONCATENATE("000",IFAData_TEA_1617!A643),6),3),"-",(RIGHT(RIGHT(CONCATENATE("000",IFAData_TEA_1617!A643),6),3)))</f>
        <v>057-914</v>
      </c>
      <c r="C643" s="979" t="s">
        <v>2235</v>
      </c>
      <c r="D643" s="979">
        <v>1</v>
      </c>
      <c r="E643" s="979">
        <v>2102</v>
      </c>
      <c r="F643" s="979" t="s">
        <v>4500</v>
      </c>
      <c r="G643" s="979" t="s">
        <v>4501</v>
      </c>
      <c r="H643" s="979">
        <v>5978212</v>
      </c>
      <c r="I643" s="979">
        <v>0</v>
      </c>
      <c r="J643" s="979">
        <v>0</v>
      </c>
      <c r="K643" s="979">
        <v>0</v>
      </c>
      <c r="L643" s="979">
        <v>0</v>
      </c>
      <c r="M643" s="979">
        <v>599</v>
      </c>
    </row>
    <row r="644" spans="1:13" ht="15">
      <c r="A644" s="979" t="s">
        <v>3473</v>
      </c>
      <c r="B644" s="1040" t="str">
        <f>CONCATENATE(LEFT(RIGHT(CONCATENATE("000",IFAData_TEA_1617!A644),6),3),"-",(RIGHT(RIGHT(CONCATENATE("000",IFAData_TEA_1617!A644),6),3)))</f>
        <v>057-914</v>
      </c>
      <c r="C644" s="979" t="s">
        <v>2235</v>
      </c>
      <c r="D644" s="979">
        <v>1</v>
      </c>
      <c r="E644" s="979">
        <v>2097</v>
      </c>
      <c r="F644" s="979" t="s">
        <v>4495</v>
      </c>
      <c r="G644" s="979" t="s">
        <v>6229</v>
      </c>
      <c r="H644" s="979">
        <v>838538</v>
      </c>
      <c r="I644" s="979">
        <v>168220</v>
      </c>
      <c r="J644" s="979">
        <v>0.14475119865901637</v>
      </c>
      <c r="K644" s="979">
        <v>121379.38062113426</v>
      </c>
      <c r="L644" s="979">
        <v>121379.38062113426</v>
      </c>
      <c r="M644" s="979">
        <v>599</v>
      </c>
    </row>
    <row r="645" spans="1:13" ht="15">
      <c r="A645" s="979" t="s">
        <v>3473</v>
      </c>
      <c r="B645" s="1040" t="str">
        <f>CONCATENATE(LEFT(RIGHT(CONCATENATE("000",IFAData_TEA_1617!A645),6),3),"-",(RIGHT(RIGHT(CONCATENATE("000",IFAData_TEA_1617!A645),6),3)))</f>
        <v>057-914</v>
      </c>
      <c r="C645" s="979" t="s">
        <v>2235</v>
      </c>
      <c r="D645" s="979">
        <v>10</v>
      </c>
      <c r="E645" s="979">
        <v>2098</v>
      </c>
      <c r="F645" s="979" t="s">
        <v>4506</v>
      </c>
      <c r="G645" s="979" t="s">
        <v>6828</v>
      </c>
      <c r="H645" s="979">
        <v>1093194</v>
      </c>
      <c r="I645" s="979">
        <v>721588</v>
      </c>
      <c r="J645" s="979">
        <v>0.32360557134643864</v>
      </c>
      <c r="K645" s="979">
        <v>353763.66896249866</v>
      </c>
      <c r="L645" s="979">
        <v>353763.66896249866</v>
      </c>
      <c r="M645" s="979">
        <v>599</v>
      </c>
    </row>
    <row r="646" spans="1:13" ht="15">
      <c r="A646" s="979" t="s">
        <v>3473</v>
      </c>
      <c r="B646" s="1040" t="str">
        <f>CONCATENATE(LEFT(RIGHT(CONCATENATE("000",IFAData_TEA_1617!A646),6),3),"-",(RIGHT(RIGHT(CONCATENATE("000",IFAData_TEA_1617!A646),6),3)))</f>
        <v>057-914</v>
      </c>
      <c r="C646" s="979" t="s">
        <v>2235</v>
      </c>
      <c r="D646" s="979">
        <v>1</v>
      </c>
      <c r="E646" s="979">
        <v>2102</v>
      </c>
      <c r="F646" s="979" t="s">
        <v>4500</v>
      </c>
      <c r="G646" s="979" t="s">
        <v>6228</v>
      </c>
      <c r="H646" s="979">
        <v>5978212</v>
      </c>
      <c r="I646" s="979">
        <v>88358</v>
      </c>
      <c r="J646" s="979">
        <v>8.7913526791248801E-3</v>
      </c>
      <c r="K646" s="979">
        <v>52556.570082576509</v>
      </c>
      <c r="L646" s="979">
        <v>52556.570082576509</v>
      </c>
      <c r="M646" s="979">
        <v>599</v>
      </c>
    </row>
    <row r="647" spans="1:13" ht="15">
      <c r="A647" s="979" t="s">
        <v>3473</v>
      </c>
      <c r="B647" s="1040" t="str">
        <f>CONCATENATE(LEFT(RIGHT(CONCATENATE("000",IFAData_TEA_1617!A647),6),3),"-",(RIGHT(RIGHT(CONCATENATE("000",IFAData_TEA_1617!A647),6),3)))</f>
        <v>057-914</v>
      </c>
      <c r="C647" s="979" t="s">
        <v>2235</v>
      </c>
      <c r="D647" s="979">
        <v>1</v>
      </c>
      <c r="E647" s="979">
        <v>2102</v>
      </c>
      <c r="F647" s="979" t="s">
        <v>4500</v>
      </c>
      <c r="G647" s="979" t="s">
        <v>6229</v>
      </c>
      <c r="H647" s="979">
        <v>5978212</v>
      </c>
      <c r="I647" s="979">
        <v>540689</v>
      </c>
      <c r="J647" s="979">
        <v>5.3796913564401104E-2</v>
      </c>
      <c r="K647" s="979">
        <v>321609.35423366545</v>
      </c>
      <c r="L647" s="979">
        <v>321609.35423366545</v>
      </c>
      <c r="M647" s="979">
        <v>599</v>
      </c>
    </row>
    <row r="648" spans="1:13" ht="15">
      <c r="A648" s="979" t="s">
        <v>3473</v>
      </c>
      <c r="B648" s="1040" t="str">
        <f>CONCATENATE(LEFT(RIGHT(CONCATENATE("000",IFAData_TEA_1617!A648),6),3),"-",(RIGHT(RIGHT(CONCATENATE("000",IFAData_TEA_1617!A648),6),3)))</f>
        <v>057-914</v>
      </c>
      <c r="C648" s="979" t="s">
        <v>2235</v>
      </c>
      <c r="D648" s="979">
        <v>6</v>
      </c>
      <c r="E648" s="979">
        <v>2101</v>
      </c>
      <c r="F648" s="979" t="s">
        <v>4505</v>
      </c>
      <c r="G648" s="979" t="s">
        <v>4505</v>
      </c>
      <c r="H648" s="979">
        <v>3859835</v>
      </c>
      <c r="I648" s="979">
        <v>0</v>
      </c>
      <c r="J648" s="979">
        <v>0</v>
      </c>
      <c r="K648" s="979">
        <v>0</v>
      </c>
      <c r="L648" s="979">
        <v>0</v>
      </c>
      <c r="M648" s="979">
        <v>599</v>
      </c>
    </row>
    <row r="649" spans="1:13" ht="15">
      <c r="A649" s="979" t="s">
        <v>3473</v>
      </c>
      <c r="B649" s="1040" t="str">
        <f>CONCATENATE(LEFT(RIGHT(CONCATENATE("000",IFAData_TEA_1617!A649),6),3),"-",(RIGHT(RIGHT(CONCATENATE("000",IFAData_TEA_1617!A649),6),3)))</f>
        <v>057-914</v>
      </c>
      <c r="C649" s="979" t="s">
        <v>2235</v>
      </c>
      <c r="D649" s="979">
        <v>5</v>
      </c>
      <c r="E649" s="979">
        <v>2096</v>
      </c>
      <c r="F649" s="979" t="s">
        <v>4503</v>
      </c>
      <c r="G649" s="979" t="s">
        <v>4504</v>
      </c>
      <c r="H649" s="979">
        <v>684105</v>
      </c>
      <c r="I649" s="979">
        <v>644163</v>
      </c>
      <c r="J649" s="979">
        <v>1</v>
      </c>
      <c r="K649" s="979">
        <v>684105</v>
      </c>
      <c r="L649" s="979">
        <v>644163</v>
      </c>
      <c r="M649" s="979">
        <v>599</v>
      </c>
    </row>
    <row r="650" spans="1:13" ht="15">
      <c r="A650" s="979" t="s">
        <v>3473</v>
      </c>
      <c r="B650" s="1040" t="str">
        <f>CONCATENATE(LEFT(RIGHT(CONCATENATE("000",IFAData_TEA_1617!A650),6),3),"-",(RIGHT(RIGHT(CONCATENATE("000",IFAData_TEA_1617!A650),6),3)))</f>
        <v>057-914</v>
      </c>
      <c r="C650" s="979" t="s">
        <v>2235</v>
      </c>
      <c r="D650" s="979">
        <v>10</v>
      </c>
      <c r="E650" s="979">
        <v>2099</v>
      </c>
      <c r="F650" s="979" t="s">
        <v>4507</v>
      </c>
      <c r="G650" s="979" t="s">
        <v>4507</v>
      </c>
      <c r="H650" s="979">
        <v>2344293</v>
      </c>
      <c r="I650" s="979">
        <v>3312824</v>
      </c>
      <c r="J650" s="979">
        <v>0.74960537843845709</v>
      </c>
      <c r="K650" s="979">
        <v>1757294.641435626</v>
      </c>
      <c r="L650" s="979">
        <v>1757294.641435626</v>
      </c>
      <c r="M650" s="979">
        <v>599</v>
      </c>
    </row>
    <row r="651" spans="1:13" ht="15">
      <c r="A651" s="979" t="s">
        <v>3473</v>
      </c>
      <c r="B651" s="1040" t="str">
        <f>CONCATENATE(LEFT(RIGHT(CONCATENATE("000",IFAData_TEA_1617!A651),6),3),"-",(RIGHT(RIGHT(CONCATENATE("000",IFAData_TEA_1617!A651),6),3)))</f>
        <v>057-914</v>
      </c>
      <c r="C651" s="979" t="s">
        <v>2235</v>
      </c>
      <c r="D651" s="979">
        <v>1</v>
      </c>
      <c r="E651" s="979">
        <v>2102</v>
      </c>
      <c r="F651" s="979" t="s">
        <v>4500</v>
      </c>
      <c r="G651" s="979" t="s">
        <v>4497</v>
      </c>
      <c r="H651" s="979">
        <v>5978212</v>
      </c>
      <c r="I651" s="979">
        <v>0</v>
      </c>
      <c r="J651" s="979">
        <v>0</v>
      </c>
      <c r="K651" s="979">
        <v>0</v>
      </c>
      <c r="L651" s="979">
        <v>0</v>
      </c>
      <c r="M651" s="979">
        <v>599</v>
      </c>
    </row>
    <row r="652" spans="1:13" ht="15">
      <c r="A652" s="979" t="s">
        <v>3473</v>
      </c>
      <c r="B652" s="1040" t="str">
        <f>CONCATENATE(LEFT(RIGHT(CONCATENATE("000",IFAData_TEA_1617!A652),6),3),"-",(RIGHT(RIGHT(CONCATENATE("000",IFAData_TEA_1617!A652),6),3)))</f>
        <v>057-914</v>
      </c>
      <c r="C652" s="979" t="s">
        <v>2235</v>
      </c>
      <c r="D652" s="979">
        <v>1</v>
      </c>
      <c r="E652" s="979">
        <v>2102</v>
      </c>
      <c r="F652" s="979" t="s">
        <v>4500</v>
      </c>
      <c r="G652" s="979" t="s">
        <v>4502</v>
      </c>
      <c r="H652" s="979">
        <v>5978212</v>
      </c>
      <c r="I652" s="979">
        <v>841036</v>
      </c>
      <c r="J652" s="979">
        <v>8.3680527986605316E-2</v>
      </c>
      <c r="K652" s="979">
        <v>500259.93657585973</v>
      </c>
      <c r="L652" s="979">
        <v>500259.93657585973</v>
      </c>
      <c r="M652" s="979">
        <v>599</v>
      </c>
    </row>
    <row r="653" spans="1:13" ht="15">
      <c r="A653" s="979" t="s">
        <v>3473</v>
      </c>
      <c r="B653" s="1040" t="str">
        <f>CONCATENATE(LEFT(RIGHT(CONCATENATE("000",IFAData_TEA_1617!A653),6),3),"-",(RIGHT(RIGHT(CONCATENATE("000",IFAData_TEA_1617!A653),6),3)))</f>
        <v>057-914</v>
      </c>
      <c r="C653" s="979" t="s">
        <v>2235</v>
      </c>
      <c r="D653" s="979">
        <v>9</v>
      </c>
      <c r="E653" s="979">
        <v>2100</v>
      </c>
      <c r="F653" s="979" t="s">
        <v>4502</v>
      </c>
      <c r="G653" s="979" t="s">
        <v>4502</v>
      </c>
      <c r="H653" s="979">
        <v>3273731</v>
      </c>
      <c r="I653" s="979">
        <v>1317344</v>
      </c>
      <c r="J653" s="979">
        <v>0.75148360716056162</v>
      </c>
      <c r="K653" s="979">
        <v>2460155.1807533526</v>
      </c>
      <c r="L653" s="979">
        <v>1317344</v>
      </c>
      <c r="M653" s="979">
        <v>599</v>
      </c>
    </row>
    <row r="654" spans="1:13" ht="15">
      <c r="A654" s="979" t="s">
        <v>3473</v>
      </c>
      <c r="B654" s="1040" t="str">
        <f>CONCATENATE(LEFT(RIGHT(CONCATENATE("000",IFAData_TEA_1617!A654),6),3),"-",(RIGHT(RIGHT(CONCATENATE("000",IFAData_TEA_1617!A654),6),3)))</f>
        <v>057-914</v>
      </c>
      <c r="C654" s="979" t="s">
        <v>2235</v>
      </c>
      <c r="D654" s="979">
        <v>10</v>
      </c>
      <c r="E654" s="979">
        <v>2099</v>
      </c>
      <c r="F654" s="979" t="s">
        <v>4507</v>
      </c>
      <c r="G654" s="979" t="s">
        <v>6829</v>
      </c>
      <c r="H654" s="979">
        <v>2344293</v>
      </c>
      <c r="I654" s="979">
        <v>1106600</v>
      </c>
      <c r="J654" s="979">
        <v>0.25039462156154285</v>
      </c>
      <c r="K654" s="979">
        <v>586998.35856437392</v>
      </c>
      <c r="L654" s="979">
        <v>586998.35856437392</v>
      </c>
      <c r="M654" s="979">
        <v>599</v>
      </c>
    </row>
    <row r="655" spans="1:13" ht="15">
      <c r="A655" s="979" t="s">
        <v>3473</v>
      </c>
      <c r="B655" s="1040" t="str">
        <f>CONCATENATE(LEFT(RIGHT(CONCATENATE("000",IFAData_TEA_1617!A655),6),3),"-",(RIGHT(RIGHT(CONCATENATE("000",IFAData_TEA_1617!A655),6),3)))</f>
        <v>057-914</v>
      </c>
      <c r="C655" s="979" t="s">
        <v>2235</v>
      </c>
      <c r="D655" s="979">
        <v>1</v>
      </c>
      <c r="E655" s="979">
        <v>2102</v>
      </c>
      <c r="F655" s="979" t="s">
        <v>4500</v>
      </c>
      <c r="G655" s="979" t="s">
        <v>4500</v>
      </c>
      <c r="H655" s="979">
        <v>5978212</v>
      </c>
      <c r="I655" s="979">
        <v>0</v>
      </c>
      <c r="J655" s="979">
        <v>0</v>
      </c>
      <c r="K655" s="979">
        <v>0</v>
      </c>
      <c r="L655" s="979">
        <v>0</v>
      </c>
      <c r="M655" s="979">
        <v>599</v>
      </c>
    </row>
    <row r="656" spans="1:13" ht="15">
      <c r="A656" s="979" t="s">
        <v>3473</v>
      </c>
      <c r="B656" s="1040" t="str">
        <f>CONCATENATE(LEFT(RIGHT(CONCATENATE("000",IFAData_TEA_1617!A656),6),3),"-",(RIGHT(RIGHT(CONCATENATE("000",IFAData_TEA_1617!A656),6),3)))</f>
        <v>057-914</v>
      </c>
      <c r="C656" s="979" t="s">
        <v>2235</v>
      </c>
      <c r="D656" s="979">
        <v>6</v>
      </c>
      <c r="E656" s="979">
        <v>2101</v>
      </c>
      <c r="F656" s="979" t="s">
        <v>4505</v>
      </c>
      <c r="G656" s="979" t="s">
        <v>4501</v>
      </c>
      <c r="H656" s="979">
        <v>3859835</v>
      </c>
      <c r="I656" s="979">
        <v>2244487</v>
      </c>
      <c r="J656" s="979">
        <v>0.42520481748766054</v>
      </c>
      <c r="K656" s="979">
        <v>1641220.4367074843</v>
      </c>
      <c r="L656" s="979">
        <v>1641220.4367074843</v>
      </c>
      <c r="M656" s="979">
        <v>599</v>
      </c>
    </row>
    <row r="657" spans="1:13" ht="15">
      <c r="A657" s="979" t="s">
        <v>3473</v>
      </c>
      <c r="B657" s="1040" t="str">
        <f>CONCATENATE(LEFT(RIGHT(CONCATENATE("000",IFAData_TEA_1617!A657),6),3),"-",(RIGHT(RIGHT(CONCATENATE("000",IFAData_TEA_1617!A657),6),3)))</f>
        <v>057-914</v>
      </c>
      <c r="C657" s="979" t="s">
        <v>2235</v>
      </c>
      <c r="D657" s="979">
        <v>1</v>
      </c>
      <c r="E657" s="979">
        <v>2102</v>
      </c>
      <c r="F657" s="979" t="s">
        <v>4500</v>
      </c>
      <c r="G657" s="979" t="s">
        <v>4498</v>
      </c>
      <c r="H657" s="979">
        <v>5978212</v>
      </c>
      <c r="I657" s="979">
        <v>0</v>
      </c>
      <c r="J657" s="979">
        <v>0</v>
      </c>
      <c r="K657" s="979">
        <v>0</v>
      </c>
      <c r="L657" s="979">
        <v>0</v>
      </c>
      <c r="M657" s="979">
        <v>599</v>
      </c>
    </row>
    <row r="658" spans="1:13" ht="15">
      <c r="A658" s="979" t="s">
        <v>3473</v>
      </c>
      <c r="B658" s="1040" t="str">
        <f>CONCATENATE(LEFT(RIGHT(CONCATENATE("000",IFAData_TEA_1617!A658),6),3),"-",(RIGHT(RIGHT(CONCATENATE("000",IFAData_TEA_1617!A658),6),3)))</f>
        <v>057-914</v>
      </c>
      <c r="C658" s="979" t="s">
        <v>2235</v>
      </c>
      <c r="D658" s="979">
        <v>6</v>
      </c>
      <c r="E658" s="979">
        <v>2101</v>
      </c>
      <c r="F658" s="979" t="s">
        <v>4505</v>
      </c>
      <c r="G658" s="979" t="s">
        <v>4499</v>
      </c>
      <c r="H658" s="979">
        <v>3859835</v>
      </c>
      <c r="I658" s="979">
        <v>1694295</v>
      </c>
      <c r="J658" s="979">
        <v>0.32097418975706066</v>
      </c>
      <c r="K658" s="979">
        <v>1238907.4117209443</v>
      </c>
      <c r="L658" s="979">
        <v>1238907.4117209443</v>
      </c>
      <c r="M658" s="979">
        <v>599</v>
      </c>
    </row>
    <row r="659" spans="1:13" ht="15">
      <c r="A659" s="979" t="s">
        <v>3473</v>
      </c>
      <c r="B659" s="1040" t="str">
        <f>CONCATENATE(LEFT(RIGHT(CONCATENATE("000",IFAData_TEA_1617!A659),6),3),"-",(RIGHT(RIGHT(CONCATENATE("000",IFAData_TEA_1617!A659),6),3)))</f>
        <v>057-914</v>
      </c>
      <c r="C659" s="979" t="s">
        <v>2235</v>
      </c>
      <c r="D659" s="979">
        <v>6</v>
      </c>
      <c r="E659" s="979">
        <v>2101</v>
      </c>
      <c r="F659" s="979" t="s">
        <v>4505</v>
      </c>
      <c r="G659" s="979" t="s">
        <v>4502</v>
      </c>
      <c r="H659" s="979">
        <v>3859835</v>
      </c>
      <c r="I659" s="979">
        <v>0</v>
      </c>
      <c r="J659" s="979">
        <v>0</v>
      </c>
      <c r="K659" s="979">
        <v>0</v>
      </c>
      <c r="L659" s="979">
        <v>0</v>
      </c>
      <c r="M659" s="979">
        <v>599</v>
      </c>
    </row>
    <row r="660" spans="1:13" ht="15">
      <c r="A660" s="979" t="s">
        <v>4508</v>
      </c>
      <c r="B660" s="1040" t="str">
        <f>CONCATENATE(LEFT(RIGHT(CONCATENATE("000",IFAData_TEA_1617!A660),6),3),"-",(RIGHT(RIGHT(CONCATENATE("000",IFAData_TEA_1617!A660),6),3)))</f>
        <v>059-901</v>
      </c>
      <c r="C660" s="979" t="s">
        <v>2372</v>
      </c>
      <c r="D660" s="979">
        <v>2</v>
      </c>
      <c r="E660" s="979">
        <v>1883</v>
      </c>
      <c r="F660" s="979" t="s">
        <v>4509</v>
      </c>
      <c r="G660" s="979" t="s">
        <v>4510</v>
      </c>
      <c r="H660" s="979">
        <v>1022728</v>
      </c>
      <c r="I660" s="979">
        <v>950028</v>
      </c>
      <c r="J660" s="979">
        <v>1</v>
      </c>
      <c r="K660" s="979">
        <v>1022728</v>
      </c>
      <c r="L660" s="979">
        <v>950028</v>
      </c>
      <c r="M660" s="979">
        <v>199</v>
      </c>
    </row>
    <row r="661" spans="1:13" ht="15">
      <c r="A661" s="979" t="s">
        <v>4508</v>
      </c>
      <c r="B661" s="1040" t="str">
        <f>CONCATENATE(LEFT(RIGHT(CONCATENATE("000",IFAData_TEA_1617!A661),6),3),"-",(RIGHT(RIGHT(CONCATENATE("000",IFAData_TEA_1617!A661),6),3)))</f>
        <v>059-901</v>
      </c>
      <c r="C661" s="979" t="s">
        <v>2372</v>
      </c>
      <c r="D661" s="979">
        <v>2</v>
      </c>
      <c r="E661" s="979">
        <v>1883</v>
      </c>
      <c r="F661" s="979" t="s">
        <v>4509</v>
      </c>
      <c r="G661" s="979" t="s">
        <v>4509</v>
      </c>
      <c r="H661" s="979">
        <v>1022728</v>
      </c>
      <c r="I661" s="979">
        <v>0</v>
      </c>
      <c r="J661" s="979">
        <v>0</v>
      </c>
      <c r="K661" s="979">
        <v>0</v>
      </c>
      <c r="L661" s="979">
        <v>0</v>
      </c>
      <c r="M661" s="979">
        <v>199</v>
      </c>
    </row>
    <row r="662" spans="1:13" ht="15">
      <c r="A662" s="979" t="s">
        <v>3474</v>
      </c>
      <c r="B662" s="1040" t="str">
        <f>CONCATENATE(LEFT(RIGHT(CONCATENATE("000",IFAData_TEA_1617!A662),6),3),"-",(RIGHT(RIGHT(CONCATENATE("000",IFAData_TEA_1617!A662),6),3)))</f>
        <v>060-902</v>
      </c>
      <c r="C662" s="979" t="s">
        <v>2617</v>
      </c>
      <c r="D662" s="979">
        <v>9</v>
      </c>
      <c r="E662" s="979">
        <v>1719</v>
      </c>
      <c r="F662" s="979" t="s">
        <v>4511</v>
      </c>
      <c r="G662" s="979" t="s">
        <v>4511</v>
      </c>
      <c r="H662" s="979">
        <v>201802</v>
      </c>
      <c r="I662" s="979">
        <v>51047</v>
      </c>
      <c r="J662" s="979">
        <v>0.26733596233509821</v>
      </c>
      <c r="K662" s="979">
        <v>53948.931871147492</v>
      </c>
      <c r="L662" s="979">
        <v>51047</v>
      </c>
      <c r="M662" s="979">
        <v>599</v>
      </c>
    </row>
    <row r="663" spans="1:13" ht="15">
      <c r="A663" s="979" t="s">
        <v>3474</v>
      </c>
      <c r="B663" s="1040" t="str">
        <f>CONCATENATE(LEFT(RIGHT(CONCATENATE("000",IFAData_TEA_1617!A663),6),3),"-",(RIGHT(RIGHT(CONCATENATE("000",IFAData_TEA_1617!A663),6),3)))</f>
        <v>060-902</v>
      </c>
      <c r="C663" s="979" t="s">
        <v>2617</v>
      </c>
      <c r="D663" s="979">
        <v>9</v>
      </c>
      <c r="E663" s="979">
        <v>1719</v>
      </c>
      <c r="F663" s="979" t="s">
        <v>4511</v>
      </c>
      <c r="G663" s="979" t="s">
        <v>6440</v>
      </c>
      <c r="H663" s="979">
        <v>201802</v>
      </c>
      <c r="I663" s="979">
        <v>139900</v>
      </c>
      <c r="J663" s="979">
        <v>0.73266403766490173</v>
      </c>
      <c r="K663" s="979">
        <v>147853.06812885249</v>
      </c>
      <c r="L663" s="979">
        <v>139900</v>
      </c>
      <c r="M663" s="979">
        <v>599</v>
      </c>
    </row>
    <row r="664" spans="1:13" ht="15">
      <c r="A664" s="979" t="s">
        <v>3475</v>
      </c>
      <c r="B664" s="1040" t="str">
        <f>CONCATENATE(LEFT(RIGHT(CONCATENATE("000",IFAData_TEA_1617!A664),6),3),"-",(RIGHT(RIGHT(CONCATENATE("000",IFAData_TEA_1617!A664),6),3)))</f>
        <v>060-914</v>
      </c>
      <c r="C664" s="979" t="s">
        <v>107</v>
      </c>
      <c r="D664" s="979">
        <v>5</v>
      </c>
      <c r="E664" s="979">
        <v>1810</v>
      </c>
      <c r="F664" s="979" t="s">
        <v>4512</v>
      </c>
      <c r="G664" s="979" t="s">
        <v>4512</v>
      </c>
      <c r="H664" s="979">
        <v>100000</v>
      </c>
      <c r="I664" s="979">
        <v>0</v>
      </c>
      <c r="J664" s="979">
        <v>0</v>
      </c>
      <c r="K664" s="979">
        <v>0</v>
      </c>
      <c r="L664" s="979">
        <v>0</v>
      </c>
      <c r="M664" s="979">
        <v>599</v>
      </c>
    </row>
    <row r="665" spans="1:13" ht="15">
      <c r="A665" s="979" t="s">
        <v>3475</v>
      </c>
      <c r="B665" s="1040" t="str">
        <f>CONCATENATE(LEFT(RIGHT(CONCATENATE("000",IFAData_TEA_1617!A665),6),3),"-",(RIGHT(RIGHT(CONCATENATE("000",IFAData_TEA_1617!A665),6),3)))</f>
        <v>060-914</v>
      </c>
      <c r="C665" s="979" t="s">
        <v>107</v>
      </c>
      <c r="D665" s="979">
        <v>5</v>
      </c>
      <c r="E665" s="979">
        <v>1810</v>
      </c>
      <c r="F665" s="979" t="s">
        <v>4512</v>
      </c>
      <c r="G665" s="979" t="s">
        <v>4513</v>
      </c>
      <c r="H665" s="979">
        <v>100000</v>
      </c>
      <c r="I665" s="979">
        <v>103000</v>
      </c>
      <c r="J665" s="979">
        <v>1</v>
      </c>
      <c r="K665" s="979">
        <v>100000</v>
      </c>
      <c r="L665" s="979">
        <v>100000</v>
      </c>
      <c r="M665" s="979">
        <v>599</v>
      </c>
    </row>
    <row r="666" spans="1:13" ht="15">
      <c r="A666" s="979" t="s">
        <v>3476</v>
      </c>
      <c r="B666" s="1040" t="str">
        <f>CONCATENATE(LEFT(RIGHT(CONCATENATE("000",IFAData_TEA_1617!A666),6),3),"-",(RIGHT(RIGHT(CONCATENATE("000",IFAData_TEA_1617!A666),6),3)))</f>
        <v>061-902</v>
      </c>
      <c r="C666" s="979" t="s">
        <v>2466</v>
      </c>
      <c r="D666" s="979">
        <v>2</v>
      </c>
      <c r="E666" s="979">
        <v>2018</v>
      </c>
      <c r="F666" s="979" t="s">
        <v>4517</v>
      </c>
      <c r="G666" s="979" t="s">
        <v>4516</v>
      </c>
      <c r="H666" s="979">
        <v>1811486</v>
      </c>
      <c r="I666" s="979">
        <v>811405</v>
      </c>
      <c r="J666" s="979">
        <v>0.45570853704083325</v>
      </c>
      <c r="K666" s="979">
        <v>825509.63492995081</v>
      </c>
      <c r="L666" s="979">
        <v>811405</v>
      </c>
      <c r="M666" s="979">
        <v>599</v>
      </c>
    </row>
    <row r="667" spans="1:13" ht="15">
      <c r="A667" s="979" t="s">
        <v>3476</v>
      </c>
      <c r="B667" s="1040" t="str">
        <f>CONCATENATE(LEFT(RIGHT(CONCATENATE("000",IFAData_TEA_1617!A667),6),3),"-",(RIGHT(RIGHT(CONCATENATE("000",IFAData_TEA_1617!A667),6),3)))</f>
        <v>061-902</v>
      </c>
      <c r="C667" s="979" t="s">
        <v>2466</v>
      </c>
      <c r="D667" s="979">
        <v>1</v>
      </c>
      <c r="E667" s="979">
        <v>2019</v>
      </c>
      <c r="F667" s="979" t="s">
        <v>4514</v>
      </c>
      <c r="G667" s="979" t="s">
        <v>4514</v>
      </c>
      <c r="H667" s="979">
        <v>3797900</v>
      </c>
      <c r="I667" s="979">
        <v>0</v>
      </c>
      <c r="J667" s="979">
        <v>0</v>
      </c>
      <c r="K667" s="979">
        <v>0</v>
      </c>
      <c r="L667" s="979">
        <v>0</v>
      </c>
      <c r="M667" s="979">
        <v>599</v>
      </c>
    </row>
    <row r="668" spans="1:13" ht="15">
      <c r="A668" s="979" t="s">
        <v>3476</v>
      </c>
      <c r="B668" s="1040" t="str">
        <f>CONCATENATE(LEFT(RIGHT(CONCATENATE("000",IFAData_TEA_1617!A668),6),3),"-",(RIGHT(RIGHT(CONCATENATE("000",IFAData_TEA_1617!A668),6),3)))</f>
        <v>061-902</v>
      </c>
      <c r="C668" s="979" t="s">
        <v>2466</v>
      </c>
      <c r="D668" s="979">
        <v>2</v>
      </c>
      <c r="E668" s="979">
        <v>2018</v>
      </c>
      <c r="F668" s="979" t="s">
        <v>4517</v>
      </c>
      <c r="G668" s="979" t="s">
        <v>4515</v>
      </c>
      <c r="H668" s="979">
        <v>1811486</v>
      </c>
      <c r="I668" s="979">
        <v>0</v>
      </c>
      <c r="J668" s="979">
        <v>0</v>
      </c>
      <c r="K668" s="979">
        <v>0</v>
      </c>
      <c r="L668" s="979">
        <v>0</v>
      </c>
      <c r="M668" s="979">
        <v>599</v>
      </c>
    </row>
    <row r="669" spans="1:13" ht="15">
      <c r="A669" s="979" t="s">
        <v>3476</v>
      </c>
      <c r="B669" s="1040" t="str">
        <f>CONCATENATE(LEFT(RIGHT(CONCATENATE("000",IFAData_TEA_1617!A669),6),3),"-",(RIGHT(RIGHT(CONCATENATE("000",IFAData_TEA_1617!A669),6),3)))</f>
        <v>061-902</v>
      </c>
      <c r="C669" s="979" t="s">
        <v>2466</v>
      </c>
      <c r="D669" s="979">
        <v>1</v>
      </c>
      <c r="E669" s="979">
        <v>2019</v>
      </c>
      <c r="F669" s="979" t="s">
        <v>4514</v>
      </c>
      <c r="G669" s="979" t="s">
        <v>4515</v>
      </c>
      <c r="H669" s="979">
        <v>3797900</v>
      </c>
      <c r="I669" s="979">
        <v>0</v>
      </c>
      <c r="J669" s="979">
        <v>0</v>
      </c>
      <c r="K669" s="979">
        <v>0</v>
      </c>
      <c r="L669" s="979">
        <v>0</v>
      </c>
      <c r="M669" s="979">
        <v>599</v>
      </c>
    </row>
    <row r="670" spans="1:13" ht="15">
      <c r="A670" s="979" t="s">
        <v>3476</v>
      </c>
      <c r="B670" s="1040" t="str">
        <f>CONCATENATE(LEFT(RIGHT(CONCATENATE("000",IFAData_TEA_1617!A670),6),3),"-",(RIGHT(RIGHT(CONCATENATE("000",IFAData_TEA_1617!A670),6),3)))</f>
        <v>061-902</v>
      </c>
      <c r="C670" s="979" t="s">
        <v>2466</v>
      </c>
      <c r="D670" s="979">
        <v>2</v>
      </c>
      <c r="E670" s="979">
        <v>2018</v>
      </c>
      <c r="F670" s="979" t="s">
        <v>4517</v>
      </c>
      <c r="G670" s="979" t="s">
        <v>6441</v>
      </c>
      <c r="H670" s="979">
        <v>1811486</v>
      </c>
      <c r="I670" s="979">
        <v>969130</v>
      </c>
      <c r="J670" s="979">
        <v>0.54429146295916675</v>
      </c>
      <c r="K670" s="979">
        <v>985976.36507004919</v>
      </c>
      <c r="L670" s="979">
        <v>969130</v>
      </c>
      <c r="M670" s="979">
        <v>599</v>
      </c>
    </row>
    <row r="671" spans="1:13" ht="15">
      <c r="A671" s="979" t="s">
        <v>3476</v>
      </c>
      <c r="B671" s="1040" t="str">
        <f>CONCATENATE(LEFT(RIGHT(CONCATENATE("000",IFAData_TEA_1617!A671),6),3),"-",(RIGHT(RIGHT(CONCATENATE("000",IFAData_TEA_1617!A671),6),3)))</f>
        <v>061-902</v>
      </c>
      <c r="C671" s="979" t="s">
        <v>2466</v>
      </c>
      <c r="D671" s="979">
        <v>1</v>
      </c>
      <c r="E671" s="979">
        <v>2019</v>
      </c>
      <c r="F671" s="979" t="s">
        <v>4514</v>
      </c>
      <c r="G671" s="979" t="s">
        <v>4516</v>
      </c>
      <c r="H671" s="979">
        <v>3797900</v>
      </c>
      <c r="I671" s="979">
        <v>1357850</v>
      </c>
      <c r="J671" s="979">
        <v>0.45570834397497423</v>
      </c>
      <c r="K671" s="979">
        <v>1730734.7195825547</v>
      </c>
      <c r="L671" s="979">
        <v>1357850</v>
      </c>
      <c r="M671" s="979">
        <v>599</v>
      </c>
    </row>
    <row r="672" spans="1:13" ht="15">
      <c r="A672" s="979" t="s">
        <v>3476</v>
      </c>
      <c r="B672" s="1040" t="str">
        <f>CONCATENATE(LEFT(RIGHT(CONCATENATE("000",IFAData_TEA_1617!A672),6),3),"-",(RIGHT(RIGHT(CONCATENATE("000",IFAData_TEA_1617!A672),6),3)))</f>
        <v>061-902</v>
      </c>
      <c r="C672" s="979" t="s">
        <v>2466</v>
      </c>
      <c r="D672" s="979">
        <v>2</v>
      </c>
      <c r="E672" s="979">
        <v>2018</v>
      </c>
      <c r="F672" s="979" t="s">
        <v>4517</v>
      </c>
      <c r="G672" s="979" t="s">
        <v>4517</v>
      </c>
      <c r="H672" s="979">
        <v>1811486</v>
      </c>
      <c r="I672" s="979">
        <v>0</v>
      </c>
      <c r="J672" s="979">
        <v>0</v>
      </c>
      <c r="K672" s="979">
        <v>0</v>
      </c>
      <c r="L672" s="979">
        <v>0</v>
      </c>
      <c r="M672" s="979">
        <v>599</v>
      </c>
    </row>
    <row r="673" spans="1:13" ht="15">
      <c r="A673" s="979" t="s">
        <v>3476</v>
      </c>
      <c r="B673" s="1040" t="str">
        <f>CONCATENATE(LEFT(RIGHT(CONCATENATE("000",IFAData_TEA_1617!A673),6),3),"-",(RIGHT(RIGHT(CONCATENATE("000",IFAData_TEA_1617!A673),6),3)))</f>
        <v>061-902</v>
      </c>
      <c r="C673" s="979" t="s">
        <v>2466</v>
      </c>
      <c r="D673" s="979">
        <v>1</v>
      </c>
      <c r="E673" s="979">
        <v>2019</v>
      </c>
      <c r="F673" s="979" t="s">
        <v>4514</v>
      </c>
      <c r="G673" s="979" t="s">
        <v>6441</v>
      </c>
      <c r="H673" s="979">
        <v>3797900</v>
      </c>
      <c r="I673" s="979">
        <v>1621797</v>
      </c>
      <c r="J673" s="979">
        <v>0.54429165602502583</v>
      </c>
      <c r="K673" s="979">
        <v>2067165.2804174456</v>
      </c>
      <c r="L673" s="979">
        <v>1621797</v>
      </c>
      <c r="M673" s="979">
        <v>599</v>
      </c>
    </row>
    <row r="674" spans="1:13" ht="15">
      <c r="A674" s="979" t="s">
        <v>4518</v>
      </c>
      <c r="B674" s="1040" t="str">
        <f>CONCATENATE(LEFT(RIGHT(CONCATENATE("000",IFAData_TEA_1617!A674),6),3),"-",(RIGHT(RIGHT(CONCATENATE("000",IFAData_TEA_1617!A674),6),3)))</f>
        <v>061-903</v>
      </c>
      <c r="C674" s="979" t="s">
        <v>1000</v>
      </c>
      <c r="D674" s="979">
        <v>1</v>
      </c>
      <c r="E674" s="979">
        <v>2197</v>
      </c>
      <c r="F674" s="979" t="s">
        <v>4519</v>
      </c>
      <c r="G674" s="979" t="s">
        <v>4519</v>
      </c>
      <c r="H674" s="979">
        <v>294250</v>
      </c>
      <c r="I674" s="979">
        <v>0</v>
      </c>
      <c r="J674" s="979">
        <v>0</v>
      </c>
      <c r="K674" s="979"/>
      <c r="L674" s="979">
        <v>0</v>
      </c>
      <c r="M674" s="979">
        <v>599</v>
      </c>
    </row>
    <row r="675" spans="1:13" ht="15">
      <c r="A675" s="979" t="s">
        <v>3477</v>
      </c>
      <c r="B675" s="1040" t="str">
        <f>CONCATENATE(LEFT(RIGHT(CONCATENATE("000",IFAData_TEA_1617!A675),6),3),"-",(RIGHT(RIGHT(CONCATENATE("000",IFAData_TEA_1617!A675),6),3)))</f>
        <v>061-905</v>
      </c>
      <c r="C675" s="979" t="s">
        <v>1692</v>
      </c>
      <c r="D675" s="979">
        <v>4</v>
      </c>
      <c r="E675" s="979">
        <v>1973</v>
      </c>
      <c r="F675" s="979" t="s">
        <v>4522</v>
      </c>
      <c r="G675" s="979" t="s">
        <v>6230</v>
      </c>
      <c r="H675" s="979">
        <v>236619</v>
      </c>
      <c r="I675" s="979">
        <v>420814</v>
      </c>
      <c r="J675" s="979">
        <v>0.52166227210575711</v>
      </c>
      <c r="K675" s="979">
        <v>123435.20516339214</v>
      </c>
      <c r="L675" s="979">
        <v>123435.20516339214</v>
      </c>
      <c r="M675" s="979">
        <v>599</v>
      </c>
    </row>
    <row r="676" spans="1:13" ht="15">
      <c r="A676" s="979" t="s">
        <v>3477</v>
      </c>
      <c r="B676" s="1040" t="str">
        <f>CONCATENATE(LEFT(RIGHT(CONCATENATE("000",IFAData_TEA_1617!A676),6),3),"-",(RIGHT(RIGHT(CONCATENATE("000",IFAData_TEA_1617!A676),6),3)))</f>
        <v>061-905</v>
      </c>
      <c r="C676" s="979" t="s">
        <v>1692</v>
      </c>
      <c r="D676" s="979">
        <v>4</v>
      </c>
      <c r="E676" s="979">
        <v>1973</v>
      </c>
      <c r="F676" s="979" t="s">
        <v>4522</v>
      </c>
      <c r="G676" s="979" t="s">
        <v>4524</v>
      </c>
      <c r="H676" s="979">
        <v>236619</v>
      </c>
      <c r="I676" s="979">
        <v>3014</v>
      </c>
      <c r="J676" s="979">
        <v>3.7363065110161539E-3</v>
      </c>
      <c r="K676" s="979">
        <v>884.08111033013131</v>
      </c>
      <c r="L676" s="979">
        <v>884.08111033013131</v>
      </c>
      <c r="M676" s="979">
        <v>599</v>
      </c>
    </row>
    <row r="677" spans="1:13" ht="15">
      <c r="A677" s="979" t="s">
        <v>3477</v>
      </c>
      <c r="B677" s="1040" t="str">
        <f>CONCATENATE(LEFT(RIGHT(CONCATENATE("000",IFAData_TEA_1617!A677),6),3),"-",(RIGHT(RIGHT(CONCATENATE("000",IFAData_TEA_1617!A677),6),3)))</f>
        <v>061-905</v>
      </c>
      <c r="C677" s="979" t="s">
        <v>1692</v>
      </c>
      <c r="D677" s="979">
        <v>4</v>
      </c>
      <c r="E677" s="979">
        <v>1972</v>
      </c>
      <c r="F677" s="979" t="s">
        <v>4520</v>
      </c>
      <c r="G677" s="979" t="s">
        <v>4521</v>
      </c>
      <c r="H677" s="979">
        <v>90131</v>
      </c>
      <c r="I677" s="979">
        <v>0</v>
      </c>
      <c r="J677" s="979">
        <v>0</v>
      </c>
      <c r="K677" s="979">
        <v>0</v>
      </c>
      <c r="L677" s="979">
        <v>0</v>
      </c>
      <c r="M677" s="979">
        <v>599</v>
      </c>
    </row>
    <row r="678" spans="1:13" ht="15">
      <c r="A678" s="979" t="s">
        <v>3477</v>
      </c>
      <c r="B678" s="1040" t="str">
        <f>CONCATENATE(LEFT(RIGHT(CONCATENATE("000",IFAData_TEA_1617!A678),6),3),"-",(RIGHT(RIGHT(CONCATENATE("000",IFAData_TEA_1617!A678),6),3)))</f>
        <v>061-905</v>
      </c>
      <c r="C678" s="979" t="s">
        <v>1692</v>
      </c>
      <c r="D678" s="979">
        <v>4</v>
      </c>
      <c r="E678" s="979">
        <v>1973</v>
      </c>
      <c r="F678" s="979" t="s">
        <v>4522</v>
      </c>
      <c r="G678" s="979" t="s">
        <v>4521</v>
      </c>
      <c r="H678" s="979">
        <v>236619</v>
      </c>
      <c r="I678" s="979">
        <v>382851</v>
      </c>
      <c r="J678" s="979">
        <v>0.47460142138322681</v>
      </c>
      <c r="K678" s="979">
        <v>112299.71372627774</v>
      </c>
      <c r="L678" s="979">
        <v>112299.71372627774</v>
      </c>
      <c r="M678" s="979">
        <v>599</v>
      </c>
    </row>
    <row r="679" spans="1:13" ht="15">
      <c r="A679" s="979" t="s">
        <v>3477</v>
      </c>
      <c r="B679" s="1040" t="str">
        <f>CONCATENATE(LEFT(RIGHT(CONCATENATE("000",IFAData_TEA_1617!A679),6),3),"-",(RIGHT(RIGHT(CONCATENATE("000",IFAData_TEA_1617!A679),6),3)))</f>
        <v>061-905</v>
      </c>
      <c r="C679" s="979" t="s">
        <v>1692</v>
      </c>
      <c r="D679" s="979">
        <v>4</v>
      </c>
      <c r="E679" s="979">
        <v>1973</v>
      </c>
      <c r="F679" s="979" t="s">
        <v>4522</v>
      </c>
      <c r="G679" s="979" t="s">
        <v>4522</v>
      </c>
      <c r="H679" s="979">
        <v>236619</v>
      </c>
      <c r="I679" s="979">
        <v>0</v>
      </c>
      <c r="J679" s="979">
        <v>0</v>
      </c>
      <c r="K679" s="979">
        <v>0</v>
      </c>
      <c r="L679" s="979">
        <v>0</v>
      </c>
      <c r="M679" s="979">
        <v>599</v>
      </c>
    </row>
    <row r="680" spans="1:13" ht="15">
      <c r="A680" s="979" t="s">
        <v>3477</v>
      </c>
      <c r="B680" s="1040" t="str">
        <f>CONCATENATE(LEFT(RIGHT(CONCATENATE("000",IFAData_TEA_1617!A680),6),3),"-",(RIGHT(RIGHT(CONCATENATE("000",IFAData_TEA_1617!A680),6),3)))</f>
        <v>061-905</v>
      </c>
      <c r="C680" s="979" t="s">
        <v>1692</v>
      </c>
      <c r="D680" s="979">
        <v>4</v>
      </c>
      <c r="E680" s="979">
        <v>1972</v>
      </c>
      <c r="F680" s="979" t="s">
        <v>4520</v>
      </c>
      <c r="G680" s="979" t="s">
        <v>6230</v>
      </c>
      <c r="H680" s="979">
        <v>90131</v>
      </c>
      <c r="I680" s="979">
        <v>62040</v>
      </c>
      <c r="J680" s="979">
        <v>1</v>
      </c>
      <c r="K680" s="979">
        <v>90131</v>
      </c>
      <c r="L680" s="979">
        <v>62040</v>
      </c>
      <c r="M680" s="979">
        <v>599</v>
      </c>
    </row>
    <row r="681" spans="1:13" ht="15">
      <c r="A681" s="979" t="s">
        <v>3477</v>
      </c>
      <c r="B681" s="1040" t="str">
        <f>CONCATENATE(LEFT(RIGHT(CONCATENATE("000",IFAData_TEA_1617!A681),6),3),"-",(RIGHT(RIGHT(CONCATENATE("000",IFAData_TEA_1617!A681),6),3)))</f>
        <v>061-905</v>
      </c>
      <c r="C681" s="979" t="s">
        <v>1692</v>
      </c>
      <c r="D681" s="979">
        <v>4</v>
      </c>
      <c r="E681" s="979">
        <v>1972</v>
      </c>
      <c r="F681" s="979" t="s">
        <v>4520</v>
      </c>
      <c r="G681" s="979" t="s">
        <v>4520</v>
      </c>
      <c r="H681" s="979">
        <v>90131</v>
      </c>
      <c r="I681" s="979">
        <v>0</v>
      </c>
      <c r="J681" s="979">
        <v>0</v>
      </c>
      <c r="K681" s="979">
        <v>0</v>
      </c>
      <c r="L681" s="979">
        <v>0</v>
      </c>
      <c r="M681" s="979">
        <v>599</v>
      </c>
    </row>
    <row r="682" spans="1:13" ht="15">
      <c r="A682" s="979" t="s">
        <v>3477</v>
      </c>
      <c r="B682" s="1040" t="str">
        <f>CONCATENATE(LEFT(RIGHT(CONCATENATE("000",IFAData_TEA_1617!A682),6),3),"-",(RIGHT(RIGHT(CONCATENATE("000",IFAData_TEA_1617!A682),6),3)))</f>
        <v>061-905</v>
      </c>
      <c r="C682" s="979" t="s">
        <v>1692</v>
      </c>
      <c r="D682" s="979">
        <v>4</v>
      </c>
      <c r="E682" s="979">
        <v>1973</v>
      </c>
      <c r="F682" s="979" t="s">
        <v>4522</v>
      </c>
      <c r="G682" s="979" t="s">
        <v>4523</v>
      </c>
      <c r="H682" s="979">
        <v>236619</v>
      </c>
      <c r="I682" s="979">
        <v>0</v>
      </c>
      <c r="J682" s="979">
        <v>0</v>
      </c>
      <c r="K682" s="979">
        <v>0</v>
      </c>
      <c r="L682" s="979">
        <v>0</v>
      </c>
      <c r="M682" s="979">
        <v>599</v>
      </c>
    </row>
    <row r="683" spans="1:13" ht="15">
      <c r="A683" s="979" t="s">
        <v>3478</v>
      </c>
      <c r="B683" s="1040" t="str">
        <f>CONCATENATE(LEFT(RIGHT(CONCATENATE("000",IFAData_TEA_1617!A683),6),3),"-",(RIGHT(RIGHT(CONCATENATE("000",IFAData_TEA_1617!A683),6),3)))</f>
        <v>061-906</v>
      </c>
      <c r="C683" s="979" t="s">
        <v>1002</v>
      </c>
      <c r="D683" s="979">
        <v>2</v>
      </c>
      <c r="E683" s="979">
        <v>2201</v>
      </c>
      <c r="F683" s="979" t="s">
        <v>4525</v>
      </c>
      <c r="G683" s="979" t="s">
        <v>4526</v>
      </c>
      <c r="H683" s="979">
        <v>139761</v>
      </c>
      <c r="I683" s="979">
        <v>475925</v>
      </c>
      <c r="J683" s="979">
        <v>1</v>
      </c>
      <c r="K683" s="979">
        <v>139761</v>
      </c>
      <c r="L683" s="979">
        <v>139761</v>
      </c>
      <c r="M683" s="979">
        <v>599</v>
      </c>
    </row>
    <row r="684" spans="1:13" ht="15">
      <c r="A684" s="979" t="s">
        <v>3478</v>
      </c>
      <c r="B684" s="1040" t="str">
        <f>CONCATENATE(LEFT(RIGHT(CONCATENATE("000",IFAData_TEA_1617!A684),6),3),"-",(RIGHT(RIGHT(CONCATENATE("000",IFAData_TEA_1617!A684),6),3)))</f>
        <v>061-906</v>
      </c>
      <c r="C684" s="979" t="s">
        <v>1002</v>
      </c>
      <c r="D684" s="979">
        <v>2</v>
      </c>
      <c r="E684" s="979">
        <v>2201</v>
      </c>
      <c r="F684" s="979" t="s">
        <v>4525</v>
      </c>
      <c r="G684" s="979" t="s">
        <v>4525</v>
      </c>
      <c r="H684" s="979">
        <v>139761</v>
      </c>
      <c r="I684" s="979">
        <v>0</v>
      </c>
      <c r="J684" s="979">
        <v>0</v>
      </c>
      <c r="K684" s="979">
        <v>0</v>
      </c>
      <c r="L684" s="979">
        <v>0</v>
      </c>
      <c r="M684" s="979">
        <v>599</v>
      </c>
    </row>
    <row r="685" spans="1:13" ht="15">
      <c r="A685" s="979" t="s">
        <v>3479</v>
      </c>
      <c r="B685" s="1040" t="str">
        <f>CONCATENATE(LEFT(RIGHT(CONCATENATE("000",IFAData_TEA_1617!A685),6),3),"-",(RIGHT(RIGHT(CONCATENATE("000",IFAData_TEA_1617!A685),6),3)))</f>
        <v>061-907</v>
      </c>
      <c r="C685" s="979" t="s">
        <v>2116</v>
      </c>
      <c r="D685" s="979">
        <v>1</v>
      </c>
      <c r="E685" s="979">
        <v>1585</v>
      </c>
      <c r="F685" s="979" t="s">
        <v>4527</v>
      </c>
      <c r="G685" s="979" t="s">
        <v>4530</v>
      </c>
      <c r="H685" s="979">
        <v>223500</v>
      </c>
      <c r="I685" s="979">
        <v>29490</v>
      </c>
      <c r="J685" s="979">
        <v>3.6865864010090919E-2</v>
      </c>
      <c r="K685" s="979">
        <v>8239.5206062553207</v>
      </c>
      <c r="L685" s="979">
        <v>8239.5206062553207</v>
      </c>
      <c r="M685" s="979">
        <v>599</v>
      </c>
    </row>
    <row r="686" spans="1:13" ht="15">
      <c r="A686" s="979" t="s">
        <v>3479</v>
      </c>
      <c r="B686" s="1040" t="str">
        <f>CONCATENATE(LEFT(RIGHT(CONCATENATE("000",IFAData_TEA_1617!A686),6),3),"-",(RIGHT(RIGHT(CONCATENATE("000",IFAData_TEA_1617!A686),6),3)))</f>
        <v>061-907</v>
      </c>
      <c r="C686" s="979" t="s">
        <v>2116</v>
      </c>
      <c r="D686" s="979">
        <v>1</v>
      </c>
      <c r="E686" s="979">
        <v>1585</v>
      </c>
      <c r="F686" s="979" t="s">
        <v>4527</v>
      </c>
      <c r="G686" s="979" t="s">
        <v>4528</v>
      </c>
      <c r="H686" s="979">
        <v>223500</v>
      </c>
      <c r="I686" s="979">
        <v>0</v>
      </c>
      <c r="J686" s="979">
        <v>0</v>
      </c>
      <c r="K686" s="979">
        <v>0</v>
      </c>
      <c r="L686" s="979">
        <v>0</v>
      </c>
      <c r="M686" s="979">
        <v>599</v>
      </c>
    </row>
    <row r="687" spans="1:13" ht="15">
      <c r="A687" s="979" t="s">
        <v>3479</v>
      </c>
      <c r="B687" s="1040" t="str">
        <f>CONCATENATE(LEFT(RIGHT(CONCATENATE("000",IFAData_TEA_1617!A687),6),3),"-",(RIGHT(RIGHT(CONCATENATE("000",IFAData_TEA_1617!A687),6),3)))</f>
        <v>061-907</v>
      </c>
      <c r="C687" s="979" t="s">
        <v>2116</v>
      </c>
      <c r="D687" s="979">
        <v>1</v>
      </c>
      <c r="E687" s="979">
        <v>1585</v>
      </c>
      <c r="F687" s="979" t="s">
        <v>4527</v>
      </c>
      <c r="G687" s="979" t="s">
        <v>4529</v>
      </c>
      <c r="H687" s="979">
        <v>223500</v>
      </c>
      <c r="I687" s="979">
        <v>35448</v>
      </c>
      <c r="J687" s="979">
        <v>4.4314043656483657E-2</v>
      </c>
      <c r="K687" s="979">
        <v>9904.1887572240976</v>
      </c>
      <c r="L687" s="979">
        <v>9904.1887572240976</v>
      </c>
      <c r="M687" s="979">
        <v>599</v>
      </c>
    </row>
    <row r="688" spans="1:13" ht="15">
      <c r="A688" s="979" t="s">
        <v>3479</v>
      </c>
      <c r="B688" s="1040" t="str">
        <f>CONCATENATE(LEFT(RIGHT(CONCATENATE("000",IFAData_TEA_1617!A688),6),3),"-",(RIGHT(RIGHT(CONCATENATE("000",IFAData_TEA_1617!A688),6),3)))</f>
        <v>061-907</v>
      </c>
      <c r="C688" s="979" t="s">
        <v>2116</v>
      </c>
      <c r="D688" s="979">
        <v>1</v>
      </c>
      <c r="E688" s="979">
        <v>1585</v>
      </c>
      <c r="F688" s="979" t="s">
        <v>4527</v>
      </c>
      <c r="G688" s="979" t="s">
        <v>4527</v>
      </c>
      <c r="H688" s="979">
        <v>223500</v>
      </c>
      <c r="I688" s="979">
        <v>685000</v>
      </c>
      <c r="J688" s="979">
        <v>0.85632813994276979</v>
      </c>
      <c r="K688" s="979">
        <v>191389.33927720904</v>
      </c>
      <c r="L688" s="979">
        <v>191389.33927720904</v>
      </c>
      <c r="M688" s="979">
        <v>599</v>
      </c>
    </row>
    <row r="689" spans="1:13" ht="15">
      <c r="A689" s="979" t="s">
        <v>3479</v>
      </c>
      <c r="B689" s="1040" t="str">
        <f>CONCATENATE(LEFT(RIGHT(CONCATENATE("000",IFAData_TEA_1617!A689),6),3),"-",(RIGHT(RIGHT(CONCATENATE("000",IFAData_TEA_1617!A689),6),3)))</f>
        <v>061-907</v>
      </c>
      <c r="C689" s="979" t="s">
        <v>2116</v>
      </c>
      <c r="D689" s="979">
        <v>1</v>
      </c>
      <c r="E689" s="979">
        <v>1585</v>
      </c>
      <c r="F689" s="979" t="s">
        <v>4527</v>
      </c>
      <c r="G689" s="979" t="s">
        <v>6442</v>
      </c>
      <c r="H689" s="979">
        <v>223500</v>
      </c>
      <c r="I689" s="979">
        <v>34335</v>
      </c>
      <c r="J689" s="979">
        <v>4.2922666693335769E-2</v>
      </c>
      <c r="K689" s="979">
        <v>9593.2160059605449</v>
      </c>
      <c r="L689" s="979">
        <v>9593.2160059605449</v>
      </c>
      <c r="M689" s="979">
        <v>599</v>
      </c>
    </row>
    <row r="690" spans="1:13" ht="15">
      <c r="A690" s="979" t="s">
        <v>3479</v>
      </c>
      <c r="B690" s="1040" t="str">
        <f>CONCATENATE(LEFT(RIGHT(CONCATENATE("000",IFAData_TEA_1617!A690),6),3),"-",(RIGHT(RIGHT(CONCATENATE("000",IFAData_TEA_1617!A690),6),3)))</f>
        <v>061-907</v>
      </c>
      <c r="C690" s="979" t="s">
        <v>2116</v>
      </c>
      <c r="D690" s="979">
        <v>9</v>
      </c>
      <c r="E690" s="979">
        <v>1586</v>
      </c>
      <c r="F690" s="979" t="s">
        <v>4531</v>
      </c>
      <c r="G690" s="979" t="s">
        <v>4531</v>
      </c>
      <c r="H690" s="979">
        <v>244398</v>
      </c>
      <c r="I690" s="979">
        <v>355351</v>
      </c>
      <c r="J690" s="979">
        <v>1</v>
      </c>
      <c r="K690" s="979">
        <v>244398</v>
      </c>
      <c r="L690" s="979">
        <v>244398</v>
      </c>
      <c r="M690" s="979">
        <v>599</v>
      </c>
    </row>
    <row r="691" spans="1:13" ht="15">
      <c r="A691" s="979" t="s">
        <v>3479</v>
      </c>
      <c r="B691" s="1040" t="str">
        <f>CONCATENATE(LEFT(RIGHT(CONCATENATE("000",IFAData_TEA_1617!A691),6),3),"-",(RIGHT(RIGHT(CONCATENATE("000",IFAData_TEA_1617!A691),6),3)))</f>
        <v>061-907</v>
      </c>
      <c r="C691" s="979" t="s">
        <v>2116</v>
      </c>
      <c r="D691" s="979">
        <v>1</v>
      </c>
      <c r="E691" s="979">
        <v>1585</v>
      </c>
      <c r="F691" s="979" t="s">
        <v>4527</v>
      </c>
      <c r="G691" s="979" t="s">
        <v>6231</v>
      </c>
      <c r="H691" s="979">
        <v>223500</v>
      </c>
      <c r="I691" s="979">
        <v>15654</v>
      </c>
      <c r="J691" s="979">
        <v>1.9569285697319881E-2</v>
      </c>
      <c r="K691" s="979">
        <v>4373.7353533509931</v>
      </c>
      <c r="L691" s="979">
        <v>4373.7353533509931</v>
      </c>
      <c r="M691" s="979">
        <v>599</v>
      </c>
    </row>
    <row r="692" spans="1:13" ht="15">
      <c r="A692" s="979" t="s">
        <v>3480</v>
      </c>
      <c r="B692" s="1040" t="str">
        <f>CONCATENATE(LEFT(RIGHT(CONCATENATE("000",IFAData_TEA_1617!A692),6),3),"-",(RIGHT(RIGHT(CONCATENATE("000",IFAData_TEA_1617!A692),6),3)))</f>
        <v>061-908</v>
      </c>
      <c r="C692" s="979" t="s">
        <v>2060</v>
      </c>
      <c r="D692" s="979">
        <v>1</v>
      </c>
      <c r="E692" s="979">
        <v>2303</v>
      </c>
      <c r="F692" s="979" t="s">
        <v>4532</v>
      </c>
      <c r="G692" s="979" t="s">
        <v>4533</v>
      </c>
      <c r="H692" s="979">
        <v>161107</v>
      </c>
      <c r="I692" s="979">
        <v>29602</v>
      </c>
      <c r="J692" s="979">
        <v>5.6405712598012595E-2</v>
      </c>
      <c r="K692" s="979">
        <v>9087.3551395280156</v>
      </c>
      <c r="L692" s="979">
        <v>9087.3551395280156</v>
      </c>
      <c r="M692" s="979">
        <v>599</v>
      </c>
    </row>
    <row r="693" spans="1:13" ht="15">
      <c r="A693" s="979" t="s">
        <v>3480</v>
      </c>
      <c r="B693" s="1040" t="str">
        <f>CONCATENATE(LEFT(RIGHT(CONCATENATE("000",IFAData_TEA_1617!A693),6),3),"-",(RIGHT(RIGHT(CONCATENATE("000",IFAData_TEA_1617!A693),6),3)))</f>
        <v>061-908</v>
      </c>
      <c r="C693" s="979" t="s">
        <v>2060</v>
      </c>
      <c r="D693" s="979">
        <v>9</v>
      </c>
      <c r="E693" s="979">
        <v>2305</v>
      </c>
      <c r="F693" s="979" t="s">
        <v>4533</v>
      </c>
      <c r="G693" s="979" t="s">
        <v>6232</v>
      </c>
      <c r="H693" s="979">
        <v>566674</v>
      </c>
      <c r="I693" s="979">
        <v>312914</v>
      </c>
      <c r="J693" s="979">
        <v>0.47751769055979537</v>
      </c>
      <c r="K693" s="979">
        <v>270596.85978028149</v>
      </c>
      <c r="L693" s="979">
        <v>270596.85978028149</v>
      </c>
      <c r="M693" s="979">
        <v>599</v>
      </c>
    </row>
    <row r="694" spans="1:13" ht="15">
      <c r="A694" s="979" t="s">
        <v>3480</v>
      </c>
      <c r="B694" s="1040" t="str">
        <f>CONCATENATE(LEFT(RIGHT(CONCATENATE("000",IFAData_TEA_1617!A694),6),3),"-",(RIGHT(RIGHT(CONCATENATE("000",IFAData_TEA_1617!A694),6),3)))</f>
        <v>061-908</v>
      </c>
      <c r="C694" s="979" t="s">
        <v>2060</v>
      </c>
      <c r="D694" s="979">
        <v>1</v>
      </c>
      <c r="E694" s="979">
        <v>2303</v>
      </c>
      <c r="F694" s="979" t="s">
        <v>4532</v>
      </c>
      <c r="G694" s="979" t="s">
        <v>4534</v>
      </c>
      <c r="H694" s="979">
        <v>161107</v>
      </c>
      <c r="I694" s="979">
        <v>14142</v>
      </c>
      <c r="J694" s="979">
        <v>2.6947151799239719E-2</v>
      </c>
      <c r="K694" s="979">
        <v>4341.3747849201136</v>
      </c>
      <c r="L694" s="979">
        <v>4341.3747849201136</v>
      </c>
      <c r="M694" s="979">
        <v>599</v>
      </c>
    </row>
    <row r="695" spans="1:13" ht="15">
      <c r="A695" s="979" t="s">
        <v>3480</v>
      </c>
      <c r="B695" s="1040" t="str">
        <f>CONCATENATE(LEFT(RIGHT(CONCATENATE("000",IFAData_TEA_1617!A695),6),3),"-",(RIGHT(RIGHT(CONCATENATE("000",IFAData_TEA_1617!A695),6),3)))</f>
        <v>061-908</v>
      </c>
      <c r="C695" s="979" t="s">
        <v>2060</v>
      </c>
      <c r="D695" s="979">
        <v>9</v>
      </c>
      <c r="E695" s="979">
        <v>2305</v>
      </c>
      <c r="F695" s="979" t="s">
        <v>4533</v>
      </c>
      <c r="G695" s="979" t="s">
        <v>4534</v>
      </c>
      <c r="H695" s="979">
        <v>566674</v>
      </c>
      <c r="I695" s="979">
        <v>0</v>
      </c>
      <c r="J695" s="979">
        <v>0</v>
      </c>
      <c r="K695" s="979">
        <v>0</v>
      </c>
      <c r="L695" s="979">
        <v>0</v>
      </c>
      <c r="M695" s="979">
        <v>599</v>
      </c>
    </row>
    <row r="696" spans="1:13" ht="15">
      <c r="A696" s="979" t="s">
        <v>3480</v>
      </c>
      <c r="B696" s="1040" t="str">
        <f>CONCATENATE(LEFT(RIGHT(CONCATENATE("000",IFAData_TEA_1617!A696),6),3),"-",(RIGHT(RIGHT(CONCATENATE("000",IFAData_TEA_1617!A696),6),3)))</f>
        <v>061-908</v>
      </c>
      <c r="C696" s="979" t="s">
        <v>2060</v>
      </c>
      <c r="D696" s="979">
        <v>9</v>
      </c>
      <c r="E696" s="979">
        <v>2305</v>
      </c>
      <c r="F696" s="979" t="s">
        <v>4533</v>
      </c>
      <c r="G696" s="979" t="s">
        <v>4533</v>
      </c>
      <c r="H696" s="979">
        <v>566674</v>
      </c>
      <c r="I696" s="979">
        <v>342379</v>
      </c>
      <c r="J696" s="979">
        <v>0.52248230944020457</v>
      </c>
      <c r="K696" s="979">
        <v>296077.14021971851</v>
      </c>
      <c r="L696" s="979">
        <v>296077.14021971851</v>
      </c>
      <c r="M696" s="979">
        <v>599</v>
      </c>
    </row>
    <row r="697" spans="1:13" ht="15">
      <c r="A697" s="979" t="s">
        <v>3480</v>
      </c>
      <c r="B697" s="1040" t="str">
        <f>CONCATENATE(LEFT(RIGHT(CONCATENATE("000",IFAData_TEA_1617!A697),6),3),"-",(RIGHT(RIGHT(CONCATENATE("000",IFAData_TEA_1617!A697),6),3)))</f>
        <v>061-908</v>
      </c>
      <c r="C697" s="979" t="s">
        <v>2060</v>
      </c>
      <c r="D697" s="979">
        <v>1</v>
      </c>
      <c r="E697" s="979">
        <v>2303</v>
      </c>
      <c r="F697" s="979" t="s">
        <v>4532</v>
      </c>
      <c r="G697" s="979" t="s">
        <v>6232</v>
      </c>
      <c r="H697" s="979">
        <v>161107</v>
      </c>
      <c r="I697" s="979">
        <v>39981</v>
      </c>
      <c r="J697" s="979">
        <v>7.6182582101923565E-2</v>
      </c>
      <c r="K697" s="979">
        <v>12273.5472546946</v>
      </c>
      <c r="L697" s="979">
        <v>12273.5472546946</v>
      </c>
      <c r="M697" s="979">
        <v>599</v>
      </c>
    </row>
    <row r="698" spans="1:13" ht="15">
      <c r="A698" s="979" t="s">
        <v>3480</v>
      </c>
      <c r="B698" s="1040" t="str">
        <f>CONCATENATE(LEFT(RIGHT(CONCATENATE("000",IFAData_TEA_1617!A698),6),3),"-",(RIGHT(RIGHT(CONCATENATE("000",IFAData_TEA_1617!A698),6),3)))</f>
        <v>061-908</v>
      </c>
      <c r="C698" s="979" t="s">
        <v>2060</v>
      </c>
      <c r="D698" s="979">
        <v>1</v>
      </c>
      <c r="E698" s="979">
        <v>2303</v>
      </c>
      <c r="F698" s="979" t="s">
        <v>4532</v>
      </c>
      <c r="G698" s="979" t="s">
        <v>4532</v>
      </c>
      <c r="H698" s="979">
        <v>161107</v>
      </c>
      <c r="I698" s="979">
        <v>441080</v>
      </c>
      <c r="J698" s="979">
        <v>0.84046455350082416</v>
      </c>
      <c r="K698" s="979">
        <v>135404.72282085728</v>
      </c>
      <c r="L698" s="979">
        <v>135404.72282085728</v>
      </c>
      <c r="M698" s="979">
        <v>599</v>
      </c>
    </row>
    <row r="699" spans="1:13" ht="15">
      <c r="A699" s="979" t="s">
        <v>3480</v>
      </c>
      <c r="B699" s="1040" t="str">
        <f>CONCATENATE(LEFT(RIGHT(CONCATENATE("000",IFAData_TEA_1617!A699),6),3),"-",(RIGHT(RIGHT(CONCATENATE("000",IFAData_TEA_1617!A699),6),3)))</f>
        <v>061-908</v>
      </c>
      <c r="C699" s="979" t="s">
        <v>2060</v>
      </c>
      <c r="D699" s="979">
        <v>5</v>
      </c>
      <c r="E699" s="979">
        <v>2304</v>
      </c>
      <c r="F699" s="979" t="s">
        <v>4535</v>
      </c>
      <c r="G699" s="979" t="s">
        <v>4535</v>
      </c>
      <c r="H699" s="979">
        <v>461721</v>
      </c>
      <c r="I699" s="979">
        <v>1386827</v>
      </c>
      <c r="J699" s="979">
        <v>1</v>
      </c>
      <c r="K699" s="979">
        <v>461721</v>
      </c>
      <c r="L699" s="979">
        <v>461721</v>
      </c>
      <c r="M699" s="979">
        <v>599</v>
      </c>
    </row>
    <row r="700" spans="1:13" ht="15">
      <c r="A700" s="979" t="s">
        <v>3481</v>
      </c>
      <c r="B700" s="1040" t="str">
        <f>CONCATENATE(LEFT(RIGHT(CONCATENATE("000",IFAData_TEA_1617!A700),6),3),"-",(RIGHT(RIGHT(CONCATENATE("000",IFAData_TEA_1617!A700),6),3)))</f>
        <v>061-911</v>
      </c>
      <c r="C700" s="979" t="s">
        <v>1256</v>
      </c>
      <c r="D700" s="979">
        <v>1</v>
      </c>
      <c r="E700" s="979">
        <v>2154</v>
      </c>
      <c r="F700" s="979" t="s">
        <v>4536</v>
      </c>
      <c r="G700" s="979" t="s">
        <v>6443</v>
      </c>
      <c r="H700" s="979">
        <v>740900</v>
      </c>
      <c r="I700" s="979">
        <v>6926</v>
      </c>
      <c r="J700" s="979">
        <v>4.5454396298544681E-3</v>
      </c>
      <c r="K700" s="979">
        <v>3367.7162217591754</v>
      </c>
      <c r="L700" s="979">
        <v>3367.7162217591754</v>
      </c>
      <c r="M700" s="979">
        <v>599</v>
      </c>
    </row>
    <row r="701" spans="1:13" ht="15">
      <c r="A701" s="979" t="s">
        <v>3481</v>
      </c>
      <c r="B701" s="1040" t="str">
        <f>CONCATENATE(LEFT(RIGHT(CONCATENATE("000",IFAData_TEA_1617!A701),6),3),"-",(RIGHT(RIGHT(CONCATENATE("000",IFAData_TEA_1617!A701),6),3)))</f>
        <v>061-911</v>
      </c>
      <c r="C701" s="979" t="s">
        <v>1256</v>
      </c>
      <c r="D701" s="979">
        <v>1</v>
      </c>
      <c r="E701" s="979">
        <v>2154</v>
      </c>
      <c r="F701" s="979" t="s">
        <v>4536</v>
      </c>
      <c r="G701" s="979" t="s">
        <v>4538</v>
      </c>
      <c r="H701" s="979">
        <v>740900</v>
      </c>
      <c r="I701" s="979">
        <v>0</v>
      </c>
      <c r="J701" s="979">
        <v>0</v>
      </c>
      <c r="K701" s="979">
        <v>0</v>
      </c>
      <c r="L701" s="979">
        <v>0</v>
      </c>
      <c r="M701" s="979">
        <v>599</v>
      </c>
    </row>
    <row r="702" spans="1:13" ht="15">
      <c r="A702" s="979" t="s">
        <v>3481</v>
      </c>
      <c r="B702" s="1040" t="str">
        <f>CONCATENATE(LEFT(RIGHT(CONCATENATE("000",IFAData_TEA_1617!A702),6),3),"-",(RIGHT(RIGHT(CONCATENATE("000",IFAData_TEA_1617!A702),6),3)))</f>
        <v>061-911</v>
      </c>
      <c r="C702" s="979" t="s">
        <v>1256</v>
      </c>
      <c r="D702" s="979">
        <v>1</v>
      </c>
      <c r="E702" s="979">
        <v>2154</v>
      </c>
      <c r="F702" s="979" t="s">
        <v>4536</v>
      </c>
      <c r="G702" s="979" t="s">
        <v>4536</v>
      </c>
      <c r="H702" s="979">
        <v>740900</v>
      </c>
      <c r="I702" s="979">
        <v>0</v>
      </c>
      <c r="J702" s="979">
        <v>0</v>
      </c>
      <c r="K702" s="979">
        <v>0</v>
      </c>
      <c r="L702" s="979">
        <v>0</v>
      </c>
      <c r="M702" s="979">
        <v>599</v>
      </c>
    </row>
    <row r="703" spans="1:13" ht="15">
      <c r="A703" s="979" t="s">
        <v>3481</v>
      </c>
      <c r="B703" s="1040" t="str">
        <f>CONCATENATE(LEFT(RIGHT(CONCATENATE("000",IFAData_TEA_1617!A703),6),3),"-",(RIGHT(RIGHT(CONCATENATE("000",IFAData_TEA_1617!A703),6),3)))</f>
        <v>061-911</v>
      </c>
      <c r="C703" s="979" t="s">
        <v>1256</v>
      </c>
      <c r="D703" s="979">
        <v>1</v>
      </c>
      <c r="E703" s="979">
        <v>2154</v>
      </c>
      <c r="F703" s="979" t="s">
        <v>4536</v>
      </c>
      <c r="G703" s="979" t="s">
        <v>6233</v>
      </c>
      <c r="H703" s="979">
        <v>740900</v>
      </c>
      <c r="I703" s="979">
        <v>1516799</v>
      </c>
      <c r="J703" s="979">
        <v>0.99545456037014557</v>
      </c>
      <c r="K703" s="979">
        <v>737532.2837782409</v>
      </c>
      <c r="L703" s="979">
        <v>737532.2837782409</v>
      </c>
      <c r="M703" s="979">
        <v>599</v>
      </c>
    </row>
    <row r="704" spans="1:13" ht="15">
      <c r="A704" s="979" t="s">
        <v>3481</v>
      </c>
      <c r="B704" s="1040" t="str">
        <f>CONCATENATE(LEFT(RIGHT(CONCATENATE("000",IFAData_TEA_1617!A704),6),3),"-",(RIGHT(RIGHT(CONCATENATE("000",IFAData_TEA_1617!A704),6),3)))</f>
        <v>061-911</v>
      </c>
      <c r="C704" s="979" t="s">
        <v>1256</v>
      </c>
      <c r="D704" s="979">
        <v>1</v>
      </c>
      <c r="E704" s="979">
        <v>2154</v>
      </c>
      <c r="F704" s="979" t="s">
        <v>4536</v>
      </c>
      <c r="G704" s="979" t="s">
        <v>4537</v>
      </c>
      <c r="H704" s="979">
        <v>740900</v>
      </c>
      <c r="I704" s="979">
        <v>0</v>
      </c>
      <c r="J704" s="979">
        <v>0</v>
      </c>
      <c r="K704" s="979">
        <v>0</v>
      </c>
      <c r="L704" s="979">
        <v>0</v>
      </c>
      <c r="M704" s="979">
        <v>599</v>
      </c>
    </row>
    <row r="705" spans="1:13" ht="15">
      <c r="A705" s="979" t="s">
        <v>3482</v>
      </c>
      <c r="B705" s="1040" t="str">
        <f>CONCATENATE(LEFT(RIGHT(CONCATENATE("000",IFAData_TEA_1617!A705),6),3),"-",(RIGHT(RIGHT(CONCATENATE("000",IFAData_TEA_1617!A705),6),3)))</f>
        <v>061-912</v>
      </c>
      <c r="C705" s="979" t="s">
        <v>2300</v>
      </c>
      <c r="D705" s="979">
        <v>3</v>
      </c>
      <c r="E705" s="979">
        <v>1997</v>
      </c>
      <c r="F705" s="979" t="s">
        <v>4539</v>
      </c>
      <c r="G705" s="979" t="s">
        <v>4539</v>
      </c>
      <c r="H705" s="979">
        <v>661840</v>
      </c>
      <c r="I705" s="979">
        <v>0</v>
      </c>
      <c r="J705" s="979">
        <v>0</v>
      </c>
      <c r="K705" s="979">
        <v>0</v>
      </c>
      <c r="L705" s="979">
        <v>0</v>
      </c>
      <c r="M705" s="979">
        <v>599</v>
      </c>
    </row>
    <row r="706" spans="1:13" ht="15">
      <c r="A706" s="979" t="s">
        <v>3482</v>
      </c>
      <c r="B706" s="1040" t="str">
        <f>CONCATENATE(LEFT(RIGHT(CONCATENATE("000",IFAData_TEA_1617!A706),6),3),"-",(RIGHT(RIGHT(CONCATENATE("000",IFAData_TEA_1617!A706),6),3)))</f>
        <v>061-912</v>
      </c>
      <c r="C706" s="979" t="s">
        <v>2300</v>
      </c>
      <c r="D706" s="979">
        <v>3</v>
      </c>
      <c r="E706" s="979">
        <v>1997</v>
      </c>
      <c r="F706" s="979" t="s">
        <v>4539</v>
      </c>
      <c r="G706" s="979" t="s">
        <v>4542</v>
      </c>
      <c r="H706" s="979">
        <v>661840</v>
      </c>
      <c r="I706" s="979">
        <v>0</v>
      </c>
      <c r="J706" s="979">
        <v>0</v>
      </c>
      <c r="K706" s="979">
        <v>0</v>
      </c>
      <c r="L706" s="979">
        <v>0</v>
      </c>
      <c r="M706" s="979">
        <v>599</v>
      </c>
    </row>
    <row r="707" spans="1:13" ht="15">
      <c r="A707" s="979" t="s">
        <v>3482</v>
      </c>
      <c r="B707" s="1040" t="str">
        <f>CONCATENATE(LEFT(RIGHT(CONCATENATE("000",IFAData_TEA_1617!A707),6),3),"-",(RIGHT(RIGHT(CONCATENATE("000",IFAData_TEA_1617!A707),6),3)))</f>
        <v>061-912</v>
      </c>
      <c r="C707" s="979" t="s">
        <v>2300</v>
      </c>
      <c r="D707" s="979">
        <v>9</v>
      </c>
      <c r="E707" s="979">
        <v>1996</v>
      </c>
      <c r="F707" s="979" t="s">
        <v>4544</v>
      </c>
      <c r="G707" s="979" t="s">
        <v>4544</v>
      </c>
      <c r="H707" s="979">
        <v>296517</v>
      </c>
      <c r="I707" s="979">
        <v>677051</v>
      </c>
      <c r="J707" s="979">
        <v>0.6522140372475751</v>
      </c>
      <c r="K707" s="979">
        <v>193392.54968253922</v>
      </c>
      <c r="L707" s="979">
        <v>193392.54968253922</v>
      </c>
      <c r="M707" s="979">
        <v>599</v>
      </c>
    </row>
    <row r="708" spans="1:13" ht="15">
      <c r="A708" s="979" t="s">
        <v>3482</v>
      </c>
      <c r="B708" s="1040" t="str">
        <f>CONCATENATE(LEFT(RIGHT(CONCATENATE("000",IFAData_TEA_1617!A708),6),3),"-",(RIGHT(RIGHT(CONCATENATE("000",IFAData_TEA_1617!A708),6),3)))</f>
        <v>061-912</v>
      </c>
      <c r="C708" s="979" t="s">
        <v>2300</v>
      </c>
      <c r="D708" s="979">
        <v>10</v>
      </c>
      <c r="E708" s="979">
        <v>1995</v>
      </c>
      <c r="F708" s="979" t="s">
        <v>4545</v>
      </c>
      <c r="G708" s="979" t="s">
        <v>4545</v>
      </c>
      <c r="H708" s="979">
        <v>177100</v>
      </c>
      <c r="I708" s="979">
        <v>82727</v>
      </c>
      <c r="J708" s="979">
        <v>0.3683254453413356</v>
      </c>
      <c r="K708" s="979">
        <v>65230.436369950534</v>
      </c>
      <c r="L708" s="979">
        <v>65230.436369950534</v>
      </c>
      <c r="M708" s="979">
        <v>599</v>
      </c>
    </row>
    <row r="709" spans="1:13" ht="15">
      <c r="A709" s="979" t="s">
        <v>3482</v>
      </c>
      <c r="B709" s="1040" t="str">
        <f>CONCATENATE(LEFT(RIGHT(CONCATENATE("000",IFAData_TEA_1617!A709),6),3),"-",(RIGHT(RIGHT(CONCATENATE("000",IFAData_TEA_1617!A709),6),3)))</f>
        <v>061-912</v>
      </c>
      <c r="C709" s="979" t="s">
        <v>2300</v>
      </c>
      <c r="D709" s="979">
        <v>10</v>
      </c>
      <c r="E709" s="979">
        <v>1995</v>
      </c>
      <c r="F709" s="979" t="s">
        <v>4545</v>
      </c>
      <c r="G709" s="979" t="s">
        <v>6234</v>
      </c>
      <c r="H709" s="979">
        <v>177100</v>
      </c>
      <c r="I709" s="979">
        <v>141876</v>
      </c>
      <c r="J709" s="979">
        <v>0.6316745546586644</v>
      </c>
      <c r="K709" s="979">
        <v>111869.56363004947</v>
      </c>
      <c r="L709" s="979">
        <v>111869.56363004947</v>
      </c>
      <c r="M709" s="979">
        <v>599</v>
      </c>
    </row>
    <row r="710" spans="1:13" ht="15">
      <c r="A710" s="979" t="s">
        <v>3482</v>
      </c>
      <c r="B710" s="1040" t="str">
        <f>CONCATENATE(LEFT(RIGHT(CONCATENATE("000",IFAData_TEA_1617!A710),6),3),"-",(RIGHT(RIGHT(CONCATENATE("000",IFAData_TEA_1617!A710),6),3)))</f>
        <v>061-912</v>
      </c>
      <c r="C710" s="979" t="s">
        <v>2300</v>
      </c>
      <c r="D710" s="979">
        <v>9</v>
      </c>
      <c r="E710" s="979">
        <v>1996</v>
      </c>
      <c r="F710" s="979" t="s">
        <v>4544</v>
      </c>
      <c r="G710" s="979" t="s">
        <v>6444</v>
      </c>
      <c r="H710" s="979">
        <v>296517</v>
      </c>
      <c r="I710" s="979">
        <v>304034</v>
      </c>
      <c r="J710" s="979">
        <v>0.29288080602573402</v>
      </c>
      <c r="K710" s="979">
        <v>86844.137960332577</v>
      </c>
      <c r="L710" s="979">
        <v>86844.137960332577</v>
      </c>
      <c r="M710" s="979">
        <v>599</v>
      </c>
    </row>
    <row r="711" spans="1:13" ht="15">
      <c r="A711" s="979" t="s">
        <v>3482</v>
      </c>
      <c r="B711" s="1040" t="str">
        <f>CONCATENATE(LEFT(RIGHT(CONCATENATE("000",IFAData_TEA_1617!A711),6),3),"-",(RIGHT(RIGHT(CONCATENATE("000",IFAData_TEA_1617!A711),6),3)))</f>
        <v>061-912</v>
      </c>
      <c r="C711" s="979" t="s">
        <v>2300</v>
      </c>
      <c r="D711" s="979">
        <v>3</v>
      </c>
      <c r="E711" s="979">
        <v>1997</v>
      </c>
      <c r="F711" s="979" t="s">
        <v>4539</v>
      </c>
      <c r="G711" s="979" t="s">
        <v>4541</v>
      </c>
      <c r="H711" s="979">
        <v>661840</v>
      </c>
      <c r="I711" s="979">
        <v>559075</v>
      </c>
      <c r="J711" s="979">
        <v>0.98993903572687014</v>
      </c>
      <c r="K711" s="979">
        <v>655181.2514054717</v>
      </c>
      <c r="L711" s="979">
        <v>559075</v>
      </c>
      <c r="M711" s="979">
        <v>599</v>
      </c>
    </row>
    <row r="712" spans="1:13" ht="15">
      <c r="A712" s="979" t="s">
        <v>3482</v>
      </c>
      <c r="B712" s="1040" t="str">
        <f>CONCATENATE(LEFT(RIGHT(CONCATENATE("000",IFAData_TEA_1617!A712),6),3),"-",(RIGHT(RIGHT(CONCATENATE("000",IFAData_TEA_1617!A712),6),3)))</f>
        <v>061-912</v>
      </c>
      <c r="C712" s="979" t="s">
        <v>2300</v>
      </c>
      <c r="D712" s="979">
        <v>9</v>
      </c>
      <c r="E712" s="979">
        <v>1996</v>
      </c>
      <c r="F712" s="979" t="s">
        <v>4544</v>
      </c>
      <c r="G712" s="979" t="s">
        <v>6234</v>
      </c>
      <c r="H712" s="979">
        <v>296517</v>
      </c>
      <c r="I712" s="979">
        <v>56996</v>
      </c>
      <c r="J712" s="979">
        <v>5.4905156726690885E-2</v>
      </c>
      <c r="K712" s="979">
        <v>16280.312357128201</v>
      </c>
      <c r="L712" s="979">
        <v>16280.312357128201</v>
      </c>
      <c r="M712" s="979">
        <v>599</v>
      </c>
    </row>
    <row r="713" spans="1:13" ht="15">
      <c r="A713" s="979" t="s">
        <v>3482</v>
      </c>
      <c r="B713" s="1040" t="str">
        <f>CONCATENATE(LEFT(RIGHT(CONCATENATE("000",IFAData_TEA_1617!A713),6),3),"-",(RIGHT(RIGHT(CONCATENATE("000",IFAData_TEA_1617!A713),6),3)))</f>
        <v>061-912</v>
      </c>
      <c r="C713" s="979" t="s">
        <v>2300</v>
      </c>
      <c r="D713" s="979">
        <v>3</v>
      </c>
      <c r="E713" s="979">
        <v>1997</v>
      </c>
      <c r="F713" s="979" t="s">
        <v>4539</v>
      </c>
      <c r="G713" s="979" t="s">
        <v>4540</v>
      </c>
      <c r="H713" s="979">
        <v>661840</v>
      </c>
      <c r="I713" s="979">
        <v>0</v>
      </c>
      <c r="J713" s="979">
        <v>0</v>
      </c>
      <c r="K713" s="979">
        <v>0</v>
      </c>
      <c r="L713" s="979">
        <v>0</v>
      </c>
      <c r="M713" s="979">
        <v>599</v>
      </c>
    </row>
    <row r="714" spans="1:13" ht="15">
      <c r="A714" s="979" t="s">
        <v>3482</v>
      </c>
      <c r="B714" s="1040" t="str">
        <f>CONCATENATE(LEFT(RIGHT(CONCATENATE("000",IFAData_TEA_1617!A714),6),3),"-",(RIGHT(RIGHT(CONCATENATE("000",IFAData_TEA_1617!A714),6),3)))</f>
        <v>061-912</v>
      </c>
      <c r="C714" s="979" t="s">
        <v>2300</v>
      </c>
      <c r="D714" s="979">
        <v>3</v>
      </c>
      <c r="E714" s="979">
        <v>1997</v>
      </c>
      <c r="F714" s="979" t="s">
        <v>4539</v>
      </c>
      <c r="G714" s="979" t="s">
        <v>4543</v>
      </c>
      <c r="H714" s="979">
        <v>661840</v>
      </c>
      <c r="I714" s="979">
        <v>2110</v>
      </c>
      <c r="J714" s="979">
        <v>3.7361201366251325E-3</v>
      </c>
      <c r="K714" s="979">
        <v>2472.7137512239779</v>
      </c>
      <c r="L714" s="979">
        <v>2110</v>
      </c>
      <c r="M714" s="979">
        <v>599</v>
      </c>
    </row>
    <row r="715" spans="1:13" ht="15">
      <c r="A715" s="979" t="s">
        <v>3482</v>
      </c>
      <c r="B715" s="1040" t="str">
        <f>CONCATENATE(LEFT(RIGHT(CONCATENATE("000",IFAData_TEA_1617!A715),6),3),"-",(RIGHT(RIGHT(CONCATENATE("000",IFAData_TEA_1617!A715),6),3)))</f>
        <v>061-912</v>
      </c>
      <c r="C715" s="979" t="s">
        <v>2300</v>
      </c>
      <c r="D715" s="979">
        <v>3</v>
      </c>
      <c r="E715" s="979">
        <v>1997</v>
      </c>
      <c r="F715" s="979" t="s">
        <v>4539</v>
      </c>
      <c r="G715" s="979" t="s">
        <v>6234</v>
      </c>
      <c r="H715" s="979">
        <v>661840</v>
      </c>
      <c r="I715" s="979">
        <v>3572</v>
      </c>
      <c r="J715" s="979">
        <v>6.3248441365047264E-3</v>
      </c>
      <c r="K715" s="979">
        <v>4186.0348433042882</v>
      </c>
      <c r="L715" s="979">
        <v>3572</v>
      </c>
      <c r="M715" s="979">
        <v>599</v>
      </c>
    </row>
    <row r="716" spans="1:13" ht="15">
      <c r="A716" s="979" t="s">
        <v>3483</v>
      </c>
      <c r="B716" s="1040" t="str">
        <f>CONCATENATE(LEFT(RIGHT(CONCATENATE("000",IFAData_TEA_1617!A716),6),3),"-",(RIGHT(RIGHT(CONCATENATE("000",IFAData_TEA_1617!A716),6),3)))</f>
        <v>061-914</v>
      </c>
      <c r="C716" s="979" t="s">
        <v>1567</v>
      </c>
      <c r="D716" s="979">
        <v>5</v>
      </c>
      <c r="E716" s="979">
        <v>2026</v>
      </c>
      <c r="F716" s="979" t="s">
        <v>4546</v>
      </c>
      <c r="G716" s="979" t="s">
        <v>4548</v>
      </c>
      <c r="H716" s="979">
        <v>512028</v>
      </c>
      <c r="I716" s="979">
        <v>0</v>
      </c>
      <c r="J716" s="979">
        <v>0</v>
      </c>
      <c r="K716" s="979">
        <v>0</v>
      </c>
      <c r="L716" s="979">
        <v>0</v>
      </c>
      <c r="M716" s="979">
        <v>599</v>
      </c>
    </row>
    <row r="717" spans="1:13" ht="15">
      <c r="A717" s="979" t="s">
        <v>3483</v>
      </c>
      <c r="B717" s="1040" t="str">
        <f>CONCATENATE(LEFT(RIGHT(CONCATENATE("000",IFAData_TEA_1617!A717),6),3),"-",(RIGHT(RIGHT(CONCATENATE("000",IFAData_TEA_1617!A717),6),3)))</f>
        <v>061-914</v>
      </c>
      <c r="C717" s="979" t="s">
        <v>1567</v>
      </c>
      <c r="D717" s="979">
        <v>5</v>
      </c>
      <c r="E717" s="979">
        <v>2026</v>
      </c>
      <c r="F717" s="979" t="s">
        <v>4546</v>
      </c>
      <c r="G717" s="979" t="s">
        <v>4556</v>
      </c>
      <c r="H717" s="979">
        <v>512028</v>
      </c>
      <c r="I717" s="979">
        <v>3</v>
      </c>
      <c r="J717" s="979">
        <v>2.5119653281798969E-6</v>
      </c>
      <c r="K717" s="979">
        <v>1.2861965830572963</v>
      </c>
      <c r="L717" s="979">
        <v>1.2861965830572963</v>
      </c>
      <c r="M717" s="979">
        <v>599</v>
      </c>
    </row>
    <row r="718" spans="1:13" ht="15">
      <c r="A718" s="979" t="s">
        <v>3483</v>
      </c>
      <c r="B718" s="1040" t="str">
        <f>CONCATENATE(LEFT(RIGHT(CONCATENATE("000",IFAData_TEA_1617!A718),6),3),"-",(RIGHT(RIGHT(CONCATENATE("000",IFAData_TEA_1617!A718),6),3)))</f>
        <v>061-914</v>
      </c>
      <c r="C718" s="979" t="s">
        <v>1567</v>
      </c>
      <c r="D718" s="979">
        <v>5</v>
      </c>
      <c r="E718" s="979">
        <v>2026</v>
      </c>
      <c r="F718" s="979" t="s">
        <v>4546</v>
      </c>
      <c r="G718" s="979" t="s">
        <v>6235</v>
      </c>
      <c r="H718" s="979">
        <v>512028</v>
      </c>
      <c r="I718" s="979">
        <v>2105</v>
      </c>
      <c r="J718" s="979">
        <v>1.7625623386062278E-3</v>
      </c>
      <c r="K718" s="979">
        <v>902.48126911186955</v>
      </c>
      <c r="L718" s="979">
        <v>902.48126911186955</v>
      </c>
      <c r="M718" s="979">
        <v>599</v>
      </c>
    </row>
    <row r="719" spans="1:13" ht="15">
      <c r="A719" s="979" t="s">
        <v>3483</v>
      </c>
      <c r="B719" s="1040" t="str">
        <f>CONCATENATE(LEFT(RIGHT(CONCATENATE("000",IFAData_TEA_1617!A719),6),3),"-",(RIGHT(RIGHT(CONCATENATE("000",IFAData_TEA_1617!A719),6),3)))</f>
        <v>061-914</v>
      </c>
      <c r="C719" s="979" t="s">
        <v>1567</v>
      </c>
      <c r="D719" s="979">
        <v>5</v>
      </c>
      <c r="E719" s="979">
        <v>2026</v>
      </c>
      <c r="F719" s="979" t="s">
        <v>4546</v>
      </c>
      <c r="G719" s="979" t="s">
        <v>4554</v>
      </c>
      <c r="H719" s="979">
        <v>512028</v>
      </c>
      <c r="I719" s="979">
        <v>21194</v>
      </c>
      <c r="J719" s="979">
        <v>1.7746197721814912E-2</v>
      </c>
      <c r="K719" s="979">
        <v>9086.5501271054454</v>
      </c>
      <c r="L719" s="979">
        <v>9086.5501271054454</v>
      </c>
      <c r="M719" s="979">
        <v>599</v>
      </c>
    </row>
    <row r="720" spans="1:13" ht="15">
      <c r="A720" s="979" t="s">
        <v>3483</v>
      </c>
      <c r="B720" s="1040" t="str">
        <f>CONCATENATE(LEFT(RIGHT(CONCATENATE("000",IFAData_TEA_1617!A720),6),3),"-",(RIGHT(RIGHT(CONCATENATE("000",IFAData_TEA_1617!A720),6),3)))</f>
        <v>061-914</v>
      </c>
      <c r="C720" s="979" t="s">
        <v>1567</v>
      </c>
      <c r="D720" s="979">
        <v>5</v>
      </c>
      <c r="E720" s="979">
        <v>2026</v>
      </c>
      <c r="F720" s="979" t="s">
        <v>4546</v>
      </c>
      <c r="G720" s="979" t="s">
        <v>4553</v>
      </c>
      <c r="H720" s="979">
        <v>512028</v>
      </c>
      <c r="I720" s="979">
        <v>333580</v>
      </c>
      <c r="J720" s="979">
        <v>0.27931379805808332</v>
      </c>
      <c r="K720" s="979">
        <v>143016.48539208429</v>
      </c>
      <c r="L720" s="979">
        <v>143016.48539208429</v>
      </c>
      <c r="M720" s="979">
        <v>599</v>
      </c>
    </row>
    <row r="721" spans="1:13" ht="15">
      <c r="A721" s="979" t="s">
        <v>3483</v>
      </c>
      <c r="B721" s="1040" t="str">
        <f>CONCATENATE(LEFT(RIGHT(CONCATENATE("000",IFAData_TEA_1617!A721),6),3),"-",(RIGHT(RIGHT(CONCATENATE("000",IFAData_TEA_1617!A721),6),3)))</f>
        <v>061-914</v>
      </c>
      <c r="C721" s="979" t="s">
        <v>1567</v>
      </c>
      <c r="D721" s="979">
        <v>5</v>
      </c>
      <c r="E721" s="979">
        <v>2026</v>
      </c>
      <c r="F721" s="979" t="s">
        <v>4546</v>
      </c>
      <c r="G721" s="979" t="s">
        <v>6236</v>
      </c>
      <c r="H721" s="979">
        <v>512028</v>
      </c>
      <c r="I721" s="979">
        <v>44406</v>
      </c>
      <c r="J721" s="979">
        <v>3.7182110787718832E-2</v>
      </c>
      <c r="K721" s="979">
        <v>19038.281822414097</v>
      </c>
      <c r="L721" s="979">
        <v>19038.281822414097</v>
      </c>
      <c r="M721" s="979">
        <v>599</v>
      </c>
    </row>
    <row r="722" spans="1:13" ht="15">
      <c r="A722" s="979" t="s">
        <v>3483</v>
      </c>
      <c r="B722" s="1040" t="str">
        <f>CONCATENATE(LEFT(RIGHT(CONCATENATE("000",IFAData_TEA_1617!A722),6),3),"-",(RIGHT(RIGHT(CONCATENATE("000",IFAData_TEA_1617!A722),6),3)))</f>
        <v>061-914</v>
      </c>
      <c r="C722" s="979" t="s">
        <v>1567</v>
      </c>
      <c r="D722" s="979">
        <v>9</v>
      </c>
      <c r="E722" s="979">
        <v>2027</v>
      </c>
      <c r="F722" s="979" t="s">
        <v>4551</v>
      </c>
      <c r="G722" s="979" t="s">
        <v>4551</v>
      </c>
      <c r="H722" s="979">
        <v>606882</v>
      </c>
      <c r="I722" s="979">
        <v>799122</v>
      </c>
      <c r="J722" s="979">
        <v>0.69233548279778656</v>
      </c>
      <c r="K722" s="979">
        <v>420165.94247128628</v>
      </c>
      <c r="L722" s="979">
        <v>420165.94247128628</v>
      </c>
      <c r="M722" s="979">
        <v>599</v>
      </c>
    </row>
    <row r="723" spans="1:13" ht="15">
      <c r="A723" s="979" t="s">
        <v>3483</v>
      </c>
      <c r="B723" s="1040" t="str">
        <f>CONCATENATE(LEFT(RIGHT(CONCATENATE("000",IFAData_TEA_1617!A723),6),3),"-",(RIGHT(RIGHT(CONCATENATE("000",IFAData_TEA_1617!A723),6),3)))</f>
        <v>061-914</v>
      </c>
      <c r="C723" s="979" t="s">
        <v>1567</v>
      </c>
      <c r="D723" s="979">
        <v>5</v>
      </c>
      <c r="E723" s="979">
        <v>2026</v>
      </c>
      <c r="F723" s="979" t="s">
        <v>4546</v>
      </c>
      <c r="G723" s="979" t="s">
        <v>4550</v>
      </c>
      <c r="H723" s="979">
        <v>512028</v>
      </c>
      <c r="I723" s="979">
        <v>0</v>
      </c>
      <c r="J723" s="979">
        <v>0</v>
      </c>
      <c r="K723" s="979">
        <v>0</v>
      </c>
      <c r="L723" s="979">
        <v>0</v>
      </c>
      <c r="M723" s="979">
        <v>599</v>
      </c>
    </row>
    <row r="724" spans="1:13" ht="15">
      <c r="A724" s="979" t="s">
        <v>3483</v>
      </c>
      <c r="B724" s="1040" t="str">
        <f>CONCATENATE(LEFT(RIGHT(CONCATENATE("000",IFAData_TEA_1617!A724),6),3),"-",(RIGHT(RIGHT(CONCATENATE("000",IFAData_TEA_1617!A724),6),3)))</f>
        <v>061-914</v>
      </c>
      <c r="C724" s="979" t="s">
        <v>1567</v>
      </c>
      <c r="D724" s="979">
        <v>5</v>
      </c>
      <c r="E724" s="979">
        <v>2026</v>
      </c>
      <c r="F724" s="979" t="s">
        <v>4546</v>
      </c>
      <c r="G724" s="979" t="s">
        <v>4549</v>
      </c>
      <c r="H724" s="979">
        <v>512028</v>
      </c>
      <c r="I724" s="979">
        <v>0</v>
      </c>
      <c r="J724" s="979">
        <v>0</v>
      </c>
      <c r="K724" s="979">
        <v>0</v>
      </c>
      <c r="L724" s="979">
        <v>0</v>
      </c>
      <c r="M724" s="979">
        <v>599</v>
      </c>
    </row>
    <row r="725" spans="1:13" ht="15">
      <c r="A725" s="979" t="s">
        <v>3483</v>
      </c>
      <c r="B725" s="1040" t="str">
        <f>CONCATENATE(LEFT(RIGHT(CONCATENATE("000",IFAData_TEA_1617!A725),6),3),"-",(RIGHT(RIGHT(CONCATENATE("000",IFAData_TEA_1617!A725),6),3)))</f>
        <v>061-914</v>
      </c>
      <c r="C725" s="979" t="s">
        <v>1567</v>
      </c>
      <c r="D725" s="979">
        <v>5</v>
      </c>
      <c r="E725" s="979">
        <v>2026</v>
      </c>
      <c r="F725" s="979" t="s">
        <v>4546</v>
      </c>
      <c r="G725" s="979" t="s">
        <v>4555</v>
      </c>
      <c r="H725" s="979">
        <v>512028</v>
      </c>
      <c r="I725" s="979">
        <v>2</v>
      </c>
      <c r="J725" s="979">
        <v>1.6746435521199312E-6</v>
      </c>
      <c r="K725" s="979">
        <v>0.85746438870486419</v>
      </c>
      <c r="L725" s="979">
        <v>0.85746438870486419</v>
      </c>
      <c r="M725" s="979">
        <v>599</v>
      </c>
    </row>
    <row r="726" spans="1:13" ht="15">
      <c r="A726" s="979" t="s">
        <v>3483</v>
      </c>
      <c r="B726" s="1040" t="str">
        <f>CONCATENATE(LEFT(RIGHT(CONCATENATE("000",IFAData_TEA_1617!A726),6),3),"-",(RIGHT(RIGHT(CONCATENATE("000",IFAData_TEA_1617!A726),6),3)))</f>
        <v>061-914</v>
      </c>
      <c r="C726" s="979" t="s">
        <v>1567</v>
      </c>
      <c r="D726" s="979">
        <v>5</v>
      </c>
      <c r="E726" s="979">
        <v>2026</v>
      </c>
      <c r="F726" s="979" t="s">
        <v>4546</v>
      </c>
      <c r="G726" s="979" t="s">
        <v>4547</v>
      </c>
      <c r="H726" s="979">
        <v>512028</v>
      </c>
      <c r="I726" s="979">
        <v>0</v>
      </c>
      <c r="J726" s="979">
        <v>0</v>
      </c>
      <c r="K726" s="979">
        <v>0</v>
      </c>
      <c r="L726" s="979">
        <v>0</v>
      </c>
      <c r="M726" s="979">
        <v>599</v>
      </c>
    </row>
    <row r="727" spans="1:13" ht="15">
      <c r="A727" s="979" t="s">
        <v>3483</v>
      </c>
      <c r="B727" s="1040" t="str">
        <f>CONCATENATE(LEFT(RIGHT(CONCATENATE("000",IFAData_TEA_1617!A727),6),3),"-",(RIGHT(RIGHT(CONCATENATE("000",IFAData_TEA_1617!A727),6),3)))</f>
        <v>061-914</v>
      </c>
      <c r="C727" s="979" t="s">
        <v>1567</v>
      </c>
      <c r="D727" s="979">
        <v>5</v>
      </c>
      <c r="E727" s="979">
        <v>2026</v>
      </c>
      <c r="F727" s="979" t="s">
        <v>4546</v>
      </c>
      <c r="G727" s="979" t="s">
        <v>4552</v>
      </c>
      <c r="H727" s="979">
        <v>512028</v>
      </c>
      <c r="I727" s="979">
        <v>0</v>
      </c>
      <c r="J727" s="979">
        <v>0</v>
      </c>
      <c r="K727" s="979">
        <v>0</v>
      </c>
      <c r="L727" s="979">
        <v>0</v>
      </c>
      <c r="M727" s="979">
        <v>599</v>
      </c>
    </row>
    <row r="728" spans="1:13" ht="15">
      <c r="A728" s="979" t="s">
        <v>3483</v>
      </c>
      <c r="B728" s="1040" t="str">
        <f>CONCATENATE(LEFT(RIGHT(CONCATENATE("000",IFAData_TEA_1617!A728),6),3),"-",(RIGHT(RIGHT(CONCATENATE("000",IFAData_TEA_1617!A728),6),3)))</f>
        <v>061-914</v>
      </c>
      <c r="C728" s="979" t="s">
        <v>1567</v>
      </c>
      <c r="D728" s="979">
        <v>9</v>
      </c>
      <c r="E728" s="979">
        <v>2025</v>
      </c>
      <c r="F728" s="979" t="s">
        <v>4557</v>
      </c>
      <c r="G728" s="979" t="s">
        <v>4557</v>
      </c>
      <c r="H728" s="979">
        <v>353398</v>
      </c>
      <c r="I728" s="979">
        <v>552912</v>
      </c>
      <c r="J728" s="979">
        <v>1</v>
      </c>
      <c r="K728" s="979">
        <v>353398</v>
      </c>
      <c r="L728" s="979">
        <v>353398</v>
      </c>
      <c r="M728" s="979">
        <v>599</v>
      </c>
    </row>
    <row r="729" spans="1:13" ht="15">
      <c r="A729" s="979" t="s">
        <v>3483</v>
      </c>
      <c r="B729" s="1040" t="str">
        <f>CONCATENATE(LEFT(RIGHT(CONCATENATE("000",IFAData_TEA_1617!A729),6),3),"-",(RIGHT(RIGHT(CONCATENATE("000",IFAData_TEA_1617!A729),6),3)))</f>
        <v>061-914</v>
      </c>
      <c r="C729" s="979" t="s">
        <v>1567</v>
      </c>
      <c r="D729" s="979">
        <v>9</v>
      </c>
      <c r="E729" s="979">
        <v>2027</v>
      </c>
      <c r="F729" s="979" t="s">
        <v>4551</v>
      </c>
      <c r="G729" s="979" t="s">
        <v>6236</v>
      </c>
      <c r="H729" s="979">
        <v>606882</v>
      </c>
      <c r="I729" s="979">
        <v>103155</v>
      </c>
      <c r="J729" s="979">
        <v>8.9370417443150954E-2</v>
      </c>
      <c r="K729" s="979">
        <v>54237.297678734336</v>
      </c>
      <c r="L729" s="979">
        <v>54237.297678734336</v>
      </c>
      <c r="M729" s="979">
        <v>599</v>
      </c>
    </row>
    <row r="730" spans="1:13" ht="15">
      <c r="A730" s="979" t="s">
        <v>3483</v>
      </c>
      <c r="B730" s="1040" t="str">
        <f>CONCATENATE(LEFT(RIGHT(CONCATENATE("000",IFAData_TEA_1617!A730),6),3),"-",(RIGHT(RIGHT(CONCATENATE("000",IFAData_TEA_1617!A730),6),3)))</f>
        <v>061-914</v>
      </c>
      <c r="C730" s="979" t="s">
        <v>1567</v>
      </c>
      <c r="D730" s="979">
        <v>5</v>
      </c>
      <c r="E730" s="979">
        <v>2026</v>
      </c>
      <c r="F730" s="979" t="s">
        <v>4546</v>
      </c>
      <c r="G730" s="979" t="s">
        <v>6445</v>
      </c>
      <c r="H730" s="979">
        <v>512028</v>
      </c>
      <c r="I730" s="979">
        <v>213247</v>
      </c>
      <c r="J730" s="979">
        <v>0.1785563567794595</v>
      </c>
      <c r="K730" s="979">
        <v>91425.854249073091</v>
      </c>
      <c r="L730" s="979">
        <v>91425.854249073091</v>
      </c>
      <c r="M730" s="979">
        <v>599</v>
      </c>
    </row>
    <row r="731" spans="1:13" ht="15">
      <c r="A731" s="979" t="s">
        <v>3483</v>
      </c>
      <c r="B731" s="1040" t="str">
        <f>CONCATENATE(LEFT(RIGHT(CONCATENATE("000",IFAData_TEA_1617!A731),6),3),"-",(RIGHT(RIGHT(CONCATENATE("000",IFAData_TEA_1617!A731),6),3)))</f>
        <v>061-914</v>
      </c>
      <c r="C731" s="979" t="s">
        <v>1567</v>
      </c>
      <c r="D731" s="979">
        <v>9</v>
      </c>
      <c r="E731" s="979">
        <v>2027</v>
      </c>
      <c r="F731" s="979" t="s">
        <v>4551</v>
      </c>
      <c r="G731" s="979" t="s">
        <v>6445</v>
      </c>
      <c r="H731" s="979">
        <v>606882</v>
      </c>
      <c r="I731" s="979">
        <v>251964</v>
      </c>
      <c r="J731" s="979">
        <v>0.21829409975906244</v>
      </c>
      <c r="K731" s="979">
        <v>132478.75984997934</v>
      </c>
      <c r="L731" s="979">
        <v>132478.75984997934</v>
      </c>
      <c r="M731" s="979">
        <v>599</v>
      </c>
    </row>
    <row r="732" spans="1:13" ht="15">
      <c r="A732" s="979" t="s">
        <v>3483</v>
      </c>
      <c r="B732" s="1040" t="str">
        <f>CONCATENATE(LEFT(RIGHT(CONCATENATE("000",IFAData_TEA_1617!A732),6),3),"-",(RIGHT(RIGHT(CONCATENATE("000",IFAData_TEA_1617!A732),6),3)))</f>
        <v>061-914</v>
      </c>
      <c r="C732" s="979" t="s">
        <v>1567</v>
      </c>
      <c r="D732" s="979">
        <v>5</v>
      </c>
      <c r="E732" s="979">
        <v>2026</v>
      </c>
      <c r="F732" s="979" t="s">
        <v>4546</v>
      </c>
      <c r="G732" s="979" t="s">
        <v>4551</v>
      </c>
      <c r="H732" s="979">
        <v>512028</v>
      </c>
      <c r="I732" s="979">
        <v>579747</v>
      </c>
      <c r="J732" s="979">
        <v>0.48543478770543691</v>
      </c>
      <c r="K732" s="979">
        <v>248556.20347923946</v>
      </c>
      <c r="L732" s="979">
        <v>248556.20347923946</v>
      </c>
      <c r="M732" s="979">
        <v>599</v>
      </c>
    </row>
    <row r="733" spans="1:13" ht="15">
      <c r="A733" s="979" t="s">
        <v>3483</v>
      </c>
      <c r="B733" s="1040" t="str">
        <f>CONCATENATE(LEFT(RIGHT(CONCATENATE("000",IFAData_TEA_1617!A733),6),3),"-",(RIGHT(RIGHT(CONCATENATE("000",IFAData_TEA_1617!A733),6),3)))</f>
        <v>061-914</v>
      </c>
      <c r="C733" s="979" t="s">
        <v>1567</v>
      </c>
      <c r="D733" s="979">
        <v>5</v>
      </c>
      <c r="E733" s="979">
        <v>2026</v>
      </c>
      <c r="F733" s="979" t="s">
        <v>4546</v>
      </c>
      <c r="G733" s="979" t="s">
        <v>4546</v>
      </c>
      <c r="H733" s="979">
        <v>512028</v>
      </c>
      <c r="I733" s="979">
        <v>0</v>
      </c>
      <c r="J733" s="979">
        <v>0</v>
      </c>
      <c r="K733" s="979">
        <v>0</v>
      </c>
      <c r="L733" s="979">
        <v>0</v>
      </c>
      <c r="M733" s="979">
        <v>599</v>
      </c>
    </row>
    <row r="734" spans="1:13" ht="15">
      <c r="A734" s="979" t="s">
        <v>3484</v>
      </c>
      <c r="B734" s="1040" t="str">
        <f>CONCATENATE(LEFT(RIGHT(CONCATENATE("000",IFAData_TEA_1617!A734),6),3),"-",(RIGHT(RIGHT(CONCATENATE("000",IFAData_TEA_1617!A734),6),3)))</f>
        <v>062-901</v>
      </c>
      <c r="C734" s="979" t="s">
        <v>421</v>
      </c>
      <c r="D734" s="979">
        <v>6</v>
      </c>
      <c r="E734" s="979">
        <v>1741</v>
      </c>
      <c r="F734" s="979" t="s">
        <v>4558</v>
      </c>
      <c r="G734" s="979" t="s">
        <v>6237</v>
      </c>
      <c r="H734" s="979">
        <v>487605</v>
      </c>
      <c r="I734" s="979">
        <v>354166</v>
      </c>
      <c r="J734" s="979">
        <v>1</v>
      </c>
      <c r="K734" s="979">
        <v>487605</v>
      </c>
      <c r="L734" s="979">
        <v>354166</v>
      </c>
      <c r="M734" s="979">
        <v>599</v>
      </c>
    </row>
    <row r="735" spans="1:13" ht="15">
      <c r="A735" s="979" t="s">
        <v>3484</v>
      </c>
      <c r="B735" s="1040" t="str">
        <f>CONCATENATE(LEFT(RIGHT(CONCATENATE("000",IFAData_TEA_1617!A735),6),3),"-",(RIGHT(RIGHT(CONCATENATE("000",IFAData_TEA_1617!A735),6),3)))</f>
        <v>062-901</v>
      </c>
      <c r="C735" s="979" t="s">
        <v>421</v>
      </c>
      <c r="D735" s="979">
        <v>6</v>
      </c>
      <c r="E735" s="979">
        <v>1741</v>
      </c>
      <c r="F735" s="979" t="s">
        <v>4558</v>
      </c>
      <c r="G735" s="979" t="s">
        <v>4558</v>
      </c>
      <c r="H735" s="979">
        <v>487605</v>
      </c>
      <c r="I735" s="979">
        <v>0</v>
      </c>
      <c r="J735" s="979">
        <v>0</v>
      </c>
      <c r="K735" s="979">
        <v>0</v>
      </c>
      <c r="L735" s="979">
        <v>0</v>
      </c>
      <c r="M735" s="979">
        <v>599</v>
      </c>
    </row>
    <row r="736" spans="1:13" ht="15">
      <c r="A736" s="979" t="s">
        <v>3485</v>
      </c>
      <c r="B736" s="1040" t="str">
        <f>CONCATENATE(LEFT(RIGHT(CONCATENATE("000",IFAData_TEA_1617!A736),6),3),"-",(RIGHT(RIGHT(CONCATENATE("000",IFAData_TEA_1617!A736),6),3)))</f>
        <v>062-903</v>
      </c>
      <c r="C736" s="979" t="s">
        <v>2196</v>
      </c>
      <c r="D736" s="979">
        <v>3</v>
      </c>
      <c r="E736" s="979">
        <v>2466</v>
      </c>
      <c r="F736" s="979" t="s">
        <v>4559</v>
      </c>
      <c r="G736" s="979" t="s">
        <v>4559</v>
      </c>
      <c r="H736" s="979">
        <v>5516</v>
      </c>
      <c r="I736" s="979">
        <v>0</v>
      </c>
      <c r="J736" s="979">
        <v>0</v>
      </c>
      <c r="K736" s="979"/>
      <c r="L736" s="979">
        <v>0</v>
      </c>
      <c r="M736" s="979">
        <v>599</v>
      </c>
    </row>
    <row r="737" spans="1:13" ht="15">
      <c r="A737" s="979" t="s">
        <v>3485</v>
      </c>
      <c r="B737" s="1040" t="str">
        <f>CONCATENATE(LEFT(RIGHT(CONCATENATE("000",IFAData_TEA_1617!A737),6),3),"-",(RIGHT(RIGHT(CONCATENATE("000",IFAData_TEA_1617!A737),6),3)))</f>
        <v>062-903</v>
      </c>
      <c r="C737" s="979" t="s">
        <v>2196</v>
      </c>
      <c r="D737" s="979">
        <v>3</v>
      </c>
      <c r="E737" s="979">
        <v>2467</v>
      </c>
      <c r="F737" s="979" t="s">
        <v>4562</v>
      </c>
      <c r="G737" s="979" t="s">
        <v>4561</v>
      </c>
      <c r="H737" s="979">
        <v>324334</v>
      </c>
      <c r="I737" s="979">
        <v>0</v>
      </c>
      <c r="J737" s="979">
        <v>0</v>
      </c>
      <c r="K737" s="979"/>
      <c r="L737" s="979">
        <v>0</v>
      </c>
      <c r="M737" s="979">
        <v>599</v>
      </c>
    </row>
    <row r="738" spans="1:13" ht="15">
      <c r="A738" s="979" t="s">
        <v>3485</v>
      </c>
      <c r="B738" s="1040" t="str">
        <f>CONCATENATE(LEFT(RIGHT(CONCATENATE("000",IFAData_TEA_1617!A738),6),3),"-",(RIGHT(RIGHT(CONCATENATE("000",IFAData_TEA_1617!A738),6),3)))</f>
        <v>062-903</v>
      </c>
      <c r="C738" s="979" t="s">
        <v>2196</v>
      </c>
      <c r="D738" s="979">
        <v>9</v>
      </c>
      <c r="E738" s="979">
        <v>2468</v>
      </c>
      <c r="F738" s="979" t="s">
        <v>4563</v>
      </c>
      <c r="G738" s="979" t="s">
        <v>4563</v>
      </c>
      <c r="H738" s="979">
        <v>368750</v>
      </c>
      <c r="I738" s="979">
        <v>0</v>
      </c>
      <c r="J738" s="979">
        <v>0</v>
      </c>
      <c r="K738" s="979">
        <v>0</v>
      </c>
      <c r="L738" s="979">
        <v>0</v>
      </c>
      <c r="M738" s="979">
        <v>599</v>
      </c>
    </row>
    <row r="739" spans="1:13" ht="15">
      <c r="A739" s="979" t="s">
        <v>3485</v>
      </c>
      <c r="B739" s="1040" t="str">
        <f>CONCATENATE(LEFT(RIGHT(CONCATENATE("000",IFAData_TEA_1617!A739),6),3),"-",(RIGHT(RIGHT(CONCATENATE("000",IFAData_TEA_1617!A739),6),3)))</f>
        <v>062-903</v>
      </c>
      <c r="C739" s="979" t="s">
        <v>2196</v>
      </c>
      <c r="D739" s="979">
        <v>3</v>
      </c>
      <c r="E739" s="979">
        <v>2467</v>
      </c>
      <c r="F739" s="979" t="s">
        <v>4562</v>
      </c>
      <c r="G739" s="979" t="s">
        <v>4560</v>
      </c>
      <c r="H739" s="979">
        <v>324334</v>
      </c>
      <c r="I739" s="979">
        <v>0</v>
      </c>
      <c r="J739" s="979">
        <v>0</v>
      </c>
      <c r="K739" s="979"/>
      <c r="L739" s="979">
        <v>0</v>
      </c>
      <c r="M739" s="979">
        <v>599</v>
      </c>
    </row>
    <row r="740" spans="1:13" ht="15">
      <c r="A740" s="979" t="s">
        <v>3485</v>
      </c>
      <c r="B740" s="1040" t="str">
        <f>CONCATENATE(LEFT(RIGHT(CONCATENATE("000",IFAData_TEA_1617!A740),6),3),"-",(RIGHT(RIGHT(CONCATENATE("000",IFAData_TEA_1617!A740),6),3)))</f>
        <v>062-903</v>
      </c>
      <c r="C740" s="979" t="s">
        <v>2196</v>
      </c>
      <c r="D740" s="979">
        <v>3</v>
      </c>
      <c r="E740" s="979">
        <v>2466</v>
      </c>
      <c r="F740" s="979" t="s">
        <v>4559</v>
      </c>
      <c r="G740" s="979" t="s">
        <v>4560</v>
      </c>
      <c r="H740" s="979">
        <v>5516</v>
      </c>
      <c r="I740" s="979">
        <v>0</v>
      </c>
      <c r="J740" s="979">
        <v>0</v>
      </c>
      <c r="K740" s="979"/>
      <c r="L740" s="979">
        <v>0</v>
      </c>
      <c r="M740" s="979">
        <v>599</v>
      </c>
    </row>
    <row r="741" spans="1:13" ht="15">
      <c r="A741" s="979" t="s">
        <v>3485</v>
      </c>
      <c r="B741" s="1040" t="str">
        <f>CONCATENATE(LEFT(RIGHT(CONCATENATE("000",IFAData_TEA_1617!A741),6),3),"-",(RIGHT(RIGHT(CONCATENATE("000",IFAData_TEA_1617!A741),6),3)))</f>
        <v>062-903</v>
      </c>
      <c r="C741" s="979" t="s">
        <v>2196</v>
      </c>
      <c r="D741" s="979">
        <v>3</v>
      </c>
      <c r="E741" s="979">
        <v>2467</v>
      </c>
      <c r="F741" s="979" t="s">
        <v>4562</v>
      </c>
      <c r="G741" s="979" t="s">
        <v>4562</v>
      </c>
      <c r="H741" s="979">
        <v>324334</v>
      </c>
      <c r="I741" s="979">
        <v>0</v>
      </c>
      <c r="J741" s="979">
        <v>0</v>
      </c>
      <c r="K741" s="979"/>
      <c r="L741" s="979">
        <v>0</v>
      </c>
      <c r="M741" s="979">
        <v>599</v>
      </c>
    </row>
    <row r="742" spans="1:13" ht="15">
      <c r="A742" s="979" t="s">
        <v>3485</v>
      </c>
      <c r="B742" s="1040" t="str">
        <f>CONCATENATE(LEFT(RIGHT(CONCATENATE("000",IFAData_TEA_1617!A742),6),3),"-",(RIGHT(RIGHT(CONCATENATE("000",IFAData_TEA_1617!A742),6),3)))</f>
        <v>062-903</v>
      </c>
      <c r="C742" s="979" t="s">
        <v>2196</v>
      </c>
      <c r="D742" s="979">
        <v>9</v>
      </c>
      <c r="E742" s="979">
        <v>2468</v>
      </c>
      <c r="F742" s="979" t="s">
        <v>4563</v>
      </c>
      <c r="G742" s="979" t="s">
        <v>6446</v>
      </c>
      <c r="H742" s="979">
        <v>368750</v>
      </c>
      <c r="I742" s="979">
        <v>457483</v>
      </c>
      <c r="J742" s="979">
        <v>1</v>
      </c>
      <c r="K742" s="979">
        <v>368750</v>
      </c>
      <c r="L742" s="979">
        <v>368750</v>
      </c>
      <c r="M742" s="979">
        <v>599</v>
      </c>
    </row>
    <row r="743" spans="1:13" ht="15">
      <c r="A743" s="979" t="s">
        <v>3485</v>
      </c>
      <c r="B743" s="1040" t="str">
        <f>CONCATENATE(LEFT(RIGHT(CONCATENATE("000",IFAData_TEA_1617!A743),6),3),"-",(RIGHT(RIGHT(CONCATENATE("000",IFAData_TEA_1617!A743),6),3)))</f>
        <v>062-903</v>
      </c>
      <c r="C743" s="979" t="s">
        <v>2196</v>
      </c>
      <c r="D743" s="979">
        <v>3</v>
      </c>
      <c r="E743" s="979">
        <v>2466</v>
      </c>
      <c r="F743" s="979" t="s">
        <v>4559</v>
      </c>
      <c r="G743" s="979" t="s">
        <v>4561</v>
      </c>
      <c r="H743" s="979">
        <v>5516</v>
      </c>
      <c r="I743" s="979">
        <v>0</v>
      </c>
      <c r="J743" s="979">
        <v>0</v>
      </c>
      <c r="K743" s="979"/>
      <c r="L743" s="979">
        <v>0</v>
      </c>
      <c r="M743" s="979">
        <v>599</v>
      </c>
    </row>
    <row r="744" spans="1:13" ht="15">
      <c r="A744" s="979" t="s">
        <v>3486</v>
      </c>
      <c r="B744" s="1040" t="str">
        <f>CONCATENATE(LEFT(RIGHT(CONCATENATE("000",IFAData_TEA_1617!A744),6),3),"-",(RIGHT(RIGHT(CONCATENATE("000",IFAData_TEA_1617!A744),6),3)))</f>
        <v>064-903</v>
      </c>
      <c r="C744" s="979" t="s">
        <v>30</v>
      </c>
      <c r="D744" s="979">
        <v>4</v>
      </c>
      <c r="E744" s="979">
        <v>1665</v>
      </c>
      <c r="F744" s="979" t="s">
        <v>4564</v>
      </c>
      <c r="G744" s="979" t="s">
        <v>6238</v>
      </c>
      <c r="H744" s="979">
        <v>551763</v>
      </c>
      <c r="I744" s="979">
        <v>464000</v>
      </c>
      <c r="J744" s="979">
        <v>1</v>
      </c>
      <c r="K744" s="979">
        <v>551763</v>
      </c>
      <c r="L744" s="979">
        <v>464000</v>
      </c>
      <c r="M744" s="979">
        <v>599</v>
      </c>
    </row>
    <row r="745" spans="1:13" ht="15">
      <c r="A745" s="979" t="s">
        <v>3486</v>
      </c>
      <c r="B745" s="1040" t="str">
        <f>CONCATENATE(LEFT(RIGHT(CONCATENATE("000",IFAData_TEA_1617!A745),6),3),"-",(RIGHT(RIGHT(CONCATENATE("000",IFAData_TEA_1617!A745),6),3)))</f>
        <v>064-903</v>
      </c>
      <c r="C745" s="979" t="s">
        <v>30</v>
      </c>
      <c r="D745" s="979">
        <v>4</v>
      </c>
      <c r="E745" s="979">
        <v>1665</v>
      </c>
      <c r="F745" s="979" t="s">
        <v>4564</v>
      </c>
      <c r="G745" s="979" t="s">
        <v>4564</v>
      </c>
      <c r="H745" s="979">
        <v>551763</v>
      </c>
      <c r="I745" s="979">
        <v>0</v>
      </c>
      <c r="J745" s="979">
        <v>0</v>
      </c>
      <c r="K745" s="979">
        <v>0</v>
      </c>
      <c r="L745" s="979">
        <v>0</v>
      </c>
      <c r="M745" s="979">
        <v>599</v>
      </c>
    </row>
    <row r="746" spans="1:13" ht="15">
      <c r="A746" s="979" t="s">
        <v>3486</v>
      </c>
      <c r="B746" s="1040" t="str">
        <f>CONCATENATE(LEFT(RIGHT(CONCATENATE("000",IFAData_TEA_1617!A746),6),3),"-",(RIGHT(RIGHT(CONCATENATE("000",IFAData_TEA_1617!A746),6),3)))</f>
        <v>064-903</v>
      </c>
      <c r="C746" s="979" t="s">
        <v>30</v>
      </c>
      <c r="D746" s="979">
        <v>4</v>
      </c>
      <c r="E746" s="979">
        <v>1665</v>
      </c>
      <c r="F746" s="979" t="s">
        <v>4564</v>
      </c>
      <c r="G746" s="979" t="s">
        <v>4565</v>
      </c>
      <c r="H746" s="979">
        <v>551763</v>
      </c>
      <c r="I746" s="979">
        <v>0</v>
      </c>
      <c r="J746" s="979">
        <v>0</v>
      </c>
      <c r="K746" s="979">
        <v>0</v>
      </c>
      <c r="L746" s="979">
        <v>0</v>
      </c>
      <c r="M746" s="979">
        <v>599</v>
      </c>
    </row>
    <row r="747" spans="1:13" ht="15">
      <c r="A747" s="979" t="s">
        <v>3487</v>
      </c>
      <c r="B747" s="1040" t="str">
        <f>CONCATENATE(LEFT(RIGHT(CONCATENATE("000",IFAData_TEA_1617!A747),6),3),"-",(RIGHT(RIGHT(CONCATENATE("000",IFAData_TEA_1617!A747),6),3)))</f>
        <v>065-902</v>
      </c>
      <c r="C747" s="979" t="s">
        <v>2370</v>
      </c>
      <c r="D747" s="979">
        <v>6</v>
      </c>
      <c r="E747" s="979">
        <v>1880</v>
      </c>
      <c r="F747" s="979" t="s">
        <v>4566</v>
      </c>
      <c r="G747" s="979" t="s">
        <v>4566</v>
      </c>
      <c r="H747" s="979">
        <v>89335</v>
      </c>
      <c r="I747" s="979">
        <v>0</v>
      </c>
      <c r="J747" s="979">
        <v>0</v>
      </c>
      <c r="K747" s="979"/>
      <c r="L747" s="979">
        <v>0</v>
      </c>
      <c r="M747" s="979">
        <v>599</v>
      </c>
    </row>
    <row r="748" spans="1:13" ht="15">
      <c r="A748" s="979" t="s">
        <v>3488</v>
      </c>
      <c r="B748" s="1040" t="str">
        <f>CONCATENATE(LEFT(RIGHT(CONCATENATE("000",IFAData_TEA_1617!A748),6),3),"-",(RIGHT(RIGHT(CONCATENATE("000",IFAData_TEA_1617!A748),6),3)))</f>
        <v>066-902</v>
      </c>
      <c r="C748" s="979" t="s">
        <v>2030</v>
      </c>
      <c r="D748" s="979">
        <v>5</v>
      </c>
      <c r="E748" s="979">
        <v>2288</v>
      </c>
      <c r="F748" s="979" t="s">
        <v>4569</v>
      </c>
      <c r="G748" s="979" t="s">
        <v>4569</v>
      </c>
      <c r="H748" s="979">
        <v>221765</v>
      </c>
      <c r="I748" s="979">
        <v>0</v>
      </c>
      <c r="J748" s="979">
        <v>0</v>
      </c>
      <c r="K748" s="979">
        <v>0</v>
      </c>
      <c r="L748" s="979">
        <v>0</v>
      </c>
      <c r="M748" s="979">
        <v>599</v>
      </c>
    </row>
    <row r="749" spans="1:13" ht="15">
      <c r="A749" s="979" t="s">
        <v>3488</v>
      </c>
      <c r="B749" s="1040" t="str">
        <f>CONCATENATE(LEFT(RIGHT(CONCATENATE("000",IFAData_TEA_1617!A749),6),3),"-",(RIGHT(RIGHT(CONCATENATE("000",IFAData_TEA_1617!A749),6),3)))</f>
        <v>066-902</v>
      </c>
      <c r="C749" s="979" t="s">
        <v>2030</v>
      </c>
      <c r="D749" s="979">
        <v>5</v>
      </c>
      <c r="E749" s="979">
        <v>2288</v>
      </c>
      <c r="F749" s="979" t="s">
        <v>4569</v>
      </c>
      <c r="G749" s="979" t="s">
        <v>4568</v>
      </c>
      <c r="H749" s="979">
        <v>221765</v>
      </c>
      <c r="I749" s="979">
        <v>0</v>
      </c>
      <c r="J749" s="979">
        <v>0</v>
      </c>
      <c r="K749" s="979">
        <v>0</v>
      </c>
      <c r="L749" s="979">
        <v>0</v>
      </c>
      <c r="M749" s="979">
        <v>599</v>
      </c>
    </row>
    <row r="750" spans="1:13" ht="15">
      <c r="A750" s="979" t="s">
        <v>3488</v>
      </c>
      <c r="B750" s="1040" t="str">
        <f>CONCATENATE(LEFT(RIGHT(CONCATENATE("000",IFAData_TEA_1617!A750),6),3),"-",(RIGHT(RIGHT(CONCATENATE("000",IFAData_TEA_1617!A750),6),3)))</f>
        <v>066-902</v>
      </c>
      <c r="C750" s="979" t="s">
        <v>2030</v>
      </c>
      <c r="D750" s="979">
        <v>4</v>
      </c>
      <c r="E750" s="979">
        <v>2291</v>
      </c>
      <c r="F750" s="979" t="s">
        <v>4567</v>
      </c>
      <c r="G750" s="979" t="s">
        <v>4568</v>
      </c>
      <c r="H750" s="979">
        <v>395737</v>
      </c>
      <c r="I750" s="979">
        <v>0</v>
      </c>
      <c r="J750" s="979">
        <v>0</v>
      </c>
      <c r="K750" s="979">
        <v>0</v>
      </c>
      <c r="L750" s="979">
        <v>0</v>
      </c>
      <c r="M750" s="979">
        <v>599</v>
      </c>
    </row>
    <row r="751" spans="1:13" ht="15">
      <c r="A751" s="979" t="s">
        <v>3488</v>
      </c>
      <c r="B751" s="1040" t="str">
        <f>CONCATENATE(LEFT(RIGHT(CONCATENATE("000",IFAData_TEA_1617!A751),6),3),"-",(RIGHT(RIGHT(CONCATENATE("000",IFAData_TEA_1617!A751),6),3)))</f>
        <v>066-902</v>
      </c>
      <c r="C751" s="979" t="s">
        <v>2030</v>
      </c>
      <c r="D751" s="979">
        <v>8</v>
      </c>
      <c r="E751" s="979">
        <v>2290</v>
      </c>
      <c r="F751" s="979" t="s">
        <v>4570</v>
      </c>
      <c r="G751" s="979" t="s">
        <v>4570</v>
      </c>
      <c r="H751" s="979">
        <v>346350</v>
      </c>
      <c r="I751" s="979">
        <v>0</v>
      </c>
      <c r="J751" s="979">
        <v>0</v>
      </c>
      <c r="K751" s="979">
        <v>0</v>
      </c>
      <c r="L751" s="979">
        <v>0</v>
      </c>
      <c r="M751" s="979">
        <v>599</v>
      </c>
    </row>
    <row r="752" spans="1:13" ht="15">
      <c r="A752" s="979" t="s">
        <v>3488</v>
      </c>
      <c r="B752" s="1040" t="str">
        <f>CONCATENATE(LEFT(RIGHT(CONCATENATE("000",IFAData_TEA_1617!A752),6),3),"-",(RIGHT(RIGHT(CONCATENATE("000",IFAData_TEA_1617!A752),6),3)))</f>
        <v>066-902</v>
      </c>
      <c r="C752" s="979" t="s">
        <v>2030</v>
      </c>
      <c r="D752" s="979">
        <v>4</v>
      </c>
      <c r="E752" s="979">
        <v>2291</v>
      </c>
      <c r="F752" s="979" t="s">
        <v>4567</v>
      </c>
      <c r="G752" s="979" t="s">
        <v>4567</v>
      </c>
      <c r="H752" s="979">
        <v>395737</v>
      </c>
      <c r="I752" s="979">
        <v>0</v>
      </c>
      <c r="J752" s="979">
        <v>0</v>
      </c>
      <c r="K752" s="979">
        <v>0</v>
      </c>
      <c r="L752" s="979">
        <v>0</v>
      </c>
      <c r="M752" s="979">
        <v>599</v>
      </c>
    </row>
    <row r="753" spans="1:13" ht="15">
      <c r="A753" s="979" t="s">
        <v>3488</v>
      </c>
      <c r="B753" s="1040" t="str">
        <f>CONCATENATE(LEFT(RIGHT(CONCATENATE("000",IFAData_TEA_1617!A753),6),3),"-",(RIGHT(RIGHT(CONCATENATE("000",IFAData_TEA_1617!A753),6),3)))</f>
        <v>066-902</v>
      </c>
      <c r="C753" s="979" t="s">
        <v>2030</v>
      </c>
      <c r="D753" s="979">
        <v>10</v>
      </c>
      <c r="E753" s="979">
        <v>2289</v>
      </c>
      <c r="F753" s="979" t="s">
        <v>4571</v>
      </c>
      <c r="G753" s="979" t="s">
        <v>4571</v>
      </c>
      <c r="H753" s="979">
        <v>275767</v>
      </c>
      <c r="I753" s="979">
        <v>273881</v>
      </c>
      <c r="J753" s="979">
        <v>1</v>
      </c>
      <c r="K753" s="979">
        <v>275767</v>
      </c>
      <c r="L753" s="979">
        <v>273881</v>
      </c>
      <c r="M753" s="979">
        <v>599</v>
      </c>
    </row>
    <row r="754" spans="1:13" ht="15">
      <c r="A754" s="979" t="s">
        <v>3488</v>
      </c>
      <c r="B754" s="1040" t="str">
        <f>CONCATENATE(LEFT(RIGHT(CONCATENATE("000",IFAData_TEA_1617!A754),6),3),"-",(RIGHT(RIGHT(CONCATENATE("000",IFAData_TEA_1617!A754),6),3)))</f>
        <v>066-902</v>
      </c>
      <c r="C754" s="979" t="s">
        <v>2030</v>
      </c>
      <c r="D754" s="979">
        <v>5</v>
      </c>
      <c r="E754" s="979">
        <v>2288</v>
      </c>
      <c r="F754" s="979" t="s">
        <v>4569</v>
      </c>
      <c r="G754" s="979" t="s">
        <v>6239</v>
      </c>
      <c r="H754" s="979">
        <v>221765</v>
      </c>
      <c r="I754" s="979">
        <v>202000</v>
      </c>
      <c r="J754" s="979">
        <v>1</v>
      </c>
      <c r="K754" s="979">
        <v>221765</v>
      </c>
      <c r="L754" s="979">
        <v>202000</v>
      </c>
      <c r="M754" s="979">
        <v>599</v>
      </c>
    </row>
    <row r="755" spans="1:13" ht="15">
      <c r="A755" s="979" t="s">
        <v>3488</v>
      </c>
      <c r="B755" s="1040" t="str">
        <f>CONCATENATE(LEFT(RIGHT(CONCATENATE("000",IFAData_TEA_1617!A755),6),3),"-",(RIGHT(RIGHT(CONCATENATE("000",IFAData_TEA_1617!A755),6),3)))</f>
        <v>066-902</v>
      </c>
      <c r="C755" s="979" t="s">
        <v>2030</v>
      </c>
      <c r="D755" s="979">
        <v>8</v>
      </c>
      <c r="E755" s="979">
        <v>2290</v>
      </c>
      <c r="F755" s="979" t="s">
        <v>4570</v>
      </c>
      <c r="G755" s="979" t="s">
        <v>6447</v>
      </c>
      <c r="H755" s="979">
        <v>346350</v>
      </c>
      <c r="I755" s="979">
        <v>457600</v>
      </c>
      <c r="J755" s="979">
        <v>1</v>
      </c>
      <c r="K755" s="979">
        <v>346350</v>
      </c>
      <c r="L755" s="979">
        <v>346350</v>
      </c>
      <c r="M755" s="979">
        <v>599</v>
      </c>
    </row>
    <row r="756" spans="1:13" ht="15">
      <c r="A756" s="979" t="s">
        <v>3488</v>
      </c>
      <c r="B756" s="1040" t="str">
        <f>CONCATENATE(LEFT(RIGHT(CONCATENATE("000",IFAData_TEA_1617!A756),6),3),"-",(RIGHT(RIGHT(CONCATENATE("000",IFAData_TEA_1617!A756),6),3)))</f>
        <v>066-902</v>
      </c>
      <c r="C756" s="979" t="s">
        <v>2030</v>
      </c>
      <c r="D756" s="979">
        <v>4</v>
      </c>
      <c r="E756" s="979">
        <v>2291</v>
      </c>
      <c r="F756" s="979" t="s">
        <v>4567</v>
      </c>
      <c r="G756" s="979" t="s">
        <v>6239</v>
      </c>
      <c r="H756" s="979">
        <v>395737</v>
      </c>
      <c r="I756" s="979">
        <v>316400</v>
      </c>
      <c r="J756" s="979">
        <v>1</v>
      </c>
      <c r="K756" s="979">
        <v>395737</v>
      </c>
      <c r="L756" s="979">
        <v>316400</v>
      </c>
      <c r="M756" s="979">
        <v>599</v>
      </c>
    </row>
    <row r="757" spans="1:13" ht="15">
      <c r="A757" s="979" t="s">
        <v>4572</v>
      </c>
      <c r="B757" s="1040" t="str">
        <f>CONCATENATE(LEFT(RIGHT(CONCATENATE("000",IFAData_TEA_1617!A757),6),3),"-",(RIGHT(RIGHT(CONCATENATE("000",IFAData_TEA_1617!A757),6),3)))</f>
        <v>067-902</v>
      </c>
      <c r="C757" s="979" t="s">
        <v>2151</v>
      </c>
      <c r="D757" s="979">
        <v>5</v>
      </c>
      <c r="E757" s="979">
        <v>1692</v>
      </c>
      <c r="F757" s="979" t="s">
        <v>4573</v>
      </c>
      <c r="G757" s="979" t="s">
        <v>4573</v>
      </c>
      <c r="H757" s="979">
        <v>108854</v>
      </c>
      <c r="I757" s="979">
        <v>0</v>
      </c>
      <c r="J757" s="979">
        <v>0</v>
      </c>
      <c r="K757" s="979"/>
      <c r="L757" s="979">
        <v>0</v>
      </c>
      <c r="M757" s="979">
        <v>199</v>
      </c>
    </row>
    <row r="758" spans="1:13" ht="15">
      <c r="A758" s="979" t="s">
        <v>3489</v>
      </c>
      <c r="B758" s="1040" t="str">
        <f>CONCATENATE(LEFT(RIGHT(CONCATENATE("000",IFAData_TEA_1617!A758),6),3),"-",(RIGHT(RIGHT(CONCATENATE("000",IFAData_TEA_1617!A758),6),3)))</f>
        <v>070-901</v>
      </c>
      <c r="C758" s="979" t="s">
        <v>2117</v>
      </c>
      <c r="D758" s="979">
        <v>5</v>
      </c>
      <c r="E758" s="979">
        <v>1587</v>
      </c>
      <c r="F758" s="979" t="s">
        <v>4574</v>
      </c>
      <c r="G758" s="979" t="s">
        <v>4574</v>
      </c>
      <c r="H758" s="979">
        <v>100000</v>
      </c>
      <c r="I758" s="979">
        <v>0</v>
      </c>
      <c r="J758" s="979">
        <v>0</v>
      </c>
      <c r="K758" s="979">
        <v>0</v>
      </c>
      <c r="L758" s="979">
        <v>0</v>
      </c>
      <c r="M758" s="979">
        <v>599</v>
      </c>
    </row>
    <row r="759" spans="1:13" ht="15">
      <c r="A759" s="979" t="s">
        <v>3489</v>
      </c>
      <c r="B759" s="1040" t="str">
        <f>CONCATENATE(LEFT(RIGHT(CONCATENATE("000",IFAData_TEA_1617!A759),6),3),"-",(RIGHT(RIGHT(CONCATENATE("000",IFAData_TEA_1617!A759),6),3)))</f>
        <v>070-901</v>
      </c>
      <c r="C759" s="979" t="s">
        <v>2117</v>
      </c>
      <c r="D759" s="979">
        <v>5</v>
      </c>
      <c r="E759" s="979">
        <v>1587</v>
      </c>
      <c r="F759" s="979" t="s">
        <v>4574</v>
      </c>
      <c r="G759" s="979" t="s">
        <v>4575</v>
      </c>
      <c r="H759" s="979">
        <v>100000</v>
      </c>
      <c r="I759" s="979">
        <v>84000</v>
      </c>
      <c r="J759" s="979">
        <v>1</v>
      </c>
      <c r="K759" s="979">
        <v>100000</v>
      </c>
      <c r="L759" s="979">
        <v>84000</v>
      </c>
      <c r="M759" s="979">
        <v>599</v>
      </c>
    </row>
    <row r="760" spans="1:13" ht="15">
      <c r="A760" s="979" t="s">
        <v>3490</v>
      </c>
      <c r="B760" s="1040" t="str">
        <f>CONCATENATE(LEFT(RIGHT(CONCATENATE("000",IFAData_TEA_1617!A760),6),3),"-",(RIGHT(RIGHT(CONCATENATE("000",IFAData_TEA_1617!A760),6),3)))</f>
        <v>070-905</v>
      </c>
      <c r="C760" s="979" t="s">
        <v>1970</v>
      </c>
      <c r="D760" s="979">
        <v>9</v>
      </c>
      <c r="E760" s="979">
        <v>1812</v>
      </c>
      <c r="F760" s="979" t="s">
        <v>4576</v>
      </c>
      <c r="G760" s="979" t="s">
        <v>6240</v>
      </c>
      <c r="H760" s="979">
        <v>367965</v>
      </c>
      <c r="I760" s="979">
        <v>207223</v>
      </c>
      <c r="J760" s="979">
        <v>0.18678869080348082</v>
      </c>
      <c r="K760" s="979">
        <v>68731.70061150282</v>
      </c>
      <c r="L760" s="979">
        <v>68731.70061150282</v>
      </c>
      <c r="M760" s="979">
        <v>599</v>
      </c>
    </row>
    <row r="761" spans="1:13" ht="15">
      <c r="A761" s="979" t="s">
        <v>3490</v>
      </c>
      <c r="B761" s="1040" t="str">
        <f>CONCATENATE(LEFT(RIGHT(CONCATENATE("000",IFAData_TEA_1617!A761),6),3),"-",(RIGHT(RIGHT(CONCATENATE("000",IFAData_TEA_1617!A761),6),3)))</f>
        <v>070-905</v>
      </c>
      <c r="C761" s="979" t="s">
        <v>1970</v>
      </c>
      <c r="D761" s="979">
        <v>9</v>
      </c>
      <c r="E761" s="979">
        <v>1812</v>
      </c>
      <c r="F761" s="979" t="s">
        <v>4576</v>
      </c>
      <c r="G761" s="979" t="s">
        <v>4576</v>
      </c>
      <c r="H761" s="979">
        <v>367965</v>
      </c>
      <c r="I761" s="979">
        <v>349525</v>
      </c>
      <c r="J761" s="979">
        <v>0.31505825682036565</v>
      </c>
      <c r="K761" s="979">
        <v>115930.41147090585</v>
      </c>
      <c r="L761" s="979">
        <v>115930.41147090585</v>
      </c>
      <c r="M761" s="979">
        <v>599</v>
      </c>
    </row>
    <row r="762" spans="1:13" ht="15">
      <c r="A762" s="979" t="s">
        <v>3490</v>
      </c>
      <c r="B762" s="1040" t="str">
        <f>CONCATENATE(LEFT(RIGHT(CONCATENATE("000",IFAData_TEA_1617!A762),6),3),"-",(RIGHT(RIGHT(CONCATENATE("000",IFAData_TEA_1617!A762),6),3)))</f>
        <v>070-905</v>
      </c>
      <c r="C762" s="979" t="s">
        <v>1970</v>
      </c>
      <c r="D762" s="979">
        <v>9</v>
      </c>
      <c r="E762" s="979">
        <v>1812</v>
      </c>
      <c r="F762" s="979" t="s">
        <v>4576</v>
      </c>
      <c r="G762" s="979" t="s">
        <v>4577</v>
      </c>
      <c r="H762" s="979">
        <v>367965</v>
      </c>
      <c r="I762" s="979">
        <v>552650</v>
      </c>
      <c r="J762" s="979">
        <v>0.49815305237615354</v>
      </c>
      <c r="K762" s="979">
        <v>183302.88791759135</v>
      </c>
      <c r="L762" s="979">
        <v>183302.88791759135</v>
      </c>
      <c r="M762" s="979">
        <v>599</v>
      </c>
    </row>
    <row r="763" spans="1:13" ht="15">
      <c r="A763" s="979" t="s">
        <v>3491</v>
      </c>
      <c r="B763" s="1040" t="str">
        <f>CONCATENATE(LEFT(RIGHT(CONCATENATE("000",IFAData_TEA_1617!A763),6),3),"-",(RIGHT(RIGHT(CONCATENATE("000",IFAData_TEA_1617!A763),6),3)))</f>
        <v>070-907</v>
      </c>
      <c r="C763" s="979" t="s">
        <v>1270</v>
      </c>
      <c r="D763" s="979">
        <v>4</v>
      </c>
      <c r="E763" s="979">
        <v>1930</v>
      </c>
      <c r="F763" s="979" t="s">
        <v>4578</v>
      </c>
      <c r="G763" s="979" t="s">
        <v>4578</v>
      </c>
      <c r="H763" s="979">
        <v>137308</v>
      </c>
      <c r="I763" s="979">
        <v>0</v>
      </c>
      <c r="J763" s="979">
        <v>0</v>
      </c>
      <c r="K763" s="979">
        <v>0</v>
      </c>
      <c r="L763" s="979">
        <v>0</v>
      </c>
      <c r="M763" s="979">
        <v>599</v>
      </c>
    </row>
    <row r="764" spans="1:13" ht="15">
      <c r="A764" s="979" t="s">
        <v>3491</v>
      </c>
      <c r="B764" s="1040" t="str">
        <f>CONCATENATE(LEFT(RIGHT(CONCATENATE("000",IFAData_TEA_1617!A764),6),3),"-",(RIGHT(RIGHT(CONCATENATE("000",IFAData_TEA_1617!A764),6),3)))</f>
        <v>070-907</v>
      </c>
      <c r="C764" s="979" t="s">
        <v>1270</v>
      </c>
      <c r="D764" s="979">
        <v>4</v>
      </c>
      <c r="E764" s="979">
        <v>1930</v>
      </c>
      <c r="F764" s="979" t="s">
        <v>4578</v>
      </c>
      <c r="G764" s="979" t="s">
        <v>4579</v>
      </c>
      <c r="H764" s="979">
        <v>137308</v>
      </c>
      <c r="I764" s="979">
        <v>133513</v>
      </c>
      <c r="J764" s="979">
        <v>1</v>
      </c>
      <c r="K764" s="979">
        <v>137308</v>
      </c>
      <c r="L764" s="979">
        <v>133513</v>
      </c>
      <c r="M764" s="979">
        <v>599</v>
      </c>
    </row>
    <row r="765" spans="1:13" ht="15">
      <c r="A765" s="979" t="s">
        <v>3492</v>
      </c>
      <c r="B765" s="1040" t="str">
        <f>CONCATENATE(LEFT(RIGHT(CONCATENATE("000",IFAData_TEA_1617!A765),6),3),"-",(RIGHT(RIGHT(CONCATENATE("000",IFAData_TEA_1617!A765),6),3)))</f>
        <v>070-910</v>
      </c>
      <c r="C765" s="979" t="s">
        <v>1363</v>
      </c>
      <c r="D765" s="979">
        <v>5</v>
      </c>
      <c r="E765" s="979">
        <v>2171</v>
      </c>
      <c r="F765" s="979" t="s">
        <v>4580</v>
      </c>
      <c r="G765" s="979" t="s">
        <v>4580</v>
      </c>
      <c r="H765" s="979">
        <v>229000</v>
      </c>
      <c r="I765" s="979">
        <v>0</v>
      </c>
      <c r="J765" s="979">
        <v>0</v>
      </c>
      <c r="K765" s="979">
        <v>0</v>
      </c>
      <c r="L765" s="979">
        <v>0</v>
      </c>
      <c r="M765" s="979">
        <v>599</v>
      </c>
    </row>
    <row r="766" spans="1:13" ht="15">
      <c r="A766" s="979" t="s">
        <v>3492</v>
      </c>
      <c r="B766" s="1040" t="str">
        <f>CONCATENATE(LEFT(RIGHT(CONCATENATE("000",IFAData_TEA_1617!A766),6),3),"-",(RIGHT(RIGHT(CONCATENATE("000",IFAData_TEA_1617!A766),6),3)))</f>
        <v>070-910</v>
      </c>
      <c r="C766" s="979" t="s">
        <v>1363</v>
      </c>
      <c r="D766" s="979">
        <v>5</v>
      </c>
      <c r="E766" s="979">
        <v>2171</v>
      </c>
      <c r="F766" s="979" t="s">
        <v>4580</v>
      </c>
      <c r="G766" s="979" t="s">
        <v>4581</v>
      </c>
      <c r="H766" s="979">
        <v>229000</v>
      </c>
      <c r="I766" s="979">
        <v>354971</v>
      </c>
      <c r="J766" s="979">
        <v>0.53507354470716273</v>
      </c>
      <c r="K766" s="979">
        <v>122531.84173794027</v>
      </c>
      <c r="L766" s="979">
        <v>122531.84173794027</v>
      </c>
      <c r="M766" s="979">
        <v>599</v>
      </c>
    </row>
    <row r="767" spans="1:13" ht="15">
      <c r="A767" s="979" t="s">
        <v>3492</v>
      </c>
      <c r="B767" s="1040" t="str">
        <f>CONCATENATE(LEFT(RIGHT(CONCATENATE("000",IFAData_TEA_1617!A767),6),3),"-",(RIGHT(RIGHT(CONCATENATE("000",IFAData_TEA_1617!A767),6),3)))</f>
        <v>070-910</v>
      </c>
      <c r="C767" s="979" t="s">
        <v>1363</v>
      </c>
      <c r="D767" s="979">
        <v>5</v>
      </c>
      <c r="E767" s="979">
        <v>2171</v>
      </c>
      <c r="F767" s="979" t="s">
        <v>4580</v>
      </c>
      <c r="G767" s="979" t="s">
        <v>6448</v>
      </c>
      <c r="H767" s="979">
        <v>229000</v>
      </c>
      <c r="I767" s="979">
        <v>308435</v>
      </c>
      <c r="J767" s="979">
        <v>0.46492645529283727</v>
      </c>
      <c r="K767" s="979">
        <v>106468.15826205973</v>
      </c>
      <c r="L767" s="979">
        <v>106468.15826205973</v>
      </c>
      <c r="M767" s="979">
        <v>599</v>
      </c>
    </row>
    <row r="768" spans="1:13" ht="15">
      <c r="A768" s="979" t="s">
        <v>3493</v>
      </c>
      <c r="B768" s="1040" t="str">
        <f>CONCATENATE(LEFT(RIGHT(CONCATENATE("000",IFAData_TEA_1617!A768),6),3),"-",(RIGHT(RIGHT(CONCATENATE("000",IFAData_TEA_1617!A768),6),3)))</f>
        <v>070-911</v>
      </c>
      <c r="C768" s="979" t="s">
        <v>79</v>
      </c>
      <c r="D768" s="979">
        <v>9</v>
      </c>
      <c r="E768" s="979">
        <v>2231</v>
      </c>
      <c r="F768" s="979" t="s">
        <v>4586</v>
      </c>
      <c r="G768" s="979" t="s">
        <v>6242</v>
      </c>
      <c r="H768" s="979">
        <v>1269033</v>
      </c>
      <c r="I768" s="979">
        <v>369200</v>
      </c>
      <c r="J768" s="979">
        <v>0.24527894500822137</v>
      </c>
      <c r="K768" s="979">
        <v>311267.07542061817</v>
      </c>
      <c r="L768" s="979">
        <v>311267.07542061817</v>
      </c>
      <c r="M768" s="979">
        <v>599</v>
      </c>
    </row>
    <row r="769" spans="1:13" ht="15">
      <c r="A769" s="979" t="s">
        <v>3493</v>
      </c>
      <c r="B769" s="1040" t="str">
        <f>CONCATENATE(LEFT(RIGHT(CONCATENATE("000",IFAData_TEA_1617!A769),6),3),"-",(RIGHT(RIGHT(CONCATENATE("000",IFAData_TEA_1617!A769),6),3)))</f>
        <v>070-911</v>
      </c>
      <c r="C769" s="979" t="s">
        <v>79</v>
      </c>
      <c r="D769" s="979">
        <v>3</v>
      </c>
      <c r="E769" s="979">
        <v>2230</v>
      </c>
      <c r="F769" s="979" t="s">
        <v>4582</v>
      </c>
      <c r="G769" s="979" t="s">
        <v>4582</v>
      </c>
      <c r="H769" s="979">
        <v>350000</v>
      </c>
      <c r="I769" s="979">
        <v>295000</v>
      </c>
      <c r="J769" s="979">
        <v>1</v>
      </c>
      <c r="K769" s="979">
        <v>350000</v>
      </c>
      <c r="L769" s="979">
        <v>295000</v>
      </c>
      <c r="M769" s="979">
        <v>599</v>
      </c>
    </row>
    <row r="770" spans="1:13" ht="15">
      <c r="A770" s="979" t="s">
        <v>3493</v>
      </c>
      <c r="B770" s="1040" t="str">
        <f>CONCATENATE(LEFT(RIGHT(CONCATENATE("000",IFAData_TEA_1617!A770),6),3),"-",(RIGHT(RIGHT(CONCATENATE("000",IFAData_TEA_1617!A770),6),3)))</f>
        <v>070-911</v>
      </c>
      <c r="C770" s="979" t="s">
        <v>79</v>
      </c>
      <c r="D770" s="979">
        <v>9</v>
      </c>
      <c r="E770" s="979">
        <v>2231</v>
      </c>
      <c r="F770" s="979" t="s">
        <v>4586</v>
      </c>
      <c r="G770" s="979" t="s">
        <v>6449</v>
      </c>
      <c r="H770" s="979">
        <v>1269033</v>
      </c>
      <c r="I770" s="979">
        <v>368800</v>
      </c>
      <c r="J770" s="979">
        <v>0.24501320400604562</v>
      </c>
      <c r="K770" s="979">
        <v>310929.84131940408</v>
      </c>
      <c r="L770" s="979">
        <v>310929.84131940408</v>
      </c>
      <c r="M770" s="979">
        <v>599</v>
      </c>
    </row>
    <row r="771" spans="1:13" ht="15">
      <c r="A771" s="979" t="s">
        <v>3493</v>
      </c>
      <c r="B771" s="1040" t="str">
        <f>CONCATENATE(LEFT(RIGHT(CONCATENATE("000",IFAData_TEA_1617!A771),6),3),"-",(RIGHT(RIGHT(CONCATENATE("000",IFAData_TEA_1617!A771),6),3)))</f>
        <v>070-911</v>
      </c>
      <c r="C771" s="979" t="s">
        <v>79</v>
      </c>
      <c r="D771" s="979">
        <v>3</v>
      </c>
      <c r="E771" s="979">
        <v>2230</v>
      </c>
      <c r="F771" s="979" t="s">
        <v>4582</v>
      </c>
      <c r="G771" s="979" t="s">
        <v>4583</v>
      </c>
      <c r="H771" s="979">
        <v>350000</v>
      </c>
      <c r="I771" s="979">
        <v>0</v>
      </c>
      <c r="J771" s="979">
        <v>0</v>
      </c>
      <c r="K771" s="979">
        <v>0</v>
      </c>
      <c r="L771" s="979">
        <v>0</v>
      </c>
      <c r="M771" s="979">
        <v>599</v>
      </c>
    </row>
    <row r="772" spans="1:13" ht="15">
      <c r="A772" s="979" t="s">
        <v>3493</v>
      </c>
      <c r="B772" s="1040" t="str">
        <f>CONCATENATE(LEFT(RIGHT(CONCATENATE("000",IFAData_TEA_1617!A772),6),3),"-",(RIGHT(RIGHT(CONCATENATE("000",IFAData_TEA_1617!A772),6),3)))</f>
        <v>070-911</v>
      </c>
      <c r="C772" s="979" t="s">
        <v>79</v>
      </c>
      <c r="D772" s="979">
        <v>10</v>
      </c>
      <c r="E772" s="979">
        <v>2232</v>
      </c>
      <c r="F772" s="979" t="s">
        <v>4587</v>
      </c>
      <c r="G772" s="979" t="s">
        <v>4587</v>
      </c>
      <c r="H772" s="979">
        <v>1279231</v>
      </c>
      <c r="I772" s="979">
        <v>2621694</v>
      </c>
      <c r="J772" s="979">
        <v>1</v>
      </c>
      <c r="K772" s="979">
        <v>1279231</v>
      </c>
      <c r="L772" s="979">
        <v>1279231</v>
      </c>
      <c r="M772" s="979">
        <v>599</v>
      </c>
    </row>
    <row r="773" spans="1:13" ht="15">
      <c r="A773" s="979" t="s">
        <v>3493</v>
      </c>
      <c r="B773" s="1040" t="str">
        <f>CONCATENATE(LEFT(RIGHT(CONCATENATE("000",IFAData_TEA_1617!A773),6),3),"-",(RIGHT(RIGHT(CONCATENATE("000",IFAData_TEA_1617!A773),6),3)))</f>
        <v>070-911</v>
      </c>
      <c r="C773" s="979" t="s">
        <v>79</v>
      </c>
      <c r="D773" s="979">
        <v>6</v>
      </c>
      <c r="E773" s="979">
        <v>2229</v>
      </c>
      <c r="F773" s="979" t="s">
        <v>4584</v>
      </c>
      <c r="G773" s="979" t="s">
        <v>4585</v>
      </c>
      <c r="H773" s="979">
        <v>67680</v>
      </c>
      <c r="I773" s="979">
        <v>96733</v>
      </c>
      <c r="J773" s="979">
        <v>1</v>
      </c>
      <c r="K773" s="979">
        <v>67680</v>
      </c>
      <c r="L773" s="979">
        <v>67680</v>
      </c>
      <c r="M773" s="979">
        <v>599</v>
      </c>
    </row>
    <row r="774" spans="1:13" ht="15">
      <c r="A774" s="979" t="s">
        <v>3493</v>
      </c>
      <c r="B774" s="1040" t="str">
        <f>CONCATENATE(LEFT(RIGHT(CONCATENATE("000",IFAData_TEA_1617!A774),6),3),"-",(RIGHT(RIGHT(CONCATENATE("000",IFAData_TEA_1617!A774),6),3)))</f>
        <v>070-911</v>
      </c>
      <c r="C774" s="979" t="s">
        <v>79</v>
      </c>
      <c r="D774" s="979">
        <v>9</v>
      </c>
      <c r="E774" s="979">
        <v>2231</v>
      </c>
      <c r="F774" s="979" t="s">
        <v>4586</v>
      </c>
      <c r="G774" s="979" t="s">
        <v>4586</v>
      </c>
      <c r="H774" s="979">
        <v>1269033</v>
      </c>
      <c r="I774" s="979">
        <v>388575</v>
      </c>
      <c r="J774" s="979">
        <v>0.25815077480110948</v>
      </c>
      <c r="K774" s="979">
        <v>327601.85219817638</v>
      </c>
      <c r="L774" s="979">
        <v>327601.85219817638</v>
      </c>
      <c r="M774" s="979">
        <v>599</v>
      </c>
    </row>
    <row r="775" spans="1:13" ht="15">
      <c r="A775" s="979" t="s">
        <v>3493</v>
      </c>
      <c r="B775" s="1040" t="str">
        <f>CONCATENATE(LEFT(RIGHT(CONCATENATE("000",IFAData_TEA_1617!A775),6),3),"-",(RIGHT(RIGHT(CONCATENATE("000",IFAData_TEA_1617!A775),6),3)))</f>
        <v>070-911</v>
      </c>
      <c r="C775" s="979" t="s">
        <v>79</v>
      </c>
      <c r="D775" s="979">
        <v>6</v>
      </c>
      <c r="E775" s="979">
        <v>2229</v>
      </c>
      <c r="F775" s="979" t="s">
        <v>4584</v>
      </c>
      <c r="G775" s="979" t="s">
        <v>4584</v>
      </c>
      <c r="H775" s="979">
        <v>67680</v>
      </c>
      <c r="I775" s="979">
        <v>0</v>
      </c>
      <c r="J775" s="979">
        <v>0</v>
      </c>
      <c r="K775" s="979">
        <v>0</v>
      </c>
      <c r="L775" s="979">
        <v>0</v>
      </c>
      <c r="M775" s="979">
        <v>599</v>
      </c>
    </row>
    <row r="776" spans="1:13" ht="15">
      <c r="A776" s="979" t="s">
        <v>3493</v>
      </c>
      <c r="B776" s="1040" t="str">
        <f>CONCATENATE(LEFT(RIGHT(CONCATENATE("000",IFAData_TEA_1617!A776),6),3),"-",(RIGHT(RIGHT(CONCATENATE("000",IFAData_TEA_1617!A776),6),3)))</f>
        <v>070-911</v>
      </c>
      <c r="C776" s="979" t="s">
        <v>79</v>
      </c>
      <c r="D776" s="979">
        <v>9</v>
      </c>
      <c r="E776" s="979">
        <v>2231</v>
      </c>
      <c r="F776" s="979" t="s">
        <v>4586</v>
      </c>
      <c r="G776" s="979" t="s">
        <v>6241</v>
      </c>
      <c r="H776" s="979">
        <v>1269033</v>
      </c>
      <c r="I776" s="979">
        <v>378650</v>
      </c>
      <c r="J776" s="979">
        <v>0.25155707618462358</v>
      </c>
      <c r="K776" s="979">
        <v>319234.23106180143</v>
      </c>
      <c r="L776" s="979">
        <v>319234.23106180143</v>
      </c>
      <c r="M776" s="979">
        <v>599</v>
      </c>
    </row>
    <row r="777" spans="1:13" ht="15">
      <c r="A777" s="979" t="s">
        <v>3494</v>
      </c>
      <c r="B777" s="1040" t="str">
        <f>CONCATENATE(LEFT(RIGHT(CONCATENATE("000",IFAData_TEA_1617!A777),6),3),"-",(RIGHT(RIGHT(CONCATENATE("000",IFAData_TEA_1617!A777),6),3)))</f>
        <v>070-912</v>
      </c>
      <c r="C777" s="979" t="s">
        <v>139</v>
      </c>
      <c r="D777" s="979">
        <v>1</v>
      </c>
      <c r="E777" s="979">
        <v>2438</v>
      </c>
      <c r="F777" s="979" t="s">
        <v>4588</v>
      </c>
      <c r="G777" s="979" t="s">
        <v>4588</v>
      </c>
      <c r="H777" s="979">
        <v>1270445</v>
      </c>
      <c r="I777" s="979">
        <v>0</v>
      </c>
      <c r="J777" s="979">
        <v>0</v>
      </c>
      <c r="K777" s="979"/>
      <c r="L777" s="979">
        <v>0</v>
      </c>
      <c r="M777" s="979">
        <v>599</v>
      </c>
    </row>
    <row r="778" spans="1:13" ht="15">
      <c r="A778" s="979" t="s">
        <v>3495</v>
      </c>
      <c r="B778" s="1040" t="str">
        <f>CONCATENATE(LEFT(RIGHT(CONCATENATE("000",IFAData_TEA_1617!A778),6),3),"-",(RIGHT(RIGHT(CONCATENATE("000",IFAData_TEA_1617!A778),6),3)))</f>
        <v>070-915</v>
      </c>
      <c r="C778" s="979" t="s">
        <v>1992</v>
      </c>
      <c r="D778" s="979">
        <v>4</v>
      </c>
      <c r="E778" s="979">
        <v>2078</v>
      </c>
      <c r="F778" s="979" t="s">
        <v>4591</v>
      </c>
      <c r="G778" s="979" t="s">
        <v>4594</v>
      </c>
      <c r="H778" s="979">
        <v>207500</v>
      </c>
      <c r="I778" s="979">
        <v>65278</v>
      </c>
      <c r="J778" s="979">
        <v>0.22481127396958342</v>
      </c>
      <c r="K778" s="979">
        <v>46648.339348688562</v>
      </c>
      <c r="L778" s="979">
        <v>46648.339348688562</v>
      </c>
      <c r="M778" s="979">
        <v>599</v>
      </c>
    </row>
    <row r="779" spans="1:13" ht="15">
      <c r="A779" s="979" t="s">
        <v>3495</v>
      </c>
      <c r="B779" s="1040" t="str">
        <f>CONCATENATE(LEFT(RIGHT(CONCATENATE("000",IFAData_TEA_1617!A779),6),3),"-",(RIGHT(RIGHT(CONCATENATE("000",IFAData_TEA_1617!A779),6),3)))</f>
        <v>070-915</v>
      </c>
      <c r="C779" s="979" t="s">
        <v>1992</v>
      </c>
      <c r="D779" s="979">
        <v>4</v>
      </c>
      <c r="E779" s="979">
        <v>2078</v>
      </c>
      <c r="F779" s="979" t="s">
        <v>4591</v>
      </c>
      <c r="G779" s="979" t="s">
        <v>6243</v>
      </c>
      <c r="H779" s="979">
        <v>207500</v>
      </c>
      <c r="I779" s="979">
        <v>46794</v>
      </c>
      <c r="J779" s="979">
        <v>0.1611541216662993</v>
      </c>
      <c r="K779" s="979">
        <v>33439.480245757106</v>
      </c>
      <c r="L779" s="979">
        <v>33439.480245757106</v>
      </c>
      <c r="M779" s="979">
        <v>599</v>
      </c>
    </row>
    <row r="780" spans="1:13" ht="15">
      <c r="A780" s="979" t="s">
        <v>3495</v>
      </c>
      <c r="B780" s="1040" t="str">
        <f>CONCATENATE(LEFT(RIGHT(CONCATENATE("000",IFAData_TEA_1617!A780),6),3),"-",(RIGHT(RIGHT(CONCATENATE("000",IFAData_TEA_1617!A780),6),3)))</f>
        <v>070-915</v>
      </c>
      <c r="C780" s="979" t="s">
        <v>1992</v>
      </c>
      <c r="D780" s="979">
        <v>4</v>
      </c>
      <c r="E780" s="979">
        <v>2078</v>
      </c>
      <c r="F780" s="979" t="s">
        <v>4591</v>
      </c>
      <c r="G780" s="979" t="s">
        <v>4593</v>
      </c>
      <c r="H780" s="979">
        <v>207500</v>
      </c>
      <c r="I780" s="979">
        <v>51550</v>
      </c>
      <c r="J780" s="979">
        <v>0.17753333700683271</v>
      </c>
      <c r="K780" s="979">
        <v>36838.16742891779</v>
      </c>
      <c r="L780" s="979">
        <v>36838.16742891779</v>
      </c>
      <c r="M780" s="979">
        <v>599</v>
      </c>
    </row>
    <row r="781" spans="1:13" ht="15">
      <c r="A781" s="979" t="s">
        <v>3495</v>
      </c>
      <c r="B781" s="1040" t="str">
        <f>CONCATENATE(LEFT(RIGHT(CONCATENATE("000",IFAData_TEA_1617!A781),6),3),"-",(RIGHT(RIGHT(CONCATENATE("000",IFAData_TEA_1617!A781),6),3)))</f>
        <v>070-915</v>
      </c>
      <c r="C781" s="979" t="s">
        <v>1992</v>
      </c>
      <c r="D781" s="979">
        <v>4</v>
      </c>
      <c r="E781" s="979">
        <v>2078</v>
      </c>
      <c r="F781" s="979" t="s">
        <v>4591</v>
      </c>
      <c r="G781" s="979" t="s">
        <v>4592</v>
      </c>
      <c r="H781" s="979">
        <v>207500</v>
      </c>
      <c r="I781" s="979">
        <v>126746</v>
      </c>
      <c r="J781" s="979">
        <v>0.43650126735728456</v>
      </c>
      <c r="K781" s="979">
        <v>90574.012976636543</v>
      </c>
      <c r="L781" s="979">
        <v>90574.012976636543</v>
      </c>
      <c r="M781" s="979">
        <v>599</v>
      </c>
    </row>
    <row r="782" spans="1:13" ht="15">
      <c r="A782" s="979" t="s">
        <v>3495</v>
      </c>
      <c r="B782" s="1040" t="str">
        <f>CONCATENATE(LEFT(RIGHT(CONCATENATE("000",IFAData_TEA_1617!A782),6),3),"-",(RIGHT(RIGHT(CONCATENATE("000",IFAData_TEA_1617!A782),6),3)))</f>
        <v>070-915</v>
      </c>
      <c r="C782" s="979" t="s">
        <v>1992</v>
      </c>
      <c r="D782" s="979">
        <v>4</v>
      </c>
      <c r="E782" s="979">
        <v>2078</v>
      </c>
      <c r="F782" s="979" t="s">
        <v>4591</v>
      </c>
      <c r="G782" s="979" t="s">
        <v>4591</v>
      </c>
      <c r="H782" s="979">
        <v>207500</v>
      </c>
      <c r="I782" s="979">
        <v>0</v>
      </c>
      <c r="J782" s="979">
        <v>0</v>
      </c>
      <c r="K782" s="979">
        <v>0</v>
      </c>
      <c r="L782" s="979">
        <v>0</v>
      </c>
      <c r="M782" s="979">
        <v>599</v>
      </c>
    </row>
    <row r="783" spans="1:13" ht="15">
      <c r="A783" s="979" t="s">
        <v>3496</v>
      </c>
      <c r="B783" s="1040" t="str">
        <f>CONCATENATE(LEFT(RIGHT(CONCATENATE("000",IFAData_TEA_1617!A783),6),3),"-",(RIGHT(RIGHT(CONCATENATE("000",IFAData_TEA_1617!A783),6),3)))</f>
        <v>071-901</v>
      </c>
      <c r="C783" s="979" t="s">
        <v>1166</v>
      </c>
      <c r="D783" s="979">
        <v>3</v>
      </c>
      <c r="E783" s="979">
        <v>1698</v>
      </c>
      <c r="F783" s="979" t="s">
        <v>4596</v>
      </c>
      <c r="G783" s="979" t="s">
        <v>4597</v>
      </c>
      <c r="H783" s="979">
        <v>1037938</v>
      </c>
      <c r="I783" s="979">
        <v>0</v>
      </c>
      <c r="J783" s="979">
        <v>0</v>
      </c>
      <c r="K783" s="979">
        <v>0</v>
      </c>
      <c r="L783" s="979">
        <v>0</v>
      </c>
      <c r="M783" s="979">
        <v>599</v>
      </c>
    </row>
    <row r="784" spans="1:13" ht="15">
      <c r="A784" s="979" t="s">
        <v>3496</v>
      </c>
      <c r="B784" s="1040" t="str">
        <f>CONCATENATE(LEFT(RIGHT(CONCATENATE("000",IFAData_TEA_1617!A784),6),3),"-",(RIGHT(RIGHT(CONCATENATE("000",IFAData_TEA_1617!A784),6),3)))</f>
        <v>071-901</v>
      </c>
      <c r="C784" s="979" t="s">
        <v>1166</v>
      </c>
      <c r="D784" s="979">
        <v>4</v>
      </c>
      <c r="E784" s="979">
        <v>1697</v>
      </c>
      <c r="F784" s="979" t="s">
        <v>4600</v>
      </c>
      <c r="G784" s="979" t="s">
        <v>4598</v>
      </c>
      <c r="H784" s="979">
        <v>732644</v>
      </c>
      <c r="I784" s="979">
        <v>0</v>
      </c>
      <c r="J784" s="979">
        <v>0</v>
      </c>
      <c r="K784" s="979">
        <v>0</v>
      </c>
      <c r="L784" s="979">
        <v>0</v>
      </c>
      <c r="M784" s="979">
        <v>599</v>
      </c>
    </row>
    <row r="785" spans="1:13" ht="15">
      <c r="A785" s="979" t="s">
        <v>3496</v>
      </c>
      <c r="B785" s="1040" t="str">
        <f>CONCATENATE(LEFT(RIGHT(CONCATENATE("000",IFAData_TEA_1617!A785),6),3),"-",(RIGHT(RIGHT(CONCATENATE("000",IFAData_TEA_1617!A785),6),3)))</f>
        <v>071-901</v>
      </c>
      <c r="C785" s="979" t="s">
        <v>1166</v>
      </c>
      <c r="D785" s="979">
        <v>3</v>
      </c>
      <c r="E785" s="979">
        <v>1698</v>
      </c>
      <c r="F785" s="979" t="s">
        <v>4596</v>
      </c>
      <c r="G785" s="979" t="s">
        <v>4598</v>
      </c>
      <c r="H785" s="979">
        <v>1037938</v>
      </c>
      <c r="I785" s="979">
        <v>0</v>
      </c>
      <c r="J785" s="979">
        <v>0</v>
      </c>
      <c r="K785" s="979">
        <v>0</v>
      </c>
      <c r="L785" s="979">
        <v>0</v>
      </c>
      <c r="M785" s="979">
        <v>599</v>
      </c>
    </row>
    <row r="786" spans="1:13" ht="15">
      <c r="A786" s="979" t="s">
        <v>3496</v>
      </c>
      <c r="B786" s="1040" t="str">
        <f>CONCATENATE(LEFT(RIGHT(CONCATENATE("000",IFAData_TEA_1617!A786),6),3),"-",(RIGHT(RIGHT(CONCATENATE("000",IFAData_TEA_1617!A786),6),3)))</f>
        <v>071-901</v>
      </c>
      <c r="C786" s="979" t="s">
        <v>1166</v>
      </c>
      <c r="D786" s="979">
        <v>6</v>
      </c>
      <c r="E786" s="979">
        <v>1699</v>
      </c>
      <c r="F786" s="979" t="s">
        <v>4601</v>
      </c>
      <c r="G786" s="979" t="s">
        <v>4598</v>
      </c>
      <c r="H786" s="979">
        <v>1200698</v>
      </c>
      <c r="I786" s="979">
        <v>0</v>
      </c>
      <c r="J786" s="979">
        <v>0</v>
      </c>
      <c r="K786" s="979">
        <v>0</v>
      </c>
      <c r="L786" s="979">
        <v>0</v>
      </c>
      <c r="M786" s="979">
        <v>599</v>
      </c>
    </row>
    <row r="787" spans="1:13" ht="15">
      <c r="A787" s="979" t="s">
        <v>3496</v>
      </c>
      <c r="B787" s="1040" t="str">
        <f>CONCATENATE(LEFT(RIGHT(CONCATENATE("000",IFAData_TEA_1617!A787),6),3),"-",(RIGHT(RIGHT(CONCATENATE("000",IFAData_TEA_1617!A787),6),3)))</f>
        <v>071-901</v>
      </c>
      <c r="C787" s="979" t="s">
        <v>1166</v>
      </c>
      <c r="D787" s="979">
        <v>6</v>
      </c>
      <c r="E787" s="979">
        <v>1699</v>
      </c>
      <c r="F787" s="979" t="s">
        <v>4601</v>
      </c>
      <c r="G787" s="979" t="s">
        <v>4602</v>
      </c>
      <c r="H787" s="979">
        <v>1200698</v>
      </c>
      <c r="I787" s="979">
        <v>288307</v>
      </c>
      <c r="J787" s="979">
        <v>0.25009932597135592</v>
      </c>
      <c r="K787" s="979">
        <v>300293.76049515512</v>
      </c>
      <c r="L787" s="979">
        <v>288307</v>
      </c>
      <c r="M787" s="979">
        <v>599</v>
      </c>
    </row>
    <row r="788" spans="1:13" ht="15">
      <c r="A788" s="979" t="s">
        <v>3496</v>
      </c>
      <c r="B788" s="1040" t="str">
        <f>CONCATENATE(LEFT(RIGHT(CONCATENATE("000",IFAData_TEA_1617!A788),6),3),"-",(RIGHT(RIGHT(CONCATENATE("000",IFAData_TEA_1617!A788),6),3)))</f>
        <v>071-901</v>
      </c>
      <c r="C788" s="979" t="s">
        <v>1166</v>
      </c>
      <c r="D788" s="979">
        <v>8</v>
      </c>
      <c r="E788" s="979">
        <v>1700</v>
      </c>
      <c r="F788" s="979" t="s">
        <v>4603</v>
      </c>
      <c r="G788" s="979" t="s">
        <v>4603</v>
      </c>
      <c r="H788" s="979">
        <v>2334930</v>
      </c>
      <c r="I788" s="979">
        <v>0</v>
      </c>
      <c r="J788" s="979">
        <v>0</v>
      </c>
      <c r="K788" s="979">
        <v>0</v>
      </c>
      <c r="L788" s="979">
        <v>0</v>
      </c>
      <c r="M788" s="979">
        <v>599</v>
      </c>
    </row>
    <row r="789" spans="1:13" ht="15">
      <c r="A789" s="979" t="s">
        <v>3496</v>
      </c>
      <c r="B789" s="1040" t="str">
        <f>CONCATENATE(LEFT(RIGHT(CONCATENATE("000",IFAData_TEA_1617!A789),6),3),"-",(RIGHT(RIGHT(CONCATENATE("000",IFAData_TEA_1617!A789),6),3)))</f>
        <v>071-901</v>
      </c>
      <c r="C789" s="979" t="s">
        <v>1166</v>
      </c>
      <c r="D789" s="979">
        <v>2</v>
      </c>
      <c r="E789" s="979">
        <v>1696</v>
      </c>
      <c r="F789" s="979" t="s">
        <v>4595</v>
      </c>
      <c r="G789" s="979" t="s">
        <v>4595</v>
      </c>
      <c r="H789" s="979">
        <v>530747</v>
      </c>
      <c r="I789" s="979">
        <v>0</v>
      </c>
      <c r="J789" s="979">
        <v>0</v>
      </c>
      <c r="K789" s="979"/>
      <c r="L789" s="979">
        <v>0</v>
      </c>
      <c r="M789" s="979">
        <v>199</v>
      </c>
    </row>
    <row r="790" spans="1:13" ht="15">
      <c r="A790" s="979" t="s">
        <v>3496</v>
      </c>
      <c r="B790" s="1040" t="str">
        <f>CONCATENATE(LEFT(RIGHT(CONCATENATE("000",IFAData_TEA_1617!A790),6),3),"-",(RIGHT(RIGHT(CONCATENATE("000",IFAData_TEA_1617!A790),6),3)))</f>
        <v>071-901</v>
      </c>
      <c r="C790" s="979" t="s">
        <v>1166</v>
      </c>
      <c r="D790" s="979">
        <v>8</v>
      </c>
      <c r="E790" s="979">
        <v>1700</v>
      </c>
      <c r="F790" s="979" t="s">
        <v>4603</v>
      </c>
      <c r="G790" s="979" t="s">
        <v>4604</v>
      </c>
      <c r="H790" s="979">
        <v>2334930</v>
      </c>
      <c r="I790" s="979">
        <v>2190250</v>
      </c>
      <c r="J790" s="979">
        <v>1</v>
      </c>
      <c r="K790" s="979">
        <v>2334930</v>
      </c>
      <c r="L790" s="979">
        <v>2190250</v>
      </c>
      <c r="M790" s="979">
        <v>599</v>
      </c>
    </row>
    <row r="791" spans="1:13" ht="15">
      <c r="A791" s="979" t="s">
        <v>3496</v>
      </c>
      <c r="B791" s="1040" t="str">
        <f>CONCATENATE(LEFT(RIGHT(CONCATENATE("000",IFAData_TEA_1617!A791),6),3),"-",(RIGHT(RIGHT(CONCATENATE("000",IFAData_TEA_1617!A791),6),3)))</f>
        <v>071-901</v>
      </c>
      <c r="C791" s="979" t="s">
        <v>1166</v>
      </c>
      <c r="D791" s="979">
        <v>4</v>
      </c>
      <c r="E791" s="979">
        <v>1697</v>
      </c>
      <c r="F791" s="979" t="s">
        <v>4600</v>
      </c>
      <c r="G791" s="979" t="s">
        <v>4600</v>
      </c>
      <c r="H791" s="979">
        <v>732644</v>
      </c>
      <c r="I791" s="979">
        <v>0</v>
      </c>
      <c r="J791" s="979">
        <v>0</v>
      </c>
      <c r="K791" s="979">
        <v>0</v>
      </c>
      <c r="L791" s="979">
        <v>0</v>
      </c>
      <c r="M791" s="979">
        <v>199</v>
      </c>
    </row>
    <row r="792" spans="1:13" ht="15">
      <c r="A792" s="979" t="s">
        <v>3496</v>
      </c>
      <c r="B792" s="1040" t="str">
        <f>CONCATENATE(LEFT(RIGHT(CONCATENATE("000",IFAData_TEA_1617!A792),6),3),"-",(RIGHT(RIGHT(CONCATENATE("000",IFAData_TEA_1617!A792),6),3)))</f>
        <v>071-901</v>
      </c>
      <c r="C792" s="979" t="s">
        <v>1166</v>
      </c>
      <c r="D792" s="979">
        <v>3</v>
      </c>
      <c r="E792" s="979">
        <v>1698</v>
      </c>
      <c r="F792" s="979" t="s">
        <v>4596</v>
      </c>
      <c r="G792" s="979" t="s">
        <v>4599</v>
      </c>
      <c r="H792" s="979">
        <v>1037938</v>
      </c>
      <c r="I792" s="979">
        <v>753919</v>
      </c>
      <c r="J792" s="979">
        <v>0.88848440565909881</v>
      </c>
      <c r="K792" s="979">
        <v>922191.72704099375</v>
      </c>
      <c r="L792" s="979">
        <v>753919</v>
      </c>
      <c r="M792" s="979">
        <v>599</v>
      </c>
    </row>
    <row r="793" spans="1:13" ht="15">
      <c r="A793" s="979" t="s">
        <v>3496</v>
      </c>
      <c r="B793" s="1040" t="str">
        <f>CONCATENATE(LEFT(RIGHT(CONCATENATE("000",IFAData_TEA_1617!A793),6),3),"-",(RIGHT(RIGHT(CONCATENATE("000",IFAData_TEA_1617!A793),6),3)))</f>
        <v>071-901</v>
      </c>
      <c r="C793" s="979" t="s">
        <v>1166</v>
      </c>
      <c r="D793" s="979">
        <v>9</v>
      </c>
      <c r="E793" s="979">
        <v>1701</v>
      </c>
      <c r="F793" s="979" t="s">
        <v>4605</v>
      </c>
      <c r="G793" s="979" t="s">
        <v>6450</v>
      </c>
      <c r="H793" s="979">
        <v>2567970</v>
      </c>
      <c r="I793" s="979">
        <v>977400</v>
      </c>
      <c r="J793" s="979">
        <v>0.51019848882276941</v>
      </c>
      <c r="K793" s="979">
        <v>1310174.4133422072</v>
      </c>
      <c r="L793" s="979">
        <v>977400</v>
      </c>
      <c r="M793" s="979">
        <v>599</v>
      </c>
    </row>
    <row r="794" spans="1:13" ht="15">
      <c r="A794" s="979" t="s">
        <v>3496</v>
      </c>
      <c r="B794" s="1040" t="str">
        <f>CONCATENATE(LEFT(RIGHT(CONCATENATE("000",IFAData_TEA_1617!A794),6),3),"-",(RIGHT(RIGHT(CONCATENATE("000",IFAData_TEA_1617!A794),6),3)))</f>
        <v>071-901</v>
      </c>
      <c r="C794" s="979" t="s">
        <v>1166</v>
      </c>
      <c r="D794" s="979">
        <v>3</v>
      </c>
      <c r="E794" s="979">
        <v>1698</v>
      </c>
      <c r="F794" s="979" t="s">
        <v>4596</v>
      </c>
      <c r="G794" s="979" t="s">
        <v>6451</v>
      </c>
      <c r="H794" s="979">
        <v>1037938</v>
      </c>
      <c r="I794" s="979">
        <v>94626</v>
      </c>
      <c r="J794" s="979">
        <v>0.11151559434090119</v>
      </c>
      <c r="K794" s="979">
        <v>115746.2729590063</v>
      </c>
      <c r="L794" s="979">
        <v>94626</v>
      </c>
      <c r="M794" s="979">
        <v>599</v>
      </c>
    </row>
    <row r="795" spans="1:13" ht="15">
      <c r="A795" s="979" t="s">
        <v>3496</v>
      </c>
      <c r="B795" s="1040" t="str">
        <f>CONCATENATE(LEFT(RIGHT(CONCATENATE("000",IFAData_TEA_1617!A795),6),3),"-",(RIGHT(RIGHT(CONCATENATE("000",IFAData_TEA_1617!A795),6),3)))</f>
        <v>071-901</v>
      </c>
      <c r="C795" s="979" t="s">
        <v>1166</v>
      </c>
      <c r="D795" s="979">
        <v>3</v>
      </c>
      <c r="E795" s="979">
        <v>1698</v>
      </c>
      <c r="F795" s="979" t="s">
        <v>4596</v>
      </c>
      <c r="G795" s="979" t="s">
        <v>4596</v>
      </c>
      <c r="H795" s="979">
        <v>1037938</v>
      </c>
      <c r="I795" s="979">
        <v>0</v>
      </c>
      <c r="J795" s="979">
        <v>0</v>
      </c>
      <c r="K795" s="979">
        <v>0</v>
      </c>
      <c r="L795" s="979">
        <v>0</v>
      </c>
      <c r="M795" s="979">
        <v>199</v>
      </c>
    </row>
    <row r="796" spans="1:13" ht="15">
      <c r="A796" s="979" t="s">
        <v>3496</v>
      </c>
      <c r="B796" s="1040" t="str">
        <f>CONCATENATE(LEFT(RIGHT(CONCATENATE("000",IFAData_TEA_1617!A796),6),3),"-",(RIGHT(RIGHT(CONCATENATE("000",IFAData_TEA_1617!A796),6),3)))</f>
        <v>071-901</v>
      </c>
      <c r="C796" s="979" t="s">
        <v>1166</v>
      </c>
      <c r="D796" s="979">
        <v>6</v>
      </c>
      <c r="E796" s="979">
        <v>1699</v>
      </c>
      <c r="F796" s="979" t="s">
        <v>4601</v>
      </c>
      <c r="G796" s="979" t="s">
        <v>4601</v>
      </c>
      <c r="H796" s="979">
        <v>1200698</v>
      </c>
      <c r="I796" s="979">
        <v>0</v>
      </c>
      <c r="J796" s="979">
        <v>0</v>
      </c>
      <c r="K796" s="979">
        <v>0</v>
      </c>
      <c r="L796" s="979">
        <v>0</v>
      </c>
      <c r="M796" s="979">
        <v>599</v>
      </c>
    </row>
    <row r="797" spans="1:13" ht="15">
      <c r="A797" s="979" t="s">
        <v>3496</v>
      </c>
      <c r="B797" s="1040" t="str">
        <f>CONCATENATE(LEFT(RIGHT(CONCATENATE("000",IFAData_TEA_1617!A797),6),3),"-",(RIGHT(RIGHT(CONCATENATE("000",IFAData_TEA_1617!A797),6),3)))</f>
        <v>071-901</v>
      </c>
      <c r="C797" s="979" t="s">
        <v>1166</v>
      </c>
      <c r="D797" s="979">
        <v>9</v>
      </c>
      <c r="E797" s="979">
        <v>1701</v>
      </c>
      <c r="F797" s="979" t="s">
        <v>4605</v>
      </c>
      <c r="G797" s="979" t="s">
        <v>4605</v>
      </c>
      <c r="H797" s="979">
        <v>2567970</v>
      </c>
      <c r="I797" s="979">
        <v>938325</v>
      </c>
      <c r="J797" s="979">
        <v>0.48980151117723053</v>
      </c>
      <c r="K797" s="979">
        <v>1257795.5866577928</v>
      </c>
      <c r="L797" s="979">
        <v>938325</v>
      </c>
      <c r="M797" s="979">
        <v>599</v>
      </c>
    </row>
    <row r="798" spans="1:13" ht="15">
      <c r="A798" s="979" t="s">
        <v>3496</v>
      </c>
      <c r="B798" s="1040" t="str">
        <f>CONCATENATE(LEFT(RIGHT(CONCATENATE("000",IFAData_TEA_1617!A798),6),3),"-",(RIGHT(RIGHT(CONCATENATE("000",IFAData_TEA_1617!A798),6),3)))</f>
        <v>071-901</v>
      </c>
      <c r="C798" s="979" t="s">
        <v>1166</v>
      </c>
      <c r="D798" s="979">
        <v>4</v>
      </c>
      <c r="E798" s="979">
        <v>1697</v>
      </c>
      <c r="F798" s="979" t="s">
        <v>4600</v>
      </c>
      <c r="G798" s="979" t="s">
        <v>6451</v>
      </c>
      <c r="H798" s="979">
        <v>732644</v>
      </c>
      <c r="I798" s="979">
        <v>66624</v>
      </c>
      <c r="J798" s="979">
        <v>0.13730961851569423</v>
      </c>
      <c r="K798" s="979">
        <v>100599.06814781229</v>
      </c>
      <c r="L798" s="979">
        <v>66624</v>
      </c>
      <c r="M798" s="979">
        <v>599</v>
      </c>
    </row>
    <row r="799" spans="1:13" ht="15">
      <c r="A799" s="979" t="s">
        <v>3496</v>
      </c>
      <c r="B799" s="1040" t="str">
        <f>CONCATENATE(LEFT(RIGHT(CONCATENATE("000",IFAData_TEA_1617!A799),6),3),"-",(RIGHT(RIGHT(CONCATENATE("000",IFAData_TEA_1617!A799),6),3)))</f>
        <v>071-901</v>
      </c>
      <c r="C799" s="979" t="s">
        <v>1166</v>
      </c>
      <c r="D799" s="979">
        <v>6</v>
      </c>
      <c r="E799" s="979">
        <v>1699</v>
      </c>
      <c r="F799" s="979" t="s">
        <v>4601</v>
      </c>
      <c r="G799" s="979" t="s">
        <v>6451</v>
      </c>
      <c r="H799" s="979">
        <v>1200698</v>
      </c>
      <c r="I799" s="979">
        <v>864463</v>
      </c>
      <c r="J799" s="979">
        <v>0.74990067402864402</v>
      </c>
      <c r="K799" s="979">
        <v>900404.23950484477</v>
      </c>
      <c r="L799" s="979">
        <v>864463</v>
      </c>
      <c r="M799" s="979">
        <v>599</v>
      </c>
    </row>
    <row r="800" spans="1:13" ht="15">
      <c r="A800" s="979" t="s">
        <v>3496</v>
      </c>
      <c r="B800" s="1040" t="str">
        <f>CONCATENATE(LEFT(RIGHT(CONCATENATE("000",IFAData_TEA_1617!A800),6),3),"-",(RIGHT(RIGHT(CONCATENATE("000",IFAData_TEA_1617!A800),6),3)))</f>
        <v>071-901</v>
      </c>
      <c r="C800" s="979" t="s">
        <v>1166</v>
      </c>
      <c r="D800" s="979">
        <v>4</v>
      </c>
      <c r="E800" s="979">
        <v>1697</v>
      </c>
      <c r="F800" s="979" t="s">
        <v>4600</v>
      </c>
      <c r="G800" s="979" t="s">
        <v>4599</v>
      </c>
      <c r="H800" s="979">
        <v>732644</v>
      </c>
      <c r="I800" s="979">
        <v>418586</v>
      </c>
      <c r="J800" s="979">
        <v>0.86269038148430577</v>
      </c>
      <c r="K800" s="979">
        <v>632044.93185218773</v>
      </c>
      <c r="L800" s="979">
        <v>418586</v>
      </c>
      <c r="M800" s="979">
        <v>599</v>
      </c>
    </row>
    <row r="801" spans="1:13" ht="15">
      <c r="A801" s="979" t="s">
        <v>3496</v>
      </c>
      <c r="B801" s="1040" t="str">
        <f>CONCATENATE(LEFT(RIGHT(CONCATENATE("000",IFAData_TEA_1617!A801),6),3),"-",(RIGHT(RIGHT(CONCATENATE("000",IFAData_TEA_1617!A801),6),3)))</f>
        <v>071-901</v>
      </c>
      <c r="C801" s="979" t="s">
        <v>1166</v>
      </c>
      <c r="D801" s="979">
        <v>4</v>
      </c>
      <c r="E801" s="979">
        <v>1697</v>
      </c>
      <c r="F801" s="979" t="s">
        <v>4600</v>
      </c>
      <c r="G801" s="979" t="s">
        <v>4597</v>
      </c>
      <c r="H801" s="979">
        <v>732644</v>
      </c>
      <c r="I801" s="979">
        <v>0</v>
      </c>
      <c r="J801" s="979">
        <v>0</v>
      </c>
      <c r="K801" s="979">
        <v>0</v>
      </c>
      <c r="L801" s="979">
        <v>0</v>
      </c>
      <c r="M801" s="979">
        <v>599</v>
      </c>
    </row>
    <row r="802" spans="1:13" ht="15">
      <c r="A802" s="979" t="s">
        <v>3497</v>
      </c>
      <c r="B802" s="1040" t="str">
        <f>CONCATENATE(LEFT(RIGHT(CONCATENATE("000",IFAData_TEA_1617!A802),6),3),"-",(RIGHT(RIGHT(CONCATENATE("000",IFAData_TEA_1617!A802),6),3)))</f>
        <v>071-902</v>
      </c>
      <c r="C802" s="979" t="s">
        <v>1973</v>
      </c>
      <c r="D802" s="979">
        <v>9</v>
      </c>
      <c r="E802" s="979">
        <v>1798</v>
      </c>
      <c r="F802" s="979" t="s">
        <v>4606</v>
      </c>
      <c r="G802" s="979" t="s">
        <v>6244</v>
      </c>
      <c r="H802" s="979">
        <v>9773773</v>
      </c>
      <c r="I802" s="979">
        <v>4888225</v>
      </c>
      <c r="J802" s="979">
        <v>0.82007222275813763</v>
      </c>
      <c r="K802" s="979">
        <v>8015199.7488434715</v>
      </c>
      <c r="L802" s="979">
        <v>4888225</v>
      </c>
      <c r="M802" s="979">
        <v>599</v>
      </c>
    </row>
    <row r="803" spans="1:13" ht="15">
      <c r="A803" s="979" t="s">
        <v>3497</v>
      </c>
      <c r="B803" s="1040" t="str">
        <f>CONCATENATE(LEFT(RIGHT(CONCATENATE("000",IFAData_TEA_1617!A803),6),3),"-",(RIGHT(RIGHT(CONCATENATE("000",IFAData_TEA_1617!A803),6),3)))</f>
        <v>071-902</v>
      </c>
      <c r="C803" s="979" t="s">
        <v>1973</v>
      </c>
      <c r="D803" s="979">
        <v>9</v>
      </c>
      <c r="E803" s="979">
        <v>1798</v>
      </c>
      <c r="F803" s="979" t="s">
        <v>4606</v>
      </c>
      <c r="G803" s="979" t="s">
        <v>4606</v>
      </c>
      <c r="H803" s="979">
        <v>9773773</v>
      </c>
      <c r="I803" s="979">
        <v>1072500</v>
      </c>
      <c r="J803" s="979">
        <v>0.17992777724186235</v>
      </c>
      <c r="K803" s="979">
        <v>1758573.2511565287</v>
      </c>
      <c r="L803" s="979">
        <v>1072500</v>
      </c>
      <c r="M803" s="979">
        <v>599</v>
      </c>
    </row>
    <row r="804" spans="1:13" ht="15">
      <c r="A804" s="979" t="s">
        <v>3498</v>
      </c>
      <c r="B804" s="1040" t="str">
        <f>CONCATENATE(LEFT(RIGHT(CONCATENATE("000",IFAData_TEA_1617!A804),6),3),"-",(RIGHT(RIGHT(CONCATENATE("000",IFAData_TEA_1617!A804),6),3)))</f>
        <v>071-903</v>
      </c>
      <c r="C804" s="979" t="s">
        <v>892</v>
      </c>
      <c r="D804" s="979">
        <v>8</v>
      </c>
      <c r="E804" s="979">
        <v>1806</v>
      </c>
      <c r="F804" s="979" t="s">
        <v>4609</v>
      </c>
      <c r="G804" s="979" t="s">
        <v>4609</v>
      </c>
      <c r="H804" s="979">
        <v>601866</v>
      </c>
      <c r="I804" s="979">
        <v>10800</v>
      </c>
      <c r="J804" s="979">
        <v>3.5121951219512199E-2</v>
      </c>
      <c r="K804" s="979">
        <v>21138.708292682928</v>
      </c>
      <c r="L804" s="979">
        <v>10800</v>
      </c>
      <c r="M804" s="979">
        <v>599</v>
      </c>
    </row>
    <row r="805" spans="1:13" ht="15">
      <c r="A805" s="979" t="s">
        <v>3498</v>
      </c>
      <c r="B805" s="1040" t="str">
        <f>CONCATENATE(LEFT(RIGHT(CONCATENATE("000",IFAData_TEA_1617!A805),6),3),"-",(RIGHT(RIGHT(CONCATENATE("000",IFAData_TEA_1617!A805),6),3)))</f>
        <v>071-903</v>
      </c>
      <c r="C805" s="979" t="s">
        <v>892</v>
      </c>
      <c r="D805" s="979">
        <v>2</v>
      </c>
      <c r="E805" s="979">
        <v>1807</v>
      </c>
      <c r="F805" s="979" t="s">
        <v>4607</v>
      </c>
      <c r="G805" s="979" t="s">
        <v>4608</v>
      </c>
      <c r="H805" s="979">
        <v>665953</v>
      </c>
      <c r="I805" s="979">
        <v>0</v>
      </c>
      <c r="J805" s="979">
        <v>0</v>
      </c>
      <c r="K805" s="979">
        <v>0</v>
      </c>
      <c r="L805" s="979">
        <v>0</v>
      </c>
      <c r="M805" s="979">
        <v>599</v>
      </c>
    </row>
    <row r="806" spans="1:13" ht="15">
      <c r="A806" s="979" t="s">
        <v>3498</v>
      </c>
      <c r="B806" s="1040" t="str">
        <f>CONCATENATE(LEFT(RIGHT(CONCATENATE("000",IFAData_TEA_1617!A806),6),3),"-",(RIGHT(RIGHT(CONCATENATE("000",IFAData_TEA_1617!A806),6),3)))</f>
        <v>071-903</v>
      </c>
      <c r="C806" s="979" t="s">
        <v>892</v>
      </c>
      <c r="D806" s="979">
        <v>8</v>
      </c>
      <c r="E806" s="979">
        <v>1806</v>
      </c>
      <c r="F806" s="979" t="s">
        <v>4609</v>
      </c>
      <c r="G806" s="979" t="s">
        <v>6245</v>
      </c>
      <c r="H806" s="979">
        <v>601866</v>
      </c>
      <c r="I806" s="979">
        <v>296700</v>
      </c>
      <c r="J806" s="979">
        <v>0.96487804878048777</v>
      </c>
      <c r="K806" s="979">
        <v>580727.29170731711</v>
      </c>
      <c r="L806" s="979">
        <v>296700</v>
      </c>
      <c r="M806" s="979">
        <v>599</v>
      </c>
    </row>
    <row r="807" spans="1:13" ht="15">
      <c r="A807" s="979" t="s">
        <v>3498</v>
      </c>
      <c r="B807" s="1040" t="str">
        <f>CONCATENATE(LEFT(RIGHT(CONCATENATE("000",IFAData_TEA_1617!A807),6),3),"-",(RIGHT(RIGHT(CONCATENATE("000",IFAData_TEA_1617!A807),6),3)))</f>
        <v>071-903</v>
      </c>
      <c r="C807" s="979" t="s">
        <v>892</v>
      </c>
      <c r="D807" s="979">
        <v>2</v>
      </c>
      <c r="E807" s="979">
        <v>1807</v>
      </c>
      <c r="F807" s="979" t="s">
        <v>4607</v>
      </c>
      <c r="G807" s="979" t="s">
        <v>4607</v>
      </c>
      <c r="H807" s="979">
        <v>665953</v>
      </c>
      <c r="I807" s="979">
        <v>0</v>
      </c>
      <c r="J807" s="979">
        <v>0</v>
      </c>
      <c r="K807" s="979">
        <v>0</v>
      </c>
      <c r="L807" s="979">
        <v>0</v>
      </c>
      <c r="M807" s="979">
        <v>599</v>
      </c>
    </row>
    <row r="808" spans="1:13" ht="15">
      <c r="A808" s="979" t="s">
        <v>3498</v>
      </c>
      <c r="B808" s="1040" t="str">
        <f>CONCATENATE(LEFT(RIGHT(CONCATENATE("000",IFAData_TEA_1617!A808),6),3),"-",(RIGHT(RIGHT(CONCATENATE("000",IFAData_TEA_1617!A808),6),3)))</f>
        <v>071-903</v>
      </c>
      <c r="C808" s="979" t="s">
        <v>892</v>
      </c>
      <c r="D808" s="979">
        <v>2</v>
      </c>
      <c r="E808" s="979">
        <v>1807</v>
      </c>
      <c r="F808" s="979" t="s">
        <v>4607</v>
      </c>
      <c r="G808" s="979" t="s">
        <v>6453</v>
      </c>
      <c r="H808" s="979">
        <v>665953</v>
      </c>
      <c r="I808" s="979">
        <v>534600</v>
      </c>
      <c r="J808" s="979">
        <v>1</v>
      </c>
      <c r="K808" s="979">
        <v>665953</v>
      </c>
      <c r="L808" s="979">
        <v>534600</v>
      </c>
      <c r="M808" s="979">
        <v>599</v>
      </c>
    </row>
    <row r="809" spans="1:13" ht="15">
      <c r="A809" s="979" t="s">
        <v>3498</v>
      </c>
      <c r="B809" s="1040" t="str">
        <f>CONCATENATE(LEFT(RIGHT(CONCATENATE("000",IFAData_TEA_1617!A809),6),3),"-",(RIGHT(RIGHT(CONCATENATE("000",IFAData_TEA_1617!A809),6),3)))</f>
        <v>071-903</v>
      </c>
      <c r="C809" s="979" t="s">
        <v>892</v>
      </c>
      <c r="D809" s="979">
        <v>9</v>
      </c>
      <c r="E809" s="979">
        <v>1805</v>
      </c>
      <c r="F809" s="979" t="s">
        <v>4610</v>
      </c>
      <c r="G809" s="979" t="s">
        <v>6452</v>
      </c>
      <c r="H809" s="979">
        <v>586545</v>
      </c>
      <c r="I809" s="979">
        <v>307099</v>
      </c>
      <c r="J809" s="979">
        <v>0.55464969901441441</v>
      </c>
      <c r="K809" s="979">
        <v>325327.00770840968</v>
      </c>
      <c r="L809" s="979">
        <v>307099</v>
      </c>
      <c r="M809" s="979">
        <v>599</v>
      </c>
    </row>
    <row r="810" spans="1:13" ht="15">
      <c r="A810" s="979" t="s">
        <v>3498</v>
      </c>
      <c r="B810" s="1040" t="str">
        <f>CONCATENATE(LEFT(RIGHT(CONCATENATE("000",IFAData_TEA_1617!A810),6),3),"-",(RIGHT(RIGHT(CONCATENATE("000",IFAData_TEA_1617!A810),6),3)))</f>
        <v>071-903</v>
      </c>
      <c r="C810" s="979" t="s">
        <v>892</v>
      </c>
      <c r="D810" s="979">
        <v>9</v>
      </c>
      <c r="E810" s="979">
        <v>1805</v>
      </c>
      <c r="F810" s="979" t="s">
        <v>4610</v>
      </c>
      <c r="G810" s="979" t="s">
        <v>4610</v>
      </c>
      <c r="H810" s="979">
        <v>586545</v>
      </c>
      <c r="I810" s="979">
        <v>246582</v>
      </c>
      <c r="J810" s="979">
        <v>0.44535030098558559</v>
      </c>
      <c r="K810" s="979">
        <v>261217.99229159029</v>
      </c>
      <c r="L810" s="979">
        <v>246582</v>
      </c>
      <c r="M810" s="979">
        <v>599</v>
      </c>
    </row>
    <row r="811" spans="1:13" ht="15">
      <c r="A811" s="979" t="s">
        <v>4611</v>
      </c>
      <c r="B811" s="1040" t="str">
        <f>CONCATENATE(LEFT(RIGHT(CONCATENATE("000",IFAData_TEA_1617!A811),6),3),"-",(RIGHT(RIGHT(CONCATENATE("000",IFAData_TEA_1617!A811),6),3)))</f>
        <v>071-904</v>
      </c>
      <c r="C811" s="979" t="s">
        <v>2031</v>
      </c>
      <c r="D811" s="979">
        <v>2</v>
      </c>
      <c r="E811" s="979">
        <v>2293</v>
      </c>
      <c r="F811" s="979" t="s">
        <v>4612</v>
      </c>
      <c r="G811" s="979" t="s">
        <v>4612</v>
      </c>
      <c r="H811" s="979">
        <v>204473</v>
      </c>
      <c r="I811" s="979">
        <v>0</v>
      </c>
      <c r="J811" s="979">
        <v>0</v>
      </c>
      <c r="K811" s="979"/>
      <c r="L811" s="979">
        <v>0</v>
      </c>
      <c r="M811" s="979">
        <v>199</v>
      </c>
    </row>
    <row r="812" spans="1:13" ht="15">
      <c r="A812" s="979" t="s">
        <v>4611</v>
      </c>
      <c r="B812" s="1040" t="str">
        <f>CONCATENATE(LEFT(RIGHT(CONCATENATE("000",IFAData_TEA_1617!A812),6),3),"-",(RIGHT(RIGHT(CONCATENATE("000",IFAData_TEA_1617!A812),6),3)))</f>
        <v>071-904</v>
      </c>
      <c r="C812" s="979" t="s">
        <v>2031</v>
      </c>
      <c r="D812" s="979">
        <v>7</v>
      </c>
      <c r="E812" s="979">
        <v>2292</v>
      </c>
      <c r="F812" s="979" t="s">
        <v>4615</v>
      </c>
      <c r="G812" s="979" t="s">
        <v>4615</v>
      </c>
      <c r="H812" s="979">
        <v>177544</v>
      </c>
      <c r="I812" s="979">
        <v>162175</v>
      </c>
      <c r="J812" s="979">
        <v>1</v>
      </c>
      <c r="K812" s="979">
        <v>177544</v>
      </c>
      <c r="L812" s="979">
        <v>162175</v>
      </c>
      <c r="M812" s="979">
        <v>199</v>
      </c>
    </row>
    <row r="813" spans="1:13" ht="15">
      <c r="A813" s="979" t="s">
        <v>4611</v>
      </c>
      <c r="B813" s="1040" t="str">
        <f>CONCATENATE(LEFT(RIGHT(CONCATENATE("000",IFAData_TEA_1617!A813),6),3),"-",(RIGHT(RIGHT(CONCATENATE("000",IFAData_TEA_1617!A813),6),3)))</f>
        <v>071-904</v>
      </c>
      <c r="C813" s="979" t="s">
        <v>2031</v>
      </c>
      <c r="D813" s="979">
        <v>8</v>
      </c>
      <c r="E813" s="979">
        <v>2295</v>
      </c>
      <c r="F813" s="979" t="s">
        <v>4616</v>
      </c>
      <c r="G813" s="979" t="s">
        <v>4616</v>
      </c>
      <c r="H813" s="979">
        <v>837604</v>
      </c>
      <c r="I813" s="979">
        <v>836182</v>
      </c>
      <c r="J813" s="979">
        <v>1</v>
      </c>
      <c r="K813" s="979">
        <v>837604</v>
      </c>
      <c r="L813" s="979">
        <v>836182</v>
      </c>
      <c r="M813" s="979">
        <v>199</v>
      </c>
    </row>
    <row r="814" spans="1:13" ht="15">
      <c r="A814" s="979" t="s">
        <v>4611</v>
      </c>
      <c r="B814" s="1040" t="str">
        <f>CONCATENATE(LEFT(RIGHT(CONCATENATE("000",IFAData_TEA_1617!A814),6),3),"-",(RIGHT(RIGHT(CONCATENATE("000",IFAData_TEA_1617!A814),6),3)))</f>
        <v>071-904</v>
      </c>
      <c r="C814" s="979" t="s">
        <v>2031</v>
      </c>
      <c r="D814" s="979">
        <v>3</v>
      </c>
      <c r="E814" s="979">
        <v>2294</v>
      </c>
      <c r="F814" s="979" t="s">
        <v>4613</v>
      </c>
      <c r="G814" s="979" t="s">
        <v>4613</v>
      </c>
      <c r="H814" s="979">
        <v>828370</v>
      </c>
      <c r="I814" s="979">
        <v>0</v>
      </c>
      <c r="J814" s="979">
        <v>0</v>
      </c>
      <c r="K814" s="979"/>
      <c r="L814" s="979">
        <v>0</v>
      </c>
      <c r="M814" s="979">
        <v>199</v>
      </c>
    </row>
    <row r="815" spans="1:13" ht="15">
      <c r="A815" s="979" t="s">
        <v>4617</v>
      </c>
      <c r="B815" s="1040" t="str">
        <f>CONCATENATE(LEFT(RIGHT(CONCATENATE("000",IFAData_TEA_1617!A815),6),3),"-",(RIGHT(RIGHT(CONCATENATE("000",IFAData_TEA_1617!A815),6),3)))</f>
        <v>071-905</v>
      </c>
      <c r="C815" s="979" t="s">
        <v>760</v>
      </c>
      <c r="D815" s="979">
        <v>3</v>
      </c>
      <c r="E815" s="979">
        <v>2469</v>
      </c>
      <c r="F815" s="979" t="s">
        <v>4618</v>
      </c>
      <c r="G815" s="979" t="s">
        <v>4618</v>
      </c>
      <c r="H815" s="979">
        <v>5086781</v>
      </c>
      <c r="I815" s="979">
        <v>0</v>
      </c>
      <c r="J815" s="979">
        <v>0</v>
      </c>
      <c r="K815" s="979">
        <v>0</v>
      </c>
      <c r="L815" s="979">
        <v>0</v>
      </c>
      <c r="M815" s="979">
        <v>199</v>
      </c>
    </row>
    <row r="816" spans="1:13" ht="15">
      <c r="A816" s="979" t="s">
        <v>4617</v>
      </c>
      <c r="B816" s="1040" t="str">
        <f>CONCATENATE(LEFT(RIGHT(CONCATENATE("000",IFAData_TEA_1617!A816),6),3),"-",(RIGHT(RIGHT(CONCATENATE("000",IFAData_TEA_1617!A816),6),3)))</f>
        <v>071-905</v>
      </c>
      <c r="C816" s="979" t="s">
        <v>760</v>
      </c>
      <c r="D816" s="979">
        <v>3</v>
      </c>
      <c r="E816" s="979">
        <v>2469</v>
      </c>
      <c r="F816" s="979" t="s">
        <v>4618</v>
      </c>
      <c r="G816" s="979" t="s">
        <v>4619</v>
      </c>
      <c r="H816" s="979">
        <v>5086781</v>
      </c>
      <c r="I816" s="979">
        <v>3540100</v>
      </c>
      <c r="J816" s="979">
        <v>1</v>
      </c>
      <c r="K816" s="979">
        <v>5086781</v>
      </c>
      <c r="L816" s="979">
        <v>3540100</v>
      </c>
      <c r="M816" s="979">
        <v>199</v>
      </c>
    </row>
    <row r="817" spans="1:13" ht="15">
      <c r="A817" s="979" t="s">
        <v>3499</v>
      </c>
      <c r="B817" s="1040" t="str">
        <f>CONCATENATE(LEFT(RIGHT(CONCATENATE("000",IFAData_TEA_1617!A817),6),3),"-",(RIGHT(RIGHT(CONCATENATE("000",IFAData_TEA_1617!A817),6),3)))</f>
        <v>071-906</v>
      </c>
      <c r="C817" s="979" t="s">
        <v>132</v>
      </c>
      <c r="D817" s="979">
        <v>2</v>
      </c>
      <c r="E817" s="979">
        <v>1580</v>
      </c>
      <c r="F817" s="979" t="s">
        <v>4620</v>
      </c>
      <c r="G817" s="979" t="s">
        <v>4621</v>
      </c>
      <c r="H817" s="979">
        <v>199299</v>
      </c>
      <c r="I817" s="979">
        <v>0</v>
      </c>
      <c r="J817" s="979">
        <v>0</v>
      </c>
      <c r="K817" s="979">
        <v>0</v>
      </c>
      <c r="L817" s="979">
        <v>0</v>
      </c>
      <c r="M817" s="979">
        <v>599</v>
      </c>
    </row>
    <row r="818" spans="1:13" ht="15">
      <c r="A818" s="979" t="s">
        <v>3499</v>
      </c>
      <c r="B818" s="1040" t="str">
        <f>CONCATENATE(LEFT(RIGHT(CONCATENATE("000",IFAData_TEA_1617!A818),6),3),"-",(RIGHT(RIGHT(CONCATENATE("000",IFAData_TEA_1617!A818),6),3)))</f>
        <v>071-906</v>
      </c>
      <c r="C818" s="979" t="s">
        <v>132</v>
      </c>
      <c r="D818" s="979">
        <v>2</v>
      </c>
      <c r="E818" s="979">
        <v>1580</v>
      </c>
      <c r="F818" s="979" t="s">
        <v>4620</v>
      </c>
      <c r="G818" s="979" t="s">
        <v>4620</v>
      </c>
      <c r="H818" s="979">
        <v>199299</v>
      </c>
      <c r="I818" s="979">
        <v>0</v>
      </c>
      <c r="J818" s="979">
        <v>0</v>
      </c>
      <c r="K818" s="979">
        <v>0</v>
      </c>
      <c r="L818" s="979">
        <v>0</v>
      </c>
      <c r="M818" s="979">
        <v>599</v>
      </c>
    </row>
    <row r="819" spans="1:13" ht="15">
      <c r="A819" s="979" t="s">
        <v>3499</v>
      </c>
      <c r="B819" s="1040" t="str">
        <f>CONCATENATE(LEFT(RIGHT(CONCATENATE("000",IFAData_TEA_1617!A819),6),3),"-",(RIGHT(RIGHT(CONCATENATE("000",IFAData_TEA_1617!A819),6),3)))</f>
        <v>071-906</v>
      </c>
      <c r="C819" s="979" t="s">
        <v>132</v>
      </c>
      <c r="D819" s="979">
        <v>3</v>
      </c>
      <c r="E819" s="979">
        <v>1579</v>
      </c>
      <c r="F819" s="979" t="s">
        <v>4622</v>
      </c>
      <c r="G819" s="979" t="s">
        <v>4622</v>
      </c>
      <c r="H819" s="979">
        <v>91971</v>
      </c>
      <c r="I819" s="979">
        <v>0</v>
      </c>
      <c r="J819" s="979">
        <v>0</v>
      </c>
      <c r="K819" s="979"/>
      <c r="L819" s="979">
        <v>0</v>
      </c>
      <c r="M819" s="979">
        <v>199</v>
      </c>
    </row>
    <row r="820" spans="1:13" ht="15">
      <c r="A820" s="979" t="s">
        <v>3499</v>
      </c>
      <c r="B820" s="1040" t="str">
        <f>CONCATENATE(LEFT(RIGHT(CONCATENATE("000",IFAData_TEA_1617!A820),6),3),"-",(RIGHT(RIGHT(CONCATENATE("000",IFAData_TEA_1617!A820),6),3)))</f>
        <v>071-906</v>
      </c>
      <c r="C820" s="979" t="s">
        <v>132</v>
      </c>
      <c r="D820" s="979">
        <v>2</v>
      </c>
      <c r="E820" s="979">
        <v>1580</v>
      </c>
      <c r="F820" s="979" t="s">
        <v>4620</v>
      </c>
      <c r="G820" s="979" t="s">
        <v>6454</v>
      </c>
      <c r="H820" s="979">
        <v>199299</v>
      </c>
      <c r="I820" s="979">
        <v>245950</v>
      </c>
      <c r="J820" s="979">
        <v>1</v>
      </c>
      <c r="K820" s="979">
        <v>199299</v>
      </c>
      <c r="L820" s="979">
        <v>199299</v>
      </c>
      <c r="M820" s="979">
        <v>599</v>
      </c>
    </row>
    <row r="821" spans="1:13" ht="15">
      <c r="A821" s="979" t="s">
        <v>3500</v>
      </c>
      <c r="B821" s="1040" t="str">
        <f>CONCATENATE(LEFT(RIGHT(CONCATENATE("000",IFAData_TEA_1617!A821),6),3),"-",(RIGHT(RIGHT(CONCATENATE("000",IFAData_TEA_1617!A821),6),3)))</f>
        <v>071-907</v>
      </c>
      <c r="C821" s="979" t="s">
        <v>653</v>
      </c>
      <c r="D821" s="979">
        <v>5</v>
      </c>
      <c r="E821" s="979">
        <v>1662</v>
      </c>
      <c r="F821" s="979" t="s">
        <v>4623</v>
      </c>
      <c r="G821" s="979" t="s">
        <v>4623</v>
      </c>
      <c r="H821" s="979">
        <v>1070895</v>
      </c>
      <c r="I821" s="979">
        <v>0</v>
      </c>
      <c r="J821" s="979">
        <v>0</v>
      </c>
      <c r="K821" s="979">
        <v>0</v>
      </c>
      <c r="L821" s="979">
        <v>0</v>
      </c>
      <c r="M821" s="979">
        <v>599</v>
      </c>
    </row>
    <row r="822" spans="1:13" ht="15">
      <c r="A822" s="979" t="s">
        <v>3500</v>
      </c>
      <c r="B822" s="1040" t="str">
        <f>CONCATENATE(LEFT(RIGHT(CONCATENATE("000",IFAData_TEA_1617!A822),6),3),"-",(RIGHT(RIGHT(CONCATENATE("000",IFAData_TEA_1617!A822),6),3)))</f>
        <v>071-907</v>
      </c>
      <c r="C822" s="979" t="s">
        <v>653</v>
      </c>
      <c r="D822" s="979">
        <v>5</v>
      </c>
      <c r="E822" s="979">
        <v>1662</v>
      </c>
      <c r="F822" s="979" t="s">
        <v>4623</v>
      </c>
      <c r="G822" s="979" t="s">
        <v>4625</v>
      </c>
      <c r="H822" s="979">
        <v>1070895</v>
      </c>
      <c r="I822" s="979">
        <v>1587018</v>
      </c>
      <c r="J822" s="979">
        <v>0.89525065605841458</v>
      </c>
      <c r="K822" s="979">
        <v>958719.45131967589</v>
      </c>
      <c r="L822" s="979">
        <v>958719.45131967589</v>
      </c>
      <c r="M822" s="979">
        <v>599</v>
      </c>
    </row>
    <row r="823" spans="1:13" ht="15">
      <c r="A823" s="979" t="s">
        <v>3500</v>
      </c>
      <c r="B823" s="1040" t="str">
        <f>CONCATENATE(LEFT(RIGHT(CONCATENATE("000",IFAData_TEA_1617!A823),6),3),"-",(RIGHT(RIGHT(CONCATENATE("000",IFAData_TEA_1617!A823),6),3)))</f>
        <v>071-907</v>
      </c>
      <c r="C823" s="979" t="s">
        <v>653</v>
      </c>
      <c r="D823" s="979">
        <v>5</v>
      </c>
      <c r="E823" s="979">
        <v>1662</v>
      </c>
      <c r="F823" s="979" t="s">
        <v>4623</v>
      </c>
      <c r="G823" s="979" t="s">
        <v>4626</v>
      </c>
      <c r="H823" s="979">
        <v>1070895</v>
      </c>
      <c r="I823" s="979">
        <v>185690</v>
      </c>
      <c r="J823" s="979">
        <v>0.10474934394158542</v>
      </c>
      <c r="K823" s="979">
        <v>112175.54868032411</v>
      </c>
      <c r="L823" s="979">
        <v>112175.54868032411</v>
      </c>
      <c r="M823" s="979">
        <v>599</v>
      </c>
    </row>
    <row r="824" spans="1:13" ht="15">
      <c r="A824" s="979" t="s">
        <v>3500</v>
      </c>
      <c r="B824" s="1040" t="str">
        <f>CONCATENATE(LEFT(RIGHT(CONCATENATE("000",IFAData_TEA_1617!A824),6),3),"-",(RIGHT(RIGHT(CONCATENATE("000",IFAData_TEA_1617!A824),6),3)))</f>
        <v>071-907</v>
      </c>
      <c r="C824" s="979" t="s">
        <v>653</v>
      </c>
      <c r="D824" s="979">
        <v>5</v>
      </c>
      <c r="E824" s="979">
        <v>1662</v>
      </c>
      <c r="F824" s="979" t="s">
        <v>4623</v>
      </c>
      <c r="G824" s="979" t="s">
        <v>4624</v>
      </c>
      <c r="H824" s="979">
        <v>1070895</v>
      </c>
      <c r="I824" s="979">
        <v>0</v>
      </c>
      <c r="J824" s="979">
        <v>0</v>
      </c>
      <c r="K824" s="979">
        <v>0</v>
      </c>
      <c r="L824" s="979">
        <v>0</v>
      </c>
      <c r="M824" s="979">
        <v>599</v>
      </c>
    </row>
    <row r="825" spans="1:13" ht="15">
      <c r="A825" s="979" t="s">
        <v>3501</v>
      </c>
      <c r="B825" s="1040" t="str">
        <f>CONCATENATE(LEFT(RIGHT(CONCATENATE("000",IFAData_TEA_1617!A825),6),3),"-",(RIGHT(RIGHT(CONCATENATE("000",IFAData_TEA_1617!A825),6),3)))</f>
        <v>071-908</v>
      </c>
      <c r="C825" s="979" t="s">
        <v>606</v>
      </c>
      <c r="D825" s="979">
        <v>1</v>
      </c>
      <c r="E825" s="979">
        <v>2396</v>
      </c>
      <c r="F825" s="979" t="s">
        <v>4627</v>
      </c>
      <c r="G825" s="979" t="s">
        <v>4627</v>
      </c>
      <c r="H825" s="979">
        <v>44910</v>
      </c>
      <c r="I825" s="979">
        <v>0</v>
      </c>
      <c r="J825" s="979">
        <v>0</v>
      </c>
      <c r="K825" s="979">
        <v>0</v>
      </c>
      <c r="L825" s="979">
        <v>0</v>
      </c>
      <c r="M825" s="979">
        <v>599</v>
      </c>
    </row>
    <row r="826" spans="1:13" ht="15">
      <c r="A826" s="979" t="s">
        <v>3501</v>
      </c>
      <c r="B826" s="1040" t="str">
        <f>CONCATENATE(LEFT(RIGHT(CONCATENATE("000",IFAData_TEA_1617!A826),6),3),"-",(RIGHT(RIGHT(CONCATENATE("000",IFAData_TEA_1617!A826),6),3)))</f>
        <v>071-908</v>
      </c>
      <c r="C826" s="979" t="s">
        <v>606</v>
      </c>
      <c r="D826" s="979">
        <v>1</v>
      </c>
      <c r="E826" s="979">
        <v>2396</v>
      </c>
      <c r="F826" s="979" t="s">
        <v>4627</v>
      </c>
      <c r="G826" s="979" t="s">
        <v>4629</v>
      </c>
      <c r="H826" s="979">
        <v>44910</v>
      </c>
      <c r="I826" s="979">
        <v>10947</v>
      </c>
      <c r="J826" s="979">
        <v>0.33809994440669588</v>
      </c>
      <c r="K826" s="979">
        <v>15184.068503304712</v>
      </c>
      <c r="L826" s="979">
        <v>10947</v>
      </c>
      <c r="M826" s="979">
        <v>599</v>
      </c>
    </row>
    <row r="827" spans="1:13" ht="15">
      <c r="A827" s="979" t="s">
        <v>3501</v>
      </c>
      <c r="B827" s="1040" t="str">
        <f>CONCATENATE(LEFT(RIGHT(CONCATENATE("000",IFAData_TEA_1617!A827),6),3),"-",(RIGHT(RIGHT(CONCATENATE("000",IFAData_TEA_1617!A827),6),3)))</f>
        <v>071-908</v>
      </c>
      <c r="C827" s="979" t="s">
        <v>606</v>
      </c>
      <c r="D827" s="979">
        <v>4</v>
      </c>
      <c r="E827" s="979">
        <v>2397</v>
      </c>
      <c r="F827" s="979" t="s">
        <v>4631</v>
      </c>
      <c r="G827" s="979" t="s">
        <v>4629</v>
      </c>
      <c r="H827" s="979">
        <v>170176</v>
      </c>
      <c r="I827" s="979">
        <v>71083</v>
      </c>
      <c r="J827" s="979">
        <v>0.43088701513617711</v>
      </c>
      <c r="K827" s="979">
        <v>73326.628687814082</v>
      </c>
      <c r="L827" s="979">
        <v>71083</v>
      </c>
      <c r="M827" s="979">
        <v>599</v>
      </c>
    </row>
    <row r="828" spans="1:13" ht="15">
      <c r="A828" s="979" t="s">
        <v>3501</v>
      </c>
      <c r="B828" s="1040" t="str">
        <f>CONCATENATE(LEFT(RIGHT(CONCATENATE("000",IFAData_TEA_1617!A828),6),3),"-",(RIGHT(RIGHT(CONCATENATE("000",IFAData_TEA_1617!A828),6),3)))</f>
        <v>071-908</v>
      </c>
      <c r="C828" s="979" t="s">
        <v>606</v>
      </c>
      <c r="D828" s="979">
        <v>3</v>
      </c>
      <c r="E828" s="979">
        <v>2395</v>
      </c>
      <c r="F828" s="979" t="s">
        <v>4630</v>
      </c>
      <c r="G828" s="979" t="s">
        <v>4629</v>
      </c>
      <c r="H828" s="979">
        <v>37010</v>
      </c>
      <c r="I828" s="979">
        <v>9858</v>
      </c>
      <c r="J828" s="979">
        <v>0.30511622148627315</v>
      </c>
      <c r="K828" s="979">
        <v>11292.35135720697</v>
      </c>
      <c r="L828" s="979">
        <v>9858</v>
      </c>
      <c r="M828" s="979">
        <v>599</v>
      </c>
    </row>
    <row r="829" spans="1:13" ht="15">
      <c r="A829" s="979" t="s">
        <v>3501</v>
      </c>
      <c r="B829" s="1040" t="str">
        <f>CONCATENATE(LEFT(RIGHT(CONCATENATE("000",IFAData_TEA_1617!A829),6),3),"-",(RIGHT(RIGHT(CONCATENATE("000",IFAData_TEA_1617!A829),6),3)))</f>
        <v>071-908</v>
      </c>
      <c r="C829" s="979" t="s">
        <v>606</v>
      </c>
      <c r="D829" s="979">
        <v>3</v>
      </c>
      <c r="E829" s="979">
        <v>2395</v>
      </c>
      <c r="F829" s="979" t="s">
        <v>4630</v>
      </c>
      <c r="G829" s="979" t="s">
        <v>4628</v>
      </c>
      <c r="H829" s="979">
        <v>37010</v>
      </c>
      <c r="I829" s="979">
        <v>22451</v>
      </c>
      <c r="J829" s="979">
        <v>0.69488377851372685</v>
      </c>
      <c r="K829" s="979">
        <v>25717.648642793032</v>
      </c>
      <c r="L829" s="979">
        <v>22451</v>
      </c>
      <c r="M829" s="979">
        <v>599</v>
      </c>
    </row>
    <row r="830" spans="1:13" ht="15">
      <c r="A830" s="979" t="s">
        <v>3501</v>
      </c>
      <c r="B830" s="1040" t="str">
        <f>CONCATENATE(LEFT(RIGHT(CONCATENATE("000",IFAData_TEA_1617!A830),6),3),"-",(RIGHT(RIGHT(CONCATENATE("000",IFAData_TEA_1617!A830),6),3)))</f>
        <v>071-908</v>
      </c>
      <c r="C830" s="979" t="s">
        <v>606</v>
      </c>
      <c r="D830" s="979">
        <v>1</v>
      </c>
      <c r="E830" s="979">
        <v>2396</v>
      </c>
      <c r="F830" s="979" t="s">
        <v>4627</v>
      </c>
      <c r="G830" s="979" t="s">
        <v>4628</v>
      </c>
      <c r="H830" s="979">
        <v>44910</v>
      </c>
      <c r="I830" s="979">
        <v>21431</v>
      </c>
      <c r="J830" s="979">
        <v>0.66190005559330412</v>
      </c>
      <c r="K830" s="979">
        <v>29725.931496695288</v>
      </c>
      <c r="L830" s="979">
        <v>21431</v>
      </c>
      <c r="M830" s="979">
        <v>599</v>
      </c>
    </row>
    <row r="831" spans="1:13" ht="15">
      <c r="A831" s="979" t="s">
        <v>3501</v>
      </c>
      <c r="B831" s="1040" t="str">
        <f>CONCATENATE(LEFT(RIGHT(CONCATENATE("000",IFAData_TEA_1617!A831),6),3),"-",(RIGHT(RIGHT(CONCATENATE("000",IFAData_TEA_1617!A831),6),3)))</f>
        <v>071-908</v>
      </c>
      <c r="C831" s="979" t="s">
        <v>606</v>
      </c>
      <c r="D831" s="979">
        <v>4</v>
      </c>
      <c r="E831" s="979">
        <v>2397</v>
      </c>
      <c r="F831" s="979" t="s">
        <v>4631</v>
      </c>
      <c r="G831" s="979" t="s">
        <v>4628</v>
      </c>
      <c r="H831" s="979">
        <v>170176</v>
      </c>
      <c r="I831" s="979">
        <v>93886</v>
      </c>
      <c r="J831" s="979">
        <v>0.56911298486382289</v>
      </c>
      <c r="K831" s="979">
        <v>96849.371312185918</v>
      </c>
      <c r="L831" s="979">
        <v>93886</v>
      </c>
      <c r="M831" s="979">
        <v>599</v>
      </c>
    </row>
    <row r="832" spans="1:13" ht="15">
      <c r="A832" s="979" t="s">
        <v>3501</v>
      </c>
      <c r="B832" s="1040" t="str">
        <f>CONCATENATE(LEFT(RIGHT(CONCATENATE("000",IFAData_TEA_1617!A832),6),3),"-",(RIGHT(RIGHT(CONCATENATE("000",IFAData_TEA_1617!A832),6),3)))</f>
        <v>071-908</v>
      </c>
      <c r="C832" s="979" t="s">
        <v>606</v>
      </c>
      <c r="D832" s="979">
        <v>8</v>
      </c>
      <c r="E832" s="979">
        <v>2399</v>
      </c>
      <c r="F832" s="979" t="s">
        <v>4634</v>
      </c>
      <c r="G832" s="979" t="s">
        <v>4635</v>
      </c>
      <c r="H832" s="979">
        <v>317310</v>
      </c>
      <c r="I832" s="979">
        <v>300875</v>
      </c>
      <c r="J832" s="979">
        <v>1</v>
      </c>
      <c r="K832" s="979">
        <v>317310</v>
      </c>
      <c r="L832" s="979">
        <v>300875</v>
      </c>
      <c r="M832" s="979">
        <v>599</v>
      </c>
    </row>
    <row r="833" spans="1:13" ht="15">
      <c r="A833" s="979" t="s">
        <v>3501</v>
      </c>
      <c r="B833" s="1040" t="str">
        <f>CONCATENATE(LEFT(RIGHT(CONCATENATE("000",IFAData_TEA_1617!A833),6),3),"-",(RIGHT(RIGHT(CONCATENATE("000",IFAData_TEA_1617!A833),6),3)))</f>
        <v>071-908</v>
      </c>
      <c r="C833" s="979" t="s">
        <v>606</v>
      </c>
      <c r="D833" s="979">
        <v>4</v>
      </c>
      <c r="E833" s="979">
        <v>2397</v>
      </c>
      <c r="F833" s="979" t="s">
        <v>4631</v>
      </c>
      <c r="G833" s="979" t="s">
        <v>4631</v>
      </c>
      <c r="H833" s="979">
        <v>170176</v>
      </c>
      <c r="I833" s="979">
        <v>0</v>
      </c>
      <c r="J833" s="979">
        <v>0</v>
      </c>
      <c r="K833" s="979">
        <v>0</v>
      </c>
      <c r="L833" s="979">
        <v>0</v>
      </c>
      <c r="M833" s="979">
        <v>599</v>
      </c>
    </row>
    <row r="834" spans="1:13" ht="15">
      <c r="A834" s="979" t="s">
        <v>3501</v>
      </c>
      <c r="B834" s="1040" t="str">
        <f>CONCATENATE(LEFT(RIGHT(CONCATENATE("000",IFAData_TEA_1617!A834),6),3),"-",(RIGHT(RIGHT(CONCATENATE("000",IFAData_TEA_1617!A834),6),3)))</f>
        <v>071-908</v>
      </c>
      <c r="C834" s="979" t="s">
        <v>606</v>
      </c>
      <c r="D834" s="979">
        <v>3</v>
      </c>
      <c r="E834" s="979">
        <v>2395</v>
      </c>
      <c r="F834" s="979" t="s">
        <v>4630</v>
      </c>
      <c r="G834" s="979" t="s">
        <v>4630</v>
      </c>
      <c r="H834" s="979">
        <v>37010</v>
      </c>
      <c r="I834" s="979">
        <v>0</v>
      </c>
      <c r="J834" s="979">
        <v>0</v>
      </c>
      <c r="K834" s="979">
        <v>0</v>
      </c>
      <c r="L834" s="979">
        <v>0</v>
      </c>
      <c r="M834" s="979">
        <v>599</v>
      </c>
    </row>
    <row r="835" spans="1:13" ht="15">
      <c r="A835" s="979" t="s">
        <v>3501</v>
      </c>
      <c r="B835" s="1040" t="str">
        <f>CONCATENATE(LEFT(RIGHT(CONCATENATE("000",IFAData_TEA_1617!A835),6),3),"-",(RIGHT(RIGHT(CONCATENATE("000",IFAData_TEA_1617!A835),6),3)))</f>
        <v>071-908</v>
      </c>
      <c r="C835" s="979" t="s">
        <v>606</v>
      </c>
      <c r="D835" s="979">
        <v>5</v>
      </c>
      <c r="E835" s="979">
        <v>2398</v>
      </c>
      <c r="F835" s="979" t="s">
        <v>4632</v>
      </c>
      <c r="G835" s="979" t="s">
        <v>4633</v>
      </c>
      <c r="H835" s="979">
        <v>229390</v>
      </c>
      <c r="I835" s="979">
        <v>0</v>
      </c>
      <c r="J835" s="979">
        <v>0</v>
      </c>
      <c r="K835" s="979">
        <v>0</v>
      </c>
      <c r="L835" s="979">
        <v>0</v>
      </c>
      <c r="M835" s="979">
        <v>599</v>
      </c>
    </row>
    <row r="836" spans="1:13" ht="15">
      <c r="A836" s="979" t="s">
        <v>3501</v>
      </c>
      <c r="B836" s="1040" t="str">
        <f>CONCATENATE(LEFT(RIGHT(CONCATENATE("000",IFAData_TEA_1617!A836),6),3),"-",(RIGHT(RIGHT(CONCATENATE("000",IFAData_TEA_1617!A836),6),3)))</f>
        <v>071-908</v>
      </c>
      <c r="C836" s="979" t="s">
        <v>606</v>
      </c>
      <c r="D836" s="979">
        <v>5</v>
      </c>
      <c r="E836" s="979">
        <v>2398</v>
      </c>
      <c r="F836" s="979" t="s">
        <v>4632</v>
      </c>
      <c r="G836" s="979" t="s">
        <v>4632</v>
      </c>
      <c r="H836" s="979">
        <v>229390</v>
      </c>
      <c r="I836" s="979">
        <v>0</v>
      </c>
      <c r="J836" s="979">
        <v>0</v>
      </c>
      <c r="K836" s="979">
        <v>0</v>
      </c>
      <c r="L836" s="979">
        <v>0</v>
      </c>
      <c r="M836" s="979">
        <v>599</v>
      </c>
    </row>
    <row r="837" spans="1:13" ht="15">
      <c r="A837" s="979" t="s">
        <v>3501</v>
      </c>
      <c r="B837" s="1040" t="str">
        <f>CONCATENATE(LEFT(RIGHT(CONCATENATE("000",IFAData_TEA_1617!A837),6),3),"-",(RIGHT(RIGHT(CONCATENATE("000",IFAData_TEA_1617!A837),6),3)))</f>
        <v>071-908</v>
      </c>
      <c r="C837" s="979" t="s">
        <v>606</v>
      </c>
      <c r="D837" s="979">
        <v>5</v>
      </c>
      <c r="E837" s="979">
        <v>2398</v>
      </c>
      <c r="F837" s="979" t="s">
        <v>4632</v>
      </c>
      <c r="G837" s="979" t="s">
        <v>6455</v>
      </c>
      <c r="H837" s="979">
        <v>229390</v>
      </c>
      <c r="I837" s="979">
        <v>200050</v>
      </c>
      <c r="J837" s="979">
        <v>1</v>
      </c>
      <c r="K837" s="979">
        <v>229390</v>
      </c>
      <c r="L837" s="979">
        <v>200050</v>
      </c>
      <c r="M837" s="979">
        <v>599</v>
      </c>
    </row>
    <row r="838" spans="1:13" ht="15">
      <c r="A838" s="979" t="s">
        <v>3501</v>
      </c>
      <c r="B838" s="1040" t="str">
        <f>CONCATENATE(LEFT(RIGHT(CONCATENATE("000",IFAData_TEA_1617!A838),6),3),"-",(RIGHT(RIGHT(CONCATENATE("000",IFAData_TEA_1617!A838),6),3)))</f>
        <v>071-908</v>
      </c>
      <c r="C838" s="979" t="s">
        <v>606</v>
      </c>
      <c r="D838" s="979">
        <v>8</v>
      </c>
      <c r="E838" s="979">
        <v>2399</v>
      </c>
      <c r="F838" s="979" t="s">
        <v>4634</v>
      </c>
      <c r="G838" s="979" t="s">
        <v>4634</v>
      </c>
      <c r="H838" s="979">
        <v>317310</v>
      </c>
      <c r="I838" s="979">
        <v>0</v>
      </c>
      <c r="J838" s="979">
        <v>0</v>
      </c>
      <c r="K838" s="979">
        <v>0</v>
      </c>
      <c r="L838" s="979">
        <v>0</v>
      </c>
      <c r="M838" s="979">
        <v>599</v>
      </c>
    </row>
    <row r="839" spans="1:13" ht="15">
      <c r="A839" s="979" t="s">
        <v>3502</v>
      </c>
      <c r="B839" s="1040" t="str">
        <f>CONCATENATE(LEFT(RIGHT(CONCATENATE("000",IFAData_TEA_1617!A839),6),3),"-",(RIGHT(RIGHT(CONCATENATE("000",IFAData_TEA_1617!A839),6),3)))</f>
        <v>071-909</v>
      </c>
      <c r="C839" s="979" t="s">
        <v>1930</v>
      </c>
      <c r="D839" s="979">
        <v>2</v>
      </c>
      <c r="E839" s="979">
        <v>2346</v>
      </c>
      <c r="F839" s="979" t="s">
        <v>4636</v>
      </c>
      <c r="G839" s="979" t="s">
        <v>6456</v>
      </c>
      <c r="H839" s="979">
        <v>1524945</v>
      </c>
      <c r="I839" s="979">
        <v>90825</v>
      </c>
      <c r="J839" s="979">
        <v>5.6064434130385532E-2</v>
      </c>
      <c r="K839" s="979">
        <v>85495.178504960772</v>
      </c>
      <c r="L839" s="979">
        <v>85495.178504960772</v>
      </c>
      <c r="M839" s="979">
        <v>599</v>
      </c>
    </row>
    <row r="840" spans="1:13" ht="15">
      <c r="A840" s="979" t="s">
        <v>3502</v>
      </c>
      <c r="B840" s="1040" t="str">
        <f>CONCATENATE(LEFT(RIGHT(CONCATENATE("000",IFAData_TEA_1617!A840),6),3),"-",(RIGHT(RIGHT(CONCATENATE("000",IFAData_TEA_1617!A840),6),3)))</f>
        <v>071-909</v>
      </c>
      <c r="C840" s="979" t="s">
        <v>1930</v>
      </c>
      <c r="D840" s="979">
        <v>8</v>
      </c>
      <c r="E840" s="979">
        <v>2350</v>
      </c>
      <c r="F840" s="979" t="s">
        <v>4646</v>
      </c>
      <c r="G840" s="979" t="s">
        <v>4647</v>
      </c>
      <c r="H840" s="979">
        <v>4042418</v>
      </c>
      <c r="I840" s="979">
        <v>3300659</v>
      </c>
      <c r="J840" s="979">
        <v>1</v>
      </c>
      <c r="K840" s="979">
        <v>4042418</v>
      </c>
      <c r="L840" s="979">
        <v>3300659</v>
      </c>
      <c r="M840" s="979">
        <v>599</v>
      </c>
    </row>
    <row r="841" spans="1:13" ht="15">
      <c r="A841" s="979" t="s">
        <v>3502</v>
      </c>
      <c r="B841" s="1040" t="str">
        <f>CONCATENATE(LEFT(RIGHT(CONCATENATE("000",IFAData_TEA_1617!A841),6),3),"-",(RIGHT(RIGHT(CONCATENATE("000",IFAData_TEA_1617!A841),6),3)))</f>
        <v>071-909</v>
      </c>
      <c r="C841" s="979" t="s">
        <v>1930</v>
      </c>
      <c r="D841" s="979">
        <v>5</v>
      </c>
      <c r="E841" s="979">
        <v>2348</v>
      </c>
      <c r="F841" s="979" t="s">
        <v>4643</v>
      </c>
      <c r="G841" s="979" t="s">
        <v>4643</v>
      </c>
      <c r="H841" s="979">
        <v>2358164</v>
      </c>
      <c r="I841" s="979">
        <v>0</v>
      </c>
      <c r="J841" s="979">
        <v>0</v>
      </c>
      <c r="K841" s="979">
        <v>0</v>
      </c>
      <c r="L841" s="979">
        <v>0</v>
      </c>
      <c r="M841" s="979">
        <v>599</v>
      </c>
    </row>
    <row r="842" spans="1:13" ht="15">
      <c r="A842" s="979" t="s">
        <v>3502</v>
      </c>
      <c r="B842" s="1040" t="str">
        <f>CONCATENATE(LEFT(RIGHT(CONCATENATE("000",IFAData_TEA_1617!A842),6),3),"-",(RIGHT(RIGHT(CONCATENATE("000",IFAData_TEA_1617!A842),6),3)))</f>
        <v>071-909</v>
      </c>
      <c r="C842" s="979" t="s">
        <v>1930</v>
      </c>
      <c r="D842" s="979">
        <v>4</v>
      </c>
      <c r="E842" s="979">
        <v>2347</v>
      </c>
      <c r="F842" s="979" t="s">
        <v>4640</v>
      </c>
      <c r="G842" s="979" t="s">
        <v>4639</v>
      </c>
      <c r="H842" s="979">
        <v>1767522</v>
      </c>
      <c r="I842" s="979">
        <v>1440267</v>
      </c>
      <c r="J842" s="979">
        <v>0.77827575790816639</v>
      </c>
      <c r="K842" s="979">
        <v>1375619.524169358</v>
      </c>
      <c r="L842" s="979">
        <v>1375619.524169358</v>
      </c>
      <c r="M842" s="979">
        <v>599</v>
      </c>
    </row>
    <row r="843" spans="1:13" ht="15">
      <c r="A843" s="979" t="s">
        <v>3502</v>
      </c>
      <c r="B843" s="1040" t="str">
        <f>CONCATENATE(LEFT(RIGHT(CONCATENATE("000",IFAData_TEA_1617!A843),6),3),"-",(RIGHT(RIGHT(CONCATENATE("000",IFAData_TEA_1617!A843),6),3)))</f>
        <v>071-909</v>
      </c>
      <c r="C843" s="979" t="s">
        <v>1930</v>
      </c>
      <c r="D843" s="979">
        <v>8</v>
      </c>
      <c r="E843" s="979">
        <v>2350</v>
      </c>
      <c r="F843" s="979" t="s">
        <v>4646</v>
      </c>
      <c r="G843" s="979" t="s">
        <v>4646</v>
      </c>
      <c r="H843" s="979">
        <v>4042418</v>
      </c>
      <c r="I843" s="979">
        <v>0</v>
      </c>
      <c r="J843" s="979">
        <v>0</v>
      </c>
      <c r="K843" s="979">
        <v>0</v>
      </c>
      <c r="L843" s="979">
        <v>0</v>
      </c>
      <c r="M843" s="979">
        <v>599</v>
      </c>
    </row>
    <row r="844" spans="1:13" ht="15">
      <c r="A844" s="979" t="s">
        <v>3502</v>
      </c>
      <c r="B844" s="1040" t="str">
        <f>CONCATENATE(LEFT(RIGHT(CONCATENATE("000",IFAData_TEA_1617!A844),6),3),"-",(RIGHT(RIGHT(CONCATENATE("000",IFAData_TEA_1617!A844),6),3)))</f>
        <v>071-909</v>
      </c>
      <c r="C844" s="979" t="s">
        <v>1930</v>
      </c>
      <c r="D844" s="979">
        <v>2</v>
      </c>
      <c r="E844" s="979">
        <v>2346</v>
      </c>
      <c r="F844" s="979" t="s">
        <v>4636</v>
      </c>
      <c r="G844" s="979" t="s">
        <v>6246</v>
      </c>
      <c r="H844" s="979">
        <v>1524945</v>
      </c>
      <c r="I844" s="979">
        <v>156876</v>
      </c>
      <c r="J844" s="979">
        <v>9.6836379506065079E-2</v>
      </c>
      <c r="K844" s="979">
        <v>147670.1527458764</v>
      </c>
      <c r="L844" s="979">
        <v>147670.1527458764</v>
      </c>
      <c r="M844" s="979">
        <v>599</v>
      </c>
    </row>
    <row r="845" spans="1:13" ht="15">
      <c r="A845" s="979" t="s">
        <v>3502</v>
      </c>
      <c r="B845" s="1040" t="str">
        <f>CONCATENATE(LEFT(RIGHT(CONCATENATE("000",IFAData_TEA_1617!A845),6),3),"-",(RIGHT(RIGHT(CONCATENATE("000",IFAData_TEA_1617!A845),6),3)))</f>
        <v>071-909</v>
      </c>
      <c r="C845" s="979" t="s">
        <v>1930</v>
      </c>
      <c r="D845" s="979">
        <v>5</v>
      </c>
      <c r="E845" s="979">
        <v>2348</v>
      </c>
      <c r="F845" s="979" t="s">
        <v>4643</v>
      </c>
      <c r="G845" s="979" t="s">
        <v>4638</v>
      </c>
      <c r="H845" s="979">
        <v>2358164</v>
      </c>
      <c r="I845" s="979">
        <v>1535262</v>
      </c>
      <c r="J845" s="979">
        <v>0.61978400479271667</v>
      </c>
      <c r="K845" s="979">
        <v>1461552.3278780119</v>
      </c>
      <c r="L845" s="979">
        <v>1461552.3278780119</v>
      </c>
      <c r="M845" s="979">
        <v>599</v>
      </c>
    </row>
    <row r="846" spans="1:13" ht="15">
      <c r="A846" s="979" t="s">
        <v>3502</v>
      </c>
      <c r="B846" s="1040" t="str">
        <f>CONCATENATE(LEFT(RIGHT(CONCATENATE("000",IFAData_TEA_1617!A846),6),3),"-",(RIGHT(RIGHT(CONCATENATE("000",IFAData_TEA_1617!A846),6),3)))</f>
        <v>071-909</v>
      </c>
      <c r="C846" s="979" t="s">
        <v>1930</v>
      </c>
      <c r="D846" s="979">
        <v>2</v>
      </c>
      <c r="E846" s="979">
        <v>2346</v>
      </c>
      <c r="F846" s="979" t="s">
        <v>4636</v>
      </c>
      <c r="G846" s="979" t="s">
        <v>4638</v>
      </c>
      <c r="H846" s="979">
        <v>1524945</v>
      </c>
      <c r="I846" s="979">
        <v>129230</v>
      </c>
      <c r="J846" s="979">
        <v>7.9771063282903634E-2</v>
      </c>
      <c r="K846" s="979">
        <v>121646.48409794748</v>
      </c>
      <c r="L846" s="979">
        <v>121646.48409794748</v>
      </c>
      <c r="M846" s="979">
        <v>599</v>
      </c>
    </row>
    <row r="847" spans="1:13" ht="15">
      <c r="A847" s="979" t="s">
        <v>3502</v>
      </c>
      <c r="B847" s="1040" t="str">
        <f>CONCATENATE(LEFT(RIGHT(CONCATENATE("000",IFAData_TEA_1617!A847),6),3),"-",(RIGHT(RIGHT(CONCATENATE("000",IFAData_TEA_1617!A847),6),3)))</f>
        <v>071-909</v>
      </c>
      <c r="C847" s="979" t="s">
        <v>1930</v>
      </c>
      <c r="D847" s="979">
        <v>5</v>
      </c>
      <c r="E847" s="979">
        <v>2348</v>
      </c>
      <c r="F847" s="979" t="s">
        <v>4643</v>
      </c>
      <c r="G847" s="979" t="s">
        <v>4645</v>
      </c>
      <c r="H847" s="979">
        <v>2358164</v>
      </c>
      <c r="I847" s="979">
        <v>482665</v>
      </c>
      <c r="J847" s="979">
        <v>0.19485146292507505</v>
      </c>
      <c r="K847" s="979">
        <v>459491.70521724666</v>
      </c>
      <c r="L847" s="979">
        <v>459491.70521724666</v>
      </c>
      <c r="M847" s="979">
        <v>599</v>
      </c>
    </row>
    <row r="848" spans="1:13" ht="15">
      <c r="A848" s="979" t="s">
        <v>3502</v>
      </c>
      <c r="B848" s="1040" t="str">
        <f>CONCATENATE(LEFT(RIGHT(CONCATENATE("000",IFAData_TEA_1617!A848),6),3),"-",(RIGHT(RIGHT(CONCATENATE("000",IFAData_TEA_1617!A848),6),3)))</f>
        <v>071-909</v>
      </c>
      <c r="C848" s="979" t="s">
        <v>1930</v>
      </c>
      <c r="D848" s="979">
        <v>4</v>
      </c>
      <c r="E848" s="979">
        <v>2349</v>
      </c>
      <c r="F848" s="979" t="s">
        <v>4642</v>
      </c>
      <c r="G848" s="979" t="s">
        <v>4638</v>
      </c>
      <c r="H848" s="979">
        <v>3395093</v>
      </c>
      <c r="I848" s="979">
        <v>0</v>
      </c>
      <c r="J848" s="979">
        <v>0</v>
      </c>
      <c r="K848" s="979">
        <v>0</v>
      </c>
      <c r="L848" s="979">
        <v>0</v>
      </c>
      <c r="M848" s="979">
        <v>599</v>
      </c>
    </row>
    <row r="849" spans="1:13" ht="15">
      <c r="A849" s="979" t="s">
        <v>3502</v>
      </c>
      <c r="B849" s="1040" t="str">
        <f>CONCATENATE(LEFT(RIGHT(CONCATENATE("000",IFAData_TEA_1617!A849),6),3),"-",(RIGHT(RIGHT(CONCATENATE("000",IFAData_TEA_1617!A849),6),3)))</f>
        <v>071-909</v>
      </c>
      <c r="C849" s="979" t="s">
        <v>1930</v>
      </c>
      <c r="D849" s="979">
        <v>2</v>
      </c>
      <c r="E849" s="979">
        <v>2346</v>
      </c>
      <c r="F849" s="979" t="s">
        <v>4636</v>
      </c>
      <c r="G849" s="979" t="s">
        <v>4636</v>
      </c>
      <c r="H849" s="979">
        <v>1524945</v>
      </c>
      <c r="I849" s="979">
        <v>0</v>
      </c>
      <c r="J849" s="979">
        <v>0</v>
      </c>
      <c r="K849" s="979">
        <v>0</v>
      </c>
      <c r="L849" s="979">
        <v>0</v>
      </c>
      <c r="M849" s="979">
        <v>599</v>
      </c>
    </row>
    <row r="850" spans="1:13" ht="15">
      <c r="A850" s="979" t="s">
        <v>3502</v>
      </c>
      <c r="B850" s="1040" t="str">
        <f>CONCATENATE(LEFT(RIGHT(CONCATENATE("000",IFAData_TEA_1617!A850),6),3),"-",(RIGHT(RIGHT(CONCATENATE("000",IFAData_TEA_1617!A850),6),3)))</f>
        <v>071-909</v>
      </c>
      <c r="C850" s="979" t="s">
        <v>1930</v>
      </c>
      <c r="D850" s="979">
        <v>4</v>
      </c>
      <c r="E850" s="979">
        <v>2349</v>
      </c>
      <c r="F850" s="979" t="s">
        <v>4642</v>
      </c>
      <c r="G850" s="979" t="s">
        <v>4637</v>
      </c>
      <c r="H850" s="979">
        <v>3395093</v>
      </c>
      <c r="I850" s="979">
        <v>403494</v>
      </c>
      <c r="J850" s="979">
        <v>0.11398860097040066</v>
      </c>
      <c r="K850" s="979">
        <v>387001.90123440046</v>
      </c>
      <c r="L850" s="979">
        <v>387001.90123440046</v>
      </c>
      <c r="M850" s="979">
        <v>599</v>
      </c>
    </row>
    <row r="851" spans="1:13" ht="15">
      <c r="A851" s="979" t="s">
        <v>3502</v>
      </c>
      <c r="B851" s="1040" t="str">
        <f>CONCATENATE(LEFT(RIGHT(CONCATENATE("000",IFAData_TEA_1617!A851),6),3),"-",(RIGHT(RIGHT(CONCATENATE("000",IFAData_TEA_1617!A851),6),3)))</f>
        <v>071-909</v>
      </c>
      <c r="C851" s="979" t="s">
        <v>1930</v>
      </c>
      <c r="D851" s="979">
        <v>4</v>
      </c>
      <c r="E851" s="979">
        <v>2349</v>
      </c>
      <c r="F851" s="979" t="s">
        <v>4642</v>
      </c>
      <c r="G851" s="979" t="s">
        <v>4642</v>
      </c>
      <c r="H851" s="979">
        <v>3395093</v>
      </c>
      <c r="I851" s="979">
        <v>0</v>
      </c>
      <c r="J851" s="979">
        <v>0</v>
      </c>
      <c r="K851" s="979">
        <v>0</v>
      </c>
      <c r="L851" s="979">
        <v>0</v>
      </c>
      <c r="M851" s="979">
        <v>599</v>
      </c>
    </row>
    <row r="852" spans="1:13" ht="15">
      <c r="A852" s="979" t="s">
        <v>3502</v>
      </c>
      <c r="B852" s="1040" t="str">
        <f>CONCATENATE(LEFT(RIGHT(CONCATENATE("000",IFAData_TEA_1617!A852),6),3),"-",(RIGHT(RIGHT(CONCATENATE("000",IFAData_TEA_1617!A852),6),3)))</f>
        <v>071-909</v>
      </c>
      <c r="C852" s="979" t="s">
        <v>1930</v>
      </c>
      <c r="D852" s="979">
        <v>4</v>
      </c>
      <c r="E852" s="979">
        <v>2347</v>
      </c>
      <c r="F852" s="979" t="s">
        <v>4640</v>
      </c>
      <c r="G852" s="979" t="s">
        <v>4637</v>
      </c>
      <c r="H852" s="979">
        <v>1767522</v>
      </c>
      <c r="I852" s="979">
        <v>178940</v>
      </c>
      <c r="J852" s="979">
        <v>9.6693643692514861E-2</v>
      </c>
      <c r="K852" s="979">
        <v>170908.14248668126</v>
      </c>
      <c r="L852" s="979">
        <v>170908.14248668126</v>
      </c>
      <c r="M852" s="979">
        <v>599</v>
      </c>
    </row>
    <row r="853" spans="1:13" ht="15">
      <c r="A853" s="979" t="s">
        <v>3502</v>
      </c>
      <c r="B853" s="1040" t="str">
        <f>CONCATENATE(LEFT(RIGHT(CONCATENATE("000",IFAData_TEA_1617!A853),6),3),"-",(RIGHT(RIGHT(CONCATENATE("000",IFAData_TEA_1617!A853),6),3)))</f>
        <v>071-909</v>
      </c>
      <c r="C853" s="979" t="s">
        <v>1930</v>
      </c>
      <c r="D853" s="979">
        <v>5</v>
      </c>
      <c r="E853" s="979">
        <v>2348</v>
      </c>
      <c r="F853" s="979" t="s">
        <v>4643</v>
      </c>
      <c r="G853" s="979" t="s">
        <v>4644</v>
      </c>
      <c r="H853" s="979">
        <v>2358164</v>
      </c>
      <c r="I853" s="979">
        <v>138502</v>
      </c>
      <c r="J853" s="979">
        <v>5.5913143314822382E-2</v>
      </c>
      <c r="K853" s="979">
        <v>131852.36169185481</v>
      </c>
      <c r="L853" s="979">
        <v>131852.36169185481</v>
      </c>
      <c r="M853" s="979">
        <v>599</v>
      </c>
    </row>
    <row r="854" spans="1:13" ht="15">
      <c r="A854" s="979" t="s">
        <v>3502</v>
      </c>
      <c r="B854" s="1040" t="str">
        <f>CONCATENATE(LEFT(RIGHT(CONCATENATE("000",IFAData_TEA_1617!A854),6),3),"-",(RIGHT(RIGHT(CONCATENATE("000",IFAData_TEA_1617!A854),6),3)))</f>
        <v>071-909</v>
      </c>
      <c r="C854" s="979" t="s">
        <v>1930</v>
      </c>
      <c r="D854" s="979">
        <v>4</v>
      </c>
      <c r="E854" s="979">
        <v>2349</v>
      </c>
      <c r="F854" s="979" t="s">
        <v>4642</v>
      </c>
      <c r="G854" s="979" t="s">
        <v>6456</v>
      </c>
      <c r="H854" s="979">
        <v>3395093</v>
      </c>
      <c r="I854" s="979">
        <v>211996</v>
      </c>
      <c r="J854" s="979">
        <v>5.9889682253815565E-2</v>
      </c>
      <c r="K854" s="979">
        <v>203331.04099215346</v>
      </c>
      <c r="L854" s="979">
        <v>203331.04099215346</v>
      </c>
      <c r="M854" s="979">
        <v>599</v>
      </c>
    </row>
    <row r="855" spans="1:13" ht="15">
      <c r="A855" s="979" t="s">
        <v>3502</v>
      </c>
      <c r="B855" s="1040" t="str">
        <f>CONCATENATE(LEFT(RIGHT(CONCATENATE("000",IFAData_TEA_1617!A855),6),3),"-",(RIGHT(RIGHT(CONCATENATE("000",IFAData_TEA_1617!A855),6),3)))</f>
        <v>071-909</v>
      </c>
      <c r="C855" s="979" t="s">
        <v>1930</v>
      </c>
      <c r="D855" s="979">
        <v>4</v>
      </c>
      <c r="E855" s="979">
        <v>2347</v>
      </c>
      <c r="F855" s="979" t="s">
        <v>4640</v>
      </c>
      <c r="G855" s="979" t="s">
        <v>4641</v>
      </c>
      <c r="H855" s="979">
        <v>1767522</v>
      </c>
      <c r="I855" s="979">
        <v>58121</v>
      </c>
      <c r="J855" s="979">
        <v>3.1406791466707593E-2</v>
      </c>
      <c r="K855" s="979">
        <v>55512.194866817939</v>
      </c>
      <c r="L855" s="979">
        <v>55512.194866817939</v>
      </c>
      <c r="M855" s="979">
        <v>599</v>
      </c>
    </row>
    <row r="856" spans="1:13" ht="15">
      <c r="A856" s="979" t="s">
        <v>3502</v>
      </c>
      <c r="B856" s="1040" t="str">
        <f>CONCATENATE(LEFT(RIGHT(CONCATENATE("000",IFAData_TEA_1617!A856),6),3),"-",(RIGHT(RIGHT(CONCATENATE("000",IFAData_TEA_1617!A856),6),3)))</f>
        <v>071-909</v>
      </c>
      <c r="C856" s="979" t="s">
        <v>1930</v>
      </c>
      <c r="D856" s="979">
        <v>4</v>
      </c>
      <c r="E856" s="979">
        <v>2347</v>
      </c>
      <c r="F856" s="979" t="s">
        <v>4640</v>
      </c>
      <c r="G856" s="979" t="s">
        <v>4640</v>
      </c>
      <c r="H856" s="979">
        <v>1767522</v>
      </c>
      <c r="I856" s="979">
        <v>0</v>
      </c>
      <c r="J856" s="979">
        <v>0</v>
      </c>
      <c r="K856" s="979">
        <v>0</v>
      </c>
      <c r="L856" s="979">
        <v>0</v>
      </c>
      <c r="M856" s="979">
        <v>599</v>
      </c>
    </row>
    <row r="857" spans="1:13" ht="15">
      <c r="A857" s="979" t="s">
        <v>3502</v>
      </c>
      <c r="B857" s="1040" t="str">
        <f>CONCATENATE(LEFT(RIGHT(CONCATENATE("000",IFAData_TEA_1617!A857),6),3),"-",(RIGHT(RIGHT(CONCATENATE("000",IFAData_TEA_1617!A857),6),3)))</f>
        <v>071-909</v>
      </c>
      <c r="C857" s="979" t="s">
        <v>1930</v>
      </c>
      <c r="D857" s="979">
        <v>5</v>
      </c>
      <c r="E857" s="979">
        <v>2348</v>
      </c>
      <c r="F857" s="979" t="s">
        <v>4643</v>
      </c>
      <c r="G857" s="979" t="s">
        <v>6456</v>
      </c>
      <c r="H857" s="979">
        <v>2358164</v>
      </c>
      <c r="I857" s="979">
        <v>320663</v>
      </c>
      <c r="J857" s="979">
        <v>0.12945138896738595</v>
      </c>
      <c r="K857" s="979">
        <v>305267.6052128867</v>
      </c>
      <c r="L857" s="979">
        <v>305267.6052128867</v>
      </c>
      <c r="M857" s="979">
        <v>599</v>
      </c>
    </row>
    <row r="858" spans="1:13" ht="15">
      <c r="A858" s="979" t="s">
        <v>3502</v>
      </c>
      <c r="B858" s="1040" t="str">
        <f>CONCATENATE(LEFT(RIGHT(CONCATENATE("000",IFAData_TEA_1617!A858),6),3),"-",(RIGHT(RIGHT(CONCATENATE("000",IFAData_TEA_1617!A858),6),3)))</f>
        <v>071-909</v>
      </c>
      <c r="C858" s="979" t="s">
        <v>1930</v>
      </c>
      <c r="D858" s="979">
        <v>2</v>
      </c>
      <c r="E858" s="979">
        <v>2346</v>
      </c>
      <c r="F858" s="979" t="s">
        <v>4636</v>
      </c>
      <c r="G858" s="979" t="s">
        <v>4639</v>
      </c>
      <c r="H858" s="979">
        <v>1524945</v>
      </c>
      <c r="I858" s="979">
        <v>1079105</v>
      </c>
      <c r="J858" s="979">
        <v>0.6661096745639381</v>
      </c>
      <c r="K858" s="979">
        <v>1015780.6176779045</v>
      </c>
      <c r="L858" s="979">
        <v>1015780.6176779045</v>
      </c>
      <c r="M858" s="979">
        <v>599</v>
      </c>
    </row>
    <row r="859" spans="1:13" ht="15">
      <c r="A859" s="979" t="s">
        <v>3502</v>
      </c>
      <c r="B859" s="1040" t="str">
        <f>CONCATENATE(LEFT(RIGHT(CONCATENATE("000",IFAData_TEA_1617!A859),6),3),"-",(RIGHT(RIGHT(CONCATENATE("000",IFAData_TEA_1617!A859),6),3)))</f>
        <v>071-909</v>
      </c>
      <c r="C859" s="979" t="s">
        <v>1930</v>
      </c>
      <c r="D859" s="979">
        <v>4</v>
      </c>
      <c r="E859" s="979">
        <v>2349</v>
      </c>
      <c r="F859" s="979" t="s">
        <v>4642</v>
      </c>
      <c r="G859" s="979" t="s">
        <v>4639</v>
      </c>
      <c r="H859" s="979">
        <v>3395093</v>
      </c>
      <c r="I859" s="979">
        <v>2655347</v>
      </c>
      <c r="J859" s="979">
        <v>0.75014570135107461</v>
      </c>
      <c r="K859" s="979">
        <v>2546814.4196371241</v>
      </c>
      <c r="L859" s="979">
        <v>2546814.4196371241</v>
      </c>
      <c r="M859" s="979">
        <v>599</v>
      </c>
    </row>
    <row r="860" spans="1:13" ht="15">
      <c r="A860" s="979" t="s">
        <v>3502</v>
      </c>
      <c r="B860" s="1040" t="str">
        <f>CONCATENATE(LEFT(RIGHT(CONCATENATE("000",IFAData_TEA_1617!A860),6),3),"-",(RIGHT(RIGHT(CONCATENATE("000",IFAData_TEA_1617!A860),6),3)))</f>
        <v>071-909</v>
      </c>
      <c r="C860" s="979" t="s">
        <v>1930</v>
      </c>
      <c r="D860" s="979">
        <v>4</v>
      </c>
      <c r="E860" s="979">
        <v>2347</v>
      </c>
      <c r="F860" s="979" t="s">
        <v>4640</v>
      </c>
      <c r="G860" s="979" t="s">
        <v>6246</v>
      </c>
      <c r="H860" s="979">
        <v>1767522</v>
      </c>
      <c r="I860" s="979">
        <v>173259</v>
      </c>
      <c r="J860" s="979">
        <v>9.3623806932611117E-2</v>
      </c>
      <c r="K860" s="979">
        <v>165482.13847714267</v>
      </c>
      <c r="L860" s="979">
        <v>165482.13847714267</v>
      </c>
      <c r="M860" s="979">
        <v>599</v>
      </c>
    </row>
    <row r="861" spans="1:13" ht="15">
      <c r="A861" s="979" t="s">
        <v>3502</v>
      </c>
      <c r="B861" s="1040" t="str">
        <f>CONCATENATE(LEFT(RIGHT(CONCATENATE("000",IFAData_TEA_1617!A861),6),3),"-",(RIGHT(RIGHT(CONCATENATE("000",IFAData_TEA_1617!A861),6),3)))</f>
        <v>071-909</v>
      </c>
      <c r="C861" s="979" t="s">
        <v>1930</v>
      </c>
      <c r="D861" s="979">
        <v>2</v>
      </c>
      <c r="E861" s="979">
        <v>2346</v>
      </c>
      <c r="F861" s="979" t="s">
        <v>4636</v>
      </c>
      <c r="G861" s="979" t="s">
        <v>4637</v>
      </c>
      <c r="H861" s="979">
        <v>1524945</v>
      </c>
      <c r="I861" s="979">
        <v>163975</v>
      </c>
      <c r="J861" s="979">
        <v>0.1012184485167076</v>
      </c>
      <c r="K861" s="979">
        <v>154352.56697331066</v>
      </c>
      <c r="L861" s="979">
        <v>154352.56697331066</v>
      </c>
      <c r="M861" s="979">
        <v>599</v>
      </c>
    </row>
    <row r="862" spans="1:13" ht="15">
      <c r="A862" s="979" t="s">
        <v>3502</v>
      </c>
      <c r="B862" s="1040" t="str">
        <f>CONCATENATE(LEFT(RIGHT(CONCATENATE("000",IFAData_TEA_1617!A862),6),3),"-",(RIGHT(RIGHT(CONCATENATE("000",IFAData_TEA_1617!A862),6),3)))</f>
        <v>071-909</v>
      </c>
      <c r="C862" s="979" t="s">
        <v>1930</v>
      </c>
      <c r="D862" s="979">
        <v>4</v>
      </c>
      <c r="E862" s="979">
        <v>2349</v>
      </c>
      <c r="F862" s="979" t="s">
        <v>4642</v>
      </c>
      <c r="G862" s="979" t="s">
        <v>6246</v>
      </c>
      <c r="H862" s="979">
        <v>3395093</v>
      </c>
      <c r="I862" s="979">
        <v>268938</v>
      </c>
      <c r="J862" s="979">
        <v>7.5976015424709192E-2</v>
      </c>
      <c r="K862" s="979">
        <v>257945.6381363222</v>
      </c>
      <c r="L862" s="979">
        <v>257945.6381363222</v>
      </c>
      <c r="M862" s="979">
        <v>599</v>
      </c>
    </row>
    <row r="863" spans="1:13" ht="15">
      <c r="A863" s="979" t="s">
        <v>3503</v>
      </c>
      <c r="B863" s="1040" t="str">
        <f>CONCATENATE(LEFT(RIGHT(CONCATENATE("000",IFAData_TEA_1617!A863),6),3),"-",(RIGHT(RIGHT(CONCATENATE("000",IFAData_TEA_1617!A863),6),3)))</f>
        <v>072-903</v>
      </c>
      <c r="C863" s="979" t="s">
        <v>2099</v>
      </c>
      <c r="D863" s="979">
        <v>2</v>
      </c>
      <c r="E863" s="979">
        <v>2383</v>
      </c>
      <c r="F863" s="979" t="s">
        <v>4648</v>
      </c>
      <c r="G863" s="979" t="s">
        <v>4648</v>
      </c>
      <c r="H863" s="979">
        <v>583662</v>
      </c>
      <c r="I863" s="979">
        <v>0</v>
      </c>
      <c r="J863" s="979">
        <v>0</v>
      </c>
      <c r="K863" s="979">
        <v>0</v>
      </c>
      <c r="L863" s="979">
        <v>0</v>
      </c>
      <c r="M863" s="979">
        <v>599</v>
      </c>
    </row>
    <row r="864" spans="1:13" ht="15">
      <c r="A864" s="979" t="s">
        <v>3503</v>
      </c>
      <c r="B864" s="1040" t="str">
        <f>CONCATENATE(LEFT(RIGHT(CONCATENATE("000",IFAData_TEA_1617!A864),6),3),"-",(RIGHT(RIGHT(CONCATENATE("000",IFAData_TEA_1617!A864),6),3)))</f>
        <v>072-903</v>
      </c>
      <c r="C864" s="979" t="s">
        <v>2099</v>
      </c>
      <c r="D864" s="979">
        <v>2</v>
      </c>
      <c r="E864" s="979">
        <v>2383</v>
      </c>
      <c r="F864" s="979" t="s">
        <v>4648</v>
      </c>
      <c r="G864" s="979" t="s">
        <v>4650</v>
      </c>
      <c r="H864" s="979">
        <v>583662</v>
      </c>
      <c r="I864" s="979">
        <v>1411170</v>
      </c>
      <c r="J864" s="979">
        <v>1</v>
      </c>
      <c r="K864" s="979">
        <v>583662</v>
      </c>
      <c r="L864" s="979">
        <v>583662</v>
      </c>
      <c r="M864" s="979">
        <v>599</v>
      </c>
    </row>
    <row r="865" spans="1:13" ht="15">
      <c r="A865" s="979" t="s">
        <v>3503</v>
      </c>
      <c r="B865" s="1040" t="str">
        <f>CONCATENATE(LEFT(RIGHT(CONCATENATE("000",IFAData_TEA_1617!A865),6),3),"-",(RIGHT(RIGHT(CONCATENATE("000",IFAData_TEA_1617!A865),6),3)))</f>
        <v>072-903</v>
      </c>
      <c r="C865" s="979" t="s">
        <v>2099</v>
      </c>
      <c r="D865" s="979">
        <v>2</v>
      </c>
      <c r="E865" s="979">
        <v>2383</v>
      </c>
      <c r="F865" s="979" t="s">
        <v>4648</v>
      </c>
      <c r="G865" s="979" t="s">
        <v>4649</v>
      </c>
      <c r="H865" s="979">
        <v>583662</v>
      </c>
      <c r="I865" s="979">
        <v>0</v>
      </c>
      <c r="J865" s="979">
        <v>0</v>
      </c>
      <c r="K865" s="979">
        <v>0</v>
      </c>
      <c r="L865" s="979">
        <v>0</v>
      </c>
      <c r="M865" s="979">
        <v>599</v>
      </c>
    </row>
    <row r="866" spans="1:13" ht="15">
      <c r="A866" s="979" t="s">
        <v>3504</v>
      </c>
      <c r="B866" s="1040" t="str">
        <f>CONCATENATE(LEFT(RIGHT(CONCATENATE("000",IFAData_TEA_1617!A866),6),3),"-",(RIGHT(RIGHT(CONCATENATE("000",IFAData_TEA_1617!A866),6),3)))</f>
        <v>072-909</v>
      </c>
      <c r="C866" s="979" t="s">
        <v>2468</v>
      </c>
      <c r="D866" s="979">
        <v>5</v>
      </c>
      <c r="E866" s="979">
        <v>2022</v>
      </c>
      <c r="F866" s="979" t="s">
        <v>4651</v>
      </c>
      <c r="G866" s="979" t="s">
        <v>4652</v>
      </c>
      <c r="H866" s="979">
        <v>100000</v>
      </c>
      <c r="I866" s="979">
        <v>92238</v>
      </c>
      <c r="J866" s="979">
        <v>1</v>
      </c>
      <c r="K866" s="979">
        <v>100000</v>
      </c>
      <c r="L866" s="979">
        <v>92238</v>
      </c>
      <c r="M866" s="979">
        <v>599</v>
      </c>
    </row>
    <row r="867" spans="1:13" ht="15">
      <c r="A867" s="979" t="s">
        <v>3504</v>
      </c>
      <c r="B867" s="1040" t="str">
        <f>CONCATENATE(LEFT(RIGHT(CONCATENATE("000",IFAData_TEA_1617!A867),6),3),"-",(RIGHT(RIGHT(CONCATENATE("000",IFAData_TEA_1617!A867),6),3)))</f>
        <v>072-909</v>
      </c>
      <c r="C867" s="979" t="s">
        <v>2468</v>
      </c>
      <c r="D867" s="979">
        <v>5</v>
      </c>
      <c r="E867" s="979">
        <v>2022</v>
      </c>
      <c r="F867" s="979" t="s">
        <v>4651</v>
      </c>
      <c r="G867" s="979" t="s">
        <v>4651</v>
      </c>
      <c r="H867" s="979">
        <v>100000</v>
      </c>
      <c r="I867" s="979">
        <v>0</v>
      </c>
      <c r="J867" s="979">
        <v>0</v>
      </c>
      <c r="K867" s="979">
        <v>0</v>
      </c>
      <c r="L867" s="979">
        <v>0</v>
      </c>
      <c r="M867" s="979">
        <v>599</v>
      </c>
    </row>
    <row r="868" spans="1:13" ht="15">
      <c r="A868" s="979" t="s">
        <v>4653</v>
      </c>
      <c r="B868" s="1040" t="str">
        <f>CONCATENATE(LEFT(RIGHT(CONCATENATE("000",IFAData_TEA_1617!A868),6),3),"-",(RIGHT(RIGHT(CONCATENATE("000",IFAData_TEA_1617!A868),6),3)))</f>
        <v>073-903</v>
      </c>
      <c r="C868" s="979" t="s">
        <v>2063</v>
      </c>
      <c r="D868" s="979">
        <v>2</v>
      </c>
      <c r="E868" s="979">
        <v>2068</v>
      </c>
      <c r="F868" s="979" t="s">
        <v>4654</v>
      </c>
      <c r="G868" s="979" t="s">
        <v>4654</v>
      </c>
      <c r="H868" s="979">
        <v>386120</v>
      </c>
      <c r="I868" s="979">
        <v>375155</v>
      </c>
      <c r="J868" s="979">
        <v>1</v>
      </c>
      <c r="K868" s="979">
        <v>386120</v>
      </c>
      <c r="L868" s="979">
        <v>375155</v>
      </c>
      <c r="M868" s="979">
        <v>199</v>
      </c>
    </row>
    <row r="869" spans="1:13" ht="15">
      <c r="A869" s="979" t="s">
        <v>4655</v>
      </c>
      <c r="B869" s="1040" t="str">
        <f>CONCATENATE(LEFT(RIGHT(CONCATENATE("000",IFAData_TEA_1617!A869),6),3),"-",(RIGHT(RIGHT(CONCATENATE("000",IFAData_TEA_1617!A869),6),3)))</f>
        <v>073-904</v>
      </c>
      <c r="C869" s="979" t="s">
        <v>1332</v>
      </c>
      <c r="D869" s="979">
        <v>4</v>
      </c>
      <c r="E869" s="979">
        <v>2448</v>
      </c>
      <c r="F869" s="979" t="s">
        <v>4656</v>
      </c>
      <c r="G869" s="979" t="s">
        <v>4657</v>
      </c>
      <c r="H869" s="979">
        <v>100000</v>
      </c>
      <c r="I869" s="979">
        <v>95500</v>
      </c>
      <c r="J869" s="979">
        <v>1</v>
      </c>
      <c r="K869" s="979">
        <v>100000</v>
      </c>
      <c r="L869" s="979">
        <v>95500</v>
      </c>
      <c r="M869" s="979">
        <v>199</v>
      </c>
    </row>
    <row r="870" spans="1:13" ht="15">
      <c r="A870" s="979" t="s">
        <v>4655</v>
      </c>
      <c r="B870" s="1040" t="str">
        <f>CONCATENATE(LEFT(RIGHT(CONCATENATE("000",IFAData_TEA_1617!A870),6),3),"-",(RIGHT(RIGHT(CONCATENATE("000",IFAData_TEA_1617!A870),6),3)))</f>
        <v>073-904</v>
      </c>
      <c r="C870" s="979" t="s">
        <v>1332</v>
      </c>
      <c r="D870" s="979">
        <v>8</v>
      </c>
      <c r="E870" s="979">
        <v>2447</v>
      </c>
      <c r="F870" s="979" t="s">
        <v>4658</v>
      </c>
      <c r="G870" s="979" t="s">
        <v>4658</v>
      </c>
      <c r="H870" s="979">
        <v>91803</v>
      </c>
      <c r="I870" s="979">
        <v>91797</v>
      </c>
      <c r="J870" s="979">
        <v>1</v>
      </c>
      <c r="K870" s="979">
        <v>91803</v>
      </c>
      <c r="L870" s="979">
        <v>91797</v>
      </c>
      <c r="M870" s="979">
        <v>199</v>
      </c>
    </row>
    <row r="871" spans="1:13" ht="15">
      <c r="A871" s="979" t="s">
        <v>4655</v>
      </c>
      <c r="B871" s="1040" t="str">
        <f>CONCATENATE(LEFT(RIGHT(CONCATENATE("000",IFAData_TEA_1617!A871),6),3),"-",(RIGHT(RIGHT(CONCATENATE("000",IFAData_TEA_1617!A871),6),3)))</f>
        <v>073-904</v>
      </c>
      <c r="C871" s="979" t="s">
        <v>1332</v>
      </c>
      <c r="D871" s="979">
        <v>4</v>
      </c>
      <c r="E871" s="979">
        <v>2448</v>
      </c>
      <c r="F871" s="979" t="s">
        <v>4656</v>
      </c>
      <c r="G871" s="979" t="s">
        <v>4656</v>
      </c>
      <c r="H871" s="979">
        <v>100000</v>
      </c>
      <c r="I871" s="979">
        <v>0</v>
      </c>
      <c r="J871" s="979">
        <v>0</v>
      </c>
      <c r="K871" s="979">
        <v>0</v>
      </c>
      <c r="L871" s="979">
        <v>0</v>
      </c>
      <c r="M871" s="979">
        <v>199</v>
      </c>
    </row>
    <row r="872" spans="1:13" ht="15">
      <c r="A872" s="979" t="s">
        <v>3505</v>
      </c>
      <c r="B872" s="1040" t="str">
        <f>CONCATENATE(LEFT(RIGHT(CONCATENATE("000",IFAData_TEA_1617!A872),6),3),"-",(RIGHT(RIGHT(CONCATENATE("000",IFAData_TEA_1617!A872),6),3)))</f>
        <v>074-904</v>
      </c>
      <c r="C872" s="979" t="s">
        <v>2180</v>
      </c>
      <c r="D872" s="979">
        <v>5</v>
      </c>
      <c r="E872" s="979">
        <v>1765</v>
      </c>
      <c r="F872" s="979" t="s">
        <v>4659</v>
      </c>
      <c r="G872" s="979" t="s">
        <v>4659</v>
      </c>
      <c r="H872" s="979">
        <v>100000</v>
      </c>
      <c r="I872" s="979">
        <v>0</v>
      </c>
      <c r="J872" s="979">
        <v>0</v>
      </c>
      <c r="K872" s="979">
        <v>0</v>
      </c>
      <c r="L872" s="979">
        <v>0</v>
      </c>
      <c r="M872" s="979">
        <v>599</v>
      </c>
    </row>
    <row r="873" spans="1:13" ht="15">
      <c r="A873" s="979" t="s">
        <v>3505</v>
      </c>
      <c r="B873" s="1040" t="str">
        <f>CONCATENATE(LEFT(RIGHT(CONCATENATE("000",IFAData_TEA_1617!A873),6),3),"-",(RIGHT(RIGHT(CONCATENATE("000",IFAData_TEA_1617!A873),6),3)))</f>
        <v>074-904</v>
      </c>
      <c r="C873" s="979" t="s">
        <v>2180</v>
      </c>
      <c r="D873" s="979">
        <v>5</v>
      </c>
      <c r="E873" s="979">
        <v>1765</v>
      </c>
      <c r="F873" s="979" t="s">
        <v>4659</v>
      </c>
      <c r="G873" s="979" t="s">
        <v>4660</v>
      </c>
      <c r="H873" s="979">
        <v>100000</v>
      </c>
      <c r="I873" s="979">
        <v>94050</v>
      </c>
      <c r="J873" s="979">
        <v>1</v>
      </c>
      <c r="K873" s="979">
        <v>100000</v>
      </c>
      <c r="L873" s="979">
        <v>94050</v>
      </c>
      <c r="M873" s="979">
        <v>599</v>
      </c>
    </row>
    <row r="874" spans="1:13" ht="15">
      <c r="A874" s="979" t="s">
        <v>3506</v>
      </c>
      <c r="B874" s="1040" t="str">
        <f>CONCATENATE(LEFT(RIGHT(CONCATENATE("000",IFAData_TEA_1617!A874),6),3),"-",(RIGHT(RIGHT(CONCATENATE("000",IFAData_TEA_1617!A874),6),3)))</f>
        <v>074-905</v>
      </c>
      <c r="C874" s="979" t="s">
        <v>1065</v>
      </c>
      <c r="D874" s="979">
        <v>6</v>
      </c>
      <c r="E874" s="979">
        <v>1783</v>
      </c>
      <c r="F874" s="979" t="s">
        <v>4663</v>
      </c>
      <c r="G874" s="979" t="s">
        <v>4662</v>
      </c>
      <c r="H874" s="979">
        <v>79936</v>
      </c>
      <c r="I874" s="979">
        <v>67980</v>
      </c>
      <c r="J874" s="979">
        <v>1</v>
      </c>
      <c r="K874" s="979">
        <v>79936</v>
      </c>
      <c r="L874" s="979">
        <v>67980</v>
      </c>
      <c r="M874" s="979">
        <v>599</v>
      </c>
    </row>
    <row r="875" spans="1:13" ht="15">
      <c r="A875" s="979" t="s">
        <v>3506</v>
      </c>
      <c r="B875" s="1040" t="str">
        <f>CONCATENATE(LEFT(RIGHT(CONCATENATE("000",IFAData_TEA_1617!A875),6),3),"-",(RIGHT(RIGHT(CONCATENATE("000",IFAData_TEA_1617!A875),6),3)))</f>
        <v>074-905</v>
      </c>
      <c r="C875" s="979" t="s">
        <v>1065</v>
      </c>
      <c r="D875" s="979">
        <v>5</v>
      </c>
      <c r="E875" s="979">
        <v>1784</v>
      </c>
      <c r="F875" s="979" t="s">
        <v>4661</v>
      </c>
      <c r="G875" s="979" t="s">
        <v>4662</v>
      </c>
      <c r="H875" s="979">
        <v>110298</v>
      </c>
      <c r="I875" s="979">
        <v>88211</v>
      </c>
      <c r="J875" s="979">
        <v>1</v>
      </c>
      <c r="K875" s="979">
        <v>110298</v>
      </c>
      <c r="L875" s="979">
        <v>88211</v>
      </c>
      <c r="M875" s="979">
        <v>599</v>
      </c>
    </row>
    <row r="876" spans="1:13" ht="15">
      <c r="A876" s="979" t="s">
        <v>3506</v>
      </c>
      <c r="B876" s="1040" t="str">
        <f>CONCATENATE(LEFT(RIGHT(CONCATENATE("000",IFAData_TEA_1617!A876),6),3),"-",(RIGHT(RIGHT(CONCATENATE("000",IFAData_TEA_1617!A876),6),3)))</f>
        <v>074-905</v>
      </c>
      <c r="C876" s="979" t="s">
        <v>1065</v>
      </c>
      <c r="D876" s="979">
        <v>5</v>
      </c>
      <c r="E876" s="979">
        <v>1784</v>
      </c>
      <c r="F876" s="979" t="s">
        <v>4661</v>
      </c>
      <c r="G876" s="979" t="s">
        <v>4661</v>
      </c>
      <c r="H876" s="979">
        <v>110298</v>
      </c>
      <c r="I876" s="979">
        <v>0</v>
      </c>
      <c r="J876" s="979">
        <v>0</v>
      </c>
      <c r="K876" s="979">
        <v>0</v>
      </c>
      <c r="L876" s="979">
        <v>0</v>
      </c>
      <c r="M876" s="979">
        <v>599</v>
      </c>
    </row>
    <row r="877" spans="1:13" ht="15">
      <c r="A877" s="979" t="s">
        <v>3506</v>
      </c>
      <c r="B877" s="1040" t="str">
        <f>CONCATENATE(LEFT(RIGHT(CONCATENATE("000",IFAData_TEA_1617!A877),6),3),"-",(RIGHT(RIGHT(CONCATENATE("000",IFAData_TEA_1617!A877),6),3)))</f>
        <v>074-905</v>
      </c>
      <c r="C877" s="979" t="s">
        <v>1065</v>
      </c>
      <c r="D877" s="979">
        <v>6</v>
      </c>
      <c r="E877" s="979">
        <v>1783</v>
      </c>
      <c r="F877" s="979" t="s">
        <v>4663</v>
      </c>
      <c r="G877" s="979" t="s">
        <v>4663</v>
      </c>
      <c r="H877" s="979">
        <v>79936</v>
      </c>
      <c r="I877" s="979">
        <v>0</v>
      </c>
      <c r="J877" s="979">
        <v>0</v>
      </c>
      <c r="K877" s="979">
        <v>0</v>
      </c>
      <c r="L877" s="979">
        <v>0</v>
      </c>
      <c r="M877" s="979">
        <v>599</v>
      </c>
    </row>
    <row r="878" spans="1:13" ht="15">
      <c r="A878" s="979" t="s">
        <v>3507</v>
      </c>
      <c r="B878" s="1040" t="str">
        <f>CONCATENATE(LEFT(RIGHT(CONCATENATE("000",IFAData_TEA_1617!A878),6),3),"-",(RIGHT(RIGHT(CONCATENATE("000",IFAData_TEA_1617!A878),6),3)))</f>
        <v>074-907</v>
      </c>
      <c r="C878" s="979" t="s">
        <v>2</v>
      </c>
      <c r="D878" s="979">
        <v>9</v>
      </c>
      <c r="E878" s="979">
        <v>1899</v>
      </c>
      <c r="F878" s="979" t="s">
        <v>4664</v>
      </c>
      <c r="G878" s="979" t="s">
        <v>6247</v>
      </c>
      <c r="H878" s="979">
        <v>162500</v>
      </c>
      <c r="I878" s="979">
        <v>340876</v>
      </c>
      <c r="J878" s="979">
        <v>0.87459493576701142</v>
      </c>
      <c r="K878" s="979">
        <v>142121.67706213935</v>
      </c>
      <c r="L878" s="979">
        <v>142121.67706213935</v>
      </c>
      <c r="M878" s="979">
        <v>599</v>
      </c>
    </row>
    <row r="879" spans="1:13" ht="15">
      <c r="A879" s="979" t="s">
        <v>3507</v>
      </c>
      <c r="B879" s="1040" t="str">
        <f>CONCATENATE(LEFT(RIGHT(CONCATENATE("000",IFAData_TEA_1617!A879),6),3),"-",(RIGHT(RIGHT(CONCATENATE("000",IFAData_TEA_1617!A879),6),3)))</f>
        <v>074-907</v>
      </c>
      <c r="C879" s="979" t="s">
        <v>2</v>
      </c>
      <c r="D879" s="979">
        <v>9</v>
      </c>
      <c r="E879" s="979">
        <v>1899</v>
      </c>
      <c r="F879" s="979" t="s">
        <v>4664</v>
      </c>
      <c r="G879" s="979" t="s">
        <v>4664</v>
      </c>
      <c r="H879" s="979">
        <v>162500</v>
      </c>
      <c r="I879" s="979">
        <v>48877</v>
      </c>
      <c r="J879" s="979">
        <v>0.12540506423298858</v>
      </c>
      <c r="K879" s="979">
        <v>20378.322937860645</v>
      </c>
      <c r="L879" s="979">
        <v>20378.322937860645</v>
      </c>
      <c r="M879" s="979">
        <v>599</v>
      </c>
    </row>
    <row r="880" spans="1:13" ht="15">
      <c r="A880" s="979" t="s">
        <v>3508</v>
      </c>
      <c r="B880" s="1040" t="str">
        <f>CONCATENATE(LEFT(RIGHT(CONCATENATE("000",IFAData_TEA_1617!A880),6),3),"-",(RIGHT(RIGHT(CONCATENATE("000",IFAData_TEA_1617!A880),6),3)))</f>
        <v>074-912</v>
      </c>
      <c r="C880" s="979" t="s">
        <v>5</v>
      </c>
      <c r="D880" s="979">
        <v>9</v>
      </c>
      <c r="E880" s="979">
        <v>2400</v>
      </c>
      <c r="F880" s="979" t="s">
        <v>4665</v>
      </c>
      <c r="G880" s="979" t="s">
        <v>4665</v>
      </c>
      <c r="H880" s="979">
        <v>25828</v>
      </c>
      <c r="I880" s="979">
        <v>11096</v>
      </c>
      <c r="J880" s="979">
        <v>0.39425810119386012</v>
      </c>
      <c r="K880" s="979">
        <v>10182.89823763502</v>
      </c>
      <c r="L880" s="979">
        <v>10182.89823763502</v>
      </c>
      <c r="M880" s="979">
        <v>599</v>
      </c>
    </row>
    <row r="881" spans="1:13" ht="15">
      <c r="A881" s="979" t="s">
        <v>3508</v>
      </c>
      <c r="B881" s="1040" t="str">
        <f>CONCATENATE(LEFT(RIGHT(CONCATENATE("000",IFAData_TEA_1617!A881),6),3),"-",(RIGHT(RIGHT(CONCATENATE("000",IFAData_TEA_1617!A881),6),3)))</f>
        <v>074-912</v>
      </c>
      <c r="C881" s="979" t="s">
        <v>5</v>
      </c>
      <c r="D881" s="979">
        <v>9</v>
      </c>
      <c r="E881" s="979">
        <v>2400</v>
      </c>
      <c r="F881" s="979" t="s">
        <v>4665</v>
      </c>
      <c r="G881" s="979" t="s">
        <v>6457</v>
      </c>
      <c r="H881" s="979">
        <v>25828</v>
      </c>
      <c r="I881" s="979">
        <v>17048</v>
      </c>
      <c r="J881" s="979">
        <v>0.60574189880613982</v>
      </c>
      <c r="K881" s="979">
        <v>15645.101762364979</v>
      </c>
      <c r="L881" s="979">
        <v>15645.101762364979</v>
      </c>
      <c r="M881" s="979">
        <v>599</v>
      </c>
    </row>
    <row r="882" spans="1:13" ht="15">
      <c r="A882" s="979" t="s">
        <v>3509</v>
      </c>
      <c r="B882" s="1040" t="str">
        <f>CONCATENATE(LEFT(RIGHT(CONCATENATE("000",IFAData_TEA_1617!A882),6),3),"-",(RIGHT(RIGHT(CONCATENATE("000",IFAData_TEA_1617!A882),6),3)))</f>
        <v>074-917</v>
      </c>
      <c r="C882" s="979" t="s">
        <v>2026</v>
      </c>
      <c r="D882" s="979">
        <v>5</v>
      </c>
      <c r="E882" s="979">
        <v>2276</v>
      </c>
      <c r="F882" s="979" t="s">
        <v>4666</v>
      </c>
      <c r="G882" s="979" t="s">
        <v>4666</v>
      </c>
      <c r="H882" s="979">
        <v>45485</v>
      </c>
      <c r="I882" s="979">
        <v>0</v>
      </c>
      <c r="J882" s="979">
        <v>0</v>
      </c>
      <c r="K882" s="979"/>
      <c r="L882" s="979">
        <v>0</v>
      </c>
      <c r="M882" s="979">
        <v>599</v>
      </c>
    </row>
    <row r="883" spans="1:13" ht="15">
      <c r="A883" s="979" t="s">
        <v>3510</v>
      </c>
      <c r="B883" s="1040" t="str">
        <f>CONCATENATE(LEFT(RIGHT(CONCATENATE("000",IFAData_TEA_1617!A883),6),3),"-",(RIGHT(RIGHT(CONCATENATE("000",IFAData_TEA_1617!A883),6),3)))</f>
        <v>076-904</v>
      </c>
      <c r="C883" s="979" t="s">
        <v>610</v>
      </c>
      <c r="D883" s="979">
        <v>6</v>
      </c>
      <c r="E883" s="979">
        <v>2265</v>
      </c>
      <c r="F883" s="979" t="s">
        <v>4667</v>
      </c>
      <c r="G883" s="979" t="s">
        <v>4667</v>
      </c>
      <c r="H883" s="979">
        <v>42457</v>
      </c>
      <c r="I883" s="979">
        <v>41289</v>
      </c>
      <c r="J883" s="979">
        <v>1</v>
      </c>
      <c r="K883" s="979">
        <v>42457</v>
      </c>
      <c r="L883" s="979">
        <v>41289</v>
      </c>
      <c r="M883" s="979">
        <v>599</v>
      </c>
    </row>
    <row r="884" spans="1:13" ht="15">
      <c r="A884" s="979" t="s">
        <v>3511</v>
      </c>
      <c r="B884" s="1040" t="str">
        <f>CONCATENATE(LEFT(RIGHT(CONCATENATE("000",IFAData_TEA_1617!A884),6),3),"-",(RIGHT(RIGHT(CONCATENATE("000",IFAData_TEA_1617!A884),6),3)))</f>
        <v>079-906</v>
      </c>
      <c r="C884" s="979" t="s">
        <v>894</v>
      </c>
      <c r="D884" s="979">
        <v>9</v>
      </c>
      <c r="E884" s="979">
        <v>2131</v>
      </c>
      <c r="F884" s="979" t="s">
        <v>4671</v>
      </c>
      <c r="G884" s="979" t="s">
        <v>6248</v>
      </c>
      <c r="H884" s="979">
        <v>338364</v>
      </c>
      <c r="I884" s="979">
        <v>217220</v>
      </c>
      <c r="J884" s="979">
        <v>0.45408460832537223</v>
      </c>
      <c r="K884" s="979">
        <v>153645.88441140624</v>
      </c>
      <c r="L884" s="979">
        <v>153645.88441140624</v>
      </c>
      <c r="M884" s="979">
        <v>599</v>
      </c>
    </row>
    <row r="885" spans="1:13" ht="15">
      <c r="A885" s="979" t="s">
        <v>3511</v>
      </c>
      <c r="B885" s="1040" t="str">
        <f>CONCATENATE(LEFT(RIGHT(CONCATENATE("000",IFAData_TEA_1617!A885),6),3),"-",(RIGHT(RIGHT(CONCATENATE("000",IFAData_TEA_1617!A885),6),3)))</f>
        <v>079-906</v>
      </c>
      <c r="C885" s="979" t="s">
        <v>894</v>
      </c>
      <c r="D885" s="979">
        <v>10</v>
      </c>
      <c r="E885" s="979">
        <v>2133</v>
      </c>
      <c r="F885" s="979" t="s">
        <v>4672</v>
      </c>
      <c r="G885" s="979" t="s">
        <v>6248</v>
      </c>
      <c r="H885" s="979">
        <v>639148</v>
      </c>
      <c r="I885" s="979">
        <v>54443</v>
      </c>
      <c r="J885" s="979">
        <v>3.8042152910686224E-2</v>
      </c>
      <c r="K885" s="979">
        <v>24314.565948559277</v>
      </c>
      <c r="L885" s="979">
        <v>24314.565948559277</v>
      </c>
      <c r="M885" s="979">
        <v>599</v>
      </c>
    </row>
    <row r="886" spans="1:13" ht="15">
      <c r="A886" s="979" t="s">
        <v>3511</v>
      </c>
      <c r="B886" s="1040" t="str">
        <f>CONCATENATE(LEFT(RIGHT(CONCATENATE("000",IFAData_TEA_1617!A886),6),3),"-",(RIGHT(RIGHT(CONCATENATE("000",IFAData_TEA_1617!A886),6),3)))</f>
        <v>079-906</v>
      </c>
      <c r="C886" s="979" t="s">
        <v>894</v>
      </c>
      <c r="D886" s="979">
        <v>3</v>
      </c>
      <c r="E886" s="979">
        <v>2132</v>
      </c>
      <c r="F886" s="979" t="s">
        <v>4668</v>
      </c>
      <c r="G886" s="979" t="s">
        <v>6249</v>
      </c>
      <c r="H886" s="979">
        <v>559413</v>
      </c>
      <c r="I886" s="979">
        <v>703525</v>
      </c>
      <c r="J886" s="979">
        <v>0.82251013925472827</v>
      </c>
      <c r="K886" s="979">
        <v>460122.86453090532</v>
      </c>
      <c r="L886" s="979">
        <v>460122.86453090532</v>
      </c>
      <c r="M886" s="979">
        <v>599</v>
      </c>
    </row>
    <row r="887" spans="1:13" ht="15">
      <c r="A887" s="979" t="s">
        <v>3511</v>
      </c>
      <c r="B887" s="1040" t="str">
        <f>CONCATENATE(LEFT(RIGHT(CONCATENATE("000",IFAData_TEA_1617!A887),6),3),"-",(RIGHT(RIGHT(CONCATENATE("000",IFAData_TEA_1617!A887),6),3)))</f>
        <v>079-906</v>
      </c>
      <c r="C887" s="979" t="s">
        <v>894</v>
      </c>
      <c r="D887" s="979">
        <v>3</v>
      </c>
      <c r="E887" s="979">
        <v>2132</v>
      </c>
      <c r="F887" s="979" t="s">
        <v>4668</v>
      </c>
      <c r="G887" s="979" t="s">
        <v>4669</v>
      </c>
      <c r="H887" s="979">
        <v>559413</v>
      </c>
      <c r="I887" s="979">
        <v>0</v>
      </c>
      <c r="J887" s="979">
        <v>0</v>
      </c>
      <c r="K887" s="979">
        <v>0</v>
      </c>
      <c r="L887" s="979">
        <v>0</v>
      </c>
      <c r="M887" s="979">
        <v>599</v>
      </c>
    </row>
    <row r="888" spans="1:13" ht="15">
      <c r="A888" s="979" t="s">
        <v>3511</v>
      </c>
      <c r="B888" s="1040" t="str">
        <f>CONCATENATE(LEFT(RIGHT(CONCATENATE("000",IFAData_TEA_1617!A888),6),3),"-",(RIGHT(RIGHT(CONCATENATE("000",IFAData_TEA_1617!A888),6),3)))</f>
        <v>079-906</v>
      </c>
      <c r="C888" s="979" t="s">
        <v>894</v>
      </c>
      <c r="D888" s="979">
        <v>3</v>
      </c>
      <c r="E888" s="979">
        <v>2132</v>
      </c>
      <c r="F888" s="979" t="s">
        <v>4668</v>
      </c>
      <c r="G888" s="979" t="s">
        <v>4670</v>
      </c>
      <c r="H888" s="979">
        <v>559413</v>
      </c>
      <c r="I888" s="979">
        <v>151814</v>
      </c>
      <c r="J888" s="979">
        <v>0.17748986074527176</v>
      </c>
      <c r="K888" s="979">
        <v>99290.135469094705</v>
      </c>
      <c r="L888" s="979">
        <v>99290.135469094705</v>
      </c>
      <c r="M888" s="979">
        <v>599</v>
      </c>
    </row>
    <row r="889" spans="1:13" ht="15">
      <c r="A889" s="979" t="s">
        <v>3511</v>
      </c>
      <c r="B889" s="1040" t="str">
        <f>CONCATENATE(LEFT(RIGHT(CONCATENATE("000",IFAData_TEA_1617!A889),6),3),"-",(RIGHT(RIGHT(CONCATENATE("000",IFAData_TEA_1617!A889),6),3)))</f>
        <v>079-906</v>
      </c>
      <c r="C889" s="979" t="s">
        <v>894</v>
      </c>
      <c r="D889" s="979">
        <v>10</v>
      </c>
      <c r="E889" s="979">
        <v>2133</v>
      </c>
      <c r="F889" s="979" t="s">
        <v>4672</v>
      </c>
      <c r="G889" s="979" t="s">
        <v>4672</v>
      </c>
      <c r="H889" s="979">
        <v>639148</v>
      </c>
      <c r="I889" s="979">
        <v>1376680</v>
      </c>
      <c r="J889" s="979">
        <v>0.96195784708931376</v>
      </c>
      <c r="K889" s="979">
        <v>614833.43405144068</v>
      </c>
      <c r="L889" s="979">
        <v>614833.43405144068</v>
      </c>
      <c r="M889" s="979">
        <v>599</v>
      </c>
    </row>
    <row r="890" spans="1:13" ht="15">
      <c r="A890" s="979" t="s">
        <v>3511</v>
      </c>
      <c r="B890" s="1040" t="str">
        <f>CONCATENATE(LEFT(RIGHT(CONCATENATE("000",IFAData_TEA_1617!A890),6),3),"-",(RIGHT(RIGHT(CONCATENATE("000",IFAData_TEA_1617!A890),6),3)))</f>
        <v>079-906</v>
      </c>
      <c r="C890" s="979" t="s">
        <v>894</v>
      </c>
      <c r="D890" s="979">
        <v>9</v>
      </c>
      <c r="E890" s="979">
        <v>2131</v>
      </c>
      <c r="F890" s="979" t="s">
        <v>4671</v>
      </c>
      <c r="G890" s="979" t="s">
        <v>4671</v>
      </c>
      <c r="H890" s="979">
        <v>338364</v>
      </c>
      <c r="I890" s="979">
        <v>261149</v>
      </c>
      <c r="J890" s="979">
        <v>0.54591539167462777</v>
      </c>
      <c r="K890" s="979">
        <v>184718.11558859376</v>
      </c>
      <c r="L890" s="979">
        <v>184718.11558859376</v>
      </c>
      <c r="M890" s="979">
        <v>599</v>
      </c>
    </row>
    <row r="891" spans="1:13" ht="15">
      <c r="A891" s="979" t="s">
        <v>3511</v>
      </c>
      <c r="B891" s="1040" t="str">
        <f>CONCATENATE(LEFT(RIGHT(CONCATENATE("000",IFAData_TEA_1617!A891),6),3),"-",(RIGHT(RIGHT(CONCATENATE("000",IFAData_TEA_1617!A891),6),3)))</f>
        <v>079-906</v>
      </c>
      <c r="C891" s="979" t="s">
        <v>894</v>
      </c>
      <c r="D891" s="979">
        <v>3</v>
      </c>
      <c r="E891" s="979">
        <v>2132</v>
      </c>
      <c r="F891" s="979" t="s">
        <v>4668</v>
      </c>
      <c r="G891" s="979" t="s">
        <v>4668</v>
      </c>
      <c r="H891" s="979">
        <v>559413</v>
      </c>
      <c r="I891" s="979">
        <v>0</v>
      </c>
      <c r="J891" s="979">
        <v>0</v>
      </c>
      <c r="K891" s="979">
        <v>0</v>
      </c>
      <c r="L891" s="979">
        <v>0</v>
      </c>
      <c r="M891" s="979">
        <v>599</v>
      </c>
    </row>
    <row r="892" spans="1:13" ht="15">
      <c r="A892" s="979" t="s">
        <v>3512</v>
      </c>
      <c r="B892" s="1040" t="str">
        <f>CONCATENATE(LEFT(RIGHT(CONCATENATE("000",IFAData_TEA_1617!A892),6),3),"-",(RIGHT(RIGHT(CONCATENATE("000",IFAData_TEA_1617!A892),6),3)))</f>
        <v>079-907</v>
      </c>
      <c r="C892" s="979" t="s">
        <v>112</v>
      </c>
      <c r="D892" s="979">
        <v>2</v>
      </c>
      <c r="E892" s="979">
        <v>1821</v>
      </c>
      <c r="F892" s="979" t="s">
        <v>4677</v>
      </c>
      <c r="G892" s="979" t="s">
        <v>4679</v>
      </c>
      <c r="H892" s="979">
        <v>2155774</v>
      </c>
      <c r="I892" s="979">
        <v>32220</v>
      </c>
      <c r="J892" s="979">
        <v>1.5234467533609684E-2</v>
      </c>
      <c r="K892" s="979">
        <v>32842.069012799882</v>
      </c>
      <c r="L892" s="979">
        <v>32220</v>
      </c>
      <c r="M892" s="979">
        <v>599</v>
      </c>
    </row>
    <row r="893" spans="1:13" ht="15">
      <c r="A893" s="979" t="s">
        <v>3512</v>
      </c>
      <c r="B893" s="1040" t="str">
        <f>CONCATENATE(LEFT(RIGHT(CONCATENATE("000",IFAData_TEA_1617!A893),6),3),"-",(RIGHT(RIGHT(CONCATENATE("000",IFAData_TEA_1617!A893),6),3)))</f>
        <v>079-907</v>
      </c>
      <c r="C893" s="979" t="s">
        <v>112</v>
      </c>
      <c r="D893" s="979">
        <v>9</v>
      </c>
      <c r="E893" s="979">
        <v>1823</v>
      </c>
      <c r="F893" s="979" t="s">
        <v>4680</v>
      </c>
      <c r="G893" s="979" t="s">
        <v>4680</v>
      </c>
      <c r="H893" s="979">
        <v>7005446</v>
      </c>
      <c r="I893" s="979">
        <v>0</v>
      </c>
      <c r="J893" s="979">
        <v>0</v>
      </c>
      <c r="K893" s="979">
        <v>0</v>
      </c>
      <c r="L893" s="979">
        <v>0</v>
      </c>
      <c r="M893" s="979">
        <v>599</v>
      </c>
    </row>
    <row r="894" spans="1:13" ht="15">
      <c r="A894" s="979" t="s">
        <v>3512</v>
      </c>
      <c r="B894" s="1040" t="str">
        <f>CONCATENATE(LEFT(RIGHT(CONCATENATE("000",IFAData_TEA_1617!A894),6),3),"-",(RIGHT(RIGHT(CONCATENATE("000",IFAData_TEA_1617!A894),6),3)))</f>
        <v>079-907</v>
      </c>
      <c r="C894" s="979" t="s">
        <v>112</v>
      </c>
      <c r="D894" s="979">
        <v>2</v>
      </c>
      <c r="E894" s="979">
        <v>1821</v>
      </c>
      <c r="F894" s="979" t="s">
        <v>4677</v>
      </c>
      <c r="G894" s="979" t="s">
        <v>4677</v>
      </c>
      <c r="H894" s="979">
        <v>2155774</v>
      </c>
      <c r="I894" s="979">
        <v>0</v>
      </c>
      <c r="J894" s="979">
        <v>0</v>
      </c>
      <c r="K894" s="979">
        <v>0</v>
      </c>
      <c r="L894" s="979">
        <v>0</v>
      </c>
      <c r="M894" s="979">
        <v>599</v>
      </c>
    </row>
    <row r="895" spans="1:13" ht="15">
      <c r="A895" s="979" t="s">
        <v>3512</v>
      </c>
      <c r="B895" s="1040" t="str">
        <f>CONCATENATE(LEFT(RIGHT(CONCATENATE("000",IFAData_TEA_1617!A895),6),3),"-",(RIGHT(RIGHT(CONCATENATE("000",IFAData_TEA_1617!A895),6),3)))</f>
        <v>079-907</v>
      </c>
      <c r="C895" s="979" t="s">
        <v>112</v>
      </c>
      <c r="D895" s="979">
        <v>10</v>
      </c>
      <c r="E895" s="979">
        <v>1820</v>
      </c>
      <c r="F895" s="979" t="s">
        <v>4675</v>
      </c>
      <c r="G895" s="979" t="s">
        <v>4675</v>
      </c>
      <c r="H895" s="979">
        <v>653006</v>
      </c>
      <c r="I895" s="979">
        <v>653006</v>
      </c>
      <c r="J895" s="979">
        <v>1</v>
      </c>
      <c r="K895" s="979">
        <v>653006</v>
      </c>
      <c r="L895" s="979">
        <v>653006</v>
      </c>
      <c r="M895" s="979">
        <v>599</v>
      </c>
    </row>
    <row r="896" spans="1:13" ht="15">
      <c r="A896" s="979" t="s">
        <v>3512</v>
      </c>
      <c r="B896" s="1040" t="str">
        <f>CONCATENATE(LEFT(RIGHT(CONCATENATE("000",IFAData_TEA_1617!A896),6),3),"-",(RIGHT(RIGHT(CONCATENATE("000",IFAData_TEA_1617!A896),6),3)))</f>
        <v>079-907</v>
      </c>
      <c r="C896" s="979" t="s">
        <v>112</v>
      </c>
      <c r="D896" s="979">
        <v>1</v>
      </c>
      <c r="E896" s="979">
        <v>1822</v>
      </c>
      <c r="F896" s="979" t="s">
        <v>4673</v>
      </c>
      <c r="G896" s="979" t="s">
        <v>4675</v>
      </c>
      <c r="H896" s="979">
        <v>4738980</v>
      </c>
      <c r="I896" s="979">
        <v>790038</v>
      </c>
      <c r="J896" s="979">
        <v>0.17055988663278518</v>
      </c>
      <c r="K896" s="979">
        <v>808279.8915550363</v>
      </c>
      <c r="L896" s="979">
        <v>790038</v>
      </c>
      <c r="M896" s="979">
        <v>599</v>
      </c>
    </row>
    <row r="897" spans="1:13" ht="15">
      <c r="A897" s="979" t="s">
        <v>3512</v>
      </c>
      <c r="B897" s="1040" t="str">
        <f>CONCATENATE(LEFT(RIGHT(CONCATENATE("000",IFAData_TEA_1617!A897),6),3),"-",(RIGHT(RIGHT(CONCATENATE("000",IFAData_TEA_1617!A897),6),3)))</f>
        <v>079-907</v>
      </c>
      <c r="C897" s="979" t="s">
        <v>112</v>
      </c>
      <c r="D897" s="979">
        <v>1</v>
      </c>
      <c r="E897" s="979">
        <v>1822</v>
      </c>
      <c r="F897" s="979" t="s">
        <v>4673</v>
      </c>
      <c r="G897" s="979" t="s">
        <v>4676</v>
      </c>
      <c r="H897" s="979">
        <v>4738980</v>
      </c>
      <c r="I897" s="979">
        <v>51302</v>
      </c>
      <c r="J897" s="979">
        <v>1.1075496753365211E-2</v>
      </c>
      <c r="K897" s="979">
        <v>52486.557604262671</v>
      </c>
      <c r="L897" s="979">
        <v>51302</v>
      </c>
      <c r="M897" s="979">
        <v>599</v>
      </c>
    </row>
    <row r="898" spans="1:13" ht="15">
      <c r="A898" s="979" t="s">
        <v>3512</v>
      </c>
      <c r="B898" s="1040" t="str">
        <f>CONCATENATE(LEFT(RIGHT(CONCATENATE("000",IFAData_TEA_1617!A898),6),3),"-",(RIGHT(RIGHT(CONCATENATE("000",IFAData_TEA_1617!A898),6),3)))</f>
        <v>079-907</v>
      </c>
      <c r="C898" s="979" t="s">
        <v>112</v>
      </c>
      <c r="D898" s="979">
        <v>10</v>
      </c>
      <c r="E898" s="979">
        <v>1824</v>
      </c>
      <c r="F898" s="979" t="s">
        <v>4681</v>
      </c>
      <c r="G898" s="979" t="s">
        <v>4681</v>
      </c>
      <c r="H898" s="979">
        <v>8781990</v>
      </c>
      <c r="I898" s="979">
        <v>13956452</v>
      </c>
      <c r="J898" s="979">
        <v>1</v>
      </c>
      <c r="K898" s="979">
        <v>8781990</v>
      </c>
      <c r="L898" s="979">
        <v>8781990</v>
      </c>
      <c r="M898" s="979">
        <v>599</v>
      </c>
    </row>
    <row r="899" spans="1:13" ht="15">
      <c r="A899" s="979" t="s">
        <v>3512</v>
      </c>
      <c r="B899" s="1040" t="str">
        <f>CONCATENATE(LEFT(RIGHT(CONCATENATE("000",IFAData_TEA_1617!A899),6),3),"-",(RIGHT(RIGHT(CONCATENATE("000",IFAData_TEA_1617!A899),6),3)))</f>
        <v>079-907</v>
      </c>
      <c r="C899" s="979" t="s">
        <v>112</v>
      </c>
      <c r="D899" s="979">
        <v>2</v>
      </c>
      <c r="E899" s="979">
        <v>1821</v>
      </c>
      <c r="F899" s="979" t="s">
        <v>4677</v>
      </c>
      <c r="G899" s="979" t="s">
        <v>4678</v>
      </c>
      <c r="H899" s="979">
        <v>2155774</v>
      </c>
      <c r="I899" s="979">
        <v>0</v>
      </c>
      <c r="J899" s="979">
        <v>0</v>
      </c>
      <c r="K899" s="979">
        <v>0</v>
      </c>
      <c r="L899" s="979">
        <v>0</v>
      </c>
      <c r="M899" s="979">
        <v>599</v>
      </c>
    </row>
    <row r="900" spans="1:13" ht="15">
      <c r="A900" s="979" t="s">
        <v>3512</v>
      </c>
      <c r="B900" s="1040" t="str">
        <f>CONCATENATE(LEFT(RIGHT(CONCATENATE("000",IFAData_TEA_1617!A900),6),3),"-",(RIGHT(RIGHT(CONCATENATE("000",IFAData_TEA_1617!A900),6),3)))</f>
        <v>079-907</v>
      </c>
      <c r="C900" s="979" t="s">
        <v>112</v>
      </c>
      <c r="D900" s="979">
        <v>1</v>
      </c>
      <c r="E900" s="979">
        <v>1822</v>
      </c>
      <c r="F900" s="979" t="s">
        <v>4673</v>
      </c>
      <c r="G900" s="979" t="s">
        <v>4674</v>
      </c>
      <c r="H900" s="979">
        <v>4738980</v>
      </c>
      <c r="I900" s="979">
        <v>3790687</v>
      </c>
      <c r="J900" s="979">
        <v>0.81836461661384963</v>
      </c>
      <c r="K900" s="979">
        <v>3878213.550840701</v>
      </c>
      <c r="L900" s="979">
        <v>3790687</v>
      </c>
      <c r="M900" s="979">
        <v>599</v>
      </c>
    </row>
    <row r="901" spans="1:13" ht="15">
      <c r="A901" s="979" t="s">
        <v>3512</v>
      </c>
      <c r="B901" s="1040" t="str">
        <f>CONCATENATE(LEFT(RIGHT(CONCATENATE("000",IFAData_TEA_1617!A901),6),3),"-",(RIGHT(RIGHT(CONCATENATE("000",IFAData_TEA_1617!A901),6),3)))</f>
        <v>079-907</v>
      </c>
      <c r="C901" s="979" t="s">
        <v>112</v>
      </c>
      <c r="D901" s="979">
        <v>9</v>
      </c>
      <c r="E901" s="979">
        <v>1823</v>
      </c>
      <c r="F901" s="979" t="s">
        <v>4680</v>
      </c>
      <c r="G901" s="979" t="s">
        <v>6458</v>
      </c>
      <c r="H901" s="979">
        <v>7005446</v>
      </c>
      <c r="I901" s="979">
        <v>5110970</v>
      </c>
      <c r="J901" s="979">
        <v>1</v>
      </c>
      <c r="K901" s="979">
        <v>7005446</v>
      </c>
      <c r="L901" s="979">
        <v>5110970</v>
      </c>
      <c r="M901" s="979">
        <v>599</v>
      </c>
    </row>
    <row r="902" spans="1:13" ht="15">
      <c r="A902" s="979" t="s">
        <v>3512</v>
      </c>
      <c r="B902" s="1040" t="str">
        <f>CONCATENATE(LEFT(RIGHT(CONCATENATE("000",IFAData_TEA_1617!A902),6),3),"-",(RIGHT(RIGHT(CONCATENATE("000",IFAData_TEA_1617!A902),6),3)))</f>
        <v>079-907</v>
      </c>
      <c r="C902" s="979" t="s">
        <v>112</v>
      </c>
      <c r="D902" s="979">
        <v>2</v>
      </c>
      <c r="E902" s="979">
        <v>1821</v>
      </c>
      <c r="F902" s="979" t="s">
        <v>4677</v>
      </c>
      <c r="G902" s="979" t="s">
        <v>4676</v>
      </c>
      <c r="H902" s="979">
        <v>2155774</v>
      </c>
      <c r="I902" s="979">
        <v>57016</v>
      </c>
      <c r="J902" s="979">
        <v>2.6958671660344189E-2</v>
      </c>
      <c r="K902" s="979">
        <v>58116.803439906835</v>
      </c>
      <c r="L902" s="979">
        <v>57016</v>
      </c>
      <c r="M902" s="979">
        <v>599</v>
      </c>
    </row>
    <row r="903" spans="1:13" ht="15">
      <c r="A903" s="979" t="s">
        <v>3512</v>
      </c>
      <c r="B903" s="1040" t="str">
        <f>CONCATENATE(LEFT(RIGHT(CONCATENATE("000",IFAData_TEA_1617!A903),6),3),"-",(RIGHT(RIGHT(CONCATENATE("000",IFAData_TEA_1617!A903),6),3)))</f>
        <v>079-907</v>
      </c>
      <c r="C903" s="979" t="s">
        <v>112</v>
      </c>
      <c r="D903" s="979">
        <v>1</v>
      </c>
      <c r="E903" s="979">
        <v>1822</v>
      </c>
      <c r="F903" s="979" t="s">
        <v>4673</v>
      </c>
      <c r="G903" s="979" t="s">
        <v>4673</v>
      </c>
      <c r="H903" s="979">
        <v>4738980</v>
      </c>
      <c r="I903" s="979">
        <v>0</v>
      </c>
      <c r="J903" s="979">
        <v>0</v>
      </c>
      <c r="K903" s="979">
        <v>0</v>
      </c>
      <c r="L903" s="979">
        <v>0</v>
      </c>
      <c r="M903" s="979">
        <v>599</v>
      </c>
    </row>
    <row r="904" spans="1:13" ht="15">
      <c r="A904" s="979" t="s">
        <v>3512</v>
      </c>
      <c r="B904" s="1040" t="str">
        <f>CONCATENATE(LEFT(RIGHT(CONCATENATE("000",IFAData_TEA_1617!A904),6),3),"-",(RIGHT(RIGHT(CONCATENATE("000",IFAData_TEA_1617!A904),6),3)))</f>
        <v>079-907</v>
      </c>
      <c r="C904" s="979" t="s">
        <v>112</v>
      </c>
      <c r="D904" s="979">
        <v>2</v>
      </c>
      <c r="E904" s="979">
        <v>1821</v>
      </c>
      <c r="F904" s="979" t="s">
        <v>4677</v>
      </c>
      <c r="G904" s="979" t="s">
        <v>4674</v>
      </c>
      <c r="H904" s="979">
        <v>2155774</v>
      </c>
      <c r="I904" s="979">
        <v>2025705</v>
      </c>
      <c r="J904" s="979">
        <v>0.95780686080604616</v>
      </c>
      <c r="K904" s="979">
        <v>2064815.1275472934</v>
      </c>
      <c r="L904" s="979">
        <v>2025705</v>
      </c>
      <c r="M904" s="979">
        <v>599</v>
      </c>
    </row>
    <row r="905" spans="1:13" ht="15">
      <c r="A905" s="979" t="s">
        <v>3513</v>
      </c>
      <c r="B905" s="1040" t="str">
        <f>CONCATENATE(LEFT(RIGHT(CONCATENATE("000",IFAData_TEA_1617!A905),6),3),"-",(RIGHT(RIGHT(CONCATENATE("000",IFAData_TEA_1617!A905),6),3)))</f>
        <v>082-902</v>
      </c>
      <c r="C905" s="979" t="s">
        <v>2179</v>
      </c>
      <c r="D905" s="979">
        <v>5</v>
      </c>
      <c r="E905" s="979">
        <v>1764</v>
      </c>
      <c r="F905" s="979" t="s">
        <v>4682</v>
      </c>
      <c r="G905" s="979" t="s">
        <v>4682</v>
      </c>
      <c r="H905" s="979">
        <v>192327</v>
      </c>
      <c r="I905" s="979">
        <v>0</v>
      </c>
      <c r="J905" s="979">
        <v>0</v>
      </c>
      <c r="K905" s="979">
        <v>0</v>
      </c>
      <c r="L905" s="979">
        <v>0</v>
      </c>
      <c r="M905" s="979">
        <v>599</v>
      </c>
    </row>
    <row r="906" spans="1:13" ht="15">
      <c r="A906" s="979" t="s">
        <v>3513</v>
      </c>
      <c r="B906" s="1040" t="str">
        <f>CONCATENATE(LEFT(RIGHT(CONCATENATE("000",IFAData_TEA_1617!A906),6),3),"-",(RIGHT(RIGHT(CONCATENATE("000",IFAData_TEA_1617!A906),6),3)))</f>
        <v>082-902</v>
      </c>
      <c r="C906" s="979" t="s">
        <v>2179</v>
      </c>
      <c r="D906" s="979">
        <v>5</v>
      </c>
      <c r="E906" s="979">
        <v>1764</v>
      </c>
      <c r="F906" s="979" t="s">
        <v>4682</v>
      </c>
      <c r="G906" s="979" t="s">
        <v>4684</v>
      </c>
      <c r="H906" s="979">
        <v>192327</v>
      </c>
      <c r="I906" s="979">
        <v>0</v>
      </c>
      <c r="J906" s="979">
        <v>0</v>
      </c>
      <c r="K906" s="979">
        <v>0</v>
      </c>
      <c r="L906" s="979">
        <v>0</v>
      </c>
      <c r="M906" s="979">
        <v>599</v>
      </c>
    </row>
    <row r="907" spans="1:13" ht="15">
      <c r="A907" s="979" t="s">
        <v>3513</v>
      </c>
      <c r="B907" s="1040" t="str">
        <f>CONCATENATE(LEFT(RIGHT(CONCATENATE("000",IFAData_TEA_1617!A907),6),3),"-",(RIGHT(RIGHT(CONCATENATE("000",IFAData_TEA_1617!A907),6),3)))</f>
        <v>082-902</v>
      </c>
      <c r="C907" s="979" t="s">
        <v>2179</v>
      </c>
      <c r="D907" s="979">
        <v>9</v>
      </c>
      <c r="E907" s="979">
        <v>1763</v>
      </c>
      <c r="F907" s="979" t="s">
        <v>4685</v>
      </c>
      <c r="G907" s="979" t="s">
        <v>4685</v>
      </c>
      <c r="H907" s="979">
        <v>183808</v>
      </c>
      <c r="I907" s="979">
        <v>194098</v>
      </c>
      <c r="J907" s="979">
        <v>1</v>
      </c>
      <c r="K907" s="979">
        <v>183808</v>
      </c>
      <c r="L907" s="979">
        <v>183808</v>
      </c>
      <c r="M907" s="979">
        <v>599</v>
      </c>
    </row>
    <row r="908" spans="1:13" ht="15">
      <c r="A908" s="979" t="s">
        <v>3513</v>
      </c>
      <c r="B908" s="1040" t="str">
        <f>CONCATENATE(LEFT(RIGHT(CONCATENATE("000",IFAData_TEA_1617!A908),6),3),"-",(RIGHT(RIGHT(CONCATENATE("000",IFAData_TEA_1617!A908),6),3)))</f>
        <v>082-902</v>
      </c>
      <c r="C908" s="979" t="s">
        <v>2179</v>
      </c>
      <c r="D908" s="979">
        <v>5</v>
      </c>
      <c r="E908" s="979">
        <v>1764</v>
      </c>
      <c r="F908" s="979" t="s">
        <v>4682</v>
      </c>
      <c r="G908" s="979" t="s">
        <v>4683</v>
      </c>
      <c r="H908" s="979">
        <v>192327</v>
      </c>
      <c r="I908" s="979">
        <v>191840</v>
      </c>
      <c r="J908" s="979">
        <v>1</v>
      </c>
      <c r="K908" s="979">
        <v>192327</v>
      </c>
      <c r="L908" s="979">
        <v>191840</v>
      </c>
      <c r="M908" s="979">
        <v>599</v>
      </c>
    </row>
    <row r="909" spans="1:13" ht="15">
      <c r="A909" s="979" t="s">
        <v>3514</v>
      </c>
      <c r="B909" s="1040" t="str">
        <f>CONCATENATE(LEFT(RIGHT(CONCATENATE("000",IFAData_TEA_1617!A909),6),3),"-",(RIGHT(RIGHT(CONCATENATE("000",IFAData_TEA_1617!A909),6),3)))</f>
        <v>082-903</v>
      </c>
      <c r="C909" s="979" t="s">
        <v>2592</v>
      </c>
      <c r="D909" s="979">
        <v>6</v>
      </c>
      <c r="E909" s="979">
        <v>2182</v>
      </c>
      <c r="F909" s="979" t="s">
        <v>4686</v>
      </c>
      <c r="G909" s="979" t="s">
        <v>4688</v>
      </c>
      <c r="H909" s="979">
        <v>496016</v>
      </c>
      <c r="I909" s="979">
        <v>304300</v>
      </c>
      <c r="J909" s="979">
        <v>0.52217753006424683</v>
      </c>
      <c r="K909" s="979">
        <v>259008.40975234745</v>
      </c>
      <c r="L909" s="979">
        <v>259008.40975234745</v>
      </c>
      <c r="M909" s="979">
        <v>599</v>
      </c>
    </row>
    <row r="910" spans="1:13" ht="15">
      <c r="A910" s="979" t="s">
        <v>3514</v>
      </c>
      <c r="B910" s="1040" t="str">
        <f>CONCATENATE(LEFT(RIGHT(CONCATENATE("000",IFAData_TEA_1617!A910),6),3),"-",(RIGHT(RIGHT(CONCATENATE("000",IFAData_TEA_1617!A910),6),3)))</f>
        <v>082-903</v>
      </c>
      <c r="C910" s="979" t="s">
        <v>2592</v>
      </c>
      <c r="D910" s="979">
        <v>6</v>
      </c>
      <c r="E910" s="979">
        <v>2182</v>
      </c>
      <c r="F910" s="979" t="s">
        <v>4686</v>
      </c>
      <c r="G910" s="979" t="s">
        <v>4687</v>
      </c>
      <c r="H910" s="979">
        <v>496016</v>
      </c>
      <c r="I910" s="979">
        <v>170453</v>
      </c>
      <c r="J910" s="979">
        <v>0.29249663664817965</v>
      </c>
      <c r="K910" s="979">
        <v>145083.01172368348</v>
      </c>
      <c r="L910" s="979">
        <v>145083.01172368348</v>
      </c>
      <c r="M910" s="979">
        <v>599</v>
      </c>
    </row>
    <row r="911" spans="1:13" ht="15">
      <c r="A911" s="979" t="s">
        <v>3514</v>
      </c>
      <c r="B911" s="1040" t="str">
        <f>CONCATENATE(LEFT(RIGHT(CONCATENATE("000",IFAData_TEA_1617!A911),6),3),"-",(RIGHT(RIGHT(CONCATENATE("000",IFAData_TEA_1617!A911),6),3)))</f>
        <v>082-903</v>
      </c>
      <c r="C911" s="979" t="s">
        <v>2592</v>
      </c>
      <c r="D911" s="979">
        <v>6</v>
      </c>
      <c r="E911" s="979">
        <v>2182</v>
      </c>
      <c r="F911" s="979" t="s">
        <v>4686</v>
      </c>
      <c r="G911" s="979" t="s">
        <v>4686</v>
      </c>
      <c r="H911" s="979">
        <v>496016</v>
      </c>
      <c r="I911" s="979">
        <v>0</v>
      </c>
      <c r="J911" s="979">
        <v>0</v>
      </c>
      <c r="K911" s="979">
        <v>0</v>
      </c>
      <c r="L911" s="979">
        <v>0</v>
      </c>
      <c r="M911" s="979">
        <v>599</v>
      </c>
    </row>
    <row r="912" spans="1:13" ht="15">
      <c r="A912" s="979" t="s">
        <v>3514</v>
      </c>
      <c r="B912" s="1040" t="str">
        <f>CONCATENATE(LEFT(RIGHT(CONCATENATE("000",IFAData_TEA_1617!A912),6),3),"-",(RIGHT(RIGHT(CONCATENATE("000",IFAData_TEA_1617!A912),6),3)))</f>
        <v>082-903</v>
      </c>
      <c r="C912" s="979" t="s">
        <v>2592</v>
      </c>
      <c r="D912" s="979">
        <v>9</v>
      </c>
      <c r="E912" s="979">
        <v>2181</v>
      </c>
      <c r="F912" s="979" t="s">
        <v>4689</v>
      </c>
      <c r="G912" s="979" t="s">
        <v>4689</v>
      </c>
      <c r="H912" s="979">
        <v>285496</v>
      </c>
      <c r="I912" s="979">
        <v>553392</v>
      </c>
      <c r="J912" s="979">
        <v>1</v>
      </c>
      <c r="K912" s="979">
        <v>285496</v>
      </c>
      <c r="L912" s="979">
        <v>285496</v>
      </c>
      <c r="M912" s="979">
        <v>599</v>
      </c>
    </row>
    <row r="913" spans="1:13" ht="15">
      <c r="A913" s="979" t="s">
        <v>3514</v>
      </c>
      <c r="B913" s="1040" t="str">
        <f>CONCATENATE(LEFT(RIGHT(CONCATENATE("000",IFAData_TEA_1617!A913),6),3),"-",(RIGHT(RIGHT(CONCATENATE("000",IFAData_TEA_1617!A913),6),3)))</f>
        <v>082-903</v>
      </c>
      <c r="C913" s="979" t="s">
        <v>2592</v>
      </c>
      <c r="D913" s="979">
        <v>6</v>
      </c>
      <c r="E913" s="979">
        <v>2182</v>
      </c>
      <c r="F913" s="979" t="s">
        <v>4686</v>
      </c>
      <c r="G913" s="979" t="s">
        <v>6459</v>
      </c>
      <c r="H913" s="979">
        <v>496016</v>
      </c>
      <c r="I913" s="979">
        <v>107999</v>
      </c>
      <c r="J913" s="979">
        <v>0.18532583328757343</v>
      </c>
      <c r="K913" s="979">
        <v>91924.57852396903</v>
      </c>
      <c r="L913" s="979">
        <v>91924.57852396903</v>
      </c>
      <c r="M913" s="979">
        <v>599</v>
      </c>
    </row>
    <row r="914" spans="1:13" ht="15">
      <c r="A914" s="979" t="s">
        <v>3515</v>
      </c>
      <c r="B914" s="1040" t="str">
        <f>CONCATENATE(LEFT(RIGHT(CONCATENATE("000",IFAData_TEA_1617!A914),6),3),"-",(RIGHT(RIGHT(CONCATENATE("000",IFAData_TEA_1617!A914),6),3)))</f>
        <v>084-909</v>
      </c>
      <c r="C914" s="979" t="s">
        <v>85</v>
      </c>
      <c r="D914" s="979">
        <v>1</v>
      </c>
      <c r="E914" s="979">
        <v>2307</v>
      </c>
      <c r="F914" s="979" t="s">
        <v>4690</v>
      </c>
      <c r="G914" s="979" t="s">
        <v>4693</v>
      </c>
      <c r="H914" s="979">
        <v>1012578</v>
      </c>
      <c r="I914" s="979">
        <v>0</v>
      </c>
      <c r="J914" s="979">
        <v>0</v>
      </c>
      <c r="K914" s="979">
        <v>0</v>
      </c>
      <c r="L914" s="979">
        <v>0</v>
      </c>
      <c r="M914" s="979">
        <v>599</v>
      </c>
    </row>
    <row r="915" spans="1:13" ht="15">
      <c r="A915" s="979" t="s">
        <v>3515</v>
      </c>
      <c r="B915" s="1040" t="str">
        <f>CONCATENATE(LEFT(RIGHT(CONCATENATE("000",IFAData_TEA_1617!A915),6),3),"-",(RIGHT(RIGHT(CONCATENATE("000",IFAData_TEA_1617!A915),6),3)))</f>
        <v>084-909</v>
      </c>
      <c r="C915" s="979" t="s">
        <v>85</v>
      </c>
      <c r="D915" s="979">
        <v>1</v>
      </c>
      <c r="E915" s="979">
        <v>2307</v>
      </c>
      <c r="F915" s="979" t="s">
        <v>4690</v>
      </c>
      <c r="G915" s="979" t="s">
        <v>4690</v>
      </c>
      <c r="H915" s="979">
        <v>1012578</v>
      </c>
      <c r="I915" s="979">
        <v>0</v>
      </c>
      <c r="J915" s="979">
        <v>0</v>
      </c>
      <c r="K915" s="979">
        <v>0</v>
      </c>
      <c r="L915" s="979">
        <v>0</v>
      </c>
      <c r="M915" s="979">
        <v>599</v>
      </c>
    </row>
    <row r="916" spans="1:13" ht="15">
      <c r="A916" s="979" t="s">
        <v>3515</v>
      </c>
      <c r="B916" s="1040" t="str">
        <f>CONCATENATE(LEFT(RIGHT(CONCATENATE("000",IFAData_TEA_1617!A916),6),3),"-",(RIGHT(RIGHT(CONCATENATE("000",IFAData_TEA_1617!A916),6),3)))</f>
        <v>084-909</v>
      </c>
      <c r="C916" s="979" t="s">
        <v>85</v>
      </c>
      <c r="D916" s="979">
        <v>1</v>
      </c>
      <c r="E916" s="979">
        <v>2307</v>
      </c>
      <c r="F916" s="979" t="s">
        <v>4690</v>
      </c>
      <c r="G916" s="979" t="s">
        <v>4692</v>
      </c>
      <c r="H916" s="979">
        <v>1012578</v>
      </c>
      <c r="I916" s="979">
        <v>266210</v>
      </c>
      <c r="J916" s="979">
        <v>1</v>
      </c>
      <c r="K916" s="979">
        <v>1012578</v>
      </c>
      <c r="L916" s="979">
        <v>266210</v>
      </c>
      <c r="M916" s="979">
        <v>599</v>
      </c>
    </row>
    <row r="917" spans="1:13" ht="15">
      <c r="A917" s="979" t="s">
        <v>3515</v>
      </c>
      <c r="B917" s="1040" t="str">
        <f>CONCATENATE(LEFT(RIGHT(CONCATENATE("000",IFAData_TEA_1617!A917),6),3),"-",(RIGHT(RIGHT(CONCATENATE("000",IFAData_TEA_1617!A917),6),3)))</f>
        <v>084-909</v>
      </c>
      <c r="C917" s="979" t="s">
        <v>85</v>
      </c>
      <c r="D917" s="979">
        <v>1</v>
      </c>
      <c r="E917" s="979">
        <v>2307</v>
      </c>
      <c r="F917" s="979" t="s">
        <v>4690</v>
      </c>
      <c r="G917" s="979" t="s">
        <v>4691</v>
      </c>
      <c r="H917" s="979">
        <v>1012578</v>
      </c>
      <c r="I917" s="979">
        <v>0</v>
      </c>
      <c r="J917" s="979">
        <v>0</v>
      </c>
      <c r="K917" s="979">
        <v>0</v>
      </c>
      <c r="L917" s="979">
        <v>0</v>
      </c>
      <c r="M917" s="979">
        <v>599</v>
      </c>
    </row>
    <row r="918" spans="1:13" ht="15">
      <c r="A918" s="979" t="s">
        <v>3515</v>
      </c>
      <c r="B918" s="1040" t="str">
        <f>CONCATENATE(LEFT(RIGHT(CONCATENATE("000",IFAData_TEA_1617!A918),6),3),"-",(RIGHT(RIGHT(CONCATENATE("000",IFAData_TEA_1617!A918),6),3)))</f>
        <v>084-909</v>
      </c>
      <c r="C918" s="979" t="s">
        <v>85</v>
      </c>
      <c r="D918" s="979">
        <v>10</v>
      </c>
      <c r="E918" s="979">
        <v>2308</v>
      </c>
      <c r="F918" s="979" t="s">
        <v>4694</v>
      </c>
      <c r="G918" s="979" t="s">
        <v>4694</v>
      </c>
      <c r="H918" s="979">
        <v>1049443</v>
      </c>
      <c r="I918" s="979">
        <v>1008905</v>
      </c>
      <c r="J918" s="979">
        <v>0.7924260810487086</v>
      </c>
      <c r="K918" s="979">
        <v>831606.00377399987</v>
      </c>
      <c r="L918" s="979">
        <v>831606.00377399987</v>
      </c>
      <c r="M918" s="979">
        <v>599</v>
      </c>
    </row>
    <row r="919" spans="1:13" ht="15">
      <c r="A919" s="979" t="s">
        <v>3515</v>
      </c>
      <c r="B919" s="1040" t="str">
        <f>CONCATENATE(LEFT(RIGHT(CONCATENATE("000",IFAData_TEA_1617!A919),6),3),"-",(RIGHT(RIGHT(CONCATENATE("000",IFAData_TEA_1617!A919),6),3)))</f>
        <v>084-909</v>
      </c>
      <c r="C919" s="979" t="s">
        <v>85</v>
      </c>
      <c r="D919" s="979">
        <v>10</v>
      </c>
      <c r="E919" s="979">
        <v>2308</v>
      </c>
      <c r="F919" s="979" t="s">
        <v>4694</v>
      </c>
      <c r="G919" s="979" t="s">
        <v>6250</v>
      </c>
      <c r="H919" s="979">
        <v>1049443</v>
      </c>
      <c r="I919" s="979">
        <v>264280</v>
      </c>
      <c r="J919" s="979">
        <v>0.20757391895129146</v>
      </c>
      <c r="K919" s="979">
        <v>217836.99622600016</v>
      </c>
      <c r="L919" s="979">
        <v>217836.99622600016</v>
      </c>
      <c r="M919" s="979">
        <v>599</v>
      </c>
    </row>
    <row r="920" spans="1:13" ht="15">
      <c r="A920" s="979" t="s">
        <v>3516</v>
      </c>
      <c r="B920" s="1040" t="str">
        <f>CONCATENATE(LEFT(RIGHT(CONCATENATE("000",IFAData_TEA_1617!A920),6),3),"-",(RIGHT(RIGHT(CONCATENATE("000",IFAData_TEA_1617!A920),6),3)))</f>
        <v>084-911</v>
      </c>
      <c r="C920" s="979" t="s">
        <v>1476</v>
      </c>
      <c r="D920" s="979">
        <v>2</v>
      </c>
      <c r="E920" s="979">
        <v>1829</v>
      </c>
      <c r="F920" s="979" t="s">
        <v>4695</v>
      </c>
      <c r="G920" s="979" t="s">
        <v>4695</v>
      </c>
      <c r="H920" s="979">
        <v>1100400</v>
      </c>
      <c r="I920" s="979">
        <v>0</v>
      </c>
      <c r="J920" s="979">
        <v>0</v>
      </c>
      <c r="K920" s="979">
        <v>0</v>
      </c>
      <c r="L920" s="979">
        <v>0</v>
      </c>
      <c r="M920" s="979">
        <v>599</v>
      </c>
    </row>
    <row r="921" spans="1:13" ht="15">
      <c r="A921" s="979" t="s">
        <v>3516</v>
      </c>
      <c r="B921" s="1040" t="str">
        <f>CONCATENATE(LEFT(RIGHT(CONCATENATE("000",IFAData_TEA_1617!A921),6),3),"-",(RIGHT(RIGHT(CONCATENATE("000",IFAData_TEA_1617!A921),6),3)))</f>
        <v>084-911</v>
      </c>
      <c r="C921" s="979" t="s">
        <v>1476</v>
      </c>
      <c r="D921" s="979">
        <v>2</v>
      </c>
      <c r="E921" s="979">
        <v>1829</v>
      </c>
      <c r="F921" s="979" t="s">
        <v>4695</v>
      </c>
      <c r="G921" s="979" t="s">
        <v>4697</v>
      </c>
      <c r="H921" s="979">
        <v>1100400</v>
      </c>
      <c r="I921" s="979">
        <v>0</v>
      </c>
      <c r="J921" s="979">
        <v>0</v>
      </c>
      <c r="K921" s="979">
        <v>0</v>
      </c>
      <c r="L921" s="979">
        <v>0</v>
      </c>
      <c r="M921" s="979">
        <v>599</v>
      </c>
    </row>
    <row r="922" spans="1:13" ht="15">
      <c r="A922" s="979" t="s">
        <v>3516</v>
      </c>
      <c r="B922" s="1040" t="str">
        <f>CONCATENATE(LEFT(RIGHT(CONCATENATE("000",IFAData_TEA_1617!A922),6),3),"-",(RIGHT(RIGHT(CONCATENATE("000",IFAData_TEA_1617!A922),6),3)))</f>
        <v>084-911</v>
      </c>
      <c r="C922" s="979" t="s">
        <v>1476</v>
      </c>
      <c r="D922" s="979">
        <v>2</v>
      </c>
      <c r="E922" s="979">
        <v>1829</v>
      </c>
      <c r="F922" s="979" t="s">
        <v>4695</v>
      </c>
      <c r="G922" s="979" t="s">
        <v>4696</v>
      </c>
      <c r="H922" s="979">
        <v>1100400</v>
      </c>
      <c r="I922" s="979">
        <v>1266361</v>
      </c>
      <c r="J922" s="979">
        <v>1</v>
      </c>
      <c r="K922" s="979">
        <v>1100400</v>
      </c>
      <c r="L922" s="979">
        <v>1100400</v>
      </c>
      <c r="M922" s="979">
        <v>599</v>
      </c>
    </row>
    <row r="923" spans="1:13" ht="15">
      <c r="A923" s="979" t="s">
        <v>3517</v>
      </c>
      <c r="B923" s="1040" t="str">
        <f>CONCATENATE(LEFT(RIGHT(CONCATENATE("000",IFAData_TEA_1617!A923),6),3),"-",(RIGHT(RIGHT(CONCATENATE("000",IFAData_TEA_1617!A923),6),3)))</f>
        <v>089-901</v>
      </c>
      <c r="C923" s="979" t="s">
        <v>861</v>
      </c>
      <c r="D923" s="979">
        <v>2</v>
      </c>
      <c r="E923" s="979">
        <v>1850</v>
      </c>
      <c r="F923" s="979" t="s">
        <v>4698</v>
      </c>
      <c r="G923" s="979" t="s">
        <v>4699</v>
      </c>
      <c r="H923" s="979">
        <v>566258</v>
      </c>
      <c r="I923" s="979">
        <v>578646</v>
      </c>
      <c r="J923" s="979">
        <v>1</v>
      </c>
      <c r="K923" s="979">
        <v>566258</v>
      </c>
      <c r="L923" s="979">
        <v>566258</v>
      </c>
      <c r="M923" s="979">
        <v>599</v>
      </c>
    </row>
    <row r="924" spans="1:13" ht="15">
      <c r="A924" s="979" t="s">
        <v>3517</v>
      </c>
      <c r="B924" s="1040" t="str">
        <f>CONCATENATE(LEFT(RIGHT(CONCATENATE("000",IFAData_TEA_1617!A924),6),3),"-",(RIGHT(RIGHT(CONCATENATE("000",IFAData_TEA_1617!A924),6),3)))</f>
        <v>089-901</v>
      </c>
      <c r="C924" s="979" t="s">
        <v>861</v>
      </c>
      <c r="D924" s="979">
        <v>2</v>
      </c>
      <c r="E924" s="979">
        <v>1850</v>
      </c>
      <c r="F924" s="979" t="s">
        <v>4698</v>
      </c>
      <c r="G924" s="979" t="s">
        <v>4698</v>
      </c>
      <c r="H924" s="979">
        <v>566258</v>
      </c>
      <c r="I924" s="979">
        <v>0</v>
      </c>
      <c r="J924" s="979">
        <v>0</v>
      </c>
      <c r="K924" s="979">
        <v>0</v>
      </c>
      <c r="L924" s="979">
        <v>0</v>
      </c>
      <c r="M924" s="979">
        <v>599</v>
      </c>
    </row>
    <row r="925" spans="1:13" ht="15">
      <c r="A925" s="979" t="s">
        <v>3518</v>
      </c>
      <c r="B925" s="1040" t="str">
        <f>CONCATENATE(LEFT(RIGHT(CONCATENATE("000",IFAData_TEA_1617!A925),6),3),"-",(RIGHT(RIGHT(CONCATENATE("000",IFAData_TEA_1617!A925),6),3)))</f>
        <v>090-904</v>
      </c>
      <c r="C925" s="979" t="s">
        <v>1364</v>
      </c>
      <c r="D925" s="979">
        <v>1</v>
      </c>
      <c r="E925" s="979">
        <v>2172</v>
      </c>
      <c r="F925" s="979" t="s">
        <v>4700</v>
      </c>
      <c r="G925" s="979" t="s">
        <v>4701</v>
      </c>
      <c r="H925" s="979">
        <v>779066</v>
      </c>
      <c r="I925" s="979">
        <v>0</v>
      </c>
      <c r="J925" s="979">
        <v>0</v>
      </c>
      <c r="K925" s="979">
        <v>0</v>
      </c>
      <c r="L925" s="979">
        <v>0</v>
      </c>
      <c r="M925" s="979">
        <v>599</v>
      </c>
    </row>
    <row r="926" spans="1:13" ht="15">
      <c r="A926" s="979" t="s">
        <v>3518</v>
      </c>
      <c r="B926" s="1040" t="str">
        <f>CONCATENATE(LEFT(RIGHT(CONCATENATE("000",IFAData_TEA_1617!A926),6),3),"-",(RIGHT(RIGHT(CONCATENATE("000",IFAData_TEA_1617!A926),6),3)))</f>
        <v>090-904</v>
      </c>
      <c r="C926" s="979" t="s">
        <v>1364</v>
      </c>
      <c r="D926" s="979">
        <v>1</v>
      </c>
      <c r="E926" s="979">
        <v>2172</v>
      </c>
      <c r="F926" s="979" t="s">
        <v>4700</v>
      </c>
      <c r="G926" s="979" t="s">
        <v>4700</v>
      </c>
      <c r="H926" s="979">
        <v>779066</v>
      </c>
      <c r="I926" s="979">
        <v>0</v>
      </c>
      <c r="J926" s="979">
        <v>0</v>
      </c>
      <c r="K926" s="979">
        <v>0</v>
      </c>
      <c r="L926" s="979">
        <v>0</v>
      </c>
      <c r="M926" s="979">
        <v>599</v>
      </c>
    </row>
    <row r="927" spans="1:13" ht="15">
      <c r="A927" s="979" t="s">
        <v>3518</v>
      </c>
      <c r="B927" s="1040" t="str">
        <f>CONCATENATE(LEFT(RIGHT(CONCATENATE("000",IFAData_TEA_1617!A927),6),3),"-",(RIGHT(RIGHT(CONCATENATE("000",IFAData_TEA_1617!A927),6),3)))</f>
        <v>090-904</v>
      </c>
      <c r="C927" s="979" t="s">
        <v>1364</v>
      </c>
      <c r="D927" s="979">
        <v>1</v>
      </c>
      <c r="E927" s="979">
        <v>2172</v>
      </c>
      <c r="F927" s="979" t="s">
        <v>4700</v>
      </c>
      <c r="G927" s="979" t="s">
        <v>4702</v>
      </c>
      <c r="H927" s="979">
        <v>779066</v>
      </c>
      <c r="I927" s="979">
        <v>529250</v>
      </c>
      <c r="J927" s="979">
        <v>1</v>
      </c>
      <c r="K927" s="979">
        <v>779066</v>
      </c>
      <c r="L927" s="979">
        <v>529250</v>
      </c>
      <c r="M927" s="979">
        <v>599</v>
      </c>
    </row>
    <row r="928" spans="1:13" ht="15">
      <c r="A928" s="979" t="s">
        <v>3519</v>
      </c>
      <c r="B928" s="1040" t="str">
        <f>CONCATENATE(LEFT(RIGHT(CONCATENATE("000",IFAData_TEA_1617!A928),6),3),"-",(RIGHT(RIGHT(CONCATENATE("000",IFAData_TEA_1617!A928),6),3)))</f>
        <v>091-901</v>
      </c>
      <c r="C928" s="979" t="s">
        <v>1560</v>
      </c>
      <c r="D928" s="979">
        <v>2</v>
      </c>
      <c r="E928" s="979">
        <v>1601</v>
      </c>
      <c r="F928" s="979" t="s">
        <v>4703</v>
      </c>
      <c r="G928" s="979" t="s">
        <v>4703</v>
      </c>
      <c r="H928" s="979">
        <v>85000</v>
      </c>
      <c r="I928" s="979">
        <v>0</v>
      </c>
      <c r="J928" s="979">
        <v>0</v>
      </c>
      <c r="K928" s="979">
        <v>0</v>
      </c>
      <c r="L928" s="979">
        <v>0</v>
      </c>
      <c r="M928" s="979">
        <v>599</v>
      </c>
    </row>
    <row r="929" spans="1:13" ht="15">
      <c r="A929" s="979" t="s">
        <v>3519</v>
      </c>
      <c r="B929" s="1040" t="str">
        <f>CONCATENATE(LEFT(RIGHT(CONCATENATE("000",IFAData_TEA_1617!A929),6),3),"-",(RIGHT(RIGHT(CONCATENATE("000",IFAData_TEA_1617!A929),6),3)))</f>
        <v>091-901</v>
      </c>
      <c r="C929" s="979" t="s">
        <v>1560</v>
      </c>
      <c r="D929" s="979">
        <v>2</v>
      </c>
      <c r="E929" s="979">
        <v>1601</v>
      </c>
      <c r="F929" s="979" t="s">
        <v>4703</v>
      </c>
      <c r="G929" s="979" t="s">
        <v>4704</v>
      </c>
      <c r="H929" s="979">
        <v>85000</v>
      </c>
      <c r="I929" s="979">
        <v>250847</v>
      </c>
      <c r="J929" s="979">
        <v>1</v>
      </c>
      <c r="K929" s="979">
        <v>85000</v>
      </c>
      <c r="L929" s="979">
        <v>85000</v>
      </c>
      <c r="M929" s="979">
        <v>599</v>
      </c>
    </row>
    <row r="930" spans="1:13" ht="15">
      <c r="A930" s="979" t="s">
        <v>3519</v>
      </c>
      <c r="B930" s="1040" t="str">
        <f>CONCATENATE(LEFT(RIGHT(CONCATENATE("000",IFAData_TEA_1617!A930),6),3),"-",(RIGHT(RIGHT(CONCATENATE("000",IFAData_TEA_1617!A930),6),3)))</f>
        <v>091-901</v>
      </c>
      <c r="C930" s="979" t="s">
        <v>1560</v>
      </c>
      <c r="D930" s="979">
        <v>3</v>
      </c>
      <c r="E930" s="979">
        <v>1600</v>
      </c>
      <c r="F930" s="979" t="s">
        <v>4706</v>
      </c>
      <c r="G930" s="979" t="s">
        <v>4706</v>
      </c>
      <c r="H930" s="979">
        <v>51750</v>
      </c>
      <c r="I930" s="979">
        <v>0</v>
      </c>
      <c r="J930" s="979">
        <v>0</v>
      </c>
      <c r="K930" s="979">
        <v>0</v>
      </c>
      <c r="L930" s="979">
        <v>0</v>
      </c>
      <c r="M930" s="979">
        <v>599</v>
      </c>
    </row>
    <row r="931" spans="1:13" ht="15">
      <c r="A931" s="979" t="s">
        <v>3519</v>
      </c>
      <c r="B931" s="1040" t="str">
        <f>CONCATENATE(LEFT(RIGHT(CONCATENATE("000",IFAData_TEA_1617!A931),6),3),"-",(RIGHT(RIGHT(CONCATENATE("000",IFAData_TEA_1617!A931),6),3)))</f>
        <v>091-901</v>
      </c>
      <c r="C931" s="979" t="s">
        <v>1560</v>
      </c>
      <c r="D931" s="979">
        <v>3</v>
      </c>
      <c r="E931" s="979">
        <v>1600</v>
      </c>
      <c r="F931" s="979" t="s">
        <v>4706</v>
      </c>
      <c r="G931" s="979" t="s">
        <v>4705</v>
      </c>
      <c r="H931" s="979">
        <v>51750</v>
      </c>
      <c r="I931" s="979">
        <v>45950</v>
      </c>
      <c r="J931" s="979">
        <v>1</v>
      </c>
      <c r="K931" s="979">
        <v>51750</v>
      </c>
      <c r="L931" s="979">
        <v>45950</v>
      </c>
      <c r="M931" s="979">
        <v>599</v>
      </c>
    </row>
    <row r="932" spans="1:13" ht="15">
      <c r="A932" s="979" t="s">
        <v>3519</v>
      </c>
      <c r="B932" s="1040" t="str">
        <f>CONCATENATE(LEFT(RIGHT(CONCATENATE("000",IFAData_TEA_1617!A932),6),3),"-",(RIGHT(RIGHT(CONCATENATE("000",IFAData_TEA_1617!A932),6),3)))</f>
        <v>091-901</v>
      </c>
      <c r="C932" s="979" t="s">
        <v>1560</v>
      </c>
      <c r="D932" s="979">
        <v>2</v>
      </c>
      <c r="E932" s="979">
        <v>1601</v>
      </c>
      <c r="F932" s="979" t="s">
        <v>4703</v>
      </c>
      <c r="G932" s="979" t="s">
        <v>4705</v>
      </c>
      <c r="H932" s="979">
        <v>85000</v>
      </c>
      <c r="I932" s="979">
        <v>0</v>
      </c>
      <c r="J932" s="979">
        <v>0</v>
      </c>
      <c r="K932" s="979">
        <v>0</v>
      </c>
      <c r="L932" s="979">
        <v>0</v>
      </c>
      <c r="M932" s="979">
        <v>599</v>
      </c>
    </row>
    <row r="933" spans="1:13" ht="15">
      <c r="A933" s="979" t="s">
        <v>3519</v>
      </c>
      <c r="B933" s="1040" t="str">
        <f>CONCATENATE(LEFT(RIGHT(CONCATENATE("000",IFAData_TEA_1617!A933),6),3),"-",(RIGHT(RIGHT(CONCATENATE("000",IFAData_TEA_1617!A933),6),3)))</f>
        <v>091-901</v>
      </c>
      <c r="C933" s="979" t="s">
        <v>1560</v>
      </c>
      <c r="D933" s="979">
        <v>9</v>
      </c>
      <c r="E933" s="979">
        <v>1602</v>
      </c>
      <c r="F933" s="979" t="s">
        <v>4704</v>
      </c>
      <c r="G933" s="979" t="s">
        <v>4704</v>
      </c>
      <c r="H933" s="979">
        <v>180464</v>
      </c>
      <c r="I933" s="979">
        <v>426406</v>
      </c>
      <c r="J933" s="979">
        <v>1</v>
      </c>
      <c r="K933" s="979">
        <v>180464</v>
      </c>
      <c r="L933" s="979">
        <v>180464</v>
      </c>
      <c r="M933" s="979">
        <v>599</v>
      </c>
    </row>
    <row r="934" spans="1:13" ht="15">
      <c r="A934" s="979" t="s">
        <v>4707</v>
      </c>
      <c r="B934" s="1040" t="str">
        <f>CONCATENATE(LEFT(RIGHT(CONCATENATE("000",IFAData_TEA_1617!A934),6),3),"-",(RIGHT(RIGHT(CONCATENATE("000",IFAData_TEA_1617!A934),6),3)))</f>
        <v>091-902</v>
      </c>
      <c r="C934" s="979" t="s">
        <v>1445</v>
      </c>
      <c r="D934" s="979">
        <v>9</v>
      </c>
      <c r="E934" s="979">
        <v>1706</v>
      </c>
      <c r="F934" s="979" t="s">
        <v>4708</v>
      </c>
      <c r="G934" s="979" t="s">
        <v>4708</v>
      </c>
      <c r="H934" s="979">
        <v>147510</v>
      </c>
      <c r="I934" s="979">
        <v>0</v>
      </c>
      <c r="J934" s="979">
        <v>0</v>
      </c>
      <c r="K934" s="979"/>
      <c r="L934" s="979">
        <v>0</v>
      </c>
      <c r="M934" s="979">
        <v>199</v>
      </c>
    </row>
    <row r="935" spans="1:13" ht="15">
      <c r="A935" s="979" t="s">
        <v>3520</v>
      </c>
      <c r="B935" s="1040" t="str">
        <f>CONCATENATE(LEFT(RIGHT(CONCATENATE("000",IFAData_TEA_1617!A935),6),3),"-",(RIGHT(RIGHT(CONCATENATE("000",IFAData_TEA_1617!A935),6),3)))</f>
        <v>091-905</v>
      </c>
      <c r="C935" s="979" t="s">
        <v>2380</v>
      </c>
      <c r="D935" s="979">
        <v>5</v>
      </c>
      <c r="E935" s="979">
        <v>1903</v>
      </c>
      <c r="F935" s="979" t="s">
        <v>4712</v>
      </c>
      <c r="G935" s="979" t="s">
        <v>4712</v>
      </c>
      <c r="H935" s="979">
        <v>153973</v>
      </c>
      <c r="I935" s="979">
        <v>152757</v>
      </c>
      <c r="J935" s="979">
        <v>1</v>
      </c>
      <c r="K935" s="979">
        <v>153973</v>
      </c>
      <c r="L935" s="979">
        <v>152757</v>
      </c>
      <c r="M935" s="979">
        <v>599</v>
      </c>
    </row>
    <row r="936" spans="1:13" ht="15">
      <c r="A936" s="979" t="s">
        <v>3520</v>
      </c>
      <c r="B936" s="1040" t="str">
        <f>CONCATENATE(LEFT(RIGHT(CONCATENATE("000",IFAData_TEA_1617!A936),6),3),"-",(RIGHT(RIGHT(CONCATENATE("000",IFAData_TEA_1617!A936),6),3)))</f>
        <v>091-905</v>
      </c>
      <c r="C936" s="979" t="s">
        <v>2380</v>
      </c>
      <c r="D936" s="979">
        <v>5</v>
      </c>
      <c r="E936" s="979">
        <v>1904</v>
      </c>
      <c r="F936" s="979" t="s">
        <v>4709</v>
      </c>
      <c r="G936" s="979" t="s">
        <v>4710</v>
      </c>
      <c r="H936" s="979">
        <v>308470</v>
      </c>
      <c r="I936" s="979">
        <v>532179</v>
      </c>
      <c r="J936" s="979">
        <v>0.52260949749143437</v>
      </c>
      <c r="K936" s="979">
        <v>161209.35169118276</v>
      </c>
      <c r="L936" s="979">
        <v>161209.35169118276</v>
      </c>
      <c r="M936" s="979">
        <v>599</v>
      </c>
    </row>
    <row r="937" spans="1:13" ht="15">
      <c r="A937" s="979" t="s">
        <v>3520</v>
      </c>
      <c r="B937" s="1040" t="str">
        <f>CONCATENATE(LEFT(RIGHT(CONCATENATE("000",IFAData_TEA_1617!A937),6),3),"-",(RIGHT(RIGHT(CONCATENATE("000",IFAData_TEA_1617!A937),6),3)))</f>
        <v>091-905</v>
      </c>
      <c r="C937" s="979" t="s">
        <v>2380</v>
      </c>
      <c r="D937" s="979">
        <v>5</v>
      </c>
      <c r="E937" s="979">
        <v>1904</v>
      </c>
      <c r="F937" s="979" t="s">
        <v>4709</v>
      </c>
      <c r="G937" s="979" t="s">
        <v>4709</v>
      </c>
      <c r="H937" s="979">
        <v>308470</v>
      </c>
      <c r="I937" s="979">
        <v>0</v>
      </c>
      <c r="J937" s="979">
        <v>0</v>
      </c>
      <c r="K937" s="979">
        <v>0</v>
      </c>
      <c r="L937" s="979">
        <v>0</v>
      </c>
      <c r="M937" s="979">
        <v>599</v>
      </c>
    </row>
    <row r="938" spans="1:13" ht="15">
      <c r="A938" s="979" t="s">
        <v>3520</v>
      </c>
      <c r="B938" s="1040" t="str">
        <f>CONCATENATE(LEFT(RIGHT(CONCATENATE("000",IFAData_TEA_1617!A938),6),3),"-",(RIGHT(RIGHT(CONCATENATE("000",IFAData_TEA_1617!A938),6),3)))</f>
        <v>091-905</v>
      </c>
      <c r="C938" s="979" t="s">
        <v>2380</v>
      </c>
      <c r="D938" s="979">
        <v>5</v>
      </c>
      <c r="E938" s="979">
        <v>1904</v>
      </c>
      <c r="F938" s="979" t="s">
        <v>4709</v>
      </c>
      <c r="G938" s="979" t="s">
        <v>4711</v>
      </c>
      <c r="H938" s="979">
        <v>308470</v>
      </c>
      <c r="I938" s="979">
        <v>31406</v>
      </c>
      <c r="J938" s="979">
        <v>3.0841265585857366E-2</v>
      </c>
      <c r="K938" s="979">
        <v>9513.6051952694215</v>
      </c>
      <c r="L938" s="979">
        <v>9513.6051952694215</v>
      </c>
      <c r="M938" s="979">
        <v>599</v>
      </c>
    </row>
    <row r="939" spans="1:13" ht="15">
      <c r="A939" s="979" t="s">
        <v>3520</v>
      </c>
      <c r="B939" s="1040" t="str">
        <f>CONCATENATE(LEFT(RIGHT(CONCATENATE("000",IFAData_TEA_1617!A939),6),3),"-",(RIGHT(RIGHT(CONCATENATE("000",IFAData_TEA_1617!A939),6),3)))</f>
        <v>091-905</v>
      </c>
      <c r="C939" s="979" t="s">
        <v>2380</v>
      </c>
      <c r="D939" s="979">
        <v>5</v>
      </c>
      <c r="E939" s="979">
        <v>1904</v>
      </c>
      <c r="F939" s="979" t="s">
        <v>4709</v>
      </c>
      <c r="G939" s="979" t="s">
        <v>6460</v>
      </c>
      <c r="H939" s="979">
        <v>308470</v>
      </c>
      <c r="I939" s="979">
        <v>454726</v>
      </c>
      <c r="J939" s="979">
        <v>0.44654923692270831</v>
      </c>
      <c r="K939" s="979">
        <v>137747.04311354784</v>
      </c>
      <c r="L939" s="979">
        <v>137747.04311354784</v>
      </c>
      <c r="M939" s="979">
        <v>599</v>
      </c>
    </row>
    <row r="940" spans="1:13" ht="15">
      <c r="A940" s="979" t="s">
        <v>3521</v>
      </c>
      <c r="B940" s="1040" t="str">
        <f>CONCATENATE(LEFT(RIGHT(CONCATENATE("000",IFAData_TEA_1617!A940),6),3),"-",(RIGHT(RIGHT(CONCATENATE("000",IFAData_TEA_1617!A940),6),3)))</f>
        <v>091-906</v>
      </c>
      <c r="C940" s="979" t="s">
        <v>1648</v>
      </c>
      <c r="D940" s="979">
        <v>9</v>
      </c>
      <c r="E940" s="979">
        <v>2331</v>
      </c>
      <c r="F940" s="979" t="s">
        <v>4713</v>
      </c>
      <c r="G940" s="979" t="s">
        <v>4715</v>
      </c>
      <c r="H940" s="979">
        <v>1512500</v>
      </c>
      <c r="I940" s="979">
        <v>1880793</v>
      </c>
      <c r="J940" s="979">
        <v>0.59950408765899288</v>
      </c>
      <c r="K940" s="979">
        <v>906749.93258422671</v>
      </c>
      <c r="L940" s="979">
        <v>906749.93258422671</v>
      </c>
      <c r="M940" s="979">
        <v>599</v>
      </c>
    </row>
    <row r="941" spans="1:13" ht="15">
      <c r="A941" s="979" t="s">
        <v>3521</v>
      </c>
      <c r="B941" s="1040" t="str">
        <f>CONCATENATE(LEFT(RIGHT(CONCATENATE("000",IFAData_TEA_1617!A941),6),3),"-",(RIGHT(RIGHT(CONCATENATE("000",IFAData_TEA_1617!A941),6),3)))</f>
        <v>091-906</v>
      </c>
      <c r="C941" s="979" t="s">
        <v>1648</v>
      </c>
      <c r="D941" s="979">
        <v>9</v>
      </c>
      <c r="E941" s="979">
        <v>2331</v>
      </c>
      <c r="F941" s="979" t="s">
        <v>4713</v>
      </c>
      <c r="G941" s="979" t="s">
        <v>4714</v>
      </c>
      <c r="H941" s="979">
        <v>1512500</v>
      </c>
      <c r="I941" s="979">
        <v>154682</v>
      </c>
      <c r="J941" s="979">
        <v>4.9304995970991139E-2</v>
      </c>
      <c r="K941" s="979">
        <v>74573.806406124102</v>
      </c>
      <c r="L941" s="979">
        <v>74573.806406124102</v>
      </c>
      <c r="M941" s="979">
        <v>599</v>
      </c>
    </row>
    <row r="942" spans="1:13" ht="15">
      <c r="A942" s="979" t="s">
        <v>3521</v>
      </c>
      <c r="B942" s="1040" t="str">
        <f>CONCATENATE(LEFT(RIGHT(CONCATENATE("000",IFAData_TEA_1617!A942),6),3),"-",(RIGHT(RIGHT(CONCATENATE("000",IFAData_TEA_1617!A942),6),3)))</f>
        <v>091-906</v>
      </c>
      <c r="C942" s="979" t="s">
        <v>1648</v>
      </c>
      <c r="D942" s="979">
        <v>9</v>
      </c>
      <c r="E942" s="979">
        <v>2331</v>
      </c>
      <c r="F942" s="979" t="s">
        <v>4713</v>
      </c>
      <c r="G942" s="979" t="s">
        <v>4713</v>
      </c>
      <c r="H942" s="979">
        <v>1512500</v>
      </c>
      <c r="I942" s="979">
        <v>953806</v>
      </c>
      <c r="J942" s="979">
        <v>0.304026331357929</v>
      </c>
      <c r="K942" s="979">
        <v>459839.8261788676</v>
      </c>
      <c r="L942" s="979">
        <v>459839.8261788676</v>
      </c>
      <c r="M942" s="979">
        <v>599</v>
      </c>
    </row>
    <row r="943" spans="1:13" ht="15">
      <c r="A943" s="979" t="s">
        <v>3521</v>
      </c>
      <c r="B943" s="1040" t="str">
        <f>CONCATENATE(LEFT(RIGHT(CONCATENATE("000",IFAData_TEA_1617!A943),6),3),"-",(RIGHT(RIGHT(CONCATENATE("000",IFAData_TEA_1617!A943),6),3)))</f>
        <v>091-906</v>
      </c>
      <c r="C943" s="979" t="s">
        <v>1648</v>
      </c>
      <c r="D943" s="979">
        <v>9</v>
      </c>
      <c r="E943" s="979">
        <v>2331</v>
      </c>
      <c r="F943" s="979" t="s">
        <v>4713</v>
      </c>
      <c r="G943" s="979" t="s">
        <v>6461</v>
      </c>
      <c r="H943" s="979">
        <v>1512500</v>
      </c>
      <c r="I943" s="979">
        <v>147967</v>
      </c>
      <c r="J943" s="979">
        <v>4.7164585012087028E-2</v>
      </c>
      <c r="K943" s="979">
        <v>71336.434830781625</v>
      </c>
      <c r="L943" s="979">
        <v>71336.434830781625</v>
      </c>
      <c r="M943" s="979">
        <v>599</v>
      </c>
    </row>
    <row r="944" spans="1:13" ht="15">
      <c r="A944" s="979" t="s">
        <v>3522</v>
      </c>
      <c r="B944" s="1040" t="str">
        <f>CONCATENATE(LEFT(RIGHT(CONCATENATE("000",IFAData_TEA_1617!A944),6),3),"-",(RIGHT(RIGHT(CONCATENATE("000",IFAData_TEA_1617!A944),6),3)))</f>
        <v>091-908</v>
      </c>
      <c r="C944" s="979" t="s">
        <v>2365</v>
      </c>
      <c r="D944" s="979">
        <v>6</v>
      </c>
      <c r="E944" s="979">
        <v>2418</v>
      </c>
      <c r="F944" s="979" t="s">
        <v>4718</v>
      </c>
      <c r="G944" s="979" t="s">
        <v>4718</v>
      </c>
      <c r="H944" s="979">
        <v>15230</v>
      </c>
      <c r="I944" s="979">
        <v>0</v>
      </c>
      <c r="J944" s="979">
        <v>0</v>
      </c>
      <c r="K944" s="979">
        <v>0</v>
      </c>
      <c r="L944" s="979">
        <v>0</v>
      </c>
      <c r="M944" s="979">
        <v>599</v>
      </c>
    </row>
    <row r="945" spans="1:13" ht="15">
      <c r="A945" s="979" t="s">
        <v>3522</v>
      </c>
      <c r="B945" s="1040" t="str">
        <f>CONCATENATE(LEFT(RIGHT(CONCATENATE("000",IFAData_TEA_1617!A945),6),3),"-",(RIGHT(RIGHT(CONCATENATE("000",IFAData_TEA_1617!A945),6),3)))</f>
        <v>091-908</v>
      </c>
      <c r="C945" s="979" t="s">
        <v>2365</v>
      </c>
      <c r="D945" s="979">
        <v>9</v>
      </c>
      <c r="E945" s="979">
        <v>2419</v>
      </c>
      <c r="F945" s="979" t="s">
        <v>4720</v>
      </c>
      <c r="G945" s="979" t="s">
        <v>4720</v>
      </c>
      <c r="H945" s="979">
        <v>292584</v>
      </c>
      <c r="I945" s="979">
        <v>400612</v>
      </c>
      <c r="J945" s="979">
        <v>1</v>
      </c>
      <c r="K945" s="979">
        <v>292584</v>
      </c>
      <c r="L945" s="979">
        <v>292584</v>
      </c>
      <c r="M945" s="979">
        <v>599</v>
      </c>
    </row>
    <row r="946" spans="1:13" ht="15">
      <c r="A946" s="979" t="s">
        <v>3522</v>
      </c>
      <c r="B946" s="1040" t="str">
        <f>CONCATENATE(LEFT(RIGHT(CONCATENATE("000",IFAData_TEA_1617!A946),6),3),"-",(RIGHT(RIGHT(CONCATENATE("000",IFAData_TEA_1617!A946),6),3)))</f>
        <v>091-908</v>
      </c>
      <c r="C946" s="979" t="s">
        <v>2365</v>
      </c>
      <c r="D946" s="979">
        <v>5</v>
      </c>
      <c r="E946" s="979">
        <v>2420</v>
      </c>
      <c r="F946" s="979" t="s">
        <v>4716</v>
      </c>
      <c r="G946" s="979" t="s">
        <v>4716</v>
      </c>
      <c r="H946" s="979">
        <v>304630</v>
      </c>
      <c r="I946" s="979">
        <v>0</v>
      </c>
      <c r="J946" s="979">
        <v>0</v>
      </c>
      <c r="K946" s="979">
        <v>0</v>
      </c>
      <c r="L946" s="979">
        <v>0</v>
      </c>
      <c r="M946" s="979">
        <v>599</v>
      </c>
    </row>
    <row r="947" spans="1:13" ht="15">
      <c r="A947" s="979" t="s">
        <v>3522</v>
      </c>
      <c r="B947" s="1040" t="str">
        <f>CONCATENATE(LEFT(RIGHT(CONCATENATE("000",IFAData_TEA_1617!A947),6),3),"-",(RIGHT(RIGHT(CONCATENATE("000",IFAData_TEA_1617!A947),6),3)))</f>
        <v>091-908</v>
      </c>
      <c r="C947" s="979" t="s">
        <v>2365</v>
      </c>
      <c r="D947" s="979">
        <v>6</v>
      </c>
      <c r="E947" s="979">
        <v>2418</v>
      </c>
      <c r="F947" s="979" t="s">
        <v>4718</v>
      </c>
      <c r="G947" s="979" t="s">
        <v>4719</v>
      </c>
      <c r="H947" s="979">
        <v>15230</v>
      </c>
      <c r="I947" s="979">
        <v>273950</v>
      </c>
      <c r="J947" s="979">
        <v>1</v>
      </c>
      <c r="K947" s="979">
        <v>15230</v>
      </c>
      <c r="L947" s="979">
        <v>15230</v>
      </c>
      <c r="M947" s="979">
        <v>599</v>
      </c>
    </row>
    <row r="948" spans="1:13" ht="15">
      <c r="A948" s="979" t="s">
        <v>3522</v>
      </c>
      <c r="B948" s="1040" t="str">
        <f>CONCATENATE(LEFT(RIGHT(CONCATENATE("000",IFAData_TEA_1617!A948),6),3),"-",(RIGHT(RIGHT(CONCATENATE("000",IFAData_TEA_1617!A948),6),3)))</f>
        <v>091-908</v>
      </c>
      <c r="C948" s="979" t="s">
        <v>2365</v>
      </c>
      <c r="D948" s="979">
        <v>5</v>
      </c>
      <c r="E948" s="979">
        <v>2420</v>
      </c>
      <c r="F948" s="979" t="s">
        <v>4716</v>
      </c>
      <c r="G948" s="979" t="s">
        <v>4717</v>
      </c>
      <c r="H948" s="979">
        <v>304630</v>
      </c>
      <c r="I948" s="979">
        <v>426549</v>
      </c>
      <c r="J948" s="979">
        <v>1</v>
      </c>
      <c r="K948" s="979">
        <v>304630</v>
      </c>
      <c r="L948" s="979">
        <v>304630</v>
      </c>
      <c r="M948" s="979">
        <v>599</v>
      </c>
    </row>
    <row r="949" spans="1:13" ht="15">
      <c r="A949" s="979" t="s">
        <v>3523</v>
      </c>
      <c r="B949" s="1040" t="str">
        <f>CONCATENATE(LEFT(RIGHT(CONCATENATE("000",IFAData_TEA_1617!A949),6),3),"-",(RIGHT(RIGHT(CONCATENATE("000",IFAData_TEA_1617!A949),6),3)))</f>
        <v>091-909</v>
      </c>
      <c r="C949" s="979" t="s">
        <v>1335</v>
      </c>
      <c r="D949" s="979">
        <v>5</v>
      </c>
      <c r="E949" s="979">
        <v>2452</v>
      </c>
      <c r="F949" s="979" t="s">
        <v>4721</v>
      </c>
      <c r="G949" s="979" t="s">
        <v>4722</v>
      </c>
      <c r="H949" s="979">
        <v>323783</v>
      </c>
      <c r="I949" s="979">
        <v>337513</v>
      </c>
      <c r="J949" s="979">
        <v>1</v>
      </c>
      <c r="K949" s="979">
        <v>323783</v>
      </c>
      <c r="L949" s="979">
        <v>323783</v>
      </c>
      <c r="M949" s="979">
        <v>599</v>
      </c>
    </row>
    <row r="950" spans="1:13" ht="15">
      <c r="A950" s="979" t="s">
        <v>3523</v>
      </c>
      <c r="B950" s="1040" t="str">
        <f>CONCATENATE(LEFT(RIGHT(CONCATENATE("000",IFAData_TEA_1617!A950),6),3),"-",(RIGHT(RIGHT(CONCATENATE("000",IFAData_TEA_1617!A950),6),3)))</f>
        <v>091-909</v>
      </c>
      <c r="C950" s="979" t="s">
        <v>1335</v>
      </c>
      <c r="D950" s="979">
        <v>5</v>
      </c>
      <c r="E950" s="979">
        <v>2452</v>
      </c>
      <c r="F950" s="979" t="s">
        <v>4721</v>
      </c>
      <c r="G950" s="979" t="s">
        <v>4721</v>
      </c>
      <c r="H950" s="979">
        <v>323783</v>
      </c>
      <c r="I950" s="979">
        <v>0</v>
      </c>
      <c r="J950" s="979">
        <v>0</v>
      </c>
      <c r="K950" s="979">
        <v>0</v>
      </c>
      <c r="L950" s="979">
        <v>0</v>
      </c>
      <c r="M950" s="979">
        <v>599</v>
      </c>
    </row>
    <row r="951" spans="1:13" ht="15">
      <c r="A951" s="979" t="s">
        <v>3524</v>
      </c>
      <c r="B951" s="1040" t="str">
        <f>CONCATENATE(LEFT(RIGHT(CONCATENATE("000",IFAData_TEA_1617!A951),6),3),"-",(RIGHT(RIGHT(CONCATENATE("000",IFAData_TEA_1617!A951),6),3)))</f>
        <v>091-913</v>
      </c>
      <c r="C951" s="979" t="s">
        <v>2100</v>
      </c>
      <c r="D951" s="979">
        <v>2</v>
      </c>
      <c r="E951" s="979">
        <v>2207</v>
      </c>
      <c r="F951" s="979" t="s">
        <v>4723</v>
      </c>
      <c r="G951" s="979" t="s">
        <v>6251</v>
      </c>
      <c r="H951" s="979">
        <v>315852</v>
      </c>
      <c r="I951" s="979">
        <v>145301</v>
      </c>
      <c r="J951" s="979">
        <v>0.21780927054633326</v>
      </c>
      <c r="K951" s="979">
        <v>68795.493720600454</v>
      </c>
      <c r="L951" s="979">
        <v>68795.493720600454</v>
      </c>
      <c r="M951" s="979">
        <v>599</v>
      </c>
    </row>
    <row r="952" spans="1:13" ht="15">
      <c r="A952" s="979" t="s">
        <v>3524</v>
      </c>
      <c r="B952" s="1040" t="str">
        <f>CONCATENATE(LEFT(RIGHT(CONCATENATE("000",IFAData_TEA_1617!A952),6),3),"-",(RIGHT(RIGHT(CONCATENATE("000",IFAData_TEA_1617!A952),6),3)))</f>
        <v>091-913</v>
      </c>
      <c r="C952" s="979" t="s">
        <v>2100</v>
      </c>
      <c r="D952" s="979">
        <v>2</v>
      </c>
      <c r="E952" s="979">
        <v>2207</v>
      </c>
      <c r="F952" s="979" t="s">
        <v>4723</v>
      </c>
      <c r="G952" s="979" t="s">
        <v>4724</v>
      </c>
      <c r="H952" s="979">
        <v>315852</v>
      </c>
      <c r="I952" s="979">
        <v>521801</v>
      </c>
      <c r="J952" s="979">
        <v>0.78219072945366674</v>
      </c>
      <c r="K952" s="979">
        <v>247056.50627939956</v>
      </c>
      <c r="L952" s="979">
        <v>247056.50627939956</v>
      </c>
      <c r="M952" s="979">
        <v>599</v>
      </c>
    </row>
    <row r="953" spans="1:13" ht="15">
      <c r="A953" s="979" t="s">
        <v>3524</v>
      </c>
      <c r="B953" s="1040" t="str">
        <f>CONCATENATE(LEFT(RIGHT(CONCATENATE("000",IFAData_TEA_1617!A953),6),3),"-",(RIGHT(RIGHT(CONCATENATE("000",IFAData_TEA_1617!A953),6),3)))</f>
        <v>091-913</v>
      </c>
      <c r="C953" s="979" t="s">
        <v>2100</v>
      </c>
      <c r="D953" s="979">
        <v>2</v>
      </c>
      <c r="E953" s="979">
        <v>2207</v>
      </c>
      <c r="F953" s="979" t="s">
        <v>4723</v>
      </c>
      <c r="G953" s="979" t="s">
        <v>4723</v>
      </c>
      <c r="H953" s="979">
        <v>315852</v>
      </c>
      <c r="I953" s="979">
        <v>0</v>
      </c>
      <c r="J953" s="979">
        <v>0</v>
      </c>
      <c r="K953" s="979">
        <v>0</v>
      </c>
      <c r="L953" s="979">
        <v>0</v>
      </c>
      <c r="M953" s="979">
        <v>599</v>
      </c>
    </row>
    <row r="954" spans="1:13" ht="15">
      <c r="A954" s="979" t="s">
        <v>3525</v>
      </c>
      <c r="B954" s="1040" t="str">
        <f>CONCATENATE(LEFT(RIGHT(CONCATENATE("000",IFAData_TEA_1617!A954),6),3),"-",(RIGHT(RIGHT(CONCATENATE("000",IFAData_TEA_1617!A954),6),3)))</f>
        <v>091-917</v>
      </c>
      <c r="C954" s="979" t="s">
        <v>1732</v>
      </c>
      <c r="D954" s="979">
        <v>9</v>
      </c>
      <c r="E954" s="979">
        <v>1861</v>
      </c>
      <c r="F954" s="979" t="s">
        <v>4727</v>
      </c>
      <c r="G954" s="979" t="s">
        <v>4727</v>
      </c>
      <c r="H954" s="979">
        <v>129415</v>
      </c>
      <c r="I954" s="979">
        <v>52125</v>
      </c>
      <c r="J954" s="979">
        <v>0.50721535123142647</v>
      </c>
      <c r="K954" s="979">
        <v>65641.27467961506</v>
      </c>
      <c r="L954" s="979">
        <v>52125</v>
      </c>
      <c r="M954" s="979">
        <v>599</v>
      </c>
    </row>
    <row r="955" spans="1:13" ht="15">
      <c r="A955" s="979" t="s">
        <v>3525</v>
      </c>
      <c r="B955" s="1040" t="str">
        <f>CONCATENATE(LEFT(RIGHT(CONCATENATE("000",IFAData_TEA_1617!A955),6),3),"-",(RIGHT(RIGHT(CONCATENATE("000",IFAData_TEA_1617!A955),6),3)))</f>
        <v>091-917</v>
      </c>
      <c r="C955" s="979" t="s">
        <v>1732</v>
      </c>
      <c r="D955" s="979">
        <v>3</v>
      </c>
      <c r="E955" s="979">
        <v>1862</v>
      </c>
      <c r="F955" s="979" t="s">
        <v>4725</v>
      </c>
      <c r="G955" s="979" t="s">
        <v>4726</v>
      </c>
      <c r="H955" s="979">
        <v>145000</v>
      </c>
      <c r="I955" s="979">
        <v>140925</v>
      </c>
      <c r="J955" s="979">
        <v>1</v>
      </c>
      <c r="K955" s="979">
        <v>145000</v>
      </c>
      <c r="L955" s="979">
        <v>140925</v>
      </c>
      <c r="M955" s="979">
        <v>599</v>
      </c>
    </row>
    <row r="956" spans="1:13" ht="15">
      <c r="A956" s="979" t="s">
        <v>3525</v>
      </c>
      <c r="B956" s="1040" t="str">
        <f>CONCATENATE(LEFT(RIGHT(CONCATENATE("000",IFAData_TEA_1617!A956),6),3),"-",(RIGHT(RIGHT(CONCATENATE("000",IFAData_TEA_1617!A956),6),3)))</f>
        <v>091-917</v>
      </c>
      <c r="C956" s="979" t="s">
        <v>1732</v>
      </c>
      <c r="D956" s="979">
        <v>3</v>
      </c>
      <c r="E956" s="979">
        <v>1862</v>
      </c>
      <c r="F956" s="979" t="s">
        <v>4725</v>
      </c>
      <c r="G956" s="979" t="s">
        <v>4725</v>
      </c>
      <c r="H956" s="979">
        <v>145000</v>
      </c>
      <c r="I956" s="979">
        <v>0</v>
      </c>
      <c r="J956" s="979">
        <v>0</v>
      </c>
      <c r="K956" s="979">
        <v>0</v>
      </c>
      <c r="L956" s="979">
        <v>0</v>
      </c>
      <c r="M956" s="979">
        <v>599</v>
      </c>
    </row>
    <row r="957" spans="1:13" ht="15">
      <c r="A957" s="979" t="s">
        <v>3525</v>
      </c>
      <c r="B957" s="1040" t="str">
        <f>CONCATENATE(LEFT(RIGHT(CONCATENATE("000",IFAData_TEA_1617!A957),6),3),"-",(RIGHT(RIGHT(CONCATENATE("000",IFAData_TEA_1617!A957),6),3)))</f>
        <v>091-917</v>
      </c>
      <c r="C957" s="979" t="s">
        <v>1732</v>
      </c>
      <c r="D957" s="979">
        <v>9</v>
      </c>
      <c r="E957" s="979">
        <v>1861</v>
      </c>
      <c r="F957" s="979" t="s">
        <v>4727</v>
      </c>
      <c r="G957" s="979" t="s">
        <v>6462</v>
      </c>
      <c r="H957" s="979">
        <v>129415</v>
      </c>
      <c r="I957" s="979">
        <v>50642</v>
      </c>
      <c r="J957" s="979">
        <v>0.49278464876857359</v>
      </c>
      <c r="K957" s="979">
        <v>63773.725320384954</v>
      </c>
      <c r="L957" s="979">
        <v>50642</v>
      </c>
      <c r="M957" s="979">
        <v>599</v>
      </c>
    </row>
    <row r="958" spans="1:13" ht="15">
      <c r="A958" s="979" t="s">
        <v>4728</v>
      </c>
      <c r="B958" s="1040" t="str">
        <f>CONCATENATE(LEFT(RIGHT(CONCATENATE("000",IFAData_TEA_1617!A958),6),3),"-",(RIGHT(RIGHT(CONCATENATE("000",IFAData_TEA_1617!A958),6),3)))</f>
        <v>092-903</v>
      </c>
      <c r="C958" s="979" t="s">
        <v>2126</v>
      </c>
      <c r="D958" s="979">
        <v>1</v>
      </c>
      <c r="E958" s="979">
        <v>2034</v>
      </c>
      <c r="F958" s="979" t="s">
        <v>4729</v>
      </c>
      <c r="G958" s="979" t="s">
        <v>4729</v>
      </c>
      <c r="H958" s="979">
        <v>346003</v>
      </c>
      <c r="I958" s="979">
        <v>0</v>
      </c>
      <c r="J958" s="979">
        <v>0</v>
      </c>
      <c r="K958" s="979"/>
      <c r="L958" s="979">
        <v>0</v>
      </c>
      <c r="M958" s="979">
        <v>599</v>
      </c>
    </row>
    <row r="959" spans="1:13" ht="15">
      <c r="A959" s="979" t="s">
        <v>3526</v>
      </c>
      <c r="B959" s="1040" t="str">
        <f>CONCATENATE(LEFT(RIGHT(CONCATENATE("000",IFAData_TEA_1617!A959),6),3),"-",(RIGHT(RIGHT(CONCATENATE("000",IFAData_TEA_1617!A959),6),3)))</f>
        <v>092-907</v>
      </c>
      <c r="C959" s="979" t="s">
        <v>1936</v>
      </c>
      <c r="D959" s="979">
        <v>9</v>
      </c>
      <c r="E959" s="979">
        <v>2376</v>
      </c>
      <c r="F959" s="979" t="s">
        <v>4733</v>
      </c>
      <c r="G959" s="979" t="s">
        <v>6252</v>
      </c>
      <c r="H959" s="979">
        <v>437500</v>
      </c>
      <c r="I959" s="979">
        <v>341020</v>
      </c>
      <c r="J959" s="979">
        <v>0.17908663818953502</v>
      </c>
      <c r="K959" s="979">
        <v>78350.404207921572</v>
      </c>
      <c r="L959" s="979">
        <v>78350.404207921572</v>
      </c>
      <c r="M959" s="979">
        <v>599</v>
      </c>
    </row>
    <row r="960" spans="1:13" ht="15">
      <c r="A960" s="979" t="s">
        <v>3526</v>
      </c>
      <c r="B960" s="1040" t="str">
        <f>CONCATENATE(LEFT(RIGHT(CONCATENATE("000",IFAData_TEA_1617!A960),6),3),"-",(RIGHT(RIGHT(CONCATENATE("000",IFAData_TEA_1617!A960),6),3)))</f>
        <v>092-907</v>
      </c>
      <c r="C960" s="979" t="s">
        <v>1936</v>
      </c>
      <c r="D960" s="979">
        <v>2</v>
      </c>
      <c r="E960" s="979">
        <v>2375</v>
      </c>
      <c r="F960" s="979" t="s">
        <v>4730</v>
      </c>
      <c r="G960" s="979" t="s">
        <v>4732</v>
      </c>
      <c r="H960" s="979">
        <v>398517</v>
      </c>
      <c r="I960" s="979">
        <v>75968</v>
      </c>
      <c r="J960" s="979">
        <v>5.8099143594395046E-2</v>
      </c>
      <c r="K960" s="979">
        <v>23153.496407807532</v>
      </c>
      <c r="L960" s="979">
        <v>23153.496407807532</v>
      </c>
      <c r="M960" s="979">
        <v>599</v>
      </c>
    </row>
    <row r="961" spans="1:13" ht="15">
      <c r="A961" s="979" t="s">
        <v>3526</v>
      </c>
      <c r="B961" s="1040" t="str">
        <f>CONCATENATE(LEFT(RIGHT(CONCATENATE("000",IFAData_TEA_1617!A961),6),3),"-",(RIGHT(RIGHT(CONCATENATE("000",IFAData_TEA_1617!A961),6),3)))</f>
        <v>092-907</v>
      </c>
      <c r="C961" s="979" t="s">
        <v>1936</v>
      </c>
      <c r="D961" s="979">
        <v>2</v>
      </c>
      <c r="E961" s="979">
        <v>2375</v>
      </c>
      <c r="F961" s="979" t="s">
        <v>4730</v>
      </c>
      <c r="G961" s="979" t="s">
        <v>4731</v>
      </c>
      <c r="H961" s="979">
        <v>398517</v>
      </c>
      <c r="I961" s="979">
        <v>647870</v>
      </c>
      <c r="J961" s="979">
        <v>0.49548088880187341</v>
      </c>
      <c r="K961" s="979">
        <v>197457.5573626562</v>
      </c>
      <c r="L961" s="979">
        <v>197457.5573626562</v>
      </c>
      <c r="M961" s="979">
        <v>599</v>
      </c>
    </row>
    <row r="962" spans="1:13" ht="15">
      <c r="A962" s="979" t="s">
        <v>3526</v>
      </c>
      <c r="B962" s="1040" t="str">
        <f>CONCATENATE(LEFT(RIGHT(CONCATENATE("000",IFAData_TEA_1617!A962),6),3),"-",(RIGHT(RIGHT(CONCATENATE("000",IFAData_TEA_1617!A962),6),3)))</f>
        <v>092-907</v>
      </c>
      <c r="C962" s="979" t="s">
        <v>1936</v>
      </c>
      <c r="D962" s="979">
        <v>9</v>
      </c>
      <c r="E962" s="979">
        <v>2376</v>
      </c>
      <c r="F962" s="979" t="s">
        <v>4733</v>
      </c>
      <c r="G962" s="979" t="s">
        <v>6464</v>
      </c>
      <c r="H962" s="979">
        <v>437500</v>
      </c>
      <c r="I962" s="979">
        <v>315509</v>
      </c>
      <c r="J962" s="979">
        <v>0.16568953764747524</v>
      </c>
      <c r="K962" s="979">
        <v>72489.17272077041</v>
      </c>
      <c r="L962" s="979">
        <v>72489.17272077041</v>
      </c>
      <c r="M962" s="979">
        <v>599</v>
      </c>
    </row>
    <row r="963" spans="1:13" ht="15">
      <c r="A963" s="979" t="s">
        <v>3526</v>
      </c>
      <c r="B963" s="1040" t="str">
        <f>CONCATENATE(LEFT(RIGHT(CONCATENATE("000",IFAData_TEA_1617!A963),6),3),"-",(RIGHT(RIGHT(CONCATENATE("000",IFAData_TEA_1617!A963),6),3)))</f>
        <v>092-907</v>
      </c>
      <c r="C963" s="979" t="s">
        <v>1936</v>
      </c>
      <c r="D963" s="979">
        <v>10</v>
      </c>
      <c r="E963" s="979">
        <v>2377</v>
      </c>
      <c r="F963" s="979" t="s">
        <v>4734</v>
      </c>
      <c r="G963" s="979" t="s">
        <v>4734</v>
      </c>
      <c r="H963" s="979">
        <v>456338</v>
      </c>
      <c r="I963" s="979">
        <v>268626</v>
      </c>
      <c r="J963" s="979">
        <v>1</v>
      </c>
      <c r="K963" s="979">
        <v>456338</v>
      </c>
      <c r="L963" s="979">
        <v>268626</v>
      </c>
      <c r="M963" s="979">
        <v>599</v>
      </c>
    </row>
    <row r="964" spans="1:13" ht="15">
      <c r="A964" s="979" t="s">
        <v>3526</v>
      </c>
      <c r="B964" s="1040" t="str">
        <f>CONCATENATE(LEFT(RIGHT(CONCATENATE("000",IFAData_TEA_1617!A964),6),3),"-",(RIGHT(RIGHT(CONCATENATE("000",IFAData_TEA_1617!A964),6),3)))</f>
        <v>092-907</v>
      </c>
      <c r="C964" s="979" t="s">
        <v>1936</v>
      </c>
      <c r="D964" s="979">
        <v>9</v>
      </c>
      <c r="E964" s="979">
        <v>2376</v>
      </c>
      <c r="F964" s="979" t="s">
        <v>4733</v>
      </c>
      <c r="G964" s="979" t="s">
        <v>4733</v>
      </c>
      <c r="H964" s="979">
        <v>437500</v>
      </c>
      <c r="I964" s="979">
        <v>1247689</v>
      </c>
      <c r="J964" s="979">
        <v>0.65522382416298974</v>
      </c>
      <c r="K964" s="979">
        <v>286660.423071308</v>
      </c>
      <c r="L964" s="979">
        <v>286660.423071308</v>
      </c>
      <c r="M964" s="979">
        <v>599</v>
      </c>
    </row>
    <row r="965" spans="1:13" ht="15">
      <c r="A965" s="979" t="s">
        <v>3526</v>
      </c>
      <c r="B965" s="1040" t="str">
        <f>CONCATENATE(LEFT(RIGHT(CONCATENATE("000",IFAData_TEA_1617!A965),6),3),"-",(RIGHT(RIGHT(CONCATENATE("000",IFAData_TEA_1617!A965),6),3)))</f>
        <v>092-907</v>
      </c>
      <c r="C965" s="979" t="s">
        <v>1936</v>
      </c>
      <c r="D965" s="979">
        <v>2</v>
      </c>
      <c r="E965" s="979">
        <v>2375</v>
      </c>
      <c r="F965" s="979" t="s">
        <v>4730</v>
      </c>
      <c r="G965" s="979" t="s">
        <v>6463</v>
      </c>
      <c r="H965" s="979">
        <v>398517</v>
      </c>
      <c r="I965" s="979">
        <v>583720</v>
      </c>
      <c r="J965" s="979">
        <v>0.44641996760373154</v>
      </c>
      <c r="K965" s="979">
        <v>177905.94622953629</v>
      </c>
      <c r="L965" s="979">
        <v>177905.94622953629</v>
      </c>
      <c r="M965" s="979">
        <v>599</v>
      </c>
    </row>
    <row r="966" spans="1:13" ht="15">
      <c r="A966" s="979" t="s">
        <v>3526</v>
      </c>
      <c r="B966" s="1040" t="str">
        <f>CONCATENATE(LEFT(RIGHT(CONCATENATE("000",IFAData_TEA_1617!A966),6),3),"-",(RIGHT(RIGHT(CONCATENATE("000",IFAData_TEA_1617!A966),6),3)))</f>
        <v>092-907</v>
      </c>
      <c r="C966" s="979" t="s">
        <v>1936</v>
      </c>
      <c r="D966" s="979">
        <v>2</v>
      </c>
      <c r="E966" s="979">
        <v>2375</v>
      </c>
      <c r="F966" s="979" t="s">
        <v>4730</v>
      </c>
      <c r="G966" s="979" t="s">
        <v>4730</v>
      </c>
      <c r="H966" s="979">
        <v>398517</v>
      </c>
      <c r="I966" s="979">
        <v>0</v>
      </c>
      <c r="J966" s="979">
        <v>0</v>
      </c>
      <c r="K966" s="979">
        <v>0</v>
      </c>
      <c r="L966" s="979">
        <v>0</v>
      </c>
      <c r="M966" s="979">
        <v>599</v>
      </c>
    </row>
    <row r="967" spans="1:13" ht="15">
      <c r="A967" s="979" t="s">
        <v>3527</v>
      </c>
      <c r="B967" s="1040" t="str">
        <f>CONCATENATE(LEFT(RIGHT(CONCATENATE("000",IFAData_TEA_1617!A967),6),3),"-",(RIGHT(RIGHT(CONCATENATE("000",IFAData_TEA_1617!A967),6),3)))</f>
        <v>093-903</v>
      </c>
      <c r="C967" s="979" t="s">
        <v>229</v>
      </c>
      <c r="D967" s="979">
        <v>10</v>
      </c>
      <c r="E967" s="979">
        <v>1924</v>
      </c>
      <c r="F967" s="979" t="s">
        <v>4735</v>
      </c>
      <c r="G967" s="979" t="s">
        <v>4735</v>
      </c>
      <c r="H967" s="979">
        <v>119954</v>
      </c>
      <c r="I967" s="979">
        <v>518748</v>
      </c>
      <c r="J967" s="979">
        <v>1</v>
      </c>
      <c r="K967" s="979">
        <v>119954</v>
      </c>
      <c r="L967" s="979">
        <v>119954</v>
      </c>
      <c r="M967" s="979">
        <v>599</v>
      </c>
    </row>
    <row r="968" spans="1:13" ht="15">
      <c r="A968" s="979" t="s">
        <v>3528</v>
      </c>
      <c r="B968" s="1040" t="str">
        <f>CONCATENATE(LEFT(RIGHT(CONCATENATE("000",IFAData_TEA_1617!A968),6),3),"-",(RIGHT(RIGHT(CONCATENATE("000",IFAData_TEA_1617!A968),6),3)))</f>
        <v>094-901</v>
      </c>
      <c r="C968" s="979" t="s">
        <v>1247</v>
      </c>
      <c r="D968" s="979">
        <v>6</v>
      </c>
      <c r="E968" s="979">
        <v>2323</v>
      </c>
      <c r="F968" s="979" t="s">
        <v>4739</v>
      </c>
      <c r="G968" s="979" t="s">
        <v>4740</v>
      </c>
      <c r="H968" s="979">
        <v>931261</v>
      </c>
      <c r="I968" s="979">
        <v>0</v>
      </c>
      <c r="J968" s="979">
        <v>0</v>
      </c>
      <c r="K968" s="979">
        <v>0</v>
      </c>
      <c r="L968" s="979">
        <v>0</v>
      </c>
      <c r="M968" s="979">
        <v>599</v>
      </c>
    </row>
    <row r="969" spans="1:13" ht="15">
      <c r="A969" s="979" t="s">
        <v>3528</v>
      </c>
      <c r="B969" s="1040" t="str">
        <f>CONCATENATE(LEFT(RIGHT(CONCATENATE("000",IFAData_TEA_1617!A969),6),3),"-",(RIGHT(RIGHT(CONCATENATE("000",IFAData_TEA_1617!A969),6),3)))</f>
        <v>094-901</v>
      </c>
      <c r="C969" s="979" t="s">
        <v>1247</v>
      </c>
      <c r="D969" s="979">
        <v>6</v>
      </c>
      <c r="E969" s="979">
        <v>2323</v>
      </c>
      <c r="F969" s="979" t="s">
        <v>4739</v>
      </c>
      <c r="G969" s="979" t="s">
        <v>6465</v>
      </c>
      <c r="H969" s="979">
        <v>931261</v>
      </c>
      <c r="I969" s="979">
        <v>223940</v>
      </c>
      <c r="J969" s="979">
        <v>0.17832897610945961</v>
      </c>
      <c r="K969" s="979">
        <v>166070.82062067147</v>
      </c>
      <c r="L969" s="979">
        <v>166070.82062067147</v>
      </c>
      <c r="M969" s="979">
        <v>599</v>
      </c>
    </row>
    <row r="970" spans="1:13" ht="15">
      <c r="A970" s="979" t="s">
        <v>3528</v>
      </c>
      <c r="B970" s="1040" t="str">
        <f>CONCATENATE(LEFT(RIGHT(CONCATENATE("000",IFAData_TEA_1617!A970),6),3),"-",(RIGHT(RIGHT(CONCATENATE("000",IFAData_TEA_1617!A970),6),3)))</f>
        <v>094-901</v>
      </c>
      <c r="C970" s="979" t="s">
        <v>1247</v>
      </c>
      <c r="D970" s="979">
        <v>2</v>
      </c>
      <c r="E970" s="979">
        <v>2324</v>
      </c>
      <c r="F970" s="979" t="s">
        <v>4736</v>
      </c>
      <c r="G970" s="979" t="s">
        <v>4738</v>
      </c>
      <c r="H970" s="979">
        <v>1582356</v>
      </c>
      <c r="I970" s="979">
        <v>1422610</v>
      </c>
      <c r="J970" s="979">
        <v>1</v>
      </c>
      <c r="K970" s="979">
        <v>1582356</v>
      </c>
      <c r="L970" s="979">
        <v>1422610</v>
      </c>
      <c r="M970" s="979">
        <v>599</v>
      </c>
    </row>
    <row r="971" spans="1:13" ht="15">
      <c r="A971" s="979" t="s">
        <v>3528</v>
      </c>
      <c r="B971" s="1040" t="str">
        <f>CONCATENATE(LEFT(RIGHT(CONCATENATE("000",IFAData_TEA_1617!A971),6),3),"-",(RIGHT(RIGHT(CONCATENATE("000",IFAData_TEA_1617!A971),6),3)))</f>
        <v>094-901</v>
      </c>
      <c r="C971" s="979" t="s">
        <v>1247</v>
      </c>
      <c r="D971" s="979">
        <v>2</v>
      </c>
      <c r="E971" s="979">
        <v>2324</v>
      </c>
      <c r="F971" s="979" t="s">
        <v>4736</v>
      </c>
      <c r="G971" s="979" t="s">
        <v>4737</v>
      </c>
      <c r="H971" s="979">
        <v>1582356</v>
      </c>
      <c r="I971" s="979">
        <v>0</v>
      </c>
      <c r="J971" s="979">
        <v>0</v>
      </c>
      <c r="K971" s="979">
        <v>0</v>
      </c>
      <c r="L971" s="979">
        <v>0</v>
      </c>
      <c r="M971" s="979">
        <v>599</v>
      </c>
    </row>
    <row r="972" spans="1:13" ht="15">
      <c r="A972" s="979" t="s">
        <v>3528</v>
      </c>
      <c r="B972" s="1040" t="str">
        <f>CONCATENATE(LEFT(RIGHT(CONCATENATE("000",IFAData_TEA_1617!A972),6),3),"-",(RIGHT(RIGHT(CONCATENATE("000",IFAData_TEA_1617!A972),6),3)))</f>
        <v>094-901</v>
      </c>
      <c r="C972" s="979" t="s">
        <v>1247</v>
      </c>
      <c r="D972" s="979">
        <v>6</v>
      </c>
      <c r="E972" s="979">
        <v>2323</v>
      </c>
      <c r="F972" s="979" t="s">
        <v>4739</v>
      </c>
      <c r="G972" s="979" t="s">
        <v>4741</v>
      </c>
      <c r="H972" s="979">
        <v>931261</v>
      </c>
      <c r="I972" s="979">
        <v>1031829</v>
      </c>
      <c r="J972" s="979">
        <v>0.82167102389054036</v>
      </c>
      <c r="K972" s="979">
        <v>765190.1793793285</v>
      </c>
      <c r="L972" s="979">
        <v>765190.1793793285</v>
      </c>
      <c r="M972" s="979">
        <v>599</v>
      </c>
    </row>
    <row r="973" spans="1:13" ht="15">
      <c r="A973" s="979" t="s">
        <v>3528</v>
      </c>
      <c r="B973" s="1040" t="str">
        <f>CONCATENATE(LEFT(RIGHT(CONCATENATE("000",IFAData_TEA_1617!A973),6),3),"-",(RIGHT(RIGHT(CONCATENATE("000",IFAData_TEA_1617!A973),6),3)))</f>
        <v>094-901</v>
      </c>
      <c r="C973" s="979" t="s">
        <v>1247</v>
      </c>
      <c r="D973" s="979">
        <v>2</v>
      </c>
      <c r="E973" s="979">
        <v>2324</v>
      </c>
      <c r="F973" s="979" t="s">
        <v>4736</v>
      </c>
      <c r="G973" s="979" t="s">
        <v>4736</v>
      </c>
      <c r="H973" s="979">
        <v>1582356</v>
      </c>
      <c r="I973" s="979">
        <v>0</v>
      </c>
      <c r="J973" s="979">
        <v>0</v>
      </c>
      <c r="K973" s="979">
        <v>0</v>
      </c>
      <c r="L973" s="979">
        <v>0</v>
      </c>
      <c r="M973" s="979">
        <v>599</v>
      </c>
    </row>
    <row r="974" spans="1:13" ht="15">
      <c r="A974" s="979" t="s">
        <v>3528</v>
      </c>
      <c r="B974" s="1040" t="str">
        <f>CONCATENATE(LEFT(RIGHT(CONCATENATE("000",IFAData_TEA_1617!A974),6),3),"-",(RIGHT(RIGHT(CONCATENATE("000",IFAData_TEA_1617!A974),6),3)))</f>
        <v>094-901</v>
      </c>
      <c r="C974" s="979" t="s">
        <v>1247</v>
      </c>
      <c r="D974" s="979">
        <v>6</v>
      </c>
      <c r="E974" s="979">
        <v>2323</v>
      </c>
      <c r="F974" s="979" t="s">
        <v>4739</v>
      </c>
      <c r="G974" s="979" t="s">
        <v>4739</v>
      </c>
      <c r="H974" s="979">
        <v>931261</v>
      </c>
      <c r="I974" s="979">
        <v>0</v>
      </c>
      <c r="J974" s="979">
        <v>0</v>
      </c>
      <c r="K974" s="979">
        <v>0</v>
      </c>
      <c r="L974" s="979">
        <v>0</v>
      </c>
      <c r="M974" s="979">
        <v>599</v>
      </c>
    </row>
    <row r="975" spans="1:13" ht="15">
      <c r="A975" s="979" t="s">
        <v>3529</v>
      </c>
      <c r="B975" s="1040" t="str">
        <f>CONCATENATE(LEFT(RIGHT(CONCATENATE("000",IFAData_TEA_1617!A975),6),3),"-",(RIGHT(RIGHT(CONCATENATE("000",IFAData_TEA_1617!A975),6),3)))</f>
        <v>094-902</v>
      </c>
      <c r="C975" s="979" t="s">
        <v>1245</v>
      </c>
      <c r="D975" s="979">
        <v>9</v>
      </c>
      <c r="E975" s="979">
        <v>2319</v>
      </c>
      <c r="F975" s="979" t="s">
        <v>4750</v>
      </c>
      <c r="G975" s="979" t="s">
        <v>6253</v>
      </c>
      <c r="H975" s="979">
        <v>1351905</v>
      </c>
      <c r="I975" s="979">
        <v>142700</v>
      </c>
      <c r="J975" s="979">
        <v>5.9608870568548321E-2</v>
      </c>
      <c r="K975" s="979">
        <v>80585.530165973323</v>
      </c>
      <c r="L975" s="979">
        <v>80585.530165973323</v>
      </c>
      <c r="M975" s="979">
        <v>599</v>
      </c>
    </row>
    <row r="976" spans="1:13" ht="15">
      <c r="A976" s="979" t="s">
        <v>3529</v>
      </c>
      <c r="B976" s="1040" t="str">
        <f>CONCATENATE(LEFT(RIGHT(CONCATENATE("000",IFAData_TEA_1617!A976),6),3),"-",(RIGHT(RIGHT(CONCATENATE("000",IFAData_TEA_1617!A976),6),3)))</f>
        <v>094-902</v>
      </c>
      <c r="C976" s="979" t="s">
        <v>1245</v>
      </c>
      <c r="D976" s="979">
        <v>1</v>
      </c>
      <c r="E976" s="979">
        <v>2316</v>
      </c>
      <c r="F976" s="979" t="s">
        <v>4742</v>
      </c>
      <c r="G976" s="979" t="s">
        <v>4747</v>
      </c>
      <c r="H976" s="979">
        <v>328404</v>
      </c>
      <c r="I976" s="979">
        <v>272835</v>
      </c>
      <c r="J976" s="979">
        <v>0.38842698708731366</v>
      </c>
      <c r="K976" s="979">
        <v>127560.97626742216</v>
      </c>
      <c r="L976" s="979">
        <v>127560.97626742216</v>
      </c>
      <c r="M976" s="979">
        <v>599</v>
      </c>
    </row>
    <row r="977" spans="1:13" ht="15">
      <c r="A977" s="979" t="s">
        <v>3529</v>
      </c>
      <c r="B977" s="1040" t="str">
        <f>CONCATENATE(LEFT(RIGHT(CONCATENATE("000",IFAData_TEA_1617!A977),6),3),"-",(RIGHT(RIGHT(CONCATENATE("000",IFAData_TEA_1617!A977),6),3)))</f>
        <v>094-902</v>
      </c>
      <c r="C977" s="979" t="s">
        <v>1245</v>
      </c>
      <c r="D977" s="979">
        <v>1</v>
      </c>
      <c r="E977" s="979">
        <v>2316</v>
      </c>
      <c r="F977" s="979" t="s">
        <v>4742</v>
      </c>
      <c r="G977" s="979" t="s">
        <v>4746</v>
      </c>
      <c r="H977" s="979">
        <v>328404</v>
      </c>
      <c r="I977" s="979">
        <v>125</v>
      </c>
      <c r="J977" s="979">
        <v>1.7795874204524424E-4</v>
      </c>
      <c r="K977" s="979">
        <v>58.442362722626392</v>
      </c>
      <c r="L977" s="979">
        <v>58.442362722626392</v>
      </c>
      <c r="M977" s="979">
        <v>599</v>
      </c>
    </row>
    <row r="978" spans="1:13" ht="15">
      <c r="A978" s="979" t="s">
        <v>3529</v>
      </c>
      <c r="B978" s="1040" t="str">
        <f>CONCATENATE(LEFT(RIGHT(CONCATENATE("000",IFAData_TEA_1617!A978),6),3),"-",(RIGHT(RIGHT(CONCATENATE("000",IFAData_TEA_1617!A978),6),3)))</f>
        <v>094-902</v>
      </c>
      <c r="C978" s="979" t="s">
        <v>1245</v>
      </c>
      <c r="D978" s="979">
        <v>1</v>
      </c>
      <c r="E978" s="979">
        <v>2317</v>
      </c>
      <c r="F978" s="979" t="s">
        <v>4748</v>
      </c>
      <c r="G978" s="979" t="s">
        <v>4746</v>
      </c>
      <c r="H978" s="979">
        <v>445556</v>
      </c>
      <c r="I978" s="979">
        <v>1130</v>
      </c>
      <c r="J978" s="979">
        <v>2.5132725254830264E-3</v>
      </c>
      <c r="K978" s="979">
        <v>1119.8036533641152</v>
      </c>
      <c r="L978" s="979">
        <v>1119.8036533641152</v>
      </c>
      <c r="M978" s="979">
        <v>599</v>
      </c>
    </row>
    <row r="979" spans="1:13" ht="15">
      <c r="A979" s="979" t="s">
        <v>3529</v>
      </c>
      <c r="B979" s="1040" t="str">
        <f>CONCATENATE(LEFT(RIGHT(CONCATENATE("000",IFAData_TEA_1617!A979),6),3),"-",(RIGHT(RIGHT(CONCATENATE("000",IFAData_TEA_1617!A979),6),3)))</f>
        <v>094-902</v>
      </c>
      <c r="C979" s="979" t="s">
        <v>1245</v>
      </c>
      <c r="D979" s="979">
        <v>6</v>
      </c>
      <c r="E979" s="979">
        <v>2320</v>
      </c>
      <c r="F979" s="979" t="s">
        <v>4749</v>
      </c>
      <c r="G979" s="979" t="s">
        <v>4746</v>
      </c>
      <c r="H979" s="979">
        <v>1730235</v>
      </c>
      <c r="I979" s="979">
        <v>75563</v>
      </c>
      <c r="J979" s="979">
        <v>3.4710680781905597E-2</v>
      </c>
      <c r="K979" s="979">
        <v>60057.634762680427</v>
      </c>
      <c r="L979" s="979">
        <v>60057.634762680427</v>
      </c>
      <c r="M979" s="979">
        <v>599</v>
      </c>
    </row>
    <row r="980" spans="1:13" ht="15">
      <c r="A980" s="979" t="s">
        <v>3529</v>
      </c>
      <c r="B980" s="1040" t="str">
        <f>CONCATENATE(LEFT(RIGHT(CONCATENATE("000",IFAData_TEA_1617!A980),6),3),"-",(RIGHT(RIGHT(CONCATENATE("000",IFAData_TEA_1617!A980),6),3)))</f>
        <v>094-902</v>
      </c>
      <c r="C980" s="979" t="s">
        <v>1245</v>
      </c>
      <c r="D980" s="979">
        <v>9</v>
      </c>
      <c r="E980" s="979">
        <v>2319</v>
      </c>
      <c r="F980" s="979" t="s">
        <v>4750</v>
      </c>
      <c r="G980" s="979" t="s">
        <v>4750</v>
      </c>
      <c r="H980" s="979">
        <v>1351905</v>
      </c>
      <c r="I980" s="979">
        <v>0</v>
      </c>
      <c r="J980" s="979">
        <v>0</v>
      </c>
      <c r="K980" s="979">
        <v>0</v>
      </c>
      <c r="L980" s="979">
        <v>0</v>
      </c>
      <c r="M980" s="979">
        <v>599</v>
      </c>
    </row>
    <row r="981" spans="1:13" ht="15">
      <c r="A981" s="979" t="s">
        <v>3529</v>
      </c>
      <c r="B981" s="1040" t="str">
        <f>CONCATENATE(LEFT(RIGHT(CONCATENATE("000",IFAData_TEA_1617!A981),6),3),"-",(RIGHT(RIGHT(CONCATENATE("000",IFAData_TEA_1617!A981),6),3)))</f>
        <v>094-902</v>
      </c>
      <c r="C981" s="979" t="s">
        <v>1245</v>
      </c>
      <c r="D981" s="979">
        <v>1</v>
      </c>
      <c r="E981" s="979">
        <v>2316</v>
      </c>
      <c r="F981" s="979" t="s">
        <v>4742</v>
      </c>
      <c r="G981" s="979" t="s">
        <v>4744</v>
      </c>
      <c r="H981" s="979">
        <v>328404</v>
      </c>
      <c r="I981" s="979">
        <v>429450</v>
      </c>
      <c r="J981" s="979">
        <v>0.61139505417064111</v>
      </c>
      <c r="K981" s="979">
        <v>200784.58136985521</v>
      </c>
      <c r="L981" s="979">
        <v>200784.58136985521</v>
      </c>
      <c r="M981" s="979">
        <v>599</v>
      </c>
    </row>
    <row r="982" spans="1:13" ht="15">
      <c r="A982" s="979" t="s">
        <v>3529</v>
      </c>
      <c r="B982" s="1040" t="str">
        <f>CONCATENATE(LEFT(RIGHT(CONCATENATE("000",IFAData_TEA_1617!A982),6),3),"-",(RIGHT(RIGHT(CONCATENATE("000",IFAData_TEA_1617!A982),6),3)))</f>
        <v>094-902</v>
      </c>
      <c r="C982" s="979" t="s">
        <v>1245</v>
      </c>
      <c r="D982" s="979">
        <v>1</v>
      </c>
      <c r="E982" s="979">
        <v>2317</v>
      </c>
      <c r="F982" s="979" t="s">
        <v>4748</v>
      </c>
      <c r="G982" s="979" t="s">
        <v>4743</v>
      </c>
      <c r="H982" s="979">
        <v>445556</v>
      </c>
      <c r="I982" s="979">
        <v>0</v>
      </c>
      <c r="J982" s="979">
        <v>0</v>
      </c>
      <c r="K982" s="979">
        <v>0</v>
      </c>
      <c r="L982" s="979">
        <v>0</v>
      </c>
      <c r="M982" s="979">
        <v>599</v>
      </c>
    </row>
    <row r="983" spans="1:13" ht="15">
      <c r="A983" s="979" t="s">
        <v>3529</v>
      </c>
      <c r="B983" s="1040" t="str">
        <f>CONCATENATE(LEFT(RIGHT(CONCATENATE("000",IFAData_TEA_1617!A983),6),3),"-",(RIGHT(RIGHT(CONCATENATE("000",IFAData_TEA_1617!A983),6),3)))</f>
        <v>094-902</v>
      </c>
      <c r="C983" s="979" t="s">
        <v>1245</v>
      </c>
      <c r="D983" s="979">
        <v>1</v>
      </c>
      <c r="E983" s="979">
        <v>2316</v>
      </c>
      <c r="F983" s="979" t="s">
        <v>4742</v>
      </c>
      <c r="G983" s="979" t="s">
        <v>4743</v>
      </c>
      <c r="H983" s="979">
        <v>328404</v>
      </c>
      <c r="I983" s="979">
        <v>0</v>
      </c>
      <c r="J983" s="979">
        <v>0</v>
      </c>
      <c r="K983" s="979">
        <v>0</v>
      </c>
      <c r="L983" s="979">
        <v>0</v>
      </c>
      <c r="M983" s="979">
        <v>599</v>
      </c>
    </row>
    <row r="984" spans="1:13" ht="15">
      <c r="A984" s="979" t="s">
        <v>3529</v>
      </c>
      <c r="B984" s="1040" t="str">
        <f>CONCATENATE(LEFT(RIGHT(CONCATENATE("000",IFAData_TEA_1617!A984),6),3),"-",(RIGHT(RIGHT(CONCATENATE("000",IFAData_TEA_1617!A984),6),3)))</f>
        <v>094-902</v>
      </c>
      <c r="C984" s="979" t="s">
        <v>1245</v>
      </c>
      <c r="D984" s="979">
        <v>1</v>
      </c>
      <c r="E984" s="979">
        <v>2316</v>
      </c>
      <c r="F984" s="979" t="s">
        <v>4742</v>
      </c>
      <c r="G984" s="979" t="s">
        <v>4745</v>
      </c>
      <c r="H984" s="979">
        <v>328404</v>
      </c>
      <c r="I984" s="979">
        <v>0</v>
      </c>
      <c r="J984" s="979">
        <v>0</v>
      </c>
      <c r="K984" s="979">
        <v>0</v>
      </c>
      <c r="L984" s="979">
        <v>0</v>
      </c>
      <c r="M984" s="979">
        <v>599</v>
      </c>
    </row>
    <row r="985" spans="1:13" ht="15">
      <c r="A985" s="979" t="s">
        <v>3529</v>
      </c>
      <c r="B985" s="1040" t="str">
        <f>CONCATENATE(LEFT(RIGHT(CONCATENATE("000",IFAData_TEA_1617!A985),6),3),"-",(RIGHT(RIGHT(CONCATENATE("000",IFAData_TEA_1617!A985),6),3)))</f>
        <v>094-902</v>
      </c>
      <c r="C985" s="979" t="s">
        <v>1245</v>
      </c>
      <c r="D985" s="979">
        <v>1</v>
      </c>
      <c r="E985" s="979">
        <v>2317</v>
      </c>
      <c r="F985" s="979" t="s">
        <v>4748</v>
      </c>
      <c r="G985" s="979" t="s">
        <v>4745</v>
      </c>
      <c r="H985" s="979">
        <v>445556</v>
      </c>
      <c r="I985" s="979">
        <v>448483</v>
      </c>
      <c r="J985" s="979">
        <v>0.99748672747451694</v>
      </c>
      <c r="K985" s="979">
        <v>444436.19634663587</v>
      </c>
      <c r="L985" s="979">
        <v>444436.19634663587</v>
      </c>
      <c r="M985" s="979">
        <v>599</v>
      </c>
    </row>
    <row r="986" spans="1:13" ht="15">
      <c r="A986" s="979" t="s">
        <v>3529</v>
      </c>
      <c r="B986" s="1040" t="str">
        <f>CONCATENATE(LEFT(RIGHT(CONCATENATE("000",IFAData_TEA_1617!A986),6),3),"-",(RIGHT(RIGHT(CONCATENATE("000",IFAData_TEA_1617!A986),6),3)))</f>
        <v>094-902</v>
      </c>
      <c r="C986" s="979" t="s">
        <v>1245</v>
      </c>
      <c r="D986" s="979">
        <v>6</v>
      </c>
      <c r="E986" s="979">
        <v>2320</v>
      </c>
      <c r="F986" s="979" t="s">
        <v>4749</v>
      </c>
      <c r="G986" s="979" t="s">
        <v>4745</v>
      </c>
      <c r="H986" s="979">
        <v>1730235</v>
      </c>
      <c r="I986" s="979">
        <v>2019775</v>
      </c>
      <c r="J986" s="979">
        <v>0.92780547723453766</v>
      </c>
      <c r="K986" s="979">
        <v>1605321.5099029003</v>
      </c>
      <c r="L986" s="979">
        <v>1605321.5099029003</v>
      </c>
      <c r="M986" s="979">
        <v>599</v>
      </c>
    </row>
    <row r="987" spans="1:13" ht="15">
      <c r="A987" s="979" t="s">
        <v>3529</v>
      </c>
      <c r="B987" s="1040" t="str">
        <f>CONCATENATE(LEFT(RIGHT(CONCATENATE("000",IFAData_TEA_1617!A987),6),3),"-",(RIGHT(RIGHT(CONCATENATE("000",IFAData_TEA_1617!A987),6),3)))</f>
        <v>094-902</v>
      </c>
      <c r="C987" s="979" t="s">
        <v>1245</v>
      </c>
      <c r="D987" s="979">
        <v>1</v>
      </c>
      <c r="E987" s="979">
        <v>2317</v>
      </c>
      <c r="F987" s="979" t="s">
        <v>4748</v>
      </c>
      <c r="G987" s="979" t="s">
        <v>4748</v>
      </c>
      <c r="H987" s="979">
        <v>445556</v>
      </c>
      <c r="I987" s="979">
        <v>0</v>
      </c>
      <c r="J987" s="979">
        <v>0</v>
      </c>
      <c r="K987" s="979">
        <v>0</v>
      </c>
      <c r="L987" s="979">
        <v>0</v>
      </c>
      <c r="M987" s="979">
        <v>599</v>
      </c>
    </row>
    <row r="988" spans="1:13" ht="15">
      <c r="A988" s="979" t="s">
        <v>3529</v>
      </c>
      <c r="B988" s="1040" t="str">
        <f>CONCATENATE(LEFT(RIGHT(CONCATENATE("000",IFAData_TEA_1617!A988),6),3),"-",(RIGHT(RIGHT(CONCATENATE("000",IFAData_TEA_1617!A988),6),3)))</f>
        <v>094-902</v>
      </c>
      <c r="C988" s="979" t="s">
        <v>1245</v>
      </c>
      <c r="D988" s="979">
        <v>9</v>
      </c>
      <c r="E988" s="979">
        <v>2319</v>
      </c>
      <c r="F988" s="979" t="s">
        <v>4750</v>
      </c>
      <c r="G988" s="979" t="s">
        <v>6466</v>
      </c>
      <c r="H988" s="979">
        <v>1351905</v>
      </c>
      <c r="I988" s="979">
        <v>2251239</v>
      </c>
      <c r="J988" s="979">
        <v>0.94039112943145164</v>
      </c>
      <c r="K988" s="979">
        <v>1271319.4698340266</v>
      </c>
      <c r="L988" s="979">
        <v>1271319.4698340266</v>
      </c>
      <c r="M988" s="979">
        <v>599</v>
      </c>
    </row>
    <row r="989" spans="1:13" ht="15">
      <c r="A989" s="979" t="s">
        <v>3529</v>
      </c>
      <c r="B989" s="1040" t="str">
        <f>CONCATENATE(LEFT(RIGHT(CONCATENATE("000",IFAData_TEA_1617!A989),6),3),"-",(RIGHT(RIGHT(CONCATENATE("000",IFAData_TEA_1617!A989),6),3)))</f>
        <v>094-902</v>
      </c>
      <c r="C989" s="979" t="s">
        <v>1245</v>
      </c>
      <c r="D989" s="979">
        <v>6</v>
      </c>
      <c r="E989" s="979">
        <v>2320</v>
      </c>
      <c r="F989" s="979" t="s">
        <v>4749</v>
      </c>
      <c r="G989" s="979" t="s">
        <v>4749</v>
      </c>
      <c r="H989" s="979">
        <v>1730235</v>
      </c>
      <c r="I989" s="979">
        <v>81600</v>
      </c>
      <c r="J989" s="979">
        <v>3.7483841983556719E-2</v>
      </c>
      <c r="K989" s="979">
        <v>64855.855334419262</v>
      </c>
      <c r="L989" s="979">
        <v>64855.855334419262</v>
      </c>
      <c r="M989" s="979">
        <v>599</v>
      </c>
    </row>
    <row r="990" spans="1:13" ht="15">
      <c r="A990" s="979" t="s">
        <v>3529</v>
      </c>
      <c r="B990" s="1040" t="str">
        <f>CONCATENATE(LEFT(RIGHT(CONCATENATE("000",IFAData_TEA_1617!A990),6),3),"-",(RIGHT(RIGHT(CONCATENATE("000",IFAData_TEA_1617!A990),6),3)))</f>
        <v>094-902</v>
      </c>
      <c r="C990" s="979" t="s">
        <v>1245</v>
      </c>
      <c r="D990" s="979">
        <v>9</v>
      </c>
      <c r="E990" s="979">
        <v>2318</v>
      </c>
      <c r="F990" s="979" t="s">
        <v>4751</v>
      </c>
      <c r="G990" s="979" t="s">
        <v>4751</v>
      </c>
      <c r="H990" s="979">
        <v>1272470</v>
      </c>
      <c r="I990" s="979">
        <v>0</v>
      </c>
      <c r="J990" s="979">
        <v>0</v>
      </c>
      <c r="K990" s="979">
        <v>0</v>
      </c>
      <c r="L990" s="979">
        <v>0</v>
      </c>
      <c r="M990" s="979">
        <v>599</v>
      </c>
    </row>
    <row r="991" spans="1:13" ht="15">
      <c r="A991" s="979" t="s">
        <v>3529</v>
      </c>
      <c r="B991" s="1040" t="str">
        <f>CONCATENATE(LEFT(RIGHT(CONCATENATE("000",IFAData_TEA_1617!A991),6),3),"-",(RIGHT(RIGHT(CONCATENATE("000",IFAData_TEA_1617!A991),6),3)))</f>
        <v>094-902</v>
      </c>
      <c r="C991" s="979" t="s">
        <v>1245</v>
      </c>
      <c r="D991" s="979">
        <v>9</v>
      </c>
      <c r="E991" s="979">
        <v>2318</v>
      </c>
      <c r="F991" s="979" t="s">
        <v>4751</v>
      </c>
      <c r="G991" s="979" t="s">
        <v>6466</v>
      </c>
      <c r="H991" s="979">
        <v>1272470</v>
      </c>
      <c r="I991" s="979">
        <v>4148635</v>
      </c>
      <c r="J991" s="979">
        <v>1</v>
      </c>
      <c r="K991" s="979">
        <v>1272470</v>
      </c>
      <c r="L991" s="979">
        <v>1272470</v>
      </c>
      <c r="M991" s="979">
        <v>599</v>
      </c>
    </row>
    <row r="992" spans="1:13" ht="15">
      <c r="A992" s="979" t="s">
        <v>3529</v>
      </c>
      <c r="B992" s="1040" t="str">
        <f>CONCATENATE(LEFT(RIGHT(CONCATENATE("000",IFAData_TEA_1617!A992),6),3),"-",(RIGHT(RIGHT(CONCATENATE("000",IFAData_TEA_1617!A992),6),3)))</f>
        <v>094-902</v>
      </c>
      <c r="C992" s="979" t="s">
        <v>1245</v>
      </c>
      <c r="D992" s="979">
        <v>1</v>
      </c>
      <c r="E992" s="979">
        <v>2316</v>
      </c>
      <c r="F992" s="979" t="s">
        <v>4742</v>
      </c>
      <c r="G992" s="979" t="s">
        <v>4742</v>
      </c>
      <c r="H992" s="979">
        <v>328404</v>
      </c>
      <c r="I992" s="979">
        <v>0</v>
      </c>
      <c r="J992" s="979">
        <v>0</v>
      </c>
      <c r="K992" s="979">
        <v>0</v>
      </c>
      <c r="L992" s="979">
        <v>0</v>
      </c>
      <c r="M992" s="979">
        <v>599</v>
      </c>
    </row>
    <row r="993" spans="1:13" ht="15">
      <c r="A993" s="979" t="s">
        <v>3530</v>
      </c>
      <c r="B993" s="1040" t="str">
        <f>CONCATENATE(LEFT(RIGHT(CONCATENATE("000",IFAData_TEA_1617!A993),6),3),"-",(RIGHT(RIGHT(CONCATENATE("000",IFAData_TEA_1617!A993),6),3)))</f>
        <v>094-903</v>
      </c>
      <c r="C993" s="979" t="s">
        <v>232</v>
      </c>
      <c r="D993" s="979">
        <v>9</v>
      </c>
      <c r="E993" s="979">
        <v>2127</v>
      </c>
      <c r="F993" s="979" t="s">
        <v>4752</v>
      </c>
      <c r="G993" s="979" t="s">
        <v>4754</v>
      </c>
      <c r="H993" s="979">
        <v>388765</v>
      </c>
      <c r="I993" s="979">
        <v>152488</v>
      </c>
      <c r="J993" s="979">
        <v>0.20198771553122977</v>
      </c>
      <c r="K993" s="979">
        <v>78525.754228498539</v>
      </c>
      <c r="L993" s="979">
        <v>78525.754228498539</v>
      </c>
      <c r="M993" s="979">
        <v>599</v>
      </c>
    </row>
    <row r="994" spans="1:13" ht="15">
      <c r="A994" s="979" t="s">
        <v>3530</v>
      </c>
      <c r="B994" s="1040" t="str">
        <f>CONCATENATE(LEFT(RIGHT(CONCATENATE("000",IFAData_TEA_1617!A994),6),3),"-",(RIGHT(RIGHT(CONCATENATE("000",IFAData_TEA_1617!A994),6),3)))</f>
        <v>094-903</v>
      </c>
      <c r="C994" s="979" t="s">
        <v>232</v>
      </c>
      <c r="D994" s="979">
        <v>9</v>
      </c>
      <c r="E994" s="979">
        <v>2127</v>
      </c>
      <c r="F994" s="979" t="s">
        <v>4752</v>
      </c>
      <c r="G994" s="979" t="s">
        <v>4753</v>
      </c>
      <c r="H994" s="979">
        <v>388765</v>
      </c>
      <c r="I994" s="979">
        <v>602449</v>
      </c>
      <c r="J994" s="979">
        <v>0.79801228446877026</v>
      </c>
      <c r="K994" s="979">
        <v>310239.24577150145</v>
      </c>
      <c r="L994" s="979">
        <v>310239.24577150145</v>
      </c>
      <c r="M994" s="979">
        <v>599</v>
      </c>
    </row>
    <row r="995" spans="1:13" ht="15">
      <c r="A995" s="979" t="s">
        <v>3530</v>
      </c>
      <c r="B995" s="1040" t="str">
        <f>CONCATENATE(LEFT(RIGHT(CONCATENATE("000",IFAData_TEA_1617!A995),6),3),"-",(RIGHT(RIGHT(CONCATENATE("000",IFAData_TEA_1617!A995),6),3)))</f>
        <v>094-903</v>
      </c>
      <c r="C995" s="979" t="s">
        <v>232</v>
      </c>
      <c r="D995" s="979">
        <v>9</v>
      </c>
      <c r="E995" s="979">
        <v>2127</v>
      </c>
      <c r="F995" s="979" t="s">
        <v>4752</v>
      </c>
      <c r="G995" s="979" t="s">
        <v>4752</v>
      </c>
      <c r="H995" s="979">
        <v>388765</v>
      </c>
      <c r="I995" s="979">
        <v>0</v>
      </c>
      <c r="J995" s="979">
        <v>0</v>
      </c>
      <c r="K995" s="979">
        <v>0</v>
      </c>
      <c r="L995" s="979">
        <v>0</v>
      </c>
      <c r="M995" s="979">
        <v>599</v>
      </c>
    </row>
    <row r="996" spans="1:13" ht="15">
      <c r="A996" s="979" t="s">
        <v>4755</v>
      </c>
      <c r="B996" s="1040" t="str">
        <f>CONCATENATE(LEFT(RIGHT(CONCATENATE("000",IFAData_TEA_1617!A996),6),3),"-",(RIGHT(RIGHT(CONCATENATE("000",IFAData_TEA_1617!A996),6),3)))</f>
        <v>094-904</v>
      </c>
      <c r="C996" s="979" t="s">
        <v>293</v>
      </c>
      <c r="D996" s="979">
        <v>1</v>
      </c>
      <c r="E996" s="979">
        <v>2066</v>
      </c>
      <c r="F996" s="979" t="s">
        <v>4756</v>
      </c>
      <c r="G996" s="979" t="s">
        <v>4756</v>
      </c>
      <c r="H996" s="979">
        <v>213569</v>
      </c>
      <c r="I996" s="979">
        <v>0</v>
      </c>
      <c r="J996" s="979">
        <v>0</v>
      </c>
      <c r="K996" s="979"/>
      <c r="L996" s="979">
        <v>0</v>
      </c>
      <c r="M996" s="979">
        <v>599</v>
      </c>
    </row>
    <row r="997" spans="1:13" ht="15">
      <c r="A997" s="979" t="s">
        <v>4755</v>
      </c>
      <c r="B997" s="1040" t="str">
        <f>CONCATENATE(LEFT(RIGHT(CONCATENATE("000",IFAData_TEA_1617!A997),6),3),"-",(RIGHT(RIGHT(CONCATENATE("000",IFAData_TEA_1617!A997),6),3)))</f>
        <v>094-904</v>
      </c>
      <c r="C997" s="979" t="s">
        <v>293</v>
      </c>
      <c r="D997" s="979">
        <v>5</v>
      </c>
      <c r="E997" s="979">
        <v>2067</v>
      </c>
      <c r="F997" s="979" t="s">
        <v>4758</v>
      </c>
      <c r="G997" s="979" t="s">
        <v>4758</v>
      </c>
      <c r="H997" s="979">
        <v>325000</v>
      </c>
      <c r="I997" s="979">
        <v>0</v>
      </c>
      <c r="J997" s="979">
        <v>0</v>
      </c>
      <c r="K997" s="979"/>
      <c r="L997" s="979">
        <v>0</v>
      </c>
      <c r="M997" s="979">
        <v>599</v>
      </c>
    </row>
    <row r="998" spans="1:13" ht="15">
      <c r="A998" s="979" t="s">
        <v>4755</v>
      </c>
      <c r="B998" s="1040" t="str">
        <f>CONCATENATE(LEFT(RIGHT(CONCATENATE("000",IFAData_TEA_1617!A998),6),3),"-",(RIGHT(RIGHT(CONCATENATE("000",IFAData_TEA_1617!A998),6),3)))</f>
        <v>094-904</v>
      </c>
      <c r="C998" s="979" t="s">
        <v>293</v>
      </c>
      <c r="D998" s="979">
        <v>3</v>
      </c>
      <c r="E998" s="979">
        <v>2065</v>
      </c>
      <c r="F998" s="979" t="s">
        <v>4757</v>
      </c>
      <c r="G998" s="979" t="s">
        <v>4757</v>
      </c>
      <c r="H998" s="979">
        <v>167150</v>
      </c>
      <c r="I998" s="979">
        <v>0</v>
      </c>
      <c r="J998" s="979">
        <v>0</v>
      </c>
      <c r="K998" s="979"/>
      <c r="L998" s="979">
        <v>0</v>
      </c>
      <c r="M998" s="979">
        <v>199</v>
      </c>
    </row>
    <row r="999" spans="1:13" ht="15">
      <c r="A999" s="979" t="s">
        <v>3531</v>
      </c>
      <c r="B999" s="1040" t="str">
        <f>CONCATENATE(LEFT(RIGHT(CONCATENATE("000",IFAData_TEA_1617!A999),6),3),"-",(RIGHT(RIGHT(CONCATENATE("000",IFAData_TEA_1617!A999),6),3)))</f>
        <v>097-903</v>
      </c>
      <c r="C999" s="979" t="s">
        <v>2373</v>
      </c>
      <c r="D999" s="979">
        <v>6</v>
      </c>
      <c r="E999" s="979">
        <v>1884</v>
      </c>
      <c r="F999" s="979" t="s">
        <v>4759</v>
      </c>
      <c r="G999" s="979" t="s">
        <v>4759</v>
      </c>
      <c r="H999" s="979">
        <v>176577</v>
      </c>
      <c r="I999" s="979">
        <v>0</v>
      </c>
      <c r="J999" s="979">
        <v>0</v>
      </c>
      <c r="K999" s="979">
        <v>0</v>
      </c>
      <c r="L999" s="979">
        <v>0</v>
      </c>
      <c r="M999" s="979">
        <v>599</v>
      </c>
    </row>
    <row r="1000" spans="1:13" ht="15">
      <c r="A1000" s="979" t="s">
        <v>3531</v>
      </c>
      <c r="B1000" s="1040" t="str">
        <f>CONCATENATE(LEFT(RIGHT(CONCATENATE("000",IFAData_TEA_1617!A1000),6),3),"-",(RIGHT(RIGHT(CONCATENATE("000",IFAData_TEA_1617!A1000),6),3)))</f>
        <v>097-903</v>
      </c>
      <c r="C1000" s="979" t="s">
        <v>2373</v>
      </c>
      <c r="D1000" s="979">
        <v>6</v>
      </c>
      <c r="E1000" s="979">
        <v>1884</v>
      </c>
      <c r="F1000" s="979" t="s">
        <v>4759</v>
      </c>
      <c r="G1000" s="979" t="s">
        <v>4760</v>
      </c>
      <c r="H1000" s="979">
        <v>176577</v>
      </c>
      <c r="I1000" s="979">
        <v>213052</v>
      </c>
      <c r="J1000" s="979">
        <v>1</v>
      </c>
      <c r="K1000" s="979">
        <v>176577</v>
      </c>
      <c r="L1000" s="979">
        <v>176577</v>
      </c>
      <c r="M1000" s="979">
        <v>599</v>
      </c>
    </row>
    <row r="1001" spans="1:13" ht="15">
      <c r="A1001" s="979" t="s">
        <v>3532</v>
      </c>
      <c r="B1001" s="1040" t="str">
        <f>CONCATENATE(LEFT(RIGHT(CONCATENATE("000",IFAData_TEA_1617!A1001),6),3),"-",(RIGHT(RIGHT(CONCATENATE("000",IFAData_TEA_1617!A1001),6),3)))</f>
        <v>100-904</v>
      </c>
      <c r="C1001" s="979" t="s">
        <v>1494</v>
      </c>
      <c r="D1001" s="979">
        <v>3</v>
      </c>
      <c r="E1001" s="979">
        <v>2333</v>
      </c>
      <c r="F1001" s="979" t="s">
        <v>4763</v>
      </c>
      <c r="G1001" s="979" t="s">
        <v>4764</v>
      </c>
      <c r="H1001" s="979">
        <v>701598</v>
      </c>
      <c r="I1001" s="979">
        <v>682509</v>
      </c>
      <c r="J1001" s="979">
        <v>1</v>
      </c>
      <c r="K1001" s="979">
        <v>701598</v>
      </c>
      <c r="L1001" s="979">
        <v>682509</v>
      </c>
      <c r="M1001" s="979">
        <v>599</v>
      </c>
    </row>
    <row r="1002" spans="1:13" ht="15">
      <c r="A1002" s="979" t="s">
        <v>3532</v>
      </c>
      <c r="B1002" s="1040" t="str">
        <f>CONCATENATE(LEFT(RIGHT(CONCATENATE("000",IFAData_TEA_1617!A1002),6),3),"-",(RIGHT(RIGHT(CONCATENATE("000",IFAData_TEA_1617!A1002),6),3)))</f>
        <v>100-904</v>
      </c>
      <c r="C1002" s="979" t="s">
        <v>1494</v>
      </c>
      <c r="D1002" s="979">
        <v>2</v>
      </c>
      <c r="E1002" s="979">
        <v>2334</v>
      </c>
      <c r="F1002" s="979" t="s">
        <v>4761</v>
      </c>
      <c r="G1002" s="979" t="s">
        <v>4761</v>
      </c>
      <c r="H1002" s="979">
        <v>831475</v>
      </c>
      <c r="I1002" s="979">
        <v>0</v>
      </c>
      <c r="J1002" s="979">
        <v>0</v>
      </c>
      <c r="K1002" s="979">
        <v>0</v>
      </c>
      <c r="L1002" s="979">
        <v>0</v>
      </c>
      <c r="M1002" s="979">
        <v>599</v>
      </c>
    </row>
    <row r="1003" spans="1:13" ht="15">
      <c r="A1003" s="979" t="s">
        <v>3532</v>
      </c>
      <c r="B1003" s="1040" t="str">
        <f>CONCATENATE(LEFT(RIGHT(CONCATENATE("000",IFAData_TEA_1617!A1003),6),3),"-",(RIGHT(RIGHT(CONCATENATE("000",IFAData_TEA_1617!A1003),6),3)))</f>
        <v>100-904</v>
      </c>
      <c r="C1003" s="979" t="s">
        <v>1494</v>
      </c>
      <c r="D1003" s="979">
        <v>2</v>
      </c>
      <c r="E1003" s="979">
        <v>2334</v>
      </c>
      <c r="F1003" s="979" t="s">
        <v>4761</v>
      </c>
      <c r="G1003" s="979" t="s">
        <v>4762</v>
      </c>
      <c r="H1003" s="979">
        <v>831475</v>
      </c>
      <c r="I1003" s="979">
        <v>796383</v>
      </c>
      <c r="J1003" s="979">
        <v>1</v>
      </c>
      <c r="K1003" s="979">
        <v>831475</v>
      </c>
      <c r="L1003" s="979">
        <v>796383</v>
      </c>
      <c r="M1003" s="979">
        <v>599</v>
      </c>
    </row>
    <row r="1004" spans="1:13" ht="15">
      <c r="A1004" s="979" t="s">
        <v>3532</v>
      </c>
      <c r="B1004" s="1040" t="str">
        <f>CONCATENATE(LEFT(RIGHT(CONCATENATE("000",IFAData_TEA_1617!A1004),6),3),"-",(RIGHT(RIGHT(CONCATENATE("000",IFAData_TEA_1617!A1004),6),3)))</f>
        <v>100-904</v>
      </c>
      <c r="C1004" s="979" t="s">
        <v>1494</v>
      </c>
      <c r="D1004" s="979">
        <v>3</v>
      </c>
      <c r="E1004" s="979">
        <v>2333</v>
      </c>
      <c r="F1004" s="979" t="s">
        <v>4763</v>
      </c>
      <c r="G1004" s="979" t="s">
        <v>4763</v>
      </c>
      <c r="H1004" s="979">
        <v>701598</v>
      </c>
      <c r="I1004" s="979">
        <v>0</v>
      </c>
      <c r="J1004" s="979">
        <v>0</v>
      </c>
      <c r="K1004" s="979">
        <v>0</v>
      </c>
      <c r="L1004" s="979">
        <v>0</v>
      </c>
      <c r="M1004" s="979">
        <v>599</v>
      </c>
    </row>
    <row r="1005" spans="1:13" ht="15">
      <c r="A1005" s="979" t="s">
        <v>3533</v>
      </c>
      <c r="B1005" s="1040" t="str">
        <f>CONCATENATE(LEFT(RIGHT(CONCATENATE("000",IFAData_TEA_1617!A1005),6),3),"-",(RIGHT(RIGHT(CONCATENATE("000",IFAData_TEA_1617!A1005),6),3)))</f>
        <v>100-907</v>
      </c>
      <c r="C1005" s="979" t="s">
        <v>839</v>
      </c>
      <c r="D1005" s="979">
        <v>5</v>
      </c>
      <c r="E1005" s="979">
        <v>2044</v>
      </c>
      <c r="F1005" s="979" t="s">
        <v>4767</v>
      </c>
      <c r="G1005" s="979" t="s">
        <v>4767</v>
      </c>
      <c r="H1005" s="979">
        <v>663791</v>
      </c>
      <c r="I1005" s="979">
        <v>0</v>
      </c>
      <c r="J1005" s="979">
        <v>0</v>
      </c>
      <c r="K1005" s="979">
        <v>0</v>
      </c>
      <c r="L1005" s="979">
        <v>0</v>
      </c>
      <c r="M1005" s="979">
        <v>599</v>
      </c>
    </row>
    <row r="1006" spans="1:13" ht="15">
      <c r="A1006" s="979" t="s">
        <v>3533</v>
      </c>
      <c r="B1006" s="1040" t="str">
        <f>CONCATENATE(LEFT(RIGHT(CONCATENATE("000",IFAData_TEA_1617!A1006),6),3),"-",(RIGHT(RIGHT(CONCATENATE("000",IFAData_TEA_1617!A1006),6),3)))</f>
        <v>100-907</v>
      </c>
      <c r="C1006" s="979" t="s">
        <v>839</v>
      </c>
      <c r="D1006" s="979">
        <v>5</v>
      </c>
      <c r="E1006" s="979">
        <v>2044</v>
      </c>
      <c r="F1006" s="979" t="s">
        <v>4767</v>
      </c>
      <c r="G1006" s="979" t="s">
        <v>4768</v>
      </c>
      <c r="H1006" s="979">
        <v>663791</v>
      </c>
      <c r="I1006" s="979">
        <v>0</v>
      </c>
      <c r="J1006" s="979">
        <v>0</v>
      </c>
      <c r="K1006" s="979">
        <v>0</v>
      </c>
      <c r="L1006" s="979">
        <v>0</v>
      </c>
      <c r="M1006" s="979">
        <v>599</v>
      </c>
    </row>
    <row r="1007" spans="1:13" ht="15">
      <c r="A1007" s="979" t="s">
        <v>3533</v>
      </c>
      <c r="B1007" s="1040" t="str">
        <f>CONCATENATE(LEFT(RIGHT(CONCATENATE("000",IFAData_TEA_1617!A1007),6),3),"-",(RIGHT(RIGHT(CONCATENATE("000",IFAData_TEA_1617!A1007),6),3)))</f>
        <v>100-907</v>
      </c>
      <c r="C1007" s="979" t="s">
        <v>839</v>
      </c>
      <c r="D1007" s="979">
        <v>5</v>
      </c>
      <c r="E1007" s="979">
        <v>2044</v>
      </c>
      <c r="F1007" s="979" t="s">
        <v>4767</v>
      </c>
      <c r="G1007" s="979" t="s">
        <v>4766</v>
      </c>
      <c r="H1007" s="979">
        <v>663791</v>
      </c>
      <c r="I1007" s="979">
        <v>0</v>
      </c>
      <c r="J1007" s="979">
        <v>0</v>
      </c>
      <c r="K1007" s="979">
        <v>0</v>
      </c>
      <c r="L1007" s="979">
        <v>0</v>
      </c>
      <c r="M1007" s="979">
        <v>599</v>
      </c>
    </row>
    <row r="1008" spans="1:13" ht="15">
      <c r="A1008" s="979" t="s">
        <v>3533</v>
      </c>
      <c r="B1008" s="1040" t="str">
        <f>CONCATENATE(LEFT(RIGHT(CONCATENATE("000",IFAData_TEA_1617!A1008),6),3),"-",(RIGHT(RIGHT(CONCATENATE("000",IFAData_TEA_1617!A1008),6),3)))</f>
        <v>100-907</v>
      </c>
      <c r="C1008" s="979" t="s">
        <v>839</v>
      </c>
      <c r="D1008" s="979">
        <v>1</v>
      </c>
      <c r="E1008" s="979">
        <v>2045</v>
      </c>
      <c r="F1008" s="979" t="s">
        <v>4765</v>
      </c>
      <c r="G1008" s="979" t="s">
        <v>4766</v>
      </c>
      <c r="H1008" s="979">
        <v>855058</v>
      </c>
      <c r="I1008" s="979">
        <v>0</v>
      </c>
      <c r="J1008" s="979">
        <v>0</v>
      </c>
      <c r="K1008" s="979">
        <v>0</v>
      </c>
      <c r="L1008" s="979">
        <v>0</v>
      </c>
      <c r="M1008" s="979">
        <v>599</v>
      </c>
    </row>
    <row r="1009" spans="1:13" ht="15">
      <c r="A1009" s="979" t="s">
        <v>3533</v>
      </c>
      <c r="B1009" s="1040" t="str">
        <f>CONCATENATE(LEFT(RIGHT(CONCATENATE("000",IFAData_TEA_1617!A1009),6),3),"-",(RIGHT(RIGHT(CONCATENATE("000",IFAData_TEA_1617!A1009),6),3)))</f>
        <v>100-907</v>
      </c>
      <c r="C1009" s="979" t="s">
        <v>839</v>
      </c>
      <c r="D1009" s="979">
        <v>1</v>
      </c>
      <c r="E1009" s="979">
        <v>2045</v>
      </c>
      <c r="F1009" s="979" t="s">
        <v>4765</v>
      </c>
      <c r="G1009" s="979" t="s">
        <v>4765</v>
      </c>
      <c r="H1009" s="979">
        <v>855058</v>
      </c>
      <c r="I1009" s="979">
        <v>0</v>
      </c>
      <c r="J1009" s="979">
        <v>0</v>
      </c>
      <c r="K1009" s="979">
        <v>0</v>
      </c>
      <c r="L1009" s="979">
        <v>0</v>
      </c>
      <c r="M1009" s="979">
        <v>599</v>
      </c>
    </row>
    <row r="1010" spans="1:13" ht="15">
      <c r="A1010" s="979" t="s">
        <v>3533</v>
      </c>
      <c r="B1010" s="1040" t="str">
        <f>CONCATENATE(LEFT(RIGHT(CONCATENATE("000",IFAData_TEA_1617!A1010),6),3),"-",(RIGHT(RIGHT(CONCATENATE("000",IFAData_TEA_1617!A1010),6),3)))</f>
        <v>100-907</v>
      </c>
      <c r="C1010" s="979" t="s">
        <v>839</v>
      </c>
      <c r="D1010" s="979">
        <v>5</v>
      </c>
      <c r="E1010" s="979">
        <v>2044</v>
      </c>
      <c r="F1010" s="979" t="s">
        <v>4767</v>
      </c>
      <c r="G1010" s="979" t="s">
        <v>6467</v>
      </c>
      <c r="H1010" s="979">
        <v>663791</v>
      </c>
      <c r="I1010" s="979">
        <v>525567</v>
      </c>
      <c r="J1010" s="979">
        <v>1</v>
      </c>
      <c r="K1010" s="979">
        <v>663791</v>
      </c>
      <c r="L1010" s="979">
        <v>525567</v>
      </c>
      <c r="M1010" s="979">
        <v>599</v>
      </c>
    </row>
    <row r="1011" spans="1:13" ht="15">
      <c r="A1011" s="979" t="s">
        <v>3533</v>
      </c>
      <c r="B1011" s="1040" t="str">
        <f>CONCATENATE(LEFT(RIGHT(CONCATENATE("000",IFAData_TEA_1617!A1011),6),3),"-",(RIGHT(RIGHT(CONCATENATE("000",IFAData_TEA_1617!A1011),6),3)))</f>
        <v>100-907</v>
      </c>
      <c r="C1011" s="979" t="s">
        <v>839</v>
      </c>
      <c r="D1011" s="979">
        <v>1</v>
      </c>
      <c r="E1011" s="979">
        <v>2045</v>
      </c>
      <c r="F1011" s="979" t="s">
        <v>4765</v>
      </c>
      <c r="G1011" s="979" t="s">
        <v>6467</v>
      </c>
      <c r="H1011" s="979">
        <v>855058</v>
      </c>
      <c r="I1011" s="979">
        <v>975103</v>
      </c>
      <c r="J1011" s="979">
        <v>1</v>
      </c>
      <c r="K1011" s="979">
        <v>855058</v>
      </c>
      <c r="L1011" s="979">
        <v>855058</v>
      </c>
      <c r="M1011" s="979">
        <v>599</v>
      </c>
    </row>
    <row r="1012" spans="1:13" ht="15">
      <c r="A1012" s="979" t="s">
        <v>3534</v>
      </c>
      <c r="B1012" s="1040" t="str">
        <f>CONCATENATE(LEFT(RIGHT(CONCATENATE("000",IFAData_TEA_1617!A1012),6),3),"-",(RIGHT(RIGHT(CONCATENATE("000",IFAData_TEA_1617!A1012),6),3)))</f>
        <v>100-908</v>
      </c>
      <c r="C1012" s="979" t="s">
        <v>297</v>
      </c>
      <c r="D1012" s="979">
        <v>3</v>
      </c>
      <c r="E1012" s="979">
        <v>2443</v>
      </c>
      <c r="F1012" s="979" t="s">
        <v>4769</v>
      </c>
      <c r="G1012" s="979" t="s">
        <v>4769</v>
      </c>
      <c r="H1012" s="979">
        <v>1101</v>
      </c>
      <c r="I1012" s="979">
        <v>0</v>
      </c>
      <c r="J1012" s="979">
        <v>0</v>
      </c>
      <c r="K1012" s="979">
        <v>0</v>
      </c>
      <c r="L1012" s="979">
        <v>0</v>
      </c>
      <c r="M1012" s="979">
        <v>599</v>
      </c>
    </row>
    <row r="1013" spans="1:13" ht="15">
      <c r="A1013" s="979" t="s">
        <v>3534</v>
      </c>
      <c r="B1013" s="1040" t="str">
        <f>CONCATENATE(LEFT(RIGHT(CONCATENATE("000",IFAData_TEA_1617!A1013),6),3),"-",(RIGHT(RIGHT(CONCATENATE("000",IFAData_TEA_1617!A1013),6),3)))</f>
        <v>100-908</v>
      </c>
      <c r="C1013" s="979" t="s">
        <v>297</v>
      </c>
      <c r="D1013" s="979">
        <v>3</v>
      </c>
      <c r="E1013" s="979">
        <v>2443</v>
      </c>
      <c r="F1013" s="979" t="s">
        <v>4769</v>
      </c>
      <c r="G1013" s="979" t="s">
        <v>4770</v>
      </c>
      <c r="H1013" s="979">
        <v>1101</v>
      </c>
      <c r="I1013" s="979">
        <v>0</v>
      </c>
      <c r="J1013" s="979">
        <v>0</v>
      </c>
      <c r="K1013" s="979">
        <v>0</v>
      </c>
      <c r="L1013" s="979">
        <v>0</v>
      </c>
      <c r="M1013" s="979">
        <v>599</v>
      </c>
    </row>
    <row r="1014" spans="1:13" ht="15">
      <c r="A1014" s="979" t="s">
        <v>3534</v>
      </c>
      <c r="B1014" s="1040" t="str">
        <f>CONCATENATE(LEFT(RIGHT(CONCATENATE("000",IFAData_TEA_1617!A1014),6),3),"-",(RIGHT(RIGHT(CONCATENATE("000",IFAData_TEA_1617!A1014),6),3)))</f>
        <v>100-908</v>
      </c>
      <c r="C1014" s="979" t="s">
        <v>297</v>
      </c>
      <c r="D1014" s="979">
        <v>3</v>
      </c>
      <c r="E1014" s="979">
        <v>2443</v>
      </c>
      <c r="F1014" s="979" t="s">
        <v>4769</v>
      </c>
      <c r="G1014" s="979" t="s">
        <v>6468</v>
      </c>
      <c r="H1014" s="979">
        <v>1101</v>
      </c>
      <c r="I1014" s="979">
        <v>219427</v>
      </c>
      <c r="J1014" s="979">
        <v>1</v>
      </c>
      <c r="K1014" s="979">
        <v>1101</v>
      </c>
      <c r="L1014" s="979">
        <v>1101</v>
      </c>
      <c r="M1014" s="979">
        <v>599</v>
      </c>
    </row>
    <row r="1015" spans="1:13" ht="15">
      <c r="A1015" s="979" t="s">
        <v>3535</v>
      </c>
      <c r="B1015" s="1040" t="str">
        <f>CONCATENATE(LEFT(RIGHT(CONCATENATE("000",IFAData_TEA_1617!A1015),6),3),"-",(RIGHT(RIGHT(CONCATENATE("000",IFAData_TEA_1617!A1015),6),3)))</f>
        <v>101-902</v>
      </c>
      <c r="C1015" s="979" t="s">
        <v>699</v>
      </c>
      <c r="D1015" s="979">
        <v>2</v>
      </c>
      <c r="E1015" s="979">
        <v>1543</v>
      </c>
      <c r="F1015" s="979" t="s">
        <v>4777</v>
      </c>
      <c r="G1015" s="979" t="s">
        <v>4777</v>
      </c>
      <c r="H1015" s="979">
        <v>871986</v>
      </c>
      <c r="I1015" s="979">
        <v>0</v>
      </c>
      <c r="J1015" s="979">
        <v>0</v>
      </c>
      <c r="K1015" s="979"/>
      <c r="L1015" s="979">
        <v>0</v>
      </c>
      <c r="M1015" s="979">
        <v>199</v>
      </c>
    </row>
    <row r="1016" spans="1:13" ht="15">
      <c r="A1016" s="979" t="s">
        <v>3535</v>
      </c>
      <c r="B1016" s="1040" t="str">
        <f>CONCATENATE(LEFT(RIGHT(CONCATENATE("000",IFAData_TEA_1617!A1016),6),3),"-",(RIGHT(RIGHT(CONCATENATE("000",IFAData_TEA_1617!A1016),6),3)))</f>
        <v>101-902</v>
      </c>
      <c r="C1016" s="979" t="s">
        <v>699</v>
      </c>
      <c r="D1016" s="979">
        <v>1</v>
      </c>
      <c r="E1016" s="979">
        <v>1545</v>
      </c>
      <c r="F1016" s="979" t="s">
        <v>4771</v>
      </c>
      <c r="G1016" s="979" t="s">
        <v>4775</v>
      </c>
      <c r="H1016" s="979">
        <v>3458574</v>
      </c>
      <c r="I1016" s="979">
        <v>3803268</v>
      </c>
      <c r="J1016" s="979">
        <v>0.83504014518970193</v>
      </c>
      <c r="K1016" s="979">
        <v>2888048.1351093282</v>
      </c>
      <c r="L1016" s="979">
        <v>2888048.1351093282</v>
      </c>
      <c r="M1016" s="979">
        <v>599</v>
      </c>
    </row>
    <row r="1017" spans="1:13" ht="15">
      <c r="A1017" s="979" t="s">
        <v>3535</v>
      </c>
      <c r="B1017" s="1040" t="str">
        <f>CONCATENATE(LEFT(RIGHT(CONCATENATE("000",IFAData_TEA_1617!A1017),6),3),"-",(RIGHT(RIGHT(CONCATENATE("000",IFAData_TEA_1617!A1017),6),3)))</f>
        <v>101-902</v>
      </c>
      <c r="C1017" s="979" t="s">
        <v>699</v>
      </c>
      <c r="D1017" s="979">
        <v>1</v>
      </c>
      <c r="E1017" s="979">
        <v>1548</v>
      </c>
      <c r="F1017" s="979" t="s">
        <v>4776</v>
      </c>
      <c r="G1017" s="979" t="s">
        <v>4775</v>
      </c>
      <c r="H1017" s="979">
        <v>6381926</v>
      </c>
      <c r="I1017" s="979">
        <v>1591800</v>
      </c>
      <c r="J1017" s="979">
        <v>0.84740078256008944</v>
      </c>
      <c r="K1017" s="979">
        <v>5408049.0866405815</v>
      </c>
      <c r="L1017" s="979">
        <v>1591800</v>
      </c>
      <c r="M1017" s="979">
        <v>599</v>
      </c>
    </row>
    <row r="1018" spans="1:13" ht="15">
      <c r="A1018" s="979" t="s">
        <v>3535</v>
      </c>
      <c r="B1018" s="1040" t="str">
        <f>CONCATENATE(LEFT(RIGHT(CONCATENATE("000",IFAData_TEA_1617!A1018),6),3),"-",(RIGHT(RIGHT(CONCATENATE("000",IFAData_TEA_1617!A1018),6),3)))</f>
        <v>101-902</v>
      </c>
      <c r="C1018" s="979" t="s">
        <v>699</v>
      </c>
      <c r="D1018" s="979">
        <v>5</v>
      </c>
      <c r="E1018" s="979">
        <v>1546</v>
      </c>
      <c r="F1018" s="979" t="s">
        <v>4778</v>
      </c>
      <c r="G1018" s="979" t="s">
        <v>4778</v>
      </c>
      <c r="H1018" s="979">
        <v>5192317</v>
      </c>
      <c r="I1018" s="979">
        <v>0</v>
      </c>
      <c r="J1018" s="979">
        <v>0</v>
      </c>
      <c r="K1018" s="979">
        <v>0</v>
      </c>
      <c r="L1018" s="979">
        <v>0</v>
      </c>
      <c r="M1018" s="979">
        <v>599</v>
      </c>
    </row>
    <row r="1019" spans="1:13" ht="15">
      <c r="A1019" s="979" t="s">
        <v>3535</v>
      </c>
      <c r="B1019" s="1040" t="str">
        <f>CONCATENATE(LEFT(RIGHT(CONCATENATE("000",IFAData_TEA_1617!A1019),6),3),"-",(RIGHT(RIGHT(CONCATENATE("000",IFAData_TEA_1617!A1019),6),3)))</f>
        <v>101-902</v>
      </c>
      <c r="C1019" s="979" t="s">
        <v>699</v>
      </c>
      <c r="D1019" s="979">
        <v>5</v>
      </c>
      <c r="E1019" s="979">
        <v>1542</v>
      </c>
      <c r="F1019" s="979" t="s">
        <v>4779</v>
      </c>
      <c r="G1019" s="979" t="s">
        <v>4780</v>
      </c>
      <c r="H1019" s="979">
        <v>871410</v>
      </c>
      <c r="I1019" s="979">
        <v>335588</v>
      </c>
      <c r="J1019" s="979">
        <v>1</v>
      </c>
      <c r="K1019" s="979">
        <v>871410</v>
      </c>
      <c r="L1019" s="979">
        <v>335588</v>
      </c>
      <c r="M1019" s="979">
        <v>199</v>
      </c>
    </row>
    <row r="1020" spans="1:13" ht="15">
      <c r="A1020" s="979" t="s">
        <v>3535</v>
      </c>
      <c r="B1020" s="1040" t="str">
        <f>CONCATENATE(LEFT(RIGHT(CONCATENATE("000",IFAData_TEA_1617!A1020),6),3),"-",(RIGHT(RIGHT(CONCATENATE("000",IFAData_TEA_1617!A1020),6),3)))</f>
        <v>101-902</v>
      </c>
      <c r="C1020" s="979" t="s">
        <v>699</v>
      </c>
      <c r="D1020" s="979">
        <v>1</v>
      </c>
      <c r="E1020" s="979">
        <v>1545</v>
      </c>
      <c r="F1020" s="979" t="s">
        <v>4771</v>
      </c>
      <c r="G1020" s="979" t="s">
        <v>4771</v>
      </c>
      <c r="H1020" s="979">
        <v>3458574</v>
      </c>
      <c r="I1020" s="979">
        <v>0</v>
      </c>
      <c r="J1020" s="979">
        <v>0</v>
      </c>
      <c r="K1020" s="979">
        <v>0</v>
      </c>
      <c r="L1020" s="979">
        <v>0</v>
      </c>
      <c r="M1020" s="979">
        <v>599</v>
      </c>
    </row>
    <row r="1021" spans="1:13" ht="15">
      <c r="A1021" s="979" t="s">
        <v>3535</v>
      </c>
      <c r="B1021" s="1040" t="str">
        <f>CONCATENATE(LEFT(RIGHT(CONCATENATE("000",IFAData_TEA_1617!A1021),6),3),"-",(RIGHT(RIGHT(CONCATENATE("000",IFAData_TEA_1617!A1021),6),3)))</f>
        <v>101-902</v>
      </c>
      <c r="C1021" s="979" t="s">
        <v>699</v>
      </c>
      <c r="D1021" s="979">
        <v>5</v>
      </c>
      <c r="E1021" s="979">
        <v>1546</v>
      </c>
      <c r="F1021" s="979" t="s">
        <v>4778</v>
      </c>
      <c r="G1021" s="979" t="s">
        <v>4774</v>
      </c>
      <c r="H1021" s="979">
        <v>5192317</v>
      </c>
      <c r="I1021" s="979">
        <v>1148788</v>
      </c>
      <c r="J1021" s="979">
        <v>0.23176875015257395</v>
      </c>
      <c r="K1021" s="979">
        <v>1203416.8214859623</v>
      </c>
      <c r="L1021" s="979">
        <v>1148788</v>
      </c>
      <c r="M1021" s="979">
        <v>599</v>
      </c>
    </row>
    <row r="1022" spans="1:13" ht="15">
      <c r="A1022" s="979" t="s">
        <v>3535</v>
      </c>
      <c r="B1022" s="1040" t="str">
        <f>CONCATENATE(LEFT(RIGHT(CONCATENATE("000",IFAData_TEA_1617!A1022),6),3),"-",(RIGHT(RIGHT(CONCATENATE("000",IFAData_TEA_1617!A1022),6),3)))</f>
        <v>101-902</v>
      </c>
      <c r="C1022" s="979" t="s">
        <v>699</v>
      </c>
      <c r="D1022" s="979">
        <v>1</v>
      </c>
      <c r="E1022" s="979">
        <v>1548</v>
      </c>
      <c r="F1022" s="979" t="s">
        <v>4776</v>
      </c>
      <c r="G1022" s="979" t="s">
        <v>4774</v>
      </c>
      <c r="H1022" s="979">
        <v>6381926</v>
      </c>
      <c r="I1022" s="979">
        <v>0</v>
      </c>
      <c r="J1022" s="979">
        <v>0</v>
      </c>
      <c r="K1022" s="979">
        <v>0</v>
      </c>
      <c r="L1022" s="979">
        <v>0</v>
      </c>
      <c r="M1022" s="979">
        <v>599</v>
      </c>
    </row>
    <row r="1023" spans="1:13" ht="15">
      <c r="A1023" s="979" t="s">
        <v>3535</v>
      </c>
      <c r="B1023" s="1040" t="str">
        <f>CONCATENATE(LEFT(RIGHT(CONCATENATE("000",IFAData_TEA_1617!A1023),6),3),"-",(RIGHT(RIGHT(CONCATENATE("000",IFAData_TEA_1617!A1023),6),3)))</f>
        <v>101-902</v>
      </c>
      <c r="C1023" s="979" t="s">
        <v>699</v>
      </c>
      <c r="D1023" s="979">
        <v>1</v>
      </c>
      <c r="E1023" s="979">
        <v>1545</v>
      </c>
      <c r="F1023" s="979" t="s">
        <v>4771</v>
      </c>
      <c r="G1023" s="979" t="s">
        <v>4774</v>
      </c>
      <c r="H1023" s="979">
        <v>3458574</v>
      </c>
      <c r="I1023" s="979">
        <v>454438</v>
      </c>
      <c r="J1023" s="979">
        <v>9.9775764815868292E-2</v>
      </c>
      <c r="K1023" s="979">
        <v>345081.86602227687</v>
      </c>
      <c r="L1023" s="979">
        <v>345081.86602227687</v>
      </c>
      <c r="M1023" s="979">
        <v>599</v>
      </c>
    </row>
    <row r="1024" spans="1:13" ht="15">
      <c r="A1024" s="979" t="s">
        <v>3535</v>
      </c>
      <c r="B1024" s="1040" t="str">
        <f>CONCATENATE(LEFT(RIGHT(CONCATENATE("000",IFAData_TEA_1617!A1024),6),3),"-",(RIGHT(RIGHT(CONCATENATE("000",IFAData_TEA_1617!A1024),6),3)))</f>
        <v>101-902</v>
      </c>
      <c r="C1024" s="979" t="s">
        <v>699</v>
      </c>
      <c r="D1024" s="979">
        <v>1</v>
      </c>
      <c r="E1024" s="979">
        <v>1545</v>
      </c>
      <c r="F1024" s="979" t="s">
        <v>4771</v>
      </c>
      <c r="G1024" s="979" t="s">
        <v>4772</v>
      </c>
      <c r="H1024" s="979">
        <v>3458574</v>
      </c>
      <c r="I1024" s="979">
        <v>0</v>
      </c>
      <c r="J1024" s="979">
        <v>0</v>
      </c>
      <c r="K1024" s="979">
        <v>0</v>
      </c>
      <c r="L1024" s="979">
        <v>0</v>
      </c>
      <c r="M1024" s="979">
        <v>599</v>
      </c>
    </row>
    <row r="1025" spans="1:13" ht="15">
      <c r="A1025" s="979" t="s">
        <v>3535</v>
      </c>
      <c r="B1025" s="1040" t="str">
        <f>CONCATENATE(LEFT(RIGHT(CONCATENATE("000",IFAData_TEA_1617!A1025),6),3),"-",(RIGHT(RIGHT(CONCATENATE("000",IFAData_TEA_1617!A1025),6),3)))</f>
        <v>101-902</v>
      </c>
      <c r="C1025" s="979" t="s">
        <v>699</v>
      </c>
      <c r="D1025" s="979">
        <v>1</v>
      </c>
      <c r="E1025" s="979">
        <v>1548</v>
      </c>
      <c r="F1025" s="979" t="s">
        <v>4776</v>
      </c>
      <c r="G1025" s="979" t="s">
        <v>4772</v>
      </c>
      <c r="H1025" s="979">
        <v>6381926</v>
      </c>
      <c r="I1025" s="979">
        <v>0</v>
      </c>
      <c r="J1025" s="979">
        <v>0</v>
      </c>
      <c r="K1025" s="979">
        <v>0</v>
      </c>
      <c r="L1025" s="979">
        <v>0</v>
      </c>
      <c r="M1025" s="979">
        <v>599</v>
      </c>
    </row>
    <row r="1026" spans="1:13" ht="15">
      <c r="A1026" s="979" t="s">
        <v>3535</v>
      </c>
      <c r="B1026" s="1040" t="str">
        <f>CONCATENATE(LEFT(RIGHT(CONCATENATE("000",IFAData_TEA_1617!A1026),6),3),"-",(RIGHT(RIGHT(CONCATENATE("000",IFAData_TEA_1617!A1026),6),3)))</f>
        <v>101-902</v>
      </c>
      <c r="C1026" s="979" t="s">
        <v>699</v>
      </c>
      <c r="D1026" s="979">
        <v>1</v>
      </c>
      <c r="E1026" s="979">
        <v>1548</v>
      </c>
      <c r="F1026" s="979" t="s">
        <v>4776</v>
      </c>
      <c r="G1026" s="979" t="s">
        <v>4776</v>
      </c>
      <c r="H1026" s="979">
        <v>6381926</v>
      </c>
      <c r="I1026" s="979">
        <v>0</v>
      </c>
      <c r="J1026" s="979">
        <v>0</v>
      </c>
      <c r="K1026" s="979">
        <v>0</v>
      </c>
      <c r="L1026" s="979">
        <v>0</v>
      </c>
      <c r="M1026" s="979">
        <v>599</v>
      </c>
    </row>
    <row r="1027" spans="1:13" ht="15">
      <c r="A1027" s="979" t="s">
        <v>3535</v>
      </c>
      <c r="B1027" s="1040" t="str">
        <f>CONCATENATE(LEFT(RIGHT(CONCATENATE("000",IFAData_TEA_1617!A1027),6),3),"-",(RIGHT(RIGHT(CONCATENATE("000",IFAData_TEA_1617!A1027),6),3)))</f>
        <v>101-902</v>
      </c>
      <c r="C1027" s="979" t="s">
        <v>699</v>
      </c>
      <c r="D1027" s="979">
        <v>9</v>
      </c>
      <c r="E1027" s="979">
        <v>1544</v>
      </c>
      <c r="F1027" s="979" t="s">
        <v>4782</v>
      </c>
      <c r="G1027" s="979" t="s">
        <v>4782</v>
      </c>
      <c r="H1027" s="979">
        <v>1073703</v>
      </c>
      <c r="I1027" s="979">
        <v>0</v>
      </c>
      <c r="J1027" s="979">
        <v>0</v>
      </c>
      <c r="K1027" s="979"/>
      <c r="L1027" s="979">
        <v>0</v>
      </c>
      <c r="M1027" s="979">
        <v>199</v>
      </c>
    </row>
    <row r="1028" spans="1:13" ht="15">
      <c r="A1028" s="979" t="s">
        <v>3535</v>
      </c>
      <c r="B1028" s="1040" t="str">
        <f>CONCATENATE(LEFT(RIGHT(CONCATENATE("000",IFAData_TEA_1617!A1028),6),3),"-",(RIGHT(RIGHT(CONCATENATE("000",IFAData_TEA_1617!A1028),6),3)))</f>
        <v>101-902</v>
      </c>
      <c r="C1028" s="979" t="s">
        <v>699</v>
      </c>
      <c r="D1028" s="979">
        <v>9</v>
      </c>
      <c r="E1028" s="979">
        <v>1547</v>
      </c>
      <c r="F1028" s="979" t="s">
        <v>4781</v>
      </c>
      <c r="G1028" s="979" t="s">
        <v>4781</v>
      </c>
      <c r="H1028" s="979">
        <v>6114066</v>
      </c>
      <c r="I1028" s="979">
        <v>5269081</v>
      </c>
      <c r="J1028" s="979">
        <v>1</v>
      </c>
      <c r="K1028" s="979">
        <v>6114066</v>
      </c>
      <c r="L1028" s="979">
        <v>5269081</v>
      </c>
      <c r="M1028" s="979">
        <v>599</v>
      </c>
    </row>
    <row r="1029" spans="1:13" ht="15">
      <c r="A1029" s="979" t="s">
        <v>3535</v>
      </c>
      <c r="B1029" s="1040" t="str">
        <f>CONCATENATE(LEFT(RIGHT(CONCATENATE("000",IFAData_TEA_1617!A1029),6),3),"-",(RIGHT(RIGHT(CONCATENATE("000",IFAData_TEA_1617!A1029),6),3)))</f>
        <v>101-902</v>
      </c>
      <c r="C1029" s="979" t="s">
        <v>699</v>
      </c>
      <c r="D1029" s="979">
        <v>5</v>
      </c>
      <c r="E1029" s="979">
        <v>1542</v>
      </c>
      <c r="F1029" s="979" t="s">
        <v>4779</v>
      </c>
      <c r="G1029" s="979" t="s">
        <v>4779</v>
      </c>
      <c r="H1029" s="979">
        <v>871410</v>
      </c>
      <c r="I1029" s="979">
        <v>0</v>
      </c>
      <c r="J1029" s="979">
        <v>0</v>
      </c>
      <c r="K1029" s="979">
        <v>0</v>
      </c>
      <c r="L1029" s="979">
        <v>0</v>
      </c>
      <c r="M1029" s="979">
        <v>199</v>
      </c>
    </row>
    <row r="1030" spans="1:13" ht="15">
      <c r="A1030" s="979" t="s">
        <v>3535</v>
      </c>
      <c r="B1030" s="1040" t="str">
        <f>CONCATENATE(LEFT(RIGHT(CONCATENATE("000",IFAData_TEA_1617!A1030),6),3),"-",(RIGHT(RIGHT(CONCATENATE("000",IFAData_TEA_1617!A1030),6),3)))</f>
        <v>101-902</v>
      </c>
      <c r="C1030" s="979" t="s">
        <v>699</v>
      </c>
      <c r="D1030" s="979">
        <v>5</v>
      </c>
      <c r="E1030" s="979">
        <v>1546</v>
      </c>
      <c r="F1030" s="979" t="s">
        <v>4778</v>
      </c>
      <c r="G1030" s="979" t="s">
        <v>4773</v>
      </c>
      <c r="H1030" s="979">
        <v>5192317</v>
      </c>
      <c r="I1030" s="979">
        <v>3807825</v>
      </c>
      <c r="J1030" s="979">
        <v>0.76823124984742608</v>
      </c>
      <c r="K1030" s="979">
        <v>3988900.1785140377</v>
      </c>
      <c r="L1030" s="979">
        <v>3807825</v>
      </c>
      <c r="M1030" s="979">
        <v>599</v>
      </c>
    </row>
    <row r="1031" spans="1:13" ht="15">
      <c r="A1031" s="979" t="s">
        <v>3535</v>
      </c>
      <c r="B1031" s="1040" t="str">
        <f>CONCATENATE(LEFT(RIGHT(CONCATENATE("000",IFAData_TEA_1617!A1031),6),3),"-",(RIGHT(RIGHT(CONCATENATE("000",IFAData_TEA_1617!A1031),6),3)))</f>
        <v>101-902</v>
      </c>
      <c r="C1031" s="979" t="s">
        <v>699</v>
      </c>
      <c r="D1031" s="979">
        <v>1</v>
      </c>
      <c r="E1031" s="979">
        <v>1548</v>
      </c>
      <c r="F1031" s="979" t="s">
        <v>4776</v>
      </c>
      <c r="G1031" s="979" t="s">
        <v>4773</v>
      </c>
      <c r="H1031" s="979">
        <v>6381926</v>
      </c>
      <c r="I1031" s="979">
        <v>286650</v>
      </c>
      <c r="J1031" s="979">
        <v>0.15259921743991056</v>
      </c>
      <c r="K1031" s="979">
        <v>973876.91335941863</v>
      </c>
      <c r="L1031" s="979">
        <v>286650</v>
      </c>
      <c r="M1031" s="979">
        <v>599</v>
      </c>
    </row>
    <row r="1032" spans="1:13" ht="15">
      <c r="A1032" s="979" t="s">
        <v>3535</v>
      </c>
      <c r="B1032" s="1040" t="str">
        <f>CONCATENATE(LEFT(RIGHT(CONCATENATE("000",IFAData_TEA_1617!A1032),6),3),"-",(RIGHT(RIGHT(CONCATENATE("000",IFAData_TEA_1617!A1032),6),3)))</f>
        <v>101-902</v>
      </c>
      <c r="C1032" s="979" t="s">
        <v>699</v>
      </c>
      <c r="D1032" s="979">
        <v>1</v>
      </c>
      <c r="E1032" s="979">
        <v>1545</v>
      </c>
      <c r="F1032" s="979" t="s">
        <v>4771</v>
      </c>
      <c r="G1032" s="979" t="s">
        <v>4773</v>
      </c>
      <c r="H1032" s="979">
        <v>3458574</v>
      </c>
      <c r="I1032" s="979">
        <v>296887</v>
      </c>
      <c r="J1032" s="979">
        <v>6.5184089994429803E-2</v>
      </c>
      <c r="K1032" s="979">
        <v>225443.99886839505</v>
      </c>
      <c r="L1032" s="979">
        <v>225443.99886839505</v>
      </c>
      <c r="M1032" s="979">
        <v>599</v>
      </c>
    </row>
    <row r="1033" spans="1:13" ht="15">
      <c r="A1033" s="979" t="s">
        <v>3536</v>
      </c>
      <c r="B1033" s="1040" t="str">
        <f>CONCATENATE(LEFT(RIGHT(CONCATENATE("000",IFAData_TEA_1617!A1033),6),3),"-",(RIGHT(RIGHT(CONCATENATE("000",IFAData_TEA_1617!A1033),6),3)))</f>
        <v>101-903</v>
      </c>
      <c r="C1033" s="979" t="s">
        <v>1987</v>
      </c>
      <c r="D1033" s="979">
        <v>3</v>
      </c>
      <c r="E1033" s="979">
        <v>1555</v>
      </c>
      <c r="F1033" s="979" t="s">
        <v>4789</v>
      </c>
      <c r="G1033" s="979" t="s">
        <v>4789</v>
      </c>
      <c r="H1033" s="979">
        <v>2098629</v>
      </c>
      <c r="I1033" s="979">
        <v>0</v>
      </c>
      <c r="J1033" s="979">
        <v>0</v>
      </c>
      <c r="K1033" s="979">
        <v>0</v>
      </c>
      <c r="L1033" s="979">
        <v>0</v>
      </c>
      <c r="M1033" s="979">
        <v>599</v>
      </c>
    </row>
    <row r="1034" spans="1:13" ht="15">
      <c r="A1034" s="979" t="s">
        <v>3536</v>
      </c>
      <c r="B1034" s="1040" t="str">
        <f>CONCATENATE(LEFT(RIGHT(CONCATENATE("000",IFAData_TEA_1617!A1034),6),3),"-",(RIGHT(RIGHT(CONCATENATE("000",IFAData_TEA_1617!A1034),6),3)))</f>
        <v>101-903</v>
      </c>
      <c r="C1034" s="979" t="s">
        <v>1987</v>
      </c>
      <c r="D1034" s="979">
        <v>3</v>
      </c>
      <c r="E1034" s="979">
        <v>1555</v>
      </c>
      <c r="F1034" s="979" t="s">
        <v>4789</v>
      </c>
      <c r="G1034" s="979" t="s">
        <v>6254</v>
      </c>
      <c r="H1034" s="979">
        <v>2098629</v>
      </c>
      <c r="I1034" s="979">
        <v>0</v>
      </c>
      <c r="J1034" s="979">
        <v>0</v>
      </c>
      <c r="K1034" s="979">
        <v>0</v>
      </c>
      <c r="L1034" s="979">
        <v>0</v>
      </c>
      <c r="M1034" s="979">
        <v>599</v>
      </c>
    </row>
    <row r="1035" spans="1:13" ht="15">
      <c r="A1035" s="979" t="s">
        <v>3536</v>
      </c>
      <c r="B1035" s="1040" t="str">
        <f>CONCATENATE(LEFT(RIGHT(CONCATENATE("000",IFAData_TEA_1617!A1035),6),3),"-",(RIGHT(RIGHT(CONCATENATE("000",IFAData_TEA_1617!A1035),6),3)))</f>
        <v>101-903</v>
      </c>
      <c r="C1035" s="979" t="s">
        <v>1987</v>
      </c>
      <c r="D1035" s="979">
        <v>1</v>
      </c>
      <c r="E1035" s="979">
        <v>1554</v>
      </c>
      <c r="F1035" s="979" t="s">
        <v>4783</v>
      </c>
      <c r="G1035" s="979" t="s">
        <v>4787</v>
      </c>
      <c r="H1035" s="979">
        <v>1417777</v>
      </c>
      <c r="I1035" s="979">
        <v>0</v>
      </c>
      <c r="J1035" s="979">
        <v>0</v>
      </c>
      <c r="K1035" s="979"/>
      <c r="L1035" s="979">
        <v>0</v>
      </c>
      <c r="M1035" s="979">
        <v>599</v>
      </c>
    </row>
    <row r="1036" spans="1:13" ht="15">
      <c r="A1036" s="979" t="s">
        <v>3536</v>
      </c>
      <c r="B1036" s="1040" t="str">
        <f>CONCATENATE(LEFT(RIGHT(CONCATENATE("000",IFAData_TEA_1617!A1036),6),3),"-",(RIGHT(RIGHT(CONCATENATE("000",IFAData_TEA_1617!A1036),6),3)))</f>
        <v>101-903</v>
      </c>
      <c r="C1036" s="979" t="s">
        <v>1987</v>
      </c>
      <c r="D1036" s="979">
        <v>3</v>
      </c>
      <c r="E1036" s="979">
        <v>1558</v>
      </c>
      <c r="F1036" s="979" t="s">
        <v>4791</v>
      </c>
      <c r="G1036" s="979" t="s">
        <v>4787</v>
      </c>
      <c r="H1036" s="979">
        <v>3113521</v>
      </c>
      <c r="I1036" s="979">
        <v>0</v>
      </c>
      <c r="J1036" s="979">
        <v>0</v>
      </c>
      <c r="K1036" s="979">
        <v>0</v>
      </c>
      <c r="L1036" s="979">
        <v>0</v>
      </c>
      <c r="M1036" s="979">
        <v>599</v>
      </c>
    </row>
    <row r="1037" spans="1:13" ht="15">
      <c r="A1037" s="979" t="s">
        <v>3536</v>
      </c>
      <c r="B1037" s="1040" t="str">
        <f>CONCATENATE(LEFT(RIGHT(CONCATENATE("000",IFAData_TEA_1617!A1037),6),3),"-",(RIGHT(RIGHT(CONCATENATE("000",IFAData_TEA_1617!A1037),6),3)))</f>
        <v>101-903</v>
      </c>
      <c r="C1037" s="979" t="s">
        <v>1987</v>
      </c>
      <c r="D1037" s="979">
        <v>2</v>
      </c>
      <c r="E1037" s="979">
        <v>1559</v>
      </c>
      <c r="F1037" s="979" t="s">
        <v>4788</v>
      </c>
      <c r="G1037" s="979" t="s">
        <v>4787</v>
      </c>
      <c r="H1037" s="979">
        <v>4312614</v>
      </c>
      <c r="I1037" s="979">
        <v>0</v>
      </c>
      <c r="J1037" s="979">
        <v>0</v>
      </c>
      <c r="K1037" s="979"/>
      <c r="L1037" s="979">
        <v>0</v>
      </c>
      <c r="M1037" s="979">
        <v>599</v>
      </c>
    </row>
    <row r="1038" spans="1:13" ht="15">
      <c r="A1038" s="979" t="s">
        <v>3536</v>
      </c>
      <c r="B1038" s="1040" t="str">
        <f>CONCATENATE(LEFT(RIGHT(CONCATENATE("000",IFAData_TEA_1617!A1038),6),3),"-",(RIGHT(RIGHT(CONCATENATE("000",IFAData_TEA_1617!A1038),6),3)))</f>
        <v>101-903</v>
      </c>
      <c r="C1038" s="979" t="s">
        <v>1987</v>
      </c>
      <c r="D1038" s="979">
        <v>1</v>
      </c>
      <c r="E1038" s="979">
        <v>1554</v>
      </c>
      <c r="F1038" s="979" t="s">
        <v>4783</v>
      </c>
      <c r="G1038" s="979" t="s">
        <v>4786</v>
      </c>
      <c r="H1038" s="979">
        <v>1417777</v>
      </c>
      <c r="I1038" s="979">
        <v>0</v>
      </c>
      <c r="J1038" s="979">
        <v>0</v>
      </c>
      <c r="K1038" s="979"/>
      <c r="L1038" s="979">
        <v>0</v>
      </c>
      <c r="M1038" s="979">
        <v>599</v>
      </c>
    </row>
    <row r="1039" spans="1:13" ht="15">
      <c r="A1039" s="979" t="s">
        <v>3536</v>
      </c>
      <c r="B1039" s="1040" t="str">
        <f>CONCATENATE(LEFT(RIGHT(CONCATENATE("000",IFAData_TEA_1617!A1039),6),3),"-",(RIGHT(RIGHT(CONCATENATE("000",IFAData_TEA_1617!A1039),6),3)))</f>
        <v>101-903</v>
      </c>
      <c r="C1039" s="979" t="s">
        <v>1987</v>
      </c>
      <c r="D1039" s="979">
        <v>3</v>
      </c>
      <c r="E1039" s="979">
        <v>1558</v>
      </c>
      <c r="F1039" s="979" t="s">
        <v>4791</v>
      </c>
      <c r="G1039" s="979" t="s">
        <v>4786</v>
      </c>
      <c r="H1039" s="979">
        <v>3113521</v>
      </c>
      <c r="I1039" s="979">
        <v>0</v>
      </c>
      <c r="J1039" s="979">
        <v>0</v>
      </c>
      <c r="K1039" s="979">
        <v>0</v>
      </c>
      <c r="L1039" s="979">
        <v>0</v>
      </c>
      <c r="M1039" s="979">
        <v>599</v>
      </c>
    </row>
    <row r="1040" spans="1:13" ht="15">
      <c r="A1040" s="979" t="s">
        <v>3536</v>
      </c>
      <c r="B1040" s="1040" t="str">
        <f>CONCATENATE(LEFT(RIGHT(CONCATENATE("000",IFAData_TEA_1617!A1040),6),3),"-",(RIGHT(RIGHT(CONCATENATE("000",IFAData_TEA_1617!A1040),6),3)))</f>
        <v>101-903</v>
      </c>
      <c r="C1040" s="979" t="s">
        <v>1987</v>
      </c>
      <c r="D1040" s="979">
        <v>2</v>
      </c>
      <c r="E1040" s="979">
        <v>1559</v>
      </c>
      <c r="F1040" s="979" t="s">
        <v>4788</v>
      </c>
      <c r="G1040" s="979" t="s">
        <v>4786</v>
      </c>
      <c r="H1040" s="979">
        <v>4312614</v>
      </c>
      <c r="I1040" s="979">
        <v>0</v>
      </c>
      <c r="J1040" s="979">
        <v>0</v>
      </c>
      <c r="K1040" s="979"/>
      <c r="L1040" s="979">
        <v>0</v>
      </c>
      <c r="M1040" s="979">
        <v>599</v>
      </c>
    </row>
    <row r="1041" spans="1:13" ht="15">
      <c r="A1041" s="979" t="s">
        <v>3536</v>
      </c>
      <c r="B1041" s="1040" t="str">
        <f>CONCATENATE(LEFT(RIGHT(CONCATENATE("000",IFAData_TEA_1617!A1041),6),3),"-",(RIGHT(RIGHT(CONCATENATE("000",IFAData_TEA_1617!A1041),6),3)))</f>
        <v>101-903</v>
      </c>
      <c r="C1041" s="979" t="s">
        <v>1987</v>
      </c>
      <c r="D1041" s="979">
        <v>5</v>
      </c>
      <c r="E1041" s="979">
        <v>1556</v>
      </c>
      <c r="F1041" s="979" t="s">
        <v>4793</v>
      </c>
      <c r="G1041" s="979" t="s">
        <v>4793</v>
      </c>
      <c r="H1041" s="979">
        <v>2380440</v>
      </c>
      <c r="I1041" s="979">
        <v>0</v>
      </c>
      <c r="J1041" s="979">
        <v>0</v>
      </c>
      <c r="K1041" s="979">
        <v>0</v>
      </c>
      <c r="L1041" s="979">
        <v>0</v>
      </c>
      <c r="M1041" s="979">
        <v>599</v>
      </c>
    </row>
    <row r="1042" spans="1:13" ht="15">
      <c r="A1042" s="979" t="s">
        <v>3536</v>
      </c>
      <c r="B1042" s="1040" t="str">
        <f>CONCATENATE(LEFT(RIGHT(CONCATENATE("000",IFAData_TEA_1617!A1042),6),3),"-",(RIGHT(RIGHT(CONCATENATE("000",IFAData_TEA_1617!A1042),6),3)))</f>
        <v>101-903</v>
      </c>
      <c r="C1042" s="979" t="s">
        <v>1987</v>
      </c>
      <c r="D1042" s="979">
        <v>2</v>
      </c>
      <c r="E1042" s="979">
        <v>1559</v>
      </c>
      <c r="F1042" s="979" t="s">
        <v>4788</v>
      </c>
      <c r="G1042" s="979" t="s">
        <v>4785</v>
      </c>
      <c r="H1042" s="979">
        <v>4312614</v>
      </c>
      <c r="I1042" s="979">
        <v>0</v>
      </c>
      <c r="J1042" s="979">
        <v>0</v>
      </c>
      <c r="K1042" s="979"/>
      <c r="L1042" s="979">
        <v>0</v>
      </c>
      <c r="M1042" s="979">
        <v>599</v>
      </c>
    </row>
    <row r="1043" spans="1:13" ht="15">
      <c r="A1043" s="979" t="s">
        <v>3536</v>
      </c>
      <c r="B1043" s="1040" t="str">
        <f>CONCATENATE(LEFT(RIGHT(CONCATENATE("000",IFAData_TEA_1617!A1043),6),3),"-",(RIGHT(RIGHT(CONCATENATE("000",IFAData_TEA_1617!A1043),6),3)))</f>
        <v>101-903</v>
      </c>
      <c r="C1043" s="979" t="s">
        <v>1987</v>
      </c>
      <c r="D1043" s="979">
        <v>3</v>
      </c>
      <c r="E1043" s="979">
        <v>1558</v>
      </c>
      <c r="F1043" s="979" t="s">
        <v>4791</v>
      </c>
      <c r="G1043" s="979" t="s">
        <v>4790</v>
      </c>
      <c r="H1043" s="979">
        <v>3113521</v>
      </c>
      <c r="I1043" s="979">
        <v>0</v>
      </c>
      <c r="J1043" s="979">
        <v>0</v>
      </c>
      <c r="K1043" s="979">
        <v>0</v>
      </c>
      <c r="L1043" s="979">
        <v>0</v>
      </c>
      <c r="M1043" s="979">
        <v>599</v>
      </c>
    </row>
    <row r="1044" spans="1:13" ht="15">
      <c r="A1044" s="979" t="s">
        <v>3536</v>
      </c>
      <c r="B1044" s="1040" t="str">
        <f>CONCATENATE(LEFT(RIGHT(CONCATENATE("000",IFAData_TEA_1617!A1044),6),3),"-",(RIGHT(RIGHT(CONCATENATE("000",IFAData_TEA_1617!A1044),6),3)))</f>
        <v>101-903</v>
      </c>
      <c r="C1044" s="979" t="s">
        <v>1987</v>
      </c>
      <c r="D1044" s="979">
        <v>5</v>
      </c>
      <c r="E1044" s="979">
        <v>1556</v>
      </c>
      <c r="F1044" s="979" t="s">
        <v>4793</v>
      </c>
      <c r="G1044" s="979" t="s">
        <v>6254</v>
      </c>
      <c r="H1044" s="979">
        <v>2380440</v>
      </c>
      <c r="I1044" s="979">
        <v>0</v>
      </c>
      <c r="J1044" s="979">
        <v>0</v>
      </c>
      <c r="K1044" s="979">
        <v>0</v>
      </c>
      <c r="L1044" s="979">
        <v>0</v>
      </c>
      <c r="M1044" s="979">
        <v>599</v>
      </c>
    </row>
    <row r="1045" spans="1:13" ht="15">
      <c r="A1045" s="979" t="s">
        <v>3536</v>
      </c>
      <c r="B1045" s="1040" t="str">
        <f>CONCATENATE(LEFT(RIGHT(CONCATENATE("000",IFAData_TEA_1617!A1045),6),3),"-",(RIGHT(RIGHT(CONCATENATE("000",IFAData_TEA_1617!A1045),6),3)))</f>
        <v>101-903</v>
      </c>
      <c r="C1045" s="979" t="s">
        <v>1987</v>
      </c>
      <c r="D1045" s="979">
        <v>1</v>
      </c>
      <c r="E1045" s="979">
        <v>1554</v>
      </c>
      <c r="F1045" s="979" t="s">
        <v>4783</v>
      </c>
      <c r="G1045" s="979" t="s">
        <v>4783</v>
      </c>
      <c r="H1045" s="979">
        <v>1417777</v>
      </c>
      <c r="I1045" s="979">
        <v>0</v>
      </c>
      <c r="J1045" s="979">
        <v>0</v>
      </c>
      <c r="K1045" s="979"/>
      <c r="L1045" s="979">
        <v>0</v>
      </c>
      <c r="M1045" s="979">
        <v>599</v>
      </c>
    </row>
    <row r="1046" spans="1:13" ht="15">
      <c r="A1046" s="979" t="s">
        <v>3536</v>
      </c>
      <c r="B1046" s="1040" t="str">
        <f>CONCATENATE(LEFT(RIGHT(CONCATENATE("000",IFAData_TEA_1617!A1046),6),3),"-",(RIGHT(RIGHT(CONCATENATE("000",IFAData_TEA_1617!A1046),6),3)))</f>
        <v>101-903</v>
      </c>
      <c r="C1046" s="979" t="s">
        <v>1987</v>
      </c>
      <c r="D1046" s="979">
        <v>1</v>
      </c>
      <c r="E1046" s="979">
        <v>1554</v>
      </c>
      <c r="F1046" s="979" t="s">
        <v>4783</v>
      </c>
      <c r="G1046" s="979" t="s">
        <v>4784</v>
      </c>
      <c r="H1046" s="979">
        <v>1417777</v>
      </c>
      <c r="I1046" s="979">
        <v>0</v>
      </c>
      <c r="J1046" s="979">
        <v>0</v>
      </c>
      <c r="K1046" s="979"/>
      <c r="L1046" s="979">
        <v>0</v>
      </c>
      <c r="M1046" s="979">
        <v>599</v>
      </c>
    </row>
    <row r="1047" spans="1:13" ht="15">
      <c r="A1047" s="979" t="s">
        <v>3536</v>
      </c>
      <c r="B1047" s="1040" t="str">
        <f>CONCATENATE(LEFT(RIGHT(CONCATENATE("000",IFAData_TEA_1617!A1047),6),3),"-",(RIGHT(RIGHT(CONCATENATE("000",IFAData_TEA_1617!A1047),6),3)))</f>
        <v>101-903</v>
      </c>
      <c r="C1047" s="979" t="s">
        <v>1987</v>
      </c>
      <c r="D1047" s="979">
        <v>2</v>
      </c>
      <c r="E1047" s="979">
        <v>1559</v>
      </c>
      <c r="F1047" s="979" t="s">
        <v>4788</v>
      </c>
      <c r="G1047" s="979" t="s">
        <v>4784</v>
      </c>
      <c r="H1047" s="979">
        <v>4312614</v>
      </c>
      <c r="I1047" s="979">
        <v>0</v>
      </c>
      <c r="J1047" s="979">
        <v>0</v>
      </c>
      <c r="K1047" s="979"/>
      <c r="L1047" s="979">
        <v>0</v>
      </c>
      <c r="M1047" s="979">
        <v>599</v>
      </c>
    </row>
    <row r="1048" spans="1:13" ht="15">
      <c r="A1048" s="979" t="s">
        <v>3536</v>
      </c>
      <c r="B1048" s="1040" t="str">
        <f>CONCATENATE(LEFT(RIGHT(CONCATENATE("000",IFAData_TEA_1617!A1048),6),3),"-",(RIGHT(RIGHT(CONCATENATE("000",IFAData_TEA_1617!A1048),6),3)))</f>
        <v>101-903</v>
      </c>
      <c r="C1048" s="979" t="s">
        <v>1987</v>
      </c>
      <c r="D1048" s="979">
        <v>3</v>
      </c>
      <c r="E1048" s="979">
        <v>1558</v>
      </c>
      <c r="F1048" s="979" t="s">
        <v>4791</v>
      </c>
      <c r="G1048" s="979" t="s">
        <v>6254</v>
      </c>
      <c r="H1048" s="979">
        <v>3113521</v>
      </c>
      <c r="I1048" s="979">
        <v>0</v>
      </c>
      <c r="J1048" s="979">
        <v>0</v>
      </c>
      <c r="K1048" s="979">
        <v>0</v>
      </c>
      <c r="L1048" s="979">
        <v>0</v>
      </c>
      <c r="M1048" s="979">
        <v>599</v>
      </c>
    </row>
    <row r="1049" spans="1:13" ht="15">
      <c r="A1049" s="979" t="s">
        <v>3536</v>
      </c>
      <c r="B1049" s="1040" t="str">
        <f>CONCATENATE(LEFT(RIGHT(CONCATENATE("000",IFAData_TEA_1617!A1049),6),3),"-",(RIGHT(RIGHT(CONCATENATE("000",IFAData_TEA_1617!A1049),6),3)))</f>
        <v>101-903</v>
      </c>
      <c r="C1049" s="979" t="s">
        <v>1987</v>
      </c>
      <c r="D1049" s="979">
        <v>3</v>
      </c>
      <c r="E1049" s="979">
        <v>1555</v>
      </c>
      <c r="F1049" s="979" t="s">
        <v>4789</v>
      </c>
      <c r="G1049" s="979" t="s">
        <v>6469</v>
      </c>
      <c r="H1049" s="979">
        <v>2098629</v>
      </c>
      <c r="I1049" s="979">
        <v>96626</v>
      </c>
      <c r="J1049" s="979">
        <v>1</v>
      </c>
      <c r="K1049" s="979">
        <v>2098629</v>
      </c>
      <c r="L1049" s="979">
        <v>96626</v>
      </c>
      <c r="M1049" s="979">
        <v>599</v>
      </c>
    </row>
    <row r="1050" spans="1:13" ht="15">
      <c r="A1050" s="979" t="s">
        <v>3536</v>
      </c>
      <c r="B1050" s="1040" t="str">
        <f>CONCATENATE(LEFT(RIGHT(CONCATENATE("000",IFAData_TEA_1617!A1050),6),3),"-",(RIGHT(RIGHT(CONCATENATE("000",IFAData_TEA_1617!A1050),6),3)))</f>
        <v>101-903</v>
      </c>
      <c r="C1050" s="979" t="s">
        <v>1987</v>
      </c>
      <c r="D1050" s="979">
        <v>10</v>
      </c>
      <c r="E1050" s="979">
        <v>1552</v>
      </c>
      <c r="F1050" s="979" t="s">
        <v>4796</v>
      </c>
      <c r="G1050" s="979" t="s">
        <v>4796</v>
      </c>
      <c r="H1050" s="979">
        <v>901072</v>
      </c>
      <c r="I1050" s="979">
        <v>910461</v>
      </c>
      <c r="J1050" s="979">
        <v>1</v>
      </c>
      <c r="K1050" s="979">
        <v>901072</v>
      </c>
      <c r="L1050" s="979">
        <v>901072</v>
      </c>
      <c r="M1050" s="979">
        <v>599</v>
      </c>
    </row>
    <row r="1051" spans="1:13" ht="15">
      <c r="A1051" s="979" t="s">
        <v>3536</v>
      </c>
      <c r="B1051" s="1040" t="str">
        <f>CONCATENATE(LEFT(RIGHT(CONCATENATE("000",IFAData_TEA_1617!A1051),6),3),"-",(RIGHT(RIGHT(CONCATENATE("000",IFAData_TEA_1617!A1051),6),3)))</f>
        <v>101-903</v>
      </c>
      <c r="C1051" s="979" t="s">
        <v>1987</v>
      </c>
      <c r="D1051" s="979">
        <v>5</v>
      </c>
      <c r="E1051" s="979">
        <v>1556</v>
      </c>
      <c r="F1051" s="979" t="s">
        <v>4793</v>
      </c>
      <c r="G1051" s="979" t="s">
        <v>4792</v>
      </c>
      <c r="H1051" s="979">
        <v>2380440</v>
      </c>
      <c r="I1051" s="979">
        <v>0</v>
      </c>
      <c r="J1051" s="979">
        <v>0</v>
      </c>
      <c r="K1051" s="979">
        <v>0</v>
      </c>
      <c r="L1051" s="979">
        <v>0</v>
      </c>
      <c r="M1051" s="979">
        <v>599</v>
      </c>
    </row>
    <row r="1052" spans="1:13" ht="15">
      <c r="A1052" s="979" t="s">
        <v>3536</v>
      </c>
      <c r="B1052" s="1040" t="str">
        <f>CONCATENATE(LEFT(RIGHT(CONCATENATE("000",IFAData_TEA_1617!A1052),6),3),"-",(RIGHT(RIGHT(CONCATENATE("000",IFAData_TEA_1617!A1052),6),3)))</f>
        <v>101-903</v>
      </c>
      <c r="C1052" s="979" t="s">
        <v>1987</v>
      </c>
      <c r="D1052" s="979">
        <v>6</v>
      </c>
      <c r="E1052" s="979">
        <v>1557</v>
      </c>
      <c r="F1052" s="979" t="s">
        <v>4794</v>
      </c>
      <c r="G1052" s="979" t="s">
        <v>4792</v>
      </c>
      <c r="H1052" s="979">
        <v>2566718</v>
      </c>
      <c r="I1052" s="979">
        <v>1123975</v>
      </c>
      <c r="J1052" s="979">
        <v>1</v>
      </c>
      <c r="K1052" s="979">
        <v>2566718</v>
      </c>
      <c r="L1052" s="979">
        <v>1123975</v>
      </c>
      <c r="M1052" s="979">
        <v>599</v>
      </c>
    </row>
    <row r="1053" spans="1:13" ht="15">
      <c r="A1053" s="979" t="s">
        <v>3536</v>
      </c>
      <c r="B1053" s="1040" t="str">
        <f>CONCATENATE(LEFT(RIGHT(CONCATENATE("000",IFAData_TEA_1617!A1053),6),3),"-",(RIGHT(RIGHT(CONCATENATE("000",IFAData_TEA_1617!A1053),6),3)))</f>
        <v>101-903</v>
      </c>
      <c r="C1053" s="979" t="s">
        <v>1987</v>
      </c>
      <c r="D1053" s="979">
        <v>3</v>
      </c>
      <c r="E1053" s="979">
        <v>1558</v>
      </c>
      <c r="F1053" s="979" t="s">
        <v>4791</v>
      </c>
      <c r="G1053" s="979" t="s">
        <v>4792</v>
      </c>
      <c r="H1053" s="979">
        <v>3113521</v>
      </c>
      <c r="I1053" s="979">
        <v>0</v>
      </c>
      <c r="J1053" s="979">
        <v>0</v>
      </c>
      <c r="K1053" s="979">
        <v>0</v>
      </c>
      <c r="L1053" s="979">
        <v>0</v>
      </c>
      <c r="M1053" s="979">
        <v>599</v>
      </c>
    </row>
    <row r="1054" spans="1:13" ht="15">
      <c r="A1054" s="979" t="s">
        <v>3536</v>
      </c>
      <c r="B1054" s="1040" t="str">
        <f>CONCATENATE(LEFT(RIGHT(CONCATENATE("000",IFAData_TEA_1617!A1054),6),3),"-",(RIGHT(RIGHT(CONCATENATE("000",IFAData_TEA_1617!A1054),6),3)))</f>
        <v>101-903</v>
      </c>
      <c r="C1054" s="979" t="s">
        <v>1987</v>
      </c>
      <c r="D1054" s="979">
        <v>1</v>
      </c>
      <c r="E1054" s="979">
        <v>1554</v>
      </c>
      <c r="F1054" s="979" t="s">
        <v>4783</v>
      </c>
      <c r="G1054" s="979" t="s">
        <v>4785</v>
      </c>
      <c r="H1054" s="979">
        <v>1417777</v>
      </c>
      <c r="I1054" s="979">
        <v>0</v>
      </c>
      <c r="J1054" s="979">
        <v>0</v>
      </c>
      <c r="K1054" s="979"/>
      <c r="L1054" s="979">
        <v>0</v>
      </c>
      <c r="M1054" s="979">
        <v>599</v>
      </c>
    </row>
    <row r="1055" spans="1:13" ht="15">
      <c r="A1055" s="979" t="s">
        <v>3536</v>
      </c>
      <c r="B1055" s="1040" t="str">
        <f>CONCATENATE(LEFT(RIGHT(CONCATENATE("000",IFAData_TEA_1617!A1055),6),3),"-",(RIGHT(RIGHT(CONCATENATE("000",IFAData_TEA_1617!A1055),6),3)))</f>
        <v>101-903</v>
      </c>
      <c r="C1055" s="979" t="s">
        <v>1987</v>
      </c>
      <c r="D1055" s="979">
        <v>3</v>
      </c>
      <c r="E1055" s="979">
        <v>1555</v>
      </c>
      <c r="F1055" s="979" t="s">
        <v>4789</v>
      </c>
      <c r="G1055" s="979" t="s">
        <v>4785</v>
      </c>
      <c r="H1055" s="979">
        <v>2098629</v>
      </c>
      <c r="I1055" s="979">
        <v>0</v>
      </c>
      <c r="J1055" s="979">
        <v>0</v>
      </c>
      <c r="K1055" s="979">
        <v>0</v>
      </c>
      <c r="L1055" s="979">
        <v>0</v>
      </c>
      <c r="M1055" s="979">
        <v>599</v>
      </c>
    </row>
    <row r="1056" spans="1:13" ht="15">
      <c r="A1056" s="979" t="s">
        <v>3536</v>
      </c>
      <c r="B1056" s="1040" t="str">
        <f>CONCATENATE(LEFT(RIGHT(CONCATENATE("000",IFAData_TEA_1617!A1056),6),3),"-",(RIGHT(RIGHT(CONCATENATE("000",IFAData_TEA_1617!A1056),6),3)))</f>
        <v>101-903</v>
      </c>
      <c r="C1056" s="979" t="s">
        <v>1987</v>
      </c>
      <c r="D1056" s="979">
        <v>10</v>
      </c>
      <c r="E1056" s="979">
        <v>1553</v>
      </c>
      <c r="F1056" s="979" t="s">
        <v>4795</v>
      </c>
      <c r="G1056" s="979" t="s">
        <v>4795</v>
      </c>
      <c r="H1056" s="979">
        <v>967583</v>
      </c>
      <c r="I1056" s="979">
        <v>1032089</v>
      </c>
      <c r="J1056" s="979">
        <v>1</v>
      </c>
      <c r="K1056" s="979">
        <v>967583</v>
      </c>
      <c r="L1056" s="979">
        <v>967583</v>
      </c>
      <c r="M1056" s="979">
        <v>599</v>
      </c>
    </row>
    <row r="1057" spans="1:13" ht="15">
      <c r="A1057" s="979" t="s">
        <v>3536</v>
      </c>
      <c r="B1057" s="1040" t="str">
        <f>CONCATENATE(LEFT(RIGHT(CONCATENATE("000",IFAData_TEA_1617!A1057),6),3),"-",(RIGHT(RIGHT(CONCATENATE("000",IFAData_TEA_1617!A1057),6),3)))</f>
        <v>101-903</v>
      </c>
      <c r="C1057" s="979" t="s">
        <v>1987</v>
      </c>
      <c r="D1057" s="979">
        <v>3</v>
      </c>
      <c r="E1057" s="979">
        <v>1558</v>
      </c>
      <c r="F1057" s="979" t="s">
        <v>4791</v>
      </c>
      <c r="G1057" s="979" t="s">
        <v>4784</v>
      </c>
      <c r="H1057" s="979">
        <v>3113521</v>
      </c>
      <c r="I1057" s="979">
        <v>0</v>
      </c>
      <c r="J1057" s="979">
        <v>0</v>
      </c>
      <c r="K1057" s="979">
        <v>0</v>
      </c>
      <c r="L1057" s="979">
        <v>0</v>
      </c>
      <c r="M1057" s="979">
        <v>599</v>
      </c>
    </row>
    <row r="1058" spans="1:13" ht="15">
      <c r="A1058" s="979" t="s">
        <v>3536</v>
      </c>
      <c r="B1058" s="1040" t="str">
        <f>CONCATENATE(LEFT(RIGHT(CONCATENATE("000",IFAData_TEA_1617!A1058),6),3),"-",(RIGHT(RIGHT(CONCATENATE("000",IFAData_TEA_1617!A1058),6),3)))</f>
        <v>101-903</v>
      </c>
      <c r="C1058" s="979" t="s">
        <v>1987</v>
      </c>
      <c r="D1058" s="979">
        <v>3</v>
      </c>
      <c r="E1058" s="979">
        <v>1558</v>
      </c>
      <c r="F1058" s="979" t="s">
        <v>4791</v>
      </c>
      <c r="G1058" s="979" t="s">
        <v>4791</v>
      </c>
      <c r="H1058" s="979">
        <v>3113521</v>
      </c>
      <c r="I1058" s="979">
        <v>0</v>
      </c>
      <c r="J1058" s="979">
        <v>0</v>
      </c>
      <c r="K1058" s="979">
        <v>0</v>
      </c>
      <c r="L1058" s="979">
        <v>0</v>
      </c>
      <c r="M1058" s="979">
        <v>599</v>
      </c>
    </row>
    <row r="1059" spans="1:13" ht="15">
      <c r="A1059" s="979" t="s">
        <v>3536</v>
      </c>
      <c r="B1059" s="1040" t="str">
        <f>CONCATENATE(LEFT(RIGHT(CONCATENATE("000",IFAData_TEA_1617!A1059),6),3),"-",(RIGHT(RIGHT(CONCATENATE("000",IFAData_TEA_1617!A1059),6),3)))</f>
        <v>101-903</v>
      </c>
      <c r="C1059" s="979" t="s">
        <v>1987</v>
      </c>
      <c r="D1059" s="979">
        <v>3</v>
      </c>
      <c r="E1059" s="979">
        <v>1558</v>
      </c>
      <c r="F1059" s="979" t="s">
        <v>4791</v>
      </c>
      <c r="G1059" s="979" t="s">
        <v>6469</v>
      </c>
      <c r="H1059" s="979">
        <v>3113521</v>
      </c>
      <c r="I1059" s="979">
        <v>158409</v>
      </c>
      <c r="J1059" s="979">
        <v>1</v>
      </c>
      <c r="K1059" s="979">
        <v>3113521</v>
      </c>
      <c r="L1059" s="979">
        <v>158409</v>
      </c>
      <c r="M1059" s="979">
        <v>599</v>
      </c>
    </row>
    <row r="1060" spans="1:13" ht="15">
      <c r="A1060" s="979" t="s">
        <v>3536</v>
      </c>
      <c r="B1060" s="1040" t="str">
        <f>CONCATENATE(LEFT(RIGHT(CONCATENATE("000",IFAData_TEA_1617!A1060),6),3),"-",(RIGHT(RIGHT(CONCATENATE("000",IFAData_TEA_1617!A1060),6),3)))</f>
        <v>101-903</v>
      </c>
      <c r="C1060" s="979" t="s">
        <v>1987</v>
      </c>
      <c r="D1060" s="979">
        <v>2</v>
      </c>
      <c r="E1060" s="979">
        <v>1559</v>
      </c>
      <c r="F1060" s="979" t="s">
        <v>4788</v>
      </c>
      <c r="G1060" s="979" t="s">
        <v>4788</v>
      </c>
      <c r="H1060" s="979">
        <v>4312614</v>
      </c>
      <c r="I1060" s="979">
        <v>0</v>
      </c>
      <c r="J1060" s="979">
        <v>0</v>
      </c>
      <c r="K1060" s="979"/>
      <c r="L1060" s="979">
        <v>0</v>
      </c>
      <c r="M1060" s="979">
        <v>599</v>
      </c>
    </row>
    <row r="1061" spans="1:13" ht="15">
      <c r="A1061" s="979" t="s">
        <v>3536</v>
      </c>
      <c r="B1061" s="1040" t="str">
        <f>CONCATENATE(LEFT(RIGHT(CONCATENATE("000",IFAData_TEA_1617!A1061),6),3),"-",(RIGHT(RIGHT(CONCATENATE("000",IFAData_TEA_1617!A1061),6),3)))</f>
        <v>101-903</v>
      </c>
      <c r="C1061" s="979" t="s">
        <v>1987</v>
      </c>
      <c r="D1061" s="979">
        <v>5</v>
      </c>
      <c r="E1061" s="979">
        <v>1556</v>
      </c>
      <c r="F1061" s="979" t="s">
        <v>4793</v>
      </c>
      <c r="G1061" s="979" t="s">
        <v>6469</v>
      </c>
      <c r="H1061" s="979">
        <v>2380440</v>
      </c>
      <c r="I1061" s="979">
        <v>259810</v>
      </c>
      <c r="J1061" s="979">
        <v>1</v>
      </c>
      <c r="K1061" s="979">
        <v>2380440</v>
      </c>
      <c r="L1061" s="979">
        <v>259810</v>
      </c>
      <c r="M1061" s="979">
        <v>599</v>
      </c>
    </row>
    <row r="1062" spans="1:13" ht="15">
      <c r="A1062" s="979" t="s">
        <v>3536</v>
      </c>
      <c r="B1062" s="1040" t="str">
        <f>CONCATENATE(LEFT(RIGHT(CONCATENATE("000",IFAData_TEA_1617!A1062),6),3),"-",(RIGHT(RIGHT(CONCATENATE("000",IFAData_TEA_1617!A1062),6),3)))</f>
        <v>101-903</v>
      </c>
      <c r="C1062" s="979" t="s">
        <v>1987</v>
      </c>
      <c r="D1062" s="979">
        <v>6</v>
      </c>
      <c r="E1062" s="979">
        <v>1557</v>
      </c>
      <c r="F1062" s="979" t="s">
        <v>4794</v>
      </c>
      <c r="G1062" s="979" t="s">
        <v>4794</v>
      </c>
      <c r="H1062" s="979">
        <v>2566718</v>
      </c>
      <c r="I1062" s="979">
        <v>0</v>
      </c>
      <c r="J1062" s="979">
        <v>0</v>
      </c>
      <c r="K1062" s="979">
        <v>0</v>
      </c>
      <c r="L1062" s="979">
        <v>0</v>
      </c>
      <c r="M1062" s="979">
        <v>599</v>
      </c>
    </row>
    <row r="1063" spans="1:13" ht="15">
      <c r="A1063" s="979" t="s">
        <v>3536</v>
      </c>
      <c r="B1063" s="1040" t="str">
        <f>CONCATENATE(LEFT(RIGHT(CONCATENATE("000",IFAData_TEA_1617!A1063),6),3),"-",(RIGHT(RIGHT(CONCATENATE("000",IFAData_TEA_1617!A1063),6),3)))</f>
        <v>101-903</v>
      </c>
      <c r="C1063" s="979" t="s">
        <v>1987</v>
      </c>
      <c r="D1063" s="979">
        <v>5</v>
      </c>
      <c r="E1063" s="979">
        <v>1556</v>
      </c>
      <c r="F1063" s="979" t="s">
        <v>4793</v>
      </c>
      <c r="G1063" s="979" t="s">
        <v>4790</v>
      </c>
      <c r="H1063" s="979">
        <v>2380440</v>
      </c>
      <c r="I1063" s="979">
        <v>0</v>
      </c>
      <c r="J1063" s="979">
        <v>0</v>
      </c>
      <c r="K1063" s="979">
        <v>0</v>
      </c>
      <c r="L1063" s="979">
        <v>0</v>
      </c>
      <c r="M1063" s="979">
        <v>599</v>
      </c>
    </row>
    <row r="1064" spans="1:13" ht="15">
      <c r="A1064" s="979" t="s">
        <v>3536</v>
      </c>
      <c r="B1064" s="1040" t="str">
        <f>CONCATENATE(LEFT(RIGHT(CONCATENATE("000",IFAData_TEA_1617!A1064),6),3),"-",(RIGHT(RIGHT(CONCATENATE("000",IFAData_TEA_1617!A1064),6),3)))</f>
        <v>101-903</v>
      </c>
      <c r="C1064" s="979" t="s">
        <v>1987</v>
      </c>
      <c r="D1064" s="979">
        <v>3</v>
      </c>
      <c r="E1064" s="979">
        <v>1555</v>
      </c>
      <c r="F1064" s="979" t="s">
        <v>4789</v>
      </c>
      <c r="G1064" s="979" t="s">
        <v>4790</v>
      </c>
      <c r="H1064" s="979">
        <v>2098629</v>
      </c>
      <c r="I1064" s="979">
        <v>0</v>
      </c>
      <c r="J1064" s="979">
        <v>0</v>
      </c>
      <c r="K1064" s="979">
        <v>0</v>
      </c>
      <c r="L1064" s="979">
        <v>0</v>
      </c>
      <c r="M1064" s="979">
        <v>599</v>
      </c>
    </row>
    <row r="1065" spans="1:13" ht="15">
      <c r="A1065" s="979" t="s">
        <v>3537</v>
      </c>
      <c r="B1065" s="1040" t="str">
        <f>CONCATENATE(LEFT(RIGHT(CONCATENATE("000",IFAData_TEA_1617!A1065),6),3),"-",(RIGHT(RIGHT(CONCATENATE("000",IFAData_TEA_1617!A1065),6),3)))</f>
        <v>101-905</v>
      </c>
      <c r="C1065" s="979" t="s">
        <v>480</v>
      </c>
      <c r="D1065" s="979">
        <v>10</v>
      </c>
      <c r="E1065" s="979">
        <v>1678</v>
      </c>
      <c r="F1065" s="979" t="s">
        <v>4798</v>
      </c>
      <c r="G1065" s="979" t="s">
        <v>4798</v>
      </c>
      <c r="H1065" s="979">
        <v>1101389</v>
      </c>
      <c r="I1065" s="979">
        <v>1112329</v>
      </c>
      <c r="J1065" s="979">
        <v>1</v>
      </c>
      <c r="K1065" s="979">
        <v>1101389</v>
      </c>
      <c r="L1065" s="979">
        <v>1101389</v>
      </c>
      <c r="M1065" s="979">
        <v>599</v>
      </c>
    </row>
    <row r="1066" spans="1:13" ht="15">
      <c r="A1066" s="979" t="s">
        <v>3537</v>
      </c>
      <c r="B1066" s="1040" t="str">
        <f>CONCATENATE(LEFT(RIGHT(CONCATENATE("000",IFAData_TEA_1617!A1066),6),3),"-",(RIGHT(RIGHT(CONCATENATE("000",IFAData_TEA_1617!A1066),6),3)))</f>
        <v>101-905</v>
      </c>
      <c r="C1066" s="979" t="s">
        <v>480</v>
      </c>
      <c r="D1066" s="979">
        <v>10</v>
      </c>
      <c r="E1066" s="979">
        <v>1677</v>
      </c>
      <c r="F1066" s="979" t="s">
        <v>4797</v>
      </c>
      <c r="G1066" s="979" t="s">
        <v>4797</v>
      </c>
      <c r="H1066" s="979">
        <v>330868</v>
      </c>
      <c r="I1066" s="979">
        <v>1362738</v>
      </c>
      <c r="J1066" s="979">
        <v>1</v>
      </c>
      <c r="K1066" s="979">
        <v>330868</v>
      </c>
      <c r="L1066" s="979">
        <v>330868</v>
      </c>
      <c r="M1066" s="979">
        <v>599</v>
      </c>
    </row>
    <row r="1067" spans="1:13" ht="15">
      <c r="A1067" s="979" t="s">
        <v>3538</v>
      </c>
      <c r="B1067" s="1040" t="str">
        <f>CONCATENATE(LEFT(RIGHT(CONCATENATE("000",IFAData_TEA_1617!A1067),6),3),"-",(RIGHT(RIGHT(CONCATENATE("000",IFAData_TEA_1617!A1067),6),3)))</f>
        <v>101-906</v>
      </c>
      <c r="C1067" s="979" t="s">
        <v>418</v>
      </c>
      <c r="D1067" s="979">
        <v>3</v>
      </c>
      <c r="E1067" s="979">
        <v>1732</v>
      </c>
      <c r="F1067" s="979" t="s">
        <v>4799</v>
      </c>
      <c r="G1067" s="979" t="s">
        <v>4799</v>
      </c>
      <c r="H1067" s="979">
        <v>926340</v>
      </c>
      <c r="I1067" s="979">
        <v>1290569</v>
      </c>
      <c r="J1067" s="979">
        <v>0.6128119036324674</v>
      </c>
      <c r="K1067" s="979">
        <v>567672.17881089984</v>
      </c>
      <c r="L1067" s="979">
        <v>567672.17881089984</v>
      </c>
      <c r="M1067" s="979">
        <v>599</v>
      </c>
    </row>
    <row r="1068" spans="1:13" ht="15">
      <c r="A1068" s="979" t="s">
        <v>3538</v>
      </c>
      <c r="B1068" s="1040" t="str">
        <f>CONCATENATE(LEFT(RIGHT(CONCATENATE("000",IFAData_TEA_1617!A1068),6),3),"-",(RIGHT(RIGHT(CONCATENATE("000",IFAData_TEA_1617!A1068),6),3)))</f>
        <v>101-906</v>
      </c>
      <c r="C1068" s="979" t="s">
        <v>418</v>
      </c>
      <c r="D1068" s="979">
        <v>3</v>
      </c>
      <c r="E1068" s="979">
        <v>1732</v>
      </c>
      <c r="F1068" s="979" t="s">
        <v>4799</v>
      </c>
      <c r="G1068" s="979" t="s">
        <v>4800</v>
      </c>
      <c r="H1068" s="979">
        <v>926340</v>
      </c>
      <c r="I1068" s="979">
        <v>335782</v>
      </c>
      <c r="J1068" s="979">
        <v>0.15944223565382182</v>
      </c>
      <c r="K1068" s="979">
        <v>147697.72057556131</v>
      </c>
      <c r="L1068" s="979">
        <v>147697.72057556131</v>
      </c>
      <c r="M1068" s="979">
        <v>599</v>
      </c>
    </row>
    <row r="1069" spans="1:13" ht="15">
      <c r="A1069" s="979" t="s">
        <v>3538</v>
      </c>
      <c r="B1069" s="1040" t="str">
        <f>CONCATENATE(LEFT(RIGHT(CONCATENATE("000",IFAData_TEA_1617!A1069),6),3),"-",(RIGHT(RIGHT(CONCATENATE("000",IFAData_TEA_1617!A1069),6),3)))</f>
        <v>101-906</v>
      </c>
      <c r="C1069" s="979" t="s">
        <v>418</v>
      </c>
      <c r="D1069" s="979">
        <v>3</v>
      </c>
      <c r="E1069" s="979">
        <v>1732</v>
      </c>
      <c r="F1069" s="979" t="s">
        <v>4799</v>
      </c>
      <c r="G1069" s="979" t="s">
        <v>4801</v>
      </c>
      <c r="H1069" s="979">
        <v>926340</v>
      </c>
      <c r="I1069" s="979">
        <v>145249</v>
      </c>
      <c r="J1069" s="979">
        <v>6.8969823535752262E-2</v>
      </c>
      <c r="K1069" s="979">
        <v>63889.506334108752</v>
      </c>
      <c r="L1069" s="979">
        <v>63889.506334108752</v>
      </c>
      <c r="M1069" s="979">
        <v>599</v>
      </c>
    </row>
    <row r="1070" spans="1:13" ht="15">
      <c r="A1070" s="979" t="s">
        <v>3538</v>
      </c>
      <c r="B1070" s="1040" t="str">
        <f>CONCATENATE(LEFT(RIGHT(CONCATENATE("000",IFAData_TEA_1617!A1070),6),3),"-",(RIGHT(RIGHT(CONCATENATE("000",IFAData_TEA_1617!A1070),6),3)))</f>
        <v>101-906</v>
      </c>
      <c r="C1070" s="979" t="s">
        <v>418</v>
      </c>
      <c r="D1070" s="979">
        <v>3</v>
      </c>
      <c r="E1070" s="979">
        <v>1732</v>
      </c>
      <c r="F1070" s="979" t="s">
        <v>4799</v>
      </c>
      <c r="G1070" s="979" t="s">
        <v>6470</v>
      </c>
      <c r="H1070" s="979">
        <v>926340</v>
      </c>
      <c r="I1070" s="979">
        <v>334379</v>
      </c>
      <c r="J1070" s="979">
        <v>0.15877603717795857</v>
      </c>
      <c r="K1070" s="979">
        <v>147080.59427943014</v>
      </c>
      <c r="L1070" s="979">
        <v>147080.59427943014</v>
      </c>
      <c r="M1070" s="979">
        <v>599</v>
      </c>
    </row>
    <row r="1071" spans="1:13" ht="15">
      <c r="A1071" s="979" t="s">
        <v>3539</v>
      </c>
      <c r="B1071" s="1040" t="str">
        <f>CONCATENATE(LEFT(RIGHT(CONCATENATE("000",IFAData_TEA_1617!A1071),6),3),"-",(RIGHT(RIGHT(CONCATENATE("000",IFAData_TEA_1617!A1071),6),3)))</f>
        <v>101-910</v>
      </c>
      <c r="C1071" s="979" t="s">
        <v>1480</v>
      </c>
      <c r="D1071" s="979">
        <v>6</v>
      </c>
      <c r="E1071" s="979">
        <v>1838</v>
      </c>
      <c r="F1071" s="979" t="s">
        <v>4806</v>
      </c>
      <c r="G1071" s="979" t="s">
        <v>4807</v>
      </c>
      <c r="H1071" s="979">
        <v>907274</v>
      </c>
      <c r="I1071" s="979">
        <v>1010193</v>
      </c>
      <c r="J1071" s="979">
        <v>0.92125671887339977</v>
      </c>
      <c r="K1071" s="979">
        <v>835832.26835914492</v>
      </c>
      <c r="L1071" s="979">
        <v>835832.26835914492</v>
      </c>
      <c r="M1071" s="979">
        <v>599</v>
      </c>
    </row>
    <row r="1072" spans="1:13" ht="15">
      <c r="A1072" s="979" t="s">
        <v>3539</v>
      </c>
      <c r="B1072" s="1040" t="str">
        <f>CONCATENATE(LEFT(RIGHT(CONCATENATE("000",IFAData_TEA_1617!A1072),6),3),"-",(RIGHT(RIGHT(CONCATENATE("000",IFAData_TEA_1617!A1072),6),3)))</f>
        <v>101-910</v>
      </c>
      <c r="C1072" s="979" t="s">
        <v>1480</v>
      </c>
      <c r="D1072" s="979">
        <v>6</v>
      </c>
      <c r="E1072" s="979">
        <v>1838</v>
      </c>
      <c r="F1072" s="979" t="s">
        <v>4806</v>
      </c>
      <c r="G1072" s="979" t="s">
        <v>4806</v>
      </c>
      <c r="H1072" s="979">
        <v>907274</v>
      </c>
      <c r="I1072" s="979">
        <v>0</v>
      </c>
      <c r="J1072" s="979">
        <v>0</v>
      </c>
      <c r="K1072" s="979">
        <v>0</v>
      </c>
      <c r="L1072" s="979">
        <v>0</v>
      </c>
      <c r="M1072" s="979">
        <v>599</v>
      </c>
    </row>
    <row r="1073" spans="1:13" ht="15">
      <c r="A1073" s="979" t="s">
        <v>3539</v>
      </c>
      <c r="B1073" s="1040" t="str">
        <f>CONCATENATE(LEFT(RIGHT(CONCATENATE("000",IFAData_TEA_1617!A1073),6),3),"-",(RIGHT(RIGHT(CONCATENATE("000",IFAData_TEA_1617!A1073),6),3)))</f>
        <v>101-910</v>
      </c>
      <c r="C1073" s="979" t="s">
        <v>1480</v>
      </c>
      <c r="D1073" s="979">
        <v>6</v>
      </c>
      <c r="E1073" s="979">
        <v>1838</v>
      </c>
      <c r="F1073" s="979" t="s">
        <v>4806</v>
      </c>
      <c r="G1073" s="979" t="s">
        <v>6255</v>
      </c>
      <c r="H1073" s="979">
        <v>907274</v>
      </c>
      <c r="I1073" s="979">
        <v>0</v>
      </c>
      <c r="J1073" s="979">
        <v>0</v>
      </c>
      <c r="K1073" s="979">
        <v>0</v>
      </c>
      <c r="L1073" s="979">
        <v>0</v>
      </c>
      <c r="M1073" s="979">
        <v>599</v>
      </c>
    </row>
    <row r="1074" spans="1:13" ht="15">
      <c r="A1074" s="979" t="s">
        <v>3539</v>
      </c>
      <c r="B1074" s="1040" t="str">
        <f>CONCATENATE(LEFT(RIGHT(CONCATENATE("000",IFAData_TEA_1617!A1074),6),3),"-",(RIGHT(RIGHT(CONCATENATE("000",IFAData_TEA_1617!A1074),6),3)))</f>
        <v>101-910</v>
      </c>
      <c r="C1074" s="979" t="s">
        <v>1480</v>
      </c>
      <c r="D1074" s="979">
        <v>1</v>
      </c>
      <c r="E1074" s="979">
        <v>1837</v>
      </c>
      <c r="F1074" s="979" t="s">
        <v>4802</v>
      </c>
      <c r="G1074" s="979" t="s">
        <v>4804</v>
      </c>
      <c r="H1074" s="979">
        <v>827390</v>
      </c>
      <c r="I1074" s="979">
        <v>1077843</v>
      </c>
      <c r="J1074" s="979">
        <v>1</v>
      </c>
      <c r="K1074" s="979">
        <v>827390</v>
      </c>
      <c r="L1074" s="979">
        <v>827390</v>
      </c>
      <c r="M1074" s="979">
        <v>599</v>
      </c>
    </row>
    <row r="1075" spans="1:13" ht="15">
      <c r="A1075" s="979" t="s">
        <v>3539</v>
      </c>
      <c r="B1075" s="1040" t="str">
        <f>CONCATENATE(LEFT(RIGHT(CONCATENATE("000",IFAData_TEA_1617!A1075),6),3),"-",(RIGHT(RIGHT(CONCATENATE("000",IFAData_TEA_1617!A1075),6),3)))</f>
        <v>101-910</v>
      </c>
      <c r="C1075" s="979" t="s">
        <v>1480</v>
      </c>
      <c r="D1075" s="979">
        <v>2</v>
      </c>
      <c r="E1075" s="979">
        <v>1839</v>
      </c>
      <c r="F1075" s="979" t="s">
        <v>4805</v>
      </c>
      <c r="G1075" s="979" t="s">
        <v>4804</v>
      </c>
      <c r="H1075" s="979">
        <v>1792083</v>
      </c>
      <c r="I1075" s="979">
        <v>1527850</v>
      </c>
      <c r="J1075" s="979">
        <v>1</v>
      </c>
      <c r="K1075" s="979">
        <v>1792083</v>
      </c>
      <c r="L1075" s="979">
        <v>1527850</v>
      </c>
      <c r="M1075" s="979">
        <v>599</v>
      </c>
    </row>
    <row r="1076" spans="1:13" ht="15">
      <c r="A1076" s="979" t="s">
        <v>3539</v>
      </c>
      <c r="B1076" s="1040" t="str">
        <f>CONCATENATE(LEFT(RIGHT(CONCATENATE("000",IFAData_TEA_1617!A1076),6),3),"-",(RIGHT(RIGHT(CONCATENATE("000",IFAData_TEA_1617!A1076),6),3)))</f>
        <v>101-910</v>
      </c>
      <c r="C1076" s="979" t="s">
        <v>1480</v>
      </c>
      <c r="D1076" s="979">
        <v>6</v>
      </c>
      <c r="E1076" s="979">
        <v>1834</v>
      </c>
      <c r="F1076" s="979" t="s">
        <v>4809</v>
      </c>
      <c r="G1076" s="979" t="s">
        <v>4810</v>
      </c>
      <c r="H1076" s="979">
        <v>608673</v>
      </c>
      <c r="I1076" s="979">
        <v>1858588</v>
      </c>
      <c r="J1076" s="979">
        <v>0.89066454278270013</v>
      </c>
      <c r="K1076" s="979">
        <v>542123.45924917446</v>
      </c>
      <c r="L1076" s="979">
        <v>542123.45924917446</v>
      </c>
      <c r="M1076" s="979">
        <v>599</v>
      </c>
    </row>
    <row r="1077" spans="1:13" ht="15">
      <c r="A1077" s="979" t="s">
        <v>3539</v>
      </c>
      <c r="B1077" s="1040" t="str">
        <f>CONCATENATE(LEFT(RIGHT(CONCATENATE("000",IFAData_TEA_1617!A1077),6),3),"-",(RIGHT(RIGHT(CONCATENATE("000",IFAData_TEA_1617!A1077),6),3)))</f>
        <v>101-910</v>
      </c>
      <c r="C1077" s="979" t="s">
        <v>1480</v>
      </c>
      <c r="D1077" s="979">
        <v>2</v>
      </c>
      <c r="E1077" s="979">
        <v>1839</v>
      </c>
      <c r="F1077" s="979" t="s">
        <v>4805</v>
      </c>
      <c r="G1077" s="979" t="s">
        <v>4805</v>
      </c>
      <c r="H1077" s="979">
        <v>1792083</v>
      </c>
      <c r="I1077" s="979">
        <v>0</v>
      </c>
      <c r="J1077" s="979">
        <v>0</v>
      </c>
      <c r="K1077" s="979">
        <v>0</v>
      </c>
      <c r="L1077" s="979">
        <v>0</v>
      </c>
      <c r="M1077" s="979">
        <v>599</v>
      </c>
    </row>
    <row r="1078" spans="1:13" ht="15">
      <c r="A1078" s="979" t="s">
        <v>3539</v>
      </c>
      <c r="B1078" s="1040" t="str">
        <f>CONCATENATE(LEFT(RIGHT(CONCATENATE("000",IFAData_TEA_1617!A1078),6),3),"-",(RIGHT(RIGHT(CONCATENATE("000",IFAData_TEA_1617!A1078),6),3)))</f>
        <v>101-910</v>
      </c>
      <c r="C1078" s="979" t="s">
        <v>1480</v>
      </c>
      <c r="D1078" s="979">
        <v>6</v>
      </c>
      <c r="E1078" s="979">
        <v>1834</v>
      </c>
      <c r="F1078" s="979" t="s">
        <v>4809</v>
      </c>
      <c r="G1078" s="979" t="s">
        <v>4808</v>
      </c>
      <c r="H1078" s="979">
        <v>608673</v>
      </c>
      <c r="I1078" s="979">
        <v>228155</v>
      </c>
      <c r="J1078" s="979">
        <v>0.10933545721729988</v>
      </c>
      <c r="K1078" s="979">
        <v>66549.540750825574</v>
      </c>
      <c r="L1078" s="979">
        <v>66549.540750825574</v>
      </c>
      <c r="M1078" s="979">
        <v>599</v>
      </c>
    </row>
    <row r="1079" spans="1:13" ht="15">
      <c r="A1079" s="979" t="s">
        <v>3539</v>
      </c>
      <c r="B1079" s="1040" t="str">
        <f>CONCATENATE(LEFT(RIGHT(CONCATENATE("000",IFAData_TEA_1617!A1079),6),3),"-",(RIGHT(RIGHT(CONCATENATE("000",IFAData_TEA_1617!A1079),6),3)))</f>
        <v>101-910</v>
      </c>
      <c r="C1079" s="979" t="s">
        <v>1480</v>
      </c>
      <c r="D1079" s="979">
        <v>6</v>
      </c>
      <c r="E1079" s="979">
        <v>1838</v>
      </c>
      <c r="F1079" s="979" t="s">
        <v>4806</v>
      </c>
      <c r="G1079" s="979" t="s">
        <v>4808</v>
      </c>
      <c r="H1079" s="979">
        <v>907274</v>
      </c>
      <c r="I1079" s="979">
        <v>86345</v>
      </c>
      <c r="J1079" s="979">
        <v>7.874328112660027E-2</v>
      </c>
      <c r="K1079" s="979">
        <v>71441.731640855127</v>
      </c>
      <c r="L1079" s="979">
        <v>71441.731640855127</v>
      </c>
      <c r="M1079" s="979">
        <v>599</v>
      </c>
    </row>
    <row r="1080" spans="1:13" ht="15">
      <c r="A1080" s="979" t="s">
        <v>3539</v>
      </c>
      <c r="B1080" s="1040" t="str">
        <f>CONCATENATE(LEFT(RIGHT(CONCATENATE("000",IFAData_TEA_1617!A1080),6),3),"-",(RIGHT(RIGHT(CONCATENATE("000",IFAData_TEA_1617!A1080),6),3)))</f>
        <v>101-910</v>
      </c>
      <c r="C1080" s="979" t="s">
        <v>1480</v>
      </c>
      <c r="D1080" s="979">
        <v>9</v>
      </c>
      <c r="E1080" s="979">
        <v>1836</v>
      </c>
      <c r="F1080" s="979" t="s">
        <v>4811</v>
      </c>
      <c r="G1080" s="979" t="s">
        <v>4811</v>
      </c>
      <c r="H1080" s="979">
        <v>792979</v>
      </c>
      <c r="I1080" s="979">
        <v>699409</v>
      </c>
      <c r="J1080" s="979">
        <v>1</v>
      </c>
      <c r="K1080" s="979">
        <v>792979</v>
      </c>
      <c r="L1080" s="979">
        <v>699409</v>
      </c>
      <c r="M1080" s="979">
        <v>599</v>
      </c>
    </row>
    <row r="1081" spans="1:13" ht="15">
      <c r="A1081" s="979" t="s">
        <v>3539</v>
      </c>
      <c r="B1081" s="1040" t="str">
        <f>CONCATENATE(LEFT(RIGHT(CONCATENATE("000",IFAData_TEA_1617!A1081),6),3),"-",(RIGHT(RIGHT(CONCATENATE("000",IFAData_TEA_1617!A1081),6),3)))</f>
        <v>101-910</v>
      </c>
      <c r="C1081" s="979" t="s">
        <v>1480</v>
      </c>
      <c r="D1081" s="979">
        <v>2</v>
      </c>
      <c r="E1081" s="979">
        <v>1839</v>
      </c>
      <c r="F1081" s="979" t="s">
        <v>4805</v>
      </c>
      <c r="G1081" s="979" t="s">
        <v>4803</v>
      </c>
      <c r="H1081" s="979">
        <v>1792083</v>
      </c>
      <c r="I1081" s="979">
        <v>0</v>
      </c>
      <c r="J1081" s="979">
        <v>0</v>
      </c>
      <c r="K1081" s="979">
        <v>0</v>
      </c>
      <c r="L1081" s="979">
        <v>0</v>
      </c>
      <c r="M1081" s="979">
        <v>599</v>
      </c>
    </row>
    <row r="1082" spans="1:13" ht="15">
      <c r="A1082" s="979" t="s">
        <v>3539</v>
      </c>
      <c r="B1082" s="1040" t="str">
        <f>CONCATENATE(LEFT(RIGHT(CONCATENATE("000",IFAData_TEA_1617!A1082),6),3),"-",(RIGHT(RIGHT(CONCATENATE("000",IFAData_TEA_1617!A1082),6),3)))</f>
        <v>101-910</v>
      </c>
      <c r="C1082" s="979" t="s">
        <v>1480</v>
      </c>
      <c r="D1082" s="979">
        <v>1</v>
      </c>
      <c r="E1082" s="979">
        <v>1837</v>
      </c>
      <c r="F1082" s="979" t="s">
        <v>4802</v>
      </c>
      <c r="G1082" s="979" t="s">
        <v>4803</v>
      </c>
      <c r="H1082" s="979">
        <v>827390</v>
      </c>
      <c r="I1082" s="979">
        <v>0</v>
      </c>
      <c r="J1082" s="979">
        <v>0</v>
      </c>
      <c r="K1082" s="979">
        <v>0</v>
      </c>
      <c r="L1082" s="979">
        <v>0</v>
      </c>
      <c r="M1082" s="979">
        <v>599</v>
      </c>
    </row>
    <row r="1083" spans="1:13" ht="15">
      <c r="A1083" s="979" t="s">
        <v>3539</v>
      </c>
      <c r="B1083" s="1040" t="str">
        <f>CONCATENATE(LEFT(RIGHT(CONCATENATE("000",IFAData_TEA_1617!A1083),6),3),"-",(RIGHT(RIGHT(CONCATENATE("000",IFAData_TEA_1617!A1083),6),3)))</f>
        <v>101-910</v>
      </c>
      <c r="C1083" s="979" t="s">
        <v>1480</v>
      </c>
      <c r="D1083" s="979">
        <v>10</v>
      </c>
      <c r="E1083" s="979">
        <v>1835</v>
      </c>
      <c r="F1083" s="979" t="s">
        <v>4812</v>
      </c>
      <c r="G1083" s="979" t="s">
        <v>4812</v>
      </c>
      <c r="H1083" s="979">
        <v>663147</v>
      </c>
      <c r="I1083" s="979">
        <v>650456</v>
      </c>
      <c r="J1083" s="979">
        <v>1</v>
      </c>
      <c r="K1083" s="979">
        <v>663147</v>
      </c>
      <c r="L1083" s="979">
        <v>650456</v>
      </c>
      <c r="M1083" s="979">
        <v>599</v>
      </c>
    </row>
    <row r="1084" spans="1:13" ht="15">
      <c r="A1084" s="979" t="s">
        <v>3539</v>
      </c>
      <c r="B1084" s="1040" t="str">
        <f>CONCATENATE(LEFT(RIGHT(CONCATENATE("000",IFAData_TEA_1617!A1084),6),3),"-",(RIGHT(RIGHT(CONCATENATE("000",IFAData_TEA_1617!A1084),6),3)))</f>
        <v>101-910</v>
      </c>
      <c r="C1084" s="979" t="s">
        <v>1480</v>
      </c>
      <c r="D1084" s="979">
        <v>6</v>
      </c>
      <c r="E1084" s="979">
        <v>1834</v>
      </c>
      <c r="F1084" s="979" t="s">
        <v>4809</v>
      </c>
      <c r="G1084" s="979" t="s">
        <v>4809</v>
      </c>
      <c r="H1084" s="979">
        <v>608673</v>
      </c>
      <c r="I1084" s="979">
        <v>0</v>
      </c>
      <c r="J1084" s="979">
        <v>0</v>
      </c>
      <c r="K1084" s="979">
        <v>0</v>
      </c>
      <c r="L1084" s="979">
        <v>0</v>
      </c>
      <c r="M1084" s="979">
        <v>599</v>
      </c>
    </row>
    <row r="1085" spans="1:13" ht="15">
      <c r="A1085" s="979" t="s">
        <v>3539</v>
      </c>
      <c r="B1085" s="1040" t="str">
        <f>CONCATENATE(LEFT(RIGHT(CONCATENATE("000",IFAData_TEA_1617!A1085),6),3),"-",(RIGHT(RIGHT(CONCATENATE("000",IFAData_TEA_1617!A1085),6),3)))</f>
        <v>101-910</v>
      </c>
      <c r="C1085" s="979" t="s">
        <v>1480</v>
      </c>
      <c r="D1085" s="979">
        <v>1</v>
      </c>
      <c r="E1085" s="979">
        <v>1837</v>
      </c>
      <c r="F1085" s="979" t="s">
        <v>4802</v>
      </c>
      <c r="G1085" s="979" t="s">
        <v>4802</v>
      </c>
      <c r="H1085" s="979">
        <v>827390</v>
      </c>
      <c r="I1085" s="979">
        <v>0</v>
      </c>
      <c r="J1085" s="979">
        <v>0</v>
      </c>
      <c r="K1085" s="979">
        <v>0</v>
      </c>
      <c r="L1085" s="979">
        <v>0</v>
      </c>
      <c r="M1085" s="979">
        <v>599</v>
      </c>
    </row>
    <row r="1086" spans="1:13" ht="15">
      <c r="A1086" s="979" t="s">
        <v>3540</v>
      </c>
      <c r="B1086" s="1040" t="str">
        <f>CONCATENATE(LEFT(RIGHT(CONCATENATE("000",IFAData_TEA_1617!A1086),6),3),"-",(RIGHT(RIGHT(CONCATENATE("000",IFAData_TEA_1617!A1086),6),3)))</f>
        <v>101-913</v>
      </c>
      <c r="C1086" s="979" t="s">
        <v>2385</v>
      </c>
      <c r="D1086" s="979">
        <v>1</v>
      </c>
      <c r="E1086" s="979">
        <v>1914</v>
      </c>
      <c r="F1086" s="979" t="s">
        <v>4813</v>
      </c>
      <c r="G1086" s="979" t="s">
        <v>6256</v>
      </c>
      <c r="H1086" s="979">
        <v>1259509</v>
      </c>
      <c r="I1086" s="979">
        <v>88556</v>
      </c>
      <c r="J1086" s="979">
        <v>6.616903155425044E-2</v>
      </c>
      <c r="K1086" s="979">
        <v>83340.490763862414</v>
      </c>
      <c r="L1086" s="979">
        <v>83340.490763862414</v>
      </c>
      <c r="M1086" s="979">
        <v>599</v>
      </c>
    </row>
    <row r="1087" spans="1:13" ht="15">
      <c r="A1087" s="979" t="s">
        <v>3540</v>
      </c>
      <c r="B1087" s="1040" t="str">
        <f>CONCATENATE(LEFT(RIGHT(CONCATENATE("000",IFAData_TEA_1617!A1087),6),3),"-",(RIGHT(RIGHT(CONCATENATE("000",IFAData_TEA_1617!A1087),6),3)))</f>
        <v>101-913</v>
      </c>
      <c r="C1087" s="979" t="s">
        <v>2385</v>
      </c>
      <c r="D1087" s="979">
        <v>1</v>
      </c>
      <c r="E1087" s="979">
        <v>1915</v>
      </c>
      <c r="F1087" s="979" t="s">
        <v>4816</v>
      </c>
      <c r="G1087" s="979" t="s">
        <v>6256</v>
      </c>
      <c r="H1087" s="979">
        <v>1479767</v>
      </c>
      <c r="I1087" s="979">
        <v>0</v>
      </c>
      <c r="J1087" s="979">
        <v>0</v>
      </c>
      <c r="K1087" s="979">
        <v>0</v>
      </c>
      <c r="L1087" s="979">
        <v>0</v>
      </c>
      <c r="M1087" s="979">
        <v>599</v>
      </c>
    </row>
    <row r="1088" spans="1:13" ht="15">
      <c r="A1088" s="979" t="s">
        <v>3540</v>
      </c>
      <c r="B1088" s="1040" t="str">
        <f>CONCATENATE(LEFT(RIGHT(CONCATENATE("000",IFAData_TEA_1617!A1088),6),3),"-",(RIGHT(RIGHT(CONCATENATE("000",IFAData_TEA_1617!A1088),6),3)))</f>
        <v>101-913</v>
      </c>
      <c r="C1088" s="979" t="s">
        <v>2385</v>
      </c>
      <c r="D1088" s="979">
        <v>1</v>
      </c>
      <c r="E1088" s="979">
        <v>1914</v>
      </c>
      <c r="F1088" s="979" t="s">
        <v>4813</v>
      </c>
      <c r="G1088" s="979" t="s">
        <v>4815</v>
      </c>
      <c r="H1088" s="979">
        <v>1259509</v>
      </c>
      <c r="I1088" s="979">
        <v>1249774</v>
      </c>
      <c r="J1088" s="979">
        <v>0.93383096844574953</v>
      </c>
      <c r="K1088" s="979">
        <v>1176168.5092361376</v>
      </c>
      <c r="L1088" s="979">
        <v>1176168.5092361376</v>
      </c>
      <c r="M1088" s="979">
        <v>599</v>
      </c>
    </row>
    <row r="1089" spans="1:13" ht="15">
      <c r="A1089" s="979" t="s">
        <v>3540</v>
      </c>
      <c r="B1089" s="1040" t="str">
        <f>CONCATENATE(LEFT(RIGHT(CONCATENATE("000",IFAData_TEA_1617!A1089),6),3),"-",(RIGHT(RIGHT(CONCATENATE("000",IFAData_TEA_1617!A1089),6),3)))</f>
        <v>101-913</v>
      </c>
      <c r="C1089" s="979" t="s">
        <v>2385</v>
      </c>
      <c r="D1089" s="979">
        <v>1</v>
      </c>
      <c r="E1089" s="979">
        <v>1915</v>
      </c>
      <c r="F1089" s="979" t="s">
        <v>4816</v>
      </c>
      <c r="G1089" s="979" t="s">
        <v>4816</v>
      </c>
      <c r="H1089" s="979">
        <v>1479767</v>
      </c>
      <c r="I1089" s="979">
        <v>0</v>
      </c>
      <c r="J1089" s="979">
        <v>0</v>
      </c>
      <c r="K1089" s="979">
        <v>0</v>
      </c>
      <c r="L1089" s="979">
        <v>0</v>
      </c>
      <c r="M1089" s="979">
        <v>599</v>
      </c>
    </row>
    <row r="1090" spans="1:13" ht="15">
      <c r="A1090" s="979" t="s">
        <v>3540</v>
      </c>
      <c r="B1090" s="1040" t="str">
        <f>CONCATENATE(LEFT(RIGHT(CONCATENATE("000",IFAData_TEA_1617!A1090),6),3),"-",(RIGHT(RIGHT(CONCATENATE("000",IFAData_TEA_1617!A1090),6),3)))</f>
        <v>101-913</v>
      </c>
      <c r="C1090" s="979" t="s">
        <v>2385</v>
      </c>
      <c r="D1090" s="979">
        <v>1</v>
      </c>
      <c r="E1090" s="979">
        <v>1915</v>
      </c>
      <c r="F1090" s="979" t="s">
        <v>4816</v>
      </c>
      <c r="G1090" s="979" t="s">
        <v>4815</v>
      </c>
      <c r="H1090" s="979">
        <v>1479767</v>
      </c>
      <c r="I1090" s="979">
        <v>820898</v>
      </c>
      <c r="J1090" s="979">
        <v>1</v>
      </c>
      <c r="K1090" s="979">
        <v>1479767</v>
      </c>
      <c r="L1090" s="979">
        <v>820898</v>
      </c>
      <c r="M1090" s="979">
        <v>599</v>
      </c>
    </row>
    <row r="1091" spans="1:13" ht="15">
      <c r="A1091" s="979" t="s">
        <v>3540</v>
      </c>
      <c r="B1091" s="1040" t="str">
        <f>CONCATENATE(LEFT(RIGHT(CONCATENATE("000",IFAData_TEA_1617!A1091),6),3),"-",(RIGHT(RIGHT(CONCATENATE("000",IFAData_TEA_1617!A1091),6),3)))</f>
        <v>101-913</v>
      </c>
      <c r="C1091" s="979" t="s">
        <v>2385</v>
      </c>
      <c r="D1091" s="979">
        <v>1</v>
      </c>
      <c r="E1091" s="979">
        <v>1914</v>
      </c>
      <c r="F1091" s="979" t="s">
        <v>4813</v>
      </c>
      <c r="G1091" s="979" t="s">
        <v>4814</v>
      </c>
      <c r="H1091" s="979">
        <v>1259509</v>
      </c>
      <c r="I1091" s="979">
        <v>0</v>
      </c>
      <c r="J1091" s="979">
        <v>0</v>
      </c>
      <c r="K1091" s="979">
        <v>0</v>
      </c>
      <c r="L1091" s="979">
        <v>0</v>
      </c>
      <c r="M1091" s="979">
        <v>599</v>
      </c>
    </row>
    <row r="1092" spans="1:13" ht="15">
      <c r="A1092" s="979" t="s">
        <v>3540</v>
      </c>
      <c r="B1092" s="1040" t="str">
        <f>CONCATENATE(LEFT(RIGHT(CONCATENATE("000",IFAData_TEA_1617!A1092),6),3),"-",(RIGHT(RIGHT(CONCATENATE("000",IFAData_TEA_1617!A1092),6),3)))</f>
        <v>101-913</v>
      </c>
      <c r="C1092" s="979" t="s">
        <v>2385</v>
      </c>
      <c r="D1092" s="979">
        <v>1</v>
      </c>
      <c r="E1092" s="979">
        <v>1915</v>
      </c>
      <c r="F1092" s="979" t="s">
        <v>4816</v>
      </c>
      <c r="G1092" s="979" t="s">
        <v>4814</v>
      </c>
      <c r="H1092" s="979">
        <v>1479767</v>
      </c>
      <c r="I1092" s="979">
        <v>0</v>
      </c>
      <c r="J1092" s="979">
        <v>0</v>
      </c>
      <c r="K1092" s="979">
        <v>0</v>
      </c>
      <c r="L1092" s="979">
        <v>0</v>
      </c>
      <c r="M1092" s="979">
        <v>599</v>
      </c>
    </row>
    <row r="1093" spans="1:13" ht="15">
      <c r="A1093" s="979" t="s">
        <v>3540</v>
      </c>
      <c r="B1093" s="1040" t="str">
        <f>CONCATENATE(LEFT(RIGHT(CONCATENATE("000",IFAData_TEA_1617!A1093),6),3),"-",(RIGHT(RIGHT(CONCATENATE("000",IFAData_TEA_1617!A1093),6),3)))</f>
        <v>101-913</v>
      </c>
      <c r="C1093" s="979" t="s">
        <v>2385</v>
      </c>
      <c r="D1093" s="979">
        <v>1</v>
      </c>
      <c r="E1093" s="979">
        <v>1914</v>
      </c>
      <c r="F1093" s="979" t="s">
        <v>4813</v>
      </c>
      <c r="G1093" s="979" t="s">
        <v>4813</v>
      </c>
      <c r="H1093" s="979">
        <v>1259509</v>
      </c>
      <c r="I1093" s="979">
        <v>0</v>
      </c>
      <c r="J1093" s="979">
        <v>0</v>
      </c>
      <c r="K1093" s="979">
        <v>0</v>
      </c>
      <c r="L1093" s="979">
        <v>0</v>
      </c>
      <c r="M1093" s="979">
        <v>599</v>
      </c>
    </row>
    <row r="1094" spans="1:13" ht="15">
      <c r="A1094" s="979" t="s">
        <v>3541</v>
      </c>
      <c r="B1094" s="1040" t="str">
        <f>CONCATENATE(LEFT(RIGHT(CONCATENATE("000",IFAData_TEA_1617!A1094),6),3),"-",(RIGHT(RIGHT(CONCATENATE("000",IFAData_TEA_1617!A1094),6),3)))</f>
        <v>101-914</v>
      </c>
      <c r="C1094" s="979" t="s">
        <v>410</v>
      </c>
      <c r="D1094" s="979">
        <v>9</v>
      </c>
      <c r="E1094" s="979">
        <v>1946</v>
      </c>
      <c r="F1094" s="979" t="s">
        <v>4823</v>
      </c>
      <c r="G1094" s="979" t="s">
        <v>6259</v>
      </c>
      <c r="H1094" s="979">
        <v>5902797</v>
      </c>
      <c r="I1094" s="979">
        <v>585202</v>
      </c>
      <c r="J1094" s="979">
        <v>9.9275521881763459E-2</v>
      </c>
      <c r="K1094" s="979">
        <v>586003.25273710769</v>
      </c>
      <c r="L1094" s="979">
        <v>585202</v>
      </c>
      <c r="M1094" s="979">
        <v>599</v>
      </c>
    </row>
    <row r="1095" spans="1:13" ht="15">
      <c r="A1095" s="979" t="s">
        <v>3541</v>
      </c>
      <c r="B1095" s="1040" t="str">
        <f>CONCATENATE(LEFT(RIGHT(CONCATENATE("000",IFAData_TEA_1617!A1095),6),3),"-",(RIGHT(RIGHT(CONCATENATE("000",IFAData_TEA_1617!A1095),6),3)))</f>
        <v>101-914</v>
      </c>
      <c r="C1095" s="979" t="s">
        <v>410</v>
      </c>
      <c r="D1095" s="979">
        <v>2</v>
      </c>
      <c r="E1095" s="979">
        <v>1944</v>
      </c>
      <c r="F1095" s="979" t="s">
        <v>4821</v>
      </c>
      <c r="G1095" s="979" t="s">
        <v>6257</v>
      </c>
      <c r="H1095" s="979">
        <v>1987951</v>
      </c>
      <c r="I1095" s="979">
        <v>356644</v>
      </c>
      <c r="J1095" s="979">
        <v>0.22439825461592428</v>
      </c>
      <c r="K1095" s="979">
        <v>446092.73466198129</v>
      </c>
      <c r="L1095" s="979">
        <v>356644</v>
      </c>
      <c r="M1095" s="979">
        <v>599</v>
      </c>
    </row>
    <row r="1096" spans="1:13" ht="15">
      <c r="A1096" s="979" t="s">
        <v>3541</v>
      </c>
      <c r="B1096" s="1040" t="str">
        <f>CONCATENATE(LEFT(RIGHT(CONCATENATE("000",IFAData_TEA_1617!A1096),6),3),"-",(RIGHT(RIGHT(CONCATENATE("000",IFAData_TEA_1617!A1096),6),3)))</f>
        <v>101-914</v>
      </c>
      <c r="C1096" s="979" t="s">
        <v>410</v>
      </c>
      <c r="D1096" s="979">
        <v>9</v>
      </c>
      <c r="E1096" s="979">
        <v>1945</v>
      </c>
      <c r="F1096" s="979" t="s">
        <v>4822</v>
      </c>
      <c r="G1096" s="979" t="s">
        <v>6258</v>
      </c>
      <c r="H1096" s="979">
        <v>5681065</v>
      </c>
      <c r="I1096" s="979">
        <v>1813184</v>
      </c>
      <c r="J1096" s="979">
        <v>1</v>
      </c>
      <c r="K1096" s="979">
        <v>5681065</v>
      </c>
      <c r="L1096" s="979">
        <v>1813184</v>
      </c>
      <c r="M1096" s="979">
        <v>599</v>
      </c>
    </row>
    <row r="1097" spans="1:13" ht="15">
      <c r="A1097" s="979" t="s">
        <v>3541</v>
      </c>
      <c r="B1097" s="1040" t="str">
        <f>CONCATENATE(LEFT(RIGHT(CONCATENATE("000",IFAData_TEA_1617!A1097),6),3),"-",(RIGHT(RIGHT(CONCATENATE("000",IFAData_TEA_1617!A1097),6),3)))</f>
        <v>101-914</v>
      </c>
      <c r="C1097" s="979" t="s">
        <v>410</v>
      </c>
      <c r="D1097" s="979">
        <v>9</v>
      </c>
      <c r="E1097" s="979">
        <v>1946</v>
      </c>
      <c r="F1097" s="979" t="s">
        <v>4823</v>
      </c>
      <c r="G1097" s="979" t="s">
        <v>6258</v>
      </c>
      <c r="H1097" s="979">
        <v>5902797</v>
      </c>
      <c r="I1097" s="979">
        <v>692364</v>
      </c>
      <c r="J1097" s="979">
        <v>0.11745482317583548</v>
      </c>
      <c r="K1097" s="979">
        <v>693311.97787785216</v>
      </c>
      <c r="L1097" s="979">
        <v>692364</v>
      </c>
      <c r="M1097" s="979">
        <v>599</v>
      </c>
    </row>
    <row r="1098" spans="1:13" ht="15">
      <c r="A1098" s="979" t="s">
        <v>3541</v>
      </c>
      <c r="B1098" s="1040" t="str">
        <f>CONCATENATE(LEFT(RIGHT(CONCATENATE("000",IFAData_TEA_1617!A1098),6),3),"-",(RIGHT(RIGHT(CONCATENATE("000",IFAData_TEA_1617!A1098),6),3)))</f>
        <v>101-914</v>
      </c>
      <c r="C1098" s="979" t="s">
        <v>410</v>
      </c>
      <c r="D1098" s="979">
        <v>1</v>
      </c>
      <c r="E1098" s="979">
        <v>1943</v>
      </c>
      <c r="F1098" s="979" t="s">
        <v>4819</v>
      </c>
      <c r="G1098" s="979" t="s">
        <v>4819</v>
      </c>
      <c r="H1098" s="979">
        <v>1506643</v>
      </c>
      <c r="I1098" s="979">
        <v>0</v>
      </c>
      <c r="J1098" s="979">
        <v>0</v>
      </c>
      <c r="K1098" s="979"/>
      <c r="L1098" s="979">
        <v>0</v>
      </c>
      <c r="M1098" s="979">
        <v>599</v>
      </c>
    </row>
    <row r="1099" spans="1:13" ht="15">
      <c r="A1099" s="979" t="s">
        <v>3541</v>
      </c>
      <c r="B1099" s="1040" t="str">
        <f>CONCATENATE(LEFT(RIGHT(CONCATENATE("000",IFAData_TEA_1617!A1099),6),3),"-",(RIGHT(RIGHT(CONCATENATE("000",IFAData_TEA_1617!A1099),6),3)))</f>
        <v>101-914</v>
      </c>
      <c r="C1099" s="979" t="s">
        <v>410</v>
      </c>
      <c r="D1099" s="979">
        <v>1</v>
      </c>
      <c r="E1099" s="979">
        <v>1942</v>
      </c>
      <c r="F1099" s="979" t="s">
        <v>4817</v>
      </c>
      <c r="G1099" s="979" t="s">
        <v>4817</v>
      </c>
      <c r="H1099" s="979">
        <v>1428934</v>
      </c>
      <c r="I1099" s="979">
        <v>3047622</v>
      </c>
      <c r="J1099" s="979">
        <v>0.58383048731754472</v>
      </c>
      <c r="K1099" s="979">
        <v>834255.2335646085</v>
      </c>
      <c r="L1099" s="979">
        <v>834255.2335646085</v>
      </c>
      <c r="M1099" s="979">
        <v>599</v>
      </c>
    </row>
    <row r="1100" spans="1:13" ht="15">
      <c r="A1100" s="979" t="s">
        <v>3541</v>
      </c>
      <c r="B1100" s="1040" t="str">
        <f>CONCATENATE(LEFT(RIGHT(CONCATENATE("000",IFAData_TEA_1617!A1100),6),3),"-",(RIGHT(RIGHT(CONCATENATE("000",IFAData_TEA_1617!A1100),6),3)))</f>
        <v>101-914</v>
      </c>
      <c r="C1100" s="979" t="s">
        <v>410</v>
      </c>
      <c r="D1100" s="979">
        <v>2</v>
      </c>
      <c r="E1100" s="979">
        <v>1944</v>
      </c>
      <c r="F1100" s="979" t="s">
        <v>4821</v>
      </c>
      <c r="G1100" s="979" t="s">
        <v>4820</v>
      </c>
      <c r="H1100" s="979">
        <v>1987951</v>
      </c>
      <c r="I1100" s="979">
        <v>261179</v>
      </c>
      <c r="J1100" s="979">
        <v>0.16433225216835973</v>
      </c>
      <c r="K1100" s="979">
        <v>326684.46503034286</v>
      </c>
      <c r="L1100" s="979">
        <v>261179</v>
      </c>
      <c r="M1100" s="979">
        <v>599</v>
      </c>
    </row>
    <row r="1101" spans="1:13" ht="15">
      <c r="A1101" s="979" t="s">
        <v>3541</v>
      </c>
      <c r="B1101" s="1040" t="str">
        <f>CONCATENATE(LEFT(RIGHT(CONCATENATE("000",IFAData_TEA_1617!A1101),6),3),"-",(RIGHT(RIGHT(CONCATENATE("000",IFAData_TEA_1617!A1101),6),3)))</f>
        <v>101-914</v>
      </c>
      <c r="C1101" s="979" t="s">
        <v>410</v>
      </c>
      <c r="D1101" s="979">
        <v>9</v>
      </c>
      <c r="E1101" s="979">
        <v>1941</v>
      </c>
      <c r="F1101" s="979" t="s">
        <v>4824</v>
      </c>
      <c r="G1101" s="979" t="s">
        <v>6471</v>
      </c>
      <c r="H1101" s="979">
        <v>212152</v>
      </c>
      <c r="I1101" s="979">
        <v>138536</v>
      </c>
      <c r="J1101" s="979">
        <v>0.21708288217421348</v>
      </c>
      <c r="K1101" s="979">
        <v>46054.567619023735</v>
      </c>
      <c r="L1101" s="979">
        <v>46054.567619023735</v>
      </c>
      <c r="M1101" s="979">
        <v>599</v>
      </c>
    </row>
    <row r="1102" spans="1:13" ht="15">
      <c r="A1102" s="979" t="s">
        <v>3541</v>
      </c>
      <c r="B1102" s="1040" t="str">
        <f>CONCATENATE(LEFT(RIGHT(CONCATENATE("000",IFAData_TEA_1617!A1102),6),3),"-",(RIGHT(RIGHT(CONCATENATE("000",IFAData_TEA_1617!A1102),6),3)))</f>
        <v>101-914</v>
      </c>
      <c r="C1102" s="979" t="s">
        <v>410</v>
      </c>
      <c r="D1102" s="979">
        <v>9</v>
      </c>
      <c r="E1102" s="979">
        <v>1946</v>
      </c>
      <c r="F1102" s="979" t="s">
        <v>4823</v>
      </c>
      <c r="G1102" s="979" t="s">
        <v>6471</v>
      </c>
      <c r="H1102" s="979">
        <v>5902797</v>
      </c>
      <c r="I1102" s="979">
        <v>560357</v>
      </c>
      <c r="J1102" s="979">
        <v>9.5060737343856186E-2</v>
      </c>
      <c r="K1102" s="979">
        <v>561124.23521110229</v>
      </c>
      <c r="L1102" s="979">
        <v>560357</v>
      </c>
      <c r="M1102" s="979">
        <v>599</v>
      </c>
    </row>
    <row r="1103" spans="1:13" ht="15">
      <c r="A1103" s="979" t="s">
        <v>3541</v>
      </c>
      <c r="B1103" s="1040" t="str">
        <f>CONCATENATE(LEFT(RIGHT(CONCATENATE("000",IFAData_TEA_1617!A1103),6),3),"-",(RIGHT(RIGHT(CONCATENATE("000",IFAData_TEA_1617!A1103),6),3)))</f>
        <v>101-914</v>
      </c>
      <c r="C1103" s="979" t="s">
        <v>410</v>
      </c>
      <c r="D1103" s="979">
        <v>9</v>
      </c>
      <c r="E1103" s="979">
        <v>1941</v>
      </c>
      <c r="F1103" s="979" t="s">
        <v>4824</v>
      </c>
      <c r="G1103" s="979" t="s">
        <v>4824</v>
      </c>
      <c r="H1103" s="979">
        <v>212152</v>
      </c>
      <c r="I1103" s="979">
        <v>282466</v>
      </c>
      <c r="J1103" s="979">
        <v>0.44261804437995461</v>
      </c>
      <c r="K1103" s="979">
        <v>93902.303351296126</v>
      </c>
      <c r="L1103" s="979">
        <v>93902.303351296126</v>
      </c>
      <c r="M1103" s="979">
        <v>599</v>
      </c>
    </row>
    <row r="1104" spans="1:13" ht="15">
      <c r="A1104" s="979" t="s">
        <v>3541</v>
      </c>
      <c r="B1104" s="1040" t="str">
        <f>CONCATENATE(LEFT(RIGHT(CONCATENATE("000",IFAData_TEA_1617!A1104),6),3),"-",(RIGHT(RIGHT(CONCATENATE("000",IFAData_TEA_1617!A1104),6),3)))</f>
        <v>101-914</v>
      </c>
      <c r="C1104" s="979" t="s">
        <v>410</v>
      </c>
      <c r="D1104" s="979">
        <v>9</v>
      </c>
      <c r="E1104" s="979">
        <v>1946</v>
      </c>
      <c r="F1104" s="979" t="s">
        <v>4823</v>
      </c>
      <c r="G1104" s="979" t="s">
        <v>4823</v>
      </c>
      <c r="H1104" s="979">
        <v>5902797</v>
      </c>
      <c r="I1104" s="979">
        <v>4056803</v>
      </c>
      <c r="J1104" s="979">
        <v>0.68820891759854486</v>
      </c>
      <c r="K1104" s="979">
        <v>4062357.534173938</v>
      </c>
      <c r="L1104" s="979">
        <v>4056803</v>
      </c>
      <c r="M1104" s="979">
        <v>599</v>
      </c>
    </row>
    <row r="1105" spans="1:13" ht="15">
      <c r="A1105" s="979" t="s">
        <v>3541</v>
      </c>
      <c r="B1105" s="1040" t="str">
        <f>CONCATENATE(LEFT(RIGHT(CONCATENATE("000",IFAData_TEA_1617!A1105),6),3),"-",(RIGHT(RIGHT(CONCATENATE("000",IFAData_TEA_1617!A1105),6),3)))</f>
        <v>101-914</v>
      </c>
      <c r="C1105" s="979" t="s">
        <v>410</v>
      </c>
      <c r="D1105" s="979">
        <v>9</v>
      </c>
      <c r="E1105" s="979">
        <v>1941</v>
      </c>
      <c r="F1105" s="979" t="s">
        <v>4824</v>
      </c>
      <c r="G1105" s="979" t="s">
        <v>6259</v>
      </c>
      <c r="H1105" s="979">
        <v>212152</v>
      </c>
      <c r="I1105" s="979">
        <v>217169</v>
      </c>
      <c r="J1105" s="979">
        <v>0.34029907344583193</v>
      </c>
      <c r="K1105" s="979">
        <v>72195.129029680131</v>
      </c>
      <c r="L1105" s="979">
        <v>72195.129029680131</v>
      </c>
      <c r="M1105" s="979">
        <v>599</v>
      </c>
    </row>
    <row r="1106" spans="1:13" ht="15">
      <c r="A1106" s="979" t="s">
        <v>3541</v>
      </c>
      <c r="B1106" s="1040" t="str">
        <f>CONCATENATE(LEFT(RIGHT(CONCATENATE("000",IFAData_TEA_1617!A1106),6),3),"-",(RIGHT(RIGHT(CONCATENATE("000",IFAData_TEA_1617!A1106),6),3)))</f>
        <v>101-914</v>
      </c>
      <c r="C1106" s="979" t="s">
        <v>410</v>
      </c>
      <c r="D1106" s="979">
        <v>9</v>
      </c>
      <c r="E1106" s="979">
        <v>1945</v>
      </c>
      <c r="F1106" s="979" t="s">
        <v>4822</v>
      </c>
      <c r="G1106" s="979" t="s">
        <v>4822</v>
      </c>
      <c r="H1106" s="979">
        <v>5681065</v>
      </c>
      <c r="I1106" s="979">
        <v>0</v>
      </c>
      <c r="J1106" s="979">
        <v>0</v>
      </c>
      <c r="K1106" s="979">
        <v>0</v>
      </c>
      <c r="L1106" s="979">
        <v>0</v>
      </c>
      <c r="M1106" s="979">
        <v>599</v>
      </c>
    </row>
    <row r="1107" spans="1:13" ht="15">
      <c r="A1107" s="979" t="s">
        <v>3541</v>
      </c>
      <c r="B1107" s="1040" t="str">
        <f>CONCATENATE(LEFT(RIGHT(CONCATENATE("000",IFAData_TEA_1617!A1107),6),3),"-",(RIGHT(RIGHT(CONCATENATE("000",IFAData_TEA_1617!A1107),6),3)))</f>
        <v>101-914</v>
      </c>
      <c r="C1107" s="979" t="s">
        <v>410</v>
      </c>
      <c r="D1107" s="979">
        <v>2</v>
      </c>
      <c r="E1107" s="979">
        <v>1944</v>
      </c>
      <c r="F1107" s="979" t="s">
        <v>4821</v>
      </c>
      <c r="G1107" s="979" t="s">
        <v>4821</v>
      </c>
      <c r="H1107" s="979">
        <v>1987951</v>
      </c>
      <c r="I1107" s="979">
        <v>0</v>
      </c>
      <c r="J1107" s="979">
        <v>0</v>
      </c>
      <c r="K1107" s="979">
        <v>0</v>
      </c>
      <c r="L1107" s="979">
        <v>0</v>
      </c>
      <c r="M1107" s="979">
        <v>599</v>
      </c>
    </row>
    <row r="1108" spans="1:13" ht="15">
      <c r="A1108" s="979" t="s">
        <v>3541</v>
      </c>
      <c r="B1108" s="1040" t="str">
        <f>CONCATENATE(LEFT(RIGHT(CONCATENATE("000",IFAData_TEA_1617!A1108),6),3),"-",(RIGHT(RIGHT(CONCATENATE("000",IFAData_TEA_1617!A1108),6),3)))</f>
        <v>101-914</v>
      </c>
      <c r="C1108" s="979" t="s">
        <v>410</v>
      </c>
      <c r="D1108" s="979">
        <v>1</v>
      </c>
      <c r="E1108" s="979">
        <v>1942</v>
      </c>
      <c r="F1108" s="979" t="s">
        <v>4817</v>
      </c>
      <c r="G1108" s="979" t="s">
        <v>4818</v>
      </c>
      <c r="H1108" s="979">
        <v>1428934</v>
      </c>
      <c r="I1108" s="979">
        <v>2172424</v>
      </c>
      <c r="J1108" s="979">
        <v>0.41616951268245528</v>
      </c>
      <c r="K1108" s="979">
        <v>594678.7664353915</v>
      </c>
      <c r="L1108" s="979">
        <v>594678.7664353915</v>
      </c>
      <c r="M1108" s="979">
        <v>599</v>
      </c>
    </row>
    <row r="1109" spans="1:13" ht="15">
      <c r="A1109" s="979" t="s">
        <v>3541</v>
      </c>
      <c r="B1109" s="1040" t="str">
        <f>CONCATENATE(LEFT(RIGHT(CONCATENATE("000",IFAData_TEA_1617!A1109),6),3),"-",(RIGHT(RIGHT(CONCATENATE("000",IFAData_TEA_1617!A1109),6),3)))</f>
        <v>101-914</v>
      </c>
      <c r="C1109" s="979" t="s">
        <v>410</v>
      </c>
      <c r="D1109" s="979">
        <v>2</v>
      </c>
      <c r="E1109" s="979">
        <v>1944</v>
      </c>
      <c r="F1109" s="979" t="s">
        <v>4821</v>
      </c>
      <c r="G1109" s="979" t="s">
        <v>4818</v>
      </c>
      <c r="H1109" s="979">
        <v>1987951</v>
      </c>
      <c r="I1109" s="979">
        <v>971512</v>
      </c>
      <c r="J1109" s="979">
        <v>0.611269493215716</v>
      </c>
      <c r="K1109" s="979">
        <v>1215173.8003076757</v>
      </c>
      <c r="L1109" s="979">
        <v>971512</v>
      </c>
      <c r="M1109" s="979">
        <v>599</v>
      </c>
    </row>
    <row r="1110" spans="1:13" ht="15">
      <c r="A1110" s="979" t="s">
        <v>3542</v>
      </c>
      <c r="B1110" s="1040" t="str">
        <f>CONCATENATE(LEFT(RIGHT(CONCATENATE("000",IFAData_TEA_1617!A1110),6),3),"-",(RIGHT(RIGHT(CONCATENATE("000",IFAData_TEA_1617!A1110),6),3)))</f>
        <v>101-915</v>
      </c>
      <c r="C1110" s="979" t="s">
        <v>2585</v>
      </c>
      <c r="D1110" s="979">
        <v>2</v>
      </c>
      <c r="E1110" s="979">
        <v>1965</v>
      </c>
      <c r="F1110" s="979" t="s">
        <v>4827</v>
      </c>
      <c r="G1110" s="979" t="s">
        <v>4826</v>
      </c>
      <c r="H1110" s="979">
        <v>1172621</v>
      </c>
      <c r="I1110" s="979">
        <v>0</v>
      </c>
      <c r="J1110" s="979">
        <v>0</v>
      </c>
      <c r="K1110" s="979">
        <v>0</v>
      </c>
      <c r="L1110" s="979">
        <v>0</v>
      </c>
      <c r="M1110" s="979">
        <v>599</v>
      </c>
    </row>
    <row r="1111" spans="1:13" ht="15">
      <c r="A1111" s="979" t="s">
        <v>3542</v>
      </c>
      <c r="B1111" s="1040" t="str">
        <f>CONCATENATE(LEFT(RIGHT(CONCATENATE("000",IFAData_TEA_1617!A1111),6),3),"-",(RIGHT(RIGHT(CONCATENATE("000",IFAData_TEA_1617!A1111),6),3)))</f>
        <v>101-915</v>
      </c>
      <c r="C1111" s="979" t="s">
        <v>2585</v>
      </c>
      <c r="D1111" s="979">
        <v>6</v>
      </c>
      <c r="E1111" s="979">
        <v>1966</v>
      </c>
      <c r="F1111" s="979" t="s">
        <v>4829</v>
      </c>
      <c r="G1111" s="979" t="s">
        <v>4829</v>
      </c>
      <c r="H1111" s="979">
        <v>2380705</v>
      </c>
      <c r="I1111" s="979">
        <v>0</v>
      </c>
      <c r="J1111" s="979">
        <v>0</v>
      </c>
      <c r="K1111" s="979">
        <v>0</v>
      </c>
      <c r="L1111" s="979">
        <v>0</v>
      </c>
      <c r="M1111" s="979">
        <v>599</v>
      </c>
    </row>
    <row r="1112" spans="1:13" ht="15">
      <c r="A1112" s="979" t="s">
        <v>3542</v>
      </c>
      <c r="B1112" s="1040" t="str">
        <f>CONCATENATE(LEFT(RIGHT(CONCATENATE("000",IFAData_TEA_1617!A1112),6),3),"-",(RIGHT(RIGHT(CONCATENATE("000",IFAData_TEA_1617!A1112),6),3)))</f>
        <v>101-915</v>
      </c>
      <c r="C1112" s="979" t="s">
        <v>2585</v>
      </c>
      <c r="D1112" s="979">
        <v>9</v>
      </c>
      <c r="E1112" s="979">
        <v>1968</v>
      </c>
      <c r="F1112" s="979" t="s">
        <v>4830</v>
      </c>
      <c r="G1112" s="979" t="s">
        <v>6260</v>
      </c>
      <c r="H1112" s="979">
        <v>8267781</v>
      </c>
      <c r="I1112" s="979">
        <v>1184778</v>
      </c>
      <c r="J1112" s="979">
        <v>9.4641360656181631E-2</v>
      </c>
      <c r="K1112" s="979">
        <v>782474.04344732605</v>
      </c>
      <c r="L1112" s="979">
        <v>782474.04344732605</v>
      </c>
      <c r="M1112" s="979">
        <v>599</v>
      </c>
    </row>
    <row r="1113" spans="1:13" ht="15">
      <c r="A1113" s="979" t="s">
        <v>3542</v>
      </c>
      <c r="B1113" s="1040" t="str">
        <f>CONCATENATE(LEFT(RIGHT(CONCATENATE("000",IFAData_TEA_1617!A1113),6),3),"-",(RIGHT(RIGHT(CONCATENATE("000",IFAData_TEA_1617!A1113),6),3)))</f>
        <v>101-915</v>
      </c>
      <c r="C1113" s="979" t="s">
        <v>2585</v>
      </c>
      <c r="D1113" s="979">
        <v>9</v>
      </c>
      <c r="E1113" s="979">
        <v>1968</v>
      </c>
      <c r="F1113" s="979" t="s">
        <v>4830</v>
      </c>
      <c r="G1113" s="979" t="s">
        <v>6472</v>
      </c>
      <c r="H1113" s="979">
        <v>8267781</v>
      </c>
      <c r="I1113" s="979">
        <v>2529519</v>
      </c>
      <c r="J1113" s="979">
        <v>0.20206074046417466</v>
      </c>
      <c r="K1113" s="979">
        <v>1670593.9508556344</v>
      </c>
      <c r="L1113" s="979">
        <v>1670593.9508556344</v>
      </c>
      <c r="M1113" s="979">
        <v>599</v>
      </c>
    </row>
    <row r="1114" spans="1:13" ht="15">
      <c r="A1114" s="979" t="s">
        <v>3542</v>
      </c>
      <c r="B1114" s="1040" t="str">
        <f>CONCATENATE(LEFT(RIGHT(CONCATENATE("000",IFAData_TEA_1617!A1114),6),3),"-",(RIGHT(RIGHT(CONCATENATE("000",IFAData_TEA_1617!A1114),6),3)))</f>
        <v>101-915</v>
      </c>
      <c r="C1114" s="979" t="s">
        <v>2585</v>
      </c>
      <c r="D1114" s="979">
        <v>10</v>
      </c>
      <c r="E1114" s="979">
        <v>1967</v>
      </c>
      <c r="F1114" s="979" t="s">
        <v>4833</v>
      </c>
      <c r="G1114" s="979" t="s">
        <v>4833</v>
      </c>
      <c r="H1114" s="979">
        <v>3671148</v>
      </c>
      <c r="I1114" s="979">
        <v>2936917</v>
      </c>
      <c r="J1114" s="979">
        <v>1</v>
      </c>
      <c r="K1114" s="979">
        <v>3671148</v>
      </c>
      <c r="L1114" s="979">
        <v>2936917</v>
      </c>
      <c r="M1114" s="979">
        <v>599</v>
      </c>
    </row>
    <row r="1115" spans="1:13" ht="15">
      <c r="A1115" s="979" t="s">
        <v>3542</v>
      </c>
      <c r="B1115" s="1040" t="str">
        <f>CONCATENATE(LEFT(RIGHT(CONCATENATE("000",IFAData_TEA_1617!A1115),6),3),"-",(RIGHT(RIGHT(CONCATENATE("000",IFAData_TEA_1617!A1115),6),3)))</f>
        <v>101-915</v>
      </c>
      <c r="C1115" s="979" t="s">
        <v>2585</v>
      </c>
      <c r="D1115" s="979">
        <v>2</v>
      </c>
      <c r="E1115" s="979">
        <v>1965</v>
      </c>
      <c r="F1115" s="979" t="s">
        <v>4827</v>
      </c>
      <c r="G1115" s="979" t="s">
        <v>6260</v>
      </c>
      <c r="H1115" s="979">
        <v>1172621</v>
      </c>
      <c r="I1115" s="979">
        <v>123205</v>
      </c>
      <c r="J1115" s="979">
        <v>8.5817792259716447E-2</v>
      </c>
      <c r="K1115" s="979">
        <v>100631.74537738095</v>
      </c>
      <c r="L1115" s="979">
        <v>100631.74537738095</v>
      </c>
      <c r="M1115" s="979">
        <v>599</v>
      </c>
    </row>
    <row r="1116" spans="1:13" ht="15">
      <c r="A1116" s="979" t="s">
        <v>3542</v>
      </c>
      <c r="B1116" s="1040" t="str">
        <f>CONCATENATE(LEFT(RIGHT(CONCATENATE("000",IFAData_TEA_1617!A1116),6),3),"-",(RIGHT(RIGHT(CONCATENATE("000",IFAData_TEA_1617!A1116),6),3)))</f>
        <v>101-915</v>
      </c>
      <c r="C1116" s="979" t="s">
        <v>2585</v>
      </c>
      <c r="D1116" s="979">
        <v>2</v>
      </c>
      <c r="E1116" s="979">
        <v>1965</v>
      </c>
      <c r="F1116" s="979" t="s">
        <v>4827</v>
      </c>
      <c r="G1116" s="979" t="s">
        <v>4828</v>
      </c>
      <c r="H1116" s="979">
        <v>1172621</v>
      </c>
      <c r="I1116" s="979">
        <v>1312453</v>
      </c>
      <c r="J1116" s="979">
        <v>0.91418220774028358</v>
      </c>
      <c r="K1116" s="979">
        <v>1071989.2546226191</v>
      </c>
      <c r="L1116" s="979">
        <v>1071989.2546226191</v>
      </c>
      <c r="M1116" s="979">
        <v>599</v>
      </c>
    </row>
    <row r="1117" spans="1:13" ht="15">
      <c r="A1117" s="979" t="s">
        <v>3542</v>
      </c>
      <c r="B1117" s="1040" t="str">
        <f>CONCATENATE(LEFT(RIGHT(CONCATENATE("000",IFAData_TEA_1617!A1117),6),3),"-",(RIGHT(RIGHT(CONCATENATE("000",IFAData_TEA_1617!A1117),6),3)))</f>
        <v>101-915</v>
      </c>
      <c r="C1117" s="979" t="s">
        <v>2585</v>
      </c>
      <c r="D1117" s="979">
        <v>1</v>
      </c>
      <c r="E1117" s="979">
        <v>1963</v>
      </c>
      <c r="F1117" s="979" t="s">
        <v>4825</v>
      </c>
      <c r="G1117" s="979" t="s">
        <v>4825</v>
      </c>
      <c r="H1117" s="979">
        <v>282821</v>
      </c>
      <c r="I1117" s="979">
        <v>0</v>
      </c>
      <c r="J1117" s="979">
        <v>0</v>
      </c>
      <c r="K1117" s="979"/>
      <c r="L1117" s="979">
        <v>0</v>
      </c>
      <c r="M1117" s="979">
        <v>599</v>
      </c>
    </row>
    <row r="1118" spans="1:13" ht="15">
      <c r="A1118" s="979" t="s">
        <v>3542</v>
      </c>
      <c r="B1118" s="1040" t="str">
        <f>CONCATENATE(LEFT(RIGHT(CONCATENATE("000",IFAData_TEA_1617!A1118),6),3),"-",(RIGHT(RIGHT(CONCATENATE("000",IFAData_TEA_1617!A1118),6),3)))</f>
        <v>101-915</v>
      </c>
      <c r="C1118" s="979" t="s">
        <v>2585</v>
      </c>
      <c r="D1118" s="979">
        <v>9</v>
      </c>
      <c r="E1118" s="979">
        <v>1964</v>
      </c>
      <c r="F1118" s="979" t="s">
        <v>4832</v>
      </c>
      <c r="G1118" s="979" t="s">
        <v>4832</v>
      </c>
      <c r="H1118" s="979">
        <v>1083584</v>
      </c>
      <c r="I1118" s="979">
        <v>400641</v>
      </c>
      <c r="J1118" s="979">
        <v>0.44661162810400101</v>
      </c>
      <c r="K1118" s="979">
        <v>483941.21442744584</v>
      </c>
      <c r="L1118" s="979">
        <v>400641</v>
      </c>
      <c r="M1118" s="979">
        <v>599</v>
      </c>
    </row>
    <row r="1119" spans="1:13" ht="15">
      <c r="A1119" s="979" t="s">
        <v>3542</v>
      </c>
      <c r="B1119" s="1040" t="str">
        <f>CONCATENATE(LEFT(RIGHT(CONCATENATE("000",IFAData_TEA_1617!A1119),6),3),"-",(RIGHT(RIGHT(CONCATENATE("000",IFAData_TEA_1617!A1119),6),3)))</f>
        <v>101-915</v>
      </c>
      <c r="C1119" s="979" t="s">
        <v>2585</v>
      </c>
      <c r="D1119" s="979">
        <v>6</v>
      </c>
      <c r="E1119" s="979">
        <v>1966</v>
      </c>
      <c r="F1119" s="979" t="s">
        <v>4829</v>
      </c>
      <c r="G1119" s="979" t="s">
        <v>6472</v>
      </c>
      <c r="H1119" s="979">
        <v>2380705</v>
      </c>
      <c r="I1119" s="979">
        <v>85819</v>
      </c>
      <c r="J1119" s="979">
        <v>3.2104696498220418E-2</v>
      </c>
      <c r="K1119" s="979">
        <v>76431.811476795847</v>
      </c>
      <c r="L1119" s="979">
        <v>76431.811476795847</v>
      </c>
      <c r="M1119" s="979">
        <v>599</v>
      </c>
    </row>
    <row r="1120" spans="1:13" ht="15">
      <c r="A1120" s="979" t="s">
        <v>3542</v>
      </c>
      <c r="B1120" s="1040" t="str">
        <f>CONCATENATE(LEFT(RIGHT(CONCATENATE("000",IFAData_TEA_1617!A1120),6),3),"-",(RIGHT(RIGHT(CONCATENATE("000",IFAData_TEA_1617!A1120),6),3)))</f>
        <v>101-915</v>
      </c>
      <c r="C1120" s="979" t="s">
        <v>2585</v>
      </c>
      <c r="D1120" s="979">
        <v>6</v>
      </c>
      <c r="E1120" s="979">
        <v>1966</v>
      </c>
      <c r="F1120" s="979" t="s">
        <v>4829</v>
      </c>
      <c r="G1120" s="979" t="s">
        <v>4830</v>
      </c>
      <c r="H1120" s="979">
        <v>2380705</v>
      </c>
      <c r="I1120" s="979">
        <v>2194643</v>
      </c>
      <c r="J1120" s="979">
        <v>0.8210110515963126</v>
      </c>
      <c r="K1120" s="979">
        <v>1954585.1155905994</v>
      </c>
      <c r="L1120" s="979">
        <v>1954585.1155905994</v>
      </c>
      <c r="M1120" s="979">
        <v>599</v>
      </c>
    </row>
    <row r="1121" spans="1:13" ht="15">
      <c r="A1121" s="979" t="s">
        <v>3542</v>
      </c>
      <c r="B1121" s="1040" t="str">
        <f>CONCATENATE(LEFT(RIGHT(CONCATENATE("000",IFAData_TEA_1617!A1121),6),3),"-",(RIGHT(RIGHT(CONCATENATE("000",IFAData_TEA_1617!A1121),6),3)))</f>
        <v>101-915</v>
      </c>
      <c r="C1121" s="979" t="s">
        <v>2585</v>
      </c>
      <c r="D1121" s="979">
        <v>9</v>
      </c>
      <c r="E1121" s="979">
        <v>1968</v>
      </c>
      <c r="F1121" s="979" t="s">
        <v>4830</v>
      </c>
      <c r="G1121" s="979" t="s">
        <v>4830</v>
      </c>
      <c r="H1121" s="979">
        <v>8267781</v>
      </c>
      <c r="I1121" s="979">
        <v>8804310</v>
      </c>
      <c r="J1121" s="979">
        <v>0.70329789887964367</v>
      </c>
      <c r="K1121" s="979">
        <v>5814713.005697039</v>
      </c>
      <c r="L1121" s="979">
        <v>5814713.005697039</v>
      </c>
      <c r="M1121" s="979">
        <v>599</v>
      </c>
    </row>
    <row r="1122" spans="1:13" ht="15">
      <c r="A1122" s="979" t="s">
        <v>3542</v>
      </c>
      <c r="B1122" s="1040" t="str">
        <f>CONCATENATE(LEFT(RIGHT(CONCATENATE("000",IFAData_TEA_1617!A1122),6),3),"-",(RIGHT(RIGHT(CONCATENATE("000",IFAData_TEA_1617!A1122),6),3)))</f>
        <v>101-915</v>
      </c>
      <c r="C1122" s="979" t="s">
        <v>2585</v>
      </c>
      <c r="D1122" s="979">
        <v>6</v>
      </c>
      <c r="E1122" s="979">
        <v>1966</v>
      </c>
      <c r="F1122" s="979" t="s">
        <v>4829</v>
      </c>
      <c r="G1122" s="979" t="s">
        <v>6260</v>
      </c>
      <c r="H1122" s="979">
        <v>2380705</v>
      </c>
      <c r="I1122" s="979">
        <v>192692</v>
      </c>
      <c r="J1122" s="979">
        <v>7.2085647439787098E-2</v>
      </c>
      <c r="K1122" s="979">
        <v>171614.66128813833</v>
      </c>
      <c r="L1122" s="979">
        <v>171614.66128813833</v>
      </c>
      <c r="M1122" s="979">
        <v>599</v>
      </c>
    </row>
    <row r="1123" spans="1:13" ht="15">
      <c r="A1123" s="979" t="s">
        <v>3542</v>
      </c>
      <c r="B1123" s="1040" t="str">
        <f>CONCATENATE(LEFT(RIGHT(CONCATENATE("000",IFAData_TEA_1617!A1123),6),3),"-",(RIGHT(RIGHT(CONCATENATE("000",IFAData_TEA_1617!A1123),6),3)))</f>
        <v>101-915</v>
      </c>
      <c r="C1123" s="979" t="s">
        <v>2585</v>
      </c>
      <c r="D1123" s="979">
        <v>6</v>
      </c>
      <c r="E1123" s="979">
        <v>1966</v>
      </c>
      <c r="F1123" s="979" t="s">
        <v>4829</v>
      </c>
      <c r="G1123" s="979" t="s">
        <v>4831</v>
      </c>
      <c r="H1123" s="979">
        <v>2380705</v>
      </c>
      <c r="I1123" s="979">
        <v>199944</v>
      </c>
      <c r="J1123" s="979">
        <v>7.4798604465679902E-2</v>
      </c>
      <c r="K1123" s="979">
        <v>178073.41164446648</v>
      </c>
      <c r="L1123" s="979">
        <v>178073.41164446648</v>
      </c>
      <c r="M1123" s="979">
        <v>599</v>
      </c>
    </row>
    <row r="1124" spans="1:13" ht="15">
      <c r="A1124" s="979" t="s">
        <v>3542</v>
      </c>
      <c r="B1124" s="1040" t="str">
        <f>CONCATENATE(LEFT(RIGHT(CONCATENATE("000",IFAData_TEA_1617!A1124),6),3),"-",(RIGHT(RIGHT(CONCATENATE("000",IFAData_TEA_1617!A1124),6),3)))</f>
        <v>101-915</v>
      </c>
      <c r="C1124" s="979" t="s">
        <v>2585</v>
      </c>
      <c r="D1124" s="979">
        <v>9</v>
      </c>
      <c r="E1124" s="979">
        <v>1964</v>
      </c>
      <c r="F1124" s="979" t="s">
        <v>4832</v>
      </c>
      <c r="G1124" s="979" t="s">
        <v>6472</v>
      </c>
      <c r="H1124" s="979">
        <v>1083584</v>
      </c>
      <c r="I1124" s="979">
        <v>234325</v>
      </c>
      <c r="J1124" s="979">
        <v>0.26121208202722646</v>
      </c>
      <c r="K1124" s="979">
        <v>283045.23269139015</v>
      </c>
      <c r="L1124" s="979">
        <v>234325</v>
      </c>
      <c r="M1124" s="979">
        <v>599</v>
      </c>
    </row>
    <row r="1125" spans="1:13" ht="15">
      <c r="A1125" s="979" t="s">
        <v>3542</v>
      </c>
      <c r="B1125" s="1040" t="str">
        <f>CONCATENATE(LEFT(RIGHT(CONCATENATE("000",IFAData_TEA_1617!A1125),6),3),"-",(RIGHT(RIGHT(CONCATENATE("000",IFAData_TEA_1617!A1125),6),3)))</f>
        <v>101-915</v>
      </c>
      <c r="C1125" s="979" t="s">
        <v>2585</v>
      </c>
      <c r="D1125" s="979">
        <v>2</v>
      </c>
      <c r="E1125" s="979">
        <v>1965</v>
      </c>
      <c r="F1125" s="979" t="s">
        <v>4827</v>
      </c>
      <c r="G1125" s="979" t="s">
        <v>4827</v>
      </c>
      <c r="H1125" s="979">
        <v>1172621</v>
      </c>
      <c r="I1125" s="979">
        <v>0</v>
      </c>
      <c r="J1125" s="979">
        <v>0</v>
      </c>
      <c r="K1125" s="979">
        <v>0</v>
      </c>
      <c r="L1125" s="979">
        <v>0</v>
      </c>
      <c r="M1125" s="979">
        <v>599</v>
      </c>
    </row>
    <row r="1126" spans="1:13" ht="15">
      <c r="A1126" s="979" t="s">
        <v>3542</v>
      </c>
      <c r="B1126" s="1040" t="str">
        <f>CONCATENATE(LEFT(RIGHT(CONCATENATE("000",IFAData_TEA_1617!A1126),6),3),"-",(RIGHT(RIGHT(CONCATENATE("000",IFAData_TEA_1617!A1126),6),3)))</f>
        <v>101-915</v>
      </c>
      <c r="C1126" s="979" t="s">
        <v>2585</v>
      </c>
      <c r="D1126" s="979">
        <v>6</v>
      </c>
      <c r="E1126" s="979">
        <v>1966</v>
      </c>
      <c r="F1126" s="979" t="s">
        <v>4829</v>
      </c>
      <c r="G1126" s="979" t="s">
        <v>4826</v>
      </c>
      <c r="H1126" s="979">
        <v>2380705</v>
      </c>
      <c r="I1126" s="979">
        <v>0</v>
      </c>
      <c r="J1126" s="979">
        <v>0</v>
      </c>
      <c r="K1126" s="979">
        <v>0</v>
      </c>
      <c r="L1126" s="979">
        <v>0</v>
      </c>
      <c r="M1126" s="979">
        <v>599</v>
      </c>
    </row>
    <row r="1127" spans="1:13" ht="15">
      <c r="A1127" s="979" t="s">
        <v>3542</v>
      </c>
      <c r="B1127" s="1040" t="str">
        <f>CONCATENATE(LEFT(RIGHT(CONCATENATE("000",IFAData_TEA_1617!A1127),6),3),"-",(RIGHT(RIGHT(CONCATENATE("000",IFAData_TEA_1617!A1127),6),3)))</f>
        <v>101-915</v>
      </c>
      <c r="C1127" s="979" t="s">
        <v>2585</v>
      </c>
      <c r="D1127" s="979">
        <v>9</v>
      </c>
      <c r="E1127" s="979">
        <v>1964</v>
      </c>
      <c r="F1127" s="979" t="s">
        <v>4832</v>
      </c>
      <c r="G1127" s="979" t="s">
        <v>6260</v>
      </c>
      <c r="H1127" s="979">
        <v>1083584</v>
      </c>
      <c r="I1127" s="979">
        <v>262102</v>
      </c>
      <c r="J1127" s="979">
        <v>0.29217628986877248</v>
      </c>
      <c r="K1127" s="979">
        <v>316597.55288116395</v>
      </c>
      <c r="L1127" s="979">
        <v>262102</v>
      </c>
      <c r="M1127" s="979">
        <v>599</v>
      </c>
    </row>
    <row r="1128" spans="1:13" ht="15">
      <c r="A1128" s="979" t="s">
        <v>3543</v>
      </c>
      <c r="B1128" s="1040" t="str">
        <f>CONCATENATE(LEFT(RIGHT(CONCATENATE("000",IFAData_TEA_1617!A1128),6),3),"-",(RIGHT(RIGHT(CONCATENATE("000",IFAData_TEA_1617!A1128),6),3)))</f>
        <v>101-917</v>
      </c>
      <c r="C1128" s="979" t="s">
        <v>272</v>
      </c>
      <c r="D1128" s="979">
        <v>2</v>
      </c>
      <c r="E1128" s="979">
        <v>2178</v>
      </c>
      <c r="F1128" s="979" t="s">
        <v>4834</v>
      </c>
      <c r="G1128" s="979" t="s">
        <v>4834</v>
      </c>
      <c r="H1128" s="979">
        <v>1635967</v>
      </c>
      <c r="I1128" s="979">
        <v>0</v>
      </c>
      <c r="J1128" s="979">
        <v>0</v>
      </c>
      <c r="K1128" s="979">
        <v>0</v>
      </c>
      <c r="L1128" s="979">
        <v>0</v>
      </c>
      <c r="M1128" s="979">
        <v>599</v>
      </c>
    </row>
    <row r="1129" spans="1:13" ht="15">
      <c r="A1129" s="979" t="s">
        <v>3543</v>
      </c>
      <c r="B1129" s="1040" t="str">
        <f>CONCATENATE(LEFT(RIGHT(CONCATENATE("000",IFAData_TEA_1617!A1129),6),3),"-",(RIGHT(RIGHT(CONCATENATE("000",IFAData_TEA_1617!A1129),6),3)))</f>
        <v>101-917</v>
      </c>
      <c r="C1129" s="979" t="s">
        <v>272</v>
      </c>
      <c r="D1129" s="979">
        <v>6</v>
      </c>
      <c r="E1129" s="979">
        <v>2179</v>
      </c>
      <c r="F1129" s="979" t="s">
        <v>4837</v>
      </c>
      <c r="G1129" s="979" t="s">
        <v>4838</v>
      </c>
      <c r="H1129" s="979">
        <v>7578719</v>
      </c>
      <c r="I1129" s="979">
        <v>0</v>
      </c>
      <c r="J1129" s="979">
        <v>0</v>
      </c>
      <c r="K1129" s="979">
        <v>0</v>
      </c>
      <c r="L1129" s="979">
        <v>0</v>
      </c>
      <c r="M1129" s="979">
        <v>599</v>
      </c>
    </row>
    <row r="1130" spans="1:13" ht="15">
      <c r="A1130" s="979" t="s">
        <v>3543</v>
      </c>
      <c r="B1130" s="1040" t="str">
        <f>CONCATENATE(LEFT(RIGHT(CONCATENATE("000",IFAData_TEA_1617!A1130),6),3),"-",(RIGHT(RIGHT(CONCATENATE("000",IFAData_TEA_1617!A1130),6),3)))</f>
        <v>101-917</v>
      </c>
      <c r="C1130" s="979" t="s">
        <v>272</v>
      </c>
      <c r="D1130" s="979">
        <v>2</v>
      </c>
      <c r="E1130" s="979">
        <v>2178</v>
      </c>
      <c r="F1130" s="979" t="s">
        <v>4834</v>
      </c>
      <c r="G1130" s="979" t="s">
        <v>4836</v>
      </c>
      <c r="H1130" s="979">
        <v>1635967</v>
      </c>
      <c r="I1130" s="979">
        <v>1562542</v>
      </c>
      <c r="J1130" s="979">
        <v>1</v>
      </c>
      <c r="K1130" s="979">
        <v>1635967</v>
      </c>
      <c r="L1130" s="979">
        <v>1562542</v>
      </c>
      <c r="M1130" s="979">
        <v>599</v>
      </c>
    </row>
    <row r="1131" spans="1:13" ht="15">
      <c r="A1131" s="979" t="s">
        <v>3543</v>
      </c>
      <c r="B1131" s="1040" t="str">
        <f>CONCATENATE(LEFT(RIGHT(CONCATENATE("000",IFAData_TEA_1617!A1131),6),3),"-",(RIGHT(RIGHT(CONCATENATE("000",IFAData_TEA_1617!A1131),6),3)))</f>
        <v>101-917</v>
      </c>
      <c r="C1131" s="979" t="s">
        <v>272</v>
      </c>
      <c r="D1131" s="979">
        <v>6</v>
      </c>
      <c r="E1131" s="979">
        <v>2179</v>
      </c>
      <c r="F1131" s="979" t="s">
        <v>4837</v>
      </c>
      <c r="G1131" s="979" t="s">
        <v>4837</v>
      </c>
      <c r="H1131" s="979">
        <v>7578719</v>
      </c>
      <c r="I1131" s="979">
        <v>0</v>
      </c>
      <c r="J1131" s="979">
        <v>0</v>
      </c>
      <c r="K1131" s="979">
        <v>0</v>
      </c>
      <c r="L1131" s="979">
        <v>0</v>
      </c>
      <c r="M1131" s="979">
        <v>599</v>
      </c>
    </row>
    <row r="1132" spans="1:13" ht="15">
      <c r="A1132" s="979" t="s">
        <v>3543</v>
      </c>
      <c r="B1132" s="1040" t="str">
        <f>CONCATENATE(LEFT(RIGHT(CONCATENATE("000",IFAData_TEA_1617!A1132),6),3),"-",(RIGHT(RIGHT(CONCATENATE("000",IFAData_TEA_1617!A1132),6),3)))</f>
        <v>101-917</v>
      </c>
      <c r="C1132" s="979" t="s">
        <v>272</v>
      </c>
      <c r="D1132" s="979">
        <v>6</v>
      </c>
      <c r="E1132" s="979">
        <v>2179</v>
      </c>
      <c r="F1132" s="979" t="s">
        <v>4837</v>
      </c>
      <c r="G1132" s="979" t="s">
        <v>4839</v>
      </c>
      <c r="H1132" s="979">
        <v>7578719</v>
      </c>
      <c r="I1132" s="979">
        <v>2055367</v>
      </c>
      <c r="J1132" s="979">
        <v>1</v>
      </c>
      <c r="K1132" s="979">
        <v>7578719</v>
      </c>
      <c r="L1132" s="979">
        <v>2055367</v>
      </c>
      <c r="M1132" s="979">
        <v>599</v>
      </c>
    </row>
    <row r="1133" spans="1:13" ht="15">
      <c r="A1133" s="979" t="s">
        <v>3543</v>
      </c>
      <c r="B1133" s="1040" t="str">
        <f>CONCATENATE(LEFT(RIGHT(CONCATENATE("000",IFAData_TEA_1617!A1133),6),3),"-",(RIGHT(RIGHT(CONCATENATE("000",IFAData_TEA_1617!A1133),6),3)))</f>
        <v>101-917</v>
      </c>
      <c r="C1133" s="979" t="s">
        <v>272</v>
      </c>
      <c r="D1133" s="979">
        <v>2</v>
      </c>
      <c r="E1133" s="979">
        <v>2178</v>
      </c>
      <c r="F1133" s="979" t="s">
        <v>4834</v>
      </c>
      <c r="G1133" s="979" t="s">
        <v>4835</v>
      </c>
      <c r="H1133" s="979">
        <v>1635967</v>
      </c>
      <c r="I1133" s="979">
        <v>0</v>
      </c>
      <c r="J1133" s="979">
        <v>0</v>
      </c>
      <c r="K1133" s="979">
        <v>0</v>
      </c>
      <c r="L1133" s="979">
        <v>0</v>
      </c>
      <c r="M1133" s="979">
        <v>599</v>
      </c>
    </row>
    <row r="1134" spans="1:13" ht="15">
      <c r="A1134" s="979" t="s">
        <v>3544</v>
      </c>
      <c r="B1134" s="1040" t="str">
        <f>CONCATENATE(LEFT(RIGHT(CONCATENATE("000",IFAData_TEA_1617!A1134),6),3),"-",(RIGHT(RIGHT(CONCATENATE("000",IFAData_TEA_1617!A1134),6),3)))</f>
        <v>101-925</v>
      </c>
      <c r="C1134" s="979" t="s">
        <v>2383</v>
      </c>
      <c r="D1134" s="979">
        <v>5</v>
      </c>
      <c r="E1134" s="979">
        <v>1912</v>
      </c>
      <c r="F1134" s="979" t="s">
        <v>4840</v>
      </c>
      <c r="G1134" s="979" t="s">
        <v>4842</v>
      </c>
      <c r="H1134" s="979">
        <v>409219</v>
      </c>
      <c r="I1134" s="979">
        <v>415501</v>
      </c>
      <c r="J1134" s="979">
        <v>1</v>
      </c>
      <c r="K1134" s="979">
        <v>409219</v>
      </c>
      <c r="L1134" s="979">
        <v>409219</v>
      </c>
      <c r="M1134" s="979">
        <v>599</v>
      </c>
    </row>
    <row r="1135" spans="1:13" ht="15">
      <c r="A1135" s="979" t="s">
        <v>3544</v>
      </c>
      <c r="B1135" s="1040" t="str">
        <f>CONCATENATE(LEFT(RIGHT(CONCATENATE("000",IFAData_TEA_1617!A1135),6),3),"-",(RIGHT(RIGHT(CONCATENATE("000",IFAData_TEA_1617!A1135),6),3)))</f>
        <v>101-925</v>
      </c>
      <c r="C1135" s="979" t="s">
        <v>2383</v>
      </c>
      <c r="D1135" s="979">
        <v>5</v>
      </c>
      <c r="E1135" s="979">
        <v>1911</v>
      </c>
      <c r="F1135" s="979" t="s">
        <v>4843</v>
      </c>
      <c r="G1135" s="979" t="s">
        <v>4843</v>
      </c>
      <c r="H1135" s="979">
        <v>189309</v>
      </c>
      <c r="I1135" s="979">
        <v>0</v>
      </c>
      <c r="J1135" s="979">
        <v>0</v>
      </c>
      <c r="K1135" s="979">
        <v>0</v>
      </c>
      <c r="L1135" s="979">
        <v>0</v>
      </c>
      <c r="M1135" s="979">
        <v>599</v>
      </c>
    </row>
    <row r="1136" spans="1:13" ht="15">
      <c r="A1136" s="979" t="s">
        <v>3544</v>
      </c>
      <c r="B1136" s="1040" t="str">
        <f>CONCATENATE(LEFT(RIGHT(CONCATENATE("000",IFAData_TEA_1617!A1136),6),3),"-",(RIGHT(RIGHT(CONCATENATE("000",IFAData_TEA_1617!A1136),6),3)))</f>
        <v>101-925</v>
      </c>
      <c r="C1136" s="979" t="s">
        <v>2383</v>
      </c>
      <c r="D1136" s="979">
        <v>5</v>
      </c>
      <c r="E1136" s="979">
        <v>1912</v>
      </c>
      <c r="F1136" s="979" t="s">
        <v>4840</v>
      </c>
      <c r="G1136" s="979" t="s">
        <v>4841</v>
      </c>
      <c r="H1136" s="979">
        <v>409219</v>
      </c>
      <c r="I1136" s="979">
        <v>0</v>
      </c>
      <c r="J1136" s="979">
        <v>0</v>
      </c>
      <c r="K1136" s="979">
        <v>0</v>
      </c>
      <c r="L1136" s="979">
        <v>0</v>
      </c>
      <c r="M1136" s="979">
        <v>599</v>
      </c>
    </row>
    <row r="1137" spans="1:13" ht="15">
      <c r="A1137" s="979" t="s">
        <v>3544</v>
      </c>
      <c r="B1137" s="1040" t="str">
        <f>CONCATENATE(LEFT(RIGHT(CONCATENATE("000",IFAData_TEA_1617!A1137),6),3),"-",(RIGHT(RIGHT(CONCATENATE("000",IFAData_TEA_1617!A1137),6),3)))</f>
        <v>101-925</v>
      </c>
      <c r="C1137" s="979" t="s">
        <v>2383</v>
      </c>
      <c r="D1137" s="979">
        <v>5</v>
      </c>
      <c r="E1137" s="979">
        <v>1911</v>
      </c>
      <c r="F1137" s="979" t="s">
        <v>4843</v>
      </c>
      <c r="G1137" s="979" t="s">
        <v>4844</v>
      </c>
      <c r="H1137" s="979">
        <v>189309</v>
      </c>
      <c r="I1137" s="979">
        <v>288618</v>
      </c>
      <c r="J1137" s="979">
        <v>1</v>
      </c>
      <c r="K1137" s="979">
        <v>189309</v>
      </c>
      <c r="L1137" s="979">
        <v>189309</v>
      </c>
      <c r="M1137" s="979">
        <v>599</v>
      </c>
    </row>
    <row r="1138" spans="1:13" ht="15">
      <c r="A1138" s="979" t="s">
        <v>3544</v>
      </c>
      <c r="B1138" s="1040" t="str">
        <f>CONCATENATE(LEFT(RIGHT(CONCATENATE("000",IFAData_TEA_1617!A1138),6),3),"-",(RIGHT(RIGHT(CONCATENATE("000",IFAData_TEA_1617!A1138),6),3)))</f>
        <v>101-925</v>
      </c>
      <c r="C1138" s="979" t="s">
        <v>2383</v>
      </c>
      <c r="D1138" s="979">
        <v>5</v>
      </c>
      <c r="E1138" s="979">
        <v>1912</v>
      </c>
      <c r="F1138" s="979" t="s">
        <v>4840</v>
      </c>
      <c r="G1138" s="979" t="s">
        <v>4840</v>
      </c>
      <c r="H1138" s="979">
        <v>409219</v>
      </c>
      <c r="I1138" s="979">
        <v>0</v>
      </c>
      <c r="J1138" s="979">
        <v>0</v>
      </c>
      <c r="K1138" s="979">
        <v>0</v>
      </c>
      <c r="L1138" s="979">
        <v>0</v>
      </c>
      <c r="M1138" s="979">
        <v>599</v>
      </c>
    </row>
    <row r="1139" spans="1:13" ht="15">
      <c r="A1139" s="979" t="s">
        <v>3545</v>
      </c>
      <c r="B1139" s="1040" t="str">
        <f>CONCATENATE(LEFT(RIGHT(CONCATENATE("000",IFAData_TEA_1617!A1139),6),3),"-",(RIGHT(RIGHT(CONCATENATE("000",IFAData_TEA_1617!A1139),6),3)))</f>
        <v>104-901</v>
      </c>
      <c r="C1139" s="979" t="s">
        <v>828</v>
      </c>
      <c r="D1139" s="979">
        <v>6</v>
      </c>
      <c r="E1139" s="979">
        <v>1875</v>
      </c>
      <c r="F1139" s="979" t="s">
        <v>4845</v>
      </c>
      <c r="G1139" s="979" t="s">
        <v>4846</v>
      </c>
      <c r="H1139" s="979">
        <v>90011</v>
      </c>
      <c r="I1139" s="979">
        <v>85032</v>
      </c>
      <c r="J1139" s="979">
        <v>1</v>
      </c>
      <c r="K1139" s="979">
        <v>90011</v>
      </c>
      <c r="L1139" s="979">
        <v>85032</v>
      </c>
      <c r="M1139" s="979">
        <v>599</v>
      </c>
    </row>
    <row r="1140" spans="1:13" ht="15">
      <c r="A1140" s="979" t="s">
        <v>3545</v>
      </c>
      <c r="B1140" s="1040" t="str">
        <f>CONCATENATE(LEFT(RIGHT(CONCATENATE("000",IFAData_TEA_1617!A1140),6),3),"-",(RIGHT(RIGHT(CONCATENATE("000",IFAData_TEA_1617!A1140),6),3)))</f>
        <v>104-901</v>
      </c>
      <c r="C1140" s="979" t="s">
        <v>828</v>
      </c>
      <c r="D1140" s="979">
        <v>6</v>
      </c>
      <c r="E1140" s="979">
        <v>1875</v>
      </c>
      <c r="F1140" s="979" t="s">
        <v>4845</v>
      </c>
      <c r="G1140" s="979" t="s">
        <v>4845</v>
      </c>
      <c r="H1140" s="979">
        <v>90011</v>
      </c>
      <c r="I1140" s="979">
        <v>0</v>
      </c>
      <c r="J1140" s="979">
        <v>0</v>
      </c>
      <c r="K1140" s="979">
        <v>0</v>
      </c>
      <c r="L1140" s="979">
        <v>0</v>
      </c>
      <c r="M1140" s="979">
        <v>599</v>
      </c>
    </row>
    <row r="1141" spans="1:13" ht="15">
      <c r="A1141" s="979" t="s">
        <v>3546</v>
      </c>
      <c r="B1141" s="1040" t="str">
        <f>CONCATENATE(LEFT(RIGHT(CONCATENATE("000",IFAData_TEA_1617!A1141),6),3),"-",(RIGHT(RIGHT(CONCATENATE("000",IFAData_TEA_1617!A1141),6),3)))</f>
        <v>105-904</v>
      </c>
      <c r="C1141" s="979" t="s">
        <v>1061</v>
      </c>
      <c r="D1141" s="979">
        <v>1</v>
      </c>
      <c r="E1141" s="979">
        <v>1771</v>
      </c>
      <c r="F1141" s="979" t="s">
        <v>4847</v>
      </c>
      <c r="G1141" s="979" t="s">
        <v>6261</v>
      </c>
      <c r="H1141" s="979">
        <v>687500</v>
      </c>
      <c r="I1141" s="979">
        <v>238708</v>
      </c>
      <c r="J1141" s="979">
        <v>1</v>
      </c>
      <c r="K1141" s="979">
        <v>687500</v>
      </c>
      <c r="L1141" s="979">
        <v>238708</v>
      </c>
      <c r="M1141" s="979">
        <v>599</v>
      </c>
    </row>
    <row r="1142" spans="1:13" ht="15">
      <c r="A1142" s="979" t="s">
        <v>3546</v>
      </c>
      <c r="B1142" s="1040" t="str">
        <f>CONCATENATE(LEFT(RIGHT(CONCATENATE("000",IFAData_TEA_1617!A1142),6),3),"-",(RIGHT(RIGHT(CONCATENATE("000",IFAData_TEA_1617!A1142),6),3)))</f>
        <v>105-904</v>
      </c>
      <c r="C1142" s="979" t="s">
        <v>1061</v>
      </c>
      <c r="D1142" s="979">
        <v>1</v>
      </c>
      <c r="E1142" s="979">
        <v>1771</v>
      </c>
      <c r="F1142" s="979" t="s">
        <v>4847</v>
      </c>
      <c r="G1142" s="979" t="s">
        <v>4847</v>
      </c>
      <c r="H1142" s="979">
        <v>687500</v>
      </c>
      <c r="I1142" s="979">
        <v>0</v>
      </c>
      <c r="J1142" s="979">
        <v>0</v>
      </c>
      <c r="K1142" s="979">
        <v>0</v>
      </c>
      <c r="L1142" s="979">
        <v>0</v>
      </c>
      <c r="M1142" s="979">
        <v>599</v>
      </c>
    </row>
    <row r="1143" spans="1:13" ht="15">
      <c r="A1143" s="979" t="s">
        <v>3546</v>
      </c>
      <c r="B1143" s="1040" t="str">
        <f>CONCATENATE(LEFT(RIGHT(CONCATENATE("000",IFAData_TEA_1617!A1143),6),3),"-",(RIGHT(RIGHT(CONCATENATE("000",IFAData_TEA_1617!A1143),6),3)))</f>
        <v>105-904</v>
      </c>
      <c r="C1143" s="979" t="s">
        <v>1061</v>
      </c>
      <c r="D1143" s="979">
        <v>1</v>
      </c>
      <c r="E1143" s="979">
        <v>1771</v>
      </c>
      <c r="F1143" s="979" t="s">
        <v>4847</v>
      </c>
      <c r="G1143" s="979" t="s">
        <v>4848</v>
      </c>
      <c r="H1143" s="979">
        <v>687500</v>
      </c>
      <c r="I1143" s="979">
        <v>0</v>
      </c>
      <c r="J1143" s="979">
        <v>0</v>
      </c>
      <c r="K1143" s="979">
        <v>0</v>
      </c>
      <c r="L1143" s="979">
        <v>0</v>
      </c>
      <c r="M1143" s="979">
        <v>599</v>
      </c>
    </row>
    <row r="1144" spans="1:13" ht="15">
      <c r="A1144" s="979" t="s">
        <v>3547</v>
      </c>
      <c r="B1144" s="1040" t="str">
        <f>CONCATENATE(LEFT(RIGHT(CONCATENATE("000",IFAData_TEA_1617!A1144),6),3),"-",(RIGHT(RIGHT(CONCATENATE("000",IFAData_TEA_1617!A1144),6),3)))</f>
        <v>105-906</v>
      </c>
      <c r="C1144" s="979" t="s">
        <v>35</v>
      </c>
      <c r="D1144" s="979">
        <v>5</v>
      </c>
      <c r="E1144" s="979">
        <v>1879</v>
      </c>
      <c r="F1144" s="979" t="s">
        <v>4852</v>
      </c>
      <c r="G1144" s="979" t="s">
        <v>4856</v>
      </c>
      <c r="H1144" s="979">
        <v>1891253</v>
      </c>
      <c r="I1144" s="979">
        <v>0</v>
      </c>
      <c r="J1144" s="979">
        <v>0</v>
      </c>
      <c r="K1144" s="979">
        <v>0</v>
      </c>
      <c r="L1144" s="979">
        <v>0</v>
      </c>
      <c r="M1144" s="979">
        <v>599</v>
      </c>
    </row>
    <row r="1145" spans="1:13" ht="15">
      <c r="A1145" s="979" t="s">
        <v>3547</v>
      </c>
      <c r="B1145" s="1040" t="str">
        <f>CONCATENATE(LEFT(RIGHT(CONCATENATE("000",IFAData_TEA_1617!A1145),6),3),"-",(RIGHT(RIGHT(CONCATENATE("000",IFAData_TEA_1617!A1145),6),3)))</f>
        <v>105-906</v>
      </c>
      <c r="C1145" s="979" t="s">
        <v>35</v>
      </c>
      <c r="D1145" s="979">
        <v>1</v>
      </c>
      <c r="E1145" s="979">
        <v>1876</v>
      </c>
      <c r="F1145" s="979" t="s">
        <v>4849</v>
      </c>
      <c r="G1145" s="979" t="s">
        <v>4851</v>
      </c>
      <c r="H1145" s="979">
        <v>1147081</v>
      </c>
      <c r="I1145" s="979">
        <v>1608335</v>
      </c>
      <c r="J1145" s="979">
        <v>1</v>
      </c>
      <c r="K1145" s="979">
        <v>1147081</v>
      </c>
      <c r="L1145" s="979">
        <v>1147081</v>
      </c>
      <c r="M1145" s="979">
        <v>599</v>
      </c>
    </row>
    <row r="1146" spans="1:13" ht="15">
      <c r="A1146" s="979" t="s">
        <v>3547</v>
      </c>
      <c r="B1146" s="1040" t="str">
        <f>CONCATENATE(LEFT(RIGHT(CONCATENATE("000",IFAData_TEA_1617!A1146),6),3),"-",(RIGHT(RIGHT(CONCATENATE("000",IFAData_TEA_1617!A1146),6),3)))</f>
        <v>105-906</v>
      </c>
      <c r="C1146" s="979" t="s">
        <v>35</v>
      </c>
      <c r="D1146" s="979">
        <v>5</v>
      </c>
      <c r="E1146" s="979">
        <v>1879</v>
      </c>
      <c r="F1146" s="979" t="s">
        <v>4852</v>
      </c>
      <c r="G1146" s="979" t="s">
        <v>4851</v>
      </c>
      <c r="H1146" s="979">
        <v>1891253</v>
      </c>
      <c r="I1146" s="979">
        <v>5981216</v>
      </c>
      <c r="J1146" s="979">
        <v>1</v>
      </c>
      <c r="K1146" s="979">
        <v>1891253</v>
      </c>
      <c r="L1146" s="979">
        <v>1891253</v>
      </c>
      <c r="M1146" s="979">
        <v>599</v>
      </c>
    </row>
    <row r="1147" spans="1:13" ht="15">
      <c r="A1147" s="979" t="s">
        <v>3547</v>
      </c>
      <c r="B1147" s="1040" t="str">
        <f>CONCATENATE(LEFT(RIGHT(CONCATENATE("000",IFAData_TEA_1617!A1147),6),3),"-",(RIGHT(RIGHT(CONCATENATE("000",IFAData_TEA_1617!A1147),6),3)))</f>
        <v>105-906</v>
      </c>
      <c r="C1147" s="979" t="s">
        <v>35</v>
      </c>
      <c r="D1147" s="979">
        <v>5</v>
      </c>
      <c r="E1147" s="979">
        <v>1879</v>
      </c>
      <c r="F1147" s="979" t="s">
        <v>4852</v>
      </c>
      <c r="G1147" s="979" t="s">
        <v>4852</v>
      </c>
      <c r="H1147" s="979">
        <v>1891253</v>
      </c>
      <c r="I1147" s="979">
        <v>0</v>
      </c>
      <c r="J1147" s="979">
        <v>0</v>
      </c>
      <c r="K1147" s="979">
        <v>0</v>
      </c>
      <c r="L1147" s="979">
        <v>0</v>
      </c>
      <c r="M1147" s="979">
        <v>599</v>
      </c>
    </row>
    <row r="1148" spans="1:13" ht="15">
      <c r="A1148" s="979" t="s">
        <v>3547</v>
      </c>
      <c r="B1148" s="1040" t="str">
        <f>CONCATENATE(LEFT(RIGHT(CONCATENATE("000",IFAData_TEA_1617!A1148),6),3),"-",(RIGHT(RIGHT(CONCATENATE("000",IFAData_TEA_1617!A1148),6),3)))</f>
        <v>105-906</v>
      </c>
      <c r="C1148" s="979" t="s">
        <v>35</v>
      </c>
      <c r="D1148" s="979">
        <v>9</v>
      </c>
      <c r="E1148" s="979">
        <v>1878</v>
      </c>
      <c r="F1148" s="979" t="s">
        <v>4857</v>
      </c>
      <c r="G1148" s="979" t="s">
        <v>6473</v>
      </c>
      <c r="H1148" s="979">
        <v>1795685</v>
      </c>
      <c r="I1148" s="979">
        <v>54801</v>
      </c>
      <c r="J1148" s="979">
        <v>7.4772208168578241E-2</v>
      </c>
      <c r="K1148" s="979">
        <v>134267.3326251934</v>
      </c>
      <c r="L1148" s="979">
        <v>54801</v>
      </c>
      <c r="M1148" s="979">
        <v>599</v>
      </c>
    </row>
    <row r="1149" spans="1:13" ht="15">
      <c r="A1149" s="979" t="s">
        <v>3547</v>
      </c>
      <c r="B1149" s="1040" t="str">
        <f>CONCATENATE(LEFT(RIGHT(CONCATENATE("000",IFAData_TEA_1617!A1149),6),3),"-",(RIGHT(RIGHT(CONCATENATE("000",IFAData_TEA_1617!A1149),6),3)))</f>
        <v>105-906</v>
      </c>
      <c r="C1149" s="979" t="s">
        <v>35</v>
      </c>
      <c r="D1149" s="979">
        <v>5</v>
      </c>
      <c r="E1149" s="979">
        <v>1879</v>
      </c>
      <c r="F1149" s="979" t="s">
        <v>4852</v>
      </c>
      <c r="G1149" s="979" t="s">
        <v>4855</v>
      </c>
      <c r="H1149" s="979">
        <v>1891253</v>
      </c>
      <c r="I1149" s="979">
        <v>0</v>
      </c>
      <c r="J1149" s="979">
        <v>0</v>
      </c>
      <c r="K1149" s="979">
        <v>0</v>
      </c>
      <c r="L1149" s="979">
        <v>0</v>
      </c>
      <c r="M1149" s="979">
        <v>599</v>
      </c>
    </row>
    <row r="1150" spans="1:13" ht="15">
      <c r="A1150" s="979" t="s">
        <v>3547</v>
      </c>
      <c r="B1150" s="1040" t="str">
        <f>CONCATENATE(LEFT(RIGHT(CONCATENATE("000",IFAData_TEA_1617!A1150),6),3),"-",(RIGHT(RIGHT(CONCATENATE("000",IFAData_TEA_1617!A1150),6),3)))</f>
        <v>105-906</v>
      </c>
      <c r="C1150" s="979" t="s">
        <v>35</v>
      </c>
      <c r="D1150" s="979">
        <v>5</v>
      </c>
      <c r="E1150" s="979">
        <v>1879</v>
      </c>
      <c r="F1150" s="979" t="s">
        <v>4852</v>
      </c>
      <c r="G1150" s="979" t="s">
        <v>4854</v>
      </c>
      <c r="H1150" s="979">
        <v>1891253</v>
      </c>
      <c r="I1150" s="979">
        <v>0</v>
      </c>
      <c r="J1150" s="979">
        <v>0</v>
      </c>
      <c r="K1150" s="979">
        <v>0</v>
      </c>
      <c r="L1150" s="979">
        <v>0</v>
      </c>
      <c r="M1150" s="979">
        <v>599</v>
      </c>
    </row>
    <row r="1151" spans="1:13" ht="15">
      <c r="A1151" s="979" t="s">
        <v>3547</v>
      </c>
      <c r="B1151" s="1040" t="str">
        <f>CONCATENATE(LEFT(RIGHT(CONCATENATE("000",IFAData_TEA_1617!A1151),6),3),"-",(RIGHT(RIGHT(CONCATENATE("000",IFAData_TEA_1617!A1151),6),3)))</f>
        <v>105-906</v>
      </c>
      <c r="C1151" s="979" t="s">
        <v>35</v>
      </c>
      <c r="D1151" s="979">
        <v>5</v>
      </c>
      <c r="E1151" s="979">
        <v>1879</v>
      </c>
      <c r="F1151" s="979" t="s">
        <v>4852</v>
      </c>
      <c r="G1151" s="979" t="s">
        <v>4850</v>
      </c>
      <c r="H1151" s="979">
        <v>1891253</v>
      </c>
      <c r="I1151" s="979">
        <v>0</v>
      </c>
      <c r="J1151" s="979">
        <v>0</v>
      </c>
      <c r="K1151" s="979">
        <v>0</v>
      </c>
      <c r="L1151" s="979">
        <v>0</v>
      </c>
      <c r="M1151" s="979">
        <v>599</v>
      </c>
    </row>
    <row r="1152" spans="1:13" ht="15">
      <c r="A1152" s="979" t="s">
        <v>3547</v>
      </c>
      <c r="B1152" s="1040" t="str">
        <f>CONCATENATE(LEFT(RIGHT(CONCATENATE("000",IFAData_TEA_1617!A1152),6),3),"-",(RIGHT(RIGHT(CONCATENATE("000",IFAData_TEA_1617!A1152),6),3)))</f>
        <v>105-906</v>
      </c>
      <c r="C1152" s="979" t="s">
        <v>35</v>
      </c>
      <c r="D1152" s="979">
        <v>1</v>
      </c>
      <c r="E1152" s="979">
        <v>1876</v>
      </c>
      <c r="F1152" s="979" t="s">
        <v>4849</v>
      </c>
      <c r="G1152" s="979" t="s">
        <v>4850</v>
      </c>
      <c r="H1152" s="979">
        <v>1147081</v>
      </c>
      <c r="I1152" s="979">
        <v>0</v>
      </c>
      <c r="J1152" s="979">
        <v>0</v>
      </c>
      <c r="K1152" s="979">
        <v>0</v>
      </c>
      <c r="L1152" s="979">
        <v>0</v>
      </c>
      <c r="M1152" s="979">
        <v>599</v>
      </c>
    </row>
    <row r="1153" spans="1:13" ht="15">
      <c r="A1153" s="979" t="s">
        <v>3547</v>
      </c>
      <c r="B1153" s="1040" t="str">
        <f>CONCATENATE(LEFT(RIGHT(CONCATENATE("000",IFAData_TEA_1617!A1153),6),3),"-",(RIGHT(RIGHT(CONCATENATE("000",IFAData_TEA_1617!A1153),6),3)))</f>
        <v>105-906</v>
      </c>
      <c r="C1153" s="979" t="s">
        <v>35</v>
      </c>
      <c r="D1153" s="979">
        <v>5</v>
      </c>
      <c r="E1153" s="979">
        <v>1879</v>
      </c>
      <c r="F1153" s="979" t="s">
        <v>4852</v>
      </c>
      <c r="G1153" s="979" t="s">
        <v>4853</v>
      </c>
      <c r="H1153" s="979">
        <v>1891253</v>
      </c>
      <c r="I1153" s="979">
        <v>0</v>
      </c>
      <c r="J1153" s="979">
        <v>0</v>
      </c>
      <c r="K1153" s="979">
        <v>0</v>
      </c>
      <c r="L1153" s="979">
        <v>0</v>
      </c>
      <c r="M1153" s="979">
        <v>599</v>
      </c>
    </row>
    <row r="1154" spans="1:13" ht="15">
      <c r="A1154" s="979" t="s">
        <v>3547</v>
      </c>
      <c r="B1154" s="1040" t="str">
        <f>CONCATENATE(LEFT(RIGHT(CONCATENATE("000",IFAData_TEA_1617!A1154),6),3),"-",(RIGHT(RIGHT(CONCATENATE("000",IFAData_TEA_1617!A1154),6),3)))</f>
        <v>105-906</v>
      </c>
      <c r="C1154" s="979" t="s">
        <v>35</v>
      </c>
      <c r="D1154" s="979">
        <v>9</v>
      </c>
      <c r="E1154" s="979">
        <v>1878</v>
      </c>
      <c r="F1154" s="979" t="s">
        <v>4857</v>
      </c>
      <c r="G1154" s="979" t="s">
        <v>4857</v>
      </c>
      <c r="H1154" s="979">
        <v>1795685</v>
      </c>
      <c r="I1154" s="979">
        <v>309287</v>
      </c>
      <c r="J1154" s="979">
        <v>0.42200091144021196</v>
      </c>
      <c r="K1154" s="979">
        <v>757780.70665951702</v>
      </c>
      <c r="L1154" s="979">
        <v>309287</v>
      </c>
      <c r="M1154" s="979">
        <v>599</v>
      </c>
    </row>
    <row r="1155" spans="1:13" ht="15">
      <c r="A1155" s="979" t="s">
        <v>3547</v>
      </c>
      <c r="B1155" s="1040" t="str">
        <f>CONCATENATE(LEFT(RIGHT(CONCATENATE("000",IFAData_TEA_1617!A1155),6),3),"-",(RIGHT(RIGHT(CONCATENATE("000",IFAData_TEA_1617!A1155),6),3)))</f>
        <v>105-906</v>
      </c>
      <c r="C1155" s="979" t="s">
        <v>35</v>
      </c>
      <c r="D1155" s="979">
        <v>9</v>
      </c>
      <c r="E1155" s="979">
        <v>1877</v>
      </c>
      <c r="F1155" s="979" t="s">
        <v>4858</v>
      </c>
      <c r="G1155" s="979" t="s">
        <v>4858</v>
      </c>
      <c r="H1155" s="979">
        <v>1578006</v>
      </c>
      <c r="I1155" s="979">
        <v>2377792</v>
      </c>
      <c r="J1155" s="979">
        <v>0.5210780026459404</v>
      </c>
      <c r="K1155" s="979">
        <v>822264.21464330982</v>
      </c>
      <c r="L1155" s="979">
        <v>822264.21464330982</v>
      </c>
      <c r="M1155" s="979">
        <v>599</v>
      </c>
    </row>
    <row r="1156" spans="1:13" ht="15">
      <c r="A1156" s="979" t="s">
        <v>3547</v>
      </c>
      <c r="B1156" s="1040" t="str">
        <f>CONCATENATE(LEFT(RIGHT(CONCATENATE("000",IFAData_TEA_1617!A1156),6),3),"-",(RIGHT(RIGHT(CONCATENATE("000",IFAData_TEA_1617!A1156),6),3)))</f>
        <v>105-906</v>
      </c>
      <c r="C1156" s="979" t="s">
        <v>35</v>
      </c>
      <c r="D1156" s="979">
        <v>9</v>
      </c>
      <c r="E1156" s="979">
        <v>1877</v>
      </c>
      <c r="F1156" s="979" t="s">
        <v>4858</v>
      </c>
      <c r="G1156" s="979" t="s">
        <v>6473</v>
      </c>
      <c r="H1156" s="979">
        <v>1578006</v>
      </c>
      <c r="I1156" s="979">
        <v>2185425</v>
      </c>
      <c r="J1156" s="979">
        <v>0.47892199735405966</v>
      </c>
      <c r="K1156" s="979">
        <v>755741.78535669029</v>
      </c>
      <c r="L1156" s="979">
        <v>755741.78535669029</v>
      </c>
      <c r="M1156" s="979">
        <v>599</v>
      </c>
    </row>
    <row r="1157" spans="1:13" ht="15">
      <c r="A1157" s="979" t="s">
        <v>3547</v>
      </c>
      <c r="B1157" s="1040" t="str">
        <f>CONCATENATE(LEFT(RIGHT(CONCATENATE("000",IFAData_TEA_1617!A1157),6),3),"-",(RIGHT(RIGHT(CONCATENATE("000",IFAData_TEA_1617!A1157),6),3)))</f>
        <v>105-906</v>
      </c>
      <c r="C1157" s="979" t="s">
        <v>35</v>
      </c>
      <c r="D1157" s="979">
        <v>9</v>
      </c>
      <c r="E1157" s="979">
        <v>1878</v>
      </c>
      <c r="F1157" s="979" t="s">
        <v>4857</v>
      </c>
      <c r="G1157" s="979" t="s">
        <v>4856</v>
      </c>
      <c r="H1157" s="979">
        <v>1795685</v>
      </c>
      <c r="I1157" s="979">
        <v>70609</v>
      </c>
      <c r="J1157" s="979">
        <v>9.6341140610119169E-2</v>
      </c>
      <c r="K1157" s="979">
        <v>172998.34107648185</v>
      </c>
      <c r="L1157" s="979">
        <v>70609</v>
      </c>
      <c r="M1157" s="979">
        <v>599</v>
      </c>
    </row>
    <row r="1158" spans="1:13" ht="15">
      <c r="A1158" s="979" t="s">
        <v>3547</v>
      </c>
      <c r="B1158" s="1040" t="str">
        <f>CONCATENATE(LEFT(RIGHT(CONCATENATE("000",IFAData_TEA_1617!A1158),6),3),"-",(RIGHT(RIGHT(CONCATENATE("000",IFAData_TEA_1617!A1158),6),3)))</f>
        <v>105-906</v>
      </c>
      <c r="C1158" s="979" t="s">
        <v>35</v>
      </c>
      <c r="D1158" s="979">
        <v>9</v>
      </c>
      <c r="E1158" s="979">
        <v>1878</v>
      </c>
      <c r="F1158" s="979" t="s">
        <v>4857</v>
      </c>
      <c r="G1158" s="979" t="s">
        <v>6474</v>
      </c>
      <c r="H1158" s="979">
        <v>1795685</v>
      </c>
      <c r="I1158" s="979">
        <v>298209</v>
      </c>
      <c r="J1158" s="979">
        <v>0.40688573978109061</v>
      </c>
      <c r="K1158" s="979">
        <v>730638.61963880772</v>
      </c>
      <c r="L1158" s="979">
        <v>298209</v>
      </c>
      <c r="M1158" s="979">
        <v>599</v>
      </c>
    </row>
    <row r="1159" spans="1:13" ht="15">
      <c r="A1159" s="979" t="s">
        <v>3547</v>
      </c>
      <c r="B1159" s="1040" t="str">
        <f>CONCATENATE(LEFT(RIGHT(CONCATENATE("000",IFAData_TEA_1617!A1159),6),3),"-",(RIGHT(RIGHT(CONCATENATE("000",IFAData_TEA_1617!A1159),6),3)))</f>
        <v>105-906</v>
      </c>
      <c r="C1159" s="979" t="s">
        <v>35</v>
      </c>
      <c r="D1159" s="979">
        <v>1</v>
      </c>
      <c r="E1159" s="979">
        <v>1876</v>
      </c>
      <c r="F1159" s="979" t="s">
        <v>4849</v>
      </c>
      <c r="G1159" s="979" t="s">
        <v>4849</v>
      </c>
      <c r="H1159" s="979">
        <v>1147081</v>
      </c>
      <c r="I1159" s="979">
        <v>0</v>
      </c>
      <c r="J1159" s="979">
        <v>0</v>
      </c>
      <c r="K1159" s="979">
        <v>0</v>
      </c>
      <c r="L1159" s="979">
        <v>0</v>
      </c>
      <c r="M1159" s="979">
        <v>599</v>
      </c>
    </row>
    <row r="1160" spans="1:13" ht="15">
      <c r="A1160" s="979" t="s">
        <v>3548</v>
      </c>
      <c r="B1160" s="1040" t="str">
        <f>CONCATENATE(LEFT(RIGHT(CONCATENATE("000",IFAData_TEA_1617!A1160),6),3),"-",(RIGHT(RIGHT(CONCATENATE("000",IFAData_TEA_1617!A1160),6),3)))</f>
        <v>107-907</v>
      </c>
      <c r="C1160" s="979" t="s">
        <v>607</v>
      </c>
      <c r="D1160" s="979">
        <v>3</v>
      </c>
      <c r="E1160" s="979">
        <v>2401</v>
      </c>
      <c r="F1160" s="979" t="s">
        <v>4859</v>
      </c>
      <c r="G1160" s="979" t="s">
        <v>4860</v>
      </c>
      <c r="H1160" s="979">
        <v>68908</v>
      </c>
      <c r="I1160" s="979">
        <v>39157</v>
      </c>
      <c r="J1160" s="979">
        <v>1</v>
      </c>
      <c r="K1160" s="979">
        <v>68908</v>
      </c>
      <c r="L1160" s="979">
        <v>39157</v>
      </c>
      <c r="M1160" s="979">
        <v>599</v>
      </c>
    </row>
    <row r="1161" spans="1:13" ht="15">
      <c r="A1161" s="979" t="s">
        <v>3548</v>
      </c>
      <c r="B1161" s="1040" t="str">
        <f>CONCATENATE(LEFT(RIGHT(CONCATENATE("000",IFAData_TEA_1617!A1161),6),3),"-",(RIGHT(RIGHT(CONCATENATE("000",IFAData_TEA_1617!A1161),6),3)))</f>
        <v>107-907</v>
      </c>
      <c r="C1161" s="979" t="s">
        <v>607</v>
      </c>
      <c r="D1161" s="979">
        <v>3</v>
      </c>
      <c r="E1161" s="979">
        <v>2401</v>
      </c>
      <c r="F1161" s="979" t="s">
        <v>4859</v>
      </c>
      <c r="G1161" s="979" t="s">
        <v>4859</v>
      </c>
      <c r="H1161" s="979">
        <v>68908</v>
      </c>
      <c r="I1161" s="979">
        <v>0</v>
      </c>
      <c r="J1161" s="979">
        <v>0</v>
      </c>
      <c r="K1161" s="979">
        <v>0</v>
      </c>
      <c r="L1161" s="979">
        <v>0</v>
      </c>
      <c r="M1161" s="979">
        <v>599</v>
      </c>
    </row>
    <row r="1162" spans="1:13" ht="15">
      <c r="A1162" s="979" t="s">
        <v>4861</v>
      </c>
      <c r="B1162" s="1040" t="str">
        <f>CONCATENATE(LEFT(RIGHT(CONCATENATE("000",IFAData_TEA_1617!A1162),6),3),"-",(RIGHT(RIGHT(CONCATENATE("000",IFAData_TEA_1617!A1162),6),3)))</f>
        <v>107-908</v>
      </c>
      <c r="C1162" s="979" t="s">
        <v>2105</v>
      </c>
      <c r="D1162" s="979">
        <v>5</v>
      </c>
      <c r="E1162" s="979">
        <v>2124</v>
      </c>
      <c r="F1162" s="979" t="s">
        <v>4862</v>
      </c>
      <c r="G1162" s="979" t="s">
        <v>4862</v>
      </c>
      <c r="H1162" s="979">
        <v>100000</v>
      </c>
      <c r="I1162" s="979">
        <v>104640</v>
      </c>
      <c r="J1162" s="979">
        <v>1</v>
      </c>
      <c r="K1162" s="979">
        <v>100000</v>
      </c>
      <c r="L1162" s="979">
        <v>100000</v>
      </c>
      <c r="M1162" s="979">
        <v>199</v>
      </c>
    </row>
    <row r="1163" spans="1:13" ht="15">
      <c r="A1163" s="979" t="s">
        <v>3549</v>
      </c>
      <c r="B1163" s="1040" t="str">
        <f>CONCATENATE(LEFT(RIGHT(CONCATENATE("000",IFAData_TEA_1617!A1163),6),3),"-",(RIGHT(RIGHT(CONCATENATE("000",IFAData_TEA_1617!A1163),6),3)))</f>
        <v>108-902</v>
      </c>
      <c r="C1163" s="979" t="s">
        <v>32</v>
      </c>
      <c r="D1163" s="979">
        <v>4</v>
      </c>
      <c r="E1163" s="979">
        <v>1768</v>
      </c>
      <c r="F1163" s="979" t="s">
        <v>4865</v>
      </c>
      <c r="G1163" s="979" t="s">
        <v>4865</v>
      </c>
      <c r="H1163" s="979">
        <v>2119597</v>
      </c>
      <c r="I1163" s="979">
        <v>0</v>
      </c>
      <c r="J1163" s="979">
        <v>0</v>
      </c>
      <c r="K1163" s="979">
        <v>0</v>
      </c>
      <c r="L1163" s="979">
        <v>0</v>
      </c>
      <c r="M1163" s="979">
        <v>599</v>
      </c>
    </row>
    <row r="1164" spans="1:13" ht="15">
      <c r="A1164" s="979" t="s">
        <v>3549</v>
      </c>
      <c r="B1164" s="1040" t="str">
        <f>CONCATENATE(LEFT(RIGHT(CONCATENATE("000",IFAData_TEA_1617!A1164),6),3),"-",(RIGHT(RIGHT(CONCATENATE("000",IFAData_TEA_1617!A1164),6),3)))</f>
        <v>108-902</v>
      </c>
      <c r="C1164" s="979" t="s">
        <v>32</v>
      </c>
      <c r="D1164" s="979">
        <v>4</v>
      </c>
      <c r="E1164" s="979">
        <v>1768</v>
      </c>
      <c r="F1164" s="979" t="s">
        <v>4865</v>
      </c>
      <c r="G1164" s="979" t="s">
        <v>6262</v>
      </c>
      <c r="H1164" s="979">
        <v>2119597</v>
      </c>
      <c r="I1164" s="979">
        <v>1497841</v>
      </c>
      <c r="J1164" s="979">
        <v>0.76942609001186113</v>
      </c>
      <c r="K1164" s="979">
        <v>1630873.2321108708</v>
      </c>
      <c r="L1164" s="979">
        <v>1497841</v>
      </c>
      <c r="M1164" s="979">
        <v>599</v>
      </c>
    </row>
    <row r="1165" spans="1:13" ht="15">
      <c r="A1165" s="979" t="s">
        <v>3549</v>
      </c>
      <c r="B1165" s="1040" t="str">
        <f>CONCATENATE(LEFT(RIGHT(CONCATENATE("000",IFAData_TEA_1617!A1165),6),3),"-",(RIGHT(RIGHT(CONCATENATE("000",IFAData_TEA_1617!A1165),6),3)))</f>
        <v>108-902</v>
      </c>
      <c r="C1165" s="979" t="s">
        <v>32</v>
      </c>
      <c r="D1165" s="979">
        <v>2</v>
      </c>
      <c r="E1165" s="979">
        <v>1769</v>
      </c>
      <c r="F1165" s="979" t="s">
        <v>4863</v>
      </c>
      <c r="G1165" s="979" t="s">
        <v>6262</v>
      </c>
      <c r="H1165" s="979">
        <v>2278200</v>
      </c>
      <c r="I1165" s="979">
        <v>1958559</v>
      </c>
      <c r="J1165" s="979">
        <v>1</v>
      </c>
      <c r="K1165" s="979">
        <v>2278200</v>
      </c>
      <c r="L1165" s="979">
        <v>1958559</v>
      </c>
      <c r="M1165" s="979">
        <v>599</v>
      </c>
    </row>
    <row r="1166" spans="1:13" ht="15">
      <c r="A1166" s="979" t="s">
        <v>3549</v>
      </c>
      <c r="B1166" s="1040" t="str">
        <f>CONCATENATE(LEFT(RIGHT(CONCATENATE("000",IFAData_TEA_1617!A1166),6),3),"-",(RIGHT(RIGHT(CONCATENATE("000",IFAData_TEA_1617!A1166),6),3)))</f>
        <v>108-902</v>
      </c>
      <c r="C1166" s="979" t="s">
        <v>32</v>
      </c>
      <c r="D1166" s="979">
        <v>7</v>
      </c>
      <c r="E1166" s="979">
        <v>1766</v>
      </c>
      <c r="F1166" s="979" t="s">
        <v>4870</v>
      </c>
      <c r="G1166" s="979" t="s">
        <v>4871</v>
      </c>
      <c r="H1166" s="979">
        <v>1010853</v>
      </c>
      <c r="I1166" s="979">
        <v>634125</v>
      </c>
      <c r="J1166" s="979">
        <v>0.73012471848532434</v>
      </c>
      <c r="K1166" s="979">
        <v>738048.76205504558</v>
      </c>
      <c r="L1166" s="979">
        <v>634125</v>
      </c>
      <c r="M1166" s="979">
        <v>599</v>
      </c>
    </row>
    <row r="1167" spans="1:13" ht="15">
      <c r="A1167" s="979" t="s">
        <v>3549</v>
      </c>
      <c r="B1167" s="1040" t="str">
        <f>CONCATENATE(LEFT(RIGHT(CONCATENATE("000",IFAData_TEA_1617!A1167),6),3),"-",(RIGHT(RIGHT(CONCATENATE("000",IFAData_TEA_1617!A1167),6),3)))</f>
        <v>108-902</v>
      </c>
      <c r="C1167" s="979" t="s">
        <v>32</v>
      </c>
      <c r="D1167" s="979">
        <v>7</v>
      </c>
      <c r="E1167" s="979">
        <v>1766</v>
      </c>
      <c r="F1167" s="979" t="s">
        <v>4870</v>
      </c>
      <c r="G1167" s="979" t="s">
        <v>4869</v>
      </c>
      <c r="H1167" s="979">
        <v>1010853</v>
      </c>
      <c r="I1167" s="979">
        <v>234391</v>
      </c>
      <c r="J1167" s="979">
        <v>0.2698752815146756</v>
      </c>
      <c r="K1167" s="979">
        <v>272804.23794495437</v>
      </c>
      <c r="L1167" s="979">
        <v>234391</v>
      </c>
      <c r="M1167" s="979">
        <v>599</v>
      </c>
    </row>
    <row r="1168" spans="1:13" ht="15">
      <c r="A1168" s="979" t="s">
        <v>3549</v>
      </c>
      <c r="B1168" s="1040" t="str">
        <f>CONCATENATE(LEFT(RIGHT(CONCATENATE("000",IFAData_TEA_1617!A1168),6),3),"-",(RIGHT(RIGHT(CONCATENATE("000",IFAData_TEA_1617!A1168),6),3)))</f>
        <v>108-902</v>
      </c>
      <c r="C1168" s="979" t="s">
        <v>32</v>
      </c>
      <c r="D1168" s="979">
        <v>6</v>
      </c>
      <c r="E1168" s="979">
        <v>1767</v>
      </c>
      <c r="F1168" s="979" t="s">
        <v>4868</v>
      </c>
      <c r="G1168" s="979" t="s">
        <v>4869</v>
      </c>
      <c r="H1168" s="979">
        <v>1121326</v>
      </c>
      <c r="I1168" s="979">
        <v>50460</v>
      </c>
      <c r="J1168" s="979">
        <v>0.12150925767620167</v>
      </c>
      <c r="K1168" s="979">
        <v>136251.48987302452</v>
      </c>
      <c r="L1168" s="979">
        <v>50460</v>
      </c>
      <c r="M1168" s="979">
        <v>599</v>
      </c>
    </row>
    <row r="1169" spans="1:13" ht="15">
      <c r="A1169" s="979" t="s">
        <v>3549</v>
      </c>
      <c r="B1169" s="1040" t="str">
        <f>CONCATENATE(LEFT(RIGHT(CONCATENATE("000",IFAData_TEA_1617!A1169),6),3),"-",(RIGHT(RIGHT(CONCATENATE("000",IFAData_TEA_1617!A1169),6),3)))</f>
        <v>108-902</v>
      </c>
      <c r="C1169" s="979" t="s">
        <v>32</v>
      </c>
      <c r="D1169" s="979">
        <v>6</v>
      </c>
      <c r="E1169" s="979">
        <v>1767</v>
      </c>
      <c r="F1169" s="979" t="s">
        <v>4868</v>
      </c>
      <c r="G1169" s="979" t="s">
        <v>4867</v>
      </c>
      <c r="H1169" s="979">
        <v>1121326</v>
      </c>
      <c r="I1169" s="979">
        <v>269302</v>
      </c>
      <c r="J1169" s="979">
        <v>0.64848763596346537</v>
      </c>
      <c r="K1169" s="979">
        <v>727166.04688436876</v>
      </c>
      <c r="L1169" s="979">
        <v>269302</v>
      </c>
      <c r="M1169" s="979">
        <v>599</v>
      </c>
    </row>
    <row r="1170" spans="1:13" ht="15">
      <c r="A1170" s="979" t="s">
        <v>3549</v>
      </c>
      <c r="B1170" s="1040" t="str">
        <f>CONCATENATE(LEFT(RIGHT(CONCATENATE("000",IFAData_TEA_1617!A1170),6),3),"-",(RIGHT(RIGHT(CONCATENATE("000",IFAData_TEA_1617!A1170),6),3)))</f>
        <v>108-902</v>
      </c>
      <c r="C1170" s="979" t="s">
        <v>32</v>
      </c>
      <c r="D1170" s="979">
        <v>4</v>
      </c>
      <c r="E1170" s="979">
        <v>1768</v>
      </c>
      <c r="F1170" s="979" t="s">
        <v>4865</v>
      </c>
      <c r="G1170" s="979" t="s">
        <v>4867</v>
      </c>
      <c r="H1170" s="979">
        <v>2119597</v>
      </c>
      <c r="I1170" s="979">
        <v>5400</v>
      </c>
      <c r="J1170" s="979">
        <v>2.7739265289600497E-3</v>
      </c>
      <c r="K1170" s="979">
        <v>5879.6063490041342</v>
      </c>
      <c r="L1170" s="979">
        <v>5400</v>
      </c>
      <c r="M1170" s="979">
        <v>599</v>
      </c>
    </row>
    <row r="1171" spans="1:13" ht="15">
      <c r="A1171" s="979" t="s">
        <v>3549</v>
      </c>
      <c r="B1171" s="1040" t="str">
        <f>CONCATENATE(LEFT(RIGHT(CONCATENATE("000",IFAData_TEA_1617!A1171),6),3),"-",(RIGHT(RIGHT(CONCATENATE("000",IFAData_TEA_1617!A1171),6),3)))</f>
        <v>108-902</v>
      </c>
      <c r="C1171" s="979" t="s">
        <v>32</v>
      </c>
      <c r="D1171" s="979">
        <v>4</v>
      </c>
      <c r="E1171" s="979">
        <v>1768</v>
      </c>
      <c r="F1171" s="979" t="s">
        <v>4865</v>
      </c>
      <c r="G1171" s="979" t="s">
        <v>4864</v>
      </c>
      <c r="H1171" s="979">
        <v>2119597</v>
      </c>
      <c r="I1171" s="979">
        <v>0</v>
      </c>
      <c r="J1171" s="979">
        <v>0</v>
      </c>
      <c r="K1171" s="979">
        <v>0</v>
      </c>
      <c r="L1171" s="979">
        <v>0</v>
      </c>
      <c r="M1171" s="979">
        <v>599</v>
      </c>
    </row>
    <row r="1172" spans="1:13" ht="15">
      <c r="A1172" s="979" t="s">
        <v>3549</v>
      </c>
      <c r="B1172" s="1040" t="str">
        <f>CONCATENATE(LEFT(RIGHT(CONCATENATE("000",IFAData_TEA_1617!A1172),6),3),"-",(RIGHT(RIGHT(CONCATENATE("000",IFAData_TEA_1617!A1172),6),3)))</f>
        <v>108-902</v>
      </c>
      <c r="C1172" s="979" t="s">
        <v>32</v>
      </c>
      <c r="D1172" s="979">
        <v>2</v>
      </c>
      <c r="E1172" s="979">
        <v>1769</v>
      </c>
      <c r="F1172" s="979" t="s">
        <v>4863</v>
      </c>
      <c r="G1172" s="979" t="s">
        <v>4864</v>
      </c>
      <c r="H1172" s="979">
        <v>2278200</v>
      </c>
      <c r="I1172" s="979">
        <v>0</v>
      </c>
      <c r="J1172" s="979">
        <v>0</v>
      </c>
      <c r="K1172" s="979">
        <v>0</v>
      </c>
      <c r="L1172" s="979">
        <v>0</v>
      </c>
      <c r="M1172" s="979">
        <v>599</v>
      </c>
    </row>
    <row r="1173" spans="1:13" ht="15">
      <c r="A1173" s="979" t="s">
        <v>3549</v>
      </c>
      <c r="B1173" s="1040" t="str">
        <f>CONCATENATE(LEFT(RIGHT(CONCATENATE("000",IFAData_TEA_1617!A1173),6),3),"-",(RIGHT(RIGHT(CONCATENATE("000",IFAData_TEA_1617!A1173),6),3)))</f>
        <v>108-902</v>
      </c>
      <c r="C1173" s="979" t="s">
        <v>32</v>
      </c>
      <c r="D1173" s="979">
        <v>10</v>
      </c>
      <c r="E1173" s="979">
        <v>1770</v>
      </c>
      <c r="F1173" s="979" t="s">
        <v>4872</v>
      </c>
      <c r="G1173" s="979" t="s">
        <v>4872</v>
      </c>
      <c r="H1173" s="979">
        <v>2922800</v>
      </c>
      <c r="I1173" s="979">
        <v>2919906</v>
      </c>
      <c r="J1173" s="979">
        <v>1</v>
      </c>
      <c r="K1173" s="979">
        <v>2922800</v>
      </c>
      <c r="L1173" s="979">
        <v>2919906</v>
      </c>
      <c r="M1173" s="979">
        <v>599</v>
      </c>
    </row>
    <row r="1174" spans="1:13" ht="15">
      <c r="A1174" s="979" t="s">
        <v>3549</v>
      </c>
      <c r="B1174" s="1040" t="str">
        <f>CONCATENATE(LEFT(RIGHT(CONCATENATE("000",IFAData_TEA_1617!A1174),6),3),"-",(RIGHT(RIGHT(CONCATENATE("000",IFAData_TEA_1617!A1174),6),3)))</f>
        <v>108-902</v>
      </c>
      <c r="C1174" s="979" t="s">
        <v>32</v>
      </c>
      <c r="D1174" s="979">
        <v>2</v>
      </c>
      <c r="E1174" s="979">
        <v>1769</v>
      </c>
      <c r="F1174" s="979" t="s">
        <v>4863</v>
      </c>
      <c r="G1174" s="979" t="s">
        <v>4863</v>
      </c>
      <c r="H1174" s="979">
        <v>2278200</v>
      </c>
      <c r="I1174" s="979">
        <v>0</v>
      </c>
      <c r="J1174" s="979">
        <v>0</v>
      </c>
      <c r="K1174" s="979">
        <v>0</v>
      </c>
      <c r="L1174" s="979">
        <v>0</v>
      </c>
      <c r="M1174" s="979">
        <v>599</v>
      </c>
    </row>
    <row r="1175" spans="1:13" ht="15">
      <c r="A1175" s="979" t="s">
        <v>3549</v>
      </c>
      <c r="B1175" s="1040" t="str">
        <f>CONCATENATE(LEFT(RIGHT(CONCATENATE("000",IFAData_TEA_1617!A1175),6),3),"-",(RIGHT(RIGHT(CONCATENATE("000",IFAData_TEA_1617!A1175),6),3)))</f>
        <v>108-902</v>
      </c>
      <c r="C1175" s="979" t="s">
        <v>32</v>
      </c>
      <c r="D1175" s="979">
        <v>7</v>
      </c>
      <c r="E1175" s="979">
        <v>1766</v>
      </c>
      <c r="F1175" s="979" t="s">
        <v>4870</v>
      </c>
      <c r="G1175" s="979" t="s">
        <v>4870</v>
      </c>
      <c r="H1175" s="979">
        <v>1010853</v>
      </c>
      <c r="I1175" s="979">
        <v>0</v>
      </c>
      <c r="J1175" s="979">
        <v>0</v>
      </c>
      <c r="K1175" s="979">
        <v>0</v>
      </c>
      <c r="L1175" s="979">
        <v>0</v>
      </c>
      <c r="M1175" s="979">
        <v>599</v>
      </c>
    </row>
    <row r="1176" spans="1:13" ht="15">
      <c r="A1176" s="979" t="s">
        <v>3549</v>
      </c>
      <c r="B1176" s="1040" t="str">
        <f>CONCATENATE(LEFT(RIGHT(CONCATENATE("000",IFAData_TEA_1617!A1176),6),3),"-",(RIGHT(RIGHT(CONCATENATE("000",IFAData_TEA_1617!A1176),6),3)))</f>
        <v>108-902</v>
      </c>
      <c r="C1176" s="979" t="s">
        <v>32</v>
      </c>
      <c r="D1176" s="979">
        <v>6</v>
      </c>
      <c r="E1176" s="979">
        <v>1767</v>
      </c>
      <c r="F1176" s="979" t="s">
        <v>4868</v>
      </c>
      <c r="G1176" s="979" t="s">
        <v>4868</v>
      </c>
      <c r="H1176" s="979">
        <v>1121326</v>
      </c>
      <c r="I1176" s="979">
        <v>95515</v>
      </c>
      <c r="J1176" s="979">
        <v>0.23000310636033297</v>
      </c>
      <c r="K1176" s="979">
        <v>257908.46324260673</v>
      </c>
      <c r="L1176" s="979">
        <v>95515</v>
      </c>
      <c r="M1176" s="979">
        <v>599</v>
      </c>
    </row>
    <row r="1177" spans="1:13" ht="15">
      <c r="A1177" s="979" t="s">
        <v>3549</v>
      </c>
      <c r="B1177" s="1040" t="str">
        <f>CONCATENATE(LEFT(RIGHT(CONCATENATE("000",IFAData_TEA_1617!A1177),6),3),"-",(RIGHT(RIGHT(CONCATENATE("000",IFAData_TEA_1617!A1177),6),3)))</f>
        <v>108-902</v>
      </c>
      <c r="C1177" s="979" t="s">
        <v>32</v>
      </c>
      <c r="D1177" s="979">
        <v>4</v>
      </c>
      <c r="E1177" s="979">
        <v>1768</v>
      </c>
      <c r="F1177" s="979" t="s">
        <v>4865</v>
      </c>
      <c r="G1177" s="979" t="s">
        <v>4866</v>
      </c>
      <c r="H1177" s="979">
        <v>2119597</v>
      </c>
      <c r="I1177" s="979">
        <v>443458</v>
      </c>
      <c r="J1177" s="979">
        <v>0.22779998345917885</v>
      </c>
      <c r="K1177" s="979">
        <v>482844.16154012509</v>
      </c>
      <c r="L1177" s="979">
        <v>443458</v>
      </c>
      <c r="M1177" s="979">
        <v>599</v>
      </c>
    </row>
    <row r="1178" spans="1:13" ht="15">
      <c r="A1178" s="979" t="s">
        <v>3550</v>
      </c>
      <c r="B1178" s="1040" t="str">
        <f>CONCATENATE(LEFT(RIGHT(CONCATENATE("000",IFAData_TEA_1617!A1178),6),3),"-",(RIGHT(RIGHT(CONCATENATE("000",IFAData_TEA_1617!A1178),6),3)))</f>
        <v>108-903</v>
      </c>
      <c r="C1178" s="979" t="s">
        <v>1066</v>
      </c>
      <c r="D1178" s="979">
        <v>1</v>
      </c>
      <c r="E1178" s="979">
        <v>1786</v>
      </c>
      <c r="F1178" s="979" t="s">
        <v>4873</v>
      </c>
      <c r="G1178" s="979" t="s">
        <v>6263</v>
      </c>
      <c r="H1178" s="979">
        <v>1057575</v>
      </c>
      <c r="I1178" s="979">
        <v>0</v>
      </c>
      <c r="J1178" s="979">
        <v>0</v>
      </c>
      <c r="K1178" s="979">
        <v>0</v>
      </c>
      <c r="L1178" s="979">
        <v>0</v>
      </c>
      <c r="M1178" s="979">
        <v>599</v>
      </c>
    </row>
    <row r="1179" spans="1:13" ht="15">
      <c r="A1179" s="979" t="s">
        <v>3550</v>
      </c>
      <c r="B1179" s="1040" t="str">
        <f>CONCATENATE(LEFT(RIGHT(CONCATENATE("000",IFAData_TEA_1617!A1179),6),3),"-",(RIGHT(RIGHT(CONCATENATE("000",IFAData_TEA_1617!A1179),6),3)))</f>
        <v>108-903</v>
      </c>
      <c r="C1179" s="979" t="s">
        <v>1066</v>
      </c>
      <c r="D1179" s="979">
        <v>4</v>
      </c>
      <c r="E1179" s="979">
        <v>1787</v>
      </c>
      <c r="F1179" s="979" t="s">
        <v>4876</v>
      </c>
      <c r="G1179" s="979" t="s">
        <v>6263</v>
      </c>
      <c r="H1179" s="979">
        <v>1123190</v>
      </c>
      <c r="I1179" s="979">
        <v>146105</v>
      </c>
      <c r="J1179" s="979">
        <v>0.14321450171194774</v>
      </c>
      <c r="K1179" s="979">
        <v>160857.09617784258</v>
      </c>
      <c r="L1179" s="979">
        <v>146105</v>
      </c>
      <c r="M1179" s="979">
        <v>599</v>
      </c>
    </row>
    <row r="1180" spans="1:13" ht="15">
      <c r="A1180" s="979" t="s">
        <v>3550</v>
      </c>
      <c r="B1180" s="1040" t="str">
        <f>CONCATENATE(LEFT(RIGHT(CONCATENATE("000",IFAData_TEA_1617!A1180),6),3),"-",(RIGHT(RIGHT(CONCATENATE("000",IFAData_TEA_1617!A1180),6),3)))</f>
        <v>108-903</v>
      </c>
      <c r="C1180" s="979" t="s">
        <v>1066</v>
      </c>
      <c r="D1180" s="979">
        <v>8</v>
      </c>
      <c r="E1180" s="979">
        <v>1788</v>
      </c>
      <c r="F1180" s="979" t="s">
        <v>4878</v>
      </c>
      <c r="G1180" s="979" t="s">
        <v>6263</v>
      </c>
      <c r="H1180" s="979">
        <v>1293870</v>
      </c>
      <c r="I1180" s="979">
        <v>372904</v>
      </c>
      <c r="J1180" s="979">
        <v>0.29927489416343972</v>
      </c>
      <c r="K1180" s="979">
        <v>387222.80731124972</v>
      </c>
      <c r="L1180" s="979">
        <v>372904</v>
      </c>
      <c r="M1180" s="979">
        <v>599</v>
      </c>
    </row>
    <row r="1181" spans="1:13" ht="15">
      <c r="A1181" s="979" t="s">
        <v>3550</v>
      </c>
      <c r="B1181" s="1040" t="str">
        <f>CONCATENATE(LEFT(RIGHT(CONCATENATE("000",IFAData_TEA_1617!A1181),6),3),"-",(RIGHT(RIGHT(CONCATENATE("000",IFAData_TEA_1617!A1181),6),3)))</f>
        <v>108-903</v>
      </c>
      <c r="C1181" s="979" t="s">
        <v>1066</v>
      </c>
      <c r="D1181" s="979">
        <v>4</v>
      </c>
      <c r="E1181" s="979">
        <v>1787</v>
      </c>
      <c r="F1181" s="979" t="s">
        <v>4876</v>
      </c>
      <c r="G1181" s="979" t="s">
        <v>4875</v>
      </c>
      <c r="H1181" s="979">
        <v>1123190</v>
      </c>
      <c r="I1181" s="979">
        <v>874078</v>
      </c>
      <c r="J1181" s="979">
        <v>0.85678549828805228</v>
      </c>
      <c r="K1181" s="979">
        <v>962332.90382215742</v>
      </c>
      <c r="L1181" s="979">
        <v>874078</v>
      </c>
      <c r="M1181" s="979">
        <v>599</v>
      </c>
    </row>
    <row r="1182" spans="1:13" ht="15">
      <c r="A1182" s="979" t="s">
        <v>3550</v>
      </c>
      <c r="B1182" s="1040" t="str">
        <f>CONCATENATE(LEFT(RIGHT(CONCATENATE("000",IFAData_TEA_1617!A1182),6),3),"-",(RIGHT(RIGHT(CONCATENATE("000",IFAData_TEA_1617!A1182),6),3)))</f>
        <v>108-903</v>
      </c>
      <c r="C1182" s="979" t="s">
        <v>1066</v>
      </c>
      <c r="D1182" s="979">
        <v>6</v>
      </c>
      <c r="E1182" s="979">
        <v>1785</v>
      </c>
      <c r="F1182" s="979" t="s">
        <v>6475</v>
      </c>
      <c r="G1182" s="979" t="s">
        <v>4877</v>
      </c>
      <c r="H1182" s="979">
        <v>259798</v>
      </c>
      <c r="I1182" s="979">
        <v>242604</v>
      </c>
      <c r="J1182" s="979">
        <v>1</v>
      </c>
      <c r="K1182" s="979">
        <v>259798</v>
      </c>
      <c r="L1182" s="979">
        <v>242604</v>
      </c>
      <c r="M1182" s="979">
        <v>599</v>
      </c>
    </row>
    <row r="1183" spans="1:13" ht="15">
      <c r="A1183" s="979" t="s">
        <v>3550</v>
      </c>
      <c r="B1183" s="1040" t="str">
        <f>CONCATENATE(LEFT(RIGHT(CONCATENATE("000",IFAData_TEA_1617!A1183),6),3),"-",(RIGHT(RIGHT(CONCATENATE("000",IFAData_TEA_1617!A1183),6),3)))</f>
        <v>108-903</v>
      </c>
      <c r="C1183" s="979" t="s">
        <v>1066</v>
      </c>
      <c r="D1183" s="979">
        <v>8</v>
      </c>
      <c r="E1183" s="979">
        <v>1788</v>
      </c>
      <c r="F1183" s="979" t="s">
        <v>4878</v>
      </c>
      <c r="G1183" s="979" t="s">
        <v>4877</v>
      </c>
      <c r="H1183" s="979">
        <v>1293870</v>
      </c>
      <c r="I1183" s="979">
        <v>332521</v>
      </c>
      <c r="J1183" s="979">
        <v>0.26686543207399532</v>
      </c>
      <c r="K1183" s="979">
        <v>345289.17659758031</v>
      </c>
      <c r="L1183" s="979">
        <v>332521</v>
      </c>
      <c r="M1183" s="979">
        <v>599</v>
      </c>
    </row>
    <row r="1184" spans="1:13" ht="15">
      <c r="A1184" s="979" t="s">
        <v>3550</v>
      </c>
      <c r="B1184" s="1040" t="str">
        <f>CONCATENATE(LEFT(RIGHT(CONCATENATE("000",IFAData_TEA_1617!A1184),6),3),"-",(RIGHT(RIGHT(CONCATENATE("000",IFAData_TEA_1617!A1184),6),3)))</f>
        <v>108-903</v>
      </c>
      <c r="C1184" s="979" t="s">
        <v>1066</v>
      </c>
      <c r="D1184" s="979">
        <v>8</v>
      </c>
      <c r="E1184" s="979">
        <v>1788</v>
      </c>
      <c r="F1184" s="979" t="s">
        <v>4878</v>
      </c>
      <c r="G1184" s="979" t="s">
        <v>4878</v>
      </c>
      <c r="H1184" s="979">
        <v>1293870</v>
      </c>
      <c r="I1184" s="979">
        <v>540600</v>
      </c>
      <c r="J1184" s="979">
        <v>0.43385967376256496</v>
      </c>
      <c r="K1184" s="979">
        <v>561358.01609116991</v>
      </c>
      <c r="L1184" s="979">
        <v>540600</v>
      </c>
      <c r="M1184" s="979">
        <v>599</v>
      </c>
    </row>
    <row r="1185" spans="1:13" ht="15">
      <c r="A1185" s="979" t="s">
        <v>3550</v>
      </c>
      <c r="B1185" s="1040" t="str">
        <f>CONCATENATE(LEFT(RIGHT(CONCATENATE("000",IFAData_TEA_1617!A1185),6),3),"-",(RIGHT(RIGHT(CONCATENATE("000",IFAData_TEA_1617!A1185),6),3)))</f>
        <v>108-903</v>
      </c>
      <c r="C1185" s="979" t="s">
        <v>1066</v>
      </c>
      <c r="D1185" s="979">
        <v>1</v>
      </c>
      <c r="E1185" s="979">
        <v>1786</v>
      </c>
      <c r="F1185" s="979" t="s">
        <v>4873</v>
      </c>
      <c r="G1185" s="979" t="s">
        <v>4873</v>
      </c>
      <c r="H1185" s="979">
        <v>1057575</v>
      </c>
      <c r="I1185" s="979">
        <v>0</v>
      </c>
      <c r="J1185" s="979">
        <v>0</v>
      </c>
      <c r="K1185" s="979">
        <v>0</v>
      </c>
      <c r="L1185" s="979">
        <v>0</v>
      </c>
      <c r="M1185" s="979">
        <v>599</v>
      </c>
    </row>
    <row r="1186" spans="1:13" ht="15">
      <c r="A1186" s="979" t="s">
        <v>3550</v>
      </c>
      <c r="B1186" s="1040" t="str">
        <f>CONCATENATE(LEFT(RIGHT(CONCATENATE("000",IFAData_TEA_1617!A1186),6),3),"-",(RIGHT(RIGHT(CONCATENATE("000",IFAData_TEA_1617!A1186),6),3)))</f>
        <v>108-903</v>
      </c>
      <c r="C1186" s="979" t="s">
        <v>1066</v>
      </c>
      <c r="D1186" s="979">
        <v>1</v>
      </c>
      <c r="E1186" s="979">
        <v>1786</v>
      </c>
      <c r="F1186" s="979" t="s">
        <v>4873</v>
      </c>
      <c r="G1186" s="979" t="s">
        <v>4874</v>
      </c>
      <c r="H1186" s="979">
        <v>1057575</v>
      </c>
      <c r="I1186" s="979">
        <v>149835</v>
      </c>
      <c r="J1186" s="979">
        <v>0.15890750625459352</v>
      </c>
      <c r="K1186" s="979">
        <v>168056.60592720174</v>
      </c>
      <c r="L1186" s="979">
        <v>149835</v>
      </c>
      <c r="M1186" s="979">
        <v>599</v>
      </c>
    </row>
    <row r="1187" spans="1:13" ht="15">
      <c r="A1187" s="979" t="s">
        <v>3550</v>
      </c>
      <c r="B1187" s="1040" t="str">
        <f>CONCATENATE(LEFT(RIGHT(CONCATENATE("000",IFAData_TEA_1617!A1187),6),3),"-",(RIGHT(RIGHT(CONCATENATE("000",IFAData_TEA_1617!A1187),6),3)))</f>
        <v>108-903</v>
      </c>
      <c r="C1187" s="979" t="s">
        <v>1066</v>
      </c>
      <c r="D1187" s="979">
        <v>4</v>
      </c>
      <c r="E1187" s="979">
        <v>1787</v>
      </c>
      <c r="F1187" s="979" t="s">
        <v>4876</v>
      </c>
      <c r="G1187" s="979" t="s">
        <v>4876</v>
      </c>
      <c r="H1187" s="979">
        <v>1123190</v>
      </c>
      <c r="I1187" s="979">
        <v>0</v>
      </c>
      <c r="J1187" s="979">
        <v>0</v>
      </c>
      <c r="K1187" s="979">
        <v>0</v>
      </c>
      <c r="L1187" s="979">
        <v>0</v>
      </c>
      <c r="M1187" s="979">
        <v>599</v>
      </c>
    </row>
    <row r="1188" spans="1:13" ht="15">
      <c r="A1188" s="979" t="s">
        <v>3550</v>
      </c>
      <c r="B1188" s="1040" t="str">
        <f>CONCATENATE(LEFT(RIGHT(CONCATENATE("000",IFAData_TEA_1617!A1188),6),3),"-",(RIGHT(RIGHT(CONCATENATE("000",IFAData_TEA_1617!A1188),6),3)))</f>
        <v>108-903</v>
      </c>
      <c r="C1188" s="979" t="s">
        <v>1066</v>
      </c>
      <c r="D1188" s="979">
        <v>4</v>
      </c>
      <c r="E1188" s="979">
        <v>1787</v>
      </c>
      <c r="F1188" s="979" t="s">
        <v>4876</v>
      </c>
      <c r="G1188" s="979" t="s">
        <v>4874</v>
      </c>
      <c r="H1188" s="979">
        <v>1123190</v>
      </c>
      <c r="I1188" s="979">
        <v>0</v>
      </c>
      <c r="J1188" s="979">
        <v>0</v>
      </c>
      <c r="K1188" s="979">
        <v>0</v>
      </c>
      <c r="L1188" s="979">
        <v>0</v>
      </c>
      <c r="M1188" s="979">
        <v>599</v>
      </c>
    </row>
    <row r="1189" spans="1:13" ht="15">
      <c r="A1189" s="979" t="s">
        <v>3550</v>
      </c>
      <c r="B1189" s="1040" t="str">
        <f>CONCATENATE(LEFT(RIGHT(CONCATENATE("000",IFAData_TEA_1617!A1189),6),3),"-",(RIGHT(RIGHT(CONCATENATE("000",IFAData_TEA_1617!A1189),6),3)))</f>
        <v>108-903</v>
      </c>
      <c r="C1189" s="979" t="s">
        <v>1066</v>
      </c>
      <c r="D1189" s="979">
        <v>1</v>
      </c>
      <c r="E1189" s="979">
        <v>1786</v>
      </c>
      <c r="F1189" s="979" t="s">
        <v>4873</v>
      </c>
      <c r="G1189" s="979" t="s">
        <v>4875</v>
      </c>
      <c r="H1189" s="979">
        <v>1057575</v>
      </c>
      <c r="I1189" s="979">
        <v>793072</v>
      </c>
      <c r="J1189" s="979">
        <v>0.84109249374540651</v>
      </c>
      <c r="K1189" s="979">
        <v>889518.39407279831</v>
      </c>
      <c r="L1189" s="979">
        <v>793072</v>
      </c>
      <c r="M1189" s="979">
        <v>599</v>
      </c>
    </row>
    <row r="1190" spans="1:13" ht="15">
      <c r="A1190" s="979" t="s">
        <v>3550</v>
      </c>
      <c r="B1190" s="1040" t="str">
        <f>CONCATENATE(LEFT(RIGHT(CONCATENATE("000",IFAData_TEA_1617!A1190),6),3),"-",(RIGHT(RIGHT(CONCATENATE("000",IFAData_TEA_1617!A1190),6),3)))</f>
        <v>108-903</v>
      </c>
      <c r="C1190" s="979" t="s">
        <v>1066</v>
      </c>
      <c r="D1190" s="979">
        <v>6</v>
      </c>
      <c r="E1190" s="979">
        <v>1785</v>
      </c>
      <c r="F1190" s="979" t="s">
        <v>6475</v>
      </c>
      <c r="G1190" s="979" t="s">
        <v>6475</v>
      </c>
      <c r="H1190" s="979">
        <v>259798</v>
      </c>
      <c r="I1190" s="979">
        <v>0</v>
      </c>
      <c r="J1190" s="979">
        <v>0</v>
      </c>
      <c r="K1190" s="979">
        <v>0</v>
      </c>
      <c r="L1190" s="979">
        <v>0</v>
      </c>
      <c r="M1190" s="979">
        <v>599</v>
      </c>
    </row>
    <row r="1191" spans="1:13" ht="15">
      <c r="A1191" s="979" t="s">
        <v>3551</v>
      </c>
      <c r="B1191" s="1040" t="str">
        <f>CONCATENATE(LEFT(RIGHT(CONCATENATE("000",IFAData_TEA_1617!A1191),6),3),"-",(RIGHT(RIGHT(CONCATENATE("000",IFAData_TEA_1617!A1191),6),3)))</f>
        <v>108-904</v>
      </c>
      <c r="C1191" s="979" t="s">
        <v>33</v>
      </c>
      <c r="D1191" s="979">
        <v>3</v>
      </c>
      <c r="E1191" s="979">
        <v>1795</v>
      </c>
      <c r="F1191" s="979" t="s">
        <v>4879</v>
      </c>
      <c r="G1191" s="979" t="s">
        <v>4879</v>
      </c>
      <c r="H1191" s="979">
        <v>3968103</v>
      </c>
      <c r="I1191" s="979">
        <v>0</v>
      </c>
      <c r="J1191" s="979">
        <v>0</v>
      </c>
      <c r="K1191" s="979">
        <v>0</v>
      </c>
      <c r="L1191" s="979">
        <v>0</v>
      </c>
      <c r="M1191" s="979">
        <v>199</v>
      </c>
    </row>
    <row r="1192" spans="1:13" ht="15">
      <c r="A1192" s="979" t="s">
        <v>3551</v>
      </c>
      <c r="B1192" s="1040" t="str">
        <f>CONCATENATE(LEFT(RIGHT(CONCATENATE("000",IFAData_TEA_1617!A1192),6),3),"-",(RIGHT(RIGHT(CONCATENATE("000",IFAData_TEA_1617!A1192),6),3)))</f>
        <v>108-904</v>
      </c>
      <c r="C1192" s="979" t="s">
        <v>33</v>
      </c>
      <c r="D1192" s="979">
        <v>4</v>
      </c>
      <c r="E1192" s="979">
        <v>1796</v>
      </c>
      <c r="F1192" s="979" t="s">
        <v>4881</v>
      </c>
      <c r="G1192" s="979" t="s">
        <v>6264</v>
      </c>
      <c r="H1192" s="979">
        <v>3996878</v>
      </c>
      <c r="I1192" s="979">
        <v>3309186</v>
      </c>
      <c r="J1192" s="979">
        <v>1</v>
      </c>
      <c r="K1192" s="979">
        <v>3996878</v>
      </c>
      <c r="L1192" s="979">
        <v>3309186</v>
      </c>
      <c r="M1192" s="979">
        <v>599</v>
      </c>
    </row>
    <row r="1193" spans="1:13" ht="15">
      <c r="A1193" s="979" t="s">
        <v>3551</v>
      </c>
      <c r="B1193" s="1040" t="str">
        <f>CONCATENATE(LEFT(RIGHT(CONCATENATE("000",IFAData_TEA_1617!A1193),6),3),"-",(RIGHT(RIGHT(CONCATENATE("000",IFAData_TEA_1617!A1193),6),3)))</f>
        <v>108-904</v>
      </c>
      <c r="C1193" s="979" t="s">
        <v>33</v>
      </c>
      <c r="D1193" s="979">
        <v>4</v>
      </c>
      <c r="E1193" s="979">
        <v>1796</v>
      </c>
      <c r="F1193" s="979" t="s">
        <v>4881</v>
      </c>
      <c r="G1193" s="979" t="s">
        <v>4882</v>
      </c>
      <c r="H1193" s="979">
        <v>3996878</v>
      </c>
      <c r="I1193" s="979">
        <v>0</v>
      </c>
      <c r="J1193" s="979">
        <v>0</v>
      </c>
      <c r="K1193" s="979">
        <v>0</v>
      </c>
      <c r="L1193" s="979">
        <v>0</v>
      </c>
      <c r="M1193" s="979">
        <v>599</v>
      </c>
    </row>
    <row r="1194" spans="1:13" ht="15">
      <c r="A1194" s="979" t="s">
        <v>3551</v>
      </c>
      <c r="B1194" s="1040" t="str">
        <f>CONCATENATE(LEFT(RIGHT(CONCATENATE("000",IFAData_TEA_1617!A1194),6),3),"-",(RIGHT(RIGHT(CONCATENATE("000",IFAData_TEA_1617!A1194),6),3)))</f>
        <v>108-904</v>
      </c>
      <c r="C1194" s="979" t="s">
        <v>33</v>
      </c>
      <c r="D1194" s="979">
        <v>9</v>
      </c>
      <c r="E1194" s="979">
        <v>1797</v>
      </c>
      <c r="F1194" s="979" t="s">
        <v>4883</v>
      </c>
      <c r="G1194" s="979" t="s">
        <v>6476</v>
      </c>
      <c r="H1194" s="979">
        <v>7109662</v>
      </c>
      <c r="I1194" s="979">
        <v>3951650</v>
      </c>
      <c r="J1194" s="979">
        <v>0.60114397851997781</v>
      </c>
      <c r="K1194" s="979">
        <v>4273930.5006123027</v>
      </c>
      <c r="L1194" s="979">
        <v>3951650</v>
      </c>
      <c r="M1194" s="979">
        <v>599</v>
      </c>
    </row>
    <row r="1195" spans="1:13" ht="15">
      <c r="A1195" s="979" t="s">
        <v>3551</v>
      </c>
      <c r="B1195" s="1040" t="str">
        <f>CONCATENATE(LEFT(RIGHT(CONCATENATE("000",IFAData_TEA_1617!A1195),6),3),"-",(RIGHT(RIGHT(CONCATENATE("000",IFAData_TEA_1617!A1195),6),3)))</f>
        <v>108-904</v>
      </c>
      <c r="C1195" s="979" t="s">
        <v>33</v>
      </c>
      <c r="D1195" s="979">
        <v>4</v>
      </c>
      <c r="E1195" s="979">
        <v>1796</v>
      </c>
      <c r="F1195" s="979" t="s">
        <v>4881</v>
      </c>
      <c r="G1195" s="979" t="s">
        <v>4881</v>
      </c>
      <c r="H1195" s="979">
        <v>3996878</v>
      </c>
      <c r="I1195" s="979">
        <v>0</v>
      </c>
      <c r="J1195" s="979">
        <v>0</v>
      </c>
      <c r="K1195" s="979">
        <v>0</v>
      </c>
      <c r="L1195" s="979">
        <v>0</v>
      </c>
      <c r="M1195" s="979">
        <v>599</v>
      </c>
    </row>
    <row r="1196" spans="1:13" ht="15">
      <c r="A1196" s="979" t="s">
        <v>3551</v>
      </c>
      <c r="B1196" s="1040" t="str">
        <f>CONCATENATE(LEFT(RIGHT(CONCATENATE("000",IFAData_TEA_1617!A1196),6),3),"-",(RIGHT(RIGHT(CONCATENATE("000",IFAData_TEA_1617!A1196),6),3)))</f>
        <v>108-904</v>
      </c>
      <c r="C1196" s="979" t="s">
        <v>33</v>
      </c>
      <c r="D1196" s="979">
        <v>9</v>
      </c>
      <c r="E1196" s="979">
        <v>1797</v>
      </c>
      <c r="F1196" s="979" t="s">
        <v>4883</v>
      </c>
      <c r="G1196" s="979" t="s">
        <v>4883</v>
      </c>
      <c r="H1196" s="979">
        <v>7109662</v>
      </c>
      <c r="I1196" s="979">
        <v>2621900</v>
      </c>
      <c r="J1196" s="979">
        <v>0.39885602148002219</v>
      </c>
      <c r="K1196" s="979">
        <v>2835731.4993876978</v>
      </c>
      <c r="L1196" s="979">
        <v>2621900</v>
      </c>
      <c r="M1196" s="979">
        <v>599</v>
      </c>
    </row>
    <row r="1197" spans="1:13" ht="15">
      <c r="A1197" s="979" t="s">
        <v>3551</v>
      </c>
      <c r="B1197" s="1040" t="str">
        <f>CONCATENATE(LEFT(RIGHT(CONCATENATE("000",IFAData_TEA_1617!A1197),6),3),"-",(RIGHT(RIGHT(CONCATENATE("000",IFAData_TEA_1617!A1197),6),3)))</f>
        <v>108-904</v>
      </c>
      <c r="C1197" s="979" t="s">
        <v>33</v>
      </c>
      <c r="D1197" s="979">
        <v>3</v>
      </c>
      <c r="E1197" s="979">
        <v>1795</v>
      </c>
      <c r="F1197" s="979" t="s">
        <v>4879</v>
      </c>
      <c r="G1197" s="979" t="s">
        <v>4880</v>
      </c>
      <c r="H1197" s="979">
        <v>3968103</v>
      </c>
      <c r="I1197" s="979">
        <v>3766011</v>
      </c>
      <c r="J1197" s="979">
        <v>1</v>
      </c>
      <c r="K1197" s="979">
        <v>3968103</v>
      </c>
      <c r="L1197" s="979">
        <v>3766011</v>
      </c>
      <c r="M1197" s="979">
        <v>599</v>
      </c>
    </row>
    <row r="1198" spans="1:13" ht="15">
      <c r="A1198" s="979" t="s">
        <v>3552</v>
      </c>
      <c r="B1198" s="1040" t="str">
        <f>CONCATENATE(LEFT(RIGHT(CONCATENATE("000",IFAData_TEA_1617!A1198),6),3),"-",(RIGHT(RIGHT(CONCATENATE("000",IFAData_TEA_1617!A1198),6),3)))</f>
        <v>108-905</v>
      </c>
      <c r="C1198" s="979" t="s">
        <v>2374</v>
      </c>
      <c r="D1198" s="979">
        <v>7</v>
      </c>
      <c r="E1198" s="979">
        <v>1888</v>
      </c>
      <c r="F1198" s="979" t="s">
        <v>4889</v>
      </c>
      <c r="G1198" s="979" t="s">
        <v>6265</v>
      </c>
      <c r="H1198" s="979">
        <v>437778</v>
      </c>
      <c r="I1198" s="979">
        <v>328850</v>
      </c>
      <c r="J1198" s="979">
        <v>1</v>
      </c>
      <c r="K1198" s="979">
        <v>437778</v>
      </c>
      <c r="L1198" s="979">
        <v>328850</v>
      </c>
      <c r="M1198" s="979">
        <v>599</v>
      </c>
    </row>
    <row r="1199" spans="1:13" ht="15">
      <c r="A1199" s="979" t="s">
        <v>3552</v>
      </c>
      <c r="B1199" s="1040" t="str">
        <f>CONCATENATE(LEFT(RIGHT(CONCATENATE("000",IFAData_TEA_1617!A1199),6),3),"-",(RIGHT(RIGHT(CONCATENATE("000",IFAData_TEA_1617!A1199),6),3)))</f>
        <v>108-905</v>
      </c>
      <c r="C1199" s="979" t="s">
        <v>2374</v>
      </c>
      <c r="D1199" s="979">
        <v>8</v>
      </c>
      <c r="E1199" s="979">
        <v>1891</v>
      </c>
      <c r="F1199" s="979" t="s">
        <v>4890</v>
      </c>
      <c r="G1199" s="979" t="s">
        <v>4890</v>
      </c>
      <c r="H1199" s="979">
        <v>750887</v>
      </c>
      <c r="I1199" s="979">
        <v>0</v>
      </c>
      <c r="J1199" s="979">
        <v>0</v>
      </c>
      <c r="K1199" s="979">
        <v>0</v>
      </c>
      <c r="L1199" s="979">
        <v>0</v>
      </c>
      <c r="M1199" s="979">
        <v>599</v>
      </c>
    </row>
    <row r="1200" spans="1:13" ht="15">
      <c r="A1200" s="979" t="s">
        <v>3552</v>
      </c>
      <c r="B1200" s="1040" t="str">
        <f>CONCATENATE(LEFT(RIGHT(CONCATENATE("000",IFAData_TEA_1617!A1200),6),3),"-",(RIGHT(RIGHT(CONCATENATE("000",IFAData_TEA_1617!A1200),6),3)))</f>
        <v>108-905</v>
      </c>
      <c r="C1200" s="979" t="s">
        <v>2374</v>
      </c>
      <c r="D1200" s="979">
        <v>7</v>
      </c>
      <c r="E1200" s="979">
        <v>1885</v>
      </c>
      <c r="F1200" s="979" t="s">
        <v>4887</v>
      </c>
      <c r="G1200" s="979" t="s">
        <v>4888</v>
      </c>
      <c r="H1200" s="979">
        <v>198684</v>
      </c>
      <c r="I1200" s="979">
        <v>257995</v>
      </c>
      <c r="J1200" s="979">
        <v>1</v>
      </c>
      <c r="K1200" s="979">
        <v>198684</v>
      </c>
      <c r="L1200" s="979">
        <v>198684</v>
      </c>
      <c r="M1200" s="979">
        <v>599</v>
      </c>
    </row>
    <row r="1201" spans="1:13" ht="15">
      <c r="A1201" s="979" t="s">
        <v>3552</v>
      </c>
      <c r="B1201" s="1040" t="str">
        <f>CONCATENATE(LEFT(RIGHT(CONCATENATE("000",IFAData_TEA_1617!A1201),6),3),"-",(RIGHT(RIGHT(CONCATENATE("000",IFAData_TEA_1617!A1201),6),3)))</f>
        <v>108-905</v>
      </c>
      <c r="C1201" s="979" t="s">
        <v>2374</v>
      </c>
      <c r="D1201" s="979">
        <v>1</v>
      </c>
      <c r="E1201" s="979">
        <v>1889</v>
      </c>
      <c r="F1201" s="979" t="s">
        <v>4884</v>
      </c>
      <c r="G1201" s="979" t="s">
        <v>4885</v>
      </c>
      <c r="H1201" s="979">
        <v>551171</v>
      </c>
      <c r="I1201" s="979">
        <v>482640</v>
      </c>
      <c r="J1201" s="979">
        <v>1</v>
      </c>
      <c r="K1201" s="979">
        <v>551171</v>
      </c>
      <c r="L1201" s="979">
        <v>482640</v>
      </c>
      <c r="M1201" s="979">
        <v>599</v>
      </c>
    </row>
    <row r="1202" spans="1:13" ht="15">
      <c r="A1202" s="979" t="s">
        <v>3552</v>
      </c>
      <c r="B1202" s="1040" t="str">
        <f>CONCATENATE(LEFT(RIGHT(CONCATENATE("000",IFAData_TEA_1617!A1202),6),3),"-",(RIGHT(RIGHT(CONCATENATE("000",IFAData_TEA_1617!A1202),6),3)))</f>
        <v>108-905</v>
      </c>
      <c r="C1202" s="979" t="s">
        <v>2374</v>
      </c>
      <c r="D1202" s="979">
        <v>4</v>
      </c>
      <c r="E1202" s="979">
        <v>1890</v>
      </c>
      <c r="F1202" s="979" t="s">
        <v>4886</v>
      </c>
      <c r="G1202" s="979" t="s">
        <v>4885</v>
      </c>
      <c r="H1202" s="979">
        <v>613155</v>
      </c>
      <c r="I1202" s="979">
        <v>522435</v>
      </c>
      <c r="J1202" s="979">
        <v>1</v>
      </c>
      <c r="K1202" s="979">
        <v>613155</v>
      </c>
      <c r="L1202" s="979">
        <v>522435</v>
      </c>
      <c r="M1202" s="979">
        <v>599</v>
      </c>
    </row>
    <row r="1203" spans="1:13" ht="15">
      <c r="A1203" s="979" t="s">
        <v>3552</v>
      </c>
      <c r="B1203" s="1040" t="str">
        <f>CONCATENATE(LEFT(RIGHT(CONCATENATE("000",IFAData_TEA_1617!A1203),6),3),"-",(RIGHT(RIGHT(CONCATENATE("000",IFAData_TEA_1617!A1203),6),3)))</f>
        <v>108-905</v>
      </c>
      <c r="C1203" s="979" t="s">
        <v>2374</v>
      </c>
      <c r="D1203" s="979">
        <v>9</v>
      </c>
      <c r="E1203" s="979">
        <v>1886</v>
      </c>
      <c r="F1203" s="979" t="s">
        <v>4891</v>
      </c>
      <c r="G1203" s="979" t="s">
        <v>4891</v>
      </c>
      <c r="H1203" s="979">
        <v>199228</v>
      </c>
      <c r="I1203" s="979">
        <v>86700</v>
      </c>
      <c r="J1203" s="979">
        <v>0.48422228427813457</v>
      </c>
      <c r="K1203" s="979">
        <v>96470.63725216419</v>
      </c>
      <c r="L1203" s="979">
        <v>86700</v>
      </c>
      <c r="M1203" s="979">
        <v>599</v>
      </c>
    </row>
    <row r="1204" spans="1:13" ht="15">
      <c r="A1204" s="979" t="s">
        <v>3552</v>
      </c>
      <c r="B1204" s="1040" t="str">
        <f>CONCATENATE(LEFT(RIGHT(CONCATENATE("000",IFAData_TEA_1617!A1204),6),3),"-",(RIGHT(RIGHT(CONCATENATE("000",IFAData_TEA_1617!A1204),6),3)))</f>
        <v>108-905</v>
      </c>
      <c r="C1204" s="979" t="s">
        <v>2374</v>
      </c>
      <c r="D1204" s="979">
        <v>9</v>
      </c>
      <c r="E1204" s="979">
        <v>1886</v>
      </c>
      <c r="F1204" s="979" t="s">
        <v>4891</v>
      </c>
      <c r="G1204" s="979" t="s">
        <v>6477</v>
      </c>
      <c r="H1204" s="979">
        <v>199228</v>
      </c>
      <c r="I1204" s="979">
        <v>92350</v>
      </c>
      <c r="J1204" s="979">
        <v>0.51577771572186537</v>
      </c>
      <c r="K1204" s="979">
        <v>102757.3627478358</v>
      </c>
      <c r="L1204" s="979">
        <v>92350</v>
      </c>
      <c r="M1204" s="979">
        <v>599</v>
      </c>
    </row>
    <row r="1205" spans="1:13" ht="15">
      <c r="A1205" s="979" t="s">
        <v>3552</v>
      </c>
      <c r="B1205" s="1040" t="str">
        <f>CONCATENATE(LEFT(RIGHT(CONCATENATE("000",IFAData_TEA_1617!A1205),6),3),"-",(RIGHT(RIGHT(CONCATENATE("000",IFAData_TEA_1617!A1205),6),3)))</f>
        <v>108-905</v>
      </c>
      <c r="C1205" s="979" t="s">
        <v>2374</v>
      </c>
      <c r="D1205" s="979">
        <v>1</v>
      </c>
      <c r="E1205" s="979">
        <v>1889</v>
      </c>
      <c r="F1205" s="979" t="s">
        <v>4884</v>
      </c>
      <c r="G1205" s="979" t="s">
        <v>4884</v>
      </c>
      <c r="H1205" s="979">
        <v>551171</v>
      </c>
      <c r="I1205" s="979">
        <v>0</v>
      </c>
      <c r="J1205" s="979">
        <v>0</v>
      </c>
      <c r="K1205" s="979">
        <v>0</v>
      </c>
      <c r="L1205" s="979">
        <v>0</v>
      </c>
      <c r="M1205" s="979">
        <v>599</v>
      </c>
    </row>
    <row r="1206" spans="1:13" ht="15">
      <c r="A1206" s="979" t="s">
        <v>3552</v>
      </c>
      <c r="B1206" s="1040" t="str">
        <f>CONCATENATE(LEFT(RIGHT(CONCATENATE("000",IFAData_TEA_1617!A1206),6),3),"-",(RIGHT(RIGHT(CONCATENATE("000",IFAData_TEA_1617!A1206),6),3)))</f>
        <v>108-905</v>
      </c>
      <c r="C1206" s="979" t="s">
        <v>2374</v>
      </c>
      <c r="D1206" s="979">
        <v>7</v>
      </c>
      <c r="E1206" s="979">
        <v>1888</v>
      </c>
      <c r="F1206" s="979" t="s">
        <v>4889</v>
      </c>
      <c r="G1206" s="979" t="s">
        <v>4889</v>
      </c>
      <c r="H1206" s="979">
        <v>437778</v>
      </c>
      <c r="I1206" s="979">
        <v>0</v>
      </c>
      <c r="J1206" s="979">
        <v>0</v>
      </c>
      <c r="K1206" s="979">
        <v>0</v>
      </c>
      <c r="L1206" s="979">
        <v>0</v>
      </c>
      <c r="M1206" s="979">
        <v>599</v>
      </c>
    </row>
    <row r="1207" spans="1:13" ht="15">
      <c r="A1207" s="979" t="s">
        <v>3552</v>
      </c>
      <c r="B1207" s="1040" t="str">
        <f>CONCATENATE(LEFT(RIGHT(CONCATENATE("000",IFAData_TEA_1617!A1207),6),3),"-",(RIGHT(RIGHT(CONCATENATE("000",IFAData_TEA_1617!A1207),6),3)))</f>
        <v>108-905</v>
      </c>
      <c r="C1207" s="979" t="s">
        <v>2374</v>
      </c>
      <c r="D1207" s="979">
        <v>4</v>
      </c>
      <c r="E1207" s="979">
        <v>1890</v>
      </c>
      <c r="F1207" s="979" t="s">
        <v>4886</v>
      </c>
      <c r="G1207" s="979" t="s">
        <v>4886</v>
      </c>
      <c r="H1207" s="979">
        <v>613155</v>
      </c>
      <c r="I1207" s="979">
        <v>0</v>
      </c>
      <c r="J1207" s="979">
        <v>0</v>
      </c>
      <c r="K1207" s="979">
        <v>0</v>
      </c>
      <c r="L1207" s="979">
        <v>0</v>
      </c>
      <c r="M1207" s="979">
        <v>599</v>
      </c>
    </row>
    <row r="1208" spans="1:13" ht="15">
      <c r="A1208" s="979" t="s">
        <v>3552</v>
      </c>
      <c r="B1208" s="1040" t="str">
        <f>CONCATENATE(LEFT(RIGHT(CONCATENATE("000",IFAData_TEA_1617!A1208),6),3),"-",(RIGHT(RIGHT(CONCATENATE("000",IFAData_TEA_1617!A1208),6),3)))</f>
        <v>108-905</v>
      </c>
      <c r="C1208" s="979" t="s">
        <v>2374</v>
      </c>
      <c r="D1208" s="979">
        <v>7</v>
      </c>
      <c r="E1208" s="979">
        <v>1885</v>
      </c>
      <c r="F1208" s="979" t="s">
        <v>4887</v>
      </c>
      <c r="G1208" s="979" t="s">
        <v>4887</v>
      </c>
      <c r="H1208" s="979">
        <v>198684</v>
      </c>
      <c r="I1208" s="979">
        <v>0</v>
      </c>
      <c r="J1208" s="979">
        <v>0</v>
      </c>
      <c r="K1208" s="979">
        <v>0</v>
      </c>
      <c r="L1208" s="979">
        <v>0</v>
      </c>
      <c r="M1208" s="979">
        <v>599</v>
      </c>
    </row>
    <row r="1209" spans="1:13" ht="15">
      <c r="A1209" s="979" t="s">
        <v>3552</v>
      </c>
      <c r="B1209" s="1040" t="str">
        <f>CONCATENATE(LEFT(RIGHT(CONCATENATE("000",IFAData_TEA_1617!A1209),6),3),"-",(RIGHT(RIGHT(CONCATENATE("000",IFAData_TEA_1617!A1209),6),3)))</f>
        <v>108-905</v>
      </c>
      <c r="C1209" s="979" t="s">
        <v>2374</v>
      </c>
      <c r="D1209" s="979">
        <v>9</v>
      </c>
      <c r="E1209" s="979">
        <v>1887</v>
      </c>
      <c r="F1209" s="979" t="s">
        <v>4892</v>
      </c>
      <c r="G1209" s="979" t="s">
        <v>4892</v>
      </c>
      <c r="H1209" s="979">
        <v>342650</v>
      </c>
      <c r="I1209" s="979">
        <v>341718</v>
      </c>
      <c r="J1209" s="979">
        <v>1</v>
      </c>
      <c r="K1209" s="979">
        <v>342650</v>
      </c>
      <c r="L1209" s="979">
        <v>341718</v>
      </c>
      <c r="M1209" s="979">
        <v>599</v>
      </c>
    </row>
    <row r="1210" spans="1:13" ht="15">
      <c r="A1210" s="979" t="s">
        <v>3552</v>
      </c>
      <c r="B1210" s="1040" t="str">
        <f>CONCATENATE(LEFT(RIGHT(CONCATENATE("000",IFAData_TEA_1617!A1210),6),3),"-",(RIGHT(RIGHT(CONCATENATE("000",IFAData_TEA_1617!A1210),6),3)))</f>
        <v>108-905</v>
      </c>
      <c r="C1210" s="979" t="s">
        <v>2374</v>
      </c>
      <c r="D1210" s="979">
        <v>8</v>
      </c>
      <c r="E1210" s="979">
        <v>1891</v>
      </c>
      <c r="F1210" s="979" t="s">
        <v>4890</v>
      </c>
      <c r="G1210" s="979" t="s">
        <v>6478</v>
      </c>
      <c r="H1210" s="979">
        <v>750887</v>
      </c>
      <c r="I1210" s="979">
        <v>416350</v>
      </c>
      <c r="J1210" s="979">
        <v>1</v>
      </c>
      <c r="K1210" s="979">
        <v>750887</v>
      </c>
      <c r="L1210" s="979">
        <v>416350</v>
      </c>
      <c r="M1210" s="979">
        <v>599</v>
      </c>
    </row>
    <row r="1211" spans="1:13" ht="15">
      <c r="A1211" s="979" t="s">
        <v>3553</v>
      </c>
      <c r="B1211" s="1040" t="str">
        <f>CONCATENATE(LEFT(RIGHT(CONCATENATE("000",IFAData_TEA_1617!A1211),6),3),"-",(RIGHT(RIGHT(CONCATENATE("000",IFAData_TEA_1617!A1211),6),3)))</f>
        <v>108-906</v>
      </c>
      <c r="C1211" s="979" t="s">
        <v>817</v>
      </c>
      <c r="D1211" s="979">
        <v>2</v>
      </c>
      <c r="E1211" s="979">
        <v>2079</v>
      </c>
      <c r="F1211" s="979" t="s">
        <v>4893</v>
      </c>
      <c r="G1211" s="979" t="s">
        <v>4897</v>
      </c>
      <c r="H1211" s="979">
        <v>1567290</v>
      </c>
      <c r="I1211" s="979">
        <v>0</v>
      </c>
      <c r="J1211" s="979">
        <v>0</v>
      </c>
      <c r="K1211" s="979">
        <v>0</v>
      </c>
      <c r="L1211" s="979">
        <v>0</v>
      </c>
      <c r="M1211" s="979">
        <v>599</v>
      </c>
    </row>
    <row r="1212" spans="1:13" ht="15">
      <c r="A1212" s="979" t="s">
        <v>3553</v>
      </c>
      <c r="B1212" s="1040" t="str">
        <f>CONCATENATE(LEFT(RIGHT(CONCATENATE("000",IFAData_TEA_1617!A1212),6),3),"-",(RIGHT(RIGHT(CONCATENATE("000",IFAData_TEA_1617!A1212),6),3)))</f>
        <v>108-906</v>
      </c>
      <c r="C1212" s="979" t="s">
        <v>817</v>
      </c>
      <c r="D1212" s="979">
        <v>2</v>
      </c>
      <c r="E1212" s="979">
        <v>2079</v>
      </c>
      <c r="F1212" s="979" t="s">
        <v>4893</v>
      </c>
      <c r="G1212" s="979" t="s">
        <v>4896</v>
      </c>
      <c r="H1212" s="979">
        <v>1567290</v>
      </c>
      <c r="I1212" s="979">
        <v>0</v>
      </c>
      <c r="J1212" s="979">
        <v>0</v>
      </c>
      <c r="K1212" s="979">
        <v>0</v>
      </c>
      <c r="L1212" s="979">
        <v>0</v>
      </c>
      <c r="M1212" s="979">
        <v>599</v>
      </c>
    </row>
    <row r="1213" spans="1:13" ht="15">
      <c r="A1213" s="979" t="s">
        <v>3553</v>
      </c>
      <c r="B1213" s="1040" t="str">
        <f>CONCATENATE(LEFT(RIGHT(CONCATENATE("000",IFAData_TEA_1617!A1213),6),3),"-",(RIGHT(RIGHT(CONCATENATE("000",IFAData_TEA_1617!A1213),6),3)))</f>
        <v>108-906</v>
      </c>
      <c r="C1213" s="979" t="s">
        <v>817</v>
      </c>
      <c r="D1213" s="979">
        <v>2</v>
      </c>
      <c r="E1213" s="979">
        <v>2079</v>
      </c>
      <c r="F1213" s="979" t="s">
        <v>4893</v>
      </c>
      <c r="G1213" s="979" t="s">
        <v>4894</v>
      </c>
      <c r="H1213" s="979">
        <v>1567290</v>
      </c>
      <c r="I1213" s="979">
        <v>0</v>
      </c>
      <c r="J1213" s="979">
        <v>0</v>
      </c>
      <c r="K1213" s="979">
        <v>0</v>
      </c>
      <c r="L1213" s="979">
        <v>0</v>
      </c>
      <c r="M1213" s="979">
        <v>599</v>
      </c>
    </row>
    <row r="1214" spans="1:13" ht="15">
      <c r="A1214" s="979" t="s">
        <v>3553</v>
      </c>
      <c r="B1214" s="1040" t="str">
        <f>CONCATENATE(LEFT(RIGHT(CONCATENATE("000",IFAData_TEA_1617!A1214),6),3),"-",(RIGHT(RIGHT(CONCATENATE("000",IFAData_TEA_1617!A1214),6),3)))</f>
        <v>108-906</v>
      </c>
      <c r="C1214" s="979" t="s">
        <v>817</v>
      </c>
      <c r="D1214" s="979">
        <v>2</v>
      </c>
      <c r="E1214" s="979">
        <v>2079</v>
      </c>
      <c r="F1214" s="979" t="s">
        <v>4893</v>
      </c>
      <c r="G1214" s="979" t="s">
        <v>4895</v>
      </c>
      <c r="H1214" s="979">
        <v>1567290</v>
      </c>
      <c r="I1214" s="979">
        <v>1603800</v>
      </c>
      <c r="J1214" s="979">
        <v>1</v>
      </c>
      <c r="K1214" s="979">
        <v>1567290</v>
      </c>
      <c r="L1214" s="979">
        <v>1567290</v>
      </c>
      <c r="M1214" s="979">
        <v>599</v>
      </c>
    </row>
    <row r="1215" spans="1:13" ht="15">
      <c r="A1215" s="979" t="s">
        <v>3553</v>
      </c>
      <c r="B1215" s="1040" t="str">
        <f>CONCATENATE(LEFT(RIGHT(CONCATENATE("000",IFAData_TEA_1617!A1215),6),3),"-",(RIGHT(RIGHT(CONCATENATE("000",IFAData_TEA_1617!A1215),6),3)))</f>
        <v>108-906</v>
      </c>
      <c r="C1215" s="979" t="s">
        <v>817</v>
      </c>
      <c r="D1215" s="979">
        <v>2</v>
      </c>
      <c r="E1215" s="979">
        <v>2079</v>
      </c>
      <c r="F1215" s="979" t="s">
        <v>4893</v>
      </c>
      <c r="G1215" s="979" t="s">
        <v>4893</v>
      </c>
      <c r="H1215" s="979">
        <v>1567290</v>
      </c>
      <c r="I1215" s="979">
        <v>0</v>
      </c>
      <c r="J1215" s="979">
        <v>0</v>
      </c>
      <c r="K1215" s="979">
        <v>0</v>
      </c>
      <c r="L1215" s="979">
        <v>0</v>
      </c>
      <c r="M1215" s="979">
        <v>599</v>
      </c>
    </row>
    <row r="1216" spans="1:13" ht="15">
      <c r="A1216" s="979" t="s">
        <v>3554</v>
      </c>
      <c r="B1216" s="1040" t="str">
        <f>CONCATENATE(LEFT(RIGHT(CONCATENATE("000",IFAData_TEA_1617!A1216),6),3),"-",(RIGHT(RIGHT(CONCATENATE("000",IFAData_TEA_1617!A1216),6),3)))</f>
        <v>108-907</v>
      </c>
      <c r="C1216" s="979" t="s">
        <v>2234</v>
      </c>
      <c r="D1216" s="979">
        <v>8</v>
      </c>
      <c r="E1216" s="979">
        <v>2090</v>
      </c>
      <c r="F1216" s="979" t="s">
        <v>4905</v>
      </c>
      <c r="G1216" s="979" t="s">
        <v>4905</v>
      </c>
      <c r="H1216" s="979">
        <v>547625</v>
      </c>
      <c r="I1216" s="979">
        <v>162000</v>
      </c>
      <c r="J1216" s="979">
        <v>0.31206897880242568</v>
      </c>
      <c r="K1216" s="979">
        <v>170896.77451667836</v>
      </c>
      <c r="L1216" s="979">
        <v>162000</v>
      </c>
      <c r="M1216" s="979">
        <v>599</v>
      </c>
    </row>
    <row r="1217" spans="1:13" ht="15">
      <c r="A1217" s="979" t="s">
        <v>3554</v>
      </c>
      <c r="B1217" s="1040" t="str">
        <f>CONCATENATE(LEFT(RIGHT(CONCATENATE("000",IFAData_TEA_1617!A1217),6),3),"-",(RIGHT(RIGHT(CONCATENATE("000",IFAData_TEA_1617!A1217),6),3)))</f>
        <v>108-907</v>
      </c>
      <c r="C1217" s="979" t="s">
        <v>2234</v>
      </c>
      <c r="D1217" s="979">
        <v>7</v>
      </c>
      <c r="E1217" s="979">
        <v>2094</v>
      </c>
      <c r="F1217" s="979" t="s">
        <v>4903</v>
      </c>
      <c r="G1217" s="979" t="s">
        <v>4904</v>
      </c>
      <c r="H1217" s="979">
        <v>1254960</v>
      </c>
      <c r="I1217" s="979">
        <v>566994</v>
      </c>
      <c r="J1217" s="979">
        <v>1</v>
      </c>
      <c r="K1217" s="979">
        <v>1254960</v>
      </c>
      <c r="L1217" s="979">
        <v>566994</v>
      </c>
      <c r="M1217" s="979">
        <v>599</v>
      </c>
    </row>
    <row r="1218" spans="1:13" ht="15">
      <c r="A1218" s="979" t="s">
        <v>3554</v>
      </c>
      <c r="B1218" s="1040" t="str">
        <f>CONCATENATE(LEFT(RIGHT(CONCATENATE("000",IFAData_TEA_1617!A1218),6),3),"-",(RIGHT(RIGHT(CONCATENATE("000",IFAData_TEA_1617!A1218),6),3)))</f>
        <v>108-907</v>
      </c>
      <c r="C1218" s="979" t="s">
        <v>2234</v>
      </c>
      <c r="D1218" s="979">
        <v>2</v>
      </c>
      <c r="E1218" s="979">
        <v>2092</v>
      </c>
      <c r="F1218" s="979" t="s">
        <v>4898</v>
      </c>
      <c r="G1218" s="979" t="s">
        <v>4898</v>
      </c>
      <c r="H1218" s="979">
        <v>1136573</v>
      </c>
      <c r="I1218" s="979">
        <v>0</v>
      </c>
      <c r="J1218" s="979">
        <v>0</v>
      </c>
      <c r="K1218" s="979">
        <v>0</v>
      </c>
      <c r="L1218" s="979">
        <v>0</v>
      </c>
      <c r="M1218" s="979">
        <v>599</v>
      </c>
    </row>
    <row r="1219" spans="1:13" ht="15">
      <c r="A1219" s="979" t="s">
        <v>3554</v>
      </c>
      <c r="B1219" s="1040" t="str">
        <f>CONCATENATE(LEFT(RIGHT(CONCATENATE("000",IFAData_TEA_1617!A1219),6),3),"-",(RIGHT(RIGHT(CONCATENATE("000",IFAData_TEA_1617!A1219),6),3)))</f>
        <v>108-907</v>
      </c>
      <c r="C1219" s="979" t="s">
        <v>2234</v>
      </c>
      <c r="D1219" s="979">
        <v>2</v>
      </c>
      <c r="E1219" s="979">
        <v>2092</v>
      </c>
      <c r="F1219" s="979" t="s">
        <v>4898</v>
      </c>
      <c r="G1219" s="979" t="s">
        <v>4899</v>
      </c>
      <c r="H1219" s="979">
        <v>1136573</v>
      </c>
      <c r="I1219" s="979">
        <v>0</v>
      </c>
      <c r="J1219" s="979">
        <v>0</v>
      </c>
      <c r="K1219" s="979">
        <v>0</v>
      </c>
      <c r="L1219" s="979">
        <v>0</v>
      </c>
      <c r="M1219" s="979">
        <v>599</v>
      </c>
    </row>
    <row r="1220" spans="1:13" ht="15">
      <c r="A1220" s="979" t="s">
        <v>3554</v>
      </c>
      <c r="B1220" s="1040" t="str">
        <f>CONCATENATE(LEFT(RIGHT(CONCATENATE("000",IFAData_TEA_1617!A1220),6),3),"-",(RIGHT(RIGHT(CONCATENATE("000",IFAData_TEA_1617!A1220),6),3)))</f>
        <v>108-907</v>
      </c>
      <c r="C1220" s="979" t="s">
        <v>2234</v>
      </c>
      <c r="D1220" s="979">
        <v>4</v>
      </c>
      <c r="E1220" s="979">
        <v>2093</v>
      </c>
      <c r="F1220" s="979" t="s">
        <v>4900</v>
      </c>
      <c r="G1220" s="979" t="s">
        <v>4899</v>
      </c>
      <c r="H1220" s="979">
        <v>1178123</v>
      </c>
      <c r="I1220" s="979">
        <v>0</v>
      </c>
      <c r="J1220" s="979">
        <v>0</v>
      </c>
      <c r="K1220" s="979">
        <v>0</v>
      </c>
      <c r="L1220" s="979">
        <v>0</v>
      </c>
      <c r="M1220" s="979">
        <v>599</v>
      </c>
    </row>
    <row r="1221" spans="1:13" ht="15">
      <c r="A1221" s="979" t="s">
        <v>3554</v>
      </c>
      <c r="B1221" s="1040" t="str">
        <f>CONCATENATE(LEFT(RIGHT(CONCATENATE("000",IFAData_TEA_1617!A1221),6),3),"-",(RIGHT(RIGHT(CONCATENATE("000",IFAData_TEA_1617!A1221),6),3)))</f>
        <v>108-907</v>
      </c>
      <c r="C1221" s="979" t="s">
        <v>2234</v>
      </c>
      <c r="D1221" s="979">
        <v>6</v>
      </c>
      <c r="E1221" s="979">
        <v>2091</v>
      </c>
      <c r="F1221" s="979" t="s">
        <v>4901</v>
      </c>
      <c r="G1221" s="979" t="s">
        <v>4902</v>
      </c>
      <c r="H1221" s="979">
        <v>668147</v>
      </c>
      <c r="I1221" s="979">
        <v>638978</v>
      </c>
      <c r="J1221" s="979">
        <v>1</v>
      </c>
      <c r="K1221" s="979">
        <v>668147</v>
      </c>
      <c r="L1221" s="979">
        <v>638978</v>
      </c>
      <c r="M1221" s="979">
        <v>599</v>
      </c>
    </row>
    <row r="1222" spans="1:13" ht="15">
      <c r="A1222" s="979" t="s">
        <v>3554</v>
      </c>
      <c r="B1222" s="1040" t="str">
        <f>CONCATENATE(LEFT(RIGHT(CONCATENATE("000",IFAData_TEA_1617!A1222),6),3),"-",(RIGHT(RIGHT(CONCATENATE("000",IFAData_TEA_1617!A1222),6),3)))</f>
        <v>108-907</v>
      </c>
      <c r="C1222" s="979" t="s">
        <v>2234</v>
      </c>
      <c r="D1222" s="979">
        <v>4</v>
      </c>
      <c r="E1222" s="979">
        <v>2093</v>
      </c>
      <c r="F1222" s="979" t="s">
        <v>4900</v>
      </c>
      <c r="G1222" s="979" t="s">
        <v>4900</v>
      </c>
      <c r="H1222" s="979">
        <v>1178123</v>
      </c>
      <c r="I1222" s="979">
        <v>0</v>
      </c>
      <c r="J1222" s="979">
        <v>0</v>
      </c>
      <c r="K1222" s="979">
        <v>0</v>
      </c>
      <c r="L1222" s="979">
        <v>0</v>
      </c>
      <c r="M1222" s="979">
        <v>599</v>
      </c>
    </row>
    <row r="1223" spans="1:13" ht="15">
      <c r="A1223" s="979" t="s">
        <v>3554</v>
      </c>
      <c r="B1223" s="1040" t="str">
        <f>CONCATENATE(LEFT(RIGHT(CONCATENATE("000",IFAData_TEA_1617!A1223),6),3),"-",(RIGHT(RIGHT(CONCATENATE("000",IFAData_TEA_1617!A1223),6),3)))</f>
        <v>108-907</v>
      </c>
      <c r="C1223" s="979" t="s">
        <v>2234</v>
      </c>
      <c r="D1223" s="979">
        <v>7</v>
      </c>
      <c r="E1223" s="979">
        <v>2094</v>
      </c>
      <c r="F1223" s="979" t="s">
        <v>4903</v>
      </c>
      <c r="G1223" s="979" t="s">
        <v>4903</v>
      </c>
      <c r="H1223" s="979">
        <v>1254960</v>
      </c>
      <c r="I1223" s="979">
        <v>0</v>
      </c>
      <c r="J1223" s="979">
        <v>0</v>
      </c>
      <c r="K1223" s="979">
        <v>0</v>
      </c>
      <c r="L1223" s="979">
        <v>0</v>
      </c>
      <c r="M1223" s="979">
        <v>599</v>
      </c>
    </row>
    <row r="1224" spans="1:13" ht="15">
      <c r="A1224" s="979" t="s">
        <v>3554</v>
      </c>
      <c r="B1224" s="1040" t="str">
        <f>CONCATENATE(LEFT(RIGHT(CONCATENATE("000",IFAData_TEA_1617!A1224),6),3),"-",(RIGHT(RIGHT(CONCATENATE("000",IFAData_TEA_1617!A1224),6),3)))</f>
        <v>108-907</v>
      </c>
      <c r="C1224" s="979" t="s">
        <v>2234</v>
      </c>
      <c r="D1224" s="979">
        <v>6</v>
      </c>
      <c r="E1224" s="979">
        <v>2091</v>
      </c>
      <c r="F1224" s="979" t="s">
        <v>4901</v>
      </c>
      <c r="G1224" s="979" t="s">
        <v>4901</v>
      </c>
      <c r="H1224" s="979">
        <v>668147</v>
      </c>
      <c r="I1224" s="979">
        <v>0</v>
      </c>
      <c r="J1224" s="979">
        <v>0</v>
      </c>
      <c r="K1224" s="979">
        <v>0</v>
      </c>
      <c r="L1224" s="979">
        <v>0</v>
      </c>
      <c r="M1224" s="979">
        <v>599</v>
      </c>
    </row>
    <row r="1225" spans="1:13" ht="15">
      <c r="A1225" s="979" t="s">
        <v>3554</v>
      </c>
      <c r="B1225" s="1040" t="str">
        <f>CONCATENATE(LEFT(RIGHT(CONCATENATE("000",IFAData_TEA_1617!A1225),6),3),"-",(RIGHT(RIGHT(CONCATENATE("000",IFAData_TEA_1617!A1225),6),3)))</f>
        <v>108-907</v>
      </c>
      <c r="C1225" s="979" t="s">
        <v>2234</v>
      </c>
      <c r="D1225" s="979">
        <v>8</v>
      </c>
      <c r="E1225" s="979">
        <v>2090</v>
      </c>
      <c r="F1225" s="979" t="s">
        <v>4905</v>
      </c>
      <c r="G1225" s="979" t="s">
        <v>6266</v>
      </c>
      <c r="H1225" s="979">
        <v>547625</v>
      </c>
      <c r="I1225" s="979">
        <v>357116</v>
      </c>
      <c r="J1225" s="979">
        <v>0.68793102119757432</v>
      </c>
      <c r="K1225" s="979">
        <v>376728.22548332164</v>
      </c>
      <c r="L1225" s="979">
        <v>357116</v>
      </c>
      <c r="M1225" s="979">
        <v>599</v>
      </c>
    </row>
    <row r="1226" spans="1:13" ht="15">
      <c r="A1226" s="979" t="s">
        <v>3554</v>
      </c>
      <c r="B1226" s="1040" t="str">
        <f>CONCATENATE(LEFT(RIGHT(CONCATENATE("000",IFAData_TEA_1617!A1226),6),3),"-",(RIGHT(RIGHT(CONCATENATE("000",IFAData_TEA_1617!A1226),6),3)))</f>
        <v>108-907</v>
      </c>
      <c r="C1226" s="979" t="s">
        <v>2234</v>
      </c>
      <c r="D1226" s="979">
        <v>2</v>
      </c>
      <c r="E1226" s="979">
        <v>2092</v>
      </c>
      <c r="F1226" s="979" t="s">
        <v>4898</v>
      </c>
      <c r="G1226" s="979" t="s">
        <v>6266</v>
      </c>
      <c r="H1226" s="979">
        <v>1136573</v>
      </c>
      <c r="I1226" s="979">
        <v>993398</v>
      </c>
      <c r="J1226" s="979">
        <v>1</v>
      </c>
      <c r="K1226" s="979">
        <v>1136573</v>
      </c>
      <c r="L1226" s="979">
        <v>993398</v>
      </c>
      <c r="M1226" s="979">
        <v>599</v>
      </c>
    </row>
    <row r="1227" spans="1:13" ht="15">
      <c r="A1227" s="979" t="s">
        <v>3554</v>
      </c>
      <c r="B1227" s="1040" t="str">
        <f>CONCATENATE(LEFT(RIGHT(CONCATENATE("000",IFAData_TEA_1617!A1227),6),3),"-",(RIGHT(RIGHT(CONCATENATE("000",IFAData_TEA_1617!A1227),6),3)))</f>
        <v>108-907</v>
      </c>
      <c r="C1227" s="979" t="s">
        <v>2234</v>
      </c>
      <c r="D1227" s="979">
        <v>4</v>
      </c>
      <c r="E1227" s="979">
        <v>2093</v>
      </c>
      <c r="F1227" s="979" t="s">
        <v>4900</v>
      </c>
      <c r="G1227" s="979" t="s">
        <v>6266</v>
      </c>
      <c r="H1227" s="979">
        <v>1178123</v>
      </c>
      <c r="I1227" s="979">
        <v>1062836</v>
      </c>
      <c r="J1227" s="979">
        <v>1</v>
      </c>
      <c r="K1227" s="979">
        <v>1178123</v>
      </c>
      <c r="L1227" s="979">
        <v>1062836</v>
      </c>
      <c r="M1227" s="979">
        <v>599</v>
      </c>
    </row>
    <row r="1228" spans="1:13" ht="15">
      <c r="A1228" s="979" t="s">
        <v>3555</v>
      </c>
      <c r="B1228" s="1040" t="str">
        <f>CONCATENATE(LEFT(RIGHT(CONCATENATE("000",IFAData_TEA_1617!A1228),6),3),"-",(RIGHT(RIGHT(CONCATENATE("000",IFAData_TEA_1617!A1228),6),3)))</f>
        <v>108-908</v>
      </c>
      <c r="C1228" s="979" t="s">
        <v>38</v>
      </c>
      <c r="D1228" s="979">
        <v>4</v>
      </c>
      <c r="E1228" s="979">
        <v>2111</v>
      </c>
      <c r="F1228" s="979" t="s">
        <v>4909</v>
      </c>
      <c r="G1228" s="979" t="s">
        <v>6267</v>
      </c>
      <c r="H1228" s="979">
        <v>2592893</v>
      </c>
      <c r="I1228" s="979">
        <v>1018050</v>
      </c>
      <c r="J1228" s="979">
        <v>1</v>
      </c>
      <c r="K1228" s="979">
        <v>2592893</v>
      </c>
      <c r="L1228" s="979">
        <v>1018050</v>
      </c>
      <c r="M1228" s="979">
        <v>599</v>
      </c>
    </row>
    <row r="1229" spans="1:13" ht="15">
      <c r="A1229" s="979" t="s">
        <v>3555</v>
      </c>
      <c r="B1229" s="1040" t="str">
        <f>CONCATENATE(LEFT(RIGHT(CONCATENATE("000",IFAData_TEA_1617!A1229),6),3),"-",(RIGHT(RIGHT(CONCATENATE("000",IFAData_TEA_1617!A1229),6),3)))</f>
        <v>108-908</v>
      </c>
      <c r="C1229" s="979" t="s">
        <v>38</v>
      </c>
      <c r="D1229" s="979">
        <v>2</v>
      </c>
      <c r="E1229" s="979">
        <v>2112</v>
      </c>
      <c r="F1229" s="979" t="s">
        <v>4906</v>
      </c>
      <c r="G1229" s="979" t="s">
        <v>6267</v>
      </c>
      <c r="H1229" s="979">
        <v>2844700</v>
      </c>
      <c r="I1229" s="979">
        <v>0</v>
      </c>
      <c r="J1229" s="979">
        <v>0</v>
      </c>
      <c r="K1229" s="979">
        <v>0</v>
      </c>
      <c r="L1229" s="979">
        <v>0</v>
      </c>
      <c r="M1229" s="979">
        <v>599</v>
      </c>
    </row>
    <row r="1230" spans="1:13" ht="15">
      <c r="A1230" s="979" t="s">
        <v>3555</v>
      </c>
      <c r="B1230" s="1040" t="str">
        <f>CONCATENATE(LEFT(RIGHT(CONCATENATE("000",IFAData_TEA_1617!A1230),6),3),"-",(RIGHT(RIGHT(CONCATENATE("000",IFAData_TEA_1617!A1230),6),3)))</f>
        <v>108-908</v>
      </c>
      <c r="C1230" s="979" t="s">
        <v>38</v>
      </c>
      <c r="D1230" s="979">
        <v>8</v>
      </c>
      <c r="E1230" s="979">
        <v>2113</v>
      </c>
      <c r="F1230" s="979" t="s">
        <v>4910</v>
      </c>
      <c r="G1230" s="979" t="s">
        <v>4910</v>
      </c>
      <c r="H1230" s="979">
        <v>3559524</v>
      </c>
      <c r="I1230" s="979">
        <v>0</v>
      </c>
      <c r="J1230" s="979">
        <v>0</v>
      </c>
      <c r="K1230" s="979">
        <v>0</v>
      </c>
      <c r="L1230" s="979">
        <v>0</v>
      </c>
      <c r="M1230" s="979">
        <v>599</v>
      </c>
    </row>
    <row r="1231" spans="1:13" ht="15">
      <c r="A1231" s="979" t="s">
        <v>3555</v>
      </c>
      <c r="B1231" s="1040" t="str">
        <f>CONCATENATE(LEFT(RIGHT(CONCATENATE("000",IFAData_TEA_1617!A1231),6),3),"-",(RIGHT(RIGHT(CONCATENATE("000",IFAData_TEA_1617!A1231),6),3)))</f>
        <v>108-908</v>
      </c>
      <c r="C1231" s="979" t="s">
        <v>38</v>
      </c>
      <c r="D1231" s="979">
        <v>2</v>
      </c>
      <c r="E1231" s="979">
        <v>2112</v>
      </c>
      <c r="F1231" s="979" t="s">
        <v>4906</v>
      </c>
      <c r="G1231" s="979" t="s">
        <v>4906</v>
      </c>
      <c r="H1231" s="979">
        <v>2844700</v>
      </c>
      <c r="I1231" s="979">
        <v>0</v>
      </c>
      <c r="J1231" s="979">
        <v>0</v>
      </c>
      <c r="K1231" s="979">
        <v>0</v>
      </c>
      <c r="L1231" s="979">
        <v>0</v>
      </c>
      <c r="M1231" s="979">
        <v>599</v>
      </c>
    </row>
    <row r="1232" spans="1:13" ht="15">
      <c r="A1232" s="979" t="s">
        <v>3555</v>
      </c>
      <c r="B1232" s="1040" t="str">
        <f>CONCATENATE(LEFT(RIGHT(CONCATENATE("000",IFAData_TEA_1617!A1232),6),3),"-",(RIGHT(RIGHT(CONCATENATE("000",IFAData_TEA_1617!A1232),6),3)))</f>
        <v>108-908</v>
      </c>
      <c r="C1232" s="979" t="s">
        <v>38</v>
      </c>
      <c r="D1232" s="979">
        <v>2</v>
      </c>
      <c r="E1232" s="979">
        <v>2112</v>
      </c>
      <c r="F1232" s="979" t="s">
        <v>4906</v>
      </c>
      <c r="G1232" s="979" t="s">
        <v>4908</v>
      </c>
      <c r="H1232" s="979">
        <v>2844700</v>
      </c>
      <c r="I1232" s="979">
        <v>2720406</v>
      </c>
      <c r="J1232" s="979">
        <v>1</v>
      </c>
      <c r="K1232" s="979">
        <v>2844700</v>
      </c>
      <c r="L1232" s="979">
        <v>2720406</v>
      </c>
      <c r="M1232" s="979">
        <v>599</v>
      </c>
    </row>
    <row r="1233" spans="1:13" ht="15">
      <c r="A1233" s="979" t="s">
        <v>3555</v>
      </c>
      <c r="B1233" s="1040" t="str">
        <f>CONCATENATE(LEFT(RIGHT(CONCATENATE("000",IFAData_TEA_1617!A1233),6),3),"-",(RIGHT(RIGHT(CONCATENATE("000",IFAData_TEA_1617!A1233),6),3)))</f>
        <v>108-908</v>
      </c>
      <c r="C1233" s="979" t="s">
        <v>38</v>
      </c>
      <c r="D1233" s="979">
        <v>4</v>
      </c>
      <c r="E1233" s="979">
        <v>2111</v>
      </c>
      <c r="F1233" s="979" t="s">
        <v>4909</v>
      </c>
      <c r="G1233" s="979" t="s">
        <v>4907</v>
      </c>
      <c r="H1233" s="979">
        <v>2592893</v>
      </c>
      <c r="I1233" s="979">
        <v>0</v>
      </c>
      <c r="J1233" s="979">
        <v>0</v>
      </c>
      <c r="K1233" s="979">
        <v>0</v>
      </c>
      <c r="L1233" s="979">
        <v>0</v>
      </c>
      <c r="M1233" s="979">
        <v>599</v>
      </c>
    </row>
    <row r="1234" spans="1:13" ht="15">
      <c r="A1234" s="979" t="s">
        <v>3555</v>
      </c>
      <c r="B1234" s="1040" t="str">
        <f>CONCATENATE(LEFT(RIGHT(CONCATENATE("000",IFAData_TEA_1617!A1234),6),3),"-",(RIGHT(RIGHT(CONCATENATE("000",IFAData_TEA_1617!A1234),6),3)))</f>
        <v>108-908</v>
      </c>
      <c r="C1234" s="979" t="s">
        <v>38</v>
      </c>
      <c r="D1234" s="979">
        <v>2</v>
      </c>
      <c r="E1234" s="979">
        <v>2112</v>
      </c>
      <c r="F1234" s="979" t="s">
        <v>4906</v>
      </c>
      <c r="G1234" s="979" t="s">
        <v>4907</v>
      </c>
      <c r="H1234" s="979">
        <v>2844700</v>
      </c>
      <c r="I1234" s="979">
        <v>0</v>
      </c>
      <c r="J1234" s="979">
        <v>0</v>
      </c>
      <c r="K1234" s="979">
        <v>0</v>
      </c>
      <c r="L1234" s="979">
        <v>0</v>
      </c>
      <c r="M1234" s="979">
        <v>599</v>
      </c>
    </row>
    <row r="1235" spans="1:13" ht="15">
      <c r="A1235" s="979" t="s">
        <v>3555</v>
      </c>
      <c r="B1235" s="1040" t="str">
        <f>CONCATENATE(LEFT(RIGHT(CONCATENATE("000",IFAData_TEA_1617!A1235),6),3),"-",(RIGHT(RIGHT(CONCATENATE("000",IFAData_TEA_1617!A1235),6),3)))</f>
        <v>108-908</v>
      </c>
      <c r="C1235" s="979" t="s">
        <v>38</v>
      </c>
      <c r="D1235" s="979">
        <v>4</v>
      </c>
      <c r="E1235" s="979">
        <v>2111</v>
      </c>
      <c r="F1235" s="979" t="s">
        <v>4909</v>
      </c>
      <c r="G1235" s="979" t="s">
        <v>4909</v>
      </c>
      <c r="H1235" s="979">
        <v>2592893</v>
      </c>
      <c r="I1235" s="979">
        <v>0</v>
      </c>
      <c r="J1235" s="979">
        <v>0</v>
      </c>
      <c r="K1235" s="979">
        <v>0</v>
      </c>
      <c r="L1235" s="979">
        <v>0</v>
      </c>
      <c r="M1235" s="979">
        <v>599</v>
      </c>
    </row>
    <row r="1236" spans="1:13" ht="15">
      <c r="A1236" s="979" t="s">
        <v>3555</v>
      </c>
      <c r="B1236" s="1040" t="str">
        <f>CONCATENATE(LEFT(RIGHT(CONCATENATE("000",IFAData_TEA_1617!A1236),6),3),"-",(RIGHT(RIGHT(CONCATENATE("000",IFAData_TEA_1617!A1236),6),3)))</f>
        <v>108-908</v>
      </c>
      <c r="C1236" s="979" t="s">
        <v>38</v>
      </c>
      <c r="D1236" s="979">
        <v>8</v>
      </c>
      <c r="E1236" s="979">
        <v>2113</v>
      </c>
      <c r="F1236" s="979" t="s">
        <v>4910</v>
      </c>
      <c r="G1236" s="979" t="s">
        <v>6268</v>
      </c>
      <c r="H1236" s="979">
        <v>3559524</v>
      </c>
      <c r="I1236" s="979">
        <v>1925300</v>
      </c>
      <c r="J1236" s="979">
        <v>1</v>
      </c>
      <c r="K1236" s="979">
        <v>3559524</v>
      </c>
      <c r="L1236" s="979">
        <v>1925300</v>
      </c>
      <c r="M1236" s="979">
        <v>599</v>
      </c>
    </row>
    <row r="1237" spans="1:13" ht="15">
      <c r="A1237" s="979" t="s">
        <v>3555</v>
      </c>
      <c r="B1237" s="1040" t="str">
        <f>CONCATENATE(LEFT(RIGHT(CONCATENATE("000",IFAData_TEA_1617!A1237),6),3),"-",(RIGHT(RIGHT(CONCATENATE("000",IFAData_TEA_1617!A1237),6),3)))</f>
        <v>108-908</v>
      </c>
      <c r="C1237" s="979" t="s">
        <v>38</v>
      </c>
      <c r="D1237" s="979">
        <v>9</v>
      </c>
      <c r="E1237" s="979">
        <v>2114</v>
      </c>
      <c r="F1237" s="979" t="s">
        <v>4911</v>
      </c>
      <c r="G1237" s="979" t="s">
        <v>4911</v>
      </c>
      <c r="H1237" s="979">
        <v>3776225</v>
      </c>
      <c r="I1237" s="979">
        <v>3757750</v>
      </c>
      <c r="J1237" s="979">
        <v>1</v>
      </c>
      <c r="K1237" s="979">
        <v>3776225</v>
      </c>
      <c r="L1237" s="979">
        <v>3757750</v>
      </c>
      <c r="M1237" s="979">
        <v>599</v>
      </c>
    </row>
    <row r="1238" spans="1:13" ht="15">
      <c r="A1238" s="979" t="s">
        <v>3556</v>
      </c>
      <c r="B1238" s="1040" t="str">
        <f>CONCATENATE(LEFT(RIGHT(CONCATENATE("000",IFAData_TEA_1617!A1238),6),3),"-",(RIGHT(RIGHT(CONCATENATE("000",IFAData_TEA_1617!A1238),6),3)))</f>
        <v>108-909</v>
      </c>
      <c r="C1238" s="979" t="s">
        <v>999</v>
      </c>
      <c r="D1238" s="979">
        <v>8</v>
      </c>
      <c r="E1238" s="979">
        <v>2191</v>
      </c>
      <c r="F1238" s="979" t="s">
        <v>4916</v>
      </c>
      <c r="G1238" s="979" t="s">
        <v>6269</v>
      </c>
      <c r="H1238" s="979">
        <v>1734000</v>
      </c>
      <c r="I1238" s="979">
        <v>571552</v>
      </c>
      <c r="J1238" s="979">
        <v>0.19003515081067637</v>
      </c>
      <c r="K1238" s="979">
        <v>329520.95150571282</v>
      </c>
      <c r="L1238" s="979">
        <v>329520.95150571282</v>
      </c>
      <c r="M1238" s="979">
        <v>599</v>
      </c>
    </row>
    <row r="1239" spans="1:13" ht="15">
      <c r="A1239" s="979" t="s">
        <v>3556</v>
      </c>
      <c r="B1239" s="1040" t="str">
        <f>CONCATENATE(LEFT(RIGHT(CONCATENATE("000",IFAData_TEA_1617!A1239),6),3),"-",(RIGHT(RIGHT(CONCATENATE("000",IFAData_TEA_1617!A1239),6),3)))</f>
        <v>108-909</v>
      </c>
      <c r="C1239" s="979" t="s">
        <v>999</v>
      </c>
      <c r="D1239" s="979">
        <v>4</v>
      </c>
      <c r="E1239" s="979">
        <v>2193</v>
      </c>
      <c r="F1239" s="979" t="s">
        <v>4915</v>
      </c>
      <c r="G1239" s="979" t="s">
        <v>6269</v>
      </c>
      <c r="H1239" s="979">
        <v>4254043</v>
      </c>
      <c r="I1239" s="979">
        <v>216077</v>
      </c>
      <c r="J1239" s="979">
        <v>3.6826916882294371E-2</v>
      </c>
      <c r="K1239" s="979">
        <v>156663.28797470618</v>
      </c>
      <c r="L1239" s="979">
        <v>156663.28797470618</v>
      </c>
      <c r="M1239" s="979">
        <v>599</v>
      </c>
    </row>
    <row r="1240" spans="1:13" ht="15">
      <c r="A1240" s="979" t="s">
        <v>3556</v>
      </c>
      <c r="B1240" s="1040" t="str">
        <f>CONCATENATE(LEFT(RIGHT(CONCATENATE("000",IFAData_TEA_1617!A1240),6),3),"-",(RIGHT(RIGHT(CONCATENATE("000",IFAData_TEA_1617!A1240),6),3)))</f>
        <v>108-909</v>
      </c>
      <c r="C1240" s="979" t="s">
        <v>999</v>
      </c>
      <c r="D1240" s="979">
        <v>9</v>
      </c>
      <c r="E1240" s="979">
        <v>2196</v>
      </c>
      <c r="F1240" s="979" t="s">
        <v>4917</v>
      </c>
      <c r="G1240" s="979" t="s">
        <v>6269</v>
      </c>
      <c r="H1240" s="979">
        <v>6721621</v>
      </c>
      <c r="I1240" s="979">
        <v>2268352</v>
      </c>
      <c r="J1240" s="979">
        <v>0.21897743559871913</v>
      </c>
      <c r="K1240" s="979">
        <v>1471883.329646498</v>
      </c>
      <c r="L1240" s="979">
        <v>1471883.329646498</v>
      </c>
      <c r="M1240" s="979">
        <v>599</v>
      </c>
    </row>
    <row r="1241" spans="1:13" ht="15">
      <c r="A1241" s="979" t="s">
        <v>3556</v>
      </c>
      <c r="B1241" s="1040" t="str">
        <f>CONCATENATE(LEFT(RIGHT(CONCATENATE("000",IFAData_TEA_1617!A1241),6),3),"-",(RIGHT(RIGHT(CONCATENATE("000",IFAData_TEA_1617!A1241),6),3)))</f>
        <v>108-909</v>
      </c>
      <c r="C1241" s="979" t="s">
        <v>999</v>
      </c>
      <c r="D1241" s="979">
        <v>8</v>
      </c>
      <c r="E1241" s="979">
        <v>2191</v>
      </c>
      <c r="F1241" s="979" t="s">
        <v>4916</v>
      </c>
      <c r="G1241" s="979" t="s">
        <v>4913</v>
      </c>
      <c r="H1241" s="979">
        <v>1734000</v>
      </c>
      <c r="I1241" s="979">
        <v>906644</v>
      </c>
      <c r="J1241" s="979">
        <v>0.3014497880710677</v>
      </c>
      <c r="K1241" s="979">
        <v>522713.93251523143</v>
      </c>
      <c r="L1241" s="979">
        <v>522713.93251523143</v>
      </c>
      <c r="M1241" s="979">
        <v>599</v>
      </c>
    </row>
    <row r="1242" spans="1:13" ht="15">
      <c r="A1242" s="979" t="s">
        <v>3556</v>
      </c>
      <c r="B1242" s="1040" t="str">
        <f>CONCATENATE(LEFT(RIGHT(CONCATENATE("000",IFAData_TEA_1617!A1242),6),3),"-",(RIGHT(RIGHT(CONCATENATE("000",IFAData_TEA_1617!A1242),6),3)))</f>
        <v>108-909</v>
      </c>
      <c r="C1242" s="979" t="s">
        <v>999</v>
      </c>
      <c r="D1242" s="979">
        <v>1</v>
      </c>
      <c r="E1242" s="979">
        <v>2192</v>
      </c>
      <c r="F1242" s="979" t="s">
        <v>4912</v>
      </c>
      <c r="G1242" s="979" t="s">
        <v>4913</v>
      </c>
      <c r="H1242" s="979">
        <v>3945431</v>
      </c>
      <c r="I1242" s="979">
        <v>3719602</v>
      </c>
      <c r="J1242" s="979">
        <v>0.73338141570377058</v>
      </c>
      <c r="K1242" s="979">
        <v>2893505.7723415433</v>
      </c>
      <c r="L1242" s="979">
        <v>2893505.7723415433</v>
      </c>
      <c r="M1242" s="979">
        <v>599</v>
      </c>
    </row>
    <row r="1243" spans="1:13" ht="15">
      <c r="A1243" s="979" t="s">
        <v>3556</v>
      </c>
      <c r="B1243" s="1040" t="str">
        <f>CONCATENATE(LEFT(RIGHT(CONCATENATE("000",IFAData_TEA_1617!A1243),6),3),"-",(RIGHT(RIGHT(CONCATENATE("000",IFAData_TEA_1617!A1243),6),3)))</f>
        <v>108-909</v>
      </c>
      <c r="C1243" s="979" t="s">
        <v>999</v>
      </c>
      <c r="D1243" s="979">
        <v>4</v>
      </c>
      <c r="E1243" s="979">
        <v>2193</v>
      </c>
      <c r="F1243" s="979" t="s">
        <v>4915</v>
      </c>
      <c r="G1243" s="979" t="s">
        <v>4913</v>
      </c>
      <c r="H1243" s="979">
        <v>4254043</v>
      </c>
      <c r="I1243" s="979">
        <v>3161526</v>
      </c>
      <c r="J1243" s="979">
        <v>0.5388322460197642</v>
      </c>
      <c r="K1243" s="979">
        <v>2292215.5443546558</v>
      </c>
      <c r="L1243" s="979">
        <v>2292215.5443546558</v>
      </c>
      <c r="M1243" s="979">
        <v>599</v>
      </c>
    </row>
    <row r="1244" spans="1:13" ht="15">
      <c r="A1244" s="979" t="s">
        <v>3556</v>
      </c>
      <c r="B1244" s="1040" t="str">
        <f>CONCATENATE(LEFT(RIGHT(CONCATENATE("000",IFAData_TEA_1617!A1244),6),3),"-",(RIGHT(RIGHT(CONCATENATE("000",IFAData_TEA_1617!A1244),6),3)))</f>
        <v>108-909</v>
      </c>
      <c r="C1244" s="979" t="s">
        <v>999</v>
      </c>
      <c r="D1244" s="979">
        <v>8</v>
      </c>
      <c r="E1244" s="979">
        <v>2194</v>
      </c>
      <c r="F1244" s="979" t="s">
        <v>4913</v>
      </c>
      <c r="G1244" s="979" t="s">
        <v>4913</v>
      </c>
      <c r="H1244" s="979">
        <v>4319089</v>
      </c>
      <c r="I1244" s="979">
        <v>3438907</v>
      </c>
      <c r="J1244" s="979">
        <v>0.66320104695644388</v>
      </c>
      <c r="K1244" s="979">
        <v>2864424.3466980602</v>
      </c>
      <c r="L1244" s="979">
        <v>2864424.3466980602</v>
      </c>
      <c r="M1244" s="979">
        <v>599</v>
      </c>
    </row>
    <row r="1245" spans="1:13" ht="15">
      <c r="A1245" s="979" t="s">
        <v>3556</v>
      </c>
      <c r="B1245" s="1040" t="str">
        <f>CONCATENATE(LEFT(RIGHT(CONCATENATE("000",IFAData_TEA_1617!A1245),6),3),"-",(RIGHT(RIGHT(CONCATENATE("000",IFAData_TEA_1617!A1245),6),3)))</f>
        <v>108-909</v>
      </c>
      <c r="C1245" s="979" t="s">
        <v>999</v>
      </c>
      <c r="D1245" s="979">
        <v>8</v>
      </c>
      <c r="E1245" s="979">
        <v>2194</v>
      </c>
      <c r="F1245" s="979" t="s">
        <v>4913</v>
      </c>
      <c r="G1245" s="979" t="s">
        <v>6269</v>
      </c>
      <c r="H1245" s="979">
        <v>4319089</v>
      </c>
      <c r="I1245" s="979">
        <v>252385</v>
      </c>
      <c r="J1245" s="979">
        <v>4.8673022049186589E-2</v>
      </c>
      <c r="K1245" s="979">
        <v>210223.11412939924</v>
      </c>
      <c r="L1245" s="979">
        <v>210223.11412939924</v>
      </c>
      <c r="M1245" s="979">
        <v>599</v>
      </c>
    </row>
    <row r="1246" spans="1:13" ht="15">
      <c r="A1246" s="979" t="s">
        <v>3556</v>
      </c>
      <c r="B1246" s="1040" t="str">
        <f>CONCATENATE(LEFT(RIGHT(CONCATENATE("000",IFAData_TEA_1617!A1246),6),3),"-",(RIGHT(RIGHT(CONCATENATE("000",IFAData_TEA_1617!A1246),6),3)))</f>
        <v>108-909</v>
      </c>
      <c r="C1246" s="979" t="s">
        <v>999</v>
      </c>
      <c r="D1246" s="979">
        <v>1</v>
      </c>
      <c r="E1246" s="979">
        <v>2192</v>
      </c>
      <c r="F1246" s="979" t="s">
        <v>4912</v>
      </c>
      <c r="G1246" s="979" t="s">
        <v>4914</v>
      </c>
      <c r="H1246" s="979">
        <v>3945431</v>
      </c>
      <c r="I1246" s="979">
        <v>0</v>
      </c>
      <c r="J1246" s="979">
        <v>0</v>
      </c>
      <c r="K1246" s="979">
        <v>0</v>
      </c>
      <c r="L1246" s="979">
        <v>0</v>
      </c>
      <c r="M1246" s="979">
        <v>599</v>
      </c>
    </row>
    <row r="1247" spans="1:13" ht="15">
      <c r="A1247" s="979" t="s">
        <v>3556</v>
      </c>
      <c r="B1247" s="1040" t="str">
        <f>CONCATENATE(LEFT(RIGHT(CONCATENATE("000",IFAData_TEA_1617!A1247),6),3),"-",(RIGHT(RIGHT(CONCATENATE("000",IFAData_TEA_1617!A1247),6),3)))</f>
        <v>108-909</v>
      </c>
      <c r="C1247" s="979" t="s">
        <v>999</v>
      </c>
      <c r="D1247" s="979">
        <v>8</v>
      </c>
      <c r="E1247" s="979">
        <v>2194</v>
      </c>
      <c r="F1247" s="979" t="s">
        <v>4913</v>
      </c>
      <c r="G1247" s="979" t="s">
        <v>4914</v>
      </c>
      <c r="H1247" s="979">
        <v>4319089</v>
      </c>
      <c r="I1247" s="979">
        <v>526318</v>
      </c>
      <c r="J1247" s="979">
        <v>0.10150162497328996</v>
      </c>
      <c r="K1247" s="979">
        <v>438394.55190426199</v>
      </c>
      <c r="L1247" s="979">
        <v>438394.55190426199</v>
      </c>
      <c r="M1247" s="979">
        <v>599</v>
      </c>
    </row>
    <row r="1248" spans="1:13" ht="15">
      <c r="A1248" s="979" t="s">
        <v>3556</v>
      </c>
      <c r="B1248" s="1040" t="str">
        <f>CONCATENATE(LEFT(RIGHT(CONCATENATE("000",IFAData_TEA_1617!A1248),6),3),"-",(RIGHT(RIGHT(CONCATENATE("000",IFAData_TEA_1617!A1248),6),3)))</f>
        <v>108-909</v>
      </c>
      <c r="C1248" s="979" t="s">
        <v>999</v>
      </c>
      <c r="D1248" s="979">
        <v>4</v>
      </c>
      <c r="E1248" s="979">
        <v>2193</v>
      </c>
      <c r="F1248" s="979" t="s">
        <v>4915</v>
      </c>
      <c r="G1248" s="979" t="s">
        <v>4914</v>
      </c>
      <c r="H1248" s="979">
        <v>4254043</v>
      </c>
      <c r="I1248" s="979">
        <v>794494</v>
      </c>
      <c r="J1248" s="979">
        <v>0.13540897227137355</v>
      </c>
      <c r="K1248" s="979">
        <v>576035.59062823071</v>
      </c>
      <c r="L1248" s="979">
        <v>576035.59062823071</v>
      </c>
      <c r="M1248" s="979">
        <v>599</v>
      </c>
    </row>
    <row r="1249" spans="1:13" ht="15">
      <c r="A1249" s="979" t="s">
        <v>3556</v>
      </c>
      <c r="B1249" s="1040" t="str">
        <f>CONCATENATE(LEFT(RIGHT(CONCATENATE("000",IFAData_TEA_1617!A1249),6),3),"-",(RIGHT(RIGHT(CONCATENATE("000",IFAData_TEA_1617!A1249),6),3)))</f>
        <v>108-909</v>
      </c>
      <c r="C1249" s="979" t="s">
        <v>999</v>
      </c>
      <c r="D1249" s="979">
        <v>1</v>
      </c>
      <c r="E1249" s="979">
        <v>2192</v>
      </c>
      <c r="F1249" s="979" t="s">
        <v>4912</v>
      </c>
      <c r="G1249" s="979" t="s">
        <v>6269</v>
      </c>
      <c r="H1249" s="979">
        <v>3945431</v>
      </c>
      <c r="I1249" s="979">
        <v>152871</v>
      </c>
      <c r="J1249" s="979">
        <v>3.0141060898464703E-2</v>
      </c>
      <c r="K1249" s="979">
        <v>118919.47604169049</v>
      </c>
      <c r="L1249" s="979">
        <v>118919.47604169049</v>
      </c>
      <c r="M1249" s="979">
        <v>599</v>
      </c>
    </row>
    <row r="1250" spans="1:13" ht="15">
      <c r="A1250" s="979" t="s">
        <v>3556</v>
      </c>
      <c r="B1250" s="1040" t="str">
        <f>CONCATENATE(LEFT(RIGHT(CONCATENATE("000",IFAData_TEA_1617!A1250),6),3),"-",(RIGHT(RIGHT(CONCATENATE("000",IFAData_TEA_1617!A1250),6),3)))</f>
        <v>108-909</v>
      </c>
      <c r="C1250" s="979" t="s">
        <v>999</v>
      </c>
      <c r="D1250" s="979">
        <v>1</v>
      </c>
      <c r="E1250" s="979">
        <v>2192</v>
      </c>
      <c r="F1250" s="979" t="s">
        <v>4912</v>
      </c>
      <c r="G1250" s="979" t="s">
        <v>6479</v>
      </c>
      <c r="H1250" s="979">
        <v>3945431</v>
      </c>
      <c r="I1250" s="979">
        <v>1199379</v>
      </c>
      <c r="J1250" s="979">
        <v>0.23647752339776476</v>
      </c>
      <c r="K1250" s="979">
        <v>933005.75161676644</v>
      </c>
      <c r="L1250" s="979">
        <v>933005.75161676644</v>
      </c>
      <c r="M1250" s="979">
        <v>599</v>
      </c>
    </row>
    <row r="1251" spans="1:13" ht="15">
      <c r="A1251" s="979" t="s">
        <v>3556</v>
      </c>
      <c r="B1251" s="1040" t="str">
        <f>CONCATENATE(LEFT(RIGHT(CONCATENATE("000",IFAData_TEA_1617!A1251),6),3),"-",(RIGHT(RIGHT(CONCATENATE("000",IFAData_TEA_1617!A1251),6),3)))</f>
        <v>108-909</v>
      </c>
      <c r="C1251" s="979" t="s">
        <v>999</v>
      </c>
      <c r="D1251" s="979">
        <v>8</v>
      </c>
      <c r="E1251" s="979">
        <v>2191</v>
      </c>
      <c r="F1251" s="979" t="s">
        <v>4916</v>
      </c>
      <c r="G1251" s="979" t="s">
        <v>4916</v>
      </c>
      <c r="H1251" s="979">
        <v>1734000</v>
      </c>
      <c r="I1251" s="979">
        <v>0</v>
      </c>
      <c r="J1251" s="979">
        <v>0</v>
      </c>
      <c r="K1251" s="979">
        <v>0</v>
      </c>
      <c r="L1251" s="979">
        <v>0</v>
      </c>
      <c r="M1251" s="979">
        <v>599</v>
      </c>
    </row>
    <row r="1252" spans="1:13" ht="15">
      <c r="A1252" s="979" t="s">
        <v>3556</v>
      </c>
      <c r="B1252" s="1040" t="str">
        <f>CONCATENATE(LEFT(RIGHT(CONCATENATE("000",IFAData_TEA_1617!A1252),6),3),"-",(RIGHT(RIGHT(CONCATENATE("000",IFAData_TEA_1617!A1252),6),3)))</f>
        <v>108-909</v>
      </c>
      <c r="C1252" s="979" t="s">
        <v>999</v>
      </c>
      <c r="D1252" s="979">
        <v>8</v>
      </c>
      <c r="E1252" s="979">
        <v>2191</v>
      </c>
      <c r="F1252" s="979" t="s">
        <v>4916</v>
      </c>
      <c r="G1252" s="979" t="s">
        <v>4914</v>
      </c>
      <c r="H1252" s="979">
        <v>1734000</v>
      </c>
      <c r="I1252" s="979">
        <v>397409</v>
      </c>
      <c r="J1252" s="979">
        <v>0.13213439765501667</v>
      </c>
      <c r="K1252" s="979">
        <v>229121.0455337989</v>
      </c>
      <c r="L1252" s="979">
        <v>229121.0455337989</v>
      </c>
      <c r="M1252" s="979">
        <v>599</v>
      </c>
    </row>
    <row r="1253" spans="1:13" ht="15">
      <c r="A1253" s="979" t="s">
        <v>3556</v>
      </c>
      <c r="B1253" s="1040" t="str">
        <f>CONCATENATE(LEFT(RIGHT(CONCATENATE("000",IFAData_TEA_1617!A1253),6),3),"-",(RIGHT(RIGHT(CONCATENATE("000",IFAData_TEA_1617!A1253),6),3)))</f>
        <v>108-909</v>
      </c>
      <c r="C1253" s="979" t="s">
        <v>999</v>
      </c>
      <c r="D1253" s="979">
        <v>10</v>
      </c>
      <c r="E1253" s="979">
        <v>2195</v>
      </c>
      <c r="F1253" s="979" t="s">
        <v>4918</v>
      </c>
      <c r="G1253" s="979" t="s">
        <v>4918</v>
      </c>
      <c r="H1253" s="979">
        <v>5985990</v>
      </c>
      <c r="I1253" s="979">
        <v>4530775</v>
      </c>
      <c r="J1253" s="979">
        <v>0.52596535862612093</v>
      </c>
      <c r="K1253" s="979">
        <v>3148423.3770823735</v>
      </c>
      <c r="L1253" s="979">
        <v>3148423.3770823735</v>
      </c>
      <c r="M1253" s="979">
        <v>599</v>
      </c>
    </row>
    <row r="1254" spans="1:13" ht="15">
      <c r="A1254" s="979" t="s">
        <v>3556</v>
      </c>
      <c r="B1254" s="1040" t="str">
        <f>CONCATENATE(LEFT(RIGHT(CONCATENATE("000",IFAData_TEA_1617!A1254),6),3),"-",(RIGHT(RIGHT(CONCATENATE("000",IFAData_TEA_1617!A1254),6),3)))</f>
        <v>108-909</v>
      </c>
      <c r="C1254" s="979" t="s">
        <v>999</v>
      </c>
      <c r="D1254" s="979">
        <v>1</v>
      </c>
      <c r="E1254" s="979">
        <v>2192</v>
      </c>
      <c r="F1254" s="979" t="s">
        <v>4912</v>
      </c>
      <c r="G1254" s="979" t="s">
        <v>4912</v>
      </c>
      <c r="H1254" s="979">
        <v>3945431</v>
      </c>
      <c r="I1254" s="979">
        <v>0</v>
      </c>
      <c r="J1254" s="979">
        <v>0</v>
      </c>
      <c r="K1254" s="979">
        <v>0</v>
      </c>
      <c r="L1254" s="979">
        <v>0</v>
      </c>
      <c r="M1254" s="979">
        <v>599</v>
      </c>
    </row>
    <row r="1255" spans="1:13" ht="15">
      <c r="A1255" s="979" t="s">
        <v>3556</v>
      </c>
      <c r="B1255" s="1040" t="str">
        <f>CONCATENATE(LEFT(RIGHT(CONCATENATE("000",IFAData_TEA_1617!A1255),6),3),"-",(RIGHT(RIGHT(CONCATENATE("000",IFAData_TEA_1617!A1255),6),3)))</f>
        <v>108-909</v>
      </c>
      <c r="C1255" s="979" t="s">
        <v>999</v>
      </c>
      <c r="D1255" s="979">
        <v>10</v>
      </c>
      <c r="E1255" s="979">
        <v>2195</v>
      </c>
      <c r="F1255" s="979" t="s">
        <v>4918</v>
      </c>
      <c r="G1255" s="979" t="s">
        <v>6479</v>
      </c>
      <c r="H1255" s="979">
        <v>5985990</v>
      </c>
      <c r="I1255" s="979">
        <v>4083433</v>
      </c>
      <c r="J1255" s="979">
        <v>0.47403464137387907</v>
      </c>
      <c r="K1255" s="979">
        <v>2837566.6229176265</v>
      </c>
      <c r="L1255" s="979">
        <v>2837566.6229176265</v>
      </c>
      <c r="M1255" s="979">
        <v>599</v>
      </c>
    </row>
    <row r="1256" spans="1:13" ht="15">
      <c r="A1256" s="979" t="s">
        <v>3556</v>
      </c>
      <c r="B1256" s="1040" t="str">
        <f>CONCATENATE(LEFT(RIGHT(CONCATENATE("000",IFAData_TEA_1617!A1256),6),3),"-",(RIGHT(RIGHT(CONCATENATE("000",IFAData_TEA_1617!A1256),6),3)))</f>
        <v>108-909</v>
      </c>
      <c r="C1256" s="979" t="s">
        <v>999</v>
      </c>
      <c r="D1256" s="979">
        <v>4</v>
      </c>
      <c r="E1256" s="979">
        <v>2193</v>
      </c>
      <c r="F1256" s="979" t="s">
        <v>4915</v>
      </c>
      <c r="G1256" s="979" t="s">
        <v>4915</v>
      </c>
      <c r="H1256" s="979">
        <v>4254043</v>
      </c>
      <c r="I1256" s="979">
        <v>0</v>
      </c>
      <c r="J1256" s="979">
        <v>0</v>
      </c>
      <c r="K1256" s="979">
        <v>0</v>
      </c>
      <c r="L1256" s="979">
        <v>0</v>
      </c>
      <c r="M1256" s="979">
        <v>599</v>
      </c>
    </row>
    <row r="1257" spans="1:13" ht="15">
      <c r="A1257" s="979" t="s">
        <v>3556</v>
      </c>
      <c r="B1257" s="1040" t="str">
        <f>CONCATENATE(LEFT(RIGHT(CONCATENATE("000",IFAData_TEA_1617!A1257),6),3),"-",(RIGHT(RIGHT(CONCATENATE("000",IFAData_TEA_1617!A1257),6),3)))</f>
        <v>108-909</v>
      </c>
      <c r="C1257" s="979" t="s">
        <v>999</v>
      </c>
      <c r="D1257" s="979">
        <v>9</v>
      </c>
      <c r="E1257" s="979">
        <v>2196</v>
      </c>
      <c r="F1257" s="979" t="s">
        <v>4917</v>
      </c>
      <c r="G1257" s="979" t="s">
        <v>4917</v>
      </c>
      <c r="H1257" s="979">
        <v>6721621</v>
      </c>
      <c r="I1257" s="979">
        <v>4040375</v>
      </c>
      <c r="J1257" s="979">
        <v>0.39004129709902818</v>
      </c>
      <c r="K1257" s="979">
        <v>2621709.7734480668</v>
      </c>
      <c r="L1257" s="979">
        <v>2621709.7734480668</v>
      </c>
      <c r="M1257" s="979">
        <v>599</v>
      </c>
    </row>
    <row r="1258" spans="1:13" ht="15">
      <c r="A1258" s="979" t="s">
        <v>3556</v>
      </c>
      <c r="B1258" s="1040" t="str">
        <f>CONCATENATE(LEFT(RIGHT(CONCATENATE("000",IFAData_TEA_1617!A1258),6),3),"-",(RIGHT(RIGHT(CONCATENATE("000",IFAData_TEA_1617!A1258),6),3)))</f>
        <v>108-909</v>
      </c>
      <c r="C1258" s="979" t="s">
        <v>999</v>
      </c>
      <c r="D1258" s="979">
        <v>4</v>
      </c>
      <c r="E1258" s="979">
        <v>2193</v>
      </c>
      <c r="F1258" s="979" t="s">
        <v>4915</v>
      </c>
      <c r="G1258" s="979" t="s">
        <v>6479</v>
      </c>
      <c r="H1258" s="979">
        <v>4254043</v>
      </c>
      <c r="I1258" s="979">
        <v>1695269</v>
      </c>
      <c r="J1258" s="979">
        <v>0.28893186482656785</v>
      </c>
      <c r="K1258" s="979">
        <v>1229128.5770424071</v>
      </c>
      <c r="L1258" s="979">
        <v>1229128.5770424071</v>
      </c>
      <c r="M1258" s="979">
        <v>599</v>
      </c>
    </row>
    <row r="1259" spans="1:13" ht="15">
      <c r="A1259" s="979" t="s">
        <v>3556</v>
      </c>
      <c r="B1259" s="1040" t="str">
        <f>CONCATENATE(LEFT(RIGHT(CONCATENATE("000",IFAData_TEA_1617!A1259),6),3),"-",(RIGHT(RIGHT(CONCATENATE("000",IFAData_TEA_1617!A1259),6),3)))</f>
        <v>108-909</v>
      </c>
      <c r="C1259" s="979" t="s">
        <v>999</v>
      </c>
      <c r="D1259" s="979">
        <v>9</v>
      </c>
      <c r="E1259" s="979">
        <v>2196</v>
      </c>
      <c r="F1259" s="979" t="s">
        <v>4917</v>
      </c>
      <c r="G1259" s="979" t="s">
        <v>6479</v>
      </c>
      <c r="H1259" s="979">
        <v>6721621</v>
      </c>
      <c r="I1259" s="979">
        <v>4050112</v>
      </c>
      <c r="J1259" s="979">
        <v>0.39098126730225269</v>
      </c>
      <c r="K1259" s="979">
        <v>2628027.8969054352</v>
      </c>
      <c r="L1259" s="979">
        <v>2628027.8969054352</v>
      </c>
      <c r="M1259" s="979">
        <v>599</v>
      </c>
    </row>
    <row r="1260" spans="1:13" ht="15">
      <c r="A1260" s="979" t="s">
        <v>3556</v>
      </c>
      <c r="B1260" s="1040" t="str">
        <f>CONCATENATE(LEFT(RIGHT(CONCATENATE("000",IFAData_TEA_1617!A1260),6),3),"-",(RIGHT(RIGHT(CONCATENATE("000",IFAData_TEA_1617!A1260),6),3)))</f>
        <v>108-909</v>
      </c>
      <c r="C1260" s="979" t="s">
        <v>999</v>
      </c>
      <c r="D1260" s="979">
        <v>8</v>
      </c>
      <c r="E1260" s="979">
        <v>2191</v>
      </c>
      <c r="F1260" s="979" t="s">
        <v>4916</v>
      </c>
      <c r="G1260" s="979" t="s">
        <v>6479</v>
      </c>
      <c r="H1260" s="979">
        <v>1734000</v>
      </c>
      <c r="I1260" s="979">
        <v>1132007</v>
      </c>
      <c r="J1260" s="979">
        <v>0.37638066346323928</v>
      </c>
      <c r="K1260" s="979">
        <v>652644.07044525689</v>
      </c>
      <c r="L1260" s="979">
        <v>652644.07044525689</v>
      </c>
      <c r="M1260" s="979">
        <v>599</v>
      </c>
    </row>
    <row r="1261" spans="1:13" ht="15">
      <c r="A1261" s="979" t="s">
        <v>3556</v>
      </c>
      <c r="B1261" s="1040" t="str">
        <f>CONCATENATE(LEFT(RIGHT(CONCATENATE("000",IFAData_TEA_1617!A1261),6),3),"-",(RIGHT(RIGHT(CONCATENATE("000",IFAData_TEA_1617!A1261),6),3)))</f>
        <v>108-909</v>
      </c>
      <c r="C1261" s="979" t="s">
        <v>999</v>
      </c>
      <c r="D1261" s="979">
        <v>8</v>
      </c>
      <c r="E1261" s="979">
        <v>2194</v>
      </c>
      <c r="F1261" s="979" t="s">
        <v>4913</v>
      </c>
      <c r="G1261" s="979" t="s">
        <v>6479</v>
      </c>
      <c r="H1261" s="979">
        <v>4319089</v>
      </c>
      <c r="I1261" s="979">
        <v>967706</v>
      </c>
      <c r="J1261" s="979">
        <v>0.18662430602107952</v>
      </c>
      <c r="K1261" s="979">
        <v>806046.98726827826</v>
      </c>
      <c r="L1261" s="979">
        <v>806046.98726827826</v>
      </c>
      <c r="M1261" s="979">
        <v>599</v>
      </c>
    </row>
    <row r="1262" spans="1:13" ht="15">
      <c r="A1262" s="979" t="s">
        <v>3557</v>
      </c>
      <c r="B1262" s="1040" t="str">
        <f>CONCATENATE(LEFT(RIGHT(CONCATENATE("000",IFAData_TEA_1617!A1262),6),3),"-",(RIGHT(RIGHT(CONCATENATE("000",IFAData_TEA_1617!A1262),6),3)))</f>
        <v>108-910</v>
      </c>
      <c r="C1262" s="979" t="s">
        <v>75</v>
      </c>
      <c r="D1262" s="979">
        <v>8</v>
      </c>
      <c r="E1262" s="979">
        <v>2221</v>
      </c>
      <c r="F1262" s="979" t="s">
        <v>4926</v>
      </c>
      <c r="G1262" s="979" t="s">
        <v>4926</v>
      </c>
      <c r="H1262" s="979">
        <v>486219</v>
      </c>
      <c r="I1262" s="979">
        <v>483491</v>
      </c>
      <c r="J1262" s="979">
        <v>1</v>
      </c>
      <c r="K1262" s="979">
        <v>486219</v>
      </c>
      <c r="L1262" s="979">
        <v>483491</v>
      </c>
      <c r="M1262" s="979">
        <v>599</v>
      </c>
    </row>
    <row r="1263" spans="1:13" ht="15">
      <c r="A1263" s="979" t="s">
        <v>3557</v>
      </c>
      <c r="B1263" s="1040" t="str">
        <f>CONCATENATE(LEFT(RIGHT(CONCATENATE("000",IFAData_TEA_1617!A1263),6),3),"-",(RIGHT(RIGHT(CONCATENATE("000",IFAData_TEA_1617!A1263),6),3)))</f>
        <v>108-910</v>
      </c>
      <c r="C1263" s="979" t="s">
        <v>75</v>
      </c>
      <c r="D1263" s="979">
        <v>7</v>
      </c>
      <c r="E1263" s="979">
        <v>2217</v>
      </c>
      <c r="F1263" s="979" t="s">
        <v>4924</v>
      </c>
      <c r="G1263" s="979" t="s">
        <v>4925</v>
      </c>
      <c r="H1263" s="979">
        <v>267450</v>
      </c>
      <c r="I1263" s="979">
        <v>229475</v>
      </c>
      <c r="J1263" s="979">
        <v>1</v>
      </c>
      <c r="K1263" s="979">
        <v>267450</v>
      </c>
      <c r="L1263" s="979">
        <v>229475</v>
      </c>
      <c r="M1263" s="979">
        <v>599</v>
      </c>
    </row>
    <row r="1264" spans="1:13" ht="15">
      <c r="A1264" s="979" t="s">
        <v>3557</v>
      </c>
      <c r="B1264" s="1040" t="str">
        <f>CONCATENATE(LEFT(RIGHT(CONCATENATE("000",IFAData_TEA_1617!A1264),6),3),"-",(RIGHT(RIGHT(CONCATENATE("000",IFAData_TEA_1617!A1264),6),3)))</f>
        <v>108-910</v>
      </c>
      <c r="C1264" s="979" t="s">
        <v>75</v>
      </c>
      <c r="D1264" s="979">
        <v>1</v>
      </c>
      <c r="E1264" s="979">
        <v>2218</v>
      </c>
      <c r="F1264" s="979" t="s">
        <v>4919</v>
      </c>
      <c r="G1264" s="979" t="s">
        <v>4919</v>
      </c>
      <c r="H1264" s="979">
        <v>426618</v>
      </c>
      <c r="I1264" s="979">
        <v>0</v>
      </c>
      <c r="J1264" s="979">
        <v>0</v>
      </c>
      <c r="K1264" s="979">
        <v>0</v>
      </c>
      <c r="L1264" s="979">
        <v>0</v>
      </c>
      <c r="M1264" s="979">
        <v>599</v>
      </c>
    </row>
    <row r="1265" spans="1:13" ht="15">
      <c r="A1265" s="979" t="s">
        <v>3557</v>
      </c>
      <c r="B1265" s="1040" t="str">
        <f>CONCATENATE(LEFT(RIGHT(CONCATENATE("000",IFAData_TEA_1617!A1265),6),3),"-",(RIGHT(RIGHT(CONCATENATE("000",IFAData_TEA_1617!A1265),6),3)))</f>
        <v>108-910</v>
      </c>
      <c r="C1265" s="979" t="s">
        <v>75</v>
      </c>
      <c r="D1265" s="979">
        <v>6</v>
      </c>
      <c r="E1265" s="979">
        <v>2220</v>
      </c>
      <c r="F1265" s="979" t="s">
        <v>4921</v>
      </c>
      <c r="G1265" s="979" t="s">
        <v>4923</v>
      </c>
      <c r="H1265" s="979">
        <v>448118</v>
      </c>
      <c r="I1265" s="979">
        <v>0</v>
      </c>
      <c r="J1265" s="979">
        <v>0</v>
      </c>
      <c r="K1265" s="979">
        <v>0</v>
      </c>
      <c r="L1265" s="979">
        <v>0</v>
      </c>
      <c r="M1265" s="979">
        <v>599</v>
      </c>
    </row>
    <row r="1266" spans="1:13" ht="15">
      <c r="A1266" s="979" t="s">
        <v>3557</v>
      </c>
      <c r="B1266" s="1040" t="str">
        <f>CONCATENATE(LEFT(RIGHT(CONCATENATE("000",IFAData_TEA_1617!A1266),6),3),"-",(RIGHT(RIGHT(CONCATENATE("000",IFAData_TEA_1617!A1266),6),3)))</f>
        <v>108-910</v>
      </c>
      <c r="C1266" s="979" t="s">
        <v>75</v>
      </c>
      <c r="D1266" s="979">
        <v>6</v>
      </c>
      <c r="E1266" s="979">
        <v>2220</v>
      </c>
      <c r="F1266" s="979" t="s">
        <v>4921</v>
      </c>
      <c r="G1266" s="979" t="s">
        <v>4922</v>
      </c>
      <c r="H1266" s="979">
        <v>448118</v>
      </c>
      <c r="I1266" s="979">
        <v>431063</v>
      </c>
      <c r="J1266" s="979">
        <v>1</v>
      </c>
      <c r="K1266" s="979">
        <v>448118</v>
      </c>
      <c r="L1266" s="979">
        <v>431063</v>
      </c>
      <c r="M1266" s="979">
        <v>599</v>
      </c>
    </row>
    <row r="1267" spans="1:13" ht="15">
      <c r="A1267" s="979" t="s">
        <v>3557</v>
      </c>
      <c r="B1267" s="1040" t="str">
        <f>CONCATENATE(LEFT(RIGHT(CONCATENATE("000",IFAData_TEA_1617!A1267),6),3),"-",(RIGHT(RIGHT(CONCATENATE("000",IFAData_TEA_1617!A1267),6),3)))</f>
        <v>108-910</v>
      </c>
      <c r="C1267" s="979" t="s">
        <v>75</v>
      </c>
      <c r="D1267" s="979">
        <v>10</v>
      </c>
      <c r="E1267" s="979">
        <v>2219</v>
      </c>
      <c r="F1267" s="979" t="s">
        <v>4927</v>
      </c>
      <c r="G1267" s="979" t="s">
        <v>4927</v>
      </c>
      <c r="H1267" s="979">
        <v>428983</v>
      </c>
      <c r="I1267" s="979">
        <v>474219</v>
      </c>
      <c r="J1267" s="979">
        <v>1</v>
      </c>
      <c r="K1267" s="979">
        <v>428983</v>
      </c>
      <c r="L1267" s="979">
        <v>428983</v>
      </c>
      <c r="M1267" s="979">
        <v>599</v>
      </c>
    </row>
    <row r="1268" spans="1:13" ht="15">
      <c r="A1268" s="979" t="s">
        <v>3557</v>
      </c>
      <c r="B1268" s="1040" t="str">
        <f>CONCATENATE(LEFT(RIGHT(CONCATENATE("000",IFAData_TEA_1617!A1268),6),3),"-",(RIGHT(RIGHT(CONCATENATE("000",IFAData_TEA_1617!A1268),6),3)))</f>
        <v>108-910</v>
      </c>
      <c r="C1268" s="979" t="s">
        <v>75</v>
      </c>
      <c r="D1268" s="979">
        <v>1</v>
      </c>
      <c r="E1268" s="979">
        <v>2218</v>
      </c>
      <c r="F1268" s="979" t="s">
        <v>4919</v>
      </c>
      <c r="G1268" s="979" t="s">
        <v>4920</v>
      </c>
      <c r="H1268" s="979">
        <v>426618</v>
      </c>
      <c r="I1268" s="979">
        <v>400600</v>
      </c>
      <c r="J1268" s="979">
        <v>1</v>
      </c>
      <c r="K1268" s="979">
        <v>426618</v>
      </c>
      <c r="L1268" s="979">
        <v>400600</v>
      </c>
      <c r="M1268" s="979">
        <v>599</v>
      </c>
    </row>
    <row r="1269" spans="1:13" ht="15">
      <c r="A1269" s="979" t="s">
        <v>3557</v>
      </c>
      <c r="B1269" s="1040" t="str">
        <f>CONCATENATE(LEFT(RIGHT(CONCATENATE("000",IFAData_TEA_1617!A1269),6),3),"-",(RIGHT(RIGHT(CONCATENATE("000",IFAData_TEA_1617!A1269),6),3)))</f>
        <v>108-910</v>
      </c>
      <c r="C1269" s="979" t="s">
        <v>75</v>
      </c>
      <c r="D1269" s="979">
        <v>7</v>
      </c>
      <c r="E1269" s="979">
        <v>2217</v>
      </c>
      <c r="F1269" s="979" t="s">
        <v>4924</v>
      </c>
      <c r="G1269" s="979" t="s">
        <v>4924</v>
      </c>
      <c r="H1269" s="979">
        <v>267450</v>
      </c>
      <c r="I1269" s="979">
        <v>0</v>
      </c>
      <c r="J1269" s="979">
        <v>0</v>
      </c>
      <c r="K1269" s="979">
        <v>0</v>
      </c>
      <c r="L1269" s="979">
        <v>0</v>
      </c>
      <c r="M1269" s="979">
        <v>599</v>
      </c>
    </row>
    <row r="1270" spans="1:13" ht="15">
      <c r="A1270" s="979" t="s">
        <v>3557</v>
      </c>
      <c r="B1270" s="1040" t="str">
        <f>CONCATENATE(LEFT(RIGHT(CONCATENATE("000",IFAData_TEA_1617!A1270),6),3),"-",(RIGHT(RIGHT(CONCATENATE("000",IFAData_TEA_1617!A1270),6),3)))</f>
        <v>108-910</v>
      </c>
      <c r="C1270" s="979" t="s">
        <v>75</v>
      </c>
      <c r="D1270" s="979">
        <v>6</v>
      </c>
      <c r="E1270" s="979">
        <v>2220</v>
      </c>
      <c r="F1270" s="979" t="s">
        <v>4921</v>
      </c>
      <c r="G1270" s="979" t="s">
        <v>4921</v>
      </c>
      <c r="H1270" s="979">
        <v>448118</v>
      </c>
      <c r="I1270" s="979">
        <v>0</v>
      </c>
      <c r="J1270" s="979">
        <v>0</v>
      </c>
      <c r="K1270" s="979">
        <v>0</v>
      </c>
      <c r="L1270" s="979">
        <v>0</v>
      </c>
      <c r="M1270" s="979">
        <v>599</v>
      </c>
    </row>
    <row r="1271" spans="1:13" ht="15">
      <c r="A1271" s="979" t="s">
        <v>3558</v>
      </c>
      <c r="B1271" s="1040" t="str">
        <f>CONCATENATE(LEFT(RIGHT(CONCATENATE("000",IFAData_TEA_1617!A1271),6),3),"-",(RIGHT(RIGHT(CONCATENATE("000",IFAData_TEA_1617!A1271),6),3)))</f>
        <v>108-911</v>
      </c>
      <c r="C1271" s="979" t="s">
        <v>2602</v>
      </c>
      <c r="D1271" s="979">
        <v>10</v>
      </c>
      <c r="E1271" s="979">
        <v>2327</v>
      </c>
      <c r="F1271" s="979" t="s">
        <v>4928</v>
      </c>
      <c r="G1271" s="979" t="s">
        <v>4928</v>
      </c>
      <c r="H1271" s="979">
        <v>570407</v>
      </c>
      <c r="I1271" s="979">
        <v>566756</v>
      </c>
      <c r="J1271" s="979">
        <v>1</v>
      </c>
      <c r="K1271" s="979">
        <v>570407</v>
      </c>
      <c r="L1271" s="979">
        <v>566756</v>
      </c>
      <c r="M1271" s="979">
        <v>599</v>
      </c>
    </row>
    <row r="1272" spans="1:13" ht="15">
      <c r="A1272" s="979" t="s">
        <v>3559</v>
      </c>
      <c r="B1272" s="1040" t="str">
        <f>CONCATENATE(LEFT(RIGHT(CONCATENATE("000",IFAData_TEA_1617!A1272),6),3),"-",(RIGHT(RIGHT(CONCATENATE("000",IFAData_TEA_1617!A1272),6),3)))</f>
        <v>108-912</v>
      </c>
      <c r="C1272" s="979" t="s">
        <v>1897</v>
      </c>
      <c r="D1272" s="979">
        <v>4</v>
      </c>
      <c r="E1272" s="979">
        <v>1982</v>
      </c>
      <c r="F1272" s="979" t="s">
        <v>4933</v>
      </c>
      <c r="G1272" s="979" t="s">
        <v>6270</v>
      </c>
      <c r="H1272" s="979">
        <v>3469419</v>
      </c>
      <c r="I1272" s="979">
        <v>265999</v>
      </c>
      <c r="J1272" s="979">
        <v>6.8856679718421715E-2</v>
      </c>
      <c r="K1272" s="979">
        <v>238892.67289200696</v>
      </c>
      <c r="L1272" s="979">
        <v>238892.67289200696</v>
      </c>
      <c r="M1272" s="979">
        <v>599</v>
      </c>
    </row>
    <row r="1273" spans="1:13" ht="15">
      <c r="A1273" s="979" t="s">
        <v>3559</v>
      </c>
      <c r="B1273" s="1040" t="str">
        <f>CONCATENATE(LEFT(RIGHT(CONCATENATE("000",IFAData_TEA_1617!A1273),6),3),"-",(RIGHT(RIGHT(CONCATENATE("000",IFAData_TEA_1617!A1273),6),3)))</f>
        <v>108-912</v>
      </c>
      <c r="C1273" s="979" t="s">
        <v>1897</v>
      </c>
      <c r="D1273" s="979">
        <v>9</v>
      </c>
      <c r="E1273" s="979">
        <v>1985</v>
      </c>
      <c r="F1273" s="979" t="s">
        <v>4939</v>
      </c>
      <c r="G1273" s="979" t="s">
        <v>6270</v>
      </c>
      <c r="H1273" s="979">
        <v>5948498</v>
      </c>
      <c r="I1273" s="979">
        <v>1016050</v>
      </c>
      <c r="J1273" s="979">
        <v>0.1827522720601355</v>
      </c>
      <c r="K1273" s="979">
        <v>1087101.524845172</v>
      </c>
      <c r="L1273" s="979">
        <v>1016050</v>
      </c>
      <c r="M1273" s="979">
        <v>599</v>
      </c>
    </row>
    <row r="1274" spans="1:13" ht="15">
      <c r="A1274" s="979" t="s">
        <v>3559</v>
      </c>
      <c r="B1274" s="1040" t="str">
        <f>CONCATENATE(LEFT(RIGHT(CONCATENATE("000",IFAData_TEA_1617!A1274),6),3),"-",(RIGHT(RIGHT(CONCATENATE("000",IFAData_TEA_1617!A1274),6),3)))</f>
        <v>108-912</v>
      </c>
      <c r="C1274" s="979" t="s">
        <v>1897</v>
      </c>
      <c r="D1274" s="979">
        <v>8</v>
      </c>
      <c r="E1274" s="979">
        <v>1984</v>
      </c>
      <c r="F1274" s="979" t="s">
        <v>4937</v>
      </c>
      <c r="G1274" s="979" t="s">
        <v>4937</v>
      </c>
      <c r="H1274" s="979">
        <v>5556579</v>
      </c>
      <c r="I1274" s="979">
        <v>0</v>
      </c>
      <c r="J1274" s="979">
        <v>0</v>
      </c>
      <c r="K1274" s="979">
        <v>0</v>
      </c>
      <c r="L1274" s="979">
        <v>0</v>
      </c>
      <c r="M1274" s="979">
        <v>599</v>
      </c>
    </row>
    <row r="1275" spans="1:13" ht="15">
      <c r="A1275" s="979" t="s">
        <v>3559</v>
      </c>
      <c r="B1275" s="1040" t="str">
        <f>CONCATENATE(LEFT(RIGHT(CONCATENATE("000",IFAData_TEA_1617!A1275),6),3),"-",(RIGHT(RIGHT(CONCATENATE("000",IFAData_TEA_1617!A1275),6),3)))</f>
        <v>108-912</v>
      </c>
      <c r="C1275" s="979" t="s">
        <v>1897</v>
      </c>
      <c r="D1275" s="979">
        <v>8</v>
      </c>
      <c r="E1275" s="979">
        <v>1984</v>
      </c>
      <c r="F1275" s="979" t="s">
        <v>4937</v>
      </c>
      <c r="G1275" s="979" t="s">
        <v>6270</v>
      </c>
      <c r="H1275" s="979">
        <v>5556579</v>
      </c>
      <c r="I1275" s="979">
        <v>2052097</v>
      </c>
      <c r="J1275" s="979">
        <v>0.39653971683146505</v>
      </c>
      <c r="K1275" s="979">
        <v>2203404.2632116652</v>
      </c>
      <c r="L1275" s="979">
        <v>2052097</v>
      </c>
      <c r="M1275" s="979">
        <v>599</v>
      </c>
    </row>
    <row r="1276" spans="1:13" ht="15">
      <c r="A1276" s="979" t="s">
        <v>3559</v>
      </c>
      <c r="B1276" s="1040" t="str">
        <f>CONCATENATE(LEFT(RIGHT(CONCATENATE("000",IFAData_TEA_1617!A1276),6),3),"-",(RIGHT(RIGHT(CONCATENATE("000",IFAData_TEA_1617!A1276),6),3)))</f>
        <v>108-912</v>
      </c>
      <c r="C1276" s="979" t="s">
        <v>1897</v>
      </c>
      <c r="D1276" s="979">
        <v>2</v>
      </c>
      <c r="E1276" s="979">
        <v>1981</v>
      </c>
      <c r="F1276" s="979" t="s">
        <v>4929</v>
      </c>
      <c r="G1276" s="979" t="s">
        <v>4932</v>
      </c>
      <c r="H1276" s="979">
        <v>3415997</v>
      </c>
      <c r="I1276" s="979">
        <v>1737740</v>
      </c>
      <c r="J1276" s="979">
        <v>0.48669237727943626</v>
      </c>
      <c r="K1276" s="979">
        <v>1662539.7007094224</v>
      </c>
      <c r="L1276" s="979">
        <v>1662539.7007094224</v>
      </c>
      <c r="M1276" s="979">
        <v>599</v>
      </c>
    </row>
    <row r="1277" spans="1:13" ht="15">
      <c r="A1277" s="979" t="s">
        <v>3559</v>
      </c>
      <c r="B1277" s="1040" t="str">
        <f>CONCATENATE(LEFT(RIGHT(CONCATENATE("000",IFAData_TEA_1617!A1277),6),3),"-",(RIGHT(RIGHT(CONCATENATE("000",IFAData_TEA_1617!A1277),6),3)))</f>
        <v>108-912</v>
      </c>
      <c r="C1277" s="979" t="s">
        <v>1897</v>
      </c>
      <c r="D1277" s="979">
        <v>4</v>
      </c>
      <c r="E1277" s="979">
        <v>1982</v>
      </c>
      <c r="F1277" s="979" t="s">
        <v>4933</v>
      </c>
      <c r="G1277" s="979" t="s">
        <v>4932</v>
      </c>
      <c r="H1277" s="979">
        <v>3469419</v>
      </c>
      <c r="I1277" s="979">
        <v>3597083</v>
      </c>
      <c r="J1277" s="979">
        <v>0.93114332028157831</v>
      </c>
      <c r="K1277" s="979">
        <v>3230526.327107993</v>
      </c>
      <c r="L1277" s="979">
        <v>3230526.327107993</v>
      </c>
      <c r="M1277" s="979">
        <v>599</v>
      </c>
    </row>
    <row r="1278" spans="1:13" ht="15">
      <c r="A1278" s="979" t="s">
        <v>3559</v>
      </c>
      <c r="B1278" s="1040" t="str">
        <f>CONCATENATE(LEFT(RIGHT(CONCATENATE("000",IFAData_TEA_1617!A1278),6),3),"-",(RIGHT(RIGHT(CONCATENATE("000",IFAData_TEA_1617!A1278),6),3)))</f>
        <v>108-912</v>
      </c>
      <c r="C1278" s="979" t="s">
        <v>1897</v>
      </c>
      <c r="D1278" s="979">
        <v>8</v>
      </c>
      <c r="E1278" s="979">
        <v>1984</v>
      </c>
      <c r="F1278" s="979" t="s">
        <v>4937</v>
      </c>
      <c r="G1278" s="979" t="s">
        <v>4938</v>
      </c>
      <c r="H1278" s="979">
        <v>5556579</v>
      </c>
      <c r="I1278" s="979">
        <v>1773863</v>
      </c>
      <c r="J1278" s="979">
        <v>0.34277479657044141</v>
      </c>
      <c r="K1278" s="979">
        <v>1904655.2363525867</v>
      </c>
      <c r="L1278" s="979">
        <v>1773863</v>
      </c>
      <c r="M1278" s="979">
        <v>599</v>
      </c>
    </row>
    <row r="1279" spans="1:13" ht="15">
      <c r="A1279" s="979" t="s">
        <v>3559</v>
      </c>
      <c r="B1279" s="1040" t="str">
        <f>CONCATENATE(LEFT(RIGHT(CONCATENATE("000",IFAData_TEA_1617!A1279),6),3),"-",(RIGHT(RIGHT(CONCATENATE("000",IFAData_TEA_1617!A1279),6),3)))</f>
        <v>108-912</v>
      </c>
      <c r="C1279" s="979" t="s">
        <v>1897</v>
      </c>
      <c r="D1279" s="979">
        <v>9</v>
      </c>
      <c r="E1279" s="979">
        <v>1985</v>
      </c>
      <c r="F1279" s="979" t="s">
        <v>4939</v>
      </c>
      <c r="G1279" s="979" t="s">
        <v>4938</v>
      </c>
      <c r="H1279" s="979">
        <v>5948498</v>
      </c>
      <c r="I1279" s="979">
        <v>2194187</v>
      </c>
      <c r="J1279" s="979">
        <v>0.39465839237715911</v>
      </c>
      <c r="K1279" s="979">
        <v>2347624.6577387461</v>
      </c>
      <c r="L1279" s="979">
        <v>2194187</v>
      </c>
      <c r="M1279" s="979">
        <v>599</v>
      </c>
    </row>
    <row r="1280" spans="1:13" ht="15">
      <c r="A1280" s="979" t="s">
        <v>3559</v>
      </c>
      <c r="B1280" s="1040" t="str">
        <f>CONCATENATE(LEFT(RIGHT(CONCATENATE("000",IFAData_TEA_1617!A1280),6),3),"-",(RIGHT(RIGHT(CONCATENATE("000",IFAData_TEA_1617!A1280),6),3)))</f>
        <v>108-912</v>
      </c>
      <c r="C1280" s="979" t="s">
        <v>1897</v>
      </c>
      <c r="D1280" s="979">
        <v>7</v>
      </c>
      <c r="E1280" s="979">
        <v>1983</v>
      </c>
      <c r="F1280" s="979" t="s">
        <v>4934</v>
      </c>
      <c r="G1280" s="979" t="s">
        <v>4936</v>
      </c>
      <c r="H1280" s="979">
        <v>5218175</v>
      </c>
      <c r="I1280" s="979">
        <v>1637625</v>
      </c>
      <c r="J1280" s="979">
        <v>0.43832929922718072</v>
      </c>
      <c r="K1280" s="979">
        <v>2287278.9909947938</v>
      </c>
      <c r="L1280" s="979">
        <v>1637625</v>
      </c>
      <c r="M1280" s="979">
        <v>599</v>
      </c>
    </row>
    <row r="1281" spans="1:13" ht="15">
      <c r="A1281" s="979" t="s">
        <v>3559</v>
      </c>
      <c r="B1281" s="1040" t="str">
        <f>CONCATENATE(LEFT(RIGHT(CONCATENATE("000",IFAData_TEA_1617!A1281),6),3),"-",(RIGHT(RIGHT(CONCATENATE("000",IFAData_TEA_1617!A1281),6),3)))</f>
        <v>108-912</v>
      </c>
      <c r="C1281" s="979" t="s">
        <v>1897</v>
      </c>
      <c r="D1281" s="979">
        <v>8</v>
      </c>
      <c r="E1281" s="979">
        <v>1984</v>
      </c>
      <c r="F1281" s="979" t="s">
        <v>4937</v>
      </c>
      <c r="G1281" s="979" t="s">
        <v>4936</v>
      </c>
      <c r="H1281" s="979">
        <v>5556579</v>
      </c>
      <c r="I1281" s="979">
        <v>1349050</v>
      </c>
      <c r="J1281" s="979">
        <v>0.26068548659809354</v>
      </c>
      <c r="K1281" s="979">
        <v>1448519.5004357479</v>
      </c>
      <c r="L1281" s="979">
        <v>1349050</v>
      </c>
      <c r="M1281" s="979">
        <v>599</v>
      </c>
    </row>
    <row r="1282" spans="1:13" ht="15">
      <c r="A1282" s="979" t="s">
        <v>3559</v>
      </c>
      <c r="B1282" s="1040" t="str">
        <f>CONCATENATE(LEFT(RIGHT(CONCATENATE("000",IFAData_TEA_1617!A1282),6),3),"-",(RIGHT(RIGHT(CONCATENATE("000",IFAData_TEA_1617!A1282),6),3)))</f>
        <v>108-912</v>
      </c>
      <c r="C1282" s="979" t="s">
        <v>1897</v>
      </c>
      <c r="D1282" s="979">
        <v>7</v>
      </c>
      <c r="E1282" s="979">
        <v>1983</v>
      </c>
      <c r="F1282" s="979" t="s">
        <v>4934</v>
      </c>
      <c r="G1282" s="979" t="s">
        <v>4935</v>
      </c>
      <c r="H1282" s="979">
        <v>5218175</v>
      </c>
      <c r="I1282" s="979">
        <v>785388</v>
      </c>
      <c r="J1282" s="979">
        <v>0.21021819504553058</v>
      </c>
      <c r="K1282" s="979">
        <v>1096955.3299317115</v>
      </c>
      <c r="L1282" s="979">
        <v>785388</v>
      </c>
      <c r="M1282" s="979">
        <v>599</v>
      </c>
    </row>
    <row r="1283" spans="1:13" ht="15">
      <c r="A1283" s="979" t="s">
        <v>3559</v>
      </c>
      <c r="B1283" s="1040" t="str">
        <f>CONCATENATE(LEFT(RIGHT(CONCATENATE("000",IFAData_TEA_1617!A1283),6),3),"-",(RIGHT(RIGHT(CONCATENATE("000",IFAData_TEA_1617!A1283),6),3)))</f>
        <v>108-912</v>
      </c>
      <c r="C1283" s="979" t="s">
        <v>1897</v>
      </c>
      <c r="D1283" s="979">
        <v>2</v>
      </c>
      <c r="E1283" s="979">
        <v>1981</v>
      </c>
      <c r="F1283" s="979" t="s">
        <v>4929</v>
      </c>
      <c r="G1283" s="979" t="s">
        <v>4930</v>
      </c>
      <c r="H1283" s="979">
        <v>3415997</v>
      </c>
      <c r="I1283" s="979">
        <v>0</v>
      </c>
      <c r="J1283" s="979">
        <v>0</v>
      </c>
      <c r="K1283" s="979">
        <v>0</v>
      </c>
      <c r="L1283" s="979">
        <v>0</v>
      </c>
      <c r="M1283" s="979">
        <v>599</v>
      </c>
    </row>
    <row r="1284" spans="1:13" ht="15">
      <c r="A1284" s="979" t="s">
        <v>3559</v>
      </c>
      <c r="B1284" s="1040" t="str">
        <f>CONCATENATE(LEFT(RIGHT(CONCATENATE("000",IFAData_TEA_1617!A1284),6),3),"-",(RIGHT(RIGHT(CONCATENATE("000",IFAData_TEA_1617!A1284),6),3)))</f>
        <v>108-912</v>
      </c>
      <c r="C1284" s="979" t="s">
        <v>1897</v>
      </c>
      <c r="D1284" s="979">
        <v>4</v>
      </c>
      <c r="E1284" s="979">
        <v>1982</v>
      </c>
      <c r="F1284" s="979" t="s">
        <v>4933</v>
      </c>
      <c r="G1284" s="979" t="s">
        <v>4930</v>
      </c>
      <c r="H1284" s="979">
        <v>3469419</v>
      </c>
      <c r="I1284" s="979">
        <v>0</v>
      </c>
      <c r="J1284" s="979">
        <v>0</v>
      </c>
      <c r="K1284" s="979">
        <v>0</v>
      </c>
      <c r="L1284" s="979">
        <v>0</v>
      </c>
      <c r="M1284" s="979">
        <v>599</v>
      </c>
    </row>
    <row r="1285" spans="1:13" ht="15">
      <c r="A1285" s="979" t="s">
        <v>3559</v>
      </c>
      <c r="B1285" s="1040" t="str">
        <f>CONCATENATE(LEFT(RIGHT(CONCATENATE("000",IFAData_TEA_1617!A1285),6),3),"-",(RIGHT(RIGHT(CONCATENATE("000",IFAData_TEA_1617!A1285),6),3)))</f>
        <v>108-912</v>
      </c>
      <c r="C1285" s="979" t="s">
        <v>1897</v>
      </c>
      <c r="D1285" s="979">
        <v>2</v>
      </c>
      <c r="E1285" s="979">
        <v>1981</v>
      </c>
      <c r="F1285" s="979" t="s">
        <v>4929</v>
      </c>
      <c r="G1285" s="979" t="s">
        <v>4931</v>
      </c>
      <c r="H1285" s="979">
        <v>3415997</v>
      </c>
      <c r="I1285" s="979">
        <v>1703165</v>
      </c>
      <c r="J1285" s="979">
        <v>0.47700888668565555</v>
      </c>
      <c r="K1285" s="979">
        <v>1629460.9258915393</v>
      </c>
      <c r="L1285" s="979">
        <v>1629460.9258915393</v>
      </c>
      <c r="M1285" s="979">
        <v>599</v>
      </c>
    </row>
    <row r="1286" spans="1:13" ht="15">
      <c r="A1286" s="979" t="s">
        <v>3559</v>
      </c>
      <c r="B1286" s="1040" t="str">
        <f>CONCATENATE(LEFT(RIGHT(CONCATENATE("000",IFAData_TEA_1617!A1286),6),3),"-",(RIGHT(RIGHT(CONCATENATE("000",IFAData_TEA_1617!A1286),6),3)))</f>
        <v>108-912</v>
      </c>
      <c r="C1286" s="979" t="s">
        <v>1897</v>
      </c>
      <c r="D1286" s="979">
        <v>7</v>
      </c>
      <c r="E1286" s="979">
        <v>1983</v>
      </c>
      <c r="F1286" s="979" t="s">
        <v>4934</v>
      </c>
      <c r="G1286" s="979" t="s">
        <v>4931</v>
      </c>
      <c r="H1286" s="979">
        <v>5218175</v>
      </c>
      <c r="I1286" s="979">
        <v>1313048</v>
      </c>
      <c r="J1286" s="979">
        <v>0.3514525057272887</v>
      </c>
      <c r="K1286" s="979">
        <v>1833940.6790734946</v>
      </c>
      <c r="L1286" s="979">
        <v>1313048</v>
      </c>
      <c r="M1286" s="979">
        <v>599</v>
      </c>
    </row>
    <row r="1287" spans="1:13" ht="15">
      <c r="A1287" s="979" t="s">
        <v>3559</v>
      </c>
      <c r="B1287" s="1040" t="str">
        <f>CONCATENATE(LEFT(RIGHT(CONCATENATE("000",IFAData_TEA_1617!A1287),6),3),"-",(RIGHT(RIGHT(CONCATENATE("000",IFAData_TEA_1617!A1287),6),3)))</f>
        <v>108-912</v>
      </c>
      <c r="C1287" s="979" t="s">
        <v>1897</v>
      </c>
      <c r="D1287" s="979">
        <v>4</v>
      </c>
      <c r="E1287" s="979">
        <v>1982</v>
      </c>
      <c r="F1287" s="979" t="s">
        <v>4933</v>
      </c>
      <c r="G1287" s="979" t="s">
        <v>4933</v>
      </c>
      <c r="H1287" s="979">
        <v>3469419</v>
      </c>
      <c r="I1287" s="979">
        <v>0</v>
      </c>
      <c r="J1287" s="979">
        <v>0</v>
      </c>
      <c r="K1287" s="979">
        <v>0</v>
      </c>
      <c r="L1287" s="979">
        <v>0</v>
      </c>
      <c r="M1287" s="979">
        <v>599</v>
      </c>
    </row>
    <row r="1288" spans="1:13" ht="15">
      <c r="A1288" s="979" t="s">
        <v>3559</v>
      </c>
      <c r="B1288" s="1040" t="str">
        <f>CONCATENATE(LEFT(RIGHT(CONCATENATE("000",IFAData_TEA_1617!A1288),6),3),"-",(RIGHT(RIGHT(CONCATENATE("000",IFAData_TEA_1617!A1288),6),3)))</f>
        <v>108-912</v>
      </c>
      <c r="C1288" s="979" t="s">
        <v>1897</v>
      </c>
      <c r="D1288" s="979">
        <v>7</v>
      </c>
      <c r="E1288" s="979">
        <v>1983</v>
      </c>
      <c r="F1288" s="979" t="s">
        <v>4934</v>
      </c>
      <c r="G1288" s="979" t="s">
        <v>4934</v>
      </c>
      <c r="H1288" s="979">
        <v>5218175</v>
      </c>
      <c r="I1288" s="979">
        <v>0</v>
      </c>
      <c r="J1288" s="979">
        <v>0</v>
      </c>
      <c r="K1288" s="979">
        <v>0</v>
      </c>
      <c r="L1288" s="979">
        <v>0</v>
      </c>
      <c r="M1288" s="979">
        <v>599</v>
      </c>
    </row>
    <row r="1289" spans="1:13" ht="15">
      <c r="A1289" s="979" t="s">
        <v>3559</v>
      </c>
      <c r="B1289" s="1040" t="str">
        <f>CONCATENATE(LEFT(RIGHT(CONCATENATE("000",IFAData_TEA_1617!A1289),6),3),"-",(RIGHT(RIGHT(CONCATENATE("000",IFAData_TEA_1617!A1289),6),3)))</f>
        <v>108-912</v>
      </c>
      <c r="C1289" s="979" t="s">
        <v>1897</v>
      </c>
      <c r="D1289" s="979">
        <v>2</v>
      </c>
      <c r="E1289" s="979">
        <v>1981</v>
      </c>
      <c r="F1289" s="979" t="s">
        <v>4929</v>
      </c>
      <c r="G1289" s="979" t="s">
        <v>4929</v>
      </c>
      <c r="H1289" s="979">
        <v>3415997</v>
      </c>
      <c r="I1289" s="979">
        <v>0</v>
      </c>
      <c r="J1289" s="979">
        <v>0</v>
      </c>
      <c r="K1289" s="979">
        <v>0</v>
      </c>
      <c r="L1289" s="979">
        <v>0</v>
      </c>
      <c r="M1289" s="979">
        <v>599</v>
      </c>
    </row>
    <row r="1290" spans="1:13" ht="15">
      <c r="A1290" s="979" t="s">
        <v>3559</v>
      </c>
      <c r="B1290" s="1040" t="str">
        <f>CONCATENATE(LEFT(RIGHT(CONCATENATE("000",IFAData_TEA_1617!A1290),6),3),"-",(RIGHT(RIGHT(CONCATENATE("000",IFAData_TEA_1617!A1290),6),3)))</f>
        <v>108-912</v>
      </c>
      <c r="C1290" s="979" t="s">
        <v>1897</v>
      </c>
      <c r="D1290" s="979">
        <v>9</v>
      </c>
      <c r="E1290" s="979">
        <v>1985</v>
      </c>
      <c r="F1290" s="979" t="s">
        <v>4939</v>
      </c>
      <c r="G1290" s="979" t="s">
        <v>4939</v>
      </c>
      <c r="H1290" s="979">
        <v>5948498</v>
      </c>
      <c r="I1290" s="979">
        <v>2349475</v>
      </c>
      <c r="J1290" s="979">
        <v>0.42258933556270539</v>
      </c>
      <c r="K1290" s="979">
        <v>2513771.8174160817</v>
      </c>
      <c r="L1290" s="979">
        <v>2349475</v>
      </c>
      <c r="M1290" s="979">
        <v>599</v>
      </c>
    </row>
    <row r="1291" spans="1:13" ht="15">
      <c r="A1291" s="979" t="s">
        <v>3559</v>
      </c>
      <c r="B1291" s="1040" t="str">
        <f>CONCATENATE(LEFT(RIGHT(CONCATENATE("000",IFAData_TEA_1617!A1291),6),3),"-",(RIGHT(RIGHT(CONCATENATE("000",IFAData_TEA_1617!A1291),6),3)))</f>
        <v>108-912</v>
      </c>
      <c r="C1291" s="979" t="s">
        <v>1897</v>
      </c>
      <c r="D1291" s="979">
        <v>2</v>
      </c>
      <c r="E1291" s="979">
        <v>1981</v>
      </c>
      <c r="F1291" s="979" t="s">
        <v>4929</v>
      </c>
      <c r="G1291" s="979" t="s">
        <v>6270</v>
      </c>
      <c r="H1291" s="979">
        <v>3415997</v>
      </c>
      <c r="I1291" s="979">
        <v>129605</v>
      </c>
      <c r="J1291" s="979">
        <v>3.6298736034908179E-2</v>
      </c>
      <c r="K1291" s="979">
        <v>123996.37339903823</v>
      </c>
      <c r="L1291" s="979">
        <v>123996.37339903823</v>
      </c>
      <c r="M1291" s="979">
        <v>599</v>
      </c>
    </row>
    <row r="1292" spans="1:13" ht="15">
      <c r="A1292" s="979" t="s">
        <v>3560</v>
      </c>
      <c r="B1292" s="1040" t="str">
        <f>CONCATENATE(LEFT(RIGHT(CONCATENATE("000",IFAData_TEA_1617!A1292),6),3),"-",(RIGHT(RIGHT(CONCATENATE("000",IFAData_TEA_1617!A1292),6),3)))</f>
        <v>108-913</v>
      </c>
      <c r="C1292" s="979" t="s">
        <v>141</v>
      </c>
      <c r="D1292" s="979">
        <v>8</v>
      </c>
      <c r="E1292" s="979">
        <v>2441</v>
      </c>
      <c r="F1292" s="979" t="s">
        <v>4942</v>
      </c>
      <c r="G1292" s="979" t="s">
        <v>6271</v>
      </c>
      <c r="H1292" s="979">
        <v>1506042</v>
      </c>
      <c r="I1292" s="979">
        <v>827250</v>
      </c>
      <c r="J1292" s="979">
        <v>1</v>
      </c>
      <c r="K1292" s="979">
        <v>1506042</v>
      </c>
      <c r="L1292" s="979">
        <v>827250</v>
      </c>
      <c r="M1292" s="979">
        <v>599</v>
      </c>
    </row>
    <row r="1293" spans="1:13" ht="15">
      <c r="A1293" s="979" t="s">
        <v>3560</v>
      </c>
      <c r="B1293" s="1040" t="str">
        <f>CONCATENATE(LEFT(RIGHT(CONCATENATE("000",IFAData_TEA_1617!A1293),6),3),"-",(RIGHT(RIGHT(CONCATENATE("000",IFAData_TEA_1617!A1293),6),3)))</f>
        <v>108-913</v>
      </c>
      <c r="C1293" s="979" t="s">
        <v>141</v>
      </c>
      <c r="D1293" s="979">
        <v>4</v>
      </c>
      <c r="E1293" s="979">
        <v>2440</v>
      </c>
      <c r="F1293" s="979" t="s">
        <v>4940</v>
      </c>
      <c r="G1293" s="979" t="s">
        <v>6272</v>
      </c>
      <c r="H1293" s="979">
        <v>1471397</v>
      </c>
      <c r="I1293" s="979">
        <v>1140352</v>
      </c>
      <c r="J1293" s="979">
        <v>1</v>
      </c>
      <c r="K1293" s="979">
        <v>1471397</v>
      </c>
      <c r="L1293" s="979">
        <v>1140352</v>
      </c>
      <c r="M1293" s="979">
        <v>599</v>
      </c>
    </row>
    <row r="1294" spans="1:13" ht="15">
      <c r="A1294" s="979" t="s">
        <v>3560</v>
      </c>
      <c r="B1294" s="1040" t="str">
        <f>CONCATENATE(LEFT(RIGHT(CONCATENATE("000",IFAData_TEA_1617!A1294),6),3),"-",(RIGHT(RIGHT(CONCATENATE("000",IFAData_TEA_1617!A1294),6),3)))</f>
        <v>108-913</v>
      </c>
      <c r="C1294" s="979" t="s">
        <v>141</v>
      </c>
      <c r="D1294" s="979">
        <v>8</v>
      </c>
      <c r="E1294" s="979">
        <v>2441</v>
      </c>
      <c r="F1294" s="979" t="s">
        <v>4942</v>
      </c>
      <c r="G1294" s="979" t="s">
        <v>4942</v>
      </c>
      <c r="H1294" s="979">
        <v>1506042</v>
      </c>
      <c r="I1294" s="979">
        <v>0</v>
      </c>
      <c r="J1294" s="979">
        <v>0</v>
      </c>
      <c r="K1294" s="979">
        <v>0</v>
      </c>
      <c r="L1294" s="979">
        <v>0</v>
      </c>
      <c r="M1294" s="979">
        <v>599</v>
      </c>
    </row>
    <row r="1295" spans="1:13" ht="15">
      <c r="A1295" s="979" t="s">
        <v>3560</v>
      </c>
      <c r="B1295" s="1040" t="str">
        <f>CONCATENATE(LEFT(RIGHT(CONCATENATE("000",IFAData_TEA_1617!A1295),6),3),"-",(RIGHT(RIGHT(CONCATENATE("000",IFAData_TEA_1617!A1295),6),3)))</f>
        <v>108-913</v>
      </c>
      <c r="C1295" s="979" t="s">
        <v>141</v>
      </c>
      <c r="D1295" s="979">
        <v>4</v>
      </c>
      <c r="E1295" s="979">
        <v>2440</v>
      </c>
      <c r="F1295" s="979" t="s">
        <v>4940</v>
      </c>
      <c r="G1295" s="979" t="s">
        <v>4941</v>
      </c>
      <c r="H1295" s="979">
        <v>1471397</v>
      </c>
      <c r="I1295" s="979">
        <v>0</v>
      </c>
      <c r="J1295" s="979">
        <v>0</v>
      </c>
      <c r="K1295" s="979">
        <v>0</v>
      </c>
      <c r="L1295" s="979">
        <v>0</v>
      </c>
      <c r="M1295" s="979">
        <v>599</v>
      </c>
    </row>
    <row r="1296" spans="1:13" ht="15">
      <c r="A1296" s="979" t="s">
        <v>3560</v>
      </c>
      <c r="B1296" s="1040" t="str">
        <f>CONCATENATE(LEFT(RIGHT(CONCATENATE("000",IFAData_TEA_1617!A1296),6),3),"-",(RIGHT(RIGHT(CONCATENATE("000",IFAData_TEA_1617!A1296),6),3)))</f>
        <v>108-913</v>
      </c>
      <c r="C1296" s="979" t="s">
        <v>141</v>
      </c>
      <c r="D1296" s="979">
        <v>4</v>
      </c>
      <c r="E1296" s="979">
        <v>2440</v>
      </c>
      <c r="F1296" s="979" t="s">
        <v>4940</v>
      </c>
      <c r="G1296" s="979" t="s">
        <v>4940</v>
      </c>
      <c r="H1296" s="979">
        <v>1471397</v>
      </c>
      <c r="I1296" s="979">
        <v>0</v>
      </c>
      <c r="J1296" s="979">
        <v>0</v>
      </c>
      <c r="K1296" s="979">
        <v>0</v>
      </c>
      <c r="L1296" s="979">
        <v>0</v>
      </c>
      <c r="M1296" s="979">
        <v>599</v>
      </c>
    </row>
    <row r="1297" spans="1:13" ht="15">
      <c r="A1297" s="979" t="s">
        <v>3560</v>
      </c>
      <c r="B1297" s="1040" t="str">
        <f>CONCATENATE(LEFT(RIGHT(CONCATENATE("000",IFAData_TEA_1617!A1297),6),3),"-",(RIGHT(RIGHT(CONCATENATE("000",IFAData_TEA_1617!A1297),6),3)))</f>
        <v>108-913</v>
      </c>
      <c r="C1297" s="979" t="s">
        <v>141</v>
      </c>
      <c r="D1297" s="979">
        <v>9</v>
      </c>
      <c r="E1297" s="979">
        <v>2442</v>
      </c>
      <c r="F1297" s="979" t="s">
        <v>4943</v>
      </c>
      <c r="G1297" s="979" t="s">
        <v>4943</v>
      </c>
      <c r="H1297" s="979">
        <v>1586343</v>
      </c>
      <c r="I1297" s="979">
        <v>1587450</v>
      </c>
      <c r="J1297" s="979">
        <v>1</v>
      </c>
      <c r="K1297" s="979">
        <v>1586343</v>
      </c>
      <c r="L1297" s="979">
        <v>1586343</v>
      </c>
      <c r="M1297" s="979">
        <v>599</v>
      </c>
    </row>
    <row r="1298" spans="1:13" ht="15">
      <c r="A1298" s="979" t="s">
        <v>3561</v>
      </c>
      <c r="B1298" s="1040" t="str">
        <f>CONCATENATE(LEFT(RIGHT(CONCATENATE("000",IFAData_TEA_1617!A1298),6),3),"-",(RIGHT(RIGHT(CONCATENATE("000",IFAData_TEA_1617!A1298),6),3)))</f>
        <v>108-914</v>
      </c>
      <c r="C1298" s="979" t="s">
        <v>2299</v>
      </c>
      <c r="D1298" s="979">
        <v>1</v>
      </c>
      <c r="E1298" s="979">
        <v>1993</v>
      </c>
      <c r="F1298" s="979" t="s">
        <v>4944</v>
      </c>
      <c r="G1298" s="979" t="s">
        <v>4944</v>
      </c>
      <c r="H1298" s="979">
        <v>163370</v>
      </c>
      <c r="I1298" s="979">
        <v>0</v>
      </c>
      <c r="J1298" s="979">
        <v>0</v>
      </c>
      <c r="K1298" s="979">
        <v>0</v>
      </c>
      <c r="L1298" s="979">
        <v>0</v>
      </c>
      <c r="M1298" s="979">
        <v>599</v>
      </c>
    </row>
    <row r="1299" spans="1:13" ht="15">
      <c r="A1299" s="979" t="s">
        <v>3561</v>
      </c>
      <c r="B1299" s="1040" t="str">
        <f>CONCATENATE(LEFT(RIGHT(CONCATENATE("000",IFAData_TEA_1617!A1299),6),3),"-",(RIGHT(RIGHT(CONCATENATE("000",IFAData_TEA_1617!A1299),6),3)))</f>
        <v>108-914</v>
      </c>
      <c r="C1299" s="979" t="s">
        <v>2299</v>
      </c>
      <c r="D1299" s="979">
        <v>4</v>
      </c>
      <c r="E1299" s="979">
        <v>1994</v>
      </c>
      <c r="F1299" s="979" t="s">
        <v>4946</v>
      </c>
      <c r="G1299" s="979" t="s">
        <v>4946</v>
      </c>
      <c r="H1299" s="979">
        <v>173535</v>
      </c>
      <c r="I1299" s="979">
        <v>0</v>
      </c>
      <c r="J1299" s="979">
        <v>0</v>
      </c>
      <c r="K1299" s="979">
        <v>0</v>
      </c>
      <c r="L1299" s="979">
        <v>0</v>
      </c>
      <c r="M1299" s="979">
        <v>599</v>
      </c>
    </row>
    <row r="1300" spans="1:13" ht="15">
      <c r="A1300" s="979" t="s">
        <v>3561</v>
      </c>
      <c r="B1300" s="1040" t="str">
        <f>CONCATENATE(LEFT(RIGHT(CONCATENATE("000",IFAData_TEA_1617!A1300),6),3),"-",(RIGHT(RIGHT(CONCATENATE("000",IFAData_TEA_1617!A1300),6),3)))</f>
        <v>108-914</v>
      </c>
      <c r="C1300" s="979" t="s">
        <v>2299</v>
      </c>
      <c r="D1300" s="979">
        <v>4</v>
      </c>
      <c r="E1300" s="979">
        <v>1994</v>
      </c>
      <c r="F1300" s="979" t="s">
        <v>4946</v>
      </c>
      <c r="G1300" s="979" t="s">
        <v>4945</v>
      </c>
      <c r="H1300" s="979">
        <v>173535</v>
      </c>
      <c r="I1300" s="979">
        <v>174181</v>
      </c>
      <c r="J1300" s="979">
        <v>1</v>
      </c>
      <c r="K1300" s="979">
        <v>173535</v>
      </c>
      <c r="L1300" s="979">
        <v>173535</v>
      </c>
      <c r="M1300" s="979">
        <v>599</v>
      </c>
    </row>
    <row r="1301" spans="1:13" ht="15">
      <c r="A1301" s="979" t="s">
        <v>3561</v>
      </c>
      <c r="B1301" s="1040" t="str">
        <f>CONCATENATE(LEFT(RIGHT(CONCATENATE("000",IFAData_TEA_1617!A1301),6),3),"-",(RIGHT(RIGHT(CONCATENATE("000",IFAData_TEA_1617!A1301),6),3)))</f>
        <v>108-914</v>
      </c>
      <c r="C1301" s="979" t="s">
        <v>2299</v>
      </c>
      <c r="D1301" s="979">
        <v>1</v>
      </c>
      <c r="E1301" s="979">
        <v>1993</v>
      </c>
      <c r="F1301" s="979" t="s">
        <v>4944</v>
      </c>
      <c r="G1301" s="979" t="s">
        <v>4945</v>
      </c>
      <c r="H1301" s="979">
        <v>163370</v>
      </c>
      <c r="I1301" s="979">
        <v>138401</v>
      </c>
      <c r="J1301" s="979">
        <v>1</v>
      </c>
      <c r="K1301" s="979">
        <v>163370</v>
      </c>
      <c r="L1301" s="979">
        <v>138401</v>
      </c>
      <c r="M1301" s="979">
        <v>599</v>
      </c>
    </row>
    <row r="1302" spans="1:13" ht="15">
      <c r="A1302" s="979" t="s">
        <v>3562</v>
      </c>
      <c r="B1302" s="1040" t="str">
        <f>CONCATENATE(LEFT(RIGHT(CONCATENATE("000",IFAData_TEA_1617!A1302),6),3),"-",(RIGHT(RIGHT(CONCATENATE("000",IFAData_TEA_1617!A1302),6),3)))</f>
        <v>108-915</v>
      </c>
      <c r="C1302" s="979" t="s">
        <v>2242</v>
      </c>
      <c r="D1302" s="979">
        <v>5</v>
      </c>
      <c r="E1302" s="979">
        <v>2116</v>
      </c>
      <c r="F1302" s="979" t="s">
        <v>4949</v>
      </c>
      <c r="G1302" s="979" t="s">
        <v>4949</v>
      </c>
      <c r="H1302" s="979">
        <v>110000</v>
      </c>
      <c r="I1302" s="979">
        <v>0</v>
      </c>
      <c r="J1302" s="979">
        <v>0</v>
      </c>
      <c r="K1302" s="979">
        <v>0</v>
      </c>
      <c r="L1302" s="979">
        <v>0</v>
      </c>
      <c r="M1302" s="979">
        <v>599</v>
      </c>
    </row>
    <row r="1303" spans="1:13" ht="15">
      <c r="A1303" s="979" t="s">
        <v>3562</v>
      </c>
      <c r="B1303" s="1040" t="str">
        <f>CONCATENATE(LEFT(RIGHT(CONCATENATE("000",IFAData_TEA_1617!A1303),6),3),"-",(RIGHT(RIGHT(CONCATENATE("000",IFAData_TEA_1617!A1303),6),3)))</f>
        <v>108-915</v>
      </c>
      <c r="C1303" s="979" t="s">
        <v>2242</v>
      </c>
      <c r="D1303" s="979">
        <v>4</v>
      </c>
      <c r="E1303" s="979">
        <v>2115</v>
      </c>
      <c r="F1303" s="979" t="s">
        <v>4947</v>
      </c>
      <c r="G1303" s="979" t="s">
        <v>4948</v>
      </c>
      <c r="H1303" s="979">
        <v>99356</v>
      </c>
      <c r="I1303" s="979">
        <v>81313</v>
      </c>
      <c r="J1303" s="979">
        <v>1</v>
      </c>
      <c r="K1303" s="979">
        <v>99356</v>
      </c>
      <c r="L1303" s="979">
        <v>81313</v>
      </c>
      <c r="M1303" s="979">
        <v>599</v>
      </c>
    </row>
    <row r="1304" spans="1:13" ht="15">
      <c r="A1304" s="979" t="s">
        <v>3562</v>
      </c>
      <c r="B1304" s="1040" t="str">
        <f>CONCATENATE(LEFT(RIGHT(CONCATENATE("000",IFAData_TEA_1617!A1304),6),3),"-",(RIGHT(RIGHT(CONCATENATE("000",IFAData_TEA_1617!A1304),6),3)))</f>
        <v>108-915</v>
      </c>
      <c r="C1304" s="979" t="s">
        <v>2242</v>
      </c>
      <c r="D1304" s="979">
        <v>5</v>
      </c>
      <c r="E1304" s="979">
        <v>2116</v>
      </c>
      <c r="F1304" s="979" t="s">
        <v>4949</v>
      </c>
      <c r="G1304" s="979" t="s">
        <v>4948</v>
      </c>
      <c r="H1304" s="979">
        <v>110000</v>
      </c>
      <c r="I1304" s="979">
        <v>88388</v>
      </c>
      <c r="J1304" s="979">
        <v>1</v>
      </c>
      <c r="K1304" s="979">
        <v>110000</v>
      </c>
      <c r="L1304" s="979">
        <v>88388</v>
      </c>
      <c r="M1304" s="979">
        <v>599</v>
      </c>
    </row>
    <row r="1305" spans="1:13" ht="15">
      <c r="A1305" s="979" t="s">
        <v>3562</v>
      </c>
      <c r="B1305" s="1040" t="str">
        <f>CONCATENATE(LEFT(RIGHT(CONCATENATE("000",IFAData_TEA_1617!A1305),6),3),"-",(RIGHT(RIGHT(CONCATENATE("000",IFAData_TEA_1617!A1305),6),3)))</f>
        <v>108-915</v>
      </c>
      <c r="C1305" s="979" t="s">
        <v>2242</v>
      </c>
      <c r="D1305" s="979">
        <v>4</v>
      </c>
      <c r="E1305" s="979">
        <v>2115</v>
      </c>
      <c r="F1305" s="979" t="s">
        <v>4947</v>
      </c>
      <c r="G1305" s="979" t="s">
        <v>4947</v>
      </c>
      <c r="H1305" s="979">
        <v>99356</v>
      </c>
      <c r="I1305" s="979">
        <v>0</v>
      </c>
      <c r="J1305" s="979">
        <v>0</v>
      </c>
      <c r="K1305" s="979">
        <v>0</v>
      </c>
      <c r="L1305" s="979">
        <v>0</v>
      </c>
      <c r="M1305" s="979">
        <v>599</v>
      </c>
    </row>
    <row r="1306" spans="1:13" ht="15">
      <c r="A1306" s="979" t="s">
        <v>3562</v>
      </c>
      <c r="B1306" s="1040" t="str">
        <f>CONCATENATE(LEFT(RIGHT(CONCATENATE("000",IFAData_TEA_1617!A1306),6),3),"-",(RIGHT(RIGHT(CONCATENATE("000",IFAData_TEA_1617!A1306),6),3)))</f>
        <v>108-915</v>
      </c>
      <c r="C1306" s="979" t="s">
        <v>2242</v>
      </c>
      <c r="D1306" s="979">
        <v>10</v>
      </c>
      <c r="E1306" s="979">
        <v>2118</v>
      </c>
      <c r="F1306" s="979" t="s">
        <v>4951</v>
      </c>
      <c r="G1306" s="979" t="s">
        <v>4951</v>
      </c>
      <c r="H1306" s="979">
        <v>184727</v>
      </c>
      <c r="I1306" s="979">
        <v>632475</v>
      </c>
      <c r="J1306" s="979">
        <v>1</v>
      </c>
      <c r="K1306" s="979">
        <v>184727</v>
      </c>
      <c r="L1306" s="979">
        <v>184727</v>
      </c>
      <c r="M1306" s="979">
        <v>599</v>
      </c>
    </row>
    <row r="1307" spans="1:13" ht="15">
      <c r="A1307" s="979" t="s">
        <v>3562</v>
      </c>
      <c r="B1307" s="1040" t="str">
        <f>CONCATENATE(LEFT(RIGHT(CONCATENATE("000",IFAData_TEA_1617!A1307),6),3),"-",(RIGHT(RIGHT(CONCATENATE("000",IFAData_TEA_1617!A1307),6),3)))</f>
        <v>108-915</v>
      </c>
      <c r="C1307" s="979" t="s">
        <v>2242</v>
      </c>
      <c r="D1307" s="979">
        <v>9</v>
      </c>
      <c r="E1307" s="979">
        <v>2117</v>
      </c>
      <c r="F1307" s="979" t="s">
        <v>4950</v>
      </c>
      <c r="G1307" s="979" t="s">
        <v>4950</v>
      </c>
      <c r="H1307" s="979">
        <v>152606</v>
      </c>
      <c r="I1307" s="979">
        <v>169005</v>
      </c>
      <c r="J1307" s="979">
        <v>1</v>
      </c>
      <c r="K1307" s="979">
        <v>152606</v>
      </c>
      <c r="L1307" s="979">
        <v>152606</v>
      </c>
      <c r="M1307" s="979">
        <v>599</v>
      </c>
    </row>
    <row r="1308" spans="1:13" ht="15">
      <c r="A1308" s="979" t="s">
        <v>3563</v>
      </c>
      <c r="B1308" s="1040" t="str">
        <f>CONCATENATE(LEFT(RIGHT(CONCATENATE("000",IFAData_TEA_1617!A1308),6),3),"-",(RIGHT(RIGHT(CONCATENATE("000",IFAData_TEA_1617!A1308),6),3)))</f>
        <v>108-916</v>
      </c>
      <c r="C1308" s="979" t="s">
        <v>2364</v>
      </c>
      <c r="D1308" s="979">
        <v>5</v>
      </c>
      <c r="E1308" s="979">
        <v>2412</v>
      </c>
      <c r="F1308" s="979" t="s">
        <v>4955</v>
      </c>
      <c r="G1308" s="979" t="s">
        <v>4954</v>
      </c>
      <c r="H1308" s="979">
        <v>164762</v>
      </c>
      <c r="I1308" s="979">
        <v>158556</v>
      </c>
      <c r="J1308" s="979">
        <v>0.50376979020712398</v>
      </c>
      <c r="K1308" s="979">
        <v>83002.118174106159</v>
      </c>
      <c r="L1308" s="979">
        <v>83002.118174106159</v>
      </c>
      <c r="M1308" s="979">
        <v>599</v>
      </c>
    </row>
    <row r="1309" spans="1:13" ht="15">
      <c r="A1309" s="979" t="s">
        <v>3563</v>
      </c>
      <c r="B1309" s="1040" t="str">
        <f>CONCATENATE(LEFT(RIGHT(CONCATENATE("000",IFAData_TEA_1617!A1309),6),3),"-",(RIGHT(RIGHT(CONCATENATE("000",IFAData_TEA_1617!A1309),6),3)))</f>
        <v>108-916</v>
      </c>
      <c r="C1309" s="979" t="s">
        <v>2364</v>
      </c>
      <c r="D1309" s="979">
        <v>4</v>
      </c>
      <c r="E1309" s="979">
        <v>2414</v>
      </c>
      <c r="F1309" s="979" t="s">
        <v>4953</v>
      </c>
      <c r="G1309" s="979" t="s">
        <v>4954</v>
      </c>
      <c r="H1309" s="979">
        <v>511379</v>
      </c>
      <c r="I1309" s="979">
        <v>485119</v>
      </c>
      <c r="J1309" s="979">
        <v>0.51433039477102005</v>
      </c>
      <c r="K1309" s="979">
        <v>263017.76294760947</v>
      </c>
      <c r="L1309" s="979">
        <v>263017.76294760947</v>
      </c>
      <c r="M1309" s="979">
        <v>599</v>
      </c>
    </row>
    <row r="1310" spans="1:13" ht="15">
      <c r="A1310" s="979" t="s">
        <v>3563</v>
      </c>
      <c r="B1310" s="1040" t="str">
        <f>CONCATENATE(LEFT(RIGHT(CONCATENATE("000",IFAData_TEA_1617!A1310),6),3),"-",(RIGHT(RIGHT(CONCATENATE("000",IFAData_TEA_1617!A1310),6),3)))</f>
        <v>108-916</v>
      </c>
      <c r="C1310" s="979" t="s">
        <v>2364</v>
      </c>
      <c r="D1310" s="979">
        <v>7</v>
      </c>
      <c r="E1310" s="979">
        <v>2415</v>
      </c>
      <c r="F1310" s="979" t="s">
        <v>4956</v>
      </c>
      <c r="G1310" s="979" t="s">
        <v>6273</v>
      </c>
      <c r="H1310" s="979">
        <v>753475</v>
      </c>
      <c r="I1310" s="979">
        <v>309654</v>
      </c>
      <c r="J1310" s="979">
        <v>0.43769824442371302</v>
      </c>
      <c r="K1310" s="979">
        <v>329794.68471715716</v>
      </c>
      <c r="L1310" s="979">
        <v>309654</v>
      </c>
      <c r="M1310" s="979">
        <v>599</v>
      </c>
    </row>
    <row r="1311" spans="1:13" ht="15">
      <c r="A1311" s="979" t="s">
        <v>3563</v>
      </c>
      <c r="B1311" s="1040" t="str">
        <f>CONCATENATE(LEFT(RIGHT(CONCATENATE("000",IFAData_TEA_1617!A1311),6),3),"-",(RIGHT(RIGHT(CONCATENATE("000",IFAData_TEA_1617!A1311),6),3)))</f>
        <v>108-916</v>
      </c>
      <c r="C1311" s="979" t="s">
        <v>2364</v>
      </c>
      <c r="D1311" s="979">
        <v>8</v>
      </c>
      <c r="E1311" s="979">
        <v>2416</v>
      </c>
      <c r="F1311" s="979" t="s">
        <v>4959</v>
      </c>
      <c r="G1311" s="979" t="s">
        <v>6273</v>
      </c>
      <c r="H1311" s="979">
        <v>913768</v>
      </c>
      <c r="I1311" s="979">
        <v>710171</v>
      </c>
      <c r="J1311" s="979">
        <v>0.74697207312673486</v>
      </c>
      <c r="K1311" s="979">
        <v>682559.17731687031</v>
      </c>
      <c r="L1311" s="979">
        <v>682559.17731687031</v>
      </c>
      <c r="M1311" s="979">
        <v>599</v>
      </c>
    </row>
    <row r="1312" spans="1:13" ht="15">
      <c r="A1312" s="979" t="s">
        <v>3563</v>
      </c>
      <c r="B1312" s="1040" t="str">
        <f>CONCATENATE(LEFT(RIGHT(CONCATENATE("000",IFAData_TEA_1617!A1312),6),3),"-",(RIGHT(RIGHT(CONCATENATE("000",IFAData_TEA_1617!A1312),6),3)))</f>
        <v>108-916</v>
      </c>
      <c r="C1312" s="979" t="s">
        <v>2364</v>
      </c>
      <c r="D1312" s="979">
        <v>5</v>
      </c>
      <c r="E1312" s="979">
        <v>2412</v>
      </c>
      <c r="F1312" s="979" t="s">
        <v>4955</v>
      </c>
      <c r="G1312" s="979" t="s">
        <v>4955</v>
      </c>
      <c r="H1312" s="979">
        <v>164762</v>
      </c>
      <c r="I1312" s="979">
        <v>0</v>
      </c>
      <c r="J1312" s="979">
        <v>0</v>
      </c>
      <c r="K1312" s="979">
        <v>0</v>
      </c>
      <c r="L1312" s="979">
        <v>0</v>
      </c>
      <c r="M1312" s="979">
        <v>599</v>
      </c>
    </row>
    <row r="1313" spans="1:13" ht="15">
      <c r="A1313" s="979" t="s">
        <v>3563</v>
      </c>
      <c r="B1313" s="1040" t="str">
        <f>CONCATENATE(LEFT(RIGHT(CONCATENATE("000",IFAData_TEA_1617!A1313),6),3),"-",(RIGHT(RIGHT(CONCATENATE("000",IFAData_TEA_1617!A1313),6),3)))</f>
        <v>108-916</v>
      </c>
      <c r="C1313" s="979" t="s">
        <v>2364</v>
      </c>
      <c r="D1313" s="979">
        <v>8</v>
      </c>
      <c r="E1313" s="979">
        <v>2416</v>
      </c>
      <c r="F1313" s="979" t="s">
        <v>4959</v>
      </c>
      <c r="G1313" s="979" t="s">
        <v>4959</v>
      </c>
      <c r="H1313" s="979">
        <v>913768</v>
      </c>
      <c r="I1313" s="979">
        <v>0</v>
      </c>
      <c r="J1313" s="979">
        <v>0</v>
      </c>
      <c r="K1313" s="979">
        <v>0</v>
      </c>
      <c r="L1313" s="979">
        <v>0</v>
      </c>
      <c r="M1313" s="979">
        <v>599</v>
      </c>
    </row>
    <row r="1314" spans="1:13" ht="15">
      <c r="A1314" s="979" t="s">
        <v>3563</v>
      </c>
      <c r="B1314" s="1040" t="str">
        <f>CONCATENATE(LEFT(RIGHT(CONCATENATE("000",IFAData_TEA_1617!A1314),6),3),"-",(RIGHT(RIGHT(CONCATENATE("000",IFAData_TEA_1617!A1314),6),3)))</f>
        <v>108-916</v>
      </c>
      <c r="C1314" s="979" t="s">
        <v>2364</v>
      </c>
      <c r="D1314" s="979">
        <v>1</v>
      </c>
      <c r="E1314" s="979">
        <v>2413</v>
      </c>
      <c r="F1314" s="979" t="s">
        <v>4952</v>
      </c>
      <c r="G1314" s="979" t="s">
        <v>4952</v>
      </c>
      <c r="H1314" s="979">
        <v>401791</v>
      </c>
      <c r="I1314" s="979">
        <v>0</v>
      </c>
      <c r="J1314" s="979">
        <v>0</v>
      </c>
      <c r="K1314" s="979"/>
      <c r="L1314" s="979">
        <v>0</v>
      </c>
      <c r="M1314" s="979">
        <v>599</v>
      </c>
    </row>
    <row r="1315" spans="1:13" ht="15">
      <c r="A1315" s="979" t="s">
        <v>3563</v>
      </c>
      <c r="B1315" s="1040" t="str">
        <f>CONCATENATE(LEFT(RIGHT(CONCATENATE("000",IFAData_TEA_1617!A1315),6),3),"-",(RIGHT(RIGHT(CONCATENATE("000",IFAData_TEA_1617!A1315),6),3)))</f>
        <v>108-916</v>
      </c>
      <c r="C1315" s="979" t="s">
        <v>2364</v>
      </c>
      <c r="D1315" s="979">
        <v>7</v>
      </c>
      <c r="E1315" s="979">
        <v>2415</v>
      </c>
      <c r="F1315" s="979" t="s">
        <v>4956</v>
      </c>
      <c r="G1315" s="979" t="s">
        <v>4958</v>
      </c>
      <c r="H1315" s="979">
        <v>753475</v>
      </c>
      <c r="I1315" s="979">
        <v>103613</v>
      </c>
      <c r="J1315" s="979">
        <v>0.14645775026149888</v>
      </c>
      <c r="K1315" s="979">
        <v>110352.25337828287</v>
      </c>
      <c r="L1315" s="979">
        <v>103613</v>
      </c>
      <c r="M1315" s="979">
        <v>599</v>
      </c>
    </row>
    <row r="1316" spans="1:13" ht="15">
      <c r="A1316" s="979" t="s">
        <v>3563</v>
      </c>
      <c r="B1316" s="1040" t="str">
        <f>CONCATENATE(LEFT(RIGHT(CONCATENATE("000",IFAData_TEA_1617!A1316),6),3),"-",(RIGHT(RIGHT(CONCATENATE("000",IFAData_TEA_1617!A1316),6),3)))</f>
        <v>108-916</v>
      </c>
      <c r="C1316" s="979" t="s">
        <v>2364</v>
      </c>
      <c r="D1316" s="979">
        <v>8</v>
      </c>
      <c r="E1316" s="979">
        <v>2416</v>
      </c>
      <c r="F1316" s="979" t="s">
        <v>4959</v>
      </c>
      <c r="G1316" s="979" t="s">
        <v>4958</v>
      </c>
      <c r="H1316" s="979">
        <v>913768</v>
      </c>
      <c r="I1316" s="979">
        <v>240562</v>
      </c>
      <c r="J1316" s="979">
        <v>0.25302792687326514</v>
      </c>
      <c r="K1316" s="979">
        <v>231208.82268312975</v>
      </c>
      <c r="L1316" s="979">
        <v>231208.82268312975</v>
      </c>
      <c r="M1316" s="979">
        <v>599</v>
      </c>
    </row>
    <row r="1317" spans="1:13" ht="15">
      <c r="A1317" s="979" t="s">
        <v>3563</v>
      </c>
      <c r="B1317" s="1040" t="str">
        <f>CONCATENATE(LEFT(RIGHT(CONCATENATE("000",IFAData_TEA_1617!A1317),6),3),"-",(RIGHT(RIGHT(CONCATENATE("000",IFAData_TEA_1617!A1317),6),3)))</f>
        <v>108-916</v>
      </c>
      <c r="C1317" s="979" t="s">
        <v>2364</v>
      </c>
      <c r="D1317" s="979">
        <v>7</v>
      </c>
      <c r="E1317" s="979">
        <v>2415</v>
      </c>
      <c r="F1317" s="979" t="s">
        <v>4956</v>
      </c>
      <c r="G1317" s="979" t="s">
        <v>4956</v>
      </c>
      <c r="H1317" s="979">
        <v>753475</v>
      </c>
      <c r="I1317" s="979">
        <v>0</v>
      </c>
      <c r="J1317" s="979">
        <v>0</v>
      </c>
      <c r="K1317" s="979">
        <v>0</v>
      </c>
      <c r="L1317" s="979">
        <v>0</v>
      </c>
      <c r="M1317" s="979">
        <v>599</v>
      </c>
    </row>
    <row r="1318" spans="1:13" ht="15">
      <c r="A1318" s="979" t="s">
        <v>3563</v>
      </c>
      <c r="B1318" s="1040" t="str">
        <f>CONCATENATE(LEFT(RIGHT(CONCATENATE("000",IFAData_TEA_1617!A1318),6),3),"-",(RIGHT(RIGHT(CONCATENATE("000",IFAData_TEA_1617!A1318),6),3)))</f>
        <v>108-916</v>
      </c>
      <c r="C1318" s="979" t="s">
        <v>2364</v>
      </c>
      <c r="D1318" s="979">
        <v>4</v>
      </c>
      <c r="E1318" s="979">
        <v>2414</v>
      </c>
      <c r="F1318" s="979" t="s">
        <v>4953</v>
      </c>
      <c r="G1318" s="979" t="s">
        <v>4953</v>
      </c>
      <c r="H1318" s="979">
        <v>511379</v>
      </c>
      <c r="I1318" s="979">
        <v>0</v>
      </c>
      <c r="J1318" s="979">
        <v>0</v>
      </c>
      <c r="K1318" s="979">
        <v>0</v>
      </c>
      <c r="L1318" s="979">
        <v>0</v>
      </c>
      <c r="M1318" s="979">
        <v>599</v>
      </c>
    </row>
    <row r="1319" spans="1:13" ht="15">
      <c r="A1319" s="979" t="s">
        <v>3563</v>
      </c>
      <c r="B1319" s="1040" t="str">
        <f>CONCATENATE(LEFT(RIGHT(CONCATENATE("000",IFAData_TEA_1617!A1319),6),3),"-",(RIGHT(RIGHT(CONCATENATE("000",IFAData_TEA_1617!A1319),6),3)))</f>
        <v>108-916</v>
      </c>
      <c r="C1319" s="979" t="s">
        <v>2364</v>
      </c>
      <c r="D1319" s="979">
        <v>9</v>
      </c>
      <c r="E1319" s="979">
        <v>2417</v>
      </c>
      <c r="F1319" s="979" t="s">
        <v>4960</v>
      </c>
      <c r="G1319" s="979" t="s">
        <v>4960</v>
      </c>
      <c r="H1319" s="979">
        <v>1075060</v>
      </c>
      <c r="I1319" s="979">
        <v>723319</v>
      </c>
      <c r="J1319" s="979">
        <v>0.71920586167706879</v>
      </c>
      <c r="K1319" s="979">
        <v>773189.45365454955</v>
      </c>
      <c r="L1319" s="979">
        <v>723319</v>
      </c>
      <c r="M1319" s="979">
        <v>599</v>
      </c>
    </row>
    <row r="1320" spans="1:13" ht="15">
      <c r="A1320" s="979" t="s">
        <v>3563</v>
      </c>
      <c r="B1320" s="1040" t="str">
        <f>CONCATENATE(LEFT(RIGHT(CONCATENATE("000",IFAData_TEA_1617!A1320),6),3),"-",(RIGHT(RIGHT(CONCATENATE("000",IFAData_TEA_1617!A1320),6),3)))</f>
        <v>108-916</v>
      </c>
      <c r="C1320" s="979" t="s">
        <v>2364</v>
      </c>
      <c r="D1320" s="979">
        <v>5</v>
      </c>
      <c r="E1320" s="979">
        <v>2412</v>
      </c>
      <c r="F1320" s="979" t="s">
        <v>4955</v>
      </c>
      <c r="G1320" s="979" t="s">
        <v>6480</v>
      </c>
      <c r="H1320" s="979">
        <v>164762</v>
      </c>
      <c r="I1320" s="979">
        <v>156183</v>
      </c>
      <c r="J1320" s="979">
        <v>0.49623020979287602</v>
      </c>
      <c r="K1320" s="979">
        <v>81759.881825893841</v>
      </c>
      <c r="L1320" s="979">
        <v>81759.881825893841</v>
      </c>
      <c r="M1320" s="979">
        <v>599</v>
      </c>
    </row>
    <row r="1321" spans="1:13" ht="15">
      <c r="A1321" s="979" t="s">
        <v>3563</v>
      </c>
      <c r="B1321" s="1040" t="str">
        <f>CONCATENATE(LEFT(RIGHT(CONCATENATE("000",IFAData_TEA_1617!A1321),6),3),"-",(RIGHT(RIGHT(CONCATENATE("000",IFAData_TEA_1617!A1321),6),3)))</f>
        <v>108-916</v>
      </c>
      <c r="C1321" s="979" t="s">
        <v>2364</v>
      </c>
      <c r="D1321" s="979">
        <v>4</v>
      </c>
      <c r="E1321" s="979">
        <v>2414</v>
      </c>
      <c r="F1321" s="979" t="s">
        <v>4953</v>
      </c>
      <c r="G1321" s="979" t="s">
        <v>6480</v>
      </c>
      <c r="H1321" s="979">
        <v>511379</v>
      </c>
      <c r="I1321" s="979">
        <v>458086</v>
      </c>
      <c r="J1321" s="979">
        <v>0.48566960522897989</v>
      </c>
      <c r="K1321" s="979">
        <v>248361.2370523905</v>
      </c>
      <c r="L1321" s="979">
        <v>248361.2370523905</v>
      </c>
      <c r="M1321" s="979">
        <v>599</v>
      </c>
    </row>
    <row r="1322" spans="1:13" ht="15">
      <c r="A1322" s="979" t="s">
        <v>3563</v>
      </c>
      <c r="B1322" s="1040" t="str">
        <f>CONCATENATE(LEFT(RIGHT(CONCATENATE("000",IFAData_TEA_1617!A1322),6),3),"-",(RIGHT(RIGHT(CONCATENATE("000",IFAData_TEA_1617!A1322),6),3)))</f>
        <v>108-916</v>
      </c>
      <c r="C1322" s="979" t="s">
        <v>2364</v>
      </c>
      <c r="D1322" s="979">
        <v>7</v>
      </c>
      <c r="E1322" s="979">
        <v>2415</v>
      </c>
      <c r="F1322" s="979" t="s">
        <v>4956</v>
      </c>
      <c r="G1322" s="979" t="s">
        <v>4957</v>
      </c>
      <c r="H1322" s="979">
        <v>753475</v>
      </c>
      <c r="I1322" s="979">
        <v>294193</v>
      </c>
      <c r="J1322" s="979">
        <v>0.4158440053147881</v>
      </c>
      <c r="K1322" s="979">
        <v>313328.06190455996</v>
      </c>
      <c r="L1322" s="979">
        <v>294193</v>
      </c>
      <c r="M1322" s="979">
        <v>599</v>
      </c>
    </row>
    <row r="1323" spans="1:13" ht="15">
      <c r="A1323" s="979" t="s">
        <v>3563</v>
      </c>
      <c r="B1323" s="1040" t="str">
        <f>CONCATENATE(LEFT(RIGHT(CONCATENATE("000",IFAData_TEA_1617!A1323),6),3),"-",(RIGHT(RIGHT(CONCATENATE("000",IFAData_TEA_1617!A1323),6),3)))</f>
        <v>108-916</v>
      </c>
      <c r="C1323" s="979" t="s">
        <v>2364</v>
      </c>
      <c r="D1323" s="979">
        <v>9</v>
      </c>
      <c r="E1323" s="979">
        <v>2417</v>
      </c>
      <c r="F1323" s="979" t="s">
        <v>4960</v>
      </c>
      <c r="G1323" s="979" t="s">
        <v>6481</v>
      </c>
      <c r="H1323" s="979">
        <v>1075060</v>
      </c>
      <c r="I1323" s="979">
        <v>282400</v>
      </c>
      <c r="J1323" s="979">
        <v>0.28079413832293115</v>
      </c>
      <c r="K1323" s="979">
        <v>301870.54634545039</v>
      </c>
      <c r="L1323" s="979">
        <v>282400</v>
      </c>
      <c r="M1323" s="979">
        <v>599</v>
      </c>
    </row>
    <row r="1324" spans="1:13" ht="15">
      <c r="A1324" s="979" t="s">
        <v>3564</v>
      </c>
      <c r="B1324" s="1040" t="str">
        <f>CONCATENATE(LEFT(RIGHT(CONCATENATE("000",IFAData_TEA_1617!A1324),6),3),"-",(RIGHT(RIGHT(CONCATENATE("000",IFAData_TEA_1617!A1324),6),3)))</f>
        <v>109-901</v>
      </c>
      <c r="C1324" s="979" t="s">
        <v>2150</v>
      </c>
      <c r="D1324" s="979">
        <v>9</v>
      </c>
      <c r="E1324" s="979">
        <v>1541</v>
      </c>
      <c r="F1324" s="979" t="s">
        <v>4961</v>
      </c>
      <c r="G1324" s="979" t="s">
        <v>4961</v>
      </c>
      <c r="H1324" s="979">
        <v>100000</v>
      </c>
      <c r="I1324" s="979">
        <v>18841</v>
      </c>
      <c r="J1324" s="979">
        <v>0.12401187396744531</v>
      </c>
      <c r="K1324" s="979">
        <v>12401.187396744532</v>
      </c>
      <c r="L1324" s="979">
        <v>12401.187396744532</v>
      </c>
      <c r="M1324" s="979">
        <v>599</v>
      </c>
    </row>
    <row r="1325" spans="1:13" ht="15">
      <c r="A1325" s="979" t="s">
        <v>3564</v>
      </c>
      <c r="B1325" s="1040" t="str">
        <f>CONCATENATE(LEFT(RIGHT(CONCATENATE("000",IFAData_TEA_1617!A1325),6),3),"-",(RIGHT(RIGHT(CONCATENATE("000",IFAData_TEA_1617!A1325),6),3)))</f>
        <v>109-901</v>
      </c>
      <c r="C1325" s="979" t="s">
        <v>2150</v>
      </c>
      <c r="D1325" s="979">
        <v>9</v>
      </c>
      <c r="E1325" s="979">
        <v>1541</v>
      </c>
      <c r="F1325" s="979" t="s">
        <v>4961</v>
      </c>
      <c r="G1325" s="979" t="s">
        <v>6274</v>
      </c>
      <c r="H1325" s="979">
        <v>100000</v>
      </c>
      <c r="I1325" s="979">
        <v>133088</v>
      </c>
      <c r="J1325" s="979">
        <v>0.87598812603255471</v>
      </c>
      <c r="K1325" s="979">
        <v>87598.812603255472</v>
      </c>
      <c r="L1325" s="979">
        <v>87598.812603255472</v>
      </c>
      <c r="M1325" s="979">
        <v>599</v>
      </c>
    </row>
    <row r="1326" spans="1:13" ht="15">
      <c r="A1326" s="979" t="s">
        <v>3565</v>
      </c>
      <c r="B1326" s="1040" t="str">
        <f>CONCATENATE(LEFT(RIGHT(CONCATENATE("000",IFAData_TEA_1617!A1326),6),3),"-",(RIGHT(RIGHT(CONCATENATE("000",IFAData_TEA_1617!A1326),6),3)))</f>
        <v>109-902</v>
      </c>
      <c r="C1326" s="979" t="s">
        <v>898</v>
      </c>
      <c r="D1326" s="979">
        <v>6</v>
      </c>
      <c r="E1326" s="979">
        <v>1656</v>
      </c>
      <c r="F1326" s="979" t="s">
        <v>4962</v>
      </c>
      <c r="G1326" s="979" t="s">
        <v>4963</v>
      </c>
      <c r="H1326" s="979">
        <v>93778</v>
      </c>
      <c r="I1326" s="979">
        <v>91275</v>
      </c>
      <c r="J1326" s="979">
        <v>1</v>
      </c>
      <c r="K1326" s="979">
        <v>93778</v>
      </c>
      <c r="L1326" s="979">
        <v>91275</v>
      </c>
      <c r="M1326" s="979">
        <v>599</v>
      </c>
    </row>
    <row r="1327" spans="1:13" ht="15">
      <c r="A1327" s="979" t="s">
        <v>3565</v>
      </c>
      <c r="B1327" s="1040" t="str">
        <f>CONCATENATE(LEFT(RIGHT(CONCATENATE("000",IFAData_TEA_1617!A1327),6),3),"-",(RIGHT(RIGHT(CONCATENATE("000",IFAData_TEA_1617!A1327),6),3)))</f>
        <v>109-902</v>
      </c>
      <c r="C1327" s="979" t="s">
        <v>898</v>
      </c>
      <c r="D1327" s="979">
        <v>6</v>
      </c>
      <c r="E1327" s="979">
        <v>1656</v>
      </c>
      <c r="F1327" s="979" t="s">
        <v>4962</v>
      </c>
      <c r="G1327" s="979" t="s">
        <v>4962</v>
      </c>
      <c r="H1327" s="979">
        <v>93778</v>
      </c>
      <c r="I1327" s="979">
        <v>0</v>
      </c>
      <c r="J1327" s="979">
        <v>0</v>
      </c>
      <c r="K1327" s="979">
        <v>0</v>
      </c>
      <c r="L1327" s="979">
        <v>0</v>
      </c>
      <c r="M1327" s="979">
        <v>599</v>
      </c>
    </row>
    <row r="1328" spans="1:13" ht="15">
      <c r="A1328" s="979" t="s">
        <v>4964</v>
      </c>
      <c r="B1328" s="1040" t="str">
        <f>CONCATENATE(LEFT(RIGHT(CONCATENATE("000",IFAData_TEA_1617!A1328),6),3),"-",(RIGHT(RIGHT(CONCATENATE("000",IFAData_TEA_1617!A1328),6),3)))</f>
        <v>109-903</v>
      </c>
      <c r="C1328" s="979" t="s">
        <v>667</v>
      </c>
      <c r="D1328" s="979">
        <v>3</v>
      </c>
      <c r="E1328" s="979">
        <v>1727</v>
      </c>
      <c r="F1328" s="979" t="s">
        <v>4965</v>
      </c>
      <c r="G1328" s="979" t="s">
        <v>4965</v>
      </c>
      <c r="H1328" s="979">
        <v>111000</v>
      </c>
      <c r="I1328" s="979">
        <v>0</v>
      </c>
      <c r="J1328" s="979">
        <v>0</v>
      </c>
      <c r="K1328" s="979"/>
      <c r="L1328" s="979">
        <v>0</v>
      </c>
      <c r="M1328" s="979">
        <v>199</v>
      </c>
    </row>
    <row r="1329" spans="1:13" ht="15">
      <c r="A1329" s="979" t="s">
        <v>3566</v>
      </c>
      <c r="B1329" s="1040" t="str">
        <f>CONCATENATE(LEFT(RIGHT(CONCATENATE("000",IFAData_TEA_1617!A1329),6),3),"-",(RIGHT(RIGHT(CONCATENATE("000",IFAData_TEA_1617!A1329),6),3)))</f>
        <v>109-904</v>
      </c>
      <c r="C1329" s="979" t="s">
        <v>2376</v>
      </c>
      <c r="D1329" s="979">
        <v>1</v>
      </c>
      <c r="E1329" s="979">
        <v>1892</v>
      </c>
      <c r="F1329" s="979" t="s">
        <v>4966</v>
      </c>
      <c r="G1329" s="979" t="s">
        <v>6275</v>
      </c>
      <c r="H1329" s="979">
        <v>373075</v>
      </c>
      <c r="I1329" s="979">
        <v>2038</v>
      </c>
      <c r="J1329" s="979">
        <v>3.3689625645111697E-3</v>
      </c>
      <c r="K1329" s="979">
        <v>1256.8757087550046</v>
      </c>
      <c r="L1329" s="979">
        <v>1256.8757087550046</v>
      </c>
      <c r="M1329" s="979">
        <v>599</v>
      </c>
    </row>
    <row r="1330" spans="1:13" ht="15">
      <c r="A1330" s="979" t="s">
        <v>3566</v>
      </c>
      <c r="B1330" s="1040" t="str">
        <f>CONCATENATE(LEFT(RIGHT(CONCATENATE("000",IFAData_TEA_1617!A1330),6),3),"-",(RIGHT(RIGHT(CONCATENATE("000",IFAData_TEA_1617!A1330),6),3)))</f>
        <v>109-904</v>
      </c>
      <c r="C1330" s="979" t="s">
        <v>2376</v>
      </c>
      <c r="D1330" s="979">
        <v>1</v>
      </c>
      <c r="E1330" s="979">
        <v>1892</v>
      </c>
      <c r="F1330" s="979" t="s">
        <v>4966</v>
      </c>
      <c r="G1330" s="979" t="s">
        <v>4969</v>
      </c>
      <c r="H1330" s="979">
        <v>373075</v>
      </c>
      <c r="I1330" s="979">
        <v>0</v>
      </c>
      <c r="J1330" s="979">
        <v>0</v>
      </c>
      <c r="K1330" s="979">
        <v>0</v>
      </c>
      <c r="L1330" s="979">
        <v>0</v>
      </c>
      <c r="M1330" s="979">
        <v>599</v>
      </c>
    </row>
    <row r="1331" spans="1:13" ht="15">
      <c r="A1331" s="979" t="s">
        <v>3566</v>
      </c>
      <c r="B1331" s="1040" t="str">
        <f>CONCATENATE(LEFT(RIGHT(CONCATENATE("000",IFAData_TEA_1617!A1331),6),3),"-",(RIGHT(RIGHT(CONCATENATE("000",IFAData_TEA_1617!A1331),6),3)))</f>
        <v>109-904</v>
      </c>
      <c r="C1331" s="979" t="s">
        <v>2376</v>
      </c>
      <c r="D1331" s="979">
        <v>6</v>
      </c>
      <c r="E1331" s="979">
        <v>1893</v>
      </c>
      <c r="F1331" s="979" t="s">
        <v>4967</v>
      </c>
      <c r="G1331" s="979" t="s">
        <v>4969</v>
      </c>
      <c r="H1331" s="979">
        <v>449169</v>
      </c>
      <c r="I1331" s="979">
        <v>813837</v>
      </c>
      <c r="J1331" s="979">
        <v>0.52896088415256359</v>
      </c>
      <c r="K1331" s="979">
        <v>237592.83137392285</v>
      </c>
      <c r="L1331" s="979">
        <v>237592.83137392285</v>
      </c>
      <c r="M1331" s="979">
        <v>599</v>
      </c>
    </row>
    <row r="1332" spans="1:13" ht="15">
      <c r="A1332" s="979" t="s">
        <v>3566</v>
      </c>
      <c r="B1332" s="1040" t="str">
        <f>CONCATENATE(LEFT(RIGHT(CONCATENATE("000",IFAData_TEA_1617!A1332),6),3),"-",(RIGHT(RIGHT(CONCATENATE("000",IFAData_TEA_1617!A1332),6),3)))</f>
        <v>109-904</v>
      </c>
      <c r="C1332" s="979" t="s">
        <v>2376</v>
      </c>
      <c r="D1332" s="979">
        <v>1</v>
      </c>
      <c r="E1332" s="979">
        <v>1892</v>
      </c>
      <c r="F1332" s="979" t="s">
        <v>4966</v>
      </c>
      <c r="G1332" s="979" t="s">
        <v>4970</v>
      </c>
      <c r="H1332" s="979">
        <v>373075</v>
      </c>
      <c r="I1332" s="979">
        <v>602896</v>
      </c>
      <c r="J1332" s="979">
        <v>0.99663103743548886</v>
      </c>
      <c r="K1332" s="979">
        <v>371818.12429124501</v>
      </c>
      <c r="L1332" s="979">
        <v>371818.12429124501</v>
      </c>
      <c r="M1332" s="979">
        <v>599</v>
      </c>
    </row>
    <row r="1333" spans="1:13" ht="15">
      <c r="A1333" s="979" t="s">
        <v>3566</v>
      </c>
      <c r="B1333" s="1040" t="str">
        <f>CONCATENATE(LEFT(RIGHT(CONCATENATE("000",IFAData_TEA_1617!A1333),6),3),"-",(RIGHT(RIGHT(CONCATENATE("000",IFAData_TEA_1617!A1333),6),3)))</f>
        <v>109-904</v>
      </c>
      <c r="C1333" s="979" t="s">
        <v>2376</v>
      </c>
      <c r="D1333" s="979">
        <v>6</v>
      </c>
      <c r="E1333" s="979">
        <v>1893</v>
      </c>
      <c r="F1333" s="979" t="s">
        <v>4967</v>
      </c>
      <c r="G1333" s="979" t="s">
        <v>4967</v>
      </c>
      <c r="H1333" s="979">
        <v>449169</v>
      </c>
      <c r="I1333" s="979">
        <v>0</v>
      </c>
      <c r="J1333" s="979">
        <v>0</v>
      </c>
      <c r="K1333" s="979">
        <v>0</v>
      </c>
      <c r="L1333" s="979">
        <v>0</v>
      </c>
      <c r="M1333" s="979">
        <v>599</v>
      </c>
    </row>
    <row r="1334" spans="1:13" ht="15">
      <c r="A1334" s="979" t="s">
        <v>3566</v>
      </c>
      <c r="B1334" s="1040" t="str">
        <f>CONCATENATE(LEFT(RIGHT(CONCATENATE("000",IFAData_TEA_1617!A1334),6),3),"-",(RIGHT(RIGHT(CONCATENATE("000",IFAData_TEA_1617!A1334),6),3)))</f>
        <v>109-904</v>
      </c>
      <c r="C1334" s="979" t="s">
        <v>2376</v>
      </c>
      <c r="D1334" s="979">
        <v>1</v>
      </c>
      <c r="E1334" s="979">
        <v>1892</v>
      </c>
      <c r="F1334" s="979" t="s">
        <v>4966</v>
      </c>
      <c r="G1334" s="979" t="s">
        <v>4967</v>
      </c>
      <c r="H1334" s="979">
        <v>373075</v>
      </c>
      <c r="I1334" s="979">
        <v>0</v>
      </c>
      <c r="J1334" s="979">
        <v>0</v>
      </c>
      <c r="K1334" s="979">
        <v>0</v>
      </c>
      <c r="L1334" s="979">
        <v>0</v>
      </c>
      <c r="M1334" s="979">
        <v>599</v>
      </c>
    </row>
    <row r="1335" spans="1:13" ht="15">
      <c r="A1335" s="979" t="s">
        <v>3566</v>
      </c>
      <c r="B1335" s="1040" t="str">
        <f>CONCATENATE(LEFT(RIGHT(CONCATENATE("000",IFAData_TEA_1617!A1335),6),3),"-",(RIGHT(RIGHT(CONCATENATE("000",IFAData_TEA_1617!A1335),6),3)))</f>
        <v>109-904</v>
      </c>
      <c r="C1335" s="979" t="s">
        <v>2376</v>
      </c>
      <c r="D1335" s="979">
        <v>1</v>
      </c>
      <c r="E1335" s="979">
        <v>1892</v>
      </c>
      <c r="F1335" s="979" t="s">
        <v>4966</v>
      </c>
      <c r="G1335" s="979" t="s">
        <v>4968</v>
      </c>
      <c r="H1335" s="979">
        <v>373075</v>
      </c>
      <c r="I1335" s="979">
        <v>0</v>
      </c>
      <c r="J1335" s="979">
        <v>0</v>
      </c>
      <c r="K1335" s="979">
        <v>0</v>
      </c>
      <c r="L1335" s="979">
        <v>0</v>
      </c>
      <c r="M1335" s="979">
        <v>599</v>
      </c>
    </row>
    <row r="1336" spans="1:13" ht="15">
      <c r="A1336" s="979" t="s">
        <v>3566</v>
      </c>
      <c r="B1336" s="1040" t="str">
        <f>CONCATENATE(LEFT(RIGHT(CONCATENATE("000",IFAData_TEA_1617!A1336),6),3),"-",(RIGHT(RIGHT(CONCATENATE("000",IFAData_TEA_1617!A1336),6),3)))</f>
        <v>109-904</v>
      </c>
      <c r="C1336" s="979" t="s">
        <v>2376</v>
      </c>
      <c r="D1336" s="979">
        <v>1</v>
      </c>
      <c r="E1336" s="979">
        <v>1892</v>
      </c>
      <c r="F1336" s="979" t="s">
        <v>4966</v>
      </c>
      <c r="G1336" s="979" t="s">
        <v>4966</v>
      </c>
      <c r="H1336" s="979">
        <v>373075</v>
      </c>
      <c r="I1336" s="979">
        <v>0</v>
      </c>
      <c r="J1336" s="979">
        <v>0</v>
      </c>
      <c r="K1336" s="979">
        <v>0</v>
      </c>
      <c r="L1336" s="979">
        <v>0</v>
      </c>
      <c r="M1336" s="979">
        <v>599</v>
      </c>
    </row>
    <row r="1337" spans="1:13" ht="15">
      <c r="A1337" s="979" t="s">
        <v>3566</v>
      </c>
      <c r="B1337" s="1040" t="str">
        <f>CONCATENATE(LEFT(RIGHT(CONCATENATE("000",IFAData_TEA_1617!A1337),6),3),"-",(RIGHT(RIGHT(CONCATENATE("000",IFAData_TEA_1617!A1337),6),3)))</f>
        <v>109-904</v>
      </c>
      <c r="C1337" s="979" t="s">
        <v>2376</v>
      </c>
      <c r="D1337" s="979">
        <v>6</v>
      </c>
      <c r="E1337" s="979">
        <v>1893</v>
      </c>
      <c r="F1337" s="979" t="s">
        <v>4967</v>
      </c>
      <c r="G1337" s="979" t="s">
        <v>6275</v>
      </c>
      <c r="H1337" s="979">
        <v>449169</v>
      </c>
      <c r="I1337" s="979">
        <v>724721</v>
      </c>
      <c r="J1337" s="979">
        <v>0.47103911584743635</v>
      </c>
      <c r="K1337" s="979">
        <v>211576.16862607715</v>
      </c>
      <c r="L1337" s="979">
        <v>211576.16862607715</v>
      </c>
      <c r="M1337" s="979">
        <v>599</v>
      </c>
    </row>
    <row r="1338" spans="1:13" ht="15">
      <c r="A1338" s="979" t="s">
        <v>3567</v>
      </c>
      <c r="B1338" s="1040" t="str">
        <f>CONCATENATE(LEFT(RIGHT(CONCATENATE("000",IFAData_TEA_1617!A1338),6),3),"-",(RIGHT(RIGHT(CONCATENATE("000",IFAData_TEA_1617!A1338),6),3)))</f>
        <v>109-905</v>
      </c>
      <c r="C1338" s="979" t="s">
        <v>2381</v>
      </c>
      <c r="D1338" s="979">
        <v>5</v>
      </c>
      <c r="E1338" s="979">
        <v>1907</v>
      </c>
      <c r="F1338" s="979" t="s">
        <v>4973</v>
      </c>
      <c r="G1338" s="979" t="s">
        <v>4973</v>
      </c>
      <c r="H1338" s="979">
        <v>109410</v>
      </c>
      <c r="I1338" s="979">
        <v>0</v>
      </c>
      <c r="J1338" s="979">
        <v>0</v>
      </c>
      <c r="K1338" s="979">
        <v>0</v>
      </c>
      <c r="L1338" s="979">
        <v>0</v>
      </c>
      <c r="M1338" s="979">
        <v>599</v>
      </c>
    </row>
    <row r="1339" spans="1:13" ht="15">
      <c r="A1339" s="979" t="s">
        <v>3567</v>
      </c>
      <c r="B1339" s="1040" t="str">
        <f>CONCATENATE(LEFT(RIGHT(CONCATENATE("000",IFAData_TEA_1617!A1339),6),3),"-",(RIGHT(RIGHT(CONCATENATE("000",IFAData_TEA_1617!A1339),6),3)))</f>
        <v>109-905</v>
      </c>
      <c r="C1339" s="979" t="s">
        <v>2381</v>
      </c>
      <c r="D1339" s="979">
        <v>10</v>
      </c>
      <c r="E1339" s="979">
        <v>1905</v>
      </c>
      <c r="F1339" s="979" t="s">
        <v>4974</v>
      </c>
      <c r="G1339" s="979" t="s">
        <v>4974</v>
      </c>
      <c r="H1339" s="979">
        <v>100000</v>
      </c>
      <c r="I1339" s="979">
        <v>238044</v>
      </c>
      <c r="J1339" s="979">
        <v>1</v>
      </c>
      <c r="K1339" s="979">
        <v>100000</v>
      </c>
      <c r="L1339" s="979">
        <v>100000</v>
      </c>
      <c r="M1339" s="979">
        <v>599</v>
      </c>
    </row>
    <row r="1340" spans="1:13" ht="15">
      <c r="A1340" s="979" t="s">
        <v>3567</v>
      </c>
      <c r="B1340" s="1040" t="str">
        <f>CONCATENATE(LEFT(RIGHT(CONCATENATE("000",IFAData_TEA_1617!A1340),6),3),"-",(RIGHT(RIGHT(CONCATENATE("000",IFAData_TEA_1617!A1340),6),3)))</f>
        <v>109-905</v>
      </c>
      <c r="C1340" s="979" t="s">
        <v>2381</v>
      </c>
      <c r="D1340" s="979">
        <v>5</v>
      </c>
      <c r="E1340" s="979">
        <v>1907</v>
      </c>
      <c r="F1340" s="979" t="s">
        <v>4973</v>
      </c>
      <c r="G1340" s="979" t="s">
        <v>4974</v>
      </c>
      <c r="H1340" s="979">
        <v>109410</v>
      </c>
      <c r="I1340" s="979">
        <v>102975</v>
      </c>
      <c r="J1340" s="979">
        <v>1</v>
      </c>
      <c r="K1340" s="979">
        <v>109410</v>
      </c>
      <c r="L1340" s="979">
        <v>102975</v>
      </c>
      <c r="M1340" s="979">
        <v>599</v>
      </c>
    </row>
    <row r="1341" spans="1:13" ht="15">
      <c r="A1341" s="979" t="s">
        <v>3567</v>
      </c>
      <c r="B1341" s="1040" t="str">
        <f>CONCATENATE(LEFT(RIGHT(CONCATENATE("000",IFAData_TEA_1617!A1341),6),3),"-",(RIGHT(RIGHT(CONCATENATE("000",IFAData_TEA_1617!A1341),6),3)))</f>
        <v>109-905</v>
      </c>
      <c r="C1341" s="979" t="s">
        <v>2381</v>
      </c>
      <c r="D1341" s="979">
        <v>4</v>
      </c>
      <c r="E1341" s="979">
        <v>1906</v>
      </c>
      <c r="F1341" s="979" t="s">
        <v>4971</v>
      </c>
      <c r="G1341" s="979" t="s">
        <v>4971</v>
      </c>
      <c r="H1341" s="979">
        <v>105808</v>
      </c>
      <c r="I1341" s="979">
        <v>0</v>
      </c>
      <c r="J1341" s="979">
        <v>0</v>
      </c>
      <c r="K1341" s="979">
        <v>0</v>
      </c>
      <c r="L1341" s="979">
        <v>0</v>
      </c>
      <c r="M1341" s="979">
        <v>599</v>
      </c>
    </row>
    <row r="1342" spans="1:13" ht="15">
      <c r="A1342" s="979" t="s">
        <v>3567</v>
      </c>
      <c r="B1342" s="1040" t="str">
        <f>CONCATENATE(LEFT(RIGHT(CONCATENATE("000",IFAData_TEA_1617!A1342),6),3),"-",(RIGHT(RIGHT(CONCATENATE("000",IFAData_TEA_1617!A1342),6),3)))</f>
        <v>109-905</v>
      </c>
      <c r="C1342" s="979" t="s">
        <v>2381</v>
      </c>
      <c r="D1342" s="979">
        <v>4</v>
      </c>
      <c r="E1342" s="979">
        <v>1906</v>
      </c>
      <c r="F1342" s="979" t="s">
        <v>4971</v>
      </c>
      <c r="G1342" s="979" t="s">
        <v>4972</v>
      </c>
      <c r="H1342" s="979">
        <v>105808</v>
      </c>
      <c r="I1342" s="979">
        <v>88016</v>
      </c>
      <c r="J1342" s="979">
        <v>1</v>
      </c>
      <c r="K1342" s="979">
        <v>105808</v>
      </c>
      <c r="L1342" s="979">
        <v>88016</v>
      </c>
      <c r="M1342" s="979">
        <v>599</v>
      </c>
    </row>
    <row r="1343" spans="1:13" ht="15">
      <c r="A1343" s="979" t="s">
        <v>3568</v>
      </c>
      <c r="B1343" s="1040" t="str">
        <f>CONCATENATE(LEFT(RIGHT(CONCATENATE("000",IFAData_TEA_1617!A1343),6),3),"-",(RIGHT(RIGHT(CONCATENATE("000",IFAData_TEA_1617!A1343),6),3)))</f>
        <v>109-907</v>
      </c>
      <c r="C1343" s="979" t="s">
        <v>404</v>
      </c>
      <c r="D1343" s="979">
        <v>2</v>
      </c>
      <c r="E1343" s="979">
        <v>1931</v>
      </c>
      <c r="F1343" s="979" t="s">
        <v>4975</v>
      </c>
      <c r="G1343" s="979" t="s">
        <v>4975</v>
      </c>
      <c r="H1343" s="979">
        <v>110751</v>
      </c>
      <c r="I1343" s="979">
        <v>115000</v>
      </c>
      <c r="J1343" s="979">
        <v>1</v>
      </c>
      <c r="K1343" s="979">
        <v>110751</v>
      </c>
      <c r="L1343" s="979">
        <v>110751</v>
      </c>
      <c r="M1343" s="979">
        <v>599</v>
      </c>
    </row>
    <row r="1344" spans="1:13" ht="15">
      <c r="A1344" s="979" t="s">
        <v>3569</v>
      </c>
      <c r="B1344" s="1040" t="str">
        <f>CONCATENATE(LEFT(RIGHT(CONCATENATE("000",IFAData_TEA_1617!A1344),6),3),"-",(RIGHT(RIGHT(CONCATENATE("000",IFAData_TEA_1617!A1344),6),3)))</f>
        <v>109-908</v>
      </c>
      <c r="C1344" s="979" t="s">
        <v>2152</v>
      </c>
      <c r="D1344" s="979">
        <v>9</v>
      </c>
      <c r="E1344" s="979">
        <v>2054</v>
      </c>
      <c r="F1344" s="979" t="s">
        <v>4977</v>
      </c>
      <c r="G1344" s="979" t="s">
        <v>4977</v>
      </c>
      <c r="H1344" s="979">
        <v>100000</v>
      </c>
      <c r="I1344" s="979">
        <v>78594</v>
      </c>
      <c r="J1344" s="979">
        <v>1</v>
      </c>
      <c r="K1344" s="979">
        <v>100000</v>
      </c>
      <c r="L1344" s="979">
        <v>78594</v>
      </c>
      <c r="M1344" s="979">
        <v>599</v>
      </c>
    </row>
    <row r="1345" spans="1:13" ht="15">
      <c r="A1345" s="979" t="s">
        <v>3569</v>
      </c>
      <c r="B1345" s="1040" t="str">
        <f>CONCATENATE(LEFT(RIGHT(CONCATENATE("000",IFAData_TEA_1617!A1345),6),3),"-",(RIGHT(RIGHT(CONCATENATE("000",IFAData_TEA_1617!A1345),6),3)))</f>
        <v>109-908</v>
      </c>
      <c r="C1345" s="979" t="s">
        <v>2152</v>
      </c>
      <c r="D1345" s="979">
        <v>5</v>
      </c>
      <c r="E1345" s="979">
        <v>2053</v>
      </c>
      <c r="F1345" s="979" t="s">
        <v>4976</v>
      </c>
      <c r="G1345" s="979" t="s">
        <v>4976</v>
      </c>
      <c r="H1345" s="979">
        <v>99613</v>
      </c>
      <c r="I1345" s="979">
        <v>99720</v>
      </c>
      <c r="J1345" s="979">
        <v>1</v>
      </c>
      <c r="K1345" s="979">
        <v>99613</v>
      </c>
      <c r="L1345" s="979">
        <v>99613</v>
      </c>
      <c r="M1345" s="979">
        <v>199</v>
      </c>
    </row>
    <row r="1346" spans="1:13" ht="15">
      <c r="A1346" s="979" t="s">
        <v>3570</v>
      </c>
      <c r="B1346" s="1040" t="str">
        <f>CONCATENATE(LEFT(RIGHT(CONCATENATE("000",IFAData_TEA_1617!A1346),6),3),"-",(RIGHT(RIGHT(CONCATENATE("000",IFAData_TEA_1617!A1346),6),3)))</f>
        <v>109-910</v>
      </c>
      <c r="C1346" s="979" t="s">
        <v>2243</v>
      </c>
      <c r="D1346" s="979">
        <v>10</v>
      </c>
      <c r="E1346" s="979">
        <v>2120</v>
      </c>
      <c r="F1346" s="979" t="s">
        <v>4979</v>
      </c>
      <c r="G1346" s="979" t="s">
        <v>4979</v>
      </c>
      <c r="H1346" s="979">
        <v>85000</v>
      </c>
      <c r="I1346" s="979">
        <v>90000</v>
      </c>
      <c r="J1346" s="979">
        <v>1</v>
      </c>
      <c r="K1346" s="979">
        <v>85000</v>
      </c>
      <c r="L1346" s="979">
        <v>85000</v>
      </c>
      <c r="M1346" s="979">
        <v>599</v>
      </c>
    </row>
    <row r="1347" spans="1:13" ht="15">
      <c r="A1347" s="979" t="s">
        <v>3570</v>
      </c>
      <c r="B1347" s="1040" t="str">
        <f>CONCATENATE(LEFT(RIGHT(CONCATENATE("000",IFAData_TEA_1617!A1347),6),3),"-",(RIGHT(RIGHT(CONCATENATE("000",IFAData_TEA_1617!A1347),6),3)))</f>
        <v>109-910</v>
      </c>
      <c r="C1347" s="979" t="s">
        <v>2243</v>
      </c>
      <c r="D1347" s="979">
        <v>5</v>
      </c>
      <c r="E1347" s="979">
        <v>2121</v>
      </c>
      <c r="F1347" s="979" t="s">
        <v>4978</v>
      </c>
      <c r="G1347" s="979" t="s">
        <v>4978</v>
      </c>
      <c r="H1347" s="979">
        <v>100000</v>
      </c>
      <c r="I1347" s="979">
        <v>84162</v>
      </c>
      <c r="J1347" s="979">
        <v>1</v>
      </c>
      <c r="K1347" s="979">
        <v>100000</v>
      </c>
      <c r="L1347" s="979">
        <v>84162</v>
      </c>
      <c r="M1347" s="979">
        <v>199</v>
      </c>
    </row>
    <row r="1348" spans="1:13" ht="15">
      <c r="A1348" s="979" t="s">
        <v>3571</v>
      </c>
      <c r="B1348" s="1040" t="str">
        <f>CONCATENATE(LEFT(RIGHT(CONCATENATE("000",IFAData_TEA_1617!A1348),6),3),"-",(RIGHT(RIGHT(CONCATENATE("000",IFAData_TEA_1617!A1348),6),3)))</f>
        <v>109-912</v>
      </c>
      <c r="C1348" s="979" t="s">
        <v>2419</v>
      </c>
      <c r="D1348" s="979">
        <v>5</v>
      </c>
      <c r="E1348" s="979">
        <v>1581</v>
      </c>
      <c r="F1348" s="979" t="s">
        <v>4980</v>
      </c>
      <c r="G1348" s="979" t="s">
        <v>4980</v>
      </c>
      <c r="H1348" s="979">
        <v>88897</v>
      </c>
      <c r="I1348" s="979">
        <v>0</v>
      </c>
      <c r="J1348" s="979">
        <v>0</v>
      </c>
      <c r="K1348" s="979">
        <v>0</v>
      </c>
      <c r="L1348" s="979">
        <v>0</v>
      </c>
      <c r="M1348" s="979">
        <v>599</v>
      </c>
    </row>
    <row r="1349" spans="1:13" ht="15">
      <c r="A1349" s="979" t="s">
        <v>3571</v>
      </c>
      <c r="B1349" s="1040" t="str">
        <f>CONCATENATE(LEFT(RIGHT(CONCATENATE("000",IFAData_TEA_1617!A1349),6),3),"-",(RIGHT(RIGHT(CONCATENATE("000",IFAData_TEA_1617!A1349),6),3)))</f>
        <v>109-912</v>
      </c>
      <c r="C1349" s="979" t="s">
        <v>2419</v>
      </c>
      <c r="D1349" s="979">
        <v>5</v>
      </c>
      <c r="E1349" s="979">
        <v>1581</v>
      </c>
      <c r="F1349" s="979" t="s">
        <v>4980</v>
      </c>
      <c r="G1349" s="979" t="s">
        <v>4981</v>
      </c>
      <c r="H1349" s="979">
        <v>88897</v>
      </c>
      <c r="I1349" s="979">
        <v>89750</v>
      </c>
      <c r="J1349" s="979">
        <v>1</v>
      </c>
      <c r="K1349" s="979">
        <v>88897</v>
      </c>
      <c r="L1349" s="979">
        <v>88897</v>
      </c>
      <c r="M1349" s="979">
        <v>599</v>
      </c>
    </row>
    <row r="1350" spans="1:13" ht="15">
      <c r="A1350" s="979" t="s">
        <v>4982</v>
      </c>
      <c r="B1350" s="1040" t="str">
        <f>CONCATENATE(LEFT(RIGHT(CONCATENATE("000",IFAData_TEA_1617!A1350),6),3),"-",(RIGHT(RIGHT(CONCATENATE("000",IFAData_TEA_1617!A1350),6),3)))</f>
        <v>109-913</v>
      </c>
      <c r="C1350" s="979" t="s">
        <v>1346</v>
      </c>
      <c r="D1350" s="979">
        <v>5</v>
      </c>
      <c r="E1350" s="979">
        <v>1625</v>
      </c>
      <c r="F1350" s="979" t="s">
        <v>4983</v>
      </c>
      <c r="G1350" s="979" t="s">
        <v>4983</v>
      </c>
      <c r="H1350" s="979">
        <v>91413</v>
      </c>
      <c r="I1350" s="979">
        <v>0</v>
      </c>
      <c r="J1350" s="979">
        <v>0</v>
      </c>
      <c r="K1350" s="979">
        <v>0</v>
      </c>
      <c r="L1350" s="979">
        <v>0</v>
      </c>
      <c r="M1350" s="979">
        <v>599</v>
      </c>
    </row>
    <row r="1351" spans="1:13" ht="15">
      <c r="A1351" s="979" t="s">
        <v>4982</v>
      </c>
      <c r="B1351" s="1040" t="str">
        <f>CONCATENATE(LEFT(RIGHT(CONCATENATE("000",IFAData_TEA_1617!A1351),6),3),"-",(RIGHT(RIGHT(CONCATENATE("000",IFAData_TEA_1617!A1351),6),3)))</f>
        <v>109-913</v>
      </c>
      <c r="C1351" s="979" t="s">
        <v>1346</v>
      </c>
      <c r="D1351" s="979">
        <v>5</v>
      </c>
      <c r="E1351" s="979">
        <v>1625</v>
      </c>
      <c r="F1351" s="979" t="s">
        <v>4983</v>
      </c>
      <c r="G1351" s="979" t="s">
        <v>4984</v>
      </c>
      <c r="H1351" s="979">
        <v>91413</v>
      </c>
      <c r="I1351" s="979">
        <v>0</v>
      </c>
      <c r="J1351" s="979">
        <v>0</v>
      </c>
      <c r="K1351" s="979">
        <v>0</v>
      </c>
      <c r="L1351" s="979">
        <v>0</v>
      </c>
      <c r="M1351" s="979">
        <v>599</v>
      </c>
    </row>
    <row r="1352" spans="1:13" ht="15">
      <c r="A1352" s="979" t="s">
        <v>4982</v>
      </c>
      <c r="B1352" s="1040" t="str">
        <f>CONCATENATE(LEFT(RIGHT(CONCATENATE("000",IFAData_TEA_1617!A1352),6),3),"-",(RIGHT(RIGHT(CONCATENATE("000",IFAData_TEA_1617!A1352),6),3)))</f>
        <v>109-913</v>
      </c>
      <c r="C1352" s="979" t="s">
        <v>1346</v>
      </c>
      <c r="D1352" s="979">
        <v>5</v>
      </c>
      <c r="E1352" s="979">
        <v>1625</v>
      </c>
      <c r="F1352" s="979" t="s">
        <v>4983</v>
      </c>
      <c r="G1352" s="979" t="s">
        <v>6830</v>
      </c>
      <c r="H1352" s="979">
        <v>91413</v>
      </c>
      <c r="I1352" s="979">
        <v>58629</v>
      </c>
      <c r="J1352" s="979">
        <v>1</v>
      </c>
      <c r="K1352" s="979">
        <v>91413</v>
      </c>
      <c r="L1352" s="979">
        <v>58629</v>
      </c>
      <c r="M1352" s="979">
        <v>599</v>
      </c>
    </row>
    <row r="1353" spans="1:13" ht="15">
      <c r="A1353" s="979" t="s">
        <v>4985</v>
      </c>
      <c r="B1353" s="1040" t="str">
        <f>CONCATENATE(LEFT(RIGHT(CONCATENATE("000",IFAData_TEA_1617!A1353),6),3),"-",(RIGHT(RIGHT(CONCATENATE("000",IFAData_TEA_1617!A1353),6),3)))</f>
        <v>109-914</v>
      </c>
      <c r="C1353" s="979" t="s">
        <v>2594</v>
      </c>
      <c r="D1353" s="979">
        <v>5</v>
      </c>
      <c r="E1353" s="979">
        <v>2185</v>
      </c>
      <c r="F1353" s="979" t="s">
        <v>4986</v>
      </c>
      <c r="G1353" s="979" t="s">
        <v>4986</v>
      </c>
      <c r="H1353" s="979">
        <v>99258</v>
      </c>
      <c r="I1353" s="979">
        <v>87630</v>
      </c>
      <c r="J1353" s="979">
        <v>1</v>
      </c>
      <c r="K1353" s="979">
        <v>99258</v>
      </c>
      <c r="L1353" s="979">
        <v>87630</v>
      </c>
      <c r="M1353" s="979">
        <v>199</v>
      </c>
    </row>
    <row r="1354" spans="1:13" ht="15">
      <c r="A1354" s="979" t="s">
        <v>3572</v>
      </c>
      <c r="B1354" s="1040" t="str">
        <f>CONCATENATE(LEFT(RIGHT(CONCATENATE("000",IFAData_TEA_1617!A1354),6),3),"-",(RIGHT(RIGHT(CONCATENATE("000",IFAData_TEA_1617!A1354),6),3)))</f>
        <v>110-906</v>
      </c>
      <c r="C1354" s="979" t="s">
        <v>1929</v>
      </c>
      <c r="D1354" s="979">
        <v>4</v>
      </c>
      <c r="E1354" s="979">
        <v>2344</v>
      </c>
      <c r="F1354" s="979" t="s">
        <v>4987</v>
      </c>
      <c r="G1354" s="979" t="s">
        <v>4987</v>
      </c>
      <c r="H1354" s="979">
        <v>97293</v>
      </c>
      <c r="I1354" s="979">
        <v>0</v>
      </c>
      <c r="J1354" s="979">
        <v>0</v>
      </c>
      <c r="K1354" s="979"/>
      <c r="L1354" s="979">
        <v>0</v>
      </c>
      <c r="M1354" s="979">
        <v>199</v>
      </c>
    </row>
    <row r="1355" spans="1:13" ht="15">
      <c r="A1355" s="979" t="s">
        <v>3572</v>
      </c>
      <c r="B1355" s="1040" t="str">
        <f>CONCATENATE(LEFT(RIGHT(CONCATENATE("000",IFAData_TEA_1617!A1355),6),3),"-",(RIGHT(RIGHT(CONCATENATE("000",IFAData_TEA_1617!A1355),6),3)))</f>
        <v>110-906</v>
      </c>
      <c r="C1355" s="979" t="s">
        <v>1929</v>
      </c>
      <c r="D1355" s="979">
        <v>10</v>
      </c>
      <c r="E1355" s="979">
        <v>2343</v>
      </c>
      <c r="F1355" s="979" t="s">
        <v>4988</v>
      </c>
      <c r="G1355" s="979" t="s">
        <v>4988</v>
      </c>
      <c r="H1355" s="979">
        <v>51451</v>
      </c>
      <c r="I1355" s="979">
        <v>46709</v>
      </c>
      <c r="J1355" s="979">
        <v>1</v>
      </c>
      <c r="K1355" s="979">
        <v>51451</v>
      </c>
      <c r="L1355" s="979">
        <v>46709</v>
      </c>
      <c r="M1355" s="979">
        <v>599</v>
      </c>
    </row>
    <row r="1356" spans="1:13" ht="15">
      <c r="A1356" s="979" t="s">
        <v>3573</v>
      </c>
      <c r="B1356" s="1040" t="str">
        <f>CONCATENATE(LEFT(RIGHT(CONCATENATE("000",IFAData_TEA_1617!A1356),6),3),"-",(RIGHT(RIGHT(CONCATENATE("000",IFAData_TEA_1617!A1356),6),3)))</f>
        <v>111-902</v>
      </c>
      <c r="C1356" s="979" t="s">
        <v>1566</v>
      </c>
      <c r="D1356" s="979">
        <v>2</v>
      </c>
      <c r="E1356" s="979">
        <v>2023</v>
      </c>
      <c r="F1356" s="979" t="s">
        <v>4989</v>
      </c>
      <c r="G1356" s="979" t="s">
        <v>4989</v>
      </c>
      <c r="H1356" s="979">
        <v>100000</v>
      </c>
      <c r="I1356" s="979">
        <v>0</v>
      </c>
      <c r="J1356" s="979">
        <v>0</v>
      </c>
      <c r="K1356" s="979">
        <v>0</v>
      </c>
      <c r="L1356" s="979">
        <v>0</v>
      </c>
      <c r="M1356" s="979">
        <v>599</v>
      </c>
    </row>
    <row r="1357" spans="1:13" ht="15">
      <c r="A1357" s="979" t="s">
        <v>3573</v>
      </c>
      <c r="B1357" s="1040" t="str">
        <f>CONCATENATE(LEFT(RIGHT(CONCATENATE("000",IFAData_TEA_1617!A1357),6),3),"-",(RIGHT(RIGHT(CONCATENATE("000",IFAData_TEA_1617!A1357),6),3)))</f>
        <v>111-902</v>
      </c>
      <c r="C1357" s="979" t="s">
        <v>1566</v>
      </c>
      <c r="D1357" s="979">
        <v>2</v>
      </c>
      <c r="E1357" s="979">
        <v>2023</v>
      </c>
      <c r="F1357" s="979" t="s">
        <v>4989</v>
      </c>
      <c r="G1357" s="979" t="s">
        <v>4990</v>
      </c>
      <c r="H1357" s="979">
        <v>100000</v>
      </c>
      <c r="I1357" s="979">
        <v>90080</v>
      </c>
      <c r="J1357" s="979">
        <v>1</v>
      </c>
      <c r="K1357" s="979">
        <v>100000</v>
      </c>
      <c r="L1357" s="979">
        <v>90080</v>
      </c>
      <c r="M1357" s="979">
        <v>599</v>
      </c>
    </row>
    <row r="1358" spans="1:13" ht="15">
      <c r="A1358" s="979" t="s">
        <v>3573</v>
      </c>
      <c r="B1358" s="1040" t="str">
        <f>CONCATENATE(LEFT(RIGHT(CONCATENATE("000",IFAData_TEA_1617!A1358),6),3),"-",(RIGHT(RIGHT(CONCATENATE("000",IFAData_TEA_1617!A1358),6),3)))</f>
        <v>111-902</v>
      </c>
      <c r="C1358" s="979" t="s">
        <v>1566</v>
      </c>
      <c r="D1358" s="979">
        <v>3</v>
      </c>
      <c r="E1358" s="979">
        <v>2024</v>
      </c>
      <c r="F1358" s="979" t="s">
        <v>4991</v>
      </c>
      <c r="G1358" s="979" t="s">
        <v>4991</v>
      </c>
      <c r="H1358" s="979">
        <v>100000</v>
      </c>
      <c r="I1358" s="979">
        <v>155000</v>
      </c>
      <c r="J1358" s="979">
        <v>1</v>
      </c>
      <c r="K1358" s="979">
        <v>100000</v>
      </c>
      <c r="L1358" s="979">
        <v>100000</v>
      </c>
      <c r="M1358" s="979">
        <v>599</v>
      </c>
    </row>
    <row r="1359" spans="1:13" ht="15">
      <c r="A1359" s="979" t="s">
        <v>3574</v>
      </c>
      <c r="B1359" s="1040" t="str">
        <f>CONCATENATE(LEFT(RIGHT(CONCATENATE("000",IFAData_TEA_1617!A1359),6),3),"-",(RIGHT(RIGHT(CONCATENATE("000",IFAData_TEA_1617!A1359),6),3)))</f>
        <v>111-903</v>
      </c>
      <c r="C1359" s="979" t="s">
        <v>605</v>
      </c>
      <c r="D1359" s="979">
        <v>3</v>
      </c>
      <c r="E1359" s="979">
        <v>2394</v>
      </c>
      <c r="F1359" s="979" t="s">
        <v>4992</v>
      </c>
      <c r="G1359" s="979" t="s">
        <v>4992</v>
      </c>
      <c r="H1359" s="979">
        <v>142382</v>
      </c>
      <c r="I1359" s="979">
        <v>0</v>
      </c>
      <c r="J1359" s="979">
        <v>0</v>
      </c>
      <c r="K1359" s="979">
        <v>0</v>
      </c>
      <c r="L1359" s="979">
        <v>0</v>
      </c>
      <c r="M1359" s="979">
        <v>599</v>
      </c>
    </row>
    <row r="1360" spans="1:13" ht="15">
      <c r="A1360" s="979" t="s">
        <v>3574</v>
      </c>
      <c r="B1360" s="1040" t="str">
        <f>CONCATENATE(LEFT(RIGHT(CONCATENATE("000",IFAData_TEA_1617!A1360),6),3),"-",(RIGHT(RIGHT(CONCATENATE("000",IFAData_TEA_1617!A1360),6),3)))</f>
        <v>111-903</v>
      </c>
      <c r="C1360" s="979" t="s">
        <v>605</v>
      </c>
      <c r="D1360" s="979">
        <v>3</v>
      </c>
      <c r="E1360" s="979">
        <v>2394</v>
      </c>
      <c r="F1360" s="979" t="s">
        <v>4992</v>
      </c>
      <c r="G1360" s="979" t="s">
        <v>4993</v>
      </c>
      <c r="H1360" s="979">
        <v>142382</v>
      </c>
      <c r="I1360" s="979">
        <v>210163</v>
      </c>
      <c r="J1360" s="979">
        <v>1</v>
      </c>
      <c r="K1360" s="979">
        <v>142382</v>
      </c>
      <c r="L1360" s="979">
        <v>142382</v>
      </c>
      <c r="M1360" s="979">
        <v>599</v>
      </c>
    </row>
    <row r="1361" spans="1:13" ht="15">
      <c r="A1361" s="979" t="s">
        <v>3575</v>
      </c>
      <c r="B1361" s="1040" t="str">
        <f>CONCATENATE(LEFT(RIGHT(CONCATENATE("000",IFAData_TEA_1617!A1361),6),3),"-",(RIGHT(RIGHT(CONCATENATE("000",IFAData_TEA_1617!A1361),6),3)))</f>
        <v>112-901</v>
      </c>
      <c r="C1361" s="979" t="s">
        <v>220</v>
      </c>
      <c r="D1361" s="979">
        <v>10</v>
      </c>
      <c r="E1361" s="979">
        <v>2387</v>
      </c>
      <c r="F1361" s="979" t="s">
        <v>4994</v>
      </c>
      <c r="G1361" s="979" t="s">
        <v>4994</v>
      </c>
      <c r="H1361" s="979">
        <v>922406</v>
      </c>
      <c r="I1361" s="979">
        <v>2081589</v>
      </c>
      <c r="J1361" s="979">
        <v>1</v>
      </c>
      <c r="K1361" s="979">
        <v>922406</v>
      </c>
      <c r="L1361" s="979">
        <v>922406</v>
      </c>
      <c r="M1361" s="979">
        <v>599</v>
      </c>
    </row>
    <row r="1362" spans="1:13" ht="15">
      <c r="A1362" s="979" t="s">
        <v>3576</v>
      </c>
      <c r="B1362" s="1040" t="str">
        <f>CONCATENATE(LEFT(RIGHT(CONCATENATE("000",IFAData_TEA_1617!A1362),6),3),"-",(RIGHT(RIGHT(CONCATENATE("000",IFAData_TEA_1617!A1362),6),3)))</f>
        <v>112-905</v>
      </c>
      <c r="C1362" s="979" t="s">
        <v>422</v>
      </c>
      <c r="D1362" s="979">
        <v>5</v>
      </c>
      <c r="E1362" s="979">
        <v>1742</v>
      </c>
      <c r="F1362" s="979" t="s">
        <v>4995</v>
      </c>
      <c r="G1362" s="979" t="s">
        <v>4995</v>
      </c>
      <c r="H1362" s="979">
        <v>100000</v>
      </c>
      <c r="I1362" s="979">
        <v>0</v>
      </c>
      <c r="J1362" s="979">
        <v>0</v>
      </c>
      <c r="K1362" s="979">
        <v>0</v>
      </c>
      <c r="L1362" s="979">
        <v>0</v>
      </c>
      <c r="M1362" s="979">
        <v>599</v>
      </c>
    </row>
    <row r="1363" spans="1:13" ht="15">
      <c r="A1363" s="979" t="s">
        <v>3576</v>
      </c>
      <c r="B1363" s="1040" t="str">
        <f>CONCATENATE(LEFT(RIGHT(CONCATENATE("000",IFAData_TEA_1617!A1363),6),3),"-",(RIGHT(RIGHT(CONCATENATE("000",IFAData_TEA_1617!A1363),6),3)))</f>
        <v>112-905</v>
      </c>
      <c r="C1363" s="979" t="s">
        <v>422</v>
      </c>
      <c r="D1363" s="979">
        <v>5</v>
      </c>
      <c r="E1363" s="979">
        <v>1742</v>
      </c>
      <c r="F1363" s="979" t="s">
        <v>4995</v>
      </c>
      <c r="G1363" s="979" t="s">
        <v>4996</v>
      </c>
      <c r="H1363" s="979">
        <v>100000</v>
      </c>
      <c r="I1363" s="979">
        <v>94100</v>
      </c>
      <c r="J1363" s="979">
        <v>1</v>
      </c>
      <c r="K1363" s="979">
        <v>100000</v>
      </c>
      <c r="L1363" s="979">
        <v>94100</v>
      </c>
      <c r="M1363" s="979">
        <v>599</v>
      </c>
    </row>
    <row r="1364" spans="1:13" ht="15">
      <c r="A1364" s="979" t="s">
        <v>3577</v>
      </c>
      <c r="B1364" s="1040" t="str">
        <f>CONCATENATE(LEFT(RIGHT(CONCATENATE("000",IFAData_TEA_1617!A1364),6),3),"-",(RIGHT(RIGHT(CONCATENATE("000",IFAData_TEA_1617!A1364),6),3)))</f>
        <v>112-907</v>
      </c>
      <c r="C1364" s="979" t="s">
        <v>2238</v>
      </c>
      <c r="D1364" s="979">
        <v>6</v>
      </c>
      <c r="E1364" s="979">
        <v>2106</v>
      </c>
      <c r="F1364" s="979" t="s">
        <v>4999</v>
      </c>
      <c r="G1364" s="979" t="s">
        <v>4998</v>
      </c>
      <c r="H1364" s="979">
        <v>94341</v>
      </c>
      <c r="I1364" s="979">
        <v>101309</v>
      </c>
      <c r="J1364" s="979">
        <v>1</v>
      </c>
      <c r="K1364" s="979">
        <v>94341</v>
      </c>
      <c r="L1364" s="979">
        <v>94341</v>
      </c>
      <c r="M1364" s="979">
        <v>599</v>
      </c>
    </row>
    <row r="1365" spans="1:13" ht="15">
      <c r="A1365" s="979" t="s">
        <v>3577</v>
      </c>
      <c r="B1365" s="1040" t="str">
        <f>CONCATENATE(LEFT(RIGHT(CONCATENATE("000",IFAData_TEA_1617!A1365),6),3),"-",(RIGHT(RIGHT(CONCATENATE("000",IFAData_TEA_1617!A1365),6),3)))</f>
        <v>112-907</v>
      </c>
      <c r="C1365" s="979" t="s">
        <v>2238</v>
      </c>
      <c r="D1365" s="979">
        <v>4</v>
      </c>
      <c r="E1365" s="979">
        <v>2107</v>
      </c>
      <c r="F1365" s="979" t="s">
        <v>4997</v>
      </c>
      <c r="G1365" s="979" t="s">
        <v>4998</v>
      </c>
      <c r="H1365" s="979">
        <v>98475</v>
      </c>
      <c r="I1365" s="979">
        <v>80791</v>
      </c>
      <c r="J1365" s="979">
        <v>1</v>
      </c>
      <c r="K1365" s="979">
        <v>98475</v>
      </c>
      <c r="L1365" s="979">
        <v>80791</v>
      </c>
      <c r="M1365" s="979">
        <v>599</v>
      </c>
    </row>
    <row r="1366" spans="1:13" ht="15">
      <c r="A1366" s="979" t="s">
        <v>3577</v>
      </c>
      <c r="B1366" s="1040" t="str">
        <f>CONCATENATE(LEFT(RIGHT(CONCATENATE("000",IFAData_TEA_1617!A1366),6),3),"-",(RIGHT(RIGHT(CONCATENATE("000",IFAData_TEA_1617!A1366),6),3)))</f>
        <v>112-907</v>
      </c>
      <c r="C1366" s="979" t="s">
        <v>2238</v>
      </c>
      <c r="D1366" s="979">
        <v>4</v>
      </c>
      <c r="E1366" s="979">
        <v>2107</v>
      </c>
      <c r="F1366" s="979" t="s">
        <v>4997</v>
      </c>
      <c r="G1366" s="979" t="s">
        <v>4997</v>
      </c>
      <c r="H1366" s="979">
        <v>98475</v>
      </c>
      <c r="I1366" s="979">
        <v>0</v>
      </c>
      <c r="J1366" s="979">
        <v>0</v>
      </c>
      <c r="K1366" s="979">
        <v>0</v>
      </c>
      <c r="L1366" s="979">
        <v>0</v>
      </c>
      <c r="M1366" s="979">
        <v>599</v>
      </c>
    </row>
    <row r="1367" spans="1:13" ht="15">
      <c r="A1367" s="979" t="s">
        <v>3577</v>
      </c>
      <c r="B1367" s="1040" t="str">
        <f>CONCATENATE(LEFT(RIGHT(CONCATENATE("000",IFAData_TEA_1617!A1367),6),3),"-",(RIGHT(RIGHT(CONCATENATE("000",IFAData_TEA_1617!A1367),6),3)))</f>
        <v>112-907</v>
      </c>
      <c r="C1367" s="979" t="s">
        <v>2238</v>
      </c>
      <c r="D1367" s="979">
        <v>6</v>
      </c>
      <c r="E1367" s="979">
        <v>2106</v>
      </c>
      <c r="F1367" s="979" t="s">
        <v>4999</v>
      </c>
      <c r="G1367" s="979" t="s">
        <v>4999</v>
      </c>
      <c r="H1367" s="979">
        <v>94341</v>
      </c>
      <c r="I1367" s="979">
        <v>0</v>
      </c>
      <c r="J1367" s="979">
        <v>0</v>
      </c>
      <c r="K1367" s="979">
        <v>0</v>
      </c>
      <c r="L1367" s="979">
        <v>0</v>
      </c>
      <c r="M1367" s="979">
        <v>599</v>
      </c>
    </row>
    <row r="1368" spans="1:13" ht="15">
      <c r="A1368" s="979" t="s">
        <v>3578</v>
      </c>
      <c r="B1368" s="1040" t="str">
        <f>CONCATENATE(LEFT(RIGHT(CONCATENATE("000",IFAData_TEA_1617!A1368),6),3),"-",(RIGHT(RIGHT(CONCATENATE("000",IFAData_TEA_1617!A1368),6),3)))</f>
        <v>112-910</v>
      </c>
      <c r="C1368" s="979" t="s">
        <v>1942</v>
      </c>
      <c r="D1368" s="979">
        <v>5</v>
      </c>
      <c r="E1368" s="979">
        <v>2386</v>
      </c>
      <c r="F1368" s="979" t="s">
        <v>5000</v>
      </c>
      <c r="G1368" s="979" t="s">
        <v>5000</v>
      </c>
      <c r="H1368" s="979">
        <v>100000</v>
      </c>
      <c r="I1368" s="979">
        <v>0</v>
      </c>
      <c r="J1368" s="979">
        <v>0</v>
      </c>
      <c r="K1368" s="979">
        <v>0</v>
      </c>
      <c r="L1368" s="979">
        <v>0</v>
      </c>
      <c r="M1368" s="979">
        <v>599</v>
      </c>
    </row>
    <row r="1369" spans="1:13" ht="15">
      <c r="A1369" s="979" t="s">
        <v>3578</v>
      </c>
      <c r="B1369" s="1040" t="str">
        <f>CONCATENATE(LEFT(RIGHT(CONCATENATE("000",IFAData_TEA_1617!A1369),6),3),"-",(RIGHT(RIGHT(CONCATENATE("000",IFAData_TEA_1617!A1369),6),3)))</f>
        <v>112-910</v>
      </c>
      <c r="C1369" s="979" t="s">
        <v>1942</v>
      </c>
      <c r="D1369" s="979">
        <v>5</v>
      </c>
      <c r="E1369" s="979">
        <v>2386</v>
      </c>
      <c r="F1369" s="979" t="s">
        <v>5000</v>
      </c>
      <c r="G1369" s="979" t="s">
        <v>5001</v>
      </c>
      <c r="H1369" s="979">
        <v>100000</v>
      </c>
      <c r="I1369" s="979">
        <v>84934</v>
      </c>
      <c r="J1369" s="979">
        <v>1</v>
      </c>
      <c r="K1369" s="979">
        <v>100000</v>
      </c>
      <c r="L1369" s="979">
        <v>84934</v>
      </c>
      <c r="M1369" s="979">
        <v>599</v>
      </c>
    </row>
    <row r="1370" spans="1:13" ht="15">
      <c r="A1370" s="979" t="s">
        <v>3579</v>
      </c>
      <c r="B1370" s="1040" t="str">
        <f>CONCATENATE(LEFT(RIGHT(CONCATENATE("000",IFAData_TEA_1617!A1370),6),3),"-",(RIGHT(RIGHT(CONCATENATE("000",IFAData_TEA_1617!A1370),6),3)))</f>
        <v>114-901</v>
      </c>
      <c r="C1370" s="979" t="s">
        <v>1572</v>
      </c>
      <c r="D1370" s="979">
        <v>10</v>
      </c>
      <c r="E1370" s="979">
        <v>1608</v>
      </c>
      <c r="F1370" s="979" t="s">
        <v>5002</v>
      </c>
      <c r="G1370" s="979" t="s">
        <v>5002</v>
      </c>
      <c r="H1370" s="979">
        <v>889573</v>
      </c>
      <c r="I1370" s="979">
        <v>2624075</v>
      </c>
      <c r="J1370" s="979">
        <v>1</v>
      </c>
      <c r="K1370" s="979">
        <v>889573</v>
      </c>
      <c r="L1370" s="979">
        <v>889573</v>
      </c>
      <c r="M1370" s="979">
        <v>599</v>
      </c>
    </row>
    <row r="1371" spans="1:13" ht="15">
      <c r="A1371" s="979" t="s">
        <v>3580</v>
      </c>
      <c r="B1371" s="1040" t="str">
        <f>CONCATENATE(LEFT(RIGHT(CONCATENATE("000",IFAData_TEA_1617!A1371),6),3),"-",(RIGHT(RIGHT(CONCATENATE("000",IFAData_TEA_1617!A1371),6),3)))</f>
        <v>116-901</v>
      </c>
      <c r="C1371" s="979" t="s">
        <v>651</v>
      </c>
      <c r="D1371" s="979">
        <v>5</v>
      </c>
      <c r="E1371" s="979">
        <v>1658</v>
      </c>
      <c r="F1371" s="979" t="s">
        <v>5003</v>
      </c>
      <c r="G1371" s="979" t="s">
        <v>5004</v>
      </c>
      <c r="H1371" s="979">
        <v>490385</v>
      </c>
      <c r="I1371" s="979">
        <v>67637</v>
      </c>
      <c r="J1371" s="979">
        <v>9.0421862633954353E-2</v>
      </c>
      <c r="K1371" s="979">
        <v>44341.525107751702</v>
      </c>
      <c r="L1371" s="979">
        <v>44341.525107751702</v>
      </c>
      <c r="M1371" s="979">
        <v>599</v>
      </c>
    </row>
    <row r="1372" spans="1:13" ht="15">
      <c r="A1372" s="979" t="s">
        <v>3580</v>
      </c>
      <c r="B1372" s="1040" t="str">
        <f>CONCATENATE(LEFT(RIGHT(CONCATENATE("000",IFAData_TEA_1617!A1372),6),3),"-",(RIGHT(RIGHT(CONCATENATE("000",IFAData_TEA_1617!A1372),6),3)))</f>
        <v>116-901</v>
      </c>
      <c r="C1372" s="979" t="s">
        <v>651</v>
      </c>
      <c r="D1372" s="979">
        <v>5</v>
      </c>
      <c r="E1372" s="979">
        <v>1658</v>
      </c>
      <c r="F1372" s="979" t="s">
        <v>5003</v>
      </c>
      <c r="G1372" s="979" t="s">
        <v>5005</v>
      </c>
      <c r="H1372" s="979">
        <v>490385</v>
      </c>
      <c r="I1372" s="979">
        <v>196958</v>
      </c>
      <c r="J1372" s="979">
        <v>0.26330720198498425</v>
      </c>
      <c r="K1372" s="979">
        <v>129121.9022454065</v>
      </c>
      <c r="L1372" s="979">
        <v>129121.9022454065</v>
      </c>
      <c r="M1372" s="979">
        <v>599</v>
      </c>
    </row>
    <row r="1373" spans="1:13" ht="15">
      <c r="A1373" s="979" t="s">
        <v>3580</v>
      </c>
      <c r="B1373" s="1040" t="str">
        <f>CONCATENATE(LEFT(RIGHT(CONCATENATE("000",IFAData_TEA_1617!A1373),6),3),"-",(RIGHT(RIGHT(CONCATENATE("000",IFAData_TEA_1617!A1373),6),3)))</f>
        <v>116-901</v>
      </c>
      <c r="C1373" s="979" t="s">
        <v>651</v>
      </c>
      <c r="D1373" s="979">
        <v>5</v>
      </c>
      <c r="E1373" s="979">
        <v>1658</v>
      </c>
      <c r="F1373" s="979" t="s">
        <v>5003</v>
      </c>
      <c r="G1373" s="979" t="s">
        <v>5003</v>
      </c>
      <c r="H1373" s="979">
        <v>490385</v>
      </c>
      <c r="I1373" s="979">
        <v>276432</v>
      </c>
      <c r="J1373" s="979">
        <v>0.36955359243652541</v>
      </c>
      <c r="K1373" s="979">
        <v>181223.53842698553</v>
      </c>
      <c r="L1373" s="979">
        <v>181223.53842698553</v>
      </c>
      <c r="M1373" s="979">
        <v>599</v>
      </c>
    </row>
    <row r="1374" spans="1:13" ht="15">
      <c r="A1374" s="979" t="s">
        <v>3580</v>
      </c>
      <c r="B1374" s="1040" t="str">
        <f>CONCATENATE(LEFT(RIGHT(CONCATENATE("000",IFAData_TEA_1617!A1374),6),3),"-",(RIGHT(RIGHT(CONCATENATE("000",IFAData_TEA_1617!A1374),6),3)))</f>
        <v>116-901</v>
      </c>
      <c r="C1374" s="979" t="s">
        <v>651</v>
      </c>
      <c r="D1374" s="979">
        <v>9</v>
      </c>
      <c r="E1374" s="979">
        <v>1657</v>
      </c>
      <c r="F1374" s="979" t="s">
        <v>5006</v>
      </c>
      <c r="G1374" s="979" t="s">
        <v>6482</v>
      </c>
      <c r="H1374" s="979">
        <v>355698</v>
      </c>
      <c r="I1374" s="979">
        <v>198626</v>
      </c>
      <c r="J1374" s="979">
        <v>0.29559243941966695</v>
      </c>
      <c r="K1374" s="979">
        <v>105141.6395166967</v>
      </c>
      <c r="L1374" s="979">
        <v>105141.6395166967</v>
      </c>
      <c r="M1374" s="979">
        <v>599</v>
      </c>
    </row>
    <row r="1375" spans="1:13" ht="15">
      <c r="A1375" s="979" t="s">
        <v>3580</v>
      </c>
      <c r="B1375" s="1040" t="str">
        <f>CONCATENATE(LEFT(RIGHT(CONCATENATE("000",IFAData_TEA_1617!A1375),6),3),"-",(RIGHT(RIGHT(CONCATENATE("000",IFAData_TEA_1617!A1375),6),3)))</f>
        <v>116-901</v>
      </c>
      <c r="C1375" s="979" t="s">
        <v>651</v>
      </c>
      <c r="D1375" s="979">
        <v>9</v>
      </c>
      <c r="E1375" s="979">
        <v>1657</v>
      </c>
      <c r="F1375" s="979" t="s">
        <v>5006</v>
      </c>
      <c r="G1375" s="979" t="s">
        <v>5006</v>
      </c>
      <c r="H1375" s="979">
        <v>355698</v>
      </c>
      <c r="I1375" s="979">
        <v>196074</v>
      </c>
      <c r="J1375" s="979">
        <v>0.29179458865793895</v>
      </c>
      <c r="K1375" s="979">
        <v>103790.75159645156</v>
      </c>
      <c r="L1375" s="979">
        <v>103790.75159645156</v>
      </c>
      <c r="M1375" s="979">
        <v>599</v>
      </c>
    </row>
    <row r="1376" spans="1:13" ht="15">
      <c r="A1376" s="979" t="s">
        <v>3580</v>
      </c>
      <c r="B1376" s="1040" t="str">
        <f>CONCATENATE(LEFT(RIGHT(CONCATENATE("000",IFAData_TEA_1617!A1376),6),3),"-",(RIGHT(RIGHT(CONCATENATE("000",IFAData_TEA_1617!A1376),6),3)))</f>
        <v>116-901</v>
      </c>
      <c r="C1376" s="979" t="s">
        <v>651</v>
      </c>
      <c r="D1376" s="979">
        <v>9</v>
      </c>
      <c r="E1376" s="979">
        <v>1657</v>
      </c>
      <c r="F1376" s="979" t="s">
        <v>5006</v>
      </c>
      <c r="G1376" s="979" t="s">
        <v>6276</v>
      </c>
      <c r="H1376" s="979">
        <v>355698</v>
      </c>
      <c r="I1376" s="979">
        <v>277259</v>
      </c>
      <c r="J1376" s="979">
        <v>0.4126129719223941</v>
      </c>
      <c r="K1376" s="979">
        <v>146765.60888685173</v>
      </c>
      <c r="L1376" s="979">
        <v>146765.60888685173</v>
      </c>
      <c r="M1376" s="979">
        <v>599</v>
      </c>
    </row>
    <row r="1377" spans="1:13" ht="15">
      <c r="A1377" s="979" t="s">
        <v>3580</v>
      </c>
      <c r="B1377" s="1040" t="str">
        <f>CONCATENATE(LEFT(RIGHT(CONCATENATE("000",IFAData_TEA_1617!A1377),6),3),"-",(RIGHT(RIGHT(CONCATENATE("000",IFAData_TEA_1617!A1377),6),3)))</f>
        <v>116-901</v>
      </c>
      <c r="C1377" s="979" t="s">
        <v>651</v>
      </c>
      <c r="D1377" s="979">
        <v>5</v>
      </c>
      <c r="E1377" s="979">
        <v>1658</v>
      </c>
      <c r="F1377" s="979" t="s">
        <v>5003</v>
      </c>
      <c r="G1377" s="979" t="s">
        <v>6277</v>
      </c>
      <c r="H1377" s="979">
        <v>490385</v>
      </c>
      <c r="I1377" s="979">
        <v>206989</v>
      </c>
      <c r="J1377" s="979">
        <v>0.27671734294453593</v>
      </c>
      <c r="K1377" s="979">
        <v>135698.03421985626</v>
      </c>
      <c r="L1377" s="979">
        <v>135698.03421985626</v>
      </c>
      <c r="M1377" s="979">
        <v>599</v>
      </c>
    </row>
    <row r="1378" spans="1:13" ht="15">
      <c r="A1378" s="979" t="s">
        <v>3581</v>
      </c>
      <c r="B1378" s="1040" t="str">
        <f>CONCATENATE(LEFT(RIGHT(CONCATENATE("000",IFAData_TEA_1617!A1378),6),3),"-",(RIGHT(RIGHT(CONCATENATE("000",IFAData_TEA_1617!A1378),6),3)))</f>
        <v>116-902</v>
      </c>
      <c r="C1378" s="979" t="s">
        <v>1578</v>
      </c>
      <c r="D1378" s="979">
        <v>9</v>
      </c>
      <c r="E1378" s="979">
        <v>1670</v>
      </c>
      <c r="F1378" s="979" t="s">
        <v>5007</v>
      </c>
      <c r="G1378" s="979" t="s">
        <v>5007</v>
      </c>
      <c r="H1378" s="979">
        <v>123500</v>
      </c>
      <c r="I1378" s="979">
        <v>201054</v>
      </c>
      <c r="J1378" s="979">
        <v>0.44650388087544557</v>
      </c>
      <c r="K1378" s="979">
        <v>55143.229288117531</v>
      </c>
      <c r="L1378" s="979">
        <v>55143.229288117531</v>
      </c>
      <c r="M1378" s="979">
        <v>599</v>
      </c>
    </row>
    <row r="1379" spans="1:13" ht="15">
      <c r="A1379" s="979" t="s">
        <v>3581</v>
      </c>
      <c r="B1379" s="1040" t="str">
        <f>CONCATENATE(LEFT(RIGHT(CONCATENATE("000",IFAData_TEA_1617!A1379),6),3),"-",(RIGHT(RIGHT(CONCATENATE("000",IFAData_TEA_1617!A1379),6),3)))</f>
        <v>116-902</v>
      </c>
      <c r="C1379" s="979" t="s">
        <v>1578</v>
      </c>
      <c r="D1379" s="979">
        <v>9</v>
      </c>
      <c r="E1379" s="979">
        <v>1670</v>
      </c>
      <c r="F1379" s="979" t="s">
        <v>5007</v>
      </c>
      <c r="G1379" s="979" t="s">
        <v>6278</v>
      </c>
      <c r="H1379" s="979">
        <v>123500</v>
      </c>
      <c r="I1379" s="979">
        <v>249231</v>
      </c>
      <c r="J1379" s="979">
        <v>0.55349611912455443</v>
      </c>
      <c r="K1379" s="979">
        <v>68356.770711882476</v>
      </c>
      <c r="L1379" s="979">
        <v>68356.770711882476</v>
      </c>
      <c r="M1379" s="979">
        <v>599</v>
      </c>
    </row>
    <row r="1380" spans="1:13" ht="15">
      <c r="A1380" s="979" t="s">
        <v>3582</v>
      </c>
      <c r="B1380" s="1040" t="str">
        <f>CONCATENATE(LEFT(RIGHT(CONCATENATE("000",IFAData_TEA_1617!A1380),6),3),"-",(RIGHT(RIGHT(CONCATENATE("000",IFAData_TEA_1617!A1380),6),3)))</f>
        <v>116-903</v>
      </c>
      <c r="C1380" s="979" t="s">
        <v>1550</v>
      </c>
      <c r="D1380" s="979">
        <v>5</v>
      </c>
      <c r="E1380" s="979">
        <v>1711</v>
      </c>
      <c r="F1380" s="979" t="s">
        <v>5008</v>
      </c>
      <c r="G1380" s="979" t="s">
        <v>5010</v>
      </c>
      <c r="H1380" s="979">
        <v>568204</v>
      </c>
      <c r="I1380" s="979">
        <v>186863</v>
      </c>
      <c r="J1380" s="979">
        <v>0.16284385680846503</v>
      </c>
      <c r="K1380" s="979">
        <v>92528.530813997058</v>
      </c>
      <c r="L1380" s="979">
        <v>92528.530813997058</v>
      </c>
      <c r="M1380" s="979">
        <v>599</v>
      </c>
    </row>
    <row r="1381" spans="1:13" ht="15">
      <c r="A1381" s="979" t="s">
        <v>3582</v>
      </c>
      <c r="B1381" s="1040" t="str">
        <f>CONCATENATE(LEFT(RIGHT(CONCATENATE("000",IFAData_TEA_1617!A1381),6),3),"-",(RIGHT(RIGHT(CONCATENATE("000",IFAData_TEA_1617!A1381),6),3)))</f>
        <v>116-903</v>
      </c>
      <c r="C1381" s="979" t="s">
        <v>1550</v>
      </c>
      <c r="D1381" s="979">
        <v>5</v>
      </c>
      <c r="E1381" s="979">
        <v>1711</v>
      </c>
      <c r="F1381" s="979" t="s">
        <v>5008</v>
      </c>
      <c r="G1381" s="979" t="s">
        <v>5008</v>
      </c>
      <c r="H1381" s="979">
        <v>568204</v>
      </c>
      <c r="I1381" s="979">
        <v>0</v>
      </c>
      <c r="J1381" s="979">
        <v>0</v>
      </c>
      <c r="K1381" s="979">
        <v>0</v>
      </c>
      <c r="L1381" s="979">
        <v>0</v>
      </c>
      <c r="M1381" s="979">
        <v>599</v>
      </c>
    </row>
    <row r="1382" spans="1:13" ht="15">
      <c r="A1382" s="979" t="s">
        <v>3582</v>
      </c>
      <c r="B1382" s="1040" t="str">
        <f>CONCATENATE(LEFT(RIGHT(CONCATENATE("000",IFAData_TEA_1617!A1382),6),3),"-",(RIGHT(RIGHT(CONCATENATE("000",IFAData_TEA_1617!A1382),6),3)))</f>
        <v>116-903</v>
      </c>
      <c r="C1382" s="979" t="s">
        <v>1550</v>
      </c>
      <c r="D1382" s="979">
        <v>5</v>
      </c>
      <c r="E1382" s="979">
        <v>1711</v>
      </c>
      <c r="F1382" s="979" t="s">
        <v>5008</v>
      </c>
      <c r="G1382" s="979" t="s">
        <v>5009</v>
      </c>
      <c r="H1382" s="979">
        <v>568204</v>
      </c>
      <c r="I1382" s="979">
        <v>774201</v>
      </c>
      <c r="J1382" s="979">
        <v>0.6746861432438227</v>
      </c>
      <c r="K1382" s="979">
        <v>383359.36533571302</v>
      </c>
      <c r="L1382" s="979">
        <v>383359.36533571302</v>
      </c>
      <c r="M1382" s="979">
        <v>599</v>
      </c>
    </row>
    <row r="1383" spans="1:13" ht="15">
      <c r="A1383" s="979" t="s">
        <v>3582</v>
      </c>
      <c r="B1383" s="1040" t="str">
        <f>CONCATENATE(LEFT(RIGHT(CONCATENATE("000",IFAData_TEA_1617!A1383),6),3),"-",(RIGHT(RIGHT(CONCATENATE("000",IFAData_TEA_1617!A1383),6),3)))</f>
        <v>116-903</v>
      </c>
      <c r="C1383" s="979" t="s">
        <v>1550</v>
      </c>
      <c r="D1383" s="979">
        <v>5</v>
      </c>
      <c r="E1383" s="979">
        <v>1711</v>
      </c>
      <c r="F1383" s="979" t="s">
        <v>5008</v>
      </c>
      <c r="G1383" s="979" t="s">
        <v>6279</v>
      </c>
      <c r="H1383" s="979">
        <v>568204</v>
      </c>
      <c r="I1383" s="979">
        <v>186434</v>
      </c>
      <c r="J1383" s="979">
        <v>0.16246999994771233</v>
      </c>
      <c r="K1383" s="979">
        <v>92316.103850289932</v>
      </c>
      <c r="L1383" s="979">
        <v>92316.103850289932</v>
      </c>
      <c r="M1383" s="979">
        <v>599</v>
      </c>
    </row>
    <row r="1384" spans="1:13" ht="15">
      <c r="A1384" s="979" t="s">
        <v>3583</v>
      </c>
      <c r="B1384" s="1040" t="str">
        <f>CONCATENATE(LEFT(RIGHT(CONCATENATE("000",IFAData_TEA_1617!A1384),6),3),"-",(RIGHT(RIGHT(CONCATENATE("000",IFAData_TEA_1617!A1384),6),3)))</f>
        <v>116-906</v>
      </c>
      <c r="C1384" s="979" t="s">
        <v>2125</v>
      </c>
      <c r="D1384" s="979">
        <v>4</v>
      </c>
      <c r="E1384" s="979">
        <v>2033</v>
      </c>
      <c r="F1384" s="979" t="s">
        <v>5011</v>
      </c>
      <c r="G1384" s="979" t="s">
        <v>5012</v>
      </c>
      <c r="H1384" s="979">
        <v>179503</v>
      </c>
      <c r="I1384" s="979">
        <v>235444</v>
      </c>
      <c r="J1384" s="979">
        <v>1</v>
      </c>
      <c r="K1384" s="979">
        <v>179503</v>
      </c>
      <c r="L1384" s="979">
        <v>179503</v>
      </c>
      <c r="M1384" s="979">
        <v>599</v>
      </c>
    </row>
    <row r="1385" spans="1:13" ht="15">
      <c r="A1385" s="979" t="s">
        <v>3583</v>
      </c>
      <c r="B1385" s="1040" t="str">
        <f>CONCATENATE(LEFT(RIGHT(CONCATENATE("000",IFAData_TEA_1617!A1385),6),3),"-",(RIGHT(RIGHT(CONCATENATE("000",IFAData_TEA_1617!A1385),6),3)))</f>
        <v>116-906</v>
      </c>
      <c r="C1385" s="979" t="s">
        <v>2125</v>
      </c>
      <c r="D1385" s="979">
        <v>4</v>
      </c>
      <c r="E1385" s="979">
        <v>2033</v>
      </c>
      <c r="F1385" s="979" t="s">
        <v>5011</v>
      </c>
      <c r="G1385" s="979" t="s">
        <v>5011</v>
      </c>
      <c r="H1385" s="979">
        <v>179503</v>
      </c>
      <c r="I1385" s="979">
        <v>0</v>
      </c>
      <c r="J1385" s="979">
        <v>0</v>
      </c>
      <c r="K1385" s="979">
        <v>0</v>
      </c>
      <c r="L1385" s="979">
        <v>0</v>
      </c>
      <c r="M1385" s="979">
        <v>599</v>
      </c>
    </row>
    <row r="1386" spans="1:13" ht="15">
      <c r="A1386" s="979" t="s">
        <v>3584</v>
      </c>
      <c r="B1386" s="1040" t="str">
        <f>CONCATENATE(LEFT(RIGHT(CONCATENATE("000",IFAData_TEA_1617!A1386),6),3),"-",(RIGHT(RIGHT(CONCATENATE("000",IFAData_TEA_1617!A1386),6),3)))</f>
        <v>116-908</v>
      </c>
      <c r="C1386" s="979" t="s">
        <v>77</v>
      </c>
      <c r="D1386" s="979">
        <v>1</v>
      </c>
      <c r="E1386" s="979">
        <v>2223</v>
      </c>
      <c r="F1386" s="979" t="s">
        <v>5013</v>
      </c>
      <c r="G1386" s="979" t="s">
        <v>5014</v>
      </c>
      <c r="H1386" s="979">
        <v>647776</v>
      </c>
      <c r="I1386" s="979">
        <v>596329</v>
      </c>
      <c r="J1386" s="979">
        <v>1</v>
      </c>
      <c r="K1386" s="979">
        <v>647776</v>
      </c>
      <c r="L1386" s="979">
        <v>596329</v>
      </c>
      <c r="M1386" s="979">
        <v>599</v>
      </c>
    </row>
    <row r="1387" spans="1:13" ht="15">
      <c r="A1387" s="979" t="s">
        <v>3584</v>
      </c>
      <c r="B1387" s="1040" t="str">
        <f>CONCATENATE(LEFT(RIGHT(CONCATENATE("000",IFAData_TEA_1617!A1387),6),3),"-",(RIGHT(RIGHT(CONCATENATE("000",IFAData_TEA_1617!A1387),6),3)))</f>
        <v>116-908</v>
      </c>
      <c r="C1387" s="979" t="s">
        <v>77</v>
      </c>
      <c r="D1387" s="979">
        <v>6</v>
      </c>
      <c r="E1387" s="979">
        <v>2224</v>
      </c>
      <c r="F1387" s="979" t="s">
        <v>5015</v>
      </c>
      <c r="G1387" s="979" t="s">
        <v>5016</v>
      </c>
      <c r="H1387" s="979">
        <v>685070</v>
      </c>
      <c r="I1387" s="979">
        <v>623360</v>
      </c>
      <c r="J1387" s="979">
        <v>1</v>
      </c>
      <c r="K1387" s="979">
        <v>685070</v>
      </c>
      <c r="L1387" s="979">
        <v>623360</v>
      </c>
      <c r="M1387" s="979">
        <v>599</v>
      </c>
    </row>
    <row r="1388" spans="1:13" ht="15">
      <c r="A1388" s="979" t="s">
        <v>3584</v>
      </c>
      <c r="B1388" s="1040" t="str">
        <f>CONCATENATE(LEFT(RIGHT(CONCATENATE("000",IFAData_TEA_1617!A1388),6),3),"-",(RIGHT(RIGHT(CONCATENATE("000",IFAData_TEA_1617!A1388),6),3)))</f>
        <v>116-908</v>
      </c>
      <c r="C1388" s="979" t="s">
        <v>77</v>
      </c>
      <c r="D1388" s="979">
        <v>1</v>
      </c>
      <c r="E1388" s="979">
        <v>2223</v>
      </c>
      <c r="F1388" s="979" t="s">
        <v>5013</v>
      </c>
      <c r="G1388" s="979" t="s">
        <v>5013</v>
      </c>
      <c r="H1388" s="979">
        <v>647776</v>
      </c>
      <c r="I1388" s="979">
        <v>0</v>
      </c>
      <c r="J1388" s="979">
        <v>0</v>
      </c>
      <c r="K1388" s="979">
        <v>0</v>
      </c>
      <c r="L1388" s="979">
        <v>0</v>
      </c>
      <c r="M1388" s="979">
        <v>599</v>
      </c>
    </row>
    <row r="1389" spans="1:13" ht="15">
      <c r="A1389" s="979" t="s">
        <v>3584</v>
      </c>
      <c r="B1389" s="1040" t="str">
        <f>CONCATENATE(LEFT(RIGHT(CONCATENATE("000",IFAData_TEA_1617!A1389),6),3),"-",(RIGHT(RIGHT(CONCATENATE("000",IFAData_TEA_1617!A1389),6),3)))</f>
        <v>116-908</v>
      </c>
      <c r="C1389" s="979" t="s">
        <v>77</v>
      </c>
      <c r="D1389" s="979">
        <v>6</v>
      </c>
      <c r="E1389" s="979">
        <v>2224</v>
      </c>
      <c r="F1389" s="979" t="s">
        <v>5015</v>
      </c>
      <c r="G1389" s="979" t="s">
        <v>5015</v>
      </c>
      <c r="H1389" s="979">
        <v>685070</v>
      </c>
      <c r="I1389" s="979">
        <v>0</v>
      </c>
      <c r="J1389" s="979">
        <v>0</v>
      </c>
      <c r="K1389" s="979">
        <v>0</v>
      </c>
      <c r="L1389" s="979">
        <v>0</v>
      </c>
      <c r="M1389" s="979">
        <v>599</v>
      </c>
    </row>
    <row r="1390" spans="1:13" ht="15">
      <c r="A1390" s="979" t="s">
        <v>3585</v>
      </c>
      <c r="B1390" s="1040" t="str">
        <f>CONCATENATE(LEFT(RIGHT(CONCATENATE("000",IFAData_TEA_1617!A1390),6),3),"-",(RIGHT(RIGHT(CONCATENATE("000",IFAData_TEA_1617!A1390),6),3)))</f>
        <v>116-909</v>
      </c>
      <c r="C1390" s="979" t="s">
        <v>1131</v>
      </c>
      <c r="D1390" s="979">
        <v>5</v>
      </c>
      <c r="E1390" s="979">
        <v>2461</v>
      </c>
      <c r="F1390" s="979" t="s">
        <v>5017</v>
      </c>
      <c r="G1390" s="979" t="s">
        <v>5017</v>
      </c>
      <c r="H1390" s="979">
        <v>144000</v>
      </c>
      <c r="I1390" s="979">
        <v>0</v>
      </c>
      <c r="J1390" s="979">
        <v>0</v>
      </c>
      <c r="K1390" s="979">
        <v>0</v>
      </c>
      <c r="L1390" s="979">
        <v>0</v>
      </c>
      <c r="M1390" s="979">
        <v>599</v>
      </c>
    </row>
    <row r="1391" spans="1:13" ht="15">
      <c r="A1391" s="979" t="s">
        <v>3585</v>
      </c>
      <c r="B1391" s="1040" t="str">
        <f>CONCATENATE(LEFT(RIGHT(CONCATENATE("000",IFAData_TEA_1617!A1391),6),3),"-",(RIGHT(RIGHT(CONCATENATE("000",IFAData_TEA_1617!A1391),6),3)))</f>
        <v>116-909</v>
      </c>
      <c r="C1391" s="979" t="s">
        <v>1131</v>
      </c>
      <c r="D1391" s="979">
        <v>5</v>
      </c>
      <c r="E1391" s="979">
        <v>2461</v>
      </c>
      <c r="F1391" s="979" t="s">
        <v>5017</v>
      </c>
      <c r="G1391" s="979" t="s">
        <v>5018</v>
      </c>
      <c r="H1391" s="979">
        <v>144000</v>
      </c>
      <c r="I1391" s="979">
        <v>126900</v>
      </c>
      <c r="J1391" s="979">
        <v>1</v>
      </c>
      <c r="K1391" s="979">
        <v>144000</v>
      </c>
      <c r="L1391" s="979">
        <v>126900</v>
      </c>
      <c r="M1391" s="979">
        <v>599</v>
      </c>
    </row>
    <row r="1392" spans="1:13" ht="15">
      <c r="A1392" s="979" t="s">
        <v>3586</v>
      </c>
      <c r="B1392" s="1040" t="str">
        <f>CONCATENATE(LEFT(RIGHT(CONCATENATE("000",IFAData_TEA_1617!A1392),6),3),"-",(RIGHT(RIGHT(CONCATENATE("000",IFAData_TEA_1617!A1392),6),3)))</f>
        <v>116-915</v>
      </c>
      <c r="C1392" s="979" t="s">
        <v>799</v>
      </c>
      <c r="D1392" s="979">
        <v>9</v>
      </c>
      <c r="E1392" s="979">
        <v>1615</v>
      </c>
      <c r="F1392" s="979" t="s">
        <v>5020</v>
      </c>
      <c r="G1392" s="979" t="s">
        <v>6483</v>
      </c>
      <c r="H1392" s="979">
        <v>136678</v>
      </c>
      <c r="I1392" s="979">
        <v>391650</v>
      </c>
      <c r="J1392" s="979">
        <v>0.49449196679397744</v>
      </c>
      <c r="K1392" s="979">
        <v>67586.173037467248</v>
      </c>
      <c r="L1392" s="979">
        <v>67586.173037467248</v>
      </c>
      <c r="M1392" s="979">
        <v>599</v>
      </c>
    </row>
    <row r="1393" spans="1:13" ht="15">
      <c r="A1393" s="979" t="s">
        <v>3586</v>
      </c>
      <c r="B1393" s="1040" t="str">
        <f>CONCATENATE(LEFT(RIGHT(CONCATENATE("000",IFAData_TEA_1617!A1393),6),3),"-",(RIGHT(RIGHT(CONCATENATE("000",IFAData_TEA_1617!A1393),6),3)))</f>
        <v>116-915</v>
      </c>
      <c r="C1393" s="979" t="s">
        <v>799</v>
      </c>
      <c r="D1393" s="979">
        <v>2</v>
      </c>
      <c r="E1393" s="979">
        <v>1614</v>
      </c>
      <c r="F1393" s="979" t="s">
        <v>5019</v>
      </c>
      <c r="G1393" s="979" t="s">
        <v>5019</v>
      </c>
      <c r="H1393" s="979">
        <v>93784</v>
      </c>
      <c r="I1393" s="979">
        <v>0</v>
      </c>
      <c r="J1393" s="979">
        <v>0</v>
      </c>
      <c r="K1393" s="979"/>
      <c r="L1393" s="979">
        <v>0</v>
      </c>
      <c r="M1393" s="979">
        <v>199</v>
      </c>
    </row>
    <row r="1394" spans="1:13" ht="15">
      <c r="A1394" s="979" t="s">
        <v>3586</v>
      </c>
      <c r="B1394" s="1040" t="str">
        <f>CONCATENATE(LEFT(RIGHT(CONCATENATE("000",IFAData_TEA_1617!A1394),6),3),"-",(RIGHT(RIGHT(CONCATENATE("000",IFAData_TEA_1617!A1394),6),3)))</f>
        <v>116-915</v>
      </c>
      <c r="C1394" s="979" t="s">
        <v>799</v>
      </c>
      <c r="D1394" s="979">
        <v>9</v>
      </c>
      <c r="E1394" s="979">
        <v>1615</v>
      </c>
      <c r="F1394" s="979" t="s">
        <v>5020</v>
      </c>
      <c r="G1394" s="979" t="s">
        <v>5020</v>
      </c>
      <c r="H1394" s="979">
        <v>136678</v>
      </c>
      <c r="I1394" s="979">
        <v>400375</v>
      </c>
      <c r="J1394" s="979">
        <v>0.50550803320602256</v>
      </c>
      <c r="K1394" s="979">
        <v>69091.826962532752</v>
      </c>
      <c r="L1394" s="979">
        <v>69091.826962532752</v>
      </c>
      <c r="M1394" s="979">
        <v>599</v>
      </c>
    </row>
    <row r="1395" spans="1:13" ht="15">
      <c r="A1395" s="979" t="s">
        <v>3587</v>
      </c>
      <c r="B1395" s="1040" t="str">
        <f>CONCATENATE(LEFT(RIGHT(CONCATENATE("000",IFAData_TEA_1617!A1395),6),3),"-",(RIGHT(RIGHT(CONCATENATE("000",IFAData_TEA_1617!A1395),6),3)))</f>
        <v>116-916</v>
      </c>
      <c r="C1395" s="979" t="s">
        <v>1347</v>
      </c>
      <c r="D1395" s="979">
        <v>5</v>
      </c>
      <c r="E1395" s="979">
        <v>1626</v>
      </c>
      <c r="F1395" s="979" t="s">
        <v>5021</v>
      </c>
      <c r="G1395" s="979" t="s">
        <v>6280</v>
      </c>
      <c r="H1395" s="979">
        <v>139355</v>
      </c>
      <c r="I1395" s="979">
        <v>129504</v>
      </c>
      <c r="J1395" s="979">
        <v>1</v>
      </c>
      <c r="K1395" s="979">
        <v>139355</v>
      </c>
      <c r="L1395" s="979">
        <v>129504</v>
      </c>
      <c r="M1395" s="979">
        <v>599</v>
      </c>
    </row>
    <row r="1396" spans="1:13" ht="15">
      <c r="A1396" s="979" t="s">
        <v>3587</v>
      </c>
      <c r="B1396" s="1040" t="str">
        <f>CONCATENATE(LEFT(RIGHT(CONCATENATE("000",IFAData_TEA_1617!A1396),6),3),"-",(RIGHT(RIGHT(CONCATENATE("000",IFAData_TEA_1617!A1396),6),3)))</f>
        <v>116-916</v>
      </c>
      <c r="C1396" s="979" t="s">
        <v>1347</v>
      </c>
      <c r="D1396" s="979">
        <v>5</v>
      </c>
      <c r="E1396" s="979">
        <v>1626</v>
      </c>
      <c r="F1396" s="979" t="s">
        <v>5021</v>
      </c>
      <c r="G1396" s="979" t="s">
        <v>5021</v>
      </c>
      <c r="H1396" s="979">
        <v>139355</v>
      </c>
      <c r="I1396" s="979">
        <v>0</v>
      </c>
      <c r="J1396" s="979">
        <v>0</v>
      </c>
      <c r="K1396" s="979">
        <v>0</v>
      </c>
      <c r="L1396" s="979">
        <v>0</v>
      </c>
      <c r="M1396" s="979">
        <v>599</v>
      </c>
    </row>
    <row r="1397" spans="1:13" ht="15">
      <c r="A1397" s="979" t="s">
        <v>3587</v>
      </c>
      <c r="B1397" s="1040" t="str">
        <f>CONCATENATE(LEFT(RIGHT(CONCATENATE("000",IFAData_TEA_1617!A1397),6),3),"-",(RIGHT(RIGHT(CONCATENATE("000",IFAData_TEA_1617!A1397),6),3)))</f>
        <v>116-916</v>
      </c>
      <c r="C1397" s="979" t="s">
        <v>1347</v>
      </c>
      <c r="D1397" s="979">
        <v>5</v>
      </c>
      <c r="E1397" s="979">
        <v>1626</v>
      </c>
      <c r="F1397" s="979" t="s">
        <v>5021</v>
      </c>
      <c r="G1397" s="979" t="s">
        <v>5022</v>
      </c>
      <c r="H1397" s="979">
        <v>139355</v>
      </c>
      <c r="I1397" s="979">
        <v>0</v>
      </c>
      <c r="J1397" s="979">
        <v>0</v>
      </c>
      <c r="K1397" s="979">
        <v>0</v>
      </c>
      <c r="L1397" s="979">
        <v>0</v>
      </c>
      <c r="M1397" s="979">
        <v>599</v>
      </c>
    </row>
    <row r="1398" spans="1:13" ht="15">
      <c r="A1398" s="979" t="s">
        <v>3588</v>
      </c>
      <c r="B1398" s="1040" t="str">
        <f>CONCATENATE(LEFT(RIGHT(CONCATENATE("000",IFAData_TEA_1617!A1398),6),3),"-",(RIGHT(RIGHT(CONCATENATE("000",IFAData_TEA_1617!A1398),6),3)))</f>
        <v>120-902</v>
      </c>
      <c r="C1398" s="979" t="s">
        <v>1481</v>
      </c>
      <c r="D1398" s="979">
        <v>9</v>
      </c>
      <c r="E1398" s="979">
        <v>1841</v>
      </c>
      <c r="F1398" s="979" t="s">
        <v>5024</v>
      </c>
      <c r="G1398" s="979" t="s">
        <v>6484</v>
      </c>
      <c r="H1398" s="979">
        <v>152500</v>
      </c>
      <c r="I1398" s="979">
        <v>92782</v>
      </c>
      <c r="J1398" s="979">
        <v>0.27221650104594836</v>
      </c>
      <c r="K1398" s="979">
        <v>41513.016409507123</v>
      </c>
      <c r="L1398" s="979">
        <v>41513.016409507123</v>
      </c>
      <c r="M1398" s="979">
        <v>599</v>
      </c>
    </row>
    <row r="1399" spans="1:13" ht="15">
      <c r="A1399" s="979" t="s">
        <v>3588</v>
      </c>
      <c r="B1399" s="1040" t="str">
        <f>CONCATENATE(LEFT(RIGHT(CONCATENATE("000",IFAData_TEA_1617!A1399),6),3),"-",(RIGHT(RIGHT(CONCATENATE("000",IFAData_TEA_1617!A1399),6),3)))</f>
        <v>120-902</v>
      </c>
      <c r="C1399" s="979" t="s">
        <v>1481</v>
      </c>
      <c r="D1399" s="979">
        <v>2</v>
      </c>
      <c r="E1399" s="979">
        <v>1840</v>
      </c>
      <c r="F1399" s="979" t="s">
        <v>5023</v>
      </c>
      <c r="G1399" s="979" t="s">
        <v>5023</v>
      </c>
      <c r="H1399" s="979">
        <v>137438</v>
      </c>
      <c r="I1399" s="979">
        <v>0</v>
      </c>
      <c r="J1399" s="979">
        <v>0</v>
      </c>
      <c r="K1399" s="979"/>
      <c r="L1399" s="979">
        <v>0</v>
      </c>
      <c r="M1399" s="979">
        <v>599</v>
      </c>
    </row>
    <row r="1400" spans="1:13" ht="15">
      <c r="A1400" s="979" t="s">
        <v>3588</v>
      </c>
      <c r="B1400" s="1040" t="str">
        <f>CONCATENATE(LEFT(RIGHT(CONCATENATE("000",IFAData_TEA_1617!A1400),6),3),"-",(RIGHT(RIGHT(CONCATENATE("000",IFAData_TEA_1617!A1400),6),3)))</f>
        <v>120-902</v>
      </c>
      <c r="C1400" s="979" t="s">
        <v>1481</v>
      </c>
      <c r="D1400" s="979">
        <v>9</v>
      </c>
      <c r="E1400" s="979">
        <v>1841</v>
      </c>
      <c r="F1400" s="979" t="s">
        <v>5024</v>
      </c>
      <c r="G1400" s="979" t="s">
        <v>5024</v>
      </c>
      <c r="H1400" s="979">
        <v>152500</v>
      </c>
      <c r="I1400" s="979">
        <v>248057</v>
      </c>
      <c r="J1400" s="979">
        <v>0.72778349895405159</v>
      </c>
      <c r="K1400" s="979">
        <v>110986.98359049286</v>
      </c>
      <c r="L1400" s="979">
        <v>110986.98359049286</v>
      </c>
      <c r="M1400" s="979">
        <v>599</v>
      </c>
    </row>
    <row r="1401" spans="1:13" ht="15">
      <c r="A1401" s="979" t="s">
        <v>3589</v>
      </c>
      <c r="B1401" s="1040" t="str">
        <f>CONCATENATE(LEFT(RIGHT(CONCATENATE("000",IFAData_TEA_1617!A1401),6),3),"-",(RIGHT(RIGHT(CONCATENATE("000",IFAData_TEA_1617!A1401),6),3)))</f>
        <v>121-903</v>
      </c>
      <c r="C1401" s="979" t="s">
        <v>1447</v>
      </c>
      <c r="D1401" s="979">
        <v>2</v>
      </c>
      <c r="E1401" s="979">
        <v>1651</v>
      </c>
      <c r="F1401" s="979" t="s">
        <v>5025</v>
      </c>
      <c r="G1401" s="979" t="s">
        <v>5026</v>
      </c>
      <c r="H1401" s="979">
        <v>409486</v>
      </c>
      <c r="I1401" s="979">
        <v>597989</v>
      </c>
      <c r="J1401" s="979">
        <v>0.52644649999075621</v>
      </c>
      <c r="K1401" s="979">
        <v>215572.47149521479</v>
      </c>
      <c r="L1401" s="979">
        <v>215572.47149521479</v>
      </c>
      <c r="M1401" s="979">
        <v>599</v>
      </c>
    </row>
    <row r="1402" spans="1:13" ht="15">
      <c r="A1402" s="979" t="s">
        <v>3589</v>
      </c>
      <c r="B1402" s="1040" t="str">
        <f>CONCATENATE(LEFT(RIGHT(CONCATENATE("000",IFAData_TEA_1617!A1402),6),3),"-",(RIGHT(RIGHT(CONCATENATE("000",IFAData_TEA_1617!A1402),6),3)))</f>
        <v>121-903</v>
      </c>
      <c r="C1402" s="979" t="s">
        <v>1447</v>
      </c>
      <c r="D1402" s="979">
        <v>2</v>
      </c>
      <c r="E1402" s="979">
        <v>1651</v>
      </c>
      <c r="F1402" s="979" t="s">
        <v>5025</v>
      </c>
      <c r="G1402" s="979" t="s">
        <v>5025</v>
      </c>
      <c r="H1402" s="979">
        <v>409486</v>
      </c>
      <c r="I1402" s="979">
        <v>0</v>
      </c>
      <c r="J1402" s="979">
        <v>0</v>
      </c>
      <c r="K1402" s="979">
        <v>0</v>
      </c>
      <c r="L1402" s="979">
        <v>0</v>
      </c>
      <c r="M1402" s="979">
        <v>599</v>
      </c>
    </row>
    <row r="1403" spans="1:13" ht="15">
      <c r="A1403" s="979" t="s">
        <v>3589</v>
      </c>
      <c r="B1403" s="1040" t="str">
        <f>CONCATENATE(LEFT(RIGHT(CONCATENATE("000",IFAData_TEA_1617!A1403),6),3),"-",(RIGHT(RIGHT(CONCATENATE("000",IFAData_TEA_1617!A1403),6),3)))</f>
        <v>121-903</v>
      </c>
      <c r="C1403" s="979" t="s">
        <v>1447</v>
      </c>
      <c r="D1403" s="979">
        <v>3</v>
      </c>
      <c r="E1403" s="979">
        <v>1650</v>
      </c>
      <c r="F1403" s="979" t="s">
        <v>5027</v>
      </c>
      <c r="G1403" s="979" t="s">
        <v>5027</v>
      </c>
      <c r="H1403" s="979">
        <v>319854</v>
      </c>
      <c r="I1403" s="979">
        <v>0</v>
      </c>
      <c r="J1403" s="979">
        <v>0</v>
      </c>
      <c r="K1403" s="979">
        <v>0</v>
      </c>
      <c r="L1403" s="979">
        <v>0</v>
      </c>
      <c r="M1403" s="979">
        <v>599</v>
      </c>
    </row>
    <row r="1404" spans="1:13" ht="15">
      <c r="A1404" s="979" t="s">
        <v>3589</v>
      </c>
      <c r="B1404" s="1040" t="str">
        <f>CONCATENATE(LEFT(RIGHT(CONCATENATE("000",IFAData_TEA_1617!A1404),6),3),"-",(RIGHT(RIGHT(CONCATENATE("000",IFAData_TEA_1617!A1404),6),3)))</f>
        <v>121-903</v>
      </c>
      <c r="C1404" s="979" t="s">
        <v>1447</v>
      </c>
      <c r="D1404" s="979">
        <v>3</v>
      </c>
      <c r="E1404" s="979">
        <v>1650</v>
      </c>
      <c r="F1404" s="979" t="s">
        <v>5027</v>
      </c>
      <c r="G1404" s="979" t="s">
        <v>6485</v>
      </c>
      <c r="H1404" s="979">
        <v>319854</v>
      </c>
      <c r="I1404" s="979">
        <v>272393</v>
      </c>
      <c r="J1404" s="979">
        <v>0.47212256089740257</v>
      </c>
      <c r="K1404" s="979">
        <v>151010.28959327779</v>
      </c>
      <c r="L1404" s="979">
        <v>151010.28959327779</v>
      </c>
      <c r="M1404" s="979">
        <v>599</v>
      </c>
    </row>
    <row r="1405" spans="1:13" ht="15">
      <c r="A1405" s="979" t="s">
        <v>3589</v>
      </c>
      <c r="B1405" s="1040" t="str">
        <f>CONCATENATE(LEFT(RIGHT(CONCATENATE("000",IFAData_TEA_1617!A1405),6),3),"-",(RIGHT(RIGHT(CONCATENATE("000",IFAData_TEA_1617!A1405),6),3)))</f>
        <v>121-903</v>
      </c>
      <c r="C1405" s="979" t="s">
        <v>1447</v>
      </c>
      <c r="D1405" s="979">
        <v>2</v>
      </c>
      <c r="E1405" s="979">
        <v>1651</v>
      </c>
      <c r="F1405" s="979" t="s">
        <v>5025</v>
      </c>
      <c r="G1405" s="979" t="s">
        <v>6485</v>
      </c>
      <c r="H1405" s="979">
        <v>409486</v>
      </c>
      <c r="I1405" s="979">
        <v>537908</v>
      </c>
      <c r="J1405" s="979">
        <v>0.47355350000924379</v>
      </c>
      <c r="K1405" s="979">
        <v>193913.52850478521</v>
      </c>
      <c r="L1405" s="979">
        <v>193913.52850478521</v>
      </c>
      <c r="M1405" s="979">
        <v>599</v>
      </c>
    </row>
    <row r="1406" spans="1:13" ht="15">
      <c r="A1406" s="979" t="s">
        <v>3589</v>
      </c>
      <c r="B1406" s="1040" t="str">
        <f>CONCATENATE(LEFT(RIGHT(CONCATENATE("000",IFAData_TEA_1617!A1406),6),3),"-",(RIGHT(RIGHT(CONCATENATE("000",IFAData_TEA_1617!A1406),6),3)))</f>
        <v>121-903</v>
      </c>
      <c r="C1406" s="979" t="s">
        <v>1447</v>
      </c>
      <c r="D1406" s="979">
        <v>3</v>
      </c>
      <c r="E1406" s="979">
        <v>1650</v>
      </c>
      <c r="F1406" s="979" t="s">
        <v>5027</v>
      </c>
      <c r="G1406" s="979" t="s">
        <v>5026</v>
      </c>
      <c r="H1406" s="979">
        <v>319854</v>
      </c>
      <c r="I1406" s="979">
        <v>304561</v>
      </c>
      <c r="J1406" s="979">
        <v>0.52787743910259743</v>
      </c>
      <c r="K1406" s="979">
        <v>168843.71040672221</v>
      </c>
      <c r="L1406" s="979">
        <v>168843.71040672221</v>
      </c>
      <c r="M1406" s="979">
        <v>599</v>
      </c>
    </row>
    <row r="1407" spans="1:13" ht="15">
      <c r="A1407" s="979" t="s">
        <v>3590</v>
      </c>
      <c r="B1407" s="1040" t="str">
        <f>CONCATENATE(LEFT(RIGHT(CONCATENATE("000",IFAData_TEA_1617!A1407),6),3),"-",(RIGHT(RIGHT(CONCATENATE("000",IFAData_TEA_1617!A1407),6),3)))</f>
        <v>121-904</v>
      </c>
      <c r="C1407" s="979" t="s">
        <v>406</v>
      </c>
      <c r="D1407" s="979">
        <v>1</v>
      </c>
      <c r="E1407" s="979">
        <v>1935</v>
      </c>
      <c r="F1407" s="979" t="s">
        <v>5028</v>
      </c>
      <c r="G1407" s="979" t="s">
        <v>5030</v>
      </c>
      <c r="H1407" s="979">
        <v>422458</v>
      </c>
      <c r="I1407" s="979">
        <v>525650</v>
      </c>
      <c r="J1407" s="979">
        <v>1</v>
      </c>
      <c r="K1407" s="979">
        <v>422458</v>
      </c>
      <c r="L1407" s="979">
        <v>422458</v>
      </c>
      <c r="M1407" s="979">
        <v>599</v>
      </c>
    </row>
    <row r="1408" spans="1:13" ht="15">
      <c r="A1408" s="979" t="s">
        <v>3590</v>
      </c>
      <c r="B1408" s="1040" t="str">
        <f>CONCATENATE(LEFT(RIGHT(CONCATENATE("000",IFAData_TEA_1617!A1408),6),3),"-",(RIGHT(RIGHT(CONCATENATE("000",IFAData_TEA_1617!A1408),6),3)))</f>
        <v>121-904</v>
      </c>
      <c r="C1408" s="979" t="s">
        <v>406</v>
      </c>
      <c r="D1408" s="979">
        <v>1</v>
      </c>
      <c r="E1408" s="979">
        <v>1935</v>
      </c>
      <c r="F1408" s="979" t="s">
        <v>5028</v>
      </c>
      <c r="G1408" s="979" t="s">
        <v>5028</v>
      </c>
      <c r="H1408" s="979">
        <v>422458</v>
      </c>
      <c r="I1408" s="979">
        <v>0</v>
      </c>
      <c r="J1408" s="979">
        <v>0</v>
      </c>
      <c r="K1408" s="979">
        <v>0</v>
      </c>
      <c r="L1408" s="979">
        <v>0</v>
      </c>
      <c r="M1408" s="979">
        <v>599</v>
      </c>
    </row>
    <row r="1409" spans="1:13" ht="15">
      <c r="A1409" s="979" t="s">
        <v>3590</v>
      </c>
      <c r="B1409" s="1040" t="str">
        <f>CONCATENATE(LEFT(RIGHT(CONCATENATE("000",IFAData_TEA_1617!A1409),6),3),"-",(RIGHT(RIGHT(CONCATENATE("000",IFAData_TEA_1617!A1409),6),3)))</f>
        <v>121-904</v>
      </c>
      <c r="C1409" s="979" t="s">
        <v>406</v>
      </c>
      <c r="D1409" s="979">
        <v>3</v>
      </c>
      <c r="E1409" s="979">
        <v>1933</v>
      </c>
      <c r="F1409" s="979" t="s">
        <v>5033</v>
      </c>
      <c r="G1409" s="979" t="s">
        <v>5032</v>
      </c>
      <c r="H1409" s="979">
        <v>359938</v>
      </c>
      <c r="I1409" s="979">
        <v>353137</v>
      </c>
      <c r="J1409" s="979">
        <v>1</v>
      </c>
      <c r="K1409" s="979">
        <v>359938</v>
      </c>
      <c r="L1409" s="979">
        <v>353137</v>
      </c>
      <c r="M1409" s="979">
        <v>599</v>
      </c>
    </row>
    <row r="1410" spans="1:13" ht="15">
      <c r="A1410" s="979" t="s">
        <v>3590</v>
      </c>
      <c r="B1410" s="1040" t="str">
        <f>CONCATENATE(LEFT(RIGHT(CONCATENATE("000",IFAData_TEA_1617!A1410),6),3),"-",(RIGHT(RIGHT(CONCATENATE("000",IFAData_TEA_1617!A1410),6),3)))</f>
        <v>121-904</v>
      </c>
      <c r="C1410" s="979" t="s">
        <v>406</v>
      </c>
      <c r="D1410" s="979">
        <v>2</v>
      </c>
      <c r="E1410" s="979">
        <v>1934</v>
      </c>
      <c r="F1410" s="979" t="s">
        <v>5031</v>
      </c>
      <c r="G1410" s="979" t="s">
        <v>5032</v>
      </c>
      <c r="H1410" s="979">
        <v>410042</v>
      </c>
      <c r="I1410" s="979">
        <v>440297</v>
      </c>
      <c r="J1410" s="979">
        <v>1</v>
      </c>
      <c r="K1410" s="979">
        <v>410042</v>
      </c>
      <c r="L1410" s="979">
        <v>410042</v>
      </c>
      <c r="M1410" s="979">
        <v>599</v>
      </c>
    </row>
    <row r="1411" spans="1:13" ht="15">
      <c r="A1411" s="979" t="s">
        <v>3590</v>
      </c>
      <c r="B1411" s="1040" t="str">
        <f>CONCATENATE(LEFT(RIGHT(CONCATENATE("000",IFAData_TEA_1617!A1411),6),3),"-",(RIGHT(RIGHT(CONCATENATE("000",IFAData_TEA_1617!A1411),6),3)))</f>
        <v>121-904</v>
      </c>
      <c r="C1411" s="979" t="s">
        <v>406</v>
      </c>
      <c r="D1411" s="979">
        <v>1</v>
      </c>
      <c r="E1411" s="979">
        <v>1935</v>
      </c>
      <c r="F1411" s="979" t="s">
        <v>5028</v>
      </c>
      <c r="G1411" s="979" t="s">
        <v>5029</v>
      </c>
      <c r="H1411" s="979">
        <v>422458</v>
      </c>
      <c r="I1411" s="979">
        <v>0</v>
      </c>
      <c r="J1411" s="979">
        <v>0</v>
      </c>
      <c r="K1411" s="979">
        <v>0</v>
      </c>
      <c r="L1411" s="979">
        <v>0</v>
      </c>
      <c r="M1411" s="979">
        <v>599</v>
      </c>
    </row>
    <row r="1412" spans="1:13" ht="15">
      <c r="A1412" s="979" t="s">
        <v>3590</v>
      </c>
      <c r="B1412" s="1040" t="str">
        <f>CONCATENATE(LEFT(RIGHT(CONCATENATE("000",IFAData_TEA_1617!A1412),6),3),"-",(RIGHT(RIGHT(CONCATENATE("000",IFAData_TEA_1617!A1412),6),3)))</f>
        <v>121-904</v>
      </c>
      <c r="C1412" s="979" t="s">
        <v>406</v>
      </c>
      <c r="D1412" s="979">
        <v>2</v>
      </c>
      <c r="E1412" s="979">
        <v>1934</v>
      </c>
      <c r="F1412" s="979" t="s">
        <v>5031</v>
      </c>
      <c r="G1412" s="979" t="s">
        <v>5031</v>
      </c>
      <c r="H1412" s="979">
        <v>410042</v>
      </c>
      <c r="I1412" s="979">
        <v>0</v>
      </c>
      <c r="J1412" s="979">
        <v>0</v>
      </c>
      <c r="K1412" s="979">
        <v>0</v>
      </c>
      <c r="L1412" s="979">
        <v>0</v>
      </c>
      <c r="M1412" s="979">
        <v>599</v>
      </c>
    </row>
    <row r="1413" spans="1:13" ht="15">
      <c r="A1413" s="979" t="s">
        <v>3590</v>
      </c>
      <c r="B1413" s="1040" t="str">
        <f>CONCATENATE(LEFT(RIGHT(CONCATENATE("000",IFAData_TEA_1617!A1413),6),3),"-",(RIGHT(RIGHT(CONCATENATE("000",IFAData_TEA_1617!A1413),6),3)))</f>
        <v>121-904</v>
      </c>
      <c r="C1413" s="979" t="s">
        <v>406</v>
      </c>
      <c r="D1413" s="979">
        <v>3</v>
      </c>
      <c r="E1413" s="979">
        <v>1933</v>
      </c>
      <c r="F1413" s="979" t="s">
        <v>5033</v>
      </c>
      <c r="G1413" s="979" t="s">
        <v>5033</v>
      </c>
      <c r="H1413" s="979">
        <v>359938</v>
      </c>
      <c r="I1413" s="979">
        <v>0</v>
      </c>
      <c r="J1413" s="979">
        <v>0</v>
      </c>
      <c r="K1413" s="979">
        <v>0</v>
      </c>
      <c r="L1413" s="979">
        <v>0</v>
      </c>
      <c r="M1413" s="979">
        <v>599</v>
      </c>
    </row>
    <row r="1414" spans="1:13" ht="15">
      <c r="A1414" s="979" t="s">
        <v>3591</v>
      </c>
      <c r="B1414" s="1040" t="str">
        <f>CONCATENATE(LEFT(RIGHT(CONCATENATE("000",IFAData_TEA_1617!A1414),6),3),"-",(RIGHT(RIGHT(CONCATENATE("000",IFAData_TEA_1617!A1414),6),3)))</f>
        <v>121-905</v>
      </c>
      <c r="C1414" s="979" t="s">
        <v>2017</v>
      </c>
      <c r="D1414" s="979">
        <v>3</v>
      </c>
      <c r="E1414" s="979">
        <v>1962</v>
      </c>
      <c r="F1414" s="979" t="s">
        <v>5034</v>
      </c>
      <c r="G1414" s="979" t="s">
        <v>5035</v>
      </c>
      <c r="H1414" s="979">
        <v>413051</v>
      </c>
      <c r="I1414" s="979">
        <v>403536</v>
      </c>
      <c r="J1414" s="979">
        <v>0.57210503109790412</v>
      </c>
      <c r="K1414" s="979">
        <v>236308.5552000204</v>
      </c>
      <c r="L1414" s="979">
        <v>236308.5552000204</v>
      </c>
      <c r="M1414" s="979">
        <v>599</v>
      </c>
    </row>
    <row r="1415" spans="1:13" ht="15">
      <c r="A1415" s="979" t="s">
        <v>3591</v>
      </c>
      <c r="B1415" s="1040" t="str">
        <f>CONCATENATE(LEFT(RIGHT(CONCATENATE("000",IFAData_TEA_1617!A1415),6),3),"-",(RIGHT(RIGHT(CONCATENATE("000",IFAData_TEA_1617!A1415),6),3)))</f>
        <v>121-905</v>
      </c>
      <c r="C1415" s="979" t="s">
        <v>2017</v>
      </c>
      <c r="D1415" s="979">
        <v>3</v>
      </c>
      <c r="E1415" s="979">
        <v>1962</v>
      </c>
      <c r="F1415" s="979" t="s">
        <v>5034</v>
      </c>
      <c r="G1415" s="979" t="s">
        <v>5034</v>
      </c>
      <c r="H1415" s="979">
        <v>413051</v>
      </c>
      <c r="I1415" s="979">
        <v>0</v>
      </c>
      <c r="J1415" s="979">
        <v>0</v>
      </c>
      <c r="K1415" s="979">
        <v>0</v>
      </c>
      <c r="L1415" s="979">
        <v>0</v>
      </c>
      <c r="M1415" s="979">
        <v>599</v>
      </c>
    </row>
    <row r="1416" spans="1:13" ht="15">
      <c r="A1416" s="979" t="s">
        <v>3591</v>
      </c>
      <c r="B1416" s="1040" t="str">
        <f>CONCATENATE(LEFT(RIGHT(CONCATENATE("000",IFAData_TEA_1617!A1416),6),3),"-",(RIGHT(RIGHT(CONCATENATE("000",IFAData_TEA_1617!A1416),6),3)))</f>
        <v>121-905</v>
      </c>
      <c r="C1416" s="979" t="s">
        <v>2017</v>
      </c>
      <c r="D1416" s="979">
        <v>3</v>
      </c>
      <c r="E1416" s="979">
        <v>1962</v>
      </c>
      <c r="F1416" s="979" t="s">
        <v>5034</v>
      </c>
      <c r="G1416" s="979" t="s">
        <v>6281</v>
      </c>
      <c r="H1416" s="979">
        <v>413051</v>
      </c>
      <c r="I1416" s="979">
        <v>301817</v>
      </c>
      <c r="J1416" s="979">
        <v>0.42789496890209583</v>
      </c>
      <c r="K1416" s="979">
        <v>176742.4447999796</v>
      </c>
      <c r="L1416" s="979">
        <v>176742.4447999796</v>
      </c>
      <c r="M1416" s="979">
        <v>599</v>
      </c>
    </row>
    <row r="1417" spans="1:13" ht="15">
      <c r="A1417" s="979" t="s">
        <v>3592</v>
      </c>
      <c r="B1417" s="1040" t="str">
        <f>CONCATENATE(LEFT(RIGHT(CONCATENATE("000",IFAData_TEA_1617!A1417),6),3),"-",(RIGHT(RIGHT(CONCATENATE("000",IFAData_TEA_1617!A1417),6),3)))</f>
        <v>123-905</v>
      </c>
      <c r="C1417" s="979" t="s">
        <v>390</v>
      </c>
      <c r="D1417" s="979">
        <v>2</v>
      </c>
      <c r="E1417" s="979">
        <v>2130</v>
      </c>
      <c r="F1417" s="979" t="s">
        <v>5038</v>
      </c>
      <c r="G1417" s="979" t="s">
        <v>5038</v>
      </c>
      <c r="H1417" s="979">
        <v>539458</v>
      </c>
      <c r="I1417" s="979">
        <v>0</v>
      </c>
      <c r="J1417" s="979">
        <v>0</v>
      </c>
      <c r="K1417" s="979">
        <v>0</v>
      </c>
      <c r="L1417" s="979">
        <v>0</v>
      </c>
      <c r="M1417" s="979">
        <v>599</v>
      </c>
    </row>
    <row r="1418" spans="1:13" ht="15">
      <c r="A1418" s="979" t="s">
        <v>3592</v>
      </c>
      <c r="B1418" s="1040" t="str">
        <f>CONCATENATE(LEFT(RIGHT(CONCATENATE("000",IFAData_TEA_1617!A1418),6),3),"-",(RIGHT(RIGHT(CONCATENATE("000",IFAData_TEA_1617!A1418),6),3)))</f>
        <v>123-905</v>
      </c>
      <c r="C1418" s="979" t="s">
        <v>390</v>
      </c>
      <c r="D1418" s="979">
        <v>1</v>
      </c>
      <c r="E1418" s="979">
        <v>2129</v>
      </c>
      <c r="F1418" s="979" t="s">
        <v>5036</v>
      </c>
      <c r="G1418" s="979" t="s">
        <v>5036</v>
      </c>
      <c r="H1418" s="979">
        <v>285609</v>
      </c>
      <c r="I1418" s="979">
        <v>0</v>
      </c>
      <c r="J1418" s="979">
        <v>0</v>
      </c>
      <c r="K1418" s="979">
        <v>0</v>
      </c>
      <c r="L1418" s="979">
        <v>0</v>
      </c>
      <c r="M1418" s="979">
        <v>599</v>
      </c>
    </row>
    <row r="1419" spans="1:13" ht="15">
      <c r="A1419" s="979" t="s">
        <v>3592</v>
      </c>
      <c r="B1419" s="1040" t="str">
        <f>CONCATENATE(LEFT(RIGHT(CONCATENATE("000",IFAData_TEA_1617!A1419),6),3),"-",(RIGHT(RIGHT(CONCATENATE("000",IFAData_TEA_1617!A1419),6),3)))</f>
        <v>123-905</v>
      </c>
      <c r="C1419" s="979" t="s">
        <v>390</v>
      </c>
      <c r="D1419" s="979">
        <v>1</v>
      </c>
      <c r="E1419" s="979">
        <v>2129</v>
      </c>
      <c r="F1419" s="979" t="s">
        <v>5036</v>
      </c>
      <c r="G1419" s="979" t="s">
        <v>5037</v>
      </c>
      <c r="H1419" s="979">
        <v>285609</v>
      </c>
      <c r="I1419" s="979">
        <v>283849</v>
      </c>
      <c r="J1419" s="979">
        <v>1</v>
      </c>
      <c r="K1419" s="979">
        <v>285609</v>
      </c>
      <c r="L1419" s="979">
        <v>283849</v>
      </c>
      <c r="M1419" s="979">
        <v>599</v>
      </c>
    </row>
    <row r="1420" spans="1:13" ht="15">
      <c r="A1420" s="979" t="s">
        <v>3592</v>
      </c>
      <c r="B1420" s="1040" t="str">
        <f>CONCATENATE(LEFT(RIGHT(CONCATENATE("000",IFAData_TEA_1617!A1420),6),3),"-",(RIGHT(RIGHT(CONCATENATE("000",IFAData_TEA_1617!A1420),6),3)))</f>
        <v>123-905</v>
      </c>
      <c r="C1420" s="979" t="s">
        <v>390</v>
      </c>
      <c r="D1420" s="979">
        <v>2</v>
      </c>
      <c r="E1420" s="979">
        <v>2130</v>
      </c>
      <c r="F1420" s="979" t="s">
        <v>5038</v>
      </c>
      <c r="G1420" s="979" t="s">
        <v>5037</v>
      </c>
      <c r="H1420" s="979">
        <v>539458</v>
      </c>
      <c r="I1420" s="979">
        <v>536916</v>
      </c>
      <c r="J1420" s="979">
        <v>1</v>
      </c>
      <c r="K1420" s="979">
        <v>539458</v>
      </c>
      <c r="L1420" s="979">
        <v>536916</v>
      </c>
      <c r="M1420" s="979">
        <v>599</v>
      </c>
    </row>
    <row r="1421" spans="1:13" ht="15">
      <c r="A1421" s="979" t="s">
        <v>3593</v>
      </c>
      <c r="B1421" s="1040" t="str">
        <f>CONCATENATE(LEFT(RIGHT(CONCATENATE("000",IFAData_TEA_1617!A1421),6),3),"-",(RIGHT(RIGHT(CONCATENATE("000",IFAData_TEA_1617!A1421),6),3)))</f>
        <v>123-914</v>
      </c>
      <c r="C1421" s="979" t="s">
        <v>1734</v>
      </c>
      <c r="D1421" s="979">
        <v>2</v>
      </c>
      <c r="E1421" s="979">
        <v>1864</v>
      </c>
      <c r="F1421" s="979" t="s">
        <v>5039</v>
      </c>
      <c r="G1421" s="979" t="s">
        <v>5039</v>
      </c>
      <c r="H1421" s="979">
        <v>512950</v>
      </c>
      <c r="I1421" s="979">
        <v>0</v>
      </c>
      <c r="J1421" s="979">
        <v>0</v>
      </c>
      <c r="K1421" s="979"/>
      <c r="L1421" s="979">
        <v>0</v>
      </c>
      <c r="M1421" s="979">
        <v>599</v>
      </c>
    </row>
    <row r="1422" spans="1:13" ht="15">
      <c r="A1422" s="979" t="s">
        <v>3593</v>
      </c>
      <c r="B1422" s="1040" t="str">
        <f>CONCATENATE(LEFT(RIGHT(CONCATENATE("000",IFAData_TEA_1617!A1422),6),3),"-",(RIGHT(RIGHT(CONCATENATE("000",IFAData_TEA_1617!A1422),6),3)))</f>
        <v>123-914</v>
      </c>
      <c r="C1422" s="979" t="s">
        <v>1734</v>
      </c>
      <c r="D1422" s="979">
        <v>2</v>
      </c>
      <c r="E1422" s="979">
        <v>1864</v>
      </c>
      <c r="F1422" s="979" t="s">
        <v>5039</v>
      </c>
      <c r="G1422" s="979" t="s">
        <v>5040</v>
      </c>
      <c r="H1422" s="979">
        <v>512950</v>
      </c>
      <c r="I1422" s="979">
        <v>0</v>
      </c>
      <c r="J1422" s="979">
        <v>0</v>
      </c>
      <c r="K1422" s="979"/>
      <c r="L1422" s="979">
        <v>0</v>
      </c>
      <c r="M1422" s="979">
        <v>599</v>
      </c>
    </row>
    <row r="1423" spans="1:13" ht="15">
      <c r="A1423" s="979" t="s">
        <v>3594</v>
      </c>
      <c r="B1423" s="1040" t="str">
        <f>CONCATENATE(LEFT(RIGHT(CONCATENATE("000",IFAData_TEA_1617!A1423),6),3),"-",(RIGHT(RIGHT(CONCATENATE("000",IFAData_TEA_1617!A1423),6),3)))</f>
        <v>125-901</v>
      </c>
      <c r="C1423" s="979" t="s">
        <v>701</v>
      </c>
      <c r="D1423" s="979">
        <v>6</v>
      </c>
      <c r="E1423" s="979">
        <v>1549</v>
      </c>
      <c r="F1423" s="979" t="s">
        <v>5045</v>
      </c>
      <c r="G1423" s="979" t="s">
        <v>5046</v>
      </c>
      <c r="H1423" s="979">
        <v>1226843</v>
      </c>
      <c r="I1423" s="979">
        <v>426300</v>
      </c>
      <c r="J1423" s="979">
        <v>0.27676426670129195</v>
      </c>
      <c r="K1423" s="979">
        <v>339546.30325261311</v>
      </c>
      <c r="L1423" s="979">
        <v>339546.30325261311</v>
      </c>
      <c r="M1423" s="979">
        <v>599</v>
      </c>
    </row>
    <row r="1424" spans="1:13" ht="15">
      <c r="A1424" s="979" t="s">
        <v>3594</v>
      </c>
      <c r="B1424" s="1040" t="str">
        <f>CONCATENATE(LEFT(RIGHT(CONCATENATE("000",IFAData_TEA_1617!A1424),6),3),"-",(RIGHT(RIGHT(CONCATENATE("000",IFAData_TEA_1617!A1424),6),3)))</f>
        <v>125-901</v>
      </c>
      <c r="C1424" s="979" t="s">
        <v>701</v>
      </c>
      <c r="D1424" s="979">
        <v>3</v>
      </c>
      <c r="E1424" s="979">
        <v>1551</v>
      </c>
      <c r="F1424" s="979" t="s">
        <v>5041</v>
      </c>
      <c r="G1424" s="979" t="s">
        <v>5044</v>
      </c>
      <c r="H1424" s="979">
        <v>1313562</v>
      </c>
      <c r="I1424" s="979">
        <v>1261050</v>
      </c>
      <c r="J1424" s="979">
        <v>1</v>
      </c>
      <c r="K1424" s="979">
        <v>1313562</v>
      </c>
      <c r="L1424" s="979">
        <v>1261050</v>
      </c>
      <c r="M1424" s="979">
        <v>599</v>
      </c>
    </row>
    <row r="1425" spans="1:13" ht="15">
      <c r="A1425" s="979" t="s">
        <v>3594</v>
      </c>
      <c r="B1425" s="1040" t="str">
        <f>CONCATENATE(LEFT(RIGHT(CONCATENATE("000",IFAData_TEA_1617!A1425),6),3),"-",(RIGHT(RIGHT(CONCATENATE("000",IFAData_TEA_1617!A1425),6),3)))</f>
        <v>125-901</v>
      </c>
      <c r="C1425" s="979" t="s">
        <v>701</v>
      </c>
      <c r="D1425" s="979">
        <v>3</v>
      </c>
      <c r="E1425" s="979">
        <v>1551</v>
      </c>
      <c r="F1425" s="979" t="s">
        <v>5041</v>
      </c>
      <c r="G1425" s="979" t="s">
        <v>5041</v>
      </c>
      <c r="H1425" s="979">
        <v>1313562</v>
      </c>
      <c r="I1425" s="979">
        <v>0</v>
      </c>
      <c r="J1425" s="979">
        <v>0</v>
      </c>
      <c r="K1425" s="979">
        <v>0</v>
      </c>
      <c r="L1425" s="979">
        <v>0</v>
      </c>
      <c r="M1425" s="979">
        <v>599</v>
      </c>
    </row>
    <row r="1426" spans="1:13" ht="15">
      <c r="A1426" s="979" t="s">
        <v>3594</v>
      </c>
      <c r="B1426" s="1040" t="str">
        <f>CONCATENATE(LEFT(RIGHT(CONCATENATE("000",IFAData_TEA_1617!A1426),6),3),"-",(RIGHT(RIGHT(CONCATENATE("000",IFAData_TEA_1617!A1426),6),3)))</f>
        <v>125-901</v>
      </c>
      <c r="C1426" s="979" t="s">
        <v>701</v>
      </c>
      <c r="D1426" s="979">
        <v>3</v>
      </c>
      <c r="E1426" s="979">
        <v>1551</v>
      </c>
      <c r="F1426" s="979" t="s">
        <v>5041</v>
      </c>
      <c r="G1426" s="979" t="s">
        <v>5042</v>
      </c>
      <c r="H1426" s="979">
        <v>1313562</v>
      </c>
      <c r="I1426" s="979">
        <v>0</v>
      </c>
      <c r="J1426" s="979">
        <v>0</v>
      </c>
      <c r="K1426" s="979">
        <v>0</v>
      </c>
      <c r="L1426" s="979">
        <v>0</v>
      </c>
      <c r="M1426" s="979">
        <v>599</v>
      </c>
    </row>
    <row r="1427" spans="1:13" ht="15">
      <c r="A1427" s="979" t="s">
        <v>3594</v>
      </c>
      <c r="B1427" s="1040" t="str">
        <f>CONCATENATE(LEFT(RIGHT(CONCATENATE("000",IFAData_TEA_1617!A1427),6),3),"-",(RIGHT(RIGHT(CONCATENATE("000",IFAData_TEA_1617!A1427),6),3)))</f>
        <v>125-901</v>
      </c>
      <c r="C1427" s="979" t="s">
        <v>701</v>
      </c>
      <c r="D1427" s="979">
        <v>6</v>
      </c>
      <c r="E1427" s="979">
        <v>1549</v>
      </c>
      <c r="F1427" s="979" t="s">
        <v>5045</v>
      </c>
      <c r="G1427" s="979" t="s">
        <v>5043</v>
      </c>
      <c r="H1427" s="979">
        <v>1226843</v>
      </c>
      <c r="I1427" s="979">
        <v>790000</v>
      </c>
      <c r="J1427" s="979">
        <v>0.51288709991560089</v>
      </c>
      <c r="K1427" s="979">
        <v>629231.94832175551</v>
      </c>
      <c r="L1427" s="979">
        <v>629231.94832175551</v>
      </c>
      <c r="M1427" s="979">
        <v>599</v>
      </c>
    </row>
    <row r="1428" spans="1:13" ht="15">
      <c r="A1428" s="979" t="s">
        <v>3594</v>
      </c>
      <c r="B1428" s="1040" t="str">
        <f>CONCATENATE(LEFT(RIGHT(CONCATENATE("000",IFAData_TEA_1617!A1428),6),3),"-",(RIGHT(RIGHT(CONCATENATE("000",IFAData_TEA_1617!A1428),6),3)))</f>
        <v>125-901</v>
      </c>
      <c r="C1428" s="979" t="s">
        <v>701</v>
      </c>
      <c r="D1428" s="979">
        <v>3</v>
      </c>
      <c r="E1428" s="979">
        <v>1551</v>
      </c>
      <c r="F1428" s="979" t="s">
        <v>5041</v>
      </c>
      <c r="G1428" s="979" t="s">
        <v>5043</v>
      </c>
      <c r="H1428" s="979">
        <v>1313562</v>
      </c>
      <c r="I1428" s="979">
        <v>0</v>
      </c>
      <c r="J1428" s="979">
        <v>0</v>
      </c>
      <c r="K1428" s="979">
        <v>0</v>
      </c>
      <c r="L1428" s="979">
        <v>0</v>
      </c>
      <c r="M1428" s="979">
        <v>599</v>
      </c>
    </row>
    <row r="1429" spans="1:13" ht="15">
      <c r="A1429" s="979" t="s">
        <v>3594</v>
      </c>
      <c r="B1429" s="1040" t="str">
        <f>CONCATENATE(LEFT(RIGHT(CONCATENATE("000",IFAData_TEA_1617!A1429),6),3),"-",(RIGHT(RIGHT(CONCATENATE("000",IFAData_TEA_1617!A1429),6),3)))</f>
        <v>125-901</v>
      </c>
      <c r="C1429" s="979" t="s">
        <v>701</v>
      </c>
      <c r="D1429" s="979">
        <v>9</v>
      </c>
      <c r="E1429" s="979">
        <v>1550</v>
      </c>
      <c r="F1429" s="979" t="s">
        <v>5047</v>
      </c>
      <c r="G1429" s="979" t="s">
        <v>5047</v>
      </c>
      <c r="H1429" s="979">
        <v>1240465</v>
      </c>
      <c r="I1429" s="979">
        <v>871575</v>
      </c>
      <c r="J1429" s="979">
        <v>0.73009989319595403</v>
      </c>
      <c r="K1429" s="979">
        <v>905663.36401331914</v>
      </c>
      <c r="L1429" s="979">
        <v>871575</v>
      </c>
      <c r="M1429" s="979">
        <v>599</v>
      </c>
    </row>
    <row r="1430" spans="1:13" ht="15">
      <c r="A1430" s="979" t="s">
        <v>3594</v>
      </c>
      <c r="B1430" s="1040" t="str">
        <f>CONCATENATE(LEFT(RIGHT(CONCATENATE("000",IFAData_TEA_1617!A1430),6),3),"-",(RIGHT(RIGHT(CONCATENATE("000",IFAData_TEA_1617!A1430),6),3)))</f>
        <v>125-901</v>
      </c>
      <c r="C1430" s="979" t="s">
        <v>701</v>
      </c>
      <c r="D1430" s="979">
        <v>6</v>
      </c>
      <c r="E1430" s="979">
        <v>1549</v>
      </c>
      <c r="F1430" s="979" t="s">
        <v>5045</v>
      </c>
      <c r="G1430" s="979" t="s">
        <v>6487</v>
      </c>
      <c r="H1430" s="979">
        <v>1226843</v>
      </c>
      <c r="I1430" s="979">
        <v>324000</v>
      </c>
      <c r="J1430" s="979">
        <v>0.21034863338310719</v>
      </c>
      <c r="K1430" s="979">
        <v>258064.74842563138</v>
      </c>
      <c r="L1430" s="979">
        <v>258064.74842563138</v>
      </c>
      <c r="M1430" s="979">
        <v>599</v>
      </c>
    </row>
    <row r="1431" spans="1:13" ht="15">
      <c r="A1431" s="979" t="s">
        <v>3594</v>
      </c>
      <c r="B1431" s="1040" t="str">
        <f>CONCATENATE(LEFT(RIGHT(CONCATENATE("000",IFAData_TEA_1617!A1431),6),3),"-",(RIGHT(RIGHT(CONCATENATE("000",IFAData_TEA_1617!A1431),6),3)))</f>
        <v>125-901</v>
      </c>
      <c r="C1431" s="979" t="s">
        <v>701</v>
      </c>
      <c r="D1431" s="979">
        <v>9</v>
      </c>
      <c r="E1431" s="979">
        <v>1550</v>
      </c>
      <c r="F1431" s="979" t="s">
        <v>5047</v>
      </c>
      <c r="G1431" s="979" t="s">
        <v>6486</v>
      </c>
      <c r="H1431" s="979">
        <v>1240465</v>
      </c>
      <c r="I1431" s="979">
        <v>322200</v>
      </c>
      <c r="J1431" s="979">
        <v>0.26990010680404597</v>
      </c>
      <c r="K1431" s="979">
        <v>334801.63598668086</v>
      </c>
      <c r="L1431" s="979">
        <v>322200</v>
      </c>
      <c r="M1431" s="979">
        <v>599</v>
      </c>
    </row>
    <row r="1432" spans="1:13" ht="15">
      <c r="A1432" s="979" t="s">
        <v>3594</v>
      </c>
      <c r="B1432" s="1040" t="str">
        <f>CONCATENATE(LEFT(RIGHT(CONCATENATE("000",IFAData_TEA_1617!A1432),6),3),"-",(RIGHT(RIGHT(CONCATENATE("000",IFAData_TEA_1617!A1432),6),3)))</f>
        <v>125-901</v>
      </c>
      <c r="C1432" s="979" t="s">
        <v>701</v>
      </c>
      <c r="D1432" s="979">
        <v>6</v>
      </c>
      <c r="E1432" s="979">
        <v>1549</v>
      </c>
      <c r="F1432" s="979" t="s">
        <v>5045</v>
      </c>
      <c r="G1432" s="979" t="s">
        <v>5045</v>
      </c>
      <c r="H1432" s="979">
        <v>1226843</v>
      </c>
      <c r="I1432" s="979">
        <v>0</v>
      </c>
      <c r="J1432" s="979">
        <v>0</v>
      </c>
      <c r="K1432" s="979">
        <v>0</v>
      </c>
      <c r="L1432" s="979">
        <v>0</v>
      </c>
      <c r="M1432" s="979">
        <v>599</v>
      </c>
    </row>
    <row r="1433" spans="1:13" ht="15">
      <c r="A1433" s="979" t="s">
        <v>3595</v>
      </c>
      <c r="B1433" s="1040" t="str">
        <f>CONCATENATE(LEFT(RIGHT(CONCATENATE("000",IFAData_TEA_1617!A1433),6),3),"-",(RIGHT(RIGHT(CONCATENATE("000",IFAData_TEA_1617!A1433),6),3)))</f>
        <v>125-902</v>
      </c>
      <c r="C1433" s="979" t="s">
        <v>2681</v>
      </c>
      <c r="D1433" s="979">
        <v>4</v>
      </c>
      <c r="E1433" s="979">
        <v>1607</v>
      </c>
      <c r="F1433" s="979" t="s">
        <v>5048</v>
      </c>
      <c r="G1433" s="979" t="s">
        <v>5049</v>
      </c>
      <c r="H1433" s="979">
        <v>148749</v>
      </c>
      <c r="I1433" s="979">
        <v>141989</v>
      </c>
      <c r="J1433" s="979">
        <v>1</v>
      </c>
      <c r="K1433" s="979">
        <v>148749</v>
      </c>
      <c r="L1433" s="979">
        <v>141989</v>
      </c>
      <c r="M1433" s="979">
        <v>599</v>
      </c>
    </row>
    <row r="1434" spans="1:13" ht="15">
      <c r="A1434" s="979" t="s">
        <v>3595</v>
      </c>
      <c r="B1434" s="1040" t="str">
        <f>CONCATENATE(LEFT(RIGHT(CONCATENATE("000",IFAData_TEA_1617!A1434),6),3),"-",(RIGHT(RIGHT(CONCATENATE("000",IFAData_TEA_1617!A1434),6),3)))</f>
        <v>125-902</v>
      </c>
      <c r="C1434" s="979" t="s">
        <v>2681</v>
      </c>
      <c r="D1434" s="979">
        <v>6</v>
      </c>
      <c r="E1434" s="979">
        <v>1605</v>
      </c>
      <c r="F1434" s="979" t="s">
        <v>5050</v>
      </c>
      <c r="G1434" s="979" t="s">
        <v>5051</v>
      </c>
      <c r="H1434" s="979">
        <v>134002</v>
      </c>
      <c r="I1434" s="979">
        <v>129838</v>
      </c>
      <c r="J1434" s="979">
        <v>1</v>
      </c>
      <c r="K1434" s="979">
        <v>134002</v>
      </c>
      <c r="L1434" s="979">
        <v>129838</v>
      </c>
      <c r="M1434" s="979">
        <v>599</v>
      </c>
    </row>
    <row r="1435" spans="1:13" ht="15">
      <c r="A1435" s="979" t="s">
        <v>3595</v>
      </c>
      <c r="B1435" s="1040" t="str">
        <f>CONCATENATE(LEFT(RIGHT(CONCATENATE("000",IFAData_TEA_1617!A1435),6),3),"-",(RIGHT(RIGHT(CONCATENATE("000",IFAData_TEA_1617!A1435),6),3)))</f>
        <v>125-902</v>
      </c>
      <c r="C1435" s="979" t="s">
        <v>2681</v>
      </c>
      <c r="D1435" s="979">
        <v>4</v>
      </c>
      <c r="E1435" s="979">
        <v>1607</v>
      </c>
      <c r="F1435" s="979" t="s">
        <v>5048</v>
      </c>
      <c r="G1435" s="979" t="s">
        <v>5048</v>
      </c>
      <c r="H1435" s="979">
        <v>148749</v>
      </c>
      <c r="I1435" s="979">
        <v>0</v>
      </c>
      <c r="J1435" s="979">
        <v>0</v>
      </c>
      <c r="K1435" s="979">
        <v>0</v>
      </c>
      <c r="L1435" s="979">
        <v>0</v>
      </c>
      <c r="M1435" s="979">
        <v>599</v>
      </c>
    </row>
    <row r="1436" spans="1:13" ht="15">
      <c r="A1436" s="979" t="s">
        <v>3595</v>
      </c>
      <c r="B1436" s="1040" t="str">
        <f>CONCATENATE(LEFT(RIGHT(CONCATENATE("000",IFAData_TEA_1617!A1436),6),3),"-",(RIGHT(RIGHT(CONCATENATE("000",IFAData_TEA_1617!A1436),6),3)))</f>
        <v>125-902</v>
      </c>
      <c r="C1436" s="979" t="s">
        <v>2681</v>
      </c>
      <c r="D1436" s="979">
        <v>10</v>
      </c>
      <c r="E1436" s="979">
        <v>1606</v>
      </c>
      <c r="F1436" s="979" t="s">
        <v>5052</v>
      </c>
      <c r="G1436" s="979" t="s">
        <v>5052</v>
      </c>
      <c r="H1436" s="979">
        <v>142643</v>
      </c>
      <c r="I1436" s="979">
        <v>160075</v>
      </c>
      <c r="J1436" s="979">
        <v>1</v>
      </c>
      <c r="K1436" s="979">
        <v>142643</v>
      </c>
      <c r="L1436" s="979">
        <v>142643</v>
      </c>
      <c r="M1436" s="979">
        <v>599</v>
      </c>
    </row>
    <row r="1437" spans="1:13" ht="15">
      <c r="A1437" s="979" t="s">
        <v>3595</v>
      </c>
      <c r="B1437" s="1040" t="str">
        <f>CONCATENATE(LEFT(RIGHT(CONCATENATE("000",IFAData_TEA_1617!A1437),6),3),"-",(RIGHT(RIGHT(CONCATENATE("000",IFAData_TEA_1617!A1437),6),3)))</f>
        <v>125-902</v>
      </c>
      <c r="C1437" s="979" t="s">
        <v>2681</v>
      </c>
      <c r="D1437" s="979">
        <v>6</v>
      </c>
      <c r="E1437" s="979">
        <v>1605</v>
      </c>
      <c r="F1437" s="979" t="s">
        <v>5050</v>
      </c>
      <c r="G1437" s="979" t="s">
        <v>5050</v>
      </c>
      <c r="H1437" s="979">
        <v>134002</v>
      </c>
      <c r="I1437" s="979">
        <v>0</v>
      </c>
      <c r="J1437" s="979">
        <v>0</v>
      </c>
      <c r="K1437" s="979">
        <v>0</v>
      </c>
      <c r="L1437" s="979">
        <v>0</v>
      </c>
      <c r="M1437" s="979">
        <v>599</v>
      </c>
    </row>
    <row r="1438" spans="1:13" ht="15">
      <c r="A1438" s="979" t="s">
        <v>3596</v>
      </c>
      <c r="B1438" s="1040" t="str">
        <f>CONCATENATE(LEFT(RIGHT(CONCATENATE("000",IFAData_TEA_1617!A1438),6),3),"-",(RIGHT(RIGHT(CONCATENATE("000",IFAData_TEA_1617!A1438),6),3)))</f>
        <v>125-903</v>
      </c>
      <c r="C1438" s="979" t="s">
        <v>1016</v>
      </c>
      <c r="D1438" s="979">
        <v>2</v>
      </c>
      <c r="E1438" s="979">
        <v>2163</v>
      </c>
      <c r="F1438" s="979" t="s">
        <v>5053</v>
      </c>
      <c r="G1438" s="979" t="s">
        <v>5053</v>
      </c>
      <c r="H1438" s="979">
        <v>340500</v>
      </c>
      <c r="I1438" s="979">
        <v>0</v>
      </c>
      <c r="J1438" s="979">
        <v>0</v>
      </c>
      <c r="K1438" s="979">
        <v>0</v>
      </c>
      <c r="L1438" s="979">
        <v>0</v>
      </c>
      <c r="M1438" s="979">
        <v>599</v>
      </c>
    </row>
    <row r="1439" spans="1:13" ht="15">
      <c r="A1439" s="979" t="s">
        <v>3596</v>
      </c>
      <c r="B1439" s="1040" t="str">
        <f>CONCATENATE(LEFT(RIGHT(CONCATENATE("000",IFAData_TEA_1617!A1439),6),3),"-",(RIGHT(RIGHT(CONCATENATE("000",IFAData_TEA_1617!A1439),6),3)))</f>
        <v>125-903</v>
      </c>
      <c r="C1439" s="979" t="s">
        <v>1016</v>
      </c>
      <c r="D1439" s="979">
        <v>6</v>
      </c>
      <c r="E1439" s="979">
        <v>2162</v>
      </c>
      <c r="F1439" s="979" t="s">
        <v>5055</v>
      </c>
      <c r="G1439" s="979" t="s">
        <v>5054</v>
      </c>
      <c r="H1439" s="979">
        <v>318941</v>
      </c>
      <c r="I1439" s="979">
        <v>341350</v>
      </c>
      <c r="J1439" s="979">
        <v>1</v>
      </c>
      <c r="K1439" s="979">
        <v>318941</v>
      </c>
      <c r="L1439" s="979">
        <v>318941</v>
      </c>
      <c r="M1439" s="979">
        <v>599</v>
      </c>
    </row>
    <row r="1440" spans="1:13" ht="15">
      <c r="A1440" s="979" t="s">
        <v>3596</v>
      </c>
      <c r="B1440" s="1040" t="str">
        <f>CONCATENATE(LEFT(RIGHT(CONCATENATE("000",IFAData_TEA_1617!A1440),6),3),"-",(RIGHT(RIGHT(CONCATENATE("000",IFAData_TEA_1617!A1440),6),3)))</f>
        <v>125-903</v>
      </c>
      <c r="C1440" s="979" t="s">
        <v>1016</v>
      </c>
      <c r="D1440" s="979">
        <v>2</v>
      </c>
      <c r="E1440" s="979">
        <v>2163</v>
      </c>
      <c r="F1440" s="979" t="s">
        <v>5053</v>
      </c>
      <c r="G1440" s="979" t="s">
        <v>5054</v>
      </c>
      <c r="H1440" s="979">
        <v>340500</v>
      </c>
      <c r="I1440" s="979">
        <v>411751</v>
      </c>
      <c r="J1440" s="979">
        <v>1</v>
      </c>
      <c r="K1440" s="979">
        <v>340500</v>
      </c>
      <c r="L1440" s="979">
        <v>340500</v>
      </c>
      <c r="M1440" s="979">
        <v>599</v>
      </c>
    </row>
    <row r="1441" spans="1:13" ht="15">
      <c r="A1441" s="979" t="s">
        <v>3596</v>
      </c>
      <c r="B1441" s="1040" t="str">
        <f>CONCATENATE(LEFT(RIGHT(CONCATENATE("000",IFAData_TEA_1617!A1441),6),3),"-",(RIGHT(RIGHT(CONCATENATE("000",IFAData_TEA_1617!A1441),6),3)))</f>
        <v>125-903</v>
      </c>
      <c r="C1441" s="979" t="s">
        <v>1016</v>
      </c>
      <c r="D1441" s="979">
        <v>9</v>
      </c>
      <c r="E1441" s="979">
        <v>2164</v>
      </c>
      <c r="F1441" s="979" t="s">
        <v>5056</v>
      </c>
      <c r="G1441" s="979" t="s">
        <v>5056</v>
      </c>
      <c r="H1441" s="979">
        <v>408114</v>
      </c>
      <c r="I1441" s="979">
        <v>167600</v>
      </c>
      <c r="J1441" s="979">
        <v>0.43498572540877239</v>
      </c>
      <c r="K1441" s="979">
        <v>177523.76433947575</v>
      </c>
      <c r="L1441" s="979">
        <v>167600</v>
      </c>
      <c r="M1441" s="979">
        <v>599</v>
      </c>
    </row>
    <row r="1442" spans="1:13" ht="15">
      <c r="A1442" s="979" t="s">
        <v>3596</v>
      </c>
      <c r="B1442" s="1040" t="str">
        <f>CONCATENATE(LEFT(RIGHT(CONCATENATE("000",IFAData_TEA_1617!A1442),6),3),"-",(RIGHT(RIGHT(CONCATENATE("000",IFAData_TEA_1617!A1442),6),3)))</f>
        <v>125-903</v>
      </c>
      <c r="C1442" s="979" t="s">
        <v>1016</v>
      </c>
      <c r="D1442" s="979">
        <v>6</v>
      </c>
      <c r="E1442" s="979">
        <v>2162</v>
      </c>
      <c r="F1442" s="979" t="s">
        <v>5055</v>
      </c>
      <c r="G1442" s="979" t="s">
        <v>5055</v>
      </c>
      <c r="H1442" s="979">
        <v>318941</v>
      </c>
      <c r="I1442" s="979">
        <v>0</v>
      </c>
      <c r="J1442" s="979">
        <v>0</v>
      </c>
      <c r="K1442" s="979">
        <v>0</v>
      </c>
      <c r="L1442" s="979">
        <v>0</v>
      </c>
      <c r="M1442" s="979">
        <v>599</v>
      </c>
    </row>
    <row r="1443" spans="1:13" ht="15">
      <c r="A1443" s="979" t="s">
        <v>3596</v>
      </c>
      <c r="B1443" s="1040" t="str">
        <f>CONCATENATE(LEFT(RIGHT(CONCATENATE("000",IFAData_TEA_1617!A1443),6),3),"-",(RIGHT(RIGHT(CONCATENATE("000",IFAData_TEA_1617!A1443),6),3)))</f>
        <v>125-903</v>
      </c>
      <c r="C1443" s="979" t="s">
        <v>1016</v>
      </c>
      <c r="D1443" s="979">
        <v>9</v>
      </c>
      <c r="E1443" s="979">
        <v>2164</v>
      </c>
      <c r="F1443" s="979" t="s">
        <v>5056</v>
      </c>
      <c r="G1443" s="979" t="s">
        <v>6282</v>
      </c>
      <c r="H1443" s="979">
        <v>408114</v>
      </c>
      <c r="I1443" s="979">
        <v>217700</v>
      </c>
      <c r="J1443" s="979">
        <v>0.56501427459122766</v>
      </c>
      <c r="K1443" s="979">
        <v>230590.23566052428</v>
      </c>
      <c r="L1443" s="979">
        <v>217700</v>
      </c>
      <c r="M1443" s="979">
        <v>599</v>
      </c>
    </row>
    <row r="1444" spans="1:13" ht="15">
      <c r="A1444" s="979" t="s">
        <v>3597</v>
      </c>
      <c r="B1444" s="1040" t="str">
        <f>CONCATENATE(LEFT(RIGHT(CONCATENATE("000",IFAData_TEA_1617!A1444),6),3),"-",(RIGHT(RIGHT(CONCATENATE("000",IFAData_TEA_1617!A1444),6),3)))</f>
        <v>125-905</v>
      </c>
      <c r="C1444" s="979" t="s">
        <v>2102</v>
      </c>
      <c r="D1444" s="979">
        <v>3</v>
      </c>
      <c r="E1444" s="979">
        <v>2209</v>
      </c>
      <c r="F1444" s="979" t="s">
        <v>5057</v>
      </c>
      <c r="G1444" s="979" t="s">
        <v>5058</v>
      </c>
      <c r="H1444" s="979">
        <v>228901</v>
      </c>
      <c r="I1444" s="979">
        <v>233776</v>
      </c>
      <c r="J1444" s="979">
        <v>1</v>
      </c>
      <c r="K1444" s="979">
        <v>228901</v>
      </c>
      <c r="L1444" s="979">
        <v>228901</v>
      </c>
      <c r="M1444" s="979">
        <v>599</v>
      </c>
    </row>
    <row r="1445" spans="1:13" ht="15">
      <c r="A1445" s="979" t="s">
        <v>3597</v>
      </c>
      <c r="B1445" s="1040" t="str">
        <f>CONCATENATE(LEFT(RIGHT(CONCATENATE("000",IFAData_TEA_1617!A1445),6),3),"-",(RIGHT(RIGHT(CONCATENATE("000",IFAData_TEA_1617!A1445),6),3)))</f>
        <v>125-905</v>
      </c>
      <c r="C1445" s="979" t="s">
        <v>2102</v>
      </c>
      <c r="D1445" s="979">
        <v>3</v>
      </c>
      <c r="E1445" s="979">
        <v>2209</v>
      </c>
      <c r="F1445" s="979" t="s">
        <v>5057</v>
      </c>
      <c r="G1445" s="979" t="s">
        <v>5057</v>
      </c>
      <c r="H1445" s="979">
        <v>228901</v>
      </c>
      <c r="I1445" s="979">
        <v>0</v>
      </c>
      <c r="J1445" s="979">
        <v>0</v>
      </c>
      <c r="K1445" s="979">
        <v>0</v>
      </c>
      <c r="L1445" s="979">
        <v>0</v>
      </c>
      <c r="M1445" s="979">
        <v>599</v>
      </c>
    </row>
    <row r="1446" spans="1:13" ht="15">
      <c r="A1446" s="979" t="s">
        <v>3598</v>
      </c>
      <c r="B1446" s="1040" t="str">
        <f>CONCATENATE(LEFT(RIGHT(CONCATENATE("000",IFAData_TEA_1617!A1446),6),3),"-",(RIGHT(RIGHT(CONCATENATE("000",IFAData_TEA_1617!A1446),6),3)))</f>
        <v>126-901</v>
      </c>
      <c r="C1446" s="979" t="s">
        <v>1051</v>
      </c>
      <c r="D1446" s="979">
        <v>9</v>
      </c>
      <c r="E1446" s="979">
        <v>1563</v>
      </c>
      <c r="F1446" s="979" t="s">
        <v>5065</v>
      </c>
      <c r="G1446" s="979" t="s">
        <v>6283</v>
      </c>
      <c r="H1446" s="979">
        <v>760564</v>
      </c>
      <c r="I1446" s="979">
        <v>284404</v>
      </c>
      <c r="J1446" s="979">
        <v>0.20529011618506457</v>
      </c>
      <c r="K1446" s="979">
        <v>156136.27192617746</v>
      </c>
      <c r="L1446" s="979">
        <v>156136.27192617746</v>
      </c>
      <c r="M1446" s="979">
        <v>599</v>
      </c>
    </row>
    <row r="1447" spans="1:13" ht="15">
      <c r="A1447" s="979" t="s">
        <v>3598</v>
      </c>
      <c r="B1447" s="1040" t="str">
        <f>CONCATENATE(LEFT(RIGHT(CONCATENATE("000",IFAData_TEA_1617!A1447),6),3),"-",(RIGHT(RIGHT(CONCATENATE("000",IFAData_TEA_1617!A1447),6),3)))</f>
        <v>126-901</v>
      </c>
      <c r="C1447" s="979" t="s">
        <v>1051</v>
      </c>
      <c r="D1447" s="979">
        <v>3</v>
      </c>
      <c r="E1447" s="979">
        <v>1561</v>
      </c>
      <c r="F1447" s="979" t="s">
        <v>5061</v>
      </c>
      <c r="G1447" s="979" t="s">
        <v>5061</v>
      </c>
      <c r="H1447" s="979">
        <v>87080</v>
      </c>
      <c r="I1447" s="979">
        <v>0</v>
      </c>
      <c r="J1447" s="979">
        <v>0</v>
      </c>
      <c r="K1447" s="979"/>
      <c r="L1447" s="979">
        <v>0</v>
      </c>
      <c r="M1447" s="979">
        <v>599</v>
      </c>
    </row>
    <row r="1448" spans="1:13" ht="15">
      <c r="A1448" s="979" t="s">
        <v>3598</v>
      </c>
      <c r="B1448" s="1040" t="str">
        <f>CONCATENATE(LEFT(RIGHT(CONCATENATE("000",IFAData_TEA_1617!A1448),6),3),"-",(RIGHT(RIGHT(CONCATENATE("000",IFAData_TEA_1617!A1448),6),3)))</f>
        <v>126-901</v>
      </c>
      <c r="C1448" s="979" t="s">
        <v>1051</v>
      </c>
      <c r="D1448" s="979">
        <v>9</v>
      </c>
      <c r="E1448" s="979">
        <v>1563</v>
      </c>
      <c r="F1448" s="979" t="s">
        <v>5065</v>
      </c>
      <c r="G1448" s="979" t="s">
        <v>5065</v>
      </c>
      <c r="H1448" s="979">
        <v>760564</v>
      </c>
      <c r="I1448" s="979">
        <v>843096</v>
      </c>
      <c r="J1448" s="979">
        <v>0.60856835978102697</v>
      </c>
      <c r="K1448" s="979">
        <v>462855.18598849699</v>
      </c>
      <c r="L1448" s="979">
        <v>462855.18598849699</v>
      </c>
      <c r="M1448" s="979">
        <v>599</v>
      </c>
    </row>
    <row r="1449" spans="1:13" ht="15">
      <c r="A1449" s="979" t="s">
        <v>3598</v>
      </c>
      <c r="B1449" s="1040" t="str">
        <f>CONCATENATE(LEFT(RIGHT(CONCATENATE("000",IFAData_TEA_1617!A1449),6),3),"-",(RIGHT(RIGHT(CONCATENATE("000",IFAData_TEA_1617!A1449),6),3)))</f>
        <v>126-901</v>
      </c>
      <c r="C1449" s="979" t="s">
        <v>1051</v>
      </c>
      <c r="D1449" s="979">
        <v>3</v>
      </c>
      <c r="E1449" s="979">
        <v>1562</v>
      </c>
      <c r="F1449" s="979" t="s">
        <v>5059</v>
      </c>
      <c r="G1449" s="979" t="s">
        <v>5059</v>
      </c>
      <c r="H1449" s="979">
        <v>590835</v>
      </c>
      <c r="I1449" s="979">
        <v>0</v>
      </c>
      <c r="J1449" s="979">
        <v>0</v>
      </c>
      <c r="K1449" s="979">
        <v>0</v>
      </c>
      <c r="L1449" s="979">
        <v>0</v>
      </c>
      <c r="M1449" s="979">
        <v>599</v>
      </c>
    </row>
    <row r="1450" spans="1:13" ht="15">
      <c r="A1450" s="979" t="s">
        <v>3598</v>
      </c>
      <c r="B1450" s="1040" t="str">
        <f>CONCATENATE(LEFT(RIGHT(CONCATENATE("000",IFAData_TEA_1617!A1450),6),3),"-",(RIGHT(RIGHT(CONCATENATE("000",IFAData_TEA_1617!A1450),6),3)))</f>
        <v>126-901</v>
      </c>
      <c r="C1450" s="979" t="s">
        <v>1051</v>
      </c>
      <c r="D1450" s="979">
        <v>9</v>
      </c>
      <c r="E1450" s="979">
        <v>1563</v>
      </c>
      <c r="F1450" s="979" t="s">
        <v>5065</v>
      </c>
      <c r="G1450" s="979" t="s">
        <v>6488</v>
      </c>
      <c r="H1450" s="979">
        <v>760564</v>
      </c>
      <c r="I1450" s="979">
        <v>257876</v>
      </c>
      <c r="J1450" s="979">
        <v>0.18614152403390849</v>
      </c>
      <c r="K1450" s="979">
        <v>141572.54208532558</v>
      </c>
      <c r="L1450" s="979">
        <v>141572.54208532558</v>
      </c>
      <c r="M1450" s="979">
        <v>599</v>
      </c>
    </row>
    <row r="1451" spans="1:13" ht="15">
      <c r="A1451" s="979" t="s">
        <v>3598</v>
      </c>
      <c r="B1451" s="1040" t="str">
        <f>CONCATENATE(LEFT(RIGHT(CONCATENATE("000",IFAData_TEA_1617!A1451),6),3),"-",(RIGHT(RIGHT(CONCATENATE("000",IFAData_TEA_1617!A1451),6),3)))</f>
        <v>126-901</v>
      </c>
      <c r="C1451" s="979" t="s">
        <v>1051</v>
      </c>
      <c r="D1451" s="979">
        <v>3</v>
      </c>
      <c r="E1451" s="979">
        <v>1562</v>
      </c>
      <c r="F1451" s="979" t="s">
        <v>5059</v>
      </c>
      <c r="G1451" s="979" t="s">
        <v>5060</v>
      </c>
      <c r="H1451" s="979">
        <v>590835</v>
      </c>
      <c r="I1451" s="979">
        <v>496900</v>
      </c>
      <c r="J1451" s="979">
        <v>1</v>
      </c>
      <c r="K1451" s="979">
        <v>590835</v>
      </c>
      <c r="L1451" s="979">
        <v>496900</v>
      </c>
      <c r="M1451" s="979">
        <v>599</v>
      </c>
    </row>
    <row r="1452" spans="1:13" ht="15">
      <c r="A1452" s="979" t="s">
        <v>3598</v>
      </c>
      <c r="B1452" s="1040" t="str">
        <f>CONCATENATE(LEFT(RIGHT(CONCATENATE("000",IFAData_TEA_1617!A1452),6),3),"-",(RIGHT(RIGHT(CONCATENATE("000",IFAData_TEA_1617!A1452),6),3)))</f>
        <v>126-901</v>
      </c>
      <c r="C1452" s="979" t="s">
        <v>1051</v>
      </c>
      <c r="D1452" s="979">
        <v>5</v>
      </c>
      <c r="E1452" s="979">
        <v>1564</v>
      </c>
      <c r="F1452" s="979" t="s">
        <v>5062</v>
      </c>
      <c r="G1452" s="979" t="s">
        <v>5062</v>
      </c>
      <c r="H1452" s="979">
        <v>793345</v>
      </c>
      <c r="I1452" s="979">
        <v>0</v>
      </c>
      <c r="J1452" s="979">
        <v>0</v>
      </c>
      <c r="K1452" s="979">
        <v>0</v>
      </c>
      <c r="L1452" s="979">
        <v>0</v>
      </c>
      <c r="M1452" s="979">
        <v>599</v>
      </c>
    </row>
    <row r="1453" spans="1:13" ht="15">
      <c r="A1453" s="979" t="s">
        <v>3598</v>
      </c>
      <c r="B1453" s="1040" t="str">
        <f>CONCATENATE(LEFT(RIGHT(CONCATENATE("000",IFAData_TEA_1617!A1453),6),3),"-",(RIGHT(RIGHT(CONCATENATE("000",IFAData_TEA_1617!A1453),6),3)))</f>
        <v>126-901</v>
      </c>
      <c r="C1453" s="979" t="s">
        <v>1051</v>
      </c>
      <c r="D1453" s="979">
        <v>5</v>
      </c>
      <c r="E1453" s="979">
        <v>1564</v>
      </c>
      <c r="F1453" s="979" t="s">
        <v>5062</v>
      </c>
      <c r="G1453" s="979" t="s">
        <v>5064</v>
      </c>
      <c r="H1453" s="979">
        <v>793345</v>
      </c>
      <c r="I1453" s="979">
        <v>402123</v>
      </c>
      <c r="J1453" s="979">
        <v>0.42912665288616791</v>
      </c>
      <c r="K1453" s="979">
        <v>340445.48443397688</v>
      </c>
      <c r="L1453" s="979">
        <v>340445.48443397688</v>
      </c>
      <c r="M1453" s="979">
        <v>599</v>
      </c>
    </row>
    <row r="1454" spans="1:13" ht="15">
      <c r="A1454" s="979" t="s">
        <v>3598</v>
      </c>
      <c r="B1454" s="1040" t="str">
        <f>CONCATENATE(LEFT(RIGHT(CONCATENATE("000",IFAData_TEA_1617!A1454),6),3),"-",(RIGHT(RIGHT(CONCATENATE("000",IFAData_TEA_1617!A1454),6),3)))</f>
        <v>126-901</v>
      </c>
      <c r="C1454" s="979" t="s">
        <v>1051</v>
      </c>
      <c r="D1454" s="979">
        <v>5</v>
      </c>
      <c r="E1454" s="979">
        <v>1564</v>
      </c>
      <c r="F1454" s="979" t="s">
        <v>5062</v>
      </c>
      <c r="G1454" s="979" t="s">
        <v>5063</v>
      </c>
      <c r="H1454" s="979">
        <v>793345</v>
      </c>
      <c r="I1454" s="979">
        <v>534950</v>
      </c>
      <c r="J1454" s="979">
        <v>0.57087334711383209</v>
      </c>
      <c r="K1454" s="979">
        <v>452899.51556602312</v>
      </c>
      <c r="L1454" s="979">
        <v>452899.51556602312</v>
      </c>
      <c r="M1454" s="979">
        <v>599</v>
      </c>
    </row>
    <row r="1455" spans="1:13" ht="15">
      <c r="A1455" s="979" t="s">
        <v>3599</v>
      </c>
      <c r="B1455" s="1040" t="str">
        <f>CONCATENATE(LEFT(RIGHT(CONCATENATE("000",IFAData_TEA_1617!A1455),6),3),"-",(RIGHT(RIGHT(CONCATENATE("000",IFAData_TEA_1617!A1455),6),3)))</f>
        <v>126-902</v>
      </c>
      <c r="C1455" s="979" t="s">
        <v>1449</v>
      </c>
      <c r="D1455" s="979">
        <v>1</v>
      </c>
      <c r="E1455" s="979">
        <v>1653</v>
      </c>
      <c r="F1455" s="979" t="s">
        <v>5066</v>
      </c>
      <c r="G1455" s="979" t="s">
        <v>5066</v>
      </c>
      <c r="H1455" s="979">
        <v>584119</v>
      </c>
      <c r="I1455" s="979">
        <v>0</v>
      </c>
      <c r="J1455" s="979">
        <v>0</v>
      </c>
      <c r="K1455" s="979">
        <v>0</v>
      </c>
      <c r="L1455" s="979">
        <v>0</v>
      </c>
      <c r="M1455" s="979">
        <v>599</v>
      </c>
    </row>
    <row r="1456" spans="1:13" ht="15">
      <c r="A1456" s="979" t="s">
        <v>3599</v>
      </c>
      <c r="B1456" s="1040" t="str">
        <f>CONCATENATE(LEFT(RIGHT(CONCATENATE("000",IFAData_TEA_1617!A1456),6),3),"-",(RIGHT(RIGHT(CONCATENATE("000",IFAData_TEA_1617!A1456),6),3)))</f>
        <v>126-902</v>
      </c>
      <c r="C1456" s="979" t="s">
        <v>1449</v>
      </c>
      <c r="D1456" s="979">
        <v>1</v>
      </c>
      <c r="E1456" s="979">
        <v>1653</v>
      </c>
      <c r="F1456" s="979" t="s">
        <v>5066</v>
      </c>
      <c r="G1456" s="979" t="s">
        <v>5067</v>
      </c>
      <c r="H1456" s="979">
        <v>584119</v>
      </c>
      <c r="I1456" s="979">
        <v>312223</v>
      </c>
      <c r="J1456" s="979">
        <v>1</v>
      </c>
      <c r="K1456" s="979">
        <v>584119</v>
      </c>
      <c r="L1456" s="979">
        <v>312223</v>
      </c>
      <c r="M1456" s="979">
        <v>599</v>
      </c>
    </row>
    <row r="1457" spans="1:13" ht="15">
      <c r="A1457" s="979" t="s">
        <v>3599</v>
      </c>
      <c r="B1457" s="1040" t="str">
        <f>CONCATENATE(LEFT(RIGHT(CONCATENATE("000",IFAData_TEA_1617!A1457),6),3),"-",(RIGHT(RIGHT(CONCATENATE("000",IFAData_TEA_1617!A1457),6),3)))</f>
        <v>126-902</v>
      </c>
      <c r="C1457" s="979" t="s">
        <v>1449</v>
      </c>
      <c r="D1457" s="979">
        <v>9</v>
      </c>
      <c r="E1457" s="979">
        <v>1654</v>
      </c>
      <c r="F1457" s="979" t="s">
        <v>5068</v>
      </c>
      <c r="G1457" s="979" t="s">
        <v>5068</v>
      </c>
      <c r="H1457" s="979">
        <v>2156750</v>
      </c>
      <c r="I1457" s="979">
        <v>188144</v>
      </c>
      <c r="J1457" s="979">
        <v>5.4650907106180674E-2</v>
      </c>
      <c r="K1457" s="979">
        <v>117868.34390125517</v>
      </c>
      <c r="L1457" s="979">
        <v>117868.34390125517</v>
      </c>
      <c r="M1457" s="979">
        <v>599</v>
      </c>
    </row>
    <row r="1458" spans="1:13" ht="15">
      <c r="A1458" s="979" t="s">
        <v>3599</v>
      </c>
      <c r="B1458" s="1040" t="str">
        <f>CONCATENATE(LEFT(RIGHT(CONCATENATE("000",IFAData_TEA_1617!A1458),6),3),"-",(RIGHT(RIGHT(CONCATENATE("000",IFAData_TEA_1617!A1458),6),3)))</f>
        <v>126-902</v>
      </c>
      <c r="C1458" s="979" t="s">
        <v>1449</v>
      </c>
      <c r="D1458" s="979">
        <v>9</v>
      </c>
      <c r="E1458" s="979">
        <v>1654</v>
      </c>
      <c r="F1458" s="979" t="s">
        <v>5068</v>
      </c>
      <c r="G1458" s="979" t="s">
        <v>6489</v>
      </c>
      <c r="H1458" s="979">
        <v>2156750</v>
      </c>
      <c r="I1458" s="979">
        <v>3254507</v>
      </c>
      <c r="J1458" s="979">
        <v>0.9453490928938193</v>
      </c>
      <c r="K1458" s="979">
        <v>2038881.6560987448</v>
      </c>
      <c r="L1458" s="979">
        <v>2038881.6560987448</v>
      </c>
      <c r="M1458" s="979">
        <v>599</v>
      </c>
    </row>
    <row r="1459" spans="1:13" ht="15">
      <c r="A1459" s="979" t="s">
        <v>5069</v>
      </c>
      <c r="B1459" s="1040" t="str">
        <f>CONCATENATE(LEFT(RIGHT(CONCATENATE("000",IFAData_TEA_1617!A1459),6),3),"-",(RIGHT(RIGHT(CONCATENATE("000",IFAData_TEA_1617!A1459),6),3)))</f>
        <v>126-904</v>
      </c>
      <c r="C1459" s="979" t="s">
        <v>865</v>
      </c>
      <c r="D1459" s="979">
        <v>6</v>
      </c>
      <c r="E1459" s="979">
        <v>1858</v>
      </c>
      <c r="F1459" s="979" t="s">
        <v>5070</v>
      </c>
      <c r="G1459" s="979" t="s">
        <v>5070</v>
      </c>
      <c r="H1459" s="979">
        <v>262527</v>
      </c>
      <c r="I1459" s="979">
        <v>0</v>
      </c>
      <c r="J1459" s="979">
        <v>0</v>
      </c>
      <c r="K1459" s="979"/>
      <c r="L1459" s="979">
        <v>0</v>
      </c>
      <c r="M1459" s="979">
        <v>199</v>
      </c>
    </row>
    <row r="1460" spans="1:13" ht="15">
      <c r="A1460" s="979" t="s">
        <v>3600</v>
      </c>
      <c r="B1460" s="1040" t="str">
        <f>CONCATENATE(LEFT(RIGHT(CONCATENATE("000",IFAData_TEA_1617!A1460),6),3),"-",(RIGHT(RIGHT(CONCATENATE("000",IFAData_TEA_1617!A1460),6),3)))</f>
        <v>126-905</v>
      </c>
      <c r="C1460" s="979" t="s">
        <v>407</v>
      </c>
      <c r="D1460" s="979">
        <v>2</v>
      </c>
      <c r="E1460" s="979">
        <v>1936</v>
      </c>
      <c r="F1460" s="979" t="s">
        <v>5071</v>
      </c>
      <c r="G1460" s="979" t="s">
        <v>5072</v>
      </c>
      <c r="H1460" s="979">
        <v>787721</v>
      </c>
      <c r="I1460" s="979">
        <v>760475</v>
      </c>
      <c r="J1460" s="979">
        <v>1</v>
      </c>
      <c r="K1460" s="979">
        <v>787721</v>
      </c>
      <c r="L1460" s="979">
        <v>760475</v>
      </c>
      <c r="M1460" s="979">
        <v>599</v>
      </c>
    </row>
    <row r="1461" spans="1:13" ht="15">
      <c r="A1461" s="979" t="s">
        <v>3600</v>
      </c>
      <c r="B1461" s="1040" t="str">
        <f>CONCATENATE(LEFT(RIGHT(CONCATENATE("000",IFAData_TEA_1617!A1461),6),3),"-",(RIGHT(RIGHT(CONCATENATE("000",IFAData_TEA_1617!A1461),6),3)))</f>
        <v>126-905</v>
      </c>
      <c r="C1461" s="979" t="s">
        <v>407</v>
      </c>
      <c r="D1461" s="979">
        <v>2</v>
      </c>
      <c r="E1461" s="979">
        <v>1936</v>
      </c>
      <c r="F1461" s="979" t="s">
        <v>5071</v>
      </c>
      <c r="G1461" s="979" t="s">
        <v>5071</v>
      </c>
      <c r="H1461" s="979">
        <v>787721</v>
      </c>
      <c r="I1461" s="979">
        <v>0</v>
      </c>
      <c r="J1461" s="979">
        <v>0</v>
      </c>
      <c r="K1461" s="979">
        <v>0</v>
      </c>
      <c r="L1461" s="979">
        <v>0</v>
      </c>
      <c r="M1461" s="979">
        <v>599</v>
      </c>
    </row>
    <row r="1462" spans="1:13" ht="15">
      <c r="A1462" s="979" t="s">
        <v>3601</v>
      </c>
      <c r="B1462" s="1040" t="str">
        <f>CONCATENATE(LEFT(RIGHT(CONCATENATE("000",IFAData_TEA_1617!A1462),6),3),"-",(RIGHT(RIGHT(CONCATENATE("000",IFAData_TEA_1617!A1462),6),3)))</f>
        <v>126-906</v>
      </c>
      <c r="C1462" s="979" t="s">
        <v>2034</v>
      </c>
      <c r="D1462" s="979">
        <v>9</v>
      </c>
      <c r="E1462" s="979">
        <v>1949</v>
      </c>
      <c r="F1462" s="979" t="s">
        <v>5073</v>
      </c>
      <c r="G1462" s="979" t="s">
        <v>5074</v>
      </c>
      <c r="H1462" s="979">
        <v>196049</v>
      </c>
      <c r="I1462" s="979">
        <v>841072</v>
      </c>
      <c r="J1462" s="979">
        <v>1</v>
      </c>
      <c r="K1462" s="979">
        <v>196049</v>
      </c>
      <c r="L1462" s="979">
        <v>196049</v>
      </c>
      <c r="M1462" s="979">
        <v>599</v>
      </c>
    </row>
    <row r="1463" spans="1:13" ht="15">
      <c r="A1463" s="979" t="s">
        <v>3601</v>
      </c>
      <c r="B1463" s="1040" t="str">
        <f>CONCATENATE(LEFT(RIGHT(CONCATENATE("000",IFAData_TEA_1617!A1463),6),3),"-",(RIGHT(RIGHT(CONCATENATE("000",IFAData_TEA_1617!A1463),6),3)))</f>
        <v>126-906</v>
      </c>
      <c r="C1463" s="979" t="s">
        <v>2034</v>
      </c>
      <c r="D1463" s="979">
        <v>9</v>
      </c>
      <c r="E1463" s="979">
        <v>1949</v>
      </c>
      <c r="F1463" s="979" t="s">
        <v>5073</v>
      </c>
      <c r="G1463" s="979" t="s">
        <v>5073</v>
      </c>
      <c r="H1463" s="979">
        <v>196049</v>
      </c>
      <c r="I1463" s="979">
        <v>0</v>
      </c>
      <c r="J1463" s="979">
        <v>0</v>
      </c>
      <c r="K1463" s="979">
        <v>0</v>
      </c>
      <c r="L1463" s="979">
        <v>0</v>
      </c>
      <c r="M1463" s="979">
        <v>599</v>
      </c>
    </row>
    <row r="1464" spans="1:13" ht="15">
      <c r="A1464" s="979" t="s">
        <v>3602</v>
      </c>
      <c r="B1464" s="1040" t="str">
        <f>CONCATENATE(LEFT(RIGHT(CONCATENATE("000",IFAData_TEA_1617!A1464),6),3),"-",(RIGHT(RIGHT(CONCATENATE("000",IFAData_TEA_1617!A1464),6),3)))</f>
        <v>126-907</v>
      </c>
      <c r="C1464" s="979" t="s">
        <v>2695</v>
      </c>
      <c r="D1464" s="979">
        <v>4</v>
      </c>
      <c r="E1464" s="979">
        <v>2248</v>
      </c>
      <c r="F1464" s="979" t="s">
        <v>5075</v>
      </c>
      <c r="G1464" s="979" t="s">
        <v>5076</v>
      </c>
      <c r="H1464" s="979">
        <v>140320</v>
      </c>
      <c r="I1464" s="979">
        <v>265447</v>
      </c>
      <c r="J1464" s="979">
        <v>1</v>
      </c>
      <c r="K1464" s="979">
        <v>140320</v>
      </c>
      <c r="L1464" s="979">
        <v>140320</v>
      </c>
      <c r="M1464" s="979">
        <v>599</v>
      </c>
    </row>
    <row r="1465" spans="1:13" ht="15">
      <c r="A1465" s="979" t="s">
        <v>3602</v>
      </c>
      <c r="B1465" s="1040" t="str">
        <f>CONCATENATE(LEFT(RIGHT(CONCATENATE("000",IFAData_TEA_1617!A1465),6),3),"-",(RIGHT(RIGHT(CONCATENATE("000",IFAData_TEA_1617!A1465),6),3)))</f>
        <v>126-907</v>
      </c>
      <c r="C1465" s="979" t="s">
        <v>2695</v>
      </c>
      <c r="D1465" s="979">
        <v>4</v>
      </c>
      <c r="E1465" s="979">
        <v>2248</v>
      </c>
      <c r="F1465" s="979" t="s">
        <v>5075</v>
      </c>
      <c r="G1465" s="979" t="s">
        <v>5075</v>
      </c>
      <c r="H1465" s="979">
        <v>140320</v>
      </c>
      <c r="I1465" s="979">
        <v>0</v>
      </c>
      <c r="J1465" s="979">
        <v>0</v>
      </c>
      <c r="K1465" s="979">
        <v>0</v>
      </c>
      <c r="L1465" s="979">
        <v>0</v>
      </c>
      <c r="M1465" s="979">
        <v>599</v>
      </c>
    </row>
    <row r="1466" spans="1:13" ht="15">
      <c r="A1466" s="979" t="s">
        <v>3603</v>
      </c>
      <c r="B1466" s="1040" t="str">
        <f>CONCATENATE(LEFT(RIGHT(CONCATENATE("000",IFAData_TEA_1617!A1466),6),3),"-",(RIGHT(RIGHT(CONCATENATE("000",IFAData_TEA_1617!A1466),6),3)))</f>
        <v>126-908</v>
      </c>
      <c r="C1466" s="979" t="s">
        <v>2644</v>
      </c>
      <c r="D1466" s="979">
        <v>3</v>
      </c>
      <c r="E1466" s="979">
        <v>2422</v>
      </c>
      <c r="F1466" s="979" t="s">
        <v>5077</v>
      </c>
      <c r="G1466" s="979" t="s">
        <v>5079</v>
      </c>
      <c r="H1466" s="979">
        <v>198161</v>
      </c>
      <c r="I1466" s="979">
        <v>154084</v>
      </c>
      <c r="J1466" s="979">
        <v>0.37077480972055449</v>
      </c>
      <c r="K1466" s="979">
        <v>73473.107069034799</v>
      </c>
      <c r="L1466" s="979">
        <v>73473.107069034799</v>
      </c>
      <c r="M1466" s="979">
        <v>599</v>
      </c>
    </row>
    <row r="1467" spans="1:13" ht="15">
      <c r="A1467" s="979" t="s">
        <v>3603</v>
      </c>
      <c r="B1467" s="1040" t="str">
        <f>CONCATENATE(LEFT(RIGHT(CONCATENATE("000",IFAData_TEA_1617!A1467),6),3),"-",(RIGHT(RIGHT(CONCATENATE("000",IFAData_TEA_1617!A1467),6),3)))</f>
        <v>126-908</v>
      </c>
      <c r="C1467" s="979" t="s">
        <v>2644</v>
      </c>
      <c r="D1467" s="979">
        <v>3</v>
      </c>
      <c r="E1467" s="979">
        <v>2423</v>
      </c>
      <c r="F1467" s="979" t="s">
        <v>5081</v>
      </c>
      <c r="G1467" s="979" t="s">
        <v>5079</v>
      </c>
      <c r="H1467" s="979">
        <v>260380</v>
      </c>
      <c r="I1467" s="979">
        <v>168708</v>
      </c>
      <c r="J1467" s="979">
        <v>0.31020483212591476</v>
      </c>
      <c r="K1467" s="979">
        <v>80771.134188945682</v>
      </c>
      <c r="L1467" s="979">
        <v>80771.134188945682</v>
      </c>
      <c r="M1467" s="979">
        <v>599</v>
      </c>
    </row>
    <row r="1468" spans="1:13" ht="15">
      <c r="A1468" s="979" t="s">
        <v>3603</v>
      </c>
      <c r="B1468" s="1040" t="str">
        <f>CONCATENATE(LEFT(RIGHT(CONCATENATE("000",IFAData_TEA_1617!A1468),6),3),"-",(RIGHT(RIGHT(CONCATENATE("000",IFAData_TEA_1617!A1468),6),3)))</f>
        <v>126-908</v>
      </c>
      <c r="C1468" s="979" t="s">
        <v>2644</v>
      </c>
      <c r="D1468" s="979">
        <v>3</v>
      </c>
      <c r="E1468" s="979">
        <v>2423</v>
      </c>
      <c r="F1468" s="979" t="s">
        <v>5081</v>
      </c>
      <c r="G1468" s="979" t="s">
        <v>6490</v>
      </c>
      <c r="H1468" s="979">
        <v>260380</v>
      </c>
      <c r="I1468" s="979">
        <v>264934</v>
      </c>
      <c r="J1468" s="979">
        <v>0.48713639539587394</v>
      </c>
      <c r="K1468" s="979">
        <v>126840.57463317766</v>
      </c>
      <c r="L1468" s="979">
        <v>126840.57463317766</v>
      </c>
      <c r="M1468" s="979">
        <v>599</v>
      </c>
    </row>
    <row r="1469" spans="1:13" ht="15">
      <c r="A1469" s="979" t="s">
        <v>3603</v>
      </c>
      <c r="B1469" s="1040" t="str">
        <f>CONCATENATE(LEFT(RIGHT(CONCATENATE("000",IFAData_TEA_1617!A1469),6),3),"-",(RIGHT(RIGHT(CONCATENATE("000",IFAData_TEA_1617!A1469),6),3)))</f>
        <v>126-908</v>
      </c>
      <c r="C1469" s="979" t="s">
        <v>2644</v>
      </c>
      <c r="D1469" s="979">
        <v>3</v>
      </c>
      <c r="E1469" s="979">
        <v>2422</v>
      </c>
      <c r="F1469" s="979" t="s">
        <v>5077</v>
      </c>
      <c r="G1469" s="979" t="s">
        <v>5078</v>
      </c>
      <c r="H1469" s="979">
        <v>198161</v>
      </c>
      <c r="I1469" s="979">
        <v>0</v>
      </c>
      <c r="J1469" s="979">
        <v>0</v>
      </c>
      <c r="K1469" s="979">
        <v>0</v>
      </c>
      <c r="L1469" s="979">
        <v>0</v>
      </c>
      <c r="M1469" s="979">
        <v>599</v>
      </c>
    </row>
    <row r="1470" spans="1:13" ht="15">
      <c r="A1470" s="979" t="s">
        <v>3603</v>
      </c>
      <c r="B1470" s="1040" t="str">
        <f>CONCATENATE(LEFT(RIGHT(CONCATENATE("000",IFAData_TEA_1617!A1470),6),3),"-",(RIGHT(RIGHT(CONCATENATE("000",IFAData_TEA_1617!A1470),6),3)))</f>
        <v>126-908</v>
      </c>
      <c r="C1470" s="979" t="s">
        <v>2644</v>
      </c>
      <c r="D1470" s="979">
        <v>3</v>
      </c>
      <c r="E1470" s="979">
        <v>2423</v>
      </c>
      <c r="F1470" s="979" t="s">
        <v>5081</v>
      </c>
      <c r="G1470" s="979" t="s">
        <v>5078</v>
      </c>
      <c r="H1470" s="979">
        <v>260380</v>
      </c>
      <c r="I1470" s="979">
        <v>98800</v>
      </c>
      <c r="J1470" s="979">
        <v>0.18166439892619424</v>
      </c>
      <c r="K1470" s="979">
        <v>47301.776192402453</v>
      </c>
      <c r="L1470" s="979">
        <v>47301.776192402453</v>
      </c>
      <c r="M1470" s="979">
        <v>599</v>
      </c>
    </row>
    <row r="1471" spans="1:13" ht="15">
      <c r="A1471" s="979" t="s">
        <v>3603</v>
      </c>
      <c r="B1471" s="1040" t="str">
        <f>CONCATENATE(LEFT(RIGHT(CONCATENATE("000",IFAData_TEA_1617!A1471),6),3),"-",(RIGHT(RIGHT(CONCATENATE("000",IFAData_TEA_1617!A1471),6),3)))</f>
        <v>126-908</v>
      </c>
      <c r="C1471" s="979" t="s">
        <v>2644</v>
      </c>
      <c r="D1471" s="979">
        <v>8</v>
      </c>
      <c r="E1471" s="979">
        <v>2424</v>
      </c>
      <c r="F1471" s="979" t="s">
        <v>5078</v>
      </c>
      <c r="G1471" s="979" t="s">
        <v>5078</v>
      </c>
      <c r="H1471" s="979">
        <v>338505</v>
      </c>
      <c r="I1471" s="979">
        <v>368845</v>
      </c>
      <c r="J1471" s="979">
        <v>0.5398943177493486</v>
      </c>
      <c r="K1471" s="979">
        <v>182756.92602974325</v>
      </c>
      <c r="L1471" s="979">
        <v>182756.92602974325</v>
      </c>
      <c r="M1471" s="979">
        <v>599</v>
      </c>
    </row>
    <row r="1472" spans="1:13" ht="15">
      <c r="A1472" s="979" t="s">
        <v>3603</v>
      </c>
      <c r="B1472" s="1040" t="str">
        <f>CONCATENATE(LEFT(RIGHT(CONCATENATE("000",IFAData_TEA_1617!A1472),6),3),"-",(RIGHT(RIGHT(CONCATENATE("000",IFAData_TEA_1617!A1472),6),3)))</f>
        <v>126-908</v>
      </c>
      <c r="C1472" s="979" t="s">
        <v>2644</v>
      </c>
      <c r="D1472" s="979">
        <v>3</v>
      </c>
      <c r="E1472" s="979">
        <v>2423</v>
      </c>
      <c r="F1472" s="979" t="s">
        <v>5081</v>
      </c>
      <c r="G1472" s="979" t="s">
        <v>5081</v>
      </c>
      <c r="H1472" s="979">
        <v>260380</v>
      </c>
      <c r="I1472" s="979">
        <v>0</v>
      </c>
      <c r="J1472" s="979">
        <v>0</v>
      </c>
      <c r="K1472" s="979">
        <v>0</v>
      </c>
      <c r="L1472" s="979">
        <v>0</v>
      </c>
      <c r="M1472" s="979">
        <v>599</v>
      </c>
    </row>
    <row r="1473" spans="1:13" ht="15">
      <c r="A1473" s="979" t="s">
        <v>3603</v>
      </c>
      <c r="B1473" s="1040" t="str">
        <f>CONCATENATE(LEFT(RIGHT(CONCATENATE("000",IFAData_TEA_1617!A1473),6),3),"-",(RIGHT(RIGHT(CONCATENATE("000",IFAData_TEA_1617!A1473),6),3)))</f>
        <v>126-908</v>
      </c>
      <c r="C1473" s="979" t="s">
        <v>2644</v>
      </c>
      <c r="D1473" s="979">
        <v>3</v>
      </c>
      <c r="E1473" s="979">
        <v>2422</v>
      </c>
      <c r="F1473" s="979" t="s">
        <v>5077</v>
      </c>
      <c r="G1473" s="979" t="s">
        <v>5080</v>
      </c>
      <c r="H1473" s="979">
        <v>198161</v>
      </c>
      <c r="I1473" s="979">
        <v>124842</v>
      </c>
      <c r="J1473" s="979">
        <v>0.30040931436835405</v>
      </c>
      <c r="K1473" s="979">
        <v>59529.410144547408</v>
      </c>
      <c r="L1473" s="979">
        <v>59529.410144547408</v>
      </c>
      <c r="M1473" s="979">
        <v>599</v>
      </c>
    </row>
    <row r="1474" spans="1:13" ht="15">
      <c r="A1474" s="979" t="s">
        <v>3603</v>
      </c>
      <c r="B1474" s="1040" t="str">
        <f>CONCATENATE(LEFT(RIGHT(CONCATENATE("000",IFAData_TEA_1617!A1474),6),3),"-",(RIGHT(RIGHT(CONCATENATE("000",IFAData_TEA_1617!A1474),6),3)))</f>
        <v>126-908</v>
      </c>
      <c r="C1474" s="979" t="s">
        <v>2644</v>
      </c>
      <c r="D1474" s="979">
        <v>3</v>
      </c>
      <c r="E1474" s="979">
        <v>2423</v>
      </c>
      <c r="F1474" s="979" t="s">
        <v>5081</v>
      </c>
      <c r="G1474" s="979" t="s">
        <v>5080</v>
      </c>
      <c r="H1474" s="979">
        <v>260380</v>
      </c>
      <c r="I1474" s="979">
        <v>11418</v>
      </c>
      <c r="J1474" s="979">
        <v>2.0994373552017064E-2</v>
      </c>
      <c r="K1474" s="979">
        <v>5466.5149854742031</v>
      </c>
      <c r="L1474" s="979">
        <v>5466.5149854742031</v>
      </c>
      <c r="M1474" s="979">
        <v>599</v>
      </c>
    </row>
    <row r="1475" spans="1:13" ht="15">
      <c r="A1475" s="979" t="s">
        <v>3603</v>
      </c>
      <c r="B1475" s="1040" t="str">
        <f>CONCATENATE(LEFT(RIGHT(CONCATENATE("000",IFAData_TEA_1617!A1475),6),3),"-",(RIGHT(RIGHT(CONCATENATE("000",IFAData_TEA_1617!A1475),6),3)))</f>
        <v>126-908</v>
      </c>
      <c r="C1475" s="979" t="s">
        <v>2644</v>
      </c>
      <c r="D1475" s="979">
        <v>3</v>
      </c>
      <c r="E1475" s="979">
        <v>2422</v>
      </c>
      <c r="F1475" s="979" t="s">
        <v>5077</v>
      </c>
      <c r="G1475" s="979" t="s">
        <v>5077</v>
      </c>
      <c r="H1475" s="979">
        <v>198161</v>
      </c>
      <c r="I1475" s="979">
        <v>0</v>
      </c>
      <c r="J1475" s="979">
        <v>0</v>
      </c>
      <c r="K1475" s="979">
        <v>0</v>
      </c>
      <c r="L1475" s="979">
        <v>0</v>
      </c>
      <c r="M1475" s="979">
        <v>599</v>
      </c>
    </row>
    <row r="1476" spans="1:13" ht="15">
      <c r="A1476" s="979" t="s">
        <v>3603</v>
      </c>
      <c r="B1476" s="1040" t="str">
        <f>CONCATENATE(LEFT(RIGHT(CONCATENATE("000",IFAData_TEA_1617!A1476),6),3),"-",(RIGHT(RIGHT(CONCATENATE("000",IFAData_TEA_1617!A1476),6),3)))</f>
        <v>126-908</v>
      </c>
      <c r="C1476" s="979" t="s">
        <v>2644</v>
      </c>
      <c r="D1476" s="979">
        <v>3</v>
      </c>
      <c r="E1476" s="979">
        <v>2422</v>
      </c>
      <c r="F1476" s="979" t="s">
        <v>5077</v>
      </c>
      <c r="G1476" s="979" t="s">
        <v>6490</v>
      </c>
      <c r="H1476" s="979">
        <v>198161</v>
      </c>
      <c r="I1476" s="979">
        <v>136647</v>
      </c>
      <c r="J1476" s="979">
        <v>0.32881587591109146</v>
      </c>
      <c r="K1476" s="979">
        <v>65158.482786417793</v>
      </c>
      <c r="L1476" s="979">
        <v>65158.482786417793</v>
      </c>
      <c r="M1476" s="979">
        <v>599</v>
      </c>
    </row>
    <row r="1477" spans="1:13" ht="15">
      <c r="A1477" s="979" t="s">
        <v>3603</v>
      </c>
      <c r="B1477" s="1040" t="str">
        <f>CONCATENATE(LEFT(RIGHT(CONCATENATE("000",IFAData_TEA_1617!A1477),6),3),"-",(RIGHT(RIGHT(CONCATENATE("000",IFAData_TEA_1617!A1477),6),3)))</f>
        <v>126-908</v>
      </c>
      <c r="C1477" s="979" t="s">
        <v>2644</v>
      </c>
      <c r="D1477" s="979">
        <v>8</v>
      </c>
      <c r="E1477" s="979">
        <v>2424</v>
      </c>
      <c r="F1477" s="979" t="s">
        <v>5078</v>
      </c>
      <c r="G1477" s="979" t="s">
        <v>6490</v>
      </c>
      <c r="H1477" s="979">
        <v>338505</v>
      </c>
      <c r="I1477" s="979">
        <v>314335</v>
      </c>
      <c r="J1477" s="979">
        <v>0.46010568225065135</v>
      </c>
      <c r="K1477" s="979">
        <v>155748.07397025672</v>
      </c>
      <c r="L1477" s="979">
        <v>155748.07397025672</v>
      </c>
      <c r="M1477" s="979">
        <v>599</v>
      </c>
    </row>
    <row r="1478" spans="1:13" ht="15">
      <c r="A1478" s="979" t="s">
        <v>3604</v>
      </c>
      <c r="B1478" s="1040" t="str">
        <f>CONCATENATE(LEFT(RIGHT(CONCATENATE("000",IFAData_TEA_1617!A1478),6),3),"-",(RIGHT(RIGHT(CONCATENATE("000",IFAData_TEA_1617!A1478),6),3)))</f>
        <v>126-911</v>
      </c>
      <c r="C1478" s="979" t="s">
        <v>2322</v>
      </c>
      <c r="D1478" s="979">
        <v>1</v>
      </c>
      <c r="E1478" s="979">
        <v>1847</v>
      </c>
      <c r="F1478" s="979" t="s">
        <v>5082</v>
      </c>
      <c r="G1478" s="979" t="s">
        <v>5083</v>
      </c>
      <c r="H1478" s="979">
        <v>212707</v>
      </c>
      <c r="I1478" s="979">
        <v>0</v>
      </c>
      <c r="J1478" s="979">
        <v>0</v>
      </c>
      <c r="K1478" s="979">
        <v>0</v>
      </c>
      <c r="L1478" s="979">
        <v>0</v>
      </c>
      <c r="M1478" s="979">
        <v>599</v>
      </c>
    </row>
    <row r="1479" spans="1:13" ht="15">
      <c r="A1479" s="979" t="s">
        <v>3604</v>
      </c>
      <c r="B1479" s="1040" t="str">
        <f>CONCATENATE(LEFT(RIGHT(CONCATENATE("000",IFAData_TEA_1617!A1479),6),3),"-",(RIGHT(RIGHT(CONCATENATE("000",IFAData_TEA_1617!A1479),6),3)))</f>
        <v>126-911</v>
      </c>
      <c r="C1479" s="979" t="s">
        <v>2322</v>
      </c>
      <c r="D1479" s="979">
        <v>4</v>
      </c>
      <c r="E1479" s="979">
        <v>1848</v>
      </c>
      <c r="F1479" s="979" t="s">
        <v>5084</v>
      </c>
      <c r="G1479" s="979" t="s">
        <v>5083</v>
      </c>
      <c r="H1479" s="979">
        <v>279766</v>
      </c>
      <c r="I1479" s="979">
        <v>0</v>
      </c>
      <c r="J1479" s="979">
        <v>0</v>
      </c>
      <c r="K1479" s="979">
        <v>0</v>
      </c>
      <c r="L1479" s="979">
        <v>0</v>
      </c>
      <c r="M1479" s="979">
        <v>599</v>
      </c>
    </row>
    <row r="1480" spans="1:13" ht="15">
      <c r="A1480" s="979" t="s">
        <v>3604</v>
      </c>
      <c r="B1480" s="1040" t="str">
        <f>CONCATENATE(LEFT(RIGHT(CONCATENATE("000",IFAData_TEA_1617!A1480),6),3),"-",(RIGHT(RIGHT(CONCATENATE("000",IFAData_TEA_1617!A1480),6),3)))</f>
        <v>126-911</v>
      </c>
      <c r="C1480" s="979" t="s">
        <v>2322</v>
      </c>
      <c r="D1480" s="979">
        <v>1</v>
      </c>
      <c r="E1480" s="979">
        <v>1847</v>
      </c>
      <c r="F1480" s="979" t="s">
        <v>5082</v>
      </c>
      <c r="G1480" s="979" t="s">
        <v>5082</v>
      </c>
      <c r="H1480" s="979">
        <v>212707</v>
      </c>
      <c r="I1480" s="979">
        <v>0</v>
      </c>
      <c r="J1480" s="979">
        <v>0</v>
      </c>
      <c r="K1480" s="979">
        <v>0</v>
      </c>
      <c r="L1480" s="979">
        <v>0</v>
      </c>
      <c r="M1480" s="979">
        <v>599</v>
      </c>
    </row>
    <row r="1481" spans="1:13" ht="15">
      <c r="A1481" s="979" t="s">
        <v>3604</v>
      </c>
      <c r="B1481" s="1040" t="str">
        <f>CONCATENATE(LEFT(RIGHT(CONCATENATE("000",IFAData_TEA_1617!A1481),6),3),"-",(RIGHT(RIGHT(CONCATENATE("000",IFAData_TEA_1617!A1481),6),3)))</f>
        <v>126-911</v>
      </c>
      <c r="C1481" s="979" t="s">
        <v>2322</v>
      </c>
      <c r="D1481" s="979">
        <v>4</v>
      </c>
      <c r="E1481" s="979">
        <v>1848</v>
      </c>
      <c r="F1481" s="979" t="s">
        <v>5084</v>
      </c>
      <c r="G1481" s="979" t="s">
        <v>5084</v>
      </c>
      <c r="H1481" s="979">
        <v>279766</v>
      </c>
      <c r="I1481" s="979">
        <v>0</v>
      </c>
      <c r="J1481" s="979">
        <v>0</v>
      </c>
      <c r="K1481" s="979">
        <v>0</v>
      </c>
      <c r="L1481" s="979">
        <v>0</v>
      </c>
      <c r="M1481" s="979">
        <v>599</v>
      </c>
    </row>
    <row r="1482" spans="1:13" ht="15">
      <c r="A1482" s="979" t="s">
        <v>3604</v>
      </c>
      <c r="B1482" s="1040" t="str">
        <f>CONCATENATE(LEFT(RIGHT(CONCATENATE("000",IFAData_TEA_1617!A1482),6),3),"-",(RIGHT(RIGHT(CONCATENATE("000",IFAData_TEA_1617!A1482),6),3)))</f>
        <v>126-911</v>
      </c>
      <c r="C1482" s="979" t="s">
        <v>2322</v>
      </c>
      <c r="D1482" s="979">
        <v>1</v>
      </c>
      <c r="E1482" s="979">
        <v>1847</v>
      </c>
      <c r="F1482" s="979" t="s">
        <v>5082</v>
      </c>
      <c r="G1482" s="979" t="s">
        <v>6284</v>
      </c>
      <c r="H1482" s="979">
        <v>212707</v>
      </c>
      <c r="I1482" s="979">
        <v>202807</v>
      </c>
      <c r="J1482" s="979">
        <v>1</v>
      </c>
      <c r="K1482" s="979">
        <v>212707</v>
      </c>
      <c r="L1482" s="979">
        <v>202807</v>
      </c>
      <c r="M1482" s="979">
        <v>599</v>
      </c>
    </row>
    <row r="1483" spans="1:13" ht="15">
      <c r="A1483" s="979" t="s">
        <v>3604</v>
      </c>
      <c r="B1483" s="1040" t="str">
        <f>CONCATENATE(LEFT(RIGHT(CONCATENATE("000",IFAData_TEA_1617!A1483),6),3),"-",(RIGHT(RIGHT(CONCATENATE("000",IFAData_TEA_1617!A1483),6),3)))</f>
        <v>126-911</v>
      </c>
      <c r="C1483" s="979" t="s">
        <v>2322</v>
      </c>
      <c r="D1483" s="979">
        <v>4</v>
      </c>
      <c r="E1483" s="979">
        <v>1848</v>
      </c>
      <c r="F1483" s="979" t="s">
        <v>5084</v>
      </c>
      <c r="G1483" s="979" t="s">
        <v>6284</v>
      </c>
      <c r="H1483" s="979">
        <v>279766</v>
      </c>
      <c r="I1483" s="979">
        <v>255305</v>
      </c>
      <c r="J1483" s="979">
        <v>1</v>
      </c>
      <c r="K1483" s="979">
        <v>279766</v>
      </c>
      <c r="L1483" s="979">
        <v>255305</v>
      </c>
      <c r="M1483" s="979">
        <v>599</v>
      </c>
    </row>
    <row r="1484" spans="1:13" ht="15">
      <c r="A1484" s="979" t="s">
        <v>3605</v>
      </c>
      <c r="B1484" s="1040" t="str">
        <f>CONCATENATE(LEFT(RIGHT(CONCATENATE("000",IFAData_TEA_1617!A1484),6),3),"-",(RIGHT(RIGHT(CONCATENATE("000",IFAData_TEA_1617!A1484),6),3)))</f>
        <v>127-905</v>
      </c>
      <c r="C1484" s="979" t="s">
        <v>144</v>
      </c>
      <c r="D1484" s="979">
        <v>6</v>
      </c>
      <c r="E1484" s="979">
        <v>2042</v>
      </c>
      <c r="F1484" s="979" t="s">
        <v>5085</v>
      </c>
      <c r="G1484" s="979" t="s">
        <v>5086</v>
      </c>
      <c r="H1484" s="979">
        <v>100000</v>
      </c>
      <c r="I1484" s="979">
        <v>88500</v>
      </c>
      <c r="J1484" s="979">
        <v>1</v>
      </c>
      <c r="K1484" s="979">
        <v>100000</v>
      </c>
      <c r="L1484" s="979">
        <v>88500</v>
      </c>
      <c r="M1484" s="979">
        <v>599</v>
      </c>
    </row>
    <row r="1485" spans="1:13" ht="15">
      <c r="A1485" s="979" t="s">
        <v>3605</v>
      </c>
      <c r="B1485" s="1040" t="str">
        <f>CONCATENATE(LEFT(RIGHT(CONCATENATE("000",IFAData_TEA_1617!A1485),6),3),"-",(RIGHT(RIGHT(CONCATENATE("000",IFAData_TEA_1617!A1485),6),3)))</f>
        <v>127-905</v>
      </c>
      <c r="C1485" s="979" t="s">
        <v>144</v>
      </c>
      <c r="D1485" s="979">
        <v>6</v>
      </c>
      <c r="E1485" s="979">
        <v>2042</v>
      </c>
      <c r="F1485" s="979" t="s">
        <v>5085</v>
      </c>
      <c r="G1485" s="979" t="s">
        <v>5085</v>
      </c>
      <c r="H1485" s="979">
        <v>100000</v>
      </c>
      <c r="I1485" s="979">
        <v>0</v>
      </c>
      <c r="J1485" s="979">
        <v>0</v>
      </c>
      <c r="K1485" s="979">
        <v>0</v>
      </c>
      <c r="L1485" s="979">
        <v>0</v>
      </c>
      <c r="M1485" s="979">
        <v>599</v>
      </c>
    </row>
    <row r="1486" spans="1:13" ht="15">
      <c r="A1486" s="979" t="s">
        <v>3606</v>
      </c>
      <c r="B1486" s="1040" t="str">
        <f>CONCATENATE(LEFT(RIGHT(CONCATENATE("000",IFAData_TEA_1617!A1486),6),3),"-",(RIGHT(RIGHT(CONCATENATE("000",IFAData_TEA_1617!A1486),6),3)))</f>
        <v>127-906</v>
      </c>
      <c r="C1486" s="979" t="s">
        <v>1939</v>
      </c>
      <c r="D1486" s="979">
        <v>5</v>
      </c>
      <c r="E1486" s="979">
        <v>2382</v>
      </c>
      <c r="F1486" s="979" t="s">
        <v>5087</v>
      </c>
      <c r="G1486" s="979" t="s">
        <v>5087</v>
      </c>
      <c r="H1486" s="979">
        <v>187854</v>
      </c>
      <c r="I1486" s="979">
        <v>0</v>
      </c>
      <c r="J1486" s="979">
        <v>0</v>
      </c>
      <c r="K1486" s="979">
        <v>0</v>
      </c>
      <c r="L1486" s="979">
        <v>0</v>
      </c>
      <c r="M1486" s="979">
        <v>599</v>
      </c>
    </row>
    <row r="1487" spans="1:13" ht="15">
      <c r="A1487" s="979" t="s">
        <v>3606</v>
      </c>
      <c r="B1487" s="1040" t="str">
        <f>CONCATENATE(LEFT(RIGHT(CONCATENATE("000",IFAData_TEA_1617!A1487),6),3),"-",(RIGHT(RIGHT(CONCATENATE("000",IFAData_TEA_1617!A1487),6),3)))</f>
        <v>127-906</v>
      </c>
      <c r="C1487" s="979" t="s">
        <v>1939</v>
      </c>
      <c r="D1487" s="979">
        <v>10</v>
      </c>
      <c r="E1487" s="979">
        <v>2381</v>
      </c>
      <c r="F1487" s="979" t="s">
        <v>5089</v>
      </c>
      <c r="G1487" s="979" t="s">
        <v>5089</v>
      </c>
      <c r="H1487" s="979">
        <v>143981</v>
      </c>
      <c r="I1487" s="979">
        <v>167326</v>
      </c>
      <c r="J1487" s="979">
        <v>0.40234976146506618</v>
      </c>
      <c r="K1487" s="979">
        <v>57930.721005501691</v>
      </c>
      <c r="L1487" s="979">
        <v>57930.721005501691</v>
      </c>
      <c r="M1487" s="979">
        <v>599</v>
      </c>
    </row>
    <row r="1488" spans="1:13" ht="15">
      <c r="A1488" s="979" t="s">
        <v>3606</v>
      </c>
      <c r="B1488" s="1040" t="str">
        <f>CONCATENATE(LEFT(RIGHT(CONCATENATE("000",IFAData_TEA_1617!A1488),6),3),"-",(RIGHT(RIGHT(CONCATENATE("000",IFAData_TEA_1617!A1488),6),3)))</f>
        <v>127-906</v>
      </c>
      <c r="C1488" s="979" t="s">
        <v>1939</v>
      </c>
      <c r="D1488" s="979">
        <v>5</v>
      </c>
      <c r="E1488" s="979">
        <v>2382</v>
      </c>
      <c r="F1488" s="979" t="s">
        <v>5087</v>
      </c>
      <c r="G1488" s="979" t="s">
        <v>5088</v>
      </c>
      <c r="H1488" s="979">
        <v>187854</v>
      </c>
      <c r="I1488" s="979">
        <v>107175</v>
      </c>
      <c r="J1488" s="979">
        <v>0.60195456204892017</v>
      </c>
      <c r="K1488" s="979">
        <v>113079.57229913786</v>
      </c>
      <c r="L1488" s="979">
        <v>107175</v>
      </c>
      <c r="M1488" s="979">
        <v>599</v>
      </c>
    </row>
    <row r="1489" spans="1:13" ht="15">
      <c r="A1489" s="979" t="s">
        <v>3606</v>
      </c>
      <c r="B1489" s="1040" t="str">
        <f>CONCATENATE(LEFT(RIGHT(CONCATENATE("000",IFAData_TEA_1617!A1489),6),3),"-",(RIGHT(RIGHT(CONCATENATE("000",IFAData_TEA_1617!A1489),6),3)))</f>
        <v>127-906</v>
      </c>
      <c r="C1489" s="979" t="s">
        <v>1939</v>
      </c>
      <c r="D1489" s="979">
        <v>10</v>
      </c>
      <c r="E1489" s="979">
        <v>2381</v>
      </c>
      <c r="F1489" s="979" t="s">
        <v>5089</v>
      </c>
      <c r="G1489" s="979" t="s">
        <v>6491</v>
      </c>
      <c r="H1489" s="979">
        <v>143981</v>
      </c>
      <c r="I1489" s="979">
        <v>248546</v>
      </c>
      <c r="J1489" s="979">
        <v>0.59765023853493382</v>
      </c>
      <c r="K1489" s="979">
        <v>86050.278994498309</v>
      </c>
      <c r="L1489" s="979">
        <v>86050.278994498309</v>
      </c>
      <c r="M1489" s="979">
        <v>599</v>
      </c>
    </row>
    <row r="1490" spans="1:13" ht="15">
      <c r="A1490" s="979" t="s">
        <v>3606</v>
      </c>
      <c r="B1490" s="1040" t="str">
        <f>CONCATENATE(LEFT(RIGHT(CONCATENATE("000",IFAData_TEA_1617!A1490),6),3),"-",(RIGHT(RIGHT(CONCATENATE("000",IFAData_TEA_1617!A1490),6),3)))</f>
        <v>127-906</v>
      </c>
      <c r="C1490" s="979" t="s">
        <v>1939</v>
      </c>
      <c r="D1490" s="979">
        <v>5</v>
      </c>
      <c r="E1490" s="979">
        <v>2382</v>
      </c>
      <c r="F1490" s="979" t="s">
        <v>5087</v>
      </c>
      <c r="G1490" s="979" t="s">
        <v>6491</v>
      </c>
      <c r="H1490" s="979">
        <v>187854</v>
      </c>
      <c r="I1490" s="979">
        <v>70870</v>
      </c>
      <c r="J1490" s="979">
        <v>0.39804543795107977</v>
      </c>
      <c r="K1490" s="979">
        <v>74774.427700862143</v>
      </c>
      <c r="L1490" s="979">
        <v>70870</v>
      </c>
      <c r="M1490" s="979">
        <v>599</v>
      </c>
    </row>
    <row r="1491" spans="1:13" ht="15">
      <c r="A1491" s="979" t="s">
        <v>5090</v>
      </c>
      <c r="B1491" s="1040" t="str">
        <f>CONCATENATE(LEFT(RIGHT(CONCATENATE("000",IFAData_TEA_1617!A1491),6),3),"-",(RIGHT(RIGHT(CONCATENATE("000",IFAData_TEA_1617!A1491),6),3)))</f>
        <v>128-901</v>
      </c>
      <c r="C1491" s="979" t="s">
        <v>409</v>
      </c>
      <c r="D1491" s="979">
        <v>2</v>
      </c>
      <c r="E1491" s="979">
        <v>1940</v>
      </c>
      <c r="F1491" s="979" t="s">
        <v>5091</v>
      </c>
      <c r="G1491" s="979" t="s">
        <v>5091</v>
      </c>
      <c r="H1491" s="979">
        <v>91832</v>
      </c>
      <c r="I1491" s="979">
        <v>0</v>
      </c>
      <c r="J1491" s="979">
        <v>0</v>
      </c>
      <c r="K1491" s="979"/>
      <c r="L1491" s="979">
        <v>0</v>
      </c>
      <c r="M1491" s="979">
        <v>599</v>
      </c>
    </row>
    <row r="1492" spans="1:13" ht="15">
      <c r="A1492" s="979" t="s">
        <v>3607</v>
      </c>
      <c r="B1492" s="1040" t="str">
        <f>CONCATENATE(LEFT(RIGHT(CONCATENATE("000",IFAData_TEA_1617!A1492),6),3),"-",(RIGHT(RIGHT(CONCATENATE("000",IFAData_TEA_1617!A1492),6),3)))</f>
        <v>128-902</v>
      </c>
      <c r="C1492" s="979" t="s">
        <v>414</v>
      </c>
      <c r="D1492" s="979">
        <v>6</v>
      </c>
      <c r="E1492" s="979">
        <v>1954</v>
      </c>
      <c r="F1492" s="979" t="s">
        <v>5092</v>
      </c>
      <c r="G1492" s="979" t="s">
        <v>5093</v>
      </c>
      <c r="H1492" s="979">
        <v>195337</v>
      </c>
      <c r="I1492" s="979">
        <v>196125</v>
      </c>
      <c r="J1492" s="979">
        <v>1</v>
      </c>
      <c r="K1492" s="979">
        <v>195337</v>
      </c>
      <c r="L1492" s="979">
        <v>195337</v>
      </c>
      <c r="M1492" s="979">
        <v>599</v>
      </c>
    </row>
    <row r="1493" spans="1:13" ht="15">
      <c r="A1493" s="979" t="s">
        <v>3607</v>
      </c>
      <c r="B1493" s="1040" t="str">
        <f>CONCATENATE(LEFT(RIGHT(CONCATENATE("000",IFAData_TEA_1617!A1493),6),3),"-",(RIGHT(RIGHT(CONCATENATE("000",IFAData_TEA_1617!A1493),6),3)))</f>
        <v>128-902</v>
      </c>
      <c r="C1493" s="979" t="s">
        <v>414</v>
      </c>
      <c r="D1493" s="979">
        <v>6</v>
      </c>
      <c r="E1493" s="979">
        <v>1954</v>
      </c>
      <c r="F1493" s="979" t="s">
        <v>5092</v>
      </c>
      <c r="G1493" s="979" t="s">
        <v>5092</v>
      </c>
      <c r="H1493" s="979">
        <v>195337</v>
      </c>
      <c r="I1493" s="979">
        <v>0</v>
      </c>
      <c r="J1493" s="979">
        <v>0</v>
      </c>
      <c r="K1493" s="979">
        <v>0</v>
      </c>
      <c r="L1493" s="979">
        <v>0</v>
      </c>
      <c r="M1493" s="979">
        <v>599</v>
      </c>
    </row>
    <row r="1494" spans="1:13" ht="15">
      <c r="A1494" s="979" t="s">
        <v>3608</v>
      </c>
      <c r="B1494" s="1040" t="str">
        <f>CONCATENATE(LEFT(RIGHT(CONCATENATE("000",IFAData_TEA_1617!A1494),6),3),"-",(RIGHT(RIGHT(CONCATENATE("000",IFAData_TEA_1617!A1494),6),3)))</f>
        <v>128-904</v>
      </c>
      <c r="C1494" s="979" t="s">
        <v>893</v>
      </c>
      <c r="D1494" s="979">
        <v>3</v>
      </c>
      <c r="E1494" s="979">
        <v>1809</v>
      </c>
      <c r="F1494" s="979" t="s">
        <v>5094</v>
      </c>
      <c r="G1494" s="979" t="s">
        <v>5094</v>
      </c>
      <c r="H1494" s="979">
        <v>114000</v>
      </c>
      <c r="I1494" s="979">
        <v>0</v>
      </c>
      <c r="J1494" s="979">
        <v>0</v>
      </c>
      <c r="K1494" s="979"/>
      <c r="L1494" s="979">
        <v>0</v>
      </c>
      <c r="M1494" s="979">
        <v>199</v>
      </c>
    </row>
    <row r="1495" spans="1:13" ht="15">
      <c r="A1495" s="979" t="s">
        <v>3608</v>
      </c>
      <c r="B1495" s="1040" t="str">
        <f>CONCATENATE(LEFT(RIGHT(CONCATENATE("000",IFAData_TEA_1617!A1495),6),3),"-",(RIGHT(RIGHT(CONCATENATE("000",IFAData_TEA_1617!A1495),6),3)))</f>
        <v>128-904</v>
      </c>
      <c r="C1495" s="979" t="s">
        <v>893</v>
      </c>
      <c r="D1495" s="979">
        <v>5</v>
      </c>
      <c r="E1495" s="979">
        <v>1808</v>
      </c>
      <c r="F1495" s="979" t="s">
        <v>5095</v>
      </c>
      <c r="G1495" s="979" t="s">
        <v>5098</v>
      </c>
      <c r="H1495" s="979">
        <v>95588</v>
      </c>
      <c r="I1495" s="979">
        <v>0</v>
      </c>
      <c r="J1495" s="979">
        <v>0</v>
      </c>
      <c r="K1495" s="979">
        <v>0</v>
      </c>
      <c r="L1495" s="979">
        <v>0</v>
      </c>
      <c r="M1495" s="979">
        <v>599</v>
      </c>
    </row>
    <row r="1496" spans="1:13" ht="15">
      <c r="A1496" s="979" t="s">
        <v>3608</v>
      </c>
      <c r="B1496" s="1040" t="str">
        <f>CONCATENATE(LEFT(RIGHT(CONCATENATE("000",IFAData_TEA_1617!A1496),6),3),"-",(RIGHT(RIGHT(CONCATENATE("000",IFAData_TEA_1617!A1496),6),3)))</f>
        <v>128-904</v>
      </c>
      <c r="C1496" s="979" t="s">
        <v>893</v>
      </c>
      <c r="D1496" s="979">
        <v>5</v>
      </c>
      <c r="E1496" s="979">
        <v>1808</v>
      </c>
      <c r="F1496" s="979" t="s">
        <v>5095</v>
      </c>
      <c r="G1496" s="979" t="s">
        <v>5097</v>
      </c>
      <c r="H1496" s="979">
        <v>95588</v>
      </c>
      <c r="I1496" s="979">
        <v>44568</v>
      </c>
      <c r="J1496" s="979">
        <v>1</v>
      </c>
      <c r="K1496" s="979">
        <v>95588</v>
      </c>
      <c r="L1496" s="979">
        <v>44568</v>
      </c>
      <c r="M1496" s="979">
        <v>599</v>
      </c>
    </row>
    <row r="1497" spans="1:13" ht="15">
      <c r="A1497" s="979" t="s">
        <v>3608</v>
      </c>
      <c r="B1497" s="1040" t="str">
        <f>CONCATENATE(LEFT(RIGHT(CONCATENATE("000",IFAData_TEA_1617!A1497),6),3),"-",(RIGHT(RIGHT(CONCATENATE("000",IFAData_TEA_1617!A1497),6),3)))</f>
        <v>128-904</v>
      </c>
      <c r="C1497" s="979" t="s">
        <v>893</v>
      </c>
      <c r="D1497" s="979">
        <v>5</v>
      </c>
      <c r="E1497" s="979">
        <v>1808</v>
      </c>
      <c r="F1497" s="979" t="s">
        <v>5095</v>
      </c>
      <c r="G1497" s="979" t="s">
        <v>5096</v>
      </c>
      <c r="H1497" s="979">
        <v>95588</v>
      </c>
      <c r="I1497" s="979">
        <v>0</v>
      </c>
      <c r="J1497" s="979">
        <v>0</v>
      </c>
      <c r="K1497" s="979">
        <v>0</v>
      </c>
      <c r="L1497" s="979">
        <v>0</v>
      </c>
      <c r="M1497" s="979">
        <v>599</v>
      </c>
    </row>
    <row r="1498" spans="1:13" ht="15">
      <c r="A1498" s="979" t="s">
        <v>3608</v>
      </c>
      <c r="B1498" s="1040" t="str">
        <f>CONCATENATE(LEFT(RIGHT(CONCATENATE("000",IFAData_TEA_1617!A1498),6),3),"-",(RIGHT(RIGHT(CONCATENATE("000",IFAData_TEA_1617!A1498),6),3)))</f>
        <v>128-904</v>
      </c>
      <c r="C1498" s="979" t="s">
        <v>893</v>
      </c>
      <c r="D1498" s="979">
        <v>5</v>
      </c>
      <c r="E1498" s="979">
        <v>1808</v>
      </c>
      <c r="F1498" s="979" t="s">
        <v>5095</v>
      </c>
      <c r="G1498" s="979" t="s">
        <v>5095</v>
      </c>
      <c r="H1498" s="979">
        <v>95588</v>
      </c>
      <c r="I1498" s="979">
        <v>0</v>
      </c>
      <c r="J1498" s="979">
        <v>0</v>
      </c>
      <c r="K1498" s="979">
        <v>0</v>
      </c>
      <c r="L1498" s="979">
        <v>0</v>
      </c>
      <c r="M1498" s="979">
        <v>199</v>
      </c>
    </row>
    <row r="1499" spans="1:13" ht="15">
      <c r="A1499" s="979" t="s">
        <v>3609</v>
      </c>
      <c r="B1499" s="1040" t="str">
        <f>CONCATENATE(LEFT(RIGHT(CONCATENATE("000",IFAData_TEA_1617!A1499),6),3),"-",(RIGHT(RIGHT(CONCATENATE("000",IFAData_TEA_1617!A1499),6),3)))</f>
        <v>129-901</v>
      </c>
      <c r="C1499" s="979" t="s">
        <v>416</v>
      </c>
      <c r="D1499" s="979">
        <v>2</v>
      </c>
      <c r="E1499" s="979">
        <v>1728</v>
      </c>
      <c r="F1499" s="979" t="s">
        <v>5099</v>
      </c>
      <c r="G1499" s="979" t="s">
        <v>5101</v>
      </c>
      <c r="H1499" s="979">
        <v>347484</v>
      </c>
      <c r="I1499" s="979">
        <v>0</v>
      </c>
      <c r="J1499" s="979">
        <v>0</v>
      </c>
      <c r="K1499" s="979"/>
      <c r="L1499" s="979">
        <v>0</v>
      </c>
      <c r="M1499" s="979">
        <v>599</v>
      </c>
    </row>
    <row r="1500" spans="1:13" ht="15">
      <c r="A1500" s="979" t="s">
        <v>3609</v>
      </c>
      <c r="B1500" s="1040" t="str">
        <f>CONCATENATE(LEFT(RIGHT(CONCATENATE("000",IFAData_TEA_1617!A1500),6),3),"-",(RIGHT(RIGHT(CONCATENATE("000",IFAData_TEA_1617!A1500),6),3)))</f>
        <v>129-901</v>
      </c>
      <c r="C1500" s="979" t="s">
        <v>416</v>
      </c>
      <c r="D1500" s="979">
        <v>6</v>
      </c>
      <c r="E1500" s="979">
        <v>1729</v>
      </c>
      <c r="F1500" s="979" t="s">
        <v>5102</v>
      </c>
      <c r="G1500" s="979" t="s">
        <v>5103</v>
      </c>
      <c r="H1500" s="979">
        <v>483733</v>
      </c>
      <c r="I1500" s="979">
        <v>0</v>
      </c>
      <c r="J1500" s="979">
        <v>0</v>
      </c>
      <c r="K1500" s="979">
        <v>0</v>
      </c>
      <c r="L1500" s="979">
        <v>0</v>
      </c>
      <c r="M1500" s="979">
        <v>599</v>
      </c>
    </row>
    <row r="1501" spans="1:13" ht="15">
      <c r="A1501" s="979" t="s">
        <v>3609</v>
      </c>
      <c r="B1501" s="1040" t="str">
        <f>CONCATENATE(LEFT(RIGHT(CONCATENATE("000",IFAData_TEA_1617!A1501),6),3),"-",(RIGHT(RIGHT(CONCATENATE("000",IFAData_TEA_1617!A1501),6),3)))</f>
        <v>129-901</v>
      </c>
      <c r="C1501" s="979" t="s">
        <v>416</v>
      </c>
      <c r="D1501" s="979">
        <v>9</v>
      </c>
      <c r="E1501" s="979">
        <v>1730</v>
      </c>
      <c r="F1501" s="979" t="s">
        <v>5104</v>
      </c>
      <c r="G1501" s="979" t="s">
        <v>6492</v>
      </c>
      <c r="H1501" s="979">
        <v>538407</v>
      </c>
      <c r="I1501" s="979">
        <v>281080</v>
      </c>
      <c r="J1501" s="979">
        <v>0.25754549286224782</v>
      </c>
      <c r="K1501" s="979">
        <v>138664.29617548425</v>
      </c>
      <c r="L1501" s="979">
        <v>138664.29617548425</v>
      </c>
      <c r="M1501" s="979">
        <v>599</v>
      </c>
    </row>
    <row r="1502" spans="1:13" ht="15">
      <c r="A1502" s="979" t="s">
        <v>3609</v>
      </c>
      <c r="B1502" s="1040" t="str">
        <f>CONCATENATE(LEFT(RIGHT(CONCATENATE("000",IFAData_TEA_1617!A1502),6),3),"-",(RIGHT(RIGHT(CONCATENATE("000",IFAData_TEA_1617!A1502),6),3)))</f>
        <v>129-901</v>
      </c>
      <c r="C1502" s="979" t="s">
        <v>416</v>
      </c>
      <c r="D1502" s="979">
        <v>2</v>
      </c>
      <c r="E1502" s="979">
        <v>1728</v>
      </c>
      <c r="F1502" s="979" t="s">
        <v>5099</v>
      </c>
      <c r="G1502" s="979" t="s">
        <v>5099</v>
      </c>
      <c r="H1502" s="979">
        <v>347484</v>
      </c>
      <c r="I1502" s="979">
        <v>0</v>
      </c>
      <c r="J1502" s="979">
        <v>0</v>
      </c>
      <c r="K1502" s="979"/>
      <c r="L1502" s="979">
        <v>0</v>
      </c>
      <c r="M1502" s="979">
        <v>599</v>
      </c>
    </row>
    <row r="1503" spans="1:13" ht="15">
      <c r="A1503" s="979" t="s">
        <v>3609</v>
      </c>
      <c r="B1503" s="1040" t="str">
        <f>CONCATENATE(LEFT(RIGHT(CONCATENATE("000",IFAData_TEA_1617!A1503),6),3),"-",(RIGHT(RIGHT(CONCATENATE("000",IFAData_TEA_1617!A1503),6),3)))</f>
        <v>129-901</v>
      </c>
      <c r="C1503" s="979" t="s">
        <v>416</v>
      </c>
      <c r="D1503" s="979">
        <v>9</v>
      </c>
      <c r="E1503" s="979">
        <v>1730</v>
      </c>
      <c r="F1503" s="979" t="s">
        <v>5104</v>
      </c>
      <c r="G1503" s="979" t="s">
        <v>6493</v>
      </c>
      <c r="H1503" s="979">
        <v>538407</v>
      </c>
      <c r="I1503" s="979">
        <v>254300</v>
      </c>
      <c r="J1503" s="979">
        <v>0.23300775165386942</v>
      </c>
      <c r="K1503" s="979">
        <v>125453.00454470488</v>
      </c>
      <c r="L1503" s="979">
        <v>125453.00454470488</v>
      </c>
      <c r="M1503" s="979">
        <v>599</v>
      </c>
    </row>
    <row r="1504" spans="1:13" ht="15">
      <c r="A1504" s="979" t="s">
        <v>3609</v>
      </c>
      <c r="B1504" s="1040" t="str">
        <f>CONCATENATE(LEFT(RIGHT(CONCATENATE("000",IFAData_TEA_1617!A1504),6),3),"-",(RIGHT(RIGHT(CONCATENATE("000",IFAData_TEA_1617!A1504),6),3)))</f>
        <v>129-901</v>
      </c>
      <c r="C1504" s="979" t="s">
        <v>416</v>
      </c>
      <c r="D1504" s="979">
        <v>9</v>
      </c>
      <c r="E1504" s="979">
        <v>1730</v>
      </c>
      <c r="F1504" s="979" t="s">
        <v>5104</v>
      </c>
      <c r="G1504" s="979" t="s">
        <v>5104</v>
      </c>
      <c r="H1504" s="979">
        <v>538407</v>
      </c>
      <c r="I1504" s="979">
        <v>556000</v>
      </c>
      <c r="J1504" s="979">
        <v>0.50944675548388274</v>
      </c>
      <c r="K1504" s="979">
        <v>274289.69927981083</v>
      </c>
      <c r="L1504" s="979">
        <v>274289.69927981083</v>
      </c>
      <c r="M1504" s="979">
        <v>599</v>
      </c>
    </row>
    <row r="1505" spans="1:13" ht="15">
      <c r="A1505" s="979" t="s">
        <v>3609</v>
      </c>
      <c r="B1505" s="1040" t="str">
        <f>CONCATENATE(LEFT(RIGHT(CONCATENATE("000",IFAData_TEA_1617!A1505),6),3),"-",(RIGHT(RIGHT(CONCATENATE("000",IFAData_TEA_1617!A1505),6),3)))</f>
        <v>129-901</v>
      </c>
      <c r="C1505" s="979" t="s">
        <v>416</v>
      </c>
      <c r="D1505" s="979">
        <v>6</v>
      </c>
      <c r="E1505" s="979">
        <v>1729</v>
      </c>
      <c r="F1505" s="979" t="s">
        <v>5102</v>
      </c>
      <c r="G1505" s="979" t="s">
        <v>5102</v>
      </c>
      <c r="H1505" s="979">
        <v>483733</v>
      </c>
      <c r="I1505" s="979">
        <v>1996523</v>
      </c>
      <c r="J1505" s="979">
        <v>1</v>
      </c>
      <c r="K1505" s="979">
        <v>483733</v>
      </c>
      <c r="L1505" s="979">
        <v>483733</v>
      </c>
      <c r="M1505" s="979">
        <v>599</v>
      </c>
    </row>
    <row r="1506" spans="1:13" ht="15">
      <c r="A1506" s="979" t="s">
        <v>3609</v>
      </c>
      <c r="B1506" s="1040" t="str">
        <f>CONCATENATE(LEFT(RIGHT(CONCATENATE("000",IFAData_TEA_1617!A1506),6),3),"-",(RIGHT(RIGHT(CONCATENATE("000",IFAData_TEA_1617!A1506),6),3)))</f>
        <v>129-901</v>
      </c>
      <c r="C1506" s="979" t="s">
        <v>416</v>
      </c>
      <c r="D1506" s="979">
        <v>2</v>
      </c>
      <c r="E1506" s="979">
        <v>1728</v>
      </c>
      <c r="F1506" s="979" t="s">
        <v>5099</v>
      </c>
      <c r="G1506" s="979" t="s">
        <v>5100</v>
      </c>
      <c r="H1506" s="979">
        <v>347484</v>
      </c>
      <c r="I1506" s="979">
        <v>0</v>
      </c>
      <c r="J1506" s="979">
        <v>0</v>
      </c>
      <c r="K1506" s="979"/>
      <c r="L1506" s="979">
        <v>0</v>
      </c>
      <c r="M1506" s="979">
        <v>599</v>
      </c>
    </row>
    <row r="1507" spans="1:13" ht="15">
      <c r="A1507" s="979" t="s">
        <v>3610</v>
      </c>
      <c r="B1507" s="1040" t="str">
        <f>CONCATENATE(LEFT(RIGHT(CONCATENATE("000",IFAData_TEA_1617!A1507),6),3),"-",(RIGHT(RIGHT(CONCATENATE("000",IFAData_TEA_1617!A1507),6),3)))</f>
        <v>129-902</v>
      </c>
      <c r="C1507" s="979" t="s">
        <v>111</v>
      </c>
      <c r="D1507" s="979">
        <v>1</v>
      </c>
      <c r="E1507" s="979">
        <v>1817</v>
      </c>
      <c r="F1507" s="979" t="s">
        <v>5105</v>
      </c>
      <c r="G1507" s="979" t="s">
        <v>5108</v>
      </c>
      <c r="H1507" s="979">
        <v>553750</v>
      </c>
      <c r="I1507" s="979">
        <v>0</v>
      </c>
      <c r="J1507" s="979">
        <v>0</v>
      </c>
      <c r="K1507" s="979">
        <v>0</v>
      </c>
      <c r="L1507" s="979">
        <v>0</v>
      </c>
      <c r="M1507" s="979">
        <v>599</v>
      </c>
    </row>
    <row r="1508" spans="1:13" ht="15">
      <c r="A1508" s="979" t="s">
        <v>3610</v>
      </c>
      <c r="B1508" s="1040" t="str">
        <f>CONCATENATE(LEFT(RIGHT(CONCATENATE("000",IFAData_TEA_1617!A1508),6),3),"-",(RIGHT(RIGHT(CONCATENATE("000",IFAData_TEA_1617!A1508),6),3)))</f>
        <v>129-902</v>
      </c>
      <c r="C1508" s="979" t="s">
        <v>111</v>
      </c>
      <c r="D1508" s="979">
        <v>9</v>
      </c>
      <c r="E1508" s="979">
        <v>1818</v>
      </c>
      <c r="F1508" s="979" t="s">
        <v>5109</v>
      </c>
      <c r="G1508" s="979" t="s">
        <v>5109</v>
      </c>
      <c r="H1508" s="979">
        <v>1954750</v>
      </c>
      <c r="I1508" s="979">
        <v>2175250</v>
      </c>
      <c r="J1508" s="979">
        <v>1</v>
      </c>
      <c r="K1508" s="979">
        <v>1954750</v>
      </c>
      <c r="L1508" s="979">
        <v>1954750</v>
      </c>
      <c r="M1508" s="979">
        <v>599</v>
      </c>
    </row>
    <row r="1509" spans="1:13" ht="15">
      <c r="A1509" s="979" t="s">
        <v>3610</v>
      </c>
      <c r="B1509" s="1040" t="str">
        <f>CONCATENATE(LEFT(RIGHT(CONCATENATE("000",IFAData_TEA_1617!A1509),6),3),"-",(RIGHT(RIGHT(CONCATENATE("000",IFAData_TEA_1617!A1509),6),3)))</f>
        <v>129-902</v>
      </c>
      <c r="C1509" s="979" t="s">
        <v>111</v>
      </c>
      <c r="D1509" s="979">
        <v>1</v>
      </c>
      <c r="E1509" s="979">
        <v>1817</v>
      </c>
      <c r="F1509" s="979" t="s">
        <v>5105</v>
      </c>
      <c r="G1509" s="979" t="s">
        <v>5105</v>
      </c>
      <c r="H1509" s="979">
        <v>553750</v>
      </c>
      <c r="I1509" s="979">
        <v>0</v>
      </c>
      <c r="J1509" s="979">
        <v>0</v>
      </c>
      <c r="K1509" s="979">
        <v>0</v>
      </c>
      <c r="L1509" s="979">
        <v>0</v>
      </c>
      <c r="M1509" s="979">
        <v>599</v>
      </c>
    </row>
    <row r="1510" spans="1:13" ht="15">
      <c r="A1510" s="979" t="s">
        <v>3610</v>
      </c>
      <c r="B1510" s="1040" t="str">
        <f>CONCATENATE(LEFT(RIGHT(CONCATENATE("000",IFAData_TEA_1617!A1510),6),3),"-",(RIGHT(RIGHT(CONCATENATE("000",IFAData_TEA_1617!A1510),6),3)))</f>
        <v>129-902</v>
      </c>
      <c r="C1510" s="979" t="s">
        <v>111</v>
      </c>
      <c r="D1510" s="979">
        <v>1</v>
      </c>
      <c r="E1510" s="979">
        <v>1817</v>
      </c>
      <c r="F1510" s="979" t="s">
        <v>5105</v>
      </c>
      <c r="G1510" s="979" t="s">
        <v>5107</v>
      </c>
      <c r="H1510" s="979">
        <v>553750</v>
      </c>
      <c r="I1510" s="979">
        <v>0</v>
      </c>
      <c r="J1510" s="979">
        <v>0</v>
      </c>
      <c r="K1510" s="979">
        <v>0</v>
      </c>
      <c r="L1510" s="979">
        <v>0</v>
      </c>
      <c r="M1510" s="979">
        <v>599</v>
      </c>
    </row>
    <row r="1511" spans="1:13" ht="15">
      <c r="A1511" s="979" t="s">
        <v>3610</v>
      </c>
      <c r="B1511" s="1040" t="str">
        <f>CONCATENATE(LEFT(RIGHT(CONCATENATE("000",IFAData_TEA_1617!A1511),6),3),"-",(RIGHT(RIGHT(CONCATENATE("000",IFAData_TEA_1617!A1511),6),3)))</f>
        <v>129-902</v>
      </c>
      <c r="C1511" s="979" t="s">
        <v>111</v>
      </c>
      <c r="D1511" s="979">
        <v>10</v>
      </c>
      <c r="E1511" s="979">
        <v>1816</v>
      </c>
      <c r="F1511" s="979" t="s">
        <v>5111</v>
      </c>
      <c r="G1511" s="979" t="s">
        <v>5111</v>
      </c>
      <c r="H1511" s="979">
        <v>497282</v>
      </c>
      <c r="I1511" s="979">
        <v>812654</v>
      </c>
      <c r="J1511" s="979">
        <v>1</v>
      </c>
      <c r="K1511" s="979">
        <v>497282</v>
      </c>
      <c r="L1511" s="979">
        <v>497282</v>
      </c>
      <c r="M1511" s="979">
        <v>599</v>
      </c>
    </row>
    <row r="1512" spans="1:13" ht="15">
      <c r="A1512" s="979" t="s">
        <v>3610</v>
      </c>
      <c r="B1512" s="1040" t="str">
        <f>CONCATENATE(LEFT(RIGHT(CONCATENATE("000",IFAData_TEA_1617!A1512),6),3),"-",(RIGHT(RIGHT(CONCATENATE("000",IFAData_TEA_1617!A1512),6),3)))</f>
        <v>129-902</v>
      </c>
      <c r="C1512" s="979" t="s">
        <v>111</v>
      </c>
      <c r="D1512" s="979">
        <v>1</v>
      </c>
      <c r="E1512" s="979">
        <v>1817</v>
      </c>
      <c r="F1512" s="979" t="s">
        <v>5105</v>
      </c>
      <c r="G1512" s="979" t="s">
        <v>5106</v>
      </c>
      <c r="H1512" s="979">
        <v>553750</v>
      </c>
      <c r="I1512" s="979">
        <v>0</v>
      </c>
      <c r="J1512" s="979">
        <v>0</v>
      </c>
      <c r="K1512" s="979">
        <v>0</v>
      </c>
      <c r="L1512" s="979">
        <v>0</v>
      </c>
      <c r="M1512" s="979">
        <v>599</v>
      </c>
    </row>
    <row r="1513" spans="1:13" ht="15">
      <c r="A1513" s="979" t="s">
        <v>3610</v>
      </c>
      <c r="B1513" s="1040" t="str">
        <f>CONCATENATE(LEFT(RIGHT(CONCATENATE("000",IFAData_TEA_1617!A1513),6),3),"-",(RIGHT(RIGHT(CONCATENATE("000",IFAData_TEA_1617!A1513),6),3)))</f>
        <v>129-902</v>
      </c>
      <c r="C1513" s="979" t="s">
        <v>111</v>
      </c>
      <c r="D1513" s="979">
        <v>10</v>
      </c>
      <c r="E1513" s="979">
        <v>1819</v>
      </c>
      <c r="F1513" s="979" t="s">
        <v>5110</v>
      </c>
      <c r="G1513" s="979" t="s">
        <v>5110</v>
      </c>
      <c r="H1513" s="979">
        <v>2007613</v>
      </c>
      <c r="I1513" s="979">
        <v>2572613</v>
      </c>
      <c r="J1513" s="979">
        <v>1</v>
      </c>
      <c r="K1513" s="979">
        <v>2007613</v>
      </c>
      <c r="L1513" s="979">
        <v>2007613</v>
      </c>
      <c r="M1513" s="979">
        <v>599</v>
      </c>
    </row>
    <row r="1514" spans="1:13" ht="15">
      <c r="A1514" s="979" t="s">
        <v>3610</v>
      </c>
      <c r="B1514" s="1040" t="str">
        <f>CONCATENATE(LEFT(RIGHT(CONCATENATE("000",IFAData_TEA_1617!A1514),6),3),"-",(RIGHT(RIGHT(CONCATENATE("000",IFAData_TEA_1617!A1514),6),3)))</f>
        <v>129-902</v>
      </c>
      <c r="C1514" s="979" t="s">
        <v>111</v>
      </c>
      <c r="D1514" s="979">
        <v>1</v>
      </c>
      <c r="E1514" s="979">
        <v>1817</v>
      </c>
      <c r="F1514" s="979" t="s">
        <v>5105</v>
      </c>
      <c r="G1514" s="979" t="s">
        <v>6285</v>
      </c>
      <c r="H1514" s="979">
        <v>553750</v>
      </c>
      <c r="I1514" s="979">
        <v>684596</v>
      </c>
      <c r="J1514" s="979">
        <v>1</v>
      </c>
      <c r="K1514" s="979">
        <v>553750</v>
      </c>
      <c r="L1514" s="979">
        <v>553750</v>
      </c>
      <c r="M1514" s="979">
        <v>599</v>
      </c>
    </row>
    <row r="1515" spans="1:13" ht="15">
      <c r="A1515" s="979" t="s">
        <v>3610</v>
      </c>
      <c r="B1515" s="1040" t="str">
        <f>CONCATENATE(LEFT(RIGHT(CONCATENATE("000",IFAData_TEA_1617!A1515),6),3),"-",(RIGHT(RIGHT(CONCATENATE("000",IFAData_TEA_1617!A1515),6),3)))</f>
        <v>129-902</v>
      </c>
      <c r="C1515" s="979" t="s">
        <v>111</v>
      </c>
      <c r="D1515" s="979">
        <v>9</v>
      </c>
      <c r="E1515" s="979">
        <v>1818</v>
      </c>
      <c r="F1515" s="979" t="s">
        <v>5109</v>
      </c>
      <c r="G1515" s="979" t="s">
        <v>6285</v>
      </c>
      <c r="H1515" s="979">
        <v>1954750</v>
      </c>
      <c r="I1515" s="979">
        <v>0</v>
      </c>
      <c r="J1515" s="979">
        <v>0</v>
      </c>
      <c r="K1515" s="979">
        <v>0</v>
      </c>
      <c r="L1515" s="979">
        <v>0</v>
      </c>
      <c r="M1515" s="979">
        <v>599</v>
      </c>
    </row>
    <row r="1516" spans="1:13" ht="15">
      <c r="A1516" s="979" t="s">
        <v>3610</v>
      </c>
      <c r="B1516" s="1040" t="str">
        <f>CONCATENATE(LEFT(RIGHT(CONCATENATE("000",IFAData_TEA_1617!A1516),6),3),"-",(RIGHT(RIGHT(CONCATENATE("000",IFAData_TEA_1617!A1516),6),3)))</f>
        <v>129-902</v>
      </c>
      <c r="C1516" s="979" t="s">
        <v>111</v>
      </c>
      <c r="D1516" s="979">
        <v>10</v>
      </c>
      <c r="E1516" s="979">
        <v>1819</v>
      </c>
      <c r="F1516" s="979" t="s">
        <v>5110</v>
      </c>
      <c r="G1516" s="979" t="s">
        <v>6285</v>
      </c>
      <c r="H1516" s="979">
        <v>2007613</v>
      </c>
      <c r="I1516" s="979">
        <v>0</v>
      </c>
      <c r="J1516" s="979">
        <v>0</v>
      </c>
      <c r="K1516" s="979">
        <v>0</v>
      </c>
      <c r="L1516" s="979">
        <v>0</v>
      </c>
      <c r="M1516" s="979">
        <v>599</v>
      </c>
    </row>
    <row r="1517" spans="1:13" ht="15">
      <c r="A1517" s="979" t="s">
        <v>3611</v>
      </c>
      <c r="B1517" s="1040" t="str">
        <f>CONCATENATE(LEFT(RIGHT(CONCATENATE("000",IFAData_TEA_1617!A1517),6),3),"-",(RIGHT(RIGHT(CONCATENATE("000",IFAData_TEA_1617!A1517),6),3)))</f>
        <v>129-903</v>
      </c>
      <c r="C1517" s="979" t="s">
        <v>411</v>
      </c>
      <c r="D1517" s="979">
        <v>6</v>
      </c>
      <c r="E1517" s="979">
        <v>1948</v>
      </c>
      <c r="F1517" s="979" t="s">
        <v>5113</v>
      </c>
      <c r="G1517" s="979" t="s">
        <v>5114</v>
      </c>
      <c r="H1517" s="979">
        <v>812500</v>
      </c>
      <c r="I1517" s="979">
        <v>0</v>
      </c>
      <c r="J1517" s="979">
        <v>0</v>
      </c>
      <c r="K1517" s="979">
        <v>0</v>
      </c>
      <c r="L1517" s="979">
        <v>0</v>
      </c>
      <c r="M1517" s="979">
        <v>599</v>
      </c>
    </row>
    <row r="1518" spans="1:13" ht="15">
      <c r="A1518" s="979" t="s">
        <v>3611</v>
      </c>
      <c r="B1518" s="1040" t="str">
        <f>CONCATENATE(LEFT(RIGHT(CONCATENATE("000",IFAData_TEA_1617!A1518),6),3),"-",(RIGHT(RIGHT(CONCATENATE("000",IFAData_TEA_1617!A1518),6),3)))</f>
        <v>129-903</v>
      </c>
      <c r="C1518" s="979" t="s">
        <v>411</v>
      </c>
      <c r="D1518" s="979">
        <v>3</v>
      </c>
      <c r="E1518" s="979">
        <v>1947</v>
      </c>
      <c r="F1518" s="979" t="s">
        <v>5112</v>
      </c>
      <c r="G1518" s="979" t="s">
        <v>5114</v>
      </c>
      <c r="H1518" s="979">
        <v>709521</v>
      </c>
      <c r="I1518" s="979">
        <v>0</v>
      </c>
      <c r="J1518" s="979">
        <v>0</v>
      </c>
      <c r="K1518" s="979">
        <v>0</v>
      </c>
      <c r="L1518" s="979">
        <v>0</v>
      </c>
      <c r="M1518" s="979">
        <v>599</v>
      </c>
    </row>
    <row r="1519" spans="1:13" ht="15">
      <c r="A1519" s="979" t="s">
        <v>3611</v>
      </c>
      <c r="B1519" s="1040" t="str">
        <f>CONCATENATE(LEFT(RIGHT(CONCATENATE("000",IFAData_TEA_1617!A1519),6),3),"-",(RIGHT(RIGHT(CONCATENATE("000",IFAData_TEA_1617!A1519),6),3)))</f>
        <v>129-903</v>
      </c>
      <c r="C1519" s="979" t="s">
        <v>411</v>
      </c>
      <c r="D1519" s="979">
        <v>3</v>
      </c>
      <c r="E1519" s="979">
        <v>1947</v>
      </c>
      <c r="F1519" s="979" t="s">
        <v>5112</v>
      </c>
      <c r="G1519" s="979" t="s">
        <v>6286</v>
      </c>
      <c r="H1519" s="979">
        <v>709521</v>
      </c>
      <c r="I1519" s="979">
        <v>16876</v>
      </c>
      <c r="J1519" s="979">
        <v>5.1511997387161071E-2</v>
      </c>
      <c r="K1519" s="979">
        <v>36548.843898135907</v>
      </c>
      <c r="L1519" s="979">
        <v>16876</v>
      </c>
      <c r="M1519" s="979">
        <v>599</v>
      </c>
    </row>
    <row r="1520" spans="1:13" ht="15">
      <c r="A1520" s="979" t="s">
        <v>3611</v>
      </c>
      <c r="B1520" s="1040" t="str">
        <f>CONCATENATE(LEFT(RIGHT(CONCATENATE("000",IFAData_TEA_1617!A1520),6),3),"-",(RIGHT(RIGHT(CONCATENATE("000",IFAData_TEA_1617!A1520),6),3)))</f>
        <v>129-903</v>
      </c>
      <c r="C1520" s="979" t="s">
        <v>411</v>
      </c>
      <c r="D1520" s="979">
        <v>6</v>
      </c>
      <c r="E1520" s="979">
        <v>1948</v>
      </c>
      <c r="F1520" s="979" t="s">
        <v>5113</v>
      </c>
      <c r="G1520" s="979" t="s">
        <v>6286</v>
      </c>
      <c r="H1520" s="979">
        <v>812500</v>
      </c>
      <c r="I1520" s="979">
        <v>27721</v>
      </c>
      <c r="J1520" s="979">
        <v>5.1511277441029894E-2</v>
      </c>
      <c r="K1520" s="979">
        <v>41852.912920836789</v>
      </c>
      <c r="L1520" s="979">
        <v>27721</v>
      </c>
      <c r="M1520" s="979">
        <v>599</v>
      </c>
    </row>
    <row r="1521" spans="1:13" ht="15">
      <c r="A1521" s="979" t="s">
        <v>3611</v>
      </c>
      <c r="B1521" s="1040" t="str">
        <f>CONCATENATE(LEFT(RIGHT(CONCATENATE("000",IFAData_TEA_1617!A1521),6),3),"-",(RIGHT(RIGHT(CONCATENATE("000",IFAData_TEA_1617!A1521),6),3)))</f>
        <v>129-903</v>
      </c>
      <c r="C1521" s="979" t="s">
        <v>411</v>
      </c>
      <c r="D1521" s="979">
        <v>3</v>
      </c>
      <c r="E1521" s="979">
        <v>1947</v>
      </c>
      <c r="F1521" s="979" t="s">
        <v>5112</v>
      </c>
      <c r="G1521" s="979" t="s">
        <v>6494</v>
      </c>
      <c r="H1521" s="979">
        <v>709521</v>
      </c>
      <c r="I1521" s="979">
        <v>310737</v>
      </c>
      <c r="J1521" s="979">
        <v>0.94848800261283894</v>
      </c>
      <c r="K1521" s="979">
        <v>672972.15610186406</v>
      </c>
      <c r="L1521" s="979">
        <v>310737</v>
      </c>
      <c r="M1521" s="979">
        <v>599</v>
      </c>
    </row>
    <row r="1522" spans="1:13" ht="15">
      <c r="A1522" s="979" t="s">
        <v>3611</v>
      </c>
      <c r="B1522" s="1040" t="str">
        <f>CONCATENATE(LEFT(RIGHT(CONCATENATE("000",IFAData_TEA_1617!A1522),6),3),"-",(RIGHT(RIGHT(CONCATENATE("000",IFAData_TEA_1617!A1522),6),3)))</f>
        <v>129-903</v>
      </c>
      <c r="C1522" s="979" t="s">
        <v>411</v>
      </c>
      <c r="D1522" s="979">
        <v>3</v>
      </c>
      <c r="E1522" s="979">
        <v>1947</v>
      </c>
      <c r="F1522" s="979" t="s">
        <v>5112</v>
      </c>
      <c r="G1522" s="979" t="s">
        <v>5112</v>
      </c>
      <c r="H1522" s="979">
        <v>709521</v>
      </c>
      <c r="I1522" s="979">
        <v>0</v>
      </c>
      <c r="J1522" s="979">
        <v>0</v>
      </c>
      <c r="K1522" s="979">
        <v>0</v>
      </c>
      <c r="L1522" s="979">
        <v>0</v>
      </c>
      <c r="M1522" s="979">
        <v>199</v>
      </c>
    </row>
    <row r="1523" spans="1:13" ht="15">
      <c r="A1523" s="979" t="s">
        <v>3611</v>
      </c>
      <c r="B1523" s="1040" t="str">
        <f>CONCATENATE(LEFT(RIGHT(CONCATENATE("000",IFAData_TEA_1617!A1523),6),3),"-",(RIGHT(RIGHT(CONCATENATE("000",IFAData_TEA_1617!A1523),6),3)))</f>
        <v>129-903</v>
      </c>
      <c r="C1523" s="979" t="s">
        <v>411</v>
      </c>
      <c r="D1523" s="979">
        <v>6</v>
      </c>
      <c r="E1523" s="979">
        <v>1948</v>
      </c>
      <c r="F1523" s="979" t="s">
        <v>5113</v>
      </c>
      <c r="G1523" s="979" t="s">
        <v>6494</v>
      </c>
      <c r="H1523" s="979">
        <v>812500</v>
      </c>
      <c r="I1523" s="979">
        <v>510433</v>
      </c>
      <c r="J1523" s="979">
        <v>0.9484887225589701</v>
      </c>
      <c r="K1523" s="979">
        <v>770647.08707916318</v>
      </c>
      <c r="L1523" s="979">
        <v>510433</v>
      </c>
      <c r="M1523" s="979">
        <v>599</v>
      </c>
    </row>
    <row r="1524" spans="1:13" ht="15">
      <c r="A1524" s="979" t="s">
        <v>3611</v>
      </c>
      <c r="B1524" s="1040" t="str">
        <f>CONCATENATE(LEFT(RIGHT(CONCATENATE("000",IFAData_TEA_1617!A1524),6),3),"-",(RIGHT(RIGHT(CONCATENATE("000",IFAData_TEA_1617!A1524),6),3)))</f>
        <v>129-903</v>
      </c>
      <c r="C1524" s="979" t="s">
        <v>411</v>
      </c>
      <c r="D1524" s="979">
        <v>3</v>
      </c>
      <c r="E1524" s="979">
        <v>1947</v>
      </c>
      <c r="F1524" s="979" t="s">
        <v>5112</v>
      </c>
      <c r="G1524" s="979" t="s">
        <v>5113</v>
      </c>
      <c r="H1524" s="979">
        <v>709521</v>
      </c>
      <c r="I1524" s="979">
        <v>0</v>
      </c>
      <c r="J1524" s="979">
        <v>0</v>
      </c>
      <c r="K1524" s="979">
        <v>0</v>
      </c>
      <c r="L1524" s="979">
        <v>0</v>
      </c>
      <c r="M1524" s="979">
        <v>599</v>
      </c>
    </row>
    <row r="1525" spans="1:13" ht="15">
      <c r="A1525" s="979" t="s">
        <v>3611</v>
      </c>
      <c r="B1525" s="1040" t="str">
        <f>CONCATENATE(LEFT(RIGHT(CONCATENATE("000",IFAData_TEA_1617!A1525),6),3),"-",(RIGHT(RIGHT(CONCATENATE("000",IFAData_TEA_1617!A1525),6),3)))</f>
        <v>129-903</v>
      </c>
      <c r="C1525" s="979" t="s">
        <v>411</v>
      </c>
      <c r="D1525" s="979">
        <v>6</v>
      </c>
      <c r="E1525" s="979">
        <v>1948</v>
      </c>
      <c r="F1525" s="979" t="s">
        <v>5113</v>
      </c>
      <c r="G1525" s="979" t="s">
        <v>5113</v>
      </c>
      <c r="H1525" s="979">
        <v>812500</v>
      </c>
      <c r="I1525" s="979">
        <v>0</v>
      </c>
      <c r="J1525" s="979">
        <v>0</v>
      </c>
      <c r="K1525" s="979">
        <v>0</v>
      </c>
      <c r="L1525" s="979">
        <v>0</v>
      </c>
      <c r="M1525" s="979">
        <v>599</v>
      </c>
    </row>
    <row r="1526" spans="1:13" ht="15">
      <c r="A1526" s="979" t="s">
        <v>3612</v>
      </c>
      <c r="B1526" s="1040" t="str">
        <f>CONCATENATE(LEFT(RIGHT(CONCATENATE("000",IFAData_TEA_1617!A1526),6),3),"-",(RIGHT(RIGHT(CONCATENATE("000",IFAData_TEA_1617!A1526),6),3)))</f>
        <v>129-904</v>
      </c>
      <c r="C1526" s="979" t="s">
        <v>413</v>
      </c>
      <c r="D1526" s="979">
        <v>9</v>
      </c>
      <c r="E1526" s="979">
        <v>1952</v>
      </c>
      <c r="F1526" s="979" t="s">
        <v>5118</v>
      </c>
      <c r="G1526" s="979" t="s">
        <v>6287</v>
      </c>
      <c r="H1526" s="979">
        <v>395867</v>
      </c>
      <c r="I1526" s="979">
        <v>309619</v>
      </c>
      <c r="J1526" s="979">
        <v>0.23235877715939315</v>
      </c>
      <c r="K1526" s="979">
        <v>91983.172037757497</v>
      </c>
      <c r="L1526" s="979">
        <v>91983.172037757497</v>
      </c>
      <c r="M1526" s="979">
        <v>599</v>
      </c>
    </row>
    <row r="1527" spans="1:13" ht="15">
      <c r="A1527" s="979" t="s">
        <v>3612</v>
      </c>
      <c r="B1527" s="1040" t="str">
        <f>CONCATENATE(LEFT(RIGHT(CONCATENATE("000",IFAData_TEA_1617!A1527),6),3),"-",(RIGHT(RIGHT(CONCATENATE("000",IFAData_TEA_1617!A1527),6),3)))</f>
        <v>129-904</v>
      </c>
      <c r="C1527" s="979" t="s">
        <v>413</v>
      </c>
      <c r="D1527" s="979">
        <v>9</v>
      </c>
      <c r="E1527" s="979">
        <v>1952</v>
      </c>
      <c r="F1527" s="979" t="s">
        <v>5118</v>
      </c>
      <c r="G1527" s="979" t="s">
        <v>6288</v>
      </c>
      <c r="H1527" s="979">
        <v>395867</v>
      </c>
      <c r="I1527" s="979">
        <v>372139</v>
      </c>
      <c r="J1527" s="979">
        <v>0.27927796089167461</v>
      </c>
      <c r="K1527" s="979">
        <v>110556.92854430455</v>
      </c>
      <c r="L1527" s="979">
        <v>110556.92854430455</v>
      </c>
      <c r="M1527" s="979">
        <v>599</v>
      </c>
    </row>
    <row r="1528" spans="1:13" ht="15">
      <c r="A1528" s="979" t="s">
        <v>3612</v>
      </c>
      <c r="B1528" s="1040" t="str">
        <f>CONCATENATE(LEFT(RIGHT(CONCATENATE("000",IFAData_TEA_1617!A1528),6),3),"-",(RIGHT(RIGHT(CONCATENATE("000",IFAData_TEA_1617!A1528),6),3)))</f>
        <v>129-904</v>
      </c>
      <c r="C1528" s="979" t="s">
        <v>413</v>
      </c>
      <c r="D1528" s="979">
        <v>3</v>
      </c>
      <c r="E1528" s="979">
        <v>1953</v>
      </c>
      <c r="F1528" s="979" t="s">
        <v>5115</v>
      </c>
      <c r="G1528" s="979" t="s">
        <v>5117</v>
      </c>
      <c r="H1528" s="979">
        <v>438984</v>
      </c>
      <c r="I1528" s="979">
        <v>596650</v>
      </c>
      <c r="J1528" s="979">
        <v>1</v>
      </c>
      <c r="K1528" s="979">
        <v>438984</v>
      </c>
      <c r="L1528" s="979">
        <v>438984</v>
      </c>
      <c r="M1528" s="979">
        <v>599</v>
      </c>
    </row>
    <row r="1529" spans="1:13" ht="15">
      <c r="A1529" s="979" t="s">
        <v>3612</v>
      </c>
      <c r="B1529" s="1040" t="str">
        <f>CONCATENATE(LEFT(RIGHT(CONCATENATE("000",IFAData_TEA_1617!A1529),6),3),"-",(RIGHT(RIGHT(CONCATENATE("000",IFAData_TEA_1617!A1529),6),3)))</f>
        <v>129-904</v>
      </c>
      <c r="C1529" s="979" t="s">
        <v>413</v>
      </c>
      <c r="D1529" s="979">
        <v>3</v>
      </c>
      <c r="E1529" s="979">
        <v>1953</v>
      </c>
      <c r="F1529" s="979" t="s">
        <v>5115</v>
      </c>
      <c r="G1529" s="979" t="s">
        <v>5116</v>
      </c>
      <c r="H1529" s="979">
        <v>438984</v>
      </c>
      <c r="I1529" s="979">
        <v>0</v>
      </c>
      <c r="J1529" s="979">
        <v>0</v>
      </c>
      <c r="K1529" s="979">
        <v>0</v>
      </c>
      <c r="L1529" s="979">
        <v>0</v>
      </c>
      <c r="M1529" s="979">
        <v>599</v>
      </c>
    </row>
    <row r="1530" spans="1:13" ht="15">
      <c r="A1530" s="979" t="s">
        <v>3612</v>
      </c>
      <c r="B1530" s="1040" t="str">
        <f>CONCATENATE(LEFT(RIGHT(CONCATENATE("000",IFAData_TEA_1617!A1530),6),3),"-",(RIGHT(RIGHT(CONCATENATE("000",IFAData_TEA_1617!A1530),6),3)))</f>
        <v>129-904</v>
      </c>
      <c r="C1530" s="979" t="s">
        <v>413</v>
      </c>
      <c r="D1530" s="979">
        <v>3</v>
      </c>
      <c r="E1530" s="979">
        <v>1953</v>
      </c>
      <c r="F1530" s="979" t="s">
        <v>5115</v>
      </c>
      <c r="G1530" s="979" t="s">
        <v>5115</v>
      </c>
      <c r="H1530" s="979">
        <v>438984</v>
      </c>
      <c r="I1530" s="979">
        <v>0</v>
      </c>
      <c r="J1530" s="979">
        <v>0</v>
      </c>
      <c r="K1530" s="979">
        <v>0</v>
      </c>
      <c r="L1530" s="979">
        <v>0</v>
      </c>
      <c r="M1530" s="979">
        <v>599</v>
      </c>
    </row>
    <row r="1531" spans="1:13" ht="15">
      <c r="A1531" s="979" t="s">
        <v>3612</v>
      </c>
      <c r="B1531" s="1040" t="str">
        <f>CONCATENATE(LEFT(RIGHT(CONCATENATE("000",IFAData_TEA_1617!A1531),6),3),"-",(RIGHT(RIGHT(CONCATENATE("000",IFAData_TEA_1617!A1531),6),3)))</f>
        <v>129-904</v>
      </c>
      <c r="C1531" s="979" t="s">
        <v>413</v>
      </c>
      <c r="D1531" s="979">
        <v>9</v>
      </c>
      <c r="E1531" s="979">
        <v>1952</v>
      </c>
      <c r="F1531" s="979" t="s">
        <v>5118</v>
      </c>
      <c r="G1531" s="979" t="s">
        <v>6495</v>
      </c>
      <c r="H1531" s="979">
        <v>395867</v>
      </c>
      <c r="I1531" s="979">
        <v>145152</v>
      </c>
      <c r="J1531" s="979">
        <v>0.10893175555195332</v>
      </c>
      <c r="K1531" s="979">
        <v>43122.487275085106</v>
      </c>
      <c r="L1531" s="979">
        <v>43122.487275085106</v>
      </c>
      <c r="M1531" s="979">
        <v>599</v>
      </c>
    </row>
    <row r="1532" spans="1:13" ht="15">
      <c r="A1532" s="979" t="s">
        <v>3612</v>
      </c>
      <c r="B1532" s="1040" t="str">
        <f>CONCATENATE(LEFT(RIGHT(CONCATENATE("000",IFAData_TEA_1617!A1532),6),3),"-",(RIGHT(RIGHT(CONCATENATE("000",IFAData_TEA_1617!A1532),6),3)))</f>
        <v>129-904</v>
      </c>
      <c r="C1532" s="979" t="s">
        <v>413</v>
      </c>
      <c r="D1532" s="979">
        <v>9</v>
      </c>
      <c r="E1532" s="979">
        <v>1952</v>
      </c>
      <c r="F1532" s="979" t="s">
        <v>5118</v>
      </c>
      <c r="G1532" s="979" t="s">
        <v>5118</v>
      </c>
      <c r="H1532" s="979">
        <v>395867</v>
      </c>
      <c r="I1532" s="979">
        <v>505594</v>
      </c>
      <c r="J1532" s="979">
        <v>0.37943150639697892</v>
      </c>
      <c r="K1532" s="979">
        <v>150204.41214285285</v>
      </c>
      <c r="L1532" s="979">
        <v>150204.41214285285</v>
      </c>
      <c r="M1532" s="979">
        <v>599</v>
      </c>
    </row>
    <row r="1533" spans="1:13" ht="15">
      <c r="A1533" s="979" t="s">
        <v>3613</v>
      </c>
      <c r="B1533" s="1040" t="str">
        <f>CONCATENATE(LEFT(RIGHT(CONCATENATE("000",IFAData_TEA_1617!A1533),6),3),"-",(RIGHT(RIGHT(CONCATENATE("000",IFAData_TEA_1617!A1533),6),3)))</f>
        <v>129-910</v>
      </c>
      <c r="C1533" s="979" t="s">
        <v>1246</v>
      </c>
      <c r="D1533" s="979">
        <v>6</v>
      </c>
      <c r="E1533" s="979">
        <v>2322</v>
      </c>
      <c r="F1533" s="979" t="s">
        <v>5120</v>
      </c>
      <c r="G1533" s="979" t="s">
        <v>5121</v>
      </c>
      <c r="H1533" s="979">
        <v>186248</v>
      </c>
      <c r="I1533" s="979">
        <v>250324</v>
      </c>
      <c r="J1533" s="979">
        <v>0.41931020620110887</v>
      </c>
      <c r="K1533" s="979">
        <v>78095.687284544125</v>
      </c>
      <c r="L1533" s="979">
        <v>78095.687284544125</v>
      </c>
      <c r="M1533" s="979">
        <v>599</v>
      </c>
    </row>
    <row r="1534" spans="1:13" ht="15">
      <c r="A1534" s="979" t="s">
        <v>3613</v>
      </c>
      <c r="B1534" s="1040" t="str">
        <f>CONCATENATE(LEFT(RIGHT(CONCATENATE("000",IFAData_TEA_1617!A1534),6),3),"-",(RIGHT(RIGHT(CONCATENATE("000",IFAData_TEA_1617!A1534),6),3)))</f>
        <v>129-910</v>
      </c>
      <c r="C1534" s="979" t="s">
        <v>1246</v>
      </c>
      <c r="D1534" s="979">
        <v>6</v>
      </c>
      <c r="E1534" s="979">
        <v>2322</v>
      </c>
      <c r="F1534" s="979" t="s">
        <v>5120</v>
      </c>
      <c r="G1534" s="979" t="s">
        <v>5122</v>
      </c>
      <c r="H1534" s="979">
        <v>186248</v>
      </c>
      <c r="I1534" s="979">
        <v>36173</v>
      </c>
      <c r="J1534" s="979">
        <v>6.0592304728722422E-2</v>
      </c>
      <c r="K1534" s="979">
        <v>11285.195571115093</v>
      </c>
      <c r="L1534" s="979">
        <v>11285.195571115093</v>
      </c>
      <c r="M1534" s="979">
        <v>599</v>
      </c>
    </row>
    <row r="1535" spans="1:13" ht="15">
      <c r="A1535" s="979" t="s">
        <v>3613</v>
      </c>
      <c r="B1535" s="1040" t="str">
        <f>CONCATENATE(LEFT(RIGHT(CONCATENATE("000",IFAData_TEA_1617!A1535),6),3),"-",(RIGHT(RIGHT(CONCATENATE("000",IFAData_TEA_1617!A1535),6),3)))</f>
        <v>129-910</v>
      </c>
      <c r="C1535" s="979" t="s">
        <v>1246</v>
      </c>
      <c r="D1535" s="979">
        <v>2</v>
      </c>
      <c r="E1535" s="979">
        <v>2321</v>
      </c>
      <c r="F1535" s="979" t="s">
        <v>5119</v>
      </c>
      <c r="G1535" s="979" t="s">
        <v>5119</v>
      </c>
      <c r="H1535" s="979">
        <v>170846</v>
      </c>
      <c r="I1535" s="979">
        <v>0</v>
      </c>
      <c r="J1535" s="979">
        <v>0</v>
      </c>
      <c r="K1535" s="979"/>
      <c r="L1535" s="979">
        <v>0</v>
      </c>
      <c r="M1535" s="979">
        <v>199</v>
      </c>
    </row>
    <row r="1536" spans="1:13" ht="15">
      <c r="A1536" s="979" t="s">
        <v>3613</v>
      </c>
      <c r="B1536" s="1040" t="str">
        <f>CONCATENATE(LEFT(RIGHT(CONCATENATE("000",IFAData_TEA_1617!A1536),6),3),"-",(RIGHT(RIGHT(CONCATENATE("000",IFAData_TEA_1617!A1536),6),3)))</f>
        <v>129-910</v>
      </c>
      <c r="C1536" s="979" t="s">
        <v>1246</v>
      </c>
      <c r="D1536" s="979">
        <v>6</v>
      </c>
      <c r="E1536" s="979">
        <v>2322</v>
      </c>
      <c r="F1536" s="979" t="s">
        <v>5120</v>
      </c>
      <c r="G1536" s="979" t="s">
        <v>5120</v>
      </c>
      <c r="H1536" s="979">
        <v>186248</v>
      </c>
      <c r="I1536" s="979">
        <v>310493</v>
      </c>
      <c r="J1536" s="979">
        <v>0.52009748907016873</v>
      </c>
      <c r="K1536" s="979">
        <v>96867.11714434078</v>
      </c>
      <c r="L1536" s="979">
        <v>96867.11714434078</v>
      </c>
      <c r="M1536" s="979">
        <v>599</v>
      </c>
    </row>
    <row r="1537" spans="1:13" ht="15">
      <c r="A1537" s="979" t="s">
        <v>3614</v>
      </c>
      <c r="B1537" s="1040" t="str">
        <f>CONCATENATE(LEFT(RIGHT(CONCATENATE("000",IFAData_TEA_1617!A1537),6),3),"-",(RIGHT(RIGHT(CONCATENATE("000",IFAData_TEA_1617!A1537),6),3)))</f>
        <v>133-901</v>
      </c>
      <c r="C1537" s="979" t="s">
        <v>659</v>
      </c>
      <c r="D1537" s="979">
        <v>6</v>
      </c>
      <c r="E1537" s="979">
        <v>1674</v>
      </c>
      <c r="F1537" s="979" t="s">
        <v>5123</v>
      </c>
      <c r="G1537" s="979" t="s">
        <v>5123</v>
      </c>
      <c r="H1537" s="979">
        <v>140055</v>
      </c>
      <c r="I1537" s="979">
        <v>0</v>
      </c>
      <c r="J1537" s="979">
        <v>0</v>
      </c>
      <c r="K1537" s="979">
        <v>0</v>
      </c>
      <c r="L1537" s="979">
        <v>0</v>
      </c>
      <c r="M1537" s="979">
        <v>599</v>
      </c>
    </row>
    <row r="1538" spans="1:13" ht="15">
      <c r="A1538" s="979" t="s">
        <v>3614</v>
      </c>
      <c r="B1538" s="1040" t="str">
        <f>CONCATENATE(LEFT(RIGHT(CONCATENATE("000",IFAData_TEA_1617!A1538),6),3),"-",(RIGHT(RIGHT(CONCATENATE("000",IFAData_TEA_1617!A1538),6),3)))</f>
        <v>133-901</v>
      </c>
      <c r="C1538" s="979" t="s">
        <v>659</v>
      </c>
      <c r="D1538" s="979">
        <v>6</v>
      </c>
      <c r="E1538" s="979">
        <v>1674</v>
      </c>
      <c r="F1538" s="979" t="s">
        <v>5123</v>
      </c>
      <c r="G1538" s="979" t="s">
        <v>5124</v>
      </c>
      <c r="H1538" s="979">
        <v>140055</v>
      </c>
      <c r="I1538" s="979">
        <v>136375</v>
      </c>
      <c r="J1538" s="979">
        <v>1</v>
      </c>
      <c r="K1538" s="979">
        <v>140055</v>
      </c>
      <c r="L1538" s="979">
        <v>136375</v>
      </c>
      <c r="M1538" s="979">
        <v>599</v>
      </c>
    </row>
    <row r="1539" spans="1:13" ht="15">
      <c r="A1539" s="979" t="s">
        <v>3615</v>
      </c>
      <c r="B1539" s="1040" t="str">
        <f>CONCATENATE(LEFT(RIGHT(CONCATENATE("000",IFAData_TEA_1617!A1539),6),3),"-",(RIGHT(RIGHT(CONCATENATE("000",IFAData_TEA_1617!A1539),6),3)))</f>
        <v>137-901</v>
      </c>
      <c r="C1539" s="979" t="s">
        <v>2016</v>
      </c>
      <c r="D1539" s="979">
        <v>9</v>
      </c>
      <c r="E1539" s="979">
        <v>1960</v>
      </c>
      <c r="F1539" s="979" t="s">
        <v>5128</v>
      </c>
      <c r="G1539" s="979" t="s">
        <v>6289</v>
      </c>
      <c r="H1539" s="979">
        <v>889358</v>
      </c>
      <c r="I1539" s="979">
        <v>303475</v>
      </c>
      <c r="J1539" s="979">
        <v>0.21977675794248833</v>
      </c>
      <c r="K1539" s="979">
        <v>195460.21789021554</v>
      </c>
      <c r="L1539" s="979">
        <v>195460.21789021554</v>
      </c>
      <c r="M1539" s="979">
        <v>599</v>
      </c>
    </row>
    <row r="1540" spans="1:13" ht="15">
      <c r="A1540" s="979" t="s">
        <v>3615</v>
      </c>
      <c r="B1540" s="1040" t="str">
        <f>CONCATENATE(LEFT(RIGHT(CONCATENATE("000",IFAData_TEA_1617!A1540),6),3),"-",(RIGHT(RIGHT(CONCATENATE("000",IFAData_TEA_1617!A1540),6),3)))</f>
        <v>137-901</v>
      </c>
      <c r="C1540" s="979" t="s">
        <v>2016</v>
      </c>
      <c r="D1540" s="979">
        <v>9</v>
      </c>
      <c r="E1540" s="979">
        <v>1960</v>
      </c>
      <c r="F1540" s="979" t="s">
        <v>5128</v>
      </c>
      <c r="G1540" s="979" t="s">
        <v>6290</v>
      </c>
      <c r="H1540" s="979">
        <v>889358</v>
      </c>
      <c r="I1540" s="979">
        <v>350500</v>
      </c>
      <c r="J1540" s="979">
        <v>0.25383228819125847</v>
      </c>
      <c r="K1540" s="979">
        <v>225747.77616120124</v>
      </c>
      <c r="L1540" s="979">
        <v>225747.77616120124</v>
      </c>
      <c r="M1540" s="979">
        <v>599</v>
      </c>
    </row>
    <row r="1541" spans="1:13" ht="15">
      <c r="A1541" s="979" t="s">
        <v>3615</v>
      </c>
      <c r="B1541" s="1040" t="str">
        <f>CONCATENATE(LEFT(RIGHT(CONCATENATE("000",IFAData_TEA_1617!A1541),6),3),"-",(RIGHT(RIGHT(CONCATENATE("000",IFAData_TEA_1617!A1541),6),3)))</f>
        <v>137-901</v>
      </c>
      <c r="C1541" s="979" t="s">
        <v>2016</v>
      </c>
      <c r="D1541" s="979">
        <v>6</v>
      </c>
      <c r="E1541" s="979">
        <v>1961</v>
      </c>
      <c r="F1541" s="979" t="s">
        <v>5125</v>
      </c>
      <c r="G1541" s="979" t="s">
        <v>5126</v>
      </c>
      <c r="H1541" s="979">
        <v>1060285</v>
      </c>
      <c r="I1541" s="979">
        <v>124900</v>
      </c>
      <c r="J1541" s="979">
        <v>0.10824245964306854</v>
      </c>
      <c r="K1541" s="979">
        <v>114767.85632265093</v>
      </c>
      <c r="L1541" s="979">
        <v>114767.85632265093</v>
      </c>
      <c r="M1541" s="979">
        <v>599</v>
      </c>
    </row>
    <row r="1542" spans="1:13" ht="15">
      <c r="A1542" s="979" t="s">
        <v>3615</v>
      </c>
      <c r="B1542" s="1040" t="str">
        <f>CONCATENATE(LEFT(RIGHT(CONCATENATE("000",IFAData_TEA_1617!A1542),6),3),"-",(RIGHT(RIGHT(CONCATENATE("000",IFAData_TEA_1617!A1542),6),3)))</f>
        <v>137-901</v>
      </c>
      <c r="C1542" s="979" t="s">
        <v>2016</v>
      </c>
      <c r="D1542" s="979">
        <v>6</v>
      </c>
      <c r="E1542" s="979">
        <v>1961</v>
      </c>
      <c r="F1542" s="979" t="s">
        <v>5125</v>
      </c>
      <c r="G1542" s="979" t="s">
        <v>5125</v>
      </c>
      <c r="H1542" s="979">
        <v>1060285</v>
      </c>
      <c r="I1542" s="979">
        <v>0</v>
      </c>
      <c r="J1542" s="979">
        <v>0</v>
      </c>
      <c r="K1542" s="979">
        <v>0</v>
      </c>
      <c r="L1542" s="979">
        <v>0</v>
      </c>
      <c r="M1542" s="979">
        <v>599</v>
      </c>
    </row>
    <row r="1543" spans="1:13" ht="15">
      <c r="A1543" s="979" t="s">
        <v>3615</v>
      </c>
      <c r="B1543" s="1040" t="str">
        <f>CONCATENATE(LEFT(RIGHT(CONCATENATE("000",IFAData_TEA_1617!A1543),6),3),"-",(RIGHT(RIGHT(CONCATENATE("000",IFAData_TEA_1617!A1543),6),3)))</f>
        <v>137-901</v>
      </c>
      <c r="C1543" s="979" t="s">
        <v>2016</v>
      </c>
      <c r="D1543" s="979">
        <v>10</v>
      </c>
      <c r="E1543" s="979">
        <v>1959</v>
      </c>
      <c r="F1543" s="979" t="s">
        <v>5129</v>
      </c>
      <c r="G1543" s="979" t="s">
        <v>5129</v>
      </c>
      <c r="H1543" s="979">
        <v>861411</v>
      </c>
      <c r="I1543" s="979">
        <v>859600</v>
      </c>
      <c r="J1543" s="979">
        <v>1</v>
      </c>
      <c r="K1543" s="979">
        <v>861411</v>
      </c>
      <c r="L1543" s="979">
        <v>859600</v>
      </c>
      <c r="M1543" s="979">
        <v>599</v>
      </c>
    </row>
    <row r="1544" spans="1:13" ht="15">
      <c r="A1544" s="979" t="s">
        <v>3615</v>
      </c>
      <c r="B1544" s="1040" t="str">
        <f>CONCATENATE(LEFT(RIGHT(CONCATENATE("000",IFAData_TEA_1617!A1544),6),3),"-",(RIGHT(RIGHT(CONCATENATE("000",IFAData_TEA_1617!A1544),6),3)))</f>
        <v>137-901</v>
      </c>
      <c r="C1544" s="979" t="s">
        <v>2016</v>
      </c>
      <c r="D1544" s="979">
        <v>6</v>
      </c>
      <c r="E1544" s="979">
        <v>1961</v>
      </c>
      <c r="F1544" s="979" t="s">
        <v>5125</v>
      </c>
      <c r="G1544" s="979" t="s">
        <v>5127</v>
      </c>
      <c r="H1544" s="979">
        <v>1060285</v>
      </c>
      <c r="I1544" s="979">
        <v>780350</v>
      </c>
      <c r="J1544" s="979">
        <v>0.67627704869870719</v>
      </c>
      <c r="K1544" s="979">
        <v>717046.41057950875</v>
      </c>
      <c r="L1544" s="979">
        <v>717046.41057950875</v>
      </c>
      <c r="M1544" s="979">
        <v>599</v>
      </c>
    </row>
    <row r="1545" spans="1:13" ht="15">
      <c r="A1545" s="979" t="s">
        <v>3615</v>
      </c>
      <c r="B1545" s="1040" t="str">
        <f>CONCATENATE(LEFT(RIGHT(CONCATENATE("000",IFAData_TEA_1617!A1545),6),3),"-",(RIGHT(RIGHT(CONCATENATE("000",IFAData_TEA_1617!A1545),6),3)))</f>
        <v>137-901</v>
      </c>
      <c r="C1545" s="979" t="s">
        <v>2016</v>
      </c>
      <c r="D1545" s="979">
        <v>9</v>
      </c>
      <c r="E1545" s="979">
        <v>1960</v>
      </c>
      <c r="F1545" s="979" t="s">
        <v>5128</v>
      </c>
      <c r="G1545" s="979" t="s">
        <v>6496</v>
      </c>
      <c r="H1545" s="979">
        <v>889358</v>
      </c>
      <c r="I1545" s="979">
        <v>72220</v>
      </c>
      <c r="J1545" s="979">
        <v>5.2301762776526921E-2</v>
      </c>
      <c r="K1545" s="979">
        <v>46514.991139406426</v>
      </c>
      <c r="L1545" s="979">
        <v>46514.991139406426</v>
      </c>
      <c r="M1545" s="979">
        <v>599</v>
      </c>
    </row>
    <row r="1546" spans="1:13" ht="15">
      <c r="A1546" s="979" t="s">
        <v>3615</v>
      </c>
      <c r="B1546" s="1040" t="str">
        <f>CONCATENATE(LEFT(RIGHT(CONCATENATE("000",IFAData_TEA_1617!A1546),6),3),"-",(RIGHT(RIGHT(CONCATENATE("000",IFAData_TEA_1617!A1546),6),3)))</f>
        <v>137-901</v>
      </c>
      <c r="C1546" s="979" t="s">
        <v>2016</v>
      </c>
      <c r="D1546" s="979">
        <v>6</v>
      </c>
      <c r="E1546" s="979">
        <v>1961</v>
      </c>
      <c r="F1546" s="979" t="s">
        <v>5125</v>
      </c>
      <c r="G1546" s="979" t="s">
        <v>6496</v>
      </c>
      <c r="H1546" s="979">
        <v>1060285</v>
      </c>
      <c r="I1546" s="979">
        <v>248641</v>
      </c>
      <c r="J1546" s="979">
        <v>0.21548049165822422</v>
      </c>
      <c r="K1546" s="979">
        <v>228470.73309784028</v>
      </c>
      <c r="L1546" s="979">
        <v>228470.73309784028</v>
      </c>
      <c r="M1546" s="979">
        <v>599</v>
      </c>
    </row>
    <row r="1547" spans="1:13" ht="15">
      <c r="A1547" s="979" t="s">
        <v>3615</v>
      </c>
      <c r="B1547" s="1040" t="str">
        <f>CONCATENATE(LEFT(RIGHT(CONCATENATE("000",IFAData_TEA_1617!A1547),6),3),"-",(RIGHT(RIGHT(CONCATENATE("000",IFAData_TEA_1617!A1547),6),3)))</f>
        <v>137-901</v>
      </c>
      <c r="C1547" s="979" t="s">
        <v>2016</v>
      </c>
      <c r="D1547" s="979">
        <v>9</v>
      </c>
      <c r="E1547" s="979">
        <v>1960</v>
      </c>
      <c r="F1547" s="979" t="s">
        <v>5128</v>
      </c>
      <c r="G1547" s="979" t="s">
        <v>5128</v>
      </c>
      <c r="H1547" s="979">
        <v>889358</v>
      </c>
      <c r="I1547" s="979">
        <v>654638</v>
      </c>
      <c r="J1547" s="979">
        <v>0.47408919108972625</v>
      </c>
      <c r="K1547" s="979">
        <v>421635.01480917673</v>
      </c>
      <c r="L1547" s="979">
        <v>421635.01480917673</v>
      </c>
      <c r="M1547" s="979">
        <v>599</v>
      </c>
    </row>
    <row r="1548" spans="1:13" ht="15">
      <c r="A1548" s="979" t="s">
        <v>3616</v>
      </c>
      <c r="B1548" s="1040" t="str">
        <f>CONCATENATE(LEFT(RIGHT(CONCATENATE("000",IFAData_TEA_1617!A1548),6),3),"-",(RIGHT(RIGHT(CONCATENATE("000",IFAData_TEA_1617!A1548),6),3)))</f>
        <v>138-902</v>
      </c>
      <c r="C1548" s="979" t="s">
        <v>1691</v>
      </c>
      <c r="D1548" s="979">
        <v>6</v>
      </c>
      <c r="E1548" s="979">
        <v>1971</v>
      </c>
      <c r="F1548" s="979" t="s">
        <v>5130</v>
      </c>
      <c r="G1548" s="979" t="s">
        <v>5130</v>
      </c>
      <c r="H1548" s="979">
        <v>88605</v>
      </c>
      <c r="I1548" s="979">
        <v>92002</v>
      </c>
      <c r="J1548" s="979">
        <v>1</v>
      </c>
      <c r="K1548" s="979">
        <v>88605</v>
      </c>
      <c r="L1548" s="979">
        <v>88605</v>
      </c>
      <c r="M1548" s="979">
        <v>599</v>
      </c>
    </row>
    <row r="1549" spans="1:13" ht="15">
      <c r="A1549" s="979" t="s">
        <v>3617</v>
      </c>
      <c r="B1549" s="1040" t="str">
        <f>CONCATENATE(LEFT(RIGHT(CONCATENATE("000",IFAData_TEA_1617!A1549),6),3),"-",(RIGHT(RIGHT(CONCATENATE("000",IFAData_TEA_1617!A1549),6),3)))</f>
        <v>139-908</v>
      </c>
      <c r="C1549" s="979" t="s">
        <v>612</v>
      </c>
      <c r="D1549" s="979">
        <v>4</v>
      </c>
      <c r="E1549" s="979">
        <v>2267</v>
      </c>
      <c r="F1549" s="979" t="s">
        <v>5131</v>
      </c>
      <c r="G1549" s="979" t="s">
        <v>5132</v>
      </c>
      <c r="H1549" s="979">
        <v>84250</v>
      </c>
      <c r="I1549" s="979">
        <v>78096</v>
      </c>
      <c r="J1549" s="979">
        <v>1</v>
      </c>
      <c r="K1549" s="979">
        <v>84250</v>
      </c>
      <c r="L1549" s="979">
        <v>78096</v>
      </c>
      <c r="M1549" s="979">
        <v>599</v>
      </c>
    </row>
    <row r="1550" spans="1:13" ht="15">
      <c r="A1550" s="979" t="s">
        <v>3617</v>
      </c>
      <c r="B1550" s="1040" t="str">
        <f>CONCATENATE(LEFT(RIGHT(CONCATENATE("000",IFAData_TEA_1617!A1550),6),3),"-",(RIGHT(RIGHT(CONCATENATE("000",IFAData_TEA_1617!A1550),6),3)))</f>
        <v>139-908</v>
      </c>
      <c r="C1550" s="979" t="s">
        <v>612</v>
      </c>
      <c r="D1550" s="979">
        <v>4</v>
      </c>
      <c r="E1550" s="979">
        <v>2267</v>
      </c>
      <c r="F1550" s="979" t="s">
        <v>5131</v>
      </c>
      <c r="G1550" s="979" t="s">
        <v>5131</v>
      </c>
      <c r="H1550" s="979">
        <v>84250</v>
      </c>
      <c r="I1550" s="979">
        <v>0</v>
      </c>
      <c r="J1550" s="979">
        <v>0</v>
      </c>
      <c r="K1550" s="979">
        <v>0</v>
      </c>
      <c r="L1550" s="979">
        <v>0</v>
      </c>
      <c r="M1550" s="979">
        <v>599</v>
      </c>
    </row>
    <row r="1551" spans="1:13" ht="15">
      <c r="A1551" s="979" t="s">
        <v>3618</v>
      </c>
      <c r="B1551" s="1040" t="str">
        <f>CONCATENATE(LEFT(RIGHT(CONCATENATE("000",IFAData_TEA_1617!A1551),6),3),"-",(RIGHT(RIGHT(CONCATENATE("000",IFAData_TEA_1617!A1551),6),3)))</f>
        <v>139-909</v>
      </c>
      <c r="C1551" s="979" t="s">
        <v>198</v>
      </c>
      <c r="D1551" s="979">
        <v>10</v>
      </c>
      <c r="E1551" s="979">
        <v>2175</v>
      </c>
      <c r="F1551" s="979" t="s">
        <v>5138</v>
      </c>
      <c r="G1551" s="979" t="s">
        <v>5138</v>
      </c>
      <c r="H1551" s="979">
        <v>185701</v>
      </c>
      <c r="I1551" s="979">
        <v>178750</v>
      </c>
      <c r="J1551" s="979">
        <v>1</v>
      </c>
      <c r="K1551" s="979">
        <v>185701</v>
      </c>
      <c r="L1551" s="979">
        <v>178750</v>
      </c>
      <c r="M1551" s="979">
        <v>599</v>
      </c>
    </row>
    <row r="1552" spans="1:13" ht="15">
      <c r="A1552" s="979" t="s">
        <v>3618</v>
      </c>
      <c r="B1552" s="1040" t="str">
        <f>CONCATENATE(LEFT(RIGHT(CONCATENATE("000",IFAData_TEA_1617!A1552),6),3),"-",(RIGHT(RIGHT(CONCATENATE("000",IFAData_TEA_1617!A1552),6),3)))</f>
        <v>139-909</v>
      </c>
      <c r="C1552" s="979" t="s">
        <v>198</v>
      </c>
      <c r="D1552" s="979">
        <v>1</v>
      </c>
      <c r="E1552" s="979">
        <v>2177</v>
      </c>
      <c r="F1552" s="979" t="s">
        <v>5133</v>
      </c>
      <c r="G1552" s="979" t="s">
        <v>5133</v>
      </c>
      <c r="H1552" s="979">
        <v>824548</v>
      </c>
      <c r="I1552" s="979">
        <v>0</v>
      </c>
      <c r="J1552" s="979">
        <v>0</v>
      </c>
      <c r="K1552" s="979"/>
      <c r="L1552" s="979">
        <v>0</v>
      </c>
      <c r="M1552" s="979">
        <v>599</v>
      </c>
    </row>
    <row r="1553" spans="1:13" ht="15">
      <c r="A1553" s="979" t="s">
        <v>3618</v>
      </c>
      <c r="B1553" s="1040" t="str">
        <f>CONCATENATE(LEFT(RIGHT(CONCATENATE("000",IFAData_TEA_1617!A1553),6),3),"-",(RIGHT(RIGHT(CONCATENATE("000",IFAData_TEA_1617!A1553),6),3)))</f>
        <v>139-909</v>
      </c>
      <c r="C1553" s="979" t="s">
        <v>198</v>
      </c>
      <c r="D1553" s="979">
        <v>10</v>
      </c>
      <c r="E1553" s="979">
        <v>2176</v>
      </c>
      <c r="F1553" s="979" t="s">
        <v>5137</v>
      </c>
      <c r="G1553" s="979" t="s">
        <v>5137</v>
      </c>
      <c r="H1553" s="979">
        <v>493697</v>
      </c>
      <c r="I1553" s="979">
        <v>410197</v>
      </c>
      <c r="J1553" s="979">
        <v>1</v>
      </c>
      <c r="K1553" s="979">
        <v>493697</v>
      </c>
      <c r="L1553" s="979">
        <v>410197</v>
      </c>
      <c r="M1553" s="979">
        <v>599</v>
      </c>
    </row>
    <row r="1554" spans="1:13" ht="15">
      <c r="A1554" s="979" t="s">
        <v>3619</v>
      </c>
      <c r="B1554" s="1040" t="str">
        <f>CONCATENATE(LEFT(RIGHT(CONCATENATE("000",IFAData_TEA_1617!A1554),6),3),"-",(RIGHT(RIGHT(CONCATENATE("000",IFAData_TEA_1617!A1554),6),3)))</f>
        <v>139-912</v>
      </c>
      <c r="C1554" s="979" t="s">
        <v>2101</v>
      </c>
      <c r="D1554" s="979">
        <v>6</v>
      </c>
      <c r="E1554" s="979">
        <v>2208</v>
      </c>
      <c r="F1554" s="979" t="s">
        <v>5139</v>
      </c>
      <c r="G1554" s="979" t="s">
        <v>5141</v>
      </c>
      <c r="H1554" s="979">
        <v>229112</v>
      </c>
      <c r="I1554" s="979">
        <v>82026</v>
      </c>
      <c r="J1554" s="979">
        <v>0.23964310338782999</v>
      </c>
      <c r="K1554" s="979">
        <v>54905.110703392507</v>
      </c>
      <c r="L1554" s="979">
        <v>54905.110703392507</v>
      </c>
      <c r="M1554" s="979">
        <v>599</v>
      </c>
    </row>
    <row r="1555" spans="1:13" ht="15">
      <c r="A1555" s="979" t="s">
        <v>3619</v>
      </c>
      <c r="B1555" s="1040" t="str">
        <f>CONCATENATE(LEFT(RIGHT(CONCATENATE("000",IFAData_TEA_1617!A1555),6),3),"-",(RIGHT(RIGHT(CONCATENATE("000",IFAData_TEA_1617!A1555),6),3)))</f>
        <v>139-912</v>
      </c>
      <c r="C1555" s="979" t="s">
        <v>2101</v>
      </c>
      <c r="D1555" s="979">
        <v>6</v>
      </c>
      <c r="E1555" s="979">
        <v>2208</v>
      </c>
      <c r="F1555" s="979" t="s">
        <v>5139</v>
      </c>
      <c r="G1555" s="979" t="s">
        <v>5140</v>
      </c>
      <c r="H1555" s="979">
        <v>229112</v>
      </c>
      <c r="I1555" s="979">
        <v>260258</v>
      </c>
      <c r="J1555" s="979">
        <v>0.76035689661216999</v>
      </c>
      <c r="K1555" s="979">
        <v>174206.88929660749</v>
      </c>
      <c r="L1555" s="979">
        <v>174206.88929660749</v>
      </c>
      <c r="M1555" s="979">
        <v>599</v>
      </c>
    </row>
    <row r="1556" spans="1:13" ht="15">
      <c r="A1556" s="979" t="s">
        <v>3619</v>
      </c>
      <c r="B1556" s="1040" t="str">
        <f>CONCATENATE(LEFT(RIGHT(CONCATENATE("000",IFAData_TEA_1617!A1556),6),3),"-",(RIGHT(RIGHT(CONCATENATE("000",IFAData_TEA_1617!A1556),6),3)))</f>
        <v>139-912</v>
      </c>
      <c r="C1556" s="979" t="s">
        <v>2101</v>
      </c>
      <c r="D1556" s="979">
        <v>6</v>
      </c>
      <c r="E1556" s="979">
        <v>2208</v>
      </c>
      <c r="F1556" s="979" t="s">
        <v>5139</v>
      </c>
      <c r="G1556" s="979" t="s">
        <v>5139</v>
      </c>
      <c r="H1556" s="979">
        <v>229112</v>
      </c>
      <c r="I1556" s="979">
        <v>0</v>
      </c>
      <c r="J1556" s="979">
        <v>0</v>
      </c>
      <c r="K1556" s="979">
        <v>0</v>
      </c>
      <c r="L1556" s="979">
        <v>0</v>
      </c>
      <c r="M1556" s="979">
        <v>599</v>
      </c>
    </row>
    <row r="1557" spans="1:13" ht="15">
      <c r="A1557" s="979" t="s">
        <v>5142</v>
      </c>
      <c r="B1557" s="1040" t="str">
        <f>CONCATENATE(LEFT(RIGHT(CONCATENATE("000",IFAData_TEA_1617!A1557),6),3),"-",(RIGHT(RIGHT(CONCATENATE("000",IFAData_TEA_1617!A1557),6),3)))</f>
        <v>140-905</v>
      </c>
      <c r="C1557" s="979" t="s">
        <v>826</v>
      </c>
      <c r="D1557" s="979">
        <v>2</v>
      </c>
      <c r="E1557" s="979">
        <v>2161</v>
      </c>
      <c r="F1557" s="979" t="s">
        <v>5143</v>
      </c>
      <c r="G1557" s="979" t="s">
        <v>5143</v>
      </c>
      <c r="H1557" s="979">
        <v>187763</v>
      </c>
      <c r="I1557" s="979">
        <v>0</v>
      </c>
      <c r="J1557" s="979">
        <v>0</v>
      </c>
      <c r="K1557" s="979">
        <v>0</v>
      </c>
      <c r="L1557" s="979">
        <v>0</v>
      </c>
      <c r="M1557" s="979">
        <v>599</v>
      </c>
    </row>
    <row r="1558" spans="1:13" ht="15">
      <c r="A1558" s="979" t="s">
        <v>5142</v>
      </c>
      <c r="B1558" s="1040" t="str">
        <f>CONCATENATE(LEFT(RIGHT(CONCATENATE("000",IFAData_TEA_1617!A1558),6),3),"-",(RIGHT(RIGHT(CONCATENATE("000",IFAData_TEA_1617!A1558),6),3)))</f>
        <v>140-905</v>
      </c>
      <c r="C1558" s="979" t="s">
        <v>826</v>
      </c>
      <c r="D1558" s="979">
        <v>2</v>
      </c>
      <c r="E1558" s="979">
        <v>2161</v>
      </c>
      <c r="F1558" s="979" t="s">
        <v>5143</v>
      </c>
      <c r="G1558" s="979" t="s">
        <v>5144</v>
      </c>
      <c r="H1558" s="979">
        <v>187763</v>
      </c>
      <c r="I1558" s="979">
        <v>192062</v>
      </c>
      <c r="J1558" s="979">
        <v>1</v>
      </c>
      <c r="K1558" s="979">
        <v>187763</v>
      </c>
      <c r="L1558" s="979">
        <v>187763</v>
      </c>
      <c r="M1558" s="979">
        <v>599</v>
      </c>
    </row>
    <row r="1559" spans="1:13" ht="15">
      <c r="A1559" s="979" t="s">
        <v>3620</v>
      </c>
      <c r="B1559" s="1040" t="str">
        <f>CONCATENATE(LEFT(RIGHT(CONCATENATE("000",IFAData_TEA_1617!A1559),6),3),"-",(RIGHT(RIGHT(CONCATENATE("000",IFAData_TEA_1617!A1559),6),3)))</f>
        <v>141-901</v>
      </c>
      <c r="C1559" s="979" t="s">
        <v>947</v>
      </c>
      <c r="D1559" s="979">
        <v>9</v>
      </c>
      <c r="E1559" s="979">
        <v>2002</v>
      </c>
      <c r="F1559" s="979" t="s">
        <v>5145</v>
      </c>
      <c r="G1559" s="979" t="s">
        <v>5147</v>
      </c>
      <c r="H1559" s="979">
        <v>800000</v>
      </c>
      <c r="I1559" s="979">
        <v>2456356</v>
      </c>
      <c r="J1559" s="979">
        <v>0.90079258992776734</v>
      </c>
      <c r="K1559" s="979">
        <v>720634.07194221392</v>
      </c>
      <c r="L1559" s="979">
        <v>720634.07194221392</v>
      </c>
      <c r="M1559" s="979">
        <v>599</v>
      </c>
    </row>
    <row r="1560" spans="1:13" ht="15">
      <c r="A1560" s="979" t="s">
        <v>3620</v>
      </c>
      <c r="B1560" s="1040" t="str">
        <f>CONCATENATE(LEFT(RIGHT(CONCATENATE("000",IFAData_TEA_1617!A1560),6),3),"-",(RIGHT(RIGHT(CONCATENATE("000",IFAData_TEA_1617!A1560),6),3)))</f>
        <v>141-901</v>
      </c>
      <c r="C1560" s="979" t="s">
        <v>947</v>
      </c>
      <c r="D1560" s="979">
        <v>9</v>
      </c>
      <c r="E1560" s="979">
        <v>2002</v>
      </c>
      <c r="F1560" s="979" t="s">
        <v>5145</v>
      </c>
      <c r="G1560" s="979" t="s">
        <v>5146</v>
      </c>
      <c r="H1560" s="979">
        <v>800000</v>
      </c>
      <c r="I1560" s="979">
        <v>270527</v>
      </c>
      <c r="J1560" s="979">
        <v>9.920741007223266E-2</v>
      </c>
      <c r="K1560" s="979">
        <v>79365.928057786121</v>
      </c>
      <c r="L1560" s="979">
        <v>79365.928057786121</v>
      </c>
      <c r="M1560" s="979">
        <v>599</v>
      </c>
    </row>
    <row r="1561" spans="1:13" ht="15">
      <c r="A1561" s="979" t="s">
        <v>3620</v>
      </c>
      <c r="B1561" s="1040" t="str">
        <f>CONCATENATE(LEFT(RIGHT(CONCATENATE("000",IFAData_TEA_1617!A1561),6),3),"-",(RIGHT(RIGHT(CONCATENATE("000",IFAData_TEA_1617!A1561),6),3)))</f>
        <v>141-901</v>
      </c>
      <c r="C1561" s="979" t="s">
        <v>947</v>
      </c>
      <c r="D1561" s="979">
        <v>9</v>
      </c>
      <c r="E1561" s="979">
        <v>2002</v>
      </c>
      <c r="F1561" s="979" t="s">
        <v>5145</v>
      </c>
      <c r="G1561" s="979" t="s">
        <v>5145</v>
      </c>
      <c r="H1561" s="979">
        <v>800000</v>
      </c>
      <c r="I1561" s="979">
        <v>0</v>
      </c>
      <c r="J1561" s="979">
        <v>0</v>
      </c>
      <c r="K1561" s="979">
        <v>0</v>
      </c>
      <c r="L1561" s="979">
        <v>0</v>
      </c>
      <c r="M1561" s="979">
        <v>599</v>
      </c>
    </row>
    <row r="1562" spans="1:13" ht="15">
      <c r="A1562" s="979" t="s">
        <v>3621</v>
      </c>
      <c r="B1562" s="1040" t="str">
        <f>CONCATENATE(LEFT(RIGHT(CONCATENATE("000",IFAData_TEA_1617!A1562),6),3),"-",(RIGHT(RIGHT(CONCATENATE("000",IFAData_TEA_1617!A1562),6),3)))</f>
        <v>142-901</v>
      </c>
      <c r="C1562" s="979" t="s">
        <v>1102</v>
      </c>
      <c r="D1562" s="979">
        <v>2</v>
      </c>
      <c r="E1562" s="979">
        <v>1726</v>
      </c>
      <c r="F1562" s="979" t="s">
        <v>5148</v>
      </c>
      <c r="G1562" s="979" t="s">
        <v>5148</v>
      </c>
      <c r="H1562" s="979">
        <v>282771</v>
      </c>
      <c r="I1562" s="979">
        <v>0</v>
      </c>
      <c r="J1562" s="979">
        <v>0</v>
      </c>
      <c r="K1562" s="979">
        <v>0</v>
      </c>
      <c r="L1562" s="979">
        <v>0</v>
      </c>
      <c r="M1562" s="979">
        <v>599</v>
      </c>
    </row>
    <row r="1563" spans="1:13" ht="15">
      <c r="A1563" s="979" t="s">
        <v>3621</v>
      </c>
      <c r="B1563" s="1040" t="str">
        <f>CONCATENATE(LEFT(RIGHT(CONCATENATE("000",IFAData_TEA_1617!A1563),6),3),"-",(RIGHT(RIGHT(CONCATENATE("000",IFAData_TEA_1617!A1563),6),3)))</f>
        <v>142-901</v>
      </c>
      <c r="C1563" s="979" t="s">
        <v>1102</v>
      </c>
      <c r="D1563" s="979">
        <v>2</v>
      </c>
      <c r="E1563" s="979">
        <v>1726</v>
      </c>
      <c r="F1563" s="979" t="s">
        <v>5148</v>
      </c>
      <c r="G1563" s="979" t="s">
        <v>5149</v>
      </c>
      <c r="H1563" s="979">
        <v>282771</v>
      </c>
      <c r="I1563" s="979">
        <v>235800</v>
      </c>
      <c r="J1563" s="979">
        <v>1</v>
      </c>
      <c r="K1563" s="979">
        <v>282771</v>
      </c>
      <c r="L1563" s="979">
        <v>235800</v>
      </c>
      <c r="M1563" s="979">
        <v>599</v>
      </c>
    </row>
    <row r="1564" spans="1:13" ht="15">
      <c r="A1564" s="979" t="s">
        <v>3622</v>
      </c>
      <c r="B1564" s="1040" t="str">
        <f>CONCATENATE(LEFT(RIGHT(CONCATENATE("000",IFAData_TEA_1617!A1564),6),3),"-",(RIGHT(RIGHT(CONCATENATE("000",IFAData_TEA_1617!A1564),6),3)))</f>
        <v>146-901</v>
      </c>
      <c r="C1564" s="979" t="s">
        <v>1164</v>
      </c>
      <c r="D1564" s="979">
        <v>5</v>
      </c>
      <c r="E1564" s="979">
        <v>1694</v>
      </c>
      <c r="F1564" s="979" t="s">
        <v>5150</v>
      </c>
      <c r="G1564" s="979" t="s">
        <v>5152</v>
      </c>
      <c r="H1564" s="979">
        <v>754473</v>
      </c>
      <c r="I1564" s="979">
        <v>813726</v>
      </c>
      <c r="J1564" s="979">
        <v>0.55242882368395863</v>
      </c>
      <c r="K1564" s="979">
        <v>416792.6318913073</v>
      </c>
      <c r="L1564" s="979">
        <v>416792.6318913073</v>
      </c>
      <c r="M1564" s="979">
        <v>599</v>
      </c>
    </row>
    <row r="1565" spans="1:13" ht="15">
      <c r="A1565" s="979" t="s">
        <v>3622</v>
      </c>
      <c r="B1565" s="1040" t="str">
        <f>CONCATENATE(LEFT(RIGHT(CONCATENATE("000",IFAData_TEA_1617!A1565),6),3),"-",(RIGHT(RIGHT(CONCATENATE("000",IFAData_TEA_1617!A1565),6),3)))</f>
        <v>146-901</v>
      </c>
      <c r="C1565" s="979" t="s">
        <v>1164</v>
      </c>
      <c r="D1565" s="979">
        <v>5</v>
      </c>
      <c r="E1565" s="979">
        <v>1694</v>
      </c>
      <c r="F1565" s="979" t="s">
        <v>5150</v>
      </c>
      <c r="G1565" s="979" t="s">
        <v>5151</v>
      </c>
      <c r="H1565" s="979">
        <v>754473</v>
      </c>
      <c r="I1565" s="979">
        <v>158630</v>
      </c>
      <c r="J1565" s="979">
        <v>0.10769200480381155</v>
      </c>
      <c r="K1565" s="979">
        <v>81250.709940346118</v>
      </c>
      <c r="L1565" s="979">
        <v>81250.709940346118</v>
      </c>
      <c r="M1565" s="979">
        <v>599</v>
      </c>
    </row>
    <row r="1566" spans="1:13" ht="15">
      <c r="A1566" s="979" t="s">
        <v>3622</v>
      </c>
      <c r="B1566" s="1040" t="str">
        <f>CONCATENATE(LEFT(RIGHT(CONCATENATE("000",IFAData_TEA_1617!A1566),6),3),"-",(RIGHT(RIGHT(CONCATENATE("000",IFAData_TEA_1617!A1566),6),3)))</f>
        <v>146-901</v>
      </c>
      <c r="C1566" s="979" t="s">
        <v>1164</v>
      </c>
      <c r="D1566" s="979">
        <v>5</v>
      </c>
      <c r="E1566" s="979">
        <v>1694</v>
      </c>
      <c r="F1566" s="979" t="s">
        <v>5150</v>
      </c>
      <c r="G1566" s="979" t="s">
        <v>5150</v>
      </c>
      <c r="H1566" s="979">
        <v>754473</v>
      </c>
      <c r="I1566" s="979">
        <v>0</v>
      </c>
      <c r="J1566" s="979">
        <v>0</v>
      </c>
      <c r="K1566" s="979">
        <v>0</v>
      </c>
      <c r="L1566" s="979">
        <v>0</v>
      </c>
      <c r="M1566" s="979">
        <v>599</v>
      </c>
    </row>
    <row r="1567" spans="1:13" ht="15">
      <c r="A1567" s="979" t="s">
        <v>3622</v>
      </c>
      <c r="B1567" s="1040" t="str">
        <f>CONCATENATE(LEFT(RIGHT(CONCATENATE("000",IFAData_TEA_1617!A1567),6),3),"-",(RIGHT(RIGHT(CONCATENATE("000",IFAData_TEA_1617!A1567),6),3)))</f>
        <v>146-901</v>
      </c>
      <c r="C1567" s="979" t="s">
        <v>1164</v>
      </c>
      <c r="D1567" s="979">
        <v>5</v>
      </c>
      <c r="E1567" s="979">
        <v>1694</v>
      </c>
      <c r="F1567" s="979" t="s">
        <v>5150</v>
      </c>
      <c r="G1567" s="979" t="s">
        <v>5153</v>
      </c>
      <c r="H1567" s="979">
        <v>754473</v>
      </c>
      <c r="I1567" s="979">
        <v>228087</v>
      </c>
      <c r="J1567" s="979">
        <v>0.15484552921696379</v>
      </c>
      <c r="K1567" s="979">
        <v>116826.77096491032</v>
      </c>
      <c r="L1567" s="979">
        <v>116826.77096491032</v>
      </c>
      <c r="M1567" s="979">
        <v>599</v>
      </c>
    </row>
    <row r="1568" spans="1:13" ht="15">
      <c r="A1568" s="979" t="s">
        <v>3622</v>
      </c>
      <c r="B1568" s="1040" t="str">
        <f>CONCATENATE(LEFT(RIGHT(CONCATENATE("000",IFAData_TEA_1617!A1568),6),3),"-",(RIGHT(RIGHT(CONCATENATE("000",IFAData_TEA_1617!A1568),6),3)))</f>
        <v>146-901</v>
      </c>
      <c r="C1568" s="979" t="s">
        <v>1164</v>
      </c>
      <c r="D1568" s="979">
        <v>5</v>
      </c>
      <c r="E1568" s="979">
        <v>1694</v>
      </c>
      <c r="F1568" s="979" t="s">
        <v>5150</v>
      </c>
      <c r="G1568" s="979" t="s">
        <v>6497</v>
      </c>
      <c r="H1568" s="979">
        <v>754473</v>
      </c>
      <c r="I1568" s="979">
        <v>272554</v>
      </c>
      <c r="J1568" s="979">
        <v>0.18503364229526606</v>
      </c>
      <c r="K1568" s="979">
        <v>139602.88720343626</v>
      </c>
      <c r="L1568" s="979">
        <v>139602.88720343626</v>
      </c>
      <c r="M1568" s="979">
        <v>599</v>
      </c>
    </row>
    <row r="1569" spans="1:13" ht="15">
      <c r="A1569" s="979" t="s">
        <v>3623</v>
      </c>
      <c r="B1569" s="1040" t="str">
        <f>CONCATENATE(LEFT(RIGHT(CONCATENATE("000",IFAData_TEA_1617!A1569),6),3),"-",(RIGHT(RIGHT(CONCATENATE("000",IFAData_TEA_1617!A1569),6),3)))</f>
        <v>146-902</v>
      </c>
      <c r="C1569" s="979" t="s">
        <v>2664</v>
      </c>
      <c r="D1569" s="979">
        <v>1</v>
      </c>
      <c r="E1569" s="979">
        <v>1747</v>
      </c>
      <c r="F1569" s="979" t="s">
        <v>5154</v>
      </c>
      <c r="G1569" s="979" t="s">
        <v>5157</v>
      </c>
      <c r="H1569" s="979">
        <v>967500</v>
      </c>
      <c r="I1569" s="979">
        <v>894653</v>
      </c>
      <c r="J1569" s="979">
        <v>0.87117738305871673</v>
      </c>
      <c r="K1569" s="979">
        <v>842864.11810930842</v>
      </c>
      <c r="L1569" s="979">
        <v>842864.11810930842</v>
      </c>
      <c r="M1569" s="979">
        <v>599</v>
      </c>
    </row>
    <row r="1570" spans="1:13" ht="15">
      <c r="A1570" s="979" t="s">
        <v>3623</v>
      </c>
      <c r="B1570" s="1040" t="str">
        <f>CONCATENATE(LEFT(RIGHT(CONCATENATE("000",IFAData_TEA_1617!A1570),6),3),"-",(RIGHT(RIGHT(CONCATENATE("000",IFAData_TEA_1617!A1570),6),3)))</f>
        <v>146-902</v>
      </c>
      <c r="C1570" s="979" t="s">
        <v>2664</v>
      </c>
      <c r="D1570" s="979">
        <v>1</v>
      </c>
      <c r="E1570" s="979">
        <v>1747</v>
      </c>
      <c r="F1570" s="979" t="s">
        <v>5154</v>
      </c>
      <c r="G1570" s="979" t="s">
        <v>5154</v>
      </c>
      <c r="H1570" s="979">
        <v>967500</v>
      </c>
      <c r="I1570" s="979">
        <v>0</v>
      </c>
      <c r="J1570" s="979">
        <v>0</v>
      </c>
      <c r="K1570" s="979">
        <v>0</v>
      </c>
      <c r="L1570" s="979">
        <v>0</v>
      </c>
      <c r="M1570" s="979">
        <v>599</v>
      </c>
    </row>
    <row r="1571" spans="1:13" ht="15">
      <c r="A1571" s="979" t="s">
        <v>3623</v>
      </c>
      <c r="B1571" s="1040" t="str">
        <f>CONCATENATE(LEFT(RIGHT(CONCATENATE("000",IFAData_TEA_1617!A1571),6),3),"-",(RIGHT(RIGHT(CONCATENATE("000",IFAData_TEA_1617!A1571),6),3)))</f>
        <v>146-902</v>
      </c>
      <c r="C1571" s="979" t="s">
        <v>2664</v>
      </c>
      <c r="D1571" s="979">
        <v>1</v>
      </c>
      <c r="E1571" s="979">
        <v>1747</v>
      </c>
      <c r="F1571" s="979" t="s">
        <v>5154</v>
      </c>
      <c r="G1571" s="979" t="s">
        <v>5155</v>
      </c>
      <c r="H1571" s="979">
        <v>967500</v>
      </c>
      <c r="I1571" s="979">
        <v>0</v>
      </c>
      <c r="J1571" s="979">
        <v>0</v>
      </c>
      <c r="K1571" s="979">
        <v>0</v>
      </c>
      <c r="L1571" s="979">
        <v>0</v>
      </c>
      <c r="M1571" s="979">
        <v>599</v>
      </c>
    </row>
    <row r="1572" spans="1:13" ht="15">
      <c r="A1572" s="979" t="s">
        <v>3623</v>
      </c>
      <c r="B1572" s="1040" t="str">
        <f>CONCATENATE(LEFT(RIGHT(CONCATENATE("000",IFAData_TEA_1617!A1572),6),3),"-",(RIGHT(RIGHT(CONCATENATE("000",IFAData_TEA_1617!A1572),6),3)))</f>
        <v>146-902</v>
      </c>
      <c r="C1572" s="979" t="s">
        <v>2664</v>
      </c>
      <c r="D1572" s="979">
        <v>1</v>
      </c>
      <c r="E1572" s="979">
        <v>1747</v>
      </c>
      <c r="F1572" s="979" t="s">
        <v>5154</v>
      </c>
      <c r="G1572" s="979" t="s">
        <v>5156</v>
      </c>
      <c r="H1572" s="979">
        <v>967500</v>
      </c>
      <c r="I1572" s="979">
        <v>132294</v>
      </c>
      <c r="J1572" s="979">
        <v>0.12882261694128325</v>
      </c>
      <c r="K1572" s="979">
        <v>124635.88189069154</v>
      </c>
      <c r="L1572" s="979">
        <v>124635.88189069154</v>
      </c>
      <c r="M1572" s="979">
        <v>599</v>
      </c>
    </row>
    <row r="1573" spans="1:13" ht="15">
      <c r="A1573" s="979" t="s">
        <v>3624</v>
      </c>
      <c r="B1573" s="1040" t="str">
        <f>CONCATENATE(LEFT(RIGHT(CONCATENATE("000",IFAData_TEA_1617!A1573),6),3),"-",(RIGHT(RIGHT(CONCATENATE("000",IFAData_TEA_1617!A1573),6),3)))</f>
        <v>146-904</v>
      </c>
      <c r="C1573" s="979" t="s">
        <v>1735</v>
      </c>
      <c r="D1573" s="979">
        <v>9</v>
      </c>
      <c r="E1573" s="979">
        <v>1865</v>
      </c>
      <c r="F1573" s="979" t="s">
        <v>5158</v>
      </c>
      <c r="G1573" s="979" t="s">
        <v>5158</v>
      </c>
      <c r="H1573" s="979">
        <v>80675</v>
      </c>
      <c r="I1573" s="979">
        <v>109118</v>
      </c>
      <c r="J1573" s="979">
        <v>0.84013828042592831</v>
      </c>
      <c r="K1573" s="979">
        <v>67778.155773361766</v>
      </c>
      <c r="L1573" s="979">
        <v>67778.155773361766</v>
      </c>
      <c r="M1573" s="979">
        <v>599</v>
      </c>
    </row>
    <row r="1574" spans="1:13" ht="15">
      <c r="A1574" s="979" t="s">
        <v>3624</v>
      </c>
      <c r="B1574" s="1040" t="str">
        <f>CONCATENATE(LEFT(RIGHT(CONCATENATE("000",IFAData_TEA_1617!A1574),6),3),"-",(RIGHT(RIGHT(CONCATENATE("000",IFAData_TEA_1617!A1574),6),3)))</f>
        <v>146-904</v>
      </c>
      <c r="C1574" s="979" t="s">
        <v>1735</v>
      </c>
      <c r="D1574" s="979">
        <v>9</v>
      </c>
      <c r="E1574" s="979">
        <v>1865</v>
      </c>
      <c r="F1574" s="979" t="s">
        <v>5158</v>
      </c>
      <c r="G1574" s="979" t="s">
        <v>6498</v>
      </c>
      <c r="H1574" s="979">
        <v>80675</v>
      </c>
      <c r="I1574" s="979">
        <v>20763</v>
      </c>
      <c r="J1574" s="979">
        <v>0.15986171957407164</v>
      </c>
      <c r="K1574" s="979">
        <v>12896.84422663823</v>
      </c>
      <c r="L1574" s="979">
        <v>12896.84422663823</v>
      </c>
      <c r="M1574" s="979">
        <v>599</v>
      </c>
    </row>
    <row r="1575" spans="1:13" ht="15">
      <c r="A1575" s="979" t="s">
        <v>3625</v>
      </c>
      <c r="B1575" s="1040" t="str">
        <f>CONCATENATE(LEFT(RIGHT(CONCATENATE("000",IFAData_TEA_1617!A1575),6),3),"-",(RIGHT(RIGHT(CONCATENATE("000",IFAData_TEA_1617!A1575),6),3)))</f>
        <v>146-905</v>
      </c>
      <c r="C1575" s="979" t="s">
        <v>2384</v>
      </c>
      <c r="D1575" s="979">
        <v>2</v>
      </c>
      <c r="E1575" s="979">
        <v>1913</v>
      </c>
      <c r="F1575" s="979" t="s">
        <v>5159</v>
      </c>
      <c r="G1575" s="979" t="s">
        <v>5159</v>
      </c>
      <c r="H1575" s="979">
        <v>159897</v>
      </c>
      <c r="I1575" s="979">
        <v>0</v>
      </c>
      <c r="J1575" s="979">
        <v>0</v>
      </c>
      <c r="K1575" s="979"/>
      <c r="L1575" s="979">
        <v>0</v>
      </c>
      <c r="M1575" s="979">
        <v>599</v>
      </c>
    </row>
    <row r="1576" spans="1:13" ht="15">
      <c r="A1576" s="979" t="s">
        <v>3626</v>
      </c>
      <c r="B1576" s="1040" t="str">
        <f>CONCATENATE(LEFT(RIGHT(CONCATENATE("000",IFAData_TEA_1617!A1576),6),3),"-",(RIGHT(RIGHT(CONCATENATE("000",IFAData_TEA_1617!A1576),6),3)))</f>
        <v>147-901</v>
      </c>
      <c r="C1576" s="979" t="s">
        <v>1554</v>
      </c>
      <c r="D1576" s="979">
        <v>4</v>
      </c>
      <c r="E1576" s="979">
        <v>1718</v>
      </c>
      <c r="F1576" s="979" t="s">
        <v>5161</v>
      </c>
      <c r="G1576" s="979" t="s">
        <v>5162</v>
      </c>
      <c r="H1576" s="979">
        <v>100000</v>
      </c>
      <c r="I1576" s="979">
        <v>86825</v>
      </c>
      <c r="J1576" s="979">
        <v>1</v>
      </c>
      <c r="K1576" s="979">
        <v>100000</v>
      </c>
      <c r="L1576" s="979">
        <v>86825</v>
      </c>
      <c r="M1576" s="979">
        <v>599</v>
      </c>
    </row>
    <row r="1577" spans="1:13" ht="15">
      <c r="A1577" s="979" t="s">
        <v>3626</v>
      </c>
      <c r="B1577" s="1040" t="str">
        <f>CONCATENATE(LEFT(RIGHT(CONCATENATE("000",IFAData_TEA_1617!A1577),6),3),"-",(RIGHT(RIGHT(CONCATENATE("000",IFAData_TEA_1617!A1577),6),3)))</f>
        <v>147-901</v>
      </c>
      <c r="C1577" s="979" t="s">
        <v>1554</v>
      </c>
      <c r="D1577" s="979">
        <v>4</v>
      </c>
      <c r="E1577" s="979">
        <v>1718</v>
      </c>
      <c r="F1577" s="979" t="s">
        <v>5161</v>
      </c>
      <c r="G1577" s="979" t="s">
        <v>5161</v>
      </c>
      <c r="H1577" s="979">
        <v>100000</v>
      </c>
      <c r="I1577" s="979">
        <v>0</v>
      </c>
      <c r="J1577" s="979">
        <v>0</v>
      </c>
      <c r="K1577" s="979">
        <v>0</v>
      </c>
      <c r="L1577" s="979">
        <v>0</v>
      </c>
      <c r="M1577" s="979">
        <v>599</v>
      </c>
    </row>
    <row r="1578" spans="1:13" ht="15">
      <c r="A1578" s="979" t="s">
        <v>5163</v>
      </c>
      <c r="B1578" s="1040" t="str">
        <f>CONCATENATE(LEFT(RIGHT(CONCATENATE("000",IFAData_TEA_1617!A1578),6),3),"-",(RIGHT(RIGHT(CONCATENATE("000",IFAData_TEA_1617!A1578),6),3)))</f>
        <v>152-901</v>
      </c>
      <c r="C1578" s="979" t="s">
        <v>586</v>
      </c>
      <c r="D1578" s="979">
        <v>1</v>
      </c>
      <c r="E1578" s="979">
        <v>2040</v>
      </c>
      <c r="F1578" s="979" t="s">
        <v>5164</v>
      </c>
      <c r="G1578" s="979" t="s">
        <v>5164</v>
      </c>
      <c r="H1578" s="979">
        <v>112803</v>
      </c>
      <c r="I1578" s="979">
        <v>0</v>
      </c>
      <c r="J1578" s="979">
        <v>0</v>
      </c>
      <c r="K1578" s="979"/>
      <c r="L1578" s="979">
        <v>0</v>
      </c>
      <c r="M1578" s="979">
        <v>599</v>
      </c>
    </row>
    <row r="1579" spans="1:13" ht="15">
      <c r="A1579" s="979" t="s">
        <v>3627</v>
      </c>
      <c r="B1579" s="1040" t="str">
        <f>CONCATENATE(LEFT(RIGHT(CONCATENATE("000",IFAData_TEA_1617!A1579),6),3),"-",(RIGHT(RIGHT(CONCATENATE("000",IFAData_TEA_1617!A1579),6),3)))</f>
        <v>152-906</v>
      </c>
      <c r="C1579" s="979" t="s">
        <v>587</v>
      </c>
      <c r="D1579" s="979">
        <v>5</v>
      </c>
      <c r="E1579" s="979">
        <v>2041</v>
      </c>
      <c r="F1579" s="979" t="s">
        <v>5165</v>
      </c>
      <c r="G1579" s="979" t="s">
        <v>5165</v>
      </c>
      <c r="H1579" s="979">
        <v>445840</v>
      </c>
      <c r="I1579" s="979">
        <v>0</v>
      </c>
      <c r="J1579" s="979">
        <v>0</v>
      </c>
      <c r="K1579" s="979">
        <v>0</v>
      </c>
      <c r="L1579" s="979">
        <v>0</v>
      </c>
      <c r="M1579" s="979">
        <v>599</v>
      </c>
    </row>
    <row r="1580" spans="1:13" ht="15">
      <c r="A1580" s="979" t="s">
        <v>3627</v>
      </c>
      <c r="B1580" s="1040" t="str">
        <f>CONCATENATE(LEFT(RIGHT(CONCATENATE("000",IFAData_TEA_1617!A1580),6),3),"-",(RIGHT(RIGHT(CONCATENATE("000",IFAData_TEA_1617!A1580),6),3)))</f>
        <v>152-906</v>
      </c>
      <c r="C1580" s="979" t="s">
        <v>587</v>
      </c>
      <c r="D1580" s="979">
        <v>5</v>
      </c>
      <c r="E1580" s="979">
        <v>2041</v>
      </c>
      <c r="F1580" s="979" t="s">
        <v>5165</v>
      </c>
      <c r="G1580" s="979" t="s">
        <v>5166</v>
      </c>
      <c r="H1580" s="979">
        <v>445840</v>
      </c>
      <c r="I1580" s="979">
        <v>657800</v>
      </c>
      <c r="J1580" s="979">
        <v>1</v>
      </c>
      <c r="K1580" s="979">
        <v>445840</v>
      </c>
      <c r="L1580" s="979">
        <v>445840</v>
      </c>
      <c r="M1580" s="979">
        <v>599</v>
      </c>
    </row>
    <row r="1581" spans="1:13" ht="15">
      <c r="A1581" s="979" t="s">
        <v>3628</v>
      </c>
      <c r="B1581" s="1040" t="str">
        <f>CONCATENATE(LEFT(RIGHT(CONCATENATE("000",IFAData_TEA_1617!A1581),6),3),"-",(RIGHT(RIGHT(CONCATENATE("000",IFAData_TEA_1617!A1581),6),3)))</f>
        <v>152-907</v>
      </c>
      <c r="C1581" s="979" t="s">
        <v>2303</v>
      </c>
      <c r="D1581" s="979">
        <v>1</v>
      </c>
      <c r="E1581" s="979">
        <v>1825</v>
      </c>
      <c r="F1581" s="979" t="s">
        <v>5167</v>
      </c>
      <c r="G1581" s="979" t="s">
        <v>5168</v>
      </c>
      <c r="H1581" s="979">
        <v>125335</v>
      </c>
      <c r="I1581" s="979">
        <v>116358</v>
      </c>
      <c r="J1581" s="979">
        <v>0.69710930713237274</v>
      </c>
      <c r="K1581" s="979">
        <v>87372.195009435934</v>
      </c>
      <c r="L1581" s="979">
        <v>87372.195009435934</v>
      </c>
      <c r="M1581" s="979">
        <v>599</v>
      </c>
    </row>
    <row r="1582" spans="1:13" ht="15">
      <c r="A1582" s="979" t="s">
        <v>3628</v>
      </c>
      <c r="B1582" s="1040" t="str">
        <f>CONCATENATE(LEFT(RIGHT(CONCATENATE("000",IFAData_TEA_1617!A1582),6),3),"-",(RIGHT(RIGHT(CONCATENATE("000",IFAData_TEA_1617!A1582),6),3)))</f>
        <v>152-907</v>
      </c>
      <c r="C1582" s="979" t="s">
        <v>2303</v>
      </c>
      <c r="D1582" s="979">
        <v>9</v>
      </c>
      <c r="E1582" s="979">
        <v>1828</v>
      </c>
      <c r="F1582" s="979" t="s">
        <v>5171</v>
      </c>
      <c r="G1582" s="979" t="s">
        <v>6292</v>
      </c>
      <c r="H1582" s="979">
        <v>1482602</v>
      </c>
      <c r="I1582" s="979">
        <v>2126036</v>
      </c>
      <c r="J1582" s="979">
        <v>0.54523236224973526</v>
      </c>
      <c r="K1582" s="979">
        <v>808362.59073618194</v>
      </c>
      <c r="L1582" s="979">
        <v>808362.59073618194</v>
      </c>
      <c r="M1582" s="979">
        <v>599</v>
      </c>
    </row>
    <row r="1583" spans="1:13" ht="15">
      <c r="A1583" s="979" t="s">
        <v>3628</v>
      </c>
      <c r="B1583" s="1040" t="str">
        <f>CONCATENATE(LEFT(RIGHT(CONCATENATE("000",IFAData_TEA_1617!A1583),6),3),"-",(RIGHT(RIGHT(CONCATENATE("000",IFAData_TEA_1617!A1583),6),3)))</f>
        <v>152-907</v>
      </c>
      <c r="C1583" s="979" t="s">
        <v>2303</v>
      </c>
      <c r="D1583" s="979">
        <v>2</v>
      </c>
      <c r="E1583" s="979">
        <v>1826</v>
      </c>
      <c r="F1583" s="979" t="s">
        <v>5169</v>
      </c>
      <c r="G1583" s="979" t="s">
        <v>5169</v>
      </c>
      <c r="H1583" s="979">
        <v>596622</v>
      </c>
      <c r="I1583" s="979">
        <v>0</v>
      </c>
      <c r="J1583" s="979">
        <v>0</v>
      </c>
      <c r="K1583" s="979">
        <v>0</v>
      </c>
      <c r="L1583" s="979">
        <v>0</v>
      </c>
      <c r="M1583" s="979">
        <v>599</v>
      </c>
    </row>
    <row r="1584" spans="1:13" ht="15">
      <c r="A1584" s="979" t="s">
        <v>3628</v>
      </c>
      <c r="B1584" s="1040" t="str">
        <f>CONCATENATE(LEFT(RIGHT(CONCATENATE("000",IFAData_TEA_1617!A1584),6),3),"-",(RIGHT(RIGHT(CONCATENATE("000",IFAData_TEA_1617!A1584),6),3)))</f>
        <v>152-907</v>
      </c>
      <c r="C1584" s="979" t="s">
        <v>2303</v>
      </c>
      <c r="D1584" s="979">
        <v>1</v>
      </c>
      <c r="E1584" s="979">
        <v>1825</v>
      </c>
      <c r="F1584" s="979" t="s">
        <v>5167</v>
      </c>
      <c r="G1584" s="979" t="s">
        <v>6499</v>
      </c>
      <c r="H1584" s="979">
        <v>125335</v>
      </c>
      <c r="I1584" s="979">
        <v>50557</v>
      </c>
      <c r="J1584" s="979">
        <v>0.30289069286762721</v>
      </c>
      <c r="K1584" s="979">
        <v>37962.804990564058</v>
      </c>
      <c r="L1584" s="979">
        <v>37962.804990564058</v>
      </c>
      <c r="M1584" s="979">
        <v>599</v>
      </c>
    </row>
    <row r="1585" spans="1:13" ht="15">
      <c r="A1585" s="979" t="s">
        <v>3628</v>
      </c>
      <c r="B1585" s="1040" t="str">
        <f>CONCATENATE(LEFT(RIGHT(CONCATENATE("000",IFAData_TEA_1617!A1585),6),3),"-",(RIGHT(RIGHT(CONCATENATE("000",IFAData_TEA_1617!A1585),6),3)))</f>
        <v>152-907</v>
      </c>
      <c r="C1585" s="979" t="s">
        <v>2303</v>
      </c>
      <c r="D1585" s="979">
        <v>1</v>
      </c>
      <c r="E1585" s="979">
        <v>1825</v>
      </c>
      <c r="F1585" s="979" t="s">
        <v>5167</v>
      </c>
      <c r="G1585" s="979" t="s">
        <v>5167</v>
      </c>
      <c r="H1585" s="979">
        <v>125335</v>
      </c>
      <c r="I1585" s="979">
        <v>0</v>
      </c>
      <c r="J1585" s="979">
        <v>0</v>
      </c>
      <c r="K1585" s="979">
        <v>0</v>
      </c>
      <c r="L1585" s="979">
        <v>0</v>
      </c>
      <c r="M1585" s="979">
        <v>599</v>
      </c>
    </row>
    <row r="1586" spans="1:13" ht="15">
      <c r="A1586" s="979" t="s">
        <v>3628</v>
      </c>
      <c r="B1586" s="1040" t="str">
        <f>CONCATENATE(LEFT(RIGHT(CONCATENATE("000",IFAData_TEA_1617!A1586),6),3),"-",(RIGHT(RIGHT(CONCATENATE("000",IFAData_TEA_1617!A1586),6),3)))</f>
        <v>152-907</v>
      </c>
      <c r="C1586" s="979" t="s">
        <v>2303</v>
      </c>
      <c r="D1586" s="979">
        <v>10</v>
      </c>
      <c r="E1586" s="979">
        <v>1827</v>
      </c>
      <c r="F1586" s="979" t="s">
        <v>5172</v>
      </c>
      <c r="G1586" s="979" t="s">
        <v>5172</v>
      </c>
      <c r="H1586" s="979">
        <v>664408</v>
      </c>
      <c r="I1586" s="979">
        <v>116789</v>
      </c>
      <c r="J1586" s="979">
        <v>0.27155054152463948</v>
      </c>
      <c r="K1586" s="979">
        <v>180420.35219330268</v>
      </c>
      <c r="L1586" s="979">
        <v>116789</v>
      </c>
      <c r="M1586" s="979">
        <v>599</v>
      </c>
    </row>
    <row r="1587" spans="1:13" ht="15">
      <c r="A1587" s="979" t="s">
        <v>3628</v>
      </c>
      <c r="B1587" s="1040" t="str">
        <f>CONCATENATE(LEFT(RIGHT(CONCATENATE("000",IFAData_TEA_1617!A1587),6),3),"-",(RIGHT(RIGHT(CONCATENATE("000",IFAData_TEA_1617!A1587),6),3)))</f>
        <v>152-907</v>
      </c>
      <c r="C1587" s="979" t="s">
        <v>2303</v>
      </c>
      <c r="D1587" s="979">
        <v>2</v>
      </c>
      <c r="E1587" s="979">
        <v>1826</v>
      </c>
      <c r="F1587" s="979" t="s">
        <v>5169</v>
      </c>
      <c r="G1587" s="979" t="s">
        <v>5170</v>
      </c>
      <c r="H1587" s="979">
        <v>596622</v>
      </c>
      <c r="I1587" s="979">
        <v>582542</v>
      </c>
      <c r="J1587" s="979">
        <v>1</v>
      </c>
      <c r="K1587" s="979">
        <v>596622</v>
      </c>
      <c r="L1587" s="979">
        <v>582542</v>
      </c>
      <c r="M1587" s="979">
        <v>599</v>
      </c>
    </row>
    <row r="1588" spans="1:13" ht="15">
      <c r="A1588" s="979" t="s">
        <v>3628</v>
      </c>
      <c r="B1588" s="1040" t="str">
        <f>CONCATENATE(LEFT(RIGHT(CONCATENATE("000",IFAData_TEA_1617!A1588),6),3),"-",(RIGHT(RIGHT(CONCATENATE("000",IFAData_TEA_1617!A1588),6),3)))</f>
        <v>152-907</v>
      </c>
      <c r="C1588" s="979" t="s">
        <v>2303</v>
      </c>
      <c r="D1588" s="979">
        <v>10</v>
      </c>
      <c r="E1588" s="979">
        <v>1827</v>
      </c>
      <c r="F1588" s="979" t="s">
        <v>5172</v>
      </c>
      <c r="G1588" s="979" t="s">
        <v>6500</v>
      </c>
      <c r="H1588" s="979">
        <v>664408</v>
      </c>
      <c r="I1588" s="979">
        <v>313293</v>
      </c>
      <c r="J1588" s="979">
        <v>0.72844945847536047</v>
      </c>
      <c r="K1588" s="979">
        <v>483987.64780669729</v>
      </c>
      <c r="L1588" s="979">
        <v>313293</v>
      </c>
      <c r="M1588" s="979">
        <v>599</v>
      </c>
    </row>
    <row r="1589" spans="1:13" ht="15">
      <c r="A1589" s="979" t="s">
        <v>3628</v>
      </c>
      <c r="B1589" s="1040" t="str">
        <f>CONCATENATE(LEFT(RIGHT(CONCATENATE("000",IFAData_TEA_1617!A1589),6),3),"-",(RIGHT(RIGHT(CONCATENATE("000",IFAData_TEA_1617!A1589),6),3)))</f>
        <v>152-907</v>
      </c>
      <c r="C1589" s="979" t="s">
        <v>2303</v>
      </c>
      <c r="D1589" s="979">
        <v>9</v>
      </c>
      <c r="E1589" s="979">
        <v>1828</v>
      </c>
      <c r="F1589" s="979" t="s">
        <v>5171</v>
      </c>
      <c r="G1589" s="979" t="s">
        <v>5171</v>
      </c>
      <c r="H1589" s="979">
        <v>1482602</v>
      </c>
      <c r="I1589" s="979">
        <v>1773285</v>
      </c>
      <c r="J1589" s="979">
        <v>0.45476763775026474</v>
      </c>
      <c r="K1589" s="979">
        <v>674239.40926381806</v>
      </c>
      <c r="L1589" s="979">
        <v>674239.40926381806</v>
      </c>
      <c r="M1589" s="979">
        <v>599</v>
      </c>
    </row>
    <row r="1590" spans="1:13" ht="15">
      <c r="A1590" s="979" t="s">
        <v>3629</v>
      </c>
      <c r="B1590" s="1040" t="str">
        <f>CONCATENATE(LEFT(RIGHT(CONCATENATE("000",IFAData_TEA_1617!A1590),6),3),"-",(RIGHT(RIGHT(CONCATENATE("000",IFAData_TEA_1617!A1590),6),3)))</f>
        <v>152-909</v>
      </c>
      <c r="C1590" s="979" t="s">
        <v>1248</v>
      </c>
      <c r="D1590" s="979">
        <v>5</v>
      </c>
      <c r="E1590" s="979">
        <v>2326</v>
      </c>
      <c r="F1590" s="979" t="s">
        <v>5176</v>
      </c>
      <c r="G1590" s="979" t="s">
        <v>5176</v>
      </c>
      <c r="H1590" s="979">
        <v>289979</v>
      </c>
      <c r="I1590" s="979">
        <v>0</v>
      </c>
      <c r="J1590" s="979">
        <v>0</v>
      </c>
      <c r="K1590" s="979">
        <v>0</v>
      </c>
      <c r="L1590" s="979">
        <v>0</v>
      </c>
      <c r="M1590" s="979">
        <v>599</v>
      </c>
    </row>
    <row r="1591" spans="1:13" ht="15">
      <c r="A1591" s="979" t="s">
        <v>3629</v>
      </c>
      <c r="B1591" s="1040" t="str">
        <f>CONCATENATE(LEFT(RIGHT(CONCATENATE("000",IFAData_TEA_1617!A1591),6),3),"-",(RIGHT(RIGHT(CONCATENATE("000",IFAData_TEA_1617!A1591),6),3)))</f>
        <v>152-909</v>
      </c>
      <c r="C1591" s="979" t="s">
        <v>1248</v>
      </c>
      <c r="D1591" s="979">
        <v>2</v>
      </c>
      <c r="E1591" s="979">
        <v>2325</v>
      </c>
      <c r="F1591" s="979" t="s">
        <v>5173</v>
      </c>
      <c r="G1591" s="979" t="s">
        <v>5173</v>
      </c>
      <c r="H1591" s="979">
        <v>281008</v>
      </c>
      <c r="I1591" s="979">
        <v>0</v>
      </c>
      <c r="J1591" s="979">
        <v>0</v>
      </c>
      <c r="K1591" s="979">
        <v>0</v>
      </c>
      <c r="L1591" s="979">
        <v>0</v>
      </c>
      <c r="M1591" s="979">
        <v>599</v>
      </c>
    </row>
    <row r="1592" spans="1:13" ht="15">
      <c r="A1592" s="979" t="s">
        <v>3629</v>
      </c>
      <c r="B1592" s="1040" t="str">
        <f>CONCATENATE(LEFT(RIGHT(CONCATENATE("000",IFAData_TEA_1617!A1592),6),3),"-",(RIGHT(RIGHT(CONCATENATE("000",IFAData_TEA_1617!A1592),6),3)))</f>
        <v>152-909</v>
      </c>
      <c r="C1592" s="979" t="s">
        <v>1248</v>
      </c>
      <c r="D1592" s="979">
        <v>2</v>
      </c>
      <c r="E1592" s="979">
        <v>2325</v>
      </c>
      <c r="F1592" s="979" t="s">
        <v>5173</v>
      </c>
      <c r="G1592" s="979" t="s">
        <v>5175</v>
      </c>
      <c r="H1592" s="979">
        <v>281008</v>
      </c>
      <c r="I1592" s="979">
        <v>51855</v>
      </c>
      <c r="J1592" s="979">
        <v>0.20286288808212319</v>
      </c>
      <c r="K1592" s="979">
        <v>57006.094454181271</v>
      </c>
      <c r="L1592" s="979">
        <v>51855</v>
      </c>
      <c r="M1592" s="979">
        <v>599</v>
      </c>
    </row>
    <row r="1593" spans="1:13" ht="15">
      <c r="A1593" s="979" t="s">
        <v>3629</v>
      </c>
      <c r="B1593" s="1040" t="str">
        <f>CONCATENATE(LEFT(RIGHT(CONCATENATE("000",IFAData_TEA_1617!A1593),6),3),"-",(RIGHT(RIGHT(CONCATENATE("000",IFAData_TEA_1617!A1593),6),3)))</f>
        <v>152-909</v>
      </c>
      <c r="C1593" s="979" t="s">
        <v>1248</v>
      </c>
      <c r="D1593" s="979">
        <v>5</v>
      </c>
      <c r="E1593" s="979">
        <v>2326</v>
      </c>
      <c r="F1593" s="979" t="s">
        <v>5176</v>
      </c>
      <c r="G1593" s="979" t="s">
        <v>5175</v>
      </c>
      <c r="H1593" s="979">
        <v>289979</v>
      </c>
      <c r="I1593" s="979">
        <v>137370</v>
      </c>
      <c r="J1593" s="979">
        <v>0.51399578685844072</v>
      </c>
      <c r="K1593" s="979">
        <v>149047.98427742379</v>
      </c>
      <c r="L1593" s="979">
        <v>137370</v>
      </c>
      <c r="M1593" s="979">
        <v>599</v>
      </c>
    </row>
    <row r="1594" spans="1:13" ht="15">
      <c r="A1594" s="979" t="s">
        <v>3629</v>
      </c>
      <c r="B1594" s="1040" t="str">
        <f>CONCATENATE(LEFT(RIGHT(CONCATENATE("000",IFAData_TEA_1617!A1594),6),3),"-",(RIGHT(RIGHT(CONCATENATE("000",IFAData_TEA_1617!A1594),6),3)))</f>
        <v>152-909</v>
      </c>
      <c r="C1594" s="979" t="s">
        <v>1248</v>
      </c>
      <c r="D1594" s="979">
        <v>2</v>
      </c>
      <c r="E1594" s="979">
        <v>2325</v>
      </c>
      <c r="F1594" s="979" t="s">
        <v>5173</v>
      </c>
      <c r="G1594" s="979" t="s">
        <v>5174</v>
      </c>
      <c r="H1594" s="979">
        <v>281008</v>
      </c>
      <c r="I1594" s="979">
        <v>203761</v>
      </c>
      <c r="J1594" s="979">
        <v>0.79713711191787684</v>
      </c>
      <c r="K1594" s="979">
        <v>224001.90554581874</v>
      </c>
      <c r="L1594" s="979">
        <v>203761</v>
      </c>
      <c r="M1594" s="979">
        <v>599</v>
      </c>
    </row>
    <row r="1595" spans="1:13" ht="15">
      <c r="A1595" s="979" t="s">
        <v>3629</v>
      </c>
      <c r="B1595" s="1040" t="str">
        <f>CONCATENATE(LEFT(RIGHT(CONCATENATE("000",IFAData_TEA_1617!A1595),6),3),"-",(RIGHT(RIGHT(CONCATENATE("000",IFAData_TEA_1617!A1595),6),3)))</f>
        <v>152-909</v>
      </c>
      <c r="C1595" s="979" t="s">
        <v>1248</v>
      </c>
      <c r="D1595" s="979">
        <v>5</v>
      </c>
      <c r="E1595" s="979">
        <v>2326</v>
      </c>
      <c r="F1595" s="979" t="s">
        <v>5176</v>
      </c>
      <c r="G1595" s="979" t="s">
        <v>5174</v>
      </c>
      <c r="H1595" s="979">
        <v>289979</v>
      </c>
      <c r="I1595" s="979">
        <v>129889</v>
      </c>
      <c r="J1595" s="979">
        <v>0.48600421314155934</v>
      </c>
      <c r="K1595" s="979">
        <v>140931.01572257624</v>
      </c>
      <c r="L1595" s="979">
        <v>129889</v>
      </c>
      <c r="M1595" s="979">
        <v>599</v>
      </c>
    </row>
    <row r="1596" spans="1:13" ht="15">
      <c r="A1596" s="979" t="s">
        <v>3630</v>
      </c>
      <c r="B1596" s="1040" t="str">
        <f>CONCATENATE(LEFT(RIGHT(CONCATENATE("000",IFAData_TEA_1617!A1596),6),3),"-",(RIGHT(RIGHT(CONCATENATE("000",IFAData_TEA_1617!A1596),6),3)))</f>
        <v>152-910</v>
      </c>
      <c r="C1596" s="979" t="s">
        <v>557</v>
      </c>
      <c r="D1596" s="979">
        <v>10</v>
      </c>
      <c r="E1596" s="979">
        <v>1923</v>
      </c>
      <c r="F1596" s="979" t="s">
        <v>5177</v>
      </c>
      <c r="G1596" s="979" t="s">
        <v>5177</v>
      </c>
      <c r="H1596" s="979">
        <v>220668</v>
      </c>
      <c r="I1596" s="979">
        <v>527764</v>
      </c>
      <c r="J1596" s="979">
        <v>0.66180623479547562</v>
      </c>
      <c r="K1596" s="979">
        <v>146039.45821984802</v>
      </c>
      <c r="L1596" s="979">
        <v>146039.45821984802</v>
      </c>
      <c r="M1596" s="979">
        <v>599</v>
      </c>
    </row>
    <row r="1597" spans="1:13" ht="15">
      <c r="A1597" s="979" t="s">
        <v>3630</v>
      </c>
      <c r="B1597" s="1040" t="str">
        <f>CONCATENATE(LEFT(RIGHT(CONCATENATE("000",IFAData_TEA_1617!A1597),6),3),"-",(RIGHT(RIGHT(CONCATENATE("000",IFAData_TEA_1617!A1597),6),3)))</f>
        <v>152-910</v>
      </c>
      <c r="C1597" s="979" t="s">
        <v>557</v>
      </c>
      <c r="D1597" s="979">
        <v>10</v>
      </c>
      <c r="E1597" s="979">
        <v>1923</v>
      </c>
      <c r="F1597" s="979" t="s">
        <v>5177</v>
      </c>
      <c r="G1597" s="979" t="s">
        <v>6501</v>
      </c>
      <c r="H1597" s="979">
        <v>220668</v>
      </c>
      <c r="I1597" s="979">
        <v>269696</v>
      </c>
      <c r="J1597" s="979">
        <v>0.33819376520452438</v>
      </c>
      <c r="K1597" s="979">
        <v>74628.54178015198</v>
      </c>
      <c r="L1597" s="979">
        <v>74628.54178015198</v>
      </c>
      <c r="M1597" s="979">
        <v>599</v>
      </c>
    </row>
    <row r="1598" spans="1:13" ht="15">
      <c r="A1598" s="979" t="s">
        <v>3631</v>
      </c>
      <c r="B1598" s="1040" t="str">
        <f>CONCATENATE(LEFT(RIGHT(CONCATENATE("000",IFAData_TEA_1617!A1598),6),3),"-",(RIGHT(RIGHT(CONCATENATE("000",IFAData_TEA_1617!A1598),6),3)))</f>
        <v>154-901</v>
      </c>
      <c r="C1598" s="979" t="s">
        <v>37</v>
      </c>
      <c r="D1598" s="979">
        <v>3</v>
      </c>
      <c r="E1598" s="979">
        <v>2049</v>
      </c>
      <c r="F1598" s="979" t="s">
        <v>5178</v>
      </c>
      <c r="G1598" s="979" t="s">
        <v>5179</v>
      </c>
      <c r="H1598" s="979">
        <v>471642</v>
      </c>
      <c r="I1598" s="979">
        <v>719816</v>
      </c>
      <c r="J1598" s="979">
        <v>1</v>
      </c>
      <c r="K1598" s="979">
        <v>471642</v>
      </c>
      <c r="L1598" s="979">
        <v>471642</v>
      </c>
      <c r="M1598" s="979">
        <v>599</v>
      </c>
    </row>
    <row r="1599" spans="1:13" ht="15">
      <c r="A1599" s="979" t="s">
        <v>3631</v>
      </c>
      <c r="B1599" s="1040" t="str">
        <f>CONCATENATE(LEFT(RIGHT(CONCATENATE("000",IFAData_TEA_1617!A1599),6),3),"-",(RIGHT(RIGHT(CONCATENATE("000",IFAData_TEA_1617!A1599),6),3)))</f>
        <v>154-901</v>
      </c>
      <c r="C1599" s="979" t="s">
        <v>37</v>
      </c>
      <c r="D1599" s="979">
        <v>6</v>
      </c>
      <c r="E1599" s="979">
        <v>2050</v>
      </c>
      <c r="F1599" s="979" t="s">
        <v>5180</v>
      </c>
      <c r="G1599" s="979" t="s">
        <v>5181</v>
      </c>
      <c r="H1599" s="979">
        <v>471900</v>
      </c>
      <c r="I1599" s="979">
        <v>430580</v>
      </c>
      <c r="J1599" s="979">
        <v>1</v>
      </c>
      <c r="K1599" s="979">
        <v>471900</v>
      </c>
      <c r="L1599" s="979">
        <v>430580</v>
      </c>
      <c r="M1599" s="979">
        <v>599</v>
      </c>
    </row>
    <row r="1600" spans="1:13" ht="15">
      <c r="A1600" s="979" t="s">
        <v>3631</v>
      </c>
      <c r="B1600" s="1040" t="str">
        <f>CONCATENATE(LEFT(RIGHT(CONCATENATE("000",IFAData_TEA_1617!A1600),6),3),"-",(RIGHT(RIGHT(CONCATENATE("000",IFAData_TEA_1617!A1600),6),3)))</f>
        <v>154-901</v>
      </c>
      <c r="C1600" s="979" t="s">
        <v>37</v>
      </c>
      <c r="D1600" s="979">
        <v>6</v>
      </c>
      <c r="E1600" s="979">
        <v>2050</v>
      </c>
      <c r="F1600" s="979" t="s">
        <v>5180</v>
      </c>
      <c r="G1600" s="979" t="s">
        <v>5180</v>
      </c>
      <c r="H1600" s="979">
        <v>471900</v>
      </c>
      <c r="I1600" s="979">
        <v>0</v>
      </c>
      <c r="J1600" s="979">
        <v>0</v>
      </c>
      <c r="K1600" s="979">
        <v>0</v>
      </c>
      <c r="L1600" s="979">
        <v>0</v>
      </c>
      <c r="M1600" s="979">
        <v>599</v>
      </c>
    </row>
    <row r="1601" spans="1:13" ht="15">
      <c r="A1601" s="979" t="s">
        <v>3631</v>
      </c>
      <c r="B1601" s="1040" t="str">
        <f>CONCATENATE(LEFT(RIGHT(CONCATENATE("000",IFAData_TEA_1617!A1601),6),3),"-",(RIGHT(RIGHT(CONCATENATE("000",IFAData_TEA_1617!A1601),6),3)))</f>
        <v>154-901</v>
      </c>
      <c r="C1601" s="979" t="s">
        <v>37</v>
      </c>
      <c r="D1601" s="979">
        <v>3</v>
      </c>
      <c r="E1601" s="979">
        <v>2049</v>
      </c>
      <c r="F1601" s="979" t="s">
        <v>5178</v>
      </c>
      <c r="G1601" s="979" t="s">
        <v>5178</v>
      </c>
      <c r="H1601" s="979">
        <v>471642</v>
      </c>
      <c r="I1601" s="979">
        <v>0</v>
      </c>
      <c r="J1601" s="979">
        <v>0</v>
      </c>
      <c r="K1601" s="979">
        <v>0</v>
      </c>
      <c r="L1601" s="979">
        <v>0</v>
      </c>
      <c r="M1601" s="979">
        <v>599</v>
      </c>
    </row>
    <row r="1602" spans="1:13" ht="15">
      <c r="A1602" s="979" t="s">
        <v>3632</v>
      </c>
      <c r="B1602" s="1040" t="str">
        <f>CONCATENATE(LEFT(RIGHT(CONCATENATE("000",IFAData_TEA_1617!A1602),6),3),"-",(RIGHT(RIGHT(CONCATENATE("000",IFAData_TEA_1617!A1602),6),3)))</f>
        <v>154-903</v>
      </c>
      <c r="C1602" s="979" t="s">
        <v>562</v>
      </c>
      <c r="D1602" s="979">
        <v>9</v>
      </c>
      <c r="E1602" s="979">
        <v>2150</v>
      </c>
      <c r="F1602" s="979" t="s">
        <v>5182</v>
      </c>
      <c r="G1602" s="979" t="s">
        <v>5182</v>
      </c>
      <c r="H1602" s="979">
        <v>100000</v>
      </c>
      <c r="I1602" s="979">
        <v>0</v>
      </c>
      <c r="J1602" s="979">
        <v>0</v>
      </c>
      <c r="K1602" s="979">
        <v>0</v>
      </c>
      <c r="L1602" s="979">
        <v>0</v>
      </c>
      <c r="M1602" s="979">
        <v>599</v>
      </c>
    </row>
    <row r="1603" spans="1:13" ht="15">
      <c r="A1603" s="979" t="s">
        <v>3632</v>
      </c>
      <c r="B1603" s="1040" t="str">
        <f>CONCATENATE(LEFT(RIGHT(CONCATENATE("000",IFAData_TEA_1617!A1603),6),3),"-",(RIGHT(RIGHT(CONCATENATE("000",IFAData_TEA_1617!A1603),6),3)))</f>
        <v>154-903</v>
      </c>
      <c r="C1603" s="979" t="s">
        <v>562</v>
      </c>
      <c r="D1603" s="979">
        <v>9</v>
      </c>
      <c r="E1603" s="979">
        <v>2150</v>
      </c>
      <c r="F1603" s="979" t="s">
        <v>5182</v>
      </c>
      <c r="G1603" s="979" t="s">
        <v>5183</v>
      </c>
      <c r="H1603" s="979">
        <v>100000</v>
      </c>
      <c r="I1603" s="979">
        <v>356728</v>
      </c>
      <c r="J1603" s="979">
        <v>1</v>
      </c>
      <c r="K1603" s="979">
        <v>100000</v>
      </c>
      <c r="L1603" s="979">
        <v>100000</v>
      </c>
      <c r="M1603" s="979">
        <v>599</v>
      </c>
    </row>
    <row r="1604" spans="1:13" ht="15">
      <c r="A1604" s="979" t="s">
        <v>3633</v>
      </c>
      <c r="B1604" s="1040" t="str">
        <f>CONCATENATE(LEFT(RIGHT(CONCATENATE("000",IFAData_TEA_1617!A1604),6),3),"-",(RIGHT(RIGHT(CONCATENATE("000",IFAData_TEA_1617!A1604),6),3)))</f>
        <v>159-901</v>
      </c>
      <c r="C1604" s="979" t="s">
        <v>1062</v>
      </c>
      <c r="D1604" s="979">
        <v>1</v>
      </c>
      <c r="E1604" s="979">
        <v>1774</v>
      </c>
      <c r="F1604" s="979" t="s">
        <v>5184</v>
      </c>
      <c r="G1604" s="979" t="s">
        <v>6293</v>
      </c>
      <c r="H1604" s="979">
        <v>1514140</v>
      </c>
      <c r="I1604" s="979">
        <v>1375050</v>
      </c>
      <c r="J1604" s="979">
        <v>1</v>
      </c>
      <c r="K1604" s="979">
        <v>1514140</v>
      </c>
      <c r="L1604" s="979">
        <v>1375050</v>
      </c>
      <c r="M1604" s="979">
        <v>599</v>
      </c>
    </row>
    <row r="1605" spans="1:13" ht="15">
      <c r="A1605" s="979" t="s">
        <v>3633</v>
      </c>
      <c r="B1605" s="1040" t="str">
        <f>CONCATENATE(LEFT(RIGHT(CONCATENATE("000",IFAData_TEA_1617!A1605),6),3),"-",(RIGHT(RIGHT(CONCATENATE("000",IFAData_TEA_1617!A1605),6),3)))</f>
        <v>159-901</v>
      </c>
      <c r="C1605" s="979" t="s">
        <v>1062</v>
      </c>
      <c r="D1605" s="979">
        <v>4</v>
      </c>
      <c r="E1605" s="979">
        <v>1773</v>
      </c>
      <c r="F1605" s="979" t="s">
        <v>5186</v>
      </c>
      <c r="G1605" s="979" t="s">
        <v>6293</v>
      </c>
      <c r="H1605" s="979">
        <v>1415215</v>
      </c>
      <c r="I1605" s="979">
        <v>1274650</v>
      </c>
      <c r="J1605" s="979">
        <v>1</v>
      </c>
      <c r="K1605" s="979">
        <v>1415215</v>
      </c>
      <c r="L1605" s="979">
        <v>1274650</v>
      </c>
      <c r="M1605" s="979">
        <v>599</v>
      </c>
    </row>
    <row r="1606" spans="1:13" ht="15">
      <c r="A1606" s="979" t="s">
        <v>3633</v>
      </c>
      <c r="B1606" s="1040" t="str">
        <f>CONCATENATE(LEFT(RIGHT(CONCATENATE("000",IFAData_TEA_1617!A1606),6),3),"-",(RIGHT(RIGHT(CONCATENATE("000",IFAData_TEA_1617!A1606),6),3)))</f>
        <v>159-901</v>
      </c>
      <c r="C1606" s="979" t="s">
        <v>1062</v>
      </c>
      <c r="D1606" s="979">
        <v>9</v>
      </c>
      <c r="E1606" s="979">
        <v>1775</v>
      </c>
      <c r="F1606" s="979" t="s">
        <v>5187</v>
      </c>
      <c r="G1606" s="979" t="s">
        <v>6502</v>
      </c>
      <c r="H1606" s="979">
        <v>1955528</v>
      </c>
      <c r="I1606" s="979">
        <v>1039677</v>
      </c>
      <c r="J1606" s="979">
        <v>0.57570267236715544</v>
      </c>
      <c r="K1606" s="979">
        <v>1125802.6954887987</v>
      </c>
      <c r="L1606" s="979">
        <v>1039677</v>
      </c>
      <c r="M1606" s="979">
        <v>599</v>
      </c>
    </row>
    <row r="1607" spans="1:13" ht="15">
      <c r="A1607" s="979" t="s">
        <v>3633</v>
      </c>
      <c r="B1607" s="1040" t="str">
        <f>CONCATENATE(LEFT(RIGHT(CONCATENATE("000",IFAData_TEA_1617!A1607),6),3),"-",(RIGHT(RIGHT(CONCATENATE("000",IFAData_TEA_1617!A1607),6),3)))</f>
        <v>159-901</v>
      </c>
      <c r="C1607" s="979" t="s">
        <v>1062</v>
      </c>
      <c r="D1607" s="979">
        <v>1</v>
      </c>
      <c r="E1607" s="979">
        <v>1774</v>
      </c>
      <c r="F1607" s="979" t="s">
        <v>5184</v>
      </c>
      <c r="G1607" s="979" t="s">
        <v>5184</v>
      </c>
      <c r="H1607" s="979">
        <v>1514140</v>
      </c>
      <c r="I1607" s="979">
        <v>0</v>
      </c>
      <c r="J1607" s="979">
        <v>0</v>
      </c>
      <c r="K1607" s="979">
        <v>0</v>
      </c>
      <c r="L1607" s="979">
        <v>0</v>
      </c>
      <c r="M1607" s="979">
        <v>599</v>
      </c>
    </row>
    <row r="1608" spans="1:13" ht="15">
      <c r="A1608" s="979" t="s">
        <v>3633</v>
      </c>
      <c r="B1608" s="1040" t="str">
        <f>CONCATENATE(LEFT(RIGHT(CONCATENATE("000",IFAData_TEA_1617!A1608),6),3),"-",(RIGHT(RIGHT(CONCATENATE("000",IFAData_TEA_1617!A1608),6),3)))</f>
        <v>159-901</v>
      </c>
      <c r="C1608" s="979" t="s">
        <v>1062</v>
      </c>
      <c r="D1608" s="979">
        <v>1</v>
      </c>
      <c r="E1608" s="979">
        <v>1774</v>
      </c>
      <c r="F1608" s="979" t="s">
        <v>5184</v>
      </c>
      <c r="G1608" s="979" t="s">
        <v>5185</v>
      </c>
      <c r="H1608" s="979">
        <v>1514140</v>
      </c>
      <c r="I1608" s="979">
        <v>0</v>
      </c>
      <c r="J1608" s="979">
        <v>0</v>
      </c>
      <c r="K1608" s="979">
        <v>0</v>
      </c>
      <c r="L1608" s="979">
        <v>0</v>
      </c>
      <c r="M1608" s="979">
        <v>599</v>
      </c>
    </row>
    <row r="1609" spans="1:13" ht="15">
      <c r="A1609" s="979" t="s">
        <v>3633</v>
      </c>
      <c r="B1609" s="1040" t="str">
        <f>CONCATENATE(LEFT(RIGHT(CONCATENATE("000",IFAData_TEA_1617!A1609),6),3),"-",(RIGHT(RIGHT(CONCATENATE("000",IFAData_TEA_1617!A1609),6),3)))</f>
        <v>159-901</v>
      </c>
      <c r="C1609" s="979" t="s">
        <v>1062</v>
      </c>
      <c r="D1609" s="979">
        <v>4</v>
      </c>
      <c r="E1609" s="979">
        <v>1773</v>
      </c>
      <c r="F1609" s="979" t="s">
        <v>5186</v>
      </c>
      <c r="G1609" s="979" t="s">
        <v>5186</v>
      </c>
      <c r="H1609" s="979">
        <v>1415215</v>
      </c>
      <c r="I1609" s="979">
        <v>0</v>
      </c>
      <c r="J1609" s="979">
        <v>0</v>
      </c>
      <c r="K1609" s="979">
        <v>0</v>
      </c>
      <c r="L1609" s="979">
        <v>0</v>
      </c>
      <c r="M1609" s="979">
        <v>599</v>
      </c>
    </row>
    <row r="1610" spans="1:13" ht="15">
      <c r="A1610" s="979" t="s">
        <v>3633</v>
      </c>
      <c r="B1610" s="1040" t="str">
        <f>CONCATENATE(LEFT(RIGHT(CONCATENATE("000",IFAData_TEA_1617!A1610),6),3),"-",(RIGHT(RIGHT(CONCATENATE("000",IFAData_TEA_1617!A1610),6),3)))</f>
        <v>159-901</v>
      </c>
      <c r="C1610" s="979" t="s">
        <v>1062</v>
      </c>
      <c r="D1610" s="979">
        <v>4</v>
      </c>
      <c r="E1610" s="979">
        <v>1773</v>
      </c>
      <c r="F1610" s="979" t="s">
        <v>5186</v>
      </c>
      <c r="G1610" s="979" t="s">
        <v>5185</v>
      </c>
      <c r="H1610" s="979">
        <v>1415215</v>
      </c>
      <c r="I1610" s="979">
        <v>0</v>
      </c>
      <c r="J1610" s="979">
        <v>0</v>
      </c>
      <c r="K1610" s="979">
        <v>0</v>
      </c>
      <c r="L1610" s="979">
        <v>0</v>
      </c>
      <c r="M1610" s="979">
        <v>599</v>
      </c>
    </row>
    <row r="1611" spans="1:13" ht="15">
      <c r="A1611" s="979" t="s">
        <v>3633</v>
      </c>
      <c r="B1611" s="1040" t="str">
        <f>CONCATENATE(LEFT(RIGHT(CONCATENATE("000",IFAData_TEA_1617!A1611),6),3),"-",(RIGHT(RIGHT(CONCATENATE("000",IFAData_TEA_1617!A1611),6),3)))</f>
        <v>159-901</v>
      </c>
      <c r="C1611" s="979" t="s">
        <v>1062</v>
      </c>
      <c r="D1611" s="979">
        <v>9</v>
      </c>
      <c r="E1611" s="979">
        <v>1775</v>
      </c>
      <c r="F1611" s="979" t="s">
        <v>5187</v>
      </c>
      <c r="G1611" s="979" t="s">
        <v>5187</v>
      </c>
      <c r="H1611" s="979">
        <v>1955528</v>
      </c>
      <c r="I1611" s="979">
        <v>766250</v>
      </c>
      <c r="J1611" s="979">
        <v>0.4242973276328445</v>
      </c>
      <c r="K1611" s="979">
        <v>829725.3045112011</v>
      </c>
      <c r="L1611" s="979">
        <v>766250</v>
      </c>
      <c r="M1611" s="979">
        <v>599</v>
      </c>
    </row>
    <row r="1612" spans="1:13" ht="15">
      <c r="A1612" s="979" t="s">
        <v>3634</v>
      </c>
      <c r="B1612" s="1040" t="str">
        <f>CONCATENATE(LEFT(RIGHT(CONCATENATE("000",IFAData_TEA_1617!A1612),6),3),"-",(RIGHT(RIGHT(CONCATENATE("000",IFAData_TEA_1617!A1612),6),3)))</f>
        <v>160-901</v>
      </c>
      <c r="C1612" s="979" t="s">
        <v>1854</v>
      </c>
      <c r="D1612" s="979">
        <v>2</v>
      </c>
      <c r="E1612" s="979">
        <v>1632</v>
      </c>
      <c r="F1612" s="979" t="s">
        <v>5188</v>
      </c>
      <c r="G1612" s="979" t="s">
        <v>5189</v>
      </c>
      <c r="H1612" s="979">
        <v>348110</v>
      </c>
      <c r="I1612" s="979">
        <v>0</v>
      </c>
      <c r="J1612" s="979">
        <v>0</v>
      </c>
      <c r="K1612" s="979">
        <v>0</v>
      </c>
      <c r="L1612" s="979">
        <v>0</v>
      </c>
      <c r="M1612" s="979">
        <v>599</v>
      </c>
    </row>
    <row r="1613" spans="1:13" ht="15">
      <c r="A1613" s="979" t="s">
        <v>3634</v>
      </c>
      <c r="B1613" s="1040" t="str">
        <f>CONCATENATE(LEFT(RIGHT(CONCATENATE("000",IFAData_TEA_1617!A1613),6),3),"-",(RIGHT(RIGHT(CONCATENATE("000",IFAData_TEA_1617!A1613),6),3)))</f>
        <v>160-901</v>
      </c>
      <c r="C1613" s="979" t="s">
        <v>1854</v>
      </c>
      <c r="D1613" s="979">
        <v>9</v>
      </c>
      <c r="E1613" s="979">
        <v>1631</v>
      </c>
      <c r="F1613" s="979" t="s">
        <v>5192</v>
      </c>
      <c r="G1613" s="979" t="s">
        <v>5192</v>
      </c>
      <c r="H1613" s="979">
        <v>309622</v>
      </c>
      <c r="I1613" s="979">
        <v>0</v>
      </c>
      <c r="J1613" s="979">
        <v>0</v>
      </c>
      <c r="K1613" s="979">
        <v>0</v>
      </c>
      <c r="L1613" s="979">
        <v>0</v>
      </c>
      <c r="M1613" s="979">
        <v>599</v>
      </c>
    </row>
    <row r="1614" spans="1:13" ht="15">
      <c r="A1614" s="979" t="s">
        <v>3634</v>
      </c>
      <c r="B1614" s="1040" t="str">
        <f>CONCATENATE(LEFT(RIGHT(CONCATENATE("000",IFAData_TEA_1617!A1614),6),3),"-",(RIGHT(RIGHT(CONCATENATE("000",IFAData_TEA_1617!A1614),6),3)))</f>
        <v>160-901</v>
      </c>
      <c r="C1614" s="979" t="s">
        <v>1854</v>
      </c>
      <c r="D1614" s="979">
        <v>2</v>
      </c>
      <c r="E1614" s="979">
        <v>1632</v>
      </c>
      <c r="F1614" s="979" t="s">
        <v>5188</v>
      </c>
      <c r="G1614" s="979" t="s">
        <v>5188</v>
      </c>
      <c r="H1614" s="979">
        <v>348110</v>
      </c>
      <c r="I1614" s="979">
        <v>0</v>
      </c>
      <c r="J1614" s="979">
        <v>0</v>
      </c>
      <c r="K1614" s="979">
        <v>0</v>
      </c>
      <c r="L1614" s="979">
        <v>0</v>
      </c>
      <c r="M1614" s="979">
        <v>599</v>
      </c>
    </row>
    <row r="1615" spans="1:13" ht="15">
      <c r="A1615" s="979" t="s">
        <v>3634</v>
      </c>
      <c r="B1615" s="1040" t="str">
        <f>CONCATENATE(LEFT(RIGHT(CONCATENATE("000",IFAData_TEA_1617!A1615),6),3),"-",(RIGHT(RIGHT(CONCATENATE("000",IFAData_TEA_1617!A1615),6),3)))</f>
        <v>160-901</v>
      </c>
      <c r="C1615" s="979" t="s">
        <v>1854</v>
      </c>
      <c r="D1615" s="979">
        <v>2</v>
      </c>
      <c r="E1615" s="979">
        <v>1632</v>
      </c>
      <c r="F1615" s="979" t="s">
        <v>5188</v>
      </c>
      <c r="G1615" s="979" t="s">
        <v>5190</v>
      </c>
      <c r="H1615" s="979">
        <v>348110</v>
      </c>
      <c r="I1615" s="979">
        <v>56702</v>
      </c>
      <c r="J1615" s="979">
        <v>9.0213673173913739E-2</v>
      </c>
      <c r="K1615" s="979">
        <v>31404.281768571112</v>
      </c>
      <c r="L1615" s="979">
        <v>31404.281768571112</v>
      </c>
      <c r="M1615" s="979">
        <v>599</v>
      </c>
    </row>
    <row r="1616" spans="1:13" ht="15">
      <c r="A1616" s="979" t="s">
        <v>3634</v>
      </c>
      <c r="B1616" s="1040" t="str">
        <f>CONCATENATE(LEFT(RIGHT(CONCATENATE("000",IFAData_TEA_1617!A1616),6),3),"-",(RIGHT(RIGHT(CONCATENATE("000",IFAData_TEA_1617!A1616),6),3)))</f>
        <v>160-901</v>
      </c>
      <c r="C1616" s="979" t="s">
        <v>1854</v>
      </c>
      <c r="D1616" s="979">
        <v>2</v>
      </c>
      <c r="E1616" s="979">
        <v>1632</v>
      </c>
      <c r="F1616" s="979" t="s">
        <v>5188</v>
      </c>
      <c r="G1616" s="979" t="s">
        <v>5191</v>
      </c>
      <c r="H1616" s="979">
        <v>348110</v>
      </c>
      <c r="I1616" s="979">
        <v>571828</v>
      </c>
      <c r="J1616" s="979">
        <v>0.90978632682608629</v>
      </c>
      <c r="K1616" s="979">
        <v>316705.71823142888</v>
      </c>
      <c r="L1616" s="979">
        <v>316705.71823142888</v>
      </c>
      <c r="M1616" s="979">
        <v>599</v>
      </c>
    </row>
    <row r="1617" spans="1:13" ht="15">
      <c r="A1617" s="979" t="s">
        <v>3634</v>
      </c>
      <c r="B1617" s="1040" t="str">
        <f>CONCATENATE(LEFT(RIGHT(CONCATENATE("000",IFAData_TEA_1617!A1617),6),3),"-",(RIGHT(RIGHT(CONCATENATE("000",IFAData_TEA_1617!A1617),6),3)))</f>
        <v>160-901</v>
      </c>
      <c r="C1617" s="979" t="s">
        <v>1854</v>
      </c>
      <c r="D1617" s="979">
        <v>9</v>
      </c>
      <c r="E1617" s="979">
        <v>1631</v>
      </c>
      <c r="F1617" s="979" t="s">
        <v>5192</v>
      </c>
      <c r="G1617" s="979" t="s">
        <v>6294</v>
      </c>
      <c r="H1617" s="979">
        <v>309622</v>
      </c>
      <c r="I1617" s="979">
        <v>766877</v>
      </c>
      <c r="J1617" s="979">
        <v>1</v>
      </c>
      <c r="K1617" s="979">
        <v>309622</v>
      </c>
      <c r="L1617" s="979">
        <v>309622</v>
      </c>
      <c r="M1617" s="979">
        <v>599</v>
      </c>
    </row>
    <row r="1618" spans="1:13" ht="15">
      <c r="A1618" s="979" t="s">
        <v>3635</v>
      </c>
      <c r="B1618" s="1040" t="str">
        <f>CONCATENATE(LEFT(RIGHT(CONCATENATE("000",IFAData_TEA_1617!A1618),6),3),"-",(RIGHT(RIGHT(CONCATENATE("000",IFAData_TEA_1617!A1618),6),3)))</f>
        <v>160-905</v>
      </c>
      <c r="C1618" s="979" t="s">
        <v>2228</v>
      </c>
      <c r="D1618" s="979">
        <v>6</v>
      </c>
      <c r="E1618" s="979">
        <v>2032</v>
      </c>
      <c r="F1618" s="979" t="s">
        <v>5193</v>
      </c>
      <c r="G1618" s="979" t="s">
        <v>5193</v>
      </c>
      <c r="H1618" s="979">
        <v>100000</v>
      </c>
      <c r="I1618" s="979">
        <v>95188</v>
      </c>
      <c r="J1618" s="979">
        <v>1</v>
      </c>
      <c r="K1618" s="979">
        <v>100000</v>
      </c>
      <c r="L1618" s="979">
        <v>95188</v>
      </c>
      <c r="M1618" s="979">
        <v>599</v>
      </c>
    </row>
    <row r="1619" spans="1:13" ht="15">
      <c r="A1619" s="979" t="s">
        <v>3636</v>
      </c>
      <c r="B1619" s="1040" t="str">
        <f>CONCATENATE(LEFT(RIGHT(CONCATENATE("000",IFAData_TEA_1617!A1619),6),3),"-",(RIGHT(RIGHT(CONCATENATE("000",IFAData_TEA_1617!A1619),6),3)))</f>
        <v>161-901</v>
      </c>
      <c r="C1619" s="979" t="s">
        <v>417</v>
      </c>
      <c r="D1619" s="979">
        <v>5</v>
      </c>
      <c r="E1619" s="979">
        <v>1731</v>
      </c>
      <c r="F1619" s="979" t="s">
        <v>5194</v>
      </c>
      <c r="G1619" s="979" t="s">
        <v>6295</v>
      </c>
      <c r="H1619" s="979">
        <v>257868</v>
      </c>
      <c r="I1619" s="979">
        <v>227800</v>
      </c>
      <c r="J1619" s="979">
        <v>1</v>
      </c>
      <c r="K1619" s="979">
        <v>257868</v>
      </c>
      <c r="L1619" s="979">
        <v>227800</v>
      </c>
      <c r="M1619" s="979">
        <v>599</v>
      </c>
    </row>
    <row r="1620" spans="1:13" ht="15">
      <c r="A1620" s="979" t="s">
        <v>3636</v>
      </c>
      <c r="B1620" s="1040" t="str">
        <f>CONCATENATE(LEFT(RIGHT(CONCATENATE("000",IFAData_TEA_1617!A1620),6),3),"-",(RIGHT(RIGHT(CONCATENATE("000",IFAData_TEA_1617!A1620),6),3)))</f>
        <v>161-901</v>
      </c>
      <c r="C1620" s="979" t="s">
        <v>417</v>
      </c>
      <c r="D1620" s="979">
        <v>5</v>
      </c>
      <c r="E1620" s="979">
        <v>1731</v>
      </c>
      <c r="F1620" s="979" t="s">
        <v>5194</v>
      </c>
      <c r="G1620" s="979" t="s">
        <v>5195</v>
      </c>
      <c r="H1620" s="979">
        <v>257868</v>
      </c>
      <c r="I1620" s="979">
        <v>0</v>
      </c>
      <c r="J1620" s="979">
        <v>0</v>
      </c>
      <c r="K1620" s="979">
        <v>0</v>
      </c>
      <c r="L1620" s="979">
        <v>0</v>
      </c>
      <c r="M1620" s="979">
        <v>599</v>
      </c>
    </row>
    <row r="1621" spans="1:13" ht="15">
      <c r="A1621" s="979" t="s">
        <v>3636</v>
      </c>
      <c r="B1621" s="1040" t="str">
        <f>CONCATENATE(LEFT(RIGHT(CONCATENATE("000",IFAData_TEA_1617!A1621),6),3),"-",(RIGHT(RIGHT(CONCATENATE("000",IFAData_TEA_1617!A1621),6),3)))</f>
        <v>161-901</v>
      </c>
      <c r="C1621" s="979" t="s">
        <v>417</v>
      </c>
      <c r="D1621" s="979">
        <v>5</v>
      </c>
      <c r="E1621" s="979">
        <v>1731</v>
      </c>
      <c r="F1621" s="979" t="s">
        <v>5194</v>
      </c>
      <c r="G1621" s="979" t="s">
        <v>5194</v>
      </c>
      <c r="H1621" s="979">
        <v>257868</v>
      </c>
      <c r="I1621" s="979">
        <v>0</v>
      </c>
      <c r="J1621" s="979">
        <v>0</v>
      </c>
      <c r="K1621" s="979">
        <v>0</v>
      </c>
      <c r="L1621" s="979">
        <v>0</v>
      </c>
      <c r="M1621" s="979">
        <v>599</v>
      </c>
    </row>
    <row r="1622" spans="1:13" ht="15">
      <c r="A1622" s="979" t="s">
        <v>3637</v>
      </c>
      <c r="B1622" s="1040" t="str">
        <f>CONCATENATE(LEFT(RIGHT(CONCATENATE("000",IFAData_TEA_1617!A1622),6),3),"-",(RIGHT(RIGHT(CONCATENATE("000",IFAData_TEA_1617!A1622),6),3)))</f>
        <v>161-906</v>
      </c>
      <c r="C1622" s="979" t="s">
        <v>1899</v>
      </c>
      <c r="D1622" s="979">
        <v>5</v>
      </c>
      <c r="E1622" s="979">
        <v>1988</v>
      </c>
      <c r="F1622" s="979" t="s">
        <v>5196</v>
      </c>
      <c r="G1622" s="979" t="s">
        <v>5197</v>
      </c>
      <c r="H1622" s="979">
        <v>575000</v>
      </c>
      <c r="I1622" s="979">
        <v>0</v>
      </c>
      <c r="J1622" s="979">
        <v>0</v>
      </c>
      <c r="K1622" s="979">
        <v>0</v>
      </c>
      <c r="L1622" s="979">
        <v>0</v>
      </c>
      <c r="M1622" s="979">
        <v>599</v>
      </c>
    </row>
    <row r="1623" spans="1:13" ht="15">
      <c r="A1623" s="979" t="s">
        <v>3637</v>
      </c>
      <c r="B1623" s="1040" t="str">
        <f>CONCATENATE(LEFT(RIGHT(CONCATENATE("000",IFAData_TEA_1617!A1623),6),3),"-",(RIGHT(RIGHT(CONCATENATE("000",IFAData_TEA_1617!A1623),6),3)))</f>
        <v>161-906</v>
      </c>
      <c r="C1623" s="979" t="s">
        <v>1899</v>
      </c>
      <c r="D1623" s="979">
        <v>5</v>
      </c>
      <c r="E1623" s="979">
        <v>1988</v>
      </c>
      <c r="F1623" s="979" t="s">
        <v>5196</v>
      </c>
      <c r="G1623" s="979" t="s">
        <v>5196</v>
      </c>
      <c r="H1623" s="979">
        <v>575000</v>
      </c>
      <c r="I1623" s="979">
        <v>0</v>
      </c>
      <c r="J1623" s="979">
        <v>0</v>
      </c>
      <c r="K1623" s="979">
        <v>0</v>
      </c>
      <c r="L1623" s="979">
        <v>0</v>
      </c>
      <c r="M1623" s="979">
        <v>599</v>
      </c>
    </row>
    <row r="1624" spans="1:13" ht="15">
      <c r="A1624" s="979" t="s">
        <v>3637</v>
      </c>
      <c r="B1624" s="1040" t="str">
        <f>CONCATENATE(LEFT(RIGHT(CONCATENATE("000",IFAData_TEA_1617!A1624),6),3),"-",(RIGHT(RIGHT(CONCATENATE("000",IFAData_TEA_1617!A1624),6),3)))</f>
        <v>161-906</v>
      </c>
      <c r="C1624" s="979" t="s">
        <v>1899</v>
      </c>
      <c r="D1624" s="979">
        <v>10</v>
      </c>
      <c r="E1624" s="979">
        <v>1989</v>
      </c>
      <c r="F1624" s="979" t="s">
        <v>5198</v>
      </c>
      <c r="G1624" s="979" t="s">
        <v>5198</v>
      </c>
      <c r="H1624" s="979">
        <v>634429</v>
      </c>
      <c r="I1624" s="979">
        <v>1018575</v>
      </c>
      <c r="J1624" s="979">
        <v>1</v>
      </c>
      <c r="K1624" s="979">
        <v>634429</v>
      </c>
      <c r="L1624" s="979">
        <v>634429</v>
      </c>
      <c r="M1624" s="979">
        <v>599</v>
      </c>
    </row>
    <row r="1625" spans="1:13" ht="15">
      <c r="A1625" s="979" t="s">
        <v>3637</v>
      </c>
      <c r="B1625" s="1040" t="str">
        <f>CONCATENATE(LEFT(RIGHT(CONCATENATE("000",IFAData_TEA_1617!A1625),6),3),"-",(RIGHT(RIGHT(CONCATENATE("000",IFAData_TEA_1617!A1625),6),3)))</f>
        <v>161-906</v>
      </c>
      <c r="C1625" s="979" t="s">
        <v>1899</v>
      </c>
      <c r="D1625" s="979">
        <v>5</v>
      </c>
      <c r="E1625" s="979">
        <v>1988</v>
      </c>
      <c r="F1625" s="979" t="s">
        <v>5196</v>
      </c>
      <c r="G1625" s="979" t="s">
        <v>6503</v>
      </c>
      <c r="H1625" s="979">
        <v>575000</v>
      </c>
      <c r="I1625" s="979">
        <v>481550</v>
      </c>
      <c r="J1625" s="979">
        <v>1</v>
      </c>
      <c r="K1625" s="979">
        <v>575000</v>
      </c>
      <c r="L1625" s="979">
        <v>481550</v>
      </c>
      <c r="M1625" s="979">
        <v>599</v>
      </c>
    </row>
    <row r="1626" spans="1:13" ht="15">
      <c r="A1626" s="979" t="s">
        <v>3638</v>
      </c>
      <c r="B1626" s="1040" t="str">
        <f>CONCATENATE(LEFT(RIGHT(CONCATENATE("000",IFAData_TEA_1617!A1626),6),3),"-",(RIGHT(RIGHT(CONCATENATE("000",IFAData_TEA_1617!A1626),6),3)))</f>
        <v>161-907</v>
      </c>
      <c r="C1626" s="979" t="s">
        <v>1257</v>
      </c>
      <c r="D1626" s="979">
        <v>4</v>
      </c>
      <c r="E1626" s="979">
        <v>2036</v>
      </c>
      <c r="F1626" s="979" t="s">
        <v>5199</v>
      </c>
      <c r="G1626" s="979" t="s">
        <v>6296</v>
      </c>
      <c r="H1626" s="979">
        <v>336827</v>
      </c>
      <c r="I1626" s="979">
        <v>575600</v>
      </c>
      <c r="J1626" s="979">
        <v>1</v>
      </c>
      <c r="K1626" s="979">
        <v>336827</v>
      </c>
      <c r="L1626" s="979">
        <v>336827</v>
      </c>
      <c r="M1626" s="979">
        <v>599</v>
      </c>
    </row>
    <row r="1627" spans="1:13" ht="15">
      <c r="A1627" s="979" t="s">
        <v>3638</v>
      </c>
      <c r="B1627" s="1040" t="str">
        <f>CONCATENATE(LEFT(RIGHT(CONCATENATE("000",IFAData_TEA_1617!A1627),6),3),"-",(RIGHT(RIGHT(CONCATENATE("000",IFAData_TEA_1617!A1627),6),3)))</f>
        <v>161-907</v>
      </c>
      <c r="C1627" s="979" t="s">
        <v>1257</v>
      </c>
      <c r="D1627" s="979">
        <v>6</v>
      </c>
      <c r="E1627" s="979">
        <v>2035</v>
      </c>
      <c r="F1627" s="979" t="s">
        <v>5201</v>
      </c>
      <c r="G1627" s="979" t="s">
        <v>5202</v>
      </c>
      <c r="H1627" s="979">
        <v>330640</v>
      </c>
      <c r="I1627" s="979">
        <v>0</v>
      </c>
      <c r="J1627" s="979">
        <v>0</v>
      </c>
      <c r="K1627" s="979">
        <v>0</v>
      </c>
      <c r="L1627" s="979">
        <v>0</v>
      </c>
      <c r="M1627" s="979">
        <v>599</v>
      </c>
    </row>
    <row r="1628" spans="1:13" ht="15">
      <c r="A1628" s="979" t="s">
        <v>3638</v>
      </c>
      <c r="B1628" s="1040" t="str">
        <f>CONCATENATE(LEFT(RIGHT(CONCATENATE("000",IFAData_TEA_1617!A1628),6),3),"-",(RIGHT(RIGHT(CONCATENATE("000",IFAData_TEA_1617!A1628),6),3)))</f>
        <v>161-907</v>
      </c>
      <c r="C1628" s="979" t="s">
        <v>1257</v>
      </c>
      <c r="D1628" s="979">
        <v>6</v>
      </c>
      <c r="E1628" s="979">
        <v>2035</v>
      </c>
      <c r="F1628" s="979" t="s">
        <v>5201</v>
      </c>
      <c r="G1628" s="979" t="s">
        <v>5203</v>
      </c>
      <c r="H1628" s="979">
        <v>330640</v>
      </c>
      <c r="I1628" s="979">
        <v>247570</v>
      </c>
      <c r="J1628" s="979">
        <v>0.71319102353585118</v>
      </c>
      <c r="K1628" s="979">
        <v>235809.48002189383</v>
      </c>
      <c r="L1628" s="979">
        <v>235809.48002189383</v>
      </c>
      <c r="M1628" s="979">
        <v>599</v>
      </c>
    </row>
    <row r="1629" spans="1:13" ht="15">
      <c r="A1629" s="979" t="s">
        <v>3638</v>
      </c>
      <c r="B1629" s="1040" t="str">
        <f>CONCATENATE(LEFT(RIGHT(CONCATENATE("000",IFAData_TEA_1617!A1629),6),3),"-",(RIGHT(RIGHT(CONCATENATE("000",IFAData_TEA_1617!A1629),6),3)))</f>
        <v>161-907</v>
      </c>
      <c r="C1629" s="979" t="s">
        <v>1257</v>
      </c>
      <c r="D1629" s="979">
        <v>4</v>
      </c>
      <c r="E1629" s="979">
        <v>2036</v>
      </c>
      <c r="F1629" s="979" t="s">
        <v>5199</v>
      </c>
      <c r="G1629" s="979" t="s">
        <v>5199</v>
      </c>
      <c r="H1629" s="979">
        <v>336827</v>
      </c>
      <c r="I1629" s="979">
        <v>0</v>
      </c>
      <c r="J1629" s="979">
        <v>0</v>
      </c>
      <c r="K1629" s="979">
        <v>0</v>
      </c>
      <c r="L1629" s="979">
        <v>0</v>
      </c>
      <c r="M1629" s="979">
        <v>599</v>
      </c>
    </row>
    <row r="1630" spans="1:13" ht="15">
      <c r="A1630" s="979" t="s">
        <v>3638</v>
      </c>
      <c r="B1630" s="1040" t="str">
        <f>CONCATENATE(LEFT(RIGHT(CONCATENATE("000",IFAData_TEA_1617!A1630),6),3),"-",(RIGHT(RIGHT(CONCATENATE("000",IFAData_TEA_1617!A1630),6),3)))</f>
        <v>161-907</v>
      </c>
      <c r="C1630" s="979" t="s">
        <v>1257</v>
      </c>
      <c r="D1630" s="979">
        <v>4</v>
      </c>
      <c r="E1630" s="979">
        <v>2036</v>
      </c>
      <c r="F1630" s="979" t="s">
        <v>5199</v>
      </c>
      <c r="G1630" s="979" t="s">
        <v>5200</v>
      </c>
      <c r="H1630" s="979">
        <v>336827</v>
      </c>
      <c r="I1630" s="979">
        <v>0</v>
      </c>
      <c r="J1630" s="979">
        <v>0</v>
      </c>
      <c r="K1630" s="979">
        <v>0</v>
      </c>
      <c r="L1630" s="979">
        <v>0</v>
      </c>
      <c r="M1630" s="979">
        <v>599</v>
      </c>
    </row>
    <row r="1631" spans="1:13" ht="15">
      <c r="A1631" s="979" t="s">
        <v>3638</v>
      </c>
      <c r="B1631" s="1040" t="str">
        <f>CONCATENATE(LEFT(RIGHT(CONCATENATE("000",IFAData_TEA_1617!A1631),6),3),"-",(RIGHT(RIGHT(CONCATENATE("000",IFAData_TEA_1617!A1631),6),3)))</f>
        <v>161-907</v>
      </c>
      <c r="C1631" s="979" t="s">
        <v>1257</v>
      </c>
      <c r="D1631" s="979">
        <v>6</v>
      </c>
      <c r="E1631" s="979">
        <v>2035</v>
      </c>
      <c r="F1631" s="979" t="s">
        <v>5201</v>
      </c>
      <c r="G1631" s="979" t="s">
        <v>5201</v>
      </c>
      <c r="H1631" s="979">
        <v>330640</v>
      </c>
      <c r="I1631" s="979">
        <v>0</v>
      </c>
      <c r="J1631" s="979">
        <v>0</v>
      </c>
      <c r="K1631" s="979">
        <v>0</v>
      </c>
      <c r="L1631" s="979">
        <v>0</v>
      </c>
      <c r="M1631" s="979">
        <v>599</v>
      </c>
    </row>
    <row r="1632" spans="1:13" ht="15">
      <c r="A1632" s="979" t="s">
        <v>3638</v>
      </c>
      <c r="B1632" s="1040" t="str">
        <f>CONCATENATE(LEFT(RIGHT(CONCATENATE("000",IFAData_TEA_1617!A1632),6),3),"-",(RIGHT(RIGHT(CONCATENATE("000",IFAData_TEA_1617!A1632),6),3)))</f>
        <v>161-907</v>
      </c>
      <c r="C1632" s="979" t="s">
        <v>1257</v>
      </c>
      <c r="D1632" s="979">
        <v>6</v>
      </c>
      <c r="E1632" s="979">
        <v>2035</v>
      </c>
      <c r="F1632" s="979" t="s">
        <v>5201</v>
      </c>
      <c r="G1632" s="979" t="s">
        <v>6504</v>
      </c>
      <c r="H1632" s="979">
        <v>330640</v>
      </c>
      <c r="I1632" s="979">
        <v>99560</v>
      </c>
      <c r="J1632" s="979">
        <v>0.28680897646414888</v>
      </c>
      <c r="K1632" s="979">
        <v>94830.519978106182</v>
      </c>
      <c r="L1632" s="979">
        <v>94830.519978106182</v>
      </c>
      <c r="M1632" s="979">
        <v>599</v>
      </c>
    </row>
    <row r="1633" spans="1:13" ht="15">
      <c r="A1633" s="979" t="s">
        <v>3640</v>
      </c>
      <c r="B1633" s="1040" t="str">
        <f>CONCATENATE(LEFT(RIGHT(CONCATENATE("000",IFAData_TEA_1617!A1633),6),3),"-",(RIGHT(RIGHT(CONCATENATE("000",IFAData_TEA_1617!A1633),6),3)))</f>
        <v>161-909</v>
      </c>
      <c r="C1633" s="979" t="s">
        <v>819</v>
      </c>
      <c r="D1633" s="979">
        <v>5</v>
      </c>
      <c r="E1633" s="979">
        <v>2081</v>
      </c>
      <c r="F1633" s="979" t="s">
        <v>5206</v>
      </c>
      <c r="G1633" s="979" t="s">
        <v>5207</v>
      </c>
      <c r="H1633" s="979">
        <v>241790</v>
      </c>
      <c r="I1633" s="979">
        <v>315847</v>
      </c>
      <c r="J1633" s="979">
        <v>0.52305106358314502</v>
      </c>
      <c r="K1633" s="979">
        <v>126468.51666376863</v>
      </c>
      <c r="L1633" s="979">
        <v>126468.51666376863</v>
      </c>
      <c r="M1633" s="979">
        <v>599</v>
      </c>
    </row>
    <row r="1634" spans="1:13" ht="15">
      <c r="A1634" s="979" t="s">
        <v>3640</v>
      </c>
      <c r="B1634" s="1040" t="str">
        <f>CONCATENATE(LEFT(RIGHT(CONCATENATE("000",IFAData_TEA_1617!A1634),6),3),"-",(RIGHT(RIGHT(CONCATENATE("000",IFAData_TEA_1617!A1634),6),3)))</f>
        <v>161-909</v>
      </c>
      <c r="C1634" s="979" t="s">
        <v>819</v>
      </c>
      <c r="D1634" s="979">
        <v>5</v>
      </c>
      <c r="E1634" s="979">
        <v>2081</v>
      </c>
      <c r="F1634" s="979" t="s">
        <v>5206</v>
      </c>
      <c r="G1634" s="979" t="s">
        <v>5206</v>
      </c>
      <c r="H1634" s="979">
        <v>241790</v>
      </c>
      <c r="I1634" s="979">
        <v>288008</v>
      </c>
      <c r="J1634" s="979">
        <v>0.47694893641685504</v>
      </c>
      <c r="K1634" s="979">
        <v>115321.48333623138</v>
      </c>
      <c r="L1634" s="979">
        <v>115321.48333623138</v>
      </c>
      <c r="M1634" s="979">
        <v>599</v>
      </c>
    </row>
    <row r="1635" spans="1:13" ht="15">
      <c r="A1635" s="979" t="s">
        <v>3641</v>
      </c>
      <c r="B1635" s="1040" t="str">
        <f>CONCATENATE(LEFT(RIGHT(CONCATENATE("000",IFAData_TEA_1617!A1635),6),3),"-",(RIGHT(RIGHT(CONCATENATE("000",IFAData_TEA_1617!A1635),6),3)))</f>
        <v>161-910</v>
      </c>
      <c r="C1635" s="979" t="s">
        <v>1750</v>
      </c>
      <c r="D1635" s="979">
        <v>10</v>
      </c>
      <c r="E1635" s="979">
        <v>2119</v>
      </c>
      <c r="F1635" s="979" t="s">
        <v>5208</v>
      </c>
      <c r="G1635" s="979" t="s">
        <v>5208</v>
      </c>
      <c r="H1635" s="979">
        <v>185967</v>
      </c>
      <c r="I1635" s="979">
        <v>726744</v>
      </c>
      <c r="J1635" s="979">
        <v>1</v>
      </c>
      <c r="K1635" s="979">
        <v>185967</v>
      </c>
      <c r="L1635" s="979">
        <v>185967</v>
      </c>
      <c r="M1635" s="979">
        <v>599</v>
      </c>
    </row>
    <row r="1636" spans="1:13" ht="15">
      <c r="A1636" s="979" t="s">
        <v>3642</v>
      </c>
      <c r="B1636" s="1040" t="str">
        <f>CONCATENATE(LEFT(RIGHT(CONCATENATE("000",IFAData_TEA_1617!A1636),6),3),"-",(RIGHT(RIGHT(CONCATENATE("000",IFAData_TEA_1617!A1636),6),3)))</f>
        <v>161-912</v>
      </c>
      <c r="C1636" s="979" t="s">
        <v>1740</v>
      </c>
      <c r="D1636" s="979">
        <v>2</v>
      </c>
      <c r="E1636" s="979">
        <v>2238</v>
      </c>
      <c r="F1636" s="979" t="s">
        <v>5209</v>
      </c>
      <c r="G1636" s="979" t="s">
        <v>5209</v>
      </c>
      <c r="H1636" s="979">
        <v>154071</v>
      </c>
      <c r="I1636" s="979">
        <v>0</v>
      </c>
      <c r="J1636" s="979">
        <v>0</v>
      </c>
      <c r="K1636" s="979">
        <v>0</v>
      </c>
      <c r="L1636" s="979">
        <v>0</v>
      </c>
      <c r="M1636" s="979">
        <v>599</v>
      </c>
    </row>
    <row r="1637" spans="1:13" ht="15">
      <c r="A1637" s="979" t="s">
        <v>3642</v>
      </c>
      <c r="B1637" s="1040" t="str">
        <f>CONCATENATE(LEFT(RIGHT(CONCATENATE("000",IFAData_TEA_1617!A1637),6),3),"-",(RIGHT(RIGHT(CONCATENATE("000",IFAData_TEA_1617!A1637),6),3)))</f>
        <v>161-912</v>
      </c>
      <c r="C1637" s="979" t="s">
        <v>1740</v>
      </c>
      <c r="D1637" s="979">
        <v>10</v>
      </c>
      <c r="E1637" s="979">
        <v>2237</v>
      </c>
      <c r="F1637" s="979" t="s">
        <v>5212</v>
      </c>
      <c r="G1637" s="979" t="s">
        <v>5212</v>
      </c>
      <c r="H1637" s="979">
        <v>131250</v>
      </c>
      <c r="I1637" s="979">
        <v>900000</v>
      </c>
      <c r="J1637" s="979">
        <v>1</v>
      </c>
      <c r="K1637" s="979">
        <v>131250</v>
      </c>
      <c r="L1637" s="979">
        <v>131250</v>
      </c>
      <c r="M1637" s="979">
        <v>599</v>
      </c>
    </row>
    <row r="1638" spans="1:13" ht="15">
      <c r="A1638" s="979" t="s">
        <v>3642</v>
      </c>
      <c r="B1638" s="1040" t="str">
        <f>CONCATENATE(LEFT(RIGHT(CONCATENATE("000",IFAData_TEA_1617!A1638),6),3),"-",(RIGHT(RIGHT(CONCATENATE("000",IFAData_TEA_1617!A1638),6),3)))</f>
        <v>161-912</v>
      </c>
      <c r="C1638" s="979" t="s">
        <v>1740</v>
      </c>
      <c r="D1638" s="979">
        <v>2</v>
      </c>
      <c r="E1638" s="979">
        <v>2238</v>
      </c>
      <c r="F1638" s="979" t="s">
        <v>5209</v>
      </c>
      <c r="G1638" s="979" t="s">
        <v>5210</v>
      </c>
      <c r="H1638" s="979">
        <v>154071</v>
      </c>
      <c r="I1638" s="979">
        <v>138800</v>
      </c>
      <c r="J1638" s="979">
        <v>1</v>
      </c>
      <c r="K1638" s="979">
        <v>154071</v>
      </c>
      <c r="L1638" s="979">
        <v>138800</v>
      </c>
      <c r="M1638" s="979">
        <v>599</v>
      </c>
    </row>
    <row r="1639" spans="1:13" ht="15">
      <c r="A1639" s="979" t="s">
        <v>3642</v>
      </c>
      <c r="B1639" s="1040" t="str">
        <f>CONCATENATE(LEFT(RIGHT(CONCATENATE("000",IFAData_TEA_1617!A1639),6),3),"-",(RIGHT(RIGHT(CONCATENATE("000",IFAData_TEA_1617!A1639),6),3)))</f>
        <v>161-912</v>
      </c>
      <c r="C1639" s="979" t="s">
        <v>1740</v>
      </c>
      <c r="D1639" s="979">
        <v>6</v>
      </c>
      <c r="E1639" s="979">
        <v>2236</v>
      </c>
      <c r="F1639" s="979" t="s">
        <v>5211</v>
      </c>
      <c r="G1639" s="979" t="s">
        <v>5211</v>
      </c>
      <c r="H1639" s="979">
        <v>120494</v>
      </c>
      <c r="I1639" s="979">
        <v>0</v>
      </c>
      <c r="J1639" s="979">
        <v>0</v>
      </c>
      <c r="K1639" s="979"/>
      <c r="L1639" s="979">
        <v>0</v>
      </c>
      <c r="M1639" s="979">
        <v>599</v>
      </c>
    </row>
    <row r="1640" spans="1:13" ht="15">
      <c r="A1640" s="979" t="s">
        <v>3643</v>
      </c>
      <c r="B1640" s="1040" t="str">
        <f>CONCATENATE(LEFT(RIGHT(CONCATENATE("000",IFAData_TEA_1617!A1640),6),3),"-",(RIGHT(RIGHT(CONCATENATE("000",IFAData_TEA_1617!A1640),6),3)))</f>
        <v>161-914</v>
      </c>
      <c r="C1640" s="979" t="s">
        <v>136</v>
      </c>
      <c r="D1640" s="979">
        <v>6</v>
      </c>
      <c r="E1640" s="979">
        <v>2429</v>
      </c>
      <c r="F1640" s="979" t="s">
        <v>5214</v>
      </c>
      <c r="G1640" s="979" t="s">
        <v>5215</v>
      </c>
      <c r="H1640" s="979">
        <v>908082</v>
      </c>
      <c r="I1640" s="979">
        <v>0</v>
      </c>
      <c r="J1640" s="979">
        <v>0</v>
      </c>
      <c r="K1640" s="979">
        <v>0</v>
      </c>
      <c r="L1640" s="979">
        <v>0</v>
      </c>
      <c r="M1640" s="979">
        <v>599</v>
      </c>
    </row>
    <row r="1641" spans="1:13" ht="15">
      <c r="A1641" s="979" t="s">
        <v>3643</v>
      </c>
      <c r="B1641" s="1040" t="str">
        <f>CONCATENATE(LEFT(RIGHT(CONCATENATE("000",IFAData_TEA_1617!A1641),6),3),"-",(RIGHT(RIGHT(CONCATENATE("000",IFAData_TEA_1617!A1641),6),3)))</f>
        <v>161-914</v>
      </c>
      <c r="C1641" s="979" t="s">
        <v>136</v>
      </c>
      <c r="D1641" s="979">
        <v>6</v>
      </c>
      <c r="E1641" s="979">
        <v>2429</v>
      </c>
      <c r="F1641" s="979" t="s">
        <v>5214</v>
      </c>
      <c r="G1641" s="979" t="s">
        <v>5214</v>
      </c>
      <c r="H1641" s="979">
        <v>908082</v>
      </c>
      <c r="I1641" s="979">
        <v>0</v>
      </c>
      <c r="J1641" s="979">
        <v>0</v>
      </c>
      <c r="K1641" s="979">
        <v>0</v>
      </c>
      <c r="L1641" s="979">
        <v>0</v>
      </c>
      <c r="M1641" s="979">
        <v>599</v>
      </c>
    </row>
    <row r="1642" spans="1:13" ht="15">
      <c r="A1642" s="979" t="s">
        <v>3643</v>
      </c>
      <c r="B1642" s="1040" t="str">
        <f>CONCATENATE(LEFT(RIGHT(CONCATENATE("000",IFAData_TEA_1617!A1642),6),3),"-",(RIGHT(RIGHT(CONCATENATE("000",IFAData_TEA_1617!A1642),6),3)))</f>
        <v>161-914</v>
      </c>
      <c r="C1642" s="979" t="s">
        <v>136</v>
      </c>
      <c r="D1642" s="979">
        <v>2</v>
      </c>
      <c r="E1642" s="979">
        <v>2430</v>
      </c>
      <c r="F1642" s="979" t="s">
        <v>5213</v>
      </c>
      <c r="G1642" s="979" t="s">
        <v>5213</v>
      </c>
      <c r="H1642" s="979">
        <v>1464892</v>
      </c>
      <c r="I1642" s="979">
        <v>0</v>
      </c>
      <c r="J1642" s="979">
        <v>0</v>
      </c>
      <c r="K1642" s="979"/>
      <c r="L1642" s="979">
        <v>0</v>
      </c>
      <c r="M1642" s="979">
        <v>599</v>
      </c>
    </row>
    <row r="1643" spans="1:13" ht="15">
      <c r="A1643" s="979" t="s">
        <v>3643</v>
      </c>
      <c r="B1643" s="1040" t="str">
        <f>CONCATENATE(LEFT(RIGHT(CONCATENATE("000",IFAData_TEA_1617!A1643),6),3),"-",(RIGHT(RIGHT(CONCATENATE("000",IFAData_TEA_1617!A1643),6),3)))</f>
        <v>161-914</v>
      </c>
      <c r="C1643" s="979" t="s">
        <v>136</v>
      </c>
      <c r="D1643" s="979">
        <v>6</v>
      </c>
      <c r="E1643" s="979">
        <v>2429</v>
      </c>
      <c r="F1643" s="979" t="s">
        <v>5214</v>
      </c>
      <c r="G1643" s="979" t="s">
        <v>5216</v>
      </c>
      <c r="H1643" s="979">
        <v>908082</v>
      </c>
      <c r="I1643" s="979">
        <v>1884756</v>
      </c>
      <c r="J1643" s="979">
        <v>0.90264362751671423</v>
      </c>
      <c r="K1643" s="979">
        <v>819674.43056263286</v>
      </c>
      <c r="L1643" s="979">
        <v>819674.43056263286</v>
      </c>
      <c r="M1643" s="979">
        <v>599</v>
      </c>
    </row>
    <row r="1644" spans="1:13" ht="15">
      <c r="A1644" s="979" t="s">
        <v>3643</v>
      </c>
      <c r="B1644" s="1040" t="str">
        <f>CONCATENATE(LEFT(RIGHT(CONCATENATE("000",IFAData_TEA_1617!A1644),6),3),"-",(RIGHT(RIGHT(CONCATENATE("000",IFAData_TEA_1617!A1644),6),3)))</f>
        <v>161-914</v>
      </c>
      <c r="C1644" s="979" t="s">
        <v>136</v>
      </c>
      <c r="D1644" s="979">
        <v>10</v>
      </c>
      <c r="E1644" s="979">
        <v>2431</v>
      </c>
      <c r="F1644" s="979" t="s">
        <v>5217</v>
      </c>
      <c r="G1644" s="979" t="s">
        <v>5217</v>
      </c>
      <c r="H1644" s="979">
        <v>2267241</v>
      </c>
      <c r="I1644" s="979">
        <v>0</v>
      </c>
      <c r="J1644" s="979">
        <v>0</v>
      </c>
      <c r="K1644" s="979">
        <v>0</v>
      </c>
      <c r="L1644" s="979">
        <v>0</v>
      </c>
      <c r="M1644" s="979">
        <v>599</v>
      </c>
    </row>
    <row r="1645" spans="1:13" ht="15">
      <c r="A1645" s="979" t="s">
        <v>3643</v>
      </c>
      <c r="B1645" s="1040" t="str">
        <f>CONCATENATE(LEFT(RIGHT(CONCATENATE("000",IFAData_TEA_1617!A1645),6),3),"-",(RIGHT(RIGHT(CONCATENATE("000",IFAData_TEA_1617!A1645),6),3)))</f>
        <v>161-914</v>
      </c>
      <c r="C1645" s="979" t="s">
        <v>136</v>
      </c>
      <c r="D1645" s="979">
        <v>6</v>
      </c>
      <c r="E1645" s="979">
        <v>2429</v>
      </c>
      <c r="F1645" s="979" t="s">
        <v>5214</v>
      </c>
      <c r="G1645" s="979" t="s">
        <v>6505</v>
      </c>
      <c r="H1645" s="979">
        <v>908082</v>
      </c>
      <c r="I1645" s="979">
        <v>203284</v>
      </c>
      <c r="J1645" s="979">
        <v>9.7356372483285755E-2</v>
      </c>
      <c r="K1645" s="979">
        <v>88407.569437367099</v>
      </c>
      <c r="L1645" s="979">
        <v>88407.569437367099</v>
      </c>
      <c r="M1645" s="979">
        <v>599</v>
      </c>
    </row>
    <row r="1646" spans="1:13" ht="15">
      <c r="A1646" s="979" t="s">
        <v>3643</v>
      </c>
      <c r="B1646" s="1040" t="str">
        <f>CONCATENATE(LEFT(RIGHT(CONCATENATE("000",IFAData_TEA_1617!A1646),6),3),"-",(RIGHT(RIGHT(CONCATENATE("000",IFAData_TEA_1617!A1646),6),3)))</f>
        <v>161-914</v>
      </c>
      <c r="C1646" s="979" t="s">
        <v>136</v>
      </c>
      <c r="D1646" s="979">
        <v>10</v>
      </c>
      <c r="E1646" s="979">
        <v>2431</v>
      </c>
      <c r="F1646" s="979" t="s">
        <v>5217</v>
      </c>
      <c r="G1646" s="979" t="s">
        <v>6505</v>
      </c>
      <c r="H1646" s="979">
        <v>2267241</v>
      </c>
      <c r="I1646" s="979">
        <v>2010487</v>
      </c>
      <c r="J1646" s="979">
        <v>1</v>
      </c>
      <c r="K1646" s="979">
        <v>2267241</v>
      </c>
      <c r="L1646" s="979">
        <v>2010487</v>
      </c>
      <c r="M1646" s="979">
        <v>599</v>
      </c>
    </row>
    <row r="1647" spans="1:13" ht="15">
      <c r="A1647" s="979" t="s">
        <v>3644</v>
      </c>
      <c r="B1647" s="1040" t="str">
        <f>CONCATENATE(LEFT(RIGHT(CONCATENATE("000",IFAData_TEA_1617!A1647),6),3),"-",(RIGHT(RIGHT(CONCATENATE("000",IFAData_TEA_1617!A1647),6),3)))</f>
        <v>161-916</v>
      </c>
      <c r="C1647" s="979" t="s">
        <v>1430</v>
      </c>
      <c r="D1647" s="979">
        <v>3</v>
      </c>
      <c r="E1647" s="979">
        <v>2444</v>
      </c>
      <c r="F1647" s="979" t="s">
        <v>5218</v>
      </c>
      <c r="G1647" s="979" t="s">
        <v>5219</v>
      </c>
      <c r="H1647" s="979">
        <v>489842</v>
      </c>
      <c r="I1647" s="979">
        <v>663519</v>
      </c>
      <c r="J1647" s="979">
        <v>0.94915208170914012</v>
      </c>
      <c r="K1647" s="979">
        <v>464934.55400856864</v>
      </c>
      <c r="L1647" s="979">
        <v>464934.55400856864</v>
      </c>
      <c r="M1647" s="979">
        <v>599</v>
      </c>
    </row>
    <row r="1648" spans="1:13" ht="15">
      <c r="A1648" s="979" t="s">
        <v>3644</v>
      </c>
      <c r="B1648" s="1040" t="str">
        <f>CONCATENATE(LEFT(RIGHT(CONCATENATE("000",IFAData_TEA_1617!A1648),6),3),"-",(RIGHT(RIGHT(CONCATENATE("000",IFAData_TEA_1617!A1648),6),3)))</f>
        <v>161-916</v>
      </c>
      <c r="C1648" s="979" t="s">
        <v>1430</v>
      </c>
      <c r="D1648" s="979">
        <v>3</v>
      </c>
      <c r="E1648" s="979">
        <v>2444</v>
      </c>
      <c r="F1648" s="979" t="s">
        <v>5218</v>
      </c>
      <c r="G1648" s="979" t="s">
        <v>5218</v>
      </c>
      <c r="H1648" s="979">
        <v>489842</v>
      </c>
      <c r="I1648" s="979">
        <v>35546</v>
      </c>
      <c r="J1648" s="979">
        <v>5.0847918290859932E-2</v>
      </c>
      <c r="K1648" s="979">
        <v>24907.44599143141</v>
      </c>
      <c r="L1648" s="979">
        <v>24907.44599143141</v>
      </c>
      <c r="M1648" s="979">
        <v>599</v>
      </c>
    </row>
    <row r="1649" spans="1:13" ht="15">
      <c r="A1649" s="979" t="s">
        <v>3645</v>
      </c>
      <c r="B1649" s="1040" t="str">
        <f>CONCATENATE(LEFT(RIGHT(CONCATENATE("000",IFAData_TEA_1617!A1649),6),3),"-",(RIGHT(RIGHT(CONCATENATE("000",IFAData_TEA_1617!A1649),6),3)))</f>
        <v>161-919</v>
      </c>
      <c r="C1649" s="979" t="s">
        <v>1752</v>
      </c>
      <c r="D1649" s="979">
        <v>9</v>
      </c>
      <c r="E1649" s="979">
        <v>1645</v>
      </c>
      <c r="F1649" s="979" t="s">
        <v>5220</v>
      </c>
      <c r="G1649" s="979" t="s">
        <v>5220</v>
      </c>
      <c r="H1649" s="979">
        <v>204185</v>
      </c>
      <c r="I1649" s="979">
        <v>0</v>
      </c>
      <c r="J1649" s="979">
        <v>0</v>
      </c>
      <c r="K1649" s="979">
        <v>0</v>
      </c>
      <c r="L1649" s="979">
        <v>0</v>
      </c>
      <c r="M1649" s="979">
        <v>599</v>
      </c>
    </row>
    <row r="1650" spans="1:13" ht="15">
      <c r="A1650" s="979" t="s">
        <v>3645</v>
      </c>
      <c r="B1650" s="1040" t="str">
        <f>CONCATENATE(LEFT(RIGHT(CONCATENATE("000",IFAData_TEA_1617!A1650),6),3),"-",(RIGHT(RIGHT(CONCATENATE("000",IFAData_TEA_1617!A1650),6),3)))</f>
        <v>161-919</v>
      </c>
      <c r="C1650" s="979" t="s">
        <v>1752</v>
      </c>
      <c r="D1650" s="979">
        <v>9</v>
      </c>
      <c r="E1650" s="979">
        <v>1645</v>
      </c>
      <c r="F1650" s="979" t="s">
        <v>5220</v>
      </c>
      <c r="G1650" s="979" t="s">
        <v>6506</v>
      </c>
      <c r="H1650" s="979">
        <v>204185</v>
      </c>
      <c r="I1650" s="979">
        <v>329195</v>
      </c>
      <c r="J1650" s="979">
        <v>1</v>
      </c>
      <c r="K1650" s="979">
        <v>204185</v>
      </c>
      <c r="L1650" s="979">
        <v>204185</v>
      </c>
      <c r="M1650" s="979">
        <v>599</v>
      </c>
    </row>
    <row r="1651" spans="1:13" ht="15">
      <c r="A1651" s="979" t="s">
        <v>3646</v>
      </c>
      <c r="B1651" s="1040" t="str">
        <f>CONCATENATE(LEFT(RIGHT(CONCATENATE("000",IFAData_TEA_1617!A1651),6),3),"-",(RIGHT(RIGHT(CONCATENATE("000",IFAData_TEA_1617!A1651),6),3)))</f>
        <v>161-920</v>
      </c>
      <c r="C1651" s="979" t="s">
        <v>1160</v>
      </c>
      <c r="D1651" s="979">
        <v>9</v>
      </c>
      <c r="E1651" s="979">
        <v>1690</v>
      </c>
      <c r="F1651" s="979" t="s">
        <v>5225</v>
      </c>
      <c r="G1651" s="979" t="s">
        <v>6297</v>
      </c>
      <c r="H1651" s="979">
        <v>535250</v>
      </c>
      <c r="I1651" s="979">
        <v>298900</v>
      </c>
      <c r="J1651" s="979">
        <v>0.25230761438887789</v>
      </c>
      <c r="K1651" s="979">
        <v>135047.65060164689</v>
      </c>
      <c r="L1651" s="979">
        <v>135047.65060164689</v>
      </c>
      <c r="M1651" s="979">
        <v>599</v>
      </c>
    </row>
    <row r="1652" spans="1:13" ht="15">
      <c r="A1652" s="979" t="s">
        <v>3646</v>
      </c>
      <c r="B1652" s="1040" t="str">
        <f>CONCATENATE(LEFT(RIGHT(CONCATENATE("000",IFAData_TEA_1617!A1652),6),3),"-",(RIGHT(RIGHT(CONCATENATE("000",IFAData_TEA_1617!A1652),6),3)))</f>
        <v>161-920</v>
      </c>
      <c r="C1652" s="979" t="s">
        <v>1160</v>
      </c>
      <c r="D1652" s="979">
        <v>2</v>
      </c>
      <c r="E1652" s="979">
        <v>1688</v>
      </c>
      <c r="F1652" s="979" t="s">
        <v>5221</v>
      </c>
      <c r="G1652" s="979" t="s">
        <v>5222</v>
      </c>
      <c r="H1652" s="979">
        <v>361316</v>
      </c>
      <c r="I1652" s="979">
        <v>252083</v>
      </c>
      <c r="J1652" s="979">
        <v>1</v>
      </c>
      <c r="K1652" s="979">
        <v>361316</v>
      </c>
      <c r="L1652" s="979">
        <v>252083</v>
      </c>
      <c r="M1652" s="979">
        <v>599</v>
      </c>
    </row>
    <row r="1653" spans="1:13" ht="15">
      <c r="A1653" s="979" t="s">
        <v>3646</v>
      </c>
      <c r="B1653" s="1040" t="str">
        <f>CONCATENATE(LEFT(RIGHT(CONCATENATE("000",IFAData_TEA_1617!A1653),6),3),"-",(RIGHT(RIGHT(CONCATENATE("000",IFAData_TEA_1617!A1653),6),3)))</f>
        <v>161-920</v>
      </c>
      <c r="C1653" s="979" t="s">
        <v>1160</v>
      </c>
      <c r="D1653" s="979">
        <v>6</v>
      </c>
      <c r="E1653" s="979">
        <v>1689</v>
      </c>
      <c r="F1653" s="979" t="s">
        <v>5223</v>
      </c>
      <c r="G1653" s="979" t="s">
        <v>5222</v>
      </c>
      <c r="H1653" s="979">
        <v>361625</v>
      </c>
      <c r="I1653" s="979">
        <v>262994</v>
      </c>
      <c r="J1653" s="979">
        <v>0.53752434754705491</v>
      </c>
      <c r="K1653" s="979">
        <v>194382.24218170374</v>
      </c>
      <c r="L1653" s="979">
        <v>194382.24218170374</v>
      </c>
      <c r="M1653" s="979">
        <v>599</v>
      </c>
    </row>
    <row r="1654" spans="1:13" ht="15">
      <c r="A1654" s="979" t="s">
        <v>3646</v>
      </c>
      <c r="B1654" s="1040" t="str">
        <f>CONCATENATE(LEFT(RIGHT(CONCATENATE("000",IFAData_TEA_1617!A1654),6),3),"-",(RIGHT(RIGHT(CONCATENATE("000",IFAData_TEA_1617!A1654),6),3)))</f>
        <v>161-920</v>
      </c>
      <c r="C1654" s="979" t="s">
        <v>1160</v>
      </c>
      <c r="D1654" s="979">
        <v>6</v>
      </c>
      <c r="E1654" s="979">
        <v>1689</v>
      </c>
      <c r="F1654" s="979" t="s">
        <v>5223</v>
      </c>
      <c r="G1654" s="979" t="s">
        <v>5224</v>
      </c>
      <c r="H1654" s="979">
        <v>361625</v>
      </c>
      <c r="I1654" s="979">
        <v>226275</v>
      </c>
      <c r="J1654" s="979">
        <v>0.46247565245294509</v>
      </c>
      <c r="K1654" s="979">
        <v>167242.75781829626</v>
      </c>
      <c r="L1654" s="979">
        <v>167242.75781829626</v>
      </c>
      <c r="M1654" s="979">
        <v>599</v>
      </c>
    </row>
    <row r="1655" spans="1:13" ht="15">
      <c r="A1655" s="979" t="s">
        <v>3646</v>
      </c>
      <c r="B1655" s="1040" t="str">
        <f>CONCATENATE(LEFT(RIGHT(CONCATENATE("000",IFAData_TEA_1617!A1655),6),3),"-",(RIGHT(RIGHT(CONCATENATE("000",IFAData_TEA_1617!A1655),6),3)))</f>
        <v>161-920</v>
      </c>
      <c r="C1655" s="979" t="s">
        <v>1160</v>
      </c>
      <c r="D1655" s="979">
        <v>2</v>
      </c>
      <c r="E1655" s="979">
        <v>1688</v>
      </c>
      <c r="F1655" s="979" t="s">
        <v>5221</v>
      </c>
      <c r="G1655" s="979" t="s">
        <v>5221</v>
      </c>
      <c r="H1655" s="979">
        <v>361316</v>
      </c>
      <c r="I1655" s="979">
        <v>0</v>
      </c>
      <c r="J1655" s="979">
        <v>0</v>
      </c>
      <c r="K1655" s="979">
        <v>0</v>
      </c>
      <c r="L1655" s="979">
        <v>0</v>
      </c>
      <c r="M1655" s="979">
        <v>599</v>
      </c>
    </row>
    <row r="1656" spans="1:13" ht="15">
      <c r="A1656" s="979" t="s">
        <v>3646</v>
      </c>
      <c r="B1656" s="1040" t="str">
        <f>CONCATENATE(LEFT(RIGHT(CONCATENATE("000",IFAData_TEA_1617!A1656),6),3),"-",(RIGHT(RIGHT(CONCATENATE("000",IFAData_TEA_1617!A1656),6),3)))</f>
        <v>161-920</v>
      </c>
      <c r="C1656" s="979" t="s">
        <v>1160</v>
      </c>
      <c r="D1656" s="979">
        <v>6</v>
      </c>
      <c r="E1656" s="979">
        <v>1689</v>
      </c>
      <c r="F1656" s="979" t="s">
        <v>5223</v>
      </c>
      <c r="G1656" s="979" t="s">
        <v>5223</v>
      </c>
      <c r="H1656" s="979">
        <v>361625</v>
      </c>
      <c r="I1656" s="979">
        <v>0</v>
      </c>
      <c r="J1656" s="979">
        <v>0</v>
      </c>
      <c r="K1656" s="979">
        <v>0</v>
      </c>
      <c r="L1656" s="979">
        <v>0</v>
      </c>
      <c r="M1656" s="979">
        <v>599</v>
      </c>
    </row>
    <row r="1657" spans="1:13" ht="15">
      <c r="A1657" s="979" t="s">
        <v>3646</v>
      </c>
      <c r="B1657" s="1040" t="str">
        <f>CONCATENATE(LEFT(RIGHT(CONCATENATE("000",IFAData_TEA_1617!A1657),6),3),"-",(RIGHT(RIGHT(CONCATENATE("000",IFAData_TEA_1617!A1657),6),3)))</f>
        <v>161-920</v>
      </c>
      <c r="C1657" s="979" t="s">
        <v>1160</v>
      </c>
      <c r="D1657" s="979">
        <v>9</v>
      </c>
      <c r="E1657" s="979">
        <v>1690</v>
      </c>
      <c r="F1657" s="979" t="s">
        <v>5225</v>
      </c>
      <c r="G1657" s="979" t="s">
        <v>6507</v>
      </c>
      <c r="H1657" s="979">
        <v>535250</v>
      </c>
      <c r="I1657" s="979">
        <v>321350</v>
      </c>
      <c r="J1657" s="979">
        <v>0.27125811938396088</v>
      </c>
      <c r="K1657" s="979">
        <v>145190.90840026506</v>
      </c>
      <c r="L1657" s="979">
        <v>145190.90840026506</v>
      </c>
      <c r="M1657" s="979">
        <v>599</v>
      </c>
    </row>
    <row r="1658" spans="1:13" ht="15">
      <c r="A1658" s="979" t="s">
        <v>3646</v>
      </c>
      <c r="B1658" s="1040" t="str">
        <f>CONCATENATE(LEFT(RIGHT(CONCATENATE("000",IFAData_TEA_1617!A1658),6),3),"-",(RIGHT(RIGHT(CONCATENATE("000",IFAData_TEA_1617!A1658),6),3)))</f>
        <v>161-920</v>
      </c>
      <c r="C1658" s="979" t="s">
        <v>1160</v>
      </c>
      <c r="D1658" s="979">
        <v>9</v>
      </c>
      <c r="E1658" s="979">
        <v>1690</v>
      </c>
      <c r="F1658" s="979" t="s">
        <v>5225</v>
      </c>
      <c r="G1658" s="979" t="s">
        <v>5225</v>
      </c>
      <c r="H1658" s="979">
        <v>535250</v>
      </c>
      <c r="I1658" s="979">
        <v>564415</v>
      </c>
      <c r="J1658" s="979">
        <v>0.47643426622716128</v>
      </c>
      <c r="K1658" s="979">
        <v>255011.44099808807</v>
      </c>
      <c r="L1658" s="979">
        <v>255011.44099808807</v>
      </c>
      <c r="M1658" s="979">
        <v>599</v>
      </c>
    </row>
    <row r="1659" spans="1:13" ht="15">
      <c r="A1659" s="979" t="s">
        <v>3647</v>
      </c>
      <c r="B1659" s="1040" t="str">
        <f>CONCATENATE(LEFT(RIGHT(CONCATENATE("000",IFAData_TEA_1617!A1659),6),3),"-",(RIGHT(RIGHT(CONCATENATE("000",IFAData_TEA_1617!A1659),6),3)))</f>
        <v>161-921</v>
      </c>
      <c r="C1659" s="979" t="s">
        <v>1552</v>
      </c>
      <c r="D1659" s="979">
        <v>3</v>
      </c>
      <c r="E1659" s="979">
        <v>1716</v>
      </c>
      <c r="F1659" s="979" t="s">
        <v>5227</v>
      </c>
      <c r="G1659" s="979" t="s">
        <v>5228</v>
      </c>
      <c r="H1659" s="979">
        <v>590544</v>
      </c>
      <c r="I1659" s="979">
        <v>0</v>
      </c>
      <c r="J1659" s="979">
        <v>0</v>
      </c>
      <c r="K1659" s="979">
        <v>0</v>
      </c>
      <c r="L1659" s="979">
        <v>0</v>
      </c>
      <c r="M1659" s="979">
        <v>599</v>
      </c>
    </row>
    <row r="1660" spans="1:13" ht="15">
      <c r="A1660" s="979" t="s">
        <v>3647</v>
      </c>
      <c r="B1660" s="1040" t="str">
        <f>CONCATENATE(LEFT(RIGHT(CONCATENATE("000",IFAData_TEA_1617!A1660),6),3),"-",(RIGHT(RIGHT(CONCATENATE("000",IFAData_TEA_1617!A1660),6),3)))</f>
        <v>161-921</v>
      </c>
      <c r="C1660" s="979" t="s">
        <v>1552</v>
      </c>
      <c r="D1660" s="979">
        <v>3</v>
      </c>
      <c r="E1660" s="979">
        <v>1716</v>
      </c>
      <c r="F1660" s="979" t="s">
        <v>5227</v>
      </c>
      <c r="G1660" s="979" t="s">
        <v>5229</v>
      </c>
      <c r="H1660" s="979">
        <v>590544</v>
      </c>
      <c r="I1660" s="979">
        <v>44678</v>
      </c>
      <c r="J1660" s="979">
        <v>5.7510857784265415E-2</v>
      </c>
      <c r="K1660" s="979">
        <v>33962.691999351235</v>
      </c>
      <c r="L1660" s="979">
        <v>33962.691999351235</v>
      </c>
      <c r="M1660" s="979">
        <v>599</v>
      </c>
    </row>
    <row r="1661" spans="1:13" ht="15">
      <c r="A1661" s="979" t="s">
        <v>3647</v>
      </c>
      <c r="B1661" s="1040" t="str">
        <f>CONCATENATE(LEFT(RIGHT(CONCATENATE("000",IFAData_TEA_1617!A1661),6),3),"-",(RIGHT(RIGHT(CONCATENATE("000",IFAData_TEA_1617!A1661),6),3)))</f>
        <v>161-921</v>
      </c>
      <c r="C1661" s="979" t="s">
        <v>1552</v>
      </c>
      <c r="D1661" s="979">
        <v>2</v>
      </c>
      <c r="E1661" s="979">
        <v>1715</v>
      </c>
      <c r="F1661" s="979" t="s">
        <v>5226</v>
      </c>
      <c r="G1661" s="979" t="s">
        <v>5226</v>
      </c>
      <c r="H1661" s="979">
        <v>141220</v>
      </c>
      <c r="I1661" s="979">
        <v>0</v>
      </c>
      <c r="J1661" s="979">
        <v>0</v>
      </c>
      <c r="K1661" s="979"/>
      <c r="L1661" s="979">
        <v>0</v>
      </c>
      <c r="M1661" s="979">
        <v>599</v>
      </c>
    </row>
    <row r="1662" spans="1:13" ht="15">
      <c r="A1662" s="979" t="s">
        <v>3647</v>
      </c>
      <c r="B1662" s="1040" t="str">
        <f>CONCATENATE(LEFT(RIGHT(CONCATENATE("000",IFAData_TEA_1617!A1662),6),3),"-",(RIGHT(RIGHT(CONCATENATE("000",IFAData_TEA_1617!A1662),6),3)))</f>
        <v>161-921</v>
      </c>
      <c r="C1662" s="979" t="s">
        <v>1552</v>
      </c>
      <c r="D1662" s="979">
        <v>3</v>
      </c>
      <c r="E1662" s="979">
        <v>1716</v>
      </c>
      <c r="F1662" s="979" t="s">
        <v>5227</v>
      </c>
      <c r="G1662" s="979" t="s">
        <v>6508</v>
      </c>
      <c r="H1662" s="979">
        <v>590544</v>
      </c>
      <c r="I1662" s="979">
        <v>732184</v>
      </c>
      <c r="J1662" s="979">
        <v>0.94248914221573454</v>
      </c>
      <c r="K1662" s="979">
        <v>556581.30800064874</v>
      </c>
      <c r="L1662" s="979">
        <v>556581.30800064874</v>
      </c>
      <c r="M1662" s="979">
        <v>599</v>
      </c>
    </row>
    <row r="1663" spans="1:13" ht="15">
      <c r="A1663" s="979" t="s">
        <v>3647</v>
      </c>
      <c r="B1663" s="1040" t="str">
        <f>CONCATENATE(LEFT(RIGHT(CONCATENATE("000",IFAData_TEA_1617!A1663),6),3),"-",(RIGHT(RIGHT(CONCATENATE("000",IFAData_TEA_1617!A1663),6),3)))</f>
        <v>161-921</v>
      </c>
      <c r="C1663" s="979" t="s">
        <v>1552</v>
      </c>
      <c r="D1663" s="979">
        <v>3</v>
      </c>
      <c r="E1663" s="979">
        <v>1716</v>
      </c>
      <c r="F1663" s="979" t="s">
        <v>5227</v>
      </c>
      <c r="G1663" s="979" t="s">
        <v>5227</v>
      </c>
      <c r="H1663" s="979">
        <v>590544</v>
      </c>
      <c r="I1663" s="979">
        <v>0</v>
      </c>
      <c r="J1663" s="979">
        <v>0</v>
      </c>
      <c r="K1663" s="979">
        <v>0</v>
      </c>
      <c r="L1663" s="979">
        <v>0</v>
      </c>
      <c r="M1663" s="979">
        <v>599</v>
      </c>
    </row>
    <row r="1664" spans="1:13" ht="15">
      <c r="A1664" s="979" t="s">
        <v>3648</v>
      </c>
      <c r="B1664" s="1040" t="str">
        <f>CONCATENATE(LEFT(RIGHT(CONCATENATE("000",IFAData_TEA_1617!A1664),6),3),"-",(RIGHT(RIGHT(CONCATENATE("000",IFAData_TEA_1617!A1664),6),3)))</f>
        <v>161-922</v>
      </c>
      <c r="C1664" s="979" t="s">
        <v>2698</v>
      </c>
      <c r="D1664" s="979">
        <v>3</v>
      </c>
      <c r="E1664" s="979">
        <v>2252</v>
      </c>
      <c r="F1664" s="979" t="s">
        <v>5230</v>
      </c>
      <c r="G1664" s="979" t="s">
        <v>5231</v>
      </c>
      <c r="H1664" s="979">
        <v>486000</v>
      </c>
      <c r="I1664" s="979">
        <v>1078534</v>
      </c>
      <c r="J1664" s="979">
        <v>1</v>
      </c>
      <c r="K1664" s="979">
        <v>486000</v>
      </c>
      <c r="L1664" s="979">
        <v>486000</v>
      </c>
      <c r="M1664" s="979">
        <v>599</v>
      </c>
    </row>
    <row r="1665" spans="1:13" ht="15">
      <c r="A1665" s="979" t="s">
        <v>3648</v>
      </c>
      <c r="B1665" s="1040" t="str">
        <f>CONCATENATE(LEFT(RIGHT(CONCATENATE("000",IFAData_TEA_1617!A1665),6),3),"-",(RIGHT(RIGHT(CONCATENATE("000",IFAData_TEA_1617!A1665),6),3)))</f>
        <v>161-922</v>
      </c>
      <c r="C1665" s="979" t="s">
        <v>2698</v>
      </c>
      <c r="D1665" s="979">
        <v>3</v>
      </c>
      <c r="E1665" s="979">
        <v>2252</v>
      </c>
      <c r="F1665" s="979" t="s">
        <v>5230</v>
      </c>
      <c r="G1665" s="979" t="s">
        <v>5232</v>
      </c>
      <c r="H1665" s="979">
        <v>486000</v>
      </c>
      <c r="I1665" s="979">
        <v>0</v>
      </c>
      <c r="J1665" s="979">
        <v>0</v>
      </c>
      <c r="K1665" s="979">
        <v>0</v>
      </c>
      <c r="L1665" s="979">
        <v>0</v>
      </c>
      <c r="M1665" s="979">
        <v>599</v>
      </c>
    </row>
    <row r="1666" spans="1:13" ht="15">
      <c r="A1666" s="979" t="s">
        <v>3648</v>
      </c>
      <c r="B1666" s="1040" t="str">
        <f>CONCATENATE(LEFT(RIGHT(CONCATENATE("000",IFAData_TEA_1617!A1666),6),3),"-",(RIGHT(RIGHT(CONCATENATE("000",IFAData_TEA_1617!A1666),6),3)))</f>
        <v>161-922</v>
      </c>
      <c r="C1666" s="979" t="s">
        <v>2698</v>
      </c>
      <c r="D1666" s="979">
        <v>3</v>
      </c>
      <c r="E1666" s="979">
        <v>2252</v>
      </c>
      <c r="F1666" s="979" t="s">
        <v>5230</v>
      </c>
      <c r="G1666" s="979" t="s">
        <v>5230</v>
      </c>
      <c r="H1666" s="979">
        <v>486000</v>
      </c>
      <c r="I1666" s="979">
        <v>0</v>
      </c>
      <c r="J1666" s="979">
        <v>0</v>
      </c>
      <c r="K1666" s="979">
        <v>0</v>
      </c>
      <c r="L1666" s="979">
        <v>0</v>
      </c>
      <c r="M1666" s="979">
        <v>599</v>
      </c>
    </row>
    <row r="1667" spans="1:13" ht="15">
      <c r="A1667" s="979" t="s">
        <v>3649</v>
      </c>
      <c r="B1667" s="1040" t="str">
        <f>CONCATENATE(LEFT(RIGHT(CONCATENATE("000",IFAData_TEA_1617!A1667),6),3),"-",(RIGHT(RIGHT(CONCATENATE("000",IFAData_TEA_1617!A1667),6),3)))</f>
        <v>161-923</v>
      </c>
      <c r="C1667" s="979" t="s">
        <v>1348</v>
      </c>
      <c r="D1667" s="979">
        <v>3</v>
      </c>
      <c r="E1667" s="979">
        <v>1628</v>
      </c>
      <c r="F1667" s="979" t="s">
        <v>5233</v>
      </c>
      <c r="G1667" s="979" t="s">
        <v>5234</v>
      </c>
      <c r="H1667" s="979">
        <v>96640</v>
      </c>
      <c r="I1667" s="979">
        <v>28665</v>
      </c>
      <c r="J1667" s="979">
        <v>0.48072246725586543</v>
      </c>
      <c r="K1667" s="979">
        <v>46457.019235606836</v>
      </c>
      <c r="L1667" s="979">
        <v>28665</v>
      </c>
      <c r="M1667" s="979">
        <v>599</v>
      </c>
    </row>
    <row r="1668" spans="1:13" ht="15">
      <c r="A1668" s="979" t="s">
        <v>3649</v>
      </c>
      <c r="B1668" s="1040" t="str">
        <f>CONCATENATE(LEFT(RIGHT(CONCATENATE("000",IFAData_TEA_1617!A1668),6),3),"-",(RIGHT(RIGHT(CONCATENATE("000",IFAData_TEA_1617!A1668),6),3)))</f>
        <v>161-923</v>
      </c>
      <c r="C1668" s="979" t="s">
        <v>1348</v>
      </c>
      <c r="D1668" s="979">
        <v>9</v>
      </c>
      <c r="E1668" s="979">
        <v>1629</v>
      </c>
      <c r="F1668" s="979" t="s">
        <v>5234</v>
      </c>
      <c r="G1668" s="979" t="s">
        <v>5234</v>
      </c>
      <c r="H1668" s="979">
        <v>109337</v>
      </c>
      <c r="I1668" s="979">
        <v>231144</v>
      </c>
      <c r="J1668" s="979">
        <v>0.45217023873799855</v>
      </c>
      <c r="K1668" s="979">
        <v>49438.937392896551</v>
      </c>
      <c r="L1668" s="979">
        <v>49438.937392896551</v>
      </c>
      <c r="M1668" s="979">
        <v>599</v>
      </c>
    </row>
    <row r="1669" spans="1:13" ht="15">
      <c r="A1669" s="979" t="s">
        <v>3649</v>
      </c>
      <c r="B1669" s="1040" t="str">
        <f>CONCATENATE(LEFT(RIGHT(CONCATENATE("000",IFAData_TEA_1617!A1669),6),3),"-",(RIGHT(RIGHT(CONCATENATE("000",IFAData_TEA_1617!A1669),6),3)))</f>
        <v>161-923</v>
      </c>
      <c r="C1669" s="979" t="s">
        <v>1348</v>
      </c>
      <c r="D1669" s="979">
        <v>3</v>
      </c>
      <c r="E1669" s="979">
        <v>1628</v>
      </c>
      <c r="F1669" s="979" t="s">
        <v>5233</v>
      </c>
      <c r="G1669" s="979" t="s">
        <v>6298</v>
      </c>
      <c r="H1669" s="979">
        <v>96640</v>
      </c>
      <c r="I1669" s="979">
        <v>30964</v>
      </c>
      <c r="J1669" s="979">
        <v>0.51927753274413457</v>
      </c>
      <c r="K1669" s="979">
        <v>50182.980764393164</v>
      </c>
      <c r="L1669" s="979">
        <v>30964</v>
      </c>
      <c r="M1669" s="979">
        <v>599</v>
      </c>
    </row>
    <row r="1670" spans="1:13" ht="15">
      <c r="A1670" s="979" t="s">
        <v>3649</v>
      </c>
      <c r="B1670" s="1040" t="str">
        <f>CONCATENATE(LEFT(RIGHT(CONCATENATE("000",IFAData_TEA_1617!A1670),6),3),"-",(RIGHT(RIGHT(CONCATENATE("000",IFAData_TEA_1617!A1670),6),3)))</f>
        <v>161-923</v>
      </c>
      <c r="C1670" s="979" t="s">
        <v>1348</v>
      </c>
      <c r="D1670" s="979">
        <v>5</v>
      </c>
      <c r="E1670" s="979">
        <v>1627</v>
      </c>
      <c r="F1670" s="979" t="s">
        <v>5235</v>
      </c>
      <c r="G1670" s="979" t="s">
        <v>5235</v>
      </c>
      <c r="H1670" s="979">
        <v>47466</v>
      </c>
      <c r="I1670" s="979">
        <v>0</v>
      </c>
      <c r="J1670" s="979">
        <v>0</v>
      </c>
      <c r="K1670" s="979"/>
      <c r="L1670" s="979">
        <v>0</v>
      </c>
      <c r="M1670" s="979">
        <v>599</v>
      </c>
    </row>
    <row r="1671" spans="1:13" ht="15">
      <c r="A1671" s="979" t="s">
        <v>3649</v>
      </c>
      <c r="B1671" s="1040" t="str">
        <f>CONCATENATE(LEFT(RIGHT(CONCATENATE("000",IFAData_TEA_1617!A1671),6),3),"-",(RIGHT(RIGHT(CONCATENATE("000",IFAData_TEA_1617!A1671),6),3)))</f>
        <v>161-923</v>
      </c>
      <c r="C1671" s="979" t="s">
        <v>1348</v>
      </c>
      <c r="D1671" s="979">
        <v>3</v>
      </c>
      <c r="E1671" s="979">
        <v>1628</v>
      </c>
      <c r="F1671" s="979" t="s">
        <v>5233</v>
      </c>
      <c r="G1671" s="979" t="s">
        <v>5233</v>
      </c>
      <c r="H1671" s="979">
        <v>96640</v>
      </c>
      <c r="I1671" s="979">
        <v>0</v>
      </c>
      <c r="J1671" s="979">
        <v>0</v>
      </c>
      <c r="K1671" s="979">
        <v>0</v>
      </c>
      <c r="L1671" s="979">
        <v>0</v>
      </c>
      <c r="M1671" s="979">
        <v>599</v>
      </c>
    </row>
    <row r="1672" spans="1:13" ht="15">
      <c r="A1672" s="979" t="s">
        <v>3649</v>
      </c>
      <c r="B1672" s="1040" t="str">
        <f>CONCATENATE(LEFT(RIGHT(CONCATENATE("000",IFAData_TEA_1617!A1672),6),3),"-",(RIGHT(RIGHT(CONCATENATE("000",IFAData_TEA_1617!A1672),6),3)))</f>
        <v>161-923</v>
      </c>
      <c r="C1672" s="979" t="s">
        <v>1348</v>
      </c>
      <c r="D1672" s="979">
        <v>9</v>
      </c>
      <c r="E1672" s="979">
        <v>1629</v>
      </c>
      <c r="F1672" s="979" t="s">
        <v>5234</v>
      </c>
      <c r="G1672" s="979" t="s">
        <v>6298</v>
      </c>
      <c r="H1672" s="979">
        <v>109337</v>
      </c>
      <c r="I1672" s="979">
        <v>280044</v>
      </c>
      <c r="J1672" s="979">
        <v>0.54782976126200145</v>
      </c>
      <c r="K1672" s="979">
        <v>59898.062607103449</v>
      </c>
      <c r="L1672" s="979">
        <v>59898.062607103449</v>
      </c>
      <c r="M1672" s="979">
        <v>599</v>
      </c>
    </row>
    <row r="1673" spans="1:13" ht="15">
      <c r="A1673" s="979" t="s">
        <v>3650</v>
      </c>
      <c r="B1673" s="1040" t="str">
        <f>CONCATENATE(LEFT(RIGHT(CONCATENATE("000",IFAData_TEA_1617!A1673),6),3),"-",(RIGHT(RIGHT(CONCATENATE("000",IFAData_TEA_1617!A1673),6),3)))</f>
        <v>163-901</v>
      </c>
      <c r="C1673" s="979" t="s">
        <v>2669</v>
      </c>
      <c r="D1673" s="979">
        <v>10</v>
      </c>
      <c r="E1673" s="979">
        <v>1756</v>
      </c>
      <c r="F1673" s="979" t="s">
        <v>5239</v>
      </c>
      <c r="G1673" s="979" t="s">
        <v>5239</v>
      </c>
      <c r="H1673" s="979">
        <v>403194</v>
      </c>
      <c r="I1673" s="979">
        <v>401950</v>
      </c>
      <c r="J1673" s="979">
        <v>1</v>
      </c>
      <c r="K1673" s="979">
        <v>403194</v>
      </c>
      <c r="L1673" s="979">
        <v>401950</v>
      </c>
      <c r="M1673" s="979">
        <v>599</v>
      </c>
    </row>
    <row r="1674" spans="1:13" ht="15">
      <c r="A1674" s="979" t="s">
        <v>3650</v>
      </c>
      <c r="B1674" s="1040" t="str">
        <f>CONCATENATE(LEFT(RIGHT(CONCATENATE("000",IFAData_TEA_1617!A1674),6),3),"-",(RIGHT(RIGHT(CONCATENATE("000",IFAData_TEA_1617!A1674),6),3)))</f>
        <v>163-901</v>
      </c>
      <c r="C1674" s="979" t="s">
        <v>2669</v>
      </c>
      <c r="D1674" s="979">
        <v>2</v>
      </c>
      <c r="E1674" s="979">
        <v>1758</v>
      </c>
      <c r="F1674" s="979" t="s">
        <v>5236</v>
      </c>
      <c r="G1674" s="979" t="s">
        <v>5236</v>
      </c>
      <c r="H1674" s="979">
        <v>429904</v>
      </c>
      <c r="I1674" s="979">
        <v>0</v>
      </c>
      <c r="J1674" s="979">
        <v>0</v>
      </c>
      <c r="K1674" s="979">
        <v>0</v>
      </c>
      <c r="L1674" s="979">
        <v>0</v>
      </c>
      <c r="M1674" s="979">
        <v>599</v>
      </c>
    </row>
    <row r="1675" spans="1:13" ht="15">
      <c r="A1675" s="979" t="s">
        <v>3650</v>
      </c>
      <c r="B1675" s="1040" t="str">
        <f>CONCATENATE(LEFT(RIGHT(CONCATENATE("000",IFAData_TEA_1617!A1675),6),3),"-",(RIGHT(RIGHT(CONCATENATE("000",IFAData_TEA_1617!A1675),6),3)))</f>
        <v>163-901</v>
      </c>
      <c r="C1675" s="979" t="s">
        <v>2669</v>
      </c>
      <c r="D1675" s="979">
        <v>2</v>
      </c>
      <c r="E1675" s="979">
        <v>1758</v>
      </c>
      <c r="F1675" s="979" t="s">
        <v>5236</v>
      </c>
      <c r="G1675" s="979" t="s">
        <v>5237</v>
      </c>
      <c r="H1675" s="979">
        <v>429904</v>
      </c>
      <c r="I1675" s="979">
        <v>389143</v>
      </c>
      <c r="J1675" s="979">
        <v>1</v>
      </c>
      <c r="K1675" s="979">
        <v>429904</v>
      </c>
      <c r="L1675" s="979">
        <v>389143</v>
      </c>
      <c r="M1675" s="979">
        <v>599</v>
      </c>
    </row>
    <row r="1676" spans="1:13" ht="15">
      <c r="A1676" s="979" t="s">
        <v>3650</v>
      </c>
      <c r="B1676" s="1040" t="str">
        <f>CONCATENATE(LEFT(RIGHT(CONCATENATE("000",IFAData_TEA_1617!A1676),6),3),"-",(RIGHT(RIGHT(CONCATENATE("000",IFAData_TEA_1617!A1676),6),3)))</f>
        <v>163-901</v>
      </c>
      <c r="C1676" s="979" t="s">
        <v>2669</v>
      </c>
      <c r="D1676" s="979">
        <v>9</v>
      </c>
      <c r="E1676" s="979">
        <v>1757</v>
      </c>
      <c r="F1676" s="979" t="s">
        <v>5238</v>
      </c>
      <c r="G1676" s="979" t="s">
        <v>5238</v>
      </c>
      <c r="H1676" s="979">
        <v>417950</v>
      </c>
      <c r="I1676" s="979">
        <v>159200</v>
      </c>
      <c r="J1676" s="979">
        <v>0.43355119825708061</v>
      </c>
      <c r="K1676" s="979">
        <v>181202.72331154684</v>
      </c>
      <c r="L1676" s="979">
        <v>159200</v>
      </c>
      <c r="M1676" s="979">
        <v>599</v>
      </c>
    </row>
    <row r="1677" spans="1:13" ht="15">
      <c r="A1677" s="979" t="s">
        <v>3650</v>
      </c>
      <c r="B1677" s="1040" t="str">
        <f>CONCATENATE(LEFT(RIGHT(CONCATENATE("000",IFAData_TEA_1617!A1677),6),3),"-",(RIGHT(RIGHT(CONCATENATE("000",IFAData_TEA_1617!A1677),6),3)))</f>
        <v>163-901</v>
      </c>
      <c r="C1677" s="979" t="s">
        <v>2669</v>
      </c>
      <c r="D1677" s="979">
        <v>9</v>
      </c>
      <c r="E1677" s="979">
        <v>1757</v>
      </c>
      <c r="F1677" s="979" t="s">
        <v>5238</v>
      </c>
      <c r="G1677" s="979" t="s">
        <v>6509</v>
      </c>
      <c r="H1677" s="979">
        <v>417950</v>
      </c>
      <c r="I1677" s="979">
        <v>208000</v>
      </c>
      <c r="J1677" s="979">
        <v>0.56644880174291934</v>
      </c>
      <c r="K1677" s="979">
        <v>236747.27668845313</v>
      </c>
      <c r="L1677" s="979">
        <v>208000</v>
      </c>
      <c r="M1677" s="979">
        <v>599</v>
      </c>
    </row>
    <row r="1678" spans="1:13" ht="15">
      <c r="A1678" s="979" t="s">
        <v>3651</v>
      </c>
      <c r="B1678" s="1040" t="str">
        <f>CONCATENATE(LEFT(RIGHT(CONCATENATE("000",IFAData_TEA_1617!A1678),6),3),"-",(RIGHT(RIGHT(CONCATENATE("000",IFAData_TEA_1617!A1678),6),3)))</f>
        <v>163-902</v>
      </c>
      <c r="C1678" s="979" t="s">
        <v>2178</v>
      </c>
      <c r="D1678" s="979">
        <v>6</v>
      </c>
      <c r="E1678" s="979">
        <v>1760</v>
      </c>
      <c r="F1678" s="979" t="s">
        <v>5240</v>
      </c>
      <c r="G1678" s="979" t="s">
        <v>5241</v>
      </c>
      <c r="H1678" s="979">
        <v>100000</v>
      </c>
      <c r="I1678" s="979">
        <v>90182</v>
      </c>
      <c r="J1678" s="979">
        <v>1</v>
      </c>
      <c r="K1678" s="979">
        <v>100000</v>
      </c>
      <c r="L1678" s="979">
        <v>90182</v>
      </c>
      <c r="M1678" s="979">
        <v>599</v>
      </c>
    </row>
    <row r="1679" spans="1:13" ht="15">
      <c r="A1679" s="979" t="s">
        <v>3651</v>
      </c>
      <c r="B1679" s="1040" t="str">
        <f>CONCATENATE(LEFT(RIGHT(CONCATENATE("000",IFAData_TEA_1617!A1679),6),3),"-",(RIGHT(RIGHT(CONCATENATE("000",IFAData_TEA_1617!A1679),6),3)))</f>
        <v>163-902</v>
      </c>
      <c r="C1679" s="979" t="s">
        <v>2178</v>
      </c>
      <c r="D1679" s="979">
        <v>6</v>
      </c>
      <c r="E1679" s="979">
        <v>1760</v>
      </c>
      <c r="F1679" s="979" t="s">
        <v>5240</v>
      </c>
      <c r="G1679" s="979" t="s">
        <v>5240</v>
      </c>
      <c r="H1679" s="979">
        <v>100000</v>
      </c>
      <c r="I1679" s="979">
        <v>0</v>
      </c>
      <c r="J1679" s="979">
        <v>0</v>
      </c>
      <c r="K1679" s="979">
        <v>0</v>
      </c>
      <c r="L1679" s="979">
        <v>0</v>
      </c>
      <c r="M1679" s="979">
        <v>599</v>
      </c>
    </row>
    <row r="1680" spans="1:13" ht="15">
      <c r="A1680" s="979" t="s">
        <v>3651</v>
      </c>
      <c r="B1680" s="1040" t="str">
        <f>CONCATENATE(LEFT(RIGHT(CONCATENATE("000",IFAData_TEA_1617!A1680),6),3),"-",(RIGHT(RIGHT(CONCATENATE("000",IFAData_TEA_1617!A1680),6),3)))</f>
        <v>163-902</v>
      </c>
      <c r="C1680" s="979" t="s">
        <v>2178</v>
      </c>
      <c r="D1680" s="979">
        <v>9</v>
      </c>
      <c r="E1680" s="979">
        <v>1761</v>
      </c>
      <c r="F1680" s="979" t="s">
        <v>5242</v>
      </c>
      <c r="G1680" s="979" t="s">
        <v>6299</v>
      </c>
      <c r="H1680" s="979">
        <v>100000</v>
      </c>
      <c r="I1680" s="979">
        <v>138522</v>
      </c>
      <c r="J1680" s="979">
        <v>1</v>
      </c>
      <c r="K1680" s="979">
        <v>100000</v>
      </c>
      <c r="L1680" s="979">
        <v>100000</v>
      </c>
      <c r="M1680" s="979">
        <v>599</v>
      </c>
    </row>
    <row r="1681" spans="1:13" ht="15">
      <c r="A1681" s="979" t="s">
        <v>3651</v>
      </c>
      <c r="B1681" s="1040" t="str">
        <f>CONCATENATE(LEFT(RIGHT(CONCATENATE("000",IFAData_TEA_1617!A1681),6),3),"-",(RIGHT(RIGHT(CONCATENATE("000",IFAData_TEA_1617!A1681),6),3)))</f>
        <v>163-902</v>
      </c>
      <c r="C1681" s="979" t="s">
        <v>2178</v>
      </c>
      <c r="D1681" s="979">
        <v>9</v>
      </c>
      <c r="E1681" s="979">
        <v>1761</v>
      </c>
      <c r="F1681" s="979" t="s">
        <v>5242</v>
      </c>
      <c r="G1681" s="979" t="s">
        <v>5242</v>
      </c>
      <c r="H1681" s="979">
        <v>100000</v>
      </c>
      <c r="I1681" s="979">
        <v>0</v>
      </c>
      <c r="J1681" s="979">
        <v>0</v>
      </c>
      <c r="K1681" s="979">
        <v>0</v>
      </c>
      <c r="L1681" s="979">
        <v>0</v>
      </c>
      <c r="M1681" s="979">
        <v>599</v>
      </c>
    </row>
    <row r="1682" spans="1:13" ht="15">
      <c r="A1682" s="979" t="s">
        <v>3652</v>
      </c>
      <c r="B1682" s="1040" t="str">
        <f>CONCATENATE(LEFT(RIGHT(CONCATENATE("000",IFAData_TEA_1617!A1682),6),3),"-",(RIGHT(RIGHT(CONCATENATE("000",IFAData_TEA_1617!A1682),6),3)))</f>
        <v>163-903</v>
      </c>
      <c r="C1682" s="979" t="s">
        <v>2244</v>
      </c>
      <c r="D1682" s="979">
        <v>8</v>
      </c>
      <c r="E1682" s="979">
        <v>2126</v>
      </c>
      <c r="F1682" s="979" t="s">
        <v>5245</v>
      </c>
      <c r="G1682" s="979" t="s">
        <v>5245</v>
      </c>
      <c r="H1682" s="979">
        <v>260720</v>
      </c>
      <c r="I1682" s="979">
        <v>0</v>
      </c>
      <c r="J1682" s="979">
        <v>0</v>
      </c>
      <c r="K1682" s="979">
        <v>0</v>
      </c>
      <c r="L1682" s="979">
        <v>0</v>
      </c>
      <c r="M1682" s="979">
        <v>599</v>
      </c>
    </row>
    <row r="1683" spans="1:13" ht="15">
      <c r="A1683" s="979" t="s">
        <v>3652</v>
      </c>
      <c r="B1683" s="1040" t="str">
        <f>CONCATENATE(LEFT(RIGHT(CONCATENATE("000",IFAData_TEA_1617!A1683),6),3),"-",(RIGHT(RIGHT(CONCATENATE("000",IFAData_TEA_1617!A1683),6),3)))</f>
        <v>163-903</v>
      </c>
      <c r="C1683" s="979" t="s">
        <v>2244</v>
      </c>
      <c r="D1683" s="979">
        <v>4</v>
      </c>
      <c r="E1683" s="979">
        <v>2125</v>
      </c>
      <c r="F1683" s="979" t="s">
        <v>5243</v>
      </c>
      <c r="G1683" s="979" t="s">
        <v>5243</v>
      </c>
      <c r="H1683" s="979">
        <v>240522</v>
      </c>
      <c r="I1683" s="979">
        <v>0</v>
      </c>
      <c r="J1683" s="979">
        <v>0</v>
      </c>
      <c r="K1683" s="979"/>
      <c r="L1683" s="979">
        <v>0</v>
      </c>
      <c r="M1683" s="979">
        <v>599</v>
      </c>
    </row>
    <row r="1684" spans="1:13" ht="15">
      <c r="A1684" s="979" t="s">
        <v>3652</v>
      </c>
      <c r="B1684" s="1040" t="str">
        <f>CONCATENATE(LEFT(RIGHT(CONCATENATE("000",IFAData_TEA_1617!A1684),6),3),"-",(RIGHT(RIGHT(CONCATENATE("000",IFAData_TEA_1617!A1684),6),3)))</f>
        <v>163-903</v>
      </c>
      <c r="C1684" s="979" t="s">
        <v>2244</v>
      </c>
      <c r="D1684" s="979">
        <v>8</v>
      </c>
      <c r="E1684" s="979">
        <v>2126</v>
      </c>
      <c r="F1684" s="979" t="s">
        <v>5245</v>
      </c>
      <c r="G1684" s="979" t="s">
        <v>6510</v>
      </c>
      <c r="H1684" s="979">
        <v>260720</v>
      </c>
      <c r="I1684" s="979">
        <v>143157</v>
      </c>
      <c r="J1684" s="979">
        <v>1</v>
      </c>
      <c r="K1684" s="979">
        <v>260720</v>
      </c>
      <c r="L1684" s="979">
        <v>143157</v>
      </c>
      <c r="M1684" s="979">
        <v>599</v>
      </c>
    </row>
    <row r="1685" spans="1:13" ht="15">
      <c r="A1685" s="979" t="s">
        <v>3653</v>
      </c>
      <c r="B1685" s="1040" t="str">
        <f>CONCATENATE(LEFT(RIGHT(CONCATENATE("000",IFAData_TEA_1617!A1685),6),3),"-",(RIGHT(RIGHT(CONCATENATE("000",IFAData_TEA_1617!A1685),6),3)))</f>
        <v>163-904</v>
      </c>
      <c r="C1685" s="979" t="s">
        <v>2378</v>
      </c>
      <c r="D1685" s="979">
        <v>5</v>
      </c>
      <c r="E1685" s="979">
        <v>1897</v>
      </c>
      <c r="F1685" s="979" t="s">
        <v>5249</v>
      </c>
      <c r="G1685" s="979" t="s">
        <v>5249</v>
      </c>
      <c r="H1685" s="979">
        <v>351045</v>
      </c>
      <c r="I1685" s="979">
        <v>0</v>
      </c>
      <c r="J1685" s="979">
        <v>0</v>
      </c>
      <c r="K1685" s="979">
        <v>0</v>
      </c>
      <c r="L1685" s="979">
        <v>0</v>
      </c>
      <c r="M1685" s="979">
        <v>599</v>
      </c>
    </row>
    <row r="1686" spans="1:13" ht="15">
      <c r="A1686" s="979" t="s">
        <v>3653</v>
      </c>
      <c r="B1686" s="1040" t="str">
        <f>CONCATENATE(LEFT(RIGHT(CONCATENATE("000",IFAData_TEA_1617!A1686),6),3),"-",(RIGHT(RIGHT(CONCATENATE("000",IFAData_TEA_1617!A1686),6),3)))</f>
        <v>163-904</v>
      </c>
      <c r="C1686" s="979" t="s">
        <v>2378</v>
      </c>
      <c r="D1686" s="979">
        <v>5</v>
      </c>
      <c r="E1686" s="979">
        <v>1897</v>
      </c>
      <c r="F1686" s="979" t="s">
        <v>5249</v>
      </c>
      <c r="G1686" s="979" t="s">
        <v>5248</v>
      </c>
      <c r="H1686" s="979">
        <v>351045</v>
      </c>
      <c r="I1686" s="979">
        <v>0</v>
      </c>
      <c r="J1686" s="979">
        <v>0</v>
      </c>
      <c r="K1686" s="979">
        <v>0</v>
      </c>
      <c r="L1686" s="979">
        <v>0</v>
      </c>
      <c r="M1686" s="979">
        <v>599</v>
      </c>
    </row>
    <row r="1687" spans="1:13" ht="15">
      <c r="A1687" s="979" t="s">
        <v>3653</v>
      </c>
      <c r="B1687" s="1040" t="str">
        <f>CONCATENATE(LEFT(RIGHT(CONCATENATE("000",IFAData_TEA_1617!A1687),6),3),"-",(RIGHT(RIGHT(CONCATENATE("000",IFAData_TEA_1617!A1687),6),3)))</f>
        <v>163-904</v>
      </c>
      <c r="C1687" s="979" t="s">
        <v>2378</v>
      </c>
      <c r="D1687" s="979">
        <v>2</v>
      </c>
      <c r="E1687" s="979">
        <v>1898</v>
      </c>
      <c r="F1687" s="979" t="s">
        <v>5246</v>
      </c>
      <c r="G1687" s="979" t="s">
        <v>5248</v>
      </c>
      <c r="H1687" s="979">
        <v>468918</v>
      </c>
      <c r="I1687" s="979">
        <v>404510</v>
      </c>
      <c r="J1687" s="979">
        <v>1</v>
      </c>
      <c r="K1687" s="979">
        <v>468918</v>
      </c>
      <c r="L1687" s="979">
        <v>404510</v>
      </c>
      <c r="M1687" s="979">
        <v>599</v>
      </c>
    </row>
    <row r="1688" spans="1:13" ht="15">
      <c r="A1688" s="979" t="s">
        <v>3653</v>
      </c>
      <c r="B1688" s="1040" t="str">
        <f>CONCATENATE(LEFT(RIGHT(CONCATENATE("000",IFAData_TEA_1617!A1688),6),3),"-",(RIGHT(RIGHT(CONCATENATE("000",IFAData_TEA_1617!A1688),6),3)))</f>
        <v>163-904</v>
      </c>
      <c r="C1688" s="979" t="s">
        <v>2378</v>
      </c>
      <c r="D1688" s="979">
        <v>2</v>
      </c>
      <c r="E1688" s="979">
        <v>1898</v>
      </c>
      <c r="F1688" s="979" t="s">
        <v>5246</v>
      </c>
      <c r="G1688" s="979" t="s">
        <v>5247</v>
      </c>
      <c r="H1688" s="979">
        <v>468918</v>
      </c>
      <c r="I1688" s="979">
        <v>0</v>
      </c>
      <c r="J1688" s="979">
        <v>0</v>
      </c>
      <c r="K1688" s="979">
        <v>0</v>
      </c>
      <c r="L1688" s="979">
        <v>0</v>
      </c>
      <c r="M1688" s="979">
        <v>599</v>
      </c>
    </row>
    <row r="1689" spans="1:13" ht="15">
      <c r="A1689" s="979" t="s">
        <v>3653</v>
      </c>
      <c r="B1689" s="1040" t="str">
        <f>CONCATENATE(LEFT(RIGHT(CONCATENATE("000",IFAData_TEA_1617!A1689),6),3),"-",(RIGHT(RIGHT(CONCATENATE("000",IFAData_TEA_1617!A1689),6),3)))</f>
        <v>163-904</v>
      </c>
      <c r="C1689" s="979" t="s">
        <v>2378</v>
      </c>
      <c r="D1689" s="979">
        <v>2</v>
      </c>
      <c r="E1689" s="979">
        <v>1898</v>
      </c>
      <c r="F1689" s="979" t="s">
        <v>5246</v>
      </c>
      <c r="G1689" s="979" t="s">
        <v>5246</v>
      </c>
      <c r="H1689" s="979">
        <v>468918</v>
      </c>
      <c r="I1689" s="979">
        <v>0</v>
      </c>
      <c r="J1689" s="979">
        <v>0</v>
      </c>
      <c r="K1689" s="979">
        <v>0</v>
      </c>
      <c r="L1689" s="979">
        <v>0</v>
      </c>
      <c r="M1689" s="979">
        <v>599</v>
      </c>
    </row>
    <row r="1690" spans="1:13" ht="15">
      <c r="A1690" s="979" t="s">
        <v>3653</v>
      </c>
      <c r="B1690" s="1040" t="str">
        <f>CONCATENATE(LEFT(RIGHT(CONCATENATE("000",IFAData_TEA_1617!A1690),6),3),"-",(RIGHT(RIGHT(CONCATENATE("000",IFAData_TEA_1617!A1690),6),3)))</f>
        <v>163-904</v>
      </c>
      <c r="C1690" s="979" t="s">
        <v>2378</v>
      </c>
      <c r="D1690" s="979">
        <v>5</v>
      </c>
      <c r="E1690" s="979">
        <v>1897</v>
      </c>
      <c r="F1690" s="979" t="s">
        <v>5249</v>
      </c>
      <c r="G1690" s="979" t="s">
        <v>5250</v>
      </c>
      <c r="H1690" s="979">
        <v>351045</v>
      </c>
      <c r="I1690" s="979">
        <v>331924</v>
      </c>
      <c r="J1690" s="979">
        <v>1</v>
      </c>
      <c r="K1690" s="979">
        <v>351045</v>
      </c>
      <c r="L1690" s="979">
        <v>331924</v>
      </c>
      <c r="M1690" s="979">
        <v>599</v>
      </c>
    </row>
    <row r="1691" spans="1:13" ht="15">
      <c r="A1691" s="979" t="s">
        <v>3654</v>
      </c>
      <c r="B1691" s="1040" t="str">
        <f>CONCATENATE(LEFT(RIGHT(CONCATENATE("000",IFAData_TEA_1617!A1691),6),3),"-",(RIGHT(RIGHT(CONCATENATE("000",IFAData_TEA_1617!A1691),6),3)))</f>
        <v>163-908</v>
      </c>
      <c r="C1691" s="979" t="s">
        <v>823</v>
      </c>
      <c r="D1691" s="979">
        <v>9</v>
      </c>
      <c r="E1691" s="979">
        <v>2087</v>
      </c>
      <c r="F1691" s="979" t="s">
        <v>5255</v>
      </c>
      <c r="G1691" s="979" t="s">
        <v>6301</v>
      </c>
      <c r="H1691" s="979">
        <v>778750</v>
      </c>
      <c r="I1691" s="979">
        <v>225117</v>
      </c>
      <c r="J1691" s="979">
        <v>8.8012720415923507E-2</v>
      </c>
      <c r="K1691" s="979">
        <v>68539.906023900432</v>
      </c>
      <c r="L1691" s="979">
        <v>68539.906023900432</v>
      </c>
      <c r="M1691" s="979">
        <v>599</v>
      </c>
    </row>
    <row r="1692" spans="1:13" ht="15">
      <c r="A1692" s="979" t="s">
        <v>3654</v>
      </c>
      <c r="B1692" s="1040" t="str">
        <f>CONCATENATE(LEFT(RIGHT(CONCATENATE("000",IFAData_TEA_1617!A1692),6),3),"-",(RIGHT(RIGHT(CONCATENATE("000",IFAData_TEA_1617!A1692),6),3)))</f>
        <v>163-908</v>
      </c>
      <c r="C1692" s="979" t="s">
        <v>823</v>
      </c>
      <c r="D1692" s="979">
        <v>9</v>
      </c>
      <c r="E1692" s="979">
        <v>2087</v>
      </c>
      <c r="F1692" s="979" t="s">
        <v>5255</v>
      </c>
      <c r="G1692" s="979" t="s">
        <v>6300</v>
      </c>
      <c r="H1692" s="979">
        <v>778750</v>
      </c>
      <c r="I1692" s="979">
        <v>99183</v>
      </c>
      <c r="J1692" s="979">
        <v>3.8777016613638866E-2</v>
      </c>
      <c r="K1692" s="979">
        <v>30197.601687871269</v>
      </c>
      <c r="L1692" s="979">
        <v>30197.601687871269</v>
      </c>
      <c r="M1692" s="979">
        <v>599</v>
      </c>
    </row>
    <row r="1693" spans="1:13" ht="15">
      <c r="A1693" s="979" t="s">
        <v>3654</v>
      </c>
      <c r="B1693" s="1040" t="str">
        <f>CONCATENATE(LEFT(RIGHT(CONCATENATE("000",IFAData_TEA_1617!A1693),6),3),"-",(RIGHT(RIGHT(CONCATENATE("000",IFAData_TEA_1617!A1693),6),3)))</f>
        <v>163-908</v>
      </c>
      <c r="C1693" s="979" t="s">
        <v>823</v>
      </c>
      <c r="D1693" s="979">
        <v>5</v>
      </c>
      <c r="E1693" s="979">
        <v>2086</v>
      </c>
      <c r="F1693" s="979" t="s">
        <v>5254</v>
      </c>
      <c r="G1693" s="979" t="s">
        <v>5254</v>
      </c>
      <c r="H1693" s="979">
        <v>728095</v>
      </c>
      <c r="I1693" s="979">
        <v>0</v>
      </c>
      <c r="J1693" s="979">
        <v>0</v>
      </c>
      <c r="K1693" s="979">
        <v>0</v>
      </c>
      <c r="L1693" s="979">
        <v>0</v>
      </c>
      <c r="M1693" s="979">
        <v>599</v>
      </c>
    </row>
    <row r="1694" spans="1:13" ht="15">
      <c r="A1694" s="979" t="s">
        <v>3654</v>
      </c>
      <c r="B1694" s="1040" t="str">
        <f>CONCATENATE(LEFT(RIGHT(CONCATENATE("000",IFAData_TEA_1617!A1694),6),3),"-",(RIGHT(RIGHT(CONCATENATE("000",IFAData_TEA_1617!A1694),6),3)))</f>
        <v>163-908</v>
      </c>
      <c r="C1694" s="979" t="s">
        <v>823</v>
      </c>
      <c r="D1694" s="979">
        <v>2</v>
      </c>
      <c r="E1694" s="979">
        <v>2085</v>
      </c>
      <c r="F1694" s="979" t="s">
        <v>5251</v>
      </c>
      <c r="G1694" s="979" t="s">
        <v>6512</v>
      </c>
      <c r="H1694" s="979">
        <v>528404</v>
      </c>
      <c r="I1694" s="979">
        <v>480256</v>
      </c>
      <c r="J1694" s="979">
        <v>0.8401621348336229</v>
      </c>
      <c r="K1694" s="979">
        <v>443945.03269462567</v>
      </c>
      <c r="L1694" s="979">
        <v>443945.03269462567</v>
      </c>
      <c r="M1694" s="979">
        <v>599</v>
      </c>
    </row>
    <row r="1695" spans="1:13" ht="15">
      <c r="A1695" s="979" t="s">
        <v>3654</v>
      </c>
      <c r="B1695" s="1040" t="str">
        <f>CONCATENATE(LEFT(RIGHT(CONCATENATE("000",IFAData_TEA_1617!A1695),6),3),"-",(RIGHT(RIGHT(CONCATENATE("000",IFAData_TEA_1617!A1695),6),3)))</f>
        <v>163-908</v>
      </c>
      <c r="C1695" s="979" t="s">
        <v>823</v>
      </c>
      <c r="D1695" s="979">
        <v>2</v>
      </c>
      <c r="E1695" s="979">
        <v>2085</v>
      </c>
      <c r="F1695" s="979" t="s">
        <v>5251</v>
      </c>
      <c r="G1695" s="979" t="s">
        <v>5252</v>
      </c>
      <c r="H1695" s="979">
        <v>528404</v>
      </c>
      <c r="I1695" s="979">
        <v>15482</v>
      </c>
      <c r="J1695" s="979">
        <v>2.7084284572174318E-2</v>
      </c>
      <c r="K1695" s="979">
        <v>14311.444305075198</v>
      </c>
      <c r="L1695" s="979">
        <v>14311.444305075198</v>
      </c>
      <c r="M1695" s="979">
        <v>599</v>
      </c>
    </row>
    <row r="1696" spans="1:13" ht="15">
      <c r="A1696" s="979" t="s">
        <v>3654</v>
      </c>
      <c r="B1696" s="1040" t="str">
        <f>CONCATENATE(LEFT(RIGHT(CONCATENATE("000",IFAData_TEA_1617!A1696),6),3),"-",(RIGHT(RIGHT(CONCATENATE("000",IFAData_TEA_1617!A1696),6),3)))</f>
        <v>163-908</v>
      </c>
      <c r="C1696" s="979" t="s">
        <v>823</v>
      </c>
      <c r="D1696" s="979">
        <v>5</v>
      </c>
      <c r="E1696" s="979">
        <v>2086</v>
      </c>
      <c r="F1696" s="979" t="s">
        <v>5254</v>
      </c>
      <c r="G1696" s="979" t="s">
        <v>5252</v>
      </c>
      <c r="H1696" s="979">
        <v>728095</v>
      </c>
      <c r="I1696" s="979">
        <v>143408</v>
      </c>
      <c r="J1696" s="979">
        <v>0.20752338849134283</v>
      </c>
      <c r="K1696" s="979">
        <v>151096.74154360426</v>
      </c>
      <c r="L1696" s="979">
        <v>143408</v>
      </c>
      <c r="M1696" s="979">
        <v>599</v>
      </c>
    </row>
    <row r="1697" spans="1:13" ht="15">
      <c r="A1697" s="979" t="s">
        <v>3654</v>
      </c>
      <c r="B1697" s="1040" t="str">
        <f>CONCATENATE(LEFT(RIGHT(CONCATENATE("000",IFAData_TEA_1617!A1697),6),3),"-",(RIGHT(RIGHT(CONCATENATE("000",IFAData_TEA_1617!A1697),6),3)))</f>
        <v>163-908</v>
      </c>
      <c r="C1697" s="979" t="s">
        <v>823</v>
      </c>
      <c r="D1697" s="979">
        <v>2</v>
      </c>
      <c r="E1697" s="979">
        <v>2085</v>
      </c>
      <c r="F1697" s="979" t="s">
        <v>5251</v>
      </c>
      <c r="G1697" s="979" t="s">
        <v>5253</v>
      </c>
      <c r="H1697" s="979">
        <v>528404</v>
      </c>
      <c r="I1697" s="979">
        <v>75885</v>
      </c>
      <c r="J1697" s="979">
        <v>0.13275358059420284</v>
      </c>
      <c r="K1697" s="979">
        <v>70147.523000299159</v>
      </c>
      <c r="L1697" s="979">
        <v>70147.523000299159</v>
      </c>
      <c r="M1697" s="979">
        <v>599</v>
      </c>
    </row>
    <row r="1698" spans="1:13" ht="15">
      <c r="A1698" s="979" t="s">
        <v>3654</v>
      </c>
      <c r="B1698" s="1040" t="str">
        <f>CONCATENATE(LEFT(RIGHT(CONCATENATE("000",IFAData_TEA_1617!A1698),6),3),"-",(RIGHT(RIGHT(CONCATENATE("000",IFAData_TEA_1617!A1698),6),3)))</f>
        <v>163-908</v>
      </c>
      <c r="C1698" s="979" t="s">
        <v>823</v>
      </c>
      <c r="D1698" s="979">
        <v>5</v>
      </c>
      <c r="E1698" s="979">
        <v>2086</v>
      </c>
      <c r="F1698" s="979" t="s">
        <v>5254</v>
      </c>
      <c r="G1698" s="979" t="s">
        <v>5253</v>
      </c>
      <c r="H1698" s="979">
        <v>728095</v>
      </c>
      <c r="I1698" s="979">
        <v>218293</v>
      </c>
      <c r="J1698" s="979">
        <v>0.31588825619170968</v>
      </c>
      <c r="K1698" s="979">
        <v>229996.65989190285</v>
      </c>
      <c r="L1698" s="979">
        <v>218293</v>
      </c>
      <c r="M1698" s="979">
        <v>599</v>
      </c>
    </row>
    <row r="1699" spans="1:13" ht="15">
      <c r="A1699" s="979" t="s">
        <v>3654</v>
      </c>
      <c r="B1699" s="1040" t="str">
        <f>CONCATENATE(LEFT(RIGHT(CONCATENATE("000",IFAData_TEA_1617!A1699),6),3),"-",(RIGHT(RIGHT(CONCATENATE("000",IFAData_TEA_1617!A1699),6),3)))</f>
        <v>163-908</v>
      </c>
      <c r="C1699" s="979" t="s">
        <v>823</v>
      </c>
      <c r="D1699" s="979">
        <v>2</v>
      </c>
      <c r="E1699" s="979">
        <v>2085</v>
      </c>
      <c r="F1699" s="979" t="s">
        <v>5251</v>
      </c>
      <c r="G1699" s="979" t="s">
        <v>5251</v>
      </c>
      <c r="H1699" s="979">
        <v>528404</v>
      </c>
      <c r="I1699" s="979">
        <v>0</v>
      </c>
      <c r="J1699" s="979">
        <v>0</v>
      </c>
      <c r="K1699" s="979">
        <v>0</v>
      </c>
      <c r="L1699" s="979">
        <v>0</v>
      </c>
      <c r="M1699" s="979">
        <v>599</v>
      </c>
    </row>
    <row r="1700" spans="1:13" ht="15">
      <c r="A1700" s="979" t="s">
        <v>3654</v>
      </c>
      <c r="B1700" s="1040" t="str">
        <f>CONCATENATE(LEFT(RIGHT(CONCATENATE("000",IFAData_TEA_1617!A1700),6),3),"-",(RIGHT(RIGHT(CONCATENATE("000",IFAData_TEA_1617!A1700),6),3)))</f>
        <v>163-908</v>
      </c>
      <c r="C1700" s="979" t="s">
        <v>823</v>
      </c>
      <c r="D1700" s="979">
        <v>9</v>
      </c>
      <c r="E1700" s="979">
        <v>2087</v>
      </c>
      <c r="F1700" s="979" t="s">
        <v>5255</v>
      </c>
      <c r="G1700" s="979" t="s">
        <v>6511</v>
      </c>
      <c r="H1700" s="979">
        <v>778750</v>
      </c>
      <c r="I1700" s="979">
        <v>594605</v>
      </c>
      <c r="J1700" s="979">
        <v>0.2324693542598302</v>
      </c>
      <c r="K1700" s="979">
        <v>181035.50962984277</v>
      </c>
      <c r="L1700" s="979">
        <v>181035.50962984277</v>
      </c>
      <c r="M1700" s="979">
        <v>599</v>
      </c>
    </row>
    <row r="1701" spans="1:13" ht="15">
      <c r="A1701" s="979" t="s">
        <v>3654</v>
      </c>
      <c r="B1701" s="1040" t="str">
        <f>CONCATENATE(LEFT(RIGHT(CONCATENATE("000",IFAData_TEA_1617!A1701),6),3),"-",(RIGHT(RIGHT(CONCATENATE("000",IFAData_TEA_1617!A1701),6),3)))</f>
        <v>163-908</v>
      </c>
      <c r="C1701" s="979" t="s">
        <v>823</v>
      </c>
      <c r="D1701" s="979">
        <v>9</v>
      </c>
      <c r="E1701" s="979">
        <v>2087</v>
      </c>
      <c r="F1701" s="979" t="s">
        <v>5255</v>
      </c>
      <c r="G1701" s="979" t="s">
        <v>5255</v>
      </c>
      <c r="H1701" s="979">
        <v>778750</v>
      </c>
      <c r="I1701" s="979">
        <v>1638873</v>
      </c>
      <c r="J1701" s="979">
        <v>0.6407409087106074</v>
      </c>
      <c r="K1701" s="979">
        <v>498976.98265838553</v>
      </c>
      <c r="L1701" s="979">
        <v>498976.98265838553</v>
      </c>
      <c r="M1701" s="979">
        <v>599</v>
      </c>
    </row>
    <row r="1702" spans="1:13" ht="15">
      <c r="A1702" s="979" t="s">
        <v>3654</v>
      </c>
      <c r="B1702" s="1040" t="str">
        <f>CONCATENATE(LEFT(RIGHT(CONCATENATE("000",IFAData_TEA_1617!A1702),6),3),"-",(RIGHT(RIGHT(CONCATENATE("000",IFAData_TEA_1617!A1702),6),3)))</f>
        <v>163-908</v>
      </c>
      <c r="C1702" s="979" t="s">
        <v>823</v>
      </c>
      <c r="D1702" s="979">
        <v>5</v>
      </c>
      <c r="E1702" s="979">
        <v>2086</v>
      </c>
      <c r="F1702" s="979" t="s">
        <v>5254</v>
      </c>
      <c r="G1702" s="979" t="s">
        <v>6512</v>
      </c>
      <c r="H1702" s="979">
        <v>728095</v>
      </c>
      <c r="I1702" s="979">
        <v>329344</v>
      </c>
      <c r="J1702" s="979">
        <v>0.47658835531694754</v>
      </c>
      <c r="K1702" s="979">
        <v>347001.59856449295</v>
      </c>
      <c r="L1702" s="979">
        <v>329344</v>
      </c>
      <c r="M1702" s="979">
        <v>599</v>
      </c>
    </row>
    <row r="1703" spans="1:13" ht="15">
      <c r="A1703" s="979" t="s">
        <v>3655</v>
      </c>
      <c r="B1703" s="1040" t="str">
        <f>CONCATENATE(LEFT(RIGHT(CONCATENATE("000",IFAData_TEA_1617!A1703),6),3),"-",(RIGHT(RIGHT(CONCATENATE("000",IFAData_TEA_1617!A1703),6),3)))</f>
        <v>165-901</v>
      </c>
      <c r="C1703" s="979" t="s">
        <v>2236</v>
      </c>
      <c r="D1703" s="979">
        <v>1</v>
      </c>
      <c r="E1703" s="979">
        <v>2104</v>
      </c>
      <c r="F1703" s="979" t="s">
        <v>5258</v>
      </c>
      <c r="G1703" s="979" t="s">
        <v>5258</v>
      </c>
      <c r="H1703" s="979">
        <v>1498095</v>
      </c>
      <c r="I1703" s="979">
        <v>0</v>
      </c>
      <c r="J1703" s="979">
        <v>0</v>
      </c>
      <c r="K1703" s="979">
        <v>0</v>
      </c>
      <c r="L1703" s="979">
        <v>0</v>
      </c>
      <c r="M1703" s="979">
        <v>599</v>
      </c>
    </row>
    <row r="1704" spans="1:13" ht="15">
      <c r="A1704" s="979" t="s">
        <v>3655</v>
      </c>
      <c r="B1704" s="1040" t="str">
        <f>CONCATENATE(LEFT(RIGHT(CONCATENATE("000",IFAData_TEA_1617!A1704),6),3),"-",(RIGHT(RIGHT(CONCATENATE("000",IFAData_TEA_1617!A1704),6),3)))</f>
        <v>165-901</v>
      </c>
      <c r="C1704" s="979" t="s">
        <v>2236</v>
      </c>
      <c r="D1704" s="979">
        <v>1</v>
      </c>
      <c r="E1704" s="979">
        <v>2103</v>
      </c>
      <c r="F1704" s="979" t="s">
        <v>5256</v>
      </c>
      <c r="G1704" s="979" t="s">
        <v>5257</v>
      </c>
      <c r="H1704" s="979">
        <v>1268572</v>
      </c>
      <c r="I1704" s="979">
        <v>80700</v>
      </c>
      <c r="J1704" s="979">
        <v>1</v>
      </c>
      <c r="K1704" s="979">
        <v>1268572</v>
      </c>
      <c r="L1704" s="979">
        <v>80700</v>
      </c>
      <c r="M1704" s="979">
        <v>599</v>
      </c>
    </row>
    <row r="1705" spans="1:13" ht="15">
      <c r="A1705" s="979" t="s">
        <v>3655</v>
      </c>
      <c r="B1705" s="1040" t="str">
        <f>CONCATENATE(LEFT(RIGHT(CONCATENATE("000",IFAData_TEA_1617!A1705),6),3),"-",(RIGHT(RIGHT(CONCATENATE("000",IFAData_TEA_1617!A1705),6),3)))</f>
        <v>165-901</v>
      </c>
      <c r="C1705" s="979" t="s">
        <v>2236</v>
      </c>
      <c r="D1705" s="979">
        <v>1</v>
      </c>
      <c r="E1705" s="979">
        <v>2103</v>
      </c>
      <c r="F1705" s="979" t="s">
        <v>5256</v>
      </c>
      <c r="G1705" s="979" t="s">
        <v>5256</v>
      </c>
      <c r="H1705" s="979">
        <v>1268572</v>
      </c>
      <c r="I1705" s="979">
        <v>0</v>
      </c>
      <c r="J1705" s="979">
        <v>0</v>
      </c>
      <c r="K1705" s="979">
        <v>0</v>
      </c>
      <c r="L1705" s="979">
        <v>0</v>
      </c>
      <c r="M1705" s="979">
        <v>599</v>
      </c>
    </row>
    <row r="1706" spans="1:13" ht="15">
      <c r="A1706" s="979" t="s">
        <v>3655</v>
      </c>
      <c r="B1706" s="1040" t="str">
        <f>CONCATENATE(LEFT(RIGHT(CONCATENATE("000",IFAData_TEA_1617!A1706),6),3),"-",(RIGHT(RIGHT(CONCATENATE("000",IFAData_TEA_1617!A1706),6),3)))</f>
        <v>165-901</v>
      </c>
      <c r="C1706" s="979" t="s">
        <v>2236</v>
      </c>
      <c r="D1706" s="979">
        <v>1</v>
      </c>
      <c r="E1706" s="979">
        <v>2104</v>
      </c>
      <c r="F1706" s="979" t="s">
        <v>5258</v>
      </c>
      <c r="G1706" s="979" t="s">
        <v>5259</v>
      </c>
      <c r="H1706" s="979">
        <v>1498095</v>
      </c>
      <c r="I1706" s="979">
        <v>102179</v>
      </c>
      <c r="J1706" s="979">
        <v>1</v>
      </c>
      <c r="K1706" s="979">
        <v>1498095</v>
      </c>
      <c r="L1706" s="979">
        <v>102179</v>
      </c>
      <c r="M1706" s="979">
        <v>599</v>
      </c>
    </row>
    <row r="1707" spans="1:13" ht="15">
      <c r="A1707" s="979" t="s">
        <v>3656</v>
      </c>
      <c r="B1707" s="1040" t="str">
        <f>CONCATENATE(LEFT(RIGHT(CONCATENATE("000",IFAData_TEA_1617!A1707),6),3),"-",(RIGHT(RIGHT(CONCATENATE("000",IFAData_TEA_1617!A1707),6),3)))</f>
        <v>166-901</v>
      </c>
      <c r="C1707" s="979" t="s">
        <v>652</v>
      </c>
      <c r="D1707" s="979">
        <v>3</v>
      </c>
      <c r="E1707" s="979">
        <v>1660</v>
      </c>
      <c r="F1707" s="979" t="s">
        <v>5260</v>
      </c>
      <c r="G1707" s="979" t="s">
        <v>5261</v>
      </c>
      <c r="H1707" s="979">
        <v>407753</v>
      </c>
      <c r="I1707" s="979">
        <v>536500</v>
      </c>
      <c r="J1707" s="979">
        <v>0.5736734669873107</v>
      </c>
      <c r="K1707" s="979">
        <v>233917.07718447689</v>
      </c>
      <c r="L1707" s="979">
        <v>233917.07718447689</v>
      </c>
      <c r="M1707" s="979">
        <v>599</v>
      </c>
    </row>
    <row r="1708" spans="1:13" ht="15">
      <c r="A1708" s="979" t="s">
        <v>3656</v>
      </c>
      <c r="B1708" s="1040" t="str">
        <f>CONCATENATE(LEFT(RIGHT(CONCATENATE("000",IFAData_TEA_1617!A1708),6),3),"-",(RIGHT(RIGHT(CONCATENATE("000",IFAData_TEA_1617!A1708),6),3)))</f>
        <v>166-901</v>
      </c>
      <c r="C1708" s="979" t="s">
        <v>652</v>
      </c>
      <c r="D1708" s="979">
        <v>6</v>
      </c>
      <c r="E1708" s="979">
        <v>1659</v>
      </c>
      <c r="F1708" s="979" t="s">
        <v>5262</v>
      </c>
      <c r="G1708" s="979" t="s">
        <v>5263</v>
      </c>
      <c r="H1708" s="979">
        <v>390173</v>
      </c>
      <c r="I1708" s="979">
        <v>714118</v>
      </c>
      <c r="J1708" s="979">
        <v>1</v>
      </c>
      <c r="K1708" s="979">
        <v>390173</v>
      </c>
      <c r="L1708" s="979">
        <v>390173</v>
      </c>
      <c r="M1708" s="979">
        <v>599</v>
      </c>
    </row>
    <row r="1709" spans="1:13" ht="15">
      <c r="A1709" s="979" t="s">
        <v>3656</v>
      </c>
      <c r="B1709" s="1040" t="str">
        <f>CONCATENATE(LEFT(RIGHT(CONCATENATE("000",IFAData_TEA_1617!A1709),6),3),"-",(RIGHT(RIGHT(CONCATENATE("000",IFAData_TEA_1617!A1709),6),3)))</f>
        <v>166-901</v>
      </c>
      <c r="C1709" s="979" t="s">
        <v>652</v>
      </c>
      <c r="D1709" s="979">
        <v>6</v>
      </c>
      <c r="E1709" s="979">
        <v>1659</v>
      </c>
      <c r="F1709" s="979" t="s">
        <v>5262</v>
      </c>
      <c r="G1709" s="979" t="s">
        <v>5262</v>
      </c>
      <c r="H1709" s="979">
        <v>390173</v>
      </c>
      <c r="I1709" s="979">
        <v>0</v>
      </c>
      <c r="J1709" s="979">
        <v>0</v>
      </c>
      <c r="K1709" s="979">
        <v>0</v>
      </c>
      <c r="L1709" s="979">
        <v>0</v>
      </c>
      <c r="M1709" s="979">
        <v>599</v>
      </c>
    </row>
    <row r="1710" spans="1:13" ht="15">
      <c r="A1710" s="979" t="s">
        <v>3656</v>
      </c>
      <c r="B1710" s="1040" t="str">
        <f>CONCATENATE(LEFT(RIGHT(CONCATENATE("000",IFAData_TEA_1617!A1710),6),3),"-",(RIGHT(RIGHT(CONCATENATE("000",IFAData_TEA_1617!A1710),6),3)))</f>
        <v>166-901</v>
      </c>
      <c r="C1710" s="979" t="s">
        <v>652</v>
      </c>
      <c r="D1710" s="979">
        <v>3</v>
      </c>
      <c r="E1710" s="979">
        <v>1660</v>
      </c>
      <c r="F1710" s="979" t="s">
        <v>5260</v>
      </c>
      <c r="G1710" s="979" t="s">
        <v>6513</v>
      </c>
      <c r="H1710" s="979">
        <v>407753</v>
      </c>
      <c r="I1710" s="979">
        <v>398701</v>
      </c>
      <c r="J1710" s="979">
        <v>0.42632653301268925</v>
      </c>
      <c r="K1710" s="979">
        <v>173835.92281552308</v>
      </c>
      <c r="L1710" s="979">
        <v>173835.92281552308</v>
      </c>
      <c r="M1710" s="979">
        <v>599</v>
      </c>
    </row>
    <row r="1711" spans="1:13" ht="15">
      <c r="A1711" s="979" t="s">
        <v>3656</v>
      </c>
      <c r="B1711" s="1040" t="str">
        <f>CONCATENATE(LEFT(RIGHT(CONCATENATE("000",IFAData_TEA_1617!A1711),6),3),"-",(RIGHT(RIGHT(CONCATENATE("000",IFAData_TEA_1617!A1711),6),3)))</f>
        <v>166-901</v>
      </c>
      <c r="C1711" s="979" t="s">
        <v>652</v>
      </c>
      <c r="D1711" s="979">
        <v>3</v>
      </c>
      <c r="E1711" s="979">
        <v>1660</v>
      </c>
      <c r="F1711" s="979" t="s">
        <v>5260</v>
      </c>
      <c r="G1711" s="979" t="s">
        <v>5260</v>
      </c>
      <c r="H1711" s="979">
        <v>407753</v>
      </c>
      <c r="I1711" s="979">
        <v>0</v>
      </c>
      <c r="J1711" s="979">
        <v>0</v>
      </c>
      <c r="K1711" s="979">
        <v>0</v>
      </c>
      <c r="L1711" s="979">
        <v>0</v>
      </c>
      <c r="M1711" s="979">
        <v>599</v>
      </c>
    </row>
    <row r="1712" spans="1:13" ht="15">
      <c r="A1712" s="979" t="s">
        <v>3657</v>
      </c>
      <c r="B1712" s="1040" t="str">
        <f>CONCATENATE(LEFT(RIGHT(CONCATENATE("000",IFAData_TEA_1617!A1712),6),3),"-",(RIGHT(RIGHT(CONCATENATE("000",IFAData_TEA_1617!A1712),6),3)))</f>
        <v>166-907</v>
      </c>
      <c r="C1712" s="979" t="s">
        <v>2637</v>
      </c>
      <c r="D1712" s="979">
        <v>4</v>
      </c>
      <c r="E1712" s="979">
        <v>1649</v>
      </c>
      <c r="F1712" s="979" t="s">
        <v>5264</v>
      </c>
      <c r="G1712" s="979" t="s">
        <v>5265</v>
      </c>
      <c r="H1712" s="979">
        <v>100000</v>
      </c>
      <c r="I1712" s="979">
        <v>87359</v>
      </c>
      <c r="J1712" s="979">
        <v>1</v>
      </c>
      <c r="K1712" s="979">
        <v>100000</v>
      </c>
      <c r="L1712" s="979">
        <v>87359</v>
      </c>
      <c r="M1712" s="979">
        <v>599</v>
      </c>
    </row>
    <row r="1713" spans="1:13" ht="15">
      <c r="A1713" s="979" t="s">
        <v>3657</v>
      </c>
      <c r="B1713" s="1040" t="str">
        <f>CONCATENATE(LEFT(RIGHT(CONCATENATE("000",IFAData_TEA_1617!A1713),6),3),"-",(RIGHT(RIGHT(CONCATENATE("000",IFAData_TEA_1617!A1713),6),3)))</f>
        <v>166-907</v>
      </c>
      <c r="C1713" s="979" t="s">
        <v>2637</v>
      </c>
      <c r="D1713" s="979">
        <v>4</v>
      </c>
      <c r="E1713" s="979">
        <v>1649</v>
      </c>
      <c r="F1713" s="979" t="s">
        <v>5264</v>
      </c>
      <c r="G1713" s="979" t="s">
        <v>5264</v>
      </c>
      <c r="H1713" s="979">
        <v>100000</v>
      </c>
      <c r="I1713" s="979">
        <v>0</v>
      </c>
      <c r="J1713" s="979">
        <v>0</v>
      </c>
      <c r="K1713" s="979">
        <v>0</v>
      </c>
      <c r="L1713" s="979">
        <v>0</v>
      </c>
      <c r="M1713" s="979">
        <v>599</v>
      </c>
    </row>
    <row r="1714" spans="1:13" ht="15">
      <c r="A1714" s="979" t="s">
        <v>3658</v>
      </c>
      <c r="B1714" s="1040" t="str">
        <f>CONCATENATE(LEFT(RIGHT(CONCATENATE("000",IFAData_TEA_1617!A1714),6),3),"-",(RIGHT(RIGHT(CONCATENATE("000",IFAData_TEA_1617!A1714),6),3)))</f>
        <v>167-901</v>
      </c>
      <c r="C1714" s="979" t="s">
        <v>860</v>
      </c>
      <c r="D1714" s="979">
        <v>2</v>
      </c>
      <c r="E1714" s="979">
        <v>1849</v>
      </c>
      <c r="F1714" s="979" t="s">
        <v>5266</v>
      </c>
      <c r="G1714" s="979" t="s">
        <v>5266</v>
      </c>
      <c r="H1714" s="979">
        <v>149754</v>
      </c>
      <c r="I1714" s="979">
        <v>0</v>
      </c>
      <c r="J1714" s="979">
        <v>0</v>
      </c>
      <c r="K1714" s="979">
        <v>0</v>
      </c>
      <c r="L1714" s="979">
        <v>0</v>
      </c>
      <c r="M1714" s="979">
        <v>599</v>
      </c>
    </row>
    <row r="1715" spans="1:13" ht="15">
      <c r="A1715" s="979" t="s">
        <v>3658</v>
      </c>
      <c r="B1715" s="1040" t="str">
        <f>CONCATENATE(LEFT(RIGHT(CONCATENATE("000",IFAData_TEA_1617!A1715),6),3),"-",(RIGHT(RIGHT(CONCATENATE("000",IFAData_TEA_1617!A1715),6),3)))</f>
        <v>167-901</v>
      </c>
      <c r="C1715" s="979" t="s">
        <v>860</v>
      </c>
      <c r="D1715" s="979">
        <v>2</v>
      </c>
      <c r="E1715" s="979">
        <v>1849</v>
      </c>
      <c r="F1715" s="979" t="s">
        <v>5266</v>
      </c>
      <c r="G1715" s="979" t="s">
        <v>5267</v>
      </c>
      <c r="H1715" s="979">
        <v>149754</v>
      </c>
      <c r="I1715" s="979">
        <v>145955</v>
      </c>
      <c r="J1715" s="979">
        <v>1</v>
      </c>
      <c r="K1715" s="979">
        <v>149754</v>
      </c>
      <c r="L1715" s="979">
        <v>145955</v>
      </c>
      <c r="M1715" s="979">
        <v>599</v>
      </c>
    </row>
    <row r="1716" spans="1:13" ht="15">
      <c r="A1716" s="979" t="s">
        <v>3659</v>
      </c>
      <c r="B1716" s="1040" t="str">
        <f>CONCATENATE(LEFT(RIGHT(CONCATENATE("000",IFAData_TEA_1617!A1716),6),3),"-",(RIGHT(RIGHT(CONCATENATE("000",IFAData_TEA_1617!A1716),6),3)))</f>
        <v>167-904</v>
      </c>
      <c r="C1716" s="979" t="s">
        <v>73</v>
      </c>
      <c r="D1716" s="979">
        <v>6</v>
      </c>
      <c r="E1716" s="979">
        <v>2212</v>
      </c>
      <c r="F1716" s="979" t="s">
        <v>5268</v>
      </c>
      <c r="G1716" s="979" t="s">
        <v>5268</v>
      </c>
      <c r="H1716" s="979">
        <v>73691</v>
      </c>
      <c r="I1716" s="979">
        <v>73010</v>
      </c>
      <c r="J1716" s="979">
        <v>1</v>
      </c>
      <c r="K1716" s="979">
        <v>73691</v>
      </c>
      <c r="L1716" s="979">
        <v>73010</v>
      </c>
      <c r="M1716" s="979">
        <v>599</v>
      </c>
    </row>
    <row r="1717" spans="1:13" ht="15">
      <c r="A1717" s="979" t="s">
        <v>3660</v>
      </c>
      <c r="B1717" s="1040" t="str">
        <f>CONCATENATE(LEFT(RIGHT(CONCATENATE("000",IFAData_TEA_1617!A1717),6),3),"-",(RIGHT(RIGHT(CONCATENATE("000",IFAData_TEA_1617!A1717),6),3)))</f>
        <v>169-901</v>
      </c>
      <c r="C1717" s="979" t="s">
        <v>1366</v>
      </c>
      <c r="D1717" s="979">
        <v>9</v>
      </c>
      <c r="E1717" s="979">
        <v>1630</v>
      </c>
      <c r="F1717" s="979" t="s">
        <v>5269</v>
      </c>
      <c r="G1717" s="979" t="s">
        <v>5270</v>
      </c>
      <c r="H1717" s="979">
        <v>357946</v>
      </c>
      <c r="I1717" s="979">
        <v>554968</v>
      </c>
      <c r="J1717" s="979">
        <v>1</v>
      </c>
      <c r="K1717" s="979">
        <v>357946</v>
      </c>
      <c r="L1717" s="979">
        <v>357946</v>
      </c>
      <c r="M1717" s="979">
        <v>599</v>
      </c>
    </row>
    <row r="1718" spans="1:13" ht="15">
      <c r="A1718" s="979" t="s">
        <v>3660</v>
      </c>
      <c r="B1718" s="1040" t="str">
        <f>CONCATENATE(LEFT(RIGHT(CONCATENATE("000",IFAData_TEA_1617!A1718),6),3),"-",(RIGHT(RIGHT(CONCATENATE("000",IFAData_TEA_1617!A1718),6),3)))</f>
        <v>169-901</v>
      </c>
      <c r="C1718" s="979" t="s">
        <v>1366</v>
      </c>
      <c r="D1718" s="979">
        <v>9</v>
      </c>
      <c r="E1718" s="979">
        <v>1630</v>
      </c>
      <c r="F1718" s="979" t="s">
        <v>5269</v>
      </c>
      <c r="G1718" s="979" t="s">
        <v>5269</v>
      </c>
      <c r="H1718" s="979">
        <v>357946</v>
      </c>
      <c r="I1718" s="979">
        <v>0</v>
      </c>
      <c r="J1718" s="979">
        <v>0</v>
      </c>
      <c r="K1718" s="979">
        <v>0</v>
      </c>
      <c r="L1718" s="979">
        <v>0</v>
      </c>
      <c r="M1718" s="979">
        <v>599</v>
      </c>
    </row>
    <row r="1719" spans="1:13" ht="15">
      <c r="A1719" s="979" t="s">
        <v>3661</v>
      </c>
      <c r="B1719" s="1040" t="str">
        <f>CONCATENATE(LEFT(RIGHT(CONCATENATE("000",IFAData_TEA_1617!A1719),6),3),"-",(RIGHT(RIGHT(CONCATENATE("000",IFAData_TEA_1617!A1719),6),3)))</f>
        <v>170-902</v>
      </c>
      <c r="C1719" s="979" t="s">
        <v>1553</v>
      </c>
      <c r="D1719" s="979">
        <v>1</v>
      </c>
      <c r="E1719" s="979">
        <v>1717</v>
      </c>
      <c r="F1719" s="979" t="s">
        <v>5271</v>
      </c>
      <c r="G1719" s="979" t="s">
        <v>5271</v>
      </c>
      <c r="H1719" s="979">
        <v>398132</v>
      </c>
      <c r="I1719" s="979">
        <v>0</v>
      </c>
      <c r="J1719" s="979">
        <v>0</v>
      </c>
      <c r="K1719" s="979">
        <v>0</v>
      </c>
      <c r="L1719" s="979">
        <v>0</v>
      </c>
      <c r="M1719" s="979">
        <v>599</v>
      </c>
    </row>
    <row r="1720" spans="1:13" ht="15">
      <c r="A1720" s="979" t="s">
        <v>3661</v>
      </c>
      <c r="B1720" s="1040" t="str">
        <f>CONCATENATE(LEFT(RIGHT(CONCATENATE("000",IFAData_TEA_1617!A1720),6),3),"-",(RIGHT(RIGHT(CONCATENATE("000",IFAData_TEA_1617!A1720),6),3)))</f>
        <v>170-902</v>
      </c>
      <c r="C1720" s="979" t="s">
        <v>1553</v>
      </c>
      <c r="D1720" s="979">
        <v>1</v>
      </c>
      <c r="E1720" s="979">
        <v>1717</v>
      </c>
      <c r="F1720" s="979" t="s">
        <v>5271</v>
      </c>
      <c r="G1720" s="979" t="s">
        <v>5273</v>
      </c>
      <c r="H1720" s="979">
        <v>398132</v>
      </c>
      <c r="I1720" s="979">
        <v>0</v>
      </c>
      <c r="J1720" s="979">
        <v>0</v>
      </c>
      <c r="K1720" s="979">
        <v>0</v>
      </c>
      <c r="L1720" s="979">
        <v>0</v>
      </c>
      <c r="M1720" s="979">
        <v>599</v>
      </c>
    </row>
    <row r="1721" spans="1:13" ht="15">
      <c r="A1721" s="979" t="s">
        <v>3661</v>
      </c>
      <c r="B1721" s="1040" t="str">
        <f>CONCATENATE(LEFT(RIGHT(CONCATENATE("000",IFAData_TEA_1617!A1721),6),3),"-",(RIGHT(RIGHT(CONCATENATE("000",IFAData_TEA_1617!A1721),6),3)))</f>
        <v>170-902</v>
      </c>
      <c r="C1721" s="979" t="s">
        <v>1553</v>
      </c>
      <c r="D1721" s="979">
        <v>1</v>
      </c>
      <c r="E1721" s="979">
        <v>1717</v>
      </c>
      <c r="F1721" s="979" t="s">
        <v>5271</v>
      </c>
      <c r="G1721" s="979" t="s">
        <v>6302</v>
      </c>
      <c r="H1721" s="979">
        <v>398132</v>
      </c>
      <c r="I1721" s="979">
        <v>183549</v>
      </c>
      <c r="J1721" s="979">
        <v>0.47378977093798236</v>
      </c>
      <c r="K1721" s="979">
        <v>188630.86908308079</v>
      </c>
      <c r="L1721" s="979">
        <v>183549</v>
      </c>
      <c r="M1721" s="979">
        <v>599</v>
      </c>
    </row>
    <row r="1722" spans="1:13" ht="15">
      <c r="A1722" s="979" t="s">
        <v>3661</v>
      </c>
      <c r="B1722" s="1040" t="str">
        <f>CONCATENATE(LEFT(RIGHT(CONCATENATE("000",IFAData_TEA_1617!A1722),6),3),"-",(RIGHT(RIGHT(CONCATENATE("000",IFAData_TEA_1617!A1722),6),3)))</f>
        <v>170-902</v>
      </c>
      <c r="C1722" s="979" t="s">
        <v>1553</v>
      </c>
      <c r="D1722" s="979">
        <v>1</v>
      </c>
      <c r="E1722" s="979">
        <v>1717</v>
      </c>
      <c r="F1722" s="979" t="s">
        <v>5271</v>
      </c>
      <c r="G1722" s="979" t="s">
        <v>5275</v>
      </c>
      <c r="H1722" s="979">
        <v>398132</v>
      </c>
      <c r="I1722" s="979">
        <v>59756</v>
      </c>
      <c r="J1722" s="979">
        <v>0.15424644946128868</v>
      </c>
      <c r="K1722" s="979">
        <v>61410.447416921786</v>
      </c>
      <c r="L1722" s="979">
        <v>59756</v>
      </c>
      <c r="M1722" s="979">
        <v>599</v>
      </c>
    </row>
    <row r="1723" spans="1:13" ht="15">
      <c r="A1723" s="979" t="s">
        <v>3661</v>
      </c>
      <c r="B1723" s="1040" t="str">
        <f>CONCATENATE(LEFT(RIGHT(CONCATENATE("000",IFAData_TEA_1617!A1723),6),3),"-",(RIGHT(RIGHT(CONCATENATE("000",IFAData_TEA_1617!A1723),6),3)))</f>
        <v>170-902</v>
      </c>
      <c r="C1723" s="979" t="s">
        <v>1553</v>
      </c>
      <c r="D1723" s="979">
        <v>1</v>
      </c>
      <c r="E1723" s="979">
        <v>1717</v>
      </c>
      <c r="F1723" s="979" t="s">
        <v>5271</v>
      </c>
      <c r="G1723" s="979" t="s">
        <v>5274</v>
      </c>
      <c r="H1723" s="979">
        <v>398132</v>
      </c>
      <c r="I1723" s="979">
        <v>78154</v>
      </c>
      <c r="J1723" s="979">
        <v>0.20173667934931314</v>
      </c>
      <c r="K1723" s="979">
        <v>80317.827622700745</v>
      </c>
      <c r="L1723" s="979">
        <v>78154</v>
      </c>
      <c r="M1723" s="979">
        <v>599</v>
      </c>
    </row>
    <row r="1724" spans="1:13" ht="15">
      <c r="A1724" s="979" t="s">
        <v>3661</v>
      </c>
      <c r="B1724" s="1040" t="str">
        <f>CONCATENATE(LEFT(RIGHT(CONCATENATE("000",IFAData_TEA_1617!A1724),6),3),"-",(RIGHT(RIGHT(CONCATENATE("000",IFAData_TEA_1617!A1724),6),3)))</f>
        <v>170-902</v>
      </c>
      <c r="C1724" s="979" t="s">
        <v>1553</v>
      </c>
      <c r="D1724" s="979">
        <v>1</v>
      </c>
      <c r="E1724" s="979">
        <v>1717</v>
      </c>
      <c r="F1724" s="979" t="s">
        <v>5271</v>
      </c>
      <c r="G1724" s="979" t="s">
        <v>5272</v>
      </c>
      <c r="H1724" s="979">
        <v>398132</v>
      </c>
      <c r="I1724" s="979">
        <v>0</v>
      </c>
      <c r="J1724" s="979">
        <v>0</v>
      </c>
      <c r="K1724" s="979">
        <v>0</v>
      </c>
      <c r="L1724" s="979">
        <v>0</v>
      </c>
      <c r="M1724" s="979">
        <v>599</v>
      </c>
    </row>
    <row r="1725" spans="1:13" ht="15">
      <c r="A1725" s="979" t="s">
        <v>3661</v>
      </c>
      <c r="B1725" s="1040" t="str">
        <f>CONCATENATE(LEFT(RIGHT(CONCATENATE("000",IFAData_TEA_1617!A1725),6),3),"-",(RIGHT(RIGHT(CONCATENATE("000",IFAData_TEA_1617!A1725),6),3)))</f>
        <v>170-902</v>
      </c>
      <c r="C1725" s="979" t="s">
        <v>1553</v>
      </c>
      <c r="D1725" s="979">
        <v>1</v>
      </c>
      <c r="E1725" s="979">
        <v>1717</v>
      </c>
      <c r="F1725" s="979" t="s">
        <v>5271</v>
      </c>
      <c r="G1725" s="979" t="s">
        <v>6514</v>
      </c>
      <c r="H1725" s="979">
        <v>398132</v>
      </c>
      <c r="I1725" s="979">
        <v>65947</v>
      </c>
      <c r="J1725" s="979">
        <v>0.17022710025141582</v>
      </c>
      <c r="K1725" s="979">
        <v>67772.855877296679</v>
      </c>
      <c r="L1725" s="979">
        <v>65947</v>
      </c>
      <c r="M1725" s="979">
        <v>599</v>
      </c>
    </row>
    <row r="1726" spans="1:13" ht="15">
      <c r="A1726" s="979" t="s">
        <v>3662</v>
      </c>
      <c r="B1726" s="1040" t="str">
        <f>CONCATENATE(LEFT(RIGHT(CONCATENATE("000",IFAData_TEA_1617!A1726),6),3),"-",(RIGHT(RIGHT(CONCATENATE("000",IFAData_TEA_1617!A1726),6),3)))</f>
        <v>170-904</v>
      </c>
      <c r="C1726" s="979" t="s">
        <v>1127</v>
      </c>
      <c r="D1726" s="979">
        <v>9</v>
      </c>
      <c r="E1726" s="979">
        <v>2456</v>
      </c>
      <c r="F1726" s="979" t="s">
        <v>5281</v>
      </c>
      <c r="G1726" s="979" t="s">
        <v>5281</v>
      </c>
      <c r="H1726" s="979">
        <v>798894</v>
      </c>
      <c r="I1726" s="979">
        <v>690020</v>
      </c>
      <c r="J1726" s="979">
        <v>0.54625627384854103</v>
      </c>
      <c r="K1726" s="979">
        <v>436400.85963995632</v>
      </c>
      <c r="L1726" s="979">
        <v>436400.85963995632</v>
      </c>
      <c r="M1726" s="979">
        <v>599</v>
      </c>
    </row>
    <row r="1727" spans="1:13" ht="15">
      <c r="A1727" s="979" t="s">
        <v>3662</v>
      </c>
      <c r="B1727" s="1040" t="str">
        <f>CONCATENATE(LEFT(RIGHT(CONCATENATE("000",IFAData_TEA_1617!A1727),6),3),"-",(RIGHT(RIGHT(CONCATENATE("000",IFAData_TEA_1617!A1727),6),3)))</f>
        <v>170-904</v>
      </c>
      <c r="C1727" s="979" t="s">
        <v>1127</v>
      </c>
      <c r="D1727" s="979">
        <v>6</v>
      </c>
      <c r="E1727" s="979">
        <v>2455</v>
      </c>
      <c r="F1727" s="979" t="s">
        <v>5279</v>
      </c>
      <c r="G1727" s="979" t="s">
        <v>6303</v>
      </c>
      <c r="H1727" s="979">
        <v>700706</v>
      </c>
      <c r="I1727" s="979">
        <v>18936</v>
      </c>
      <c r="J1727" s="979">
        <v>4.2108540232824468E-2</v>
      </c>
      <c r="K1727" s="979">
        <v>29505.706792381501</v>
      </c>
      <c r="L1727" s="979">
        <v>18936</v>
      </c>
      <c r="M1727" s="979">
        <v>599</v>
      </c>
    </row>
    <row r="1728" spans="1:13" ht="15">
      <c r="A1728" s="979" t="s">
        <v>3662</v>
      </c>
      <c r="B1728" s="1040" t="str">
        <f>CONCATENATE(LEFT(RIGHT(CONCATENATE("000",IFAData_TEA_1617!A1728),6),3),"-",(RIGHT(RIGHT(CONCATENATE("000",IFAData_TEA_1617!A1728),6),3)))</f>
        <v>170-904</v>
      </c>
      <c r="C1728" s="979" t="s">
        <v>1127</v>
      </c>
      <c r="D1728" s="979">
        <v>9</v>
      </c>
      <c r="E1728" s="979">
        <v>2456</v>
      </c>
      <c r="F1728" s="979" t="s">
        <v>5281</v>
      </c>
      <c r="G1728" s="979" t="s">
        <v>6303</v>
      </c>
      <c r="H1728" s="979">
        <v>798894</v>
      </c>
      <c r="I1728" s="979">
        <v>406570</v>
      </c>
      <c r="J1728" s="979">
        <v>0.32186228407669532</v>
      </c>
      <c r="K1728" s="979">
        <v>257133.84757516743</v>
      </c>
      <c r="L1728" s="979">
        <v>257133.84757516743</v>
      </c>
      <c r="M1728" s="979">
        <v>599</v>
      </c>
    </row>
    <row r="1729" spans="1:13" ht="15">
      <c r="A1729" s="979" t="s">
        <v>3662</v>
      </c>
      <c r="B1729" s="1040" t="str">
        <f>CONCATENATE(LEFT(RIGHT(CONCATENATE("000",IFAData_TEA_1617!A1729),6),3),"-",(RIGHT(RIGHT(CONCATENATE("000",IFAData_TEA_1617!A1729),6),3)))</f>
        <v>170-904</v>
      </c>
      <c r="C1729" s="979" t="s">
        <v>1127</v>
      </c>
      <c r="D1729" s="979">
        <v>2</v>
      </c>
      <c r="E1729" s="979">
        <v>2457</v>
      </c>
      <c r="F1729" s="979" t="s">
        <v>5276</v>
      </c>
      <c r="G1729" s="979" t="s">
        <v>6303</v>
      </c>
      <c r="H1729" s="979">
        <v>890114</v>
      </c>
      <c r="I1729" s="979">
        <v>130303</v>
      </c>
      <c r="J1729" s="979">
        <v>5.984429818216222E-2</v>
      </c>
      <c r="K1729" s="979">
        <v>53268.247632117142</v>
      </c>
      <c r="L1729" s="979">
        <v>53268.247632117142</v>
      </c>
      <c r="M1729" s="979">
        <v>599</v>
      </c>
    </row>
    <row r="1730" spans="1:13" ht="15">
      <c r="A1730" s="979" t="s">
        <v>3662</v>
      </c>
      <c r="B1730" s="1040" t="str">
        <f>CONCATENATE(LEFT(RIGHT(CONCATENATE("000",IFAData_TEA_1617!A1730),6),3),"-",(RIGHT(RIGHT(CONCATENATE("000",IFAData_TEA_1617!A1730),6),3)))</f>
        <v>170-904</v>
      </c>
      <c r="C1730" s="979" t="s">
        <v>1127</v>
      </c>
      <c r="D1730" s="979">
        <v>9</v>
      </c>
      <c r="E1730" s="979">
        <v>2456</v>
      </c>
      <c r="F1730" s="979" t="s">
        <v>5281</v>
      </c>
      <c r="G1730" s="979" t="s">
        <v>5282</v>
      </c>
      <c r="H1730" s="979">
        <v>798894</v>
      </c>
      <c r="I1730" s="979">
        <v>166590</v>
      </c>
      <c r="J1730" s="979">
        <v>0.13188144207476368</v>
      </c>
      <c r="K1730" s="979">
        <v>105359.29278487626</v>
      </c>
      <c r="L1730" s="979">
        <v>105359.29278487626</v>
      </c>
      <c r="M1730" s="979">
        <v>599</v>
      </c>
    </row>
    <row r="1731" spans="1:13" ht="15">
      <c r="A1731" s="979" t="s">
        <v>3662</v>
      </c>
      <c r="B1731" s="1040" t="str">
        <f>CONCATENATE(LEFT(RIGHT(CONCATENATE("000",IFAData_TEA_1617!A1731),6),3),"-",(RIGHT(RIGHT(CONCATENATE("000",IFAData_TEA_1617!A1731),6),3)))</f>
        <v>170-904</v>
      </c>
      <c r="C1731" s="979" t="s">
        <v>1127</v>
      </c>
      <c r="D1731" s="979">
        <v>2</v>
      </c>
      <c r="E1731" s="979">
        <v>2457</v>
      </c>
      <c r="F1731" s="979" t="s">
        <v>5276</v>
      </c>
      <c r="G1731" s="979" t="s">
        <v>5277</v>
      </c>
      <c r="H1731" s="979">
        <v>890114</v>
      </c>
      <c r="I1731" s="979">
        <v>0</v>
      </c>
      <c r="J1731" s="979">
        <v>0</v>
      </c>
      <c r="K1731" s="979">
        <v>0</v>
      </c>
      <c r="L1731" s="979">
        <v>0</v>
      </c>
      <c r="M1731" s="979">
        <v>599</v>
      </c>
    </row>
    <row r="1732" spans="1:13" ht="15">
      <c r="A1732" s="979" t="s">
        <v>3662</v>
      </c>
      <c r="B1732" s="1040" t="str">
        <f>CONCATENATE(LEFT(RIGHT(CONCATENATE("000",IFAData_TEA_1617!A1732),6),3),"-",(RIGHT(RIGHT(CONCATENATE("000",IFAData_TEA_1617!A1732),6),3)))</f>
        <v>170-904</v>
      </c>
      <c r="C1732" s="979" t="s">
        <v>1127</v>
      </c>
      <c r="D1732" s="979">
        <v>6</v>
      </c>
      <c r="E1732" s="979">
        <v>2455</v>
      </c>
      <c r="F1732" s="979" t="s">
        <v>5279</v>
      </c>
      <c r="G1732" s="979" t="s">
        <v>5280</v>
      </c>
      <c r="H1732" s="979">
        <v>700706</v>
      </c>
      <c r="I1732" s="979">
        <v>430759</v>
      </c>
      <c r="J1732" s="979">
        <v>0.95789145976717549</v>
      </c>
      <c r="K1732" s="979">
        <v>671200.29320761852</v>
      </c>
      <c r="L1732" s="979">
        <v>430759</v>
      </c>
      <c r="M1732" s="979">
        <v>599</v>
      </c>
    </row>
    <row r="1733" spans="1:13" ht="15">
      <c r="A1733" s="979" t="s">
        <v>3662</v>
      </c>
      <c r="B1733" s="1040" t="str">
        <f>CONCATENATE(LEFT(RIGHT(CONCATENATE("000",IFAData_TEA_1617!A1733),6),3),"-",(RIGHT(RIGHT(CONCATENATE("000",IFAData_TEA_1617!A1733),6),3)))</f>
        <v>170-904</v>
      </c>
      <c r="C1733" s="979" t="s">
        <v>1127</v>
      </c>
      <c r="D1733" s="979">
        <v>6</v>
      </c>
      <c r="E1733" s="979">
        <v>2455</v>
      </c>
      <c r="F1733" s="979" t="s">
        <v>5279</v>
      </c>
      <c r="G1733" s="979" t="s">
        <v>5279</v>
      </c>
      <c r="H1733" s="979">
        <v>700706</v>
      </c>
      <c r="I1733" s="979">
        <v>0</v>
      </c>
      <c r="J1733" s="979">
        <v>0</v>
      </c>
      <c r="K1733" s="979">
        <v>0</v>
      </c>
      <c r="L1733" s="979">
        <v>0</v>
      </c>
      <c r="M1733" s="979">
        <v>599</v>
      </c>
    </row>
    <row r="1734" spans="1:13" ht="15">
      <c r="A1734" s="979" t="s">
        <v>3662</v>
      </c>
      <c r="B1734" s="1040" t="str">
        <f>CONCATENATE(LEFT(RIGHT(CONCATENATE("000",IFAData_TEA_1617!A1734),6),3),"-",(RIGHT(RIGHT(CONCATENATE("000",IFAData_TEA_1617!A1734),6),3)))</f>
        <v>170-904</v>
      </c>
      <c r="C1734" s="979" t="s">
        <v>1127</v>
      </c>
      <c r="D1734" s="979">
        <v>10</v>
      </c>
      <c r="E1734" s="979">
        <v>2454</v>
      </c>
      <c r="F1734" s="979" t="s">
        <v>5283</v>
      </c>
      <c r="G1734" s="979" t="s">
        <v>5283</v>
      </c>
      <c r="H1734" s="979">
        <v>258116</v>
      </c>
      <c r="I1734" s="979">
        <v>226864</v>
      </c>
      <c r="J1734" s="979">
        <v>0.53124143825592152</v>
      </c>
      <c r="K1734" s="979">
        <v>137121.91507686544</v>
      </c>
      <c r="L1734" s="979">
        <v>137121.91507686544</v>
      </c>
      <c r="M1734" s="979">
        <v>599</v>
      </c>
    </row>
    <row r="1735" spans="1:13" ht="15">
      <c r="A1735" s="979" t="s">
        <v>3662</v>
      </c>
      <c r="B1735" s="1040" t="str">
        <f>CONCATENATE(LEFT(RIGHT(CONCATENATE("000",IFAData_TEA_1617!A1735),6),3),"-",(RIGHT(RIGHT(CONCATENATE("000",IFAData_TEA_1617!A1735),6),3)))</f>
        <v>170-904</v>
      </c>
      <c r="C1735" s="979" t="s">
        <v>1127</v>
      </c>
      <c r="D1735" s="979">
        <v>2</v>
      </c>
      <c r="E1735" s="979">
        <v>2457</v>
      </c>
      <c r="F1735" s="979" t="s">
        <v>5276</v>
      </c>
      <c r="G1735" s="979" t="s">
        <v>5278</v>
      </c>
      <c r="H1735" s="979">
        <v>890114</v>
      </c>
      <c r="I1735" s="979">
        <v>73363</v>
      </c>
      <c r="J1735" s="979">
        <v>3.3693447177255829E-2</v>
      </c>
      <c r="K1735" s="979">
        <v>29991.009040735895</v>
      </c>
      <c r="L1735" s="979">
        <v>29991.009040735895</v>
      </c>
      <c r="M1735" s="979">
        <v>599</v>
      </c>
    </row>
    <row r="1736" spans="1:13" ht="15">
      <c r="A1736" s="979" t="s">
        <v>3662</v>
      </c>
      <c r="B1736" s="1040" t="str">
        <f>CONCATENATE(LEFT(RIGHT(CONCATENATE("000",IFAData_TEA_1617!A1736),6),3),"-",(RIGHT(RIGHT(CONCATENATE("000",IFAData_TEA_1617!A1736),6),3)))</f>
        <v>170-904</v>
      </c>
      <c r="C1736" s="979" t="s">
        <v>1127</v>
      </c>
      <c r="D1736" s="979">
        <v>10</v>
      </c>
      <c r="E1736" s="979">
        <v>2454</v>
      </c>
      <c r="F1736" s="979" t="s">
        <v>5283</v>
      </c>
      <c r="G1736" s="979" t="s">
        <v>6515</v>
      </c>
      <c r="H1736" s="979">
        <v>258116</v>
      </c>
      <c r="I1736" s="979">
        <v>200181</v>
      </c>
      <c r="J1736" s="979">
        <v>0.46875856174407848</v>
      </c>
      <c r="K1736" s="979">
        <v>120994.08492313456</v>
      </c>
      <c r="L1736" s="979">
        <v>120994.08492313456</v>
      </c>
      <c r="M1736" s="979">
        <v>599</v>
      </c>
    </row>
    <row r="1737" spans="1:13" ht="15">
      <c r="A1737" s="979" t="s">
        <v>3662</v>
      </c>
      <c r="B1737" s="1040" t="str">
        <f>CONCATENATE(LEFT(RIGHT(CONCATENATE("000",IFAData_TEA_1617!A1737),6),3),"-",(RIGHT(RIGHT(CONCATENATE("000",IFAData_TEA_1617!A1737),6),3)))</f>
        <v>170-904</v>
      </c>
      <c r="C1737" s="979" t="s">
        <v>1127</v>
      </c>
      <c r="D1737" s="979">
        <v>2</v>
      </c>
      <c r="E1737" s="979">
        <v>2457</v>
      </c>
      <c r="F1737" s="979" t="s">
        <v>5276</v>
      </c>
      <c r="G1737" s="979" t="s">
        <v>5276</v>
      </c>
      <c r="H1737" s="979">
        <v>890114</v>
      </c>
      <c r="I1737" s="979">
        <v>1973701</v>
      </c>
      <c r="J1737" s="979">
        <v>0.90646225464058194</v>
      </c>
      <c r="K1737" s="979">
        <v>806854.74332714698</v>
      </c>
      <c r="L1737" s="979">
        <v>806854.74332714698</v>
      </c>
      <c r="M1737" s="979">
        <v>599</v>
      </c>
    </row>
    <row r="1738" spans="1:13" ht="15">
      <c r="A1738" s="979" t="s">
        <v>3663</v>
      </c>
      <c r="B1738" s="1040" t="str">
        <f>CONCATENATE(LEFT(RIGHT(CONCATENATE("000",IFAData_TEA_1617!A1738),6),3),"-",(RIGHT(RIGHT(CONCATENATE("000",IFAData_TEA_1617!A1738),6),3)))</f>
        <v>170-906</v>
      </c>
      <c r="C1738" s="979" t="s">
        <v>288</v>
      </c>
      <c r="D1738" s="979">
        <v>9</v>
      </c>
      <c r="E1738" s="979">
        <v>2051</v>
      </c>
      <c r="F1738" s="979" t="s">
        <v>5285</v>
      </c>
      <c r="G1738" s="979" t="s">
        <v>5285</v>
      </c>
      <c r="H1738" s="979">
        <v>617287</v>
      </c>
      <c r="I1738" s="979">
        <v>198633</v>
      </c>
      <c r="J1738" s="979">
        <v>0.94033687439640967</v>
      </c>
      <c r="K1738" s="979">
        <v>580457.72818553657</v>
      </c>
      <c r="L1738" s="979">
        <v>198633</v>
      </c>
      <c r="M1738" s="979">
        <v>599</v>
      </c>
    </row>
    <row r="1739" spans="1:13" ht="15">
      <c r="A1739" s="979" t="s">
        <v>3663</v>
      </c>
      <c r="B1739" s="1040" t="str">
        <f>CONCATENATE(LEFT(RIGHT(CONCATENATE("000",IFAData_TEA_1617!A1739),6),3),"-",(RIGHT(RIGHT(CONCATENATE("000",IFAData_TEA_1617!A1739),6),3)))</f>
        <v>170-906</v>
      </c>
      <c r="C1739" s="979" t="s">
        <v>288</v>
      </c>
      <c r="D1739" s="979">
        <v>3</v>
      </c>
      <c r="E1739" s="979">
        <v>2052</v>
      </c>
      <c r="F1739" s="979" t="s">
        <v>5284</v>
      </c>
      <c r="G1739" s="979" t="s">
        <v>5285</v>
      </c>
      <c r="H1739" s="979">
        <v>1530990</v>
      </c>
      <c r="I1739" s="979">
        <v>2629612</v>
      </c>
      <c r="J1739" s="979">
        <v>0.71416229845362411</v>
      </c>
      <c r="K1739" s="979">
        <v>1093375.3373095139</v>
      </c>
      <c r="L1739" s="979">
        <v>1093375.3373095139</v>
      </c>
      <c r="M1739" s="979">
        <v>599</v>
      </c>
    </row>
    <row r="1740" spans="1:13" ht="15">
      <c r="A1740" s="979" t="s">
        <v>3663</v>
      </c>
      <c r="B1740" s="1040" t="str">
        <f>CONCATENATE(LEFT(RIGHT(CONCATENATE("000",IFAData_TEA_1617!A1740),6),3),"-",(RIGHT(RIGHT(CONCATENATE("000",IFAData_TEA_1617!A1740),6),3)))</f>
        <v>170-906</v>
      </c>
      <c r="C1740" s="979" t="s">
        <v>288</v>
      </c>
      <c r="D1740" s="979">
        <v>3</v>
      </c>
      <c r="E1740" s="979">
        <v>2052</v>
      </c>
      <c r="F1740" s="979" t="s">
        <v>5284</v>
      </c>
      <c r="G1740" s="979" t="s">
        <v>5286</v>
      </c>
      <c r="H1740" s="979">
        <v>1530990</v>
      </c>
      <c r="I1740" s="979">
        <v>885631</v>
      </c>
      <c r="J1740" s="979">
        <v>0.24052379991488537</v>
      </c>
      <c r="K1740" s="979">
        <v>368239.53243169037</v>
      </c>
      <c r="L1740" s="979">
        <v>368239.53243169037</v>
      </c>
      <c r="M1740" s="979">
        <v>599</v>
      </c>
    </row>
    <row r="1741" spans="1:13" ht="15">
      <c r="A1741" s="979" t="s">
        <v>3663</v>
      </c>
      <c r="B1741" s="1040" t="str">
        <f>CONCATENATE(LEFT(RIGHT(CONCATENATE("000",IFAData_TEA_1617!A1741),6),3),"-",(RIGHT(RIGHT(CONCATENATE("000",IFAData_TEA_1617!A1741),6),3)))</f>
        <v>170-906</v>
      </c>
      <c r="C1741" s="979" t="s">
        <v>288</v>
      </c>
      <c r="D1741" s="979">
        <v>9</v>
      </c>
      <c r="E1741" s="979">
        <v>2051</v>
      </c>
      <c r="F1741" s="979" t="s">
        <v>5285</v>
      </c>
      <c r="G1741" s="979" t="s">
        <v>6516</v>
      </c>
      <c r="H1741" s="979">
        <v>617287</v>
      </c>
      <c r="I1741" s="979">
        <v>12603</v>
      </c>
      <c r="J1741" s="979">
        <v>5.96631256035903E-2</v>
      </c>
      <c r="K1741" s="979">
        <v>36829.271814463449</v>
      </c>
      <c r="L1741" s="979">
        <v>12603</v>
      </c>
      <c r="M1741" s="979">
        <v>599</v>
      </c>
    </row>
    <row r="1742" spans="1:13" ht="15">
      <c r="A1742" s="979" t="s">
        <v>3663</v>
      </c>
      <c r="B1742" s="1040" t="str">
        <f>CONCATENATE(LEFT(RIGHT(CONCATENATE("000",IFAData_TEA_1617!A1742),6),3),"-",(RIGHT(RIGHT(CONCATENATE("000",IFAData_TEA_1617!A1742),6),3)))</f>
        <v>170-906</v>
      </c>
      <c r="C1742" s="979" t="s">
        <v>288</v>
      </c>
      <c r="D1742" s="979">
        <v>3</v>
      </c>
      <c r="E1742" s="979">
        <v>2052</v>
      </c>
      <c r="F1742" s="979" t="s">
        <v>5284</v>
      </c>
      <c r="G1742" s="979" t="s">
        <v>6516</v>
      </c>
      <c r="H1742" s="979">
        <v>1530990</v>
      </c>
      <c r="I1742" s="979">
        <v>166850</v>
      </c>
      <c r="J1742" s="979">
        <v>4.5313901631490565E-2</v>
      </c>
      <c r="K1742" s="979">
        <v>69375.130258795747</v>
      </c>
      <c r="L1742" s="979">
        <v>69375.130258795747</v>
      </c>
      <c r="M1742" s="979">
        <v>599</v>
      </c>
    </row>
    <row r="1743" spans="1:13" ht="15">
      <c r="A1743" s="979" t="s">
        <v>3663</v>
      </c>
      <c r="B1743" s="1040" t="str">
        <f>CONCATENATE(LEFT(RIGHT(CONCATENATE("000",IFAData_TEA_1617!A1743),6),3),"-",(RIGHT(RIGHT(CONCATENATE("000",IFAData_TEA_1617!A1743),6),3)))</f>
        <v>170-906</v>
      </c>
      <c r="C1743" s="979" t="s">
        <v>288</v>
      </c>
      <c r="D1743" s="979">
        <v>3</v>
      </c>
      <c r="E1743" s="979">
        <v>2052</v>
      </c>
      <c r="F1743" s="979" t="s">
        <v>5284</v>
      </c>
      <c r="G1743" s="979" t="s">
        <v>5284</v>
      </c>
      <c r="H1743" s="979">
        <v>1530990</v>
      </c>
      <c r="I1743" s="979">
        <v>0</v>
      </c>
      <c r="J1743" s="979">
        <v>0</v>
      </c>
      <c r="K1743" s="979">
        <v>0</v>
      </c>
      <c r="L1743" s="979">
        <v>0</v>
      </c>
      <c r="M1743" s="979">
        <v>599</v>
      </c>
    </row>
    <row r="1744" spans="1:13" ht="15">
      <c r="A1744" s="979" t="s">
        <v>3664</v>
      </c>
      <c r="B1744" s="1040" t="str">
        <f>CONCATENATE(LEFT(RIGHT(CONCATENATE("000",IFAData_TEA_1617!A1744),6),3),"-",(RIGHT(RIGHT(CONCATENATE("000",IFAData_TEA_1617!A1744),6),3)))</f>
        <v>170-907</v>
      </c>
      <c r="C1744" s="979" t="s">
        <v>1935</v>
      </c>
      <c r="D1744" s="979">
        <v>2</v>
      </c>
      <c r="E1744" s="979">
        <v>2373</v>
      </c>
      <c r="F1744" s="979" t="s">
        <v>5287</v>
      </c>
      <c r="G1744" s="979" t="s">
        <v>5287</v>
      </c>
      <c r="H1744" s="979">
        <v>605123</v>
      </c>
      <c r="I1744" s="979">
        <v>0</v>
      </c>
      <c r="J1744" s="979">
        <v>0</v>
      </c>
      <c r="K1744" s="979"/>
      <c r="L1744" s="979">
        <v>0</v>
      </c>
      <c r="M1744" s="979">
        <v>199</v>
      </c>
    </row>
    <row r="1745" spans="1:13" ht="15">
      <c r="A1745" s="979" t="s">
        <v>3664</v>
      </c>
      <c r="B1745" s="1040" t="str">
        <f>CONCATENATE(LEFT(RIGHT(CONCATENATE("000",IFAData_TEA_1617!A1745),6),3),"-",(RIGHT(RIGHT(CONCATENATE("000",IFAData_TEA_1617!A1745),6),3)))</f>
        <v>170-907</v>
      </c>
      <c r="C1745" s="979" t="s">
        <v>1935</v>
      </c>
      <c r="D1745" s="979">
        <v>6</v>
      </c>
      <c r="E1745" s="979">
        <v>2374</v>
      </c>
      <c r="F1745" s="979" t="s">
        <v>5288</v>
      </c>
      <c r="G1745" s="979" t="s">
        <v>5289</v>
      </c>
      <c r="H1745" s="979">
        <v>687496</v>
      </c>
      <c r="I1745" s="979">
        <v>636786</v>
      </c>
      <c r="J1745" s="979">
        <v>0.89060107103846531</v>
      </c>
      <c r="K1745" s="979">
        <v>612284.67393466074</v>
      </c>
      <c r="L1745" s="979">
        <v>612284.67393466074</v>
      </c>
      <c r="M1745" s="979">
        <v>599</v>
      </c>
    </row>
    <row r="1746" spans="1:13" ht="15">
      <c r="A1746" s="979" t="s">
        <v>3664</v>
      </c>
      <c r="B1746" s="1040" t="str">
        <f>CONCATENATE(LEFT(RIGHT(CONCATENATE("000",IFAData_TEA_1617!A1746),6),3),"-",(RIGHT(RIGHT(CONCATENATE("000",IFAData_TEA_1617!A1746),6),3)))</f>
        <v>170-907</v>
      </c>
      <c r="C1746" s="979" t="s">
        <v>1935</v>
      </c>
      <c r="D1746" s="979">
        <v>9</v>
      </c>
      <c r="E1746" s="979">
        <v>2371</v>
      </c>
      <c r="F1746" s="979" t="s">
        <v>5291</v>
      </c>
      <c r="G1746" s="979" t="s">
        <v>5291</v>
      </c>
      <c r="H1746" s="979">
        <v>207452</v>
      </c>
      <c r="I1746" s="979">
        <v>181334</v>
      </c>
      <c r="J1746" s="979">
        <v>1</v>
      </c>
      <c r="K1746" s="979">
        <v>207452</v>
      </c>
      <c r="L1746" s="979">
        <v>181334</v>
      </c>
      <c r="M1746" s="979">
        <v>599</v>
      </c>
    </row>
    <row r="1747" spans="1:13" ht="15">
      <c r="A1747" s="979" t="s">
        <v>3664</v>
      </c>
      <c r="B1747" s="1040" t="str">
        <f>CONCATENATE(LEFT(RIGHT(CONCATENATE("000",IFAData_TEA_1617!A1747),6),3),"-",(RIGHT(RIGHT(CONCATENATE("000",IFAData_TEA_1617!A1747),6),3)))</f>
        <v>170-907</v>
      </c>
      <c r="C1747" s="979" t="s">
        <v>1935</v>
      </c>
      <c r="D1747" s="979">
        <v>9</v>
      </c>
      <c r="E1747" s="979">
        <v>2372</v>
      </c>
      <c r="F1747" s="979" t="s">
        <v>5290</v>
      </c>
      <c r="G1747" s="979" t="s">
        <v>5290</v>
      </c>
      <c r="H1747" s="979">
        <v>565041</v>
      </c>
      <c r="I1747" s="979">
        <v>209356</v>
      </c>
      <c r="J1747" s="979">
        <v>1</v>
      </c>
      <c r="K1747" s="979">
        <v>565041</v>
      </c>
      <c r="L1747" s="979">
        <v>209356</v>
      </c>
      <c r="M1747" s="979">
        <v>599</v>
      </c>
    </row>
    <row r="1748" spans="1:13" ht="15">
      <c r="A1748" s="979" t="s">
        <v>3664</v>
      </c>
      <c r="B1748" s="1040" t="str">
        <f>CONCATENATE(LEFT(RIGHT(CONCATENATE("000",IFAData_TEA_1617!A1748),6),3),"-",(RIGHT(RIGHT(CONCATENATE("000",IFAData_TEA_1617!A1748),6),3)))</f>
        <v>170-907</v>
      </c>
      <c r="C1748" s="979" t="s">
        <v>1935</v>
      </c>
      <c r="D1748" s="979">
        <v>6</v>
      </c>
      <c r="E1748" s="979">
        <v>2374</v>
      </c>
      <c r="F1748" s="979" t="s">
        <v>5288</v>
      </c>
      <c r="G1748" s="979" t="s">
        <v>5288</v>
      </c>
      <c r="H1748" s="979">
        <v>687496</v>
      </c>
      <c r="I1748" s="979">
        <v>78221</v>
      </c>
      <c r="J1748" s="979">
        <v>0.10939892896153464</v>
      </c>
      <c r="K1748" s="979">
        <v>75211.326065339221</v>
      </c>
      <c r="L1748" s="979">
        <v>75211.326065339221</v>
      </c>
      <c r="M1748" s="979">
        <v>599</v>
      </c>
    </row>
    <row r="1749" spans="1:13" ht="15">
      <c r="A1749" s="979" t="s">
        <v>3665</v>
      </c>
      <c r="B1749" s="1040" t="str">
        <f>CONCATENATE(LEFT(RIGHT(CONCATENATE("000",IFAData_TEA_1617!A1749),6),3),"-",(RIGHT(RIGHT(CONCATENATE("000",IFAData_TEA_1617!A1749),6),3)))</f>
        <v>170-908</v>
      </c>
      <c r="C1749" s="979" t="s">
        <v>1142</v>
      </c>
      <c r="D1749" s="979">
        <v>9</v>
      </c>
      <c r="E1749" s="979">
        <v>2137</v>
      </c>
      <c r="F1749" s="979" t="s">
        <v>5297</v>
      </c>
      <c r="G1749" s="979" t="s">
        <v>6304</v>
      </c>
      <c r="H1749" s="979">
        <v>527036</v>
      </c>
      <c r="I1749" s="979">
        <v>1144086</v>
      </c>
      <c r="J1749" s="979">
        <v>0.60059624645063281</v>
      </c>
      <c r="K1749" s="979">
        <v>316535.8433443557</v>
      </c>
      <c r="L1749" s="979">
        <v>316535.8433443557</v>
      </c>
      <c r="M1749" s="979">
        <v>599</v>
      </c>
    </row>
    <row r="1750" spans="1:13" ht="15">
      <c r="A1750" s="979" t="s">
        <v>3665</v>
      </c>
      <c r="B1750" s="1040" t="str">
        <f>CONCATENATE(LEFT(RIGHT(CONCATENATE("000",IFAData_TEA_1617!A1750),6),3),"-",(RIGHT(RIGHT(CONCATENATE("000",IFAData_TEA_1617!A1750),6),3)))</f>
        <v>170-908</v>
      </c>
      <c r="C1750" s="979" t="s">
        <v>1142</v>
      </c>
      <c r="D1750" s="979">
        <v>9</v>
      </c>
      <c r="E1750" s="979">
        <v>2138</v>
      </c>
      <c r="F1750" s="979" t="s">
        <v>5296</v>
      </c>
      <c r="G1750" s="979" t="s">
        <v>6304</v>
      </c>
      <c r="H1750" s="979">
        <v>571354</v>
      </c>
      <c r="I1750" s="979">
        <v>767568</v>
      </c>
      <c r="J1750" s="979">
        <v>1</v>
      </c>
      <c r="K1750" s="979">
        <v>571354</v>
      </c>
      <c r="L1750" s="979">
        <v>571354</v>
      </c>
      <c r="M1750" s="979">
        <v>599</v>
      </c>
    </row>
    <row r="1751" spans="1:13" ht="15">
      <c r="A1751" s="979" t="s">
        <v>3665</v>
      </c>
      <c r="B1751" s="1040" t="str">
        <f>CONCATENATE(LEFT(RIGHT(CONCATENATE("000",IFAData_TEA_1617!A1751),6),3),"-",(RIGHT(RIGHT(CONCATENATE("000",IFAData_TEA_1617!A1751),6),3)))</f>
        <v>170-908</v>
      </c>
      <c r="C1751" s="979" t="s">
        <v>1142</v>
      </c>
      <c r="D1751" s="979">
        <v>9</v>
      </c>
      <c r="E1751" s="979">
        <v>2138</v>
      </c>
      <c r="F1751" s="979" t="s">
        <v>5296</v>
      </c>
      <c r="G1751" s="979" t="s">
        <v>5296</v>
      </c>
      <c r="H1751" s="979">
        <v>571354</v>
      </c>
      <c r="I1751" s="979">
        <v>0</v>
      </c>
      <c r="J1751" s="979">
        <v>0</v>
      </c>
      <c r="K1751" s="979">
        <v>0</v>
      </c>
      <c r="L1751" s="979">
        <v>0</v>
      </c>
      <c r="M1751" s="979">
        <v>599</v>
      </c>
    </row>
    <row r="1752" spans="1:13" ht="15">
      <c r="A1752" s="979" t="s">
        <v>3665</v>
      </c>
      <c r="B1752" s="1040" t="str">
        <f>CONCATENATE(LEFT(RIGHT(CONCATENATE("000",IFAData_TEA_1617!A1752),6),3),"-",(RIGHT(RIGHT(CONCATENATE("000",IFAData_TEA_1617!A1752),6),3)))</f>
        <v>170-908</v>
      </c>
      <c r="C1752" s="979" t="s">
        <v>1142</v>
      </c>
      <c r="D1752" s="979">
        <v>5</v>
      </c>
      <c r="E1752" s="979">
        <v>2136</v>
      </c>
      <c r="F1752" s="979" t="s">
        <v>5292</v>
      </c>
      <c r="G1752" s="979" t="s">
        <v>5292</v>
      </c>
      <c r="H1752" s="979">
        <v>342303</v>
      </c>
      <c r="I1752" s="979">
        <v>0</v>
      </c>
      <c r="J1752" s="979">
        <v>0</v>
      </c>
      <c r="K1752" s="979">
        <v>0</v>
      </c>
      <c r="L1752" s="979">
        <v>0</v>
      </c>
      <c r="M1752" s="979">
        <v>599</v>
      </c>
    </row>
    <row r="1753" spans="1:13" ht="15">
      <c r="A1753" s="979" t="s">
        <v>3665</v>
      </c>
      <c r="B1753" s="1040" t="str">
        <f>CONCATENATE(LEFT(RIGHT(CONCATENATE("000",IFAData_TEA_1617!A1753),6),3),"-",(RIGHT(RIGHT(CONCATENATE("000",IFAData_TEA_1617!A1753),6),3)))</f>
        <v>170-908</v>
      </c>
      <c r="C1753" s="979" t="s">
        <v>1142</v>
      </c>
      <c r="D1753" s="979">
        <v>5</v>
      </c>
      <c r="E1753" s="979">
        <v>2136</v>
      </c>
      <c r="F1753" s="979" t="s">
        <v>5292</v>
      </c>
      <c r="G1753" s="979" t="s">
        <v>5293</v>
      </c>
      <c r="H1753" s="979">
        <v>342303</v>
      </c>
      <c r="I1753" s="979">
        <v>297025</v>
      </c>
      <c r="J1753" s="979">
        <v>1</v>
      </c>
      <c r="K1753" s="979">
        <v>342303</v>
      </c>
      <c r="L1753" s="979">
        <v>297025</v>
      </c>
      <c r="M1753" s="979">
        <v>599</v>
      </c>
    </row>
    <row r="1754" spans="1:13" ht="15">
      <c r="A1754" s="979" t="s">
        <v>3665</v>
      </c>
      <c r="B1754" s="1040" t="str">
        <f>CONCATENATE(LEFT(RIGHT(CONCATENATE("000",IFAData_TEA_1617!A1754),6),3),"-",(RIGHT(RIGHT(CONCATENATE("000",IFAData_TEA_1617!A1754),6),3)))</f>
        <v>170-908</v>
      </c>
      <c r="C1754" s="979" t="s">
        <v>1142</v>
      </c>
      <c r="D1754" s="979">
        <v>6</v>
      </c>
      <c r="E1754" s="979">
        <v>2139</v>
      </c>
      <c r="F1754" s="979" t="s">
        <v>5294</v>
      </c>
      <c r="G1754" s="979" t="s">
        <v>5295</v>
      </c>
      <c r="H1754" s="979">
        <v>945263</v>
      </c>
      <c r="I1754" s="979">
        <v>624000</v>
      </c>
      <c r="J1754" s="979">
        <v>1</v>
      </c>
      <c r="K1754" s="979">
        <v>945263</v>
      </c>
      <c r="L1754" s="979">
        <v>624000</v>
      </c>
      <c r="M1754" s="979">
        <v>599</v>
      </c>
    </row>
    <row r="1755" spans="1:13" ht="15">
      <c r="A1755" s="979" t="s">
        <v>3665</v>
      </c>
      <c r="B1755" s="1040" t="str">
        <f>CONCATENATE(LEFT(RIGHT(CONCATENATE("000",IFAData_TEA_1617!A1755),6),3),"-",(RIGHT(RIGHT(CONCATENATE("000",IFAData_TEA_1617!A1755),6),3)))</f>
        <v>170-908</v>
      </c>
      <c r="C1755" s="979" t="s">
        <v>1142</v>
      </c>
      <c r="D1755" s="979">
        <v>10</v>
      </c>
      <c r="E1755" s="979">
        <v>2141</v>
      </c>
      <c r="F1755" s="979" t="s">
        <v>5299</v>
      </c>
      <c r="G1755" s="979" t="s">
        <v>5299</v>
      </c>
      <c r="H1755" s="979">
        <v>2229297</v>
      </c>
      <c r="I1755" s="979">
        <v>1727494</v>
      </c>
      <c r="J1755" s="979">
        <v>1</v>
      </c>
      <c r="K1755" s="979">
        <v>2229297</v>
      </c>
      <c r="L1755" s="979">
        <v>1727494</v>
      </c>
      <c r="M1755" s="979">
        <v>599</v>
      </c>
    </row>
    <row r="1756" spans="1:13" ht="15">
      <c r="A1756" s="979" t="s">
        <v>3665</v>
      </c>
      <c r="B1756" s="1040" t="str">
        <f>CONCATENATE(LEFT(RIGHT(CONCATENATE("000",IFAData_TEA_1617!A1756),6),3),"-",(RIGHT(RIGHT(CONCATENATE("000",IFAData_TEA_1617!A1756),6),3)))</f>
        <v>170-908</v>
      </c>
      <c r="C1756" s="979" t="s">
        <v>1142</v>
      </c>
      <c r="D1756" s="979">
        <v>9</v>
      </c>
      <c r="E1756" s="979">
        <v>2140</v>
      </c>
      <c r="F1756" s="979" t="s">
        <v>5298</v>
      </c>
      <c r="G1756" s="979" t="s">
        <v>5298</v>
      </c>
      <c r="H1756" s="979">
        <v>1003527</v>
      </c>
      <c r="I1756" s="979">
        <v>839688</v>
      </c>
      <c r="J1756" s="979">
        <v>0.63993878692637507</v>
      </c>
      <c r="K1756" s="979">
        <v>642195.85102786438</v>
      </c>
      <c r="L1756" s="979">
        <v>642195.85102786438</v>
      </c>
      <c r="M1756" s="979">
        <v>599</v>
      </c>
    </row>
    <row r="1757" spans="1:13" ht="15">
      <c r="A1757" s="979" t="s">
        <v>3665</v>
      </c>
      <c r="B1757" s="1040" t="str">
        <f>CONCATENATE(LEFT(RIGHT(CONCATENATE("000",IFAData_TEA_1617!A1757),6),3),"-",(RIGHT(RIGHT(CONCATENATE("000",IFAData_TEA_1617!A1757),6),3)))</f>
        <v>170-908</v>
      </c>
      <c r="C1757" s="979" t="s">
        <v>1142</v>
      </c>
      <c r="D1757" s="979">
        <v>9</v>
      </c>
      <c r="E1757" s="979">
        <v>2140</v>
      </c>
      <c r="F1757" s="979" t="s">
        <v>5298</v>
      </c>
      <c r="G1757" s="979" t="s">
        <v>6517</v>
      </c>
      <c r="H1757" s="979">
        <v>1003527</v>
      </c>
      <c r="I1757" s="979">
        <v>472450</v>
      </c>
      <c r="J1757" s="979">
        <v>0.36006121307362488</v>
      </c>
      <c r="K1757" s="979">
        <v>361331.14897213556</v>
      </c>
      <c r="L1757" s="979">
        <v>361331.14897213556</v>
      </c>
      <c r="M1757" s="979">
        <v>599</v>
      </c>
    </row>
    <row r="1758" spans="1:13" ht="15">
      <c r="A1758" s="979" t="s">
        <v>3665</v>
      </c>
      <c r="B1758" s="1040" t="str">
        <f>CONCATENATE(LEFT(RIGHT(CONCATENATE("000",IFAData_TEA_1617!A1758),6),3),"-",(RIGHT(RIGHT(CONCATENATE("000",IFAData_TEA_1617!A1758),6),3)))</f>
        <v>170-908</v>
      </c>
      <c r="C1758" s="979" t="s">
        <v>1142</v>
      </c>
      <c r="D1758" s="979">
        <v>9</v>
      </c>
      <c r="E1758" s="979">
        <v>2137</v>
      </c>
      <c r="F1758" s="979" t="s">
        <v>5297</v>
      </c>
      <c r="G1758" s="979" t="s">
        <v>5297</v>
      </c>
      <c r="H1758" s="979">
        <v>527036</v>
      </c>
      <c r="I1758" s="979">
        <v>760831</v>
      </c>
      <c r="J1758" s="979">
        <v>0.39940375354936725</v>
      </c>
      <c r="K1758" s="979">
        <v>210500.15665564433</v>
      </c>
      <c r="L1758" s="979">
        <v>210500.15665564433</v>
      </c>
      <c r="M1758" s="979">
        <v>599</v>
      </c>
    </row>
    <row r="1759" spans="1:13" ht="15">
      <c r="A1759" s="979" t="s">
        <v>3665</v>
      </c>
      <c r="B1759" s="1040" t="str">
        <f>CONCATENATE(LEFT(RIGHT(CONCATENATE("000",IFAData_TEA_1617!A1759),6),3),"-",(RIGHT(RIGHT(CONCATENATE("000",IFAData_TEA_1617!A1759),6),3)))</f>
        <v>170-908</v>
      </c>
      <c r="C1759" s="979" t="s">
        <v>1142</v>
      </c>
      <c r="D1759" s="979">
        <v>6</v>
      </c>
      <c r="E1759" s="979">
        <v>2139</v>
      </c>
      <c r="F1759" s="979" t="s">
        <v>5294</v>
      </c>
      <c r="G1759" s="979" t="s">
        <v>5294</v>
      </c>
      <c r="H1759" s="979">
        <v>945263</v>
      </c>
      <c r="I1759" s="979">
        <v>0</v>
      </c>
      <c r="J1759" s="979">
        <v>0</v>
      </c>
      <c r="K1759" s="979">
        <v>0</v>
      </c>
      <c r="L1759" s="979">
        <v>0</v>
      </c>
      <c r="M1759" s="979">
        <v>599</v>
      </c>
    </row>
    <row r="1760" spans="1:13" ht="15">
      <c r="A1760" s="979" t="s">
        <v>3666</v>
      </c>
      <c r="B1760" s="1040" t="str">
        <f>CONCATENATE(LEFT(RIGHT(CONCATENATE("000",IFAData_TEA_1617!A1760),6),3),"-",(RIGHT(RIGHT(CONCATENATE("000",IFAData_TEA_1617!A1760),6),3)))</f>
        <v>174-901</v>
      </c>
      <c r="C1760" s="979" t="s">
        <v>1161</v>
      </c>
      <c r="D1760" s="979">
        <v>5</v>
      </c>
      <c r="E1760" s="979">
        <v>1691</v>
      </c>
      <c r="F1760" s="979" t="s">
        <v>5300</v>
      </c>
      <c r="G1760" s="979" t="s">
        <v>5300</v>
      </c>
      <c r="H1760" s="979">
        <v>91693</v>
      </c>
      <c r="I1760" s="979">
        <v>0</v>
      </c>
      <c r="J1760" s="979">
        <v>0</v>
      </c>
      <c r="K1760" s="979">
        <v>0</v>
      </c>
      <c r="L1760" s="979">
        <v>0</v>
      </c>
      <c r="M1760" s="979">
        <v>599</v>
      </c>
    </row>
    <row r="1761" spans="1:13" ht="15">
      <c r="A1761" s="979" t="s">
        <v>3666</v>
      </c>
      <c r="B1761" s="1040" t="str">
        <f>CONCATENATE(LEFT(RIGHT(CONCATENATE("000",IFAData_TEA_1617!A1761),6),3),"-",(RIGHT(RIGHT(CONCATENATE("000",IFAData_TEA_1617!A1761),6),3)))</f>
        <v>174-901</v>
      </c>
      <c r="C1761" s="979" t="s">
        <v>1161</v>
      </c>
      <c r="D1761" s="979">
        <v>5</v>
      </c>
      <c r="E1761" s="979">
        <v>1691</v>
      </c>
      <c r="F1761" s="979" t="s">
        <v>5300</v>
      </c>
      <c r="G1761" s="979" t="s">
        <v>5301</v>
      </c>
      <c r="H1761" s="979">
        <v>91693</v>
      </c>
      <c r="I1761" s="979">
        <v>76856</v>
      </c>
      <c r="J1761" s="979">
        <v>1</v>
      </c>
      <c r="K1761" s="979">
        <v>91693</v>
      </c>
      <c r="L1761" s="979">
        <v>76856</v>
      </c>
      <c r="M1761" s="979">
        <v>599</v>
      </c>
    </row>
    <row r="1762" spans="1:13" ht="15">
      <c r="A1762" s="979" t="s">
        <v>3667</v>
      </c>
      <c r="B1762" s="1040" t="str">
        <f>CONCATENATE(LEFT(RIGHT(CONCATENATE("000",IFAData_TEA_1617!A1762),6),3),"-",(RIGHT(RIGHT(CONCATENATE("000",IFAData_TEA_1617!A1762),6),3)))</f>
        <v>174-903</v>
      </c>
      <c r="C1762" s="979" t="s">
        <v>453</v>
      </c>
      <c r="D1762" s="979">
        <v>5</v>
      </c>
      <c r="E1762" s="979">
        <v>1844</v>
      </c>
      <c r="F1762" s="979" t="s">
        <v>5302</v>
      </c>
      <c r="G1762" s="979" t="s">
        <v>5302</v>
      </c>
      <c r="H1762" s="979">
        <v>152414</v>
      </c>
      <c r="I1762" s="979">
        <v>0</v>
      </c>
      <c r="J1762" s="979">
        <v>0</v>
      </c>
      <c r="K1762" s="979">
        <v>0</v>
      </c>
      <c r="L1762" s="979">
        <v>0</v>
      </c>
      <c r="M1762" s="979">
        <v>599</v>
      </c>
    </row>
    <row r="1763" spans="1:13" ht="15">
      <c r="A1763" s="979" t="s">
        <v>3667</v>
      </c>
      <c r="B1763" s="1040" t="str">
        <f>CONCATENATE(LEFT(RIGHT(CONCATENATE("000",IFAData_TEA_1617!A1763),6),3),"-",(RIGHT(RIGHT(CONCATENATE("000",IFAData_TEA_1617!A1763),6),3)))</f>
        <v>174-903</v>
      </c>
      <c r="C1763" s="979" t="s">
        <v>453</v>
      </c>
      <c r="D1763" s="979">
        <v>5</v>
      </c>
      <c r="E1763" s="979">
        <v>1844</v>
      </c>
      <c r="F1763" s="979" t="s">
        <v>5302</v>
      </c>
      <c r="G1763" s="979" t="s">
        <v>5303</v>
      </c>
      <c r="H1763" s="979">
        <v>152414</v>
      </c>
      <c r="I1763" s="979">
        <v>142612</v>
      </c>
      <c r="J1763" s="979">
        <v>1</v>
      </c>
      <c r="K1763" s="979">
        <v>152414</v>
      </c>
      <c r="L1763" s="979">
        <v>142612</v>
      </c>
      <c r="M1763" s="979">
        <v>599</v>
      </c>
    </row>
    <row r="1764" spans="1:13" ht="15">
      <c r="A1764" s="979" t="s">
        <v>3668</v>
      </c>
      <c r="B1764" s="1040" t="str">
        <f>CONCATENATE(LEFT(RIGHT(CONCATENATE("000",IFAData_TEA_1617!A1764),6),3),"-",(RIGHT(RIGHT(CONCATENATE("000",IFAData_TEA_1617!A1764),6),3)))</f>
        <v>174-906</v>
      </c>
      <c r="C1764" s="979" t="s">
        <v>1130</v>
      </c>
      <c r="D1764" s="979">
        <v>4</v>
      </c>
      <c r="E1764" s="979">
        <v>2460</v>
      </c>
      <c r="F1764" s="979" t="s">
        <v>5304</v>
      </c>
      <c r="G1764" s="979" t="s">
        <v>5304</v>
      </c>
      <c r="H1764" s="979">
        <v>188922</v>
      </c>
      <c r="I1764" s="979">
        <v>0</v>
      </c>
      <c r="J1764" s="979">
        <v>0</v>
      </c>
      <c r="K1764" s="979">
        <v>0</v>
      </c>
      <c r="L1764" s="979">
        <v>0</v>
      </c>
      <c r="M1764" s="979">
        <v>599</v>
      </c>
    </row>
    <row r="1765" spans="1:13" ht="15">
      <c r="A1765" s="979" t="s">
        <v>3668</v>
      </c>
      <c r="B1765" s="1040" t="str">
        <f>CONCATENATE(LEFT(RIGHT(CONCATENATE("000",IFAData_TEA_1617!A1765),6),3),"-",(RIGHT(RIGHT(CONCATENATE("000",IFAData_TEA_1617!A1765),6),3)))</f>
        <v>174-906</v>
      </c>
      <c r="C1765" s="979" t="s">
        <v>1130</v>
      </c>
      <c r="D1765" s="979">
        <v>4</v>
      </c>
      <c r="E1765" s="979">
        <v>2460</v>
      </c>
      <c r="F1765" s="979" t="s">
        <v>5304</v>
      </c>
      <c r="G1765" s="979" t="s">
        <v>5305</v>
      </c>
      <c r="H1765" s="979">
        <v>188922</v>
      </c>
      <c r="I1765" s="979">
        <v>178250</v>
      </c>
      <c r="J1765" s="979">
        <v>1</v>
      </c>
      <c r="K1765" s="979">
        <v>188922</v>
      </c>
      <c r="L1765" s="979">
        <v>178250</v>
      </c>
      <c r="M1765" s="979">
        <v>599</v>
      </c>
    </row>
    <row r="1766" spans="1:13" ht="15">
      <c r="A1766" s="979" t="s">
        <v>3669</v>
      </c>
      <c r="B1766" s="1040" t="str">
        <f>CONCATENATE(LEFT(RIGHT(CONCATENATE("000",IFAData_TEA_1617!A1766),6),3),"-",(RIGHT(RIGHT(CONCATENATE("000",IFAData_TEA_1617!A1766),6),3)))</f>
        <v>174-908</v>
      </c>
      <c r="C1766" s="979" t="s">
        <v>2257</v>
      </c>
      <c r="D1766" s="979">
        <v>10</v>
      </c>
      <c r="E1766" s="979">
        <v>1675</v>
      </c>
      <c r="F1766" s="979" t="s">
        <v>5306</v>
      </c>
      <c r="G1766" s="979" t="s">
        <v>5306</v>
      </c>
      <c r="H1766" s="979">
        <v>176552</v>
      </c>
      <c r="I1766" s="979">
        <v>762731</v>
      </c>
      <c r="J1766" s="979">
        <v>1</v>
      </c>
      <c r="K1766" s="979">
        <v>176552</v>
      </c>
      <c r="L1766" s="979">
        <v>176552</v>
      </c>
      <c r="M1766" s="979">
        <v>599</v>
      </c>
    </row>
    <row r="1767" spans="1:13" ht="15">
      <c r="A1767" s="979" t="s">
        <v>5307</v>
      </c>
      <c r="B1767" s="1040" t="str">
        <f>CONCATENATE(LEFT(RIGHT(CONCATENATE("000",IFAData_TEA_1617!A1767),6),3),"-",(RIGHT(RIGHT(CONCATENATE("000",IFAData_TEA_1617!A1767),6),3)))</f>
        <v>174-909</v>
      </c>
      <c r="C1767" s="979" t="s">
        <v>2258</v>
      </c>
      <c r="D1767" s="979">
        <v>10</v>
      </c>
      <c r="E1767" s="979">
        <v>2072</v>
      </c>
      <c r="F1767" s="979" t="s">
        <v>5308</v>
      </c>
      <c r="G1767" s="979" t="s">
        <v>5308</v>
      </c>
      <c r="H1767" s="979">
        <v>100000</v>
      </c>
      <c r="I1767" s="979">
        <v>187548</v>
      </c>
      <c r="J1767" s="979">
        <v>1</v>
      </c>
      <c r="K1767" s="979">
        <v>100000</v>
      </c>
      <c r="L1767" s="979">
        <v>100000</v>
      </c>
      <c r="M1767" s="979">
        <v>599</v>
      </c>
    </row>
    <row r="1768" spans="1:13" ht="15">
      <c r="A1768" s="979" t="s">
        <v>3670</v>
      </c>
      <c r="B1768" s="1040" t="str">
        <f>CONCATENATE(LEFT(RIGHT(CONCATENATE("000",IFAData_TEA_1617!A1768),6),3),"-",(RIGHT(RIGHT(CONCATENATE("000",IFAData_TEA_1617!A1768),6),3)))</f>
        <v>175-903</v>
      </c>
      <c r="C1768" s="979" t="s">
        <v>1101</v>
      </c>
      <c r="D1768" s="979">
        <v>2</v>
      </c>
      <c r="E1768" s="979">
        <v>1725</v>
      </c>
      <c r="F1768" s="979" t="s">
        <v>5309</v>
      </c>
      <c r="G1768" s="979" t="s">
        <v>5310</v>
      </c>
      <c r="H1768" s="979">
        <v>1169000</v>
      </c>
      <c r="I1768" s="979">
        <v>0</v>
      </c>
      <c r="J1768" s="979">
        <v>0</v>
      </c>
      <c r="K1768" s="979">
        <v>0</v>
      </c>
      <c r="L1768" s="979">
        <v>0</v>
      </c>
      <c r="M1768" s="979">
        <v>599</v>
      </c>
    </row>
    <row r="1769" spans="1:13" ht="15">
      <c r="A1769" s="979" t="s">
        <v>3670</v>
      </c>
      <c r="B1769" s="1040" t="str">
        <f>CONCATENATE(LEFT(RIGHT(CONCATENATE("000",IFAData_TEA_1617!A1769),6),3),"-",(RIGHT(RIGHT(CONCATENATE("000",IFAData_TEA_1617!A1769),6),3)))</f>
        <v>175-903</v>
      </c>
      <c r="C1769" s="979" t="s">
        <v>1101</v>
      </c>
      <c r="D1769" s="979">
        <v>2</v>
      </c>
      <c r="E1769" s="979">
        <v>1725</v>
      </c>
      <c r="F1769" s="979" t="s">
        <v>5309</v>
      </c>
      <c r="G1769" s="979" t="s">
        <v>5309</v>
      </c>
      <c r="H1769" s="979">
        <v>1169000</v>
      </c>
      <c r="I1769" s="979">
        <v>0</v>
      </c>
      <c r="J1769" s="979">
        <v>0</v>
      </c>
      <c r="K1769" s="979">
        <v>0</v>
      </c>
      <c r="L1769" s="979">
        <v>0</v>
      </c>
      <c r="M1769" s="979">
        <v>599</v>
      </c>
    </row>
    <row r="1770" spans="1:13" ht="15">
      <c r="A1770" s="979" t="s">
        <v>3670</v>
      </c>
      <c r="B1770" s="1040" t="str">
        <f>CONCATENATE(LEFT(RIGHT(CONCATENATE("000",IFAData_TEA_1617!A1770),6),3),"-",(RIGHT(RIGHT(CONCATENATE("000",IFAData_TEA_1617!A1770),6),3)))</f>
        <v>175-903</v>
      </c>
      <c r="C1770" s="979" t="s">
        <v>1101</v>
      </c>
      <c r="D1770" s="979">
        <v>2</v>
      </c>
      <c r="E1770" s="979">
        <v>1725</v>
      </c>
      <c r="F1770" s="979" t="s">
        <v>5309</v>
      </c>
      <c r="G1770" s="979" t="s">
        <v>6518</v>
      </c>
      <c r="H1770" s="979">
        <v>1169000</v>
      </c>
      <c r="I1770" s="979">
        <v>1317075</v>
      </c>
      <c r="J1770" s="979">
        <v>1</v>
      </c>
      <c r="K1770" s="979">
        <v>1169000</v>
      </c>
      <c r="L1770" s="979">
        <v>1169000</v>
      </c>
      <c r="M1770" s="979">
        <v>599</v>
      </c>
    </row>
    <row r="1771" spans="1:13" ht="15">
      <c r="A1771" s="979" t="s">
        <v>3671</v>
      </c>
      <c r="B1771" s="1040" t="str">
        <f>CONCATENATE(LEFT(RIGHT(CONCATENATE("000",IFAData_TEA_1617!A1771),6),3),"-",(RIGHT(RIGHT(CONCATENATE("000",IFAData_TEA_1617!A1771),6),3)))</f>
        <v>175-904</v>
      </c>
      <c r="C1771" s="979" t="s">
        <v>2663</v>
      </c>
      <c r="D1771" s="979">
        <v>4</v>
      </c>
      <c r="E1771" s="979">
        <v>1746</v>
      </c>
      <c r="F1771" s="979" t="s">
        <v>5311</v>
      </c>
      <c r="G1771" s="979" t="s">
        <v>5311</v>
      </c>
      <c r="H1771" s="979">
        <v>123498</v>
      </c>
      <c r="I1771" s="979">
        <v>0</v>
      </c>
      <c r="J1771" s="979">
        <v>0</v>
      </c>
      <c r="K1771" s="979"/>
      <c r="L1771" s="979">
        <v>0</v>
      </c>
      <c r="M1771" s="979">
        <v>199</v>
      </c>
    </row>
    <row r="1772" spans="1:13" ht="15">
      <c r="A1772" s="979" t="s">
        <v>3671</v>
      </c>
      <c r="B1772" s="1040" t="str">
        <f>CONCATENATE(LEFT(RIGHT(CONCATENATE("000",IFAData_TEA_1617!A1772),6),3),"-",(RIGHT(RIGHT(CONCATENATE("000",IFAData_TEA_1617!A1772),6),3)))</f>
        <v>175-904</v>
      </c>
      <c r="C1772" s="979" t="s">
        <v>2663</v>
      </c>
      <c r="D1772" s="979">
        <v>9</v>
      </c>
      <c r="E1772" s="979">
        <v>1745</v>
      </c>
      <c r="F1772" s="979" t="s">
        <v>5313</v>
      </c>
      <c r="G1772" s="979" t="s">
        <v>5313</v>
      </c>
      <c r="H1772" s="979">
        <v>45525</v>
      </c>
      <c r="I1772" s="979">
        <v>349594</v>
      </c>
      <c r="J1772" s="979">
        <v>1</v>
      </c>
      <c r="K1772" s="979">
        <v>45525</v>
      </c>
      <c r="L1772" s="979">
        <v>45525</v>
      </c>
      <c r="M1772" s="979">
        <v>599</v>
      </c>
    </row>
    <row r="1773" spans="1:13" ht="15">
      <c r="A1773" s="979" t="s">
        <v>3672</v>
      </c>
      <c r="B1773" s="1040" t="str">
        <f>CONCATENATE(LEFT(RIGHT(CONCATENATE("000",IFAData_TEA_1617!A1773),6),3),"-",(RIGHT(RIGHT(CONCATENATE("000",IFAData_TEA_1617!A1773),6),3)))</f>
        <v>175-907</v>
      </c>
      <c r="C1773" s="979" t="s">
        <v>2517</v>
      </c>
      <c r="D1773" s="979">
        <v>5</v>
      </c>
      <c r="E1773" s="979">
        <v>1956</v>
      </c>
      <c r="F1773" s="979" t="s">
        <v>5314</v>
      </c>
      <c r="G1773" s="979" t="s">
        <v>5314</v>
      </c>
      <c r="H1773" s="979">
        <v>172700</v>
      </c>
      <c r="I1773" s="979">
        <v>0</v>
      </c>
      <c r="J1773" s="979">
        <v>0</v>
      </c>
      <c r="K1773" s="979">
        <v>0</v>
      </c>
      <c r="L1773" s="979">
        <v>0</v>
      </c>
      <c r="M1773" s="979">
        <v>599</v>
      </c>
    </row>
    <row r="1774" spans="1:13" ht="15">
      <c r="A1774" s="979" t="s">
        <v>3672</v>
      </c>
      <c r="B1774" s="1040" t="str">
        <f>CONCATENATE(LEFT(RIGHT(CONCATENATE("000",IFAData_TEA_1617!A1774),6),3),"-",(RIGHT(RIGHT(CONCATENATE("000",IFAData_TEA_1617!A1774),6),3)))</f>
        <v>175-907</v>
      </c>
      <c r="C1774" s="979" t="s">
        <v>2517</v>
      </c>
      <c r="D1774" s="979">
        <v>5</v>
      </c>
      <c r="E1774" s="979">
        <v>1956</v>
      </c>
      <c r="F1774" s="979" t="s">
        <v>5314</v>
      </c>
      <c r="G1774" s="979" t="s">
        <v>5315</v>
      </c>
      <c r="H1774" s="979">
        <v>172700</v>
      </c>
      <c r="I1774" s="979">
        <v>153000</v>
      </c>
      <c r="J1774" s="979">
        <v>1</v>
      </c>
      <c r="K1774" s="979">
        <v>172700</v>
      </c>
      <c r="L1774" s="979">
        <v>153000</v>
      </c>
      <c r="M1774" s="979">
        <v>599</v>
      </c>
    </row>
    <row r="1775" spans="1:13" ht="15">
      <c r="A1775" s="979" t="s">
        <v>3673</v>
      </c>
      <c r="B1775" s="1040" t="str">
        <f>CONCATENATE(LEFT(RIGHT(CONCATENATE("000",IFAData_TEA_1617!A1775),6),3),"-",(RIGHT(RIGHT(CONCATENATE("000",IFAData_TEA_1617!A1775),6),3)))</f>
        <v>175-911</v>
      </c>
      <c r="C1775" s="979" t="s">
        <v>80</v>
      </c>
      <c r="D1775" s="979">
        <v>2</v>
      </c>
      <c r="E1775" s="979">
        <v>2234</v>
      </c>
      <c r="F1775" s="979" t="s">
        <v>5316</v>
      </c>
      <c r="G1775" s="979" t="s">
        <v>6305</v>
      </c>
      <c r="H1775" s="979">
        <v>81645</v>
      </c>
      <c r="I1775" s="979">
        <v>66150</v>
      </c>
      <c r="J1775" s="979">
        <v>1</v>
      </c>
      <c r="K1775" s="979">
        <v>81645</v>
      </c>
      <c r="L1775" s="979">
        <v>66150</v>
      </c>
      <c r="M1775" s="979">
        <v>599</v>
      </c>
    </row>
    <row r="1776" spans="1:13" ht="15">
      <c r="A1776" s="979" t="s">
        <v>3673</v>
      </c>
      <c r="B1776" s="1040" t="str">
        <f>CONCATENATE(LEFT(RIGHT(CONCATENATE("000",IFAData_TEA_1617!A1776),6),3),"-",(RIGHT(RIGHT(CONCATENATE("000",IFAData_TEA_1617!A1776),6),3)))</f>
        <v>175-911</v>
      </c>
      <c r="C1776" s="979" t="s">
        <v>80</v>
      </c>
      <c r="D1776" s="979">
        <v>2</v>
      </c>
      <c r="E1776" s="979">
        <v>2234</v>
      </c>
      <c r="F1776" s="979" t="s">
        <v>5316</v>
      </c>
      <c r="G1776" s="979" t="s">
        <v>5316</v>
      </c>
      <c r="H1776" s="979">
        <v>81645</v>
      </c>
      <c r="I1776" s="979">
        <v>0</v>
      </c>
      <c r="J1776" s="979">
        <v>0</v>
      </c>
      <c r="K1776" s="979">
        <v>0</v>
      </c>
      <c r="L1776" s="979">
        <v>0</v>
      </c>
      <c r="M1776" s="979">
        <v>599</v>
      </c>
    </row>
    <row r="1777" spans="1:13" ht="15">
      <c r="A1777" s="979" t="s">
        <v>3673</v>
      </c>
      <c r="B1777" s="1040" t="str">
        <f>CONCATENATE(LEFT(RIGHT(CONCATENATE("000",IFAData_TEA_1617!A1777),6),3),"-",(RIGHT(RIGHT(CONCATENATE("000",IFAData_TEA_1617!A1777),6),3)))</f>
        <v>175-911</v>
      </c>
      <c r="C1777" s="979" t="s">
        <v>80</v>
      </c>
      <c r="D1777" s="979">
        <v>2</v>
      </c>
      <c r="E1777" s="979">
        <v>2234</v>
      </c>
      <c r="F1777" s="979" t="s">
        <v>5316</v>
      </c>
      <c r="G1777" s="979" t="s">
        <v>5317</v>
      </c>
      <c r="H1777" s="979">
        <v>81645</v>
      </c>
      <c r="I1777" s="979">
        <v>0</v>
      </c>
      <c r="J1777" s="979">
        <v>0</v>
      </c>
      <c r="K1777" s="979">
        <v>0</v>
      </c>
      <c r="L1777" s="979">
        <v>0</v>
      </c>
      <c r="M1777" s="979">
        <v>599</v>
      </c>
    </row>
    <row r="1778" spans="1:13" ht="15">
      <c r="A1778" s="979" t="s">
        <v>3673</v>
      </c>
      <c r="B1778" s="1040" t="str">
        <f>CONCATENATE(LEFT(RIGHT(CONCATENATE("000",IFAData_TEA_1617!A1778),6),3),"-",(RIGHT(RIGHT(CONCATENATE("000",IFAData_TEA_1617!A1778),6),3)))</f>
        <v>175-911</v>
      </c>
      <c r="C1778" s="979" t="s">
        <v>80</v>
      </c>
      <c r="D1778" s="979">
        <v>10</v>
      </c>
      <c r="E1778" s="979">
        <v>2233</v>
      </c>
      <c r="F1778" s="979" t="s">
        <v>5319</v>
      </c>
      <c r="G1778" s="979" t="s">
        <v>5319</v>
      </c>
      <c r="H1778" s="979">
        <v>62309</v>
      </c>
      <c r="I1778" s="979">
        <v>1163</v>
      </c>
      <c r="J1778" s="979">
        <v>1</v>
      </c>
      <c r="K1778" s="979">
        <v>62309</v>
      </c>
      <c r="L1778" s="979">
        <v>1163</v>
      </c>
      <c r="M1778" s="979">
        <v>599</v>
      </c>
    </row>
    <row r="1779" spans="1:13" ht="15">
      <c r="A1779" s="979" t="s">
        <v>3673</v>
      </c>
      <c r="B1779" s="1040" t="str">
        <f>CONCATENATE(LEFT(RIGHT(CONCATENATE("000",IFAData_TEA_1617!A1779),6),3),"-",(RIGHT(RIGHT(CONCATENATE("000",IFAData_TEA_1617!A1779),6),3)))</f>
        <v>175-911</v>
      </c>
      <c r="C1779" s="979" t="s">
        <v>80</v>
      </c>
      <c r="D1779" s="979">
        <v>9</v>
      </c>
      <c r="E1779" s="979">
        <v>2235</v>
      </c>
      <c r="F1779" s="979" t="s">
        <v>5318</v>
      </c>
      <c r="G1779" s="979" t="s">
        <v>5319</v>
      </c>
      <c r="H1779" s="979">
        <v>173838</v>
      </c>
      <c r="I1779" s="979">
        <v>485234</v>
      </c>
      <c r="J1779" s="979">
        <v>1</v>
      </c>
      <c r="K1779" s="979">
        <v>173838</v>
      </c>
      <c r="L1779" s="979">
        <v>173838</v>
      </c>
      <c r="M1779" s="979">
        <v>599</v>
      </c>
    </row>
    <row r="1780" spans="1:13" ht="15">
      <c r="A1780" s="979" t="s">
        <v>3673</v>
      </c>
      <c r="B1780" s="1040" t="str">
        <f>CONCATENATE(LEFT(RIGHT(CONCATENATE("000",IFAData_TEA_1617!A1780),6),3),"-",(RIGHT(RIGHT(CONCATENATE("000",IFAData_TEA_1617!A1780),6),3)))</f>
        <v>175-911</v>
      </c>
      <c r="C1780" s="979" t="s">
        <v>80</v>
      </c>
      <c r="D1780" s="979">
        <v>9</v>
      </c>
      <c r="E1780" s="979">
        <v>2235</v>
      </c>
      <c r="F1780" s="979" t="s">
        <v>5318</v>
      </c>
      <c r="G1780" s="979" t="s">
        <v>5318</v>
      </c>
      <c r="H1780" s="979">
        <v>173838</v>
      </c>
      <c r="I1780" s="979">
        <v>0</v>
      </c>
      <c r="J1780" s="979">
        <v>0</v>
      </c>
      <c r="K1780" s="979">
        <v>0</v>
      </c>
      <c r="L1780" s="979">
        <v>0</v>
      </c>
      <c r="M1780" s="979">
        <v>599</v>
      </c>
    </row>
    <row r="1781" spans="1:13" ht="15">
      <c r="A1781" s="979" t="s">
        <v>3674</v>
      </c>
      <c r="B1781" s="1040" t="str">
        <f>CONCATENATE(LEFT(RIGHT(CONCATENATE("000",IFAData_TEA_1617!A1781),6),3),"-",(RIGHT(RIGHT(CONCATENATE("000",IFAData_TEA_1617!A1781),6),3)))</f>
        <v>176-902</v>
      </c>
      <c r="C1781" s="979" t="s">
        <v>2286</v>
      </c>
      <c r="D1781" s="979">
        <v>3</v>
      </c>
      <c r="E1781" s="979">
        <v>2146</v>
      </c>
      <c r="F1781" s="979" t="s">
        <v>5320</v>
      </c>
      <c r="G1781" s="979" t="s">
        <v>5321</v>
      </c>
      <c r="H1781" s="979">
        <v>343700</v>
      </c>
      <c r="I1781" s="979">
        <v>0</v>
      </c>
      <c r="J1781" s="979">
        <v>0</v>
      </c>
      <c r="K1781" s="979">
        <v>0</v>
      </c>
      <c r="L1781" s="979">
        <v>0</v>
      </c>
      <c r="M1781" s="979">
        <v>599</v>
      </c>
    </row>
    <row r="1782" spans="1:13" ht="15">
      <c r="A1782" s="979" t="s">
        <v>3674</v>
      </c>
      <c r="B1782" s="1040" t="str">
        <f>CONCATENATE(LEFT(RIGHT(CONCATENATE("000",IFAData_TEA_1617!A1782),6),3),"-",(RIGHT(RIGHT(CONCATENATE("000",IFAData_TEA_1617!A1782),6),3)))</f>
        <v>176-902</v>
      </c>
      <c r="C1782" s="979" t="s">
        <v>2286</v>
      </c>
      <c r="D1782" s="979">
        <v>3</v>
      </c>
      <c r="E1782" s="979">
        <v>2146</v>
      </c>
      <c r="F1782" s="979" t="s">
        <v>5320</v>
      </c>
      <c r="G1782" s="979" t="s">
        <v>5320</v>
      </c>
      <c r="H1782" s="979">
        <v>343700</v>
      </c>
      <c r="I1782" s="979">
        <v>0</v>
      </c>
      <c r="J1782" s="979">
        <v>0</v>
      </c>
      <c r="K1782" s="979">
        <v>0</v>
      </c>
      <c r="L1782" s="979">
        <v>0</v>
      </c>
      <c r="M1782" s="979">
        <v>599</v>
      </c>
    </row>
    <row r="1783" spans="1:13" ht="15">
      <c r="A1783" s="979" t="s">
        <v>3674</v>
      </c>
      <c r="B1783" s="1040" t="str">
        <f>CONCATENATE(LEFT(RIGHT(CONCATENATE("000",IFAData_TEA_1617!A1783),6),3),"-",(RIGHT(RIGHT(CONCATENATE("000",IFAData_TEA_1617!A1783),6),3)))</f>
        <v>176-902</v>
      </c>
      <c r="C1783" s="979" t="s">
        <v>2286</v>
      </c>
      <c r="D1783" s="979">
        <v>3</v>
      </c>
      <c r="E1783" s="979">
        <v>2146</v>
      </c>
      <c r="F1783" s="979" t="s">
        <v>5320</v>
      </c>
      <c r="G1783" s="979" t="s">
        <v>6519</v>
      </c>
      <c r="H1783" s="979">
        <v>343700</v>
      </c>
      <c r="I1783" s="979">
        <v>734725</v>
      </c>
      <c r="J1783" s="979">
        <v>1</v>
      </c>
      <c r="K1783" s="979">
        <v>343700</v>
      </c>
      <c r="L1783" s="979">
        <v>343700</v>
      </c>
      <c r="M1783" s="979">
        <v>599</v>
      </c>
    </row>
    <row r="1784" spans="1:13" ht="15">
      <c r="A1784" s="979" t="s">
        <v>3675</v>
      </c>
      <c r="B1784" s="1040" t="str">
        <f>CONCATENATE(LEFT(RIGHT(CONCATENATE("000",IFAData_TEA_1617!A1784),6),3),"-",(RIGHT(RIGHT(CONCATENATE("000",IFAData_TEA_1617!A1784),6),3)))</f>
        <v>176-903</v>
      </c>
      <c r="C1784" s="979" t="s">
        <v>2670</v>
      </c>
      <c r="D1784" s="979">
        <v>6</v>
      </c>
      <c r="E1784" s="979">
        <v>1759</v>
      </c>
      <c r="F1784" s="979" t="s">
        <v>5322</v>
      </c>
      <c r="G1784" s="979" t="s">
        <v>5323</v>
      </c>
      <c r="H1784" s="979">
        <v>173765</v>
      </c>
      <c r="I1784" s="979">
        <v>566614</v>
      </c>
      <c r="J1784" s="979">
        <v>1</v>
      </c>
      <c r="K1784" s="979">
        <v>173765</v>
      </c>
      <c r="L1784" s="979">
        <v>173765</v>
      </c>
      <c r="M1784" s="979">
        <v>599</v>
      </c>
    </row>
    <row r="1785" spans="1:13" ht="15">
      <c r="A1785" s="979" t="s">
        <v>3675</v>
      </c>
      <c r="B1785" s="1040" t="str">
        <f>CONCATENATE(LEFT(RIGHT(CONCATENATE("000",IFAData_TEA_1617!A1785),6),3),"-",(RIGHT(RIGHT(CONCATENATE("000",IFAData_TEA_1617!A1785),6),3)))</f>
        <v>176-903</v>
      </c>
      <c r="C1785" s="979" t="s">
        <v>2670</v>
      </c>
      <c r="D1785" s="979">
        <v>6</v>
      </c>
      <c r="E1785" s="979">
        <v>1759</v>
      </c>
      <c r="F1785" s="979" t="s">
        <v>5322</v>
      </c>
      <c r="G1785" s="979" t="s">
        <v>5322</v>
      </c>
      <c r="H1785" s="979">
        <v>173765</v>
      </c>
      <c r="I1785" s="979">
        <v>0</v>
      </c>
      <c r="J1785" s="979">
        <v>0</v>
      </c>
      <c r="K1785" s="979">
        <v>0</v>
      </c>
      <c r="L1785" s="979">
        <v>0</v>
      </c>
      <c r="M1785" s="979">
        <v>599</v>
      </c>
    </row>
    <row r="1786" spans="1:13" ht="15">
      <c r="A1786" s="979" t="s">
        <v>3676</v>
      </c>
      <c r="B1786" s="1040" t="str">
        <f>CONCATENATE(LEFT(RIGHT(CONCATENATE("000",IFAData_TEA_1617!A1786),6),3),"-",(RIGHT(RIGHT(CONCATENATE("000",IFAData_TEA_1617!A1786),6),3)))</f>
        <v>177-901</v>
      </c>
      <c r="C1786" s="979" t="s">
        <v>3914</v>
      </c>
      <c r="D1786" s="979">
        <v>5</v>
      </c>
      <c r="E1786" s="979">
        <v>2264</v>
      </c>
      <c r="F1786" s="979" t="s">
        <v>5324</v>
      </c>
      <c r="G1786" s="979" t="s">
        <v>5324</v>
      </c>
      <c r="H1786" s="979">
        <v>100000</v>
      </c>
      <c r="I1786" s="979">
        <v>0</v>
      </c>
      <c r="J1786" s="979">
        <v>0</v>
      </c>
      <c r="K1786" s="979">
        <v>0</v>
      </c>
      <c r="L1786" s="979">
        <v>0</v>
      </c>
      <c r="M1786" s="979">
        <v>599</v>
      </c>
    </row>
    <row r="1787" spans="1:13" ht="15">
      <c r="A1787" s="979" t="s">
        <v>3676</v>
      </c>
      <c r="B1787" s="1040" t="str">
        <f>CONCATENATE(LEFT(RIGHT(CONCATENATE("000",IFAData_TEA_1617!A1787),6),3),"-",(RIGHT(RIGHT(CONCATENATE("000",IFAData_TEA_1617!A1787),6),3)))</f>
        <v>177-901</v>
      </c>
      <c r="C1787" s="979" t="s">
        <v>3914</v>
      </c>
      <c r="D1787" s="979">
        <v>5</v>
      </c>
      <c r="E1787" s="979">
        <v>2264</v>
      </c>
      <c r="F1787" s="979" t="s">
        <v>5324</v>
      </c>
      <c r="G1787" s="979" t="s">
        <v>5325</v>
      </c>
      <c r="H1787" s="979">
        <v>100000</v>
      </c>
      <c r="I1787" s="979">
        <v>77650</v>
      </c>
      <c r="J1787" s="979">
        <v>1</v>
      </c>
      <c r="K1787" s="979">
        <v>100000</v>
      </c>
      <c r="L1787" s="979">
        <v>77650</v>
      </c>
      <c r="M1787" s="979">
        <v>599</v>
      </c>
    </row>
    <row r="1788" spans="1:13" ht="15">
      <c r="A1788" s="979" t="s">
        <v>3677</v>
      </c>
      <c r="B1788" s="1040" t="str">
        <f>CONCATENATE(LEFT(RIGHT(CONCATENATE("000",IFAData_TEA_1617!A1788),6),3),"-",(RIGHT(RIGHT(CONCATENATE("000",IFAData_TEA_1617!A1788),6),3)))</f>
        <v>178-904</v>
      </c>
      <c r="C1788" s="979" t="s">
        <v>1100</v>
      </c>
      <c r="D1788" s="979">
        <v>9</v>
      </c>
      <c r="E1788" s="979">
        <v>1721</v>
      </c>
      <c r="F1788" s="979" t="s">
        <v>5329</v>
      </c>
      <c r="G1788" s="979" t="s">
        <v>5329</v>
      </c>
      <c r="H1788" s="979">
        <v>379812</v>
      </c>
      <c r="I1788" s="979">
        <v>0</v>
      </c>
      <c r="J1788" s="979">
        <v>0</v>
      </c>
      <c r="K1788" s="979">
        <v>0</v>
      </c>
      <c r="L1788" s="979">
        <v>0</v>
      </c>
      <c r="M1788" s="979">
        <v>199</v>
      </c>
    </row>
    <row r="1789" spans="1:13" ht="15">
      <c r="A1789" s="979" t="s">
        <v>3677</v>
      </c>
      <c r="B1789" s="1040" t="str">
        <f>CONCATENATE(LEFT(RIGHT(CONCATENATE("000",IFAData_TEA_1617!A1789),6),3),"-",(RIGHT(RIGHT(CONCATENATE("000",IFAData_TEA_1617!A1789),6),3)))</f>
        <v>178-904</v>
      </c>
      <c r="C1789" s="979" t="s">
        <v>1100</v>
      </c>
      <c r="D1789" s="979">
        <v>9</v>
      </c>
      <c r="E1789" s="979">
        <v>1723</v>
      </c>
      <c r="F1789" s="979" t="s">
        <v>5327</v>
      </c>
      <c r="G1789" s="979" t="s">
        <v>5327</v>
      </c>
      <c r="H1789" s="979">
        <v>822393</v>
      </c>
      <c r="I1789" s="979">
        <v>0</v>
      </c>
      <c r="J1789" s="979">
        <v>0</v>
      </c>
      <c r="K1789" s="979">
        <v>0</v>
      </c>
      <c r="L1789" s="979">
        <v>0</v>
      </c>
      <c r="M1789" s="979">
        <v>199</v>
      </c>
    </row>
    <row r="1790" spans="1:13" ht="15">
      <c r="A1790" s="979" t="s">
        <v>3677</v>
      </c>
      <c r="B1790" s="1040" t="str">
        <f>CONCATENATE(LEFT(RIGHT(CONCATENATE("000",IFAData_TEA_1617!A1790),6),3),"-",(RIGHT(RIGHT(CONCATENATE("000",IFAData_TEA_1617!A1790),6),3)))</f>
        <v>178-904</v>
      </c>
      <c r="C1790" s="979" t="s">
        <v>1100</v>
      </c>
      <c r="D1790" s="979">
        <v>9</v>
      </c>
      <c r="E1790" s="979">
        <v>1721</v>
      </c>
      <c r="F1790" s="979" t="s">
        <v>5329</v>
      </c>
      <c r="G1790" s="979" t="s">
        <v>5328</v>
      </c>
      <c r="H1790" s="979">
        <v>379812</v>
      </c>
      <c r="I1790" s="979">
        <v>370238</v>
      </c>
      <c r="J1790" s="979">
        <v>1</v>
      </c>
      <c r="K1790" s="979">
        <v>379812</v>
      </c>
      <c r="L1790" s="979">
        <v>370238</v>
      </c>
      <c r="M1790" s="979">
        <v>599</v>
      </c>
    </row>
    <row r="1791" spans="1:13" ht="15">
      <c r="A1791" s="979" t="s">
        <v>3677</v>
      </c>
      <c r="B1791" s="1040" t="str">
        <f>CONCATENATE(LEFT(RIGHT(CONCATENATE("000",IFAData_TEA_1617!A1791),6),3),"-",(RIGHT(RIGHT(CONCATENATE("000",IFAData_TEA_1617!A1791),6),3)))</f>
        <v>178-904</v>
      </c>
      <c r="C1791" s="979" t="s">
        <v>1100</v>
      </c>
      <c r="D1791" s="979">
        <v>9</v>
      </c>
      <c r="E1791" s="979">
        <v>1723</v>
      </c>
      <c r="F1791" s="979" t="s">
        <v>5327</v>
      </c>
      <c r="G1791" s="979" t="s">
        <v>5328</v>
      </c>
      <c r="H1791" s="979">
        <v>822393</v>
      </c>
      <c r="I1791" s="979">
        <v>804027</v>
      </c>
      <c r="J1791" s="979">
        <v>1</v>
      </c>
      <c r="K1791" s="979">
        <v>822393</v>
      </c>
      <c r="L1791" s="979">
        <v>804027</v>
      </c>
      <c r="M1791" s="979">
        <v>599</v>
      </c>
    </row>
    <row r="1792" spans="1:13" ht="15">
      <c r="A1792" s="979" t="s">
        <v>3677</v>
      </c>
      <c r="B1792" s="1040" t="str">
        <f>CONCATENATE(LEFT(RIGHT(CONCATENATE("000",IFAData_TEA_1617!A1792),6),3),"-",(RIGHT(RIGHT(CONCATENATE("000",IFAData_TEA_1617!A1792),6),3)))</f>
        <v>178-904</v>
      </c>
      <c r="C1792" s="979" t="s">
        <v>1100</v>
      </c>
      <c r="D1792" s="979">
        <v>1</v>
      </c>
      <c r="E1792" s="979">
        <v>1724</v>
      </c>
      <c r="F1792" s="979" t="s">
        <v>5326</v>
      </c>
      <c r="G1792" s="979" t="s">
        <v>5326</v>
      </c>
      <c r="H1792" s="979">
        <v>3668595</v>
      </c>
      <c r="I1792" s="979">
        <v>0</v>
      </c>
      <c r="J1792" s="979">
        <v>0</v>
      </c>
      <c r="K1792" s="979"/>
      <c r="L1792" s="979">
        <v>0</v>
      </c>
      <c r="M1792" s="979">
        <v>599</v>
      </c>
    </row>
    <row r="1793" spans="1:13" ht="15">
      <c r="A1793" s="979" t="s">
        <v>3678</v>
      </c>
      <c r="B1793" s="1040" t="str">
        <f>CONCATENATE(LEFT(RIGHT(CONCATENATE("000",IFAData_TEA_1617!A1793),6),3),"-",(RIGHT(RIGHT(CONCATENATE("000",IFAData_TEA_1617!A1793),6),3)))</f>
        <v>178-909</v>
      </c>
      <c r="C1793" s="979" t="s">
        <v>2699</v>
      </c>
      <c r="D1793" s="979">
        <v>9</v>
      </c>
      <c r="E1793" s="979">
        <v>2255</v>
      </c>
      <c r="F1793" s="979" t="s">
        <v>5335</v>
      </c>
      <c r="G1793" s="979" t="s">
        <v>6306</v>
      </c>
      <c r="H1793" s="979">
        <v>829400</v>
      </c>
      <c r="I1793" s="979">
        <v>364775</v>
      </c>
      <c r="J1793" s="979">
        <v>0.33947242295504565</v>
      </c>
      <c r="K1793" s="979">
        <v>281558.42759891489</v>
      </c>
      <c r="L1793" s="979">
        <v>281558.42759891489</v>
      </c>
      <c r="M1793" s="979">
        <v>599</v>
      </c>
    </row>
    <row r="1794" spans="1:13" ht="15">
      <c r="A1794" s="979" t="s">
        <v>3678</v>
      </c>
      <c r="B1794" s="1040" t="str">
        <f>CONCATENATE(LEFT(RIGHT(CONCATENATE("000",IFAData_TEA_1617!A1794),6),3),"-",(RIGHT(RIGHT(CONCATENATE("000",IFAData_TEA_1617!A1794),6),3)))</f>
        <v>178-909</v>
      </c>
      <c r="C1794" s="979" t="s">
        <v>2699</v>
      </c>
      <c r="D1794" s="979">
        <v>7</v>
      </c>
      <c r="E1794" s="979">
        <v>2256</v>
      </c>
      <c r="F1794" s="979" t="s">
        <v>5332</v>
      </c>
      <c r="G1794" s="979" t="s">
        <v>5334</v>
      </c>
      <c r="H1794" s="979">
        <v>883718</v>
      </c>
      <c r="I1794" s="979">
        <v>465375</v>
      </c>
      <c r="J1794" s="979">
        <v>0.54332090345086848</v>
      </c>
      <c r="K1794" s="979">
        <v>480142.46215579461</v>
      </c>
      <c r="L1794" s="979">
        <v>465375</v>
      </c>
      <c r="M1794" s="979">
        <v>599</v>
      </c>
    </row>
    <row r="1795" spans="1:13" ht="15">
      <c r="A1795" s="979" t="s">
        <v>3678</v>
      </c>
      <c r="B1795" s="1040" t="str">
        <f>CONCATENATE(LEFT(RIGHT(CONCATENATE("000",IFAData_TEA_1617!A1795),6),3),"-",(RIGHT(RIGHT(CONCATENATE("000",IFAData_TEA_1617!A1795),6),3)))</f>
        <v>178-909</v>
      </c>
      <c r="C1795" s="979" t="s">
        <v>2699</v>
      </c>
      <c r="D1795" s="979">
        <v>1</v>
      </c>
      <c r="E1795" s="979">
        <v>2253</v>
      </c>
      <c r="F1795" s="979" t="s">
        <v>5330</v>
      </c>
      <c r="G1795" s="979" t="s">
        <v>5330</v>
      </c>
      <c r="H1795" s="979">
        <v>485685</v>
      </c>
      <c r="I1795" s="979">
        <v>0</v>
      </c>
      <c r="J1795" s="979">
        <v>0</v>
      </c>
      <c r="K1795" s="979">
        <v>0</v>
      </c>
      <c r="L1795" s="979">
        <v>0</v>
      </c>
      <c r="M1795" s="979">
        <v>599</v>
      </c>
    </row>
    <row r="1796" spans="1:13" ht="15">
      <c r="A1796" s="979" t="s">
        <v>3678</v>
      </c>
      <c r="B1796" s="1040" t="str">
        <f>CONCATENATE(LEFT(RIGHT(CONCATENATE("000",IFAData_TEA_1617!A1796),6),3),"-",(RIGHT(RIGHT(CONCATENATE("000",IFAData_TEA_1617!A1796),6),3)))</f>
        <v>178-909</v>
      </c>
      <c r="C1796" s="979" t="s">
        <v>2699</v>
      </c>
      <c r="D1796" s="979">
        <v>7</v>
      </c>
      <c r="E1796" s="979">
        <v>2256</v>
      </c>
      <c r="F1796" s="979" t="s">
        <v>5332</v>
      </c>
      <c r="G1796" s="979" t="s">
        <v>5333</v>
      </c>
      <c r="H1796" s="979">
        <v>883718</v>
      </c>
      <c r="I1796" s="979">
        <v>391163</v>
      </c>
      <c r="J1796" s="979">
        <v>0.45667909654913152</v>
      </c>
      <c r="K1796" s="979">
        <v>403575.53784420539</v>
      </c>
      <c r="L1796" s="979">
        <v>391163</v>
      </c>
      <c r="M1796" s="979">
        <v>599</v>
      </c>
    </row>
    <row r="1797" spans="1:13" ht="15">
      <c r="A1797" s="979" t="s">
        <v>3678</v>
      </c>
      <c r="B1797" s="1040" t="str">
        <f>CONCATENATE(LEFT(RIGHT(CONCATENATE("000",IFAData_TEA_1617!A1797),6),3),"-",(RIGHT(RIGHT(CONCATENATE("000",IFAData_TEA_1617!A1797),6),3)))</f>
        <v>178-909</v>
      </c>
      <c r="C1797" s="979" t="s">
        <v>2699</v>
      </c>
      <c r="D1797" s="979">
        <v>10</v>
      </c>
      <c r="E1797" s="979">
        <v>2254</v>
      </c>
      <c r="F1797" s="979" t="s">
        <v>5336</v>
      </c>
      <c r="G1797" s="979" t="s">
        <v>5336</v>
      </c>
      <c r="H1797" s="979">
        <v>707375</v>
      </c>
      <c r="I1797" s="979">
        <v>703350</v>
      </c>
      <c r="J1797" s="979">
        <v>1</v>
      </c>
      <c r="K1797" s="979">
        <v>707375</v>
      </c>
      <c r="L1797" s="979">
        <v>703350</v>
      </c>
      <c r="M1797" s="979">
        <v>599</v>
      </c>
    </row>
    <row r="1798" spans="1:13" ht="15">
      <c r="A1798" s="979" t="s">
        <v>3678</v>
      </c>
      <c r="B1798" s="1040" t="str">
        <f>CONCATENATE(LEFT(RIGHT(CONCATENATE("000",IFAData_TEA_1617!A1798),6),3),"-",(RIGHT(RIGHT(CONCATENATE("000",IFAData_TEA_1617!A1798),6),3)))</f>
        <v>178-909</v>
      </c>
      <c r="C1798" s="979" t="s">
        <v>2699</v>
      </c>
      <c r="D1798" s="979">
        <v>1</v>
      </c>
      <c r="E1798" s="979">
        <v>2253</v>
      </c>
      <c r="F1798" s="979" t="s">
        <v>5330</v>
      </c>
      <c r="G1798" s="979" t="s">
        <v>5331</v>
      </c>
      <c r="H1798" s="979">
        <v>485685</v>
      </c>
      <c r="I1798" s="979">
        <v>350685</v>
      </c>
      <c r="J1798" s="979">
        <v>1</v>
      </c>
      <c r="K1798" s="979">
        <v>485685</v>
      </c>
      <c r="L1798" s="979">
        <v>350685</v>
      </c>
      <c r="M1798" s="979">
        <v>599</v>
      </c>
    </row>
    <row r="1799" spans="1:13" ht="15">
      <c r="A1799" s="979" t="s">
        <v>3678</v>
      </c>
      <c r="B1799" s="1040" t="str">
        <f>CONCATENATE(LEFT(RIGHT(CONCATENATE("000",IFAData_TEA_1617!A1799),6),3),"-",(RIGHT(RIGHT(CONCATENATE("000",IFAData_TEA_1617!A1799),6),3)))</f>
        <v>178-909</v>
      </c>
      <c r="C1799" s="979" t="s">
        <v>2699</v>
      </c>
      <c r="D1799" s="979">
        <v>7</v>
      </c>
      <c r="E1799" s="979">
        <v>2256</v>
      </c>
      <c r="F1799" s="979" t="s">
        <v>5332</v>
      </c>
      <c r="G1799" s="979" t="s">
        <v>5332</v>
      </c>
      <c r="H1799" s="979">
        <v>883718</v>
      </c>
      <c r="I1799" s="979">
        <v>0</v>
      </c>
      <c r="J1799" s="979">
        <v>0</v>
      </c>
      <c r="K1799" s="979">
        <v>0</v>
      </c>
      <c r="L1799" s="979">
        <v>0</v>
      </c>
      <c r="M1799" s="979">
        <v>599</v>
      </c>
    </row>
    <row r="1800" spans="1:13" ht="15">
      <c r="A1800" s="979" t="s">
        <v>3678</v>
      </c>
      <c r="B1800" s="1040" t="str">
        <f>CONCATENATE(LEFT(RIGHT(CONCATENATE("000",IFAData_TEA_1617!A1800),6),3),"-",(RIGHT(RIGHT(CONCATENATE("000",IFAData_TEA_1617!A1800),6),3)))</f>
        <v>178-909</v>
      </c>
      <c r="C1800" s="979" t="s">
        <v>2699</v>
      </c>
      <c r="D1800" s="979">
        <v>9</v>
      </c>
      <c r="E1800" s="979">
        <v>2255</v>
      </c>
      <c r="F1800" s="979" t="s">
        <v>5335</v>
      </c>
      <c r="G1800" s="979" t="s">
        <v>5335</v>
      </c>
      <c r="H1800" s="979">
        <v>829400</v>
      </c>
      <c r="I1800" s="979">
        <v>449560</v>
      </c>
      <c r="J1800" s="979">
        <v>0.41837632092021199</v>
      </c>
      <c r="K1800" s="979">
        <v>347001.3205712238</v>
      </c>
      <c r="L1800" s="979">
        <v>347001.3205712238</v>
      </c>
      <c r="M1800" s="979">
        <v>599</v>
      </c>
    </row>
    <row r="1801" spans="1:13" ht="15">
      <c r="A1801" s="979" t="s">
        <v>3678</v>
      </c>
      <c r="B1801" s="1040" t="str">
        <f>CONCATENATE(LEFT(RIGHT(CONCATENATE("000",IFAData_TEA_1617!A1801),6),3),"-",(RIGHT(RIGHT(CONCATENATE("000",IFAData_TEA_1617!A1801),6),3)))</f>
        <v>178-909</v>
      </c>
      <c r="C1801" s="979" t="s">
        <v>2699</v>
      </c>
      <c r="D1801" s="979">
        <v>9</v>
      </c>
      <c r="E1801" s="979">
        <v>2255</v>
      </c>
      <c r="F1801" s="979" t="s">
        <v>5335</v>
      </c>
      <c r="G1801" s="979" t="s">
        <v>6520</v>
      </c>
      <c r="H1801" s="979">
        <v>829400</v>
      </c>
      <c r="I1801" s="979">
        <v>260200</v>
      </c>
      <c r="J1801" s="979">
        <v>0.24215125612474234</v>
      </c>
      <c r="K1801" s="979">
        <v>200840.25182986128</v>
      </c>
      <c r="L1801" s="979">
        <v>200840.25182986128</v>
      </c>
      <c r="M1801" s="979">
        <v>599</v>
      </c>
    </row>
    <row r="1802" spans="1:13" ht="15">
      <c r="A1802" s="979" t="s">
        <v>3679</v>
      </c>
      <c r="B1802" s="1040" t="str">
        <f>CONCATENATE(LEFT(RIGHT(CONCATENATE("000",IFAData_TEA_1617!A1802),6),3),"-",(RIGHT(RIGHT(CONCATENATE("000",IFAData_TEA_1617!A1802),6),3)))</f>
        <v>178-913</v>
      </c>
      <c r="C1802" s="979" t="s">
        <v>321</v>
      </c>
      <c r="D1802" s="979">
        <v>9</v>
      </c>
      <c r="E1802" s="979">
        <v>1592</v>
      </c>
      <c r="F1802" s="979" t="s">
        <v>5337</v>
      </c>
      <c r="G1802" s="979" t="s">
        <v>5337</v>
      </c>
      <c r="H1802" s="979">
        <v>156610</v>
      </c>
      <c r="I1802" s="979">
        <v>101236</v>
      </c>
      <c r="J1802" s="979">
        <v>0.68747368564016897</v>
      </c>
      <c r="K1802" s="979">
        <v>107665.25390810687</v>
      </c>
      <c r="L1802" s="979">
        <v>101236</v>
      </c>
      <c r="M1802" s="979">
        <v>599</v>
      </c>
    </row>
    <row r="1803" spans="1:13" ht="15">
      <c r="A1803" s="979" t="s">
        <v>3679</v>
      </c>
      <c r="B1803" s="1040" t="str">
        <f>CONCATENATE(LEFT(RIGHT(CONCATENATE("000",IFAData_TEA_1617!A1803),6),3),"-",(RIGHT(RIGHT(CONCATENATE("000",IFAData_TEA_1617!A1803),6),3)))</f>
        <v>178-913</v>
      </c>
      <c r="C1803" s="979" t="s">
        <v>321</v>
      </c>
      <c r="D1803" s="979">
        <v>9</v>
      </c>
      <c r="E1803" s="979">
        <v>1592</v>
      </c>
      <c r="F1803" s="979" t="s">
        <v>5337</v>
      </c>
      <c r="G1803" s="979" t="s">
        <v>6307</v>
      </c>
      <c r="H1803" s="979">
        <v>156610</v>
      </c>
      <c r="I1803" s="979">
        <v>46022</v>
      </c>
      <c r="J1803" s="979">
        <v>0.31252631435983103</v>
      </c>
      <c r="K1803" s="979">
        <v>48944.746091893139</v>
      </c>
      <c r="L1803" s="979">
        <v>46022</v>
      </c>
      <c r="M1803" s="979">
        <v>599</v>
      </c>
    </row>
    <row r="1804" spans="1:13" ht="15">
      <c r="A1804" s="979" t="s">
        <v>3680</v>
      </c>
      <c r="B1804" s="1040" t="str">
        <f>CONCATENATE(LEFT(RIGHT(CONCATENATE("000",IFAData_TEA_1617!A1804),6),3),"-",(RIGHT(RIGHT(CONCATENATE("000",IFAData_TEA_1617!A1804),6),3)))</f>
        <v>178-915</v>
      </c>
      <c r="C1804" s="979" t="s">
        <v>323</v>
      </c>
      <c r="D1804" s="979">
        <v>10</v>
      </c>
      <c r="E1804" s="979">
        <v>2445</v>
      </c>
      <c r="F1804" s="979" t="s">
        <v>5338</v>
      </c>
      <c r="G1804" s="979" t="s">
        <v>5338</v>
      </c>
      <c r="H1804" s="979">
        <v>243416</v>
      </c>
      <c r="I1804" s="979">
        <v>354200</v>
      </c>
      <c r="J1804" s="979">
        <v>0.68859597962595742</v>
      </c>
      <c r="K1804" s="979">
        <v>167615.27897663205</v>
      </c>
      <c r="L1804" s="979">
        <v>167615.27897663205</v>
      </c>
      <c r="M1804" s="979">
        <v>599</v>
      </c>
    </row>
    <row r="1805" spans="1:13" ht="15">
      <c r="A1805" s="979" t="s">
        <v>3680</v>
      </c>
      <c r="B1805" s="1040" t="str">
        <f>CONCATENATE(LEFT(RIGHT(CONCATENATE("000",IFAData_TEA_1617!A1805),6),3),"-",(RIGHT(RIGHT(CONCATENATE("000",IFAData_TEA_1617!A1805),6),3)))</f>
        <v>178-915</v>
      </c>
      <c r="C1805" s="979" t="s">
        <v>323</v>
      </c>
      <c r="D1805" s="979">
        <v>10</v>
      </c>
      <c r="E1805" s="979">
        <v>2445</v>
      </c>
      <c r="F1805" s="979" t="s">
        <v>5338</v>
      </c>
      <c r="G1805" s="979" t="s">
        <v>6831</v>
      </c>
      <c r="H1805" s="979">
        <v>243416</v>
      </c>
      <c r="I1805" s="979">
        <v>160180</v>
      </c>
      <c r="J1805" s="979">
        <v>0.31140402037404252</v>
      </c>
      <c r="K1805" s="979">
        <v>75800.721023367936</v>
      </c>
      <c r="L1805" s="979">
        <v>75800.721023367936</v>
      </c>
      <c r="M1805" s="979">
        <v>599</v>
      </c>
    </row>
    <row r="1806" spans="1:13" ht="15">
      <c r="A1806" s="979" t="s">
        <v>3681</v>
      </c>
      <c r="B1806" s="1040" t="str">
        <f>CONCATENATE(LEFT(RIGHT(CONCATENATE("000",IFAData_TEA_1617!A1806),6),3),"-",(RIGHT(RIGHT(CONCATENATE("000",IFAData_TEA_1617!A1806),6),3)))</f>
        <v>179-901</v>
      </c>
      <c r="C1806" s="979" t="s">
        <v>996</v>
      </c>
      <c r="D1806" s="979">
        <v>1</v>
      </c>
      <c r="E1806" s="979">
        <v>2186</v>
      </c>
      <c r="F1806" s="979" t="s">
        <v>5339</v>
      </c>
      <c r="G1806" s="979" t="s">
        <v>5339</v>
      </c>
      <c r="H1806" s="979">
        <v>477623</v>
      </c>
      <c r="I1806" s="979">
        <v>0</v>
      </c>
      <c r="J1806" s="979">
        <v>0</v>
      </c>
      <c r="K1806" s="979"/>
      <c r="L1806" s="979">
        <v>0</v>
      </c>
      <c r="M1806" s="979">
        <v>599</v>
      </c>
    </row>
    <row r="1807" spans="1:13" ht="15">
      <c r="A1807" s="979" t="s">
        <v>3681</v>
      </c>
      <c r="B1807" s="1040" t="str">
        <f>CONCATENATE(LEFT(RIGHT(CONCATENATE("000",IFAData_TEA_1617!A1807),6),3),"-",(RIGHT(RIGHT(CONCATENATE("000",IFAData_TEA_1617!A1807),6),3)))</f>
        <v>179-901</v>
      </c>
      <c r="C1807" s="979" t="s">
        <v>996</v>
      </c>
      <c r="D1807" s="979">
        <v>1</v>
      </c>
      <c r="E1807" s="979">
        <v>2186</v>
      </c>
      <c r="F1807" s="979" t="s">
        <v>5339</v>
      </c>
      <c r="G1807" s="979" t="s">
        <v>5340</v>
      </c>
      <c r="H1807" s="979">
        <v>477623</v>
      </c>
      <c r="I1807" s="979">
        <v>0</v>
      </c>
      <c r="J1807" s="979">
        <v>0</v>
      </c>
      <c r="K1807" s="979"/>
      <c r="L1807" s="979">
        <v>0</v>
      </c>
      <c r="M1807" s="979">
        <v>599</v>
      </c>
    </row>
    <row r="1808" spans="1:13" ht="15">
      <c r="A1808" s="979" t="s">
        <v>3682</v>
      </c>
      <c r="B1808" s="1040" t="str">
        <f>CONCATENATE(LEFT(RIGHT(CONCATENATE("000",IFAData_TEA_1617!A1808),6),3),"-",(RIGHT(RIGHT(CONCATENATE("000",IFAData_TEA_1617!A1808),6),3)))</f>
        <v>181-901</v>
      </c>
      <c r="C1808" s="979" t="s">
        <v>1855</v>
      </c>
      <c r="D1808" s="979">
        <v>6</v>
      </c>
      <c r="E1808" s="979">
        <v>1633</v>
      </c>
      <c r="F1808" s="979" t="s">
        <v>5341</v>
      </c>
      <c r="G1808" s="979" t="s">
        <v>5343</v>
      </c>
      <c r="H1808" s="979">
        <v>649545</v>
      </c>
      <c r="I1808" s="979">
        <v>17352</v>
      </c>
      <c r="J1808" s="979">
        <v>2.8810807041313422E-2</v>
      </c>
      <c r="K1808" s="979">
        <v>18713.915659649927</v>
      </c>
      <c r="L1808" s="979">
        <v>17352</v>
      </c>
      <c r="M1808" s="979">
        <v>599</v>
      </c>
    </row>
    <row r="1809" spans="1:13" ht="15">
      <c r="A1809" s="979" t="s">
        <v>3682</v>
      </c>
      <c r="B1809" s="1040" t="str">
        <f>CONCATENATE(LEFT(RIGHT(CONCATENATE("000",IFAData_TEA_1617!A1809),6),3),"-",(RIGHT(RIGHT(CONCATENATE("000",IFAData_TEA_1617!A1809),6),3)))</f>
        <v>181-901</v>
      </c>
      <c r="C1809" s="979" t="s">
        <v>1855</v>
      </c>
      <c r="D1809" s="979">
        <v>6</v>
      </c>
      <c r="E1809" s="979">
        <v>1633</v>
      </c>
      <c r="F1809" s="979" t="s">
        <v>5341</v>
      </c>
      <c r="G1809" s="979" t="s">
        <v>5342</v>
      </c>
      <c r="H1809" s="979">
        <v>649545</v>
      </c>
      <c r="I1809" s="979">
        <v>584922</v>
      </c>
      <c r="J1809" s="979">
        <v>0.97118919295868655</v>
      </c>
      <c r="K1809" s="979">
        <v>630831.08434035</v>
      </c>
      <c r="L1809" s="979">
        <v>584922</v>
      </c>
      <c r="M1809" s="979">
        <v>599</v>
      </c>
    </row>
    <row r="1810" spans="1:13" ht="15">
      <c r="A1810" s="979" t="s">
        <v>3682</v>
      </c>
      <c r="B1810" s="1040" t="str">
        <f>CONCATENATE(LEFT(RIGHT(CONCATENATE("000",IFAData_TEA_1617!A1810),6),3),"-",(RIGHT(RIGHT(CONCATENATE("000",IFAData_TEA_1617!A1810),6),3)))</f>
        <v>181-901</v>
      </c>
      <c r="C1810" s="979" t="s">
        <v>1855</v>
      </c>
      <c r="D1810" s="979">
        <v>6</v>
      </c>
      <c r="E1810" s="979">
        <v>1633</v>
      </c>
      <c r="F1810" s="979" t="s">
        <v>5341</v>
      </c>
      <c r="G1810" s="979" t="s">
        <v>5341</v>
      </c>
      <c r="H1810" s="979">
        <v>649545</v>
      </c>
      <c r="I1810" s="979">
        <v>0</v>
      </c>
      <c r="J1810" s="979">
        <v>0</v>
      </c>
      <c r="K1810" s="979">
        <v>0</v>
      </c>
      <c r="L1810" s="979">
        <v>0</v>
      </c>
      <c r="M1810" s="979">
        <v>599</v>
      </c>
    </row>
    <row r="1811" spans="1:13" ht="15">
      <c r="A1811" s="979" t="s">
        <v>3683</v>
      </c>
      <c r="B1811" s="1040" t="str">
        <f>CONCATENATE(LEFT(RIGHT(CONCATENATE("000",IFAData_TEA_1617!A1811),6),3),"-",(RIGHT(RIGHT(CONCATENATE("000",IFAData_TEA_1617!A1811),6),3)))</f>
        <v>181-907</v>
      </c>
      <c r="C1811" s="979" t="s">
        <v>135</v>
      </c>
      <c r="D1811" s="979">
        <v>6</v>
      </c>
      <c r="E1811" s="979">
        <v>2428</v>
      </c>
      <c r="F1811" s="979" t="s">
        <v>5344</v>
      </c>
      <c r="G1811" s="979" t="s">
        <v>5346</v>
      </c>
      <c r="H1811" s="979">
        <v>1258064</v>
      </c>
      <c r="I1811" s="979">
        <v>760250</v>
      </c>
      <c r="J1811" s="979">
        <v>0.72449611664363656</v>
      </c>
      <c r="K1811" s="979">
        <v>911462.48248916003</v>
      </c>
      <c r="L1811" s="979">
        <v>760250</v>
      </c>
      <c r="M1811" s="979">
        <v>599</v>
      </c>
    </row>
    <row r="1812" spans="1:13" ht="15">
      <c r="A1812" s="979" t="s">
        <v>3683</v>
      </c>
      <c r="B1812" s="1040" t="str">
        <f>CONCATENATE(LEFT(RIGHT(CONCATENATE("000",IFAData_TEA_1617!A1812),6),3),"-",(RIGHT(RIGHT(CONCATENATE("000",IFAData_TEA_1617!A1812),6),3)))</f>
        <v>181-907</v>
      </c>
      <c r="C1812" s="979" t="s">
        <v>135</v>
      </c>
      <c r="D1812" s="979">
        <v>6</v>
      </c>
      <c r="E1812" s="979">
        <v>2428</v>
      </c>
      <c r="F1812" s="979" t="s">
        <v>5344</v>
      </c>
      <c r="G1812" s="979" t="s">
        <v>5344</v>
      </c>
      <c r="H1812" s="979">
        <v>1258064</v>
      </c>
      <c r="I1812" s="979">
        <v>0</v>
      </c>
      <c r="J1812" s="979">
        <v>0</v>
      </c>
      <c r="K1812" s="979">
        <v>0</v>
      </c>
      <c r="L1812" s="979">
        <v>0</v>
      </c>
      <c r="M1812" s="979">
        <v>599</v>
      </c>
    </row>
    <row r="1813" spans="1:13" ht="15">
      <c r="A1813" s="979" t="s">
        <v>3683</v>
      </c>
      <c r="B1813" s="1040" t="str">
        <f>CONCATENATE(LEFT(RIGHT(CONCATENATE("000",IFAData_TEA_1617!A1813),6),3),"-",(RIGHT(RIGHT(CONCATENATE("000",IFAData_TEA_1617!A1813),6),3)))</f>
        <v>181-907</v>
      </c>
      <c r="C1813" s="979" t="s">
        <v>135</v>
      </c>
      <c r="D1813" s="979">
        <v>6</v>
      </c>
      <c r="E1813" s="979">
        <v>2428</v>
      </c>
      <c r="F1813" s="979" t="s">
        <v>5344</v>
      </c>
      <c r="G1813" s="979" t="s">
        <v>5345</v>
      </c>
      <c r="H1813" s="979">
        <v>1258064</v>
      </c>
      <c r="I1813" s="979">
        <v>0</v>
      </c>
      <c r="J1813" s="979">
        <v>0</v>
      </c>
      <c r="K1813" s="979">
        <v>0</v>
      </c>
      <c r="L1813" s="979">
        <v>0</v>
      </c>
      <c r="M1813" s="979">
        <v>599</v>
      </c>
    </row>
    <row r="1814" spans="1:13" ht="15">
      <c r="A1814" s="979" t="s">
        <v>3683</v>
      </c>
      <c r="B1814" s="1040" t="str">
        <f>CONCATENATE(LEFT(RIGHT(CONCATENATE("000",IFAData_TEA_1617!A1814),6),3),"-",(RIGHT(RIGHT(CONCATENATE("000",IFAData_TEA_1617!A1814),6),3)))</f>
        <v>181-907</v>
      </c>
      <c r="C1814" s="979" t="s">
        <v>135</v>
      </c>
      <c r="D1814" s="979">
        <v>6</v>
      </c>
      <c r="E1814" s="979">
        <v>2428</v>
      </c>
      <c r="F1814" s="979" t="s">
        <v>5344</v>
      </c>
      <c r="G1814" s="979" t="s">
        <v>6521</v>
      </c>
      <c r="H1814" s="979">
        <v>1258064</v>
      </c>
      <c r="I1814" s="979">
        <v>289100</v>
      </c>
      <c r="J1814" s="979">
        <v>0.27550388335636344</v>
      </c>
      <c r="K1814" s="979">
        <v>346601.51751084003</v>
      </c>
      <c r="L1814" s="979">
        <v>289100</v>
      </c>
      <c r="M1814" s="979">
        <v>599</v>
      </c>
    </row>
    <row r="1815" spans="1:13" ht="15">
      <c r="A1815" s="979" t="s">
        <v>3684</v>
      </c>
      <c r="B1815" s="1040" t="str">
        <f>CONCATENATE(LEFT(RIGHT(CONCATENATE("000",IFAData_TEA_1617!A1815),6),3),"-",(RIGHT(RIGHT(CONCATENATE("000",IFAData_TEA_1617!A1815),6),3)))</f>
        <v>182-903</v>
      </c>
      <c r="C1815" s="979" t="s">
        <v>2240</v>
      </c>
      <c r="D1815" s="979">
        <v>2</v>
      </c>
      <c r="E1815" s="979">
        <v>2110</v>
      </c>
      <c r="F1815" s="979" t="s">
        <v>5347</v>
      </c>
      <c r="G1815" s="979" t="s">
        <v>6308</v>
      </c>
      <c r="H1815" s="979">
        <v>772750</v>
      </c>
      <c r="I1815" s="979">
        <v>589259</v>
      </c>
      <c r="J1815" s="979">
        <v>0.30534101549403864</v>
      </c>
      <c r="K1815" s="979">
        <v>235952.26972301837</v>
      </c>
      <c r="L1815" s="979">
        <v>235952.26972301837</v>
      </c>
      <c r="M1815" s="979">
        <v>599</v>
      </c>
    </row>
    <row r="1816" spans="1:13" ht="15">
      <c r="A1816" s="979" t="s">
        <v>3684</v>
      </c>
      <c r="B1816" s="1040" t="str">
        <f>CONCATENATE(LEFT(RIGHT(CONCATENATE("000",IFAData_TEA_1617!A1816),6),3),"-",(RIGHT(RIGHT(CONCATENATE("000",IFAData_TEA_1617!A1816),6),3)))</f>
        <v>182-903</v>
      </c>
      <c r="C1816" s="979" t="s">
        <v>2240</v>
      </c>
      <c r="D1816" s="979">
        <v>2</v>
      </c>
      <c r="E1816" s="979">
        <v>2110</v>
      </c>
      <c r="F1816" s="979" t="s">
        <v>5347</v>
      </c>
      <c r="G1816" s="979" t="s">
        <v>5348</v>
      </c>
      <c r="H1816" s="979">
        <v>772750</v>
      </c>
      <c r="I1816" s="979">
        <v>388791</v>
      </c>
      <c r="J1816" s="979">
        <v>0.20146291996378973</v>
      </c>
      <c r="K1816" s="979">
        <v>155680.47140201851</v>
      </c>
      <c r="L1816" s="979">
        <v>155680.47140201851</v>
      </c>
      <c r="M1816" s="979">
        <v>599</v>
      </c>
    </row>
    <row r="1817" spans="1:13" ht="15">
      <c r="A1817" s="979" t="s">
        <v>3684</v>
      </c>
      <c r="B1817" s="1040" t="str">
        <f>CONCATENATE(LEFT(RIGHT(CONCATENATE("000",IFAData_TEA_1617!A1817),6),3),"-",(RIGHT(RIGHT(CONCATENATE("000",IFAData_TEA_1617!A1817),6),3)))</f>
        <v>182-903</v>
      </c>
      <c r="C1817" s="979" t="s">
        <v>2240</v>
      </c>
      <c r="D1817" s="979">
        <v>2</v>
      </c>
      <c r="E1817" s="979">
        <v>2110</v>
      </c>
      <c r="F1817" s="979" t="s">
        <v>5347</v>
      </c>
      <c r="G1817" s="979" t="s">
        <v>5347</v>
      </c>
      <c r="H1817" s="979">
        <v>772750</v>
      </c>
      <c r="I1817" s="979">
        <v>0</v>
      </c>
      <c r="J1817" s="979">
        <v>0</v>
      </c>
      <c r="K1817" s="979">
        <v>0</v>
      </c>
      <c r="L1817" s="979">
        <v>0</v>
      </c>
      <c r="M1817" s="979">
        <v>599</v>
      </c>
    </row>
    <row r="1818" spans="1:13" ht="15">
      <c r="A1818" s="979" t="s">
        <v>3684</v>
      </c>
      <c r="B1818" s="1040" t="str">
        <f>CONCATENATE(LEFT(RIGHT(CONCATENATE("000",IFAData_TEA_1617!A1818),6),3),"-",(RIGHT(RIGHT(CONCATENATE("000",IFAData_TEA_1617!A1818),6),3)))</f>
        <v>182-903</v>
      </c>
      <c r="C1818" s="979" t="s">
        <v>2240</v>
      </c>
      <c r="D1818" s="979">
        <v>2</v>
      </c>
      <c r="E1818" s="979">
        <v>2110</v>
      </c>
      <c r="F1818" s="979" t="s">
        <v>5347</v>
      </c>
      <c r="G1818" s="979" t="s">
        <v>5350</v>
      </c>
      <c r="H1818" s="979">
        <v>772750</v>
      </c>
      <c r="I1818" s="979">
        <v>285364</v>
      </c>
      <c r="J1818" s="979">
        <v>0.14786933003219441</v>
      </c>
      <c r="K1818" s="979">
        <v>114266.02478237823</v>
      </c>
      <c r="L1818" s="979">
        <v>114266.02478237823</v>
      </c>
      <c r="M1818" s="979">
        <v>599</v>
      </c>
    </row>
    <row r="1819" spans="1:13" ht="15">
      <c r="A1819" s="979" t="s">
        <v>3684</v>
      </c>
      <c r="B1819" s="1040" t="str">
        <f>CONCATENATE(LEFT(RIGHT(CONCATENATE("000",IFAData_TEA_1617!A1819),6),3),"-",(RIGHT(RIGHT(CONCATENATE("000",IFAData_TEA_1617!A1819),6),3)))</f>
        <v>182-903</v>
      </c>
      <c r="C1819" s="979" t="s">
        <v>2240</v>
      </c>
      <c r="D1819" s="979">
        <v>2</v>
      </c>
      <c r="E1819" s="979">
        <v>2110</v>
      </c>
      <c r="F1819" s="979" t="s">
        <v>5347</v>
      </c>
      <c r="G1819" s="979" t="s">
        <v>5349</v>
      </c>
      <c r="H1819" s="979">
        <v>772750</v>
      </c>
      <c r="I1819" s="979">
        <v>294822</v>
      </c>
      <c r="J1819" s="979">
        <v>0.15277025700071353</v>
      </c>
      <c r="K1819" s="979">
        <v>118053.21609730138</v>
      </c>
      <c r="L1819" s="979">
        <v>118053.21609730138</v>
      </c>
      <c r="M1819" s="979">
        <v>599</v>
      </c>
    </row>
    <row r="1820" spans="1:13" ht="15">
      <c r="A1820" s="979" t="s">
        <v>3684</v>
      </c>
      <c r="B1820" s="1040" t="str">
        <f>CONCATENATE(LEFT(RIGHT(CONCATENATE("000",IFAData_TEA_1617!A1820),6),3),"-",(RIGHT(RIGHT(CONCATENATE("000",IFAData_TEA_1617!A1820),6),3)))</f>
        <v>182-903</v>
      </c>
      <c r="C1820" s="979" t="s">
        <v>2240</v>
      </c>
      <c r="D1820" s="979">
        <v>2</v>
      </c>
      <c r="E1820" s="979">
        <v>2110</v>
      </c>
      <c r="F1820" s="979" t="s">
        <v>5347</v>
      </c>
      <c r="G1820" s="979" t="s">
        <v>6522</v>
      </c>
      <c r="H1820" s="979">
        <v>772750</v>
      </c>
      <c r="I1820" s="979">
        <v>155676</v>
      </c>
      <c r="J1820" s="979">
        <v>8.066786918494237E-2</v>
      </c>
      <c r="K1820" s="979">
        <v>62336.095912664219</v>
      </c>
      <c r="L1820" s="979">
        <v>62336.095912664219</v>
      </c>
      <c r="M1820" s="979">
        <v>599</v>
      </c>
    </row>
    <row r="1821" spans="1:13" ht="15">
      <c r="A1821" s="979" t="s">
        <v>3684</v>
      </c>
      <c r="B1821" s="1040" t="str">
        <f>CONCATENATE(LEFT(RIGHT(CONCATENATE("000",IFAData_TEA_1617!A1821),6),3),"-",(RIGHT(RIGHT(CONCATENATE("000",IFAData_TEA_1617!A1821),6),3)))</f>
        <v>182-903</v>
      </c>
      <c r="C1821" s="979" t="s">
        <v>2240</v>
      </c>
      <c r="D1821" s="979">
        <v>2</v>
      </c>
      <c r="E1821" s="979">
        <v>2110</v>
      </c>
      <c r="F1821" s="979" t="s">
        <v>5347</v>
      </c>
      <c r="G1821" s="979" t="s">
        <v>6523</v>
      </c>
      <c r="H1821" s="979">
        <v>772750</v>
      </c>
      <c r="I1821" s="979">
        <v>215927</v>
      </c>
      <c r="J1821" s="979">
        <v>0.11188860832432136</v>
      </c>
      <c r="K1821" s="979">
        <v>86461.922082619334</v>
      </c>
      <c r="L1821" s="979">
        <v>86461.922082619334</v>
      </c>
      <c r="M1821" s="979">
        <v>599</v>
      </c>
    </row>
    <row r="1822" spans="1:13" ht="15">
      <c r="A1822" s="979" t="s">
        <v>3685</v>
      </c>
      <c r="B1822" s="1040" t="str">
        <f>CONCATENATE(LEFT(RIGHT(CONCATENATE("000",IFAData_TEA_1617!A1822),6),3),"-",(RIGHT(RIGHT(CONCATENATE("000",IFAData_TEA_1617!A1822),6),3)))</f>
        <v>183-904</v>
      </c>
      <c r="C1822" s="979" t="s">
        <v>454</v>
      </c>
      <c r="D1822" s="979">
        <v>1</v>
      </c>
      <c r="E1822" s="979">
        <v>1845</v>
      </c>
      <c r="F1822" s="979" t="s">
        <v>5351</v>
      </c>
      <c r="G1822" s="979" t="s">
        <v>5352</v>
      </c>
      <c r="H1822" s="979">
        <v>100000</v>
      </c>
      <c r="I1822" s="979">
        <v>0</v>
      </c>
      <c r="J1822" s="979">
        <v>0</v>
      </c>
      <c r="K1822" s="979">
        <v>0</v>
      </c>
      <c r="L1822" s="979">
        <v>0</v>
      </c>
      <c r="M1822" s="979">
        <v>599</v>
      </c>
    </row>
    <row r="1823" spans="1:13" ht="15">
      <c r="A1823" s="979" t="s">
        <v>3685</v>
      </c>
      <c r="B1823" s="1040" t="str">
        <f>CONCATENATE(LEFT(RIGHT(CONCATENATE("000",IFAData_TEA_1617!A1823),6),3),"-",(RIGHT(RIGHT(CONCATENATE("000",IFAData_TEA_1617!A1823),6),3)))</f>
        <v>183-904</v>
      </c>
      <c r="C1823" s="979" t="s">
        <v>454</v>
      </c>
      <c r="D1823" s="979">
        <v>1</v>
      </c>
      <c r="E1823" s="979">
        <v>1845</v>
      </c>
      <c r="F1823" s="979" t="s">
        <v>5351</v>
      </c>
      <c r="G1823" s="979" t="s">
        <v>5351</v>
      </c>
      <c r="H1823" s="979">
        <v>100000</v>
      </c>
      <c r="I1823" s="979">
        <v>0</v>
      </c>
      <c r="J1823" s="979">
        <v>0</v>
      </c>
      <c r="K1823" s="979">
        <v>0</v>
      </c>
      <c r="L1823" s="979">
        <v>0</v>
      </c>
      <c r="M1823" s="979">
        <v>599</v>
      </c>
    </row>
    <row r="1824" spans="1:13" ht="15">
      <c r="A1824" s="979" t="s">
        <v>3685</v>
      </c>
      <c r="B1824" s="1040" t="str">
        <f>CONCATENATE(LEFT(RIGHT(CONCATENATE("000",IFAData_TEA_1617!A1824),6),3),"-",(RIGHT(RIGHT(CONCATENATE("000",IFAData_TEA_1617!A1824),6),3)))</f>
        <v>183-904</v>
      </c>
      <c r="C1824" s="979" t="s">
        <v>454</v>
      </c>
      <c r="D1824" s="979">
        <v>1</v>
      </c>
      <c r="E1824" s="979">
        <v>1845</v>
      </c>
      <c r="F1824" s="979" t="s">
        <v>5351</v>
      </c>
      <c r="G1824" s="979" t="s">
        <v>6524</v>
      </c>
      <c r="H1824" s="979">
        <v>100000</v>
      </c>
      <c r="I1824" s="979">
        <v>95440</v>
      </c>
      <c r="J1824" s="979">
        <v>1</v>
      </c>
      <c r="K1824" s="979">
        <v>100000</v>
      </c>
      <c r="L1824" s="979">
        <v>95440</v>
      </c>
      <c r="M1824" s="979">
        <v>599</v>
      </c>
    </row>
    <row r="1825" spans="1:13" ht="15">
      <c r="A1825" s="979" t="s">
        <v>3686</v>
      </c>
      <c r="B1825" s="1040" t="str">
        <f>CONCATENATE(LEFT(RIGHT(CONCATENATE("000",IFAData_TEA_1617!A1825),6),3),"-",(RIGHT(RIGHT(CONCATENATE("000",IFAData_TEA_1617!A1825),6),3)))</f>
        <v>184-901</v>
      </c>
      <c r="C1825" s="979" t="s">
        <v>1003</v>
      </c>
      <c r="D1825" s="979">
        <v>5</v>
      </c>
      <c r="E1825" s="979">
        <v>2202</v>
      </c>
      <c r="F1825" s="979" t="s">
        <v>5353</v>
      </c>
      <c r="G1825" s="979" t="s">
        <v>5353</v>
      </c>
      <c r="H1825" s="979">
        <v>107925</v>
      </c>
      <c r="I1825" s="979">
        <v>0</v>
      </c>
      <c r="J1825" s="979">
        <v>0</v>
      </c>
      <c r="K1825" s="979">
        <v>0</v>
      </c>
      <c r="L1825" s="979">
        <v>0</v>
      </c>
      <c r="M1825" s="979">
        <v>599</v>
      </c>
    </row>
    <row r="1826" spans="1:13" ht="15">
      <c r="A1826" s="979" t="s">
        <v>3686</v>
      </c>
      <c r="B1826" s="1040" t="str">
        <f>CONCATENATE(LEFT(RIGHT(CONCATENATE("000",IFAData_TEA_1617!A1826),6),3),"-",(RIGHT(RIGHT(CONCATENATE("000",IFAData_TEA_1617!A1826),6),3)))</f>
        <v>184-901</v>
      </c>
      <c r="C1826" s="979" t="s">
        <v>1003</v>
      </c>
      <c r="D1826" s="979">
        <v>5</v>
      </c>
      <c r="E1826" s="979">
        <v>2202</v>
      </c>
      <c r="F1826" s="979" t="s">
        <v>5353</v>
      </c>
      <c r="G1826" s="979" t="s">
        <v>5354</v>
      </c>
      <c r="H1826" s="979">
        <v>107925</v>
      </c>
      <c r="I1826" s="979">
        <v>112274</v>
      </c>
      <c r="J1826" s="979">
        <v>1</v>
      </c>
      <c r="K1826" s="979">
        <v>107925</v>
      </c>
      <c r="L1826" s="979">
        <v>107925</v>
      </c>
      <c r="M1826" s="979">
        <v>599</v>
      </c>
    </row>
    <row r="1827" spans="1:13" ht="15">
      <c r="A1827" s="979" t="s">
        <v>3687</v>
      </c>
      <c r="B1827" s="1040" t="str">
        <f>CONCATENATE(LEFT(RIGHT(CONCATENATE("000",IFAData_TEA_1617!A1827),6),3),"-",(RIGHT(RIGHT(CONCATENATE("000",IFAData_TEA_1617!A1827),6),3)))</f>
        <v>184-902</v>
      </c>
      <c r="C1827" s="979" t="s">
        <v>1937</v>
      </c>
      <c r="D1827" s="979">
        <v>2</v>
      </c>
      <c r="E1827" s="979">
        <v>2378</v>
      </c>
      <c r="F1827" s="979" t="s">
        <v>5355</v>
      </c>
      <c r="G1827" s="979" t="s">
        <v>6309</v>
      </c>
      <c r="H1827" s="979">
        <v>700070</v>
      </c>
      <c r="I1827" s="979">
        <v>177798</v>
      </c>
      <c r="J1827" s="979">
        <v>0.3037895524606718</v>
      </c>
      <c r="K1827" s="979">
        <v>212673.9519911425</v>
      </c>
      <c r="L1827" s="979">
        <v>177798</v>
      </c>
      <c r="M1827" s="979">
        <v>599</v>
      </c>
    </row>
    <row r="1828" spans="1:13" ht="15">
      <c r="A1828" s="979" t="s">
        <v>3687</v>
      </c>
      <c r="B1828" s="1040" t="str">
        <f>CONCATENATE(LEFT(RIGHT(CONCATENATE("000",IFAData_TEA_1617!A1828),6),3),"-",(RIGHT(RIGHT(CONCATENATE("000",IFAData_TEA_1617!A1828),6),3)))</f>
        <v>184-902</v>
      </c>
      <c r="C1828" s="979" t="s">
        <v>1937</v>
      </c>
      <c r="D1828" s="979">
        <v>2</v>
      </c>
      <c r="E1828" s="979">
        <v>2378</v>
      </c>
      <c r="F1828" s="979" t="s">
        <v>5355</v>
      </c>
      <c r="G1828" s="979" t="s">
        <v>5358</v>
      </c>
      <c r="H1828" s="979">
        <v>700070</v>
      </c>
      <c r="I1828" s="979">
        <v>0</v>
      </c>
      <c r="J1828" s="979">
        <v>0</v>
      </c>
      <c r="K1828" s="979">
        <v>0</v>
      </c>
      <c r="L1828" s="979">
        <v>0</v>
      </c>
      <c r="M1828" s="979">
        <v>599</v>
      </c>
    </row>
    <row r="1829" spans="1:13" ht="15">
      <c r="A1829" s="979" t="s">
        <v>3687</v>
      </c>
      <c r="B1829" s="1040" t="str">
        <f>CONCATENATE(LEFT(RIGHT(CONCATENATE("000",IFAData_TEA_1617!A1829),6),3),"-",(RIGHT(RIGHT(CONCATENATE("000",IFAData_TEA_1617!A1829),6),3)))</f>
        <v>184-902</v>
      </c>
      <c r="C1829" s="979" t="s">
        <v>1937</v>
      </c>
      <c r="D1829" s="979">
        <v>2</v>
      </c>
      <c r="E1829" s="979">
        <v>2378</v>
      </c>
      <c r="F1829" s="979" t="s">
        <v>5355</v>
      </c>
      <c r="G1829" s="979" t="s">
        <v>5356</v>
      </c>
      <c r="H1829" s="979">
        <v>700070</v>
      </c>
      <c r="I1829" s="979">
        <v>0</v>
      </c>
      <c r="J1829" s="979">
        <v>0</v>
      </c>
      <c r="K1829" s="979">
        <v>0</v>
      </c>
      <c r="L1829" s="979">
        <v>0</v>
      </c>
      <c r="M1829" s="979">
        <v>599</v>
      </c>
    </row>
    <row r="1830" spans="1:13" ht="15">
      <c r="A1830" s="979" t="s">
        <v>3687</v>
      </c>
      <c r="B1830" s="1040" t="str">
        <f>CONCATENATE(LEFT(RIGHT(CONCATENATE("000",IFAData_TEA_1617!A1830),6),3),"-",(RIGHT(RIGHT(CONCATENATE("000",IFAData_TEA_1617!A1830),6),3)))</f>
        <v>184-902</v>
      </c>
      <c r="C1830" s="979" t="s">
        <v>1937</v>
      </c>
      <c r="D1830" s="979">
        <v>2</v>
      </c>
      <c r="E1830" s="979">
        <v>2378</v>
      </c>
      <c r="F1830" s="979" t="s">
        <v>5355</v>
      </c>
      <c r="G1830" s="979" t="s">
        <v>5355</v>
      </c>
      <c r="H1830" s="979">
        <v>700070</v>
      </c>
      <c r="I1830" s="979">
        <v>0</v>
      </c>
      <c r="J1830" s="979">
        <v>0</v>
      </c>
      <c r="K1830" s="979">
        <v>0</v>
      </c>
      <c r="L1830" s="979">
        <v>0</v>
      </c>
      <c r="M1830" s="979">
        <v>599</v>
      </c>
    </row>
    <row r="1831" spans="1:13" ht="15">
      <c r="A1831" s="979" t="s">
        <v>3687</v>
      </c>
      <c r="B1831" s="1040" t="str">
        <f>CONCATENATE(LEFT(RIGHT(CONCATENATE("000",IFAData_TEA_1617!A1831),6),3),"-",(RIGHT(RIGHT(CONCATENATE("000",IFAData_TEA_1617!A1831),6),3)))</f>
        <v>184-902</v>
      </c>
      <c r="C1831" s="979" t="s">
        <v>1937</v>
      </c>
      <c r="D1831" s="979">
        <v>9</v>
      </c>
      <c r="E1831" s="979">
        <v>2379</v>
      </c>
      <c r="F1831" s="979" t="s">
        <v>5359</v>
      </c>
      <c r="G1831" s="979" t="s">
        <v>5359</v>
      </c>
      <c r="H1831" s="979">
        <v>824218</v>
      </c>
      <c r="I1831" s="979">
        <v>1013300</v>
      </c>
      <c r="J1831" s="979">
        <v>0.5651466324890434</v>
      </c>
      <c r="K1831" s="979">
        <v>465804.02713685436</v>
      </c>
      <c r="L1831" s="979">
        <v>465804.02713685436</v>
      </c>
      <c r="M1831" s="979">
        <v>599</v>
      </c>
    </row>
    <row r="1832" spans="1:13" ht="15">
      <c r="A1832" s="979" t="s">
        <v>3687</v>
      </c>
      <c r="B1832" s="1040" t="str">
        <f>CONCATENATE(LEFT(RIGHT(CONCATENATE("000",IFAData_TEA_1617!A1832),6),3),"-",(RIGHT(RIGHT(CONCATENATE("000",IFAData_TEA_1617!A1832),6),3)))</f>
        <v>184-902</v>
      </c>
      <c r="C1832" s="979" t="s">
        <v>1937</v>
      </c>
      <c r="D1832" s="979">
        <v>9</v>
      </c>
      <c r="E1832" s="979">
        <v>2379</v>
      </c>
      <c r="F1832" s="979" t="s">
        <v>5359</v>
      </c>
      <c r="G1832" s="979" t="s">
        <v>6525</v>
      </c>
      <c r="H1832" s="979">
        <v>824218</v>
      </c>
      <c r="I1832" s="979">
        <v>578120</v>
      </c>
      <c r="J1832" s="979">
        <v>0.32243419636293869</v>
      </c>
      <c r="K1832" s="979">
        <v>265756.06845786859</v>
      </c>
      <c r="L1832" s="979">
        <v>265756.06845786859</v>
      </c>
      <c r="M1832" s="979">
        <v>599</v>
      </c>
    </row>
    <row r="1833" spans="1:13" ht="15">
      <c r="A1833" s="979" t="s">
        <v>3687</v>
      </c>
      <c r="B1833" s="1040" t="str">
        <f>CONCATENATE(LEFT(RIGHT(CONCATENATE("000",IFAData_TEA_1617!A1833),6),3),"-",(RIGHT(RIGHT(CONCATENATE("000",IFAData_TEA_1617!A1833),6),3)))</f>
        <v>184-902</v>
      </c>
      <c r="C1833" s="979" t="s">
        <v>1937</v>
      </c>
      <c r="D1833" s="979">
        <v>2</v>
      </c>
      <c r="E1833" s="979">
        <v>2378</v>
      </c>
      <c r="F1833" s="979" t="s">
        <v>5355</v>
      </c>
      <c r="G1833" s="979" t="s">
        <v>5357</v>
      </c>
      <c r="H1833" s="979">
        <v>700070</v>
      </c>
      <c r="I1833" s="979">
        <v>336601</v>
      </c>
      <c r="J1833" s="979">
        <v>0.57512383237052489</v>
      </c>
      <c r="K1833" s="979">
        <v>402626.94132763334</v>
      </c>
      <c r="L1833" s="979">
        <v>336601</v>
      </c>
      <c r="M1833" s="979">
        <v>599</v>
      </c>
    </row>
    <row r="1834" spans="1:13" ht="15">
      <c r="A1834" s="979" t="s">
        <v>3687</v>
      </c>
      <c r="B1834" s="1040" t="str">
        <f>CONCATENATE(LEFT(RIGHT(CONCATENATE("000",IFAData_TEA_1617!A1834),6),3),"-",(RIGHT(RIGHT(CONCATENATE("000",IFAData_TEA_1617!A1834),6),3)))</f>
        <v>184-902</v>
      </c>
      <c r="C1834" s="979" t="s">
        <v>1937</v>
      </c>
      <c r="D1834" s="979">
        <v>2</v>
      </c>
      <c r="E1834" s="979">
        <v>2378</v>
      </c>
      <c r="F1834" s="979" t="s">
        <v>5355</v>
      </c>
      <c r="G1834" s="979" t="s">
        <v>6310</v>
      </c>
      <c r="H1834" s="979">
        <v>700070</v>
      </c>
      <c r="I1834" s="979">
        <v>70868</v>
      </c>
      <c r="J1834" s="979">
        <v>0.1210866151688033</v>
      </c>
      <c r="K1834" s="979">
        <v>84769.106681224119</v>
      </c>
      <c r="L1834" s="979">
        <v>70868</v>
      </c>
      <c r="M1834" s="979">
        <v>599</v>
      </c>
    </row>
    <row r="1835" spans="1:13" ht="15">
      <c r="A1835" s="979" t="s">
        <v>3687</v>
      </c>
      <c r="B1835" s="1040" t="str">
        <f>CONCATENATE(LEFT(RIGHT(CONCATENATE("000",IFAData_TEA_1617!A1835),6),3),"-",(RIGHT(RIGHT(CONCATENATE("000",IFAData_TEA_1617!A1835),6),3)))</f>
        <v>184-902</v>
      </c>
      <c r="C1835" s="979" t="s">
        <v>1937</v>
      </c>
      <c r="D1835" s="979">
        <v>9</v>
      </c>
      <c r="E1835" s="979">
        <v>2379</v>
      </c>
      <c r="F1835" s="979" t="s">
        <v>5359</v>
      </c>
      <c r="G1835" s="979" t="s">
        <v>6310</v>
      </c>
      <c r="H1835" s="979">
        <v>824218</v>
      </c>
      <c r="I1835" s="979">
        <v>201566</v>
      </c>
      <c r="J1835" s="979">
        <v>0.11241917114801789</v>
      </c>
      <c r="K1835" s="979">
        <v>92657.904405277004</v>
      </c>
      <c r="L1835" s="979">
        <v>92657.904405277004</v>
      </c>
      <c r="M1835" s="979">
        <v>599</v>
      </c>
    </row>
    <row r="1836" spans="1:13" ht="15">
      <c r="A1836" s="979" t="s">
        <v>3688</v>
      </c>
      <c r="B1836" s="1040" t="str">
        <f>CONCATENATE(LEFT(RIGHT(CONCATENATE("000",IFAData_TEA_1617!A1836),6),3),"-",(RIGHT(RIGHT(CONCATENATE("000",IFAData_TEA_1617!A1836),6),3)))</f>
        <v>184-903</v>
      </c>
      <c r="C1836" s="979" t="s">
        <v>140</v>
      </c>
      <c r="D1836" s="979">
        <v>6</v>
      </c>
      <c r="E1836" s="979">
        <v>2439</v>
      </c>
      <c r="F1836" s="979" t="s">
        <v>5360</v>
      </c>
      <c r="G1836" s="979" t="s">
        <v>5363</v>
      </c>
      <c r="H1836" s="979">
        <v>240000</v>
      </c>
      <c r="I1836" s="979">
        <v>0</v>
      </c>
      <c r="J1836" s="979">
        <v>0</v>
      </c>
      <c r="K1836" s="979">
        <v>0</v>
      </c>
      <c r="L1836" s="979">
        <v>0</v>
      </c>
      <c r="M1836" s="979">
        <v>599</v>
      </c>
    </row>
    <row r="1837" spans="1:13" ht="15">
      <c r="A1837" s="979" t="s">
        <v>3688</v>
      </c>
      <c r="B1837" s="1040" t="str">
        <f>CONCATENATE(LEFT(RIGHT(CONCATENATE("000",IFAData_TEA_1617!A1837),6),3),"-",(RIGHT(RIGHT(CONCATENATE("000",IFAData_TEA_1617!A1837),6),3)))</f>
        <v>184-903</v>
      </c>
      <c r="C1837" s="979" t="s">
        <v>140</v>
      </c>
      <c r="D1837" s="979">
        <v>6</v>
      </c>
      <c r="E1837" s="979">
        <v>2439</v>
      </c>
      <c r="F1837" s="979" t="s">
        <v>5360</v>
      </c>
      <c r="G1837" s="979" t="s">
        <v>5365</v>
      </c>
      <c r="H1837" s="979">
        <v>240000</v>
      </c>
      <c r="I1837" s="979">
        <v>61995</v>
      </c>
      <c r="J1837" s="979">
        <v>1.1137315855678927E-2</v>
      </c>
      <c r="K1837" s="979">
        <v>2672.9558053629426</v>
      </c>
      <c r="L1837" s="979">
        <v>2672.9558053629426</v>
      </c>
      <c r="M1837" s="979">
        <v>599</v>
      </c>
    </row>
    <row r="1838" spans="1:13" ht="15">
      <c r="A1838" s="979" t="s">
        <v>3688</v>
      </c>
      <c r="B1838" s="1040" t="str">
        <f>CONCATENATE(LEFT(RIGHT(CONCATENATE("000",IFAData_TEA_1617!A1838),6),3),"-",(RIGHT(RIGHT(CONCATENATE("000",IFAData_TEA_1617!A1838),6),3)))</f>
        <v>184-903</v>
      </c>
      <c r="C1838" s="979" t="s">
        <v>140</v>
      </c>
      <c r="D1838" s="979">
        <v>6</v>
      </c>
      <c r="E1838" s="979">
        <v>2439</v>
      </c>
      <c r="F1838" s="979" t="s">
        <v>5360</v>
      </c>
      <c r="G1838" s="979" t="s">
        <v>5361</v>
      </c>
      <c r="H1838" s="979">
        <v>240000</v>
      </c>
      <c r="I1838" s="979">
        <v>189543</v>
      </c>
      <c r="J1838" s="979">
        <v>3.4051137337413516E-2</v>
      </c>
      <c r="K1838" s="979">
        <v>8172.2729609792441</v>
      </c>
      <c r="L1838" s="979">
        <v>8172.2729609792441</v>
      </c>
      <c r="M1838" s="979">
        <v>599</v>
      </c>
    </row>
    <row r="1839" spans="1:13" ht="15">
      <c r="A1839" s="979" t="s">
        <v>3688</v>
      </c>
      <c r="B1839" s="1040" t="str">
        <f>CONCATENATE(LEFT(RIGHT(CONCATENATE("000",IFAData_TEA_1617!A1839),6),3),"-",(RIGHT(RIGHT(CONCATENATE("000",IFAData_TEA_1617!A1839),6),3)))</f>
        <v>184-903</v>
      </c>
      <c r="C1839" s="979" t="s">
        <v>140</v>
      </c>
      <c r="D1839" s="979">
        <v>6</v>
      </c>
      <c r="E1839" s="979">
        <v>2439</v>
      </c>
      <c r="F1839" s="979" t="s">
        <v>5360</v>
      </c>
      <c r="G1839" s="979" t="s">
        <v>5364</v>
      </c>
      <c r="H1839" s="979">
        <v>240000</v>
      </c>
      <c r="I1839" s="979">
        <v>226037</v>
      </c>
      <c r="J1839" s="979">
        <v>4.0607233874830187E-2</v>
      </c>
      <c r="K1839" s="979">
        <v>9745.7361299592449</v>
      </c>
      <c r="L1839" s="979">
        <v>9745.7361299592449</v>
      </c>
      <c r="M1839" s="979">
        <v>599</v>
      </c>
    </row>
    <row r="1840" spans="1:13" ht="15">
      <c r="A1840" s="979" t="s">
        <v>3688</v>
      </c>
      <c r="B1840" s="1040" t="str">
        <f>CONCATENATE(LEFT(RIGHT(CONCATENATE("000",IFAData_TEA_1617!A1840),6),3),"-",(RIGHT(RIGHT(CONCATENATE("000",IFAData_TEA_1617!A1840),6),3)))</f>
        <v>184-903</v>
      </c>
      <c r="C1840" s="979" t="s">
        <v>140</v>
      </c>
      <c r="D1840" s="979">
        <v>6</v>
      </c>
      <c r="E1840" s="979">
        <v>2439</v>
      </c>
      <c r="F1840" s="979" t="s">
        <v>5360</v>
      </c>
      <c r="G1840" s="979" t="s">
        <v>5360</v>
      </c>
      <c r="H1840" s="979">
        <v>240000</v>
      </c>
      <c r="I1840" s="979">
        <v>4843921</v>
      </c>
      <c r="J1840" s="979">
        <v>0.87020369637803241</v>
      </c>
      <c r="K1840" s="979">
        <v>208848.88713072779</v>
      </c>
      <c r="L1840" s="979">
        <v>208848.88713072779</v>
      </c>
      <c r="M1840" s="979">
        <v>599</v>
      </c>
    </row>
    <row r="1841" spans="1:13" ht="15">
      <c r="A1841" s="979" t="s">
        <v>3688</v>
      </c>
      <c r="B1841" s="1040" t="str">
        <f>CONCATENATE(LEFT(RIGHT(CONCATENATE("000",IFAData_TEA_1617!A1841),6),3),"-",(RIGHT(RIGHT(CONCATENATE("000",IFAData_TEA_1617!A1841),6),3)))</f>
        <v>184-903</v>
      </c>
      <c r="C1841" s="979" t="s">
        <v>140</v>
      </c>
      <c r="D1841" s="979">
        <v>6</v>
      </c>
      <c r="E1841" s="979">
        <v>2439</v>
      </c>
      <c r="F1841" s="979" t="s">
        <v>5360</v>
      </c>
      <c r="G1841" s="979" t="s">
        <v>6526</v>
      </c>
      <c r="H1841" s="979">
        <v>240000</v>
      </c>
      <c r="I1841" s="979">
        <v>133841</v>
      </c>
      <c r="J1841" s="979">
        <v>2.4044350212757856E-2</v>
      </c>
      <c r="K1841" s="979">
        <v>5770.644051061885</v>
      </c>
      <c r="L1841" s="979">
        <v>5770.644051061885</v>
      </c>
      <c r="M1841" s="979">
        <v>599</v>
      </c>
    </row>
    <row r="1842" spans="1:13" ht="15">
      <c r="A1842" s="979" t="s">
        <v>3688</v>
      </c>
      <c r="B1842" s="1040" t="str">
        <f>CONCATENATE(LEFT(RIGHT(CONCATENATE("000",IFAData_TEA_1617!A1842),6),3),"-",(RIGHT(RIGHT(CONCATENATE("000",IFAData_TEA_1617!A1842),6),3)))</f>
        <v>184-903</v>
      </c>
      <c r="C1842" s="979" t="s">
        <v>140</v>
      </c>
      <c r="D1842" s="979">
        <v>6</v>
      </c>
      <c r="E1842" s="979">
        <v>2439</v>
      </c>
      <c r="F1842" s="979" t="s">
        <v>5360</v>
      </c>
      <c r="G1842" s="979" t="s">
        <v>5362</v>
      </c>
      <c r="H1842" s="979">
        <v>240000</v>
      </c>
      <c r="I1842" s="979">
        <v>111085</v>
      </c>
      <c r="J1842" s="979">
        <v>1.9956266341287096E-2</v>
      </c>
      <c r="K1842" s="979">
        <v>4789.5039219089031</v>
      </c>
      <c r="L1842" s="979">
        <v>4789.5039219089031</v>
      </c>
      <c r="M1842" s="979">
        <v>599</v>
      </c>
    </row>
    <row r="1843" spans="1:13" ht="15">
      <c r="A1843" s="979" t="s">
        <v>3689</v>
      </c>
      <c r="B1843" s="1040" t="str">
        <f>CONCATENATE(LEFT(RIGHT(CONCATENATE("000",IFAData_TEA_1617!A1843),6),3),"-",(RIGHT(RIGHT(CONCATENATE("000",IFAData_TEA_1617!A1843),6),3)))</f>
        <v>184-904</v>
      </c>
      <c r="C1843" s="979" t="s">
        <v>2239</v>
      </c>
      <c r="D1843" s="979">
        <v>9</v>
      </c>
      <c r="E1843" s="979">
        <v>2109</v>
      </c>
      <c r="F1843" s="979" t="s">
        <v>5368</v>
      </c>
      <c r="G1843" s="979" t="s">
        <v>6311</v>
      </c>
      <c r="H1843" s="979">
        <v>193685</v>
      </c>
      <c r="I1843" s="979">
        <v>374600</v>
      </c>
      <c r="J1843" s="979">
        <v>0.56912792464296569</v>
      </c>
      <c r="K1843" s="979">
        <v>110231.54208447281</v>
      </c>
      <c r="L1843" s="979">
        <v>110231.54208447281</v>
      </c>
      <c r="M1843" s="979">
        <v>599</v>
      </c>
    </row>
    <row r="1844" spans="1:13" ht="15">
      <c r="A1844" s="979" t="s">
        <v>3689</v>
      </c>
      <c r="B1844" s="1040" t="str">
        <f>CONCATENATE(LEFT(RIGHT(CONCATENATE("000",IFAData_TEA_1617!A1844),6),3),"-",(RIGHT(RIGHT(CONCATENATE("000",IFAData_TEA_1617!A1844),6),3)))</f>
        <v>184-904</v>
      </c>
      <c r="C1844" s="979" t="s">
        <v>2239</v>
      </c>
      <c r="D1844" s="979">
        <v>9</v>
      </c>
      <c r="E1844" s="979">
        <v>2109</v>
      </c>
      <c r="F1844" s="979" t="s">
        <v>5368</v>
      </c>
      <c r="G1844" s="979" t="s">
        <v>6312</v>
      </c>
      <c r="H1844" s="979">
        <v>193685</v>
      </c>
      <c r="I1844" s="979">
        <v>188600</v>
      </c>
      <c r="J1844" s="979">
        <v>0.2865390458827104</v>
      </c>
      <c r="K1844" s="979">
        <v>55498.315101792767</v>
      </c>
      <c r="L1844" s="979">
        <v>55498.315101792767</v>
      </c>
      <c r="M1844" s="979">
        <v>599</v>
      </c>
    </row>
    <row r="1845" spans="1:13" ht="15">
      <c r="A1845" s="979" t="s">
        <v>3689</v>
      </c>
      <c r="B1845" s="1040" t="str">
        <f>CONCATENATE(LEFT(RIGHT(CONCATENATE("000",IFAData_TEA_1617!A1845),6),3),"-",(RIGHT(RIGHT(CONCATENATE("000",IFAData_TEA_1617!A1845),6),3)))</f>
        <v>184-904</v>
      </c>
      <c r="C1845" s="979" t="s">
        <v>2239</v>
      </c>
      <c r="D1845" s="979">
        <v>3</v>
      </c>
      <c r="E1845" s="979">
        <v>2108</v>
      </c>
      <c r="F1845" s="979" t="s">
        <v>5366</v>
      </c>
      <c r="G1845" s="979" t="s">
        <v>6313</v>
      </c>
      <c r="H1845" s="979">
        <v>166883</v>
      </c>
      <c r="I1845" s="979">
        <v>364200</v>
      </c>
      <c r="J1845" s="979">
        <v>1</v>
      </c>
      <c r="K1845" s="979">
        <v>166883</v>
      </c>
      <c r="L1845" s="979">
        <v>166883</v>
      </c>
      <c r="M1845" s="979">
        <v>599</v>
      </c>
    </row>
    <row r="1846" spans="1:13" ht="15">
      <c r="A1846" s="979" t="s">
        <v>3689</v>
      </c>
      <c r="B1846" s="1040" t="str">
        <f>CONCATENATE(LEFT(RIGHT(CONCATENATE("000",IFAData_TEA_1617!A1846),6),3),"-",(RIGHT(RIGHT(CONCATENATE("000",IFAData_TEA_1617!A1846),6),3)))</f>
        <v>184-904</v>
      </c>
      <c r="C1846" s="979" t="s">
        <v>2239</v>
      </c>
      <c r="D1846" s="979">
        <v>3</v>
      </c>
      <c r="E1846" s="979">
        <v>2108</v>
      </c>
      <c r="F1846" s="979" t="s">
        <v>5366</v>
      </c>
      <c r="G1846" s="979" t="s">
        <v>5367</v>
      </c>
      <c r="H1846" s="979">
        <v>166883</v>
      </c>
      <c r="I1846" s="979">
        <v>0</v>
      </c>
      <c r="J1846" s="979">
        <v>0</v>
      </c>
      <c r="K1846" s="979">
        <v>0</v>
      </c>
      <c r="L1846" s="979">
        <v>0</v>
      </c>
      <c r="M1846" s="979">
        <v>599</v>
      </c>
    </row>
    <row r="1847" spans="1:13" ht="15">
      <c r="A1847" s="979" t="s">
        <v>3689</v>
      </c>
      <c r="B1847" s="1040" t="str">
        <f>CONCATENATE(LEFT(RIGHT(CONCATENATE("000",IFAData_TEA_1617!A1847),6),3),"-",(RIGHT(RIGHT(CONCATENATE("000",IFAData_TEA_1617!A1847),6),3)))</f>
        <v>184-904</v>
      </c>
      <c r="C1847" s="979" t="s">
        <v>2239</v>
      </c>
      <c r="D1847" s="979">
        <v>3</v>
      </c>
      <c r="E1847" s="979">
        <v>2108</v>
      </c>
      <c r="F1847" s="979" t="s">
        <v>5366</v>
      </c>
      <c r="G1847" s="979" t="s">
        <v>5366</v>
      </c>
      <c r="H1847" s="979">
        <v>166883</v>
      </c>
      <c r="I1847" s="979">
        <v>0</v>
      </c>
      <c r="J1847" s="979">
        <v>0</v>
      </c>
      <c r="K1847" s="979">
        <v>0</v>
      </c>
      <c r="L1847" s="979">
        <v>0</v>
      </c>
      <c r="M1847" s="979">
        <v>599</v>
      </c>
    </row>
    <row r="1848" spans="1:13" ht="15">
      <c r="A1848" s="979" t="s">
        <v>3689</v>
      </c>
      <c r="B1848" s="1040" t="str">
        <f>CONCATENATE(LEFT(RIGHT(CONCATENATE("000",IFAData_TEA_1617!A1848),6),3),"-",(RIGHT(RIGHT(CONCATENATE("000",IFAData_TEA_1617!A1848),6),3)))</f>
        <v>184-904</v>
      </c>
      <c r="C1848" s="979" t="s">
        <v>2239</v>
      </c>
      <c r="D1848" s="979">
        <v>9</v>
      </c>
      <c r="E1848" s="979">
        <v>2109</v>
      </c>
      <c r="F1848" s="979" t="s">
        <v>5368</v>
      </c>
      <c r="G1848" s="979" t="s">
        <v>5368</v>
      </c>
      <c r="H1848" s="979">
        <v>193685</v>
      </c>
      <c r="I1848" s="979">
        <v>95000</v>
      </c>
      <c r="J1848" s="979">
        <v>0.14433302947432392</v>
      </c>
      <c r="K1848" s="979">
        <v>27955.142813734426</v>
      </c>
      <c r="L1848" s="979">
        <v>27955.142813734426</v>
      </c>
      <c r="M1848" s="979">
        <v>599</v>
      </c>
    </row>
    <row r="1849" spans="1:13" ht="15">
      <c r="A1849" s="979" t="s">
        <v>3690</v>
      </c>
      <c r="B1849" s="1040" t="str">
        <f>CONCATENATE(LEFT(RIGHT(CONCATENATE("000",IFAData_TEA_1617!A1849),6),3),"-",(RIGHT(RIGHT(CONCATENATE("000",IFAData_TEA_1617!A1849),6),3)))</f>
        <v>184-908</v>
      </c>
      <c r="C1849" s="979" t="s">
        <v>2593</v>
      </c>
      <c r="D1849" s="979">
        <v>6</v>
      </c>
      <c r="E1849" s="979">
        <v>2184</v>
      </c>
      <c r="F1849" s="979" t="s">
        <v>5369</v>
      </c>
      <c r="G1849" s="979" t="s">
        <v>5370</v>
      </c>
      <c r="H1849" s="979">
        <v>242636</v>
      </c>
      <c r="I1849" s="979">
        <v>569766</v>
      </c>
      <c r="J1849" s="979">
        <v>1</v>
      </c>
      <c r="K1849" s="979">
        <v>242636</v>
      </c>
      <c r="L1849" s="979">
        <v>242636</v>
      </c>
      <c r="M1849" s="979">
        <v>599</v>
      </c>
    </row>
    <row r="1850" spans="1:13" ht="15">
      <c r="A1850" s="979" t="s">
        <v>3690</v>
      </c>
      <c r="B1850" s="1040" t="str">
        <f>CONCATENATE(LEFT(RIGHT(CONCATENATE("000",IFAData_TEA_1617!A1850),6),3),"-",(RIGHT(RIGHT(CONCATENATE("000",IFAData_TEA_1617!A1850),6),3)))</f>
        <v>184-908</v>
      </c>
      <c r="C1850" s="979" t="s">
        <v>2593</v>
      </c>
      <c r="D1850" s="979">
        <v>6</v>
      </c>
      <c r="E1850" s="979">
        <v>2184</v>
      </c>
      <c r="F1850" s="979" t="s">
        <v>5369</v>
      </c>
      <c r="G1850" s="979" t="s">
        <v>5369</v>
      </c>
      <c r="H1850" s="979">
        <v>242636</v>
      </c>
      <c r="I1850" s="979">
        <v>0</v>
      </c>
      <c r="J1850" s="979">
        <v>0</v>
      </c>
      <c r="K1850" s="979">
        <v>0</v>
      </c>
      <c r="L1850" s="979">
        <v>0</v>
      </c>
      <c r="M1850" s="979">
        <v>599</v>
      </c>
    </row>
    <row r="1851" spans="1:13" ht="15">
      <c r="A1851" s="979" t="s">
        <v>3690</v>
      </c>
      <c r="B1851" s="1040" t="str">
        <f>CONCATENATE(LEFT(RIGHT(CONCATENATE("000",IFAData_TEA_1617!A1851),6),3),"-",(RIGHT(RIGHT(CONCATENATE("000",IFAData_TEA_1617!A1851),6),3)))</f>
        <v>184-908</v>
      </c>
      <c r="C1851" s="979" t="s">
        <v>2593</v>
      </c>
      <c r="D1851" s="979">
        <v>9</v>
      </c>
      <c r="E1851" s="979">
        <v>2183</v>
      </c>
      <c r="F1851" s="979" t="s">
        <v>5371</v>
      </c>
      <c r="G1851" s="979" t="s">
        <v>5371</v>
      </c>
      <c r="H1851" s="979">
        <v>201241</v>
      </c>
      <c r="I1851" s="979">
        <v>0</v>
      </c>
      <c r="J1851" s="979">
        <v>0</v>
      </c>
      <c r="K1851" s="979">
        <v>0</v>
      </c>
      <c r="L1851" s="979">
        <v>0</v>
      </c>
      <c r="M1851" s="979">
        <v>599</v>
      </c>
    </row>
    <row r="1852" spans="1:13" ht="15">
      <c r="A1852" s="979" t="s">
        <v>3690</v>
      </c>
      <c r="B1852" s="1040" t="str">
        <f>CONCATENATE(LEFT(RIGHT(CONCATENATE("000",IFAData_TEA_1617!A1852),6),3),"-",(RIGHT(RIGHT(CONCATENATE("000",IFAData_TEA_1617!A1852),6),3)))</f>
        <v>184-908</v>
      </c>
      <c r="C1852" s="979" t="s">
        <v>2593</v>
      </c>
      <c r="D1852" s="979">
        <v>9</v>
      </c>
      <c r="E1852" s="979">
        <v>2183</v>
      </c>
      <c r="F1852" s="979" t="s">
        <v>5371</v>
      </c>
      <c r="G1852" s="979" t="s">
        <v>6314</v>
      </c>
      <c r="H1852" s="979">
        <v>201241</v>
      </c>
      <c r="I1852" s="979">
        <v>238650</v>
      </c>
      <c r="J1852" s="979">
        <v>1</v>
      </c>
      <c r="K1852" s="979">
        <v>201241</v>
      </c>
      <c r="L1852" s="979">
        <v>201241</v>
      </c>
      <c r="M1852" s="979">
        <v>599</v>
      </c>
    </row>
    <row r="1853" spans="1:13" ht="15">
      <c r="A1853" s="979" t="s">
        <v>3691</v>
      </c>
      <c r="B1853" s="1040" t="str">
        <f>CONCATENATE(LEFT(RIGHT(CONCATENATE("000",IFAData_TEA_1617!A1853),6),3),"-",(RIGHT(RIGHT(CONCATENATE("000",IFAData_TEA_1617!A1853),6),3)))</f>
        <v>184-909</v>
      </c>
      <c r="C1853" s="979" t="s">
        <v>1856</v>
      </c>
      <c r="D1853" s="979">
        <v>5</v>
      </c>
      <c r="E1853" s="979">
        <v>1634</v>
      </c>
      <c r="F1853" s="979" t="s">
        <v>5372</v>
      </c>
      <c r="G1853" s="979" t="s">
        <v>5373</v>
      </c>
      <c r="H1853" s="979">
        <v>167169</v>
      </c>
      <c r="I1853" s="979">
        <v>225503</v>
      </c>
      <c r="J1853" s="979">
        <v>0.91708894220993131</v>
      </c>
      <c r="K1853" s="979">
        <v>153308.841380292</v>
      </c>
      <c r="L1853" s="979">
        <v>153308.841380292</v>
      </c>
      <c r="M1853" s="979">
        <v>599</v>
      </c>
    </row>
    <row r="1854" spans="1:13" ht="15">
      <c r="A1854" s="979" t="s">
        <v>3691</v>
      </c>
      <c r="B1854" s="1040" t="str">
        <f>CONCATENATE(LEFT(RIGHT(CONCATENATE("000",IFAData_TEA_1617!A1854),6),3),"-",(RIGHT(RIGHT(CONCATENATE("000",IFAData_TEA_1617!A1854),6),3)))</f>
        <v>184-909</v>
      </c>
      <c r="C1854" s="979" t="s">
        <v>1856</v>
      </c>
      <c r="D1854" s="979">
        <v>5</v>
      </c>
      <c r="E1854" s="979">
        <v>1634</v>
      </c>
      <c r="F1854" s="979" t="s">
        <v>5372</v>
      </c>
      <c r="G1854" s="979" t="s">
        <v>5372</v>
      </c>
      <c r="H1854" s="979">
        <v>167169</v>
      </c>
      <c r="I1854" s="979">
        <v>0</v>
      </c>
      <c r="J1854" s="979">
        <v>0</v>
      </c>
      <c r="K1854" s="979">
        <v>0</v>
      </c>
      <c r="L1854" s="979">
        <v>0</v>
      </c>
      <c r="M1854" s="979">
        <v>599</v>
      </c>
    </row>
    <row r="1855" spans="1:13" ht="15">
      <c r="A1855" s="979" t="s">
        <v>3691</v>
      </c>
      <c r="B1855" s="1040" t="str">
        <f>CONCATENATE(LEFT(RIGHT(CONCATENATE("000",IFAData_TEA_1617!A1855),6),3),"-",(RIGHT(RIGHT(CONCATENATE("000",IFAData_TEA_1617!A1855),6),3)))</f>
        <v>184-909</v>
      </c>
      <c r="C1855" s="979" t="s">
        <v>1856</v>
      </c>
      <c r="D1855" s="979">
        <v>5</v>
      </c>
      <c r="E1855" s="979">
        <v>1634</v>
      </c>
      <c r="F1855" s="979" t="s">
        <v>5372</v>
      </c>
      <c r="G1855" s="979" t="s">
        <v>6527</v>
      </c>
      <c r="H1855" s="979">
        <v>167169</v>
      </c>
      <c r="I1855" s="979">
        <v>20387</v>
      </c>
      <c r="J1855" s="979">
        <v>8.2911057790068729E-2</v>
      </c>
      <c r="K1855" s="979">
        <v>13860.158619708</v>
      </c>
      <c r="L1855" s="979">
        <v>13860.158619708</v>
      </c>
      <c r="M1855" s="979">
        <v>599</v>
      </c>
    </row>
    <row r="1856" spans="1:13" ht="15">
      <c r="A1856" s="979" t="s">
        <v>3692</v>
      </c>
      <c r="B1856" s="1040" t="str">
        <f>CONCATENATE(LEFT(RIGHT(CONCATENATE("000",IFAData_TEA_1617!A1856),6),3),"-",(RIGHT(RIGHT(CONCATENATE("000",IFAData_TEA_1617!A1856),6),3)))</f>
        <v>187-907</v>
      </c>
      <c r="C1856" s="979" t="s">
        <v>2226</v>
      </c>
      <c r="D1856" s="979">
        <v>1</v>
      </c>
      <c r="E1856" s="979">
        <v>2028</v>
      </c>
      <c r="F1856" s="979" t="s">
        <v>5374</v>
      </c>
      <c r="G1856" s="979" t="s">
        <v>6315</v>
      </c>
      <c r="H1856" s="979">
        <v>925000</v>
      </c>
      <c r="I1856" s="979">
        <v>860550</v>
      </c>
      <c r="J1856" s="979">
        <v>1</v>
      </c>
      <c r="K1856" s="979">
        <v>925000</v>
      </c>
      <c r="L1856" s="979">
        <v>860550</v>
      </c>
      <c r="M1856" s="979">
        <v>599</v>
      </c>
    </row>
    <row r="1857" spans="1:13" ht="15">
      <c r="A1857" s="979" t="s">
        <v>3692</v>
      </c>
      <c r="B1857" s="1040" t="str">
        <f>CONCATENATE(LEFT(RIGHT(CONCATENATE("000",IFAData_TEA_1617!A1857),6),3),"-",(RIGHT(RIGHT(CONCATENATE("000",IFAData_TEA_1617!A1857),6),3)))</f>
        <v>187-907</v>
      </c>
      <c r="C1857" s="979" t="s">
        <v>2226</v>
      </c>
      <c r="D1857" s="979">
        <v>1</v>
      </c>
      <c r="E1857" s="979">
        <v>2028</v>
      </c>
      <c r="F1857" s="979" t="s">
        <v>5374</v>
      </c>
      <c r="G1857" s="979" t="s">
        <v>5375</v>
      </c>
      <c r="H1857" s="979">
        <v>925000</v>
      </c>
      <c r="I1857" s="979">
        <v>0</v>
      </c>
      <c r="J1857" s="979">
        <v>0</v>
      </c>
      <c r="K1857" s="979">
        <v>0</v>
      </c>
      <c r="L1857" s="979">
        <v>0</v>
      </c>
      <c r="M1857" s="979">
        <v>599</v>
      </c>
    </row>
    <row r="1858" spans="1:13" ht="15">
      <c r="A1858" s="979" t="s">
        <v>3692</v>
      </c>
      <c r="B1858" s="1040" t="str">
        <f>CONCATENATE(LEFT(RIGHT(CONCATENATE("000",IFAData_TEA_1617!A1858),6),3),"-",(RIGHT(RIGHT(CONCATENATE("000",IFAData_TEA_1617!A1858),6),3)))</f>
        <v>187-907</v>
      </c>
      <c r="C1858" s="979" t="s">
        <v>2226</v>
      </c>
      <c r="D1858" s="979">
        <v>1</v>
      </c>
      <c r="E1858" s="979">
        <v>2028</v>
      </c>
      <c r="F1858" s="979" t="s">
        <v>5374</v>
      </c>
      <c r="G1858" s="979" t="s">
        <v>5374</v>
      </c>
      <c r="H1858" s="979">
        <v>925000</v>
      </c>
      <c r="I1858" s="979">
        <v>0</v>
      </c>
      <c r="J1858" s="979">
        <v>0</v>
      </c>
      <c r="K1858" s="979">
        <v>0</v>
      </c>
      <c r="L1858" s="979">
        <v>0</v>
      </c>
      <c r="M1858" s="979">
        <v>599</v>
      </c>
    </row>
    <row r="1859" spans="1:13" ht="15">
      <c r="A1859" s="979" t="s">
        <v>3692</v>
      </c>
      <c r="B1859" s="1040" t="str">
        <f>CONCATENATE(LEFT(RIGHT(CONCATENATE("000",IFAData_TEA_1617!A1859),6),3),"-",(RIGHT(RIGHT(CONCATENATE("000",IFAData_TEA_1617!A1859),6),3)))</f>
        <v>187-907</v>
      </c>
      <c r="C1859" s="979" t="s">
        <v>2226</v>
      </c>
      <c r="D1859" s="979">
        <v>9</v>
      </c>
      <c r="E1859" s="979">
        <v>2029</v>
      </c>
      <c r="F1859" s="979" t="s">
        <v>5376</v>
      </c>
      <c r="G1859" s="979" t="s">
        <v>5376</v>
      </c>
      <c r="H1859" s="979">
        <v>954000</v>
      </c>
      <c r="I1859" s="979">
        <v>2797319</v>
      </c>
      <c r="J1859" s="979">
        <v>0.87991822758060778</v>
      </c>
      <c r="K1859" s="979">
        <v>839441.98911189986</v>
      </c>
      <c r="L1859" s="979">
        <v>839441.98911189986</v>
      </c>
      <c r="M1859" s="979">
        <v>599</v>
      </c>
    </row>
    <row r="1860" spans="1:13" ht="15">
      <c r="A1860" s="979" t="s">
        <v>3692</v>
      </c>
      <c r="B1860" s="1040" t="str">
        <f>CONCATENATE(LEFT(RIGHT(CONCATENATE("000",IFAData_TEA_1617!A1860),6),3),"-",(RIGHT(RIGHT(CONCATENATE("000",IFAData_TEA_1617!A1860),6),3)))</f>
        <v>187-907</v>
      </c>
      <c r="C1860" s="979" t="s">
        <v>2226</v>
      </c>
      <c r="D1860" s="979">
        <v>9</v>
      </c>
      <c r="E1860" s="979">
        <v>2029</v>
      </c>
      <c r="F1860" s="979" t="s">
        <v>5376</v>
      </c>
      <c r="G1860" s="979" t="s">
        <v>6528</v>
      </c>
      <c r="H1860" s="979">
        <v>954000</v>
      </c>
      <c r="I1860" s="979">
        <v>381748</v>
      </c>
      <c r="J1860" s="979">
        <v>0.12008177241939223</v>
      </c>
      <c r="K1860" s="979">
        <v>114558.01088810019</v>
      </c>
      <c r="L1860" s="979">
        <v>114558.01088810019</v>
      </c>
      <c r="M1860" s="979">
        <v>599</v>
      </c>
    </row>
    <row r="1861" spans="1:13" ht="15">
      <c r="A1861" s="979" t="s">
        <v>3693</v>
      </c>
      <c r="B1861" s="1040" t="str">
        <f>CONCATENATE(LEFT(RIGHT(CONCATENATE("000",IFAData_TEA_1617!A1861),6),3),"-",(RIGHT(RIGHT(CONCATENATE("000",IFAData_TEA_1617!A1861),6),3)))</f>
        <v>188-901</v>
      </c>
      <c r="C1861" s="979" t="s">
        <v>1054</v>
      </c>
      <c r="D1861" s="979">
        <v>1</v>
      </c>
      <c r="E1861" s="979">
        <v>1571</v>
      </c>
      <c r="F1861" s="979" t="s">
        <v>5377</v>
      </c>
      <c r="G1861" s="979" t="s">
        <v>5377</v>
      </c>
      <c r="H1861" s="979">
        <v>2142810</v>
      </c>
      <c r="I1861" s="979">
        <v>0</v>
      </c>
      <c r="J1861" s="979">
        <v>0</v>
      </c>
      <c r="K1861" s="979"/>
      <c r="L1861" s="979">
        <v>0</v>
      </c>
      <c r="M1861" s="979">
        <v>599</v>
      </c>
    </row>
    <row r="1862" spans="1:13" ht="15">
      <c r="A1862" s="979" t="s">
        <v>3694</v>
      </c>
      <c r="B1862" s="1040" t="str">
        <f>CONCATENATE(LEFT(RIGHT(CONCATENATE("000",IFAData_TEA_1617!A1862),6),3),"-",(RIGHT(RIGHT(CONCATENATE("000",IFAData_TEA_1617!A1862),6),3)))</f>
        <v>188-902</v>
      </c>
      <c r="C1862" s="979" t="s">
        <v>2696</v>
      </c>
      <c r="D1862" s="979">
        <v>1</v>
      </c>
      <c r="E1862" s="979">
        <v>2249</v>
      </c>
      <c r="F1862" s="979" t="s">
        <v>5380</v>
      </c>
      <c r="G1862" s="979" t="s">
        <v>5381</v>
      </c>
      <c r="H1862" s="979">
        <v>331772</v>
      </c>
      <c r="I1862" s="979">
        <v>322875</v>
      </c>
      <c r="J1862" s="979">
        <v>1</v>
      </c>
      <c r="K1862" s="979">
        <v>331772</v>
      </c>
      <c r="L1862" s="979">
        <v>322875</v>
      </c>
      <c r="M1862" s="979">
        <v>599</v>
      </c>
    </row>
    <row r="1863" spans="1:13" ht="15">
      <c r="A1863" s="979" t="s">
        <v>3694</v>
      </c>
      <c r="B1863" s="1040" t="str">
        <f>CONCATENATE(LEFT(RIGHT(CONCATENATE("000",IFAData_TEA_1617!A1863),6),3),"-",(RIGHT(RIGHT(CONCATENATE("000",IFAData_TEA_1617!A1863),6),3)))</f>
        <v>188-902</v>
      </c>
      <c r="C1863" s="979" t="s">
        <v>2696</v>
      </c>
      <c r="D1863" s="979">
        <v>1</v>
      </c>
      <c r="E1863" s="979">
        <v>2249</v>
      </c>
      <c r="F1863" s="979" t="s">
        <v>5380</v>
      </c>
      <c r="G1863" s="979" t="s">
        <v>5380</v>
      </c>
      <c r="H1863" s="979">
        <v>331772</v>
      </c>
      <c r="I1863" s="979">
        <v>0</v>
      </c>
      <c r="J1863" s="979">
        <v>0</v>
      </c>
      <c r="K1863" s="979">
        <v>0</v>
      </c>
      <c r="L1863" s="979">
        <v>0</v>
      </c>
      <c r="M1863" s="979">
        <v>599</v>
      </c>
    </row>
    <row r="1864" spans="1:13" ht="15">
      <c r="A1864" s="979" t="s">
        <v>3695</v>
      </c>
      <c r="B1864" s="1040" t="str">
        <f>CONCATENATE(LEFT(RIGHT(CONCATENATE("000",IFAData_TEA_1617!A1864),6),3),"-",(RIGHT(RIGHT(CONCATENATE("000",IFAData_TEA_1617!A1864),6),3)))</f>
        <v>189-901</v>
      </c>
      <c r="C1864" s="979" t="s">
        <v>292</v>
      </c>
      <c r="D1864" s="979">
        <v>6</v>
      </c>
      <c r="E1864" s="979">
        <v>2064</v>
      </c>
      <c r="F1864" s="979" t="s">
        <v>5382</v>
      </c>
      <c r="G1864" s="979" t="s">
        <v>5383</v>
      </c>
      <c r="H1864" s="979">
        <v>141412</v>
      </c>
      <c r="I1864" s="979">
        <v>100000</v>
      </c>
      <c r="J1864" s="979">
        <v>0.59541530217326588</v>
      </c>
      <c r="K1864" s="979">
        <v>84198.868710925875</v>
      </c>
      <c r="L1864" s="979">
        <v>84198.868710925875</v>
      </c>
      <c r="M1864" s="979">
        <v>599</v>
      </c>
    </row>
    <row r="1865" spans="1:13" ht="15">
      <c r="A1865" s="979" t="s">
        <v>3695</v>
      </c>
      <c r="B1865" s="1040" t="str">
        <f>CONCATENATE(LEFT(RIGHT(CONCATENATE("000",IFAData_TEA_1617!A1865),6),3),"-",(RIGHT(RIGHT(CONCATENATE("000",IFAData_TEA_1617!A1865),6),3)))</f>
        <v>189-901</v>
      </c>
      <c r="C1865" s="979" t="s">
        <v>292</v>
      </c>
      <c r="D1865" s="979">
        <v>6</v>
      </c>
      <c r="E1865" s="979">
        <v>2064</v>
      </c>
      <c r="F1865" s="979" t="s">
        <v>5382</v>
      </c>
      <c r="G1865" s="979" t="s">
        <v>5382</v>
      </c>
      <c r="H1865" s="979">
        <v>141412</v>
      </c>
      <c r="I1865" s="979">
        <v>0</v>
      </c>
      <c r="J1865" s="979">
        <v>0</v>
      </c>
      <c r="K1865" s="979">
        <v>0</v>
      </c>
      <c r="L1865" s="979">
        <v>0</v>
      </c>
      <c r="M1865" s="979">
        <v>599</v>
      </c>
    </row>
    <row r="1866" spans="1:13" ht="15">
      <c r="A1866" s="979" t="s">
        <v>3695</v>
      </c>
      <c r="B1866" s="1040" t="str">
        <f>CONCATENATE(LEFT(RIGHT(CONCATENATE("000",IFAData_TEA_1617!A1866),6),3),"-",(RIGHT(RIGHT(CONCATENATE("000",IFAData_TEA_1617!A1866),6),3)))</f>
        <v>189-901</v>
      </c>
      <c r="C1866" s="979" t="s">
        <v>292</v>
      </c>
      <c r="D1866" s="979">
        <v>9</v>
      </c>
      <c r="E1866" s="979">
        <v>2063</v>
      </c>
      <c r="F1866" s="979" t="s">
        <v>5384</v>
      </c>
      <c r="G1866" s="979" t="s">
        <v>5384</v>
      </c>
      <c r="H1866" s="979">
        <v>100000</v>
      </c>
      <c r="I1866" s="979">
        <v>0</v>
      </c>
      <c r="J1866" s="979">
        <v>0</v>
      </c>
      <c r="K1866" s="979">
        <v>0</v>
      </c>
      <c r="L1866" s="979">
        <v>0</v>
      </c>
      <c r="M1866" s="979">
        <v>599</v>
      </c>
    </row>
    <row r="1867" spans="1:13" ht="15">
      <c r="A1867" s="979" t="s">
        <v>3695</v>
      </c>
      <c r="B1867" s="1040" t="str">
        <f>CONCATENATE(LEFT(RIGHT(CONCATENATE("000",IFAData_TEA_1617!A1867),6),3),"-",(RIGHT(RIGHT(CONCATENATE("000",IFAData_TEA_1617!A1867),6),3)))</f>
        <v>189-901</v>
      </c>
      <c r="C1867" s="979" t="s">
        <v>292</v>
      </c>
      <c r="D1867" s="979">
        <v>9</v>
      </c>
      <c r="E1867" s="979">
        <v>2063</v>
      </c>
      <c r="F1867" s="979" t="s">
        <v>5384</v>
      </c>
      <c r="G1867" s="979" t="s">
        <v>6316</v>
      </c>
      <c r="H1867" s="979">
        <v>100000</v>
      </c>
      <c r="I1867" s="979">
        <v>139736</v>
      </c>
      <c r="J1867" s="979">
        <v>1</v>
      </c>
      <c r="K1867" s="979">
        <v>100000</v>
      </c>
      <c r="L1867" s="979">
        <v>100000</v>
      </c>
      <c r="M1867" s="979">
        <v>599</v>
      </c>
    </row>
    <row r="1868" spans="1:13" ht="15">
      <c r="A1868" s="979" t="s">
        <v>3695</v>
      </c>
      <c r="B1868" s="1040" t="str">
        <f>CONCATENATE(LEFT(RIGHT(CONCATENATE("000",IFAData_TEA_1617!A1868),6),3),"-",(RIGHT(RIGHT(CONCATENATE("000",IFAData_TEA_1617!A1868),6),3)))</f>
        <v>189-901</v>
      </c>
      <c r="C1868" s="979" t="s">
        <v>292</v>
      </c>
      <c r="D1868" s="979">
        <v>6</v>
      </c>
      <c r="E1868" s="979">
        <v>2064</v>
      </c>
      <c r="F1868" s="979" t="s">
        <v>5382</v>
      </c>
      <c r="G1868" s="979" t="s">
        <v>6316</v>
      </c>
      <c r="H1868" s="979">
        <v>141412</v>
      </c>
      <c r="I1868" s="979">
        <v>67950</v>
      </c>
      <c r="J1868" s="979">
        <v>0.40458469782673417</v>
      </c>
      <c r="K1868" s="979">
        <v>57213.131289074132</v>
      </c>
      <c r="L1868" s="979">
        <v>57213.131289074132</v>
      </c>
      <c r="M1868" s="979">
        <v>599</v>
      </c>
    </row>
    <row r="1869" spans="1:13" ht="15">
      <c r="A1869" s="979" t="s">
        <v>3696</v>
      </c>
      <c r="B1869" s="1040" t="str">
        <f>CONCATENATE(LEFT(RIGHT(CONCATENATE("000",IFAData_TEA_1617!A1869),6),3),"-",(RIGHT(RIGHT(CONCATENATE("000",IFAData_TEA_1617!A1869),6),3)))</f>
        <v>189-902</v>
      </c>
      <c r="C1869" s="979" t="s">
        <v>2103</v>
      </c>
      <c r="D1869" s="979">
        <v>2</v>
      </c>
      <c r="E1869" s="979">
        <v>2210</v>
      </c>
      <c r="F1869" s="979" t="s">
        <v>5385</v>
      </c>
      <c r="G1869" s="979" t="s">
        <v>5386</v>
      </c>
      <c r="H1869" s="979">
        <v>292085</v>
      </c>
      <c r="I1869" s="979">
        <v>241395</v>
      </c>
      <c r="J1869" s="979">
        <v>0.99700973488243383</v>
      </c>
      <c r="K1869" s="979">
        <v>291211.58841313567</v>
      </c>
      <c r="L1869" s="979">
        <v>241395</v>
      </c>
      <c r="M1869" s="979">
        <v>599</v>
      </c>
    </row>
    <row r="1870" spans="1:13" ht="15">
      <c r="A1870" s="979" t="s">
        <v>3696</v>
      </c>
      <c r="B1870" s="1040" t="str">
        <f>CONCATENATE(LEFT(RIGHT(CONCATENATE("000",IFAData_TEA_1617!A1870),6),3),"-",(RIGHT(RIGHT(CONCATENATE("000",IFAData_TEA_1617!A1870),6),3)))</f>
        <v>189-902</v>
      </c>
      <c r="C1870" s="979" t="s">
        <v>2103</v>
      </c>
      <c r="D1870" s="979">
        <v>4</v>
      </c>
      <c r="E1870" s="979">
        <v>2211</v>
      </c>
      <c r="F1870" s="979" t="s">
        <v>5387</v>
      </c>
      <c r="G1870" s="979" t="s">
        <v>5386</v>
      </c>
      <c r="H1870" s="979">
        <v>333511</v>
      </c>
      <c r="I1870" s="979">
        <v>246488</v>
      </c>
      <c r="J1870" s="979">
        <v>1</v>
      </c>
      <c r="K1870" s="979">
        <v>333511</v>
      </c>
      <c r="L1870" s="979">
        <v>246488</v>
      </c>
      <c r="M1870" s="979">
        <v>599</v>
      </c>
    </row>
    <row r="1871" spans="1:13" ht="15">
      <c r="A1871" s="979" t="s">
        <v>3696</v>
      </c>
      <c r="B1871" s="1040" t="str">
        <f>CONCATENATE(LEFT(RIGHT(CONCATENATE("000",IFAData_TEA_1617!A1871),6),3),"-",(RIGHT(RIGHT(CONCATENATE("000",IFAData_TEA_1617!A1871),6),3)))</f>
        <v>189-902</v>
      </c>
      <c r="C1871" s="979" t="s">
        <v>2103</v>
      </c>
      <c r="D1871" s="979">
        <v>2</v>
      </c>
      <c r="E1871" s="979">
        <v>2210</v>
      </c>
      <c r="F1871" s="979" t="s">
        <v>5385</v>
      </c>
      <c r="G1871" s="979" t="s">
        <v>5385</v>
      </c>
      <c r="H1871" s="979">
        <v>292085</v>
      </c>
      <c r="I1871" s="979">
        <v>724</v>
      </c>
      <c r="J1871" s="979">
        <v>2.9902651175661554E-3</v>
      </c>
      <c r="K1871" s="979">
        <v>873.41158686431049</v>
      </c>
      <c r="L1871" s="979">
        <v>724</v>
      </c>
      <c r="M1871" s="979">
        <v>599</v>
      </c>
    </row>
    <row r="1872" spans="1:13" ht="15">
      <c r="A1872" s="979" t="s">
        <v>3696</v>
      </c>
      <c r="B1872" s="1040" t="str">
        <f>CONCATENATE(LEFT(RIGHT(CONCATENATE("000",IFAData_TEA_1617!A1872),6),3),"-",(RIGHT(RIGHT(CONCATENATE("000",IFAData_TEA_1617!A1872),6),3)))</f>
        <v>189-902</v>
      </c>
      <c r="C1872" s="979" t="s">
        <v>2103</v>
      </c>
      <c r="D1872" s="979">
        <v>4</v>
      </c>
      <c r="E1872" s="979">
        <v>2211</v>
      </c>
      <c r="F1872" s="979" t="s">
        <v>5387</v>
      </c>
      <c r="G1872" s="979" t="s">
        <v>5387</v>
      </c>
      <c r="H1872" s="979">
        <v>333511</v>
      </c>
      <c r="I1872" s="979">
        <v>0</v>
      </c>
      <c r="J1872" s="979">
        <v>0</v>
      </c>
      <c r="K1872" s="979">
        <v>0</v>
      </c>
      <c r="L1872" s="979">
        <v>0</v>
      </c>
      <c r="M1872" s="979">
        <v>599</v>
      </c>
    </row>
    <row r="1873" spans="1:13" ht="15">
      <c r="A1873" s="979" t="s">
        <v>3697</v>
      </c>
      <c r="B1873" s="1040" t="str">
        <f>CONCATENATE(LEFT(RIGHT(CONCATENATE("000",IFAData_TEA_1617!A1873),6),3),"-",(RIGHT(RIGHT(CONCATENATE("000",IFAData_TEA_1617!A1873),6),3)))</f>
        <v>194-903</v>
      </c>
      <c r="C1873" s="979" t="s">
        <v>2697</v>
      </c>
      <c r="D1873" s="979">
        <v>3</v>
      </c>
      <c r="E1873" s="979">
        <v>2251</v>
      </c>
      <c r="F1873" s="979" t="s">
        <v>5388</v>
      </c>
      <c r="G1873" s="979" t="s">
        <v>6317</v>
      </c>
      <c r="H1873" s="979">
        <v>172500</v>
      </c>
      <c r="I1873" s="979">
        <v>244070</v>
      </c>
      <c r="J1873" s="979">
        <v>1</v>
      </c>
      <c r="K1873" s="979">
        <v>172500</v>
      </c>
      <c r="L1873" s="979">
        <v>172500</v>
      </c>
      <c r="M1873" s="979">
        <v>599</v>
      </c>
    </row>
    <row r="1874" spans="1:13" ht="15">
      <c r="A1874" s="979" t="s">
        <v>3697</v>
      </c>
      <c r="B1874" s="1040" t="str">
        <f>CONCATENATE(LEFT(RIGHT(CONCATENATE("000",IFAData_TEA_1617!A1874),6),3),"-",(RIGHT(RIGHT(CONCATENATE("000",IFAData_TEA_1617!A1874),6),3)))</f>
        <v>194-903</v>
      </c>
      <c r="C1874" s="979" t="s">
        <v>2697</v>
      </c>
      <c r="D1874" s="979">
        <v>5</v>
      </c>
      <c r="E1874" s="979">
        <v>2250</v>
      </c>
      <c r="F1874" s="979" t="s">
        <v>5390</v>
      </c>
      <c r="G1874" s="979" t="s">
        <v>5390</v>
      </c>
      <c r="H1874" s="979">
        <v>166474</v>
      </c>
      <c r="I1874" s="979">
        <v>0</v>
      </c>
      <c r="J1874" s="979">
        <v>0</v>
      </c>
      <c r="K1874" s="979">
        <v>0</v>
      </c>
      <c r="L1874" s="979">
        <v>0</v>
      </c>
      <c r="M1874" s="979">
        <v>599</v>
      </c>
    </row>
    <row r="1875" spans="1:13" ht="15">
      <c r="A1875" s="979" t="s">
        <v>3697</v>
      </c>
      <c r="B1875" s="1040" t="str">
        <f>CONCATENATE(LEFT(RIGHT(CONCATENATE("000",IFAData_TEA_1617!A1875),6),3),"-",(RIGHT(RIGHT(CONCATENATE("000",IFAData_TEA_1617!A1875),6),3)))</f>
        <v>194-903</v>
      </c>
      <c r="C1875" s="979" t="s">
        <v>2697</v>
      </c>
      <c r="D1875" s="979">
        <v>3</v>
      </c>
      <c r="E1875" s="979">
        <v>2251</v>
      </c>
      <c r="F1875" s="979" t="s">
        <v>5388</v>
      </c>
      <c r="G1875" s="979" t="s">
        <v>5389</v>
      </c>
      <c r="H1875" s="979">
        <v>172500</v>
      </c>
      <c r="I1875" s="979">
        <v>0</v>
      </c>
      <c r="J1875" s="979">
        <v>0</v>
      </c>
      <c r="K1875" s="979">
        <v>0</v>
      </c>
      <c r="L1875" s="979">
        <v>0</v>
      </c>
      <c r="M1875" s="979">
        <v>599</v>
      </c>
    </row>
    <row r="1876" spans="1:13" ht="15">
      <c r="A1876" s="979" t="s">
        <v>3697</v>
      </c>
      <c r="B1876" s="1040" t="str">
        <f>CONCATENATE(LEFT(RIGHT(CONCATENATE("000",IFAData_TEA_1617!A1876),6),3),"-",(RIGHT(RIGHT(CONCATENATE("000",IFAData_TEA_1617!A1876),6),3)))</f>
        <v>194-903</v>
      </c>
      <c r="C1876" s="979" t="s">
        <v>2697</v>
      </c>
      <c r="D1876" s="979">
        <v>5</v>
      </c>
      <c r="E1876" s="979">
        <v>2250</v>
      </c>
      <c r="F1876" s="979" t="s">
        <v>5390</v>
      </c>
      <c r="G1876" s="979" t="s">
        <v>5391</v>
      </c>
      <c r="H1876" s="979">
        <v>166474</v>
      </c>
      <c r="I1876" s="979">
        <v>197875</v>
      </c>
      <c r="J1876" s="979">
        <v>1</v>
      </c>
      <c r="K1876" s="979">
        <v>166474</v>
      </c>
      <c r="L1876" s="979">
        <v>166474</v>
      </c>
      <c r="M1876" s="979">
        <v>599</v>
      </c>
    </row>
    <row r="1877" spans="1:13" ht="15">
      <c r="A1877" s="979" t="s">
        <v>3697</v>
      </c>
      <c r="B1877" s="1040" t="str">
        <f>CONCATENATE(LEFT(RIGHT(CONCATENATE("000",IFAData_TEA_1617!A1877),6),3),"-",(RIGHT(RIGHT(CONCATENATE("000",IFAData_TEA_1617!A1877),6),3)))</f>
        <v>194-903</v>
      </c>
      <c r="C1877" s="979" t="s">
        <v>2697</v>
      </c>
      <c r="D1877" s="979">
        <v>3</v>
      </c>
      <c r="E1877" s="979">
        <v>2251</v>
      </c>
      <c r="F1877" s="979" t="s">
        <v>5388</v>
      </c>
      <c r="G1877" s="979" t="s">
        <v>5388</v>
      </c>
      <c r="H1877" s="979">
        <v>172500</v>
      </c>
      <c r="I1877" s="979">
        <v>0</v>
      </c>
      <c r="J1877" s="979">
        <v>0</v>
      </c>
      <c r="K1877" s="979">
        <v>0</v>
      </c>
      <c r="L1877" s="979">
        <v>0</v>
      </c>
      <c r="M1877" s="979">
        <v>599</v>
      </c>
    </row>
    <row r="1878" spans="1:13" ht="15">
      <c r="A1878" s="979" t="s">
        <v>3698</v>
      </c>
      <c r="B1878" s="1040" t="str">
        <f>CONCATENATE(LEFT(RIGHT(CONCATENATE("000",IFAData_TEA_1617!A1878),6),3),"-",(RIGHT(RIGHT(CONCATENATE("000",IFAData_TEA_1617!A1878),6),3)))</f>
        <v>194-905</v>
      </c>
      <c r="C1878" s="979" t="s">
        <v>2668</v>
      </c>
      <c r="D1878" s="979">
        <v>8</v>
      </c>
      <c r="E1878" s="979">
        <v>1755</v>
      </c>
      <c r="F1878" s="979" t="s">
        <v>5394</v>
      </c>
      <c r="G1878" s="979" t="s">
        <v>5394</v>
      </c>
      <c r="H1878" s="979">
        <v>116500</v>
      </c>
      <c r="I1878" s="979">
        <v>0</v>
      </c>
      <c r="J1878" s="979">
        <v>0</v>
      </c>
      <c r="K1878" s="979">
        <v>0</v>
      </c>
      <c r="L1878" s="979">
        <v>0</v>
      </c>
      <c r="M1878" s="979">
        <v>599</v>
      </c>
    </row>
    <row r="1879" spans="1:13" ht="15">
      <c r="A1879" s="979" t="s">
        <v>3698</v>
      </c>
      <c r="B1879" s="1040" t="str">
        <f>CONCATENATE(LEFT(RIGHT(CONCATENATE("000",IFAData_TEA_1617!A1879),6),3),"-",(RIGHT(RIGHT(CONCATENATE("000",IFAData_TEA_1617!A1879),6),3)))</f>
        <v>194-905</v>
      </c>
      <c r="C1879" s="979" t="s">
        <v>2668</v>
      </c>
      <c r="D1879" s="979">
        <v>4</v>
      </c>
      <c r="E1879" s="979">
        <v>1753</v>
      </c>
      <c r="F1879" s="979" t="s">
        <v>5392</v>
      </c>
      <c r="G1879" s="979" t="s">
        <v>5392</v>
      </c>
      <c r="H1879" s="979">
        <v>109658</v>
      </c>
      <c r="I1879" s="979">
        <v>0</v>
      </c>
      <c r="J1879" s="979">
        <v>0</v>
      </c>
      <c r="K1879" s="979">
        <v>0</v>
      </c>
      <c r="L1879" s="979">
        <v>0</v>
      </c>
      <c r="M1879" s="979">
        <v>599</v>
      </c>
    </row>
    <row r="1880" spans="1:13" ht="15">
      <c r="A1880" s="979" t="s">
        <v>3698</v>
      </c>
      <c r="B1880" s="1040" t="str">
        <f>CONCATENATE(LEFT(RIGHT(CONCATENATE("000",IFAData_TEA_1617!A1880),6),3),"-",(RIGHT(RIGHT(CONCATENATE("000",IFAData_TEA_1617!A1880),6),3)))</f>
        <v>194-905</v>
      </c>
      <c r="C1880" s="979" t="s">
        <v>2668</v>
      </c>
      <c r="D1880" s="979">
        <v>8</v>
      </c>
      <c r="E1880" s="979">
        <v>1755</v>
      </c>
      <c r="F1880" s="979" t="s">
        <v>5394</v>
      </c>
      <c r="G1880" s="979" t="s">
        <v>6529</v>
      </c>
      <c r="H1880" s="979">
        <v>116500</v>
      </c>
      <c r="I1880" s="979">
        <v>108500</v>
      </c>
      <c r="J1880" s="979">
        <v>1</v>
      </c>
      <c r="K1880" s="979">
        <v>116500</v>
      </c>
      <c r="L1880" s="979">
        <v>108500</v>
      </c>
      <c r="M1880" s="979">
        <v>599</v>
      </c>
    </row>
    <row r="1881" spans="1:13" ht="15">
      <c r="A1881" s="979" t="s">
        <v>3698</v>
      </c>
      <c r="B1881" s="1040" t="str">
        <f>CONCATENATE(LEFT(RIGHT(CONCATENATE("000",IFAData_TEA_1617!A1881),6),3),"-",(RIGHT(RIGHT(CONCATENATE("000",IFAData_TEA_1617!A1881),6),3)))</f>
        <v>194-905</v>
      </c>
      <c r="C1881" s="979" t="s">
        <v>2668</v>
      </c>
      <c r="D1881" s="979">
        <v>9</v>
      </c>
      <c r="E1881" s="979">
        <v>1754</v>
      </c>
      <c r="F1881" s="979" t="s">
        <v>5393</v>
      </c>
      <c r="G1881" s="979" t="s">
        <v>5393</v>
      </c>
      <c r="H1881" s="979">
        <v>115000</v>
      </c>
      <c r="I1881" s="979">
        <v>168362</v>
      </c>
      <c r="J1881" s="979">
        <v>1</v>
      </c>
      <c r="K1881" s="979">
        <v>115000</v>
      </c>
      <c r="L1881" s="979">
        <v>115000</v>
      </c>
      <c r="M1881" s="979">
        <v>599</v>
      </c>
    </row>
    <row r="1882" spans="1:13" ht="15">
      <c r="A1882" s="979" t="s">
        <v>3698</v>
      </c>
      <c r="B1882" s="1040" t="str">
        <f>CONCATENATE(LEFT(RIGHT(CONCATENATE("000",IFAData_TEA_1617!A1882),6),3),"-",(RIGHT(RIGHT(CONCATENATE("000",IFAData_TEA_1617!A1882),6),3)))</f>
        <v>194-905</v>
      </c>
      <c r="C1882" s="979" t="s">
        <v>2668</v>
      </c>
      <c r="D1882" s="979">
        <v>4</v>
      </c>
      <c r="E1882" s="979">
        <v>1753</v>
      </c>
      <c r="F1882" s="979" t="s">
        <v>5392</v>
      </c>
      <c r="G1882" s="979" t="s">
        <v>5393</v>
      </c>
      <c r="H1882" s="979">
        <v>109658</v>
      </c>
      <c r="I1882" s="979">
        <v>80226</v>
      </c>
      <c r="J1882" s="979">
        <v>1</v>
      </c>
      <c r="K1882" s="979">
        <v>109658</v>
      </c>
      <c r="L1882" s="979">
        <v>80226</v>
      </c>
      <c r="M1882" s="979">
        <v>599</v>
      </c>
    </row>
    <row r="1883" spans="1:13" ht="15">
      <c r="A1883" s="979" t="s">
        <v>3699</v>
      </c>
      <c r="B1883" s="1040" t="str">
        <f>CONCATENATE(LEFT(RIGHT(CONCATENATE("000",IFAData_TEA_1617!A1883),6),3),"-",(RIGHT(RIGHT(CONCATENATE("000",IFAData_TEA_1617!A1883),6),3)))</f>
        <v>195-902</v>
      </c>
      <c r="C1883" s="979" t="s">
        <v>2120</v>
      </c>
      <c r="D1883" s="979">
        <v>5</v>
      </c>
      <c r="E1883" s="979">
        <v>1590</v>
      </c>
      <c r="F1883" s="979" t="s">
        <v>5395</v>
      </c>
      <c r="G1883" s="979" t="s">
        <v>5395</v>
      </c>
      <c r="H1883" s="979">
        <v>100000</v>
      </c>
      <c r="I1883" s="979">
        <v>0</v>
      </c>
      <c r="J1883" s="979">
        <v>0</v>
      </c>
      <c r="K1883" s="979">
        <v>0</v>
      </c>
      <c r="L1883" s="979">
        <v>0</v>
      </c>
      <c r="M1883" s="979">
        <v>599</v>
      </c>
    </row>
    <row r="1884" spans="1:13" ht="15">
      <c r="A1884" s="979" t="s">
        <v>3699</v>
      </c>
      <c r="B1884" s="1040" t="str">
        <f>CONCATENATE(LEFT(RIGHT(CONCATENATE("000",IFAData_TEA_1617!A1884),6),3),"-",(RIGHT(RIGHT(CONCATENATE("000",IFAData_TEA_1617!A1884),6),3)))</f>
        <v>195-902</v>
      </c>
      <c r="C1884" s="979" t="s">
        <v>2120</v>
      </c>
      <c r="D1884" s="979">
        <v>5</v>
      </c>
      <c r="E1884" s="979">
        <v>1590</v>
      </c>
      <c r="F1884" s="979" t="s">
        <v>5395</v>
      </c>
      <c r="G1884" s="979" t="s">
        <v>5396</v>
      </c>
      <c r="H1884" s="979">
        <v>100000</v>
      </c>
      <c r="I1884" s="979">
        <v>95512</v>
      </c>
      <c r="J1884" s="979">
        <v>1</v>
      </c>
      <c r="K1884" s="979">
        <v>100000</v>
      </c>
      <c r="L1884" s="979">
        <v>95512</v>
      </c>
      <c r="M1884" s="979">
        <v>599</v>
      </c>
    </row>
    <row r="1885" spans="1:13" ht="15">
      <c r="A1885" s="979" t="s">
        <v>3700</v>
      </c>
      <c r="B1885" s="1040" t="str">
        <f>CONCATENATE(LEFT(RIGHT(CONCATENATE("000",IFAData_TEA_1617!A1885),6),3),"-",(RIGHT(RIGHT(CONCATENATE("000",IFAData_TEA_1617!A1885),6),3)))</f>
        <v>199-902</v>
      </c>
      <c r="C1885" s="979" t="s">
        <v>613</v>
      </c>
      <c r="D1885" s="979">
        <v>9</v>
      </c>
      <c r="E1885" s="979">
        <v>2271</v>
      </c>
      <c r="F1885" s="979" t="s">
        <v>5400</v>
      </c>
      <c r="G1885" s="979" t="s">
        <v>6318</v>
      </c>
      <c r="H1885" s="979">
        <v>523367</v>
      </c>
      <c r="I1885" s="979">
        <v>384844</v>
      </c>
      <c r="J1885" s="979">
        <v>0.26272012582909854</v>
      </c>
      <c r="K1885" s="979">
        <v>137499.04409479781</v>
      </c>
      <c r="L1885" s="979">
        <v>137499.04409479781</v>
      </c>
      <c r="M1885" s="979">
        <v>599</v>
      </c>
    </row>
    <row r="1886" spans="1:13" ht="15">
      <c r="A1886" s="979" t="s">
        <v>3700</v>
      </c>
      <c r="B1886" s="1040" t="str">
        <f>CONCATENATE(LEFT(RIGHT(CONCATENATE("000",IFAData_TEA_1617!A1886),6),3),"-",(RIGHT(RIGHT(CONCATENATE("000",IFAData_TEA_1617!A1886),6),3)))</f>
        <v>199-902</v>
      </c>
      <c r="C1886" s="979" t="s">
        <v>613</v>
      </c>
      <c r="D1886" s="979">
        <v>5</v>
      </c>
      <c r="E1886" s="979">
        <v>2270</v>
      </c>
      <c r="F1886" s="979" t="s">
        <v>5397</v>
      </c>
      <c r="G1886" s="979" t="s">
        <v>5399</v>
      </c>
      <c r="H1886" s="979">
        <v>491500</v>
      </c>
      <c r="I1886" s="979">
        <v>0</v>
      </c>
      <c r="J1886" s="979">
        <v>0</v>
      </c>
      <c r="K1886" s="979">
        <v>0</v>
      </c>
      <c r="L1886" s="979">
        <v>0</v>
      </c>
      <c r="M1886" s="979">
        <v>599</v>
      </c>
    </row>
    <row r="1887" spans="1:13" ht="15">
      <c r="A1887" s="979" t="s">
        <v>3700</v>
      </c>
      <c r="B1887" s="1040" t="str">
        <f>CONCATENATE(LEFT(RIGHT(CONCATENATE("000",IFAData_TEA_1617!A1887),6),3),"-",(RIGHT(RIGHT(CONCATENATE("000",IFAData_TEA_1617!A1887),6),3)))</f>
        <v>199-902</v>
      </c>
      <c r="C1887" s="979" t="s">
        <v>613</v>
      </c>
      <c r="D1887" s="979">
        <v>5</v>
      </c>
      <c r="E1887" s="979">
        <v>2270</v>
      </c>
      <c r="F1887" s="979" t="s">
        <v>5397</v>
      </c>
      <c r="G1887" s="979" t="s">
        <v>5397</v>
      </c>
      <c r="H1887" s="979">
        <v>491500</v>
      </c>
      <c r="I1887" s="979">
        <v>0</v>
      </c>
      <c r="J1887" s="979">
        <v>0</v>
      </c>
      <c r="K1887" s="979">
        <v>0</v>
      </c>
      <c r="L1887" s="979">
        <v>0</v>
      </c>
      <c r="M1887" s="979">
        <v>599</v>
      </c>
    </row>
    <row r="1888" spans="1:13" ht="15">
      <c r="A1888" s="979" t="s">
        <v>3700</v>
      </c>
      <c r="B1888" s="1040" t="str">
        <f>CONCATENATE(LEFT(RIGHT(CONCATENATE("000",IFAData_TEA_1617!A1888),6),3),"-",(RIGHT(RIGHT(CONCATENATE("000",IFAData_TEA_1617!A1888),6),3)))</f>
        <v>199-902</v>
      </c>
      <c r="C1888" s="979" t="s">
        <v>613</v>
      </c>
      <c r="D1888" s="979">
        <v>5</v>
      </c>
      <c r="E1888" s="979">
        <v>2270</v>
      </c>
      <c r="F1888" s="979" t="s">
        <v>5397</v>
      </c>
      <c r="G1888" s="979" t="s">
        <v>5398</v>
      </c>
      <c r="H1888" s="979">
        <v>491500</v>
      </c>
      <c r="I1888" s="979">
        <v>676058</v>
      </c>
      <c r="J1888" s="979">
        <v>1</v>
      </c>
      <c r="K1888" s="979">
        <v>491500</v>
      </c>
      <c r="L1888" s="979">
        <v>491500</v>
      </c>
      <c r="M1888" s="979">
        <v>599</v>
      </c>
    </row>
    <row r="1889" spans="1:13" ht="15">
      <c r="A1889" s="979" t="s">
        <v>3700</v>
      </c>
      <c r="B1889" s="1040" t="str">
        <f>CONCATENATE(LEFT(RIGHT(CONCATENATE("000",IFAData_TEA_1617!A1889),6),3),"-",(RIGHT(RIGHT(CONCATENATE("000",IFAData_TEA_1617!A1889),6),3)))</f>
        <v>199-902</v>
      </c>
      <c r="C1889" s="979" t="s">
        <v>613</v>
      </c>
      <c r="D1889" s="979">
        <v>9</v>
      </c>
      <c r="E1889" s="979">
        <v>2271</v>
      </c>
      <c r="F1889" s="979" t="s">
        <v>5400</v>
      </c>
      <c r="G1889" s="979" t="s">
        <v>5400</v>
      </c>
      <c r="H1889" s="979">
        <v>523367</v>
      </c>
      <c r="I1889" s="979">
        <v>1080000</v>
      </c>
      <c r="J1889" s="979">
        <v>0.73727987417090146</v>
      </c>
      <c r="K1889" s="979">
        <v>385867.95590520219</v>
      </c>
      <c r="L1889" s="979">
        <v>385867.95590520219</v>
      </c>
      <c r="M1889" s="979">
        <v>599</v>
      </c>
    </row>
    <row r="1890" spans="1:13" ht="15">
      <c r="A1890" s="979" t="s">
        <v>3701</v>
      </c>
      <c r="B1890" s="1040" t="str">
        <f>CONCATENATE(LEFT(RIGHT(CONCATENATE("000",IFAData_TEA_1617!A1890),6),3),"-",(RIGHT(RIGHT(CONCATENATE("000",IFAData_TEA_1617!A1890),6),3)))</f>
        <v>200-902</v>
      </c>
      <c r="C1890" s="979" t="s">
        <v>2237</v>
      </c>
      <c r="D1890" s="979">
        <v>4</v>
      </c>
      <c r="E1890" s="979">
        <v>2105</v>
      </c>
      <c r="F1890" s="979" t="s">
        <v>5401</v>
      </c>
      <c r="G1890" s="979" t="s">
        <v>5402</v>
      </c>
      <c r="H1890" s="979">
        <v>116481</v>
      </c>
      <c r="I1890" s="979">
        <v>100912</v>
      </c>
      <c r="J1890" s="979">
        <v>1</v>
      </c>
      <c r="K1890" s="979">
        <v>116481</v>
      </c>
      <c r="L1890" s="979">
        <v>100912</v>
      </c>
      <c r="M1890" s="979">
        <v>599</v>
      </c>
    </row>
    <row r="1891" spans="1:13" ht="15">
      <c r="A1891" s="979" t="s">
        <v>3701</v>
      </c>
      <c r="B1891" s="1040" t="str">
        <f>CONCATENATE(LEFT(RIGHT(CONCATENATE("000",IFAData_TEA_1617!A1891),6),3),"-",(RIGHT(RIGHT(CONCATENATE("000",IFAData_TEA_1617!A1891),6),3)))</f>
        <v>200-902</v>
      </c>
      <c r="C1891" s="979" t="s">
        <v>2237</v>
      </c>
      <c r="D1891" s="979">
        <v>4</v>
      </c>
      <c r="E1891" s="979">
        <v>2105</v>
      </c>
      <c r="F1891" s="979" t="s">
        <v>5401</v>
      </c>
      <c r="G1891" s="979" t="s">
        <v>5401</v>
      </c>
      <c r="H1891" s="979">
        <v>116481</v>
      </c>
      <c r="I1891" s="979">
        <v>0</v>
      </c>
      <c r="J1891" s="979">
        <v>0</v>
      </c>
      <c r="K1891" s="979">
        <v>0</v>
      </c>
      <c r="L1891" s="979">
        <v>0</v>
      </c>
      <c r="M1891" s="979">
        <v>599</v>
      </c>
    </row>
    <row r="1892" spans="1:13" ht="15">
      <c r="A1892" s="979" t="s">
        <v>5403</v>
      </c>
      <c r="B1892" s="1040" t="str">
        <f>CONCATENATE(LEFT(RIGHT(CONCATENATE("000",IFAData_TEA_1617!A1892),6),3),"-",(RIGHT(RIGHT(CONCATENATE("000",IFAData_TEA_1617!A1892),6),3)))</f>
        <v>200-904</v>
      </c>
      <c r="C1892" s="979" t="s">
        <v>1129</v>
      </c>
      <c r="D1892" s="979">
        <v>2</v>
      </c>
      <c r="E1892" s="979">
        <v>2459</v>
      </c>
      <c r="F1892" s="979" t="s">
        <v>5404</v>
      </c>
      <c r="G1892" s="979" t="s">
        <v>5404</v>
      </c>
      <c r="H1892" s="979">
        <v>177666</v>
      </c>
      <c r="I1892" s="979">
        <v>0</v>
      </c>
      <c r="J1892" s="979">
        <v>0</v>
      </c>
      <c r="K1892" s="979"/>
      <c r="L1892" s="979">
        <v>0</v>
      </c>
      <c r="M1892" s="979">
        <v>199</v>
      </c>
    </row>
    <row r="1893" spans="1:13" ht="15">
      <c r="A1893" s="979" t="s">
        <v>3702</v>
      </c>
      <c r="B1893" s="1040" t="str">
        <f>CONCATENATE(LEFT(RIGHT(CONCATENATE("000",IFAData_TEA_1617!A1893),6),3),"-",(RIGHT(RIGHT(CONCATENATE("000",IFAData_TEA_1617!A1893),6),3)))</f>
        <v>200-906</v>
      </c>
      <c r="C1893" s="979" t="s">
        <v>262</v>
      </c>
      <c r="D1893" s="979">
        <v>4</v>
      </c>
      <c r="E1893" s="979">
        <v>2158</v>
      </c>
      <c r="F1893" s="979" t="s">
        <v>5405</v>
      </c>
      <c r="G1893" s="979" t="s">
        <v>5406</v>
      </c>
      <c r="H1893" s="979">
        <v>100000</v>
      </c>
      <c r="I1893" s="979">
        <v>82500</v>
      </c>
      <c r="J1893" s="979">
        <v>1</v>
      </c>
      <c r="K1893" s="979">
        <v>100000</v>
      </c>
      <c r="L1893" s="979">
        <v>82500</v>
      </c>
      <c r="M1893" s="979">
        <v>599</v>
      </c>
    </row>
    <row r="1894" spans="1:13" ht="15">
      <c r="A1894" s="979" t="s">
        <v>3702</v>
      </c>
      <c r="B1894" s="1040" t="str">
        <f>CONCATENATE(LEFT(RIGHT(CONCATENATE("000",IFAData_TEA_1617!A1894),6),3),"-",(RIGHT(RIGHT(CONCATENATE("000",IFAData_TEA_1617!A1894),6),3)))</f>
        <v>200-906</v>
      </c>
      <c r="C1894" s="979" t="s">
        <v>262</v>
      </c>
      <c r="D1894" s="979">
        <v>4</v>
      </c>
      <c r="E1894" s="979">
        <v>2158</v>
      </c>
      <c r="F1894" s="979" t="s">
        <v>5405</v>
      </c>
      <c r="G1894" s="979" t="s">
        <v>5405</v>
      </c>
      <c r="H1894" s="979">
        <v>100000</v>
      </c>
      <c r="I1894" s="979">
        <v>0</v>
      </c>
      <c r="J1894" s="979">
        <v>0</v>
      </c>
      <c r="K1894" s="979">
        <v>0</v>
      </c>
      <c r="L1894" s="979">
        <v>0</v>
      </c>
      <c r="M1894" s="979">
        <v>599</v>
      </c>
    </row>
    <row r="1895" spans="1:13" ht="15">
      <c r="A1895" s="979" t="s">
        <v>5407</v>
      </c>
      <c r="B1895" s="1040" t="str">
        <f>CONCATENATE(LEFT(RIGHT(CONCATENATE("000",IFAData_TEA_1617!A1895),6),3),"-",(RIGHT(RIGHT(CONCATENATE("000",IFAData_TEA_1617!A1895),6),3)))</f>
        <v>201-907</v>
      </c>
      <c r="C1895" s="979" t="s">
        <v>2153</v>
      </c>
      <c r="D1895" s="979">
        <v>5</v>
      </c>
      <c r="E1895" s="979">
        <v>2122</v>
      </c>
      <c r="F1895" s="979" t="s">
        <v>5408</v>
      </c>
      <c r="G1895" s="979" t="s">
        <v>5408</v>
      </c>
      <c r="H1895" s="979">
        <v>59747</v>
      </c>
      <c r="I1895" s="979">
        <v>0</v>
      </c>
      <c r="J1895" s="979">
        <v>0</v>
      </c>
      <c r="K1895" s="979"/>
      <c r="L1895" s="979">
        <v>0</v>
      </c>
      <c r="M1895" s="979">
        <v>199</v>
      </c>
    </row>
    <row r="1896" spans="1:13" ht="15">
      <c r="A1896" s="979" t="s">
        <v>3703</v>
      </c>
      <c r="B1896" s="1040" t="str">
        <f>CONCATENATE(LEFT(RIGHT(CONCATENATE("000",IFAData_TEA_1617!A1896),6),3),"-",(RIGHT(RIGHT(CONCATENATE("000",IFAData_TEA_1617!A1896),6),3)))</f>
        <v>201-908</v>
      </c>
      <c r="C1896" s="979" t="s">
        <v>1362</v>
      </c>
      <c r="D1896" s="979">
        <v>5</v>
      </c>
      <c r="E1896" s="979">
        <v>2167</v>
      </c>
      <c r="F1896" s="979" t="s">
        <v>5409</v>
      </c>
      <c r="G1896" s="979" t="s">
        <v>6319</v>
      </c>
      <c r="H1896" s="979">
        <v>112110</v>
      </c>
      <c r="I1896" s="979">
        <v>115607</v>
      </c>
      <c r="J1896" s="979">
        <v>1</v>
      </c>
      <c r="K1896" s="979">
        <v>112110</v>
      </c>
      <c r="L1896" s="979">
        <v>112110</v>
      </c>
      <c r="M1896" s="979">
        <v>599</v>
      </c>
    </row>
    <row r="1897" spans="1:13" ht="15">
      <c r="A1897" s="979" t="s">
        <v>3703</v>
      </c>
      <c r="B1897" s="1040" t="str">
        <f>CONCATENATE(LEFT(RIGHT(CONCATENATE("000",IFAData_TEA_1617!A1897),6),3),"-",(RIGHT(RIGHT(CONCATENATE("000",IFAData_TEA_1617!A1897),6),3)))</f>
        <v>201-908</v>
      </c>
      <c r="C1897" s="979" t="s">
        <v>1362</v>
      </c>
      <c r="D1897" s="979">
        <v>5</v>
      </c>
      <c r="E1897" s="979">
        <v>2167</v>
      </c>
      <c r="F1897" s="979" t="s">
        <v>5409</v>
      </c>
      <c r="G1897" s="979" t="s">
        <v>5409</v>
      </c>
      <c r="H1897" s="979">
        <v>112110</v>
      </c>
      <c r="I1897" s="979">
        <v>0</v>
      </c>
      <c r="J1897" s="979">
        <v>0</v>
      </c>
      <c r="K1897" s="979">
        <v>0</v>
      </c>
      <c r="L1897" s="979">
        <v>0</v>
      </c>
      <c r="M1897" s="979">
        <v>599</v>
      </c>
    </row>
    <row r="1898" spans="1:13" ht="15">
      <c r="A1898" s="979" t="s">
        <v>3703</v>
      </c>
      <c r="B1898" s="1040" t="str">
        <f>CONCATENATE(LEFT(RIGHT(CONCATENATE("000",IFAData_TEA_1617!A1898),6),3),"-",(RIGHT(RIGHT(CONCATENATE("000",IFAData_TEA_1617!A1898),6),3)))</f>
        <v>201-908</v>
      </c>
      <c r="C1898" s="979" t="s">
        <v>1362</v>
      </c>
      <c r="D1898" s="979">
        <v>8</v>
      </c>
      <c r="E1898" s="979">
        <v>2169</v>
      </c>
      <c r="F1898" s="979" t="s">
        <v>5410</v>
      </c>
      <c r="G1898" s="979" t="s">
        <v>5410</v>
      </c>
      <c r="H1898" s="979">
        <v>126133</v>
      </c>
      <c r="I1898" s="979">
        <v>0</v>
      </c>
      <c r="J1898" s="979">
        <v>0</v>
      </c>
      <c r="K1898" s="979">
        <v>0</v>
      </c>
      <c r="L1898" s="979">
        <v>0</v>
      </c>
      <c r="M1898" s="979">
        <v>599</v>
      </c>
    </row>
    <row r="1899" spans="1:13" ht="15">
      <c r="A1899" s="979" t="s">
        <v>3703</v>
      </c>
      <c r="B1899" s="1040" t="str">
        <f>CONCATENATE(LEFT(RIGHT(CONCATENATE("000",IFAData_TEA_1617!A1899),6),3),"-",(RIGHT(RIGHT(CONCATENATE("000",IFAData_TEA_1617!A1899),6),3)))</f>
        <v>201-908</v>
      </c>
      <c r="C1899" s="979" t="s">
        <v>1362</v>
      </c>
      <c r="D1899" s="979">
        <v>10</v>
      </c>
      <c r="E1899" s="979">
        <v>2168</v>
      </c>
      <c r="F1899" s="979" t="s">
        <v>5411</v>
      </c>
      <c r="G1899" s="979" t="s">
        <v>5411</v>
      </c>
      <c r="H1899" s="979">
        <v>123590</v>
      </c>
      <c r="I1899" s="979">
        <v>350926</v>
      </c>
      <c r="J1899" s="979">
        <v>1</v>
      </c>
      <c r="K1899" s="979">
        <v>123590</v>
      </c>
      <c r="L1899" s="979">
        <v>123590</v>
      </c>
      <c r="M1899" s="979">
        <v>599</v>
      </c>
    </row>
    <row r="1900" spans="1:13" ht="15">
      <c r="A1900" s="979" t="s">
        <v>3703</v>
      </c>
      <c r="B1900" s="1040" t="str">
        <f>CONCATENATE(LEFT(RIGHT(CONCATENATE("000",IFAData_TEA_1617!A1900),6),3),"-",(RIGHT(RIGHT(CONCATENATE("000",IFAData_TEA_1617!A1900),6),3)))</f>
        <v>201-908</v>
      </c>
      <c r="C1900" s="979" t="s">
        <v>1362</v>
      </c>
      <c r="D1900" s="979">
        <v>8</v>
      </c>
      <c r="E1900" s="979">
        <v>2169</v>
      </c>
      <c r="F1900" s="979" t="s">
        <v>5410</v>
      </c>
      <c r="G1900" s="979" t="s">
        <v>6530</v>
      </c>
      <c r="H1900" s="979">
        <v>126133</v>
      </c>
      <c r="I1900" s="979">
        <v>113031</v>
      </c>
      <c r="J1900" s="979">
        <v>1</v>
      </c>
      <c r="K1900" s="979">
        <v>126133</v>
      </c>
      <c r="L1900" s="979">
        <v>113031</v>
      </c>
      <c r="M1900" s="979">
        <v>599</v>
      </c>
    </row>
    <row r="1901" spans="1:13" ht="15">
      <c r="A1901" s="979" t="s">
        <v>3704</v>
      </c>
      <c r="B1901" s="1040" t="str">
        <f>CONCATENATE(LEFT(RIGHT(CONCATENATE("000",IFAData_TEA_1617!A1901),6),3),"-",(RIGHT(RIGHT(CONCATENATE("000",IFAData_TEA_1617!A1901),6),3)))</f>
        <v>201-913</v>
      </c>
      <c r="C1901" s="979" t="s">
        <v>654</v>
      </c>
      <c r="D1901" s="979">
        <v>8</v>
      </c>
      <c r="E1901" s="979">
        <v>1664</v>
      </c>
      <c r="F1901" s="979" t="s">
        <v>5414</v>
      </c>
      <c r="G1901" s="979" t="s">
        <v>5414</v>
      </c>
      <c r="H1901" s="979">
        <v>134790</v>
      </c>
      <c r="I1901" s="979">
        <v>0</v>
      </c>
      <c r="J1901" s="979">
        <v>0</v>
      </c>
      <c r="K1901" s="979">
        <v>0</v>
      </c>
      <c r="L1901" s="979">
        <v>0</v>
      </c>
      <c r="M1901" s="979">
        <v>599</v>
      </c>
    </row>
    <row r="1902" spans="1:13" ht="15">
      <c r="A1902" s="979" t="s">
        <v>3704</v>
      </c>
      <c r="B1902" s="1040" t="str">
        <f>CONCATENATE(LEFT(RIGHT(CONCATENATE("000",IFAData_TEA_1617!A1902),6),3),"-",(RIGHT(RIGHT(CONCATENATE("000",IFAData_TEA_1617!A1902),6),3)))</f>
        <v>201-913</v>
      </c>
      <c r="C1902" s="979" t="s">
        <v>654</v>
      </c>
      <c r="D1902" s="979">
        <v>4</v>
      </c>
      <c r="E1902" s="979">
        <v>1663</v>
      </c>
      <c r="F1902" s="979" t="s">
        <v>5412</v>
      </c>
      <c r="G1902" s="979" t="s">
        <v>5413</v>
      </c>
      <c r="H1902" s="979">
        <v>113895</v>
      </c>
      <c r="I1902" s="979">
        <v>99081</v>
      </c>
      <c r="J1902" s="979">
        <v>1</v>
      </c>
      <c r="K1902" s="979">
        <v>113895</v>
      </c>
      <c r="L1902" s="979">
        <v>99081</v>
      </c>
      <c r="M1902" s="979">
        <v>599</v>
      </c>
    </row>
    <row r="1903" spans="1:13" ht="15">
      <c r="A1903" s="979" t="s">
        <v>3704</v>
      </c>
      <c r="B1903" s="1040" t="str">
        <f>CONCATENATE(LEFT(RIGHT(CONCATENATE("000",IFAData_TEA_1617!A1903),6),3),"-",(RIGHT(RIGHT(CONCATENATE("000",IFAData_TEA_1617!A1903),6),3)))</f>
        <v>201-913</v>
      </c>
      <c r="C1903" s="979" t="s">
        <v>654</v>
      </c>
      <c r="D1903" s="979">
        <v>4</v>
      </c>
      <c r="E1903" s="979">
        <v>1663</v>
      </c>
      <c r="F1903" s="979" t="s">
        <v>5412</v>
      </c>
      <c r="G1903" s="979" t="s">
        <v>5412</v>
      </c>
      <c r="H1903" s="979">
        <v>113895</v>
      </c>
      <c r="I1903" s="979">
        <v>0</v>
      </c>
      <c r="J1903" s="979">
        <v>0</v>
      </c>
      <c r="K1903" s="979">
        <v>0</v>
      </c>
      <c r="L1903" s="979">
        <v>0</v>
      </c>
      <c r="M1903" s="979">
        <v>599</v>
      </c>
    </row>
    <row r="1904" spans="1:13" ht="15">
      <c r="A1904" s="979" t="s">
        <v>3704</v>
      </c>
      <c r="B1904" s="1040" t="str">
        <f>CONCATENATE(LEFT(RIGHT(CONCATENATE("000",IFAData_TEA_1617!A1904),6),3),"-",(RIGHT(RIGHT(CONCATENATE("000",IFAData_TEA_1617!A1904),6),3)))</f>
        <v>201-913</v>
      </c>
      <c r="C1904" s="979" t="s">
        <v>654</v>
      </c>
      <c r="D1904" s="979">
        <v>8</v>
      </c>
      <c r="E1904" s="979">
        <v>1664</v>
      </c>
      <c r="F1904" s="979" t="s">
        <v>5414</v>
      </c>
      <c r="G1904" s="979" t="s">
        <v>6531</v>
      </c>
      <c r="H1904" s="979">
        <v>134790</v>
      </c>
      <c r="I1904" s="979">
        <v>102100</v>
      </c>
      <c r="J1904" s="979">
        <v>1</v>
      </c>
      <c r="K1904" s="979">
        <v>134790</v>
      </c>
      <c r="L1904" s="979">
        <v>102100</v>
      </c>
      <c r="M1904" s="979">
        <v>599</v>
      </c>
    </row>
    <row r="1905" spans="1:13" ht="15">
      <c r="A1905" s="979" t="s">
        <v>3705</v>
      </c>
      <c r="B1905" s="1040" t="str">
        <f>CONCATENATE(LEFT(RIGHT(CONCATENATE("000",IFAData_TEA_1617!A1905),6),3),"-",(RIGHT(RIGHT(CONCATENATE("000",IFAData_TEA_1617!A1905),6),3)))</f>
        <v>202-905</v>
      </c>
      <c r="C1905" s="979" t="s">
        <v>1530</v>
      </c>
      <c r="D1905" s="979">
        <v>9</v>
      </c>
      <c r="E1905" s="979">
        <v>2446</v>
      </c>
      <c r="F1905" s="979" t="s">
        <v>5415</v>
      </c>
      <c r="G1905" s="979" t="s">
        <v>6320</v>
      </c>
      <c r="H1905" s="979">
        <v>142579</v>
      </c>
      <c r="I1905" s="979">
        <v>327925</v>
      </c>
      <c r="J1905" s="979">
        <v>0.5890251021599533</v>
      </c>
      <c r="K1905" s="979">
        <v>83982.610040863976</v>
      </c>
      <c r="L1905" s="979">
        <v>83982.610040863976</v>
      </c>
      <c r="M1905" s="979">
        <v>599</v>
      </c>
    </row>
    <row r="1906" spans="1:13" ht="15">
      <c r="A1906" s="979" t="s">
        <v>3705</v>
      </c>
      <c r="B1906" s="1040" t="str">
        <f>CONCATENATE(LEFT(RIGHT(CONCATENATE("000",IFAData_TEA_1617!A1906),6),3),"-",(RIGHT(RIGHT(CONCATENATE("000",IFAData_TEA_1617!A1906),6),3)))</f>
        <v>202-905</v>
      </c>
      <c r="C1906" s="979" t="s">
        <v>1530</v>
      </c>
      <c r="D1906" s="979">
        <v>9</v>
      </c>
      <c r="E1906" s="979">
        <v>2446</v>
      </c>
      <c r="F1906" s="979" t="s">
        <v>5415</v>
      </c>
      <c r="G1906" s="979" t="s">
        <v>5415</v>
      </c>
      <c r="H1906" s="979">
        <v>142579</v>
      </c>
      <c r="I1906" s="979">
        <v>228800</v>
      </c>
      <c r="J1906" s="979">
        <v>0.4109748978400467</v>
      </c>
      <c r="K1906" s="979">
        <v>58596.389959136017</v>
      </c>
      <c r="L1906" s="979">
        <v>58596.389959136017</v>
      </c>
      <c r="M1906" s="979">
        <v>599</v>
      </c>
    </row>
    <row r="1907" spans="1:13" ht="15">
      <c r="A1907" s="979" t="s">
        <v>3706</v>
      </c>
      <c r="B1907" s="1040" t="str">
        <f>CONCATENATE(LEFT(RIGHT(CONCATENATE("000",IFAData_TEA_1617!A1907),6),3),"-",(RIGHT(RIGHT(CONCATENATE("000",IFAData_TEA_1617!A1907),6),3)))</f>
        <v>203-901</v>
      </c>
      <c r="C1907" s="979" t="s">
        <v>2070</v>
      </c>
      <c r="D1907" s="979">
        <v>9</v>
      </c>
      <c r="E1907" s="979">
        <v>2283</v>
      </c>
      <c r="F1907" s="979" t="s">
        <v>5416</v>
      </c>
      <c r="G1907" s="979" t="s">
        <v>5416</v>
      </c>
      <c r="H1907" s="979">
        <v>152660</v>
      </c>
      <c r="I1907" s="979">
        <v>0</v>
      </c>
      <c r="J1907" s="979">
        <v>0</v>
      </c>
      <c r="K1907" s="979"/>
      <c r="L1907" s="979">
        <v>0</v>
      </c>
      <c r="M1907" s="979">
        <v>599</v>
      </c>
    </row>
    <row r="1908" spans="1:13" ht="15">
      <c r="A1908" s="979" t="s">
        <v>3707</v>
      </c>
      <c r="B1908" s="1040" t="str">
        <f>CONCATENATE(LEFT(RIGHT(CONCATENATE("000",IFAData_TEA_1617!A1908),6),3),"-",(RIGHT(RIGHT(CONCATENATE("000",IFAData_TEA_1617!A1908),6),3)))</f>
        <v>204-904</v>
      </c>
      <c r="C1908" s="979" t="s">
        <v>351</v>
      </c>
      <c r="D1908" s="979">
        <v>10</v>
      </c>
      <c r="E1908" s="979">
        <v>2329</v>
      </c>
      <c r="F1908" s="979" t="s">
        <v>5418</v>
      </c>
      <c r="G1908" s="979" t="s">
        <v>5418</v>
      </c>
      <c r="H1908" s="979">
        <v>132650</v>
      </c>
      <c r="I1908" s="979">
        <v>176350</v>
      </c>
      <c r="J1908" s="979">
        <v>1</v>
      </c>
      <c r="K1908" s="979">
        <v>132650</v>
      </c>
      <c r="L1908" s="979">
        <v>132650</v>
      </c>
      <c r="M1908" s="979">
        <v>599</v>
      </c>
    </row>
    <row r="1909" spans="1:13" ht="15">
      <c r="A1909" s="979" t="s">
        <v>3707</v>
      </c>
      <c r="B1909" s="1040" t="str">
        <f>CONCATENATE(LEFT(RIGHT(CONCATENATE("000",IFAData_TEA_1617!A1909),6),3),"-",(RIGHT(RIGHT(CONCATENATE("000",IFAData_TEA_1617!A1909),6),3)))</f>
        <v>204-904</v>
      </c>
      <c r="C1909" s="979" t="s">
        <v>351</v>
      </c>
      <c r="D1909" s="979">
        <v>9</v>
      </c>
      <c r="E1909" s="979">
        <v>2330</v>
      </c>
      <c r="F1909" s="979" t="s">
        <v>5417</v>
      </c>
      <c r="G1909" s="979" t="s">
        <v>5417</v>
      </c>
      <c r="H1909" s="979">
        <v>436757</v>
      </c>
      <c r="I1909" s="979">
        <v>184038</v>
      </c>
      <c r="J1909" s="979">
        <v>0.43120835246815808</v>
      </c>
      <c r="K1909" s="979">
        <v>188333.26639893532</v>
      </c>
      <c r="L1909" s="979">
        <v>184038</v>
      </c>
      <c r="M1909" s="979">
        <v>599</v>
      </c>
    </row>
    <row r="1910" spans="1:13" ht="15">
      <c r="A1910" s="979" t="s">
        <v>3707</v>
      </c>
      <c r="B1910" s="1040" t="str">
        <f>CONCATENATE(LEFT(RIGHT(CONCATENATE("000",IFAData_TEA_1617!A1910),6),3),"-",(RIGHT(RIGHT(CONCATENATE("000",IFAData_TEA_1617!A1910),6),3)))</f>
        <v>204-904</v>
      </c>
      <c r="C1910" s="979" t="s">
        <v>351</v>
      </c>
      <c r="D1910" s="979">
        <v>9</v>
      </c>
      <c r="E1910" s="979">
        <v>2330</v>
      </c>
      <c r="F1910" s="979" t="s">
        <v>5417</v>
      </c>
      <c r="G1910" s="979" t="s">
        <v>6532</v>
      </c>
      <c r="H1910" s="979">
        <v>436757</v>
      </c>
      <c r="I1910" s="979">
        <v>242758</v>
      </c>
      <c r="J1910" s="979">
        <v>0.56879164753184186</v>
      </c>
      <c r="K1910" s="979">
        <v>248423.73360106465</v>
      </c>
      <c r="L1910" s="979">
        <v>242758</v>
      </c>
      <c r="M1910" s="979">
        <v>599</v>
      </c>
    </row>
    <row r="1911" spans="1:13" ht="15">
      <c r="A1911" s="979" t="s">
        <v>3708</v>
      </c>
      <c r="B1911" s="1040" t="str">
        <f>CONCATENATE(LEFT(RIGHT(CONCATENATE("000",IFAData_TEA_1617!A1911),6),3),"-",(RIGHT(RIGHT(CONCATENATE("000",IFAData_TEA_1617!A1911),6),3)))</f>
        <v>205-901</v>
      </c>
      <c r="C1911" s="979" t="s">
        <v>2420</v>
      </c>
      <c r="D1911" s="979">
        <v>5</v>
      </c>
      <c r="E1911" s="979">
        <v>1582</v>
      </c>
      <c r="F1911" s="979" t="s">
        <v>5419</v>
      </c>
      <c r="G1911" s="979" t="s">
        <v>5419</v>
      </c>
      <c r="H1911" s="979">
        <v>270047</v>
      </c>
      <c r="I1911" s="979">
        <v>0</v>
      </c>
      <c r="J1911" s="979">
        <v>0</v>
      </c>
      <c r="K1911" s="979">
        <v>0</v>
      </c>
      <c r="L1911" s="979">
        <v>0</v>
      </c>
      <c r="M1911" s="979">
        <v>599</v>
      </c>
    </row>
    <row r="1912" spans="1:13" ht="15">
      <c r="A1912" s="979" t="s">
        <v>3708</v>
      </c>
      <c r="B1912" s="1040" t="str">
        <f>CONCATENATE(LEFT(RIGHT(CONCATENATE("000",IFAData_TEA_1617!A1912),6),3),"-",(RIGHT(RIGHT(CONCATENATE("000",IFAData_TEA_1617!A1912),6),3)))</f>
        <v>205-901</v>
      </c>
      <c r="C1912" s="979" t="s">
        <v>2420</v>
      </c>
      <c r="D1912" s="979">
        <v>5</v>
      </c>
      <c r="E1912" s="979">
        <v>1582</v>
      </c>
      <c r="F1912" s="979" t="s">
        <v>5419</v>
      </c>
      <c r="G1912" s="979" t="s">
        <v>5420</v>
      </c>
      <c r="H1912" s="979">
        <v>270047</v>
      </c>
      <c r="I1912" s="979">
        <v>154237</v>
      </c>
      <c r="J1912" s="979">
        <v>1</v>
      </c>
      <c r="K1912" s="979">
        <v>270047</v>
      </c>
      <c r="L1912" s="979">
        <v>154237</v>
      </c>
      <c r="M1912" s="979">
        <v>599</v>
      </c>
    </row>
    <row r="1913" spans="1:13" ht="15">
      <c r="A1913" s="979" t="s">
        <v>3709</v>
      </c>
      <c r="B1913" s="1040" t="str">
        <f>CONCATENATE(LEFT(RIGHT(CONCATENATE("000",IFAData_TEA_1617!A1913),6),3),"-",(RIGHT(RIGHT(CONCATENATE("000",IFAData_TEA_1617!A1913),6),3)))</f>
        <v>205-904</v>
      </c>
      <c r="C1913" s="979" t="s">
        <v>2066</v>
      </c>
      <c r="D1913" s="979">
        <v>10</v>
      </c>
      <c r="E1913" s="979">
        <v>2073</v>
      </c>
      <c r="F1913" s="979" t="s">
        <v>5423</v>
      </c>
      <c r="G1913" s="979" t="s">
        <v>5423</v>
      </c>
      <c r="H1913" s="979">
        <v>383389</v>
      </c>
      <c r="I1913" s="979">
        <v>231981</v>
      </c>
      <c r="J1913" s="979">
        <v>1</v>
      </c>
      <c r="K1913" s="979">
        <v>383389</v>
      </c>
      <c r="L1913" s="979">
        <v>231981</v>
      </c>
      <c r="M1913" s="979">
        <v>599</v>
      </c>
    </row>
    <row r="1914" spans="1:13" ht="15">
      <c r="A1914" s="979" t="s">
        <v>3709</v>
      </c>
      <c r="B1914" s="1040" t="str">
        <f>CONCATENATE(LEFT(RIGHT(CONCATENATE("000",IFAData_TEA_1617!A1914),6),3),"-",(RIGHT(RIGHT(CONCATENATE("000",IFAData_TEA_1617!A1914),6),3)))</f>
        <v>205-904</v>
      </c>
      <c r="C1914" s="979" t="s">
        <v>2066</v>
      </c>
      <c r="D1914" s="979">
        <v>3</v>
      </c>
      <c r="E1914" s="979">
        <v>2075</v>
      </c>
      <c r="F1914" s="979" t="s">
        <v>5421</v>
      </c>
      <c r="G1914" s="979" t="s">
        <v>5423</v>
      </c>
      <c r="H1914" s="979">
        <v>513813</v>
      </c>
      <c r="I1914" s="979">
        <v>74685</v>
      </c>
      <c r="J1914" s="979">
        <v>0.22859442815428785</v>
      </c>
      <c r="K1914" s="979">
        <v>117454.7889132391</v>
      </c>
      <c r="L1914" s="979">
        <v>74685</v>
      </c>
      <c r="M1914" s="979">
        <v>599</v>
      </c>
    </row>
    <row r="1915" spans="1:13" ht="15">
      <c r="A1915" s="979" t="s">
        <v>3709</v>
      </c>
      <c r="B1915" s="1040" t="str">
        <f>CONCATENATE(LEFT(RIGHT(CONCATENATE("000",IFAData_TEA_1617!A1915),6),3),"-",(RIGHT(RIGHT(CONCATENATE("000",IFAData_TEA_1617!A1915),6),3)))</f>
        <v>205-904</v>
      </c>
      <c r="C1915" s="979" t="s">
        <v>2066</v>
      </c>
      <c r="D1915" s="979">
        <v>3</v>
      </c>
      <c r="E1915" s="979">
        <v>2075</v>
      </c>
      <c r="F1915" s="979" t="s">
        <v>5421</v>
      </c>
      <c r="G1915" s="979" t="s">
        <v>5421</v>
      </c>
      <c r="H1915" s="979">
        <v>513813</v>
      </c>
      <c r="I1915" s="979">
        <v>0</v>
      </c>
      <c r="J1915" s="979">
        <v>0</v>
      </c>
      <c r="K1915" s="979">
        <v>0</v>
      </c>
      <c r="L1915" s="979">
        <v>0</v>
      </c>
      <c r="M1915" s="979">
        <v>599</v>
      </c>
    </row>
    <row r="1916" spans="1:13" ht="15">
      <c r="A1916" s="979" t="s">
        <v>3709</v>
      </c>
      <c r="B1916" s="1040" t="str">
        <f>CONCATENATE(LEFT(RIGHT(CONCATENATE("000",IFAData_TEA_1617!A1916),6),3),"-",(RIGHT(RIGHT(CONCATENATE("000",IFAData_TEA_1617!A1916),6),3)))</f>
        <v>205-904</v>
      </c>
      <c r="C1916" s="979" t="s">
        <v>2066</v>
      </c>
      <c r="D1916" s="979">
        <v>9</v>
      </c>
      <c r="E1916" s="979">
        <v>2074</v>
      </c>
      <c r="F1916" s="979" t="s">
        <v>5422</v>
      </c>
      <c r="G1916" s="979" t="s">
        <v>6533</v>
      </c>
      <c r="H1916" s="979">
        <v>425296</v>
      </c>
      <c r="I1916" s="979">
        <v>92485</v>
      </c>
      <c r="J1916" s="979">
        <v>0.19814293886138243</v>
      </c>
      <c r="K1916" s="979">
        <v>84269.399325990496</v>
      </c>
      <c r="L1916" s="979">
        <v>84269.399325990496</v>
      </c>
      <c r="M1916" s="979">
        <v>599</v>
      </c>
    </row>
    <row r="1917" spans="1:13" ht="15">
      <c r="A1917" s="979" t="s">
        <v>3709</v>
      </c>
      <c r="B1917" s="1040" t="str">
        <f>CONCATENATE(LEFT(RIGHT(CONCATENATE("000",IFAData_TEA_1617!A1917),6),3),"-",(RIGHT(RIGHT(CONCATENATE("000",IFAData_TEA_1617!A1917),6),3)))</f>
        <v>205-904</v>
      </c>
      <c r="C1917" s="979" t="s">
        <v>2066</v>
      </c>
      <c r="D1917" s="979">
        <v>3</v>
      </c>
      <c r="E1917" s="979">
        <v>2075</v>
      </c>
      <c r="F1917" s="979" t="s">
        <v>5421</v>
      </c>
      <c r="G1917" s="979" t="s">
        <v>6533</v>
      </c>
      <c r="H1917" s="979">
        <v>513813</v>
      </c>
      <c r="I1917" s="979">
        <v>51051</v>
      </c>
      <c r="J1917" s="979">
        <v>0.15625593026316595</v>
      </c>
      <c r="K1917" s="979">
        <v>80286.328296308086</v>
      </c>
      <c r="L1917" s="979">
        <v>51051</v>
      </c>
      <c r="M1917" s="979">
        <v>599</v>
      </c>
    </row>
    <row r="1918" spans="1:13" ht="15">
      <c r="A1918" s="979" t="s">
        <v>3709</v>
      </c>
      <c r="B1918" s="1040" t="str">
        <f>CONCATENATE(LEFT(RIGHT(CONCATENATE("000",IFAData_TEA_1617!A1918),6),3),"-",(RIGHT(RIGHT(CONCATENATE("000",IFAData_TEA_1617!A1918),6),3)))</f>
        <v>205-904</v>
      </c>
      <c r="C1918" s="979" t="s">
        <v>2066</v>
      </c>
      <c r="D1918" s="979">
        <v>9</v>
      </c>
      <c r="E1918" s="979">
        <v>2074</v>
      </c>
      <c r="F1918" s="979" t="s">
        <v>5422</v>
      </c>
      <c r="G1918" s="979" t="s">
        <v>5422</v>
      </c>
      <c r="H1918" s="979">
        <v>425296</v>
      </c>
      <c r="I1918" s="979">
        <v>374274</v>
      </c>
      <c r="J1918" s="979">
        <v>0.80185706113861754</v>
      </c>
      <c r="K1918" s="979">
        <v>341026.60067400947</v>
      </c>
      <c r="L1918" s="979">
        <v>341026.60067400947</v>
      </c>
      <c r="M1918" s="979">
        <v>599</v>
      </c>
    </row>
    <row r="1919" spans="1:13" ht="15">
      <c r="A1919" s="979" t="s">
        <v>3709</v>
      </c>
      <c r="B1919" s="1040" t="str">
        <f>CONCATENATE(LEFT(RIGHT(CONCATENATE("000",IFAData_TEA_1617!A1919),6),3),"-",(RIGHT(RIGHT(CONCATENATE("000",IFAData_TEA_1617!A1919),6),3)))</f>
        <v>205-904</v>
      </c>
      <c r="C1919" s="979" t="s">
        <v>2066</v>
      </c>
      <c r="D1919" s="979">
        <v>3</v>
      </c>
      <c r="E1919" s="979">
        <v>2075</v>
      </c>
      <c r="F1919" s="979" t="s">
        <v>5421</v>
      </c>
      <c r="G1919" s="979" t="s">
        <v>5422</v>
      </c>
      <c r="H1919" s="979">
        <v>513813</v>
      </c>
      <c r="I1919" s="979">
        <v>200978</v>
      </c>
      <c r="J1919" s="979">
        <v>0.61514964158254615</v>
      </c>
      <c r="K1919" s="979">
        <v>316071.8827904528</v>
      </c>
      <c r="L1919" s="979">
        <v>200978</v>
      </c>
      <c r="M1919" s="979">
        <v>599</v>
      </c>
    </row>
    <row r="1920" spans="1:13" ht="15">
      <c r="A1920" s="979" t="s">
        <v>3710</v>
      </c>
      <c r="B1920" s="1040" t="str">
        <f>CONCATENATE(LEFT(RIGHT(CONCATENATE("000",IFAData_TEA_1617!A1920),6),3),"-",(RIGHT(RIGHT(CONCATENATE("000",IFAData_TEA_1617!A1920),6),3)))</f>
        <v>205-905</v>
      </c>
      <c r="C1920" s="979" t="s">
        <v>260</v>
      </c>
      <c r="D1920" s="979">
        <v>5</v>
      </c>
      <c r="E1920" s="979">
        <v>2156</v>
      </c>
      <c r="F1920" s="979" t="s">
        <v>5426</v>
      </c>
      <c r="G1920" s="979" t="s">
        <v>5426</v>
      </c>
      <c r="H1920" s="979">
        <v>274260</v>
      </c>
      <c r="I1920" s="979">
        <v>143043</v>
      </c>
      <c r="J1920" s="979">
        <v>0.45955818570850282</v>
      </c>
      <c r="K1920" s="979">
        <v>126038.42801241398</v>
      </c>
      <c r="L1920" s="979">
        <v>126038.42801241398</v>
      </c>
      <c r="M1920" s="979">
        <v>599</v>
      </c>
    </row>
    <row r="1921" spans="1:13" ht="15">
      <c r="A1921" s="979" t="s">
        <v>3710</v>
      </c>
      <c r="B1921" s="1040" t="str">
        <f>CONCATENATE(LEFT(RIGHT(CONCATENATE("000",IFAData_TEA_1617!A1921),6),3),"-",(RIGHT(RIGHT(CONCATENATE("000",IFAData_TEA_1617!A1921),6),3)))</f>
        <v>205-905</v>
      </c>
      <c r="C1921" s="979" t="s">
        <v>260</v>
      </c>
      <c r="D1921" s="979">
        <v>3</v>
      </c>
      <c r="E1921" s="979">
        <v>2155</v>
      </c>
      <c r="F1921" s="979" t="s">
        <v>5424</v>
      </c>
      <c r="G1921" s="979" t="s">
        <v>5425</v>
      </c>
      <c r="H1921" s="979">
        <v>175026</v>
      </c>
      <c r="I1921" s="979">
        <v>118613</v>
      </c>
      <c r="J1921" s="979">
        <v>1</v>
      </c>
      <c r="K1921" s="979">
        <v>175026</v>
      </c>
      <c r="L1921" s="979">
        <v>118613</v>
      </c>
      <c r="M1921" s="979">
        <v>599</v>
      </c>
    </row>
    <row r="1922" spans="1:13" ht="15">
      <c r="A1922" s="979" t="s">
        <v>3710</v>
      </c>
      <c r="B1922" s="1040" t="str">
        <f>CONCATENATE(LEFT(RIGHT(CONCATENATE("000",IFAData_TEA_1617!A1922),6),3),"-",(RIGHT(RIGHT(CONCATENATE("000",IFAData_TEA_1617!A1922),6),3)))</f>
        <v>205-905</v>
      </c>
      <c r="C1922" s="979" t="s">
        <v>260</v>
      </c>
      <c r="D1922" s="979">
        <v>5</v>
      </c>
      <c r="E1922" s="979">
        <v>2156</v>
      </c>
      <c r="F1922" s="979" t="s">
        <v>5426</v>
      </c>
      <c r="G1922" s="979" t="s">
        <v>5425</v>
      </c>
      <c r="H1922" s="979">
        <v>274260</v>
      </c>
      <c r="I1922" s="979">
        <v>168219</v>
      </c>
      <c r="J1922" s="979">
        <v>0.54044181429149718</v>
      </c>
      <c r="K1922" s="979">
        <v>148221.57198758601</v>
      </c>
      <c r="L1922" s="979">
        <v>148221.57198758601</v>
      </c>
      <c r="M1922" s="979">
        <v>599</v>
      </c>
    </row>
    <row r="1923" spans="1:13" ht="15">
      <c r="A1923" s="979" t="s">
        <v>3710</v>
      </c>
      <c r="B1923" s="1040" t="str">
        <f>CONCATENATE(LEFT(RIGHT(CONCATENATE("000",IFAData_TEA_1617!A1923),6),3),"-",(RIGHT(RIGHT(CONCATENATE("000",IFAData_TEA_1617!A1923),6),3)))</f>
        <v>205-905</v>
      </c>
      <c r="C1923" s="979" t="s">
        <v>260</v>
      </c>
      <c r="D1923" s="979">
        <v>3</v>
      </c>
      <c r="E1923" s="979">
        <v>2155</v>
      </c>
      <c r="F1923" s="979" t="s">
        <v>5424</v>
      </c>
      <c r="G1923" s="979" t="s">
        <v>5424</v>
      </c>
      <c r="H1923" s="979">
        <v>175026</v>
      </c>
      <c r="I1923" s="979">
        <v>0</v>
      </c>
      <c r="J1923" s="979">
        <v>0</v>
      </c>
      <c r="K1923" s="979">
        <v>0</v>
      </c>
      <c r="L1923" s="979">
        <v>0</v>
      </c>
      <c r="M1923" s="979">
        <v>599</v>
      </c>
    </row>
    <row r="1924" spans="1:13" ht="15">
      <c r="A1924" s="979" t="s">
        <v>3711</v>
      </c>
      <c r="B1924" s="1040" t="str">
        <f>CONCATENATE(LEFT(RIGHT(CONCATENATE("000",IFAData_TEA_1617!A1924),6),3),"-",(RIGHT(RIGHT(CONCATENATE("000",IFAData_TEA_1617!A1924),6),3)))</f>
        <v>205-906</v>
      </c>
      <c r="C1924" s="979" t="s">
        <v>267</v>
      </c>
      <c r="D1924" s="979">
        <v>5</v>
      </c>
      <c r="E1924" s="979">
        <v>2337</v>
      </c>
      <c r="F1924" s="979" t="s">
        <v>5427</v>
      </c>
      <c r="G1924" s="979" t="s">
        <v>5427</v>
      </c>
      <c r="H1924" s="979">
        <v>463509</v>
      </c>
      <c r="I1924" s="979">
        <v>0</v>
      </c>
      <c r="J1924" s="979">
        <v>0</v>
      </c>
      <c r="K1924" s="979">
        <v>0</v>
      </c>
      <c r="L1924" s="979">
        <v>0</v>
      </c>
      <c r="M1924" s="979">
        <v>599</v>
      </c>
    </row>
    <row r="1925" spans="1:13" ht="15">
      <c r="A1925" s="979" t="s">
        <v>3711</v>
      </c>
      <c r="B1925" s="1040" t="str">
        <f>CONCATENATE(LEFT(RIGHT(CONCATENATE("000",IFAData_TEA_1617!A1925),6),3),"-",(RIGHT(RIGHT(CONCATENATE("000",IFAData_TEA_1617!A1925),6),3)))</f>
        <v>205-906</v>
      </c>
      <c r="C1925" s="979" t="s">
        <v>267</v>
      </c>
      <c r="D1925" s="979">
        <v>5</v>
      </c>
      <c r="E1925" s="979">
        <v>2337</v>
      </c>
      <c r="F1925" s="979" t="s">
        <v>5427</v>
      </c>
      <c r="G1925" s="979" t="s">
        <v>5429</v>
      </c>
      <c r="H1925" s="979">
        <v>463509</v>
      </c>
      <c r="I1925" s="979">
        <v>307700</v>
      </c>
      <c r="J1925" s="979">
        <v>0.68436785495049068</v>
      </c>
      <c r="K1925" s="979">
        <v>317210.66008024698</v>
      </c>
      <c r="L1925" s="979">
        <v>307700</v>
      </c>
      <c r="M1925" s="979">
        <v>599</v>
      </c>
    </row>
    <row r="1926" spans="1:13" ht="15">
      <c r="A1926" s="979" t="s">
        <v>3711</v>
      </c>
      <c r="B1926" s="1040" t="str">
        <f>CONCATENATE(LEFT(RIGHT(CONCATENATE("000",IFAData_TEA_1617!A1926),6),3),"-",(RIGHT(RIGHT(CONCATENATE("000",IFAData_TEA_1617!A1926),6),3)))</f>
        <v>205-906</v>
      </c>
      <c r="C1926" s="979" t="s">
        <v>267</v>
      </c>
      <c r="D1926" s="979">
        <v>10</v>
      </c>
      <c r="E1926" s="979">
        <v>2336</v>
      </c>
      <c r="F1926" s="979" t="s">
        <v>5430</v>
      </c>
      <c r="G1926" s="979" t="s">
        <v>5430</v>
      </c>
      <c r="H1926" s="979">
        <v>359677</v>
      </c>
      <c r="I1926" s="979">
        <v>366900</v>
      </c>
      <c r="J1926" s="979">
        <v>1</v>
      </c>
      <c r="K1926" s="979">
        <v>359677</v>
      </c>
      <c r="L1926" s="979">
        <v>359677</v>
      </c>
      <c r="M1926" s="979">
        <v>199</v>
      </c>
    </row>
    <row r="1927" spans="1:13" ht="15">
      <c r="A1927" s="979" t="s">
        <v>3711</v>
      </c>
      <c r="B1927" s="1040" t="str">
        <f>CONCATENATE(LEFT(RIGHT(CONCATENATE("000",IFAData_TEA_1617!A1927),6),3),"-",(RIGHT(RIGHT(CONCATENATE("000",IFAData_TEA_1617!A1927),6),3)))</f>
        <v>205-906</v>
      </c>
      <c r="C1927" s="979" t="s">
        <v>267</v>
      </c>
      <c r="D1927" s="979">
        <v>5</v>
      </c>
      <c r="E1927" s="979">
        <v>2337</v>
      </c>
      <c r="F1927" s="979" t="s">
        <v>5427</v>
      </c>
      <c r="G1927" s="979" t="s">
        <v>5428</v>
      </c>
      <c r="H1927" s="979">
        <v>463509</v>
      </c>
      <c r="I1927" s="979">
        <v>141912</v>
      </c>
      <c r="J1927" s="979">
        <v>0.31563214504950937</v>
      </c>
      <c r="K1927" s="979">
        <v>146298.33991975305</v>
      </c>
      <c r="L1927" s="979">
        <v>141912</v>
      </c>
      <c r="M1927" s="979">
        <v>599</v>
      </c>
    </row>
    <row r="1928" spans="1:13" ht="15">
      <c r="A1928" s="979" t="s">
        <v>3712</v>
      </c>
      <c r="B1928" s="1040" t="str">
        <f>CONCATENATE(LEFT(RIGHT(CONCATENATE("000",IFAData_TEA_1617!A1928),6),3),"-",(RIGHT(RIGHT(CONCATENATE("000",IFAData_TEA_1617!A1928),6),3)))</f>
        <v>205-907</v>
      </c>
      <c r="C1928" s="979" t="s">
        <v>601</v>
      </c>
      <c r="D1928" s="979">
        <v>4</v>
      </c>
      <c r="E1928" s="979">
        <v>2389</v>
      </c>
      <c r="F1928" s="979" t="s">
        <v>5431</v>
      </c>
      <c r="G1928" s="979" t="s">
        <v>5432</v>
      </c>
      <c r="H1928" s="979">
        <v>347528</v>
      </c>
      <c r="I1928" s="979">
        <v>0</v>
      </c>
      <c r="J1928" s="979">
        <v>0</v>
      </c>
      <c r="K1928" s="979">
        <v>0</v>
      </c>
      <c r="L1928" s="979">
        <v>0</v>
      </c>
      <c r="M1928" s="979">
        <v>599</v>
      </c>
    </row>
    <row r="1929" spans="1:13" ht="15">
      <c r="A1929" s="979" t="s">
        <v>3712</v>
      </c>
      <c r="B1929" s="1040" t="str">
        <f>CONCATENATE(LEFT(RIGHT(CONCATENATE("000",IFAData_TEA_1617!A1929),6),3),"-",(RIGHT(RIGHT(CONCATENATE("000",IFAData_TEA_1617!A1929),6),3)))</f>
        <v>205-907</v>
      </c>
      <c r="C1929" s="979" t="s">
        <v>601</v>
      </c>
      <c r="D1929" s="979">
        <v>10</v>
      </c>
      <c r="E1929" s="979">
        <v>2388</v>
      </c>
      <c r="F1929" s="979" t="s">
        <v>5433</v>
      </c>
      <c r="G1929" s="979" t="s">
        <v>5433</v>
      </c>
      <c r="H1929" s="979">
        <v>284438</v>
      </c>
      <c r="I1929" s="979">
        <v>879261</v>
      </c>
      <c r="J1929" s="979">
        <v>1</v>
      </c>
      <c r="K1929" s="979">
        <v>284438</v>
      </c>
      <c r="L1929" s="979">
        <v>284438</v>
      </c>
      <c r="M1929" s="979">
        <v>599</v>
      </c>
    </row>
    <row r="1930" spans="1:13" ht="15">
      <c r="A1930" s="979" t="s">
        <v>3712</v>
      </c>
      <c r="B1930" s="1040" t="str">
        <f>CONCATENATE(LEFT(RIGHT(CONCATENATE("000",IFAData_TEA_1617!A1930),6),3),"-",(RIGHT(RIGHT(CONCATENATE("000",IFAData_TEA_1617!A1930),6),3)))</f>
        <v>205-907</v>
      </c>
      <c r="C1930" s="979" t="s">
        <v>601</v>
      </c>
      <c r="D1930" s="979">
        <v>4</v>
      </c>
      <c r="E1930" s="979">
        <v>2389</v>
      </c>
      <c r="F1930" s="979" t="s">
        <v>5431</v>
      </c>
      <c r="G1930" s="979" t="s">
        <v>5431</v>
      </c>
      <c r="H1930" s="979">
        <v>347528</v>
      </c>
      <c r="I1930" s="979">
        <v>0</v>
      </c>
      <c r="J1930" s="979">
        <v>0</v>
      </c>
      <c r="K1930" s="979">
        <v>0</v>
      </c>
      <c r="L1930" s="979">
        <v>0</v>
      </c>
      <c r="M1930" s="979">
        <v>599</v>
      </c>
    </row>
    <row r="1931" spans="1:13" ht="15">
      <c r="A1931" s="979" t="s">
        <v>3712</v>
      </c>
      <c r="B1931" s="1040" t="str">
        <f>CONCATENATE(LEFT(RIGHT(CONCATENATE("000",IFAData_TEA_1617!A1931),6),3),"-",(RIGHT(RIGHT(CONCATENATE("000",IFAData_TEA_1617!A1931),6),3)))</f>
        <v>205-907</v>
      </c>
      <c r="C1931" s="979" t="s">
        <v>601</v>
      </c>
      <c r="D1931" s="979">
        <v>4</v>
      </c>
      <c r="E1931" s="979">
        <v>2389</v>
      </c>
      <c r="F1931" s="979" t="s">
        <v>5431</v>
      </c>
      <c r="G1931" s="979" t="s">
        <v>6534</v>
      </c>
      <c r="H1931" s="979">
        <v>347528</v>
      </c>
      <c r="I1931" s="979">
        <v>298156</v>
      </c>
      <c r="J1931" s="979">
        <v>1</v>
      </c>
      <c r="K1931" s="979">
        <v>347528</v>
      </c>
      <c r="L1931" s="979">
        <v>298156</v>
      </c>
      <c r="M1931" s="979">
        <v>599</v>
      </c>
    </row>
    <row r="1932" spans="1:13" ht="15">
      <c r="A1932" s="979" t="s">
        <v>3713</v>
      </c>
      <c r="B1932" s="1040" t="str">
        <f>CONCATENATE(LEFT(RIGHT(CONCATENATE("000",IFAData_TEA_1617!A1932),6),3),"-",(RIGHT(RIGHT(CONCATENATE("000",IFAData_TEA_1617!A1932),6),3)))</f>
        <v>206-901</v>
      </c>
      <c r="C1932" s="979" t="s">
        <v>1404</v>
      </c>
      <c r="D1932" s="979">
        <v>2</v>
      </c>
      <c r="E1932" s="979">
        <v>2302</v>
      </c>
      <c r="F1932" s="979" t="s">
        <v>5434</v>
      </c>
      <c r="G1932" s="979" t="s">
        <v>5434</v>
      </c>
      <c r="H1932" s="979">
        <v>190287</v>
      </c>
      <c r="I1932" s="979">
        <v>0</v>
      </c>
      <c r="J1932" s="979">
        <v>0</v>
      </c>
      <c r="K1932" s="979">
        <v>0</v>
      </c>
      <c r="L1932" s="979">
        <v>0</v>
      </c>
      <c r="M1932" s="979">
        <v>599</v>
      </c>
    </row>
    <row r="1933" spans="1:13" ht="15">
      <c r="A1933" s="979" t="s">
        <v>3713</v>
      </c>
      <c r="B1933" s="1040" t="str">
        <f>CONCATENATE(LEFT(RIGHT(CONCATENATE("000",IFAData_TEA_1617!A1933),6),3),"-",(RIGHT(RIGHT(CONCATENATE("000",IFAData_TEA_1617!A1933),6),3)))</f>
        <v>206-901</v>
      </c>
      <c r="C1933" s="979" t="s">
        <v>1404</v>
      </c>
      <c r="D1933" s="979">
        <v>2</v>
      </c>
      <c r="E1933" s="979">
        <v>2302</v>
      </c>
      <c r="F1933" s="979" t="s">
        <v>5434</v>
      </c>
      <c r="G1933" s="979" t="s">
        <v>5435</v>
      </c>
      <c r="H1933" s="979">
        <v>190287</v>
      </c>
      <c r="I1933" s="979">
        <v>180650</v>
      </c>
      <c r="J1933" s="979">
        <v>1</v>
      </c>
      <c r="K1933" s="979">
        <v>190287</v>
      </c>
      <c r="L1933" s="979">
        <v>180650</v>
      </c>
      <c r="M1933" s="979">
        <v>599</v>
      </c>
    </row>
    <row r="1934" spans="1:13" ht="15">
      <c r="A1934" s="979" t="s">
        <v>3714</v>
      </c>
      <c r="B1934" s="1040" t="str">
        <f>CONCATENATE(LEFT(RIGHT(CONCATENATE("000",IFAData_TEA_1617!A1934),6),3),"-",(RIGHT(RIGHT(CONCATENATE("000",IFAData_TEA_1617!A1934),6),3)))</f>
        <v>210-901</v>
      </c>
      <c r="C1934" s="979" t="s">
        <v>1776</v>
      </c>
      <c r="D1934" s="979">
        <v>9</v>
      </c>
      <c r="E1934" s="979">
        <v>1673</v>
      </c>
      <c r="F1934" s="979" t="s">
        <v>5436</v>
      </c>
      <c r="G1934" s="979" t="s">
        <v>6535</v>
      </c>
      <c r="H1934" s="979">
        <v>246712</v>
      </c>
      <c r="I1934" s="979">
        <v>192350</v>
      </c>
      <c r="J1934" s="979">
        <v>0.15608390473485617</v>
      </c>
      <c r="K1934" s="979">
        <v>38507.772304945836</v>
      </c>
      <c r="L1934" s="979">
        <v>38507.772304945836</v>
      </c>
      <c r="M1934" s="979">
        <v>599</v>
      </c>
    </row>
    <row r="1935" spans="1:13" ht="15">
      <c r="A1935" s="979" t="s">
        <v>3714</v>
      </c>
      <c r="B1935" s="1040" t="str">
        <f>CONCATENATE(LEFT(RIGHT(CONCATENATE("000",IFAData_TEA_1617!A1935),6),3),"-",(RIGHT(RIGHT(CONCATENATE("000",IFAData_TEA_1617!A1935),6),3)))</f>
        <v>210-901</v>
      </c>
      <c r="C1935" s="979" t="s">
        <v>1776</v>
      </c>
      <c r="D1935" s="979">
        <v>9</v>
      </c>
      <c r="E1935" s="979">
        <v>1673</v>
      </c>
      <c r="F1935" s="979" t="s">
        <v>5436</v>
      </c>
      <c r="G1935" s="979" t="s">
        <v>5436</v>
      </c>
      <c r="H1935" s="979">
        <v>246712</v>
      </c>
      <c r="I1935" s="979">
        <v>1040000</v>
      </c>
      <c r="J1935" s="979">
        <v>0.84391609526514388</v>
      </c>
      <c r="K1935" s="979">
        <v>208204.22769505417</v>
      </c>
      <c r="L1935" s="979">
        <v>208204.22769505417</v>
      </c>
      <c r="M1935" s="979">
        <v>599</v>
      </c>
    </row>
    <row r="1936" spans="1:13" ht="15">
      <c r="A1936" s="979" t="s">
        <v>3715</v>
      </c>
      <c r="B1936" s="1040" t="str">
        <f>CONCATENATE(LEFT(RIGHT(CONCATENATE("000",IFAData_TEA_1617!A1936),6),3),"-",(RIGHT(RIGHT(CONCATENATE("000",IFAData_TEA_1617!A1936),6),3)))</f>
        <v>210-903</v>
      </c>
      <c r="C1936" s="979" t="s">
        <v>1249</v>
      </c>
      <c r="D1936" s="979">
        <v>4</v>
      </c>
      <c r="E1936" s="979">
        <v>2328</v>
      </c>
      <c r="F1936" s="979" t="s">
        <v>5437</v>
      </c>
      <c r="G1936" s="979" t="s">
        <v>6321</v>
      </c>
      <c r="H1936" s="979">
        <v>176318</v>
      </c>
      <c r="I1936" s="979">
        <v>154575</v>
      </c>
      <c r="J1936" s="979">
        <v>1</v>
      </c>
      <c r="K1936" s="979">
        <v>176318</v>
      </c>
      <c r="L1936" s="979">
        <v>154575</v>
      </c>
      <c r="M1936" s="979">
        <v>599</v>
      </c>
    </row>
    <row r="1937" spans="1:13" ht="15">
      <c r="A1937" s="979" t="s">
        <v>3715</v>
      </c>
      <c r="B1937" s="1040" t="str">
        <f>CONCATENATE(LEFT(RIGHT(CONCATENATE("000",IFAData_TEA_1617!A1937),6),3),"-",(RIGHT(RIGHT(CONCATENATE("000",IFAData_TEA_1617!A1937),6),3)))</f>
        <v>210-903</v>
      </c>
      <c r="C1937" s="979" t="s">
        <v>1249</v>
      </c>
      <c r="D1937" s="979">
        <v>4</v>
      </c>
      <c r="E1937" s="979">
        <v>2328</v>
      </c>
      <c r="F1937" s="979" t="s">
        <v>5437</v>
      </c>
      <c r="G1937" s="979" t="s">
        <v>5438</v>
      </c>
      <c r="H1937" s="979">
        <v>176318</v>
      </c>
      <c r="I1937" s="979">
        <v>0</v>
      </c>
      <c r="J1937" s="979">
        <v>0</v>
      </c>
      <c r="K1937" s="979">
        <v>0</v>
      </c>
      <c r="L1937" s="979">
        <v>0</v>
      </c>
      <c r="M1937" s="979">
        <v>599</v>
      </c>
    </row>
    <row r="1938" spans="1:13" ht="15">
      <c r="A1938" s="979" t="s">
        <v>3715</v>
      </c>
      <c r="B1938" s="1040" t="str">
        <f>CONCATENATE(LEFT(RIGHT(CONCATENATE("000",IFAData_TEA_1617!A1938),6),3),"-",(RIGHT(RIGHT(CONCATENATE("000",IFAData_TEA_1617!A1938),6),3)))</f>
        <v>210-903</v>
      </c>
      <c r="C1938" s="979" t="s">
        <v>1249</v>
      </c>
      <c r="D1938" s="979">
        <v>4</v>
      </c>
      <c r="E1938" s="979">
        <v>2328</v>
      </c>
      <c r="F1938" s="979" t="s">
        <v>5437</v>
      </c>
      <c r="G1938" s="979" t="s">
        <v>5437</v>
      </c>
      <c r="H1938" s="979">
        <v>176318</v>
      </c>
      <c r="I1938" s="979">
        <v>0</v>
      </c>
      <c r="J1938" s="979">
        <v>0</v>
      </c>
      <c r="K1938" s="979">
        <v>0</v>
      </c>
      <c r="L1938" s="979">
        <v>0</v>
      </c>
      <c r="M1938" s="979">
        <v>599</v>
      </c>
    </row>
    <row r="1939" spans="1:13" ht="15">
      <c r="A1939" s="979" t="s">
        <v>3716</v>
      </c>
      <c r="B1939" s="1040" t="str">
        <f>CONCATENATE(LEFT(RIGHT(CONCATENATE("000",IFAData_TEA_1617!A1939),6),3),"-",(RIGHT(RIGHT(CONCATENATE("000",IFAData_TEA_1617!A1939),6),3)))</f>
        <v>212-901</v>
      </c>
      <c r="C1939" s="979" t="s">
        <v>2115</v>
      </c>
      <c r="D1939" s="979">
        <v>6</v>
      </c>
      <c r="E1939" s="979">
        <v>1584</v>
      </c>
      <c r="F1939" s="979" t="s">
        <v>5439</v>
      </c>
      <c r="G1939" s="979" t="s">
        <v>5441</v>
      </c>
      <c r="H1939" s="979">
        <v>219258</v>
      </c>
      <c r="I1939" s="979">
        <v>138498</v>
      </c>
      <c r="J1939" s="979">
        <v>0.34618182181751828</v>
      </c>
      <c r="K1939" s="979">
        <v>75903.133888065422</v>
      </c>
      <c r="L1939" s="979">
        <v>75903.133888065422</v>
      </c>
      <c r="M1939" s="979">
        <v>599</v>
      </c>
    </row>
    <row r="1940" spans="1:13" ht="15">
      <c r="A1940" s="979" t="s">
        <v>3716</v>
      </c>
      <c r="B1940" s="1040" t="str">
        <f>CONCATENATE(LEFT(RIGHT(CONCATENATE("000",IFAData_TEA_1617!A1940),6),3),"-",(RIGHT(RIGHT(CONCATENATE("000",IFAData_TEA_1617!A1940),6),3)))</f>
        <v>212-901</v>
      </c>
      <c r="C1940" s="979" t="s">
        <v>2115</v>
      </c>
      <c r="D1940" s="979">
        <v>6</v>
      </c>
      <c r="E1940" s="979">
        <v>1584</v>
      </c>
      <c r="F1940" s="979" t="s">
        <v>5439</v>
      </c>
      <c r="G1940" s="979" t="s">
        <v>5439</v>
      </c>
      <c r="H1940" s="979">
        <v>219258</v>
      </c>
      <c r="I1940" s="979">
        <v>0</v>
      </c>
      <c r="J1940" s="979">
        <v>0</v>
      </c>
      <c r="K1940" s="979">
        <v>0</v>
      </c>
      <c r="L1940" s="979">
        <v>0</v>
      </c>
      <c r="M1940" s="979">
        <v>599</v>
      </c>
    </row>
    <row r="1941" spans="1:13" ht="15">
      <c r="A1941" s="979" t="s">
        <v>3716</v>
      </c>
      <c r="B1941" s="1040" t="str">
        <f>CONCATENATE(LEFT(RIGHT(CONCATENATE("000",IFAData_TEA_1617!A1941),6),3),"-",(RIGHT(RIGHT(CONCATENATE("000",IFAData_TEA_1617!A1941),6),3)))</f>
        <v>212-901</v>
      </c>
      <c r="C1941" s="979" t="s">
        <v>2115</v>
      </c>
      <c r="D1941" s="979">
        <v>6</v>
      </c>
      <c r="E1941" s="979">
        <v>1584</v>
      </c>
      <c r="F1941" s="979" t="s">
        <v>5439</v>
      </c>
      <c r="G1941" s="979" t="s">
        <v>5440</v>
      </c>
      <c r="H1941" s="979">
        <v>219258</v>
      </c>
      <c r="I1941" s="979">
        <v>261575</v>
      </c>
      <c r="J1941" s="979">
        <v>0.65381817818248167</v>
      </c>
      <c r="K1941" s="979">
        <v>143354.86611193456</v>
      </c>
      <c r="L1941" s="979">
        <v>143354.86611193456</v>
      </c>
      <c r="M1941" s="979">
        <v>599</v>
      </c>
    </row>
    <row r="1942" spans="1:13" ht="15">
      <c r="A1942" s="979" t="s">
        <v>3717</v>
      </c>
      <c r="B1942" s="1040" t="str">
        <f>CONCATENATE(LEFT(RIGHT(CONCATENATE("000",IFAData_TEA_1617!A1942),6),3),"-",(RIGHT(RIGHT(CONCATENATE("000",IFAData_TEA_1617!A1942),6),3)))</f>
        <v>212-903</v>
      </c>
      <c r="C1942" s="979" t="s">
        <v>1996</v>
      </c>
      <c r="D1942" s="979">
        <v>10</v>
      </c>
      <c r="E1942" s="979">
        <v>2021</v>
      </c>
      <c r="F1942" s="979" t="s">
        <v>5442</v>
      </c>
      <c r="G1942" s="979" t="s">
        <v>5442</v>
      </c>
      <c r="H1942" s="979">
        <v>863361</v>
      </c>
      <c r="I1942" s="979">
        <v>1027354</v>
      </c>
      <c r="J1942" s="979">
        <v>1</v>
      </c>
      <c r="K1942" s="979">
        <v>863361</v>
      </c>
      <c r="L1942" s="979">
        <v>863361</v>
      </c>
      <c r="M1942" s="979">
        <v>599</v>
      </c>
    </row>
    <row r="1943" spans="1:13" ht="15">
      <c r="A1943" s="979" t="s">
        <v>3718</v>
      </c>
      <c r="B1943" s="1040" t="str">
        <f>CONCATENATE(LEFT(RIGHT(CONCATENATE("000",IFAData_TEA_1617!A1943),6),3),"-",(RIGHT(RIGHT(CONCATENATE("000",IFAData_TEA_1617!A1943),6),3)))</f>
        <v>212-906</v>
      </c>
      <c r="C1943" s="979" t="s">
        <v>1334</v>
      </c>
      <c r="D1943" s="979">
        <v>2</v>
      </c>
      <c r="E1943" s="979">
        <v>2451</v>
      </c>
      <c r="F1943" s="979" t="s">
        <v>5443</v>
      </c>
      <c r="G1943" s="979" t="s">
        <v>5444</v>
      </c>
      <c r="H1943" s="979">
        <v>962500</v>
      </c>
      <c r="I1943" s="979">
        <v>1256393</v>
      </c>
      <c r="J1943" s="979">
        <v>1</v>
      </c>
      <c r="K1943" s="979">
        <v>962500</v>
      </c>
      <c r="L1943" s="979">
        <v>962500</v>
      </c>
      <c r="M1943" s="979">
        <v>599</v>
      </c>
    </row>
    <row r="1944" spans="1:13" ht="15">
      <c r="A1944" s="979" t="s">
        <v>3718</v>
      </c>
      <c r="B1944" s="1040" t="str">
        <f>CONCATENATE(LEFT(RIGHT(CONCATENATE("000",IFAData_TEA_1617!A1944),6),3),"-",(RIGHT(RIGHT(CONCATENATE("000",IFAData_TEA_1617!A1944),6),3)))</f>
        <v>212-906</v>
      </c>
      <c r="C1944" s="979" t="s">
        <v>1334</v>
      </c>
      <c r="D1944" s="979">
        <v>2</v>
      </c>
      <c r="E1944" s="979">
        <v>2451</v>
      </c>
      <c r="F1944" s="979" t="s">
        <v>5443</v>
      </c>
      <c r="G1944" s="979" t="s">
        <v>5443</v>
      </c>
      <c r="H1944" s="979">
        <v>962500</v>
      </c>
      <c r="I1944" s="979">
        <v>0</v>
      </c>
      <c r="J1944" s="979">
        <v>0</v>
      </c>
      <c r="K1944" s="979">
        <v>0</v>
      </c>
      <c r="L1944" s="979">
        <v>0</v>
      </c>
      <c r="M1944" s="979">
        <v>599</v>
      </c>
    </row>
    <row r="1945" spans="1:13" ht="15">
      <c r="A1945" s="979" t="s">
        <v>3719</v>
      </c>
      <c r="B1945" s="1040" t="str">
        <f>CONCATENATE(LEFT(RIGHT(CONCATENATE("000",IFAData_TEA_1617!A1945),6),3),"-",(RIGHT(RIGHT(CONCATENATE("000",IFAData_TEA_1617!A1945),6),3)))</f>
        <v>212-909</v>
      </c>
      <c r="C1945" s="979" t="s">
        <v>660</v>
      </c>
      <c r="D1945" s="979">
        <v>9</v>
      </c>
      <c r="E1945" s="979">
        <v>1681</v>
      </c>
      <c r="F1945" s="979" t="s">
        <v>5445</v>
      </c>
      <c r="G1945" s="979" t="s">
        <v>6322</v>
      </c>
      <c r="H1945" s="979">
        <v>722890</v>
      </c>
      <c r="I1945" s="979">
        <v>281125</v>
      </c>
      <c r="J1945" s="979">
        <v>0.38854911716941365</v>
      </c>
      <c r="K1945" s="979">
        <v>280878.27131059743</v>
      </c>
      <c r="L1945" s="979">
        <v>280878.27131059743</v>
      </c>
      <c r="M1945" s="979">
        <v>599</v>
      </c>
    </row>
    <row r="1946" spans="1:13" ht="15">
      <c r="A1946" s="979" t="s">
        <v>3719</v>
      </c>
      <c r="B1946" s="1040" t="str">
        <f>CONCATENATE(LEFT(RIGHT(CONCATENATE("000",IFAData_TEA_1617!A1946),6),3),"-",(RIGHT(RIGHT(CONCATENATE("000",IFAData_TEA_1617!A1946),6),3)))</f>
        <v>212-909</v>
      </c>
      <c r="C1946" s="979" t="s">
        <v>660</v>
      </c>
      <c r="D1946" s="979">
        <v>9</v>
      </c>
      <c r="E1946" s="979">
        <v>1681</v>
      </c>
      <c r="F1946" s="979" t="s">
        <v>5445</v>
      </c>
      <c r="G1946" s="979" t="s">
        <v>5445</v>
      </c>
      <c r="H1946" s="979">
        <v>722890</v>
      </c>
      <c r="I1946" s="979">
        <v>212500</v>
      </c>
      <c r="J1946" s="979">
        <v>0.29370097785149096</v>
      </c>
      <c r="K1946" s="979">
        <v>212313.4998790643</v>
      </c>
      <c r="L1946" s="979">
        <v>212313.4998790643</v>
      </c>
      <c r="M1946" s="979">
        <v>599</v>
      </c>
    </row>
    <row r="1947" spans="1:13" ht="15">
      <c r="A1947" s="979" t="s">
        <v>3719</v>
      </c>
      <c r="B1947" s="1040" t="str">
        <f>CONCATENATE(LEFT(RIGHT(CONCATENATE("000",IFAData_TEA_1617!A1947),6),3),"-",(RIGHT(RIGHT(CONCATENATE("000",IFAData_TEA_1617!A1947),6),3)))</f>
        <v>212-909</v>
      </c>
      <c r="C1947" s="979" t="s">
        <v>660</v>
      </c>
      <c r="D1947" s="979">
        <v>9</v>
      </c>
      <c r="E1947" s="979">
        <v>1681</v>
      </c>
      <c r="F1947" s="979" t="s">
        <v>5445</v>
      </c>
      <c r="G1947" s="979" t="s">
        <v>6323</v>
      </c>
      <c r="H1947" s="979">
        <v>722890</v>
      </c>
      <c r="I1947" s="979">
        <v>229900</v>
      </c>
      <c r="J1947" s="979">
        <v>0.31774990497909539</v>
      </c>
      <c r="K1947" s="979">
        <v>229698.22881033827</v>
      </c>
      <c r="L1947" s="979">
        <v>229698.22881033827</v>
      </c>
      <c r="M1947" s="979">
        <v>599</v>
      </c>
    </row>
    <row r="1948" spans="1:13" ht="15">
      <c r="A1948" s="979" t="s">
        <v>3720</v>
      </c>
      <c r="B1948" s="1040" t="str">
        <f>CONCATENATE(LEFT(RIGHT(CONCATENATE("000",IFAData_TEA_1617!A1948),6),3),"-",(RIGHT(RIGHT(CONCATENATE("000",IFAData_TEA_1617!A1948),6),3)))</f>
        <v>214-901</v>
      </c>
      <c r="C1948" s="979" t="s">
        <v>2693</v>
      </c>
      <c r="D1948" s="979">
        <v>2</v>
      </c>
      <c r="E1948" s="979">
        <v>2239</v>
      </c>
      <c r="F1948" s="979" t="s">
        <v>5446</v>
      </c>
      <c r="G1948" s="979" t="s">
        <v>5446</v>
      </c>
      <c r="H1948" s="979">
        <v>595803</v>
      </c>
      <c r="I1948" s="979">
        <v>0</v>
      </c>
      <c r="J1948" s="979">
        <v>0</v>
      </c>
      <c r="K1948" s="979"/>
      <c r="L1948" s="979">
        <v>0</v>
      </c>
      <c r="M1948" s="979">
        <v>199</v>
      </c>
    </row>
    <row r="1949" spans="1:13" ht="15">
      <c r="A1949" s="979" t="s">
        <v>3720</v>
      </c>
      <c r="B1949" s="1040" t="str">
        <f>CONCATENATE(LEFT(RIGHT(CONCATENATE("000",IFAData_TEA_1617!A1949),6),3),"-",(RIGHT(RIGHT(CONCATENATE("000",IFAData_TEA_1617!A1949),6),3)))</f>
        <v>214-901</v>
      </c>
      <c r="C1949" s="979" t="s">
        <v>2693</v>
      </c>
      <c r="D1949" s="979">
        <v>8</v>
      </c>
      <c r="E1949" s="979">
        <v>2244</v>
      </c>
      <c r="F1949" s="979" t="s">
        <v>5454</v>
      </c>
      <c r="G1949" s="979" t="s">
        <v>5454</v>
      </c>
      <c r="H1949" s="979">
        <v>2370209</v>
      </c>
      <c r="I1949" s="979">
        <v>0</v>
      </c>
      <c r="J1949" s="979">
        <v>0</v>
      </c>
      <c r="K1949" s="979">
        <v>0</v>
      </c>
      <c r="L1949" s="979">
        <v>0</v>
      </c>
      <c r="M1949" s="979">
        <v>599</v>
      </c>
    </row>
    <row r="1950" spans="1:13" ht="15">
      <c r="A1950" s="979" t="s">
        <v>3720</v>
      </c>
      <c r="B1950" s="1040" t="str">
        <f>CONCATENATE(LEFT(RIGHT(CONCATENATE("000",IFAData_TEA_1617!A1950),6),3),"-",(RIGHT(RIGHT(CONCATENATE("000",IFAData_TEA_1617!A1950),6),3)))</f>
        <v>214-901</v>
      </c>
      <c r="C1950" s="979" t="s">
        <v>2693</v>
      </c>
      <c r="D1950" s="979">
        <v>7</v>
      </c>
      <c r="E1950" s="979">
        <v>2240</v>
      </c>
      <c r="F1950" s="979" t="s">
        <v>5452</v>
      </c>
      <c r="G1950" s="979" t="s">
        <v>5453</v>
      </c>
      <c r="H1950" s="979">
        <v>1469426</v>
      </c>
      <c r="I1950" s="979">
        <v>1360325</v>
      </c>
      <c r="J1950" s="979">
        <v>1</v>
      </c>
      <c r="K1950" s="979">
        <v>1469426</v>
      </c>
      <c r="L1950" s="979">
        <v>1360325</v>
      </c>
      <c r="M1950" s="979">
        <v>599</v>
      </c>
    </row>
    <row r="1951" spans="1:13" ht="15">
      <c r="A1951" s="979" t="s">
        <v>3720</v>
      </c>
      <c r="B1951" s="1040" t="str">
        <f>CONCATENATE(LEFT(RIGHT(CONCATENATE("000",IFAData_TEA_1617!A1951),6),3),"-",(RIGHT(RIGHT(CONCATENATE("000",IFAData_TEA_1617!A1951),6),3)))</f>
        <v>214-901</v>
      </c>
      <c r="C1951" s="979" t="s">
        <v>2693</v>
      </c>
      <c r="D1951" s="979">
        <v>6</v>
      </c>
      <c r="E1951" s="979">
        <v>2241</v>
      </c>
      <c r="F1951" s="979" t="s">
        <v>5449</v>
      </c>
      <c r="G1951" s="979" t="s">
        <v>5451</v>
      </c>
      <c r="H1951" s="979">
        <v>1797043</v>
      </c>
      <c r="I1951" s="979">
        <v>377196</v>
      </c>
      <c r="J1951" s="979">
        <v>0.40685973653071811</v>
      </c>
      <c r="K1951" s="979">
        <v>731144.44151437131</v>
      </c>
      <c r="L1951" s="979">
        <v>377196</v>
      </c>
      <c r="M1951" s="979">
        <v>599</v>
      </c>
    </row>
    <row r="1952" spans="1:13" ht="15">
      <c r="A1952" s="979" t="s">
        <v>3720</v>
      </c>
      <c r="B1952" s="1040" t="str">
        <f>CONCATENATE(LEFT(RIGHT(CONCATENATE("000",IFAData_TEA_1617!A1952),6),3),"-",(RIGHT(RIGHT(CONCATENATE("000",IFAData_TEA_1617!A1952),6),3)))</f>
        <v>214-901</v>
      </c>
      <c r="C1952" s="979" t="s">
        <v>2693</v>
      </c>
      <c r="D1952" s="979">
        <v>6</v>
      </c>
      <c r="E1952" s="979">
        <v>2241</v>
      </c>
      <c r="F1952" s="979" t="s">
        <v>5449</v>
      </c>
      <c r="G1952" s="979" t="s">
        <v>5450</v>
      </c>
      <c r="H1952" s="979">
        <v>1797043</v>
      </c>
      <c r="I1952" s="979">
        <v>549895</v>
      </c>
      <c r="J1952" s="979">
        <v>0.59314026346928184</v>
      </c>
      <c r="K1952" s="979">
        <v>1065898.5584856286</v>
      </c>
      <c r="L1952" s="979">
        <v>549895</v>
      </c>
      <c r="M1952" s="979">
        <v>599</v>
      </c>
    </row>
    <row r="1953" spans="1:13" ht="15">
      <c r="A1953" s="979" t="s">
        <v>3720</v>
      </c>
      <c r="B1953" s="1040" t="str">
        <f>CONCATENATE(LEFT(RIGHT(CONCATENATE("000",IFAData_TEA_1617!A1953),6),3),"-",(RIGHT(RIGHT(CONCATENATE("000",IFAData_TEA_1617!A1953),6),3)))</f>
        <v>214-901</v>
      </c>
      <c r="C1953" s="979" t="s">
        <v>2693</v>
      </c>
      <c r="D1953" s="979">
        <v>4</v>
      </c>
      <c r="E1953" s="979">
        <v>2242</v>
      </c>
      <c r="F1953" s="979" t="s">
        <v>5447</v>
      </c>
      <c r="G1953" s="979" t="s">
        <v>5448</v>
      </c>
      <c r="H1953" s="979">
        <v>1967288</v>
      </c>
      <c r="I1953" s="979">
        <v>0</v>
      </c>
      <c r="J1953" s="979">
        <v>0</v>
      </c>
      <c r="K1953" s="979">
        <v>0</v>
      </c>
      <c r="L1953" s="979">
        <v>0</v>
      </c>
      <c r="M1953" s="979">
        <v>599</v>
      </c>
    </row>
    <row r="1954" spans="1:13" ht="15">
      <c r="A1954" s="979" t="s">
        <v>3720</v>
      </c>
      <c r="B1954" s="1040" t="str">
        <f>CONCATENATE(LEFT(RIGHT(CONCATENATE("000",IFAData_TEA_1617!A1954),6),3),"-",(RIGHT(RIGHT(CONCATENATE("000",IFAData_TEA_1617!A1954),6),3)))</f>
        <v>214-901</v>
      </c>
      <c r="C1954" s="979" t="s">
        <v>2693</v>
      </c>
      <c r="D1954" s="979">
        <v>4</v>
      </c>
      <c r="E1954" s="979">
        <v>2242</v>
      </c>
      <c r="F1954" s="979" t="s">
        <v>5447</v>
      </c>
      <c r="G1954" s="979" t="s">
        <v>5447</v>
      </c>
      <c r="H1954" s="979">
        <v>1967288</v>
      </c>
      <c r="I1954" s="979">
        <v>0</v>
      </c>
      <c r="J1954" s="979">
        <v>0</v>
      </c>
      <c r="K1954" s="979">
        <v>0</v>
      </c>
      <c r="L1954" s="979">
        <v>0</v>
      </c>
      <c r="M1954" s="979">
        <v>599</v>
      </c>
    </row>
    <row r="1955" spans="1:13" ht="15">
      <c r="A1955" s="979" t="s">
        <v>3720</v>
      </c>
      <c r="B1955" s="1040" t="str">
        <f>CONCATENATE(LEFT(RIGHT(CONCATENATE("000",IFAData_TEA_1617!A1955),6),3),"-",(RIGHT(RIGHT(CONCATENATE("000",IFAData_TEA_1617!A1955),6),3)))</f>
        <v>214-901</v>
      </c>
      <c r="C1955" s="979" t="s">
        <v>2693</v>
      </c>
      <c r="D1955" s="979">
        <v>10</v>
      </c>
      <c r="E1955" s="979">
        <v>2243</v>
      </c>
      <c r="F1955" s="979" t="s">
        <v>5455</v>
      </c>
      <c r="G1955" s="979" t="s">
        <v>5455</v>
      </c>
      <c r="H1955" s="979">
        <v>2133360</v>
      </c>
      <c r="I1955" s="979">
        <v>2126960</v>
      </c>
      <c r="J1955" s="979">
        <v>1</v>
      </c>
      <c r="K1955" s="979">
        <v>2133360</v>
      </c>
      <c r="L1955" s="979">
        <v>2126960</v>
      </c>
      <c r="M1955" s="979">
        <v>599</v>
      </c>
    </row>
    <row r="1956" spans="1:13" ht="15">
      <c r="A1956" s="979" t="s">
        <v>3720</v>
      </c>
      <c r="B1956" s="1040" t="str">
        <f>CONCATENATE(LEFT(RIGHT(CONCATENATE("000",IFAData_TEA_1617!A1956),6),3),"-",(RIGHT(RIGHT(CONCATENATE("000",IFAData_TEA_1617!A1956),6),3)))</f>
        <v>214-901</v>
      </c>
      <c r="C1956" s="979" t="s">
        <v>2693</v>
      </c>
      <c r="D1956" s="979">
        <v>7</v>
      </c>
      <c r="E1956" s="979">
        <v>2240</v>
      </c>
      <c r="F1956" s="979" t="s">
        <v>5452</v>
      </c>
      <c r="G1956" s="979" t="s">
        <v>5452</v>
      </c>
      <c r="H1956" s="979">
        <v>1469426</v>
      </c>
      <c r="I1956" s="979">
        <v>0</v>
      </c>
      <c r="J1956" s="979">
        <v>0</v>
      </c>
      <c r="K1956" s="979">
        <v>0</v>
      </c>
      <c r="L1956" s="979">
        <v>0</v>
      </c>
      <c r="M1956" s="979">
        <v>599</v>
      </c>
    </row>
    <row r="1957" spans="1:13" ht="15">
      <c r="A1957" s="979" t="s">
        <v>3720</v>
      </c>
      <c r="B1957" s="1040" t="str">
        <f>CONCATENATE(LEFT(RIGHT(CONCATENATE("000",IFAData_TEA_1617!A1957),6),3),"-",(RIGHT(RIGHT(CONCATENATE("000",IFAData_TEA_1617!A1957),6),3)))</f>
        <v>214-901</v>
      </c>
      <c r="C1957" s="979" t="s">
        <v>2693</v>
      </c>
      <c r="D1957" s="979">
        <v>6</v>
      </c>
      <c r="E1957" s="979">
        <v>2241</v>
      </c>
      <c r="F1957" s="979" t="s">
        <v>5449</v>
      </c>
      <c r="G1957" s="979" t="s">
        <v>5449</v>
      </c>
      <c r="H1957" s="979">
        <v>1797043</v>
      </c>
      <c r="I1957" s="979">
        <v>0</v>
      </c>
      <c r="J1957" s="979">
        <v>0</v>
      </c>
      <c r="K1957" s="979">
        <v>0</v>
      </c>
      <c r="L1957" s="979">
        <v>0</v>
      </c>
      <c r="M1957" s="979">
        <v>599</v>
      </c>
    </row>
    <row r="1958" spans="1:13" ht="15">
      <c r="A1958" s="979" t="s">
        <v>3720</v>
      </c>
      <c r="B1958" s="1040" t="str">
        <f>CONCATENATE(LEFT(RIGHT(CONCATENATE("000",IFAData_TEA_1617!A1958),6),3),"-",(RIGHT(RIGHT(CONCATENATE("000",IFAData_TEA_1617!A1958),6),3)))</f>
        <v>214-901</v>
      </c>
      <c r="C1958" s="979" t="s">
        <v>2693</v>
      </c>
      <c r="D1958" s="979">
        <v>8</v>
      </c>
      <c r="E1958" s="979">
        <v>2244</v>
      </c>
      <c r="F1958" s="979" t="s">
        <v>5454</v>
      </c>
      <c r="G1958" s="979" t="s">
        <v>6536</v>
      </c>
      <c r="H1958" s="979">
        <v>2370209</v>
      </c>
      <c r="I1958" s="979">
        <v>2123875</v>
      </c>
      <c r="J1958" s="979">
        <v>1</v>
      </c>
      <c r="K1958" s="979">
        <v>2370209</v>
      </c>
      <c r="L1958" s="979">
        <v>2123875</v>
      </c>
      <c r="M1958" s="979">
        <v>599</v>
      </c>
    </row>
    <row r="1959" spans="1:13" ht="15">
      <c r="A1959" s="979" t="s">
        <v>3720</v>
      </c>
      <c r="B1959" s="1040" t="str">
        <f>CONCATENATE(LEFT(RIGHT(CONCATENATE("000",IFAData_TEA_1617!A1959),6),3),"-",(RIGHT(RIGHT(CONCATENATE("000",IFAData_TEA_1617!A1959),6),3)))</f>
        <v>214-901</v>
      </c>
      <c r="C1959" s="979" t="s">
        <v>2693</v>
      </c>
      <c r="D1959" s="979">
        <v>4</v>
      </c>
      <c r="E1959" s="979">
        <v>2242</v>
      </c>
      <c r="F1959" s="979" t="s">
        <v>5447</v>
      </c>
      <c r="G1959" s="979" t="s">
        <v>6324</v>
      </c>
      <c r="H1959" s="979">
        <v>1967288</v>
      </c>
      <c r="I1959" s="979">
        <v>1682550</v>
      </c>
      <c r="J1959" s="979">
        <v>1</v>
      </c>
      <c r="K1959" s="979">
        <v>1967288</v>
      </c>
      <c r="L1959" s="979">
        <v>1682550</v>
      </c>
      <c r="M1959" s="979">
        <v>599</v>
      </c>
    </row>
    <row r="1960" spans="1:13" ht="15">
      <c r="A1960" s="979" t="s">
        <v>3721</v>
      </c>
      <c r="B1960" s="1040" t="str">
        <f>CONCATENATE(LEFT(RIGHT(CONCATENATE("000",IFAData_TEA_1617!A1960),6),3),"-",(RIGHT(RIGHT(CONCATENATE("000",IFAData_TEA_1617!A1960),6),3)))</f>
        <v>214-903</v>
      </c>
      <c r="C1960" s="979" t="s">
        <v>608</v>
      </c>
      <c r="D1960" s="979">
        <v>4</v>
      </c>
      <c r="E1960" s="979">
        <v>2262</v>
      </c>
      <c r="F1960" s="979" t="s">
        <v>5456</v>
      </c>
      <c r="G1960" s="979" t="s">
        <v>6325</v>
      </c>
      <c r="H1960" s="979">
        <v>1385266</v>
      </c>
      <c r="I1960" s="979">
        <v>1184350</v>
      </c>
      <c r="J1960" s="979">
        <v>1</v>
      </c>
      <c r="K1960" s="979">
        <v>1385266</v>
      </c>
      <c r="L1960" s="979">
        <v>1184350</v>
      </c>
      <c r="M1960" s="979">
        <v>599</v>
      </c>
    </row>
    <row r="1961" spans="1:13" ht="15">
      <c r="A1961" s="979" t="s">
        <v>3721</v>
      </c>
      <c r="B1961" s="1040" t="str">
        <f>CONCATENATE(LEFT(RIGHT(CONCATENATE("000",IFAData_TEA_1617!A1961),6),3),"-",(RIGHT(RIGHT(CONCATENATE("000",IFAData_TEA_1617!A1961),6),3)))</f>
        <v>214-903</v>
      </c>
      <c r="C1961" s="979" t="s">
        <v>608</v>
      </c>
      <c r="D1961" s="979">
        <v>8</v>
      </c>
      <c r="E1961" s="979">
        <v>2263</v>
      </c>
      <c r="F1961" s="979" t="s">
        <v>5460</v>
      </c>
      <c r="G1961" s="979" t="s">
        <v>5462</v>
      </c>
      <c r="H1961" s="979">
        <v>1448810</v>
      </c>
      <c r="I1961" s="979">
        <v>335775</v>
      </c>
      <c r="J1961" s="979">
        <v>0.25305928343770229</v>
      </c>
      <c r="K1961" s="979">
        <v>366634.82043737744</v>
      </c>
      <c r="L1961" s="979">
        <v>335775</v>
      </c>
      <c r="M1961" s="979">
        <v>599</v>
      </c>
    </row>
    <row r="1962" spans="1:13" ht="15">
      <c r="A1962" s="979" t="s">
        <v>3721</v>
      </c>
      <c r="B1962" s="1040" t="str">
        <f>CONCATENATE(LEFT(RIGHT(CONCATENATE("000",IFAData_TEA_1617!A1962),6),3),"-",(RIGHT(RIGHT(CONCATENATE("000",IFAData_TEA_1617!A1962),6),3)))</f>
        <v>214-903</v>
      </c>
      <c r="C1962" s="979" t="s">
        <v>608</v>
      </c>
      <c r="D1962" s="979">
        <v>8</v>
      </c>
      <c r="E1962" s="979">
        <v>2263</v>
      </c>
      <c r="F1962" s="979" t="s">
        <v>5460</v>
      </c>
      <c r="G1962" s="979" t="s">
        <v>5460</v>
      </c>
      <c r="H1962" s="979">
        <v>1448810</v>
      </c>
      <c r="I1962" s="979">
        <v>633363</v>
      </c>
      <c r="J1962" s="979">
        <v>0.47733865515882196</v>
      </c>
      <c r="K1962" s="979">
        <v>691573.01698065281</v>
      </c>
      <c r="L1962" s="979">
        <v>633363</v>
      </c>
      <c r="M1962" s="979">
        <v>599</v>
      </c>
    </row>
    <row r="1963" spans="1:13" ht="15">
      <c r="A1963" s="979" t="s">
        <v>3721</v>
      </c>
      <c r="B1963" s="1040" t="str">
        <f>CONCATENATE(LEFT(RIGHT(CONCATENATE("000",IFAData_TEA_1617!A1963),6),3),"-",(RIGHT(RIGHT(CONCATENATE("000",IFAData_TEA_1617!A1963),6),3)))</f>
        <v>214-903</v>
      </c>
      <c r="C1963" s="979" t="s">
        <v>608</v>
      </c>
      <c r="D1963" s="979">
        <v>8</v>
      </c>
      <c r="E1963" s="979">
        <v>2263</v>
      </c>
      <c r="F1963" s="979" t="s">
        <v>5460</v>
      </c>
      <c r="G1963" s="979" t="s">
        <v>5461</v>
      </c>
      <c r="H1963" s="979">
        <v>1448810</v>
      </c>
      <c r="I1963" s="979">
        <v>357725</v>
      </c>
      <c r="J1963" s="979">
        <v>0.2696020614034757</v>
      </c>
      <c r="K1963" s="979">
        <v>390602.16258196963</v>
      </c>
      <c r="L1963" s="979">
        <v>357725</v>
      </c>
      <c r="M1963" s="979">
        <v>599</v>
      </c>
    </row>
    <row r="1964" spans="1:13" ht="15">
      <c r="A1964" s="979" t="s">
        <v>3721</v>
      </c>
      <c r="B1964" s="1040" t="str">
        <f>CONCATENATE(LEFT(RIGHT(CONCATENATE("000",IFAData_TEA_1617!A1964),6),3),"-",(RIGHT(RIGHT(CONCATENATE("000",IFAData_TEA_1617!A1964),6),3)))</f>
        <v>214-903</v>
      </c>
      <c r="C1964" s="979" t="s">
        <v>608</v>
      </c>
      <c r="D1964" s="979">
        <v>7</v>
      </c>
      <c r="E1964" s="979">
        <v>2260</v>
      </c>
      <c r="F1964" s="979" t="s">
        <v>5458</v>
      </c>
      <c r="G1964" s="979" t="s">
        <v>5459</v>
      </c>
      <c r="H1964" s="979">
        <v>816105</v>
      </c>
      <c r="I1964" s="979">
        <v>738400</v>
      </c>
      <c r="J1964" s="979">
        <v>1</v>
      </c>
      <c r="K1964" s="979">
        <v>816105</v>
      </c>
      <c r="L1964" s="979">
        <v>738400</v>
      </c>
      <c r="M1964" s="979">
        <v>599</v>
      </c>
    </row>
    <row r="1965" spans="1:13" ht="15">
      <c r="A1965" s="979" t="s">
        <v>3721</v>
      </c>
      <c r="B1965" s="1040" t="str">
        <f>CONCATENATE(LEFT(RIGHT(CONCATENATE("000",IFAData_TEA_1617!A1965),6),3),"-",(RIGHT(RIGHT(CONCATENATE("000",IFAData_TEA_1617!A1965),6),3)))</f>
        <v>214-903</v>
      </c>
      <c r="C1965" s="979" t="s">
        <v>608</v>
      </c>
      <c r="D1965" s="979">
        <v>10</v>
      </c>
      <c r="E1965" s="979">
        <v>2259</v>
      </c>
      <c r="F1965" s="979" t="s">
        <v>5464</v>
      </c>
      <c r="G1965" s="979" t="s">
        <v>5464</v>
      </c>
      <c r="H1965" s="979">
        <v>623963</v>
      </c>
      <c r="I1965" s="979">
        <v>619162</v>
      </c>
      <c r="J1965" s="979">
        <v>1</v>
      </c>
      <c r="K1965" s="979">
        <v>623963</v>
      </c>
      <c r="L1965" s="979">
        <v>619162</v>
      </c>
      <c r="M1965" s="979">
        <v>599</v>
      </c>
    </row>
    <row r="1966" spans="1:13" ht="15">
      <c r="A1966" s="979" t="s">
        <v>3721</v>
      </c>
      <c r="B1966" s="1040" t="str">
        <f>CONCATENATE(LEFT(RIGHT(CONCATENATE("000",IFAData_TEA_1617!A1966),6),3),"-",(RIGHT(RIGHT(CONCATENATE("000",IFAData_TEA_1617!A1966),6),3)))</f>
        <v>214-903</v>
      </c>
      <c r="C1966" s="979" t="s">
        <v>608</v>
      </c>
      <c r="D1966" s="979">
        <v>4</v>
      </c>
      <c r="E1966" s="979">
        <v>2262</v>
      </c>
      <c r="F1966" s="979" t="s">
        <v>5456</v>
      </c>
      <c r="G1966" s="979" t="s">
        <v>5457</v>
      </c>
      <c r="H1966" s="979">
        <v>1385266</v>
      </c>
      <c r="I1966" s="979">
        <v>0</v>
      </c>
      <c r="J1966" s="979">
        <v>0</v>
      </c>
      <c r="K1966" s="979">
        <v>0</v>
      </c>
      <c r="L1966" s="979">
        <v>0</v>
      </c>
      <c r="M1966" s="979">
        <v>599</v>
      </c>
    </row>
    <row r="1967" spans="1:13" ht="15">
      <c r="A1967" s="979" t="s">
        <v>3721</v>
      </c>
      <c r="B1967" s="1040" t="str">
        <f>CONCATENATE(LEFT(RIGHT(CONCATENATE("000",IFAData_TEA_1617!A1967),6),3),"-",(RIGHT(RIGHT(CONCATENATE("000",IFAData_TEA_1617!A1967),6),3)))</f>
        <v>214-903</v>
      </c>
      <c r="C1967" s="979" t="s">
        <v>608</v>
      </c>
      <c r="D1967" s="979">
        <v>4</v>
      </c>
      <c r="E1967" s="979">
        <v>2262</v>
      </c>
      <c r="F1967" s="979" t="s">
        <v>5456</v>
      </c>
      <c r="G1967" s="979" t="s">
        <v>5456</v>
      </c>
      <c r="H1967" s="979">
        <v>1385266</v>
      </c>
      <c r="I1967" s="979">
        <v>0</v>
      </c>
      <c r="J1967" s="979">
        <v>0</v>
      </c>
      <c r="K1967" s="979">
        <v>0</v>
      </c>
      <c r="L1967" s="979">
        <v>0</v>
      </c>
      <c r="M1967" s="979">
        <v>599</v>
      </c>
    </row>
    <row r="1968" spans="1:13" ht="15">
      <c r="A1968" s="979" t="s">
        <v>3721</v>
      </c>
      <c r="B1968" s="1040" t="str">
        <f>CONCATENATE(LEFT(RIGHT(CONCATENATE("000",IFAData_TEA_1617!A1968),6),3),"-",(RIGHT(RIGHT(CONCATENATE("000",IFAData_TEA_1617!A1968),6),3)))</f>
        <v>214-903</v>
      </c>
      <c r="C1968" s="979" t="s">
        <v>608</v>
      </c>
      <c r="D1968" s="979">
        <v>7</v>
      </c>
      <c r="E1968" s="979">
        <v>2260</v>
      </c>
      <c r="F1968" s="979" t="s">
        <v>5458</v>
      </c>
      <c r="G1968" s="979" t="s">
        <v>5458</v>
      </c>
      <c r="H1968" s="979">
        <v>816105</v>
      </c>
      <c r="I1968" s="979">
        <v>0</v>
      </c>
      <c r="J1968" s="979">
        <v>0</v>
      </c>
      <c r="K1968" s="979">
        <v>0</v>
      </c>
      <c r="L1968" s="979">
        <v>0</v>
      </c>
      <c r="M1968" s="979">
        <v>599</v>
      </c>
    </row>
    <row r="1969" spans="1:13" ht="15">
      <c r="A1969" s="979" t="s">
        <v>3721</v>
      </c>
      <c r="B1969" s="1040" t="str">
        <f>CONCATENATE(LEFT(RIGHT(CONCATENATE("000",IFAData_TEA_1617!A1969),6),3),"-",(RIGHT(RIGHT(CONCATENATE("000",IFAData_TEA_1617!A1969),6),3)))</f>
        <v>214-903</v>
      </c>
      <c r="C1969" s="979" t="s">
        <v>608</v>
      </c>
      <c r="D1969" s="979">
        <v>9</v>
      </c>
      <c r="E1969" s="979">
        <v>2261</v>
      </c>
      <c r="F1969" s="979" t="s">
        <v>5463</v>
      </c>
      <c r="G1969" s="979" t="s">
        <v>5463</v>
      </c>
      <c r="H1969" s="979">
        <v>1016430</v>
      </c>
      <c r="I1969" s="979">
        <v>400200</v>
      </c>
      <c r="J1969" s="979">
        <v>0.42889293752009433</v>
      </c>
      <c r="K1969" s="979">
        <v>435939.64848354948</v>
      </c>
      <c r="L1969" s="979">
        <v>400200</v>
      </c>
      <c r="M1969" s="979">
        <v>599</v>
      </c>
    </row>
    <row r="1970" spans="1:13" ht="15">
      <c r="A1970" s="979" t="s">
        <v>3721</v>
      </c>
      <c r="B1970" s="1040" t="str">
        <f>CONCATENATE(LEFT(RIGHT(CONCATENATE("000",IFAData_TEA_1617!A1970),6),3),"-",(RIGHT(RIGHT(CONCATENATE("000",IFAData_TEA_1617!A1970),6),3)))</f>
        <v>214-903</v>
      </c>
      <c r="C1970" s="979" t="s">
        <v>608</v>
      </c>
      <c r="D1970" s="979">
        <v>9</v>
      </c>
      <c r="E1970" s="979">
        <v>2261</v>
      </c>
      <c r="F1970" s="979" t="s">
        <v>5463</v>
      </c>
      <c r="G1970" s="979" t="s">
        <v>6537</v>
      </c>
      <c r="H1970" s="979">
        <v>1016430</v>
      </c>
      <c r="I1970" s="979">
        <v>532900</v>
      </c>
      <c r="J1970" s="979">
        <v>0.57110706247990572</v>
      </c>
      <c r="K1970" s="979">
        <v>580490.35151645052</v>
      </c>
      <c r="L1970" s="979">
        <v>532900</v>
      </c>
      <c r="M1970" s="979">
        <v>599</v>
      </c>
    </row>
    <row r="1971" spans="1:13" ht="15">
      <c r="A1971" s="979" t="s">
        <v>3722</v>
      </c>
      <c r="B1971" s="1040" t="str">
        <f>CONCATENATE(LEFT(RIGHT(CONCATENATE("000",IFAData_TEA_1617!A1971),6),3),"-",(RIGHT(RIGHT(CONCATENATE("000",IFAData_TEA_1617!A1971),6),3)))</f>
        <v>220-901</v>
      </c>
      <c r="C1971" s="979" t="s">
        <v>2421</v>
      </c>
      <c r="D1971" s="979">
        <v>1</v>
      </c>
      <c r="E1971" s="979">
        <v>1583</v>
      </c>
      <c r="F1971" s="979" t="s">
        <v>5465</v>
      </c>
      <c r="G1971" s="979" t="s">
        <v>5465</v>
      </c>
      <c r="H1971" s="979">
        <v>5173531</v>
      </c>
      <c r="I1971" s="979">
        <v>0</v>
      </c>
      <c r="J1971" s="979">
        <v>0</v>
      </c>
      <c r="K1971" s="979">
        <v>0</v>
      </c>
      <c r="L1971" s="979">
        <v>0</v>
      </c>
      <c r="M1971" s="979">
        <v>599</v>
      </c>
    </row>
    <row r="1972" spans="1:13" ht="15">
      <c r="A1972" s="979" t="s">
        <v>3722</v>
      </c>
      <c r="B1972" s="1040" t="str">
        <f>CONCATENATE(LEFT(RIGHT(CONCATENATE("000",IFAData_TEA_1617!A1972),6),3),"-",(RIGHT(RIGHT(CONCATENATE("000",IFAData_TEA_1617!A1972),6),3)))</f>
        <v>220-901</v>
      </c>
      <c r="C1972" s="979" t="s">
        <v>2421</v>
      </c>
      <c r="D1972" s="979">
        <v>1</v>
      </c>
      <c r="E1972" s="979">
        <v>1583</v>
      </c>
      <c r="F1972" s="979" t="s">
        <v>5465</v>
      </c>
      <c r="G1972" s="979" t="s">
        <v>5468</v>
      </c>
      <c r="H1972" s="979">
        <v>5173531</v>
      </c>
      <c r="I1972" s="979">
        <v>0</v>
      </c>
      <c r="J1972" s="979">
        <v>0</v>
      </c>
      <c r="K1972" s="979">
        <v>0</v>
      </c>
      <c r="L1972" s="979">
        <v>0</v>
      </c>
      <c r="M1972" s="979">
        <v>599</v>
      </c>
    </row>
    <row r="1973" spans="1:13" ht="15">
      <c r="A1973" s="979" t="s">
        <v>3722</v>
      </c>
      <c r="B1973" s="1040" t="str">
        <f>CONCATENATE(LEFT(RIGHT(CONCATENATE("000",IFAData_TEA_1617!A1973),6),3),"-",(RIGHT(RIGHT(CONCATENATE("000",IFAData_TEA_1617!A1973),6),3)))</f>
        <v>220-901</v>
      </c>
      <c r="C1973" s="979" t="s">
        <v>2421</v>
      </c>
      <c r="D1973" s="979">
        <v>1</v>
      </c>
      <c r="E1973" s="979">
        <v>1583</v>
      </c>
      <c r="F1973" s="979" t="s">
        <v>5465</v>
      </c>
      <c r="G1973" s="979" t="s">
        <v>5466</v>
      </c>
      <c r="H1973" s="979">
        <v>5173531</v>
      </c>
      <c r="I1973" s="979">
        <v>0</v>
      </c>
      <c r="J1973" s="979">
        <v>0</v>
      </c>
      <c r="K1973" s="979">
        <v>0</v>
      </c>
      <c r="L1973" s="979">
        <v>0</v>
      </c>
      <c r="M1973" s="979">
        <v>599</v>
      </c>
    </row>
    <row r="1974" spans="1:13" ht="15">
      <c r="A1974" s="979" t="s">
        <v>3722</v>
      </c>
      <c r="B1974" s="1040" t="str">
        <f>CONCATENATE(LEFT(RIGHT(CONCATENATE("000",IFAData_TEA_1617!A1974),6),3),"-",(RIGHT(RIGHT(CONCATENATE("000",IFAData_TEA_1617!A1974),6),3)))</f>
        <v>220-901</v>
      </c>
      <c r="C1974" s="979" t="s">
        <v>2421</v>
      </c>
      <c r="D1974" s="979">
        <v>1</v>
      </c>
      <c r="E1974" s="979">
        <v>1583</v>
      </c>
      <c r="F1974" s="979" t="s">
        <v>5465</v>
      </c>
      <c r="G1974" s="979" t="s">
        <v>5467</v>
      </c>
      <c r="H1974" s="979">
        <v>5173531</v>
      </c>
      <c r="I1974" s="979">
        <v>334362</v>
      </c>
      <c r="J1974" s="979">
        <v>1</v>
      </c>
      <c r="K1974" s="979">
        <v>5173531</v>
      </c>
      <c r="L1974" s="979">
        <v>334362</v>
      </c>
      <c r="M1974" s="979">
        <v>599</v>
      </c>
    </row>
    <row r="1975" spans="1:13" ht="15">
      <c r="A1975" s="979" t="s">
        <v>3723</v>
      </c>
      <c r="B1975" s="1040" t="str">
        <f>CONCATENATE(LEFT(RIGHT(CONCATENATE("000",IFAData_TEA_1617!A1975),6),3),"-",(RIGHT(RIGHT(CONCATENATE("000",IFAData_TEA_1617!A1975),6),3)))</f>
        <v>220-902</v>
      </c>
      <c r="C1975" s="979" t="s">
        <v>797</v>
      </c>
      <c r="D1975" s="979">
        <v>9</v>
      </c>
      <c r="E1975" s="979">
        <v>1610</v>
      </c>
      <c r="F1975" s="979" t="s">
        <v>5472</v>
      </c>
      <c r="G1975" s="979" t="s">
        <v>6326</v>
      </c>
      <c r="H1975" s="979">
        <v>1653470</v>
      </c>
      <c r="I1975" s="979">
        <v>2335695</v>
      </c>
      <c r="J1975" s="979">
        <v>0.7086926311829066</v>
      </c>
      <c r="K1975" s="979">
        <v>1171802.0048820006</v>
      </c>
      <c r="L1975" s="979">
        <v>1171802.0048820006</v>
      </c>
      <c r="M1975" s="979">
        <v>599</v>
      </c>
    </row>
    <row r="1976" spans="1:13" ht="15">
      <c r="A1976" s="979" t="s">
        <v>3723</v>
      </c>
      <c r="B1976" s="1040" t="str">
        <f>CONCATENATE(LEFT(RIGHT(CONCATENATE("000",IFAData_TEA_1617!A1976),6),3),"-",(RIGHT(RIGHT(CONCATENATE("000",IFAData_TEA_1617!A1976),6),3)))</f>
        <v>220-902</v>
      </c>
      <c r="C1976" s="979" t="s">
        <v>797</v>
      </c>
      <c r="D1976" s="979">
        <v>9</v>
      </c>
      <c r="E1976" s="979">
        <v>1610</v>
      </c>
      <c r="F1976" s="979" t="s">
        <v>5472</v>
      </c>
      <c r="G1976" s="979" t="s">
        <v>5472</v>
      </c>
      <c r="H1976" s="979">
        <v>1653470</v>
      </c>
      <c r="I1976" s="979">
        <v>960085</v>
      </c>
      <c r="J1976" s="979">
        <v>0.29130736881709335</v>
      </c>
      <c r="K1976" s="979">
        <v>481667.99511799932</v>
      </c>
      <c r="L1976" s="979">
        <v>481667.99511799932</v>
      </c>
      <c r="M1976" s="979">
        <v>599</v>
      </c>
    </row>
    <row r="1977" spans="1:13" ht="15">
      <c r="A1977" s="979" t="s">
        <v>3723</v>
      </c>
      <c r="B1977" s="1040" t="str">
        <f>CONCATENATE(LEFT(RIGHT(CONCATENATE("000",IFAData_TEA_1617!A1977),6),3),"-",(RIGHT(RIGHT(CONCATENATE("000",IFAData_TEA_1617!A1977),6),3)))</f>
        <v>220-902</v>
      </c>
      <c r="C1977" s="979" t="s">
        <v>797</v>
      </c>
      <c r="D1977" s="979">
        <v>1</v>
      </c>
      <c r="E1977" s="979">
        <v>1611</v>
      </c>
      <c r="F1977" s="979" t="s">
        <v>5474</v>
      </c>
      <c r="G1977" s="979" t="s">
        <v>5474</v>
      </c>
      <c r="H1977" s="979">
        <v>1775156</v>
      </c>
      <c r="I1977" s="979">
        <v>0</v>
      </c>
      <c r="J1977" s="979">
        <v>0</v>
      </c>
      <c r="K1977" s="979"/>
      <c r="L1977" s="979">
        <v>0</v>
      </c>
      <c r="M1977" s="979">
        <v>599</v>
      </c>
    </row>
    <row r="1978" spans="1:13" ht="15">
      <c r="A1978" s="979" t="s">
        <v>3723</v>
      </c>
      <c r="B1978" s="1040" t="str">
        <f>CONCATENATE(LEFT(RIGHT(CONCATENATE("000",IFAData_TEA_1617!A1978),6),3),"-",(RIGHT(RIGHT(CONCATENATE("000",IFAData_TEA_1617!A1978),6),3)))</f>
        <v>220-902</v>
      </c>
      <c r="C1978" s="979" t="s">
        <v>797</v>
      </c>
      <c r="D1978" s="979">
        <v>1</v>
      </c>
      <c r="E1978" s="979">
        <v>1609</v>
      </c>
      <c r="F1978" s="979" t="s">
        <v>5469</v>
      </c>
      <c r="G1978" s="979" t="s">
        <v>5469</v>
      </c>
      <c r="H1978" s="979">
        <v>796895</v>
      </c>
      <c r="I1978" s="979">
        <v>0</v>
      </c>
      <c r="J1978" s="979">
        <v>0</v>
      </c>
      <c r="K1978" s="979"/>
      <c r="L1978" s="979">
        <v>0</v>
      </c>
      <c r="M1978" s="979">
        <v>599</v>
      </c>
    </row>
    <row r="1979" spans="1:13" ht="15">
      <c r="A1979" s="979" t="s">
        <v>3723</v>
      </c>
      <c r="B1979" s="1040" t="str">
        <f>CONCATENATE(LEFT(RIGHT(CONCATENATE("000",IFAData_TEA_1617!A1979),6),3),"-",(RIGHT(RIGHT(CONCATENATE("000",IFAData_TEA_1617!A1979),6),3)))</f>
        <v>220-902</v>
      </c>
      <c r="C1979" s="979" t="s">
        <v>797</v>
      </c>
      <c r="D1979" s="979">
        <v>9</v>
      </c>
      <c r="E1979" s="979">
        <v>1612</v>
      </c>
      <c r="F1979" s="979" t="s">
        <v>5476</v>
      </c>
      <c r="G1979" s="979" t="s">
        <v>5477</v>
      </c>
      <c r="H1979" s="979">
        <v>3559977</v>
      </c>
      <c r="I1979" s="979">
        <v>1832841</v>
      </c>
      <c r="J1979" s="979">
        <v>1</v>
      </c>
      <c r="K1979" s="979">
        <v>3559977</v>
      </c>
      <c r="L1979" s="979">
        <v>1832841</v>
      </c>
      <c r="M1979" s="979">
        <v>599</v>
      </c>
    </row>
    <row r="1980" spans="1:13" ht="15">
      <c r="A1980" s="979" t="s">
        <v>3723</v>
      </c>
      <c r="B1980" s="1040" t="str">
        <f>CONCATENATE(LEFT(RIGHT(CONCATENATE("000",IFAData_TEA_1617!A1980),6),3),"-",(RIGHT(RIGHT(CONCATENATE("000",IFAData_TEA_1617!A1980),6),3)))</f>
        <v>220-902</v>
      </c>
      <c r="C1980" s="979" t="s">
        <v>797</v>
      </c>
      <c r="D1980" s="979">
        <v>9</v>
      </c>
      <c r="E1980" s="979">
        <v>1612</v>
      </c>
      <c r="F1980" s="979" t="s">
        <v>5476</v>
      </c>
      <c r="G1980" s="979" t="s">
        <v>5476</v>
      </c>
      <c r="H1980" s="979">
        <v>3559977</v>
      </c>
      <c r="I1980" s="979">
        <v>0</v>
      </c>
      <c r="J1980" s="979">
        <v>0</v>
      </c>
      <c r="K1980" s="979">
        <v>0</v>
      </c>
      <c r="L1980" s="979">
        <v>0</v>
      </c>
      <c r="M1980" s="979">
        <v>599</v>
      </c>
    </row>
    <row r="1981" spans="1:13" ht="15">
      <c r="A1981" s="979" t="s">
        <v>3724</v>
      </c>
      <c r="B1981" s="1040" t="str">
        <f>CONCATENATE(LEFT(RIGHT(CONCATENATE("000",IFAData_TEA_1617!A1981),6),3),"-",(RIGHT(RIGHT(CONCATENATE("000",IFAData_TEA_1617!A1981),6),3)))</f>
        <v>220-904</v>
      </c>
      <c r="C1981" s="979" t="s">
        <v>2568</v>
      </c>
      <c r="D1981" s="979">
        <v>9</v>
      </c>
      <c r="E1981" s="979">
        <v>1804</v>
      </c>
      <c r="F1981" s="979" t="s">
        <v>5478</v>
      </c>
      <c r="G1981" s="979" t="s">
        <v>5479</v>
      </c>
      <c r="H1981" s="979">
        <v>784151</v>
      </c>
      <c r="I1981" s="979">
        <v>386512</v>
      </c>
      <c r="J1981" s="979">
        <v>0.47989530784980056</v>
      </c>
      <c r="K1981" s="979">
        <v>376310.38554572896</v>
      </c>
      <c r="L1981" s="979">
        <v>376310.38554572896</v>
      </c>
      <c r="M1981" s="979">
        <v>599</v>
      </c>
    </row>
    <row r="1982" spans="1:13" ht="15">
      <c r="A1982" s="979" t="s">
        <v>3724</v>
      </c>
      <c r="B1982" s="1040" t="str">
        <f>CONCATENATE(LEFT(RIGHT(CONCATENATE("000",IFAData_TEA_1617!A1982),6),3),"-",(RIGHT(RIGHT(CONCATENATE("000",IFAData_TEA_1617!A1982),6),3)))</f>
        <v>220-904</v>
      </c>
      <c r="C1982" s="979" t="s">
        <v>2568</v>
      </c>
      <c r="D1982" s="979">
        <v>9</v>
      </c>
      <c r="E1982" s="979">
        <v>1804</v>
      </c>
      <c r="F1982" s="979" t="s">
        <v>5478</v>
      </c>
      <c r="G1982" s="979" t="s">
        <v>5478</v>
      </c>
      <c r="H1982" s="979">
        <v>784151</v>
      </c>
      <c r="I1982" s="979">
        <v>344573</v>
      </c>
      <c r="J1982" s="979">
        <v>0.42782362749857528</v>
      </c>
      <c r="K1982" s="979">
        <v>335478.32532663533</v>
      </c>
      <c r="L1982" s="979">
        <v>335478.32532663533</v>
      </c>
      <c r="M1982" s="979">
        <v>599</v>
      </c>
    </row>
    <row r="1983" spans="1:13" ht="15">
      <c r="A1983" s="979" t="s">
        <v>3724</v>
      </c>
      <c r="B1983" s="1040" t="str">
        <f>CONCATENATE(LEFT(RIGHT(CONCATENATE("000",IFAData_TEA_1617!A1983),6),3),"-",(RIGHT(RIGHT(CONCATENATE("000",IFAData_TEA_1617!A1983),6),3)))</f>
        <v>220-904</v>
      </c>
      <c r="C1983" s="979" t="s">
        <v>2568</v>
      </c>
      <c r="D1983" s="979">
        <v>9</v>
      </c>
      <c r="E1983" s="979">
        <v>1803</v>
      </c>
      <c r="F1983" s="979" t="s">
        <v>5480</v>
      </c>
      <c r="G1983" s="979" t="s">
        <v>5480</v>
      </c>
      <c r="H1983" s="979">
        <v>357599</v>
      </c>
      <c r="I1983" s="979">
        <v>1254107</v>
      </c>
      <c r="J1983" s="979">
        <v>1</v>
      </c>
      <c r="K1983" s="979">
        <v>357599</v>
      </c>
      <c r="L1983" s="979">
        <v>357599</v>
      </c>
      <c r="M1983" s="979">
        <v>599</v>
      </c>
    </row>
    <row r="1984" spans="1:13" ht="15">
      <c r="A1984" s="979" t="s">
        <v>3724</v>
      </c>
      <c r="B1984" s="1040" t="str">
        <f>CONCATENATE(LEFT(RIGHT(CONCATENATE("000",IFAData_TEA_1617!A1984),6),3),"-",(RIGHT(RIGHT(CONCATENATE("000",IFAData_TEA_1617!A1984),6),3)))</f>
        <v>220-904</v>
      </c>
      <c r="C1984" s="979" t="s">
        <v>2568</v>
      </c>
      <c r="D1984" s="979">
        <v>9</v>
      </c>
      <c r="E1984" s="979">
        <v>1804</v>
      </c>
      <c r="F1984" s="979" t="s">
        <v>5478</v>
      </c>
      <c r="G1984" s="979" t="s">
        <v>6327</v>
      </c>
      <c r="H1984" s="979">
        <v>784151</v>
      </c>
      <c r="I1984" s="979">
        <v>74324</v>
      </c>
      <c r="J1984" s="979">
        <v>9.2281064651624209E-2</v>
      </c>
      <c r="K1984" s="979">
        <v>72362.28912763577</v>
      </c>
      <c r="L1984" s="979">
        <v>72362.28912763577</v>
      </c>
      <c r="M1984" s="979">
        <v>599</v>
      </c>
    </row>
    <row r="1985" spans="1:13" ht="15">
      <c r="A1985" s="979" t="s">
        <v>3725</v>
      </c>
      <c r="B1985" s="1040" t="str">
        <f>CONCATENATE(LEFT(RIGHT(CONCATENATE("000",IFAData_TEA_1617!A1985),6),3),"-",(RIGHT(RIGHT(CONCATENATE("000",IFAData_TEA_1617!A1985),6),3)))</f>
        <v>220-907</v>
      </c>
      <c r="C1985" s="979" t="s">
        <v>412</v>
      </c>
      <c r="D1985" s="979">
        <v>10</v>
      </c>
      <c r="E1985" s="979">
        <v>1951</v>
      </c>
      <c r="F1985" s="979" t="s">
        <v>5494</v>
      </c>
      <c r="G1985" s="979" t="s">
        <v>6328</v>
      </c>
      <c r="H1985" s="979">
        <v>6801638</v>
      </c>
      <c r="I1985" s="979">
        <v>4927181</v>
      </c>
      <c r="J1985" s="979">
        <v>0.70474389500660017</v>
      </c>
      <c r="K1985" s="979">
        <v>4793412.8565449016</v>
      </c>
      <c r="L1985" s="979">
        <v>4793412.8565449016</v>
      </c>
      <c r="M1985" s="979">
        <v>599</v>
      </c>
    </row>
    <row r="1986" spans="1:13" ht="15">
      <c r="A1986" s="979" t="s">
        <v>3725</v>
      </c>
      <c r="B1986" s="1040" t="str">
        <f>CONCATENATE(LEFT(RIGHT(CONCATENATE("000",IFAData_TEA_1617!A1986),6),3),"-",(RIGHT(RIGHT(CONCATENATE("000",IFAData_TEA_1617!A1986),6),3)))</f>
        <v>220-907</v>
      </c>
      <c r="C1986" s="979" t="s">
        <v>412</v>
      </c>
      <c r="D1986" s="979">
        <v>2</v>
      </c>
      <c r="E1986" s="979">
        <v>1950</v>
      </c>
      <c r="F1986" s="979" t="s">
        <v>5481</v>
      </c>
      <c r="G1986" s="979" t="s">
        <v>6329</v>
      </c>
      <c r="H1986" s="979">
        <v>1280601</v>
      </c>
      <c r="I1986" s="979">
        <v>135919</v>
      </c>
      <c r="J1986" s="979">
        <v>5.0463295219503213E-2</v>
      </c>
      <c r="K1986" s="979">
        <v>64623.346321391036</v>
      </c>
      <c r="L1986" s="979">
        <v>64623.346321391036</v>
      </c>
      <c r="M1986" s="979">
        <v>599</v>
      </c>
    </row>
    <row r="1987" spans="1:13" ht="15">
      <c r="A1987" s="979" t="s">
        <v>3725</v>
      </c>
      <c r="B1987" s="1040" t="str">
        <f>CONCATENATE(LEFT(RIGHT(CONCATENATE("000",IFAData_TEA_1617!A1987),6),3),"-",(RIGHT(RIGHT(CONCATENATE("000",IFAData_TEA_1617!A1987),6),3)))</f>
        <v>220-907</v>
      </c>
      <c r="C1987" s="979" t="s">
        <v>412</v>
      </c>
      <c r="D1987" s="979">
        <v>2</v>
      </c>
      <c r="E1987" s="979">
        <v>1950</v>
      </c>
      <c r="F1987" s="979" t="s">
        <v>5481</v>
      </c>
      <c r="G1987" s="979" t="s">
        <v>5486</v>
      </c>
      <c r="H1987" s="979">
        <v>1280601</v>
      </c>
      <c r="I1987" s="979">
        <v>322996</v>
      </c>
      <c r="J1987" s="979">
        <v>0.11992026503078053</v>
      </c>
      <c r="K1987" s="979">
        <v>153570.01131868258</v>
      </c>
      <c r="L1987" s="979">
        <v>153570.01131868258</v>
      </c>
      <c r="M1987" s="979">
        <v>599</v>
      </c>
    </row>
    <row r="1988" spans="1:13" ht="15">
      <c r="A1988" s="979" t="s">
        <v>3725</v>
      </c>
      <c r="B1988" s="1040" t="str">
        <f>CONCATENATE(LEFT(RIGHT(CONCATENATE("000",IFAData_TEA_1617!A1988),6),3),"-",(RIGHT(RIGHT(CONCATENATE("000",IFAData_TEA_1617!A1988),6),3)))</f>
        <v>220-907</v>
      </c>
      <c r="C1988" s="979" t="s">
        <v>412</v>
      </c>
      <c r="D1988" s="979">
        <v>2</v>
      </c>
      <c r="E1988" s="979">
        <v>1950</v>
      </c>
      <c r="F1988" s="979" t="s">
        <v>5481</v>
      </c>
      <c r="G1988" s="979" t="s">
        <v>5493</v>
      </c>
      <c r="H1988" s="979">
        <v>1280601</v>
      </c>
      <c r="I1988" s="979">
        <v>395607</v>
      </c>
      <c r="J1988" s="979">
        <v>0.14687889722483249</v>
      </c>
      <c r="K1988" s="979">
        <v>188093.26266501771</v>
      </c>
      <c r="L1988" s="979">
        <v>188093.26266501771</v>
      </c>
      <c r="M1988" s="979">
        <v>599</v>
      </c>
    </row>
    <row r="1989" spans="1:13" ht="15">
      <c r="A1989" s="979" t="s">
        <v>3725</v>
      </c>
      <c r="B1989" s="1040" t="str">
        <f>CONCATENATE(LEFT(RIGHT(CONCATENATE("000",IFAData_TEA_1617!A1989),6),3),"-",(RIGHT(RIGHT(CONCATENATE("000",IFAData_TEA_1617!A1989),6),3)))</f>
        <v>220-907</v>
      </c>
      <c r="C1989" s="979" t="s">
        <v>412</v>
      </c>
      <c r="D1989" s="979">
        <v>2</v>
      </c>
      <c r="E1989" s="979">
        <v>1950</v>
      </c>
      <c r="F1989" s="979" t="s">
        <v>5481</v>
      </c>
      <c r="G1989" s="979" t="s">
        <v>5492</v>
      </c>
      <c r="H1989" s="979">
        <v>1280601</v>
      </c>
      <c r="I1989" s="979">
        <v>0</v>
      </c>
      <c r="J1989" s="979">
        <v>0</v>
      </c>
      <c r="K1989" s="979">
        <v>0</v>
      </c>
      <c r="L1989" s="979">
        <v>0</v>
      </c>
      <c r="M1989" s="979">
        <v>599</v>
      </c>
    </row>
    <row r="1990" spans="1:13" ht="15">
      <c r="A1990" s="979" t="s">
        <v>3725</v>
      </c>
      <c r="B1990" s="1040" t="str">
        <f>CONCATENATE(LEFT(RIGHT(CONCATENATE("000",IFAData_TEA_1617!A1990),6),3),"-",(RIGHT(RIGHT(CONCATENATE("000",IFAData_TEA_1617!A1990),6),3)))</f>
        <v>220-907</v>
      </c>
      <c r="C1990" s="979" t="s">
        <v>412</v>
      </c>
      <c r="D1990" s="979">
        <v>2</v>
      </c>
      <c r="E1990" s="979">
        <v>1950</v>
      </c>
      <c r="F1990" s="979" t="s">
        <v>5481</v>
      </c>
      <c r="G1990" s="979" t="s">
        <v>5485</v>
      </c>
      <c r="H1990" s="979">
        <v>1280601</v>
      </c>
      <c r="I1990" s="979">
        <v>0</v>
      </c>
      <c r="J1990" s="979">
        <v>0</v>
      </c>
      <c r="K1990" s="979">
        <v>0</v>
      </c>
      <c r="L1990" s="979">
        <v>0</v>
      </c>
      <c r="M1990" s="979">
        <v>599</v>
      </c>
    </row>
    <row r="1991" spans="1:13" ht="15">
      <c r="A1991" s="979" t="s">
        <v>3725</v>
      </c>
      <c r="B1991" s="1040" t="str">
        <f>CONCATENATE(LEFT(RIGHT(CONCATENATE("000",IFAData_TEA_1617!A1991),6),3),"-",(RIGHT(RIGHT(CONCATENATE("000",IFAData_TEA_1617!A1991),6),3)))</f>
        <v>220-907</v>
      </c>
      <c r="C1991" s="979" t="s">
        <v>412</v>
      </c>
      <c r="D1991" s="979">
        <v>2</v>
      </c>
      <c r="E1991" s="979">
        <v>1950</v>
      </c>
      <c r="F1991" s="979" t="s">
        <v>5481</v>
      </c>
      <c r="G1991" s="979" t="s">
        <v>5482</v>
      </c>
      <c r="H1991" s="979">
        <v>1280601</v>
      </c>
      <c r="I1991" s="979">
        <v>0</v>
      </c>
      <c r="J1991" s="979">
        <v>0</v>
      </c>
      <c r="K1991" s="979">
        <v>0</v>
      </c>
      <c r="L1991" s="979">
        <v>0</v>
      </c>
      <c r="M1991" s="979">
        <v>599</v>
      </c>
    </row>
    <row r="1992" spans="1:13" ht="15">
      <c r="A1992" s="979" t="s">
        <v>3725</v>
      </c>
      <c r="B1992" s="1040" t="str">
        <f>CONCATENATE(LEFT(RIGHT(CONCATENATE("000",IFAData_TEA_1617!A1992),6),3),"-",(RIGHT(RIGHT(CONCATENATE("000",IFAData_TEA_1617!A1992),6),3)))</f>
        <v>220-907</v>
      </c>
      <c r="C1992" s="979" t="s">
        <v>412</v>
      </c>
      <c r="D1992" s="979">
        <v>2</v>
      </c>
      <c r="E1992" s="979">
        <v>1950</v>
      </c>
      <c r="F1992" s="979" t="s">
        <v>5481</v>
      </c>
      <c r="G1992" s="979" t="s">
        <v>5491</v>
      </c>
      <c r="H1992" s="979">
        <v>1280601</v>
      </c>
      <c r="I1992" s="979">
        <v>0</v>
      </c>
      <c r="J1992" s="979">
        <v>0</v>
      </c>
      <c r="K1992" s="979">
        <v>0</v>
      </c>
      <c r="L1992" s="979">
        <v>0</v>
      </c>
      <c r="M1992" s="979">
        <v>599</v>
      </c>
    </row>
    <row r="1993" spans="1:13" ht="15">
      <c r="A1993" s="979" t="s">
        <v>3725</v>
      </c>
      <c r="B1993" s="1040" t="str">
        <f>CONCATENATE(LEFT(RIGHT(CONCATENATE("000",IFAData_TEA_1617!A1993),6),3),"-",(RIGHT(RIGHT(CONCATENATE("000",IFAData_TEA_1617!A1993),6),3)))</f>
        <v>220-907</v>
      </c>
      <c r="C1993" s="979" t="s">
        <v>412</v>
      </c>
      <c r="D1993" s="979">
        <v>2</v>
      </c>
      <c r="E1993" s="979">
        <v>1950</v>
      </c>
      <c r="F1993" s="979" t="s">
        <v>5481</v>
      </c>
      <c r="G1993" s="979" t="s">
        <v>5490</v>
      </c>
      <c r="H1993" s="979">
        <v>1280601</v>
      </c>
      <c r="I1993" s="979">
        <v>0</v>
      </c>
      <c r="J1993" s="979">
        <v>0</v>
      </c>
      <c r="K1993" s="979">
        <v>0</v>
      </c>
      <c r="L1993" s="979">
        <v>0</v>
      </c>
      <c r="M1993" s="979">
        <v>599</v>
      </c>
    </row>
    <row r="1994" spans="1:13" ht="15">
      <c r="A1994" s="979" t="s">
        <v>3725</v>
      </c>
      <c r="B1994" s="1040" t="str">
        <f>CONCATENATE(LEFT(RIGHT(CONCATENATE("000",IFAData_TEA_1617!A1994),6),3),"-",(RIGHT(RIGHT(CONCATENATE("000",IFAData_TEA_1617!A1994),6),3)))</f>
        <v>220-907</v>
      </c>
      <c r="C1994" s="979" t="s">
        <v>412</v>
      </c>
      <c r="D1994" s="979">
        <v>2</v>
      </c>
      <c r="E1994" s="979">
        <v>1950</v>
      </c>
      <c r="F1994" s="979" t="s">
        <v>5481</v>
      </c>
      <c r="G1994" s="979" t="s">
        <v>5489</v>
      </c>
      <c r="H1994" s="979">
        <v>1280601</v>
      </c>
      <c r="I1994" s="979">
        <v>0</v>
      </c>
      <c r="J1994" s="979">
        <v>0</v>
      </c>
      <c r="K1994" s="979">
        <v>0</v>
      </c>
      <c r="L1994" s="979">
        <v>0</v>
      </c>
      <c r="M1994" s="979">
        <v>599</v>
      </c>
    </row>
    <row r="1995" spans="1:13" ht="15">
      <c r="A1995" s="979" t="s">
        <v>3725</v>
      </c>
      <c r="B1995" s="1040" t="str">
        <f>CONCATENATE(LEFT(RIGHT(CONCATENATE("000",IFAData_TEA_1617!A1995),6),3),"-",(RIGHT(RIGHT(CONCATENATE("000",IFAData_TEA_1617!A1995),6),3)))</f>
        <v>220-907</v>
      </c>
      <c r="C1995" s="979" t="s">
        <v>412</v>
      </c>
      <c r="D1995" s="979">
        <v>2</v>
      </c>
      <c r="E1995" s="979">
        <v>1950</v>
      </c>
      <c r="F1995" s="979" t="s">
        <v>5481</v>
      </c>
      <c r="G1995" s="979" t="s">
        <v>5484</v>
      </c>
      <c r="H1995" s="979">
        <v>1280601</v>
      </c>
      <c r="I1995" s="979">
        <v>0</v>
      </c>
      <c r="J1995" s="979">
        <v>0</v>
      </c>
      <c r="K1995" s="979">
        <v>0</v>
      </c>
      <c r="L1995" s="979">
        <v>0</v>
      </c>
      <c r="M1995" s="979">
        <v>599</v>
      </c>
    </row>
    <row r="1996" spans="1:13" ht="15">
      <c r="A1996" s="979" t="s">
        <v>3725</v>
      </c>
      <c r="B1996" s="1040" t="str">
        <f>CONCATENATE(LEFT(RIGHT(CONCATENATE("000",IFAData_TEA_1617!A1996),6),3),"-",(RIGHT(RIGHT(CONCATENATE("000",IFAData_TEA_1617!A1996),6),3)))</f>
        <v>220-907</v>
      </c>
      <c r="C1996" s="979" t="s">
        <v>412</v>
      </c>
      <c r="D1996" s="979">
        <v>2</v>
      </c>
      <c r="E1996" s="979">
        <v>1950</v>
      </c>
      <c r="F1996" s="979" t="s">
        <v>5481</v>
      </c>
      <c r="G1996" s="979" t="s">
        <v>5483</v>
      </c>
      <c r="H1996" s="979">
        <v>1280601</v>
      </c>
      <c r="I1996" s="979">
        <v>0</v>
      </c>
      <c r="J1996" s="979">
        <v>0</v>
      </c>
      <c r="K1996" s="979">
        <v>0</v>
      </c>
      <c r="L1996" s="979">
        <v>0</v>
      </c>
      <c r="M1996" s="979">
        <v>599</v>
      </c>
    </row>
    <row r="1997" spans="1:13" ht="15">
      <c r="A1997" s="979" t="s">
        <v>3725</v>
      </c>
      <c r="B1997" s="1040" t="str">
        <f>CONCATENATE(LEFT(RIGHT(CONCATENATE("000",IFAData_TEA_1617!A1997),6),3),"-",(RIGHT(RIGHT(CONCATENATE("000",IFAData_TEA_1617!A1997),6),3)))</f>
        <v>220-907</v>
      </c>
      <c r="C1997" s="979" t="s">
        <v>412</v>
      </c>
      <c r="D1997" s="979">
        <v>2</v>
      </c>
      <c r="E1997" s="979">
        <v>1950</v>
      </c>
      <c r="F1997" s="979" t="s">
        <v>5481</v>
      </c>
      <c r="G1997" s="979" t="s">
        <v>5488</v>
      </c>
      <c r="H1997" s="979">
        <v>1280601</v>
      </c>
      <c r="I1997" s="979">
        <v>476165</v>
      </c>
      <c r="J1997" s="979">
        <v>0.17678805000180067</v>
      </c>
      <c r="K1997" s="979">
        <v>226394.95362035595</v>
      </c>
      <c r="L1997" s="979">
        <v>226394.95362035595</v>
      </c>
      <c r="M1997" s="979">
        <v>599</v>
      </c>
    </row>
    <row r="1998" spans="1:13" ht="15">
      <c r="A1998" s="979" t="s">
        <v>3725</v>
      </c>
      <c r="B1998" s="1040" t="str">
        <f>CONCATENATE(LEFT(RIGHT(CONCATENATE("000",IFAData_TEA_1617!A1998),6),3),"-",(RIGHT(RIGHT(CONCATENATE("000",IFAData_TEA_1617!A1998),6),3)))</f>
        <v>220-907</v>
      </c>
      <c r="C1998" s="979" t="s">
        <v>412</v>
      </c>
      <c r="D1998" s="979">
        <v>10</v>
      </c>
      <c r="E1998" s="979">
        <v>1951</v>
      </c>
      <c r="F1998" s="979" t="s">
        <v>5494</v>
      </c>
      <c r="G1998" s="979" t="s">
        <v>5494</v>
      </c>
      <c r="H1998" s="979">
        <v>6801638</v>
      </c>
      <c r="I1998" s="979">
        <v>2064268</v>
      </c>
      <c r="J1998" s="979">
        <v>0.29525610499339977</v>
      </c>
      <c r="K1998" s="979">
        <v>2008225.1434550977</v>
      </c>
      <c r="L1998" s="979">
        <v>2008225.1434550977</v>
      </c>
      <c r="M1998" s="979">
        <v>599</v>
      </c>
    </row>
    <row r="1999" spans="1:13" ht="15">
      <c r="A1999" s="979" t="s">
        <v>3725</v>
      </c>
      <c r="B1999" s="1040" t="str">
        <f>CONCATENATE(LEFT(RIGHT(CONCATENATE("000",IFAData_TEA_1617!A1999),6),3),"-",(RIGHT(RIGHT(CONCATENATE("000",IFAData_TEA_1617!A1999),6),3)))</f>
        <v>220-907</v>
      </c>
      <c r="C1999" s="979" t="s">
        <v>412</v>
      </c>
      <c r="D1999" s="979">
        <v>2</v>
      </c>
      <c r="E1999" s="979">
        <v>1950</v>
      </c>
      <c r="F1999" s="979" t="s">
        <v>5481</v>
      </c>
      <c r="G1999" s="979" t="s">
        <v>5487</v>
      </c>
      <c r="H1999" s="979">
        <v>1280601</v>
      </c>
      <c r="I1999" s="979">
        <v>450925</v>
      </c>
      <c r="J1999" s="979">
        <v>0.16741707485233473</v>
      </c>
      <c r="K1999" s="979">
        <v>214394.4734729747</v>
      </c>
      <c r="L1999" s="979">
        <v>214394.4734729747</v>
      </c>
      <c r="M1999" s="979">
        <v>599</v>
      </c>
    </row>
    <row r="2000" spans="1:13" ht="15">
      <c r="A2000" s="979" t="s">
        <v>3725</v>
      </c>
      <c r="B2000" s="1040" t="str">
        <f>CONCATENATE(LEFT(RIGHT(CONCATENATE("000",IFAData_TEA_1617!A2000),6),3),"-",(RIGHT(RIGHT(CONCATENATE("000",IFAData_TEA_1617!A2000),6),3)))</f>
        <v>220-907</v>
      </c>
      <c r="C2000" s="979" t="s">
        <v>412</v>
      </c>
      <c r="D2000" s="979">
        <v>2</v>
      </c>
      <c r="E2000" s="979">
        <v>1950</v>
      </c>
      <c r="F2000" s="979" t="s">
        <v>5481</v>
      </c>
      <c r="G2000" s="979" t="s">
        <v>6538</v>
      </c>
      <c r="H2000" s="979">
        <v>1280601</v>
      </c>
      <c r="I2000" s="979">
        <v>905610</v>
      </c>
      <c r="J2000" s="979">
        <v>0.33623014283311609</v>
      </c>
      <c r="K2000" s="979">
        <v>430576.6571422313</v>
      </c>
      <c r="L2000" s="979">
        <v>430576.6571422313</v>
      </c>
      <c r="M2000" s="979">
        <v>599</v>
      </c>
    </row>
    <row r="2001" spans="1:13" ht="15">
      <c r="A2001" s="979" t="s">
        <v>3725</v>
      </c>
      <c r="B2001" s="1040" t="str">
        <f>CONCATENATE(LEFT(RIGHT(CONCATENATE("000",IFAData_TEA_1617!A2001),6),3),"-",(RIGHT(RIGHT(CONCATENATE("000",IFAData_TEA_1617!A2001),6),3)))</f>
        <v>220-907</v>
      </c>
      <c r="C2001" s="979" t="s">
        <v>412</v>
      </c>
      <c r="D2001" s="979">
        <v>2</v>
      </c>
      <c r="E2001" s="979">
        <v>1950</v>
      </c>
      <c r="F2001" s="979" t="s">
        <v>5481</v>
      </c>
      <c r="G2001" s="979" t="s">
        <v>6539</v>
      </c>
      <c r="H2001" s="979">
        <v>1280601</v>
      </c>
      <c r="I2001" s="979">
        <v>6201</v>
      </c>
      <c r="J2001" s="979">
        <v>2.3022748376322621E-3</v>
      </c>
      <c r="K2001" s="979">
        <v>2948.2954593467125</v>
      </c>
      <c r="L2001" s="979">
        <v>2948.2954593467125</v>
      </c>
      <c r="M2001" s="979">
        <v>599</v>
      </c>
    </row>
    <row r="2002" spans="1:13" ht="15">
      <c r="A2002" s="979" t="s">
        <v>3725</v>
      </c>
      <c r="B2002" s="1040" t="str">
        <f>CONCATENATE(LEFT(RIGHT(CONCATENATE("000",IFAData_TEA_1617!A2002),6),3),"-",(RIGHT(RIGHT(CONCATENATE("000",IFAData_TEA_1617!A2002),6),3)))</f>
        <v>220-907</v>
      </c>
      <c r="C2002" s="979" t="s">
        <v>412</v>
      </c>
      <c r="D2002" s="979">
        <v>2</v>
      </c>
      <c r="E2002" s="979">
        <v>1950</v>
      </c>
      <c r="F2002" s="979" t="s">
        <v>5481</v>
      </c>
      <c r="G2002" s="979" t="s">
        <v>5481</v>
      </c>
      <c r="H2002" s="979">
        <v>1280601</v>
      </c>
      <c r="I2002" s="979">
        <v>0</v>
      </c>
      <c r="J2002" s="979">
        <v>0</v>
      </c>
      <c r="K2002" s="979">
        <v>0</v>
      </c>
      <c r="L2002" s="979">
        <v>0</v>
      </c>
      <c r="M2002" s="979">
        <v>599</v>
      </c>
    </row>
    <row r="2003" spans="1:13" ht="15">
      <c r="A2003" s="979" t="s">
        <v>3726</v>
      </c>
      <c r="B2003" s="1040" t="str">
        <f>CONCATENATE(LEFT(RIGHT(CONCATENATE("000",IFAData_TEA_1617!A2003),6),3),"-",(RIGHT(RIGHT(CONCATENATE("000",IFAData_TEA_1617!A2003),6),3)))</f>
        <v>220-908</v>
      </c>
      <c r="C2003" s="979" t="s">
        <v>290</v>
      </c>
      <c r="D2003" s="979">
        <v>9</v>
      </c>
      <c r="E2003" s="979">
        <v>2059</v>
      </c>
      <c r="F2003" s="979" t="s">
        <v>5505</v>
      </c>
      <c r="G2003" s="979" t="s">
        <v>6330</v>
      </c>
      <c r="H2003" s="979">
        <v>3920147</v>
      </c>
      <c r="I2003" s="979">
        <v>3930400</v>
      </c>
      <c r="J2003" s="979">
        <v>0.94476658587691253</v>
      </c>
      <c r="K2003" s="979">
        <v>3703623.897325621</v>
      </c>
      <c r="L2003" s="979">
        <v>3703623.897325621</v>
      </c>
      <c r="M2003" s="979">
        <v>599</v>
      </c>
    </row>
    <row r="2004" spans="1:13" ht="15">
      <c r="A2004" s="979" t="s">
        <v>3726</v>
      </c>
      <c r="B2004" s="1040" t="str">
        <f>CONCATENATE(LEFT(RIGHT(CONCATENATE("000",IFAData_TEA_1617!A2004),6),3),"-",(RIGHT(RIGHT(CONCATENATE("000",IFAData_TEA_1617!A2004),6),3)))</f>
        <v>220-908</v>
      </c>
      <c r="C2004" s="979" t="s">
        <v>290</v>
      </c>
      <c r="D2004" s="979">
        <v>6</v>
      </c>
      <c r="E2004" s="979">
        <v>2056</v>
      </c>
      <c r="F2004" s="979" t="s">
        <v>5502</v>
      </c>
      <c r="G2004" s="979" t="s">
        <v>5500</v>
      </c>
      <c r="H2004" s="979">
        <v>2153875</v>
      </c>
      <c r="I2004" s="979">
        <v>1606888</v>
      </c>
      <c r="J2004" s="979">
        <v>0.25112808440617196</v>
      </c>
      <c r="K2004" s="979">
        <v>540898.50280034367</v>
      </c>
      <c r="L2004" s="979">
        <v>540898.50280034367</v>
      </c>
      <c r="M2004" s="979">
        <v>599</v>
      </c>
    </row>
    <row r="2005" spans="1:13" ht="15">
      <c r="A2005" s="979" t="s">
        <v>3726</v>
      </c>
      <c r="B2005" s="1040" t="str">
        <f>CONCATENATE(LEFT(RIGHT(CONCATENATE("000",IFAData_TEA_1617!A2005),6),3),"-",(RIGHT(RIGHT(CONCATENATE("000",IFAData_TEA_1617!A2005),6),3)))</f>
        <v>220-908</v>
      </c>
      <c r="C2005" s="979" t="s">
        <v>290</v>
      </c>
      <c r="D2005" s="979">
        <v>6</v>
      </c>
      <c r="E2005" s="979">
        <v>2057</v>
      </c>
      <c r="F2005" s="979" t="s">
        <v>5499</v>
      </c>
      <c r="G2005" s="979" t="s">
        <v>5500</v>
      </c>
      <c r="H2005" s="979">
        <v>2346513</v>
      </c>
      <c r="I2005" s="979">
        <v>1226608</v>
      </c>
      <c r="J2005" s="979">
        <v>0.36447159095298626</v>
      </c>
      <c r="K2005" s="979">
        <v>855237.3263018647</v>
      </c>
      <c r="L2005" s="979">
        <v>855237.3263018647</v>
      </c>
      <c r="M2005" s="979">
        <v>599</v>
      </c>
    </row>
    <row r="2006" spans="1:13" ht="15">
      <c r="A2006" s="979" t="s">
        <v>3726</v>
      </c>
      <c r="B2006" s="1040" t="str">
        <f>CONCATENATE(LEFT(RIGHT(CONCATENATE("000",IFAData_TEA_1617!A2006),6),3),"-",(RIGHT(RIGHT(CONCATENATE("000",IFAData_TEA_1617!A2006),6),3)))</f>
        <v>220-908</v>
      </c>
      <c r="C2006" s="979" t="s">
        <v>290</v>
      </c>
      <c r="D2006" s="979">
        <v>9</v>
      </c>
      <c r="E2006" s="979">
        <v>2060</v>
      </c>
      <c r="F2006" s="979" t="s">
        <v>5503</v>
      </c>
      <c r="G2006" s="979" t="s">
        <v>5503</v>
      </c>
      <c r="H2006" s="979">
        <v>4155279</v>
      </c>
      <c r="I2006" s="979">
        <v>0</v>
      </c>
      <c r="J2006" s="979">
        <v>0</v>
      </c>
      <c r="K2006" s="979">
        <v>0</v>
      </c>
      <c r="L2006" s="979">
        <v>0</v>
      </c>
      <c r="M2006" s="979">
        <v>599</v>
      </c>
    </row>
    <row r="2007" spans="1:13" ht="15">
      <c r="A2007" s="979" t="s">
        <v>3726</v>
      </c>
      <c r="B2007" s="1040" t="str">
        <f>CONCATENATE(LEFT(RIGHT(CONCATENATE("000",IFAData_TEA_1617!A2007),6),3),"-",(RIGHT(RIGHT(CONCATENATE("000",IFAData_TEA_1617!A2007),6),3)))</f>
        <v>220-908</v>
      </c>
      <c r="C2007" s="979" t="s">
        <v>290</v>
      </c>
      <c r="D2007" s="979">
        <v>9</v>
      </c>
      <c r="E2007" s="979">
        <v>2060</v>
      </c>
      <c r="F2007" s="979" t="s">
        <v>5503</v>
      </c>
      <c r="G2007" s="979" t="s">
        <v>5504</v>
      </c>
      <c r="H2007" s="979">
        <v>4155279</v>
      </c>
      <c r="I2007" s="979">
        <v>4939161</v>
      </c>
      <c r="J2007" s="979">
        <v>1</v>
      </c>
      <c r="K2007" s="979">
        <v>4155279</v>
      </c>
      <c r="L2007" s="979">
        <v>4155279</v>
      </c>
      <c r="M2007" s="979">
        <v>599</v>
      </c>
    </row>
    <row r="2008" spans="1:13" ht="15">
      <c r="A2008" s="979" t="s">
        <v>3726</v>
      </c>
      <c r="B2008" s="1040" t="str">
        <f>CONCATENATE(LEFT(RIGHT(CONCATENATE("000",IFAData_TEA_1617!A2008),6),3),"-",(RIGHT(RIGHT(CONCATENATE("000",IFAData_TEA_1617!A2008),6),3)))</f>
        <v>220-908</v>
      </c>
      <c r="C2008" s="979" t="s">
        <v>290</v>
      </c>
      <c r="D2008" s="979">
        <v>6</v>
      </c>
      <c r="E2008" s="979">
        <v>2057</v>
      </c>
      <c r="F2008" s="979" t="s">
        <v>5499</v>
      </c>
      <c r="G2008" s="979" t="s">
        <v>5499</v>
      </c>
      <c r="H2008" s="979">
        <v>2346513</v>
      </c>
      <c r="I2008" s="979">
        <v>0</v>
      </c>
      <c r="J2008" s="979">
        <v>0</v>
      </c>
      <c r="K2008" s="979">
        <v>0</v>
      </c>
      <c r="L2008" s="979">
        <v>0</v>
      </c>
      <c r="M2008" s="979">
        <v>599</v>
      </c>
    </row>
    <row r="2009" spans="1:13" ht="15">
      <c r="A2009" s="979" t="s">
        <v>3726</v>
      </c>
      <c r="B2009" s="1040" t="str">
        <f>CONCATENATE(LEFT(RIGHT(CONCATENATE("000",IFAData_TEA_1617!A2009),6),3),"-",(RIGHT(RIGHT(CONCATENATE("000",IFAData_TEA_1617!A2009),6),3)))</f>
        <v>220-908</v>
      </c>
      <c r="C2009" s="979" t="s">
        <v>290</v>
      </c>
      <c r="D2009" s="979">
        <v>10</v>
      </c>
      <c r="E2009" s="979">
        <v>2061</v>
      </c>
      <c r="F2009" s="979" t="s">
        <v>5506</v>
      </c>
      <c r="G2009" s="979" t="s">
        <v>5506</v>
      </c>
      <c r="H2009" s="979">
        <v>4627576</v>
      </c>
      <c r="I2009" s="979">
        <v>0</v>
      </c>
      <c r="J2009" s="979">
        <v>0</v>
      </c>
      <c r="K2009" s="979">
        <v>0</v>
      </c>
      <c r="L2009" s="979">
        <v>0</v>
      </c>
      <c r="M2009" s="979">
        <v>599</v>
      </c>
    </row>
    <row r="2010" spans="1:13" ht="15">
      <c r="A2010" s="979" t="s">
        <v>3726</v>
      </c>
      <c r="B2010" s="1040" t="str">
        <f>CONCATENATE(LEFT(RIGHT(CONCATENATE("000",IFAData_TEA_1617!A2010),6),3),"-",(RIGHT(RIGHT(CONCATENATE("000",IFAData_TEA_1617!A2010),6),3)))</f>
        <v>220-908</v>
      </c>
      <c r="C2010" s="979" t="s">
        <v>290</v>
      </c>
      <c r="D2010" s="979">
        <v>6</v>
      </c>
      <c r="E2010" s="979">
        <v>2056</v>
      </c>
      <c r="F2010" s="979" t="s">
        <v>5502</v>
      </c>
      <c r="G2010" s="979" t="s">
        <v>5497</v>
      </c>
      <c r="H2010" s="979">
        <v>2153875</v>
      </c>
      <c r="I2010" s="979">
        <v>4725262</v>
      </c>
      <c r="J2010" s="979">
        <v>0.73847461327564645</v>
      </c>
      <c r="K2010" s="979">
        <v>1590582.0076690831</v>
      </c>
      <c r="L2010" s="979">
        <v>1590582.0076690831</v>
      </c>
      <c r="M2010" s="979">
        <v>599</v>
      </c>
    </row>
    <row r="2011" spans="1:13" ht="15">
      <c r="A2011" s="979" t="s">
        <v>3726</v>
      </c>
      <c r="B2011" s="1040" t="str">
        <f>CONCATENATE(LEFT(RIGHT(CONCATENATE("000",IFAData_TEA_1617!A2011),6),3),"-",(RIGHT(RIGHT(CONCATENATE("000",IFAData_TEA_1617!A2011),6),3)))</f>
        <v>220-908</v>
      </c>
      <c r="C2011" s="979" t="s">
        <v>290</v>
      </c>
      <c r="D2011" s="979">
        <v>1</v>
      </c>
      <c r="E2011" s="979">
        <v>2058</v>
      </c>
      <c r="F2011" s="979" t="s">
        <v>5495</v>
      </c>
      <c r="G2011" s="979" t="s">
        <v>5495</v>
      </c>
      <c r="H2011" s="979">
        <v>2772030</v>
      </c>
      <c r="I2011" s="979">
        <v>0</v>
      </c>
      <c r="J2011" s="979">
        <v>0</v>
      </c>
      <c r="K2011" s="979"/>
      <c r="L2011" s="979">
        <v>0</v>
      </c>
      <c r="M2011" s="979">
        <v>599</v>
      </c>
    </row>
    <row r="2012" spans="1:13" ht="15">
      <c r="A2012" s="979" t="s">
        <v>3726</v>
      </c>
      <c r="B2012" s="1040" t="str">
        <f>CONCATENATE(LEFT(RIGHT(CONCATENATE("000",IFAData_TEA_1617!A2012),6),3),"-",(RIGHT(RIGHT(CONCATENATE("000",IFAData_TEA_1617!A2012),6),3)))</f>
        <v>220-908</v>
      </c>
      <c r="C2012" s="979" t="s">
        <v>290</v>
      </c>
      <c r="D2012" s="979">
        <v>6</v>
      </c>
      <c r="E2012" s="979">
        <v>2057</v>
      </c>
      <c r="F2012" s="979" t="s">
        <v>5499</v>
      </c>
      <c r="G2012" s="979" t="s">
        <v>5501</v>
      </c>
      <c r="H2012" s="979">
        <v>2346513</v>
      </c>
      <c r="I2012" s="979">
        <v>2138834</v>
      </c>
      <c r="J2012" s="979">
        <v>0.63552840904701369</v>
      </c>
      <c r="K2012" s="979">
        <v>1491275.6736981352</v>
      </c>
      <c r="L2012" s="979">
        <v>1491275.6736981352</v>
      </c>
      <c r="M2012" s="979">
        <v>599</v>
      </c>
    </row>
    <row r="2013" spans="1:13" ht="15">
      <c r="A2013" s="979" t="s">
        <v>3726</v>
      </c>
      <c r="B2013" s="1040" t="str">
        <f>CONCATENATE(LEFT(RIGHT(CONCATENATE("000",IFAData_TEA_1617!A2013),6),3),"-",(RIGHT(RIGHT(CONCATENATE("000",IFAData_TEA_1617!A2013),6),3)))</f>
        <v>220-908</v>
      </c>
      <c r="C2013" s="979" t="s">
        <v>290</v>
      </c>
      <c r="D2013" s="979">
        <v>9</v>
      </c>
      <c r="E2013" s="979">
        <v>2059</v>
      </c>
      <c r="F2013" s="979" t="s">
        <v>5505</v>
      </c>
      <c r="G2013" s="979" t="s">
        <v>5505</v>
      </c>
      <c r="H2013" s="979">
        <v>3920147</v>
      </c>
      <c r="I2013" s="979">
        <v>229781</v>
      </c>
      <c r="J2013" s="979">
        <v>5.5233414123087431E-2</v>
      </c>
      <c r="K2013" s="979">
        <v>216523.10267437881</v>
      </c>
      <c r="L2013" s="979">
        <v>216523.10267437881</v>
      </c>
      <c r="M2013" s="979">
        <v>599</v>
      </c>
    </row>
    <row r="2014" spans="1:13" ht="15">
      <c r="A2014" s="979" t="s">
        <v>3726</v>
      </c>
      <c r="B2014" s="1040" t="str">
        <f>CONCATENATE(LEFT(RIGHT(CONCATENATE("000",IFAData_TEA_1617!A2014),6),3),"-",(RIGHT(RIGHT(CONCATENATE("000",IFAData_TEA_1617!A2014),6),3)))</f>
        <v>220-908</v>
      </c>
      <c r="C2014" s="979" t="s">
        <v>290</v>
      </c>
      <c r="D2014" s="979">
        <v>6</v>
      </c>
      <c r="E2014" s="979">
        <v>2056</v>
      </c>
      <c r="F2014" s="979" t="s">
        <v>5502</v>
      </c>
      <c r="G2014" s="979" t="s">
        <v>5502</v>
      </c>
      <c r="H2014" s="979">
        <v>2153875</v>
      </c>
      <c r="I2014" s="979">
        <v>66529</v>
      </c>
      <c r="J2014" s="979">
        <v>1.0397302318181612E-2</v>
      </c>
      <c r="K2014" s="979">
        <v>22394.489530573421</v>
      </c>
      <c r="L2014" s="979">
        <v>22394.489530573421</v>
      </c>
      <c r="M2014" s="979">
        <v>599</v>
      </c>
    </row>
    <row r="2015" spans="1:13" ht="15">
      <c r="A2015" s="979" t="s">
        <v>3726</v>
      </c>
      <c r="B2015" s="1040" t="str">
        <f>CONCATENATE(LEFT(RIGHT(CONCATENATE("000",IFAData_TEA_1617!A2015),6),3),"-",(RIGHT(RIGHT(CONCATENATE("000",IFAData_TEA_1617!A2015),6),3)))</f>
        <v>220-908</v>
      </c>
      <c r="C2015" s="979" t="s">
        <v>290</v>
      </c>
      <c r="D2015" s="979">
        <v>10</v>
      </c>
      <c r="E2015" s="979">
        <v>2061</v>
      </c>
      <c r="F2015" s="979" t="s">
        <v>5506</v>
      </c>
      <c r="G2015" s="979" t="s">
        <v>6540</v>
      </c>
      <c r="H2015" s="979">
        <v>4627576</v>
      </c>
      <c r="I2015" s="979">
        <v>2123100</v>
      </c>
      <c r="J2015" s="979">
        <v>1</v>
      </c>
      <c r="K2015" s="979">
        <v>4627576</v>
      </c>
      <c r="L2015" s="979">
        <v>2123100</v>
      </c>
      <c r="M2015" s="979">
        <v>599</v>
      </c>
    </row>
    <row r="2016" spans="1:13" ht="15">
      <c r="A2016" s="979" t="s">
        <v>3727</v>
      </c>
      <c r="B2016" s="1040" t="str">
        <f>CONCATENATE(LEFT(RIGHT(CONCATENATE("000",IFAData_TEA_1617!A2016),6),3),"-",(RIGHT(RIGHT(CONCATENATE("000",IFAData_TEA_1617!A2016),6),3)))</f>
        <v>220-910</v>
      </c>
      <c r="C2016" s="979" t="s">
        <v>2301</v>
      </c>
      <c r="D2016" s="979">
        <v>2</v>
      </c>
      <c r="E2016" s="979">
        <v>2000</v>
      </c>
      <c r="F2016" s="979" t="s">
        <v>5507</v>
      </c>
      <c r="G2016" s="979" t="s">
        <v>5507</v>
      </c>
      <c r="H2016" s="979">
        <v>425000</v>
      </c>
      <c r="I2016" s="979">
        <v>0</v>
      </c>
      <c r="J2016" s="979">
        <v>0</v>
      </c>
      <c r="K2016" s="979">
        <v>0</v>
      </c>
      <c r="L2016" s="979">
        <v>0</v>
      </c>
      <c r="M2016" s="979">
        <v>599</v>
      </c>
    </row>
    <row r="2017" spans="1:13" ht="15">
      <c r="A2017" s="979" t="s">
        <v>3727</v>
      </c>
      <c r="B2017" s="1040" t="str">
        <f>CONCATENATE(LEFT(RIGHT(CONCATENATE("000",IFAData_TEA_1617!A2017),6),3),"-",(RIGHT(RIGHT(CONCATENATE("000",IFAData_TEA_1617!A2017),6),3)))</f>
        <v>220-910</v>
      </c>
      <c r="C2017" s="979" t="s">
        <v>2301</v>
      </c>
      <c r="D2017" s="979">
        <v>5</v>
      </c>
      <c r="E2017" s="979">
        <v>2001</v>
      </c>
      <c r="F2017" s="979" t="s">
        <v>5509</v>
      </c>
      <c r="G2017" s="979" t="s">
        <v>5510</v>
      </c>
      <c r="H2017" s="979">
        <v>464180</v>
      </c>
      <c r="I2017" s="979">
        <v>644112</v>
      </c>
      <c r="J2017" s="979">
        <v>1</v>
      </c>
      <c r="K2017" s="979">
        <v>464180</v>
      </c>
      <c r="L2017" s="979">
        <v>464180</v>
      </c>
      <c r="M2017" s="979">
        <v>599</v>
      </c>
    </row>
    <row r="2018" spans="1:13" ht="15">
      <c r="A2018" s="979" t="s">
        <v>3727</v>
      </c>
      <c r="B2018" s="1040" t="str">
        <f>CONCATENATE(LEFT(RIGHT(CONCATENATE("000",IFAData_TEA_1617!A2018),6),3),"-",(RIGHT(RIGHT(CONCATENATE("000",IFAData_TEA_1617!A2018),6),3)))</f>
        <v>220-910</v>
      </c>
      <c r="C2018" s="979" t="s">
        <v>2301</v>
      </c>
      <c r="D2018" s="979">
        <v>9</v>
      </c>
      <c r="E2018" s="979">
        <v>1999</v>
      </c>
      <c r="F2018" s="979" t="s">
        <v>5511</v>
      </c>
      <c r="G2018" s="979" t="s">
        <v>6331</v>
      </c>
      <c r="H2018" s="979">
        <v>335046</v>
      </c>
      <c r="I2018" s="979">
        <v>399656</v>
      </c>
      <c r="J2018" s="979">
        <v>1</v>
      </c>
      <c r="K2018" s="979">
        <v>335046</v>
      </c>
      <c r="L2018" s="979">
        <v>335046</v>
      </c>
      <c r="M2018" s="979">
        <v>599</v>
      </c>
    </row>
    <row r="2019" spans="1:13" ht="15">
      <c r="A2019" s="979" t="s">
        <v>3727</v>
      </c>
      <c r="B2019" s="1040" t="str">
        <f>CONCATENATE(LEFT(RIGHT(CONCATENATE("000",IFAData_TEA_1617!A2019),6),3),"-",(RIGHT(RIGHT(CONCATENATE("000",IFAData_TEA_1617!A2019),6),3)))</f>
        <v>220-910</v>
      </c>
      <c r="C2019" s="979" t="s">
        <v>2301</v>
      </c>
      <c r="D2019" s="979">
        <v>9</v>
      </c>
      <c r="E2019" s="979">
        <v>1999</v>
      </c>
      <c r="F2019" s="979" t="s">
        <v>5511</v>
      </c>
      <c r="G2019" s="979" t="s">
        <v>5511</v>
      </c>
      <c r="H2019" s="979">
        <v>335046</v>
      </c>
      <c r="I2019" s="979">
        <v>0</v>
      </c>
      <c r="J2019" s="979">
        <v>0</v>
      </c>
      <c r="K2019" s="979">
        <v>0</v>
      </c>
      <c r="L2019" s="979">
        <v>0</v>
      </c>
      <c r="M2019" s="979">
        <v>599</v>
      </c>
    </row>
    <row r="2020" spans="1:13" ht="15">
      <c r="A2020" s="979" t="s">
        <v>3727</v>
      </c>
      <c r="B2020" s="1040" t="str">
        <f>CONCATENATE(LEFT(RIGHT(CONCATENATE("000",IFAData_TEA_1617!A2020),6),3),"-",(RIGHT(RIGHT(CONCATENATE("000",IFAData_TEA_1617!A2020),6),3)))</f>
        <v>220-910</v>
      </c>
      <c r="C2020" s="979" t="s">
        <v>2301</v>
      </c>
      <c r="D2020" s="979">
        <v>5</v>
      </c>
      <c r="E2020" s="979">
        <v>2001</v>
      </c>
      <c r="F2020" s="979" t="s">
        <v>5509</v>
      </c>
      <c r="G2020" s="979" t="s">
        <v>5509</v>
      </c>
      <c r="H2020" s="979">
        <v>464180</v>
      </c>
      <c r="I2020" s="979">
        <v>0</v>
      </c>
      <c r="J2020" s="979">
        <v>0</v>
      </c>
      <c r="K2020" s="979">
        <v>0</v>
      </c>
      <c r="L2020" s="979">
        <v>0</v>
      </c>
      <c r="M2020" s="979">
        <v>599</v>
      </c>
    </row>
    <row r="2021" spans="1:13" ht="15">
      <c r="A2021" s="979" t="s">
        <v>3727</v>
      </c>
      <c r="B2021" s="1040" t="str">
        <f>CONCATENATE(LEFT(RIGHT(CONCATENATE("000",IFAData_TEA_1617!A2021),6),3),"-",(RIGHT(RIGHT(CONCATENATE("000",IFAData_TEA_1617!A2021),6),3)))</f>
        <v>220-910</v>
      </c>
      <c r="C2021" s="979" t="s">
        <v>2301</v>
      </c>
      <c r="D2021" s="979">
        <v>2</v>
      </c>
      <c r="E2021" s="979">
        <v>2000</v>
      </c>
      <c r="F2021" s="979" t="s">
        <v>5507</v>
      </c>
      <c r="G2021" s="979" t="s">
        <v>5508</v>
      </c>
      <c r="H2021" s="979">
        <v>425000</v>
      </c>
      <c r="I2021" s="979">
        <v>396194</v>
      </c>
      <c r="J2021" s="979">
        <v>1</v>
      </c>
      <c r="K2021" s="979">
        <v>425000</v>
      </c>
      <c r="L2021" s="979">
        <v>396194</v>
      </c>
      <c r="M2021" s="979">
        <v>599</v>
      </c>
    </row>
    <row r="2022" spans="1:13" ht="15">
      <c r="A2022" s="979" t="s">
        <v>3727</v>
      </c>
      <c r="B2022" s="1040" t="str">
        <f>CONCATENATE(LEFT(RIGHT(CONCATENATE("000",IFAData_TEA_1617!A2022),6),3),"-",(RIGHT(RIGHT(CONCATENATE("000",IFAData_TEA_1617!A2022),6),3)))</f>
        <v>220-910</v>
      </c>
      <c r="C2022" s="979" t="s">
        <v>2301</v>
      </c>
      <c r="D2022" s="979">
        <v>9</v>
      </c>
      <c r="E2022" s="979">
        <v>1998</v>
      </c>
      <c r="F2022" s="979" t="s">
        <v>5512</v>
      </c>
      <c r="G2022" s="979" t="s">
        <v>6541</v>
      </c>
      <c r="H2022" s="979">
        <v>83579</v>
      </c>
      <c r="I2022" s="979">
        <v>358950</v>
      </c>
      <c r="J2022" s="979">
        <v>0.71941076260146308</v>
      </c>
      <c r="K2022" s="979">
        <v>60127.632127467681</v>
      </c>
      <c r="L2022" s="979">
        <v>60127.632127467681</v>
      </c>
      <c r="M2022" s="979">
        <v>599</v>
      </c>
    </row>
    <row r="2023" spans="1:13" ht="15">
      <c r="A2023" s="979" t="s">
        <v>3727</v>
      </c>
      <c r="B2023" s="1040" t="str">
        <f>CONCATENATE(LEFT(RIGHT(CONCATENATE("000",IFAData_TEA_1617!A2023),6),3),"-",(RIGHT(RIGHT(CONCATENATE("000",IFAData_TEA_1617!A2023),6),3)))</f>
        <v>220-910</v>
      </c>
      <c r="C2023" s="979" t="s">
        <v>2301</v>
      </c>
      <c r="D2023" s="979">
        <v>9</v>
      </c>
      <c r="E2023" s="979">
        <v>1998</v>
      </c>
      <c r="F2023" s="979" t="s">
        <v>5512</v>
      </c>
      <c r="G2023" s="979" t="s">
        <v>5512</v>
      </c>
      <c r="H2023" s="979">
        <v>83579</v>
      </c>
      <c r="I2023" s="979">
        <v>140000</v>
      </c>
      <c r="J2023" s="979">
        <v>0.28058923739853692</v>
      </c>
      <c r="K2023" s="979">
        <v>23451.367872532315</v>
      </c>
      <c r="L2023" s="979">
        <v>23451.367872532315</v>
      </c>
      <c r="M2023" s="979">
        <v>599</v>
      </c>
    </row>
    <row r="2024" spans="1:13" ht="15">
      <c r="A2024" s="979" t="s">
        <v>3728</v>
      </c>
      <c r="B2024" s="1040" t="str">
        <f>CONCATENATE(LEFT(RIGHT(CONCATENATE("000",IFAData_TEA_1617!A2024),6),3),"-",(RIGHT(RIGHT(CONCATENATE("000",IFAData_TEA_1617!A2024),6),3)))</f>
        <v>220-912</v>
      </c>
      <c r="C2024" s="979" t="s">
        <v>419</v>
      </c>
      <c r="D2024" s="979">
        <v>1</v>
      </c>
      <c r="E2024" s="979">
        <v>1733</v>
      </c>
      <c r="F2024" s="979" t="s">
        <v>5513</v>
      </c>
      <c r="G2024" s="979" t="s">
        <v>5515</v>
      </c>
      <c r="H2024" s="979">
        <v>1863688</v>
      </c>
      <c r="I2024" s="979">
        <v>642410</v>
      </c>
      <c r="J2024" s="979">
        <v>0.21496708451414481</v>
      </c>
      <c r="K2024" s="979">
        <v>400631.57580399752</v>
      </c>
      <c r="L2024" s="979">
        <v>400631.57580399752</v>
      </c>
      <c r="M2024" s="979">
        <v>599</v>
      </c>
    </row>
    <row r="2025" spans="1:13" ht="15">
      <c r="A2025" s="979" t="s">
        <v>3728</v>
      </c>
      <c r="B2025" s="1040" t="str">
        <f>CONCATENATE(LEFT(RIGHT(CONCATENATE("000",IFAData_TEA_1617!A2025),6),3),"-",(RIGHT(RIGHT(CONCATENATE("000",IFAData_TEA_1617!A2025),6),3)))</f>
        <v>220-912</v>
      </c>
      <c r="C2025" s="979" t="s">
        <v>419</v>
      </c>
      <c r="D2025" s="979">
        <v>1</v>
      </c>
      <c r="E2025" s="979">
        <v>1733</v>
      </c>
      <c r="F2025" s="979" t="s">
        <v>5513</v>
      </c>
      <c r="G2025" s="979" t="s">
        <v>5513</v>
      </c>
      <c r="H2025" s="979">
        <v>1863688</v>
      </c>
      <c r="I2025" s="979">
        <v>0</v>
      </c>
      <c r="J2025" s="979">
        <v>0</v>
      </c>
      <c r="K2025" s="979">
        <v>0</v>
      </c>
      <c r="L2025" s="979">
        <v>0</v>
      </c>
      <c r="M2025" s="979">
        <v>599</v>
      </c>
    </row>
    <row r="2026" spans="1:13" ht="15">
      <c r="A2026" s="979" t="s">
        <v>3728</v>
      </c>
      <c r="B2026" s="1040" t="str">
        <f>CONCATENATE(LEFT(RIGHT(CONCATENATE("000",IFAData_TEA_1617!A2026),6),3),"-",(RIGHT(RIGHT(CONCATENATE("000",IFAData_TEA_1617!A2026),6),3)))</f>
        <v>220-912</v>
      </c>
      <c r="C2026" s="979" t="s">
        <v>419</v>
      </c>
      <c r="D2026" s="979">
        <v>1</v>
      </c>
      <c r="E2026" s="979">
        <v>1733</v>
      </c>
      <c r="F2026" s="979" t="s">
        <v>5513</v>
      </c>
      <c r="G2026" s="979" t="s">
        <v>5514</v>
      </c>
      <c r="H2026" s="979">
        <v>1863688</v>
      </c>
      <c r="I2026" s="979">
        <v>1207468</v>
      </c>
      <c r="J2026" s="979">
        <v>0.40405017917548824</v>
      </c>
      <c r="K2026" s="979">
        <v>753023.47032720735</v>
      </c>
      <c r="L2026" s="979">
        <v>753023.47032720735</v>
      </c>
      <c r="M2026" s="979">
        <v>599</v>
      </c>
    </row>
    <row r="2027" spans="1:13" ht="15">
      <c r="A2027" s="979" t="s">
        <v>3728</v>
      </c>
      <c r="B2027" s="1040" t="str">
        <f>CONCATENATE(LEFT(RIGHT(CONCATENATE("000",IFAData_TEA_1617!A2027),6),3),"-",(RIGHT(RIGHT(CONCATENATE("000",IFAData_TEA_1617!A2027),6),3)))</f>
        <v>220-912</v>
      </c>
      <c r="C2027" s="979" t="s">
        <v>419</v>
      </c>
      <c r="D2027" s="979">
        <v>10</v>
      </c>
      <c r="E2027" s="979">
        <v>1734</v>
      </c>
      <c r="F2027" s="979" t="s">
        <v>5517</v>
      </c>
      <c r="G2027" s="979" t="s">
        <v>5517</v>
      </c>
      <c r="H2027" s="979">
        <v>3735112</v>
      </c>
      <c r="I2027" s="979">
        <v>280000</v>
      </c>
      <c r="J2027" s="979">
        <v>7.7248837818823884E-2</v>
      </c>
      <c r="K2027" s="979">
        <v>288533.06112314289</v>
      </c>
      <c r="L2027" s="979">
        <v>280000</v>
      </c>
      <c r="M2027" s="979">
        <v>599</v>
      </c>
    </row>
    <row r="2028" spans="1:13" ht="15">
      <c r="A2028" s="979" t="s">
        <v>3728</v>
      </c>
      <c r="B2028" s="1040" t="str">
        <f>CONCATENATE(LEFT(RIGHT(CONCATENATE("000",IFAData_TEA_1617!A2028),6),3),"-",(RIGHT(RIGHT(CONCATENATE("000",IFAData_TEA_1617!A2028),6),3)))</f>
        <v>220-912</v>
      </c>
      <c r="C2028" s="979" t="s">
        <v>419</v>
      </c>
      <c r="D2028" s="979">
        <v>10</v>
      </c>
      <c r="E2028" s="979">
        <v>1734</v>
      </c>
      <c r="F2028" s="979" t="s">
        <v>5517</v>
      </c>
      <c r="G2028" s="979" t="s">
        <v>6542</v>
      </c>
      <c r="H2028" s="979">
        <v>3735112</v>
      </c>
      <c r="I2028" s="979">
        <v>3344650</v>
      </c>
      <c r="J2028" s="979">
        <v>0.92275116218117614</v>
      </c>
      <c r="K2028" s="979">
        <v>3446578.938876857</v>
      </c>
      <c r="L2028" s="979">
        <v>3344650</v>
      </c>
      <c r="M2028" s="979">
        <v>599</v>
      </c>
    </row>
    <row r="2029" spans="1:13" ht="15">
      <c r="A2029" s="979" t="s">
        <v>3728</v>
      </c>
      <c r="B2029" s="1040" t="str">
        <f>CONCATENATE(LEFT(RIGHT(CONCATENATE("000",IFAData_TEA_1617!A2029),6),3),"-",(RIGHT(RIGHT(CONCATENATE("000",IFAData_TEA_1617!A2029),6),3)))</f>
        <v>220-912</v>
      </c>
      <c r="C2029" s="979" t="s">
        <v>419</v>
      </c>
      <c r="D2029" s="979">
        <v>9</v>
      </c>
      <c r="E2029" s="979">
        <v>1735</v>
      </c>
      <c r="F2029" s="979" t="s">
        <v>5516</v>
      </c>
      <c r="G2029" s="979" t="s">
        <v>6543</v>
      </c>
      <c r="H2029" s="979">
        <v>3761388</v>
      </c>
      <c r="I2029" s="979">
        <v>982250</v>
      </c>
      <c r="J2029" s="979">
        <v>0.25785414945013868</v>
      </c>
      <c r="K2029" s="979">
        <v>969889.50349195825</v>
      </c>
      <c r="L2029" s="979">
        <v>969889.50349195825</v>
      </c>
      <c r="M2029" s="979">
        <v>599</v>
      </c>
    </row>
    <row r="2030" spans="1:13" ht="15">
      <c r="A2030" s="979" t="s">
        <v>3728</v>
      </c>
      <c r="B2030" s="1040" t="str">
        <f>CONCATENATE(LEFT(RIGHT(CONCATENATE("000",IFAData_TEA_1617!A2030),6),3),"-",(RIGHT(RIGHT(CONCATENATE("000",IFAData_TEA_1617!A2030),6),3)))</f>
        <v>220-912</v>
      </c>
      <c r="C2030" s="979" t="s">
        <v>419</v>
      </c>
      <c r="D2030" s="979">
        <v>9</v>
      </c>
      <c r="E2030" s="979">
        <v>1735</v>
      </c>
      <c r="F2030" s="979" t="s">
        <v>5516</v>
      </c>
      <c r="G2030" s="979" t="s">
        <v>5516</v>
      </c>
      <c r="H2030" s="979">
        <v>3761388</v>
      </c>
      <c r="I2030" s="979">
        <v>1567855</v>
      </c>
      <c r="J2030" s="979">
        <v>0.41158352505588919</v>
      </c>
      <c r="K2030" s="979">
        <v>1548125.3321429209</v>
      </c>
      <c r="L2030" s="979">
        <v>1548125.3321429209</v>
      </c>
      <c r="M2030" s="979">
        <v>599</v>
      </c>
    </row>
    <row r="2031" spans="1:13" ht="15">
      <c r="A2031" s="979" t="s">
        <v>3728</v>
      </c>
      <c r="B2031" s="1040" t="str">
        <f>CONCATENATE(LEFT(RIGHT(CONCATENATE("000",IFAData_TEA_1617!A2031),6),3),"-",(RIGHT(RIGHT(CONCATENATE("000",IFAData_TEA_1617!A2031),6),3)))</f>
        <v>220-912</v>
      </c>
      <c r="C2031" s="979" t="s">
        <v>419</v>
      </c>
      <c r="D2031" s="979">
        <v>9</v>
      </c>
      <c r="E2031" s="979">
        <v>1735</v>
      </c>
      <c r="F2031" s="979" t="s">
        <v>5516</v>
      </c>
      <c r="G2031" s="979" t="s">
        <v>6332</v>
      </c>
      <c r="H2031" s="979">
        <v>3761388</v>
      </c>
      <c r="I2031" s="979">
        <v>1259219</v>
      </c>
      <c r="J2031" s="979">
        <v>0.33056232549397213</v>
      </c>
      <c r="K2031" s="979">
        <v>1243373.1643651209</v>
      </c>
      <c r="L2031" s="979">
        <v>1243373.1643651209</v>
      </c>
      <c r="M2031" s="979">
        <v>599</v>
      </c>
    </row>
    <row r="2032" spans="1:13" ht="15">
      <c r="A2032" s="979" t="s">
        <v>3728</v>
      </c>
      <c r="B2032" s="1040" t="str">
        <f>CONCATENATE(LEFT(RIGHT(CONCATENATE("000",IFAData_TEA_1617!A2032),6),3),"-",(RIGHT(RIGHT(CONCATENATE("000",IFAData_TEA_1617!A2032),6),3)))</f>
        <v>220-912</v>
      </c>
      <c r="C2032" s="979" t="s">
        <v>419</v>
      </c>
      <c r="D2032" s="979">
        <v>1</v>
      </c>
      <c r="E2032" s="979">
        <v>1733</v>
      </c>
      <c r="F2032" s="979" t="s">
        <v>5513</v>
      </c>
      <c r="G2032" s="979" t="s">
        <v>6333</v>
      </c>
      <c r="H2032" s="979">
        <v>1863688</v>
      </c>
      <c r="I2032" s="979">
        <v>1138533</v>
      </c>
      <c r="J2032" s="979">
        <v>0.38098273631036694</v>
      </c>
      <c r="K2032" s="979">
        <v>710032.95386879519</v>
      </c>
      <c r="L2032" s="979">
        <v>710032.95386879519</v>
      </c>
      <c r="M2032" s="979">
        <v>599</v>
      </c>
    </row>
    <row r="2033" spans="1:13" ht="15">
      <c r="A2033" s="979" t="s">
        <v>3729</v>
      </c>
      <c r="B2033" s="1040" t="str">
        <f>CONCATENATE(LEFT(RIGHT(CONCATENATE("000",IFAData_TEA_1617!A2033),6),3),"-",(RIGHT(RIGHT(CONCATENATE("000",IFAData_TEA_1617!A2033),6),3)))</f>
        <v>220-914</v>
      </c>
      <c r="C2033" s="979" t="s">
        <v>2516</v>
      </c>
      <c r="D2033" s="979">
        <v>1</v>
      </c>
      <c r="E2033" s="979">
        <v>1955</v>
      </c>
      <c r="F2033" s="979" t="s">
        <v>5518</v>
      </c>
      <c r="G2033" s="979" t="s">
        <v>6334</v>
      </c>
      <c r="H2033" s="979">
        <v>565360</v>
      </c>
      <c r="I2033" s="979">
        <v>86201</v>
      </c>
      <c r="J2033" s="979">
        <v>0.17737561216510966</v>
      </c>
      <c r="K2033" s="979">
        <v>100281.0760936664</v>
      </c>
      <c r="L2033" s="979">
        <v>86201</v>
      </c>
      <c r="M2033" s="979">
        <v>599</v>
      </c>
    </row>
    <row r="2034" spans="1:13" ht="15">
      <c r="A2034" s="979" t="s">
        <v>3729</v>
      </c>
      <c r="B2034" s="1040" t="str">
        <f>CONCATENATE(LEFT(RIGHT(CONCATENATE("000",IFAData_TEA_1617!A2034),6),3),"-",(RIGHT(RIGHT(CONCATENATE("000",IFAData_TEA_1617!A2034),6),3)))</f>
        <v>220-914</v>
      </c>
      <c r="C2034" s="979" t="s">
        <v>2516</v>
      </c>
      <c r="D2034" s="979">
        <v>1</v>
      </c>
      <c r="E2034" s="979">
        <v>1955</v>
      </c>
      <c r="F2034" s="979" t="s">
        <v>5518</v>
      </c>
      <c r="G2034" s="979" t="s">
        <v>5520</v>
      </c>
      <c r="H2034" s="979">
        <v>565360</v>
      </c>
      <c r="I2034" s="979">
        <v>0</v>
      </c>
      <c r="J2034" s="979">
        <v>0</v>
      </c>
      <c r="K2034" s="979">
        <v>0</v>
      </c>
      <c r="L2034" s="979">
        <v>0</v>
      </c>
      <c r="M2034" s="979">
        <v>599</v>
      </c>
    </row>
    <row r="2035" spans="1:13" ht="15">
      <c r="A2035" s="979" t="s">
        <v>3729</v>
      </c>
      <c r="B2035" s="1040" t="str">
        <f>CONCATENATE(LEFT(RIGHT(CONCATENATE("000",IFAData_TEA_1617!A2035),6),3),"-",(RIGHT(RIGHT(CONCATENATE("000",IFAData_TEA_1617!A2035),6),3)))</f>
        <v>220-914</v>
      </c>
      <c r="C2035" s="979" t="s">
        <v>2516</v>
      </c>
      <c r="D2035" s="979">
        <v>1</v>
      </c>
      <c r="E2035" s="979">
        <v>1955</v>
      </c>
      <c r="F2035" s="979" t="s">
        <v>5518</v>
      </c>
      <c r="G2035" s="979" t="s">
        <v>5518</v>
      </c>
      <c r="H2035" s="979">
        <v>565360</v>
      </c>
      <c r="I2035" s="979">
        <v>0</v>
      </c>
      <c r="J2035" s="979">
        <v>0</v>
      </c>
      <c r="K2035" s="979">
        <v>0</v>
      </c>
      <c r="L2035" s="979">
        <v>0</v>
      </c>
      <c r="M2035" s="979">
        <v>599</v>
      </c>
    </row>
    <row r="2036" spans="1:13" ht="15">
      <c r="A2036" s="979" t="s">
        <v>3729</v>
      </c>
      <c r="B2036" s="1040" t="str">
        <f>CONCATENATE(LEFT(RIGHT(CONCATENATE("000",IFAData_TEA_1617!A2036),6),3),"-",(RIGHT(RIGHT(CONCATENATE("000",IFAData_TEA_1617!A2036),6),3)))</f>
        <v>220-914</v>
      </c>
      <c r="C2036" s="979" t="s">
        <v>2516</v>
      </c>
      <c r="D2036" s="979">
        <v>1</v>
      </c>
      <c r="E2036" s="979">
        <v>1955</v>
      </c>
      <c r="F2036" s="979" t="s">
        <v>5518</v>
      </c>
      <c r="G2036" s="979" t="s">
        <v>5519</v>
      </c>
      <c r="H2036" s="979">
        <v>565360</v>
      </c>
      <c r="I2036" s="979">
        <v>399779</v>
      </c>
      <c r="J2036" s="979">
        <v>0.82262438783489034</v>
      </c>
      <c r="K2036" s="979">
        <v>465078.92390633363</v>
      </c>
      <c r="L2036" s="979">
        <v>399779</v>
      </c>
      <c r="M2036" s="979">
        <v>599</v>
      </c>
    </row>
    <row r="2037" spans="1:13" ht="15">
      <c r="A2037" s="979" t="s">
        <v>3730</v>
      </c>
      <c r="B2037" s="1040" t="str">
        <f>CONCATENATE(LEFT(RIGHT(CONCATENATE("000",IFAData_TEA_1617!A2037),6),3),"-",(RIGHT(RIGHT(CONCATENATE("000",IFAData_TEA_1617!A2037),6),3)))</f>
        <v>220-915</v>
      </c>
      <c r="C2037" s="979" t="s">
        <v>2119</v>
      </c>
      <c r="D2037" s="979">
        <v>3</v>
      </c>
      <c r="E2037" s="979">
        <v>1588</v>
      </c>
      <c r="F2037" s="979" t="s">
        <v>5521</v>
      </c>
      <c r="G2037" s="979" t="s">
        <v>5522</v>
      </c>
      <c r="H2037" s="979">
        <v>1377910</v>
      </c>
      <c r="I2037" s="979">
        <v>0</v>
      </c>
      <c r="J2037" s="979">
        <v>0</v>
      </c>
      <c r="K2037" s="979">
        <v>0</v>
      </c>
      <c r="L2037" s="979">
        <v>0</v>
      </c>
      <c r="M2037" s="979">
        <v>599</v>
      </c>
    </row>
    <row r="2038" spans="1:13" ht="15">
      <c r="A2038" s="979" t="s">
        <v>3730</v>
      </c>
      <c r="B2038" s="1040" t="str">
        <f>CONCATENATE(LEFT(RIGHT(CONCATENATE("000",IFAData_TEA_1617!A2038),6),3),"-",(RIGHT(RIGHT(CONCATENATE("000",IFAData_TEA_1617!A2038),6),3)))</f>
        <v>220-915</v>
      </c>
      <c r="C2038" s="979" t="s">
        <v>2119</v>
      </c>
      <c r="D2038" s="979">
        <v>3</v>
      </c>
      <c r="E2038" s="979">
        <v>1588</v>
      </c>
      <c r="F2038" s="979" t="s">
        <v>5521</v>
      </c>
      <c r="G2038" s="979" t="s">
        <v>5524</v>
      </c>
      <c r="H2038" s="979">
        <v>1377910</v>
      </c>
      <c r="I2038" s="979">
        <v>2029514</v>
      </c>
      <c r="J2038" s="979">
        <v>1</v>
      </c>
      <c r="K2038" s="979">
        <v>1377910</v>
      </c>
      <c r="L2038" s="979">
        <v>1377910</v>
      </c>
      <c r="M2038" s="979">
        <v>599</v>
      </c>
    </row>
    <row r="2039" spans="1:13" ht="15">
      <c r="A2039" s="979" t="s">
        <v>3730</v>
      </c>
      <c r="B2039" s="1040" t="str">
        <f>CONCATENATE(LEFT(RIGHT(CONCATENATE("000",IFAData_TEA_1617!A2039),6),3),"-",(RIGHT(RIGHT(CONCATENATE("000",IFAData_TEA_1617!A2039),6),3)))</f>
        <v>220-915</v>
      </c>
      <c r="C2039" s="979" t="s">
        <v>2119</v>
      </c>
      <c r="D2039" s="979">
        <v>3</v>
      </c>
      <c r="E2039" s="979">
        <v>1588</v>
      </c>
      <c r="F2039" s="979" t="s">
        <v>5521</v>
      </c>
      <c r="G2039" s="979" t="s">
        <v>5523</v>
      </c>
      <c r="H2039" s="979">
        <v>1377910</v>
      </c>
      <c r="I2039" s="979">
        <v>0</v>
      </c>
      <c r="J2039" s="979">
        <v>0</v>
      </c>
      <c r="K2039" s="979">
        <v>0</v>
      </c>
      <c r="L2039" s="979">
        <v>0</v>
      </c>
      <c r="M2039" s="979">
        <v>599</v>
      </c>
    </row>
    <row r="2040" spans="1:13" ht="15">
      <c r="A2040" s="979" t="s">
        <v>3730</v>
      </c>
      <c r="B2040" s="1040" t="str">
        <f>CONCATENATE(LEFT(RIGHT(CONCATENATE("000",IFAData_TEA_1617!A2040),6),3),"-",(RIGHT(RIGHT(CONCATENATE("000",IFAData_TEA_1617!A2040),6),3)))</f>
        <v>220-915</v>
      </c>
      <c r="C2040" s="979" t="s">
        <v>2119</v>
      </c>
      <c r="D2040" s="979">
        <v>3</v>
      </c>
      <c r="E2040" s="979">
        <v>1588</v>
      </c>
      <c r="F2040" s="979" t="s">
        <v>5521</v>
      </c>
      <c r="G2040" s="979" t="s">
        <v>5521</v>
      </c>
      <c r="H2040" s="979">
        <v>1377910</v>
      </c>
      <c r="I2040" s="979">
        <v>0</v>
      </c>
      <c r="J2040" s="979">
        <v>0</v>
      </c>
      <c r="K2040" s="979">
        <v>0</v>
      </c>
      <c r="L2040" s="979">
        <v>0</v>
      </c>
      <c r="M2040" s="979">
        <v>599</v>
      </c>
    </row>
    <row r="2041" spans="1:13" ht="15">
      <c r="A2041" s="979" t="s">
        <v>3731</v>
      </c>
      <c r="B2041" s="1040" t="str">
        <f>CONCATENATE(LEFT(RIGHT(CONCATENATE("000",IFAData_TEA_1617!A2041),6),3),"-",(RIGHT(RIGHT(CONCATENATE("000",IFAData_TEA_1617!A2041),6),3)))</f>
        <v>220-916</v>
      </c>
      <c r="C2041" s="979" t="s">
        <v>1267</v>
      </c>
      <c r="D2041" s="979">
        <v>2</v>
      </c>
      <c r="E2041" s="979">
        <v>1920</v>
      </c>
      <c r="F2041" s="979" t="s">
        <v>5525</v>
      </c>
      <c r="G2041" s="979" t="s">
        <v>5525</v>
      </c>
      <c r="H2041" s="979">
        <v>4462566</v>
      </c>
      <c r="I2041" s="979">
        <v>0</v>
      </c>
      <c r="J2041" s="979">
        <v>0</v>
      </c>
      <c r="K2041" s="979">
        <v>0</v>
      </c>
      <c r="L2041" s="979">
        <v>0</v>
      </c>
      <c r="M2041" s="979">
        <v>599</v>
      </c>
    </row>
    <row r="2042" spans="1:13" ht="15">
      <c r="A2042" s="979" t="s">
        <v>3731</v>
      </c>
      <c r="B2042" s="1040" t="str">
        <f>CONCATENATE(LEFT(RIGHT(CONCATENATE("000",IFAData_TEA_1617!A2042),6),3),"-",(RIGHT(RIGHT(CONCATENATE("000",IFAData_TEA_1617!A2042),6),3)))</f>
        <v>220-916</v>
      </c>
      <c r="C2042" s="979" t="s">
        <v>1267</v>
      </c>
      <c r="D2042" s="979">
        <v>2</v>
      </c>
      <c r="E2042" s="979">
        <v>1920</v>
      </c>
      <c r="F2042" s="979" t="s">
        <v>5525</v>
      </c>
      <c r="G2042" s="979" t="s">
        <v>5526</v>
      </c>
      <c r="H2042" s="979">
        <v>4462566</v>
      </c>
      <c r="I2042" s="979">
        <v>531727</v>
      </c>
      <c r="J2042" s="979">
        <v>6.9695631549690246E-2</v>
      </c>
      <c r="K2042" s="979">
        <v>311021.355702175</v>
      </c>
      <c r="L2042" s="979">
        <v>311021.355702175</v>
      </c>
      <c r="M2042" s="979">
        <v>599</v>
      </c>
    </row>
    <row r="2043" spans="1:13" ht="15">
      <c r="A2043" s="979" t="s">
        <v>3731</v>
      </c>
      <c r="B2043" s="1040" t="str">
        <f>CONCATENATE(LEFT(RIGHT(CONCATENATE("000",IFAData_TEA_1617!A2043),6),3),"-",(RIGHT(RIGHT(CONCATENATE("000",IFAData_TEA_1617!A2043),6),3)))</f>
        <v>220-916</v>
      </c>
      <c r="C2043" s="979" t="s">
        <v>1267</v>
      </c>
      <c r="D2043" s="979">
        <v>2</v>
      </c>
      <c r="E2043" s="979">
        <v>1920</v>
      </c>
      <c r="F2043" s="979" t="s">
        <v>5525</v>
      </c>
      <c r="G2043" s="979" t="s">
        <v>5527</v>
      </c>
      <c r="H2043" s="979">
        <v>4462566</v>
      </c>
      <c r="I2043" s="979">
        <v>3530156</v>
      </c>
      <c r="J2043" s="979">
        <v>0.46271197793026936</v>
      </c>
      <c r="K2043" s="979">
        <v>2064882.7405043703</v>
      </c>
      <c r="L2043" s="979">
        <v>2064882.7405043703</v>
      </c>
      <c r="M2043" s="979">
        <v>599</v>
      </c>
    </row>
    <row r="2044" spans="1:13" ht="15">
      <c r="A2044" s="979" t="s">
        <v>3731</v>
      </c>
      <c r="B2044" s="1040" t="str">
        <f>CONCATENATE(LEFT(RIGHT(CONCATENATE("000",IFAData_TEA_1617!A2044),6),3),"-",(RIGHT(RIGHT(CONCATENATE("000",IFAData_TEA_1617!A2044),6),3)))</f>
        <v>220-916</v>
      </c>
      <c r="C2044" s="979" t="s">
        <v>1267</v>
      </c>
      <c r="D2044" s="979">
        <v>2</v>
      </c>
      <c r="E2044" s="979">
        <v>1920</v>
      </c>
      <c r="F2044" s="979" t="s">
        <v>5525</v>
      </c>
      <c r="G2044" s="979" t="s">
        <v>6335</v>
      </c>
      <c r="H2044" s="979">
        <v>4462566</v>
      </c>
      <c r="I2044" s="979">
        <v>3567390</v>
      </c>
      <c r="J2044" s="979">
        <v>0.46759239052004037</v>
      </c>
      <c r="K2044" s="979">
        <v>2086661.9037934544</v>
      </c>
      <c r="L2044" s="979">
        <v>2086661.9037934544</v>
      </c>
      <c r="M2044" s="979">
        <v>599</v>
      </c>
    </row>
    <row r="2045" spans="1:13" ht="15">
      <c r="A2045" s="979" t="s">
        <v>3732</v>
      </c>
      <c r="B2045" s="1040" t="str">
        <f>CONCATENATE(LEFT(RIGHT(CONCATENATE("000",IFAData_TEA_1617!A2045),6),3),"-",(RIGHT(RIGHT(CONCATENATE("000",IFAData_TEA_1617!A2045),6),3)))</f>
        <v>220-917</v>
      </c>
      <c r="C2045" s="979" t="s">
        <v>657</v>
      </c>
      <c r="D2045" s="979">
        <v>5</v>
      </c>
      <c r="E2045" s="979">
        <v>1668</v>
      </c>
      <c r="F2045" s="979" t="s">
        <v>5528</v>
      </c>
      <c r="G2045" s="979" t="s">
        <v>5528</v>
      </c>
      <c r="H2045" s="979">
        <v>711722</v>
      </c>
      <c r="I2045" s="979">
        <v>0</v>
      </c>
      <c r="J2045" s="979">
        <v>0</v>
      </c>
      <c r="K2045" s="979">
        <v>0</v>
      </c>
      <c r="L2045" s="979">
        <v>0</v>
      </c>
      <c r="M2045" s="979">
        <v>199</v>
      </c>
    </row>
    <row r="2046" spans="1:13" ht="15">
      <c r="A2046" s="979" t="s">
        <v>3732</v>
      </c>
      <c r="B2046" s="1040" t="str">
        <f>CONCATENATE(LEFT(RIGHT(CONCATENATE("000",IFAData_TEA_1617!A2046),6),3),"-",(RIGHT(RIGHT(CONCATENATE("000",IFAData_TEA_1617!A2046),6),3)))</f>
        <v>220-917</v>
      </c>
      <c r="C2046" s="979" t="s">
        <v>657</v>
      </c>
      <c r="D2046" s="979">
        <v>5</v>
      </c>
      <c r="E2046" s="979">
        <v>1668</v>
      </c>
      <c r="F2046" s="979" t="s">
        <v>5528</v>
      </c>
      <c r="G2046" s="979" t="s">
        <v>5529</v>
      </c>
      <c r="H2046" s="979">
        <v>711722</v>
      </c>
      <c r="I2046" s="979">
        <v>0</v>
      </c>
      <c r="J2046" s="979">
        <v>0</v>
      </c>
      <c r="K2046" s="979">
        <v>0</v>
      </c>
      <c r="L2046" s="979">
        <v>0</v>
      </c>
      <c r="M2046" s="979">
        <v>599</v>
      </c>
    </row>
    <row r="2047" spans="1:13" ht="15">
      <c r="A2047" s="979" t="s">
        <v>3732</v>
      </c>
      <c r="B2047" s="1040" t="str">
        <f>CONCATENATE(LEFT(RIGHT(CONCATENATE("000",IFAData_TEA_1617!A2047),6),3),"-",(RIGHT(RIGHT(CONCATENATE("000",IFAData_TEA_1617!A2047),6),3)))</f>
        <v>220-917</v>
      </c>
      <c r="C2047" s="979" t="s">
        <v>657</v>
      </c>
      <c r="D2047" s="979">
        <v>5</v>
      </c>
      <c r="E2047" s="979">
        <v>1668</v>
      </c>
      <c r="F2047" s="979" t="s">
        <v>5528</v>
      </c>
      <c r="G2047" s="979" t="s">
        <v>5530</v>
      </c>
      <c r="H2047" s="979">
        <v>711722</v>
      </c>
      <c r="I2047" s="979">
        <v>574106</v>
      </c>
      <c r="J2047" s="979">
        <v>1</v>
      </c>
      <c r="K2047" s="979">
        <v>711722</v>
      </c>
      <c r="L2047" s="979">
        <v>574106</v>
      </c>
      <c r="M2047" s="979">
        <v>599</v>
      </c>
    </row>
    <row r="2048" spans="1:13" ht="15">
      <c r="A2048" s="979" t="s">
        <v>3732</v>
      </c>
      <c r="B2048" s="1040" t="str">
        <f>CONCATENATE(LEFT(RIGHT(CONCATENATE("000",IFAData_TEA_1617!A2048),6),3),"-",(RIGHT(RIGHT(CONCATENATE("000",IFAData_TEA_1617!A2048),6),3)))</f>
        <v>220-917</v>
      </c>
      <c r="C2048" s="979" t="s">
        <v>657</v>
      </c>
      <c r="D2048" s="979">
        <v>10</v>
      </c>
      <c r="E2048" s="979">
        <v>1669</v>
      </c>
      <c r="F2048" s="979" t="s">
        <v>5531</v>
      </c>
      <c r="G2048" s="979" t="s">
        <v>5531</v>
      </c>
      <c r="H2048" s="979">
        <v>843841</v>
      </c>
      <c r="I2048" s="979">
        <v>1529000</v>
      </c>
      <c r="J2048" s="979">
        <v>1</v>
      </c>
      <c r="K2048" s="979">
        <v>843841</v>
      </c>
      <c r="L2048" s="979">
        <v>843841</v>
      </c>
      <c r="M2048" s="979">
        <v>599</v>
      </c>
    </row>
    <row r="2049" spans="1:13" ht="15">
      <c r="A2049" s="979" t="s">
        <v>3733</v>
      </c>
      <c r="B2049" s="1040" t="str">
        <f>CONCATENATE(LEFT(RIGHT(CONCATENATE("000",IFAData_TEA_1617!A2049),6),3),"-",(RIGHT(RIGHT(CONCATENATE("000",IFAData_TEA_1617!A2049),6),3)))</f>
        <v>220-918</v>
      </c>
      <c r="C2049" s="979" t="s">
        <v>1280</v>
      </c>
      <c r="D2049" s="979">
        <v>10</v>
      </c>
      <c r="E2049" s="979">
        <v>1772</v>
      </c>
      <c r="F2049" s="979" t="s">
        <v>5532</v>
      </c>
      <c r="G2049" s="979" t="s">
        <v>6336</v>
      </c>
      <c r="H2049" s="979">
        <v>4072151</v>
      </c>
      <c r="I2049" s="979">
        <v>0</v>
      </c>
      <c r="J2049" s="979">
        <v>0</v>
      </c>
      <c r="K2049" s="979">
        <v>0</v>
      </c>
      <c r="L2049" s="979">
        <v>0</v>
      </c>
      <c r="M2049" s="979">
        <v>599</v>
      </c>
    </row>
    <row r="2050" spans="1:13" ht="15">
      <c r="A2050" s="979" t="s">
        <v>3733</v>
      </c>
      <c r="B2050" s="1040" t="str">
        <f>CONCATENATE(LEFT(RIGHT(CONCATENATE("000",IFAData_TEA_1617!A2050),6),3),"-",(RIGHT(RIGHT(CONCATENATE("000",IFAData_TEA_1617!A2050),6),3)))</f>
        <v>220-918</v>
      </c>
      <c r="C2050" s="979" t="s">
        <v>1280</v>
      </c>
      <c r="D2050" s="979">
        <v>10</v>
      </c>
      <c r="E2050" s="979">
        <v>1772</v>
      </c>
      <c r="F2050" s="979" t="s">
        <v>5532</v>
      </c>
      <c r="G2050" s="979" t="s">
        <v>5532</v>
      </c>
      <c r="H2050" s="979">
        <v>4072151</v>
      </c>
      <c r="I2050" s="979">
        <v>4372737</v>
      </c>
      <c r="J2050" s="979">
        <v>0.75291282697632134</v>
      </c>
      <c r="K2050" s="979">
        <v>3065974.7212844538</v>
      </c>
      <c r="L2050" s="979">
        <v>3065974.7212844538</v>
      </c>
      <c r="M2050" s="979">
        <v>599</v>
      </c>
    </row>
    <row r="2051" spans="1:13" ht="15">
      <c r="A2051" s="979" t="s">
        <v>3733</v>
      </c>
      <c r="B2051" s="1040" t="str">
        <f>CONCATENATE(LEFT(RIGHT(CONCATENATE("000",IFAData_TEA_1617!A2051),6),3),"-",(RIGHT(RIGHT(CONCATENATE("000",IFAData_TEA_1617!A2051),6),3)))</f>
        <v>220-918</v>
      </c>
      <c r="C2051" s="979" t="s">
        <v>1280</v>
      </c>
      <c r="D2051" s="979">
        <v>10</v>
      </c>
      <c r="E2051" s="979">
        <v>1772</v>
      </c>
      <c r="F2051" s="979" t="s">
        <v>5532</v>
      </c>
      <c r="G2051" s="979" t="s">
        <v>6544</v>
      </c>
      <c r="H2051" s="979">
        <v>4072151</v>
      </c>
      <c r="I2051" s="979">
        <v>1435023</v>
      </c>
      <c r="J2051" s="979">
        <v>0.24708717302367866</v>
      </c>
      <c r="K2051" s="979">
        <v>1006176.2787155461</v>
      </c>
      <c r="L2051" s="979">
        <v>1006176.2787155461</v>
      </c>
      <c r="M2051" s="979">
        <v>599</v>
      </c>
    </row>
    <row r="2052" spans="1:13" ht="15">
      <c r="A2052" s="979" t="s">
        <v>5533</v>
      </c>
      <c r="B2052" s="1040" t="str">
        <f>CONCATENATE(LEFT(RIGHT(CONCATENATE("000",IFAData_TEA_1617!A2052),6),3),"-",(RIGHT(RIGHT(CONCATENATE("000",IFAData_TEA_1617!A2052),6),3)))</f>
        <v>220-919</v>
      </c>
      <c r="C2052" s="979" t="s">
        <v>656</v>
      </c>
      <c r="D2052" s="979">
        <v>1</v>
      </c>
      <c r="E2052" s="979">
        <v>1667</v>
      </c>
      <c r="F2052" s="979" t="s">
        <v>5535</v>
      </c>
      <c r="G2052" s="979" t="s">
        <v>5535</v>
      </c>
      <c r="H2052" s="979">
        <v>693277</v>
      </c>
      <c r="I2052" s="979">
        <v>197593</v>
      </c>
      <c r="J2052" s="979">
        <v>1</v>
      </c>
      <c r="K2052" s="979">
        <v>693277</v>
      </c>
      <c r="L2052" s="979">
        <v>197593</v>
      </c>
      <c r="M2052" s="979">
        <v>599</v>
      </c>
    </row>
    <row r="2053" spans="1:13" ht="15">
      <c r="A2053" s="979" t="s">
        <v>5533</v>
      </c>
      <c r="B2053" s="1040" t="str">
        <f>CONCATENATE(LEFT(RIGHT(CONCATENATE("000",IFAData_TEA_1617!A2053),6),3),"-",(RIGHT(RIGHT(CONCATENATE("000",IFAData_TEA_1617!A2053),6),3)))</f>
        <v>220-919</v>
      </c>
      <c r="C2053" s="979" t="s">
        <v>656</v>
      </c>
      <c r="D2053" s="979">
        <v>1</v>
      </c>
      <c r="E2053" s="979">
        <v>1666</v>
      </c>
      <c r="F2053" s="979" t="s">
        <v>5534</v>
      </c>
      <c r="G2053" s="979" t="s">
        <v>5534</v>
      </c>
      <c r="H2053" s="979">
        <v>602473</v>
      </c>
      <c r="I2053" s="979">
        <v>0</v>
      </c>
      <c r="J2053" s="979">
        <v>0</v>
      </c>
      <c r="K2053" s="979"/>
      <c r="L2053" s="979">
        <v>0</v>
      </c>
      <c r="M2053" s="979">
        <v>599</v>
      </c>
    </row>
    <row r="2054" spans="1:13" ht="15">
      <c r="A2054" s="979" t="s">
        <v>3734</v>
      </c>
      <c r="B2054" s="1040" t="str">
        <f>CONCATENATE(LEFT(RIGHT(CONCATENATE("000",IFAData_TEA_1617!A2054),6),3),"-",(RIGHT(RIGHT(CONCATENATE("000",IFAData_TEA_1617!A2054),6),3)))</f>
        <v>220-920</v>
      </c>
      <c r="C2054" s="979" t="s">
        <v>1333</v>
      </c>
      <c r="D2054" s="979">
        <v>1</v>
      </c>
      <c r="E2054" s="979">
        <v>2449</v>
      </c>
      <c r="F2054" s="979" t="s">
        <v>5536</v>
      </c>
      <c r="G2054" s="979" t="s">
        <v>5540</v>
      </c>
      <c r="H2054" s="979">
        <v>729878</v>
      </c>
      <c r="I2054" s="979">
        <v>5346</v>
      </c>
      <c r="J2054" s="979">
        <v>5.7468607799863909E-3</v>
      </c>
      <c r="K2054" s="979">
        <v>4194.5072523749068</v>
      </c>
      <c r="L2054" s="979">
        <v>4194.5072523749068</v>
      </c>
      <c r="M2054" s="979">
        <v>599</v>
      </c>
    </row>
    <row r="2055" spans="1:13" ht="15">
      <c r="A2055" s="979" t="s">
        <v>3734</v>
      </c>
      <c r="B2055" s="1040" t="str">
        <f>CONCATENATE(LEFT(RIGHT(CONCATENATE("000",IFAData_TEA_1617!A2055),6),3),"-",(RIGHT(RIGHT(CONCATENATE("000",IFAData_TEA_1617!A2055),6),3)))</f>
        <v>220-920</v>
      </c>
      <c r="C2055" s="979" t="s">
        <v>1333</v>
      </c>
      <c r="D2055" s="979">
        <v>9</v>
      </c>
      <c r="E2055" s="979">
        <v>2450</v>
      </c>
      <c r="F2055" s="979" t="s">
        <v>5537</v>
      </c>
      <c r="G2055" s="979" t="s">
        <v>5540</v>
      </c>
      <c r="H2055" s="979">
        <v>1433532</v>
      </c>
      <c r="I2055" s="979">
        <v>289</v>
      </c>
      <c r="J2055" s="979">
        <v>3.9975599668575998E-4</v>
      </c>
      <c r="K2055" s="979">
        <v>573.06301344093083</v>
      </c>
      <c r="L2055" s="979">
        <v>289</v>
      </c>
      <c r="M2055" s="979">
        <v>599</v>
      </c>
    </row>
    <row r="2056" spans="1:13" ht="15">
      <c r="A2056" s="979" t="s">
        <v>3734</v>
      </c>
      <c r="B2056" s="1040" t="str">
        <f>CONCATENATE(LEFT(RIGHT(CONCATENATE("000",IFAData_TEA_1617!A2056),6),3),"-",(RIGHT(RIGHT(CONCATENATE("000",IFAData_TEA_1617!A2056),6),3)))</f>
        <v>220-920</v>
      </c>
      <c r="C2056" s="979" t="s">
        <v>1333</v>
      </c>
      <c r="D2056" s="979">
        <v>1</v>
      </c>
      <c r="E2056" s="979">
        <v>2449</v>
      </c>
      <c r="F2056" s="979" t="s">
        <v>5536</v>
      </c>
      <c r="G2056" s="979" t="s">
        <v>5539</v>
      </c>
      <c r="H2056" s="979">
        <v>729878</v>
      </c>
      <c r="I2056" s="979">
        <v>621295</v>
      </c>
      <c r="J2056" s="979">
        <v>0.66788175613573597</v>
      </c>
      <c r="K2056" s="979">
        <v>487472.20040483872</v>
      </c>
      <c r="L2056" s="979">
        <v>487472.20040483872</v>
      </c>
      <c r="M2056" s="979">
        <v>599</v>
      </c>
    </row>
    <row r="2057" spans="1:13" ht="15">
      <c r="A2057" s="979" t="s">
        <v>3734</v>
      </c>
      <c r="B2057" s="1040" t="str">
        <f>CONCATENATE(LEFT(RIGHT(CONCATENATE("000",IFAData_TEA_1617!A2057),6),3),"-",(RIGHT(RIGHT(CONCATENATE("000",IFAData_TEA_1617!A2057),6),3)))</f>
        <v>220-920</v>
      </c>
      <c r="C2057" s="979" t="s">
        <v>1333</v>
      </c>
      <c r="D2057" s="979">
        <v>9</v>
      </c>
      <c r="E2057" s="979">
        <v>2450</v>
      </c>
      <c r="F2057" s="979" t="s">
        <v>5537</v>
      </c>
      <c r="G2057" s="979" t="s">
        <v>5539</v>
      </c>
      <c r="H2057" s="979">
        <v>1433532</v>
      </c>
      <c r="I2057" s="979">
        <v>519967</v>
      </c>
      <c r="J2057" s="979">
        <v>0.71923849940728224</v>
      </c>
      <c r="K2057" s="979">
        <v>1031051.4045323201</v>
      </c>
      <c r="L2057" s="979">
        <v>519967</v>
      </c>
      <c r="M2057" s="979">
        <v>599</v>
      </c>
    </row>
    <row r="2058" spans="1:13" ht="15">
      <c r="A2058" s="979" t="s">
        <v>3734</v>
      </c>
      <c r="B2058" s="1040" t="str">
        <f>CONCATENATE(LEFT(RIGHT(CONCATENATE("000",IFAData_TEA_1617!A2058),6),3),"-",(RIGHT(RIGHT(CONCATENATE("000",IFAData_TEA_1617!A2058),6),3)))</f>
        <v>220-920</v>
      </c>
      <c r="C2058" s="979" t="s">
        <v>1333</v>
      </c>
      <c r="D2058" s="979">
        <v>9</v>
      </c>
      <c r="E2058" s="979">
        <v>2450</v>
      </c>
      <c r="F2058" s="979" t="s">
        <v>5537</v>
      </c>
      <c r="G2058" s="979" t="s">
        <v>5537</v>
      </c>
      <c r="H2058" s="979">
        <v>1433532</v>
      </c>
      <c r="I2058" s="979">
        <v>0</v>
      </c>
      <c r="J2058" s="979">
        <v>0</v>
      </c>
      <c r="K2058" s="979">
        <v>0</v>
      </c>
      <c r="L2058" s="979">
        <v>0</v>
      </c>
      <c r="M2058" s="979">
        <v>599</v>
      </c>
    </row>
    <row r="2059" spans="1:13" ht="15">
      <c r="A2059" s="979" t="s">
        <v>3734</v>
      </c>
      <c r="B2059" s="1040" t="str">
        <f>CONCATENATE(LEFT(RIGHT(CONCATENATE("000",IFAData_TEA_1617!A2059),6),3),"-",(RIGHT(RIGHT(CONCATENATE("000",IFAData_TEA_1617!A2059),6),3)))</f>
        <v>220-920</v>
      </c>
      <c r="C2059" s="979" t="s">
        <v>1333</v>
      </c>
      <c r="D2059" s="979">
        <v>1</v>
      </c>
      <c r="E2059" s="979">
        <v>2449</v>
      </c>
      <c r="F2059" s="979" t="s">
        <v>5536</v>
      </c>
      <c r="G2059" s="979" t="s">
        <v>5537</v>
      </c>
      <c r="H2059" s="979">
        <v>729878</v>
      </c>
      <c r="I2059" s="979">
        <v>100485</v>
      </c>
      <c r="J2059" s="979">
        <v>0.10801969799418865</v>
      </c>
      <c r="K2059" s="979">
        <v>78841.201132602422</v>
      </c>
      <c r="L2059" s="979">
        <v>78841.201132602422</v>
      </c>
      <c r="M2059" s="979">
        <v>599</v>
      </c>
    </row>
    <row r="2060" spans="1:13" ht="15">
      <c r="A2060" s="979" t="s">
        <v>3734</v>
      </c>
      <c r="B2060" s="1040" t="str">
        <f>CONCATENATE(LEFT(RIGHT(CONCATENATE("000",IFAData_TEA_1617!A2060),6),3),"-",(RIGHT(RIGHT(CONCATENATE("000",IFAData_TEA_1617!A2060),6),3)))</f>
        <v>220-920</v>
      </c>
      <c r="C2060" s="979" t="s">
        <v>1333</v>
      </c>
      <c r="D2060" s="979">
        <v>1</v>
      </c>
      <c r="E2060" s="979">
        <v>2449</v>
      </c>
      <c r="F2060" s="979" t="s">
        <v>5536</v>
      </c>
      <c r="G2060" s="979" t="s">
        <v>6545</v>
      </c>
      <c r="H2060" s="979">
        <v>729878</v>
      </c>
      <c r="I2060" s="979">
        <v>18908</v>
      </c>
      <c r="J2060" s="979">
        <v>2.0325784442196536E-2</v>
      </c>
      <c r="K2060" s="979">
        <v>14835.342897101524</v>
      </c>
      <c r="L2060" s="979">
        <v>14835.342897101524</v>
      </c>
      <c r="M2060" s="979">
        <v>599</v>
      </c>
    </row>
    <row r="2061" spans="1:13" ht="15">
      <c r="A2061" s="979" t="s">
        <v>3734</v>
      </c>
      <c r="B2061" s="1040" t="str">
        <f>CONCATENATE(LEFT(RIGHT(CONCATENATE("000",IFAData_TEA_1617!A2061),6),3),"-",(RIGHT(RIGHT(CONCATENATE("000",IFAData_TEA_1617!A2061),6),3)))</f>
        <v>220-920</v>
      </c>
      <c r="C2061" s="979" t="s">
        <v>1333</v>
      </c>
      <c r="D2061" s="979">
        <v>1</v>
      </c>
      <c r="E2061" s="979">
        <v>2449</v>
      </c>
      <c r="F2061" s="979" t="s">
        <v>5536</v>
      </c>
      <c r="G2061" s="979" t="s">
        <v>5538</v>
      </c>
      <c r="H2061" s="979">
        <v>729878</v>
      </c>
      <c r="I2061" s="979">
        <v>93763</v>
      </c>
      <c r="J2061" s="979">
        <v>0.10079366017842573</v>
      </c>
      <c r="K2061" s="979">
        <v>73567.075103709009</v>
      </c>
      <c r="L2061" s="979">
        <v>73567.075103709009</v>
      </c>
      <c r="M2061" s="979">
        <v>599</v>
      </c>
    </row>
    <row r="2062" spans="1:13" ht="15">
      <c r="A2062" s="979" t="s">
        <v>3734</v>
      </c>
      <c r="B2062" s="1040" t="str">
        <f>CONCATENATE(LEFT(RIGHT(CONCATENATE("000",IFAData_TEA_1617!A2062),6),3),"-",(RIGHT(RIGHT(CONCATENATE("000",IFAData_TEA_1617!A2062),6),3)))</f>
        <v>220-920</v>
      </c>
      <c r="C2062" s="979" t="s">
        <v>1333</v>
      </c>
      <c r="D2062" s="979">
        <v>1</v>
      </c>
      <c r="E2062" s="979">
        <v>2449</v>
      </c>
      <c r="F2062" s="979" t="s">
        <v>5536</v>
      </c>
      <c r="G2062" s="979" t="s">
        <v>5536</v>
      </c>
      <c r="H2062" s="979">
        <v>729878</v>
      </c>
      <c r="I2062" s="979">
        <v>0</v>
      </c>
      <c r="J2062" s="979">
        <v>0</v>
      </c>
      <c r="K2062" s="979">
        <v>0</v>
      </c>
      <c r="L2062" s="979">
        <v>0</v>
      </c>
      <c r="M2062" s="979">
        <v>599</v>
      </c>
    </row>
    <row r="2063" spans="1:13" ht="15">
      <c r="A2063" s="979" t="s">
        <v>3734</v>
      </c>
      <c r="B2063" s="1040" t="str">
        <f>CONCATENATE(LEFT(RIGHT(CONCATENATE("000",IFAData_TEA_1617!A2063),6),3),"-",(RIGHT(RIGHT(CONCATENATE("000",IFAData_TEA_1617!A2063),6),3)))</f>
        <v>220-920</v>
      </c>
      <c r="C2063" s="979" t="s">
        <v>1333</v>
      </c>
      <c r="D2063" s="979">
        <v>1</v>
      </c>
      <c r="E2063" s="979">
        <v>2449</v>
      </c>
      <c r="F2063" s="979" t="s">
        <v>5536</v>
      </c>
      <c r="G2063" s="979" t="s">
        <v>6337</v>
      </c>
      <c r="H2063" s="979">
        <v>729878</v>
      </c>
      <c r="I2063" s="979">
        <v>25494</v>
      </c>
      <c r="J2063" s="979">
        <v>2.7405624527679209E-2</v>
      </c>
      <c r="K2063" s="979">
        <v>20002.762419013445</v>
      </c>
      <c r="L2063" s="979">
        <v>20002.762419013445</v>
      </c>
      <c r="M2063" s="979">
        <v>599</v>
      </c>
    </row>
    <row r="2064" spans="1:13" ht="15">
      <c r="A2064" s="979" t="s">
        <v>3734</v>
      </c>
      <c r="B2064" s="1040" t="str">
        <f>CONCATENATE(LEFT(RIGHT(CONCATENATE("000",IFAData_TEA_1617!A2064),6),3),"-",(RIGHT(RIGHT(CONCATENATE("000",IFAData_TEA_1617!A2064),6),3)))</f>
        <v>220-920</v>
      </c>
      <c r="C2064" s="979" t="s">
        <v>1333</v>
      </c>
      <c r="D2064" s="979">
        <v>9</v>
      </c>
      <c r="E2064" s="979">
        <v>2450</v>
      </c>
      <c r="F2064" s="979" t="s">
        <v>5537</v>
      </c>
      <c r="G2064" s="979" t="s">
        <v>6337</v>
      </c>
      <c r="H2064" s="979">
        <v>1433532</v>
      </c>
      <c r="I2064" s="979">
        <v>202685</v>
      </c>
      <c r="J2064" s="979">
        <v>0.28036174459603203</v>
      </c>
      <c r="K2064" s="979">
        <v>401907.53245423897</v>
      </c>
      <c r="L2064" s="979">
        <v>202685</v>
      </c>
      <c r="M2064" s="979">
        <v>599</v>
      </c>
    </row>
    <row r="2065" spans="1:13" ht="15">
      <c r="A2065" s="979" t="s">
        <v>3734</v>
      </c>
      <c r="B2065" s="1040" t="str">
        <f>CONCATENATE(LEFT(RIGHT(CONCATENATE("000",IFAData_TEA_1617!A2065),6),3),"-",(RIGHT(RIGHT(CONCATENATE("000",IFAData_TEA_1617!A2065),6),3)))</f>
        <v>220-920</v>
      </c>
      <c r="C2065" s="979" t="s">
        <v>1333</v>
      </c>
      <c r="D2065" s="979">
        <v>1</v>
      </c>
      <c r="E2065" s="979">
        <v>2449</v>
      </c>
      <c r="F2065" s="979" t="s">
        <v>5536</v>
      </c>
      <c r="G2065" s="979" t="s">
        <v>6338</v>
      </c>
      <c r="H2065" s="979">
        <v>729878</v>
      </c>
      <c r="I2065" s="979">
        <v>64956</v>
      </c>
      <c r="J2065" s="979">
        <v>6.9826615941787504E-2</v>
      </c>
      <c r="K2065" s="979">
        <v>50964.91079035998</v>
      </c>
      <c r="L2065" s="979">
        <v>50964.91079035998</v>
      </c>
      <c r="M2065" s="979">
        <v>599</v>
      </c>
    </row>
    <row r="2066" spans="1:13" ht="15">
      <c r="A2066" s="979" t="s">
        <v>3735</v>
      </c>
      <c r="B2066" s="1040" t="str">
        <f>CONCATENATE(LEFT(RIGHT(CONCATENATE("000",IFAData_TEA_1617!A2066),6),3),"-",(RIGHT(RIGHT(CONCATENATE("000",IFAData_TEA_1617!A2066),6),3)))</f>
        <v>223-902</v>
      </c>
      <c r="C2066" s="979" t="s">
        <v>822</v>
      </c>
      <c r="D2066" s="979">
        <v>5</v>
      </c>
      <c r="E2066" s="979">
        <v>2084</v>
      </c>
      <c r="F2066" s="979" t="s">
        <v>5541</v>
      </c>
      <c r="G2066" s="979" t="s">
        <v>5541</v>
      </c>
      <c r="H2066" s="979">
        <v>100000</v>
      </c>
      <c r="I2066" s="979">
        <v>0</v>
      </c>
      <c r="J2066" s="979">
        <v>0</v>
      </c>
      <c r="K2066" s="979">
        <v>0</v>
      </c>
      <c r="L2066" s="979">
        <v>0</v>
      </c>
      <c r="M2066" s="979">
        <v>599</v>
      </c>
    </row>
    <row r="2067" spans="1:13" ht="15">
      <c r="A2067" s="979" t="s">
        <v>3735</v>
      </c>
      <c r="B2067" s="1040" t="str">
        <f>CONCATENATE(LEFT(RIGHT(CONCATENATE("000",IFAData_TEA_1617!A2067),6),3),"-",(RIGHT(RIGHT(CONCATENATE("000",IFAData_TEA_1617!A2067),6),3)))</f>
        <v>223-902</v>
      </c>
      <c r="C2067" s="979" t="s">
        <v>822</v>
      </c>
      <c r="D2067" s="979">
        <v>5</v>
      </c>
      <c r="E2067" s="979">
        <v>2084</v>
      </c>
      <c r="F2067" s="979" t="s">
        <v>5541</v>
      </c>
      <c r="G2067" s="979" t="s">
        <v>5542</v>
      </c>
      <c r="H2067" s="979">
        <v>100000</v>
      </c>
      <c r="I2067" s="979">
        <v>87350</v>
      </c>
      <c r="J2067" s="979">
        <v>1</v>
      </c>
      <c r="K2067" s="979">
        <v>100000</v>
      </c>
      <c r="L2067" s="979">
        <v>87350</v>
      </c>
      <c r="M2067" s="979">
        <v>599</v>
      </c>
    </row>
    <row r="2068" spans="1:13" ht="15">
      <c r="A2068" s="979" t="s">
        <v>3736</v>
      </c>
      <c r="B2068" s="1040" t="str">
        <f>CONCATENATE(LEFT(RIGHT(CONCATENATE("000",IFAData_TEA_1617!A2068),6),3),"-",(RIGHT(RIGHT(CONCATENATE("000",IFAData_TEA_1617!A2068),6),3)))</f>
        <v>225-906</v>
      </c>
      <c r="C2068" s="979" t="s">
        <v>660</v>
      </c>
      <c r="D2068" s="979">
        <v>8</v>
      </c>
      <c r="E2068" s="979">
        <v>1679</v>
      </c>
      <c r="F2068" s="979" t="s">
        <v>5545</v>
      </c>
      <c r="G2068" s="979" t="s">
        <v>5545</v>
      </c>
      <c r="H2068" s="979">
        <v>163986</v>
      </c>
      <c r="I2068" s="979">
        <v>0</v>
      </c>
      <c r="J2068" s="979">
        <v>0</v>
      </c>
      <c r="K2068" s="979">
        <v>0</v>
      </c>
      <c r="L2068" s="979">
        <v>0</v>
      </c>
      <c r="M2068" s="979">
        <v>599</v>
      </c>
    </row>
    <row r="2069" spans="1:13" ht="15">
      <c r="A2069" s="979" t="s">
        <v>3736</v>
      </c>
      <c r="B2069" s="1040" t="str">
        <f>CONCATENATE(LEFT(RIGHT(CONCATENATE("000",IFAData_TEA_1617!A2069),6),3),"-",(RIGHT(RIGHT(CONCATENATE("000",IFAData_TEA_1617!A2069),6),3)))</f>
        <v>225-906</v>
      </c>
      <c r="C2069" s="979" t="s">
        <v>660</v>
      </c>
      <c r="D2069" s="979">
        <v>6</v>
      </c>
      <c r="E2069" s="979">
        <v>1680</v>
      </c>
      <c r="F2069" s="979" t="s">
        <v>5543</v>
      </c>
      <c r="G2069" s="979" t="s">
        <v>5544</v>
      </c>
      <c r="H2069" s="979">
        <v>178703</v>
      </c>
      <c r="I2069" s="979">
        <v>164810</v>
      </c>
      <c r="J2069" s="979">
        <v>1</v>
      </c>
      <c r="K2069" s="979">
        <v>178703</v>
      </c>
      <c r="L2069" s="979">
        <v>164810</v>
      </c>
      <c r="M2069" s="979">
        <v>599</v>
      </c>
    </row>
    <row r="2070" spans="1:13" ht="15">
      <c r="A2070" s="979" t="s">
        <v>3736</v>
      </c>
      <c r="B2070" s="1040" t="str">
        <f>CONCATENATE(LEFT(RIGHT(CONCATENATE("000",IFAData_TEA_1617!A2070),6),3),"-",(RIGHT(RIGHT(CONCATENATE("000",IFAData_TEA_1617!A2070),6),3)))</f>
        <v>225-906</v>
      </c>
      <c r="C2070" s="979" t="s">
        <v>660</v>
      </c>
      <c r="D2070" s="979">
        <v>6</v>
      </c>
      <c r="E2070" s="979">
        <v>1680</v>
      </c>
      <c r="F2070" s="979" t="s">
        <v>5543</v>
      </c>
      <c r="G2070" s="979" t="s">
        <v>5543</v>
      </c>
      <c r="H2070" s="979">
        <v>178703</v>
      </c>
      <c r="I2070" s="979">
        <v>0</v>
      </c>
      <c r="J2070" s="979">
        <v>0</v>
      </c>
      <c r="K2070" s="979">
        <v>0</v>
      </c>
      <c r="L2070" s="979">
        <v>0</v>
      </c>
      <c r="M2070" s="979">
        <v>599</v>
      </c>
    </row>
    <row r="2071" spans="1:13" ht="15">
      <c r="A2071" s="979" t="s">
        <v>3736</v>
      </c>
      <c r="B2071" s="1040" t="str">
        <f>CONCATENATE(LEFT(RIGHT(CONCATENATE("000",IFAData_TEA_1617!A2071),6),3),"-",(RIGHT(RIGHT(CONCATENATE("000",IFAData_TEA_1617!A2071),6),3)))</f>
        <v>225-906</v>
      </c>
      <c r="C2071" s="979" t="s">
        <v>660</v>
      </c>
      <c r="D2071" s="979">
        <v>8</v>
      </c>
      <c r="E2071" s="979">
        <v>1679</v>
      </c>
      <c r="F2071" s="979" t="s">
        <v>5545</v>
      </c>
      <c r="G2071" s="979" t="s">
        <v>6546</v>
      </c>
      <c r="H2071" s="979">
        <v>163986</v>
      </c>
      <c r="I2071" s="979">
        <v>128100</v>
      </c>
      <c r="J2071" s="979">
        <v>1</v>
      </c>
      <c r="K2071" s="979">
        <v>163986</v>
      </c>
      <c r="L2071" s="979">
        <v>128100</v>
      </c>
      <c r="M2071" s="979">
        <v>599</v>
      </c>
    </row>
    <row r="2072" spans="1:13" ht="15">
      <c r="A2072" s="979" t="s">
        <v>3737</v>
      </c>
      <c r="B2072" s="1040" t="str">
        <f>CONCATENATE(LEFT(RIGHT(CONCATENATE("000",IFAData_TEA_1617!A2072),6),3),"-",(RIGHT(RIGHT(CONCATENATE("000",IFAData_TEA_1617!A2072),6),3)))</f>
        <v>226-903</v>
      </c>
      <c r="C2072" s="979" t="s">
        <v>2027</v>
      </c>
      <c r="D2072" s="979">
        <v>1</v>
      </c>
      <c r="E2072" s="979">
        <v>2277</v>
      </c>
      <c r="F2072" s="979" t="s">
        <v>5548</v>
      </c>
      <c r="G2072" s="979" t="s">
        <v>6339</v>
      </c>
      <c r="H2072" s="979">
        <v>726000</v>
      </c>
      <c r="I2072" s="979">
        <v>666075</v>
      </c>
      <c r="J2072" s="979">
        <v>1</v>
      </c>
      <c r="K2072" s="979">
        <v>726000</v>
      </c>
      <c r="L2072" s="979">
        <v>666075</v>
      </c>
      <c r="M2072" s="979">
        <v>599</v>
      </c>
    </row>
    <row r="2073" spans="1:13" ht="15">
      <c r="A2073" s="979" t="s">
        <v>3737</v>
      </c>
      <c r="B2073" s="1040" t="str">
        <f>CONCATENATE(LEFT(RIGHT(CONCATENATE("000",IFAData_TEA_1617!A2073),6),3),"-",(RIGHT(RIGHT(CONCATENATE("000",IFAData_TEA_1617!A2073),6),3)))</f>
        <v>226-903</v>
      </c>
      <c r="C2073" s="979" t="s">
        <v>2027</v>
      </c>
      <c r="D2073" s="979">
        <v>10</v>
      </c>
      <c r="E2073" s="979">
        <v>2279</v>
      </c>
      <c r="F2073" s="979" t="s">
        <v>5550</v>
      </c>
      <c r="G2073" s="979" t="s">
        <v>6340</v>
      </c>
      <c r="H2073" s="979">
        <v>3492500</v>
      </c>
      <c r="I2073" s="979">
        <v>4510400</v>
      </c>
      <c r="J2073" s="979">
        <v>0.55784500457614961</v>
      </c>
      <c r="K2073" s="979">
        <v>1948273.6784822026</v>
      </c>
      <c r="L2073" s="979">
        <v>1948273.6784822026</v>
      </c>
      <c r="M2073" s="979">
        <v>599</v>
      </c>
    </row>
    <row r="2074" spans="1:13" ht="15">
      <c r="A2074" s="979" t="s">
        <v>3737</v>
      </c>
      <c r="B2074" s="1040" t="str">
        <f>CONCATENATE(LEFT(RIGHT(CONCATENATE("000",IFAData_TEA_1617!A2074),6),3),"-",(RIGHT(RIGHT(CONCATENATE("000",IFAData_TEA_1617!A2074),6),3)))</f>
        <v>226-903</v>
      </c>
      <c r="C2074" s="979" t="s">
        <v>2027</v>
      </c>
      <c r="D2074" s="979">
        <v>1</v>
      </c>
      <c r="E2074" s="979">
        <v>2277</v>
      </c>
      <c r="F2074" s="979" t="s">
        <v>5548</v>
      </c>
      <c r="G2074" s="979" t="s">
        <v>5548</v>
      </c>
      <c r="H2074" s="979">
        <v>726000</v>
      </c>
      <c r="I2074" s="979">
        <v>0</v>
      </c>
      <c r="J2074" s="979">
        <v>0</v>
      </c>
      <c r="K2074" s="979">
        <v>0</v>
      </c>
      <c r="L2074" s="979">
        <v>0</v>
      </c>
      <c r="M2074" s="979">
        <v>599</v>
      </c>
    </row>
    <row r="2075" spans="1:13" ht="15">
      <c r="A2075" s="979" t="s">
        <v>3737</v>
      </c>
      <c r="B2075" s="1040" t="str">
        <f>CONCATENATE(LEFT(RIGHT(CONCATENATE("000",IFAData_TEA_1617!A2075),6),3),"-",(RIGHT(RIGHT(CONCATENATE("000",IFAData_TEA_1617!A2075),6),3)))</f>
        <v>226-903</v>
      </c>
      <c r="C2075" s="979" t="s">
        <v>2027</v>
      </c>
      <c r="D2075" s="979">
        <v>1</v>
      </c>
      <c r="E2075" s="979">
        <v>2278</v>
      </c>
      <c r="F2075" s="979" t="s">
        <v>5546</v>
      </c>
      <c r="G2075" s="979" t="s">
        <v>5546</v>
      </c>
      <c r="H2075" s="979">
        <v>1247036</v>
      </c>
      <c r="I2075" s="979">
        <v>0</v>
      </c>
      <c r="J2075" s="979">
        <v>0</v>
      </c>
      <c r="K2075" s="979">
        <v>0</v>
      </c>
      <c r="L2075" s="979">
        <v>0</v>
      </c>
      <c r="M2075" s="979">
        <v>599</v>
      </c>
    </row>
    <row r="2076" spans="1:13" ht="15">
      <c r="A2076" s="979" t="s">
        <v>3737</v>
      </c>
      <c r="B2076" s="1040" t="str">
        <f>CONCATENATE(LEFT(RIGHT(CONCATENATE("000",IFAData_TEA_1617!A2076),6),3),"-",(RIGHT(RIGHT(CONCATENATE("000",IFAData_TEA_1617!A2076),6),3)))</f>
        <v>226-903</v>
      </c>
      <c r="C2076" s="979" t="s">
        <v>2027</v>
      </c>
      <c r="D2076" s="979">
        <v>1</v>
      </c>
      <c r="E2076" s="979">
        <v>2277</v>
      </c>
      <c r="F2076" s="979" t="s">
        <v>5548</v>
      </c>
      <c r="G2076" s="979" t="s">
        <v>5549</v>
      </c>
      <c r="H2076" s="979">
        <v>726000</v>
      </c>
      <c r="I2076" s="979">
        <v>0</v>
      </c>
      <c r="J2076" s="979">
        <v>0</v>
      </c>
      <c r="K2076" s="979">
        <v>0</v>
      </c>
      <c r="L2076" s="979">
        <v>0</v>
      </c>
      <c r="M2076" s="979">
        <v>599</v>
      </c>
    </row>
    <row r="2077" spans="1:13" ht="15">
      <c r="A2077" s="979" t="s">
        <v>3737</v>
      </c>
      <c r="B2077" s="1040" t="str">
        <f>CONCATENATE(LEFT(RIGHT(CONCATENATE("000",IFAData_TEA_1617!A2077),6),3),"-",(RIGHT(RIGHT(CONCATENATE("000",IFAData_TEA_1617!A2077),6),3)))</f>
        <v>226-903</v>
      </c>
      <c r="C2077" s="979" t="s">
        <v>2027</v>
      </c>
      <c r="D2077" s="979">
        <v>1</v>
      </c>
      <c r="E2077" s="979">
        <v>2278</v>
      </c>
      <c r="F2077" s="979" t="s">
        <v>5546</v>
      </c>
      <c r="G2077" s="979" t="s">
        <v>5547</v>
      </c>
      <c r="H2077" s="979">
        <v>1247036</v>
      </c>
      <c r="I2077" s="979">
        <v>600325</v>
      </c>
      <c r="J2077" s="979">
        <v>1</v>
      </c>
      <c r="K2077" s="979">
        <v>1247036</v>
      </c>
      <c r="L2077" s="979">
        <v>600325</v>
      </c>
      <c r="M2077" s="979">
        <v>599</v>
      </c>
    </row>
    <row r="2078" spans="1:13" ht="15">
      <c r="A2078" s="979" t="s">
        <v>3737</v>
      </c>
      <c r="B2078" s="1040" t="str">
        <f>CONCATENATE(LEFT(RIGHT(CONCATENATE("000",IFAData_TEA_1617!A2078),6),3),"-",(RIGHT(RIGHT(CONCATENATE("000",IFAData_TEA_1617!A2078),6),3)))</f>
        <v>226-903</v>
      </c>
      <c r="C2078" s="979" t="s">
        <v>2027</v>
      </c>
      <c r="D2078" s="979">
        <v>10</v>
      </c>
      <c r="E2078" s="979">
        <v>2279</v>
      </c>
      <c r="F2078" s="979" t="s">
        <v>5550</v>
      </c>
      <c r="G2078" s="979" t="s">
        <v>5550</v>
      </c>
      <c r="H2078" s="979">
        <v>3492500</v>
      </c>
      <c r="I2078" s="979">
        <v>3575000</v>
      </c>
      <c r="J2078" s="979">
        <v>0.44215499542385039</v>
      </c>
      <c r="K2078" s="979">
        <v>1544226.3215177974</v>
      </c>
      <c r="L2078" s="979">
        <v>1544226.3215177974</v>
      </c>
      <c r="M2078" s="979">
        <v>599</v>
      </c>
    </row>
    <row r="2079" spans="1:13" ht="15">
      <c r="A2079" s="979" t="s">
        <v>3738</v>
      </c>
      <c r="B2079" s="1040" t="str">
        <f>CONCATENATE(LEFT(RIGHT(CONCATENATE("000",IFAData_TEA_1617!A2079),6),3),"-",(RIGHT(RIGHT(CONCATENATE("000",IFAData_TEA_1617!A2079),6),3)))</f>
        <v>226-906</v>
      </c>
      <c r="C2079" s="979" t="s">
        <v>137</v>
      </c>
      <c r="D2079" s="979">
        <v>1</v>
      </c>
      <c r="E2079" s="979">
        <v>2432</v>
      </c>
      <c r="F2079" s="979" t="s">
        <v>5551</v>
      </c>
      <c r="G2079" s="979" t="s">
        <v>6341</v>
      </c>
      <c r="H2079" s="979">
        <v>216359</v>
      </c>
      <c r="I2079" s="979">
        <v>198225</v>
      </c>
      <c r="J2079" s="979">
        <v>1</v>
      </c>
      <c r="K2079" s="979">
        <v>216359</v>
      </c>
      <c r="L2079" s="979">
        <v>198225</v>
      </c>
      <c r="M2079" s="979">
        <v>599</v>
      </c>
    </row>
    <row r="2080" spans="1:13" ht="15">
      <c r="A2080" s="979" t="s">
        <v>3738</v>
      </c>
      <c r="B2080" s="1040" t="str">
        <f>CONCATENATE(LEFT(RIGHT(CONCATENATE("000",IFAData_TEA_1617!A2080),6),3),"-",(RIGHT(RIGHT(CONCATENATE("000",IFAData_TEA_1617!A2080),6),3)))</f>
        <v>226-906</v>
      </c>
      <c r="C2080" s="979" t="s">
        <v>137</v>
      </c>
      <c r="D2080" s="979">
        <v>1</v>
      </c>
      <c r="E2080" s="979">
        <v>2432</v>
      </c>
      <c r="F2080" s="979" t="s">
        <v>5551</v>
      </c>
      <c r="G2080" s="979" t="s">
        <v>5552</v>
      </c>
      <c r="H2080" s="979">
        <v>216359</v>
      </c>
      <c r="I2080" s="979">
        <v>0</v>
      </c>
      <c r="J2080" s="979">
        <v>0</v>
      </c>
      <c r="K2080" s="979">
        <v>0</v>
      </c>
      <c r="L2080" s="979">
        <v>0</v>
      </c>
      <c r="M2080" s="979">
        <v>599</v>
      </c>
    </row>
    <row r="2081" spans="1:13" ht="15">
      <c r="A2081" s="979" t="s">
        <v>3738</v>
      </c>
      <c r="B2081" s="1040" t="str">
        <f>CONCATENATE(LEFT(RIGHT(CONCATENATE("000",IFAData_TEA_1617!A2081),6),3),"-",(RIGHT(RIGHT(CONCATENATE("000",IFAData_TEA_1617!A2081),6),3)))</f>
        <v>226-906</v>
      </c>
      <c r="C2081" s="979" t="s">
        <v>137</v>
      </c>
      <c r="D2081" s="979">
        <v>1</v>
      </c>
      <c r="E2081" s="979">
        <v>2432</v>
      </c>
      <c r="F2081" s="979" t="s">
        <v>5551</v>
      </c>
      <c r="G2081" s="979" t="s">
        <v>5551</v>
      </c>
      <c r="H2081" s="979">
        <v>216359</v>
      </c>
      <c r="I2081" s="979">
        <v>0</v>
      </c>
      <c r="J2081" s="979">
        <v>0</v>
      </c>
      <c r="K2081" s="979">
        <v>0</v>
      </c>
      <c r="L2081" s="979">
        <v>0</v>
      </c>
      <c r="M2081" s="979">
        <v>599</v>
      </c>
    </row>
    <row r="2082" spans="1:13" ht="15">
      <c r="A2082" s="979" t="s">
        <v>3739</v>
      </c>
      <c r="B2082" s="1040" t="str">
        <f>CONCATENATE(LEFT(RIGHT(CONCATENATE("000",IFAData_TEA_1617!A2082),6),3),"-",(RIGHT(RIGHT(CONCATENATE("000",IFAData_TEA_1617!A2082),6),3)))</f>
        <v>226-907</v>
      </c>
      <c r="C2082" s="979" t="s">
        <v>1731</v>
      </c>
      <c r="D2082" s="979">
        <v>4</v>
      </c>
      <c r="E2082" s="979">
        <v>1860</v>
      </c>
      <c r="F2082" s="979" t="s">
        <v>5553</v>
      </c>
      <c r="G2082" s="979" t="s">
        <v>5553</v>
      </c>
      <c r="H2082" s="979">
        <v>498900</v>
      </c>
      <c r="I2082" s="979">
        <v>0</v>
      </c>
      <c r="J2082" s="979">
        <v>0</v>
      </c>
      <c r="K2082" s="979">
        <v>0</v>
      </c>
      <c r="L2082" s="979">
        <v>0</v>
      </c>
      <c r="M2082" s="979">
        <v>599</v>
      </c>
    </row>
    <row r="2083" spans="1:13" ht="15">
      <c r="A2083" s="979" t="s">
        <v>3739</v>
      </c>
      <c r="B2083" s="1040" t="str">
        <f>CONCATENATE(LEFT(RIGHT(CONCATENATE("000",IFAData_TEA_1617!A2083),6),3),"-",(RIGHT(RIGHT(CONCATENATE("000",IFAData_TEA_1617!A2083),6),3)))</f>
        <v>226-907</v>
      </c>
      <c r="C2083" s="979" t="s">
        <v>1731</v>
      </c>
      <c r="D2083" s="979">
        <v>4</v>
      </c>
      <c r="E2083" s="979">
        <v>1860</v>
      </c>
      <c r="F2083" s="979" t="s">
        <v>5553</v>
      </c>
      <c r="G2083" s="979" t="s">
        <v>5554</v>
      </c>
      <c r="H2083" s="979">
        <v>498900</v>
      </c>
      <c r="I2083" s="979">
        <v>656325</v>
      </c>
      <c r="J2083" s="979">
        <v>1</v>
      </c>
      <c r="K2083" s="979">
        <v>498900</v>
      </c>
      <c r="L2083" s="979">
        <v>498900</v>
      </c>
      <c r="M2083" s="979">
        <v>599</v>
      </c>
    </row>
    <row r="2084" spans="1:13" ht="15">
      <c r="A2084" s="979" t="s">
        <v>3740</v>
      </c>
      <c r="B2084" s="1040" t="str">
        <f>CONCATENATE(LEFT(RIGHT(CONCATENATE("000",IFAData_TEA_1617!A2084),6),3),"-",(RIGHT(RIGHT(CONCATENATE("000",IFAData_TEA_1617!A2084),6),3)))</f>
        <v>226-908</v>
      </c>
      <c r="C2084" s="979" t="s">
        <v>2645</v>
      </c>
      <c r="D2084" s="979">
        <v>5</v>
      </c>
      <c r="E2084" s="979">
        <v>2425</v>
      </c>
      <c r="F2084" s="979" t="s">
        <v>5555</v>
      </c>
      <c r="G2084" s="979" t="s">
        <v>5555</v>
      </c>
      <c r="H2084" s="979">
        <v>100000</v>
      </c>
      <c r="I2084" s="979">
        <v>0</v>
      </c>
      <c r="J2084" s="979">
        <v>0</v>
      </c>
      <c r="K2084" s="979">
        <v>0</v>
      </c>
      <c r="L2084" s="979">
        <v>0</v>
      </c>
      <c r="M2084" s="979">
        <v>599</v>
      </c>
    </row>
    <row r="2085" spans="1:13" ht="15">
      <c r="A2085" s="979" t="s">
        <v>3740</v>
      </c>
      <c r="B2085" s="1040" t="str">
        <f>CONCATENATE(LEFT(RIGHT(CONCATENATE("000",IFAData_TEA_1617!A2085),6),3),"-",(RIGHT(RIGHT(CONCATENATE("000",IFAData_TEA_1617!A2085),6),3)))</f>
        <v>226-908</v>
      </c>
      <c r="C2085" s="979" t="s">
        <v>2645</v>
      </c>
      <c r="D2085" s="979">
        <v>5</v>
      </c>
      <c r="E2085" s="979">
        <v>2425</v>
      </c>
      <c r="F2085" s="979" t="s">
        <v>5555</v>
      </c>
      <c r="G2085" s="979" t="s">
        <v>5556</v>
      </c>
      <c r="H2085" s="979">
        <v>100000</v>
      </c>
      <c r="I2085" s="979">
        <v>93031</v>
      </c>
      <c r="J2085" s="979">
        <v>1</v>
      </c>
      <c r="K2085" s="979">
        <v>100000</v>
      </c>
      <c r="L2085" s="979">
        <v>93031</v>
      </c>
      <c r="M2085" s="979">
        <v>599</v>
      </c>
    </row>
    <row r="2086" spans="1:13" ht="15">
      <c r="A2086" s="979" t="s">
        <v>3741</v>
      </c>
      <c r="B2086" s="1040" t="str">
        <f>CONCATENATE(LEFT(RIGHT(CONCATENATE("000",IFAData_TEA_1617!A2086),6),3),"-",(RIGHT(RIGHT(CONCATENATE("000",IFAData_TEA_1617!A2086),6),3)))</f>
        <v>227-904</v>
      </c>
      <c r="C2086" s="979" t="s">
        <v>998</v>
      </c>
      <c r="D2086" s="979">
        <v>9</v>
      </c>
      <c r="E2086" s="979">
        <v>2190</v>
      </c>
      <c r="F2086" s="979" t="s">
        <v>5563</v>
      </c>
      <c r="G2086" s="979" t="s">
        <v>6342</v>
      </c>
      <c r="H2086" s="979">
        <v>5151250</v>
      </c>
      <c r="I2086" s="979">
        <v>3513610</v>
      </c>
      <c r="J2086" s="979">
        <v>0.57320860991597822</v>
      </c>
      <c r="K2086" s="979">
        <v>2952740.8518296829</v>
      </c>
      <c r="L2086" s="979">
        <v>2952740.8518296829</v>
      </c>
      <c r="M2086" s="979">
        <v>599</v>
      </c>
    </row>
    <row r="2087" spans="1:13" ht="15">
      <c r="A2087" s="979" t="s">
        <v>3741</v>
      </c>
      <c r="B2087" s="1040" t="str">
        <f>CONCATENATE(LEFT(RIGHT(CONCATENATE("000",IFAData_TEA_1617!A2087),6),3),"-",(RIGHT(RIGHT(CONCATENATE("000",IFAData_TEA_1617!A2087),6),3)))</f>
        <v>227-904</v>
      </c>
      <c r="C2087" s="979" t="s">
        <v>998</v>
      </c>
      <c r="D2087" s="979">
        <v>1</v>
      </c>
      <c r="E2087" s="979">
        <v>2188</v>
      </c>
      <c r="F2087" s="979" t="s">
        <v>5560</v>
      </c>
      <c r="G2087" s="979" t="s">
        <v>5560</v>
      </c>
      <c r="H2087" s="979">
        <v>743639</v>
      </c>
      <c r="I2087" s="979">
        <v>0</v>
      </c>
      <c r="J2087" s="979">
        <v>0</v>
      </c>
      <c r="K2087" s="979">
        <v>0</v>
      </c>
      <c r="L2087" s="979">
        <v>0</v>
      </c>
      <c r="M2087" s="979">
        <v>599</v>
      </c>
    </row>
    <row r="2088" spans="1:13" ht="15">
      <c r="A2088" s="979" t="s">
        <v>3741</v>
      </c>
      <c r="B2088" s="1040" t="str">
        <f>CONCATENATE(LEFT(RIGHT(CONCATENATE("000",IFAData_TEA_1617!A2088),6),3),"-",(RIGHT(RIGHT(CONCATENATE("000",IFAData_TEA_1617!A2088),6),3)))</f>
        <v>227-904</v>
      </c>
      <c r="C2088" s="979" t="s">
        <v>998</v>
      </c>
      <c r="D2088" s="979">
        <v>1</v>
      </c>
      <c r="E2088" s="979">
        <v>2188</v>
      </c>
      <c r="F2088" s="979" t="s">
        <v>5560</v>
      </c>
      <c r="G2088" s="979" t="s">
        <v>5559</v>
      </c>
      <c r="H2088" s="979">
        <v>743639</v>
      </c>
      <c r="I2088" s="979">
        <v>1177759</v>
      </c>
      <c r="J2088" s="979">
        <v>0.59627087375101762</v>
      </c>
      <c r="K2088" s="979">
        <v>443410.27628533298</v>
      </c>
      <c r="L2088" s="979">
        <v>443410.27628533298</v>
      </c>
      <c r="M2088" s="979">
        <v>599</v>
      </c>
    </row>
    <row r="2089" spans="1:13" ht="15">
      <c r="A2089" s="979" t="s">
        <v>3741</v>
      </c>
      <c r="B2089" s="1040" t="str">
        <f>CONCATENATE(LEFT(RIGHT(CONCATENATE("000",IFAData_TEA_1617!A2089),6),3),"-",(RIGHT(RIGHT(CONCATENATE("000",IFAData_TEA_1617!A2089),6),3)))</f>
        <v>227-904</v>
      </c>
      <c r="C2089" s="979" t="s">
        <v>998</v>
      </c>
      <c r="D2089" s="979">
        <v>1</v>
      </c>
      <c r="E2089" s="979">
        <v>2189</v>
      </c>
      <c r="F2089" s="979" t="s">
        <v>5557</v>
      </c>
      <c r="G2089" s="979" t="s">
        <v>5559</v>
      </c>
      <c r="H2089" s="979">
        <v>906295</v>
      </c>
      <c r="I2089" s="979">
        <v>2700875</v>
      </c>
      <c r="J2089" s="979">
        <v>1</v>
      </c>
      <c r="K2089" s="979">
        <v>906295</v>
      </c>
      <c r="L2089" s="979">
        <v>906295</v>
      </c>
      <c r="M2089" s="979">
        <v>599</v>
      </c>
    </row>
    <row r="2090" spans="1:13" ht="15">
      <c r="A2090" s="979" t="s">
        <v>3741</v>
      </c>
      <c r="B2090" s="1040" t="str">
        <f>CONCATENATE(LEFT(RIGHT(CONCATENATE("000",IFAData_TEA_1617!A2090),6),3),"-",(RIGHT(RIGHT(CONCATENATE("000",IFAData_TEA_1617!A2090),6),3)))</f>
        <v>227-904</v>
      </c>
      <c r="C2090" s="979" t="s">
        <v>998</v>
      </c>
      <c r="D2090" s="979">
        <v>1</v>
      </c>
      <c r="E2090" s="979">
        <v>2188</v>
      </c>
      <c r="F2090" s="979" t="s">
        <v>5560</v>
      </c>
      <c r="G2090" s="979" t="s">
        <v>5561</v>
      </c>
      <c r="H2090" s="979">
        <v>743639</v>
      </c>
      <c r="I2090" s="979">
        <v>0</v>
      </c>
      <c r="J2090" s="979">
        <v>0</v>
      </c>
      <c r="K2090" s="979">
        <v>0</v>
      </c>
      <c r="L2090" s="979">
        <v>0</v>
      </c>
      <c r="M2090" s="979">
        <v>599</v>
      </c>
    </row>
    <row r="2091" spans="1:13" ht="15">
      <c r="A2091" s="979" t="s">
        <v>3741</v>
      </c>
      <c r="B2091" s="1040" t="str">
        <f>CONCATENATE(LEFT(RIGHT(CONCATENATE("000",IFAData_TEA_1617!A2091),6),3),"-",(RIGHT(RIGHT(CONCATENATE("000",IFAData_TEA_1617!A2091),6),3)))</f>
        <v>227-904</v>
      </c>
      <c r="C2091" s="979" t="s">
        <v>998</v>
      </c>
      <c r="D2091" s="979">
        <v>1</v>
      </c>
      <c r="E2091" s="979">
        <v>2188</v>
      </c>
      <c r="F2091" s="979" t="s">
        <v>5560</v>
      </c>
      <c r="G2091" s="979" t="s">
        <v>5562</v>
      </c>
      <c r="H2091" s="979">
        <v>743639</v>
      </c>
      <c r="I2091" s="979">
        <v>797449</v>
      </c>
      <c r="J2091" s="979">
        <v>0.40372912624898238</v>
      </c>
      <c r="K2091" s="979">
        <v>300228.72371466702</v>
      </c>
      <c r="L2091" s="979">
        <v>300228.72371466702</v>
      </c>
      <c r="M2091" s="979">
        <v>599</v>
      </c>
    </row>
    <row r="2092" spans="1:13" ht="15">
      <c r="A2092" s="979" t="s">
        <v>3741</v>
      </c>
      <c r="B2092" s="1040" t="str">
        <f>CONCATENATE(LEFT(RIGHT(CONCATENATE("000",IFAData_TEA_1617!A2092),6),3),"-",(RIGHT(RIGHT(CONCATENATE("000",IFAData_TEA_1617!A2092),6),3)))</f>
        <v>227-904</v>
      </c>
      <c r="C2092" s="979" t="s">
        <v>998</v>
      </c>
      <c r="D2092" s="979">
        <v>1</v>
      </c>
      <c r="E2092" s="979">
        <v>2189</v>
      </c>
      <c r="F2092" s="979" t="s">
        <v>5557</v>
      </c>
      <c r="G2092" s="979" t="s">
        <v>5557</v>
      </c>
      <c r="H2092" s="979">
        <v>906295</v>
      </c>
      <c r="I2092" s="979">
        <v>0</v>
      </c>
      <c r="J2092" s="979">
        <v>0</v>
      </c>
      <c r="K2092" s="979">
        <v>0</v>
      </c>
      <c r="L2092" s="979">
        <v>0</v>
      </c>
      <c r="M2092" s="979">
        <v>599</v>
      </c>
    </row>
    <row r="2093" spans="1:13" ht="15">
      <c r="A2093" s="979" t="s">
        <v>3741</v>
      </c>
      <c r="B2093" s="1040" t="str">
        <f>CONCATENATE(LEFT(RIGHT(CONCATENATE("000",IFAData_TEA_1617!A2093),6),3),"-",(RIGHT(RIGHT(CONCATENATE("000",IFAData_TEA_1617!A2093),6),3)))</f>
        <v>227-904</v>
      </c>
      <c r="C2093" s="979" t="s">
        <v>998</v>
      </c>
      <c r="D2093" s="979">
        <v>1</v>
      </c>
      <c r="E2093" s="979">
        <v>2189</v>
      </c>
      <c r="F2093" s="979" t="s">
        <v>5557</v>
      </c>
      <c r="G2093" s="979" t="s">
        <v>5558</v>
      </c>
      <c r="H2093" s="979">
        <v>906295</v>
      </c>
      <c r="I2093" s="979">
        <v>0</v>
      </c>
      <c r="J2093" s="979">
        <v>0</v>
      </c>
      <c r="K2093" s="979">
        <v>0</v>
      </c>
      <c r="L2093" s="979">
        <v>0</v>
      </c>
      <c r="M2093" s="979">
        <v>599</v>
      </c>
    </row>
    <row r="2094" spans="1:13" ht="15">
      <c r="A2094" s="979" t="s">
        <v>3741</v>
      </c>
      <c r="B2094" s="1040" t="str">
        <f>CONCATENATE(LEFT(RIGHT(CONCATENATE("000",IFAData_TEA_1617!A2094),6),3),"-",(RIGHT(RIGHT(CONCATENATE("000",IFAData_TEA_1617!A2094),6),3)))</f>
        <v>227-904</v>
      </c>
      <c r="C2094" s="979" t="s">
        <v>998</v>
      </c>
      <c r="D2094" s="979">
        <v>9</v>
      </c>
      <c r="E2094" s="979">
        <v>2190</v>
      </c>
      <c r="F2094" s="979" t="s">
        <v>5563</v>
      </c>
      <c r="G2094" s="979" t="s">
        <v>5563</v>
      </c>
      <c r="H2094" s="979">
        <v>5151250</v>
      </c>
      <c r="I2094" s="979">
        <v>2616113</v>
      </c>
      <c r="J2094" s="979">
        <v>0.42679139008402173</v>
      </c>
      <c r="K2094" s="979">
        <v>2198509.1481703171</v>
      </c>
      <c r="L2094" s="979">
        <v>2198509.1481703171</v>
      </c>
      <c r="M2094" s="979">
        <v>599</v>
      </c>
    </row>
    <row r="2095" spans="1:13" ht="15">
      <c r="A2095" s="979" t="s">
        <v>3742</v>
      </c>
      <c r="B2095" s="1040" t="str">
        <f>CONCATENATE(LEFT(RIGHT(CONCATENATE("000",IFAData_TEA_1617!A2095),6),3),"-",(RIGHT(RIGHT(CONCATENATE("000",IFAData_TEA_1617!A2095),6),3)))</f>
        <v>227-910</v>
      </c>
      <c r="C2095" s="979" t="s">
        <v>2667</v>
      </c>
      <c r="D2095" s="979">
        <v>1</v>
      </c>
      <c r="E2095" s="979">
        <v>1751</v>
      </c>
      <c r="F2095" s="979" t="s">
        <v>5564</v>
      </c>
      <c r="G2095" s="979" t="s">
        <v>5566</v>
      </c>
      <c r="H2095" s="979">
        <v>1138000</v>
      </c>
      <c r="I2095" s="979">
        <v>2924617</v>
      </c>
      <c r="J2095" s="979">
        <v>1</v>
      </c>
      <c r="K2095" s="979">
        <v>1138000</v>
      </c>
      <c r="L2095" s="979">
        <v>1138000</v>
      </c>
      <c r="M2095" s="979">
        <v>599</v>
      </c>
    </row>
    <row r="2096" spans="1:13" ht="15">
      <c r="A2096" s="979" t="s">
        <v>3742</v>
      </c>
      <c r="B2096" s="1040" t="str">
        <f>CONCATENATE(LEFT(RIGHT(CONCATENATE("000",IFAData_TEA_1617!A2096),6),3),"-",(RIGHT(RIGHT(CONCATENATE("000",IFAData_TEA_1617!A2096),6),3)))</f>
        <v>227-910</v>
      </c>
      <c r="C2096" s="979" t="s">
        <v>2667</v>
      </c>
      <c r="D2096" s="979">
        <v>1</v>
      </c>
      <c r="E2096" s="979">
        <v>1751</v>
      </c>
      <c r="F2096" s="979" t="s">
        <v>5564</v>
      </c>
      <c r="G2096" s="979" t="s">
        <v>5564</v>
      </c>
      <c r="H2096" s="979">
        <v>1138000</v>
      </c>
      <c r="I2096" s="979">
        <v>0</v>
      </c>
      <c r="J2096" s="979">
        <v>0</v>
      </c>
      <c r="K2096" s="979">
        <v>0</v>
      </c>
      <c r="L2096" s="979">
        <v>0</v>
      </c>
      <c r="M2096" s="979">
        <v>599</v>
      </c>
    </row>
    <row r="2097" spans="1:13" ht="15">
      <c r="A2097" s="979" t="s">
        <v>3742</v>
      </c>
      <c r="B2097" s="1040" t="str">
        <f>CONCATENATE(LEFT(RIGHT(CONCATENATE("000",IFAData_TEA_1617!A2097),6),3),"-",(RIGHT(RIGHT(CONCATENATE("000",IFAData_TEA_1617!A2097),6),3)))</f>
        <v>227-910</v>
      </c>
      <c r="C2097" s="979" t="s">
        <v>2667</v>
      </c>
      <c r="D2097" s="979">
        <v>1</v>
      </c>
      <c r="E2097" s="979">
        <v>1751</v>
      </c>
      <c r="F2097" s="979" t="s">
        <v>5564</v>
      </c>
      <c r="G2097" s="979" t="s">
        <v>5565</v>
      </c>
      <c r="H2097" s="979">
        <v>1138000</v>
      </c>
      <c r="I2097" s="979">
        <v>0</v>
      </c>
      <c r="J2097" s="979">
        <v>0</v>
      </c>
      <c r="K2097" s="979">
        <v>0</v>
      </c>
      <c r="L2097" s="979">
        <v>0</v>
      </c>
      <c r="M2097" s="979">
        <v>599</v>
      </c>
    </row>
    <row r="2098" spans="1:13" ht="15">
      <c r="A2098" s="979" t="s">
        <v>5567</v>
      </c>
      <c r="B2098" s="1040" t="str">
        <f>CONCATENATE(LEFT(RIGHT(CONCATENATE("000",IFAData_TEA_1617!A2098),6),3),"-",(RIGHT(RIGHT(CONCATENATE("000",IFAData_TEA_1617!A2098),6),3)))</f>
        <v>229-901</v>
      </c>
      <c r="C2098" s="979" t="s">
        <v>1547</v>
      </c>
      <c r="D2098" s="979">
        <v>5</v>
      </c>
      <c r="E2098" s="979">
        <v>1707</v>
      </c>
      <c r="F2098" s="979" t="s">
        <v>5568</v>
      </c>
      <c r="G2098" s="979" t="s">
        <v>5568</v>
      </c>
      <c r="H2098" s="979">
        <v>158074</v>
      </c>
      <c r="I2098" s="979">
        <v>0</v>
      </c>
      <c r="J2098" s="979">
        <v>0</v>
      </c>
      <c r="K2098" s="979"/>
      <c r="L2098" s="979">
        <v>0</v>
      </c>
      <c r="M2098" s="979">
        <v>199</v>
      </c>
    </row>
    <row r="2099" spans="1:13" ht="15">
      <c r="A2099" s="979" t="s">
        <v>3743</v>
      </c>
      <c r="B2099" s="1040" t="str">
        <f>CONCATENATE(LEFT(RIGHT(CONCATENATE("000",IFAData_TEA_1617!A2099),6),3),"-",(RIGHT(RIGHT(CONCATENATE("000",IFAData_TEA_1617!A2099),6),3)))</f>
        <v>229-904</v>
      </c>
      <c r="C2099" s="979" t="s">
        <v>1917</v>
      </c>
      <c r="D2099" s="979">
        <v>10</v>
      </c>
      <c r="E2099" s="979">
        <v>2437</v>
      </c>
      <c r="F2099" s="979" t="s">
        <v>5570</v>
      </c>
      <c r="G2099" s="979" t="s">
        <v>5570</v>
      </c>
      <c r="H2099" s="979">
        <v>287703</v>
      </c>
      <c r="I2099" s="979">
        <v>285055</v>
      </c>
      <c r="J2099" s="979">
        <v>1</v>
      </c>
      <c r="K2099" s="979">
        <v>287703</v>
      </c>
      <c r="L2099" s="979">
        <v>285055</v>
      </c>
      <c r="M2099" s="979">
        <v>599</v>
      </c>
    </row>
    <row r="2100" spans="1:13" ht="15">
      <c r="A2100" s="979" t="s">
        <v>3743</v>
      </c>
      <c r="B2100" s="1040" t="str">
        <f>CONCATENATE(LEFT(RIGHT(CONCATENATE("000",IFAData_TEA_1617!A2100),6),3),"-",(RIGHT(RIGHT(CONCATENATE("000",IFAData_TEA_1617!A2100),6),3)))</f>
        <v>229-904</v>
      </c>
      <c r="C2100" s="979" t="s">
        <v>1917</v>
      </c>
      <c r="D2100" s="979">
        <v>9</v>
      </c>
      <c r="E2100" s="979">
        <v>2436</v>
      </c>
      <c r="F2100" s="979" t="s">
        <v>5569</v>
      </c>
      <c r="G2100" s="979" t="s">
        <v>5569</v>
      </c>
      <c r="H2100" s="979">
        <v>281704</v>
      </c>
      <c r="I2100" s="979">
        <v>144971</v>
      </c>
      <c r="J2100" s="979">
        <v>0.50106973866578186</v>
      </c>
      <c r="K2100" s="979">
        <v>141153.3496611054</v>
      </c>
      <c r="L2100" s="979">
        <v>141153.3496611054</v>
      </c>
      <c r="M2100" s="979">
        <v>599</v>
      </c>
    </row>
    <row r="2101" spans="1:13" ht="15">
      <c r="A2101" s="979" t="s">
        <v>3743</v>
      </c>
      <c r="B2101" s="1040" t="str">
        <f>CONCATENATE(LEFT(RIGHT(CONCATENATE("000",IFAData_TEA_1617!A2101),6),3),"-",(RIGHT(RIGHT(CONCATENATE("000",IFAData_TEA_1617!A2101),6),3)))</f>
        <v>229-904</v>
      </c>
      <c r="C2101" s="979" t="s">
        <v>1917</v>
      </c>
      <c r="D2101" s="979">
        <v>9</v>
      </c>
      <c r="E2101" s="979">
        <v>2436</v>
      </c>
      <c r="F2101" s="979" t="s">
        <v>5569</v>
      </c>
      <c r="G2101" s="979" t="s">
        <v>6832</v>
      </c>
      <c r="H2101" s="979">
        <v>281704</v>
      </c>
      <c r="I2101" s="979">
        <v>144352</v>
      </c>
      <c r="J2101" s="979">
        <v>0.49893026133421814</v>
      </c>
      <c r="K2101" s="979">
        <v>140550.6503388946</v>
      </c>
      <c r="L2101" s="979">
        <v>140550.6503388946</v>
      </c>
      <c r="M2101" s="979">
        <v>599</v>
      </c>
    </row>
    <row r="2102" spans="1:13" ht="15">
      <c r="A2102" s="979" t="s">
        <v>3744</v>
      </c>
      <c r="B2102" s="1040" t="str">
        <f>CONCATENATE(LEFT(RIGHT(CONCATENATE("000",IFAData_TEA_1617!A2102),6),3),"-",(RIGHT(RIGHT(CONCATENATE("000",IFAData_TEA_1617!A2102),6),3)))</f>
        <v>229-905</v>
      </c>
      <c r="C2102" s="979" t="s">
        <v>1938</v>
      </c>
      <c r="D2102" s="979">
        <v>5</v>
      </c>
      <c r="E2102" s="979">
        <v>2380</v>
      </c>
      <c r="F2102" s="979" t="s">
        <v>5571</v>
      </c>
      <c r="G2102" s="979" t="s">
        <v>5571</v>
      </c>
      <c r="H2102" s="979">
        <v>103335</v>
      </c>
      <c r="I2102" s="979">
        <v>0</v>
      </c>
      <c r="J2102" s="979">
        <v>0</v>
      </c>
      <c r="K2102" s="979">
        <v>0</v>
      </c>
      <c r="L2102" s="979">
        <v>0</v>
      </c>
      <c r="M2102" s="979">
        <v>599</v>
      </c>
    </row>
    <row r="2103" spans="1:13" ht="15">
      <c r="A2103" s="979" t="s">
        <v>3744</v>
      </c>
      <c r="B2103" s="1040" t="str">
        <f>CONCATENATE(LEFT(RIGHT(CONCATENATE("000",IFAData_TEA_1617!A2103),6),3),"-",(RIGHT(RIGHT(CONCATENATE("000",IFAData_TEA_1617!A2103),6),3)))</f>
        <v>229-905</v>
      </c>
      <c r="C2103" s="979" t="s">
        <v>1938</v>
      </c>
      <c r="D2103" s="979">
        <v>5</v>
      </c>
      <c r="E2103" s="979">
        <v>2380</v>
      </c>
      <c r="F2103" s="979" t="s">
        <v>5571</v>
      </c>
      <c r="G2103" s="979" t="s">
        <v>5572</v>
      </c>
      <c r="H2103" s="979">
        <v>103335</v>
      </c>
      <c r="I2103" s="979">
        <v>187979</v>
      </c>
      <c r="J2103" s="979">
        <v>1</v>
      </c>
      <c r="K2103" s="979">
        <v>103335</v>
      </c>
      <c r="L2103" s="979">
        <v>103335</v>
      </c>
      <c r="M2103" s="979">
        <v>599</v>
      </c>
    </row>
    <row r="2104" spans="1:13" ht="15">
      <c r="A2104" s="979" t="s">
        <v>3745</v>
      </c>
      <c r="B2104" s="1040" t="str">
        <f>CONCATENATE(LEFT(RIGHT(CONCATENATE("000",IFAData_TEA_1617!A2104),6),3),"-",(RIGHT(RIGHT(CONCATENATE("000",IFAData_TEA_1617!A2104),6),3)))</f>
        <v>229-906</v>
      </c>
      <c r="C2104" s="979" t="s">
        <v>2184</v>
      </c>
      <c r="D2104" s="979">
        <v>2</v>
      </c>
      <c r="E2104" s="979">
        <v>1685</v>
      </c>
      <c r="F2104" s="979" t="s">
        <v>5573</v>
      </c>
      <c r="G2104" s="979" t="s">
        <v>5573</v>
      </c>
      <c r="H2104" s="979">
        <v>71236</v>
      </c>
      <c r="I2104" s="979">
        <v>64845</v>
      </c>
      <c r="J2104" s="979">
        <v>1</v>
      </c>
      <c r="K2104" s="979">
        <v>71236</v>
      </c>
      <c r="L2104" s="979">
        <v>64845</v>
      </c>
      <c r="M2104" s="979">
        <v>599</v>
      </c>
    </row>
    <row r="2105" spans="1:13" ht="15">
      <c r="A2105" s="979" t="s">
        <v>3746</v>
      </c>
      <c r="B2105" s="1040" t="str">
        <f>CONCATENATE(LEFT(RIGHT(CONCATENATE("000",IFAData_TEA_1617!A2105),6),3),"-",(RIGHT(RIGHT(CONCATENATE("000",IFAData_TEA_1617!A2105),6),3)))</f>
        <v>230-903</v>
      </c>
      <c r="C2105" s="979" t="s">
        <v>1017</v>
      </c>
      <c r="D2105" s="979">
        <v>2</v>
      </c>
      <c r="E2105" s="979">
        <v>2165</v>
      </c>
      <c r="F2105" s="979" t="s">
        <v>5574</v>
      </c>
      <c r="G2105" s="979" t="s">
        <v>5575</v>
      </c>
      <c r="H2105" s="979">
        <v>184136</v>
      </c>
      <c r="I2105" s="979">
        <v>144324</v>
      </c>
      <c r="J2105" s="979">
        <v>0.86289281102023241</v>
      </c>
      <c r="K2105" s="979">
        <v>158889.63065002151</v>
      </c>
      <c r="L2105" s="979">
        <v>144324</v>
      </c>
      <c r="M2105" s="979">
        <v>599</v>
      </c>
    </row>
    <row r="2106" spans="1:13" ht="15">
      <c r="A2106" s="979" t="s">
        <v>3746</v>
      </c>
      <c r="B2106" s="1040" t="str">
        <f>CONCATENATE(LEFT(RIGHT(CONCATENATE("000",IFAData_TEA_1617!A2106),6),3),"-",(RIGHT(RIGHT(CONCATENATE("000",IFAData_TEA_1617!A2106),6),3)))</f>
        <v>230-903</v>
      </c>
      <c r="C2106" s="979" t="s">
        <v>1017</v>
      </c>
      <c r="D2106" s="979">
        <v>9</v>
      </c>
      <c r="E2106" s="979">
        <v>2166</v>
      </c>
      <c r="F2106" s="979" t="s">
        <v>5576</v>
      </c>
      <c r="G2106" s="979" t="s">
        <v>5576</v>
      </c>
      <c r="H2106" s="979">
        <v>202862</v>
      </c>
      <c r="I2106" s="979">
        <v>110906</v>
      </c>
      <c r="J2106" s="979">
        <v>0.28187435031350155</v>
      </c>
      <c r="K2106" s="979">
        <v>57181.594453297555</v>
      </c>
      <c r="L2106" s="979">
        <v>57181.594453297555</v>
      </c>
      <c r="M2106" s="979">
        <v>599</v>
      </c>
    </row>
    <row r="2107" spans="1:13" ht="15">
      <c r="A2107" s="979" t="s">
        <v>3746</v>
      </c>
      <c r="B2107" s="1040" t="str">
        <f>CONCATENATE(LEFT(RIGHT(CONCATENATE("000",IFAData_TEA_1617!A2107),6),3),"-",(RIGHT(RIGHT(CONCATENATE("000",IFAData_TEA_1617!A2107),6),3)))</f>
        <v>230-903</v>
      </c>
      <c r="C2107" s="979" t="s">
        <v>1017</v>
      </c>
      <c r="D2107" s="979">
        <v>2</v>
      </c>
      <c r="E2107" s="979">
        <v>2165</v>
      </c>
      <c r="F2107" s="979" t="s">
        <v>5574</v>
      </c>
      <c r="G2107" s="979" t="s">
        <v>6547</v>
      </c>
      <c r="H2107" s="979">
        <v>184136</v>
      </c>
      <c r="I2107" s="979">
        <v>22932</v>
      </c>
      <c r="J2107" s="979">
        <v>0.13710718897976754</v>
      </c>
      <c r="K2107" s="979">
        <v>25246.369349978475</v>
      </c>
      <c r="L2107" s="979">
        <v>22932</v>
      </c>
      <c r="M2107" s="979">
        <v>599</v>
      </c>
    </row>
    <row r="2108" spans="1:13" ht="15">
      <c r="A2108" s="979" t="s">
        <v>3746</v>
      </c>
      <c r="B2108" s="1040" t="str">
        <f>CONCATENATE(LEFT(RIGHT(CONCATENATE("000",IFAData_TEA_1617!A2108),6),3),"-",(RIGHT(RIGHT(CONCATENATE("000",IFAData_TEA_1617!A2108),6),3)))</f>
        <v>230-903</v>
      </c>
      <c r="C2108" s="979" t="s">
        <v>1017</v>
      </c>
      <c r="D2108" s="979">
        <v>9</v>
      </c>
      <c r="E2108" s="979">
        <v>2166</v>
      </c>
      <c r="F2108" s="979" t="s">
        <v>5576</v>
      </c>
      <c r="G2108" s="979" t="s">
        <v>6547</v>
      </c>
      <c r="H2108" s="979">
        <v>202862</v>
      </c>
      <c r="I2108" s="979">
        <v>282553</v>
      </c>
      <c r="J2108" s="979">
        <v>0.7181256496864985</v>
      </c>
      <c r="K2108" s="979">
        <v>145680.40554670244</v>
      </c>
      <c r="L2108" s="979">
        <v>145680.40554670244</v>
      </c>
      <c r="M2108" s="979">
        <v>599</v>
      </c>
    </row>
    <row r="2109" spans="1:13" ht="15">
      <c r="A2109" s="979" t="s">
        <v>3746</v>
      </c>
      <c r="B2109" s="1040" t="str">
        <f>CONCATENATE(LEFT(RIGHT(CONCATENATE("000",IFAData_TEA_1617!A2109),6),3),"-",(RIGHT(RIGHT(CONCATENATE("000",IFAData_TEA_1617!A2109),6),3)))</f>
        <v>230-903</v>
      </c>
      <c r="C2109" s="979" t="s">
        <v>1017</v>
      </c>
      <c r="D2109" s="979">
        <v>2</v>
      </c>
      <c r="E2109" s="979">
        <v>2165</v>
      </c>
      <c r="F2109" s="979" t="s">
        <v>5574</v>
      </c>
      <c r="G2109" s="979" t="s">
        <v>5574</v>
      </c>
      <c r="H2109" s="979">
        <v>184136</v>
      </c>
      <c r="I2109" s="979">
        <v>0</v>
      </c>
      <c r="J2109" s="979">
        <v>0</v>
      </c>
      <c r="K2109" s="979">
        <v>0</v>
      </c>
      <c r="L2109" s="979">
        <v>0</v>
      </c>
      <c r="M2109" s="979">
        <v>599</v>
      </c>
    </row>
    <row r="2110" spans="1:13" ht="15">
      <c r="A2110" s="979" t="s">
        <v>3747</v>
      </c>
      <c r="B2110" s="1040" t="str">
        <f>CONCATENATE(LEFT(RIGHT(CONCATENATE("000",IFAData_TEA_1617!A2110),6),3),"-",(RIGHT(RIGHT(CONCATENATE("000",IFAData_TEA_1617!A2110),6),3)))</f>
        <v>230-905</v>
      </c>
      <c r="C2110" s="979" t="s">
        <v>827</v>
      </c>
      <c r="D2110" s="979">
        <v>1</v>
      </c>
      <c r="E2110" s="979">
        <v>1874</v>
      </c>
      <c r="F2110" s="979" t="s">
        <v>5577</v>
      </c>
      <c r="G2110" s="979" t="s">
        <v>5577</v>
      </c>
      <c r="H2110" s="979">
        <v>223024</v>
      </c>
      <c r="I2110" s="979">
        <v>0</v>
      </c>
      <c r="J2110" s="979">
        <v>0</v>
      </c>
      <c r="K2110" s="979">
        <v>0</v>
      </c>
      <c r="L2110" s="979">
        <v>0</v>
      </c>
      <c r="M2110" s="979">
        <v>599</v>
      </c>
    </row>
    <row r="2111" spans="1:13" ht="15">
      <c r="A2111" s="979" t="s">
        <v>3747</v>
      </c>
      <c r="B2111" s="1040" t="str">
        <f>CONCATENATE(LEFT(RIGHT(CONCATENATE("000",IFAData_TEA_1617!A2111),6),3),"-",(RIGHT(RIGHT(CONCATENATE("000",IFAData_TEA_1617!A2111),6),3)))</f>
        <v>230-905</v>
      </c>
      <c r="C2111" s="979" t="s">
        <v>827</v>
      </c>
      <c r="D2111" s="979">
        <v>1</v>
      </c>
      <c r="E2111" s="979">
        <v>1874</v>
      </c>
      <c r="F2111" s="979" t="s">
        <v>5577</v>
      </c>
      <c r="G2111" s="979" t="s">
        <v>5578</v>
      </c>
      <c r="H2111" s="979">
        <v>223024</v>
      </c>
      <c r="I2111" s="979">
        <v>206798</v>
      </c>
      <c r="J2111" s="979">
        <v>1</v>
      </c>
      <c r="K2111" s="979">
        <v>223024</v>
      </c>
      <c r="L2111" s="979">
        <v>206798</v>
      </c>
      <c r="M2111" s="979">
        <v>599</v>
      </c>
    </row>
    <row r="2112" spans="1:13" ht="15">
      <c r="A2112" s="979" t="s">
        <v>3748</v>
      </c>
      <c r="B2112" s="1040" t="str">
        <f>CONCATENATE(LEFT(RIGHT(CONCATENATE("000",IFAData_TEA_1617!A2112),6),3),"-",(RIGHT(RIGHT(CONCATENATE("000",IFAData_TEA_1617!A2112),6),3)))</f>
        <v>230-906</v>
      </c>
      <c r="C2112" s="979" t="s">
        <v>1536</v>
      </c>
      <c r="D2112" s="979">
        <v>8</v>
      </c>
      <c r="E2112" s="979">
        <v>2142</v>
      </c>
      <c r="F2112" s="979" t="s">
        <v>5579</v>
      </c>
      <c r="G2112" s="979" t="s">
        <v>5579</v>
      </c>
      <c r="H2112" s="979">
        <v>207500</v>
      </c>
      <c r="I2112" s="979">
        <v>147791</v>
      </c>
      <c r="J2112" s="979">
        <v>0.55660547901868773</v>
      </c>
      <c r="K2112" s="979">
        <v>115495.63689637771</v>
      </c>
      <c r="L2112" s="979">
        <v>115495.63689637771</v>
      </c>
      <c r="M2112" s="979">
        <v>599</v>
      </c>
    </row>
    <row r="2113" spans="1:13" ht="15">
      <c r="A2113" s="979" t="s">
        <v>3748</v>
      </c>
      <c r="B2113" s="1040" t="str">
        <f>CONCATENATE(LEFT(RIGHT(CONCATENATE("000",IFAData_TEA_1617!A2113),6),3),"-",(RIGHT(RIGHT(CONCATENATE("000",IFAData_TEA_1617!A2113),6),3)))</f>
        <v>230-906</v>
      </c>
      <c r="C2113" s="979" t="s">
        <v>1536</v>
      </c>
      <c r="D2113" s="979">
        <v>8</v>
      </c>
      <c r="E2113" s="979">
        <v>2142</v>
      </c>
      <c r="F2113" s="979" t="s">
        <v>5579</v>
      </c>
      <c r="G2113" s="979" t="s">
        <v>6548</v>
      </c>
      <c r="H2113" s="979">
        <v>207500</v>
      </c>
      <c r="I2113" s="979">
        <v>117731</v>
      </c>
      <c r="J2113" s="979">
        <v>0.44339452098131227</v>
      </c>
      <c r="K2113" s="979">
        <v>92004.363103622294</v>
      </c>
      <c r="L2113" s="979">
        <v>92004.363103622294</v>
      </c>
      <c r="M2113" s="979">
        <v>599</v>
      </c>
    </row>
    <row r="2114" spans="1:13" ht="15">
      <c r="A2114" s="979" t="s">
        <v>3749</v>
      </c>
      <c r="B2114" s="1040" t="str">
        <f>CONCATENATE(LEFT(RIGHT(CONCATENATE("000",IFAData_TEA_1617!A2114),6),3),"-",(RIGHT(RIGHT(CONCATENATE("000",IFAData_TEA_1617!A2114),6),3)))</f>
        <v>232-901</v>
      </c>
      <c r="C2114" s="979" t="s">
        <v>2472</v>
      </c>
      <c r="D2114" s="979">
        <v>5</v>
      </c>
      <c r="E2114" s="979">
        <v>1969</v>
      </c>
      <c r="F2114" s="979" t="s">
        <v>5582</v>
      </c>
      <c r="G2114" s="979" t="s">
        <v>5582</v>
      </c>
      <c r="H2114" s="979">
        <v>39885</v>
      </c>
      <c r="I2114" s="979">
        <v>0</v>
      </c>
      <c r="J2114" s="979">
        <v>0</v>
      </c>
      <c r="K2114" s="979">
        <v>0</v>
      </c>
      <c r="L2114" s="979">
        <v>0</v>
      </c>
      <c r="M2114" s="979">
        <v>599</v>
      </c>
    </row>
    <row r="2115" spans="1:13" ht="15">
      <c r="A2115" s="979" t="s">
        <v>3749</v>
      </c>
      <c r="B2115" s="1040" t="str">
        <f>CONCATENATE(LEFT(RIGHT(CONCATENATE("000",IFAData_TEA_1617!A2115),6),3),"-",(RIGHT(RIGHT(CONCATENATE("000",IFAData_TEA_1617!A2115),6),3)))</f>
        <v>232-901</v>
      </c>
      <c r="C2115" s="979" t="s">
        <v>2472</v>
      </c>
      <c r="D2115" s="979">
        <v>2</v>
      </c>
      <c r="E2115" s="979">
        <v>1970</v>
      </c>
      <c r="F2115" s="979" t="s">
        <v>5580</v>
      </c>
      <c r="G2115" s="979" t="s">
        <v>5580</v>
      </c>
      <c r="H2115" s="979">
        <v>52660</v>
      </c>
      <c r="I2115" s="979">
        <v>0</v>
      </c>
      <c r="J2115" s="979">
        <v>0</v>
      </c>
      <c r="K2115" s="979">
        <v>0</v>
      </c>
      <c r="L2115" s="979">
        <v>0</v>
      </c>
      <c r="M2115" s="979">
        <v>599</v>
      </c>
    </row>
    <row r="2116" spans="1:13" ht="15">
      <c r="A2116" s="979" t="s">
        <v>3749</v>
      </c>
      <c r="B2116" s="1040" t="str">
        <f>CONCATENATE(LEFT(RIGHT(CONCATENATE("000",IFAData_TEA_1617!A2116),6),3),"-",(RIGHT(RIGHT(CONCATENATE("000",IFAData_TEA_1617!A2116),6),3)))</f>
        <v>232-901</v>
      </c>
      <c r="C2116" s="979" t="s">
        <v>2472</v>
      </c>
      <c r="D2116" s="979">
        <v>5</v>
      </c>
      <c r="E2116" s="979">
        <v>1969</v>
      </c>
      <c r="F2116" s="979" t="s">
        <v>5582</v>
      </c>
      <c r="G2116" s="979" t="s">
        <v>5581</v>
      </c>
      <c r="H2116" s="979">
        <v>39885</v>
      </c>
      <c r="I2116" s="979">
        <v>39323</v>
      </c>
      <c r="J2116" s="979">
        <v>1</v>
      </c>
      <c r="K2116" s="979">
        <v>39885</v>
      </c>
      <c r="L2116" s="979">
        <v>39323</v>
      </c>
      <c r="M2116" s="979">
        <v>599</v>
      </c>
    </row>
    <row r="2117" spans="1:13" ht="15">
      <c r="A2117" s="979" t="s">
        <v>3749</v>
      </c>
      <c r="B2117" s="1040" t="str">
        <f>CONCATENATE(LEFT(RIGHT(CONCATENATE("000",IFAData_TEA_1617!A2117),6),3),"-",(RIGHT(RIGHT(CONCATENATE("000",IFAData_TEA_1617!A2117),6),3)))</f>
        <v>232-901</v>
      </c>
      <c r="C2117" s="979" t="s">
        <v>2472</v>
      </c>
      <c r="D2117" s="979">
        <v>2</v>
      </c>
      <c r="E2117" s="979">
        <v>1970</v>
      </c>
      <c r="F2117" s="979" t="s">
        <v>5580</v>
      </c>
      <c r="G2117" s="979" t="s">
        <v>5581</v>
      </c>
      <c r="H2117" s="979">
        <v>52660</v>
      </c>
      <c r="I2117" s="979">
        <v>52226</v>
      </c>
      <c r="J2117" s="979">
        <v>1</v>
      </c>
      <c r="K2117" s="979">
        <v>52660</v>
      </c>
      <c r="L2117" s="979">
        <v>52226</v>
      </c>
      <c r="M2117" s="979">
        <v>599</v>
      </c>
    </row>
    <row r="2118" spans="1:13" ht="15">
      <c r="A2118" s="979" t="s">
        <v>3750</v>
      </c>
      <c r="B2118" s="1040" t="str">
        <f>CONCATENATE(LEFT(RIGHT(CONCATENATE("000",IFAData_TEA_1617!A2118),6),3),"-",(RIGHT(RIGHT(CONCATENATE("000",IFAData_TEA_1617!A2118),6),3)))</f>
        <v>232-902</v>
      </c>
      <c r="C2118" s="979" t="s">
        <v>615</v>
      </c>
      <c r="D2118" s="979">
        <v>5</v>
      </c>
      <c r="E2118" s="979">
        <v>2274</v>
      </c>
      <c r="F2118" s="979" t="s">
        <v>5583</v>
      </c>
      <c r="G2118" s="979" t="s">
        <v>5583</v>
      </c>
      <c r="H2118" s="979">
        <v>124225</v>
      </c>
      <c r="I2118" s="979">
        <v>0</v>
      </c>
      <c r="J2118" s="979">
        <v>0</v>
      </c>
      <c r="K2118" s="979">
        <v>0</v>
      </c>
      <c r="L2118" s="979">
        <v>0</v>
      </c>
      <c r="M2118" s="979">
        <v>599</v>
      </c>
    </row>
    <row r="2119" spans="1:13" ht="15">
      <c r="A2119" s="979" t="s">
        <v>3750</v>
      </c>
      <c r="B2119" s="1040" t="str">
        <f>CONCATENATE(LEFT(RIGHT(CONCATENATE("000",IFAData_TEA_1617!A2119),6),3),"-",(RIGHT(RIGHT(CONCATENATE("000",IFAData_TEA_1617!A2119),6),3)))</f>
        <v>232-902</v>
      </c>
      <c r="C2119" s="979" t="s">
        <v>615</v>
      </c>
      <c r="D2119" s="979">
        <v>5</v>
      </c>
      <c r="E2119" s="979">
        <v>2274</v>
      </c>
      <c r="F2119" s="979" t="s">
        <v>5583</v>
      </c>
      <c r="G2119" s="979" t="s">
        <v>5584</v>
      </c>
      <c r="H2119" s="979">
        <v>124225</v>
      </c>
      <c r="I2119" s="979">
        <v>121330</v>
      </c>
      <c r="J2119" s="979">
        <v>1</v>
      </c>
      <c r="K2119" s="979">
        <v>124225</v>
      </c>
      <c r="L2119" s="979">
        <v>121330</v>
      </c>
      <c r="M2119" s="979">
        <v>599</v>
      </c>
    </row>
    <row r="2120" spans="1:13" ht="15">
      <c r="A2120" s="979" t="s">
        <v>3751</v>
      </c>
      <c r="B2120" s="1040" t="str">
        <f>CONCATENATE(LEFT(RIGHT(CONCATENATE("000",IFAData_TEA_1617!A2120),6),3),"-",(RIGHT(RIGHT(CONCATENATE("000",IFAData_TEA_1617!A2120),6),3)))</f>
        <v>232-903</v>
      </c>
      <c r="C2120" s="979" t="s">
        <v>296</v>
      </c>
      <c r="D2120" s="979">
        <v>4</v>
      </c>
      <c r="E2120" s="979">
        <v>2408</v>
      </c>
      <c r="F2120" s="979" t="s">
        <v>5589</v>
      </c>
      <c r="G2120" s="979" t="s">
        <v>5588</v>
      </c>
      <c r="H2120" s="979">
        <v>1100156</v>
      </c>
      <c r="I2120" s="979">
        <v>879242</v>
      </c>
      <c r="J2120" s="979">
        <v>0.87127678760769045</v>
      </c>
      <c r="K2120" s="979">
        <v>958540.3855473263</v>
      </c>
      <c r="L2120" s="979">
        <v>879242</v>
      </c>
      <c r="M2120" s="979">
        <v>599</v>
      </c>
    </row>
    <row r="2121" spans="1:13" ht="15">
      <c r="A2121" s="979" t="s">
        <v>3751</v>
      </c>
      <c r="B2121" s="1040" t="str">
        <f>CONCATENATE(LEFT(RIGHT(CONCATENATE("000",IFAData_TEA_1617!A2121),6),3),"-",(RIGHT(RIGHT(CONCATENATE("000",IFAData_TEA_1617!A2121),6),3)))</f>
        <v>232-903</v>
      </c>
      <c r="C2121" s="979" t="s">
        <v>296</v>
      </c>
      <c r="D2121" s="979">
        <v>2</v>
      </c>
      <c r="E2121" s="979">
        <v>2409</v>
      </c>
      <c r="F2121" s="979" t="s">
        <v>5585</v>
      </c>
      <c r="G2121" s="979" t="s">
        <v>5588</v>
      </c>
      <c r="H2121" s="979">
        <v>1300000</v>
      </c>
      <c r="I2121" s="979">
        <v>1085439</v>
      </c>
      <c r="J2121" s="979">
        <v>0.89771584435519625</v>
      </c>
      <c r="K2121" s="979">
        <v>1167030.597661755</v>
      </c>
      <c r="L2121" s="979">
        <v>1085439</v>
      </c>
      <c r="M2121" s="979">
        <v>599</v>
      </c>
    </row>
    <row r="2122" spans="1:13" ht="15">
      <c r="A2122" s="979" t="s">
        <v>3751</v>
      </c>
      <c r="B2122" s="1040" t="str">
        <f>CONCATENATE(LEFT(RIGHT(CONCATENATE("000",IFAData_TEA_1617!A2122),6),3),"-",(RIGHT(RIGHT(CONCATENATE("000",IFAData_TEA_1617!A2122),6),3)))</f>
        <v>232-903</v>
      </c>
      <c r="C2122" s="979" t="s">
        <v>296</v>
      </c>
      <c r="D2122" s="979">
        <v>2</v>
      </c>
      <c r="E2122" s="979">
        <v>2409</v>
      </c>
      <c r="F2122" s="979" t="s">
        <v>5585</v>
      </c>
      <c r="G2122" s="979" t="s">
        <v>5587</v>
      </c>
      <c r="H2122" s="979">
        <v>1300000</v>
      </c>
      <c r="I2122" s="979">
        <v>123673</v>
      </c>
      <c r="J2122" s="979">
        <v>0.1022841556448038</v>
      </c>
      <c r="K2122" s="979">
        <v>132969.40233824492</v>
      </c>
      <c r="L2122" s="979">
        <v>123673</v>
      </c>
      <c r="M2122" s="979">
        <v>599</v>
      </c>
    </row>
    <row r="2123" spans="1:13" ht="15">
      <c r="A2123" s="979" t="s">
        <v>3751</v>
      </c>
      <c r="B2123" s="1040" t="str">
        <f>CONCATENATE(LEFT(RIGHT(CONCATENATE("000",IFAData_TEA_1617!A2123),6),3),"-",(RIGHT(RIGHT(CONCATENATE("000",IFAData_TEA_1617!A2123),6),3)))</f>
        <v>232-903</v>
      </c>
      <c r="C2123" s="979" t="s">
        <v>296</v>
      </c>
      <c r="D2123" s="979">
        <v>4</v>
      </c>
      <c r="E2123" s="979">
        <v>2408</v>
      </c>
      <c r="F2123" s="979" t="s">
        <v>5589</v>
      </c>
      <c r="G2123" s="979" t="s">
        <v>5587</v>
      </c>
      <c r="H2123" s="979">
        <v>1100156</v>
      </c>
      <c r="I2123" s="979">
        <v>129900</v>
      </c>
      <c r="J2123" s="979">
        <v>0.12872321239230949</v>
      </c>
      <c r="K2123" s="979">
        <v>141615.61445267365</v>
      </c>
      <c r="L2123" s="979">
        <v>129900</v>
      </c>
      <c r="M2123" s="979">
        <v>599</v>
      </c>
    </row>
    <row r="2124" spans="1:13" ht="15">
      <c r="A2124" s="979" t="s">
        <v>3751</v>
      </c>
      <c r="B2124" s="1040" t="str">
        <f>CONCATENATE(LEFT(RIGHT(CONCATENATE("000",IFAData_TEA_1617!A2124),6),3),"-",(RIGHT(RIGHT(CONCATENATE("000",IFAData_TEA_1617!A2124),6),3)))</f>
        <v>232-903</v>
      </c>
      <c r="C2124" s="979" t="s">
        <v>296</v>
      </c>
      <c r="D2124" s="979">
        <v>4</v>
      </c>
      <c r="E2124" s="979">
        <v>2408</v>
      </c>
      <c r="F2124" s="979" t="s">
        <v>5589</v>
      </c>
      <c r="G2124" s="979" t="s">
        <v>5589</v>
      </c>
      <c r="H2124" s="979">
        <v>1100156</v>
      </c>
      <c r="I2124" s="979">
        <v>0</v>
      </c>
      <c r="J2124" s="979">
        <v>0</v>
      </c>
      <c r="K2124" s="979">
        <v>0</v>
      </c>
      <c r="L2124" s="979">
        <v>0</v>
      </c>
      <c r="M2124" s="979">
        <v>599</v>
      </c>
    </row>
    <row r="2125" spans="1:13" ht="15">
      <c r="A2125" s="979" t="s">
        <v>3751</v>
      </c>
      <c r="B2125" s="1040" t="str">
        <f>CONCATENATE(LEFT(RIGHT(CONCATENATE("000",IFAData_TEA_1617!A2125),6),3),"-",(RIGHT(RIGHT(CONCATENATE("000",IFAData_TEA_1617!A2125),6),3)))</f>
        <v>232-903</v>
      </c>
      <c r="C2125" s="979" t="s">
        <v>296</v>
      </c>
      <c r="D2125" s="979">
        <v>2</v>
      </c>
      <c r="E2125" s="979">
        <v>2409</v>
      </c>
      <c r="F2125" s="979" t="s">
        <v>5585</v>
      </c>
      <c r="G2125" s="979" t="s">
        <v>5586</v>
      </c>
      <c r="H2125" s="979">
        <v>1300000</v>
      </c>
      <c r="I2125" s="979">
        <v>0</v>
      </c>
      <c r="J2125" s="979">
        <v>0</v>
      </c>
      <c r="K2125" s="979">
        <v>0</v>
      </c>
      <c r="L2125" s="979">
        <v>0</v>
      </c>
      <c r="M2125" s="979">
        <v>599</v>
      </c>
    </row>
    <row r="2126" spans="1:13" ht="15">
      <c r="A2126" s="979" t="s">
        <v>3751</v>
      </c>
      <c r="B2126" s="1040" t="str">
        <f>CONCATENATE(LEFT(RIGHT(CONCATENATE("000",IFAData_TEA_1617!A2126),6),3),"-",(RIGHT(RIGHT(CONCATENATE("000",IFAData_TEA_1617!A2126),6),3)))</f>
        <v>232-903</v>
      </c>
      <c r="C2126" s="979" t="s">
        <v>296</v>
      </c>
      <c r="D2126" s="979">
        <v>4</v>
      </c>
      <c r="E2126" s="979">
        <v>2408</v>
      </c>
      <c r="F2126" s="979" t="s">
        <v>5589</v>
      </c>
      <c r="G2126" s="979" t="s">
        <v>5586</v>
      </c>
      <c r="H2126" s="979">
        <v>1100156</v>
      </c>
      <c r="I2126" s="979">
        <v>0</v>
      </c>
      <c r="J2126" s="979">
        <v>0</v>
      </c>
      <c r="K2126" s="979">
        <v>0</v>
      </c>
      <c r="L2126" s="979">
        <v>0</v>
      </c>
      <c r="M2126" s="979">
        <v>599</v>
      </c>
    </row>
    <row r="2127" spans="1:13" ht="15">
      <c r="A2127" s="979" t="s">
        <v>3751</v>
      </c>
      <c r="B2127" s="1040" t="str">
        <f>CONCATENATE(LEFT(RIGHT(CONCATENATE("000",IFAData_TEA_1617!A2127),6),3),"-",(RIGHT(RIGHT(CONCATENATE("000",IFAData_TEA_1617!A2127),6),3)))</f>
        <v>232-903</v>
      </c>
      <c r="C2127" s="979" t="s">
        <v>296</v>
      </c>
      <c r="D2127" s="979">
        <v>2</v>
      </c>
      <c r="E2127" s="979">
        <v>2409</v>
      </c>
      <c r="F2127" s="979" t="s">
        <v>5585</v>
      </c>
      <c r="G2127" s="979" t="s">
        <v>5585</v>
      </c>
      <c r="H2127" s="979">
        <v>1300000</v>
      </c>
      <c r="I2127" s="979">
        <v>0</v>
      </c>
      <c r="J2127" s="979">
        <v>0</v>
      </c>
      <c r="K2127" s="979">
        <v>0</v>
      </c>
      <c r="L2127" s="979">
        <v>0</v>
      </c>
      <c r="M2127" s="979">
        <v>599</v>
      </c>
    </row>
    <row r="2128" spans="1:13" ht="15">
      <c r="A2128" s="979" t="s">
        <v>3752</v>
      </c>
      <c r="B2128" s="1040" t="str">
        <f>CONCATENATE(LEFT(RIGHT(CONCATENATE("000",IFAData_TEA_1617!A2128),6),3),"-",(RIGHT(RIGHT(CONCATENATE("000",IFAData_TEA_1617!A2128),6),3)))</f>
        <v>233-901</v>
      </c>
      <c r="C2128" s="979" t="s">
        <v>2146</v>
      </c>
      <c r="D2128" s="979">
        <v>8</v>
      </c>
      <c r="E2128" s="979">
        <v>2297</v>
      </c>
      <c r="F2128" s="979" t="s">
        <v>5593</v>
      </c>
      <c r="G2128" s="979" t="s">
        <v>6343</v>
      </c>
      <c r="H2128" s="979">
        <v>1506687</v>
      </c>
      <c r="I2128" s="979">
        <v>1003850</v>
      </c>
      <c r="J2128" s="979">
        <v>0.72375891766012135</v>
      </c>
      <c r="K2128" s="979">
        <v>1090478.1523725754</v>
      </c>
      <c r="L2128" s="979">
        <v>1003850</v>
      </c>
      <c r="M2128" s="979">
        <v>599</v>
      </c>
    </row>
    <row r="2129" spans="1:13" ht="15">
      <c r="A2129" s="979" t="s">
        <v>3752</v>
      </c>
      <c r="B2129" s="1040" t="str">
        <f>CONCATENATE(LEFT(RIGHT(CONCATENATE("000",IFAData_TEA_1617!A2129),6),3),"-",(RIGHT(RIGHT(CONCATENATE("000",IFAData_TEA_1617!A2129),6),3)))</f>
        <v>233-901</v>
      </c>
      <c r="C2129" s="979" t="s">
        <v>2146</v>
      </c>
      <c r="D2129" s="979">
        <v>4</v>
      </c>
      <c r="E2129" s="979">
        <v>2298</v>
      </c>
      <c r="F2129" s="979" t="s">
        <v>5590</v>
      </c>
      <c r="G2129" s="979" t="s">
        <v>5592</v>
      </c>
      <c r="H2129" s="979">
        <v>2143670</v>
      </c>
      <c r="I2129" s="979">
        <v>1934425</v>
      </c>
      <c r="J2129" s="979">
        <v>1</v>
      </c>
      <c r="K2129" s="979">
        <v>2143670</v>
      </c>
      <c r="L2129" s="979">
        <v>1934425</v>
      </c>
      <c r="M2129" s="979">
        <v>599</v>
      </c>
    </row>
    <row r="2130" spans="1:13" ht="15">
      <c r="A2130" s="979" t="s">
        <v>3752</v>
      </c>
      <c r="B2130" s="1040" t="str">
        <f>CONCATENATE(LEFT(RIGHT(CONCATENATE("000",IFAData_TEA_1617!A2130),6),3),"-",(RIGHT(RIGHT(CONCATENATE("000",IFAData_TEA_1617!A2130),6),3)))</f>
        <v>233-901</v>
      </c>
      <c r="C2130" s="979" t="s">
        <v>2146</v>
      </c>
      <c r="D2130" s="979">
        <v>8</v>
      </c>
      <c r="E2130" s="979">
        <v>2297</v>
      </c>
      <c r="F2130" s="979" t="s">
        <v>5593</v>
      </c>
      <c r="G2130" s="979" t="s">
        <v>5593</v>
      </c>
      <c r="H2130" s="979">
        <v>1506687</v>
      </c>
      <c r="I2130" s="979">
        <v>62490</v>
      </c>
      <c r="J2130" s="979">
        <v>4.5054235956149803E-2</v>
      </c>
      <c r="K2130" s="979">
        <v>67882.631610063472</v>
      </c>
      <c r="L2130" s="979">
        <v>62490</v>
      </c>
      <c r="M2130" s="979">
        <v>599</v>
      </c>
    </row>
    <row r="2131" spans="1:13" ht="15">
      <c r="A2131" s="979" t="s">
        <v>3752</v>
      </c>
      <c r="B2131" s="1040" t="str">
        <f>CONCATENATE(LEFT(RIGHT(CONCATENATE("000",IFAData_TEA_1617!A2131),6),3),"-",(RIGHT(RIGHT(CONCATENATE("000",IFAData_TEA_1617!A2131),6),3)))</f>
        <v>233-901</v>
      </c>
      <c r="C2131" s="979" t="s">
        <v>2146</v>
      </c>
      <c r="D2131" s="979">
        <v>4</v>
      </c>
      <c r="E2131" s="979">
        <v>2298</v>
      </c>
      <c r="F2131" s="979" t="s">
        <v>5590</v>
      </c>
      <c r="G2131" s="979" t="s">
        <v>5590</v>
      </c>
      <c r="H2131" s="979">
        <v>2143670</v>
      </c>
      <c r="I2131" s="979">
        <v>0</v>
      </c>
      <c r="J2131" s="979">
        <v>0</v>
      </c>
      <c r="K2131" s="979">
        <v>0</v>
      </c>
      <c r="L2131" s="979">
        <v>0</v>
      </c>
      <c r="M2131" s="979">
        <v>599</v>
      </c>
    </row>
    <row r="2132" spans="1:13" ht="15">
      <c r="A2132" s="979" t="s">
        <v>3752</v>
      </c>
      <c r="B2132" s="1040" t="str">
        <f>CONCATENATE(LEFT(RIGHT(CONCATENATE("000",IFAData_TEA_1617!A2132),6),3),"-",(RIGHT(RIGHT(CONCATENATE("000",IFAData_TEA_1617!A2132),6),3)))</f>
        <v>233-901</v>
      </c>
      <c r="C2132" s="979" t="s">
        <v>2146</v>
      </c>
      <c r="D2132" s="979">
        <v>4</v>
      </c>
      <c r="E2132" s="979">
        <v>2298</v>
      </c>
      <c r="F2132" s="979" t="s">
        <v>5590</v>
      </c>
      <c r="G2132" s="979" t="s">
        <v>5591</v>
      </c>
      <c r="H2132" s="979">
        <v>2143670</v>
      </c>
      <c r="I2132" s="979">
        <v>0</v>
      </c>
      <c r="J2132" s="979">
        <v>0</v>
      </c>
      <c r="K2132" s="979">
        <v>0</v>
      </c>
      <c r="L2132" s="979">
        <v>0</v>
      </c>
      <c r="M2132" s="979">
        <v>599</v>
      </c>
    </row>
    <row r="2133" spans="1:13" ht="15">
      <c r="A2133" s="979" t="s">
        <v>3752</v>
      </c>
      <c r="B2133" s="1040" t="str">
        <f>CONCATENATE(LEFT(RIGHT(CONCATENATE("000",IFAData_TEA_1617!A2133),6),3),"-",(RIGHT(RIGHT(CONCATENATE("000",IFAData_TEA_1617!A2133),6),3)))</f>
        <v>233-901</v>
      </c>
      <c r="C2133" s="979" t="s">
        <v>2146</v>
      </c>
      <c r="D2133" s="979">
        <v>9</v>
      </c>
      <c r="E2133" s="979">
        <v>2296</v>
      </c>
      <c r="F2133" s="979" t="s">
        <v>5595</v>
      </c>
      <c r="G2133" s="979" t="s">
        <v>5595</v>
      </c>
      <c r="H2133" s="979">
        <v>866517</v>
      </c>
      <c r="I2133" s="979">
        <v>432800</v>
      </c>
      <c r="J2133" s="979">
        <v>0.56723460026212325</v>
      </c>
      <c r="K2133" s="979">
        <v>491518.42411533423</v>
      </c>
      <c r="L2133" s="979">
        <v>432800</v>
      </c>
      <c r="M2133" s="979">
        <v>599</v>
      </c>
    </row>
    <row r="2134" spans="1:13" ht="15">
      <c r="A2134" s="979" t="s">
        <v>3752</v>
      </c>
      <c r="B2134" s="1040" t="str">
        <f>CONCATENATE(LEFT(RIGHT(CONCATENATE("000",IFAData_TEA_1617!A2134),6),3),"-",(RIGHT(RIGHT(CONCATENATE("000",IFAData_TEA_1617!A2134),6),3)))</f>
        <v>233-901</v>
      </c>
      <c r="C2134" s="979" t="s">
        <v>2146</v>
      </c>
      <c r="D2134" s="979">
        <v>9</v>
      </c>
      <c r="E2134" s="979">
        <v>2296</v>
      </c>
      <c r="F2134" s="979" t="s">
        <v>5595</v>
      </c>
      <c r="G2134" s="979" t="s">
        <v>6549</v>
      </c>
      <c r="H2134" s="979">
        <v>866517</v>
      </c>
      <c r="I2134" s="979">
        <v>330200</v>
      </c>
      <c r="J2134" s="979">
        <v>0.43276539973787681</v>
      </c>
      <c r="K2134" s="979">
        <v>374998.57588466583</v>
      </c>
      <c r="L2134" s="979">
        <v>330200</v>
      </c>
      <c r="M2134" s="979">
        <v>599</v>
      </c>
    </row>
    <row r="2135" spans="1:13" ht="15">
      <c r="A2135" s="979" t="s">
        <v>3752</v>
      </c>
      <c r="B2135" s="1040" t="str">
        <f>CONCATENATE(LEFT(RIGHT(CONCATENATE("000",IFAData_TEA_1617!A2135),6),3),"-",(RIGHT(RIGHT(CONCATENATE("000",IFAData_TEA_1617!A2135),6),3)))</f>
        <v>233-901</v>
      </c>
      <c r="C2135" s="979" t="s">
        <v>2146</v>
      </c>
      <c r="D2135" s="979">
        <v>8</v>
      </c>
      <c r="E2135" s="979">
        <v>2297</v>
      </c>
      <c r="F2135" s="979" t="s">
        <v>5593</v>
      </c>
      <c r="G2135" s="979" t="s">
        <v>5594</v>
      </c>
      <c r="H2135" s="979">
        <v>1506687</v>
      </c>
      <c r="I2135" s="979">
        <v>320655</v>
      </c>
      <c r="J2135" s="979">
        <v>0.23118684638372886</v>
      </c>
      <c r="K2135" s="979">
        <v>348326.21601736126</v>
      </c>
      <c r="L2135" s="979">
        <v>320655</v>
      </c>
      <c r="M2135" s="979">
        <v>599</v>
      </c>
    </row>
    <row r="2136" spans="1:13" ht="15">
      <c r="A2136" s="979" t="s">
        <v>3753</v>
      </c>
      <c r="B2136" s="1040" t="str">
        <f>CONCATENATE(LEFT(RIGHT(CONCATENATE("000",IFAData_TEA_1617!A2136),6),3),"-",(RIGHT(RIGHT(CONCATENATE("000",IFAData_TEA_1617!A2136),6),3)))</f>
        <v>234-902</v>
      </c>
      <c r="C2136" s="979" t="s">
        <v>1146</v>
      </c>
      <c r="D2136" s="979">
        <v>10</v>
      </c>
      <c r="E2136" s="979">
        <v>1661</v>
      </c>
      <c r="F2136" s="979" t="s">
        <v>5596</v>
      </c>
      <c r="G2136" s="979" t="s">
        <v>6344</v>
      </c>
      <c r="H2136" s="979">
        <v>944380</v>
      </c>
      <c r="I2136" s="979">
        <v>394066</v>
      </c>
      <c r="J2136" s="979">
        <v>0.35221509766522291</v>
      </c>
      <c r="K2136" s="979">
        <v>332624.89393308322</v>
      </c>
      <c r="L2136" s="979">
        <v>332624.89393308322</v>
      </c>
      <c r="M2136" s="979">
        <v>599</v>
      </c>
    </row>
    <row r="2137" spans="1:13" ht="15">
      <c r="A2137" s="979" t="s">
        <v>3753</v>
      </c>
      <c r="B2137" s="1040" t="str">
        <f>CONCATENATE(LEFT(RIGHT(CONCATENATE("000",IFAData_TEA_1617!A2137),6),3),"-",(RIGHT(RIGHT(CONCATENATE("000",IFAData_TEA_1617!A2137),6),3)))</f>
        <v>234-902</v>
      </c>
      <c r="C2137" s="979" t="s">
        <v>1146</v>
      </c>
      <c r="D2137" s="979">
        <v>10</v>
      </c>
      <c r="E2137" s="979">
        <v>1661</v>
      </c>
      <c r="F2137" s="979" t="s">
        <v>5596</v>
      </c>
      <c r="G2137" s="979" t="s">
        <v>6345</v>
      </c>
      <c r="H2137" s="979">
        <v>944380</v>
      </c>
      <c r="I2137" s="979">
        <v>284416</v>
      </c>
      <c r="J2137" s="979">
        <v>0.25421023183312447</v>
      </c>
      <c r="K2137" s="979">
        <v>240071.05873856609</v>
      </c>
      <c r="L2137" s="979">
        <v>240071.05873856609</v>
      </c>
      <c r="M2137" s="979">
        <v>599</v>
      </c>
    </row>
    <row r="2138" spans="1:13" ht="15">
      <c r="A2138" s="979" t="s">
        <v>3753</v>
      </c>
      <c r="B2138" s="1040" t="str">
        <f>CONCATENATE(LEFT(RIGHT(CONCATENATE("000",IFAData_TEA_1617!A2138),6),3),"-",(RIGHT(RIGHT(CONCATENATE("000",IFAData_TEA_1617!A2138),6),3)))</f>
        <v>234-902</v>
      </c>
      <c r="C2138" s="979" t="s">
        <v>1146</v>
      </c>
      <c r="D2138" s="979">
        <v>10</v>
      </c>
      <c r="E2138" s="979">
        <v>1661</v>
      </c>
      <c r="F2138" s="979" t="s">
        <v>5596</v>
      </c>
      <c r="G2138" s="979" t="s">
        <v>5596</v>
      </c>
      <c r="H2138" s="979">
        <v>944380</v>
      </c>
      <c r="I2138" s="979">
        <v>440340</v>
      </c>
      <c r="J2138" s="979">
        <v>0.39357467050165262</v>
      </c>
      <c r="K2138" s="979">
        <v>371684.04732835072</v>
      </c>
      <c r="L2138" s="979">
        <v>371684.04732835072</v>
      </c>
      <c r="M2138" s="979">
        <v>599</v>
      </c>
    </row>
    <row r="2139" spans="1:13" ht="15">
      <c r="A2139" s="979" t="s">
        <v>3754</v>
      </c>
      <c r="B2139" s="1040" t="str">
        <f>CONCATENATE(LEFT(RIGHT(CONCATENATE("000",IFAData_TEA_1617!A2139),6),3),"-",(RIGHT(RIGHT(CONCATENATE("000",IFAData_TEA_1617!A2139),6),3)))</f>
        <v>234-904</v>
      </c>
      <c r="C2139" s="979" t="s">
        <v>864</v>
      </c>
      <c r="D2139" s="979">
        <v>5</v>
      </c>
      <c r="E2139" s="979">
        <v>1857</v>
      </c>
      <c r="F2139" s="979" t="s">
        <v>5597</v>
      </c>
      <c r="G2139" s="979" t="s">
        <v>5597</v>
      </c>
      <c r="H2139" s="979">
        <v>287500</v>
      </c>
      <c r="I2139" s="979">
        <v>0</v>
      </c>
      <c r="J2139" s="979">
        <v>0</v>
      </c>
      <c r="K2139" s="979">
        <v>0</v>
      </c>
      <c r="L2139" s="979">
        <v>0</v>
      </c>
      <c r="M2139" s="979">
        <v>599</v>
      </c>
    </row>
    <row r="2140" spans="1:13" ht="15">
      <c r="A2140" s="979" t="s">
        <v>3754</v>
      </c>
      <c r="B2140" s="1040" t="str">
        <f>CONCATENATE(LEFT(RIGHT(CONCATENATE("000",IFAData_TEA_1617!A2140),6),3),"-",(RIGHT(RIGHT(CONCATENATE("000",IFAData_TEA_1617!A2140),6),3)))</f>
        <v>234-904</v>
      </c>
      <c r="C2140" s="979" t="s">
        <v>864</v>
      </c>
      <c r="D2140" s="979">
        <v>5</v>
      </c>
      <c r="E2140" s="979">
        <v>1857</v>
      </c>
      <c r="F2140" s="979" t="s">
        <v>5597</v>
      </c>
      <c r="G2140" s="979" t="s">
        <v>5598</v>
      </c>
      <c r="H2140" s="979">
        <v>287500</v>
      </c>
      <c r="I2140" s="979">
        <v>558840</v>
      </c>
      <c r="J2140" s="979">
        <v>1</v>
      </c>
      <c r="K2140" s="979">
        <v>287500</v>
      </c>
      <c r="L2140" s="979">
        <v>287500</v>
      </c>
      <c r="M2140" s="979">
        <v>599</v>
      </c>
    </row>
    <row r="2141" spans="1:13" ht="15">
      <c r="A2141" s="979" t="s">
        <v>3755</v>
      </c>
      <c r="B2141" s="1040" t="str">
        <f>CONCATENATE(LEFT(RIGHT(CONCATENATE("000",IFAData_TEA_1617!A2141),6),3),"-",(RIGHT(RIGHT(CONCATENATE("000",IFAData_TEA_1617!A2141),6),3)))</f>
        <v>234-905</v>
      </c>
      <c r="C2141" s="979" t="s">
        <v>2065</v>
      </c>
      <c r="D2141" s="979">
        <v>2</v>
      </c>
      <c r="E2141" s="979">
        <v>2070</v>
      </c>
      <c r="F2141" s="979" t="s">
        <v>5599</v>
      </c>
      <c r="G2141" s="979" t="s">
        <v>5599</v>
      </c>
      <c r="H2141" s="979">
        <v>95558</v>
      </c>
      <c r="I2141" s="979">
        <v>0</v>
      </c>
      <c r="J2141" s="979">
        <v>0</v>
      </c>
      <c r="K2141" s="979">
        <v>0</v>
      </c>
      <c r="L2141" s="979">
        <v>0</v>
      </c>
      <c r="M2141" s="979">
        <v>599</v>
      </c>
    </row>
    <row r="2142" spans="1:13" ht="15">
      <c r="A2142" s="979" t="s">
        <v>3755</v>
      </c>
      <c r="B2142" s="1040" t="str">
        <f>CONCATENATE(LEFT(RIGHT(CONCATENATE("000",IFAData_TEA_1617!A2142),6),3),"-",(RIGHT(RIGHT(CONCATENATE("000",IFAData_TEA_1617!A2142),6),3)))</f>
        <v>234-905</v>
      </c>
      <c r="C2142" s="979" t="s">
        <v>2065</v>
      </c>
      <c r="D2142" s="979">
        <v>2</v>
      </c>
      <c r="E2142" s="979">
        <v>2070</v>
      </c>
      <c r="F2142" s="979" t="s">
        <v>5599</v>
      </c>
      <c r="G2142" s="979" t="s">
        <v>5600</v>
      </c>
      <c r="H2142" s="979">
        <v>95558</v>
      </c>
      <c r="I2142" s="979">
        <v>63913</v>
      </c>
      <c r="J2142" s="979">
        <v>1</v>
      </c>
      <c r="K2142" s="979">
        <v>95558</v>
      </c>
      <c r="L2142" s="979">
        <v>63913</v>
      </c>
      <c r="M2142" s="979">
        <v>599</v>
      </c>
    </row>
    <row r="2143" spans="1:13" ht="15">
      <c r="A2143" s="979" t="s">
        <v>3755</v>
      </c>
      <c r="B2143" s="1040" t="str">
        <f>CONCATENATE(LEFT(RIGHT(CONCATENATE("000",IFAData_TEA_1617!A2143),6),3),"-",(RIGHT(RIGHT(CONCATENATE("000",IFAData_TEA_1617!A2143),6),3)))</f>
        <v>234-905</v>
      </c>
      <c r="C2143" s="979" t="s">
        <v>2065</v>
      </c>
      <c r="D2143" s="979">
        <v>10</v>
      </c>
      <c r="E2143" s="979">
        <v>2071</v>
      </c>
      <c r="F2143" s="979" t="s">
        <v>5601</v>
      </c>
      <c r="G2143" s="979" t="s">
        <v>5601</v>
      </c>
      <c r="H2143" s="979">
        <v>121250</v>
      </c>
      <c r="I2143" s="979">
        <v>147369</v>
      </c>
      <c r="J2143" s="979">
        <v>1</v>
      </c>
      <c r="K2143" s="979">
        <v>121250</v>
      </c>
      <c r="L2143" s="979">
        <v>121250</v>
      </c>
      <c r="M2143" s="979">
        <v>599</v>
      </c>
    </row>
    <row r="2144" spans="1:13" ht="15">
      <c r="A2144" s="979" t="s">
        <v>3756</v>
      </c>
      <c r="B2144" s="1040" t="str">
        <f>CONCATENATE(LEFT(RIGHT(CONCATENATE("000",IFAData_TEA_1617!A2144),6),3),"-",(RIGHT(RIGHT(CONCATENATE("000",IFAData_TEA_1617!A2144),6),3)))</f>
        <v>234-906</v>
      </c>
      <c r="C2144" s="979" t="s">
        <v>1147</v>
      </c>
      <c r="D2144" s="979">
        <v>9</v>
      </c>
      <c r="E2144" s="979">
        <v>2421</v>
      </c>
      <c r="F2144" s="979" t="s">
        <v>5602</v>
      </c>
      <c r="G2144" s="979" t="s">
        <v>6346</v>
      </c>
      <c r="H2144" s="979">
        <v>518746</v>
      </c>
      <c r="I2144" s="979">
        <v>219793</v>
      </c>
      <c r="J2144" s="979">
        <v>0.18786802321158563</v>
      </c>
      <c r="K2144" s="979">
        <v>97455.785568917199</v>
      </c>
      <c r="L2144" s="979">
        <v>97455.785568917199</v>
      </c>
      <c r="M2144" s="979">
        <v>599</v>
      </c>
    </row>
    <row r="2145" spans="1:13" ht="15">
      <c r="A2145" s="979" t="s">
        <v>3756</v>
      </c>
      <c r="B2145" s="1040" t="str">
        <f>CONCATENATE(LEFT(RIGHT(CONCATENATE("000",IFAData_TEA_1617!A2145),6),3),"-",(RIGHT(RIGHT(CONCATENATE("000",IFAData_TEA_1617!A2145),6),3)))</f>
        <v>234-906</v>
      </c>
      <c r="C2145" s="979" t="s">
        <v>1147</v>
      </c>
      <c r="D2145" s="979">
        <v>9</v>
      </c>
      <c r="E2145" s="979">
        <v>2421</v>
      </c>
      <c r="F2145" s="979" t="s">
        <v>5602</v>
      </c>
      <c r="G2145" s="979" t="s">
        <v>6347</v>
      </c>
      <c r="H2145" s="979">
        <v>518746</v>
      </c>
      <c r="I2145" s="979">
        <v>285056</v>
      </c>
      <c r="J2145" s="979">
        <v>0.24365155953375109</v>
      </c>
      <c r="K2145" s="979">
        <v>126393.27190189525</v>
      </c>
      <c r="L2145" s="979">
        <v>126393.27190189525</v>
      </c>
      <c r="M2145" s="979">
        <v>599</v>
      </c>
    </row>
    <row r="2146" spans="1:13" ht="15">
      <c r="A2146" s="979" t="s">
        <v>3756</v>
      </c>
      <c r="B2146" s="1040" t="str">
        <f>CONCATENATE(LEFT(RIGHT(CONCATENATE("000",IFAData_TEA_1617!A2146),6),3),"-",(RIGHT(RIGHT(CONCATENATE("000",IFAData_TEA_1617!A2146),6),3)))</f>
        <v>234-906</v>
      </c>
      <c r="C2146" s="979" t="s">
        <v>1147</v>
      </c>
      <c r="D2146" s="979">
        <v>9</v>
      </c>
      <c r="E2146" s="979">
        <v>2421</v>
      </c>
      <c r="F2146" s="979" t="s">
        <v>5602</v>
      </c>
      <c r="G2146" s="979" t="s">
        <v>5602</v>
      </c>
      <c r="H2146" s="979">
        <v>518746</v>
      </c>
      <c r="I2146" s="979">
        <v>481535</v>
      </c>
      <c r="J2146" s="979">
        <v>0.41159194586356657</v>
      </c>
      <c r="K2146" s="979">
        <v>213511.67554894171</v>
      </c>
      <c r="L2146" s="979">
        <v>213511.67554894171</v>
      </c>
      <c r="M2146" s="979">
        <v>599</v>
      </c>
    </row>
    <row r="2147" spans="1:13" ht="15">
      <c r="A2147" s="979" t="s">
        <v>3756</v>
      </c>
      <c r="B2147" s="1040" t="str">
        <f>CONCATENATE(LEFT(RIGHT(CONCATENATE("000",IFAData_TEA_1617!A2147),6),3),"-",(RIGHT(RIGHT(CONCATENATE("000",IFAData_TEA_1617!A2147),6),3)))</f>
        <v>234-906</v>
      </c>
      <c r="C2147" s="979" t="s">
        <v>1147</v>
      </c>
      <c r="D2147" s="979">
        <v>9</v>
      </c>
      <c r="E2147" s="979">
        <v>2421</v>
      </c>
      <c r="F2147" s="979" t="s">
        <v>5602</v>
      </c>
      <c r="G2147" s="979" t="s">
        <v>6550</v>
      </c>
      <c r="H2147" s="979">
        <v>518746</v>
      </c>
      <c r="I2147" s="979">
        <v>183549</v>
      </c>
      <c r="J2147" s="979">
        <v>0.15688847139109677</v>
      </c>
      <c r="K2147" s="979">
        <v>81385.266980245884</v>
      </c>
      <c r="L2147" s="979">
        <v>81385.266980245884</v>
      </c>
      <c r="M2147" s="979">
        <v>599</v>
      </c>
    </row>
    <row r="2148" spans="1:13" ht="15">
      <c r="A2148" s="979" t="s">
        <v>3757</v>
      </c>
      <c r="B2148" s="1040" t="str">
        <f>CONCATENATE(LEFT(RIGHT(CONCATENATE("000",IFAData_TEA_1617!A2148),6),3),"-",(RIGHT(RIGHT(CONCATENATE("000",IFAData_TEA_1617!A2148),6),3)))</f>
        <v>234-909</v>
      </c>
      <c r="C2148" s="979" t="s">
        <v>1478</v>
      </c>
      <c r="D2148" s="979">
        <v>6</v>
      </c>
      <c r="E2148" s="979">
        <v>1832</v>
      </c>
      <c r="F2148" s="979" t="s">
        <v>5603</v>
      </c>
      <c r="G2148" s="979" t="s">
        <v>5604</v>
      </c>
      <c r="H2148" s="979">
        <v>95608</v>
      </c>
      <c r="I2148" s="979">
        <v>94150</v>
      </c>
      <c r="J2148" s="979">
        <v>1</v>
      </c>
      <c r="K2148" s="979">
        <v>95608</v>
      </c>
      <c r="L2148" s="979">
        <v>94150</v>
      </c>
      <c r="M2148" s="979">
        <v>599</v>
      </c>
    </row>
    <row r="2149" spans="1:13" ht="15">
      <c r="A2149" s="979" t="s">
        <v>3757</v>
      </c>
      <c r="B2149" s="1040" t="str">
        <f>CONCATENATE(LEFT(RIGHT(CONCATENATE("000",IFAData_TEA_1617!A2149),6),3),"-",(RIGHT(RIGHT(CONCATENATE("000",IFAData_TEA_1617!A2149),6),3)))</f>
        <v>234-909</v>
      </c>
      <c r="C2149" s="979" t="s">
        <v>1478</v>
      </c>
      <c r="D2149" s="979">
        <v>6</v>
      </c>
      <c r="E2149" s="979">
        <v>1832</v>
      </c>
      <c r="F2149" s="979" t="s">
        <v>5603</v>
      </c>
      <c r="G2149" s="979" t="s">
        <v>5603</v>
      </c>
      <c r="H2149" s="979">
        <v>95608</v>
      </c>
      <c r="I2149" s="979">
        <v>0</v>
      </c>
      <c r="J2149" s="979">
        <v>0</v>
      </c>
      <c r="K2149" s="979">
        <v>0</v>
      </c>
      <c r="L2149" s="979">
        <v>0</v>
      </c>
      <c r="M2149" s="979">
        <v>599</v>
      </c>
    </row>
    <row r="2150" spans="1:13" ht="15">
      <c r="A2150" s="979" t="s">
        <v>3758</v>
      </c>
      <c r="B2150" s="1040" t="str">
        <f>CONCATENATE(LEFT(RIGHT(CONCATENATE("000",IFAData_TEA_1617!A2150),6),3),"-",(RIGHT(RIGHT(CONCATENATE("000",IFAData_TEA_1617!A2150),6),3)))</f>
        <v>235-901</v>
      </c>
      <c r="C2150" s="979" t="s">
        <v>1344</v>
      </c>
      <c r="D2150" s="979">
        <v>3</v>
      </c>
      <c r="E2150" s="979">
        <v>1620</v>
      </c>
      <c r="F2150" s="979" t="s">
        <v>5605</v>
      </c>
      <c r="G2150" s="979" t="s">
        <v>5606</v>
      </c>
      <c r="H2150" s="979">
        <v>239379</v>
      </c>
      <c r="I2150" s="979">
        <v>0</v>
      </c>
      <c r="J2150" s="979">
        <v>0</v>
      </c>
      <c r="K2150" s="979">
        <v>0</v>
      </c>
      <c r="L2150" s="979">
        <v>0</v>
      </c>
      <c r="M2150" s="979">
        <v>599</v>
      </c>
    </row>
    <row r="2151" spans="1:13" ht="15">
      <c r="A2151" s="979" t="s">
        <v>3758</v>
      </c>
      <c r="B2151" s="1040" t="str">
        <f>CONCATENATE(LEFT(RIGHT(CONCATENATE("000",IFAData_TEA_1617!A2151),6),3),"-",(RIGHT(RIGHT(CONCATENATE("000",IFAData_TEA_1617!A2151),6),3)))</f>
        <v>235-901</v>
      </c>
      <c r="C2151" s="979" t="s">
        <v>1344</v>
      </c>
      <c r="D2151" s="979">
        <v>6</v>
      </c>
      <c r="E2151" s="979">
        <v>1619</v>
      </c>
      <c r="F2151" s="979" t="s">
        <v>5607</v>
      </c>
      <c r="G2151" s="979" t="s">
        <v>5606</v>
      </c>
      <c r="H2151" s="979">
        <v>218942</v>
      </c>
      <c r="I2151" s="979">
        <v>78918</v>
      </c>
      <c r="J2151" s="979">
        <v>0.27325988047174188</v>
      </c>
      <c r="K2151" s="979">
        <v>59828.064750244113</v>
      </c>
      <c r="L2151" s="979">
        <v>59828.064750244113</v>
      </c>
      <c r="M2151" s="979">
        <v>599</v>
      </c>
    </row>
    <row r="2152" spans="1:13" ht="15">
      <c r="A2152" s="979" t="s">
        <v>3758</v>
      </c>
      <c r="B2152" s="1040" t="str">
        <f>CONCATENATE(LEFT(RIGHT(CONCATENATE("000",IFAData_TEA_1617!A2152),6),3),"-",(RIGHT(RIGHT(CONCATENATE("000",IFAData_TEA_1617!A2152),6),3)))</f>
        <v>235-901</v>
      </c>
      <c r="C2152" s="979" t="s">
        <v>1344</v>
      </c>
      <c r="D2152" s="979">
        <v>6</v>
      </c>
      <c r="E2152" s="979">
        <v>1619</v>
      </c>
      <c r="F2152" s="979" t="s">
        <v>5607</v>
      </c>
      <c r="G2152" s="979" t="s">
        <v>5608</v>
      </c>
      <c r="H2152" s="979">
        <v>218942</v>
      </c>
      <c r="I2152" s="979">
        <v>137082</v>
      </c>
      <c r="J2152" s="979">
        <v>0.47465737771899086</v>
      </c>
      <c r="K2152" s="979">
        <v>103922.43559255129</v>
      </c>
      <c r="L2152" s="979">
        <v>103922.43559255129</v>
      </c>
      <c r="M2152" s="979">
        <v>599</v>
      </c>
    </row>
    <row r="2153" spans="1:13" ht="15">
      <c r="A2153" s="979" t="s">
        <v>3758</v>
      </c>
      <c r="B2153" s="1040" t="str">
        <f>CONCATENATE(LEFT(RIGHT(CONCATENATE("000",IFAData_TEA_1617!A2153),6),3),"-",(RIGHT(RIGHT(CONCATENATE("000",IFAData_TEA_1617!A2153),6),3)))</f>
        <v>235-901</v>
      </c>
      <c r="C2153" s="979" t="s">
        <v>1344</v>
      </c>
      <c r="D2153" s="979">
        <v>10</v>
      </c>
      <c r="E2153" s="979">
        <v>1618</v>
      </c>
      <c r="F2153" s="979" t="s">
        <v>5609</v>
      </c>
      <c r="G2153" s="979" t="s">
        <v>5609</v>
      </c>
      <c r="H2153" s="979">
        <v>191935</v>
      </c>
      <c r="I2153" s="979">
        <v>133663</v>
      </c>
      <c r="J2153" s="979">
        <v>0.29881981565068866</v>
      </c>
      <c r="K2153" s="979">
        <v>57353.981316914927</v>
      </c>
      <c r="L2153" s="979">
        <v>57353.981316914927</v>
      </c>
      <c r="M2153" s="979">
        <v>599</v>
      </c>
    </row>
    <row r="2154" spans="1:13" ht="15">
      <c r="A2154" s="979" t="s">
        <v>3758</v>
      </c>
      <c r="B2154" s="1040" t="str">
        <f>CONCATENATE(LEFT(RIGHT(CONCATENATE("000",IFAData_TEA_1617!A2154),6),3),"-",(RIGHT(RIGHT(CONCATENATE("000",IFAData_TEA_1617!A2154),6),3)))</f>
        <v>235-901</v>
      </c>
      <c r="C2154" s="979" t="s">
        <v>1344</v>
      </c>
      <c r="D2154" s="979">
        <v>3</v>
      </c>
      <c r="E2154" s="979">
        <v>1620</v>
      </c>
      <c r="F2154" s="979" t="s">
        <v>5605</v>
      </c>
      <c r="G2154" s="979" t="s">
        <v>5605</v>
      </c>
      <c r="H2154" s="979">
        <v>239379</v>
      </c>
      <c r="I2154" s="979">
        <v>0</v>
      </c>
      <c r="J2154" s="979">
        <v>0</v>
      </c>
      <c r="K2154" s="979">
        <v>0</v>
      </c>
      <c r="L2154" s="979">
        <v>0</v>
      </c>
      <c r="M2154" s="979">
        <v>599</v>
      </c>
    </row>
    <row r="2155" spans="1:13" ht="15">
      <c r="A2155" s="979" t="s">
        <v>3758</v>
      </c>
      <c r="B2155" s="1040" t="str">
        <f>CONCATENATE(LEFT(RIGHT(CONCATENATE("000",IFAData_TEA_1617!A2155),6),3),"-",(RIGHT(RIGHT(CONCATENATE("000",IFAData_TEA_1617!A2155),6),3)))</f>
        <v>235-901</v>
      </c>
      <c r="C2155" s="979" t="s">
        <v>1344</v>
      </c>
      <c r="D2155" s="979">
        <v>6</v>
      </c>
      <c r="E2155" s="979">
        <v>1619</v>
      </c>
      <c r="F2155" s="979" t="s">
        <v>5607</v>
      </c>
      <c r="G2155" s="979" t="s">
        <v>6551</v>
      </c>
      <c r="H2155" s="979">
        <v>218942</v>
      </c>
      <c r="I2155" s="979">
        <v>72802</v>
      </c>
      <c r="J2155" s="979">
        <v>0.25208274180926726</v>
      </c>
      <c r="K2155" s="979">
        <v>55191.499657204593</v>
      </c>
      <c r="L2155" s="979">
        <v>55191.499657204593</v>
      </c>
      <c r="M2155" s="979">
        <v>599</v>
      </c>
    </row>
    <row r="2156" spans="1:13" ht="15">
      <c r="A2156" s="979" t="s">
        <v>3758</v>
      </c>
      <c r="B2156" s="1040" t="str">
        <f>CONCATENATE(LEFT(RIGHT(CONCATENATE("000",IFAData_TEA_1617!A2156),6),3),"-",(RIGHT(RIGHT(CONCATENATE("000",IFAData_TEA_1617!A2156),6),3)))</f>
        <v>235-901</v>
      </c>
      <c r="C2156" s="979" t="s">
        <v>1344</v>
      </c>
      <c r="D2156" s="979">
        <v>3</v>
      </c>
      <c r="E2156" s="979">
        <v>1620</v>
      </c>
      <c r="F2156" s="979" t="s">
        <v>5605</v>
      </c>
      <c r="G2156" s="979" t="s">
        <v>6551</v>
      </c>
      <c r="H2156" s="979">
        <v>239379</v>
      </c>
      <c r="I2156" s="979">
        <v>75661</v>
      </c>
      <c r="J2156" s="979">
        <v>1</v>
      </c>
      <c r="K2156" s="979">
        <v>239379</v>
      </c>
      <c r="L2156" s="979">
        <v>75661</v>
      </c>
      <c r="M2156" s="979">
        <v>599</v>
      </c>
    </row>
    <row r="2157" spans="1:13" ht="15">
      <c r="A2157" s="979" t="s">
        <v>3758</v>
      </c>
      <c r="B2157" s="1040" t="str">
        <f>CONCATENATE(LEFT(RIGHT(CONCATENATE("000",IFAData_TEA_1617!A2157),6),3),"-",(RIGHT(RIGHT(CONCATENATE("000",IFAData_TEA_1617!A2157),6),3)))</f>
        <v>235-901</v>
      </c>
      <c r="C2157" s="979" t="s">
        <v>1344</v>
      </c>
      <c r="D2157" s="979">
        <v>6</v>
      </c>
      <c r="E2157" s="979">
        <v>1619</v>
      </c>
      <c r="F2157" s="979" t="s">
        <v>5607</v>
      </c>
      <c r="G2157" s="979" t="s">
        <v>5607</v>
      </c>
      <c r="H2157" s="979">
        <v>218942</v>
      </c>
      <c r="I2157" s="979">
        <v>0</v>
      </c>
      <c r="J2157" s="979">
        <v>0</v>
      </c>
      <c r="K2157" s="979">
        <v>0</v>
      </c>
      <c r="L2157" s="979">
        <v>0</v>
      </c>
      <c r="M2157" s="979">
        <v>599</v>
      </c>
    </row>
    <row r="2158" spans="1:13" ht="15">
      <c r="A2158" s="979" t="s">
        <v>3758</v>
      </c>
      <c r="B2158" s="1040" t="str">
        <f>CONCATENATE(LEFT(RIGHT(CONCATENATE("000",IFAData_TEA_1617!A2158),6),3),"-",(RIGHT(RIGHT(CONCATENATE("000",IFAData_TEA_1617!A2158),6),3)))</f>
        <v>235-901</v>
      </c>
      <c r="C2158" s="979" t="s">
        <v>1344</v>
      </c>
      <c r="D2158" s="979">
        <v>10</v>
      </c>
      <c r="E2158" s="979">
        <v>1618</v>
      </c>
      <c r="F2158" s="979" t="s">
        <v>5609</v>
      </c>
      <c r="G2158" s="979" t="s">
        <v>6551</v>
      </c>
      <c r="H2158" s="979">
        <v>191935</v>
      </c>
      <c r="I2158" s="979">
        <v>313640</v>
      </c>
      <c r="J2158" s="979">
        <v>0.70118018434931129</v>
      </c>
      <c r="K2158" s="979">
        <v>134581.01868308507</v>
      </c>
      <c r="L2158" s="979">
        <v>134581.01868308507</v>
      </c>
      <c r="M2158" s="979">
        <v>599</v>
      </c>
    </row>
    <row r="2159" spans="1:13" ht="15">
      <c r="A2159" s="979" t="s">
        <v>3759</v>
      </c>
      <c r="B2159" s="1040" t="str">
        <f>CONCATENATE(LEFT(RIGHT(CONCATENATE("000",IFAData_TEA_1617!A2159),6),3),"-",(RIGHT(RIGHT(CONCATENATE("000",IFAData_TEA_1617!A2159),6),3)))</f>
        <v>235-902</v>
      </c>
      <c r="C2159" s="979" t="s">
        <v>134</v>
      </c>
      <c r="D2159" s="979">
        <v>2</v>
      </c>
      <c r="E2159" s="979">
        <v>2426</v>
      </c>
      <c r="F2159" s="979" t="s">
        <v>5610</v>
      </c>
      <c r="G2159" s="979" t="s">
        <v>6348</v>
      </c>
      <c r="H2159" s="979">
        <v>2126212</v>
      </c>
      <c r="I2159" s="979">
        <v>1688877</v>
      </c>
      <c r="J2159" s="979">
        <v>1</v>
      </c>
      <c r="K2159" s="979">
        <v>2126212</v>
      </c>
      <c r="L2159" s="979">
        <v>1688877</v>
      </c>
      <c r="M2159" s="979">
        <v>599</v>
      </c>
    </row>
    <row r="2160" spans="1:13" ht="15">
      <c r="A2160" s="979" t="s">
        <v>3759</v>
      </c>
      <c r="B2160" s="1040" t="str">
        <f>CONCATENATE(LEFT(RIGHT(CONCATENATE("000",IFAData_TEA_1617!A2160),6),3),"-",(RIGHT(RIGHT(CONCATENATE("000",IFAData_TEA_1617!A2160),6),3)))</f>
        <v>235-902</v>
      </c>
      <c r="C2160" s="979" t="s">
        <v>134</v>
      </c>
      <c r="D2160" s="979">
        <v>2</v>
      </c>
      <c r="E2160" s="979">
        <v>2426</v>
      </c>
      <c r="F2160" s="979" t="s">
        <v>5610</v>
      </c>
      <c r="G2160" s="979" t="s">
        <v>5610</v>
      </c>
      <c r="H2160" s="979">
        <v>2126212</v>
      </c>
      <c r="I2160" s="979">
        <v>0</v>
      </c>
      <c r="J2160" s="979">
        <v>0</v>
      </c>
      <c r="K2160" s="979">
        <v>0</v>
      </c>
      <c r="L2160" s="979">
        <v>0</v>
      </c>
      <c r="M2160" s="979">
        <v>599</v>
      </c>
    </row>
    <row r="2161" spans="1:13" ht="15">
      <c r="A2161" s="979" t="s">
        <v>3759</v>
      </c>
      <c r="B2161" s="1040" t="str">
        <f>CONCATENATE(LEFT(RIGHT(CONCATENATE("000",IFAData_TEA_1617!A2161),6),3),"-",(RIGHT(RIGHT(CONCATENATE("000",IFAData_TEA_1617!A2161),6),3)))</f>
        <v>235-902</v>
      </c>
      <c r="C2161" s="979" t="s">
        <v>134</v>
      </c>
      <c r="D2161" s="979">
        <v>2</v>
      </c>
      <c r="E2161" s="979">
        <v>2426</v>
      </c>
      <c r="F2161" s="979" t="s">
        <v>5610</v>
      </c>
      <c r="G2161" s="979" t="s">
        <v>5611</v>
      </c>
      <c r="H2161" s="979">
        <v>2126212</v>
      </c>
      <c r="I2161" s="979">
        <v>0</v>
      </c>
      <c r="J2161" s="979">
        <v>0</v>
      </c>
      <c r="K2161" s="979">
        <v>0</v>
      </c>
      <c r="L2161" s="979">
        <v>0</v>
      </c>
      <c r="M2161" s="979">
        <v>599</v>
      </c>
    </row>
    <row r="2162" spans="1:13" ht="15">
      <c r="A2162" s="979" t="s">
        <v>3759</v>
      </c>
      <c r="B2162" s="1040" t="str">
        <f>CONCATENATE(LEFT(RIGHT(CONCATENATE("000",IFAData_TEA_1617!A2162),6),3),"-",(RIGHT(RIGHT(CONCATENATE("000",IFAData_TEA_1617!A2162),6),3)))</f>
        <v>235-902</v>
      </c>
      <c r="C2162" s="979" t="s">
        <v>134</v>
      </c>
      <c r="D2162" s="979">
        <v>9</v>
      </c>
      <c r="E2162" s="979">
        <v>2427</v>
      </c>
      <c r="F2162" s="979" t="s">
        <v>5612</v>
      </c>
      <c r="G2162" s="979" t="s">
        <v>5612</v>
      </c>
      <c r="H2162" s="979">
        <v>3088095</v>
      </c>
      <c r="I2162" s="979">
        <v>6119707</v>
      </c>
      <c r="J2162" s="979">
        <v>1</v>
      </c>
      <c r="K2162" s="979">
        <v>3088095</v>
      </c>
      <c r="L2162" s="979">
        <v>3088095</v>
      </c>
      <c r="M2162" s="979">
        <v>599</v>
      </c>
    </row>
    <row r="2163" spans="1:13" ht="15">
      <c r="A2163" s="979" t="s">
        <v>3760</v>
      </c>
      <c r="B2163" s="1040" t="str">
        <f>CONCATENATE(LEFT(RIGHT(CONCATENATE("000",IFAData_TEA_1617!A2163),6),3),"-",(RIGHT(RIGHT(CONCATENATE("000",IFAData_TEA_1617!A2163),6),3)))</f>
        <v>236-901</v>
      </c>
      <c r="C2163" s="979" t="s">
        <v>1144</v>
      </c>
      <c r="D2163" s="979">
        <v>6</v>
      </c>
      <c r="E2163" s="979">
        <v>2144</v>
      </c>
      <c r="F2163" s="979" t="s">
        <v>5615</v>
      </c>
      <c r="G2163" s="979" t="s">
        <v>5616</v>
      </c>
      <c r="H2163" s="979">
        <v>207728</v>
      </c>
      <c r="I2163" s="979">
        <v>325924</v>
      </c>
      <c r="J2163" s="979">
        <v>1</v>
      </c>
      <c r="K2163" s="979">
        <v>207728</v>
      </c>
      <c r="L2163" s="979">
        <v>207728</v>
      </c>
      <c r="M2163" s="979">
        <v>599</v>
      </c>
    </row>
    <row r="2164" spans="1:13" ht="15">
      <c r="A2164" s="979" t="s">
        <v>3760</v>
      </c>
      <c r="B2164" s="1040" t="str">
        <f>CONCATENATE(LEFT(RIGHT(CONCATENATE("000",IFAData_TEA_1617!A2164),6),3),"-",(RIGHT(RIGHT(CONCATENATE("000",IFAData_TEA_1617!A2164),6),3)))</f>
        <v>236-901</v>
      </c>
      <c r="C2164" s="979" t="s">
        <v>1144</v>
      </c>
      <c r="D2164" s="979">
        <v>2</v>
      </c>
      <c r="E2164" s="979">
        <v>2145</v>
      </c>
      <c r="F2164" s="979" t="s">
        <v>5613</v>
      </c>
      <c r="G2164" s="979" t="s">
        <v>5613</v>
      </c>
      <c r="H2164" s="979">
        <v>227546</v>
      </c>
      <c r="I2164" s="979">
        <v>0</v>
      </c>
      <c r="J2164" s="979">
        <v>0</v>
      </c>
      <c r="K2164" s="979">
        <v>0</v>
      </c>
      <c r="L2164" s="979">
        <v>0</v>
      </c>
      <c r="M2164" s="979">
        <v>599</v>
      </c>
    </row>
    <row r="2165" spans="1:13" ht="15">
      <c r="A2165" s="979" t="s">
        <v>3760</v>
      </c>
      <c r="B2165" s="1040" t="str">
        <f>CONCATENATE(LEFT(RIGHT(CONCATENATE("000",IFAData_TEA_1617!A2165),6),3),"-",(RIGHT(RIGHT(CONCATENATE("000",IFAData_TEA_1617!A2165),6),3)))</f>
        <v>236-901</v>
      </c>
      <c r="C2165" s="979" t="s">
        <v>1144</v>
      </c>
      <c r="D2165" s="979">
        <v>2</v>
      </c>
      <c r="E2165" s="979">
        <v>2145</v>
      </c>
      <c r="F2165" s="979" t="s">
        <v>5613</v>
      </c>
      <c r="G2165" s="979" t="s">
        <v>5614</v>
      </c>
      <c r="H2165" s="979">
        <v>227546</v>
      </c>
      <c r="I2165" s="979">
        <v>266138</v>
      </c>
      <c r="J2165" s="979">
        <v>1</v>
      </c>
      <c r="K2165" s="979">
        <v>227546</v>
      </c>
      <c r="L2165" s="979">
        <v>227546</v>
      </c>
      <c r="M2165" s="979">
        <v>599</v>
      </c>
    </row>
    <row r="2166" spans="1:13" ht="15">
      <c r="A2166" s="979" t="s">
        <v>3760</v>
      </c>
      <c r="B2166" s="1040" t="str">
        <f>CONCATENATE(LEFT(RIGHT(CONCATENATE("000",IFAData_TEA_1617!A2166),6),3),"-",(RIGHT(RIGHT(CONCATENATE("000",IFAData_TEA_1617!A2166),6),3)))</f>
        <v>236-901</v>
      </c>
      <c r="C2166" s="979" t="s">
        <v>1144</v>
      </c>
      <c r="D2166" s="979">
        <v>6</v>
      </c>
      <c r="E2166" s="979">
        <v>2144</v>
      </c>
      <c r="F2166" s="979" t="s">
        <v>5615</v>
      </c>
      <c r="G2166" s="979" t="s">
        <v>5615</v>
      </c>
      <c r="H2166" s="979">
        <v>207728</v>
      </c>
      <c r="I2166" s="979">
        <v>0</v>
      </c>
      <c r="J2166" s="979">
        <v>0</v>
      </c>
      <c r="K2166" s="979">
        <v>0</v>
      </c>
      <c r="L2166" s="979">
        <v>0</v>
      </c>
      <c r="M2166" s="979">
        <v>599</v>
      </c>
    </row>
    <row r="2167" spans="1:13" ht="15">
      <c r="A2167" s="979" t="s">
        <v>3761</v>
      </c>
      <c r="B2167" s="1040" t="str">
        <f>CONCATENATE(LEFT(RIGHT(CONCATENATE("000",IFAData_TEA_1617!A2167),6),3),"-",(RIGHT(RIGHT(CONCATENATE("000",IFAData_TEA_1617!A2167),6),3)))</f>
        <v>236-902</v>
      </c>
      <c r="C2167" s="979" t="s">
        <v>93</v>
      </c>
      <c r="D2167" s="979">
        <v>10</v>
      </c>
      <c r="E2167" s="979">
        <v>1919</v>
      </c>
      <c r="F2167" s="979" t="s">
        <v>5617</v>
      </c>
      <c r="G2167" s="979" t="s">
        <v>5617</v>
      </c>
      <c r="H2167" s="979">
        <v>470421</v>
      </c>
      <c r="I2167" s="979">
        <v>485283</v>
      </c>
      <c r="J2167" s="979">
        <v>1</v>
      </c>
      <c r="K2167" s="979">
        <v>470421</v>
      </c>
      <c r="L2167" s="979">
        <v>470421</v>
      </c>
      <c r="M2167" s="979">
        <v>199</v>
      </c>
    </row>
    <row r="2168" spans="1:13" ht="15">
      <c r="A2168" s="979" t="s">
        <v>3762</v>
      </c>
      <c r="B2168" s="1040" t="str">
        <f>CONCATENATE(LEFT(RIGHT(CONCATENATE("000",IFAData_TEA_1617!A2168),6),3),"-",(RIGHT(RIGHT(CONCATENATE("000",IFAData_TEA_1617!A2168),6),3)))</f>
        <v>237-902</v>
      </c>
      <c r="C2168" s="979" t="s">
        <v>2371</v>
      </c>
      <c r="D2168" s="979">
        <v>6</v>
      </c>
      <c r="E2168" s="979">
        <v>1882</v>
      </c>
      <c r="F2168" s="979" t="s">
        <v>5618</v>
      </c>
      <c r="G2168" s="979" t="s">
        <v>6349</v>
      </c>
      <c r="H2168" s="979">
        <v>361936</v>
      </c>
      <c r="I2168" s="979">
        <v>370757</v>
      </c>
      <c r="J2168" s="979">
        <v>1</v>
      </c>
      <c r="K2168" s="979">
        <v>361936</v>
      </c>
      <c r="L2168" s="979">
        <v>361936</v>
      </c>
      <c r="M2168" s="979">
        <v>599</v>
      </c>
    </row>
    <row r="2169" spans="1:13" ht="15">
      <c r="A2169" s="979" t="s">
        <v>3762</v>
      </c>
      <c r="B2169" s="1040" t="str">
        <f>CONCATENATE(LEFT(RIGHT(CONCATENATE("000",IFAData_TEA_1617!A2169),6),3),"-",(RIGHT(RIGHT(CONCATENATE("000",IFAData_TEA_1617!A2169),6),3)))</f>
        <v>237-902</v>
      </c>
      <c r="C2169" s="979" t="s">
        <v>2371</v>
      </c>
      <c r="D2169" s="979">
        <v>6</v>
      </c>
      <c r="E2169" s="979">
        <v>1882</v>
      </c>
      <c r="F2169" s="979" t="s">
        <v>5618</v>
      </c>
      <c r="G2169" s="979" t="s">
        <v>5618</v>
      </c>
      <c r="H2169" s="979">
        <v>361936</v>
      </c>
      <c r="I2169" s="979">
        <v>0</v>
      </c>
      <c r="J2169" s="979">
        <v>0</v>
      </c>
      <c r="K2169" s="979">
        <v>0</v>
      </c>
      <c r="L2169" s="979">
        <v>0</v>
      </c>
      <c r="M2169" s="979">
        <v>599</v>
      </c>
    </row>
    <row r="2170" spans="1:13" ht="15">
      <c r="A2170" s="979" t="s">
        <v>3762</v>
      </c>
      <c r="B2170" s="1040" t="str">
        <f>CONCATENATE(LEFT(RIGHT(CONCATENATE("000",IFAData_TEA_1617!A2170),6),3),"-",(RIGHT(RIGHT(CONCATENATE("000",IFAData_TEA_1617!A2170),6),3)))</f>
        <v>237-902</v>
      </c>
      <c r="C2170" s="979" t="s">
        <v>2371</v>
      </c>
      <c r="D2170" s="979">
        <v>6</v>
      </c>
      <c r="E2170" s="979">
        <v>1882</v>
      </c>
      <c r="F2170" s="979" t="s">
        <v>5618</v>
      </c>
      <c r="G2170" s="979" t="s">
        <v>5619</v>
      </c>
      <c r="H2170" s="979">
        <v>361936</v>
      </c>
      <c r="I2170" s="979">
        <v>0</v>
      </c>
      <c r="J2170" s="979">
        <v>0</v>
      </c>
      <c r="K2170" s="979">
        <v>0</v>
      </c>
      <c r="L2170" s="979">
        <v>0</v>
      </c>
      <c r="M2170" s="979">
        <v>599</v>
      </c>
    </row>
    <row r="2171" spans="1:13" ht="15">
      <c r="A2171" s="979" t="s">
        <v>3762</v>
      </c>
      <c r="B2171" s="1040" t="str">
        <f>CONCATENATE(LEFT(RIGHT(CONCATENATE("000",IFAData_TEA_1617!A2171),6),3),"-",(RIGHT(RIGHT(CONCATENATE("000",IFAData_TEA_1617!A2171),6),3)))</f>
        <v>237-902</v>
      </c>
      <c r="C2171" s="979" t="s">
        <v>2371</v>
      </c>
      <c r="D2171" s="979">
        <v>9</v>
      </c>
      <c r="E2171" s="979">
        <v>1881</v>
      </c>
      <c r="F2171" s="979" t="s">
        <v>5620</v>
      </c>
      <c r="G2171" s="979" t="s">
        <v>6552</v>
      </c>
      <c r="H2171" s="979">
        <v>294703</v>
      </c>
      <c r="I2171" s="979">
        <v>239389</v>
      </c>
      <c r="J2171" s="979">
        <v>0.54642547363615612</v>
      </c>
      <c r="K2171" s="979">
        <v>161033.22635699611</v>
      </c>
      <c r="L2171" s="979">
        <v>161033.22635699611</v>
      </c>
      <c r="M2171" s="979">
        <v>599</v>
      </c>
    </row>
    <row r="2172" spans="1:13" ht="15">
      <c r="A2172" s="979" t="s">
        <v>3762</v>
      </c>
      <c r="B2172" s="1040" t="str">
        <f>CONCATENATE(LEFT(RIGHT(CONCATENATE("000",IFAData_TEA_1617!A2172),6),3),"-",(RIGHT(RIGHT(CONCATENATE("000",IFAData_TEA_1617!A2172),6),3)))</f>
        <v>237-902</v>
      </c>
      <c r="C2172" s="979" t="s">
        <v>2371</v>
      </c>
      <c r="D2172" s="979">
        <v>9</v>
      </c>
      <c r="E2172" s="979">
        <v>1881</v>
      </c>
      <c r="F2172" s="979" t="s">
        <v>5620</v>
      </c>
      <c r="G2172" s="979" t="s">
        <v>5620</v>
      </c>
      <c r="H2172" s="979">
        <v>294703</v>
      </c>
      <c r="I2172" s="979">
        <v>198711</v>
      </c>
      <c r="J2172" s="979">
        <v>0.45357452636384388</v>
      </c>
      <c r="K2172" s="979">
        <v>133669.77364300389</v>
      </c>
      <c r="L2172" s="979">
        <v>133669.77364300389</v>
      </c>
      <c r="M2172" s="979">
        <v>599</v>
      </c>
    </row>
    <row r="2173" spans="1:13" ht="15">
      <c r="A2173" s="979" t="s">
        <v>3763</v>
      </c>
      <c r="B2173" s="1040" t="str">
        <f>CONCATENATE(LEFT(RIGHT(CONCATENATE("000",IFAData_TEA_1617!A2173),6),3),"-",(RIGHT(RIGHT(CONCATENATE("000",IFAData_TEA_1617!A2173),6),3)))</f>
        <v>237-904</v>
      </c>
      <c r="C2173" s="979" t="s">
        <v>138</v>
      </c>
      <c r="D2173" s="979">
        <v>9</v>
      </c>
      <c r="E2173" s="979">
        <v>2434</v>
      </c>
      <c r="F2173" s="979" t="s">
        <v>5626</v>
      </c>
      <c r="G2173" s="979" t="s">
        <v>6350</v>
      </c>
      <c r="H2173" s="979">
        <v>1234114</v>
      </c>
      <c r="I2173" s="979">
        <v>235104</v>
      </c>
      <c r="J2173" s="979">
        <v>8.1529666098176551E-2</v>
      </c>
      <c r="K2173" s="979">
        <v>100616.90234708505</v>
      </c>
      <c r="L2173" s="979">
        <v>100616.90234708505</v>
      </c>
      <c r="M2173" s="979">
        <v>599</v>
      </c>
    </row>
    <row r="2174" spans="1:13" ht="15">
      <c r="A2174" s="979" t="s">
        <v>3763</v>
      </c>
      <c r="B2174" s="1040" t="str">
        <f>CONCATENATE(LEFT(RIGHT(CONCATENATE("000",IFAData_TEA_1617!A2174),6),3),"-",(RIGHT(RIGHT(CONCATENATE("000",IFAData_TEA_1617!A2174),6),3)))</f>
        <v>237-904</v>
      </c>
      <c r="C2174" s="979" t="s">
        <v>138</v>
      </c>
      <c r="D2174" s="979">
        <v>6</v>
      </c>
      <c r="E2174" s="979">
        <v>2433</v>
      </c>
      <c r="F2174" s="979" t="s">
        <v>5621</v>
      </c>
      <c r="G2174" s="979" t="s">
        <v>5625</v>
      </c>
      <c r="H2174" s="979">
        <v>1125381</v>
      </c>
      <c r="I2174" s="979">
        <v>11938</v>
      </c>
      <c r="J2174" s="979">
        <v>1.2431687160518512E-2</v>
      </c>
      <c r="K2174" s="979">
        <v>13990.384528391483</v>
      </c>
      <c r="L2174" s="979">
        <v>11938</v>
      </c>
      <c r="M2174" s="979">
        <v>599</v>
      </c>
    </row>
    <row r="2175" spans="1:13" ht="15">
      <c r="A2175" s="979" t="s">
        <v>3763</v>
      </c>
      <c r="B2175" s="1040" t="str">
        <f>CONCATENATE(LEFT(RIGHT(CONCATENATE("000",IFAData_TEA_1617!A2175),6),3),"-",(RIGHT(RIGHT(CONCATENATE("000",IFAData_TEA_1617!A2175),6),3)))</f>
        <v>237-904</v>
      </c>
      <c r="C2175" s="979" t="s">
        <v>138</v>
      </c>
      <c r="D2175" s="979">
        <v>6</v>
      </c>
      <c r="E2175" s="979">
        <v>2433</v>
      </c>
      <c r="F2175" s="979" t="s">
        <v>5621</v>
      </c>
      <c r="G2175" s="979" t="s">
        <v>5624</v>
      </c>
      <c r="H2175" s="979">
        <v>1125381</v>
      </c>
      <c r="I2175" s="979">
        <v>0</v>
      </c>
      <c r="J2175" s="979">
        <v>0</v>
      </c>
      <c r="K2175" s="979">
        <v>0</v>
      </c>
      <c r="L2175" s="979">
        <v>0</v>
      </c>
      <c r="M2175" s="979">
        <v>599</v>
      </c>
    </row>
    <row r="2176" spans="1:13" ht="15">
      <c r="A2176" s="979" t="s">
        <v>3763</v>
      </c>
      <c r="B2176" s="1040" t="str">
        <f>CONCATENATE(LEFT(RIGHT(CONCATENATE("000",IFAData_TEA_1617!A2176),6),3),"-",(RIGHT(RIGHT(CONCATENATE("000",IFAData_TEA_1617!A2176),6),3)))</f>
        <v>237-904</v>
      </c>
      <c r="C2176" s="979" t="s">
        <v>138</v>
      </c>
      <c r="D2176" s="979">
        <v>6</v>
      </c>
      <c r="E2176" s="979">
        <v>2433</v>
      </c>
      <c r="F2176" s="979" t="s">
        <v>5621</v>
      </c>
      <c r="G2176" s="979" t="s">
        <v>5621</v>
      </c>
      <c r="H2176" s="979">
        <v>1125381</v>
      </c>
      <c r="I2176" s="979">
        <v>0</v>
      </c>
      <c r="J2176" s="979">
        <v>0</v>
      </c>
      <c r="K2176" s="979">
        <v>0</v>
      </c>
      <c r="L2176" s="979">
        <v>0</v>
      </c>
      <c r="M2176" s="979">
        <v>599</v>
      </c>
    </row>
    <row r="2177" spans="1:13" ht="15">
      <c r="A2177" s="979" t="s">
        <v>3763</v>
      </c>
      <c r="B2177" s="1040" t="str">
        <f>CONCATENATE(LEFT(RIGHT(CONCATENATE("000",IFAData_TEA_1617!A2177),6),3),"-",(RIGHT(RIGHT(CONCATENATE("000",IFAData_TEA_1617!A2177),6),3)))</f>
        <v>237-904</v>
      </c>
      <c r="C2177" s="979" t="s">
        <v>138</v>
      </c>
      <c r="D2177" s="979">
        <v>6</v>
      </c>
      <c r="E2177" s="979">
        <v>2433</v>
      </c>
      <c r="F2177" s="979" t="s">
        <v>5621</v>
      </c>
      <c r="G2177" s="979" t="s">
        <v>5623</v>
      </c>
      <c r="H2177" s="979">
        <v>1125381</v>
      </c>
      <c r="I2177" s="979">
        <v>948350</v>
      </c>
      <c r="J2177" s="979">
        <v>0.98756831283948154</v>
      </c>
      <c r="K2177" s="979">
        <v>1111390.6154716085</v>
      </c>
      <c r="L2177" s="979">
        <v>948350</v>
      </c>
      <c r="M2177" s="979">
        <v>599</v>
      </c>
    </row>
    <row r="2178" spans="1:13" ht="15">
      <c r="A2178" s="979" t="s">
        <v>3763</v>
      </c>
      <c r="B2178" s="1040" t="str">
        <f>CONCATENATE(LEFT(RIGHT(CONCATENATE("000",IFAData_TEA_1617!A2178),6),3),"-",(RIGHT(RIGHT(CONCATENATE("000",IFAData_TEA_1617!A2178),6),3)))</f>
        <v>237-904</v>
      </c>
      <c r="C2178" s="979" t="s">
        <v>138</v>
      </c>
      <c r="D2178" s="979">
        <v>6</v>
      </c>
      <c r="E2178" s="979">
        <v>2433</v>
      </c>
      <c r="F2178" s="979" t="s">
        <v>5621</v>
      </c>
      <c r="G2178" s="979" t="s">
        <v>5622</v>
      </c>
      <c r="H2178" s="979">
        <v>1125381</v>
      </c>
      <c r="I2178" s="979">
        <v>0</v>
      </c>
      <c r="J2178" s="979">
        <v>0</v>
      </c>
      <c r="K2178" s="979">
        <v>0</v>
      </c>
      <c r="L2178" s="979">
        <v>0</v>
      </c>
      <c r="M2178" s="979">
        <v>599</v>
      </c>
    </row>
    <row r="2179" spans="1:13" ht="15">
      <c r="A2179" s="979" t="s">
        <v>3763</v>
      </c>
      <c r="B2179" s="1040" t="str">
        <f>CONCATENATE(LEFT(RIGHT(CONCATENATE("000",IFAData_TEA_1617!A2179),6),3),"-",(RIGHT(RIGHT(CONCATENATE("000",IFAData_TEA_1617!A2179),6),3)))</f>
        <v>237-904</v>
      </c>
      <c r="C2179" s="979" t="s">
        <v>138</v>
      </c>
      <c r="D2179" s="979">
        <v>9</v>
      </c>
      <c r="E2179" s="979">
        <v>2434</v>
      </c>
      <c r="F2179" s="979" t="s">
        <v>5626</v>
      </c>
      <c r="G2179" s="979" t="s">
        <v>5626</v>
      </c>
      <c r="H2179" s="979">
        <v>1234114</v>
      </c>
      <c r="I2179" s="979">
        <v>1759992</v>
      </c>
      <c r="J2179" s="979">
        <v>0.61033227888705399</v>
      </c>
      <c r="K2179" s="979">
        <v>753219.61002641777</v>
      </c>
      <c r="L2179" s="979">
        <v>753219.61002641777</v>
      </c>
      <c r="M2179" s="979">
        <v>599</v>
      </c>
    </row>
    <row r="2180" spans="1:13" ht="15">
      <c r="A2180" s="979" t="s">
        <v>3763</v>
      </c>
      <c r="B2180" s="1040" t="str">
        <f>CONCATENATE(LEFT(RIGHT(CONCATENATE("000",IFAData_TEA_1617!A2180),6),3),"-",(RIGHT(RIGHT(CONCATENATE("000",IFAData_TEA_1617!A2180),6),3)))</f>
        <v>237-904</v>
      </c>
      <c r="C2180" s="979" t="s">
        <v>138</v>
      </c>
      <c r="D2180" s="979">
        <v>9</v>
      </c>
      <c r="E2180" s="979">
        <v>2434</v>
      </c>
      <c r="F2180" s="979" t="s">
        <v>5626</v>
      </c>
      <c r="G2180" s="979" t="s">
        <v>6553</v>
      </c>
      <c r="H2180" s="979">
        <v>1234114</v>
      </c>
      <c r="I2180" s="979">
        <v>718185</v>
      </c>
      <c r="J2180" s="979">
        <v>0.24905311371443672</v>
      </c>
      <c r="K2180" s="979">
        <v>307359.93437857839</v>
      </c>
      <c r="L2180" s="979">
        <v>307359.93437857839</v>
      </c>
      <c r="M2180" s="979">
        <v>599</v>
      </c>
    </row>
    <row r="2181" spans="1:13" ht="15">
      <c r="A2181" s="979" t="s">
        <v>3763</v>
      </c>
      <c r="B2181" s="1040" t="str">
        <f>CONCATENATE(LEFT(RIGHT(CONCATENATE("000",IFAData_TEA_1617!A2181),6),3),"-",(RIGHT(RIGHT(CONCATENATE("000",IFAData_TEA_1617!A2181),6),3)))</f>
        <v>237-904</v>
      </c>
      <c r="C2181" s="979" t="s">
        <v>138</v>
      </c>
      <c r="D2181" s="979">
        <v>9</v>
      </c>
      <c r="E2181" s="979">
        <v>2434</v>
      </c>
      <c r="F2181" s="979" t="s">
        <v>5626</v>
      </c>
      <c r="G2181" s="979" t="s">
        <v>6554</v>
      </c>
      <c r="H2181" s="979">
        <v>1234114</v>
      </c>
      <c r="I2181" s="979">
        <v>170381</v>
      </c>
      <c r="J2181" s="979">
        <v>5.9084941300332705E-2</v>
      </c>
      <c r="K2181" s="979">
        <v>72917.553247918797</v>
      </c>
      <c r="L2181" s="979">
        <v>72917.553247918797</v>
      </c>
      <c r="M2181" s="979">
        <v>599</v>
      </c>
    </row>
    <row r="2182" spans="1:13" ht="15">
      <c r="A2182" s="979" t="s">
        <v>3764</v>
      </c>
      <c r="B2182" s="1040" t="str">
        <f>CONCATENATE(LEFT(RIGHT(CONCATENATE("000",IFAData_TEA_1617!A2182),6),3),"-",(RIGHT(RIGHT(CONCATENATE("000",IFAData_TEA_1617!A2182),6),3)))</f>
        <v>237-905</v>
      </c>
      <c r="C2182" s="979" t="s">
        <v>94</v>
      </c>
      <c r="D2182" s="979">
        <v>9</v>
      </c>
      <c r="E2182" s="979">
        <v>2269</v>
      </c>
      <c r="F2182" s="979" t="s">
        <v>5627</v>
      </c>
      <c r="G2182" s="979" t="s">
        <v>5627</v>
      </c>
      <c r="H2182" s="979">
        <v>402311</v>
      </c>
      <c r="I2182" s="979">
        <v>0</v>
      </c>
      <c r="J2182" s="979">
        <v>0</v>
      </c>
      <c r="K2182" s="979">
        <v>0</v>
      </c>
      <c r="L2182" s="979">
        <v>0</v>
      </c>
      <c r="M2182" s="979">
        <v>599</v>
      </c>
    </row>
    <row r="2183" spans="1:13" ht="15">
      <c r="A2183" s="979" t="s">
        <v>3764</v>
      </c>
      <c r="B2183" s="1040" t="str">
        <f>CONCATENATE(LEFT(RIGHT(CONCATENATE("000",IFAData_TEA_1617!A2183),6),3),"-",(RIGHT(RIGHT(CONCATENATE("000",IFAData_TEA_1617!A2183),6),3)))</f>
        <v>237-905</v>
      </c>
      <c r="C2183" s="979" t="s">
        <v>94</v>
      </c>
      <c r="D2183" s="979">
        <v>9</v>
      </c>
      <c r="E2183" s="979">
        <v>2269</v>
      </c>
      <c r="F2183" s="979" t="s">
        <v>5627</v>
      </c>
      <c r="G2183" s="979" t="s">
        <v>6351</v>
      </c>
      <c r="H2183" s="979">
        <v>402311</v>
      </c>
      <c r="I2183" s="979">
        <v>219212</v>
      </c>
      <c r="J2183" s="979">
        <v>0.46546866008845966</v>
      </c>
      <c r="K2183" s="979">
        <v>187263.16210884831</v>
      </c>
      <c r="L2183" s="979">
        <v>187263.16210884831</v>
      </c>
      <c r="M2183" s="979">
        <v>599</v>
      </c>
    </row>
    <row r="2184" spans="1:13" ht="15">
      <c r="A2184" s="979" t="s">
        <v>3764</v>
      </c>
      <c r="B2184" s="1040" t="str">
        <f>CONCATENATE(LEFT(RIGHT(CONCATENATE("000",IFAData_TEA_1617!A2184),6),3),"-",(RIGHT(RIGHT(CONCATENATE("000",IFAData_TEA_1617!A2184),6),3)))</f>
        <v>237-905</v>
      </c>
      <c r="C2184" s="979" t="s">
        <v>94</v>
      </c>
      <c r="D2184" s="979">
        <v>9</v>
      </c>
      <c r="E2184" s="979">
        <v>2269</v>
      </c>
      <c r="F2184" s="979" t="s">
        <v>5627</v>
      </c>
      <c r="G2184" s="979" t="s">
        <v>5628</v>
      </c>
      <c r="H2184" s="979">
        <v>402311</v>
      </c>
      <c r="I2184" s="979">
        <v>251737</v>
      </c>
      <c r="J2184" s="979">
        <v>0.53453133991154034</v>
      </c>
      <c r="K2184" s="979">
        <v>215047.83789115169</v>
      </c>
      <c r="L2184" s="979">
        <v>215047.83789115169</v>
      </c>
      <c r="M2184" s="979">
        <v>599</v>
      </c>
    </row>
    <row r="2185" spans="1:13" ht="15">
      <c r="A2185" s="979" t="s">
        <v>3764</v>
      </c>
      <c r="B2185" s="1040" t="str">
        <f>CONCATENATE(LEFT(RIGHT(CONCATENATE("000",IFAData_TEA_1617!A2185),6),3),"-",(RIGHT(RIGHT(CONCATENATE("000",IFAData_TEA_1617!A2185),6),3)))</f>
        <v>237-905</v>
      </c>
      <c r="C2185" s="979" t="s">
        <v>94</v>
      </c>
      <c r="D2185" s="979">
        <v>9</v>
      </c>
      <c r="E2185" s="979">
        <v>2268</v>
      </c>
      <c r="F2185" s="979" t="s">
        <v>5629</v>
      </c>
      <c r="G2185" s="979" t="s">
        <v>5629</v>
      </c>
      <c r="H2185" s="979">
        <v>70170</v>
      </c>
      <c r="I2185" s="979">
        <v>2020623</v>
      </c>
      <c r="J2185" s="979">
        <v>0.95733588291507021</v>
      </c>
      <c r="K2185" s="979">
        <v>67176.258904150483</v>
      </c>
      <c r="L2185" s="979">
        <v>67176.258904150483</v>
      </c>
      <c r="M2185" s="979">
        <v>599</v>
      </c>
    </row>
    <row r="2186" spans="1:13" ht="15">
      <c r="A2186" s="979" t="s">
        <v>3764</v>
      </c>
      <c r="B2186" s="1040" t="str">
        <f>CONCATENATE(LEFT(RIGHT(CONCATENATE("000",IFAData_TEA_1617!A2186),6),3),"-",(RIGHT(RIGHT(CONCATENATE("000",IFAData_TEA_1617!A2186),6),3)))</f>
        <v>237-905</v>
      </c>
      <c r="C2186" s="979" t="s">
        <v>94</v>
      </c>
      <c r="D2186" s="979">
        <v>9</v>
      </c>
      <c r="E2186" s="979">
        <v>2268</v>
      </c>
      <c r="F2186" s="979" t="s">
        <v>5629</v>
      </c>
      <c r="G2186" s="979" t="s">
        <v>6555</v>
      </c>
      <c r="H2186" s="979">
        <v>70170</v>
      </c>
      <c r="I2186" s="979">
        <v>23800</v>
      </c>
      <c r="J2186" s="979">
        <v>1.1276024282302375E-2</v>
      </c>
      <c r="K2186" s="979">
        <v>791.23862388915768</v>
      </c>
      <c r="L2186" s="979">
        <v>791.23862388915768</v>
      </c>
      <c r="M2186" s="979">
        <v>599</v>
      </c>
    </row>
    <row r="2187" spans="1:13" ht="15">
      <c r="A2187" s="979" t="s">
        <v>3764</v>
      </c>
      <c r="B2187" s="1040" t="str">
        <f>CONCATENATE(LEFT(RIGHT(CONCATENATE("000",IFAData_TEA_1617!A2187),6),3),"-",(RIGHT(RIGHT(CONCATENATE("000",IFAData_TEA_1617!A2187),6),3)))</f>
        <v>237-905</v>
      </c>
      <c r="C2187" s="979" t="s">
        <v>94</v>
      </c>
      <c r="D2187" s="979">
        <v>9</v>
      </c>
      <c r="E2187" s="979">
        <v>2268</v>
      </c>
      <c r="F2187" s="979" t="s">
        <v>5629</v>
      </c>
      <c r="G2187" s="979" t="s">
        <v>6352</v>
      </c>
      <c r="H2187" s="979">
        <v>70170</v>
      </c>
      <c r="I2187" s="979">
        <v>66250</v>
      </c>
      <c r="J2187" s="979">
        <v>3.1388092802627408E-2</v>
      </c>
      <c r="K2187" s="979">
        <v>2202.5024719603653</v>
      </c>
      <c r="L2187" s="979">
        <v>2202.5024719603653</v>
      </c>
      <c r="M2187" s="979">
        <v>599</v>
      </c>
    </row>
    <row r="2188" spans="1:13" ht="15">
      <c r="A2188" s="979" t="s">
        <v>3765</v>
      </c>
      <c r="B2188" s="1040" t="str">
        <f>CONCATENATE(LEFT(RIGHT(CONCATENATE("000",IFAData_TEA_1617!A2188),6),3),"-",(RIGHT(RIGHT(CONCATENATE("000",IFAData_TEA_1617!A2188),6),3)))</f>
        <v>240-901</v>
      </c>
      <c r="C2188" s="979" t="s">
        <v>2345</v>
      </c>
      <c r="D2188" s="979">
        <v>3</v>
      </c>
      <c r="E2188" s="979">
        <v>2010</v>
      </c>
      <c r="F2188" s="979" t="s">
        <v>5630</v>
      </c>
      <c r="G2188" s="979" t="s">
        <v>5631</v>
      </c>
      <c r="H2188" s="979">
        <v>5155243</v>
      </c>
      <c r="I2188" s="979">
        <v>2857450</v>
      </c>
      <c r="J2188" s="979">
        <v>0.58295616480556056</v>
      </c>
      <c r="K2188" s="979">
        <v>3005280.6879207124</v>
      </c>
      <c r="L2188" s="979">
        <v>2857450</v>
      </c>
      <c r="M2188" s="979">
        <v>599</v>
      </c>
    </row>
    <row r="2189" spans="1:13" ht="15">
      <c r="A2189" s="979" t="s">
        <v>3765</v>
      </c>
      <c r="B2189" s="1040" t="str">
        <f>CONCATENATE(LEFT(RIGHT(CONCATENATE("000",IFAData_TEA_1617!A2189),6),3),"-",(RIGHT(RIGHT(CONCATENATE("000",IFAData_TEA_1617!A2189),6),3)))</f>
        <v>240-901</v>
      </c>
      <c r="C2189" s="979" t="s">
        <v>2345</v>
      </c>
      <c r="D2189" s="979">
        <v>5</v>
      </c>
      <c r="E2189" s="979">
        <v>2011</v>
      </c>
      <c r="F2189" s="979" t="s">
        <v>5631</v>
      </c>
      <c r="G2189" s="979" t="s">
        <v>5631</v>
      </c>
      <c r="H2189" s="979">
        <v>5174604</v>
      </c>
      <c r="I2189" s="979">
        <v>987375</v>
      </c>
      <c r="J2189" s="979">
        <v>0.22359415071587493</v>
      </c>
      <c r="K2189" s="979">
        <v>1157011.1866709692</v>
      </c>
      <c r="L2189" s="979">
        <v>987375</v>
      </c>
      <c r="M2189" s="979">
        <v>599</v>
      </c>
    </row>
    <row r="2190" spans="1:13" ht="15">
      <c r="A2190" s="979" t="s">
        <v>3765</v>
      </c>
      <c r="B2190" s="1040" t="str">
        <f>CONCATENATE(LEFT(RIGHT(CONCATENATE("000",IFAData_TEA_1617!A2190),6),3),"-",(RIGHT(RIGHT(CONCATENATE("000",IFAData_TEA_1617!A2190),6),3)))</f>
        <v>240-901</v>
      </c>
      <c r="C2190" s="979" t="s">
        <v>2345</v>
      </c>
      <c r="D2190" s="979">
        <v>8</v>
      </c>
      <c r="E2190" s="979">
        <v>2009</v>
      </c>
      <c r="F2190" s="979" t="s">
        <v>5642</v>
      </c>
      <c r="G2190" s="979" t="s">
        <v>5642</v>
      </c>
      <c r="H2190" s="979">
        <v>4074803</v>
      </c>
      <c r="I2190" s="979">
        <v>0</v>
      </c>
      <c r="J2190" s="979">
        <v>0</v>
      </c>
      <c r="K2190" s="979">
        <v>0</v>
      </c>
      <c r="L2190" s="979">
        <v>0</v>
      </c>
      <c r="M2190" s="979">
        <v>599</v>
      </c>
    </row>
    <row r="2191" spans="1:13" ht="15">
      <c r="A2191" s="979" t="s">
        <v>3765</v>
      </c>
      <c r="B2191" s="1040" t="str">
        <f>CONCATENATE(LEFT(RIGHT(CONCATENATE("000",IFAData_TEA_1617!A2191),6),3),"-",(RIGHT(RIGHT(CONCATENATE("000",IFAData_TEA_1617!A2191),6),3)))</f>
        <v>240-901</v>
      </c>
      <c r="C2191" s="979" t="s">
        <v>2345</v>
      </c>
      <c r="D2191" s="979">
        <v>7</v>
      </c>
      <c r="E2191" s="979">
        <v>2003</v>
      </c>
      <c r="F2191" s="979" t="s">
        <v>5640</v>
      </c>
      <c r="G2191" s="979" t="s">
        <v>5636</v>
      </c>
      <c r="H2191" s="979">
        <v>87600</v>
      </c>
      <c r="I2191" s="979">
        <v>69889</v>
      </c>
      <c r="J2191" s="979">
        <v>1</v>
      </c>
      <c r="K2191" s="979">
        <v>87600</v>
      </c>
      <c r="L2191" s="979">
        <v>69889</v>
      </c>
      <c r="M2191" s="979">
        <v>599</v>
      </c>
    </row>
    <row r="2192" spans="1:13" ht="15">
      <c r="A2192" s="979" t="s">
        <v>3765</v>
      </c>
      <c r="B2192" s="1040" t="str">
        <f>CONCATENATE(LEFT(RIGHT(CONCATENATE("000",IFAData_TEA_1617!A2192),6),3),"-",(RIGHT(RIGHT(CONCATENATE("000",IFAData_TEA_1617!A2192),6),3)))</f>
        <v>240-901</v>
      </c>
      <c r="C2192" s="979" t="s">
        <v>2345</v>
      </c>
      <c r="D2192" s="979">
        <v>7</v>
      </c>
      <c r="E2192" s="979">
        <v>2004</v>
      </c>
      <c r="F2192" s="979" t="s">
        <v>5639</v>
      </c>
      <c r="G2192" s="979" t="s">
        <v>5636</v>
      </c>
      <c r="H2192" s="979">
        <v>158336</v>
      </c>
      <c r="I2192" s="979">
        <v>128733</v>
      </c>
      <c r="J2192" s="979">
        <v>1</v>
      </c>
      <c r="K2192" s="979">
        <v>158336</v>
      </c>
      <c r="L2192" s="979">
        <v>128733</v>
      </c>
      <c r="M2192" s="979">
        <v>599</v>
      </c>
    </row>
    <row r="2193" spans="1:13" ht="15">
      <c r="A2193" s="979" t="s">
        <v>3765</v>
      </c>
      <c r="B2193" s="1040" t="str">
        <f>CONCATENATE(LEFT(RIGHT(CONCATENATE("000",IFAData_TEA_1617!A2193),6),3),"-",(RIGHT(RIGHT(CONCATENATE("000",IFAData_TEA_1617!A2193),6),3)))</f>
        <v>240-901</v>
      </c>
      <c r="C2193" s="979" t="s">
        <v>2345</v>
      </c>
      <c r="D2193" s="979">
        <v>7</v>
      </c>
      <c r="E2193" s="979">
        <v>2005</v>
      </c>
      <c r="F2193" s="979" t="s">
        <v>5641</v>
      </c>
      <c r="G2193" s="979" t="s">
        <v>5636</v>
      </c>
      <c r="H2193" s="979">
        <v>325863</v>
      </c>
      <c r="I2193" s="979">
        <v>266598</v>
      </c>
      <c r="J2193" s="979">
        <v>1</v>
      </c>
      <c r="K2193" s="979">
        <v>325863</v>
      </c>
      <c r="L2193" s="979">
        <v>266598</v>
      </c>
      <c r="M2193" s="979">
        <v>599</v>
      </c>
    </row>
    <row r="2194" spans="1:13" ht="15">
      <c r="A2194" s="979" t="s">
        <v>3765</v>
      </c>
      <c r="B2194" s="1040" t="str">
        <f>CONCATENATE(LEFT(RIGHT(CONCATENATE("000",IFAData_TEA_1617!A2194),6),3),"-",(RIGHT(RIGHT(CONCATENATE("000",IFAData_TEA_1617!A2194),6),3)))</f>
        <v>240-901</v>
      </c>
      <c r="C2194" s="979" t="s">
        <v>2345</v>
      </c>
      <c r="D2194" s="979">
        <v>7</v>
      </c>
      <c r="E2194" s="979">
        <v>2006</v>
      </c>
      <c r="F2194" s="979" t="s">
        <v>5637</v>
      </c>
      <c r="G2194" s="979" t="s">
        <v>5636</v>
      </c>
      <c r="H2194" s="979">
        <v>434993</v>
      </c>
      <c r="I2194" s="979">
        <v>358400</v>
      </c>
      <c r="J2194" s="979">
        <v>1</v>
      </c>
      <c r="K2194" s="979">
        <v>434993</v>
      </c>
      <c r="L2194" s="979">
        <v>358400</v>
      </c>
      <c r="M2194" s="979">
        <v>599</v>
      </c>
    </row>
    <row r="2195" spans="1:13" ht="15">
      <c r="A2195" s="979" t="s">
        <v>3765</v>
      </c>
      <c r="B2195" s="1040" t="str">
        <f>CONCATENATE(LEFT(RIGHT(CONCATENATE("000",IFAData_TEA_1617!A2195),6),3),"-",(RIGHT(RIGHT(CONCATENATE("000",IFAData_TEA_1617!A2195),6),3)))</f>
        <v>240-901</v>
      </c>
      <c r="C2195" s="979" t="s">
        <v>2345</v>
      </c>
      <c r="D2195" s="979">
        <v>7</v>
      </c>
      <c r="E2195" s="979">
        <v>2007</v>
      </c>
      <c r="F2195" s="979" t="s">
        <v>5638</v>
      </c>
      <c r="G2195" s="979" t="s">
        <v>5636</v>
      </c>
      <c r="H2195" s="979">
        <v>1646500</v>
      </c>
      <c r="I2195" s="979">
        <v>1367504</v>
      </c>
      <c r="J2195" s="979">
        <v>1</v>
      </c>
      <c r="K2195" s="979">
        <v>1646500</v>
      </c>
      <c r="L2195" s="979">
        <v>1367504</v>
      </c>
      <c r="M2195" s="979">
        <v>599</v>
      </c>
    </row>
    <row r="2196" spans="1:13" ht="15">
      <c r="A2196" s="979" t="s">
        <v>3765</v>
      </c>
      <c r="B2196" s="1040" t="str">
        <f>CONCATENATE(LEFT(RIGHT(CONCATENATE("000",IFAData_TEA_1617!A2196),6),3),"-",(RIGHT(RIGHT(CONCATENATE("000",IFAData_TEA_1617!A2196),6),3)))</f>
        <v>240-901</v>
      </c>
      <c r="C2196" s="979" t="s">
        <v>2345</v>
      </c>
      <c r="D2196" s="979">
        <v>7</v>
      </c>
      <c r="E2196" s="979">
        <v>2008</v>
      </c>
      <c r="F2196" s="979" t="s">
        <v>5635</v>
      </c>
      <c r="G2196" s="979" t="s">
        <v>5636</v>
      </c>
      <c r="H2196" s="979">
        <v>2084063</v>
      </c>
      <c r="I2196" s="979">
        <v>1727509</v>
      </c>
      <c r="J2196" s="979">
        <v>1</v>
      </c>
      <c r="K2196" s="979">
        <v>2084063</v>
      </c>
      <c r="L2196" s="979">
        <v>1727509</v>
      </c>
      <c r="M2196" s="979">
        <v>599</v>
      </c>
    </row>
    <row r="2197" spans="1:13" ht="15">
      <c r="A2197" s="979" t="s">
        <v>3765</v>
      </c>
      <c r="B2197" s="1040" t="str">
        <f>CONCATENATE(LEFT(RIGHT(CONCATENATE("000",IFAData_TEA_1617!A2197),6),3),"-",(RIGHT(RIGHT(CONCATENATE("000",IFAData_TEA_1617!A2197),6),3)))</f>
        <v>240-901</v>
      </c>
      <c r="C2197" s="979" t="s">
        <v>2345</v>
      </c>
      <c r="D2197" s="979">
        <v>3</v>
      </c>
      <c r="E2197" s="979">
        <v>2010</v>
      </c>
      <c r="F2197" s="979" t="s">
        <v>5630</v>
      </c>
      <c r="G2197" s="979" t="s">
        <v>5634</v>
      </c>
      <c r="H2197" s="979">
        <v>5155243</v>
      </c>
      <c r="I2197" s="979">
        <v>1231492</v>
      </c>
      <c r="J2197" s="979">
        <v>0.25124004035371728</v>
      </c>
      <c r="K2197" s="979">
        <v>1295203.4593532186</v>
      </c>
      <c r="L2197" s="979">
        <v>1231492</v>
      </c>
      <c r="M2197" s="979">
        <v>599</v>
      </c>
    </row>
    <row r="2198" spans="1:13" ht="15">
      <c r="A2198" s="979" t="s">
        <v>3765</v>
      </c>
      <c r="B2198" s="1040" t="str">
        <f>CONCATENATE(LEFT(RIGHT(CONCATENATE("000",IFAData_TEA_1617!A2198),6),3),"-",(RIGHT(RIGHT(CONCATENATE("000",IFAData_TEA_1617!A2198),6),3)))</f>
        <v>240-901</v>
      </c>
      <c r="C2198" s="979" t="s">
        <v>2345</v>
      </c>
      <c r="D2198" s="979">
        <v>5</v>
      </c>
      <c r="E2198" s="979">
        <v>2011</v>
      </c>
      <c r="F2198" s="979" t="s">
        <v>5631</v>
      </c>
      <c r="G2198" s="979" t="s">
        <v>5634</v>
      </c>
      <c r="H2198" s="979">
        <v>5174604</v>
      </c>
      <c r="I2198" s="979">
        <v>50400</v>
      </c>
      <c r="J2198" s="979">
        <v>1.1413237317209871E-2</v>
      </c>
      <c r="K2198" s="979">
        <v>59058.983474583467</v>
      </c>
      <c r="L2198" s="979">
        <v>50400</v>
      </c>
      <c r="M2198" s="979">
        <v>599</v>
      </c>
    </row>
    <row r="2199" spans="1:13" ht="15">
      <c r="A2199" s="979" t="s">
        <v>3765</v>
      </c>
      <c r="B2199" s="1040" t="str">
        <f>CONCATENATE(LEFT(RIGHT(CONCATENATE("000",IFAData_TEA_1617!A2199),6),3),"-",(RIGHT(RIGHT(CONCATENATE("000",IFAData_TEA_1617!A2199),6),3)))</f>
        <v>240-901</v>
      </c>
      <c r="C2199" s="979" t="s">
        <v>2345</v>
      </c>
      <c r="D2199" s="979">
        <v>5</v>
      </c>
      <c r="E2199" s="979">
        <v>2011</v>
      </c>
      <c r="F2199" s="979" t="s">
        <v>5631</v>
      </c>
      <c r="G2199" s="979" t="s">
        <v>5632</v>
      </c>
      <c r="H2199" s="979">
        <v>5174604</v>
      </c>
      <c r="I2199" s="979">
        <v>0</v>
      </c>
      <c r="J2199" s="979">
        <v>0</v>
      </c>
      <c r="K2199" s="979">
        <v>0</v>
      </c>
      <c r="L2199" s="979">
        <v>0</v>
      </c>
      <c r="M2199" s="979">
        <v>599</v>
      </c>
    </row>
    <row r="2200" spans="1:13" ht="15">
      <c r="A2200" s="979" t="s">
        <v>3765</v>
      </c>
      <c r="B2200" s="1040" t="str">
        <f>CONCATENATE(LEFT(RIGHT(CONCATENATE("000",IFAData_TEA_1617!A2200),6),3),"-",(RIGHT(RIGHT(CONCATENATE("000",IFAData_TEA_1617!A2200),6),3)))</f>
        <v>240-901</v>
      </c>
      <c r="C2200" s="979" t="s">
        <v>2345</v>
      </c>
      <c r="D2200" s="979">
        <v>3</v>
      </c>
      <c r="E2200" s="979">
        <v>2010</v>
      </c>
      <c r="F2200" s="979" t="s">
        <v>5630</v>
      </c>
      <c r="G2200" s="979" t="s">
        <v>5632</v>
      </c>
      <c r="H2200" s="979">
        <v>5155243</v>
      </c>
      <c r="I2200" s="979">
        <v>0</v>
      </c>
      <c r="J2200" s="979">
        <v>0</v>
      </c>
      <c r="K2200" s="979">
        <v>0</v>
      </c>
      <c r="L2200" s="979">
        <v>0</v>
      </c>
      <c r="M2200" s="979">
        <v>599</v>
      </c>
    </row>
    <row r="2201" spans="1:13" ht="15">
      <c r="A2201" s="979" t="s">
        <v>3765</v>
      </c>
      <c r="B2201" s="1040" t="str">
        <f>CONCATENATE(LEFT(RIGHT(CONCATENATE("000",IFAData_TEA_1617!A2201),6),3),"-",(RIGHT(RIGHT(CONCATENATE("000",IFAData_TEA_1617!A2201),6),3)))</f>
        <v>240-901</v>
      </c>
      <c r="C2201" s="979" t="s">
        <v>2345</v>
      </c>
      <c r="D2201" s="979">
        <v>3</v>
      </c>
      <c r="E2201" s="979">
        <v>2010</v>
      </c>
      <c r="F2201" s="979" t="s">
        <v>5630</v>
      </c>
      <c r="G2201" s="979" t="s">
        <v>5633</v>
      </c>
      <c r="H2201" s="979">
        <v>5155243</v>
      </c>
      <c r="I2201" s="979">
        <v>0</v>
      </c>
      <c r="J2201" s="979">
        <v>0</v>
      </c>
      <c r="K2201" s="979">
        <v>0</v>
      </c>
      <c r="L2201" s="979">
        <v>0</v>
      </c>
      <c r="M2201" s="979">
        <v>599</v>
      </c>
    </row>
    <row r="2202" spans="1:13" ht="15">
      <c r="A2202" s="979" t="s">
        <v>3765</v>
      </c>
      <c r="B2202" s="1040" t="str">
        <f>CONCATENATE(LEFT(RIGHT(CONCATENATE("000",IFAData_TEA_1617!A2202),6),3),"-",(RIGHT(RIGHT(CONCATENATE("000",IFAData_TEA_1617!A2202),6),3)))</f>
        <v>240-901</v>
      </c>
      <c r="C2202" s="979" t="s">
        <v>2345</v>
      </c>
      <c r="D2202" s="979">
        <v>5</v>
      </c>
      <c r="E2202" s="979">
        <v>2011</v>
      </c>
      <c r="F2202" s="979" t="s">
        <v>5631</v>
      </c>
      <c r="G2202" s="979" t="s">
        <v>5633</v>
      </c>
      <c r="H2202" s="979">
        <v>5174604</v>
      </c>
      <c r="I2202" s="979">
        <v>822500</v>
      </c>
      <c r="J2202" s="979">
        <v>0.18625769232946665</v>
      </c>
      <c r="K2202" s="979">
        <v>963809.79975882743</v>
      </c>
      <c r="L2202" s="979">
        <v>822500</v>
      </c>
      <c r="M2202" s="979">
        <v>599</v>
      </c>
    </row>
    <row r="2203" spans="1:13" ht="15">
      <c r="A2203" s="979" t="s">
        <v>3765</v>
      </c>
      <c r="B2203" s="1040" t="str">
        <f>CONCATENATE(LEFT(RIGHT(CONCATENATE("000",IFAData_TEA_1617!A2203),6),3),"-",(RIGHT(RIGHT(CONCATENATE("000",IFAData_TEA_1617!A2203),6),3)))</f>
        <v>240-901</v>
      </c>
      <c r="C2203" s="979" t="s">
        <v>2345</v>
      </c>
      <c r="D2203" s="979">
        <v>7</v>
      </c>
      <c r="E2203" s="979">
        <v>2005</v>
      </c>
      <c r="F2203" s="979" t="s">
        <v>5641</v>
      </c>
      <c r="G2203" s="979" t="s">
        <v>5641</v>
      </c>
      <c r="H2203" s="979">
        <v>325863</v>
      </c>
      <c r="I2203" s="979">
        <v>0</v>
      </c>
      <c r="J2203" s="979">
        <v>0</v>
      </c>
      <c r="K2203" s="979">
        <v>0</v>
      </c>
      <c r="L2203" s="979">
        <v>0</v>
      </c>
      <c r="M2203" s="979">
        <v>199</v>
      </c>
    </row>
    <row r="2204" spans="1:13" ht="15">
      <c r="A2204" s="979" t="s">
        <v>3765</v>
      </c>
      <c r="B2204" s="1040" t="str">
        <f>CONCATENATE(LEFT(RIGHT(CONCATENATE("000",IFAData_TEA_1617!A2204),6),3),"-",(RIGHT(RIGHT(CONCATENATE("000",IFAData_TEA_1617!A2204),6),3)))</f>
        <v>240-901</v>
      </c>
      <c r="C2204" s="979" t="s">
        <v>2345</v>
      </c>
      <c r="D2204" s="979">
        <v>7</v>
      </c>
      <c r="E2204" s="979">
        <v>2003</v>
      </c>
      <c r="F2204" s="979" t="s">
        <v>5640</v>
      </c>
      <c r="G2204" s="979" t="s">
        <v>5640</v>
      </c>
      <c r="H2204" s="979">
        <v>87600</v>
      </c>
      <c r="I2204" s="979">
        <v>0</v>
      </c>
      <c r="J2204" s="979">
        <v>0</v>
      </c>
      <c r="K2204" s="979">
        <v>0</v>
      </c>
      <c r="L2204" s="979">
        <v>0</v>
      </c>
      <c r="M2204" s="979">
        <v>199</v>
      </c>
    </row>
    <row r="2205" spans="1:13" ht="15">
      <c r="A2205" s="979" t="s">
        <v>3765</v>
      </c>
      <c r="B2205" s="1040" t="str">
        <f>CONCATENATE(LEFT(RIGHT(CONCATENATE("000",IFAData_TEA_1617!A2205),6),3),"-",(RIGHT(RIGHT(CONCATENATE("000",IFAData_TEA_1617!A2205),6),3)))</f>
        <v>240-901</v>
      </c>
      <c r="C2205" s="979" t="s">
        <v>2345</v>
      </c>
      <c r="D2205" s="979">
        <v>7</v>
      </c>
      <c r="E2205" s="979">
        <v>2004</v>
      </c>
      <c r="F2205" s="979" t="s">
        <v>5639</v>
      </c>
      <c r="G2205" s="979" t="s">
        <v>5639</v>
      </c>
      <c r="H2205" s="979">
        <v>158336</v>
      </c>
      <c r="I2205" s="979">
        <v>0</v>
      </c>
      <c r="J2205" s="979">
        <v>0</v>
      </c>
      <c r="K2205" s="979">
        <v>0</v>
      </c>
      <c r="L2205" s="979">
        <v>0</v>
      </c>
      <c r="M2205" s="979">
        <v>199</v>
      </c>
    </row>
    <row r="2206" spans="1:13" ht="15">
      <c r="A2206" s="979" t="s">
        <v>3765</v>
      </c>
      <c r="B2206" s="1040" t="str">
        <f>CONCATENATE(LEFT(RIGHT(CONCATENATE("000",IFAData_TEA_1617!A2206),6),3),"-",(RIGHT(RIGHT(CONCATENATE("000",IFAData_TEA_1617!A2206),6),3)))</f>
        <v>240-901</v>
      </c>
      <c r="C2206" s="979" t="s">
        <v>2345</v>
      </c>
      <c r="D2206" s="979">
        <v>7</v>
      </c>
      <c r="E2206" s="979">
        <v>2007</v>
      </c>
      <c r="F2206" s="979" t="s">
        <v>5638</v>
      </c>
      <c r="G2206" s="979" t="s">
        <v>5638</v>
      </c>
      <c r="H2206" s="979">
        <v>1646500</v>
      </c>
      <c r="I2206" s="979">
        <v>0</v>
      </c>
      <c r="J2206" s="979">
        <v>0</v>
      </c>
      <c r="K2206" s="979">
        <v>0</v>
      </c>
      <c r="L2206" s="979">
        <v>0</v>
      </c>
      <c r="M2206" s="979">
        <v>199</v>
      </c>
    </row>
    <row r="2207" spans="1:13" ht="15">
      <c r="A2207" s="979" t="s">
        <v>3765</v>
      </c>
      <c r="B2207" s="1040" t="str">
        <f>CONCATENATE(LEFT(RIGHT(CONCATENATE("000",IFAData_TEA_1617!A2207),6),3),"-",(RIGHT(RIGHT(CONCATENATE("000",IFAData_TEA_1617!A2207),6),3)))</f>
        <v>240-901</v>
      </c>
      <c r="C2207" s="979" t="s">
        <v>2345</v>
      </c>
      <c r="D2207" s="979">
        <v>7</v>
      </c>
      <c r="E2207" s="979">
        <v>2006</v>
      </c>
      <c r="F2207" s="979" t="s">
        <v>5637</v>
      </c>
      <c r="G2207" s="979" t="s">
        <v>5637</v>
      </c>
      <c r="H2207" s="979">
        <v>434993</v>
      </c>
      <c r="I2207" s="979">
        <v>0</v>
      </c>
      <c r="J2207" s="979">
        <v>0</v>
      </c>
      <c r="K2207" s="979">
        <v>0</v>
      </c>
      <c r="L2207" s="979">
        <v>0</v>
      </c>
      <c r="M2207" s="979">
        <v>199</v>
      </c>
    </row>
    <row r="2208" spans="1:13" ht="15">
      <c r="A2208" s="979" t="s">
        <v>3765</v>
      </c>
      <c r="B2208" s="1040" t="str">
        <f>CONCATENATE(LEFT(RIGHT(CONCATENATE("000",IFAData_TEA_1617!A2208),6),3),"-",(RIGHT(RIGHT(CONCATENATE("000",IFAData_TEA_1617!A2208),6),3)))</f>
        <v>240-901</v>
      </c>
      <c r="C2208" s="979" t="s">
        <v>2345</v>
      </c>
      <c r="D2208" s="979">
        <v>7</v>
      </c>
      <c r="E2208" s="979">
        <v>2008</v>
      </c>
      <c r="F2208" s="979" t="s">
        <v>5635</v>
      </c>
      <c r="G2208" s="979" t="s">
        <v>5635</v>
      </c>
      <c r="H2208" s="979">
        <v>2084063</v>
      </c>
      <c r="I2208" s="979">
        <v>0</v>
      </c>
      <c r="J2208" s="979">
        <v>0</v>
      </c>
      <c r="K2208" s="979">
        <v>0</v>
      </c>
      <c r="L2208" s="979">
        <v>0</v>
      </c>
      <c r="M2208" s="979">
        <v>199</v>
      </c>
    </row>
    <row r="2209" spans="1:13" ht="15">
      <c r="A2209" s="979" t="s">
        <v>3765</v>
      </c>
      <c r="B2209" s="1040" t="str">
        <f>CONCATENATE(LEFT(RIGHT(CONCATENATE("000",IFAData_TEA_1617!A2209),6),3),"-",(RIGHT(RIGHT(CONCATENATE("000",IFAData_TEA_1617!A2209),6),3)))</f>
        <v>240-901</v>
      </c>
      <c r="C2209" s="979" t="s">
        <v>2345</v>
      </c>
      <c r="D2209" s="979">
        <v>3</v>
      </c>
      <c r="E2209" s="979">
        <v>2010</v>
      </c>
      <c r="F2209" s="979" t="s">
        <v>5630</v>
      </c>
      <c r="G2209" s="979" t="s">
        <v>5630</v>
      </c>
      <c r="H2209" s="979">
        <v>5155243</v>
      </c>
      <c r="I2209" s="979">
        <v>0</v>
      </c>
      <c r="J2209" s="979">
        <v>0</v>
      </c>
      <c r="K2209" s="979">
        <v>0</v>
      </c>
      <c r="L2209" s="979">
        <v>0</v>
      </c>
      <c r="M2209" s="979">
        <v>599</v>
      </c>
    </row>
    <row r="2210" spans="1:13" ht="15">
      <c r="A2210" s="979" t="s">
        <v>3765</v>
      </c>
      <c r="B2210" s="1040" t="str">
        <f>CONCATENATE(LEFT(RIGHT(CONCATENATE("000",IFAData_TEA_1617!A2210),6),3),"-",(RIGHT(RIGHT(CONCATENATE("000",IFAData_TEA_1617!A2210),6),3)))</f>
        <v>240-901</v>
      </c>
      <c r="C2210" s="979" t="s">
        <v>2345</v>
      </c>
      <c r="D2210" s="979">
        <v>8</v>
      </c>
      <c r="E2210" s="979">
        <v>2009</v>
      </c>
      <c r="F2210" s="979" t="s">
        <v>5642</v>
      </c>
      <c r="G2210" s="979" t="s">
        <v>6353</v>
      </c>
      <c r="H2210" s="979">
        <v>4074803</v>
      </c>
      <c r="I2210" s="979">
        <v>3955000</v>
      </c>
      <c r="J2210" s="979">
        <v>1</v>
      </c>
      <c r="K2210" s="979">
        <v>4074803</v>
      </c>
      <c r="L2210" s="979">
        <v>3955000</v>
      </c>
      <c r="M2210" s="979">
        <v>599</v>
      </c>
    </row>
    <row r="2211" spans="1:13" ht="15">
      <c r="A2211" s="979" t="s">
        <v>3765</v>
      </c>
      <c r="B2211" s="1040" t="str">
        <f>CONCATENATE(LEFT(RIGHT(CONCATENATE("000",IFAData_TEA_1617!A2211),6),3),"-",(RIGHT(RIGHT(CONCATENATE("000",IFAData_TEA_1617!A2211),6),3)))</f>
        <v>240-901</v>
      </c>
      <c r="C2211" s="979" t="s">
        <v>2345</v>
      </c>
      <c r="D2211" s="979">
        <v>3</v>
      </c>
      <c r="E2211" s="979">
        <v>2010</v>
      </c>
      <c r="F2211" s="979" t="s">
        <v>5630</v>
      </c>
      <c r="G2211" s="979" t="s">
        <v>6353</v>
      </c>
      <c r="H2211" s="979">
        <v>5155243</v>
      </c>
      <c r="I2211" s="979">
        <v>812713</v>
      </c>
      <c r="J2211" s="979">
        <v>0.16580379484072216</v>
      </c>
      <c r="K2211" s="979">
        <v>854758.85272606905</v>
      </c>
      <c r="L2211" s="979">
        <v>812713</v>
      </c>
      <c r="M2211" s="979">
        <v>599</v>
      </c>
    </row>
    <row r="2212" spans="1:13" ht="15">
      <c r="A2212" s="979" t="s">
        <v>3765</v>
      </c>
      <c r="B2212" s="1040" t="str">
        <f>CONCATENATE(LEFT(RIGHT(CONCATENATE("000",IFAData_TEA_1617!A2212),6),3),"-",(RIGHT(RIGHT(CONCATENATE("000",IFAData_TEA_1617!A2212),6),3)))</f>
        <v>240-901</v>
      </c>
      <c r="C2212" s="979" t="s">
        <v>2345</v>
      </c>
      <c r="D2212" s="979">
        <v>5</v>
      </c>
      <c r="E2212" s="979">
        <v>2011</v>
      </c>
      <c r="F2212" s="979" t="s">
        <v>5631</v>
      </c>
      <c r="G2212" s="979" t="s">
        <v>6353</v>
      </c>
      <c r="H2212" s="979">
        <v>5174604</v>
      </c>
      <c r="I2212" s="979">
        <v>2555650</v>
      </c>
      <c r="J2212" s="979">
        <v>0.5787349196374485</v>
      </c>
      <c r="K2212" s="979">
        <v>2994724.0300956196</v>
      </c>
      <c r="L2212" s="979">
        <v>2555650</v>
      </c>
      <c r="M2212" s="979">
        <v>599</v>
      </c>
    </row>
    <row r="2213" spans="1:13" ht="15">
      <c r="A2213" s="979" t="s">
        <v>3766</v>
      </c>
      <c r="B2213" s="1040" t="str">
        <f>CONCATENATE(LEFT(RIGHT(CONCATENATE("000",IFAData_TEA_1617!A2213),6),3),"-",(RIGHT(RIGHT(CONCATENATE("000",IFAData_TEA_1617!A2213),6),3)))</f>
        <v>240-903</v>
      </c>
      <c r="C2213" s="979" t="s">
        <v>2362</v>
      </c>
      <c r="D2213" s="979">
        <v>5</v>
      </c>
      <c r="E2213" s="979">
        <v>2404</v>
      </c>
      <c r="F2213" s="979" t="s">
        <v>5647</v>
      </c>
      <c r="G2213" s="979" t="s">
        <v>5648</v>
      </c>
      <c r="H2213" s="979">
        <v>827517</v>
      </c>
      <c r="I2213" s="979">
        <v>56094</v>
      </c>
      <c r="J2213" s="979">
        <v>5.6674345295829293E-2</v>
      </c>
      <c r="K2213" s="979">
        <v>46898.984196168771</v>
      </c>
      <c r="L2213" s="979">
        <v>46898.984196168771</v>
      </c>
      <c r="M2213" s="979">
        <v>599</v>
      </c>
    </row>
    <row r="2214" spans="1:13" ht="15">
      <c r="A2214" s="979" t="s">
        <v>3766</v>
      </c>
      <c r="B2214" s="1040" t="str">
        <f>CONCATENATE(LEFT(RIGHT(CONCATENATE("000",IFAData_TEA_1617!A2214),6),3),"-",(RIGHT(RIGHT(CONCATENATE("000",IFAData_TEA_1617!A2214),6),3)))</f>
        <v>240-903</v>
      </c>
      <c r="C2214" s="979" t="s">
        <v>2362</v>
      </c>
      <c r="D2214" s="979">
        <v>3</v>
      </c>
      <c r="E2214" s="979">
        <v>2405</v>
      </c>
      <c r="F2214" s="979" t="s">
        <v>5643</v>
      </c>
      <c r="G2214" s="979" t="s">
        <v>5643</v>
      </c>
      <c r="H2214" s="979">
        <v>986173</v>
      </c>
      <c r="I2214" s="979">
        <v>2796180</v>
      </c>
      <c r="J2214" s="979">
        <v>0.87684314141760356</v>
      </c>
      <c r="K2214" s="979">
        <v>864719.03130122239</v>
      </c>
      <c r="L2214" s="979">
        <v>864719.03130122239</v>
      </c>
      <c r="M2214" s="979">
        <v>599</v>
      </c>
    </row>
    <row r="2215" spans="1:13" ht="15">
      <c r="A2215" s="979" t="s">
        <v>3766</v>
      </c>
      <c r="B2215" s="1040" t="str">
        <f>CONCATENATE(LEFT(RIGHT(CONCATENATE("000",IFAData_TEA_1617!A2215),6),3),"-",(RIGHT(RIGHT(CONCATENATE("000",IFAData_TEA_1617!A2215),6),3)))</f>
        <v>240-903</v>
      </c>
      <c r="C2215" s="979" t="s">
        <v>2362</v>
      </c>
      <c r="D2215" s="979">
        <v>5</v>
      </c>
      <c r="E2215" s="979">
        <v>2406</v>
      </c>
      <c r="F2215" s="979" t="s">
        <v>5650</v>
      </c>
      <c r="G2215" s="979" t="s">
        <v>5651</v>
      </c>
      <c r="H2215" s="979">
        <v>1047970</v>
      </c>
      <c r="I2215" s="979">
        <v>108521</v>
      </c>
      <c r="J2215" s="979">
        <v>6.9696452013163337E-2</v>
      </c>
      <c r="K2215" s="979">
        <v>73039.790816234789</v>
      </c>
      <c r="L2215" s="979">
        <v>73039.790816234789</v>
      </c>
      <c r="M2215" s="979">
        <v>599</v>
      </c>
    </row>
    <row r="2216" spans="1:13" ht="15">
      <c r="A2216" s="979" t="s">
        <v>3766</v>
      </c>
      <c r="B2216" s="1040" t="str">
        <f>CONCATENATE(LEFT(RIGHT(CONCATENATE("000",IFAData_TEA_1617!A2216),6),3),"-",(RIGHT(RIGHT(CONCATENATE("000",IFAData_TEA_1617!A2216),6),3)))</f>
        <v>240-903</v>
      </c>
      <c r="C2216" s="979" t="s">
        <v>2362</v>
      </c>
      <c r="D2216" s="979">
        <v>5</v>
      </c>
      <c r="E2216" s="979">
        <v>2406</v>
      </c>
      <c r="F2216" s="979" t="s">
        <v>5650</v>
      </c>
      <c r="G2216" s="979" t="s">
        <v>5650</v>
      </c>
      <c r="H2216" s="979">
        <v>1047970</v>
      </c>
      <c r="I2216" s="979">
        <v>0</v>
      </c>
      <c r="J2216" s="979">
        <v>0</v>
      </c>
      <c r="K2216" s="979">
        <v>0</v>
      </c>
      <c r="L2216" s="979">
        <v>0</v>
      </c>
      <c r="M2216" s="979">
        <v>599</v>
      </c>
    </row>
    <row r="2217" spans="1:13" ht="15">
      <c r="A2217" s="979" t="s">
        <v>3766</v>
      </c>
      <c r="B2217" s="1040" t="str">
        <f>CONCATENATE(LEFT(RIGHT(CONCATENATE("000",IFAData_TEA_1617!A2217),6),3),"-",(RIGHT(RIGHT(CONCATENATE("000",IFAData_TEA_1617!A2217),6),3)))</f>
        <v>240-903</v>
      </c>
      <c r="C2217" s="979" t="s">
        <v>2362</v>
      </c>
      <c r="D2217" s="979">
        <v>5</v>
      </c>
      <c r="E2217" s="979">
        <v>2406</v>
      </c>
      <c r="F2217" s="979" t="s">
        <v>5650</v>
      </c>
      <c r="G2217" s="979" t="s">
        <v>5649</v>
      </c>
      <c r="H2217" s="979">
        <v>1047970</v>
      </c>
      <c r="I2217" s="979">
        <v>1448531</v>
      </c>
      <c r="J2217" s="979">
        <v>0.93030354798683668</v>
      </c>
      <c r="K2217" s="979">
        <v>974930.20918376523</v>
      </c>
      <c r="L2217" s="979">
        <v>974930.20918376523</v>
      </c>
      <c r="M2217" s="979">
        <v>599</v>
      </c>
    </row>
    <row r="2218" spans="1:13" ht="15">
      <c r="A2218" s="979" t="s">
        <v>3766</v>
      </c>
      <c r="B2218" s="1040" t="str">
        <f>CONCATENATE(LEFT(RIGHT(CONCATENATE("000",IFAData_TEA_1617!A2218),6),3),"-",(RIGHT(RIGHT(CONCATENATE("000",IFAData_TEA_1617!A2218),6),3)))</f>
        <v>240-903</v>
      </c>
      <c r="C2218" s="979" t="s">
        <v>2362</v>
      </c>
      <c r="D2218" s="979">
        <v>5</v>
      </c>
      <c r="E2218" s="979">
        <v>2404</v>
      </c>
      <c r="F2218" s="979" t="s">
        <v>5647</v>
      </c>
      <c r="G2218" s="979" t="s">
        <v>5649</v>
      </c>
      <c r="H2218" s="979">
        <v>827517</v>
      </c>
      <c r="I2218" s="979">
        <v>217991</v>
      </c>
      <c r="J2218" s="979">
        <v>0.22024632234076949</v>
      </c>
      <c r="K2218" s="979">
        <v>182257.57592446654</v>
      </c>
      <c r="L2218" s="979">
        <v>182257.57592446654</v>
      </c>
      <c r="M2218" s="979">
        <v>599</v>
      </c>
    </row>
    <row r="2219" spans="1:13" ht="15">
      <c r="A2219" s="979" t="s">
        <v>3766</v>
      </c>
      <c r="B2219" s="1040" t="str">
        <f>CONCATENATE(LEFT(RIGHT(CONCATENATE("000",IFAData_TEA_1617!A2219),6),3),"-",(RIGHT(RIGHT(CONCATENATE("000",IFAData_TEA_1617!A2219),6),3)))</f>
        <v>240-903</v>
      </c>
      <c r="C2219" s="979" t="s">
        <v>2362</v>
      </c>
      <c r="D2219" s="979">
        <v>5</v>
      </c>
      <c r="E2219" s="979">
        <v>2404</v>
      </c>
      <c r="F2219" s="979" t="s">
        <v>5647</v>
      </c>
      <c r="G2219" s="979" t="s">
        <v>5644</v>
      </c>
      <c r="H2219" s="979">
        <v>827517</v>
      </c>
      <c r="I2219" s="979">
        <v>0</v>
      </c>
      <c r="J2219" s="979">
        <v>0</v>
      </c>
      <c r="K2219" s="979">
        <v>0</v>
      </c>
      <c r="L2219" s="979">
        <v>0</v>
      </c>
      <c r="M2219" s="979">
        <v>599</v>
      </c>
    </row>
    <row r="2220" spans="1:13" ht="15">
      <c r="A2220" s="979" t="s">
        <v>3766</v>
      </c>
      <c r="B2220" s="1040" t="str">
        <f>CONCATENATE(LEFT(RIGHT(CONCATENATE("000",IFAData_TEA_1617!A2220),6),3),"-",(RIGHT(RIGHT(CONCATENATE("000",IFAData_TEA_1617!A2220),6),3)))</f>
        <v>240-903</v>
      </c>
      <c r="C2220" s="979" t="s">
        <v>2362</v>
      </c>
      <c r="D2220" s="979">
        <v>3</v>
      </c>
      <c r="E2220" s="979">
        <v>2405</v>
      </c>
      <c r="F2220" s="979" t="s">
        <v>5643</v>
      </c>
      <c r="G2220" s="979" t="s">
        <v>5644</v>
      </c>
      <c r="H2220" s="979">
        <v>986173</v>
      </c>
      <c r="I2220" s="979">
        <v>0</v>
      </c>
      <c r="J2220" s="979">
        <v>0</v>
      </c>
      <c r="K2220" s="979">
        <v>0</v>
      </c>
      <c r="L2220" s="979">
        <v>0</v>
      </c>
      <c r="M2220" s="979">
        <v>599</v>
      </c>
    </row>
    <row r="2221" spans="1:13" ht="15">
      <c r="A2221" s="979" t="s">
        <v>3766</v>
      </c>
      <c r="B2221" s="1040" t="str">
        <f>CONCATENATE(LEFT(RIGHT(CONCATENATE("000",IFAData_TEA_1617!A2221),6),3),"-",(RIGHT(RIGHT(CONCATENATE("000",IFAData_TEA_1617!A2221),6),3)))</f>
        <v>240-903</v>
      </c>
      <c r="C2221" s="979" t="s">
        <v>2362</v>
      </c>
      <c r="D2221" s="979">
        <v>3</v>
      </c>
      <c r="E2221" s="979">
        <v>2407</v>
      </c>
      <c r="F2221" s="979" t="s">
        <v>5646</v>
      </c>
      <c r="G2221" s="979" t="s">
        <v>5644</v>
      </c>
      <c r="H2221" s="979">
        <v>1098957</v>
      </c>
      <c r="I2221" s="979">
        <v>0</v>
      </c>
      <c r="J2221" s="979">
        <v>0</v>
      </c>
      <c r="K2221" s="979">
        <v>0</v>
      </c>
      <c r="L2221" s="979">
        <v>0</v>
      </c>
      <c r="M2221" s="979">
        <v>599</v>
      </c>
    </row>
    <row r="2222" spans="1:13" ht="15">
      <c r="A2222" s="979" t="s">
        <v>3766</v>
      </c>
      <c r="B2222" s="1040" t="str">
        <f>CONCATENATE(LEFT(RIGHT(CONCATENATE("000",IFAData_TEA_1617!A2222),6),3),"-",(RIGHT(RIGHT(CONCATENATE("000",IFAData_TEA_1617!A2222),6),3)))</f>
        <v>240-903</v>
      </c>
      <c r="C2222" s="979" t="s">
        <v>2362</v>
      </c>
      <c r="D2222" s="979">
        <v>5</v>
      </c>
      <c r="E2222" s="979">
        <v>2404</v>
      </c>
      <c r="F2222" s="979" t="s">
        <v>5647</v>
      </c>
      <c r="G2222" s="979" t="s">
        <v>5647</v>
      </c>
      <c r="H2222" s="979">
        <v>827517</v>
      </c>
      <c r="I2222" s="979">
        <v>0</v>
      </c>
      <c r="J2222" s="979">
        <v>0</v>
      </c>
      <c r="K2222" s="979">
        <v>0</v>
      </c>
      <c r="L2222" s="979">
        <v>0</v>
      </c>
      <c r="M2222" s="979">
        <v>599</v>
      </c>
    </row>
    <row r="2223" spans="1:13" ht="15">
      <c r="A2223" s="979" t="s">
        <v>3766</v>
      </c>
      <c r="B2223" s="1040" t="str">
        <f>CONCATENATE(LEFT(RIGHT(CONCATENATE("000",IFAData_TEA_1617!A2223),6),3),"-",(RIGHT(RIGHT(CONCATENATE("000",IFAData_TEA_1617!A2223),6),3)))</f>
        <v>240-903</v>
      </c>
      <c r="C2223" s="979" t="s">
        <v>2362</v>
      </c>
      <c r="D2223" s="979">
        <v>3</v>
      </c>
      <c r="E2223" s="979">
        <v>2405</v>
      </c>
      <c r="F2223" s="979" t="s">
        <v>5643</v>
      </c>
      <c r="G2223" s="979" t="s">
        <v>5645</v>
      </c>
      <c r="H2223" s="979">
        <v>986173</v>
      </c>
      <c r="I2223" s="979">
        <v>0</v>
      </c>
      <c r="J2223" s="979">
        <v>0</v>
      </c>
      <c r="K2223" s="979">
        <v>0</v>
      </c>
      <c r="L2223" s="979">
        <v>0</v>
      </c>
      <c r="M2223" s="979">
        <v>599</v>
      </c>
    </row>
    <row r="2224" spans="1:13" ht="15">
      <c r="A2224" s="979" t="s">
        <v>3766</v>
      </c>
      <c r="B2224" s="1040" t="str">
        <f>CONCATENATE(LEFT(RIGHT(CONCATENATE("000",IFAData_TEA_1617!A2224),6),3),"-",(RIGHT(RIGHT(CONCATENATE("000",IFAData_TEA_1617!A2224),6),3)))</f>
        <v>240-903</v>
      </c>
      <c r="C2224" s="979" t="s">
        <v>2362</v>
      </c>
      <c r="D2224" s="979">
        <v>3</v>
      </c>
      <c r="E2224" s="979">
        <v>2407</v>
      </c>
      <c r="F2224" s="979" t="s">
        <v>5646</v>
      </c>
      <c r="G2224" s="979" t="s">
        <v>5646</v>
      </c>
      <c r="H2224" s="979">
        <v>1098957</v>
      </c>
      <c r="I2224" s="979">
        <v>0</v>
      </c>
      <c r="J2224" s="979">
        <v>0</v>
      </c>
      <c r="K2224" s="979">
        <v>0</v>
      </c>
      <c r="L2224" s="979">
        <v>0</v>
      </c>
      <c r="M2224" s="979">
        <v>599</v>
      </c>
    </row>
    <row r="2225" spans="1:13" ht="15">
      <c r="A2225" s="979" t="s">
        <v>3766</v>
      </c>
      <c r="B2225" s="1040" t="str">
        <f>CONCATENATE(LEFT(RIGHT(CONCATENATE("000",IFAData_TEA_1617!A2225),6),3),"-",(RIGHT(RIGHT(CONCATENATE("000",IFAData_TEA_1617!A2225),6),3)))</f>
        <v>240-903</v>
      </c>
      <c r="C2225" s="979" t="s">
        <v>2362</v>
      </c>
      <c r="D2225" s="979">
        <v>5</v>
      </c>
      <c r="E2225" s="979">
        <v>2404</v>
      </c>
      <c r="F2225" s="979" t="s">
        <v>5647</v>
      </c>
      <c r="G2225" s="979" t="s">
        <v>6354</v>
      </c>
      <c r="H2225" s="979">
        <v>827517</v>
      </c>
      <c r="I2225" s="979">
        <v>715675</v>
      </c>
      <c r="J2225" s="979">
        <v>0.72307933236340127</v>
      </c>
      <c r="K2225" s="979">
        <v>598360.43987936468</v>
      </c>
      <c r="L2225" s="979">
        <v>598360.43987936468</v>
      </c>
      <c r="M2225" s="979">
        <v>599</v>
      </c>
    </row>
    <row r="2226" spans="1:13" ht="15">
      <c r="A2226" s="979" t="s">
        <v>3766</v>
      </c>
      <c r="B2226" s="1040" t="str">
        <f>CONCATENATE(LEFT(RIGHT(CONCATENATE("000",IFAData_TEA_1617!A2226),6),3),"-",(RIGHT(RIGHT(CONCATENATE("000",IFAData_TEA_1617!A2226),6),3)))</f>
        <v>240-903</v>
      </c>
      <c r="C2226" s="979" t="s">
        <v>2362</v>
      </c>
      <c r="D2226" s="979">
        <v>3</v>
      </c>
      <c r="E2226" s="979">
        <v>2405</v>
      </c>
      <c r="F2226" s="979" t="s">
        <v>5643</v>
      </c>
      <c r="G2226" s="979" t="s">
        <v>6354</v>
      </c>
      <c r="H2226" s="979">
        <v>986173</v>
      </c>
      <c r="I2226" s="979">
        <v>392737</v>
      </c>
      <c r="J2226" s="979">
        <v>0.12315685858239647</v>
      </c>
      <c r="K2226" s="979">
        <v>121453.96869877768</v>
      </c>
      <c r="L2226" s="979">
        <v>121453.96869877768</v>
      </c>
      <c r="M2226" s="979">
        <v>599</v>
      </c>
    </row>
    <row r="2227" spans="1:13" ht="15">
      <c r="A2227" s="979" t="s">
        <v>3766</v>
      </c>
      <c r="B2227" s="1040" t="str">
        <f>CONCATENATE(LEFT(RIGHT(CONCATENATE("000",IFAData_TEA_1617!A2227),6),3),"-",(RIGHT(RIGHT(CONCATENATE("000",IFAData_TEA_1617!A2227),6),3)))</f>
        <v>240-903</v>
      </c>
      <c r="C2227" s="979" t="s">
        <v>2362</v>
      </c>
      <c r="D2227" s="979">
        <v>3</v>
      </c>
      <c r="E2227" s="979">
        <v>2407</v>
      </c>
      <c r="F2227" s="979" t="s">
        <v>5646</v>
      </c>
      <c r="G2227" s="979" t="s">
        <v>6354</v>
      </c>
      <c r="H2227" s="979">
        <v>1098957</v>
      </c>
      <c r="I2227" s="979">
        <v>1924523</v>
      </c>
      <c r="J2227" s="979">
        <v>1</v>
      </c>
      <c r="K2227" s="979">
        <v>1098957</v>
      </c>
      <c r="L2227" s="979">
        <v>1098957</v>
      </c>
      <c r="M2227" s="979">
        <v>599</v>
      </c>
    </row>
    <row r="2228" spans="1:13" ht="15">
      <c r="A2228" s="979" t="s">
        <v>3767</v>
      </c>
      <c r="B2228" s="1040" t="str">
        <f>CONCATENATE(LEFT(RIGHT(CONCATENATE("000",IFAData_TEA_1617!A2228),6),3),"-",(RIGHT(RIGHT(CONCATENATE("000",IFAData_TEA_1617!A2228),6),3)))</f>
        <v>243-901</v>
      </c>
      <c r="C2228" s="979" t="s">
        <v>1448</v>
      </c>
      <c r="D2228" s="979">
        <v>2</v>
      </c>
      <c r="E2228" s="979">
        <v>1652</v>
      </c>
      <c r="F2228" s="979" t="s">
        <v>5652</v>
      </c>
      <c r="G2228" s="979" t="s">
        <v>5654</v>
      </c>
      <c r="H2228" s="979">
        <v>871498</v>
      </c>
      <c r="I2228" s="979">
        <v>1059808</v>
      </c>
      <c r="J2228" s="979">
        <v>1</v>
      </c>
      <c r="K2228" s="979">
        <v>871498</v>
      </c>
      <c r="L2228" s="979">
        <v>871498</v>
      </c>
      <c r="M2228" s="979">
        <v>599</v>
      </c>
    </row>
    <row r="2229" spans="1:13" ht="15">
      <c r="A2229" s="979" t="s">
        <v>3767</v>
      </c>
      <c r="B2229" s="1040" t="str">
        <f>CONCATENATE(LEFT(RIGHT(CONCATENATE("000",IFAData_TEA_1617!A2229),6),3),"-",(RIGHT(RIGHT(CONCATENATE("000",IFAData_TEA_1617!A2229),6),3)))</f>
        <v>243-901</v>
      </c>
      <c r="C2229" s="979" t="s">
        <v>1448</v>
      </c>
      <c r="D2229" s="979">
        <v>2</v>
      </c>
      <c r="E2229" s="979">
        <v>1652</v>
      </c>
      <c r="F2229" s="979" t="s">
        <v>5652</v>
      </c>
      <c r="G2229" s="979" t="s">
        <v>5653</v>
      </c>
      <c r="H2229" s="979">
        <v>871498</v>
      </c>
      <c r="I2229" s="979">
        <v>0</v>
      </c>
      <c r="J2229" s="979">
        <v>0</v>
      </c>
      <c r="K2229" s="979">
        <v>0</v>
      </c>
      <c r="L2229" s="979">
        <v>0</v>
      </c>
      <c r="M2229" s="979">
        <v>599</v>
      </c>
    </row>
    <row r="2230" spans="1:13" ht="15">
      <c r="A2230" s="979" t="s">
        <v>3767</v>
      </c>
      <c r="B2230" s="1040" t="str">
        <f>CONCATENATE(LEFT(RIGHT(CONCATENATE("000",IFAData_TEA_1617!A2230),6),3),"-",(RIGHT(RIGHT(CONCATENATE("000",IFAData_TEA_1617!A2230),6),3)))</f>
        <v>243-901</v>
      </c>
      <c r="C2230" s="979" t="s">
        <v>1448</v>
      </c>
      <c r="D2230" s="979">
        <v>2</v>
      </c>
      <c r="E2230" s="979">
        <v>1652</v>
      </c>
      <c r="F2230" s="979" t="s">
        <v>5652</v>
      </c>
      <c r="G2230" s="979" t="s">
        <v>5652</v>
      </c>
      <c r="H2230" s="979">
        <v>871498</v>
      </c>
      <c r="I2230" s="979">
        <v>0</v>
      </c>
      <c r="J2230" s="979">
        <v>0</v>
      </c>
      <c r="K2230" s="979">
        <v>0</v>
      </c>
      <c r="L2230" s="979">
        <v>0</v>
      </c>
      <c r="M2230" s="979">
        <v>599</v>
      </c>
    </row>
    <row r="2231" spans="1:13" ht="15">
      <c r="A2231" s="979" t="s">
        <v>3768</v>
      </c>
      <c r="B2231" s="1040" t="str">
        <f>CONCATENATE(LEFT(RIGHT(CONCATENATE("000",IFAData_TEA_1617!A2231),6),3),"-",(RIGHT(RIGHT(CONCATENATE("000",IFAData_TEA_1617!A2231),6),3)))</f>
        <v>243-905</v>
      </c>
      <c r="C2231" s="979" t="s">
        <v>1609</v>
      </c>
      <c r="D2231" s="979">
        <v>9</v>
      </c>
      <c r="E2231" s="979">
        <v>2453</v>
      </c>
      <c r="F2231" s="979" t="s">
        <v>5655</v>
      </c>
      <c r="G2231" s="979" t="s">
        <v>6355</v>
      </c>
      <c r="H2231" s="979">
        <v>3370543</v>
      </c>
      <c r="I2231" s="979">
        <v>1453200</v>
      </c>
      <c r="J2231" s="979">
        <v>0.33069361004915349</v>
      </c>
      <c r="K2231" s="979">
        <v>1114617.032495904</v>
      </c>
      <c r="L2231" s="979">
        <v>1114617.032495904</v>
      </c>
      <c r="M2231" s="979">
        <v>599</v>
      </c>
    </row>
    <row r="2232" spans="1:13" ht="15">
      <c r="A2232" s="979" t="s">
        <v>3768</v>
      </c>
      <c r="B2232" s="1040" t="str">
        <f>CONCATENATE(LEFT(RIGHT(CONCATENATE("000",IFAData_TEA_1617!A2232),6),3),"-",(RIGHT(RIGHT(CONCATENATE("000",IFAData_TEA_1617!A2232),6),3)))</f>
        <v>243-905</v>
      </c>
      <c r="C2232" s="979" t="s">
        <v>1609</v>
      </c>
      <c r="D2232" s="979">
        <v>9</v>
      </c>
      <c r="E2232" s="979">
        <v>2453</v>
      </c>
      <c r="F2232" s="979" t="s">
        <v>5655</v>
      </c>
      <c r="G2232" s="979" t="s">
        <v>5655</v>
      </c>
      <c r="H2232" s="979">
        <v>3370543</v>
      </c>
      <c r="I2232" s="979">
        <v>2941200</v>
      </c>
      <c r="J2232" s="979">
        <v>0.66930638995084657</v>
      </c>
      <c r="K2232" s="979">
        <v>2255925.9675040962</v>
      </c>
      <c r="L2232" s="979">
        <v>2255925.9675040962</v>
      </c>
      <c r="M2232" s="979">
        <v>599</v>
      </c>
    </row>
    <row r="2233" spans="1:13" ht="15">
      <c r="A2233" s="979" t="s">
        <v>3769</v>
      </c>
      <c r="B2233" s="1040" t="str">
        <f>CONCATENATE(LEFT(RIGHT(CONCATENATE("000",IFAData_TEA_1617!A2233),6),3),"-",(RIGHT(RIGHT(CONCATENATE("000",IFAData_TEA_1617!A2233),6),3)))</f>
        <v>243-906</v>
      </c>
      <c r="C2233" s="979" t="s">
        <v>1162</v>
      </c>
      <c r="D2233" s="979">
        <v>5</v>
      </c>
      <c r="E2233" s="979">
        <v>1693</v>
      </c>
      <c r="F2233" s="979" t="s">
        <v>5656</v>
      </c>
      <c r="G2233" s="979" t="s">
        <v>5656</v>
      </c>
      <c r="H2233" s="979">
        <v>347638</v>
      </c>
      <c r="I2233" s="979">
        <v>646697</v>
      </c>
      <c r="J2233" s="979">
        <v>1</v>
      </c>
      <c r="K2233" s="979">
        <v>347638</v>
      </c>
      <c r="L2233" s="979">
        <v>347638</v>
      </c>
      <c r="M2233" s="979">
        <v>599</v>
      </c>
    </row>
    <row r="2234" spans="1:13" ht="15">
      <c r="A2234" s="979" t="s">
        <v>3770</v>
      </c>
      <c r="B2234" s="1040" t="str">
        <f>CONCATENATE(LEFT(RIGHT(CONCATENATE("000",IFAData_TEA_1617!A2234),6),3),"-",(RIGHT(RIGHT(CONCATENATE("000",IFAData_TEA_1617!A2234),6),3)))</f>
        <v>244-905</v>
      </c>
      <c r="C2234" s="979" t="s">
        <v>2289</v>
      </c>
      <c r="D2234" s="979">
        <v>8</v>
      </c>
      <c r="E2234" s="979">
        <v>2151</v>
      </c>
      <c r="F2234" s="979" t="s">
        <v>5657</v>
      </c>
      <c r="G2234" s="979" t="s">
        <v>5657</v>
      </c>
      <c r="H2234" s="979">
        <v>100000</v>
      </c>
      <c r="I2234" s="979">
        <v>130550</v>
      </c>
      <c r="J2234" s="979">
        <v>1</v>
      </c>
      <c r="K2234" s="979">
        <v>100000</v>
      </c>
      <c r="L2234" s="979">
        <v>100000</v>
      </c>
      <c r="M2234" s="979">
        <v>599</v>
      </c>
    </row>
    <row r="2235" spans="1:13" ht="15">
      <c r="A2235" s="979" t="s">
        <v>3771</v>
      </c>
      <c r="B2235" s="1040" t="str">
        <f>CONCATENATE(LEFT(RIGHT(CONCATENATE("000",IFAData_TEA_1617!A2235),6),3),"-",(RIGHT(RIGHT(CONCATENATE("000",IFAData_TEA_1617!A2235),6),3)))</f>
        <v>245-901</v>
      </c>
      <c r="C2235" s="979" t="s">
        <v>2346</v>
      </c>
      <c r="D2235" s="979">
        <v>5</v>
      </c>
      <c r="E2235" s="979">
        <v>2012</v>
      </c>
      <c r="F2235" s="979" t="s">
        <v>5660</v>
      </c>
      <c r="G2235" s="979" t="s">
        <v>5660</v>
      </c>
      <c r="H2235" s="979">
        <v>92936</v>
      </c>
      <c r="I2235" s="979">
        <v>0</v>
      </c>
      <c r="J2235" s="979">
        <v>0</v>
      </c>
      <c r="K2235" s="979">
        <v>0</v>
      </c>
      <c r="L2235" s="979">
        <v>0</v>
      </c>
      <c r="M2235" s="979">
        <v>599</v>
      </c>
    </row>
    <row r="2236" spans="1:13" ht="15">
      <c r="A2236" s="979" t="s">
        <v>3771</v>
      </c>
      <c r="B2236" s="1040" t="str">
        <f>CONCATENATE(LEFT(RIGHT(CONCATENATE("000",IFAData_TEA_1617!A2236),6),3),"-",(RIGHT(RIGHT(CONCATENATE("000",IFAData_TEA_1617!A2236),6),3)))</f>
        <v>245-901</v>
      </c>
      <c r="C2236" s="979" t="s">
        <v>2346</v>
      </c>
      <c r="D2236" s="979">
        <v>8</v>
      </c>
      <c r="E2236" s="979">
        <v>2014</v>
      </c>
      <c r="F2236" s="979" t="s">
        <v>5661</v>
      </c>
      <c r="G2236" s="979" t="s">
        <v>5661</v>
      </c>
      <c r="H2236" s="979">
        <v>98876</v>
      </c>
      <c r="I2236" s="979">
        <v>0</v>
      </c>
      <c r="J2236" s="979">
        <v>0</v>
      </c>
      <c r="K2236" s="979">
        <v>0</v>
      </c>
      <c r="L2236" s="979">
        <v>0</v>
      </c>
      <c r="M2236" s="979">
        <v>599</v>
      </c>
    </row>
    <row r="2237" spans="1:13" ht="15">
      <c r="A2237" s="979" t="s">
        <v>3771</v>
      </c>
      <c r="B2237" s="1040" t="str">
        <f>CONCATENATE(LEFT(RIGHT(CONCATENATE("000",IFAData_TEA_1617!A2237),6),3),"-",(RIGHT(RIGHT(CONCATENATE("000",IFAData_TEA_1617!A2237),6),3)))</f>
        <v>245-901</v>
      </c>
      <c r="C2237" s="979" t="s">
        <v>2346</v>
      </c>
      <c r="D2237" s="979">
        <v>4</v>
      </c>
      <c r="E2237" s="979">
        <v>2013</v>
      </c>
      <c r="F2237" s="979" t="s">
        <v>5658</v>
      </c>
      <c r="G2237" s="979" t="s">
        <v>5658</v>
      </c>
      <c r="H2237" s="979">
        <v>98474</v>
      </c>
      <c r="I2237" s="979">
        <v>0</v>
      </c>
      <c r="J2237" s="979">
        <v>0</v>
      </c>
      <c r="K2237" s="979">
        <v>0</v>
      </c>
      <c r="L2237" s="979">
        <v>0</v>
      </c>
      <c r="M2237" s="979">
        <v>599</v>
      </c>
    </row>
    <row r="2238" spans="1:13" ht="15">
      <c r="A2238" s="979" t="s">
        <v>3771</v>
      </c>
      <c r="B2238" s="1040" t="str">
        <f>CONCATENATE(LEFT(RIGHT(CONCATENATE("000",IFAData_TEA_1617!A2238),6),3),"-",(RIGHT(RIGHT(CONCATENATE("000",IFAData_TEA_1617!A2238),6),3)))</f>
        <v>245-901</v>
      </c>
      <c r="C2238" s="979" t="s">
        <v>2346</v>
      </c>
      <c r="D2238" s="979">
        <v>5</v>
      </c>
      <c r="E2238" s="979">
        <v>2012</v>
      </c>
      <c r="F2238" s="979" t="s">
        <v>5660</v>
      </c>
      <c r="G2238" s="979" t="s">
        <v>5659</v>
      </c>
      <c r="H2238" s="979">
        <v>92936</v>
      </c>
      <c r="I2238" s="979">
        <v>82518</v>
      </c>
      <c r="J2238" s="979">
        <v>1</v>
      </c>
      <c r="K2238" s="979">
        <v>92936</v>
      </c>
      <c r="L2238" s="979">
        <v>82518</v>
      </c>
      <c r="M2238" s="979">
        <v>599</v>
      </c>
    </row>
    <row r="2239" spans="1:13" ht="15">
      <c r="A2239" s="979" t="s">
        <v>3771</v>
      </c>
      <c r="B2239" s="1040" t="str">
        <f>CONCATENATE(LEFT(RIGHT(CONCATENATE("000",IFAData_TEA_1617!A2239),6),3),"-",(RIGHT(RIGHT(CONCATENATE("000",IFAData_TEA_1617!A2239),6),3)))</f>
        <v>245-901</v>
      </c>
      <c r="C2239" s="979" t="s">
        <v>2346</v>
      </c>
      <c r="D2239" s="979">
        <v>4</v>
      </c>
      <c r="E2239" s="979">
        <v>2013</v>
      </c>
      <c r="F2239" s="979" t="s">
        <v>5658</v>
      </c>
      <c r="G2239" s="979" t="s">
        <v>5659</v>
      </c>
      <c r="H2239" s="979">
        <v>98474</v>
      </c>
      <c r="I2239" s="979">
        <v>77234</v>
      </c>
      <c r="J2239" s="979">
        <v>1</v>
      </c>
      <c r="K2239" s="979">
        <v>98474</v>
      </c>
      <c r="L2239" s="979">
        <v>77234</v>
      </c>
      <c r="M2239" s="979">
        <v>599</v>
      </c>
    </row>
    <row r="2240" spans="1:13" ht="15">
      <c r="A2240" s="979" t="s">
        <v>3771</v>
      </c>
      <c r="B2240" s="1040" t="str">
        <f>CONCATENATE(LEFT(RIGHT(CONCATENATE("000",IFAData_TEA_1617!A2240),6),3),"-",(RIGHT(RIGHT(CONCATENATE("000",IFAData_TEA_1617!A2240),6),3)))</f>
        <v>245-901</v>
      </c>
      <c r="C2240" s="979" t="s">
        <v>2346</v>
      </c>
      <c r="D2240" s="979">
        <v>10</v>
      </c>
      <c r="E2240" s="979">
        <v>2016</v>
      </c>
      <c r="F2240" s="979" t="s">
        <v>5663</v>
      </c>
      <c r="G2240" s="979" t="s">
        <v>5663</v>
      </c>
      <c r="H2240" s="979">
        <v>108827</v>
      </c>
      <c r="I2240" s="979">
        <v>117412</v>
      </c>
      <c r="J2240" s="979">
        <v>1</v>
      </c>
      <c r="K2240" s="979">
        <v>108827</v>
      </c>
      <c r="L2240" s="979">
        <v>108827</v>
      </c>
      <c r="M2240" s="979">
        <v>599</v>
      </c>
    </row>
    <row r="2241" spans="1:13" ht="15">
      <c r="A2241" s="979" t="s">
        <v>3771</v>
      </c>
      <c r="B2241" s="1040" t="str">
        <f>CONCATENATE(LEFT(RIGHT(CONCATENATE("000",IFAData_TEA_1617!A2241),6),3),"-",(RIGHT(RIGHT(CONCATENATE("000",IFAData_TEA_1617!A2241),6),3)))</f>
        <v>245-901</v>
      </c>
      <c r="C2241" s="979" t="s">
        <v>2346</v>
      </c>
      <c r="D2241" s="979">
        <v>9</v>
      </c>
      <c r="E2241" s="979">
        <v>2015</v>
      </c>
      <c r="F2241" s="979" t="s">
        <v>5662</v>
      </c>
      <c r="G2241" s="979" t="s">
        <v>5662</v>
      </c>
      <c r="H2241" s="979">
        <v>100000</v>
      </c>
      <c r="I2241" s="979">
        <v>40000</v>
      </c>
      <c r="J2241" s="979">
        <v>0.30946578468918029</v>
      </c>
      <c r="K2241" s="979">
        <v>30946.578468918029</v>
      </c>
      <c r="L2241" s="979">
        <v>30946.578468918029</v>
      </c>
      <c r="M2241" s="979">
        <v>599</v>
      </c>
    </row>
    <row r="2242" spans="1:13" ht="15">
      <c r="A2242" s="979" t="s">
        <v>3771</v>
      </c>
      <c r="B2242" s="1040" t="str">
        <f>CONCATENATE(LEFT(RIGHT(CONCATENATE("000",IFAData_TEA_1617!A2242),6),3),"-",(RIGHT(RIGHT(CONCATENATE("000",IFAData_TEA_1617!A2242),6),3)))</f>
        <v>245-901</v>
      </c>
      <c r="C2242" s="979" t="s">
        <v>2346</v>
      </c>
      <c r="D2242" s="979">
        <v>8</v>
      </c>
      <c r="E2242" s="979">
        <v>2014</v>
      </c>
      <c r="F2242" s="979" t="s">
        <v>5661</v>
      </c>
      <c r="G2242" s="979" t="s">
        <v>6556</v>
      </c>
      <c r="H2242" s="979">
        <v>98876</v>
      </c>
      <c r="I2242" s="979">
        <v>76986</v>
      </c>
      <c r="J2242" s="979">
        <v>1</v>
      </c>
      <c r="K2242" s="979">
        <v>98876</v>
      </c>
      <c r="L2242" s="979">
        <v>76986</v>
      </c>
      <c r="M2242" s="979">
        <v>599</v>
      </c>
    </row>
    <row r="2243" spans="1:13" ht="15">
      <c r="A2243" s="979" t="s">
        <v>3771</v>
      </c>
      <c r="B2243" s="1040" t="str">
        <f>CONCATENATE(LEFT(RIGHT(CONCATENATE("000",IFAData_TEA_1617!A2243),6),3),"-",(RIGHT(RIGHT(CONCATENATE("000",IFAData_TEA_1617!A2243),6),3)))</f>
        <v>245-901</v>
      </c>
      <c r="C2243" s="979" t="s">
        <v>2346</v>
      </c>
      <c r="D2243" s="979">
        <v>9</v>
      </c>
      <c r="E2243" s="979">
        <v>2015</v>
      </c>
      <c r="F2243" s="979" t="s">
        <v>5662</v>
      </c>
      <c r="G2243" s="979" t="s">
        <v>6556</v>
      </c>
      <c r="H2243" s="979">
        <v>100000</v>
      </c>
      <c r="I2243" s="979">
        <v>89255</v>
      </c>
      <c r="J2243" s="979">
        <v>0.69053421531081971</v>
      </c>
      <c r="K2243" s="979">
        <v>69053.421531081971</v>
      </c>
      <c r="L2243" s="979">
        <v>69053.421531081971</v>
      </c>
      <c r="M2243" s="979">
        <v>599</v>
      </c>
    </row>
    <row r="2244" spans="1:13" ht="15">
      <c r="A2244" s="979" t="s">
        <v>3772</v>
      </c>
      <c r="B2244" s="1040" t="str">
        <f>CONCATENATE(LEFT(RIGHT(CONCATENATE("000",IFAData_TEA_1617!A2244),6),3),"-",(RIGHT(RIGHT(CONCATENATE("000",IFAData_TEA_1617!A2244),6),3)))</f>
        <v>245-902</v>
      </c>
      <c r="C2244" s="979" t="s">
        <v>840</v>
      </c>
      <c r="D2244" s="979">
        <v>1</v>
      </c>
      <c r="E2244" s="979">
        <v>2047</v>
      </c>
      <c r="F2244" s="979" t="s">
        <v>5664</v>
      </c>
      <c r="G2244" s="979" t="s">
        <v>5664</v>
      </c>
      <c r="H2244" s="979">
        <v>412085</v>
      </c>
      <c r="I2244" s="979">
        <v>0</v>
      </c>
      <c r="J2244" s="979">
        <v>0</v>
      </c>
      <c r="K2244" s="979">
        <v>0</v>
      </c>
      <c r="L2244" s="979">
        <v>0</v>
      </c>
      <c r="M2244" s="979">
        <v>199</v>
      </c>
    </row>
    <row r="2245" spans="1:13" ht="15">
      <c r="A2245" s="979" t="s">
        <v>3772</v>
      </c>
      <c r="B2245" s="1040" t="str">
        <f>CONCATENATE(LEFT(RIGHT(CONCATENATE("000",IFAData_TEA_1617!A2245),6),3),"-",(RIGHT(RIGHT(CONCATENATE("000",IFAData_TEA_1617!A2245),6),3)))</f>
        <v>245-902</v>
      </c>
      <c r="C2245" s="979" t="s">
        <v>840</v>
      </c>
      <c r="D2245" s="979">
        <v>1</v>
      </c>
      <c r="E2245" s="979">
        <v>2047</v>
      </c>
      <c r="F2245" s="979" t="s">
        <v>5664</v>
      </c>
      <c r="G2245" s="979" t="s">
        <v>5665</v>
      </c>
      <c r="H2245" s="979">
        <v>412085</v>
      </c>
      <c r="I2245" s="979">
        <v>454498</v>
      </c>
      <c r="J2245" s="979">
        <v>1</v>
      </c>
      <c r="K2245" s="979">
        <v>412085</v>
      </c>
      <c r="L2245" s="979">
        <v>412085</v>
      </c>
      <c r="M2245" s="979">
        <v>599</v>
      </c>
    </row>
    <row r="2246" spans="1:13" ht="15">
      <c r="A2246" s="979" t="s">
        <v>3772</v>
      </c>
      <c r="B2246" s="1040" t="str">
        <f>CONCATENATE(LEFT(RIGHT(CONCATENATE("000",IFAData_TEA_1617!A2246),6),3),"-",(RIGHT(RIGHT(CONCATENATE("000",IFAData_TEA_1617!A2246),6),3)))</f>
        <v>245-902</v>
      </c>
      <c r="C2246" s="979" t="s">
        <v>840</v>
      </c>
      <c r="D2246" s="979">
        <v>6</v>
      </c>
      <c r="E2246" s="979">
        <v>2046</v>
      </c>
      <c r="F2246" s="979" t="s">
        <v>5666</v>
      </c>
      <c r="G2246" s="979" t="s">
        <v>5666</v>
      </c>
      <c r="H2246" s="979">
        <v>342241</v>
      </c>
      <c r="I2246" s="979">
        <v>0</v>
      </c>
      <c r="J2246" s="979">
        <v>0</v>
      </c>
      <c r="K2246" s="979">
        <v>0</v>
      </c>
      <c r="L2246" s="979">
        <v>0</v>
      </c>
      <c r="M2246" s="979">
        <v>599</v>
      </c>
    </row>
    <row r="2247" spans="1:13" ht="15">
      <c r="A2247" s="979" t="s">
        <v>3772</v>
      </c>
      <c r="B2247" s="1040" t="str">
        <f>CONCATENATE(LEFT(RIGHT(CONCATENATE("000",IFAData_TEA_1617!A2247),6),3),"-",(RIGHT(RIGHT(CONCATENATE("000",IFAData_TEA_1617!A2247),6),3)))</f>
        <v>245-902</v>
      </c>
      <c r="C2247" s="979" t="s">
        <v>840</v>
      </c>
      <c r="D2247" s="979">
        <v>6</v>
      </c>
      <c r="E2247" s="979">
        <v>2046</v>
      </c>
      <c r="F2247" s="979" t="s">
        <v>5666</v>
      </c>
      <c r="G2247" s="979" t="s">
        <v>5667</v>
      </c>
      <c r="H2247" s="979">
        <v>342241</v>
      </c>
      <c r="I2247" s="979">
        <v>334939</v>
      </c>
      <c r="J2247" s="979">
        <v>1</v>
      </c>
      <c r="K2247" s="979">
        <v>342241</v>
      </c>
      <c r="L2247" s="979">
        <v>334939</v>
      </c>
      <c r="M2247" s="979">
        <v>599</v>
      </c>
    </row>
    <row r="2248" spans="1:13" ht="15">
      <c r="A2248" s="979" t="s">
        <v>3773</v>
      </c>
      <c r="B2248" s="1040" t="str">
        <f>CONCATENATE(LEFT(RIGHT(CONCATENATE("000",IFAData_TEA_1617!A2248),6),3),"-",(RIGHT(RIGHT(CONCATENATE("000",IFAData_TEA_1617!A2248),6),3)))</f>
        <v>245-903</v>
      </c>
      <c r="C2248" s="979" t="s">
        <v>78</v>
      </c>
      <c r="D2248" s="979">
        <v>5</v>
      </c>
      <c r="E2248" s="979">
        <v>2225</v>
      </c>
      <c r="F2248" s="979" t="s">
        <v>5672</v>
      </c>
      <c r="G2248" s="979" t="s">
        <v>6356</v>
      </c>
      <c r="H2248" s="979">
        <v>198867</v>
      </c>
      <c r="I2248" s="979">
        <v>25367</v>
      </c>
      <c r="J2248" s="979">
        <v>0.15143031113445879</v>
      </c>
      <c r="K2248" s="979">
        <v>30114.491684376415</v>
      </c>
      <c r="L2248" s="979">
        <v>25367</v>
      </c>
      <c r="M2248" s="979">
        <v>599</v>
      </c>
    </row>
    <row r="2249" spans="1:13" ht="15">
      <c r="A2249" s="979" t="s">
        <v>3773</v>
      </c>
      <c r="B2249" s="1040" t="str">
        <f>CONCATENATE(LEFT(RIGHT(CONCATENATE("000",IFAData_TEA_1617!A2249),6),3),"-",(RIGHT(RIGHT(CONCATENATE("000",IFAData_TEA_1617!A2249),6),3)))</f>
        <v>245-903</v>
      </c>
      <c r="C2249" s="979" t="s">
        <v>78</v>
      </c>
      <c r="D2249" s="979">
        <v>3</v>
      </c>
      <c r="E2249" s="979">
        <v>2226</v>
      </c>
      <c r="F2249" s="979" t="s">
        <v>5671</v>
      </c>
      <c r="G2249" s="979" t="s">
        <v>6356</v>
      </c>
      <c r="H2249" s="979">
        <v>415048</v>
      </c>
      <c r="I2249" s="979">
        <v>371238</v>
      </c>
      <c r="J2249" s="979">
        <v>1</v>
      </c>
      <c r="K2249" s="979">
        <v>415048</v>
      </c>
      <c r="L2249" s="979">
        <v>371238</v>
      </c>
      <c r="M2249" s="979">
        <v>599</v>
      </c>
    </row>
    <row r="2250" spans="1:13" ht="15">
      <c r="A2250" s="979" t="s">
        <v>3773</v>
      </c>
      <c r="B2250" s="1040" t="str">
        <f>CONCATENATE(LEFT(RIGHT(CONCATENATE("000",IFAData_TEA_1617!A2250),6),3),"-",(RIGHT(RIGHT(CONCATENATE("000",IFAData_TEA_1617!A2250),6),3)))</f>
        <v>245-903</v>
      </c>
      <c r="C2250" s="979" t="s">
        <v>78</v>
      </c>
      <c r="D2250" s="979">
        <v>2</v>
      </c>
      <c r="E2250" s="979">
        <v>2228</v>
      </c>
      <c r="F2250" s="979" t="s">
        <v>5668</v>
      </c>
      <c r="G2250" s="979" t="s">
        <v>6356</v>
      </c>
      <c r="H2250" s="979">
        <v>679270</v>
      </c>
      <c r="I2250" s="979">
        <v>477783</v>
      </c>
      <c r="J2250" s="979">
        <v>0.77311665447672806</v>
      </c>
      <c r="K2250" s="979">
        <v>525154.94988640712</v>
      </c>
      <c r="L2250" s="979">
        <v>477783</v>
      </c>
      <c r="M2250" s="979">
        <v>599</v>
      </c>
    </row>
    <row r="2251" spans="1:13" ht="15">
      <c r="A2251" s="979" t="s">
        <v>3773</v>
      </c>
      <c r="B2251" s="1040" t="str">
        <f>CONCATENATE(LEFT(RIGHT(CONCATENATE("000",IFAData_TEA_1617!A2251),6),3),"-",(RIGHT(RIGHT(CONCATENATE("000",IFAData_TEA_1617!A2251),6),3)))</f>
        <v>245-903</v>
      </c>
      <c r="C2251" s="979" t="s">
        <v>78</v>
      </c>
      <c r="D2251" s="979">
        <v>5</v>
      </c>
      <c r="E2251" s="979">
        <v>2225</v>
      </c>
      <c r="F2251" s="979" t="s">
        <v>5672</v>
      </c>
      <c r="G2251" s="979" t="s">
        <v>5672</v>
      </c>
      <c r="H2251" s="979">
        <v>198867</v>
      </c>
      <c r="I2251" s="979">
        <v>0</v>
      </c>
      <c r="J2251" s="979">
        <v>0</v>
      </c>
      <c r="K2251" s="979">
        <v>0</v>
      </c>
      <c r="L2251" s="979">
        <v>0</v>
      </c>
      <c r="M2251" s="979">
        <v>599</v>
      </c>
    </row>
    <row r="2252" spans="1:13" ht="15">
      <c r="A2252" s="979" t="s">
        <v>3773</v>
      </c>
      <c r="B2252" s="1040" t="str">
        <f>CONCATENATE(LEFT(RIGHT(CONCATENATE("000",IFAData_TEA_1617!A2252),6),3),"-",(RIGHT(RIGHT(CONCATENATE("000",IFAData_TEA_1617!A2252),6),3)))</f>
        <v>245-903</v>
      </c>
      <c r="C2252" s="979" t="s">
        <v>78</v>
      </c>
      <c r="D2252" s="979">
        <v>2</v>
      </c>
      <c r="E2252" s="979">
        <v>2228</v>
      </c>
      <c r="F2252" s="979" t="s">
        <v>5668</v>
      </c>
      <c r="G2252" s="979" t="s">
        <v>5668</v>
      </c>
      <c r="H2252" s="979">
        <v>679270</v>
      </c>
      <c r="I2252" s="979">
        <v>0</v>
      </c>
      <c r="J2252" s="979">
        <v>0</v>
      </c>
      <c r="K2252" s="979">
        <v>0</v>
      </c>
      <c r="L2252" s="979">
        <v>0</v>
      </c>
      <c r="M2252" s="979">
        <v>599</v>
      </c>
    </row>
    <row r="2253" spans="1:13" ht="15">
      <c r="A2253" s="979" t="s">
        <v>3773</v>
      </c>
      <c r="B2253" s="1040" t="str">
        <f>CONCATENATE(LEFT(RIGHT(CONCATENATE("000",IFAData_TEA_1617!A2253),6),3),"-",(RIGHT(RIGHT(CONCATENATE("000",IFAData_TEA_1617!A2253),6),3)))</f>
        <v>245-903</v>
      </c>
      <c r="C2253" s="979" t="s">
        <v>78</v>
      </c>
      <c r="D2253" s="979">
        <v>5</v>
      </c>
      <c r="E2253" s="979">
        <v>2225</v>
      </c>
      <c r="F2253" s="979" t="s">
        <v>5672</v>
      </c>
      <c r="G2253" s="979" t="s">
        <v>5673</v>
      </c>
      <c r="H2253" s="979">
        <v>198867</v>
      </c>
      <c r="I2253" s="979">
        <v>142149</v>
      </c>
      <c r="J2253" s="979">
        <v>0.84856968886554118</v>
      </c>
      <c r="K2253" s="979">
        <v>168752.50831562359</v>
      </c>
      <c r="L2253" s="979">
        <v>142149</v>
      </c>
      <c r="M2253" s="979">
        <v>599</v>
      </c>
    </row>
    <row r="2254" spans="1:13" ht="15">
      <c r="A2254" s="979" t="s">
        <v>3773</v>
      </c>
      <c r="B2254" s="1040" t="str">
        <f>CONCATENATE(LEFT(RIGHT(CONCATENATE("000",IFAData_TEA_1617!A2254),6),3),"-",(RIGHT(RIGHT(CONCATENATE("000",IFAData_TEA_1617!A2254),6),3)))</f>
        <v>245-903</v>
      </c>
      <c r="C2254" s="979" t="s">
        <v>78</v>
      </c>
      <c r="D2254" s="979">
        <v>3</v>
      </c>
      <c r="E2254" s="979">
        <v>2226</v>
      </c>
      <c r="F2254" s="979" t="s">
        <v>5671</v>
      </c>
      <c r="G2254" s="979" t="s">
        <v>5669</v>
      </c>
      <c r="H2254" s="979">
        <v>415048</v>
      </c>
      <c r="I2254" s="979">
        <v>0</v>
      </c>
      <c r="J2254" s="979">
        <v>0</v>
      </c>
      <c r="K2254" s="979">
        <v>0</v>
      </c>
      <c r="L2254" s="979">
        <v>0</v>
      </c>
      <c r="M2254" s="979">
        <v>599</v>
      </c>
    </row>
    <row r="2255" spans="1:13" ht="15">
      <c r="A2255" s="979" t="s">
        <v>3773</v>
      </c>
      <c r="B2255" s="1040" t="str">
        <f>CONCATENATE(LEFT(RIGHT(CONCATENATE("000",IFAData_TEA_1617!A2255),6),3),"-",(RIGHT(RIGHT(CONCATENATE("000",IFAData_TEA_1617!A2255),6),3)))</f>
        <v>245-903</v>
      </c>
      <c r="C2255" s="979" t="s">
        <v>78</v>
      </c>
      <c r="D2255" s="979">
        <v>5</v>
      </c>
      <c r="E2255" s="979">
        <v>2225</v>
      </c>
      <c r="F2255" s="979" t="s">
        <v>5672</v>
      </c>
      <c r="G2255" s="979" t="s">
        <v>5669</v>
      </c>
      <c r="H2255" s="979">
        <v>198867</v>
      </c>
      <c r="I2255" s="979">
        <v>0</v>
      </c>
      <c r="J2255" s="979">
        <v>0</v>
      </c>
      <c r="K2255" s="979">
        <v>0</v>
      </c>
      <c r="L2255" s="979">
        <v>0</v>
      </c>
      <c r="M2255" s="979">
        <v>599</v>
      </c>
    </row>
    <row r="2256" spans="1:13" ht="15">
      <c r="A2256" s="979" t="s">
        <v>3773</v>
      </c>
      <c r="B2256" s="1040" t="str">
        <f>CONCATENATE(LEFT(RIGHT(CONCATENATE("000",IFAData_TEA_1617!A2256),6),3),"-",(RIGHT(RIGHT(CONCATENATE("000",IFAData_TEA_1617!A2256),6),3)))</f>
        <v>245-903</v>
      </c>
      <c r="C2256" s="979" t="s">
        <v>78</v>
      </c>
      <c r="D2256" s="979">
        <v>2</v>
      </c>
      <c r="E2256" s="979">
        <v>2228</v>
      </c>
      <c r="F2256" s="979" t="s">
        <v>5668</v>
      </c>
      <c r="G2256" s="979" t="s">
        <v>5669</v>
      </c>
      <c r="H2256" s="979">
        <v>679270</v>
      </c>
      <c r="I2256" s="979">
        <v>0</v>
      </c>
      <c r="J2256" s="979">
        <v>0</v>
      </c>
      <c r="K2256" s="979">
        <v>0</v>
      </c>
      <c r="L2256" s="979">
        <v>0</v>
      </c>
      <c r="M2256" s="979">
        <v>599</v>
      </c>
    </row>
    <row r="2257" spans="1:13" ht="15">
      <c r="A2257" s="979" t="s">
        <v>3773</v>
      </c>
      <c r="B2257" s="1040" t="str">
        <f>CONCATENATE(LEFT(RIGHT(CONCATENATE("000",IFAData_TEA_1617!A2257),6),3),"-",(RIGHT(RIGHT(CONCATENATE("000",IFAData_TEA_1617!A2257),6),3)))</f>
        <v>245-903</v>
      </c>
      <c r="C2257" s="979" t="s">
        <v>78</v>
      </c>
      <c r="D2257" s="979">
        <v>2</v>
      </c>
      <c r="E2257" s="979">
        <v>2228</v>
      </c>
      <c r="F2257" s="979" t="s">
        <v>5668</v>
      </c>
      <c r="G2257" s="979" t="s">
        <v>5670</v>
      </c>
      <c r="H2257" s="979">
        <v>679270</v>
      </c>
      <c r="I2257" s="979">
        <v>140213</v>
      </c>
      <c r="J2257" s="979">
        <v>0.226883345523272</v>
      </c>
      <c r="K2257" s="979">
        <v>154115.05011359297</v>
      </c>
      <c r="L2257" s="979">
        <v>140213</v>
      </c>
      <c r="M2257" s="979">
        <v>599</v>
      </c>
    </row>
    <row r="2258" spans="1:13" ht="15">
      <c r="A2258" s="979" t="s">
        <v>3773</v>
      </c>
      <c r="B2258" s="1040" t="str">
        <f>CONCATENATE(LEFT(RIGHT(CONCATENATE("000",IFAData_TEA_1617!A2258),6),3),"-",(RIGHT(RIGHT(CONCATENATE("000",IFAData_TEA_1617!A2258),6),3)))</f>
        <v>245-903</v>
      </c>
      <c r="C2258" s="979" t="s">
        <v>78</v>
      </c>
      <c r="D2258" s="979">
        <v>9</v>
      </c>
      <c r="E2258" s="979">
        <v>2227</v>
      </c>
      <c r="F2258" s="979" t="s">
        <v>5674</v>
      </c>
      <c r="G2258" s="979" t="s">
        <v>5674</v>
      </c>
      <c r="H2258" s="979">
        <v>540475</v>
      </c>
      <c r="I2258" s="979">
        <v>249500</v>
      </c>
      <c r="J2258" s="979">
        <v>0.39393700165785112</v>
      </c>
      <c r="K2258" s="979">
        <v>212913.10097102707</v>
      </c>
      <c r="L2258" s="979">
        <v>212913.10097102707</v>
      </c>
      <c r="M2258" s="979">
        <v>599</v>
      </c>
    </row>
    <row r="2259" spans="1:13" ht="15">
      <c r="A2259" s="979" t="s">
        <v>3773</v>
      </c>
      <c r="B2259" s="1040" t="str">
        <f>CONCATENATE(LEFT(RIGHT(CONCATENATE("000",IFAData_TEA_1617!A2259),6),3),"-",(RIGHT(RIGHT(CONCATENATE("000",IFAData_TEA_1617!A2259),6),3)))</f>
        <v>245-903</v>
      </c>
      <c r="C2259" s="979" t="s">
        <v>78</v>
      </c>
      <c r="D2259" s="979">
        <v>9</v>
      </c>
      <c r="E2259" s="979">
        <v>2227</v>
      </c>
      <c r="F2259" s="979" t="s">
        <v>5674</v>
      </c>
      <c r="G2259" s="979" t="s">
        <v>6557</v>
      </c>
      <c r="H2259" s="979">
        <v>540475</v>
      </c>
      <c r="I2259" s="979">
        <v>383850</v>
      </c>
      <c r="J2259" s="979">
        <v>0.60606299834214894</v>
      </c>
      <c r="K2259" s="979">
        <v>327561.89902897296</v>
      </c>
      <c r="L2259" s="979">
        <v>327561.89902897296</v>
      </c>
      <c r="M2259" s="979">
        <v>599</v>
      </c>
    </row>
    <row r="2260" spans="1:13" ht="15">
      <c r="A2260" s="979" t="s">
        <v>3773</v>
      </c>
      <c r="B2260" s="1040" t="str">
        <f>CONCATENATE(LEFT(RIGHT(CONCATENATE("000",IFAData_TEA_1617!A2260),6),3),"-",(RIGHT(RIGHT(CONCATENATE("000",IFAData_TEA_1617!A2260),6),3)))</f>
        <v>245-903</v>
      </c>
      <c r="C2260" s="979" t="s">
        <v>78</v>
      </c>
      <c r="D2260" s="979">
        <v>3</v>
      </c>
      <c r="E2260" s="979">
        <v>2226</v>
      </c>
      <c r="F2260" s="979" t="s">
        <v>5671</v>
      </c>
      <c r="G2260" s="979" t="s">
        <v>5671</v>
      </c>
      <c r="H2260" s="979">
        <v>415048</v>
      </c>
      <c r="I2260" s="979">
        <v>0</v>
      </c>
      <c r="J2260" s="979">
        <v>0</v>
      </c>
      <c r="K2260" s="979">
        <v>0</v>
      </c>
      <c r="L2260" s="979">
        <v>0</v>
      </c>
      <c r="M2260" s="979">
        <v>599</v>
      </c>
    </row>
    <row r="2261" spans="1:13" ht="15">
      <c r="A2261" s="979" t="s">
        <v>3774</v>
      </c>
      <c r="B2261" s="1040" t="str">
        <f>CONCATENATE(LEFT(RIGHT(CONCATENATE("000",IFAData_TEA_1617!A2261),6),3),"-",(RIGHT(RIGHT(CONCATENATE("000",IFAData_TEA_1617!A2261),6),3)))</f>
        <v>245-904</v>
      </c>
      <c r="C2261" s="979" t="s">
        <v>534</v>
      </c>
      <c r="D2261" s="979">
        <v>6</v>
      </c>
      <c r="E2261" s="979">
        <v>2300</v>
      </c>
      <c r="F2261" s="979" t="s">
        <v>5675</v>
      </c>
      <c r="G2261" s="979" t="s">
        <v>5676</v>
      </c>
      <c r="H2261" s="979">
        <v>99319</v>
      </c>
      <c r="I2261" s="979">
        <v>87400</v>
      </c>
      <c r="J2261" s="979">
        <v>1</v>
      </c>
      <c r="K2261" s="979">
        <v>99319</v>
      </c>
      <c r="L2261" s="979">
        <v>87400</v>
      </c>
      <c r="M2261" s="979">
        <v>599</v>
      </c>
    </row>
    <row r="2262" spans="1:13" ht="15">
      <c r="A2262" s="979" t="s">
        <v>3774</v>
      </c>
      <c r="B2262" s="1040" t="str">
        <f>CONCATENATE(LEFT(RIGHT(CONCATENATE("000",IFAData_TEA_1617!A2262),6),3),"-",(RIGHT(RIGHT(CONCATENATE("000",IFAData_TEA_1617!A2262),6),3)))</f>
        <v>245-904</v>
      </c>
      <c r="C2262" s="979" t="s">
        <v>534</v>
      </c>
      <c r="D2262" s="979">
        <v>6</v>
      </c>
      <c r="E2262" s="979">
        <v>2300</v>
      </c>
      <c r="F2262" s="979" t="s">
        <v>5675</v>
      </c>
      <c r="G2262" s="979" t="s">
        <v>5675</v>
      </c>
      <c r="H2262" s="979">
        <v>99319</v>
      </c>
      <c r="I2262" s="979">
        <v>0</v>
      </c>
      <c r="J2262" s="979">
        <v>0</v>
      </c>
      <c r="K2262" s="979">
        <v>0</v>
      </c>
      <c r="L2262" s="979">
        <v>0</v>
      </c>
      <c r="M2262" s="979">
        <v>599</v>
      </c>
    </row>
    <row r="2263" spans="1:13" ht="15">
      <c r="A2263" s="979" t="s">
        <v>3774</v>
      </c>
      <c r="B2263" s="1040" t="str">
        <f>CONCATENATE(LEFT(RIGHT(CONCATENATE("000",IFAData_TEA_1617!A2263),6),3),"-",(RIGHT(RIGHT(CONCATENATE("000",IFAData_TEA_1617!A2263),6),3)))</f>
        <v>245-904</v>
      </c>
      <c r="C2263" s="979" t="s">
        <v>534</v>
      </c>
      <c r="D2263" s="979">
        <v>9</v>
      </c>
      <c r="E2263" s="979">
        <v>2301</v>
      </c>
      <c r="F2263" s="979" t="s">
        <v>5677</v>
      </c>
      <c r="G2263" s="979" t="s">
        <v>6558</v>
      </c>
      <c r="H2263" s="979">
        <v>100000</v>
      </c>
      <c r="I2263" s="979">
        <v>73445</v>
      </c>
      <c r="J2263" s="979">
        <v>0.54551193968878819</v>
      </c>
      <c r="K2263" s="979">
        <v>54551.193968878819</v>
      </c>
      <c r="L2263" s="979">
        <v>54551.193968878819</v>
      </c>
      <c r="M2263" s="979">
        <v>599</v>
      </c>
    </row>
    <row r="2264" spans="1:13" ht="15">
      <c r="A2264" s="979" t="s">
        <v>3774</v>
      </c>
      <c r="B2264" s="1040" t="str">
        <f>CONCATENATE(LEFT(RIGHT(CONCATENATE("000",IFAData_TEA_1617!A2264),6),3),"-",(RIGHT(RIGHT(CONCATENATE("000",IFAData_TEA_1617!A2264),6),3)))</f>
        <v>245-904</v>
      </c>
      <c r="C2264" s="979" t="s">
        <v>534</v>
      </c>
      <c r="D2264" s="979">
        <v>9</v>
      </c>
      <c r="E2264" s="979">
        <v>2301</v>
      </c>
      <c r="F2264" s="979" t="s">
        <v>5677</v>
      </c>
      <c r="G2264" s="979" t="s">
        <v>5677</v>
      </c>
      <c r="H2264" s="979">
        <v>100000</v>
      </c>
      <c r="I2264" s="979">
        <v>61190</v>
      </c>
      <c r="J2264" s="979">
        <v>0.45448806031121181</v>
      </c>
      <c r="K2264" s="979">
        <v>45448.806031121181</v>
      </c>
      <c r="L2264" s="979">
        <v>45448.806031121181</v>
      </c>
      <c r="M2264" s="979">
        <v>599</v>
      </c>
    </row>
    <row r="2265" spans="1:13" ht="15">
      <c r="A2265" s="979" t="s">
        <v>3775</v>
      </c>
      <c r="B2265" s="1040" t="str">
        <f>CONCATENATE(LEFT(RIGHT(CONCATENATE("000",IFAData_TEA_1617!A2265),6),3),"-",(RIGHT(RIGHT(CONCATENATE("000",IFAData_TEA_1617!A2265),6),3)))</f>
        <v>246-902</v>
      </c>
      <c r="C2265" s="979" t="s">
        <v>109</v>
      </c>
      <c r="D2265" s="979">
        <v>2</v>
      </c>
      <c r="E2265" s="979">
        <v>1813</v>
      </c>
      <c r="F2265" s="979" t="s">
        <v>5678</v>
      </c>
      <c r="G2265" s="979" t="s">
        <v>5679</v>
      </c>
      <c r="H2265" s="979">
        <v>231000</v>
      </c>
      <c r="I2265" s="979">
        <v>470400</v>
      </c>
      <c r="J2265" s="979">
        <v>1</v>
      </c>
      <c r="K2265" s="979">
        <v>231000</v>
      </c>
      <c r="L2265" s="979">
        <v>231000</v>
      </c>
      <c r="M2265" s="979">
        <v>599</v>
      </c>
    </row>
    <row r="2266" spans="1:13" ht="15">
      <c r="A2266" s="979" t="s">
        <v>3775</v>
      </c>
      <c r="B2266" s="1040" t="str">
        <f>CONCATENATE(LEFT(RIGHT(CONCATENATE("000",IFAData_TEA_1617!A2266),6),3),"-",(RIGHT(RIGHT(CONCATENATE("000",IFAData_TEA_1617!A2266),6),3)))</f>
        <v>246-902</v>
      </c>
      <c r="C2266" s="979" t="s">
        <v>109</v>
      </c>
      <c r="D2266" s="979">
        <v>2</v>
      </c>
      <c r="E2266" s="979">
        <v>1813</v>
      </c>
      <c r="F2266" s="979" t="s">
        <v>5678</v>
      </c>
      <c r="G2266" s="979" t="s">
        <v>5678</v>
      </c>
      <c r="H2266" s="979">
        <v>231000</v>
      </c>
      <c r="I2266" s="979">
        <v>0</v>
      </c>
      <c r="J2266" s="979">
        <v>0</v>
      </c>
      <c r="K2266" s="979">
        <v>0</v>
      </c>
      <c r="L2266" s="979">
        <v>0</v>
      </c>
      <c r="M2266" s="979">
        <v>599</v>
      </c>
    </row>
    <row r="2267" spans="1:13" ht="15">
      <c r="A2267" s="979" t="s">
        <v>3777</v>
      </c>
      <c r="B2267" s="1040" t="str">
        <f>CONCATENATE(LEFT(RIGHT(CONCATENATE("000",IFAData_TEA_1617!A2267),6),3),"-",(RIGHT(RIGHT(CONCATENATE("000",IFAData_TEA_1617!A2267),6),3)))</f>
        <v>246-905</v>
      </c>
      <c r="C2267" s="979" t="s">
        <v>1018</v>
      </c>
      <c r="D2267" s="979">
        <v>2</v>
      </c>
      <c r="E2267" s="979">
        <v>1859</v>
      </c>
      <c r="F2267" s="979" t="s">
        <v>5680</v>
      </c>
      <c r="G2267" s="979" t="s">
        <v>5680</v>
      </c>
      <c r="H2267" s="979">
        <v>99992</v>
      </c>
      <c r="I2267" s="979">
        <v>0</v>
      </c>
      <c r="J2267" s="979">
        <v>0</v>
      </c>
      <c r="K2267" s="979">
        <v>0</v>
      </c>
      <c r="L2267" s="979">
        <v>0</v>
      </c>
      <c r="M2267" s="979">
        <v>599</v>
      </c>
    </row>
    <row r="2268" spans="1:13" ht="15">
      <c r="A2268" s="979" t="s">
        <v>3777</v>
      </c>
      <c r="B2268" s="1040" t="str">
        <f>CONCATENATE(LEFT(RIGHT(CONCATENATE("000",IFAData_TEA_1617!A2268),6),3),"-",(RIGHT(RIGHT(CONCATENATE("000",IFAData_TEA_1617!A2268),6),3)))</f>
        <v>246-905</v>
      </c>
      <c r="C2268" s="979" t="s">
        <v>1018</v>
      </c>
      <c r="D2268" s="979">
        <v>2</v>
      </c>
      <c r="E2268" s="979">
        <v>1859</v>
      </c>
      <c r="F2268" s="979" t="s">
        <v>5680</v>
      </c>
      <c r="G2268" s="979" t="s">
        <v>5681</v>
      </c>
      <c r="H2268" s="979">
        <v>99992</v>
      </c>
      <c r="I2268" s="979">
        <v>64067</v>
      </c>
      <c r="J2268" s="979">
        <v>1</v>
      </c>
      <c r="K2268" s="979">
        <v>99992</v>
      </c>
      <c r="L2268" s="979">
        <v>64067</v>
      </c>
      <c r="M2268" s="979">
        <v>599</v>
      </c>
    </row>
    <row r="2269" spans="1:13" ht="15">
      <c r="A2269" s="979" t="s">
        <v>3778</v>
      </c>
      <c r="B2269" s="1040" t="str">
        <f>CONCATENATE(LEFT(RIGHT(CONCATENATE("000",IFAData_TEA_1617!A2269),6),3),"-",(RIGHT(RIGHT(CONCATENATE("000",IFAData_TEA_1617!A2269),6),3)))</f>
        <v>246-906</v>
      </c>
      <c r="C2269" s="979" t="s">
        <v>1268</v>
      </c>
      <c r="D2269" s="979">
        <v>9</v>
      </c>
      <c r="E2269" s="979">
        <v>1922</v>
      </c>
      <c r="F2269" s="979" t="s">
        <v>5685</v>
      </c>
      <c r="G2269" s="979" t="s">
        <v>6357</v>
      </c>
      <c r="H2269" s="979">
        <v>1273250</v>
      </c>
      <c r="I2269" s="979">
        <v>1037041</v>
      </c>
      <c r="J2269" s="979">
        <v>0.80808725438858964</v>
      </c>
      <c r="K2269" s="979">
        <v>1028897.0966502718</v>
      </c>
      <c r="L2269" s="979">
        <v>1028897.0966502718</v>
      </c>
      <c r="M2269" s="979">
        <v>599</v>
      </c>
    </row>
    <row r="2270" spans="1:13" ht="15">
      <c r="A2270" s="979" t="s">
        <v>3778</v>
      </c>
      <c r="B2270" s="1040" t="str">
        <f>CONCATENATE(LEFT(RIGHT(CONCATENATE("000",IFAData_TEA_1617!A2270),6),3),"-",(RIGHT(RIGHT(CONCATENATE("000",IFAData_TEA_1617!A2270),6),3)))</f>
        <v>246-906</v>
      </c>
      <c r="C2270" s="979" t="s">
        <v>1268</v>
      </c>
      <c r="D2270" s="979">
        <v>9</v>
      </c>
      <c r="E2270" s="979">
        <v>1922</v>
      </c>
      <c r="F2270" s="979" t="s">
        <v>5685</v>
      </c>
      <c r="G2270" s="979" t="s">
        <v>5685</v>
      </c>
      <c r="H2270" s="979">
        <v>1273250</v>
      </c>
      <c r="I2270" s="979">
        <v>0</v>
      </c>
      <c r="J2270" s="979">
        <v>0</v>
      </c>
      <c r="K2270" s="979">
        <v>0</v>
      </c>
      <c r="L2270" s="979">
        <v>0</v>
      </c>
      <c r="M2270" s="979">
        <v>599</v>
      </c>
    </row>
    <row r="2271" spans="1:13" ht="15">
      <c r="A2271" s="979" t="s">
        <v>3778</v>
      </c>
      <c r="B2271" s="1040" t="str">
        <f>CONCATENATE(LEFT(RIGHT(CONCATENATE("000",IFAData_TEA_1617!A2271),6),3),"-",(RIGHT(RIGHT(CONCATENATE("000",IFAData_TEA_1617!A2271),6),3)))</f>
        <v>246-906</v>
      </c>
      <c r="C2271" s="979" t="s">
        <v>1268</v>
      </c>
      <c r="D2271" s="979">
        <v>3</v>
      </c>
      <c r="E2271" s="979">
        <v>1921</v>
      </c>
      <c r="F2271" s="979" t="s">
        <v>5682</v>
      </c>
      <c r="G2271" s="979" t="s">
        <v>5684</v>
      </c>
      <c r="H2271" s="979">
        <v>502075</v>
      </c>
      <c r="I2271" s="979">
        <v>49432</v>
      </c>
      <c r="J2271" s="979">
        <v>4.8054750840899808E-2</v>
      </c>
      <c r="K2271" s="979">
        <v>24127.089028444771</v>
      </c>
      <c r="L2271" s="979">
        <v>24127.089028444771</v>
      </c>
      <c r="M2271" s="979">
        <v>599</v>
      </c>
    </row>
    <row r="2272" spans="1:13" ht="15">
      <c r="A2272" s="979" t="s">
        <v>3778</v>
      </c>
      <c r="B2272" s="1040" t="str">
        <f>CONCATENATE(LEFT(RIGHT(CONCATENATE("000",IFAData_TEA_1617!A2272),6),3),"-",(RIGHT(RIGHT(CONCATENATE("000",IFAData_TEA_1617!A2272),6),3)))</f>
        <v>246-906</v>
      </c>
      <c r="C2272" s="979" t="s">
        <v>1268</v>
      </c>
      <c r="D2272" s="979">
        <v>9</v>
      </c>
      <c r="E2272" s="979">
        <v>1922</v>
      </c>
      <c r="F2272" s="979" t="s">
        <v>5685</v>
      </c>
      <c r="G2272" s="979" t="s">
        <v>5686</v>
      </c>
      <c r="H2272" s="979">
        <v>1273250</v>
      </c>
      <c r="I2272" s="979">
        <v>25335</v>
      </c>
      <c r="J2272" s="979">
        <v>1.9741640484739677E-2</v>
      </c>
      <c r="K2272" s="979">
        <v>25136.043747194792</v>
      </c>
      <c r="L2272" s="979">
        <v>25136.043747194792</v>
      </c>
      <c r="M2272" s="979">
        <v>599</v>
      </c>
    </row>
    <row r="2273" spans="1:13" ht="15">
      <c r="A2273" s="979" t="s">
        <v>3778</v>
      </c>
      <c r="B2273" s="1040" t="str">
        <f>CONCATENATE(LEFT(RIGHT(CONCATENATE("000",IFAData_TEA_1617!A2273),6),3),"-",(RIGHT(RIGHT(CONCATENATE("000",IFAData_TEA_1617!A2273),6),3)))</f>
        <v>246-906</v>
      </c>
      <c r="C2273" s="979" t="s">
        <v>1268</v>
      </c>
      <c r="D2273" s="979">
        <v>3</v>
      </c>
      <c r="E2273" s="979">
        <v>1921</v>
      </c>
      <c r="F2273" s="979" t="s">
        <v>5682</v>
      </c>
      <c r="G2273" s="979" t="s">
        <v>5683</v>
      </c>
      <c r="H2273" s="979">
        <v>502075</v>
      </c>
      <c r="I2273" s="979">
        <v>0</v>
      </c>
      <c r="J2273" s="979">
        <v>0</v>
      </c>
      <c r="K2273" s="979">
        <v>0</v>
      </c>
      <c r="L2273" s="979">
        <v>0</v>
      </c>
      <c r="M2273" s="979">
        <v>599</v>
      </c>
    </row>
    <row r="2274" spans="1:13" ht="15">
      <c r="A2274" s="979" t="s">
        <v>3778</v>
      </c>
      <c r="B2274" s="1040" t="str">
        <f>CONCATENATE(LEFT(RIGHT(CONCATENATE("000",IFAData_TEA_1617!A2274),6),3),"-",(RIGHT(RIGHT(CONCATENATE("000",IFAData_TEA_1617!A2274),6),3)))</f>
        <v>246-906</v>
      </c>
      <c r="C2274" s="979" t="s">
        <v>1268</v>
      </c>
      <c r="D2274" s="979">
        <v>3</v>
      </c>
      <c r="E2274" s="979">
        <v>1921</v>
      </c>
      <c r="F2274" s="979" t="s">
        <v>5682</v>
      </c>
      <c r="G2274" s="979" t="s">
        <v>5682</v>
      </c>
      <c r="H2274" s="979">
        <v>502075</v>
      </c>
      <c r="I2274" s="979">
        <v>979228</v>
      </c>
      <c r="J2274" s="979">
        <v>0.95194524915910017</v>
      </c>
      <c r="K2274" s="979">
        <v>477947.91097155522</v>
      </c>
      <c r="L2274" s="979">
        <v>477947.91097155522</v>
      </c>
      <c r="M2274" s="979">
        <v>599</v>
      </c>
    </row>
    <row r="2275" spans="1:13" ht="15">
      <c r="A2275" s="979" t="s">
        <v>3778</v>
      </c>
      <c r="B2275" s="1040" t="str">
        <f>CONCATENATE(LEFT(RIGHT(CONCATENATE("000",IFAData_TEA_1617!A2275),6),3),"-",(RIGHT(RIGHT(CONCATENATE("000",IFAData_TEA_1617!A2275),6),3)))</f>
        <v>246-906</v>
      </c>
      <c r="C2275" s="979" t="s">
        <v>1268</v>
      </c>
      <c r="D2275" s="979">
        <v>9</v>
      </c>
      <c r="E2275" s="979">
        <v>1922</v>
      </c>
      <c r="F2275" s="979" t="s">
        <v>5685</v>
      </c>
      <c r="G2275" s="979" t="s">
        <v>6559</v>
      </c>
      <c r="H2275" s="979">
        <v>1273250</v>
      </c>
      <c r="I2275" s="979">
        <v>220952</v>
      </c>
      <c r="J2275" s="979">
        <v>0.17217110512667066</v>
      </c>
      <c r="K2275" s="979">
        <v>219216.85960253343</v>
      </c>
      <c r="L2275" s="979">
        <v>219216.85960253343</v>
      </c>
      <c r="M2275" s="979">
        <v>599</v>
      </c>
    </row>
    <row r="2276" spans="1:13" ht="15">
      <c r="A2276" s="979" t="s">
        <v>3779</v>
      </c>
      <c r="B2276" s="1040" t="str">
        <f>CONCATENATE(LEFT(RIGHT(CONCATENATE("000",IFAData_TEA_1617!A2276),6),3),"-",(RIGHT(RIGHT(CONCATENATE("000",IFAData_TEA_1617!A2276),6),3)))</f>
        <v>246-908</v>
      </c>
      <c r="C2276" s="979" t="s">
        <v>2467</v>
      </c>
      <c r="D2276" s="979">
        <v>1</v>
      </c>
      <c r="E2276" s="979">
        <v>2020</v>
      </c>
      <c r="F2276" s="979" t="s">
        <v>5687</v>
      </c>
      <c r="G2276" s="979" t="s">
        <v>6358</v>
      </c>
      <c r="H2276" s="979">
        <v>293067</v>
      </c>
      <c r="I2276" s="979">
        <v>499</v>
      </c>
      <c r="J2276" s="979">
        <v>6.4285152963880509E-4</v>
      </c>
      <c r="K2276" s="979">
        <v>188.3985692366557</v>
      </c>
      <c r="L2276" s="979">
        <v>188.3985692366557</v>
      </c>
      <c r="M2276" s="979">
        <v>599</v>
      </c>
    </row>
    <row r="2277" spans="1:13" ht="15">
      <c r="A2277" s="979" t="s">
        <v>3779</v>
      </c>
      <c r="B2277" s="1040" t="str">
        <f>CONCATENATE(LEFT(RIGHT(CONCATENATE("000",IFAData_TEA_1617!A2277),6),3),"-",(RIGHT(RIGHT(CONCATENATE("000",IFAData_TEA_1617!A2277),6),3)))</f>
        <v>246-908</v>
      </c>
      <c r="C2277" s="979" t="s">
        <v>2467</v>
      </c>
      <c r="D2277" s="979">
        <v>1</v>
      </c>
      <c r="E2277" s="979">
        <v>2020</v>
      </c>
      <c r="F2277" s="979" t="s">
        <v>5687</v>
      </c>
      <c r="G2277" s="979" t="s">
        <v>5687</v>
      </c>
      <c r="H2277" s="979">
        <v>293067</v>
      </c>
      <c r="I2277" s="979">
        <v>0</v>
      </c>
      <c r="J2277" s="979">
        <v>0</v>
      </c>
      <c r="K2277" s="979">
        <v>0</v>
      </c>
      <c r="L2277" s="979">
        <v>0</v>
      </c>
      <c r="M2277" s="979">
        <v>599</v>
      </c>
    </row>
    <row r="2278" spans="1:13" ht="15">
      <c r="A2278" s="979" t="s">
        <v>3779</v>
      </c>
      <c r="B2278" s="1040" t="str">
        <f>CONCATENATE(LEFT(RIGHT(CONCATENATE("000",IFAData_TEA_1617!A2278),6),3),"-",(RIGHT(RIGHT(CONCATENATE("000",IFAData_TEA_1617!A2278),6),3)))</f>
        <v>246-908</v>
      </c>
      <c r="C2278" s="979" t="s">
        <v>2467</v>
      </c>
      <c r="D2278" s="979">
        <v>1</v>
      </c>
      <c r="E2278" s="979">
        <v>2020</v>
      </c>
      <c r="F2278" s="979" t="s">
        <v>5687</v>
      </c>
      <c r="G2278" s="979" t="s">
        <v>5690</v>
      </c>
      <c r="H2278" s="979">
        <v>293067</v>
      </c>
      <c r="I2278" s="979">
        <v>666686</v>
      </c>
      <c r="J2278" s="979">
        <v>0.85887798574905083</v>
      </c>
      <c r="K2278" s="979">
        <v>251708.79464951708</v>
      </c>
      <c r="L2278" s="979">
        <v>251708.79464951708</v>
      </c>
      <c r="M2278" s="979">
        <v>599</v>
      </c>
    </row>
    <row r="2279" spans="1:13" ht="15">
      <c r="A2279" s="979" t="s">
        <v>3779</v>
      </c>
      <c r="B2279" s="1040" t="str">
        <f>CONCATENATE(LEFT(RIGHT(CONCATENATE("000",IFAData_TEA_1617!A2279),6),3),"-",(RIGHT(RIGHT(CONCATENATE("000",IFAData_TEA_1617!A2279),6),3)))</f>
        <v>246-908</v>
      </c>
      <c r="C2279" s="979" t="s">
        <v>2467</v>
      </c>
      <c r="D2279" s="979">
        <v>1</v>
      </c>
      <c r="E2279" s="979">
        <v>2020</v>
      </c>
      <c r="F2279" s="979" t="s">
        <v>5687</v>
      </c>
      <c r="G2279" s="979" t="s">
        <v>5688</v>
      </c>
      <c r="H2279" s="979">
        <v>293067</v>
      </c>
      <c r="I2279" s="979">
        <v>0</v>
      </c>
      <c r="J2279" s="979">
        <v>0</v>
      </c>
      <c r="K2279" s="979">
        <v>0</v>
      </c>
      <c r="L2279" s="979">
        <v>0</v>
      </c>
      <c r="M2279" s="979">
        <v>599</v>
      </c>
    </row>
    <row r="2280" spans="1:13" ht="15">
      <c r="A2280" s="979" t="s">
        <v>3779</v>
      </c>
      <c r="B2280" s="1040" t="str">
        <f>CONCATENATE(LEFT(RIGHT(CONCATENATE("000",IFAData_TEA_1617!A2280),6),3),"-",(RIGHT(RIGHT(CONCATENATE("000",IFAData_TEA_1617!A2280),6),3)))</f>
        <v>246-908</v>
      </c>
      <c r="C2280" s="979" t="s">
        <v>2467</v>
      </c>
      <c r="D2280" s="979">
        <v>1</v>
      </c>
      <c r="E2280" s="979">
        <v>2020</v>
      </c>
      <c r="F2280" s="979" t="s">
        <v>5687</v>
      </c>
      <c r="G2280" s="979" t="s">
        <v>5689</v>
      </c>
      <c r="H2280" s="979">
        <v>293067</v>
      </c>
      <c r="I2280" s="979">
        <v>109044</v>
      </c>
      <c r="J2280" s="979">
        <v>0.14047916272131034</v>
      </c>
      <c r="K2280" s="979">
        <v>41169.806781246254</v>
      </c>
      <c r="L2280" s="979">
        <v>41169.806781246254</v>
      </c>
      <c r="M2280" s="979">
        <v>599</v>
      </c>
    </row>
    <row r="2281" spans="1:13" ht="15">
      <c r="A2281" s="979" t="s">
        <v>5691</v>
      </c>
      <c r="B2281" s="1040" t="str">
        <f>CONCATENATE(LEFT(RIGHT(CONCATENATE("000",IFAData_TEA_1617!A2281),6),3),"-",(RIGHT(RIGHT(CONCATENATE("000",IFAData_TEA_1617!A2281),6),3)))</f>
        <v>246-909</v>
      </c>
      <c r="C2281" s="979" t="s">
        <v>611</v>
      </c>
      <c r="D2281" s="979">
        <v>2</v>
      </c>
      <c r="E2281" s="979">
        <v>2266</v>
      </c>
      <c r="F2281" s="979" t="s">
        <v>5692</v>
      </c>
      <c r="G2281" s="979" t="s">
        <v>5692</v>
      </c>
      <c r="H2281" s="979">
        <v>4872062</v>
      </c>
      <c r="I2281" s="979">
        <v>0</v>
      </c>
      <c r="J2281" s="979">
        <v>0</v>
      </c>
      <c r="K2281" s="979"/>
      <c r="L2281" s="979">
        <v>0</v>
      </c>
      <c r="M2281" s="979">
        <v>599</v>
      </c>
    </row>
    <row r="2282" spans="1:13" ht="15">
      <c r="A2282" s="979" t="s">
        <v>3780</v>
      </c>
      <c r="B2282" s="1040" t="str">
        <f>CONCATENATE(LEFT(RIGHT(CONCATENATE("000",IFAData_TEA_1617!A2282),6),3),"-",(RIGHT(RIGHT(CONCATENATE("000",IFAData_TEA_1617!A2282),6),3)))</f>
        <v>246-911</v>
      </c>
      <c r="C2282" s="979" t="s">
        <v>602</v>
      </c>
      <c r="D2282" s="979">
        <v>5</v>
      </c>
      <c r="E2282" s="979">
        <v>2390</v>
      </c>
      <c r="F2282" s="979" t="s">
        <v>5693</v>
      </c>
      <c r="G2282" s="979" t="s">
        <v>5696</v>
      </c>
      <c r="H2282" s="979">
        <v>472480</v>
      </c>
      <c r="I2282" s="979">
        <v>538650</v>
      </c>
      <c r="J2282" s="979">
        <v>1</v>
      </c>
      <c r="K2282" s="979">
        <v>472480</v>
      </c>
      <c r="L2282" s="979">
        <v>472480</v>
      </c>
      <c r="M2282" s="979">
        <v>599</v>
      </c>
    </row>
    <row r="2283" spans="1:13" ht="15">
      <c r="A2283" s="979" t="s">
        <v>3780</v>
      </c>
      <c r="B2283" s="1040" t="str">
        <f>CONCATENATE(LEFT(RIGHT(CONCATENATE("000",IFAData_TEA_1617!A2283),6),3),"-",(RIGHT(RIGHT(CONCATENATE("000",IFAData_TEA_1617!A2283),6),3)))</f>
        <v>246-911</v>
      </c>
      <c r="C2283" s="979" t="s">
        <v>602</v>
      </c>
      <c r="D2283" s="979">
        <v>5</v>
      </c>
      <c r="E2283" s="979">
        <v>2390</v>
      </c>
      <c r="F2283" s="979" t="s">
        <v>5693</v>
      </c>
      <c r="G2283" s="979" t="s">
        <v>5694</v>
      </c>
      <c r="H2283" s="979">
        <v>472480</v>
      </c>
      <c r="I2283" s="979">
        <v>0</v>
      </c>
      <c r="J2283" s="979">
        <v>0</v>
      </c>
      <c r="K2283" s="979">
        <v>0</v>
      </c>
      <c r="L2283" s="979">
        <v>0</v>
      </c>
      <c r="M2283" s="979">
        <v>599</v>
      </c>
    </row>
    <row r="2284" spans="1:13" ht="15">
      <c r="A2284" s="979" t="s">
        <v>3780</v>
      </c>
      <c r="B2284" s="1040" t="str">
        <f>CONCATENATE(LEFT(RIGHT(CONCATENATE("000",IFAData_TEA_1617!A2284),6),3),"-",(RIGHT(RIGHT(CONCATENATE("000",IFAData_TEA_1617!A2284),6),3)))</f>
        <v>246-911</v>
      </c>
      <c r="C2284" s="979" t="s">
        <v>602</v>
      </c>
      <c r="D2284" s="979">
        <v>5</v>
      </c>
      <c r="E2284" s="979">
        <v>2390</v>
      </c>
      <c r="F2284" s="979" t="s">
        <v>5693</v>
      </c>
      <c r="G2284" s="979" t="s">
        <v>5695</v>
      </c>
      <c r="H2284" s="979">
        <v>472480</v>
      </c>
      <c r="I2284" s="979">
        <v>0</v>
      </c>
      <c r="J2284" s="979">
        <v>0</v>
      </c>
      <c r="K2284" s="979">
        <v>0</v>
      </c>
      <c r="L2284" s="979">
        <v>0</v>
      </c>
      <c r="M2284" s="979">
        <v>599</v>
      </c>
    </row>
    <row r="2285" spans="1:13" ht="15">
      <c r="A2285" s="979" t="s">
        <v>3780</v>
      </c>
      <c r="B2285" s="1040" t="str">
        <f>CONCATENATE(LEFT(RIGHT(CONCATENATE("000",IFAData_TEA_1617!A2285),6),3),"-",(RIGHT(RIGHT(CONCATENATE("000",IFAData_TEA_1617!A2285),6),3)))</f>
        <v>246-911</v>
      </c>
      <c r="C2285" s="979" t="s">
        <v>602</v>
      </c>
      <c r="D2285" s="979">
        <v>5</v>
      </c>
      <c r="E2285" s="979">
        <v>2390</v>
      </c>
      <c r="F2285" s="979" t="s">
        <v>5693</v>
      </c>
      <c r="G2285" s="979" t="s">
        <v>5693</v>
      </c>
      <c r="H2285" s="979">
        <v>472480</v>
      </c>
      <c r="I2285" s="979">
        <v>0</v>
      </c>
      <c r="J2285" s="979">
        <v>0</v>
      </c>
      <c r="K2285" s="979">
        <v>0</v>
      </c>
      <c r="L2285" s="979">
        <v>0</v>
      </c>
      <c r="M2285" s="979">
        <v>599</v>
      </c>
    </row>
    <row r="2286" spans="1:13" ht="15">
      <c r="A2286" s="979" t="s">
        <v>3781</v>
      </c>
      <c r="B2286" s="1040" t="str">
        <f>CONCATENATE(LEFT(RIGHT(CONCATENATE("000",IFAData_TEA_1617!A2286),6),3),"-",(RIGHT(RIGHT(CONCATENATE("000",IFAData_TEA_1617!A2286),6),3)))</f>
        <v>246-912</v>
      </c>
      <c r="C2286" s="979" t="s">
        <v>604</v>
      </c>
      <c r="D2286" s="979">
        <v>1</v>
      </c>
      <c r="E2286" s="979">
        <v>2393</v>
      </c>
      <c r="F2286" s="979" t="s">
        <v>5697</v>
      </c>
      <c r="G2286" s="979" t="s">
        <v>6359</v>
      </c>
      <c r="H2286" s="979">
        <v>114342</v>
      </c>
      <c r="I2286" s="979">
        <v>139687</v>
      </c>
      <c r="J2286" s="979">
        <v>1</v>
      </c>
      <c r="K2286" s="979">
        <v>114342</v>
      </c>
      <c r="L2286" s="979">
        <v>114342</v>
      </c>
      <c r="M2286" s="979">
        <v>599</v>
      </c>
    </row>
    <row r="2287" spans="1:13" ht="15">
      <c r="A2287" s="979" t="s">
        <v>3781</v>
      </c>
      <c r="B2287" s="1040" t="str">
        <f>CONCATENATE(LEFT(RIGHT(CONCATENATE("000",IFAData_TEA_1617!A2287),6),3),"-",(RIGHT(RIGHT(CONCATENATE("000",IFAData_TEA_1617!A2287),6),3)))</f>
        <v>246-912</v>
      </c>
      <c r="C2287" s="979" t="s">
        <v>604</v>
      </c>
      <c r="D2287" s="979">
        <v>1</v>
      </c>
      <c r="E2287" s="979">
        <v>2393</v>
      </c>
      <c r="F2287" s="979" t="s">
        <v>5697</v>
      </c>
      <c r="G2287" s="979" t="s">
        <v>5698</v>
      </c>
      <c r="H2287" s="979">
        <v>114342</v>
      </c>
      <c r="I2287" s="979">
        <v>0</v>
      </c>
      <c r="J2287" s="979">
        <v>0</v>
      </c>
      <c r="K2287" s="979">
        <v>0</v>
      </c>
      <c r="L2287" s="979">
        <v>0</v>
      </c>
      <c r="M2287" s="979">
        <v>599</v>
      </c>
    </row>
    <row r="2288" spans="1:13" ht="15">
      <c r="A2288" s="979" t="s">
        <v>3781</v>
      </c>
      <c r="B2288" s="1040" t="str">
        <f>CONCATENATE(LEFT(RIGHT(CONCATENATE("000",IFAData_TEA_1617!A2288),6),3),"-",(RIGHT(RIGHT(CONCATENATE("000",IFAData_TEA_1617!A2288),6),3)))</f>
        <v>246-912</v>
      </c>
      <c r="C2288" s="979" t="s">
        <v>604</v>
      </c>
      <c r="D2288" s="979">
        <v>1</v>
      </c>
      <c r="E2288" s="979">
        <v>2393</v>
      </c>
      <c r="F2288" s="979" t="s">
        <v>5697</v>
      </c>
      <c r="G2288" s="979" t="s">
        <v>5697</v>
      </c>
      <c r="H2288" s="979">
        <v>114342</v>
      </c>
      <c r="I2288" s="979">
        <v>0</v>
      </c>
      <c r="J2288" s="979">
        <v>0</v>
      </c>
      <c r="K2288" s="979">
        <v>0</v>
      </c>
      <c r="L2288" s="979">
        <v>0</v>
      </c>
      <c r="M2288" s="979">
        <v>599</v>
      </c>
    </row>
    <row r="2289" spans="1:13" ht="15">
      <c r="A2289" s="979" t="s">
        <v>3782</v>
      </c>
      <c r="B2289" s="1040" t="str">
        <f>CONCATENATE(LEFT(RIGHT(CONCATENATE("000",IFAData_TEA_1617!A2289),6),3),"-",(RIGHT(RIGHT(CONCATENATE("000",IFAData_TEA_1617!A2289),6),3)))</f>
        <v>246-913</v>
      </c>
      <c r="C2289" s="979" t="s">
        <v>2465</v>
      </c>
      <c r="D2289" s="979">
        <v>1</v>
      </c>
      <c r="E2289" s="979">
        <v>2017</v>
      </c>
      <c r="F2289" s="979" t="s">
        <v>5699</v>
      </c>
      <c r="G2289" s="979" t="s">
        <v>6360</v>
      </c>
      <c r="H2289" s="979">
        <v>379027</v>
      </c>
      <c r="I2289" s="979">
        <v>37529</v>
      </c>
      <c r="J2289" s="979">
        <v>0.22925893571659836</v>
      </c>
      <c r="K2289" s="979">
        <v>86895.326627855131</v>
      </c>
      <c r="L2289" s="979">
        <v>37529</v>
      </c>
      <c r="M2289" s="979">
        <v>599</v>
      </c>
    </row>
    <row r="2290" spans="1:13" ht="15">
      <c r="A2290" s="979" t="s">
        <v>3782</v>
      </c>
      <c r="B2290" s="1040" t="str">
        <f>CONCATENATE(LEFT(RIGHT(CONCATENATE("000",IFAData_TEA_1617!A2290),6),3),"-",(RIGHT(RIGHT(CONCATENATE("000",IFAData_TEA_1617!A2290),6),3)))</f>
        <v>246-913</v>
      </c>
      <c r="C2290" s="979" t="s">
        <v>2465</v>
      </c>
      <c r="D2290" s="979">
        <v>1</v>
      </c>
      <c r="E2290" s="979">
        <v>2017</v>
      </c>
      <c r="F2290" s="979" t="s">
        <v>5699</v>
      </c>
      <c r="G2290" s="979" t="s">
        <v>5699</v>
      </c>
      <c r="H2290" s="979">
        <v>379027</v>
      </c>
      <c r="I2290" s="979">
        <v>0</v>
      </c>
      <c r="J2290" s="979">
        <v>0</v>
      </c>
      <c r="K2290" s="979">
        <v>0</v>
      </c>
      <c r="L2290" s="979">
        <v>0</v>
      </c>
      <c r="M2290" s="979">
        <v>599</v>
      </c>
    </row>
    <row r="2291" spans="1:13" ht="15">
      <c r="A2291" s="979" t="s">
        <v>3782</v>
      </c>
      <c r="B2291" s="1040" t="str">
        <f>CONCATENATE(LEFT(RIGHT(CONCATENATE("000",IFAData_TEA_1617!A2291),6),3),"-",(RIGHT(RIGHT(CONCATENATE("000",IFAData_TEA_1617!A2291),6),3)))</f>
        <v>246-913</v>
      </c>
      <c r="C2291" s="979" t="s">
        <v>2465</v>
      </c>
      <c r="D2291" s="979">
        <v>1</v>
      </c>
      <c r="E2291" s="979">
        <v>2017</v>
      </c>
      <c r="F2291" s="979" t="s">
        <v>5699</v>
      </c>
      <c r="G2291" s="979" t="s">
        <v>5701</v>
      </c>
      <c r="H2291" s="979">
        <v>379027</v>
      </c>
      <c r="I2291" s="979">
        <v>2481</v>
      </c>
      <c r="J2291" s="979">
        <v>1.5156050507950665E-2</v>
      </c>
      <c r="K2291" s="979">
        <v>5744.5523558770165</v>
      </c>
      <c r="L2291" s="979">
        <v>2481</v>
      </c>
      <c r="M2291" s="979">
        <v>599</v>
      </c>
    </row>
    <row r="2292" spans="1:13" ht="15">
      <c r="A2292" s="979" t="s">
        <v>3782</v>
      </c>
      <c r="B2292" s="1040" t="str">
        <f>CONCATENATE(LEFT(RIGHT(CONCATENATE("000",IFAData_TEA_1617!A2292),6),3),"-",(RIGHT(RIGHT(CONCATENATE("000",IFAData_TEA_1617!A2292),6),3)))</f>
        <v>246-913</v>
      </c>
      <c r="C2292" s="979" t="s">
        <v>2465</v>
      </c>
      <c r="D2292" s="979">
        <v>1</v>
      </c>
      <c r="E2292" s="979">
        <v>2017</v>
      </c>
      <c r="F2292" s="979" t="s">
        <v>5699</v>
      </c>
      <c r="G2292" s="979" t="s">
        <v>6361</v>
      </c>
      <c r="H2292" s="979">
        <v>379027</v>
      </c>
      <c r="I2292" s="979">
        <v>69160</v>
      </c>
      <c r="J2292" s="979">
        <v>0.42248788920994274</v>
      </c>
      <c r="K2292" s="979">
        <v>160134.31718357696</v>
      </c>
      <c r="L2292" s="979">
        <v>69160</v>
      </c>
      <c r="M2292" s="979">
        <v>599</v>
      </c>
    </row>
    <row r="2293" spans="1:13" ht="15">
      <c r="A2293" s="979" t="s">
        <v>3782</v>
      </c>
      <c r="B2293" s="1040" t="str">
        <f>CONCATENATE(LEFT(RIGHT(CONCATENATE("000",IFAData_TEA_1617!A2293),6),3),"-",(RIGHT(RIGHT(CONCATENATE("000",IFAData_TEA_1617!A2293),6),3)))</f>
        <v>246-913</v>
      </c>
      <c r="C2293" s="979" t="s">
        <v>2465</v>
      </c>
      <c r="D2293" s="979">
        <v>1</v>
      </c>
      <c r="E2293" s="979">
        <v>2017</v>
      </c>
      <c r="F2293" s="979" t="s">
        <v>5699</v>
      </c>
      <c r="G2293" s="979" t="s">
        <v>5700</v>
      </c>
      <c r="H2293" s="979">
        <v>379027</v>
      </c>
      <c r="I2293" s="979">
        <v>54527</v>
      </c>
      <c r="J2293" s="979">
        <v>0.33309712456550822</v>
      </c>
      <c r="K2293" s="979">
        <v>126252.80383269089</v>
      </c>
      <c r="L2293" s="979">
        <v>54527</v>
      </c>
      <c r="M2293" s="979">
        <v>599</v>
      </c>
    </row>
    <row r="2294" spans="1:13" ht="15">
      <c r="A2294" s="979" t="s">
        <v>3783</v>
      </c>
      <c r="B2294" s="1040" t="str">
        <f>CONCATENATE(LEFT(RIGHT(CONCATENATE("000",IFAData_TEA_1617!A2294),6),3),"-",(RIGHT(RIGHT(CONCATENATE("000",IFAData_TEA_1617!A2294),6),3)))</f>
        <v>247-901</v>
      </c>
      <c r="C2294" s="979" t="s">
        <v>110</v>
      </c>
      <c r="D2294" s="979">
        <v>5</v>
      </c>
      <c r="E2294" s="979">
        <v>1815</v>
      </c>
      <c r="F2294" s="979" t="s">
        <v>5702</v>
      </c>
      <c r="G2294" s="979" t="s">
        <v>5703</v>
      </c>
      <c r="H2294" s="979">
        <v>825000</v>
      </c>
      <c r="I2294" s="979">
        <v>0</v>
      </c>
      <c r="J2294" s="979">
        <v>0</v>
      </c>
      <c r="K2294" s="979">
        <v>0</v>
      </c>
      <c r="L2294" s="979">
        <v>0</v>
      </c>
      <c r="M2294" s="979">
        <v>599</v>
      </c>
    </row>
    <row r="2295" spans="1:13" ht="15">
      <c r="A2295" s="979" t="s">
        <v>3783</v>
      </c>
      <c r="B2295" s="1040" t="str">
        <f>CONCATENATE(LEFT(RIGHT(CONCATENATE("000",IFAData_TEA_1617!A2295),6),3),"-",(RIGHT(RIGHT(CONCATENATE("000",IFAData_TEA_1617!A2295),6),3)))</f>
        <v>247-901</v>
      </c>
      <c r="C2295" s="979" t="s">
        <v>110</v>
      </c>
      <c r="D2295" s="979">
        <v>5</v>
      </c>
      <c r="E2295" s="979">
        <v>1815</v>
      </c>
      <c r="F2295" s="979" t="s">
        <v>5702</v>
      </c>
      <c r="G2295" s="979" t="s">
        <v>5702</v>
      </c>
      <c r="H2295" s="979">
        <v>825000</v>
      </c>
      <c r="I2295" s="979">
        <v>0</v>
      </c>
      <c r="J2295" s="979">
        <v>0</v>
      </c>
      <c r="K2295" s="979">
        <v>0</v>
      </c>
      <c r="L2295" s="979">
        <v>0</v>
      </c>
      <c r="M2295" s="979">
        <v>599</v>
      </c>
    </row>
    <row r="2296" spans="1:13" ht="15">
      <c r="A2296" s="979" t="s">
        <v>3783</v>
      </c>
      <c r="B2296" s="1040" t="str">
        <f>CONCATENATE(LEFT(RIGHT(CONCATENATE("000",IFAData_TEA_1617!A2296),6),3),"-",(RIGHT(RIGHT(CONCATENATE("000",IFAData_TEA_1617!A2296),6),3)))</f>
        <v>247-901</v>
      </c>
      <c r="C2296" s="979" t="s">
        <v>110</v>
      </c>
      <c r="D2296" s="979">
        <v>9</v>
      </c>
      <c r="E2296" s="979">
        <v>1814</v>
      </c>
      <c r="F2296" s="979" t="s">
        <v>5705</v>
      </c>
      <c r="G2296" s="979" t="s">
        <v>5705</v>
      </c>
      <c r="H2296" s="979">
        <v>812750</v>
      </c>
      <c r="I2296" s="979">
        <v>891669</v>
      </c>
      <c r="J2296" s="979">
        <v>1</v>
      </c>
      <c r="K2296" s="979">
        <v>812750</v>
      </c>
      <c r="L2296" s="979">
        <v>812750</v>
      </c>
      <c r="M2296" s="979">
        <v>599</v>
      </c>
    </row>
    <row r="2297" spans="1:13" ht="15">
      <c r="A2297" s="979" t="s">
        <v>3783</v>
      </c>
      <c r="B2297" s="1040" t="str">
        <f>CONCATENATE(LEFT(RIGHT(CONCATENATE("000",IFAData_TEA_1617!A2297),6),3),"-",(RIGHT(RIGHT(CONCATENATE("000",IFAData_TEA_1617!A2297),6),3)))</f>
        <v>247-901</v>
      </c>
      <c r="C2297" s="979" t="s">
        <v>110</v>
      </c>
      <c r="D2297" s="979">
        <v>5</v>
      </c>
      <c r="E2297" s="979">
        <v>1815</v>
      </c>
      <c r="F2297" s="979" t="s">
        <v>5702</v>
      </c>
      <c r="G2297" s="979" t="s">
        <v>5704</v>
      </c>
      <c r="H2297" s="979">
        <v>825000</v>
      </c>
      <c r="I2297" s="979">
        <v>858011</v>
      </c>
      <c r="J2297" s="979">
        <v>0.68639562120407294</v>
      </c>
      <c r="K2297" s="979">
        <v>566276.38749336021</v>
      </c>
      <c r="L2297" s="979">
        <v>566276.38749336021</v>
      </c>
      <c r="M2297" s="979">
        <v>599</v>
      </c>
    </row>
    <row r="2298" spans="1:13" ht="15">
      <c r="A2298" s="979" t="s">
        <v>3783</v>
      </c>
      <c r="B2298" s="1040" t="str">
        <f>CONCATENATE(LEFT(RIGHT(CONCATENATE("000",IFAData_TEA_1617!A2298),6),3),"-",(RIGHT(RIGHT(CONCATENATE("000",IFAData_TEA_1617!A2298),6),3)))</f>
        <v>247-901</v>
      </c>
      <c r="C2298" s="979" t="s">
        <v>110</v>
      </c>
      <c r="D2298" s="979">
        <v>5</v>
      </c>
      <c r="E2298" s="979">
        <v>1815</v>
      </c>
      <c r="F2298" s="979" t="s">
        <v>5702</v>
      </c>
      <c r="G2298" s="979" t="s">
        <v>6560</v>
      </c>
      <c r="H2298" s="979">
        <v>825000</v>
      </c>
      <c r="I2298" s="979">
        <v>392013</v>
      </c>
      <c r="J2298" s="979">
        <v>0.31360437879592712</v>
      </c>
      <c r="K2298" s="979">
        <v>258723.61250663988</v>
      </c>
      <c r="L2298" s="979">
        <v>258723.61250663988</v>
      </c>
      <c r="M2298" s="979">
        <v>599</v>
      </c>
    </row>
    <row r="2299" spans="1:13" ht="15">
      <c r="A2299" s="979" t="s">
        <v>3784</v>
      </c>
      <c r="B2299" s="1040" t="str">
        <f>CONCATENATE(LEFT(RIGHT(CONCATENATE("000",IFAData_TEA_1617!A2299),6),3),"-",(RIGHT(RIGHT(CONCATENATE("000",IFAData_TEA_1617!A2299),6),3)))</f>
        <v>247-903</v>
      </c>
      <c r="C2299" s="979" t="s">
        <v>1900</v>
      </c>
      <c r="D2299" s="979">
        <v>9</v>
      </c>
      <c r="E2299" s="979">
        <v>1992</v>
      </c>
      <c r="F2299" s="979" t="s">
        <v>5708</v>
      </c>
      <c r="G2299" s="979" t="s">
        <v>6362</v>
      </c>
      <c r="H2299" s="979">
        <v>706725</v>
      </c>
      <c r="I2299" s="979">
        <v>728400</v>
      </c>
      <c r="J2299" s="979">
        <v>0.67002414625733009</v>
      </c>
      <c r="K2299" s="979">
        <v>473522.81476371159</v>
      </c>
      <c r="L2299" s="979">
        <v>473522.81476371159</v>
      </c>
      <c r="M2299" s="979">
        <v>599</v>
      </c>
    </row>
    <row r="2300" spans="1:13" ht="15">
      <c r="A2300" s="979" t="s">
        <v>3784</v>
      </c>
      <c r="B2300" s="1040" t="str">
        <f>CONCATENATE(LEFT(RIGHT(CONCATENATE("000",IFAData_TEA_1617!A2300),6),3),"-",(RIGHT(RIGHT(CONCATENATE("000",IFAData_TEA_1617!A2300),6),3)))</f>
        <v>247-903</v>
      </c>
      <c r="C2300" s="979" t="s">
        <v>1900</v>
      </c>
      <c r="D2300" s="979">
        <v>9</v>
      </c>
      <c r="E2300" s="979">
        <v>1992</v>
      </c>
      <c r="F2300" s="979" t="s">
        <v>5708</v>
      </c>
      <c r="G2300" s="979" t="s">
        <v>5709</v>
      </c>
      <c r="H2300" s="979">
        <v>706725</v>
      </c>
      <c r="I2300" s="979">
        <v>358725</v>
      </c>
      <c r="J2300" s="979">
        <v>0.32997585374266991</v>
      </c>
      <c r="K2300" s="979">
        <v>233202.18523628838</v>
      </c>
      <c r="L2300" s="979">
        <v>233202.18523628838</v>
      </c>
      <c r="M2300" s="979">
        <v>599</v>
      </c>
    </row>
    <row r="2301" spans="1:13" ht="15">
      <c r="A2301" s="979" t="s">
        <v>3784</v>
      </c>
      <c r="B2301" s="1040" t="str">
        <f>CONCATENATE(LEFT(RIGHT(CONCATENATE("000",IFAData_TEA_1617!A2301),6),3),"-",(RIGHT(RIGHT(CONCATENATE("000",IFAData_TEA_1617!A2301),6),3)))</f>
        <v>247-903</v>
      </c>
      <c r="C2301" s="979" t="s">
        <v>1900</v>
      </c>
      <c r="D2301" s="979">
        <v>2</v>
      </c>
      <c r="E2301" s="979">
        <v>1991</v>
      </c>
      <c r="F2301" s="979" t="s">
        <v>5706</v>
      </c>
      <c r="G2301" s="979" t="s">
        <v>5706</v>
      </c>
      <c r="H2301" s="979">
        <v>437879</v>
      </c>
      <c r="I2301" s="979">
        <v>0</v>
      </c>
      <c r="J2301" s="979">
        <v>0</v>
      </c>
      <c r="K2301" s="979">
        <v>0</v>
      </c>
      <c r="L2301" s="979">
        <v>0</v>
      </c>
      <c r="M2301" s="979">
        <v>599</v>
      </c>
    </row>
    <row r="2302" spans="1:13" ht="15">
      <c r="A2302" s="979" t="s">
        <v>3784</v>
      </c>
      <c r="B2302" s="1040" t="str">
        <f>CONCATENATE(LEFT(RIGHT(CONCATENATE("000",IFAData_TEA_1617!A2302),6),3),"-",(RIGHT(RIGHT(CONCATENATE("000",IFAData_TEA_1617!A2302),6),3)))</f>
        <v>247-903</v>
      </c>
      <c r="C2302" s="979" t="s">
        <v>1900</v>
      </c>
      <c r="D2302" s="979">
        <v>2</v>
      </c>
      <c r="E2302" s="979">
        <v>1991</v>
      </c>
      <c r="F2302" s="979" t="s">
        <v>5706</v>
      </c>
      <c r="G2302" s="979" t="s">
        <v>5707</v>
      </c>
      <c r="H2302" s="979">
        <v>437879</v>
      </c>
      <c r="I2302" s="979">
        <v>409400</v>
      </c>
      <c r="J2302" s="979">
        <v>1</v>
      </c>
      <c r="K2302" s="979">
        <v>437879</v>
      </c>
      <c r="L2302" s="979">
        <v>409400</v>
      </c>
      <c r="M2302" s="979">
        <v>599</v>
      </c>
    </row>
    <row r="2303" spans="1:13" ht="15">
      <c r="A2303" s="979" t="s">
        <v>3784</v>
      </c>
      <c r="B2303" s="1040" t="str">
        <f>CONCATENATE(LEFT(RIGHT(CONCATENATE("000",IFAData_TEA_1617!A2303),6),3),"-",(RIGHT(RIGHT(CONCATENATE("000",IFAData_TEA_1617!A2303),6),3)))</f>
        <v>247-903</v>
      </c>
      <c r="C2303" s="979" t="s">
        <v>1900</v>
      </c>
      <c r="D2303" s="979">
        <v>10</v>
      </c>
      <c r="E2303" s="979">
        <v>1990</v>
      </c>
      <c r="F2303" s="979" t="s">
        <v>5710</v>
      </c>
      <c r="G2303" s="979" t="s">
        <v>5710</v>
      </c>
      <c r="H2303" s="979">
        <v>294937</v>
      </c>
      <c r="I2303" s="979">
        <v>297566</v>
      </c>
      <c r="J2303" s="979">
        <v>0.62758174152741664</v>
      </c>
      <c r="K2303" s="979">
        <v>185097.07610087169</v>
      </c>
      <c r="L2303" s="979">
        <v>185097.07610087169</v>
      </c>
      <c r="M2303" s="979">
        <v>599</v>
      </c>
    </row>
    <row r="2304" spans="1:13" ht="15">
      <c r="A2304" s="979" t="s">
        <v>3784</v>
      </c>
      <c r="B2304" s="1040" t="str">
        <f>CONCATENATE(LEFT(RIGHT(CONCATENATE("000",IFAData_TEA_1617!A2304),6),3),"-",(RIGHT(RIGHT(CONCATENATE("000",IFAData_TEA_1617!A2304),6),3)))</f>
        <v>247-903</v>
      </c>
      <c r="C2304" s="979" t="s">
        <v>1900</v>
      </c>
      <c r="D2304" s="979">
        <v>10</v>
      </c>
      <c r="E2304" s="979">
        <v>1990</v>
      </c>
      <c r="F2304" s="979" t="s">
        <v>5710</v>
      </c>
      <c r="G2304" s="979" t="s">
        <v>6833</v>
      </c>
      <c r="H2304" s="979">
        <v>294937</v>
      </c>
      <c r="I2304" s="979">
        <v>176581</v>
      </c>
      <c r="J2304" s="979">
        <v>0.37241825847258342</v>
      </c>
      <c r="K2304" s="979">
        <v>109839.92389912833</v>
      </c>
      <c r="L2304" s="979">
        <v>109839.92389912833</v>
      </c>
      <c r="M2304" s="979">
        <v>599</v>
      </c>
    </row>
    <row r="2305" spans="1:13" ht="15">
      <c r="A2305" s="979" t="s">
        <v>3784</v>
      </c>
      <c r="B2305" s="1040" t="str">
        <f>CONCATENATE(LEFT(RIGHT(CONCATENATE("000",IFAData_TEA_1617!A2305),6),3),"-",(RIGHT(RIGHT(CONCATENATE("000",IFAData_TEA_1617!A2305),6),3)))</f>
        <v>247-903</v>
      </c>
      <c r="C2305" s="979" t="s">
        <v>1900</v>
      </c>
      <c r="D2305" s="979">
        <v>9</v>
      </c>
      <c r="E2305" s="979">
        <v>1992</v>
      </c>
      <c r="F2305" s="979" t="s">
        <v>5708</v>
      </c>
      <c r="G2305" s="979" t="s">
        <v>5708</v>
      </c>
      <c r="H2305" s="979">
        <v>706725</v>
      </c>
      <c r="I2305" s="979">
        <v>0</v>
      </c>
      <c r="J2305" s="979">
        <v>0</v>
      </c>
      <c r="K2305" s="979">
        <v>0</v>
      </c>
      <c r="L2305" s="979">
        <v>0</v>
      </c>
      <c r="M2305" s="979">
        <v>599</v>
      </c>
    </row>
    <row r="2306" spans="1:13" ht="15">
      <c r="A2306" s="979" t="s">
        <v>3785</v>
      </c>
      <c r="B2306" s="1040" t="str">
        <f>CONCATENATE(LEFT(RIGHT(CONCATENATE("000",IFAData_TEA_1617!A2306),6),3),"-",(RIGHT(RIGHT(CONCATENATE("000",IFAData_TEA_1617!A2306),6),3)))</f>
        <v>247-904</v>
      </c>
      <c r="C2306" s="979" t="s">
        <v>1005</v>
      </c>
      <c r="D2306" s="979">
        <v>5</v>
      </c>
      <c r="E2306" s="979">
        <v>2206</v>
      </c>
      <c r="F2306" s="979" t="s">
        <v>5711</v>
      </c>
      <c r="G2306" s="979" t="s">
        <v>5711</v>
      </c>
      <c r="H2306" s="979">
        <v>154875</v>
      </c>
      <c r="I2306" s="979">
        <v>0</v>
      </c>
      <c r="J2306" s="979">
        <v>0</v>
      </c>
      <c r="K2306" s="979">
        <v>0</v>
      </c>
      <c r="L2306" s="979">
        <v>0</v>
      </c>
      <c r="M2306" s="979">
        <v>599</v>
      </c>
    </row>
    <row r="2307" spans="1:13" ht="15">
      <c r="A2307" s="979" t="s">
        <v>3785</v>
      </c>
      <c r="B2307" s="1040" t="str">
        <f>CONCATENATE(LEFT(RIGHT(CONCATENATE("000",IFAData_TEA_1617!A2307),6),3),"-",(RIGHT(RIGHT(CONCATENATE("000",IFAData_TEA_1617!A2307),6),3)))</f>
        <v>247-904</v>
      </c>
      <c r="C2307" s="979" t="s">
        <v>1005</v>
      </c>
      <c r="D2307" s="979">
        <v>5</v>
      </c>
      <c r="E2307" s="979">
        <v>2206</v>
      </c>
      <c r="F2307" s="979" t="s">
        <v>5711</v>
      </c>
      <c r="G2307" s="979" t="s">
        <v>5712</v>
      </c>
      <c r="H2307" s="979">
        <v>154875</v>
      </c>
      <c r="I2307" s="979">
        <v>143900</v>
      </c>
      <c r="J2307" s="979">
        <v>1</v>
      </c>
      <c r="K2307" s="979">
        <v>154875</v>
      </c>
      <c r="L2307" s="979">
        <v>143900</v>
      </c>
      <c r="M2307" s="979">
        <v>599</v>
      </c>
    </row>
    <row r="2308" spans="1:13" ht="15">
      <c r="A2308" s="979" t="s">
        <v>3786</v>
      </c>
      <c r="B2308" s="1040" t="str">
        <f>CONCATENATE(LEFT(RIGHT(CONCATENATE("000",IFAData_TEA_1617!A2308),6),3),"-",(RIGHT(RIGHT(CONCATENATE("000",IFAData_TEA_1617!A2308),6),3)))</f>
        <v>247-906</v>
      </c>
      <c r="C2308" s="979" t="s">
        <v>1941</v>
      </c>
      <c r="D2308" s="979">
        <v>3</v>
      </c>
      <c r="E2308" s="979">
        <v>2385</v>
      </c>
      <c r="F2308" s="979" t="s">
        <v>5713</v>
      </c>
      <c r="G2308" s="979" t="s">
        <v>5714</v>
      </c>
      <c r="H2308" s="979">
        <v>184365</v>
      </c>
      <c r="I2308" s="979">
        <v>0</v>
      </c>
      <c r="J2308" s="979">
        <v>0</v>
      </c>
      <c r="K2308" s="979">
        <v>0</v>
      </c>
      <c r="L2308" s="979">
        <v>0</v>
      </c>
      <c r="M2308" s="979">
        <v>599</v>
      </c>
    </row>
    <row r="2309" spans="1:13" ht="15">
      <c r="A2309" s="979" t="s">
        <v>3786</v>
      </c>
      <c r="B2309" s="1040" t="str">
        <f>CONCATENATE(LEFT(RIGHT(CONCATENATE("000",IFAData_TEA_1617!A2309),6),3),"-",(RIGHT(RIGHT(CONCATENATE("000",IFAData_TEA_1617!A2309),6),3)))</f>
        <v>247-906</v>
      </c>
      <c r="C2309" s="979" t="s">
        <v>1941</v>
      </c>
      <c r="D2309" s="979">
        <v>3</v>
      </c>
      <c r="E2309" s="979">
        <v>2385</v>
      </c>
      <c r="F2309" s="979" t="s">
        <v>5713</v>
      </c>
      <c r="G2309" s="979" t="s">
        <v>5713</v>
      </c>
      <c r="H2309" s="979">
        <v>184365</v>
      </c>
      <c r="I2309" s="979">
        <v>0</v>
      </c>
      <c r="J2309" s="979">
        <v>0</v>
      </c>
      <c r="K2309" s="979">
        <v>0</v>
      </c>
      <c r="L2309" s="979">
        <v>0</v>
      </c>
      <c r="M2309" s="979">
        <v>599</v>
      </c>
    </row>
    <row r="2310" spans="1:13" ht="15">
      <c r="A2310" s="979" t="s">
        <v>3786</v>
      </c>
      <c r="B2310" s="1040" t="str">
        <f>CONCATENATE(LEFT(RIGHT(CONCATENATE("000",IFAData_TEA_1617!A2310),6),3),"-",(RIGHT(RIGHT(CONCATENATE("000",IFAData_TEA_1617!A2310),6),3)))</f>
        <v>247-906</v>
      </c>
      <c r="C2310" s="979" t="s">
        <v>1941</v>
      </c>
      <c r="D2310" s="979">
        <v>9</v>
      </c>
      <c r="E2310" s="979">
        <v>2384</v>
      </c>
      <c r="F2310" s="979" t="s">
        <v>5715</v>
      </c>
      <c r="G2310" s="979" t="s">
        <v>5715</v>
      </c>
      <c r="H2310" s="979">
        <v>179000</v>
      </c>
      <c r="I2310" s="979">
        <v>197600</v>
      </c>
      <c r="J2310" s="979">
        <v>0.58164692030318643</v>
      </c>
      <c r="K2310" s="979">
        <v>104114.79873427037</v>
      </c>
      <c r="L2310" s="979">
        <v>104114.79873427037</v>
      </c>
      <c r="M2310" s="979">
        <v>599</v>
      </c>
    </row>
    <row r="2311" spans="1:13" ht="15">
      <c r="A2311" s="979" t="s">
        <v>3786</v>
      </c>
      <c r="B2311" s="1040" t="str">
        <f>CONCATENATE(LEFT(RIGHT(CONCATENATE("000",IFAData_TEA_1617!A2311),6),3),"-",(RIGHT(RIGHT(CONCATENATE("000",IFAData_TEA_1617!A2311),6),3)))</f>
        <v>247-906</v>
      </c>
      <c r="C2311" s="979" t="s">
        <v>1941</v>
      </c>
      <c r="D2311" s="979">
        <v>3</v>
      </c>
      <c r="E2311" s="979">
        <v>2385</v>
      </c>
      <c r="F2311" s="979" t="s">
        <v>5713</v>
      </c>
      <c r="G2311" s="979" t="s">
        <v>6561</v>
      </c>
      <c r="H2311" s="979">
        <v>184365</v>
      </c>
      <c r="I2311" s="979">
        <v>165450</v>
      </c>
      <c r="J2311" s="979">
        <v>1</v>
      </c>
      <c r="K2311" s="979">
        <v>184365</v>
      </c>
      <c r="L2311" s="979">
        <v>165450</v>
      </c>
      <c r="M2311" s="979">
        <v>599</v>
      </c>
    </row>
    <row r="2312" spans="1:13" ht="15">
      <c r="A2312" s="979" t="s">
        <v>3786</v>
      </c>
      <c r="B2312" s="1040" t="str">
        <f>CONCATENATE(LEFT(RIGHT(CONCATENATE("000",IFAData_TEA_1617!A2312),6),3),"-",(RIGHT(RIGHT(CONCATENATE("000",IFAData_TEA_1617!A2312),6),3)))</f>
        <v>247-906</v>
      </c>
      <c r="C2312" s="979" t="s">
        <v>1941</v>
      </c>
      <c r="D2312" s="979">
        <v>9</v>
      </c>
      <c r="E2312" s="979">
        <v>2384</v>
      </c>
      <c r="F2312" s="979" t="s">
        <v>5715</v>
      </c>
      <c r="G2312" s="979" t="s">
        <v>6363</v>
      </c>
      <c r="H2312" s="979">
        <v>179000</v>
      </c>
      <c r="I2312" s="979">
        <v>142125</v>
      </c>
      <c r="J2312" s="979">
        <v>0.41835307969681362</v>
      </c>
      <c r="K2312" s="979">
        <v>74885.201265729644</v>
      </c>
      <c r="L2312" s="979">
        <v>74885.201265729644</v>
      </c>
      <c r="M2312" s="979">
        <v>599</v>
      </c>
    </row>
    <row r="2313" spans="1:13" ht="15">
      <c r="A2313" s="979" t="s">
        <v>3787</v>
      </c>
      <c r="B2313" s="1040" t="str">
        <f>CONCATENATE(LEFT(RIGHT(CONCATENATE("000",IFAData_TEA_1617!A2313),6),3),"-",(RIGHT(RIGHT(CONCATENATE("000",IFAData_TEA_1617!A2313),6),3)))</f>
        <v>249-901</v>
      </c>
      <c r="C2313" s="979" t="s">
        <v>1053</v>
      </c>
      <c r="D2313" s="979">
        <v>5</v>
      </c>
      <c r="E2313" s="979">
        <v>1570</v>
      </c>
      <c r="F2313" s="979" t="s">
        <v>5716</v>
      </c>
      <c r="G2313" s="979" t="s">
        <v>5717</v>
      </c>
      <c r="H2313" s="979">
        <v>283052</v>
      </c>
      <c r="I2313" s="979">
        <v>0</v>
      </c>
      <c r="J2313" s="979">
        <v>0</v>
      </c>
      <c r="K2313" s="979">
        <v>0</v>
      </c>
      <c r="L2313" s="979">
        <v>0</v>
      </c>
      <c r="M2313" s="979">
        <v>599</v>
      </c>
    </row>
    <row r="2314" spans="1:13" ht="15">
      <c r="A2314" s="979" t="s">
        <v>3787</v>
      </c>
      <c r="B2314" s="1040" t="str">
        <f>CONCATENATE(LEFT(RIGHT(CONCATENATE("000",IFAData_TEA_1617!A2314),6),3),"-",(RIGHT(RIGHT(CONCATENATE("000",IFAData_TEA_1617!A2314),6),3)))</f>
        <v>249-901</v>
      </c>
      <c r="C2314" s="979" t="s">
        <v>1053</v>
      </c>
      <c r="D2314" s="979">
        <v>5</v>
      </c>
      <c r="E2314" s="979">
        <v>1570</v>
      </c>
      <c r="F2314" s="979" t="s">
        <v>5716</v>
      </c>
      <c r="G2314" s="979" t="s">
        <v>5716</v>
      </c>
      <c r="H2314" s="979">
        <v>283052</v>
      </c>
      <c r="I2314" s="979">
        <v>0</v>
      </c>
      <c r="J2314" s="979">
        <v>0</v>
      </c>
      <c r="K2314" s="979">
        <v>0</v>
      </c>
      <c r="L2314" s="979">
        <v>0</v>
      </c>
      <c r="M2314" s="979">
        <v>599</v>
      </c>
    </row>
    <row r="2315" spans="1:13" ht="15">
      <c r="A2315" s="979" t="s">
        <v>3787</v>
      </c>
      <c r="B2315" s="1040" t="str">
        <f>CONCATENATE(LEFT(RIGHT(CONCATENATE("000",IFAData_TEA_1617!A2315),6),3),"-",(RIGHT(RIGHT(CONCATENATE("000",IFAData_TEA_1617!A2315),6),3)))</f>
        <v>249-901</v>
      </c>
      <c r="C2315" s="979" t="s">
        <v>1053</v>
      </c>
      <c r="D2315" s="979">
        <v>9</v>
      </c>
      <c r="E2315" s="979">
        <v>1569</v>
      </c>
      <c r="F2315" s="979" t="s">
        <v>5718</v>
      </c>
      <c r="G2315" s="979" t="s">
        <v>5718</v>
      </c>
      <c r="H2315" s="979">
        <v>183118</v>
      </c>
      <c r="I2315" s="979">
        <v>214366</v>
      </c>
      <c r="J2315" s="979">
        <v>0.49658428330179</v>
      </c>
      <c r="K2315" s="979">
        <v>90933.520789657181</v>
      </c>
      <c r="L2315" s="979">
        <v>90933.520789657181</v>
      </c>
      <c r="M2315" s="979">
        <v>599</v>
      </c>
    </row>
    <row r="2316" spans="1:13" ht="15">
      <c r="A2316" s="979" t="s">
        <v>3787</v>
      </c>
      <c r="B2316" s="1040" t="str">
        <f>CONCATENATE(LEFT(RIGHT(CONCATENATE("000",IFAData_TEA_1617!A2316),6),3),"-",(RIGHT(RIGHT(CONCATENATE("000",IFAData_TEA_1617!A2316),6),3)))</f>
        <v>249-901</v>
      </c>
      <c r="C2316" s="979" t="s">
        <v>1053</v>
      </c>
      <c r="D2316" s="979">
        <v>9</v>
      </c>
      <c r="E2316" s="979">
        <v>1569</v>
      </c>
      <c r="F2316" s="979" t="s">
        <v>5718</v>
      </c>
      <c r="G2316" s="979" t="s">
        <v>6364</v>
      </c>
      <c r="H2316" s="979">
        <v>183118</v>
      </c>
      <c r="I2316" s="979">
        <v>217315</v>
      </c>
      <c r="J2316" s="979">
        <v>0.50341571669821006</v>
      </c>
      <c r="K2316" s="979">
        <v>92184.479210342834</v>
      </c>
      <c r="L2316" s="979">
        <v>92184.479210342834</v>
      </c>
      <c r="M2316" s="979">
        <v>599</v>
      </c>
    </row>
    <row r="2317" spans="1:13" ht="15">
      <c r="A2317" s="979" t="s">
        <v>3787</v>
      </c>
      <c r="B2317" s="1040" t="str">
        <f>CONCATENATE(LEFT(RIGHT(CONCATENATE("000",IFAData_TEA_1617!A2317),6),3),"-",(RIGHT(RIGHT(CONCATENATE("000",IFAData_TEA_1617!A2317),6),3)))</f>
        <v>249-901</v>
      </c>
      <c r="C2317" s="979" t="s">
        <v>1053</v>
      </c>
      <c r="D2317" s="979">
        <v>5</v>
      </c>
      <c r="E2317" s="979">
        <v>1570</v>
      </c>
      <c r="F2317" s="979" t="s">
        <v>5716</v>
      </c>
      <c r="G2317" s="979" t="s">
        <v>6364</v>
      </c>
      <c r="H2317" s="979">
        <v>283052</v>
      </c>
      <c r="I2317" s="979">
        <v>232009</v>
      </c>
      <c r="J2317" s="979">
        <v>1</v>
      </c>
      <c r="K2317" s="979">
        <v>283052</v>
      </c>
      <c r="L2317" s="979">
        <v>232009</v>
      </c>
      <c r="M2317" s="979">
        <v>599</v>
      </c>
    </row>
    <row r="2318" spans="1:13" ht="15">
      <c r="A2318" s="979" t="s">
        <v>3788</v>
      </c>
      <c r="B2318" s="1040" t="str">
        <f>CONCATENATE(LEFT(RIGHT(CONCATENATE("000",IFAData_TEA_1617!A2318),6),3),"-",(RIGHT(RIGHT(CONCATENATE("000",IFAData_TEA_1617!A2318),6),3)))</f>
        <v>249-906</v>
      </c>
      <c r="C2318" s="979" t="s">
        <v>1365</v>
      </c>
      <c r="D2318" s="979">
        <v>5</v>
      </c>
      <c r="E2318" s="979">
        <v>2174</v>
      </c>
      <c r="F2318" s="979" t="s">
        <v>5721</v>
      </c>
      <c r="G2318" s="979" t="s">
        <v>5721</v>
      </c>
      <c r="H2318" s="979">
        <v>221531</v>
      </c>
      <c r="I2318" s="979">
        <v>0</v>
      </c>
      <c r="J2318" s="979">
        <v>0</v>
      </c>
      <c r="K2318" s="979">
        <v>0</v>
      </c>
      <c r="L2318" s="979">
        <v>0</v>
      </c>
      <c r="M2318" s="979">
        <v>599</v>
      </c>
    </row>
    <row r="2319" spans="1:13" ht="15">
      <c r="A2319" s="979" t="s">
        <v>3788</v>
      </c>
      <c r="B2319" s="1040" t="str">
        <f>CONCATENATE(LEFT(RIGHT(CONCATENATE("000",IFAData_TEA_1617!A2319),6),3),"-",(RIGHT(RIGHT(CONCATENATE("000",IFAData_TEA_1617!A2319),6),3)))</f>
        <v>249-906</v>
      </c>
      <c r="C2319" s="979" t="s">
        <v>1365</v>
      </c>
      <c r="D2319" s="979">
        <v>2</v>
      </c>
      <c r="E2319" s="979">
        <v>2173</v>
      </c>
      <c r="F2319" s="979" t="s">
        <v>5719</v>
      </c>
      <c r="G2319" s="979" t="s">
        <v>5720</v>
      </c>
      <c r="H2319" s="979">
        <v>191624</v>
      </c>
      <c r="I2319" s="979">
        <v>182854</v>
      </c>
      <c r="J2319" s="979">
        <v>1</v>
      </c>
      <c r="K2319" s="979">
        <v>191624</v>
      </c>
      <c r="L2319" s="979">
        <v>182854</v>
      </c>
      <c r="M2319" s="979">
        <v>599</v>
      </c>
    </row>
    <row r="2320" spans="1:13" ht="15">
      <c r="A2320" s="979" t="s">
        <v>3788</v>
      </c>
      <c r="B2320" s="1040" t="str">
        <f>CONCATENATE(LEFT(RIGHT(CONCATENATE("000",IFAData_TEA_1617!A2320),6),3),"-",(RIGHT(RIGHT(CONCATENATE("000",IFAData_TEA_1617!A2320),6),3)))</f>
        <v>249-906</v>
      </c>
      <c r="C2320" s="979" t="s">
        <v>1365</v>
      </c>
      <c r="D2320" s="979">
        <v>5</v>
      </c>
      <c r="E2320" s="979">
        <v>2174</v>
      </c>
      <c r="F2320" s="979" t="s">
        <v>5721</v>
      </c>
      <c r="G2320" s="979" t="s">
        <v>5720</v>
      </c>
      <c r="H2320" s="979">
        <v>221531</v>
      </c>
      <c r="I2320" s="979">
        <v>417064</v>
      </c>
      <c r="J2320" s="979">
        <v>1</v>
      </c>
      <c r="K2320" s="979">
        <v>221531</v>
      </c>
      <c r="L2320" s="979">
        <v>221531</v>
      </c>
      <c r="M2320" s="979">
        <v>599</v>
      </c>
    </row>
    <row r="2321" spans="1:13" ht="15">
      <c r="A2321" s="979" t="s">
        <v>3788</v>
      </c>
      <c r="B2321" s="1040" t="str">
        <f>CONCATENATE(LEFT(RIGHT(CONCATENATE("000",IFAData_TEA_1617!A2321),6),3),"-",(RIGHT(RIGHT(CONCATENATE("000",IFAData_TEA_1617!A2321),6),3)))</f>
        <v>249-906</v>
      </c>
      <c r="C2321" s="979" t="s">
        <v>1365</v>
      </c>
      <c r="D2321" s="979">
        <v>2</v>
      </c>
      <c r="E2321" s="979">
        <v>2173</v>
      </c>
      <c r="F2321" s="979" t="s">
        <v>5719</v>
      </c>
      <c r="G2321" s="979" t="s">
        <v>5719</v>
      </c>
      <c r="H2321" s="979">
        <v>191624</v>
      </c>
      <c r="I2321" s="979">
        <v>0</v>
      </c>
      <c r="J2321" s="979">
        <v>0</v>
      </c>
      <c r="K2321" s="979">
        <v>0</v>
      </c>
      <c r="L2321" s="979">
        <v>0</v>
      </c>
      <c r="M2321" s="979">
        <v>599</v>
      </c>
    </row>
    <row r="2322" spans="1:13" ht="15">
      <c r="A2322" s="979" t="s">
        <v>3789</v>
      </c>
      <c r="B2322" s="1040" t="str">
        <f>CONCATENATE(LEFT(RIGHT(CONCATENATE("000",IFAData_TEA_1617!A2322),6),3),"-",(RIGHT(RIGHT(CONCATENATE("000",IFAData_TEA_1617!A2322),6),3)))</f>
        <v>249-908</v>
      </c>
      <c r="C2322" s="979" t="s">
        <v>1927</v>
      </c>
      <c r="D2322" s="979">
        <v>1</v>
      </c>
      <c r="E2322" s="979">
        <v>2340</v>
      </c>
      <c r="F2322" s="979" t="s">
        <v>5722</v>
      </c>
      <c r="G2322" s="979" t="s">
        <v>5722</v>
      </c>
      <c r="H2322" s="979">
        <v>100000</v>
      </c>
      <c r="I2322" s="979">
        <v>0</v>
      </c>
      <c r="J2322" s="979">
        <v>0</v>
      </c>
      <c r="K2322" s="979">
        <v>0</v>
      </c>
      <c r="L2322" s="979">
        <v>0</v>
      </c>
      <c r="M2322" s="979">
        <v>599</v>
      </c>
    </row>
    <row r="2323" spans="1:13" ht="15">
      <c r="A2323" s="979" t="s">
        <v>3789</v>
      </c>
      <c r="B2323" s="1040" t="str">
        <f>CONCATENATE(LEFT(RIGHT(CONCATENATE("000",IFAData_TEA_1617!A2323),6),3),"-",(RIGHT(RIGHT(CONCATENATE("000",IFAData_TEA_1617!A2323),6),3)))</f>
        <v>249-908</v>
      </c>
      <c r="C2323" s="979" t="s">
        <v>1927</v>
      </c>
      <c r="D2323" s="979">
        <v>5</v>
      </c>
      <c r="E2323" s="979">
        <v>2341</v>
      </c>
      <c r="F2323" s="979" t="s">
        <v>5724</v>
      </c>
      <c r="G2323" s="979" t="s">
        <v>5723</v>
      </c>
      <c r="H2323" s="979">
        <v>100000</v>
      </c>
      <c r="I2323" s="979">
        <v>113247</v>
      </c>
      <c r="J2323" s="979">
        <v>1</v>
      </c>
      <c r="K2323" s="979">
        <v>100000</v>
      </c>
      <c r="L2323" s="979">
        <v>100000</v>
      </c>
      <c r="M2323" s="979">
        <v>599</v>
      </c>
    </row>
    <row r="2324" spans="1:13" ht="15">
      <c r="A2324" s="979" t="s">
        <v>3789</v>
      </c>
      <c r="B2324" s="1040" t="str">
        <f>CONCATENATE(LEFT(RIGHT(CONCATENATE("000",IFAData_TEA_1617!A2324),6),3),"-",(RIGHT(RIGHT(CONCATENATE("000",IFAData_TEA_1617!A2324),6),3)))</f>
        <v>249-908</v>
      </c>
      <c r="C2324" s="979" t="s">
        <v>1927</v>
      </c>
      <c r="D2324" s="979">
        <v>1</v>
      </c>
      <c r="E2324" s="979">
        <v>2340</v>
      </c>
      <c r="F2324" s="979" t="s">
        <v>5722</v>
      </c>
      <c r="G2324" s="979" t="s">
        <v>5723</v>
      </c>
      <c r="H2324" s="979">
        <v>100000</v>
      </c>
      <c r="I2324" s="979">
        <v>74593</v>
      </c>
      <c r="J2324" s="979">
        <v>1</v>
      </c>
      <c r="K2324" s="979">
        <v>100000</v>
      </c>
      <c r="L2324" s="979">
        <v>74593</v>
      </c>
      <c r="M2324" s="979">
        <v>599</v>
      </c>
    </row>
    <row r="2325" spans="1:13" ht="15">
      <c r="A2325" s="979" t="s">
        <v>3789</v>
      </c>
      <c r="B2325" s="1040" t="str">
        <f>CONCATENATE(LEFT(RIGHT(CONCATENATE("000",IFAData_TEA_1617!A2325),6),3),"-",(RIGHT(RIGHT(CONCATENATE("000",IFAData_TEA_1617!A2325),6),3)))</f>
        <v>249-908</v>
      </c>
      <c r="C2325" s="979" t="s">
        <v>1927</v>
      </c>
      <c r="D2325" s="979">
        <v>5</v>
      </c>
      <c r="E2325" s="979">
        <v>2341</v>
      </c>
      <c r="F2325" s="979" t="s">
        <v>5724</v>
      </c>
      <c r="G2325" s="979" t="s">
        <v>5724</v>
      </c>
      <c r="H2325" s="979">
        <v>100000</v>
      </c>
      <c r="I2325" s="979">
        <v>0</v>
      </c>
      <c r="J2325" s="979">
        <v>0</v>
      </c>
      <c r="K2325" s="979">
        <v>0</v>
      </c>
      <c r="L2325" s="979">
        <v>0</v>
      </c>
      <c r="M2325" s="979">
        <v>599</v>
      </c>
    </row>
    <row r="2326" spans="1:13" ht="15">
      <c r="A2326" s="979" t="s">
        <v>3790</v>
      </c>
      <c r="B2326" s="1040" t="str">
        <f>CONCATENATE(LEFT(RIGHT(CONCATENATE("000",IFAData_TEA_1617!A2326),6),3),"-",(RIGHT(RIGHT(CONCATENATE("000",IFAData_TEA_1617!A2326),6),3)))</f>
        <v>252-901</v>
      </c>
      <c r="C2326" s="979" t="s">
        <v>862</v>
      </c>
      <c r="D2326" s="979">
        <v>9</v>
      </c>
      <c r="E2326" s="979">
        <v>1853</v>
      </c>
      <c r="F2326" s="979" t="s">
        <v>5728</v>
      </c>
      <c r="G2326" s="979" t="s">
        <v>5729</v>
      </c>
      <c r="H2326" s="979">
        <v>557500</v>
      </c>
      <c r="I2326" s="979">
        <v>1904263</v>
      </c>
      <c r="J2326" s="979">
        <v>1</v>
      </c>
      <c r="K2326" s="979">
        <v>557500</v>
      </c>
      <c r="L2326" s="979">
        <v>557500</v>
      </c>
      <c r="M2326" s="979">
        <v>599</v>
      </c>
    </row>
    <row r="2327" spans="1:13" ht="15">
      <c r="A2327" s="979" t="s">
        <v>3790</v>
      </c>
      <c r="B2327" s="1040" t="str">
        <f>CONCATENATE(LEFT(RIGHT(CONCATENATE("000",IFAData_TEA_1617!A2327),6),3),"-",(RIGHT(RIGHT(CONCATENATE("000",IFAData_TEA_1617!A2327),6),3)))</f>
        <v>252-901</v>
      </c>
      <c r="C2327" s="979" t="s">
        <v>862</v>
      </c>
      <c r="D2327" s="979">
        <v>6</v>
      </c>
      <c r="E2327" s="979">
        <v>1852</v>
      </c>
      <c r="F2327" s="979" t="s">
        <v>5726</v>
      </c>
      <c r="G2327" s="979" t="s">
        <v>5727</v>
      </c>
      <c r="H2327" s="979">
        <v>486964</v>
      </c>
      <c r="I2327" s="979">
        <v>453882</v>
      </c>
      <c r="J2327" s="979">
        <v>1</v>
      </c>
      <c r="K2327" s="979">
        <v>486964</v>
      </c>
      <c r="L2327" s="979">
        <v>453882</v>
      </c>
      <c r="M2327" s="979">
        <v>599</v>
      </c>
    </row>
    <row r="2328" spans="1:13" ht="15">
      <c r="A2328" s="979" t="s">
        <v>3790</v>
      </c>
      <c r="B2328" s="1040" t="str">
        <f>CONCATENATE(LEFT(RIGHT(CONCATENATE("000",IFAData_TEA_1617!A2328),6),3),"-",(RIGHT(RIGHT(CONCATENATE("000",IFAData_TEA_1617!A2328),6),3)))</f>
        <v>252-901</v>
      </c>
      <c r="C2328" s="979" t="s">
        <v>862</v>
      </c>
      <c r="D2328" s="979">
        <v>2</v>
      </c>
      <c r="E2328" s="979">
        <v>1851</v>
      </c>
      <c r="F2328" s="979" t="s">
        <v>5725</v>
      </c>
      <c r="G2328" s="979" t="s">
        <v>5725</v>
      </c>
      <c r="H2328" s="979">
        <v>126142</v>
      </c>
      <c r="I2328" s="979">
        <v>0</v>
      </c>
      <c r="J2328" s="979">
        <v>0</v>
      </c>
      <c r="K2328" s="979"/>
      <c r="L2328" s="979">
        <v>0</v>
      </c>
      <c r="M2328" s="979">
        <v>599</v>
      </c>
    </row>
    <row r="2329" spans="1:13" ht="15">
      <c r="A2329" s="979" t="s">
        <v>3790</v>
      </c>
      <c r="B2329" s="1040" t="str">
        <f>CONCATENATE(LEFT(RIGHT(CONCATENATE("000",IFAData_TEA_1617!A2329),6),3),"-",(RIGHT(RIGHT(CONCATENATE("000",IFAData_TEA_1617!A2329),6),3)))</f>
        <v>252-901</v>
      </c>
      <c r="C2329" s="979" t="s">
        <v>862</v>
      </c>
      <c r="D2329" s="979">
        <v>6</v>
      </c>
      <c r="E2329" s="979">
        <v>1852</v>
      </c>
      <c r="F2329" s="979" t="s">
        <v>5726</v>
      </c>
      <c r="G2329" s="979" t="s">
        <v>5726</v>
      </c>
      <c r="H2329" s="979">
        <v>486964</v>
      </c>
      <c r="I2329" s="979">
        <v>0</v>
      </c>
      <c r="J2329" s="979">
        <v>0</v>
      </c>
      <c r="K2329" s="979">
        <v>0</v>
      </c>
      <c r="L2329" s="979">
        <v>0</v>
      </c>
      <c r="M2329" s="979">
        <v>599</v>
      </c>
    </row>
    <row r="2330" spans="1:13" ht="15">
      <c r="A2330" s="979" t="s">
        <v>3790</v>
      </c>
      <c r="B2330" s="1040" t="str">
        <f>CONCATENATE(LEFT(RIGHT(CONCATENATE("000",IFAData_TEA_1617!A2330),6),3),"-",(RIGHT(RIGHT(CONCATENATE("000",IFAData_TEA_1617!A2330),6),3)))</f>
        <v>252-901</v>
      </c>
      <c r="C2330" s="979" t="s">
        <v>862</v>
      </c>
      <c r="D2330" s="979">
        <v>9</v>
      </c>
      <c r="E2330" s="979">
        <v>1853</v>
      </c>
      <c r="F2330" s="979" t="s">
        <v>5728</v>
      </c>
      <c r="G2330" s="979" t="s">
        <v>5728</v>
      </c>
      <c r="H2330" s="979">
        <v>557500</v>
      </c>
      <c r="I2330" s="979">
        <v>0</v>
      </c>
      <c r="J2330" s="979">
        <v>0</v>
      </c>
      <c r="K2330" s="979">
        <v>0</v>
      </c>
      <c r="L2330" s="979">
        <v>0</v>
      </c>
      <c r="M2330" s="979">
        <v>599</v>
      </c>
    </row>
    <row r="2331" spans="1:13" ht="15">
      <c r="A2331" s="979" t="s">
        <v>3791</v>
      </c>
      <c r="B2331" s="1040" t="str">
        <f>CONCATENATE(LEFT(RIGHT(CONCATENATE("000",IFAData_TEA_1617!A2331),6),3),"-",(RIGHT(RIGHT(CONCATENATE("000",IFAData_TEA_1617!A2331),6),3)))</f>
        <v>252-903</v>
      </c>
      <c r="C2331" s="979" t="s">
        <v>825</v>
      </c>
      <c r="D2331" s="979">
        <v>5</v>
      </c>
      <c r="E2331" s="979">
        <v>2159</v>
      </c>
      <c r="F2331" s="979" t="s">
        <v>5732</v>
      </c>
      <c r="G2331" s="979" t="s">
        <v>5732</v>
      </c>
      <c r="H2331" s="979">
        <v>188253</v>
      </c>
      <c r="I2331" s="979">
        <v>0</v>
      </c>
      <c r="J2331" s="979">
        <v>0</v>
      </c>
      <c r="K2331" s="979">
        <v>0</v>
      </c>
      <c r="L2331" s="979">
        <v>0</v>
      </c>
      <c r="M2331" s="979">
        <v>599</v>
      </c>
    </row>
    <row r="2332" spans="1:13" ht="15">
      <c r="A2332" s="979" t="s">
        <v>3791</v>
      </c>
      <c r="B2332" s="1040" t="str">
        <f>CONCATENATE(LEFT(RIGHT(CONCATENATE("000",IFAData_TEA_1617!A2332),6),3),"-",(RIGHT(RIGHT(CONCATENATE("000",IFAData_TEA_1617!A2332),6),3)))</f>
        <v>252-903</v>
      </c>
      <c r="C2332" s="979" t="s">
        <v>825</v>
      </c>
      <c r="D2332" s="979">
        <v>4</v>
      </c>
      <c r="E2332" s="979">
        <v>2160</v>
      </c>
      <c r="F2332" s="979" t="s">
        <v>5730</v>
      </c>
      <c r="G2332" s="979" t="s">
        <v>5731</v>
      </c>
      <c r="H2332" s="979">
        <v>195206</v>
      </c>
      <c r="I2332" s="979">
        <v>0</v>
      </c>
      <c r="J2332" s="979">
        <v>0</v>
      </c>
      <c r="K2332" s="979"/>
      <c r="L2332" s="979">
        <v>0</v>
      </c>
      <c r="M2332" s="979">
        <v>599</v>
      </c>
    </row>
    <row r="2333" spans="1:13" ht="15">
      <c r="A2333" s="979" t="s">
        <v>3791</v>
      </c>
      <c r="B2333" s="1040" t="str">
        <f>CONCATENATE(LEFT(RIGHT(CONCATENATE("000",IFAData_TEA_1617!A2333),6),3),"-",(RIGHT(RIGHT(CONCATENATE("000",IFAData_TEA_1617!A2333),6),3)))</f>
        <v>252-903</v>
      </c>
      <c r="C2333" s="979" t="s">
        <v>825</v>
      </c>
      <c r="D2333" s="979">
        <v>4</v>
      </c>
      <c r="E2333" s="979">
        <v>2160</v>
      </c>
      <c r="F2333" s="979" t="s">
        <v>5730</v>
      </c>
      <c r="G2333" s="979" t="s">
        <v>5730</v>
      </c>
      <c r="H2333" s="979">
        <v>195206</v>
      </c>
      <c r="I2333" s="979">
        <v>0</v>
      </c>
      <c r="J2333" s="979">
        <v>0</v>
      </c>
      <c r="K2333" s="979"/>
      <c r="L2333" s="979">
        <v>0</v>
      </c>
      <c r="M2333" s="979">
        <v>599</v>
      </c>
    </row>
    <row r="2334" spans="1:13" ht="15">
      <c r="A2334" s="979" t="s">
        <v>3791</v>
      </c>
      <c r="B2334" s="1040" t="str">
        <f>CONCATENATE(LEFT(RIGHT(CONCATENATE("000",IFAData_TEA_1617!A2334),6),3),"-",(RIGHT(RIGHT(CONCATENATE("000",IFAData_TEA_1617!A2334),6),3)))</f>
        <v>252-903</v>
      </c>
      <c r="C2334" s="979" t="s">
        <v>825</v>
      </c>
      <c r="D2334" s="979">
        <v>5</v>
      </c>
      <c r="E2334" s="979">
        <v>2159</v>
      </c>
      <c r="F2334" s="979" t="s">
        <v>5732</v>
      </c>
      <c r="G2334" s="979" t="s">
        <v>5733</v>
      </c>
      <c r="H2334" s="979">
        <v>188253</v>
      </c>
      <c r="I2334" s="979">
        <v>183000</v>
      </c>
      <c r="J2334" s="979">
        <v>1</v>
      </c>
      <c r="K2334" s="979">
        <v>188253</v>
      </c>
      <c r="L2334" s="979">
        <v>183000</v>
      </c>
      <c r="M2334" s="979">
        <v>599</v>
      </c>
    </row>
    <row r="2335" spans="1:13" ht="15">
      <c r="A2335" s="979" t="s">
        <v>3792</v>
      </c>
      <c r="B2335" s="1040" t="str">
        <f>CONCATENATE(LEFT(RIGHT(CONCATENATE("000",IFAData_TEA_1617!A2335),6),3),"-",(RIGHT(RIGHT(CONCATENATE("000",IFAData_TEA_1617!A2335),6),3)))</f>
        <v>254-901</v>
      </c>
      <c r="C2335" s="979" t="s">
        <v>420</v>
      </c>
      <c r="D2335" s="979">
        <v>5</v>
      </c>
      <c r="E2335" s="979">
        <v>1737</v>
      </c>
      <c r="F2335" s="979" t="s">
        <v>5738</v>
      </c>
      <c r="G2335" s="979" t="s">
        <v>5738</v>
      </c>
      <c r="H2335" s="979">
        <v>197353</v>
      </c>
      <c r="I2335" s="979">
        <v>0</v>
      </c>
      <c r="J2335" s="979">
        <v>0</v>
      </c>
      <c r="K2335" s="979">
        <v>0</v>
      </c>
      <c r="L2335" s="979">
        <v>0</v>
      </c>
      <c r="M2335" s="979">
        <v>599</v>
      </c>
    </row>
    <row r="2336" spans="1:13" ht="15">
      <c r="A2336" s="979" t="s">
        <v>3792</v>
      </c>
      <c r="B2336" s="1040" t="str">
        <f>CONCATENATE(LEFT(RIGHT(CONCATENATE("000",IFAData_TEA_1617!A2336),6),3),"-",(RIGHT(RIGHT(CONCATENATE("000",IFAData_TEA_1617!A2336),6),3)))</f>
        <v>254-901</v>
      </c>
      <c r="C2336" s="979" t="s">
        <v>420</v>
      </c>
      <c r="D2336" s="979">
        <v>4</v>
      </c>
      <c r="E2336" s="979">
        <v>1736</v>
      </c>
      <c r="F2336" s="979" t="s">
        <v>5737</v>
      </c>
      <c r="G2336" s="979" t="s">
        <v>6365</v>
      </c>
      <c r="H2336" s="979">
        <v>192712</v>
      </c>
      <c r="I2336" s="979">
        <v>158060</v>
      </c>
      <c r="J2336" s="979">
        <v>1</v>
      </c>
      <c r="K2336" s="979">
        <v>192712</v>
      </c>
      <c r="L2336" s="979">
        <v>158060</v>
      </c>
      <c r="M2336" s="979">
        <v>599</v>
      </c>
    </row>
    <row r="2337" spans="1:13" ht="15">
      <c r="A2337" s="979" t="s">
        <v>3792</v>
      </c>
      <c r="B2337" s="1040" t="str">
        <f>CONCATENATE(LEFT(RIGHT(CONCATENATE("000",IFAData_TEA_1617!A2337),6),3),"-",(RIGHT(RIGHT(CONCATENATE("000",IFAData_TEA_1617!A2337),6),3)))</f>
        <v>254-901</v>
      </c>
      <c r="C2337" s="979" t="s">
        <v>420</v>
      </c>
      <c r="D2337" s="979">
        <v>5</v>
      </c>
      <c r="E2337" s="979">
        <v>1737</v>
      </c>
      <c r="F2337" s="979" t="s">
        <v>5738</v>
      </c>
      <c r="G2337" s="979" t="s">
        <v>6365</v>
      </c>
      <c r="H2337" s="979">
        <v>197353</v>
      </c>
      <c r="I2337" s="979">
        <v>73320</v>
      </c>
      <c r="J2337" s="979">
        <v>0.42450208429828623</v>
      </c>
      <c r="K2337" s="979">
        <v>83776.759842519677</v>
      </c>
      <c r="L2337" s="979">
        <v>73320</v>
      </c>
      <c r="M2337" s="979">
        <v>599</v>
      </c>
    </row>
    <row r="2338" spans="1:13" ht="15">
      <c r="A2338" s="979" t="s">
        <v>3792</v>
      </c>
      <c r="B2338" s="1040" t="str">
        <f>CONCATENATE(LEFT(RIGHT(CONCATENATE("000",IFAData_TEA_1617!A2338),6),3),"-",(RIGHT(RIGHT(CONCATENATE("000",IFAData_TEA_1617!A2338),6),3)))</f>
        <v>254-901</v>
      </c>
      <c r="C2338" s="979" t="s">
        <v>420</v>
      </c>
      <c r="D2338" s="979">
        <v>2</v>
      </c>
      <c r="E2338" s="979">
        <v>1739</v>
      </c>
      <c r="F2338" s="979" t="s">
        <v>5734</v>
      </c>
      <c r="G2338" s="979" t="s">
        <v>6365</v>
      </c>
      <c r="H2338" s="979">
        <v>396447</v>
      </c>
      <c r="I2338" s="979">
        <v>453621</v>
      </c>
      <c r="J2338" s="979">
        <v>1</v>
      </c>
      <c r="K2338" s="979">
        <v>396447</v>
      </c>
      <c r="L2338" s="979">
        <v>396447</v>
      </c>
      <c r="M2338" s="979">
        <v>599</v>
      </c>
    </row>
    <row r="2339" spans="1:13" ht="15">
      <c r="A2339" s="979" t="s">
        <v>3792</v>
      </c>
      <c r="B2339" s="1040" t="str">
        <f>CONCATENATE(LEFT(RIGHT(CONCATENATE("000",IFAData_TEA_1617!A2339),6),3),"-",(RIGHT(RIGHT(CONCATENATE("000",IFAData_TEA_1617!A2339),6),3)))</f>
        <v>254-901</v>
      </c>
      <c r="C2339" s="979" t="s">
        <v>420</v>
      </c>
      <c r="D2339" s="979">
        <v>8</v>
      </c>
      <c r="E2339" s="979">
        <v>1740</v>
      </c>
      <c r="F2339" s="979" t="s">
        <v>5740</v>
      </c>
      <c r="G2339" s="979" t="s">
        <v>5740</v>
      </c>
      <c r="H2339" s="979">
        <v>464096</v>
      </c>
      <c r="I2339" s="979">
        <v>0</v>
      </c>
      <c r="J2339" s="979">
        <v>0</v>
      </c>
      <c r="K2339" s="979">
        <v>0</v>
      </c>
      <c r="L2339" s="979">
        <v>0</v>
      </c>
      <c r="M2339" s="979">
        <v>599</v>
      </c>
    </row>
    <row r="2340" spans="1:13" ht="15">
      <c r="A2340" s="979" t="s">
        <v>3792</v>
      </c>
      <c r="B2340" s="1040" t="str">
        <f>CONCATENATE(LEFT(RIGHT(CONCATENATE("000",IFAData_TEA_1617!A2340),6),3),"-",(RIGHT(RIGHT(CONCATENATE("000",IFAData_TEA_1617!A2340),6),3)))</f>
        <v>254-901</v>
      </c>
      <c r="C2340" s="979" t="s">
        <v>420</v>
      </c>
      <c r="D2340" s="979">
        <v>2</v>
      </c>
      <c r="E2340" s="979">
        <v>1739</v>
      </c>
      <c r="F2340" s="979" t="s">
        <v>5734</v>
      </c>
      <c r="G2340" s="979" t="s">
        <v>5734</v>
      </c>
      <c r="H2340" s="979">
        <v>396447</v>
      </c>
      <c r="I2340" s="979">
        <v>0</v>
      </c>
      <c r="J2340" s="979">
        <v>0</v>
      </c>
      <c r="K2340" s="979">
        <v>0</v>
      </c>
      <c r="L2340" s="979">
        <v>0</v>
      </c>
      <c r="M2340" s="979">
        <v>599</v>
      </c>
    </row>
    <row r="2341" spans="1:13" ht="15">
      <c r="A2341" s="979" t="s">
        <v>3792</v>
      </c>
      <c r="B2341" s="1040" t="str">
        <f>CONCATENATE(LEFT(RIGHT(CONCATENATE("000",IFAData_TEA_1617!A2341),6),3),"-",(RIGHT(RIGHT(CONCATENATE("000",IFAData_TEA_1617!A2341),6),3)))</f>
        <v>254-901</v>
      </c>
      <c r="C2341" s="979" t="s">
        <v>420</v>
      </c>
      <c r="D2341" s="979">
        <v>4</v>
      </c>
      <c r="E2341" s="979">
        <v>1736</v>
      </c>
      <c r="F2341" s="979" t="s">
        <v>5737</v>
      </c>
      <c r="G2341" s="979" t="s">
        <v>5735</v>
      </c>
      <c r="H2341" s="979">
        <v>192712</v>
      </c>
      <c r="I2341" s="979">
        <v>0</v>
      </c>
      <c r="J2341" s="979">
        <v>0</v>
      </c>
      <c r="K2341" s="979">
        <v>0</v>
      </c>
      <c r="L2341" s="979">
        <v>0</v>
      </c>
      <c r="M2341" s="979">
        <v>599</v>
      </c>
    </row>
    <row r="2342" spans="1:13" ht="15">
      <c r="A2342" s="979" t="s">
        <v>3792</v>
      </c>
      <c r="B2342" s="1040" t="str">
        <f>CONCATENATE(LEFT(RIGHT(CONCATENATE("000",IFAData_TEA_1617!A2342),6),3),"-",(RIGHT(RIGHT(CONCATENATE("000",IFAData_TEA_1617!A2342),6),3)))</f>
        <v>254-901</v>
      </c>
      <c r="C2342" s="979" t="s">
        <v>420</v>
      </c>
      <c r="D2342" s="979">
        <v>5</v>
      </c>
      <c r="E2342" s="979">
        <v>1737</v>
      </c>
      <c r="F2342" s="979" t="s">
        <v>5738</v>
      </c>
      <c r="G2342" s="979" t="s">
        <v>5735</v>
      </c>
      <c r="H2342" s="979">
        <v>197353</v>
      </c>
      <c r="I2342" s="979">
        <v>0</v>
      </c>
      <c r="J2342" s="979">
        <v>0</v>
      </c>
      <c r="K2342" s="979">
        <v>0</v>
      </c>
      <c r="L2342" s="979">
        <v>0</v>
      </c>
      <c r="M2342" s="979">
        <v>599</v>
      </c>
    </row>
    <row r="2343" spans="1:13" ht="15">
      <c r="A2343" s="979" t="s">
        <v>3792</v>
      </c>
      <c r="B2343" s="1040" t="str">
        <f>CONCATENATE(LEFT(RIGHT(CONCATENATE("000",IFAData_TEA_1617!A2343),6),3),"-",(RIGHT(RIGHT(CONCATENATE("000",IFAData_TEA_1617!A2343),6),3)))</f>
        <v>254-901</v>
      </c>
      <c r="C2343" s="979" t="s">
        <v>420</v>
      </c>
      <c r="D2343" s="979">
        <v>2</v>
      </c>
      <c r="E2343" s="979">
        <v>1739</v>
      </c>
      <c r="F2343" s="979" t="s">
        <v>5734</v>
      </c>
      <c r="G2343" s="979" t="s">
        <v>5735</v>
      </c>
      <c r="H2343" s="979">
        <v>396447</v>
      </c>
      <c r="I2343" s="979">
        <v>0</v>
      </c>
      <c r="J2343" s="979">
        <v>0</v>
      </c>
      <c r="K2343" s="979">
        <v>0</v>
      </c>
      <c r="L2343" s="979">
        <v>0</v>
      </c>
      <c r="M2343" s="979">
        <v>599</v>
      </c>
    </row>
    <row r="2344" spans="1:13" ht="15">
      <c r="A2344" s="979" t="s">
        <v>3792</v>
      </c>
      <c r="B2344" s="1040" t="str">
        <f>CONCATENATE(LEFT(RIGHT(CONCATENATE("000",IFAData_TEA_1617!A2344),6),3),"-",(RIGHT(RIGHT(CONCATENATE("000",IFAData_TEA_1617!A2344),6),3)))</f>
        <v>254-901</v>
      </c>
      <c r="C2344" s="979" t="s">
        <v>420</v>
      </c>
      <c r="D2344" s="979">
        <v>4</v>
      </c>
      <c r="E2344" s="979">
        <v>1736</v>
      </c>
      <c r="F2344" s="979" t="s">
        <v>5737</v>
      </c>
      <c r="G2344" s="979" t="s">
        <v>5736</v>
      </c>
      <c r="H2344" s="979">
        <v>192712</v>
      </c>
      <c r="I2344" s="979">
        <v>0</v>
      </c>
      <c r="J2344" s="979">
        <v>0</v>
      </c>
      <c r="K2344" s="979">
        <v>0</v>
      </c>
      <c r="L2344" s="979">
        <v>0</v>
      </c>
      <c r="M2344" s="979">
        <v>599</v>
      </c>
    </row>
    <row r="2345" spans="1:13" ht="15">
      <c r="A2345" s="979" t="s">
        <v>3792</v>
      </c>
      <c r="B2345" s="1040" t="str">
        <f>CONCATENATE(LEFT(RIGHT(CONCATENATE("000",IFAData_TEA_1617!A2345),6),3),"-",(RIGHT(RIGHT(CONCATENATE("000",IFAData_TEA_1617!A2345),6),3)))</f>
        <v>254-901</v>
      </c>
      <c r="C2345" s="979" t="s">
        <v>420</v>
      </c>
      <c r="D2345" s="979">
        <v>5</v>
      </c>
      <c r="E2345" s="979">
        <v>1737</v>
      </c>
      <c r="F2345" s="979" t="s">
        <v>5738</v>
      </c>
      <c r="G2345" s="979" t="s">
        <v>5736</v>
      </c>
      <c r="H2345" s="979">
        <v>197353</v>
      </c>
      <c r="I2345" s="979">
        <v>99400</v>
      </c>
      <c r="J2345" s="979">
        <v>0.57549791570171371</v>
      </c>
      <c r="K2345" s="979">
        <v>113576.24015748031</v>
      </c>
      <c r="L2345" s="979">
        <v>99400</v>
      </c>
      <c r="M2345" s="979">
        <v>599</v>
      </c>
    </row>
    <row r="2346" spans="1:13" ht="15">
      <c r="A2346" s="979" t="s">
        <v>3792</v>
      </c>
      <c r="B2346" s="1040" t="str">
        <f>CONCATENATE(LEFT(RIGHT(CONCATENATE("000",IFAData_TEA_1617!A2346),6),3),"-",(RIGHT(RIGHT(CONCATENATE("000",IFAData_TEA_1617!A2346),6),3)))</f>
        <v>254-901</v>
      </c>
      <c r="C2346" s="979" t="s">
        <v>420</v>
      </c>
      <c r="D2346" s="979">
        <v>6</v>
      </c>
      <c r="E2346" s="979">
        <v>1738</v>
      </c>
      <c r="F2346" s="979" t="s">
        <v>5739</v>
      </c>
      <c r="G2346" s="979" t="s">
        <v>5736</v>
      </c>
      <c r="H2346" s="979">
        <v>209248</v>
      </c>
      <c r="I2346" s="979">
        <v>171824</v>
      </c>
      <c r="J2346" s="979">
        <v>1</v>
      </c>
      <c r="K2346" s="979">
        <v>209248</v>
      </c>
      <c r="L2346" s="979">
        <v>171824</v>
      </c>
      <c r="M2346" s="979">
        <v>599</v>
      </c>
    </row>
    <row r="2347" spans="1:13" ht="15">
      <c r="A2347" s="979" t="s">
        <v>3792</v>
      </c>
      <c r="B2347" s="1040" t="str">
        <f>CONCATENATE(LEFT(RIGHT(CONCATENATE("000",IFAData_TEA_1617!A2347),6),3),"-",(RIGHT(RIGHT(CONCATENATE("000",IFAData_TEA_1617!A2347),6),3)))</f>
        <v>254-901</v>
      </c>
      <c r="C2347" s="979" t="s">
        <v>420</v>
      </c>
      <c r="D2347" s="979">
        <v>2</v>
      </c>
      <c r="E2347" s="979">
        <v>1739</v>
      </c>
      <c r="F2347" s="979" t="s">
        <v>5734</v>
      </c>
      <c r="G2347" s="979" t="s">
        <v>5736</v>
      </c>
      <c r="H2347" s="979">
        <v>396447</v>
      </c>
      <c r="I2347" s="979">
        <v>0</v>
      </c>
      <c r="J2347" s="979">
        <v>0</v>
      </c>
      <c r="K2347" s="979">
        <v>0</v>
      </c>
      <c r="L2347" s="979">
        <v>0</v>
      </c>
      <c r="M2347" s="979">
        <v>599</v>
      </c>
    </row>
    <row r="2348" spans="1:13" ht="15">
      <c r="A2348" s="979" t="s">
        <v>3792</v>
      </c>
      <c r="B2348" s="1040" t="str">
        <f>CONCATENATE(LEFT(RIGHT(CONCATENATE("000",IFAData_TEA_1617!A2348),6),3),"-",(RIGHT(RIGHT(CONCATENATE("000",IFAData_TEA_1617!A2348),6),3)))</f>
        <v>254-901</v>
      </c>
      <c r="C2348" s="979" t="s">
        <v>420</v>
      </c>
      <c r="D2348" s="979">
        <v>4</v>
      </c>
      <c r="E2348" s="979">
        <v>1736</v>
      </c>
      <c r="F2348" s="979" t="s">
        <v>5737</v>
      </c>
      <c r="G2348" s="979" t="s">
        <v>5737</v>
      </c>
      <c r="H2348" s="979">
        <v>192712</v>
      </c>
      <c r="I2348" s="979">
        <v>0</v>
      </c>
      <c r="J2348" s="979">
        <v>0</v>
      </c>
      <c r="K2348" s="979">
        <v>0</v>
      </c>
      <c r="L2348" s="979">
        <v>0</v>
      </c>
      <c r="M2348" s="979">
        <v>599</v>
      </c>
    </row>
    <row r="2349" spans="1:13" ht="15">
      <c r="A2349" s="979" t="s">
        <v>3792</v>
      </c>
      <c r="B2349" s="1040" t="str">
        <f>CONCATENATE(LEFT(RIGHT(CONCATENATE("000",IFAData_TEA_1617!A2349),6),3),"-",(RIGHT(RIGHT(CONCATENATE("000",IFAData_TEA_1617!A2349),6),3)))</f>
        <v>254-901</v>
      </c>
      <c r="C2349" s="979" t="s">
        <v>420</v>
      </c>
      <c r="D2349" s="979">
        <v>6</v>
      </c>
      <c r="E2349" s="979">
        <v>1738</v>
      </c>
      <c r="F2349" s="979" t="s">
        <v>5739</v>
      </c>
      <c r="G2349" s="979" t="s">
        <v>5739</v>
      </c>
      <c r="H2349" s="979">
        <v>209248</v>
      </c>
      <c r="I2349" s="979">
        <v>0</v>
      </c>
      <c r="J2349" s="979">
        <v>0</v>
      </c>
      <c r="K2349" s="979">
        <v>0</v>
      </c>
      <c r="L2349" s="979">
        <v>0</v>
      </c>
      <c r="M2349" s="979">
        <v>599</v>
      </c>
    </row>
    <row r="2350" spans="1:13" ht="15">
      <c r="A2350" s="979" t="s">
        <v>3792</v>
      </c>
      <c r="B2350" s="1040" t="str">
        <f>CONCATENATE(LEFT(RIGHT(CONCATENATE("000",IFAData_TEA_1617!A2350),6),3),"-",(RIGHT(RIGHT(CONCATENATE("000",IFAData_TEA_1617!A2350),6),3)))</f>
        <v>254-901</v>
      </c>
      <c r="C2350" s="979" t="s">
        <v>420</v>
      </c>
      <c r="D2350" s="979">
        <v>8</v>
      </c>
      <c r="E2350" s="979">
        <v>1740</v>
      </c>
      <c r="F2350" s="979" t="s">
        <v>5740</v>
      </c>
      <c r="G2350" s="979" t="s">
        <v>6366</v>
      </c>
      <c r="H2350" s="979">
        <v>464096</v>
      </c>
      <c r="I2350" s="979">
        <v>567044</v>
      </c>
      <c r="J2350" s="979">
        <v>1</v>
      </c>
      <c r="K2350" s="979">
        <v>464096</v>
      </c>
      <c r="L2350" s="979">
        <v>464096</v>
      </c>
      <c r="M2350" s="979">
        <v>599</v>
      </c>
    </row>
    <row r="2351" spans="1:13" ht="15">
      <c r="A2351" s="979" t="s">
        <v>3793</v>
      </c>
      <c r="B2351" s="1040" t="str">
        <f>CONCATENATE(LEFT(RIGHT(CONCATENATE("000",IFAData_TEA_1617!A2351),6),3),"-",(RIGHT(RIGHT(CONCATENATE("000",IFAData_TEA_1617!A2351),6),3)))</f>
        <v>254-902</v>
      </c>
      <c r="C2351" s="979" t="s">
        <v>1898</v>
      </c>
      <c r="D2351" s="979">
        <v>4</v>
      </c>
      <c r="E2351" s="979">
        <v>1987</v>
      </c>
      <c r="F2351" s="979" t="s">
        <v>5741</v>
      </c>
      <c r="G2351" s="979" t="s">
        <v>5742</v>
      </c>
      <c r="H2351" s="979">
        <v>100000</v>
      </c>
      <c r="I2351" s="979">
        <v>0</v>
      </c>
      <c r="J2351" s="979">
        <v>0</v>
      </c>
      <c r="K2351" s="979">
        <v>0</v>
      </c>
      <c r="L2351" s="979">
        <v>0</v>
      </c>
      <c r="M2351" s="979">
        <v>599</v>
      </c>
    </row>
    <row r="2352" spans="1:13" ht="15">
      <c r="A2352" s="979" t="s">
        <v>3793</v>
      </c>
      <c r="B2352" s="1040" t="str">
        <f>CONCATENATE(LEFT(RIGHT(CONCATENATE("000",IFAData_TEA_1617!A2352),6),3),"-",(RIGHT(RIGHT(CONCATENATE("000",IFAData_TEA_1617!A2352),6),3)))</f>
        <v>254-902</v>
      </c>
      <c r="C2352" s="979" t="s">
        <v>1898</v>
      </c>
      <c r="D2352" s="979">
        <v>8</v>
      </c>
      <c r="E2352" s="979">
        <v>1986</v>
      </c>
      <c r="F2352" s="979" t="s">
        <v>5742</v>
      </c>
      <c r="G2352" s="979" t="s">
        <v>5742</v>
      </c>
      <c r="H2352" s="979">
        <v>95242</v>
      </c>
      <c r="I2352" s="979">
        <v>0</v>
      </c>
      <c r="J2352" s="979">
        <v>0</v>
      </c>
      <c r="K2352" s="979">
        <v>0</v>
      </c>
      <c r="L2352" s="979">
        <v>0</v>
      </c>
      <c r="M2352" s="979">
        <v>599</v>
      </c>
    </row>
    <row r="2353" spans="1:13" ht="15">
      <c r="A2353" s="979" t="s">
        <v>3793</v>
      </c>
      <c r="B2353" s="1040" t="str">
        <f>CONCATENATE(LEFT(RIGHT(CONCATENATE("000",IFAData_TEA_1617!A2353),6),3),"-",(RIGHT(RIGHT(CONCATENATE("000",IFAData_TEA_1617!A2353),6),3)))</f>
        <v>254-902</v>
      </c>
      <c r="C2353" s="979" t="s">
        <v>1898</v>
      </c>
      <c r="D2353" s="979">
        <v>4</v>
      </c>
      <c r="E2353" s="979">
        <v>1987</v>
      </c>
      <c r="F2353" s="979" t="s">
        <v>5741</v>
      </c>
      <c r="G2353" s="979" t="s">
        <v>5741</v>
      </c>
      <c r="H2353" s="979">
        <v>100000</v>
      </c>
      <c r="I2353" s="979">
        <v>0</v>
      </c>
      <c r="J2353" s="979">
        <v>0</v>
      </c>
      <c r="K2353" s="979">
        <v>0</v>
      </c>
      <c r="L2353" s="979">
        <v>0</v>
      </c>
      <c r="M2353" s="979">
        <v>599</v>
      </c>
    </row>
    <row r="2354" spans="1:13" ht="15">
      <c r="A2354" s="979" t="s">
        <v>3793</v>
      </c>
      <c r="B2354" s="1040" t="str">
        <f>CONCATENATE(LEFT(RIGHT(CONCATENATE("000",IFAData_TEA_1617!A2354),6),3),"-",(RIGHT(RIGHT(CONCATENATE("000",IFAData_TEA_1617!A2354),6),3)))</f>
        <v>254-902</v>
      </c>
      <c r="C2354" s="979" t="s">
        <v>1898</v>
      </c>
      <c r="D2354" s="979">
        <v>8</v>
      </c>
      <c r="E2354" s="979">
        <v>1986</v>
      </c>
      <c r="F2354" s="979" t="s">
        <v>5742</v>
      </c>
      <c r="G2354" s="979" t="s">
        <v>6562</v>
      </c>
      <c r="H2354" s="979">
        <v>95242</v>
      </c>
      <c r="I2354" s="979">
        <v>56459</v>
      </c>
      <c r="J2354" s="979">
        <v>1</v>
      </c>
      <c r="K2354" s="979">
        <v>95242</v>
      </c>
      <c r="L2354" s="979">
        <v>56459</v>
      </c>
      <c r="M2354" s="979">
        <v>599</v>
      </c>
    </row>
    <row r="2355" spans="1:13" ht="15">
      <c r="A2355" s="979" t="s">
        <v>3793</v>
      </c>
      <c r="B2355" s="1040" t="str">
        <f>CONCATENATE(LEFT(RIGHT(CONCATENATE("000",IFAData_TEA_1617!A2355),6),3),"-",(RIGHT(RIGHT(CONCATENATE("000",IFAData_TEA_1617!A2355),6),3)))</f>
        <v>254-902</v>
      </c>
      <c r="C2355" s="979" t="s">
        <v>1898</v>
      </c>
      <c r="D2355" s="979">
        <v>4</v>
      </c>
      <c r="E2355" s="979">
        <v>1987</v>
      </c>
      <c r="F2355" s="979" t="s">
        <v>5741</v>
      </c>
      <c r="G2355" s="979" t="s">
        <v>6562</v>
      </c>
      <c r="H2355" s="979">
        <v>100000</v>
      </c>
      <c r="I2355" s="979">
        <v>73426</v>
      </c>
      <c r="J2355" s="979">
        <v>1</v>
      </c>
      <c r="K2355" s="979">
        <v>100000</v>
      </c>
      <c r="L2355" s="979">
        <v>73426</v>
      </c>
      <c r="M2355" s="979">
        <v>599</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5703125" style="91" customWidth="1"/>
    <col min="6" max="9" width="20.5703125" customWidth="1"/>
    <col min="13" max="18" width="20.5703125" customWidth="1"/>
  </cols>
  <sheetData>
    <row r="1" spans="1:9" s="52" customFormat="1">
      <c r="B1" s="223" t="s">
        <v>6390</v>
      </c>
      <c r="C1" s="223" t="s">
        <v>3223</v>
      </c>
      <c r="D1" s="223" t="s">
        <v>6391</v>
      </c>
      <c r="E1" s="223" t="s">
        <v>6392</v>
      </c>
      <c r="F1" s="52" t="s">
        <v>6590</v>
      </c>
      <c r="G1" s="52" t="s">
        <v>6591</v>
      </c>
      <c r="H1" s="52" t="s">
        <v>6592</v>
      </c>
      <c r="I1" s="52" t="s">
        <v>6593</v>
      </c>
    </row>
    <row r="2" spans="1:9" ht="15">
      <c r="A2" s="386" t="s">
        <v>197</v>
      </c>
      <c r="B2" s="218">
        <v>270576122</v>
      </c>
      <c r="C2" s="218">
        <v>270576122</v>
      </c>
      <c r="D2" s="218">
        <v>275465282</v>
      </c>
      <c r="E2" s="218">
        <v>275465282</v>
      </c>
      <c r="F2" s="257">
        <v>269763945</v>
      </c>
      <c r="G2" s="257">
        <v>264874785</v>
      </c>
      <c r="H2" s="257">
        <v>269763945</v>
      </c>
      <c r="I2" s="257">
        <v>264874785</v>
      </c>
    </row>
    <row r="3" spans="1:9" ht="15">
      <c r="A3" s="386" t="s">
        <v>1954</v>
      </c>
      <c r="B3" s="218">
        <v>262857720</v>
      </c>
      <c r="C3" s="218">
        <v>262857720</v>
      </c>
      <c r="D3" s="218">
        <v>275728402</v>
      </c>
      <c r="E3" s="218">
        <v>275728402</v>
      </c>
      <c r="F3" s="257">
        <v>275728402</v>
      </c>
      <c r="G3" s="257">
        <v>262857720</v>
      </c>
      <c r="H3" s="257">
        <v>275728402</v>
      </c>
      <c r="I3" s="257">
        <v>262857720</v>
      </c>
    </row>
    <row r="4" spans="1:9" ht="15">
      <c r="A4" s="386" t="s">
        <v>14</v>
      </c>
      <c r="B4" s="218">
        <v>248392651</v>
      </c>
      <c r="C4" s="218">
        <v>248392651</v>
      </c>
      <c r="D4" s="218">
        <v>258655113</v>
      </c>
      <c r="E4" s="218">
        <v>258655113</v>
      </c>
      <c r="F4" s="257">
        <v>245169016</v>
      </c>
      <c r="G4" s="257">
        <v>234906554</v>
      </c>
      <c r="H4" s="257">
        <v>245169016</v>
      </c>
      <c r="I4" s="257">
        <v>234906554</v>
      </c>
    </row>
    <row r="5" spans="1:9" ht="15">
      <c r="A5" s="386" t="s">
        <v>15</v>
      </c>
      <c r="B5" s="218">
        <v>104058674</v>
      </c>
      <c r="C5" s="218">
        <v>104058674</v>
      </c>
      <c r="D5" s="218">
        <v>107263359</v>
      </c>
      <c r="E5" s="218">
        <v>107263359</v>
      </c>
      <c r="F5" s="257">
        <v>103649517</v>
      </c>
      <c r="G5" s="257">
        <v>100444832</v>
      </c>
      <c r="H5" s="257">
        <v>103649517</v>
      </c>
      <c r="I5" s="257">
        <v>100444832</v>
      </c>
    </row>
    <row r="6" spans="1:9" ht="15">
      <c r="A6" s="386" t="s">
        <v>16</v>
      </c>
      <c r="B6" s="218">
        <v>1025551633</v>
      </c>
      <c r="C6" s="218">
        <v>1025551633</v>
      </c>
      <c r="D6" s="218">
        <v>1065905323</v>
      </c>
      <c r="E6" s="218">
        <v>1065905323</v>
      </c>
      <c r="F6" s="257">
        <v>1065905323</v>
      </c>
      <c r="G6" s="257">
        <v>1025551633</v>
      </c>
      <c r="H6" s="257">
        <v>1065905323</v>
      </c>
      <c r="I6" s="257">
        <v>1025551633</v>
      </c>
    </row>
    <row r="7" spans="1:9" ht="15">
      <c r="A7" s="386" t="s">
        <v>1098</v>
      </c>
      <c r="B7" s="218">
        <v>498754621</v>
      </c>
      <c r="C7" s="218">
        <v>498754621</v>
      </c>
      <c r="D7" s="218">
        <v>515752491</v>
      </c>
      <c r="E7" s="218">
        <v>515752491</v>
      </c>
      <c r="F7" s="257">
        <v>515752491</v>
      </c>
      <c r="G7" s="257">
        <v>498754621</v>
      </c>
      <c r="H7" s="257">
        <v>515752491</v>
      </c>
      <c r="I7" s="257">
        <v>498754621</v>
      </c>
    </row>
    <row r="8" spans="1:9" ht="15">
      <c r="A8" s="386" t="s">
        <v>1099</v>
      </c>
      <c r="B8" s="218">
        <v>103747742</v>
      </c>
      <c r="C8" s="218">
        <v>103747742</v>
      </c>
      <c r="D8" s="218">
        <v>109067076</v>
      </c>
      <c r="E8" s="218">
        <v>109067076</v>
      </c>
      <c r="F8" s="257">
        <v>109067076</v>
      </c>
      <c r="G8" s="257">
        <v>103747742</v>
      </c>
      <c r="H8" s="257">
        <v>109067076</v>
      </c>
      <c r="I8" s="257">
        <v>103747742</v>
      </c>
    </row>
    <row r="9" spans="1:9" ht="15">
      <c r="A9" s="386" t="s">
        <v>1841</v>
      </c>
      <c r="B9" s="218">
        <v>4679594936</v>
      </c>
      <c r="C9" s="218">
        <v>4679594936</v>
      </c>
      <c r="D9" s="218">
        <v>4712506209</v>
      </c>
      <c r="E9" s="218">
        <v>4712506209</v>
      </c>
      <c r="F9" s="257">
        <v>4663223217</v>
      </c>
      <c r="G9" s="257">
        <v>4630311944</v>
      </c>
      <c r="H9" s="257">
        <v>4663223217</v>
      </c>
      <c r="I9" s="257">
        <v>4630311944</v>
      </c>
    </row>
    <row r="10" spans="1:9" ht="15">
      <c r="A10" s="386" t="s">
        <v>676</v>
      </c>
      <c r="B10" s="218">
        <v>439588785</v>
      </c>
      <c r="C10" s="218">
        <v>439588785</v>
      </c>
      <c r="D10" s="218">
        <v>460208073</v>
      </c>
      <c r="E10" s="218">
        <v>460208073</v>
      </c>
      <c r="F10" s="257">
        <v>460208073</v>
      </c>
      <c r="G10" s="257">
        <v>439588785</v>
      </c>
      <c r="H10" s="257">
        <v>460208073</v>
      </c>
      <c r="I10" s="257">
        <v>439588785</v>
      </c>
    </row>
    <row r="11" spans="1:9" ht="15">
      <c r="A11" s="386" t="s">
        <v>1452</v>
      </c>
      <c r="B11" s="218">
        <v>2255178643</v>
      </c>
      <c r="C11" s="218">
        <v>2255178643</v>
      </c>
      <c r="D11" s="218">
        <v>2332990107</v>
      </c>
      <c r="E11" s="218">
        <v>2332990107</v>
      </c>
      <c r="F11" s="257">
        <v>2332990107</v>
      </c>
      <c r="G11" s="257">
        <v>2255178643</v>
      </c>
      <c r="H11" s="257">
        <v>2332990107</v>
      </c>
      <c r="I11" s="257">
        <v>2255178643</v>
      </c>
    </row>
    <row r="12" spans="1:9" ht="15">
      <c r="A12" s="386" t="s">
        <v>1118</v>
      </c>
      <c r="B12" s="218">
        <v>250262419</v>
      </c>
      <c r="C12" s="218">
        <v>250262419</v>
      </c>
      <c r="D12" s="218">
        <v>266675465</v>
      </c>
      <c r="E12" s="218">
        <v>266675465</v>
      </c>
      <c r="F12" s="257">
        <v>249357345</v>
      </c>
      <c r="G12" s="257">
        <v>232944299</v>
      </c>
      <c r="H12" s="257">
        <v>249357345</v>
      </c>
      <c r="I12" s="257">
        <v>232944299</v>
      </c>
    </row>
    <row r="13" spans="1:9" ht="15">
      <c r="A13" s="386" t="s">
        <v>337</v>
      </c>
      <c r="B13" s="218">
        <v>291361068</v>
      </c>
      <c r="C13" s="218">
        <v>291361068</v>
      </c>
      <c r="D13" s="218">
        <v>305324064</v>
      </c>
      <c r="E13" s="218">
        <v>305324064</v>
      </c>
      <c r="F13" s="257">
        <v>293012725</v>
      </c>
      <c r="G13" s="257">
        <v>279049729</v>
      </c>
      <c r="H13" s="257">
        <v>293012725</v>
      </c>
      <c r="I13" s="257">
        <v>279049729</v>
      </c>
    </row>
    <row r="14" spans="1:9" ht="15">
      <c r="A14" s="386" t="s">
        <v>338</v>
      </c>
      <c r="B14" s="218">
        <v>101499952</v>
      </c>
      <c r="C14" s="218">
        <v>101499952</v>
      </c>
      <c r="D14" s="218">
        <v>106989016</v>
      </c>
      <c r="E14" s="218">
        <v>106989016</v>
      </c>
      <c r="F14" s="257">
        <v>102036794</v>
      </c>
      <c r="G14" s="257">
        <v>96547730</v>
      </c>
      <c r="H14" s="257">
        <v>102036794</v>
      </c>
      <c r="I14" s="257">
        <v>96547730</v>
      </c>
    </row>
    <row r="15" spans="1:9" ht="15">
      <c r="A15" s="386" t="s">
        <v>339</v>
      </c>
      <c r="B15" s="218">
        <v>255465795</v>
      </c>
      <c r="C15" s="218">
        <v>255465795</v>
      </c>
      <c r="D15" s="218">
        <v>271378651</v>
      </c>
      <c r="E15" s="218">
        <v>271378651</v>
      </c>
      <c r="F15" s="257">
        <v>271378651</v>
      </c>
      <c r="G15" s="257">
        <v>255465795</v>
      </c>
      <c r="H15" s="257">
        <v>271378651</v>
      </c>
      <c r="I15" s="257">
        <v>255465795</v>
      </c>
    </row>
    <row r="16" spans="1:9" ht="15">
      <c r="A16" s="386" t="s">
        <v>2479</v>
      </c>
      <c r="B16" s="218">
        <v>2687249051</v>
      </c>
      <c r="C16" s="218">
        <v>2687249051</v>
      </c>
      <c r="D16" s="218">
        <v>2737731657</v>
      </c>
      <c r="E16" s="218">
        <v>2737731657</v>
      </c>
      <c r="F16" s="257">
        <v>2737731657</v>
      </c>
      <c r="G16" s="257">
        <v>2687249051</v>
      </c>
      <c r="H16" s="257">
        <v>2737731657</v>
      </c>
      <c r="I16" s="257">
        <v>2687249051</v>
      </c>
    </row>
    <row r="17" spans="1:9" ht="15">
      <c r="A17" s="386" t="s">
        <v>2480</v>
      </c>
      <c r="B17" s="218">
        <v>249094432</v>
      </c>
      <c r="C17" s="218">
        <v>471112612</v>
      </c>
      <c r="D17" s="218">
        <v>255620242</v>
      </c>
      <c r="E17" s="218">
        <v>477638422</v>
      </c>
      <c r="F17" s="257">
        <v>255620242</v>
      </c>
      <c r="G17" s="257">
        <v>249094432</v>
      </c>
      <c r="H17" s="257">
        <v>477638422</v>
      </c>
      <c r="I17" s="257">
        <v>471112612</v>
      </c>
    </row>
    <row r="18" spans="1:9" ht="15">
      <c r="A18" s="386" t="s">
        <v>2481</v>
      </c>
      <c r="B18" s="218">
        <v>309774588</v>
      </c>
      <c r="C18" s="218">
        <v>309774588</v>
      </c>
      <c r="D18" s="218">
        <v>321367075</v>
      </c>
      <c r="E18" s="218">
        <v>321367075</v>
      </c>
      <c r="F18" s="257">
        <v>321367075</v>
      </c>
      <c r="G18" s="257">
        <v>309774588</v>
      </c>
      <c r="H18" s="257">
        <v>321367075</v>
      </c>
      <c r="I18" s="257">
        <v>309774588</v>
      </c>
    </row>
    <row r="19" spans="1:9" ht="15">
      <c r="A19" s="386" t="s">
        <v>1945</v>
      </c>
      <c r="B19" s="218">
        <v>90322317</v>
      </c>
      <c r="C19" s="218">
        <v>90322317</v>
      </c>
      <c r="D19" s="218">
        <v>93803147</v>
      </c>
      <c r="E19" s="218">
        <v>93803147</v>
      </c>
      <c r="F19" s="257">
        <v>93803147</v>
      </c>
      <c r="G19" s="257">
        <v>90322317</v>
      </c>
      <c r="H19" s="257">
        <v>93803147</v>
      </c>
      <c r="I19" s="257">
        <v>90322317</v>
      </c>
    </row>
    <row r="20" spans="1:9" ht="15">
      <c r="A20" s="386" t="s">
        <v>2483</v>
      </c>
      <c r="B20" s="218">
        <v>147219282</v>
      </c>
      <c r="C20" s="218">
        <v>147219282</v>
      </c>
      <c r="D20" s="218">
        <v>152070192</v>
      </c>
      <c r="E20" s="218">
        <v>152070192</v>
      </c>
      <c r="F20" s="257">
        <v>152070192</v>
      </c>
      <c r="G20" s="257">
        <v>147219282</v>
      </c>
      <c r="H20" s="257">
        <v>152070192</v>
      </c>
      <c r="I20" s="257">
        <v>147219282</v>
      </c>
    </row>
    <row r="21" spans="1:9" ht="15">
      <c r="A21" s="386" t="s">
        <v>708</v>
      </c>
      <c r="B21" s="218">
        <v>318710315</v>
      </c>
      <c r="C21" s="218">
        <v>318710315</v>
      </c>
      <c r="D21" s="218">
        <v>322286288</v>
      </c>
      <c r="E21" s="218">
        <v>322286288</v>
      </c>
      <c r="F21" s="257">
        <v>322286288</v>
      </c>
      <c r="G21" s="257">
        <v>318710315</v>
      </c>
      <c r="H21" s="257">
        <v>322286288</v>
      </c>
      <c r="I21" s="257">
        <v>318710315</v>
      </c>
    </row>
    <row r="22" spans="1:9" ht="15">
      <c r="A22" s="386" t="s">
        <v>2484</v>
      </c>
      <c r="B22" s="218">
        <v>858587070</v>
      </c>
      <c r="C22" s="218">
        <v>858587070</v>
      </c>
      <c r="D22" s="218">
        <v>869220233</v>
      </c>
      <c r="E22" s="218">
        <v>869220233</v>
      </c>
      <c r="F22" s="257">
        <v>869220233</v>
      </c>
      <c r="G22" s="257">
        <v>858587070</v>
      </c>
      <c r="H22" s="257">
        <v>869220233</v>
      </c>
      <c r="I22" s="257">
        <v>858587070</v>
      </c>
    </row>
    <row r="23" spans="1:9" ht="15">
      <c r="A23" s="386" t="s">
        <v>2090</v>
      </c>
      <c r="B23" s="218">
        <v>260111334</v>
      </c>
      <c r="C23" s="218">
        <v>260111334</v>
      </c>
      <c r="D23" s="218">
        <v>272956269</v>
      </c>
      <c r="E23" s="218">
        <v>272956269</v>
      </c>
      <c r="F23" s="257">
        <v>272956269</v>
      </c>
      <c r="G23" s="257">
        <v>260111334</v>
      </c>
      <c r="H23" s="257">
        <v>272956269</v>
      </c>
      <c r="I23" s="257">
        <v>260111334</v>
      </c>
    </row>
    <row r="24" spans="1:9" ht="15">
      <c r="A24" s="386" t="s">
        <v>213</v>
      </c>
      <c r="B24" s="218">
        <v>2016396281</v>
      </c>
      <c r="C24" s="218">
        <v>2016396281</v>
      </c>
      <c r="D24" s="218">
        <v>2047941016</v>
      </c>
      <c r="E24" s="218">
        <v>2047941016</v>
      </c>
      <c r="F24" s="257">
        <v>2047941016</v>
      </c>
      <c r="G24" s="257">
        <v>2016396281</v>
      </c>
      <c r="H24" s="257">
        <v>2047941016</v>
      </c>
      <c r="I24" s="257">
        <v>2016396281</v>
      </c>
    </row>
    <row r="25" spans="1:9" ht="15">
      <c r="A25" s="386" t="s">
        <v>2133</v>
      </c>
      <c r="B25" s="218">
        <v>234601853</v>
      </c>
      <c r="C25" s="218">
        <v>234601853</v>
      </c>
      <c r="D25" s="218">
        <v>248202408</v>
      </c>
      <c r="E25" s="218">
        <v>248202408</v>
      </c>
      <c r="F25" s="257">
        <v>248202408</v>
      </c>
      <c r="G25" s="257">
        <v>234601853</v>
      </c>
      <c r="H25" s="257">
        <v>248202408</v>
      </c>
      <c r="I25" s="257">
        <v>234601853</v>
      </c>
    </row>
    <row r="26" spans="1:9" ht="15">
      <c r="A26" s="386" t="s">
        <v>2485</v>
      </c>
      <c r="B26" s="218">
        <v>1057690814</v>
      </c>
      <c r="C26" s="218">
        <v>1057690814</v>
      </c>
      <c r="D26" s="218">
        <v>1088907147</v>
      </c>
      <c r="E26" s="218">
        <v>1088907147</v>
      </c>
      <c r="F26" s="257">
        <v>1088907147</v>
      </c>
      <c r="G26" s="257">
        <v>1057690814</v>
      </c>
      <c r="H26" s="257">
        <v>1088907147</v>
      </c>
      <c r="I26" s="257">
        <v>1057690814</v>
      </c>
    </row>
    <row r="27" spans="1:9" ht="15">
      <c r="A27" s="386" t="s">
        <v>685</v>
      </c>
      <c r="B27" s="218">
        <v>1121080881</v>
      </c>
      <c r="C27" s="218">
        <v>1121080881</v>
      </c>
      <c r="D27" s="218">
        <v>1148191140</v>
      </c>
      <c r="E27" s="218">
        <v>1148191140</v>
      </c>
      <c r="F27" s="257">
        <v>1100258519</v>
      </c>
      <c r="G27" s="257">
        <v>1073148260</v>
      </c>
      <c r="H27" s="257">
        <v>1100258519</v>
      </c>
      <c r="I27" s="257">
        <v>1073148260</v>
      </c>
    </row>
    <row r="28" spans="1:9" ht="15">
      <c r="A28" s="386" t="s">
        <v>686</v>
      </c>
      <c r="B28" s="218">
        <v>278171133</v>
      </c>
      <c r="C28" s="218">
        <v>278171133</v>
      </c>
      <c r="D28" s="218">
        <v>286836253</v>
      </c>
      <c r="E28" s="218">
        <v>286836253</v>
      </c>
      <c r="F28" s="257">
        <v>283597675</v>
      </c>
      <c r="G28" s="257">
        <v>274932555</v>
      </c>
      <c r="H28" s="257">
        <v>283597675</v>
      </c>
      <c r="I28" s="257">
        <v>274932555</v>
      </c>
    </row>
    <row r="29" spans="1:9" ht="15">
      <c r="A29" s="386" t="s">
        <v>687</v>
      </c>
      <c r="B29" s="218">
        <v>254733327</v>
      </c>
      <c r="C29" s="218">
        <v>254733327</v>
      </c>
      <c r="D29" s="218">
        <v>263817023</v>
      </c>
      <c r="E29" s="218">
        <v>263817023</v>
      </c>
      <c r="F29" s="257">
        <v>263817023</v>
      </c>
      <c r="G29" s="257">
        <v>254733327</v>
      </c>
      <c r="H29" s="257">
        <v>263817023</v>
      </c>
      <c r="I29" s="257">
        <v>254733327</v>
      </c>
    </row>
    <row r="30" spans="1:9" ht="15">
      <c r="A30" s="386" t="s">
        <v>188</v>
      </c>
      <c r="B30" s="218">
        <v>227543136</v>
      </c>
      <c r="C30" s="218">
        <v>227543136</v>
      </c>
      <c r="D30" s="218">
        <v>232622207</v>
      </c>
      <c r="E30" s="218">
        <v>232622207</v>
      </c>
      <c r="F30" s="257">
        <v>232622207</v>
      </c>
      <c r="G30" s="257">
        <v>227543136</v>
      </c>
      <c r="H30" s="257">
        <v>232622207</v>
      </c>
      <c r="I30" s="257">
        <v>227543136</v>
      </c>
    </row>
    <row r="31" spans="1:9" ht="15">
      <c r="A31" s="386" t="s">
        <v>1946</v>
      </c>
      <c r="B31" s="218">
        <v>1394058004</v>
      </c>
      <c r="C31" s="218">
        <v>1394058004</v>
      </c>
      <c r="D31" s="218">
        <v>1440662274</v>
      </c>
      <c r="E31" s="218">
        <v>1440662274</v>
      </c>
      <c r="F31" s="257">
        <v>1440662274</v>
      </c>
      <c r="G31" s="257">
        <v>1394058004</v>
      </c>
      <c r="H31" s="257">
        <v>1440662274</v>
      </c>
      <c r="I31" s="257">
        <v>1394058004</v>
      </c>
    </row>
    <row r="32" spans="1:9" ht="15">
      <c r="A32" s="386" t="s">
        <v>1683</v>
      </c>
      <c r="B32" s="218">
        <v>3112386492</v>
      </c>
      <c r="C32" s="218">
        <v>3112386492</v>
      </c>
      <c r="D32" s="218">
        <v>3195989502</v>
      </c>
      <c r="E32" s="218">
        <v>3195989502</v>
      </c>
      <c r="F32" s="257">
        <v>3195989502</v>
      </c>
      <c r="G32" s="257">
        <v>3112386492</v>
      </c>
      <c r="H32" s="257">
        <v>3195989502</v>
      </c>
      <c r="I32" s="257">
        <v>3112386492</v>
      </c>
    </row>
    <row r="33" spans="1:9" ht="15">
      <c r="A33" s="386" t="s">
        <v>773</v>
      </c>
      <c r="B33" s="218">
        <v>947768473</v>
      </c>
      <c r="C33" s="218">
        <v>947768473</v>
      </c>
      <c r="D33" s="218">
        <v>985345878</v>
      </c>
      <c r="E33" s="218">
        <v>985345878</v>
      </c>
      <c r="F33" s="257">
        <v>985345878</v>
      </c>
      <c r="G33" s="257">
        <v>947768473</v>
      </c>
      <c r="H33" s="257">
        <v>985345878</v>
      </c>
      <c r="I33" s="257">
        <v>947768473</v>
      </c>
    </row>
    <row r="34" spans="1:9" ht="15">
      <c r="A34" s="386" t="s">
        <v>2366</v>
      </c>
      <c r="B34" s="218">
        <v>614436288</v>
      </c>
      <c r="C34" s="218">
        <v>614436288</v>
      </c>
      <c r="D34" s="218">
        <v>637717115</v>
      </c>
      <c r="E34" s="218">
        <v>637717115</v>
      </c>
      <c r="F34" s="257">
        <v>637717115</v>
      </c>
      <c r="G34" s="257">
        <v>614436288</v>
      </c>
      <c r="H34" s="257">
        <v>637717115</v>
      </c>
      <c r="I34" s="257">
        <v>614436288</v>
      </c>
    </row>
    <row r="35" spans="1:9" ht="15">
      <c r="A35" s="386" t="s">
        <v>2134</v>
      </c>
      <c r="B35" s="218">
        <v>68182532</v>
      </c>
      <c r="C35" s="218">
        <v>68182532</v>
      </c>
      <c r="D35" s="218">
        <v>71045704</v>
      </c>
      <c r="E35" s="218">
        <v>71045704</v>
      </c>
      <c r="F35" s="257">
        <v>71045704</v>
      </c>
      <c r="G35" s="257">
        <v>68182532</v>
      </c>
      <c r="H35" s="257">
        <v>71045704</v>
      </c>
      <c r="I35" s="257">
        <v>68182532</v>
      </c>
    </row>
    <row r="36" spans="1:9" ht="15">
      <c r="A36" s="386" t="s">
        <v>452</v>
      </c>
      <c r="B36" s="218">
        <v>286281387</v>
      </c>
      <c r="C36" s="218">
        <v>286281387</v>
      </c>
      <c r="D36" s="218">
        <v>293825677</v>
      </c>
      <c r="E36" s="218">
        <v>293825677</v>
      </c>
      <c r="F36" s="257">
        <v>293825677</v>
      </c>
      <c r="G36" s="257">
        <v>286281387</v>
      </c>
      <c r="H36" s="257">
        <v>293825677</v>
      </c>
      <c r="I36" s="257">
        <v>286281387</v>
      </c>
    </row>
    <row r="37" spans="1:9" ht="15">
      <c r="A37" s="386" t="s">
        <v>2367</v>
      </c>
      <c r="B37" s="218">
        <v>763827152</v>
      </c>
      <c r="C37" s="218">
        <v>763827152</v>
      </c>
      <c r="D37" s="218">
        <v>796193692</v>
      </c>
      <c r="E37" s="218">
        <v>796193692</v>
      </c>
      <c r="F37" s="257">
        <v>796193692</v>
      </c>
      <c r="G37" s="257">
        <v>763827152</v>
      </c>
      <c r="H37" s="257">
        <v>796193692</v>
      </c>
      <c r="I37" s="257">
        <v>763827152</v>
      </c>
    </row>
    <row r="38" spans="1:9" ht="15">
      <c r="A38" s="386" t="s">
        <v>2651</v>
      </c>
      <c r="B38" s="218">
        <v>501154122</v>
      </c>
      <c r="C38" s="218">
        <v>501154122</v>
      </c>
      <c r="D38" s="218">
        <v>502712072</v>
      </c>
      <c r="E38" s="218">
        <v>502712072</v>
      </c>
      <c r="F38" s="257">
        <v>501218664</v>
      </c>
      <c r="G38" s="257">
        <v>499660714</v>
      </c>
      <c r="H38" s="257">
        <v>501218664</v>
      </c>
      <c r="I38" s="257">
        <v>499660714</v>
      </c>
    </row>
    <row r="39" spans="1:9" ht="15">
      <c r="A39" s="386" t="s">
        <v>2652</v>
      </c>
      <c r="B39" s="218">
        <v>543733997</v>
      </c>
      <c r="C39" s="218">
        <v>612261997</v>
      </c>
      <c r="D39" s="218">
        <v>547047232</v>
      </c>
      <c r="E39" s="218">
        <v>615575232</v>
      </c>
      <c r="F39" s="257">
        <v>547047232</v>
      </c>
      <c r="G39" s="257">
        <v>543733997</v>
      </c>
      <c r="H39" s="257">
        <v>615575232</v>
      </c>
      <c r="I39" s="257">
        <v>612261997</v>
      </c>
    </row>
    <row r="40" spans="1:9" ht="15">
      <c r="A40" s="386" t="s">
        <v>1149</v>
      </c>
      <c r="B40" s="218">
        <v>157726811</v>
      </c>
      <c r="C40" s="218">
        <v>157726811</v>
      </c>
      <c r="D40" s="218">
        <v>162557891</v>
      </c>
      <c r="E40" s="218">
        <v>162557891</v>
      </c>
      <c r="F40" s="257">
        <v>162557891</v>
      </c>
      <c r="G40" s="257">
        <v>157726811</v>
      </c>
      <c r="H40" s="257">
        <v>162557891</v>
      </c>
      <c r="I40" s="257">
        <v>157726811</v>
      </c>
    </row>
    <row r="41" spans="1:9" ht="15">
      <c r="A41" s="386" t="s">
        <v>2135</v>
      </c>
      <c r="B41" s="218">
        <v>312766646</v>
      </c>
      <c r="C41" s="218">
        <v>312766646</v>
      </c>
      <c r="D41" s="218">
        <v>327337458</v>
      </c>
      <c r="E41" s="218">
        <v>327337458</v>
      </c>
      <c r="F41" s="257">
        <v>327337458</v>
      </c>
      <c r="G41" s="257">
        <v>312766646</v>
      </c>
      <c r="H41" s="257">
        <v>327337458</v>
      </c>
      <c r="I41" s="257">
        <v>312766646</v>
      </c>
    </row>
    <row r="42" spans="1:9" ht="15">
      <c r="A42" s="386" t="s">
        <v>1682</v>
      </c>
      <c r="B42" s="218">
        <v>99552753</v>
      </c>
      <c r="C42" s="218">
        <v>99552753</v>
      </c>
      <c r="D42" s="218">
        <v>104218654</v>
      </c>
      <c r="E42" s="218">
        <v>104218654</v>
      </c>
      <c r="F42" s="257">
        <v>104218654</v>
      </c>
      <c r="G42" s="257">
        <v>99552753</v>
      </c>
      <c r="H42" s="257">
        <v>104218654</v>
      </c>
      <c r="I42" s="257">
        <v>99552753</v>
      </c>
    </row>
    <row r="43" spans="1:9" ht="15">
      <c r="A43" s="386" t="s">
        <v>1685</v>
      </c>
      <c r="B43" s="218">
        <v>2462026695</v>
      </c>
      <c r="C43" s="218">
        <v>2462026695</v>
      </c>
      <c r="D43" s="218">
        <v>2563559455</v>
      </c>
      <c r="E43" s="218">
        <v>2563559455</v>
      </c>
      <c r="F43" s="257">
        <v>2563559455</v>
      </c>
      <c r="G43" s="257">
        <v>2462026695</v>
      </c>
      <c r="H43" s="257">
        <v>2563559455</v>
      </c>
      <c r="I43" s="257">
        <v>2462026695</v>
      </c>
    </row>
    <row r="44" spans="1:9" ht="15">
      <c r="A44" s="386" t="s">
        <v>170</v>
      </c>
      <c r="B44" s="218">
        <v>97087547</v>
      </c>
      <c r="C44" s="218">
        <v>97087547</v>
      </c>
      <c r="D44" s="218">
        <v>102340320</v>
      </c>
      <c r="E44" s="218">
        <v>102340320</v>
      </c>
      <c r="F44" s="257">
        <v>102340320</v>
      </c>
      <c r="G44" s="257">
        <v>97087547</v>
      </c>
      <c r="H44" s="257">
        <v>102340320</v>
      </c>
      <c r="I44" s="257">
        <v>97087547</v>
      </c>
    </row>
    <row r="45" spans="1:9" ht="15">
      <c r="A45" s="386" t="s">
        <v>53</v>
      </c>
      <c r="B45" s="218">
        <v>6823211132</v>
      </c>
      <c r="C45" s="218">
        <v>6823211132</v>
      </c>
      <c r="D45" s="218">
        <v>7090274530</v>
      </c>
      <c r="E45" s="218">
        <v>7090274530</v>
      </c>
      <c r="F45" s="257">
        <v>7090274530</v>
      </c>
      <c r="G45" s="257">
        <v>6823211132</v>
      </c>
      <c r="H45" s="257">
        <v>7090274530</v>
      </c>
      <c r="I45" s="257">
        <v>6823211132</v>
      </c>
    </row>
    <row r="46" spans="1:9" ht="15">
      <c r="A46" s="386" t="s">
        <v>166</v>
      </c>
      <c r="B46" s="218">
        <v>161620667</v>
      </c>
      <c r="C46" s="218">
        <v>161620667</v>
      </c>
      <c r="D46" s="218">
        <v>170122466</v>
      </c>
      <c r="E46" s="218">
        <v>170122466</v>
      </c>
      <c r="F46" s="257">
        <v>170122466</v>
      </c>
      <c r="G46" s="257">
        <v>161620667</v>
      </c>
      <c r="H46" s="257">
        <v>170122466</v>
      </c>
      <c r="I46" s="257">
        <v>161620667</v>
      </c>
    </row>
    <row r="47" spans="1:9" ht="15">
      <c r="A47" s="386" t="s">
        <v>1312</v>
      </c>
      <c r="B47" s="218">
        <v>694491697</v>
      </c>
      <c r="C47" s="218">
        <v>694491697</v>
      </c>
      <c r="D47" s="218">
        <v>715428061</v>
      </c>
      <c r="E47" s="218">
        <v>715428061</v>
      </c>
      <c r="F47" s="257">
        <v>715428061</v>
      </c>
      <c r="G47" s="257">
        <v>694491697</v>
      </c>
      <c r="H47" s="257">
        <v>715428061</v>
      </c>
      <c r="I47" s="257">
        <v>694491697</v>
      </c>
    </row>
    <row r="48" spans="1:9" ht="15">
      <c r="A48" s="386" t="s">
        <v>1514</v>
      </c>
      <c r="B48" s="218">
        <v>2896936275</v>
      </c>
      <c r="C48" s="218">
        <v>2896936275</v>
      </c>
      <c r="D48" s="218">
        <v>2991258826</v>
      </c>
      <c r="E48" s="218">
        <v>2991258826</v>
      </c>
      <c r="F48" s="257">
        <v>2991258826</v>
      </c>
      <c r="G48" s="257">
        <v>2896936275</v>
      </c>
      <c r="H48" s="257">
        <v>2991258826</v>
      </c>
      <c r="I48" s="257">
        <v>2896936275</v>
      </c>
    </row>
    <row r="49" spans="1:9" ht="15">
      <c r="A49" s="386" t="s">
        <v>1519</v>
      </c>
      <c r="B49" s="218">
        <v>287762312</v>
      </c>
      <c r="C49" s="218">
        <v>287762312</v>
      </c>
      <c r="D49" s="218">
        <v>301061523</v>
      </c>
      <c r="E49" s="218">
        <v>301061523</v>
      </c>
      <c r="F49" s="257">
        <v>301061523</v>
      </c>
      <c r="G49" s="257">
        <v>287762312</v>
      </c>
      <c r="H49" s="257">
        <v>301061523</v>
      </c>
      <c r="I49" s="257">
        <v>287762312</v>
      </c>
    </row>
    <row r="50" spans="1:9" ht="15">
      <c r="A50" s="386" t="s">
        <v>423</v>
      </c>
      <c r="B50" s="218">
        <v>5984429783</v>
      </c>
      <c r="C50" s="218">
        <v>5984429783</v>
      </c>
      <c r="D50" s="218">
        <v>6053653731</v>
      </c>
      <c r="E50" s="218">
        <v>6053653731</v>
      </c>
      <c r="F50" s="257">
        <v>6053653731</v>
      </c>
      <c r="G50" s="257">
        <v>5984429783</v>
      </c>
      <c r="H50" s="257">
        <v>6053653731</v>
      </c>
      <c r="I50" s="257">
        <v>5984429783</v>
      </c>
    </row>
    <row r="51" spans="1:9" ht="15">
      <c r="A51" s="386" t="s">
        <v>1859</v>
      </c>
      <c r="B51" s="218">
        <v>1289132503</v>
      </c>
      <c r="C51" s="218">
        <v>1289132503</v>
      </c>
      <c r="D51" s="218">
        <v>1388466660</v>
      </c>
      <c r="E51" s="218">
        <v>1388466660</v>
      </c>
      <c r="F51" s="257">
        <v>1388466660</v>
      </c>
      <c r="G51" s="257">
        <v>1289132503</v>
      </c>
      <c r="H51" s="257">
        <v>1388466660</v>
      </c>
      <c r="I51" s="257">
        <v>1289132503</v>
      </c>
    </row>
    <row r="52" spans="1:9" ht="15">
      <c r="A52" s="386" t="s">
        <v>771</v>
      </c>
      <c r="B52" s="218">
        <v>1071254910</v>
      </c>
      <c r="C52" s="218">
        <v>1071254910</v>
      </c>
      <c r="D52" s="218">
        <v>1154510364</v>
      </c>
      <c r="E52" s="218">
        <v>1154510364</v>
      </c>
      <c r="F52" s="257">
        <v>1154510364</v>
      </c>
      <c r="G52" s="257">
        <v>1071254910</v>
      </c>
      <c r="H52" s="257">
        <v>1154510364</v>
      </c>
      <c r="I52" s="257">
        <v>1071254910</v>
      </c>
    </row>
    <row r="53" spans="1:9" ht="15">
      <c r="A53" s="386" t="s">
        <v>1314</v>
      </c>
      <c r="B53" s="218">
        <v>14358452226</v>
      </c>
      <c r="C53" s="218">
        <v>14358452226</v>
      </c>
      <c r="D53" s="218">
        <v>14796358523</v>
      </c>
      <c r="E53" s="218">
        <v>14796358523</v>
      </c>
      <c r="F53" s="257">
        <v>14796358523</v>
      </c>
      <c r="G53" s="257">
        <v>14358452226</v>
      </c>
      <c r="H53" s="257">
        <v>14796358523</v>
      </c>
      <c r="I53" s="257">
        <v>14358452226</v>
      </c>
    </row>
    <row r="54" spans="1:9" ht="15">
      <c r="A54" s="386" t="s">
        <v>1506</v>
      </c>
      <c r="B54" s="218">
        <v>1476061748</v>
      </c>
      <c r="C54" s="218">
        <v>1476061748</v>
      </c>
      <c r="D54" s="218">
        <v>1537414184</v>
      </c>
      <c r="E54" s="218">
        <v>1537414184</v>
      </c>
      <c r="F54" s="257">
        <v>1537414184</v>
      </c>
      <c r="G54" s="257">
        <v>1476061748</v>
      </c>
      <c r="H54" s="257">
        <v>1537414184</v>
      </c>
      <c r="I54" s="257">
        <v>1476061748</v>
      </c>
    </row>
    <row r="55" spans="1:9" ht="15">
      <c r="A55" s="386" t="s">
        <v>1152</v>
      </c>
      <c r="B55" s="218">
        <v>415622032</v>
      </c>
      <c r="C55" s="218">
        <v>415622032</v>
      </c>
      <c r="D55" s="218">
        <v>436853862</v>
      </c>
      <c r="E55" s="218">
        <v>436853862</v>
      </c>
      <c r="F55" s="257">
        <v>436853862</v>
      </c>
      <c r="G55" s="257">
        <v>415622032</v>
      </c>
      <c r="H55" s="257">
        <v>436853862</v>
      </c>
      <c r="I55" s="257">
        <v>415622032</v>
      </c>
    </row>
    <row r="56" spans="1:9" ht="15">
      <c r="A56" s="386" t="s">
        <v>1407</v>
      </c>
      <c r="B56" s="218">
        <v>33224608777</v>
      </c>
      <c r="C56" s="218">
        <v>33224608777</v>
      </c>
      <c r="D56" s="218">
        <v>34041799639</v>
      </c>
      <c r="E56" s="218">
        <v>34041799639</v>
      </c>
      <c r="F56" s="257">
        <v>34041799639</v>
      </c>
      <c r="G56" s="257">
        <v>33224608777</v>
      </c>
      <c r="H56" s="257">
        <v>34041799639</v>
      </c>
      <c r="I56" s="257">
        <v>33224608777</v>
      </c>
    </row>
    <row r="57" spans="1:9" ht="15">
      <c r="A57" s="386" t="s">
        <v>768</v>
      </c>
      <c r="B57" s="218">
        <v>3003860341</v>
      </c>
      <c r="C57" s="218">
        <v>3003860341</v>
      </c>
      <c r="D57" s="218">
        <v>3101427233</v>
      </c>
      <c r="E57" s="218">
        <v>3101427233</v>
      </c>
      <c r="F57" s="257">
        <v>3101427233</v>
      </c>
      <c r="G57" s="257">
        <v>3003860341</v>
      </c>
      <c r="H57" s="257">
        <v>3101427233</v>
      </c>
      <c r="I57" s="257">
        <v>3003860341</v>
      </c>
    </row>
    <row r="58" spans="1:9" ht="15">
      <c r="A58" s="386" t="s">
        <v>709</v>
      </c>
      <c r="B58" s="218">
        <v>2927894752</v>
      </c>
      <c r="C58" s="218">
        <v>2927894752</v>
      </c>
      <c r="D58" s="218">
        <v>3010939294</v>
      </c>
      <c r="E58" s="218">
        <v>3010939294</v>
      </c>
      <c r="F58" s="257">
        <v>3010939294</v>
      </c>
      <c r="G58" s="257">
        <v>2927894752</v>
      </c>
      <c r="H58" s="257">
        <v>3010939294</v>
      </c>
      <c r="I58" s="257">
        <v>2927894752</v>
      </c>
    </row>
    <row r="59" spans="1:9" ht="15">
      <c r="A59" s="386" t="s">
        <v>1409</v>
      </c>
      <c r="B59" s="218">
        <v>42731947696</v>
      </c>
      <c r="C59" s="218">
        <v>42731947696</v>
      </c>
      <c r="D59" s="218">
        <v>43759766897</v>
      </c>
      <c r="E59" s="218">
        <v>43759766897</v>
      </c>
      <c r="F59" s="257">
        <v>43759766897</v>
      </c>
      <c r="G59" s="257">
        <v>42731947696</v>
      </c>
      <c r="H59" s="257">
        <v>43759766897</v>
      </c>
      <c r="I59" s="257">
        <v>42731947696</v>
      </c>
    </row>
    <row r="60" spans="1:9" ht="15">
      <c r="A60" s="386" t="s">
        <v>46</v>
      </c>
      <c r="B60" s="218">
        <v>7487013431</v>
      </c>
      <c r="C60" s="218">
        <v>7487013431</v>
      </c>
      <c r="D60" s="218">
        <v>7718460026</v>
      </c>
      <c r="E60" s="218">
        <v>7718460026</v>
      </c>
      <c r="F60" s="257">
        <v>7718460026</v>
      </c>
      <c r="G60" s="257">
        <v>7487013431</v>
      </c>
      <c r="H60" s="257">
        <v>7718460026</v>
      </c>
      <c r="I60" s="257">
        <v>7487013431</v>
      </c>
    </row>
    <row r="61" spans="1:9" ht="15">
      <c r="A61" s="386" t="s">
        <v>1507</v>
      </c>
      <c r="B61" s="218">
        <v>1420326718</v>
      </c>
      <c r="C61" s="218">
        <v>1420326718</v>
      </c>
      <c r="D61" s="218">
        <v>1452701579</v>
      </c>
      <c r="E61" s="218">
        <v>1452701579</v>
      </c>
      <c r="F61" s="257">
        <v>1452701579</v>
      </c>
      <c r="G61" s="257">
        <v>1420326718</v>
      </c>
      <c r="H61" s="257">
        <v>1452701579</v>
      </c>
      <c r="I61" s="257">
        <v>1420326718</v>
      </c>
    </row>
    <row r="62" spans="1:9" ht="15">
      <c r="A62" s="386" t="s">
        <v>1210</v>
      </c>
      <c r="B62" s="218">
        <v>660154775</v>
      </c>
      <c r="C62" s="218">
        <v>660154775</v>
      </c>
      <c r="D62" s="218">
        <v>674274952</v>
      </c>
      <c r="E62" s="218">
        <v>674274952</v>
      </c>
      <c r="F62" s="257">
        <v>674274952</v>
      </c>
      <c r="G62" s="257">
        <v>660154775</v>
      </c>
      <c r="H62" s="257">
        <v>674274952</v>
      </c>
      <c r="I62" s="257">
        <v>660154775</v>
      </c>
    </row>
    <row r="63" spans="1:9" ht="15">
      <c r="A63" s="386" t="s">
        <v>874</v>
      </c>
      <c r="B63" s="218">
        <v>764015673</v>
      </c>
      <c r="C63" s="218">
        <v>764015673</v>
      </c>
      <c r="D63" s="218">
        <v>782148935</v>
      </c>
      <c r="E63" s="218">
        <v>782148935</v>
      </c>
      <c r="F63" s="257">
        <v>782148935</v>
      </c>
      <c r="G63" s="257">
        <v>764015673</v>
      </c>
      <c r="H63" s="257">
        <v>782148935</v>
      </c>
      <c r="I63" s="257">
        <v>764015673</v>
      </c>
    </row>
    <row r="64" spans="1:9" ht="15">
      <c r="A64" s="386" t="s">
        <v>1211</v>
      </c>
      <c r="B64" s="218">
        <v>781992902</v>
      </c>
      <c r="C64" s="218">
        <v>826692182</v>
      </c>
      <c r="D64" s="218">
        <v>782382102</v>
      </c>
      <c r="E64" s="218">
        <v>827081382</v>
      </c>
      <c r="F64" s="257">
        <v>782122646</v>
      </c>
      <c r="G64" s="257">
        <v>781733446</v>
      </c>
      <c r="H64" s="257">
        <v>826821926</v>
      </c>
      <c r="I64" s="257">
        <v>826432726</v>
      </c>
    </row>
    <row r="65" spans="1:9" ht="15">
      <c r="A65" s="386" t="s">
        <v>575</v>
      </c>
      <c r="B65" s="218">
        <v>616993526</v>
      </c>
      <c r="C65" s="218">
        <v>616993526</v>
      </c>
      <c r="D65" s="218">
        <v>632408365</v>
      </c>
      <c r="E65" s="218">
        <v>632408365</v>
      </c>
      <c r="F65" s="257">
        <v>632408365</v>
      </c>
      <c r="G65" s="257">
        <v>616993526</v>
      </c>
      <c r="H65" s="257">
        <v>632408365</v>
      </c>
      <c r="I65" s="257">
        <v>616993526</v>
      </c>
    </row>
    <row r="66" spans="1:9" ht="15">
      <c r="A66" s="386" t="s">
        <v>1212</v>
      </c>
      <c r="B66" s="218">
        <v>158936032</v>
      </c>
      <c r="C66" s="218">
        <v>158936032</v>
      </c>
      <c r="D66" s="218">
        <v>164269961</v>
      </c>
      <c r="E66" s="218">
        <v>164269961</v>
      </c>
      <c r="F66" s="257">
        <v>164269961</v>
      </c>
      <c r="G66" s="257">
        <v>158936032</v>
      </c>
      <c r="H66" s="257">
        <v>164269961</v>
      </c>
      <c r="I66" s="257">
        <v>158936032</v>
      </c>
    </row>
    <row r="67" spans="1:9" ht="15">
      <c r="A67" s="386" t="s">
        <v>1113</v>
      </c>
      <c r="B67" s="218">
        <v>56831499</v>
      </c>
      <c r="C67" s="218">
        <v>56831499</v>
      </c>
      <c r="D67" s="218">
        <v>58781475</v>
      </c>
      <c r="E67" s="218">
        <v>58781475</v>
      </c>
      <c r="F67" s="257">
        <v>58781475</v>
      </c>
      <c r="G67" s="257">
        <v>56831499</v>
      </c>
      <c r="H67" s="257">
        <v>58781475</v>
      </c>
      <c r="I67" s="257">
        <v>56831499</v>
      </c>
    </row>
    <row r="68" spans="1:9" ht="15">
      <c r="A68" s="386" t="s">
        <v>1114</v>
      </c>
      <c r="B68" s="218">
        <v>200305128</v>
      </c>
      <c r="C68" s="218">
        <v>200305128</v>
      </c>
      <c r="D68" s="218">
        <v>207988909</v>
      </c>
      <c r="E68" s="218">
        <v>207988909</v>
      </c>
      <c r="F68" s="257">
        <v>207988909</v>
      </c>
      <c r="G68" s="257">
        <v>200305128</v>
      </c>
      <c r="H68" s="257">
        <v>207988909</v>
      </c>
      <c r="I68" s="257">
        <v>200305128</v>
      </c>
    </row>
    <row r="69" spans="1:9" ht="15">
      <c r="A69" s="386" t="s">
        <v>1901</v>
      </c>
      <c r="B69" s="218">
        <v>74689616</v>
      </c>
      <c r="C69" s="218">
        <v>74689616</v>
      </c>
      <c r="D69" s="218">
        <v>76543680</v>
      </c>
      <c r="E69" s="218">
        <v>76543680</v>
      </c>
      <c r="F69" s="257">
        <v>76543680</v>
      </c>
      <c r="G69" s="257">
        <v>74689616</v>
      </c>
      <c r="H69" s="257">
        <v>76543680</v>
      </c>
      <c r="I69" s="257">
        <v>74689616</v>
      </c>
    </row>
    <row r="70" spans="1:9" ht="15">
      <c r="A70" s="386" t="s">
        <v>1645</v>
      </c>
      <c r="B70" s="218">
        <v>112515194</v>
      </c>
      <c r="C70" s="218">
        <v>112515194</v>
      </c>
      <c r="D70" s="218">
        <v>114853359</v>
      </c>
      <c r="E70" s="218">
        <v>114853359</v>
      </c>
      <c r="F70" s="257">
        <v>114853359</v>
      </c>
      <c r="G70" s="257">
        <v>112515194</v>
      </c>
      <c r="H70" s="257">
        <v>114853359</v>
      </c>
      <c r="I70" s="257">
        <v>112515194</v>
      </c>
    </row>
    <row r="71" spans="1:9" ht="15">
      <c r="A71" s="386" t="s">
        <v>1646</v>
      </c>
      <c r="B71" s="218">
        <v>103868870</v>
      </c>
      <c r="C71" s="218">
        <v>103868870</v>
      </c>
      <c r="D71" s="218">
        <v>108191672</v>
      </c>
      <c r="E71" s="218">
        <v>108191672</v>
      </c>
      <c r="F71" s="257">
        <v>108191672</v>
      </c>
      <c r="G71" s="257">
        <v>103868870</v>
      </c>
      <c r="H71" s="257">
        <v>108191672</v>
      </c>
      <c r="I71" s="257">
        <v>103868870</v>
      </c>
    </row>
    <row r="72" spans="1:9" ht="15">
      <c r="A72" s="386" t="s">
        <v>1647</v>
      </c>
      <c r="B72" s="218">
        <v>75646201</v>
      </c>
      <c r="C72" s="218">
        <v>75646201</v>
      </c>
      <c r="D72" s="218">
        <v>77778612</v>
      </c>
      <c r="E72" s="218">
        <v>77778612</v>
      </c>
      <c r="F72" s="257">
        <v>77778612</v>
      </c>
      <c r="G72" s="257">
        <v>75646201</v>
      </c>
      <c r="H72" s="257">
        <v>77778612</v>
      </c>
      <c r="I72" s="257">
        <v>75646201</v>
      </c>
    </row>
    <row r="73" spans="1:9" ht="15">
      <c r="A73" s="386" t="s">
        <v>885</v>
      </c>
      <c r="B73" s="218">
        <v>176065920</v>
      </c>
      <c r="C73" s="218">
        <v>176065920</v>
      </c>
      <c r="D73" s="218">
        <v>185962776</v>
      </c>
      <c r="E73" s="218">
        <v>185962776</v>
      </c>
      <c r="F73" s="257">
        <v>185962776</v>
      </c>
      <c r="G73" s="257">
        <v>176065920</v>
      </c>
      <c r="H73" s="257">
        <v>185962776</v>
      </c>
      <c r="I73" s="257">
        <v>176065920</v>
      </c>
    </row>
    <row r="74" spans="1:9" ht="15">
      <c r="A74" s="386" t="s">
        <v>710</v>
      </c>
      <c r="B74" s="218">
        <v>142183650</v>
      </c>
      <c r="C74" s="218">
        <v>142183650</v>
      </c>
      <c r="D74" s="218">
        <v>150977380</v>
      </c>
      <c r="E74" s="218">
        <v>150977380</v>
      </c>
      <c r="F74" s="257">
        <v>150977380</v>
      </c>
      <c r="G74" s="257">
        <v>142183650</v>
      </c>
      <c r="H74" s="257">
        <v>150977380</v>
      </c>
      <c r="I74" s="257">
        <v>142183650</v>
      </c>
    </row>
    <row r="75" spans="1:9" ht="15">
      <c r="A75" s="386" t="s">
        <v>2136</v>
      </c>
      <c r="B75" s="218">
        <v>57538250</v>
      </c>
      <c r="C75" s="218">
        <v>57538250</v>
      </c>
      <c r="D75" s="218">
        <v>62263291</v>
      </c>
      <c r="E75" s="218">
        <v>62263291</v>
      </c>
      <c r="F75" s="257">
        <v>62263291</v>
      </c>
      <c r="G75" s="257">
        <v>57538250</v>
      </c>
      <c r="H75" s="257">
        <v>62263291</v>
      </c>
      <c r="I75" s="257">
        <v>57538250</v>
      </c>
    </row>
    <row r="76" spans="1:9" ht="15">
      <c r="A76" s="386" t="s">
        <v>2638</v>
      </c>
      <c r="B76" s="218">
        <v>353362327</v>
      </c>
      <c r="C76" s="218">
        <v>353362327</v>
      </c>
      <c r="D76" s="218">
        <v>369445894</v>
      </c>
      <c r="E76" s="218">
        <v>369445894</v>
      </c>
      <c r="F76" s="257">
        <v>369445894</v>
      </c>
      <c r="G76" s="257">
        <v>353362327</v>
      </c>
      <c r="H76" s="257">
        <v>369445894</v>
      </c>
      <c r="I76" s="257">
        <v>353362327</v>
      </c>
    </row>
    <row r="77" spans="1:9" ht="15">
      <c r="A77" s="386" t="s">
        <v>1096</v>
      </c>
      <c r="B77" s="218">
        <v>212597553</v>
      </c>
      <c r="C77" s="218">
        <v>212597553</v>
      </c>
      <c r="D77" s="218">
        <v>224279231</v>
      </c>
      <c r="E77" s="218">
        <v>224279231</v>
      </c>
      <c r="F77" s="257">
        <v>224279231</v>
      </c>
      <c r="G77" s="257">
        <v>212597553</v>
      </c>
      <c r="H77" s="257">
        <v>224279231</v>
      </c>
      <c r="I77" s="257">
        <v>212597553</v>
      </c>
    </row>
    <row r="78" spans="1:9" ht="15">
      <c r="A78" s="386" t="s">
        <v>1097</v>
      </c>
      <c r="B78" s="218">
        <v>1845468946</v>
      </c>
      <c r="C78" s="218">
        <v>1845468946</v>
      </c>
      <c r="D78" s="218">
        <v>1891973949</v>
      </c>
      <c r="E78" s="218">
        <v>1891973949</v>
      </c>
      <c r="F78" s="257">
        <v>1891973949</v>
      </c>
      <c r="G78" s="257">
        <v>1845468946</v>
      </c>
      <c r="H78" s="257">
        <v>1891973949</v>
      </c>
      <c r="I78" s="257">
        <v>1845468946</v>
      </c>
    </row>
    <row r="79" spans="1:9" ht="15">
      <c r="A79" s="386" t="s">
        <v>1124</v>
      </c>
      <c r="B79" s="218">
        <v>522643962</v>
      </c>
      <c r="C79" s="218">
        <v>522643962</v>
      </c>
      <c r="D79" s="218">
        <v>545732036</v>
      </c>
      <c r="E79" s="218">
        <v>545732036</v>
      </c>
      <c r="F79" s="257">
        <v>545732036</v>
      </c>
      <c r="G79" s="257">
        <v>522643962</v>
      </c>
      <c r="H79" s="257">
        <v>545732036</v>
      </c>
      <c r="I79" s="257">
        <v>522643962</v>
      </c>
    </row>
    <row r="80" spans="1:9" ht="15">
      <c r="A80" s="386" t="s">
        <v>2137</v>
      </c>
      <c r="B80" s="218">
        <v>101728913</v>
      </c>
      <c r="C80" s="218">
        <v>101728913</v>
      </c>
      <c r="D80" s="218">
        <v>108200309</v>
      </c>
      <c r="E80" s="218">
        <v>108200309</v>
      </c>
      <c r="F80" s="257">
        <v>108200309</v>
      </c>
      <c r="G80" s="257">
        <v>101728913</v>
      </c>
      <c r="H80" s="257">
        <v>108200309</v>
      </c>
      <c r="I80" s="257">
        <v>101728913</v>
      </c>
    </row>
    <row r="81" spans="1:9" ht="15">
      <c r="A81" s="386" t="s">
        <v>984</v>
      </c>
      <c r="B81" s="218">
        <v>18391547</v>
      </c>
      <c r="C81" s="218">
        <v>18391547</v>
      </c>
      <c r="D81" s="218">
        <v>20017453</v>
      </c>
      <c r="E81" s="218">
        <v>20017453</v>
      </c>
      <c r="F81" s="257">
        <v>20017453</v>
      </c>
      <c r="G81" s="257">
        <v>18391547</v>
      </c>
      <c r="H81" s="257">
        <v>20017453</v>
      </c>
      <c r="I81" s="257">
        <v>18391547</v>
      </c>
    </row>
    <row r="82" spans="1:9" ht="15">
      <c r="A82" s="386" t="s">
        <v>842</v>
      </c>
      <c r="B82" s="218">
        <v>191228502</v>
      </c>
      <c r="C82" s="218">
        <v>191228502</v>
      </c>
      <c r="D82" s="218">
        <v>198052511</v>
      </c>
      <c r="E82" s="218">
        <v>198052511</v>
      </c>
      <c r="F82" s="257">
        <v>198052511</v>
      </c>
      <c r="G82" s="257">
        <v>191228502</v>
      </c>
      <c r="H82" s="257">
        <v>198052511</v>
      </c>
      <c r="I82" s="257">
        <v>191228502</v>
      </c>
    </row>
    <row r="83" spans="1:9" ht="15">
      <c r="A83" s="386" t="s">
        <v>1125</v>
      </c>
      <c r="B83" s="218">
        <v>856518405</v>
      </c>
      <c r="C83" s="218">
        <v>856518405</v>
      </c>
      <c r="D83" s="218">
        <v>881798176</v>
      </c>
      <c r="E83" s="218">
        <v>881798176</v>
      </c>
      <c r="F83" s="257">
        <v>881798176</v>
      </c>
      <c r="G83" s="257">
        <v>856518405</v>
      </c>
      <c r="H83" s="257">
        <v>881798176</v>
      </c>
      <c r="I83" s="257">
        <v>856518405</v>
      </c>
    </row>
    <row r="84" spans="1:9" ht="15">
      <c r="A84" s="386" t="s">
        <v>1126</v>
      </c>
      <c r="B84" s="218">
        <v>18613271</v>
      </c>
      <c r="C84" s="218">
        <v>18613271</v>
      </c>
      <c r="D84" s="218">
        <v>20079640</v>
      </c>
      <c r="E84" s="218">
        <v>20079640</v>
      </c>
      <c r="F84" s="257">
        <v>20079640</v>
      </c>
      <c r="G84" s="257">
        <v>18613271</v>
      </c>
      <c r="H84" s="257">
        <v>20079640</v>
      </c>
      <c r="I84" s="257">
        <v>18613271</v>
      </c>
    </row>
    <row r="85" spans="1:9" ht="15">
      <c r="A85" s="386" t="s">
        <v>843</v>
      </c>
      <c r="B85" s="218">
        <v>39919032</v>
      </c>
      <c r="C85" s="218">
        <v>39919032</v>
      </c>
      <c r="D85" s="218">
        <v>41687440</v>
      </c>
      <c r="E85" s="218">
        <v>41687440</v>
      </c>
      <c r="F85" s="257">
        <v>41687440</v>
      </c>
      <c r="G85" s="257">
        <v>39919032</v>
      </c>
      <c r="H85" s="257">
        <v>41687440</v>
      </c>
      <c r="I85" s="257">
        <v>39919032</v>
      </c>
    </row>
    <row r="86" spans="1:9" ht="15">
      <c r="A86" s="386" t="s">
        <v>179</v>
      </c>
      <c r="B86" s="218">
        <v>5100366861</v>
      </c>
      <c r="C86" s="218">
        <v>5100366861</v>
      </c>
      <c r="D86" s="218">
        <v>5300345925</v>
      </c>
      <c r="E86" s="218">
        <v>5300345925</v>
      </c>
      <c r="F86" s="257">
        <v>5300345925</v>
      </c>
      <c r="G86" s="257">
        <v>5100366861</v>
      </c>
      <c r="H86" s="257">
        <v>5300345925</v>
      </c>
      <c r="I86" s="257">
        <v>5100366861</v>
      </c>
    </row>
    <row r="87" spans="1:9" ht="15">
      <c r="A87" s="386" t="s">
        <v>919</v>
      </c>
      <c r="B87" s="218">
        <v>2400853670</v>
      </c>
      <c r="C87" s="218">
        <v>2400853670</v>
      </c>
      <c r="D87" s="218">
        <v>2464795243</v>
      </c>
      <c r="E87" s="218">
        <v>2464795243</v>
      </c>
      <c r="F87" s="257">
        <v>2464795243</v>
      </c>
      <c r="G87" s="257">
        <v>2400853670</v>
      </c>
      <c r="H87" s="257">
        <v>2464795243</v>
      </c>
      <c r="I87" s="257">
        <v>2400853670</v>
      </c>
    </row>
    <row r="88" spans="1:9" ht="15">
      <c r="A88" s="386" t="s">
        <v>711</v>
      </c>
      <c r="B88" s="218">
        <v>229360813</v>
      </c>
      <c r="C88" s="218">
        <v>229360813</v>
      </c>
      <c r="D88" s="218">
        <v>238342712</v>
      </c>
      <c r="E88" s="218">
        <v>238342712</v>
      </c>
      <c r="F88" s="257">
        <v>238342712</v>
      </c>
      <c r="G88" s="257">
        <v>229360813</v>
      </c>
      <c r="H88" s="257">
        <v>238342712</v>
      </c>
      <c r="I88" s="257">
        <v>229360813</v>
      </c>
    </row>
    <row r="89" spans="1:9" ht="15">
      <c r="A89" s="386" t="s">
        <v>1157</v>
      </c>
      <c r="B89" s="218">
        <v>7904068615</v>
      </c>
      <c r="C89" s="218">
        <v>8074849735</v>
      </c>
      <c r="D89" s="218">
        <v>8027505086</v>
      </c>
      <c r="E89" s="218">
        <v>8198286206</v>
      </c>
      <c r="F89" s="257">
        <v>7941263789</v>
      </c>
      <c r="G89" s="257">
        <v>7817827318</v>
      </c>
      <c r="H89" s="257">
        <v>8112044909</v>
      </c>
      <c r="I89" s="257">
        <v>7988608438</v>
      </c>
    </row>
    <row r="90" spans="1:9" ht="15">
      <c r="A90" s="386" t="s">
        <v>1158</v>
      </c>
      <c r="B90" s="218">
        <v>1846818546</v>
      </c>
      <c r="C90" s="218">
        <v>1846818546</v>
      </c>
      <c r="D90" s="218">
        <v>1870475539</v>
      </c>
      <c r="E90" s="218">
        <v>1870475539</v>
      </c>
      <c r="F90" s="257">
        <v>1842041999</v>
      </c>
      <c r="G90" s="257">
        <v>1818385006</v>
      </c>
      <c r="H90" s="257">
        <v>1842041999</v>
      </c>
      <c r="I90" s="257">
        <v>1818385006</v>
      </c>
    </row>
    <row r="91" spans="1:9" ht="15">
      <c r="A91" s="386" t="s">
        <v>1435</v>
      </c>
      <c r="B91" s="218">
        <v>939195668</v>
      </c>
      <c r="C91" s="218">
        <v>939195668</v>
      </c>
      <c r="D91" s="218">
        <v>983436549</v>
      </c>
      <c r="E91" s="218">
        <v>983436549</v>
      </c>
      <c r="F91" s="257">
        <v>954603244</v>
      </c>
      <c r="G91" s="257">
        <v>910362363</v>
      </c>
      <c r="H91" s="257">
        <v>954603244</v>
      </c>
      <c r="I91" s="257">
        <v>910362363</v>
      </c>
    </row>
    <row r="92" spans="1:9" ht="15">
      <c r="A92" s="386" t="s">
        <v>207</v>
      </c>
      <c r="B92" s="218">
        <v>6334851051</v>
      </c>
      <c r="C92" s="218">
        <v>6334851051</v>
      </c>
      <c r="D92" s="218">
        <v>6566314508</v>
      </c>
      <c r="E92" s="218">
        <v>6566314508</v>
      </c>
      <c r="F92" s="257">
        <v>6566314508</v>
      </c>
      <c r="G92" s="257">
        <v>6334851051</v>
      </c>
      <c r="H92" s="257">
        <v>6566314508</v>
      </c>
      <c r="I92" s="257">
        <v>6334851051</v>
      </c>
    </row>
    <row r="93" spans="1:9" ht="15">
      <c r="A93" s="386" t="s">
        <v>1159</v>
      </c>
      <c r="B93" s="218">
        <v>55551439</v>
      </c>
      <c r="C93" s="218">
        <v>55551439</v>
      </c>
      <c r="D93" s="218">
        <v>57696336</v>
      </c>
      <c r="E93" s="218">
        <v>57696336</v>
      </c>
      <c r="F93" s="257">
        <v>57696336</v>
      </c>
      <c r="G93" s="257">
        <v>55551439</v>
      </c>
      <c r="H93" s="257">
        <v>57696336</v>
      </c>
      <c r="I93" s="257">
        <v>55551439</v>
      </c>
    </row>
    <row r="94" spans="1:9" ht="15">
      <c r="A94" s="386" t="s">
        <v>578</v>
      </c>
      <c r="B94" s="218">
        <v>7679110158</v>
      </c>
      <c r="C94" s="218">
        <v>7679110158</v>
      </c>
      <c r="D94" s="218">
        <v>7793076856</v>
      </c>
      <c r="E94" s="218">
        <v>7793076856</v>
      </c>
      <c r="F94" s="257">
        <v>7793076856</v>
      </c>
      <c r="G94" s="257">
        <v>7679110158</v>
      </c>
      <c r="H94" s="257">
        <v>7793076856</v>
      </c>
      <c r="I94" s="257">
        <v>7679110158</v>
      </c>
    </row>
    <row r="95" spans="1:9" ht="15">
      <c r="A95" s="386" t="s">
        <v>882</v>
      </c>
      <c r="B95" s="218">
        <v>6572848371</v>
      </c>
      <c r="C95" s="218">
        <v>6572848371</v>
      </c>
      <c r="D95" s="218">
        <v>6708224212</v>
      </c>
      <c r="E95" s="218">
        <v>6708224212</v>
      </c>
      <c r="F95" s="257">
        <v>6708224212</v>
      </c>
      <c r="G95" s="257">
        <v>6572848371</v>
      </c>
      <c r="H95" s="257">
        <v>6708224212</v>
      </c>
      <c r="I95" s="257">
        <v>6572848371</v>
      </c>
    </row>
    <row r="96" spans="1:9" ht="15">
      <c r="A96" s="386" t="s">
        <v>2549</v>
      </c>
      <c r="B96" s="218">
        <v>76121495</v>
      </c>
      <c r="C96" s="218">
        <v>76121495</v>
      </c>
      <c r="D96" s="218">
        <v>77504628</v>
      </c>
      <c r="E96" s="218">
        <v>77504628</v>
      </c>
      <c r="F96" s="257">
        <v>77504628</v>
      </c>
      <c r="G96" s="257">
        <v>76121495</v>
      </c>
      <c r="H96" s="257">
        <v>77504628</v>
      </c>
      <c r="I96" s="257">
        <v>76121495</v>
      </c>
    </row>
    <row r="97" spans="1:9" ht="15">
      <c r="A97" s="386" t="s">
        <v>400</v>
      </c>
      <c r="B97" s="218">
        <v>486382577</v>
      </c>
      <c r="C97" s="218">
        <v>486382577</v>
      </c>
      <c r="D97" s="218">
        <v>504901114</v>
      </c>
      <c r="E97" s="218">
        <v>504901114</v>
      </c>
      <c r="F97" s="257">
        <v>492890104</v>
      </c>
      <c r="G97" s="257">
        <v>474371567</v>
      </c>
      <c r="H97" s="257">
        <v>492890104</v>
      </c>
      <c r="I97" s="257">
        <v>474371567</v>
      </c>
    </row>
    <row r="98" spans="1:9" ht="15">
      <c r="A98" s="386" t="s">
        <v>401</v>
      </c>
      <c r="B98" s="218">
        <v>82758025</v>
      </c>
      <c r="C98" s="218">
        <v>82758025</v>
      </c>
      <c r="D98" s="218">
        <v>84202608</v>
      </c>
      <c r="E98" s="218">
        <v>84202608</v>
      </c>
      <c r="F98" s="257">
        <v>84202608</v>
      </c>
      <c r="G98" s="257">
        <v>82758025</v>
      </c>
      <c r="H98" s="257">
        <v>84202608</v>
      </c>
      <c r="I98" s="257">
        <v>82758025</v>
      </c>
    </row>
    <row r="99" spans="1:9" ht="15">
      <c r="A99" s="386" t="s">
        <v>402</v>
      </c>
      <c r="B99" s="218">
        <v>8791921</v>
      </c>
      <c r="C99" s="218">
        <v>8791921</v>
      </c>
      <c r="D99" s="218">
        <v>8801921</v>
      </c>
      <c r="E99" s="218">
        <v>8801921</v>
      </c>
      <c r="F99" s="257">
        <v>8801921</v>
      </c>
      <c r="G99" s="257">
        <v>8791921</v>
      </c>
      <c r="H99" s="257">
        <v>8801921</v>
      </c>
      <c r="I99" s="257">
        <v>8791921</v>
      </c>
    </row>
    <row r="100" spans="1:9" ht="15">
      <c r="A100" s="386" t="s">
        <v>403</v>
      </c>
      <c r="B100" s="218">
        <v>154628625</v>
      </c>
      <c r="C100" s="218">
        <v>154628625</v>
      </c>
      <c r="D100" s="218">
        <v>156307735</v>
      </c>
      <c r="E100" s="218">
        <v>156307735</v>
      </c>
      <c r="F100" s="257">
        <v>156307735</v>
      </c>
      <c r="G100" s="257">
        <v>154628625</v>
      </c>
      <c r="H100" s="257">
        <v>156307735</v>
      </c>
      <c r="I100" s="257">
        <v>154628625</v>
      </c>
    </row>
    <row r="101" spans="1:9" ht="15">
      <c r="A101" s="386" t="s">
        <v>669</v>
      </c>
      <c r="B101" s="218">
        <v>610293282</v>
      </c>
      <c r="C101" s="218">
        <v>610293282</v>
      </c>
      <c r="D101" s="218">
        <v>619011940</v>
      </c>
      <c r="E101" s="218">
        <v>619011940</v>
      </c>
      <c r="F101" s="257">
        <v>619011940</v>
      </c>
      <c r="G101" s="257">
        <v>610293282</v>
      </c>
      <c r="H101" s="257">
        <v>619011940</v>
      </c>
      <c r="I101" s="257">
        <v>610293282</v>
      </c>
    </row>
    <row r="102" spans="1:9" ht="15">
      <c r="A102" s="386" t="s">
        <v>670</v>
      </c>
      <c r="B102" s="218">
        <v>304156079</v>
      </c>
      <c r="C102" s="218">
        <v>304156079</v>
      </c>
      <c r="D102" s="218">
        <v>318644697</v>
      </c>
      <c r="E102" s="218">
        <v>318644697</v>
      </c>
      <c r="F102" s="257">
        <v>318644697</v>
      </c>
      <c r="G102" s="257">
        <v>304156079</v>
      </c>
      <c r="H102" s="257">
        <v>318644697</v>
      </c>
      <c r="I102" s="257">
        <v>304156079</v>
      </c>
    </row>
    <row r="103" spans="1:9" ht="15">
      <c r="A103" s="386" t="s">
        <v>671</v>
      </c>
      <c r="B103" s="218">
        <v>1261721552</v>
      </c>
      <c r="C103" s="218">
        <v>1261721552</v>
      </c>
      <c r="D103" s="218">
        <v>1300505081</v>
      </c>
      <c r="E103" s="218">
        <v>1300505081</v>
      </c>
      <c r="F103" s="257">
        <v>1300505081</v>
      </c>
      <c r="G103" s="257">
        <v>1261721552</v>
      </c>
      <c r="H103" s="257">
        <v>1300505081</v>
      </c>
      <c r="I103" s="257">
        <v>1261721552</v>
      </c>
    </row>
    <row r="104" spans="1:9" ht="15">
      <c r="A104" s="386" t="s">
        <v>876</v>
      </c>
      <c r="B104" s="218">
        <v>46075896</v>
      </c>
      <c r="C104" s="218">
        <v>46075896</v>
      </c>
      <c r="D104" s="218">
        <v>48851046</v>
      </c>
      <c r="E104" s="218">
        <v>48851046</v>
      </c>
      <c r="F104" s="257">
        <v>48851046</v>
      </c>
      <c r="G104" s="257">
        <v>46075896</v>
      </c>
      <c r="H104" s="257">
        <v>48851046</v>
      </c>
      <c r="I104" s="257">
        <v>46075896</v>
      </c>
    </row>
    <row r="105" spans="1:9" ht="15">
      <c r="A105" s="386" t="s">
        <v>2528</v>
      </c>
      <c r="B105" s="218">
        <v>161030554</v>
      </c>
      <c r="C105" s="218">
        <v>161030554</v>
      </c>
      <c r="D105" s="218">
        <v>166311249</v>
      </c>
      <c r="E105" s="218">
        <v>166311249</v>
      </c>
      <c r="F105" s="257">
        <v>166311249</v>
      </c>
      <c r="G105" s="257">
        <v>161030554</v>
      </c>
      <c r="H105" s="257">
        <v>166311249</v>
      </c>
      <c r="I105" s="257">
        <v>161030554</v>
      </c>
    </row>
    <row r="106" spans="1:9" ht="15">
      <c r="A106" s="386" t="s">
        <v>1187</v>
      </c>
      <c r="B106" s="218">
        <v>43985014</v>
      </c>
      <c r="C106" s="218">
        <v>43985014</v>
      </c>
      <c r="D106" s="218">
        <v>45907231</v>
      </c>
      <c r="E106" s="218">
        <v>45907231</v>
      </c>
      <c r="F106" s="257">
        <v>45907231</v>
      </c>
      <c r="G106" s="257">
        <v>43985014</v>
      </c>
      <c r="H106" s="257">
        <v>45907231</v>
      </c>
      <c r="I106" s="257">
        <v>43985014</v>
      </c>
    </row>
    <row r="107" spans="1:9" ht="15">
      <c r="A107" s="386" t="s">
        <v>712</v>
      </c>
      <c r="B107" s="218">
        <v>103407489</v>
      </c>
      <c r="C107" s="218">
        <v>103407489</v>
      </c>
      <c r="D107" s="218">
        <v>105669780</v>
      </c>
      <c r="E107" s="218">
        <v>105669780</v>
      </c>
      <c r="F107" s="257">
        <v>105669780</v>
      </c>
      <c r="G107" s="257">
        <v>103407489</v>
      </c>
      <c r="H107" s="257">
        <v>105669780</v>
      </c>
      <c r="I107" s="257">
        <v>103407489</v>
      </c>
    </row>
    <row r="108" spans="1:9" ht="15">
      <c r="A108" s="386" t="s">
        <v>769</v>
      </c>
      <c r="B108" s="218">
        <v>277680991</v>
      </c>
      <c r="C108" s="218">
        <v>277680991</v>
      </c>
      <c r="D108" s="218">
        <v>289857186</v>
      </c>
      <c r="E108" s="218">
        <v>289857186</v>
      </c>
      <c r="F108" s="257">
        <v>289857186</v>
      </c>
      <c r="G108" s="257">
        <v>277680991</v>
      </c>
      <c r="H108" s="257">
        <v>289857186</v>
      </c>
      <c r="I108" s="257">
        <v>277680991</v>
      </c>
    </row>
    <row r="109" spans="1:9" ht="15">
      <c r="A109" s="386" t="s">
        <v>672</v>
      </c>
      <c r="B109" s="218">
        <v>910147059</v>
      </c>
      <c r="C109" s="218">
        <v>910147059</v>
      </c>
      <c r="D109" s="218">
        <v>930182696</v>
      </c>
      <c r="E109" s="218">
        <v>930182696</v>
      </c>
      <c r="F109" s="257">
        <v>930182696</v>
      </c>
      <c r="G109" s="257">
        <v>910147059</v>
      </c>
      <c r="H109" s="257">
        <v>930182696</v>
      </c>
      <c r="I109" s="257">
        <v>910147059</v>
      </c>
    </row>
    <row r="110" spans="1:9" ht="15">
      <c r="A110" s="386" t="s">
        <v>673</v>
      </c>
      <c r="B110" s="218">
        <v>282891452</v>
      </c>
      <c r="C110" s="218">
        <v>282891452</v>
      </c>
      <c r="D110" s="218">
        <v>291868423</v>
      </c>
      <c r="E110" s="218">
        <v>291868423</v>
      </c>
      <c r="F110" s="257">
        <v>291868423</v>
      </c>
      <c r="G110" s="257">
        <v>282891452</v>
      </c>
      <c r="H110" s="257">
        <v>291868423</v>
      </c>
      <c r="I110" s="257">
        <v>282891452</v>
      </c>
    </row>
    <row r="111" spans="1:9" ht="15">
      <c r="A111" s="386" t="s">
        <v>674</v>
      </c>
      <c r="B111" s="218">
        <v>287889446</v>
      </c>
      <c r="C111" s="218">
        <v>287889446</v>
      </c>
      <c r="D111" s="218">
        <v>292810178</v>
      </c>
      <c r="E111" s="218">
        <v>292810178</v>
      </c>
      <c r="F111" s="257">
        <v>292810178</v>
      </c>
      <c r="G111" s="257">
        <v>287889446</v>
      </c>
      <c r="H111" s="257">
        <v>292810178</v>
      </c>
      <c r="I111" s="257">
        <v>287889446</v>
      </c>
    </row>
    <row r="112" spans="1:9" ht="15">
      <c r="A112" s="386" t="s">
        <v>1885</v>
      </c>
      <c r="B112" s="218">
        <v>1858616737</v>
      </c>
      <c r="C112" s="218">
        <v>1858616737</v>
      </c>
      <c r="D112" s="218">
        <v>1913202017</v>
      </c>
      <c r="E112" s="218">
        <v>1913202017</v>
      </c>
      <c r="F112" s="257">
        <v>1913202017</v>
      </c>
      <c r="G112" s="257">
        <v>1858616737</v>
      </c>
      <c r="H112" s="257">
        <v>1913202017</v>
      </c>
      <c r="I112" s="257">
        <v>1858616737</v>
      </c>
    </row>
    <row r="113" spans="1:9" ht="15">
      <c r="A113" s="386" t="s">
        <v>348</v>
      </c>
      <c r="B113" s="218">
        <v>3139000460</v>
      </c>
      <c r="C113" s="218">
        <v>3139000460</v>
      </c>
      <c r="D113" s="218">
        <v>3194667875</v>
      </c>
      <c r="E113" s="218">
        <v>3194667875</v>
      </c>
      <c r="F113" s="257">
        <v>3194667875</v>
      </c>
      <c r="G113" s="257">
        <v>3139000460</v>
      </c>
      <c r="H113" s="257">
        <v>3194667875</v>
      </c>
      <c r="I113" s="257">
        <v>3139000460</v>
      </c>
    </row>
    <row r="114" spans="1:9" ht="15">
      <c r="A114" s="386" t="s">
        <v>456</v>
      </c>
      <c r="B114" s="218">
        <v>1045026089</v>
      </c>
      <c r="C114" s="218">
        <v>1045026089</v>
      </c>
      <c r="D114" s="218">
        <v>1085266804</v>
      </c>
      <c r="E114" s="218">
        <v>1085266804</v>
      </c>
      <c r="F114" s="257">
        <v>1085266804</v>
      </c>
      <c r="G114" s="257">
        <v>1045026089</v>
      </c>
      <c r="H114" s="257">
        <v>1085266804</v>
      </c>
      <c r="I114" s="257">
        <v>1045026089</v>
      </c>
    </row>
    <row r="115" spans="1:9" ht="15">
      <c r="A115" s="386" t="s">
        <v>1154</v>
      </c>
      <c r="B115" s="218">
        <v>425409217</v>
      </c>
      <c r="C115" s="218">
        <v>425409217</v>
      </c>
      <c r="D115" s="218">
        <v>437437437</v>
      </c>
      <c r="E115" s="218">
        <v>437437437</v>
      </c>
      <c r="F115" s="257">
        <v>437437437</v>
      </c>
      <c r="G115" s="257">
        <v>425409217</v>
      </c>
      <c r="H115" s="257">
        <v>437437437</v>
      </c>
      <c r="I115" s="257">
        <v>425409217</v>
      </c>
    </row>
    <row r="116" spans="1:9" ht="15">
      <c r="A116" s="386" t="s">
        <v>2306</v>
      </c>
      <c r="B116" s="218">
        <v>137050375</v>
      </c>
      <c r="C116" s="218">
        <v>137050375</v>
      </c>
      <c r="D116" s="218">
        <v>138987596</v>
      </c>
      <c r="E116" s="218">
        <v>138987596</v>
      </c>
      <c r="F116" s="257">
        <v>138987596</v>
      </c>
      <c r="G116" s="257">
        <v>137050375</v>
      </c>
      <c r="H116" s="257">
        <v>138987596</v>
      </c>
      <c r="I116" s="257">
        <v>137050375</v>
      </c>
    </row>
    <row r="117" spans="1:9" ht="15">
      <c r="A117" s="386" t="s">
        <v>1359</v>
      </c>
      <c r="B117" s="218">
        <v>3497230348</v>
      </c>
      <c r="C117" s="218">
        <v>3573681048</v>
      </c>
      <c r="D117" s="218">
        <v>3539708577</v>
      </c>
      <c r="E117" s="218">
        <v>3616159277</v>
      </c>
      <c r="F117" s="257">
        <v>3488422862</v>
      </c>
      <c r="G117" s="257">
        <v>3445944633</v>
      </c>
      <c r="H117" s="257">
        <v>3564873562</v>
      </c>
      <c r="I117" s="257">
        <v>3522395333</v>
      </c>
    </row>
    <row r="118" spans="1:9" ht="15">
      <c r="A118" s="386" t="s">
        <v>2341</v>
      </c>
      <c r="B118" s="218">
        <v>128590950</v>
      </c>
      <c r="C118" s="218">
        <v>128590950</v>
      </c>
      <c r="D118" s="218">
        <v>134840280</v>
      </c>
      <c r="E118" s="218">
        <v>134840280</v>
      </c>
      <c r="F118" s="257">
        <v>134840280</v>
      </c>
      <c r="G118" s="257">
        <v>128590950</v>
      </c>
      <c r="H118" s="257">
        <v>134840280</v>
      </c>
      <c r="I118" s="257">
        <v>128590950</v>
      </c>
    </row>
    <row r="119" spans="1:9" ht="15">
      <c r="A119" s="386" t="s">
        <v>713</v>
      </c>
      <c r="B119" s="218">
        <v>316040394</v>
      </c>
      <c r="C119" s="218">
        <v>517030070</v>
      </c>
      <c r="D119" s="218">
        <v>334550829</v>
      </c>
      <c r="E119" s="218">
        <v>535540505</v>
      </c>
      <c r="F119" s="257">
        <v>334550829</v>
      </c>
      <c r="G119" s="257">
        <v>316040394</v>
      </c>
      <c r="H119" s="257">
        <v>535540505</v>
      </c>
      <c r="I119" s="257">
        <v>517030070</v>
      </c>
    </row>
    <row r="120" spans="1:9" ht="15">
      <c r="A120" s="386" t="s">
        <v>148</v>
      </c>
      <c r="B120" s="218">
        <v>163423616</v>
      </c>
      <c r="C120" s="218">
        <v>163423616</v>
      </c>
      <c r="D120" s="218">
        <v>168998126</v>
      </c>
      <c r="E120" s="218">
        <v>168998126</v>
      </c>
      <c r="F120" s="257">
        <v>168998126</v>
      </c>
      <c r="G120" s="257">
        <v>163423616</v>
      </c>
      <c r="H120" s="257">
        <v>168998126</v>
      </c>
      <c r="I120" s="257">
        <v>163423616</v>
      </c>
    </row>
    <row r="121" spans="1:9" ht="15">
      <c r="A121" s="386" t="s">
        <v>1829</v>
      </c>
      <c r="B121" s="218">
        <v>225930092</v>
      </c>
      <c r="C121" s="218">
        <v>225930092</v>
      </c>
      <c r="D121" s="218">
        <v>231773352</v>
      </c>
      <c r="E121" s="218">
        <v>231773352</v>
      </c>
      <c r="F121" s="257">
        <v>231773352</v>
      </c>
      <c r="G121" s="257">
        <v>225930092</v>
      </c>
      <c r="H121" s="257">
        <v>231773352</v>
      </c>
      <c r="I121" s="257">
        <v>225930092</v>
      </c>
    </row>
    <row r="122" spans="1:9" ht="15">
      <c r="A122" s="386" t="s">
        <v>881</v>
      </c>
      <c r="B122" s="218">
        <v>5312597749</v>
      </c>
      <c r="C122" s="218">
        <v>5312597749</v>
      </c>
      <c r="D122" s="218">
        <v>5541675711</v>
      </c>
      <c r="E122" s="218">
        <v>5541675711</v>
      </c>
      <c r="F122" s="257">
        <v>5541675711</v>
      </c>
      <c r="G122" s="257">
        <v>5312597749</v>
      </c>
      <c r="H122" s="257">
        <v>5541675711</v>
      </c>
      <c r="I122" s="257">
        <v>5312597749</v>
      </c>
    </row>
    <row r="123" spans="1:9" ht="15">
      <c r="A123" s="386" t="s">
        <v>1860</v>
      </c>
      <c r="B123" s="218">
        <v>3257604662</v>
      </c>
      <c r="C123" s="218">
        <v>3257604662</v>
      </c>
      <c r="D123" s="218">
        <v>3375603131</v>
      </c>
      <c r="E123" s="218">
        <v>3375603131</v>
      </c>
      <c r="F123" s="257">
        <v>3375603131</v>
      </c>
      <c r="G123" s="257">
        <v>3257604662</v>
      </c>
      <c r="H123" s="257">
        <v>3375603131</v>
      </c>
      <c r="I123" s="257">
        <v>3257604662</v>
      </c>
    </row>
    <row r="124" spans="1:9" ht="15">
      <c r="A124" s="386" t="s">
        <v>57</v>
      </c>
      <c r="B124" s="218">
        <v>368886103</v>
      </c>
      <c r="C124" s="218">
        <v>368886103</v>
      </c>
      <c r="D124" s="218">
        <v>387048037</v>
      </c>
      <c r="E124" s="218">
        <v>387048037</v>
      </c>
      <c r="F124" s="257">
        <v>387048037</v>
      </c>
      <c r="G124" s="257">
        <v>368886103</v>
      </c>
      <c r="H124" s="257">
        <v>387048037</v>
      </c>
      <c r="I124" s="257">
        <v>368886103</v>
      </c>
    </row>
    <row r="125" spans="1:9" ht="15">
      <c r="A125" s="386" t="s">
        <v>2283</v>
      </c>
      <c r="B125" s="218">
        <v>1493649270</v>
      </c>
      <c r="C125" s="218">
        <v>1493649270</v>
      </c>
      <c r="D125" s="218">
        <v>1551120900</v>
      </c>
      <c r="E125" s="218">
        <v>1551120900</v>
      </c>
      <c r="F125" s="257">
        <v>1551120900</v>
      </c>
      <c r="G125" s="257">
        <v>1493649270</v>
      </c>
      <c r="H125" s="257">
        <v>1551120900</v>
      </c>
      <c r="I125" s="257">
        <v>1493649270</v>
      </c>
    </row>
    <row r="126" spans="1:9" ht="15">
      <c r="A126" s="386" t="s">
        <v>1679</v>
      </c>
      <c r="B126" s="218">
        <v>3528572016</v>
      </c>
      <c r="C126" s="218">
        <v>3528572016</v>
      </c>
      <c r="D126" s="218">
        <v>3551496790</v>
      </c>
      <c r="E126" s="218">
        <v>3551496790</v>
      </c>
      <c r="F126" s="257">
        <v>3551496790</v>
      </c>
      <c r="G126" s="257">
        <v>3528572016</v>
      </c>
      <c r="H126" s="257">
        <v>3551496790</v>
      </c>
      <c r="I126" s="257">
        <v>3528572016</v>
      </c>
    </row>
    <row r="127" spans="1:9" ht="15">
      <c r="A127" s="386" t="s">
        <v>714</v>
      </c>
      <c r="B127" s="218">
        <v>250114447</v>
      </c>
      <c r="C127" s="218">
        <v>292932637</v>
      </c>
      <c r="D127" s="218">
        <v>261751874</v>
      </c>
      <c r="E127" s="218">
        <v>304570064</v>
      </c>
      <c r="F127" s="257">
        <v>261751874</v>
      </c>
      <c r="G127" s="257">
        <v>250114447</v>
      </c>
      <c r="H127" s="257">
        <v>304570064</v>
      </c>
      <c r="I127" s="257">
        <v>292932637</v>
      </c>
    </row>
    <row r="128" spans="1:9" ht="15">
      <c r="A128" s="386" t="s">
        <v>1315</v>
      </c>
      <c r="B128" s="218">
        <v>885868060</v>
      </c>
      <c r="C128" s="218">
        <v>885868060</v>
      </c>
      <c r="D128" s="218">
        <v>933631603</v>
      </c>
      <c r="E128" s="218">
        <v>933631603</v>
      </c>
      <c r="F128" s="257">
        <v>933631603</v>
      </c>
      <c r="G128" s="257">
        <v>885868060</v>
      </c>
      <c r="H128" s="257">
        <v>933631603</v>
      </c>
      <c r="I128" s="257">
        <v>885868060</v>
      </c>
    </row>
    <row r="129" spans="1:9" ht="15">
      <c r="A129" s="386" t="s">
        <v>715</v>
      </c>
      <c r="B129" s="218">
        <v>40983432</v>
      </c>
      <c r="C129" s="218">
        <v>40983432</v>
      </c>
      <c r="D129" s="218">
        <v>43108882</v>
      </c>
      <c r="E129" s="218">
        <v>43108882</v>
      </c>
      <c r="F129" s="257">
        <v>43108882</v>
      </c>
      <c r="G129" s="257">
        <v>40983432</v>
      </c>
      <c r="H129" s="257">
        <v>43108882</v>
      </c>
      <c r="I129" s="257">
        <v>40983432</v>
      </c>
    </row>
    <row r="130" spans="1:9" ht="15">
      <c r="A130" s="386" t="s">
        <v>492</v>
      </c>
      <c r="B130" s="218">
        <v>76723657</v>
      </c>
      <c r="C130" s="218">
        <v>76723657</v>
      </c>
      <c r="D130" s="218">
        <v>82222997</v>
      </c>
      <c r="E130" s="218">
        <v>82222997</v>
      </c>
      <c r="F130" s="257">
        <v>82222997</v>
      </c>
      <c r="G130" s="257">
        <v>76723657</v>
      </c>
      <c r="H130" s="257">
        <v>82222997</v>
      </c>
      <c r="I130" s="257">
        <v>76723657</v>
      </c>
    </row>
    <row r="131" spans="1:9" ht="15">
      <c r="A131" s="386" t="s">
        <v>933</v>
      </c>
      <c r="B131" s="218">
        <v>684381574</v>
      </c>
      <c r="C131" s="218">
        <v>684381574</v>
      </c>
      <c r="D131" s="218">
        <v>709189600</v>
      </c>
      <c r="E131" s="218">
        <v>709189600</v>
      </c>
      <c r="F131" s="257">
        <v>709189600</v>
      </c>
      <c r="G131" s="257">
        <v>684381574</v>
      </c>
      <c r="H131" s="257">
        <v>709189600</v>
      </c>
      <c r="I131" s="257">
        <v>684381574</v>
      </c>
    </row>
    <row r="132" spans="1:9" ht="15">
      <c r="A132" s="386" t="s">
        <v>934</v>
      </c>
      <c r="B132" s="218">
        <v>361766760</v>
      </c>
      <c r="C132" s="218">
        <v>361766760</v>
      </c>
      <c r="D132" s="218">
        <v>363741438</v>
      </c>
      <c r="E132" s="218">
        <v>363741438</v>
      </c>
      <c r="F132" s="257">
        <v>363741438</v>
      </c>
      <c r="G132" s="257">
        <v>361766760</v>
      </c>
      <c r="H132" s="257">
        <v>363741438</v>
      </c>
      <c r="I132" s="257">
        <v>361766760</v>
      </c>
    </row>
    <row r="133" spans="1:9" ht="15">
      <c r="A133" s="386" t="s">
        <v>776</v>
      </c>
      <c r="B133" s="218">
        <v>765488405</v>
      </c>
      <c r="C133" s="218">
        <v>906620285</v>
      </c>
      <c r="D133" s="218">
        <v>774000385</v>
      </c>
      <c r="E133" s="218">
        <v>915132265</v>
      </c>
      <c r="F133" s="257">
        <v>764691240</v>
      </c>
      <c r="G133" s="257">
        <v>756179260</v>
      </c>
      <c r="H133" s="257">
        <v>905823120</v>
      </c>
      <c r="I133" s="257">
        <v>897311140</v>
      </c>
    </row>
    <row r="134" spans="1:9" ht="15">
      <c r="A134" s="386" t="s">
        <v>1806</v>
      </c>
      <c r="B134" s="218">
        <v>538135091</v>
      </c>
      <c r="C134" s="218">
        <v>538135091</v>
      </c>
      <c r="D134" s="218">
        <v>542023361</v>
      </c>
      <c r="E134" s="218">
        <v>542023361</v>
      </c>
      <c r="F134" s="257">
        <v>540590421</v>
      </c>
      <c r="G134" s="257">
        <v>536702151</v>
      </c>
      <c r="H134" s="257">
        <v>540590421</v>
      </c>
      <c r="I134" s="257">
        <v>536702151</v>
      </c>
    </row>
    <row r="135" spans="1:9" ht="15">
      <c r="A135" s="386" t="s">
        <v>1725</v>
      </c>
      <c r="B135" s="218">
        <v>516382584</v>
      </c>
      <c r="C135" s="218">
        <v>516382584</v>
      </c>
      <c r="D135" s="218">
        <v>541856208</v>
      </c>
      <c r="E135" s="218">
        <v>541856208</v>
      </c>
      <c r="F135" s="257">
        <v>541856208</v>
      </c>
      <c r="G135" s="257">
        <v>516382584</v>
      </c>
      <c r="H135" s="257">
        <v>541856208</v>
      </c>
      <c r="I135" s="257">
        <v>516382584</v>
      </c>
    </row>
    <row r="136" spans="1:9" ht="15">
      <c r="A136" s="386" t="s">
        <v>1726</v>
      </c>
      <c r="B136" s="218">
        <v>57590803</v>
      </c>
      <c r="C136" s="218">
        <v>57590803</v>
      </c>
      <c r="D136" s="218">
        <v>60779029</v>
      </c>
      <c r="E136" s="218">
        <v>60779029</v>
      </c>
      <c r="F136" s="257">
        <v>60779029</v>
      </c>
      <c r="G136" s="257">
        <v>57590803</v>
      </c>
      <c r="H136" s="257">
        <v>60779029</v>
      </c>
      <c r="I136" s="257">
        <v>57590803</v>
      </c>
    </row>
    <row r="137" spans="1:9" ht="15">
      <c r="A137" s="386" t="s">
        <v>743</v>
      </c>
      <c r="B137" s="218">
        <v>330135955</v>
      </c>
      <c r="C137" s="218">
        <v>330135955</v>
      </c>
      <c r="D137" s="218">
        <v>341122992</v>
      </c>
      <c r="E137" s="218">
        <v>341122992</v>
      </c>
      <c r="F137" s="257">
        <v>341122992</v>
      </c>
      <c r="G137" s="257">
        <v>330135955</v>
      </c>
      <c r="H137" s="257">
        <v>341122992</v>
      </c>
      <c r="I137" s="257">
        <v>330135955</v>
      </c>
    </row>
    <row r="138" spans="1:9" ht="15">
      <c r="A138" s="386" t="s">
        <v>744</v>
      </c>
      <c r="B138" s="218">
        <v>210710977</v>
      </c>
      <c r="C138" s="218">
        <v>210710977</v>
      </c>
      <c r="D138" s="218">
        <v>224434061</v>
      </c>
      <c r="E138" s="218">
        <v>224434061</v>
      </c>
      <c r="F138" s="257">
        <v>224434061</v>
      </c>
      <c r="G138" s="257">
        <v>210710977</v>
      </c>
      <c r="H138" s="257">
        <v>224434061</v>
      </c>
      <c r="I138" s="257">
        <v>210710977</v>
      </c>
    </row>
    <row r="139" spans="1:9" ht="15">
      <c r="A139" s="386" t="s">
        <v>1875</v>
      </c>
      <c r="B139" s="218">
        <v>27739870</v>
      </c>
      <c r="C139" s="218">
        <v>27739870</v>
      </c>
      <c r="D139" s="218">
        <v>29637121</v>
      </c>
      <c r="E139" s="218">
        <v>29637121</v>
      </c>
      <c r="F139" s="257">
        <v>29637121</v>
      </c>
      <c r="G139" s="257">
        <v>27739870</v>
      </c>
      <c r="H139" s="257">
        <v>29637121</v>
      </c>
      <c r="I139" s="257">
        <v>27739870</v>
      </c>
    </row>
    <row r="140" spans="1:9" ht="15">
      <c r="A140" s="386" t="s">
        <v>745</v>
      </c>
      <c r="B140" s="218">
        <v>438947939</v>
      </c>
      <c r="C140" s="218">
        <v>438947939</v>
      </c>
      <c r="D140" s="218">
        <v>451144469</v>
      </c>
      <c r="E140" s="218">
        <v>451144469</v>
      </c>
      <c r="F140" s="257">
        <v>440898398</v>
      </c>
      <c r="G140" s="257">
        <v>428701868</v>
      </c>
      <c r="H140" s="257">
        <v>440898398</v>
      </c>
      <c r="I140" s="257">
        <v>428701868</v>
      </c>
    </row>
    <row r="141" spans="1:9" ht="15">
      <c r="A141" s="386" t="s">
        <v>1952</v>
      </c>
      <c r="B141" s="218">
        <v>38461127</v>
      </c>
      <c r="C141" s="218">
        <v>38461127</v>
      </c>
      <c r="D141" s="218">
        <v>41410136</v>
      </c>
      <c r="E141" s="218">
        <v>41410136</v>
      </c>
      <c r="F141" s="257">
        <v>41410136</v>
      </c>
      <c r="G141" s="257">
        <v>38461127</v>
      </c>
      <c r="H141" s="257">
        <v>41410136</v>
      </c>
      <c r="I141" s="257">
        <v>38461127</v>
      </c>
    </row>
    <row r="142" spans="1:9" ht="15">
      <c r="A142" s="386" t="s">
        <v>1953</v>
      </c>
      <c r="B142" s="218">
        <v>395868644</v>
      </c>
      <c r="C142" s="218">
        <v>395868644</v>
      </c>
      <c r="D142" s="218">
        <v>403511804</v>
      </c>
      <c r="E142" s="218">
        <v>403511804</v>
      </c>
      <c r="F142" s="257">
        <v>403511804</v>
      </c>
      <c r="G142" s="257">
        <v>395868644</v>
      </c>
      <c r="H142" s="257">
        <v>403511804</v>
      </c>
      <c r="I142" s="257">
        <v>395868644</v>
      </c>
    </row>
    <row r="143" spans="1:9" ht="15">
      <c r="A143" s="386" t="s">
        <v>2431</v>
      </c>
      <c r="B143" s="218">
        <v>85803438</v>
      </c>
      <c r="C143" s="218">
        <v>85803438</v>
      </c>
      <c r="D143" s="218">
        <v>87476378</v>
      </c>
      <c r="E143" s="218">
        <v>87476378</v>
      </c>
      <c r="F143" s="257">
        <v>87476378</v>
      </c>
      <c r="G143" s="257">
        <v>85803438</v>
      </c>
      <c r="H143" s="257">
        <v>87476378</v>
      </c>
      <c r="I143" s="257">
        <v>85803438</v>
      </c>
    </row>
    <row r="144" spans="1:9" ht="15">
      <c r="A144" s="386" t="s">
        <v>2539</v>
      </c>
      <c r="B144" s="218">
        <v>58900780</v>
      </c>
      <c r="C144" s="218">
        <v>58900780</v>
      </c>
      <c r="D144" s="218">
        <v>60664930</v>
      </c>
      <c r="E144" s="218">
        <v>60664930</v>
      </c>
      <c r="F144" s="257">
        <v>60664930</v>
      </c>
      <c r="G144" s="257">
        <v>58900780</v>
      </c>
      <c r="H144" s="257">
        <v>60664930</v>
      </c>
      <c r="I144" s="257">
        <v>58900780</v>
      </c>
    </row>
    <row r="145" spans="1:9" ht="15">
      <c r="A145" s="386" t="s">
        <v>1640</v>
      </c>
      <c r="B145" s="218">
        <v>631722042</v>
      </c>
      <c r="C145" s="218">
        <v>631722042</v>
      </c>
      <c r="D145" s="218">
        <v>648120752</v>
      </c>
      <c r="E145" s="218">
        <v>648120752</v>
      </c>
      <c r="F145" s="257">
        <v>629479492</v>
      </c>
      <c r="G145" s="257">
        <v>613080782</v>
      </c>
      <c r="H145" s="257">
        <v>629479492</v>
      </c>
      <c r="I145" s="257">
        <v>613080782</v>
      </c>
    </row>
    <row r="146" spans="1:9" ht="15">
      <c r="A146" s="386" t="s">
        <v>2432</v>
      </c>
      <c r="B146" s="218">
        <v>5420661401</v>
      </c>
      <c r="C146" s="218">
        <v>6669173796</v>
      </c>
      <c r="D146" s="218">
        <v>5467570981</v>
      </c>
      <c r="E146" s="218">
        <v>6716083376</v>
      </c>
      <c r="F146" s="257">
        <v>5369147661</v>
      </c>
      <c r="G146" s="257">
        <v>5322238081</v>
      </c>
      <c r="H146" s="257">
        <v>6617660056</v>
      </c>
      <c r="I146" s="257">
        <v>6570750476</v>
      </c>
    </row>
    <row r="147" spans="1:9" ht="15">
      <c r="A147" s="386" t="s">
        <v>285</v>
      </c>
      <c r="B147" s="218">
        <v>278250076</v>
      </c>
      <c r="C147" s="218">
        <v>278250076</v>
      </c>
      <c r="D147" s="218">
        <v>290174356</v>
      </c>
      <c r="E147" s="218">
        <v>290174356</v>
      </c>
      <c r="F147" s="257">
        <v>276161836</v>
      </c>
      <c r="G147" s="257">
        <v>264237556</v>
      </c>
      <c r="H147" s="257">
        <v>276161836</v>
      </c>
      <c r="I147" s="257">
        <v>264237556</v>
      </c>
    </row>
    <row r="148" spans="1:9" ht="15">
      <c r="A148" s="386" t="s">
        <v>1469</v>
      </c>
      <c r="B148" s="218">
        <v>125087494</v>
      </c>
      <c r="C148" s="218">
        <v>125087494</v>
      </c>
      <c r="D148" s="218">
        <v>130528737</v>
      </c>
      <c r="E148" s="218">
        <v>130528737</v>
      </c>
      <c r="F148" s="257">
        <v>130528737</v>
      </c>
      <c r="G148" s="257">
        <v>125087494</v>
      </c>
      <c r="H148" s="257">
        <v>130528737</v>
      </c>
      <c r="I148" s="257">
        <v>125087494</v>
      </c>
    </row>
    <row r="149" spans="1:9" ht="15">
      <c r="A149" s="386" t="s">
        <v>43</v>
      </c>
      <c r="B149" s="218">
        <v>990785817</v>
      </c>
      <c r="C149" s="218">
        <v>990785817</v>
      </c>
      <c r="D149" s="218">
        <v>1034287875</v>
      </c>
      <c r="E149" s="218">
        <v>1034287875</v>
      </c>
      <c r="F149" s="257">
        <v>1034287875</v>
      </c>
      <c r="G149" s="257">
        <v>990785817</v>
      </c>
      <c r="H149" s="257">
        <v>1034287875</v>
      </c>
      <c r="I149" s="257">
        <v>990785817</v>
      </c>
    </row>
    <row r="150" spans="1:9" ht="15">
      <c r="A150" s="386" t="s">
        <v>1311</v>
      </c>
      <c r="B150" s="218">
        <v>361892906</v>
      </c>
      <c r="C150" s="218">
        <v>361892906</v>
      </c>
      <c r="D150" s="218">
        <v>381394982</v>
      </c>
      <c r="E150" s="218">
        <v>381394982</v>
      </c>
      <c r="F150" s="257">
        <v>381394982</v>
      </c>
      <c r="G150" s="257">
        <v>361892906</v>
      </c>
      <c r="H150" s="257">
        <v>381394982</v>
      </c>
      <c r="I150" s="257">
        <v>361892906</v>
      </c>
    </row>
    <row r="151" spans="1:9" ht="15">
      <c r="A151" s="386" t="s">
        <v>2542</v>
      </c>
      <c r="B151" s="218">
        <v>60039817</v>
      </c>
      <c r="C151" s="218">
        <v>60039817</v>
      </c>
      <c r="D151" s="218">
        <v>62272883</v>
      </c>
      <c r="E151" s="218">
        <v>62272883</v>
      </c>
      <c r="F151" s="257">
        <v>62272883</v>
      </c>
      <c r="G151" s="257">
        <v>60039817</v>
      </c>
      <c r="H151" s="257">
        <v>62272883</v>
      </c>
      <c r="I151" s="257">
        <v>60039817</v>
      </c>
    </row>
    <row r="152" spans="1:9" ht="15">
      <c r="A152" s="386" t="s">
        <v>1470</v>
      </c>
      <c r="B152" s="218">
        <v>87489012</v>
      </c>
      <c r="C152" s="218">
        <v>87489012</v>
      </c>
      <c r="D152" s="218">
        <v>90338452</v>
      </c>
      <c r="E152" s="218">
        <v>90338452</v>
      </c>
      <c r="F152" s="257">
        <v>90338452</v>
      </c>
      <c r="G152" s="257">
        <v>87489012</v>
      </c>
      <c r="H152" s="257">
        <v>90338452</v>
      </c>
      <c r="I152" s="257">
        <v>87489012</v>
      </c>
    </row>
    <row r="153" spans="1:9" ht="15">
      <c r="A153" s="386" t="s">
        <v>71</v>
      </c>
      <c r="B153" s="218">
        <v>390712999</v>
      </c>
      <c r="C153" s="218">
        <v>390712999</v>
      </c>
      <c r="D153" s="218">
        <v>402450211</v>
      </c>
      <c r="E153" s="218">
        <v>402450211</v>
      </c>
      <c r="F153" s="257">
        <v>402450211</v>
      </c>
      <c r="G153" s="257">
        <v>390712999</v>
      </c>
      <c r="H153" s="257">
        <v>402450211</v>
      </c>
      <c r="I153" s="257">
        <v>390712999</v>
      </c>
    </row>
    <row r="154" spans="1:9" ht="15">
      <c r="A154" s="386" t="s">
        <v>2167</v>
      </c>
      <c r="B154" s="218">
        <v>330340193</v>
      </c>
      <c r="C154" s="218">
        <v>330340193</v>
      </c>
      <c r="D154" s="218">
        <v>343606493</v>
      </c>
      <c r="E154" s="218">
        <v>343606493</v>
      </c>
      <c r="F154" s="257">
        <v>343606493</v>
      </c>
      <c r="G154" s="257">
        <v>330340193</v>
      </c>
      <c r="H154" s="257">
        <v>343606493</v>
      </c>
      <c r="I154" s="257">
        <v>330340193</v>
      </c>
    </row>
    <row r="155" spans="1:9" ht="15">
      <c r="A155" s="386" t="s">
        <v>716</v>
      </c>
      <c r="B155" s="218">
        <v>129774032</v>
      </c>
      <c r="C155" s="218">
        <v>129774032</v>
      </c>
      <c r="D155" s="218">
        <v>136685462</v>
      </c>
      <c r="E155" s="218">
        <v>136685462</v>
      </c>
      <c r="F155" s="257">
        <v>136685462</v>
      </c>
      <c r="G155" s="257">
        <v>129774032</v>
      </c>
      <c r="H155" s="257">
        <v>136685462</v>
      </c>
      <c r="I155" s="257">
        <v>129774032</v>
      </c>
    </row>
    <row r="156" spans="1:9" ht="15">
      <c r="A156" s="386" t="s">
        <v>2168</v>
      </c>
      <c r="B156" s="218">
        <v>72964322</v>
      </c>
      <c r="C156" s="218">
        <v>72964322</v>
      </c>
      <c r="D156" s="218">
        <v>74583682</v>
      </c>
      <c r="E156" s="218">
        <v>74583682</v>
      </c>
      <c r="F156" s="257">
        <v>74583682</v>
      </c>
      <c r="G156" s="257">
        <v>72964322</v>
      </c>
      <c r="H156" s="257">
        <v>74583682</v>
      </c>
      <c r="I156" s="257">
        <v>72964322</v>
      </c>
    </row>
    <row r="157" spans="1:9" ht="15">
      <c r="A157" s="386" t="s">
        <v>1670</v>
      </c>
      <c r="B157" s="218">
        <v>80798150</v>
      </c>
      <c r="C157" s="218">
        <v>80798150</v>
      </c>
      <c r="D157" s="218">
        <v>82959920</v>
      </c>
      <c r="E157" s="218">
        <v>82959920</v>
      </c>
      <c r="F157" s="257">
        <v>82959920</v>
      </c>
      <c r="G157" s="257">
        <v>80798150</v>
      </c>
      <c r="H157" s="257">
        <v>82959920</v>
      </c>
      <c r="I157" s="257">
        <v>80798150</v>
      </c>
    </row>
    <row r="158" spans="1:9" ht="15">
      <c r="A158" s="386" t="s">
        <v>1671</v>
      </c>
      <c r="B158" s="218">
        <v>58559832</v>
      </c>
      <c r="C158" s="218">
        <v>58559832</v>
      </c>
      <c r="D158" s="218">
        <v>60262241</v>
      </c>
      <c r="E158" s="218">
        <v>60262241</v>
      </c>
      <c r="F158" s="257">
        <v>60262241</v>
      </c>
      <c r="G158" s="257">
        <v>58559832</v>
      </c>
      <c r="H158" s="257">
        <v>60262241</v>
      </c>
      <c r="I158" s="257">
        <v>58559832</v>
      </c>
    </row>
    <row r="159" spans="1:9" ht="15">
      <c r="A159" s="386" t="s">
        <v>795</v>
      </c>
      <c r="B159" s="218">
        <v>581577151</v>
      </c>
      <c r="C159" s="218">
        <v>581577151</v>
      </c>
      <c r="D159" s="218">
        <v>582440911</v>
      </c>
      <c r="E159" s="218">
        <v>582440911</v>
      </c>
      <c r="F159" s="257">
        <v>582440911</v>
      </c>
      <c r="G159" s="257">
        <v>581577151</v>
      </c>
      <c r="H159" s="257">
        <v>582440911</v>
      </c>
      <c r="I159" s="257">
        <v>581577151</v>
      </c>
    </row>
    <row r="160" spans="1:9" ht="15">
      <c r="A160" s="386" t="s">
        <v>796</v>
      </c>
      <c r="B160" s="218">
        <v>102007359</v>
      </c>
      <c r="C160" s="218">
        <v>102007359</v>
      </c>
      <c r="D160" s="218">
        <v>105703719</v>
      </c>
      <c r="E160" s="218">
        <v>105703719</v>
      </c>
      <c r="F160" s="257">
        <v>105703719</v>
      </c>
      <c r="G160" s="257">
        <v>102007359</v>
      </c>
      <c r="H160" s="257">
        <v>105703719</v>
      </c>
      <c r="I160" s="257">
        <v>102007359</v>
      </c>
    </row>
    <row r="161" spans="1:9" ht="15">
      <c r="A161" s="386" t="s">
        <v>815</v>
      </c>
      <c r="B161" s="218">
        <v>206977887</v>
      </c>
      <c r="C161" s="218">
        <v>312177297</v>
      </c>
      <c r="D161" s="218">
        <v>210742867</v>
      </c>
      <c r="E161" s="218">
        <v>315942277</v>
      </c>
      <c r="F161" s="257">
        <v>208046782</v>
      </c>
      <c r="G161" s="257">
        <v>204281802</v>
      </c>
      <c r="H161" s="257">
        <v>313246192</v>
      </c>
      <c r="I161" s="257">
        <v>309481212</v>
      </c>
    </row>
    <row r="162" spans="1:9" ht="15">
      <c r="A162" s="386" t="s">
        <v>577</v>
      </c>
      <c r="B162" s="218">
        <v>175792657</v>
      </c>
      <c r="C162" s="218">
        <v>175792657</v>
      </c>
      <c r="D162" s="218">
        <v>185309198</v>
      </c>
      <c r="E162" s="218">
        <v>185309198</v>
      </c>
      <c r="F162" s="257">
        <v>185309198</v>
      </c>
      <c r="G162" s="257">
        <v>175792657</v>
      </c>
      <c r="H162" s="257">
        <v>185309198</v>
      </c>
      <c r="I162" s="257">
        <v>175792657</v>
      </c>
    </row>
    <row r="163" spans="1:9" ht="15">
      <c r="A163" s="386" t="s">
        <v>2368</v>
      </c>
      <c r="B163" s="218">
        <v>90057470</v>
      </c>
      <c r="C163" s="218">
        <v>90057470</v>
      </c>
      <c r="D163" s="218">
        <v>92662940</v>
      </c>
      <c r="E163" s="218">
        <v>92662940</v>
      </c>
      <c r="F163" s="257">
        <v>92662940</v>
      </c>
      <c r="G163" s="257">
        <v>90057470</v>
      </c>
      <c r="H163" s="257">
        <v>92662940</v>
      </c>
      <c r="I163" s="257">
        <v>90057470</v>
      </c>
    </row>
    <row r="164" spans="1:9" ht="15">
      <c r="A164" s="386" t="s">
        <v>816</v>
      </c>
      <c r="B164" s="218">
        <v>120042058</v>
      </c>
      <c r="C164" s="218">
        <v>120042058</v>
      </c>
      <c r="D164" s="218">
        <v>122408878</v>
      </c>
      <c r="E164" s="218">
        <v>122408878</v>
      </c>
      <c r="F164" s="257">
        <v>122408878</v>
      </c>
      <c r="G164" s="257">
        <v>120042058</v>
      </c>
      <c r="H164" s="257">
        <v>122408878</v>
      </c>
      <c r="I164" s="257">
        <v>120042058</v>
      </c>
    </row>
    <row r="165" spans="1:9" ht="15">
      <c r="A165" s="386" t="s">
        <v>584</v>
      </c>
      <c r="B165" s="218">
        <v>10015227806</v>
      </c>
      <c r="C165" s="218">
        <v>10015227806</v>
      </c>
      <c r="D165" s="218">
        <v>10221709520</v>
      </c>
      <c r="E165" s="218">
        <v>10221709520</v>
      </c>
      <c r="F165" s="257">
        <v>10221709520</v>
      </c>
      <c r="G165" s="257">
        <v>10015227806</v>
      </c>
      <c r="H165" s="257">
        <v>10221709520</v>
      </c>
      <c r="I165" s="257">
        <v>10015227806</v>
      </c>
    </row>
    <row r="166" spans="1:9" ht="15">
      <c r="A166" s="386" t="s">
        <v>1641</v>
      </c>
      <c r="B166" s="218">
        <v>719873078</v>
      </c>
      <c r="C166" s="218">
        <v>719873078</v>
      </c>
      <c r="D166" s="218">
        <v>747739055</v>
      </c>
      <c r="E166" s="218">
        <v>747739055</v>
      </c>
      <c r="F166" s="257">
        <v>747739055</v>
      </c>
      <c r="G166" s="257">
        <v>719873078</v>
      </c>
      <c r="H166" s="257">
        <v>747739055</v>
      </c>
      <c r="I166" s="257">
        <v>719873078</v>
      </c>
    </row>
    <row r="167" spans="1:9" ht="15">
      <c r="A167" s="386" t="s">
        <v>2502</v>
      </c>
      <c r="B167" s="218">
        <v>843188022</v>
      </c>
      <c r="C167" s="218">
        <v>843188022</v>
      </c>
      <c r="D167" s="218">
        <v>864562135</v>
      </c>
      <c r="E167" s="218">
        <v>864562135</v>
      </c>
      <c r="F167" s="257">
        <v>864562135</v>
      </c>
      <c r="G167" s="257">
        <v>843188022</v>
      </c>
      <c r="H167" s="257">
        <v>864562135</v>
      </c>
      <c r="I167" s="257">
        <v>843188022</v>
      </c>
    </row>
    <row r="168" spans="1:9" ht="15">
      <c r="A168" s="386" t="s">
        <v>1687</v>
      </c>
      <c r="B168" s="218">
        <v>391640881</v>
      </c>
      <c r="C168" s="218">
        <v>391640881</v>
      </c>
      <c r="D168" s="218">
        <v>407678118</v>
      </c>
      <c r="E168" s="218">
        <v>407678118</v>
      </c>
      <c r="F168" s="257">
        <v>407678118</v>
      </c>
      <c r="G168" s="257">
        <v>391640881</v>
      </c>
      <c r="H168" s="257">
        <v>407678118</v>
      </c>
      <c r="I168" s="257">
        <v>391640881</v>
      </c>
    </row>
    <row r="169" spans="1:9" ht="15">
      <c r="A169" s="386" t="s">
        <v>1425</v>
      </c>
      <c r="B169" s="218">
        <v>24705531490</v>
      </c>
      <c r="C169" s="218">
        <v>24705531490</v>
      </c>
      <c r="D169" s="218">
        <v>25130463296</v>
      </c>
      <c r="E169" s="218">
        <v>25130463296</v>
      </c>
      <c r="F169" s="257">
        <v>25130463296</v>
      </c>
      <c r="G169" s="257">
        <v>24705531490</v>
      </c>
      <c r="H169" s="257">
        <v>25130463296</v>
      </c>
      <c r="I169" s="257">
        <v>24705531490</v>
      </c>
    </row>
    <row r="170" spans="1:9" ht="15">
      <c r="A170" s="386" t="s">
        <v>2530</v>
      </c>
      <c r="B170" s="218">
        <v>11216724574</v>
      </c>
      <c r="C170" s="218">
        <v>11216724574</v>
      </c>
      <c r="D170" s="218">
        <v>11458901044</v>
      </c>
      <c r="E170" s="218">
        <v>11458901044</v>
      </c>
      <c r="F170" s="257">
        <v>11458901044</v>
      </c>
      <c r="G170" s="257">
        <v>11216724574</v>
      </c>
      <c r="H170" s="257">
        <v>11458901044</v>
      </c>
      <c r="I170" s="257">
        <v>11216724574</v>
      </c>
    </row>
    <row r="171" spans="1:9" ht="15">
      <c r="A171" s="386" t="s">
        <v>649</v>
      </c>
      <c r="B171" s="218">
        <v>661641200</v>
      </c>
      <c r="C171" s="218">
        <v>661641200</v>
      </c>
      <c r="D171" s="218">
        <v>681871402</v>
      </c>
      <c r="E171" s="218">
        <v>681871402</v>
      </c>
      <c r="F171" s="257">
        <v>681871402</v>
      </c>
      <c r="G171" s="257">
        <v>661641200</v>
      </c>
      <c r="H171" s="257">
        <v>681871402</v>
      </c>
      <c r="I171" s="257">
        <v>661641200</v>
      </c>
    </row>
    <row r="172" spans="1:9" ht="15">
      <c r="A172" s="386" t="s">
        <v>650</v>
      </c>
      <c r="B172" s="218">
        <v>40414099312</v>
      </c>
      <c r="C172" s="218">
        <v>40414099312</v>
      </c>
      <c r="D172" s="218">
        <v>41097924275</v>
      </c>
      <c r="E172" s="218">
        <v>41097924275</v>
      </c>
      <c r="F172" s="257">
        <v>41097924275</v>
      </c>
      <c r="G172" s="257">
        <v>40414099312</v>
      </c>
      <c r="H172" s="257">
        <v>41097924275</v>
      </c>
      <c r="I172" s="257">
        <v>40414099312</v>
      </c>
    </row>
    <row r="173" spans="1:9" ht="15">
      <c r="A173" s="386" t="s">
        <v>218</v>
      </c>
      <c r="B173" s="218">
        <v>638526720</v>
      </c>
      <c r="C173" s="218">
        <v>638526720</v>
      </c>
      <c r="D173" s="218">
        <v>668057497</v>
      </c>
      <c r="E173" s="218">
        <v>668057497</v>
      </c>
      <c r="F173" s="257">
        <v>668057497</v>
      </c>
      <c r="G173" s="257">
        <v>638526720</v>
      </c>
      <c r="H173" s="257">
        <v>668057497</v>
      </c>
      <c r="I173" s="257">
        <v>638526720</v>
      </c>
    </row>
    <row r="174" spans="1:9" ht="15">
      <c r="A174" s="386" t="s">
        <v>1583</v>
      </c>
      <c r="B174" s="218">
        <v>3776112796</v>
      </c>
      <c r="C174" s="218">
        <v>3776112796</v>
      </c>
      <c r="D174" s="218">
        <v>3841945545</v>
      </c>
      <c r="E174" s="218">
        <v>3841945545</v>
      </c>
      <c r="F174" s="257">
        <v>3841945545</v>
      </c>
      <c r="G174" s="257">
        <v>3776112796</v>
      </c>
      <c r="H174" s="257">
        <v>3841945545</v>
      </c>
      <c r="I174" s="257">
        <v>3776112796</v>
      </c>
    </row>
    <row r="175" spans="1:9" ht="15">
      <c r="A175" s="386" t="s">
        <v>1184</v>
      </c>
      <c r="B175" s="218">
        <v>4217664317</v>
      </c>
      <c r="C175" s="218">
        <v>4217664317</v>
      </c>
      <c r="D175" s="218">
        <v>4356998055</v>
      </c>
      <c r="E175" s="218">
        <v>4356998055</v>
      </c>
      <c r="F175" s="257">
        <v>4356998055</v>
      </c>
      <c r="G175" s="257">
        <v>4217664317</v>
      </c>
      <c r="H175" s="257">
        <v>4356998055</v>
      </c>
      <c r="I175" s="257">
        <v>4217664317</v>
      </c>
    </row>
    <row r="176" spans="1:9" ht="15">
      <c r="A176" s="386" t="s">
        <v>878</v>
      </c>
      <c r="B176" s="218">
        <v>142233216</v>
      </c>
      <c r="C176" s="218">
        <v>142233216</v>
      </c>
      <c r="D176" s="218">
        <v>149350694</v>
      </c>
      <c r="E176" s="218">
        <v>149350694</v>
      </c>
      <c r="F176" s="257">
        <v>149350694</v>
      </c>
      <c r="G176" s="257">
        <v>142233216</v>
      </c>
      <c r="H176" s="257">
        <v>149350694</v>
      </c>
      <c r="I176" s="257">
        <v>142233216</v>
      </c>
    </row>
    <row r="177" spans="1:9" ht="15">
      <c r="A177" s="386" t="s">
        <v>1438</v>
      </c>
      <c r="B177" s="218">
        <v>580299240</v>
      </c>
      <c r="C177" s="218">
        <v>580299240</v>
      </c>
      <c r="D177" s="218">
        <v>604415775</v>
      </c>
      <c r="E177" s="218">
        <v>604415775</v>
      </c>
      <c r="F177" s="257">
        <v>604415775</v>
      </c>
      <c r="G177" s="257">
        <v>580299240</v>
      </c>
      <c r="H177" s="257">
        <v>604415775</v>
      </c>
      <c r="I177" s="257">
        <v>580299240</v>
      </c>
    </row>
    <row r="178" spans="1:9" ht="15">
      <c r="A178" s="386" t="s">
        <v>253</v>
      </c>
      <c r="B178" s="218">
        <v>1968932923</v>
      </c>
      <c r="C178" s="218">
        <v>1968932923</v>
      </c>
      <c r="D178" s="218">
        <v>2010953482</v>
      </c>
      <c r="E178" s="218">
        <v>2010953482</v>
      </c>
      <c r="F178" s="257">
        <v>2010953482</v>
      </c>
      <c r="G178" s="257">
        <v>1968932923</v>
      </c>
      <c r="H178" s="257">
        <v>2010953482</v>
      </c>
      <c r="I178" s="257">
        <v>1968932923</v>
      </c>
    </row>
    <row r="179" spans="1:9" ht="15">
      <c r="A179" s="386" t="s">
        <v>254</v>
      </c>
      <c r="B179" s="218">
        <v>174705998</v>
      </c>
      <c r="C179" s="218">
        <v>174705998</v>
      </c>
      <c r="D179" s="218">
        <v>179477416</v>
      </c>
      <c r="E179" s="218">
        <v>179477416</v>
      </c>
      <c r="F179" s="257">
        <v>179477416</v>
      </c>
      <c r="G179" s="257">
        <v>174705998</v>
      </c>
      <c r="H179" s="257">
        <v>179477416</v>
      </c>
      <c r="I179" s="257">
        <v>174705998</v>
      </c>
    </row>
    <row r="180" spans="1:9" ht="15">
      <c r="A180" s="386" t="s">
        <v>1436</v>
      </c>
      <c r="B180" s="218">
        <v>935119777</v>
      </c>
      <c r="C180" s="218">
        <v>935119777</v>
      </c>
      <c r="D180" s="218">
        <v>960599552</v>
      </c>
      <c r="E180" s="218">
        <v>960599552</v>
      </c>
      <c r="F180" s="257">
        <v>960341227</v>
      </c>
      <c r="G180" s="257">
        <v>934861452</v>
      </c>
      <c r="H180" s="257">
        <v>960341227</v>
      </c>
      <c r="I180" s="257">
        <v>934861452</v>
      </c>
    </row>
    <row r="181" spans="1:9" ht="15">
      <c r="A181" s="386" t="s">
        <v>589</v>
      </c>
      <c r="B181" s="218">
        <v>759947852</v>
      </c>
      <c r="C181" s="218">
        <v>759947852</v>
      </c>
      <c r="D181" s="218">
        <v>772806203</v>
      </c>
      <c r="E181" s="218">
        <v>772806203</v>
      </c>
      <c r="F181" s="257">
        <v>772806203</v>
      </c>
      <c r="G181" s="257">
        <v>759947852</v>
      </c>
      <c r="H181" s="257">
        <v>772806203</v>
      </c>
      <c r="I181" s="257">
        <v>759947852</v>
      </c>
    </row>
    <row r="182" spans="1:9" ht="15">
      <c r="A182" s="386" t="s">
        <v>27</v>
      </c>
      <c r="B182" s="218">
        <v>363367461</v>
      </c>
      <c r="C182" s="218">
        <v>363367461</v>
      </c>
      <c r="D182" s="218">
        <v>375379832</v>
      </c>
      <c r="E182" s="218">
        <v>375379832</v>
      </c>
      <c r="F182" s="257">
        <v>375379832</v>
      </c>
      <c r="G182" s="257">
        <v>363367461</v>
      </c>
      <c r="H182" s="257">
        <v>375379832</v>
      </c>
      <c r="I182" s="257">
        <v>363367461</v>
      </c>
    </row>
    <row r="183" spans="1:9" ht="15">
      <c r="A183" s="386" t="s">
        <v>28</v>
      </c>
      <c r="B183" s="218">
        <v>3882112128</v>
      </c>
      <c r="C183" s="218">
        <v>3882112128</v>
      </c>
      <c r="D183" s="218">
        <v>3994431229</v>
      </c>
      <c r="E183" s="218">
        <v>3994431229</v>
      </c>
      <c r="F183" s="257">
        <v>3994431229</v>
      </c>
      <c r="G183" s="257">
        <v>3882112128</v>
      </c>
      <c r="H183" s="257">
        <v>3994431229</v>
      </c>
      <c r="I183" s="257">
        <v>3882112128</v>
      </c>
    </row>
    <row r="184" spans="1:9" ht="15">
      <c r="A184" s="386" t="s">
        <v>1265</v>
      </c>
      <c r="B184" s="218">
        <v>13457360938</v>
      </c>
      <c r="C184" s="218">
        <v>13537758238</v>
      </c>
      <c r="D184" s="218">
        <v>13754973489</v>
      </c>
      <c r="E184" s="218">
        <v>13835370789</v>
      </c>
      <c r="F184" s="257">
        <v>12939967076</v>
      </c>
      <c r="G184" s="257">
        <v>12642354525</v>
      </c>
      <c r="H184" s="257">
        <v>13020364376</v>
      </c>
      <c r="I184" s="257">
        <v>12722751825</v>
      </c>
    </row>
    <row r="185" spans="1:9" ht="15">
      <c r="A185" s="386" t="s">
        <v>2315</v>
      </c>
      <c r="B185" s="218">
        <v>274435872</v>
      </c>
      <c r="C185" s="218">
        <v>274435872</v>
      </c>
      <c r="D185" s="218">
        <v>288934671</v>
      </c>
      <c r="E185" s="218">
        <v>288934671</v>
      </c>
      <c r="F185" s="257">
        <v>288934671</v>
      </c>
      <c r="G185" s="257">
        <v>274435872</v>
      </c>
      <c r="H185" s="257">
        <v>288934671</v>
      </c>
      <c r="I185" s="257">
        <v>274435872</v>
      </c>
    </row>
    <row r="186" spans="1:9" ht="15">
      <c r="A186" s="386" t="s">
        <v>2409</v>
      </c>
      <c r="B186" s="218">
        <v>171882351</v>
      </c>
      <c r="C186" s="218">
        <v>171882351</v>
      </c>
      <c r="D186" s="218">
        <v>181134568</v>
      </c>
      <c r="E186" s="218">
        <v>181134568</v>
      </c>
      <c r="F186" s="257">
        <v>181134568</v>
      </c>
      <c r="G186" s="257">
        <v>171882351</v>
      </c>
      <c r="H186" s="257">
        <v>181134568</v>
      </c>
      <c r="I186" s="257">
        <v>171882351</v>
      </c>
    </row>
    <row r="187" spans="1:9" ht="15">
      <c r="A187" s="386" t="s">
        <v>2342</v>
      </c>
      <c r="B187" s="218">
        <v>51832419</v>
      </c>
      <c r="C187" s="218">
        <v>51832419</v>
      </c>
      <c r="D187" s="218">
        <v>54022380</v>
      </c>
      <c r="E187" s="218">
        <v>54022380</v>
      </c>
      <c r="F187" s="257">
        <v>54022380</v>
      </c>
      <c r="G187" s="257">
        <v>51832419</v>
      </c>
      <c r="H187" s="257">
        <v>54022380</v>
      </c>
      <c r="I187" s="257">
        <v>51832419</v>
      </c>
    </row>
    <row r="188" spans="1:9" ht="15">
      <c r="A188" s="386" t="s">
        <v>2316</v>
      </c>
      <c r="B188" s="218">
        <v>25897139</v>
      </c>
      <c r="C188" s="218">
        <v>25897139</v>
      </c>
      <c r="D188" s="218">
        <v>27453268</v>
      </c>
      <c r="E188" s="218">
        <v>27453268</v>
      </c>
      <c r="F188" s="257">
        <v>27453268</v>
      </c>
      <c r="G188" s="257">
        <v>25897139</v>
      </c>
      <c r="H188" s="257">
        <v>27453268</v>
      </c>
      <c r="I188" s="257">
        <v>25897139</v>
      </c>
    </row>
    <row r="189" spans="1:9" ht="15">
      <c r="A189" s="386" t="s">
        <v>2317</v>
      </c>
      <c r="B189" s="218">
        <v>135456699</v>
      </c>
      <c r="C189" s="218">
        <v>135456699</v>
      </c>
      <c r="D189" s="218">
        <v>138580609</v>
      </c>
      <c r="E189" s="218">
        <v>138580609</v>
      </c>
      <c r="F189" s="257">
        <v>138580609</v>
      </c>
      <c r="G189" s="257">
        <v>135456699</v>
      </c>
      <c r="H189" s="257">
        <v>138580609</v>
      </c>
      <c r="I189" s="257">
        <v>135456699</v>
      </c>
    </row>
    <row r="190" spans="1:9" ht="15">
      <c r="A190" s="386" t="s">
        <v>300</v>
      </c>
      <c r="B190" s="218">
        <v>69251471</v>
      </c>
      <c r="C190" s="218">
        <v>69251471</v>
      </c>
      <c r="D190" s="218">
        <v>70765101</v>
      </c>
      <c r="E190" s="218">
        <v>70765101</v>
      </c>
      <c r="F190" s="257">
        <v>70765101</v>
      </c>
      <c r="G190" s="257">
        <v>69251471</v>
      </c>
      <c r="H190" s="257">
        <v>70765101</v>
      </c>
      <c r="I190" s="257">
        <v>69251471</v>
      </c>
    </row>
    <row r="191" spans="1:9" ht="15">
      <c r="A191" s="386" t="s">
        <v>1427</v>
      </c>
      <c r="B191" s="218">
        <v>977175087</v>
      </c>
      <c r="C191" s="218">
        <v>977175087</v>
      </c>
      <c r="D191" s="218">
        <v>1007880242</v>
      </c>
      <c r="E191" s="218">
        <v>1007880242</v>
      </c>
      <c r="F191" s="257">
        <v>1007880242</v>
      </c>
      <c r="G191" s="257">
        <v>977175087</v>
      </c>
      <c r="H191" s="257">
        <v>1007880242</v>
      </c>
      <c r="I191" s="257">
        <v>977175087</v>
      </c>
    </row>
    <row r="192" spans="1:9" ht="15">
      <c r="A192" s="386" t="s">
        <v>301</v>
      </c>
      <c r="B192" s="218">
        <v>309998557</v>
      </c>
      <c r="C192" s="218">
        <v>371085354</v>
      </c>
      <c r="D192" s="218">
        <v>317629932</v>
      </c>
      <c r="E192" s="218">
        <v>378716729</v>
      </c>
      <c r="F192" s="257">
        <v>317629932</v>
      </c>
      <c r="G192" s="257">
        <v>309998557</v>
      </c>
      <c r="H192" s="257">
        <v>378716729</v>
      </c>
      <c r="I192" s="257">
        <v>371085354</v>
      </c>
    </row>
    <row r="193" spans="1:9" ht="15">
      <c r="A193" s="386" t="s">
        <v>2503</v>
      </c>
      <c r="B193" s="218">
        <v>216115385</v>
      </c>
      <c r="C193" s="218">
        <v>216115385</v>
      </c>
      <c r="D193" s="218">
        <v>223589083</v>
      </c>
      <c r="E193" s="218">
        <v>223589083</v>
      </c>
      <c r="F193" s="257">
        <v>223589083</v>
      </c>
      <c r="G193" s="257">
        <v>216115385</v>
      </c>
      <c r="H193" s="257">
        <v>223589083</v>
      </c>
      <c r="I193" s="257">
        <v>216115385</v>
      </c>
    </row>
    <row r="194" spans="1:9" ht="15">
      <c r="A194" s="386" t="s">
        <v>302</v>
      </c>
      <c r="B194" s="218">
        <v>586103113</v>
      </c>
      <c r="C194" s="218">
        <v>586103113</v>
      </c>
      <c r="D194" s="218">
        <v>605926125</v>
      </c>
      <c r="E194" s="218">
        <v>605926125</v>
      </c>
      <c r="F194" s="257">
        <v>605926125</v>
      </c>
      <c r="G194" s="257">
        <v>586103113</v>
      </c>
      <c r="H194" s="257">
        <v>605926125</v>
      </c>
      <c r="I194" s="257">
        <v>586103113</v>
      </c>
    </row>
    <row r="195" spans="1:9" ht="15">
      <c r="A195" s="386" t="s">
        <v>303</v>
      </c>
      <c r="B195" s="218">
        <v>188983311</v>
      </c>
      <c r="C195" s="218">
        <v>188983311</v>
      </c>
      <c r="D195" s="218">
        <v>193489347</v>
      </c>
      <c r="E195" s="218">
        <v>193489347</v>
      </c>
      <c r="F195" s="257">
        <v>193489347</v>
      </c>
      <c r="G195" s="257">
        <v>188983311</v>
      </c>
      <c r="H195" s="257">
        <v>193489347</v>
      </c>
      <c r="I195" s="257">
        <v>188983311</v>
      </c>
    </row>
    <row r="196" spans="1:9" ht="15">
      <c r="A196" s="386" t="s">
        <v>304</v>
      </c>
      <c r="B196" s="218">
        <v>383505407</v>
      </c>
      <c r="C196" s="218">
        <v>383505407</v>
      </c>
      <c r="D196" s="218">
        <v>388774190</v>
      </c>
      <c r="E196" s="218">
        <v>388774190</v>
      </c>
      <c r="F196" s="257">
        <v>388774190</v>
      </c>
      <c r="G196" s="257">
        <v>383505407</v>
      </c>
      <c r="H196" s="257">
        <v>388774190</v>
      </c>
      <c r="I196" s="257">
        <v>383505407</v>
      </c>
    </row>
    <row r="197" spans="1:9" ht="15">
      <c r="A197" s="386" t="s">
        <v>1743</v>
      </c>
      <c r="B197" s="218">
        <v>17810750</v>
      </c>
      <c r="C197" s="218">
        <v>17810750</v>
      </c>
      <c r="D197" s="218">
        <v>18065974</v>
      </c>
      <c r="E197" s="218">
        <v>18065974</v>
      </c>
      <c r="F197" s="257">
        <v>18065974</v>
      </c>
      <c r="G197" s="257">
        <v>17810750</v>
      </c>
      <c r="H197" s="257">
        <v>18065974</v>
      </c>
      <c r="I197" s="257">
        <v>17810750</v>
      </c>
    </row>
    <row r="198" spans="1:9" ht="15">
      <c r="A198" s="386" t="s">
        <v>1744</v>
      </c>
      <c r="B198" s="218">
        <v>113480019</v>
      </c>
      <c r="C198" s="218">
        <v>113480019</v>
      </c>
      <c r="D198" s="218">
        <v>114757519</v>
      </c>
      <c r="E198" s="218">
        <v>114757519</v>
      </c>
      <c r="F198" s="257">
        <v>114757519</v>
      </c>
      <c r="G198" s="257">
        <v>113480019</v>
      </c>
      <c r="H198" s="257">
        <v>114757519</v>
      </c>
      <c r="I198" s="257">
        <v>113480019</v>
      </c>
    </row>
    <row r="199" spans="1:9" ht="15">
      <c r="A199" s="386" t="s">
        <v>1316</v>
      </c>
      <c r="B199" s="218">
        <v>87964063</v>
      </c>
      <c r="C199" s="218">
        <v>87964063</v>
      </c>
      <c r="D199" s="218">
        <v>91938269</v>
      </c>
      <c r="E199" s="218">
        <v>91938269</v>
      </c>
      <c r="F199" s="257">
        <v>91938269</v>
      </c>
      <c r="G199" s="257">
        <v>87964063</v>
      </c>
      <c r="H199" s="257">
        <v>91938269</v>
      </c>
      <c r="I199" s="257">
        <v>87964063</v>
      </c>
    </row>
    <row r="200" spans="1:9" ht="15">
      <c r="A200" s="386" t="s">
        <v>1107</v>
      </c>
      <c r="B200" s="218">
        <v>660104969</v>
      </c>
      <c r="C200" s="218">
        <v>660104969</v>
      </c>
      <c r="D200" s="218">
        <v>695424014</v>
      </c>
      <c r="E200" s="218">
        <v>695424014</v>
      </c>
      <c r="F200" s="257">
        <v>695424014</v>
      </c>
      <c r="G200" s="257">
        <v>660104969</v>
      </c>
      <c r="H200" s="257">
        <v>695424014</v>
      </c>
      <c r="I200" s="257">
        <v>660104969</v>
      </c>
    </row>
    <row r="201" spans="1:9" ht="15">
      <c r="A201" s="386" t="s">
        <v>2148</v>
      </c>
      <c r="B201" s="218">
        <v>53984718</v>
      </c>
      <c r="C201" s="218">
        <v>53984718</v>
      </c>
      <c r="D201" s="218">
        <v>56802164</v>
      </c>
      <c r="E201" s="218">
        <v>56802164</v>
      </c>
      <c r="F201" s="257">
        <v>56802164</v>
      </c>
      <c r="G201" s="257">
        <v>53984718</v>
      </c>
      <c r="H201" s="257">
        <v>56802164</v>
      </c>
      <c r="I201" s="257">
        <v>53984718</v>
      </c>
    </row>
    <row r="202" spans="1:9" ht="15">
      <c r="A202" s="386" t="s">
        <v>1108</v>
      </c>
      <c r="B202" s="218">
        <v>71898566</v>
      </c>
      <c r="C202" s="218">
        <v>71898566</v>
      </c>
      <c r="D202" s="218">
        <v>74701497</v>
      </c>
      <c r="E202" s="218">
        <v>74701497</v>
      </c>
      <c r="F202" s="257">
        <v>74701497</v>
      </c>
      <c r="G202" s="257">
        <v>71898566</v>
      </c>
      <c r="H202" s="257">
        <v>74701497</v>
      </c>
      <c r="I202" s="257">
        <v>71898566</v>
      </c>
    </row>
    <row r="203" spans="1:9" ht="15">
      <c r="A203" s="386" t="s">
        <v>2398</v>
      </c>
      <c r="B203" s="218">
        <v>1278966829</v>
      </c>
      <c r="C203" s="218">
        <v>1278966829</v>
      </c>
      <c r="D203" s="218">
        <v>1351667116</v>
      </c>
      <c r="E203" s="218">
        <v>1351667116</v>
      </c>
      <c r="F203" s="257">
        <v>1351667116</v>
      </c>
      <c r="G203" s="257">
        <v>1278966829</v>
      </c>
      <c r="H203" s="257">
        <v>1351667116</v>
      </c>
      <c r="I203" s="257">
        <v>1278966829</v>
      </c>
    </row>
    <row r="204" spans="1:9" ht="15">
      <c r="A204" s="386" t="s">
        <v>1109</v>
      </c>
      <c r="B204" s="218">
        <v>161528839</v>
      </c>
      <c r="C204" s="218">
        <v>161528839</v>
      </c>
      <c r="D204" s="218">
        <v>163925479</v>
      </c>
      <c r="E204" s="218">
        <v>163925479</v>
      </c>
      <c r="F204" s="257">
        <v>163158979</v>
      </c>
      <c r="G204" s="257">
        <v>160762339</v>
      </c>
      <c r="H204" s="257">
        <v>163158979</v>
      </c>
      <c r="I204" s="257">
        <v>160762339</v>
      </c>
    </row>
    <row r="205" spans="1:9" ht="15">
      <c r="A205" s="386" t="s">
        <v>681</v>
      </c>
      <c r="B205" s="218">
        <v>1521534796</v>
      </c>
      <c r="C205" s="218">
        <v>1521534796</v>
      </c>
      <c r="D205" s="218">
        <v>1528639666</v>
      </c>
      <c r="E205" s="218">
        <v>1528639666</v>
      </c>
      <c r="F205" s="257">
        <v>1528639666</v>
      </c>
      <c r="G205" s="257">
        <v>1521534796</v>
      </c>
      <c r="H205" s="257">
        <v>1528639666</v>
      </c>
      <c r="I205" s="257">
        <v>1521534796</v>
      </c>
    </row>
    <row r="206" spans="1:9" ht="15">
      <c r="A206" s="386" t="s">
        <v>682</v>
      </c>
      <c r="B206" s="218">
        <v>1849674890</v>
      </c>
      <c r="C206" s="218">
        <v>1849674890</v>
      </c>
      <c r="D206" s="218">
        <v>1856163230</v>
      </c>
      <c r="E206" s="218">
        <v>1856163230</v>
      </c>
      <c r="F206" s="257">
        <v>1853059950</v>
      </c>
      <c r="G206" s="257">
        <v>1846571610</v>
      </c>
      <c r="H206" s="257">
        <v>1853059950</v>
      </c>
      <c r="I206" s="257">
        <v>1846571610</v>
      </c>
    </row>
    <row r="207" spans="1:9" ht="15">
      <c r="A207" s="386" t="s">
        <v>683</v>
      </c>
      <c r="B207" s="218">
        <v>86149163</v>
      </c>
      <c r="C207" s="218">
        <v>86149163</v>
      </c>
      <c r="D207" s="218">
        <v>89939908</v>
      </c>
      <c r="E207" s="218">
        <v>89939908</v>
      </c>
      <c r="F207" s="257">
        <v>89939908</v>
      </c>
      <c r="G207" s="257">
        <v>86149163</v>
      </c>
      <c r="H207" s="257">
        <v>89939908</v>
      </c>
      <c r="I207" s="257">
        <v>86149163</v>
      </c>
    </row>
    <row r="208" spans="1:9" ht="15">
      <c r="A208" s="386" t="s">
        <v>684</v>
      </c>
      <c r="B208" s="218">
        <v>189959568</v>
      </c>
      <c r="C208" s="218">
        <v>216755569</v>
      </c>
      <c r="D208" s="218">
        <v>192147681</v>
      </c>
      <c r="E208" s="218">
        <v>218943682</v>
      </c>
      <c r="F208" s="257">
        <v>192147681</v>
      </c>
      <c r="G208" s="257">
        <v>189959568</v>
      </c>
      <c r="H208" s="257">
        <v>218943682</v>
      </c>
      <c r="I208" s="257">
        <v>216755569</v>
      </c>
    </row>
    <row r="209" spans="1:9" ht="15">
      <c r="A209" s="386" t="s">
        <v>392</v>
      </c>
      <c r="B209" s="218">
        <v>139379039</v>
      </c>
      <c r="C209" s="218">
        <v>139379039</v>
      </c>
      <c r="D209" s="218">
        <v>142893217</v>
      </c>
      <c r="E209" s="218">
        <v>142893217</v>
      </c>
      <c r="F209" s="257">
        <v>142893217</v>
      </c>
      <c r="G209" s="257">
        <v>139379039</v>
      </c>
      <c r="H209" s="257">
        <v>142893217</v>
      </c>
      <c r="I209" s="257">
        <v>139379039</v>
      </c>
    </row>
    <row r="210" spans="1:9" ht="15">
      <c r="A210" s="386" t="s">
        <v>2559</v>
      </c>
      <c r="B210" s="218">
        <v>883087453</v>
      </c>
      <c r="C210" s="218">
        <v>883087453</v>
      </c>
      <c r="D210" s="218">
        <v>886559062</v>
      </c>
      <c r="E210" s="218">
        <v>886559062</v>
      </c>
      <c r="F210" s="257">
        <v>886559062</v>
      </c>
      <c r="G210" s="257">
        <v>883087453</v>
      </c>
      <c r="H210" s="257">
        <v>886559062</v>
      </c>
      <c r="I210" s="257">
        <v>883087453</v>
      </c>
    </row>
    <row r="211" spans="1:9" ht="15">
      <c r="A211" s="386" t="s">
        <v>2560</v>
      </c>
      <c r="B211" s="218">
        <v>793138128</v>
      </c>
      <c r="C211" s="218">
        <v>1012721348</v>
      </c>
      <c r="D211" s="218">
        <v>807716323</v>
      </c>
      <c r="E211" s="218">
        <v>1027299543</v>
      </c>
      <c r="F211" s="257">
        <v>807716323</v>
      </c>
      <c r="G211" s="257">
        <v>793138128</v>
      </c>
      <c r="H211" s="257">
        <v>1027299543</v>
      </c>
      <c r="I211" s="257">
        <v>1012721348</v>
      </c>
    </row>
    <row r="212" spans="1:9" ht="15">
      <c r="A212" s="386" t="s">
        <v>2561</v>
      </c>
      <c r="B212" s="218">
        <v>141367418</v>
      </c>
      <c r="C212" s="218">
        <v>141367418</v>
      </c>
      <c r="D212" s="218">
        <v>142359664</v>
      </c>
      <c r="E212" s="218">
        <v>142359664</v>
      </c>
      <c r="F212" s="257">
        <v>142359664</v>
      </c>
      <c r="G212" s="257">
        <v>141367418</v>
      </c>
      <c r="H212" s="257">
        <v>142359664</v>
      </c>
      <c r="I212" s="257">
        <v>141367418</v>
      </c>
    </row>
    <row r="213" spans="1:9" ht="15">
      <c r="A213" s="386" t="s">
        <v>1642</v>
      </c>
      <c r="B213" s="218">
        <v>15416075523</v>
      </c>
      <c r="C213" s="218">
        <v>15416075523</v>
      </c>
      <c r="D213" s="218">
        <v>15667157867</v>
      </c>
      <c r="E213" s="218">
        <v>15667157867</v>
      </c>
      <c r="F213" s="257">
        <v>15667157867</v>
      </c>
      <c r="G213" s="257">
        <v>15416075523</v>
      </c>
      <c r="H213" s="257">
        <v>15667157867</v>
      </c>
      <c r="I213" s="257">
        <v>15416075523</v>
      </c>
    </row>
    <row r="214" spans="1:9" ht="15">
      <c r="A214" s="386" t="s">
        <v>385</v>
      </c>
      <c r="B214" s="218">
        <v>2702988674</v>
      </c>
      <c r="C214" s="218">
        <v>2702988674</v>
      </c>
      <c r="D214" s="218">
        <v>2802910304</v>
      </c>
      <c r="E214" s="218">
        <v>2802910304</v>
      </c>
      <c r="F214" s="257">
        <v>2802910304</v>
      </c>
      <c r="G214" s="257">
        <v>2702988674</v>
      </c>
      <c r="H214" s="257">
        <v>2802910304</v>
      </c>
      <c r="I214" s="257">
        <v>2702988674</v>
      </c>
    </row>
    <row r="215" spans="1:9" ht="15">
      <c r="A215" s="386" t="s">
        <v>386</v>
      </c>
      <c r="B215" s="218">
        <v>90936843690</v>
      </c>
      <c r="C215" s="218">
        <v>90936843690</v>
      </c>
      <c r="D215" s="218">
        <v>92404593456</v>
      </c>
      <c r="E215" s="218">
        <v>92404593456</v>
      </c>
      <c r="F215" s="257">
        <v>90648887467</v>
      </c>
      <c r="G215" s="257">
        <v>89181137701</v>
      </c>
      <c r="H215" s="257">
        <v>90648887467</v>
      </c>
      <c r="I215" s="257">
        <v>89181137701</v>
      </c>
    </row>
    <row r="216" spans="1:9" ht="15">
      <c r="A216" s="386" t="s">
        <v>387</v>
      </c>
      <c r="B216" s="218">
        <v>2230583033</v>
      </c>
      <c r="C216" s="218">
        <v>2230583033</v>
      </c>
      <c r="D216" s="218">
        <v>2342944202</v>
      </c>
      <c r="E216" s="218">
        <v>2342944202</v>
      </c>
      <c r="F216" s="257">
        <v>2342944202</v>
      </c>
      <c r="G216" s="257">
        <v>2230583033</v>
      </c>
      <c r="H216" s="257">
        <v>2342944202</v>
      </c>
      <c r="I216" s="257">
        <v>2230583033</v>
      </c>
    </row>
    <row r="217" spans="1:9" ht="15">
      <c r="A217" s="386" t="s">
        <v>388</v>
      </c>
      <c r="B217" s="218">
        <v>3488899521</v>
      </c>
      <c r="C217" s="218">
        <v>3488899521</v>
      </c>
      <c r="D217" s="218">
        <v>3620392234</v>
      </c>
      <c r="E217" s="218">
        <v>3620392234</v>
      </c>
      <c r="F217" s="257">
        <v>3620392234</v>
      </c>
      <c r="G217" s="257">
        <v>3488899521</v>
      </c>
      <c r="H217" s="257">
        <v>3620392234</v>
      </c>
      <c r="I217" s="257">
        <v>3488899521</v>
      </c>
    </row>
    <row r="218" spans="1:9" ht="15">
      <c r="A218" s="386" t="s">
        <v>2578</v>
      </c>
      <c r="B218" s="218">
        <v>14095895010</v>
      </c>
      <c r="C218" s="218">
        <v>14095895010</v>
      </c>
      <c r="D218" s="218">
        <v>14637454345</v>
      </c>
      <c r="E218" s="218">
        <v>14637454345</v>
      </c>
      <c r="F218" s="257">
        <v>14637454345</v>
      </c>
      <c r="G218" s="257">
        <v>14095895010</v>
      </c>
      <c r="H218" s="257">
        <v>14637454345</v>
      </c>
      <c r="I218" s="257">
        <v>14095895010</v>
      </c>
    </row>
    <row r="219" spans="1:9" ht="15">
      <c r="A219" s="386" t="s">
        <v>666</v>
      </c>
      <c r="B219" s="218">
        <v>5036882242</v>
      </c>
      <c r="C219" s="218">
        <v>5036882242</v>
      </c>
      <c r="D219" s="218">
        <v>5228626670</v>
      </c>
      <c r="E219" s="218">
        <v>5228626670</v>
      </c>
      <c r="F219" s="257">
        <v>5228626670</v>
      </c>
      <c r="G219" s="257">
        <v>5036882242</v>
      </c>
      <c r="H219" s="257">
        <v>5228626670</v>
      </c>
      <c r="I219" s="257">
        <v>5036882242</v>
      </c>
    </row>
    <row r="220" spans="1:9" ht="15">
      <c r="A220" s="386" t="s">
        <v>533</v>
      </c>
      <c r="B220" s="218">
        <v>14417484000</v>
      </c>
      <c r="C220" s="218">
        <v>14417484000</v>
      </c>
      <c r="D220" s="218">
        <v>14499243534</v>
      </c>
      <c r="E220" s="218">
        <v>14499243534</v>
      </c>
      <c r="F220" s="257">
        <v>13313983094</v>
      </c>
      <c r="G220" s="257">
        <v>13232223560</v>
      </c>
      <c r="H220" s="257">
        <v>13313983094</v>
      </c>
      <c r="I220" s="257">
        <v>13232223560</v>
      </c>
    </row>
    <row r="221" spans="1:9" ht="15">
      <c r="A221" s="386" t="s">
        <v>41</v>
      </c>
      <c r="B221" s="218">
        <v>9710292640</v>
      </c>
      <c r="C221" s="218">
        <v>9710292640</v>
      </c>
      <c r="D221" s="218">
        <v>9927128305</v>
      </c>
      <c r="E221" s="218">
        <v>9927128305</v>
      </c>
      <c r="F221" s="257">
        <v>9927128305</v>
      </c>
      <c r="G221" s="257">
        <v>9710292640</v>
      </c>
      <c r="H221" s="257">
        <v>9927128305</v>
      </c>
      <c r="I221" s="257">
        <v>9710292640</v>
      </c>
    </row>
    <row r="222" spans="1:9" ht="15">
      <c r="A222" s="386" t="s">
        <v>1790</v>
      </c>
      <c r="B222" s="218">
        <v>1718318880</v>
      </c>
      <c r="C222" s="218">
        <v>1718318880</v>
      </c>
      <c r="D222" s="218">
        <v>1789161729</v>
      </c>
      <c r="E222" s="218">
        <v>1789161729</v>
      </c>
      <c r="F222" s="257">
        <v>1789161729</v>
      </c>
      <c r="G222" s="257">
        <v>1718318880</v>
      </c>
      <c r="H222" s="257">
        <v>1789161729</v>
      </c>
      <c r="I222" s="257">
        <v>1718318880</v>
      </c>
    </row>
    <row r="223" spans="1:9" ht="15">
      <c r="A223" s="386" t="s">
        <v>2533</v>
      </c>
      <c r="B223" s="218">
        <v>6143390791</v>
      </c>
      <c r="C223" s="218">
        <v>6143390791</v>
      </c>
      <c r="D223" s="218">
        <v>6412759627</v>
      </c>
      <c r="E223" s="218">
        <v>6412759627</v>
      </c>
      <c r="F223" s="257">
        <v>6412759627</v>
      </c>
      <c r="G223" s="257">
        <v>6143390791</v>
      </c>
      <c r="H223" s="257">
        <v>6412759627</v>
      </c>
      <c r="I223" s="257">
        <v>6143390791</v>
      </c>
    </row>
    <row r="224" spans="1:9" ht="15">
      <c r="A224" s="386" t="s">
        <v>1791</v>
      </c>
      <c r="B224" s="218">
        <v>18274358695</v>
      </c>
      <c r="C224" s="218">
        <v>18274358695</v>
      </c>
      <c r="D224" s="218">
        <v>18673449895</v>
      </c>
      <c r="E224" s="218">
        <v>18673449895</v>
      </c>
      <c r="F224" s="257">
        <v>18208763176</v>
      </c>
      <c r="G224" s="257">
        <v>17809671976</v>
      </c>
      <c r="H224" s="257">
        <v>18208763176</v>
      </c>
      <c r="I224" s="257">
        <v>17809671976</v>
      </c>
    </row>
    <row r="225" spans="1:9" ht="15">
      <c r="A225" s="386" t="s">
        <v>2688</v>
      </c>
      <c r="B225" s="218">
        <v>943334808</v>
      </c>
      <c r="C225" s="218">
        <v>943334808</v>
      </c>
      <c r="D225" s="218">
        <v>959675808</v>
      </c>
      <c r="E225" s="218">
        <v>959675808</v>
      </c>
      <c r="F225" s="257">
        <v>959675808</v>
      </c>
      <c r="G225" s="257">
        <v>943334808</v>
      </c>
      <c r="H225" s="257">
        <v>959675808</v>
      </c>
      <c r="I225" s="257">
        <v>943334808</v>
      </c>
    </row>
    <row r="226" spans="1:9" ht="15">
      <c r="A226" s="386" t="s">
        <v>249</v>
      </c>
      <c r="B226" s="218">
        <v>9165186691</v>
      </c>
      <c r="C226" s="218">
        <v>9165186691</v>
      </c>
      <c r="D226" s="218">
        <v>9273674511</v>
      </c>
      <c r="E226" s="218">
        <v>9273674511</v>
      </c>
      <c r="F226" s="257">
        <v>9273674511</v>
      </c>
      <c r="G226" s="257">
        <v>9165186691</v>
      </c>
      <c r="H226" s="257">
        <v>9273674511</v>
      </c>
      <c r="I226" s="257">
        <v>9165186691</v>
      </c>
    </row>
    <row r="227" spans="1:9" ht="15">
      <c r="A227" s="386" t="s">
        <v>250</v>
      </c>
      <c r="B227" s="218">
        <v>166284918</v>
      </c>
      <c r="C227" s="218">
        <v>166284918</v>
      </c>
      <c r="D227" s="218">
        <v>166830456</v>
      </c>
      <c r="E227" s="218">
        <v>166830456</v>
      </c>
      <c r="F227" s="257">
        <v>166830456</v>
      </c>
      <c r="G227" s="257">
        <v>166284918</v>
      </c>
      <c r="H227" s="257">
        <v>166830456</v>
      </c>
      <c r="I227" s="257">
        <v>166284918</v>
      </c>
    </row>
    <row r="228" spans="1:9" ht="15">
      <c r="A228" s="386" t="s">
        <v>251</v>
      </c>
      <c r="B228" s="218">
        <v>1086436820</v>
      </c>
      <c r="C228" s="218">
        <v>1086436820</v>
      </c>
      <c r="D228" s="218">
        <v>1087837230</v>
      </c>
      <c r="E228" s="218">
        <v>1087837230</v>
      </c>
      <c r="F228" s="257">
        <v>1086439265</v>
      </c>
      <c r="G228" s="257">
        <v>1085038855</v>
      </c>
      <c r="H228" s="257">
        <v>1086439265</v>
      </c>
      <c r="I228" s="257">
        <v>1085038855</v>
      </c>
    </row>
    <row r="229" spans="1:9" ht="15">
      <c r="A229" s="386" t="s">
        <v>252</v>
      </c>
      <c r="B229" s="218">
        <v>568525828</v>
      </c>
      <c r="C229" s="218">
        <v>568525828</v>
      </c>
      <c r="D229" s="218">
        <v>584199278</v>
      </c>
      <c r="E229" s="218">
        <v>584199278</v>
      </c>
      <c r="F229" s="257">
        <v>584199278</v>
      </c>
      <c r="G229" s="257">
        <v>568525828</v>
      </c>
      <c r="H229" s="257">
        <v>584199278</v>
      </c>
      <c r="I229" s="257">
        <v>568525828</v>
      </c>
    </row>
    <row r="230" spans="1:9" ht="15">
      <c r="A230" s="386" t="s">
        <v>374</v>
      </c>
      <c r="B230" s="218">
        <v>816439995</v>
      </c>
      <c r="C230" s="218">
        <v>816439995</v>
      </c>
      <c r="D230" s="218">
        <v>817705151</v>
      </c>
      <c r="E230" s="218">
        <v>817705151</v>
      </c>
      <c r="F230" s="257">
        <v>816608707</v>
      </c>
      <c r="G230" s="257">
        <v>815343551</v>
      </c>
      <c r="H230" s="257">
        <v>816608707</v>
      </c>
      <c r="I230" s="257">
        <v>815343551</v>
      </c>
    </row>
    <row r="231" spans="1:9" ht="15">
      <c r="A231" s="386" t="s">
        <v>1864</v>
      </c>
      <c r="B231" s="218">
        <v>1394815047</v>
      </c>
      <c r="C231" s="218">
        <v>1394815047</v>
      </c>
      <c r="D231" s="218">
        <v>1423305416</v>
      </c>
      <c r="E231" s="218">
        <v>1423305416</v>
      </c>
      <c r="F231" s="257">
        <v>1423305416</v>
      </c>
      <c r="G231" s="257">
        <v>1394815047</v>
      </c>
      <c r="H231" s="257">
        <v>1423305416</v>
      </c>
      <c r="I231" s="257">
        <v>1394815047</v>
      </c>
    </row>
    <row r="232" spans="1:9" ht="15">
      <c r="A232" s="386" t="s">
        <v>1068</v>
      </c>
      <c r="B232" s="218">
        <v>43075236</v>
      </c>
      <c r="C232" s="218">
        <v>43075236</v>
      </c>
      <c r="D232" s="218">
        <v>43344636</v>
      </c>
      <c r="E232" s="218">
        <v>43344636</v>
      </c>
      <c r="F232" s="257">
        <v>43344636</v>
      </c>
      <c r="G232" s="257">
        <v>43075236</v>
      </c>
      <c r="H232" s="257">
        <v>43344636</v>
      </c>
      <c r="I232" s="257">
        <v>43075236</v>
      </c>
    </row>
    <row r="233" spans="1:9" ht="15">
      <c r="A233" s="386" t="s">
        <v>1069</v>
      </c>
      <c r="B233" s="218">
        <v>167026258</v>
      </c>
      <c r="C233" s="218">
        <v>167026258</v>
      </c>
      <c r="D233" s="218">
        <v>177753585</v>
      </c>
      <c r="E233" s="218">
        <v>177753585</v>
      </c>
      <c r="F233" s="257">
        <v>177753585</v>
      </c>
      <c r="G233" s="257">
        <v>167026258</v>
      </c>
      <c r="H233" s="257">
        <v>177753585</v>
      </c>
      <c r="I233" s="257">
        <v>167026258</v>
      </c>
    </row>
    <row r="234" spans="1:9" ht="15">
      <c r="A234" s="386" t="s">
        <v>640</v>
      </c>
      <c r="B234" s="218">
        <v>49346737</v>
      </c>
      <c r="C234" s="218">
        <v>49346737</v>
      </c>
      <c r="D234" s="218">
        <v>52168003</v>
      </c>
      <c r="E234" s="218">
        <v>52168003</v>
      </c>
      <c r="F234" s="257">
        <v>52168003</v>
      </c>
      <c r="G234" s="257">
        <v>49346737</v>
      </c>
      <c r="H234" s="257">
        <v>52168003</v>
      </c>
      <c r="I234" s="257">
        <v>49346737</v>
      </c>
    </row>
    <row r="235" spans="1:9" ht="15">
      <c r="A235" s="386" t="s">
        <v>1070</v>
      </c>
      <c r="B235" s="218">
        <v>12667105436</v>
      </c>
      <c r="C235" s="218">
        <v>12667105436</v>
      </c>
      <c r="D235" s="218">
        <v>12960399436</v>
      </c>
      <c r="E235" s="218">
        <v>12960399436</v>
      </c>
      <c r="F235" s="257">
        <v>12960399436</v>
      </c>
      <c r="G235" s="257">
        <v>12667105436</v>
      </c>
      <c r="H235" s="257">
        <v>12960399436</v>
      </c>
      <c r="I235" s="257">
        <v>12667105436</v>
      </c>
    </row>
    <row r="236" spans="1:9" ht="15">
      <c r="A236" s="386" t="s">
        <v>1770</v>
      </c>
      <c r="B236" s="218">
        <v>29222878636</v>
      </c>
      <c r="C236" s="218">
        <v>29222878636</v>
      </c>
      <c r="D236" s="218">
        <v>29785311091</v>
      </c>
      <c r="E236" s="218">
        <v>29785311091</v>
      </c>
      <c r="F236" s="257">
        <v>29785311091</v>
      </c>
      <c r="G236" s="257">
        <v>29222878636</v>
      </c>
      <c r="H236" s="257">
        <v>29785311091</v>
      </c>
      <c r="I236" s="257">
        <v>29222878636</v>
      </c>
    </row>
    <row r="237" spans="1:9" ht="15">
      <c r="A237" s="386" t="s">
        <v>212</v>
      </c>
      <c r="B237" s="218">
        <v>579738167</v>
      </c>
      <c r="C237" s="218">
        <v>579738167</v>
      </c>
      <c r="D237" s="218">
        <v>596175572</v>
      </c>
      <c r="E237" s="218">
        <v>596175572</v>
      </c>
      <c r="F237" s="257">
        <v>596175572</v>
      </c>
      <c r="G237" s="257">
        <v>579738167</v>
      </c>
      <c r="H237" s="257">
        <v>596175572</v>
      </c>
      <c r="I237" s="257">
        <v>579738167</v>
      </c>
    </row>
    <row r="238" spans="1:9" ht="15">
      <c r="A238" s="386" t="s">
        <v>717</v>
      </c>
      <c r="B238" s="218">
        <v>735719105</v>
      </c>
      <c r="C238" s="218">
        <v>735719105</v>
      </c>
      <c r="D238" s="218">
        <v>755151613</v>
      </c>
      <c r="E238" s="218">
        <v>755151613</v>
      </c>
      <c r="F238" s="257">
        <v>755151613</v>
      </c>
      <c r="G238" s="257">
        <v>735719105</v>
      </c>
      <c r="H238" s="257">
        <v>755151613</v>
      </c>
      <c r="I238" s="257">
        <v>735719105</v>
      </c>
    </row>
    <row r="239" spans="1:9" ht="15">
      <c r="A239" s="386" t="s">
        <v>214</v>
      </c>
      <c r="B239" s="218">
        <v>706232230</v>
      </c>
      <c r="C239" s="218">
        <v>706232230</v>
      </c>
      <c r="D239" s="218">
        <v>718117183</v>
      </c>
      <c r="E239" s="218">
        <v>718117183</v>
      </c>
      <c r="F239" s="257">
        <v>718117183</v>
      </c>
      <c r="G239" s="257">
        <v>706232230</v>
      </c>
      <c r="H239" s="257">
        <v>718117183</v>
      </c>
      <c r="I239" s="257">
        <v>706232230</v>
      </c>
    </row>
    <row r="240" spans="1:9" ht="15">
      <c r="A240" s="386" t="s">
        <v>1680</v>
      </c>
      <c r="B240" s="218">
        <v>717051044</v>
      </c>
      <c r="C240" s="218">
        <v>717051044</v>
      </c>
      <c r="D240" s="218">
        <v>741342617</v>
      </c>
      <c r="E240" s="218">
        <v>741342617</v>
      </c>
      <c r="F240" s="257">
        <v>741342617</v>
      </c>
      <c r="G240" s="257">
        <v>717051044</v>
      </c>
      <c r="H240" s="257">
        <v>741342617</v>
      </c>
      <c r="I240" s="257">
        <v>717051044</v>
      </c>
    </row>
    <row r="241" spans="1:9" ht="15">
      <c r="A241" s="386" t="s">
        <v>490</v>
      </c>
      <c r="B241" s="218">
        <v>823354345</v>
      </c>
      <c r="C241" s="218">
        <v>823354345</v>
      </c>
      <c r="D241" s="218">
        <v>851232019</v>
      </c>
      <c r="E241" s="218">
        <v>851232019</v>
      </c>
      <c r="F241" s="257">
        <v>851232019</v>
      </c>
      <c r="G241" s="257">
        <v>823354345</v>
      </c>
      <c r="H241" s="257">
        <v>851232019</v>
      </c>
      <c r="I241" s="257">
        <v>823354345</v>
      </c>
    </row>
    <row r="242" spans="1:9" ht="15">
      <c r="A242" s="386" t="s">
        <v>1838</v>
      </c>
      <c r="B242" s="218">
        <v>1319693996</v>
      </c>
      <c r="C242" s="218">
        <v>1319693996</v>
      </c>
      <c r="D242" s="218">
        <v>1342177268</v>
      </c>
      <c r="E242" s="218">
        <v>1342177268</v>
      </c>
      <c r="F242" s="257">
        <v>1342177268</v>
      </c>
      <c r="G242" s="257">
        <v>1319693996</v>
      </c>
      <c r="H242" s="257">
        <v>1342177268</v>
      </c>
      <c r="I242" s="257">
        <v>1319693996</v>
      </c>
    </row>
    <row r="243" spans="1:9" ht="15">
      <c r="A243" s="386" t="s">
        <v>1410</v>
      </c>
      <c r="B243" s="218">
        <v>12099913749</v>
      </c>
      <c r="C243" s="218">
        <v>12099913749</v>
      </c>
      <c r="D243" s="218">
        <v>12302904434</v>
      </c>
      <c r="E243" s="218">
        <v>12302904434</v>
      </c>
      <c r="F243" s="257">
        <v>12302904434</v>
      </c>
      <c r="G243" s="257">
        <v>12099913749</v>
      </c>
      <c r="H243" s="257">
        <v>12302904434</v>
      </c>
      <c r="I243" s="257">
        <v>12099913749</v>
      </c>
    </row>
    <row r="244" spans="1:9" ht="15">
      <c r="A244" s="386" t="s">
        <v>61</v>
      </c>
      <c r="B244" s="218">
        <v>1419973281</v>
      </c>
      <c r="C244" s="218">
        <v>1419973281</v>
      </c>
      <c r="D244" s="218">
        <v>1466510596</v>
      </c>
      <c r="E244" s="218">
        <v>1466510596</v>
      </c>
      <c r="F244" s="257">
        <v>1466510596</v>
      </c>
      <c r="G244" s="257">
        <v>1419973281</v>
      </c>
      <c r="H244" s="257">
        <v>1466510596</v>
      </c>
      <c r="I244" s="257">
        <v>1419973281</v>
      </c>
    </row>
    <row r="245" spans="1:9" ht="15">
      <c r="A245" s="386" t="s">
        <v>641</v>
      </c>
      <c r="B245" s="218">
        <v>2673026804</v>
      </c>
      <c r="C245" s="218">
        <v>2673026804</v>
      </c>
      <c r="D245" s="218">
        <v>2750897925</v>
      </c>
      <c r="E245" s="218">
        <v>2750897925</v>
      </c>
      <c r="F245" s="257">
        <v>2750897925</v>
      </c>
      <c r="G245" s="257">
        <v>2673026804</v>
      </c>
      <c r="H245" s="257">
        <v>2750897925</v>
      </c>
      <c r="I245" s="257">
        <v>2673026804</v>
      </c>
    </row>
    <row r="246" spans="1:9" ht="15">
      <c r="A246" s="386" t="s">
        <v>2504</v>
      </c>
      <c r="B246" s="218">
        <v>1608595790</v>
      </c>
      <c r="C246" s="218">
        <v>1608595790</v>
      </c>
      <c r="D246" s="218">
        <v>1626431870</v>
      </c>
      <c r="E246" s="218">
        <v>1626431870</v>
      </c>
      <c r="F246" s="257">
        <v>1626431870</v>
      </c>
      <c r="G246" s="257">
        <v>1608595790</v>
      </c>
      <c r="H246" s="257">
        <v>1626431870</v>
      </c>
      <c r="I246" s="257">
        <v>1608595790</v>
      </c>
    </row>
    <row r="247" spans="1:9" ht="15">
      <c r="A247" s="386" t="s">
        <v>1839</v>
      </c>
      <c r="B247" s="218">
        <v>868523488</v>
      </c>
      <c r="C247" s="218">
        <v>868523488</v>
      </c>
      <c r="D247" s="218">
        <v>870480168</v>
      </c>
      <c r="E247" s="218">
        <v>870480168</v>
      </c>
      <c r="F247" s="257">
        <v>870480168</v>
      </c>
      <c r="G247" s="257">
        <v>868523488</v>
      </c>
      <c r="H247" s="257">
        <v>870480168</v>
      </c>
      <c r="I247" s="257">
        <v>868523488</v>
      </c>
    </row>
    <row r="248" spans="1:9" ht="15">
      <c r="A248" s="386" t="s">
        <v>1185</v>
      </c>
      <c r="B248" s="218">
        <v>828918568</v>
      </c>
      <c r="C248" s="218">
        <v>1275818808</v>
      </c>
      <c r="D248" s="218">
        <v>847381091</v>
      </c>
      <c r="E248" s="218">
        <v>1294281331</v>
      </c>
      <c r="F248" s="257">
        <v>847381091</v>
      </c>
      <c r="G248" s="257">
        <v>828918568</v>
      </c>
      <c r="H248" s="257">
        <v>1294281331</v>
      </c>
      <c r="I248" s="257">
        <v>1275818808</v>
      </c>
    </row>
    <row r="249" spans="1:9" ht="15">
      <c r="A249" s="386" t="s">
        <v>1840</v>
      </c>
      <c r="B249" s="218">
        <v>2150931601</v>
      </c>
      <c r="C249" s="218">
        <v>2150931601</v>
      </c>
      <c r="D249" s="218">
        <v>2159721941</v>
      </c>
      <c r="E249" s="218">
        <v>2159721941</v>
      </c>
      <c r="F249" s="257">
        <v>2159721941</v>
      </c>
      <c r="G249" s="257">
        <v>2150931601</v>
      </c>
      <c r="H249" s="257">
        <v>2159721941</v>
      </c>
      <c r="I249" s="257">
        <v>2150931601</v>
      </c>
    </row>
    <row r="250" spans="1:9" ht="15">
      <c r="A250" s="386" t="s">
        <v>698</v>
      </c>
      <c r="B250" s="218">
        <v>1114897667</v>
      </c>
      <c r="C250" s="218">
        <v>1114897667</v>
      </c>
      <c r="D250" s="218">
        <v>1116185667</v>
      </c>
      <c r="E250" s="218">
        <v>1116185667</v>
      </c>
      <c r="F250" s="257">
        <v>1116185667</v>
      </c>
      <c r="G250" s="257">
        <v>1114897667</v>
      </c>
      <c r="H250" s="257">
        <v>1116185667</v>
      </c>
      <c r="I250" s="257">
        <v>1114897667</v>
      </c>
    </row>
    <row r="251" spans="1:9" ht="15">
      <c r="A251" s="386" t="s">
        <v>299</v>
      </c>
      <c r="B251" s="218">
        <v>67737758</v>
      </c>
      <c r="C251" s="218">
        <v>67737758</v>
      </c>
      <c r="D251" s="218">
        <v>70927964</v>
      </c>
      <c r="E251" s="218">
        <v>70927964</v>
      </c>
      <c r="F251" s="257">
        <v>70927964</v>
      </c>
      <c r="G251" s="257">
        <v>67737758</v>
      </c>
      <c r="H251" s="257">
        <v>70927964</v>
      </c>
      <c r="I251" s="257">
        <v>67737758</v>
      </c>
    </row>
    <row r="252" spans="1:9" ht="15">
      <c r="A252" s="386" t="s">
        <v>175</v>
      </c>
      <c r="B252" s="218">
        <v>150692216</v>
      </c>
      <c r="C252" s="218">
        <v>254369626</v>
      </c>
      <c r="D252" s="218">
        <v>153393506</v>
      </c>
      <c r="E252" s="218">
        <v>257070916</v>
      </c>
      <c r="F252" s="257">
        <v>153393506</v>
      </c>
      <c r="G252" s="257">
        <v>150692216</v>
      </c>
      <c r="H252" s="257">
        <v>257070916</v>
      </c>
      <c r="I252" s="257">
        <v>254369626</v>
      </c>
    </row>
    <row r="253" spans="1:9" ht="15">
      <c r="A253" s="386" t="s">
        <v>176</v>
      </c>
      <c r="B253" s="218">
        <v>72817111</v>
      </c>
      <c r="C253" s="218">
        <v>72817111</v>
      </c>
      <c r="D253" s="218">
        <v>73260381</v>
      </c>
      <c r="E253" s="218">
        <v>73260381</v>
      </c>
      <c r="F253" s="257">
        <v>73260381</v>
      </c>
      <c r="G253" s="257">
        <v>72817111</v>
      </c>
      <c r="H253" s="257">
        <v>73260381</v>
      </c>
      <c r="I253" s="257">
        <v>72817111</v>
      </c>
    </row>
    <row r="254" spans="1:9" ht="15">
      <c r="A254" s="386" t="s">
        <v>718</v>
      </c>
      <c r="B254" s="218">
        <v>5998433849</v>
      </c>
      <c r="C254" s="218">
        <v>5998433849</v>
      </c>
      <c r="D254" s="218">
        <v>6014444313</v>
      </c>
      <c r="E254" s="218">
        <v>6014444313</v>
      </c>
      <c r="F254" s="257">
        <v>6002656635</v>
      </c>
      <c r="G254" s="257">
        <v>5986646171</v>
      </c>
      <c r="H254" s="257">
        <v>6002656635</v>
      </c>
      <c r="I254" s="257">
        <v>5986646171</v>
      </c>
    </row>
    <row r="255" spans="1:9" ht="15">
      <c r="A255" s="386" t="s">
        <v>2629</v>
      </c>
      <c r="B255" s="218">
        <v>140447226</v>
      </c>
      <c r="C255" s="218">
        <v>140447226</v>
      </c>
      <c r="D255" s="218">
        <v>146262474</v>
      </c>
      <c r="E255" s="218">
        <v>146262474</v>
      </c>
      <c r="F255" s="257">
        <v>146262474</v>
      </c>
      <c r="G255" s="257">
        <v>140447226</v>
      </c>
      <c r="H255" s="257">
        <v>146262474</v>
      </c>
      <c r="I255" s="257">
        <v>140447226</v>
      </c>
    </row>
    <row r="256" spans="1:9" ht="15">
      <c r="A256" s="386" t="s">
        <v>1556</v>
      </c>
      <c r="B256" s="218">
        <v>51838365</v>
      </c>
      <c r="C256" s="218">
        <v>51838365</v>
      </c>
      <c r="D256" s="218">
        <v>52495032</v>
      </c>
      <c r="E256" s="218">
        <v>52495032</v>
      </c>
      <c r="F256" s="257">
        <v>52495032</v>
      </c>
      <c r="G256" s="257">
        <v>51838365</v>
      </c>
      <c r="H256" s="257">
        <v>52495032</v>
      </c>
      <c r="I256" s="257">
        <v>51838365</v>
      </c>
    </row>
    <row r="257" spans="1:9" ht="15">
      <c r="A257" s="386" t="s">
        <v>2630</v>
      </c>
      <c r="B257" s="218">
        <v>21384902</v>
      </c>
      <c r="C257" s="218">
        <v>21384902</v>
      </c>
      <c r="D257" s="218">
        <v>21584702</v>
      </c>
      <c r="E257" s="218">
        <v>21584702</v>
      </c>
      <c r="F257" s="257">
        <v>21444143</v>
      </c>
      <c r="G257" s="257">
        <v>21244343</v>
      </c>
      <c r="H257" s="257">
        <v>21444143</v>
      </c>
      <c r="I257" s="257">
        <v>21244343</v>
      </c>
    </row>
    <row r="258" spans="1:9" ht="15">
      <c r="A258" s="386" t="s">
        <v>2631</v>
      </c>
      <c r="B258" s="218">
        <v>227459436</v>
      </c>
      <c r="C258" s="218">
        <v>227459436</v>
      </c>
      <c r="D258" s="218">
        <v>230921997</v>
      </c>
      <c r="E258" s="218">
        <v>230921997</v>
      </c>
      <c r="F258" s="257">
        <v>230921997</v>
      </c>
      <c r="G258" s="257">
        <v>227459436</v>
      </c>
      <c r="H258" s="257">
        <v>230921997</v>
      </c>
      <c r="I258" s="257">
        <v>227459436</v>
      </c>
    </row>
    <row r="259" spans="1:9" ht="15">
      <c r="A259" s="386" t="s">
        <v>719</v>
      </c>
      <c r="B259" s="218">
        <v>179912186</v>
      </c>
      <c r="C259" s="218">
        <v>179912186</v>
      </c>
      <c r="D259" s="218">
        <v>187342859</v>
      </c>
      <c r="E259" s="218">
        <v>187342859</v>
      </c>
      <c r="F259" s="257">
        <v>187342859</v>
      </c>
      <c r="G259" s="257">
        <v>179912186</v>
      </c>
      <c r="H259" s="257">
        <v>187342859</v>
      </c>
      <c r="I259" s="257">
        <v>179912186</v>
      </c>
    </row>
    <row r="260" spans="1:9" ht="15">
      <c r="A260" s="386" t="s">
        <v>678</v>
      </c>
      <c r="B260" s="218">
        <v>321179413</v>
      </c>
      <c r="C260" s="218">
        <v>321179413</v>
      </c>
      <c r="D260" s="218">
        <v>326911943</v>
      </c>
      <c r="E260" s="218">
        <v>326911943</v>
      </c>
      <c r="F260" s="257">
        <v>323896837</v>
      </c>
      <c r="G260" s="257">
        <v>318164307</v>
      </c>
      <c r="H260" s="257">
        <v>323896837</v>
      </c>
      <c r="I260" s="257">
        <v>318164307</v>
      </c>
    </row>
    <row r="261" spans="1:9" ht="15">
      <c r="A261" s="386" t="s">
        <v>2149</v>
      </c>
      <c r="B261" s="218">
        <v>686734657</v>
      </c>
      <c r="C261" s="218">
        <v>686734657</v>
      </c>
      <c r="D261" s="218">
        <v>696611437</v>
      </c>
      <c r="E261" s="218">
        <v>696611437</v>
      </c>
      <c r="F261" s="257">
        <v>696611437</v>
      </c>
      <c r="G261" s="257">
        <v>686734657</v>
      </c>
      <c r="H261" s="257">
        <v>696611437</v>
      </c>
      <c r="I261" s="257">
        <v>686734657</v>
      </c>
    </row>
    <row r="262" spans="1:9" ht="15">
      <c r="A262" s="386" t="s">
        <v>2297</v>
      </c>
      <c r="B262" s="218">
        <v>442631213</v>
      </c>
      <c r="C262" s="218">
        <v>442631213</v>
      </c>
      <c r="D262" s="218">
        <v>457268733</v>
      </c>
      <c r="E262" s="218">
        <v>457268733</v>
      </c>
      <c r="F262" s="257">
        <v>457268733</v>
      </c>
      <c r="G262" s="257">
        <v>442631213</v>
      </c>
      <c r="H262" s="257">
        <v>457268733</v>
      </c>
      <c r="I262" s="257">
        <v>442631213</v>
      </c>
    </row>
    <row r="263" spans="1:9" ht="15">
      <c r="A263" s="386" t="s">
        <v>1788</v>
      </c>
      <c r="B263" s="218">
        <v>107629753</v>
      </c>
      <c r="C263" s="218">
        <v>107629753</v>
      </c>
      <c r="D263" s="218">
        <v>111047761</v>
      </c>
      <c r="E263" s="218">
        <v>111047761</v>
      </c>
      <c r="F263" s="257">
        <v>111047761</v>
      </c>
      <c r="G263" s="257">
        <v>107629753</v>
      </c>
      <c r="H263" s="257">
        <v>111047761</v>
      </c>
      <c r="I263" s="257">
        <v>107629753</v>
      </c>
    </row>
    <row r="264" spans="1:9" ht="15">
      <c r="A264" s="386" t="s">
        <v>616</v>
      </c>
      <c r="B264" s="218">
        <v>108214301</v>
      </c>
      <c r="C264" s="218">
        <v>108214301</v>
      </c>
      <c r="D264" s="218">
        <v>112516561</v>
      </c>
      <c r="E264" s="218">
        <v>112516561</v>
      </c>
      <c r="F264" s="257">
        <v>112516561</v>
      </c>
      <c r="G264" s="257">
        <v>108214301</v>
      </c>
      <c r="H264" s="257">
        <v>112516561</v>
      </c>
      <c r="I264" s="257">
        <v>108214301</v>
      </c>
    </row>
    <row r="265" spans="1:9" ht="15">
      <c r="A265" s="386" t="s">
        <v>918</v>
      </c>
      <c r="B265" s="218">
        <v>44161614</v>
      </c>
      <c r="C265" s="218">
        <v>44161614</v>
      </c>
      <c r="D265" s="218">
        <v>46809054</v>
      </c>
      <c r="E265" s="218">
        <v>46809054</v>
      </c>
      <c r="F265" s="257">
        <v>46809054</v>
      </c>
      <c r="G265" s="257">
        <v>44161614</v>
      </c>
      <c r="H265" s="257">
        <v>46809054</v>
      </c>
      <c r="I265" s="257">
        <v>44161614</v>
      </c>
    </row>
    <row r="266" spans="1:9" ht="15">
      <c r="A266" s="386" t="s">
        <v>2132</v>
      </c>
      <c r="B266" s="218">
        <v>13748494807</v>
      </c>
      <c r="C266" s="218">
        <v>13748494807</v>
      </c>
      <c r="D266" s="218">
        <v>13999723538</v>
      </c>
      <c r="E266" s="218">
        <v>13999723538</v>
      </c>
      <c r="F266" s="257">
        <v>13630698482</v>
      </c>
      <c r="G266" s="257">
        <v>13379469751</v>
      </c>
      <c r="H266" s="257">
        <v>13630698482</v>
      </c>
      <c r="I266" s="257">
        <v>13379469751</v>
      </c>
    </row>
    <row r="267" spans="1:9" ht="15">
      <c r="A267" s="386" t="s">
        <v>2581</v>
      </c>
      <c r="B267" s="218">
        <v>293106741</v>
      </c>
      <c r="C267" s="218">
        <v>293106741</v>
      </c>
      <c r="D267" s="218">
        <v>293106741</v>
      </c>
      <c r="E267" s="218">
        <v>293106741</v>
      </c>
      <c r="F267" s="257">
        <v>293106741</v>
      </c>
      <c r="G267" s="257">
        <v>293106741</v>
      </c>
      <c r="H267" s="257">
        <v>293106741</v>
      </c>
      <c r="I267" s="257">
        <v>293106741</v>
      </c>
    </row>
    <row r="268" spans="1:9" ht="15">
      <c r="A268" s="386" t="s">
        <v>2393</v>
      </c>
      <c r="B268" s="218">
        <v>214437930</v>
      </c>
      <c r="C268" s="218">
        <v>214437930</v>
      </c>
      <c r="D268" s="218">
        <v>216344467</v>
      </c>
      <c r="E268" s="218">
        <v>216344467</v>
      </c>
      <c r="F268" s="257">
        <v>216344467</v>
      </c>
      <c r="G268" s="257">
        <v>214437930</v>
      </c>
      <c r="H268" s="257">
        <v>216344467</v>
      </c>
      <c r="I268" s="257">
        <v>214437930</v>
      </c>
    </row>
    <row r="269" spans="1:9" ht="15">
      <c r="A269" s="386" t="s">
        <v>246</v>
      </c>
      <c r="B269" s="218">
        <v>35917625</v>
      </c>
      <c r="C269" s="218">
        <v>35917625</v>
      </c>
      <c r="D269" s="218">
        <v>37383661</v>
      </c>
      <c r="E269" s="218">
        <v>37383661</v>
      </c>
      <c r="F269" s="257">
        <v>37383661</v>
      </c>
      <c r="G269" s="257">
        <v>35917625</v>
      </c>
      <c r="H269" s="257">
        <v>37383661</v>
      </c>
      <c r="I269" s="257">
        <v>35917625</v>
      </c>
    </row>
    <row r="270" spans="1:9" ht="15">
      <c r="A270" s="386" t="s">
        <v>1405</v>
      </c>
      <c r="B270" s="218">
        <v>1794328761</v>
      </c>
      <c r="C270" s="218">
        <v>1794328761</v>
      </c>
      <c r="D270" s="218">
        <v>1840270648</v>
      </c>
      <c r="E270" s="218">
        <v>1840270648</v>
      </c>
      <c r="F270" s="257">
        <v>1840270648</v>
      </c>
      <c r="G270" s="257">
        <v>1794328761</v>
      </c>
      <c r="H270" s="257">
        <v>1840270648</v>
      </c>
      <c r="I270" s="257">
        <v>1794328761</v>
      </c>
    </row>
    <row r="271" spans="1:9" ht="15">
      <c r="A271" s="386" t="s">
        <v>1406</v>
      </c>
      <c r="B271" s="218">
        <v>307308282</v>
      </c>
      <c r="C271" s="218">
        <v>307308282</v>
      </c>
      <c r="D271" s="218">
        <v>323780219</v>
      </c>
      <c r="E271" s="218">
        <v>323780219</v>
      </c>
      <c r="F271" s="257">
        <v>323780219</v>
      </c>
      <c r="G271" s="257">
        <v>307308282</v>
      </c>
      <c r="H271" s="257">
        <v>323780219</v>
      </c>
      <c r="I271" s="257">
        <v>307308282</v>
      </c>
    </row>
    <row r="272" spans="1:9" ht="15">
      <c r="A272" s="386" t="s">
        <v>720</v>
      </c>
      <c r="B272" s="218">
        <v>95433011</v>
      </c>
      <c r="C272" s="218">
        <v>95433011</v>
      </c>
      <c r="D272" s="218">
        <v>100845668</v>
      </c>
      <c r="E272" s="218">
        <v>100845668</v>
      </c>
      <c r="F272" s="257">
        <v>100845668</v>
      </c>
      <c r="G272" s="257">
        <v>95433011</v>
      </c>
      <c r="H272" s="257">
        <v>100845668</v>
      </c>
      <c r="I272" s="257">
        <v>95433011</v>
      </c>
    </row>
    <row r="273" spans="1:9" ht="15">
      <c r="A273" s="386" t="s">
        <v>1401</v>
      </c>
      <c r="B273" s="218">
        <v>3169190157</v>
      </c>
      <c r="C273" s="218">
        <v>3169190157</v>
      </c>
      <c r="D273" s="218">
        <v>3260445715</v>
      </c>
      <c r="E273" s="218">
        <v>3260445715</v>
      </c>
      <c r="F273" s="257">
        <v>3165519444</v>
      </c>
      <c r="G273" s="257">
        <v>3074263886</v>
      </c>
      <c r="H273" s="257">
        <v>3165519444</v>
      </c>
      <c r="I273" s="257">
        <v>3074263886</v>
      </c>
    </row>
    <row r="274" spans="1:9" ht="15">
      <c r="A274" s="386" t="s">
        <v>932</v>
      </c>
      <c r="B274" s="218">
        <v>76992921</v>
      </c>
      <c r="C274" s="218">
        <v>76992921</v>
      </c>
      <c r="D274" s="218">
        <v>79197926</v>
      </c>
      <c r="E274" s="218">
        <v>79197926</v>
      </c>
      <c r="F274" s="257">
        <v>79197926</v>
      </c>
      <c r="G274" s="257">
        <v>76992921</v>
      </c>
      <c r="H274" s="257">
        <v>79197926</v>
      </c>
      <c r="I274" s="257">
        <v>76992921</v>
      </c>
    </row>
    <row r="275" spans="1:9" ht="15">
      <c r="A275" s="386" t="s">
        <v>247</v>
      </c>
      <c r="B275" s="218">
        <v>217688340</v>
      </c>
      <c r="C275" s="218">
        <v>217688340</v>
      </c>
      <c r="D275" s="218">
        <v>228707202</v>
      </c>
      <c r="E275" s="218">
        <v>228707202</v>
      </c>
      <c r="F275" s="257">
        <v>228707202</v>
      </c>
      <c r="G275" s="257">
        <v>217688340</v>
      </c>
      <c r="H275" s="257">
        <v>228707202</v>
      </c>
      <c r="I275" s="257">
        <v>217688340</v>
      </c>
    </row>
    <row r="276" spans="1:9" ht="15">
      <c r="A276" s="386" t="s">
        <v>2084</v>
      </c>
      <c r="B276" s="218">
        <v>1423948006</v>
      </c>
      <c r="C276" s="218">
        <v>1423948006</v>
      </c>
      <c r="D276" s="218">
        <v>1485004320</v>
      </c>
      <c r="E276" s="218">
        <v>1485004320</v>
      </c>
      <c r="F276" s="257">
        <v>1485004320</v>
      </c>
      <c r="G276" s="257">
        <v>1423948006</v>
      </c>
      <c r="H276" s="257">
        <v>1485004320</v>
      </c>
      <c r="I276" s="257">
        <v>1423948006</v>
      </c>
    </row>
    <row r="277" spans="1:9" ht="15">
      <c r="A277" s="386" t="s">
        <v>343</v>
      </c>
      <c r="B277" s="218">
        <v>3071158583</v>
      </c>
      <c r="C277" s="218">
        <v>3071158583</v>
      </c>
      <c r="D277" s="218">
        <v>3158559971</v>
      </c>
      <c r="E277" s="218">
        <v>3158559971</v>
      </c>
      <c r="F277" s="257">
        <v>3158559971</v>
      </c>
      <c r="G277" s="257">
        <v>3071158583</v>
      </c>
      <c r="H277" s="257">
        <v>3158559971</v>
      </c>
      <c r="I277" s="257">
        <v>3071158583</v>
      </c>
    </row>
    <row r="278" spans="1:9" ht="15">
      <c r="A278" s="386" t="s">
        <v>721</v>
      </c>
      <c r="B278" s="218">
        <v>270502458</v>
      </c>
      <c r="C278" s="218">
        <v>270502458</v>
      </c>
      <c r="D278" s="218">
        <v>281087513</v>
      </c>
      <c r="E278" s="218">
        <v>281087513</v>
      </c>
      <c r="F278" s="257">
        <v>281087513</v>
      </c>
      <c r="G278" s="257">
        <v>270502458</v>
      </c>
      <c r="H278" s="257">
        <v>281087513</v>
      </c>
      <c r="I278" s="257">
        <v>270502458</v>
      </c>
    </row>
    <row r="279" spans="1:9" ht="15">
      <c r="A279" s="386" t="s">
        <v>576</v>
      </c>
      <c r="B279" s="218">
        <v>1020839122</v>
      </c>
      <c r="C279" s="218">
        <v>1020839122</v>
      </c>
      <c r="D279" s="218">
        <v>1079164471</v>
      </c>
      <c r="E279" s="218">
        <v>1079164471</v>
      </c>
      <c r="F279" s="257">
        <v>1079164471</v>
      </c>
      <c r="G279" s="257">
        <v>1020839122</v>
      </c>
      <c r="H279" s="257">
        <v>1079164471</v>
      </c>
      <c r="I279" s="257">
        <v>1020839122</v>
      </c>
    </row>
    <row r="280" spans="1:9" ht="15">
      <c r="A280" s="386" t="s">
        <v>2413</v>
      </c>
      <c r="B280" s="218">
        <v>15552572582</v>
      </c>
      <c r="C280" s="218">
        <v>15552572582</v>
      </c>
      <c r="D280" s="218">
        <v>16103457604</v>
      </c>
      <c r="E280" s="218">
        <v>16103457604</v>
      </c>
      <c r="F280" s="257">
        <v>16103457604</v>
      </c>
      <c r="G280" s="257">
        <v>15552572582</v>
      </c>
      <c r="H280" s="257">
        <v>16103457604</v>
      </c>
      <c r="I280" s="257">
        <v>15552572582</v>
      </c>
    </row>
    <row r="281" spans="1:9" ht="15">
      <c r="A281" s="386" t="s">
        <v>775</v>
      </c>
      <c r="B281" s="218">
        <v>160843525</v>
      </c>
      <c r="C281" s="218">
        <v>160843525</v>
      </c>
      <c r="D281" s="218">
        <v>168652643</v>
      </c>
      <c r="E281" s="218">
        <v>168652643</v>
      </c>
      <c r="F281" s="257">
        <v>168652643</v>
      </c>
      <c r="G281" s="257">
        <v>160843525</v>
      </c>
      <c r="H281" s="257">
        <v>168652643</v>
      </c>
      <c r="I281" s="257">
        <v>160843525</v>
      </c>
    </row>
    <row r="282" spans="1:9" ht="15">
      <c r="A282" s="386" t="s">
        <v>184</v>
      </c>
      <c r="B282" s="218">
        <v>190303184</v>
      </c>
      <c r="C282" s="218">
        <v>190303184</v>
      </c>
      <c r="D282" s="218">
        <v>201873130</v>
      </c>
      <c r="E282" s="218">
        <v>201873130</v>
      </c>
      <c r="F282" s="257">
        <v>201873130</v>
      </c>
      <c r="G282" s="257">
        <v>190303184</v>
      </c>
      <c r="H282" s="257">
        <v>201873130</v>
      </c>
      <c r="I282" s="257">
        <v>190303184</v>
      </c>
    </row>
    <row r="283" spans="1:9" ht="15">
      <c r="A283" s="386" t="s">
        <v>1186</v>
      </c>
      <c r="B283" s="218">
        <v>6735182984</v>
      </c>
      <c r="C283" s="218">
        <v>6735182984</v>
      </c>
      <c r="D283" s="218">
        <v>7094653760</v>
      </c>
      <c r="E283" s="218">
        <v>7094653760</v>
      </c>
      <c r="F283" s="257">
        <v>6711833726</v>
      </c>
      <c r="G283" s="257">
        <v>6352362950</v>
      </c>
      <c r="H283" s="257">
        <v>6711833726</v>
      </c>
      <c r="I283" s="257">
        <v>6352362950</v>
      </c>
    </row>
    <row r="284" spans="1:9" ht="15">
      <c r="A284" s="386" t="s">
        <v>2098</v>
      </c>
      <c r="B284" s="218">
        <v>176951068</v>
      </c>
      <c r="C284" s="218">
        <v>176951068</v>
      </c>
      <c r="D284" s="218">
        <v>183337849</v>
      </c>
      <c r="E284" s="218">
        <v>183337849</v>
      </c>
      <c r="F284" s="257">
        <v>183337849</v>
      </c>
      <c r="G284" s="257">
        <v>176951068</v>
      </c>
      <c r="H284" s="257">
        <v>183337849</v>
      </c>
      <c r="I284" s="257">
        <v>176951068</v>
      </c>
    </row>
    <row r="285" spans="1:9" ht="15">
      <c r="A285" s="386" t="s">
        <v>1888</v>
      </c>
      <c r="B285" s="218">
        <v>1733675303</v>
      </c>
      <c r="C285" s="218">
        <v>1733675303</v>
      </c>
      <c r="D285" s="218">
        <v>1781453698</v>
      </c>
      <c r="E285" s="218">
        <v>1781453698</v>
      </c>
      <c r="F285" s="257">
        <v>1781453698</v>
      </c>
      <c r="G285" s="257">
        <v>1733675303</v>
      </c>
      <c r="H285" s="257">
        <v>1781453698</v>
      </c>
      <c r="I285" s="257">
        <v>1733675303</v>
      </c>
    </row>
    <row r="286" spans="1:9" ht="15">
      <c r="A286" s="386" t="s">
        <v>1517</v>
      </c>
      <c r="B286" s="218">
        <v>61978391</v>
      </c>
      <c r="C286" s="218">
        <v>61978391</v>
      </c>
      <c r="D286" s="218">
        <v>63542576</v>
      </c>
      <c r="E286" s="218">
        <v>63542576</v>
      </c>
      <c r="F286" s="257">
        <v>63542576</v>
      </c>
      <c r="G286" s="257">
        <v>61978391</v>
      </c>
      <c r="H286" s="257">
        <v>63542576</v>
      </c>
      <c r="I286" s="257">
        <v>61978391</v>
      </c>
    </row>
    <row r="287" spans="1:9" ht="15">
      <c r="A287" s="386" t="s">
        <v>1151</v>
      </c>
      <c r="B287" s="218">
        <v>8561192056</v>
      </c>
      <c r="C287" s="218">
        <v>8561192056</v>
      </c>
      <c r="D287" s="218">
        <v>8945438046</v>
      </c>
      <c r="E287" s="218">
        <v>8945438046</v>
      </c>
      <c r="F287" s="257">
        <v>8945438046</v>
      </c>
      <c r="G287" s="257">
        <v>8561192056</v>
      </c>
      <c r="H287" s="257">
        <v>8945438046</v>
      </c>
      <c r="I287" s="257">
        <v>8561192056</v>
      </c>
    </row>
    <row r="288" spans="1:9" ht="15">
      <c r="A288" s="386" t="s">
        <v>2414</v>
      </c>
      <c r="B288" s="218">
        <v>48452816</v>
      </c>
      <c r="C288" s="218">
        <v>48452816</v>
      </c>
      <c r="D288" s="218">
        <v>49761246</v>
      </c>
      <c r="E288" s="218">
        <v>49761246</v>
      </c>
      <c r="F288" s="257">
        <v>49761246</v>
      </c>
      <c r="G288" s="257">
        <v>48452816</v>
      </c>
      <c r="H288" s="257">
        <v>49761246</v>
      </c>
      <c r="I288" s="257">
        <v>48452816</v>
      </c>
    </row>
    <row r="289" spans="1:9" ht="15">
      <c r="A289" s="386" t="s">
        <v>2415</v>
      </c>
      <c r="B289" s="218">
        <v>279441010</v>
      </c>
      <c r="C289" s="218">
        <v>279441010</v>
      </c>
      <c r="D289" s="218">
        <v>292234485</v>
      </c>
      <c r="E289" s="218">
        <v>292234485</v>
      </c>
      <c r="F289" s="257">
        <v>292234485</v>
      </c>
      <c r="G289" s="257">
        <v>279441010</v>
      </c>
      <c r="H289" s="257">
        <v>292234485</v>
      </c>
      <c r="I289" s="257">
        <v>279441010</v>
      </c>
    </row>
    <row r="290" spans="1:9" ht="15">
      <c r="A290" s="386" t="s">
        <v>1511</v>
      </c>
      <c r="B290" s="218">
        <v>1464557035</v>
      </c>
      <c r="C290" s="218">
        <v>1464557035</v>
      </c>
      <c r="D290" s="218">
        <v>1506391580</v>
      </c>
      <c r="E290" s="218">
        <v>1506391580</v>
      </c>
      <c r="F290" s="257">
        <v>1506391580</v>
      </c>
      <c r="G290" s="257">
        <v>1464557035</v>
      </c>
      <c r="H290" s="257">
        <v>1506391580</v>
      </c>
      <c r="I290" s="257">
        <v>1464557035</v>
      </c>
    </row>
    <row r="291" spans="1:9" ht="15">
      <c r="A291" s="386" t="s">
        <v>1830</v>
      </c>
      <c r="B291" s="218">
        <v>118321083</v>
      </c>
      <c r="C291" s="218">
        <v>118321083</v>
      </c>
      <c r="D291" s="218">
        <v>121037113</v>
      </c>
      <c r="E291" s="218">
        <v>121037113</v>
      </c>
      <c r="F291" s="257">
        <v>121037113</v>
      </c>
      <c r="G291" s="257">
        <v>118321083</v>
      </c>
      <c r="H291" s="257">
        <v>121037113</v>
      </c>
      <c r="I291" s="257">
        <v>118321083</v>
      </c>
    </row>
    <row r="292" spans="1:9" ht="15">
      <c r="A292" s="386" t="s">
        <v>1831</v>
      </c>
      <c r="B292" s="218">
        <v>122061319</v>
      </c>
      <c r="C292" s="218">
        <v>122061319</v>
      </c>
      <c r="D292" s="218">
        <v>125459613</v>
      </c>
      <c r="E292" s="218">
        <v>125459613</v>
      </c>
      <c r="F292" s="257">
        <v>125459613</v>
      </c>
      <c r="G292" s="257">
        <v>122061319</v>
      </c>
      <c r="H292" s="257">
        <v>125459613</v>
      </c>
      <c r="I292" s="257">
        <v>122061319</v>
      </c>
    </row>
    <row r="293" spans="1:9" ht="15">
      <c r="A293" s="386" t="s">
        <v>1232</v>
      </c>
      <c r="B293" s="218">
        <v>77263961</v>
      </c>
      <c r="C293" s="218">
        <v>116305961</v>
      </c>
      <c r="D293" s="218">
        <v>79608581</v>
      </c>
      <c r="E293" s="218">
        <v>118650581</v>
      </c>
      <c r="F293" s="257">
        <v>79608581</v>
      </c>
      <c r="G293" s="257">
        <v>77263961</v>
      </c>
      <c r="H293" s="257">
        <v>118650581</v>
      </c>
      <c r="I293" s="257">
        <v>116305961</v>
      </c>
    </row>
    <row r="294" spans="1:9" ht="15">
      <c r="A294" s="386" t="s">
        <v>1832</v>
      </c>
      <c r="B294" s="218">
        <v>82330715</v>
      </c>
      <c r="C294" s="218">
        <v>82330715</v>
      </c>
      <c r="D294" s="218">
        <v>84795035</v>
      </c>
      <c r="E294" s="218">
        <v>84795035</v>
      </c>
      <c r="F294" s="257">
        <v>84795035</v>
      </c>
      <c r="G294" s="257">
        <v>82330715</v>
      </c>
      <c r="H294" s="257">
        <v>84795035</v>
      </c>
      <c r="I294" s="257">
        <v>82330715</v>
      </c>
    </row>
    <row r="295" spans="1:9" ht="15">
      <c r="A295" s="386" t="s">
        <v>201</v>
      </c>
      <c r="B295" s="218">
        <v>60392727</v>
      </c>
      <c r="C295" s="218">
        <v>60392727</v>
      </c>
      <c r="D295" s="218">
        <v>63659659</v>
      </c>
      <c r="E295" s="218">
        <v>63659659</v>
      </c>
      <c r="F295" s="257">
        <v>63659659</v>
      </c>
      <c r="G295" s="257">
        <v>60392727</v>
      </c>
      <c r="H295" s="257">
        <v>63659659</v>
      </c>
      <c r="I295" s="257">
        <v>60392727</v>
      </c>
    </row>
    <row r="296" spans="1:9" ht="15">
      <c r="A296" s="386" t="s">
        <v>1834</v>
      </c>
      <c r="B296" s="218">
        <v>227372848</v>
      </c>
      <c r="C296" s="218">
        <v>227372848</v>
      </c>
      <c r="D296" s="218">
        <v>238987405</v>
      </c>
      <c r="E296" s="218">
        <v>238987405</v>
      </c>
      <c r="F296" s="257">
        <v>238987405</v>
      </c>
      <c r="G296" s="257">
        <v>227372848</v>
      </c>
      <c r="H296" s="257">
        <v>238987405</v>
      </c>
      <c r="I296" s="257">
        <v>227372848</v>
      </c>
    </row>
    <row r="297" spans="1:9" ht="15">
      <c r="A297" s="386" t="s">
        <v>1842</v>
      </c>
      <c r="B297" s="218">
        <v>16533710</v>
      </c>
      <c r="C297" s="218">
        <v>16533710</v>
      </c>
      <c r="D297" s="218">
        <v>17655400</v>
      </c>
      <c r="E297" s="218">
        <v>17655400</v>
      </c>
      <c r="F297" s="257">
        <v>17655400</v>
      </c>
      <c r="G297" s="257">
        <v>16533710</v>
      </c>
      <c r="H297" s="257">
        <v>17655400</v>
      </c>
      <c r="I297" s="257">
        <v>16533710</v>
      </c>
    </row>
    <row r="298" spans="1:9" ht="15">
      <c r="A298" s="386" t="s">
        <v>202</v>
      </c>
      <c r="B298" s="218">
        <v>172460630</v>
      </c>
      <c r="C298" s="218">
        <v>172460630</v>
      </c>
      <c r="D298" s="218">
        <v>180913745</v>
      </c>
      <c r="E298" s="218">
        <v>180913745</v>
      </c>
      <c r="F298" s="257">
        <v>180913745</v>
      </c>
      <c r="G298" s="257">
        <v>172460630</v>
      </c>
      <c r="H298" s="257">
        <v>180913745</v>
      </c>
      <c r="I298" s="257">
        <v>172460630</v>
      </c>
    </row>
    <row r="299" spans="1:9" ht="15">
      <c r="A299" s="386" t="s">
        <v>203</v>
      </c>
      <c r="B299" s="218">
        <v>565140894</v>
      </c>
      <c r="C299" s="218">
        <v>565140894</v>
      </c>
      <c r="D299" s="218">
        <v>595344878</v>
      </c>
      <c r="E299" s="218">
        <v>595344878</v>
      </c>
      <c r="F299" s="257">
        <v>595344878</v>
      </c>
      <c r="G299" s="257">
        <v>565140894</v>
      </c>
      <c r="H299" s="257">
        <v>595344878</v>
      </c>
      <c r="I299" s="257">
        <v>565140894</v>
      </c>
    </row>
    <row r="300" spans="1:9" ht="15">
      <c r="A300" s="386" t="s">
        <v>1233</v>
      </c>
      <c r="B300" s="218">
        <v>40805107</v>
      </c>
      <c r="C300" s="218">
        <v>40805107</v>
      </c>
      <c r="D300" s="218">
        <v>43742259</v>
      </c>
      <c r="E300" s="218">
        <v>43742259</v>
      </c>
      <c r="F300" s="257">
        <v>43742259</v>
      </c>
      <c r="G300" s="257">
        <v>40805107</v>
      </c>
      <c r="H300" s="257">
        <v>43742259</v>
      </c>
      <c r="I300" s="257">
        <v>40805107</v>
      </c>
    </row>
    <row r="301" spans="1:9" ht="15">
      <c r="A301" s="386" t="s">
        <v>722</v>
      </c>
      <c r="B301" s="218">
        <v>37526097</v>
      </c>
      <c r="C301" s="218">
        <v>37526097</v>
      </c>
      <c r="D301" s="218">
        <v>39954308</v>
      </c>
      <c r="E301" s="218">
        <v>39954308</v>
      </c>
      <c r="F301" s="257">
        <v>39954308</v>
      </c>
      <c r="G301" s="257">
        <v>37526097</v>
      </c>
      <c r="H301" s="257">
        <v>39954308</v>
      </c>
      <c r="I301" s="257">
        <v>37526097</v>
      </c>
    </row>
    <row r="302" spans="1:9" ht="15">
      <c r="A302" s="386" t="s">
        <v>204</v>
      </c>
      <c r="B302" s="218">
        <v>174289603</v>
      </c>
      <c r="C302" s="218">
        <v>174289603</v>
      </c>
      <c r="D302" s="218">
        <v>182038912</v>
      </c>
      <c r="E302" s="218">
        <v>182038912</v>
      </c>
      <c r="F302" s="257">
        <v>182038912</v>
      </c>
      <c r="G302" s="257">
        <v>174289603</v>
      </c>
      <c r="H302" s="257">
        <v>182038912</v>
      </c>
      <c r="I302" s="257">
        <v>174289603</v>
      </c>
    </row>
    <row r="303" spans="1:9" ht="15">
      <c r="A303" s="386" t="s">
        <v>205</v>
      </c>
      <c r="B303" s="218">
        <v>144632216</v>
      </c>
      <c r="C303" s="218">
        <v>144632216</v>
      </c>
      <c r="D303" s="218">
        <v>153080511</v>
      </c>
      <c r="E303" s="218">
        <v>153080511</v>
      </c>
      <c r="F303" s="257">
        <v>153080511</v>
      </c>
      <c r="G303" s="257">
        <v>144632216</v>
      </c>
      <c r="H303" s="257">
        <v>153080511</v>
      </c>
      <c r="I303" s="257">
        <v>144632216</v>
      </c>
    </row>
    <row r="304" spans="1:9" ht="15">
      <c r="A304" s="386" t="s">
        <v>1741</v>
      </c>
      <c r="B304" s="218">
        <v>82664896</v>
      </c>
      <c r="C304" s="218">
        <v>82664896</v>
      </c>
      <c r="D304" s="218">
        <v>87388209</v>
      </c>
      <c r="E304" s="218">
        <v>87388209</v>
      </c>
      <c r="F304" s="257">
        <v>87388209</v>
      </c>
      <c r="G304" s="257">
        <v>82664896</v>
      </c>
      <c r="H304" s="257">
        <v>87388209</v>
      </c>
      <c r="I304" s="257">
        <v>82664896</v>
      </c>
    </row>
    <row r="305" spans="1:9" ht="15">
      <c r="A305" s="386" t="s">
        <v>1742</v>
      </c>
      <c r="B305" s="218">
        <v>152667353</v>
      </c>
      <c r="C305" s="218">
        <v>152667353</v>
      </c>
      <c r="D305" s="218">
        <v>160720194</v>
      </c>
      <c r="E305" s="218">
        <v>160720194</v>
      </c>
      <c r="F305" s="257">
        <v>160720194</v>
      </c>
      <c r="G305" s="257">
        <v>152667353</v>
      </c>
      <c r="H305" s="257">
        <v>160720194</v>
      </c>
      <c r="I305" s="257">
        <v>152667353</v>
      </c>
    </row>
    <row r="306" spans="1:9" ht="15">
      <c r="A306" s="386" t="s">
        <v>1234</v>
      </c>
      <c r="B306" s="218">
        <v>93076509</v>
      </c>
      <c r="C306" s="218">
        <v>93076509</v>
      </c>
      <c r="D306" s="218">
        <v>99608201</v>
      </c>
      <c r="E306" s="218">
        <v>99608201</v>
      </c>
      <c r="F306" s="257">
        <v>99608201</v>
      </c>
      <c r="G306" s="257">
        <v>93076509</v>
      </c>
      <c r="H306" s="257">
        <v>99608201</v>
      </c>
      <c r="I306" s="257">
        <v>93076509</v>
      </c>
    </row>
    <row r="307" spans="1:9" ht="15">
      <c r="A307" s="386" t="s">
        <v>2571</v>
      </c>
      <c r="B307" s="218">
        <v>452188385</v>
      </c>
      <c r="C307" s="218">
        <v>452188385</v>
      </c>
      <c r="D307" s="218">
        <v>460864415</v>
      </c>
      <c r="E307" s="218">
        <v>460864415</v>
      </c>
      <c r="F307" s="257">
        <v>460864415</v>
      </c>
      <c r="G307" s="257">
        <v>452188385</v>
      </c>
      <c r="H307" s="257">
        <v>460864415</v>
      </c>
      <c r="I307" s="257">
        <v>452188385</v>
      </c>
    </row>
    <row r="308" spans="1:9" ht="15">
      <c r="A308" s="386" t="s">
        <v>1697</v>
      </c>
      <c r="B308" s="218">
        <v>1032019318</v>
      </c>
      <c r="C308" s="218">
        <v>1032019318</v>
      </c>
      <c r="D308" s="218">
        <v>1061912771</v>
      </c>
      <c r="E308" s="218">
        <v>1061912771</v>
      </c>
      <c r="F308" s="257">
        <v>1061912771</v>
      </c>
      <c r="G308" s="257">
        <v>1032019318</v>
      </c>
      <c r="H308" s="257">
        <v>1061912771</v>
      </c>
      <c r="I308" s="257">
        <v>1032019318</v>
      </c>
    </row>
    <row r="309" spans="1:9" ht="15">
      <c r="A309" s="386" t="s">
        <v>1698</v>
      </c>
      <c r="B309" s="218">
        <v>417233297</v>
      </c>
      <c r="C309" s="218">
        <v>417233297</v>
      </c>
      <c r="D309" s="218">
        <v>429791261</v>
      </c>
      <c r="E309" s="218">
        <v>429791261</v>
      </c>
      <c r="F309" s="257">
        <v>429791261</v>
      </c>
      <c r="G309" s="257">
        <v>417233297</v>
      </c>
      <c r="H309" s="257">
        <v>429791261</v>
      </c>
      <c r="I309" s="257">
        <v>417233297</v>
      </c>
    </row>
    <row r="310" spans="1:9" ht="15">
      <c r="A310" s="386" t="s">
        <v>921</v>
      </c>
      <c r="B310" s="218">
        <v>182313791</v>
      </c>
      <c r="C310" s="218">
        <v>182313791</v>
      </c>
      <c r="D310" s="218">
        <v>187193993</v>
      </c>
      <c r="E310" s="218">
        <v>187193993</v>
      </c>
      <c r="F310" s="257">
        <v>187193993</v>
      </c>
      <c r="G310" s="257">
        <v>182313791</v>
      </c>
      <c r="H310" s="257">
        <v>187193993</v>
      </c>
      <c r="I310" s="257">
        <v>182313791</v>
      </c>
    </row>
    <row r="311" spans="1:9" ht="15">
      <c r="A311" s="386" t="s">
        <v>65</v>
      </c>
      <c r="B311" s="218">
        <v>297828688</v>
      </c>
      <c r="C311" s="218">
        <v>297828688</v>
      </c>
      <c r="D311" s="218">
        <v>303920148</v>
      </c>
      <c r="E311" s="218">
        <v>303920148</v>
      </c>
      <c r="F311" s="257">
        <v>293903885</v>
      </c>
      <c r="G311" s="257">
        <v>287812425</v>
      </c>
      <c r="H311" s="257">
        <v>293903885</v>
      </c>
      <c r="I311" s="257">
        <v>287812425</v>
      </c>
    </row>
    <row r="312" spans="1:9" ht="15">
      <c r="A312" s="386" t="s">
        <v>754</v>
      </c>
      <c r="B312" s="218">
        <v>107133000</v>
      </c>
      <c r="C312" s="218">
        <v>107133000</v>
      </c>
      <c r="D312" s="218">
        <v>109992960</v>
      </c>
      <c r="E312" s="218">
        <v>109992960</v>
      </c>
      <c r="F312" s="257">
        <v>109992960</v>
      </c>
      <c r="G312" s="257">
        <v>107133000</v>
      </c>
      <c r="H312" s="257">
        <v>109992960</v>
      </c>
      <c r="I312" s="257">
        <v>107133000</v>
      </c>
    </row>
    <row r="313" spans="1:9" ht="15">
      <c r="A313" s="386" t="s">
        <v>2505</v>
      </c>
      <c r="B313" s="218">
        <v>120943566</v>
      </c>
      <c r="C313" s="218">
        <v>144313566</v>
      </c>
      <c r="D313" s="218">
        <v>123760466</v>
      </c>
      <c r="E313" s="218">
        <v>147130466</v>
      </c>
      <c r="F313" s="257">
        <v>123760466</v>
      </c>
      <c r="G313" s="257">
        <v>120943566</v>
      </c>
      <c r="H313" s="257">
        <v>147130466</v>
      </c>
      <c r="I313" s="257">
        <v>144313566</v>
      </c>
    </row>
    <row r="314" spans="1:9" ht="15">
      <c r="A314" s="386" t="s">
        <v>627</v>
      </c>
      <c r="B314" s="218">
        <v>268662053</v>
      </c>
      <c r="C314" s="218">
        <v>268662053</v>
      </c>
      <c r="D314" s="218">
        <v>275803353</v>
      </c>
      <c r="E314" s="218">
        <v>275803353</v>
      </c>
      <c r="F314" s="257">
        <v>275803353</v>
      </c>
      <c r="G314" s="257">
        <v>268662053</v>
      </c>
      <c r="H314" s="257">
        <v>275803353</v>
      </c>
      <c r="I314" s="257">
        <v>268662053</v>
      </c>
    </row>
    <row r="315" spans="1:9" ht="15">
      <c r="A315" s="386" t="s">
        <v>628</v>
      </c>
      <c r="B315" s="218">
        <v>106267772</v>
      </c>
      <c r="C315" s="218">
        <v>106267772</v>
      </c>
      <c r="D315" s="218">
        <v>110408802</v>
      </c>
      <c r="E315" s="218">
        <v>110408802</v>
      </c>
      <c r="F315" s="257">
        <v>110408802</v>
      </c>
      <c r="G315" s="257">
        <v>106267772</v>
      </c>
      <c r="H315" s="257">
        <v>110408802</v>
      </c>
      <c r="I315" s="257">
        <v>106267772</v>
      </c>
    </row>
    <row r="316" spans="1:9" ht="15">
      <c r="A316" s="386" t="s">
        <v>629</v>
      </c>
      <c r="B316" s="218">
        <v>204408389</v>
      </c>
      <c r="C316" s="218">
        <v>204408389</v>
      </c>
      <c r="D316" s="218">
        <v>206628019</v>
      </c>
      <c r="E316" s="218">
        <v>206628019</v>
      </c>
      <c r="F316" s="257">
        <v>206628019</v>
      </c>
      <c r="G316" s="257">
        <v>204408389</v>
      </c>
      <c r="H316" s="257">
        <v>206628019</v>
      </c>
      <c r="I316" s="257">
        <v>204408389</v>
      </c>
    </row>
    <row r="317" spans="1:9" ht="15">
      <c r="A317" s="386" t="s">
        <v>630</v>
      </c>
      <c r="B317" s="218">
        <v>13029955662</v>
      </c>
      <c r="C317" s="218">
        <v>13029955662</v>
      </c>
      <c r="D317" s="218">
        <v>13331801447</v>
      </c>
      <c r="E317" s="218">
        <v>13331801447</v>
      </c>
      <c r="F317" s="257">
        <v>13331801447</v>
      </c>
      <c r="G317" s="257">
        <v>13029955662</v>
      </c>
      <c r="H317" s="257">
        <v>13331801447</v>
      </c>
      <c r="I317" s="257">
        <v>13029955662</v>
      </c>
    </row>
    <row r="318" spans="1:9" ht="15">
      <c r="A318" s="386" t="s">
        <v>2541</v>
      </c>
      <c r="B318" s="218">
        <v>739189076</v>
      </c>
      <c r="C318" s="218">
        <v>739189076</v>
      </c>
      <c r="D318" s="218">
        <v>769297381</v>
      </c>
      <c r="E318" s="218">
        <v>769297381</v>
      </c>
      <c r="F318" s="257">
        <v>769297381</v>
      </c>
      <c r="G318" s="257">
        <v>739189076</v>
      </c>
      <c r="H318" s="257">
        <v>769297381</v>
      </c>
      <c r="I318" s="257">
        <v>739189076</v>
      </c>
    </row>
    <row r="319" spans="1:9" ht="15">
      <c r="A319" s="386" t="s">
        <v>1422</v>
      </c>
      <c r="B319" s="218">
        <v>31487105910</v>
      </c>
      <c r="C319" s="218">
        <v>31487105910</v>
      </c>
      <c r="D319" s="218">
        <v>32307108712</v>
      </c>
      <c r="E319" s="218">
        <v>32307108712</v>
      </c>
      <c r="F319" s="257">
        <v>32307108712</v>
      </c>
      <c r="G319" s="257">
        <v>31487105910</v>
      </c>
      <c r="H319" s="257">
        <v>32307108712</v>
      </c>
      <c r="I319" s="257">
        <v>31487105910</v>
      </c>
    </row>
    <row r="320" spans="1:9" ht="15">
      <c r="A320" s="386" t="s">
        <v>2318</v>
      </c>
      <c r="B320" s="218">
        <v>2339290170</v>
      </c>
      <c r="C320" s="218">
        <v>2339290170</v>
      </c>
      <c r="D320" s="218">
        <v>2363203843</v>
      </c>
      <c r="E320" s="218">
        <v>2363203843</v>
      </c>
      <c r="F320" s="257">
        <v>2321879508</v>
      </c>
      <c r="G320" s="257">
        <v>2297965835</v>
      </c>
      <c r="H320" s="257">
        <v>2321879508</v>
      </c>
      <c r="I320" s="257">
        <v>2297965835</v>
      </c>
    </row>
    <row r="321" spans="1:16" ht="15">
      <c r="A321" s="386" t="s">
        <v>2013</v>
      </c>
      <c r="B321" s="218">
        <v>964837108</v>
      </c>
      <c r="C321" s="218">
        <v>964837108</v>
      </c>
      <c r="D321" s="218">
        <v>986005998</v>
      </c>
      <c r="E321" s="218">
        <v>986005998</v>
      </c>
      <c r="F321" s="257">
        <v>986005998</v>
      </c>
      <c r="G321" s="257">
        <v>964837108</v>
      </c>
      <c r="H321" s="257">
        <v>986005998</v>
      </c>
      <c r="I321" s="257">
        <v>964837108</v>
      </c>
    </row>
    <row r="322" spans="1:16" ht="15">
      <c r="A322" s="386" t="s">
        <v>1303</v>
      </c>
      <c r="B322" s="218">
        <v>1654185155</v>
      </c>
      <c r="C322" s="218">
        <v>1654185155</v>
      </c>
      <c r="D322" s="218">
        <v>1674222947</v>
      </c>
      <c r="E322" s="218">
        <v>1674222947</v>
      </c>
      <c r="F322" s="257">
        <v>1674222947</v>
      </c>
      <c r="G322" s="257">
        <v>1654185155</v>
      </c>
      <c r="H322" s="257">
        <v>1674222947</v>
      </c>
      <c r="I322" s="257">
        <v>1654185155</v>
      </c>
    </row>
    <row r="323" spans="1:16" ht="15">
      <c r="A323" s="386" t="s">
        <v>1919</v>
      </c>
      <c r="B323" s="218">
        <v>922976268</v>
      </c>
      <c r="C323" s="218">
        <v>922976268</v>
      </c>
      <c r="D323" s="218">
        <v>934445631</v>
      </c>
      <c r="E323" s="218">
        <v>934445631</v>
      </c>
      <c r="F323" s="257">
        <v>934445631</v>
      </c>
      <c r="G323" s="257">
        <v>922976268</v>
      </c>
      <c r="H323" s="257">
        <v>934445631</v>
      </c>
      <c r="I323" s="257">
        <v>922976268</v>
      </c>
    </row>
    <row r="324" spans="1:16" ht="15">
      <c r="A324" s="386" t="s">
        <v>1924</v>
      </c>
      <c r="B324" s="218">
        <v>141602826</v>
      </c>
      <c r="C324" s="218">
        <v>141602826</v>
      </c>
      <c r="D324" s="218">
        <v>145347394</v>
      </c>
      <c r="E324" s="218">
        <v>145347394</v>
      </c>
      <c r="F324" s="257">
        <v>145347394</v>
      </c>
      <c r="G324" s="257">
        <v>141602826</v>
      </c>
      <c r="H324" s="257">
        <v>145347394</v>
      </c>
      <c r="I324" s="257">
        <v>141602826</v>
      </c>
    </row>
    <row r="325" spans="1:16" ht="15">
      <c r="A325" s="386" t="s">
        <v>1925</v>
      </c>
      <c r="B325" s="218">
        <v>204915109</v>
      </c>
      <c r="C325" s="218">
        <v>204915109</v>
      </c>
      <c r="D325" s="218">
        <v>206590066</v>
      </c>
      <c r="E325" s="218">
        <v>206590066</v>
      </c>
      <c r="F325" s="257">
        <v>206590066</v>
      </c>
      <c r="G325" s="257">
        <v>204915109</v>
      </c>
      <c r="H325" s="257">
        <v>206590066</v>
      </c>
      <c r="I325" s="257">
        <v>204915109</v>
      </c>
    </row>
    <row r="326" spans="1:16" ht="15">
      <c r="A326" s="386" t="s">
        <v>1235</v>
      </c>
      <c r="B326" s="218">
        <v>1149677635</v>
      </c>
      <c r="C326" s="218">
        <v>1149677635</v>
      </c>
      <c r="D326" s="218">
        <v>1153971405</v>
      </c>
      <c r="E326" s="218">
        <v>1153971405</v>
      </c>
      <c r="F326" s="257">
        <v>1153971405</v>
      </c>
      <c r="G326" s="257">
        <v>1149677635</v>
      </c>
      <c r="H326" s="257">
        <v>1153971405</v>
      </c>
      <c r="I326" s="257">
        <v>1149677635</v>
      </c>
    </row>
    <row r="327" spans="1:16" ht="15">
      <c r="A327" s="386" t="s">
        <v>2506</v>
      </c>
      <c r="B327" s="218">
        <v>1409493154</v>
      </c>
      <c r="C327" s="218">
        <v>1409493154</v>
      </c>
      <c r="D327" s="218">
        <v>1423699204</v>
      </c>
      <c r="E327" s="218">
        <v>1423699204</v>
      </c>
      <c r="F327" s="257">
        <v>1423699204</v>
      </c>
      <c r="G327" s="257">
        <v>1409493154</v>
      </c>
      <c r="H327" s="257">
        <v>1423699204</v>
      </c>
      <c r="I327" s="257">
        <v>1409493154</v>
      </c>
    </row>
    <row r="328" spans="1:16" ht="15">
      <c r="A328" s="386" t="s">
        <v>1926</v>
      </c>
      <c r="B328" s="218">
        <v>217829624</v>
      </c>
      <c r="C328" s="218">
        <v>217829624</v>
      </c>
      <c r="D328" s="218">
        <v>221768721</v>
      </c>
      <c r="E328" s="218">
        <v>221768721</v>
      </c>
      <c r="F328" s="257">
        <v>221768721</v>
      </c>
      <c r="G328" s="257">
        <v>217829624</v>
      </c>
      <c r="H328" s="257">
        <v>221768721</v>
      </c>
      <c r="I328" s="257">
        <v>217829624</v>
      </c>
    </row>
    <row r="329" spans="1:16" ht="15">
      <c r="A329" s="386" t="s">
        <v>2110</v>
      </c>
      <c r="B329" s="218">
        <v>314194846</v>
      </c>
      <c r="C329" s="218">
        <v>314194846</v>
      </c>
      <c r="D329" s="218">
        <v>314997944</v>
      </c>
      <c r="E329" s="218">
        <v>314997944</v>
      </c>
      <c r="F329" s="257">
        <v>314388124</v>
      </c>
      <c r="G329" s="257">
        <v>313585026</v>
      </c>
      <c r="H329" s="257">
        <v>314388124</v>
      </c>
      <c r="I329" s="257">
        <v>313585026</v>
      </c>
      <c r="M329" s="101">
        <v>1517989509</v>
      </c>
      <c r="N329" s="101">
        <v>1517989509</v>
      </c>
      <c r="O329" s="101">
        <v>1577384158</v>
      </c>
      <c r="P329" s="101">
        <v>1577384158</v>
      </c>
    </row>
    <row r="330" spans="1:16" ht="15">
      <c r="A330" s="386" t="s">
        <v>2175</v>
      </c>
      <c r="B330" s="218">
        <v>3717203982</v>
      </c>
      <c r="C330" s="218">
        <v>3717203982</v>
      </c>
      <c r="D330" s="218">
        <v>3741720669</v>
      </c>
      <c r="E330" s="218">
        <v>3741720669</v>
      </c>
      <c r="F330" s="257">
        <v>3741720669</v>
      </c>
      <c r="G330" s="257">
        <v>3717203982</v>
      </c>
      <c r="H330" s="257">
        <v>3741720669</v>
      </c>
      <c r="I330" s="257">
        <v>3717203982</v>
      </c>
      <c r="M330" s="101">
        <v>3925910472</v>
      </c>
      <c r="N330" s="101">
        <v>3925910472</v>
      </c>
      <c r="O330" s="101">
        <v>3982622781</v>
      </c>
      <c r="P330" s="101">
        <v>3930386252</v>
      </c>
    </row>
    <row r="331" spans="1:16" ht="15">
      <c r="A331" s="386" t="s">
        <v>1993</v>
      </c>
      <c r="B331" s="218">
        <v>3085034504</v>
      </c>
      <c r="C331" s="218">
        <v>3085034504</v>
      </c>
      <c r="D331" s="218">
        <v>3194342523</v>
      </c>
      <c r="E331" s="218">
        <v>3194342523</v>
      </c>
      <c r="F331" s="257">
        <v>3194342523</v>
      </c>
      <c r="G331" s="257">
        <v>3085034504</v>
      </c>
      <c r="H331" s="257">
        <v>3194342523</v>
      </c>
      <c r="I331" s="257">
        <v>3085034504</v>
      </c>
      <c r="M331" s="101">
        <f>SUM(M329:M330)</f>
        <v>5443899981</v>
      </c>
      <c r="N331" s="101">
        <f>SUM(N329:N330)</f>
        <v>5443899981</v>
      </c>
      <c r="O331" s="101">
        <f>SUM(O329:O330)</f>
        <v>5560006939</v>
      </c>
      <c r="P331" s="101">
        <f>SUM(P329:P330)</f>
        <v>5507770410</v>
      </c>
    </row>
    <row r="332" spans="1:16" ht="15">
      <c r="A332" s="386" t="s">
        <v>2231</v>
      </c>
      <c r="B332" s="218">
        <v>6336056563</v>
      </c>
      <c r="C332" s="218">
        <v>6336056563</v>
      </c>
      <c r="D332" s="218">
        <v>6434858454</v>
      </c>
      <c r="E332" s="218">
        <v>6434858454</v>
      </c>
      <c r="F332" s="257">
        <v>6274229342</v>
      </c>
      <c r="G332" s="257">
        <v>6175427451</v>
      </c>
      <c r="H332" s="257">
        <v>6274229342</v>
      </c>
      <c r="I332" s="257">
        <v>6175427451</v>
      </c>
    </row>
    <row r="333" spans="1:16" ht="15">
      <c r="A333" s="386" t="s">
        <v>1866</v>
      </c>
      <c r="B333" s="218">
        <v>80674261</v>
      </c>
      <c r="C333" s="218">
        <v>80674261</v>
      </c>
      <c r="D333" s="218">
        <v>81833637</v>
      </c>
      <c r="E333" s="218">
        <v>81833637</v>
      </c>
      <c r="F333" s="257">
        <v>81510624</v>
      </c>
      <c r="G333" s="257">
        <v>80351248</v>
      </c>
      <c r="H333" s="257">
        <v>81510624</v>
      </c>
      <c r="I333" s="257">
        <v>80351248</v>
      </c>
    </row>
    <row r="334" spans="1:16" ht="15">
      <c r="A334" s="386" t="s">
        <v>762</v>
      </c>
      <c r="B334" s="218">
        <v>5443899981</v>
      </c>
      <c r="C334" s="218">
        <v>5443899981</v>
      </c>
      <c r="D334" s="218">
        <v>5560006939</v>
      </c>
      <c r="E334" s="218">
        <v>5560006939</v>
      </c>
      <c r="F334" s="257">
        <v>5507770410</v>
      </c>
      <c r="G334" s="257">
        <v>5391663452</v>
      </c>
      <c r="H334" s="257">
        <v>5507770410</v>
      </c>
      <c r="I334" s="257">
        <v>5391663452</v>
      </c>
      <c r="M334" s="101">
        <v>1577384158</v>
      </c>
      <c r="N334" s="101">
        <v>1517989509</v>
      </c>
      <c r="O334" s="101">
        <v>1577384158</v>
      </c>
      <c r="P334" s="101">
        <v>1517989509</v>
      </c>
    </row>
    <row r="335" spans="1:16" ht="15">
      <c r="A335" s="386" t="s">
        <v>2458</v>
      </c>
      <c r="B335" s="218">
        <v>580959180</v>
      </c>
      <c r="C335" s="218">
        <v>580959180</v>
      </c>
      <c r="D335" s="218">
        <v>601278625</v>
      </c>
      <c r="E335" s="218">
        <v>601278625</v>
      </c>
      <c r="F335" s="257">
        <v>601278625</v>
      </c>
      <c r="G335" s="257">
        <v>580959180</v>
      </c>
      <c r="H335" s="257">
        <v>601278625</v>
      </c>
      <c r="I335" s="257">
        <v>580959180</v>
      </c>
      <c r="M335" s="101">
        <v>3930386252</v>
      </c>
      <c r="N335" s="101">
        <v>3873673943</v>
      </c>
      <c r="O335" s="101">
        <v>3930386252</v>
      </c>
      <c r="P335" s="101">
        <v>3873673943</v>
      </c>
    </row>
    <row r="336" spans="1:16" ht="15">
      <c r="A336" s="386" t="s">
        <v>491</v>
      </c>
      <c r="B336" s="218">
        <v>1163650670</v>
      </c>
      <c r="C336" s="218">
        <v>1163650670</v>
      </c>
      <c r="D336" s="218">
        <v>1229761998</v>
      </c>
      <c r="E336" s="218">
        <v>1229761998</v>
      </c>
      <c r="F336" s="257">
        <v>1229761998</v>
      </c>
      <c r="G336" s="257">
        <v>1163650670</v>
      </c>
      <c r="H336" s="257">
        <v>1229761998</v>
      </c>
      <c r="I336" s="257">
        <v>1163650670</v>
      </c>
      <c r="M336" s="101">
        <f>SUM(M334:M335)</f>
        <v>5507770410</v>
      </c>
      <c r="N336" s="101">
        <f>SUM(N334:N335)</f>
        <v>5391663452</v>
      </c>
      <c r="O336" s="101">
        <f>SUM(O334:O335)</f>
        <v>5507770410</v>
      </c>
      <c r="P336" s="101">
        <f>SUM(P334:P335)</f>
        <v>5391663452</v>
      </c>
    </row>
    <row r="337" spans="1:9" ht="15">
      <c r="A337" s="386" t="s">
        <v>2459</v>
      </c>
      <c r="B337" s="218">
        <v>18654804546</v>
      </c>
      <c r="C337" s="218">
        <v>18654804546</v>
      </c>
      <c r="D337" s="218">
        <v>19174261348</v>
      </c>
      <c r="E337" s="218">
        <v>19174261348</v>
      </c>
      <c r="F337" s="257">
        <v>18891618022</v>
      </c>
      <c r="G337" s="257">
        <v>18372161220</v>
      </c>
      <c r="H337" s="257">
        <v>18891618022</v>
      </c>
      <c r="I337" s="257">
        <v>18372161220</v>
      </c>
    </row>
    <row r="338" spans="1:9" ht="15">
      <c r="A338" s="386" t="s">
        <v>1424</v>
      </c>
      <c r="B338" s="218">
        <v>2520417783</v>
      </c>
      <c r="C338" s="218">
        <v>2520417783</v>
      </c>
      <c r="D338" s="218">
        <v>2599095264</v>
      </c>
      <c r="E338" s="218">
        <v>2599095264</v>
      </c>
      <c r="F338" s="257">
        <v>2599095264</v>
      </c>
      <c r="G338" s="257">
        <v>2520417783</v>
      </c>
      <c r="H338" s="257">
        <v>2599095264</v>
      </c>
      <c r="I338" s="257">
        <v>2520417783</v>
      </c>
    </row>
    <row r="339" spans="1:9" ht="15">
      <c r="A339" s="386" t="s">
        <v>1668</v>
      </c>
      <c r="B339" s="218">
        <v>512980633</v>
      </c>
      <c r="C339" s="218">
        <v>512980633</v>
      </c>
      <c r="D339" s="218">
        <v>519973567</v>
      </c>
      <c r="E339" s="218">
        <v>519973567</v>
      </c>
      <c r="F339" s="257">
        <v>519973567</v>
      </c>
      <c r="G339" s="257">
        <v>512980633</v>
      </c>
      <c r="H339" s="257">
        <v>519973567</v>
      </c>
      <c r="I339" s="257">
        <v>512980633</v>
      </c>
    </row>
    <row r="340" spans="1:9" ht="15">
      <c r="A340" s="386" t="s">
        <v>1669</v>
      </c>
      <c r="B340" s="218">
        <v>58744679</v>
      </c>
      <c r="C340" s="218">
        <v>58744679</v>
      </c>
      <c r="D340" s="218">
        <v>59166917</v>
      </c>
      <c r="E340" s="218">
        <v>59166917</v>
      </c>
      <c r="F340" s="257">
        <v>59166917</v>
      </c>
      <c r="G340" s="257">
        <v>58744679</v>
      </c>
      <c r="H340" s="257">
        <v>59166917</v>
      </c>
      <c r="I340" s="257">
        <v>58744679</v>
      </c>
    </row>
    <row r="341" spans="1:9" ht="15">
      <c r="A341" s="386" t="s">
        <v>1873</v>
      </c>
      <c r="B341" s="218">
        <v>41092031</v>
      </c>
      <c r="C341" s="218">
        <v>41092031</v>
      </c>
      <c r="D341" s="218">
        <v>42000601</v>
      </c>
      <c r="E341" s="218">
        <v>42000601</v>
      </c>
      <c r="F341" s="257">
        <v>42000601</v>
      </c>
      <c r="G341" s="257">
        <v>41092031</v>
      </c>
      <c r="H341" s="257">
        <v>42000601</v>
      </c>
      <c r="I341" s="257">
        <v>41092031</v>
      </c>
    </row>
    <row r="342" spans="1:9" ht="15">
      <c r="A342" s="386" t="s">
        <v>1451</v>
      </c>
      <c r="B342" s="218">
        <v>2761376005</v>
      </c>
      <c r="C342" s="218">
        <v>2761376005</v>
      </c>
      <c r="D342" s="218">
        <v>2820928845</v>
      </c>
      <c r="E342" s="218">
        <v>2820928845</v>
      </c>
      <c r="F342" s="257">
        <v>2820928845</v>
      </c>
      <c r="G342" s="257">
        <v>2761376005</v>
      </c>
      <c r="H342" s="257">
        <v>2820928845</v>
      </c>
      <c r="I342" s="257">
        <v>2761376005</v>
      </c>
    </row>
    <row r="343" spans="1:9" ht="15">
      <c r="A343" s="386" t="s">
        <v>2160</v>
      </c>
      <c r="B343" s="218">
        <v>383166314</v>
      </c>
      <c r="C343" s="218">
        <v>383166314</v>
      </c>
      <c r="D343" s="218">
        <v>394603154</v>
      </c>
      <c r="E343" s="218">
        <v>394603154</v>
      </c>
      <c r="F343" s="257">
        <v>394603154</v>
      </c>
      <c r="G343" s="257">
        <v>383166314</v>
      </c>
      <c r="H343" s="257">
        <v>394603154</v>
      </c>
      <c r="I343" s="257">
        <v>383166314</v>
      </c>
    </row>
    <row r="344" spans="1:9" ht="15">
      <c r="A344" s="386" t="s">
        <v>2161</v>
      </c>
      <c r="B344" s="218">
        <v>2604146562</v>
      </c>
      <c r="C344" s="218">
        <v>2832262156</v>
      </c>
      <c r="D344" s="218">
        <v>2606267251</v>
      </c>
      <c r="E344" s="218">
        <v>2834382845</v>
      </c>
      <c r="F344" s="257">
        <v>2604087994</v>
      </c>
      <c r="G344" s="257">
        <v>2601967305</v>
      </c>
      <c r="H344" s="257">
        <v>2832203588</v>
      </c>
      <c r="I344" s="257">
        <v>2830082899</v>
      </c>
    </row>
    <row r="345" spans="1:9" ht="15">
      <c r="A345" s="386" t="s">
        <v>2437</v>
      </c>
      <c r="B345" s="218">
        <v>956453146</v>
      </c>
      <c r="C345" s="218">
        <v>1099995606</v>
      </c>
      <c r="D345" s="218">
        <v>973874355</v>
      </c>
      <c r="E345" s="218">
        <v>1117416815</v>
      </c>
      <c r="F345" s="257">
        <v>964411749</v>
      </c>
      <c r="G345" s="257">
        <v>946990540</v>
      </c>
      <c r="H345" s="257">
        <v>1107954209</v>
      </c>
      <c r="I345" s="257">
        <v>1090533000</v>
      </c>
    </row>
    <row r="346" spans="1:9" ht="15">
      <c r="A346" s="386" t="s">
        <v>906</v>
      </c>
      <c r="B346" s="218">
        <v>1610426406</v>
      </c>
      <c r="C346" s="218">
        <v>1610426406</v>
      </c>
      <c r="D346" s="218">
        <v>1631680076</v>
      </c>
      <c r="E346" s="218">
        <v>1631680076</v>
      </c>
      <c r="F346" s="257">
        <v>1631680076</v>
      </c>
      <c r="G346" s="257">
        <v>1610426406</v>
      </c>
      <c r="H346" s="257">
        <v>1631680076</v>
      </c>
      <c r="I346" s="257">
        <v>1610426406</v>
      </c>
    </row>
    <row r="347" spans="1:9" ht="15">
      <c r="A347" s="386" t="s">
        <v>2438</v>
      </c>
      <c r="B347" s="218">
        <v>1009226669</v>
      </c>
      <c r="C347" s="218">
        <v>1009226669</v>
      </c>
      <c r="D347" s="218">
        <v>1016489142</v>
      </c>
      <c r="E347" s="218">
        <v>1016489142</v>
      </c>
      <c r="F347" s="257">
        <v>1009838060</v>
      </c>
      <c r="G347" s="257">
        <v>1002575587</v>
      </c>
      <c r="H347" s="257">
        <v>1009838060</v>
      </c>
      <c r="I347" s="257">
        <v>1002575587</v>
      </c>
    </row>
    <row r="348" spans="1:9" ht="15">
      <c r="A348" s="386" t="s">
        <v>2439</v>
      </c>
      <c r="B348" s="218">
        <v>211206711</v>
      </c>
      <c r="C348" s="218">
        <v>211206711</v>
      </c>
      <c r="D348" s="218">
        <v>213835635</v>
      </c>
      <c r="E348" s="218">
        <v>213835635</v>
      </c>
      <c r="F348" s="257">
        <v>213835635</v>
      </c>
      <c r="G348" s="257">
        <v>211206711</v>
      </c>
      <c r="H348" s="257">
        <v>213835635</v>
      </c>
      <c r="I348" s="257">
        <v>211206711</v>
      </c>
    </row>
    <row r="349" spans="1:9" ht="15">
      <c r="A349" s="386" t="s">
        <v>1852</v>
      </c>
      <c r="B349" s="218">
        <v>148226052</v>
      </c>
      <c r="C349" s="218">
        <v>148226052</v>
      </c>
      <c r="D349" s="218">
        <v>148943962</v>
      </c>
      <c r="E349" s="218">
        <v>148943962</v>
      </c>
      <c r="F349" s="257">
        <v>148943962</v>
      </c>
      <c r="G349" s="257">
        <v>148226052</v>
      </c>
      <c r="H349" s="257">
        <v>148943962</v>
      </c>
      <c r="I349" s="257">
        <v>148226052</v>
      </c>
    </row>
    <row r="350" spans="1:9" ht="15">
      <c r="A350" s="386" t="s">
        <v>1853</v>
      </c>
      <c r="B350" s="218">
        <v>137945825</v>
      </c>
      <c r="C350" s="218">
        <v>137945825</v>
      </c>
      <c r="D350" s="218">
        <v>139513565</v>
      </c>
      <c r="E350" s="218">
        <v>139513565</v>
      </c>
      <c r="F350" s="257">
        <v>139513565</v>
      </c>
      <c r="G350" s="257">
        <v>137945825</v>
      </c>
      <c r="H350" s="257">
        <v>139513565</v>
      </c>
      <c r="I350" s="257">
        <v>137945825</v>
      </c>
    </row>
    <row r="351" spans="1:9" ht="15">
      <c r="A351" s="386" t="s">
        <v>2021</v>
      </c>
      <c r="B351" s="218">
        <v>1261564341</v>
      </c>
      <c r="C351" s="218">
        <v>1261564341</v>
      </c>
      <c r="D351" s="218">
        <v>1295309901</v>
      </c>
      <c r="E351" s="218">
        <v>1295309901</v>
      </c>
      <c r="F351" s="257">
        <v>1295309901</v>
      </c>
      <c r="G351" s="257">
        <v>1261564341</v>
      </c>
      <c r="H351" s="257">
        <v>1295309901</v>
      </c>
      <c r="I351" s="257">
        <v>1261564341</v>
      </c>
    </row>
    <row r="352" spans="1:9" ht="15">
      <c r="A352" s="386" t="s">
        <v>2033</v>
      </c>
      <c r="B352" s="218">
        <v>114251292</v>
      </c>
      <c r="C352" s="218">
        <v>114251292</v>
      </c>
      <c r="D352" s="218">
        <v>114524032</v>
      </c>
      <c r="E352" s="218">
        <v>114524032</v>
      </c>
      <c r="F352" s="257">
        <v>114524032</v>
      </c>
      <c r="G352" s="257">
        <v>114251292</v>
      </c>
      <c r="H352" s="257">
        <v>114524032</v>
      </c>
      <c r="I352" s="257">
        <v>114251292</v>
      </c>
    </row>
    <row r="353" spans="1:9" ht="15">
      <c r="A353" s="386" t="s">
        <v>1684</v>
      </c>
      <c r="B353" s="218">
        <v>194869124</v>
      </c>
      <c r="C353" s="218">
        <v>194869124</v>
      </c>
      <c r="D353" s="218">
        <v>203781809</v>
      </c>
      <c r="E353" s="218">
        <v>203781809</v>
      </c>
      <c r="F353" s="257">
        <v>203781809</v>
      </c>
      <c r="G353" s="257">
        <v>194869124</v>
      </c>
      <c r="H353" s="257">
        <v>203781809</v>
      </c>
      <c r="I353" s="257">
        <v>194869124</v>
      </c>
    </row>
    <row r="354" spans="1:9" ht="15">
      <c r="A354" s="386" t="s">
        <v>981</v>
      </c>
      <c r="B354" s="218">
        <v>143438430</v>
      </c>
      <c r="C354" s="218">
        <v>143438430</v>
      </c>
      <c r="D354" s="218">
        <v>149860109</v>
      </c>
      <c r="E354" s="218">
        <v>149860109</v>
      </c>
      <c r="F354" s="257">
        <v>149860109</v>
      </c>
      <c r="G354" s="257">
        <v>143438430</v>
      </c>
      <c r="H354" s="257">
        <v>149860109</v>
      </c>
      <c r="I354" s="257">
        <v>143438430</v>
      </c>
    </row>
    <row r="355" spans="1:9" ht="15">
      <c r="A355" s="386" t="s">
        <v>982</v>
      </c>
      <c r="B355" s="218">
        <v>1393357363</v>
      </c>
      <c r="C355" s="218">
        <v>1393357363</v>
      </c>
      <c r="D355" s="218">
        <v>1450521223</v>
      </c>
      <c r="E355" s="218">
        <v>1450521223</v>
      </c>
      <c r="F355" s="257">
        <v>1450521223</v>
      </c>
      <c r="G355" s="257">
        <v>1393357363</v>
      </c>
      <c r="H355" s="257">
        <v>1450521223</v>
      </c>
      <c r="I355" s="257">
        <v>1393357363</v>
      </c>
    </row>
    <row r="356" spans="1:9" ht="15">
      <c r="A356" s="386" t="s">
        <v>1115</v>
      </c>
      <c r="B356" s="218">
        <v>206116970</v>
      </c>
      <c r="C356" s="218">
        <v>206116970</v>
      </c>
      <c r="D356" s="218">
        <v>216421300</v>
      </c>
      <c r="E356" s="218">
        <v>216421300</v>
      </c>
      <c r="F356" s="257">
        <v>216421300</v>
      </c>
      <c r="G356" s="257">
        <v>206116970</v>
      </c>
      <c r="H356" s="257">
        <v>216421300</v>
      </c>
      <c r="I356" s="257">
        <v>206116970</v>
      </c>
    </row>
    <row r="357" spans="1:9" ht="15">
      <c r="A357" s="386" t="s">
        <v>793</v>
      </c>
      <c r="B357" s="218">
        <v>2776768535</v>
      </c>
      <c r="C357" s="218">
        <v>2776768535</v>
      </c>
      <c r="D357" s="218">
        <v>2845780290</v>
      </c>
      <c r="E357" s="218">
        <v>2845780290</v>
      </c>
      <c r="F357" s="257">
        <v>2845780290</v>
      </c>
      <c r="G357" s="257">
        <v>2776768535</v>
      </c>
      <c r="H357" s="257">
        <v>2845780290</v>
      </c>
      <c r="I357" s="257">
        <v>2776768535</v>
      </c>
    </row>
    <row r="358" spans="1:9" ht="15">
      <c r="A358" s="386" t="s">
        <v>794</v>
      </c>
      <c r="B358" s="218">
        <v>81031689</v>
      </c>
      <c r="C358" s="218">
        <v>81031689</v>
      </c>
      <c r="D358" s="218">
        <v>84326085</v>
      </c>
      <c r="E358" s="218">
        <v>84326085</v>
      </c>
      <c r="F358" s="257">
        <v>84326085</v>
      </c>
      <c r="G358" s="257">
        <v>81031689</v>
      </c>
      <c r="H358" s="257">
        <v>84326085</v>
      </c>
      <c r="I358" s="257">
        <v>81031689</v>
      </c>
    </row>
    <row r="359" spans="1:9" ht="15">
      <c r="A359" s="386" t="s">
        <v>1236</v>
      </c>
      <c r="B359" s="218">
        <v>516523661</v>
      </c>
      <c r="C359" s="218">
        <v>516523661</v>
      </c>
      <c r="D359" s="218">
        <v>533969340</v>
      </c>
      <c r="E359" s="218">
        <v>533969340</v>
      </c>
      <c r="F359" s="257">
        <v>533969340</v>
      </c>
      <c r="G359" s="257">
        <v>516523661</v>
      </c>
      <c r="H359" s="257">
        <v>533969340</v>
      </c>
      <c r="I359" s="257">
        <v>516523661</v>
      </c>
    </row>
    <row r="360" spans="1:9" ht="15">
      <c r="A360" s="386" t="s">
        <v>1237</v>
      </c>
      <c r="B360" s="218">
        <v>656358211</v>
      </c>
      <c r="C360" s="218">
        <v>656358211</v>
      </c>
      <c r="D360" s="218">
        <v>678822532</v>
      </c>
      <c r="E360" s="218">
        <v>678822532</v>
      </c>
      <c r="F360" s="257">
        <v>678822532</v>
      </c>
      <c r="G360" s="257">
        <v>656358211</v>
      </c>
      <c r="H360" s="257">
        <v>678822532</v>
      </c>
      <c r="I360" s="257">
        <v>656358211</v>
      </c>
    </row>
    <row r="361" spans="1:9" ht="15">
      <c r="A361" s="386" t="s">
        <v>1463</v>
      </c>
      <c r="B361" s="218">
        <v>176717143</v>
      </c>
      <c r="C361" s="218">
        <v>176717143</v>
      </c>
      <c r="D361" s="218">
        <v>184827095</v>
      </c>
      <c r="E361" s="218">
        <v>184827095</v>
      </c>
      <c r="F361" s="257">
        <v>184827095</v>
      </c>
      <c r="G361" s="257">
        <v>176717143</v>
      </c>
      <c r="H361" s="257">
        <v>184827095</v>
      </c>
      <c r="I361" s="257">
        <v>176717143</v>
      </c>
    </row>
    <row r="362" spans="1:9" ht="15">
      <c r="A362" s="386" t="s">
        <v>215</v>
      </c>
      <c r="B362" s="218">
        <v>745591885</v>
      </c>
      <c r="C362" s="218">
        <v>745591885</v>
      </c>
      <c r="D362" s="218">
        <v>767800832</v>
      </c>
      <c r="E362" s="218">
        <v>767800832</v>
      </c>
      <c r="F362" s="257">
        <v>767800832</v>
      </c>
      <c r="G362" s="257">
        <v>745591885</v>
      </c>
      <c r="H362" s="257">
        <v>767800832</v>
      </c>
      <c r="I362" s="257">
        <v>745591885</v>
      </c>
    </row>
    <row r="363" spans="1:9" ht="15">
      <c r="A363" s="386" t="s">
        <v>2582</v>
      </c>
      <c r="B363" s="218">
        <v>345022503</v>
      </c>
      <c r="C363" s="218">
        <v>345022503</v>
      </c>
      <c r="D363" s="218">
        <v>357114086</v>
      </c>
      <c r="E363" s="218">
        <v>357114086</v>
      </c>
      <c r="F363" s="257">
        <v>357114086</v>
      </c>
      <c r="G363" s="257">
        <v>345022503</v>
      </c>
      <c r="H363" s="257">
        <v>357114086</v>
      </c>
      <c r="I363" s="257">
        <v>345022503</v>
      </c>
    </row>
    <row r="364" spans="1:9" ht="15">
      <c r="A364" s="386" t="s">
        <v>1308</v>
      </c>
      <c r="B364" s="218">
        <v>220540237</v>
      </c>
      <c r="C364" s="218">
        <v>220540237</v>
      </c>
      <c r="D364" s="218">
        <v>226784896</v>
      </c>
      <c r="E364" s="218">
        <v>226784896</v>
      </c>
      <c r="F364" s="257">
        <v>226784896</v>
      </c>
      <c r="G364" s="257">
        <v>220540237</v>
      </c>
      <c r="H364" s="257">
        <v>226784896</v>
      </c>
      <c r="I364" s="257">
        <v>220540237</v>
      </c>
    </row>
    <row r="365" spans="1:9" ht="15">
      <c r="A365" s="386" t="s">
        <v>1286</v>
      </c>
      <c r="B365" s="218">
        <v>162574657</v>
      </c>
      <c r="C365" s="218">
        <v>162574657</v>
      </c>
      <c r="D365" s="218">
        <v>172518211</v>
      </c>
      <c r="E365" s="218">
        <v>172518211</v>
      </c>
      <c r="F365" s="257">
        <v>172518211</v>
      </c>
      <c r="G365" s="257">
        <v>162574657</v>
      </c>
      <c r="H365" s="257">
        <v>172518211</v>
      </c>
      <c r="I365" s="257">
        <v>162574657</v>
      </c>
    </row>
    <row r="366" spans="1:9" ht="15">
      <c r="A366" s="386" t="s">
        <v>1287</v>
      </c>
      <c r="B366" s="218">
        <v>506606668</v>
      </c>
      <c r="C366" s="218">
        <v>506606668</v>
      </c>
      <c r="D366" s="218">
        <v>528599325</v>
      </c>
      <c r="E366" s="218">
        <v>528599325</v>
      </c>
      <c r="F366" s="257">
        <v>504590402</v>
      </c>
      <c r="G366" s="257">
        <v>482597745</v>
      </c>
      <c r="H366" s="257">
        <v>504590402</v>
      </c>
      <c r="I366" s="257">
        <v>482597745</v>
      </c>
    </row>
    <row r="367" spans="1:9" ht="15">
      <c r="A367" s="386" t="s">
        <v>1288</v>
      </c>
      <c r="B367" s="218">
        <v>1608826229</v>
      </c>
      <c r="C367" s="218">
        <v>1608826229</v>
      </c>
      <c r="D367" s="218">
        <v>1649712758</v>
      </c>
      <c r="E367" s="218">
        <v>1649712758</v>
      </c>
      <c r="F367" s="257">
        <v>1649712758</v>
      </c>
      <c r="G367" s="257">
        <v>1608826229</v>
      </c>
      <c r="H367" s="257">
        <v>1649712758</v>
      </c>
      <c r="I367" s="257">
        <v>1608826229</v>
      </c>
    </row>
    <row r="368" spans="1:9" ht="15">
      <c r="A368" s="386" t="s">
        <v>457</v>
      </c>
      <c r="B368" s="218">
        <v>3996824162</v>
      </c>
      <c r="C368" s="218">
        <v>3996824162</v>
      </c>
      <c r="D368" s="218">
        <v>4096351352</v>
      </c>
      <c r="E368" s="218">
        <v>4096351352</v>
      </c>
      <c r="F368" s="257">
        <v>4096351352</v>
      </c>
      <c r="G368" s="257">
        <v>3996824162</v>
      </c>
      <c r="H368" s="257">
        <v>4096351352</v>
      </c>
      <c r="I368" s="257">
        <v>3996824162</v>
      </c>
    </row>
    <row r="369" spans="1:9" ht="15">
      <c r="A369" s="386" t="s">
        <v>2189</v>
      </c>
      <c r="B369" s="218">
        <v>1612227779</v>
      </c>
      <c r="C369" s="218">
        <v>1612227779</v>
      </c>
      <c r="D369" s="218">
        <v>1663113607</v>
      </c>
      <c r="E369" s="218">
        <v>1663113607</v>
      </c>
      <c r="F369" s="257">
        <v>1584867602</v>
      </c>
      <c r="G369" s="257">
        <v>1533981774</v>
      </c>
      <c r="H369" s="257">
        <v>1584867602</v>
      </c>
      <c r="I369" s="257">
        <v>1533981774</v>
      </c>
    </row>
    <row r="370" spans="1:9" ht="15">
      <c r="A370" s="386" t="s">
        <v>2639</v>
      </c>
      <c r="B370" s="218">
        <v>417014951</v>
      </c>
      <c r="C370" s="218">
        <v>417014951</v>
      </c>
      <c r="D370" s="218">
        <v>430395834</v>
      </c>
      <c r="E370" s="218">
        <v>430395834</v>
      </c>
      <c r="F370" s="257">
        <v>410702385</v>
      </c>
      <c r="G370" s="257">
        <v>397321502</v>
      </c>
      <c r="H370" s="257">
        <v>410702385</v>
      </c>
      <c r="I370" s="257">
        <v>397321502</v>
      </c>
    </row>
    <row r="371" spans="1:9" ht="15">
      <c r="A371" s="386" t="s">
        <v>1509</v>
      </c>
      <c r="B371" s="218">
        <v>505828818</v>
      </c>
      <c r="C371" s="218">
        <v>505828818</v>
      </c>
      <c r="D371" s="218">
        <v>524805263</v>
      </c>
      <c r="E371" s="218">
        <v>524805263</v>
      </c>
      <c r="F371" s="257">
        <v>494305575</v>
      </c>
      <c r="G371" s="257">
        <v>475329130</v>
      </c>
      <c r="H371" s="257">
        <v>494305575</v>
      </c>
      <c r="I371" s="257">
        <v>475329130</v>
      </c>
    </row>
    <row r="372" spans="1:9" ht="15">
      <c r="A372" s="386" t="s">
        <v>2640</v>
      </c>
      <c r="B372" s="218">
        <v>358167344</v>
      </c>
      <c r="C372" s="218">
        <v>358167344</v>
      </c>
      <c r="D372" s="218">
        <v>372375675</v>
      </c>
      <c r="E372" s="218">
        <v>372375675</v>
      </c>
      <c r="F372" s="257">
        <v>350281811</v>
      </c>
      <c r="G372" s="257">
        <v>336073480</v>
      </c>
      <c r="H372" s="257">
        <v>350281811</v>
      </c>
      <c r="I372" s="257">
        <v>336073480</v>
      </c>
    </row>
    <row r="373" spans="1:9" ht="15">
      <c r="A373" s="386" t="s">
        <v>2641</v>
      </c>
      <c r="B373" s="218">
        <v>561535434</v>
      </c>
      <c r="C373" s="218">
        <v>561535434</v>
      </c>
      <c r="D373" s="218">
        <v>569164728</v>
      </c>
      <c r="E373" s="218">
        <v>569164728</v>
      </c>
      <c r="F373" s="257">
        <v>569164728</v>
      </c>
      <c r="G373" s="257">
        <v>561535434</v>
      </c>
      <c r="H373" s="257">
        <v>569164728</v>
      </c>
      <c r="I373" s="257">
        <v>561535434</v>
      </c>
    </row>
    <row r="374" spans="1:9" ht="15">
      <c r="A374" s="386" t="s">
        <v>2642</v>
      </c>
      <c r="B374" s="218">
        <v>275512440</v>
      </c>
      <c r="C374" s="218">
        <v>275512440</v>
      </c>
      <c r="D374" s="218">
        <v>281519326</v>
      </c>
      <c r="E374" s="218">
        <v>281519326</v>
      </c>
      <c r="F374" s="257">
        <v>281519326</v>
      </c>
      <c r="G374" s="257">
        <v>275512440</v>
      </c>
      <c r="H374" s="257">
        <v>281519326</v>
      </c>
      <c r="I374" s="257">
        <v>275512440</v>
      </c>
    </row>
    <row r="375" spans="1:9" ht="15">
      <c r="A375" s="386" t="s">
        <v>2643</v>
      </c>
      <c r="B375" s="218">
        <v>1729524119</v>
      </c>
      <c r="C375" s="218">
        <v>1729524119</v>
      </c>
      <c r="D375" s="218">
        <v>1761248757</v>
      </c>
      <c r="E375" s="218">
        <v>1761248757</v>
      </c>
      <c r="F375" s="257">
        <v>1718673687</v>
      </c>
      <c r="G375" s="257">
        <v>1686949049</v>
      </c>
      <c r="H375" s="257">
        <v>1718673687</v>
      </c>
      <c r="I375" s="257">
        <v>1686949049</v>
      </c>
    </row>
    <row r="376" spans="1:9" ht="15">
      <c r="A376" s="386" t="s">
        <v>2142</v>
      </c>
      <c r="B376" s="218">
        <v>131535105</v>
      </c>
      <c r="C376" s="218">
        <v>131535105</v>
      </c>
      <c r="D376" s="218">
        <v>135298165</v>
      </c>
      <c r="E376" s="218">
        <v>135298165</v>
      </c>
      <c r="F376" s="257">
        <v>135298165</v>
      </c>
      <c r="G376" s="257">
        <v>131535105</v>
      </c>
      <c r="H376" s="257">
        <v>135298165</v>
      </c>
      <c r="I376" s="257">
        <v>131535105</v>
      </c>
    </row>
    <row r="377" spans="1:9" ht="15">
      <c r="A377" s="386" t="s">
        <v>495</v>
      </c>
      <c r="B377" s="218">
        <v>2878488425</v>
      </c>
      <c r="C377" s="218">
        <v>3008571480</v>
      </c>
      <c r="D377" s="218">
        <v>2960296171</v>
      </c>
      <c r="E377" s="218">
        <v>3090379226</v>
      </c>
      <c r="F377" s="257">
        <v>2960296171</v>
      </c>
      <c r="G377" s="257">
        <v>2878488425</v>
      </c>
      <c r="H377" s="257">
        <v>3090379226</v>
      </c>
      <c r="I377" s="257">
        <v>3008571480</v>
      </c>
    </row>
    <row r="378" spans="1:9" ht="15">
      <c r="A378" s="386" t="s">
        <v>493</v>
      </c>
      <c r="B378" s="218">
        <v>4586614070</v>
      </c>
      <c r="C378" s="218">
        <v>4586614070</v>
      </c>
      <c r="D378" s="218">
        <v>4745170410</v>
      </c>
      <c r="E378" s="218">
        <v>4745170410</v>
      </c>
      <c r="F378" s="257">
        <v>4745170410</v>
      </c>
      <c r="G378" s="257">
        <v>4586614070</v>
      </c>
      <c r="H378" s="257">
        <v>4745170410</v>
      </c>
      <c r="I378" s="257">
        <v>4586614070</v>
      </c>
    </row>
    <row r="379" spans="1:9" ht="15">
      <c r="A379" s="386" t="s">
        <v>2143</v>
      </c>
      <c r="B379" s="218">
        <v>706881629</v>
      </c>
      <c r="C379" s="218">
        <v>706881629</v>
      </c>
      <c r="D379" s="218">
        <v>725051341</v>
      </c>
      <c r="E379" s="218">
        <v>725051341</v>
      </c>
      <c r="F379" s="257">
        <v>725051341</v>
      </c>
      <c r="G379" s="257">
        <v>706881629</v>
      </c>
      <c r="H379" s="257">
        <v>725051341</v>
      </c>
      <c r="I379" s="257">
        <v>706881629</v>
      </c>
    </row>
    <row r="380" spans="1:9" ht="15">
      <c r="A380" s="386" t="s">
        <v>349</v>
      </c>
      <c r="B380" s="218">
        <v>649249749</v>
      </c>
      <c r="C380" s="218">
        <v>649249749</v>
      </c>
      <c r="D380" s="218">
        <v>665927026</v>
      </c>
      <c r="E380" s="218">
        <v>665927026</v>
      </c>
      <c r="F380" s="257">
        <v>665927026</v>
      </c>
      <c r="G380" s="257">
        <v>649249749</v>
      </c>
      <c r="H380" s="257">
        <v>665927026</v>
      </c>
      <c r="I380" s="257">
        <v>649249749</v>
      </c>
    </row>
    <row r="381" spans="1:9" ht="15">
      <c r="A381" s="386" t="s">
        <v>2144</v>
      </c>
      <c r="B381" s="218">
        <v>539023294</v>
      </c>
      <c r="C381" s="218">
        <v>539023294</v>
      </c>
      <c r="D381" s="218">
        <v>545914637</v>
      </c>
      <c r="E381" s="218">
        <v>545914637</v>
      </c>
      <c r="F381" s="257">
        <v>545914637</v>
      </c>
      <c r="G381" s="257">
        <v>539023294</v>
      </c>
      <c r="H381" s="257">
        <v>545914637</v>
      </c>
      <c r="I381" s="257">
        <v>539023294</v>
      </c>
    </row>
    <row r="382" spans="1:9" ht="15">
      <c r="A382" s="386" t="s">
        <v>2145</v>
      </c>
      <c r="B382" s="218">
        <v>39164708</v>
      </c>
      <c r="C382" s="218">
        <v>39164708</v>
      </c>
      <c r="D382" s="218">
        <v>39706785</v>
      </c>
      <c r="E382" s="218">
        <v>39706785</v>
      </c>
      <c r="F382" s="257">
        <v>39706785</v>
      </c>
      <c r="G382" s="257">
        <v>39164708</v>
      </c>
      <c r="H382" s="257">
        <v>39706785</v>
      </c>
      <c r="I382" s="257">
        <v>39164708</v>
      </c>
    </row>
    <row r="383" spans="1:9" ht="15">
      <c r="A383" s="386" t="s">
        <v>505</v>
      </c>
      <c r="B383" s="218">
        <v>88244902</v>
      </c>
      <c r="C383" s="218">
        <v>88244902</v>
      </c>
      <c r="D383" s="218">
        <v>92748325</v>
      </c>
      <c r="E383" s="218">
        <v>92748325</v>
      </c>
      <c r="F383" s="257">
        <v>92748325</v>
      </c>
      <c r="G383" s="257">
        <v>88244902</v>
      </c>
      <c r="H383" s="257">
        <v>92748325</v>
      </c>
      <c r="I383" s="257">
        <v>88244902</v>
      </c>
    </row>
    <row r="384" spans="1:9" ht="15">
      <c r="A384" s="386" t="s">
        <v>1955</v>
      </c>
      <c r="B384" s="218">
        <v>62017485</v>
      </c>
      <c r="C384" s="218">
        <v>62017485</v>
      </c>
      <c r="D384" s="218">
        <v>64632677</v>
      </c>
      <c r="E384" s="218">
        <v>64632677</v>
      </c>
      <c r="F384" s="257">
        <v>64632677</v>
      </c>
      <c r="G384" s="257">
        <v>62017485</v>
      </c>
      <c r="H384" s="257">
        <v>64632677</v>
      </c>
      <c r="I384" s="257">
        <v>62017485</v>
      </c>
    </row>
    <row r="385" spans="1:9" ht="15">
      <c r="A385" s="386" t="s">
        <v>2072</v>
      </c>
      <c r="B385" s="218">
        <v>1117505905</v>
      </c>
      <c r="C385" s="218">
        <v>1190298065</v>
      </c>
      <c r="D385" s="218">
        <v>1159846275</v>
      </c>
      <c r="E385" s="218">
        <v>1232638435</v>
      </c>
      <c r="F385" s="257">
        <v>1159846275</v>
      </c>
      <c r="G385" s="257">
        <v>1117505905</v>
      </c>
      <c r="H385" s="257">
        <v>1232638435</v>
      </c>
      <c r="I385" s="257">
        <v>1190298065</v>
      </c>
    </row>
    <row r="386" spans="1:9" ht="15">
      <c r="A386" s="386" t="s">
        <v>2073</v>
      </c>
      <c r="B386" s="218">
        <v>158227532</v>
      </c>
      <c r="C386" s="218">
        <v>158227532</v>
      </c>
      <c r="D386" s="218">
        <v>162177092</v>
      </c>
      <c r="E386" s="218">
        <v>162177092</v>
      </c>
      <c r="F386" s="257">
        <v>162177092</v>
      </c>
      <c r="G386" s="257">
        <v>158227532</v>
      </c>
      <c r="H386" s="257">
        <v>162177092</v>
      </c>
      <c r="I386" s="257">
        <v>158227532</v>
      </c>
    </row>
    <row r="387" spans="1:9" ht="15">
      <c r="A387" s="386" t="s">
        <v>146</v>
      </c>
      <c r="B387" s="218">
        <v>80823003</v>
      </c>
      <c r="C387" s="218">
        <v>80823003</v>
      </c>
      <c r="D387" s="218">
        <v>82379186</v>
      </c>
      <c r="E387" s="218">
        <v>82379186</v>
      </c>
      <c r="F387" s="257">
        <v>82379186</v>
      </c>
      <c r="G387" s="257">
        <v>80823003</v>
      </c>
      <c r="H387" s="257">
        <v>82379186</v>
      </c>
      <c r="I387" s="257">
        <v>80823003</v>
      </c>
    </row>
    <row r="388" spans="1:9" ht="15">
      <c r="A388" s="386" t="s">
        <v>147</v>
      </c>
      <c r="B388" s="218">
        <v>302140145</v>
      </c>
      <c r="C388" s="218">
        <v>302140145</v>
      </c>
      <c r="D388" s="218">
        <v>315298429</v>
      </c>
      <c r="E388" s="218">
        <v>315298429</v>
      </c>
      <c r="F388" s="257">
        <v>315298429</v>
      </c>
      <c r="G388" s="257">
        <v>302140145</v>
      </c>
      <c r="H388" s="257">
        <v>315298429</v>
      </c>
      <c r="I388" s="257">
        <v>302140145</v>
      </c>
    </row>
    <row r="389" spans="1:9" ht="15">
      <c r="A389" s="386" t="s">
        <v>2507</v>
      </c>
      <c r="B389" s="218">
        <v>162100157</v>
      </c>
      <c r="C389" s="218">
        <v>162100157</v>
      </c>
      <c r="D389" s="218">
        <v>169105434</v>
      </c>
      <c r="E389" s="218">
        <v>169105434</v>
      </c>
      <c r="F389" s="257">
        <v>169105434</v>
      </c>
      <c r="G389" s="257">
        <v>162100157</v>
      </c>
      <c r="H389" s="257">
        <v>169105434</v>
      </c>
      <c r="I389" s="257">
        <v>162100157</v>
      </c>
    </row>
    <row r="390" spans="1:9" ht="15">
      <c r="A390" s="386" t="s">
        <v>2344</v>
      </c>
      <c r="B390" s="218">
        <v>326683539</v>
      </c>
      <c r="C390" s="218">
        <v>388701539</v>
      </c>
      <c r="D390" s="218">
        <v>330045733</v>
      </c>
      <c r="E390" s="218">
        <v>392063733</v>
      </c>
      <c r="F390" s="257">
        <v>330045733</v>
      </c>
      <c r="G390" s="257">
        <v>326683539</v>
      </c>
      <c r="H390" s="257">
        <v>392063733</v>
      </c>
      <c r="I390" s="257">
        <v>388701539</v>
      </c>
    </row>
    <row r="391" spans="1:9" ht="15">
      <c r="A391" s="386" t="s">
        <v>1120</v>
      </c>
      <c r="B391" s="218">
        <v>165680261</v>
      </c>
      <c r="C391" s="218">
        <v>167608761</v>
      </c>
      <c r="D391" s="218">
        <v>166262169</v>
      </c>
      <c r="E391" s="218">
        <v>168190669</v>
      </c>
      <c r="F391" s="257">
        <v>165844349</v>
      </c>
      <c r="G391" s="257">
        <v>165262441</v>
      </c>
      <c r="H391" s="257">
        <v>167772849</v>
      </c>
      <c r="I391" s="257">
        <v>167190941</v>
      </c>
    </row>
    <row r="392" spans="1:9" ht="15">
      <c r="A392" s="386" t="s">
        <v>1121</v>
      </c>
      <c r="B392" s="218">
        <v>503386304</v>
      </c>
      <c r="C392" s="218">
        <v>503386304</v>
      </c>
      <c r="D392" s="218">
        <v>511240224</v>
      </c>
      <c r="E392" s="218">
        <v>511240224</v>
      </c>
      <c r="F392" s="257">
        <v>511240224</v>
      </c>
      <c r="G392" s="257">
        <v>503386304</v>
      </c>
      <c r="H392" s="257">
        <v>511240224</v>
      </c>
      <c r="I392" s="257">
        <v>503386304</v>
      </c>
    </row>
    <row r="393" spans="1:9" ht="15">
      <c r="A393" s="386" t="s">
        <v>2106</v>
      </c>
      <c r="B393" s="218">
        <v>119785077</v>
      </c>
      <c r="C393" s="218">
        <v>199621297</v>
      </c>
      <c r="D393" s="218">
        <v>121236117</v>
      </c>
      <c r="E393" s="218">
        <v>201072337</v>
      </c>
      <c r="F393" s="257">
        <v>121236117</v>
      </c>
      <c r="G393" s="257">
        <v>119785077</v>
      </c>
      <c r="H393" s="257">
        <v>201072337</v>
      </c>
      <c r="I393" s="257">
        <v>199621297</v>
      </c>
    </row>
    <row r="394" spans="1:9" ht="15">
      <c r="A394" s="386" t="s">
        <v>2107</v>
      </c>
      <c r="B394" s="218">
        <v>271424101</v>
      </c>
      <c r="C394" s="218">
        <v>271424101</v>
      </c>
      <c r="D394" s="218">
        <v>275786941</v>
      </c>
      <c r="E394" s="218">
        <v>275786941</v>
      </c>
      <c r="F394" s="257">
        <v>275786941</v>
      </c>
      <c r="G394" s="257">
        <v>271424101</v>
      </c>
      <c r="H394" s="257">
        <v>275786941</v>
      </c>
      <c r="I394" s="257">
        <v>271424101</v>
      </c>
    </row>
    <row r="395" spans="1:9" ht="15">
      <c r="A395" s="386" t="s">
        <v>1020</v>
      </c>
      <c r="B395" s="218">
        <v>356560053</v>
      </c>
      <c r="C395" s="218">
        <v>356560053</v>
      </c>
      <c r="D395" s="218">
        <v>373597803</v>
      </c>
      <c r="E395" s="218">
        <v>373597803</v>
      </c>
      <c r="F395" s="257">
        <v>373597803</v>
      </c>
      <c r="G395" s="257">
        <v>356560053</v>
      </c>
      <c r="H395" s="257">
        <v>373597803</v>
      </c>
      <c r="I395" s="257">
        <v>356560053</v>
      </c>
    </row>
    <row r="396" spans="1:9" ht="15">
      <c r="A396" s="386" t="s">
        <v>1148</v>
      </c>
      <c r="B396" s="218">
        <v>750759305</v>
      </c>
      <c r="C396" s="218">
        <v>750759305</v>
      </c>
      <c r="D396" s="218">
        <v>787884265</v>
      </c>
      <c r="E396" s="218">
        <v>787884265</v>
      </c>
      <c r="F396" s="257">
        <v>787884265</v>
      </c>
      <c r="G396" s="257">
        <v>750759305</v>
      </c>
      <c r="H396" s="257">
        <v>787884265</v>
      </c>
      <c r="I396" s="257">
        <v>750759305</v>
      </c>
    </row>
    <row r="397" spans="1:9" ht="15">
      <c r="A397" s="386" t="s">
        <v>381</v>
      </c>
      <c r="B397" s="218">
        <v>815361569</v>
      </c>
      <c r="C397" s="218">
        <v>815361569</v>
      </c>
      <c r="D397" s="218">
        <v>841820974</v>
      </c>
      <c r="E397" s="218">
        <v>841820974</v>
      </c>
      <c r="F397" s="257">
        <v>830984811</v>
      </c>
      <c r="G397" s="257">
        <v>804525406</v>
      </c>
      <c r="H397" s="257">
        <v>830984811</v>
      </c>
      <c r="I397" s="257">
        <v>804525406</v>
      </c>
    </row>
    <row r="398" spans="1:9" ht="15">
      <c r="A398" s="386" t="s">
        <v>2285</v>
      </c>
      <c r="B398" s="218">
        <v>1017944249</v>
      </c>
      <c r="C398" s="218">
        <v>1017944249</v>
      </c>
      <c r="D398" s="218">
        <v>1067688869</v>
      </c>
      <c r="E398" s="218">
        <v>1067688869</v>
      </c>
      <c r="F398" s="257">
        <v>1067688869</v>
      </c>
      <c r="G398" s="257">
        <v>1017944249</v>
      </c>
      <c r="H398" s="257">
        <v>1067688869</v>
      </c>
      <c r="I398" s="257">
        <v>1017944249</v>
      </c>
    </row>
    <row r="399" spans="1:9" ht="15">
      <c r="A399" s="386" t="s">
        <v>1179</v>
      </c>
      <c r="B399" s="218">
        <v>185215163</v>
      </c>
      <c r="C399" s="218">
        <v>185215163</v>
      </c>
      <c r="D399" s="218">
        <v>192081643</v>
      </c>
      <c r="E399" s="218">
        <v>192081643</v>
      </c>
      <c r="F399" s="257">
        <v>192081643</v>
      </c>
      <c r="G399" s="257">
        <v>185215163</v>
      </c>
      <c r="H399" s="257">
        <v>192081643</v>
      </c>
      <c r="I399" s="257">
        <v>185215163</v>
      </c>
    </row>
    <row r="400" spans="1:9" ht="15">
      <c r="A400" s="386" t="s">
        <v>585</v>
      </c>
      <c r="B400" s="218">
        <v>18585811281</v>
      </c>
      <c r="C400" s="218">
        <v>18585811281</v>
      </c>
      <c r="D400" s="218">
        <v>18912302403</v>
      </c>
      <c r="E400" s="218">
        <v>18912302403</v>
      </c>
      <c r="F400" s="257">
        <v>18912302403</v>
      </c>
      <c r="G400" s="257">
        <v>18585811281</v>
      </c>
      <c r="H400" s="257">
        <v>18912302403</v>
      </c>
      <c r="I400" s="257">
        <v>18585811281</v>
      </c>
    </row>
    <row r="401" spans="1:9" ht="15">
      <c r="A401" s="386" t="s">
        <v>194</v>
      </c>
      <c r="B401" s="218">
        <v>13734225001</v>
      </c>
      <c r="C401" s="218">
        <v>13734225001</v>
      </c>
      <c r="D401" s="218">
        <v>14000791158</v>
      </c>
      <c r="E401" s="218">
        <v>14000791158</v>
      </c>
      <c r="F401" s="257">
        <v>14000791158</v>
      </c>
      <c r="G401" s="257">
        <v>13734225001</v>
      </c>
      <c r="H401" s="257">
        <v>14000791158</v>
      </c>
      <c r="I401" s="257">
        <v>13734225001</v>
      </c>
    </row>
    <row r="402" spans="1:9" ht="15">
      <c r="A402" s="386" t="s">
        <v>2313</v>
      </c>
      <c r="B402" s="218">
        <v>2721348363</v>
      </c>
      <c r="C402" s="218">
        <v>2721348363</v>
      </c>
      <c r="D402" s="218">
        <v>2778547232</v>
      </c>
      <c r="E402" s="218">
        <v>2778547232</v>
      </c>
      <c r="F402" s="257">
        <v>2778547232</v>
      </c>
      <c r="G402" s="257">
        <v>2721348363</v>
      </c>
      <c r="H402" s="257">
        <v>2778547232</v>
      </c>
      <c r="I402" s="257">
        <v>2721348363</v>
      </c>
    </row>
    <row r="403" spans="1:9" ht="15">
      <c r="A403" s="386" t="s">
        <v>2404</v>
      </c>
      <c r="B403" s="218">
        <v>1614147943</v>
      </c>
      <c r="C403" s="218">
        <v>1614147943</v>
      </c>
      <c r="D403" s="218">
        <v>1672139821</v>
      </c>
      <c r="E403" s="218">
        <v>1672139821</v>
      </c>
      <c r="F403" s="257">
        <v>1672139821</v>
      </c>
      <c r="G403" s="257">
        <v>1614147943</v>
      </c>
      <c r="H403" s="257">
        <v>1672139821</v>
      </c>
      <c r="I403" s="257">
        <v>1614147943</v>
      </c>
    </row>
    <row r="404" spans="1:9" ht="15">
      <c r="A404" s="386" t="s">
        <v>2314</v>
      </c>
      <c r="B404" s="218">
        <v>47413420284</v>
      </c>
      <c r="C404" s="218">
        <v>47413420284</v>
      </c>
      <c r="D404" s="218">
        <v>48566639061</v>
      </c>
      <c r="E404" s="218">
        <v>48566639061</v>
      </c>
      <c r="F404" s="257">
        <v>46304857987</v>
      </c>
      <c r="G404" s="257">
        <v>45151639210</v>
      </c>
      <c r="H404" s="257">
        <v>46304857987</v>
      </c>
      <c r="I404" s="257">
        <v>45151639210</v>
      </c>
    </row>
    <row r="405" spans="1:9" ht="15">
      <c r="A405" s="386" t="s">
        <v>2166</v>
      </c>
      <c r="B405" s="218">
        <v>7759508770</v>
      </c>
      <c r="C405" s="218">
        <v>7759508770</v>
      </c>
      <c r="D405" s="218">
        <v>7872288019</v>
      </c>
      <c r="E405" s="218">
        <v>7872288019</v>
      </c>
      <c r="F405" s="257">
        <v>7703603504</v>
      </c>
      <c r="G405" s="257">
        <v>7590824255</v>
      </c>
      <c r="H405" s="257">
        <v>7703603504</v>
      </c>
      <c r="I405" s="257">
        <v>7590824255</v>
      </c>
    </row>
    <row r="406" spans="1:9" ht="15">
      <c r="A406" s="386" t="s">
        <v>1428</v>
      </c>
      <c r="B406" s="218">
        <v>8100203387</v>
      </c>
      <c r="C406" s="218">
        <v>8100203387</v>
      </c>
      <c r="D406" s="218">
        <v>8224098413</v>
      </c>
      <c r="E406" s="218">
        <v>8224098413</v>
      </c>
      <c r="F406" s="257">
        <v>8117401161</v>
      </c>
      <c r="G406" s="257">
        <v>7993506135</v>
      </c>
      <c r="H406" s="257">
        <v>8117401161</v>
      </c>
      <c r="I406" s="257">
        <v>7993506135</v>
      </c>
    </row>
    <row r="407" spans="1:9" ht="15">
      <c r="A407" s="386" t="s">
        <v>2020</v>
      </c>
      <c r="B407" s="218">
        <v>10042558043</v>
      </c>
      <c r="C407" s="218">
        <v>10137558043</v>
      </c>
      <c r="D407" s="218">
        <v>10226259234</v>
      </c>
      <c r="E407" s="218">
        <v>10321259234</v>
      </c>
      <c r="F407" s="257">
        <v>10119539460</v>
      </c>
      <c r="G407" s="257">
        <v>9935838269</v>
      </c>
      <c r="H407" s="257">
        <v>10214539460</v>
      </c>
      <c r="I407" s="257">
        <v>10030838269</v>
      </c>
    </row>
    <row r="408" spans="1:9" ht="15">
      <c r="A408" s="386" t="s">
        <v>2552</v>
      </c>
      <c r="B408" s="101">
        <v>155051532456</v>
      </c>
      <c r="C408" s="218">
        <f>B408</f>
        <v>155051532456</v>
      </c>
      <c r="D408" s="101">
        <v>157199528947</v>
      </c>
      <c r="E408" s="218">
        <f>D408</f>
        <v>157199528947</v>
      </c>
      <c r="F408" s="257">
        <v>150915901588</v>
      </c>
      <c r="G408" s="257">
        <v>148767905097</v>
      </c>
      <c r="H408" s="257">
        <v>150915901588</v>
      </c>
      <c r="I408" s="257">
        <v>148767905097</v>
      </c>
    </row>
    <row r="409" spans="1:9" ht="15">
      <c r="A409" s="386" t="s">
        <v>1117</v>
      </c>
      <c r="B409" s="218">
        <v>12937822576</v>
      </c>
      <c r="C409" s="218">
        <v>12937822576</v>
      </c>
      <c r="D409" s="218">
        <v>13365790028</v>
      </c>
      <c r="E409" s="218">
        <v>13365790028</v>
      </c>
      <c r="F409" s="257">
        <v>13365790028</v>
      </c>
      <c r="G409" s="257">
        <v>12937822576</v>
      </c>
      <c r="H409" s="257">
        <v>13365790028</v>
      </c>
      <c r="I409" s="257">
        <v>12937822576</v>
      </c>
    </row>
    <row r="410" spans="1:9" ht="15">
      <c r="A410" s="386" t="s">
        <v>48</v>
      </c>
      <c r="B410" s="218">
        <v>32324322572</v>
      </c>
      <c r="C410" s="218">
        <v>32353898132</v>
      </c>
      <c r="D410" s="218">
        <v>32991394469</v>
      </c>
      <c r="E410" s="218">
        <v>33020970029</v>
      </c>
      <c r="F410" s="257">
        <v>32991394469</v>
      </c>
      <c r="G410" s="257">
        <v>32324322572</v>
      </c>
      <c r="H410" s="257">
        <v>33020970029</v>
      </c>
      <c r="I410" s="257">
        <v>32353898132</v>
      </c>
    </row>
    <row r="411" spans="1:9" ht="15">
      <c r="A411" s="386" t="s">
        <v>55</v>
      </c>
      <c r="B411" s="218">
        <v>17229826900</v>
      </c>
      <c r="C411" s="218">
        <v>17296840232</v>
      </c>
      <c r="D411" s="218">
        <v>17758728899</v>
      </c>
      <c r="E411" s="218">
        <v>17825742231</v>
      </c>
      <c r="F411" s="257">
        <v>17758728899</v>
      </c>
      <c r="G411" s="257">
        <v>17229826900</v>
      </c>
      <c r="H411" s="257">
        <v>17825742231</v>
      </c>
      <c r="I411" s="257">
        <v>17296840232</v>
      </c>
    </row>
    <row r="412" spans="1:9" ht="15">
      <c r="A412" s="386" t="s">
        <v>2553</v>
      </c>
      <c r="B412" s="218">
        <v>8324199872</v>
      </c>
      <c r="C412" s="218">
        <v>8423482572</v>
      </c>
      <c r="D412" s="218">
        <v>8424816447</v>
      </c>
      <c r="E412" s="218">
        <v>8524099147</v>
      </c>
      <c r="F412" s="257">
        <v>8273945180</v>
      </c>
      <c r="G412" s="257">
        <v>8173328605</v>
      </c>
      <c r="H412" s="257">
        <v>8373227880</v>
      </c>
      <c r="I412" s="257">
        <v>8272611305</v>
      </c>
    </row>
    <row r="413" spans="1:9" ht="15">
      <c r="A413" s="386" t="s">
        <v>206</v>
      </c>
      <c r="B413" s="218">
        <v>11800406152</v>
      </c>
      <c r="C413" s="218">
        <v>11800406152</v>
      </c>
      <c r="D413" s="218">
        <v>12164764020</v>
      </c>
      <c r="E413" s="218">
        <v>12164764020</v>
      </c>
      <c r="F413" s="257">
        <v>11962611789</v>
      </c>
      <c r="G413" s="257">
        <v>11598253921</v>
      </c>
      <c r="H413" s="257">
        <v>11962611789</v>
      </c>
      <c r="I413" s="257">
        <v>11598253921</v>
      </c>
    </row>
    <row r="414" spans="1:9" ht="15">
      <c r="A414" s="386" t="s">
        <v>668</v>
      </c>
      <c r="B414" s="218">
        <v>10602403555</v>
      </c>
      <c r="C414" s="218">
        <v>10602403555</v>
      </c>
      <c r="D414" s="218">
        <v>10867377189</v>
      </c>
      <c r="E414" s="218">
        <v>10867377189</v>
      </c>
      <c r="F414" s="257">
        <v>10867377189</v>
      </c>
      <c r="G414" s="257">
        <v>10602403555</v>
      </c>
      <c r="H414" s="257">
        <v>10867377189</v>
      </c>
      <c r="I414" s="257">
        <v>10602403555</v>
      </c>
    </row>
    <row r="415" spans="1:9" ht="15">
      <c r="A415" s="386" t="s">
        <v>811</v>
      </c>
      <c r="B415" s="218">
        <v>28938746268</v>
      </c>
      <c r="C415" s="218">
        <v>28938746268</v>
      </c>
      <c r="D415" s="218">
        <v>29264219935</v>
      </c>
      <c r="E415" s="218">
        <v>29264219935</v>
      </c>
      <c r="F415" s="257">
        <v>27462427551</v>
      </c>
      <c r="G415" s="257">
        <v>27136953884</v>
      </c>
      <c r="H415" s="257">
        <v>27462427551</v>
      </c>
      <c r="I415" s="257">
        <v>27136953884</v>
      </c>
    </row>
    <row r="416" spans="1:9" ht="15">
      <c r="A416" s="386" t="s">
        <v>1947</v>
      </c>
      <c r="B416" s="218">
        <v>8977875186</v>
      </c>
      <c r="C416" s="218">
        <v>8977875186</v>
      </c>
      <c r="D416" s="218">
        <v>9143406836</v>
      </c>
      <c r="E416" s="218">
        <v>9143406836</v>
      </c>
      <c r="F416" s="257">
        <v>9143406836</v>
      </c>
      <c r="G416" s="257">
        <v>8977875186</v>
      </c>
      <c r="H416" s="257">
        <v>9143406836</v>
      </c>
      <c r="I416" s="257">
        <v>8977875186</v>
      </c>
    </row>
    <row r="417" spans="1:9" ht="15">
      <c r="A417" s="386" t="s">
        <v>1948</v>
      </c>
      <c r="B417" s="218">
        <v>5476667046</v>
      </c>
      <c r="C417" s="218">
        <v>5476667046</v>
      </c>
      <c r="D417" s="218">
        <v>5529854507</v>
      </c>
      <c r="E417" s="218">
        <v>5529854507</v>
      </c>
      <c r="F417" s="257">
        <v>5477373127</v>
      </c>
      <c r="G417" s="257">
        <v>5424185666</v>
      </c>
      <c r="H417" s="257">
        <v>5477373127</v>
      </c>
      <c r="I417" s="257">
        <v>5424185666</v>
      </c>
    </row>
    <row r="418" spans="1:9" ht="15">
      <c r="A418" s="386" t="s">
        <v>867</v>
      </c>
      <c r="B418" s="218">
        <v>969962932</v>
      </c>
      <c r="C418" s="218">
        <v>969962932</v>
      </c>
      <c r="D418" s="218">
        <v>1005713498</v>
      </c>
      <c r="E418" s="218">
        <v>1005713498</v>
      </c>
      <c r="F418" s="257">
        <v>1005713498</v>
      </c>
      <c r="G418" s="257">
        <v>969962932</v>
      </c>
      <c r="H418" s="257">
        <v>1005713498</v>
      </c>
      <c r="I418" s="257">
        <v>969962932</v>
      </c>
    </row>
    <row r="419" spans="1:9" ht="15">
      <c r="A419" s="386" t="s">
        <v>1949</v>
      </c>
      <c r="B419" s="218">
        <v>218235315</v>
      </c>
      <c r="C419" s="218">
        <v>218235315</v>
      </c>
      <c r="D419" s="218">
        <v>223053842</v>
      </c>
      <c r="E419" s="218">
        <v>223053842</v>
      </c>
      <c r="F419" s="257">
        <v>216191398</v>
      </c>
      <c r="G419" s="257">
        <v>211372871</v>
      </c>
      <c r="H419" s="257">
        <v>216191398</v>
      </c>
      <c r="I419" s="257">
        <v>211372871</v>
      </c>
    </row>
    <row r="420" spans="1:9" ht="15">
      <c r="A420" s="386" t="s">
        <v>1500</v>
      </c>
      <c r="B420" s="218">
        <v>2572765142</v>
      </c>
      <c r="C420" s="218">
        <v>2572765142</v>
      </c>
      <c r="D420" s="218">
        <v>2630574474</v>
      </c>
      <c r="E420" s="218">
        <v>2630574474</v>
      </c>
      <c r="F420" s="257">
        <v>2554383312</v>
      </c>
      <c r="G420" s="257">
        <v>2496573980</v>
      </c>
      <c r="H420" s="257">
        <v>2554383312</v>
      </c>
      <c r="I420" s="257">
        <v>2496573980</v>
      </c>
    </row>
    <row r="421" spans="1:9" ht="15">
      <c r="A421" s="386" t="s">
        <v>1501</v>
      </c>
      <c r="B421" s="218">
        <v>389101442</v>
      </c>
      <c r="C421" s="218">
        <v>389101442</v>
      </c>
      <c r="D421" s="218">
        <v>395752287</v>
      </c>
      <c r="E421" s="218">
        <v>395752287</v>
      </c>
      <c r="F421" s="257">
        <v>386908514</v>
      </c>
      <c r="G421" s="257">
        <v>380257669</v>
      </c>
      <c r="H421" s="257">
        <v>386908514</v>
      </c>
      <c r="I421" s="257">
        <v>380257669</v>
      </c>
    </row>
    <row r="422" spans="1:9" ht="15">
      <c r="A422" s="386" t="s">
        <v>1502</v>
      </c>
      <c r="B422" s="218">
        <v>2542366088</v>
      </c>
      <c r="C422" s="218">
        <v>2542366088</v>
      </c>
      <c r="D422" s="218">
        <v>2586288343</v>
      </c>
      <c r="E422" s="218">
        <v>2586288343</v>
      </c>
      <c r="F422" s="257">
        <v>2501340135</v>
      </c>
      <c r="G422" s="257">
        <v>2457417880</v>
      </c>
      <c r="H422" s="257">
        <v>2501340135</v>
      </c>
      <c r="I422" s="257">
        <v>2457417880</v>
      </c>
    </row>
    <row r="423" spans="1:9" ht="15">
      <c r="A423" s="386" t="s">
        <v>1568</v>
      </c>
      <c r="B423" s="218">
        <v>155457419</v>
      </c>
      <c r="C423" s="218">
        <v>155457419</v>
      </c>
      <c r="D423" s="218">
        <v>160935782</v>
      </c>
      <c r="E423" s="218">
        <v>160935782</v>
      </c>
      <c r="F423" s="257">
        <v>151727887</v>
      </c>
      <c r="G423" s="257">
        <v>146249524</v>
      </c>
      <c r="H423" s="257">
        <v>151727887</v>
      </c>
      <c r="I423" s="257">
        <v>146249524</v>
      </c>
    </row>
    <row r="424" spans="1:9" ht="15">
      <c r="A424" s="386" t="s">
        <v>1569</v>
      </c>
      <c r="B424" s="218">
        <v>406373462</v>
      </c>
      <c r="C424" s="218">
        <v>406373462</v>
      </c>
      <c r="D424" s="218">
        <v>416602271</v>
      </c>
      <c r="E424" s="218">
        <v>416602271</v>
      </c>
      <c r="F424" s="257">
        <v>403526357</v>
      </c>
      <c r="G424" s="257">
        <v>393297548</v>
      </c>
      <c r="H424" s="257">
        <v>403526357</v>
      </c>
      <c r="I424" s="257">
        <v>393297548</v>
      </c>
    </row>
    <row r="425" spans="1:9" ht="15">
      <c r="A425" s="386" t="s">
        <v>497</v>
      </c>
      <c r="B425" s="218">
        <v>187218451</v>
      </c>
      <c r="C425" s="218">
        <v>187218451</v>
      </c>
      <c r="D425" s="218">
        <v>187946961</v>
      </c>
      <c r="E425" s="218">
        <v>187946961</v>
      </c>
      <c r="F425" s="257">
        <v>187946961</v>
      </c>
      <c r="G425" s="257">
        <v>187218451</v>
      </c>
      <c r="H425" s="257">
        <v>187946961</v>
      </c>
      <c r="I425" s="257">
        <v>187218451</v>
      </c>
    </row>
    <row r="426" spans="1:9" ht="15">
      <c r="A426" s="386" t="s">
        <v>465</v>
      </c>
      <c r="B426" s="218">
        <v>162940546</v>
      </c>
      <c r="C426" s="218">
        <v>162940546</v>
      </c>
      <c r="D426" s="218">
        <v>163902496</v>
      </c>
      <c r="E426" s="218">
        <v>163902496</v>
      </c>
      <c r="F426" s="257">
        <v>163902496</v>
      </c>
      <c r="G426" s="257">
        <v>162940546</v>
      </c>
      <c r="H426" s="257">
        <v>163902496</v>
      </c>
      <c r="I426" s="257">
        <v>162940546</v>
      </c>
    </row>
    <row r="427" spans="1:9" ht="15">
      <c r="A427" s="386" t="s">
        <v>466</v>
      </c>
      <c r="B427" s="218">
        <v>172278929</v>
      </c>
      <c r="C427" s="218">
        <v>172278929</v>
      </c>
      <c r="D427" s="218">
        <v>179094559</v>
      </c>
      <c r="E427" s="218">
        <v>179094559</v>
      </c>
      <c r="F427" s="257">
        <v>179094559</v>
      </c>
      <c r="G427" s="257">
        <v>172278929</v>
      </c>
      <c r="H427" s="257">
        <v>179094559</v>
      </c>
      <c r="I427" s="257">
        <v>172278929</v>
      </c>
    </row>
    <row r="428" spans="1:9" ht="15">
      <c r="A428" s="386" t="s">
        <v>467</v>
      </c>
      <c r="B428" s="218">
        <v>41826357</v>
      </c>
      <c r="C428" s="218">
        <v>41826357</v>
      </c>
      <c r="D428" s="218">
        <v>42921467</v>
      </c>
      <c r="E428" s="218">
        <v>42921467</v>
      </c>
      <c r="F428" s="257">
        <v>42330173</v>
      </c>
      <c r="G428" s="257">
        <v>41235063</v>
      </c>
      <c r="H428" s="257">
        <v>42330173</v>
      </c>
      <c r="I428" s="257">
        <v>41235063</v>
      </c>
    </row>
    <row r="429" spans="1:9" ht="15">
      <c r="A429" s="386" t="s">
        <v>468</v>
      </c>
      <c r="B429" s="218">
        <v>141892732</v>
      </c>
      <c r="C429" s="218">
        <v>141892732</v>
      </c>
      <c r="D429" s="218">
        <v>142476922</v>
      </c>
      <c r="E429" s="218">
        <v>142476922</v>
      </c>
      <c r="F429" s="257">
        <v>142476922</v>
      </c>
      <c r="G429" s="257">
        <v>141892732</v>
      </c>
      <c r="H429" s="257">
        <v>142476922</v>
      </c>
      <c r="I429" s="257">
        <v>141892732</v>
      </c>
    </row>
    <row r="430" spans="1:9" ht="15">
      <c r="A430" s="386" t="s">
        <v>1141</v>
      </c>
      <c r="B430" s="218">
        <v>4398511925</v>
      </c>
      <c r="C430" s="218">
        <v>4398511925</v>
      </c>
      <c r="D430" s="218">
        <v>4464940322</v>
      </c>
      <c r="E430" s="218">
        <v>4464940322</v>
      </c>
      <c r="F430" s="257">
        <v>4464940322</v>
      </c>
      <c r="G430" s="257">
        <v>4398511925</v>
      </c>
      <c r="H430" s="257">
        <v>4464940322</v>
      </c>
      <c r="I430" s="257">
        <v>4398511925</v>
      </c>
    </row>
    <row r="431" spans="1:9" ht="15">
      <c r="A431" s="386" t="s">
        <v>1488</v>
      </c>
      <c r="B431" s="218">
        <v>3471554037</v>
      </c>
      <c r="C431" s="218">
        <v>3471554037</v>
      </c>
      <c r="D431" s="218">
        <v>3545779515</v>
      </c>
      <c r="E431" s="218">
        <v>3545779515</v>
      </c>
      <c r="F431" s="257">
        <v>3545779515</v>
      </c>
      <c r="G431" s="257">
        <v>3471554037</v>
      </c>
      <c r="H431" s="257">
        <v>3545779515</v>
      </c>
      <c r="I431" s="257">
        <v>3471554037</v>
      </c>
    </row>
    <row r="432" spans="1:9" ht="15">
      <c r="A432" s="386" t="s">
        <v>1292</v>
      </c>
      <c r="B432" s="218">
        <v>1677959707</v>
      </c>
      <c r="C432" s="218">
        <v>1677959707</v>
      </c>
      <c r="D432" s="218">
        <v>1719104822</v>
      </c>
      <c r="E432" s="218">
        <v>1719104822</v>
      </c>
      <c r="F432" s="257">
        <v>1719104822</v>
      </c>
      <c r="G432" s="257">
        <v>1677959707</v>
      </c>
      <c r="H432" s="257">
        <v>1719104822</v>
      </c>
      <c r="I432" s="257">
        <v>1677959707</v>
      </c>
    </row>
    <row r="433" spans="1:9" ht="15">
      <c r="A433" s="386" t="s">
        <v>1863</v>
      </c>
      <c r="B433" s="218">
        <v>5255911877</v>
      </c>
      <c r="C433" s="218">
        <v>5255911877</v>
      </c>
      <c r="D433" s="218">
        <v>5415593785</v>
      </c>
      <c r="E433" s="218">
        <v>5415593785</v>
      </c>
      <c r="F433" s="257">
        <v>5415593785</v>
      </c>
      <c r="G433" s="257">
        <v>5255911877</v>
      </c>
      <c r="H433" s="257">
        <v>5415593785</v>
      </c>
      <c r="I433" s="257">
        <v>5255911877</v>
      </c>
    </row>
    <row r="434" spans="1:9" ht="15">
      <c r="A434" s="386" t="s">
        <v>1703</v>
      </c>
      <c r="B434" s="218">
        <v>1675077838</v>
      </c>
      <c r="C434" s="218">
        <v>1675077838</v>
      </c>
      <c r="D434" s="218">
        <v>1682143938</v>
      </c>
      <c r="E434" s="218">
        <v>1682143938</v>
      </c>
      <c r="F434" s="257">
        <v>1672809083</v>
      </c>
      <c r="G434" s="257">
        <v>1665742983</v>
      </c>
      <c r="H434" s="257">
        <v>1672809083</v>
      </c>
      <c r="I434" s="257">
        <v>1665742983</v>
      </c>
    </row>
    <row r="435" spans="1:9" ht="15">
      <c r="A435" s="386" t="s">
        <v>1704</v>
      </c>
      <c r="B435" s="218">
        <v>1252534273</v>
      </c>
      <c r="C435" s="218">
        <v>1252534273</v>
      </c>
      <c r="D435" s="218">
        <v>1296626931</v>
      </c>
      <c r="E435" s="218">
        <v>1296626931</v>
      </c>
      <c r="F435" s="257">
        <v>1296626931</v>
      </c>
      <c r="G435" s="257">
        <v>1252534273</v>
      </c>
      <c r="H435" s="257">
        <v>1296626931</v>
      </c>
      <c r="I435" s="257">
        <v>1252534273</v>
      </c>
    </row>
    <row r="436" spans="1:9" ht="15">
      <c r="A436" s="386" t="s">
        <v>2544</v>
      </c>
      <c r="B436" s="218">
        <v>632146263</v>
      </c>
      <c r="C436" s="218">
        <v>632146263</v>
      </c>
      <c r="D436" s="218">
        <v>669891285</v>
      </c>
      <c r="E436" s="218">
        <v>669891285</v>
      </c>
      <c r="F436" s="257">
        <v>626044396</v>
      </c>
      <c r="G436" s="257">
        <v>588299374</v>
      </c>
      <c r="H436" s="257">
        <v>626044396</v>
      </c>
      <c r="I436" s="257">
        <v>588299374</v>
      </c>
    </row>
    <row r="437" spans="1:9" ht="15">
      <c r="A437" s="386" t="s">
        <v>2519</v>
      </c>
      <c r="B437" s="218">
        <v>232834634</v>
      </c>
      <c r="C437" s="218">
        <v>232834634</v>
      </c>
      <c r="D437" s="218">
        <v>239037353</v>
      </c>
      <c r="E437" s="218">
        <v>239037353</v>
      </c>
      <c r="F437" s="257">
        <v>239037353</v>
      </c>
      <c r="G437" s="257">
        <v>232834634</v>
      </c>
      <c r="H437" s="257">
        <v>239037353</v>
      </c>
      <c r="I437" s="257">
        <v>232834634</v>
      </c>
    </row>
    <row r="438" spans="1:9" ht="15">
      <c r="A438" s="386" t="s">
        <v>2007</v>
      </c>
      <c r="B438" s="218">
        <v>547186211</v>
      </c>
      <c r="C438" s="218">
        <v>547186211</v>
      </c>
      <c r="D438" s="218">
        <v>564059735</v>
      </c>
      <c r="E438" s="218">
        <v>564059735</v>
      </c>
      <c r="F438" s="257">
        <v>539433151</v>
      </c>
      <c r="G438" s="257">
        <v>522559627</v>
      </c>
      <c r="H438" s="257">
        <v>539433151</v>
      </c>
      <c r="I438" s="257">
        <v>522559627</v>
      </c>
    </row>
    <row r="439" spans="1:9" ht="15">
      <c r="A439" s="386" t="s">
        <v>63</v>
      </c>
      <c r="B439" s="218">
        <v>1105596490</v>
      </c>
      <c r="C439" s="218">
        <v>1105596490</v>
      </c>
      <c r="D439" s="218">
        <v>1130020253</v>
      </c>
      <c r="E439" s="218">
        <v>1130020253</v>
      </c>
      <c r="F439" s="257">
        <v>1130020253</v>
      </c>
      <c r="G439" s="257">
        <v>1105596490</v>
      </c>
      <c r="H439" s="257">
        <v>1130020253</v>
      </c>
      <c r="I439" s="257">
        <v>1105596490</v>
      </c>
    </row>
    <row r="440" spans="1:9" ht="15">
      <c r="A440" s="386" t="s">
        <v>1518</v>
      </c>
      <c r="B440" s="218">
        <v>43626522</v>
      </c>
      <c r="C440" s="218">
        <v>43626522</v>
      </c>
      <c r="D440" s="218">
        <v>45324632</v>
      </c>
      <c r="E440" s="218">
        <v>45324632</v>
      </c>
      <c r="F440" s="257">
        <v>44414349</v>
      </c>
      <c r="G440" s="257">
        <v>42716239</v>
      </c>
      <c r="H440" s="257">
        <v>44414349</v>
      </c>
      <c r="I440" s="257">
        <v>42716239</v>
      </c>
    </row>
    <row r="441" spans="1:9" ht="15">
      <c r="A441" s="386" t="s">
        <v>868</v>
      </c>
      <c r="B441" s="218">
        <v>36495978</v>
      </c>
      <c r="C441" s="218">
        <v>36495978</v>
      </c>
      <c r="D441" s="218">
        <v>38409688</v>
      </c>
      <c r="E441" s="218">
        <v>38409688</v>
      </c>
      <c r="F441" s="257">
        <v>38409688</v>
      </c>
      <c r="G441" s="257">
        <v>36495978</v>
      </c>
      <c r="H441" s="257">
        <v>38409688</v>
      </c>
      <c r="I441" s="257">
        <v>36495978</v>
      </c>
    </row>
    <row r="442" spans="1:9" ht="15">
      <c r="A442" s="386" t="s">
        <v>64</v>
      </c>
      <c r="B442" s="218">
        <v>214186220</v>
      </c>
      <c r="C442" s="218">
        <v>214186220</v>
      </c>
      <c r="D442" s="218">
        <v>220318705</v>
      </c>
      <c r="E442" s="218">
        <v>220318705</v>
      </c>
      <c r="F442" s="257">
        <v>212763665</v>
      </c>
      <c r="G442" s="257">
        <v>206631180</v>
      </c>
      <c r="H442" s="257">
        <v>212763665</v>
      </c>
      <c r="I442" s="257">
        <v>206631180</v>
      </c>
    </row>
    <row r="443" spans="1:9" ht="15">
      <c r="A443" s="386" t="s">
        <v>2127</v>
      </c>
      <c r="B443" s="218">
        <v>1129089583</v>
      </c>
      <c r="C443" s="218">
        <v>1129089583</v>
      </c>
      <c r="D443" s="218">
        <v>1207536283</v>
      </c>
      <c r="E443" s="218">
        <v>1207536283</v>
      </c>
      <c r="F443" s="257">
        <v>1207536283</v>
      </c>
      <c r="G443" s="257">
        <v>1129089583</v>
      </c>
      <c r="H443" s="257">
        <v>1207536283</v>
      </c>
      <c r="I443" s="257">
        <v>1129089583</v>
      </c>
    </row>
    <row r="444" spans="1:9" ht="15">
      <c r="A444" s="386" t="s">
        <v>770</v>
      </c>
      <c r="B444" s="218">
        <v>294816734</v>
      </c>
      <c r="C444" s="218">
        <v>294816734</v>
      </c>
      <c r="D444" s="218">
        <v>319878559</v>
      </c>
      <c r="E444" s="218">
        <v>319878559</v>
      </c>
      <c r="F444" s="257">
        <v>319878559</v>
      </c>
      <c r="G444" s="257">
        <v>294816734</v>
      </c>
      <c r="H444" s="257">
        <v>319878559</v>
      </c>
      <c r="I444" s="257">
        <v>294816734</v>
      </c>
    </row>
    <row r="445" spans="1:9" ht="15">
      <c r="A445" s="386" t="s">
        <v>772</v>
      </c>
      <c r="B445" s="218">
        <v>5439280105</v>
      </c>
      <c r="C445" s="218">
        <v>5439280105</v>
      </c>
      <c r="D445" s="218">
        <v>5642246587</v>
      </c>
      <c r="E445" s="218">
        <v>5642246587</v>
      </c>
      <c r="F445" s="257">
        <v>5642246587</v>
      </c>
      <c r="G445" s="257">
        <v>5439280105</v>
      </c>
      <c r="H445" s="257">
        <v>5642246587</v>
      </c>
      <c r="I445" s="257">
        <v>5439280105</v>
      </c>
    </row>
    <row r="446" spans="1:9" ht="15">
      <c r="A446" s="386" t="s">
        <v>1865</v>
      </c>
      <c r="B446" s="218">
        <v>443999424</v>
      </c>
      <c r="C446" s="218">
        <v>443999424</v>
      </c>
      <c r="D446" s="218">
        <v>455146010</v>
      </c>
      <c r="E446" s="218">
        <v>455146010</v>
      </c>
      <c r="F446" s="257">
        <v>455146010</v>
      </c>
      <c r="G446" s="257">
        <v>443999424</v>
      </c>
      <c r="H446" s="257">
        <v>455146010</v>
      </c>
      <c r="I446" s="257">
        <v>443999424</v>
      </c>
    </row>
    <row r="447" spans="1:9" ht="15">
      <c r="A447" s="386" t="s">
        <v>2529</v>
      </c>
      <c r="B447" s="218">
        <v>6296201283</v>
      </c>
      <c r="C447" s="218">
        <v>6296201283</v>
      </c>
      <c r="D447" s="218">
        <v>6490578952</v>
      </c>
      <c r="E447" s="218">
        <v>6490578952</v>
      </c>
      <c r="F447" s="257">
        <v>6490578952</v>
      </c>
      <c r="G447" s="257">
        <v>6296201283</v>
      </c>
      <c r="H447" s="257">
        <v>6490578952</v>
      </c>
      <c r="I447" s="257">
        <v>6296201283</v>
      </c>
    </row>
    <row r="448" spans="1:9" ht="15">
      <c r="A448" s="386" t="s">
        <v>2532</v>
      </c>
      <c r="B448" s="218">
        <v>461589000</v>
      </c>
      <c r="C448" s="218">
        <v>461589000</v>
      </c>
      <c r="D448" s="218">
        <v>489752212</v>
      </c>
      <c r="E448" s="218">
        <v>489752212</v>
      </c>
      <c r="F448" s="257">
        <v>489752212</v>
      </c>
      <c r="G448" s="257">
        <v>461589000</v>
      </c>
      <c r="H448" s="257">
        <v>489752212</v>
      </c>
      <c r="I448" s="257">
        <v>461589000</v>
      </c>
    </row>
    <row r="449" spans="1:9" ht="15">
      <c r="A449" s="386" t="s">
        <v>2538</v>
      </c>
      <c r="B449" s="218">
        <v>1742332898</v>
      </c>
      <c r="C449" s="218">
        <v>1742332898</v>
      </c>
      <c r="D449" s="218">
        <v>1839638540</v>
      </c>
      <c r="E449" s="218">
        <v>1839638540</v>
      </c>
      <c r="F449" s="257">
        <v>1839638540</v>
      </c>
      <c r="G449" s="257">
        <v>1742332898</v>
      </c>
      <c r="H449" s="257">
        <v>1839638540</v>
      </c>
      <c r="I449" s="257">
        <v>1742332898</v>
      </c>
    </row>
    <row r="450" spans="1:9" ht="15">
      <c r="A450" s="386" t="s">
        <v>211</v>
      </c>
      <c r="B450" s="218">
        <v>3895524477</v>
      </c>
      <c r="C450" s="218">
        <v>3895524477</v>
      </c>
      <c r="D450" s="218">
        <v>4076323024</v>
      </c>
      <c r="E450" s="218">
        <v>4076323024</v>
      </c>
      <c r="F450" s="257">
        <v>4076323024</v>
      </c>
      <c r="G450" s="257">
        <v>3895524477</v>
      </c>
      <c r="H450" s="257">
        <v>4076323024</v>
      </c>
      <c r="I450" s="257">
        <v>3895524477</v>
      </c>
    </row>
    <row r="451" spans="1:9" ht="15">
      <c r="A451" s="386" t="s">
        <v>1067</v>
      </c>
      <c r="B451" s="218">
        <v>136072949</v>
      </c>
      <c r="C451" s="218">
        <v>136072949</v>
      </c>
      <c r="D451" s="218">
        <v>145544458</v>
      </c>
      <c r="E451" s="218">
        <v>145544458</v>
      </c>
      <c r="F451" s="257">
        <v>145544458</v>
      </c>
      <c r="G451" s="257">
        <v>136072949</v>
      </c>
      <c r="H451" s="257">
        <v>145544458</v>
      </c>
      <c r="I451" s="257">
        <v>136072949</v>
      </c>
    </row>
    <row r="452" spans="1:9" ht="15">
      <c r="A452" s="386" t="s">
        <v>1562</v>
      </c>
      <c r="B452" s="218">
        <v>2874445828</v>
      </c>
      <c r="C452" s="218">
        <v>2874445828</v>
      </c>
      <c r="D452" s="218">
        <v>2949569281</v>
      </c>
      <c r="E452" s="218">
        <v>2949569281</v>
      </c>
      <c r="F452" s="257">
        <v>2949569281</v>
      </c>
      <c r="G452" s="257">
        <v>2874445828</v>
      </c>
      <c r="H452" s="257">
        <v>2949569281</v>
      </c>
      <c r="I452" s="257">
        <v>2874445828</v>
      </c>
    </row>
    <row r="453" spans="1:9" ht="15">
      <c r="A453" s="386" t="s">
        <v>58</v>
      </c>
      <c r="B453" s="218">
        <v>2169995148</v>
      </c>
      <c r="C453" s="218">
        <v>2169995148</v>
      </c>
      <c r="D453" s="218">
        <v>2302781745</v>
      </c>
      <c r="E453" s="218">
        <v>2302781745</v>
      </c>
      <c r="F453" s="257">
        <v>2302781745</v>
      </c>
      <c r="G453" s="257">
        <v>2169995148</v>
      </c>
      <c r="H453" s="257">
        <v>2302781745</v>
      </c>
      <c r="I453" s="257">
        <v>2169995148</v>
      </c>
    </row>
    <row r="454" spans="1:9" ht="15">
      <c r="A454" s="386" t="s">
        <v>723</v>
      </c>
      <c r="B454" s="218">
        <v>2049883966</v>
      </c>
      <c r="C454" s="218">
        <v>2049883966</v>
      </c>
      <c r="D454" s="218">
        <v>2151592746</v>
      </c>
      <c r="E454" s="218">
        <v>2151592746</v>
      </c>
      <c r="F454" s="257">
        <v>2151592746</v>
      </c>
      <c r="G454" s="257">
        <v>2049883966</v>
      </c>
      <c r="H454" s="257">
        <v>2151592746</v>
      </c>
      <c r="I454" s="257">
        <v>2049883966</v>
      </c>
    </row>
    <row r="455" spans="1:9" ht="15">
      <c r="A455" s="386" t="s">
        <v>60</v>
      </c>
      <c r="B455" s="218">
        <v>107551354</v>
      </c>
      <c r="C455" s="218">
        <v>107551354</v>
      </c>
      <c r="D455" s="218">
        <v>111227368</v>
      </c>
      <c r="E455" s="218">
        <v>111227368</v>
      </c>
      <c r="F455" s="257">
        <v>111227368</v>
      </c>
      <c r="G455" s="257">
        <v>107551354</v>
      </c>
      <c r="H455" s="257">
        <v>111227368</v>
      </c>
      <c r="I455" s="257">
        <v>107551354</v>
      </c>
    </row>
    <row r="456" spans="1:9" ht="15">
      <c r="A456" s="386" t="s">
        <v>512</v>
      </c>
      <c r="B456" s="218">
        <v>91258547</v>
      </c>
      <c r="C456" s="218">
        <v>91258547</v>
      </c>
      <c r="D456" s="218">
        <v>96134360</v>
      </c>
      <c r="E456" s="218">
        <v>96134360</v>
      </c>
      <c r="F456" s="257">
        <v>96134360</v>
      </c>
      <c r="G456" s="257">
        <v>91258547</v>
      </c>
      <c r="H456" s="257">
        <v>96134360</v>
      </c>
      <c r="I456" s="257">
        <v>91258547</v>
      </c>
    </row>
    <row r="457" spans="1:9" ht="15">
      <c r="A457" s="386" t="s">
        <v>1522</v>
      </c>
      <c r="B457" s="218">
        <v>490441340</v>
      </c>
      <c r="C457" s="218">
        <v>490441340</v>
      </c>
      <c r="D457" s="218">
        <v>512744221</v>
      </c>
      <c r="E457" s="218">
        <v>512744221</v>
      </c>
      <c r="F457" s="257">
        <v>512744221</v>
      </c>
      <c r="G457" s="257">
        <v>490441340</v>
      </c>
      <c r="H457" s="257">
        <v>512744221</v>
      </c>
      <c r="I457" s="257">
        <v>490441340</v>
      </c>
    </row>
    <row r="458" spans="1:9" ht="15">
      <c r="A458" s="386" t="s">
        <v>149</v>
      </c>
      <c r="B458" s="218">
        <v>90133068</v>
      </c>
      <c r="C458" s="218">
        <v>90133068</v>
      </c>
      <c r="D458" s="218">
        <v>92828285</v>
      </c>
      <c r="E458" s="218">
        <v>92828285</v>
      </c>
      <c r="F458" s="257">
        <v>92828285</v>
      </c>
      <c r="G458" s="257">
        <v>90133068</v>
      </c>
      <c r="H458" s="257">
        <v>92828285</v>
      </c>
      <c r="I458" s="257">
        <v>90133068</v>
      </c>
    </row>
    <row r="459" spans="1:9" ht="15">
      <c r="A459" s="386" t="s">
        <v>2509</v>
      </c>
      <c r="B459" s="218">
        <v>68097638</v>
      </c>
      <c r="C459" s="218">
        <v>68097638</v>
      </c>
      <c r="D459" s="218">
        <v>70327874</v>
      </c>
      <c r="E459" s="218">
        <v>70327874</v>
      </c>
      <c r="F459" s="257">
        <v>70327874</v>
      </c>
      <c r="G459" s="257">
        <v>68097638</v>
      </c>
      <c r="H459" s="257">
        <v>70327874</v>
      </c>
      <c r="I459" s="257">
        <v>68097638</v>
      </c>
    </row>
    <row r="460" spans="1:9" ht="15">
      <c r="A460" s="386" t="s">
        <v>2402</v>
      </c>
      <c r="B460" s="218">
        <v>77436112</v>
      </c>
      <c r="C460" s="218">
        <v>77436112</v>
      </c>
      <c r="D460" s="218">
        <v>80941724</v>
      </c>
      <c r="E460" s="218">
        <v>80941724</v>
      </c>
      <c r="F460" s="257">
        <v>80941724</v>
      </c>
      <c r="G460" s="257">
        <v>77436112</v>
      </c>
      <c r="H460" s="257">
        <v>80941724</v>
      </c>
      <c r="I460" s="257">
        <v>77436112</v>
      </c>
    </row>
    <row r="461" spans="1:9" ht="15">
      <c r="A461" s="386" t="s">
        <v>1867</v>
      </c>
      <c r="B461" s="218">
        <v>576753962</v>
      </c>
      <c r="C461" s="218">
        <v>576753962</v>
      </c>
      <c r="D461" s="218">
        <v>594480856</v>
      </c>
      <c r="E461" s="218">
        <v>594480856</v>
      </c>
      <c r="F461" s="257">
        <v>594480856</v>
      </c>
      <c r="G461" s="257">
        <v>576753962</v>
      </c>
      <c r="H461" s="257">
        <v>594480856</v>
      </c>
      <c r="I461" s="257">
        <v>576753962</v>
      </c>
    </row>
    <row r="462" spans="1:9" ht="15">
      <c r="A462" s="386" t="s">
        <v>513</v>
      </c>
      <c r="B462" s="218">
        <v>68993637</v>
      </c>
      <c r="C462" s="218">
        <v>68993637</v>
      </c>
      <c r="D462" s="218">
        <v>72920089</v>
      </c>
      <c r="E462" s="218">
        <v>72920089</v>
      </c>
      <c r="F462" s="257">
        <v>72920089</v>
      </c>
      <c r="G462" s="257">
        <v>68993637</v>
      </c>
      <c r="H462" s="257">
        <v>72920089</v>
      </c>
      <c r="I462" s="257">
        <v>68993637</v>
      </c>
    </row>
    <row r="463" spans="1:9" ht="15">
      <c r="A463" s="386" t="s">
        <v>42</v>
      </c>
      <c r="B463" s="218">
        <v>177067569</v>
      </c>
      <c r="C463" s="218">
        <v>177067569</v>
      </c>
      <c r="D463" s="218">
        <v>183800198</v>
      </c>
      <c r="E463" s="218">
        <v>183800198</v>
      </c>
      <c r="F463" s="257">
        <v>183800198</v>
      </c>
      <c r="G463" s="257">
        <v>177067569</v>
      </c>
      <c r="H463" s="257">
        <v>183800198</v>
      </c>
      <c r="I463" s="257">
        <v>177067569</v>
      </c>
    </row>
    <row r="464" spans="1:9" ht="15">
      <c r="A464" s="386" t="s">
        <v>150</v>
      </c>
      <c r="B464" s="218">
        <v>43112515</v>
      </c>
      <c r="C464" s="218">
        <v>43112515</v>
      </c>
      <c r="D464" s="218">
        <v>44244854</v>
      </c>
      <c r="E464" s="218">
        <v>44244854</v>
      </c>
      <c r="F464" s="257">
        <v>44244854</v>
      </c>
      <c r="G464" s="257">
        <v>43112515</v>
      </c>
      <c r="H464" s="257">
        <v>44244854</v>
      </c>
      <c r="I464" s="257">
        <v>43112515</v>
      </c>
    </row>
    <row r="465" spans="1:9" ht="15">
      <c r="A465" s="386" t="s">
        <v>521</v>
      </c>
      <c r="B465" s="218">
        <v>26522629</v>
      </c>
      <c r="C465" s="218">
        <v>26522629</v>
      </c>
      <c r="D465" s="218">
        <v>28310842</v>
      </c>
      <c r="E465" s="218">
        <v>28310842</v>
      </c>
      <c r="F465" s="257">
        <v>28310842</v>
      </c>
      <c r="G465" s="257">
        <v>26522629</v>
      </c>
      <c r="H465" s="257">
        <v>28310842</v>
      </c>
      <c r="I465" s="257">
        <v>26522629</v>
      </c>
    </row>
    <row r="466" spans="1:9" ht="15">
      <c r="A466" s="386" t="s">
        <v>1563</v>
      </c>
      <c r="B466" s="218">
        <v>542522434</v>
      </c>
      <c r="C466" s="218">
        <v>542522434</v>
      </c>
      <c r="D466" s="218">
        <v>564720499</v>
      </c>
      <c r="E466" s="218">
        <v>564720499</v>
      </c>
      <c r="F466" s="257">
        <v>564720499</v>
      </c>
      <c r="G466" s="257">
        <v>542522434</v>
      </c>
      <c r="H466" s="257">
        <v>564720499</v>
      </c>
      <c r="I466" s="257">
        <v>542522434</v>
      </c>
    </row>
    <row r="467" spans="1:9" ht="15">
      <c r="A467" s="386" t="s">
        <v>522</v>
      </c>
      <c r="B467" s="218">
        <v>71632622</v>
      </c>
      <c r="C467" s="218">
        <v>71632622</v>
      </c>
      <c r="D467" s="218">
        <v>74363125</v>
      </c>
      <c r="E467" s="218">
        <v>74363125</v>
      </c>
      <c r="F467" s="257">
        <v>74363125</v>
      </c>
      <c r="G467" s="257">
        <v>71632622</v>
      </c>
      <c r="H467" s="257">
        <v>74363125</v>
      </c>
      <c r="I467" s="257">
        <v>71632622</v>
      </c>
    </row>
    <row r="468" spans="1:9" ht="15">
      <c r="A468" s="386" t="s">
        <v>1540</v>
      </c>
      <c r="B468" s="218">
        <v>117826421</v>
      </c>
      <c r="C468" s="218">
        <v>117826421</v>
      </c>
      <c r="D468" s="218">
        <v>121455762</v>
      </c>
      <c r="E468" s="218">
        <v>121455762</v>
      </c>
      <c r="F468" s="257">
        <v>121455762</v>
      </c>
      <c r="G468" s="257">
        <v>117826421</v>
      </c>
      <c r="H468" s="257">
        <v>121455762</v>
      </c>
      <c r="I468" s="257">
        <v>117826421</v>
      </c>
    </row>
    <row r="469" spans="1:9" ht="15">
      <c r="A469" s="386" t="s">
        <v>523</v>
      </c>
      <c r="B469" s="218">
        <v>25111860</v>
      </c>
      <c r="C469" s="218">
        <v>25111860</v>
      </c>
      <c r="D469" s="218">
        <v>26365435</v>
      </c>
      <c r="E469" s="218">
        <v>26365435</v>
      </c>
      <c r="F469" s="257">
        <v>26365435</v>
      </c>
      <c r="G469" s="257">
        <v>25111860</v>
      </c>
      <c r="H469" s="257">
        <v>26365435</v>
      </c>
      <c r="I469" s="257">
        <v>25111860</v>
      </c>
    </row>
    <row r="470" spans="1:9" ht="15">
      <c r="A470" s="386" t="s">
        <v>1564</v>
      </c>
      <c r="B470" s="218">
        <v>79648578</v>
      </c>
      <c r="C470" s="218">
        <v>79648578</v>
      </c>
      <c r="D470" s="218">
        <v>81568351</v>
      </c>
      <c r="E470" s="218">
        <v>81568351</v>
      </c>
      <c r="F470" s="257">
        <v>81567056</v>
      </c>
      <c r="G470" s="257">
        <v>79647283</v>
      </c>
      <c r="H470" s="257">
        <v>81567056</v>
      </c>
      <c r="I470" s="257">
        <v>79647283</v>
      </c>
    </row>
    <row r="471" spans="1:9" ht="15">
      <c r="A471" s="386" t="s">
        <v>1565</v>
      </c>
      <c r="B471" s="218">
        <v>1470487855</v>
      </c>
      <c r="C471" s="218">
        <v>1470487855</v>
      </c>
      <c r="D471" s="218">
        <v>1500081574</v>
      </c>
      <c r="E471" s="218">
        <v>1500081574</v>
      </c>
      <c r="F471" s="257">
        <v>1500081574</v>
      </c>
      <c r="G471" s="257">
        <v>1470487855</v>
      </c>
      <c r="H471" s="257">
        <v>1500081574</v>
      </c>
      <c r="I471" s="257">
        <v>1470487855</v>
      </c>
    </row>
    <row r="472" spans="1:9" ht="15">
      <c r="A472" s="386" t="s">
        <v>1241</v>
      </c>
      <c r="B472" s="218">
        <v>93603584</v>
      </c>
      <c r="C472" s="218">
        <v>93603584</v>
      </c>
      <c r="D472" s="218">
        <v>96389644</v>
      </c>
      <c r="E472" s="218">
        <v>96389644</v>
      </c>
      <c r="F472" s="257">
        <v>96389644</v>
      </c>
      <c r="G472" s="257">
        <v>93603584</v>
      </c>
      <c r="H472" s="257">
        <v>96389644</v>
      </c>
      <c r="I472" s="257">
        <v>93603584</v>
      </c>
    </row>
    <row r="473" spans="1:9" ht="15">
      <c r="A473" s="386" t="s">
        <v>1843</v>
      </c>
      <c r="B473" s="218">
        <v>114454963</v>
      </c>
      <c r="C473" s="218">
        <v>114454963</v>
      </c>
      <c r="D473" s="218">
        <v>118014409</v>
      </c>
      <c r="E473" s="218">
        <v>118014409</v>
      </c>
      <c r="F473" s="257">
        <v>118014409</v>
      </c>
      <c r="G473" s="257">
        <v>114454963</v>
      </c>
      <c r="H473" s="257">
        <v>118014409</v>
      </c>
      <c r="I473" s="257">
        <v>114454963</v>
      </c>
    </row>
    <row r="474" spans="1:9" ht="15">
      <c r="A474" s="386" t="s">
        <v>1242</v>
      </c>
      <c r="B474" s="218">
        <v>1076979217</v>
      </c>
      <c r="C474" s="218">
        <v>1076979217</v>
      </c>
      <c r="D474" s="218">
        <v>1079710620</v>
      </c>
      <c r="E474" s="218">
        <v>1079710620</v>
      </c>
      <c r="F474" s="257">
        <v>1077456775</v>
      </c>
      <c r="G474" s="257">
        <v>1074725372</v>
      </c>
      <c r="H474" s="257">
        <v>1077456775</v>
      </c>
      <c r="I474" s="257">
        <v>1074725372</v>
      </c>
    </row>
    <row r="475" spans="1:9" ht="15">
      <c r="A475" s="386" t="s">
        <v>1243</v>
      </c>
      <c r="B475" s="218">
        <v>59689518</v>
      </c>
      <c r="C475" s="218">
        <v>59689518</v>
      </c>
      <c r="D475" s="218">
        <v>60589268</v>
      </c>
      <c r="E475" s="218">
        <v>60589268</v>
      </c>
      <c r="F475" s="257">
        <v>60589268</v>
      </c>
      <c r="G475" s="257">
        <v>59689518</v>
      </c>
      <c r="H475" s="257">
        <v>60589268</v>
      </c>
      <c r="I475" s="257">
        <v>59689518</v>
      </c>
    </row>
    <row r="476" spans="1:9" ht="15">
      <c r="A476" s="386" t="s">
        <v>1244</v>
      </c>
      <c r="B476" s="218">
        <v>4615828672</v>
      </c>
      <c r="C476" s="218">
        <v>4615828672</v>
      </c>
      <c r="D476" s="218">
        <v>4725575210</v>
      </c>
      <c r="E476" s="218">
        <v>4725575210</v>
      </c>
      <c r="F476" s="257">
        <v>4725575210</v>
      </c>
      <c r="G476" s="257">
        <v>4615828672</v>
      </c>
      <c r="H476" s="257">
        <v>4725575210</v>
      </c>
      <c r="I476" s="257">
        <v>4615828672</v>
      </c>
    </row>
    <row r="477" spans="1:9" ht="15">
      <c r="A477" s="386" t="s">
        <v>1772</v>
      </c>
      <c r="B477" s="218">
        <v>177356150</v>
      </c>
      <c r="C477" s="218">
        <v>177356150</v>
      </c>
      <c r="D477" s="218">
        <v>181403000</v>
      </c>
      <c r="E477" s="218">
        <v>181403000</v>
      </c>
      <c r="F477" s="257">
        <v>181403000</v>
      </c>
      <c r="G477" s="257">
        <v>177356150</v>
      </c>
      <c r="H477" s="257">
        <v>181403000</v>
      </c>
      <c r="I477" s="257">
        <v>177356150</v>
      </c>
    </row>
    <row r="478" spans="1:9" ht="15">
      <c r="A478" s="386" t="s">
        <v>1516</v>
      </c>
      <c r="B478" s="218">
        <v>202623411</v>
      </c>
      <c r="C478" s="218">
        <v>202623411</v>
      </c>
      <c r="D478" s="218">
        <v>208094307</v>
      </c>
      <c r="E478" s="218">
        <v>208094307</v>
      </c>
      <c r="F478" s="257">
        <v>208094307</v>
      </c>
      <c r="G478" s="257">
        <v>202623411</v>
      </c>
      <c r="H478" s="257">
        <v>208094307</v>
      </c>
      <c r="I478" s="257">
        <v>202623411</v>
      </c>
    </row>
    <row r="479" spans="1:9" ht="15">
      <c r="A479" s="386" t="s">
        <v>180</v>
      </c>
      <c r="B479" s="218">
        <v>1176028649</v>
      </c>
      <c r="C479" s="218">
        <v>1176028649</v>
      </c>
      <c r="D479" s="218">
        <v>1222665585</v>
      </c>
      <c r="E479" s="218">
        <v>1222665585</v>
      </c>
      <c r="F479" s="257">
        <v>1222665585</v>
      </c>
      <c r="G479" s="257">
        <v>1176028649</v>
      </c>
      <c r="H479" s="257">
        <v>1222665585</v>
      </c>
      <c r="I479" s="257">
        <v>1176028649</v>
      </c>
    </row>
    <row r="480" spans="1:9" ht="15">
      <c r="A480" s="386" t="s">
        <v>1497</v>
      </c>
      <c r="B480" s="218">
        <v>65737226</v>
      </c>
      <c r="C480" s="218">
        <v>65737226</v>
      </c>
      <c r="D480" s="218">
        <v>70116951</v>
      </c>
      <c r="E480" s="218">
        <v>70116951</v>
      </c>
      <c r="F480" s="257">
        <v>70116951</v>
      </c>
      <c r="G480" s="257">
        <v>65737226</v>
      </c>
      <c r="H480" s="257">
        <v>70116951</v>
      </c>
      <c r="I480" s="257">
        <v>65737226</v>
      </c>
    </row>
    <row r="481" spans="1:9" ht="15">
      <c r="A481" s="386" t="s">
        <v>181</v>
      </c>
      <c r="B481" s="218">
        <v>85017912</v>
      </c>
      <c r="C481" s="218">
        <v>85017912</v>
      </c>
      <c r="D481" s="218">
        <v>88997971</v>
      </c>
      <c r="E481" s="218">
        <v>88997971</v>
      </c>
      <c r="F481" s="257">
        <v>88997971</v>
      </c>
      <c r="G481" s="257">
        <v>85017912</v>
      </c>
      <c r="H481" s="257">
        <v>88997971</v>
      </c>
      <c r="I481" s="257">
        <v>85017912</v>
      </c>
    </row>
    <row r="482" spans="1:9" ht="15">
      <c r="A482" s="386" t="s">
        <v>1943</v>
      </c>
      <c r="B482" s="218">
        <v>49338271</v>
      </c>
      <c r="C482" s="218">
        <v>49338271</v>
      </c>
      <c r="D482" s="218">
        <v>52575635</v>
      </c>
      <c r="E482" s="218">
        <v>52575635</v>
      </c>
      <c r="F482" s="257">
        <v>52575635</v>
      </c>
      <c r="G482" s="257">
        <v>49338271</v>
      </c>
      <c r="H482" s="257">
        <v>52575635</v>
      </c>
      <c r="I482" s="257">
        <v>49338271</v>
      </c>
    </row>
    <row r="483" spans="1:9" ht="15">
      <c r="A483" s="386" t="s">
        <v>182</v>
      </c>
      <c r="B483" s="218">
        <v>137574148</v>
      </c>
      <c r="C483" s="218">
        <v>137574148</v>
      </c>
      <c r="D483" s="218">
        <v>143939027</v>
      </c>
      <c r="E483" s="218">
        <v>143939027</v>
      </c>
      <c r="F483" s="257">
        <v>143939027</v>
      </c>
      <c r="G483" s="257">
        <v>137574148</v>
      </c>
      <c r="H483" s="257">
        <v>143939027</v>
      </c>
      <c r="I483" s="257">
        <v>137574148</v>
      </c>
    </row>
    <row r="484" spans="1:9" ht="15">
      <c r="A484" s="386" t="s">
        <v>183</v>
      </c>
      <c r="B484" s="218">
        <v>65827690</v>
      </c>
      <c r="C484" s="218">
        <v>65827690</v>
      </c>
      <c r="D484" s="218">
        <v>67770192</v>
      </c>
      <c r="E484" s="218">
        <v>67770192</v>
      </c>
      <c r="F484" s="257">
        <v>67770192</v>
      </c>
      <c r="G484" s="257">
        <v>65827690</v>
      </c>
      <c r="H484" s="257">
        <v>67770192</v>
      </c>
      <c r="I484" s="257">
        <v>65827690</v>
      </c>
    </row>
    <row r="485" spans="1:9" ht="15">
      <c r="A485" s="386" t="s">
        <v>1498</v>
      </c>
      <c r="B485" s="218">
        <v>96263546</v>
      </c>
      <c r="C485" s="218">
        <v>96263546</v>
      </c>
      <c r="D485" s="218">
        <v>98979131</v>
      </c>
      <c r="E485" s="218">
        <v>98979131</v>
      </c>
      <c r="F485" s="257">
        <v>98979131</v>
      </c>
      <c r="G485" s="257">
        <v>96263546</v>
      </c>
      <c r="H485" s="257">
        <v>98979131</v>
      </c>
      <c r="I485" s="257">
        <v>96263546</v>
      </c>
    </row>
    <row r="486" spans="1:9" ht="15">
      <c r="A486" s="386" t="s">
        <v>1421</v>
      </c>
      <c r="B486" s="218">
        <v>403040070</v>
      </c>
      <c r="C486" s="218">
        <v>403040070</v>
      </c>
      <c r="D486" s="218">
        <v>420358440</v>
      </c>
      <c r="E486" s="218">
        <v>420358440</v>
      </c>
      <c r="F486" s="257">
        <v>420358440</v>
      </c>
      <c r="G486" s="257">
        <v>403040070</v>
      </c>
      <c r="H486" s="257">
        <v>420358440</v>
      </c>
      <c r="I486" s="257">
        <v>403040070</v>
      </c>
    </row>
    <row r="487" spans="1:9" ht="15">
      <c r="A487" s="386" t="s">
        <v>1261</v>
      </c>
      <c r="B487" s="218">
        <v>249539339</v>
      </c>
      <c r="C487" s="218">
        <v>249539339</v>
      </c>
      <c r="D487" s="218">
        <v>259445239</v>
      </c>
      <c r="E487" s="218">
        <v>259445239</v>
      </c>
      <c r="F487" s="257">
        <v>259445239</v>
      </c>
      <c r="G487" s="257">
        <v>249539339</v>
      </c>
      <c r="H487" s="257">
        <v>259445239</v>
      </c>
      <c r="I487" s="257">
        <v>249539339</v>
      </c>
    </row>
    <row r="488" spans="1:9" ht="15">
      <c r="A488" s="386" t="s">
        <v>978</v>
      </c>
      <c r="B488" s="218">
        <v>386411254</v>
      </c>
      <c r="C488" s="218">
        <v>386411254</v>
      </c>
      <c r="D488" s="218">
        <v>392738574</v>
      </c>
      <c r="E488" s="218">
        <v>392738574</v>
      </c>
      <c r="F488" s="257">
        <v>392738574</v>
      </c>
      <c r="G488" s="257">
        <v>386411254</v>
      </c>
      <c r="H488" s="257">
        <v>392738574</v>
      </c>
      <c r="I488" s="257">
        <v>386411254</v>
      </c>
    </row>
    <row r="489" spans="1:9" ht="15">
      <c r="A489" s="386" t="s">
        <v>979</v>
      </c>
      <c r="B489" s="218">
        <v>145915606</v>
      </c>
      <c r="C489" s="218">
        <v>145915606</v>
      </c>
      <c r="D489" s="218">
        <v>151562676</v>
      </c>
      <c r="E489" s="218">
        <v>151562676</v>
      </c>
      <c r="F489" s="257">
        <v>151562676</v>
      </c>
      <c r="G489" s="257">
        <v>145915606</v>
      </c>
      <c r="H489" s="257">
        <v>151562676</v>
      </c>
      <c r="I489" s="257">
        <v>145915606</v>
      </c>
    </row>
    <row r="490" spans="1:9" ht="15">
      <c r="A490" s="386" t="s">
        <v>899</v>
      </c>
      <c r="B490" s="218">
        <v>97881480</v>
      </c>
      <c r="C490" s="218">
        <v>97881480</v>
      </c>
      <c r="D490" s="218">
        <v>103002340</v>
      </c>
      <c r="E490" s="218">
        <v>103002340</v>
      </c>
      <c r="F490" s="257">
        <v>103002340</v>
      </c>
      <c r="G490" s="257">
        <v>97881480</v>
      </c>
      <c r="H490" s="257">
        <v>103002340</v>
      </c>
      <c r="I490" s="257">
        <v>97881480</v>
      </c>
    </row>
    <row r="491" spans="1:9" ht="15">
      <c r="A491" s="386" t="s">
        <v>1797</v>
      </c>
      <c r="B491" s="218">
        <v>1807182389</v>
      </c>
      <c r="C491" s="218">
        <v>1807182389</v>
      </c>
      <c r="D491" s="218">
        <v>1844449048</v>
      </c>
      <c r="E491" s="218">
        <v>1844449048</v>
      </c>
      <c r="F491" s="257">
        <v>1809388560</v>
      </c>
      <c r="G491" s="257">
        <v>1772121901</v>
      </c>
      <c r="H491" s="257">
        <v>1809388560</v>
      </c>
      <c r="I491" s="257">
        <v>1772121901</v>
      </c>
    </row>
    <row r="492" spans="1:9" ht="15">
      <c r="A492" s="386" t="s">
        <v>2677</v>
      </c>
      <c r="B492" s="218">
        <v>385950913</v>
      </c>
      <c r="C492" s="218">
        <v>385950913</v>
      </c>
      <c r="D492" s="218">
        <v>394410522</v>
      </c>
      <c r="E492" s="218">
        <v>394410522</v>
      </c>
      <c r="F492" s="257">
        <v>385628020</v>
      </c>
      <c r="G492" s="257">
        <v>377168411</v>
      </c>
      <c r="H492" s="257">
        <v>385628020</v>
      </c>
      <c r="I492" s="257">
        <v>377168411</v>
      </c>
    </row>
    <row r="493" spans="1:9" ht="15">
      <c r="A493" s="386" t="s">
        <v>2678</v>
      </c>
      <c r="B493" s="218">
        <v>582076615</v>
      </c>
      <c r="C493" s="218">
        <v>674620215</v>
      </c>
      <c r="D493" s="218">
        <v>587413792</v>
      </c>
      <c r="E493" s="218">
        <v>679957392</v>
      </c>
      <c r="F493" s="257">
        <v>581402657</v>
      </c>
      <c r="G493" s="257">
        <v>576065480</v>
      </c>
      <c r="H493" s="257">
        <v>673946257</v>
      </c>
      <c r="I493" s="257">
        <v>668609080</v>
      </c>
    </row>
    <row r="494" spans="1:9" ht="15">
      <c r="A494" s="386" t="s">
        <v>1331</v>
      </c>
      <c r="B494" s="218">
        <v>195378473</v>
      </c>
      <c r="C494" s="218">
        <v>195378473</v>
      </c>
      <c r="D494" s="218">
        <v>197471499</v>
      </c>
      <c r="E494" s="218">
        <v>197471499</v>
      </c>
      <c r="F494" s="257">
        <v>197471499</v>
      </c>
      <c r="G494" s="257">
        <v>195378473</v>
      </c>
      <c r="H494" s="257">
        <v>197471499</v>
      </c>
      <c r="I494" s="257">
        <v>195378473</v>
      </c>
    </row>
    <row r="495" spans="1:9" ht="15">
      <c r="A495" s="386" t="s">
        <v>2177</v>
      </c>
      <c r="B495" s="218">
        <v>102985967</v>
      </c>
      <c r="C495" s="218">
        <v>102985967</v>
      </c>
      <c r="D495" s="218">
        <v>103622881</v>
      </c>
      <c r="E495" s="218">
        <v>103622881</v>
      </c>
      <c r="F495" s="257">
        <v>103622881</v>
      </c>
      <c r="G495" s="257">
        <v>102985967</v>
      </c>
      <c r="H495" s="257">
        <v>103622881</v>
      </c>
      <c r="I495" s="257">
        <v>102985967</v>
      </c>
    </row>
    <row r="496" spans="1:9" ht="15">
      <c r="A496" s="386" t="s">
        <v>1111</v>
      </c>
      <c r="B496" s="218">
        <v>61927291</v>
      </c>
      <c r="C496" s="218">
        <v>61927291</v>
      </c>
      <c r="D496" s="218">
        <v>62449796</v>
      </c>
      <c r="E496" s="218">
        <v>62449796</v>
      </c>
      <c r="F496" s="257">
        <v>62197754</v>
      </c>
      <c r="G496" s="257">
        <v>61675249</v>
      </c>
      <c r="H496" s="257">
        <v>62197754</v>
      </c>
      <c r="I496" s="257">
        <v>61675249</v>
      </c>
    </row>
    <row r="497" spans="1:9" ht="15">
      <c r="A497" s="386" t="s">
        <v>1886</v>
      </c>
      <c r="B497" s="218">
        <v>364635981</v>
      </c>
      <c r="C497" s="218">
        <v>364635981</v>
      </c>
      <c r="D497" s="218">
        <v>380189742</v>
      </c>
      <c r="E497" s="218">
        <v>380189742</v>
      </c>
      <c r="F497" s="257">
        <v>380189742</v>
      </c>
      <c r="G497" s="257">
        <v>364635981</v>
      </c>
      <c r="H497" s="257">
        <v>380189742</v>
      </c>
      <c r="I497" s="257">
        <v>364635981</v>
      </c>
    </row>
    <row r="498" spans="1:9" ht="15">
      <c r="A498" s="386" t="s">
        <v>1112</v>
      </c>
      <c r="B498" s="218">
        <v>81521195</v>
      </c>
      <c r="C498" s="218">
        <v>81521195</v>
      </c>
      <c r="D498" s="218">
        <v>86802979</v>
      </c>
      <c r="E498" s="218">
        <v>86802979</v>
      </c>
      <c r="F498" s="257">
        <v>86802979</v>
      </c>
      <c r="G498" s="257">
        <v>81521195</v>
      </c>
      <c r="H498" s="257">
        <v>86802979</v>
      </c>
      <c r="I498" s="257">
        <v>81521195</v>
      </c>
    </row>
    <row r="499" spans="1:9" ht="15">
      <c r="A499" s="386" t="s">
        <v>1437</v>
      </c>
      <c r="B499" s="218">
        <v>384971268</v>
      </c>
      <c r="C499" s="218">
        <v>384971268</v>
      </c>
      <c r="D499" s="218">
        <v>399415525</v>
      </c>
      <c r="E499" s="218">
        <v>399415525</v>
      </c>
      <c r="F499" s="257">
        <v>399415525</v>
      </c>
      <c r="G499" s="257">
        <v>384971268</v>
      </c>
      <c r="H499" s="257">
        <v>399415525</v>
      </c>
      <c r="I499" s="257">
        <v>384971268</v>
      </c>
    </row>
    <row r="500" spans="1:9" ht="15">
      <c r="A500" s="386" t="s">
        <v>1058</v>
      </c>
      <c r="B500" s="218">
        <v>1771083011</v>
      </c>
      <c r="C500" s="218">
        <v>1771083011</v>
      </c>
      <c r="D500" s="218">
        <v>1825385833</v>
      </c>
      <c r="E500" s="218">
        <v>1825385833</v>
      </c>
      <c r="F500" s="257">
        <v>1825385833</v>
      </c>
      <c r="G500" s="257">
        <v>1771083011</v>
      </c>
      <c r="H500" s="257">
        <v>1825385833</v>
      </c>
      <c r="I500" s="257">
        <v>1771083011</v>
      </c>
    </row>
    <row r="501" spans="1:9" ht="15">
      <c r="A501" s="386" t="s">
        <v>1944</v>
      </c>
      <c r="B501" s="218">
        <v>200763167</v>
      </c>
      <c r="C501" s="218">
        <v>200763167</v>
      </c>
      <c r="D501" s="218">
        <v>211096354</v>
      </c>
      <c r="E501" s="218">
        <v>211096354</v>
      </c>
      <c r="F501" s="257">
        <v>211096354</v>
      </c>
      <c r="G501" s="257">
        <v>200763167</v>
      </c>
      <c r="H501" s="257">
        <v>211096354</v>
      </c>
      <c r="I501" s="257">
        <v>200763167</v>
      </c>
    </row>
    <row r="502" spans="1:9" ht="15">
      <c r="A502" s="386" t="s">
        <v>1584</v>
      </c>
      <c r="B502" s="218">
        <v>656884296</v>
      </c>
      <c r="C502" s="218">
        <v>656884296</v>
      </c>
      <c r="D502" s="218">
        <v>686143383</v>
      </c>
      <c r="E502" s="218">
        <v>686143383</v>
      </c>
      <c r="F502" s="257">
        <v>686143383</v>
      </c>
      <c r="G502" s="257">
        <v>656884296</v>
      </c>
      <c r="H502" s="257">
        <v>686143383</v>
      </c>
      <c r="I502" s="257">
        <v>656884296</v>
      </c>
    </row>
    <row r="503" spans="1:9" ht="15">
      <c r="A503" s="386" t="s">
        <v>245</v>
      </c>
      <c r="B503" s="218">
        <v>99365515</v>
      </c>
      <c r="C503" s="218">
        <v>99365515</v>
      </c>
      <c r="D503" s="218">
        <v>106142102</v>
      </c>
      <c r="E503" s="218">
        <v>106142102</v>
      </c>
      <c r="F503" s="257">
        <v>106142102</v>
      </c>
      <c r="G503" s="257">
        <v>99365515</v>
      </c>
      <c r="H503" s="257">
        <v>106142102</v>
      </c>
      <c r="I503" s="257">
        <v>99365515</v>
      </c>
    </row>
    <row r="504" spans="1:9" ht="15">
      <c r="A504" s="386" t="s">
        <v>1059</v>
      </c>
      <c r="B504" s="218">
        <v>77843677</v>
      </c>
      <c r="C504" s="218">
        <v>77843677</v>
      </c>
      <c r="D504" s="218">
        <v>82672153</v>
      </c>
      <c r="E504" s="218">
        <v>82672153</v>
      </c>
      <c r="F504" s="257">
        <v>82672153</v>
      </c>
      <c r="G504" s="257">
        <v>77843677</v>
      </c>
      <c r="H504" s="257">
        <v>82672153</v>
      </c>
      <c r="I504" s="257">
        <v>77843677</v>
      </c>
    </row>
    <row r="505" spans="1:9" ht="15">
      <c r="A505" s="386" t="s">
        <v>875</v>
      </c>
      <c r="B505" s="218">
        <v>126870469</v>
      </c>
      <c r="C505" s="218">
        <v>126870469</v>
      </c>
      <c r="D505" s="218">
        <v>133634255</v>
      </c>
      <c r="E505" s="218">
        <v>133634255</v>
      </c>
      <c r="F505" s="257">
        <v>133634255</v>
      </c>
      <c r="G505" s="257">
        <v>126870469</v>
      </c>
      <c r="H505" s="257">
        <v>133634255</v>
      </c>
      <c r="I505" s="257">
        <v>126870469</v>
      </c>
    </row>
    <row r="506" spans="1:9" ht="15">
      <c r="A506" s="386" t="s">
        <v>1844</v>
      </c>
      <c r="B506" s="218">
        <v>13701311</v>
      </c>
      <c r="C506" s="218">
        <v>13701311</v>
      </c>
      <c r="D506" s="218">
        <v>14785921</v>
      </c>
      <c r="E506" s="218">
        <v>14785921</v>
      </c>
      <c r="F506" s="257">
        <v>14785921</v>
      </c>
      <c r="G506" s="257">
        <v>13701311</v>
      </c>
      <c r="H506" s="257">
        <v>14785921</v>
      </c>
      <c r="I506" s="257">
        <v>13701311</v>
      </c>
    </row>
    <row r="507" spans="1:9" ht="15">
      <c r="A507" s="386" t="s">
        <v>1060</v>
      </c>
      <c r="B507" s="218">
        <v>728108718</v>
      </c>
      <c r="C507" s="218">
        <v>728108718</v>
      </c>
      <c r="D507" s="218">
        <v>760839788</v>
      </c>
      <c r="E507" s="218">
        <v>760839788</v>
      </c>
      <c r="F507" s="257">
        <v>747842618</v>
      </c>
      <c r="G507" s="257">
        <v>715111548</v>
      </c>
      <c r="H507" s="257">
        <v>747842618</v>
      </c>
      <c r="I507" s="257">
        <v>715111548</v>
      </c>
    </row>
    <row r="508" spans="1:9" ht="15">
      <c r="A508" s="386" t="s">
        <v>2140</v>
      </c>
      <c r="B508" s="218">
        <v>133027821</v>
      </c>
      <c r="C508" s="218">
        <v>133027821</v>
      </c>
      <c r="D508" s="218">
        <v>144779111</v>
      </c>
      <c r="E508" s="218">
        <v>144779111</v>
      </c>
      <c r="F508" s="257">
        <v>144456881</v>
      </c>
      <c r="G508" s="257">
        <v>132705591</v>
      </c>
      <c r="H508" s="257">
        <v>144456881</v>
      </c>
      <c r="I508" s="257">
        <v>132705591</v>
      </c>
    </row>
    <row r="509" spans="1:9" ht="15">
      <c r="A509" s="386" t="s">
        <v>2141</v>
      </c>
      <c r="B509" s="218">
        <v>920551318</v>
      </c>
      <c r="C509" s="218">
        <v>1330643428</v>
      </c>
      <c r="D509" s="218">
        <v>926219808</v>
      </c>
      <c r="E509" s="218">
        <v>1336311918</v>
      </c>
      <c r="F509" s="257">
        <v>922822623</v>
      </c>
      <c r="G509" s="257">
        <v>917154133</v>
      </c>
      <c r="H509" s="257">
        <v>1332914733</v>
      </c>
      <c r="I509" s="257">
        <v>1327246243</v>
      </c>
    </row>
    <row r="510" spans="1:9" ht="15">
      <c r="A510" s="386" t="s">
        <v>1259</v>
      </c>
      <c r="B510" s="218">
        <v>49134049</v>
      </c>
      <c r="C510" s="218">
        <v>49134049</v>
      </c>
      <c r="D510" s="218">
        <v>49296219</v>
      </c>
      <c r="E510" s="218">
        <v>49296219</v>
      </c>
      <c r="F510" s="257">
        <v>49191109</v>
      </c>
      <c r="G510" s="257">
        <v>49028939</v>
      </c>
      <c r="H510" s="257">
        <v>49191109</v>
      </c>
      <c r="I510" s="257">
        <v>49028939</v>
      </c>
    </row>
    <row r="511" spans="1:9" ht="15">
      <c r="A511" s="386" t="s">
        <v>1260</v>
      </c>
      <c r="B511" s="218">
        <v>1384172775</v>
      </c>
      <c r="C511" s="218">
        <v>1384172775</v>
      </c>
      <c r="D511" s="218">
        <v>1387354815</v>
      </c>
      <c r="E511" s="218">
        <v>1387354815</v>
      </c>
      <c r="F511" s="257">
        <v>1387354815</v>
      </c>
      <c r="G511" s="257">
        <v>1384172775</v>
      </c>
      <c r="H511" s="257">
        <v>1387354815</v>
      </c>
      <c r="I511" s="257">
        <v>1384172775</v>
      </c>
    </row>
    <row r="512" spans="1:9" ht="15">
      <c r="A512" s="386" t="s">
        <v>923</v>
      </c>
      <c r="B512" s="218">
        <v>165890986</v>
      </c>
      <c r="C512" s="218">
        <v>355227586</v>
      </c>
      <c r="D512" s="218">
        <v>168055056</v>
      </c>
      <c r="E512" s="218">
        <v>357391656</v>
      </c>
      <c r="F512" s="257">
        <v>168055056</v>
      </c>
      <c r="G512" s="257">
        <v>165890986</v>
      </c>
      <c r="H512" s="257">
        <v>357391656</v>
      </c>
      <c r="I512" s="257">
        <v>355227586</v>
      </c>
    </row>
    <row r="513" spans="1:9" ht="15">
      <c r="A513" s="386" t="s">
        <v>924</v>
      </c>
      <c r="B513" s="218">
        <v>1213746187</v>
      </c>
      <c r="C513" s="218">
        <v>1213746187</v>
      </c>
      <c r="D513" s="218">
        <v>1224402947</v>
      </c>
      <c r="E513" s="218">
        <v>1224402947</v>
      </c>
      <c r="F513" s="257">
        <v>1224402947</v>
      </c>
      <c r="G513" s="257">
        <v>1213746187</v>
      </c>
      <c r="H513" s="257">
        <v>1224402947</v>
      </c>
      <c r="I513" s="257">
        <v>1213746187</v>
      </c>
    </row>
    <row r="514" spans="1:9" ht="15">
      <c r="A514" s="386" t="s">
        <v>925</v>
      </c>
      <c r="B514" s="218">
        <v>376939835</v>
      </c>
      <c r="C514" s="218">
        <v>376939835</v>
      </c>
      <c r="D514" s="218">
        <v>381373905</v>
      </c>
      <c r="E514" s="218">
        <v>381373905</v>
      </c>
      <c r="F514" s="257">
        <v>381373905</v>
      </c>
      <c r="G514" s="257">
        <v>376939835</v>
      </c>
      <c r="H514" s="257">
        <v>381373905</v>
      </c>
      <c r="I514" s="257">
        <v>376939835</v>
      </c>
    </row>
    <row r="515" spans="1:9" ht="15">
      <c r="A515" s="386" t="s">
        <v>926</v>
      </c>
      <c r="B515" s="218">
        <v>496243679</v>
      </c>
      <c r="C515" s="218">
        <v>599017979</v>
      </c>
      <c r="D515" s="218">
        <v>512307825</v>
      </c>
      <c r="E515" s="218">
        <v>615082125</v>
      </c>
      <c r="F515" s="257">
        <v>512307825</v>
      </c>
      <c r="G515" s="257">
        <v>496243679</v>
      </c>
      <c r="H515" s="257">
        <v>615082125</v>
      </c>
      <c r="I515" s="257">
        <v>599017979</v>
      </c>
    </row>
    <row r="516" spans="1:9" ht="15">
      <c r="A516" s="386" t="s">
        <v>2577</v>
      </c>
      <c r="B516" s="218">
        <v>213678017</v>
      </c>
      <c r="C516" s="218">
        <v>517684017</v>
      </c>
      <c r="D516" s="218">
        <v>220629125</v>
      </c>
      <c r="E516" s="218">
        <v>524635125</v>
      </c>
      <c r="F516" s="257">
        <v>220629125</v>
      </c>
      <c r="G516" s="257">
        <v>213678017</v>
      </c>
      <c r="H516" s="257">
        <v>524635125</v>
      </c>
      <c r="I516" s="257">
        <v>517684017</v>
      </c>
    </row>
    <row r="517" spans="1:9" ht="15">
      <c r="A517" s="386" t="s">
        <v>502</v>
      </c>
      <c r="B517" s="218">
        <v>710814114</v>
      </c>
      <c r="C517" s="218">
        <v>710814114</v>
      </c>
      <c r="D517" s="218">
        <v>720526706</v>
      </c>
      <c r="E517" s="218">
        <v>720526706</v>
      </c>
      <c r="F517" s="257">
        <v>706891534</v>
      </c>
      <c r="G517" s="257">
        <v>697178942</v>
      </c>
      <c r="H517" s="257">
        <v>706891534</v>
      </c>
      <c r="I517" s="257">
        <v>697178942</v>
      </c>
    </row>
    <row r="518" spans="1:9" ht="15">
      <c r="A518" s="386" t="s">
        <v>2646</v>
      </c>
      <c r="B518" s="218">
        <v>246735032</v>
      </c>
      <c r="C518" s="218">
        <v>246735032</v>
      </c>
      <c r="D518" s="218">
        <v>252818262</v>
      </c>
      <c r="E518" s="218">
        <v>252818262</v>
      </c>
      <c r="F518" s="257">
        <v>246554395</v>
      </c>
      <c r="G518" s="257">
        <v>240471165</v>
      </c>
      <c r="H518" s="257">
        <v>246554395</v>
      </c>
      <c r="I518" s="257">
        <v>240471165</v>
      </c>
    </row>
    <row r="519" spans="1:9" ht="15">
      <c r="A519" s="386" t="s">
        <v>883</v>
      </c>
      <c r="B519" s="218">
        <v>292364827</v>
      </c>
      <c r="C519" s="218">
        <v>292364827</v>
      </c>
      <c r="D519" s="218">
        <v>310403367</v>
      </c>
      <c r="E519" s="218">
        <v>310403367</v>
      </c>
      <c r="F519" s="257">
        <v>310403367</v>
      </c>
      <c r="G519" s="257">
        <v>292364827</v>
      </c>
      <c r="H519" s="257">
        <v>310403367</v>
      </c>
      <c r="I519" s="257">
        <v>292364827</v>
      </c>
    </row>
    <row r="520" spans="1:9" ht="15">
      <c r="A520" s="386" t="s">
        <v>44</v>
      </c>
      <c r="B520" s="218">
        <v>900985308</v>
      </c>
      <c r="C520" s="218">
        <v>900985308</v>
      </c>
      <c r="D520" s="218">
        <v>933816318</v>
      </c>
      <c r="E520" s="218">
        <v>933816318</v>
      </c>
      <c r="F520" s="257">
        <v>933816318</v>
      </c>
      <c r="G520" s="257">
        <v>900985308</v>
      </c>
      <c r="H520" s="257">
        <v>933816318</v>
      </c>
      <c r="I520" s="257">
        <v>900985308</v>
      </c>
    </row>
    <row r="521" spans="1:9" ht="15">
      <c r="A521" s="386" t="s">
        <v>54</v>
      </c>
      <c r="B521" s="218">
        <v>253523163</v>
      </c>
      <c r="C521" s="218">
        <v>253523163</v>
      </c>
      <c r="D521" s="218">
        <v>266635444</v>
      </c>
      <c r="E521" s="218">
        <v>266635444</v>
      </c>
      <c r="F521" s="257">
        <v>266635444</v>
      </c>
      <c r="G521" s="257">
        <v>253523163</v>
      </c>
      <c r="H521" s="257">
        <v>266635444</v>
      </c>
      <c r="I521" s="257">
        <v>253523163</v>
      </c>
    </row>
    <row r="522" spans="1:9" ht="15">
      <c r="A522" s="386" t="s">
        <v>2647</v>
      </c>
      <c r="B522" s="218">
        <v>373033989</v>
      </c>
      <c r="C522" s="218">
        <v>373033989</v>
      </c>
      <c r="D522" s="218">
        <v>376666901</v>
      </c>
      <c r="E522" s="218">
        <v>376666901</v>
      </c>
      <c r="F522" s="257">
        <v>373320488</v>
      </c>
      <c r="G522" s="257">
        <v>369687576</v>
      </c>
      <c r="H522" s="257">
        <v>373320488</v>
      </c>
      <c r="I522" s="257">
        <v>369687576</v>
      </c>
    </row>
    <row r="523" spans="1:9" ht="15">
      <c r="A523" s="386" t="s">
        <v>2648</v>
      </c>
      <c r="B523" s="218">
        <v>147123705</v>
      </c>
      <c r="C523" s="218">
        <v>147123705</v>
      </c>
      <c r="D523" s="218">
        <v>152134535</v>
      </c>
      <c r="E523" s="218">
        <v>152134535</v>
      </c>
      <c r="F523" s="257">
        <v>152134535</v>
      </c>
      <c r="G523" s="257">
        <v>147123705</v>
      </c>
      <c r="H523" s="257">
        <v>152134535</v>
      </c>
      <c r="I523" s="257">
        <v>147123705</v>
      </c>
    </row>
    <row r="524" spans="1:9" ht="15">
      <c r="A524" s="386" t="s">
        <v>2649</v>
      </c>
      <c r="B524" s="218">
        <v>43162572</v>
      </c>
      <c r="C524" s="218">
        <v>43162572</v>
      </c>
      <c r="D524" s="218">
        <v>43563152</v>
      </c>
      <c r="E524" s="218">
        <v>43563152</v>
      </c>
      <c r="F524" s="257">
        <v>43563152</v>
      </c>
      <c r="G524" s="257">
        <v>43162572</v>
      </c>
      <c r="H524" s="257">
        <v>43563152</v>
      </c>
      <c r="I524" s="257">
        <v>43162572</v>
      </c>
    </row>
    <row r="525" spans="1:9" ht="15">
      <c r="A525" s="386" t="s">
        <v>2540</v>
      </c>
      <c r="B525" s="218">
        <v>2297668229</v>
      </c>
      <c r="C525" s="218">
        <v>2297668229</v>
      </c>
      <c r="D525" s="218">
        <v>2362867661</v>
      </c>
      <c r="E525" s="218">
        <v>2362867661</v>
      </c>
      <c r="F525" s="257">
        <v>2362867661</v>
      </c>
      <c r="G525" s="257">
        <v>2297668229</v>
      </c>
      <c r="H525" s="257">
        <v>2362867661</v>
      </c>
      <c r="I525" s="257">
        <v>2297668229</v>
      </c>
    </row>
    <row r="526" spans="1:9" ht="15">
      <c r="A526" s="386" t="s">
        <v>2292</v>
      </c>
      <c r="B526" s="218">
        <v>3723154483</v>
      </c>
      <c r="C526" s="218">
        <v>8007325233</v>
      </c>
      <c r="D526" s="218">
        <v>3820406437</v>
      </c>
      <c r="E526" s="218">
        <v>8104577187</v>
      </c>
      <c r="F526" s="257">
        <v>3820406437</v>
      </c>
      <c r="G526" s="257">
        <v>3723154483</v>
      </c>
      <c r="H526" s="257">
        <v>8104577187</v>
      </c>
      <c r="I526" s="257">
        <v>8007325233</v>
      </c>
    </row>
    <row r="527" spans="1:9" ht="15">
      <c r="A527" s="386" t="s">
        <v>2293</v>
      </c>
      <c r="B527" s="218">
        <v>2480801609</v>
      </c>
      <c r="C527" s="218">
        <v>2811279049</v>
      </c>
      <c r="D527" s="218">
        <v>2551206513</v>
      </c>
      <c r="E527" s="218">
        <v>2881683953</v>
      </c>
      <c r="F527" s="257">
        <v>2458061371</v>
      </c>
      <c r="G527" s="257">
        <v>2387656467</v>
      </c>
      <c r="H527" s="257">
        <v>2788538811</v>
      </c>
      <c r="I527" s="257">
        <v>2718133907</v>
      </c>
    </row>
    <row r="528" spans="1:9" ht="15">
      <c r="A528" s="386" t="s">
        <v>1325</v>
      </c>
      <c r="B528" s="218">
        <v>9608529461</v>
      </c>
      <c r="C528" s="218">
        <v>9785281961</v>
      </c>
      <c r="D528" s="218">
        <v>9833597706</v>
      </c>
      <c r="E528" s="218">
        <v>10010350206</v>
      </c>
      <c r="F528" s="257">
        <v>9833597706</v>
      </c>
      <c r="G528" s="257">
        <v>9608529461</v>
      </c>
      <c r="H528" s="257">
        <v>10010350206</v>
      </c>
      <c r="I528" s="257">
        <v>9785281961</v>
      </c>
    </row>
    <row r="529" spans="1:9" ht="15">
      <c r="A529" s="386" t="s">
        <v>1326</v>
      </c>
      <c r="B529" s="218">
        <v>574587959</v>
      </c>
      <c r="C529" s="218">
        <v>998737729</v>
      </c>
      <c r="D529" s="218">
        <v>575389684</v>
      </c>
      <c r="E529" s="218">
        <v>999539454</v>
      </c>
      <c r="F529" s="257">
        <v>574983320</v>
      </c>
      <c r="G529" s="257">
        <v>574181595</v>
      </c>
      <c r="H529" s="257">
        <v>999133090</v>
      </c>
      <c r="I529" s="257">
        <v>998331365</v>
      </c>
    </row>
    <row r="530" spans="1:9" ht="15">
      <c r="A530" s="386" t="s">
        <v>1309</v>
      </c>
      <c r="B530" s="218">
        <v>656210027</v>
      </c>
      <c r="C530" s="218">
        <v>656210027</v>
      </c>
      <c r="D530" s="218">
        <v>678583626</v>
      </c>
      <c r="E530" s="218">
        <v>678583626</v>
      </c>
      <c r="F530" s="257">
        <v>678583626</v>
      </c>
      <c r="G530" s="257">
        <v>656210027</v>
      </c>
      <c r="H530" s="257">
        <v>678583626</v>
      </c>
      <c r="I530" s="257">
        <v>656210027</v>
      </c>
    </row>
    <row r="531" spans="1:9" ht="15">
      <c r="A531" s="386" t="s">
        <v>1327</v>
      </c>
      <c r="B531" s="218">
        <v>354483072</v>
      </c>
      <c r="C531" s="218">
        <v>354483072</v>
      </c>
      <c r="D531" s="218">
        <v>363072602</v>
      </c>
      <c r="E531" s="218">
        <v>363072602</v>
      </c>
      <c r="F531" s="257">
        <v>360146487</v>
      </c>
      <c r="G531" s="257">
        <v>351556957</v>
      </c>
      <c r="H531" s="257">
        <v>360146487</v>
      </c>
      <c r="I531" s="257">
        <v>351556957</v>
      </c>
    </row>
    <row r="532" spans="1:9" ht="15">
      <c r="A532" s="386" t="s">
        <v>2019</v>
      </c>
      <c r="B532" s="218">
        <v>1544773617</v>
      </c>
      <c r="C532" s="218">
        <v>1544773617</v>
      </c>
      <c r="D532" s="218">
        <v>1581264640</v>
      </c>
      <c r="E532" s="218">
        <v>1581264640</v>
      </c>
      <c r="F532" s="257">
        <v>1581264640</v>
      </c>
      <c r="G532" s="257">
        <v>1544773617</v>
      </c>
      <c r="H532" s="257">
        <v>1581264640</v>
      </c>
      <c r="I532" s="257">
        <v>1544773617</v>
      </c>
    </row>
    <row r="533" spans="1:9" ht="15">
      <c r="A533" s="386" t="s">
        <v>2323</v>
      </c>
      <c r="B533" s="218">
        <v>76413478</v>
      </c>
      <c r="C533" s="218">
        <v>76413478</v>
      </c>
      <c r="D533" s="218">
        <v>79968650</v>
      </c>
      <c r="E533" s="218">
        <v>79968650</v>
      </c>
      <c r="F533" s="257">
        <v>79968650</v>
      </c>
      <c r="G533" s="257">
        <v>76413478</v>
      </c>
      <c r="H533" s="257">
        <v>79968650</v>
      </c>
      <c r="I533" s="257">
        <v>76413478</v>
      </c>
    </row>
    <row r="534" spans="1:9" ht="15">
      <c r="A534" s="386" t="s">
        <v>1413</v>
      </c>
      <c r="B534" s="218">
        <v>289528783</v>
      </c>
      <c r="C534" s="218">
        <v>289528783</v>
      </c>
      <c r="D534" s="218">
        <v>300290045</v>
      </c>
      <c r="E534" s="218">
        <v>300290045</v>
      </c>
      <c r="F534" s="257">
        <v>300290045</v>
      </c>
      <c r="G534" s="257">
        <v>289528783</v>
      </c>
      <c r="H534" s="257">
        <v>300290045</v>
      </c>
      <c r="I534" s="257">
        <v>289528783</v>
      </c>
    </row>
    <row r="535" spans="1:9" ht="15">
      <c r="A535" s="386" t="s">
        <v>216</v>
      </c>
      <c r="B535" s="218">
        <v>135965612</v>
      </c>
      <c r="C535" s="218">
        <v>135965612</v>
      </c>
      <c r="D535" s="218">
        <v>140779673</v>
      </c>
      <c r="E535" s="218">
        <v>140779673</v>
      </c>
      <c r="F535" s="257">
        <v>140779673</v>
      </c>
      <c r="G535" s="257">
        <v>135965612</v>
      </c>
      <c r="H535" s="257">
        <v>140779673</v>
      </c>
      <c r="I535" s="257">
        <v>135965612</v>
      </c>
    </row>
    <row r="536" spans="1:9" ht="15">
      <c r="A536" s="386" t="s">
        <v>1328</v>
      </c>
      <c r="B536" s="218">
        <v>58052113</v>
      </c>
      <c r="C536" s="218">
        <v>58052113</v>
      </c>
      <c r="D536" s="218">
        <v>58571397</v>
      </c>
      <c r="E536" s="218">
        <v>58571397</v>
      </c>
      <c r="F536" s="257">
        <v>58431140</v>
      </c>
      <c r="G536" s="257">
        <v>57911856</v>
      </c>
      <c r="H536" s="257">
        <v>58431140</v>
      </c>
      <c r="I536" s="257">
        <v>57911856</v>
      </c>
    </row>
    <row r="537" spans="1:9" ht="15">
      <c r="A537" s="386" t="s">
        <v>195</v>
      </c>
      <c r="B537" s="218">
        <v>1442178936</v>
      </c>
      <c r="C537" s="218">
        <v>1442178936</v>
      </c>
      <c r="D537" s="218">
        <v>1473279320</v>
      </c>
      <c r="E537" s="218">
        <v>1473279320</v>
      </c>
      <c r="F537" s="257">
        <v>1473279320</v>
      </c>
      <c r="G537" s="257">
        <v>1442178936</v>
      </c>
      <c r="H537" s="257">
        <v>1473279320</v>
      </c>
      <c r="I537" s="257">
        <v>1442178936</v>
      </c>
    </row>
    <row r="538" spans="1:9" ht="15">
      <c r="A538" s="386" t="s">
        <v>1884</v>
      </c>
      <c r="B538" s="218">
        <v>3619998246</v>
      </c>
      <c r="C538" s="218">
        <v>3619998246</v>
      </c>
      <c r="D538" s="218">
        <v>3746856025</v>
      </c>
      <c r="E538" s="218">
        <v>3746856025</v>
      </c>
      <c r="F538" s="257">
        <v>3746856025</v>
      </c>
      <c r="G538" s="257">
        <v>3619998246</v>
      </c>
      <c r="H538" s="257">
        <v>3746856025</v>
      </c>
      <c r="I538" s="257">
        <v>3619998246</v>
      </c>
    </row>
    <row r="539" spans="1:9" ht="15">
      <c r="A539" s="386" t="s">
        <v>574</v>
      </c>
      <c r="B539" s="218">
        <v>2574891746</v>
      </c>
      <c r="C539" s="218">
        <v>2574891746</v>
      </c>
      <c r="D539" s="218">
        <v>2644454906</v>
      </c>
      <c r="E539" s="218">
        <v>2644454906</v>
      </c>
      <c r="F539" s="257">
        <v>2644454906</v>
      </c>
      <c r="G539" s="257">
        <v>2574891746</v>
      </c>
      <c r="H539" s="257">
        <v>2644454906</v>
      </c>
      <c r="I539" s="257">
        <v>2574891746</v>
      </c>
    </row>
    <row r="540" spans="1:9" ht="15">
      <c r="A540" s="386" t="s">
        <v>1798</v>
      </c>
      <c r="B540" s="218">
        <v>280938116</v>
      </c>
      <c r="C540" s="218">
        <v>280938116</v>
      </c>
      <c r="D540" s="218">
        <v>291915051</v>
      </c>
      <c r="E540" s="218">
        <v>291915051</v>
      </c>
      <c r="F540" s="257">
        <v>291915051</v>
      </c>
      <c r="G540" s="257">
        <v>280938116</v>
      </c>
      <c r="H540" s="257">
        <v>291915051</v>
      </c>
      <c r="I540" s="257">
        <v>280938116</v>
      </c>
    </row>
    <row r="541" spans="1:9" ht="15">
      <c r="A541" s="386" t="s">
        <v>45</v>
      </c>
      <c r="B541" s="218">
        <v>1367174031</v>
      </c>
      <c r="C541" s="218">
        <v>1367174031</v>
      </c>
      <c r="D541" s="218">
        <v>1418536444</v>
      </c>
      <c r="E541" s="218">
        <v>1418536444</v>
      </c>
      <c r="F541" s="257">
        <v>1418536444</v>
      </c>
      <c r="G541" s="257">
        <v>1367174031</v>
      </c>
      <c r="H541" s="257">
        <v>1418536444</v>
      </c>
      <c r="I541" s="257">
        <v>1367174031</v>
      </c>
    </row>
    <row r="542" spans="1:9" ht="15">
      <c r="A542" s="386" t="s">
        <v>1329</v>
      </c>
      <c r="B542" s="218">
        <v>153874863</v>
      </c>
      <c r="C542" s="218">
        <v>153874863</v>
      </c>
      <c r="D542" s="218">
        <v>159770007</v>
      </c>
      <c r="E542" s="218">
        <v>159770007</v>
      </c>
      <c r="F542" s="257">
        <v>159770007</v>
      </c>
      <c r="G542" s="257">
        <v>153874863</v>
      </c>
      <c r="H542" s="257">
        <v>159770007</v>
      </c>
      <c r="I542" s="257">
        <v>153874863</v>
      </c>
    </row>
    <row r="543" spans="1:9" ht="15">
      <c r="A543" s="386" t="s">
        <v>2324</v>
      </c>
      <c r="B543" s="218">
        <v>269124090</v>
      </c>
      <c r="C543" s="218">
        <v>269124090</v>
      </c>
      <c r="D543" s="218">
        <v>278408807</v>
      </c>
      <c r="E543" s="218">
        <v>278408807</v>
      </c>
      <c r="F543" s="257">
        <v>278408807</v>
      </c>
      <c r="G543" s="257">
        <v>269124090</v>
      </c>
      <c r="H543" s="257">
        <v>278408807</v>
      </c>
      <c r="I543" s="257">
        <v>269124090</v>
      </c>
    </row>
    <row r="544" spans="1:9" ht="15">
      <c r="A544" s="386" t="s">
        <v>255</v>
      </c>
      <c r="B544" s="218">
        <v>260666997</v>
      </c>
      <c r="C544" s="218">
        <v>260666997</v>
      </c>
      <c r="D544" s="218">
        <v>273477817</v>
      </c>
      <c r="E544" s="218">
        <v>273477817</v>
      </c>
      <c r="F544" s="257">
        <v>273477817</v>
      </c>
      <c r="G544" s="257">
        <v>260666997</v>
      </c>
      <c r="H544" s="257">
        <v>273477817</v>
      </c>
      <c r="I544" s="257">
        <v>260666997</v>
      </c>
    </row>
    <row r="545" spans="1:9" ht="15">
      <c r="A545" s="386" t="s">
        <v>1263</v>
      </c>
      <c r="B545" s="218">
        <v>942892561</v>
      </c>
      <c r="C545" s="218">
        <v>942892561</v>
      </c>
      <c r="D545" s="218">
        <v>954322107</v>
      </c>
      <c r="E545" s="218">
        <v>954322107</v>
      </c>
      <c r="F545" s="257">
        <v>954322107</v>
      </c>
      <c r="G545" s="257">
        <v>942892561</v>
      </c>
      <c r="H545" s="257">
        <v>954322107</v>
      </c>
      <c r="I545" s="257">
        <v>942892561</v>
      </c>
    </row>
    <row r="546" spans="1:9" ht="15">
      <c r="A546" s="386" t="s">
        <v>2097</v>
      </c>
      <c r="B546" s="218">
        <v>129287676</v>
      </c>
      <c r="C546" s="218">
        <v>129287676</v>
      </c>
      <c r="D546" s="218">
        <v>136890346</v>
      </c>
      <c r="E546" s="218">
        <v>136890346</v>
      </c>
      <c r="F546" s="257">
        <v>136890346</v>
      </c>
      <c r="G546" s="257">
        <v>129287676</v>
      </c>
      <c r="H546" s="257">
        <v>136890346</v>
      </c>
      <c r="I546" s="257">
        <v>129287676</v>
      </c>
    </row>
    <row r="547" spans="1:9" ht="15">
      <c r="A547" s="386" t="s">
        <v>1330</v>
      </c>
      <c r="B547" s="218">
        <v>149531658</v>
      </c>
      <c r="C547" s="218">
        <v>149531658</v>
      </c>
      <c r="D547" s="218">
        <v>153821768</v>
      </c>
      <c r="E547" s="218">
        <v>153821768</v>
      </c>
      <c r="F547" s="257">
        <v>153821768</v>
      </c>
      <c r="G547" s="257">
        <v>149531658</v>
      </c>
      <c r="H547" s="257">
        <v>153821768</v>
      </c>
      <c r="I547" s="257">
        <v>149531658</v>
      </c>
    </row>
    <row r="548" spans="1:9" ht="15">
      <c r="A548" s="386" t="s">
        <v>1862</v>
      </c>
      <c r="B548" s="218">
        <v>123725781</v>
      </c>
      <c r="C548" s="218">
        <v>123725781</v>
      </c>
      <c r="D548" s="218">
        <v>131718041</v>
      </c>
      <c r="E548" s="218">
        <v>131718041</v>
      </c>
      <c r="F548" s="257">
        <v>131718041</v>
      </c>
      <c r="G548" s="257">
        <v>123725781</v>
      </c>
      <c r="H548" s="257">
        <v>131718041</v>
      </c>
      <c r="I548" s="257">
        <v>123725781</v>
      </c>
    </row>
    <row r="549" spans="1:9" ht="15">
      <c r="A549" s="386" t="s">
        <v>2510</v>
      </c>
      <c r="B549" s="218">
        <v>86378608</v>
      </c>
      <c r="C549" s="218">
        <v>86378608</v>
      </c>
      <c r="D549" s="218">
        <v>87951570</v>
      </c>
      <c r="E549" s="218">
        <v>87951570</v>
      </c>
      <c r="F549" s="257">
        <v>87951570</v>
      </c>
      <c r="G549" s="257">
        <v>86378608</v>
      </c>
      <c r="H549" s="257">
        <v>87951570</v>
      </c>
      <c r="I549" s="257">
        <v>86378608</v>
      </c>
    </row>
    <row r="550" spans="1:9" ht="15">
      <c r="A550" s="386" t="s">
        <v>259</v>
      </c>
      <c r="B550" s="218">
        <v>97827533</v>
      </c>
      <c r="C550" s="218">
        <v>97827533</v>
      </c>
      <c r="D550" s="218">
        <v>103961313</v>
      </c>
      <c r="E550" s="218">
        <v>103961313</v>
      </c>
      <c r="F550" s="257">
        <v>103961313</v>
      </c>
      <c r="G550" s="257">
        <v>97827533</v>
      </c>
      <c r="H550" s="257">
        <v>103961313</v>
      </c>
      <c r="I550" s="257">
        <v>97827533</v>
      </c>
    </row>
    <row r="551" spans="1:9" ht="15">
      <c r="A551" s="386" t="s">
        <v>47</v>
      </c>
      <c r="B551" s="218">
        <v>5999387766</v>
      </c>
      <c r="C551" s="218">
        <v>5999387766</v>
      </c>
      <c r="D551" s="218">
        <v>6008320023</v>
      </c>
      <c r="E551" s="218">
        <v>6008320023</v>
      </c>
      <c r="F551" s="257">
        <v>6008320023</v>
      </c>
      <c r="G551" s="257">
        <v>5999387766</v>
      </c>
      <c r="H551" s="257">
        <v>6008320023</v>
      </c>
      <c r="I551" s="257">
        <v>5999387766</v>
      </c>
    </row>
    <row r="552" spans="1:9" ht="15">
      <c r="A552" s="386" t="s">
        <v>2511</v>
      </c>
      <c r="B552" s="218">
        <v>1446553696</v>
      </c>
      <c r="C552" s="218">
        <v>1521788386</v>
      </c>
      <c r="D552" s="218">
        <v>1453831937</v>
      </c>
      <c r="E552" s="218">
        <v>1529066627</v>
      </c>
      <c r="F552" s="257">
        <v>1453831937</v>
      </c>
      <c r="G552" s="257">
        <v>1446553696</v>
      </c>
      <c r="H552" s="257">
        <v>1529066627</v>
      </c>
      <c r="I552" s="257">
        <v>1521788386</v>
      </c>
    </row>
    <row r="553" spans="1:9" ht="15">
      <c r="A553" s="386" t="s">
        <v>1153</v>
      </c>
      <c r="B553" s="218">
        <v>562675068</v>
      </c>
      <c r="C553" s="218">
        <v>562675068</v>
      </c>
      <c r="D553" s="218">
        <v>564848484</v>
      </c>
      <c r="E553" s="218">
        <v>564848484</v>
      </c>
      <c r="F553" s="257">
        <v>564848484</v>
      </c>
      <c r="G553" s="257">
        <v>562675068</v>
      </c>
      <c r="H553" s="257">
        <v>564848484</v>
      </c>
      <c r="I553" s="257">
        <v>562675068</v>
      </c>
    </row>
    <row r="554" spans="1:9" ht="15">
      <c r="A554" s="386" t="s">
        <v>1686</v>
      </c>
      <c r="B554" s="218">
        <v>811078501</v>
      </c>
      <c r="C554" s="218">
        <v>811078501</v>
      </c>
      <c r="D554" s="218">
        <v>815737947</v>
      </c>
      <c r="E554" s="218">
        <v>815737947</v>
      </c>
      <c r="F554" s="257">
        <v>815737947</v>
      </c>
      <c r="G554" s="257">
        <v>811078501</v>
      </c>
      <c r="H554" s="257">
        <v>815737947</v>
      </c>
      <c r="I554" s="257">
        <v>811078501</v>
      </c>
    </row>
    <row r="555" spans="1:9" ht="15">
      <c r="A555" s="386" t="s">
        <v>2403</v>
      </c>
      <c r="B555" s="218">
        <v>575098708</v>
      </c>
      <c r="C555" s="218">
        <v>575098708</v>
      </c>
      <c r="D555" s="218">
        <v>606932240</v>
      </c>
      <c r="E555" s="218">
        <v>606932240</v>
      </c>
      <c r="F555" s="257">
        <v>606932240</v>
      </c>
      <c r="G555" s="257">
        <v>575098708</v>
      </c>
      <c r="H555" s="257">
        <v>606932240</v>
      </c>
      <c r="I555" s="257">
        <v>575098708</v>
      </c>
    </row>
    <row r="556" spans="1:9" ht="15">
      <c r="A556" s="386" t="s">
        <v>1339</v>
      </c>
      <c r="B556" s="218">
        <v>2613753957</v>
      </c>
      <c r="C556" s="218">
        <v>2613753957</v>
      </c>
      <c r="D556" s="218">
        <v>2696251442</v>
      </c>
      <c r="E556" s="218">
        <v>2696251442</v>
      </c>
      <c r="F556" s="257">
        <v>2696251442</v>
      </c>
      <c r="G556" s="257">
        <v>2613753957</v>
      </c>
      <c r="H556" s="257">
        <v>2696251442</v>
      </c>
      <c r="I556" s="257">
        <v>2613753957</v>
      </c>
    </row>
    <row r="557" spans="1:9" ht="15">
      <c r="A557" s="386" t="s">
        <v>49</v>
      </c>
      <c r="B557" s="218">
        <v>593925500</v>
      </c>
      <c r="C557" s="218">
        <v>593925500</v>
      </c>
      <c r="D557" s="218">
        <v>626108810</v>
      </c>
      <c r="E557" s="218">
        <v>626108810</v>
      </c>
      <c r="F557" s="257">
        <v>626108810</v>
      </c>
      <c r="G557" s="257">
        <v>593925500</v>
      </c>
      <c r="H557" s="257">
        <v>626108810</v>
      </c>
      <c r="I557" s="257">
        <v>593925500</v>
      </c>
    </row>
    <row r="558" spans="1:9" ht="15">
      <c r="A558" s="386" t="s">
        <v>51</v>
      </c>
      <c r="B558" s="218">
        <v>306856967</v>
      </c>
      <c r="C558" s="218">
        <v>306856967</v>
      </c>
      <c r="D558" s="218">
        <v>325309789</v>
      </c>
      <c r="E558" s="218">
        <v>325309789</v>
      </c>
      <c r="F558" s="257">
        <v>325309789</v>
      </c>
      <c r="G558" s="257">
        <v>306856967</v>
      </c>
      <c r="H558" s="257">
        <v>325309789</v>
      </c>
      <c r="I558" s="257">
        <v>306856967</v>
      </c>
    </row>
    <row r="559" spans="1:9" ht="15">
      <c r="A559" s="386" t="s">
        <v>2554</v>
      </c>
      <c r="B559" s="218">
        <v>1060990267</v>
      </c>
      <c r="C559" s="218">
        <v>1060990267</v>
      </c>
      <c r="D559" s="218">
        <v>1100515160</v>
      </c>
      <c r="E559" s="218">
        <v>1100515160</v>
      </c>
      <c r="F559" s="257">
        <v>1100515160</v>
      </c>
      <c r="G559" s="257">
        <v>1060990267</v>
      </c>
      <c r="H559" s="257">
        <v>1100515160</v>
      </c>
      <c r="I559" s="257">
        <v>1060990267</v>
      </c>
    </row>
    <row r="560" spans="1:9" ht="15">
      <c r="A560" s="386" t="s">
        <v>2555</v>
      </c>
      <c r="B560" s="218">
        <v>1366835340</v>
      </c>
      <c r="C560" s="218">
        <v>1366835340</v>
      </c>
      <c r="D560" s="218">
        <v>1411536748</v>
      </c>
      <c r="E560" s="218">
        <v>1411536748</v>
      </c>
      <c r="F560" s="257">
        <v>1411536748</v>
      </c>
      <c r="G560" s="257">
        <v>1366835340</v>
      </c>
      <c r="H560" s="257">
        <v>1411536748</v>
      </c>
      <c r="I560" s="257">
        <v>1366835340</v>
      </c>
    </row>
    <row r="561" spans="1:9" ht="15">
      <c r="A561" s="386" t="s">
        <v>494</v>
      </c>
      <c r="B561" s="218">
        <v>151219819</v>
      </c>
      <c r="C561" s="218">
        <v>151219819</v>
      </c>
      <c r="D561" s="218">
        <v>160346299</v>
      </c>
      <c r="E561" s="218">
        <v>160346299</v>
      </c>
      <c r="F561" s="257">
        <v>160346299</v>
      </c>
      <c r="G561" s="257">
        <v>151219819</v>
      </c>
      <c r="H561" s="257">
        <v>160346299</v>
      </c>
      <c r="I561" s="257">
        <v>151219819</v>
      </c>
    </row>
    <row r="562" spans="1:9" ht="15">
      <c r="A562" s="386" t="s">
        <v>2556</v>
      </c>
      <c r="B562" s="218">
        <v>5597316382</v>
      </c>
      <c r="C562" s="218">
        <v>5597316382</v>
      </c>
      <c r="D562" s="218">
        <v>5703578906</v>
      </c>
      <c r="E562" s="218">
        <v>5703578906</v>
      </c>
      <c r="F562" s="257">
        <v>5703578906</v>
      </c>
      <c r="G562" s="257">
        <v>5597316382</v>
      </c>
      <c r="H562" s="257">
        <v>5703578906</v>
      </c>
      <c r="I562" s="257">
        <v>5597316382</v>
      </c>
    </row>
    <row r="563" spans="1:9" ht="15">
      <c r="A563" s="386" t="s">
        <v>1539</v>
      </c>
      <c r="B563" s="218">
        <v>770780271</v>
      </c>
      <c r="C563" s="218">
        <v>770780271</v>
      </c>
      <c r="D563" s="218">
        <v>788463631</v>
      </c>
      <c r="E563" s="218">
        <v>788463631</v>
      </c>
      <c r="F563" s="257">
        <v>788463631</v>
      </c>
      <c r="G563" s="257">
        <v>770780271</v>
      </c>
      <c r="H563" s="257">
        <v>788463631</v>
      </c>
      <c r="I563" s="257">
        <v>770780271</v>
      </c>
    </row>
    <row r="564" spans="1:9" ht="15">
      <c r="A564" s="386" t="s">
        <v>2689</v>
      </c>
      <c r="B564" s="218">
        <v>943599088</v>
      </c>
      <c r="C564" s="218">
        <v>1076130288</v>
      </c>
      <c r="D564" s="218">
        <v>943758130</v>
      </c>
      <c r="E564" s="218">
        <v>1076289330</v>
      </c>
      <c r="F564" s="257">
        <v>943503710</v>
      </c>
      <c r="G564" s="257">
        <v>943344668</v>
      </c>
      <c r="H564" s="257">
        <v>1076034910</v>
      </c>
      <c r="I564" s="257">
        <v>1075875868</v>
      </c>
    </row>
    <row r="565" spans="1:9" ht="15">
      <c r="A565" s="386" t="s">
        <v>2320</v>
      </c>
      <c r="B565" s="218">
        <v>522933611</v>
      </c>
      <c r="C565" s="218">
        <v>522933611</v>
      </c>
      <c r="D565" s="218">
        <v>524100341</v>
      </c>
      <c r="E565" s="218">
        <v>524100341</v>
      </c>
      <c r="F565" s="257">
        <v>523362936</v>
      </c>
      <c r="G565" s="257">
        <v>522196206</v>
      </c>
      <c r="H565" s="257">
        <v>523362936</v>
      </c>
      <c r="I565" s="257">
        <v>522196206</v>
      </c>
    </row>
    <row r="566" spans="1:9" ht="15">
      <c r="A566" s="386" t="s">
        <v>1541</v>
      </c>
      <c r="B566" s="218">
        <v>244462082</v>
      </c>
      <c r="C566" s="218">
        <v>244462082</v>
      </c>
      <c r="D566" s="218">
        <v>252342583</v>
      </c>
      <c r="E566" s="218">
        <v>252342583</v>
      </c>
      <c r="F566" s="257">
        <v>252342583</v>
      </c>
      <c r="G566" s="257">
        <v>244462082</v>
      </c>
      <c r="H566" s="257">
        <v>252342583</v>
      </c>
      <c r="I566" s="257">
        <v>244462082</v>
      </c>
    </row>
    <row r="567" spans="1:9" ht="15">
      <c r="A567" s="386" t="s">
        <v>2545</v>
      </c>
      <c r="B567" s="218">
        <v>354066282</v>
      </c>
      <c r="C567" s="218">
        <v>354066282</v>
      </c>
      <c r="D567" s="218">
        <v>358625131</v>
      </c>
      <c r="E567" s="218">
        <v>358625131</v>
      </c>
      <c r="F567" s="257">
        <v>358625131</v>
      </c>
      <c r="G567" s="257">
        <v>354066282</v>
      </c>
      <c r="H567" s="257">
        <v>358625131</v>
      </c>
      <c r="I567" s="257">
        <v>354066282</v>
      </c>
    </row>
    <row r="568" spans="1:9" ht="15">
      <c r="A568" s="386" t="s">
        <v>2546</v>
      </c>
      <c r="B568" s="218">
        <v>2382594852</v>
      </c>
      <c r="C568" s="218">
        <v>2382594852</v>
      </c>
      <c r="D568" s="218">
        <v>2460022889</v>
      </c>
      <c r="E568" s="218">
        <v>2460022889</v>
      </c>
      <c r="F568" s="257">
        <v>2460022889</v>
      </c>
      <c r="G568" s="257">
        <v>2382594852</v>
      </c>
      <c r="H568" s="257">
        <v>2460022889</v>
      </c>
      <c r="I568" s="257">
        <v>2382594852</v>
      </c>
    </row>
    <row r="569" spans="1:9" ht="15">
      <c r="A569" s="386" t="s">
        <v>487</v>
      </c>
      <c r="B569" s="218">
        <v>462560169</v>
      </c>
      <c r="C569" s="218">
        <v>462560169</v>
      </c>
      <c r="D569" s="218">
        <v>481779291</v>
      </c>
      <c r="E569" s="218">
        <v>481779291</v>
      </c>
      <c r="F569" s="257">
        <v>481779291</v>
      </c>
      <c r="G569" s="257">
        <v>462560169</v>
      </c>
      <c r="H569" s="257">
        <v>481779291</v>
      </c>
      <c r="I569" s="257">
        <v>462560169</v>
      </c>
    </row>
    <row r="570" spans="1:9" ht="15">
      <c r="A570" s="386" t="s">
        <v>2278</v>
      </c>
      <c r="B570" s="218">
        <v>62771760</v>
      </c>
      <c r="C570" s="218">
        <v>62771760</v>
      </c>
      <c r="D570" s="218">
        <v>63133250</v>
      </c>
      <c r="E570" s="218">
        <v>63133250</v>
      </c>
      <c r="F570" s="257">
        <v>63133250</v>
      </c>
      <c r="G570" s="257">
        <v>62771760</v>
      </c>
      <c r="H570" s="257">
        <v>63133250</v>
      </c>
      <c r="I570" s="257">
        <v>62771760</v>
      </c>
    </row>
    <row r="571" spans="1:9" ht="15">
      <c r="A571" s="386" t="s">
        <v>2279</v>
      </c>
      <c r="B571" s="218">
        <v>387607078</v>
      </c>
      <c r="C571" s="218">
        <v>387607078</v>
      </c>
      <c r="D571" s="218">
        <v>397132292</v>
      </c>
      <c r="E571" s="218">
        <v>397132292</v>
      </c>
      <c r="F571" s="257">
        <v>397132292</v>
      </c>
      <c r="G571" s="257">
        <v>387607078</v>
      </c>
      <c r="H571" s="257">
        <v>397132292</v>
      </c>
      <c r="I571" s="257">
        <v>387607078</v>
      </c>
    </row>
    <row r="572" spans="1:9" ht="15">
      <c r="A572" s="386" t="s">
        <v>1534</v>
      </c>
      <c r="B572" s="218">
        <v>257603903</v>
      </c>
      <c r="C572" s="218">
        <v>257603903</v>
      </c>
      <c r="D572" s="218">
        <v>257778783</v>
      </c>
      <c r="E572" s="218">
        <v>257778783</v>
      </c>
      <c r="F572" s="257">
        <v>257650358</v>
      </c>
      <c r="G572" s="257">
        <v>257475478</v>
      </c>
      <c r="H572" s="257">
        <v>257650358</v>
      </c>
      <c r="I572" s="257">
        <v>257475478</v>
      </c>
    </row>
    <row r="573" spans="1:9" ht="15">
      <c r="A573" s="386" t="s">
        <v>1535</v>
      </c>
      <c r="B573" s="218">
        <v>357734737</v>
      </c>
      <c r="C573" s="218">
        <v>477334737</v>
      </c>
      <c r="D573" s="218">
        <v>365174514</v>
      </c>
      <c r="E573" s="218">
        <v>484774514</v>
      </c>
      <c r="F573" s="257">
        <v>365174514</v>
      </c>
      <c r="G573" s="257">
        <v>357734737</v>
      </c>
      <c r="H573" s="257">
        <v>484774514</v>
      </c>
      <c r="I573" s="257">
        <v>477334737</v>
      </c>
    </row>
    <row r="574" spans="1:9" ht="15">
      <c r="A574" s="386" t="s">
        <v>2512</v>
      </c>
      <c r="B574" s="218">
        <v>784405239</v>
      </c>
      <c r="C574" s="218">
        <v>784405239</v>
      </c>
      <c r="D574" s="218">
        <v>819365425</v>
      </c>
      <c r="E574" s="218">
        <v>819365425</v>
      </c>
      <c r="F574" s="257">
        <v>819365425</v>
      </c>
      <c r="G574" s="257">
        <v>784405239</v>
      </c>
      <c r="H574" s="257">
        <v>819365425</v>
      </c>
      <c r="I574" s="257">
        <v>784405239</v>
      </c>
    </row>
    <row r="575" spans="1:9" ht="15">
      <c r="A575" s="386" t="s">
        <v>393</v>
      </c>
      <c r="B575" s="218">
        <v>144967852</v>
      </c>
      <c r="C575" s="218">
        <v>144967852</v>
      </c>
      <c r="D575" s="218">
        <v>152423023</v>
      </c>
      <c r="E575" s="218">
        <v>152423023</v>
      </c>
      <c r="F575" s="257">
        <v>147981749</v>
      </c>
      <c r="G575" s="257">
        <v>140526578</v>
      </c>
      <c r="H575" s="257">
        <v>147981749</v>
      </c>
      <c r="I575" s="257">
        <v>140526578</v>
      </c>
    </row>
    <row r="576" spans="1:9" ht="15">
      <c r="A576" s="386" t="s">
        <v>394</v>
      </c>
      <c r="B576" s="218">
        <v>219079847</v>
      </c>
      <c r="C576" s="218">
        <v>219079847</v>
      </c>
      <c r="D576" s="218">
        <v>222486059</v>
      </c>
      <c r="E576" s="218">
        <v>222486059</v>
      </c>
      <c r="F576" s="257">
        <v>222486059</v>
      </c>
      <c r="G576" s="257">
        <v>219079847</v>
      </c>
      <c r="H576" s="257">
        <v>222486059</v>
      </c>
      <c r="I576" s="257">
        <v>219079847</v>
      </c>
    </row>
    <row r="577" spans="1:9" ht="15">
      <c r="A577" s="386" t="s">
        <v>395</v>
      </c>
      <c r="B577" s="218">
        <v>151777320</v>
      </c>
      <c r="C577" s="218">
        <v>151777320</v>
      </c>
      <c r="D577" s="218">
        <v>151777320</v>
      </c>
      <c r="E577" s="218">
        <v>151777320</v>
      </c>
      <c r="F577" s="257">
        <v>151777320</v>
      </c>
      <c r="G577" s="257">
        <v>151777320</v>
      </c>
      <c r="H577" s="257">
        <v>151777320</v>
      </c>
      <c r="I577" s="257">
        <v>151777320</v>
      </c>
    </row>
    <row r="578" spans="1:9" ht="15">
      <c r="A578" s="386" t="s">
        <v>2513</v>
      </c>
      <c r="B578" s="218">
        <v>90440633</v>
      </c>
      <c r="C578" s="218">
        <v>90440633</v>
      </c>
      <c r="D578" s="218">
        <v>93020743</v>
      </c>
      <c r="E578" s="218">
        <v>93020743</v>
      </c>
      <c r="F578" s="257">
        <v>93020743</v>
      </c>
      <c r="G578" s="257">
        <v>90440633</v>
      </c>
      <c r="H578" s="257">
        <v>93020743</v>
      </c>
      <c r="I578" s="257">
        <v>90440633</v>
      </c>
    </row>
    <row r="579" spans="1:9" ht="15">
      <c r="A579" s="386" t="s">
        <v>242</v>
      </c>
      <c r="B579" s="218">
        <v>62015155</v>
      </c>
      <c r="C579" s="218">
        <v>62015155</v>
      </c>
      <c r="D579" s="218">
        <v>65066165</v>
      </c>
      <c r="E579" s="218">
        <v>65066165</v>
      </c>
      <c r="F579" s="257">
        <v>65066165</v>
      </c>
      <c r="G579" s="257">
        <v>62015155</v>
      </c>
      <c r="H579" s="257">
        <v>65066165</v>
      </c>
      <c r="I579" s="257">
        <v>62015155</v>
      </c>
    </row>
    <row r="580" spans="1:9" ht="15">
      <c r="A580" s="386" t="s">
        <v>243</v>
      </c>
      <c r="B580" s="218">
        <v>49492446</v>
      </c>
      <c r="C580" s="218">
        <v>49492446</v>
      </c>
      <c r="D580" s="218">
        <v>50033626</v>
      </c>
      <c r="E580" s="218">
        <v>50033626</v>
      </c>
      <c r="F580" s="257">
        <v>50033626</v>
      </c>
      <c r="G580" s="257">
        <v>49492446</v>
      </c>
      <c r="H580" s="257">
        <v>50033626</v>
      </c>
      <c r="I580" s="257">
        <v>49492446</v>
      </c>
    </row>
    <row r="581" spans="1:9" ht="15">
      <c r="A581" s="386" t="s">
        <v>244</v>
      </c>
      <c r="B581" s="218">
        <v>818017151</v>
      </c>
      <c r="C581" s="218">
        <v>818017151</v>
      </c>
      <c r="D581" s="218">
        <v>826734068</v>
      </c>
      <c r="E581" s="218">
        <v>826734068</v>
      </c>
      <c r="F581" s="257">
        <v>826734068</v>
      </c>
      <c r="G581" s="257">
        <v>818017151</v>
      </c>
      <c r="H581" s="257">
        <v>826734068</v>
      </c>
      <c r="I581" s="257">
        <v>818017151</v>
      </c>
    </row>
    <row r="582" spans="1:9" ht="15">
      <c r="A582" s="386" t="s">
        <v>2325</v>
      </c>
      <c r="B582" s="218">
        <v>111191665</v>
      </c>
      <c r="C582" s="218">
        <v>111191665</v>
      </c>
      <c r="D582" s="218">
        <v>113971314</v>
      </c>
      <c r="E582" s="218">
        <v>113971314</v>
      </c>
      <c r="F582" s="257">
        <v>113971314</v>
      </c>
      <c r="G582" s="257">
        <v>111191665</v>
      </c>
      <c r="H582" s="257">
        <v>113971314</v>
      </c>
      <c r="I582" s="257">
        <v>111191665</v>
      </c>
    </row>
    <row r="583" spans="1:9" ht="15">
      <c r="A583" s="386" t="s">
        <v>2023</v>
      </c>
      <c r="B583" s="218">
        <v>718813579</v>
      </c>
      <c r="C583" s="218">
        <v>718813579</v>
      </c>
      <c r="D583" s="218">
        <v>753662944</v>
      </c>
      <c r="E583" s="218">
        <v>753662944</v>
      </c>
      <c r="F583" s="257">
        <v>753662944</v>
      </c>
      <c r="G583" s="257">
        <v>718813579</v>
      </c>
      <c r="H583" s="257">
        <v>753662944</v>
      </c>
      <c r="I583" s="257">
        <v>718813579</v>
      </c>
    </row>
    <row r="584" spans="1:9" ht="15">
      <c r="A584" s="386" t="s">
        <v>2076</v>
      </c>
      <c r="B584" s="218">
        <v>1072272707</v>
      </c>
      <c r="C584" s="218">
        <v>1072272707</v>
      </c>
      <c r="D584" s="218">
        <v>1115075576</v>
      </c>
      <c r="E584" s="218">
        <v>1115075576</v>
      </c>
      <c r="F584" s="257">
        <v>1115075576</v>
      </c>
      <c r="G584" s="257">
        <v>1072272707</v>
      </c>
      <c r="H584" s="257">
        <v>1115075576</v>
      </c>
      <c r="I584" s="257">
        <v>1072272707</v>
      </c>
    </row>
    <row r="585" spans="1:9" ht="15">
      <c r="A585" s="386" t="s">
        <v>2514</v>
      </c>
      <c r="B585" s="218">
        <v>213446144</v>
      </c>
      <c r="C585" s="218">
        <v>213446144</v>
      </c>
      <c r="D585" s="218">
        <v>227789934</v>
      </c>
      <c r="E585" s="218">
        <v>227789934</v>
      </c>
      <c r="F585" s="257">
        <v>227789934</v>
      </c>
      <c r="G585" s="257">
        <v>213446144</v>
      </c>
      <c r="H585" s="257">
        <v>227789934</v>
      </c>
      <c r="I585" s="257">
        <v>213446144</v>
      </c>
    </row>
    <row r="586" spans="1:9" ht="15">
      <c r="A586" s="386" t="s">
        <v>1557</v>
      </c>
      <c r="B586" s="218">
        <v>44866906</v>
      </c>
      <c r="C586" s="218">
        <v>44866906</v>
      </c>
      <c r="D586" s="218">
        <v>45718976</v>
      </c>
      <c r="E586" s="218">
        <v>45718976</v>
      </c>
      <c r="F586" s="257">
        <v>45718976</v>
      </c>
      <c r="G586" s="257">
        <v>44866906</v>
      </c>
      <c r="H586" s="257">
        <v>45718976</v>
      </c>
      <c r="I586" s="257">
        <v>44866906</v>
      </c>
    </row>
    <row r="587" spans="1:9" ht="15">
      <c r="A587" s="386" t="s">
        <v>1558</v>
      </c>
      <c r="B587" s="218">
        <v>186768298</v>
      </c>
      <c r="C587" s="218">
        <v>186768298</v>
      </c>
      <c r="D587" s="218">
        <v>194941269</v>
      </c>
      <c r="E587" s="218">
        <v>194941269</v>
      </c>
      <c r="F587" s="257">
        <v>194941269</v>
      </c>
      <c r="G587" s="257">
        <v>186768298</v>
      </c>
      <c r="H587" s="257">
        <v>194941269</v>
      </c>
      <c r="I587" s="257">
        <v>186768298</v>
      </c>
    </row>
    <row r="588" spans="1:9" ht="15">
      <c r="A588" s="386" t="s">
        <v>1412</v>
      </c>
      <c r="B588" s="218">
        <v>130392348</v>
      </c>
      <c r="C588" s="218">
        <v>130392348</v>
      </c>
      <c r="D588" s="218">
        <v>133870632</v>
      </c>
      <c r="E588" s="218">
        <v>133870632</v>
      </c>
      <c r="F588" s="257">
        <v>133870632</v>
      </c>
      <c r="G588" s="257">
        <v>130392348</v>
      </c>
      <c r="H588" s="257">
        <v>133870632</v>
      </c>
      <c r="I588" s="257">
        <v>130392348</v>
      </c>
    </row>
    <row r="589" spans="1:9" ht="15">
      <c r="A589" s="386" t="s">
        <v>2261</v>
      </c>
      <c r="B589" s="218">
        <v>80835759</v>
      </c>
      <c r="C589" s="218">
        <v>80835759</v>
      </c>
      <c r="D589" s="218">
        <v>82723271</v>
      </c>
      <c r="E589" s="218">
        <v>82723271</v>
      </c>
      <c r="F589" s="257">
        <v>82723271</v>
      </c>
      <c r="G589" s="257">
        <v>80835759</v>
      </c>
      <c r="H589" s="257">
        <v>82723271</v>
      </c>
      <c r="I589" s="257">
        <v>80835759</v>
      </c>
    </row>
    <row r="590" spans="1:9" ht="15">
      <c r="A590" s="386" t="s">
        <v>2262</v>
      </c>
      <c r="B590" s="218">
        <v>406325742</v>
      </c>
      <c r="C590" s="218">
        <v>406325742</v>
      </c>
      <c r="D590" s="218">
        <v>408425296</v>
      </c>
      <c r="E590" s="218">
        <v>408425296</v>
      </c>
      <c r="F590" s="257">
        <v>408425296</v>
      </c>
      <c r="G590" s="257">
        <v>406325742</v>
      </c>
      <c r="H590" s="257">
        <v>408425296</v>
      </c>
      <c r="I590" s="257">
        <v>406325742</v>
      </c>
    </row>
    <row r="591" spans="1:9" ht="15">
      <c r="A591" s="386" t="s">
        <v>2263</v>
      </c>
      <c r="B591" s="218">
        <v>1053211552</v>
      </c>
      <c r="C591" s="218">
        <v>1053211552</v>
      </c>
      <c r="D591" s="218">
        <v>1100362530</v>
      </c>
      <c r="E591" s="218">
        <v>1100362530</v>
      </c>
      <c r="F591" s="257">
        <v>1100362530</v>
      </c>
      <c r="G591" s="257">
        <v>1053211552</v>
      </c>
      <c r="H591" s="257">
        <v>1100362530</v>
      </c>
      <c r="I591" s="257">
        <v>1053211552</v>
      </c>
    </row>
    <row r="592" spans="1:9" ht="15">
      <c r="A592" s="386" t="s">
        <v>2264</v>
      </c>
      <c r="B592" s="218">
        <v>128034241</v>
      </c>
      <c r="C592" s="218">
        <v>128034241</v>
      </c>
      <c r="D592" s="218">
        <v>131240111</v>
      </c>
      <c r="E592" s="218">
        <v>131240111</v>
      </c>
      <c r="F592" s="257">
        <v>131240111</v>
      </c>
      <c r="G592" s="257">
        <v>128034241</v>
      </c>
      <c r="H592" s="257">
        <v>131240111</v>
      </c>
      <c r="I592" s="257">
        <v>128034241</v>
      </c>
    </row>
    <row r="593" spans="1:9" ht="15">
      <c r="A593" s="386" t="s">
        <v>2401</v>
      </c>
      <c r="B593" s="218">
        <v>6951868672</v>
      </c>
      <c r="C593" s="218">
        <v>6951868672</v>
      </c>
      <c r="D593" s="218">
        <v>6958484442</v>
      </c>
      <c r="E593" s="218">
        <v>6958484442</v>
      </c>
      <c r="F593" s="257">
        <v>6958484442</v>
      </c>
      <c r="G593" s="257">
        <v>6951868672</v>
      </c>
      <c r="H593" s="257">
        <v>6958484442</v>
      </c>
      <c r="I593" s="257">
        <v>6951868672</v>
      </c>
    </row>
    <row r="594" spans="1:9" ht="15">
      <c r="A594" s="386" t="s">
        <v>2265</v>
      </c>
      <c r="B594" s="218">
        <v>710326912</v>
      </c>
      <c r="C594" s="218">
        <v>710326912</v>
      </c>
      <c r="D594" s="218">
        <v>727741414</v>
      </c>
      <c r="E594" s="218">
        <v>727741414</v>
      </c>
      <c r="F594" s="257">
        <v>727741414</v>
      </c>
      <c r="G594" s="257">
        <v>710326912</v>
      </c>
      <c r="H594" s="257">
        <v>727741414</v>
      </c>
      <c r="I594" s="257">
        <v>710326912</v>
      </c>
    </row>
    <row r="595" spans="1:9" ht="15">
      <c r="A595" s="386" t="s">
        <v>2266</v>
      </c>
      <c r="B595" s="218">
        <v>431833593</v>
      </c>
      <c r="C595" s="218">
        <v>431833593</v>
      </c>
      <c r="D595" s="218">
        <v>437365170</v>
      </c>
      <c r="E595" s="218">
        <v>437365170</v>
      </c>
      <c r="F595" s="257">
        <v>431833000</v>
      </c>
      <c r="G595" s="257">
        <v>426301423</v>
      </c>
      <c r="H595" s="257">
        <v>431833000</v>
      </c>
      <c r="I595" s="257">
        <v>426301423</v>
      </c>
    </row>
    <row r="596" spans="1:9" ht="15">
      <c r="A596" s="386" t="s">
        <v>2267</v>
      </c>
      <c r="B596" s="218">
        <v>739452988</v>
      </c>
      <c r="C596" s="218">
        <v>739452988</v>
      </c>
      <c r="D596" s="218">
        <v>750569474</v>
      </c>
      <c r="E596" s="218">
        <v>750569474</v>
      </c>
      <c r="F596" s="257">
        <v>750569474</v>
      </c>
      <c r="G596" s="257">
        <v>739452988</v>
      </c>
      <c r="H596" s="257">
        <v>750569474</v>
      </c>
      <c r="I596" s="257">
        <v>739452988</v>
      </c>
    </row>
    <row r="597" spans="1:9" ht="15">
      <c r="A597" s="386" t="s">
        <v>2268</v>
      </c>
      <c r="B597" s="218">
        <v>56822830</v>
      </c>
      <c r="C597" s="218">
        <v>56822830</v>
      </c>
      <c r="D597" s="218">
        <v>59234408</v>
      </c>
      <c r="E597" s="218">
        <v>59234408</v>
      </c>
      <c r="F597" s="257">
        <v>56355142</v>
      </c>
      <c r="G597" s="257">
        <v>53943564</v>
      </c>
      <c r="H597" s="257">
        <v>56355142</v>
      </c>
      <c r="I597" s="257">
        <v>53943564</v>
      </c>
    </row>
    <row r="598" spans="1:9" ht="15">
      <c r="A598" s="386" t="s">
        <v>2269</v>
      </c>
      <c r="B598" s="218">
        <v>66129011</v>
      </c>
      <c r="C598" s="218">
        <v>66129011</v>
      </c>
      <c r="D598" s="218">
        <v>68623451</v>
      </c>
      <c r="E598" s="218">
        <v>68623451</v>
      </c>
      <c r="F598" s="257">
        <v>68623451</v>
      </c>
      <c r="G598" s="257">
        <v>66129011</v>
      </c>
      <c r="H598" s="257">
        <v>68623451</v>
      </c>
      <c r="I598" s="257">
        <v>66129011</v>
      </c>
    </row>
    <row r="599" spans="1:9" ht="15">
      <c r="A599" s="386" t="s">
        <v>2586</v>
      </c>
      <c r="B599" s="218">
        <v>95471352</v>
      </c>
      <c r="C599" s="218">
        <v>95471352</v>
      </c>
      <c r="D599" s="218">
        <v>97705726</v>
      </c>
      <c r="E599" s="218">
        <v>97705726</v>
      </c>
      <c r="F599" s="257">
        <v>95263890</v>
      </c>
      <c r="G599" s="257">
        <v>93029516</v>
      </c>
      <c r="H599" s="257">
        <v>95263890</v>
      </c>
      <c r="I599" s="257">
        <v>93029516</v>
      </c>
    </row>
    <row r="600" spans="1:9" ht="15">
      <c r="A600" s="386" t="s">
        <v>2587</v>
      </c>
      <c r="B600" s="218">
        <v>785069060</v>
      </c>
      <c r="C600" s="218">
        <v>785069060</v>
      </c>
      <c r="D600" s="218">
        <v>804734955</v>
      </c>
      <c r="E600" s="218">
        <v>804734955</v>
      </c>
      <c r="F600" s="257">
        <v>792387789</v>
      </c>
      <c r="G600" s="257">
        <v>772721894</v>
      </c>
      <c r="H600" s="257">
        <v>792387789</v>
      </c>
      <c r="I600" s="257">
        <v>772721894</v>
      </c>
    </row>
    <row r="601" spans="1:9" ht="15">
      <c r="A601" s="386" t="s">
        <v>2588</v>
      </c>
      <c r="B601" s="218">
        <v>381071837</v>
      </c>
      <c r="C601" s="218">
        <v>381071837</v>
      </c>
      <c r="D601" s="218">
        <v>394435076</v>
      </c>
      <c r="E601" s="218">
        <v>394435076</v>
      </c>
      <c r="F601" s="257">
        <v>394435076</v>
      </c>
      <c r="G601" s="257">
        <v>381071837</v>
      </c>
      <c r="H601" s="257">
        <v>394435076</v>
      </c>
      <c r="I601" s="257">
        <v>381071837</v>
      </c>
    </row>
    <row r="602" spans="1:9" ht="15">
      <c r="A602" s="386" t="s">
        <v>2589</v>
      </c>
      <c r="B602" s="218">
        <v>154902253</v>
      </c>
      <c r="C602" s="218">
        <v>154902253</v>
      </c>
      <c r="D602" s="218">
        <v>157724089</v>
      </c>
      <c r="E602" s="218">
        <v>157724089</v>
      </c>
      <c r="F602" s="257">
        <v>157080339</v>
      </c>
      <c r="G602" s="257">
        <v>154258503</v>
      </c>
      <c r="H602" s="257">
        <v>157080339</v>
      </c>
      <c r="I602" s="257">
        <v>154258503</v>
      </c>
    </row>
    <row r="603" spans="1:9" ht="15">
      <c r="A603" s="386" t="s">
        <v>2590</v>
      </c>
      <c r="B603" s="218">
        <v>411141606</v>
      </c>
      <c r="C603" s="218">
        <v>411141606</v>
      </c>
      <c r="D603" s="218">
        <v>421174593</v>
      </c>
      <c r="E603" s="218">
        <v>421174593</v>
      </c>
      <c r="F603" s="257">
        <v>418852403</v>
      </c>
      <c r="G603" s="257">
        <v>408819416</v>
      </c>
      <c r="H603" s="257">
        <v>418852403</v>
      </c>
      <c r="I603" s="257">
        <v>408819416</v>
      </c>
    </row>
    <row r="604" spans="1:9" ht="15">
      <c r="A604" s="386" t="s">
        <v>1381</v>
      </c>
      <c r="B604" s="218">
        <v>380299143</v>
      </c>
      <c r="C604" s="218">
        <v>380299143</v>
      </c>
      <c r="D604" s="218">
        <v>391281403</v>
      </c>
      <c r="E604" s="218">
        <v>391281403</v>
      </c>
      <c r="F604" s="257">
        <v>386281788</v>
      </c>
      <c r="G604" s="257">
        <v>375299528</v>
      </c>
      <c r="H604" s="257">
        <v>386281788</v>
      </c>
      <c r="I604" s="257">
        <v>375299528</v>
      </c>
    </row>
    <row r="605" spans="1:9" ht="15">
      <c r="A605" s="386" t="s">
        <v>1382</v>
      </c>
      <c r="B605" s="218">
        <v>320771663</v>
      </c>
      <c r="C605" s="218">
        <v>320771663</v>
      </c>
      <c r="D605" s="218">
        <v>330944077</v>
      </c>
      <c r="E605" s="218">
        <v>330944077</v>
      </c>
      <c r="F605" s="257">
        <v>318970513</v>
      </c>
      <c r="G605" s="257">
        <v>308798099</v>
      </c>
      <c r="H605" s="257">
        <v>318970513</v>
      </c>
      <c r="I605" s="257">
        <v>308798099</v>
      </c>
    </row>
    <row r="606" spans="1:9" ht="15">
      <c r="A606" s="386" t="s">
        <v>2426</v>
      </c>
      <c r="B606" s="218">
        <v>103597364</v>
      </c>
      <c r="C606" s="218">
        <v>103597364</v>
      </c>
      <c r="D606" s="218">
        <v>105767132</v>
      </c>
      <c r="E606" s="218">
        <v>105767132</v>
      </c>
      <c r="F606" s="257">
        <v>105767132</v>
      </c>
      <c r="G606" s="257">
        <v>103597364</v>
      </c>
      <c r="H606" s="257">
        <v>105767132</v>
      </c>
      <c r="I606" s="257">
        <v>103597364</v>
      </c>
    </row>
    <row r="607" spans="1:9" ht="15">
      <c r="A607" s="386" t="s">
        <v>2111</v>
      </c>
      <c r="B607" s="218">
        <v>778456482</v>
      </c>
      <c r="C607" s="218">
        <v>778456482</v>
      </c>
      <c r="D607" s="218">
        <v>786738838</v>
      </c>
      <c r="E607" s="218">
        <v>786738838</v>
      </c>
      <c r="F607" s="257">
        <v>786738838</v>
      </c>
      <c r="G607" s="257">
        <v>778456482</v>
      </c>
      <c r="H607" s="257">
        <v>786738838</v>
      </c>
      <c r="I607" s="257">
        <v>778456482</v>
      </c>
    </row>
    <row r="608" spans="1:9" ht="15">
      <c r="A608" s="386" t="s">
        <v>2633</v>
      </c>
      <c r="B608" s="218">
        <v>929140990</v>
      </c>
      <c r="C608" s="218">
        <v>929140990</v>
      </c>
      <c r="D608" s="218">
        <v>960613895</v>
      </c>
      <c r="E608" s="218">
        <v>960613895</v>
      </c>
      <c r="F608" s="257">
        <v>960613895</v>
      </c>
      <c r="G608" s="257">
        <v>929140990</v>
      </c>
      <c r="H608" s="257">
        <v>960613895</v>
      </c>
      <c r="I608" s="257">
        <v>929140990</v>
      </c>
    </row>
    <row r="609" spans="1:9" ht="15">
      <c r="A609" s="386" t="s">
        <v>2408</v>
      </c>
      <c r="B609" s="218">
        <v>1624869112</v>
      </c>
      <c r="C609" s="218">
        <v>1624869112</v>
      </c>
      <c r="D609" s="218">
        <v>1670403038</v>
      </c>
      <c r="E609" s="218">
        <v>1670403038</v>
      </c>
      <c r="F609" s="257">
        <v>1670403038</v>
      </c>
      <c r="G609" s="257">
        <v>1624869112</v>
      </c>
      <c r="H609" s="257">
        <v>1670403038</v>
      </c>
      <c r="I609" s="257">
        <v>1624869112</v>
      </c>
    </row>
    <row r="610" spans="1:9" ht="15">
      <c r="A610" s="386" t="s">
        <v>2112</v>
      </c>
      <c r="B610" s="218">
        <v>223712412</v>
      </c>
      <c r="C610" s="218">
        <v>223712412</v>
      </c>
      <c r="D610" s="218">
        <v>223712412</v>
      </c>
      <c r="E610" s="218">
        <v>223712412</v>
      </c>
      <c r="F610" s="257">
        <v>223712412</v>
      </c>
      <c r="G610" s="257">
        <v>223712412</v>
      </c>
      <c r="H610" s="257">
        <v>223712412</v>
      </c>
      <c r="I610" s="257">
        <v>223712412</v>
      </c>
    </row>
    <row r="611" spans="1:9" ht="15">
      <c r="A611" s="386" t="s">
        <v>2515</v>
      </c>
      <c r="B611" s="218">
        <v>358253512</v>
      </c>
      <c r="C611" s="218">
        <v>358253512</v>
      </c>
      <c r="D611" s="218">
        <v>372750639</v>
      </c>
      <c r="E611" s="218">
        <v>372750639</v>
      </c>
      <c r="F611" s="257">
        <v>372750639</v>
      </c>
      <c r="G611" s="257">
        <v>358253512</v>
      </c>
      <c r="H611" s="257">
        <v>372750639</v>
      </c>
      <c r="I611" s="257">
        <v>358253512</v>
      </c>
    </row>
    <row r="612" spans="1:9" ht="15">
      <c r="A612" s="386" t="s">
        <v>1116</v>
      </c>
      <c r="B612" s="218">
        <v>273309264</v>
      </c>
      <c r="C612" s="218">
        <v>273309264</v>
      </c>
      <c r="D612" s="218">
        <v>273309264</v>
      </c>
      <c r="E612" s="218">
        <v>273309264</v>
      </c>
      <c r="F612" s="257">
        <v>273309264</v>
      </c>
      <c r="G612" s="257">
        <v>273309264</v>
      </c>
      <c r="H612" s="257">
        <v>273309264</v>
      </c>
      <c r="I612" s="257">
        <v>273309264</v>
      </c>
    </row>
    <row r="613" spans="1:9" ht="15">
      <c r="A613" s="386" t="s">
        <v>2113</v>
      </c>
      <c r="B613" s="218">
        <v>896200465</v>
      </c>
      <c r="C613" s="218">
        <v>995873785</v>
      </c>
      <c r="D613" s="218">
        <v>896200465</v>
      </c>
      <c r="E613" s="218">
        <v>995873785</v>
      </c>
      <c r="F613" s="257">
        <v>896200465</v>
      </c>
      <c r="G613" s="257">
        <v>896200465</v>
      </c>
      <c r="H613" s="257">
        <v>995873785</v>
      </c>
      <c r="I613" s="257">
        <v>995873785</v>
      </c>
    </row>
    <row r="614" spans="1:9" ht="15">
      <c r="A614" s="386" t="s">
        <v>2114</v>
      </c>
      <c r="B614" s="218">
        <v>463353547</v>
      </c>
      <c r="C614" s="218">
        <v>463353547</v>
      </c>
      <c r="D614" s="218">
        <v>463353547</v>
      </c>
      <c r="E614" s="218">
        <v>463353547</v>
      </c>
      <c r="F614" s="257">
        <v>463353547</v>
      </c>
      <c r="G614" s="257">
        <v>463353547</v>
      </c>
      <c r="H614" s="257">
        <v>463353547</v>
      </c>
      <c r="I614" s="257">
        <v>463353547</v>
      </c>
    </row>
    <row r="615" spans="1:9" ht="15">
      <c r="A615" s="386" t="s">
        <v>967</v>
      </c>
      <c r="B615" s="218">
        <v>38834570</v>
      </c>
      <c r="C615" s="218">
        <v>38834570</v>
      </c>
      <c r="D615" s="218">
        <v>40601314</v>
      </c>
      <c r="E615" s="218">
        <v>40601314</v>
      </c>
      <c r="F615" s="257">
        <v>40601314</v>
      </c>
      <c r="G615" s="257">
        <v>38834570</v>
      </c>
      <c r="H615" s="257">
        <v>40601314</v>
      </c>
      <c r="I615" s="257">
        <v>38834570</v>
      </c>
    </row>
    <row r="616" spans="1:9" ht="15">
      <c r="A616" s="386" t="s">
        <v>1337</v>
      </c>
      <c r="B616" s="218">
        <v>1672474278</v>
      </c>
      <c r="C616" s="218">
        <v>1672474278</v>
      </c>
      <c r="D616" s="218">
        <v>1692865592</v>
      </c>
      <c r="E616" s="218">
        <v>1692865592</v>
      </c>
      <c r="F616" s="257">
        <v>1692865592</v>
      </c>
      <c r="G616" s="257">
        <v>1672474278</v>
      </c>
      <c r="H616" s="257">
        <v>1692865592</v>
      </c>
      <c r="I616" s="257">
        <v>1672474278</v>
      </c>
    </row>
    <row r="617" spans="1:9" ht="15">
      <c r="A617" s="386" t="s">
        <v>1689</v>
      </c>
      <c r="B617" s="218">
        <v>416232474</v>
      </c>
      <c r="C617" s="218">
        <v>416232474</v>
      </c>
      <c r="D617" s="218">
        <v>436466106</v>
      </c>
      <c r="E617" s="218">
        <v>436466106</v>
      </c>
      <c r="F617" s="257">
        <v>436466106</v>
      </c>
      <c r="G617" s="257">
        <v>416232474</v>
      </c>
      <c r="H617" s="257">
        <v>436466106</v>
      </c>
      <c r="I617" s="257">
        <v>416232474</v>
      </c>
    </row>
    <row r="618" spans="1:9" ht="15">
      <c r="A618" s="386" t="s">
        <v>1690</v>
      </c>
      <c r="B618" s="218">
        <v>329752427</v>
      </c>
      <c r="C618" s="218">
        <v>329752427</v>
      </c>
      <c r="D618" s="218">
        <v>332304397</v>
      </c>
      <c r="E618" s="218">
        <v>332304397</v>
      </c>
      <c r="F618" s="257">
        <v>332304397</v>
      </c>
      <c r="G618" s="257">
        <v>329752427</v>
      </c>
      <c r="H618" s="257">
        <v>332304397</v>
      </c>
      <c r="I618" s="257">
        <v>329752427</v>
      </c>
    </row>
    <row r="619" spans="1:9" ht="15">
      <c r="A619" s="386" t="s">
        <v>2557</v>
      </c>
      <c r="B619" s="218">
        <v>180664842</v>
      </c>
      <c r="C619" s="218">
        <v>180664842</v>
      </c>
      <c r="D619" s="218">
        <v>181896002</v>
      </c>
      <c r="E619" s="218">
        <v>181896002</v>
      </c>
      <c r="F619" s="257">
        <v>181896002</v>
      </c>
      <c r="G619" s="257">
        <v>180664842</v>
      </c>
      <c r="H619" s="257">
        <v>181896002</v>
      </c>
      <c r="I619" s="257">
        <v>180664842</v>
      </c>
    </row>
    <row r="620" spans="1:9" ht="15">
      <c r="A620" s="386" t="s">
        <v>2558</v>
      </c>
      <c r="B620" s="218">
        <v>331024627</v>
      </c>
      <c r="C620" s="218">
        <v>331024627</v>
      </c>
      <c r="D620" s="218">
        <v>331903757</v>
      </c>
      <c r="E620" s="218">
        <v>331903757</v>
      </c>
      <c r="F620" s="257">
        <v>331903757</v>
      </c>
      <c r="G620" s="257">
        <v>331024627</v>
      </c>
      <c r="H620" s="257">
        <v>331903757</v>
      </c>
      <c r="I620" s="257">
        <v>331024627</v>
      </c>
    </row>
    <row r="621" spans="1:9" ht="15">
      <c r="A621" s="386" t="s">
        <v>2659</v>
      </c>
      <c r="B621" s="218">
        <v>125518221</v>
      </c>
      <c r="C621" s="218">
        <v>125518221</v>
      </c>
      <c r="D621" s="218">
        <v>126540691</v>
      </c>
      <c r="E621" s="218">
        <v>126540691</v>
      </c>
      <c r="F621" s="257">
        <v>126540691</v>
      </c>
      <c r="G621" s="257">
        <v>125518221</v>
      </c>
      <c r="H621" s="257">
        <v>126540691</v>
      </c>
      <c r="I621" s="257">
        <v>125518221</v>
      </c>
    </row>
    <row r="622" spans="1:9" ht="15">
      <c r="A622" s="386" t="s">
        <v>837</v>
      </c>
      <c r="B622" s="218">
        <v>752259425</v>
      </c>
      <c r="C622" s="218">
        <v>752259425</v>
      </c>
      <c r="D622" s="218">
        <v>766659426</v>
      </c>
      <c r="E622" s="218">
        <v>766659426</v>
      </c>
      <c r="F622" s="257">
        <v>751689160</v>
      </c>
      <c r="G622" s="257">
        <v>737289159</v>
      </c>
      <c r="H622" s="257">
        <v>751689160</v>
      </c>
      <c r="I622" s="257">
        <v>737289159</v>
      </c>
    </row>
    <row r="623" spans="1:9" ht="15">
      <c r="A623" s="386" t="s">
        <v>82</v>
      </c>
      <c r="B623" s="218">
        <v>2342044712</v>
      </c>
      <c r="C623" s="218">
        <v>2342044712</v>
      </c>
      <c r="D623" s="218">
        <v>2348995282</v>
      </c>
      <c r="E623" s="218">
        <v>2348995282</v>
      </c>
      <c r="F623" s="257">
        <v>2342860291</v>
      </c>
      <c r="G623" s="257">
        <v>2335909721</v>
      </c>
      <c r="H623" s="257">
        <v>2342860291</v>
      </c>
      <c r="I623" s="257">
        <v>2335909721</v>
      </c>
    </row>
    <row r="624" spans="1:9" ht="15">
      <c r="A624" s="386" t="s">
        <v>83</v>
      </c>
      <c r="B624" s="218">
        <v>3175917173</v>
      </c>
      <c r="C624" s="218">
        <v>3175917173</v>
      </c>
      <c r="D624" s="218">
        <v>3219358786</v>
      </c>
      <c r="E624" s="218">
        <v>3219358786</v>
      </c>
      <c r="F624" s="257">
        <v>3162326865</v>
      </c>
      <c r="G624" s="257">
        <v>3118885252</v>
      </c>
      <c r="H624" s="257">
        <v>3162326865</v>
      </c>
      <c r="I624" s="257">
        <v>3118885252</v>
      </c>
    </row>
    <row r="625" spans="1:9" ht="15">
      <c r="A625" s="386" t="s">
        <v>2284</v>
      </c>
      <c r="B625" s="218">
        <v>9565934080</v>
      </c>
      <c r="C625" s="218">
        <v>9565934080</v>
      </c>
      <c r="D625" s="218">
        <v>9870927472</v>
      </c>
      <c r="E625" s="218">
        <v>9870927472</v>
      </c>
      <c r="F625" s="257">
        <v>9870927472</v>
      </c>
      <c r="G625" s="257">
        <v>9565934080</v>
      </c>
      <c r="H625" s="257">
        <v>9870927472</v>
      </c>
      <c r="I625" s="257">
        <v>9565934080</v>
      </c>
    </row>
    <row r="626" spans="1:9" ht="15">
      <c r="A626" s="386" t="s">
        <v>2410</v>
      </c>
      <c r="B626" s="218">
        <v>198460210</v>
      </c>
      <c r="C626" s="218">
        <v>198460210</v>
      </c>
      <c r="D626" s="218">
        <v>203563113</v>
      </c>
      <c r="E626" s="218">
        <v>203563113</v>
      </c>
      <c r="F626" s="257">
        <v>203563113</v>
      </c>
      <c r="G626" s="257">
        <v>198460210</v>
      </c>
      <c r="H626" s="257">
        <v>203563113</v>
      </c>
      <c r="I626" s="257">
        <v>198460210</v>
      </c>
    </row>
    <row r="627" spans="1:9" ht="15">
      <c r="A627" s="386" t="s">
        <v>2411</v>
      </c>
      <c r="B627" s="218">
        <v>364294745</v>
      </c>
      <c r="C627" s="218">
        <v>364294745</v>
      </c>
      <c r="D627" s="218">
        <v>378970400</v>
      </c>
      <c r="E627" s="218">
        <v>378970400</v>
      </c>
      <c r="F627" s="257">
        <v>378970400</v>
      </c>
      <c r="G627" s="257">
        <v>364294745</v>
      </c>
      <c r="H627" s="257">
        <v>378970400</v>
      </c>
      <c r="I627" s="257">
        <v>364294745</v>
      </c>
    </row>
    <row r="628" spans="1:9" ht="15">
      <c r="A628" s="386" t="s">
        <v>2104</v>
      </c>
      <c r="B628" s="218">
        <v>2268093526</v>
      </c>
      <c r="C628" s="218">
        <v>2268093526</v>
      </c>
      <c r="D628" s="218">
        <v>2329422191</v>
      </c>
      <c r="E628" s="218">
        <v>2329422191</v>
      </c>
      <c r="F628" s="257">
        <v>2329422191</v>
      </c>
      <c r="G628" s="257">
        <v>2268093526</v>
      </c>
      <c r="H628" s="257">
        <v>2329422191</v>
      </c>
      <c r="I628" s="257">
        <v>2268093526</v>
      </c>
    </row>
    <row r="629" spans="1:9" ht="15">
      <c r="A629" s="386" t="s">
        <v>1423</v>
      </c>
      <c r="B629" s="218">
        <v>3196952424</v>
      </c>
      <c r="C629" s="218">
        <v>3196952424</v>
      </c>
      <c r="D629" s="218">
        <v>3281634926</v>
      </c>
      <c r="E629" s="218">
        <v>3281634926</v>
      </c>
      <c r="F629" s="257">
        <v>3281634926</v>
      </c>
      <c r="G629" s="257">
        <v>3196952424</v>
      </c>
      <c r="H629" s="257">
        <v>3281634926</v>
      </c>
      <c r="I629" s="257">
        <v>3196952424</v>
      </c>
    </row>
    <row r="630" spans="1:9" ht="15">
      <c r="A630" s="386" t="s">
        <v>2412</v>
      </c>
      <c r="B630" s="218">
        <v>215821928</v>
      </c>
      <c r="C630" s="218">
        <v>215821928</v>
      </c>
      <c r="D630" s="218">
        <v>223380398</v>
      </c>
      <c r="E630" s="218">
        <v>223380398</v>
      </c>
      <c r="F630" s="257">
        <v>223380398</v>
      </c>
      <c r="G630" s="257">
        <v>215821928</v>
      </c>
      <c r="H630" s="257">
        <v>223380398</v>
      </c>
      <c r="I630" s="257">
        <v>215821928</v>
      </c>
    </row>
    <row r="631" spans="1:9" ht="15">
      <c r="A631" s="386" t="s">
        <v>496</v>
      </c>
      <c r="B631" s="218">
        <v>267657741</v>
      </c>
      <c r="C631" s="218">
        <v>267657741</v>
      </c>
      <c r="D631" s="218">
        <v>277294231</v>
      </c>
      <c r="E631" s="218">
        <v>277294231</v>
      </c>
      <c r="F631" s="257">
        <v>277294231</v>
      </c>
      <c r="G631" s="257">
        <v>267657741</v>
      </c>
      <c r="H631" s="257">
        <v>277294231</v>
      </c>
      <c r="I631" s="257">
        <v>267657741</v>
      </c>
    </row>
    <row r="632" spans="1:9" ht="15">
      <c r="A632" s="386" t="s">
        <v>677</v>
      </c>
      <c r="B632" s="218">
        <v>223294745</v>
      </c>
      <c r="C632" s="218">
        <v>223294745</v>
      </c>
      <c r="D632" s="218">
        <v>231269951</v>
      </c>
      <c r="E632" s="218">
        <v>231269951</v>
      </c>
      <c r="F632" s="257">
        <v>231269951</v>
      </c>
      <c r="G632" s="257">
        <v>223294745</v>
      </c>
      <c r="H632" s="257">
        <v>231269951</v>
      </c>
      <c r="I632" s="257">
        <v>223294745</v>
      </c>
    </row>
    <row r="633" spans="1:9" ht="15">
      <c r="A633" s="386" t="s">
        <v>2347</v>
      </c>
      <c r="B633" s="218">
        <v>112355622</v>
      </c>
      <c r="C633" s="218">
        <v>327691112</v>
      </c>
      <c r="D633" s="218">
        <v>114335962</v>
      </c>
      <c r="E633" s="218">
        <v>329671452</v>
      </c>
      <c r="F633" s="257">
        <v>114335962</v>
      </c>
      <c r="G633" s="257">
        <v>112355622</v>
      </c>
      <c r="H633" s="257">
        <v>329671452</v>
      </c>
      <c r="I633" s="257">
        <v>327691112</v>
      </c>
    </row>
    <row r="634" spans="1:9" ht="15">
      <c r="A634" s="386" t="s">
        <v>2348</v>
      </c>
      <c r="B634" s="218">
        <v>112660437</v>
      </c>
      <c r="C634" s="218">
        <v>112660437</v>
      </c>
      <c r="D634" s="218">
        <v>117931557</v>
      </c>
      <c r="E634" s="218">
        <v>117931557</v>
      </c>
      <c r="F634" s="257">
        <v>117931557</v>
      </c>
      <c r="G634" s="257">
        <v>112660437</v>
      </c>
      <c r="H634" s="257">
        <v>117931557</v>
      </c>
      <c r="I634" s="257">
        <v>112660437</v>
      </c>
    </row>
    <row r="635" spans="1:9" ht="15">
      <c r="A635" s="386" t="s">
        <v>2349</v>
      </c>
      <c r="B635" s="218">
        <v>60693543</v>
      </c>
      <c r="C635" s="218">
        <v>60693543</v>
      </c>
      <c r="D635" s="218">
        <v>62600783</v>
      </c>
      <c r="E635" s="218">
        <v>62600783</v>
      </c>
      <c r="F635" s="257">
        <v>62600783</v>
      </c>
      <c r="G635" s="257">
        <v>60693543</v>
      </c>
      <c r="H635" s="257">
        <v>62600783</v>
      </c>
      <c r="I635" s="257">
        <v>60693543</v>
      </c>
    </row>
    <row r="636" spans="1:9" ht="15">
      <c r="A636" s="386" t="s">
        <v>1464</v>
      </c>
      <c r="B636" s="218">
        <v>44956962</v>
      </c>
      <c r="C636" s="218">
        <v>44956962</v>
      </c>
      <c r="D636" s="218">
        <v>46494702</v>
      </c>
      <c r="E636" s="218">
        <v>46494702</v>
      </c>
      <c r="F636" s="257">
        <v>46494702</v>
      </c>
      <c r="G636" s="257">
        <v>44956962</v>
      </c>
      <c r="H636" s="257">
        <v>46494702</v>
      </c>
      <c r="I636" s="257">
        <v>44956962</v>
      </c>
    </row>
    <row r="637" spans="1:9" ht="15">
      <c r="A637" s="386" t="s">
        <v>2091</v>
      </c>
      <c r="B637" s="218">
        <v>889079838</v>
      </c>
      <c r="C637" s="218">
        <v>889079838</v>
      </c>
      <c r="D637" s="218">
        <v>909122839</v>
      </c>
      <c r="E637" s="218">
        <v>909122839</v>
      </c>
      <c r="F637" s="257">
        <v>909122839</v>
      </c>
      <c r="G637" s="257">
        <v>889079838</v>
      </c>
      <c r="H637" s="257">
        <v>909122839</v>
      </c>
      <c r="I637" s="257">
        <v>889079838</v>
      </c>
    </row>
    <row r="638" spans="1:9" ht="15">
      <c r="A638" s="386" t="s">
        <v>1465</v>
      </c>
      <c r="B638" s="218">
        <v>327302138</v>
      </c>
      <c r="C638" s="218">
        <v>327302138</v>
      </c>
      <c r="D638" s="218">
        <v>330975983</v>
      </c>
      <c r="E638" s="218">
        <v>330975983</v>
      </c>
      <c r="F638" s="257">
        <v>330975983</v>
      </c>
      <c r="G638" s="257">
        <v>327302138</v>
      </c>
      <c r="H638" s="257">
        <v>330975983</v>
      </c>
      <c r="I638" s="257">
        <v>327302138</v>
      </c>
    </row>
    <row r="639" spans="1:9" ht="15">
      <c r="A639" s="386" t="s">
        <v>382</v>
      </c>
      <c r="B639" s="218">
        <v>624360944</v>
      </c>
      <c r="C639" s="218">
        <v>624360944</v>
      </c>
      <c r="D639" s="218">
        <v>647269424</v>
      </c>
      <c r="E639" s="218">
        <v>647269424</v>
      </c>
      <c r="F639" s="257">
        <v>636940964</v>
      </c>
      <c r="G639" s="257">
        <v>614032484</v>
      </c>
      <c r="H639" s="257">
        <v>636940964</v>
      </c>
      <c r="I639" s="257">
        <v>614032484</v>
      </c>
    </row>
    <row r="640" spans="1:9" ht="15">
      <c r="A640" s="386" t="s">
        <v>383</v>
      </c>
      <c r="B640" s="218">
        <v>2217187644</v>
      </c>
      <c r="C640" s="218">
        <v>2274014784</v>
      </c>
      <c r="D640" s="218">
        <v>2225388364</v>
      </c>
      <c r="E640" s="218">
        <v>2282215504</v>
      </c>
      <c r="F640" s="257">
        <v>2220557397</v>
      </c>
      <c r="G640" s="257">
        <v>2212356677</v>
      </c>
      <c r="H640" s="257">
        <v>2277384537</v>
      </c>
      <c r="I640" s="257">
        <v>2269183817</v>
      </c>
    </row>
    <row r="641" spans="1:9" ht="15">
      <c r="A641" s="386" t="s">
        <v>384</v>
      </c>
      <c r="B641" s="218">
        <v>1770376019</v>
      </c>
      <c r="C641" s="218">
        <v>1778185849</v>
      </c>
      <c r="D641" s="218">
        <v>1771517589</v>
      </c>
      <c r="E641" s="218">
        <v>1779327419</v>
      </c>
      <c r="F641" s="257">
        <v>1770407889</v>
      </c>
      <c r="G641" s="257">
        <v>1769266319</v>
      </c>
      <c r="H641" s="257">
        <v>1778217719</v>
      </c>
      <c r="I641" s="257">
        <v>1777076149</v>
      </c>
    </row>
    <row r="642" spans="1:9" ht="15">
      <c r="A642" s="386" t="s">
        <v>1655</v>
      </c>
      <c r="B642" s="218">
        <v>339498720</v>
      </c>
      <c r="C642" s="218">
        <v>339498720</v>
      </c>
      <c r="D642" s="218">
        <v>350736010</v>
      </c>
      <c r="E642" s="218">
        <v>350736010</v>
      </c>
      <c r="F642" s="257">
        <v>350736010</v>
      </c>
      <c r="G642" s="257">
        <v>339498720</v>
      </c>
      <c r="H642" s="257">
        <v>350736010</v>
      </c>
      <c r="I642" s="257">
        <v>339498720</v>
      </c>
    </row>
    <row r="643" spans="1:9" ht="15">
      <c r="A643" s="386" t="s">
        <v>1656</v>
      </c>
      <c r="B643" s="218">
        <v>1134294633</v>
      </c>
      <c r="C643" s="218">
        <v>1134294633</v>
      </c>
      <c r="D643" s="218">
        <v>1168013483</v>
      </c>
      <c r="E643" s="218">
        <v>1168013483</v>
      </c>
      <c r="F643" s="257">
        <v>1168013483</v>
      </c>
      <c r="G643" s="257">
        <v>1134294633</v>
      </c>
      <c r="H643" s="257">
        <v>1168013483</v>
      </c>
      <c r="I643" s="257">
        <v>1134294633</v>
      </c>
    </row>
    <row r="644" spans="1:9" ht="15">
      <c r="A644" s="386" t="s">
        <v>173</v>
      </c>
      <c r="B644" s="218">
        <v>1024358211</v>
      </c>
      <c r="C644" s="218">
        <v>1024358211</v>
      </c>
      <c r="D644" s="218">
        <v>1032468402</v>
      </c>
      <c r="E644" s="218">
        <v>1032468402</v>
      </c>
      <c r="F644" s="257">
        <v>1023868209</v>
      </c>
      <c r="G644" s="257">
        <v>1015758018</v>
      </c>
      <c r="H644" s="257">
        <v>1023868209</v>
      </c>
      <c r="I644" s="257">
        <v>1015758018</v>
      </c>
    </row>
    <row r="645" spans="1:9" ht="15">
      <c r="A645" s="386" t="s">
        <v>2128</v>
      </c>
      <c r="B645" s="218">
        <v>266241604</v>
      </c>
      <c r="C645" s="218">
        <v>266241604</v>
      </c>
      <c r="D645" s="218">
        <v>268961326</v>
      </c>
      <c r="E645" s="218">
        <v>268961326</v>
      </c>
      <c r="F645" s="257">
        <v>263882780</v>
      </c>
      <c r="G645" s="257">
        <v>261163058</v>
      </c>
      <c r="H645" s="257">
        <v>263882780</v>
      </c>
      <c r="I645" s="257">
        <v>261163058</v>
      </c>
    </row>
    <row r="646" spans="1:9" ht="15">
      <c r="A646" s="386" t="s">
        <v>2129</v>
      </c>
      <c r="B646" s="218">
        <v>1289944854</v>
      </c>
      <c r="C646" s="218">
        <v>1289944854</v>
      </c>
      <c r="D646" s="218">
        <v>1303041058</v>
      </c>
      <c r="E646" s="218">
        <v>1303041058</v>
      </c>
      <c r="F646" s="257">
        <v>1287637802</v>
      </c>
      <c r="G646" s="257">
        <v>1274541598</v>
      </c>
      <c r="H646" s="257">
        <v>1287637802</v>
      </c>
      <c r="I646" s="257">
        <v>1274541598</v>
      </c>
    </row>
    <row r="647" spans="1:9" ht="15">
      <c r="A647" s="386" t="s">
        <v>2130</v>
      </c>
      <c r="B647" s="218">
        <v>713412955</v>
      </c>
      <c r="C647" s="218">
        <v>713412955</v>
      </c>
      <c r="D647" s="218">
        <v>726362753</v>
      </c>
      <c r="E647" s="218">
        <v>726362753</v>
      </c>
      <c r="F647" s="257">
        <v>709301165</v>
      </c>
      <c r="G647" s="257">
        <v>696351367</v>
      </c>
      <c r="H647" s="257">
        <v>709301165</v>
      </c>
      <c r="I647" s="257">
        <v>696351367</v>
      </c>
    </row>
    <row r="648" spans="1:9" ht="15">
      <c r="A648" s="386" t="s">
        <v>1813</v>
      </c>
      <c r="B648" s="218">
        <v>2134067484</v>
      </c>
      <c r="C648" s="218">
        <v>2134067484</v>
      </c>
      <c r="D648" s="218">
        <v>2205455652</v>
      </c>
      <c r="E648" s="218">
        <v>2205455652</v>
      </c>
      <c r="F648" s="257">
        <v>2205455652</v>
      </c>
      <c r="G648" s="257">
        <v>2134067484</v>
      </c>
      <c r="H648" s="257">
        <v>2205455652</v>
      </c>
      <c r="I648" s="257">
        <v>2134067484</v>
      </c>
    </row>
    <row r="649" spans="1:9" ht="15">
      <c r="A649" s="386" t="s">
        <v>880</v>
      </c>
      <c r="B649" s="218">
        <v>463263655</v>
      </c>
      <c r="C649" s="218">
        <v>463263655</v>
      </c>
      <c r="D649" s="218">
        <v>477704415</v>
      </c>
      <c r="E649" s="218">
        <v>477704415</v>
      </c>
      <c r="F649" s="257">
        <v>477704415</v>
      </c>
      <c r="G649" s="257">
        <v>463263655</v>
      </c>
      <c r="H649" s="257">
        <v>477704415</v>
      </c>
      <c r="I649" s="257">
        <v>463263655</v>
      </c>
    </row>
    <row r="650" spans="1:9" ht="15">
      <c r="A650" s="386" t="s">
        <v>1403</v>
      </c>
      <c r="B650" s="218">
        <v>63665374</v>
      </c>
      <c r="C650" s="218">
        <v>63665374</v>
      </c>
      <c r="D650" s="218">
        <v>65785354</v>
      </c>
      <c r="E650" s="218">
        <v>65785354</v>
      </c>
      <c r="F650" s="257">
        <v>65785354</v>
      </c>
      <c r="G650" s="257">
        <v>63665374</v>
      </c>
      <c r="H650" s="257">
        <v>65785354</v>
      </c>
      <c r="I650" s="257">
        <v>63665374</v>
      </c>
    </row>
    <row r="651" spans="1:9" ht="15">
      <c r="A651" s="386" t="s">
        <v>1988</v>
      </c>
      <c r="B651" s="218">
        <v>27109119</v>
      </c>
      <c r="C651" s="218">
        <v>27109119</v>
      </c>
      <c r="D651" s="218">
        <v>27745729</v>
      </c>
      <c r="E651" s="218">
        <v>27745729</v>
      </c>
      <c r="F651" s="257">
        <v>27745729</v>
      </c>
      <c r="G651" s="257">
        <v>27109119</v>
      </c>
      <c r="H651" s="257">
        <v>27745729</v>
      </c>
      <c r="I651" s="257">
        <v>27109119</v>
      </c>
    </row>
    <row r="652" spans="1:9" ht="15">
      <c r="A652" s="386" t="s">
        <v>968</v>
      </c>
      <c r="B652" s="218">
        <v>153957802</v>
      </c>
      <c r="C652" s="218">
        <v>153957802</v>
      </c>
      <c r="D652" s="218">
        <v>160941621</v>
      </c>
      <c r="E652" s="218">
        <v>160941621</v>
      </c>
      <c r="F652" s="257">
        <v>160941621</v>
      </c>
      <c r="G652" s="257">
        <v>153957802</v>
      </c>
      <c r="H652" s="257">
        <v>160941621</v>
      </c>
      <c r="I652" s="257">
        <v>153957802</v>
      </c>
    </row>
    <row r="653" spans="1:9" ht="15">
      <c r="A653" s="386" t="s">
        <v>900</v>
      </c>
      <c r="B653" s="218">
        <v>4318731738</v>
      </c>
      <c r="C653" s="218">
        <v>4318731738</v>
      </c>
      <c r="D653" s="218">
        <v>4424661021</v>
      </c>
      <c r="E653" s="218">
        <v>4424661021</v>
      </c>
      <c r="F653" s="257">
        <v>4424661021</v>
      </c>
      <c r="G653" s="257">
        <v>4318731738</v>
      </c>
      <c r="H653" s="257">
        <v>4424661021</v>
      </c>
      <c r="I653" s="257">
        <v>4318731738</v>
      </c>
    </row>
    <row r="654" spans="1:9" ht="15">
      <c r="A654" s="386" t="s">
        <v>702</v>
      </c>
      <c r="B654" s="218">
        <v>688930970</v>
      </c>
      <c r="C654" s="218">
        <v>688930970</v>
      </c>
      <c r="D654" s="218">
        <v>709413148</v>
      </c>
      <c r="E654" s="218">
        <v>709413148</v>
      </c>
      <c r="F654" s="257">
        <v>709413148</v>
      </c>
      <c r="G654" s="257">
        <v>688930970</v>
      </c>
      <c r="H654" s="257">
        <v>709413148</v>
      </c>
      <c r="I654" s="257">
        <v>688930970</v>
      </c>
    </row>
    <row r="655" spans="1:9" ht="15">
      <c r="A655" s="386" t="s">
        <v>969</v>
      </c>
      <c r="B655" s="218">
        <v>438310815</v>
      </c>
      <c r="C655" s="218">
        <v>438310815</v>
      </c>
      <c r="D655" s="218">
        <v>458379098</v>
      </c>
      <c r="E655" s="218">
        <v>458379098</v>
      </c>
      <c r="F655" s="257">
        <v>458379098</v>
      </c>
      <c r="G655" s="257">
        <v>438310815</v>
      </c>
      <c r="H655" s="257">
        <v>458379098</v>
      </c>
      <c r="I655" s="257">
        <v>438310815</v>
      </c>
    </row>
    <row r="656" spans="1:9" ht="15">
      <c r="A656" s="386" t="s">
        <v>1835</v>
      </c>
      <c r="B656" s="218">
        <v>112258462</v>
      </c>
      <c r="C656" s="218">
        <v>112258462</v>
      </c>
      <c r="D656" s="218">
        <v>118425820</v>
      </c>
      <c r="E656" s="218">
        <v>118425820</v>
      </c>
      <c r="F656" s="257">
        <v>118425820</v>
      </c>
      <c r="G656" s="257">
        <v>112258462</v>
      </c>
      <c r="H656" s="257">
        <v>118425820</v>
      </c>
      <c r="I656" s="257">
        <v>112258462</v>
      </c>
    </row>
    <row r="657" spans="1:9" ht="15">
      <c r="A657" s="386" t="s">
        <v>1542</v>
      </c>
      <c r="B657" s="218">
        <v>348852128</v>
      </c>
      <c r="C657" s="218">
        <v>348852128</v>
      </c>
      <c r="D657" s="218">
        <v>361132462</v>
      </c>
      <c r="E657" s="218">
        <v>361132462</v>
      </c>
      <c r="F657" s="257">
        <v>361132462</v>
      </c>
      <c r="G657" s="257">
        <v>348852128</v>
      </c>
      <c r="H657" s="257">
        <v>361132462</v>
      </c>
      <c r="I657" s="257">
        <v>348852128</v>
      </c>
    </row>
    <row r="658" spans="1:9" ht="15">
      <c r="A658" s="386" t="s">
        <v>113</v>
      </c>
      <c r="B658" s="218">
        <v>155244817</v>
      </c>
      <c r="C658" s="218">
        <v>155244817</v>
      </c>
      <c r="D658" s="218">
        <v>164771521</v>
      </c>
      <c r="E658" s="218">
        <v>164771521</v>
      </c>
      <c r="F658" s="257">
        <v>164771521</v>
      </c>
      <c r="G658" s="257">
        <v>155244817</v>
      </c>
      <c r="H658" s="257">
        <v>164771521</v>
      </c>
      <c r="I658" s="257">
        <v>155244817</v>
      </c>
    </row>
    <row r="659" spans="1:9" ht="15">
      <c r="A659" s="386" t="s">
        <v>2086</v>
      </c>
      <c r="B659" s="218">
        <v>692444550</v>
      </c>
      <c r="C659" s="218">
        <v>692444550</v>
      </c>
      <c r="D659" s="218">
        <v>697723963</v>
      </c>
      <c r="E659" s="218">
        <v>697723963</v>
      </c>
      <c r="F659" s="257">
        <v>695020102</v>
      </c>
      <c r="G659" s="257">
        <v>689740689</v>
      </c>
      <c r="H659" s="257">
        <v>695020102</v>
      </c>
      <c r="I659" s="257">
        <v>689740689</v>
      </c>
    </row>
    <row r="660" spans="1:9" ht="15">
      <c r="A660" s="386" t="s">
        <v>341</v>
      </c>
      <c r="B660" s="218">
        <v>4317987992</v>
      </c>
      <c r="C660" s="218">
        <v>4317987992</v>
      </c>
      <c r="D660" s="218">
        <v>4459571186</v>
      </c>
      <c r="E660" s="218">
        <v>4459571186</v>
      </c>
      <c r="F660" s="257">
        <v>4459571186</v>
      </c>
      <c r="G660" s="257">
        <v>4317987992</v>
      </c>
      <c r="H660" s="257">
        <v>4459571186</v>
      </c>
      <c r="I660" s="257">
        <v>4317987992</v>
      </c>
    </row>
    <row r="661" spans="1:9" ht="15">
      <c r="A661" s="386" t="s">
        <v>344</v>
      </c>
      <c r="B661" s="218">
        <v>385585886</v>
      </c>
      <c r="C661" s="218">
        <v>385585886</v>
      </c>
      <c r="D661" s="218">
        <v>405131978</v>
      </c>
      <c r="E661" s="218">
        <v>405131978</v>
      </c>
      <c r="F661" s="257">
        <v>405131978</v>
      </c>
      <c r="G661" s="257">
        <v>385585886</v>
      </c>
      <c r="H661" s="257">
        <v>405131978</v>
      </c>
      <c r="I661" s="257">
        <v>385585886</v>
      </c>
    </row>
    <row r="662" spans="1:9" ht="15">
      <c r="A662" s="386" t="s">
        <v>2460</v>
      </c>
      <c r="B662" s="218">
        <v>113672373</v>
      </c>
      <c r="C662" s="218">
        <v>113672373</v>
      </c>
      <c r="D662" s="218">
        <v>121170174</v>
      </c>
      <c r="E662" s="218">
        <v>121170174</v>
      </c>
      <c r="F662" s="257">
        <v>121170174</v>
      </c>
      <c r="G662" s="257">
        <v>113672373</v>
      </c>
      <c r="H662" s="257">
        <v>121170174</v>
      </c>
      <c r="I662" s="257">
        <v>113672373</v>
      </c>
    </row>
    <row r="663" spans="1:9" ht="15">
      <c r="A663" s="386" t="s">
        <v>2461</v>
      </c>
      <c r="B663" s="218">
        <v>153074088</v>
      </c>
      <c r="C663" s="218">
        <v>153074088</v>
      </c>
      <c r="D663" s="218">
        <v>162108893</v>
      </c>
      <c r="E663" s="218">
        <v>162108893</v>
      </c>
      <c r="F663" s="257">
        <v>162108893</v>
      </c>
      <c r="G663" s="257">
        <v>153074088</v>
      </c>
      <c r="H663" s="257">
        <v>162108893</v>
      </c>
      <c r="I663" s="257">
        <v>153074088</v>
      </c>
    </row>
    <row r="664" spans="1:9" ht="15">
      <c r="A664" s="386" t="s">
        <v>72</v>
      </c>
      <c r="B664" s="218">
        <v>648988118</v>
      </c>
      <c r="C664" s="218">
        <v>648988118</v>
      </c>
      <c r="D664" s="218">
        <v>679516196</v>
      </c>
      <c r="E664" s="218">
        <v>679516196</v>
      </c>
      <c r="F664" s="257">
        <v>679516196</v>
      </c>
      <c r="G664" s="257">
        <v>648988118</v>
      </c>
      <c r="H664" s="257">
        <v>679516196</v>
      </c>
      <c r="I664" s="257">
        <v>648988118</v>
      </c>
    </row>
    <row r="665" spans="1:9" ht="15">
      <c r="A665" s="386" t="s">
        <v>2310</v>
      </c>
      <c r="B665" s="218">
        <v>576959855</v>
      </c>
      <c r="C665" s="218">
        <v>576959855</v>
      </c>
      <c r="D665" s="218">
        <v>601424092</v>
      </c>
      <c r="E665" s="218">
        <v>601424092</v>
      </c>
      <c r="F665" s="257">
        <v>601424092</v>
      </c>
      <c r="G665" s="257">
        <v>576959855</v>
      </c>
      <c r="H665" s="257">
        <v>601424092</v>
      </c>
      <c r="I665" s="257">
        <v>576959855</v>
      </c>
    </row>
    <row r="666" spans="1:9" ht="15">
      <c r="A666" s="386" t="s">
        <v>164</v>
      </c>
      <c r="B666" s="218">
        <v>541017901</v>
      </c>
      <c r="C666" s="218">
        <v>541017901</v>
      </c>
      <c r="D666" s="218">
        <v>571418909</v>
      </c>
      <c r="E666" s="218">
        <v>571418909</v>
      </c>
      <c r="F666" s="257">
        <v>571418909</v>
      </c>
      <c r="G666" s="257">
        <v>541017901</v>
      </c>
      <c r="H666" s="257">
        <v>571418909</v>
      </c>
      <c r="I666" s="257">
        <v>541017901</v>
      </c>
    </row>
    <row r="667" spans="1:9" ht="15">
      <c r="A667" s="386" t="s">
        <v>879</v>
      </c>
      <c r="B667" s="218">
        <v>139168112</v>
      </c>
      <c r="C667" s="218">
        <v>139168112</v>
      </c>
      <c r="D667" s="218">
        <v>144782113</v>
      </c>
      <c r="E667" s="218">
        <v>144782113</v>
      </c>
      <c r="F667" s="257">
        <v>144782113</v>
      </c>
      <c r="G667" s="257">
        <v>139168112</v>
      </c>
      <c r="H667" s="257">
        <v>144782113</v>
      </c>
      <c r="I667" s="257">
        <v>139168112</v>
      </c>
    </row>
    <row r="668" spans="1:9" ht="15">
      <c r="A668" s="386" t="s">
        <v>1837</v>
      </c>
      <c r="B668" s="218">
        <v>60565969</v>
      </c>
      <c r="C668" s="218">
        <v>60565969</v>
      </c>
      <c r="D668" s="218">
        <v>63573782</v>
      </c>
      <c r="E668" s="218">
        <v>63573782</v>
      </c>
      <c r="F668" s="257">
        <v>63573782</v>
      </c>
      <c r="G668" s="257">
        <v>60565969</v>
      </c>
      <c r="H668" s="257">
        <v>63573782</v>
      </c>
      <c r="I668" s="257">
        <v>60565969</v>
      </c>
    </row>
    <row r="669" spans="1:9" ht="15">
      <c r="A669" s="386" t="s">
        <v>258</v>
      </c>
      <c r="B669" s="218">
        <v>37276871</v>
      </c>
      <c r="C669" s="218">
        <v>37276871</v>
      </c>
      <c r="D669" s="218">
        <v>40442870</v>
      </c>
      <c r="E669" s="218">
        <v>40442870</v>
      </c>
      <c r="F669" s="257">
        <v>40442870</v>
      </c>
      <c r="G669" s="257">
        <v>37276871</v>
      </c>
      <c r="H669" s="257">
        <v>40442870</v>
      </c>
      <c r="I669" s="257">
        <v>37276871</v>
      </c>
    </row>
    <row r="670" spans="1:9" ht="15">
      <c r="A670" s="386" t="s">
        <v>1585</v>
      </c>
      <c r="B670" s="218">
        <v>3215100618</v>
      </c>
      <c r="C670" s="218">
        <v>3215100618</v>
      </c>
      <c r="D670" s="218">
        <v>3216672231</v>
      </c>
      <c r="E670" s="218">
        <v>3216672231</v>
      </c>
      <c r="F670" s="257">
        <v>3215157166</v>
      </c>
      <c r="G670" s="257">
        <v>3213585553</v>
      </c>
      <c r="H670" s="257">
        <v>3215157166</v>
      </c>
      <c r="I670" s="257">
        <v>3213585553</v>
      </c>
    </row>
    <row r="671" spans="1:9" ht="15">
      <c r="A671" s="386" t="s">
        <v>1134</v>
      </c>
      <c r="B671" s="218">
        <v>403575591</v>
      </c>
      <c r="C671" s="218">
        <v>403575591</v>
      </c>
      <c r="D671" s="218">
        <v>422315606</v>
      </c>
      <c r="E671" s="218">
        <v>422315606</v>
      </c>
      <c r="F671" s="257">
        <v>422315606</v>
      </c>
      <c r="G671" s="257">
        <v>403575591</v>
      </c>
      <c r="H671" s="257">
        <v>422315606</v>
      </c>
      <c r="I671" s="257">
        <v>403575591</v>
      </c>
    </row>
    <row r="672" spans="1:9" ht="15">
      <c r="A672" s="386" t="s">
        <v>1989</v>
      </c>
      <c r="B672" s="218">
        <v>116401154</v>
      </c>
      <c r="C672" s="218">
        <v>116401154</v>
      </c>
      <c r="D672" s="218">
        <v>119476103</v>
      </c>
      <c r="E672" s="218">
        <v>119476103</v>
      </c>
      <c r="F672" s="257">
        <v>119476103</v>
      </c>
      <c r="G672" s="257">
        <v>116401154</v>
      </c>
      <c r="H672" s="257">
        <v>119476103</v>
      </c>
      <c r="I672" s="257">
        <v>116401154</v>
      </c>
    </row>
    <row r="673" spans="1:9" ht="15">
      <c r="A673" s="386" t="s">
        <v>920</v>
      </c>
      <c r="B673" s="218">
        <v>177200115</v>
      </c>
      <c r="C673" s="218">
        <v>177200115</v>
      </c>
      <c r="D673" s="218">
        <v>187652317</v>
      </c>
      <c r="E673" s="218">
        <v>187652317</v>
      </c>
      <c r="F673" s="257">
        <v>187652317</v>
      </c>
      <c r="G673" s="257">
        <v>177200115</v>
      </c>
      <c r="H673" s="257">
        <v>187652317</v>
      </c>
      <c r="I673" s="257">
        <v>177200115</v>
      </c>
    </row>
    <row r="674" spans="1:9" ht="15">
      <c r="A674" s="386" t="s">
        <v>171</v>
      </c>
      <c r="B674" s="218">
        <v>575965061</v>
      </c>
      <c r="C674" s="218">
        <v>575965061</v>
      </c>
      <c r="D674" s="218">
        <v>597257060</v>
      </c>
      <c r="E674" s="218">
        <v>597257060</v>
      </c>
      <c r="F674" s="257">
        <v>597257060</v>
      </c>
      <c r="G674" s="257">
        <v>575965061</v>
      </c>
      <c r="H674" s="257">
        <v>597257060</v>
      </c>
      <c r="I674" s="257">
        <v>575965061</v>
      </c>
    </row>
    <row r="675" spans="1:9" ht="15">
      <c r="A675" s="386" t="s">
        <v>2531</v>
      </c>
      <c r="B675" s="218">
        <v>1398768146</v>
      </c>
      <c r="C675" s="218">
        <v>1398768146</v>
      </c>
      <c r="D675" s="218">
        <v>1446170498</v>
      </c>
      <c r="E675" s="218">
        <v>1446170498</v>
      </c>
      <c r="F675" s="257">
        <v>1446170498</v>
      </c>
      <c r="G675" s="257">
        <v>1398768146</v>
      </c>
      <c r="H675" s="257">
        <v>1446170498</v>
      </c>
      <c r="I675" s="257">
        <v>1398768146</v>
      </c>
    </row>
    <row r="676" spans="1:9" ht="15">
      <c r="A676" s="386" t="s">
        <v>2583</v>
      </c>
      <c r="B676" s="218">
        <v>160484815</v>
      </c>
      <c r="C676" s="218">
        <v>160484815</v>
      </c>
      <c r="D676" s="218">
        <v>165192635</v>
      </c>
      <c r="E676" s="218">
        <v>165192635</v>
      </c>
      <c r="F676" s="257">
        <v>165192635</v>
      </c>
      <c r="G676" s="257">
        <v>160484815</v>
      </c>
      <c r="H676" s="257">
        <v>165192635</v>
      </c>
      <c r="I676" s="257">
        <v>160484815</v>
      </c>
    </row>
    <row r="677" spans="1:9" ht="15">
      <c r="A677" s="386" t="s">
        <v>2534</v>
      </c>
      <c r="B677" s="218">
        <v>20183889779</v>
      </c>
      <c r="C677" s="218">
        <v>20183889779</v>
      </c>
      <c r="D677" s="218">
        <v>20445633181</v>
      </c>
      <c r="E677" s="218">
        <v>20445633181</v>
      </c>
      <c r="F677" s="257">
        <v>20154288840</v>
      </c>
      <c r="G677" s="257">
        <v>19892545438</v>
      </c>
      <c r="H677" s="257">
        <v>20154288840</v>
      </c>
      <c r="I677" s="257">
        <v>19892545438</v>
      </c>
    </row>
    <row r="678" spans="1:9" ht="15">
      <c r="A678" s="386" t="s">
        <v>1300</v>
      </c>
      <c r="B678" s="218">
        <v>1447016130</v>
      </c>
      <c r="C678" s="218">
        <v>1447016130</v>
      </c>
      <c r="D678" s="218">
        <v>1460776122</v>
      </c>
      <c r="E678" s="218">
        <v>1460776122</v>
      </c>
      <c r="F678" s="257">
        <v>1428051684</v>
      </c>
      <c r="G678" s="257">
        <v>1414291692</v>
      </c>
      <c r="H678" s="257">
        <v>1428051684</v>
      </c>
      <c r="I678" s="257">
        <v>1414291692</v>
      </c>
    </row>
    <row r="679" spans="1:9" ht="15">
      <c r="A679" s="386" t="s">
        <v>1887</v>
      </c>
      <c r="B679" s="218">
        <v>311608957</v>
      </c>
      <c r="C679" s="218">
        <v>311608957</v>
      </c>
      <c r="D679" s="218">
        <v>326739300</v>
      </c>
      <c r="E679" s="218">
        <v>326739300</v>
      </c>
      <c r="F679" s="257">
        <v>326739300</v>
      </c>
      <c r="G679" s="257">
        <v>311608957</v>
      </c>
      <c r="H679" s="257">
        <v>326739300</v>
      </c>
      <c r="I679" s="257">
        <v>311608957</v>
      </c>
    </row>
    <row r="680" spans="1:9" ht="15">
      <c r="A680" s="386" t="s">
        <v>1360</v>
      </c>
      <c r="B680" s="218">
        <v>76216711</v>
      </c>
      <c r="C680" s="218">
        <v>76216711</v>
      </c>
      <c r="D680" s="218">
        <v>78278127</v>
      </c>
      <c r="E680" s="218">
        <v>78278127</v>
      </c>
      <c r="F680" s="257">
        <v>78278127</v>
      </c>
      <c r="G680" s="257">
        <v>76216711</v>
      </c>
      <c r="H680" s="257">
        <v>78278127</v>
      </c>
      <c r="I680" s="257">
        <v>76216711</v>
      </c>
    </row>
    <row r="681" spans="1:9" ht="15">
      <c r="A681" s="386" t="s">
        <v>2535</v>
      </c>
      <c r="B681" s="218">
        <v>89881092</v>
      </c>
      <c r="C681" s="218">
        <v>89881092</v>
      </c>
      <c r="D681" s="218">
        <v>93491333</v>
      </c>
      <c r="E681" s="218">
        <v>93491333</v>
      </c>
      <c r="F681" s="257">
        <v>93491333</v>
      </c>
      <c r="G681" s="257">
        <v>89881092</v>
      </c>
      <c r="H681" s="257">
        <v>93491333</v>
      </c>
      <c r="I681" s="257">
        <v>89881092</v>
      </c>
    </row>
    <row r="682" spans="1:9" ht="15">
      <c r="A682" s="386" t="s">
        <v>2197</v>
      </c>
      <c r="B682" s="218">
        <v>877276031</v>
      </c>
      <c r="C682" s="218">
        <v>877276031</v>
      </c>
      <c r="D682" s="218">
        <v>894309798</v>
      </c>
      <c r="E682" s="218">
        <v>894309798</v>
      </c>
      <c r="F682" s="257">
        <v>894309798</v>
      </c>
      <c r="G682" s="257">
        <v>877276031</v>
      </c>
      <c r="H682" s="257">
        <v>894309798</v>
      </c>
      <c r="I682" s="257">
        <v>877276031</v>
      </c>
    </row>
    <row r="683" spans="1:9" ht="15">
      <c r="A683" s="386" t="s">
        <v>930</v>
      </c>
      <c r="B683" s="218">
        <v>128068625</v>
      </c>
      <c r="C683" s="218">
        <v>128068625</v>
      </c>
      <c r="D683" s="218">
        <v>134635640</v>
      </c>
      <c r="E683" s="218">
        <v>134635640</v>
      </c>
      <c r="F683" s="257">
        <v>134635640</v>
      </c>
      <c r="G683" s="257">
        <v>128068625</v>
      </c>
      <c r="H683" s="257">
        <v>134635640</v>
      </c>
      <c r="I683" s="257">
        <v>128068625</v>
      </c>
    </row>
    <row r="684" spans="1:9" ht="15">
      <c r="A684" s="386" t="s">
        <v>375</v>
      </c>
      <c r="B684" s="218">
        <v>28427701</v>
      </c>
      <c r="C684" s="218">
        <v>28427701</v>
      </c>
      <c r="D684" s="218">
        <v>29637041</v>
      </c>
      <c r="E684" s="218">
        <v>29637041</v>
      </c>
      <c r="F684" s="257">
        <v>29637041</v>
      </c>
      <c r="G684" s="257">
        <v>28427701</v>
      </c>
      <c r="H684" s="257">
        <v>29637041</v>
      </c>
      <c r="I684" s="257">
        <v>28427701</v>
      </c>
    </row>
    <row r="685" spans="1:9" ht="15">
      <c r="A685" s="386" t="s">
        <v>1264</v>
      </c>
      <c r="B685" s="218">
        <v>223030541</v>
      </c>
      <c r="C685" s="218">
        <v>413529841</v>
      </c>
      <c r="D685" s="218">
        <v>231546261</v>
      </c>
      <c r="E685" s="218">
        <v>422045561</v>
      </c>
      <c r="F685" s="257">
        <v>231546261</v>
      </c>
      <c r="G685" s="257">
        <v>223030541</v>
      </c>
      <c r="H685" s="257">
        <v>422045561</v>
      </c>
      <c r="I685" s="257">
        <v>413529841</v>
      </c>
    </row>
    <row r="686" spans="1:9" ht="15">
      <c r="A686" s="386" t="s">
        <v>2671</v>
      </c>
      <c r="B686" s="218">
        <v>74773227</v>
      </c>
      <c r="C686" s="218">
        <v>74773227</v>
      </c>
      <c r="D686" s="218">
        <v>77012817</v>
      </c>
      <c r="E686" s="218">
        <v>77012817</v>
      </c>
      <c r="F686" s="257">
        <v>77012817</v>
      </c>
      <c r="G686" s="257">
        <v>74773227</v>
      </c>
      <c r="H686" s="257">
        <v>77012817</v>
      </c>
      <c r="I686" s="257">
        <v>74773227</v>
      </c>
    </row>
    <row r="687" spans="1:9" ht="15">
      <c r="A687" s="386" t="s">
        <v>1990</v>
      </c>
      <c r="B687" s="218">
        <v>21401951</v>
      </c>
      <c r="C687" s="218">
        <v>21401951</v>
      </c>
      <c r="D687" s="218">
        <v>22365351</v>
      </c>
      <c r="E687" s="218">
        <v>22365351</v>
      </c>
      <c r="F687" s="257">
        <v>22365351</v>
      </c>
      <c r="G687" s="257">
        <v>21401951</v>
      </c>
      <c r="H687" s="257">
        <v>22365351</v>
      </c>
      <c r="I687" s="257">
        <v>21401951</v>
      </c>
    </row>
    <row r="688" spans="1:9" ht="15">
      <c r="A688" s="386" t="s">
        <v>2673</v>
      </c>
      <c r="B688" s="218">
        <v>416509150</v>
      </c>
      <c r="C688" s="218">
        <v>416509150</v>
      </c>
      <c r="D688" s="218">
        <v>426413746</v>
      </c>
      <c r="E688" s="218">
        <v>426413746</v>
      </c>
      <c r="F688" s="257">
        <v>426413746</v>
      </c>
      <c r="G688" s="257">
        <v>416509150</v>
      </c>
      <c r="H688" s="257">
        <v>426413746</v>
      </c>
      <c r="I688" s="257">
        <v>416509150</v>
      </c>
    </row>
    <row r="689" spans="1:9" ht="15">
      <c r="A689" s="386" t="s">
        <v>2674</v>
      </c>
      <c r="B689" s="218">
        <v>86439005</v>
      </c>
      <c r="C689" s="218">
        <v>259323075</v>
      </c>
      <c r="D689" s="218">
        <v>88207578</v>
      </c>
      <c r="E689" s="218">
        <v>261091648</v>
      </c>
      <c r="F689" s="257">
        <v>88207578</v>
      </c>
      <c r="G689" s="257">
        <v>86439005</v>
      </c>
      <c r="H689" s="257">
        <v>261091648</v>
      </c>
      <c r="I689" s="257">
        <v>259323075</v>
      </c>
    </row>
    <row r="690" spans="1:9" ht="15">
      <c r="A690" s="386" t="s">
        <v>1486</v>
      </c>
      <c r="B690" s="218">
        <v>418842974</v>
      </c>
      <c r="C690" s="218">
        <v>418842974</v>
      </c>
      <c r="D690" s="218">
        <v>420834232</v>
      </c>
      <c r="E690" s="218">
        <v>420834232</v>
      </c>
      <c r="F690" s="257">
        <v>420834232</v>
      </c>
      <c r="G690" s="257">
        <v>418842974</v>
      </c>
      <c r="H690" s="257">
        <v>420834232</v>
      </c>
      <c r="I690" s="257">
        <v>418842974</v>
      </c>
    </row>
    <row r="691" spans="1:9" ht="15">
      <c r="A691" s="386" t="s">
        <v>1318</v>
      </c>
      <c r="B691" s="218">
        <v>1029898741</v>
      </c>
      <c r="C691" s="218">
        <v>1029898741</v>
      </c>
      <c r="D691" s="218">
        <v>1053834624</v>
      </c>
      <c r="E691" s="218">
        <v>1053834624</v>
      </c>
      <c r="F691" s="257">
        <v>1053834624</v>
      </c>
      <c r="G691" s="257">
        <v>1029898741</v>
      </c>
      <c r="H691" s="257">
        <v>1053834624</v>
      </c>
      <c r="I691" s="257">
        <v>1029898741</v>
      </c>
    </row>
    <row r="692" spans="1:9" ht="15">
      <c r="A692" s="386" t="s">
        <v>1432</v>
      </c>
      <c r="B692" s="218">
        <v>235236088</v>
      </c>
      <c r="C692" s="218">
        <v>235236088</v>
      </c>
      <c r="D692" s="218">
        <v>245146922</v>
      </c>
      <c r="E692" s="218">
        <v>245146922</v>
      </c>
      <c r="F692" s="257">
        <v>245146922</v>
      </c>
      <c r="G692" s="257">
        <v>235236088</v>
      </c>
      <c r="H692" s="257">
        <v>245146922</v>
      </c>
      <c r="I692" s="257">
        <v>235236088</v>
      </c>
    </row>
    <row r="693" spans="1:9" ht="15">
      <c r="A693" s="386" t="s">
        <v>804</v>
      </c>
      <c r="B693" s="218">
        <v>109526353</v>
      </c>
      <c r="C693" s="218">
        <v>109526353</v>
      </c>
      <c r="D693" s="218">
        <v>111035574</v>
      </c>
      <c r="E693" s="218">
        <v>111035574</v>
      </c>
      <c r="F693" s="257">
        <v>111035574</v>
      </c>
      <c r="G693" s="257">
        <v>109526353</v>
      </c>
      <c r="H693" s="257">
        <v>111035574</v>
      </c>
      <c r="I693" s="257">
        <v>109526353</v>
      </c>
    </row>
    <row r="694" spans="1:9" ht="15">
      <c r="A694" s="386" t="s">
        <v>1495</v>
      </c>
      <c r="B694" s="218">
        <v>34591025</v>
      </c>
      <c r="C694" s="218">
        <v>34591025</v>
      </c>
      <c r="D694" s="218">
        <v>36021435</v>
      </c>
      <c r="E694" s="218">
        <v>36021435</v>
      </c>
      <c r="F694" s="257">
        <v>36021435</v>
      </c>
      <c r="G694" s="257">
        <v>34591025</v>
      </c>
      <c r="H694" s="257">
        <v>36021435</v>
      </c>
      <c r="I694" s="257">
        <v>34591025</v>
      </c>
    </row>
    <row r="695" spans="1:9" ht="15">
      <c r="A695" s="386" t="s">
        <v>1496</v>
      </c>
      <c r="B695" s="218">
        <v>124739756</v>
      </c>
      <c r="C695" s="218">
        <v>124739756</v>
      </c>
      <c r="D695" s="218">
        <v>126275545</v>
      </c>
      <c r="E695" s="218">
        <v>126275545</v>
      </c>
      <c r="F695" s="257">
        <v>126275545</v>
      </c>
      <c r="G695" s="257">
        <v>124739756</v>
      </c>
      <c r="H695" s="257">
        <v>126275545</v>
      </c>
      <c r="I695" s="257">
        <v>124739756</v>
      </c>
    </row>
    <row r="696" spans="1:9" ht="15">
      <c r="A696" s="386" t="s">
        <v>1272</v>
      </c>
      <c r="B696" s="218">
        <v>334210385</v>
      </c>
      <c r="C696" s="218">
        <v>334210385</v>
      </c>
      <c r="D696" s="218">
        <v>336854526</v>
      </c>
      <c r="E696" s="218">
        <v>336854526</v>
      </c>
      <c r="F696" s="257">
        <v>336854526</v>
      </c>
      <c r="G696" s="257">
        <v>334210385</v>
      </c>
      <c r="H696" s="257">
        <v>336854526</v>
      </c>
      <c r="I696" s="257">
        <v>334210385</v>
      </c>
    </row>
    <row r="697" spans="1:9" ht="15">
      <c r="A697" s="386" t="s">
        <v>1531</v>
      </c>
      <c r="B697" s="218">
        <v>240715057</v>
      </c>
      <c r="C697" s="218">
        <v>240715057</v>
      </c>
      <c r="D697" s="218">
        <v>244536838</v>
      </c>
      <c r="E697" s="218">
        <v>244536838</v>
      </c>
      <c r="F697" s="257">
        <v>244536838</v>
      </c>
      <c r="G697" s="257">
        <v>240715057</v>
      </c>
      <c r="H697" s="257">
        <v>244536838</v>
      </c>
      <c r="I697" s="257">
        <v>240715057</v>
      </c>
    </row>
    <row r="698" spans="1:9" ht="15">
      <c r="A698" s="386" t="s">
        <v>2311</v>
      </c>
      <c r="B698" s="218">
        <v>29588708484</v>
      </c>
      <c r="C698" s="218">
        <v>29588708484</v>
      </c>
      <c r="D698" s="218">
        <v>30177229205</v>
      </c>
      <c r="E698" s="218">
        <v>30177229205</v>
      </c>
      <c r="F698" s="257">
        <v>30177229205</v>
      </c>
      <c r="G698" s="257">
        <v>29588708484</v>
      </c>
      <c r="H698" s="257">
        <v>30177229205</v>
      </c>
      <c r="I698" s="257">
        <v>29588708484</v>
      </c>
    </row>
    <row r="699" spans="1:9" ht="15">
      <c r="A699" s="386" t="s">
        <v>1532</v>
      </c>
      <c r="B699" s="218">
        <v>4799082666</v>
      </c>
      <c r="C699" s="218">
        <v>4799082666</v>
      </c>
      <c r="D699" s="218">
        <v>4915178178</v>
      </c>
      <c r="E699" s="218">
        <v>4915178178</v>
      </c>
      <c r="F699" s="257">
        <v>4915178178</v>
      </c>
      <c r="G699" s="257">
        <v>4799082666</v>
      </c>
      <c r="H699" s="257">
        <v>4915178178</v>
      </c>
      <c r="I699" s="257">
        <v>4799082666</v>
      </c>
    </row>
    <row r="700" spans="1:9" ht="15">
      <c r="A700" s="386" t="s">
        <v>1182</v>
      </c>
      <c r="B700" s="218">
        <v>2715069900</v>
      </c>
      <c r="C700" s="218">
        <v>2715069900</v>
      </c>
      <c r="D700" s="218">
        <v>2799400237</v>
      </c>
      <c r="E700" s="218">
        <v>2799400237</v>
      </c>
      <c r="F700" s="257">
        <v>2799400237</v>
      </c>
      <c r="G700" s="257">
        <v>2715069900</v>
      </c>
      <c r="H700" s="257">
        <v>2799400237</v>
      </c>
      <c r="I700" s="257">
        <v>2715069900</v>
      </c>
    </row>
    <row r="701" spans="1:9" ht="15">
      <c r="A701" s="386" t="s">
        <v>346</v>
      </c>
      <c r="B701" s="218">
        <v>4929001695</v>
      </c>
      <c r="C701" s="218">
        <v>4929001695</v>
      </c>
      <c r="D701" s="218">
        <v>5056909451</v>
      </c>
      <c r="E701" s="218">
        <v>5056909451</v>
      </c>
      <c r="F701" s="257">
        <v>5056909451</v>
      </c>
      <c r="G701" s="257">
        <v>4929001695</v>
      </c>
      <c r="H701" s="257">
        <v>5056909451</v>
      </c>
      <c r="I701" s="257">
        <v>4929001695</v>
      </c>
    </row>
    <row r="702" spans="1:9" ht="15">
      <c r="A702" s="386" t="s">
        <v>1508</v>
      </c>
      <c r="B702" s="218">
        <v>534699540</v>
      </c>
      <c r="C702" s="218">
        <v>534699540</v>
      </c>
      <c r="D702" s="218">
        <v>558686384</v>
      </c>
      <c r="E702" s="218">
        <v>558686384</v>
      </c>
      <c r="F702" s="257">
        <v>558686384</v>
      </c>
      <c r="G702" s="257">
        <v>534699540</v>
      </c>
      <c r="H702" s="257">
        <v>558686384</v>
      </c>
      <c r="I702" s="257">
        <v>534699540</v>
      </c>
    </row>
    <row r="703" spans="1:9" ht="15">
      <c r="A703" s="386" t="s">
        <v>703</v>
      </c>
      <c r="B703" s="218">
        <v>3118904825</v>
      </c>
      <c r="C703" s="218">
        <v>3118904825</v>
      </c>
      <c r="D703" s="218">
        <v>3211333514</v>
      </c>
      <c r="E703" s="218">
        <v>3211333514</v>
      </c>
      <c r="F703" s="257">
        <v>3211333514</v>
      </c>
      <c r="G703" s="257">
        <v>3118904825</v>
      </c>
      <c r="H703" s="257">
        <v>3211333514</v>
      </c>
      <c r="I703" s="257">
        <v>3118904825</v>
      </c>
    </row>
    <row r="704" spans="1:9" ht="15">
      <c r="A704" s="386" t="s">
        <v>1868</v>
      </c>
      <c r="B704" s="218">
        <v>2021335970</v>
      </c>
      <c r="C704" s="218">
        <v>2021335970</v>
      </c>
      <c r="D704" s="218">
        <v>2052249199</v>
      </c>
      <c r="E704" s="218">
        <v>2052249199</v>
      </c>
      <c r="F704" s="257">
        <v>2041951375</v>
      </c>
      <c r="G704" s="257">
        <v>2011038146</v>
      </c>
      <c r="H704" s="257">
        <v>2041951375</v>
      </c>
      <c r="I704" s="257">
        <v>2011038146</v>
      </c>
    </row>
    <row r="705" spans="1:9" ht="15">
      <c r="A705" s="386" t="s">
        <v>1869</v>
      </c>
      <c r="B705" s="218">
        <v>343442851</v>
      </c>
      <c r="C705" s="218">
        <v>350063851</v>
      </c>
      <c r="D705" s="218">
        <v>347367279</v>
      </c>
      <c r="E705" s="218">
        <v>353988279</v>
      </c>
      <c r="F705" s="257">
        <v>347367279</v>
      </c>
      <c r="G705" s="257">
        <v>343442851</v>
      </c>
      <c r="H705" s="257">
        <v>353988279</v>
      </c>
      <c r="I705" s="257">
        <v>350063851</v>
      </c>
    </row>
    <row r="706" spans="1:9" ht="15">
      <c r="A706" s="386" t="s">
        <v>1870</v>
      </c>
      <c r="B706" s="218">
        <v>830702498</v>
      </c>
      <c r="C706" s="218">
        <v>830702498</v>
      </c>
      <c r="D706" s="218">
        <v>850887928</v>
      </c>
      <c r="E706" s="218">
        <v>850887928</v>
      </c>
      <c r="F706" s="257">
        <v>850887928</v>
      </c>
      <c r="G706" s="257">
        <v>830702498</v>
      </c>
      <c r="H706" s="257">
        <v>850887928</v>
      </c>
      <c r="I706" s="257">
        <v>830702498</v>
      </c>
    </row>
    <row r="707" spans="1:9" ht="15">
      <c r="A707" s="386" t="s">
        <v>1871</v>
      </c>
      <c r="B707" s="218">
        <v>274389502</v>
      </c>
      <c r="C707" s="218">
        <v>274389502</v>
      </c>
      <c r="D707" s="218">
        <v>288966096</v>
      </c>
      <c r="E707" s="218">
        <v>288966096</v>
      </c>
      <c r="F707" s="257">
        <v>288966096</v>
      </c>
      <c r="G707" s="257">
        <v>274389502</v>
      </c>
      <c r="H707" s="257">
        <v>288966096</v>
      </c>
      <c r="I707" s="257">
        <v>274389502</v>
      </c>
    </row>
    <row r="708" spans="1:9" ht="15">
      <c r="A708" s="386" t="s">
        <v>2353</v>
      </c>
      <c r="B708" s="218">
        <v>114334570</v>
      </c>
      <c r="C708" s="218">
        <v>114334570</v>
      </c>
      <c r="D708" s="218">
        <v>117082140</v>
      </c>
      <c r="E708" s="218">
        <v>117082140</v>
      </c>
      <c r="F708" s="257">
        <v>117082140</v>
      </c>
      <c r="G708" s="257">
        <v>114334570</v>
      </c>
      <c r="H708" s="257">
        <v>117082140</v>
      </c>
      <c r="I708" s="257">
        <v>114334570</v>
      </c>
    </row>
    <row r="709" spans="1:9" ht="15">
      <c r="A709" s="386" t="s">
        <v>704</v>
      </c>
      <c r="B709" s="218">
        <v>160688238</v>
      </c>
      <c r="C709" s="218">
        <v>160688238</v>
      </c>
      <c r="D709" s="218">
        <v>164355958</v>
      </c>
      <c r="E709" s="218">
        <v>164355958</v>
      </c>
      <c r="F709" s="257">
        <v>161267213</v>
      </c>
      <c r="G709" s="257">
        <v>157599493</v>
      </c>
      <c r="H709" s="257">
        <v>161267213</v>
      </c>
      <c r="I709" s="257">
        <v>157599493</v>
      </c>
    </row>
    <row r="710" spans="1:9" ht="15">
      <c r="A710" s="386" t="s">
        <v>524</v>
      </c>
      <c r="B710" s="218">
        <v>238020094</v>
      </c>
      <c r="C710" s="218">
        <v>530351464</v>
      </c>
      <c r="D710" s="218">
        <v>245151574</v>
      </c>
      <c r="E710" s="218">
        <v>537482944</v>
      </c>
      <c r="F710" s="257">
        <v>239089194</v>
      </c>
      <c r="G710" s="257">
        <v>231957714</v>
      </c>
      <c r="H710" s="257">
        <v>531420564</v>
      </c>
      <c r="I710" s="257">
        <v>524289084</v>
      </c>
    </row>
    <row r="711" spans="1:9" ht="15">
      <c r="A711" s="386" t="s">
        <v>705</v>
      </c>
      <c r="B711" s="218">
        <v>147292363</v>
      </c>
      <c r="C711" s="218">
        <v>147292363</v>
      </c>
      <c r="D711" s="218">
        <v>153190853</v>
      </c>
      <c r="E711" s="218">
        <v>153190853</v>
      </c>
      <c r="F711" s="257">
        <v>147138643</v>
      </c>
      <c r="G711" s="257">
        <v>141240153</v>
      </c>
      <c r="H711" s="257">
        <v>147138643</v>
      </c>
      <c r="I711" s="257">
        <v>141240153</v>
      </c>
    </row>
    <row r="712" spans="1:9" ht="15">
      <c r="A712" s="386" t="s">
        <v>525</v>
      </c>
      <c r="B712" s="218">
        <v>1922513627</v>
      </c>
      <c r="C712" s="218">
        <v>1922513627</v>
      </c>
      <c r="D712" s="218">
        <v>1991729667</v>
      </c>
      <c r="E712" s="218">
        <v>1991729667</v>
      </c>
      <c r="F712" s="257">
        <v>1895920062</v>
      </c>
      <c r="G712" s="257">
        <v>1826704022</v>
      </c>
      <c r="H712" s="257">
        <v>1895920062</v>
      </c>
      <c r="I712" s="257">
        <v>1826704022</v>
      </c>
    </row>
    <row r="713" spans="1:9" ht="15">
      <c r="A713" s="386" t="s">
        <v>376</v>
      </c>
      <c r="B713" s="218">
        <v>176628001</v>
      </c>
      <c r="C713" s="218">
        <v>176628001</v>
      </c>
      <c r="D713" s="218">
        <v>182900341</v>
      </c>
      <c r="E713" s="218">
        <v>182900341</v>
      </c>
      <c r="F713" s="257">
        <v>176569151</v>
      </c>
      <c r="G713" s="257">
        <v>170296811</v>
      </c>
      <c r="H713" s="257">
        <v>176569151</v>
      </c>
      <c r="I713" s="257">
        <v>170296811</v>
      </c>
    </row>
    <row r="714" spans="1:9" ht="15">
      <c r="A714" s="386" t="s">
        <v>526</v>
      </c>
      <c r="B714" s="218">
        <v>120431969</v>
      </c>
      <c r="C714" s="218">
        <v>120431969</v>
      </c>
      <c r="D714" s="218">
        <v>127785239</v>
      </c>
      <c r="E714" s="218">
        <v>127785239</v>
      </c>
      <c r="F714" s="257">
        <v>118758569</v>
      </c>
      <c r="G714" s="257">
        <v>111405299</v>
      </c>
      <c r="H714" s="257">
        <v>118758569</v>
      </c>
      <c r="I714" s="257">
        <v>111405299</v>
      </c>
    </row>
    <row r="715" spans="1:9" ht="15">
      <c r="A715" s="386" t="s">
        <v>527</v>
      </c>
      <c r="B715" s="218">
        <v>72971336</v>
      </c>
      <c r="C715" s="218">
        <v>72971336</v>
      </c>
      <c r="D715" s="218">
        <v>76060886</v>
      </c>
      <c r="E715" s="218">
        <v>76060886</v>
      </c>
      <c r="F715" s="257">
        <v>72812266</v>
      </c>
      <c r="G715" s="257">
        <v>69722716</v>
      </c>
      <c r="H715" s="257">
        <v>72812266</v>
      </c>
      <c r="I715" s="257">
        <v>69722716</v>
      </c>
    </row>
    <row r="716" spans="1:9" ht="15">
      <c r="A716" s="386" t="s">
        <v>774</v>
      </c>
      <c r="B716" s="218">
        <v>46376686</v>
      </c>
      <c r="C716" s="218">
        <v>46376686</v>
      </c>
      <c r="D716" s="218">
        <v>49903866</v>
      </c>
      <c r="E716" s="218">
        <v>49903866</v>
      </c>
      <c r="F716" s="257">
        <v>46755826</v>
      </c>
      <c r="G716" s="257">
        <v>43228646</v>
      </c>
      <c r="H716" s="257">
        <v>46755826</v>
      </c>
      <c r="I716" s="257">
        <v>43228646</v>
      </c>
    </row>
    <row r="717" spans="1:9" ht="15">
      <c r="A717" s="386" t="s">
        <v>528</v>
      </c>
      <c r="B717" s="218">
        <v>156162388</v>
      </c>
      <c r="C717" s="218">
        <v>156162388</v>
      </c>
      <c r="D717" s="218">
        <v>161432778</v>
      </c>
      <c r="E717" s="218">
        <v>161432778</v>
      </c>
      <c r="F717" s="257">
        <v>153614328</v>
      </c>
      <c r="G717" s="257">
        <v>148343938</v>
      </c>
      <c r="H717" s="257">
        <v>153614328</v>
      </c>
      <c r="I717" s="257">
        <v>148343938</v>
      </c>
    </row>
    <row r="718" spans="1:9" ht="15">
      <c r="A718" s="386" t="s">
        <v>529</v>
      </c>
      <c r="B718" s="218">
        <v>157430246</v>
      </c>
      <c r="C718" s="218">
        <v>157430246</v>
      </c>
      <c r="D718" s="218">
        <v>166822970</v>
      </c>
      <c r="E718" s="218">
        <v>166822970</v>
      </c>
      <c r="F718" s="257">
        <v>166822970</v>
      </c>
      <c r="G718" s="257">
        <v>157430246</v>
      </c>
      <c r="H718" s="257">
        <v>166822970</v>
      </c>
      <c r="I718" s="257">
        <v>157430246</v>
      </c>
    </row>
    <row r="719" spans="1:9" ht="15">
      <c r="A719" s="386" t="s">
        <v>2400</v>
      </c>
      <c r="B719" s="218">
        <v>1430735664</v>
      </c>
      <c r="C719" s="218">
        <v>1430735664</v>
      </c>
      <c r="D719" s="218">
        <v>1481554293</v>
      </c>
      <c r="E719" s="218">
        <v>1481554293</v>
      </c>
      <c r="F719" s="257">
        <v>1481554293</v>
      </c>
      <c r="G719" s="257">
        <v>1430735664</v>
      </c>
      <c r="H719" s="257">
        <v>1481554293</v>
      </c>
      <c r="I719" s="257">
        <v>1430735664</v>
      </c>
    </row>
    <row r="720" spans="1:9" ht="15">
      <c r="A720" s="386" t="s">
        <v>2407</v>
      </c>
      <c r="B720" s="218">
        <v>143784868</v>
      </c>
      <c r="C720" s="218">
        <v>143784868</v>
      </c>
      <c r="D720" s="218">
        <v>149786875</v>
      </c>
      <c r="E720" s="218">
        <v>149786875</v>
      </c>
      <c r="F720" s="257">
        <v>149786875</v>
      </c>
      <c r="G720" s="257">
        <v>143784868</v>
      </c>
      <c r="H720" s="257">
        <v>149786875</v>
      </c>
      <c r="I720" s="257">
        <v>143784868</v>
      </c>
    </row>
    <row r="721" spans="1:9" ht="15">
      <c r="A721" s="386" t="s">
        <v>19</v>
      </c>
      <c r="B721" s="218">
        <v>92536288</v>
      </c>
      <c r="C721" s="218">
        <v>92536288</v>
      </c>
      <c r="D721" s="218">
        <v>96069110</v>
      </c>
      <c r="E721" s="218">
        <v>96069110</v>
      </c>
      <c r="F721" s="257">
        <v>96069110</v>
      </c>
      <c r="G721" s="257">
        <v>92536288</v>
      </c>
      <c r="H721" s="257">
        <v>96069110</v>
      </c>
      <c r="I721" s="257">
        <v>92536288</v>
      </c>
    </row>
    <row r="722" spans="1:9" ht="15">
      <c r="A722" s="386" t="s">
        <v>706</v>
      </c>
      <c r="B722" s="218">
        <v>261281759</v>
      </c>
      <c r="C722" s="218">
        <v>261281759</v>
      </c>
      <c r="D722" s="218">
        <v>268709629</v>
      </c>
      <c r="E722" s="218">
        <v>268709629</v>
      </c>
      <c r="F722" s="257">
        <v>268709629</v>
      </c>
      <c r="G722" s="257">
        <v>261281759</v>
      </c>
      <c r="H722" s="257">
        <v>268709629</v>
      </c>
      <c r="I722" s="257">
        <v>261281759</v>
      </c>
    </row>
    <row r="723" spans="1:9" ht="15">
      <c r="A723" s="386" t="s">
        <v>20</v>
      </c>
      <c r="B723" s="218">
        <v>400937151</v>
      </c>
      <c r="C723" s="218">
        <v>400937151</v>
      </c>
      <c r="D723" s="218">
        <v>409082867</v>
      </c>
      <c r="E723" s="218">
        <v>409082867</v>
      </c>
      <c r="F723" s="257">
        <v>409082867</v>
      </c>
      <c r="G723" s="257">
        <v>400937151</v>
      </c>
      <c r="H723" s="257">
        <v>409082867</v>
      </c>
      <c r="I723" s="257">
        <v>400937151</v>
      </c>
    </row>
    <row r="724" spans="1:9" ht="15">
      <c r="A724" s="386" t="s">
        <v>2085</v>
      </c>
      <c r="B724" s="218">
        <v>110427909</v>
      </c>
      <c r="C724" s="218">
        <v>110427909</v>
      </c>
      <c r="D724" s="218">
        <v>115115310</v>
      </c>
      <c r="E724" s="218">
        <v>115115310</v>
      </c>
      <c r="F724" s="257">
        <v>115115310</v>
      </c>
      <c r="G724" s="257">
        <v>110427909</v>
      </c>
      <c r="H724" s="257">
        <v>115115310</v>
      </c>
      <c r="I724" s="257">
        <v>110427909</v>
      </c>
    </row>
    <row r="725" spans="1:9" ht="15">
      <c r="A725" s="386" t="s">
        <v>21</v>
      </c>
      <c r="B725" s="218">
        <v>215674546</v>
      </c>
      <c r="C725" s="218">
        <v>215674546</v>
      </c>
      <c r="D725" s="218">
        <v>221363348</v>
      </c>
      <c r="E725" s="218">
        <v>221363348</v>
      </c>
      <c r="F725" s="257">
        <v>215740844</v>
      </c>
      <c r="G725" s="257">
        <v>210052042</v>
      </c>
      <c r="H725" s="257">
        <v>215740844</v>
      </c>
      <c r="I725" s="257">
        <v>210052042</v>
      </c>
    </row>
    <row r="726" spans="1:9" ht="15">
      <c r="A726" s="386" t="s">
        <v>1021</v>
      </c>
      <c r="B726" s="218">
        <v>256755982</v>
      </c>
      <c r="C726" s="218">
        <v>256755982</v>
      </c>
      <c r="D726" s="218">
        <v>270618201</v>
      </c>
      <c r="E726" s="218">
        <v>270618201</v>
      </c>
      <c r="F726" s="257">
        <v>270618201</v>
      </c>
      <c r="G726" s="257">
        <v>256755982</v>
      </c>
      <c r="H726" s="257">
        <v>270618201</v>
      </c>
      <c r="I726" s="257">
        <v>256755982</v>
      </c>
    </row>
    <row r="727" spans="1:9" ht="15">
      <c r="A727" s="386" t="s">
        <v>1991</v>
      </c>
      <c r="B727" s="218">
        <v>564933231</v>
      </c>
      <c r="C727" s="218">
        <v>564933231</v>
      </c>
      <c r="D727" s="218">
        <v>573345314</v>
      </c>
      <c r="E727" s="218">
        <v>573345314</v>
      </c>
      <c r="F727" s="257">
        <v>566078975</v>
      </c>
      <c r="G727" s="257">
        <v>557666892</v>
      </c>
      <c r="H727" s="257">
        <v>566078975</v>
      </c>
      <c r="I727" s="257">
        <v>557666892</v>
      </c>
    </row>
    <row r="728" spans="1:9" ht="15">
      <c r="A728" s="386" t="s">
        <v>1543</v>
      </c>
      <c r="B728" s="218">
        <v>141252540</v>
      </c>
      <c r="C728" s="218">
        <v>406989610</v>
      </c>
      <c r="D728" s="218">
        <v>145052810</v>
      </c>
      <c r="E728" s="218">
        <v>410789880</v>
      </c>
      <c r="F728" s="257">
        <v>145052810</v>
      </c>
      <c r="G728" s="257">
        <v>141252540</v>
      </c>
      <c r="H728" s="257">
        <v>410789880</v>
      </c>
      <c r="I728" s="257">
        <v>406989610</v>
      </c>
    </row>
    <row r="729" spans="1:9" ht="15">
      <c r="A729" s="386" t="s">
        <v>1878</v>
      </c>
      <c r="B729" s="218">
        <v>791980583</v>
      </c>
      <c r="C729" s="218">
        <v>791980583</v>
      </c>
      <c r="D729" s="218">
        <v>815188203</v>
      </c>
      <c r="E729" s="218">
        <v>815188203</v>
      </c>
      <c r="F729" s="257">
        <v>815188203</v>
      </c>
      <c r="G729" s="257">
        <v>791980583</v>
      </c>
      <c r="H729" s="257">
        <v>815188203</v>
      </c>
      <c r="I729" s="257">
        <v>791980583</v>
      </c>
    </row>
    <row r="730" spans="1:9" ht="15">
      <c r="A730" s="386" t="s">
        <v>2309</v>
      </c>
      <c r="B730" s="218">
        <v>274343830</v>
      </c>
      <c r="C730" s="218">
        <v>908147591</v>
      </c>
      <c r="D730" s="218">
        <v>276543997</v>
      </c>
      <c r="E730" s="218">
        <v>910347758</v>
      </c>
      <c r="F730" s="257">
        <v>276543997</v>
      </c>
      <c r="G730" s="257">
        <v>274343830</v>
      </c>
      <c r="H730" s="257">
        <v>910347758</v>
      </c>
      <c r="I730" s="257">
        <v>908147591</v>
      </c>
    </row>
    <row r="731" spans="1:9" ht="15">
      <c r="A731" s="386" t="s">
        <v>424</v>
      </c>
      <c r="B731" s="218">
        <v>174658032</v>
      </c>
      <c r="C731" s="218">
        <v>443041482</v>
      </c>
      <c r="D731" s="218">
        <v>175587842</v>
      </c>
      <c r="E731" s="218">
        <v>443971292</v>
      </c>
      <c r="F731" s="257">
        <v>175587842</v>
      </c>
      <c r="G731" s="257">
        <v>174658032</v>
      </c>
      <c r="H731" s="257">
        <v>443971292</v>
      </c>
      <c r="I731" s="257">
        <v>443041482</v>
      </c>
    </row>
    <row r="732" spans="1:9" ht="15">
      <c r="A732" s="386" t="s">
        <v>2498</v>
      </c>
      <c r="B732" s="218">
        <v>151321133</v>
      </c>
      <c r="C732" s="218">
        <v>151321133</v>
      </c>
      <c r="D732" s="218">
        <v>153870178</v>
      </c>
      <c r="E732" s="218">
        <v>153870178</v>
      </c>
      <c r="F732" s="257">
        <v>153870178</v>
      </c>
      <c r="G732" s="257">
        <v>151321133</v>
      </c>
      <c r="H732" s="257">
        <v>153870178</v>
      </c>
      <c r="I732" s="257">
        <v>151321133</v>
      </c>
    </row>
    <row r="733" spans="1:9" ht="15">
      <c r="A733" s="386" t="s">
        <v>1172</v>
      </c>
      <c r="B733" s="218">
        <v>509430606</v>
      </c>
      <c r="C733" s="218">
        <v>509430606</v>
      </c>
      <c r="D733" s="218">
        <v>521644037</v>
      </c>
      <c r="E733" s="218">
        <v>521644037</v>
      </c>
      <c r="F733" s="257">
        <v>510275560</v>
      </c>
      <c r="G733" s="257">
        <v>498062129</v>
      </c>
      <c r="H733" s="257">
        <v>510275560</v>
      </c>
      <c r="I733" s="257">
        <v>498062129</v>
      </c>
    </row>
    <row r="734" spans="1:9" ht="15">
      <c r="A734" s="386" t="s">
        <v>1173</v>
      </c>
      <c r="B734" s="218">
        <v>1468935440</v>
      </c>
      <c r="C734" s="218">
        <v>1468935440</v>
      </c>
      <c r="D734" s="218">
        <v>1515026341</v>
      </c>
      <c r="E734" s="218">
        <v>1515026341</v>
      </c>
      <c r="F734" s="257">
        <v>1515026341</v>
      </c>
      <c r="G734" s="257">
        <v>1468935440</v>
      </c>
      <c r="H734" s="257">
        <v>1515026341</v>
      </c>
      <c r="I734" s="257">
        <v>1468935440</v>
      </c>
    </row>
    <row r="735" spans="1:9" ht="15">
      <c r="A735" s="386" t="s">
        <v>2399</v>
      </c>
      <c r="B735" s="218">
        <v>13482483489</v>
      </c>
      <c r="C735" s="218">
        <v>13482483489</v>
      </c>
      <c r="D735" s="218">
        <v>13928264473</v>
      </c>
      <c r="E735" s="218">
        <v>13928264473</v>
      </c>
      <c r="F735" s="257">
        <v>13928264473</v>
      </c>
      <c r="G735" s="257">
        <v>13482483489</v>
      </c>
      <c r="H735" s="257">
        <v>13928264473</v>
      </c>
      <c r="I735" s="257">
        <v>13482483489</v>
      </c>
    </row>
    <row r="736" spans="1:9" ht="15">
      <c r="A736" s="386" t="s">
        <v>570</v>
      </c>
      <c r="B736" s="218">
        <v>93399750</v>
      </c>
      <c r="C736" s="218">
        <v>93399750</v>
      </c>
      <c r="D736" s="218">
        <v>95445360</v>
      </c>
      <c r="E736" s="218">
        <v>95445360</v>
      </c>
      <c r="F736" s="257">
        <v>95445360</v>
      </c>
      <c r="G736" s="257">
        <v>93399750</v>
      </c>
      <c r="H736" s="257">
        <v>95445360</v>
      </c>
      <c r="I736" s="257">
        <v>93399750</v>
      </c>
    </row>
    <row r="737" spans="1:9" ht="15">
      <c r="A737" s="386" t="s">
        <v>579</v>
      </c>
      <c r="B737" s="218">
        <v>322203270</v>
      </c>
      <c r="C737" s="218">
        <v>322203270</v>
      </c>
      <c r="D737" s="218">
        <v>327297441</v>
      </c>
      <c r="E737" s="218">
        <v>327297441</v>
      </c>
      <c r="F737" s="257">
        <v>327297441</v>
      </c>
      <c r="G737" s="257">
        <v>322203270</v>
      </c>
      <c r="H737" s="257">
        <v>327297441</v>
      </c>
      <c r="I737" s="257">
        <v>322203270</v>
      </c>
    </row>
    <row r="738" spans="1:9" ht="15">
      <c r="A738" s="386" t="s">
        <v>580</v>
      </c>
      <c r="B738" s="218">
        <v>2141102281</v>
      </c>
      <c r="C738" s="218">
        <v>2141102281</v>
      </c>
      <c r="D738" s="218">
        <v>2151375805</v>
      </c>
      <c r="E738" s="218">
        <v>2151375805</v>
      </c>
      <c r="F738" s="257">
        <v>2151375805</v>
      </c>
      <c r="G738" s="257">
        <v>2141102281</v>
      </c>
      <c r="H738" s="257">
        <v>2151375805</v>
      </c>
      <c r="I738" s="257">
        <v>2141102281</v>
      </c>
    </row>
    <row r="739" spans="1:9" ht="15">
      <c r="A739" s="386" t="s">
        <v>165</v>
      </c>
      <c r="B739" s="218">
        <v>534001569</v>
      </c>
      <c r="C739" s="218">
        <v>534001569</v>
      </c>
      <c r="D739" s="218">
        <v>559374137</v>
      </c>
      <c r="E739" s="218">
        <v>559374137</v>
      </c>
      <c r="F739" s="257">
        <v>559374137</v>
      </c>
      <c r="G739" s="257">
        <v>534001569</v>
      </c>
      <c r="H739" s="257">
        <v>559374137</v>
      </c>
      <c r="I739" s="257">
        <v>534001569</v>
      </c>
    </row>
    <row r="740" spans="1:9" ht="15">
      <c r="A740" s="386" t="s">
        <v>767</v>
      </c>
      <c r="B740" s="218">
        <v>2443069115</v>
      </c>
      <c r="C740" s="218">
        <v>2443069115</v>
      </c>
      <c r="D740" s="218">
        <v>2466411927</v>
      </c>
      <c r="E740" s="218">
        <v>2466411927</v>
      </c>
      <c r="F740" s="257">
        <v>2435607986</v>
      </c>
      <c r="G740" s="257">
        <v>2412265174</v>
      </c>
      <c r="H740" s="257">
        <v>2435607986</v>
      </c>
      <c r="I740" s="257">
        <v>2412265174</v>
      </c>
    </row>
    <row r="741" spans="1:9" ht="15">
      <c r="A741" s="386" t="s">
        <v>964</v>
      </c>
      <c r="B741" s="218">
        <v>326269403</v>
      </c>
      <c r="C741" s="218">
        <v>326269403</v>
      </c>
      <c r="D741" s="218">
        <v>334366491</v>
      </c>
      <c r="E741" s="218">
        <v>334366491</v>
      </c>
      <c r="F741" s="257">
        <v>334366491</v>
      </c>
      <c r="G741" s="257">
        <v>326269403</v>
      </c>
      <c r="H741" s="257">
        <v>334366491</v>
      </c>
      <c r="I741" s="257">
        <v>326269403</v>
      </c>
    </row>
    <row r="742" spans="1:9" ht="15">
      <c r="A742" s="386" t="s">
        <v>2138</v>
      </c>
      <c r="B742" s="218">
        <v>2724423957</v>
      </c>
      <c r="C742" s="218">
        <v>2724423957</v>
      </c>
      <c r="D742" s="218">
        <v>2787966937</v>
      </c>
      <c r="E742" s="218">
        <v>2787966937</v>
      </c>
      <c r="F742" s="257">
        <v>2787966937</v>
      </c>
      <c r="G742" s="257">
        <v>2724423957</v>
      </c>
      <c r="H742" s="257">
        <v>2787966937</v>
      </c>
      <c r="I742" s="257">
        <v>2724423957</v>
      </c>
    </row>
    <row r="743" spans="1:9" ht="15">
      <c r="A743" s="386" t="s">
        <v>2139</v>
      </c>
      <c r="B743" s="218">
        <v>758103500</v>
      </c>
      <c r="C743" s="218">
        <v>758103500</v>
      </c>
      <c r="D743" s="218">
        <v>772280856</v>
      </c>
      <c r="E743" s="218">
        <v>772280856</v>
      </c>
      <c r="F743" s="257">
        <v>772280856</v>
      </c>
      <c r="G743" s="257">
        <v>758103500</v>
      </c>
      <c r="H743" s="257">
        <v>772280856</v>
      </c>
      <c r="I743" s="257">
        <v>758103500</v>
      </c>
    </row>
    <row r="744" spans="1:9" ht="15">
      <c r="A744" s="386" t="s">
        <v>209</v>
      </c>
      <c r="B744" s="218">
        <v>1930017942</v>
      </c>
      <c r="C744" s="218">
        <v>1930017942</v>
      </c>
      <c r="D744" s="218">
        <v>1930017942</v>
      </c>
      <c r="E744" s="218">
        <v>1930017942</v>
      </c>
      <c r="F744" s="257">
        <v>1930017942</v>
      </c>
      <c r="G744" s="257">
        <v>1930017942</v>
      </c>
      <c r="H744" s="257">
        <v>1930017942</v>
      </c>
      <c r="I744" s="257">
        <v>1930017942</v>
      </c>
    </row>
    <row r="745" spans="1:9" ht="15">
      <c r="A745" s="386" t="s">
        <v>971</v>
      </c>
      <c r="B745" s="218">
        <v>268083746</v>
      </c>
      <c r="C745" s="218">
        <v>489770416</v>
      </c>
      <c r="D745" s="218">
        <v>271033843</v>
      </c>
      <c r="E745" s="218">
        <v>492720513</v>
      </c>
      <c r="F745" s="257">
        <v>271033843</v>
      </c>
      <c r="G745" s="257">
        <v>268083746</v>
      </c>
      <c r="H745" s="257">
        <v>492720513</v>
      </c>
      <c r="I745" s="257">
        <v>489770416</v>
      </c>
    </row>
    <row r="746" spans="1:9" ht="15">
      <c r="A746" s="386" t="s">
        <v>972</v>
      </c>
      <c r="B746" s="218">
        <v>106236111</v>
      </c>
      <c r="C746" s="218">
        <v>106236111</v>
      </c>
      <c r="D746" s="218">
        <v>106809630</v>
      </c>
      <c r="E746" s="218">
        <v>106809630</v>
      </c>
      <c r="F746" s="257">
        <v>106809630</v>
      </c>
      <c r="G746" s="257">
        <v>106236111</v>
      </c>
      <c r="H746" s="257">
        <v>106809630</v>
      </c>
      <c r="I746" s="257">
        <v>106236111</v>
      </c>
    </row>
    <row r="747" spans="1:9" ht="15">
      <c r="A747" s="386" t="s">
        <v>973</v>
      </c>
      <c r="B747" s="218">
        <v>72506868</v>
      </c>
      <c r="C747" s="218">
        <v>228059448</v>
      </c>
      <c r="D747" s="218">
        <v>73286591</v>
      </c>
      <c r="E747" s="218">
        <v>228839171</v>
      </c>
      <c r="F747" s="257">
        <v>73286591</v>
      </c>
      <c r="G747" s="257">
        <v>72506868</v>
      </c>
      <c r="H747" s="257">
        <v>228839171</v>
      </c>
      <c r="I747" s="257">
        <v>228059448</v>
      </c>
    </row>
    <row r="748" spans="1:9" ht="15">
      <c r="A748" s="386" t="s">
        <v>1951</v>
      </c>
      <c r="B748" s="218">
        <v>963395319</v>
      </c>
      <c r="C748" s="218">
        <v>963395319</v>
      </c>
      <c r="D748" s="218">
        <v>997415043</v>
      </c>
      <c r="E748" s="218">
        <v>997415043</v>
      </c>
      <c r="F748" s="257">
        <v>997415043</v>
      </c>
      <c r="G748" s="257">
        <v>963395319</v>
      </c>
      <c r="H748" s="257">
        <v>997415043</v>
      </c>
      <c r="I748" s="257">
        <v>963395319</v>
      </c>
    </row>
    <row r="749" spans="1:9" ht="15">
      <c r="A749" s="386" t="s">
        <v>974</v>
      </c>
      <c r="B749" s="218">
        <v>496394565</v>
      </c>
      <c r="C749" s="218">
        <v>496394565</v>
      </c>
      <c r="D749" s="218">
        <v>516478796</v>
      </c>
      <c r="E749" s="218">
        <v>516478796</v>
      </c>
      <c r="F749" s="257">
        <v>489624745</v>
      </c>
      <c r="G749" s="257">
        <v>469540514</v>
      </c>
      <c r="H749" s="257">
        <v>489624745</v>
      </c>
      <c r="I749" s="257">
        <v>469540514</v>
      </c>
    </row>
    <row r="750" spans="1:9" ht="15">
      <c r="A750" s="386" t="s">
        <v>975</v>
      </c>
      <c r="B750" s="218">
        <v>1784818181</v>
      </c>
      <c r="C750" s="218">
        <v>1784818181</v>
      </c>
      <c r="D750" s="218">
        <v>1819354143</v>
      </c>
      <c r="E750" s="218">
        <v>1819354143</v>
      </c>
      <c r="F750" s="257">
        <v>1790159932</v>
      </c>
      <c r="G750" s="257">
        <v>1755623970</v>
      </c>
      <c r="H750" s="257">
        <v>1790159932</v>
      </c>
      <c r="I750" s="257">
        <v>1755623970</v>
      </c>
    </row>
    <row r="751" spans="1:9" ht="15">
      <c r="A751" s="386" t="s">
        <v>1466</v>
      </c>
      <c r="B751" s="218">
        <v>1046321547</v>
      </c>
      <c r="C751" s="218">
        <v>1046321547</v>
      </c>
      <c r="D751" s="218">
        <v>1099891699</v>
      </c>
      <c r="E751" s="218">
        <v>1099891699</v>
      </c>
      <c r="F751" s="257">
        <v>1063012351</v>
      </c>
      <c r="G751" s="257">
        <v>1009442199</v>
      </c>
      <c r="H751" s="257">
        <v>1063012351</v>
      </c>
      <c r="I751" s="257">
        <v>1009442199</v>
      </c>
    </row>
    <row r="752" spans="1:9" ht="15">
      <c r="A752" s="386" t="s">
        <v>1092</v>
      </c>
      <c r="B752" s="218">
        <v>949722033</v>
      </c>
      <c r="C752" s="218">
        <v>949722033</v>
      </c>
      <c r="D752" s="218">
        <v>996253441</v>
      </c>
      <c r="E752" s="218">
        <v>996253441</v>
      </c>
      <c r="F752" s="257">
        <v>952535582</v>
      </c>
      <c r="G752" s="257">
        <v>906004174</v>
      </c>
      <c r="H752" s="257">
        <v>952535582</v>
      </c>
      <c r="I752" s="257">
        <v>906004174</v>
      </c>
    </row>
    <row r="753" spans="1:9" ht="15">
      <c r="A753" s="386" t="s">
        <v>1093</v>
      </c>
      <c r="B753" s="218">
        <v>162356609</v>
      </c>
      <c r="C753" s="218">
        <v>162356609</v>
      </c>
      <c r="D753" s="218">
        <v>165539299</v>
      </c>
      <c r="E753" s="218">
        <v>165539299</v>
      </c>
      <c r="F753" s="257">
        <v>165539299</v>
      </c>
      <c r="G753" s="257">
        <v>162356609</v>
      </c>
      <c r="H753" s="257">
        <v>165539299</v>
      </c>
      <c r="I753" s="257">
        <v>162356609</v>
      </c>
    </row>
    <row r="754" spans="1:9" ht="15">
      <c r="A754" s="386" t="s">
        <v>1094</v>
      </c>
      <c r="B754" s="218">
        <v>985530099</v>
      </c>
      <c r="C754" s="218">
        <v>985530099</v>
      </c>
      <c r="D754" s="218">
        <v>990933338</v>
      </c>
      <c r="E754" s="218">
        <v>990933338</v>
      </c>
      <c r="F754" s="257">
        <v>990933338</v>
      </c>
      <c r="G754" s="257">
        <v>985530099</v>
      </c>
      <c r="H754" s="257">
        <v>990933338</v>
      </c>
      <c r="I754" s="257">
        <v>985530099</v>
      </c>
    </row>
    <row r="755" spans="1:9" ht="15">
      <c r="A755" s="386" t="s">
        <v>2537</v>
      </c>
      <c r="B755" s="218">
        <v>739873274</v>
      </c>
      <c r="C755" s="218">
        <v>739873274</v>
      </c>
      <c r="D755" s="218">
        <v>773963454</v>
      </c>
      <c r="E755" s="218">
        <v>773963454</v>
      </c>
      <c r="F755" s="257">
        <v>773963454</v>
      </c>
      <c r="G755" s="257">
        <v>739873274</v>
      </c>
      <c r="H755" s="257">
        <v>773963454</v>
      </c>
      <c r="I755" s="257">
        <v>739873274</v>
      </c>
    </row>
    <row r="756" spans="1:9" ht="15">
      <c r="A756" s="386" t="s">
        <v>1353</v>
      </c>
      <c r="B756" s="218">
        <v>276312311</v>
      </c>
      <c r="C756" s="218">
        <v>276312311</v>
      </c>
      <c r="D756" s="218">
        <v>284498644</v>
      </c>
      <c r="E756" s="218">
        <v>284498644</v>
      </c>
      <c r="F756" s="257">
        <v>284498644</v>
      </c>
      <c r="G756" s="257">
        <v>276312311</v>
      </c>
      <c r="H756" s="257">
        <v>284498644</v>
      </c>
      <c r="I756" s="257">
        <v>276312311</v>
      </c>
    </row>
    <row r="757" spans="1:9" ht="15">
      <c r="A757" s="386" t="s">
        <v>1354</v>
      </c>
      <c r="B757" s="218">
        <v>61632056</v>
      </c>
      <c r="C757" s="218">
        <v>61632056</v>
      </c>
      <c r="D757" s="218">
        <v>63114905</v>
      </c>
      <c r="E757" s="218">
        <v>63114905</v>
      </c>
      <c r="F757" s="257">
        <v>63114905</v>
      </c>
      <c r="G757" s="257">
        <v>61632056</v>
      </c>
      <c r="H757" s="257">
        <v>63114905</v>
      </c>
      <c r="I757" s="257">
        <v>61632056</v>
      </c>
    </row>
    <row r="758" spans="1:9" ht="15">
      <c r="A758" s="386" t="s">
        <v>1355</v>
      </c>
      <c r="B758" s="218">
        <v>502662984</v>
      </c>
      <c r="C758" s="218">
        <v>502662984</v>
      </c>
      <c r="D758" s="218">
        <v>505273913</v>
      </c>
      <c r="E758" s="218">
        <v>505273913</v>
      </c>
      <c r="F758" s="257">
        <v>496975191</v>
      </c>
      <c r="G758" s="257">
        <v>494364262</v>
      </c>
      <c r="H758" s="257">
        <v>496975191</v>
      </c>
      <c r="I758" s="257">
        <v>494364262</v>
      </c>
    </row>
    <row r="759" spans="1:9" ht="15">
      <c r="A759" s="386" t="s">
        <v>1356</v>
      </c>
      <c r="B759" s="218">
        <v>448285789</v>
      </c>
      <c r="C759" s="218">
        <v>448285789</v>
      </c>
      <c r="D759" s="218">
        <v>453790059</v>
      </c>
      <c r="E759" s="218">
        <v>453790059</v>
      </c>
      <c r="F759" s="257">
        <v>447177489</v>
      </c>
      <c r="G759" s="257">
        <v>441673219</v>
      </c>
      <c r="H759" s="257">
        <v>447177489</v>
      </c>
      <c r="I759" s="257">
        <v>441673219</v>
      </c>
    </row>
    <row r="760" spans="1:9" ht="15">
      <c r="A760" s="386" t="s">
        <v>1357</v>
      </c>
      <c r="B760" s="218">
        <v>3434898945</v>
      </c>
      <c r="C760" s="218">
        <v>3434898945</v>
      </c>
      <c r="D760" s="218">
        <v>3472804855</v>
      </c>
      <c r="E760" s="218">
        <v>3472804855</v>
      </c>
      <c r="F760" s="257">
        <v>3429914575</v>
      </c>
      <c r="G760" s="257">
        <v>3392008665</v>
      </c>
      <c r="H760" s="257">
        <v>3429914575</v>
      </c>
      <c r="I760" s="257">
        <v>3392008665</v>
      </c>
    </row>
    <row r="761" spans="1:9" ht="15">
      <c r="A761" s="386" t="s">
        <v>2579</v>
      </c>
      <c r="B761" s="218">
        <v>246299363</v>
      </c>
      <c r="C761" s="218">
        <v>246299363</v>
      </c>
      <c r="D761" s="218">
        <v>250675933</v>
      </c>
      <c r="E761" s="218">
        <v>250675933</v>
      </c>
      <c r="F761" s="257">
        <v>246176078</v>
      </c>
      <c r="G761" s="257">
        <v>241799508</v>
      </c>
      <c r="H761" s="257">
        <v>246176078</v>
      </c>
      <c r="I761" s="257">
        <v>241799508</v>
      </c>
    </row>
    <row r="762" spans="1:9" ht="15">
      <c r="A762" s="386" t="s">
        <v>707</v>
      </c>
      <c r="B762" s="218">
        <v>180929312</v>
      </c>
      <c r="C762" s="218">
        <v>180929312</v>
      </c>
      <c r="D762" s="218">
        <v>186949915</v>
      </c>
      <c r="E762" s="218">
        <v>186949915</v>
      </c>
      <c r="F762" s="257">
        <v>186949915</v>
      </c>
      <c r="G762" s="257">
        <v>180929312</v>
      </c>
      <c r="H762" s="257">
        <v>186949915</v>
      </c>
      <c r="I762" s="257">
        <v>180929312</v>
      </c>
    </row>
    <row r="763" spans="1:9" ht="15">
      <c r="A763" s="386" t="s">
        <v>1510</v>
      </c>
      <c r="B763" s="218">
        <v>924052380</v>
      </c>
      <c r="C763" s="218">
        <v>924052380</v>
      </c>
      <c r="D763" s="218">
        <v>966273355</v>
      </c>
      <c r="E763" s="218">
        <v>966273355</v>
      </c>
      <c r="F763" s="257">
        <v>966273355</v>
      </c>
      <c r="G763" s="257">
        <v>924052380</v>
      </c>
      <c r="H763" s="257">
        <v>966273355</v>
      </c>
      <c r="I763" s="257">
        <v>924052380</v>
      </c>
    </row>
    <row r="764" spans="1:9" ht="15">
      <c r="A764" s="386" t="s">
        <v>1467</v>
      </c>
      <c r="B764" s="218">
        <v>3739775260</v>
      </c>
      <c r="C764" s="218">
        <v>3739775260</v>
      </c>
      <c r="D764" s="218">
        <v>3850362909</v>
      </c>
      <c r="E764" s="218">
        <v>3850362909</v>
      </c>
      <c r="F764" s="257">
        <v>3850362909</v>
      </c>
      <c r="G764" s="257">
        <v>3739775260</v>
      </c>
      <c r="H764" s="257">
        <v>3850362909</v>
      </c>
      <c r="I764" s="257">
        <v>3739775260</v>
      </c>
    </row>
    <row r="765" spans="1:9" ht="15">
      <c r="A765" s="386" t="s">
        <v>2536</v>
      </c>
      <c r="B765" s="218">
        <v>297310689</v>
      </c>
      <c r="C765" s="218">
        <v>297310689</v>
      </c>
      <c r="D765" s="218">
        <v>307272978</v>
      </c>
      <c r="E765" s="218">
        <v>307272978</v>
      </c>
      <c r="F765" s="257">
        <v>307272978</v>
      </c>
      <c r="G765" s="257">
        <v>297310689</v>
      </c>
      <c r="H765" s="257">
        <v>307272978</v>
      </c>
      <c r="I765" s="257">
        <v>297310689</v>
      </c>
    </row>
    <row r="766" spans="1:9" ht="15">
      <c r="A766" s="386" t="s">
        <v>1383</v>
      </c>
      <c r="B766" s="218">
        <v>2818829415</v>
      </c>
      <c r="C766" s="218">
        <v>2818829415</v>
      </c>
      <c r="D766" s="218">
        <v>2876885815</v>
      </c>
      <c r="E766" s="218">
        <v>2876885815</v>
      </c>
      <c r="F766" s="257">
        <v>2876885815</v>
      </c>
      <c r="G766" s="257">
        <v>2818829415</v>
      </c>
      <c r="H766" s="257">
        <v>2876885815</v>
      </c>
      <c r="I766" s="257">
        <v>2818829415</v>
      </c>
    </row>
    <row r="767" spans="1:9" ht="15">
      <c r="A767" s="386" t="s">
        <v>208</v>
      </c>
      <c r="B767" s="218">
        <v>279404832</v>
      </c>
      <c r="C767" s="218">
        <v>279404832</v>
      </c>
      <c r="D767" s="218">
        <v>290036312</v>
      </c>
      <c r="E767" s="218">
        <v>290036312</v>
      </c>
      <c r="F767" s="257">
        <v>290036312</v>
      </c>
      <c r="G767" s="257">
        <v>279404832</v>
      </c>
      <c r="H767" s="257">
        <v>290036312</v>
      </c>
      <c r="I767" s="257">
        <v>279404832</v>
      </c>
    </row>
    <row r="768" spans="1:9" ht="15">
      <c r="A768" s="386" t="s">
        <v>1877</v>
      </c>
      <c r="B768" s="218">
        <v>507997840</v>
      </c>
      <c r="C768" s="218">
        <v>507997840</v>
      </c>
      <c r="D768" s="218">
        <v>520237533</v>
      </c>
      <c r="E768" s="218">
        <v>520237533</v>
      </c>
      <c r="F768" s="257">
        <v>520237533</v>
      </c>
      <c r="G768" s="257">
        <v>507997840</v>
      </c>
      <c r="H768" s="257">
        <v>520237533</v>
      </c>
      <c r="I768" s="257">
        <v>507997840</v>
      </c>
    </row>
    <row r="769" spans="1:9" ht="15">
      <c r="A769" s="386" t="s">
        <v>1634</v>
      </c>
      <c r="B769" s="218">
        <v>164582460</v>
      </c>
      <c r="C769" s="218">
        <v>164582460</v>
      </c>
      <c r="D769" s="218">
        <v>168658520</v>
      </c>
      <c r="E769" s="218">
        <v>168658520</v>
      </c>
      <c r="F769" s="257">
        <v>168658520</v>
      </c>
      <c r="G769" s="257">
        <v>164582460</v>
      </c>
      <c r="H769" s="257">
        <v>168658520</v>
      </c>
      <c r="I769" s="257">
        <v>164582460</v>
      </c>
    </row>
    <row r="770" spans="1:9" ht="15">
      <c r="A770" s="386" t="s">
        <v>1635</v>
      </c>
      <c r="B770" s="218">
        <v>133955430</v>
      </c>
      <c r="C770" s="218">
        <v>133955430</v>
      </c>
      <c r="D770" s="218">
        <v>137047480</v>
      </c>
      <c r="E770" s="218">
        <v>137047480</v>
      </c>
      <c r="F770" s="257">
        <v>137047480</v>
      </c>
      <c r="G770" s="257">
        <v>133955430</v>
      </c>
      <c r="H770" s="257">
        <v>137047480</v>
      </c>
      <c r="I770" s="257">
        <v>133955430</v>
      </c>
    </row>
    <row r="771" spans="1:9" ht="15">
      <c r="A771" s="386" t="s">
        <v>1636</v>
      </c>
      <c r="B771" s="218">
        <v>171736124</v>
      </c>
      <c r="C771" s="218">
        <v>171736124</v>
      </c>
      <c r="D771" s="218">
        <v>175927968</v>
      </c>
      <c r="E771" s="218">
        <v>175927968</v>
      </c>
      <c r="F771" s="257">
        <v>175927968</v>
      </c>
      <c r="G771" s="257">
        <v>171736124</v>
      </c>
      <c r="H771" s="257">
        <v>175927968</v>
      </c>
      <c r="I771" s="257">
        <v>171736124</v>
      </c>
    </row>
    <row r="772" spans="1:9" ht="15">
      <c r="A772" s="386" t="s">
        <v>1637</v>
      </c>
      <c r="B772" s="218">
        <v>331350345</v>
      </c>
      <c r="C772" s="218">
        <v>331350345</v>
      </c>
      <c r="D772" s="218">
        <v>338963806</v>
      </c>
      <c r="E772" s="218">
        <v>338963806</v>
      </c>
      <c r="F772" s="257">
        <v>338963806</v>
      </c>
      <c r="G772" s="257">
        <v>331350345</v>
      </c>
      <c r="H772" s="257">
        <v>338963806</v>
      </c>
      <c r="I772" s="257">
        <v>331350345</v>
      </c>
    </row>
    <row r="773" spans="1:9" ht="15">
      <c r="A773" s="386" t="s">
        <v>1638</v>
      </c>
      <c r="B773" s="218">
        <v>74403600</v>
      </c>
      <c r="C773" s="218">
        <v>74403600</v>
      </c>
      <c r="D773" s="218">
        <v>75546970</v>
      </c>
      <c r="E773" s="218">
        <v>75546970</v>
      </c>
      <c r="F773" s="257">
        <v>75546970</v>
      </c>
      <c r="G773" s="257">
        <v>74403600</v>
      </c>
      <c r="H773" s="257">
        <v>75546970</v>
      </c>
      <c r="I773" s="257">
        <v>74403600</v>
      </c>
    </row>
    <row r="774" spans="1:9" ht="15">
      <c r="A774" s="386" t="s">
        <v>1874</v>
      </c>
      <c r="B774" s="218">
        <v>206068050</v>
      </c>
      <c r="C774" s="218">
        <v>348154300</v>
      </c>
      <c r="D774" s="218">
        <v>206608530</v>
      </c>
      <c r="E774" s="218">
        <v>348694780</v>
      </c>
      <c r="F774" s="257">
        <v>206313810</v>
      </c>
      <c r="G774" s="257">
        <v>205773330</v>
      </c>
      <c r="H774" s="257">
        <v>348400060</v>
      </c>
      <c r="I774" s="257">
        <v>347859580</v>
      </c>
    </row>
    <row r="775" spans="1:9" ht="15">
      <c r="A775" s="386" t="s">
        <v>2302</v>
      </c>
      <c r="B775" s="218">
        <v>1085935270</v>
      </c>
      <c r="C775" s="218">
        <v>1377097990</v>
      </c>
      <c r="D775" s="218">
        <v>1108118280</v>
      </c>
      <c r="E775" s="218">
        <v>1399281000</v>
      </c>
      <c r="F775" s="257">
        <v>1091585910</v>
      </c>
      <c r="G775" s="257">
        <v>1069402900</v>
      </c>
      <c r="H775" s="257">
        <v>1382748630</v>
      </c>
      <c r="I775" s="257">
        <v>1360565620</v>
      </c>
    </row>
    <row r="776" spans="1:9" ht="15">
      <c r="A776" s="386" t="s">
        <v>2291</v>
      </c>
      <c r="B776" s="218">
        <v>1188066758</v>
      </c>
      <c r="C776" s="218">
        <v>1301024368</v>
      </c>
      <c r="D776" s="218">
        <v>1191063718</v>
      </c>
      <c r="E776" s="218">
        <v>1304021328</v>
      </c>
      <c r="F776" s="257">
        <v>1189129003</v>
      </c>
      <c r="G776" s="257">
        <v>1186132043</v>
      </c>
      <c r="H776" s="257">
        <v>1302086613</v>
      </c>
      <c r="I776" s="257">
        <v>1299089653</v>
      </c>
    </row>
    <row r="777" spans="1:9" ht="15">
      <c r="A777" s="386" t="s">
        <v>1302</v>
      </c>
      <c r="B777" s="218">
        <v>242755717</v>
      </c>
      <c r="C777" s="218">
        <v>242755717</v>
      </c>
      <c r="D777" s="218">
        <v>247005702</v>
      </c>
      <c r="E777" s="218">
        <v>247005702</v>
      </c>
      <c r="F777" s="257">
        <v>243702775</v>
      </c>
      <c r="G777" s="257">
        <v>239452790</v>
      </c>
      <c r="H777" s="257">
        <v>243702775</v>
      </c>
      <c r="I777" s="257">
        <v>239452790</v>
      </c>
    </row>
    <row r="778" spans="1:9" ht="15">
      <c r="A778" s="386" t="s">
        <v>692</v>
      </c>
      <c r="B778" s="218">
        <v>107295415</v>
      </c>
      <c r="C778" s="218">
        <v>107295415</v>
      </c>
      <c r="D778" s="218">
        <v>111933408</v>
      </c>
      <c r="E778" s="218">
        <v>111933408</v>
      </c>
      <c r="F778" s="257">
        <v>111933408</v>
      </c>
      <c r="G778" s="257">
        <v>107295415</v>
      </c>
      <c r="H778" s="257">
        <v>111933408</v>
      </c>
      <c r="I778" s="257">
        <v>107295415</v>
      </c>
    </row>
    <row r="779" spans="1:9" ht="15">
      <c r="A779" s="386" t="s">
        <v>2548</v>
      </c>
      <c r="B779" s="218">
        <v>330283764</v>
      </c>
      <c r="C779" s="218">
        <v>330283764</v>
      </c>
      <c r="D779" s="218">
        <v>339103566</v>
      </c>
      <c r="E779" s="218">
        <v>339103566</v>
      </c>
      <c r="F779" s="257">
        <v>332490400</v>
      </c>
      <c r="G779" s="257">
        <v>323670598</v>
      </c>
      <c r="H779" s="257">
        <v>332490400</v>
      </c>
      <c r="I779" s="257">
        <v>323670598</v>
      </c>
    </row>
    <row r="780" spans="1:9" ht="15">
      <c r="A780" s="386" t="s">
        <v>693</v>
      </c>
      <c r="B780" s="218">
        <v>119156571</v>
      </c>
      <c r="C780" s="218">
        <v>119156571</v>
      </c>
      <c r="D780" s="218">
        <v>121447127</v>
      </c>
      <c r="E780" s="218">
        <v>121447127</v>
      </c>
      <c r="F780" s="257">
        <v>121447127</v>
      </c>
      <c r="G780" s="257">
        <v>119156571</v>
      </c>
      <c r="H780" s="257">
        <v>121447127</v>
      </c>
      <c r="I780" s="257">
        <v>119156571</v>
      </c>
    </row>
    <row r="781" spans="1:9" ht="15">
      <c r="A781" s="386" t="s">
        <v>1773</v>
      </c>
      <c r="B781" s="218">
        <v>1423117489</v>
      </c>
      <c r="C781" s="218">
        <v>1423117489</v>
      </c>
      <c r="D781" s="218">
        <v>1473681782</v>
      </c>
      <c r="E781" s="218">
        <v>1473681782</v>
      </c>
      <c r="F781" s="257">
        <v>1473681782</v>
      </c>
      <c r="G781" s="257">
        <v>1423117489</v>
      </c>
      <c r="H781" s="257">
        <v>1473681782</v>
      </c>
      <c r="I781" s="257">
        <v>1423117489</v>
      </c>
    </row>
    <row r="782" spans="1:9" ht="15">
      <c r="A782" s="386" t="s">
        <v>1213</v>
      </c>
      <c r="B782" s="218">
        <v>476986714</v>
      </c>
      <c r="C782" s="218">
        <v>476986714</v>
      </c>
      <c r="D782" s="218">
        <v>494922159</v>
      </c>
      <c r="E782" s="218">
        <v>494922159</v>
      </c>
      <c r="F782" s="257">
        <v>494922159</v>
      </c>
      <c r="G782" s="257">
        <v>476986714</v>
      </c>
      <c r="H782" s="257">
        <v>494922159</v>
      </c>
      <c r="I782" s="257">
        <v>476986714</v>
      </c>
    </row>
    <row r="783" spans="1:9" ht="15">
      <c r="A783" s="386" t="s">
        <v>1639</v>
      </c>
      <c r="B783" s="218">
        <v>7898680592</v>
      </c>
      <c r="C783" s="218">
        <v>7898680592</v>
      </c>
      <c r="D783" s="218">
        <v>8206092340</v>
      </c>
      <c r="E783" s="218">
        <v>8206092340</v>
      </c>
      <c r="F783" s="257">
        <v>8206092340</v>
      </c>
      <c r="G783" s="257">
        <v>7898680592</v>
      </c>
      <c r="H783" s="257">
        <v>8206092340</v>
      </c>
      <c r="I783" s="257">
        <v>7898680592</v>
      </c>
    </row>
    <row r="784" spans="1:9" ht="15">
      <c r="A784" s="386" t="s">
        <v>199</v>
      </c>
      <c r="B784" s="218">
        <v>245651757</v>
      </c>
      <c r="C784" s="218">
        <v>245651757</v>
      </c>
      <c r="D784" s="218">
        <v>258528875</v>
      </c>
      <c r="E784" s="218">
        <v>258528875</v>
      </c>
      <c r="F784" s="257">
        <v>258528875</v>
      </c>
      <c r="G784" s="257">
        <v>245651757</v>
      </c>
      <c r="H784" s="257">
        <v>258528875</v>
      </c>
      <c r="I784" s="257">
        <v>245651757</v>
      </c>
    </row>
    <row r="785" spans="1:9" ht="15">
      <c r="A785" s="386" t="s">
        <v>572</v>
      </c>
      <c r="B785" s="218">
        <v>1008381159</v>
      </c>
      <c r="C785" s="218">
        <v>1008381159</v>
      </c>
      <c r="D785" s="218">
        <v>1009885210</v>
      </c>
      <c r="E785" s="218">
        <v>1009885210</v>
      </c>
      <c r="F785" s="257">
        <v>1009885210</v>
      </c>
      <c r="G785" s="257">
        <v>1008381159</v>
      </c>
      <c r="H785" s="257">
        <v>1009885210</v>
      </c>
      <c r="I785" s="257">
        <v>1008381159</v>
      </c>
    </row>
    <row r="786" spans="1:9" ht="15">
      <c r="A786" s="386" t="s">
        <v>2181</v>
      </c>
      <c r="B786" s="218">
        <v>1104459546</v>
      </c>
      <c r="C786" s="218">
        <v>1104459546</v>
      </c>
      <c r="D786" s="218">
        <v>1117478143</v>
      </c>
      <c r="E786" s="218">
        <v>1117478143</v>
      </c>
      <c r="F786" s="257">
        <v>1117478143</v>
      </c>
      <c r="G786" s="257">
        <v>1104459546</v>
      </c>
      <c r="H786" s="257">
        <v>1117478143</v>
      </c>
      <c r="I786" s="257">
        <v>1104459546</v>
      </c>
    </row>
    <row r="787" spans="1:9" ht="15">
      <c r="A787" s="386" t="s">
        <v>1468</v>
      </c>
      <c r="B787" s="218">
        <v>258743006</v>
      </c>
      <c r="C787" s="218">
        <v>258743006</v>
      </c>
      <c r="D787" s="218">
        <v>264420164</v>
      </c>
      <c r="E787" s="218">
        <v>264420164</v>
      </c>
      <c r="F787" s="257">
        <v>264420164</v>
      </c>
      <c r="G787" s="257">
        <v>258743006</v>
      </c>
      <c r="H787" s="257">
        <v>264420164</v>
      </c>
      <c r="I787" s="257">
        <v>258743006</v>
      </c>
    </row>
    <row r="788" spans="1:9" ht="15">
      <c r="A788" s="386" t="s">
        <v>217</v>
      </c>
      <c r="B788" s="218">
        <v>178910062</v>
      </c>
      <c r="C788" s="218">
        <v>178910062</v>
      </c>
      <c r="D788" s="218">
        <v>187447917</v>
      </c>
      <c r="E788" s="218">
        <v>187447917</v>
      </c>
      <c r="F788" s="257">
        <v>187447917</v>
      </c>
      <c r="G788" s="257">
        <v>178910062</v>
      </c>
      <c r="H788" s="257">
        <v>187447917</v>
      </c>
      <c r="I788" s="257">
        <v>178910062</v>
      </c>
    </row>
    <row r="789" spans="1:9" ht="15">
      <c r="A789" s="386" t="s">
        <v>1289</v>
      </c>
      <c r="B789" s="218">
        <v>480671677</v>
      </c>
      <c r="C789" s="218">
        <v>480671677</v>
      </c>
      <c r="D789" s="218">
        <v>503670403</v>
      </c>
      <c r="E789" s="218">
        <v>503670403</v>
      </c>
      <c r="F789" s="257">
        <v>503670403</v>
      </c>
      <c r="G789" s="257">
        <v>480671677</v>
      </c>
      <c r="H789" s="257">
        <v>503670403</v>
      </c>
      <c r="I789" s="257">
        <v>480671677</v>
      </c>
    </row>
    <row r="790" spans="1:9" ht="15">
      <c r="A790" s="386" t="s">
        <v>1290</v>
      </c>
      <c r="B790" s="218">
        <v>3837125561</v>
      </c>
      <c r="C790" s="218">
        <v>3837125561</v>
      </c>
      <c r="D790" s="218">
        <v>3954319653</v>
      </c>
      <c r="E790" s="218">
        <v>3954319653</v>
      </c>
      <c r="F790" s="257">
        <v>3954319653</v>
      </c>
      <c r="G790" s="257">
        <v>3837125561</v>
      </c>
      <c r="H790" s="257">
        <v>3954319653</v>
      </c>
      <c r="I790" s="257">
        <v>3837125561</v>
      </c>
    </row>
    <row r="791" spans="1:9" ht="15">
      <c r="A791" s="386" t="s">
        <v>2522</v>
      </c>
      <c r="B791" s="218">
        <v>2571154286</v>
      </c>
      <c r="C791" s="218">
        <v>2571154286</v>
      </c>
      <c r="D791" s="218">
        <v>2576557802</v>
      </c>
      <c r="E791" s="218">
        <v>2576557802</v>
      </c>
      <c r="F791" s="257">
        <v>2572820495</v>
      </c>
      <c r="G791" s="257">
        <v>2567416979</v>
      </c>
      <c r="H791" s="257">
        <v>2572820495</v>
      </c>
      <c r="I791" s="257">
        <v>2567416979</v>
      </c>
    </row>
    <row r="792" spans="1:9" ht="15">
      <c r="A792" s="386" t="s">
        <v>792</v>
      </c>
      <c r="B792" s="218">
        <v>284765410</v>
      </c>
      <c r="C792" s="218">
        <v>284765410</v>
      </c>
      <c r="D792" s="218">
        <v>285041107</v>
      </c>
      <c r="E792" s="218">
        <v>285041107</v>
      </c>
      <c r="F792" s="257">
        <v>285041107</v>
      </c>
      <c r="G792" s="257">
        <v>284765410</v>
      </c>
      <c r="H792" s="257">
        <v>285041107</v>
      </c>
      <c r="I792" s="257">
        <v>284765410</v>
      </c>
    </row>
    <row r="793" spans="1:9" ht="15">
      <c r="A793" s="386" t="s">
        <v>114</v>
      </c>
      <c r="B793" s="218">
        <v>46587293</v>
      </c>
      <c r="C793" s="218">
        <v>46587293</v>
      </c>
      <c r="D793" s="218">
        <v>50160657</v>
      </c>
      <c r="E793" s="218">
        <v>50160657</v>
      </c>
      <c r="F793" s="257">
        <v>50160657</v>
      </c>
      <c r="G793" s="257">
        <v>46587293</v>
      </c>
      <c r="H793" s="257">
        <v>50160657</v>
      </c>
      <c r="I793" s="257">
        <v>46587293</v>
      </c>
    </row>
    <row r="794" spans="1:9" ht="15">
      <c r="A794" s="386" t="s">
        <v>2654</v>
      </c>
      <c r="B794" s="218">
        <v>192724115</v>
      </c>
      <c r="C794" s="218">
        <v>192724115</v>
      </c>
      <c r="D794" s="218">
        <v>201193104</v>
      </c>
      <c r="E794" s="218">
        <v>201193104</v>
      </c>
      <c r="F794" s="257">
        <v>201193104</v>
      </c>
      <c r="G794" s="257">
        <v>192724115</v>
      </c>
      <c r="H794" s="257">
        <v>201193104</v>
      </c>
      <c r="I794" s="257">
        <v>192724115</v>
      </c>
    </row>
    <row r="795" spans="1:9" ht="15">
      <c r="A795" s="386" t="s">
        <v>2274</v>
      </c>
      <c r="B795" s="218">
        <v>196382491</v>
      </c>
      <c r="C795" s="218">
        <v>196382491</v>
      </c>
      <c r="D795" s="218">
        <v>208382920</v>
      </c>
      <c r="E795" s="218">
        <v>208382920</v>
      </c>
      <c r="F795" s="257">
        <v>208382920</v>
      </c>
      <c r="G795" s="257">
        <v>196382491</v>
      </c>
      <c r="H795" s="257">
        <v>208382920</v>
      </c>
      <c r="I795" s="257">
        <v>196382491</v>
      </c>
    </row>
    <row r="796" spans="1:9" ht="15">
      <c r="A796" s="386" t="s">
        <v>377</v>
      </c>
      <c r="B796" s="218">
        <v>60861111</v>
      </c>
      <c r="C796" s="218">
        <v>60861111</v>
      </c>
      <c r="D796" s="218">
        <v>65365470</v>
      </c>
      <c r="E796" s="218">
        <v>65365470</v>
      </c>
      <c r="F796" s="257">
        <v>65365470</v>
      </c>
      <c r="G796" s="257">
        <v>60861111</v>
      </c>
      <c r="H796" s="257">
        <v>65365470</v>
      </c>
      <c r="I796" s="257">
        <v>60861111</v>
      </c>
    </row>
    <row r="797" spans="1:9" ht="15">
      <c r="A797" s="386" t="s">
        <v>986</v>
      </c>
      <c r="B797" s="218">
        <v>3929981753</v>
      </c>
      <c r="C797" s="218">
        <v>4091791753</v>
      </c>
      <c r="D797" s="218">
        <v>3947973721</v>
      </c>
      <c r="E797" s="218">
        <v>4109783721</v>
      </c>
      <c r="F797" s="257">
        <v>3947973721</v>
      </c>
      <c r="G797" s="257">
        <v>3929981753</v>
      </c>
      <c r="H797" s="257">
        <v>4109783721</v>
      </c>
      <c r="I797" s="257">
        <v>4091791753</v>
      </c>
    </row>
    <row r="798" spans="1:9" ht="15">
      <c r="A798" s="386" t="s">
        <v>1716</v>
      </c>
      <c r="B798" s="218">
        <v>38662348</v>
      </c>
      <c r="C798" s="218">
        <v>38662348</v>
      </c>
      <c r="D798" s="218">
        <v>39577458</v>
      </c>
      <c r="E798" s="218">
        <v>39577458</v>
      </c>
      <c r="F798" s="257">
        <v>39577458</v>
      </c>
      <c r="G798" s="257">
        <v>38662348</v>
      </c>
      <c r="H798" s="257">
        <v>39577458</v>
      </c>
      <c r="I798" s="257">
        <v>38662348</v>
      </c>
    </row>
    <row r="799" spans="1:9" ht="15">
      <c r="A799" s="386" t="s">
        <v>695</v>
      </c>
      <c r="B799" s="218">
        <v>355319812</v>
      </c>
      <c r="C799" s="218">
        <v>355319812</v>
      </c>
      <c r="D799" s="218">
        <v>356979362</v>
      </c>
      <c r="E799" s="218">
        <v>356979362</v>
      </c>
      <c r="F799" s="257">
        <v>355860022</v>
      </c>
      <c r="G799" s="257">
        <v>354200472</v>
      </c>
      <c r="H799" s="257">
        <v>355860022</v>
      </c>
      <c r="I799" s="257">
        <v>354200472</v>
      </c>
    </row>
    <row r="800" spans="1:9" ht="15">
      <c r="A800" s="386" t="s">
        <v>696</v>
      </c>
      <c r="B800" s="218">
        <v>316846799</v>
      </c>
      <c r="C800" s="218">
        <v>316846799</v>
      </c>
      <c r="D800" s="218">
        <v>322986809</v>
      </c>
      <c r="E800" s="218">
        <v>322986809</v>
      </c>
      <c r="F800" s="257">
        <v>322986809</v>
      </c>
      <c r="G800" s="257">
        <v>316846799</v>
      </c>
      <c r="H800" s="257">
        <v>322986809</v>
      </c>
      <c r="I800" s="257">
        <v>316846799</v>
      </c>
    </row>
    <row r="801" spans="1:9" ht="15">
      <c r="A801" s="386" t="s">
        <v>697</v>
      </c>
      <c r="B801" s="218">
        <v>472189828</v>
      </c>
      <c r="C801" s="218">
        <v>472189828</v>
      </c>
      <c r="D801" s="218">
        <v>479769408</v>
      </c>
      <c r="E801" s="218">
        <v>479769408</v>
      </c>
      <c r="F801" s="257">
        <v>479769408</v>
      </c>
      <c r="G801" s="257">
        <v>472189828</v>
      </c>
      <c r="H801" s="257">
        <v>479769408</v>
      </c>
      <c r="I801" s="257">
        <v>472189828</v>
      </c>
    </row>
    <row r="802" spans="1:9" ht="15">
      <c r="A802" s="386" t="s">
        <v>1457</v>
      </c>
      <c r="B802" s="218">
        <v>1011295344</v>
      </c>
      <c r="C802" s="218">
        <v>1011295344</v>
      </c>
      <c r="D802" s="218">
        <v>1013285124</v>
      </c>
      <c r="E802" s="218">
        <v>1013285124</v>
      </c>
      <c r="F802" s="257">
        <v>1012328566</v>
      </c>
      <c r="G802" s="257">
        <v>1010338786</v>
      </c>
      <c r="H802" s="257">
        <v>1012328566</v>
      </c>
      <c r="I802" s="257">
        <v>1010338786</v>
      </c>
    </row>
    <row r="803" spans="1:9" ht="15">
      <c r="A803" s="386" t="s">
        <v>1458</v>
      </c>
      <c r="B803" s="218">
        <v>406872086</v>
      </c>
      <c r="C803" s="218">
        <v>406872086</v>
      </c>
      <c r="D803" s="218">
        <v>411945107</v>
      </c>
      <c r="E803" s="218">
        <v>411945107</v>
      </c>
      <c r="F803" s="257">
        <v>411945107</v>
      </c>
      <c r="G803" s="257">
        <v>406872086</v>
      </c>
      <c r="H803" s="257">
        <v>411945107</v>
      </c>
      <c r="I803" s="257">
        <v>406872086</v>
      </c>
    </row>
    <row r="804" spans="1:9" ht="15">
      <c r="A804" s="386" t="s">
        <v>1459</v>
      </c>
      <c r="B804" s="218">
        <v>111868181</v>
      </c>
      <c r="C804" s="218">
        <v>111868181</v>
      </c>
      <c r="D804" s="218">
        <v>114562680</v>
      </c>
      <c r="E804" s="218">
        <v>114562680</v>
      </c>
      <c r="F804" s="257">
        <v>114562680</v>
      </c>
      <c r="G804" s="257">
        <v>111868181</v>
      </c>
      <c r="H804" s="257">
        <v>114562680</v>
      </c>
      <c r="I804" s="257">
        <v>111868181</v>
      </c>
    </row>
    <row r="805" spans="1:9" ht="15">
      <c r="A805" s="386" t="s">
        <v>1460</v>
      </c>
      <c r="B805" s="218">
        <v>2046563850</v>
      </c>
      <c r="C805" s="218">
        <v>2046563850</v>
      </c>
      <c r="D805" s="218">
        <v>2059089857</v>
      </c>
      <c r="E805" s="218">
        <v>2059089857</v>
      </c>
      <c r="F805" s="257">
        <v>2059089857</v>
      </c>
      <c r="G805" s="257">
        <v>2046563850</v>
      </c>
      <c r="H805" s="257">
        <v>2059089857</v>
      </c>
      <c r="I805" s="257">
        <v>2046563850</v>
      </c>
    </row>
    <row r="806" spans="1:9" ht="15">
      <c r="A806" s="386" t="s">
        <v>1461</v>
      </c>
      <c r="B806" s="218">
        <v>393090290</v>
      </c>
      <c r="C806" s="218">
        <v>393090290</v>
      </c>
      <c r="D806" s="218">
        <v>405337750</v>
      </c>
      <c r="E806" s="218">
        <v>405337750</v>
      </c>
      <c r="F806" s="257">
        <v>405337750</v>
      </c>
      <c r="G806" s="257">
        <v>393090290</v>
      </c>
      <c r="H806" s="257">
        <v>405337750</v>
      </c>
      <c r="I806" s="257">
        <v>393090290</v>
      </c>
    </row>
    <row r="807" spans="1:9" ht="15">
      <c r="A807" s="386" t="s">
        <v>1462</v>
      </c>
      <c r="B807" s="218">
        <v>69320508</v>
      </c>
      <c r="C807" s="218">
        <v>69320508</v>
      </c>
      <c r="D807" s="218">
        <v>69582438</v>
      </c>
      <c r="E807" s="218">
        <v>69582438</v>
      </c>
      <c r="F807" s="257">
        <v>69582438</v>
      </c>
      <c r="G807" s="257">
        <v>69320508</v>
      </c>
      <c r="H807" s="257">
        <v>69582438</v>
      </c>
      <c r="I807" s="257">
        <v>69320508</v>
      </c>
    </row>
    <row r="808" spans="1:9" ht="15">
      <c r="A808" s="386" t="s">
        <v>1672</v>
      </c>
      <c r="B808" s="218">
        <v>7014827568</v>
      </c>
      <c r="C808" s="218">
        <v>7014827568</v>
      </c>
      <c r="D808" s="218">
        <v>7182885308</v>
      </c>
      <c r="E808" s="218">
        <v>7182885308</v>
      </c>
      <c r="F808" s="257">
        <v>7182885308</v>
      </c>
      <c r="G808" s="257">
        <v>7014827568</v>
      </c>
      <c r="H808" s="257">
        <v>7182885308</v>
      </c>
      <c r="I808" s="257">
        <v>7014827568</v>
      </c>
    </row>
    <row r="809" spans="1:9" ht="15">
      <c r="A809" s="386" t="s">
        <v>1812</v>
      </c>
      <c r="B809" s="218">
        <v>1271632573</v>
      </c>
      <c r="C809" s="218">
        <v>1271632573</v>
      </c>
      <c r="D809" s="218">
        <v>1321423820</v>
      </c>
      <c r="E809" s="218">
        <v>1321423820</v>
      </c>
      <c r="F809" s="257">
        <v>1321423820</v>
      </c>
      <c r="G809" s="257">
        <v>1271632573</v>
      </c>
      <c r="H809" s="257">
        <v>1321423820</v>
      </c>
      <c r="I809" s="257">
        <v>1271632573</v>
      </c>
    </row>
    <row r="810" spans="1:9" ht="15">
      <c r="A810" s="386" t="s">
        <v>1673</v>
      </c>
      <c r="B810" s="218">
        <v>265221063</v>
      </c>
      <c r="C810" s="218">
        <v>265221063</v>
      </c>
      <c r="D810" s="218">
        <v>277303790</v>
      </c>
      <c r="E810" s="218">
        <v>277303790</v>
      </c>
      <c r="F810" s="257">
        <v>277303790</v>
      </c>
      <c r="G810" s="257">
        <v>265221063</v>
      </c>
      <c r="H810" s="257">
        <v>277303790</v>
      </c>
      <c r="I810" s="257">
        <v>265221063</v>
      </c>
    </row>
    <row r="811" spans="1:9" ht="15">
      <c r="A811" s="386" t="s">
        <v>378</v>
      </c>
      <c r="B811" s="218">
        <v>74320699</v>
      </c>
      <c r="C811" s="218">
        <v>74320699</v>
      </c>
      <c r="D811" s="218">
        <v>78350144</v>
      </c>
      <c r="E811" s="218">
        <v>78350144</v>
      </c>
      <c r="F811" s="257">
        <v>78350144</v>
      </c>
      <c r="G811" s="257">
        <v>74320699</v>
      </c>
      <c r="H811" s="257">
        <v>78350144</v>
      </c>
      <c r="I811" s="257">
        <v>74320699</v>
      </c>
    </row>
    <row r="812" spans="1:9" ht="15">
      <c r="A812" s="386" t="s">
        <v>1183</v>
      </c>
      <c r="B812" s="218">
        <v>182081735</v>
      </c>
      <c r="C812" s="218">
        <v>182081735</v>
      </c>
      <c r="D812" s="218">
        <v>189299844</v>
      </c>
      <c r="E812" s="218">
        <v>189299844</v>
      </c>
      <c r="F812" s="257">
        <v>189299844</v>
      </c>
      <c r="G812" s="257">
        <v>182081735</v>
      </c>
      <c r="H812" s="257">
        <v>189299844</v>
      </c>
      <c r="I812" s="257">
        <v>182081735</v>
      </c>
    </row>
    <row r="813" spans="1:9" ht="15">
      <c r="A813" s="386" t="s">
        <v>379</v>
      </c>
      <c r="B813" s="218">
        <v>5607941</v>
      </c>
      <c r="C813" s="218">
        <v>5607941</v>
      </c>
      <c r="D813" s="218">
        <v>5876791</v>
      </c>
      <c r="E813" s="218">
        <v>5876791</v>
      </c>
      <c r="F813" s="257">
        <v>5876791</v>
      </c>
      <c r="G813" s="257">
        <v>5607941</v>
      </c>
      <c r="H813" s="257">
        <v>5876791</v>
      </c>
      <c r="I813" s="257">
        <v>5607941</v>
      </c>
    </row>
    <row r="814" spans="1:9" ht="15">
      <c r="A814" s="386" t="s">
        <v>1674</v>
      </c>
      <c r="B814" s="218">
        <v>1727420880</v>
      </c>
      <c r="C814" s="218">
        <v>1727420880</v>
      </c>
      <c r="D814" s="218">
        <v>1772245010</v>
      </c>
      <c r="E814" s="218">
        <v>1772245010</v>
      </c>
      <c r="F814" s="257">
        <v>1715307355</v>
      </c>
      <c r="G814" s="257">
        <v>1670483225</v>
      </c>
      <c r="H814" s="257">
        <v>1715307355</v>
      </c>
      <c r="I814" s="257">
        <v>1670483225</v>
      </c>
    </row>
    <row r="815" spans="1:9" ht="15">
      <c r="A815" s="386" t="s">
        <v>1675</v>
      </c>
      <c r="B815" s="218">
        <v>87886757</v>
      </c>
      <c r="C815" s="218">
        <v>87886757</v>
      </c>
      <c r="D815" s="218">
        <v>91358737</v>
      </c>
      <c r="E815" s="218">
        <v>91358737</v>
      </c>
      <c r="F815" s="257">
        <v>87924952</v>
      </c>
      <c r="G815" s="257">
        <v>84452972</v>
      </c>
      <c r="H815" s="257">
        <v>87924952</v>
      </c>
      <c r="I815" s="257">
        <v>84452972</v>
      </c>
    </row>
    <row r="816" spans="1:9" ht="15">
      <c r="A816" s="386" t="s">
        <v>1676</v>
      </c>
      <c r="B816" s="218">
        <v>38495069</v>
      </c>
      <c r="C816" s="218">
        <v>38495069</v>
      </c>
      <c r="D816" s="218">
        <v>39916719</v>
      </c>
      <c r="E816" s="218">
        <v>39916719</v>
      </c>
      <c r="F816" s="257">
        <v>38692829</v>
      </c>
      <c r="G816" s="257">
        <v>37271179</v>
      </c>
      <c r="H816" s="257">
        <v>38692829</v>
      </c>
      <c r="I816" s="257">
        <v>37271179</v>
      </c>
    </row>
    <row r="817" spans="1:9" ht="15">
      <c r="A817" s="386" t="s">
        <v>2470</v>
      </c>
      <c r="B817" s="218">
        <v>58891436</v>
      </c>
      <c r="C817" s="218">
        <v>58891436</v>
      </c>
      <c r="D817" s="218">
        <v>62739296</v>
      </c>
      <c r="E817" s="218">
        <v>62739296</v>
      </c>
      <c r="F817" s="257">
        <v>58828931</v>
      </c>
      <c r="G817" s="257">
        <v>54981071</v>
      </c>
      <c r="H817" s="257">
        <v>58828931</v>
      </c>
      <c r="I817" s="257">
        <v>54981071</v>
      </c>
    </row>
    <row r="818" spans="1:9" ht="15">
      <c r="A818" s="386" t="s">
        <v>2471</v>
      </c>
      <c r="B818" s="218">
        <v>72672370</v>
      </c>
      <c r="C818" s="218">
        <v>72672370</v>
      </c>
      <c r="D818" s="218">
        <v>78179780</v>
      </c>
      <c r="E818" s="218">
        <v>78179780</v>
      </c>
      <c r="F818" s="257">
        <v>73270375</v>
      </c>
      <c r="G818" s="257">
        <v>67762965</v>
      </c>
      <c r="H818" s="257">
        <v>73270375</v>
      </c>
      <c r="I818" s="257">
        <v>67762965</v>
      </c>
    </row>
    <row r="819" spans="1:9" ht="15">
      <c r="A819" s="386" t="s">
        <v>1677</v>
      </c>
      <c r="B819" s="218">
        <v>1237794530</v>
      </c>
      <c r="C819" s="218">
        <v>1237794530</v>
      </c>
      <c r="D819" s="218">
        <v>1250921100</v>
      </c>
      <c r="E819" s="218">
        <v>1250921100</v>
      </c>
      <c r="F819" s="257">
        <v>1233593485</v>
      </c>
      <c r="G819" s="257">
        <v>1220466915</v>
      </c>
      <c r="H819" s="257">
        <v>1233593485</v>
      </c>
      <c r="I819" s="257">
        <v>1220466915</v>
      </c>
    </row>
    <row r="820" spans="1:9" ht="15">
      <c r="A820" s="386" t="s">
        <v>190</v>
      </c>
      <c r="B820" s="218">
        <v>120885251</v>
      </c>
      <c r="C820" s="218">
        <v>120885251</v>
      </c>
      <c r="D820" s="218">
        <v>125069731</v>
      </c>
      <c r="E820" s="218">
        <v>125069731</v>
      </c>
      <c r="F820" s="257">
        <v>120803179</v>
      </c>
      <c r="G820" s="257">
        <v>116618699</v>
      </c>
      <c r="H820" s="257">
        <v>120803179</v>
      </c>
      <c r="I820" s="257">
        <v>116618699</v>
      </c>
    </row>
    <row r="821" spans="1:9" ht="15">
      <c r="A821" s="386" t="s">
        <v>1678</v>
      </c>
      <c r="B821" s="218">
        <v>479087095</v>
      </c>
      <c r="C821" s="218">
        <v>479087095</v>
      </c>
      <c r="D821" s="218">
        <v>490063795</v>
      </c>
      <c r="E821" s="218">
        <v>490063795</v>
      </c>
      <c r="F821" s="257">
        <v>479388885</v>
      </c>
      <c r="G821" s="257">
        <v>468412185</v>
      </c>
      <c r="H821" s="257">
        <v>479388885</v>
      </c>
      <c r="I821" s="257">
        <v>468412185</v>
      </c>
    </row>
    <row r="822" spans="1:9" ht="15">
      <c r="A822" s="386" t="s">
        <v>1395</v>
      </c>
      <c r="B822" s="218">
        <v>445782000</v>
      </c>
      <c r="C822" s="218">
        <v>445782000</v>
      </c>
      <c r="D822" s="218">
        <v>466717010</v>
      </c>
      <c r="E822" s="218">
        <v>466717010</v>
      </c>
      <c r="F822" s="257">
        <v>466717010</v>
      </c>
      <c r="G822" s="257">
        <v>445782000</v>
      </c>
      <c r="H822" s="257">
        <v>466717010</v>
      </c>
      <c r="I822" s="257">
        <v>445782000</v>
      </c>
    </row>
    <row r="823" spans="1:9" ht="15">
      <c r="A823" s="386" t="s">
        <v>1396</v>
      </c>
      <c r="B823" s="218">
        <v>94787048</v>
      </c>
      <c r="C823" s="218">
        <v>94787048</v>
      </c>
      <c r="D823" s="218">
        <v>100563828</v>
      </c>
      <c r="E823" s="218">
        <v>100563828</v>
      </c>
      <c r="F823" s="257">
        <v>97407363</v>
      </c>
      <c r="G823" s="257">
        <v>91630583</v>
      </c>
      <c r="H823" s="257">
        <v>97407363</v>
      </c>
      <c r="I823" s="257">
        <v>91630583</v>
      </c>
    </row>
    <row r="824" spans="1:9" ht="15">
      <c r="A824" s="386" t="s">
        <v>1397</v>
      </c>
      <c r="B824" s="218">
        <v>494268912</v>
      </c>
      <c r="C824" s="218">
        <v>494268912</v>
      </c>
      <c r="D824" s="218">
        <v>502185270</v>
      </c>
      <c r="E824" s="218">
        <v>502185270</v>
      </c>
      <c r="F824" s="257">
        <v>502185270</v>
      </c>
      <c r="G824" s="257">
        <v>494268912</v>
      </c>
      <c r="H824" s="257">
        <v>502185270</v>
      </c>
      <c r="I824" s="257">
        <v>494268912</v>
      </c>
    </row>
    <row r="825" spans="1:9" ht="15">
      <c r="A825" s="386" t="s">
        <v>1632</v>
      </c>
      <c r="B825" s="218">
        <v>186989121</v>
      </c>
      <c r="C825" s="218">
        <v>186989121</v>
      </c>
      <c r="D825" s="218">
        <v>192010651</v>
      </c>
      <c r="E825" s="218">
        <v>192010651</v>
      </c>
      <c r="F825" s="257">
        <v>192010651</v>
      </c>
      <c r="G825" s="257">
        <v>186989121</v>
      </c>
      <c r="H825" s="257">
        <v>192010651</v>
      </c>
      <c r="I825" s="257">
        <v>186989121</v>
      </c>
    </row>
    <row r="826" spans="1:9" ht="15">
      <c r="A826" s="386" t="s">
        <v>1633</v>
      </c>
      <c r="B826" s="218">
        <v>991878137</v>
      </c>
      <c r="C826" s="218">
        <v>991878137</v>
      </c>
      <c r="D826" s="218">
        <v>1026771102</v>
      </c>
      <c r="E826" s="218">
        <v>1026771102</v>
      </c>
      <c r="F826" s="257">
        <v>1026771102</v>
      </c>
      <c r="G826" s="257">
        <v>991878137</v>
      </c>
      <c r="H826" s="257">
        <v>1026771102</v>
      </c>
      <c r="I826" s="257">
        <v>991878137</v>
      </c>
    </row>
    <row r="827" spans="1:9" ht="15">
      <c r="A827" s="386" t="s">
        <v>2433</v>
      </c>
      <c r="B827" s="218">
        <v>309948715</v>
      </c>
      <c r="C827" s="218">
        <v>309948715</v>
      </c>
      <c r="D827" s="218">
        <v>325456983</v>
      </c>
      <c r="E827" s="218">
        <v>325456983</v>
      </c>
      <c r="F827" s="257">
        <v>325456983</v>
      </c>
      <c r="G827" s="257">
        <v>309948715</v>
      </c>
      <c r="H827" s="257">
        <v>325456983</v>
      </c>
      <c r="I827" s="257">
        <v>309948715</v>
      </c>
    </row>
    <row r="828" spans="1:9" ht="15">
      <c r="A828" s="386" t="s">
        <v>1215</v>
      </c>
      <c r="B828" s="218">
        <v>716909094</v>
      </c>
      <c r="C828" s="218">
        <v>716909094</v>
      </c>
      <c r="D828" s="218">
        <v>734889677</v>
      </c>
      <c r="E828" s="218">
        <v>734889677</v>
      </c>
      <c r="F828" s="257">
        <v>734889677</v>
      </c>
      <c r="G828" s="257">
        <v>716909094</v>
      </c>
      <c r="H828" s="257">
        <v>734889677</v>
      </c>
      <c r="I828" s="257">
        <v>716909094</v>
      </c>
    </row>
    <row r="829" spans="1:9" ht="15">
      <c r="A829" s="386" t="s">
        <v>2434</v>
      </c>
      <c r="B829" s="218">
        <v>1654202292</v>
      </c>
      <c r="C829" s="218">
        <v>1736328772</v>
      </c>
      <c r="D829" s="218">
        <v>1691867259</v>
      </c>
      <c r="E829" s="218">
        <v>1773993739</v>
      </c>
      <c r="F829" s="257">
        <v>1691867259</v>
      </c>
      <c r="G829" s="257">
        <v>1654202292</v>
      </c>
      <c r="H829" s="257">
        <v>1773993739</v>
      </c>
      <c r="I829" s="257">
        <v>1736328772</v>
      </c>
    </row>
    <row r="830" spans="1:9" ht="15">
      <c r="A830" s="386" t="s">
        <v>1454</v>
      </c>
      <c r="B830" s="218">
        <v>1817909694</v>
      </c>
      <c r="C830" s="218">
        <v>1817909694</v>
      </c>
      <c r="D830" s="218">
        <v>1835745831</v>
      </c>
      <c r="E830" s="218">
        <v>1835745831</v>
      </c>
      <c r="F830" s="257">
        <v>1835745831</v>
      </c>
      <c r="G830" s="257">
        <v>1817909694</v>
      </c>
      <c r="H830" s="257">
        <v>1835745831</v>
      </c>
      <c r="I830" s="257">
        <v>1817909694</v>
      </c>
    </row>
    <row r="831" spans="1:9" ht="15">
      <c r="A831" s="386" t="s">
        <v>2527</v>
      </c>
      <c r="B831" s="218">
        <v>371217115</v>
      </c>
      <c r="C831" s="218">
        <v>371217115</v>
      </c>
      <c r="D831" s="218">
        <v>386470677</v>
      </c>
      <c r="E831" s="218">
        <v>386470677</v>
      </c>
      <c r="F831" s="257">
        <v>386470677</v>
      </c>
      <c r="G831" s="257">
        <v>371217115</v>
      </c>
      <c r="H831" s="257">
        <v>386470677</v>
      </c>
      <c r="I831" s="257">
        <v>371217115</v>
      </c>
    </row>
    <row r="832" spans="1:9" ht="15">
      <c r="A832" s="386" t="s">
        <v>1411</v>
      </c>
      <c r="B832" s="218">
        <v>310393328</v>
      </c>
      <c r="C832" s="218">
        <v>357825248</v>
      </c>
      <c r="D832" s="218">
        <v>319706669</v>
      </c>
      <c r="E832" s="218">
        <v>367138589</v>
      </c>
      <c r="F832" s="257">
        <v>319706669</v>
      </c>
      <c r="G832" s="257">
        <v>310393328</v>
      </c>
      <c r="H832" s="257">
        <v>367138589</v>
      </c>
      <c r="I832" s="257">
        <v>357825248</v>
      </c>
    </row>
    <row r="833" spans="1:9" ht="15">
      <c r="A833" s="386" t="s">
        <v>1317</v>
      </c>
      <c r="B833" s="218">
        <v>407487807</v>
      </c>
      <c r="C833" s="218">
        <v>468173247</v>
      </c>
      <c r="D833" s="218">
        <v>423340968</v>
      </c>
      <c r="E833" s="218">
        <v>484026408</v>
      </c>
      <c r="F833" s="257">
        <v>423340968</v>
      </c>
      <c r="G833" s="257">
        <v>407487807</v>
      </c>
      <c r="H833" s="257">
        <v>484026408</v>
      </c>
      <c r="I833" s="257">
        <v>468173247</v>
      </c>
    </row>
    <row r="834" spans="1:9" ht="15">
      <c r="A834" s="386" t="s">
        <v>191</v>
      </c>
      <c r="B834" s="218">
        <v>286501777</v>
      </c>
      <c r="C834" s="218">
        <v>506084767</v>
      </c>
      <c r="D834" s="218">
        <v>295148851</v>
      </c>
      <c r="E834" s="218">
        <v>514731841</v>
      </c>
      <c r="F834" s="257">
        <v>295148851</v>
      </c>
      <c r="G834" s="257">
        <v>286501777</v>
      </c>
      <c r="H834" s="257">
        <v>514731841</v>
      </c>
      <c r="I834" s="257">
        <v>506084767</v>
      </c>
    </row>
    <row r="835" spans="1:9" ht="15">
      <c r="A835" s="386" t="s">
        <v>489</v>
      </c>
      <c r="B835" s="218">
        <v>189979284</v>
      </c>
      <c r="C835" s="218">
        <v>189979284</v>
      </c>
      <c r="D835" s="218">
        <v>198958904</v>
      </c>
      <c r="E835" s="218">
        <v>198958904</v>
      </c>
      <c r="F835" s="257">
        <v>198958904</v>
      </c>
      <c r="G835" s="257">
        <v>189979284</v>
      </c>
      <c r="H835" s="257">
        <v>198958904</v>
      </c>
      <c r="I835" s="257">
        <v>189979284</v>
      </c>
    </row>
    <row r="836" spans="1:9" ht="15">
      <c r="A836" s="386" t="s">
        <v>1455</v>
      </c>
      <c r="B836" s="218">
        <v>59149813</v>
      </c>
      <c r="C836" s="218">
        <v>59149813</v>
      </c>
      <c r="D836" s="218">
        <v>61228993</v>
      </c>
      <c r="E836" s="218">
        <v>61228993</v>
      </c>
      <c r="F836" s="257">
        <v>61228993</v>
      </c>
      <c r="G836" s="257">
        <v>59149813</v>
      </c>
      <c r="H836" s="257">
        <v>61228993</v>
      </c>
      <c r="I836" s="257">
        <v>59149813</v>
      </c>
    </row>
    <row r="837" spans="1:9" ht="15">
      <c r="A837" s="386" t="s">
        <v>1456</v>
      </c>
      <c r="B837" s="218">
        <v>45885653</v>
      </c>
      <c r="C837" s="218">
        <v>45885653</v>
      </c>
      <c r="D837" s="218">
        <v>47236663</v>
      </c>
      <c r="E837" s="218">
        <v>47236663</v>
      </c>
      <c r="F837" s="257">
        <v>47236663</v>
      </c>
      <c r="G837" s="257">
        <v>45885653</v>
      </c>
      <c r="H837" s="257">
        <v>47236663</v>
      </c>
      <c r="I837" s="257">
        <v>45885653</v>
      </c>
    </row>
    <row r="838" spans="1:9" ht="15">
      <c r="A838" s="386" t="s">
        <v>1377</v>
      </c>
      <c r="B838" s="218">
        <v>337128818</v>
      </c>
      <c r="C838" s="218">
        <v>344983948</v>
      </c>
      <c r="D838" s="218">
        <v>341723143</v>
      </c>
      <c r="E838" s="218">
        <v>349578273</v>
      </c>
      <c r="F838" s="257">
        <v>338731689</v>
      </c>
      <c r="G838" s="257">
        <v>334137364</v>
      </c>
      <c r="H838" s="257">
        <v>346586819</v>
      </c>
      <c r="I838" s="257">
        <v>341992494</v>
      </c>
    </row>
    <row r="839" spans="1:9" ht="15">
      <c r="A839" s="386" t="s">
        <v>1378</v>
      </c>
      <c r="B839" s="218">
        <v>130036554</v>
      </c>
      <c r="C839" s="218">
        <v>390416234</v>
      </c>
      <c r="D839" s="218">
        <v>131767992</v>
      </c>
      <c r="E839" s="218">
        <v>392147672</v>
      </c>
      <c r="F839" s="257">
        <v>131767992</v>
      </c>
      <c r="G839" s="257">
        <v>130036554</v>
      </c>
      <c r="H839" s="257">
        <v>392147672</v>
      </c>
      <c r="I839" s="257">
        <v>390416234</v>
      </c>
    </row>
    <row r="840" spans="1:9" ht="15">
      <c r="A840" s="386" t="s">
        <v>1379</v>
      </c>
      <c r="B840" s="218">
        <v>2671461055</v>
      </c>
      <c r="C840" s="218">
        <v>2723407825</v>
      </c>
      <c r="D840" s="218">
        <v>2701062359</v>
      </c>
      <c r="E840" s="218">
        <v>2753009129</v>
      </c>
      <c r="F840" s="257">
        <v>2701062359</v>
      </c>
      <c r="G840" s="257">
        <v>2671461055</v>
      </c>
      <c r="H840" s="257">
        <v>2753009129</v>
      </c>
      <c r="I840" s="257">
        <v>2723407825</v>
      </c>
    </row>
    <row r="841" spans="1:9" ht="15">
      <c r="A841" s="386" t="s">
        <v>1473</v>
      </c>
      <c r="B841" s="218">
        <v>175950457</v>
      </c>
      <c r="C841" s="218">
        <v>175950457</v>
      </c>
      <c r="D841" s="218">
        <v>177542369</v>
      </c>
      <c r="E841" s="218">
        <v>177542369</v>
      </c>
      <c r="F841" s="257">
        <v>177542369</v>
      </c>
      <c r="G841" s="257">
        <v>175950457</v>
      </c>
      <c r="H841" s="257">
        <v>177542369</v>
      </c>
      <c r="I841" s="257">
        <v>175950457</v>
      </c>
    </row>
    <row r="842" spans="1:9" ht="15">
      <c r="A842" s="386" t="s">
        <v>961</v>
      </c>
      <c r="B842" s="218">
        <v>280869463</v>
      </c>
      <c r="C842" s="218">
        <v>402608621</v>
      </c>
      <c r="D842" s="218">
        <v>286650841</v>
      </c>
      <c r="E842" s="218">
        <v>408389999</v>
      </c>
      <c r="F842" s="257">
        <v>286650841</v>
      </c>
      <c r="G842" s="257">
        <v>280869463</v>
      </c>
      <c r="H842" s="257">
        <v>408389999</v>
      </c>
      <c r="I842" s="257">
        <v>402608621</v>
      </c>
    </row>
    <row r="843" spans="1:9" ht="15">
      <c r="A843" s="386" t="s">
        <v>962</v>
      </c>
      <c r="B843" s="218">
        <v>60696041</v>
      </c>
      <c r="C843" s="218">
        <v>60696041</v>
      </c>
      <c r="D843" s="218">
        <v>61386102</v>
      </c>
      <c r="E843" s="218">
        <v>61386102</v>
      </c>
      <c r="F843" s="257">
        <v>61386102</v>
      </c>
      <c r="G843" s="257">
        <v>60696041</v>
      </c>
      <c r="H843" s="257">
        <v>61386102</v>
      </c>
      <c r="I843" s="257">
        <v>60696041</v>
      </c>
    </row>
    <row r="844" spans="1:9" ht="15">
      <c r="A844" s="386" t="s">
        <v>963</v>
      </c>
      <c r="B844" s="218">
        <v>577700667</v>
      </c>
      <c r="C844" s="218">
        <v>577700667</v>
      </c>
      <c r="D844" s="218">
        <v>595079284</v>
      </c>
      <c r="E844" s="218">
        <v>595079284</v>
      </c>
      <c r="F844" s="257">
        <v>578410036</v>
      </c>
      <c r="G844" s="257">
        <v>561031419</v>
      </c>
      <c r="H844" s="257">
        <v>578410036</v>
      </c>
      <c r="I844" s="257">
        <v>561031419</v>
      </c>
    </row>
    <row r="845" spans="1:9" ht="15">
      <c r="A845" s="386" t="s">
        <v>1089</v>
      </c>
      <c r="B845" s="218">
        <v>194200172</v>
      </c>
      <c r="C845" s="218">
        <v>194200172</v>
      </c>
      <c r="D845" s="218">
        <v>200576263</v>
      </c>
      <c r="E845" s="218">
        <v>200576263</v>
      </c>
      <c r="F845" s="257">
        <v>194660907</v>
      </c>
      <c r="G845" s="257">
        <v>188284816</v>
      </c>
      <c r="H845" s="257">
        <v>194660907</v>
      </c>
      <c r="I845" s="257">
        <v>188284816</v>
      </c>
    </row>
    <row r="846" spans="1:9" ht="15">
      <c r="A846" s="386" t="s">
        <v>192</v>
      </c>
      <c r="B846" s="218">
        <v>293059548</v>
      </c>
      <c r="C846" s="218">
        <v>293059548</v>
      </c>
      <c r="D846" s="218">
        <v>299040738</v>
      </c>
      <c r="E846" s="218">
        <v>299040738</v>
      </c>
      <c r="F846" s="257">
        <v>299040738</v>
      </c>
      <c r="G846" s="257">
        <v>293059548</v>
      </c>
      <c r="H846" s="257">
        <v>299040738</v>
      </c>
      <c r="I846" s="257">
        <v>293059548</v>
      </c>
    </row>
    <row r="847" spans="1:9" ht="15">
      <c r="A847" s="386" t="s">
        <v>1090</v>
      </c>
      <c r="B847" s="218">
        <v>99572532</v>
      </c>
      <c r="C847" s="218">
        <v>99572532</v>
      </c>
      <c r="D847" s="218">
        <v>102848620</v>
      </c>
      <c r="E847" s="218">
        <v>102848620</v>
      </c>
      <c r="F847" s="257">
        <v>102848620</v>
      </c>
      <c r="G847" s="257">
        <v>99572532</v>
      </c>
      <c r="H847" s="257">
        <v>102848620</v>
      </c>
      <c r="I847" s="257">
        <v>99572532</v>
      </c>
    </row>
    <row r="848" spans="1:9" ht="15">
      <c r="A848" s="386" t="s">
        <v>1091</v>
      </c>
      <c r="B848" s="218">
        <v>128498985</v>
      </c>
      <c r="C848" s="218">
        <v>128498985</v>
      </c>
      <c r="D848" s="218">
        <v>134577370</v>
      </c>
      <c r="E848" s="218">
        <v>134577370</v>
      </c>
      <c r="F848" s="257">
        <v>129114542</v>
      </c>
      <c r="G848" s="257">
        <v>123036157</v>
      </c>
      <c r="H848" s="257">
        <v>129114542</v>
      </c>
      <c r="I848" s="257">
        <v>123036157</v>
      </c>
    </row>
    <row r="849" spans="1:9" ht="15">
      <c r="A849" s="386" t="s">
        <v>1238</v>
      </c>
      <c r="B849" s="218">
        <v>43696457</v>
      </c>
      <c r="C849" s="218">
        <v>43696457</v>
      </c>
      <c r="D849" s="218">
        <v>44675565</v>
      </c>
      <c r="E849" s="218">
        <v>44675565</v>
      </c>
      <c r="F849" s="257">
        <v>44675565</v>
      </c>
      <c r="G849" s="257">
        <v>43696457</v>
      </c>
      <c r="H849" s="257">
        <v>44675565</v>
      </c>
      <c r="I849" s="257">
        <v>43696457</v>
      </c>
    </row>
    <row r="850" spans="1:9" ht="15">
      <c r="A850" s="386" t="s">
        <v>1239</v>
      </c>
      <c r="B850" s="218">
        <v>118525362</v>
      </c>
      <c r="C850" s="218">
        <v>118525362</v>
      </c>
      <c r="D850" s="218">
        <v>119411412</v>
      </c>
      <c r="E850" s="218">
        <v>119411412</v>
      </c>
      <c r="F850" s="257">
        <v>119411412</v>
      </c>
      <c r="G850" s="257">
        <v>118525362</v>
      </c>
      <c r="H850" s="257">
        <v>119411412</v>
      </c>
      <c r="I850" s="257">
        <v>118525362</v>
      </c>
    </row>
    <row r="851" spans="1:9" ht="15">
      <c r="A851" s="386" t="s">
        <v>1801</v>
      </c>
      <c r="B851" s="218">
        <v>470492794</v>
      </c>
      <c r="C851" s="218">
        <v>470492794</v>
      </c>
      <c r="D851" s="218">
        <v>475156698</v>
      </c>
      <c r="E851" s="218">
        <v>475156698</v>
      </c>
      <c r="F851" s="257">
        <v>475156698</v>
      </c>
      <c r="G851" s="257">
        <v>470492794</v>
      </c>
      <c r="H851" s="257">
        <v>475156698</v>
      </c>
      <c r="I851" s="257">
        <v>470492794</v>
      </c>
    </row>
    <row r="852" spans="1:9" ht="15">
      <c r="A852" s="386" t="s">
        <v>274</v>
      </c>
      <c r="B852" s="218">
        <v>336921477</v>
      </c>
      <c r="C852" s="218">
        <v>336921477</v>
      </c>
      <c r="D852" s="218">
        <v>349836238</v>
      </c>
      <c r="E852" s="218">
        <v>349836238</v>
      </c>
      <c r="F852" s="257">
        <v>327653936</v>
      </c>
      <c r="G852" s="257">
        <v>314739175</v>
      </c>
      <c r="H852" s="257">
        <v>327653936</v>
      </c>
      <c r="I852" s="257">
        <v>314739175</v>
      </c>
    </row>
    <row r="853" spans="1:9" ht="15">
      <c r="A853" s="386" t="s">
        <v>1727</v>
      </c>
      <c r="B853" s="218">
        <v>846303346</v>
      </c>
      <c r="C853" s="218">
        <v>846303346</v>
      </c>
      <c r="D853" s="218">
        <v>875921389</v>
      </c>
      <c r="E853" s="218">
        <v>875921389</v>
      </c>
      <c r="F853" s="257">
        <v>875921389</v>
      </c>
      <c r="G853" s="257">
        <v>846303346</v>
      </c>
      <c r="H853" s="257">
        <v>875921389</v>
      </c>
      <c r="I853" s="257">
        <v>846303346</v>
      </c>
    </row>
    <row r="854" spans="1:9" ht="15">
      <c r="A854" s="386" t="s">
        <v>1728</v>
      </c>
      <c r="B854" s="218">
        <v>1223168422</v>
      </c>
      <c r="C854" s="218">
        <v>1223168422</v>
      </c>
      <c r="D854" s="218">
        <v>1273201754</v>
      </c>
      <c r="E854" s="218">
        <v>1273201754</v>
      </c>
      <c r="F854" s="257">
        <v>1273201754</v>
      </c>
      <c r="G854" s="257">
        <v>1223168422</v>
      </c>
      <c r="H854" s="257">
        <v>1273201754</v>
      </c>
      <c r="I854" s="257">
        <v>1223168422</v>
      </c>
    </row>
    <row r="855" spans="1:9" ht="15">
      <c r="A855" s="386" t="s">
        <v>1006</v>
      </c>
      <c r="B855" s="218">
        <v>323738080</v>
      </c>
      <c r="C855" s="218">
        <v>323738080</v>
      </c>
      <c r="D855" s="218">
        <v>334156375</v>
      </c>
      <c r="E855" s="218">
        <v>334156375</v>
      </c>
      <c r="F855" s="257">
        <v>334156375</v>
      </c>
      <c r="G855" s="257">
        <v>323738080</v>
      </c>
      <c r="H855" s="257">
        <v>334156375</v>
      </c>
      <c r="I855" s="257">
        <v>323738080</v>
      </c>
    </row>
    <row r="856" spans="1:9" ht="15">
      <c r="A856" s="386" t="s">
        <v>189</v>
      </c>
      <c r="B856" s="218">
        <v>7843721058</v>
      </c>
      <c r="C856" s="218">
        <v>7843721058</v>
      </c>
      <c r="D856" s="218">
        <v>8069509453</v>
      </c>
      <c r="E856" s="218">
        <v>8069509453</v>
      </c>
      <c r="F856" s="257">
        <v>8069509453</v>
      </c>
      <c r="G856" s="257">
        <v>7843721058</v>
      </c>
      <c r="H856" s="257">
        <v>8069509453</v>
      </c>
      <c r="I856" s="257">
        <v>7843721058</v>
      </c>
    </row>
    <row r="857" spans="1:9" ht="15">
      <c r="A857" s="386" t="s">
        <v>1181</v>
      </c>
      <c r="B857" s="218">
        <v>1791158215</v>
      </c>
      <c r="C857" s="218">
        <v>1791158215</v>
      </c>
      <c r="D857" s="218">
        <v>1848209876</v>
      </c>
      <c r="E857" s="218">
        <v>1848209876</v>
      </c>
      <c r="F857" s="257">
        <v>1848209876</v>
      </c>
      <c r="G857" s="257">
        <v>1791158215</v>
      </c>
      <c r="H857" s="257">
        <v>1848209876</v>
      </c>
      <c r="I857" s="257">
        <v>1791158215</v>
      </c>
    </row>
    <row r="858" spans="1:9" ht="15">
      <c r="A858" s="386" t="s">
        <v>1340</v>
      </c>
      <c r="B858" s="218">
        <v>1132487761</v>
      </c>
      <c r="C858" s="218">
        <v>1132487761</v>
      </c>
      <c r="D858" s="218">
        <v>1172015344</v>
      </c>
      <c r="E858" s="218">
        <v>1172015344</v>
      </c>
      <c r="F858" s="257">
        <v>1172015344</v>
      </c>
      <c r="G858" s="257">
        <v>1132487761</v>
      </c>
      <c r="H858" s="257">
        <v>1172015344</v>
      </c>
      <c r="I858" s="257">
        <v>1132487761</v>
      </c>
    </row>
    <row r="859" spans="1:9" ht="15">
      <c r="A859" s="386" t="s">
        <v>1341</v>
      </c>
      <c r="B859" s="218">
        <v>375851272</v>
      </c>
      <c r="C859" s="218">
        <v>375851272</v>
      </c>
      <c r="D859" s="218">
        <v>388428462</v>
      </c>
      <c r="E859" s="218">
        <v>388428462</v>
      </c>
      <c r="F859" s="257">
        <v>388428462</v>
      </c>
      <c r="G859" s="257">
        <v>375851272</v>
      </c>
      <c r="H859" s="257">
        <v>388428462</v>
      </c>
      <c r="I859" s="257">
        <v>375851272</v>
      </c>
    </row>
    <row r="860" spans="1:9" ht="15">
      <c r="A860" s="386" t="s">
        <v>1342</v>
      </c>
      <c r="B860" s="218">
        <v>3139054462</v>
      </c>
      <c r="C860" s="218">
        <v>3139054462</v>
      </c>
      <c r="D860" s="218">
        <v>3157723417</v>
      </c>
      <c r="E860" s="218">
        <v>3157723417</v>
      </c>
      <c r="F860" s="257">
        <v>3125035843</v>
      </c>
      <c r="G860" s="257">
        <v>3106366888</v>
      </c>
      <c r="H860" s="257">
        <v>3125035843</v>
      </c>
      <c r="I860" s="257">
        <v>3106366888</v>
      </c>
    </row>
    <row r="861" spans="1:9" ht="15">
      <c r="A861" s="386" t="s">
        <v>2653</v>
      </c>
      <c r="B861" s="218">
        <v>1436247793</v>
      </c>
      <c r="C861" s="218">
        <v>1436247793</v>
      </c>
      <c r="D861" s="218">
        <v>1485352533</v>
      </c>
      <c r="E861" s="218">
        <v>1485352533</v>
      </c>
      <c r="F861" s="257">
        <v>1485352533</v>
      </c>
      <c r="G861" s="257">
        <v>1436247793</v>
      </c>
      <c r="H861" s="257">
        <v>1485352533</v>
      </c>
      <c r="I861" s="257">
        <v>1436247793</v>
      </c>
    </row>
    <row r="862" spans="1:9" ht="15">
      <c r="A862" s="386" t="s">
        <v>1729</v>
      </c>
      <c r="B862" s="218">
        <v>182502255</v>
      </c>
      <c r="C862" s="218">
        <v>182502255</v>
      </c>
      <c r="D862" s="218">
        <v>183251985</v>
      </c>
      <c r="E862" s="218">
        <v>183251985</v>
      </c>
      <c r="F862" s="257">
        <v>183251985</v>
      </c>
      <c r="G862" s="257">
        <v>182502255</v>
      </c>
      <c r="H862" s="257">
        <v>183251985</v>
      </c>
      <c r="I862" s="257">
        <v>182502255</v>
      </c>
    </row>
    <row r="863" spans="1:9" ht="15">
      <c r="A863" s="386" t="s">
        <v>193</v>
      </c>
      <c r="B863" s="218">
        <v>474849918</v>
      </c>
      <c r="C863" s="218">
        <v>474849918</v>
      </c>
      <c r="D863" s="218">
        <v>500461258</v>
      </c>
      <c r="E863" s="218">
        <v>500461258</v>
      </c>
      <c r="F863" s="257">
        <v>500461258</v>
      </c>
      <c r="G863" s="257">
        <v>474849918</v>
      </c>
      <c r="H863" s="257">
        <v>500461258</v>
      </c>
      <c r="I863" s="257">
        <v>474849918</v>
      </c>
    </row>
    <row r="864" spans="1:9" ht="15">
      <c r="A864" s="386" t="s">
        <v>1730</v>
      </c>
      <c r="B864" s="218">
        <v>524560583</v>
      </c>
      <c r="C864" s="218">
        <v>524560583</v>
      </c>
      <c r="D864" s="218">
        <v>544014243</v>
      </c>
      <c r="E864" s="218">
        <v>544014243</v>
      </c>
      <c r="F864" s="257">
        <v>544014243</v>
      </c>
      <c r="G864" s="257">
        <v>524560583</v>
      </c>
      <c r="H864" s="257">
        <v>544014243</v>
      </c>
      <c r="I864" s="257">
        <v>524560583</v>
      </c>
    </row>
    <row r="865" spans="1:9" ht="15">
      <c r="A865" s="386" t="s">
        <v>2584</v>
      </c>
      <c r="B865" s="218">
        <v>475581314</v>
      </c>
      <c r="C865" s="218">
        <v>1093219294</v>
      </c>
      <c r="D865" s="218">
        <v>477814784</v>
      </c>
      <c r="E865" s="218">
        <v>1095452764</v>
      </c>
      <c r="F865" s="257">
        <v>477814784</v>
      </c>
      <c r="G865" s="257">
        <v>475581314</v>
      </c>
      <c r="H865" s="257">
        <v>1095452764</v>
      </c>
      <c r="I865" s="257">
        <v>1093219294</v>
      </c>
    </row>
    <row r="866" spans="1:9" ht="15">
      <c r="A866" s="386" t="s">
        <v>750</v>
      </c>
      <c r="B866" s="218">
        <v>231181211</v>
      </c>
      <c r="C866" s="218">
        <v>231181211</v>
      </c>
      <c r="D866" s="218">
        <v>233689171</v>
      </c>
      <c r="E866" s="218">
        <v>233689171</v>
      </c>
      <c r="F866" s="257">
        <v>233689171</v>
      </c>
      <c r="G866" s="257">
        <v>231181211</v>
      </c>
      <c r="H866" s="257">
        <v>233689171</v>
      </c>
      <c r="I866" s="257">
        <v>231181211</v>
      </c>
    </row>
    <row r="867" spans="1:9" ht="15">
      <c r="A867" s="386" t="s">
        <v>751</v>
      </c>
      <c r="B867" s="218">
        <v>595889233</v>
      </c>
      <c r="C867" s="218">
        <v>595889233</v>
      </c>
      <c r="D867" s="218">
        <v>604190344</v>
      </c>
      <c r="E867" s="218">
        <v>604190344</v>
      </c>
      <c r="F867" s="257">
        <v>594739878</v>
      </c>
      <c r="G867" s="257">
        <v>586438767</v>
      </c>
      <c r="H867" s="257">
        <v>594739878</v>
      </c>
      <c r="I867" s="257">
        <v>586438767</v>
      </c>
    </row>
    <row r="868" spans="1:9" ht="15">
      <c r="A868" s="386" t="s">
        <v>802</v>
      </c>
      <c r="B868" s="218">
        <v>72710314</v>
      </c>
      <c r="C868" s="218">
        <v>72710314</v>
      </c>
      <c r="D868" s="218">
        <v>74383009</v>
      </c>
      <c r="E868" s="218">
        <v>74383009</v>
      </c>
      <c r="F868" s="257">
        <v>74383009</v>
      </c>
      <c r="G868" s="257">
        <v>72710314</v>
      </c>
      <c r="H868" s="257">
        <v>74383009</v>
      </c>
      <c r="I868" s="257">
        <v>72710314</v>
      </c>
    </row>
    <row r="869" spans="1:9" ht="15">
      <c r="A869" s="386" t="s">
        <v>568</v>
      </c>
      <c r="B869" s="218">
        <v>141590007</v>
      </c>
      <c r="C869" s="218">
        <v>141590007</v>
      </c>
      <c r="D869" s="218">
        <v>149520735</v>
      </c>
      <c r="E869" s="218">
        <v>149520735</v>
      </c>
      <c r="F869" s="257">
        <v>149520735</v>
      </c>
      <c r="G869" s="257">
        <v>141590007</v>
      </c>
      <c r="H869" s="257">
        <v>149520735</v>
      </c>
      <c r="I869" s="257">
        <v>141590007</v>
      </c>
    </row>
    <row r="870" spans="1:9" ht="15">
      <c r="A870" s="386" t="s">
        <v>569</v>
      </c>
      <c r="B870" s="218">
        <v>76796250</v>
      </c>
      <c r="C870" s="218">
        <v>76796250</v>
      </c>
      <c r="D870" s="218">
        <v>78540950</v>
      </c>
      <c r="E870" s="218">
        <v>78540950</v>
      </c>
      <c r="F870" s="257">
        <v>78540950</v>
      </c>
      <c r="G870" s="257">
        <v>76796250</v>
      </c>
      <c r="H870" s="257">
        <v>78540950</v>
      </c>
      <c r="I870" s="257">
        <v>76796250</v>
      </c>
    </row>
    <row r="871" spans="1:9" ht="15">
      <c r="A871" s="386" t="s">
        <v>2298</v>
      </c>
      <c r="B871" s="218">
        <v>20969741006</v>
      </c>
      <c r="C871" s="218">
        <v>20969741006</v>
      </c>
      <c r="D871" s="218">
        <v>21524448983</v>
      </c>
      <c r="E871" s="218">
        <v>21524448983</v>
      </c>
      <c r="F871" s="257">
        <v>21524448983</v>
      </c>
      <c r="G871" s="257">
        <v>20969741006</v>
      </c>
      <c r="H871" s="257">
        <v>21524448983</v>
      </c>
      <c r="I871" s="257">
        <v>20969741006</v>
      </c>
    </row>
    <row r="872" spans="1:9" ht="15">
      <c r="A872" s="386" t="s">
        <v>873</v>
      </c>
      <c r="B872" s="218">
        <v>7504612464</v>
      </c>
      <c r="C872" s="218">
        <v>7504612464</v>
      </c>
      <c r="D872" s="218">
        <v>7766425604</v>
      </c>
      <c r="E872" s="218">
        <v>7766425604</v>
      </c>
      <c r="F872" s="257">
        <v>7766425604</v>
      </c>
      <c r="G872" s="257">
        <v>7504612464</v>
      </c>
      <c r="H872" s="257">
        <v>7766425604</v>
      </c>
      <c r="I872" s="257">
        <v>7504612464</v>
      </c>
    </row>
    <row r="873" spans="1:9" ht="15">
      <c r="A873" s="386" t="s">
        <v>1849</v>
      </c>
      <c r="B873" s="218">
        <v>1042264567</v>
      </c>
      <c r="C873" s="218">
        <v>1042264567</v>
      </c>
      <c r="D873" s="218">
        <v>1079625568</v>
      </c>
      <c r="E873" s="218">
        <v>1079625568</v>
      </c>
      <c r="F873" s="257">
        <v>1079625568</v>
      </c>
      <c r="G873" s="257">
        <v>1042264567</v>
      </c>
      <c r="H873" s="257">
        <v>1079625568</v>
      </c>
      <c r="I873" s="257">
        <v>1042264567</v>
      </c>
    </row>
    <row r="874" spans="1:9" ht="15">
      <c r="A874" s="386" t="s">
        <v>2018</v>
      </c>
      <c r="B874" s="218">
        <v>27638275368</v>
      </c>
      <c r="C874" s="218">
        <v>27638275368</v>
      </c>
      <c r="D874" s="218">
        <v>28371730112</v>
      </c>
      <c r="E874" s="218">
        <v>28371730112</v>
      </c>
      <c r="F874" s="257">
        <v>28371730112</v>
      </c>
      <c r="G874" s="257">
        <v>27638275368</v>
      </c>
      <c r="H874" s="257">
        <v>28371730112</v>
      </c>
      <c r="I874" s="257">
        <v>27638275368</v>
      </c>
    </row>
    <row r="875" spans="1:9" ht="15">
      <c r="A875" s="386" t="s">
        <v>2182</v>
      </c>
      <c r="B875" s="218">
        <v>11046282115</v>
      </c>
      <c r="C875" s="218">
        <v>11046282115</v>
      </c>
      <c r="D875" s="218">
        <v>11213261257</v>
      </c>
      <c r="E875" s="218">
        <v>11213261257</v>
      </c>
      <c r="F875" s="257">
        <v>11213261257</v>
      </c>
      <c r="G875" s="257">
        <v>11046282115</v>
      </c>
      <c r="H875" s="257">
        <v>11213261257</v>
      </c>
      <c r="I875" s="257">
        <v>11046282115</v>
      </c>
    </row>
    <row r="876" spans="1:9" ht="15">
      <c r="A876" s="386" t="s">
        <v>50</v>
      </c>
      <c r="B876" s="218">
        <v>13123523116</v>
      </c>
      <c r="C876" s="218">
        <v>13123523116</v>
      </c>
      <c r="D876" s="218">
        <v>13495003487</v>
      </c>
      <c r="E876" s="218">
        <v>13495003487</v>
      </c>
      <c r="F876" s="257">
        <v>13495003487</v>
      </c>
      <c r="G876" s="257">
        <v>13123523116</v>
      </c>
      <c r="H876" s="257">
        <v>13495003487</v>
      </c>
      <c r="I876" s="257">
        <v>13123523116</v>
      </c>
    </row>
    <row r="877" spans="1:9" ht="15">
      <c r="A877" s="386" t="s">
        <v>347</v>
      </c>
      <c r="B877" s="218">
        <v>10509236545</v>
      </c>
      <c r="C877" s="218">
        <v>10509236545</v>
      </c>
      <c r="D877" s="218">
        <v>10828589635</v>
      </c>
      <c r="E877" s="218">
        <v>10828589635</v>
      </c>
      <c r="F877" s="257">
        <v>10828589635</v>
      </c>
      <c r="G877" s="257">
        <v>10509236545</v>
      </c>
      <c r="H877" s="257">
        <v>10828589635</v>
      </c>
      <c r="I877" s="257">
        <v>10509236545</v>
      </c>
    </row>
    <row r="878" spans="1:9" ht="15">
      <c r="A878" s="386" t="s">
        <v>1767</v>
      </c>
      <c r="B878" s="218">
        <v>743355125</v>
      </c>
      <c r="C878" s="218">
        <v>743355125</v>
      </c>
      <c r="D878" s="218">
        <v>762878456</v>
      </c>
      <c r="E878" s="218">
        <v>762878456</v>
      </c>
      <c r="F878" s="257">
        <v>762878456</v>
      </c>
      <c r="G878" s="257">
        <v>743355125</v>
      </c>
      <c r="H878" s="257">
        <v>762878456</v>
      </c>
      <c r="I878" s="257">
        <v>743355125</v>
      </c>
    </row>
    <row r="879" spans="1:9" ht="15">
      <c r="A879" s="386" t="s">
        <v>2405</v>
      </c>
      <c r="B879" s="218">
        <v>5042341196</v>
      </c>
      <c r="C879" s="218">
        <v>5042341196</v>
      </c>
      <c r="D879" s="218">
        <v>5209027668</v>
      </c>
      <c r="E879" s="218">
        <v>5209027668</v>
      </c>
      <c r="F879" s="257">
        <v>5079848197</v>
      </c>
      <c r="G879" s="257">
        <v>4913161725</v>
      </c>
      <c r="H879" s="257">
        <v>5079848197</v>
      </c>
      <c r="I879" s="257">
        <v>4913161725</v>
      </c>
    </row>
    <row r="880" spans="1:9" ht="15">
      <c r="A880" s="386" t="s">
        <v>52</v>
      </c>
      <c r="B880" s="218">
        <v>1069410622</v>
      </c>
      <c r="C880" s="218">
        <v>1069410622</v>
      </c>
      <c r="D880" s="218">
        <v>1111625767</v>
      </c>
      <c r="E880" s="218">
        <v>1111625767</v>
      </c>
      <c r="F880" s="257">
        <v>1111625767</v>
      </c>
      <c r="G880" s="257">
        <v>1069410622</v>
      </c>
      <c r="H880" s="257">
        <v>1111625767</v>
      </c>
      <c r="I880" s="257">
        <v>1069410622</v>
      </c>
    </row>
    <row r="881" spans="1:9" ht="15">
      <c r="A881" s="386" t="s">
        <v>1681</v>
      </c>
      <c r="B881" s="218">
        <v>2337435380</v>
      </c>
      <c r="C881" s="218">
        <v>2337435380</v>
      </c>
      <c r="D881" s="218">
        <v>2422602724</v>
      </c>
      <c r="E881" s="218">
        <v>2422602724</v>
      </c>
      <c r="F881" s="257">
        <v>2422602724</v>
      </c>
      <c r="G881" s="257">
        <v>2337435380</v>
      </c>
      <c r="H881" s="257">
        <v>2422602724</v>
      </c>
      <c r="I881" s="257">
        <v>2337435380</v>
      </c>
    </row>
    <row r="882" spans="1:9" ht="15">
      <c r="A882" s="386" t="s">
        <v>1119</v>
      </c>
      <c r="B882" s="218">
        <v>9603429473</v>
      </c>
      <c r="C882" s="218">
        <v>9603429473</v>
      </c>
      <c r="D882" s="218">
        <v>9876451194</v>
      </c>
      <c r="E882" s="218">
        <v>9876451194</v>
      </c>
      <c r="F882" s="257">
        <v>9807308575</v>
      </c>
      <c r="G882" s="257">
        <v>9534286854</v>
      </c>
      <c r="H882" s="257">
        <v>9807308575</v>
      </c>
      <c r="I882" s="257">
        <v>9534286854</v>
      </c>
    </row>
    <row r="883" spans="1:9" ht="15">
      <c r="A883" s="386" t="s">
        <v>1847</v>
      </c>
      <c r="B883" s="218">
        <v>437691004</v>
      </c>
      <c r="C883" s="218">
        <v>437691004</v>
      </c>
      <c r="D883" s="218">
        <v>469571703</v>
      </c>
      <c r="E883" s="218">
        <v>469571703</v>
      </c>
      <c r="F883" s="257">
        <v>469571703</v>
      </c>
      <c r="G883" s="257">
        <v>437691004</v>
      </c>
      <c r="H883" s="257">
        <v>469571703</v>
      </c>
      <c r="I883" s="257">
        <v>437691004</v>
      </c>
    </row>
    <row r="884" spans="1:9" ht="15">
      <c r="A884" s="386" t="s">
        <v>2223</v>
      </c>
      <c r="B884" s="218">
        <v>6814522667</v>
      </c>
      <c r="C884" s="218">
        <v>6814522667</v>
      </c>
      <c r="D884" s="218">
        <v>7003208807</v>
      </c>
      <c r="E884" s="218">
        <v>7003208807</v>
      </c>
      <c r="F884" s="257">
        <v>7003208807</v>
      </c>
      <c r="G884" s="257">
        <v>6814522667</v>
      </c>
      <c r="H884" s="257">
        <v>7003208807</v>
      </c>
      <c r="I884" s="257">
        <v>6814522667</v>
      </c>
    </row>
    <row r="885" spans="1:9" ht="15">
      <c r="A885" s="386" t="s">
        <v>1846</v>
      </c>
      <c r="B885" s="218">
        <v>6287210118</v>
      </c>
      <c r="C885" s="218">
        <v>6287210118</v>
      </c>
      <c r="D885" s="218">
        <v>6364566120</v>
      </c>
      <c r="E885" s="218">
        <v>6364566120</v>
      </c>
      <c r="F885" s="257">
        <v>6364566120</v>
      </c>
      <c r="G885" s="257">
        <v>6287210118</v>
      </c>
      <c r="H885" s="257">
        <v>6364566120</v>
      </c>
      <c r="I885" s="257">
        <v>6287210118</v>
      </c>
    </row>
    <row r="886" spans="1:9" ht="15">
      <c r="A886" s="386" t="s">
        <v>1180</v>
      </c>
      <c r="B886" s="218">
        <v>1580742286</v>
      </c>
      <c r="C886" s="218">
        <v>1580742286</v>
      </c>
      <c r="D886" s="218">
        <v>1645081771</v>
      </c>
      <c r="E886" s="218">
        <v>1645081771</v>
      </c>
      <c r="F886" s="257">
        <v>1645081771</v>
      </c>
      <c r="G886" s="257">
        <v>1580742286</v>
      </c>
      <c r="H886" s="257">
        <v>1645081771</v>
      </c>
      <c r="I886" s="257">
        <v>1580742286</v>
      </c>
    </row>
    <row r="887" spans="1:9" ht="15">
      <c r="A887" s="386" t="s">
        <v>2224</v>
      </c>
      <c r="B887" s="218">
        <v>4232453346</v>
      </c>
      <c r="C887" s="218">
        <v>4232453346</v>
      </c>
      <c r="D887" s="218">
        <v>4404916527</v>
      </c>
      <c r="E887" s="218">
        <v>4404916527</v>
      </c>
      <c r="F887" s="257">
        <v>4354896017</v>
      </c>
      <c r="G887" s="257">
        <v>4182432836</v>
      </c>
      <c r="H887" s="257">
        <v>4354896017</v>
      </c>
      <c r="I887" s="257">
        <v>4182432836</v>
      </c>
    </row>
    <row r="888" spans="1:9" ht="15">
      <c r="A888" s="386" t="s">
        <v>2225</v>
      </c>
      <c r="B888" s="218">
        <v>387723597</v>
      </c>
      <c r="C888" s="218">
        <v>387723597</v>
      </c>
      <c r="D888" s="218">
        <v>398838722</v>
      </c>
      <c r="E888" s="218">
        <v>398838722</v>
      </c>
      <c r="F888" s="257">
        <v>398838722</v>
      </c>
      <c r="G888" s="257">
        <v>387723597</v>
      </c>
      <c r="H888" s="257">
        <v>398838722</v>
      </c>
      <c r="I888" s="257">
        <v>387723597</v>
      </c>
    </row>
    <row r="889" spans="1:9" ht="15">
      <c r="A889" s="386" t="s">
        <v>2655</v>
      </c>
      <c r="B889" s="218">
        <v>137845524</v>
      </c>
      <c r="C889" s="218">
        <v>171629070</v>
      </c>
      <c r="D889" s="218">
        <v>139127778</v>
      </c>
      <c r="E889" s="218">
        <v>172911324</v>
      </c>
      <c r="F889" s="257">
        <v>139127778</v>
      </c>
      <c r="G889" s="257">
        <v>137845524</v>
      </c>
      <c r="H889" s="257">
        <v>172911324</v>
      </c>
      <c r="I889" s="257">
        <v>171629070</v>
      </c>
    </row>
    <row r="890" spans="1:9" ht="15">
      <c r="A890" s="386" t="s">
        <v>2656</v>
      </c>
      <c r="B890" s="218">
        <v>415713389</v>
      </c>
      <c r="C890" s="218">
        <v>480719060</v>
      </c>
      <c r="D890" s="218">
        <v>429966772</v>
      </c>
      <c r="E890" s="218">
        <v>494972443</v>
      </c>
      <c r="F890" s="257">
        <v>408211178</v>
      </c>
      <c r="G890" s="257">
        <v>393957795</v>
      </c>
      <c r="H890" s="257">
        <v>473216849</v>
      </c>
      <c r="I890" s="257">
        <v>458963466</v>
      </c>
    </row>
    <row r="891" spans="1:9" ht="15">
      <c r="A891" s="386" t="s">
        <v>2657</v>
      </c>
      <c r="B891" s="218">
        <v>1656044343</v>
      </c>
      <c r="C891" s="218">
        <v>1656044343</v>
      </c>
      <c r="D891" s="218">
        <v>1709960712</v>
      </c>
      <c r="E891" s="218">
        <v>1709960712</v>
      </c>
      <c r="F891" s="257">
        <v>1709960712</v>
      </c>
      <c r="G891" s="257">
        <v>1656044343</v>
      </c>
      <c r="H891" s="257">
        <v>1709960712</v>
      </c>
      <c r="I891" s="257">
        <v>1656044343</v>
      </c>
    </row>
    <row r="892" spans="1:9" ht="15">
      <c r="A892" s="386" t="s">
        <v>2658</v>
      </c>
      <c r="B892" s="218">
        <v>326622847</v>
      </c>
      <c r="C892" s="218">
        <v>326622847</v>
      </c>
      <c r="D892" s="218">
        <v>328888183</v>
      </c>
      <c r="E892" s="218">
        <v>328888183</v>
      </c>
      <c r="F892" s="257">
        <v>327609822</v>
      </c>
      <c r="G892" s="257">
        <v>325344486</v>
      </c>
      <c r="H892" s="257">
        <v>327609822</v>
      </c>
      <c r="I892" s="257">
        <v>325344486</v>
      </c>
    </row>
    <row r="893" spans="1:9" ht="15">
      <c r="A893" s="386" t="s">
        <v>1170</v>
      </c>
      <c r="B893" s="218">
        <v>605306711</v>
      </c>
      <c r="C893" s="218">
        <v>605306711</v>
      </c>
      <c r="D893" s="218">
        <v>614074500</v>
      </c>
      <c r="E893" s="218">
        <v>614074500</v>
      </c>
      <c r="F893" s="257">
        <v>614074500</v>
      </c>
      <c r="G893" s="257">
        <v>605306711</v>
      </c>
      <c r="H893" s="257">
        <v>614074500</v>
      </c>
      <c r="I893" s="257">
        <v>605306711</v>
      </c>
    </row>
    <row r="894" spans="1:9" ht="15">
      <c r="A894" s="386" t="s">
        <v>1845</v>
      </c>
      <c r="B894" s="218">
        <v>57967187</v>
      </c>
      <c r="C894" s="218">
        <v>57967187</v>
      </c>
      <c r="D894" s="218">
        <v>58756353</v>
      </c>
      <c r="E894" s="218">
        <v>58756353</v>
      </c>
      <c r="F894" s="257">
        <v>58756353</v>
      </c>
      <c r="G894" s="257">
        <v>57967187</v>
      </c>
      <c r="H894" s="257">
        <v>58756353</v>
      </c>
      <c r="I894" s="257">
        <v>57967187</v>
      </c>
    </row>
    <row r="895" spans="1:9" ht="15">
      <c r="A895" s="386" t="s">
        <v>1171</v>
      </c>
      <c r="B895" s="218">
        <v>232858940</v>
      </c>
      <c r="C895" s="218">
        <v>232858940</v>
      </c>
      <c r="D895" s="218">
        <v>233377664</v>
      </c>
      <c r="E895" s="218">
        <v>233377664</v>
      </c>
      <c r="F895" s="257">
        <v>233377664</v>
      </c>
      <c r="G895" s="257">
        <v>232858940</v>
      </c>
      <c r="H895" s="257">
        <v>233377664</v>
      </c>
      <c r="I895" s="257">
        <v>232858940</v>
      </c>
    </row>
    <row r="896" spans="1:9" ht="15">
      <c r="A896" s="386" t="s">
        <v>1586</v>
      </c>
      <c r="B896" s="218">
        <v>161888075</v>
      </c>
      <c r="C896" s="218">
        <v>161888075</v>
      </c>
      <c r="D896" s="218">
        <v>164619975</v>
      </c>
      <c r="E896" s="218">
        <v>164619975</v>
      </c>
      <c r="F896" s="257">
        <v>164619975</v>
      </c>
      <c r="G896" s="257">
        <v>161888075</v>
      </c>
      <c r="H896" s="257">
        <v>164619975</v>
      </c>
      <c r="I896" s="257">
        <v>161888075</v>
      </c>
    </row>
    <row r="897" spans="1:9" ht="15">
      <c r="A897" s="386" t="s">
        <v>1587</v>
      </c>
      <c r="B897" s="218">
        <v>39360563</v>
      </c>
      <c r="C897" s="218">
        <v>39360563</v>
      </c>
      <c r="D897" s="218">
        <v>40339743</v>
      </c>
      <c r="E897" s="218">
        <v>40339743</v>
      </c>
      <c r="F897" s="257">
        <v>40339743</v>
      </c>
      <c r="G897" s="257">
        <v>39360563</v>
      </c>
      <c r="H897" s="257">
        <v>40339743</v>
      </c>
      <c r="I897" s="257">
        <v>39360563</v>
      </c>
    </row>
    <row r="898" spans="1:9" ht="15">
      <c r="A898" s="386" t="s">
        <v>1588</v>
      </c>
      <c r="B898" s="218">
        <v>1564587790</v>
      </c>
      <c r="C898" s="218">
        <v>1564587790</v>
      </c>
      <c r="D898" s="218">
        <v>1604632035</v>
      </c>
      <c r="E898" s="218">
        <v>1604632035</v>
      </c>
      <c r="F898" s="257">
        <v>1604632035</v>
      </c>
      <c r="G898" s="257">
        <v>1564587790</v>
      </c>
      <c r="H898" s="257">
        <v>1604632035</v>
      </c>
      <c r="I898" s="257">
        <v>1564587790</v>
      </c>
    </row>
    <row r="899" spans="1:9" ht="15">
      <c r="A899" s="386" t="s">
        <v>1817</v>
      </c>
      <c r="B899" s="218">
        <v>53974163</v>
      </c>
      <c r="C899" s="218">
        <v>53974163</v>
      </c>
      <c r="D899" s="218">
        <v>55184081</v>
      </c>
      <c r="E899" s="218">
        <v>55184081</v>
      </c>
      <c r="F899" s="257">
        <v>55184081</v>
      </c>
      <c r="G899" s="257">
        <v>53974163</v>
      </c>
      <c r="H899" s="257">
        <v>55184081</v>
      </c>
      <c r="I899" s="257">
        <v>53974163</v>
      </c>
    </row>
    <row r="900" spans="1:9" ht="15">
      <c r="A900" s="386" t="s">
        <v>275</v>
      </c>
      <c r="B900" s="218">
        <v>107515275</v>
      </c>
      <c r="C900" s="218">
        <v>107515275</v>
      </c>
      <c r="D900" s="218">
        <v>113300061</v>
      </c>
      <c r="E900" s="218">
        <v>113300061</v>
      </c>
      <c r="F900" s="257">
        <v>113300061</v>
      </c>
      <c r="G900" s="257">
        <v>107515275</v>
      </c>
      <c r="H900" s="257">
        <v>113300061</v>
      </c>
      <c r="I900" s="257">
        <v>107515275</v>
      </c>
    </row>
    <row r="901" spans="1:9" ht="15">
      <c r="A901" s="386" t="s">
        <v>1818</v>
      </c>
      <c r="B901" s="218">
        <v>134873400</v>
      </c>
      <c r="C901" s="218">
        <v>134873400</v>
      </c>
      <c r="D901" s="218">
        <v>141513260</v>
      </c>
      <c r="E901" s="218">
        <v>141513260</v>
      </c>
      <c r="F901" s="257">
        <v>141513260</v>
      </c>
      <c r="G901" s="257">
        <v>134873400</v>
      </c>
      <c r="H901" s="257">
        <v>141513260</v>
      </c>
      <c r="I901" s="257">
        <v>134873400</v>
      </c>
    </row>
    <row r="902" spans="1:9" ht="15">
      <c r="A902" s="386" t="s">
        <v>2440</v>
      </c>
      <c r="B902" s="218">
        <v>247056000</v>
      </c>
      <c r="C902" s="218">
        <v>272522800</v>
      </c>
      <c r="D902" s="218">
        <v>254865260</v>
      </c>
      <c r="E902" s="218">
        <v>280332060</v>
      </c>
      <c r="F902" s="257">
        <v>254865260</v>
      </c>
      <c r="G902" s="257">
        <v>247056000</v>
      </c>
      <c r="H902" s="257">
        <v>280332060</v>
      </c>
      <c r="I902" s="257">
        <v>272522800</v>
      </c>
    </row>
    <row r="903" spans="1:9" ht="15">
      <c r="A903" s="386" t="s">
        <v>1313</v>
      </c>
      <c r="B903" s="218">
        <v>4545509107</v>
      </c>
      <c r="C903" s="218">
        <v>4545509107</v>
      </c>
      <c r="D903" s="218">
        <v>4755966152</v>
      </c>
      <c r="E903" s="218">
        <v>4755966152</v>
      </c>
      <c r="F903" s="257">
        <v>4755966152</v>
      </c>
      <c r="G903" s="257">
        <v>4545509107</v>
      </c>
      <c r="H903" s="257">
        <v>4755966152</v>
      </c>
      <c r="I903" s="257">
        <v>4545509107</v>
      </c>
    </row>
    <row r="904" spans="1:9" ht="15">
      <c r="A904" s="386" t="s">
        <v>2428</v>
      </c>
      <c r="B904" s="218">
        <v>120241163</v>
      </c>
      <c r="C904" s="218">
        <v>120241163</v>
      </c>
      <c r="D904" s="218">
        <v>124243163</v>
      </c>
      <c r="E904" s="218">
        <v>124243163</v>
      </c>
      <c r="F904" s="257">
        <v>124243163</v>
      </c>
      <c r="G904" s="257">
        <v>120241163</v>
      </c>
      <c r="H904" s="257">
        <v>124243163</v>
      </c>
      <c r="I904" s="257">
        <v>120241163</v>
      </c>
    </row>
    <row r="905" spans="1:9" ht="15">
      <c r="A905" s="386" t="s">
        <v>342</v>
      </c>
      <c r="B905" s="218">
        <v>389624324</v>
      </c>
      <c r="C905" s="218">
        <v>389624324</v>
      </c>
      <c r="D905" s="218">
        <v>401682224</v>
      </c>
      <c r="E905" s="218">
        <v>401682224</v>
      </c>
      <c r="F905" s="257">
        <v>401682224</v>
      </c>
      <c r="G905" s="257">
        <v>389624324</v>
      </c>
      <c r="H905" s="257">
        <v>401682224</v>
      </c>
      <c r="I905" s="257">
        <v>389624324</v>
      </c>
    </row>
    <row r="906" spans="1:9" ht="15">
      <c r="A906" s="386" t="s">
        <v>1307</v>
      </c>
      <c r="B906" s="218">
        <v>242126848</v>
      </c>
      <c r="C906" s="218">
        <v>242126848</v>
      </c>
      <c r="D906" s="218">
        <v>257021528</v>
      </c>
      <c r="E906" s="218">
        <v>257021528</v>
      </c>
      <c r="F906" s="257">
        <v>257021528</v>
      </c>
      <c r="G906" s="257">
        <v>242126848</v>
      </c>
      <c r="H906" s="257">
        <v>257021528</v>
      </c>
      <c r="I906" s="257">
        <v>242126848</v>
      </c>
    </row>
    <row r="907" spans="1:9" ht="15">
      <c r="A907" s="386" t="s">
        <v>1253</v>
      </c>
      <c r="B907" s="218">
        <v>121925944</v>
      </c>
      <c r="C907" s="218">
        <v>121925944</v>
      </c>
      <c r="D907" s="218">
        <v>124970844</v>
      </c>
      <c r="E907" s="218">
        <v>124970844</v>
      </c>
      <c r="F907" s="257">
        <v>124970844</v>
      </c>
      <c r="G907" s="257">
        <v>121925944</v>
      </c>
      <c r="H907" s="257">
        <v>124970844</v>
      </c>
      <c r="I907" s="257">
        <v>121925944</v>
      </c>
    </row>
    <row r="908" spans="1:9" ht="15">
      <c r="A908" s="386" t="s">
        <v>263</v>
      </c>
      <c r="B908" s="218">
        <v>86455576980</v>
      </c>
      <c r="C908" s="218">
        <v>86455576980</v>
      </c>
      <c r="D908" s="218">
        <v>87563689178</v>
      </c>
      <c r="E908" s="218">
        <v>87563689178</v>
      </c>
      <c r="F908" s="257">
        <v>87563689178</v>
      </c>
      <c r="G908" s="257">
        <v>86455576980</v>
      </c>
      <c r="H908" s="257">
        <v>87563689178</v>
      </c>
      <c r="I908" s="257">
        <v>86455576980</v>
      </c>
    </row>
    <row r="909" spans="1:9" ht="15">
      <c r="A909" s="386" t="s">
        <v>210</v>
      </c>
      <c r="B909" s="218">
        <v>9660963609</v>
      </c>
      <c r="C909" s="218">
        <v>9660963609</v>
      </c>
      <c r="D909" s="218">
        <v>9912772359</v>
      </c>
      <c r="E909" s="218">
        <v>9912772359</v>
      </c>
      <c r="F909" s="257">
        <v>9912772359</v>
      </c>
      <c r="G909" s="257">
        <v>9660963609</v>
      </c>
      <c r="H909" s="257">
        <v>9912772359</v>
      </c>
      <c r="I909" s="257">
        <v>9660963609</v>
      </c>
    </row>
    <row r="910" spans="1:9" ht="15">
      <c r="A910" s="386" t="s">
        <v>264</v>
      </c>
      <c r="B910" s="218">
        <v>3187880551</v>
      </c>
      <c r="C910" s="218">
        <v>5469571706</v>
      </c>
      <c r="D910" s="218">
        <v>3256273403</v>
      </c>
      <c r="E910" s="218">
        <v>5537964558</v>
      </c>
      <c r="F910" s="257">
        <v>3256273403</v>
      </c>
      <c r="G910" s="257">
        <v>3187880551</v>
      </c>
      <c r="H910" s="257">
        <v>5537964558</v>
      </c>
      <c r="I910" s="257">
        <v>5469571706</v>
      </c>
    </row>
    <row r="911" spans="1:9" ht="15">
      <c r="A911" s="386" t="s">
        <v>265</v>
      </c>
      <c r="B911" s="218">
        <v>12288325278</v>
      </c>
      <c r="C911" s="218">
        <v>12288325278</v>
      </c>
      <c r="D911" s="218">
        <v>12384321401</v>
      </c>
      <c r="E911" s="218">
        <v>12384321401</v>
      </c>
      <c r="F911" s="257">
        <v>12384321401</v>
      </c>
      <c r="G911" s="257">
        <v>12288325278</v>
      </c>
      <c r="H911" s="257">
        <v>12384321401</v>
      </c>
      <c r="I911" s="257">
        <v>12288325278</v>
      </c>
    </row>
    <row r="912" spans="1:9" ht="15">
      <c r="A912" s="386" t="s">
        <v>1133</v>
      </c>
      <c r="B912" s="218">
        <v>4152830934</v>
      </c>
      <c r="C912" s="218">
        <v>4152830934</v>
      </c>
      <c r="D912" s="218">
        <v>4219839866</v>
      </c>
      <c r="E912" s="218">
        <v>4219839866</v>
      </c>
      <c r="F912" s="257">
        <v>4219839866</v>
      </c>
      <c r="G912" s="257">
        <v>4152830934</v>
      </c>
      <c r="H912" s="257">
        <v>4219839866</v>
      </c>
      <c r="I912" s="257">
        <v>4152830934</v>
      </c>
    </row>
    <row r="913" spans="1:9" ht="15">
      <c r="A913" s="386" t="s">
        <v>2446</v>
      </c>
      <c r="B913" s="218">
        <v>1365947323</v>
      </c>
      <c r="C913" s="218">
        <v>1365947323</v>
      </c>
      <c r="D913" s="218">
        <v>1393859720</v>
      </c>
      <c r="E913" s="218">
        <v>1393859720</v>
      </c>
      <c r="F913" s="257">
        <v>1314095418</v>
      </c>
      <c r="G913" s="257">
        <v>1286183021</v>
      </c>
      <c r="H913" s="257">
        <v>1314095418</v>
      </c>
      <c r="I913" s="257">
        <v>1286183021</v>
      </c>
    </row>
    <row r="914" spans="1:9" ht="15">
      <c r="A914" s="386" t="s">
        <v>1320</v>
      </c>
      <c r="B914" s="218">
        <v>9639394741</v>
      </c>
      <c r="C914" s="218">
        <v>9639394741</v>
      </c>
      <c r="D914" s="218">
        <v>9765552075</v>
      </c>
      <c r="E914" s="218">
        <v>9765552075</v>
      </c>
      <c r="F914" s="257">
        <v>9162413610</v>
      </c>
      <c r="G914" s="257">
        <v>9036256276</v>
      </c>
      <c r="H914" s="257">
        <v>9162413610</v>
      </c>
      <c r="I914" s="257">
        <v>9036256276</v>
      </c>
    </row>
    <row r="915" spans="1:9" ht="15">
      <c r="A915" s="386" t="s">
        <v>1321</v>
      </c>
      <c r="B915" s="218">
        <v>277860419</v>
      </c>
      <c r="C915" s="218">
        <v>277860419</v>
      </c>
      <c r="D915" s="218">
        <v>287686359</v>
      </c>
      <c r="E915" s="218">
        <v>287686359</v>
      </c>
      <c r="F915" s="257">
        <v>287686359</v>
      </c>
      <c r="G915" s="257">
        <v>277860419</v>
      </c>
      <c r="H915" s="257">
        <v>287686359</v>
      </c>
      <c r="I915" s="257">
        <v>277860419</v>
      </c>
    </row>
    <row r="916" spans="1:9" ht="15">
      <c r="A916" s="386" t="s">
        <v>1322</v>
      </c>
      <c r="B916" s="218">
        <v>353172314</v>
      </c>
      <c r="C916" s="218">
        <v>353172314</v>
      </c>
      <c r="D916" s="218">
        <v>369648911</v>
      </c>
      <c r="E916" s="218">
        <v>369648911</v>
      </c>
      <c r="F916" s="257">
        <v>369648911</v>
      </c>
      <c r="G916" s="257">
        <v>353172314</v>
      </c>
      <c r="H916" s="257">
        <v>369648911</v>
      </c>
      <c r="I916" s="257">
        <v>353172314</v>
      </c>
    </row>
    <row r="917" spans="1:9" ht="15">
      <c r="A917" s="386" t="s">
        <v>1323</v>
      </c>
      <c r="B917" s="218">
        <v>28933483</v>
      </c>
      <c r="C917" s="218">
        <v>28933483</v>
      </c>
      <c r="D917" s="218">
        <v>30857962</v>
      </c>
      <c r="E917" s="218">
        <v>30857962</v>
      </c>
      <c r="F917" s="257">
        <v>30857962</v>
      </c>
      <c r="G917" s="257">
        <v>28933483</v>
      </c>
      <c r="H917" s="257">
        <v>30857962</v>
      </c>
      <c r="I917" s="257">
        <v>28933483</v>
      </c>
    </row>
    <row r="918" spans="1:9" ht="15">
      <c r="A918" s="386" t="s">
        <v>1324</v>
      </c>
      <c r="B918" s="218">
        <v>38130261</v>
      </c>
      <c r="C918" s="218">
        <v>38130261</v>
      </c>
      <c r="D918" s="218">
        <v>40520386</v>
      </c>
      <c r="E918" s="218">
        <v>40520386</v>
      </c>
      <c r="F918" s="257">
        <v>40520386</v>
      </c>
      <c r="G918" s="257">
        <v>38130261</v>
      </c>
      <c r="H918" s="257">
        <v>40520386</v>
      </c>
      <c r="I918" s="257">
        <v>38130261</v>
      </c>
    </row>
    <row r="919" spans="1:9" ht="15">
      <c r="A919" s="386" t="s">
        <v>1434</v>
      </c>
      <c r="B919" s="218">
        <v>114736324</v>
      </c>
      <c r="C919" s="218">
        <v>114736324</v>
      </c>
      <c r="D919" s="218">
        <v>120925227</v>
      </c>
      <c r="E919" s="218">
        <v>120925227</v>
      </c>
      <c r="F919" s="257">
        <v>120925227</v>
      </c>
      <c r="G919" s="257">
        <v>114736324</v>
      </c>
      <c r="H919" s="257">
        <v>120925227</v>
      </c>
      <c r="I919" s="257">
        <v>114736324</v>
      </c>
    </row>
    <row r="920" spans="1:9" ht="15">
      <c r="A920" s="386" t="s">
        <v>1807</v>
      </c>
      <c r="B920" s="218">
        <v>591109125</v>
      </c>
      <c r="C920" s="218">
        <v>753781885</v>
      </c>
      <c r="D920" s="218">
        <v>609506816</v>
      </c>
      <c r="E920" s="218">
        <v>772179576</v>
      </c>
      <c r="F920" s="257">
        <v>609506816</v>
      </c>
      <c r="G920" s="257">
        <v>591109125</v>
      </c>
      <c r="H920" s="257">
        <v>772179576</v>
      </c>
      <c r="I920" s="257">
        <v>753781885</v>
      </c>
    </row>
    <row r="921" spans="1:9" ht="15">
      <c r="A921" s="386" t="s">
        <v>1808</v>
      </c>
      <c r="B921" s="218">
        <v>302720267</v>
      </c>
      <c r="C921" s="218">
        <v>302720267</v>
      </c>
      <c r="D921" s="218">
        <v>318891845</v>
      </c>
      <c r="E921" s="218">
        <v>318891845</v>
      </c>
      <c r="F921" s="257">
        <v>318891845</v>
      </c>
      <c r="G921" s="257">
        <v>302720267</v>
      </c>
      <c r="H921" s="257">
        <v>318891845</v>
      </c>
      <c r="I921" s="257">
        <v>302720267</v>
      </c>
    </row>
    <row r="922" spans="1:9" ht="15">
      <c r="A922" s="386" t="s">
        <v>1254</v>
      </c>
      <c r="B922" s="218">
        <v>67457406</v>
      </c>
      <c r="C922" s="218">
        <v>67457406</v>
      </c>
      <c r="D922" s="218">
        <v>72170850</v>
      </c>
      <c r="E922" s="218">
        <v>72170850</v>
      </c>
      <c r="F922" s="257">
        <v>72170850</v>
      </c>
      <c r="G922" s="257">
        <v>67457406</v>
      </c>
      <c r="H922" s="257">
        <v>72170850</v>
      </c>
      <c r="I922" s="257">
        <v>67457406</v>
      </c>
    </row>
    <row r="923" spans="1:9" ht="15">
      <c r="A923" s="386" t="s">
        <v>70</v>
      </c>
      <c r="B923" s="218">
        <v>63200298</v>
      </c>
      <c r="C923" s="218">
        <v>63200298</v>
      </c>
      <c r="D923" s="218">
        <v>66318058</v>
      </c>
      <c r="E923" s="218">
        <v>66318058</v>
      </c>
      <c r="F923" s="257">
        <v>66318058</v>
      </c>
      <c r="G923" s="257">
        <v>63200298</v>
      </c>
      <c r="H923" s="257">
        <v>66318058</v>
      </c>
      <c r="I923" s="257">
        <v>63200298</v>
      </c>
    </row>
    <row r="924" spans="1:9" ht="15">
      <c r="A924" s="386" t="s">
        <v>1809</v>
      </c>
      <c r="B924" s="218">
        <v>215255858</v>
      </c>
      <c r="C924" s="218">
        <v>215255858</v>
      </c>
      <c r="D924" s="218">
        <v>223676253</v>
      </c>
      <c r="E924" s="218">
        <v>223676253</v>
      </c>
      <c r="F924" s="257">
        <v>223676253</v>
      </c>
      <c r="G924" s="257">
        <v>215255858</v>
      </c>
      <c r="H924" s="257">
        <v>223676253</v>
      </c>
      <c r="I924" s="257">
        <v>215255858</v>
      </c>
    </row>
    <row r="925" spans="1:9" ht="15">
      <c r="A925" s="386" t="s">
        <v>1810</v>
      </c>
      <c r="B925" s="218">
        <v>821166480</v>
      </c>
      <c r="C925" s="218">
        <v>821166480</v>
      </c>
      <c r="D925" s="218">
        <v>857366543</v>
      </c>
      <c r="E925" s="218">
        <v>857366543</v>
      </c>
      <c r="F925" s="257">
        <v>857366543</v>
      </c>
      <c r="G925" s="257">
        <v>821166480</v>
      </c>
      <c r="H925" s="257">
        <v>857366543</v>
      </c>
      <c r="I925" s="257">
        <v>821166480</v>
      </c>
    </row>
    <row r="926" spans="1:9" ht="15">
      <c r="A926" s="386" t="s">
        <v>1414</v>
      </c>
      <c r="B926" s="218">
        <v>152622420</v>
      </c>
      <c r="C926" s="218">
        <v>152622420</v>
      </c>
      <c r="D926" s="218">
        <v>161649628</v>
      </c>
      <c r="E926" s="218">
        <v>161649628</v>
      </c>
      <c r="F926" s="257">
        <v>161649628</v>
      </c>
      <c r="G926" s="257">
        <v>152622420</v>
      </c>
      <c r="H926" s="257">
        <v>161649628</v>
      </c>
      <c r="I926" s="257">
        <v>152622420</v>
      </c>
    </row>
    <row r="927" spans="1:9" ht="15">
      <c r="A927" s="386" t="s">
        <v>1077</v>
      </c>
      <c r="B927" s="218">
        <v>81020805</v>
      </c>
      <c r="C927" s="218">
        <v>81020805</v>
      </c>
      <c r="D927" s="218">
        <v>86026814</v>
      </c>
      <c r="E927" s="218">
        <v>86026814</v>
      </c>
      <c r="F927" s="257">
        <v>86026814</v>
      </c>
      <c r="G927" s="257">
        <v>81020805</v>
      </c>
      <c r="H927" s="257">
        <v>86026814</v>
      </c>
      <c r="I927" s="257">
        <v>81020805</v>
      </c>
    </row>
    <row r="928" spans="1:9" ht="15">
      <c r="A928" s="386" t="s">
        <v>1861</v>
      </c>
      <c r="B928" s="218">
        <v>377351764</v>
      </c>
      <c r="C928" s="218">
        <v>377351764</v>
      </c>
      <c r="D928" s="218">
        <v>395960203</v>
      </c>
      <c r="E928" s="218">
        <v>395960203</v>
      </c>
      <c r="F928" s="257">
        <v>395960203</v>
      </c>
      <c r="G928" s="257">
        <v>377351764</v>
      </c>
      <c r="H928" s="257">
        <v>395960203</v>
      </c>
      <c r="I928" s="257">
        <v>377351764</v>
      </c>
    </row>
    <row r="929" spans="1:9" ht="15">
      <c r="A929" s="386" t="s">
        <v>1078</v>
      </c>
      <c r="B929" s="218">
        <v>194507538</v>
      </c>
      <c r="C929" s="218">
        <v>194507538</v>
      </c>
      <c r="D929" s="218">
        <v>205311098</v>
      </c>
      <c r="E929" s="218">
        <v>205311098</v>
      </c>
      <c r="F929" s="257">
        <v>205311098</v>
      </c>
      <c r="G929" s="257">
        <v>194507538</v>
      </c>
      <c r="H929" s="257">
        <v>205311098</v>
      </c>
      <c r="I929" s="257">
        <v>194507538</v>
      </c>
    </row>
    <row r="930" spans="1:9" ht="15">
      <c r="A930" s="386" t="s">
        <v>1079</v>
      </c>
      <c r="B930" s="218">
        <v>149881054</v>
      </c>
      <c r="C930" s="218">
        <v>149881054</v>
      </c>
      <c r="D930" s="218">
        <v>157080638</v>
      </c>
      <c r="E930" s="218">
        <v>157080638</v>
      </c>
      <c r="F930" s="257">
        <v>157080638</v>
      </c>
      <c r="G930" s="257">
        <v>149881054</v>
      </c>
      <c r="H930" s="257">
        <v>157080638</v>
      </c>
      <c r="I930" s="257">
        <v>149881054</v>
      </c>
    </row>
    <row r="931" spans="1:9" ht="15">
      <c r="A931" s="386" t="s">
        <v>1080</v>
      </c>
      <c r="B931" s="218">
        <v>1046742688</v>
      </c>
      <c r="C931" s="218">
        <v>1046742688</v>
      </c>
      <c r="D931" s="218">
        <v>1050842042</v>
      </c>
      <c r="E931" s="218">
        <v>1050842042</v>
      </c>
      <c r="F931" s="257">
        <v>1048094369</v>
      </c>
      <c r="G931" s="257">
        <v>1043995015</v>
      </c>
      <c r="H931" s="257">
        <v>1048094369</v>
      </c>
      <c r="I931" s="257">
        <v>1043995015</v>
      </c>
    </row>
    <row r="932" spans="1:9" ht="15">
      <c r="A932" s="386" t="s">
        <v>1081</v>
      </c>
      <c r="B932" s="218">
        <v>2952463443</v>
      </c>
      <c r="C932" s="218">
        <v>2952463443</v>
      </c>
      <c r="D932" s="218">
        <v>2954278160</v>
      </c>
      <c r="E932" s="218">
        <v>2954278160</v>
      </c>
      <c r="F932" s="257">
        <v>2954278160</v>
      </c>
      <c r="G932" s="257">
        <v>2952463443</v>
      </c>
      <c r="H932" s="257">
        <v>2954278160</v>
      </c>
      <c r="I932" s="257">
        <v>2952463443</v>
      </c>
    </row>
    <row r="933" spans="1:9" ht="15">
      <c r="A933" s="386" t="s">
        <v>56</v>
      </c>
      <c r="B933" s="218">
        <v>92971969</v>
      </c>
      <c r="C933" s="218">
        <v>92971969</v>
      </c>
      <c r="D933" s="218">
        <v>94529347</v>
      </c>
      <c r="E933" s="218">
        <v>94529347</v>
      </c>
      <c r="F933" s="257">
        <v>94529347</v>
      </c>
      <c r="G933" s="257">
        <v>92971969</v>
      </c>
      <c r="H933" s="257">
        <v>94529347</v>
      </c>
      <c r="I933" s="257">
        <v>92971969</v>
      </c>
    </row>
    <row r="934" spans="1:9" ht="15">
      <c r="A934" s="386" t="s">
        <v>1544</v>
      </c>
      <c r="B934" s="218">
        <v>295258654</v>
      </c>
      <c r="C934" s="218">
        <v>295258654</v>
      </c>
      <c r="D934" s="218">
        <v>300302951</v>
      </c>
      <c r="E934" s="218">
        <v>300302951</v>
      </c>
      <c r="F934" s="257">
        <v>300302951</v>
      </c>
      <c r="G934" s="257">
        <v>295258654</v>
      </c>
      <c r="H934" s="257">
        <v>300302951</v>
      </c>
      <c r="I934" s="257">
        <v>295258654</v>
      </c>
    </row>
    <row r="935" spans="1:9" ht="15">
      <c r="A935" s="386" t="s">
        <v>1521</v>
      </c>
      <c r="B935" s="218">
        <v>1140705939</v>
      </c>
      <c r="C935" s="218">
        <v>1140705939</v>
      </c>
      <c r="D935" s="218">
        <v>1178464529</v>
      </c>
      <c r="E935" s="218">
        <v>1178464529</v>
      </c>
      <c r="F935" s="257">
        <v>1178464529</v>
      </c>
      <c r="G935" s="257">
        <v>1140705939</v>
      </c>
      <c r="H935" s="257">
        <v>1178464529</v>
      </c>
      <c r="I935" s="257">
        <v>1140705939</v>
      </c>
    </row>
    <row r="936" spans="1:9" ht="15">
      <c r="A936" s="386" t="s">
        <v>1319</v>
      </c>
      <c r="B936" s="218">
        <v>191199413</v>
      </c>
      <c r="C936" s="218">
        <v>191199413</v>
      </c>
      <c r="D936" s="218">
        <v>195125599</v>
      </c>
      <c r="E936" s="218">
        <v>195125599</v>
      </c>
      <c r="F936" s="257">
        <v>195125599</v>
      </c>
      <c r="G936" s="257">
        <v>191199413</v>
      </c>
      <c r="H936" s="257">
        <v>195125599</v>
      </c>
      <c r="I936" s="257">
        <v>191199413</v>
      </c>
    </row>
    <row r="937" spans="1:9" ht="15">
      <c r="A937" s="386" t="s">
        <v>488</v>
      </c>
      <c r="B937" s="218">
        <v>1686796184</v>
      </c>
      <c r="C937" s="218">
        <v>1686796184</v>
      </c>
      <c r="D937" s="218">
        <v>1769381692</v>
      </c>
      <c r="E937" s="218">
        <v>1769381692</v>
      </c>
      <c r="F937" s="257">
        <v>1685137484</v>
      </c>
      <c r="G937" s="257">
        <v>1602551976</v>
      </c>
      <c r="H937" s="257">
        <v>1685137484</v>
      </c>
      <c r="I937" s="257">
        <v>1602551976</v>
      </c>
    </row>
    <row r="938" spans="1:9" ht="15">
      <c r="A938" s="386" t="s">
        <v>831</v>
      </c>
      <c r="B938" s="218">
        <v>213593324</v>
      </c>
      <c r="C938" s="218">
        <v>213593324</v>
      </c>
      <c r="D938" s="218">
        <v>214884274</v>
      </c>
      <c r="E938" s="218">
        <v>214884274</v>
      </c>
      <c r="F938" s="257">
        <v>214529605</v>
      </c>
      <c r="G938" s="257">
        <v>213238655</v>
      </c>
      <c r="H938" s="257">
        <v>214529605</v>
      </c>
      <c r="I938" s="257">
        <v>213238655</v>
      </c>
    </row>
    <row r="939" spans="1:9" ht="15">
      <c r="A939" s="386" t="s">
        <v>833</v>
      </c>
      <c r="B939" s="218">
        <v>616670891</v>
      </c>
      <c r="C939" s="218">
        <v>616670891</v>
      </c>
      <c r="D939" s="218">
        <v>643611469</v>
      </c>
      <c r="E939" s="218">
        <v>643611469</v>
      </c>
      <c r="F939" s="257">
        <v>643611469</v>
      </c>
      <c r="G939" s="257">
        <v>616670891</v>
      </c>
      <c r="H939" s="257">
        <v>643611469</v>
      </c>
      <c r="I939" s="257">
        <v>616670891</v>
      </c>
    </row>
    <row r="940" spans="1:9" ht="15">
      <c r="A940" s="386" t="s">
        <v>834</v>
      </c>
      <c r="B940" s="218">
        <v>207838341</v>
      </c>
      <c r="C940" s="218">
        <v>207838341</v>
      </c>
      <c r="D940" s="218">
        <v>218858110</v>
      </c>
      <c r="E940" s="218">
        <v>218858110</v>
      </c>
      <c r="F940" s="257">
        <v>218858110</v>
      </c>
      <c r="G940" s="257">
        <v>207838341</v>
      </c>
      <c r="H940" s="257">
        <v>218858110</v>
      </c>
      <c r="I940" s="257">
        <v>207838341</v>
      </c>
    </row>
    <row r="941" spans="1:9" ht="15">
      <c r="A941" s="386" t="s">
        <v>1533</v>
      </c>
      <c r="B941" s="218">
        <v>234947933</v>
      </c>
      <c r="C941" s="218">
        <v>234947933</v>
      </c>
      <c r="D941" s="218">
        <v>248611517</v>
      </c>
      <c r="E941" s="218">
        <v>248611517</v>
      </c>
      <c r="F941" s="257">
        <v>235502871</v>
      </c>
      <c r="G941" s="257">
        <v>221839287</v>
      </c>
      <c r="H941" s="257">
        <v>235502871</v>
      </c>
      <c r="I941" s="257">
        <v>221839287</v>
      </c>
    </row>
    <row r="942" spans="1:9" ht="15">
      <c r="A942" s="386" t="s">
        <v>1836</v>
      </c>
      <c r="B942" s="218">
        <v>94089758</v>
      </c>
      <c r="C942" s="218">
        <v>94089758</v>
      </c>
      <c r="D942" s="218">
        <v>98605102</v>
      </c>
      <c r="E942" s="218">
        <v>98605102</v>
      </c>
      <c r="F942" s="257">
        <v>98605102</v>
      </c>
      <c r="G942" s="257">
        <v>94089758</v>
      </c>
      <c r="H942" s="257">
        <v>98605102</v>
      </c>
      <c r="I942" s="257">
        <v>94089758</v>
      </c>
    </row>
    <row r="943" spans="1:9" ht="15">
      <c r="A943" s="386" t="s">
        <v>835</v>
      </c>
      <c r="B943" s="218">
        <v>566621131</v>
      </c>
      <c r="C943" s="218">
        <v>566621131</v>
      </c>
      <c r="D943" s="218">
        <v>596996310</v>
      </c>
      <c r="E943" s="218">
        <v>596996310</v>
      </c>
      <c r="F943" s="257">
        <v>560099889</v>
      </c>
      <c r="G943" s="257">
        <v>529724710</v>
      </c>
      <c r="H943" s="257">
        <v>560099889</v>
      </c>
      <c r="I943" s="257">
        <v>529724710</v>
      </c>
    </row>
    <row r="944" spans="1:9" ht="15">
      <c r="A944" s="386" t="s">
        <v>836</v>
      </c>
      <c r="B944" s="218">
        <v>511001435</v>
      </c>
      <c r="C944" s="218">
        <v>511001435</v>
      </c>
      <c r="D944" s="218">
        <v>537539705</v>
      </c>
      <c r="E944" s="218">
        <v>537539705</v>
      </c>
      <c r="F944" s="257">
        <v>537539705</v>
      </c>
      <c r="G944" s="257">
        <v>511001435</v>
      </c>
      <c r="H944" s="257">
        <v>537539705</v>
      </c>
      <c r="I944" s="257">
        <v>511001435</v>
      </c>
    </row>
    <row r="945" spans="1:9" ht="15">
      <c r="A945" s="386" t="s">
        <v>1426</v>
      </c>
      <c r="B945" s="218">
        <v>47632335</v>
      </c>
      <c r="C945" s="218">
        <v>47632335</v>
      </c>
      <c r="D945" s="218">
        <v>51053193</v>
      </c>
      <c r="E945" s="218">
        <v>51053193</v>
      </c>
      <c r="F945" s="257">
        <v>47948164</v>
      </c>
      <c r="G945" s="257">
        <v>44527306</v>
      </c>
      <c r="H945" s="257">
        <v>47948164</v>
      </c>
      <c r="I945" s="257">
        <v>44527306</v>
      </c>
    </row>
    <row r="946" spans="1:9" ht="15">
      <c r="A946" s="386" t="s">
        <v>877</v>
      </c>
      <c r="B946" s="218">
        <v>170276641</v>
      </c>
      <c r="C946" s="218">
        <v>170276641</v>
      </c>
      <c r="D946" s="218">
        <v>175697691</v>
      </c>
      <c r="E946" s="218">
        <v>175697691</v>
      </c>
      <c r="F946" s="257">
        <v>175697691</v>
      </c>
      <c r="G946" s="257">
        <v>170276641</v>
      </c>
      <c r="H946" s="257">
        <v>175697691</v>
      </c>
      <c r="I946" s="257">
        <v>170276641</v>
      </c>
    </row>
    <row r="947" spans="1:9" ht="15">
      <c r="A947" s="386" t="s">
        <v>340</v>
      </c>
      <c r="B947" s="218">
        <v>5876717398</v>
      </c>
      <c r="C947" s="218">
        <v>5876717398</v>
      </c>
      <c r="D947" s="218">
        <v>6034166807</v>
      </c>
      <c r="E947" s="218">
        <v>6034166807</v>
      </c>
      <c r="F947" s="257">
        <v>6034166807</v>
      </c>
      <c r="G947" s="257">
        <v>5876717398</v>
      </c>
      <c r="H947" s="257">
        <v>6034166807</v>
      </c>
      <c r="I947" s="257">
        <v>5876717398</v>
      </c>
    </row>
    <row r="948" spans="1:9" ht="15">
      <c r="A948" s="386" t="s">
        <v>2597</v>
      </c>
      <c r="B948" s="218">
        <v>222389600</v>
      </c>
      <c r="C948" s="218">
        <v>222389600</v>
      </c>
      <c r="D948" s="218">
        <v>226525652</v>
      </c>
      <c r="E948" s="218">
        <v>226525652</v>
      </c>
      <c r="F948" s="257">
        <v>226525652</v>
      </c>
      <c r="G948" s="257">
        <v>222389600</v>
      </c>
      <c r="H948" s="257">
        <v>226525652</v>
      </c>
      <c r="I948" s="257">
        <v>222389600</v>
      </c>
    </row>
    <row r="949" spans="1:9" ht="15">
      <c r="A949" s="386" t="s">
        <v>1022</v>
      </c>
      <c r="B949" s="218">
        <v>289825042</v>
      </c>
      <c r="C949" s="218">
        <v>289825042</v>
      </c>
      <c r="D949" s="218">
        <v>298762427</v>
      </c>
      <c r="E949" s="218">
        <v>298762427</v>
      </c>
      <c r="F949" s="257">
        <v>298762427</v>
      </c>
      <c r="G949" s="257">
        <v>289825042</v>
      </c>
      <c r="H949" s="257">
        <v>298762427</v>
      </c>
      <c r="I949" s="257">
        <v>289825042</v>
      </c>
    </row>
    <row r="950" spans="1:9" ht="15">
      <c r="A950" s="386" t="s">
        <v>1156</v>
      </c>
      <c r="B950" s="218">
        <v>2262376175</v>
      </c>
      <c r="C950" s="218">
        <v>2262376175</v>
      </c>
      <c r="D950" s="218">
        <v>2329021753</v>
      </c>
      <c r="E950" s="218">
        <v>2329021753</v>
      </c>
      <c r="F950" s="257">
        <v>2329021753</v>
      </c>
      <c r="G950" s="257">
        <v>2262376175</v>
      </c>
      <c r="H950" s="257">
        <v>2329021753</v>
      </c>
      <c r="I950" s="257">
        <v>2262376175</v>
      </c>
    </row>
    <row r="951" spans="1:9" ht="15">
      <c r="A951" s="386" t="s">
        <v>276</v>
      </c>
      <c r="B951" s="218">
        <v>475922252</v>
      </c>
      <c r="C951" s="218">
        <v>475922252</v>
      </c>
      <c r="D951" s="218">
        <v>489040241</v>
      </c>
      <c r="E951" s="218">
        <v>489040241</v>
      </c>
      <c r="F951" s="257">
        <v>489040241</v>
      </c>
      <c r="G951" s="257">
        <v>475922252</v>
      </c>
      <c r="H951" s="257">
        <v>489040241</v>
      </c>
      <c r="I951" s="257">
        <v>475922252</v>
      </c>
    </row>
    <row r="952" spans="1:9" ht="15">
      <c r="A952" s="386" t="s">
        <v>277</v>
      </c>
      <c r="B952" s="218">
        <v>2156635000</v>
      </c>
      <c r="C952" s="218">
        <v>2271817347</v>
      </c>
      <c r="D952" s="218">
        <v>2212637944</v>
      </c>
      <c r="E952" s="218">
        <v>2327820291</v>
      </c>
      <c r="F952" s="257">
        <v>2212637944</v>
      </c>
      <c r="G952" s="257">
        <v>2156635000</v>
      </c>
      <c r="H952" s="257">
        <v>2327820291</v>
      </c>
      <c r="I952" s="257">
        <v>2271817347</v>
      </c>
    </row>
    <row r="953" spans="1:9" ht="15">
      <c r="A953" s="386" t="s">
        <v>624</v>
      </c>
      <c r="B953" s="218">
        <v>1040851132</v>
      </c>
      <c r="C953" s="218">
        <v>1059289752</v>
      </c>
      <c r="D953" s="218">
        <v>1053563901</v>
      </c>
      <c r="E953" s="218">
        <v>1072002521</v>
      </c>
      <c r="F953" s="257">
        <v>1050410915</v>
      </c>
      <c r="G953" s="257">
        <v>1037698146</v>
      </c>
      <c r="H953" s="257">
        <v>1068849535</v>
      </c>
      <c r="I953" s="257">
        <v>1056136766</v>
      </c>
    </row>
    <row r="954" spans="1:9" ht="15">
      <c r="A954" s="386" t="s">
        <v>625</v>
      </c>
      <c r="B954" s="218">
        <v>2144364864</v>
      </c>
      <c r="C954" s="218">
        <v>2144364864</v>
      </c>
      <c r="D954" s="218">
        <v>2158272964</v>
      </c>
      <c r="E954" s="218">
        <v>2158272964</v>
      </c>
      <c r="F954" s="257">
        <v>2150834114</v>
      </c>
      <c r="G954" s="257">
        <v>2136926014</v>
      </c>
      <c r="H954" s="257">
        <v>2150834114</v>
      </c>
      <c r="I954" s="257">
        <v>2136926014</v>
      </c>
    </row>
    <row r="955" spans="1:9" ht="15">
      <c r="A955" s="386" t="s">
        <v>626</v>
      </c>
      <c r="B955" s="218">
        <v>128900378</v>
      </c>
      <c r="C955" s="218">
        <v>128900378</v>
      </c>
      <c r="D955" s="218">
        <v>129106208</v>
      </c>
      <c r="E955" s="218">
        <v>129106208</v>
      </c>
      <c r="F955" s="257">
        <v>128962883</v>
      </c>
      <c r="G955" s="257">
        <v>128757053</v>
      </c>
      <c r="H955" s="257">
        <v>128962883</v>
      </c>
      <c r="I955" s="257">
        <v>128757053</v>
      </c>
    </row>
    <row r="956" spans="1:9" ht="15">
      <c r="A956" s="386" t="s">
        <v>2339</v>
      </c>
      <c r="B956" s="218">
        <v>2440025834</v>
      </c>
      <c r="C956" s="218">
        <v>2440025834</v>
      </c>
      <c r="D956" s="218">
        <v>2505222479</v>
      </c>
      <c r="E956" s="218">
        <v>2505222479</v>
      </c>
      <c r="F956" s="257">
        <v>2505202579</v>
      </c>
      <c r="G956" s="257">
        <v>2440005934</v>
      </c>
      <c r="H956" s="257">
        <v>2505202579</v>
      </c>
      <c r="I956" s="257">
        <v>2440005934</v>
      </c>
    </row>
    <row r="957" spans="1:9" ht="15">
      <c r="A957" s="386" t="s">
        <v>2340</v>
      </c>
      <c r="B957" s="218">
        <v>409640730</v>
      </c>
      <c r="C957" s="218">
        <v>409640730</v>
      </c>
      <c r="D957" s="218">
        <v>417439708</v>
      </c>
      <c r="E957" s="218">
        <v>417439708</v>
      </c>
      <c r="F957" s="257">
        <v>417439708</v>
      </c>
      <c r="G957" s="257">
        <v>409640730</v>
      </c>
      <c r="H957" s="257">
        <v>417439708</v>
      </c>
      <c r="I957" s="257">
        <v>409640730</v>
      </c>
    </row>
    <row r="958" spans="1:9" ht="15">
      <c r="A958" s="386" t="s">
        <v>1768</v>
      </c>
      <c r="B958" s="218">
        <v>2067775950</v>
      </c>
      <c r="C958" s="218">
        <v>2067775950</v>
      </c>
      <c r="D958" s="218">
        <v>2154891414</v>
      </c>
      <c r="E958" s="218">
        <v>2154891414</v>
      </c>
      <c r="F958" s="257">
        <v>2119683380</v>
      </c>
      <c r="G958" s="257">
        <v>2032567916</v>
      </c>
      <c r="H958" s="257">
        <v>2119683380</v>
      </c>
      <c r="I958" s="257">
        <v>2032567916</v>
      </c>
    </row>
    <row r="959" spans="1:9" ht="15">
      <c r="A959" s="386" t="s">
        <v>1520</v>
      </c>
      <c r="B959" s="218">
        <v>16507930108</v>
      </c>
      <c r="C959" s="218">
        <v>16507930108</v>
      </c>
      <c r="D959" s="218">
        <v>16746319598</v>
      </c>
      <c r="E959" s="218">
        <v>16746319598</v>
      </c>
      <c r="F959" s="257">
        <v>16479546885</v>
      </c>
      <c r="G959" s="257">
        <v>16241157395</v>
      </c>
      <c r="H959" s="257">
        <v>16479546885</v>
      </c>
      <c r="I959" s="257">
        <v>16241157395</v>
      </c>
    </row>
    <row r="960" spans="1:9" ht="15">
      <c r="A960" s="386" t="s">
        <v>927</v>
      </c>
      <c r="B960" s="218">
        <v>589155029</v>
      </c>
      <c r="C960" s="218">
        <v>743004979</v>
      </c>
      <c r="D960" s="218">
        <v>590558771</v>
      </c>
      <c r="E960" s="218">
        <v>744408721</v>
      </c>
      <c r="F960" s="257">
        <v>589733768</v>
      </c>
      <c r="G960" s="257">
        <v>588330026</v>
      </c>
      <c r="H960" s="257">
        <v>743583718</v>
      </c>
      <c r="I960" s="257">
        <v>742179976</v>
      </c>
    </row>
    <row r="961" spans="1:9" ht="15">
      <c r="A961" s="386" t="s">
        <v>928</v>
      </c>
      <c r="B961" s="218">
        <v>277855279</v>
      </c>
      <c r="C961" s="218">
        <v>277855279</v>
      </c>
      <c r="D961" s="218">
        <v>287273428</v>
      </c>
      <c r="E961" s="218">
        <v>287273428</v>
      </c>
      <c r="F961" s="257">
        <v>287273428</v>
      </c>
      <c r="G961" s="257">
        <v>277855279</v>
      </c>
      <c r="H961" s="257">
        <v>287273428</v>
      </c>
      <c r="I961" s="257">
        <v>277855279</v>
      </c>
    </row>
    <row r="962" spans="1:9" ht="15">
      <c r="A962" s="386" t="s">
        <v>929</v>
      </c>
      <c r="B962" s="218">
        <v>330968036</v>
      </c>
      <c r="C962" s="218">
        <v>330968036</v>
      </c>
      <c r="D962" s="218">
        <v>340958599</v>
      </c>
      <c r="E962" s="218">
        <v>340958599</v>
      </c>
      <c r="F962" s="257">
        <v>340958599</v>
      </c>
      <c r="G962" s="257">
        <v>330968036</v>
      </c>
      <c r="H962" s="257">
        <v>340958599</v>
      </c>
      <c r="I962" s="257">
        <v>330968036</v>
      </c>
    </row>
    <row r="963" spans="1:9" ht="15">
      <c r="A963" s="386" t="s">
        <v>571</v>
      </c>
      <c r="B963" s="218">
        <v>1141012139</v>
      </c>
      <c r="C963" s="218">
        <v>1141012139</v>
      </c>
      <c r="D963" s="218">
        <v>1174734982</v>
      </c>
      <c r="E963" s="218">
        <v>1174734982</v>
      </c>
      <c r="F963" s="257">
        <v>1174734982</v>
      </c>
      <c r="G963" s="257">
        <v>1141012139</v>
      </c>
      <c r="H963" s="257">
        <v>1174734982</v>
      </c>
      <c r="I963" s="257">
        <v>1141012139</v>
      </c>
    </row>
    <row r="964" spans="1:9" ht="15">
      <c r="A964" s="386" t="s">
        <v>902</v>
      </c>
      <c r="B964" s="218">
        <v>909568708</v>
      </c>
      <c r="C964" s="218">
        <v>909568708</v>
      </c>
      <c r="D964" s="218">
        <v>932454048</v>
      </c>
      <c r="E964" s="218">
        <v>932454048</v>
      </c>
      <c r="F964" s="257">
        <v>932454048</v>
      </c>
      <c r="G964" s="257">
        <v>909568708</v>
      </c>
      <c r="H964" s="257">
        <v>932454048</v>
      </c>
      <c r="I964" s="257">
        <v>909568708</v>
      </c>
    </row>
    <row r="965" spans="1:9" ht="15">
      <c r="A965" s="386" t="s">
        <v>903</v>
      </c>
      <c r="B965" s="218">
        <v>237942627</v>
      </c>
      <c r="C965" s="218">
        <v>237942627</v>
      </c>
      <c r="D965" s="218">
        <v>243333852</v>
      </c>
      <c r="E965" s="218">
        <v>243333852</v>
      </c>
      <c r="F965" s="257">
        <v>243333852</v>
      </c>
      <c r="G965" s="257">
        <v>237942627</v>
      </c>
      <c r="H965" s="257">
        <v>243333852</v>
      </c>
      <c r="I965" s="257">
        <v>237942627</v>
      </c>
    </row>
    <row r="966" spans="1:9" ht="15">
      <c r="A966" s="386" t="s">
        <v>904</v>
      </c>
      <c r="B966" s="218">
        <v>157986135</v>
      </c>
      <c r="C966" s="218">
        <v>157986135</v>
      </c>
      <c r="D966" s="218">
        <v>162518385</v>
      </c>
      <c r="E966" s="218">
        <v>162518385</v>
      </c>
      <c r="F966" s="257">
        <v>162518385</v>
      </c>
      <c r="G966" s="257">
        <v>157986135</v>
      </c>
      <c r="H966" s="257">
        <v>162518385</v>
      </c>
      <c r="I966" s="257">
        <v>157986135</v>
      </c>
    </row>
    <row r="967" spans="1:9" ht="15">
      <c r="A967" s="386" t="s">
        <v>905</v>
      </c>
      <c r="B967" s="218">
        <v>408351494</v>
      </c>
      <c r="C967" s="218">
        <v>408351494</v>
      </c>
      <c r="D967" s="218">
        <v>412104234</v>
      </c>
      <c r="E967" s="218">
        <v>412104234</v>
      </c>
      <c r="F967" s="257">
        <v>412104234</v>
      </c>
      <c r="G967" s="257">
        <v>408351494</v>
      </c>
      <c r="H967" s="257">
        <v>412104234</v>
      </c>
      <c r="I967" s="257">
        <v>408351494</v>
      </c>
    </row>
    <row r="968" spans="1:9" ht="15">
      <c r="A968" s="386" t="s">
        <v>1724</v>
      </c>
      <c r="B968" s="218">
        <v>1090497745</v>
      </c>
      <c r="C968" s="218">
        <v>1090497745</v>
      </c>
      <c r="D968" s="218">
        <v>1090827195</v>
      </c>
      <c r="E968" s="218">
        <v>1090827195</v>
      </c>
      <c r="F968" s="257">
        <v>1090827195</v>
      </c>
      <c r="G968" s="257">
        <v>1090497745</v>
      </c>
      <c r="H968" s="257">
        <v>1090827195</v>
      </c>
      <c r="I968" s="257">
        <v>1090497745</v>
      </c>
    </row>
    <row r="969" spans="1:9" ht="15">
      <c r="A969" s="386" t="s">
        <v>2319</v>
      </c>
      <c r="B969" s="218">
        <v>1867830047</v>
      </c>
      <c r="C969" s="218">
        <v>1867830047</v>
      </c>
      <c r="D969" s="218">
        <v>1869614187</v>
      </c>
      <c r="E969" s="218">
        <v>1869614187</v>
      </c>
      <c r="F969" s="257">
        <v>1869614187</v>
      </c>
      <c r="G969" s="257">
        <v>1867830047</v>
      </c>
      <c r="H969" s="257">
        <v>1869614187</v>
      </c>
      <c r="I969" s="257">
        <v>1867830047</v>
      </c>
    </row>
    <row r="970" spans="1:9" ht="15">
      <c r="A970" s="386" t="s">
        <v>884</v>
      </c>
      <c r="B970" s="218">
        <v>776208239</v>
      </c>
      <c r="C970" s="218">
        <v>776208239</v>
      </c>
      <c r="D970" s="218">
        <v>807488011</v>
      </c>
      <c r="E970" s="218">
        <v>807488011</v>
      </c>
      <c r="F970" s="257">
        <v>807488011</v>
      </c>
      <c r="G970" s="257">
        <v>776208239</v>
      </c>
      <c r="H970" s="257">
        <v>807488011</v>
      </c>
      <c r="I970" s="257">
        <v>776208239</v>
      </c>
    </row>
    <row r="971" spans="1:9" ht="15">
      <c r="A971" s="386" t="s">
        <v>1255</v>
      </c>
      <c r="B971" s="218">
        <v>239193536</v>
      </c>
      <c r="C971" s="218">
        <v>239193536</v>
      </c>
      <c r="D971" s="218">
        <v>243772481</v>
      </c>
      <c r="E971" s="218">
        <v>243772481</v>
      </c>
      <c r="F971" s="257">
        <v>243772481</v>
      </c>
      <c r="G971" s="257">
        <v>239193536</v>
      </c>
      <c r="H971" s="257">
        <v>243772481</v>
      </c>
      <c r="I971" s="257">
        <v>239193536</v>
      </c>
    </row>
    <row r="972" spans="1:9" ht="15">
      <c r="A972" s="386" t="s">
        <v>642</v>
      </c>
      <c r="B972" s="218">
        <v>576328392</v>
      </c>
      <c r="C972" s="218">
        <v>576328392</v>
      </c>
      <c r="D972" s="218">
        <v>601122257</v>
      </c>
      <c r="E972" s="218">
        <v>601122257</v>
      </c>
      <c r="F972" s="257">
        <v>601122257</v>
      </c>
      <c r="G972" s="257">
        <v>576328392</v>
      </c>
      <c r="H972" s="257">
        <v>601122257</v>
      </c>
      <c r="I972" s="257">
        <v>576328392</v>
      </c>
    </row>
    <row r="973" spans="1:9" ht="15">
      <c r="A973" s="386" t="s">
        <v>1827</v>
      </c>
      <c r="B973" s="218">
        <v>4087932901</v>
      </c>
      <c r="C973" s="218">
        <v>4087932901</v>
      </c>
      <c r="D973" s="218">
        <v>4237356825</v>
      </c>
      <c r="E973" s="218">
        <v>4237356825</v>
      </c>
      <c r="F973" s="257">
        <v>4237356825</v>
      </c>
      <c r="G973" s="257">
        <v>4087932901</v>
      </c>
      <c r="H973" s="257">
        <v>4237356825</v>
      </c>
      <c r="I973" s="257">
        <v>4087932901</v>
      </c>
    </row>
    <row r="974" spans="1:9" ht="15">
      <c r="A974" s="386" t="s">
        <v>573</v>
      </c>
      <c r="B974" s="218">
        <v>173412790</v>
      </c>
      <c r="C974" s="218">
        <v>173412790</v>
      </c>
      <c r="D974" s="218">
        <v>182087686</v>
      </c>
      <c r="E974" s="218">
        <v>182087686</v>
      </c>
      <c r="F974" s="257">
        <v>182087686</v>
      </c>
      <c r="G974" s="257">
        <v>173412790</v>
      </c>
      <c r="H974" s="257">
        <v>182087686</v>
      </c>
      <c r="I974" s="257">
        <v>173412790</v>
      </c>
    </row>
    <row r="975" spans="1:9" ht="15">
      <c r="A975" s="386" t="s">
        <v>1358</v>
      </c>
      <c r="B975" s="218">
        <v>64825869</v>
      </c>
      <c r="C975" s="218">
        <v>64825869</v>
      </c>
      <c r="D975" s="218">
        <v>65152609</v>
      </c>
      <c r="E975" s="218">
        <v>65152609</v>
      </c>
      <c r="F975" s="257">
        <v>65152609</v>
      </c>
      <c r="G975" s="257">
        <v>64825869</v>
      </c>
      <c r="H975" s="257">
        <v>65152609</v>
      </c>
      <c r="I975" s="257">
        <v>64825869</v>
      </c>
    </row>
    <row r="976" spans="1:9" ht="15">
      <c r="A976" s="386" t="s">
        <v>9</v>
      </c>
      <c r="B976" s="218">
        <v>881601237</v>
      </c>
      <c r="C976" s="218">
        <v>881601237</v>
      </c>
      <c r="D976" s="218">
        <v>905029427</v>
      </c>
      <c r="E976" s="218">
        <v>905029427</v>
      </c>
      <c r="F976" s="257">
        <v>905029427</v>
      </c>
      <c r="G976" s="257">
        <v>881601237</v>
      </c>
      <c r="H976" s="257">
        <v>905029427</v>
      </c>
      <c r="I976" s="257">
        <v>881601237</v>
      </c>
    </row>
    <row r="977" spans="1:9" ht="15">
      <c r="A977" s="386" t="s">
        <v>10</v>
      </c>
      <c r="B977" s="218">
        <v>39717196</v>
      </c>
      <c r="C977" s="218">
        <v>89941526</v>
      </c>
      <c r="D977" s="218">
        <v>40329876</v>
      </c>
      <c r="E977" s="218">
        <v>90554206</v>
      </c>
      <c r="F977" s="257">
        <v>40329876</v>
      </c>
      <c r="G977" s="257">
        <v>39717196</v>
      </c>
      <c r="H977" s="257">
        <v>90554206</v>
      </c>
      <c r="I977" s="257">
        <v>89941526</v>
      </c>
    </row>
    <row r="978" spans="1:9" ht="15">
      <c r="A978" s="386" t="s">
        <v>1503</v>
      </c>
      <c r="B978" s="218">
        <v>35043379</v>
      </c>
      <c r="C978" s="218">
        <v>35043379</v>
      </c>
      <c r="D978" s="218">
        <v>36988054</v>
      </c>
      <c r="E978" s="218">
        <v>36988054</v>
      </c>
      <c r="F978" s="257">
        <v>36988054</v>
      </c>
      <c r="G978" s="257">
        <v>35043379</v>
      </c>
      <c r="H978" s="257">
        <v>36988054</v>
      </c>
      <c r="I978" s="257">
        <v>35043379</v>
      </c>
    </row>
    <row r="979" spans="1:9" ht="15">
      <c r="A979" s="386" t="s">
        <v>2089</v>
      </c>
      <c r="B979" s="218">
        <v>224698961</v>
      </c>
      <c r="C979" s="218">
        <v>688566508</v>
      </c>
      <c r="D979" s="218">
        <v>234368716</v>
      </c>
      <c r="E979" s="218">
        <v>698236263</v>
      </c>
      <c r="F979" s="257">
        <v>234368716</v>
      </c>
      <c r="G979" s="257">
        <v>224698961</v>
      </c>
      <c r="H979" s="257">
        <v>698236263</v>
      </c>
      <c r="I979" s="257">
        <v>688566508</v>
      </c>
    </row>
    <row r="980" spans="1:9" ht="15">
      <c r="A980" s="386" t="s">
        <v>425</v>
      </c>
      <c r="B980" s="218">
        <v>239426357</v>
      </c>
      <c r="C980" s="218">
        <v>317816607</v>
      </c>
      <c r="D980" s="218">
        <v>252457726</v>
      </c>
      <c r="E980" s="218">
        <v>330847976</v>
      </c>
      <c r="F980" s="257">
        <v>252457726</v>
      </c>
      <c r="G980" s="257">
        <v>239426357</v>
      </c>
      <c r="H980" s="257">
        <v>330847976</v>
      </c>
      <c r="I980" s="257">
        <v>317816607</v>
      </c>
    </row>
    <row r="981" spans="1:9" ht="15">
      <c r="A981" s="386" t="s">
        <v>278</v>
      </c>
      <c r="B981" s="218">
        <v>82703358</v>
      </c>
      <c r="C981" s="218">
        <v>113227368</v>
      </c>
      <c r="D981" s="218">
        <v>84781113</v>
      </c>
      <c r="E981" s="218">
        <v>115305123</v>
      </c>
      <c r="F981" s="257">
        <v>84781113</v>
      </c>
      <c r="G981" s="257">
        <v>82703358</v>
      </c>
      <c r="H981" s="257">
        <v>115305123</v>
      </c>
      <c r="I981" s="257">
        <v>113227368</v>
      </c>
    </row>
    <row r="982" spans="1:9" ht="15">
      <c r="A982" s="386" t="s">
        <v>1338</v>
      </c>
      <c r="B982" s="218">
        <v>306551850</v>
      </c>
      <c r="C982" s="218">
        <v>306551850</v>
      </c>
      <c r="D982" s="218">
        <v>317346048</v>
      </c>
      <c r="E982" s="218">
        <v>317346048</v>
      </c>
      <c r="F982" s="257">
        <v>317346048</v>
      </c>
      <c r="G982" s="257">
        <v>306551850</v>
      </c>
      <c r="H982" s="257">
        <v>317346048</v>
      </c>
      <c r="I982" s="257">
        <v>306551850</v>
      </c>
    </row>
    <row r="983" spans="1:9" ht="15">
      <c r="A983" s="386" t="s">
        <v>2580</v>
      </c>
      <c r="B983" s="218">
        <v>7189684183</v>
      </c>
      <c r="C983" s="218">
        <v>7189684183</v>
      </c>
      <c r="D983" s="218">
        <v>7376706585</v>
      </c>
      <c r="E983" s="218">
        <v>7376706585</v>
      </c>
      <c r="F983" s="257">
        <v>7376706585</v>
      </c>
      <c r="G983" s="257">
        <v>7189684183</v>
      </c>
      <c r="H983" s="257">
        <v>7376706585</v>
      </c>
      <c r="I983" s="257">
        <v>7189684183</v>
      </c>
    </row>
    <row r="984" spans="1:9" ht="15">
      <c r="A984" s="386" t="s">
        <v>1799</v>
      </c>
      <c r="B984" s="218">
        <v>131558373</v>
      </c>
      <c r="C984" s="218">
        <v>131558373</v>
      </c>
      <c r="D984" s="218">
        <v>137407963</v>
      </c>
      <c r="E984" s="218">
        <v>137407963</v>
      </c>
      <c r="F984" s="257">
        <v>137407963</v>
      </c>
      <c r="G984" s="257">
        <v>131558373</v>
      </c>
      <c r="H984" s="257">
        <v>137407963</v>
      </c>
      <c r="I984" s="257">
        <v>131558373</v>
      </c>
    </row>
    <row r="985" spans="1:9" ht="15">
      <c r="A985" s="386" t="s">
        <v>40</v>
      </c>
      <c r="B985" s="218">
        <v>1995674293</v>
      </c>
      <c r="C985" s="218">
        <v>1995674293</v>
      </c>
      <c r="D985" s="218">
        <v>2055635291</v>
      </c>
      <c r="E985" s="218">
        <v>2055635291</v>
      </c>
      <c r="F985" s="257">
        <v>2055635291</v>
      </c>
      <c r="G985" s="257">
        <v>1995674293</v>
      </c>
      <c r="H985" s="257">
        <v>2055635291</v>
      </c>
      <c r="I985" s="257">
        <v>1995674293</v>
      </c>
    </row>
    <row r="986" spans="1:9" ht="15">
      <c r="A986" s="386" t="s">
        <v>11</v>
      </c>
      <c r="B986" s="218">
        <v>870732210</v>
      </c>
      <c r="C986" s="218">
        <v>870732210</v>
      </c>
      <c r="D986" s="218">
        <v>902453325</v>
      </c>
      <c r="E986" s="218">
        <v>902453325</v>
      </c>
      <c r="F986" s="257">
        <v>902453325</v>
      </c>
      <c r="G986" s="257">
        <v>870732210</v>
      </c>
      <c r="H986" s="257">
        <v>902453325</v>
      </c>
      <c r="I986" s="257">
        <v>870732210</v>
      </c>
    </row>
    <row r="987" spans="1:9" ht="15">
      <c r="A987" s="386" t="s">
        <v>1771</v>
      </c>
      <c r="B987" s="218">
        <v>1422210564</v>
      </c>
      <c r="C987" s="218">
        <v>1422210564</v>
      </c>
      <c r="D987" s="218">
        <v>1456197421</v>
      </c>
      <c r="E987" s="218">
        <v>1456197421</v>
      </c>
      <c r="F987" s="257">
        <v>1456197421</v>
      </c>
      <c r="G987" s="257">
        <v>1422210564</v>
      </c>
      <c r="H987" s="257">
        <v>1456197421</v>
      </c>
      <c r="I987" s="257">
        <v>1422210564</v>
      </c>
    </row>
    <row r="988" spans="1:9" ht="15">
      <c r="A988" s="386" t="s">
        <v>1310</v>
      </c>
      <c r="B988" s="218">
        <v>27243818755</v>
      </c>
      <c r="C988" s="218">
        <v>27243818755</v>
      </c>
      <c r="D988" s="218">
        <v>27744072667</v>
      </c>
      <c r="E988" s="218">
        <v>27744072667</v>
      </c>
      <c r="F988" s="257">
        <v>27744072667</v>
      </c>
      <c r="G988" s="257">
        <v>27243818755</v>
      </c>
      <c r="H988" s="257">
        <v>27744072667</v>
      </c>
      <c r="I988" s="257">
        <v>27243818755</v>
      </c>
    </row>
    <row r="989" spans="1:9" ht="15">
      <c r="A989" s="386" t="s">
        <v>1545</v>
      </c>
      <c r="B989" s="218">
        <v>887833769</v>
      </c>
      <c r="C989" s="218">
        <v>887833769</v>
      </c>
      <c r="D989" s="218">
        <v>921447163</v>
      </c>
      <c r="E989" s="218">
        <v>921447163</v>
      </c>
      <c r="F989" s="257">
        <v>921447163</v>
      </c>
      <c r="G989" s="257">
        <v>887833769</v>
      </c>
      <c r="H989" s="257">
        <v>921447163</v>
      </c>
      <c r="I989" s="257">
        <v>887833769</v>
      </c>
    </row>
    <row r="990" spans="1:9" ht="15">
      <c r="A990" s="386" t="s">
        <v>1515</v>
      </c>
      <c r="B990" s="218">
        <v>204253362</v>
      </c>
      <c r="C990" s="218">
        <v>204253362</v>
      </c>
      <c r="D990" s="218">
        <v>211896012</v>
      </c>
      <c r="E990" s="218">
        <v>211896012</v>
      </c>
      <c r="F990" s="257">
        <v>211896012</v>
      </c>
      <c r="G990" s="257">
        <v>204253362</v>
      </c>
      <c r="H990" s="257">
        <v>211896012</v>
      </c>
      <c r="I990" s="257">
        <v>204253362</v>
      </c>
    </row>
    <row r="991" spans="1:9" ht="15">
      <c r="A991" s="386" t="s">
        <v>1769</v>
      </c>
      <c r="B991" s="218">
        <v>18223625933</v>
      </c>
      <c r="C991" s="218">
        <v>18223625933</v>
      </c>
      <c r="D991" s="218">
        <v>18606154031</v>
      </c>
      <c r="E991" s="218">
        <v>18606154031</v>
      </c>
      <c r="F991" s="257">
        <v>18606154031</v>
      </c>
      <c r="G991" s="257">
        <v>18223625933</v>
      </c>
      <c r="H991" s="257">
        <v>18606154031</v>
      </c>
      <c r="I991" s="257">
        <v>18223625933</v>
      </c>
    </row>
    <row r="992" spans="1:9" ht="15">
      <c r="A992" s="386" t="s">
        <v>12</v>
      </c>
      <c r="B992" s="218">
        <v>61133463</v>
      </c>
      <c r="C992" s="218">
        <v>61133463</v>
      </c>
      <c r="D992" s="218">
        <v>63514223</v>
      </c>
      <c r="E992" s="218">
        <v>63514223</v>
      </c>
      <c r="F992" s="257">
        <v>63514223</v>
      </c>
      <c r="G992" s="257">
        <v>61133463</v>
      </c>
      <c r="H992" s="257">
        <v>63514223</v>
      </c>
      <c r="I992" s="257">
        <v>61133463</v>
      </c>
    </row>
    <row r="993" spans="1:9" ht="15">
      <c r="A993" s="386" t="s">
        <v>2455</v>
      </c>
      <c r="B993" s="218">
        <v>1181671401</v>
      </c>
      <c r="C993" s="218">
        <v>1181671401</v>
      </c>
      <c r="D993" s="218">
        <v>1229331891</v>
      </c>
      <c r="E993" s="218">
        <v>1229331891</v>
      </c>
      <c r="F993" s="257">
        <v>1229331891</v>
      </c>
      <c r="G993" s="257">
        <v>1181671401</v>
      </c>
      <c r="H993" s="257">
        <v>1229331891</v>
      </c>
      <c r="I993" s="257">
        <v>1181671401</v>
      </c>
    </row>
    <row r="994" spans="1:9" ht="15">
      <c r="A994" s="386" t="s">
        <v>59</v>
      </c>
      <c r="B994" s="218">
        <v>930818395</v>
      </c>
      <c r="C994" s="218">
        <v>930818395</v>
      </c>
      <c r="D994" s="218">
        <v>967339333</v>
      </c>
      <c r="E994" s="218">
        <v>967339333</v>
      </c>
      <c r="F994" s="257">
        <v>967339333</v>
      </c>
      <c r="G994" s="257">
        <v>930818395</v>
      </c>
      <c r="H994" s="257">
        <v>967339333</v>
      </c>
      <c r="I994" s="257">
        <v>930818395</v>
      </c>
    </row>
    <row r="995" spans="1:9" ht="15">
      <c r="A995" s="386" t="s">
        <v>2456</v>
      </c>
      <c r="B995" s="218">
        <v>326908552</v>
      </c>
      <c r="C995" s="218">
        <v>326908552</v>
      </c>
      <c r="D995" s="218">
        <v>335166722</v>
      </c>
      <c r="E995" s="218">
        <v>335166722</v>
      </c>
      <c r="F995" s="257">
        <v>335166722</v>
      </c>
      <c r="G995" s="257">
        <v>326908552</v>
      </c>
      <c r="H995" s="257">
        <v>335166722</v>
      </c>
      <c r="I995" s="257">
        <v>326908552</v>
      </c>
    </row>
    <row r="996" spans="1:9" ht="15">
      <c r="A996" s="386" t="s">
        <v>1512</v>
      </c>
      <c r="B996" s="218">
        <v>205880672</v>
      </c>
      <c r="C996" s="218">
        <v>205880672</v>
      </c>
      <c r="D996" s="218">
        <v>214089885</v>
      </c>
      <c r="E996" s="218">
        <v>214089885</v>
      </c>
      <c r="F996" s="257">
        <v>214089885</v>
      </c>
      <c r="G996" s="257">
        <v>205880672</v>
      </c>
      <c r="H996" s="257">
        <v>214089885</v>
      </c>
      <c r="I996" s="257">
        <v>205880672</v>
      </c>
    </row>
    <row r="997" spans="1:9" ht="15">
      <c r="A997" s="386" t="s">
        <v>1174</v>
      </c>
      <c r="B997" s="218">
        <v>626925961</v>
      </c>
      <c r="C997" s="218">
        <v>712027761</v>
      </c>
      <c r="D997" s="218">
        <v>638134432</v>
      </c>
      <c r="E997" s="218">
        <v>723236232</v>
      </c>
      <c r="F997" s="257">
        <v>631885029</v>
      </c>
      <c r="G997" s="257">
        <v>620676558</v>
      </c>
      <c r="H997" s="257">
        <v>716986829</v>
      </c>
      <c r="I997" s="257">
        <v>705778358</v>
      </c>
    </row>
    <row r="998" spans="1:9" ht="15">
      <c r="A998" s="386" t="s">
        <v>1175</v>
      </c>
      <c r="B998" s="218">
        <v>1527336888</v>
      </c>
      <c r="C998" s="218">
        <v>1527336888</v>
      </c>
      <c r="D998" s="218">
        <v>1529158735</v>
      </c>
      <c r="E998" s="218">
        <v>1529158735</v>
      </c>
      <c r="F998" s="257">
        <v>1528329267</v>
      </c>
      <c r="G998" s="257">
        <v>1526507420</v>
      </c>
      <c r="H998" s="257">
        <v>1528329267</v>
      </c>
      <c r="I998" s="257">
        <v>1526507420</v>
      </c>
    </row>
    <row r="999" spans="1:9" ht="15">
      <c r="A999" s="386" t="s">
        <v>196</v>
      </c>
      <c r="B999" s="218">
        <v>424402661</v>
      </c>
      <c r="C999" s="218">
        <v>424402661</v>
      </c>
      <c r="D999" s="218">
        <v>432907594</v>
      </c>
      <c r="E999" s="218">
        <v>432907594</v>
      </c>
      <c r="F999" s="257">
        <v>432907594</v>
      </c>
      <c r="G999" s="257">
        <v>424402661</v>
      </c>
      <c r="H999" s="257">
        <v>432907594</v>
      </c>
      <c r="I999" s="257">
        <v>424402661</v>
      </c>
    </row>
    <row r="1000" spans="1:9" ht="15">
      <c r="A1000" s="386" t="s">
        <v>800</v>
      </c>
      <c r="B1000" s="218">
        <v>780973742</v>
      </c>
      <c r="C1000" s="218">
        <v>780973742</v>
      </c>
      <c r="D1000" s="218">
        <v>793486455</v>
      </c>
      <c r="E1000" s="218">
        <v>793486455</v>
      </c>
      <c r="F1000" s="257">
        <v>793486455</v>
      </c>
      <c r="G1000" s="257">
        <v>780973742</v>
      </c>
      <c r="H1000" s="257">
        <v>793486455</v>
      </c>
      <c r="I1000" s="257">
        <v>780973742</v>
      </c>
    </row>
    <row r="1001" spans="1:9" ht="15">
      <c r="A1001" s="386" t="s">
        <v>2176</v>
      </c>
      <c r="B1001" s="218">
        <v>1411217758</v>
      </c>
      <c r="C1001" s="218">
        <v>1411217758</v>
      </c>
      <c r="D1001" s="218">
        <v>1433884837</v>
      </c>
      <c r="E1001" s="218">
        <v>1433884837</v>
      </c>
      <c r="F1001" s="257">
        <v>1428068522</v>
      </c>
      <c r="G1001" s="257">
        <v>1405401443</v>
      </c>
      <c r="H1001" s="257">
        <v>1428068522</v>
      </c>
      <c r="I1001" s="257">
        <v>1405401443</v>
      </c>
    </row>
    <row r="1002" spans="1:9" ht="15">
      <c r="A1002" s="386" t="s">
        <v>2424</v>
      </c>
      <c r="B1002" s="218">
        <v>583513010</v>
      </c>
      <c r="C1002" s="218">
        <v>583513010</v>
      </c>
      <c r="D1002" s="218">
        <v>590844844</v>
      </c>
      <c r="E1002" s="218">
        <v>590844844</v>
      </c>
      <c r="F1002" s="257">
        <v>590844844</v>
      </c>
      <c r="G1002" s="257">
        <v>583513010</v>
      </c>
      <c r="H1002" s="257">
        <v>590844844</v>
      </c>
      <c r="I1002" s="257">
        <v>583513010</v>
      </c>
    </row>
    <row r="1003" spans="1:9" ht="15">
      <c r="A1003" s="386" t="s">
        <v>2425</v>
      </c>
      <c r="B1003" s="218">
        <v>2251569151</v>
      </c>
      <c r="C1003" s="218">
        <v>2251569151</v>
      </c>
      <c r="D1003" s="218">
        <v>2282178342</v>
      </c>
      <c r="E1003" s="218">
        <v>2282178342</v>
      </c>
      <c r="F1003" s="257">
        <v>2282178342</v>
      </c>
      <c r="G1003" s="257">
        <v>2251569151</v>
      </c>
      <c r="H1003" s="257">
        <v>2282178342</v>
      </c>
      <c r="I1003" s="257">
        <v>2251569151</v>
      </c>
    </row>
    <row r="1004" spans="1:9" ht="15">
      <c r="A1004" s="386" t="s">
        <v>2022</v>
      </c>
      <c r="B1004" s="218">
        <v>406958034</v>
      </c>
      <c r="C1004" s="218">
        <v>406958034</v>
      </c>
      <c r="D1004" s="218">
        <v>417844591</v>
      </c>
      <c r="E1004" s="218">
        <v>417844591</v>
      </c>
      <c r="F1004" s="257">
        <v>417844591</v>
      </c>
      <c r="G1004" s="257">
        <v>406958034</v>
      </c>
      <c r="H1004" s="257">
        <v>417844591</v>
      </c>
      <c r="I1004" s="257">
        <v>406958034</v>
      </c>
    </row>
    <row r="1005" spans="1:9" ht="15">
      <c r="A1005" s="386" t="s">
        <v>1150</v>
      </c>
      <c r="B1005" s="218">
        <v>373887025</v>
      </c>
      <c r="C1005" s="218">
        <v>373887025</v>
      </c>
      <c r="D1005" s="218">
        <v>377604558</v>
      </c>
      <c r="E1005" s="218">
        <v>377604558</v>
      </c>
      <c r="F1005" s="257">
        <v>372739111</v>
      </c>
      <c r="G1005" s="257">
        <v>369021578</v>
      </c>
      <c r="H1005" s="257">
        <v>372739111</v>
      </c>
      <c r="I1005" s="257">
        <v>369021578</v>
      </c>
    </row>
    <row r="1006" spans="1:9" ht="15">
      <c r="A1006" s="386" t="s">
        <v>2229</v>
      </c>
      <c r="B1006" s="218">
        <v>763634965</v>
      </c>
      <c r="C1006" s="218">
        <v>763634965</v>
      </c>
      <c r="D1006" s="218">
        <v>775551789</v>
      </c>
      <c r="E1006" s="218">
        <v>775551789</v>
      </c>
      <c r="F1006" s="257">
        <v>775551789</v>
      </c>
      <c r="G1006" s="257">
        <v>763634965</v>
      </c>
      <c r="H1006" s="257">
        <v>775551789</v>
      </c>
      <c r="I1006" s="257">
        <v>763634965</v>
      </c>
    </row>
    <row r="1007" spans="1:9" ht="15">
      <c r="A1007" s="386" t="s">
        <v>2230</v>
      </c>
      <c r="B1007" s="218">
        <v>486239399</v>
      </c>
      <c r="C1007" s="218">
        <v>486239399</v>
      </c>
      <c r="D1007" s="218">
        <v>507603029</v>
      </c>
      <c r="E1007" s="218">
        <v>507603029</v>
      </c>
      <c r="F1007" s="257">
        <v>507603029</v>
      </c>
      <c r="G1007" s="257">
        <v>486239399</v>
      </c>
      <c r="H1007" s="257">
        <v>507603029</v>
      </c>
      <c r="I1007" s="257">
        <v>486239399</v>
      </c>
    </row>
    <row r="1008" spans="1:9" ht="15">
      <c r="A1008" s="386" t="s">
        <v>2575</v>
      </c>
      <c r="B1008" s="218">
        <v>419825586</v>
      </c>
      <c r="C1008" s="218">
        <v>419825586</v>
      </c>
      <c r="D1008" s="218">
        <v>441103373</v>
      </c>
      <c r="E1008" s="218">
        <v>441103373</v>
      </c>
      <c r="F1008" s="257">
        <v>441103373</v>
      </c>
      <c r="G1008" s="257">
        <v>419825586</v>
      </c>
      <c r="H1008" s="257">
        <v>441103373</v>
      </c>
      <c r="I1008" s="257">
        <v>419825586</v>
      </c>
    </row>
    <row r="1009" spans="1:9" ht="15">
      <c r="A1009" s="386" t="s">
        <v>2576</v>
      </c>
      <c r="B1009" s="218">
        <v>279262828</v>
      </c>
      <c r="C1009" s="218">
        <v>279262828</v>
      </c>
      <c r="D1009" s="218">
        <v>289028146</v>
      </c>
      <c r="E1009" s="218">
        <v>289028146</v>
      </c>
      <c r="F1009" s="257">
        <v>289028146</v>
      </c>
      <c r="G1009" s="257">
        <v>279262828</v>
      </c>
      <c r="H1009" s="257">
        <v>289028146</v>
      </c>
      <c r="I1009" s="257">
        <v>279262828</v>
      </c>
    </row>
    <row r="1010" spans="1:9" ht="15">
      <c r="A1010" s="386" t="s">
        <v>635</v>
      </c>
      <c r="B1010" s="218">
        <v>240108876</v>
      </c>
      <c r="C1010" s="218">
        <v>240108876</v>
      </c>
      <c r="D1010" s="218">
        <v>254115221</v>
      </c>
      <c r="E1010" s="218">
        <v>254115221</v>
      </c>
      <c r="F1010" s="257">
        <v>254115221</v>
      </c>
      <c r="G1010" s="257">
        <v>240108876</v>
      </c>
      <c r="H1010" s="257">
        <v>254115221</v>
      </c>
      <c r="I1010" s="257">
        <v>240108876</v>
      </c>
    </row>
    <row r="1011" spans="1:9" ht="15">
      <c r="A1011" s="386" t="s">
        <v>679</v>
      </c>
      <c r="B1011" s="218">
        <v>446456606</v>
      </c>
      <c r="C1011" s="218">
        <v>446456606</v>
      </c>
      <c r="D1011" s="218">
        <v>466954539</v>
      </c>
      <c r="E1011" s="218">
        <v>466954539</v>
      </c>
      <c r="F1011" s="257">
        <v>466954539</v>
      </c>
      <c r="G1011" s="257">
        <v>446456606</v>
      </c>
      <c r="H1011" s="257">
        <v>466954539</v>
      </c>
      <c r="I1011" s="257">
        <v>446456606</v>
      </c>
    </row>
    <row r="1012" spans="1:9" ht="15">
      <c r="A1012" s="386" t="s">
        <v>680</v>
      </c>
      <c r="B1012" s="218">
        <v>1995314726</v>
      </c>
      <c r="C1012" s="218">
        <v>1995314726</v>
      </c>
      <c r="D1012" s="218">
        <v>2006226346</v>
      </c>
      <c r="E1012" s="218">
        <v>2006226346</v>
      </c>
      <c r="F1012" s="257">
        <v>2001424539</v>
      </c>
      <c r="G1012" s="257">
        <v>1990512919</v>
      </c>
      <c r="H1012" s="257">
        <v>2001424539</v>
      </c>
      <c r="I1012" s="257">
        <v>1990512919</v>
      </c>
    </row>
    <row r="1013" spans="1:9" ht="15">
      <c r="A1013" s="386" t="s">
        <v>1471</v>
      </c>
      <c r="B1013" s="218">
        <v>753046572</v>
      </c>
      <c r="C1013" s="218">
        <v>753046572</v>
      </c>
      <c r="D1013" s="218">
        <v>756608773</v>
      </c>
      <c r="E1013" s="218">
        <v>756608773</v>
      </c>
      <c r="F1013" s="257">
        <v>753067192</v>
      </c>
      <c r="G1013" s="257">
        <v>749504991</v>
      </c>
      <c r="H1013" s="257">
        <v>753067192</v>
      </c>
      <c r="I1013" s="257">
        <v>749504991</v>
      </c>
    </row>
    <row r="1014" spans="1:9" ht="15">
      <c r="A1014" s="386" t="s">
        <v>907</v>
      </c>
      <c r="B1014" s="218">
        <v>731073514</v>
      </c>
      <c r="C1014" s="218">
        <v>750295914</v>
      </c>
      <c r="D1014" s="218">
        <v>759437904</v>
      </c>
      <c r="E1014" s="218">
        <v>778660304</v>
      </c>
      <c r="F1014" s="257">
        <v>759437904</v>
      </c>
      <c r="G1014" s="257">
        <v>731073514</v>
      </c>
      <c r="H1014" s="257">
        <v>778660304</v>
      </c>
      <c r="I1014" s="257">
        <v>750295914</v>
      </c>
    </row>
    <row r="1015" spans="1:9" ht="15">
      <c r="A1015" s="386" t="s">
        <v>1472</v>
      </c>
      <c r="B1015" s="218">
        <v>74222887</v>
      </c>
      <c r="C1015" s="218">
        <v>74222887</v>
      </c>
      <c r="D1015" s="218">
        <v>75554097</v>
      </c>
      <c r="E1015" s="218">
        <v>75554097</v>
      </c>
      <c r="F1015" s="257">
        <v>75554097</v>
      </c>
      <c r="G1015" s="257">
        <v>74222887</v>
      </c>
      <c r="H1015" s="257">
        <v>75554097</v>
      </c>
      <c r="I1015" s="257">
        <v>74222887</v>
      </c>
    </row>
    <row r="1016" spans="1:9" ht="15">
      <c r="A1016" s="386" t="s">
        <v>1504</v>
      </c>
      <c r="B1016" s="218">
        <v>268144591</v>
      </c>
      <c r="C1016" s="218">
        <v>503137551</v>
      </c>
      <c r="D1016" s="218">
        <v>275174881</v>
      </c>
      <c r="E1016" s="218">
        <v>510167841</v>
      </c>
      <c r="F1016" s="257">
        <v>275174881</v>
      </c>
      <c r="G1016" s="257">
        <v>268144591</v>
      </c>
      <c r="H1016" s="257">
        <v>510167841</v>
      </c>
      <c r="I1016" s="257">
        <v>503137551</v>
      </c>
    </row>
    <row r="1017" spans="1:9" ht="15">
      <c r="A1017" s="386" t="s">
        <v>514</v>
      </c>
      <c r="B1017" s="218">
        <v>1264564081</v>
      </c>
      <c r="C1017" s="218">
        <v>1264564081</v>
      </c>
      <c r="D1017" s="218">
        <v>1292140574</v>
      </c>
      <c r="E1017" s="218">
        <v>1292140574</v>
      </c>
      <c r="F1017" s="257">
        <v>1269317916</v>
      </c>
      <c r="G1017" s="257">
        <v>1241741423</v>
      </c>
      <c r="H1017" s="257">
        <v>1269317916</v>
      </c>
      <c r="I1017" s="257">
        <v>1241741423</v>
      </c>
    </row>
    <row r="1018" spans="1:9" ht="15">
      <c r="A1018" s="386" t="s">
        <v>2406</v>
      </c>
      <c r="B1018" s="218">
        <v>1110153741</v>
      </c>
      <c r="C1018" s="218">
        <v>1110153741</v>
      </c>
      <c r="D1018" s="218">
        <v>1120323269</v>
      </c>
      <c r="E1018" s="218">
        <v>1120323269</v>
      </c>
      <c r="F1018" s="257">
        <v>1120323269</v>
      </c>
      <c r="G1018" s="257">
        <v>1110153741</v>
      </c>
      <c r="H1018" s="257">
        <v>1120323269</v>
      </c>
      <c r="I1018" s="257">
        <v>1110153741</v>
      </c>
    </row>
    <row r="1019" spans="1:9" ht="15">
      <c r="A1019" s="386" t="s">
        <v>1688</v>
      </c>
      <c r="B1019" s="218">
        <v>89334054</v>
      </c>
      <c r="C1019" s="218">
        <v>89334054</v>
      </c>
      <c r="D1019" s="218">
        <v>91803445</v>
      </c>
      <c r="E1019" s="218">
        <v>91803445</v>
      </c>
      <c r="F1019" s="257">
        <v>91803445</v>
      </c>
      <c r="G1019" s="257">
        <v>89334054</v>
      </c>
      <c r="H1019" s="257">
        <v>91803445</v>
      </c>
      <c r="I1019" s="257">
        <v>89334054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2578125" customWidth="1"/>
    <col min="2" max="2" width="35" customWidth="1"/>
    <col min="3" max="3" width="12.5703125" style="2877" bestFit="1" customWidth="1"/>
  </cols>
  <sheetData>
    <row r="1" spans="1:3" s="52" customFormat="1">
      <c r="A1" s="52">
        <v>1</v>
      </c>
      <c r="B1" s="52">
        <v>2</v>
      </c>
      <c r="C1" s="2876">
        <v>5</v>
      </c>
    </row>
    <row r="2" spans="1:3">
      <c r="A2" s="216"/>
      <c r="B2" s="216"/>
      <c r="C2" s="2876" t="s">
        <v>2572</v>
      </c>
    </row>
    <row r="3" spans="1:3">
      <c r="A3" t="s">
        <v>197</v>
      </c>
      <c r="B3" t="s">
        <v>279</v>
      </c>
      <c r="C3" s="2877">
        <v>887.75800000000004</v>
      </c>
    </row>
    <row r="4" spans="1:3">
      <c r="A4" t="s">
        <v>1954</v>
      </c>
      <c r="B4" t="s">
        <v>280</v>
      </c>
      <c r="C4" s="2877">
        <v>1725.1179999999999</v>
      </c>
    </row>
    <row r="5" spans="1:3">
      <c r="A5" t="s">
        <v>14</v>
      </c>
      <c r="B5" t="s">
        <v>281</v>
      </c>
      <c r="C5" s="2877">
        <v>1155.194</v>
      </c>
    </row>
    <row r="6" spans="1:3">
      <c r="A6" t="s">
        <v>15</v>
      </c>
      <c r="B6" t="s">
        <v>282</v>
      </c>
      <c r="C6" s="2877">
        <v>610.46</v>
      </c>
    </row>
    <row r="7" spans="1:3">
      <c r="A7" t="s">
        <v>16</v>
      </c>
      <c r="B7" t="s">
        <v>283</v>
      </c>
      <c r="C7" s="2877">
        <v>4064.5149999999999</v>
      </c>
    </row>
    <row r="8" spans="1:3">
      <c r="A8" t="s">
        <v>1098</v>
      </c>
      <c r="B8" t="s">
        <v>1188</v>
      </c>
      <c r="C8" s="2877">
        <v>2191.3150000000001</v>
      </c>
    </row>
    <row r="9" spans="1:3">
      <c r="A9" t="s">
        <v>1099</v>
      </c>
      <c r="B9" t="s">
        <v>1189</v>
      </c>
      <c r="C9" s="2877">
        <v>609.28300000000002</v>
      </c>
    </row>
    <row r="10" spans="1:3">
      <c r="A10" t="s">
        <v>1841</v>
      </c>
      <c r="B10" t="s">
        <v>1190</v>
      </c>
      <c r="C10" s="2877">
        <v>3609.7429999999999</v>
      </c>
    </row>
    <row r="11" spans="1:3">
      <c r="A11" t="s">
        <v>676</v>
      </c>
      <c r="B11" t="s">
        <v>2382</v>
      </c>
      <c r="C11" s="2877">
        <v>3137.0320000000002</v>
      </c>
    </row>
    <row r="12" spans="1:3">
      <c r="A12" t="s">
        <v>1452</v>
      </c>
      <c r="B12" t="s">
        <v>1191</v>
      </c>
      <c r="C12" s="2877">
        <v>10565.496999999999</v>
      </c>
    </row>
    <row r="13" spans="1:3">
      <c r="A13" t="s">
        <v>1118</v>
      </c>
      <c r="B13" t="s">
        <v>1266</v>
      </c>
      <c r="C13" s="2877">
        <v>2224.8809999999999</v>
      </c>
    </row>
    <row r="14" spans="1:3">
      <c r="A14" t="s">
        <v>337</v>
      </c>
      <c r="B14" t="s">
        <v>1192</v>
      </c>
      <c r="C14" s="2877">
        <v>2428.4520000000002</v>
      </c>
    </row>
    <row r="15" spans="1:3">
      <c r="A15" t="s">
        <v>338</v>
      </c>
      <c r="B15" t="s">
        <v>1193</v>
      </c>
      <c r="C15" s="2877">
        <v>755.21199999999999</v>
      </c>
    </row>
    <row r="16" spans="1:3">
      <c r="A16" t="s">
        <v>339</v>
      </c>
      <c r="B16" t="s">
        <v>1194</v>
      </c>
      <c r="C16" s="2877">
        <v>2052.1570000000002</v>
      </c>
    </row>
    <row r="17" spans="1:3">
      <c r="A17" t="s">
        <v>2479</v>
      </c>
      <c r="B17" t="s">
        <v>1195</v>
      </c>
      <c r="C17" s="2877">
        <v>3754.991</v>
      </c>
    </row>
    <row r="18" spans="1:3">
      <c r="A18" t="s">
        <v>2480</v>
      </c>
      <c r="B18" t="s">
        <v>1196</v>
      </c>
      <c r="C18" s="2877">
        <v>786.13199999999995</v>
      </c>
    </row>
    <row r="19" spans="1:3">
      <c r="A19" t="s">
        <v>2481</v>
      </c>
      <c r="B19" t="s">
        <v>1197</v>
      </c>
      <c r="C19" s="2877">
        <v>1167.1189999999999</v>
      </c>
    </row>
    <row r="20" spans="1:3">
      <c r="A20" t="s">
        <v>1945</v>
      </c>
      <c r="B20" t="s">
        <v>1128</v>
      </c>
      <c r="C20" s="2877">
        <v>775.02700000000004</v>
      </c>
    </row>
    <row r="21" spans="1:3">
      <c r="A21" t="s">
        <v>2483</v>
      </c>
      <c r="B21" t="s">
        <v>1198</v>
      </c>
      <c r="C21" s="2877">
        <v>637.51099999999997</v>
      </c>
    </row>
    <row r="22" spans="1:3">
      <c r="A22" t="s">
        <v>708</v>
      </c>
      <c r="B22" t="s">
        <v>661</v>
      </c>
      <c r="C22" s="2877">
        <v>826.90599999999995</v>
      </c>
    </row>
    <row r="23" spans="1:3">
      <c r="A23" t="s">
        <v>2484</v>
      </c>
      <c r="B23" t="s">
        <v>1199</v>
      </c>
      <c r="C23" s="2877">
        <v>1735.5360000000001</v>
      </c>
    </row>
    <row r="24" spans="1:3">
      <c r="A24" t="s">
        <v>2090</v>
      </c>
      <c r="B24" t="s">
        <v>1200</v>
      </c>
      <c r="C24" s="2877">
        <v>2209.5970000000002</v>
      </c>
    </row>
    <row r="25" spans="1:3">
      <c r="A25" t="s">
        <v>213</v>
      </c>
      <c r="B25" t="s">
        <v>1001</v>
      </c>
      <c r="C25" s="2877">
        <v>4367.9549999999999</v>
      </c>
    </row>
    <row r="26" spans="1:3">
      <c r="A26" t="s">
        <v>2133</v>
      </c>
      <c r="B26" t="s">
        <v>1004</v>
      </c>
      <c r="C26" s="2877">
        <v>2293.6239999999998</v>
      </c>
    </row>
    <row r="27" spans="1:3">
      <c r="A27" t="s">
        <v>2485</v>
      </c>
      <c r="B27" t="s">
        <v>1201</v>
      </c>
      <c r="C27" s="2877">
        <v>2797.248</v>
      </c>
    </row>
    <row r="28" spans="1:3">
      <c r="A28" t="s">
        <v>685</v>
      </c>
      <c r="B28" t="s">
        <v>1202</v>
      </c>
      <c r="C28" s="2877">
        <v>3471.5569999999998</v>
      </c>
    </row>
    <row r="29" spans="1:3">
      <c r="A29" t="s">
        <v>686</v>
      </c>
      <c r="B29" t="s">
        <v>1203</v>
      </c>
      <c r="C29" s="2877">
        <v>1191.92</v>
      </c>
    </row>
    <row r="30" spans="1:3">
      <c r="A30" t="s">
        <v>687</v>
      </c>
      <c r="B30" t="s">
        <v>1204</v>
      </c>
      <c r="C30" s="2877">
        <v>2075.5819999999999</v>
      </c>
    </row>
    <row r="31" spans="1:3">
      <c r="A31" t="s">
        <v>188</v>
      </c>
      <c r="B31" t="s">
        <v>1205</v>
      </c>
      <c r="C31" s="2877">
        <v>668.88400000000001</v>
      </c>
    </row>
    <row r="32" spans="1:3">
      <c r="A32" t="s">
        <v>1946</v>
      </c>
      <c r="B32" t="s">
        <v>2121</v>
      </c>
      <c r="C32" s="2877">
        <v>3177.45</v>
      </c>
    </row>
    <row r="33" spans="1:3">
      <c r="A33" t="s">
        <v>1683</v>
      </c>
      <c r="B33" t="s">
        <v>2123</v>
      </c>
      <c r="C33" s="2877">
        <v>10553.709000000001</v>
      </c>
    </row>
    <row r="34" spans="1:3">
      <c r="A34" t="s">
        <v>773</v>
      </c>
      <c r="B34" t="s">
        <v>890</v>
      </c>
      <c r="C34" s="2877">
        <v>4853.1450000000004</v>
      </c>
    </row>
    <row r="35" spans="1:3">
      <c r="A35" t="s">
        <v>2366</v>
      </c>
      <c r="B35" t="s">
        <v>1928</v>
      </c>
      <c r="C35" s="2877">
        <v>2204.9589999999998</v>
      </c>
    </row>
    <row r="36" spans="1:3">
      <c r="A36" t="s">
        <v>2134</v>
      </c>
      <c r="B36" t="s">
        <v>818</v>
      </c>
      <c r="C36" s="2877">
        <v>316.39400000000001</v>
      </c>
    </row>
    <row r="37" spans="1:3">
      <c r="A37" t="s">
        <v>452</v>
      </c>
      <c r="B37" t="s">
        <v>1206</v>
      </c>
      <c r="C37" s="2877">
        <v>961.53599999999994</v>
      </c>
    </row>
    <row r="38" spans="1:3">
      <c r="A38" t="s">
        <v>2367</v>
      </c>
      <c r="B38" t="s">
        <v>2124</v>
      </c>
      <c r="C38" s="2877">
        <v>4482.2330000000002</v>
      </c>
    </row>
    <row r="39" spans="1:3">
      <c r="A39" t="s">
        <v>2651</v>
      </c>
      <c r="B39" t="s">
        <v>1207</v>
      </c>
      <c r="C39" s="2877">
        <v>202.96299999999999</v>
      </c>
    </row>
    <row r="40" spans="1:3">
      <c r="A40" t="s">
        <v>2652</v>
      </c>
      <c r="B40" t="s">
        <v>1208</v>
      </c>
      <c r="C40" s="2877">
        <v>649.61</v>
      </c>
    </row>
    <row r="41" spans="1:3">
      <c r="A41" t="s">
        <v>1149</v>
      </c>
      <c r="B41" t="s">
        <v>1828</v>
      </c>
      <c r="C41" s="2877">
        <v>1120.778</v>
      </c>
    </row>
    <row r="42" spans="1:3">
      <c r="A42" t="s">
        <v>2135</v>
      </c>
      <c r="B42" t="s">
        <v>1209</v>
      </c>
      <c r="C42" s="2877">
        <v>1445.364</v>
      </c>
    </row>
    <row r="43" spans="1:3">
      <c r="A43" t="s">
        <v>1682</v>
      </c>
      <c r="B43" t="s">
        <v>2122</v>
      </c>
      <c r="C43" s="2877">
        <v>618.35299999999995</v>
      </c>
    </row>
    <row r="44" spans="1:3">
      <c r="A44" t="s">
        <v>1685</v>
      </c>
      <c r="B44" t="s">
        <v>2680</v>
      </c>
      <c r="C44" s="2877">
        <v>9996.52</v>
      </c>
    </row>
    <row r="45" spans="1:3">
      <c r="A45" t="s">
        <v>170</v>
      </c>
      <c r="B45" t="s">
        <v>2377</v>
      </c>
      <c r="C45" s="2877">
        <v>820.63800000000003</v>
      </c>
    </row>
    <row r="46" spans="1:3">
      <c r="A46" t="s">
        <v>53</v>
      </c>
      <c r="B46" t="s">
        <v>2518</v>
      </c>
      <c r="C46" s="2877">
        <v>45806.572</v>
      </c>
    </row>
    <row r="47" spans="1:3">
      <c r="A47" t="s">
        <v>166</v>
      </c>
      <c r="B47" t="s">
        <v>1402</v>
      </c>
      <c r="C47" s="2877">
        <v>1203.18</v>
      </c>
    </row>
    <row r="48" spans="1:3">
      <c r="A48" t="s">
        <v>1312</v>
      </c>
      <c r="B48" t="s">
        <v>2025</v>
      </c>
      <c r="C48" s="2877">
        <v>1640.2149999999999</v>
      </c>
    </row>
    <row r="49" spans="1:3">
      <c r="A49" t="s">
        <v>1514</v>
      </c>
      <c r="B49" t="s">
        <v>603</v>
      </c>
      <c r="C49" s="2877">
        <v>9915.7749999999996</v>
      </c>
    </row>
    <row r="50" spans="1:3">
      <c r="A50" t="s">
        <v>1519</v>
      </c>
      <c r="B50" t="s">
        <v>2312</v>
      </c>
      <c r="C50" s="2877">
        <v>1708.8040000000001</v>
      </c>
    </row>
    <row r="51" spans="1:3">
      <c r="A51" t="s">
        <v>423</v>
      </c>
      <c r="B51" t="s">
        <v>2280</v>
      </c>
      <c r="C51" s="2877">
        <v>4960.482</v>
      </c>
    </row>
    <row r="52" spans="1:3">
      <c r="A52" t="s">
        <v>1859</v>
      </c>
      <c r="B52" t="s">
        <v>724</v>
      </c>
      <c r="C52" s="2877">
        <v>18093.348999999998</v>
      </c>
    </row>
    <row r="53" spans="1:3">
      <c r="A53" t="s">
        <v>771</v>
      </c>
      <c r="B53" t="s">
        <v>888</v>
      </c>
      <c r="C53" s="2877">
        <v>14809.903</v>
      </c>
    </row>
    <row r="54" spans="1:3">
      <c r="A54" t="s">
        <v>1314</v>
      </c>
      <c r="B54" t="s">
        <v>2028</v>
      </c>
      <c r="C54" s="2877">
        <v>69246.466</v>
      </c>
    </row>
    <row r="55" spans="1:3">
      <c r="A55" t="s">
        <v>1506</v>
      </c>
      <c r="B55" t="s">
        <v>1932</v>
      </c>
      <c r="C55" s="2877">
        <v>12507.383</v>
      </c>
    </row>
    <row r="56" spans="1:3">
      <c r="A56" t="s">
        <v>1152</v>
      </c>
      <c r="B56" t="s">
        <v>1931</v>
      </c>
      <c r="C56" s="2877">
        <v>4445.7</v>
      </c>
    </row>
    <row r="57" spans="1:3">
      <c r="A57" t="s">
        <v>1407</v>
      </c>
      <c r="B57" t="s">
        <v>2287</v>
      </c>
      <c r="C57" s="2877">
        <v>75192.020999999993</v>
      </c>
    </row>
    <row r="58" spans="1:3">
      <c r="A58" t="s">
        <v>768</v>
      </c>
      <c r="B58" t="s">
        <v>1064</v>
      </c>
      <c r="C58" s="2877">
        <v>10828.715</v>
      </c>
    </row>
    <row r="59" spans="1:3">
      <c r="A59" t="s">
        <v>709</v>
      </c>
      <c r="B59" t="s">
        <v>1934</v>
      </c>
      <c r="C59" s="2877">
        <v>14262.65</v>
      </c>
    </row>
    <row r="60" spans="1:3">
      <c r="A60" t="s">
        <v>1409</v>
      </c>
      <c r="B60" t="s">
        <v>2289</v>
      </c>
      <c r="C60" s="2877">
        <v>105717.40700000001</v>
      </c>
    </row>
    <row r="61" spans="1:3">
      <c r="A61" t="s">
        <v>46</v>
      </c>
      <c r="B61" t="s">
        <v>408</v>
      </c>
      <c r="C61" s="2877">
        <v>25892.841</v>
      </c>
    </row>
    <row r="62" spans="1:3">
      <c r="A62" t="s">
        <v>1507</v>
      </c>
      <c r="B62" t="s">
        <v>1933</v>
      </c>
      <c r="C62" s="2877">
        <v>6354.9769999999999</v>
      </c>
    </row>
    <row r="63" spans="1:3">
      <c r="A63" t="s">
        <v>1210</v>
      </c>
      <c r="B63" t="s">
        <v>2281</v>
      </c>
      <c r="C63" s="2877">
        <v>1149.1890000000001</v>
      </c>
    </row>
    <row r="64" spans="1:3">
      <c r="A64" t="s">
        <v>874</v>
      </c>
      <c r="B64" t="s">
        <v>798</v>
      </c>
      <c r="C64" s="2877">
        <v>1452.096</v>
      </c>
    </row>
    <row r="65" spans="1:3">
      <c r="A65" t="s">
        <v>1211</v>
      </c>
      <c r="B65" t="s">
        <v>2282</v>
      </c>
      <c r="C65" s="2877">
        <v>350.32</v>
      </c>
    </row>
    <row r="66" spans="1:3">
      <c r="A66" t="s">
        <v>575</v>
      </c>
      <c r="B66" t="s">
        <v>1165</v>
      </c>
      <c r="C66" s="2877">
        <v>1575.7159999999999</v>
      </c>
    </row>
    <row r="67" spans="1:3">
      <c r="A67" t="s">
        <v>1212</v>
      </c>
      <c r="B67" t="s">
        <v>2682</v>
      </c>
      <c r="C67" s="2877">
        <v>823.11199999999997</v>
      </c>
    </row>
    <row r="68" spans="1:3">
      <c r="A68" t="s">
        <v>1113</v>
      </c>
      <c r="B68" t="s">
        <v>2683</v>
      </c>
      <c r="C68" s="2877">
        <v>280.18799999999999</v>
      </c>
    </row>
    <row r="69" spans="1:3">
      <c r="A69" t="s">
        <v>1114</v>
      </c>
      <c r="B69" t="s">
        <v>2684</v>
      </c>
      <c r="C69" s="2877">
        <v>915.44399999999996</v>
      </c>
    </row>
    <row r="70" spans="1:3">
      <c r="A70" t="s">
        <v>1901</v>
      </c>
      <c r="B70" t="s">
        <v>2024</v>
      </c>
      <c r="C70" s="2877">
        <v>349.23399999999998</v>
      </c>
    </row>
    <row r="71" spans="1:3">
      <c r="A71" t="s">
        <v>1645</v>
      </c>
      <c r="B71" t="s">
        <v>2685</v>
      </c>
      <c r="C71" s="2877">
        <v>247.28</v>
      </c>
    </row>
    <row r="72" spans="1:3">
      <c r="A72" t="s">
        <v>1646</v>
      </c>
      <c r="B72" t="s">
        <v>2686</v>
      </c>
      <c r="C72" s="2877">
        <v>430.79199999999997</v>
      </c>
    </row>
    <row r="73" spans="1:3">
      <c r="A73" t="s">
        <v>1647</v>
      </c>
      <c r="B73" t="s">
        <v>2687</v>
      </c>
      <c r="C73" s="2877">
        <v>220.77500000000001</v>
      </c>
    </row>
    <row r="74" spans="1:3">
      <c r="A74" t="s">
        <v>885</v>
      </c>
      <c r="B74" t="s">
        <v>2666</v>
      </c>
      <c r="C74" s="2877">
        <v>1253.7429999999999</v>
      </c>
    </row>
    <row r="75" spans="1:3">
      <c r="A75" t="s">
        <v>710</v>
      </c>
      <c r="B75" t="s">
        <v>2379</v>
      </c>
      <c r="C75" s="2877">
        <v>1539.703</v>
      </c>
    </row>
    <row r="76" spans="1:3">
      <c r="A76" t="s">
        <v>2136</v>
      </c>
      <c r="B76" t="s">
        <v>2067</v>
      </c>
      <c r="C76" s="2877">
        <v>778.44799999999998</v>
      </c>
    </row>
    <row r="77" spans="1:3">
      <c r="A77" t="s">
        <v>2638</v>
      </c>
      <c r="B77" t="s">
        <v>1398</v>
      </c>
      <c r="C77" s="2877">
        <v>1917.6510000000001</v>
      </c>
    </row>
    <row r="78" spans="1:3">
      <c r="A78" t="s">
        <v>1096</v>
      </c>
      <c r="B78" t="s">
        <v>1399</v>
      </c>
      <c r="C78" s="2877">
        <v>1476.269</v>
      </c>
    </row>
    <row r="79" spans="1:3">
      <c r="A79" t="s">
        <v>1097</v>
      </c>
      <c r="B79" t="s">
        <v>1400</v>
      </c>
      <c r="C79" s="2877">
        <v>7994.66</v>
      </c>
    </row>
    <row r="80" spans="1:3">
      <c r="A80" t="s">
        <v>1124</v>
      </c>
      <c r="B80" t="s">
        <v>2486</v>
      </c>
      <c r="C80" s="2877">
        <v>3630.3910000000001</v>
      </c>
    </row>
    <row r="81" spans="1:3">
      <c r="A81" t="s">
        <v>2137</v>
      </c>
      <c r="B81" t="s">
        <v>266</v>
      </c>
      <c r="C81" s="2877">
        <v>977.101</v>
      </c>
    </row>
    <row r="82" spans="1:3">
      <c r="A82" t="s">
        <v>984</v>
      </c>
      <c r="B82" t="s">
        <v>289</v>
      </c>
      <c r="C82" s="2877">
        <v>161.732</v>
      </c>
    </row>
    <row r="83" spans="1:3">
      <c r="A83" t="s">
        <v>842</v>
      </c>
      <c r="B83" t="s">
        <v>2487</v>
      </c>
      <c r="C83" s="2877">
        <v>605.14599999999996</v>
      </c>
    </row>
    <row r="84" spans="1:3">
      <c r="A84" t="s">
        <v>1125</v>
      </c>
      <c r="B84" t="s">
        <v>2488</v>
      </c>
      <c r="C84" s="2877">
        <v>2325.5189999999998</v>
      </c>
    </row>
    <row r="85" spans="1:3">
      <c r="A85" t="s">
        <v>1126</v>
      </c>
      <c r="B85" t="s">
        <v>2381</v>
      </c>
      <c r="C85" s="2877">
        <v>175.54599999999999</v>
      </c>
    </row>
    <row r="86" spans="1:3">
      <c r="A86" t="s">
        <v>843</v>
      </c>
      <c r="B86" t="s">
        <v>2489</v>
      </c>
      <c r="C86" s="2877">
        <v>180.36199999999999</v>
      </c>
    </row>
    <row r="87" spans="1:3">
      <c r="A87" t="s">
        <v>179</v>
      </c>
      <c r="B87" t="s">
        <v>1052</v>
      </c>
      <c r="C87" s="2877">
        <v>19620.701000000001</v>
      </c>
    </row>
    <row r="88" spans="1:3">
      <c r="A88" t="s">
        <v>919</v>
      </c>
      <c r="B88" t="s">
        <v>2490</v>
      </c>
      <c r="C88" s="2877">
        <v>7704.7460000000001</v>
      </c>
    </row>
    <row r="89" spans="1:3">
      <c r="A89" t="s">
        <v>711</v>
      </c>
      <c r="B89" t="s">
        <v>2662</v>
      </c>
      <c r="C89" s="2877">
        <v>1099.011</v>
      </c>
    </row>
    <row r="90" spans="1:3">
      <c r="A90" t="s">
        <v>1157</v>
      </c>
      <c r="B90" t="s">
        <v>2491</v>
      </c>
      <c r="C90" s="2877">
        <v>15890.415999999999</v>
      </c>
    </row>
    <row r="91" spans="1:3">
      <c r="A91" t="s">
        <v>1158</v>
      </c>
      <c r="B91" t="s">
        <v>2492</v>
      </c>
      <c r="C91" s="2877">
        <v>2347.8710000000001</v>
      </c>
    </row>
    <row r="92" spans="1:3">
      <c r="A92" t="s">
        <v>1435</v>
      </c>
      <c r="B92" t="s">
        <v>1548</v>
      </c>
      <c r="C92" s="2877">
        <v>3898.0230000000001</v>
      </c>
    </row>
    <row r="93" spans="1:3">
      <c r="A93" t="s">
        <v>207</v>
      </c>
      <c r="B93" t="s">
        <v>273</v>
      </c>
      <c r="C93" s="2877">
        <v>20447.485000000001</v>
      </c>
    </row>
    <row r="94" spans="1:3">
      <c r="A94" t="s">
        <v>1159</v>
      </c>
      <c r="B94" t="s">
        <v>2493</v>
      </c>
      <c r="C94" s="2877">
        <v>260.84800000000001</v>
      </c>
    </row>
    <row r="95" spans="1:3">
      <c r="A95" t="s">
        <v>578</v>
      </c>
      <c r="B95" t="s">
        <v>1169</v>
      </c>
      <c r="C95" s="2877">
        <v>11044.411</v>
      </c>
    </row>
    <row r="96" spans="1:3">
      <c r="A96" t="s">
        <v>882</v>
      </c>
      <c r="B96" t="s">
        <v>2636</v>
      </c>
      <c r="C96" s="2877">
        <v>17940.264999999999</v>
      </c>
    </row>
    <row r="97" spans="1:3">
      <c r="A97" t="s">
        <v>2549</v>
      </c>
      <c r="B97" t="s">
        <v>2494</v>
      </c>
      <c r="C97" s="2877">
        <v>279.322</v>
      </c>
    </row>
    <row r="98" spans="1:3">
      <c r="A98" t="s">
        <v>400</v>
      </c>
      <c r="B98" t="s">
        <v>2495</v>
      </c>
      <c r="C98" s="2877">
        <v>1600.7449999999999</v>
      </c>
    </row>
    <row r="99" spans="1:3">
      <c r="A99" t="s">
        <v>401</v>
      </c>
      <c r="B99" t="s">
        <v>1589</v>
      </c>
      <c r="C99" s="2877">
        <v>237.857</v>
      </c>
    </row>
    <row r="100" spans="1:3">
      <c r="A100" t="s">
        <v>402</v>
      </c>
      <c r="B100" t="s">
        <v>1590</v>
      </c>
      <c r="C100" s="2877">
        <v>129.46299999999999</v>
      </c>
    </row>
    <row r="101" spans="1:3">
      <c r="A101" t="s">
        <v>403</v>
      </c>
      <c r="B101" t="s">
        <v>1591</v>
      </c>
      <c r="C101" s="2877">
        <v>327.16199999999998</v>
      </c>
    </row>
    <row r="102" spans="1:3">
      <c r="A102" t="s">
        <v>669</v>
      </c>
      <c r="B102" t="s">
        <v>1592</v>
      </c>
      <c r="C102" s="2877">
        <v>2157.1619999999998</v>
      </c>
    </row>
    <row r="103" spans="1:3">
      <c r="A103" t="s">
        <v>670</v>
      </c>
      <c r="B103" t="s">
        <v>1593</v>
      </c>
      <c r="C103" s="2877">
        <v>1524.5989999999999</v>
      </c>
    </row>
    <row r="104" spans="1:3">
      <c r="A104" t="s">
        <v>671</v>
      </c>
      <c r="B104" t="s">
        <v>1594</v>
      </c>
      <c r="C104" s="2877">
        <v>4337.4889999999996</v>
      </c>
    </row>
    <row r="105" spans="1:3">
      <c r="A105" t="s">
        <v>876</v>
      </c>
      <c r="B105" t="s">
        <v>1343</v>
      </c>
      <c r="C105" s="2877">
        <v>400.11099999999999</v>
      </c>
    </row>
    <row r="106" spans="1:3">
      <c r="A106" t="s">
        <v>2528</v>
      </c>
      <c r="B106" t="s">
        <v>2068</v>
      </c>
      <c r="C106" s="2877">
        <v>425.30599999999998</v>
      </c>
    </row>
    <row r="107" spans="1:3">
      <c r="A107" t="s">
        <v>1187</v>
      </c>
      <c r="B107" t="s">
        <v>2675</v>
      </c>
      <c r="C107" s="2877">
        <v>332.19099999999997</v>
      </c>
    </row>
    <row r="108" spans="1:3">
      <c r="A108" t="s">
        <v>712</v>
      </c>
      <c r="B108" t="s">
        <v>2416</v>
      </c>
      <c r="C108" s="2877">
        <v>291.15899999999999</v>
      </c>
    </row>
    <row r="109" spans="1:3">
      <c r="A109" t="s">
        <v>769</v>
      </c>
      <c r="B109" t="s">
        <v>1063</v>
      </c>
      <c r="C109" s="2877">
        <v>1766.624</v>
      </c>
    </row>
    <row r="110" spans="1:3">
      <c r="A110" t="s">
        <v>672</v>
      </c>
      <c r="B110" t="s">
        <v>1595</v>
      </c>
      <c r="C110" s="2877">
        <v>2408.8890000000001</v>
      </c>
    </row>
    <row r="111" spans="1:3">
      <c r="A111" t="s">
        <v>673</v>
      </c>
      <c r="B111" t="s">
        <v>1596</v>
      </c>
      <c r="C111" s="2877">
        <v>768.78499999999997</v>
      </c>
    </row>
    <row r="112" spans="1:3">
      <c r="A112" t="s">
        <v>674</v>
      </c>
      <c r="B112" t="s">
        <v>1597</v>
      </c>
      <c r="C112" s="2877">
        <v>766.90200000000004</v>
      </c>
    </row>
    <row r="113" spans="1:3">
      <c r="A113" t="s">
        <v>1885</v>
      </c>
      <c r="B113" t="s">
        <v>133</v>
      </c>
      <c r="C113" s="2877">
        <v>4333.4459999999999</v>
      </c>
    </row>
    <row r="114" spans="1:3">
      <c r="A114" t="s">
        <v>348</v>
      </c>
      <c r="B114" t="s">
        <v>291</v>
      </c>
      <c r="C114" s="2877">
        <v>4735.5519999999997</v>
      </c>
    </row>
    <row r="115" spans="1:3">
      <c r="A115" t="s">
        <v>456</v>
      </c>
      <c r="B115" t="s">
        <v>2227</v>
      </c>
      <c r="C115" s="2877">
        <v>5653.9830000000002</v>
      </c>
    </row>
    <row r="116" spans="1:3">
      <c r="A116" t="s">
        <v>1154</v>
      </c>
      <c r="B116" t="s">
        <v>838</v>
      </c>
      <c r="C116" s="2877">
        <v>1929.527</v>
      </c>
    </row>
    <row r="117" spans="1:3">
      <c r="A117" t="s">
        <v>2306</v>
      </c>
      <c r="B117" t="s">
        <v>1598</v>
      </c>
      <c r="C117" s="2877">
        <v>346.72300000000001</v>
      </c>
    </row>
    <row r="118" spans="1:3">
      <c r="A118" t="s">
        <v>1359</v>
      </c>
      <c r="B118" t="s">
        <v>1027</v>
      </c>
      <c r="C118" s="2877">
        <v>5348.3559999999998</v>
      </c>
    </row>
    <row r="119" spans="1:3">
      <c r="A119" t="s">
        <v>2341</v>
      </c>
      <c r="B119" t="s">
        <v>1600</v>
      </c>
      <c r="C119" s="2877">
        <v>655.73599999999999</v>
      </c>
    </row>
    <row r="120" spans="1:3">
      <c r="A120" t="s">
        <v>713</v>
      </c>
      <c r="B120" t="s">
        <v>31</v>
      </c>
      <c r="C120" s="2877">
        <v>1958.9670000000001</v>
      </c>
    </row>
    <row r="121" spans="1:3">
      <c r="A121" t="s">
        <v>148</v>
      </c>
      <c r="B121" t="s">
        <v>1601</v>
      </c>
      <c r="C121" s="2877">
        <v>577.23800000000006</v>
      </c>
    </row>
    <row r="122" spans="1:3">
      <c r="A122" t="s">
        <v>1829</v>
      </c>
      <c r="B122" t="s">
        <v>1602</v>
      </c>
      <c r="C122" s="2877">
        <v>615.45600000000002</v>
      </c>
    </row>
    <row r="123" spans="1:3">
      <c r="A123" t="s">
        <v>881</v>
      </c>
      <c r="B123" t="s">
        <v>2635</v>
      </c>
      <c r="C123" s="2877">
        <v>64224.125999999997</v>
      </c>
    </row>
    <row r="124" spans="1:3">
      <c r="A124" t="s">
        <v>1860</v>
      </c>
      <c r="B124" t="s">
        <v>34</v>
      </c>
      <c r="C124" s="2877">
        <v>22028.572</v>
      </c>
    </row>
    <row r="125" spans="1:3">
      <c r="A125" t="s">
        <v>57</v>
      </c>
      <c r="B125" t="s">
        <v>1881</v>
      </c>
      <c r="C125" s="2877">
        <v>4499.7730000000001</v>
      </c>
    </row>
    <row r="126" spans="1:3">
      <c r="A126" t="s">
        <v>2283</v>
      </c>
      <c r="B126" t="s">
        <v>36</v>
      </c>
      <c r="C126" s="2877">
        <v>11734.455</v>
      </c>
    </row>
    <row r="127" spans="1:3">
      <c r="A127" t="s">
        <v>1679</v>
      </c>
      <c r="B127" t="s">
        <v>1603</v>
      </c>
      <c r="C127" s="2877">
        <v>3209.0619999999999</v>
      </c>
    </row>
    <row r="128" spans="1:3">
      <c r="A128" t="s">
        <v>714</v>
      </c>
      <c r="B128" t="s">
        <v>2694</v>
      </c>
      <c r="C128" s="2877">
        <v>3173.172</v>
      </c>
    </row>
    <row r="129" spans="1:3">
      <c r="A129" t="s">
        <v>1315</v>
      </c>
      <c r="B129" t="s">
        <v>39</v>
      </c>
      <c r="C129" s="2877">
        <v>14107.572</v>
      </c>
    </row>
    <row r="130" spans="1:3">
      <c r="A130" t="s">
        <v>715</v>
      </c>
      <c r="B130" t="s">
        <v>86</v>
      </c>
      <c r="C130" s="2877">
        <v>1043.798</v>
      </c>
    </row>
    <row r="131" spans="1:3">
      <c r="A131" t="s">
        <v>492</v>
      </c>
      <c r="B131" t="s">
        <v>87</v>
      </c>
      <c r="C131" s="2877">
        <v>1774.126</v>
      </c>
    </row>
    <row r="132" spans="1:3">
      <c r="A132" t="s">
        <v>933</v>
      </c>
      <c r="B132" t="s">
        <v>1604</v>
      </c>
      <c r="C132" s="2877">
        <v>3257.444</v>
      </c>
    </row>
    <row r="133" spans="1:3">
      <c r="A133" t="s">
        <v>934</v>
      </c>
      <c r="B133" t="s">
        <v>1605</v>
      </c>
      <c r="C133" s="2877">
        <v>226.79400000000001</v>
      </c>
    </row>
    <row r="134" spans="1:3">
      <c r="A134" t="s">
        <v>776</v>
      </c>
      <c r="B134" t="s">
        <v>2169</v>
      </c>
      <c r="C134" s="2877">
        <v>1109.711</v>
      </c>
    </row>
    <row r="135" spans="1:3">
      <c r="A135" t="s">
        <v>1806</v>
      </c>
      <c r="B135" t="s">
        <v>2170</v>
      </c>
      <c r="C135" s="2877">
        <v>578.745</v>
      </c>
    </row>
    <row r="136" spans="1:3">
      <c r="A136" t="s">
        <v>1725</v>
      </c>
      <c r="B136" t="s">
        <v>2171</v>
      </c>
      <c r="C136" s="2877">
        <v>2435.4810000000002</v>
      </c>
    </row>
    <row r="137" spans="1:3">
      <c r="A137" t="s">
        <v>1726</v>
      </c>
      <c r="B137" t="s">
        <v>2172</v>
      </c>
      <c r="C137" s="2877">
        <v>255.203</v>
      </c>
    </row>
    <row r="138" spans="1:3">
      <c r="A138" t="s">
        <v>743</v>
      </c>
      <c r="B138" t="s">
        <v>2173</v>
      </c>
      <c r="C138" s="2877">
        <v>1486.4580000000001</v>
      </c>
    </row>
    <row r="139" spans="1:3">
      <c r="A139" t="s">
        <v>744</v>
      </c>
      <c r="B139" t="s">
        <v>1028</v>
      </c>
      <c r="C139" s="2877">
        <v>1231.7239999999999</v>
      </c>
    </row>
    <row r="140" spans="1:3">
      <c r="A140" t="s">
        <v>1875</v>
      </c>
      <c r="B140" t="s">
        <v>821</v>
      </c>
      <c r="C140" s="2877">
        <v>636.81399999999996</v>
      </c>
    </row>
    <row r="141" spans="1:3">
      <c r="A141" t="s">
        <v>745</v>
      </c>
      <c r="B141" t="s">
        <v>1706</v>
      </c>
      <c r="C141" s="2877">
        <v>1493.6</v>
      </c>
    </row>
    <row r="142" spans="1:3">
      <c r="A142" t="s">
        <v>1952</v>
      </c>
      <c r="B142" t="s">
        <v>1708</v>
      </c>
      <c r="C142" s="2877">
        <v>448.95800000000003</v>
      </c>
    </row>
    <row r="143" spans="1:3">
      <c r="A143" t="s">
        <v>1953</v>
      </c>
      <c r="B143" t="s">
        <v>1709</v>
      </c>
      <c r="C143" s="2877">
        <v>1732.61</v>
      </c>
    </row>
    <row r="144" spans="1:3">
      <c r="A144" t="s">
        <v>2431</v>
      </c>
      <c r="B144" t="s">
        <v>1710</v>
      </c>
      <c r="C144" s="2877">
        <v>484.12900000000002</v>
      </c>
    </row>
    <row r="145" spans="1:3">
      <c r="A145" t="s">
        <v>2539</v>
      </c>
      <c r="B145" t="s">
        <v>389</v>
      </c>
      <c r="C145" s="2877">
        <v>333.13200000000001</v>
      </c>
    </row>
    <row r="146" spans="1:3">
      <c r="A146" t="s">
        <v>1640</v>
      </c>
      <c r="B146" t="s">
        <v>1055</v>
      </c>
      <c r="C146" s="2877">
        <v>1937.857</v>
      </c>
    </row>
    <row r="147" spans="1:3">
      <c r="A147" t="s">
        <v>2432</v>
      </c>
      <c r="B147" t="s">
        <v>1711</v>
      </c>
      <c r="C147" s="2877">
        <v>4283.33</v>
      </c>
    </row>
    <row r="148" spans="1:3">
      <c r="A148" t="s">
        <v>285</v>
      </c>
      <c r="B148" t="s">
        <v>2369</v>
      </c>
      <c r="C148" s="2877">
        <v>1812.16</v>
      </c>
    </row>
    <row r="149" spans="1:3">
      <c r="A149" t="s">
        <v>1469</v>
      </c>
      <c r="B149" t="s">
        <v>1499</v>
      </c>
      <c r="C149" s="2877">
        <v>1006.771</v>
      </c>
    </row>
    <row r="150" spans="1:3">
      <c r="A150" t="s">
        <v>43</v>
      </c>
      <c r="B150" t="s">
        <v>405</v>
      </c>
      <c r="C150" s="2877">
        <v>6093.8969999999999</v>
      </c>
    </row>
    <row r="151" spans="1:3">
      <c r="A151" t="s">
        <v>1311</v>
      </c>
      <c r="B151" t="s">
        <v>614</v>
      </c>
      <c r="C151" s="2877">
        <v>2592.453</v>
      </c>
    </row>
    <row r="152" spans="1:3">
      <c r="A152" t="s">
        <v>2542</v>
      </c>
      <c r="B152" t="s">
        <v>1143</v>
      </c>
      <c r="C152" s="2877">
        <v>721.96100000000001</v>
      </c>
    </row>
    <row r="153" spans="1:3">
      <c r="A153" t="s">
        <v>1470</v>
      </c>
      <c r="B153" t="s">
        <v>25</v>
      </c>
      <c r="C153" s="2877">
        <v>528.40800000000002</v>
      </c>
    </row>
    <row r="154" spans="1:3">
      <c r="A154" t="s">
        <v>71</v>
      </c>
      <c r="B154" t="s">
        <v>2185</v>
      </c>
      <c r="C154" s="2877">
        <v>1726.8330000000001</v>
      </c>
    </row>
    <row r="155" spans="1:3">
      <c r="A155" t="s">
        <v>1110</v>
      </c>
      <c r="B155" t="s">
        <v>26</v>
      </c>
      <c r="C155" s="2877">
        <v>229.834</v>
      </c>
    </row>
    <row r="156" spans="1:3">
      <c r="A156" t="s">
        <v>2167</v>
      </c>
      <c r="B156" t="s">
        <v>1920</v>
      </c>
      <c r="C156" s="2877">
        <v>1484.5830000000001</v>
      </c>
    </row>
    <row r="157" spans="1:3">
      <c r="A157" t="s">
        <v>716</v>
      </c>
      <c r="B157" t="s">
        <v>997</v>
      </c>
      <c r="C157" s="2877">
        <v>700.505</v>
      </c>
    </row>
    <row r="158" spans="1:3">
      <c r="A158" t="s">
        <v>2168</v>
      </c>
      <c r="B158" t="s">
        <v>1921</v>
      </c>
      <c r="C158" s="2877">
        <v>281.113</v>
      </c>
    </row>
    <row r="159" spans="1:3">
      <c r="A159" t="s">
        <v>1670</v>
      </c>
      <c r="B159" t="s">
        <v>1922</v>
      </c>
      <c r="C159" s="2877">
        <v>241.416</v>
      </c>
    </row>
    <row r="160" spans="1:3">
      <c r="A160" t="s">
        <v>1671</v>
      </c>
      <c r="B160" t="s">
        <v>2154</v>
      </c>
      <c r="C160" s="2877">
        <v>751.76900000000001</v>
      </c>
    </row>
    <row r="161" spans="1:3">
      <c r="A161" t="s">
        <v>795</v>
      </c>
      <c r="B161" t="s">
        <v>1029</v>
      </c>
      <c r="C161" s="2877">
        <v>603.24199999999996</v>
      </c>
    </row>
    <row r="162" spans="1:3">
      <c r="A162" t="s">
        <v>796</v>
      </c>
      <c r="B162" t="s">
        <v>2156</v>
      </c>
      <c r="C162" s="2877">
        <v>641.24900000000002</v>
      </c>
    </row>
    <row r="163" spans="1:3">
      <c r="A163" t="s">
        <v>815</v>
      </c>
      <c r="B163" t="s">
        <v>2157</v>
      </c>
      <c r="C163" s="2877">
        <v>473.69400000000002</v>
      </c>
    </row>
    <row r="164" spans="1:3">
      <c r="A164" t="s">
        <v>577</v>
      </c>
      <c r="B164" t="s">
        <v>1168</v>
      </c>
      <c r="C164" s="2877">
        <v>1371.1890000000001</v>
      </c>
    </row>
    <row r="165" spans="1:3">
      <c r="A165" t="s">
        <v>2368</v>
      </c>
      <c r="B165" t="s">
        <v>84</v>
      </c>
      <c r="C165" s="2877">
        <v>560.81500000000005</v>
      </c>
    </row>
    <row r="166" spans="1:3">
      <c r="A166" t="s">
        <v>816</v>
      </c>
      <c r="B166" t="s">
        <v>1030</v>
      </c>
      <c r="C166" s="2877">
        <v>334.08499999999998</v>
      </c>
    </row>
    <row r="167" spans="1:3">
      <c r="A167" t="s">
        <v>1736</v>
      </c>
      <c r="B167" t="s">
        <v>2159</v>
      </c>
      <c r="C167" s="2877">
        <v>229.167</v>
      </c>
    </row>
    <row r="168" spans="1:3">
      <c r="A168" t="s">
        <v>584</v>
      </c>
      <c r="B168" t="s">
        <v>1957</v>
      </c>
      <c r="C168" s="2877">
        <v>20055.776000000002</v>
      </c>
    </row>
    <row r="169" spans="1:3">
      <c r="A169" t="s">
        <v>1641</v>
      </c>
      <c r="B169" t="s">
        <v>1056</v>
      </c>
      <c r="C169" s="2877">
        <v>2698.2629999999999</v>
      </c>
    </row>
    <row r="170" spans="1:3">
      <c r="A170" t="s">
        <v>2502</v>
      </c>
      <c r="B170" t="s">
        <v>658</v>
      </c>
      <c r="C170" s="2877">
        <v>2360.4029999999998</v>
      </c>
    </row>
    <row r="171" spans="1:3">
      <c r="A171" t="s">
        <v>1687</v>
      </c>
      <c r="B171" t="s">
        <v>108</v>
      </c>
      <c r="C171" s="2877">
        <v>1848.2080000000001</v>
      </c>
    </row>
    <row r="172" spans="1:3">
      <c r="A172" t="s">
        <v>1425</v>
      </c>
      <c r="B172" t="s">
        <v>1477</v>
      </c>
      <c r="C172" s="2877">
        <v>33616.667000000001</v>
      </c>
    </row>
    <row r="173" spans="1:3">
      <c r="A173" t="s">
        <v>2530</v>
      </c>
      <c r="B173" t="s">
        <v>820</v>
      </c>
      <c r="C173" s="2877">
        <v>26500.67</v>
      </c>
    </row>
    <row r="174" spans="1:3">
      <c r="A174" t="s">
        <v>649</v>
      </c>
      <c r="B174" t="s">
        <v>2199</v>
      </c>
      <c r="C174" s="2877">
        <v>1577.8579999999999</v>
      </c>
    </row>
    <row r="175" spans="1:3">
      <c r="A175" t="s">
        <v>650</v>
      </c>
      <c r="B175" t="s">
        <v>2200</v>
      </c>
      <c r="C175" s="2877">
        <v>62541.911</v>
      </c>
    </row>
    <row r="176" spans="1:3">
      <c r="A176" t="s">
        <v>218</v>
      </c>
      <c r="B176" t="s">
        <v>74</v>
      </c>
      <c r="C176" s="2877">
        <v>3620.335</v>
      </c>
    </row>
    <row r="177" spans="1:3">
      <c r="A177" t="s">
        <v>1583</v>
      </c>
      <c r="B177" t="s">
        <v>76</v>
      </c>
      <c r="C177" s="2877">
        <v>3320.4749999999999</v>
      </c>
    </row>
    <row r="178" spans="1:3">
      <c r="A178" t="s">
        <v>1184</v>
      </c>
      <c r="B178" t="s">
        <v>1132</v>
      </c>
      <c r="C178" s="2877">
        <v>12819.128000000001</v>
      </c>
    </row>
    <row r="179" spans="1:3">
      <c r="A179" t="s">
        <v>878</v>
      </c>
      <c r="B179" t="s">
        <v>1345</v>
      </c>
      <c r="C179" s="2877">
        <v>907.92</v>
      </c>
    </row>
    <row r="180" spans="1:3">
      <c r="A180" t="s">
        <v>1438</v>
      </c>
      <c r="B180" t="s">
        <v>1551</v>
      </c>
      <c r="C180" s="2877">
        <v>2027.93</v>
      </c>
    </row>
    <row r="181" spans="1:3">
      <c r="A181" t="s">
        <v>253</v>
      </c>
      <c r="B181" t="s">
        <v>2201</v>
      </c>
      <c r="C181" s="2877">
        <v>3045.277</v>
      </c>
    </row>
    <row r="182" spans="1:3">
      <c r="A182" t="s">
        <v>254</v>
      </c>
      <c r="B182" t="s">
        <v>2202</v>
      </c>
      <c r="C182" s="2877">
        <v>986.05899999999997</v>
      </c>
    </row>
    <row r="183" spans="1:3">
      <c r="A183" t="s">
        <v>588</v>
      </c>
      <c r="B183" t="s">
        <v>2203</v>
      </c>
      <c r="C183" s="2877">
        <v>269.85000000000002</v>
      </c>
    </row>
    <row r="184" spans="1:3">
      <c r="A184" t="s">
        <v>1436</v>
      </c>
      <c r="B184" t="s">
        <v>1549</v>
      </c>
      <c r="C184" s="2877">
        <v>2058.2069999999999</v>
      </c>
    </row>
    <row r="185" spans="1:3">
      <c r="A185" t="s">
        <v>589</v>
      </c>
      <c r="B185" t="s">
        <v>1031</v>
      </c>
      <c r="C185" s="2877">
        <v>1945.607</v>
      </c>
    </row>
    <row r="186" spans="1:3">
      <c r="A186" t="s">
        <v>27</v>
      </c>
      <c r="B186" t="s">
        <v>2205</v>
      </c>
      <c r="C186" s="2877">
        <v>886.15200000000004</v>
      </c>
    </row>
    <row r="187" spans="1:3">
      <c r="A187" t="s">
        <v>28</v>
      </c>
      <c r="B187" t="s">
        <v>2206</v>
      </c>
      <c r="C187" s="2877">
        <v>8575.7999999999993</v>
      </c>
    </row>
    <row r="188" spans="1:3">
      <c r="A188" t="s">
        <v>1265</v>
      </c>
      <c r="B188" t="s">
        <v>2207</v>
      </c>
      <c r="C188" s="2877">
        <v>18349.205000000002</v>
      </c>
    </row>
    <row r="189" spans="1:3">
      <c r="A189" t="s">
        <v>2315</v>
      </c>
      <c r="B189" t="s">
        <v>2208</v>
      </c>
      <c r="C189" s="2877">
        <v>1797.2090000000001</v>
      </c>
    </row>
    <row r="190" spans="1:3">
      <c r="A190" t="s">
        <v>2409</v>
      </c>
      <c r="B190" t="s">
        <v>2665</v>
      </c>
      <c r="C190" s="2877">
        <v>982.55200000000002</v>
      </c>
    </row>
    <row r="191" spans="1:3">
      <c r="A191" t="s">
        <v>2342</v>
      </c>
      <c r="B191" t="s">
        <v>1733</v>
      </c>
      <c r="C191" s="2877">
        <v>354.71100000000001</v>
      </c>
    </row>
    <row r="192" spans="1:3">
      <c r="A192" t="s">
        <v>2316</v>
      </c>
      <c r="B192" t="s">
        <v>2209</v>
      </c>
      <c r="C192" s="2877">
        <v>241.982</v>
      </c>
    </row>
    <row r="193" spans="1:3">
      <c r="A193" t="s">
        <v>2317</v>
      </c>
      <c r="B193" t="s">
        <v>1032</v>
      </c>
      <c r="C193" s="2877">
        <v>508.07900000000001</v>
      </c>
    </row>
    <row r="194" spans="1:3">
      <c r="A194" t="s">
        <v>300</v>
      </c>
      <c r="B194" t="s">
        <v>2211</v>
      </c>
      <c r="C194" s="2877">
        <v>269.45999999999998</v>
      </c>
    </row>
    <row r="195" spans="1:3">
      <c r="A195" t="s">
        <v>1427</v>
      </c>
      <c r="B195" t="s">
        <v>1479</v>
      </c>
      <c r="C195" s="2877">
        <v>3575.877</v>
      </c>
    </row>
    <row r="196" spans="1:3">
      <c r="A196" t="s">
        <v>301</v>
      </c>
      <c r="B196" t="s">
        <v>2212</v>
      </c>
      <c r="C196" s="2877">
        <v>740.40499999999997</v>
      </c>
    </row>
    <row r="197" spans="1:3">
      <c r="A197" t="s">
        <v>2503</v>
      </c>
      <c r="B197" t="s">
        <v>2364</v>
      </c>
      <c r="C197" s="2877">
        <v>991.38900000000001</v>
      </c>
    </row>
    <row r="198" spans="1:3">
      <c r="A198" t="s">
        <v>302</v>
      </c>
      <c r="B198" t="s">
        <v>2213</v>
      </c>
      <c r="C198" s="2877">
        <v>1595.134</v>
      </c>
    </row>
    <row r="199" spans="1:3">
      <c r="A199" t="s">
        <v>303</v>
      </c>
      <c r="B199" t="s">
        <v>2214</v>
      </c>
      <c r="C199" s="2877">
        <v>674.23500000000001</v>
      </c>
    </row>
    <row r="200" spans="1:3">
      <c r="A200" t="s">
        <v>304</v>
      </c>
      <c r="B200" t="s">
        <v>2215</v>
      </c>
      <c r="C200" s="2877">
        <v>712.51800000000003</v>
      </c>
    </row>
    <row r="201" spans="1:3">
      <c r="A201" t="s">
        <v>1743</v>
      </c>
      <c r="B201" t="s">
        <v>2216</v>
      </c>
      <c r="C201" s="2877">
        <v>135.309</v>
      </c>
    </row>
    <row r="202" spans="1:3">
      <c r="A202" t="s">
        <v>1744</v>
      </c>
      <c r="B202" t="s">
        <v>2217</v>
      </c>
      <c r="C202" s="2877">
        <v>123.004</v>
      </c>
    </row>
    <row r="203" spans="1:3">
      <c r="A203" t="s">
        <v>1316</v>
      </c>
      <c r="B203" t="s">
        <v>2218</v>
      </c>
      <c r="C203" s="2877">
        <v>445.31900000000002</v>
      </c>
    </row>
    <row r="204" spans="1:3">
      <c r="A204" t="s">
        <v>1107</v>
      </c>
      <c r="B204" t="s">
        <v>2219</v>
      </c>
      <c r="C204" s="2877">
        <v>3493.2809999999999</v>
      </c>
    </row>
    <row r="205" spans="1:3">
      <c r="A205" t="s">
        <v>2148</v>
      </c>
      <c r="B205" t="s">
        <v>261</v>
      </c>
      <c r="C205" s="2877">
        <v>282.66899999999998</v>
      </c>
    </row>
    <row r="206" spans="1:3">
      <c r="A206" t="s">
        <v>1108</v>
      </c>
      <c r="B206" t="s">
        <v>2220</v>
      </c>
      <c r="C206" s="2877">
        <v>240.142</v>
      </c>
    </row>
    <row r="207" spans="1:3">
      <c r="A207" t="s">
        <v>2398</v>
      </c>
      <c r="B207" t="s">
        <v>2573</v>
      </c>
      <c r="C207" s="2877">
        <v>9011.5750000000007</v>
      </c>
    </row>
    <row r="208" spans="1:3">
      <c r="A208" t="s">
        <v>1109</v>
      </c>
      <c r="B208" t="s">
        <v>2221</v>
      </c>
      <c r="C208" s="2877">
        <v>469.94200000000001</v>
      </c>
    </row>
    <row r="209" spans="1:3">
      <c r="A209" t="s">
        <v>681</v>
      </c>
      <c r="B209" t="s">
        <v>2222</v>
      </c>
      <c r="C209" s="2877">
        <v>1466.105</v>
      </c>
    </row>
    <row r="210" spans="1:3">
      <c r="A210" t="s">
        <v>682</v>
      </c>
      <c r="B210" t="s">
        <v>1033</v>
      </c>
      <c r="C210" s="2877">
        <v>1240.693</v>
      </c>
    </row>
    <row r="211" spans="1:3">
      <c r="A211" t="s">
        <v>683</v>
      </c>
      <c r="B211" t="s">
        <v>1034</v>
      </c>
      <c r="C211" s="2877">
        <v>761.45500000000004</v>
      </c>
    </row>
    <row r="212" spans="1:3">
      <c r="A212" t="s">
        <v>684</v>
      </c>
      <c r="B212" t="s">
        <v>664</v>
      </c>
      <c r="C212" s="2877">
        <v>539.65800000000002</v>
      </c>
    </row>
    <row r="213" spans="1:3">
      <c r="A213" t="s">
        <v>392</v>
      </c>
      <c r="B213" t="s">
        <v>665</v>
      </c>
      <c r="C213" s="2877">
        <v>974.29499999999996</v>
      </c>
    </row>
    <row r="214" spans="1:3">
      <c r="A214" t="s">
        <v>2559</v>
      </c>
      <c r="B214" t="s">
        <v>122</v>
      </c>
      <c r="C214" s="2877">
        <v>919.84699999999998</v>
      </c>
    </row>
    <row r="215" spans="1:3">
      <c r="A215" t="s">
        <v>2560</v>
      </c>
      <c r="B215" t="s">
        <v>123</v>
      </c>
      <c r="C215" s="2877">
        <v>2097.7240000000002</v>
      </c>
    </row>
    <row r="216" spans="1:3">
      <c r="A216" t="s">
        <v>2561</v>
      </c>
      <c r="B216" t="s">
        <v>124</v>
      </c>
      <c r="C216" s="2877">
        <v>292.392</v>
      </c>
    </row>
    <row r="217" spans="1:3">
      <c r="A217" t="s">
        <v>1642</v>
      </c>
      <c r="B217" t="s">
        <v>125</v>
      </c>
      <c r="C217" s="2877">
        <v>31772.513999999999</v>
      </c>
    </row>
    <row r="218" spans="1:3">
      <c r="A218" t="s">
        <v>385</v>
      </c>
      <c r="B218" t="s">
        <v>126</v>
      </c>
      <c r="C218" s="2877">
        <v>9673.51</v>
      </c>
    </row>
    <row r="219" spans="1:3">
      <c r="A219" t="s">
        <v>386</v>
      </c>
      <c r="B219" t="s">
        <v>127</v>
      </c>
      <c r="C219" s="2877">
        <v>199280.408</v>
      </c>
    </row>
    <row r="220" spans="1:3">
      <c r="A220" t="s">
        <v>387</v>
      </c>
      <c r="B220" t="s">
        <v>128</v>
      </c>
      <c r="C220" s="2877">
        <v>11014.474</v>
      </c>
    </row>
    <row r="221" spans="1:3">
      <c r="A221" t="s">
        <v>388</v>
      </c>
      <c r="B221" t="s">
        <v>129</v>
      </c>
      <c r="C221" s="2877">
        <v>15865.700999999999</v>
      </c>
    </row>
    <row r="222" spans="1:3">
      <c r="A222" t="s">
        <v>2578</v>
      </c>
      <c r="B222" t="s">
        <v>1482</v>
      </c>
      <c r="C222" s="2877">
        <v>69683.922000000006</v>
      </c>
    </row>
    <row r="223" spans="1:3">
      <c r="A223" t="s">
        <v>666</v>
      </c>
      <c r="B223" t="s">
        <v>863</v>
      </c>
      <c r="C223" s="2877">
        <v>31602.432000000001</v>
      </c>
    </row>
    <row r="224" spans="1:3">
      <c r="A224" t="s">
        <v>533</v>
      </c>
      <c r="B224" t="s">
        <v>130</v>
      </c>
      <c r="C224" s="2877">
        <v>6851.268</v>
      </c>
    </row>
    <row r="225" spans="1:3">
      <c r="A225" t="s">
        <v>41</v>
      </c>
      <c r="B225" t="s">
        <v>1269</v>
      </c>
      <c r="C225" s="2877">
        <v>41395.993000000002</v>
      </c>
    </row>
    <row r="226" spans="1:3">
      <c r="A226" t="s">
        <v>1790</v>
      </c>
      <c r="B226" t="s">
        <v>131</v>
      </c>
      <c r="C226" s="2877">
        <v>7506.04</v>
      </c>
    </row>
    <row r="227" spans="1:3">
      <c r="A227" t="s">
        <v>2533</v>
      </c>
      <c r="B227" t="s">
        <v>2235</v>
      </c>
      <c r="C227" s="2877">
        <v>46755.205000000002</v>
      </c>
    </row>
    <row r="228" spans="1:3">
      <c r="A228" t="s">
        <v>1791</v>
      </c>
      <c r="B228" t="s">
        <v>2610</v>
      </c>
      <c r="C228" s="2877">
        <v>42142.656999999999</v>
      </c>
    </row>
    <row r="229" spans="1:3">
      <c r="A229" t="s">
        <v>2688</v>
      </c>
      <c r="B229" t="s">
        <v>2611</v>
      </c>
      <c r="C229" s="2877">
        <v>1083.576</v>
      </c>
    </row>
    <row r="230" spans="1:3">
      <c r="A230" t="s">
        <v>249</v>
      </c>
      <c r="B230" t="s">
        <v>2612</v>
      </c>
      <c r="C230" s="2877">
        <v>10762.163</v>
      </c>
    </row>
    <row r="231" spans="1:3">
      <c r="A231" t="s">
        <v>250</v>
      </c>
      <c r="B231" t="s">
        <v>2663</v>
      </c>
      <c r="C231" s="2877">
        <v>269.411</v>
      </c>
    </row>
    <row r="232" spans="1:3">
      <c r="A232" t="s">
        <v>251</v>
      </c>
      <c r="B232" t="s">
        <v>2613</v>
      </c>
      <c r="C232" s="2877">
        <v>349.62200000000001</v>
      </c>
    </row>
    <row r="233" spans="1:3">
      <c r="A233" t="s">
        <v>252</v>
      </c>
      <c r="B233" t="s">
        <v>2614</v>
      </c>
      <c r="C233" s="2877">
        <v>2687.45</v>
      </c>
    </row>
    <row r="234" spans="1:3">
      <c r="A234" t="s">
        <v>374</v>
      </c>
      <c r="B234" t="s">
        <v>2615</v>
      </c>
      <c r="C234" s="2877">
        <v>377.35899999999998</v>
      </c>
    </row>
    <row r="235" spans="1:3">
      <c r="A235" t="s">
        <v>1864</v>
      </c>
      <c r="B235" t="s">
        <v>2372</v>
      </c>
      <c r="C235" s="2877">
        <v>5385.183</v>
      </c>
    </row>
    <row r="236" spans="1:3">
      <c r="A236" t="s">
        <v>1068</v>
      </c>
      <c r="B236" t="s">
        <v>2616</v>
      </c>
      <c r="C236" s="2877">
        <v>302.899</v>
      </c>
    </row>
    <row r="237" spans="1:3">
      <c r="A237" t="s">
        <v>1069</v>
      </c>
      <c r="B237" t="s">
        <v>2617</v>
      </c>
      <c r="C237" s="2877">
        <v>1275.5509999999999</v>
      </c>
    </row>
    <row r="238" spans="1:3">
      <c r="A238" t="s">
        <v>640</v>
      </c>
      <c r="B238" t="s">
        <v>107</v>
      </c>
      <c r="C238" s="2877">
        <v>333.16399999999999</v>
      </c>
    </row>
    <row r="239" spans="1:3">
      <c r="A239" t="s">
        <v>1070</v>
      </c>
      <c r="B239" t="s">
        <v>2618</v>
      </c>
      <c r="C239" s="2877">
        <v>26414.464</v>
      </c>
    </row>
    <row r="240" spans="1:3">
      <c r="A240" t="s">
        <v>1770</v>
      </c>
      <c r="B240" t="s">
        <v>2466</v>
      </c>
      <c r="C240" s="2877">
        <v>58014.46</v>
      </c>
    </row>
    <row r="241" spans="1:3">
      <c r="A241" t="s">
        <v>212</v>
      </c>
      <c r="B241" t="s">
        <v>1000</v>
      </c>
      <c r="C241" s="2877">
        <v>1898.691</v>
      </c>
    </row>
    <row r="242" spans="1:3">
      <c r="A242" t="s">
        <v>717</v>
      </c>
      <c r="B242" t="s">
        <v>1692</v>
      </c>
      <c r="C242" s="2877">
        <v>1897.2929999999999</v>
      </c>
    </row>
    <row r="243" spans="1:3">
      <c r="A243" t="s">
        <v>214</v>
      </c>
      <c r="B243" t="s">
        <v>1002</v>
      </c>
      <c r="C243" s="2877">
        <v>1591.096</v>
      </c>
    </row>
    <row r="244" spans="1:3">
      <c r="A244" t="s">
        <v>1680</v>
      </c>
      <c r="B244" t="s">
        <v>2116</v>
      </c>
      <c r="C244" s="2877">
        <v>2131.4290000000001</v>
      </c>
    </row>
    <row r="245" spans="1:3">
      <c r="A245" t="s">
        <v>490</v>
      </c>
      <c r="B245" t="s">
        <v>2060</v>
      </c>
      <c r="C245" s="2877">
        <v>3295.0749999999998</v>
      </c>
    </row>
    <row r="246" spans="1:3">
      <c r="A246" t="s">
        <v>1838</v>
      </c>
      <c r="B246" t="s">
        <v>2619</v>
      </c>
      <c r="C246" s="2877">
        <v>1906.848</v>
      </c>
    </row>
    <row r="247" spans="1:3">
      <c r="A247" t="s">
        <v>1410</v>
      </c>
      <c r="B247" t="s">
        <v>1256</v>
      </c>
      <c r="C247" s="2877">
        <v>14670.444</v>
      </c>
    </row>
    <row r="248" spans="1:3">
      <c r="A248" t="s">
        <v>61</v>
      </c>
      <c r="B248" t="s">
        <v>2300</v>
      </c>
      <c r="C248" s="2877">
        <v>4856.915</v>
      </c>
    </row>
    <row r="249" spans="1:3">
      <c r="A249" t="s">
        <v>641</v>
      </c>
      <c r="B249" t="s">
        <v>1567</v>
      </c>
      <c r="C249" s="2877">
        <v>6736.8680000000004</v>
      </c>
    </row>
    <row r="250" spans="1:3">
      <c r="A250" t="s">
        <v>2504</v>
      </c>
      <c r="B250" t="s">
        <v>421</v>
      </c>
      <c r="C250" s="2877">
        <v>2471.0430000000001</v>
      </c>
    </row>
    <row r="251" spans="1:3">
      <c r="A251" t="s">
        <v>1839</v>
      </c>
      <c r="B251" t="s">
        <v>2620</v>
      </c>
      <c r="C251" s="2877">
        <v>160.012</v>
      </c>
    </row>
    <row r="252" spans="1:3">
      <c r="A252" t="s">
        <v>1185</v>
      </c>
      <c r="B252" t="s">
        <v>2196</v>
      </c>
      <c r="C252" s="2877">
        <v>2058.913</v>
      </c>
    </row>
    <row r="253" spans="1:3">
      <c r="A253" t="s">
        <v>1840</v>
      </c>
      <c r="B253" t="s">
        <v>2621</v>
      </c>
      <c r="C253" s="2877">
        <v>906.03499999999997</v>
      </c>
    </row>
    <row r="254" spans="1:3">
      <c r="A254" t="s">
        <v>698</v>
      </c>
      <c r="B254" t="s">
        <v>2622</v>
      </c>
      <c r="C254" s="2877">
        <v>122.03100000000001</v>
      </c>
    </row>
    <row r="255" spans="1:3">
      <c r="A255" t="s">
        <v>299</v>
      </c>
      <c r="B255" t="s">
        <v>2623</v>
      </c>
      <c r="C255" s="2877">
        <v>230.88499999999999</v>
      </c>
    </row>
    <row r="256" spans="1:3">
      <c r="A256" t="s">
        <v>175</v>
      </c>
      <c r="B256" t="s">
        <v>2624</v>
      </c>
      <c r="C256" s="2877">
        <v>499.85399999999998</v>
      </c>
    </row>
    <row r="257" spans="1:3">
      <c r="A257" t="s">
        <v>176</v>
      </c>
      <c r="B257" t="s">
        <v>2625</v>
      </c>
      <c r="C257" s="2877">
        <v>293.096</v>
      </c>
    </row>
    <row r="258" spans="1:3">
      <c r="A258" t="s">
        <v>718</v>
      </c>
      <c r="B258" t="s">
        <v>30</v>
      </c>
      <c r="C258" s="2877">
        <v>3090.665</v>
      </c>
    </row>
    <row r="259" spans="1:3">
      <c r="A259" t="s">
        <v>2629</v>
      </c>
      <c r="B259" t="s">
        <v>1958</v>
      </c>
      <c r="C259" s="2877">
        <v>902.673</v>
      </c>
    </row>
    <row r="260" spans="1:3">
      <c r="A260" t="s">
        <v>1556</v>
      </c>
      <c r="B260" t="s">
        <v>2370</v>
      </c>
      <c r="C260" s="2877">
        <v>311.00700000000001</v>
      </c>
    </row>
    <row r="261" spans="1:3">
      <c r="A261" t="s">
        <v>2630</v>
      </c>
      <c r="B261" t="s">
        <v>1959</v>
      </c>
      <c r="C261" s="2877">
        <v>103.69799999999999</v>
      </c>
    </row>
    <row r="262" spans="1:3">
      <c r="A262" t="s">
        <v>2631</v>
      </c>
      <c r="B262" t="s">
        <v>1960</v>
      </c>
      <c r="C262" s="2877">
        <v>783.48699999999997</v>
      </c>
    </row>
    <row r="263" spans="1:3">
      <c r="A263" t="s">
        <v>719</v>
      </c>
      <c r="B263" t="s">
        <v>2030</v>
      </c>
      <c r="C263" s="2877">
        <v>1978.6079999999999</v>
      </c>
    </row>
    <row r="264" spans="1:3">
      <c r="A264" t="s">
        <v>678</v>
      </c>
      <c r="B264" t="s">
        <v>1961</v>
      </c>
      <c r="C264" s="2877">
        <v>1309.7629999999999</v>
      </c>
    </row>
    <row r="265" spans="1:3">
      <c r="A265" t="s">
        <v>2149</v>
      </c>
      <c r="B265" t="s">
        <v>2151</v>
      </c>
      <c r="C265" s="2877">
        <v>1281.624</v>
      </c>
    </row>
    <row r="266" spans="1:3">
      <c r="A266" t="s">
        <v>2297</v>
      </c>
      <c r="B266" t="s">
        <v>1962</v>
      </c>
      <c r="C266" s="2877">
        <v>1636.2940000000001</v>
      </c>
    </row>
    <row r="267" spans="1:3">
      <c r="A267" t="s">
        <v>1788</v>
      </c>
      <c r="B267" t="s">
        <v>1963</v>
      </c>
      <c r="C267" s="2877">
        <v>612.66600000000005</v>
      </c>
    </row>
    <row r="268" spans="1:3">
      <c r="A268" t="s">
        <v>616</v>
      </c>
      <c r="B268" t="s">
        <v>1964</v>
      </c>
      <c r="C268" s="2877">
        <v>707.69299999999998</v>
      </c>
    </row>
    <row r="269" spans="1:3">
      <c r="A269" t="s">
        <v>918</v>
      </c>
      <c r="B269" t="s">
        <v>1965</v>
      </c>
      <c r="C269" s="2877">
        <v>370.93299999999999</v>
      </c>
    </row>
    <row r="270" spans="1:3">
      <c r="A270" t="s">
        <v>2132</v>
      </c>
      <c r="B270" t="s">
        <v>1966</v>
      </c>
      <c r="C270" s="2877">
        <v>32109.114000000001</v>
      </c>
    </row>
    <row r="271" spans="1:3">
      <c r="A271" t="s">
        <v>2581</v>
      </c>
      <c r="B271" t="s">
        <v>1967</v>
      </c>
      <c r="C271" s="2877">
        <v>639.34699999999998</v>
      </c>
    </row>
    <row r="272" spans="1:3">
      <c r="A272" t="s">
        <v>2393</v>
      </c>
      <c r="B272" t="s">
        <v>1968</v>
      </c>
      <c r="C272" s="2877">
        <v>560.14700000000005</v>
      </c>
    </row>
    <row r="273" spans="1:3">
      <c r="A273" t="s">
        <v>246</v>
      </c>
      <c r="B273" t="s">
        <v>2117</v>
      </c>
      <c r="C273" s="2877">
        <v>482.077</v>
      </c>
    </row>
    <row r="274" spans="1:3">
      <c r="A274" t="s">
        <v>1405</v>
      </c>
      <c r="B274" t="s">
        <v>1969</v>
      </c>
      <c r="C274" s="2877">
        <v>7211.0320000000002</v>
      </c>
    </row>
    <row r="275" spans="1:3">
      <c r="A275" t="s">
        <v>1406</v>
      </c>
      <c r="B275" t="s">
        <v>1970</v>
      </c>
      <c r="C275" s="2877">
        <v>3213.645</v>
      </c>
    </row>
    <row r="276" spans="1:3">
      <c r="A276" t="s">
        <v>720</v>
      </c>
      <c r="B276" t="s">
        <v>1270</v>
      </c>
      <c r="C276" s="2877">
        <v>950.351</v>
      </c>
    </row>
    <row r="277" spans="1:3">
      <c r="A277" t="s">
        <v>1401</v>
      </c>
      <c r="B277" t="s">
        <v>1971</v>
      </c>
      <c r="C277" s="2877">
        <v>8247.5560000000005</v>
      </c>
    </row>
    <row r="278" spans="1:3">
      <c r="A278" t="s">
        <v>932</v>
      </c>
      <c r="B278" t="s">
        <v>1972</v>
      </c>
      <c r="C278" s="2877">
        <v>388.23500000000001</v>
      </c>
    </row>
    <row r="279" spans="1:3">
      <c r="A279" t="s">
        <v>247</v>
      </c>
      <c r="B279" t="s">
        <v>1363</v>
      </c>
      <c r="C279" s="2877">
        <v>1581.251</v>
      </c>
    </row>
    <row r="280" spans="1:3">
      <c r="A280" t="s">
        <v>2084</v>
      </c>
      <c r="B280" t="s">
        <v>79</v>
      </c>
      <c r="C280" s="2877">
        <v>6437.0519999999997</v>
      </c>
    </row>
    <row r="281" spans="1:3">
      <c r="A281" t="s">
        <v>343</v>
      </c>
      <c r="B281" t="s">
        <v>139</v>
      </c>
      <c r="C281" s="2877">
        <v>8063.0450000000001</v>
      </c>
    </row>
    <row r="282" spans="1:3">
      <c r="A282" t="s">
        <v>721</v>
      </c>
      <c r="B282" t="s">
        <v>1992</v>
      </c>
      <c r="C282" s="2877">
        <v>1581.7739999999999</v>
      </c>
    </row>
    <row r="283" spans="1:3">
      <c r="A283" t="s">
        <v>576</v>
      </c>
      <c r="B283" t="s">
        <v>1166</v>
      </c>
      <c r="C283" s="2877">
        <v>13651.79</v>
      </c>
    </row>
    <row r="284" spans="1:3">
      <c r="A284" t="s">
        <v>2413</v>
      </c>
      <c r="B284" t="s">
        <v>1973</v>
      </c>
      <c r="C284" s="2877">
        <v>76346.159</v>
      </c>
    </row>
    <row r="285" spans="1:3">
      <c r="A285" t="s">
        <v>775</v>
      </c>
      <c r="B285" t="s">
        <v>892</v>
      </c>
      <c r="C285" s="2877">
        <v>3579.7530000000002</v>
      </c>
    </row>
    <row r="286" spans="1:3">
      <c r="A286" t="s">
        <v>184</v>
      </c>
      <c r="B286" t="s">
        <v>2031</v>
      </c>
      <c r="C286" s="2877">
        <v>5259.473</v>
      </c>
    </row>
    <row r="287" spans="1:3">
      <c r="A287" t="s">
        <v>1186</v>
      </c>
      <c r="B287" t="s">
        <v>760</v>
      </c>
      <c r="C287" s="2877">
        <v>56912.180999999997</v>
      </c>
    </row>
    <row r="288" spans="1:3">
      <c r="A288" t="s">
        <v>2098</v>
      </c>
      <c r="B288" t="s">
        <v>132</v>
      </c>
      <c r="C288" s="2877">
        <v>1219.05</v>
      </c>
    </row>
    <row r="289" spans="1:3">
      <c r="A289" t="s">
        <v>1888</v>
      </c>
      <c r="B289" t="s">
        <v>653</v>
      </c>
      <c r="C289" s="2877">
        <v>7316.0959999999995</v>
      </c>
    </row>
    <row r="290" spans="1:3">
      <c r="A290" t="s">
        <v>1517</v>
      </c>
      <c r="B290" t="s">
        <v>606</v>
      </c>
      <c r="C290" s="2877">
        <v>1759.5450000000001</v>
      </c>
    </row>
    <row r="291" spans="1:3">
      <c r="A291" t="s">
        <v>1151</v>
      </c>
      <c r="B291" t="s">
        <v>1930</v>
      </c>
      <c r="C291" s="2877">
        <v>49647.044000000002</v>
      </c>
    </row>
    <row r="292" spans="1:3">
      <c r="A292" t="s">
        <v>2414</v>
      </c>
      <c r="B292" t="s">
        <v>1974</v>
      </c>
      <c r="C292" s="2877">
        <v>103.996</v>
      </c>
    </row>
    <row r="293" spans="1:3">
      <c r="A293" t="s">
        <v>2415</v>
      </c>
      <c r="B293" t="s">
        <v>1975</v>
      </c>
      <c r="C293" s="2877">
        <v>1756.634</v>
      </c>
    </row>
    <row r="294" spans="1:3">
      <c r="A294" t="s">
        <v>1511</v>
      </c>
      <c r="B294" t="s">
        <v>1940</v>
      </c>
      <c r="C294" s="2877">
        <v>4208.6779999999999</v>
      </c>
    </row>
    <row r="295" spans="1:3">
      <c r="A295" t="s">
        <v>1830</v>
      </c>
      <c r="B295" t="s">
        <v>1976</v>
      </c>
      <c r="C295" s="2877">
        <v>136.54</v>
      </c>
    </row>
    <row r="296" spans="1:3">
      <c r="A296" t="s">
        <v>1831</v>
      </c>
      <c r="B296" t="s">
        <v>1977</v>
      </c>
      <c r="C296" s="2877">
        <v>305.04899999999998</v>
      </c>
    </row>
    <row r="297" spans="1:3">
      <c r="A297" t="s">
        <v>1232</v>
      </c>
      <c r="B297" t="s">
        <v>2468</v>
      </c>
      <c r="C297" s="2877">
        <v>331.87099999999998</v>
      </c>
    </row>
    <row r="298" spans="1:3">
      <c r="A298" t="s">
        <v>1832</v>
      </c>
      <c r="B298" t="s">
        <v>1978</v>
      </c>
      <c r="C298" s="2877">
        <v>152.09299999999999</v>
      </c>
    </row>
    <row r="299" spans="1:3">
      <c r="A299" t="s">
        <v>201</v>
      </c>
      <c r="B299" t="s">
        <v>1035</v>
      </c>
      <c r="C299" s="2877">
        <v>776.01499999999999</v>
      </c>
    </row>
    <row r="300" spans="1:3">
      <c r="A300" t="s">
        <v>1834</v>
      </c>
      <c r="B300" t="s">
        <v>2063</v>
      </c>
      <c r="C300" s="2877">
        <v>1906.557</v>
      </c>
    </row>
    <row r="301" spans="1:3">
      <c r="A301" t="s">
        <v>1842</v>
      </c>
      <c r="B301" t="s">
        <v>1332</v>
      </c>
      <c r="C301" s="2877">
        <v>229.74</v>
      </c>
    </row>
    <row r="302" spans="1:3">
      <c r="A302" t="s">
        <v>202</v>
      </c>
      <c r="B302" t="s">
        <v>1980</v>
      </c>
      <c r="C302" s="2877">
        <v>1372.848</v>
      </c>
    </row>
    <row r="303" spans="1:3">
      <c r="A303" t="s">
        <v>203</v>
      </c>
      <c r="B303" t="s">
        <v>1</v>
      </c>
      <c r="C303" s="2877">
        <v>2630.2689999999998</v>
      </c>
    </row>
    <row r="304" spans="1:3">
      <c r="A304" t="s">
        <v>1233</v>
      </c>
      <c r="B304" t="s">
        <v>2180</v>
      </c>
      <c r="C304" s="2877">
        <v>453.11599999999999</v>
      </c>
    </row>
    <row r="305" spans="1:3">
      <c r="A305" t="s">
        <v>722</v>
      </c>
      <c r="B305" t="s">
        <v>1065</v>
      </c>
      <c r="C305" s="2877">
        <v>436.68</v>
      </c>
    </row>
    <row r="306" spans="1:3">
      <c r="A306" t="s">
        <v>204</v>
      </c>
      <c r="B306" t="s">
        <v>2</v>
      </c>
      <c r="C306" s="2877">
        <v>950.39099999999996</v>
      </c>
    </row>
    <row r="307" spans="1:3">
      <c r="A307" t="s">
        <v>205</v>
      </c>
      <c r="B307" t="s">
        <v>3</v>
      </c>
      <c r="C307" s="2877">
        <v>1309.047</v>
      </c>
    </row>
    <row r="308" spans="1:3">
      <c r="A308" t="s">
        <v>1741</v>
      </c>
      <c r="B308" t="s">
        <v>4</v>
      </c>
      <c r="C308" s="2877">
        <v>507.733</v>
      </c>
    </row>
    <row r="309" spans="1:3">
      <c r="A309" t="s">
        <v>1742</v>
      </c>
      <c r="B309" t="s">
        <v>5</v>
      </c>
      <c r="C309" s="2877">
        <v>843.43200000000002</v>
      </c>
    </row>
    <row r="310" spans="1:3">
      <c r="A310" t="s">
        <v>1234</v>
      </c>
      <c r="B310" t="s">
        <v>2026</v>
      </c>
      <c r="C310" s="2877">
        <v>661.06100000000004</v>
      </c>
    </row>
    <row r="311" spans="1:3">
      <c r="A311" t="s">
        <v>2571</v>
      </c>
      <c r="B311" t="s">
        <v>461</v>
      </c>
      <c r="C311" s="2877">
        <v>809.63699999999994</v>
      </c>
    </row>
    <row r="312" spans="1:3">
      <c r="A312" t="s">
        <v>1697</v>
      </c>
      <c r="B312" t="s">
        <v>462</v>
      </c>
      <c r="C312" s="2877">
        <v>2234.6370000000002</v>
      </c>
    </row>
    <row r="313" spans="1:3">
      <c r="A313" t="s">
        <v>1698</v>
      </c>
      <c r="B313" t="s">
        <v>463</v>
      </c>
      <c r="C313" s="2877">
        <v>1077.008</v>
      </c>
    </row>
    <row r="314" spans="1:3">
      <c r="A314" t="s">
        <v>921</v>
      </c>
      <c r="B314" t="s">
        <v>464</v>
      </c>
      <c r="C314" s="2877">
        <v>319.71100000000001</v>
      </c>
    </row>
    <row r="315" spans="1:3">
      <c r="A315" t="s">
        <v>65</v>
      </c>
      <c r="B315" t="s">
        <v>177</v>
      </c>
      <c r="C315" s="2877">
        <v>350.68400000000003</v>
      </c>
    </row>
    <row r="316" spans="1:3">
      <c r="A316" t="s">
        <v>754</v>
      </c>
      <c r="B316" t="s">
        <v>1036</v>
      </c>
      <c r="C316" s="2877">
        <v>521.17100000000005</v>
      </c>
    </row>
    <row r="317" spans="1:3">
      <c r="A317" t="s">
        <v>2505</v>
      </c>
      <c r="B317" t="s">
        <v>610</v>
      </c>
      <c r="C317" s="2877">
        <v>673.31700000000001</v>
      </c>
    </row>
    <row r="318" spans="1:3">
      <c r="A318" t="s">
        <v>627</v>
      </c>
      <c r="B318" t="s">
        <v>847</v>
      </c>
      <c r="C318" s="2877">
        <v>1470.171</v>
      </c>
    </row>
    <row r="319" spans="1:3">
      <c r="A319" t="s">
        <v>628</v>
      </c>
      <c r="B319" t="s">
        <v>848</v>
      </c>
      <c r="C319" s="2877">
        <v>885.21799999999996</v>
      </c>
    </row>
    <row r="320" spans="1:3">
      <c r="A320" t="s">
        <v>629</v>
      </c>
      <c r="B320" t="s">
        <v>849</v>
      </c>
      <c r="C320" s="2877">
        <v>485.21600000000001</v>
      </c>
    </row>
    <row r="321" spans="1:3">
      <c r="A321" t="s">
        <v>630</v>
      </c>
      <c r="B321" t="s">
        <v>1037</v>
      </c>
      <c r="C321" s="2877">
        <v>27661.848000000002</v>
      </c>
    </row>
    <row r="322" spans="1:3">
      <c r="A322" t="s">
        <v>2541</v>
      </c>
      <c r="B322" t="s">
        <v>894</v>
      </c>
      <c r="C322" s="2877">
        <v>3235.17</v>
      </c>
    </row>
    <row r="323" spans="1:3">
      <c r="A323" t="s">
        <v>1422</v>
      </c>
      <c r="B323" t="s">
        <v>112</v>
      </c>
      <c r="C323" s="2877">
        <v>80402.062999999995</v>
      </c>
    </row>
    <row r="324" spans="1:3">
      <c r="A324" t="s">
        <v>631</v>
      </c>
      <c r="B324" t="s">
        <v>851</v>
      </c>
      <c r="C324" s="2877">
        <v>142.012</v>
      </c>
    </row>
    <row r="325" spans="1:3">
      <c r="A325" t="s">
        <v>2318</v>
      </c>
      <c r="B325" t="s">
        <v>1038</v>
      </c>
      <c r="C325" s="2877">
        <v>3695.386</v>
      </c>
    </row>
    <row r="326" spans="1:3">
      <c r="A326" t="s">
        <v>2013</v>
      </c>
      <c r="B326" t="s">
        <v>853</v>
      </c>
      <c r="C326" s="2877">
        <v>1963.9870000000001</v>
      </c>
    </row>
    <row r="327" spans="1:3">
      <c r="A327" t="s">
        <v>1303</v>
      </c>
      <c r="B327" t="s">
        <v>854</v>
      </c>
      <c r="C327" s="2877">
        <v>2237.4360000000001</v>
      </c>
    </row>
    <row r="328" spans="1:3">
      <c r="A328" t="s">
        <v>1919</v>
      </c>
      <c r="B328" t="s">
        <v>855</v>
      </c>
      <c r="C328" s="2877">
        <v>1574.4829999999999</v>
      </c>
    </row>
    <row r="329" spans="1:3">
      <c r="A329" t="s">
        <v>1924</v>
      </c>
      <c r="B329" t="s">
        <v>856</v>
      </c>
      <c r="C329" s="2877">
        <v>723.79899999999998</v>
      </c>
    </row>
    <row r="330" spans="1:3">
      <c r="A330" t="s">
        <v>1925</v>
      </c>
      <c r="B330" t="s">
        <v>857</v>
      </c>
      <c r="C330" s="2877">
        <v>222.08500000000001</v>
      </c>
    </row>
    <row r="331" spans="1:3">
      <c r="A331" t="s">
        <v>1235</v>
      </c>
      <c r="B331" t="s">
        <v>2179</v>
      </c>
      <c r="C331" s="2877">
        <v>1496.671</v>
      </c>
    </row>
    <row r="332" spans="1:3">
      <c r="A332" t="s">
        <v>2506</v>
      </c>
      <c r="B332" t="s">
        <v>2592</v>
      </c>
      <c r="C332" s="2877">
        <v>2982.8679999999999</v>
      </c>
    </row>
    <row r="333" spans="1:3">
      <c r="A333" t="s">
        <v>1926</v>
      </c>
      <c r="B333" t="s">
        <v>858</v>
      </c>
      <c r="C333" s="2877">
        <v>912.77099999999996</v>
      </c>
    </row>
    <row r="334" spans="1:3">
      <c r="A334" t="s">
        <v>2110</v>
      </c>
      <c r="B334" t="s">
        <v>531</v>
      </c>
      <c r="C334" s="2877">
        <v>252.709</v>
      </c>
    </row>
    <row r="335" spans="1:3">
      <c r="A335" t="s">
        <v>2175</v>
      </c>
      <c r="B335" t="s">
        <v>532</v>
      </c>
      <c r="C335" s="2877">
        <v>2823.3539999999998</v>
      </c>
    </row>
    <row r="336" spans="1:3">
      <c r="A336" t="s">
        <v>1993</v>
      </c>
      <c r="B336" t="s">
        <v>364</v>
      </c>
      <c r="C336" s="2877">
        <v>10223.329</v>
      </c>
    </row>
    <row r="337" spans="1:3">
      <c r="A337" t="s">
        <v>2231</v>
      </c>
      <c r="B337" t="s">
        <v>365</v>
      </c>
      <c r="C337" s="2877">
        <v>9263.4639999999999</v>
      </c>
    </row>
    <row r="338" spans="1:3">
      <c r="A338" t="s">
        <v>1866</v>
      </c>
      <c r="B338" t="s">
        <v>2375</v>
      </c>
      <c r="C338" s="2877">
        <v>364.40800000000002</v>
      </c>
    </row>
    <row r="339" spans="1:3">
      <c r="A339" t="s">
        <v>761</v>
      </c>
      <c r="B339" t="s">
        <v>366</v>
      </c>
      <c r="C339" s="2877">
        <v>4778.558</v>
      </c>
    </row>
    <row r="340" spans="1:3">
      <c r="A340" t="s">
        <v>762</v>
      </c>
      <c r="B340" t="s">
        <v>367</v>
      </c>
      <c r="C340" s="2877">
        <v>7079.4650000000001</v>
      </c>
    </row>
    <row r="341" spans="1:3">
      <c r="A341" t="s">
        <v>2458</v>
      </c>
      <c r="B341" t="s">
        <v>368</v>
      </c>
      <c r="C341" s="2877">
        <v>1721.002</v>
      </c>
    </row>
    <row r="342" spans="1:3">
      <c r="A342" t="s">
        <v>491</v>
      </c>
      <c r="B342" t="s">
        <v>85</v>
      </c>
      <c r="C342" s="2877">
        <v>5499.67</v>
      </c>
    </row>
    <row r="343" spans="1:3">
      <c r="A343" t="s">
        <v>2459</v>
      </c>
      <c r="B343" t="s">
        <v>369</v>
      </c>
      <c r="C343" s="2877">
        <v>43595.565000000002</v>
      </c>
    </row>
    <row r="344" spans="1:3">
      <c r="A344" t="s">
        <v>1424</v>
      </c>
      <c r="B344" t="s">
        <v>1476</v>
      </c>
      <c r="C344" s="2877">
        <v>6619.1459999999997</v>
      </c>
    </row>
    <row r="345" spans="1:3">
      <c r="A345" t="s">
        <v>1668</v>
      </c>
      <c r="B345" t="s">
        <v>370</v>
      </c>
      <c r="C345" s="2877">
        <v>1466.047</v>
      </c>
    </row>
    <row r="346" spans="1:3">
      <c r="A346" t="s">
        <v>1669</v>
      </c>
      <c r="B346" t="s">
        <v>371</v>
      </c>
      <c r="C346" s="2877">
        <v>261.37299999999999</v>
      </c>
    </row>
    <row r="347" spans="1:3">
      <c r="A347" t="s">
        <v>1873</v>
      </c>
      <c r="B347" t="s">
        <v>1039</v>
      </c>
      <c r="C347" s="2877">
        <v>109.313</v>
      </c>
    </row>
    <row r="348" spans="1:3">
      <c r="A348" t="s">
        <v>1451</v>
      </c>
      <c r="B348" t="s">
        <v>373</v>
      </c>
      <c r="C348" s="2877">
        <v>3344.4940000000001</v>
      </c>
    </row>
    <row r="349" spans="1:3">
      <c r="A349" t="s">
        <v>2160</v>
      </c>
      <c r="B349" t="s">
        <v>1785</v>
      </c>
      <c r="C349" s="2877">
        <v>1010.402</v>
      </c>
    </row>
    <row r="350" spans="1:3">
      <c r="A350" t="s">
        <v>2161</v>
      </c>
      <c r="B350" t="s">
        <v>1786</v>
      </c>
      <c r="C350" s="2877">
        <v>486.67899999999997</v>
      </c>
    </row>
    <row r="351" spans="1:3">
      <c r="A351" t="s">
        <v>2437</v>
      </c>
      <c r="B351" t="s">
        <v>1787</v>
      </c>
      <c r="C351" s="2877">
        <v>1845.9159999999999</v>
      </c>
    </row>
    <row r="352" spans="1:3">
      <c r="A352" t="s">
        <v>906</v>
      </c>
      <c r="B352" t="s">
        <v>861</v>
      </c>
      <c r="C352" s="2877">
        <v>3201.6469999999999</v>
      </c>
    </row>
    <row r="353" spans="1:3">
      <c r="A353" t="s">
        <v>2438</v>
      </c>
      <c r="B353" t="s">
        <v>1040</v>
      </c>
      <c r="C353" s="2877">
        <v>1591.1510000000001</v>
      </c>
    </row>
    <row r="354" spans="1:3">
      <c r="A354" t="s">
        <v>2439</v>
      </c>
      <c r="B354" t="s">
        <v>1441</v>
      </c>
      <c r="C354" s="2877">
        <v>397.23599999999999</v>
      </c>
    </row>
    <row r="355" spans="1:3">
      <c r="A355" t="s">
        <v>1852</v>
      </c>
      <c r="B355" t="s">
        <v>1442</v>
      </c>
      <c r="C355" s="2877">
        <v>229.56100000000001</v>
      </c>
    </row>
    <row r="356" spans="1:3">
      <c r="A356" t="s">
        <v>1853</v>
      </c>
      <c r="B356" t="s">
        <v>1443</v>
      </c>
      <c r="C356" s="2877">
        <v>401.30900000000003</v>
      </c>
    </row>
    <row r="357" spans="1:3">
      <c r="A357" t="s">
        <v>2021</v>
      </c>
      <c r="B357" t="s">
        <v>1364</v>
      </c>
      <c r="C357" s="2877">
        <v>4280.6130000000003</v>
      </c>
    </row>
    <row r="358" spans="1:3">
      <c r="A358" t="s">
        <v>2033</v>
      </c>
      <c r="B358" t="s">
        <v>1444</v>
      </c>
      <c r="C358" s="2877">
        <v>36.645000000000003</v>
      </c>
    </row>
    <row r="359" spans="1:3">
      <c r="A359" t="s">
        <v>1684</v>
      </c>
      <c r="B359" t="s">
        <v>1560</v>
      </c>
      <c r="C359" s="2877">
        <v>1152.9659999999999</v>
      </c>
    </row>
    <row r="360" spans="1:3">
      <c r="A360" t="s">
        <v>981</v>
      </c>
      <c r="B360" t="s">
        <v>1445</v>
      </c>
      <c r="C360" s="2877">
        <v>814.81399999999996</v>
      </c>
    </row>
    <row r="361" spans="1:3">
      <c r="A361" t="s">
        <v>982</v>
      </c>
      <c r="B361" t="s">
        <v>1446</v>
      </c>
      <c r="C361" s="2877">
        <v>5834.98</v>
      </c>
    </row>
    <row r="362" spans="1:3">
      <c r="A362" t="s">
        <v>1115</v>
      </c>
      <c r="B362" t="s">
        <v>2380</v>
      </c>
      <c r="C362" s="2877">
        <v>1379.0550000000001</v>
      </c>
    </row>
    <row r="363" spans="1:3">
      <c r="A363" t="s">
        <v>793</v>
      </c>
      <c r="B363" t="s">
        <v>1648</v>
      </c>
      <c r="C363" s="2877">
        <v>7976.1229999999996</v>
      </c>
    </row>
    <row r="364" spans="1:3">
      <c r="A364" t="s">
        <v>794</v>
      </c>
      <c r="B364" t="s">
        <v>1649</v>
      </c>
      <c r="C364" s="2877">
        <v>237.23400000000001</v>
      </c>
    </row>
    <row r="365" spans="1:3">
      <c r="A365" t="s">
        <v>1236</v>
      </c>
      <c r="B365" t="s">
        <v>2365</v>
      </c>
      <c r="C365" s="2877">
        <v>1720.711</v>
      </c>
    </row>
    <row r="366" spans="1:3">
      <c r="A366" t="s">
        <v>1237</v>
      </c>
      <c r="B366" t="s">
        <v>1335</v>
      </c>
      <c r="C366" s="2877">
        <v>2062.6579999999999</v>
      </c>
    </row>
    <row r="367" spans="1:3">
      <c r="A367" t="s">
        <v>1463</v>
      </c>
      <c r="B367" t="s">
        <v>1650</v>
      </c>
      <c r="C367" s="2877">
        <v>1125.1300000000001</v>
      </c>
    </row>
    <row r="368" spans="1:3">
      <c r="A368" t="s">
        <v>215</v>
      </c>
      <c r="B368" t="s">
        <v>2100</v>
      </c>
      <c r="C368" s="2877">
        <v>1681.835</v>
      </c>
    </row>
    <row r="369" spans="1:3">
      <c r="A369" t="s">
        <v>2582</v>
      </c>
      <c r="B369" t="s">
        <v>1041</v>
      </c>
      <c r="C369" s="2877">
        <v>1231.221</v>
      </c>
    </row>
    <row r="370" spans="1:3">
      <c r="A370" t="s">
        <v>1308</v>
      </c>
      <c r="B370" t="s">
        <v>1732</v>
      </c>
      <c r="C370" s="2877">
        <v>1201.57</v>
      </c>
    </row>
    <row r="371" spans="1:3">
      <c r="A371" t="s">
        <v>1286</v>
      </c>
      <c r="B371" t="s">
        <v>222</v>
      </c>
      <c r="C371" s="2877">
        <v>1219.896</v>
      </c>
    </row>
    <row r="372" spans="1:3">
      <c r="A372" t="s">
        <v>1287</v>
      </c>
      <c r="B372" t="s">
        <v>223</v>
      </c>
      <c r="C372" s="2877">
        <v>2804.9059999999999</v>
      </c>
    </row>
    <row r="373" spans="1:3">
      <c r="A373" t="s">
        <v>1288</v>
      </c>
      <c r="B373" t="s">
        <v>224</v>
      </c>
      <c r="C373" s="2877">
        <v>4627.0140000000001</v>
      </c>
    </row>
    <row r="374" spans="1:3">
      <c r="A374" t="s">
        <v>457</v>
      </c>
      <c r="B374" t="s">
        <v>2126</v>
      </c>
      <c r="C374" s="2877">
        <v>9949</v>
      </c>
    </row>
    <row r="375" spans="1:3">
      <c r="A375" t="s">
        <v>2189</v>
      </c>
      <c r="B375" t="s">
        <v>225</v>
      </c>
      <c r="C375" s="2877">
        <v>5582.7740000000003</v>
      </c>
    </row>
    <row r="376" spans="1:3">
      <c r="A376" t="s">
        <v>2639</v>
      </c>
      <c r="B376" t="s">
        <v>226</v>
      </c>
      <c r="C376" s="2877">
        <v>1665.932</v>
      </c>
    </row>
    <row r="377" spans="1:3">
      <c r="A377" t="s">
        <v>1509</v>
      </c>
      <c r="B377" t="s">
        <v>1936</v>
      </c>
      <c r="C377" s="2877">
        <v>2261.5740000000001</v>
      </c>
    </row>
    <row r="378" spans="1:3">
      <c r="A378" t="s">
        <v>2640</v>
      </c>
      <c r="B378" t="s">
        <v>227</v>
      </c>
      <c r="C378" s="2877">
        <v>1684.1790000000001</v>
      </c>
    </row>
    <row r="379" spans="1:3">
      <c r="A379" t="s">
        <v>2641</v>
      </c>
      <c r="B379" t="s">
        <v>1042</v>
      </c>
      <c r="C379" s="2877">
        <v>929.673</v>
      </c>
    </row>
    <row r="380" spans="1:3">
      <c r="A380" t="s">
        <v>2642</v>
      </c>
      <c r="B380" t="s">
        <v>229</v>
      </c>
      <c r="C380" s="2877">
        <v>743.24199999999996</v>
      </c>
    </row>
    <row r="381" spans="1:3">
      <c r="A381" t="s">
        <v>2643</v>
      </c>
      <c r="B381" t="s">
        <v>230</v>
      </c>
      <c r="C381" s="2877">
        <v>3746.1460000000002</v>
      </c>
    </row>
    <row r="382" spans="1:3">
      <c r="A382" t="s">
        <v>2142</v>
      </c>
      <c r="B382" t="s">
        <v>231</v>
      </c>
      <c r="C382" s="2877">
        <v>230.41200000000001</v>
      </c>
    </row>
    <row r="383" spans="1:3">
      <c r="A383" t="s">
        <v>495</v>
      </c>
      <c r="B383" t="s">
        <v>1247</v>
      </c>
      <c r="C383" s="2877">
        <v>9261.8009999999995</v>
      </c>
    </row>
    <row r="384" spans="1:3">
      <c r="A384" t="s">
        <v>493</v>
      </c>
      <c r="B384" t="s">
        <v>1245</v>
      </c>
      <c r="C384" s="2877">
        <v>12792.714</v>
      </c>
    </row>
    <row r="385" spans="1:3">
      <c r="A385" t="s">
        <v>2143</v>
      </c>
      <c r="B385" t="s">
        <v>232</v>
      </c>
      <c r="C385" s="2877">
        <v>1896.33</v>
      </c>
    </row>
    <row r="386" spans="1:3">
      <c r="A386" t="s">
        <v>349</v>
      </c>
      <c r="B386" t="s">
        <v>293</v>
      </c>
      <c r="C386" s="2877">
        <v>1703.307</v>
      </c>
    </row>
    <row r="387" spans="1:3">
      <c r="A387" t="s">
        <v>2144</v>
      </c>
      <c r="B387" t="s">
        <v>233</v>
      </c>
      <c r="C387" s="2877">
        <v>1142.778</v>
      </c>
    </row>
    <row r="388" spans="1:3">
      <c r="A388" t="s">
        <v>2145</v>
      </c>
      <c r="B388" t="s">
        <v>234</v>
      </c>
      <c r="C388" s="2877">
        <v>261.51799999999997</v>
      </c>
    </row>
    <row r="389" spans="1:3">
      <c r="A389" t="s">
        <v>505</v>
      </c>
      <c r="B389" t="s">
        <v>235</v>
      </c>
      <c r="C389" s="2877">
        <v>949.47699999999998</v>
      </c>
    </row>
    <row r="390" spans="1:3">
      <c r="A390" t="s">
        <v>1955</v>
      </c>
      <c r="B390" t="s">
        <v>236</v>
      </c>
      <c r="C390" s="2877">
        <v>460.52199999999999</v>
      </c>
    </row>
    <row r="391" spans="1:3">
      <c r="A391" t="s">
        <v>2072</v>
      </c>
      <c r="B391" t="s">
        <v>237</v>
      </c>
      <c r="C391" s="2877">
        <v>7092.3249999999998</v>
      </c>
    </row>
    <row r="392" spans="1:3">
      <c r="A392" t="s">
        <v>2073</v>
      </c>
      <c r="B392" t="s">
        <v>238</v>
      </c>
      <c r="C392" s="2877">
        <v>1014.567</v>
      </c>
    </row>
    <row r="393" spans="1:3">
      <c r="A393" t="s">
        <v>146</v>
      </c>
      <c r="B393" t="s">
        <v>239</v>
      </c>
      <c r="C393" s="2877">
        <v>410.59300000000002</v>
      </c>
    </row>
    <row r="394" spans="1:3">
      <c r="A394" t="s">
        <v>147</v>
      </c>
      <c r="B394" t="s">
        <v>1043</v>
      </c>
      <c r="C394" s="2877">
        <v>1324.931</v>
      </c>
    </row>
    <row r="395" spans="1:3">
      <c r="A395" t="s">
        <v>2507</v>
      </c>
      <c r="B395" t="s">
        <v>2373</v>
      </c>
      <c r="C395" s="2877">
        <v>1065.1120000000001</v>
      </c>
    </row>
    <row r="396" spans="1:3">
      <c r="A396" t="s">
        <v>2344</v>
      </c>
      <c r="B396" t="s">
        <v>241</v>
      </c>
      <c r="C396" s="2877">
        <v>733.65700000000004</v>
      </c>
    </row>
    <row r="397" spans="1:3">
      <c r="A397" t="s">
        <v>1120</v>
      </c>
      <c r="B397" t="s">
        <v>1044</v>
      </c>
      <c r="C397" s="2877">
        <v>219.33099999999999</v>
      </c>
    </row>
    <row r="398" spans="1:3">
      <c r="A398" t="s">
        <v>1121</v>
      </c>
      <c r="B398" t="s">
        <v>2596</v>
      </c>
      <c r="C398" s="2877">
        <v>1302.059</v>
      </c>
    </row>
    <row r="399" spans="1:3">
      <c r="A399" t="s">
        <v>2106</v>
      </c>
      <c r="B399" t="s">
        <v>476</v>
      </c>
      <c r="C399" s="2877">
        <v>327.37700000000001</v>
      </c>
    </row>
    <row r="400" spans="1:3">
      <c r="A400" t="s">
        <v>2107</v>
      </c>
      <c r="B400" t="s">
        <v>477</v>
      </c>
      <c r="C400" s="2877">
        <v>1029.0619999999999</v>
      </c>
    </row>
    <row r="401" spans="1:3">
      <c r="A401" t="s">
        <v>1020</v>
      </c>
      <c r="B401" t="s">
        <v>478</v>
      </c>
      <c r="C401" s="2877">
        <v>1774.008</v>
      </c>
    </row>
    <row r="402" spans="1:3">
      <c r="A402" t="s">
        <v>1148</v>
      </c>
      <c r="B402" t="s">
        <v>1494</v>
      </c>
      <c r="C402" s="2877">
        <v>3786.018</v>
      </c>
    </row>
    <row r="403" spans="1:3">
      <c r="A403" t="s">
        <v>381</v>
      </c>
      <c r="B403" t="s">
        <v>479</v>
      </c>
      <c r="C403" s="2877">
        <v>2423.8220000000001</v>
      </c>
    </row>
    <row r="404" spans="1:3">
      <c r="A404" t="s">
        <v>2285</v>
      </c>
      <c r="B404" t="s">
        <v>839</v>
      </c>
      <c r="C404" s="2877">
        <v>4654.2650000000003</v>
      </c>
    </row>
    <row r="405" spans="1:3">
      <c r="A405" t="s">
        <v>1179</v>
      </c>
      <c r="B405" t="s">
        <v>297</v>
      </c>
      <c r="C405" s="2877">
        <v>875.36699999999996</v>
      </c>
    </row>
    <row r="406" spans="1:3">
      <c r="A406" t="s">
        <v>585</v>
      </c>
      <c r="B406" t="s">
        <v>699</v>
      </c>
      <c r="C406" s="2877">
        <v>76620.186000000002</v>
      </c>
    </row>
    <row r="407" spans="1:3">
      <c r="A407" t="s">
        <v>194</v>
      </c>
      <c r="B407" t="s">
        <v>1987</v>
      </c>
      <c r="C407" s="2877">
        <v>56296.817000000003</v>
      </c>
    </row>
    <row r="408" spans="1:3">
      <c r="A408" t="s">
        <v>2313</v>
      </c>
      <c r="B408" t="s">
        <v>480</v>
      </c>
      <c r="C408" s="2877">
        <v>10914.995000000001</v>
      </c>
    </row>
    <row r="409" spans="1:3">
      <c r="A409" t="s">
        <v>2404</v>
      </c>
      <c r="B409" t="s">
        <v>418</v>
      </c>
      <c r="C409" s="2877">
        <v>5992.8590000000004</v>
      </c>
    </row>
    <row r="410" spans="1:3">
      <c r="A410" t="s">
        <v>2314</v>
      </c>
      <c r="B410" t="s">
        <v>481</v>
      </c>
      <c r="C410" s="2877">
        <v>117190.141</v>
      </c>
    </row>
    <row r="411" spans="1:3">
      <c r="A411" t="s">
        <v>2166</v>
      </c>
      <c r="B411" t="s">
        <v>482</v>
      </c>
      <c r="C411" s="2877">
        <v>15552.539000000001</v>
      </c>
    </row>
    <row r="412" spans="1:3">
      <c r="A412" t="s">
        <v>1408</v>
      </c>
      <c r="B412" t="s">
        <v>2288</v>
      </c>
      <c r="C412" s="2877">
        <v>9861.8310000000001</v>
      </c>
    </row>
    <row r="413" spans="1:3">
      <c r="A413" t="s">
        <v>1428</v>
      </c>
      <c r="B413" t="s">
        <v>1480</v>
      </c>
      <c r="C413" s="2877">
        <v>27631.974999999999</v>
      </c>
    </row>
    <row r="414" spans="1:3">
      <c r="A414" t="s">
        <v>2020</v>
      </c>
      <c r="B414" t="s">
        <v>483</v>
      </c>
      <c r="C414" s="2877">
        <v>25191.011999999999</v>
      </c>
    </row>
    <row r="415" spans="1:3">
      <c r="A415" t="s">
        <v>2552</v>
      </c>
      <c r="B415" t="s">
        <v>484</v>
      </c>
      <c r="C415" s="2877">
        <v>251031.101</v>
      </c>
    </row>
    <row r="416" spans="1:3">
      <c r="A416" t="s">
        <v>1117</v>
      </c>
      <c r="B416" t="s">
        <v>2385</v>
      </c>
      <c r="C416" s="2877">
        <v>39525.919000000002</v>
      </c>
    </row>
    <row r="417" spans="1:3">
      <c r="A417" t="s">
        <v>48</v>
      </c>
      <c r="B417" t="s">
        <v>410</v>
      </c>
      <c r="C417" s="2877">
        <v>65166.180999999997</v>
      </c>
    </row>
    <row r="418" spans="1:3">
      <c r="A418" t="s">
        <v>55</v>
      </c>
      <c r="B418" t="s">
        <v>2585</v>
      </c>
      <c r="C418" s="2877">
        <v>52383.038999999997</v>
      </c>
    </row>
    <row r="419" spans="1:3">
      <c r="A419" t="s">
        <v>2553</v>
      </c>
      <c r="B419" t="s">
        <v>485</v>
      </c>
      <c r="C419" s="2877">
        <v>9774.5519999999997</v>
      </c>
    </row>
    <row r="420" spans="1:3">
      <c r="A420" t="s">
        <v>206</v>
      </c>
      <c r="B420" t="s">
        <v>272</v>
      </c>
      <c r="C420" s="2877">
        <v>64271.055</v>
      </c>
    </row>
    <row r="421" spans="1:3">
      <c r="A421" t="s">
        <v>668</v>
      </c>
      <c r="B421" t="s">
        <v>486</v>
      </c>
      <c r="C421" s="2877">
        <v>42588.716</v>
      </c>
    </row>
    <row r="422" spans="1:3">
      <c r="A422" t="s">
        <v>811</v>
      </c>
      <c r="B422" t="s">
        <v>2190</v>
      </c>
      <c r="C422" s="2877">
        <v>40313.748</v>
      </c>
    </row>
    <row r="423" spans="1:3">
      <c r="A423" t="s">
        <v>1947</v>
      </c>
      <c r="B423" t="s">
        <v>2191</v>
      </c>
      <c r="C423" s="2877">
        <v>10962.725</v>
      </c>
    </row>
    <row r="424" spans="1:3">
      <c r="A424" t="s">
        <v>1948</v>
      </c>
      <c r="B424" t="s">
        <v>2192</v>
      </c>
      <c r="C424" s="2877">
        <v>7628.9809999999998</v>
      </c>
    </row>
    <row r="425" spans="1:3">
      <c r="A425" t="s">
        <v>867</v>
      </c>
      <c r="B425" t="s">
        <v>2383</v>
      </c>
      <c r="C425" s="2877">
        <v>3705.38</v>
      </c>
    </row>
    <row r="426" spans="1:3">
      <c r="A426" t="s">
        <v>1949</v>
      </c>
      <c r="B426" t="s">
        <v>2193</v>
      </c>
      <c r="C426" s="2877">
        <v>332.15800000000002</v>
      </c>
    </row>
    <row r="427" spans="1:3">
      <c r="A427" t="s">
        <v>1500</v>
      </c>
      <c r="B427" t="s">
        <v>2194</v>
      </c>
      <c r="C427" s="2877">
        <v>7124.4949999999999</v>
      </c>
    </row>
    <row r="428" spans="1:3">
      <c r="A428" t="s">
        <v>1501</v>
      </c>
      <c r="B428" t="s">
        <v>2195</v>
      </c>
      <c r="C428" s="2877">
        <v>1149.192</v>
      </c>
    </row>
    <row r="429" spans="1:3">
      <c r="A429" t="s">
        <v>1502</v>
      </c>
      <c r="B429" t="s">
        <v>2074</v>
      </c>
      <c r="C429" s="2877">
        <v>4848.04</v>
      </c>
    </row>
    <row r="430" spans="1:3">
      <c r="A430" t="s">
        <v>1568</v>
      </c>
      <c r="B430" t="s">
        <v>2075</v>
      </c>
      <c r="C430" s="2877">
        <v>1020.49</v>
      </c>
    </row>
    <row r="431" spans="1:3">
      <c r="A431" t="s">
        <v>1569</v>
      </c>
      <c r="B431" t="s">
        <v>156</v>
      </c>
      <c r="C431" s="2877">
        <v>1399.0350000000001</v>
      </c>
    </row>
    <row r="432" spans="1:3">
      <c r="A432" t="s">
        <v>497</v>
      </c>
      <c r="B432" t="s">
        <v>157</v>
      </c>
      <c r="C432" s="2877">
        <v>275.07900000000001</v>
      </c>
    </row>
    <row r="433" spans="1:3">
      <c r="A433" t="s">
        <v>465</v>
      </c>
      <c r="B433" t="s">
        <v>158</v>
      </c>
      <c r="C433" s="2877">
        <v>401.048</v>
      </c>
    </row>
    <row r="434" spans="1:3">
      <c r="A434" t="s">
        <v>466</v>
      </c>
      <c r="B434" t="s">
        <v>828</v>
      </c>
      <c r="C434" s="2877">
        <v>1102.684</v>
      </c>
    </row>
    <row r="435" spans="1:3">
      <c r="A435" t="s">
        <v>467</v>
      </c>
      <c r="B435" t="s">
        <v>159</v>
      </c>
      <c r="C435" s="2877">
        <v>248.11199999999999</v>
      </c>
    </row>
    <row r="436" spans="1:3">
      <c r="A436" t="s">
        <v>468</v>
      </c>
      <c r="B436" t="s">
        <v>160</v>
      </c>
      <c r="C436" s="2877">
        <v>253.22399999999999</v>
      </c>
    </row>
    <row r="437" spans="1:3">
      <c r="A437" t="s">
        <v>1141</v>
      </c>
      <c r="B437" t="s">
        <v>1045</v>
      </c>
      <c r="C437" s="2877">
        <v>8731.9750000000004</v>
      </c>
    </row>
    <row r="438" spans="1:3">
      <c r="A438" t="s">
        <v>1488</v>
      </c>
      <c r="B438" t="s">
        <v>1061</v>
      </c>
      <c r="C438" s="2877">
        <v>4545.18</v>
      </c>
    </row>
    <row r="439" spans="1:3">
      <c r="A439" t="s">
        <v>1292</v>
      </c>
      <c r="B439" t="s">
        <v>162</v>
      </c>
      <c r="C439" s="2877">
        <v>2209.8739999999998</v>
      </c>
    </row>
    <row r="440" spans="1:3">
      <c r="A440" t="s">
        <v>1863</v>
      </c>
      <c r="B440" t="s">
        <v>35</v>
      </c>
      <c r="C440" s="2877">
        <v>16212.948</v>
      </c>
    </row>
    <row r="441" spans="1:3">
      <c r="A441" t="s">
        <v>1703</v>
      </c>
      <c r="B441" t="s">
        <v>163</v>
      </c>
      <c r="C441" s="2877">
        <v>1199.442</v>
      </c>
    </row>
    <row r="442" spans="1:3">
      <c r="A442" t="s">
        <v>1704</v>
      </c>
      <c r="B442" t="s">
        <v>1349</v>
      </c>
      <c r="C442" s="2877">
        <v>4321.3739999999998</v>
      </c>
    </row>
    <row r="443" spans="1:3">
      <c r="A443" t="s">
        <v>2544</v>
      </c>
      <c r="B443" t="s">
        <v>1350</v>
      </c>
      <c r="C443" s="2877">
        <v>3455.5160000000001</v>
      </c>
    </row>
    <row r="444" spans="1:3">
      <c r="A444" t="s">
        <v>2519</v>
      </c>
      <c r="B444" t="s">
        <v>1351</v>
      </c>
      <c r="C444" s="2877">
        <v>903.38300000000004</v>
      </c>
    </row>
    <row r="445" spans="1:3">
      <c r="A445" t="s">
        <v>2007</v>
      </c>
      <c r="B445" t="s">
        <v>1352</v>
      </c>
      <c r="C445" s="2877">
        <v>2024.875</v>
      </c>
    </row>
    <row r="446" spans="1:3">
      <c r="A446" t="s">
        <v>63</v>
      </c>
      <c r="B446" t="s">
        <v>2599</v>
      </c>
      <c r="C446" s="2877">
        <v>1655.097</v>
      </c>
    </row>
    <row r="447" spans="1:3">
      <c r="A447" t="s">
        <v>1518</v>
      </c>
      <c r="B447" t="s">
        <v>607</v>
      </c>
      <c r="C447" s="2877">
        <v>339.24900000000002</v>
      </c>
    </row>
    <row r="448" spans="1:3">
      <c r="A448" t="s">
        <v>868</v>
      </c>
      <c r="B448" t="s">
        <v>2105</v>
      </c>
      <c r="C448" s="2877">
        <v>230.23599999999999</v>
      </c>
    </row>
    <row r="449" spans="1:3">
      <c r="A449" t="s">
        <v>64</v>
      </c>
      <c r="B449" t="s">
        <v>2600</v>
      </c>
      <c r="C449" s="2877">
        <v>713.13599999999997</v>
      </c>
    </row>
    <row r="450" spans="1:3">
      <c r="A450" t="s">
        <v>2127</v>
      </c>
      <c r="B450" t="s">
        <v>32</v>
      </c>
      <c r="C450" s="2877">
        <v>18920.847000000002</v>
      </c>
    </row>
    <row r="451" spans="1:3">
      <c r="A451" t="s">
        <v>770</v>
      </c>
      <c r="B451" t="s">
        <v>1066</v>
      </c>
      <c r="C451" s="2877">
        <v>7434.7049999999999</v>
      </c>
    </row>
    <row r="452" spans="1:3">
      <c r="A452" t="s">
        <v>772</v>
      </c>
      <c r="B452" t="s">
        <v>33</v>
      </c>
      <c r="C452" s="2877">
        <v>40137.843000000001</v>
      </c>
    </row>
    <row r="453" spans="1:3">
      <c r="A453" t="s">
        <v>1865</v>
      </c>
      <c r="B453" t="s">
        <v>2374</v>
      </c>
      <c r="C453" s="2877">
        <v>4696.1790000000001</v>
      </c>
    </row>
    <row r="454" spans="1:3">
      <c r="A454" t="s">
        <v>2529</v>
      </c>
      <c r="B454" t="s">
        <v>817</v>
      </c>
      <c r="C454" s="2877">
        <v>30653.252</v>
      </c>
    </row>
    <row r="455" spans="1:3">
      <c r="A455" t="s">
        <v>2532</v>
      </c>
      <c r="B455" t="s">
        <v>2234</v>
      </c>
      <c r="C455" s="2877">
        <v>7098.8209999999999</v>
      </c>
    </row>
    <row r="456" spans="1:3">
      <c r="A456" t="s">
        <v>2538</v>
      </c>
      <c r="B456" t="s">
        <v>38</v>
      </c>
      <c r="C456" s="2877">
        <v>20168.781999999999</v>
      </c>
    </row>
    <row r="457" spans="1:3">
      <c r="A457" t="s">
        <v>211</v>
      </c>
      <c r="B457" t="s">
        <v>999</v>
      </c>
      <c r="C457" s="2877">
        <v>39533.495000000003</v>
      </c>
    </row>
    <row r="458" spans="1:3">
      <c r="A458" t="s">
        <v>1067</v>
      </c>
      <c r="B458" t="s">
        <v>75</v>
      </c>
      <c r="C458" s="2877">
        <v>2933.212</v>
      </c>
    </row>
    <row r="459" spans="1:3">
      <c r="A459" t="s">
        <v>1562</v>
      </c>
      <c r="B459" t="s">
        <v>2602</v>
      </c>
      <c r="C459" s="2877">
        <v>11112.547</v>
      </c>
    </row>
    <row r="460" spans="1:3">
      <c r="A460" t="s">
        <v>58</v>
      </c>
      <c r="B460" t="s">
        <v>1897</v>
      </c>
      <c r="C460" s="2877">
        <v>34708.724000000002</v>
      </c>
    </row>
    <row r="461" spans="1:3">
      <c r="A461" t="s">
        <v>723</v>
      </c>
      <c r="B461" t="s">
        <v>141</v>
      </c>
      <c r="C461" s="2877">
        <v>22098.437999999998</v>
      </c>
    </row>
    <row r="462" spans="1:3">
      <c r="A462" t="s">
        <v>60</v>
      </c>
      <c r="B462" t="s">
        <v>2299</v>
      </c>
      <c r="C462" s="2877">
        <v>1000.98</v>
      </c>
    </row>
    <row r="463" spans="1:3">
      <c r="A463" t="s">
        <v>512</v>
      </c>
      <c r="B463" t="s">
        <v>2242</v>
      </c>
      <c r="C463" s="2877">
        <v>1082.953</v>
      </c>
    </row>
    <row r="464" spans="1:3">
      <c r="A464" t="s">
        <v>1522</v>
      </c>
      <c r="B464" t="s">
        <v>2364</v>
      </c>
      <c r="C464" s="2877">
        <v>6111.8789999999999</v>
      </c>
    </row>
    <row r="465" spans="1:3">
      <c r="A465" t="s">
        <v>149</v>
      </c>
      <c r="B465" t="s">
        <v>2150</v>
      </c>
      <c r="C465" s="2877">
        <v>464.81099999999998</v>
      </c>
    </row>
    <row r="466" spans="1:3">
      <c r="A466" t="s">
        <v>2509</v>
      </c>
      <c r="B466" t="s">
        <v>898</v>
      </c>
      <c r="C466" s="2877">
        <v>408.69200000000001</v>
      </c>
    </row>
    <row r="467" spans="1:3">
      <c r="A467" t="s">
        <v>2402</v>
      </c>
      <c r="B467" t="s">
        <v>667</v>
      </c>
      <c r="C467" s="2877">
        <v>456.90100000000001</v>
      </c>
    </row>
    <row r="468" spans="1:3">
      <c r="A468" t="s">
        <v>1867</v>
      </c>
      <c r="B468" t="s">
        <v>2376</v>
      </c>
      <c r="C468" s="2877">
        <v>2453.7750000000001</v>
      </c>
    </row>
    <row r="469" spans="1:3">
      <c r="A469" t="s">
        <v>513</v>
      </c>
      <c r="B469" t="s">
        <v>2381</v>
      </c>
      <c r="C469" s="2877">
        <v>668.10199999999998</v>
      </c>
    </row>
    <row r="470" spans="1:3">
      <c r="A470" t="s">
        <v>42</v>
      </c>
      <c r="B470" t="s">
        <v>404</v>
      </c>
      <c r="C470" s="2877">
        <v>1103.6600000000001</v>
      </c>
    </row>
    <row r="471" spans="1:3">
      <c r="A471" t="s">
        <v>150</v>
      </c>
      <c r="B471" t="s">
        <v>2152</v>
      </c>
      <c r="C471" s="2877">
        <v>134.53200000000001</v>
      </c>
    </row>
    <row r="472" spans="1:3">
      <c r="A472" t="s">
        <v>521</v>
      </c>
      <c r="B472" t="s">
        <v>2243</v>
      </c>
      <c r="C472" s="2877">
        <v>224.07599999999999</v>
      </c>
    </row>
    <row r="473" spans="1:3">
      <c r="A473" t="s">
        <v>1563</v>
      </c>
      <c r="B473" t="s">
        <v>2603</v>
      </c>
      <c r="C473" s="2877">
        <v>2097.0569999999998</v>
      </c>
    </row>
    <row r="474" spans="1:3">
      <c r="A474" t="s">
        <v>522</v>
      </c>
      <c r="B474" t="s">
        <v>2419</v>
      </c>
      <c r="C474" s="2877">
        <v>346.05399999999997</v>
      </c>
    </row>
    <row r="475" spans="1:3">
      <c r="A475" t="s">
        <v>1540</v>
      </c>
      <c r="B475" t="s">
        <v>1346</v>
      </c>
      <c r="C475" s="2877">
        <v>566.21400000000006</v>
      </c>
    </row>
    <row r="476" spans="1:3">
      <c r="A476" t="s">
        <v>523</v>
      </c>
      <c r="B476" t="s">
        <v>2594</v>
      </c>
      <c r="C476" s="2877">
        <v>323.08100000000002</v>
      </c>
    </row>
    <row r="477" spans="1:3">
      <c r="A477" t="s">
        <v>1564</v>
      </c>
      <c r="B477" t="s">
        <v>2604</v>
      </c>
      <c r="C477" s="2877">
        <v>519.85699999999997</v>
      </c>
    </row>
    <row r="478" spans="1:3">
      <c r="A478" t="s">
        <v>1565</v>
      </c>
      <c r="B478" t="s">
        <v>2605</v>
      </c>
      <c r="C478" s="2877">
        <v>3625.7919999999999</v>
      </c>
    </row>
    <row r="479" spans="1:3">
      <c r="A479" t="s">
        <v>1241</v>
      </c>
      <c r="B479" t="s">
        <v>2606</v>
      </c>
      <c r="C479" s="2877">
        <v>537.05200000000002</v>
      </c>
    </row>
    <row r="480" spans="1:3">
      <c r="A480" t="s">
        <v>1843</v>
      </c>
      <c r="B480" t="s">
        <v>1929</v>
      </c>
      <c r="C480" s="2877">
        <v>574.73099999999999</v>
      </c>
    </row>
    <row r="481" spans="1:3">
      <c r="A481" t="s">
        <v>1242</v>
      </c>
      <c r="B481" t="s">
        <v>2607</v>
      </c>
      <c r="C481" s="2877">
        <v>856.91399999999999</v>
      </c>
    </row>
    <row r="482" spans="1:3">
      <c r="A482" t="s">
        <v>1243</v>
      </c>
      <c r="B482" t="s">
        <v>2608</v>
      </c>
      <c r="C482" s="2877">
        <v>290.39</v>
      </c>
    </row>
    <row r="483" spans="1:3">
      <c r="A483" t="s">
        <v>1244</v>
      </c>
      <c r="B483" t="s">
        <v>219</v>
      </c>
      <c r="C483" s="2877">
        <v>7952.1589999999997</v>
      </c>
    </row>
    <row r="484" spans="1:3">
      <c r="A484" t="s">
        <v>1772</v>
      </c>
      <c r="B484" t="s">
        <v>1566</v>
      </c>
      <c r="C484" s="2877">
        <v>462.08199999999999</v>
      </c>
    </row>
    <row r="485" spans="1:3">
      <c r="A485" t="s">
        <v>1516</v>
      </c>
      <c r="B485" t="s">
        <v>605</v>
      </c>
      <c r="C485" s="2877">
        <v>861.16899999999998</v>
      </c>
    </row>
    <row r="486" spans="1:3">
      <c r="A486" t="s">
        <v>180</v>
      </c>
      <c r="B486" t="s">
        <v>220</v>
      </c>
      <c r="C486" s="2877">
        <v>5049.8919999999998</v>
      </c>
    </row>
    <row r="487" spans="1:3">
      <c r="A487" t="s">
        <v>1497</v>
      </c>
      <c r="B487" t="s">
        <v>422</v>
      </c>
      <c r="C487" s="2877">
        <v>658.44799999999998</v>
      </c>
    </row>
    <row r="488" spans="1:3">
      <c r="A488" t="s">
        <v>181</v>
      </c>
      <c r="B488" t="s">
        <v>221</v>
      </c>
      <c r="C488" s="2877">
        <v>702.11800000000005</v>
      </c>
    </row>
    <row r="489" spans="1:3">
      <c r="A489" t="s">
        <v>1943</v>
      </c>
      <c r="B489" t="s">
        <v>2238</v>
      </c>
      <c r="C489" s="2877">
        <v>392.97300000000001</v>
      </c>
    </row>
    <row r="490" spans="1:3">
      <c r="A490" t="s">
        <v>182</v>
      </c>
      <c r="B490" t="s">
        <v>632</v>
      </c>
      <c r="C490" s="2877">
        <v>1232.673</v>
      </c>
    </row>
    <row r="491" spans="1:3">
      <c r="A491" t="s">
        <v>183</v>
      </c>
      <c r="B491" t="s">
        <v>633</v>
      </c>
      <c r="C491" s="2877">
        <v>422.98</v>
      </c>
    </row>
    <row r="492" spans="1:3">
      <c r="A492" t="s">
        <v>1498</v>
      </c>
      <c r="B492" t="s">
        <v>1942</v>
      </c>
      <c r="C492" s="2877">
        <v>384.04300000000001</v>
      </c>
    </row>
    <row r="493" spans="1:3">
      <c r="A493" t="s">
        <v>1421</v>
      </c>
      <c r="B493" t="s">
        <v>634</v>
      </c>
      <c r="C493" s="2877">
        <v>1957.626</v>
      </c>
    </row>
    <row r="494" spans="1:3">
      <c r="A494" t="s">
        <v>1261</v>
      </c>
      <c r="B494" t="s">
        <v>2165</v>
      </c>
      <c r="C494" s="2877">
        <v>768.32600000000002</v>
      </c>
    </row>
    <row r="495" spans="1:3">
      <c r="A495" t="s">
        <v>978</v>
      </c>
      <c r="B495" t="s">
        <v>2520</v>
      </c>
      <c r="C495" s="2877">
        <v>902.54700000000003</v>
      </c>
    </row>
    <row r="496" spans="1:3">
      <c r="A496" t="s">
        <v>979</v>
      </c>
      <c r="B496" t="s">
        <v>1570</v>
      </c>
      <c r="C496" s="2877">
        <v>692.66800000000001</v>
      </c>
    </row>
    <row r="497" spans="1:3">
      <c r="A497" t="s">
        <v>899</v>
      </c>
      <c r="B497" t="s">
        <v>1571</v>
      </c>
      <c r="C497" s="2877">
        <v>639.74</v>
      </c>
    </row>
    <row r="498" spans="1:3">
      <c r="A498" t="s">
        <v>1797</v>
      </c>
      <c r="B498" t="s">
        <v>1572</v>
      </c>
      <c r="C498" s="2877">
        <v>4825.9989999999998</v>
      </c>
    </row>
    <row r="499" spans="1:3">
      <c r="A499" t="s">
        <v>2677</v>
      </c>
      <c r="B499" t="s">
        <v>1573</v>
      </c>
      <c r="C499" s="2877">
        <v>1294.7739999999999</v>
      </c>
    </row>
    <row r="500" spans="1:3">
      <c r="A500" t="s">
        <v>2678</v>
      </c>
      <c r="B500" t="s">
        <v>1574</v>
      </c>
      <c r="C500" s="2877">
        <v>986.36800000000005</v>
      </c>
    </row>
    <row r="501" spans="1:3">
      <c r="A501" t="s">
        <v>1331</v>
      </c>
      <c r="B501" t="s">
        <v>1575</v>
      </c>
      <c r="C501" s="2877">
        <v>929.58199999999999</v>
      </c>
    </row>
    <row r="502" spans="1:3">
      <c r="A502" t="s">
        <v>2177</v>
      </c>
      <c r="B502" t="s">
        <v>1576</v>
      </c>
      <c r="C502" s="2877">
        <v>315.48500000000001</v>
      </c>
    </row>
    <row r="503" spans="1:3">
      <c r="A503" t="s">
        <v>1111</v>
      </c>
      <c r="B503" t="s">
        <v>1577</v>
      </c>
      <c r="C503" s="2877">
        <v>254.77199999999999</v>
      </c>
    </row>
    <row r="504" spans="1:3">
      <c r="A504" t="s">
        <v>1886</v>
      </c>
      <c r="B504" t="s">
        <v>651</v>
      </c>
      <c r="C504" s="2877">
        <v>1795.268</v>
      </c>
    </row>
    <row r="505" spans="1:3">
      <c r="A505" t="s">
        <v>1112</v>
      </c>
      <c r="B505" t="s">
        <v>1578</v>
      </c>
      <c r="C505" s="2877">
        <v>787.82600000000002</v>
      </c>
    </row>
    <row r="506" spans="1:3">
      <c r="A506" t="s">
        <v>1437</v>
      </c>
      <c r="B506" t="s">
        <v>1550</v>
      </c>
      <c r="C506" s="2877">
        <v>2133.52</v>
      </c>
    </row>
    <row r="507" spans="1:3">
      <c r="A507" t="s">
        <v>1058</v>
      </c>
      <c r="B507" t="s">
        <v>1579</v>
      </c>
      <c r="C507" s="2877">
        <v>5778.1040000000003</v>
      </c>
    </row>
    <row r="508" spans="1:3">
      <c r="A508" t="s">
        <v>1944</v>
      </c>
      <c r="B508" t="s">
        <v>2125</v>
      </c>
      <c r="C508" s="2877">
        <v>1306.011</v>
      </c>
    </row>
    <row r="509" spans="1:3">
      <c r="A509" t="s">
        <v>1584</v>
      </c>
      <c r="B509" t="s">
        <v>77</v>
      </c>
      <c r="C509" s="2877">
        <v>3241.2190000000001</v>
      </c>
    </row>
    <row r="510" spans="1:3">
      <c r="A510" t="s">
        <v>245</v>
      </c>
      <c r="B510" t="s">
        <v>1131</v>
      </c>
      <c r="C510" s="2877">
        <v>922.11699999999996</v>
      </c>
    </row>
    <row r="511" spans="1:3">
      <c r="A511" t="s">
        <v>1059</v>
      </c>
      <c r="B511" t="s">
        <v>1580</v>
      </c>
      <c r="C511" s="2877">
        <v>534.53700000000003</v>
      </c>
    </row>
    <row r="512" spans="1:3">
      <c r="A512" t="s">
        <v>875</v>
      </c>
      <c r="B512" t="s">
        <v>799</v>
      </c>
      <c r="C512" s="2877">
        <v>859.69200000000001</v>
      </c>
    </row>
    <row r="513" spans="1:3">
      <c r="A513" t="s">
        <v>1844</v>
      </c>
      <c r="B513" t="s">
        <v>1347</v>
      </c>
      <c r="C513" s="2877">
        <v>833.57100000000003</v>
      </c>
    </row>
    <row r="514" spans="1:3">
      <c r="A514" t="s">
        <v>1060</v>
      </c>
      <c r="B514" t="s">
        <v>1581</v>
      </c>
      <c r="C514" s="2877">
        <v>3460.8</v>
      </c>
    </row>
    <row r="515" spans="1:3">
      <c r="A515" t="s">
        <v>2140</v>
      </c>
      <c r="B515" t="s">
        <v>1046</v>
      </c>
      <c r="C515" s="2877">
        <v>1229.652</v>
      </c>
    </row>
    <row r="516" spans="1:3">
      <c r="A516" t="s">
        <v>2141</v>
      </c>
      <c r="B516" t="s">
        <v>1047</v>
      </c>
      <c r="C516" s="2877">
        <v>996.07600000000002</v>
      </c>
    </row>
    <row r="517" spans="1:3">
      <c r="A517" t="s">
        <v>1259</v>
      </c>
      <c r="B517" t="s">
        <v>2525</v>
      </c>
      <c r="C517" s="2877">
        <v>150.23699999999999</v>
      </c>
    </row>
    <row r="518" spans="1:3">
      <c r="A518" t="s">
        <v>1260</v>
      </c>
      <c r="B518" t="s">
        <v>1048</v>
      </c>
      <c r="C518" s="2877">
        <v>615.07399999999996</v>
      </c>
    </row>
    <row r="519" spans="1:3">
      <c r="A519" t="s">
        <v>923</v>
      </c>
      <c r="B519" t="s">
        <v>2462</v>
      </c>
      <c r="C519" s="2877">
        <v>374.892</v>
      </c>
    </row>
    <row r="520" spans="1:3">
      <c r="A520" t="s">
        <v>924</v>
      </c>
      <c r="B520" t="s">
        <v>2463</v>
      </c>
      <c r="C520" s="2877">
        <v>1470.806</v>
      </c>
    </row>
    <row r="521" spans="1:3">
      <c r="A521" t="s">
        <v>925</v>
      </c>
      <c r="B521" t="s">
        <v>1049</v>
      </c>
      <c r="C521" s="2877">
        <v>557.35199999999998</v>
      </c>
    </row>
    <row r="522" spans="1:3">
      <c r="A522" t="s">
        <v>926</v>
      </c>
      <c r="B522" t="s">
        <v>620</v>
      </c>
      <c r="C522" s="2877">
        <v>1971.85</v>
      </c>
    </row>
    <row r="523" spans="1:3">
      <c r="A523" t="s">
        <v>2577</v>
      </c>
      <c r="B523" t="s">
        <v>1481</v>
      </c>
      <c r="C523" s="2877">
        <v>978.28599999999994</v>
      </c>
    </row>
    <row r="524" spans="1:3">
      <c r="A524" t="s">
        <v>502</v>
      </c>
      <c r="B524" t="s">
        <v>621</v>
      </c>
      <c r="C524" s="2877">
        <v>1534.623</v>
      </c>
    </row>
    <row r="525" spans="1:3">
      <c r="A525" t="s">
        <v>2646</v>
      </c>
      <c r="B525" t="s">
        <v>2499</v>
      </c>
      <c r="C525" s="2877">
        <v>622.43299999999999</v>
      </c>
    </row>
    <row r="526" spans="1:3">
      <c r="A526" t="s">
        <v>883</v>
      </c>
      <c r="B526" t="s">
        <v>1447</v>
      </c>
      <c r="C526" s="2877">
        <v>1830.7349999999999</v>
      </c>
    </row>
    <row r="527" spans="1:3">
      <c r="A527" t="s">
        <v>44</v>
      </c>
      <c r="B527" t="s">
        <v>406</v>
      </c>
      <c r="C527" s="2877">
        <v>3707.9490000000001</v>
      </c>
    </row>
    <row r="528" spans="1:3">
      <c r="A528" t="s">
        <v>54</v>
      </c>
      <c r="B528" t="s">
        <v>2017</v>
      </c>
      <c r="C528" s="2877">
        <v>1959.2629999999999</v>
      </c>
    </row>
    <row r="529" spans="1:3">
      <c r="A529" t="s">
        <v>2647</v>
      </c>
      <c r="B529" t="s">
        <v>2500</v>
      </c>
      <c r="C529" s="2877">
        <v>649.24400000000003</v>
      </c>
    </row>
    <row r="530" spans="1:3">
      <c r="A530" t="s">
        <v>2648</v>
      </c>
      <c r="B530" t="s">
        <v>2501</v>
      </c>
      <c r="C530" s="2877">
        <v>652.05700000000002</v>
      </c>
    </row>
    <row r="531" spans="1:3">
      <c r="A531" t="s">
        <v>2649</v>
      </c>
      <c r="B531" t="s">
        <v>2295</v>
      </c>
      <c r="C531" s="2877">
        <v>232.875</v>
      </c>
    </row>
    <row r="532" spans="1:3">
      <c r="A532" t="s">
        <v>2540</v>
      </c>
      <c r="B532" t="s">
        <v>390</v>
      </c>
      <c r="C532" s="2877">
        <v>6228.4160000000002</v>
      </c>
    </row>
    <row r="533" spans="1:3">
      <c r="A533" t="s">
        <v>2292</v>
      </c>
      <c r="B533" t="s">
        <v>2296</v>
      </c>
      <c r="C533" s="2877">
        <v>11474.778</v>
      </c>
    </row>
    <row r="534" spans="1:3">
      <c r="A534" t="s">
        <v>2293</v>
      </c>
      <c r="B534" t="s">
        <v>2690</v>
      </c>
      <c r="C534" s="2877">
        <v>5503.8429999999998</v>
      </c>
    </row>
    <row r="535" spans="1:3">
      <c r="A535" t="s">
        <v>1325</v>
      </c>
      <c r="B535" t="s">
        <v>2691</v>
      </c>
      <c r="C535" s="2877">
        <v>23659.866999999998</v>
      </c>
    </row>
    <row r="536" spans="1:3">
      <c r="A536" t="s">
        <v>1326</v>
      </c>
      <c r="B536" t="s">
        <v>2692</v>
      </c>
      <c r="C536" s="2877">
        <v>489.17200000000003</v>
      </c>
    </row>
    <row r="537" spans="1:3">
      <c r="A537" t="s">
        <v>1309</v>
      </c>
      <c r="B537" t="s">
        <v>1734</v>
      </c>
      <c r="C537" s="2877">
        <v>2252.4360000000001</v>
      </c>
    </row>
    <row r="538" spans="1:3">
      <c r="A538" t="s">
        <v>1327</v>
      </c>
      <c r="B538" t="s">
        <v>1738</v>
      </c>
      <c r="C538" s="2877">
        <v>1702.1959999999999</v>
      </c>
    </row>
    <row r="539" spans="1:3">
      <c r="A539" t="s">
        <v>2019</v>
      </c>
      <c r="B539" t="s">
        <v>701</v>
      </c>
      <c r="C539" s="2877">
        <v>6374.2860000000001</v>
      </c>
    </row>
    <row r="540" spans="1:3">
      <c r="A540" t="s">
        <v>2323</v>
      </c>
      <c r="B540" t="s">
        <v>2681</v>
      </c>
      <c r="C540" s="2877">
        <v>952.97400000000005</v>
      </c>
    </row>
    <row r="541" spans="1:3">
      <c r="A541" t="s">
        <v>1413</v>
      </c>
      <c r="B541" t="s">
        <v>1016</v>
      </c>
      <c r="C541" s="2877">
        <v>2329.8020000000001</v>
      </c>
    </row>
    <row r="542" spans="1:3">
      <c r="A542" t="s">
        <v>216</v>
      </c>
      <c r="B542" t="s">
        <v>2102</v>
      </c>
      <c r="C542" s="2877">
        <v>1050.511</v>
      </c>
    </row>
    <row r="543" spans="1:3">
      <c r="A543" t="s">
        <v>1328</v>
      </c>
      <c r="B543" t="s">
        <v>1739</v>
      </c>
      <c r="C543" s="2877">
        <v>163.11099999999999</v>
      </c>
    </row>
    <row r="544" spans="1:3">
      <c r="A544" t="s">
        <v>195</v>
      </c>
      <c r="B544" t="s">
        <v>1051</v>
      </c>
      <c r="C544" s="2877">
        <v>4102.3580000000002</v>
      </c>
    </row>
    <row r="545" spans="1:3">
      <c r="A545" t="s">
        <v>1884</v>
      </c>
      <c r="B545" t="s">
        <v>1449</v>
      </c>
      <c r="C545" s="2877">
        <v>10897.306</v>
      </c>
    </row>
    <row r="546" spans="1:3">
      <c r="A546" t="s">
        <v>574</v>
      </c>
      <c r="B546" t="s">
        <v>1163</v>
      </c>
      <c r="C546" s="2877">
        <v>8222.3250000000007</v>
      </c>
    </row>
    <row r="547" spans="1:3">
      <c r="A547" t="s">
        <v>1798</v>
      </c>
      <c r="B547" t="s">
        <v>865</v>
      </c>
      <c r="C547" s="2877">
        <v>1531.537</v>
      </c>
    </row>
    <row r="548" spans="1:3">
      <c r="A548" t="s">
        <v>45</v>
      </c>
      <c r="B548" t="s">
        <v>407</v>
      </c>
      <c r="C548" s="2877">
        <v>5580.9</v>
      </c>
    </row>
    <row r="549" spans="1:3">
      <c r="A549" t="s">
        <v>1329</v>
      </c>
      <c r="B549" t="s">
        <v>2034</v>
      </c>
      <c r="C549" s="2877">
        <v>1249.001</v>
      </c>
    </row>
    <row r="550" spans="1:3">
      <c r="A550" t="s">
        <v>2324</v>
      </c>
      <c r="B550" t="s">
        <v>2695</v>
      </c>
      <c r="C550" s="2877">
        <v>1271.5119999999999</v>
      </c>
    </row>
    <row r="551" spans="1:3">
      <c r="A551" t="s">
        <v>255</v>
      </c>
      <c r="B551" t="s">
        <v>2644</v>
      </c>
      <c r="C551" s="2877">
        <v>2401.152</v>
      </c>
    </row>
    <row r="552" spans="1:3">
      <c r="A552" t="s">
        <v>1263</v>
      </c>
      <c r="B552" t="s">
        <v>2322</v>
      </c>
      <c r="C552" s="2877">
        <v>2031.702</v>
      </c>
    </row>
    <row r="553" spans="1:3">
      <c r="A553" t="s">
        <v>2097</v>
      </c>
      <c r="B553" t="s">
        <v>2417</v>
      </c>
      <c r="C553" s="2877">
        <v>1143.8720000000001</v>
      </c>
    </row>
    <row r="554" spans="1:3">
      <c r="A554" t="s">
        <v>1330</v>
      </c>
      <c r="B554" t="s">
        <v>2035</v>
      </c>
      <c r="C554" s="2877">
        <v>762.31</v>
      </c>
    </row>
    <row r="555" spans="1:3">
      <c r="A555" t="s">
        <v>1862</v>
      </c>
      <c r="B555" t="s">
        <v>829</v>
      </c>
      <c r="C555" s="2877">
        <v>1141.67</v>
      </c>
    </row>
    <row r="556" spans="1:3">
      <c r="A556" t="s">
        <v>2510</v>
      </c>
      <c r="B556" t="s">
        <v>144</v>
      </c>
      <c r="C556" s="2877">
        <v>250.33799999999999</v>
      </c>
    </row>
    <row r="557" spans="1:3">
      <c r="A557" t="s">
        <v>259</v>
      </c>
      <c r="B557" t="s">
        <v>1939</v>
      </c>
      <c r="C557" s="2877">
        <v>974.00099999999998</v>
      </c>
    </row>
    <row r="558" spans="1:3">
      <c r="A558" t="s">
        <v>47</v>
      </c>
      <c r="B558" t="s">
        <v>409</v>
      </c>
      <c r="C558" s="2877">
        <v>1481.011</v>
      </c>
    </row>
    <row r="559" spans="1:3">
      <c r="A559" t="s">
        <v>2511</v>
      </c>
      <c r="B559" t="s">
        <v>414</v>
      </c>
      <c r="C559" s="2877">
        <v>1070.72</v>
      </c>
    </row>
    <row r="560" spans="1:3">
      <c r="A560" t="s">
        <v>1153</v>
      </c>
      <c r="B560" t="s">
        <v>2036</v>
      </c>
      <c r="C560" s="2877">
        <v>487.88400000000001</v>
      </c>
    </row>
    <row r="561" spans="1:3">
      <c r="A561" t="s">
        <v>1686</v>
      </c>
      <c r="B561" t="s">
        <v>893</v>
      </c>
      <c r="C561" s="2877">
        <v>486.03800000000001</v>
      </c>
    </row>
    <row r="562" spans="1:3">
      <c r="A562" t="s">
        <v>2403</v>
      </c>
      <c r="B562" t="s">
        <v>416</v>
      </c>
      <c r="C562" s="2877">
        <v>3134.0920000000001</v>
      </c>
    </row>
    <row r="563" spans="1:3">
      <c r="A563" t="s">
        <v>1339</v>
      </c>
      <c r="B563" t="s">
        <v>111</v>
      </c>
      <c r="C563" s="2877">
        <v>8349.7999999999993</v>
      </c>
    </row>
    <row r="564" spans="1:3">
      <c r="A564" t="s">
        <v>49</v>
      </c>
      <c r="B564" t="s">
        <v>411</v>
      </c>
      <c r="C564" s="2877">
        <v>4566.8500000000004</v>
      </c>
    </row>
    <row r="565" spans="1:3">
      <c r="A565" t="s">
        <v>51</v>
      </c>
      <c r="B565" t="s">
        <v>413</v>
      </c>
      <c r="C565" s="2877">
        <v>2090.6060000000002</v>
      </c>
    </row>
    <row r="566" spans="1:3">
      <c r="A566" t="s">
        <v>2554</v>
      </c>
      <c r="B566" t="s">
        <v>2037</v>
      </c>
      <c r="C566" s="2877">
        <v>4075.3339999999998</v>
      </c>
    </row>
    <row r="567" spans="1:3">
      <c r="A567" t="s">
        <v>2555</v>
      </c>
      <c r="B567" t="s">
        <v>2038</v>
      </c>
      <c r="C567" s="2877">
        <v>5518.3620000000001</v>
      </c>
    </row>
    <row r="568" spans="1:3">
      <c r="A568" t="s">
        <v>494</v>
      </c>
      <c r="B568" t="s">
        <v>1246</v>
      </c>
      <c r="C568" s="2877">
        <v>1320.6489999999999</v>
      </c>
    </row>
    <row r="569" spans="1:3">
      <c r="A569" t="s">
        <v>2556</v>
      </c>
      <c r="B569" t="s">
        <v>2039</v>
      </c>
      <c r="C569" s="2877">
        <v>7126.9530000000004</v>
      </c>
    </row>
    <row r="570" spans="1:3">
      <c r="A570" t="s">
        <v>1539</v>
      </c>
      <c r="B570" t="s">
        <v>2040</v>
      </c>
      <c r="C570" s="2877">
        <v>1774.2760000000001</v>
      </c>
    </row>
    <row r="571" spans="1:3">
      <c r="A571" t="s">
        <v>2689</v>
      </c>
      <c r="B571" t="s">
        <v>2041</v>
      </c>
      <c r="C571" s="2877">
        <v>149.58000000000001</v>
      </c>
    </row>
    <row r="572" spans="1:3">
      <c r="A572" t="s">
        <v>2320</v>
      </c>
      <c r="B572" t="s">
        <v>2042</v>
      </c>
      <c r="C572" s="2877">
        <v>282.59399999999999</v>
      </c>
    </row>
    <row r="573" spans="1:3">
      <c r="A573" t="s">
        <v>1541</v>
      </c>
      <c r="B573" t="s">
        <v>659</v>
      </c>
      <c r="C573" s="2877">
        <v>940.07</v>
      </c>
    </row>
    <row r="574" spans="1:3">
      <c r="A574" t="s">
        <v>2545</v>
      </c>
      <c r="B574" t="s">
        <v>2043</v>
      </c>
      <c r="C574" s="2877">
        <v>290.25900000000001</v>
      </c>
    </row>
    <row r="575" spans="1:3">
      <c r="A575" t="s">
        <v>2546</v>
      </c>
      <c r="B575" t="s">
        <v>2044</v>
      </c>
      <c r="C575" s="2877">
        <v>5555.4709999999995</v>
      </c>
    </row>
    <row r="576" spans="1:3">
      <c r="A576" t="s">
        <v>487</v>
      </c>
      <c r="B576" t="s">
        <v>2045</v>
      </c>
      <c r="C576" s="2877">
        <v>1747.69</v>
      </c>
    </row>
    <row r="577" spans="1:3">
      <c r="A577" t="s">
        <v>2278</v>
      </c>
      <c r="B577" t="s">
        <v>2046</v>
      </c>
      <c r="C577" s="2877">
        <v>84.575000000000003</v>
      </c>
    </row>
    <row r="578" spans="1:3">
      <c r="A578" t="s">
        <v>2279</v>
      </c>
      <c r="B578" t="s">
        <v>2047</v>
      </c>
      <c r="C578" s="2877">
        <v>1121.5139999999999</v>
      </c>
    </row>
    <row r="579" spans="1:3">
      <c r="A579" t="s">
        <v>1534</v>
      </c>
      <c r="B579" t="s">
        <v>2048</v>
      </c>
      <c r="C579" s="2877">
        <v>258.92500000000001</v>
      </c>
    </row>
    <row r="580" spans="1:3">
      <c r="A580" t="s">
        <v>1535</v>
      </c>
      <c r="B580" t="s">
        <v>2049</v>
      </c>
      <c r="C580" s="2877">
        <v>1054.067</v>
      </c>
    </row>
    <row r="581" spans="1:3">
      <c r="A581" t="s">
        <v>2512</v>
      </c>
      <c r="B581" t="s">
        <v>2016</v>
      </c>
      <c r="C581" s="2877">
        <v>5035.9939999999997</v>
      </c>
    </row>
    <row r="582" spans="1:3">
      <c r="A582" t="s">
        <v>393</v>
      </c>
      <c r="B582" t="s">
        <v>2050</v>
      </c>
      <c r="C582" s="2877">
        <v>905.54100000000005</v>
      </c>
    </row>
    <row r="583" spans="1:3">
      <c r="A583" t="s">
        <v>394</v>
      </c>
      <c r="B583" t="s">
        <v>2051</v>
      </c>
      <c r="C583" s="2877">
        <v>897.93</v>
      </c>
    </row>
    <row r="584" spans="1:3">
      <c r="A584" t="s">
        <v>395</v>
      </c>
      <c r="B584" t="s">
        <v>2052</v>
      </c>
      <c r="C584" s="2877">
        <v>567.09799999999996</v>
      </c>
    </row>
    <row r="585" spans="1:3">
      <c r="A585" t="s">
        <v>2513</v>
      </c>
      <c r="B585" t="s">
        <v>1050</v>
      </c>
      <c r="C585" s="2877">
        <v>460.48200000000003</v>
      </c>
    </row>
    <row r="586" spans="1:3">
      <c r="A586" t="s">
        <v>242</v>
      </c>
      <c r="B586" t="s">
        <v>2053</v>
      </c>
      <c r="C586" s="2877">
        <v>632.29600000000005</v>
      </c>
    </row>
    <row r="587" spans="1:3">
      <c r="A587" t="s">
        <v>243</v>
      </c>
      <c r="B587" t="s">
        <v>2054</v>
      </c>
      <c r="C587" s="2877">
        <v>165.14699999999999</v>
      </c>
    </row>
    <row r="588" spans="1:3">
      <c r="A588" t="s">
        <v>244</v>
      </c>
      <c r="B588" t="s">
        <v>2055</v>
      </c>
      <c r="C588" s="2877">
        <v>1264.32</v>
      </c>
    </row>
    <row r="589" spans="1:3">
      <c r="A589" t="s">
        <v>2325</v>
      </c>
      <c r="B589" t="s">
        <v>612</v>
      </c>
      <c r="C589" s="2877">
        <v>365.19</v>
      </c>
    </row>
    <row r="590" spans="1:3">
      <c r="A590" t="s">
        <v>2023</v>
      </c>
      <c r="B590" t="s">
        <v>198</v>
      </c>
      <c r="C590" s="2877">
        <v>4677.1949999999997</v>
      </c>
    </row>
    <row r="591" spans="1:3">
      <c r="A591" t="s">
        <v>2076</v>
      </c>
      <c r="B591" t="s">
        <v>2429</v>
      </c>
      <c r="C591" s="2877">
        <v>3835.9169999999999</v>
      </c>
    </row>
    <row r="592" spans="1:3">
      <c r="A592" t="s">
        <v>2514</v>
      </c>
      <c r="B592" t="s">
        <v>2101</v>
      </c>
      <c r="C592" s="2877">
        <v>1608.3689999999999</v>
      </c>
    </row>
    <row r="593" spans="1:3">
      <c r="A593" t="s">
        <v>1557</v>
      </c>
      <c r="B593" t="s">
        <v>2430</v>
      </c>
      <c r="C593" s="2877">
        <v>288.14499999999998</v>
      </c>
    </row>
    <row r="594" spans="1:3">
      <c r="A594" t="s">
        <v>1558</v>
      </c>
      <c r="B594" t="s">
        <v>943</v>
      </c>
      <c r="C594" s="2877">
        <v>1969.7539999999999</v>
      </c>
    </row>
    <row r="595" spans="1:3">
      <c r="A595" t="s">
        <v>1412</v>
      </c>
      <c r="B595" t="s">
        <v>826</v>
      </c>
      <c r="C595" s="2877">
        <v>1272.98</v>
      </c>
    </row>
    <row r="596" spans="1:3">
      <c r="A596" t="s">
        <v>2261</v>
      </c>
      <c r="B596" t="s">
        <v>945</v>
      </c>
      <c r="C596" s="2877">
        <v>643.56600000000003</v>
      </c>
    </row>
    <row r="597" spans="1:3">
      <c r="A597" t="s">
        <v>2262</v>
      </c>
      <c r="B597" t="s">
        <v>946</v>
      </c>
      <c r="C597" s="2877">
        <v>682.91399999999999</v>
      </c>
    </row>
    <row r="598" spans="1:3">
      <c r="A598" t="s">
        <v>2263</v>
      </c>
      <c r="B598" t="s">
        <v>947</v>
      </c>
      <c r="C598" s="2877">
        <v>4217.3239999999996</v>
      </c>
    </row>
    <row r="599" spans="1:3">
      <c r="A599" t="s">
        <v>2264</v>
      </c>
      <c r="B599" t="s">
        <v>948</v>
      </c>
      <c r="C599" s="2877">
        <v>540.11699999999996</v>
      </c>
    </row>
    <row r="600" spans="1:3">
      <c r="A600" t="s">
        <v>2401</v>
      </c>
      <c r="B600" t="s">
        <v>1102</v>
      </c>
      <c r="C600" s="2877">
        <v>1798.904</v>
      </c>
    </row>
    <row r="601" spans="1:3">
      <c r="A601" t="s">
        <v>2265</v>
      </c>
      <c r="B601" t="s">
        <v>949</v>
      </c>
      <c r="C601" s="2877">
        <v>1401.9860000000001</v>
      </c>
    </row>
    <row r="602" spans="1:3">
      <c r="A602" t="s">
        <v>2266</v>
      </c>
      <c r="B602" t="s">
        <v>950</v>
      </c>
      <c r="C602" s="2877">
        <v>495.19400000000002</v>
      </c>
    </row>
    <row r="603" spans="1:3">
      <c r="A603" t="s">
        <v>2267</v>
      </c>
      <c r="B603" t="s">
        <v>951</v>
      </c>
      <c r="C603" s="2877">
        <v>847.60599999999999</v>
      </c>
    </row>
    <row r="604" spans="1:3">
      <c r="A604" t="s">
        <v>2268</v>
      </c>
      <c r="B604" t="s">
        <v>952</v>
      </c>
      <c r="C604" s="2877">
        <v>148.15799999999999</v>
      </c>
    </row>
    <row r="605" spans="1:3">
      <c r="A605" t="s">
        <v>2269</v>
      </c>
      <c r="B605" t="s">
        <v>953</v>
      </c>
      <c r="C605" s="2877">
        <v>174.62100000000001</v>
      </c>
    </row>
    <row r="606" spans="1:3">
      <c r="A606" t="s">
        <v>2586</v>
      </c>
      <c r="B606" t="s">
        <v>954</v>
      </c>
      <c r="C606" s="2877">
        <v>125.039</v>
      </c>
    </row>
    <row r="607" spans="1:3">
      <c r="A607" t="s">
        <v>2587</v>
      </c>
      <c r="B607" t="s">
        <v>955</v>
      </c>
      <c r="C607" s="2877">
        <v>2460.672</v>
      </c>
    </row>
    <row r="608" spans="1:3">
      <c r="A608" t="s">
        <v>2588</v>
      </c>
      <c r="B608" t="s">
        <v>956</v>
      </c>
      <c r="C608" s="2877">
        <v>1353.9269999999999</v>
      </c>
    </row>
    <row r="609" spans="1:3">
      <c r="A609" t="s">
        <v>2589</v>
      </c>
      <c r="B609" t="s">
        <v>957</v>
      </c>
      <c r="C609" s="2877">
        <v>286.50799999999998</v>
      </c>
    </row>
    <row r="610" spans="1:3">
      <c r="A610" t="s">
        <v>2590</v>
      </c>
      <c r="B610" t="s">
        <v>958</v>
      </c>
      <c r="C610" s="2877">
        <v>1218.7529999999999</v>
      </c>
    </row>
    <row r="611" spans="1:3">
      <c r="A611" t="s">
        <v>1381</v>
      </c>
      <c r="B611" t="s">
        <v>1824</v>
      </c>
      <c r="C611" s="2877">
        <v>1178.576</v>
      </c>
    </row>
    <row r="612" spans="1:3">
      <c r="A612" t="s">
        <v>1382</v>
      </c>
      <c r="B612" t="s">
        <v>1825</v>
      </c>
      <c r="C612" s="2877">
        <v>802.60900000000004</v>
      </c>
    </row>
    <row r="613" spans="1:3">
      <c r="A613" t="s">
        <v>2426</v>
      </c>
      <c r="B613" t="s">
        <v>1826</v>
      </c>
      <c r="C613" s="2877">
        <v>385.459</v>
      </c>
    </row>
    <row r="614" spans="1:3">
      <c r="A614" t="s">
        <v>2111</v>
      </c>
      <c r="B614" t="s">
        <v>2005</v>
      </c>
      <c r="C614" s="2877">
        <v>1181.212</v>
      </c>
    </row>
    <row r="615" spans="1:3">
      <c r="A615" t="s">
        <v>2633</v>
      </c>
      <c r="B615" t="s">
        <v>1164</v>
      </c>
      <c r="C615" s="2877">
        <v>4569.13</v>
      </c>
    </row>
    <row r="616" spans="1:3">
      <c r="A616" t="s">
        <v>2408</v>
      </c>
      <c r="B616" t="s">
        <v>2664</v>
      </c>
      <c r="C616" s="2877">
        <v>5866.0709999999999</v>
      </c>
    </row>
    <row r="617" spans="1:3">
      <c r="A617" t="s">
        <v>2112</v>
      </c>
      <c r="B617" t="s">
        <v>2006</v>
      </c>
      <c r="C617" s="2877">
        <v>209.07599999999999</v>
      </c>
    </row>
    <row r="618" spans="1:3">
      <c r="A618" t="s">
        <v>2515</v>
      </c>
      <c r="B618" t="s">
        <v>1735</v>
      </c>
      <c r="C618" s="2877">
        <v>1669.7190000000001</v>
      </c>
    </row>
    <row r="619" spans="1:3">
      <c r="A619" t="s">
        <v>1116</v>
      </c>
      <c r="B619" t="s">
        <v>2384</v>
      </c>
      <c r="C619" s="2877">
        <v>821.30799999999999</v>
      </c>
    </row>
    <row r="620" spans="1:3">
      <c r="A620" t="s">
        <v>2113</v>
      </c>
      <c r="B620" t="s">
        <v>543</v>
      </c>
      <c r="C620" s="2877">
        <v>2858.7779999999998</v>
      </c>
    </row>
    <row r="621" spans="1:3">
      <c r="A621" t="s">
        <v>2114</v>
      </c>
      <c r="B621" t="s">
        <v>544</v>
      </c>
      <c r="C621" s="2877">
        <v>2418.5619999999999</v>
      </c>
    </row>
    <row r="622" spans="1:3">
      <c r="A622" t="s">
        <v>967</v>
      </c>
      <c r="B622" t="s">
        <v>1554</v>
      </c>
      <c r="C622" s="2877">
        <v>497.96</v>
      </c>
    </row>
    <row r="623" spans="1:3">
      <c r="A623" t="s">
        <v>1337</v>
      </c>
      <c r="B623" t="s">
        <v>545</v>
      </c>
      <c r="C623" s="2877">
        <v>2050.3890000000001</v>
      </c>
    </row>
    <row r="624" spans="1:3">
      <c r="A624" t="s">
        <v>1689</v>
      </c>
      <c r="B624" t="s">
        <v>546</v>
      </c>
      <c r="C624" s="2877">
        <v>3186.6750000000002</v>
      </c>
    </row>
    <row r="625" spans="1:3">
      <c r="A625" t="s">
        <v>1690</v>
      </c>
      <c r="B625" t="s">
        <v>547</v>
      </c>
      <c r="C625" s="2877">
        <v>700.04499999999996</v>
      </c>
    </row>
    <row r="626" spans="1:3">
      <c r="A626" t="s">
        <v>2557</v>
      </c>
      <c r="B626" t="s">
        <v>548</v>
      </c>
      <c r="C626" s="2877">
        <v>268.75700000000001</v>
      </c>
    </row>
    <row r="627" spans="1:3">
      <c r="A627" t="s">
        <v>2558</v>
      </c>
      <c r="B627" t="s">
        <v>549</v>
      </c>
      <c r="C627" s="2877">
        <v>239.75800000000001</v>
      </c>
    </row>
    <row r="628" spans="1:3">
      <c r="A628" t="s">
        <v>2659</v>
      </c>
      <c r="B628" t="s">
        <v>550</v>
      </c>
      <c r="C628" s="2877">
        <v>243.26300000000001</v>
      </c>
    </row>
    <row r="629" spans="1:3">
      <c r="A629" t="s">
        <v>837</v>
      </c>
      <c r="B629" t="s">
        <v>551</v>
      </c>
      <c r="C629" s="2877">
        <v>1630.924</v>
      </c>
    </row>
    <row r="630" spans="1:3">
      <c r="A630" t="s">
        <v>82</v>
      </c>
      <c r="B630" t="s">
        <v>552</v>
      </c>
      <c r="C630" s="2877">
        <v>1061.9690000000001</v>
      </c>
    </row>
    <row r="631" spans="1:3">
      <c r="A631" t="s">
        <v>83</v>
      </c>
      <c r="B631" t="s">
        <v>553</v>
      </c>
      <c r="C631" s="2877">
        <v>2296.9059999999999</v>
      </c>
    </row>
    <row r="632" spans="1:3">
      <c r="A632" t="s">
        <v>2284</v>
      </c>
      <c r="B632" t="s">
        <v>586</v>
      </c>
      <c r="C632" s="2877">
        <v>33828.667000000001</v>
      </c>
    </row>
    <row r="633" spans="1:3">
      <c r="A633" t="s">
        <v>2410</v>
      </c>
      <c r="B633" t="s">
        <v>554</v>
      </c>
      <c r="C633" s="2877">
        <v>1107.173</v>
      </c>
    </row>
    <row r="634" spans="1:3">
      <c r="A634" t="s">
        <v>2411</v>
      </c>
      <c r="B634" t="s">
        <v>555</v>
      </c>
      <c r="C634" s="2877">
        <v>1826.1389999999999</v>
      </c>
    </row>
    <row r="635" spans="1:3">
      <c r="A635" t="s">
        <v>2104</v>
      </c>
      <c r="B635" t="s">
        <v>587</v>
      </c>
      <c r="C635" s="2877">
        <v>4274.4489999999996</v>
      </c>
    </row>
    <row r="636" spans="1:3">
      <c r="A636" t="s">
        <v>1423</v>
      </c>
      <c r="B636" t="s">
        <v>2303</v>
      </c>
      <c r="C636" s="2877">
        <v>8078.4690000000001</v>
      </c>
    </row>
    <row r="637" spans="1:3">
      <c r="A637" t="s">
        <v>2412</v>
      </c>
      <c r="B637" t="s">
        <v>556</v>
      </c>
      <c r="C637" s="2877">
        <v>1676.6420000000001</v>
      </c>
    </row>
    <row r="638" spans="1:3">
      <c r="A638" t="s">
        <v>496</v>
      </c>
      <c r="B638" t="s">
        <v>1248</v>
      </c>
      <c r="C638" s="2877">
        <v>1846.7170000000001</v>
      </c>
    </row>
    <row r="639" spans="1:3">
      <c r="A639" t="s">
        <v>677</v>
      </c>
      <c r="B639" t="s">
        <v>557</v>
      </c>
      <c r="C639" s="2877">
        <v>1300.49</v>
      </c>
    </row>
    <row r="640" spans="1:3">
      <c r="A640" t="s">
        <v>2347</v>
      </c>
      <c r="B640" t="s">
        <v>2626</v>
      </c>
      <c r="C640" s="2877">
        <v>608.67700000000002</v>
      </c>
    </row>
    <row r="641" spans="1:3">
      <c r="A641" t="s">
        <v>2348</v>
      </c>
      <c r="B641" t="s">
        <v>559</v>
      </c>
      <c r="C641" s="2877">
        <v>1044.1120000000001</v>
      </c>
    </row>
    <row r="642" spans="1:3">
      <c r="A642" t="s">
        <v>2349</v>
      </c>
      <c r="B642" t="s">
        <v>560</v>
      </c>
      <c r="C642" s="2877">
        <v>308.76499999999999</v>
      </c>
    </row>
    <row r="643" spans="1:3">
      <c r="A643" t="s">
        <v>1464</v>
      </c>
      <c r="B643" t="s">
        <v>561</v>
      </c>
      <c r="C643" s="2877">
        <v>264.30099999999999</v>
      </c>
    </row>
    <row r="644" spans="1:3">
      <c r="A644" t="s">
        <v>2091</v>
      </c>
      <c r="B644" t="s">
        <v>37</v>
      </c>
      <c r="C644" s="2877">
        <v>2916.828</v>
      </c>
    </row>
    <row r="645" spans="1:3">
      <c r="A645" t="s">
        <v>1465</v>
      </c>
      <c r="B645" t="s">
        <v>562</v>
      </c>
      <c r="C645" s="2877">
        <v>519.22199999999998</v>
      </c>
    </row>
    <row r="646" spans="1:3">
      <c r="A646" t="s">
        <v>382</v>
      </c>
      <c r="B646" t="s">
        <v>563</v>
      </c>
      <c r="C646" s="2877">
        <v>1864.62</v>
      </c>
    </row>
    <row r="647" spans="1:3">
      <c r="A647" t="s">
        <v>383</v>
      </c>
      <c r="B647" t="s">
        <v>564</v>
      </c>
      <c r="C647" s="2877">
        <v>1228.9069999999999</v>
      </c>
    </row>
    <row r="648" spans="1:3">
      <c r="A648" t="s">
        <v>384</v>
      </c>
      <c r="B648" t="s">
        <v>565</v>
      </c>
      <c r="C648" s="2877">
        <v>323.35599999999999</v>
      </c>
    </row>
    <row r="649" spans="1:3">
      <c r="A649" t="s">
        <v>1655</v>
      </c>
      <c r="B649" t="s">
        <v>566</v>
      </c>
      <c r="C649" s="2877">
        <v>1068.752</v>
      </c>
    </row>
    <row r="650" spans="1:3">
      <c r="A650" t="s">
        <v>1656</v>
      </c>
      <c r="B650" t="s">
        <v>567</v>
      </c>
      <c r="C650" s="2877">
        <v>4998.5680000000002</v>
      </c>
    </row>
    <row r="651" spans="1:3">
      <c r="A651" t="s">
        <v>173</v>
      </c>
      <c r="B651" t="s">
        <v>1745</v>
      </c>
      <c r="C651" s="2877">
        <v>1332.2329999999999</v>
      </c>
    </row>
    <row r="652" spans="1:3">
      <c r="A652" t="s">
        <v>2128</v>
      </c>
      <c r="B652" t="s">
        <v>1746</v>
      </c>
      <c r="C652" s="2877">
        <v>154.709</v>
      </c>
    </row>
    <row r="653" spans="1:3">
      <c r="A653" t="s">
        <v>2129</v>
      </c>
      <c r="B653" t="s">
        <v>1747</v>
      </c>
      <c r="C653" s="2877">
        <v>2044.3710000000001</v>
      </c>
    </row>
    <row r="654" spans="1:3">
      <c r="A654" t="s">
        <v>2130</v>
      </c>
      <c r="B654" t="s">
        <v>1748</v>
      </c>
      <c r="C654" s="2877">
        <v>1489.393</v>
      </c>
    </row>
    <row r="655" spans="1:3">
      <c r="A655" t="s">
        <v>1813</v>
      </c>
      <c r="B655" t="s">
        <v>1062</v>
      </c>
      <c r="C655" s="2877">
        <v>18486.315999999999</v>
      </c>
    </row>
    <row r="656" spans="1:3">
      <c r="A656" t="s">
        <v>880</v>
      </c>
      <c r="B656" t="s">
        <v>1854</v>
      </c>
      <c r="C656" s="2877">
        <v>1923.51</v>
      </c>
    </row>
    <row r="657" spans="1:3">
      <c r="A657" t="s">
        <v>1403</v>
      </c>
      <c r="B657" t="s">
        <v>1749</v>
      </c>
      <c r="C657" s="2877">
        <v>383.91300000000001</v>
      </c>
    </row>
    <row r="658" spans="1:3">
      <c r="A658" t="s">
        <v>1988</v>
      </c>
      <c r="B658" t="s">
        <v>2228</v>
      </c>
      <c r="C658" s="2877">
        <v>252.14400000000001</v>
      </c>
    </row>
    <row r="659" spans="1:3">
      <c r="A659" t="s">
        <v>968</v>
      </c>
      <c r="B659" t="s">
        <v>417</v>
      </c>
      <c r="C659" s="2877">
        <v>854.505</v>
      </c>
    </row>
    <row r="660" spans="1:3">
      <c r="A660" t="s">
        <v>900</v>
      </c>
      <c r="B660" t="s">
        <v>1922</v>
      </c>
      <c r="C660" s="2877">
        <v>7386.0420000000004</v>
      </c>
    </row>
    <row r="661" spans="1:3">
      <c r="A661" t="s">
        <v>702</v>
      </c>
      <c r="B661" t="s">
        <v>1899</v>
      </c>
      <c r="C661" s="2877">
        <v>3655.2919999999999</v>
      </c>
    </row>
    <row r="662" spans="1:3">
      <c r="A662" t="s">
        <v>969</v>
      </c>
      <c r="B662" t="s">
        <v>1257</v>
      </c>
      <c r="C662" s="2877">
        <v>1992.3689999999999</v>
      </c>
    </row>
    <row r="663" spans="1:3">
      <c r="A663" t="s">
        <v>1835</v>
      </c>
      <c r="B663" t="s">
        <v>2064</v>
      </c>
      <c r="C663" s="2877">
        <v>901.49699999999996</v>
      </c>
    </row>
    <row r="664" spans="1:3">
      <c r="A664" t="s">
        <v>1542</v>
      </c>
      <c r="B664" t="s">
        <v>819</v>
      </c>
      <c r="C664" s="2877">
        <v>1725.3109999999999</v>
      </c>
    </row>
    <row r="665" spans="1:3">
      <c r="A665" t="s">
        <v>113</v>
      </c>
      <c r="B665" t="s">
        <v>1750</v>
      </c>
      <c r="C665" s="2877">
        <v>1134.087</v>
      </c>
    </row>
    <row r="666" spans="1:3">
      <c r="A666" t="s">
        <v>2086</v>
      </c>
      <c r="B666" t="s">
        <v>1740</v>
      </c>
      <c r="C666" s="2877">
        <v>830.13699999999994</v>
      </c>
    </row>
    <row r="667" spans="1:3">
      <c r="A667" t="s">
        <v>341</v>
      </c>
      <c r="B667" t="s">
        <v>136</v>
      </c>
      <c r="C667" s="2877">
        <v>19309.815999999999</v>
      </c>
    </row>
    <row r="668" spans="1:3">
      <c r="A668" t="s">
        <v>344</v>
      </c>
      <c r="B668" t="s">
        <v>1430</v>
      </c>
      <c r="C668" s="2877">
        <v>1927.818</v>
      </c>
    </row>
    <row r="669" spans="1:3">
      <c r="A669" t="s">
        <v>2460</v>
      </c>
      <c r="B669" t="s">
        <v>1751</v>
      </c>
      <c r="C669" s="2877">
        <v>1402.2670000000001</v>
      </c>
    </row>
    <row r="670" spans="1:3">
      <c r="A670" t="s">
        <v>2461</v>
      </c>
      <c r="B670" t="s">
        <v>1752</v>
      </c>
      <c r="C670" s="2877">
        <v>1370.039</v>
      </c>
    </row>
    <row r="671" spans="1:3">
      <c r="A671" t="s">
        <v>72</v>
      </c>
      <c r="B671" t="s">
        <v>1160</v>
      </c>
      <c r="C671" s="2877">
        <v>2622.6640000000002</v>
      </c>
    </row>
    <row r="672" spans="1:3">
      <c r="A672" t="s">
        <v>2310</v>
      </c>
      <c r="B672" t="s">
        <v>1552</v>
      </c>
      <c r="C672" s="2877">
        <v>3321.3339999999998</v>
      </c>
    </row>
    <row r="673" spans="1:3">
      <c r="A673" t="s">
        <v>164</v>
      </c>
      <c r="B673" t="s">
        <v>2698</v>
      </c>
      <c r="C673" s="2877">
        <v>2751.4479999999999</v>
      </c>
    </row>
    <row r="674" spans="1:3">
      <c r="A674" t="s">
        <v>879</v>
      </c>
      <c r="B674" t="s">
        <v>1348</v>
      </c>
      <c r="C674" s="2877">
        <v>762.61599999999999</v>
      </c>
    </row>
    <row r="675" spans="1:3">
      <c r="A675" t="s">
        <v>1837</v>
      </c>
      <c r="B675" t="s">
        <v>1753</v>
      </c>
      <c r="C675" s="2877">
        <v>184.15899999999999</v>
      </c>
    </row>
    <row r="676" spans="1:3">
      <c r="A676" t="s">
        <v>258</v>
      </c>
      <c r="B676" t="s">
        <v>1754</v>
      </c>
      <c r="C676" s="2877">
        <v>247.07300000000001</v>
      </c>
    </row>
    <row r="677" spans="1:3">
      <c r="A677" t="s">
        <v>1585</v>
      </c>
      <c r="B677" t="s">
        <v>1755</v>
      </c>
      <c r="C677" s="2877">
        <v>288.60399999999998</v>
      </c>
    </row>
    <row r="678" spans="1:3">
      <c r="A678" t="s">
        <v>1134</v>
      </c>
      <c r="B678" t="s">
        <v>2669</v>
      </c>
      <c r="C678" s="2877">
        <v>2538.252</v>
      </c>
    </row>
    <row r="679" spans="1:3">
      <c r="A679" t="s">
        <v>1989</v>
      </c>
      <c r="B679" t="s">
        <v>2627</v>
      </c>
      <c r="C679" s="2877">
        <v>601.77200000000005</v>
      </c>
    </row>
    <row r="680" spans="1:3">
      <c r="A680" t="s">
        <v>920</v>
      </c>
      <c r="B680" t="s">
        <v>2244</v>
      </c>
      <c r="C680" s="2877">
        <v>1514.171</v>
      </c>
    </row>
    <row r="681" spans="1:3">
      <c r="A681" t="s">
        <v>171</v>
      </c>
      <c r="B681" t="s">
        <v>2378</v>
      </c>
      <c r="C681" s="2877">
        <v>2877.556</v>
      </c>
    </row>
    <row r="682" spans="1:3">
      <c r="A682" t="s">
        <v>2531</v>
      </c>
      <c r="B682" t="s">
        <v>823</v>
      </c>
      <c r="C682" s="2877">
        <v>4055.7020000000002</v>
      </c>
    </row>
    <row r="683" spans="1:3">
      <c r="A683" t="s">
        <v>2583</v>
      </c>
      <c r="B683" t="s">
        <v>1756</v>
      </c>
      <c r="C683" s="2877">
        <v>626.673</v>
      </c>
    </row>
    <row r="684" spans="1:3">
      <c r="A684" t="s">
        <v>2534</v>
      </c>
      <c r="B684" t="s">
        <v>2236</v>
      </c>
      <c r="C684" s="2877">
        <v>24857.95</v>
      </c>
    </row>
    <row r="685" spans="1:3">
      <c r="A685" t="s">
        <v>1300</v>
      </c>
      <c r="B685" t="s">
        <v>1757</v>
      </c>
      <c r="C685" s="2877">
        <v>1999.9480000000001</v>
      </c>
    </row>
    <row r="686" spans="1:3">
      <c r="A686" t="s">
        <v>1887</v>
      </c>
      <c r="B686" t="s">
        <v>652</v>
      </c>
      <c r="C686" s="2877">
        <v>2161.6750000000002</v>
      </c>
    </row>
    <row r="687" spans="1:3">
      <c r="A687" t="s">
        <v>1360</v>
      </c>
      <c r="B687" t="s">
        <v>1758</v>
      </c>
      <c r="C687" s="2877">
        <v>243.328</v>
      </c>
    </row>
    <row r="688" spans="1:3">
      <c r="A688" t="s">
        <v>2535</v>
      </c>
      <c r="B688" t="s">
        <v>1759</v>
      </c>
      <c r="C688" s="2877">
        <v>715.94500000000005</v>
      </c>
    </row>
    <row r="689" spans="1:3">
      <c r="A689" t="s">
        <v>2197</v>
      </c>
      <c r="B689" t="s">
        <v>1760</v>
      </c>
      <c r="C689" s="2877">
        <v>2314.4090000000001</v>
      </c>
    </row>
    <row r="690" spans="1:3">
      <c r="A690" t="s">
        <v>930</v>
      </c>
      <c r="B690" t="s">
        <v>1761</v>
      </c>
      <c r="C690" s="2877">
        <v>870.15300000000002</v>
      </c>
    </row>
    <row r="691" spans="1:3">
      <c r="A691" t="s">
        <v>375</v>
      </c>
      <c r="B691" t="s">
        <v>2637</v>
      </c>
      <c r="C691" s="2877">
        <v>334.15100000000001</v>
      </c>
    </row>
    <row r="692" spans="1:3">
      <c r="A692" t="s">
        <v>1264</v>
      </c>
      <c r="B692" t="s">
        <v>860</v>
      </c>
      <c r="C692" s="2877">
        <v>925.11199999999997</v>
      </c>
    </row>
    <row r="693" spans="1:3">
      <c r="A693" t="s">
        <v>2671</v>
      </c>
      <c r="B693" t="s">
        <v>1762</v>
      </c>
      <c r="C693" s="2877">
        <v>283.54300000000001</v>
      </c>
    </row>
    <row r="694" spans="1:3">
      <c r="A694" t="s">
        <v>2672</v>
      </c>
      <c r="B694" t="s">
        <v>1763</v>
      </c>
      <c r="C694" s="2877">
        <v>163.31200000000001</v>
      </c>
    </row>
    <row r="695" spans="1:3">
      <c r="A695" t="s">
        <v>1990</v>
      </c>
      <c r="B695" t="s">
        <v>73</v>
      </c>
      <c r="C695" s="2877">
        <v>218.35900000000001</v>
      </c>
    </row>
    <row r="696" spans="1:3">
      <c r="A696" t="s">
        <v>2673</v>
      </c>
      <c r="B696" t="s">
        <v>1764</v>
      </c>
      <c r="C696" s="2877">
        <v>1626.761</v>
      </c>
    </row>
    <row r="697" spans="1:3">
      <c r="A697" t="s">
        <v>2674</v>
      </c>
      <c r="B697" t="s">
        <v>1765</v>
      </c>
      <c r="C697" s="2877">
        <v>272.93599999999998</v>
      </c>
    </row>
    <row r="698" spans="1:3">
      <c r="A698" t="s">
        <v>1486</v>
      </c>
      <c r="B698" t="s">
        <v>1766</v>
      </c>
      <c r="C698" s="2877">
        <v>324.59199999999998</v>
      </c>
    </row>
    <row r="699" spans="1:3">
      <c r="A699" t="s">
        <v>1318</v>
      </c>
      <c r="B699" t="s">
        <v>1366</v>
      </c>
      <c r="C699" s="2877">
        <v>2016.5250000000001</v>
      </c>
    </row>
    <row r="700" spans="1:3">
      <c r="A700" t="s">
        <v>1432</v>
      </c>
      <c r="B700" t="s">
        <v>1367</v>
      </c>
      <c r="C700" s="2877">
        <v>1253.2539999999999</v>
      </c>
    </row>
    <row r="701" spans="1:3">
      <c r="A701" t="s">
        <v>804</v>
      </c>
      <c r="B701" t="s">
        <v>1368</v>
      </c>
      <c r="C701" s="2877">
        <v>251.99600000000001</v>
      </c>
    </row>
    <row r="702" spans="1:3">
      <c r="A702" t="s">
        <v>1495</v>
      </c>
      <c r="B702" t="s">
        <v>2245</v>
      </c>
      <c r="C702" s="2877">
        <v>155.023</v>
      </c>
    </row>
    <row r="703" spans="1:3">
      <c r="A703" t="s">
        <v>1496</v>
      </c>
      <c r="B703" t="s">
        <v>2246</v>
      </c>
      <c r="C703" s="2877">
        <v>241.14</v>
      </c>
    </row>
    <row r="704" spans="1:3">
      <c r="A704" t="s">
        <v>1272</v>
      </c>
      <c r="B704" t="s">
        <v>2247</v>
      </c>
      <c r="C704" s="2877">
        <v>292.18200000000002</v>
      </c>
    </row>
    <row r="705" spans="1:3">
      <c r="A705" t="s">
        <v>1531</v>
      </c>
      <c r="B705" t="s">
        <v>2248</v>
      </c>
      <c r="C705" s="2877">
        <v>443.10199999999998</v>
      </c>
    </row>
    <row r="706" spans="1:3">
      <c r="A706" t="s">
        <v>2311</v>
      </c>
      <c r="B706" t="s">
        <v>1553</v>
      </c>
      <c r="C706" s="2877">
        <v>56811.938999999998</v>
      </c>
    </row>
    <row r="707" spans="1:3">
      <c r="A707" t="s">
        <v>1532</v>
      </c>
      <c r="B707" t="s">
        <v>2249</v>
      </c>
      <c r="C707" s="2877">
        <v>7141.0990000000002</v>
      </c>
    </row>
    <row r="708" spans="1:3">
      <c r="A708" t="s">
        <v>1182</v>
      </c>
      <c r="B708" t="s">
        <v>1127</v>
      </c>
      <c r="C708" s="2877">
        <v>7165.415</v>
      </c>
    </row>
    <row r="709" spans="1:3">
      <c r="A709" t="s">
        <v>346</v>
      </c>
      <c r="B709" t="s">
        <v>288</v>
      </c>
      <c r="C709" s="2877">
        <v>13497.027</v>
      </c>
    </row>
    <row r="710" spans="1:3">
      <c r="A710" t="s">
        <v>1508</v>
      </c>
      <c r="B710" t="s">
        <v>1935</v>
      </c>
      <c r="C710" s="2877">
        <v>4229.2259999999997</v>
      </c>
    </row>
    <row r="711" spans="1:3">
      <c r="A711" t="s">
        <v>703</v>
      </c>
      <c r="B711" t="s">
        <v>1142</v>
      </c>
      <c r="C711" s="2877">
        <v>11201.727000000001</v>
      </c>
    </row>
    <row r="712" spans="1:3">
      <c r="A712" t="s">
        <v>1868</v>
      </c>
      <c r="B712" t="s">
        <v>2250</v>
      </c>
      <c r="C712" s="2877">
        <v>5140.1499999999996</v>
      </c>
    </row>
    <row r="713" spans="1:3">
      <c r="A713" t="s">
        <v>1869</v>
      </c>
      <c r="B713" t="s">
        <v>2251</v>
      </c>
      <c r="C713" s="2877">
        <v>814.58900000000006</v>
      </c>
    </row>
    <row r="714" spans="1:3">
      <c r="A714" t="s">
        <v>1870</v>
      </c>
      <c r="B714" t="s">
        <v>2252</v>
      </c>
      <c r="C714" s="2877">
        <v>1820.01</v>
      </c>
    </row>
    <row r="715" spans="1:3">
      <c r="A715" t="s">
        <v>1871</v>
      </c>
      <c r="B715" t="s">
        <v>2628</v>
      </c>
      <c r="C715" s="2877">
        <v>1363.1890000000001</v>
      </c>
    </row>
    <row r="716" spans="1:3">
      <c r="A716" t="s">
        <v>2353</v>
      </c>
      <c r="B716" t="s">
        <v>2254</v>
      </c>
      <c r="C716" s="2877">
        <v>327.79899999999998</v>
      </c>
    </row>
    <row r="717" spans="1:3">
      <c r="A717" t="s">
        <v>704</v>
      </c>
      <c r="B717" t="s">
        <v>1161</v>
      </c>
      <c r="C717" s="2877">
        <v>531.02</v>
      </c>
    </row>
    <row r="718" spans="1:3">
      <c r="A718" t="s">
        <v>524</v>
      </c>
      <c r="B718" t="s">
        <v>2255</v>
      </c>
      <c r="C718" s="2877">
        <v>729.101</v>
      </c>
    </row>
    <row r="719" spans="1:3">
      <c r="A719" t="s">
        <v>705</v>
      </c>
      <c r="B719" t="s">
        <v>453</v>
      </c>
      <c r="C719" s="2877">
        <v>988.67499999999995</v>
      </c>
    </row>
    <row r="720" spans="1:3">
      <c r="A720" t="s">
        <v>525</v>
      </c>
      <c r="B720" t="s">
        <v>2256</v>
      </c>
      <c r="C720" s="2877">
        <v>7598.17</v>
      </c>
    </row>
    <row r="721" spans="1:3">
      <c r="A721" t="s">
        <v>376</v>
      </c>
      <c r="B721" t="s">
        <v>1130</v>
      </c>
      <c r="C721" s="2877">
        <v>1256.9680000000001</v>
      </c>
    </row>
    <row r="722" spans="1:3">
      <c r="A722" t="s">
        <v>526</v>
      </c>
      <c r="B722" t="s">
        <v>2257</v>
      </c>
      <c r="C722" s="2877">
        <v>1130.605</v>
      </c>
    </row>
    <row r="723" spans="1:3">
      <c r="A723" t="s">
        <v>527</v>
      </c>
      <c r="B723" t="s">
        <v>2258</v>
      </c>
      <c r="C723" s="2877">
        <v>522.45399999999995</v>
      </c>
    </row>
    <row r="724" spans="1:3">
      <c r="A724" t="s">
        <v>774</v>
      </c>
      <c r="B724" t="s">
        <v>891</v>
      </c>
      <c r="C724" s="2877">
        <v>215.12899999999999</v>
      </c>
    </row>
    <row r="725" spans="1:3">
      <c r="A725" t="s">
        <v>528</v>
      </c>
      <c r="B725" t="s">
        <v>2259</v>
      </c>
      <c r="C725" s="2877">
        <v>540.26</v>
      </c>
    </row>
    <row r="726" spans="1:3">
      <c r="A726" t="s">
        <v>529</v>
      </c>
      <c r="B726" t="s">
        <v>307</v>
      </c>
      <c r="C726" s="2877">
        <v>1276.3989999999999</v>
      </c>
    </row>
    <row r="727" spans="1:3">
      <c r="A727" t="s">
        <v>2400</v>
      </c>
      <c r="B727" t="s">
        <v>1101</v>
      </c>
      <c r="C727" s="2877">
        <v>6929.2470000000003</v>
      </c>
    </row>
    <row r="728" spans="1:3">
      <c r="A728" t="s">
        <v>2407</v>
      </c>
      <c r="B728" t="s">
        <v>2663</v>
      </c>
      <c r="C728" s="2877">
        <v>664.38699999999994</v>
      </c>
    </row>
    <row r="729" spans="1:3">
      <c r="A729" t="s">
        <v>19</v>
      </c>
      <c r="B729" t="s">
        <v>308</v>
      </c>
      <c r="C729" s="2877">
        <v>523.19299999999998</v>
      </c>
    </row>
    <row r="730" spans="1:3">
      <c r="A730" t="s">
        <v>706</v>
      </c>
      <c r="B730" t="s">
        <v>2517</v>
      </c>
      <c r="C730" s="2877">
        <v>1062.51</v>
      </c>
    </row>
    <row r="731" spans="1:3">
      <c r="A731" t="s">
        <v>20</v>
      </c>
      <c r="B731" t="s">
        <v>309</v>
      </c>
      <c r="C731" s="2877">
        <v>1023.47</v>
      </c>
    </row>
    <row r="732" spans="1:3">
      <c r="A732" t="s">
        <v>2085</v>
      </c>
      <c r="B732" t="s">
        <v>80</v>
      </c>
      <c r="C732" s="2877">
        <v>1160.7629999999999</v>
      </c>
    </row>
    <row r="733" spans="1:3">
      <c r="A733" t="s">
        <v>21</v>
      </c>
      <c r="B733" t="s">
        <v>310</v>
      </c>
      <c r="C733" s="2877">
        <v>586.54700000000003</v>
      </c>
    </row>
    <row r="734" spans="1:3">
      <c r="A734" t="s">
        <v>1021</v>
      </c>
      <c r="B734" t="s">
        <v>2286</v>
      </c>
      <c r="C734" s="2877">
        <v>1873.8610000000001</v>
      </c>
    </row>
    <row r="735" spans="1:3">
      <c r="A735" t="s">
        <v>1991</v>
      </c>
      <c r="B735" t="s">
        <v>2670</v>
      </c>
      <c r="C735" s="2877">
        <v>1004.357</v>
      </c>
    </row>
    <row r="736" spans="1:3">
      <c r="A736" t="s">
        <v>1543</v>
      </c>
      <c r="B736" t="s">
        <v>609</v>
      </c>
      <c r="C736" s="2877">
        <v>540.44899999999996</v>
      </c>
    </row>
    <row r="737" spans="1:3">
      <c r="A737" t="s">
        <v>1878</v>
      </c>
      <c r="B737" t="s">
        <v>311</v>
      </c>
      <c r="C737" s="2877">
        <v>3011.7</v>
      </c>
    </row>
    <row r="738" spans="1:3">
      <c r="A738" t="s">
        <v>2309</v>
      </c>
      <c r="B738" t="s">
        <v>2328</v>
      </c>
      <c r="C738" s="2877">
        <v>295.55599999999998</v>
      </c>
    </row>
    <row r="739" spans="1:3">
      <c r="A739" t="s">
        <v>424</v>
      </c>
      <c r="B739" t="s">
        <v>313</v>
      </c>
      <c r="C739" s="2877">
        <v>331.18700000000001</v>
      </c>
    </row>
    <row r="740" spans="1:3">
      <c r="A740" t="s">
        <v>2498</v>
      </c>
      <c r="B740" t="s">
        <v>314</v>
      </c>
      <c r="C740" s="2877">
        <v>563.55899999999997</v>
      </c>
    </row>
    <row r="741" spans="1:3">
      <c r="A741" t="s">
        <v>1172</v>
      </c>
      <c r="B741" t="s">
        <v>2329</v>
      </c>
      <c r="C741" s="2877">
        <v>1614.367</v>
      </c>
    </row>
    <row r="742" spans="1:3">
      <c r="A742" t="s">
        <v>1173</v>
      </c>
      <c r="B742" t="s">
        <v>316</v>
      </c>
      <c r="C742" s="2877">
        <v>4667.8519999999999</v>
      </c>
    </row>
    <row r="743" spans="1:3">
      <c r="A743" t="s">
        <v>2399</v>
      </c>
      <c r="B743" t="s">
        <v>1100</v>
      </c>
      <c r="C743" s="2877">
        <v>47097.383999999998</v>
      </c>
    </row>
    <row r="744" spans="1:3">
      <c r="A744" t="s">
        <v>570</v>
      </c>
      <c r="B744" t="s">
        <v>317</v>
      </c>
      <c r="C744" s="2877">
        <v>430.08199999999999</v>
      </c>
    </row>
    <row r="745" spans="1:3">
      <c r="A745" t="s">
        <v>579</v>
      </c>
      <c r="B745" t="s">
        <v>318</v>
      </c>
      <c r="C745" s="2877">
        <v>397.18400000000003</v>
      </c>
    </row>
    <row r="746" spans="1:3">
      <c r="A746" t="s">
        <v>580</v>
      </c>
      <c r="B746" t="s">
        <v>319</v>
      </c>
      <c r="C746" s="2877">
        <v>746.11300000000006</v>
      </c>
    </row>
    <row r="747" spans="1:3">
      <c r="A747" t="s">
        <v>165</v>
      </c>
      <c r="B747" t="s">
        <v>2699</v>
      </c>
      <c r="C747" s="2877">
        <v>4693.2470000000003</v>
      </c>
    </row>
    <row r="748" spans="1:3">
      <c r="A748" t="s">
        <v>767</v>
      </c>
      <c r="B748" t="s">
        <v>320</v>
      </c>
      <c r="C748" s="2877">
        <v>4376.7560000000003</v>
      </c>
    </row>
    <row r="749" spans="1:3">
      <c r="A749" t="s">
        <v>964</v>
      </c>
      <c r="B749" t="s">
        <v>321</v>
      </c>
      <c r="C749" s="2877">
        <v>1269.153</v>
      </c>
    </row>
    <row r="750" spans="1:3">
      <c r="A750" t="s">
        <v>2138</v>
      </c>
      <c r="B750" t="s">
        <v>322</v>
      </c>
      <c r="C750" s="2877">
        <v>6611.0569999999998</v>
      </c>
    </row>
    <row r="751" spans="1:3">
      <c r="A751" t="s">
        <v>2139</v>
      </c>
      <c r="B751" t="s">
        <v>323</v>
      </c>
      <c r="C751" s="2877">
        <v>2933.6379999999999</v>
      </c>
    </row>
    <row r="752" spans="1:3">
      <c r="A752" t="s">
        <v>209</v>
      </c>
      <c r="B752" t="s">
        <v>996</v>
      </c>
      <c r="C752" s="2877">
        <v>2826.5680000000002</v>
      </c>
    </row>
    <row r="753" spans="1:3">
      <c r="A753" t="s">
        <v>971</v>
      </c>
      <c r="B753" t="s">
        <v>324</v>
      </c>
      <c r="C753" s="2877">
        <v>523.30899999999997</v>
      </c>
    </row>
    <row r="754" spans="1:3">
      <c r="A754" t="s">
        <v>972</v>
      </c>
      <c r="B754" t="s">
        <v>325</v>
      </c>
      <c r="C754" s="2877">
        <v>282.82600000000002</v>
      </c>
    </row>
    <row r="755" spans="1:3">
      <c r="A755" t="s">
        <v>973</v>
      </c>
      <c r="B755" t="s">
        <v>326</v>
      </c>
      <c r="C755" s="2877">
        <v>133.00899999999999</v>
      </c>
    </row>
    <row r="756" spans="1:3">
      <c r="A756" t="s">
        <v>1951</v>
      </c>
      <c r="B756" t="s">
        <v>1855</v>
      </c>
      <c r="C756" s="2877">
        <v>3158.7739999999999</v>
      </c>
    </row>
    <row r="757" spans="1:3">
      <c r="A757" t="s">
        <v>974</v>
      </c>
      <c r="B757" t="s">
        <v>327</v>
      </c>
      <c r="C757" s="2877">
        <v>2174.7339999999999</v>
      </c>
    </row>
    <row r="758" spans="1:3">
      <c r="A758" t="s">
        <v>975</v>
      </c>
      <c r="B758" t="s">
        <v>2330</v>
      </c>
      <c r="C758" s="2877">
        <v>3245.3960000000002</v>
      </c>
    </row>
    <row r="759" spans="1:3">
      <c r="A759" t="s">
        <v>1466</v>
      </c>
      <c r="B759" t="s">
        <v>135</v>
      </c>
      <c r="C759" s="2877">
        <v>6326.5079999999998</v>
      </c>
    </row>
    <row r="760" spans="1:3">
      <c r="A760" t="s">
        <v>1092</v>
      </c>
      <c r="B760" t="s">
        <v>329</v>
      </c>
      <c r="C760" s="2877">
        <v>4568.2240000000002</v>
      </c>
    </row>
    <row r="761" spans="1:3">
      <c r="A761" t="s">
        <v>1093</v>
      </c>
      <c r="B761" t="s">
        <v>330</v>
      </c>
      <c r="C761" s="2877">
        <v>303.46699999999998</v>
      </c>
    </row>
    <row r="762" spans="1:3">
      <c r="A762" t="s">
        <v>1094</v>
      </c>
      <c r="B762" t="s">
        <v>331</v>
      </c>
      <c r="C762" s="2877">
        <v>497.29599999999999</v>
      </c>
    </row>
    <row r="763" spans="1:3">
      <c r="A763" t="s">
        <v>2537</v>
      </c>
      <c r="B763" t="s">
        <v>2240</v>
      </c>
      <c r="C763" s="2877">
        <v>4647.076</v>
      </c>
    </row>
    <row r="764" spans="1:3">
      <c r="A764" t="s">
        <v>1353</v>
      </c>
      <c r="B764" t="s">
        <v>332</v>
      </c>
      <c r="C764" s="2877">
        <v>718.29600000000005</v>
      </c>
    </row>
    <row r="765" spans="1:3">
      <c r="A765" t="s">
        <v>1354</v>
      </c>
      <c r="B765" t="s">
        <v>333</v>
      </c>
      <c r="C765" s="2877">
        <v>308.75099999999998</v>
      </c>
    </row>
    <row r="766" spans="1:3">
      <c r="A766" t="s">
        <v>1355</v>
      </c>
      <c r="B766" t="s">
        <v>431</v>
      </c>
      <c r="C766" s="2877">
        <v>122.788</v>
      </c>
    </row>
    <row r="767" spans="1:3">
      <c r="A767" t="s">
        <v>1356</v>
      </c>
      <c r="B767" t="s">
        <v>432</v>
      </c>
      <c r="C767" s="2877">
        <v>884.14200000000005</v>
      </c>
    </row>
    <row r="768" spans="1:3">
      <c r="A768" t="s">
        <v>1357</v>
      </c>
      <c r="B768" t="s">
        <v>433</v>
      </c>
      <c r="C768" s="2877">
        <v>3162.2660000000001</v>
      </c>
    </row>
    <row r="769" spans="1:3">
      <c r="A769" t="s">
        <v>2579</v>
      </c>
      <c r="B769" t="s">
        <v>454</v>
      </c>
      <c r="C769" s="2877">
        <v>541.95100000000002</v>
      </c>
    </row>
    <row r="770" spans="1:3">
      <c r="A770" t="s">
        <v>707</v>
      </c>
      <c r="B770" t="s">
        <v>1003</v>
      </c>
      <c r="C770" s="2877">
        <v>867.75599999999997</v>
      </c>
    </row>
    <row r="771" spans="1:3">
      <c r="A771" t="s">
        <v>1510</v>
      </c>
      <c r="B771" t="s">
        <v>1937</v>
      </c>
      <c r="C771" s="2877">
        <v>4383.8490000000002</v>
      </c>
    </row>
    <row r="772" spans="1:3">
      <c r="A772" t="s">
        <v>1467</v>
      </c>
      <c r="B772" t="s">
        <v>140</v>
      </c>
      <c r="C772" s="2877">
        <v>8645.2170000000006</v>
      </c>
    </row>
    <row r="773" spans="1:3">
      <c r="A773" t="s">
        <v>2536</v>
      </c>
      <c r="B773" t="s">
        <v>2239</v>
      </c>
      <c r="C773" s="2877">
        <v>1084.7619999999999</v>
      </c>
    </row>
    <row r="774" spans="1:3">
      <c r="A774" t="s">
        <v>1383</v>
      </c>
      <c r="B774" t="s">
        <v>434</v>
      </c>
      <c r="C774" s="2877">
        <v>5044.3609999999999</v>
      </c>
    </row>
    <row r="775" spans="1:3">
      <c r="A775" t="s">
        <v>208</v>
      </c>
      <c r="B775" t="s">
        <v>2593</v>
      </c>
      <c r="C775" s="2877">
        <v>1458.4110000000001</v>
      </c>
    </row>
    <row r="776" spans="1:3">
      <c r="A776" t="s">
        <v>1877</v>
      </c>
      <c r="B776" t="s">
        <v>1856</v>
      </c>
      <c r="C776" s="2877">
        <v>1104.6479999999999</v>
      </c>
    </row>
    <row r="777" spans="1:3">
      <c r="A777" t="s">
        <v>1634</v>
      </c>
      <c r="B777" t="s">
        <v>435</v>
      </c>
      <c r="C777" s="2877">
        <v>301.62700000000001</v>
      </c>
    </row>
    <row r="778" spans="1:3">
      <c r="A778" t="s">
        <v>1635</v>
      </c>
      <c r="B778" t="s">
        <v>436</v>
      </c>
      <c r="C778" s="2877">
        <v>776.02200000000005</v>
      </c>
    </row>
    <row r="779" spans="1:3">
      <c r="A779" t="s">
        <v>1636</v>
      </c>
      <c r="B779" t="s">
        <v>437</v>
      </c>
      <c r="C779" s="2877">
        <v>779.16499999999996</v>
      </c>
    </row>
    <row r="780" spans="1:3">
      <c r="A780" t="s">
        <v>1637</v>
      </c>
      <c r="B780" t="s">
        <v>438</v>
      </c>
      <c r="C780" s="2877">
        <v>1820.403</v>
      </c>
    </row>
    <row r="781" spans="1:3">
      <c r="A781" t="s">
        <v>1638</v>
      </c>
      <c r="B781" t="s">
        <v>439</v>
      </c>
      <c r="C781" s="2877">
        <v>264.613</v>
      </c>
    </row>
    <row r="782" spans="1:3">
      <c r="A782" t="s">
        <v>1874</v>
      </c>
      <c r="B782" t="s">
        <v>440</v>
      </c>
      <c r="C782" s="2877">
        <v>270.59399999999999</v>
      </c>
    </row>
    <row r="783" spans="1:3">
      <c r="A783" t="s">
        <v>2302</v>
      </c>
      <c r="B783" t="s">
        <v>2331</v>
      </c>
      <c r="C783" s="2877">
        <v>2752.5129999999999</v>
      </c>
    </row>
    <row r="784" spans="1:3">
      <c r="A784" t="s">
        <v>2291</v>
      </c>
      <c r="B784" t="s">
        <v>442</v>
      </c>
      <c r="C784" s="2877">
        <v>1147.4770000000001</v>
      </c>
    </row>
    <row r="785" spans="1:3">
      <c r="A785" t="s">
        <v>1302</v>
      </c>
      <c r="B785" t="s">
        <v>443</v>
      </c>
      <c r="C785" s="2877">
        <v>753.32500000000005</v>
      </c>
    </row>
    <row r="786" spans="1:3">
      <c r="A786" t="s">
        <v>692</v>
      </c>
      <c r="B786" t="s">
        <v>444</v>
      </c>
      <c r="C786" s="2877">
        <v>445.185</v>
      </c>
    </row>
    <row r="787" spans="1:3">
      <c r="A787" t="s">
        <v>2548</v>
      </c>
      <c r="B787" t="s">
        <v>445</v>
      </c>
      <c r="C787" s="2877">
        <v>1544.153</v>
      </c>
    </row>
    <row r="788" spans="1:3">
      <c r="A788" t="s">
        <v>693</v>
      </c>
      <c r="B788" t="s">
        <v>446</v>
      </c>
      <c r="C788" s="2877">
        <v>369.608</v>
      </c>
    </row>
    <row r="789" spans="1:3">
      <c r="A789" t="s">
        <v>1773</v>
      </c>
      <c r="B789" t="s">
        <v>2226</v>
      </c>
      <c r="C789" s="2877">
        <v>5112.9639999999999</v>
      </c>
    </row>
    <row r="790" spans="1:3">
      <c r="A790" t="s">
        <v>1213</v>
      </c>
      <c r="B790" t="s">
        <v>447</v>
      </c>
      <c r="C790" s="2877">
        <v>1388.8219999999999</v>
      </c>
    </row>
    <row r="791" spans="1:3">
      <c r="A791" t="s">
        <v>1639</v>
      </c>
      <c r="B791" t="s">
        <v>1054</v>
      </c>
      <c r="C791" s="2877">
        <v>36898.652000000002</v>
      </c>
    </row>
    <row r="792" spans="1:3">
      <c r="A792" t="s">
        <v>199</v>
      </c>
      <c r="B792" t="s">
        <v>2696</v>
      </c>
      <c r="C792" s="2877">
        <v>1842.2739999999999</v>
      </c>
    </row>
    <row r="793" spans="1:3">
      <c r="A793" t="s">
        <v>572</v>
      </c>
      <c r="B793" t="s">
        <v>130</v>
      </c>
      <c r="C793" s="2877">
        <v>1298.1279999999999</v>
      </c>
    </row>
    <row r="794" spans="1:3">
      <c r="A794" t="s">
        <v>2181</v>
      </c>
      <c r="B794" t="s">
        <v>448</v>
      </c>
      <c r="C794" s="2877">
        <v>1601.932</v>
      </c>
    </row>
    <row r="795" spans="1:3">
      <c r="A795" t="s">
        <v>1468</v>
      </c>
      <c r="B795" t="s">
        <v>292</v>
      </c>
      <c r="C795" s="2877">
        <v>664.928</v>
      </c>
    </row>
    <row r="796" spans="1:3">
      <c r="A796" t="s">
        <v>217</v>
      </c>
      <c r="B796" t="s">
        <v>2103</v>
      </c>
      <c r="C796" s="2877">
        <v>1982.9</v>
      </c>
    </row>
    <row r="797" spans="1:3">
      <c r="A797" t="s">
        <v>1289</v>
      </c>
      <c r="B797" t="s">
        <v>449</v>
      </c>
      <c r="C797" s="2877">
        <v>2127.5740000000001</v>
      </c>
    </row>
    <row r="798" spans="1:3">
      <c r="A798" t="s">
        <v>1290</v>
      </c>
      <c r="B798" t="s">
        <v>2332</v>
      </c>
      <c r="C798" s="2877">
        <v>9758.5169999999998</v>
      </c>
    </row>
    <row r="799" spans="1:3">
      <c r="A799" t="s">
        <v>2522</v>
      </c>
      <c r="B799" t="s">
        <v>154</v>
      </c>
      <c r="C799" s="2877">
        <v>1261.5999999999999</v>
      </c>
    </row>
    <row r="800" spans="1:3">
      <c r="A800" t="s">
        <v>792</v>
      </c>
      <c r="B800" t="s">
        <v>155</v>
      </c>
      <c r="C800" s="2877">
        <v>457.93700000000001</v>
      </c>
    </row>
    <row r="801" spans="1:3">
      <c r="A801" t="s">
        <v>114</v>
      </c>
      <c r="B801" t="s">
        <v>2118</v>
      </c>
      <c r="C801" s="2877">
        <v>652.32100000000003</v>
      </c>
    </row>
    <row r="802" spans="1:3">
      <c r="A802" t="s">
        <v>2654</v>
      </c>
      <c r="B802" t="s">
        <v>2697</v>
      </c>
      <c r="C802" s="2877">
        <v>1103.5619999999999</v>
      </c>
    </row>
    <row r="803" spans="1:3">
      <c r="A803" t="s">
        <v>2274</v>
      </c>
      <c r="B803" t="s">
        <v>1622</v>
      </c>
      <c r="C803" s="2877">
        <v>1426.4169999999999</v>
      </c>
    </row>
    <row r="804" spans="1:3">
      <c r="A804" t="s">
        <v>377</v>
      </c>
      <c r="B804" t="s">
        <v>2668</v>
      </c>
      <c r="C804" s="2877">
        <v>763.89</v>
      </c>
    </row>
    <row r="805" spans="1:3">
      <c r="A805" t="s">
        <v>986</v>
      </c>
      <c r="B805" t="s">
        <v>1623</v>
      </c>
      <c r="C805" s="2877">
        <v>2961.74</v>
      </c>
    </row>
    <row r="806" spans="1:3">
      <c r="A806" t="s">
        <v>1716</v>
      </c>
      <c r="B806" t="s">
        <v>2120</v>
      </c>
      <c r="C806" s="2877">
        <v>326.98599999999999</v>
      </c>
    </row>
    <row r="807" spans="1:3">
      <c r="A807" t="s">
        <v>695</v>
      </c>
      <c r="B807" t="s">
        <v>1624</v>
      </c>
      <c r="C807" s="2877">
        <v>257.72000000000003</v>
      </c>
    </row>
    <row r="808" spans="1:3">
      <c r="A808" t="s">
        <v>696</v>
      </c>
      <c r="B808" t="s">
        <v>1625</v>
      </c>
      <c r="C808" s="2877">
        <v>858.197</v>
      </c>
    </row>
    <row r="809" spans="1:3">
      <c r="A809" t="s">
        <v>697</v>
      </c>
      <c r="B809" t="s">
        <v>1626</v>
      </c>
      <c r="C809" s="2877">
        <v>1253.1099999999999</v>
      </c>
    </row>
    <row r="810" spans="1:3">
      <c r="A810" t="s">
        <v>1457</v>
      </c>
      <c r="B810" t="s">
        <v>1627</v>
      </c>
      <c r="C810" s="2877">
        <v>272.245</v>
      </c>
    </row>
    <row r="811" spans="1:3">
      <c r="A811" t="s">
        <v>1458</v>
      </c>
      <c r="B811" t="s">
        <v>1628</v>
      </c>
      <c r="C811" s="2877">
        <v>677.66200000000003</v>
      </c>
    </row>
    <row r="812" spans="1:3">
      <c r="A812" t="s">
        <v>1459</v>
      </c>
      <c r="B812" t="s">
        <v>1629</v>
      </c>
      <c r="C812" s="2877">
        <v>354.41800000000001</v>
      </c>
    </row>
    <row r="813" spans="1:3">
      <c r="A813" t="s">
        <v>1460</v>
      </c>
      <c r="B813" t="s">
        <v>1630</v>
      </c>
      <c r="C813" s="2877">
        <v>1504.029</v>
      </c>
    </row>
    <row r="814" spans="1:3">
      <c r="A814" t="s">
        <v>1461</v>
      </c>
      <c r="B814" t="s">
        <v>1631</v>
      </c>
      <c r="C814" s="2877">
        <v>1658.1130000000001</v>
      </c>
    </row>
    <row r="815" spans="1:3">
      <c r="A815" t="s">
        <v>1462</v>
      </c>
      <c r="B815" t="s">
        <v>976</v>
      </c>
      <c r="C815" s="2877">
        <v>833.49300000000005</v>
      </c>
    </row>
    <row r="816" spans="1:3">
      <c r="A816" t="s">
        <v>1672</v>
      </c>
      <c r="B816" t="s">
        <v>977</v>
      </c>
      <c r="C816" s="2877">
        <v>15053.114</v>
      </c>
    </row>
    <row r="817" spans="1:3">
      <c r="A817" t="s">
        <v>1812</v>
      </c>
      <c r="B817" t="s">
        <v>613</v>
      </c>
      <c r="C817" s="2877">
        <v>5099.8739999999998</v>
      </c>
    </row>
    <row r="818" spans="1:3">
      <c r="A818" t="s">
        <v>1673</v>
      </c>
      <c r="B818" t="s">
        <v>1894</v>
      </c>
      <c r="C818" s="2877">
        <v>1525.329</v>
      </c>
    </row>
    <row r="819" spans="1:3">
      <c r="A819" t="s">
        <v>378</v>
      </c>
      <c r="B819" t="s">
        <v>2237</v>
      </c>
      <c r="C819" s="2877">
        <v>598.21900000000005</v>
      </c>
    </row>
    <row r="820" spans="1:3">
      <c r="A820" t="s">
        <v>1183</v>
      </c>
      <c r="B820" t="s">
        <v>2333</v>
      </c>
      <c r="C820" s="2877">
        <v>1078.4100000000001</v>
      </c>
    </row>
    <row r="821" spans="1:3">
      <c r="A821" t="s">
        <v>379</v>
      </c>
      <c r="B821" t="s">
        <v>262</v>
      </c>
      <c r="C821" s="2877">
        <v>141.90199999999999</v>
      </c>
    </row>
    <row r="822" spans="1:3">
      <c r="A822" t="s">
        <v>1674</v>
      </c>
      <c r="B822" t="s">
        <v>1895</v>
      </c>
      <c r="C822" s="2877">
        <v>3979.9349999999999</v>
      </c>
    </row>
    <row r="823" spans="1:3">
      <c r="A823" t="s">
        <v>1675</v>
      </c>
      <c r="B823" t="s">
        <v>1525</v>
      </c>
      <c r="C823" s="2877">
        <v>283.45400000000001</v>
      </c>
    </row>
    <row r="824" spans="1:3">
      <c r="A824" t="s">
        <v>1676</v>
      </c>
      <c r="B824" t="s">
        <v>1526</v>
      </c>
      <c r="C824" s="2877">
        <v>414.76100000000002</v>
      </c>
    </row>
    <row r="825" spans="1:3">
      <c r="A825" t="s">
        <v>2470</v>
      </c>
      <c r="B825" t="s">
        <v>2153</v>
      </c>
      <c r="C825" s="2877">
        <v>623.87</v>
      </c>
    </row>
    <row r="826" spans="1:3">
      <c r="A826" t="s">
        <v>2471</v>
      </c>
      <c r="B826" t="s">
        <v>1362</v>
      </c>
      <c r="C826" s="2877">
        <v>811.80499999999995</v>
      </c>
    </row>
    <row r="827" spans="1:3">
      <c r="A827" t="s">
        <v>1677</v>
      </c>
      <c r="B827" t="s">
        <v>1527</v>
      </c>
      <c r="C827" s="2877">
        <v>1843.8630000000001</v>
      </c>
    </row>
    <row r="828" spans="1:3">
      <c r="A828" t="s">
        <v>190</v>
      </c>
      <c r="B828" t="s">
        <v>654</v>
      </c>
      <c r="C828" s="2877">
        <v>968.25599999999997</v>
      </c>
    </row>
    <row r="829" spans="1:3">
      <c r="A829" t="s">
        <v>1678</v>
      </c>
      <c r="B829" t="s">
        <v>1528</v>
      </c>
      <c r="C829" s="2877">
        <v>1249.575</v>
      </c>
    </row>
    <row r="830" spans="1:3">
      <c r="A830" t="s">
        <v>1395</v>
      </c>
      <c r="B830" t="s">
        <v>1529</v>
      </c>
      <c r="C830" s="2877">
        <v>1561.4390000000001</v>
      </c>
    </row>
    <row r="831" spans="1:3">
      <c r="A831" t="s">
        <v>1396</v>
      </c>
      <c r="B831" t="s">
        <v>1530</v>
      </c>
      <c r="C831" s="2877">
        <v>969.16</v>
      </c>
    </row>
    <row r="832" spans="1:3">
      <c r="A832" t="s">
        <v>1397</v>
      </c>
      <c r="B832" t="s">
        <v>2070</v>
      </c>
      <c r="C832" s="2877">
        <v>1283.287</v>
      </c>
    </row>
    <row r="833" spans="1:3">
      <c r="A833" t="s">
        <v>1632</v>
      </c>
      <c r="B833" t="s">
        <v>2071</v>
      </c>
      <c r="C833" s="2877">
        <v>747.73099999999999</v>
      </c>
    </row>
    <row r="834" spans="1:3">
      <c r="A834" t="s">
        <v>1633</v>
      </c>
      <c r="B834" t="s">
        <v>2334</v>
      </c>
      <c r="C834" s="2877">
        <v>2209.558</v>
      </c>
    </row>
    <row r="835" spans="1:3">
      <c r="A835" t="s">
        <v>2433</v>
      </c>
      <c r="B835" t="s">
        <v>351</v>
      </c>
      <c r="C835" s="2877">
        <v>2425.8609999999999</v>
      </c>
    </row>
    <row r="836" spans="1:3">
      <c r="A836" t="s">
        <v>1215</v>
      </c>
      <c r="B836" t="s">
        <v>2420</v>
      </c>
      <c r="C836" s="2877">
        <v>2707.8429999999998</v>
      </c>
    </row>
    <row r="837" spans="1:3">
      <c r="A837" t="s">
        <v>2434</v>
      </c>
      <c r="B837" t="s">
        <v>352</v>
      </c>
      <c r="C837" s="2877">
        <v>5095.8689999999997</v>
      </c>
    </row>
    <row r="838" spans="1:3">
      <c r="A838" t="s">
        <v>1454</v>
      </c>
      <c r="B838" t="s">
        <v>353</v>
      </c>
      <c r="C838" s="2877">
        <v>2555.6590000000001</v>
      </c>
    </row>
    <row r="839" spans="1:3">
      <c r="A839" t="s">
        <v>2527</v>
      </c>
      <c r="B839" t="s">
        <v>2066</v>
      </c>
      <c r="C839" s="2877">
        <v>2432.4949999999999</v>
      </c>
    </row>
    <row r="840" spans="1:3">
      <c r="A840" t="s">
        <v>1411</v>
      </c>
      <c r="B840" t="s">
        <v>260</v>
      </c>
      <c r="C840" s="2877">
        <v>1595.3720000000001</v>
      </c>
    </row>
    <row r="841" spans="1:3">
      <c r="A841" t="s">
        <v>1317</v>
      </c>
      <c r="B841" t="s">
        <v>267</v>
      </c>
      <c r="C841" s="2877">
        <v>2839.95</v>
      </c>
    </row>
    <row r="842" spans="1:3">
      <c r="A842" t="s">
        <v>191</v>
      </c>
      <c r="B842" t="s">
        <v>601</v>
      </c>
      <c r="C842" s="2877">
        <v>1850.4829999999999</v>
      </c>
    </row>
    <row r="843" spans="1:3">
      <c r="A843" t="s">
        <v>489</v>
      </c>
      <c r="B843" t="s">
        <v>1404</v>
      </c>
      <c r="C843" s="2877">
        <v>1173.519</v>
      </c>
    </row>
    <row r="844" spans="1:3">
      <c r="A844" t="s">
        <v>1455</v>
      </c>
      <c r="B844" t="s">
        <v>354</v>
      </c>
      <c r="C844" s="2877">
        <v>364.71300000000002</v>
      </c>
    </row>
    <row r="845" spans="1:3">
      <c r="A845" t="s">
        <v>1456</v>
      </c>
      <c r="B845" t="s">
        <v>355</v>
      </c>
      <c r="C845" s="2877">
        <v>262.46199999999999</v>
      </c>
    </row>
    <row r="846" spans="1:3">
      <c r="A846" t="s">
        <v>1377</v>
      </c>
      <c r="B846" t="s">
        <v>356</v>
      </c>
      <c r="C846" s="2877">
        <v>1001.191</v>
      </c>
    </row>
    <row r="847" spans="1:3">
      <c r="A847" t="s">
        <v>1378</v>
      </c>
      <c r="B847" t="s">
        <v>357</v>
      </c>
      <c r="C847" s="2877">
        <v>321.80399999999997</v>
      </c>
    </row>
    <row r="848" spans="1:3">
      <c r="A848" t="s">
        <v>1379</v>
      </c>
      <c r="B848" t="s">
        <v>358</v>
      </c>
      <c r="C848" s="2877">
        <v>3185.3919999999998</v>
      </c>
    </row>
    <row r="849" spans="1:3">
      <c r="A849" t="s">
        <v>1473</v>
      </c>
      <c r="B849" t="s">
        <v>359</v>
      </c>
      <c r="C849" s="2877">
        <v>369.92700000000002</v>
      </c>
    </row>
    <row r="850" spans="1:3">
      <c r="A850" t="s">
        <v>961</v>
      </c>
      <c r="B850" t="s">
        <v>360</v>
      </c>
      <c r="C850" s="2877">
        <v>883.60500000000002</v>
      </c>
    </row>
    <row r="851" spans="1:3">
      <c r="A851" t="s">
        <v>962</v>
      </c>
      <c r="B851" t="s">
        <v>361</v>
      </c>
      <c r="C851" s="2877">
        <v>311.81</v>
      </c>
    </row>
    <row r="852" spans="1:3">
      <c r="A852" t="s">
        <v>963</v>
      </c>
      <c r="B852" t="s">
        <v>1776</v>
      </c>
      <c r="C852" s="2877">
        <v>3241.59</v>
      </c>
    </row>
    <row r="853" spans="1:3">
      <c r="A853" t="s">
        <v>1089</v>
      </c>
      <c r="B853" t="s">
        <v>1777</v>
      </c>
      <c r="C853" s="2877">
        <v>1070.0229999999999</v>
      </c>
    </row>
    <row r="854" spans="1:3">
      <c r="A854" t="s">
        <v>192</v>
      </c>
      <c r="B854" t="s">
        <v>1249</v>
      </c>
      <c r="C854" s="2877">
        <v>1078.5540000000001</v>
      </c>
    </row>
    <row r="855" spans="1:3">
      <c r="A855" t="s">
        <v>1090</v>
      </c>
      <c r="B855" t="s">
        <v>1778</v>
      </c>
      <c r="C855" s="2877">
        <v>776.75900000000001</v>
      </c>
    </row>
    <row r="856" spans="1:3">
      <c r="A856" t="s">
        <v>1091</v>
      </c>
      <c r="B856" t="s">
        <v>1779</v>
      </c>
      <c r="C856" s="2877">
        <v>934.93499999999995</v>
      </c>
    </row>
    <row r="857" spans="1:3">
      <c r="A857" t="s">
        <v>1238</v>
      </c>
      <c r="B857" t="s">
        <v>1780</v>
      </c>
      <c r="C857" s="2877">
        <v>181.39699999999999</v>
      </c>
    </row>
    <row r="858" spans="1:3">
      <c r="A858" t="s">
        <v>1239</v>
      </c>
      <c r="B858" t="s">
        <v>1781</v>
      </c>
      <c r="C858" s="2877">
        <v>220.70699999999999</v>
      </c>
    </row>
    <row r="859" spans="1:3">
      <c r="A859" t="s">
        <v>1801</v>
      </c>
      <c r="B859" t="s">
        <v>1994</v>
      </c>
      <c r="C859" s="2877">
        <v>1048.9179999999999</v>
      </c>
    </row>
    <row r="860" spans="1:3">
      <c r="A860" t="s">
        <v>274</v>
      </c>
      <c r="B860" t="s">
        <v>2115</v>
      </c>
      <c r="C860" s="2877">
        <v>1220.105</v>
      </c>
    </row>
    <row r="861" spans="1:3">
      <c r="A861" t="s">
        <v>1727</v>
      </c>
      <c r="B861" t="s">
        <v>1995</v>
      </c>
      <c r="C861" s="2877">
        <v>2314.0639999999999</v>
      </c>
    </row>
    <row r="862" spans="1:3">
      <c r="A862" t="s">
        <v>1728</v>
      </c>
      <c r="B862" t="s">
        <v>1996</v>
      </c>
      <c r="C862" s="2877">
        <v>4310.6530000000002</v>
      </c>
    </row>
    <row r="863" spans="1:3">
      <c r="A863" t="s">
        <v>1006</v>
      </c>
      <c r="B863" t="s">
        <v>1997</v>
      </c>
      <c r="C863" s="2877">
        <v>1435.154</v>
      </c>
    </row>
    <row r="864" spans="1:3">
      <c r="A864" t="s">
        <v>189</v>
      </c>
      <c r="B864" t="s">
        <v>1998</v>
      </c>
      <c r="C864" s="2877">
        <v>22150.080000000002</v>
      </c>
    </row>
    <row r="865" spans="1:3">
      <c r="A865" t="s">
        <v>1181</v>
      </c>
      <c r="B865" t="s">
        <v>1334</v>
      </c>
      <c r="C865" s="2877">
        <v>5150.4129999999996</v>
      </c>
    </row>
    <row r="866" spans="1:3">
      <c r="A866" t="s">
        <v>1340</v>
      </c>
      <c r="B866" t="s">
        <v>660</v>
      </c>
      <c r="C866" s="2877">
        <v>3972.395</v>
      </c>
    </row>
    <row r="867" spans="1:3">
      <c r="A867" t="s">
        <v>1341</v>
      </c>
      <c r="B867" t="s">
        <v>1999</v>
      </c>
      <c r="C867" s="2877">
        <v>1422.374</v>
      </c>
    </row>
    <row r="868" spans="1:3">
      <c r="A868" t="s">
        <v>1342</v>
      </c>
      <c r="B868" t="s">
        <v>2000</v>
      </c>
      <c r="C868" s="2877">
        <v>2064.4059999999999</v>
      </c>
    </row>
    <row r="869" spans="1:3">
      <c r="A869" t="s">
        <v>2653</v>
      </c>
      <c r="B869" t="s">
        <v>2693</v>
      </c>
      <c r="C869" s="2877">
        <v>13865.602999999999</v>
      </c>
    </row>
    <row r="870" spans="1:3">
      <c r="A870" t="s">
        <v>1729</v>
      </c>
      <c r="B870" t="s">
        <v>2001</v>
      </c>
      <c r="C870" s="2877">
        <v>476.161</v>
      </c>
    </row>
    <row r="871" spans="1:3">
      <c r="A871" t="s">
        <v>193</v>
      </c>
      <c r="B871" t="s">
        <v>608</v>
      </c>
      <c r="C871" s="2877">
        <v>8203.7240000000002</v>
      </c>
    </row>
    <row r="872" spans="1:3">
      <c r="A872" t="s">
        <v>1730</v>
      </c>
      <c r="B872" t="s">
        <v>2002</v>
      </c>
      <c r="C872" s="2877">
        <v>2082.85</v>
      </c>
    </row>
    <row r="873" spans="1:3">
      <c r="A873" t="s">
        <v>2584</v>
      </c>
      <c r="B873" t="s">
        <v>2562</v>
      </c>
      <c r="C873" s="2877">
        <v>380.00200000000001</v>
      </c>
    </row>
    <row r="874" spans="1:3">
      <c r="A874" t="s">
        <v>750</v>
      </c>
      <c r="B874" t="s">
        <v>2563</v>
      </c>
      <c r="C874" s="2877">
        <v>435.73599999999999</v>
      </c>
    </row>
    <row r="875" spans="1:3">
      <c r="A875" t="s">
        <v>751</v>
      </c>
      <c r="B875" t="s">
        <v>2564</v>
      </c>
      <c r="C875" s="2877">
        <v>1478.0630000000001</v>
      </c>
    </row>
    <row r="876" spans="1:3">
      <c r="A876" t="s">
        <v>802</v>
      </c>
      <c r="B876" t="s">
        <v>2565</v>
      </c>
      <c r="C876" s="2877">
        <v>409.56799999999998</v>
      </c>
    </row>
    <row r="877" spans="1:3">
      <c r="A877" t="s">
        <v>568</v>
      </c>
      <c r="B877" t="s">
        <v>2566</v>
      </c>
      <c r="C877" s="2877">
        <v>1630.643</v>
      </c>
    </row>
    <row r="878" spans="1:3">
      <c r="A878" t="s">
        <v>569</v>
      </c>
      <c r="B878" t="s">
        <v>2567</v>
      </c>
      <c r="C878" s="2877">
        <v>357.66800000000001</v>
      </c>
    </row>
    <row r="879" spans="1:3">
      <c r="A879" t="s">
        <v>2298</v>
      </c>
      <c r="B879" t="s">
        <v>2421</v>
      </c>
      <c r="C879" s="2877">
        <v>74974.338000000003</v>
      </c>
    </row>
    <row r="880" spans="1:3">
      <c r="A880" t="s">
        <v>873</v>
      </c>
      <c r="B880" t="s">
        <v>797</v>
      </c>
      <c r="C880" s="2877">
        <v>27188.03</v>
      </c>
    </row>
    <row r="881" spans="1:3">
      <c r="A881" t="s">
        <v>1849</v>
      </c>
      <c r="B881" t="s">
        <v>2568</v>
      </c>
      <c r="C881" s="2877">
        <v>6107.7560000000003</v>
      </c>
    </row>
    <row r="882" spans="1:3">
      <c r="A882" t="s">
        <v>2018</v>
      </c>
      <c r="B882" t="s">
        <v>1278</v>
      </c>
      <c r="C882" s="2877">
        <v>98241.072</v>
      </c>
    </row>
    <row r="883" spans="1:3">
      <c r="A883" t="s">
        <v>2182</v>
      </c>
      <c r="B883" t="s">
        <v>1279</v>
      </c>
      <c r="C883" s="2877">
        <v>15479.375</v>
      </c>
    </row>
    <row r="884" spans="1:3">
      <c r="A884" t="s">
        <v>50</v>
      </c>
      <c r="B884" t="s">
        <v>412</v>
      </c>
      <c r="C884" s="2877">
        <v>33045.987000000001</v>
      </c>
    </row>
    <row r="885" spans="1:3">
      <c r="A885" t="s">
        <v>347</v>
      </c>
      <c r="B885" t="s">
        <v>290</v>
      </c>
      <c r="C885" s="2877">
        <v>35774.735000000001</v>
      </c>
    </row>
    <row r="886" spans="1:3">
      <c r="A886" t="s">
        <v>1767</v>
      </c>
      <c r="B886" t="s">
        <v>2301</v>
      </c>
      <c r="C886" s="2877">
        <v>3546.0790000000002</v>
      </c>
    </row>
    <row r="887" spans="1:3">
      <c r="A887" t="s">
        <v>2405</v>
      </c>
      <c r="B887" t="s">
        <v>419</v>
      </c>
      <c r="C887" s="2877">
        <v>17403.329000000002</v>
      </c>
    </row>
    <row r="888" spans="1:3">
      <c r="A888" t="s">
        <v>52</v>
      </c>
      <c r="B888" t="s">
        <v>2516</v>
      </c>
      <c r="C888" s="2877">
        <v>3846.4270000000001</v>
      </c>
    </row>
    <row r="889" spans="1:3">
      <c r="A889" t="s">
        <v>1681</v>
      </c>
      <c r="B889" t="s">
        <v>2119</v>
      </c>
      <c r="C889" s="2877">
        <v>6880.2380000000003</v>
      </c>
    </row>
    <row r="890" spans="1:3">
      <c r="A890" t="s">
        <v>1119</v>
      </c>
      <c r="B890" t="s">
        <v>1267</v>
      </c>
      <c r="C890" s="2877">
        <v>24556.686000000002</v>
      </c>
    </row>
    <row r="891" spans="1:3">
      <c r="A891" t="s">
        <v>1847</v>
      </c>
      <c r="B891" t="s">
        <v>657</v>
      </c>
      <c r="C891" s="2877">
        <v>4460.87</v>
      </c>
    </row>
    <row r="892" spans="1:3">
      <c r="A892" t="s">
        <v>2223</v>
      </c>
      <c r="B892" t="s">
        <v>1280</v>
      </c>
      <c r="C892" s="2877">
        <v>17432.944</v>
      </c>
    </row>
    <row r="893" spans="1:3">
      <c r="A893" t="s">
        <v>1846</v>
      </c>
      <c r="B893" t="s">
        <v>656</v>
      </c>
      <c r="C893" s="2877">
        <v>8441.6859999999997</v>
      </c>
    </row>
    <row r="894" spans="1:3">
      <c r="A894" t="s">
        <v>1180</v>
      </c>
      <c r="B894" t="s">
        <v>1333</v>
      </c>
      <c r="C894" s="2877">
        <v>6731.9610000000002</v>
      </c>
    </row>
    <row r="895" spans="1:3">
      <c r="A895" t="s">
        <v>2224</v>
      </c>
      <c r="B895" t="s">
        <v>1281</v>
      </c>
      <c r="C895" s="2877">
        <v>20139.866999999998</v>
      </c>
    </row>
    <row r="896" spans="1:3">
      <c r="A896" t="s">
        <v>2225</v>
      </c>
      <c r="B896" t="s">
        <v>1282</v>
      </c>
      <c r="C896" s="2877">
        <v>1733.357</v>
      </c>
    </row>
    <row r="897" spans="1:3">
      <c r="A897" t="s">
        <v>2655</v>
      </c>
      <c r="B897" t="s">
        <v>1283</v>
      </c>
      <c r="C897" s="2877">
        <v>302.45499999999998</v>
      </c>
    </row>
    <row r="898" spans="1:3">
      <c r="A898" t="s">
        <v>2656</v>
      </c>
      <c r="B898" t="s">
        <v>2335</v>
      </c>
      <c r="C898" s="2877">
        <v>1464.3510000000001</v>
      </c>
    </row>
    <row r="899" spans="1:3">
      <c r="A899" t="s">
        <v>2657</v>
      </c>
      <c r="B899" t="s">
        <v>1132</v>
      </c>
      <c r="C899" s="2877">
        <v>3675.9340000000002</v>
      </c>
    </row>
    <row r="900" spans="1:3">
      <c r="A900" t="s">
        <v>2658</v>
      </c>
      <c r="B900" t="s">
        <v>1285</v>
      </c>
      <c r="C900" s="2877">
        <v>293.85000000000002</v>
      </c>
    </row>
    <row r="901" spans="1:3">
      <c r="A901" t="s">
        <v>1170</v>
      </c>
      <c r="B901" t="s">
        <v>305</v>
      </c>
      <c r="C901" s="2877">
        <v>2375.4749999999999</v>
      </c>
    </row>
    <row r="902" spans="1:3">
      <c r="A902" t="s">
        <v>1845</v>
      </c>
      <c r="B902" t="s">
        <v>822</v>
      </c>
      <c r="C902" s="2877">
        <v>422.79599999999999</v>
      </c>
    </row>
    <row r="903" spans="1:3">
      <c r="A903" t="s">
        <v>1171</v>
      </c>
      <c r="B903" t="s">
        <v>2336</v>
      </c>
      <c r="C903" s="2877">
        <v>369.90300000000002</v>
      </c>
    </row>
    <row r="904" spans="1:3">
      <c r="A904" t="s">
        <v>1586</v>
      </c>
      <c r="B904" t="s">
        <v>636</v>
      </c>
      <c r="C904" s="2877">
        <v>411.34899999999999</v>
      </c>
    </row>
    <row r="905" spans="1:3">
      <c r="A905" t="s">
        <v>1587</v>
      </c>
      <c r="B905" t="s">
        <v>637</v>
      </c>
      <c r="C905" s="2877">
        <v>242.29300000000001</v>
      </c>
    </row>
    <row r="906" spans="1:3">
      <c r="A906" t="s">
        <v>1588</v>
      </c>
      <c r="B906" t="s">
        <v>638</v>
      </c>
      <c r="C906" s="2877">
        <v>6752.27</v>
      </c>
    </row>
    <row r="907" spans="1:3">
      <c r="A907" t="s">
        <v>1817</v>
      </c>
      <c r="B907" t="s">
        <v>1665</v>
      </c>
      <c r="C907" s="2877">
        <v>243.56899999999999</v>
      </c>
    </row>
    <row r="908" spans="1:3">
      <c r="A908" t="s">
        <v>275</v>
      </c>
      <c r="B908" t="s">
        <v>660</v>
      </c>
      <c r="C908" s="2877">
        <v>1295.0429999999999</v>
      </c>
    </row>
    <row r="909" spans="1:3">
      <c r="A909" t="s">
        <v>1818</v>
      </c>
      <c r="B909" t="s">
        <v>1666</v>
      </c>
      <c r="C909" s="2877">
        <v>668.47199999999998</v>
      </c>
    </row>
    <row r="910" spans="1:3">
      <c r="A910" t="s">
        <v>2440</v>
      </c>
      <c r="B910" t="s">
        <v>1906</v>
      </c>
      <c r="C910" s="2877">
        <v>668.70899999999995</v>
      </c>
    </row>
    <row r="911" spans="1:3">
      <c r="A911" t="s">
        <v>1313</v>
      </c>
      <c r="B911" t="s">
        <v>2027</v>
      </c>
      <c r="C911" s="2877">
        <v>17501.355</v>
      </c>
    </row>
    <row r="912" spans="1:3">
      <c r="A912" t="s">
        <v>2428</v>
      </c>
      <c r="B912" t="s">
        <v>1907</v>
      </c>
      <c r="C912" s="2877">
        <v>660.21600000000001</v>
      </c>
    </row>
    <row r="913" spans="1:3">
      <c r="A913" t="s">
        <v>342</v>
      </c>
      <c r="B913" t="s">
        <v>137</v>
      </c>
      <c r="C913" s="2877">
        <v>1497.8219999999999</v>
      </c>
    </row>
    <row r="914" spans="1:3">
      <c r="A914" t="s">
        <v>1307</v>
      </c>
      <c r="B914" t="s">
        <v>1731</v>
      </c>
      <c r="C914" s="2877">
        <v>1597.213</v>
      </c>
    </row>
    <row r="915" spans="1:3">
      <c r="A915" t="s">
        <v>1253</v>
      </c>
      <c r="B915" t="s">
        <v>2645</v>
      </c>
      <c r="C915" s="2877">
        <v>442.24200000000002</v>
      </c>
    </row>
    <row r="916" spans="1:3">
      <c r="A916" t="s">
        <v>263</v>
      </c>
      <c r="B916" t="s">
        <v>1908</v>
      </c>
      <c r="C916" s="2877">
        <v>99653.634000000005</v>
      </c>
    </row>
    <row r="917" spans="1:3">
      <c r="A917" t="s">
        <v>210</v>
      </c>
      <c r="B917" t="s">
        <v>998</v>
      </c>
      <c r="C917" s="2877">
        <v>25580.308000000001</v>
      </c>
    </row>
    <row r="918" spans="1:3">
      <c r="A918" t="s">
        <v>264</v>
      </c>
      <c r="B918" t="s">
        <v>1909</v>
      </c>
      <c r="C918" s="2877">
        <v>7411.817</v>
      </c>
    </row>
    <row r="919" spans="1:3">
      <c r="A919" t="s">
        <v>265</v>
      </c>
      <c r="B919" t="s">
        <v>1910</v>
      </c>
      <c r="C919" s="2877">
        <v>8061.0609999999997</v>
      </c>
    </row>
    <row r="920" spans="1:3">
      <c r="A920" t="s">
        <v>1133</v>
      </c>
      <c r="B920" t="s">
        <v>2667</v>
      </c>
      <c r="C920" s="2877">
        <v>11961.516</v>
      </c>
    </row>
    <row r="921" spans="1:3">
      <c r="A921" t="s">
        <v>2446</v>
      </c>
      <c r="B921" t="s">
        <v>1911</v>
      </c>
      <c r="C921" s="2877">
        <v>1544.682</v>
      </c>
    </row>
    <row r="922" spans="1:3">
      <c r="A922" t="s">
        <v>1320</v>
      </c>
      <c r="B922" t="s">
        <v>1912</v>
      </c>
      <c r="C922" s="2877">
        <v>6742.393</v>
      </c>
    </row>
    <row r="923" spans="1:3">
      <c r="A923" t="s">
        <v>1321</v>
      </c>
      <c r="B923" t="s">
        <v>1913</v>
      </c>
      <c r="C923" s="2877">
        <v>1195.5319999999999</v>
      </c>
    </row>
    <row r="924" spans="1:3">
      <c r="A924" t="s">
        <v>1322</v>
      </c>
      <c r="B924" t="s">
        <v>1914</v>
      </c>
      <c r="C924" s="2877">
        <v>1663.52</v>
      </c>
    </row>
    <row r="925" spans="1:3">
      <c r="A925" t="s">
        <v>1323</v>
      </c>
      <c r="B925" t="s">
        <v>1824</v>
      </c>
      <c r="C925" s="2877">
        <v>260.31200000000001</v>
      </c>
    </row>
    <row r="926" spans="1:3">
      <c r="A926" t="s">
        <v>1324</v>
      </c>
      <c r="B926" t="s">
        <v>1915</v>
      </c>
      <c r="C926" s="2877">
        <v>345.596</v>
      </c>
    </row>
    <row r="927" spans="1:3">
      <c r="A927" t="s">
        <v>1434</v>
      </c>
      <c r="B927" t="s">
        <v>1547</v>
      </c>
      <c r="C927" s="2877">
        <v>793.32500000000005</v>
      </c>
    </row>
    <row r="928" spans="1:3">
      <c r="A928" t="s">
        <v>1807</v>
      </c>
      <c r="B928" t="s">
        <v>1916</v>
      </c>
      <c r="C928" s="2877">
        <v>2069.2269999999999</v>
      </c>
    </row>
    <row r="929" spans="1:3">
      <c r="A929" t="s">
        <v>1808</v>
      </c>
      <c r="B929" t="s">
        <v>1917</v>
      </c>
      <c r="C929" s="2877">
        <v>1571.317</v>
      </c>
    </row>
    <row r="930" spans="1:3">
      <c r="A930" t="s">
        <v>1254</v>
      </c>
      <c r="B930" t="s">
        <v>1938</v>
      </c>
      <c r="C930" s="2877">
        <v>577.03800000000001</v>
      </c>
    </row>
    <row r="931" spans="1:3">
      <c r="A931" t="s">
        <v>70</v>
      </c>
      <c r="B931" t="s">
        <v>2184</v>
      </c>
      <c r="C931" s="2877">
        <v>318.49599999999998</v>
      </c>
    </row>
    <row r="932" spans="1:3">
      <c r="A932" t="s">
        <v>1809</v>
      </c>
      <c r="B932" t="s">
        <v>443</v>
      </c>
      <c r="C932" s="2877">
        <v>1100.874</v>
      </c>
    </row>
    <row r="933" spans="1:3">
      <c r="A933" t="s">
        <v>1810</v>
      </c>
      <c r="B933" t="s">
        <v>1918</v>
      </c>
      <c r="C933" s="2877">
        <v>2986.1370000000002</v>
      </c>
    </row>
    <row r="934" spans="1:3">
      <c r="A934" t="s">
        <v>1414</v>
      </c>
      <c r="B934" t="s">
        <v>1017</v>
      </c>
      <c r="C934" s="2877">
        <v>1278.0260000000001</v>
      </c>
    </row>
    <row r="935" spans="1:3">
      <c r="A935" t="s">
        <v>1077</v>
      </c>
      <c r="B935" t="s">
        <v>777</v>
      </c>
      <c r="C935" s="2877">
        <v>433.69400000000002</v>
      </c>
    </row>
    <row r="936" spans="1:3">
      <c r="A936" t="s">
        <v>1861</v>
      </c>
      <c r="B936" t="s">
        <v>827</v>
      </c>
      <c r="C936" s="2877">
        <v>1429.335</v>
      </c>
    </row>
    <row r="937" spans="1:3">
      <c r="A937" t="s">
        <v>1078</v>
      </c>
      <c r="B937" t="s">
        <v>1536</v>
      </c>
      <c r="C937" s="2877">
        <v>1334.83</v>
      </c>
    </row>
    <row r="938" spans="1:3">
      <c r="A938" t="s">
        <v>1079</v>
      </c>
      <c r="B938" t="s">
        <v>778</v>
      </c>
      <c r="C938" s="2877">
        <v>1038.7950000000001</v>
      </c>
    </row>
    <row r="939" spans="1:3">
      <c r="A939" t="s">
        <v>1080</v>
      </c>
      <c r="B939" t="s">
        <v>779</v>
      </c>
      <c r="C939" s="2877">
        <v>830.98099999999999</v>
      </c>
    </row>
    <row r="940" spans="1:3">
      <c r="A940" t="s">
        <v>1081</v>
      </c>
      <c r="B940" t="s">
        <v>780</v>
      </c>
      <c r="C940" s="2877">
        <v>382.06200000000001</v>
      </c>
    </row>
    <row r="941" spans="1:3">
      <c r="A941" t="s">
        <v>56</v>
      </c>
      <c r="B941" t="s">
        <v>2472</v>
      </c>
      <c r="C941" s="2877">
        <v>368.89800000000002</v>
      </c>
    </row>
    <row r="942" spans="1:3">
      <c r="A942" t="s">
        <v>1544</v>
      </c>
      <c r="B942" t="s">
        <v>615</v>
      </c>
      <c r="C942" s="2877">
        <v>905.88900000000001</v>
      </c>
    </row>
    <row r="943" spans="1:3">
      <c r="A943" t="s">
        <v>1521</v>
      </c>
      <c r="B943" t="s">
        <v>296</v>
      </c>
      <c r="C943" s="2877">
        <v>6139.2049999999999</v>
      </c>
    </row>
    <row r="944" spans="1:3">
      <c r="A944" t="s">
        <v>1319</v>
      </c>
      <c r="B944" t="s">
        <v>622</v>
      </c>
      <c r="C944" s="2877">
        <v>395.63299999999998</v>
      </c>
    </row>
    <row r="945" spans="1:3">
      <c r="A945" t="s">
        <v>488</v>
      </c>
      <c r="B945" t="s">
        <v>2146</v>
      </c>
      <c r="C945" s="2877">
        <v>12689.343000000001</v>
      </c>
    </row>
    <row r="946" spans="1:3">
      <c r="A946" t="s">
        <v>831</v>
      </c>
      <c r="B946" t="s">
        <v>623</v>
      </c>
      <c r="C946" s="2877">
        <v>363.22300000000001</v>
      </c>
    </row>
    <row r="947" spans="1:3">
      <c r="A947" t="s">
        <v>833</v>
      </c>
      <c r="B947" t="s">
        <v>1146</v>
      </c>
      <c r="C947" s="2877">
        <v>2452.94</v>
      </c>
    </row>
    <row r="948" spans="1:3">
      <c r="A948" t="s">
        <v>834</v>
      </c>
      <c r="B948" t="s">
        <v>888</v>
      </c>
      <c r="C948" s="2877">
        <v>1370.231</v>
      </c>
    </row>
    <row r="949" spans="1:3">
      <c r="A949" t="s">
        <v>1533</v>
      </c>
      <c r="B949" t="s">
        <v>864</v>
      </c>
      <c r="C949" s="2877">
        <v>1546.694</v>
      </c>
    </row>
    <row r="950" spans="1:3">
      <c r="A950" t="s">
        <v>1836</v>
      </c>
      <c r="B950" t="s">
        <v>2065</v>
      </c>
      <c r="C950" s="2877">
        <v>779.69799999999998</v>
      </c>
    </row>
    <row r="951" spans="1:3">
      <c r="A951" t="s">
        <v>835</v>
      </c>
      <c r="B951" t="s">
        <v>1147</v>
      </c>
      <c r="C951" s="2877">
        <v>2754.8319999999999</v>
      </c>
    </row>
    <row r="952" spans="1:3">
      <c r="A952" t="s">
        <v>836</v>
      </c>
      <c r="B952" t="s">
        <v>2081</v>
      </c>
      <c r="C952" s="2877">
        <v>3447.049</v>
      </c>
    </row>
    <row r="953" spans="1:3">
      <c r="A953" t="s">
        <v>1426</v>
      </c>
      <c r="B953" t="s">
        <v>1478</v>
      </c>
      <c r="C953" s="2877">
        <v>646.053</v>
      </c>
    </row>
    <row r="954" spans="1:3">
      <c r="A954" t="s">
        <v>877</v>
      </c>
      <c r="B954" t="s">
        <v>1344</v>
      </c>
      <c r="C954" s="2877">
        <v>1343.104</v>
      </c>
    </row>
    <row r="955" spans="1:3">
      <c r="A955" t="s">
        <v>340</v>
      </c>
      <c r="B955" t="s">
        <v>134</v>
      </c>
      <c r="C955" s="2877">
        <v>16040.316999999999</v>
      </c>
    </row>
    <row r="956" spans="1:3">
      <c r="A956" t="s">
        <v>2597</v>
      </c>
      <c r="B956" t="s">
        <v>2082</v>
      </c>
      <c r="C956" s="2877">
        <v>180.28299999999999</v>
      </c>
    </row>
    <row r="957" spans="1:3">
      <c r="A957" t="s">
        <v>1022</v>
      </c>
      <c r="B957" t="s">
        <v>1144</v>
      </c>
      <c r="C957" s="2877">
        <v>1255.326</v>
      </c>
    </row>
    <row r="958" spans="1:3">
      <c r="A958" t="s">
        <v>1156</v>
      </c>
      <c r="B958" t="s">
        <v>93</v>
      </c>
      <c r="C958" s="2877">
        <v>7332.241</v>
      </c>
    </row>
    <row r="959" spans="1:3">
      <c r="A959" t="s">
        <v>276</v>
      </c>
      <c r="B959" t="s">
        <v>2371</v>
      </c>
      <c r="C959" s="2877">
        <v>2004.529</v>
      </c>
    </row>
    <row r="960" spans="1:3">
      <c r="A960" t="s">
        <v>277</v>
      </c>
      <c r="B960" t="s">
        <v>138</v>
      </c>
      <c r="C960" s="2877">
        <v>6305.1809999999996</v>
      </c>
    </row>
    <row r="961" spans="1:3">
      <c r="A961" t="s">
        <v>624</v>
      </c>
      <c r="B961" t="s">
        <v>94</v>
      </c>
      <c r="C961" s="2877">
        <v>2636.5390000000002</v>
      </c>
    </row>
    <row r="962" spans="1:3">
      <c r="A962" t="s">
        <v>625</v>
      </c>
      <c r="B962" t="s">
        <v>887</v>
      </c>
      <c r="C962" s="2877">
        <v>2369.922</v>
      </c>
    </row>
    <row r="963" spans="1:3">
      <c r="A963" t="s">
        <v>626</v>
      </c>
      <c r="B963" t="s">
        <v>1216</v>
      </c>
      <c r="C963" s="2877">
        <v>238.773</v>
      </c>
    </row>
    <row r="964" spans="1:3">
      <c r="A964" t="s">
        <v>2339</v>
      </c>
      <c r="B964" t="s">
        <v>1217</v>
      </c>
      <c r="C964" s="2877">
        <v>6366.91</v>
      </c>
    </row>
    <row r="965" spans="1:3">
      <c r="A965" t="s">
        <v>2340</v>
      </c>
      <c r="B965" t="s">
        <v>1218</v>
      </c>
      <c r="C965" s="2877">
        <v>530.99199999999996</v>
      </c>
    </row>
    <row r="966" spans="1:3">
      <c r="A966" t="s">
        <v>1768</v>
      </c>
      <c r="B966" t="s">
        <v>2345</v>
      </c>
      <c r="C966" s="2877">
        <v>32720.080000000002</v>
      </c>
    </row>
    <row r="967" spans="1:3">
      <c r="A967" t="s">
        <v>1520</v>
      </c>
      <c r="B967" t="s">
        <v>2362</v>
      </c>
      <c r="C967" s="2877">
        <v>51217.273000000001</v>
      </c>
    </row>
    <row r="968" spans="1:3">
      <c r="A968" t="s">
        <v>927</v>
      </c>
      <c r="B968" t="s">
        <v>2337</v>
      </c>
      <c r="C968" s="2877">
        <v>630.74400000000003</v>
      </c>
    </row>
    <row r="969" spans="1:3">
      <c r="A969" t="s">
        <v>928</v>
      </c>
      <c r="B969" t="s">
        <v>1220</v>
      </c>
      <c r="C969" s="2877">
        <v>1335.375</v>
      </c>
    </row>
    <row r="970" spans="1:3">
      <c r="A970" t="s">
        <v>929</v>
      </c>
      <c r="B970" t="s">
        <v>1221</v>
      </c>
      <c r="C970" s="2877">
        <v>1276.7619999999999</v>
      </c>
    </row>
    <row r="971" spans="1:3">
      <c r="A971" t="s">
        <v>571</v>
      </c>
      <c r="B971" t="s">
        <v>1222</v>
      </c>
      <c r="C971" s="2877">
        <v>4423.7330000000002</v>
      </c>
    </row>
    <row r="972" spans="1:3">
      <c r="A972" t="s">
        <v>902</v>
      </c>
      <c r="B972" t="s">
        <v>1223</v>
      </c>
      <c r="C972" s="2877">
        <v>2922.116</v>
      </c>
    </row>
    <row r="973" spans="1:3">
      <c r="A973" t="s">
        <v>903</v>
      </c>
      <c r="B973" t="s">
        <v>1224</v>
      </c>
      <c r="C973" s="2877">
        <v>779.43600000000004</v>
      </c>
    </row>
    <row r="974" spans="1:3">
      <c r="A974" t="s">
        <v>904</v>
      </c>
      <c r="B974" t="s">
        <v>1225</v>
      </c>
      <c r="C974" s="2877">
        <v>570.93200000000002</v>
      </c>
    </row>
    <row r="975" spans="1:3">
      <c r="A975" t="s">
        <v>905</v>
      </c>
      <c r="B975" t="s">
        <v>1226</v>
      </c>
      <c r="C975" s="2877">
        <v>589.59699999999998</v>
      </c>
    </row>
    <row r="976" spans="1:3">
      <c r="A976" t="s">
        <v>1724</v>
      </c>
      <c r="B976" t="s">
        <v>1227</v>
      </c>
      <c r="C976" s="2877">
        <v>203.679</v>
      </c>
    </row>
    <row r="977" spans="1:3">
      <c r="A977" t="s">
        <v>2319</v>
      </c>
      <c r="B977" t="s">
        <v>1228</v>
      </c>
      <c r="C977" s="2877">
        <v>285</v>
      </c>
    </row>
    <row r="978" spans="1:3">
      <c r="A978" t="s">
        <v>884</v>
      </c>
      <c r="B978" t="s">
        <v>1448</v>
      </c>
      <c r="C978" s="2877">
        <v>4354.6030000000001</v>
      </c>
    </row>
    <row r="979" spans="1:3">
      <c r="A979" t="s">
        <v>1255</v>
      </c>
      <c r="B979" t="s">
        <v>1607</v>
      </c>
      <c r="C979" s="2877">
        <v>812.74099999999999</v>
      </c>
    </row>
    <row r="980" spans="1:3">
      <c r="A980" t="s">
        <v>642</v>
      </c>
      <c r="B980" t="s">
        <v>2338</v>
      </c>
      <c r="C980" s="2877">
        <v>2212.5349999999999</v>
      </c>
    </row>
    <row r="981" spans="1:3">
      <c r="A981" t="s">
        <v>1827</v>
      </c>
      <c r="B981" t="s">
        <v>1609</v>
      </c>
      <c r="C981" s="2877">
        <v>17697.190999999999</v>
      </c>
    </row>
    <row r="982" spans="1:3">
      <c r="A982" t="s">
        <v>573</v>
      </c>
      <c r="B982" t="s">
        <v>1162</v>
      </c>
      <c r="C982" s="2877">
        <v>1352.808</v>
      </c>
    </row>
    <row r="983" spans="1:3">
      <c r="A983" t="s">
        <v>1358</v>
      </c>
      <c r="B983" t="s">
        <v>1610</v>
      </c>
      <c r="C983" s="2877">
        <v>231.12100000000001</v>
      </c>
    </row>
    <row r="984" spans="1:3">
      <c r="A984" t="s">
        <v>9</v>
      </c>
      <c r="B984" t="s">
        <v>1611</v>
      </c>
      <c r="C984" s="2877">
        <v>3033.732</v>
      </c>
    </row>
    <row r="985" spans="1:3">
      <c r="A985" t="s">
        <v>10</v>
      </c>
      <c r="B985" t="s">
        <v>2289</v>
      </c>
      <c r="C985" s="2877">
        <v>277.71800000000002</v>
      </c>
    </row>
    <row r="986" spans="1:3">
      <c r="A986" t="s">
        <v>1503</v>
      </c>
      <c r="B986" t="s">
        <v>2346</v>
      </c>
      <c r="C986" s="2877">
        <v>678.84299999999996</v>
      </c>
    </row>
    <row r="987" spans="1:3">
      <c r="A987" t="s">
        <v>2089</v>
      </c>
      <c r="B987" t="s">
        <v>840</v>
      </c>
      <c r="C987" s="2877">
        <v>2238.0210000000002</v>
      </c>
    </row>
    <row r="988" spans="1:3">
      <c r="A988" t="s">
        <v>425</v>
      </c>
      <c r="B988" t="s">
        <v>78</v>
      </c>
      <c r="C988" s="2877">
        <v>3077.4940000000001</v>
      </c>
    </row>
    <row r="989" spans="1:3">
      <c r="A989" t="s">
        <v>278</v>
      </c>
      <c r="B989" t="s">
        <v>534</v>
      </c>
      <c r="C989" s="2877">
        <v>539.02499999999998</v>
      </c>
    </row>
    <row r="990" spans="1:3">
      <c r="A990" t="s">
        <v>1338</v>
      </c>
      <c r="B990" t="s">
        <v>109</v>
      </c>
      <c r="C990" s="2877">
        <v>1497.5640000000001</v>
      </c>
    </row>
    <row r="991" spans="1:3">
      <c r="A991" t="s">
        <v>2580</v>
      </c>
      <c r="B991" t="s">
        <v>2321</v>
      </c>
      <c r="C991" s="2877">
        <v>11805.058999999999</v>
      </c>
    </row>
    <row r="992" spans="1:3">
      <c r="A992" t="s">
        <v>1799</v>
      </c>
      <c r="B992" t="s">
        <v>1018</v>
      </c>
      <c r="C992" s="2877">
        <v>715.06899999999996</v>
      </c>
    </row>
    <row r="993" spans="1:3">
      <c r="A993" t="s">
        <v>40</v>
      </c>
      <c r="B993" t="s">
        <v>1268</v>
      </c>
      <c r="C993" s="2877">
        <v>5569.4350000000004</v>
      </c>
    </row>
    <row r="994" spans="1:3">
      <c r="A994" t="s">
        <v>11</v>
      </c>
      <c r="B994" t="s">
        <v>1612</v>
      </c>
      <c r="C994" s="2877">
        <v>1233.999</v>
      </c>
    </row>
    <row r="995" spans="1:3">
      <c r="A995" t="s">
        <v>1771</v>
      </c>
      <c r="B995" t="s">
        <v>2467</v>
      </c>
      <c r="C995" s="2877">
        <v>3032.2640000000001</v>
      </c>
    </row>
    <row r="996" spans="1:3">
      <c r="A996" t="s">
        <v>1310</v>
      </c>
      <c r="B996" t="s">
        <v>611</v>
      </c>
      <c r="C996" s="2877">
        <v>47208.084000000003</v>
      </c>
    </row>
    <row r="997" spans="1:3">
      <c r="A997" t="s">
        <v>1545</v>
      </c>
      <c r="B997" t="s">
        <v>602</v>
      </c>
      <c r="C997" s="2877">
        <v>4030.02</v>
      </c>
    </row>
    <row r="998" spans="1:3">
      <c r="A998" t="s">
        <v>1515</v>
      </c>
      <c r="B998" t="s">
        <v>604</v>
      </c>
      <c r="C998" s="2877">
        <v>883.14099999999996</v>
      </c>
    </row>
    <row r="999" spans="1:3">
      <c r="A999" t="s">
        <v>1769</v>
      </c>
      <c r="B999" t="s">
        <v>2465</v>
      </c>
      <c r="C999" s="2877">
        <v>32043.951000000001</v>
      </c>
    </row>
    <row r="1000" spans="1:3">
      <c r="A1000" t="s">
        <v>12</v>
      </c>
      <c r="B1000" t="s">
        <v>1613</v>
      </c>
      <c r="C1000" s="2877">
        <v>212.63</v>
      </c>
    </row>
    <row r="1001" spans="1:3">
      <c r="A1001" t="s">
        <v>2455</v>
      </c>
      <c r="B1001" t="s">
        <v>110</v>
      </c>
      <c r="C1001" s="2877">
        <v>4693.951</v>
      </c>
    </row>
    <row r="1002" spans="1:3">
      <c r="A1002" t="s">
        <v>59</v>
      </c>
      <c r="B1002" t="s">
        <v>1900</v>
      </c>
      <c r="C1002" s="2877">
        <v>3657.1959999999999</v>
      </c>
    </row>
    <row r="1003" spans="1:3">
      <c r="A1003" t="s">
        <v>2456</v>
      </c>
      <c r="B1003" t="s">
        <v>1005</v>
      </c>
      <c r="C1003" s="2877">
        <v>1168.434</v>
      </c>
    </row>
    <row r="1004" spans="1:3">
      <c r="A1004" t="s">
        <v>1512</v>
      </c>
      <c r="B1004" t="s">
        <v>1941</v>
      </c>
      <c r="C1004" s="2877">
        <v>1157.04</v>
      </c>
    </row>
    <row r="1005" spans="1:3">
      <c r="A1005" t="s">
        <v>1174</v>
      </c>
      <c r="B1005" t="s">
        <v>1614</v>
      </c>
      <c r="C1005" s="2877">
        <v>1838.587</v>
      </c>
    </row>
    <row r="1006" spans="1:3">
      <c r="A1006" t="s">
        <v>1175</v>
      </c>
      <c r="B1006" t="s">
        <v>1615</v>
      </c>
      <c r="C1006" s="2877">
        <v>561.798</v>
      </c>
    </row>
    <row r="1007" spans="1:3">
      <c r="A1007" t="s">
        <v>196</v>
      </c>
      <c r="B1007" t="s">
        <v>1053</v>
      </c>
      <c r="C1007" s="2877">
        <v>1048.7650000000001</v>
      </c>
    </row>
    <row r="1008" spans="1:3">
      <c r="A1008" t="s">
        <v>800</v>
      </c>
      <c r="B1008" t="s">
        <v>1616</v>
      </c>
      <c r="C1008" s="2877">
        <v>1461.54</v>
      </c>
    </row>
    <row r="1009" spans="1:3">
      <c r="A1009" t="s">
        <v>2176</v>
      </c>
      <c r="B1009" t="s">
        <v>1617</v>
      </c>
      <c r="C1009" s="2877">
        <v>2790.4740000000002</v>
      </c>
    </row>
    <row r="1010" spans="1:3">
      <c r="A1010" t="s">
        <v>2424</v>
      </c>
      <c r="B1010" t="s">
        <v>1618</v>
      </c>
      <c r="C1010" s="2877">
        <v>933.91300000000001</v>
      </c>
    </row>
    <row r="1011" spans="1:3">
      <c r="A1011" t="s">
        <v>2425</v>
      </c>
      <c r="B1011" t="s">
        <v>1619</v>
      </c>
      <c r="C1011" s="2877">
        <v>3473.95</v>
      </c>
    </row>
    <row r="1012" spans="1:3">
      <c r="A1012" t="s">
        <v>2022</v>
      </c>
      <c r="B1012" t="s">
        <v>1365</v>
      </c>
      <c r="C1012" s="2877">
        <v>1458.3679999999999</v>
      </c>
    </row>
    <row r="1013" spans="1:3">
      <c r="A1013" t="s">
        <v>1150</v>
      </c>
      <c r="B1013" t="s">
        <v>1927</v>
      </c>
      <c r="C1013" s="2877">
        <v>411.85199999999998</v>
      </c>
    </row>
    <row r="1014" spans="1:3">
      <c r="A1014" t="s">
        <v>2229</v>
      </c>
      <c r="B1014" t="s">
        <v>1620</v>
      </c>
      <c r="C1014" s="2877">
        <v>1128.634</v>
      </c>
    </row>
    <row r="1015" spans="1:3">
      <c r="A1015" t="s">
        <v>2230</v>
      </c>
      <c r="B1015" t="s">
        <v>1621</v>
      </c>
      <c r="C1015" s="2877">
        <v>2029.6179999999999</v>
      </c>
    </row>
    <row r="1016" spans="1:3">
      <c r="A1016" t="s">
        <v>2575</v>
      </c>
      <c r="B1016" t="s">
        <v>24</v>
      </c>
      <c r="C1016" s="2877">
        <v>1568.09</v>
      </c>
    </row>
    <row r="1017" spans="1:3">
      <c r="A1017" t="s">
        <v>2576</v>
      </c>
      <c r="B1017" t="s">
        <v>1370</v>
      </c>
      <c r="C1017" s="2877">
        <v>594.548</v>
      </c>
    </row>
    <row r="1018" spans="1:3">
      <c r="A1018" t="s">
        <v>635</v>
      </c>
      <c r="B1018" t="s">
        <v>1371</v>
      </c>
      <c r="C1018" s="2877">
        <v>1197.2719999999999</v>
      </c>
    </row>
    <row r="1019" spans="1:3">
      <c r="A1019" t="s">
        <v>679</v>
      </c>
      <c r="B1019" t="s">
        <v>1372</v>
      </c>
      <c r="C1019" s="2877">
        <v>1775.713</v>
      </c>
    </row>
    <row r="1020" spans="1:3">
      <c r="A1020" t="s">
        <v>680</v>
      </c>
      <c r="B1020" t="s">
        <v>1373</v>
      </c>
      <c r="C1020" s="2877">
        <v>1922.893</v>
      </c>
    </row>
    <row r="1021" spans="1:3">
      <c r="A1021" t="s">
        <v>1471</v>
      </c>
      <c r="B1021" t="s">
        <v>1374</v>
      </c>
      <c r="C1021" s="2877">
        <v>827.14499999999998</v>
      </c>
    </row>
    <row r="1022" spans="1:3">
      <c r="A1022" t="s">
        <v>907</v>
      </c>
      <c r="B1022" t="s">
        <v>862</v>
      </c>
      <c r="C1022" s="2877">
        <v>3150.6610000000001</v>
      </c>
    </row>
    <row r="1023" spans="1:3">
      <c r="A1023" t="s">
        <v>1472</v>
      </c>
      <c r="B1023" t="s">
        <v>1375</v>
      </c>
      <c r="C1023" s="2877">
        <v>296.82</v>
      </c>
    </row>
    <row r="1024" spans="1:3">
      <c r="A1024" t="s">
        <v>1504</v>
      </c>
      <c r="B1024" t="s">
        <v>825</v>
      </c>
      <c r="C1024" s="2877">
        <v>1316.4190000000001</v>
      </c>
    </row>
    <row r="1025" spans="1:3">
      <c r="A1025" t="s">
        <v>514</v>
      </c>
      <c r="B1025" t="s">
        <v>1376</v>
      </c>
      <c r="C1025" s="2877">
        <v>4255.0190000000002</v>
      </c>
    </row>
    <row r="1026" spans="1:3">
      <c r="A1026" t="s">
        <v>2406</v>
      </c>
      <c r="B1026" t="s">
        <v>420</v>
      </c>
      <c r="C1026" s="2877">
        <v>2633.71</v>
      </c>
    </row>
    <row r="1027" spans="1:3">
      <c r="A1027" t="s">
        <v>1688</v>
      </c>
      <c r="B1027" t="s">
        <v>1898</v>
      </c>
      <c r="C1027" s="2877">
        <v>946.27800000000002</v>
      </c>
    </row>
  </sheetData>
  <phoneticPr fontId="25" type="noConversion"/>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5703125" style="2878" customWidth="1"/>
  </cols>
  <sheetData>
    <row r="1" spans="1:2">
      <c r="A1" s="92" t="s">
        <v>197</v>
      </c>
      <c r="B1" s="2878">
        <v>1.03</v>
      </c>
    </row>
    <row r="2" spans="1:2">
      <c r="A2" s="92" t="s">
        <v>1954</v>
      </c>
      <c r="B2" s="2878">
        <v>1.03</v>
      </c>
    </row>
    <row r="3" spans="1:2">
      <c r="A3" s="92" t="s">
        <v>14</v>
      </c>
      <c r="B3" s="2878">
        <v>1.03</v>
      </c>
    </row>
    <row r="4" spans="1:2">
      <c r="A4" s="92" t="s">
        <v>15</v>
      </c>
      <c r="B4" s="2878">
        <v>1.03</v>
      </c>
    </row>
    <row r="5" spans="1:2">
      <c r="A5" s="92" t="s">
        <v>16</v>
      </c>
      <c r="B5" s="2878">
        <v>1.06</v>
      </c>
    </row>
    <row r="6" spans="1:2">
      <c r="A6" s="92" t="s">
        <v>1098</v>
      </c>
      <c r="B6" s="2878">
        <v>1.05</v>
      </c>
    </row>
    <row r="7" spans="1:2">
      <c r="A7" s="92" t="s">
        <v>1099</v>
      </c>
      <c r="B7" s="2878">
        <v>1.03</v>
      </c>
    </row>
    <row r="8" spans="1:2">
      <c r="A8" s="92" t="s">
        <v>1841</v>
      </c>
      <c r="B8" s="2878">
        <v>1.1200000000000001</v>
      </c>
    </row>
    <row r="9" spans="1:2">
      <c r="A9" s="92" t="s">
        <v>676</v>
      </c>
      <c r="B9" s="2878">
        <v>1.04</v>
      </c>
    </row>
    <row r="10" spans="1:2">
      <c r="A10" s="92" t="s">
        <v>1452</v>
      </c>
      <c r="B10" s="2878">
        <v>1.06</v>
      </c>
    </row>
    <row r="11" spans="1:2">
      <c r="A11" s="92" t="s">
        <v>1118</v>
      </c>
      <c r="B11" s="2878">
        <v>1.04</v>
      </c>
    </row>
    <row r="12" spans="1:2">
      <c r="A12" s="92" t="s">
        <v>337</v>
      </c>
      <c r="B12" s="2878">
        <v>1.06</v>
      </c>
    </row>
    <row r="13" spans="1:2">
      <c r="A13" s="92" t="s">
        <v>338</v>
      </c>
      <c r="B13" s="2878">
        <v>1.03</v>
      </c>
    </row>
    <row r="14" spans="1:2">
      <c r="A14" s="92" t="s">
        <v>339</v>
      </c>
      <c r="B14" s="2878">
        <v>1.04</v>
      </c>
    </row>
    <row r="15" spans="1:2">
      <c r="A15" s="92" t="s">
        <v>2479</v>
      </c>
      <c r="B15" s="2878">
        <v>1.1100000000000001</v>
      </c>
    </row>
    <row r="16" spans="1:2">
      <c r="A16" s="92" t="s">
        <v>2480</v>
      </c>
      <c r="B16" s="2878">
        <v>1.07</v>
      </c>
    </row>
    <row r="17" spans="1:2">
      <c r="A17" s="92" t="s">
        <v>2481</v>
      </c>
      <c r="B17" s="2878">
        <v>1.05</v>
      </c>
    </row>
    <row r="18" spans="1:2">
      <c r="A18" s="92" t="s">
        <v>2482</v>
      </c>
      <c r="B18" s="2878">
        <v>1.07</v>
      </c>
    </row>
    <row r="19" spans="1:2">
      <c r="A19" s="92" t="s">
        <v>1945</v>
      </c>
      <c r="B19" s="2878">
        <v>1.06</v>
      </c>
    </row>
    <row r="20" spans="1:2">
      <c r="A20" s="92" t="s">
        <v>2483</v>
      </c>
      <c r="B20" s="2878">
        <v>1.05</v>
      </c>
    </row>
    <row r="21" spans="1:2">
      <c r="A21" s="92" t="s">
        <v>708</v>
      </c>
      <c r="B21" s="2878">
        <v>1.08</v>
      </c>
    </row>
    <row r="22" spans="1:2">
      <c r="A22" s="92" t="s">
        <v>2484</v>
      </c>
      <c r="B22" s="2878">
        <v>1.07</v>
      </c>
    </row>
    <row r="23" spans="1:2">
      <c r="A23" s="92" t="s">
        <v>2090</v>
      </c>
      <c r="B23" s="2878">
        <v>1.07</v>
      </c>
    </row>
    <row r="24" spans="1:2">
      <c r="A24" s="92" t="s">
        <v>213</v>
      </c>
      <c r="B24" s="2878">
        <v>1.08</v>
      </c>
    </row>
    <row r="25" spans="1:2">
      <c r="A25" s="92" t="s">
        <v>2133</v>
      </c>
      <c r="B25" s="2878">
        <v>1.0900000000000001</v>
      </c>
    </row>
    <row r="26" spans="1:2">
      <c r="A26" s="92" t="s">
        <v>2485</v>
      </c>
      <c r="B26" s="2878">
        <v>1.1200000000000001</v>
      </c>
    </row>
    <row r="27" spans="1:2">
      <c r="A27" s="92" t="s">
        <v>685</v>
      </c>
      <c r="B27" s="2878">
        <v>1.1299999999999999</v>
      </c>
    </row>
    <row r="28" spans="1:2">
      <c r="A28" s="92" t="s">
        <v>686</v>
      </c>
      <c r="B28" s="2878">
        <v>1.1100000000000001</v>
      </c>
    </row>
    <row r="29" spans="1:2">
      <c r="A29" s="92" t="s">
        <v>687</v>
      </c>
      <c r="B29" s="2878">
        <v>1.06</v>
      </c>
    </row>
    <row r="30" spans="1:2">
      <c r="A30" s="92" t="s">
        <v>188</v>
      </c>
      <c r="B30" s="2878">
        <v>1.07</v>
      </c>
    </row>
    <row r="31" spans="1:2">
      <c r="A31" s="92" t="s">
        <v>1946</v>
      </c>
      <c r="B31" s="2878">
        <v>1.07</v>
      </c>
    </row>
    <row r="32" spans="1:2">
      <c r="A32" s="92" t="s">
        <v>1683</v>
      </c>
      <c r="B32" s="2878">
        <v>1.1000000000000001</v>
      </c>
    </row>
    <row r="33" spans="1:2">
      <c r="A33" s="92" t="s">
        <v>773</v>
      </c>
      <c r="B33" s="2878">
        <v>1.0900000000000001</v>
      </c>
    </row>
    <row r="34" spans="1:2">
      <c r="A34" s="92" t="s">
        <v>2366</v>
      </c>
      <c r="B34" s="2878">
        <v>1.08</v>
      </c>
    </row>
    <row r="35" spans="1:2">
      <c r="A35" s="92" t="s">
        <v>2134</v>
      </c>
      <c r="B35" s="2878">
        <v>1.08</v>
      </c>
    </row>
    <row r="36" spans="1:2">
      <c r="A36" s="92" t="s">
        <v>452</v>
      </c>
      <c r="B36" s="2878">
        <v>1.07</v>
      </c>
    </row>
    <row r="37" spans="1:2">
      <c r="A37" s="92" t="s">
        <v>2367</v>
      </c>
      <c r="B37" s="2878">
        <v>1.0900000000000001</v>
      </c>
    </row>
    <row r="38" spans="1:2">
      <c r="A38" s="92" t="s">
        <v>2651</v>
      </c>
      <c r="B38" s="2878">
        <v>1.0900000000000001</v>
      </c>
    </row>
    <row r="39" spans="1:2">
      <c r="A39" s="92" t="s">
        <v>2652</v>
      </c>
      <c r="B39" s="2878">
        <v>1.06</v>
      </c>
    </row>
    <row r="40" spans="1:2">
      <c r="A40" s="92" t="s">
        <v>1149</v>
      </c>
      <c r="B40" s="2878">
        <v>1.07</v>
      </c>
    </row>
    <row r="41" spans="1:2">
      <c r="A41" s="92" t="s">
        <v>2135</v>
      </c>
      <c r="B41" s="2878">
        <v>1.04</v>
      </c>
    </row>
    <row r="42" spans="1:2">
      <c r="A42" s="92" t="s">
        <v>1682</v>
      </c>
      <c r="B42" s="2878">
        <v>1.04</v>
      </c>
    </row>
    <row r="43" spans="1:2">
      <c r="A43" s="92" t="s">
        <v>1685</v>
      </c>
      <c r="B43" s="2878">
        <v>1.08</v>
      </c>
    </row>
    <row r="44" spans="1:2">
      <c r="A44" s="92" t="s">
        <v>170</v>
      </c>
      <c r="B44" s="2878">
        <v>1.04</v>
      </c>
    </row>
    <row r="45" spans="1:2">
      <c r="A45" s="92" t="s">
        <v>53</v>
      </c>
      <c r="B45" s="2878">
        <v>1.1000000000000001</v>
      </c>
    </row>
    <row r="46" spans="1:2">
      <c r="A46" s="92" t="s">
        <v>166</v>
      </c>
      <c r="B46" s="2878">
        <v>1.05</v>
      </c>
    </row>
    <row r="47" spans="1:2">
      <c r="A47" s="92" t="s">
        <v>1312</v>
      </c>
      <c r="B47" s="2878">
        <v>1.05</v>
      </c>
    </row>
    <row r="48" spans="1:2">
      <c r="A48" s="92" t="s">
        <v>1514</v>
      </c>
      <c r="B48" s="2878">
        <v>1.0900000000000001</v>
      </c>
    </row>
    <row r="49" spans="1:2">
      <c r="A49" s="92" t="s">
        <v>1519</v>
      </c>
      <c r="B49" s="2878">
        <v>1.04</v>
      </c>
    </row>
    <row r="50" spans="1:2">
      <c r="A50" s="92" t="s">
        <v>423</v>
      </c>
      <c r="B50" s="2878">
        <v>1.08</v>
      </c>
    </row>
    <row r="51" spans="1:2">
      <c r="A51" s="92" t="s">
        <v>1859</v>
      </c>
      <c r="B51" s="2878">
        <v>1.1200000000000001</v>
      </c>
    </row>
    <row r="52" spans="1:2">
      <c r="A52" s="92" t="s">
        <v>771</v>
      </c>
      <c r="B52" s="2878">
        <v>1.1499999999999999</v>
      </c>
    </row>
    <row r="53" spans="1:2">
      <c r="A53" s="92" t="s">
        <v>2350</v>
      </c>
      <c r="B53" s="2878">
        <v>1.06</v>
      </c>
    </row>
    <row r="54" spans="1:2">
      <c r="A54" s="92" t="s">
        <v>1314</v>
      </c>
      <c r="B54" s="2878">
        <v>1.1399999999999999</v>
      </c>
    </row>
    <row r="55" spans="1:2">
      <c r="A55" s="92" t="s">
        <v>1506</v>
      </c>
      <c r="B55" s="2878">
        <v>1.1399999999999999</v>
      </c>
    </row>
    <row r="56" spans="1:2">
      <c r="A56" s="92" t="s">
        <v>1152</v>
      </c>
      <c r="B56" s="2878">
        <v>1.08</v>
      </c>
    </row>
    <row r="57" spans="1:2">
      <c r="A57" s="92" t="s">
        <v>1407</v>
      </c>
      <c r="B57" s="2878">
        <v>1.1100000000000001</v>
      </c>
    </row>
    <row r="58" spans="1:2">
      <c r="A58" s="92" t="s">
        <v>768</v>
      </c>
      <c r="B58" s="2878">
        <v>1.1000000000000001</v>
      </c>
    </row>
    <row r="59" spans="1:2">
      <c r="A59" s="92" t="s">
        <v>709</v>
      </c>
      <c r="B59" s="2878">
        <v>1.1100000000000001</v>
      </c>
    </row>
    <row r="60" spans="1:2">
      <c r="A60" s="92" t="s">
        <v>2351</v>
      </c>
      <c r="B60" s="2878">
        <v>1.05</v>
      </c>
    </row>
    <row r="61" spans="1:2">
      <c r="A61" s="92" t="s">
        <v>2352</v>
      </c>
      <c r="B61" s="2878">
        <v>1.06</v>
      </c>
    </row>
    <row r="62" spans="1:2">
      <c r="A62" s="92" t="s">
        <v>1409</v>
      </c>
      <c r="B62" s="2878">
        <v>1.1100000000000001</v>
      </c>
    </row>
    <row r="63" spans="1:2">
      <c r="A63" s="92" t="s">
        <v>46</v>
      </c>
      <c r="B63" s="2878">
        <v>1.1100000000000001</v>
      </c>
    </row>
    <row r="64" spans="1:2">
      <c r="A64" s="92" t="s">
        <v>1507</v>
      </c>
      <c r="B64" s="2878">
        <v>1.1000000000000001</v>
      </c>
    </row>
    <row r="65" spans="1:2">
      <c r="A65" s="92" t="s">
        <v>1210</v>
      </c>
      <c r="B65" s="2878">
        <v>1.08</v>
      </c>
    </row>
    <row r="66" spans="1:2">
      <c r="A66" s="92" t="s">
        <v>874</v>
      </c>
      <c r="B66" s="2878">
        <v>1.08</v>
      </c>
    </row>
    <row r="67" spans="1:2">
      <c r="A67" s="92" t="s">
        <v>1211</v>
      </c>
      <c r="B67" s="2878">
        <v>1.06</v>
      </c>
    </row>
    <row r="68" spans="1:2">
      <c r="A68" s="92" t="s">
        <v>575</v>
      </c>
      <c r="B68" s="2878">
        <v>1.04</v>
      </c>
    </row>
    <row r="69" spans="1:2">
      <c r="A69" s="92" t="s">
        <v>1212</v>
      </c>
      <c r="B69" s="2878">
        <v>1.04</v>
      </c>
    </row>
    <row r="70" spans="1:2">
      <c r="A70" s="92" t="s">
        <v>1113</v>
      </c>
      <c r="B70" s="2878">
        <v>1.07</v>
      </c>
    </row>
    <row r="71" spans="1:2">
      <c r="A71" s="92" t="s">
        <v>1114</v>
      </c>
      <c r="B71" s="2878">
        <v>1.04</v>
      </c>
    </row>
    <row r="72" spans="1:2">
      <c r="A72" s="92" t="s">
        <v>1901</v>
      </c>
      <c r="B72" s="2878">
        <v>1.04</v>
      </c>
    </row>
    <row r="73" spans="1:2">
      <c r="A73" s="92" t="s">
        <v>1645</v>
      </c>
      <c r="B73" s="2878">
        <v>1.05</v>
      </c>
    </row>
    <row r="74" spans="1:2">
      <c r="A74" s="92" t="s">
        <v>1646</v>
      </c>
      <c r="B74" s="2878">
        <v>1.05</v>
      </c>
    </row>
    <row r="75" spans="1:2">
      <c r="A75" s="92" t="s">
        <v>1647</v>
      </c>
      <c r="B75" s="2878">
        <v>1.05</v>
      </c>
    </row>
    <row r="76" spans="1:2">
      <c r="A76" s="92" t="s">
        <v>885</v>
      </c>
      <c r="B76" s="2878">
        <v>1.03</v>
      </c>
    </row>
    <row r="77" spans="1:2">
      <c r="A77" s="92" t="s">
        <v>710</v>
      </c>
      <c r="B77" s="2878">
        <v>1.04</v>
      </c>
    </row>
    <row r="78" spans="1:2">
      <c r="A78" s="92" t="s">
        <v>2136</v>
      </c>
      <c r="B78" s="2878">
        <v>1.03</v>
      </c>
    </row>
    <row r="79" spans="1:2">
      <c r="A79" s="92" t="s">
        <v>2638</v>
      </c>
      <c r="B79" s="2878">
        <v>1.05</v>
      </c>
    </row>
    <row r="80" spans="1:2">
      <c r="A80" s="92" t="s">
        <v>1096</v>
      </c>
      <c r="B80" s="2878">
        <v>1.03</v>
      </c>
    </row>
    <row r="81" spans="1:2">
      <c r="A81" s="92" t="s">
        <v>1097</v>
      </c>
      <c r="B81" s="2878">
        <v>1.06</v>
      </c>
    </row>
    <row r="82" spans="1:2">
      <c r="A82" s="92" t="s">
        <v>1124</v>
      </c>
      <c r="B82" s="2878">
        <v>1.06</v>
      </c>
    </row>
    <row r="83" spans="1:2">
      <c r="A83" s="92" t="s">
        <v>2137</v>
      </c>
      <c r="B83" s="2878">
        <v>1.03</v>
      </c>
    </row>
    <row r="84" spans="1:2">
      <c r="A84" s="92" t="s">
        <v>984</v>
      </c>
      <c r="B84" s="2878">
        <v>1.04</v>
      </c>
    </row>
    <row r="85" spans="1:2">
      <c r="A85" s="92" t="s">
        <v>842</v>
      </c>
      <c r="B85" s="2878">
        <v>1.03</v>
      </c>
    </row>
    <row r="86" spans="1:2">
      <c r="A86" s="92" t="s">
        <v>1125</v>
      </c>
      <c r="B86" s="2878">
        <v>1.05</v>
      </c>
    </row>
    <row r="87" spans="1:2">
      <c r="A87" s="92" t="s">
        <v>1126</v>
      </c>
      <c r="B87" s="2878">
        <v>1.04</v>
      </c>
    </row>
    <row r="88" spans="1:2">
      <c r="A88" s="92" t="s">
        <v>843</v>
      </c>
      <c r="B88" s="2878">
        <v>1.04</v>
      </c>
    </row>
    <row r="89" spans="1:2">
      <c r="A89" s="92" t="s">
        <v>179</v>
      </c>
      <c r="B89" s="2878">
        <v>1.1499999999999999</v>
      </c>
    </row>
    <row r="90" spans="1:2">
      <c r="A90" s="92" t="s">
        <v>919</v>
      </c>
      <c r="B90" s="2878">
        <v>1.1499999999999999</v>
      </c>
    </row>
    <row r="91" spans="1:2">
      <c r="A91" s="92" t="s">
        <v>711</v>
      </c>
      <c r="B91" s="2878">
        <v>1.1100000000000001</v>
      </c>
    </row>
    <row r="92" spans="1:2">
      <c r="A92" s="92" t="s">
        <v>1157</v>
      </c>
      <c r="B92" s="2878">
        <v>1.1599999999999999</v>
      </c>
    </row>
    <row r="93" spans="1:2">
      <c r="A93" s="92" t="s">
        <v>1158</v>
      </c>
      <c r="B93" s="2878">
        <v>1.1200000000000001</v>
      </c>
    </row>
    <row r="94" spans="1:2">
      <c r="A94" s="92" t="s">
        <v>1435</v>
      </c>
      <c r="B94" s="2878">
        <v>1.1299999999999999</v>
      </c>
    </row>
    <row r="95" spans="1:2">
      <c r="A95" s="92" t="s">
        <v>207</v>
      </c>
      <c r="B95" s="2878">
        <v>1.1499999999999999</v>
      </c>
    </row>
    <row r="96" spans="1:2">
      <c r="A96" s="92" t="s">
        <v>1159</v>
      </c>
      <c r="B96" s="2878">
        <v>1.1100000000000001</v>
      </c>
    </row>
    <row r="97" spans="1:2">
      <c r="A97" s="92" t="s">
        <v>578</v>
      </c>
      <c r="B97" s="2878">
        <v>1.0900000000000001</v>
      </c>
    </row>
    <row r="98" spans="1:2">
      <c r="A98" s="92" t="s">
        <v>882</v>
      </c>
      <c r="B98" s="2878">
        <v>1.1100000000000001</v>
      </c>
    </row>
    <row r="99" spans="1:2">
      <c r="A99" s="92" t="s">
        <v>2549</v>
      </c>
      <c r="B99" s="2878">
        <v>1.1000000000000001</v>
      </c>
    </row>
    <row r="100" spans="1:2">
      <c r="A100" s="92" t="s">
        <v>400</v>
      </c>
      <c r="B100" s="2878">
        <v>1.1000000000000001</v>
      </c>
    </row>
    <row r="101" spans="1:2">
      <c r="A101" s="92" t="s">
        <v>401</v>
      </c>
      <c r="B101" s="2878">
        <v>1.0900000000000001</v>
      </c>
    </row>
    <row r="102" spans="1:2">
      <c r="A102" s="92" t="s">
        <v>402</v>
      </c>
      <c r="B102" s="2878">
        <v>1.0900000000000001</v>
      </c>
    </row>
    <row r="103" spans="1:2">
      <c r="A103" s="92" t="s">
        <v>403</v>
      </c>
      <c r="B103" s="2878">
        <v>1.04</v>
      </c>
    </row>
    <row r="104" spans="1:2">
      <c r="A104" s="92" t="s">
        <v>669</v>
      </c>
      <c r="B104" s="2878">
        <v>1.1499999999999999</v>
      </c>
    </row>
    <row r="105" spans="1:2">
      <c r="A105" s="92" t="s">
        <v>670</v>
      </c>
      <c r="B105" s="2878">
        <v>1.03</v>
      </c>
    </row>
    <row r="106" spans="1:2">
      <c r="A106" s="92" t="s">
        <v>671</v>
      </c>
      <c r="B106" s="2878">
        <v>1.06</v>
      </c>
    </row>
    <row r="107" spans="1:2">
      <c r="A107" s="92" t="s">
        <v>876</v>
      </c>
      <c r="B107" s="2878">
        <v>1.05</v>
      </c>
    </row>
    <row r="108" spans="1:2">
      <c r="A108" s="92" t="s">
        <v>2528</v>
      </c>
      <c r="B108" s="2878">
        <v>1.03</v>
      </c>
    </row>
    <row r="109" spans="1:2">
      <c r="A109" s="92" t="s">
        <v>1187</v>
      </c>
      <c r="B109" s="2878">
        <v>1.04</v>
      </c>
    </row>
    <row r="110" spans="1:2">
      <c r="A110" s="92" t="s">
        <v>712</v>
      </c>
      <c r="B110" s="2878">
        <v>1.04</v>
      </c>
    </row>
    <row r="111" spans="1:2">
      <c r="A111" s="92" t="s">
        <v>769</v>
      </c>
      <c r="B111" s="2878">
        <v>1.04</v>
      </c>
    </row>
    <row r="112" spans="1:2">
      <c r="A112" s="92" t="s">
        <v>672</v>
      </c>
      <c r="B112" s="2878">
        <v>1.08</v>
      </c>
    </row>
    <row r="113" spans="1:2">
      <c r="A113" s="92" t="s">
        <v>673</v>
      </c>
      <c r="B113" s="2878">
        <v>1.0900000000000001</v>
      </c>
    </row>
    <row r="114" spans="1:2">
      <c r="A114" s="92" t="s">
        <v>674</v>
      </c>
      <c r="B114" s="2878">
        <v>1.0900000000000001</v>
      </c>
    </row>
    <row r="115" spans="1:2">
      <c r="A115" s="92" t="s">
        <v>1885</v>
      </c>
      <c r="B115" s="2878">
        <v>1.0900000000000001</v>
      </c>
    </row>
    <row r="116" spans="1:2">
      <c r="A116" s="92" t="s">
        <v>348</v>
      </c>
      <c r="B116" s="2878">
        <v>1.0900000000000001</v>
      </c>
    </row>
    <row r="117" spans="1:2">
      <c r="A117" s="92" t="s">
        <v>456</v>
      </c>
      <c r="B117" s="2878">
        <v>1.0900000000000001</v>
      </c>
    </row>
    <row r="118" spans="1:2">
      <c r="A118" s="92" t="s">
        <v>1154</v>
      </c>
      <c r="B118" s="2878">
        <v>1.0900000000000001</v>
      </c>
    </row>
    <row r="119" spans="1:2">
      <c r="A119" s="92" t="s">
        <v>2306</v>
      </c>
      <c r="B119" s="2878">
        <v>1.08</v>
      </c>
    </row>
    <row r="120" spans="1:2">
      <c r="A120" s="92" t="s">
        <v>1359</v>
      </c>
      <c r="B120" s="2878">
        <v>1.1100000000000001</v>
      </c>
    </row>
    <row r="121" spans="1:2">
      <c r="A121" s="92" t="s">
        <v>2341</v>
      </c>
      <c r="B121" s="2878">
        <v>1.04</v>
      </c>
    </row>
    <row r="122" spans="1:2">
      <c r="A122" s="92" t="s">
        <v>713</v>
      </c>
      <c r="B122" s="2878">
        <v>1.05</v>
      </c>
    </row>
    <row r="123" spans="1:2">
      <c r="A123" s="92" t="s">
        <v>148</v>
      </c>
      <c r="B123" s="2878">
        <v>1.04</v>
      </c>
    </row>
    <row r="124" spans="1:2">
      <c r="A124" s="92" t="s">
        <v>1829</v>
      </c>
      <c r="B124" s="2878">
        <v>1.03</v>
      </c>
    </row>
    <row r="125" spans="1:2">
      <c r="A125" s="92" t="s">
        <v>881</v>
      </c>
      <c r="B125" s="2878">
        <v>1.19</v>
      </c>
    </row>
    <row r="126" spans="1:2">
      <c r="A126" s="92" t="s">
        <v>1860</v>
      </c>
      <c r="B126" s="2878">
        <v>1.17</v>
      </c>
    </row>
    <row r="127" spans="1:2">
      <c r="A127" s="92" t="s">
        <v>57</v>
      </c>
      <c r="B127" s="2878">
        <v>1.1399999999999999</v>
      </c>
    </row>
    <row r="128" spans="1:2">
      <c r="A128" s="92" t="s">
        <v>2283</v>
      </c>
      <c r="B128" s="2878">
        <v>1.17</v>
      </c>
    </row>
    <row r="129" spans="1:2">
      <c r="A129" s="92" t="s">
        <v>1679</v>
      </c>
      <c r="B129" s="2878">
        <v>1.1399999999999999</v>
      </c>
    </row>
    <row r="130" spans="1:2">
      <c r="A130" s="92" t="s">
        <v>714</v>
      </c>
      <c r="B130" s="2878">
        <v>1.1399999999999999</v>
      </c>
    </row>
    <row r="131" spans="1:2">
      <c r="A131" s="92" t="s">
        <v>1315</v>
      </c>
      <c r="B131" s="2878">
        <v>1.18</v>
      </c>
    </row>
    <row r="132" spans="1:2">
      <c r="A132" s="92" t="s">
        <v>715</v>
      </c>
      <c r="B132" s="2878">
        <v>1.1499999999999999</v>
      </c>
    </row>
    <row r="133" spans="1:2">
      <c r="A133" s="92" t="s">
        <v>492</v>
      </c>
      <c r="B133" s="2878">
        <v>1.1499999999999999</v>
      </c>
    </row>
    <row r="134" spans="1:2">
      <c r="A134" s="92" t="s">
        <v>2343</v>
      </c>
      <c r="B134" s="2878">
        <v>1.1200000000000001</v>
      </c>
    </row>
    <row r="135" spans="1:2">
      <c r="A135" s="92" t="s">
        <v>933</v>
      </c>
      <c r="B135" s="2878">
        <v>1.06</v>
      </c>
    </row>
    <row r="136" spans="1:2">
      <c r="A136" s="92" t="s">
        <v>934</v>
      </c>
      <c r="B136" s="2878">
        <v>1.06</v>
      </c>
    </row>
    <row r="137" spans="1:2">
      <c r="A137" s="92" t="s">
        <v>776</v>
      </c>
      <c r="B137" s="2878">
        <v>1.07</v>
      </c>
    </row>
    <row r="138" spans="1:2">
      <c r="A138" s="92" t="s">
        <v>1806</v>
      </c>
      <c r="B138" s="2878">
        <v>1.06</v>
      </c>
    </row>
    <row r="139" spans="1:2">
      <c r="A139" s="92" t="s">
        <v>1725</v>
      </c>
      <c r="B139" s="2878">
        <v>1.05</v>
      </c>
    </row>
    <row r="140" spans="1:2">
      <c r="A140" s="92" t="s">
        <v>1726</v>
      </c>
      <c r="B140" s="2878">
        <v>1.04</v>
      </c>
    </row>
    <row r="141" spans="1:2">
      <c r="A141" s="92" t="s">
        <v>743</v>
      </c>
      <c r="B141" s="2878">
        <v>1.04</v>
      </c>
    </row>
    <row r="142" spans="1:2">
      <c r="A142" s="92" t="s">
        <v>744</v>
      </c>
      <c r="B142" s="2878">
        <v>1.05</v>
      </c>
    </row>
    <row r="143" spans="1:2">
      <c r="A143" s="92" t="s">
        <v>1875</v>
      </c>
      <c r="B143" s="2878">
        <v>1.04</v>
      </c>
    </row>
    <row r="144" spans="1:2">
      <c r="A144" s="92" t="s">
        <v>745</v>
      </c>
      <c r="B144" s="2878">
        <v>1.05</v>
      </c>
    </row>
    <row r="145" spans="1:2">
      <c r="A145" s="92" t="s">
        <v>746</v>
      </c>
      <c r="B145" s="2878">
        <v>1.0900000000000001</v>
      </c>
    </row>
    <row r="146" spans="1:2">
      <c r="A146" s="92" t="s">
        <v>1952</v>
      </c>
      <c r="B146" s="2878">
        <v>1.04</v>
      </c>
    </row>
    <row r="147" spans="1:2">
      <c r="A147" s="92" t="s">
        <v>1953</v>
      </c>
      <c r="B147" s="2878">
        <v>1.08</v>
      </c>
    </row>
    <row r="148" spans="1:2">
      <c r="A148" s="92" t="s">
        <v>2431</v>
      </c>
      <c r="B148" s="2878">
        <v>1.0900000000000001</v>
      </c>
    </row>
    <row r="149" spans="1:2">
      <c r="A149" s="92" t="s">
        <v>2539</v>
      </c>
      <c r="B149" s="2878">
        <v>1.05</v>
      </c>
    </row>
    <row r="150" spans="1:2">
      <c r="A150" s="92" t="s">
        <v>1640</v>
      </c>
      <c r="B150" s="2878">
        <v>1.1200000000000001</v>
      </c>
    </row>
    <row r="151" spans="1:2">
      <c r="A151" s="92" t="s">
        <v>2432</v>
      </c>
      <c r="B151" s="2878">
        <v>1.1200000000000001</v>
      </c>
    </row>
    <row r="152" spans="1:2">
      <c r="A152" s="92" t="s">
        <v>285</v>
      </c>
      <c r="B152" s="2878">
        <v>1.1100000000000001</v>
      </c>
    </row>
    <row r="153" spans="1:2">
      <c r="A153" s="92" t="s">
        <v>1469</v>
      </c>
      <c r="B153" s="2878">
        <v>1.05</v>
      </c>
    </row>
    <row r="154" spans="1:2">
      <c r="A154" s="92" t="s">
        <v>43</v>
      </c>
      <c r="B154" s="2878">
        <v>1.06</v>
      </c>
    </row>
    <row r="155" spans="1:2">
      <c r="A155" s="92" t="s">
        <v>1311</v>
      </c>
      <c r="B155" s="2878">
        <v>1.05</v>
      </c>
    </row>
    <row r="156" spans="1:2">
      <c r="A156" s="92" t="s">
        <v>2542</v>
      </c>
      <c r="B156" s="2878">
        <v>1.04</v>
      </c>
    </row>
    <row r="157" spans="1:2">
      <c r="A157" s="92" t="s">
        <v>1470</v>
      </c>
      <c r="B157" s="2878">
        <v>1.03</v>
      </c>
    </row>
    <row r="158" spans="1:2">
      <c r="A158" s="92" t="s">
        <v>71</v>
      </c>
      <c r="B158" s="2878">
        <v>1.04</v>
      </c>
    </row>
    <row r="159" spans="1:2">
      <c r="A159" s="92" t="s">
        <v>1110</v>
      </c>
      <c r="B159" s="2878">
        <v>1.06</v>
      </c>
    </row>
    <row r="160" spans="1:2">
      <c r="A160" s="92" t="s">
        <v>2167</v>
      </c>
      <c r="B160" s="2878">
        <v>1.05</v>
      </c>
    </row>
    <row r="161" spans="1:2">
      <c r="A161" s="92" t="s">
        <v>716</v>
      </c>
      <c r="B161" s="2878">
        <v>1.05</v>
      </c>
    </row>
    <row r="162" spans="1:2">
      <c r="A162" s="92" t="s">
        <v>2168</v>
      </c>
      <c r="B162" s="2878">
        <v>1.06</v>
      </c>
    </row>
    <row r="163" spans="1:2">
      <c r="A163" s="92" t="s">
        <v>1670</v>
      </c>
      <c r="B163" s="2878">
        <v>1.06</v>
      </c>
    </row>
    <row r="164" spans="1:2">
      <c r="A164" s="92" t="s">
        <v>1671</v>
      </c>
      <c r="B164" s="2878">
        <v>1.0900000000000001</v>
      </c>
    </row>
    <row r="165" spans="1:2">
      <c r="A165" s="92" t="s">
        <v>795</v>
      </c>
      <c r="B165" s="2878">
        <v>1.08</v>
      </c>
    </row>
    <row r="166" spans="1:2">
      <c r="A166" s="92" t="s">
        <v>796</v>
      </c>
      <c r="B166" s="2878">
        <v>1.05</v>
      </c>
    </row>
    <row r="167" spans="1:2">
      <c r="A167" s="92" t="s">
        <v>815</v>
      </c>
      <c r="B167" s="2878">
        <v>1.05</v>
      </c>
    </row>
    <row r="168" spans="1:2">
      <c r="A168" s="92" t="s">
        <v>577</v>
      </c>
      <c r="B168" s="2878">
        <v>1.03</v>
      </c>
    </row>
    <row r="169" spans="1:2">
      <c r="A169" s="92" t="s">
        <v>2368</v>
      </c>
      <c r="B169" s="2878">
        <v>1.03</v>
      </c>
    </row>
    <row r="170" spans="1:2">
      <c r="A170" s="92" t="s">
        <v>816</v>
      </c>
      <c r="B170" s="2878">
        <v>1.03</v>
      </c>
    </row>
    <row r="171" spans="1:2">
      <c r="A171" s="92" t="s">
        <v>1736</v>
      </c>
      <c r="B171" s="2878">
        <v>1.05</v>
      </c>
    </row>
    <row r="172" spans="1:2">
      <c r="A172" s="92" t="s">
        <v>584</v>
      </c>
      <c r="B172" s="2878">
        <v>1.1200000000000001</v>
      </c>
    </row>
    <row r="173" spans="1:2">
      <c r="A173" s="92" t="s">
        <v>1641</v>
      </c>
      <c r="B173" s="2878">
        <v>1.0900000000000001</v>
      </c>
    </row>
    <row r="174" spans="1:2">
      <c r="A174" s="92" t="s">
        <v>2502</v>
      </c>
      <c r="B174" s="2878">
        <v>1.0900000000000001</v>
      </c>
    </row>
    <row r="175" spans="1:2">
      <c r="A175" s="92" t="s">
        <v>1687</v>
      </c>
      <c r="B175" s="2878">
        <v>1.08</v>
      </c>
    </row>
    <row r="176" spans="1:2">
      <c r="A176" s="92" t="s">
        <v>1425</v>
      </c>
      <c r="B176" s="2878">
        <v>1.0900000000000001</v>
      </c>
    </row>
    <row r="177" spans="1:2">
      <c r="A177" s="92" t="s">
        <v>2530</v>
      </c>
      <c r="B177" s="2878">
        <v>1.1200000000000001</v>
      </c>
    </row>
    <row r="178" spans="1:2">
      <c r="A178" s="92" t="s">
        <v>649</v>
      </c>
      <c r="B178" s="2878">
        <v>1.08</v>
      </c>
    </row>
    <row r="179" spans="1:2">
      <c r="A179" s="92" t="s">
        <v>650</v>
      </c>
      <c r="B179" s="2878">
        <v>1.1299999999999999</v>
      </c>
    </row>
    <row r="180" spans="1:2">
      <c r="A180" s="92" t="s">
        <v>218</v>
      </c>
      <c r="B180" s="2878">
        <v>1.0900000000000001</v>
      </c>
    </row>
    <row r="181" spans="1:2">
      <c r="A181" s="92" t="s">
        <v>1583</v>
      </c>
      <c r="B181" s="2878">
        <v>1.07</v>
      </c>
    </row>
    <row r="182" spans="1:2">
      <c r="A182" s="92" t="s">
        <v>1184</v>
      </c>
      <c r="B182" s="2878">
        <v>1.1000000000000001</v>
      </c>
    </row>
    <row r="183" spans="1:2">
      <c r="A183" s="92" t="s">
        <v>878</v>
      </c>
      <c r="B183" s="2878">
        <v>1.08</v>
      </c>
    </row>
    <row r="184" spans="1:2">
      <c r="A184" s="92" t="s">
        <v>1438</v>
      </c>
      <c r="B184" s="2878">
        <v>1.08</v>
      </c>
    </row>
    <row r="185" spans="1:2">
      <c r="A185" s="92" t="s">
        <v>253</v>
      </c>
      <c r="B185" s="2878">
        <v>1.07</v>
      </c>
    </row>
    <row r="186" spans="1:2">
      <c r="A186" s="92" t="s">
        <v>254</v>
      </c>
      <c r="B186" s="2878">
        <v>1.08</v>
      </c>
    </row>
    <row r="187" spans="1:2">
      <c r="A187" s="92" t="s">
        <v>588</v>
      </c>
      <c r="B187" s="2878">
        <v>1.07</v>
      </c>
    </row>
    <row r="188" spans="1:2">
      <c r="A188" s="92" t="s">
        <v>1436</v>
      </c>
      <c r="B188" s="2878">
        <v>1.07</v>
      </c>
    </row>
    <row r="189" spans="1:2">
      <c r="A189" s="92" t="s">
        <v>589</v>
      </c>
      <c r="B189" s="2878">
        <v>1.08</v>
      </c>
    </row>
    <row r="190" spans="1:2">
      <c r="A190" s="92" t="s">
        <v>27</v>
      </c>
      <c r="B190" s="2878">
        <v>1.07</v>
      </c>
    </row>
    <row r="191" spans="1:2">
      <c r="A191" s="92" t="s">
        <v>28</v>
      </c>
      <c r="B191" s="2878">
        <v>1.08</v>
      </c>
    </row>
    <row r="192" spans="1:2">
      <c r="A192" s="92" t="s">
        <v>1265</v>
      </c>
      <c r="B192" s="2878">
        <v>1.0900000000000001</v>
      </c>
    </row>
    <row r="193" spans="1:2">
      <c r="A193" s="92" t="s">
        <v>2315</v>
      </c>
      <c r="B193" s="2878">
        <v>1.04</v>
      </c>
    </row>
    <row r="194" spans="1:2">
      <c r="A194" s="92" t="s">
        <v>2409</v>
      </c>
      <c r="B194" s="2878">
        <v>1.04</v>
      </c>
    </row>
    <row r="195" spans="1:2">
      <c r="A195" s="92" t="s">
        <v>2342</v>
      </c>
      <c r="B195" s="2878">
        <v>1.05</v>
      </c>
    </row>
    <row r="196" spans="1:2">
      <c r="A196" s="92" t="s">
        <v>2316</v>
      </c>
      <c r="B196" s="2878">
        <v>1.04</v>
      </c>
    </row>
    <row r="197" spans="1:2">
      <c r="A197" s="92" t="s">
        <v>2317</v>
      </c>
      <c r="B197" s="2878">
        <v>1.04</v>
      </c>
    </row>
    <row r="198" spans="1:2">
      <c r="A198" s="92" t="s">
        <v>300</v>
      </c>
      <c r="B198" s="2878">
        <v>1.06</v>
      </c>
    </row>
    <row r="199" spans="1:2">
      <c r="A199" s="92" t="s">
        <v>1427</v>
      </c>
      <c r="B199" s="2878">
        <v>1.0900000000000001</v>
      </c>
    </row>
    <row r="200" spans="1:2">
      <c r="A200" s="92" t="s">
        <v>301</v>
      </c>
      <c r="B200" s="2878">
        <v>1.07</v>
      </c>
    </row>
    <row r="201" spans="1:2">
      <c r="A201" s="92" t="s">
        <v>2503</v>
      </c>
      <c r="B201" s="2878">
        <v>1.07</v>
      </c>
    </row>
    <row r="202" spans="1:2">
      <c r="A202" s="92" t="s">
        <v>302</v>
      </c>
      <c r="B202" s="2878">
        <v>1.07</v>
      </c>
    </row>
    <row r="203" spans="1:2">
      <c r="A203" s="92" t="s">
        <v>303</v>
      </c>
      <c r="B203" s="2878">
        <v>1.06</v>
      </c>
    </row>
    <row r="204" spans="1:2">
      <c r="A204" s="92" t="s">
        <v>304</v>
      </c>
      <c r="B204" s="2878">
        <v>1.06</v>
      </c>
    </row>
    <row r="205" spans="1:2">
      <c r="A205" s="92" t="s">
        <v>1743</v>
      </c>
      <c r="B205" s="2878">
        <v>1.08</v>
      </c>
    </row>
    <row r="206" spans="1:2">
      <c r="A206" s="92" t="s">
        <v>1744</v>
      </c>
      <c r="B206" s="2878">
        <v>1.08</v>
      </c>
    </row>
    <row r="207" spans="1:2">
      <c r="A207" s="92" t="s">
        <v>1316</v>
      </c>
      <c r="B207" s="2878">
        <v>1.04</v>
      </c>
    </row>
    <row r="208" spans="1:2">
      <c r="A208" s="92" t="s">
        <v>1107</v>
      </c>
      <c r="B208" s="2878">
        <v>1.05</v>
      </c>
    </row>
    <row r="209" spans="1:2">
      <c r="A209" s="92" t="s">
        <v>2148</v>
      </c>
      <c r="B209" s="2878">
        <v>1.05</v>
      </c>
    </row>
    <row r="210" spans="1:2">
      <c r="A210" s="92" t="s">
        <v>1108</v>
      </c>
      <c r="B210" s="2878">
        <v>1.04</v>
      </c>
    </row>
    <row r="211" spans="1:2">
      <c r="A211" s="92" t="s">
        <v>2398</v>
      </c>
      <c r="B211" s="2878">
        <v>1.0900000000000001</v>
      </c>
    </row>
    <row r="212" spans="1:2">
      <c r="A212" s="92" t="s">
        <v>1109</v>
      </c>
      <c r="B212" s="2878">
        <v>1.07</v>
      </c>
    </row>
    <row r="213" spans="1:2">
      <c r="A213" s="92" t="s">
        <v>681</v>
      </c>
      <c r="B213" s="2878">
        <v>1.1100000000000001</v>
      </c>
    </row>
    <row r="214" spans="1:2">
      <c r="A214" s="92" t="s">
        <v>682</v>
      </c>
      <c r="B214" s="2878">
        <v>1.1100000000000001</v>
      </c>
    </row>
    <row r="215" spans="1:2">
      <c r="A215" s="92" t="s">
        <v>683</v>
      </c>
      <c r="B215" s="2878">
        <v>1.07</v>
      </c>
    </row>
    <row r="216" spans="1:2">
      <c r="A216" s="92" t="s">
        <v>684</v>
      </c>
      <c r="B216" s="2878">
        <v>1.07</v>
      </c>
    </row>
    <row r="217" spans="1:2">
      <c r="A217" s="92" t="s">
        <v>392</v>
      </c>
      <c r="B217" s="2878">
        <v>1.07</v>
      </c>
    </row>
    <row r="218" spans="1:2">
      <c r="A218" s="92" t="s">
        <v>2559</v>
      </c>
      <c r="B218" s="2878">
        <v>1.0900000000000001</v>
      </c>
    </row>
    <row r="219" spans="1:2">
      <c r="A219" s="92" t="s">
        <v>2560</v>
      </c>
      <c r="B219" s="2878">
        <v>1.0900000000000001</v>
      </c>
    </row>
    <row r="220" spans="1:2">
      <c r="A220" s="92" t="s">
        <v>2561</v>
      </c>
      <c r="B220" s="2878">
        <v>1.08</v>
      </c>
    </row>
    <row r="221" spans="1:2">
      <c r="A221" s="92" t="s">
        <v>1642</v>
      </c>
      <c r="B221" s="2878">
        <v>1.1399999999999999</v>
      </c>
    </row>
    <row r="222" spans="1:2">
      <c r="A222" s="92" t="s">
        <v>385</v>
      </c>
      <c r="B222" s="2878">
        <v>1.1200000000000001</v>
      </c>
    </row>
    <row r="223" spans="1:2">
      <c r="A223" s="92" t="s">
        <v>386</v>
      </c>
      <c r="B223" s="2878">
        <v>1.1599999999999999</v>
      </c>
    </row>
    <row r="224" spans="1:2">
      <c r="A224" s="92" t="s">
        <v>387</v>
      </c>
      <c r="B224" s="2878">
        <v>1.1299999999999999</v>
      </c>
    </row>
    <row r="225" spans="1:2">
      <c r="A225" s="92" t="s">
        <v>388</v>
      </c>
      <c r="B225" s="2878">
        <v>1.1399999999999999</v>
      </c>
    </row>
    <row r="226" spans="1:2">
      <c r="A226" s="92" t="s">
        <v>2578</v>
      </c>
      <c r="B226" s="2878">
        <v>1.1399999999999999</v>
      </c>
    </row>
    <row r="227" spans="1:2">
      <c r="A227" s="92" t="s">
        <v>666</v>
      </c>
      <c r="B227" s="2878">
        <v>1.1399999999999999</v>
      </c>
    </row>
    <row r="228" spans="1:2">
      <c r="A228" s="92" t="s">
        <v>533</v>
      </c>
      <c r="B228" s="2878">
        <v>1.1200000000000001</v>
      </c>
    </row>
    <row r="229" spans="1:2">
      <c r="A229" s="92" t="s">
        <v>41</v>
      </c>
      <c r="B229" s="2878">
        <v>1.1399999999999999</v>
      </c>
    </row>
    <row r="230" spans="1:2">
      <c r="A230" s="92" t="s">
        <v>1790</v>
      </c>
      <c r="B230" s="2878">
        <v>1.1200000000000001</v>
      </c>
    </row>
    <row r="231" spans="1:2">
      <c r="A231" s="92" t="s">
        <v>2533</v>
      </c>
      <c r="B231" s="2878">
        <v>1.1399999999999999</v>
      </c>
    </row>
    <row r="232" spans="1:2">
      <c r="A232" s="92" t="s">
        <v>1791</v>
      </c>
      <c r="B232" s="2878">
        <v>1.1399999999999999</v>
      </c>
    </row>
    <row r="233" spans="1:2">
      <c r="A233" s="92" t="s">
        <v>2688</v>
      </c>
      <c r="B233" s="2878">
        <v>1.08</v>
      </c>
    </row>
    <row r="234" spans="1:2">
      <c r="A234" s="92" t="s">
        <v>248</v>
      </c>
      <c r="B234" s="2878">
        <v>1.1200000000000001</v>
      </c>
    </row>
    <row r="235" spans="1:2">
      <c r="A235" s="92" t="s">
        <v>249</v>
      </c>
      <c r="B235" s="2878">
        <v>1.1100000000000001</v>
      </c>
    </row>
    <row r="236" spans="1:2">
      <c r="A236" s="92" t="s">
        <v>250</v>
      </c>
      <c r="B236" s="2878">
        <v>1.1100000000000001</v>
      </c>
    </row>
    <row r="237" spans="1:2">
      <c r="A237" s="92" t="s">
        <v>251</v>
      </c>
      <c r="B237" s="2878">
        <v>1.08</v>
      </c>
    </row>
    <row r="238" spans="1:2">
      <c r="A238" s="92" t="s">
        <v>252</v>
      </c>
      <c r="B238" s="2878">
        <v>1.1299999999999999</v>
      </c>
    </row>
    <row r="239" spans="1:2">
      <c r="A239" s="92" t="s">
        <v>374</v>
      </c>
      <c r="B239" s="2878">
        <v>1.08</v>
      </c>
    </row>
    <row r="240" spans="1:2">
      <c r="A240" s="92" t="s">
        <v>1864</v>
      </c>
      <c r="B240" s="2878">
        <v>1.0900000000000001</v>
      </c>
    </row>
    <row r="241" spans="1:2">
      <c r="A241" s="92" t="s">
        <v>1068</v>
      </c>
      <c r="B241" s="2878">
        <v>1.05</v>
      </c>
    </row>
    <row r="242" spans="1:2">
      <c r="A242" s="92" t="s">
        <v>1069</v>
      </c>
      <c r="B242" s="2878">
        <v>1.03</v>
      </c>
    </row>
    <row r="243" spans="1:2">
      <c r="A243" s="92" t="s">
        <v>640</v>
      </c>
      <c r="B243" s="2878">
        <v>1.06</v>
      </c>
    </row>
    <row r="244" spans="1:2">
      <c r="A244" s="92" t="s">
        <v>1070</v>
      </c>
      <c r="B244" s="2878">
        <v>1.1399999999999999</v>
      </c>
    </row>
    <row r="245" spans="1:2">
      <c r="A245" s="92" t="s">
        <v>1770</v>
      </c>
      <c r="B245" s="2878">
        <v>1.1399999999999999</v>
      </c>
    </row>
    <row r="246" spans="1:2">
      <c r="A246" s="92" t="s">
        <v>212</v>
      </c>
      <c r="B246" s="2878">
        <v>1.08</v>
      </c>
    </row>
    <row r="247" spans="1:2">
      <c r="A247" s="92" t="s">
        <v>717</v>
      </c>
      <c r="B247" s="2878">
        <v>1.08</v>
      </c>
    </row>
    <row r="248" spans="1:2">
      <c r="A248" s="92" t="s">
        <v>214</v>
      </c>
      <c r="B248" s="2878">
        <v>1.07</v>
      </c>
    </row>
    <row r="249" spans="1:2">
      <c r="A249" s="92" t="s">
        <v>1680</v>
      </c>
      <c r="B249" s="2878">
        <v>1.08</v>
      </c>
    </row>
    <row r="250" spans="1:2">
      <c r="A250" s="92" t="s">
        <v>490</v>
      </c>
      <c r="B250" s="2878">
        <v>1.0900000000000001</v>
      </c>
    </row>
    <row r="251" spans="1:2">
      <c r="A251" s="92" t="s">
        <v>1838</v>
      </c>
      <c r="B251" s="2878">
        <v>1.08</v>
      </c>
    </row>
    <row r="252" spans="1:2">
      <c r="A252" s="92" t="s">
        <v>1410</v>
      </c>
      <c r="B252" s="2878">
        <v>1.1100000000000001</v>
      </c>
    </row>
    <row r="253" spans="1:2">
      <c r="A253" s="92" t="s">
        <v>61</v>
      </c>
      <c r="B253" s="2878">
        <v>1.0900000000000001</v>
      </c>
    </row>
    <row r="254" spans="1:2">
      <c r="A254" s="92" t="s">
        <v>641</v>
      </c>
      <c r="B254" s="2878">
        <v>1.08</v>
      </c>
    </row>
    <row r="255" spans="1:2">
      <c r="A255" s="92" t="s">
        <v>2504</v>
      </c>
      <c r="B255" s="2878">
        <v>1.08</v>
      </c>
    </row>
    <row r="256" spans="1:2">
      <c r="A256" s="92" t="s">
        <v>1839</v>
      </c>
      <c r="B256" s="2878">
        <v>1.0900000000000001</v>
      </c>
    </row>
    <row r="257" spans="1:2">
      <c r="A257" s="92" t="s">
        <v>1185</v>
      </c>
      <c r="B257" s="2878">
        <v>1.07</v>
      </c>
    </row>
    <row r="258" spans="1:2">
      <c r="A258" s="92" t="s">
        <v>1840</v>
      </c>
      <c r="B258" s="2878">
        <v>1.06</v>
      </c>
    </row>
    <row r="259" spans="1:2">
      <c r="A259" s="92" t="s">
        <v>698</v>
      </c>
      <c r="B259" s="2878">
        <v>1.0900000000000001</v>
      </c>
    </row>
    <row r="260" spans="1:2">
      <c r="A260" s="92" t="s">
        <v>299</v>
      </c>
      <c r="B260" s="2878">
        <v>1.07</v>
      </c>
    </row>
    <row r="261" spans="1:2">
      <c r="A261" s="92" t="s">
        <v>175</v>
      </c>
      <c r="B261" s="2878">
        <v>1.06</v>
      </c>
    </row>
    <row r="262" spans="1:2">
      <c r="A262" s="92" t="s">
        <v>176</v>
      </c>
      <c r="B262" s="2878">
        <v>1.0900000000000001</v>
      </c>
    </row>
    <row r="263" spans="1:2">
      <c r="A263" s="92" t="s">
        <v>718</v>
      </c>
      <c r="B263" s="2878">
        <v>1.1200000000000001</v>
      </c>
    </row>
    <row r="264" spans="1:2">
      <c r="A264" s="92" t="s">
        <v>2629</v>
      </c>
      <c r="B264" s="2878">
        <v>1.07</v>
      </c>
    </row>
    <row r="265" spans="1:2">
      <c r="A265" s="92" t="s">
        <v>1556</v>
      </c>
      <c r="B265" s="2878">
        <v>1.07</v>
      </c>
    </row>
    <row r="266" spans="1:2">
      <c r="A266" s="92" t="s">
        <v>2630</v>
      </c>
      <c r="B266" s="2878">
        <v>1.1200000000000001</v>
      </c>
    </row>
    <row r="267" spans="1:2">
      <c r="A267" s="92" t="s">
        <v>2631</v>
      </c>
      <c r="B267" s="2878">
        <v>1.1100000000000001</v>
      </c>
    </row>
    <row r="268" spans="1:2">
      <c r="A268" s="92" t="s">
        <v>719</v>
      </c>
      <c r="B268" s="2878">
        <v>1.1200000000000001</v>
      </c>
    </row>
    <row r="269" spans="1:2">
      <c r="A269" s="92" t="s">
        <v>678</v>
      </c>
      <c r="B269" s="2878">
        <v>1.08</v>
      </c>
    </row>
    <row r="270" spans="1:2">
      <c r="A270" s="92" t="s">
        <v>2149</v>
      </c>
      <c r="B270" s="2878">
        <v>1.04</v>
      </c>
    </row>
    <row r="271" spans="1:2">
      <c r="A271" s="92" t="s">
        <v>2297</v>
      </c>
      <c r="B271" s="2878">
        <v>1.05</v>
      </c>
    </row>
    <row r="272" spans="1:2">
      <c r="A272" s="92" t="s">
        <v>1788</v>
      </c>
      <c r="B272" s="2878">
        <v>1.04</v>
      </c>
    </row>
    <row r="273" spans="1:2">
      <c r="A273" s="92" t="s">
        <v>616</v>
      </c>
      <c r="B273" s="2878">
        <v>1.05</v>
      </c>
    </row>
    <row r="274" spans="1:2">
      <c r="A274" s="92" t="s">
        <v>918</v>
      </c>
      <c r="B274" s="2878">
        <v>1.05</v>
      </c>
    </row>
    <row r="275" spans="1:2">
      <c r="A275" s="92" t="s">
        <v>2132</v>
      </c>
      <c r="B275" s="2878">
        <v>1.1399999999999999</v>
      </c>
    </row>
    <row r="276" spans="1:2">
      <c r="A276" s="92" t="s">
        <v>2581</v>
      </c>
      <c r="B276" s="2878">
        <v>1.0900000000000001</v>
      </c>
    </row>
    <row r="277" spans="1:2">
      <c r="A277" s="92" t="s">
        <v>2393</v>
      </c>
      <c r="B277" s="2878">
        <v>1.08</v>
      </c>
    </row>
    <row r="278" spans="1:2">
      <c r="A278" s="92" t="s">
        <v>246</v>
      </c>
      <c r="B278" s="2878">
        <v>1.0900000000000001</v>
      </c>
    </row>
    <row r="279" spans="1:2">
      <c r="A279" s="92" t="s">
        <v>1405</v>
      </c>
      <c r="B279" s="2878">
        <v>1.1100000000000001</v>
      </c>
    </row>
    <row r="280" spans="1:2">
      <c r="A280" s="92" t="s">
        <v>1406</v>
      </c>
      <c r="B280" s="2878">
        <v>1.0900000000000001</v>
      </c>
    </row>
    <row r="281" spans="1:2">
      <c r="A281" s="92" t="s">
        <v>720</v>
      </c>
      <c r="B281" s="2878">
        <v>1.0900000000000001</v>
      </c>
    </row>
    <row r="282" spans="1:2">
      <c r="A282" s="92" t="s">
        <v>1401</v>
      </c>
      <c r="B282" s="2878">
        <v>1.1100000000000001</v>
      </c>
    </row>
    <row r="283" spans="1:2">
      <c r="A283" s="92" t="s">
        <v>932</v>
      </c>
      <c r="B283" s="2878">
        <v>1.1000000000000001</v>
      </c>
    </row>
    <row r="284" spans="1:2">
      <c r="A284" s="92" t="s">
        <v>247</v>
      </c>
      <c r="B284" s="2878">
        <v>1.08</v>
      </c>
    </row>
    <row r="285" spans="1:2">
      <c r="A285" s="92" t="s">
        <v>2084</v>
      </c>
      <c r="B285" s="2878">
        <v>1.1100000000000001</v>
      </c>
    </row>
    <row r="286" spans="1:2">
      <c r="A286" s="92" t="s">
        <v>343</v>
      </c>
      <c r="B286" s="2878">
        <v>1.1100000000000001</v>
      </c>
    </row>
    <row r="287" spans="1:2">
      <c r="A287" s="92" t="s">
        <v>721</v>
      </c>
      <c r="B287" s="2878">
        <v>1.08</v>
      </c>
    </row>
    <row r="288" spans="1:2">
      <c r="A288" s="92" t="s">
        <v>576</v>
      </c>
      <c r="B288" s="2878">
        <v>1.1200000000000001</v>
      </c>
    </row>
    <row r="289" spans="1:2">
      <c r="A289" s="92" t="s">
        <v>2413</v>
      </c>
      <c r="B289" s="2878">
        <v>1.1399999999999999</v>
      </c>
    </row>
    <row r="290" spans="1:2">
      <c r="A290" s="92" t="s">
        <v>775</v>
      </c>
      <c r="B290" s="2878">
        <v>1.1299999999999999</v>
      </c>
    </row>
    <row r="291" spans="1:2">
      <c r="A291" s="92" t="s">
        <v>184</v>
      </c>
      <c r="B291" s="2878">
        <v>1.1399999999999999</v>
      </c>
    </row>
    <row r="292" spans="1:2">
      <c r="A292" s="92" t="s">
        <v>1186</v>
      </c>
      <c r="B292" s="2878">
        <v>1.1399999999999999</v>
      </c>
    </row>
    <row r="293" spans="1:2">
      <c r="A293" s="92" t="s">
        <v>2098</v>
      </c>
      <c r="B293" s="2878">
        <v>1.1000000000000001</v>
      </c>
    </row>
    <row r="294" spans="1:2">
      <c r="A294" s="92" t="s">
        <v>1888</v>
      </c>
      <c r="B294" s="2878">
        <v>1.1299999999999999</v>
      </c>
    </row>
    <row r="295" spans="1:2">
      <c r="A295" s="92" t="s">
        <v>1517</v>
      </c>
      <c r="B295" s="2878">
        <v>1.1299999999999999</v>
      </c>
    </row>
    <row r="296" spans="1:2">
      <c r="A296" s="92" t="s">
        <v>1151</v>
      </c>
      <c r="B296" s="2878">
        <v>1.1499999999999999</v>
      </c>
    </row>
    <row r="297" spans="1:2">
      <c r="A297" s="92" t="s">
        <v>2414</v>
      </c>
      <c r="B297" s="2878">
        <v>1.07</v>
      </c>
    </row>
    <row r="298" spans="1:2">
      <c r="A298" s="92" t="s">
        <v>2415</v>
      </c>
      <c r="B298" s="2878">
        <v>1.05</v>
      </c>
    </row>
    <row r="299" spans="1:2">
      <c r="A299" s="92" t="s">
        <v>1511</v>
      </c>
      <c r="B299" s="2878">
        <v>1.08</v>
      </c>
    </row>
    <row r="300" spans="1:2">
      <c r="A300" s="92" t="s">
        <v>1830</v>
      </c>
      <c r="B300" s="2878">
        <v>1.06</v>
      </c>
    </row>
    <row r="301" spans="1:2">
      <c r="A301" s="92" t="s">
        <v>1831</v>
      </c>
      <c r="B301" s="2878">
        <v>1.06</v>
      </c>
    </row>
    <row r="302" spans="1:2">
      <c r="A302" s="92" t="s">
        <v>1232</v>
      </c>
      <c r="B302" s="2878">
        <v>1.06</v>
      </c>
    </row>
    <row r="303" spans="1:2">
      <c r="A303" s="92" t="s">
        <v>1832</v>
      </c>
      <c r="B303" s="2878">
        <v>1.06</v>
      </c>
    </row>
    <row r="304" spans="1:2">
      <c r="A304" s="92" t="s">
        <v>201</v>
      </c>
      <c r="B304" s="2878">
        <v>1.07</v>
      </c>
    </row>
    <row r="305" spans="1:2">
      <c r="A305" s="92" t="s">
        <v>1834</v>
      </c>
      <c r="B305" s="2878">
        <v>1.08</v>
      </c>
    </row>
    <row r="306" spans="1:2">
      <c r="A306" s="92" t="s">
        <v>1842</v>
      </c>
      <c r="B306" s="2878">
        <v>1.06</v>
      </c>
    </row>
    <row r="307" spans="1:2">
      <c r="A307" s="92" t="s">
        <v>202</v>
      </c>
      <c r="B307" s="2878">
        <v>1.05</v>
      </c>
    </row>
    <row r="308" spans="1:2">
      <c r="A308" s="92" t="s">
        <v>203</v>
      </c>
      <c r="B308" s="2878">
        <v>1.08</v>
      </c>
    </row>
    <row r="309" spans="1:2">
      <c r="A309" s="92" t="s">
        <v>1233</v>
      </c>
      <c r="B309" s="2878">
        <v>1.08</v>
      </c>
    </row>
    <row r="310" spans="1:2">
      <c r="A310" s="92" t="s">
        <v>722</v>
      </c>
      <c r="B310" s="2878">
        <v>1.07</v>
      </c>
    </row>
    <row r="311" spans="1:2">
      <c r="A311" s="92" t="s">
        <v>204</v>
      </c>
      <c r="B311" s="2878">
        <v>1.07</v>
      </c>
    </row>
    <row r="312" spans="1:2">
      <c r="A312" s="92" t="s">
        <v>205</v>
      </c>
      <c r="B312" s="2878">
        <v>1.07</v>
      </c>
    </row>
    <row r="313" spans="1:2">
      <c r="A313" s="92" t="s">
        <v>1741</v>
      </c>
      <c r="B313" s="2878">
        <v>1.06</v>
      </c>
    </row>
    <row r="314" spans="1:2">
      <c r="A314" s="92" t="s">
        <v>1742</v>
      </c>
      <c r="B314" s="2878">
        <v>1.06</v>
      </c>
    </row>
    <row r="315" spans="1:2">
      <c r="A315" s="92" t="s">
        <v>1234</v>
      </c>
      <c r="B315" s="2878">
        <v>1.06</v>
      </c>
    </row>
    <row r="316" spans="1:2">
      <c r="A316" s="92" t="s">
        <v>2571</v>
      </c>
      <c r="B316" s="2878">
        <v>1.05</v>
      </c>
    </row>
    <row r="317" spans="1:2">
      <c r="A317" s="92" t="s">
        <v>1697</v>
      </c>
      <c r="B317" s="2878">
        <v>1.07</v>
      </c>
    </row>
    <row r="318" spans="1:2">
      <c r="A318" s="92" t="s">
        <v>1698</v>
      </c>
      <c r="B318" s="2878">
        <v>1.06</v>
      </c>
    </row>
    <row r="319" spans="1:2">
      <c r="A319" s="92" t="s">
        <v>921</v>
      </c>
      <c r="B319" s="2878">
        <v>1.06</v>
      </c>
    </row>
    <row r="320" spans="1:2">
      <c r="A320" s="92" t="s">
        <v>65</v>
      </c>
      <c r="B320" s="2878">
        <v>1.05</v>
      </c>
    </row>
    <row r="321" spans="1:2">
      <c r="A321" s="92" t="s">
        <v>754</v>
      </c>
      <c r="B321" s="2878">
        <v>1.05</v>
      </c>
    </row>
    <row r="322" spans="1:2">
      <c r="A322" s="92" t="s">
        <v>2505</v>
      </c>
      <c r="B322" s="2878">
        <v>1.06</v>
      </c>
    </row>
    <row r="323" spans="1:2">
      <c r="A323" s="92" t="s">
        <v>627</v>
      </c>
      <c r="B323" s="2878">
        <v>1.07</v>
      </c>
    </row>
    <row r="324" spans="1:2">
      <c r="A324" s="92" t="s">
        <v>628</v>
      </c>
      <c r="B324" s="2878">
        <v>1.06</v>
      </c>
    </row>
    <row r="325" spans="1:2">
      <c r="A325" s="92" t="s">
        <v>629</v>
      </c>
      <c r="B325" s="2878">
        <v>1.04</v>
      </c>
    </row>
    <row r="326" spans="1:2">
      <c r="A326" s="92" t="s">
        <v>630</v>
      </c>
      <c r="B326" s="2878">
        <v>1.1599999999999999</v>
      </c>
    </row>
    <row r="327" spans="1:2">
      <c r="A327" s="92" t="s">
        <v>2541</v>
      </c>
      <c r="B327" s="2878">
        <v>1.1200000000000001</v>
      </c>
    </row>
    <row r="328" spans="1:2">
      <c r="A328" s="92" t="s">
        <v>1422</v>
      </c>
      <c r="B328" s="2878">
        <v>1.1599999999999999</v>
      </c>
    </row>
    <row r="329" spans="1:2">
      <c r="A329" s="92" t="s">
        <v>631</v>
      </c>
      <c r="B329" s="2878">
        <v>1.1299999999999999</v>
      </c>
    </row>
    <row r="330" spans="1:2">
      <c r="A330" s="92" t="s">
        <v>2318</v>
      </c>
      <c r="B330" s="2878">
        <v>1.1100000000000001</v>
      </c>
    </row>
    <row r="331" spans="1:2">
      <c r="A331" s="92" t="s">
        <v>2013</v>
      </c>
      <c r="B331" s="2878">
        <v>1.04</v>
      </c>
    </row>
    <row r="332" spans="1:2">
      <c r="A332" s="92" t="s">
        <v>1303</v>
      </c>
      <c r="B332" s="2878">
        <v>1.06</v>
      </c>
    </row>
    <row r="333" spans="1:2">
      <c r="A333" s="92" t="s">
        <v>1919</v>
      </c>
      <c r="B333" s="2878">
        <v>1.05</v>
      </c>
    </row>
    <row r="334" spans="1:2">
      <c r="A334" s="92" t="s">
        <v>1924</v>
      </c>
      <c r="B334" s="2878">
        <v>1.05</v>
      </c>
    </row>
    <row r="335" spans="1:2">
      <c r="A335" s="92" t="s">
        <v>1925</v>
      </c>
      <c r="B335" s="2878">
        <v>1.06</v>
      </c>
    </row>
    <row r="336" spans="1:2">
      <c r="A336" s="92" t="s">
        <v>1235</v>
      </c>
      <c r="B336" s="2878">
        <v>1.08</v>
      </c>
    </row>
    <row r="337" spans="1:2">
      <c r="A337" s="92" t="s">
        <v>2506</v>
      </c>
      <c r="B337" s="2878">
        <v>1.0900000000000001</v>
      </c>
    </row>
    <row r="338" spans="1:2">
      <c r="A338" s="92" t="s">
        <v>1926</v>
      </c>
      <c r="B338" s="2878">
        <v>1.1200000000000001</v>
      </c>
    </row>
    <row r="339" spans="1:2">
      <c r="A339" s="92" t="s">
        <v>2110</v>
      </c>
      <c r="B339" s="2878">
        <v>1.1299999999999999</v>
      </c>
    </row>
    <row r="340" spans="1:2">
      <c r="A340" s="92" t="s">
        <v>2175</v>
      </c>
      <c r="B340" s="2878">
        <v>1.1000000000000001</v>
      </c>
    </row>
    <row r="341" spans="1:2">
      <c r="A341" s="92" t="s">
        <v>1993</v>
      </c>
      <c r="B341" s="2878">
        <v>1.1399999999999999</v>
      </c>
    </row>
    <row r="342" spans="1:2">
      <c r="A342" s="92" t="s">
        <v>2231</v>
      </c>
      <c r="B342" s="2878">
        <v>1.1599999999999999</v>
      </c>
    </row>
    <row r="343" spans="1:2">
      <c r="A343" s="92" t="s">
        <v>1866</v>
      </c>
      <c r="B343" s="2878">
        <v>1.1000000000000001</v>
      </c>
    </row>
    <row r="344" spans="1:2">
      <c r="A344" s="92" t="s">
        <v>761</v>
      </c>
      <c r="B344" s="2878">
        <v>1.1399999999999999</v>
      </c>
    </row>
    <row r="345" spans="1:2">
      <c r="A345" s="92" t="s">
        <v>762</v>
      </c>
      <c r="B345" s="2878">
        <v>1.1499999999999999</v>
      </c>
    </row>
    <row r="346" spans="1:2">
      <c r="A346" s="92" t="s">
        <v>2458</v>
      </c>
      <c r="B346" s="2878">
        <v>1.1200000000000001</v>
      </c>
    </row>
    <row r="347" spans="1:2">
      <c r="A347" s="92" t="s">
        <v>491</v>
      </c>
      <c r="B347" s="2878">
        <v>1.1299999999999999</v>
      </c>
    </row>
    <row r="348" spans="1:2">
      <c r="A348" s="92" t="s">
        <v>2459</v>
      </c>
      <c r="B348" s="2878">
        <v>1.1599999999999999</v>
      </c>
    </row>
    <row r="349" spans="1:2">
      <c r="A349" s="92" t="s">
        <v>1424</v>
      </c>
      <c r="B349" s="2878">
        <v>1.1299999999999999</v>
      </c>
    </row>
    <row r="350" spans="1:2">
      <c r="A350" s="92" t="s">
        <v>1668</v>
      </c>
      <c r="B350" s="2878">
        <v>1.06</v>
      </c>
    </row>
    <row r="351" spans="1:2">
      <c r="A351" s="92" t="s">
        <v>1669</v>
      </c>
      <c r="B351" s="2878">
        <v>1.08</v>
      </c>
    </row>
    <row r="352" spans="1:2">
      <c r="A352" s="92" t="s">
        <v>1873</v>
      </c>
      <c r="B352" s="2878">
        <v>1.05</v>
      </c>
    </row>
    <row r="353" spans="1:2">
      <c r="A353" s="92" t="s">
        <v>1451</v>
      </c>
      <c r="B353" s="2878">
        <v>1.06</v>
      </c>
    </row>
    <row r="354" spans="1:2">
      <c r="A354" s="92" t="s">
        <v>2160</v>
      </c>
      <c r="B354" s="2878">
        <v>1.04</v>
      </c>
    </row>
    <row r="355" spans="1:2">
      <c r="A355" s="92" t="s">
        <v>2161</v>
      </c>
      <c r="B355" s="2878">
        <v>1.0900000000000001</v>
      </c>
    </row>
    <row r="356" spans="1:2">
      <c r="A356" s="92" t="s">
        <v>2437</v>
      </c>
      <c r="B356" s="2878">
        <v>1.08</v>
      </c>
    </row>
    <row r="357" spans="1:2">
      <c r="A357" s="92" t="s">
        <v>906</v>
      </c>
      <c r="B357" s="2878">
        <v>1.07</v>
      </c>
    </row>
    <row r="358" spans="1:2">
      <c r="A358" s="92" t="s">
        <v>2438</v>
      </c>
      <c r="B358" s="2878">
        <v>1.06</v>
      </c>
    </row>
    <row r="359" spans="1:2">
      <c r="A359" s="92" t="s">
        <v>2439</v>
      </c>
      <c r="B359" s="2878">
        <v>1.07</v>
      </c>
    </row>
    <row r="360" spans="1:2">
      <c r="A360" s="92" t="s">
        <v>1852</v>
      </c>
      <c r="B360" s="2878">
        <v>1.08</v>
      </c>
    </row>
    <row r="361" spans="1:2">
      <c r="A361" s="92" t="s">
        <v>1853</v>
      </c>
      <c r="B361" s="2878">
        <v>1.07</v>
      </c>
    </row>
    <row r="362" spans="1:2">
      <c r="A362" s="92" t="s">
        <v>2021</v>
      </c>
      <c r="B362" s="2878">
        <v>1.0900000000000001</v>
      </c>
    </row>
    <row r="363" spans="1:2">
      <c r="A363" s="92" t="s">
        <v>2033</v>
      </c>
      <c r="B363" s="2878">
        <v>1.08</v>
      </c>
    </row>
    <row r="364" spans="1:2">
      <c r="A364" s="92" t="s">
        <v>1684</v>
      </c>
      <c r="B364" s="2878">
        <v>1.08</v>
      </c>
    </row>
    <row r="365" spans="1:2">
      <c r="A365" s="92" t="s">
        <v>981</v>
      </c>
      <c r="B365" s="2878">
        <v>1.07</v>
      </c>
    </row>
    <row r="366" spans="1:2">
      <c r="A366" s="92" t="s">
        <v>982</v>
      </c>
      <c r="B366" s="2878">
        <v>1.1000000000000001</v>
      </c>
    </row>
    <row r="367" spans="1:2">
      <c r="A367" s="92" t="s">
        <v>1115</v>
      </c>
      <c r="B367" s="2878">
        <v>1.07</v>
      </c>
    </row>
    <row r="368" spans="1:2">
      <c r="A368" s="92" t="s">
        <v>793</v>
      </c>
      <c r="B368" s="2878">
        <v>1.1100000000000001</v>
      </c>
    </row>
    <row r="369" spans="1:2">
      <c r="A369" s="92" t="s">
        <v>794</v>
      </c>
      <c r="B369" s="2878">
        <v>1.08</v>
      </c>
    </row>
    <row r="370" spans="1:2">
      <c r="A370" s="92" t="s">
        <v>1236</v>
      </c>
      <c r="B370" s="2878">
        <v>1.07</v>
      </c>
    </row>
    <row r="371" spans="1:2">
      <c r="A371" s="92" t="s">
        <v>1237</v>
      </c>
      <c r="B371" s="2878">
        <v>1.08</v>
      </c>
    </row>
    <row r="372" spans="1:2">
      <c r="A372" s="92" t="s">
        <v>1463</v>
      </c>
      <c r="B372" s="2878">
        <v>1.07</v>
      </c>
    </row>
    <row r="373" spans="1:2">
      <c r="A373" s="92" t="s">
        <v>215</v>
      </c>
      <c r="B373" s="2878">
        <v>1.07</v>
      </c>
    </row>
    <row r="374" spans="1:2">
      <c r="A374" s="92" t="s">
        <v>2582</v>
      </c>
      <c r="B374" s="2878">
        <v>1.07</v>
      </c>
    </row>
    <row r="375" spans="1:2">
      <c r="A375" s="92" t="s">
        <v>1308</v>
      </c>
      <c r="B375" s="2878">
        <v>1.06</v>
      </c>
    </row>
    <row r="376" spans="1:2">
      <c r="A376" s="92" t="s">
        <v>1286</v>
      </c>
      <c r="B376" s="2878">
        <v>1.08</v>
      </c>
    </row>
    <row r="377" spans="1:2">
      <c r="A377" s="92" t="s">
        <v>1287</v>
      </c>
      <c r="B377" s="2878">
        <v>1.06</v>
      </c>
    </row>
    <row r="378" spans="1:2">
      <c r="A378" s="92" t="s">
        <v>1288</v>
      </c>
      <c r="B378" s="2878">
        <v>1.07</v>
      </c>
    </row>
    <row r="379" spans="1:2">
      <c r="A379" s="92" t="s">
        <v>457</v>
      </c>
      <c r="B379" s="2878">
        <v>1.0900000000000001</v>
      </c>
    </row>
    <row r="380" spans="1:2">
      <c r="A380" s="92" t="s">
        <v>2189</v>
      </c>
      <c r="B380" s="2878">
        <v>1.08</v>
      </c>
    </row>
    <row r="381" spans="1:2">
      <c r="A381" s="92" t="s">
        <v>2639</v>
      </c>
      <c r="B381" s="2878">
        <v>1.05</v>
      </c>
    </row>
    <row r="382" spans="1:2">
      <c r="A382" s="92" t="s">
        <v>1509</v>
      </c>
      <c r="B382" s="2878">
        <v>1.05</v>
      </c>
    </row>
    <row r="383" spans="1:2">
      <c r="A383" s="92" t="s">
        <v>2640</v>
      </c>
      <c r="B383" s="2878">
        <v>1.05</v>
      </c>
    </row>
    <row r="384" spans="1:2">
      <c r="A384" s="92" t="s">
        <v>2641</v>
      </c>
      <c r="B384" s="2878">
        <v>1.08</v>
      </c>
    </row>
    <row r="385" spans="1:2">
      <c r="A385" s="92" t="s">
        <v>2642</v>
      </c>
      <c r="B385" s="2878">
        <v>1.07</v>
      </c>
    </row>
    <row r="386" spans="1:2">
      <c r="A386" s="92" t="s">
        <v>2643</v>
      </c>
      <c r="B386" s="2878">
        <v>1.1100000000000001</v>
      </c>
    </row>
    <row r="387" spans="1:2">
      <c r="A387" s="92" t="s">
        <v>2142</v>
      </c>
      <c r="B387" s="2878">
        <v>1.1000000000000001</v>
      </c>
    </row>
    <row r="388" spans="1:2">
      <c r="A388" s="92" t="s">
        <v>495</v>
      </c>
      <c r="B388" s="2878">
        <v>1.0900000000000001</v>
      </c>
    </row>
    <row r="389" spans="1:2">
      <c r="A389" s="92" t="s">
        <v>493</v>
      </c>
      <c r="B389" s="2878">
        <v>1.0900000000000001</v>
      </c>
    </row>
    <row r="390" spans="1:2">
      <c r="A390" s="92" t="s">
        <v>2143</v>
      </c>
      <c r="B390" s="2878">
        <v>1.06</v>
      </c>
    </row>
    <row r="391" spans="1:2">
      <c r="A391" s="92" t="s">
        <v>349</v>
      </c>
      <c r="B391" s="2878">
        <v>1.05</v>
      </c>
    </row>
    <row r="392" spans="1:2">
      <c r="A392" s="92" t="s">
        <v>2144</v>
      </c>
      <c r="B392" s="2878">
        <v>1.06</v>
      </c>
    </row>
    <row r="393" spans="1:2">
      <c r="A393" s="92" t="s">
        <v>2145</v>
      </c>
      <c r="B393" s="2878">
        <v>1.0900000000000001</v>
      </c>
    </row>
    <row r="394" spans="1:2">
      <c r="A394" s="92" t="s">
        <v>505</v>
      </c>
      <c r="B394" s="2878">
        <v>1.07</v>
      </c>
    </row>
    <row r="395" spans="1:2">
      <c r="A395" s="92" t="s">
        <v>1955</v>
      </c>
      <c r="B395" s="2878">
        <v>1.06</v>
      </c>
    </row>
    <row r="396" spans="1:2">
      <c r="A396" s="92" t="s">
        <v>2072</v>
      </c>
      <c r="B396" s="2878">
        <v>1.0900000000000001</v>
      </c>
    </row>
    <row r="397" spans="1:2">
      <c r="A397" s="92" t="s">
        <v>2073</v>
      </c>
      <c r="B397" s="2878">
        <v>1.02</v>
      </c>
    </row>
    <row r="398" spans="1:2">
      <c r="A398" s="92" t="s">
        <v>146</v>
      </c>
      <c r="B398" s="2878">
        <v>1.04</v>
      </c>
    </row>
    <row r="399" spans="1:2">
      <c r="A399" s="92" t="s">
        <v>147</v>
      </c>
      <c r="B399" s="2878">
        <v>1.04</v>
      </c>
    </row>
    <row r="400" spans="1:2">
      <c r="A400" s="92" t="s">
        <v>2507</v>
      </c>
      <c r="B400" s="2878">
        <v>1.03</v>
      </c>
    </row>
    <row r="401" spans="1:2">
      <c r="A401" s="92" t="s">
        <v>2344</v>
      </c>
      <c r="B401" s="2878">
        <v>1.0900000000000001</v>
      </c>
    </row>
    <row r="402" spans="1:2">
      <c r="A402" s="92" t="s">
        <v>1120</v>
      </c>
      <c r="B402" s="2878">
        <v>1.0900000000000001</v>
      </c>
    </row>
    <row r="403" spans="1:2">
      <c r="A403" s="92" t="s">
        <v>1121</v>
      </c>
      <c r="B403" s="2878">
        <v>1.08</v>
      </c>
    </row>
    <row r="404" spans="1:2">
      <c r="A404" s="92" t="s">
        <v>2106</v>
      </c>
      <c r="B404" s="2878">
        <v>1.04</v>
      </c>
    </row>
    <row r="405" spans="1:2">
      <c r="A405" s="92" t="s">
        <v>2107</v>
      </c>
      <c r="B405" s="2878">
        <v>1.03</v>
      </c>
    </row>
    <row r="406" spans="1:2">
      <c r="A406" s="92" t="s">
        <v>1020</v>
      </c>
      <c r="B406" s="2878">
        <v>1.08</v>
      </c>
    </row>
    <row r="407" spans="1:2">
      <c r="A407" s="92" t="s">
        <v>1148</v>
      </c>
      <c r="B407" s="2878">
        <v>1.0900000000000001</v>
      </c>
    </row>
    <row r="408" spans="1:2">
      <c r="A408" s="92" t="s">
        <v>381</v>
      </c>
      <c r="B408" s="2878">
        <v>1.0900000000000001</v>
      </c>
    </row>
    <row r="409" spans="1:2">
      <c r="A409" s="92" t="s">
        <v>2285</v>
      </c>
      <c r="B409" s="2878">
        <v>1.0900000000000001</v>
      </c>
    </row>
    <row r="410" spans="1:2">
      <c r="A410" s="92" t="s">
        <v>1179</v>
      </c>
      <c r="B410" s="2878">
        <v>1.08</v>
      </c>
    </row>
    <row r="411" spans="1:2">
      <c r="A411" s="92" t="s">
        <v>585</v>
      </c>
      <c r="B411" s="2878">
        <v>1.1599999999999999</v>
      </c>
    </row>
    <row r="412" spans="1:2">
      <c r="A412" s="92" t="s">
        <v>194</v>
      </c>
      <c r="B412" s="2878">
        <v>1.1599999999999999</v>
      </c>
    </row>
    <row r="413" spans="1:2">
      <c r="A413" s="92" t="s">
        <v>2313</v>
      </c>
      <c r="B413" s="2878">
        <v>1.1399999999999999</v>
      </c>
    </row>
    <row r="414" spans="1:2">
      <c r="A414" s="92" t="s">
        <v>2404</v>
      </c>
      <c r="B414" s="2878">
        <v>1.1299999999999999</v>
      </c>
    </row>
    <row r="415" spans="1:2">
      <c r="A415" s="92" t="s">
        <v>2314</v>
      </c>
      <c r="B415" s="2878">
        <v>1.1599999999999999</v>
      </c>
    </row>
    <row r="416" spans="1:2">
      <c r="A416" s="92" t="s">
        <v>2166</v>
      </c>
      <c r="B416" s="2878">
        <v>1.1599999999999999</v>
      </c>
    </row>
    <row r="417" spans="1:2">
      <c r="A417" s="92" t="s">
        <v>1408</v>
      </c>
      <c r="B417" s="2878">
        <v>1.18</v>
      </c>
    </row>
    <row r="418" spans="1:2">
      <c r="A418" s="92" t="s">
        <v>1428</v>
      </c>
      <c r="B418" s="2878">
        <v>1.1599999999999999</v>
      </c>
    </row>
    <row r="419" spans="1:2">
      <c r="A419" s="92" t="s">
        <v>2020</v>
      </c>
      <c r="B419" s="2878">
        <v>1.1599999999999999</v>
      </c>
    </row>
    <row r="420" spans="1:2">
      <c r="A420" s="92" t="s">
        <v>2552</v>
      </c>
      <c r="B420" s="2878">
        <v>1.17</v>
      </c>
    </row>
    <row r="421" spans="1:2">
      <c r="A421" s="92" t="s">
        <v>1117</v>
      </c>
      <c r="B421" s="2878">
        <v>1.1599999999999999</v>
      </c>
    </row>
    <row r="422" spans="1:2">
      <c r="A422" s="92" t="s">
        <v>48</v>
      </c>
      <c r="B422" s="2878">
        <v>1.1599999999999999</v>
      </c>
    </row>
    <row r="423" spans="1:2">
      <c r="A423" s="92" t="s">
        <v>55</v>
      </c>
      <c r="B423" s="2878">
        <v>1.1599999999999999</v>
      </c>
    </row>
    <row r="424" spans="1:2">
      <c r="A424" s="92" t="s">
        <v>2553</v>
      </c>
      <c r="B424" s="2878">
        <v>1.1499999999999999</v>
      </c>
    </row>
    <row r="425" spans="1:2">
      <c r="A425" s="92" t="s">
        <v>206</v>
      </c>
      <c r="B425" s="2878">
        <v>1.1599999999999999</v>
      </c>
    </row>
    <row r="426" spans="1:2">
      <c r="A426" s="92" t="s">
        <v>668</v>
      </c>
      <c r="B426" s="2878">
        <v>1.1599999999999999</v>
      </c>
    </row>
    <row r="427" spans="1:2">
      <c r="A427" s="92" t="s">
        <v>811</v>
      </c>
      <c r="B427" s="2878">
        <v>1.1599999999999999</v>
      </c>
    </row>
    <row r="428" spans="1:2">
      <c r="A428" s="92" t="s">
        <v>1947</v>
      </c>
      <c r="B428" s="2878">
        <v>1.1399999999999999</v>
      </c>
    </row>
    <row r="429" spans="1:2">
      <c r="A429" s="92" t="s">
        <v>1948</v>
      </c>
      <c r="B429" s="2878">
        <v>1.1399999999999999</v>
      </c>
    </row>
    <row r="430" spans="1:2">
      <c r="A430" s="92" t="s">
        <v>867</v>
      </c>
      <c r="B430" s="2878">
        <v>1.1200000000000001</v>
      </c>
    </row>
    <row r="431" spans="1:2">
      <c r="A431" s="92" t="s">
        <v>1949</v>
      </c>
      <c r="B431" s="2878">
        <v>1.06</v>
      </c>
    </row>
    <row r="432" spans="1:2">
      <c r="A432" s="92" t="s">
        <v>1500</v>
      </c>
      <c r="B432" s="2878">
        <v>1.08</v>
      </c>
    </row>
    <row r="433" spans="1:2">
      <c r="A433" s="92" t="s">
        <v>1501</v>
      </c>
      <c r="B433" s="2878">
        <v>1.04</v>
      </c>
    </row>
    <row r="434" spans="1:2">
      <c r="A434" s="92" t="s">
        <v>1502</v>
      </c>
      <c r="B434" s="2878">
        <v>1.07</v>
      </c>
    </row>
    <row r="435" spans="1:2">
      <c r="A435" s="92" t="s">
        <v>1568</v>
      </c>
      <c r="B435" s="2878">
        <v>1.04</v>
      </c>
    </row>
    <row r="436" spans="1:2">
      <c r="A436" s="92" t="s">
        <v>1569</v>
      </c>
      <c r="B436" s="2878">
        <v>1.04</v>
      </c>
    </row>
    <row r="437" spans="1:2">
      <c r="A437" s="92" t="s">
        <v>497</v>
      </c>
      <c r="B437" s="2878">
        <v>1.05</v>
      </c>
    </row>
    <row r="438" spans="1:2">
      <c r="A438" s="92" t="s">
        <v>465</v>
      </c>
      <c r="B438" s="2878">
        <v>1.05</v>
      </c>
    </row>
    <row r="439" spans="1:2">
      <c r="A439" s="92" t="s">
        <v>466</v>
      </c>
      <c r="B439" s="2878">
        <v>1.05</v>
      </c>
    </row>
    <row r="440" spans="1:2">
      <c r="A440" s="92" t="s">
        <v>2508</v>
      </c>
      <c r="B440" s="2878">
        <v>1.05</v>
      </c>
    </row>
    <row r="441" spans="1:2">
      <c r="A441" s="92" t="s">
        <v>467</v>
      </c>
      <c r="B441" s="2878">
        <v>1.05</v>
      </c>
    </row>
    <row r="442" spans="1:2">
      <c r="A442" s="92" t="s">
        <v>468</v>
      </c>
      <c r="B442" s="2878">
        <v>1.06</v>
      </c>
    </row>
    <row r="443" spans="1:2">
      <c r="A443" s="92" t="s">
        <v>1141</v>
      </c>
      <c r="B443" s="2878">
        <v>1.1000000000000001</v>
      </c>
    </row>
    <row r="444" spans="1:2">
      <c r="A444" s="92" t="s">
        <v>1488</v>
      </c>
      <c r="B444" s="2878">
        <v>1.07</v>
      </c>
    </row>
    <row r="445" spans="1:2">
      <c r="A445" s="92" t="s">
        <v>1292</v>
      </c>
      <c r="B445" s="2878">
        <v>1.06</v>
      </c>
    </row>
    <row r="446" spans="1:2">
      <c r="A446" s="92" t="s">
        <v>1863</v>
      </c>
      <c r="B446" s="2878">
        <v>1.1000000000000001</v>
      </c>
    </row>
    <row r="447" spans="1:2">
      <c r="A447" s="92" t="s">
        <v>1703</v>
      </c>
      <c r="B447" s="2878">
        <v>1.07</v>
      </c>
    </row>
    <row r="448" spans="1:2">
      <c r="A448" s="92" t="s">
        <v>1704</v>
      </c>
      <c r="B448" s="2878">
        <v>1.06</v>
      </c>
    </row>
    <row r="449" spans="1:2">
      <c r="A449" s="92" t="s">
        <v>2544</v>
      </c>
      <c r="B449" s="2878">
        <v>1.05</v>
      </c>
    </row>
    <row r="450" spans="1:2">
      <c r="A450" s="92" t="s">
        <v>2519</v>
      </c>
      <c r="B450" s="2878">
        <v>1.05</v>
      </c>
    </row>
    <row r="451" spans="1:2">
      <c r="A451" s="92" t="s">
        <v>2007</v>
      </c>
      <c r="B451" s="2878">
        <v>1.04</v>
      </c>
    </row>
    <row r="452" spans="1:2">
      <c r="A452" s="92" t="s">
        <v>63</v>
      </c>
      <c r="B452" s="2878">
        <v>1.04</v>
      </c>
    </row>
    <row r="453" spans="1:2">
      <c r="A453" s="92" t="s">
        <v>1518</v>
      </c>
      <c r="B453" s="2878">
        <v>1.04</v>
      </c>
    </row>
    <row r="454" spans="1:2">
      <c r="A454" s="92" t="s">
        <v>868</v>
      </c>
      <c r="B454" s="2878">
        <v>1.05</v>
      </c>
    </row>
    <row r="455" spans="1:2">
      <c r="A455" s="92" t="s">
        <v>64</v>
      </c>
      <c r="B455" s="2878">
        <v>1.04</v>
      </c>
    </row>
    <row r="456" spans="1:2">
      <c r="A456" s="92" t="s">
        <v>2127</v>
      </c>
      <c r="B456" s="2878">
        <v>1.18</v>
      </c>
    </row>
    <row r="457" spans="1:2">
      <c r="A457" s="92" t="s">
        <v>770</v>
      </c>
      <c r="B457" s="2878">
        <v>1.18</v>
      </c>
    </row>
    <row r="458" spans="1:2">
      <c r="A458" s="92" t="s">
        <v>772</v>
      </c>
      <c r="B458" s="2878">
        <v>1.18</v>
      </c>
    </row>
    <row r="459" spans="1:2">
      <c r="A459" s="92" t="s">
        <v>1865</v>
      </c>
      <c r="B459" s="2878">
        <v>1.17</v>
      </c>
    </row>
    <row r="460" spans="1:2">
      <c r="A460" s="92" t="s">
        <v>2529</v>
      </c>
      <c r="B460" s="2878">
        <v>1.17</v>
      </c>
    </row>
    <row r="461" spans="1:2">
      <c r="A461" s="92" t="s">
        <v>2532</v>
      </c>
      <c r="B461" s="2878">
        <v>1.17</v>
      </c>
    </row>
    <row r="462" spans="1:2">
      <c r="A462" s="92" t="s">
        <v>2538</v>
      </c>
      <c r="B462" s="2878">
        <v>1.19</v>
      </c>
    </row>
    <row r="463" spans="1:2">
      <c r="A463" s="92" t="s">
        <v>211</v>
      </c>
      <c r="B463" s="2878">
        <v>1.19</v>
      </c>
    </row>
    <row r="464" spans="1:2">
      <c r="A464" s="92" t="s">
        <v>1067</v>
      </c>
      <c r="B464" s="2878">
        <v>1.1599999999999999</v>
      </c>
    </row>
    <row r="465" spans="1:2">
      <c r="A465" s="92" t="s">
        <v>1562</v>
      </c>
      <c r="B465" s="2878">
        <v>1.1399999999999999</v>
      </c>
    </row>
    <row r="466" spans="1:2">
      <c r="A466" s="92" t="s">
        <v>58</v>
      </c>
      <c r="B466" s="2878">
        <v>1.2</v>
      </c>
    </row>
    <row r="467" spans="1:2">
      <c r="A467" s="92" t="s">
        <v>723</v>
      </c>
      <c r="B467" s="2878">
        <v>1.19</v>
      </c>
    </row>
    <row r="468" spans="1:2">
      <c r="A468" s="92" t="s">
        <v>60</v>
      </c>
      <c r="B468" s="2878">
        <v>1.1499999999999999</v>
      </c>
    </row>
    <row r="469" spans="1:2">
      <c r="A469" s="92" t="s">
        <v>512</v>
      </c>
      <c r="B469" s="2878">
        <v>1.1399999999999999</v>
      </c>
    </row>
    <row r="470" spans="1:2">
      <c r="A470" s="92" t="s">
        <v>1522</v>
      </c>
      <c r="B470" s="2878">
        <v>1.1599999999999999</v>
      </c>
    </row>
    <row r="471" spans="1:2">
      <c r="A471" s="92" t="s">
        <v>149</v>
      </c>
      <c r="B471" s="2878">
        <v>1.06</v>
      </c>
    </row>
    <row r="472" spans="1:2">
      <c r="A472" s="92" t="s">
        <v>2509</v>
      </c>
      <c r="B472" s="2878">
        <v>1.06</v>
      </c>
    </row>
    <row r="473" spans="1:2">
      <c r="A473" s="92" t="s">
        <v>2402</v>
      </c>
      <c r="B473" s="2878">
        <v>1.05</v>
      </c>
    </row>
    <row r="474" spans="1:2">
      <c r="A474" s="92" t="s">
        <v>1867</v>
      </c>
      <c r="B474" s="2878">
        <v>1.05</v>
      </c>
    </row>
    <row r="475" spans="1:2">
      <c r="A475" s="92" t="s">
        <v>513</v>
      </c>
      <c r="B475" s="2878">
        <v>1.05</v>
      </c>
    </row>
    <row r="476" spans="1:2">
      <c r="A476" s="92" t="s">
        <v>42</v>
      </c>
      <c r="B476" s="2878">
        <v>1.06</v>
      </c>
    </row>
    <row r="477" spans="1:2">
      <c r="A477" s="92" t="s">
        <v>150</v>
      </c>
      <c r="B477" s="2878">
        <v>1.07</v>
      </c>
    </row>
    <row r="478" spans="1:2">
      <c r="A478" s="92" t="s">
        <v>521</v>
      </c>
      <c r="B478" s="2878">
        <v>1.06</v>
      </c>
    </row>
    <row r="479" spans="1:2">
      <c r="A479" s="92" t="s">
        <v>1563</v>
      </c>
      <c r="B479" s="2878">
        <v>1.06</v>
      </c>
    </row>
    <row r="480" spans="1:2">
      <c r="A480" s="92" t="s">
        <v>522</v>
      </c>
      <c r="B480" s="2878">
        <v>1.06</v>
      </c>
    </row>
    <row r="481" spans="1:2">
      <c r="A481" s="92" t="s">
        <v>1540</v>
      </c>
      <c r="B481" s="2878">
        <v>1.05</v>
      </c>
    </row>
    <row r="482" spans="1:2">
      <c r="A482" s="92" t="s">
        <v>523</v>
      </c>
      <c r="B482" s="2878">
        <v>1.06</v>
      </c>
    </row>
    <row r="483" spans="1:2">
      <c r="A483" s="92" t="s">
        <v>1564</v>
      </c>
      <c r="B483" s="2878">
        <v>1.06</v>
      </c>
    </row>
    <row r="484" spans="1:2">
      <c r="A484" s="92" t="s">
        <v>1565</v>
      </c>
      <c r="B484" s="2878">
        <v>1.0900000000000001</v>
      </c>
    </row>
    <row r="485" spans="1:2">
      <c r="A485" s="92" t="s">
        <v>1241</v>
      </c>
      <c r="B485" s="2878">
        <v>1.07</v>
      </c>
    </row>
    <row r="486" spans="1:2">
      <c r="A486" s="92" t="s">
        <v>1843</v>
      </c>
      <c r="B486" s="2878">
        <v>1.04</v>
      </c>
    </row>
    <row r="487" spans="1:2">
      <c r="A487" s="92" t="s">
        <v>1242</v>
      </c>
      <c r="B487" s="2878">
        <v>1.06</v>
      </c>
    </row>
    <row r="488" spans="1:2">
      <c r="A488" s="92" t="s">
        <v>1243</v>
      </c>
      <c r="B488" s="2878">
        <v>1.07</v>
      </c>
    </row>
    <row r="489" spans="1:2">
      <c r="A489" s="92" t="s">
        <v>1244</v>
      </c>
      <c r="B489" s="2878">
        <v>1.08</v>
      </c>
    </row>
    <row r="490" spans="1:2">
      <c r="A490" s="92" t="s">
        <v>1772</v>
      </c>
      <c r="B490" s="2878">
        <v>1.04</v>
      </c>
    </row>
    <row r="491" spans="1:2">
      <c r="A491" s="92" t="s">
        <v>1516</v>
      </c>
      <c r="B491" s="2878">
        <v>1.04</v>
      </c>
    </row>
    <row r="492" spans="1:2">
      <c r="A492" s="92" t="s">
        <v>180</v>
      </c>
      <c r="B492" s="2878">
        <v>1.06</v>
      </c>
    </row>
    <row r="493" spans="1:2">
      <c r="A493" s="92" t="s">
        <v>1497</v>
      </c>
      <c r="B493" s="2878">
        <v>1.03</v>
      </c>
    </row>
    <row r="494" spans="1:2">
      <c r="A494" s="92" t="s">
        <v>181</v>
      </c>
      <c r="B494" s="2878">
        <v>1.02</v>
      </c>
    </row>
    <row r="495" spans="1:2">
      <c r="A495" s="92" t="s">
        <v>1943</v>
      </c>
      <c r="B495" s="2878">
        <v>1.04</v>
      </c>
    </row>
    <row r="496" spans="1:2">
      <c r="A496" s="92" t="s">
        <v>182</v>
      </c>
      <c r="B496" s="2878">
        <v>1.04</v>
      </c>
    </row>
    <row r="497" spans="1:2">
      <c r="A497" s="92" t="s">
        <v>183</v>
      </c>
      <c r="B497" s="2878">
        <v>1.04</v>
      </c>
    </row>
    <row r="498" spans="1:2">
      <c r="A498" s="92" t="s">
        <v>1498</v>
      </c>
      <c r="B498" s="2878">
        <v>1.03</v>
      </c>
    </row>
    <row r="499" spans="1:2">
      <c r="A499" s="92" t="s">
        <v>1421</v>
      </c>
      <c r="B499" s="2878">
        <v>1.07</v>
      </c>
    </row>
    <row r="500" spans="1:2">
      <c r="A500" s="92" t="s">
        <v>1261</v>
      </c>
      <c r="B500" s="2878">
        <v>1.04</v>
      </c>
    </row>
    <row r="501" spans="1:2">
      <c r="A501" s="92" t="s">
        <v>978</v>
      </c>
      <c r="B501" s="2878">
        <v>1.04</v>
      </c>
    </row>
    <row r="502" spans="1:2">
      <c r="A502" s="92" t="s">
        <v>979</v>
      </c>
      <c r="B502" s="2878">
        <v>1.03</v>
      </c>
    </row>
    <row r="503" spans="1:2">
      <c r="A503" s="92" t="s">
        <v>899</v>
      </c>
      <c r="B503" s="2878">
        <v>1.06</v>
      </c>
    </row>
    <row r="504" spans="1:2">
      <c r="A504" s="92" t="s">
        <v>1797</v>
      </c>
      <c r="B504" s="2878">
        <v>1.08</v>
      </c>
    </row>
    <row r="505" spans="1:2">
      <c r="A505" s="92" t="s">
        <v>2677</v>
      </c>
      <c r="B505" s="2878">
        <v>1.05</v>
      </c>
    </row>
    <row r="506" spans="1:2">
      <c r="A506" s="92" t="s">
        <v>2678</v>
      </c>
      <c r="B506" s="2878">
        <v>1.06</v>
      </c>
    </row>
    <row r="507" spans="1:2">
      <c r="A507" s="92" t="s">
        <v>1331</v>
      </c>
      <c r="B507" s="2878">
        <v>1.1100000000000001</v>
      </c>
    </row>
    <row r="508" spans="1:2">
      <c r="A508" s="92" t="s">
        <v>2177</v>
      </c>
      <c r="B508" s="2878">
        <v>1.1000000000000001</v>
      </c>
    </row>
    <row r="509" spans="1:2">
      <c r="A509" s="92" t="s">
        <v>1111</v>
      </c>
      <c r="B509" s="2878">
        <v>1.1000000000000001</v>
      </c>
    </row>
    <row r="510" spans="1:2">
      <c r="A510" s="92" t="s">
        <v>1886</v>
      </c>
      <c r="B510" s="2878">
        <v>1.06</v>
      </c>
    </row>
    <row r="511" spans="1:2">
      <c r="A511" s="92" t="s">
        <v>1112</v>
      </c>
      <c r="B511" s="2878">
        <v>1.05</v>
      </c>
    </row>
    <row r="512" spans="1:2">
      <c r="A512" s="92" t="s">
        <v>1437</v>
      </c>
      <c r="B512" s="2878">
        <v>1.06</v>
      </c>
    </row>
    <row r="513" spans="1:2">
      <c r="A513" s="92" t="s">
        <v>1058</v>
      </c>
      <c r="B513" s="2878">
        <v>1.08</v>
      </c>
    </row>
    <row r="514" spans="1:2">
      <c r="A514" s="92" t="s">
        <v>1944</v>
      </c>
      <c r="B514" s="2878">
        <v>1.04</v>
      </c>
    </row>
    <row r="515" spans="1:2">
      <c r="A515" s="92" t="s">
        <v>1584</v>
      </c>
      <c r="B515" s="2878">
        <v>1.07</v>
      </c>
    </row>
    <row r="516" spans="1:2">
      <c r="A516" s="92" t="s">
        <v>245</v>
      </c>
      <c r="B516" s="2878">
        <v>1.06</v>
      </c>
    </row>
    <row r="517" spans="1:2">
      <c r="A517" s="92" t="s">
        <v>1059</v>
      </c>
      <c r="B517" s="2878">
        <v>1.05</v>
      </c>
    </row>
    <row r="518" spans="1:2">
      <c r="A518" s="92" t="s">
        <v>875</v>
      </c>
      <c r="B518" s="2878">
        <v>1.04</v>
      </c>
    </row>
    <row r="519" spans="1:2">
      <c r="A519" s="92" t="s">
        <v>1844</v>
      </c>
      <c r="B519" s="2878">
        <v>1.07</v>
      </c>
    </row>
    <row r="520" spans="1:2">
      <c r="A520" s="92" t="s">
        <v>1060</v>
      </c>
      <c r="B520" s="2878">
        <v>1.08</v>
      </c>
    </row>
    <row r="521" spans="1:2">
      <c r="A521" s="92" t="s">
        <v>2140</v>
      </c>
      <c r="B521" s="2878">
        <v>1.07</v>
      </c>
    </row>
    <row r="522" spans="1:2">
      <c r="A522" s="92" t="s">
        <v>2141</v>
      </c>
      <c r="B522" s="2878">
        <v>1.06</v>
      </c>
    </row>
    <row r="523" spans="1:2">
      <c r="A523" s="92" t="s">
        <v>1259</v>
      </c>
      <c r="B523" s="2878">
        <v>1.07</v>
      </c>
    </row>
    <row r="524" spans="1:2">
      <c r="A524" s="92" t="s">
        <v>1260</v>
      </c>
      <c r="B524" s="2878">
        <v>1.06</v>
      </c>
    </row>
    <row r="525" spans="1:2">
      <c r="A525" s="92" t="s">
        <v>923</v>
      </c>
      <c r="B525" s="2878">
        <v>1.05</v>
      </c>
    </row>
    <row r="526" spans="1:2">
      <c r="A526" s="92" t="s">
        <v>924</v>
      </c>
      <c r="B526" s="2878">
        <v>1.05</v>
      </c>
    </row>
    <row r="527" spans="1:2">
      <c r="A527" s="92" t="s">
        <v>925</v>
      </c>
      <c r="B527" s="2878">
        <v>1.05</v>
      </c>
    </row>
    <row r="528" spans="1:2">
      <c r="A528" s="92" t="s">
        <v>926</v>
      </c>
      <c r="B528" s="2878">
        <v>1.08</v>
      </c>
    </row>
    <row r="529" spans="1:2">
      <c r="A529" s="92" t="s">
        <v>2577</v>
      </c>
      <c r="B529" s="2878">
        <v>1.0900000000000001</v>
      </c>
    </row>
    <row r="530" spans="1:2">
      <c r="A530" s="92" t="s">
        <v>502</v>
      </c>
      <c r="B530" s="2878">
        <v>1.07</v>
      </c>
    </row>
    <row r="531" spans="1:2">
      <c r="A531" s="92" t="s">
        <v>2646</v>
      </c>
      <c r="B531" s="2878">
        <v>1.07</v>
      </c>
    </row>
    <row r="532" spans="1:2">
      <c r="A532" s="92" t="s">
        <v>883</v>
      </c>
      <c r="B532" s="2878">
        <v>1.06</v>
      </c>
    </row>
    <row r="533" spans="1:2">
      <c r="A533" s="92" t="s">
        <v>44</v>
      </c>
      <c r="B533" s="2878">
        <v>1.08</v>
      </c>
    </row>
    <row r="534" spans="1:2">
      <c r="A534" s="92" t="s">
        <v>54</v>
      </c>
      <c r="B534" s="2878">
        <v>1.06</v>
      </c>
    </row>
    <row r="535" spans="1:2">
      <c r="A535" s="92" t="s">
        <v>2647</v>
      </c>
      <c r="B535" s="2878">
        <v>1.05</v>
      </c>
    </row>
    <row r="536" spans="1:2">
      <c r="A536" s="92" t="s">
        <v>2648</v>
      </c>
      <c r="B536" s="2878">
        <v>1.08</v>
      </c>
    </row>
    <row r="537" spans="1:2">
      <c r="A537" s="92" t="s">
        <v>2649</v>
      </c>
      <c r="B537" s="2878">
        <v>1.0900000000000001</v>
      </c>
    </row>
    <row r="538" spans="1:2">
      <c r="A538" s="92" t="s">
        <v>2540</v>
      </c>
      <c r="B538" s="2878">
        <v>1.1200000000000001</v>
      </c>
    </row>
    <row r="539" spans="1:2">
      <c r="A539" s="92" t="s">
        <v>2292</v>
      </c>
      <c r="B539" s="2878">
        <v>1.1399999999999999</v>
      </c>
    </row>
    <row r="540" spans="1:2">
      <c r="A540" s="92" t="s">
        <v>2293</v>
      </c>
      <c r="B540" s="2878">
        <v>1.1200000000000001</v>
      </c>
    </row>
    <row r="541" spans="1:2">
      <c r="A541" s="92" t="s">
        <v>1325</v>
      </c>
      <c r="B541" s="2878">
        <v>1.1399999999999999</v>
      </c>
    </row>
    <row r="542" spans="1:2">
      <c r="A542" s="92" t="s">
        <v>1326</v>
      </c>
      <c r="B542" s="2878">
        <v>1.0900000000000001</v>
      </c>
    </row>
    <row r="543" spans="1:2">
      <c r="A543" s="92" t="s">
        <v>1309</v>
      </c>
      <c r="B543" s="2878">
        <v>1.0900000000000001</v>
      </c>
    </row>
    <row r="544" spans="1:2">
      <c r="A544" s="92" t="s">
        <v>1327</v>
      </c>
      <c r="B544" s="2878">
        <v>1.1000000000000001</v>
      </c>
    </row>
    <row r="545" spans="1:2">
      <c r="A545" s="92" t="s">
        <v>2019</v>
      </c>
      <c r="B545" s="2878">
        <v>1.1200000000000001</v>
      </c>
    </row>
    <row r="546" spans="1:2">
      <c r="A546" s="92" t="s">
        <v>2323</v>
      </c>
      <c r="B546" s="2878">
        <v>1.1000000000000001</v>
      </c>
    </row>
    <row r="547" spans="1:2">
      <c r="A547" s="92" t="s">
        <v>1413</v>
      </c>
      <c r="B547" s="2878">
        <v>1.0900000000000001</v>
      </c>
    </row>
    <row r="548" spans="1:2">
      <c r="A548" s="92" t="s">
        <v>216</v>
      </c>
      <c r="B548" s="2878">
        <v>1.08</v>
      </c>
    </row>
    <row r="549" spans="1:2">
      <c r="A549" s="92" t="s">
        <v>1328</v>
      </c>
      <c r="B549" s="2878">
        <v>1.1299999999999999</v>
      </c>
    </row>
    <row r="550" spans="1:2">
      <c r="A550" s="92" t="s">
        <v>195</v>
      </c>
      <c r="B550" s="2878">
        <v>1.1000000000000001</v>
      </c>
    </row>
    <row r="551" spans="1:2">
      <c r="A551" s="92" t="s">
        <v>1884</v>
      </c>
      <c r="B551" s="2878">
        <v>1.1100000000000001</v>
      </c>
    </row>
    <row r="552" spans="1:2">
      <c r="A552" s="92" t="s">
        <v>574</v>
      </c>
      <c r="B552" s="2878">
        <v>1.1100000000000001</v>
      </c>
    </row>
    <row r="553" spans="1:2">
      <c r="A553" s="92" t="s">
        <v>1798</v>
      </c>
      <c r="B553" s="2878">
        <v>1.0900000000000001</v>
      </c>
    </row>
    <row r="554" spans="1:2">
      <c r="A554" s="92" t="s">
        <v>45</v>
      </c>
      <c r="B554" s="2878">
        <v>1.1200000000000001</v>
      </c>
    </row>
    <row r="555" spans="1:2">
      <c r="A555" s="92" t="s">
        <v>1329</v>
      </c>
      <c r="B555" s="2878">
        <v>1.08</v>
      </c>
    </row>
    <row r="556" spans="1:2">
      <c r="A556" s="92" t="s">
        <v>2324</v>
      </c>
      <c r="B556" s="2878">
        <v>1.08</v>
      </c>
    </row>
    <row r="557" spans="1:2">
      <c r="A557" s="92" t="s">
        <v>255</v>
      </c>
      <c r="B557" s="2878">
        <v>1.08</v>
      </c>
    </row>
    <row r="558" spans="1:2">
      <c r="A558" s="92" t="s">
        <v>1263</v>
      </c>
      <c r="B558" s="2878">
        <v>1.08</v>
      </c>
    </row>
    <row r="559" spans="1:2">
      <c r="A559" s="92" t="s">
        <v>2097</v>
      </c>
      <c r="B559" s="2878">
        <v>1.06</v>
      </c>
    </row>
    <row r="560" spans="1:2">
      <c r="A560" s="92" t="s">
        <v>1330</v>
      </c>
      <c r="B560" s="2878">
        <v>1.05</v>
      </c>
    </row>
    <row r="561" spans="1:2">
      <c r="A561" s="92" t="s">
        <v>1862</v>
      </c>
      <c r="B561" s="2878">
        <v>1.06</v>
      </c>
    </row>
    <row r="562" spans="1:2">
      <c r="A562" s="92" t="s">
        <v>2510</v>
      </c>
      <c r="B562" s="2878">
        <v>1.05</v>
      </c>
    </row>
    <row r="563" spans="1:2">
      <c r="A563" s="92" t="s">
        <v>259</v>
      </c>
      <c r="B563" s="2878">
        <v>1.04</v>
      </c>
    </row>
    <row r="564" spans="1:2">
      <c r="A564" s="92" t="s">
        <v>47</v>
      </c>
      <c r="B564" s="2878">
        <v>1.06</v>
      </c>
    </row>
    <row r="565" spans="1:2">
      <c r="A565" s="92" t="s">
        <v>2511</v>
      </c>
      <c r="B565" s="2878">
        <v>1.08</v>
      </c>
    </row>
    <row r="566" spans="1:2">
      <c r="A566" s="92" t="s">
        <v>1153</v>
      </c>
      <c r="B566" s="2878">
        <v>1.06</v>
      </c>
    </row>
    <row r="567" spans="1:2">
      <c r="A567" s="92" t="s">
        <v>1686</v>
      </c>
      <c r="B567" s="2878">
        <v>1.04</v>
      </c>
    </row>
    <row r="568" spans="1:2">
      <c r="A568" s="92" t="s">
        <v>2403</v>
      </c>
      <c r="B568" s="2878">
        <v>1.08</v>
      </c>
    </row>
    <row r="569" spans="1:2">
      <c r="A569" s="92" t="s">
        <v>1339</v>
      </c>
      <c r="B569" s="2878">
        <v>1.08</v>
      </c>
    </row>
    <row r="570" spans="1:2">
      <c r="A570" s="92" t="s">
        <v>49</v>
      </c>
      <c r="B570" s="2878">
        <v>1.1000000000000001</v>
      </c>
    </row>
    <row r="571" spans="1:2">
      <c r="A571" s="92" t="s">
        <v>51</v>
      </c>
      <c r="B571" s="2878">
        <v>1.08</v>
      </c>
    </row>
    <row r="572" spans="1:2">
      <c r="A572" s="92" t="s">
        <v>2554</v>
      </c>
      <c r="B572" s="2878">
        <v>1.0900000000000001</v>
      </c>
    </row>
    <row r="573" spans="1:2">
      <c r="A573" s="92" t="s">
        <v>2555</v>
      </c>
      <c r="B573" s="2878">
        <v>1.1000000000000001</v>
      </c>
    </row>
    <row r="574" spans="1:2">
      <c r="A574" s="92" t="s">
        <v>494</v>
      </c>
      <c r="B574" s="2878">
        <v>1.07</v>
      </c>
    </row>
    <row r="575" spans="1:2">
      <c r="A575" s="92" t="s">
        <v>2556</v>
      </c>
      <c r="B575" s="2878">
        <v>1.0900000000000001</v>
      </c>
    </row>
    <row r="576" spans="1:2">
      <c r="A576" s="92" t="s">
        <v>1539</v>
      </c>
      <c r="B576" s="2878">
        <v>1.06</v>
      </c>
    </row>
    <row r="577" spans="1:2">
      <c r="A577" s="92" t="s">
        <v>2689</v>
      </c>
      <c r="B577" s="2878">
        <v>1.1200000000000001</v>
      </c>
    </row>
    <row r="578" spans="1:2">
      <c r="A578" s="92" t="s">
        <v>2320</v>
      </c>
      <c r="B578" s="2878">
        <v>1.07</v>
      </c>
    </row>
    <row r="579" spans="1:2">
      <c r="A579" s="92" t="s">
        <v>1541</v>
      </c>
      <c r="B579" s="2878">
        <v>1.05</v>
      </c>
    </row>
    <row r="580" spans="1:2">
      <c r="A580" s="92" t="s">
        <v>2545</v>
      </c>
      <c r="B580" s="2878">
        <v>1.05</v>
      </c>
    </row>
    <row r="581" spans="1:2">
      <c r="A581" s="92" t="s">
        <v>2546</v>
      </c>
      <c r="B581" s="2878">
        <v>1.06</v>
      </c>
    </row>
    <row r="582" spans="1:2">
      <c r="A582" s="92" t="s">
        <v>487</v>
      </c>
      <c r="B582" s="2878">
        <v>1.05</v>
      </c>
    </row>
    <row r="583" spans="1:2">
      <c r="A583" s="92" t="s">
        <v>2278</v>
      </c>
      <c r="B583" s="2878">
        <v>1.05</v>
      </c>
    </row>
    <row r="584" spans="1:2">
      <c r="A584" s="92" t="s">
        <v>2279</v>
      </c>
      <c r="B584" s="2878">
        <v>1.05</v>
      </c>
    </row>
    <row r="585" spans="1:2">
      <c r="A585" s="92" t="s">
        <v>1534</v>
      </c>
      <c r="B585" s="2878">
        <v>1.08</v>
      </c>
    </row>
    <row r="586" spans="1:2">
      <c r="A586" s="92" t="s">
        <v>1535</v>
      </c>
      <c r="B586" s="2878">
        <v>1.1000000000000001</v>
      </c>
    </row>
    <row r="587" spans="1:2">
      <c r="A587" s="92" t="s">
        <v>2512</v>
      </c>
      <c r="B587" s="2878">
        <v>1.1200000000000001</v>
      </c>
    </row>
    <row r="588" spans="1:2">
      <c r="A588" s="92" t="s">
        <v>393</v>
      </c>
      <c r="B588" s="2878">
        <v>1.08</v>
      </c>
    </row>
    <row r="589" spans="1:2">
      <c r="A589" s="92" t="s">
        <v>394</v>
      </c>
      <c r="B589" s="2878">
        <v>1.0900000000000001</v>
      </c>
    </row>
    <row r="590" spans="1:2">
      <c r="A590" s="92" t="s">
        <v>395</v>
      </c>
      <c r="B590" s="2878">
        <v>1.0900000000000001</v>
      </c>
    </row>
    <row r="591" spans="1:2">
      <c r="A591" s="92" t="s">
        <v>396</v>
      </c>
      <c r="B591" s="2878">
        <v>1.1100000000000001</v>
      </c>
    </row>
    <row r="592" spans="1:2">
      <c r="A592" s="92" t="s">
        <v>2513</v>
      </c>
      <c r="B592" s="2878">
        <v>1.08</v>
      </c>
    </row>
    <row r="593" spans="1:2">
      <c r="A593" s="92" t="s">
        <v>242</v>
      </c>
      <c r="B593" s="2878">
        <v>1.08</v>
      </c>
    </row>
    <row r="594" spans="1:2">
      <c r="A594" s="92" t="s">
        <v>243</v>
      </c>
      <c r="B594" s="2878">
        <v>1.08</v>
      </c>
    </row>
    <row r="595" spans="1:2">
      <c r="A595" s="92" t="s">
        <v>244</v>
      </c>
      <c r="B595" s="2878">
        <v>1.03</v>
      </c>
    </row>
    <row r="596" spans="1:2">
      <c r="A596" s="92" t="s">
        <v>2325</v>
      </c>
      <c r="B596" s="2878">
        <v>1.05</v>
      </c>
    </row>
    <row r="597" spans="1:2">
      <c r="A597" s="92" t="s">
        <v>2023</v>
      </c>
      <c r="B597" s="2878">
        <v>1.06</v>
      </c>
    </row>
    <row r="598" spans="1:2">
      <c r="A598" s="92" t="s">
        <v>2076</v>
      </c>
      <c r="B598" s="2878">
        <v>1.06</v>
      </c>
    </row>
    <row r="599" spans="1:2">
      <c r="A599" s="92" t="s">
        <v>2514</v>
      </c>
      <c r="B599" s="2878">
        <v>1.04</v>
      </c>
    </row>
    <row r="600" spans="1:2">
      <c r="A600" s="92" t="s">
        <v>1557</v>
      </c>
      <c r="B600" s="2878">
        <v>1.06</v>
      </c>
    </row>
    <row r="601" spans="1:2">
      <c r="A601" s="92" t="s">
        <v>1558</v>
      </c>
      <c r="B601" s="2878">
        <v>1.07</v>
      </c>
    </row>
    <row r="602" spans="1:2">
      <c r="A602" s="92" t="s">
        <v>1412</v>
      </c>
      <c r="B602" s="2878">
        <v>1.07</v>
      </c>
    </row>
    <row r="603" spans="1:2">
      <c r="A603" s="92" t="s">
        <v>2147</v>
      </c>
      <c r="B603" s="2878">
        <v>1.07</v>
      </c>
    </row>
    <row r="604" spans="1:2">
      <c r="A604" s="92" t="s">
        <v>2261</v>
      </c>
      <c r="B604" s="2878">
        <v>1.07</v>
      </c>
    </row>
    <row r="605" spans="1:2">
      <c r="A605" s="92" t="s">
        <v>2262</v>
      </c>
      <c r="B605" s="2878">
        <v>1.06</v>
      </c>
    </row>
    <row r="606" spans="1:2">
      <c r="A606" s="92" t="s">
        <v>2263</v>
      </c>
      <c r="B606" s="2878">
        <v>1.07</v>
      </c>
    </row>
    <row r="607" spans="1:2">
      <c r="A607" s="92" t="s">
        <v>2264</v>
      </c>
      <c r="B607" s="2878">
        <v>1.06</v>
      </c>
    </row>
    <row r="608" spans="1:2">
      <c r="A608" s="92" t="s">
        <v>2401</v>
      </c>
      <c r="B608" s="2878">
        <v>1.1000000000000001</v>
      </c>
    </row>
    <row r="609" spans="1:2">
      <c r="A609" s="92" t="s">
        <v>2265</v>
      </c>
      <c r="B609" s="2878">
        <v>1.06</v>
      </c>
    </row>
    <row r="610" spans="1:2">
      <c r="A610" s="92" t="s">
        <v>2266</v>
      </c>
      <c r="B610" s="2878">
        <v>1.06</v>
      </c>
    </row>
    <row r="611" spans="1:2">
      <c r="A611" s="92" t="s">
        <v>2267</v>
      </c>
      <c r="B611" s="2878">
        <v>1.07</v>
      </c>
    </row>
    <row r="612" spans="1:2">
      <c r="A612" s="92" t="s">
        <v>2268</v>
      </c>
      <c r="B612" s="2878">
        <v>1.07</v>
      </c>
    </row>
    <row r="613" spans="1:2">
      <c r="A613" s="92" t="s">
        <v>2269</v>
      </c>
      <c r="B613" s="2878">
        <v>1.07</v>
      </c>
    </row>
    <row r="614" spans="1:2">
      <c r="A614" s="92" t="s">
        <v>2586</v>
      </c>
      <c r="B614" s="2878">
        <v>1.07</v>
      </c>
    </row>
    <row r="615" spans="1:2">
      <c r="A615" s="92" t="s">
        <v>2587</v>
      </c>
      <c r="B615" s="2878">
        <v>1.08</v>
      </c>
    </row>
    <row r="616" spans="1:2">
      <c r="A616" s="92" t="s">
        <v>2588</v>
      </c>
      <c r="B616" s="2878">
        <v>1.07</v>
      </c>
    </row>
    <row r="617" spans="1:2">
      <c r="A617" s="92" t="s">
        <v>2589</v>
      </c>
      <c r="B617" s="2878">
        <v>1.0900000000000001</v>
      </c>
    </row>
    <row r="618" spans="1:2">
      <c r="A618" s="92" t="s">
        <v>2590</v>
      </c>
      <c r="B618" s="2878">
        <v>1.07</v>
      </c>
    </row>
    <row r="619" spans="1:2">
      <c r="A619" s="92" t="s">
        <v>1381</v>
      </c>
      <c r="B619" s="2878">
        <v>1.06</v>
      </c>
    </row>
    <row r="620" spans="1:2">
      <c r="A620" s="92" t="s">
        <v>1382</v>
      </c>
      <c r="B620" s="2878">
        <v>1.06</v>
      </c>
    </row>
    <row r="621" spans="1:2">
      <c r="A621" s="92" t="s">
        <v>2426</v>
      </c>
      <c r="B621" s="2878">
        <v>1.06</v>
      </c>
    </row>
    <row r="622" spans="1:2">
      <c r="A622" s="92" t="s">
        <v>2111</v>
      </c>
      <c r="B622" s="2878">
        <v>1.07</v>
      </c>
    </row>
    <row r="623" spans="1:2">
      <c r="A623" s="92" t="s">
        <v>2633</v>
      </c>
      <c r="B623" s="2878">
        <v>1.1299999999999999</v>
      </c>
    </row>
    <row r="624" spans="1:2">
      <c r="A624" s="92" t="s">
        <v>2408</v>
      </c>
      <c r="B624" s="2878">
        <v>1.1200000000000001</v>
      </c>
    </row>
    <row r="625" spans="1:2">
      <c r="A625" s="92" t="s">
        <v>2112</v>
      </c>
      <c r="B625" s="2878">
        <v>1.1100000000000001</v>
      </c>
    </row>
    <row r="626" spans="1:2">
      <c r="A626" s="92" t="s">
        <v>2515</v>
      </c>
      <c r="B626" s="2878">
        <v>1.1000000000000001</v>
      </c>
    </row>
    <row r="627" spans="1:2">
      <c r="A627" s="92" t="s">
        <v>1116</v>
      </c>
      <c r="B627" s="2878">
        <v>1.1000000000000001</v>
      </c>
    </row>
    <row r="628" spans="1:2">
      <c r="A628" s="92" t="s">
        <v>2113</v>
      </c>
      <c r="B628" s="2878">
        <v>1.1200000000000001</v>
      </c>
    </row>
    <row r="629" spans="1:2">
      <c r="A629" s="92" t="s">
        <v>2114</v>
      </c>
      <c r="B629" s="2878">
        <v>1.1100000000000001</v>
      </c>
    </row>
    <row r="630" spans="1:2">
      <c r="A630" s="92" t="s">
        <v>967</v>
      </c>
      <c r="B630" s="2878">
        <v>1.05</v>
      </c>
    </row>
    <row r="631" spans="1:2">
      <c r="A631" s="92" t="s">
        <v>1337</v>
      </c>
      <c r="B631" s="2878">
        <v>1.05</v>
      </c>
    </row>
    <row r="632" spans="1:2">
      <c r="A632" s="92" t="s">
        <v>1689</v>
      </c>
      <c r="B632" s="2878">
        <v>1.06</v>
      </c>
    </row>
    <row r="633" spans="1:2">
      <c r="A633" s="92" t="s">
        <v>1690</v>
      </c>
      <c r="B633" s="2878">
        <v>1.07</v>
      </c>
    </row>
    <row r="634" spans="1:2">
      <c r="A634" s="92" t="s">
        <v>2557</v>
      </c>
      <c r="B634" s="2878">
        <v>1.08</v>
      </c>
    </row>
    <row r="635" spans="1:2">
      <c r="A635" s="92" t="s">
        <v>2558</v>
      </c>
      <c r="B635" s="2878">
        <v>1.08</v>
      </c>
    </row>
    <row r="636" spans="1:2">
      <c r="A636" s="92" t="s">
        <v>2659</v>
      </c>
      <c r="B636" s="2878">
        <v>1.08</v>
      </c>
    </row>
    <row r="637" spans="1:2">
      <c r="A637" s="92" t="s">
        <v>837</v>
      </c>
      <c r="B637" s="2878">
        <v>1.06</v>
      </c>
    </row>
    <row r="638" spans="1:2">
      <c r="A638" s="92" t="s">
        <v>82</v>
      </c>
      <c r="B638" s="2878">
        <v>1.05</v>
      </c>
    </row>
    <row r="639" spans="1:2">
      <c r="A639" s="92" t="s">
        <v>83</v>
      </c>
      <c r="B639" s="2878">
        <v>1.05</v>
      </c>
    </row>
    <row r="640" spans="1:2">
      <c r="A640" s="92" t="s">
        <v>2284</v>
      </c>
      <c r="B640" s="2878">
        <v>1.1100000000000001</v>
      </c>
    </row>
    <row r="641" spans="1:2">
      <c r="A641" s="92" t="s">
        <v>2410</v>
      </c>
      <c r="B641" s="2878">
        <v>1.04</v>
      </c>
    </row>
    <row r="642" spans="1:2">
      <c r="A642" s="92" t="s">
        <v>2411</v>
      </c>
      <c r="B642" s="2878">
        <v>1.07</v>
      </c>
    </row>
    <row r="643" spans="1:2">
      <c r="A643" s="92" t="s">
        <v>2104</v>
      </c>
      <c r="B643" s="2878">
        <v>1.05</v>
      </c>
    </row>
    <row r="644" spans="1:2">
      <c r="A644" s="92" t="s">
        <v>1423</v>
      </c>
      <c r="B644" s="2878">
        <v>1.08</v>
      </c>
    </row>
    <row r="645" spans="1:2">
      <c r="A645" s="92" t="s">
        <v>2412</v>
      </c>
      <c r="B645" s="2878">
        <v>1.05</v>
      </c>
    </row>
    <row r="646" spans="1:2">
      <c r="A646" s="92" t="s">
        <v>496</v>
      </c>
      <c r="B646" s="2878">
        <v>1.04</v>
      </c>
    </row>
    <row r="647" spans="1:2">
      <c r="A647" s="92" t="s">
        <v>677</v>
      </c>
      <c r="B647" s="2878">
        <v>1.04</v>
      </c>
    </row>
    <row r="648" spans="1:2">
      <c r="A648" s="92" t="s">
        <v>2347</v>
      </c>
      <c r="B648" s="2878">
        <v>1.07</v>
      </c>
    </row>
    <row r="649" spans="1:2">
      <c r="A649" s="92" t="s">
        <v>2348</v>
      </c>
      <c r="B649" s="2878">
        <v>1.07</v>
      </c>
    </row>
    <row r="650" spans="1:2">
      <c r="A650" s="92" t="s">
        <v>2349</v>
      </c>
      <c r="B650" s="2878">
        <v>1.07</v>
      </c>
    </row>
    <row r="651" spans="1:2">
      <c r="A651" s="92" t="s">
        <v>1464</v>
      </c>
      <c r="B651" s="2878">
        <v>1.06</v>
      </c>
    </row>
    <row r="652" spans="1:2">
      <c r="A652" s="92" t="s">
        <v>2091</v>
      </c>
      <c r="B652" s="2878">
        <v>1.07</v>
      </c>
    </row>
    <row r="653" spans="1:2">
      <c r="A653" s="92" t="s">
        <v>1465</v>
      </c>
      <c r="B653" s="2878">
        <v>1.07</v>
      </c>
    </row>
    <row r="654" spans="1:2">
      <c r="A654" s="92" t="s">
        <v>382</v>
      </c>
      <c r="B654" s="2878">
        <v>1.06</v>
      </c>
    </row>
    <row r="655" spans="1:2">
      <c r="A655" s="92" t="s">
        <v>383</v>
      </c>
      <c r="B655" s="2878">
        <v>1.0900000000000001</v>
      </c>
    </row>
    <row r="656" spans="1:2">
      <c r="A656" s="92" t="s">
        <v>384</v>
      </c>
      <c r="B656" s="2878">
        <v>1.0900000000000001</v>
      </c>
    </row>
    <row r="657" spans="1:2">
      <c r="A657" s="92" t="s">
        <v>1655</v>
      </c>
      <c r="B657" s="2878">
        <v>1.05</v>
      </c>
    </row>
    <row r="658" spans="1:2">
      <c r="A658" s="92" t="s">
        <v>1656</v>
      </c>
      <c r="B658" s="2878">
        <v>1.1299999999999999</v>
      </c>
    </row>
    <row r="659" spans="1:2">
      <c r="A659" s="92" t="s">
        <v>173</v>
      </c>
      <c r="B659" s="2878">
        <v>1.0900000000000001</v>
      </c>
    </row>
    <row r="660" spans="1:2">
      <c r="A660" s="92" t="s">
        <v>2128</v>
      </c>
      <c r="B660" s="2878">
        <v>1.1000000000000001</v>
      </c>
    </row>
    <row r="661" spans="1:2">
      <c r="A661" s="92" t="s">
        <v>2129</v>
      </c>
      <c r="B661" s="2878">
        <v>1.1100000000000001</v>
      </c>
    </row>
    <row r="662" spans="1:2">
      <c r="A662" s="92" t="s">
        <v>2130</v>
      </c>
      <c r="B662" s="2878">
        <v>1.1100000000000001</v>
      </c>
    </row>
    <row r="663" spans="1:2">
      <c r="A663" s="92" t="s">
        <v>1813</v>
      </c>
      <c r="B663" s="2878">
        <v>1.1499999999999999</v>
      </c>
    </row>
    <row r="664" spans="1:2">
      <c r="A664" s="92" t="s">
        <v>880</v>
      </c>
      <c r="B664" s="2878">
        <v>1.03</v>
      </c>
    </row>
    <row r="665" spans="1:2">
      <c r="A665" s="92" t="s">
        <v>1403</v>
      </c>
      <c r="B665" s="2878">
        <v>1.05</v>
      </c>
    </row>
    <row r="666" spans="1:2">
      <c r="A666" s="92" t="s">
        <v>1988</v>
      </c>
      <c r="B666" s="2878">
        <v>1.04</v>
      </c>
    </row>
    <row r="667" spans="1:2">
      <c r="A667" s="92" t="s">
        <v>968</v>
      </c>
      <c r="B667" s="2878">
        <v>1.03</v>
      </c>
    </row>
    <row r="668" spans="1:2">
      <c r="A668" s="92" t="s">
        <v>900</v>
      </c>
      <c r="B668" s="2878">
        <v>1.08</v>
      </c>
    </row>
    <row r="669" spans="1:2">
      <c r="A669" s="92" t="s">
        <v>702</v>
      </c>
      <c r="B669" s="2878">
        <v>1.06</v>
      </c>
    </row>
    <row r="670" spans="1:2">
      <c r="A670" s="92" t="s">
        <v>969</v>
      </c>
      <c r="B670" s="2878">
        <v>1.05</v>
      </c>
    </row>
    <row r="671" spans="1:2">
      <c r="A671" s="92" t="s">
        <v>1835</v>
      </c>
      <c r="B671" s="2878">
        <v>1.05</v>
      </c>
    </row>
    <row r="672" spans="1:2">
      <c r="A672" s="92" t="s">
        <v>1542</v>
      </c>
      <c r="B672" s="2878">
        <v>1.05</v>
      </c>
    </row>
    <row r="673" spans="1:2">
      <c r="A673" s="92" t="s">
        <v>113</v>
      </c>
      <c r="B673" s="2878">
        <v>1.05</v>
      </c>
    </row>
    <row r="674" spans="1:2">
      <c r="A674" s="92" t="s">
        <v>2086</v>
      </c>
      <c r="B674" s="2878">
        <v>1.04</v>
      </c>
    </row>
    <row r="675" spans="1:2">
      <c r="A675" s="92" t="s">
        <v>341</v>
      </c>
      <c r="B675" s="2878">
        <v>1.1100000000000001</v>
      </c>
    </row>
    <row r="676" spans="1:2">
      <c r="A676" s="92" t="s">
        <v>344</v>
      </c>
      <c r="B676" s="2878">
        <v>1.05</v>
      </c>
    </row>
    <row r="677" spans="1:2">
      <c r="A677" s="92" t="s">
        <v>2460</v>
      </c>
      <c r="B677" s="2878">
        <v>1.04</v>
      </c>
    </row>
    <row r="678" spans="1:2">
      <c r="A678" s="92" t="s">
        <v>2461</v>
      </c>
      <c r="B678" s="2878">
        <v>1.04</v>
      </c>
    </row>
    <row r="679" spans="1:2">
      <c r="A679" s="92" t="s">
        <v>72</v>
      </c>
      <c r="B679" s="2878">
        <v>1.04</v>
      </c>
    </row>
    <row r="680" spans="1:2">
      <c r="A680" s="92" t="s">
        <v>2310</v>
      </c>
      <c r="B680" s="2878">
        <v>1.06</v>
      </c>
    </row>
    <row r="681" spans="1:2">
      <c r="A681" s="92" t="s">
        <v>164</v>
      </c>
      <c r="B681" s="2878">
        <v>1.06</v>
      </c>
    </row>
    <row r="682" spans="1:2">
      <c r="A682" s="92" t="s">
        <v>879</v>
      </c>
      <c r="B682" s="2878">
        <v>1.04</v>
      </c>
    </row>
    <row r="683" spans="1:2">
      <c r="A683" s="92" t="s">
        <v>1837</v>
      </c>
      <c r="B683" s="2878">
        <v>1.05</v>
      </c>
    </row>
    <row r="684" spans="1:2">
      <c r="A684" s="92" t="s">
        <v>258</v>
      </c>
      <c r="B684" s="2878">
        <v>1.05</v>
      </c>
    </row>
    <row r="685" spans="1:2">
      <c r="A685" s="92" t="s">
        <v>1585</v>
      </c>
      <c r="B685" s="2878">
        <v>1.07</v>
      </c>
    </row>
    <row r="686" spans="1:2">
      <c r="A686" s="92" t="s">
        <v>1134</v>
      </c>
      <c r="B686" s="2878">
        <v>1.07</v>
      </c>
    </row>
    <row r="687" spans="1:2">
      <c r="A687" s="92" t="s">
        <v>1989</v>
      </c>
      <c r="B687" s="2878">
        <v>1.06</v>
      </c>
    </row>
    <row r="688" spans="1:2">
      <c r="A688" s="92" t="s">
        <v>920</v>
      </c>
      <c r="B688" s="2878">
        <v>1.07</v>
      </c>
    </row>
    <row r="689" spans="1:2">
      <c r="A689" s="92" t="s">
        <v>171</v>
      </c>
      <c r="B689" s="2878">
        <v>1.08</v>
      </c>
    </row>
    <row r="690" spans="1:2">
      <c r="A690" s="92" t="s">
        <v>2531</v>
      </c>
      <c r="B690" s="2878">
        <v>1.08</v>
      </c>
    </row>
    <row r="691" spans="1:2">
      <c r="A691" s="92" t="s">
        <v>2583</v>
      </c>
      <c r="B691" s="2878">
        <v>1.06</v>
      </c>
    </row>
    <row r="692" spans="1:2">
      <c r="A692" s="92" t="s">
        <v>2534</v>
      </c>
      <c r="B692" s="2878">
        <v>1.1399999999999999</v>
      </c>
    </row>
    <row r="693" spans="1:2">
      <c r="A693" s="92" t="s">
        <v>1300</v>
      </c>
      <c r="B693" s="2878">
        <v>1.0900000000000001</v>
      </c>
    </row>
    <row r="694" spans="1:2">
      <c r="A694" s="92" t="s">
        <v>1887</v>
      </c>
      <c r="B694" s="2878">
        <v>1.08</v>
      </c>
    </row>
    <row r="695" spans="1:2">
      <c r="A695" s="92" t="s">
        <v>1360</v>
      </c>
      <c r="B695" s="2878">
        <v>1.08</v>
      </c>
    </row>
    <row r="696" spans="1:2">
      <c r="A696" s="92" t="s">
        <v>2535</v>
      </c>
      <c r="B696" s="2878">
        <v>1.06</v>
      </c>
    </row>
    <row r="697" spans="1:2">
      <c r="A697" s="92" t="s">
        <v>2197</v>
      </c>
      <c r="B697" s="2878">
        <v>1.08</v>
      </c>
    </row>
    <row r="698" spans="1:2">
      <c r="A698" s="92" t="s">
        <v>930</v>
      </c>
      <c r="B698" s="2878">
        <v>1.06</v>
      </c>
    </row>
    <row r="699" spans="1:2">
      <c r="A699" s="92" t="s">
        <v>375</v>
      </c>
      <c r="B699" s="2878">
        <v>1.08</v>
      </c>
    </row>
    <row r="700" spans="1:2">
      <c r="A700" s="92" t="s">
        <v>1264</v>
      </c>
      <c r="B700" s="2878">
        <v>1.04</v>
      </c>
    </row>
    <row r="701" spans="1:2">
      <c r="A701" s="92" t="s">
        <v>2671</v>
      </c>
      <c r="B701" s="2878">
        <v>1.05</v>
      </c>
    </row>
    <row r="702" spans="1:2">
      <c r="A702" s="92" t="s">
        <v>2672</v>
      </c>
      <c r="B702" s="2878">
        <v>1.04</v>
      </c>
    </row>
    <row r="703" spans="1:2">
      <c r="A703" s="92" t="s">
        <v>1990</v>
      </c>
      <c r="B703" s="2878">
        <v>1.05</v>
      </c>
    </row>
    <row r="704" spans="1:2">
      <c r="A704" s="92" t="s">
        <v>2673</v>
      </c>
      <c r="B704" s="2878">
        <v>1.07</v>
      </c>
    </row>
    <row r="705" spans="1:2">
      <c r="A705" s="92" t="s">
        <v>2674</v>
      </c>
      <c r="B705" s="2878">
        <v>1.06</v>
      </c>
    </row>
    <row r="706" spans="1:2">
      <c r="A706" s="92" t="s">
        <v>1486</v>
      </c>
      <c r="B706" s="2878">
        <v>1.08</v>
      </c>
    </row>
    <row r="707" spans="1:2">
      <c r="A707" s="92" t="s">
        <v>1318</v>
      </c>
      <c r="B707" s="2878">
        <v>1.07</v>
      </c>
    </row>
    <row r="708" spans="1:2">
      <c r="A708" s="92" t="s">
        <v>1432</v>
      </c>
      <c r="B708" s="2878">
        <v>1.06</v>
      </c>
    </row>
    <row r="709" spans="1:2">
      <c r="A709" s="92" t="s">
        <v>804</v>
      </c>
      <c r="B709" s="2878">
        <v>1.07</v>
      </c>
    </row>
    <row r="710" spans="1:2">
      <c r="A710" s="92" t="s">
        <v>1495</v>
      </c>
      <c r="B710" s="2878">
        <v>1.07</v>
      </c>
    </row>
    <row r="711" spans="1:2">
      <c r="A711" s="92" t="s">
        <v>1496</v>
      </c>
      <c r="B711" s="2878">
        <v>1.06</v>
      </c>
    </row>
    <row r="712" spans="1:2">
      <c r="A712" s="92" t="s">
        <v>1272</v>
      </c>
      <c r="B712" s="2878">
        <v>1.06</v>
      </c>
    </row>
    <row r="713" spans="1:2">
      <c r="A713" s="92" t="s">
        <v>1531</v>
      </c>
      <c r="B713" s="2878">
        <v>1.05</v>
      </c>
    </row>
    <row r="714" spans="1:2">
      <c r="A714" s="92" t="s">
        <v>2311</v>
      </c>
      <c r="B714" s="2878">
        <v>1.1599999999999999</v>
      </c>
    </row>
    <row r="715" spans="1:2">
      <c r="A715" s="92" t="s">
        <v>1532</v>
      </c>
      <c r="B715" s="2878">
        <v>1.1200000000000001</v>
      </c>
    </row>
    <row r="716" spans="1:2">
      <c r="A716" s="92" t="s">
        <v>1182</v>
      </c>
      <c r="B716" s="2878">
        <v>1.1299999999999999</v>
      </c>
    </row>
    <row r="717" spans="1:2">
      <c r="A717" s="92" t="s">
        <v>346</v>
      </c>
      <c r="B717" s="2878">
        <v>1.1299999999999999</v>
      </c>
    </row>
    <row r="718" spans="1:2">
      <c r="A718" s="92" t="s">
        <v>1508</v>
      </c>
      <c r="B718" s="2878">
        <v>1.1200000000000001</v>
      </c>
    </row>
    <row r="719" spans="1:2">
      <c r="A719" s="92" t="s">
        <v>703</v>
      </c>
      <c r="B719" s="2878">
        <v>1.1399999999999999</v>
      </c>
    </row>
    <row r="720" spans="1:2">
      <c r="A720" s="92" t="s">
        <v>1868</v>
      </c>
      <c r="B720" s="2878">
        <v>1.08</v>
      </c>
    </row>
    <row r="721" spans="1:2">
      <c r="A721" s="92" t="s">
        <v>1869</v>
      </c>
      <c r="B721" s="2878">
        <v>1.05</v>
      </c>
    </row>
    <row r="722" spans="1:2">
      <c r="A722" s="92" t="s">
        <v>1870</v>
      </c>
      <c r="B722" s="2878">
        <v>1.06</v>
      </c>
    </row>
    <row r="723" spans="1:2">
      <c r="A723" s="92" t="s">
        <v>1871</v>
      </c>
      <c r="B723" s="2878">
        <v>1.04</v>
      </c>
    </row>
    <row r="724" spans="1:2">
      <c r="A724" s="92" t="s">
        <v>2353</v>
      </c>
      <c r="B724" s="2878">
        <v>1.04</v>
      </c>
    </row>
    <row r="725" spans="1:2">
      <c r="A725" s="92" t="s">
        <v>704</v>
      </c>
      <c r="B725" s="2878">
        <v>1.03</v>
      </c>
    </row>
    <row r="726" spans="1:2">
      <c r="A726" s="92" t="s">
        <v>524</v>
      </c>
      <c r="B726" s="2878">
        <v>1.03</v>
      </c>
    </row>
    <row r="727" spans="1:2">
      <c r="A727" s="92" t="s">
        <v>705</v>
      </c>
      <c r="B727" s="2878">
        <v>1.04</v>
      </c>
    </row>
    <row r="728" spans="1:2">
      <c r="A728" s="92" t="s">
        <v>525</v>
      </c>
      <c r="B728" s="2878">
        <v>1.06</v>
      </c>
    </row>
    <row r="729" spans="1:2">
      <c r="A729" s="92" t="s">
        <v>376</v>
      </c>
      <c r="B729" s="2878">
        <v>1.03</v>
      </c>
    </row>
    <row r="730" spans="1:2">
      <c r="A730" s="92" t="s">
        <v>526</v>
      </c>
      <c r="B730" s="2878">
        <v>1.03</v>
      </c>
    </row>
    <row r="731" spans="1:2">
      <c r="A731" s="92" t="s">
        <v>527</v>
      </c>
      <c r="B731" s="2878">
        <v>1.04</v>
      </c>
    </row>
    <row r="732" spans="1:2">
      <c r="A732" s="92" t="s">
        <v>774</v>
      </c>
      <c r="B732" s="2878">
        <v>1.04</v>
      </c>
    </row>
    <row r="733" spans="1:2">
      <c r="A733" s="92" t="s">
        <v>528</v>
      </c>
      <c r="B733" s="2878">
        <v>1.03</v>
      </c>
    </row>
    <row r="734" spans="1:2">
      <c r="A734" s="92" t="s">
        <v>529</v>
      </c>
      <c r="B734" s="2878">
        <v>1.05</v>
      </c>
    </row>
    <row r="735" spans="1:2">
      <c r="A735" s="92" t="s">
        <v>2400</v>
      </c>
      <c r="B735" s="2878">
        <v>1.07</v>
      </c>
    </row>
    <row r="736" spans="1:2">
      <c r="A736" s="92" t="s">
        <v>2407</v>
      </c>
      <c r="B736" s="2878">
        <v>1.04</v>
      </c>
    </row>
    <row r="737" spans="1:2">
      <c r="A737" s="92" t="s">
        <v>19</v>
      </c>
      <c r="B737" s="2878">
        <v>1.04</v>
      </c>
    </row>
    <row r="738" spans="1:2">
      <c r="A738" s="92" t="s">
        <v>706</v>
      </c>
      <c r="B738" s="2878">
        <v>1.06</v>
      </c>
    </row>
    <row r="739" spans="1:2">
      <c r="A739" s="92" t="s">
        <v>20</v>
      </c>
      <c r="B739" s="2878">
        <v>1.04</v>
      </c>
    </row>
    <row r="740" spans="1:2">
      <c r="A740" s="92" t="s">
        <v>2085</v>
      </c>
      <c r="B740" s="2878">
        <v>1.04</v>
      </c>
    </row>
    <row r="741" spans="1:2">
      <c r="A741" s="92" t="s">
        <v>21</v>
      </c>
      <c r="B741" s="2878">
        <v>1.08</v>
      </c>
    </row>
    <row r="742" spans="1:2">
      <c r="A742" s="92" t="s">
        <v>1021</v>
      </c>
      <c r="B742" s="2878">
        <v>1.07</v>
      </c>
    </row>
    <row r="743" spans="1:2">
      <c r="A743" s="92" t="s">
        <v>1991</v>
      </c>
      <c r="B743" s="2878">
        <v>1.07</v>
      </c>
    </row>
    <row r="744" spans="1:2">
      <c r="A744" s="92" t="s">
        <v>1543</v>
      </c>
      <c r="B744" s="2878">
        <v>1.05</v>
      </c>
    </row>
    <row r="745" spans="1:2">
      <c r="A745" s="92" t="s">
        <v>1878</v>
      </c>
      <c r="B745" s="2878">
        <v>1.07</v>
      </c>
    </row>
    <row r="746" spans="1:2">
      <c r="A746" s="92" t="s">
        <v>2309</v>
      </c>
      <c r="B746" s="2878">
        <v>1.07</v>
      </c>
    </row>
    <row r="747" spans="1:2">
      <c r="A747" s="92" t="s">
        <v>424</v>
      </c>
      <c r="B747" s="2878">
        <v>1.06</v>
      </c>
    </row>
    <row r="748" spans="1:2">
      <c r="A748" s="92" t="s">
        <v>2498</v>
      </c>
      <c r="B748" s="2878">
        <v>1.07</v>
      </c>
    </row>
    <row r="749" spans="1:2">
      <c r="A749" s="92" t="s">
        <v>1172</v>
      </c>
      <c r="B749" s="2878">
        <v>1.08</v>
      </c>
    </row>
    <row r="750" spans="1:2">
      <c r="A750" s="92" t="s">
        <v>1173</v>
      </c>
      <c r="B750" s="2878">
        <v>1.1100000000000001</v>
      </c>
    </row>
    <row r="751" spans="1:2">
      <c r="A751" s="92" t="s">
        <v>2399</v>
      </c>
      <c r="B751" s="2878">
        <v>1.1100000000000001</v>
      </c>
    </row>
    <row r="752" spans="1:2">
      <c r="A752" s="92" t="s">
        <v>570</v>
      </c>
      <c r="B752" s="2878">
        <v>1.1100000000000001</v>
      </c>
    </row>
    <row r="753" spans="1:2">
      <c r="A753" s="92" t="s">
        <v>579</v>
      </c>
      <c r="B753" s="2878">
        <v>1.08</v>
      </c>
    </row>
    <row r="754" spans="1:2">
      <c r="A754" s="92" t="s">
        <v>580</v>
      </c>
      <c r="B754" s="2878">
        <v>1.07</v>
      </c>
    </row>
    <row r="755" spans="1:2">
      <c r="A755" s="92" t="s">
        <v>165</v>
      </c>
      <c r="B755" s="2878">
        <v>1.1599999999999999</v>
      </c>
    </row>
    <row r="756" spans="1:2">
      <c r="A756" s="92" t="s">
        <v>767</v>
      </c>
      <c r="B756" s="2878">
        <v>1.1000000000000001</v>
      </c>
    </row>
    <row r="757" spans="1:2">
      <c r="A757" s="92" t="s">
        <v>964</v>
      </c>
      <c r="B757" s="2878">
        <v>1.08</v>
      </c>
    </row>
    <row r="758" spans="1:2">
      <c r="A758" s="92" t="s">
        <v>2138</v>
      </c>
      <c r="B758" s="2878">
        <v>1.1100000000000001</v>
      </c>
    </row>
    <row r="759" spans="1:2">
      <c r="A759" s="92" t="s">
        <v>2139</v>
      </c>
      <c r="B759" s="2878">
        <v>1.1200000000000001</v>
      </c>
    </row>
    <row r="760" spans="1:2">
      <c r="A760" s="92" t="s">
        <v>209</v>
      </c>
      <c r="B760" s="2878">
        <v>1.1000000000000001</v>
      </c>
    </row>
    <row r="761" spans="1:2">
      <c r="A761" s="92" t="s">
        <v>936</v>
      </c>
      <c r="B761" s="2878">
        <v>1.0900000000000001</v>
      </c>
    </row>
    <row r="762" spans="1:2">
      <c r="A762" s="92" t="s">
        <v>971</v>
      </c>
      <c r="B762" s="2878">
        <v>1.04</v>
      </c>
    </row>
    <row r="763" spans="1:2">
      <c r="A763" s="92" t="s">
        <v>972</v>
      </c>
      <c r="B763" s="2878">
        <v>1.06</v>
      </c>
    </row>
    <row r="764" spans="1:2">
      <c r="A764" s="92" t="s">
        <v>973</v>
      </c>
      <c r="B764" s="2878">
        <v>1.05</v>
      </c>
    </row>
    <row r="765" spans="1:2">
      <c r="A765" s="92" t="s">
        <v>1951</v>
      </c>
      <c r="B765" s="2878">
        <v>1.1000000000000001</v>
      </c>
    </row>
    <row r="766" spans="1:2">
      <c r="A766" s="92" t="s">
        <v>974</v>
      </c>
      <c r="B766" s="2878">
        <v>1.08</v>
      </c>
    </row>
    <row r="767" spans="1:2">
      <c r="A767" s="92" t="s">
        <v>975</v>
      </c>
      <c r="B767" s="2878">
        <v>1.1100000000000001</v>
      </c>
    </row>
    <row r="768" spans="1:2">
      <c r="A768" s="92" t="s">
        <v>1466</v>
      </c>
      <c r="B768" s="2878">
        <v>1.1000000000000001</v>
      </c>
    </row>
    <row r="769" spans="1:2">
      <c r="A769" s="92" t="s">
        <v>1092</v>
      </c>
      <c r="B769" s="2878">
        <v>1.1000000000000001</v>
      </c>
    </row>
    <row r="770" spans="1:2">
      <c r="A770" s="92" t="s">
        <v>1093</v>
      </c>
      <c r="B770" s="2878">
        <v>1.06</v>
      </c>
    </row>
    <row r="771" spans="1:2">
      <c r="A771" s="92" t="s">
        <v>1094</v>
      </c>
      <c r="B771" s="2878">
        <v>1.05</v>
      </c>
    </row>
    <row r="772" spans="1:2">
      <c r="A772" s="92" t="s">
        <v>2537</v>
      </c>
      <c r="B772" s="2878">
        <v>1.07</v>
      </c>
    </row>
    <row r="773" spans="1:2">
      <c r="A773" s="92" t="s">
        <v>1353</v>
      </c>
      <c r="B773" s="2878">
        <v>1.05</v>
      </c>
    </row>
    <row r="774" spans="1:2">
      <c r="A774" s="92" t="s">
        <v>1354</v>
      </c>
      <c r="B774" s="2878">
        <v>1.06</v>
      </c>
    </row>
    <row r="775" spans="1:2">
      <c r="A775" s="92" t="s">
        <v>1355</v>
      </c>
      <c r="B775" s="2878">
        <v>1.06</v>
      </c>
    </row>
    <row r="776" spans="1:2">
      <c r="A776" s="92" t="s">
        <v>1356</v>
      </c>
      <c r="B776" s="2878">
        <v>1.05</v>
      </c>
    </row>
    <row r="777" spans="1:2">
      <c r="A777" s="92" t="s">
        <v>1357</v>
      </c>
      <c r="B777" s="2878">
        <v>1.07</v>
      </c>
    </row>
    <row r="778" spans="1:2">
      <c r="A778" s="92" t="s">
        <v>2579</v>
      </c>
      <c r="B778" s="2878">
        <v>1.04</v>
      </c>
    </row>
    <row r="779" spans="1:2">
      <c r="A779" s="92" t="s">
        <v>707</v>
      </c>
      <c r="B779" s="2878">
        <v>1.0900000000000001</v>
      </c>
    </row>
    <row r="780" spans="1:2">
      <c r="A780" s="92" t="s">
        <v>1510</v>
      </c>
      <c r="B780" s="2878">
        <v>1.1100000000000001</v>
      </c>
    </row>
    <row r="781" spans="1:2">
      <c r="A781" s="92" t="s">
        <v>1467</v>
      </c>
      <c r="B781" s="2878">
        <v>1.1200000000000001</v>
      </c>
    </row>
    <row r="782" spans="1:2">
      <c r="A782" s="92" t="s">
        <v>2536</v>
      </c>
      <c r="B782" s="2878">
        <v>1.1000000000000001</v>
      </c>
    </row>
    <row r="783" spans="1:2">
      <c r="A783" s="92" t="s">
        <v>1383</v>
      </c>
      <c r="B783" s="2878">
        <v>1.1100000000000001</v>
      </c>
    </row>
    <row r="784" spans="1:2">
      <c r="A784" s="92" t="s">
        <v>208</v>
      </c>
      <c r="B784" s="2878">
        <v>1.0900000000000001</v>
      </c>
    </row>
    <row r="785" spans="1:2">
      <c r="A785" s="92" t="s">
        <v>1877</v>
      </c>
      <c r="B785" s="2878">
        <v>1.08</v>
      </c>
    </row>
    <row r="786" spans="1:2">
      <c r="A786" s="92" t="s">
        <v>1634</v>
      </c>
      <c r="B786" s="2878">
        <v>1.1000000000000001</v>
      </c>
    </row>
    <row r="787" spans="1:2">
      <c r="A787" s="92" t="s">
        <v>1635</v>
      </c>
      <c r="B787" s="2878">
        <v>1.05</v>
      </c>
    </row>
    <row r="788" spans="1:2">
      <c r="A788" s="92" t="s">
        <v>1636</v>
      </c>
      <c r="B788" s="2878">
        <v>1.05</v>
      </c>
    </row>
    <row r="789" spans="1:2">
      <c r="A789" s="92" t="s">
        <v>1637</v>
      </c>
      <c r="B789" s="2878">
        <v>1.06</v>
      </c>
    </row>
    <row r="790" spans="1:2">
      <c r="A790" s="92" t="s">
        <v>1638</v>
      </c>
      <c r="B790" s="2878">
        <v>1.05</v>
      </c>
    </row>
    <row r="791" spans="1:2">
      <c r="A791" s="92" t="s">
        <v>1874</v>
      </c>
      <c r="B791" s="2878">
        <v>1.1100000000000001</v>
      </c>
    </row>
    <row r="792" spans="1:2">
      <c r="A792" s="92" t="s">
        <v>2302</v>
      </c>
      <c r="B792" s="2878">
        <v>1.1299999999999999</v>
      </c>
    </row>
    <row r="793" spans="1:2">
      <c r="A793" s="92" t="s">
        <v>2291</v>
      </c>
      <c r="B793" s="2878">
        <v>1.1000000000000001</v>
      </c>
    </row>
    <row r="794" spans="1:2">
      <c r="A794" s="92" t="s">
        <v>1302</v>
      </c>
      <c r="B794" s="2878">
        <v>1.05</v>
      </c>
    </row>
    <row r="795" spans="1:2">
      <c r="A795" s="92" t="s">
        <v>692</v>
      </c>
      <c r="B795" s="2878">
        <v>1.06</v>
      </c>
    </row>
    <row r="796" spans="1:2">
      <c r="A796" s="92" t="s">
        <v>2548</v>
      </c>
      <c r="B796" s="2878">
        <v>1.07</v>
      </c>
    </row>
    <row r="797" spans="1:2">
      <c r="A797" s="92" t="s">
        <v>693</v>
      </c>
      <c r="B797" s="2878">
        <v>1.07</v>
      </c>
    </row>
    <row r="798" spans="1:2">
      <c r="A798" s="92" t="s">
        <v>1773</v>
      </c>
      <c r="B798" s="2878">
        <v>1.07</v>
      </c>
    </row>
    <row r="799" spans="1:2">
      <c r="A799" s="92" t="s">
        <v>1213</v>
      </c>
      <c r="B799" s="2878">
        <v>1.05</v>
      </c>
    </row>
    <row r="800" spans="1:2">
      <c r="A800" s="92" t="s">
        <v>1639</v>
      </c>
      <c r="B800" s="2878">
        <v>1.1100000000000001</v>
      </c>
    </row>
    <row r="801" spans="1:2">
      <c r="A801" s="92" t="s">
        <v>199</v>
      </c>
      <c r="B801" s="2878">
        <v>1.05</v>
      </c>
    </row>
    <row r="802" spans="1:2">
      <c r="A802" s="92" t="s">
        <v>572</v>
      </c>
      <c r="B802" s="2878">
        <v>1.05</v>
      </c>
    </row>
    <row r="803" spans="1:2">
      <c r="A803" s="92" t="s">
        <v>2181</v>
      </c>
      <c r="B803" s="2878">
        <v>1.04</v>
      </c>
    </row>
    <row r="804" spans="1:2">
      <c r="A804" s="92" t="s">
        <v>1468</v>
      </c>
      <c r="B804" s="2878">
        <v>1.06</v>
      </c>
    </row>
    <row r="805" spans="1:2">
      <c r="A805" s="92" t="s">
        <v>217</v>
      </c>
      <c r="B805" s="2878">
        <v>1.1000000000000001</v>
      </c>
    </row>
    <row r="806" spans="1:2">
      <c r="A806" s="92" t="s">
        <v>1289</v>
      </c>
      <c r="B806" s="2878">
        <v>1.04</v>
      </c>
    </row>
    <row r="807" spans="1:2">
      <c r="A807" s="92" t="s">
        <v>1290</v>
      </c>
      <c r="B807" s="2878">
        <v>1.06</v>
      </c>
    </row>
    <row r="808" spans="1:2">
      <c r="A808" s="92" t="s">
        <v>2522</v>
      </c>
      <c r="B808" s="2878">
        <v>1.0900000000000001</v>
      </c>
    </row>
    <row r="809" spans="1:2">
      <c r="A809" s="92" t="s">
        <v>792</v>
      </c>
      <c r="B809" s="2878">
        <v>1.05</v>
      </c>
    </row>
    <row r="810" spans="1:2">
      <c r="A810" s="92" t="s">
        <v>114</v>
      </c>
      <c r="B810" s="2878">
        <v>1.05</v>
      </c>
    </row>
    <row r="811" spans="1:2">
      <c r="A811" s="92" t="s">
        <v>2654</v>
      </c>
      <c r="B811" s="2878">
        <v>1.05</v>
      </c>
    </row>
    <row r="812" spans="1:2">
      <c r="A812" s="92" t="s">
        <v>2274</v>
      </c>
      <c r="B812" s="2878">
        <v>1.05</v>
      </c>
    </row>
    <row r="813" spans="1:2">
      <c r="A813" s="92" t="s">
        <v>377</v>
      </c>
      <c r="B813" s="2878">
        <v>1.04</v>
      </c>
    </row>
    <row r="814" spans="1:2">
      <c r="A814" s="92" t="s">
        <v>986</v>
      </c>
      <c r="B814" s="2878">
        <v>1.1299999999999999</v>
      </c>
    </row>
    <row r="815" spans="1:2">
      <c r="A815" s="92" t="s">
        <v>1716</v>
      </c>
      <c r="B815" s="2878">
        <v>1.1200000000000001</v>
      </c>
    </row>
    <row r="816" spans="1:2">
      <c r="A816" s="92" t="s">
        <v>695</v>
      </c>
      <c r="B816" s="2878">
        <v>1.07</v>
      </c>
    </row>
    <row r="817" spans="1:2">
      <c r="A817" s="92" t="s">
        <v>696</v>
      </c>
      <c r="B817" s="2878">
        <v>1.08</v>
      </c>
    </row>
    <row r="818" spans="1:2">
      <c r="A818" s="92" t="s">
        <v>697</v>
      </c>
      <c r="B818" s="2878">
        <v>1.07</v>
      </c>
    </row>
    <row r="819" spans="1:2">
      <c r="A819" s="92" t="s">
        <v>1457</v>
      </c>
      <c r="B819" s="2878">
        <v>1.08</v>
      </c>
    </row>
    <row r="820" spans="1:2">
      <c r="A820" s="92" t="s">
        <v>1458</v>
      </c>
      <c r="B820" s="2878">
        <v>1.06</v>
      </c>
    </row>
    <row r="821" spans="1:2">
      <c r="A821" s="92" t="s">
        <v>1459</v>
      </c>
      <c r="B821" s="2878">
        <v>1.0900000000000001</v>
      </c>
    </row>
    <row r="822" spans="1:2">
      <c r="A822" s="92" t="s">
        <v>1460</v>
      </c>
      <c r="B822" s="2878">
        <v>1.07</v>
      </c>
    </row>
    <row r="823" spans="1:2">
      <c r="A823" s="92" t="s">
        <v>1461</v>
      </c>
      <c r="B823" s="2878">
        <v>1.1000000000000001</v>
      </c>
    </row>
    <row r="824" spans="1:2">
      <c r="A824" s="92" t="s">
        <v>1462</v>
      </c>
      <c r="B824" s="2878">
        <v>1.1299999999999999</v>
      </c>
    </row>
    <row r="825" spans="1:2">
      <c r="A825" s="92" t="s">
        <v>1672</v>
      </c>
      <c r="B825" s="2878">
        <v>1.1299999999999999</v>
      </c>
    </row>
    <row r="826" spans="1:2">
      <c r="A826" s="92" t="s">
        <v>1812</v>
      </c>
      <c r="B826" s="2878">
        <v>1.1000000000000001</v>
      </c>
    </row>
    <row r="827" spans="1:2">
      <c r="A827" s="92" t="s">
        <v>1673</v>
      </c>
      <c r="B827" s="2878">
        <v>1.06</v>
      </c>
    </row>
    <row r="828" spans="1:2">
      <c r="A828" s="92" t="s">
        <v>378</v>
      </c>
      <c r="B828" s="2878">
        <v>1.05</v>
      </c>
    </row>
    <row r="829" spans="1:2">
      <c r="A829" s="92" t="s">
        <v>1183</v>
      </c>
      <c r="B829" s="2878">
        <v>1.05</v>
      </c>
    </row>
    <row r="830" spans="1:2">
      <c r="A830" s="92" t="s">
        <v>379</v>
      </c>
      <c r="B830" s="2878">
        <v>1.07</v>
      </c>
    </row>
    <row r="831" spans="1:2">
      <c r="A831" s="92" t="s">
        <v>1674</v>
      </c>
      <c r="B831" s="2878">
        <v>1.07</v>
      </c>
    </row>
    <row r="832" spans="1:2">
      <c r="A832" s="92" t="s">
        <v>1675</v>
      </c>
      <c r="B832" s="2878">
        <v>1.08</v>
      </c>
    </row>
    <row r="833" spans="1:2">
      <c r="A833" s="92" t="s">
        <v>1676</v>
      </c>
      <c r="B833" s="2878">
        <v>1.1000000000000001</v>
      </c>
    </row>
    <row r="834" spans="1:2">
      <c r="A834" s="92" t="s">
        <v>2470</v>
      </c>
      <c r="B834" s="2878">
        <v>1.04</v>
      </c>
    </row>
    <row r="835" spans="1:2">
      <c r="A835" s="92" t="s">
        <v>2471</v>
      </c>
      <c r="B835" s="2878">
        <v>1.04</v>
      </c>
    </row>
    <row r="836" spans="1:2">
      <c r="A836" s="92" t="s">
        <v>1677</v>
      </c>
      <c r="B836" s="2878">
        <v>1.04</v>
      </c>
    </row>
    <row r="837" spans="1:2">
      <c r="A837" s="92" t="s">
        <v>190</v>
      </c>
      <c r="B837" s="2878">
        <v>1.03</v>
      </c>
    </row>
    <row r="838" spans="1:2">
      <c r="A838" s="92" t="s">
        <v>1678</v>
      </c>
      <c r="B838" s="2878">
        <v>1.05</v>
      </c>
    </row>
    <row r="839" spans="1:2">
      <c r="A839" s="92" t="s">
        <v>1395</v>
      </c>
      <c r="B839" s="2878">
        <v>1.04</v>
      </c>
    </row>
    <row r="840" spans="1:2">
      <c r="A840" s="92" t="s">
        <v>1396</v>
      </c>
      <c r="B840" s="2878">
        <v>1.05</v>
      </c>
    </row>
    <row r="841" spans="1:2">
      <c r="A841" s="92" t="s">
        <v>1397</v>
      </c>
      <c r="B841" s="2878">
        <v>1.06</v>
      </c>
    </row>
    <row r="842" spans="1:2">
      <c r="A842" s="92" t="s">
        <v>1632</v>
      </c>
      <c r="B842" s="2878">
        <v>1.06</v>
      </c>
    </row>
    <row r="843" spans="1:2">
      <c r="A843" s="92" t="s">
        <v>1633</v>
      </c>
      <c r="B843" s="2878">
        <v>1.1000000000000001</v>
      </c>
    </row>
    <row r="844" spans="1:2">
      <c r="A844" s="92" t="s">
        <v>2433</v>
      </c>
      <c r="B844" s="2878">
        <v>1.0900000000000001</v>
      </c>
    </row>
    <row r="845" spans="1:2">
      <c r="A845" s="92" t="s">
        <v>1215</v>
      </c>
      <c r="B845" s="2878">
        <v>1.1000000000000001</v>
      </c>
    </row>
    <row r="846" spans="1:2">
      <c r="A846" s="92" t="s">
        <v>2434</v>
      </c>
      <c r="B846" s="2878">
        <v>1.0900000000000001</v>
      </c>
    </row>
    <row r="847" spans="1:2">
      <c r="A847" s="92" t="s">
        <v>1454</v>
      </c>
      <c r="B847" s="2878">
        <v>1.08</v>
      </c>
    </row>
    <row r="848" spans="1:2">
      <c r="A848" s="92" t="s">
        <v>2527</v>
      </c>
      <c r="B848" s="2878">
        <v>1.1200000000000001</v>
      </c>
    </row>
    <row r="849" spans="1:2">
      <c r="A849" s="92" t="s">
        <v>1411</v>
      </c>
      <c r="B849" s="2878">
        <v>1.0900000000000001</v>
      </c>
    </row>
    <row r="850" spans="1:2">
      <c r="A850" s="92" t="s">
        <v>1317</v>
      </c>
      <c r="B850" s="2878">
        <v>1.1000000000000001</v>
      </c>
    </row>
    <row r="851" spans="1:2">
      <c r="A851" s="92" t="s">
        <v>191</v>
      </c>
      <c r="B851" s="2878">
        <v>1.1000000000000001</v>
      </c>
    </row>
    <row r="852" spans="1:2">
      <c r="A852" s="92" t="s">
        <v>489</v>
      </c>
      <c r="B852" s="2878">
        <v>1.02</v>
      </c>
    </row>
    <row r="853" spans="1:2">
      <c r="A853" s="92" t="s">
        <v>1455</v>
      </c>
      <c r="B853" s="2878">
        <v>1.04</v>
      </c>
    </row>
    <row r="854" spans="1:2">
      <c r="A854" s="92" t="s">
        <v>1456</v>
      </c>
      <c r="B854" s="2878">
        <v>1.04</v>
      </c>
    </row>
    <row r="855" spans="1:2">
      <c r="A855" s="92" t="s">
        <v>1377</v>
      </c>
      <c r="B855" s="2878">
        <v>1.05</v>
      </c>
    </row>
    <row r="856" spans="1:2">
      <c r="A856" s="92" t="s">
        <v>1378</v>
      </c>
      <c r="B856" s="2878">
        <v>1.08</v>
      </c>
    </row>
    <row r="857" spans="1:2">
      <c r="A857" s="92" t="s">
        <v>1379</v>
      </c>
      <c r="B857" s="2878">
        <v>1.1000000000000001</v>
      </c>
    </row>
    <row r="858" spans="1:2">
      <c r="A858" s="92" t="s">
        <v>1473</v>
      </c>
      <c r="B858" s="2878">
        <v>1.07</v>
      </c>
    </row>
    <row r="859" spans="1:2">
      <c r="A859" s="92" t="s">
        <v>961</v>
      </c>
      <c r="B859" s="2878">
        <v>1.05</v>
      </c>
    </row>
    <row r="860" spans="1:2">
      <c r="A860" s="92" t="s">
        <v>962</v>
      </c>
      <c r="B860" s="2878">
        <v>1.05</v>
      </c>
    </row>
    <row r="861" spans="1:2">
      <c r="A861" s="92" t="s">
        <v>963</v>
      </c>
      <c r="B861" s="2878">
        <v>1.05</v>
      </c>
    </row>
    <row r="862" spans="1:2">
      <c r="A862" s="92" t="s">
        <v>1089</v>
      </c>
      <c r="B862" s="2878">
        <v>1.04</v>
      </c>
    </row>
    <row r="863" spans="1:2">
      <c r="A863" s="92" t="s">
        <v>192</v>
      </c>
      <c r="B863" s="2878">
        <v>1.05</v>
      </c>
    </row>
    <row r="864" spans="1:2">
      <c r="A864" s="92" t="s">
        <v>1090</v>
      </c>
      <c r="B864" s="2878">
        <v>1.04</v>
      </c>
    </row>
    <row r="865" spans="1:2">
      <c r="A865" s="92" t="s">
        <v>1091</v>
      </c>
      <c r="B865" s="2878">
        <v>1.04</v>
      </c>
    </row>
    <row r="866" spans="1:2">
      <c r="A866" s="92" t="s">
        <v>1238</v>
      </c>
      <c r="B866" s="2878">
        <v>1.04</v>
      </c>
    </row>
    <row r="867" spans="1:2">
      <c r="A867" s="92" t="s">
        <v>1239</v>
      </c>
      <c r="B867" s="2878">
        <v>1.0900000000000001</v>
      </c>
    </row>
    <row r="868" spans="1:2">
      <c r="A868" s="92" t="s">
        <v>1801</v>
      </c>
      <c r="B868" s="2878">
        <v>1.08</v>
      </c>
    </row>
    <row r="869" spans="1:2">
      <c r="A869" s="92" t="s">
        <v>274</v>
      </c>
      <c r="B869" s="2878">
        <v>1.04</v>
      </c>
    </row>
    <row r="870" spans="1:2">
      <c r="A870" s="92" t="s">
        <v>1727</v>
      </c>
      <c r="B870" s="2878">
        <v>1.04</v>
      </c>
    </row>
    <row r="871" spans="1:2">
      <c r="A871" s="92" t="s">
        <v>1728</v>
      </c>
      <c r="B871" s="2878">
        <v>1.06</v>
      </c>
    </row>
    <row r="872" spans="1:2">
      <c r="A872" s="92" t="s">
        <v>1006</v>
      </c>
      <c r="B872" s="2878">
        <v>1.04</v>
      </c>
    </row>
    <row r="873" spans="1:2">
      <c r="A873" s="92" t="s">
        <v>189</v>
      </c>
      <c r="B873" s="2878">
        <v>1.1000000000000001</v>
      </c>
    </row>
    <row r="874" spans="1:2">
      <c r="A874" s="92" t="s">
        <v>1181</v>
      </c>
      <c r="B874" s="2878">
        <v>1.07</v>
      </c>
    </row>
    <row r="875" spans="1:2">
      <c r="A875" s="92" t="s">
        <v>1340</v>
      </c>
      <c r="B875" s="2878">
        <v>1.07</v>
      </c>
    </row>
    <row r="876" spans="1:2">
      <c r="A876" s="92" t="s">
        <v>1341</v>
      </c>
      <c r="B876" s="2878">
        <v>1.04</v>
      </c>
    </row>
    <row r="877" spans="1:2">
      <c r="A877" s="92" t="s">
        <v>1342</v>
      </c>
      <c r="B877" s="2878">
        <v>1.05</v>
      </c>
    </row>
    <row r="878" spans="1:2">
      <c r="A878" s="92" t="s">
        <v>2653</v>
      </c>
      <c r="B878" s="2878">
        <v>1.18</v>
      </c>
    </row>
    <row r="879" spans="1:2">
      <c r="A879" s="92" t="s">
        <v>1729</v>
      </c>
      <c r="B879" s="2878">
        <v>1.1200000000000001</v>
      </c>
    </row>
    <row r="880" spans="1:2">
      <c r="A880" s="92" t="s">
        <v>193</v>
      </c>
      <c r="B880" s="2878">
        <v>1.2</v>
      </c>
    </row>
    <row r="881" spans="1:2">
      <c r="A881" s="92" t="s">
        <v>1730</v>
      </c>
      <c r="B881" s="2878">
        <v>1.07</v>
      </c>
    </row>
    <row r="882" spans="1:2">
      <c r="A882" s="92" t="s">
        <v>2584</v>
      </c>
      <c r="B882" s="2878">
        <v>1.06</v>
      </c>
    </row>
    <row r="883" spans="1:2">
      <c r="A883" s="92" t="s">
        <v>750</v>
      </c>
      <c r="B883" s="2878">
        <v>1.04</v>
      </c>
    </row>
    <row r="884" spans="1:2">
      <c r="A884" s="92" t="s">
        <v>751</v>
      </c>
      <c r="B884" s="2878">
        <v>1.08</v>
      </c>
    </row>
    <row r="885" spans="1:2">
      <c r="A885" s="92" t="s">
        <v>802</v>
      </c>
      <c r="B885" s="2878">
        <v>1.06</v>
      </c>
    </row>
    <row r="886" spans="1:2">
      <c r="A886" s="92" t="s">
        <v>568</v>
      </c>
      <c r="B886" s="2878">
        <v>1.08</v>
      </c>
    </row>
    <row r="887" spans="1:2">
      <c r="A887" s="92" t="s">
        <v>569</v>
      </c>
      <c r="B887" s="2878">
        <v>1.07</v>
      </c>
    </row>
    <row r="888" spans="1:2">
      <c r="A888" s="92" t="s">
        <v>2298</v>
      </c>
      <c r="B888" s="2878">
        <v>1.1399999999999999</v>
      </c>
    </row>
    <row r="889" spans="1:2">
      <c r="A889" s="92" t="s">
        <v>873</v>
      </c>
      <c r="B889" s="2878">
        <v>1.1399999999999999</v>
      </c>
    </row>
    <row r="890" spans="1:2">
      <c r="A890" s="92" t="s">
        <v>1849</v>
      </c>
      <c r="B890" s="2878">
        <v>1.1100000000000001</v>
      </c>
    </row>
    <row r="891" spans="1:2">
      <c r="A891" s="92" t="s">
        <v>2018</v>
      </c>
      <c r="B891" s="2878">
        <v>1.1399999999999999</v>
      </c>
    </row>
    <row r="892" spans="1:2">
      <c r="A892" s="92" t="s">
        <v>2182</v>
      </c>
      <c r="B892" s="2878">
        <v>1.1299999999999999</v>
      </c>
    </row>
    <row r="893" spans="1:2">
      <c r="A893" s="92" t="s">
        <v>50</v>
      </c>
      <c r="B893" s="2878">
        <v>1.1299999999999999</v>
      </c>
    </row>
    <row r="894" spans="1:2">
      <c r="A894" s="92" t="s">
        <v>347</v>
      </c>
      <c r="B894" s="2878">
        <v>1.1299999999999999</v>
      </c>
    </row>
    <row r="895" spans="1:2">
      <c r="A895" s="92" t="s">
        <v>2183</v>
      </c>
      <c r="B895" s="2878">
        <v>1.0900000000000001</v>
      </c>
    </row>
    <row r="896" spans="1:2">
      <c r="A896" s="92" t="s">
        <v>1767</v>
      </c>
      <c r="B896" s="2878">
        <v>1.0900000000000001</v>
      </c>
    </row>
    <row r="897" spans="1:2">
      <c r="A897" s="92" t="s">
        <v>2405</v>
      </c>
      <c r="B897" s="2878">
        <v>1.1200000000000001</v>
      </c>
    </row>
    <row r="898" spans="1:2">
      <c r="A898" s="92" t="s">
        <v>52</v>
      </c>
      <c r="B898" s="2878">
        <v>1.0900000000000001</v>
      </c>
    </row>
    <row r="899" spans="1:2">
      <c r="A899" s="92" t="s">
        <v>1681</v>
      </c>
      <c r="B899" s="2878">
        <v>1.1200000000000001</v>
      </c>
    </row>
    <row r="900" spans="1:2">
      <c r="A900" s="92" t="s">
        <v>1119</v>
      </c>
      <c r="B900" s="2878">
        <v>1.1399999999999999</v>
      </c>
    </row>
    <row r="901" spans="1:2">
      <c r="A901" s="92" t="s">
        <v>1847</v>
      </c>
      <c r="B901" s="2878">
        <v>1.1100000000000001</v>
      </c>
    </row>
    <row r="902" spans="1:2">
      <c r="A902" s="92" t="s">
        <v>2223</v>
      </c>
      <c r="B902" s="2878">
        <v>1.1200000000000001</v>
      </c>
    </row>
    <row r="903" spans="1:2">
      <c r="A903" s="92" t="s">
        <v>1846</v>
      </c>
      <c r="B903" s="2878">
        <v>1.1000000000000001</v>
      </c>
    </row>
    <row r="904" spans="1:2">
      <c r="A904" s="92" t="s">
        <v>1180</v>
      </c>
      <c r="B904" s="2878">
        <v>1.1100000000000001</v>
      </c>
    </row>
    <row r="905" spans="1:2">
      <c r="A905" s="92" t="s">
        <v>2224</v>
      </c>
      <c r="B905" s="2878">
        <v>1.0900000000000001</v>
      </c>
    </row>
    <row r="906" spans="1:2">
      <c r="A906" s="92" t="s">
        <v>2225</v>
      </c>
      <c r="B906" s="2878">
        <v>1.04</v>
      </c>
    </row>
    <row r="907" spans="1:2">
      <c r="A907" s="92" t="s">
        <v>2655</v>
      </c>
      <c r="B907" s="2878">
        <v>1.05</v>
      </c>
    </row>
    <row r="908" spans="1:2">
      <c r="A908" s="92" t="s">
        <v>2656</v>
      </c>
      <c r="B908" s="2878">
        <v>1.04</v>
      </c>
    </row>
    <row r="909" spans="1:2">
      <c r="A909" s="92" t="s">
        <v>2657</v>
      </c>
      <c r="B909" s="2878">
        <v>1.05</v>
      </c>
    </row>
    <row r="910" spans="1:2">
      <c r="A910" s="92" t="s">
        <v>2658</v>
      </c>
      <c r="B910" s="2878">
        <v>1.0900000000000001</v>
      </c>
    </row>
    <row r="911" spans="1:2">
      <c r="A911" s="92" t="s">
        <v>1170</v>
      </c>
      <c r="B911" s="2878">
        <v>1.08</v>
      </c>
    </row>
    <row r="912" spans="1:2">
      <c r="A912" s="92" t="s">
        <v>1845</v>
      </c>
      <c r="B912" s="2878">
        <v>1.07</v>
      </c>
    </row>
    <row r="913" spans="1:2">
      <c r="A913" s="92" t="s">
        <v>1171</v>
      </c>
      <c r="B913" s="2878">
        <v>1.07</v>
      </c>
    </row>
    <row r="914" spans="1:2">
      <c r="A914" s="92" t="s">
        <v>1586</v>
      </c>
      <c r="B914" s="2878">
        <v>1.07</v>
      </c>
    </row>
    <row r="915" spans="1:2">
      <c r="A915" s="92" t="s">
        <v>1587</v>
      </c>
      <c r="B915" s="2878">
        <v>1.0900000000000001</v>
      </c>
    </row>
    <row r="916" spans="1:2">
      <c r="A916" s="92" t="s">
        <v>1588</v>
      </c>
      <c r="B916" s="2878">
        <v>1.08</v>
      </c>
    </row>
    <row r="917" spans="1:2">
      <c r="A917" s="92" t="s">
        <v>1817</v>
      </c>
      <c r="B917" s="2878">
        <v>1.05</v>
      </c>
    </row>
    <row r="918" spans="1:2">
      <c r="A918" s="92" t="s">
        <v>275</v>
      </c>
      <c r="B918" s="2878">
        <v>1.04</v>
      </c>
    </row>
    <row r="919" spans="1:2">
      <c r="A919" s="92" t="s">
        <v>1818</v>
      </c>
      <c r="B919" s="2878">
        <v>1.03</v>
      </c>
    </row>
    <row r="920" spans="1:2">
      <c r="A920" s="92" t="s">
        <v>2440</v>
      </c>
      <c r="B920" s="2878">
        <v>1.04</v>
      </c>
    </row>
    <row r="921" spans="1:2">
      <c r="A921" s="92" t="s">
        <v>1313</v>
      </c>
      <c r="B921" s="2878">
        <v>1.08</v>
      </c>
    </row>
    <row r="922" spans="1:2">
      <c r="A922" s="92" t="s">
        <v>2428</v>
      </c>
      <c r="B922" s="2878">
        <v>1.03</v>
      </c>
    </row>
    <row r="923" spans="1:2">
      <c r="A923" s="92" t="s">
        <v>342</v>
      </c>
      <c r="B923" s="2878">
        <v>1.05</v>
      </c>
    </row>
    <row r="924" spans="1:2">
      <c r="A924" s="92" t="s">
        <v>1307</v>
      </c>
      <c r="B924" s="2878">
        <v>1.05</v>
      </c>
    </row>
    <row r="925" spans="1:2">
      <c r="A925" s="92" t="s">
        <v>1253</v>
      </c>
      <c r="B925" s="2878">
        <v>1.05</v>
      </c>
    </row>
    <row r="926" spans="1:2">
      <c r="A926" s="92" t="s">
        <v>263</v>
      </c>
      <c r="B926" s="2878">
        <v>1.1000000000000001</v>
      </c>
    </row>
    <row r="927" spans="1:2">
      <c r="A927" s="92" t="s">
        <v>210</v>
      </c>
      <c r="B927" s="2878">
        <v>1.1100000000000001</v>
      </c>
    </row>
    <row r="928" spans="1:2">
      <c r="A928" s="92" t="s">
        <v>264</v>
      </c>
      <c r="B928" s="2878">
        <v>1.07</v>
      </c>
    </row>
    <row r="929" spans="1:2">
      <c r="A929" s="92" t="s">
        <v>265</v>
      </c>
      <c r="B929" s="2878">
        <v>1.1000000000000001</v>
      </c>
    </row>
    <row r="930" spans="1:2">
      <c r="A930" s="92" t="s">
        <v>1133</v>
      </c>
      <c r="B930" s="2878">
        <v>1.1100000000000001</v>
      </c>
    </row>
    <row r="931" spans="1:2">
      <c r="A931" s="92" t="s">
        <v>2446</v>
      </c>
      <c r="B931" s="2878">
        <v>1.05</v>
      </c>
    </row>
    <row r="932" spans="1:2">
      <c r="A932" s="92" t="s">
        <v>1320</v>
      </c>
      <c r="B932" s="2878">
        <v>1.08</v>
      </c>
    </row>
    <row r="933" spans="1:2">
      <c r="A933" s="92" t="s">
        <v>1321</v>
      </c>
      <c r="B933" s="2878">
        <v>1.04</v>
      </c>
    </row>
    <row r="934" spans="1:2">
      <c r="A934" s="92" t="s">
        <v>1322</v>
      </c>
      <c r="B934" s="2878">
        <v>1.05</v>
      </c>
    </row>
    <row r="935" spans="1:2">
      <c r="A935" s="92" t="s">
        <v>1323</v>
      </c>
      <c r="B935" s="2878">
        <v>1.05</v>
      </c>
    </row>
    <row r="936" spans="1:2">
      <c r="A936" s="92" t="s">
        <v>1324</v>
      </c>
      <c r="B936" s="2878">
        <v>1.05</v>
      </c>
    </row>
    <row r="937" spans="1:2">
      <c r="A937" s="92" t="s">
        <v>1434</v>
      </c>
      <c r="B937" s="2878">
        <v>1.05</v>
      </c>
    </row>
    <row r="938" spans="1:2">
      <c r="A938" s="92" t="s">
        <v>1807</v>
      </c>
      <c r="B938" s="2878">
        <v>1.06</v>
      </c>
    </row>
    <row r="939" spans="1:2">
      <c r="A939" s="92" t="s">
        <v>1808</v>
      </c>
      <c r="B939" s="2878">
        <v>1.04</v>
      </c>
    </row>
    <row r="940" spans="1:2">
      <c r="A940" s="92" t="s">
        <v>1254</v>
      </c>
      <c r="B940" s="2878">
        <v>1.04</v>
      </c>
    </row>
    <row r="941" spans="1:2">
      <c r="A941" s="92" t="s">
        <v>70</v>
      </c>
      <c r="B941" s="2878">
        <v>1.04</v>
      </c>
    </row>
    <row r="942" spans="1:2">
      <c r="A942" s="92" t="s">
        <v>1809</v>
      </c>
      <c r="B942" s="2878">
        <v>1.06</v>
      </c>
    </row>
    <row r="943" spans="1:2">
      <c r="A943" s="92" t="s">
        <v>1810</v>
      </c>
      <c r="B943" s="2878">
        <v>1.06</v>
      </c>
    </row>
    <row r="944" spans="1:2">
      <c r="A944" s="92" t="s">
        <v>1414</v>
      </c>
      <c r="B944" s="2878">
        <v>1.05</v>
      </c>
    </row>
    <row r="945" spans="1:2">
      <c r="A945" s="92" t="s">
        <v>1077</v>
      </c>
      <c r="B945" s="2878">
        <v>1.06</v>
      </c>
    </row>
    <row r="946" spans="1:2">
      <c r="A946" s="92" t="s">
        <v>1861</v>
      </c>
      <c r="B946" s="2878">
        <v>1.06</v>
      </c>
    </row>
    <row r="947" spans="1:2">
      <c r="A947" s="92" t="s">
        <v>1078</v>
      </c>
      <c r="B947" s="2878">
        <v>1.06</v>
      </c>
    </row>
    <row r="948" spans="1:2">
      <c r="A948" s="92" t="s">
        <v>1079</v>
      </c>
      <c r="B948" s="2878">
        <v>1.06</v>
      </c>
    </row>
    <row r="949" spans="1:2">
      <c r="A949" s="92" t="s">
        <v>1080</v>
      </c>
      <c r="B949" s="2878">
        <v>1.0900000000000001</v>
      </c>
    </row>
    <row r="950" spans="1:2">
      <c r="A950" s="92" t="s">
        <v>1081</v>
      </c>
      <c r="B950" s="2878">
        <v>1.0900000000000001</v>
      </c>
    </row>
    <row r="951" spans="1:2">
      <c r="A951" s="92" t="s">
        <v>56</v>
      </c>
      <c r="B951" s="2878">
        <v>1.08</v>
      </c>
    </row>
    <row r="952" spans="1:2">
      <c r="A952" s="92" t="s">
        <v>1544</v>
      </c>
      <c r="B952" s="2878">
        <v>1.08</v>
      </c>
    </row>
    <row r="953" spans="1:2">
      <c r="A953" s="92" t="s">
        <v>1521</v>
      </c>
      <c r="B953" s="2878">
        <v>1.1200000000000001</v>
      </c>
    </row>
    <row r="954" spans="1:2">
      <c r="A954" s="92" t="s">
        <v>1319</v>
      </c>
      <c r="B954" s="2878">
        <v>1.07</v>
      </c>
    </row>
    <row r="955" spans="1:2">
      <c r="A955" s="92" t="s">
        <v>488</v>
      </c>
      <c r="B955" s="2878">
        <v>1.1299999999999999</v>
      </c>
    </row>
    <row r="956" spans="1:2">
      <c r="A956" s="92" t="s">
        <v>831</v>
      </c>
      <c r="B956" s="2878">
        <v>1.08</v>
      </c>
    </row>
    <row r="957" spans="1:2">
      <c r="A957" s="92" t="s">
        <v>833</v>
      </c>
      <c r="B957" s="2878">
        <v>1.04</v>
      </c>
    </row>
    <row r="958" spans="1:2">
      <c r="A958" s="92" t="s">
        <v>834</v>
      </c>
      <c r="B958" s="2878">
        <v>1.03</v>
      </c>
    </row>
    <row r="959" spans="1:2">
      <c r="A959" s="92" t="s">
        <v>1533</v>
      </c>
      <c r="B959" s="2878">
        <v>1.03</v>
      </c>
    </row>
    <row r="960" spans="1:2">
      <c r="A960" s="92" t="s">
        <v>1836</v>
      </c>
      <c r="B960" s="2878">
        <v>1.03</v>
      </c>
    </row>
    <row r="961" spans="1:2">
      <c r="A961" s="92" t="s">
        <v>835</v>
      </c>
      <c r="B961" s="2878">
        <v>1.04</v>
      </c>
    </row>
    <row r="962" spans="1:2">
      <c r="A962" s="92" t="s">
        <v>836</v>
      </c>
      <c r="B962" s="2878">
        <v>1.04</v>
      </c>
    </row>
    <row r="963" spans="1:2">
      <c r="A963" s="92" t="s">
        <v>1426</v>
      </c>
      <c r="B963" s="2878">
        <v>1.03</v>
      </c>
    </row>
    <row r="964" spans="1:2">
      <c r="A964" s="92" t="s">
        <v>877</v>
      </c>
      <c r="B964" s="2878">
        <v>1.07</v>
      </c>
    </row>
    <row r="965" spans="1:2">
      <c r="A965" s="92" t="s">
        <v>340</v>
      </c>
      <c r="B965" s="2878">
        <v>1.1000000000000001</v>
      </c>
    </row>
    <row r="966" spans="1:2">
      <c r="A966" s="92" t="s">
        <v>2597</v>
      </c>
      <c r="B966" s="2878">
        <v>1.07</v>
      </c>
    </row>
    <row r="967" spans="1:2">
      <c r="A967" s="92" t="s">
        <v>1022</v>
      </c>
      <c r="B967" s="2878">
        <v>1.06</v>
      </c>
    </row>
    <row r="968" spans="1:2">
      <c r="A968" s="92" t="s">
        <v>1156</v>
      </c>
      <c r="B968" s="2878">
        <v>1.1000000000000001</v>
      </c>
    </row>
    <row r="969" spans="1:2">
      <c r="A969" s="92" t="s">
        <v>276</v>
      </c>
      <c r="B969" s="2878">
        <v>1.1200000000000001</v>
      </c>
    </row>
    <row r="970" spans="1:2">
      <c r="A970" s="92" t="s">
        <v>277</v>
      </c>
      <c r="B970" s="2878">
        <v>1.1399999999999999</v>
      </c>
    </row>
    <row r="971" spans="1:2">
      <c r="A971" s="92" t="s">
        <v>624</v>
      </c>
      <c r="B971" s="2878">
        <v>1.1299999999999999</v>
      </c>
    </row>
    <row r="972" spans="1:2">
      <c r="A972" s="92" t="s">
        <v>625</v>
      </c>
      <c r="B972" s="2878">
        <v>1.1200000000000001</v>
      </c>
    </row>
    <row r="973" spans="1:2">
      <c r="A973" s="92" t="s">
        <v>626</v>
      </c>
      <c r="B973" s="2878">
        <v>1.1000000000000001</v>
      </c>
    </row>
    <row r="974" spans="1:2">
      <c r="A974" s="92" t="s">
        <v>2339</v>
      </c>
      <c r="B974" s="2878">
        <v>1.1200000000000001</v>
      </c>
    </row>
    <row r="975" spans="1:2">
      <c r="A975" s="92" t="s">
        <v>2340</v>
      </c>
      <c r="B975" s="2878">
        <v>1.08</v>
      </c>
    </row>
    <row r="976" spans="1:2">
      <c r="A976" s="92" t="s">
        <v>1768</v>
      </c>
      <c r="B976" s="2878">
        <v>1.1599999999999999</v>
      </c>
    </row>
    <row r="977" spans="1:2">
      <c r="A977" s="92" t="s">
        <v>1071</v>
      </c>
      <c r="B977" s="2878">
        <v>1.0900000000000001</v>
      </c>
    </row>
    <row r="978" spans="1:2">
      <c r="A978" s="92" t="s">
        <v>1520</v>
      </c>
      <c r="B978" s="2878">
        <v>1.1399999999999999</v>
      </c>
    </row>
    <row r="979" spans="1:2">
      <c r="A979" s="92" t="s">
        <v>927</v>
      </c>
      <c r="B979" s="2878">
        <v>1.07</v>
      </c>
    </row>
    <row r="980" spans="1:2">
      <c r="A980" s="92" t="s">
        <v>928</v>
      </c>
      <c r="B980" s="2878">
        <v>1.0900000000000001</v>
      </c>
    </row>
    <row r="981" spans="1:2">
      <c r="A981" s="92" t="s">
        <v>929</v>
      </c>
      <c r="B981" s="2878">
        <v>1.0900000000000001</v>
      </c>
    </row>
    <row r="982" spans="1:2">
      <c r="A982" s="92" t="s">
        <v>571</v>
      </c>
      <c r="B982" s="2878">
        <v>1.1100000000000001</v>
      </c>
    </row>
    <row r="983" spans="1:2">
      <c r="A983" s="92" t="s">
        <v>902</v>
      </c>
      <c r="B983" s="2878">
        <v>1.1100000000000001</v>
      </c>
    </row>
    <row r="984" spans="1:2">
      <c r="A984" s="92" t="s">
        <v>903</v>
      </c>
      <c r="B984" s="2878">
        <v>1.0900000000000001</v>
      </c>
    </row>
    <row r="985" spans="1:2">
      <c r="A985" s="92" t="s">
        <v>904</v>
      </c>
      <c r="B985" s="2878">
        <v>1.07</v>
      </c>
    </row>
    <row r="986" spans="1:2">
      <c r="A986" s="92" t="s">
        <v>905</v>
      </c>
      <c r="B986" s="2878">
        <v>1.06</v>
      </c>
    </row>
    <row r="987" spans="1:2">
      <c r="A987" s="92" t="s">
        <v>104</v>
      </c>
      <c r="B987" s="2878">
        <v>1.08</v>
      </c>
    </row>
    <row r="988" spans="1:2">
      <c r="A988" s="92" t="s">
        <v>1724</v>
      </c>
      <c r="B988" s="2878">
        <v>1.08</v>
      </c>
    </row>
    <row r="989" spans="1:2">
      <c r="A989" s="92" t="s">
        <v>2319</v>
      </c>
      <c r="B989" s="2878">
        <v>1.07</v>
      </c>
    </row>
    <row r="990" spans="1:2">
      <c r="A990" s="92" t="s">
        <v>884</v>
      </c>
      <c r="B990" s="2878">
        <v>1.07</v>
      </c>
    </row>
    <row r="991" spans="1:2">
      <c r="A991" s="92" t="s">
        <v>1255</v>
      </c>
      <c r="B991" s="2878">
        <v>1.05</v>
      </c>
    </row>
    <row r="992" spans="1:2">
      <c r="A992" s="92" t="s">
        <v>642</v>
      </c>
      <c r="B992" s="2878">
        <v>1.06</v>
      </c>
    </row>
    <row r="993" spans="1:2">
      <c r="A993" s="92" t="s">
        <v>1827</v>
      </c>
      <c r="B993" s="2878">
        <v>1.0900000000000001</v>
      </c>
    </row>
    <row r="994" spans="1:2">
      <c r="A994" s="92" t="s">
        <v>573</v>
      </c>
      <c r="B994" s="2878">
        <v>1.05</v>
      </c>
    </row>
    <row r="995" spans="1:2">
      <c r="A995" s="92" t="s">
        <v>1358</v>
      </c>
      <c r="B995" s="2878">
        <v>1.07</v>
      </c>
    </row>
    <row r="996" spans="1:2">
      <c r="A996" s="92" t="s">
        <v>9</v>
      </c>
      <c r="B996" s="2878">
        <v>1.0900000000000001</v>
      </c>
    </row>
    <row r="997" spans="1:2">
      <c r="A997" s="92" t="s">
        <v>10</v>
      </c>
      <c r="B997" s="2878">
        <v>1.07</v>
      </c>
    </row>
    <row r="998" spans="1:2">
      <c r="A998" s="92" t="s">
        <v>1503</v>
      </c>
      <c r="B998" s="2878">
        <v>1.1599999999999999</v>
      </c>
    </row>
    <row r="999" spans="1:2">
      <c r="A999" s="92" t="s">
        <v>2089</v>
      </c>
      <c r="B999" s="2878">
        <v>1.1499999999999999</v>
      </c>
    </row>
    <row r="1000" spans="1:2">
      <c r="A1000" s="92" t="s">
        <v>425</v>
      </c>
      <c r="B1000" s="2878">
        <v>1.17</v>
      </c>
    </row>
    <row r="1001" spans="1:2">
      <c r="A1001" s="92" t="s">
        <v>278</v>
      </c>
      <c r="B1001" s="2878">
        <v>1.1399999999999999</v>
      </c>
    </row>
    <row r="1002" spans="1:2">
      <c r="A1002" s="92" t="s">
        <v>1338</v>
      </c>
      <c r="B1002" s="2878">
        <v>1.07</v>
      </c>
    </row>
    <row r="1003" spans="1:2">
      <c r="A1003" s="92" t="s">
        <v>2580</v>
      </c>
      <c r="B1003" s="2878">
        <v>1.0900000000000001</v>
      </c>
    </row>
    <row r="1004" spans="1:2">
      <c r="A1004" s="92" t="s">
        <v>1799</v>
      </c>
      <c r="B1004" s="2878">
        <v>1.06</v>
      </c>
    </row>
    <row r="1005" spans="1:2">
      <c r="A1005" s="92" t="s">
        <v>40</v>
      </c>
      <c r="B1005" s="2878">
        <v>1.06</v>
      </c>
    </row>
    <row r="1006" spans="1:2">
      <c r="A1006" s="92" t="s">
        <v>11</v>
      </c>
      <c r="B1006" s="2878">
        <v>1.06</v>
      </c>
    </row>
    <row r="1007" spans="1:2">
      <c r="A1007" s="92" t="s">
        <v>1771</v>
      </c>
      <c r="B1007" s="2878">
        <v>1.06</v>
      </c>
    </row>
    <row r="1008" spans="1:2">
      <c r="A1008" s="92" t="s">
        <v>1310</v>
      </c>
      <c r="B1008" s="2878">
        <v>1.1200000000000001</v>
      </c>
    </row>
    <row r="1009" spans="1:2">
      <c r="A1009" s="92" t="s">
        <v>1545</v>
      </c>
      <c r="B1009" s="2878">
        <v>1.08</v>
      </c>
    </row>
    <row r="1010" spans="1:2">
      <c r="A1010" s="92" t="s">
        <v>1515</v>
      </c>
      <c r="B1010" s="2878">
        <v>1.06</v>
      </c>
    </row>
    <row r="1011" spans="1:2">
      <c r="A1011" s="92" t="s">
        <v>1769</v>
      </c>
      <c r="B1011" s="2878">
        <v>1.1000000000000001</v>
      </c>
    </row>
    <row r="1012" spans="1:2">
      <c r="A1012" s="92" t="s">
        <v>12</v>
      </c>
      <c r="B1012" s="2878">
        <v>1.07</v>
      </c>
    </row>
    <row r="1013" spans="1:2">
      <c r="A1013" s="92" t="s">
        <v>2455</v>
      </c>
      <c r="B1013" s="2878">
        <v>1.08</v>
      </c>
    </row>
    <row r="1014" spans="1:2">
      <c r="A1014" s="92" t="s">
        <v>59</v>
      </c>
      <c r="B1014" s="2878">
        <v>1.07</v>
      </c>
    </row>
    <row r="1015" spans="1:2">
      <c r="A1015" s="92" t="s">
        <v>2456</v>
      </c>
      <c r="B1015" s="2878">
        <v>1.07</v>
      </c>
    </row>
    <row r="1016" spans="1:2">
      <c r="A1016" s="92" t="s">
        <v>1512</v>
      </c>
      <c r="B1016" s="2878">
        <v>1.07</v>
      </c>
    </row>
    <row r="1017" spans="1:2">
      <c r="A1017" s="92" t="s">
        <v>1174</v>
      </c>
      <c r="B1017" s="2878">
        <v>1.1299999999999999</v>
      </c>
    </row>
    <row r="1018" spans="1:2">
      <c r="A1018" s="92" t="s">
        <v>1175</v>
      </c>
      <c r="B1018" s="2878">
        <v>1.1000000000000001</v>
      </c>
    </row>
    <row r="1019" spans="1:2">
      <c r="A1019" s="92" t="s">
        <v>196</v>
      </c>
      <c r="B1019" s="2878">
        <v>1.1000000000000001</v>
      </c>
    </row>
    <row r="1020" spans="1:2">
      <c r="A1020" s="92" t="s">
        <v>800</v>
      </c>
      <c r="B1020" s="2878">
        <v>1.1100000000000001</v>
      </c>
    </row>
    <row r="1021" spans="1:2">
      <c r="A1021" s="92" t="s">
        <v>2176</v>
      </c>
      <c r="B1021" s="2878">
        <v>1.1000000000000001</v>
      </c>
    </row>
    <row r="1022" spans="1:2">
      <c r="A1022" s="92" t="s">
        <v>2424</v>
      </c>
      <c r="B1022" s="2878">
        <v>1.1000000000000001</v>
      </c>
    </row>
    <row r="1023" spans="1:2">
      <c r="A1023" s="92" t="s">
        <v>2425</v>
      </c>
      <c r="B1023" s="2878">
        <v>1.1000000000000001</v>
      </c>
    </row>
    <row r="1024" spans="1:2">
      <c r="A1024" s="92" t="s">
        <v>2022</v>
      </c>
      <c r="B1024" s="2878">
        <v>1.1000000000000001</v>
      </c>
    </row>
    <row r="1025" spans="1:2">
      <c r="A1025" s="92" t="s">
        <v>1150</v>
      </c>
      <c r="B1025" s="2878">
        <v>1.1000000000000001</v>
      </c>
    </row>
    <row r="1026" spans="1:2">
      <c r="A1026" s="92" t="s">
        <v>2229</v>
      </c>
      <c r="B1026" s="2878">
        <v>1.04</v>
      </c>
    </row>
    <row r="1027" spans="1:2">
      <c r="A1027" s="92" t="s">
        <v>2230</v>
      </c>
      <c r="B1027" s="2878">
        <v>1.04</v>
      </c>
    </row>
    <row r="1028" spans="1:2">
      <c r="A1028" s="92" t="s">
        <v>2575</v>
      </c>
      <c r="B1028" s="2878">
        <v>1.05</v>
      </c>
    </row>
    <row r="1029" spans="1:2">
      <c r="A1029" s="92" t="s">
        <v>2576</v>
      </c>
      <c r="B1029" s="2878">
        <v>1.04</v>
      </c>
    </row>
    <row r="1030" spans="1:2">
      <c r="A1030" s="92" t="s">
        <v>635</v>
      </c>
      <c r="B1030" s="2878">
        <v>1.05</v>
      </c>
    </row>
    <row r="1031" spans="1:2">
      <c r="A1031" s="92" t="s">
        <v>679</v>
      </c>
      <c r="B1031" s="2878">
        <v>1.04</v>
      </c>
    </row>
    <row r="1032" spans="1:2">
      <c r="A1032" s="92" t="s">
        <v>680</v>
      </c>
      <c r="B1032" s="2878">
        <v>1.1100000000000001</v>
      </c>
    </row>
    <row r="1033" spans="1:2">
      <c r="A1033" s="92" t="s">
        <v>1471</v>
      </c>
      <c r="B1033" s="2878">
        <v>1.1100000000000001</v>
      </c>
    </row>
    <row r="1034" spans="1:2">
      <c r="A1034" s="92" t="s">
        <v>907</v>
      </c>
      <c r="B1034" s="2878">
        <v>1.0900000000000001</v>
      </c>
    </row>
    <row r="1035" spans="1:2">
      <c r="A1035" s="92" t="s">
        <v>1472</v>
      </c>
      <c r="B1035" s="2878">
        <v>1.07</v>
      </c>
    </row>
    <row r="1036" spans="1:2">
      <c r="A1036" s="92" t="s">
        <v>1504</v>
      </c>
      <c r="B1036" s="2878">
        <v>1.06</v>
      </c>
    </row>
    <row r="1037" spans="1:2">
      <c r="A1037" s="92" t="s">
        <v>514</v>
      </c>
      <c r="B1037" s="2878">
        <v>1.1200000000000001</v>
      </c>
    </row>
    <row r="1038" spans="1:2">
      <c r="A1038" s="92" t="s">
        <v>2406</v>
      </c>
      <c r="B1038" s="2878">
        <v>1.1399999999999999</v>
      </c>
    </row>
    <row r="1039" spans="1:2">
      <c r="A1039" s="92" t="s">
        <v>1688</v>
      </c>
      <c r="B1039" s="2878">
        <v>1.0900000000000001</v>
      </c>
    </row>
  </sheetData>
  <phoneticPr fontId="0" type="noConversion"/>
  <pageMargins left="0.75" right="0.75" top="1" bottom="1" header="0.5" footer="0.5"/>
  <pageSetup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42578125" customWidth="1"/>
    <col min="2" max="2" width="23.42578125" customWidth="1"/>
    <col min="3" max="3" width="12.5703125" style="1417" customWidth="1"/>
    <col min="4" max="4" width="12.5703125" style="2020" customWidth="1"/>
    <col min="5" max="6" width="12.5703125" style="1417" customWidth="1"/>
    <col min="7" max="7" width="12.5703125" style="2881" customWidth="1"/>
    <col min="8" max="10" width="11.5703125" style="1417" customWidth="1"/>
    <col min="11" max="11" width="14.5703125" style="1417" customWidth="1"/>
  </cols>
  <sheetData>
    <row r="1" spans="1:11" s="52" customFormat="1">
      <c r="A1" s="52">
        <v>1</v>
      </c>
      <c r="B1" s="52">
        <f>A1+1</f>
        <v>2</v>
      </c>
      <c r="C1" s="1993">
        <f>B1+1</f>
        <v>3</v>
      </c>
      <c r="D1" s="1993">
        <f t="shared" ref="D1:K1" si="0">C1+1</f>
        <v>4</v>
      </c>
      <c r="E1" s="1993">
        <f t="shared" si="0"/>
        <v>5</v>
      </c>
      <c r="F1" s="1993">
        <f t="shared" si="0"/>
        <v>6</v>
      </c>
      <c r="G1" s="1993">
        <f t="shared" si="0"/>
        <v>7</v>
      </c>
      <c r="H1" s="1993">
        <f t="shared" si="0"/>
        <v>8</v>
      </c>
      <c r="I1" s="1993">
        <f t="shared" si="0"/>
        <v>9</v>
      </c>
      <c r="J1" s="1993">
        <f t="shared" si="0"/>
        <v>10</v>
      </c>
      <c r="K1" s="1993">
        <f t="shared" si="0"/>
        <v>11</v>
      </c>
    </row>
    <row r="2" spans="1:11">
      <c r="C2" s="1417" t="s">
        <v>1023</v>
      </c>
      <c r="D2" s="2825" t="s">
        <v>675</v>
      </c>
      <c r="E2" s="1993" t="s">
        <v>1850</v>
      </c>
      <c r="F2" s="1993" t="s">
        <v>2056</v>
      </c>
      <c r="G2" s="2880" t="s">
        <v>2057</v>
      </c>
      <c r="H2" s="1993" t="s">
        <v>2543</v>
      </c>
      <c r="I2" s="1993" t="s">
        <v>1274</v>
      </c>
      <c r="J2" s="1993" t="s">
        <v>1275</v>
      </c>
      <c r="K2" s="1993" t="s">
        <v>2574</v>
      </c>
    </row>
    <row r="3" spans="1:11">
      <c r="A3" t="s">
        <v>197</v>
      </c>
      <c r="B3" t="s">
        <v>279</v>
      </c>
      <c r="C3" s="1417">
        <v>1.04</v>
      </c>
      <c r="D3" s="2020">
        <v>3690749</v>
      </c>
      <c r="E3" s="2020">
        <v>0</v>
      </c>
      <c r="F3" s="2825">
        <v>12</v>
      </c>
      <c r="G3" s="1417">
        <v>0</v>
      </c>
      <c r="H3" s="1665">
        <v>523485</v>
      </c>
      <c r="I3" s="1665">
        <v>2031699</v>
      </c>
      <c r="J3" s="1417">
        <v>772</v>
      </c>
      <c r="K3" s="1665">
        <v>138548925</v>
      </c>
    </row>
    <row r="4" spans="1:11">
      <c r="A4" t="s">
        <v>1954</v>
      </c>
      <c r="B4" t="s">
        <v>280</v>
      </c>
      <c r="C4" s="1417">
        <v>1.17</v>
      </c>
      <c r="D4" s="2020">
        <v>2091250</v>
      </c>
      <c r="E4" s="2020">
        <v>0</v>
      </c>
      <c r="F4" s="2825">
        <v>12</v>
      </c>
      <c r="G4" s="1417">
        <v>0</v>
      </c>
    </row>
    <row r="5" spans="1:11">
      <c r="A5" t="s">
        <v>14</v>
      </c>
      <c r="B5" t="s">
        <v>281</v>
      </c>
      <c r="C5" s="1417">
        <v>1.04</v>
      </c>
      <c r="D5" s="2020">
        <v>2895868</v>
      </c>
      <c r="E5" s="2020">
        <v>148299</v>
      </c>
      <c r="F5" s="2825">
        <v>12</v>
      </c>
      <c r="G5" s="1417">
        <v>0</v>
      </c>
    </row>
    <row r="6" spans="1:11">
      <c r="A6" t="s">
        <v>15</v>
      </c>
      <c r="B6" t="s">
        <v>282</v>
      </c>
      <c r="C6" s="1417">
        <v>1.04</v>
      </c>
      <c r="D6" s="2020">
        <v>1044940</v>
      </c>
      <c r="E6" s="2020">
        <v>0</v>
      </c>
      <c r="F6" s="2825">
        <v>12</v>
      </c>
      <c r="G6" s="1417">
        <v>0</v>
      </c>
    </row>
    <row r="7" spans="1:11">
      <c r="A7" t="s">
        <v>16</v>
      </c>
      <c r="B7" t="s">
        <v>283</v>
      </c>
      <c r="C7" s="1417">
        <v>1.17</v>
      </c>
      <c r="D7" s="2020">
        <v>10955209</v>
      </c>
      <c r="E7" s="2020">
        <v>938484</v>
      </c>
      <c r="F7" s="2825">
        <v>12</v>
      </c>
      <c r="G7" s="1417">
        <v>0</v>
      </c>
    </row>
    <row r="8" spans="1:11">
      <c r="A8" t="s">
        <v>1098</v>
      </c>
      <c r="B8" t="s">
        <v>1188</v>
      </c>
      <c r="C8" s="1417">
        <v>1.0049999999999999</v>
      </c>
      <c r="D8" s="2020">
        <v>3716572</v>
      </c>
      <c r="E8" s="2020">
        <v>0</v>
      </c>
      <c r="F8" s="2825">
        <v>12</v>
      </c>
      <c r="G8" s="1417">
        <v>0</v>
      </c>
    </row>
    <row r="9" spans="1:11">
      <c r="A9" t="s">
        <v>1099</v>
      </c>
      <c r="B9" t="s">
        <v>1189</v>
      </c>
      <c r="C9" s="1417">
        <v>0.93799999999999994</v>
      </c>
      <c r="D9" s="2020">
        <v>817526</v>
      </c>
      <c r="E9" s="2020">
        <v>0</v>
      </c>
      <c r="F9" s="2825">
        <v>12</v>
      </c>
      <c r="G9" s="1417">
        <v>0</v>
      </c>
    </row>
    <row r="10" spans="1:11">
      <c r="A10" t="s">
        <v>1841</v>
      </c>
      <c r="B10" t="s">
        <v>1190</v>
      </c>
      <c r="C10" s="1417">
        <v>1.04</v>
      </c>
      <c r="D10" s="2020">
        <v>36691286</v>
      </c>
      <c r="E10" s="2020">
        <v>4376334</v>
      </c>
      <c r="F10" s="2825">
        <v>12</v>
      </c>
      <c r="G10" s="1417">
        <v>0</v>
      </c>
      <c r="H10" s="1665">
        <v>7635731</v>
      </c>
      <c r="I10" s="1665">
        <v>9529806</v>
      </c>
      <c r="J10" s="1665">
        <v>4039</v>
      </c>
      <c r="K10" s="1665">
        <v>2443154790</v>
      </c>
    </row>
    <row r="11" spans="1:11">
      <c r="A11" t="s">
        <v>676</v>
      </c>
      <c r="B11" t="s">
        <v>2382</v>
      </c>
      <c r="C11" s="1417">
        <v>1.0357000000000001</v>
      </c>
      <c r="D11" s="2020">
        <v>2792120</v>
      </c>
      <c r="E11" s="2020">
        <v>235654</v>
      </c>
      <c r="F11" s="2825">
        <v>12</v>
      </c>
      <c r="G11" s="1417">
        <v>0</v>
      </c>
    </row>
    <row r="12" spans="1:11">
      <c r="A12" t="s">
        <v>1452</v>
      </c>
      <c r="B12" t="s">
        <v>1191</v>
      </c>
      <c r="C12" s="1417">
        <v>1.04</v>
      </c>
      <c r="D12" s="2020">
        <v>20963063</v>
      </c>
      <c r="E12" s="2020">
        <v>1421949</v>
      </c>
      <c r="F12" s="2825">
        <v>12</v>
      </c>
      <c r="G12" s="1417">
        <v>0</v>
      </c>
    </row>
    <row r="13" spans="1:11">
      <c r="A13" t="s">
        <v>1118</v>
      </c>
      <c r="B13" t="s">
        <v>1266</v>
      </c>
      <c r="C13" s="1417">
        <v>1.04</v>
      </c>
      <c r="D13" s="2020">
        <v>1734636</v>
      </c>
      <c r="E13" s="2020">
        <v>194157</v>
      </c>
      <c r="F13" s="2825">
        <v>12</v>
      </c>
      <c r="G13" s="1417">
        <v>0</v>
      </c>
    </row>
    <row r="14" spans="1:11">
      <c r="A14" t="s">
        <v>337</v>
      </c>
      <c r="B14" t="s">
        <v>1192</v>
      </c>
      <c r="C14" s="1417">
        <v>1.04</v>
      </c>
      <c r="D14" s="2020">
        <v>3035515</v>
      </c>
      <c r="E14" s="2020">
        <v>1821</v>
      </c>
      <c r="F14" s="2825">
        <v>12</v>
      </c>
      <c r="G14" s="1417">
        <v>0</v>
      </c>
    </row>
    <row r="15" spans="1:11">
      <c r="A15" t="s">
        <v>338</v>
      </c>
      <c r="B15" t="s">
        <v>1193</v>
      </c>
      <c r="C15" s="1417">
        <v>1.034</v>
      </c>
      <c r="D15" s="2020">
        <v>727380</v>
      </c>
      <c r="E15" s="2020">
        <v>44151</v>
      </c>
      <c r="F15" s="2825">
        <v>12</v>
      </c>
      <c r="G15" s="1417">
        <v>0</v>
      </c>
    </row>
    <row r="16" spans="1:11">
      <c r="A16" t="s">
        <v>339</v>
      </c>
      <c r="B16" t="s">
        <v>1194</v>
      </c>
      <c r="C16" s="1417">
        <v>1.04</v>
      </c>
      <c r="D16" s="2020">
        <v>1920301</v>
      </c>
      <c r="E16" s="2020">
        <v>0</v>
      </c>
      <c r="F16" s="2825">
        <v>12</v>
      </c>
      <c r="G16" s="1417">
        <v>0</v>
      </c>
    </row>
    <row r="17" spans="1:11">
      <c r="A17" t="s">
        <v>2479</v>
      </c>
      <c r="B17" t="s">
        <v>1195</v>
      </c>
      <c r="C17" s="1417">
        <v>1.04</v>
      </c>
      <c r="D17" s="2020">
        <v>24752788</v>
      </c>
      <c r="E17" s="2020">
        <v>1206244</v>
      </c>
      <c r="F17" s="2825">
        <v>12</v>
      </c>
      <c r="G17" s="1417">
        <v>0</v>
      </c>
      <c r="H17" s="1665">
        <v>3746173</v>
      </c>
      <c r="I17" s="1665">
        <v>8198175</v>
      </c>
      <c r="J17" s="1665">
        <v>3498</v>
      </c>
      <c r="K17" s="1665">
        <v>685116099</v>
      </c>
    </row>
    <row r="18" spans="1:11">
      <c r="A18" t="s">
        <v>2480</v>
      </c>
      <c r="B18" t="s">
        <v>1196</v>
      </c>
      <c r="C18" s="1417">
        <v>0.94</v>
      </c>
      <c r="D18" s="2020">
        <v>1669691</v>
      </c>
      <c r="E18" s="2020">
        <v>121664</v>
      </c>
      <c r="F18" s="2825">
        <v>12</v>
      </c>
      <c r="G18" s="1417">
        <v>0</v>
      </c>
    </row>
    <row r="19" spans="1:11">
      <c r="A19" t="s">
        <v>2481</v>
      </c>
      <c r="B19" t="s">
        <v>1197</v>
      </c>
      <c r="C19" s="1417">
        <v>1.04</v>
      </c>
      <c r="D19" s="2020">
        <v>2250490</v>
      </c>
      <c r="E19" s="2020">
        <v>421871</v>
      </c>
      <c r="F19" s="2825">
        <v>12</v>
      </c>
      <c r="G19" s="1417">
        <v>0</v>
      </c>
    </row>
    <row r="20" spans="1:11">
      <c r="A20" t="s">
        <v>1945</v>
      </c>
      <c r="B20" t="s">
        <v>1128</v>
      </c>
      <c r="C20" s="1417">
        <v>1.04</v>
      </c>
      <c r="D20" s="2020">
        <v>588924</v>
      </c>
      <c r="E20" s="2020">
        <v>53926</v>
      </c>
      <c r="F20" s="2825">
        <v>12</v>
      </c>
      <c r="G20" s="1417">
        <v>0</v>
      </c>
    </row>
    <row r="21" spans="1:11">
      <c r="A21" t="s">
        <v>2483</v>
      </c>
      <c r="B21" t="s">
        <v>1198</v>
      </c>
      <c r="C21" s="1417">
        <v>1.01</v>
      </c>
      <c r="D21" s="2020">
        <v>901570</v>
      </c>
      <c r="E21" s="2020">
        <v>143053</v>
      </c>
      <c r="F21" s="2825">
        <v>12</v>
      </c>
      <c r="G21" s="1417">
        <v>0</v>
      </c>
    </row>
    <row r="22" spans="1:11">
      <c r="A22" t="s">
        <v>708</v>
      </c>
      <c r="B22" t="s">
        <v>661</v>
      </c>
      <c r="C22" s="1417">
        <v>1.04</v>
      </c>
      <c r="D22" s="2020">
        <v>911158</v>
      </c>
      <c r="E22" s="2020">
        <v>83883</v>
      </c>
      <c r="F22" s="2825">
        <v>12</v>
      </c>
      <c r="G22" s="1417">
        <v>0</v>
      </c>
    </row>
    <row r="23" spans="1:11">
      <c r="A23" t="s">
        <v>2484</v>
      </c>
      <c r="B23" t="s">
        <v>1199</v>
      </c>
      <c r="C23" s="1417">
        <v>1.17</v>
      </c>
      <c r="D23" s="2020">
        <v>4809012</v>
      </c>
      <c r="E23" s="2020">
        <v>0</v>
      </c>
      <c r="F23" s="2825">
        <v>12</v>
      </c>
      <c r="G23" s="1417">
        <v>0</v>
      </c>
    </row>
    <row r="24" spans="1:11">
      <c r="A24" t="s">
        <v>2090</v>
      </c>
      <c r="B24" t="s">
        <v>1200</v>
      </c>
      <c r="C24" s="1417">
        <v>1.04</v>
      </c>
      <c r="D24" s="2020">
        <v>1940817</v>
      </c>
      <c r="E24" s="2020">
        <v>353305</v>
      </c>
      <c r="F24" s="2825">
        <v>12</v>
      </c>
      <c r="G24" s="1417">
        <v>0</v>
      </c>
    </row>
    <row r="25" spans="1:11">
      <c r="A25" t="s">
        <v>213</v>
      </c>
      <c r="B25" t="s">
        <v>1001</v>
      </c>
      <c r="C25" s="1417">
        <v>1.04</v>
      </c>
      <c r="D25" s="2020">
        <v>6183859</v>
      </c>
      <c r="E25" s="2020">
        <v>277793</v>
      </c>
      <c r="F25" s="2825">
        <v>12</v>
      </c>
      <c r="G25" s="1417">
        <v>0</v>
      </c>
    </row>
    <row r="26" spans="1:11">
      <c r="A26" t="s">
        <v>2133</v>
      </c>
      <c r="B26" t="s">
        <v>1004</v>
      </c>
      <c r="C26" s="1417">
        <v>1.04</v>
      </c>
      <c r="D26" s="2020">
        <v>1700713</v>
      </c>
      <c r="E26" s="2020">
        <v>147010</v>
      </c>
      <c r="F26" s="2825">
        <v>12</v>
      </c>
      <c r="G26" s="1417">
        <v>0</v>
      </c>
    </row>
    <row r="27" spans="1:11">
      <c r="A27" t="s">
        <v>2485</v>
      </c>
      <c r="B27" t="s">
        <v>1201</v>
      </c>
      <c r="C27" s="1417">
        <v>1.04</v>
      </c>
      <c r="D27" s="2020">
        <v>8274111</v>
      </c>
      <c r="E27" s="2020">
        <v>1471777</v>
      </c>
      <c r="F27" s="2825">
        <v>12</v>
      </c>
      <c r="G27" s="1417">
        <v>0</v>
      </c>
    </row>
    <row r="28" spans="1:11">
      <c r="A28" t="s">
        <v>685</v>
      </c>
      <c r="B28" t="s">
        <v>1202</v>
      </c>
      <c r="C28" s="1417">
        <v>0.96</v>
      </c>
      <c r="D28" s="2020">
        <v>9451571</v>
      </c>
      <c r="E28" s="2020">
        <v>1833561</v>
      </c>
      <c r="F28" s="2825">
        <v>12</v>
      </c>
      <c r="G28" s="1417">
        <v>0</v>
      </c>
    </row>
    <row r="29" spans="1:11">
      <c r="A29" t="s">
        <v>686</v>
      </c>
      <c r="B29" t="s">
        <v>1203</v>
      </c>
      <c r="C29" s="1417">
        <v>1.04</v>
      </c>
      <c r="D29" s="2020">
        <v>4186644</v>
      </c>
      <c r="E29" s="2020">
        <v>561053</v>
      </c>
      <c r="F29" s="2825">
        <v>12</v>
      </c>
      <c r="G29" s="1417">
        <v>0</v>
      </c>
    </row>
    <row r="30" spans="1:11">
      <c r="A30" t="s">
        <v>687</v>
      </c>
      <c r="B30" t="s">
        <v>1204</v>
      </c>
      <c r="C30" s="1417">
        <v>1.04</v>
      </c>
      <c r="D30" s="2020">
        <v>2453765</v>
      </c>
      <c r="E30" s="2020">
        <v>615668</v>
      </c>
      <c r="F30" s="2825">
        <v>12</v>
      </c>
      <c r="G30" s="1417">
        <v>0</v>
      </c>
    </row>
    <row r="31" spans="1:11">
      <c r="A31" t="s">
        <v>188</v>
      </c>
      <c r="B31" t="s">
        <v>1205</v>
      </c>
      <c r="C31" s="1417">
        <v>0.96</v>
      </c>
      <c r="D31" s="2020">
        <v>1598169</v>
      </c>
      <c r="E31" s="2020">
        <v>0</v>
      </c>
      <c r="F31" s="2825">
        <v>12</v>
      </c>
      <c r="G31" s="1417">
        <v>0</v>
      </c>
    </row>
    <row r="32" spans="1:11">
      <c r="A32" t="s">
        <v>1946</v>
      </c>
      <c r="B32" t="s">
        <v>2121</v>
      </c>
      <c r="C32" s="1417">
        <v>1.04</v>
      </c>
      <c r="D32" s="2020">
        <v>10049168</v>
      </c>
      <c r="E32" s="2020">
        <v>1623924</v>
      </c>
      <c r="F32" s="2825">
        <v>12</v>
      </c>
      <c r="G32" s="1417">
        <v>0</v>
      </c>
    </row>
    <row r="33" spans="1:11">
      <c r="A33" t="s">
        <v>1683</v>
      </c>
      <c r="B33" t="s">
        <v>2123</v>
      </c>
      <c r="C33" s="1417">
        <v>1.04</v>
      </c>
      <c r="D33" s="2020">
        <v>24858033</v>
      </c>
      <c r="E33" s="2020">
        <v>5274019</v>
      </c>
      <c r="F33" s="2825">
        <v>12</v>
      </c>
      <c r="G33" s="1417">
        <v>0</v>
      </c>
    </row>
    <row r="34" spans="1:11">
      <c r="A34" t="s">
        <v>773</v>
      </c>
      <c r="B34" t="s">
        <v>890</v>
      </c>
      <c r="C34" s="1417">
        <v>1.04</v>
      </c>
      <c r="D34" s="2020">
        <v>8048152</v>
      </c>
      <c r="E34" s="2020">
        <v>1983854</v>
      </c>
      <c r="F34" s="2825">
        <v>12</v>
      </c>
      <c r="G34" s="1417">
        <v>0</v>
      </c>
    </row>
    <row r="35" spans="1:11">
      <c r="A35" t="s">
        <v>2366</v>
      </c>
      <c r="B35" t="s">
        <v>1928</v>
      </c>
      <c r="C35" s="1417">
        <v>1.04</v>
      </c>
      <c r="D35" s="2020">
        <v>4743444</v>
      </c>
      <c r="E35" s="2020">
        <v>1142711</v>
      </c>
      <c r="F35" s="2825">
        <v>12</v>
      </c>
      <c r="G35" s="1417">
        <v>0</v>
      </c>
    </row>
    <row r="36" spans="1:11">
      <c r="A36" t="s">
        <v>2134</v>
      </c>
      <c r="B36" t="s">
        <v>818</v>
      </c>
      <c r="C36" s="1417">
        <v>1.04</v>
      </c>
      <c r="D36" s="2020">
        <v>592234</v>
      </c>
      <c r="E36" s="2020">
        <v>41690</v>
      </c>
      <c r="F36" s="2825">
        <v>6</v>
      </c>
      <c r="G36" s="1417">
        <v>0</v>
      </c>
    </row>
    <row r="37" spans="1:11">
      <c r="A37" t="s">
        <v>452</v>
      </c>
      <c r="B37" t="s">
        <v>1206</v>
      </c>
      <c r="C37" s="1417">
        <v>1.04</v>
      </c>
      <c r="D37" s="2020">
        <v>1425826</v>
      </c>
      <c r="E37" s="2020">
        <v>239808</v>
      </c>
      <c r="F37" s="2825">
        <v>12</v>
      </c>
      <c r="G37" s="1417">
        <v>0</v>
      </c>
    </row>
    <row r="38" spans="1:11">
      <c r="A38" t="s">
        <v>2367</v>
      </c>
      <c r="B38" t="s">
        <v>2124</v>
      </c>
      <c r="C38" s="1417">
        <v>1.04</v>
      </c>
      <c r="D38" s="2020">
        <v>5349182</v>
      </c>
      <c r="E38" s="2020">
        <v>620126</v>
      </c>
      <c r="F38" s="2825">
        <v>12</v>
      </c>
      <c r="G38" s="1417">
        <v>0</v>
      </c>
    </row>
    <row r="39" spans="1:11">
      <c r="A39" t="s">
        <v>2651</v>
      </c>
      <c r="B39" t="s">
        <v>1207</v>
      </c>
      <c r="C39" s="1417">
        <v>0.91100000000000003</v>
      </c>
      <c r="D39" s="2020">
        <v>1600323</v>
      </c>
      <c r="E39" s="2020">
        <v>0</v>
      </c>
      <c r="F39" s="2825">
        <v>8</v>
      </c>
      <c r="G39" s="1417">
        <v>0</v>
      </c>
      <c r="H39" s="1665">
        <v>210040</v>
      </c>
      <c r="I39" s="1665">
        <v>561877</v>
      </c>
      <c r="J39" s="1417">
        <v>226</v>
      </c>
      <c r="K39" s="1665">
        <v>51967132</v>
      </c>
    </row>
    <row r="40" spans="1:11">
      <c r="A40" t="s">
        <v>2652</v>
      </c>
      <c r="B40" t="s">
        <v>1208</v>
      </c>
      <c r="C40" s="1417">
        <v>1.04</v>
      </c>
      <c r="D40" s="2020">
        <v>1500058</v>
      </c>
      <c r="E40" s="2020">
        <v>0</v>
      </c>
      <c r="F40" s="2825">
        <v>12</v>
      </c>
      <c r="G40" s="1417">
        <v>0</v>
      </c>
    </row>
    <row r="41" spans="1:11">
      <c r="A41" t="s">
        <v>1149</v>
      </c>
      <c r="B41" t="s">
        <v>1828</v>
      </c>
      <c r="C41" s="1417">
        <v>1.04</v>
      </c>
      <c r="D41" s="2020">
        <v>1150718</v>
      </c>
      <c r="E41" s="2020">
        <v>71619</v>
      </c>
      <c r="F41" s="2825">
        <v>12</v>
      </c>
      <c r="G41" s="1417">
        <v>0</v>
      </c>
    </row>
    <row r="42" spans="1:11">
      <c r="A42" t="s">
        <v>2135</v>
      </c>
      <c r="B42" t="s">
        <v>1209</v>
      </c>
      <c r="C42" s="1417">
        <v>1.0394000000000001</v>
      </c>
      <c r="D42" s="2020">
        <v>1824179</v>
      </c>
      <c r="E42" s="2020">
        <v>190774</v>
      </c>
      <c r="F42" s="2825">
        <v>12</v>
      </c>
      <c r="G42" s="1417">
        <v>0</v>
      </c>
    </row>
    <row r="43" spans="1:11">
      <c r="A43" t="s">
        <v>1682</v>
      </c>
      <c r="B43" t="s">
        <v>2122</v>
      </c>
      <c r="C43" s="1417">
        <v>1.04</v>
      </c>
      <c r="D43" s="2020">
        <v>736853</v>
      </c>
      <c r="E43" s="2020">
        <v>63240</v>
      </c>
      <c r="F43" s="2825">
        <v>12</v>
      </c>
      <c r="G43" s="1417">
        <v>0</v>
      </c>
    </row>
    <row r="44" spans="1:11">
      <c r="A44" t="s">
        <v>1685</v>
      </c>
      <c r="B44" t="s">
        <v>2680</v>
      </c>
      <c r="C44" s="1417">
        <v>1.04</v>
      </c>
      <c r="D44" s="2020">
        <v>17357409</v>
      </c>
      <c r="E44" s="2020">
        <v>4186991</v>
      </c>
      <c r="F44" s="2825">
        <v>12</v>
      </c>
      <c r="G44" s="1417">
        <v>0</v>
      </c>
    </row>
    <row r="45" spans="1:11">
      <c r="A45" t="s">
        <v>170</v>
      </c>
      <c r="B45" t="s">
        <v>2377</v>
      </c>
      <c r="C45" s="1417">
        <v>1.04</v>
      </c>
      <c r="D45" s="2020">
        <v>800256</v>
      </c>
      <c r="E45" s="2020">
        <v>110814</v>
      </c>
      <c r="F45" s="2825">
        <v>12</v>
      </c>
      <c r="G45" s="1417">
        <v>0</v>
      </c>
    </row>
    <row r="46" spans="1:11">
      <c r="A46" t="s">
        <v>53</v>
      </c>
      <c r="B46" t="s">
        <v>2518</v>
      </c>
      <c r="C46" s="1417">
        <v>1.0310999999999999</v>
      </c>
      <c r="D46" s="2020">
        <v>54638921</v>
      </c>
      <c r="E46" s="2020">
        <v>5663302</v>
      </c>
      <c r="F46" s="2825">
        <v>12</v>
      </c>
      <c r="G46" s="1417">
        <v>0</v>
      </c>
    </row>
    <row r="47" spans="1:11">
      <c r="A47" t="s">
        <v>166</v>
      </c>
      <c r="B47" t="s">
        <v>1402</v>
      </c>
      <c r="C47" s="1417">
        <v>1.038</v>
      </c>
      <c r="D47" s="2020">
        <v>1391754</v>
      </c>
      <c r="E47" s="2020">
        <v>94067</v>
      </c>
      <c r="F47" s="2825">
        <v>12</v>
      </c>
      <c r="G47" s="1417">
        <v>0</v>
      </c>
    </row>
    <row r="48" spans="1:11">
      <c r="A48" t="s">
        <v>1312</v>
      </c>
      <c r="B48" t="s">
        <v>2025</v>
      </c>
      <c r="C48" s="1417">
        <v>1.04</v>
      </c>
      <c r="D48" s="2020">
        <v>5542174</v>
      </c>
      <c r="E48" s="2020">
        <v>1386089</v>
      </c>
      <c r="F48" s="2825">
        <v>12</v>
      </c>
      <c r="G48" s="1417">
        <v>0</v>
      </c>
    </row>
    <row r="49" spans="1:11">
      <c r="A49" t="s">
        <v>1514</v>
      </c>
      <c r="B49" t="s">
        <v>603</v>
      </c>
      <c r="C49" s="1417">
        <v>1.04</v>
      </c>
      <c r="D49" s="2020">
        <v>26487665</v>
      </c>
      <c r="E49" s="2020">
        <v>2957744</v>
      </c>
      <c r="F49" s="2825">
        <v>12</v>
      </c>
      <c r="G49" s="1417">
        <v>0</v>
      </c>
    </row>
    <row r="50" spans="1:11">
      <c r="A50" t="s">
        <v>1519</v>
      </c>
      <c r="B50" t="s">
        <v>2312</v>
      </c>
      <c r="C50" s="1417">
        <v>1.0333000000000001</v>
      </c>
      <c r="D50" s="2020">
        <v>2260044</v>
      </c>
      <c r="E50" s="2020">
        <v>346364</v>
      </c>
      <c r="F50" s="2825">
        <v>12</v>
      </c>
      <c r="G50" s="1417">
        <v>0</v>
      </c>
    </row>
    <row r="51" spans="1:11">
      <c r="A51" t="s">
        <v>423</v>
      </c>
      <c r="B51" t="s">
        <v>2280</v>
      </c>
      <c r="C51" s="1417">
        <v>1.02</v>
      </c>
      <c r="D51" s="2020">
        <v>48700278</v>
      </c>
      <c r="E51" s="2020">
        <v>5796529</v>
      </c>
      <c r="F51" s="2825">
        <v>12</v>
      </c>
      <c r="G51" s="1417">
        <v>0</v>
      </c>
      <c r="H51" s="1665">
        <v>5987479</v>
      </c>
      <c r="I51" s="1665">
        <v>9825807</v>
      </c>
      <c r="J51" s="1665">
        <v>4117</v>
      </c>
      <c r="K51" s="1665">
        <v>1467461958</v>
      </c>
    </row>
    <row r="52" spans="1:11">
      <c r="A52" t="s">
        <v>1859</v>
      </c>
      <c r="B52" t="s">
        <v>724</v>
      </c>
      <c r="C52" s="1417">
        <v>1.04</v>
      </c>
      <c r="D52" s="2020">
        <v>12942460</v>
      </c>
      <c r="E52" s="2020">
        <v>3391443</v>
      </c>
      <c r="F52" s="2825">
        <v>12</v>
      </c>
      <c r="G52" s="1417">
        <v>0</v>
      </c>
    </row>
    <row r="53" spans="1:11">
      <c r="A53" t="s">
        <v>771</v>
      </c>
      <c r="B53" t="s">
        <v>888</v>
      </c>
      <c r="C53" s="1417">
        <v>1.17</v>
      </c>
      <c r="D53" s="2020">
        <v>10512806</v>
      </c>
      <c r="E53" s="2020">
        <v>1903941</v>
      </c>
      <c r="F53" s="2825">
        <v>12</v>
      </c>
      <c r="G53" s="1417">
        <v>0</v>
      </c>
    </row>
    <row r="54" spans="1:11">
      <c r="A54" t="s">
        <v>2350</v>
      </c>
      <c r="B54" t="s">
        <v>1024</v>
      </c>
      <c r="C54" s="1417">
        <v>0</v>
      </c>
      <c r="D54" s="2020">
        <v>0</v>
      </c>
      <c r="E54" s="2020">
        <v>0</v>
      </c>
      <c r="F54" s="2825">
        <v>12</v>
      </c>
      <c r="G54" s="1417">
        <v>0</v>
      </c>
    </row>
    <row r="55" spans="1:11">
      <c r="A55" t="s">
        <v>1314</v>
      </c>
      <c r="B55" t="s">
        <v>2028</v>
      </c>
      <c r="C55" s="1417">
        <v>1.04</v>
      </c>
      <c r="D55" s="2020">
        <v>115597106</v>
      </c>
      <c r="E55" s="2020">
        <v>19783641</v>
      </c>
      <c r="F55" s="2825">
        <v>12</v>
      </c>
      <c r="G55" s="1417">
        <v>0</v>
      </c>
    </row>
    <row r="56" spans="1:11">
      <c r="A56" t="s">
        <v>1506</v>
      </c>
      <c r="B56" t="s">
        <v>1932</v>
      </c>
      <c r="C56" s="1417">
        <v>1.04</v>
      </c>
      <c r="D56" s="2020">
        <v>11861473</v>
      </c>
      <c r="E56" s="2020">
        <v>3215089</v>
      </c>
      <c r="F56" s="2825">
        <v>12</v>
      </c>
      <c r="G56" s="1417">
        <v>0</v>
      </c>
    </row>
    <row r="57" spans="1:11">
      <c r="A57" t="s">
        <v>1152</v>
      </c>
      <c r="B57" t="s">
        <v>1931</v>
      </c>
      <c r="C57" s="1417">
        <v>1.04</v>
      </c>
      <c r="D57" s="2020">
        <v>3360911</v>
      </c>
      <c r="E57" s="2020">
        <v>136481</v>
      </c>
      <c r="F57" s="2825">
        <v>12</v>
      </c>
      <c r="G57" s="1417">
        <v>0</v>
      </c>
    </row>
    <row r="58" spans="1:11">
      <c r="A58" t="s">
        <v>1407</v>
      </c>
      <c r="B58" t="s">
        <v>2287</v>
      </c>
      <c r="C58" s="1417">
        <v>1.04</v>
      </c>
      <c r="D58" s="2020">
        <v>273641533</v>
      </c>
      <c r="E58" s="2020">
        <v>67556732</v>
      </c>
      <c r="F58" s="2825">
        <v>12</v>
      </c>
      <c r="G58" s="1417">
        <v>0</v>
      </c>
      <c r="H58" s="1665">
        <v>36017353</v>
      </c>
      <c r="I58" s="1665">
        <v>116008487</v>
      </c>
      <c r="J58" s="1665">
        <v>49293</v>
      </c>
      <c r="K58" s="1665">
        <v>8925745764</v>
      </c>
    </row>
    <row r="59" spans="1:11">
      <c r="A59" t="s">
        <v>768</v>
      </c>
      <c r="B59" t="s">
        <v>1064</v>
      </c>
      <c r="C59" s="1417">
        <v>1.04</v>
      </c>
      <c r="D59" s="2020">
        <v>18087581</v>
      </c>
      <c r="E59" s="2020">
        <v>2121361</v>
      </c>
      <c r="F59" s="2825">
        <v>12</v>
      </c>
      <c r="G59" s="1417">
        <v>0</v>
      </c>
    </row>
    <row r="60" spans="1:11">
      <c r="A60" t="s">
        <v>709</v>
      </c>
      <c r="B60" t="s">
        <v>1934</v>
      </c>
      <c r="C60" s="1417">
        <v>1.04</v>
      </c>
      <c r="D60" s="2020">
        <v>15141651</v>
      </c>
      <c r="E60" s="2020">
        <v>1380972</v>
      </c>
      <c r="F60" s="2825">
        <v>12</v>
      </c>
      <c r="G60" s="1417">
        <v>0</v>
      </c>
    </row>
    <row r="61" spans="1:11">
      <c r="A61" t="s">
        <v>2351</v>
      </c>
      <c r="B61" t="s">
        <v>1025</v>
      </c>
      <c r="C61" s="1417">
        <v>0</v>
      </c>
      <c r="D61" s="2020">
        <v>0</v>
      </c>
      <c r="E61" s="2020">
        <v>0</v>
      </c>
      <c r="F61" s="2825">
        <v>12</v>
      </c>
      <c r="G61" s="1417">
        <v>0</v>
      </c>
    </row>
    <row r="62" spans="1:11">
      <c r="A62" t="s">
        <v>2352</v>
      </c>
      <c r="B62" t="s">
        <v>1026</v>
      </c>
      <c r="C62" s="1417">
        <v>0</v>
      </c>
      <c r="D62" s="2020">
        <v>0</v>
      </c>
      <c r="E62" s="2020">
        <v>0</v>
      </c>
      <c r="F62" s="2825">
        <v>12</v>
      </c>
      <c r="G62" s="1417">
        <v>0</v>
      </c>
    </row>
    <row r="63" spans="1:11">
      <c r="A63" t="s">
        <v>1409</v>
      </c>
      <c r="B63" t="s">
        <v>2289</v>
      </c>
      <c r="C63" s="1417">
        <v>1</v>
      </c>
      <c r="D63" s="2020">
        <v>286797575</v>
      </c>
      <c r="E63" s="2020">
        <v>59547365</v>
      </c>
      <c r="F63" s="2825">
        <v>12</v>
      </c>
      <c r="G63" s="1417">
        <v>0</v>
      </c>
    </row>
    <row r="64" spans="1:11">
      <c r="A64" t="s">
        <v>46</v>
      </c>
      <c r="B64" t="s">
        <v>408</v>
      </c>
      <c r="C64" s="1417">
        <v>1.04</v>
      </c>
      <c r="D64" s="2020">
        <v>57776063</v>
      </c>
      <c r="E64" s="2020">
        <v>12185612</v>
      </c>
      <c r="F64" s="2825">
        <v>12</v>
      </c>
      <c r="G64" s="1417">
        <v>0</v>
      </c>
    </row>
    <row r="65" spans="1:11">
      <c r="A65" t="s">
        <v>1507</v>
      </c>
      <c r="B65" t="s">
        <v>1933</v>
      </c>
      <c r="C65" s="1417">
        <v>1.04</v>
      </c>
      <c r="D65" s="2020">
        <v>4522344</v>
      </c>
      <c r="E65" s="2020">
        <v>1130000</v>
      </c>
      <c r="F65" s="2825">
        <v>12</v>
      </c>
      <c r="G65" s="1417">
        <v>0</v>
      </c>
    </row>
    <row r="66" spans="1:11">
      <c r="A66" t="s">
        <v>1210</v>
      </c>
      <c r="B66" t="s">
        <v>2281</v>
      </c>
      <c r="C66" s="1417">
        <v>1.0149999999999999</v>
      </c>
      <c r="D66" s="2020">
        <v>5087617</v>
      </c>
      <c r="E66" s="2020">
        <v>753551</v>
      </c>
      <c r="F66" s="2825">
        <v>12</v>
      </c>
      <c r="G66" s="1417">
        <v>0</v>
      </c>
      <c r="H66" s="1665">
        <v>95640</v>
      </c>
      <c r="I66" s="1665">
        <v>2133267</v>
      </c>
      <c r="J66" s="1417">
        <v>880</v>
      </c>
      <c r="K66" s="1665">
        <v>111448582</v>
      </c>
    </row>
    <row r="67" spans="1:11">
      <c r="A67" t="s">
        <v>874</v>
      </c>
      <c r="B67" t="s">
        <v>798</v>
      </c>
      <c r="C67" s="1417">
        <v>0.9738</v>
      </c>
      <c r="D67" s="2020">
        <v>5502406</v>
      </c>
      <c r="E67" s="2020">
        <v>696820</v>
      </c>
      <c r="F67" s="2825">
        <v>12</v>
      </c>
      <c r="G67" s="1417">
        <v>0</v>
      </c>
      <c r="H67" s="1665">
        <v>4335</v>
      </c>
      <c r="I67" s="1665">
        <v>2769597</v>
      </c>
      <c r="J67" s="1665">
        <v>1143</v>
      </c>
      <c r="K67" s="1665">
        <v>109479320</v>
      </c>
    </row>
    <row r="68" spans="1:11">
      <c r="A68" t="s">
        <v>1211</v>
      </c>
      <c r="B68" t="s">
        <v>2282</v>
      </c>
      <c r="C68" s="1417">
        <v>1.0336000000000001</v>
      </c>
      <c r="D68" s="2020">
        <v>7292248</v>
      </c>
      <c r="E68" s="2020">
        <v>0</v>
      </c>
      <c r="F68" s="2825">
        <v>12</v>
      </c>
      <c r="G68" s="1417">
        <v>31</v>
      </c>
      <c r="H68" s="1665">
        <v>1586291</v>
      </c>
      <c r="I68" s="1665">
        <v>818087</v>
      </c>
      <c r="J68" s="1417">
        <v>277.678</v>
      </c>
      <c r="K68" s="1665">
        <v>348343768</v>
      </c>
    </row>
    <row r="69" spans="1:11">
      <c r="A69" t="s">
        <v>575</v>
      </c>
      <c r="B69" t="s">
        <v>1165</v>
      </c>
      <c r="C69" s="1417">
        <v>1.03</v>
      </c>
      <c r="D69" s="2020">
        <v>4322695</v>
      </c>
      <c r="E69" s="2020">
        <v>582530</v>
      </c>
      <c r="F69" s="2825">
        <v>12</v>
      </c>
      <c r="G69" s="1417">
        <v>0</v>
      </c>
    </row>
    <row r="70" spans="1:11">
      <c r="A70" t="s">
        <v>1212</v>
      </c>
      <c r="B70" t="s">
        <v>2682</v>
      </c>
      <c r="C70" s="1417">
        <v>0.98550000000000004</v>
      </c>
      <c r="D70" s="2020">
        <v>1298761</v>
      </c>
      <c r="E70" s="2020">
        <v>447192</v>
      </c>
      <c r="F70" s="2825">
        <v>12</v>
      </c>
      <c r="G70" s="1417">
        <v>0</v>
      </c>
    </row>
    <row r="71" spans="1:11">
      <c r="A71" t="s">
        <v>1113</v>
      </c>
      <c r="B71" t="s">
        <v>2683</v>
      </c>
      <c r="C71" s="1417">
        <v>1.04</v>
      </c>
      <c r="D71" s="2020">
        <v>549128</v>
      </c>
      <c r="E71" s="2020">
        <v>0</v>
      </c>
      <c r="F71" s="2825">
        <v>12</v>
      </c>
      <c r="G71" s="1417">
        <v>0</v>
      </c>
    </row>
    <row r="72" spans="1:11">
      <c r="A72" t="s">
        <v>1114</v>
      </c>
      <c r="B72" t="s">
        <v>2684</v>
      </c>
      <c r="C72" s="1417">
        <v>1.04</v>
      </c>
      <c r="D72" s="2020">
        <v>1820946</v>
      </c>
      <c r="E72" s="2020">
        <v>234623</v>
      </c>
      <c r="F72" s="2825">
        <v>12</v>
      </c>
      <c r="G72" s="1417">
        <v>0</v>
      </c>
    </row>
    <row r="73" spans="1:11">
      <c r="A73" t="s">
        <v>1901</v>
      </c>
      <c r="B73" t="s">
        <v>2024</v>
      </c>
      <c r="C73" s="1417">
        <v>0.89990000000000003</v>
      </c>
      <c r="D73" s="2020">
        <v>550709</v>
      </c>
      <c r="E73" s="2020">
        <v>0</v>
      </c>
      <c r="F73" s="2825">
        <v>12</v>
      </c>
      <c r="G73" s="1417">
        <v>0</v>
      </c>
    </row>
    <row r="74" spans="1:11">
      <c r="A74" t="s">
        <v>1645</v>
      </c>
      <c r="B74" t="s">
        <v>2685</v>
      </c>
      <c r="C74" s="1417">
        <v>1.04</v>
      </c>
      <c r="D74" s="2020">
        <v>678628</v>
      </c>
      <c r="E74" s="2020">
        <v>69399</v>
      </c>
      <c r="F74" s="2825">
        <v>12</v>
      </c>
      <c r="G74" s="1417">
        <v>0</v>
      </c>
    </row>
    <row r="75" spans="1:11">
      <c r="A75" t="s">
        <v>1646</v>
      </c>
      <c r="B75" t="s">
        <v>2686</v>
      </c>
      <c r="C75" s="1417">
        <v>1.0266999999999999</v>
      </c>
      <c r="D75" s="2020">
        <v>986164</v>
      </c>
      <c r="E75" s="2020">
        <v>18131</v>
      </c>
      <c r="F75" s="2825">
        <v>12</v>
      </c>
      <c r="G75" s="1417">
        <v>0</v>
      </c>
    </row>
    <row r="76" spans="1:11">
      <c r="A76" t="s">
        <v>1647</v>
      </c>
      <c r="B76" t="s">
        <v>2687</v>
      </c>
      <c r="C76" s="1417">
        <v>1.04</v>
      </c>
      <c r="D76" s="2020">
        <v>587038</v>
      </c>
      <c r="E76" s="2020">
        <v>0</v>
      </c>
      <c r="F76" s="2825">
        <v>12</v>
      </c>
      <c r="G76" s="1417">
        <v>0</v>
      </c>
      <c r="H76" s="1665">
        <v>93448</v>
      </c>
      <c r="I76" s="1665">
        <v>595885</v>
      </c>
      <c r="J76" s="1417">
        <v>242</v>
      </c>
      <c r="K76" s="1665">
        <v>24779171</v>
      </c>
    </row>
    <row r="77" spans="1:11">
      <c r="A77" t="s">
        <v>885</v>
      </c>
      <c r="B77" t="s">
        <v>2666</v>
      </c>
      <c r="C77" s="1417">
        <v>1.17</v>
      </c>
      <c r="D77" s="2020">
        <v>1690921</v>
      </c>
      <c r="E77" s="2020">
        <v>27571</v>
      </c>
      <c r="F77" s="2825">
        <v>12</v>
      </c>
      <c r="G77" s="1417">
        <v>0</v>
      </c>
    </row>
    <row r="78" spans="1:11">
      <c r="A78" t="s">
        <v>710</v>
      </c>
      <c r="B78" t="s">
        <v>2379</v>
      </c>
      <c r="C78" s="1417">
        <v>1.04</v>
      </c>
      <c r="D78" s="2020">
        <v>1277694</v>
      </c>
      <c r="E78" s="2020">
        <v>162904</v>
      </c>
      <c r="F78" s="2825">
        <v>12</v>
      </c>
      <c r="G78" s="1417">
        <v>0</v>
      </c>
    </row>
    <row r="79" spans="1:11">
      <c r="A79" t="s">
        <v>2136</v>
      </c>
      <c r="B79" t="s">
        <v>2067</v>
      </c>
      <c r="C79" s="1417">
        <v>1.17</v>
      </c>
      <c r="D79" s="2020">
        <v>584530</v>
      </c>
      <c r="E79" s="2020">
        <v>24175</v>
      </c>
      <c r="F79" s="2825">
        <v>12</v>
      </c>
      <c r="G79" s="1417">
        <v>0</v>
      </c>
    </row>
    <row r="80" spans="1:11">
      <c r="A80" t="s">
        <v>2638</v>
      </c>
      <c r="B80" t="s">
        <v>1398</v>
      </c>
      <c r="C80" s="1417">
        <v>1.04</v>
      </c>
      <c r="D80" s="2020">
        <v>2975064</v>
      </c>
      <c r="E80" s="2020">
        <v>182063</v>
      </c>
      <c r="F80" s="2825">
        <v>12</v>
      </c>
      <c r="G80" s="1417">
        <v>0</v>
      </c>
    </row>
    <row r="81" spans="1:11">
      <c r="A81" t="s">
        <v>1096</v>
      </c>
      <c r="B81" t="s">
        <v>1399</v>
      </c>
      <c r="C81" s="1417">
        <v>1.17</v>
      </c>
      <c r="D81" s="2020">
        <v>2082327</v>
      </c>
      <c r="E81" s="2020">
        <v>152821</v>
      </c>
      <c r="F81" s="2825">
        <v>12</v>
      </c>
      <c r="G81" s="1417">
        <v>0</v>
      </c>
    </row>
    <row r="82" spans="1:11">
      <c r="A82" t="s">
        <v>1097</v>
      </c>
      <c r="B82" t="s">
        <v>1400</v>
      </c>
      <c r="C82" s="1417">
        <v>1.1299999999999999</v>
      </c>
      <c r="D82" s="2020">
        <v>20537205</v>
      </c>
      <c r="E82" s="2020">
        <v>1763847</v>
      </c>
      <c r="F82" s="2825">
        <v>12</v>
      </c>
      <c r="G82" s="1417">
        <v>0</v>
      </c>
    </row>
    <row r="83" spans="1:11">
      <c r="A83" t="s">
        <v>1124</v>
      </c>
      <c r="B83" t="s">
        <v>2486</v>
      </c>
      <c r="C83" s="1417">
        <v>1.04</v>
      </c>
      <c r="D83" s="2020">
        <v>4970208</v>
      </c>
      <c r="E83" s="2020">
        <v>406359</v>
      </c>
      <c r="F83" s="2825">
        <v>12</v>
      </c>
      <c r="G83" s="1417">
        <v>0</v>
      </c>
    </row>
    <row r="84" spans="1:11">
      <c r="A84" t="s">
        <v>2137</v>
      </c>
      <c r="B84" t="s">
        <v>266</v>
      </c>
      <c r="C84" s="1417">
        <v>0.98150000000000004</v>
      </c>
      <c r="D84" s="2020">
        <v>747877</v>
      </c>
      <c r="E84" s="2020">
        <v>36982</v>
      </c>
      <c r="F84" s="2825">
        <v>12</v>
      </c>
      <c r="G84" s="1417">
        <v>0</v>
      </c>
    </row>
    <row r="85" spans="1:11">
      <c r="A85" t="s">
        <v>984</v>
      </c>
      <c r="B85" t="s">
        <v>289</v>
      </c>
      <c r="C85" s="1417">
        <v>1.04</v>
      </c>
      <c r="D85" s="2020">
        <v>161355</v>
      </c>
      <c r="E85" s="2020">
        <v>6813</v>
      </c>
      <c r="F85" s="2825">
        <v>8</v>
      </c>
      <c r="G85" s="1417">
        <v>0</v>
      </c>
    </row>
    <row r="86" spans="1:11">
      <c r="A86" t="s">
        <v>842</v>
      </c>
      <c r="B86" t="s">
        <v>2487</v>
      </c>
      <c r="C86" s="1417">
        <v>0.9</v>
      </c>
      <c r="D86" s="2020">
        <v>1269089</v>
      </c>
      <c r="E86" s="2020">
        <v>364262</v>
      </c>
      <c r="F86" s="2825">
        <v>8</v>
      </c>
      <c r="G86" s="1417">
        <v>0</v>
      </c>
    </row>
    <row r="87" spans="1:11">
      <c r="A87" t="s">
        <v>1125</v>
      </c>
      <c r="B87" t="s">
        <v>2488</v>
      </c>
      <c r="C87" s="1417">
        <v>1.04</v>
      </c>
      <c r="D87" s="2020">
        <v>7750409</v>
      </c>
      <c r="E87" s="2020">
        <v>1269872</v>
      </c>
      <c r="F87" s="2825">
        <v>12</v>
      </c>
      <c r="G87" s="1417">
        <v>0</v>
      </c>
    </row>
    <row r="88" spans="1:11">
      <c r="A88" t="s">
        <v>1126</v>
      </c>
      <c r="B88" t="s">
        <v>2381</v>
      </c>
      <c r="C88" s="1417">
        <v>1.04</v>
      </c>
      <c r="D88" s="2020">
        <v>175762</v>
      </c>
      <c r="E88" s="2020">
        <v>0</v>
      </c>
      <c r="F88" s="2825">
        <v>8</v>
      </c>
      <c r="G88" s="1417">
        <v>0</v>
      </c>
    </row>
    <row r="89" spans="1:11">
      <c r="A89" t="s">
        <v>843</v>
      </c>
      <c r="B89" t="s">
        <v>2489</v>
      </c>
      <c r="C89" s="1417">
        <v>1.04</v>
      </c>
      <c r="D89" s="2020">
        <v>272730</v>
      </c>
      <c r="E89" s="2020">
        <v>0</v>
      </c>
      <c r="F89" s="2825">
        <v>8</v>
      </c>
      <c r="G89" s="1417">
        <v>0</v>
      </c>
    </row>
    <row r="90" spans="1:11">
      <c r="A90" t="s">
        <v>179</v>
      </c>
      <c r="B90" t="s">
        <v>1052</v>
      </c>
      <c r="C90" s="1417">
        <v>1.04</v>
      </c>
      <c r="D90" s="2020">
        <v>29527171</v>
      </c>
      <c r="E90" s="2020">
        <v>7459819</v>
      </c>
      <c r="F90" s="2825">
        <v>12</v>
      </c>
      <c r="G90" s="1417">
        <v>0</v>
      </c>
    </row>
    <row r="91" spans="1:11">
      <c r="A91" t="s">
        <v>919</v>
      </c>
      <c r="B91" t="s">
        <v>2490</v>
      </c>
      <c r="C91" s="1417">
        <v>1.04</v>
      </c>
      <c r="D91" s="2020">
        <v>26881134</v>
      </c>
      <c r="E91" s="2020">
        <v>3822876</v>
      </c>
      <c r="F91" s="2825">
        <v>12</v>
      </c>
      <c r="G91" s="1417">
        <v>0</v>
      </c>
      <c r="H91" s="1665">
        <v>3667716</v>
      </c>
      <c r="I91" s="1665">
        <v>16562385</v>
      </c>
      <c r="J91" s="1665">
        <v>6878</v>
      </c>
      <c r="K91" s="1665">
        <v>1545666972</v>
      </c>
    </row>
    <row r="92" spans="1:11">
      <c r="A92" t="s">
        <v>711</v>
      </c>
      <c r="B92" t="s">
        <v>2662</v>
      </c>
      <c r="C92" s="1417">
        <v>1.04</v>
      </c>
      <c r="D92" s="2020">
        <v>1717778</v>
      </c>
      <c r="E92" s="2020">
        <v>122988</v>
      </c>
      <c r="F92" s="2825">
        <v>12</v>
      </c>
      <c r="G92" s="1417">
        <v>0</v>
      </c>
    </row>
    <row r="93" spans="1:11">
      <c r="A93" t="s">
        <v>1157</v>
      </c>
      <c r="B93" t="s">
        <v>2491</v>
      </c>
      <c r="C93" s="1417">
        <v>0.94840000000000002</v>
      </c>
      <c r="D93" s="2020">
        <v>70223037</v>
      </c>
      <c r="E93" s="2020">
        <v>12679479</v>
      </c>
      <c r="F93" s="2825">
        <v>12</v>
      </c>
      <c r="G93" s="1417">
        <v>0</v>
      </c>
      <c r="H93" s="1665">
        <v>11737735</v>
      </c>
      <c r="I93" s="1665">
        <v>33274683</v>
      </c>
      <c r="J93" s="1665">
        <v>13936</v>
      </c>
      <c r="K93" s="1665">
        <v>4161293319</v>
      </c>
    </row>
    <row r="94" spans="1:11">
      <c r="A94" t="s">
        <v>1158</v>
      </c>
      <c r="B94" t="s">
        <v>2492</v>
      </c>
      <c r="C94" s="1417">
        <v>1.04</v>
      </c>
      <c r="D94" s="2020">
        <v>17061963</v>
      </c>
      <c r="E94" s="2020">
        <v>2627257</v>
      </c>
      <c r="F94" s="2825">
        <v>12</v>
      </c>
      <c r="G94" s="1417">
        <v>0</v>
      </c>
      <c r="H94" s="1665">
        <v>3179151</v>
      </c>
      <c r="I94" s="1665">
        <v>5835681</v>
      </c>
      <c r="J94" s="1665">
        <v>2393</v>
      </c>
      <c r="K94" s="1665">
        <v>852560200</v>
      </c>
    </row>
    <row r="95" spans="1:11">
      <c r="A95" t="s">
        <v>1435</v>
      </c>
      <c r="B95" t="s">
        <v>1548</v>
      </c>
      <c r="C95" s="1417">
        <v>1.04</v>
      </c>
      <c r="D95" s="2020">
        <v>8342175</v>
      </c>
      <c r="E95" s="2020">
        <v>1676488</v>
      </c>
      <c r="F95" s="2825">
        <v>12</v>
      </c>
      <c r="G95" s="1417">
        <v>0</v>
      </c>
    </row>
    <row r="96" spans="1:11">
      <c r="A96" t="s">
        <v>207</v>
      </c>
      <c r="B96" t="s">
        <v>273</v>
      </c>
      <c r="C96" s="1417">
        <v>1.04</v>
      </c>
      <c r="D96" s="2020">
        <v>57726045</v>
      </c>
      <c r="E96" s="2020">
        <v>14078590</v>
      </c>
      <c r="F96" s="2825">
        <v>12</v>
      </c>
      <c r="G96" s="1417">
        <v>0</v>
      </c>
    </row>
    <row r="97" spans="1:11">
      <c r="A97" t="s">
        <v>1159</v>
      </c>
      <c r="B97" t="s">
        <v>2493</v>
      </c>
      <c r="C97" s="1417">
        <v>1.04</v>
      </c>
      <c r="D97" s="2020">
        <v>432631</v>
      </c>
      <c r="E97" s="2020">
        <v>0</v>
      </c>
      <c r="F97" s="2825">
        <v>8</v>
      </c>
      <c r="G97" s="1417">
        <v>0</v>
      </c>
    </row>
    <row r="98" spans="1:11">
      <c r="A98" t="s">
        <v>578</v>
      </c>
      <c r="B98" t="s">
        <v>1169</v>
      </c>
      <c r="C98" s="1417">
        <v>1</v>
      </c>
      <c r="D98" s="2020">
        <v>51435132</v>
      </c>
      <c r="E98" s="2020">
        <v>6663113</v>
      </c>
      <c r="F98" s="2825">
        <v>12</v>
      </c>
      <c r="G98" s="1417">
        <v>0</v>
      </c>
      <c r="H98" s="1665">
        <v>5654772</v>
      </c>
      <c r="I98" s="1665">
        <v>14515795</v>
      </c>
      <c r="J98" s="1665">
        <v>6236</v>
      </c>
      <c r="K98" s="1665">
        <v>1256466289</v>
      </c>
    </row>
    <row r="99" spans="1:11">
      <c r="A99" t="s">
        <v>882</v>
      </c>
      <c r="B99" t="s">
        <v>2636</v>
      </c>
      <c r="C99" s="1417">
        <v>1.04</v>
      </c>
      <c r="D99" s="2020">
        <v>42234981</v>
      </c>
      <c r="E99" s="2020">
        <v>9427085</v>
      </c>
      <c r="F99" s="2825">
        <v>12</v>
      </c>
      <c r="G99" s="1417">
        <v>0</v>
      </c>
    </row>
    <row r="100" spans="1:11">
      <c r="A100" t="s">
        <v>2549</v>
      </c>
      <c r="B100" t="s">
        <v>2494</v>
      </c>
      <c r="C100" s="1417">
        <v>1.04</v>
      </c>
      <c r="D100" s="2020">
        <v>694557</v>
      </c>
      <c r="E100" s="2020">
        <v>0</v>
      </c>
      <c r="F100" s="2825">
        <v>12</v>
      </c>
      <c r="G100" s="1417">
        <v>31</v>
      </c>
    </row>
    <row r="101" spans="1:11">
      <c r="A101" t="s">
        <v>400</v>
      </c>
      <c r="B101" t="s">
        <v>2495</v>
      </c>
      <c r="C101" s="1417">
        <v>1.04</v>
      </c>
      <c r="D101" s="2020">
        <v>3201104</v>
      </c>
      <c r="E101" s="2020">
        <v>316200</v>
      </c>
      <c r="F101" s="2825">
        <v>12</v>
      </c>
      <c r="G101" s="1417">
        <v>0</v>
      </c>
    </row>
    <row r="102" spans="1:11">
      <c r="A102" t="s">
        <v>401</v>
      </c>
      <c r="B102" t="s">
        <v>1589</v>
      </c>
      <c r="C102" s="1417">
        <v>1.04</v>
      </c>
      <c r="D102" s="2020">
        <v>555711</v>
      </c>
      <c r="E102" s="2020">
        <v>0</v>
      </c>
      <c r="F102" s="2825">
        <v>12</v>
      </c>
      <c r="G102" s="1417">
        <v>31</v>
      </c>
    </row>
    <row r="103" spans="1:11">
      <c r="A103" t="s">
        <v>402</v>
      </c>
      <c r="B103" t="s">
        <v>1590</v>
      </c>
      <c r="C103" s="1417">
        <v>1.04</v>
      </c>
      <c r="D103" s="2020">
        <v>66573</v>
      </c>
      <c r="E103" s="2020">
        <v>0</v>
      </c>
      <c r="F103" s="2825">
        <v>8</v>
      </c>
      <c r="G103" s="1417">
        <v>31</v>
      </c>
    </row>
    <row r="104" spans="1:11">
      <c r="A104" t="s">
        <v>403</v>
      </c>
      <c r="B104" t="s">
        <v>1591</v>
      </c>
      <c r="C104" s="1417">
        <v>1.04</v>
      </c>
      <c r="D104" s="2020">
        <v>529200</v>
      </c>
      <c r="E104" s="2020">
        <v>0</v>
      </c>
      <c r="F104" s="2825">
        <v>12</v>
      </c>
      <c r="G104" s="1417">
        <v>0</v>
      </c>
    </row>
    <row r="105" spans="1:11">
      <c r="A105" t="s">
        <v>669</v>
      </c>
      <c r="B105" t="s">
        <v>1592</v>
      </c>
      <c r="C105" s="1417">
        <v>1.0139</v>
      </c>
      <c r="D105" s="2020">
        <v>9439851</v>
      </c>
      <c r="E105" s="2020">
        <v>286373</v>
      </c>
      <c r="F105" s="2825">
        <v>12</v>
      </c>
      <c r="G105" s="1417">
        <v>0</v>
      </c>
      <c r="H105" s="1665">
        <v>1017233</v>
      </c>
      <c r="I105" s="1665">
        <v>5897214</v>
      </c>
      <c r="J105" s="1665">
        <v>2426</v>
      </c>
      <c r="K105" s="1665">
        <v>354681739</v>
      </c>
    </row>
    <row r="106" spans="1:11">
      <c r="A106" t="s">
        <v>670</v>
      </c>
      <c r="B106" t="s">
        <v>1593</v>
      </c>
      <c r="C106" s="1417">
        <v>1.1200000000000001</v>
      </c>
      <c r="D106" s="2020">
        <v>2420491</v>
      </c>
      <c r="E106" s="2020">
        <v>227845</v>
      </c>
      <c r="F106" s="2825">
        <v>12</v>
      </c>
      <c r="G106" s="1417">
        <v>0</v>
      </c>
    </row>
    <row r="107" spans="1:11">
      <c r="A107" t="s">
        <v>671</v>
      </c>
      <c r="B107" t="s">
        <v>1594</v>
      </c>
      <c r="C107" s="1417">
        <v>1.04</v>
      </c>
      <c r="D107" s="2020">
        <v>10483551</v>
      </c>
      <c r="E107" s="2020">
        <v>2443302</v>
      </c>
      <c r="F107" s="2825">
        <v>12</v>
      </c>
      <c r="G107" s="1417">
        <v>0</v>
      </c>
    </row>
    <row r="108" spans="1:11">
      <c r="A108" t="s">
        <v>876</v>
      </c>
      <c r="B108" t="s">
        <v>1343</v>
      </c>
      <c r="C108" s="1417">
        <v>1.0900000000000001</v>
      </c>
      <c r="D108" s="2020">
        <v>378357</v>
      </c>
      <c r="E108" s="2020">
        <v>20999</v>
      </c>
      <c r="F108" s="2825">
        <v>12</v>
      </c>
      <c r="G108" s="1417">
        <v>0</v>
      </c>
    </row>
    <row r="109" spans="1:11">
      <c r="A109" t="s">
        <v>2528</v>
      </c>
      <c r="B109" t="s">
        <v>2068</v>
      </c>
      <c r="C109" s="1417">
        <v>1.04</v>
      </c>
      <c r="D109" s="2020">
        <v>1058655</v>
      </c>
      <c r="E109" s="2020">
        <v>127486</v>
      </c>
      <c r="F109" s="2825">
        <v>12</v>
      </c>
      <c r="G109" s="1417">
        <v>0</v>
      </c>
    </row>
    <row r="110" spans="1:11">
      <c r="A110" t="s">
        <v>1187</v>
      </c>
      <c r="B110" t="s">
        <v>2675</v>
      </c>
      <c r="C110" s="1417">
        <v>1.04</v>
      </c>
      <c r="D110" s="2020">
        <v>316958</v>
      </c>
      <c r="E110" s="2020">
        <v>9970</v>
      </c>
      <c r="F110" s="2825">
        <v>12</v>
      </c>
      <c r="G110" s="1417">
        <v>0</v>
      </c>
    </row>
    <row r="111" spans="1:11">
      <c r="A111" t="s">
        <v>712</v>
      </c>
      <c r="B111" t="s">
        <v>2416</v>
      </c>
      <c r="C111" s="1417">
        <v>1.04</v>
      </c>
      <c r="D111" s="2020">
        <v>442403</v>
      </c>
      <c r="E111" s="2020">
        <v>45785</v>
      </c>
      <c r="F111" s="2825">
        <v>12</v>
      </c>
      <c r="G111" s="1417">
        <v>0</v>
      </c>
    </row>
    <row r="112" spans="1:11">
      <c r="A112" t="s">
        <v>769</v>
      </c>
      <c r="B112" t="s">
        <v>1063</v>
      </c>
      <c r="C112" s="1417">
        <v>1.04</v>
      </c>
      <c r="D112" s="2020">
        <v>2129251</v>
      </c>
      <c r="E112" s="2020">
        <v>52974</v>
      </c>
      <c r="F112" s="2825">
        <v>12</v>
      </c>
      <c r="G112" s="1417">
        <v>0</v>
      </c>
    </row>
    <row r="113" spans="1:11">
      <c r="A113" t="s">
        <v>672</v>
      </c>
      <c r="B113" t="s">
        <v>1595</v>
      </c>
      <c r="C113" s="1417">
        <v>1.04</v>
      </c>
      <c r="D113" s="2020">
        <v>6704432</v>
      </c>
      <c r="E113" s="2020">
        <v>564626</v>
      </c>
      <c r="F113" s="2825">
        <v>12</v>
      </c>
      <c r="G113" s="1417">
        <v>0</v>
      </c>
    </row>
    <row r="114" spans="1:11">
      <c r="A114" t="s">
        <v>673</v>
      </c>
      <c r="B114" t="s">
        <v>1596</v>
      </c>
      <c r="C114" s="1417">
        <v>1.04</v>
      </c>
      <c r="D114" s="2020">
        <v>1922442</v>
      </c>
      <c r="E114" s="2020">
        <v>165948</v>
      </c>
      <c r="F114" s="2825">
        <v>12</v>
      </c>
      <c r="G114" s="1417">
        <v>0</v>
      </c>
    </row>
    <row r="115" spans="1:11">
      <c r="A115" t="s">
        <v>674</v>
      </c>
      <c r="B115" t="s">
        <v>1597</v>
      </c>
      <c r="C115" s="1417">
        <v>1.04</v>
      </c>
      <c r="D115" s="2020">
        <v>1553313</v>
      </c>
      <c r="E115" s="2020">
        <v>0</v>
      </c>
      <c r="F115" s="2825">
        <v>12</v>
      </c>
      <c r="G115" s="1417">
        <v>0</v>
      </c>
    </row>
    <row r="116" spans="1:11">
      <c r="A116" t="s">
        <v>1885</v>
      </c>
      <c r="B116" t="s">
        <v>133</v>
      </c>
      <c r="C116" s="1417">
        <v>1.04</v>
      </c>
      <c r="D116" s="2020">
        <v>14679928</v>
      </c>
      <c r="E116" s="2020">
        <v>3017579</v>
      </c>
      <c r="F116" s="2825">
        <v>12</v>
      </c>
      <c r="G116" s="1417">
        <v>0</v>
      </c>
    </row>
    <row r="117" spans="1:11">
      <c r="A117" t="s">
        <v>348</v>
      </c>
      <c r="B117" t="s">
        <v>291</v>
      </c>
      <c r="C117" s="1417">
        <v>1.04</v>
      </c>
      <c r="D117" s="2020">
        <v>24404361</v>
      </c>
      <c r="E117" s="2020">
        <v>2631507</v>
      </c>
      <c r="F117" s="2825">
        <v>12</v>
      </c>
      <c r="G117" s="1417">
        <v>0</v>
      </c>
      <c r="H117" s="1665">
        <v>1434573</v>
      </c>
      <c r="I117" s="1665">
        <v>6994048</v>
      </c>
      <c r="J117" s="1665">
        <v>2870</v>
      </c>
      <c r="K117" s="1665">
        <v>523865020</v>
      </c>
    </row>
    <row r="118" spans="1:11">
      <c r="A118" t="s">
        <v>456</v>
      </c>
      <c r="B118" t="s">
        <v>2227</v>
      </c>
      <c r="C118" s="1417">
        <v>1.04</v>
      </c>
      <c r="D118" s="2020">
        <v>8342020</v>
      </c>
      <c r="E118" s="2020">
        <v>1278021</v>
      </c>
      <c r="F118" s="2825">
        <v>12</v>
      </c>
      <c r="G118" s="1417">
        <v>0</v>
      </c>
    </row>
    <row r="119" spans="1:11">
      <c r="A119" t="s">
        <v>1154</v>
      </c>
      <c r="B119" t="s">
        <v>838</v>
      </c>
      <c r="C119" s="1417">
        <v>0.9</v>
      </c>
      <c r="D119" s="2020">
        <v>2678060</v>
      </c>
      <c r="E119" s="2020">
        <v>155979</v>
      </c>
      <c r="F119" s="2825">
        <v>12</v>
      </c>
      <c r="G119" s="1417">
        <v>0</v>
      </c>
    </row>
    <row r="120" spans="1:11">
      <c r="A120" t="s">
        <v>2306</v>
      </c>
      <c r="B120" t="s">
        <v>1598</v>
      </c>
      <c r="C120" s="1417">
        <v>0.9</v>
      </c>
      <c r="D120" s="2020">
        <v>826798</v>
      </c>
      <c r="E120" s="2020">
        <v>0</v>
      </c>
      <c r="F120" s="2825">
        <v>12</v>
      </c>
      <c r="G120" s="1417">
        <v>0</v>
      </c>
    </row>
    <row r="121" spans="1:11">
      <c r="A121" t="s">
        <v>1359</v>
      </c>
      <c r="B121" t="s">
        <v>1027</v>
      </c>
      <c r="C121" s="1417">
        <v>1.0266999999999999</v>
      </c>
      <c r="D121" s="2020">
        <v>43212254</v>
      </c>
      <c r="E121" s="2020">
        <v>3181</v>
      </c>
      <c r="F121" s="2825">
        <v>12</v>
      </c>
      <c r="G121" s="1417">
        <v>0</v>
      </c>
      <c r="H121" s="1665">
        <v>6328074</v>
      </c>
      <c r="I121" s="1665">
        <v>11649071</v>
      </c>
      <c r="J121" s="1665">
        <v>4897</v>
      </c>
      <c r="K121" s="1665">
        <v>1641078677</v>
      </c>
    </row>
    <row r="122" spans="1:11">
      <c r="A122" t="s">
        <v>2341</v>
      </c>
      <c r="B122" t="s">
        <v>1600</v>
      </c>
      <c r="C122" s="1417">
        <v>0.9</v>
      </c>
      <c r="D122" s="2020">
        <v>755598</v>
      </c>
      <c r="E122" s="2020">
        <v>57813</v>
      </c>
      <c r="F122" s="2825">
        <v>12</v>
      </c>
      <c r="G122" s="1417">
        <v>0</v>
      </c>
    </row>
    <row r="123" spans="1:11">
      <c r="A123" t="s">
        <v>713</v>
      </c>
      <c r="B123" t="s">
        <v>31</v>
      </c>
      <c r="C123" s="1417">
        <v>1.04</v>
      </c>
      <c r="D123" s="2020">
        <v>3266661</v>
      </c>
      <c r="E123" s="2020">
        <v>226026</v>
      </c>
      <c r="F123" s="2825">
        <v>12</v>
      </c>
      <c r="G123" s="1417">
        <v>0</v>
      </c>
    </row>
    <row r="124" spans="1:11">
      <c r="A124" t="s">
        <v>148</v>
      </c>
      <c r="B124" t="s">
        <v>1601</v>
      </c>
      <c r="C124" s="1417">
        <v>1.17</v>
      </c>
      <c r="D124" s="2020">
        <v>1057086</v>
      </c>
      <c r="E124" s="2020">
        <v>0</v>
      </c>
      <c r="F124" s="2825">
        <v>12</v>
      </c>
      <c r="G124" s="1417">
        <v>0</v>
      </c>
    </row>
    <row r="125" spans="1:11">
      <c r="A125" t="s">
        <v>1829</v>
      </c>
      <c r="B125" t="s">
        <v>1602</v>
      </c>
      <c r="C125" s="1417">
        <v>1.17</v>
      </c>
      <c r="D125" s="2020">
        <v>1963067</v>
      </c>
      <c r="E125" s="2020">
        <v>305006</v>
      </c>
      <c r="F125" s="2825">
        <v>12</v>
      </c>
      <c r="G125" s="1417">
        <v>0</v>
      </c>
    </row>
    <row r="126" spans="1:11">
      <c r="A126" t="s">
        <v>881</v>
      </c>
      <c r="B126" t="s">
        <v>2635</v>
      </c>
      <c r="C126" s="1417">
        <v>1.0190999999999999</v>
      </c>
      <c r="D126" s="2020">
        <v>48925643</v>
      </c>
      <c r="E126" s="2020">
        <v>3685228</v>
      </c>
      <c r="F126" s="2825">
        <v>12</v>
      </c>
      <c r="G126" s="1417">
        <v>0</v>
      </c>
    </row>
    <row r="127" spans="1:11">
      <c r="A127" t="s">
        <v>1860</v>
      </c>
      <c r="B127" t="s">
        <v>34</v>
      </c>
      <c r="C127" s="1417">
        <v>1.04</v>
      </c>
      <c r="D127" s="2020">
        <v>30373731</v>
      </c>
      <c r="E127" s="2020">
        <v>2258146</v>
      </c>
      <c r="F127" s="2825">
        <v>12</v>
      </c>
      <c r="G127" s="1417">
        <v>0</v>
      </c>
    </row>
    <row r="128" spans="1:11">
      <c r="A128" t="s">
        <v>57</v>
      </c>
      <c r="B128" t="s">
        <v>1881</v>
      </c>
      <c r="C128" s="1417">
        <v>1.04</v>
      </c>
      <c r="D128" s="2020">
        <v>3376148</v>
      </c>
      <c r="E128" s="2020">
        <v>639680</v>
      </c>
      <c r="F128" s="2825">
        <v>12</v>
      </c>
      <c r="G128" s="1417">
        <v>0</v>
      </c>
    </row>
    <row r="129" spans="1:11">
      <c r="A129" t="s">
        <v>2283</v>
      </c>
      <c r="B129" t="s">
        <v>36</v>
      </c>
      <c r="C129" s="1417">
        <v>1.04</v>
      </c>
      <c r="D129" s="2020">
        <v>11413957</v>
      </c>
      <c r="E129" s="2020">
        <v>1112133</v>
      </c>
      <c r="F129" s="2825">
        <v>12</v>
      </c>
      <c r="G129" s="1417">
        <v>0</v>
      </c>
    </row>
    <row r="130" spans="1:11">
      <c r="A130" t="s">
        <v>1679</v>
      </c>
      <c r="B130" t="s">
        <v>1603</v>
      </c>
      <c r="C130" s="1417">
        <v>0.95179999999999998</v>
      </c>
      <c r="D130" s="2020">
        <v>31210425</v>
      </c>
      <c r="E130" s="2020">
        <v>2945281</v>
      </c>
      <c r="F130" s="2825">
        <v>12</v>
      </c>
      <c r="G130" s="1417">
        <v>0</v>
      </c>
      <c r="H130" s="1665">
        <v>496644</v>
      </c>
      <c r="I130" s="1665">
        <v>6420495</v>
      </c>
      <c r="J130" s="1665">
        <v>2732</v>
      </c>
      <c r="K130" s="1665">
        <v>849419677</v>
      </c>
    </row>
    <row r="131" spans="1:11">
      <c r="A131" t="s">
        <v>714</v>
      </c>
      <c r="B131" t="s">
        <v>2694</v>
      </c>
      <c r="C131" s="1417">
        <v>1.04</v>
      </c>
      <c r="D131" s="2020">
        <v>1980301</v>
      </c>
      <c r="E131" s="2020">
        <v>419123</v>
      </c>
      <c r="F131" s="2825">
        <v>12</v>
      </c>
      <c r="G131" s="1417">
        <v>0</v>
      </c>
    </row>
    <row r="132" spans="1:11">
      <c r="A132" t="s">
        <v>1315</v>
      </c>
      <c r="B132" t="s">
        <v>39</v>
      </c>
      <c r="C132" s="1417">
        <v>1.04</v>
      </c>
      <c r="D132" s="2020">
        <v>7568439</v>
      </c>
      <c r="E132" s="2020">
        <v>968471</v>
      </c>
      <c r="F132" s="2825">
        <v>12</v>
      </c>
      <c r="G132" s="1417">
        <v>0</v>
      </c>
    </row>
    <row r="133" spans="1:11">
      <c r="A133" t="s">
        <v>715</v>
      </c>
      <c r="B133" t="s">
        <v>86</v>
      </c>
      <c r="C133" s="1417">
        <v>1.04</v>
      </c>
      <c r="D133" s="2020">
        <v>392057</v>
      </c>
      <c r="E133" s="2020">
        <v>64088</v>
      </c>
      <c r="F133" s="2825">
        <v>8</v>
      </c>
      <c r="G133" s="1417">
        <v>0</v>
      </c>
    </row>
    <row r="134" spans="1:11">
      <c r="A134" t="s">
        <v>492</v>
      </c>
      <c r="B134" t="s">
        <v>87</v>
      </c>
      <c r="C134" s="1417">
        <v>1.04</v>
      </c>
      <c r="D134" s="2020">
        <v>638912</v>
      </c>
      <c r="E134" s="2020">
        <v>84399</v>
      </c>
      <c r="F134" s="2825">
        <v>12</v>
      </c>
      <c r="G134" s="1417">
        <v>0</v>
      </c>
    </row>
    <row r="135" spans="1:11">
      <c r="A135" t="s">
        <v>933</v>
      </c>
      <c r="B135" t="s">
        <v>1604</v>
      </c>
      <c r="C135" s="1417">
        <v>1.04</v>
      </c>
      <c r="D135" s="2020">
        <v>6594741</v>
      </c>
      <c r="E135" s="2020">
        <v>399726</v>
      </c>
      <c r="F135" s="2825">
        <v>12</v>
      </c>
      <c r="G135" s="1417">
        <v>0</v>
      </c>
    </row>
    <row r="136" spans="1:11">
      <c r="A136" t="s">
        <v>934</v>
      </c>
      <c r="B136" t="s">
        <v>1605</v>
      </c>
      <c r="C136" s="1417">
        <v>1.04</v>
      </c>
      <c r="D136" s="2020">
        <v>704833</v>
      </c>
      <c r="E136" s="2020">
        <v>59891</v>
      </c>
      <c r="F136" s="2825">
        <v>12</v>
      </c>
      <c r="G136" s="1417">
        <v>0</v>
      </c>
    </row>
    <row r="137" spans="1:11">
      <c r="A137" t="s">
        <v>776</v>
      </c>
      <c r="B137" t="s">
        <v>2169</v>
      </c>
      <c r="C137" s="1417">
        <v>1.04</v>
      </c>
      <c r="D137" s="2020">
        <v>4100426</v>
      </c>
      <c r="E137" s="2020">
        <v>0</v>
      </c>
      <c r="F137" s="2825">
        <v>12</v>
      </c>
      <c r="G137" s="1417">
        <v>0</v>
      </c>
      <c r="H137" s="1665">
        <v>967104</v>
      </c>
      <c r="I137" s="1665">
        <v>2855860</v>
      </c>
      <c r="J137" s="1665">
        <v>1207</v>
      </c>
      <c r="K137" s="1665">
        <v>280499416</v>
      </c>
    </row>
    <row r="138" spans="1:11">
      <c r="A138" t="s">
        <v>1806</v>
      </c>
      <c r="B138" t="s">
        <v>2170</v>
      </c>
      <c r="C138" s="1417">
        <v>1.04</v>
      </c>
      <c r="D138" s="2020">
        <v>4043509</v>
      </c>
      <c r="E138" s="2020">
        <v>518</v>
      </c>
      <c r="F138" s="2825">
        <v>12</v>
      </c>
      <c r="G138" s="1417">
        <v>0</v>
      </c>
      <c r="H138" s="1665">
        <v>834333</v>
      </c>
      <c r="I138" s="1665">
        <v>1579005</v>
      </c>
      <c r="J138" s="1417">
        <v>682</v>
      </c>
      <c r="K138" s="1665">
        <v>202446540</v>
      </c>
    </row>
    <row r="139" spans="1:11">
      <c r="A139" t="s">
        <v>1725</v>
      </c>
      <c r="B139" t="s">
        <v>2171</v>
      </c>
      <c r="C139" s="1417">
        <v>1.04</v>
      </c>
      <c r="D139" s="2020">
        <v>3892125</v>
      </c>
      <c r="E139" s="2020">
        <v>194985</v>
      </c>
      <c r="F139" s="2825">
        <v>12</v>
      </c>
      <c r="G139" s="1417">
        <v>0</v>
      </c>
    </row>
    <row r="140" spans="1:11">
      <c r="A140" t="s">
        <v>1726</v>
      </c>
      <c r="B140" t="s">
        <v>2172</v>
      </c>
      <c r="C140" s="1417">
        <v>1.04</v>
      </c>
      <c r="D140" s="2020">
        <v>480344</v>
      </c>
      <c r="E140" s="2020">
        <v>150</v>
      </c>
      <c r="F140" s="2825">
        <v>12</v>
      </c>
      <c r="G140" s="1417">
        <v>0</v>
      </c>
    </row>
    <row r="141" spans="1:11">
      <c r="A141" t="s">
        <v>743</v>
      </c>
      <c r="B141" t="s">
        <v>2173</v>
      </c>
      <c r="C141" s="1417">
        <v>1.17</v>
      </c>
      <c r="D141" s="2020">
        <v>4107739</v>
      </c>
      <c r="E141" s="2020">
        <v>143937</v>
      </c>
      <c r="F141" s="2825">
        <v>12</v>
      </c>
      <c r="G141" s="1417">
        <v>0</v>
      </c>
    </row>
    <row r="142" spans="1:11">
      <c r="A142" t="s">
        <v>744</v>
      </c>
      <c r="B142" t="s">
        <v>1028</v>
      </c>
      <c r="C142" s="1417">
        <v>1.17</v>
      </c>
      <c r="D142" s="2020">
        <v>2153223</v>
      </c>
      <c r="E142" s="2020">
        <v>0</v>
      </c>
      <c r="F142" s="2825">
        <v>12</v>
      </c>
      <c r="G142" s="1417">
        <v>0</v>
      </c>
    </row>
    <row r="143" spans="1:11">
      <c r="A143" t="s">
        <v>1875</v>
      </c>
      <c r="B143" t="s">
        <v>821</v>
      </c>
      <c r="C143" s="1417">
        <v>1.04</v>
      </c>
      <c r="D143" s="2020">
        <v>287480</v>
      </c>
      <c r="E143" s="2020">
        <v>0</v>
      </c>
      <c r="F143" s="2825">
        <v>12</v>
      </c>
      <c r="G143" s="1417">
        <v>0</v>
      </c>
    </row>
    <row r="144" spans="1:11">
      <c r="A144" t="s">
        <v>745</v>
      </c>
      <c r="B144" t="s">
        <v>1706</v>
      </c>
      <c r="C144" s="1417">
        <v>1.04</v>
      </c>
      <c r="D144" s="2020">
        <v>3622359</v>
      </c>
      <c r="E144" s="2020">
        <v>332011</v>
      </c>
      <c r="F144" s="2825">
        <v>12</v>
      </c>
      <c r="G144" s="1417">
        <v>0</v>
      </c>
    </row>
    <row r="145" spans="1:11">
      <c r="A145" t="s">
        <v>1952</v>
      </c>
      <c r="B145" t="s">
        <v>1708</v>
      </c>
      <c r="C145" s="1417">
        <v>1.17</v>
      </c>
      <c r="D145" s="2020">
        <v>374070</v>
      </c>
      <c r="E145" s="2020">
        <v>0</v>
      </c>
      <c r="F145" s="2825">
        <v>12</v>
      </c>
      <c r="G145" s="1417">
        <v>0</v>
      </c>
    </row>
    <row r="146" spans="1:11">
      <c r="A146" t="s">
        <v>1953</v>
      </c>
      <c r="B146" t="s">
        <v>1709</v>
      </c>
      <c r="C146" s="1417">
        <v>1.04</v>
      </c>
      <c r="D146" s="2020">
        <v>1945602</v>
      </c>
      <c r="E146" s="2020">
        <v>0</v>
      </c>
      <c r="F146" s="2825">
        <v>12</v>
      </c>
      <c r="G146" s="1417">
        <v>0</v>
      </c>
    </row>
    <row r="147" spans="1:11">
      <c r="A147" t="s">
        <v>2431</v>
      </c>
      <c r="B147" t="s">
        <v>1710</v>
      </c>
      <c r="C147" s="1417">
        <v>1.04</v>
      </c>
      <c r="D147" s="2020">
        <v>615717</v>
      </c>
      <c r="E147" s="2020">
        <v>0</v>
      </c>
      <c r="F147" s="2825">
        <v>12</v>
      </c>
      <c r="G147" s="1417">
        <v>0</v>
      </c>
    </row>
    <row r="148" spans="1:11">
      <c r="A148" t="s">
        <v>2539</v>
      </c>
      <c r="B148" t="s">
        <v>389</v>
      </c>
      <c r="C148" s="1417">
        <v>1.17</v>
      </c>
      <c r="D148" s="2020">
        <v>305447</v>
      </c>
      <c r="E148" s="2020">
        <v>38133</v>
      </c>
      <c r="F148" s="2825">
        <v>12</v>
      </c>
      <c r="G148" s="1417">
        <v>0</v>
      </c>
    </row>
    <row r="149" spans="1:11">
      <c r="A149" t="s">
        <v>1640</v>
      </c>
      <c r="B149" t="s">
        <v>1055</v>
      </c>
      <c r="C149" s="1417">
        <v>1.04</v>
      </c>
      <c r="D149" s="2020">
        <v>2843553</v>
      </c>
      <c r="E149" s="2020">
        <v>303328</v>
      </c>
      <c r="F149" s="2825">
        <v>12</v>
      </c>
      <c r="G149" s="1417">
        <v>0</v>
      </c>
    </row>
    <row r="150" spans="1:11">
      <c r="A150" t="s">
        <v>2432</v>
      </c>
      <c r="B150" t="s">
        <v>1711</v>
      </c>
      <c r="C150" s="1417">
        <v>1.04</v>
      </c>
      <c r="D150" s="2020">
        <v>32676304</v>
      </c>
      <c r="E150" s="2020">
        <v>6991493</v>
      </c>
      <c r="F150" s="2825">
        <v>12</v>
      </c>
      <c r="G150" s="1417">
        <v>0</v>
      </c>
      <c r="H150" s="1665">
        <v>5182564</v>
      </c>
      <c r="I150" s="1665">
        <v>5097093</v>
      </c>
      <c r="J150" s="1665">
        <v>2011</v>
      </c>
      <c r="K150" s="1665">
        <v>1541436839</v>
      </c>
    </row>
    <row r="151" spans="1:11">
      <c r="A151" t="s">
        <v>285</v>
      </c>
      <c r="B151" t="s">
        <v>2369</v>
      </c>
      <c r="C151" s="1417">
        <v>1.04</v>
      </c>
      <c r="D151" s="2020">
        <v>2594485</v>
      </c>
      <c r="E151" s="2020">
        <v>0</v>
      </c>
      <c r="F151" s="2825">
        <v>12</v>
      </c>
      <c r="G151" s="1417">
        <v>0</v>
      </c>
    </row>
    <row r="152" spans="1:11">
      <c r="A152" t="s">
        <v>1469</v>
      </c>
      <c r="B152" t="s">
        <v>1499</v>
      </c>
      <c r="C152" s="1417">
        <v>1.04</v>
      </c>
      <c r="D152" s="2020">
        <v>1379133</v>
      </c>
      <c r="E152" s="2020">
        <v>61995</v>
      </c>
      <c r="F152" s="2825">
        <v>12</v>
      </c>
      <c r="G152" s="1417">
        <v>0</v>
      </c>
    </row>
    <row r="153" spans="1:11">
      <c r="A153" t="s">
        <v>43</v>
      </c>
      <c r="B153" t="s">
        <v>405</v>
      </c>
      <c r="C153" s="1417">
        <v>1.04</v>
      </c>
      <c r="D153" s="2020">
        <v>9165492</v>
      </c>
      <c r="E153" s="2020">
        <v>605183</v>
      </c>
      <c r="F153" s="2825">
        <v>12</v>
      </c>
      <c r="G153" s="1417">
        <v>0</v>
      </c>
    </row>
    <row r="154" spans="1:11">
      <c r="A154" t="s">
        <v>1311</v>
      </c>
      <c r="B154" t="s">
        <v>614</v>
      </c>
      <c r="C154" s="1417">
        <v>1.04</v>
      </c>
      <c r="D154" s="2020">
        <v>3525900</v>
      </c>
      <c r="E154" s="2020">
        <v>206290</v>
      </c>
      <c r="F154" s="2825">
        <v>12</v>
      </c>
      <c r="G154" s="1417">
        <v>0</v>
      </c>
    </row>
    <row r="155" spans="1:11">
      <c r="A155" t="s">
        <v>2542</v>
      </c>
      <c r="B155" t="s">
        <v>1143</v>
      </c>
      <c r="C155" s="1417">
        <v>1.04</v>
      </c>
      <c r="D155" s="2020">
        <v>383440</v>
      </c>
      <c r="E155" s="2020">
        <v>0</v>
      </c>
      <c r="F155" s="2825">
        <v>12</v>
      </c>
      <c r="G155" s="1417">
        <v>0</v>
      </c>
    </row>
    <row r="156" spans="1:11">
      <c r="A156" t="s">
        <v>1470</v>
      </c>
      <c r="B156" t="s">
        <v>25</v>
      </c>
      <c r="C156" s="1417">
        <v>1.04</v>
      </c>
      <c r="D156" s="2020">
        <v>492783</v>
      </c>
      <c r="E156" s="2020">
        <v>32</v>
      </c>
      <c r="F156" s="2825">
        <v>12</v>
      </c>
      <c r="G156" s="1417">
        <v>0</v>
      </c>
    </row>
    <row r="157" spans="1:11">
      <c r="A157" t="s">
        <v>71</v>
      </c>
      <c r="B157" t="s">
        <v>2185</v>
      </c>
      <c r="C157" s="1417">
        <v>1.04</v>
      </c>
      <c r="D157" s="2020">
        <v>1819796</v>
      </c>
      <c r="E157" s="2020">
        <v>137340</v>
      </c>
      <c r="F157" s="2825">
        <v>12</v>
      </c>
      <c r="G157" s="1417">
        <v>0</v>
      </c>
    </row>
    <row r="158" spans="1:11">
      <c r="A158" t="s">
        <v>1110</v>
      </c>
      <c r="B158" t="s">
        <v>26</v>
      </c>
      <c r="C158" s="1417">
        <v>1.17</v>
      </c>
      <c r="D158" s="2020">
        <v>250394</v>
      </c>
      <c r="E158" s="2020">
        <v>17748</v>
      </c>
      <c r="F158" s="2825">
        <v>12</v>
      </c>
      <c r="G158" s="1417">
        <v>0</v>
      </c>
    </row>
    <row r="159" spans="1:11">
      <c r="A159" t="s">
        <v>2167</v>
      </c>
      <c r="B159" t="s">
        <v>1920</v>
      </c>
      <c r="C159" s="1417">
        <v>1.04</v>
      </c>
      <c r="D159" s="2020">
        <v>3163129</v>
      </c>
      <c r="E159" s="2020">
        <v>746090</v>
      </c>
      <c r="F159" s="2825">
        <v>12</v>
      </c>
      <c r="G159" s="1417">
        <v>0</v>
      </c>
    </row>
    <row r="160" spans="1:11">
      <c r="A160" t="s">
        <v>716</v>
      </c>
      <c r="B160" t="s">
        <v>997</v>
      </c>
      <c r="C160" s="1417">
        <v>1.04</v>
      </c>
      <c r="D160" s="2020">
        <v>862005</v>
      </c>
      <c r="E160" s="2020">
        <v>152961</v>
      </c>
      <c r="F160" s="2825">
        <v>12</v>
      </c>
      <c r="G160" s="1417">
        <v>0</v>
      </c>
    </row>
    <row r="161" spans="1:11">
      <c r="A161" t="s">
        <v>2168</v>
      </c>
      <c r="B161" t="s">
        <v>1921</v>
      </c>
      <c r="C161" s="1417">
        <v>1.04</v>
      </c>
      <c r="D161" s="2020">
        <v>418910</v>
      </c>
      <c r="E161" s="2020">
        <v>0</v>
      </c>
      <c r="F161" s="2825">
        <v>12</v>
      </c>
      <c r="G161" s="1417">
        <v>0</v>
      </c>
    </row>
    <row r="162" spans="1:11">
      <c r="A162" t="s">
        <v>1670</v>
      </c>
      <c r="B162" t="s">
        <v>1922</v>
      </c>
      <c r="C162" s="1417">
        <v>1.04</v>
      </c>
      <c r="D162" s="2020">
        <v>764823</v>
      </c>
      <c r="E162" s="2020">
        <v>0</v>
      </c>
      <c r="F162" s="2825">
        <v>12</v>
      </c>
      <c r="G162" s="1417">
        <v>0</v>
      </c>
    </row>
    <row r="163" spans="1:11">
      <c r="A163" t="s">
        <v>1671</v>
      </c>
      <c r="B163" t="s">
        <v>2154</v>
      </c>
      <c r="C163" s="1417">
        <v>1.04</v>
      </c>
      <c r="D163" s="2020">
        <v>615763</v>
      </c>
      <c r="E163" s="2020">
        <v>0</v>
      </c>
      <c r="F163" s="2825">
        <v>12</v>
      </c>
      <c r="G163" s="1417">
        <v>0</v>
      </c>
    </row>
    <row r="164" spans="1:11">
      <c r="A164" t="s">
        <v>795</v>
      </c>
      <c r="B164" t="s">
        <v>1029</v>
      </c>
      <c r="C164" s="1417">
        <v>1.04</v>
      </c>
      <c r="D164" s="2020">
        <v>7186980</v>
      </c>
      <c r="E164" s="2020">
        <v>0</v>
      </c>
      <c r="F164" s="2825">
        <v>12</v>
      </c>
      <c r="G164" s="1417">
        <v>0</v>
      </c>
      <c r="H164" s="1665">
        <v>1893247</v>
      </c>
      <c r="I164" s="1665">
        <v>1695740</v>
      </c>
      <c r="J164" s="1417">
        <v>596</v>
      </c>
      <c r="K164" s="1665">
        <v>684649946</v>
      </c>
    </row>
    <row r="165" spans="1:11">
      <c r="A165" t="s">
        <v>796</v>
      </c>
      <c r="B165" t="s">
        <v>2156</v>
      </c>
      <c r="C165" s="1417">
        <v>1.04</v>
      </c>
      <c r="D165" s="2020">
        <v>848308</v>
      </c>
      <c r="E165" s="2020">
        <v>0</v>
      </c>
      <c r="F165" s="2825">
        <v>12</v>
      </c>
      <c r="G165" s="1417">
        <v>0</v>
      </c>
    </row>
    <row r="166" spans="1:11">
      <c r="A166" t="s">
        <v>815</v>
      </c>
      <c r="B166" t="s">
        <v>2157</v>
      </c>
      <c r="C166" s="1417">
        <v>1.04</v>
      </c>
      <c r="D166" s="2020">
        <v>1707690</v>
      </c>
      <c r="E166" s="2020">
        <v>0</v>
      </c>
      <c r="F166" s="2825">
        <v>12</v>
      </c>
      <c r="G166" s="1417">
        <v>0</v>
      </c>
      <c r="H166" s="1665">
        <v>354245</v>
      </c>
      <c r="I166" s="1665">
        <v>1493630</v>
      </c>
      <c r="J166" s="1417">
        <v>599</v>
      </c>
      <c r="K166" s="1665">
        <v>132487225</v>
      </c>
    </row>
    <row r="167" spans="1:11">
      <c r="A167" t="s">
        <v>577</v>
      </c>
      <c r="B167" t="s">
        <v>1168</v>
      </c>
      <c r="C167" s="1417">
        <v>1.04</v>
      </c>
      <c r="D167" s="2020">
        <v>1096878</v>
      </c>
      <c r="E167" s="2020">
        <v>188314</v>
      </c>
      <c r="F167" s="2825">
        <v>12</v>
      </c>
      <c r="G167" s="1417">
        <v>0</v>
      </c>
    </row>
    <row r="168" spans="1:11">
      <c r="A168" t="s">
        <v>2368</v>
      </c>
      <c r="B168" t="s">
        <v>84</v>
      </c>
      <c r="C168" s="1417">
        <v>1.04</v>
      </c>
      <c r="D168" s="2020">
        <v>544333</v>
      </c>
      <c r="E168" s="2020">
        <v>29224</v>
      </c>
      <c r="F168" s="2825">
        <v>12</v>
      </c>
      <c r="G168" s="1417">
        <v>0</v>
      </c>
    </row>
    <row r="169" spans="1:11">
      <c r="A169" t="s">
        <v>816</v>
      </c>
      <c r="B169" t="s">
        <v>1030</v>
      </c>
      <c r="C169" s="1417">
        <v>1.17</v>
      </c>
      <c r="D169" s="2020">
        <v>803341</v>
      </c>
      <c r="E169" s="2020">
        <v>239</v>
      </c>
      <c r="F169" s="2825">
        <v>12</v>
      </c>
      <c r="G169" s="1417">
        <v>0</v>
      </c>
    </row>
    <row r="170" spans="1:11">
      <c r="A170" t="s">
        <v>1736</v>
      </c>
      <c r="B170" t="s">
        <v>2159</v>
      </c>
      <c r="C170" s="1417">
        <v>1.17</v>
      </c>
      <c r="D170" s="2020">
        <v>478969</v>
      </c>
      <c r="E170" s="2020">
        <v>0</v>
      </c>
      <c r="F170" s="2825">
        <v>12</v>
      </c>
      <c r="G170" s="1417">
        <v>0</v>
      </c>
    </row>
    <row r="171" spans="1:11">
      <c r="A171" t="s">
        <v>584</v>
      </c>
      <c r="B171" t="s">
        <v>1957</v>
      </c>
      <c r="C171" s="1417">
        <v>1.04</v>
      </c>
      <c r="D171" s="2020">
        <v>66296160</v>
      </c>
      <c r="E171" s="2020">
        <v>22425319</v>
      </c>
      <c r="F171" s="2825">
        <v>12</v>
      </c>
      <c r="G171" s="1417">
        <v>0</v>
      </c>
    </row>
    <row r="172" spans="1:11">
      <c r="A172" t="s">
        <v>1641</v>
      </c>
      <c r="B172" t="s">
        <v>1056</v>
      </c>
      <c r="C172" s="1417">
        <v>1.01</v>
      </c>
      <c r="D172" s="2020">
        <v>5124099</v>
      </c>
      <c r="E172" s="2020">
        <v>1816537</v>
      </c>
      <c r="F172" s="2825">
        <v>12</v>
      </c>
      <c r="G172" s="1417">
        <v>0</v>
      </c>
    </row>
    <row r="173" spans="1:11">
      <c r="A173" t="s">
        <v>2502</v>
      </c>
      <c r="B173" t="s">
        <v>658</v>
      </c>
      <c r="C173" s="1417">
        <v>1.04</v>
      </c>
      <c r="D173" s="2020">
        <v>6143931</v>
      </c>
      <c r="E173" s="2020">
        <v>1843279</v>
      </c>
      <c r="F173" s="2825">
        <v>12</v>
      </c>
      <c r="G173" s="1417">
        <v>0</v>
      </c>
    </row>
    <row r="174" spans="1:11">
      <c r="A174" t="s">
        <v>1687</v>
      </c>
      <c r="B174" t="s">
        <v>108</v>
      </c>
      <c r="C174" s="1417">
        <v>1.04</v>
      </c>
      <c r="D174" s="2020">
        <v>3250382</v>
      </c>
      <c r="E174" s="2020">
        <v>852915</v>
      </c>
      <c r="F174" s="2825">
        <v>12</v>
      </c>
      <c r="G174" s="1417">
        <v>0</v>
      </c>
    </row>
    <row r="175" spans="1:11">
      <c r="A175" t="s">
        <v>1425</v>
      </c>
      <c r="B175" t="s">
        <v>1477</v>
      </c>
      <c r="C175" s="1417">
        <v>0.96</v>
      </c>
      <c r="D175" s="2020">
        <v>138092815</v>
      </c>
      <c r="E175" s="2020">
        <v>42326080</v>
      </c>
      <c r="F175" s="2825">
        <v>12</v>
      </c>
      <c r="G175" s="1417">
        <v>0</v>
      </c>
      <c r="H175" s="1665">
        <v>1080423</v>
      </c>
      <c r="I175" s="1665">
        <v>4510547</v>
      </c>
      <c r="J175" s="1665">
        <v>1923</v>
      </c>
      <c r="K175" s="1665">
        <v>353788610</v>
      </c>
    </row>
    <row r="176" spans="1:11">
      <c r="A176" t="s">
        <v>2530</v>
      </c>
      <c r="B176" t="s">
        <v>820</v>
      </c>
      <c r="C176" s="1417">
        <v>1.04</v>
      </c>
      <c r="D176" s="2020">
        <v>91178954</v>
      </c>
      <c r="E176" s="2020">
        <v>35201970</v>
      </c>
      <c r="F176" s="2825">
        <v>12</v>
      </c>
      <c r="G176" s="1417">
        <v>0</v>
      </c>
    </row>
    <row r="177" spans="1:11">
      <c r="A177" t="s">
        <v>649</v>
      </c>
      <c r="B177" t="s">
        <v>2199</v>
      </c>
      <c r="C177" s="1417">
        <v>1.04</v>
      </c>
      <c r="D177" s="2020">
        <v>4178804</v>
      </c>
      <c r="E177" s="2020">
        <v>1318191</v>
      </c>
      <c r="F177" s="2825">
        <v>8</v>
      </c>
      <c r="G177" s="1417">
        <v>0</v>
      </c>
    </row>
    <row r="178" spans="1:11">
      <c r="A178" t="s">
        <v>650</v>
      </c>
      <c r="B178" t="s">
        <v>2200</v>
      </c>
      <c r="C178" s="1417">
        <v>1.02</v>
      </c>
      <c r="D178" s="2020">
        <v>343739106</v>
      </c>
      <c r="E178" s="2020">
        <v>76974208</v>
      </c>
      <c r="F178" s="2825">
        <v>12</v>
      </c>
      <c r="G178" s="1417">
        <v>0</v>
      </c>
      <c r="H178" s="1665">
        <v>46048437</v>
      </c>
      <c r="I178" s="1665">
        <v>83008623</v>
      </c>
      <c r="J178" s="1665">
        <v>35265</v>
      </c>
      <c r="K178" s="1665">
        <v>10954270318</v>
      </c>
    </row>
    <row r="179" spans="1:11">
      <c r="A179" t="s">
        <v>218</v>
      </c>
      <c r="B179" t="s">
        <v>74</v>
      </c>
      <c r="C179" s="1417">
        <v>1.04</v>
      </c>
      <c r="D179" s="2020">
        <v>5116465</v>
      </c>
      <c r="E179" s="2020">
        <v>1240046</v>
      </c>
      <c r="F179" s="2825">
        <v>12</v>
      </c>
      <c r="G179" s="1417">
        <v>0</v>
      </c>
    </row>
    <row r="180" spans="1:11">
      <c r="A180" t="s">
        <v>1583</v>
      </c>
      <c r="B180" t="s">
        <v>76</v>
      </c>
      <c r="C180" s="1417">
        <v>1.17</v>
      </c>
      <c r="D180" s="2020">
        <v>16711398</v>
      </c>
      <c r="E180" s="2020">
        <v>4598272</v>
      </c>
      <c r="F180" s="2825">
        <v>12</v>
      </c>
      <c r="G180" s="1417">
        <v>0</v>
      </c>
      <c r="H180" s="1665">
        <v>131400</v>
      </c>
      <c r="I180" s="1665">
        <v>2038513</v>
      </c>
      <c r="J180" s="1417">
        <v>866</v>
      </c>
      <c r="K180" s="1665">
        <v>102770793</v>
      </c>
    </row>
    <row r="181" spans="1:11">
      <c r="A181" t="s">
        <v>1184</v>
      </c>
      <c r="B181" t="s">
        <v>1132</v>
      </c>
      <c r="C181" s="1417">
        <v>1.04</v>
      </c>
      <c r="D181" s="2020">
        <v>30514367</v>
      </c>
      <c r="E181" s="2020">
        <v>8120264</v>
      </c>
      <c r="F181" s="2825">
        <v>12</v>
      </c>
      <c r="G181" s="1417">
        <v>0</v>
      </c>
    </row>
    <row r="182" spans="1:11">
      <c r="A182" t="s">
        <v>878</v>
      </c>
      <c r="B182" t="s">
        <v>1345</v>
      </c>
      <c r="C182" s="1417">
        <v>1.17</v>
      </c>
      <c r="D182" s="2020">
        <v>1404017</v>
      </c>
      <c r="E182" s="2020">
        <v>434243</v>
      </c>
      <c r="F182" s="2825">
        <v>12</v>
      </c>
      <c r="G182" s="1417">
        <v>0</v>
      </c>
    </row>
    <row r="183" spans="1:11">
      <c r="A183" t="s">
        <v>1438</v>
      </c>
      <c r="B183" t="s">
        <v>1551</v>
      </c>
      <c r="C183" s="1417">
        <v>1.04</v>
      </c>
      <c r="D183" s="2020">
        <v>4291193</v>
      </c>
      <c r="E183" s="2020">
        <v>575361</v>
      </c>
      <c r="F183" s="2825">
        <v>12</v>
      </c>
      <c r="G183" s="1417">
        <v>0</v>
      </c>
    </row>
    <row r="184" spans="1:11">
      <c r="A184" t="s">
        <v>253</v>
      </c>
      <c r="B184" t="s">
        <v>2201</v>
      </c>
      <c r="C184" s="1417">
        <v>1.04</v>
      </c>
      <c r="D184" s="2020">
        <v>14410708</v>
      </c>
      <c r="E184" s="2020">
        <v>3825005</v>
      </c>
      <c r="F184" s="2825">
        <v>12</v>
      </c>
      <c r="G184" s="1417">
        <v>0</v>
      </c>
      <c r="H184" s="1665">
        <v>851612</v>
      </c>
      <c r="I184" s="1665">
        <v>1490540</v>
      </c>
      <c r="J184" s="1665">
        <v>1204</v>
      </c>
      <c r="K184" s="1665">
        <v>186182509</v>
      </c>
    </row>
    <row r="185" spans="1:11">
      <c r="A185" t="s">
        <v>254</v>
      </c>
      <c r="B185" t="s">
        <v>2202</v>
      </c>
      <c r="C185" s="1417">
        <v>1.02</v>
      </c>
      <c r="D185" s="2020">
        <v>819396</v>
      </c>
      <c r="E185" s="2020">
        <v>0</v>
      </c>
      <c r="F185" s="2825">
        <v>12</v>
      </c>
      <c r="G185" s="1417">
        <v>0</v>
      </c>
    </row>
    <row r="186" spans="1:11">
      <c r="A186" t="s">
        <v>588</v>
      </c>
      <c r="B186" t="s">
        <v>2203</v>
      </c>
      <c r="C186" s="1417">
        <v>1.03</v>
      </c>
      <c r="D186" s="2020">
        <v>386179</v>
      </c>
      <c r="E186" s="2020">
        <v>0</v>
      </c>
      <c r="F186" s="2825">
        <v>12</v>
      </c>
      <c r="G186" s="1417">
        <v>0</v>
      </c>
    </row>
    <row r="187" spans="1:11">
      <c r="A187" t="s">
        <v>1436</v>
      </c>
      <c r="B187" t="s">
        <v>1549</v>
      </c>
      <c r="C187" s="1417">
        <v>0.99</v>
      </c>
      <c r="D187" s="2020">
        <v>6413298</v>
      </c>
      <c r="E187" s="2020">
        <v>1272829</v>
      </c>
      <c r="F187" s="2825">
        <v>12</v>
      </c>
      <c r="G187" s="1417">
        <v>0</v>
      </c>
    </row>
    <row r="188" spans="1:11">
      <c r="A188" t="s">
        <v>589</v>
      </c>
      <c r="B188" t="s">
        <v>1031</v>
      </c>
      <c r="C188" s="1417">
        <v>1.04</v>
      </c>
      <c r="D188" s="2020">
        <v>6463513</v>
      </c>
      <c r="E188" s="2020">
        <v>402176</v>
      </c>
      <c r="F188" s="2825">
        <v>12</v>
      </c>
      <c r="G188" s="1417">
        <v>0</v>
      </c>
    </row>
    <row r="189" spans="1:11">
      <c r="A189" t="s">
        <v>27</v>
      </c>
      <c r="B189" t="s">
        <v>2205</v>
      </c>
      <c r="C189" s="1417">
        <v>1.04</v>
      </c>
      <c r="D189" s="2020">
        <v>2519395</v>
      </c>
      <c r="E189" s="2020">
        <v>507949</v>
      </c>
      <c r="F189" s="2825">
        <v>12</v>
      </c>
      <c r="G189" s="1417">
        <v>0</v>
      </c>
    </row>
    <row r="190" spans="1:11">
      <c r="A190" t="s">
        <v>28</v>
      </c>
      <c r="B190" t="s">
        <v>2206</v>
      </c>
      <c r="C190" s="1417">
        <v>1.0193000000000001</v>
      </c>
      <c r="D190" s="2020">
        <v>26265842</v>
      </c>
      <c r="E190" s="2020">
        <v>6839775</v>
      </c>
      <c r="F190" s="2825">
        <v>12</v>
      </c>
      <c r="G190" s="1417">
        <v>0</v>
      </c>
    </row>
    <row r="191" spans="1:11">
      <c r="A191" t="s">
        <v>1265</v>
      </c>
      <c r="B191" t="s">
        <v>2207</v>
      </c>
      <c r="C191" s="1417">
        <v>1.04</v>
      </c>
      <c r="D191" s="2020">
        <v>90793123</v>
      </c>
      <c r="E191" s="2020">
        <v>27796637</v>
      </c>
      <c r="F191" s="2825">
        <v>12</v>
      </c>
      <c r="G191" s="1417">
        <v>0</v>
      </c>
      <c r="H191" s="1665">
        <v>6364680</v>
      </c>
      <c r="I191" s="1665">
        <v>18512358</v>
      </c>
      <c r="J191" s="1665">
        <v>7655</v>
      </c>
      <c r="K191" s="1665">
        <v>1656586283</v>
      </c>
    </row>
    <row r="192" spans="1:11">
      <c r="A192" t="s">
        <v>2315</v>
      </c>
      <c r="B192" t="s">
        <v>2208</v>
      </c>
      <c r="C192" s="1417">
        <v>0.88</v>
      </c>
      <c r="D192" s="2020">
        <v>2175930</v>
      </c>
      <c r="E192" s="2020">
        <v>218</v>
      </c>
      <c r="F192" s="2825">
        <v>12</v>
      </c>
      <c r="G192" s="1417">
        <v>0</v>
      </c>
    </row>
    <row r="193" spans="1:11">
      <c r="A193" t="s">
        <v>2409</v>
      </c>
      <c r="B193" t="s">
        <v>2665</v>
      </c>
      <c r="C193" s="1417">
        <v>0.96299999999999997</v>
      </c>
      <c r="D193" s="2020">
        <v>1412654</v>
      </c>
      <c r="E193" s="2020">
        <v>38433</v>
      </c>
      <c r="F193" s="2825">
        <v>12</v>
      </c>
      <c r="G193" s="1417">
        <v>0</v>
      </c>
    </row>
    <row r="194" spans="1:11">
      <c r="A194" t="s">
        <v>2342</v>
      </c>
      <c r="B194" t="s">
        <v>1733</v>
      </c>
      <c r="C194" s="1417">
        <v>1.04</v>
      </c>
      <c r="D194" s="2020">
        <v>416500</v>
      </c>
      <c r="E194" s="2020">
        <v>24069</v>
      </c>
      <c r="F194" s="2825">
        <v>12</v>
      </c>
      <c r="G194" s="1417">
        <v>0</v>
      </c>
    </row>
    <row r="195" spans="1:11">
      <c r="A195" t="s">
        <v>2316</v>
      </c>
      <c r="B195" t="s">
        <v>2209</v>
      </c>
      <c r="C195" s="1417">
        <v>1.04</v>
      </c>
      <c r="D195" s="2020">
        <v>203078</v>
      </c>
      <c r="E195" s="2020">
        <v>0</v>
      </c>
      <c r="F195" s="2825">
        <v>12</v>
      </c>
      <c r="G195" s="1417">
        <v>0</v>
      </c>
    </row>
    <row r="196" spans="1:11">
      <c r="A196" t="s">
        <v>2317</v>
      </c>
      <c r="B196" t="s">
        <v>1032</v>
      </c>
      <c r="C196" s="1417">
        <v>1.04</v>
      </c>
      <c r="D196" s="2020">
        <v>1546259</v>
      </c>
      <c r="E196" s="2020">
        <v>0</v>
      </c>
      <c r="F196" s="2825">
        <v>12</v>
      </c>
      <c r="G196" s="1417">
        <v>0</v>
      </c>
    </row>
    <row r="197" spans="1:11">
      <c r="A197" t="s">
        <v>300</v>
      </c>
      <c r="B197" t="s">
        <v>2211</v>
      </c>
      <c r="C197" s="1417">
        <v>1.04</v>
      </c>
      <c r="D197" s="2020">
        <v>636900</v>
      </c>
      <c r="E197" s="2020">
        <v>0</v>
      </c>
      <c r="F197" s="2825">
        <v>12</v>
      </c>
      <c r="G197" s="1417">
        <v>0</v>
      </c>
    </row>
    <row r="198" spans="1:11">
      <c r="A198" t="s">
        <v>1427</v>
      </c>
      <c r="B198" t="s">
        <v>1479</v>
      </c>
      <c r="C198" s="1417">
        <v>1.04</v>
      </c>
      <c r="D198" s="2020">
        <v>8534854</v>
      </c>
      <c r="E198" s="2020">
        <v>2352483</v>
      </c>
      <c r="F198" s="2825">
        <v>12</v>
      </c>
      <c r="G198" s="1417">
        <v>0</v>
      </c>
    </row>
    <row r="199" spans="1:11">
      <c r="A199" t="s">
        <v>301</v>
      </c>
      <c r="B199" t="s">
        <v>2212</v>
      </c>
      <c r="C199" s="1417">
        <v>1.04</v>
      </c>
      <c r="D199" s="2020">
        <v>2544967</v>
      </c>
      <c r="E199" s="2020">
        <v>229752</v>
      </c>
      <c r="F199" s="2825">
        <v>12</v>
      </c>
      <c r="G199" s="1417">
        <v>0</v>
      </c>
    </row>
    <row r="200" spans="1:11">
      <c r="A200" t="s">
        <v>2503</v>
      </c>
      <c r="B200" t="s">
        <v>2364</v>
      </c>
      <c r="C200" s="1417">
        <v>1.04</v>
      </c>
      <c r="D200" s="2020">
        <v>1724430</v>
      </c>
      <c r="E200" s="2020">
        <v>120916</v>
      </c>
      <c r="F200" s="2825">
        <v>12</v>
      </c>
      <c r="G200" s="1417">
        <v>0</v>
      </c>
    </row>
    <row r="201" spans="1:11">
      <c r="A201" t="s">
        <v>302</v>
      </c>
      <c r="B201" t="s">
        <v>2213</v>
      </c>
      <c r="C201" s="1417">
        <v>1.04</v>
      </c>
      <c r="D201" s="2020">
        <v>5196786</v>
      </c>
      <c r="E201" s="2020">
        <v>282286</v>
      </c>
      <c r="F201" s="2825">
        <v>12</v>
      </c>
      <c r="G201" s="1417">
        <v>0</v>
      </c>
      <c r="H201" s="1665">
        <v>630015</v>
      </c>
      <c r="I201" s="1665">
        <v>2876463</v>
      </c>
      <c r="J201" s="1665">
        <v>1172</v>
      </c>
      <c r="K201" s="1665">
        <v>122356914</v>
      </c>
    </row>
    <row r="202" spans="1:11">
      <c r="A202" t="s">
        <v>303</v>
      </c>
      <c r="B202" t="s">
        <v>2214</v>
      </c>
      <c r="C202" s="1417">
        <v>1.04</v>
      </c>
      <c r="D202" s="2020">
        <v>945961</v>
      </c>
      <c r="E202" s="2020">
        <v>64332</v>
      </c>
      <c r="F202" s="2825">
        <v>12</v>
      </c>
      <c r="G202" s="1417">
        <v>0</v>
      </c>
    </row>
    <row r="203" spans="1:11">
      <c r="A203" t="s">
        <v>304</v>
      </c>
      <c r="B203" t="s">
        <v>2215</v>
      </c>
      <c r="C203" s="1417">
        <v>0.95669999999999999</v>
      </c>
      <c r="D203" s="2020">
        <v>1664160</v>
      </c>
      <c r="E203" s="2020">
        <v>92563</v>
      </c>
      <c r="F203" s="2825">
        <v>12</v>
      </c>
      <c r="G203" s="1417">
        <v>0</v>
      </c>
    </row>
    <row r="204" spans="1:11">
      <c r="A204" t="s">
        <v>1743</v>
      </c>
      <c r="B204" t="s">
        <v>2216</v>
      </c>
      <c r="C204" s="1417">
        <v>1.04</v>
      </c>
      <c r="D204" s="2020">
        <v>214049</v>
      </c>
      <c r="E204" s="2020">
        <v>0</v>
      </c>
      <c r="F204" s="2825">
        <v>8</v>
      </c>
      <c r="G204" s="1417">
        <v>0</v>
      </c>
    </row>
    <row r="205" spans="1:11">
      <c r="A205" t="s">
        <v>1744</v>
      </c>
      <c r="B205" t="s">
        <v>2217</v>
      </c>
      <c r="C205" s="1417">
        <v>0.88670000000000004</v>
      </c>
      <c r="D205" s="2020">
        <v>890440</v>
      </c>
      <c r="E205" s="2020">
        <v>0</v>
      </c>
      <c r="F205" s="2825">
        <v>8</v>
      </c>
      <c r="G205" s="1417">
        <v>0</v>
      </c>
      <c r="H205" s="1665">
        <v>43839</v>
      </c>
      <c r="I205" s="1665">
        <v>335448</v>
      </c>
      <c r="J205" s="1417">
        <v>224</v>
      </c>
      <c r="K205" s="1665">
        <v>29783777</v>
      </c>
    </row>
    <row r="206" spans="1:11">
      <c r="A206" t="s">
        <v>1316</v>
      </c>
      <c r="B206" t="s">
        <v>2218</v>
      </c>
      <c r="C206" s="1417">
        <v>1.01</v>
      </c>
      <c r="D206" s="2020">
        <v>733041</v>
      </c>
      <c r="E206" s="2020">
        <v>0</v>
      </c>
      <c r="F206" s="2825">
        <v>12</v>
      </c>
      <c r="G206" s="1417">
        <v>0</v>
      </c>
    </row>
    <row r="207" spans="1:11">
      <c r="A207" t="s">
        <v>1107</v>
      </c>
      <c r="B207" t="s">
        <v>2219</v>
      </c>
      <c r="C207" s="1417">
        <v>1.04</v>
      </c>
      <c r="D207" s="2020">
        <v>5464672</v>
      </c>
      <c r="E207" s="2020">
        <v>324927</v>
      </c>
      <c r="F207" s="2825">
        <v>12</v>
      </c>
      <c r="G207" s="1417">
        <v>0</v>
      </c>
    </row>
    <row r="208" spans="1:11">
      <c r="A208" t="s">
        <v>2148</v>
      </c>
      <c r="B208" t="s">
        <v>261</v>
      </c>
      <c r="C208" s="1417">
        <v>1.04</v>
      </c>
      <c r="D208" s="2020">
        <v>338941</v>
      </c>
      <c r="E208" s="2020">
        <v>20158</v>
      </c>
      <c r="F208" s="2825">
        <v>12</v>
      </c>
      <c r="G208" s="1417">
        <v>0</v>
      </c>
    </row>
    <row r="209" spans="1:11">
      <c r="A209" t="s">
        <v>1108</v>
      </c>
      <c r="B209" t="s">
        <v>2220</v>
      </c>
      <c r="C209" s="1417">
        <v>1.0397000000000001</v>
      </c>
      <c r="D209" s="2020">
        <v>527025</v>
      </c>
      <c r="E209" s="2020">
        <v>0</v>
      </c>
      <c r="F209" s="2825">
        <v>12</v>
      </c>
      <c r="G209" s="1417">
        <v>0</v>
      </c>
    </row>
    <row r="210" spans="1:11">
      <c r="A210" t="s">
        <v>2398</v>
      </c>
      <c r="B210" t="s">
        <v>2573</v>
      </c>
      <c r="C210" s="1417">
        <v>1.04</v>
      </c>
      <c r="D210" s="2020">
        <v>11701033</v>
      </c>
      <c r="E210" s="2020">
        <v>1315336</v>
      </c>
      <c r="F210" s="2825">
        <v>12</v>
      </c>
      <c r="G210" s="1417">
        <v>0</v>
      </c>
    </row>
    <row r="211" spans="1:11">
      <c r="A211" t="s">
        <v>1109</v>
      </c>
      <c r="B211" t="s">
        <v>2221</v>
      </c>
      <c r="C211" s="1417">
        <v>1.04</v>
      </c>
      <c r="D211" s="2020">
        <v>1318828</v>
      </c>
      <c r="E211" s="2020">
        <v>0</v>
      </c>
      <c r="F211" s="2825">
        <v>12</v>
      </c>
      <c r="G211" s="1417">
        <v>0</v>
      </c>
    </row>
    <row r="212" spans="1:11">
      <c r="A212" t="s">
        <v>681</v>
      </c>
      <c r="B212" t="s">
        <v>2222</v>
      </c>
      <c r="C212" s="1417">
        <v>1.04</v>
      </c>
      <c r="D212" s="2020">
        <v>19858444</v>
      </c>
      <c r="E212" s="2020">
        <v>0</v>
      </c>
      <c r="F212" s="2825">
        <v>12</v>
      </c>
      <c r="G212" s="1417">
        <v>0</v>
      </c>
      <c r="H212" s="1665">
        <v>4915084</v>
      </c>
      <c r="I212" s="1665">
        <v>3835670</v>
      </c>
      <c r="J212" s="1665">
        <v>1610</v>
      </c>
      <c r="K212" s="1665">
        <v>1165505626</v>
      </c>
    </row>
    <row r="213" spans="1:11">
      <c r="A213" t="s">
        <v>682</v>
      </c>
      <c r="B213" t="s">
        <v>1033</v>
      </c>
      <c r="C213" s="1417">
        <v>1.04</v>
      </c>
      <c r="D213" s="2020">
        <v>21373399</v>
      </c>
      <c r="E213" s="2020">
        <v>0</v>
      </c>
      <c r="F213" s="2825">
        <v>12</v>
      </c>
      <c r="G213" s="1417">
        <v>0</v>
      </c>
      <c r="H213" s="1665">
        <v>769121</v>
      </c>
      <c r="I213" s="1665">
        <v>3382916</v>
      </c>
      <c r="J213" s="1665">
        <v>1441</v>
      </c>
      <c r="K213" s="1665">
        <v>544270659</v>
      </c>
    </row>
    <row r="214" spans="1:11">
      <c r="A214" t="s">
        <v>683</v>
      </c>
      <c r="B214" t="s">
        <v>1034</v>
      </c>
      <c r="C214" s="1417">
        <v>1.04</v>
      </c>
      <c r="D214" s="2020">
        <v>652245</v>
      </c>
      <c r="E214" s="2020">
        <v>0</v>
      </c>
      <c r="F214" s="2825">
        <v>12</v>
      </c>
      <c r="G214" s="1417">
        <v>0</v>
      </c>
    </row>
    <row r="215" spans="1:11">
      <c r="A215" t="s">
        <v>684</v>
      </c>
      <c r="B215" t="s">
        <v>664</v>
      </c>
      <c r="C215" s="1417">
        <v>1.0106999999999999</v>
      </c>
      <c r="D215" s="2020">
        <v>933865</v>
      </c>
      <c r="E215" s="2020">
        <v>0</v>
      </c>
      <c r="F215" s="2825">
        <v>12</v>
      </c>
      <c r="G215" s="1417">
        <v>0</v>
      </c>
    </row>
    <row r="216" spans="1:11">
      <c r="A216" t="s">
        <v>392</v>
      </c>
      <c r="B216" t="s">
        <v>665</v>
      </c>
      <c r="C216" s="1417">
        <v>1.0039</v>
      </c>
      <c r="D216" s="2020">
        <v>868258</v>
      </c>
      <c r="E216" s="2020">
        <v>0</v>
      </c>
      <c r="F216" s="2825">
        <v>12</v>
      </c>
      <c r="G216" s="1417">
        <v>0</v>
      </c>
    </row>
    <row r="217" spans="1:11">
      <c r="A217" t="s">
        <v>2559</v>
      </c>
      <c r="B217" t="s">
        <v>122</v>
      </c>
      <c r="C217" s="1417">
        <v>1.04</v>
      </c>
      <c r="D217" s="2020">
        <v>2968461</v>
      </c>
      <c r="E217" s="2020">
        <v>141141</v>
      </c>
      <c r="F217" s="2825">
        <v>12</v>
      </c>
      <c r="G217" s="1417">
        <v>0</v>
      </c>
    </row>
    <row r="218" spans="1:11">
      <c r="A218" t="s">
        <v>2560</v>
      </c>
      <c r="B218" t="s">
        <v>123</v>
      </c>
      <c r="C218" s="1417">
        <v>1.04</v>
      </c>
      <c r="D218" s="2020">
        <v>5113966</v>
      </c>
      <c r="E218" s="2020">
        <v>1152540</v>
      </c>
      <c r="F218" s="2825">
        <v>12</v>
      </c>
      <c r="G218" s="1417">
        <v>0</v>
      </c>
    </row>
    <row r="219" spans="1:11">
      <c r="A219" t="s">
        <v>2561</v>
      </c>
      <c r="B219" t="s">
        <v>124</v>
      </c>
      <c r="C219" s="1417">
        <v>1.17</v>
      </c>
      <c r="D219" s="2020">
        <v>987905</v>
      </c>
      <c r="E219" s="2020">
        <v>0</v>
      </c>
      <c r="F219" s="2825">
        <v>12</v>
      </c>
      <c r="G219" s="1417">
        <v>0</v>
      </c>
    </row>
    <row r="220" spans="1:11">
      <c r="A220" t="s">
        <v>1642</v>
      </c>
      <c r="B220" t="s">
        <v>125</v>
      </c>
      <c r="C220" s="1417">
        <v>1.04</v>
      </c>
      <c r="D220" s="2020">
        <v>153840306</v>
      </c>
      <c r="E220" s="2020">
        <v>43885152</v>
      </c>
      <c r="F220" s="2825">
        <v>12</v>
      </c>
      <c r="G220" s="1417">
        <v>0</v>
      </c>
      <c r="H220" s="1665">
        <v>22563591</v>
      </c>
      <c r="I220" s="1665">
        <v>46513607</v>
      </c>
      <c r="J220" s="1665">
        <v>19724</v>
      </c>
      <c r="K220" s="1665">
        <v>7462785448</v>
      </c>
    </row>
    <row r="221" spans="1:11">
      <c r="A221" t="s">
        <v>385</v>
      </c>
      <c r="B221" t="s">
        <v>126</v>
      </c>
      <c r="C221" s="1417">
        <v>1.04</v>
      </c>
      <c r="D221" s="2020">
        <v>31040096</v>
      </c>
      <c r="E221" s="2020">
        <v>9486366</v>
      </c>
      <c r="F221" s="2825">
        <v>12</v>
      </c>
      <c r="G221" s="1417">
        <v>0</v>
      </c>
    </row>
    <row r="222" spans="1:11">
      <c r="A222" t="s">
        <v>386</v>
      </c>
      <c r="B222" t="s">
        <v>127</v>
      </c>
      <c r="C222" s="1417">
        <v>1.04</v>
      </c>
      <c r="D222" s="2020">
        <v>846967665</v>
      </c>
      <c r="E222" s="2020">
        <v>113671580</v>
      </c>
      <c r="F222" s="2825">
        <v>12</v>
      </c>
      <c r="G222" s="1417">
        <v>0</v>
      </c>
      <c r="H222" s="1665">
        <v>117664387</v>
      </c>
      <c r="I222" s="1665">
        <v>386855829</v>
      </c>
      <c r="J222" s="1665">
        <v>163908</v>
      </c>
      <c r="K222" s="1665">
        <v>41330652324</v>
      </c>
    </row>
    <row r="223" spans="1:11">
      <c r="A223" t="s">
        <v>387</v>
      </c>
      <c r="B223" t="s">
        <v>128</v>
      </c>
      <c r="C223" s="1417">
        <v>1.04</v>
      </c>
      <c r="D223" s="2020">
        <v>25909179</v>
      </c>
      <c r="E223" s="2020">
        <v>8376684</v>
      </c>
      <c r="F223" s="2825">
        <v>12</v>
      </c>
      <c r="G223" s="1417">
        <v>0</v>
      </c>
    </row>
    <row r="224" spans="1:11">
      <c r="A224" t="s">
        <v>388</v>
      </c>
      <c r="B224" t="s">
        <v>129</v>
      </c>
      <c r="C224" s="1417">
        <v>1.04</v>
      </c>
      <c r="D224" s="2020">
        <v>38471897</v>
      </c>
      <c r="E224" s="2020">
        <v>11636191</v>
      </c>
      <c r="F224" s="2825">
        <v>12</v>
      </c>
      <c r="G224" s="1417">
        <v>0</v>
      </c>
    </row>
    <row r="225" spans="1:11">
      <c r="A225" t="s">
        <v>2578</v>
      </c>
      <c r="B225" t="s">
        <v>1482</v>
      </c>
      <c r="C225" s="1417">
        <v>1.04</v>
      </c>
      <c r="D225" s="2020">
        <v>150784374</v>
      </c>
      <c r="E225" s="2020">
        <v>27212709</v>
      </c>
      <c r="F225" s="2825">
        <v>12</v>
      </c>
      <c r="G225" s="1417">
        <v>0</v>
      </c>
    </row>
    <row r="226" spans="1:11">
      <c r="A226" t="s">
        <v>666</v>
      </c>
      <c r="B226" t="s">
        <v>863</v>
      </c>
      <c r="C226" s="1417">
        <v>1.04</v>
      </c>
      <c r="D226" s="2020">
        <v>51025156</v>
      </c>
      <c r="E226" s="2020">
        <v>11377619</v>
      </c>
      <c r="F226" s="2825">
        <v>12</v>
      </c>
      <c r="G226" s="1417">
        <v>0</v>
      </c>
    </row>
    <row r="227" spans="1:11">
      <c r="A227" t="s">
        <v>533</v>
      </c>
      <c r="B227" t="s">
        <v>130</v>
      </c>
      <c r="C227" s="1417">
        <v>0.97670000000000001</v>
      </c>
      <c r="D227" s="2020">
        <v>115269807</v>
      </c>
      <c r="E227" s="2020">
        <v>5958579</v>
      </c>
      <c r="F227" s="2825">
        <v>12</v>
      </c>
      <c r="G227" s="1417">
        <v>0</v>
      </c>
      <c r="H227" s="1665">
        <v>12045245</v>
      </c>
      <c r="I227" s="1665">
        <v>10678308</v>
      </c>
      <c r="J227" s="1665">
        <v>4630</v>
      </c>
      <c r="K227" s="1665">
        <v>3633130182</v>
      </c>
    </row>
    <row r="228" spans="1:11">
      <c r="A228" t="s">
        <v>41</v>
      </c>
      <c r="B228" t="s">
        <v>1269</v>
      </c>
      <c r="C228" s="1417">
        <v>1</v>
      </c>
      <c r="D228" s="2020">
        <v>99529028</v>
      </c>
      <c r="E228" s="2020">
        <v>26750198</v>
      </c>
      <c r="F228" s="2825">
        <v>12</v>
      </c>
      <c r="G228" s="1417">
        <v>0</v>
      </c>
    </row>
    <row r="229" spans="1:11">
      <c r="A229" t="s">
        <v>1790</v>
      </c>
      <c r="B229" t="s">
        <v>131</v>
      </c>
      <c r="C229" s="1417">
        <v>1.0146999999999999</v>
      </c>
      <c r="D229" s="2020">
        <v>17974519</v>
      </c>
      <c r="E229" s="2020">
        <v>5748627</v>
      </c>
      <c r="F229" s="2825">
        <v>12</v>
      </c>
      <c r="G229" s="1417">
        <v>0</v>
      </c>
    </row>
    <row r="230" spans="1:11">
      <c r="A230" t="s">
        <v>2533</v>
      </c>
      <c r="B230" t="s">
        <v>2235</v>
      </c>
      <c r="C230" s="1417">
        <v>1.0066999999999999</v>
      </c>
      <c r="D230" s="2020">
        <v>69814170</v>
      </c>
      <c r="E230" s="2020">
        <v>21817823</v>
      </c>
      <c r="F230" s="2825">
        <v>12</v>
      </c>
      <c r="G230" s="1417">
        <v>0</v>
      </c>
    </row>
    <row r="231" spans="1:11">
      <c r="A231" t="s">
        <v>1791</v>
      </c>
      <c r="B231" t="s">
        <v>2610</v>
      </c>
      <c r="C231" s="1417">
        <v>1.04</v>
      </c>
      <c r="D231" s="2020">
        <v>185514074</v>
      </c>
      <c r="E231" s="2020">
        <v>47361225</v>
      </c>
      <c r="F231" s="2825">
        <v>12</v>
      </c>
      <c r="G231" s="1417">
        <v>0</v>
      </c>
      <c r="H231" s="1665">
        <v>42999082</v>
      </c>
      <c r="I231" s="1665">
        <v>84493156</v>
      </c>
      <c r="J231" s="1665">
        <v>36330</v>
      </c>
      <c r="K231" s="1665">
        <v>11351545374</v>
      </c>
    </row>
    <row r="232" spans="1:11">
      <c r="A232" t="s">
        <v>2688</v>
      </c>
      <c r="B232" t="s">
        <v>2611</v>
      </c>
      <c r="C232" s="1417">
        <v>1.004</v>
      </c>
      <c r="D232" s="2020">
        <v>5896051</v>
      </c>
      <c r="E232" s="2020">
        <v>1008497</v>
      </c>
      <c r="F232" s="2825">
        <v>8</v>
      </c>
      <c r="G232" s="1417">
        <v>0</v>
      </c>
      <c r="H232" s="1665">
        <v>558369</v>
      </c>
      <c r="I232" s="1665">
        <v>1108739</v>
      </c>
      <c r="J232" s="1417">
        <v>640</v>
      </c>
      <c r="K232" s="1665">
        <v>184959495</v>
      </c>
    </row>
    <row r="233" spans="1:11">
      <c r="A233" t="s">
        <v>249</v>
      </c>
      <c r="B233" t="s">
        <v>2612</v>
      </c>
      <c r="C233" s="1417">
        <v>1.04</v>
      </c>
      <c r="D233" s="2020">
        <v>81090651</v>
      </c>
      <c r="E233" s="2020">
        <v>14767314</v>
      </c>
      <c r="F233" s="2825">
        <v>12</v>
      </c>
      <c r="G233" s="1417">
        <v>0</v>
      </c>
      <c r="H233" s="1665">
        <v>6202354</v>
      </c>
      <c r="I233" s="1665">
        <v>10815351</v>
      </c>
      <c r="J233" s="1665">
        <v>4598</v>
      </c>
      <c r="K233" s="1665">
        <v>1888361123</v>
      </c>
    </row>
    <row r="234" spans="1:11">
      <c r="A234" t="s">
        <v>250</v>
      </c>
      <c r="B234" t="s">
        <v>2663</v>
      </c>
      <c r="C234" s="1417">
        <v>1.04</v>
      </c>
      <c r="D234" s="2020">
        <v>2286184</v>
      </c>
      <c r="E234" s="2020">
        <v>620</v>
      </c>
      <c r="F234" s="2825">
        <v>12</v>
      </c>
      <c r="G234" s="1417">
        <v>0</v>
      </c>
      <c r="H234" s="1665">
        <v>517588</v>
      </c>
      <c r="I234" s="1665">
        <v>683603</v>
      </c>
      <c r="J234" s="1417">
        <v>230</v>
      </c>
      <c r="K234" s="1665">
        <v>236018956</v>
      </c>
    </row>
    <row r="235" spans="1:11">
      <c r="A235" t="s">
        <v>251</v>
      </c>
      <c r="B235" t="s">
        <v>2613</v>
      </c>
      <c r="C235" s="1417">
        <v>1.04</v>
      </c>
      <c r="D235" s="2020">
        <v>3664103</v>
      </c>
      <c r="E235" s="2020">
        <v>0</v>
      </c>
      <c r="F235" s="2825">
        <v>12</v>
      </c>
      <c r="G235" s="1417">
        <v>0</v>
      </c>
      <c r="H235" s="1665">
        <v>705140</v>
      </c>
      <c r="I235" s="1665">
        <v>1033305</v>
      </c>
      <c r="J235" s="1417">
        <v>382</v>
      </c>
      <c r="K235" s="1665">
        <v>202734718</v>
      </c>
    </row>
    <row r="236" spans="1:11">
      <c r="A236" t="s">
        <v>252</v>
      </c>
      <c r="B236" t="s">
        <v>2614</v>
      </c>
      <c r="C236" s="1417">
        <v>1.04</v>
      </c>
      <c r="D236" s="2020">
        <v>3886362</v>
      </c>
      <c r="E236" s="2020">
        <v>0</v>
      </c>
      <c r="F236" s="2825">
        <v>12</v>
      </c>
      <c r="G236" s="1417">
        <v>0</v>
      </c>
    </row>
    <row r="237" spans="1:11">
      <c r="A237" t="s">
        <v>374</v>
      </c>
      <c r="B237" t="s">
        <v>2615</v>
      </c>
      <c r="C237" s="1417">
        <v>1.04</v>
      </c>
      <c r="D237" s="2020">
        <v>1839825</v>
      </c>
      <c r="E237" s="2020">
        <v>0</v>
      </c>
      <c r="F237" s="2825">
        <v>12</v>
      </c>
      <c r="G237" s="1417">
        <v>0</v>
      </c>
      <c r="H237" s="1665">
        <v>183938</v>
      </c>
      <c r="I237" s="1665">
        <v>800053</v>
      </c>
      <c r="J237" s="1417">
        <v>286</v>
      </c>
      <c r="K237" s="1665">
        <v>84669572</v>
      </c>
    </row>
    <row r="238" spans="1:11">
      <c r="A238" t="s">
        <v>1864</v>
      </c>
      <c r="B238" t="s">
        <v>2372</v>
      </c>
      <c r="C238" s="1417">
        <v>1.04</v>
      </c>
      <c r="D238" s="2020">
        <v>7981217</v>
      </c>
      <c r="E238" s="2020">
        <v>0</v>
      </c>
      <c r="F238" s="2825">
        <v>12</v>
      </c>
      <c r="G238" s="1417">
        <v>0</v>
      </c>
    </row>
    <row r="239" spans="1:11">
      <c r="A239" t="s">
        <v>1068</v>
      </c>
      <c r="B239" t="s">
        <v>2616</v>
      </c>
      <c r="C239" s="1417">
        <v>0.72499999999999998</v>
      </c>
      <c r="D239" s="2020">
        <v>231929</v>
      </c>
      <c r="E239" s="2020">
        <v>0</v>
      </c>
      <c r="F239" s="2825">
        <v>8</v>
      </c>
      <c r="G239" s="1417">
        <v>31</v>
      </c>
    </row>
    <row r="240" spans="1:11">
      <c r="A240" t="s">
        <v>1069</v>
      </c>
      <c r="B240" t="s">
        <v>2617</v>
      </c>
      <c r="C240" s="1417">
        <v>1.17</v>
      </c>
      <c r="D240" s="2020">
        <v>1748396</v>
      </c>
      <c r="E240" s="2020">
        <v>160864</v>
      </c>
      <c r="F240" s="2825">
        <v>12</v>
      </c>
      <c r="G240" s="1417">
        <v>0</v>
      </c>
    </row>
    <row r="241" spans="1:11">
      <c r="A241" t="s">
        <v>640</v>
      </c>
      <c r="B241" t="s">
        <v>107</v>
      </c>
      <c r="C241" s="1417">
        <v>1.04</v>
      </c>
      <c r="D241" s="2020">
        <v>484857</v>
      </c>
      <c r="E241" s="2020">
        <v>55417</v>
      </c>
      <c r="F241" s="2825">
        <v>12</v>
      </c>
      <c r="G241" s="1417">
        <v>0</v>
      </c>
    </row>
    <row r="242" spans="1:11">
      <c r="A242" t="s">
        <v>1070</v>
      </c>
      <c r="B242" t="s">
        <v>2618</v>
      </c>
      <c r="C242" s="1417">
        <v>1.04</v>
      </c>
      <c r="D242" s="2020">
        <v>92617520</v>
      </c>
      <c r="E242" s="2020">
        <v>30355045</v>
      </c>
      <c r="F242" s="2825">
        <v>12</v>
      </c>
      <c r="G242" s="1417">
        <v>0</v>
      </c>
      <c r="H242" s="1665">
        <v>7523388</v>
      </c>
      <c r="I242" s="1665">
        <v>29904013</v>
      </c>
      <c r="J242" s="1665">
        <v>12405</v>
      </c>
      <c r="K242" s="1665">
        <v>2242103646</v>
      </c>
    </row>
    <row r="243" spans="1:11">
      <c r="A243" t="s">
        <v>1770</v>
      </c>
      <c r="B243" t="s">
        <v>2466</v>
      </c>
      <c r="C243" s="1417">
        <v>1.04</v>
      </c>
      <c r="D243" s="2020">
        <v>235599618</v>
      </c>
      <c r="E243" s="2020">
        <v>60695025</v>
      </c>
      <c r="F243" s="2825">
        <v>12</v>
      </c>
      <c r="G243" s="1417">
        <v>0</v>
      </c>
      <c r="H243" s="1665">
        <v>8302442</v>
      </c>
      <c r="I243" s="1665">
        <v>59438607</v>
      </c>
      <c r="J243" s="1665">
        <v>25036</v>
      </c>
      <c r="K243" s="1665">
        <v>4347145101</v>
      </c>
    </row>
    <row r="244" spans="1:11">
      <c r="A244" t="s">
        <v>212</v>
      </c>
      <c r="B244" t="s">
        <v>1000</v>
      </c>
      <c r="C244" s="1417">
        <v>1.04</v>
      </c>
      <c r="D244" s="2020">
        <v>5090040</v>
      </c>
      <c r="E244" s="2020">
        <v>1088090</v>
      </c>
      <c r="F244" s="2825">
        <v>12</v>
      </c>
      <c r="G244" s="1417">
        <v>0</v>
      </c>
    </row>
    <row r="245" spans="1:11">
      <c r="A245" t="s">
        <v>717</v>
      </c>
      <c r="B245" t="s">
        <v>1692</v>
      </c>
      <c r="C245" s="1417">
        <v>1.04</v>
      </c>
      <c r="D245" s="2020">
        <v>7607575</v>
      </c>
      <c r="E245" s="2020">
        <v>1609157</v>
      </c>
      <c r="F245" s="2825">
        <v>12</v>
      </c>
      <c r="G245" s="1417">
        <v>0</v>
      </c>
      <c r="H245" s="1417">
        <v>0</v>
      </c>
      <c r="I245" s="1665">
        <v>2754878</v>
      </c>
      <c r="J245" s="1665">
        <v>1160</v>
      </c>
      <c r="K245" s="1665">
        <v>78179861</v>
      </c>
    </row>
    <row r="246" spans="1:11">
      <c r="A246" t="s">
        <v>214</v>
      </c>
      <c r="B246" t="s">
        <v>1002</v>
      </c>
      <c r="C246" s="1417">
        <v>1.04</v>
      </c>
      <c r="D246" s="2020">
        <v>8774079</v>
      </c>
      <c r="E246" s="2020">
        <v>1594906</v>
      </c>
      <c r="F246" s="2825">
        <v>12</v>
      </c>
      <c r="G246" s="1417">
        <v>0</v>
      </c>
      <c r="H246" s="1665">
        <v>13529</v>
      </c>
      <c r="I246" s="1665">
        <v>1389534</v>
      </c>
      <c r="J246" s="1417">
        <v>573</v>
      </c>
      <c r="K246" s="1665">
        <v>48614520</v>
      </c>
    </row>
    <row r="247" spans="1:11">
      <c r="A247" t="s">
        <v>1680</v>
      </c>
      <c r="B247" t="s">
        <v>2116</v>
      </c>
      <c r="C247" s="1417">
        <v>1.04</v>
      </c>
      <c r="D247" s="2020">
        <v>5443793</v>
      </c>
      <c r="E247" s="2020">
        <v>1261513</v>
      </c>
      <c r="F247" s="2825">
        <v>12</v>
      </c>
      <c r="G247" s="1417">
        <v>0</v>
      </c>
    </row>
    <row r="248" spans="1:11">
      <c r="A248" t="s">
        <v>490</v>
      </c>
      <c r="B248" t="s">
        <v>2060</v>
      </c>
      <c r="C248" s="1417">
        <v>1.04</v>
      </c>
      <c r="D248" s="2020">
        <v>6948629</v>
      </c>
      <c r="E248" s="2020">
        <v>1759073</v>
      </c>
      <c r="F248" s="2825">
        <v>12</v>
      </c>
      <c r="G248" s="1417">
        <v>0</v>
      </c>
    </row>
    <row r="249" spans="1:11">
      <c r="A249" t="s">
        <v>1838</v>
      </c>
      <c r="B249" t="s">
        <v>2619</v>
      </c>
      <c r="C249" s="1417">
        <v>1.04</v>
      </c>
      <c r="D249" s="2020">
        <v>9790483</v>
      </c>
      <c r="E249" s="2020">
        <v>3188824</v>
      </c>
      <c r="F249" s="2825">
        <v>9</v>
      </c>
      <c r="G249" s="1417">
        <v>0</v>
      </c>
      <c r="H249" s="1665">
        <v>760096</v>
      </c>
      <c r="I249" s="1665">
        <v>1830649</v>
      </c>
      <c r="J249" s="1417">
        <v>859</v>
      </c>
      <c r="K249" s="1665">
        <v>158522582</v>
      </c>
    </row>
    <row r="250" spans="1:11">
      <c r="A250" t="s">
        <v>1410</v>
      </c>
      <c r="B250" t="s">
        <v>1256</v>
      </c>
      <c r="C250" s="1417">
        <v>1</v>
      </c>
      <c r="D250" s="2020">
        <v>86446166</v>
      </c>
      <c r="E250" s="2020">
        <v>25585545</v>
      </c>
      <c r="F250" s="2825">
        <v>12</v>
      </c>
      <c r="G250" s="1417">
        <v>0</v>
      </c>
      <c r="H250" s="1665">
        <v>2643176</v>
      </c>
      <c r="I250" s="1665">
        <v>10020125</v>
      </c>
      <c r="J250" s="1665">
        <v>4119</v>
      </c>
      <c r="K250" s="1665">
        <v>604993424</v>
      </c>
    </row>
    <row r="251" spans="1:11">
      <c r="A251" t="s">
        <v>61</v>
      </c>
      <c r="B251" t="s">
        <v>2300</v>
      </c>
      <c r="C251" s="1417">
        <v>1.04</v>
      </c>
      <c r="D251" s="2020">
        <v>13464902</v>
      </c>
      <c r="E251" s="2020">
        <v>4791570</v>
      </c>
      <c r="F251" s="2825">
        <v>12</v>
      </c>
      <c r="G251" s="1417">
        <v>0</v>
      </c>
    </row>
    <row r="252" spans="1:11">
      <c r="A252" t="s">
        <v>641</v>
      </c>
      <c r="B252" t="s">
        <v>1567</v>
      </c>
      <c r="C252" s="1417">
        <v>1.03</v>
      </c>
      <c r="D252" s="2020">
        <v>15102972</v>
      </c>
      <c r="E252" s="2020">
        <v>4870724</v>
      </c>
      <c r="F252" s="2825">
        <v>12</v>
      </c>
      <c r="G252" s="1417">
        <v>0</v>
      </c>
    </row>
    <row r="253" spans="1:11">
      <c r="A253" t="s">
        <v>2504</v>
      </c>
      <c r="B253" t="s">
        <v>421</v>
      </c>
      <c r="C253" s="1417">
        <v>1.1122000000000001</v>
      </c>
      <c r="D253" s="2020">
        <v>4389991</v>
      </c>
      <c r="E253" s="2020">
        <v>541772</v>
      </c>
      <c r="F253" s="2825">
        <v>12</v>
      </c>
      <c r="G253" s="1417">
        <v>0</v>
      </c>
    </row>
    <row r="254" spans="1:11">
      <c r="A254" t="s">
        <v>1839</v>
      </c>
      <c r="B254" t="s">
        <v>2620</v>
      </c>
      <c r="C254" s="1417">
        <v>1.0720000000000001</v>
      </c>
      <c r="D254" s="2020">
        <v>797758</v>
      </c>
      <c r="E254" s="2020">
        <v>83633</v>
      </c>
      <c r="F254" s="2825">
        <v>12</v>
      </c>
      <c r="G254" s="1417">
        <v>0</v>
      </c>
      <c r="H254" s="1665">
        <v>190340</v>
      </c>
      <c r="I254" s="1665">
        <v>498001</v>
      </c>
      <c r="J254" s="1417">
        <v>231</v>
      </c>
      <c r="K254" s="1665">
        <v>35157098</v>
      </c>
    </row>
    <row r="255" spans="1:11">
      <c r="A255" t="s">
        <v>1185</v>
      </c>
      <c r="B255" t="s">
        <v>2196</v>
      </c>
      <c r="C255" s="1417">
        <v>1.04</v>
      </c>
      <c r="D255" s="2020">
        <v>3519412</v>
      </c>
      <c r="E255" s="2020">
        <v>483244</v>
      </c>
      <c r="F255" s="2825">
        <v>12</v>
      </c>
      <c r="G255" s="1417">
        <v>0</v>
      </c>
    </row>
    <row r="256" spans="1:11">
      <c r="A256" t="s">
        <v>1840</v>
      </c>
      <c r="B256" t="s">
        <v>2621</v>
      </c>
      <c r="C256" s="1417">
        <v>1.04</v>
      </c>
      <c r="D256" s="2020">
        <v>1288063</v>
      </c>
      <c r="E256" s="2020">
        <v>0</v>
      </c>
      <c r="F256" s="2825">
        <v>12</v>
      </c>
      <c r="G256" s="1417">
        <v>0</v>
      </c>
    </row>
    <row r="257" spans="1:11">
      <c r="A257" t="s">
        <v>698</v>
      </c>
      <c r="B257" t="s">
        <v>2622</v>
      </c>
      <c r="C257" s="1417">
        <v>0.95130000000000003</v>
      </c>
      <c r="D257" s="2020">
        <v>193303</v>
      </c>
      <c r="E257" s="2020">
        <v>23738</v>
      </c>
      <c r="F257" s="2825">
        <v>8</v>
      </c>
      <c r="G257" s="1417">
        <v>0</v>
      </c>
    </row>
    <row r="258" spans="1:11">
      <c r="A258" t="s">
        <v>299</v>
      </c>
      <c r="B258" t="s">
        <v>2623</v>
      </c>
      <c r="C258" s="1417">
        <v>1.04</v>
      </c>
      <c r="D258" s="2020">
        <v>778872</v>
      </c>
      <c r="E258" s="2020">
        <v>0</v>
      </c>
      <c r="F258" s="2825">
        <v>8</v>
      </c>
      <c r="G258" s="1417">
        <v>0</v>
      </c>
      <c r="H258" s="1665">
        <v>228291</v>
      </c>
      <c r="I258" s="1665">
        <v>572430</v>
      </c>
      <c r="J258" s="1417">
        <v>314</v>
      </c>
      <c r="K258" s="1665">
        <v>53590410</v>
      </c>
    </row>
    <row r="259" spans="1:11">
      <c r="A259" t="s">
        <v>175</v>
      </c>
      <c r="B259" t="s">
        <v>2624</v>
      </c>
      <c r="C259" s="1417">
        <v>1.04</v>
      </c>
      <c r="D259" s="2020">
        <v>2587958</v>
      </c>
      <c r="E259" s="2020">
        <v>0</v>
      </c>
      <c r="F259" s="2825">
        <v>12</v>
      </c>
      <c r="G259" s="1417">
        <v>0</v>
      </c>
      <c r="H259" s="1665">
        <v>203594</v>
      </c>
      <c r="I259" s="1665">
        <v>1730495</v>
      </c>
      <c r="J259" s="1417">
        <v>737</v>
      </c>
      <c r="K259" s="1665">
        <v>63577611</v>
      </c>
    </row>
    <row r="260" spans="1:11">
      <c r="A260" t="s">
        <v>176</v>
      </c>
      <c r="B260" t="s">
        <v>2625</v>
      </c>
      <c r="C260" s="1417">
        <v>1.04</v>
      </c>
      <c r="D260" s="2020">
        <v>245678</v>
      </c>
      <c r="E260" s="2020">
        <v>0</v>
      </c>
      <c r="F260" s="2825">
        <v>12</v>
      </c>
      <c r="G260" s="1417">
        <v>0</v>
      </c>
    </row>
    <row r="261" spans="1:11">
      <c r="A261" t="s">
        <v>718</v>
      </c>
      <c r="B261" t="s">
        <v>30</v>
      </c>
      <c r="C261" s="1417">
        <v>1.17</v>
      </c>
      <c r="D261" s="2020">
        <v>5265723</v>
      </c>
      <c r="E261" s="2020">
        <v>244902</v>
      </c>
      <c r="F261" s="2825">
        <v>12</v>
      </c>
      <c r="G261" s="1417">
        <v>0</v>
      </c>
    </row>
    <row r="262" spans="1:11">
      <c r="A262" t="s">
        <v>2629</v>
      </c>
      <c r="B262" t="s">
        <v>1958</v>
      </c>
      <c r="C262" s="1417">
        <v>1.04</v>
      </c>
      <c r="D262" s="2020">
        <v>1187154</v>
      </c>
      <c r="E262" s="2020">
        <v>0</v>
      </c>
      <c r="F262" s="2825">
        <v>12</v>
      </c>
      <c r="G262" s="1417">
        <v>0</v>
      </c>
    </row>
    <row r="263" spans="1:11">
      <c r="A263" t="s">
        <v>1556</v>
      </c>
      <c r="B263" t="s">
        <v>2370</v>
      </c>
      <c r="C263" s="1417">
        <v>1</v>
      </c>
      <c r="D263" s="2020">
        <v>374500</v>
      </c>
      <c r="E263" s="2020">
        <v>20771</v>
      </c>
      <c r="F263" s="2825">
        <v>12</v>
      </c>
      <c r="G263" s="1417">
        <v>0</v>
      </c>
    </row>
    <row r="264" spans="1:11">
      <c r="A264" t="s">
        <v>2630</v>
      </c>
      <c r="B264" t="s">
        <v>1959</v>
      </c>
      <c r="C264" s="1417">
        <v>1.04</v>
      </c>
      <c r="D264" s="2020">
        <v>271494</v>
      </c>
      <c r="E264" s="2020">
        <v>0</v>
      </c>
      <c r="F264" s="2825">
        <v>6</v>
      </c>
      <c r="G264" s="1417">
        <v>31</v>
      </c>
    </row>
    <row r="265" spans="1:11">
      <c r="A265" t="s">
        <v>2631</v>
      </c>
      <c r="B265" t="s">
        <v>1960</v>
      </c>
      <c r="C265" s="1417">
        <v>1.04</v>
      </c>
      <c r="D265" s="2020">
        <v>3173383</v>
      </c>
      <c r="E265" s="2020">
        <v>597519</v>
      </c>
      <c r="F265" s="2825">
        <v>12</v>
      </c>
      <c r="G265" s="1417">
        <v>0</v>
      </c>
      <c r="H265" s="1665">
        <v>1483000</v>
      </c>
      <c r="I265" s="1665">
        <v>2646508</v>
      </c>
      <c r="J265" s="1665">
        <v>1023</v>
      </c>
      <c r="K265" s="1665">
        <v>184230219</v>
      </c>
    </row>
    <row r="266" spans="1:11">
      <c r="A266" t="s">
        <v>719</v>
      </c>
      <c r="B266" t="s">
        <v>2030</v>
      </c>
      <c r="C266" s="1417">
        <v>1.04</v>
      </c>
      <c r="D266" s="2020">
        <v>1334544</v>
      </c>
      <c r="E266" s="2020">
        <v>477566</v>
      </c>
      <c r="F266" s="2825">
        <v>12</v>
      </c>
      <c r="G266" s="1417">
        <v>0</v>
      </c>
    </row>
    <row r="267" spans="1:11">
      <c r="A267" t="s">
        <v>678</v>
      </c>
      <c r="B267" t="s">
        <v>1961</v>
      </c>
      <c r="C267" s="1417">
        <v>1.04</v>
      </c>
      <c r="D267" s="2020">
        <v>3541356</v>
      </c>
      <c r="E267" s="2020">
        <v>0</v>
      </c>
      <c r="F267" s="2825">
        <v>12</v>
      </c>
      <c r="G267" s="1417">
        <v>0</v>
      </c>
    </row>
    <row r="268" spans="1:11">
      <c r="A268" t="s">
        <v>2149</v>
      </c>
      <c r="B268" t="s">
        <v>2151</v>
      </c>
      <c r="C268" s="1417">
        <v>1.0337000000000001</v>
      </c>
      <c r="D268" s="2020">
        <v>4181476</v>
      </c>
      <c r="E268" s="2020">
        <v>0</v>
      </c>
      <c r="F268" s="2825">
        <v>12</v>
      </c>
      <c r="G268" s="1417">
        <v>0</v>
      </c>
    </row>
    <row r="269" spans="1:11">
      <c r="A269" t="s">
        <v>2297</v>
      </c>
      <c r="B269" t="s">
        <v>1962</v>
      </c>
      <c r="C269" s="1417">
        <v>1.0166999999999999</v>
      </c>
      <c r="D269" s="2020">
        <v>3079546</v>
      </c>
      <c r="E269" s="2020">
        <v>0</v>
      </c>
      <c r="F269" s="2825">
        <v>12</v>
      </c>
      <c r="G269" s="1417">
        <v>0</v>
      </c>
    </row>
    <row r="270" spans="1:11">
      <c r="A270" t="s">
        <v>1788</v>
      </c>
      <c r="B270" t="s">
        <v>1963</v>
      </c>
      <c r="C270" s="1417">
        <v>1.04</v>
      </c>
      <c r="D270" s="2020">
        <v>514488</v>
      </c>
      <c r="E270" s="2020">
        <v>0</v>
      </c>
      <c r="F270" s="2825">
        <v>12</v>
      </c>
      <c r="G270" s="1417">
        <v>0</v>
      </c>
    </row>
    <row r="271" spans="1:11">
      <c r="A271" t="s">
        <v>616</v>
      </c>
      <c r="B271" t="s">
        <v>1964</v>
      </c>
      <c r="C271" s="1417">
        <v>1.04</v>
      </c>
      <c r="D271" s="2020">
        <v>789538</v>
      </c>
      <c r="E271" s="2020">
        <v>0</v>
      </c>
      <c r="F271" s="2825">
        <v>12</v>
      </c>
      <c r="G271" s="1417">
        <v>0</v>
      </c>
    </row>
    <row r="272" spans="1:11">
      <c r="A272" t="s">
        <v>918</v>
      </c>
      <c r="B272" t="s">
        <v>1965</v>
      </c>
      <c r="C272" s="1417">
        <v>1.17</v>
      </c>
      <c r="D272" s="2020">
        <v>379640</v>
      </c>
      <c r="E272" s="2020">
        <v>0</v>
      </c>
      <c r="F272" s="2825">
        <v>12</v>
      </c>
      <c r="G272" s="1417">
        <v>0</v>
      </c>
    </row>
    <row r="273" spans="1:11">
      <c r="A273" t="s">
        <v>2132</v>
      </c>
      <c r="B273" t="s">
        <v>1966</v>
      </c>
      <c r="C273" s="1417">
        <v>1.03</v>
      </c>
      <c r="D273" s="2020">
        <v>84772877</v>
      </c>
      <c r="E273" s="2020">
        <v>5129362</v>
      </c>
      <c r="F273" s="2825">
        <v>12</v>
      </c>
      <c r="G273" s="1417">
        <v>0</v>
      </c>
    </row>
    <row r="274" spans="1:11">
      <c r="A274" t="s">
        <v>2581</v>
      </c>
      <c r="B274" t="s">
        <v>1967</v>
      </c>
      <c r="C274" s="1417">
        <v>1.04</v>
      </c>
      <c r="D274" s="2020">
        <v>3252049</v>
      </c>
      <c r="E274" s="2020">
        <v>0</v>
      </c>
      <c r="F274" s="2825">
        <v>12</v>
      </c>
      <c r="G274" s="1417">
        <v>0</v>
      </c>
      <c r="H274" s="1665">
        <v>11353</v>
      </c>
      <c r="I274" s="1665">
        <v>2111238</v>
      </c>
      <c r="J274" s="1417">
        <v>862</v>
      </c>
      <c r="K274" s="1665">
        <v>102729157</v>
      </c>
    </row>
    <row r="275" spans="1:11">
      <c r="A275" t="s">
        <v>2393</v>
      </c>
      <c r="B275" t="s">
        <v>1968</v>
      </c>
      <c r="C275" s="1417">
        <v>1.04</v>
      </c>
      <c r="D275" s="2020">
        <v>1644293</v>
      </c>
      <c r="E275" s="2020">
        <v>9146</v>
      </c>
      <c r="F275" s="2825">
        <v>12</v>
      </c>
      <c r="G275" s="1417">
        <v>0</v>
      </c>
    </row>
    <row r="276" spans="1:11">
      <c r="A276" t="s">
        <v>246</v>
      </c>
      <c r="B276" t="s">
        <v>2117</v>
      </c>
      <c r="C276" s="1417">
        <v>1.04</v>
      </c>
      <c r="D276" s="2020">
        <v>331287</v>
      </c>
      <c r="E276" s="2020">
        <v>20332</v>
      </c>
      <c r="F276" s="2825">
        <v>12</v>
      </c>
      <c r="G276" s="1417">
        <v>0</v>
      </c>
    </row>
    <row r="277" spans="1:11">
      <c r="A277" t="s">
        <v>1405</v>
      </c>
      <c r="B277" t="s">
        <v>1969</v>
      </c>
      <c r="C277" s="1417">
        <v>1.03</v>
      </c>
      <c r="D277" s="2020">
        <v>16789399</v>
      </c>
      <c r="E277" s="2020">
        <v>3337060</v>
      </c>
      <c r="F277" s="2825">
        <v>12</v>
      </c>
      <c r="G277" s="1417">
        <v>0</v>
      </c>
    </row>
    <row r="278" spans="1:11">
      <c r="A278" t="s">
        <v>1406</v>
      </c>
      <c r="B278" t="s">
        <v>1970</v>
      </c>
      <c r="C278" s="1417">
        <v>1.04</v>
      </c>
      <c r="D278" s="2020">
        <v>3029020</v>
      </c>
      <c r="E278" s="2020">
        <v>620508</v>
      </c>
      <c r="F278" s="2825">
        <v>12</v>
      </c>
      <c r="G278" s="1417">
        <v>0</v>
      </c>
    </row>
    <row r="279" spans="1:11">
      <c r="A279" t="s">
        <v>720</v>
      </c>
      <c r="B279" t="s">
        <v>1270</v>
      </c>
      <c r="C279" s="1417">
        <v>1.04</v>
      </c>
      <c r="D279" s="2020">
        <v>974899</v>
      </c>
      <c r="E279" s="2020">
        <v>54326</v>
      </c>
      <c r="F279" s="2825">
        <v>12</v>
      </c>
      <c r="G279" s="1417">
        <v>0</v>
      </c>
    </row>
    <row r="280" spans="1:11">
      <c r="A280" t="s">
        <v>1401</v>
      </c>
      <c r="B280" t="s">
        <v>1971</v>
      </c>
      <c r="C280" s="1417">
        <v>1.04</v>
      </c>
      <c r="D280" s="2020">
        <v>25017730</v>
      </c>
      <c r="E280" s="2020">
        <v>8774296</v>
      </c>
      <c r="F280" s="2825">
        <v>12</v>
      </c>
      <c r="G280" s="1417">
        <v>0</v>
      </c>
    </row>
    <row r="281" spans="1:11">
      <c r="A281" t="s">
        <v>932</v>
      </c>
      <c r="B281" t="s">
        <v>1972</v>
      </c>
      <c r="C281" s="1417">
        <v>1.04</v>
      </c>
      <c r="D281" s="2020">
        <v>559626</v>
      </c>
      <c r="E281" s="2020">
        <v>56299</v>
      </c>
      <c r="F281" s="2825">
        <v>12</v>
      </c>
      <c r="G281" s="1417">
        <v>0</v>
      </c>
    </row>
    <row r="282" spans="1:11">
      <c r="A282" t="s">
        <v>247</v>
      </c>
      <c r="B282" t="s">
        <v>1363</v>
      </c>
      <c r="C282" s="1417">
        <v>1.04</v>
      </c>
      <c r="D282" s="2020">
        <v>2279684</v>
      </c>
      <c r="E282" s="2020">
        <v>213889</v>
      </c>
      <c r="F282" s="2825">
        <v>12</v>
      </c>
      <c r="G282" s="1417">
        <v>0</v>
      </c>
    </row>
    <row r="283" spans="1:11">
      <c r="A283" t="s">
        <v>2084</v>
      </c>
      <c r="B283" t="s">
        <v>79</v>
      </c>
      <c r="C283" s="1417">
        <v>1.04</v>
      </c>
      <c r="D283" s="2020">
        <v>12232349</v>
      </c>
      <c r="E283" s="2020">
        <v>1400216</v>
      </c>
      <c r="F283" s="2825">
        <v>12</v>
      </c>
      <c r="G283" s="1417">
        <v>0</v>
      </c>
    </row>
    <row r="284" spans="1:11">
      <c r="A284" t="s">
        <v>343</v>
      </c>
      <c r="B284" t="s">
        <v>139</v>
      </c>
      <c r="C284" s="1417">
        <v>1.04</v>
      </c>
      <c r="D284" s="2020">
        <v>26347547</v>
      </c>
      <c r="E284" s="2020">
        <v>5433256</v>
      </c>
      <c r="F284" s="2825">
        <v>12</v>
      </c>
      <c r="G284" s="1417">
        <v>0</v>
      </c>
    </row>
    <row r="285" spans="1:11">
      <c r="A285" t="s">
        <v>721</v>
      </c>
      <c r="B285" t="s">
        <v>1992</v>
      </c>
      <c r="C285" s="1417">
        <v>1.04</v>
      </c>
      <c r="D285" s="2020">
        <v>2010648</v>
      </c>
      <c r="E285" s="2020">
        <v>494183</v>
      </c>
      <c r="F285" s="2825">
        <v>12</v>
      </c>
      <c r="G285" s="1417">
        <v>0</v>
      </c>
    </row>
    <row r="286" spans="1:11">
      <c r="A286" t="s">
        <v>576</v>
      </c>
      <c r="B286" t="s">
        <v>1166</v>
      </c>
      <c r="C286" s="1417">
        <v>1.04</v>
      </c>
      <c r="D286" s="2020">
        <v>8685571</v>
      </c>
      <c r="E286" s="2020">
        <v>1954653</v>
      </c>
      <c r="F286" s="2825">
        <v>12</v>
      </c>
      <c r="G286" s="1417">
        <v>0</v>
      </c>
    </row>
    <row r="287" spans="1:11">
      <c r="A287" t="s">
        <v>2413</v>
      </c>
      <c r="B287" t="s">
        <v>1973</v>
      </c>
      <c r="C287" s="1417">
        <v>1.04</v>
      </c>
      <c r="D287" s="2020">
        <v>142188316</v>
      </c>
      <c r="E287" s="2020">
        <v>18032948</v>
      </c>
      <c r="F287" s="2825">
        <v>12</v>
      </c>
      <c r="G287" s="1417">
        <v>0</v>
      </c>
    </row>
    <row r="288" spans="1:11">
      <c r="A288" t="s">
        <v>775</v>
      </c>
      <c r="B288" t="s">
        <v>892</v>
      </c>
      <c r="C288" s="1417">
        <v>1.04</v>
      </c>
      <c r="D288" s="2020">
        <v>1331927</v>
      </c>
      <c r="E288" s="2020">
        <v>163553</v>
      </c>
      <c r="F288" s="2825">
        <v>12</v>
      </c>
      <c r="G288" s="1417">
        <v>0</v>
      </c>
    </row>
    <row r="289" spans="1:11">
      <c r="A289" t="s">
        <v>184</v>
      </c>
      <c r="B289" t="s">
        <v>2031</v>
      </c>
      <c r="C289" s="1417">
        <v>1.04</v>
      </c>
      <c r="D289" s="2020">
        <v>1350289</v>
      </c>
      <c r="E289" s="2020">
        <v>89801</v>
      </c>
      <c r="F289" s="2825">
        <v>12</v>
      </c>
      <c r="G289" s="1417">
        <v>0</v>
      </c>
    </row>
    <row r="290" spans="1:11">
      <c r="A290" t="s">
        <v>1186</v>
      </c>
      <c r="B290" t="s">
        <v>760</v>
      </c>
      <c r="C290" s="1417">
        <v>1.17</v>
      </c>
      <c r="D290" s="2020">
        <v>70850462</v>
      </c>
      <c r="E290" s="2020">
        <v>10135714</v>
      </c>
      <c r="F290" s="2825">
        <v>12</v>
      </c>
      <c r="G290" s="1417">
        <v>0</v>
      </c>
    </row>
    <row r="291" spans="1:11">
      <c r="A291" t="s">
        <v>2098</v>
      </c>
      <c r="B291" t="s">
        <v>132</v>
      </c>
      <c r="C291" s="1417">
        <v>1.04</v>
      </c>
      <c r="D291" s="2020">
        <v>1302201</v>
      </c>
      <c r="E291" s="2020">
        <v>182958</v>
      </c>
      <c r="F291" s="2825">
        <v>12</v>
      </c>
      <c r="G291" s="1417">
        <v>0</v>
      </c>
    </row>
    <row r="292" spans="1:11">
      <c r="A292" t="s">
        <v>1888</v>
      </c>
      <c r="B292" t="s">
        <v>653</v>
      </c>
      <c r="C292" s="1417">
        <v>1.04</v>
      </c>
      <c r="D292" s="2020">
        <v>10898501</v>
      </c>
      <c r="E292" s="2020">
        <v>2623434</v>
      </c>
      <c r="F292" s="2825">
        <v>12</v>
      </c>
      <c r="G292" s="1417">
        <v>0</v>
      </c>
    </row>
    <row r="293" spans="1:11">
      <c r="A293" t="s">
        <v>1517</v>
      </c>
      <c r="B293" t="s">
        <v>606</v>
      </c>
      <c r="C293" s="1417">
        <v>1.0900000000000001</v>
      </c>
      <c r="D293" s="2020">
        <v>491994</v>
      </c>
      <c r="E293" s="2020">
        <v>114719</v>
      </c>
      <c r="F293" s="2825">
        <v>12</v>
      </c>
      <c r="G293" s="1417">
        <v>0</v>
      </c>
    </row>
    <row r="294" spans="1:11">
      <c r="A294" t="s">
        <v>1151</v>
      </c>
      <c r="B294" t="s">
        <v>1930</v>
      </c>
      <c r="C294" s="1417">
        <v>0.94550000000000001</v>
      </c>
      <c r="D294" s="2020">
        <v>57755569</v>
      </c>
      <c r="E294" s="2020">
        <v>12068779</v>
      </c>
      <c r="F294" s="2825">
        <v>12</v>
      </c>
      <c r="G294" s="1417">
        <v>0</v>
      </c>
    </row>
    <row r="295" spans="1:11">
      <c r="A295" t="s">
        <v>2414</v>
      </c>
      <c r="B295" t="s">
        <v>1974</v>
      </c>
      <c r="C295" s="1417">
        <v>1.04</v>
      </c>
      <c r="D295" s="2020">
        <v>369843</v>
      </c>
      <c r="E295" s="2020">
        <v>0</v>
      </c>
      <c r="F295" s="2825">
        <v>8</v>
      </c>
      <c r="G295" s="1417">
        <v>0</v>
      </c>
    </row>
    <row r="296" spans="1:11">
      <c r="A296" t="s">
        <v>2415</v>
      </c>
      <c r="B296" t="s">
        <v>1975</v>
      </c>
      <c r="C296" s="1417">
        <v>1.03</v>
      </c>
      <c r="D296" s="2020">
        <v>2731239</v>
      </c>
      <c r="E296" s="2020">
        <v>227024</v>
      </c>
      <c r="F296" s="2825">
        <v>12</v>
      </c>
      <c r="G296" s="1417">
        <v>0</v>
      </c>
    </row>
    <row r="297" spans="1:11">
      <c r="A297" t="s">
        <v>1511</v>
      </c>
      <c r="B297" t="s">
        <v>1940</v>
      </c>
      <c r="C297" s="1417">
        <v>1.04</v>
      </c>
      <c r="D297" s="2020">
        <v>12476468</v>
      </c>
      <c r="E297" s="2020">
        <v>1502302</v>
      </c>
      <c r="F297" s="2825">
        <v>12</v>
      </c>
      <c r="G297" s="1417">
        <v>0</v>
      </c>
    </row>
    <row r="298" spans="1:11">
      <c r="A298" t="s">
        <v>1830</v>
      </c>
      <c r="B298" t="s">
        <v>1976</v>
      </c>
      <c r="C298" s="1417">
        <v>1.04</v>
      </c>
      <c r="D298" s="2020">
        <v>1168874</v>
      </c>
      <c r="E298" s="2020">
        <v>64705</v>
      </c>
      <c r="F298" s="2825">
        <v>8</v>
      </c>
      <c r="G298" s="1417">
        <v>0</v>
      </c>
      <c r="H298" s="1665">
        <v>16052</v>
      </c>
      <c r="I298" s="1665">
        <v>289796</v>
      </c>
      <c r="J298" s="1417">
        <v>191</v>
      </c>
      <c r="K298" s="1665">
        <v>16831293</v>
      </c>
    </row>
    <row r="299" spans="1:11">
      <c r="A299" t="s">
        <v>1831</v>
      </c>
      <c r="B299" t="s">
        <v>1977</v>
      </c>
      <c r="C299" s="1417">
        <v>1.04</v>
      </c>
      <c r="D299" s="2020">
        <v>1033776</v>
      </c>
      <c r="E299" s="2020">
        <v>0</v>
      </c>
      <c r="F299" s="2825">
        <v>12</v>
      </c>
      <c r="G299" s="1417">
        <v>0</v>
      </c>
    </row>
    <row r="300" spans="1:11">
      <c r="A300" t="s">
        <v>1232</v>
      </c>
      <c r="B300" t="s">
        <v>2468</v>
      </c>
      <c r="C300" s="1417">
        <v>1.04</v>
      </c>
      <c r="D300" s="2020">
        <v>695071</v>
      </c>
      <c r="E300" s="2020">
        <v>36674</v>
      </c>
      <c r="F300" s="2825">
        <v>12</v>
      </c>
      <c r="G300" s="1417">
        <v>0</v>
      </c>
    </row>
    <row r="301" spans="1:11">
      <c r="A301" t="s">
        <v>1832</v>
      </c>
      <c r="B301" t="s">
        <v>1978</v>
      </c>
      <c r="C301" s="1417">
        <v>1.04</v>
      </c>
      <c r="D301" s="2020">
        <v>591640</v>
      </c>
      <c r="E301" s="2020">
        <v>0</v>
      </c>
      <c r="F301" s="2825">
        <v>8</v>
      </c>
      <c r="G301" s="1417">
        <v>0</v>
      </c>
      <c r="H301" s="1665">
        <v>6518</v>
      </c>
      <c r="I301" s="1665">
        <v>301130</v>
      </c>
      <c r="J301" s="1417">
        <v>194</v>
      </c>
      <c r="K301" s="1665">
        <v>24975013</v>
      </c>
    </row>
    <row r="302" spans="1:11">
      <c r="A302" t="s">
        <v>201</v>
      </c>
      <c r="B302" t="s">
        <v>1035</v>
      </c>
      <c r="C302" s="1417">
        <v>1.0333000000000001</v>
      </c>
      <c r="D302" s="2020">
        <v>467111</v>
      </c>
      <c r="E302" s="2020">
        <v>36960</v>
      </c>
      <c r="F302" s="2825">
        <v>12</v>
      </c>
      <c r="G302" s="1417">
        <v>0</v>
      </c>
    </row>
    <row r="303" spans="1:11">
      <c r="A303" t="s">
        <v>1834</v>
      </c>
      <c r="B303" t="s">
        <v>2063</v>
      </c>
      <c r="C303" s="1417">
        <v>1.04</v>
      </c>
      <c r="D303" s="2020">
        <v>1815199</v>
      </c>
      <c r="E303" s="2020">
        <v>184337</v>
      </c>
      <c r="F303" s="2825">
        <v>12</v>
      </c>
      <c r="G303" s="1417">
        <v>0</v>
      </c>
    </row>
    <row r="304" spans="1:11">
      <c r="A304" t="s">
        <v>1842</v>
      </c>
      <c r="B304" t="s">
        <v>1332</v>
      </c>
      <c r="C304" s="1417">
        <v>0.9</v>
      </c>
      <c r="D304" s="2020">
        <v>123488</v>
      </c>
      <c r="E304" s="2020">
        <v>0</v>
      </c>
      <c r="F304" s="2825">
        <v>8</v>
      </c>
      <c r="G304" s="1417">
        <v>0</v>
      </c>
    </row>
    <row r="305" spans="1:11">
      <c r="A305" t="s">
        <v>202</v>
      </c>
      <c r="B305" t="s">
        <v>1980</v>
      </c>
      <c r="C305" s="1417">
        <v>0.74060000000000004</v>
      </c>
      <c r="D305" s="2020">
        <v>828130</v>
      </c>
      <c r="E305" s="2020">
        <v>0</v>
      </c>
      <c r="F305" s="2825">
        <v>12</v>
      </c>
      <c r="G305" s="1417">
        <v>0</v>
      </c>
    </row>
    <row r="306" spans="1:11">
      <c r="A306" t="s">
        <v>203</v>
      </c>
      <c r="B306" t="s">
        <v>1</v>
      </c>
      <c r="C306" s="1417">
        <v>1.04</v>
      </c>
      <c r="D306" s="2020">
        <v>4591240</v>
      </c>
      <c r="E306" s="2020">
        <v>348414</v>
      </c>
      <c r="F306" s="2825">
        <v>12</v>
      </c>
      <c r="G306" s="1417">
        <v>0</v>
      </c>
    </row>
    <row r="307" spans="1:11">
      <c r="A307" t="s">
        <v>1233</v>
      </c>
      <c r="B307" t="s">
        <v>2180</v>
      </c>
      <c r="C307" s="1417">
        <v>1.04</v>
      </c>
      <c r="D307" s="2020">
        <v>329547</v>
      </c>
      <c r="E307" s="2020">
        <v>20040</v>
      </c>
      <c r="F307" s="2825">
        <v>12</v>
      </c>
      <c r="G307" s="1417">
        <v>0</v>
      </c>
    </row>
    <row r="308" spans="1:11">
      <c r="A308" t="s">
        <v>722</v>
      </c>
      <c r="B308" t="s">
        <v>1065</v>
      </c>
      <c r="C308" s="1417">
        <v>1.04</v>
      </c>
      <c r="D308" s="2020">
        <v>305069</v>
      </c>
      <c r="E308" s="2020">
        <v>35878</v>
      </c>
      <c r="F308" s="2825">
        <v>12</v>
      </c>
      <c r="G308" s="1417">
        <v>0</v>
      </c>
    </row>
    <row r="309" spans="1:11">
      <c r="A309" t="s">
        <v>204</v>
      </c>
      <c r="B309" t="s">
        <v>2</v>
      </c>
      <c r="C309" s="1417">
        <v>0.98699999999999999</v>
      </c>
      <c r="D309" s="2020">
        <v>1142706</v>
      </c>
      <c r="E309" s="2020">
        <v>106058</v>
      </c>
      <c r="F309" s="2825">
        <v>12</v>
      </c>
      <c r="G309" s="1417">
        <v>0</v>
      </c>
    </row>
    <row r="310" spans="1:11">
      <c r="A310" t="s">
        <v>205</v>
      </c>
      <c r="B310" t="s">
        <v>3</v>
      </c>
      <c r="C310" s="1417">
        <v>1.17</v>
      </c>
      <c r="D310" s="2020">
        <v>1367896</v>
      </c>
      <c r="E310" s="2020">
        <v>104426</v>
      </c>
      <c r="F310" s="2825">
        <v>12</v>
      </c>
      <c r="G310" s="1417">
        <v>0</v>
      </c>
    </row>
    <row r="311" spans="1:11">
      <c r="A311" t="s">
        <v>1741</v>
      </c>
      <c r="B311" t="s">
        <v>4</v>
      </c>
      <c r="C311" s="1417">
        <v>1.04</v>
      </c>
      <c r="D311" s="2020">
        <v>859338</v>
      </c>
      <c r="E311" s="2020">
        <v>164015</v>
      </c>
      <c r="F311" s="2825">
        <v>12</v>
      </c>
      <c r="G311" s="1417">
        <v>0</v>
      </c>
    </row>
    <row r="312" spans="1:11">
      <c r="A312" t="s">
        <v>1742</v>
      </c>
      <c r="B312" t="s">
        <v>5</v>
      </c>
      <c r="C312" s="1417">
        <v>1.04</v>
      </c>
      <c r="D312" s="2020">
        <v>1274418</v>
      </c>
      <c r="E312" s="2020">
        <v>159458</v>
      </c>
      <c r="F312" s="2825">
        <v>12</v>
      </c>
      <c r="G312" s="1417">
        <v>0</v>
      </c>
    </row>
    <row r="313" spans="1:11">
      <c r="A313" t="s">
        <v>1234</v>
      </c>
      <c r="B313" t="s">
        <v>2026</v>
      </c>
      <c r="C313" s="1417">
        <v>1.17</v>
      </c>
      <c r="D313" s="2020">
        <v>864796</v>
      </c>
      <c r="E313" s="2020">
        <v>51744</v>
      </c>
      <c r="F313" s="2825">
        <v>12</v>
      </c>
      <c r="G313" s="1417">
        <v>0</v>
      </c>
    </row>
    <row r="314" spans="1:11">
      <c r="A314" t="s">
        <v>2571</v>
      </c>
      <c r="B314" t="s">
        <v>461</v>
      </c>
      <c r="C314" s="1417">
        <v>1.17</v>
      </c>
      <c r="D314" s="2020">
        <v>2509707</v>
      </c>
      <c r="E314" s="2020">
        <v>180145</v>
      </c>
      <c r="F314" s="2825">
        <v>12</v>
      </c>
      <c r="G314" s="1417">
        <v>0</v>
      </c>
    </row>
    <row r="315" spans="1:11">
      <c r="A315" t="s">
        <v>1697</v>
      </c>
      <c r="B315" t="s">
        <v>462</v>
      </c>
      <c r="C315" s="1417">
        <v>1.04</v>
      </c>
      <c r="D315" s="2020">
        <v>9340626</v>
      </c>
      <c r="E315" s="2020">
        <v>272050</v>
      </c>
      <c r="F315" s="2825">
        <v>12</v>
      </c>
      <c r="G315" s="1417">
        <v>0</v>
      </c>
      <c r="H315" s="1665">
        <v>1616039</v>
      </c>
      <c r="I315" s="1665">
        <v>5245316</v>
      </c>
      <c r="J315" s="1665">
        <v>2215</v>
      </c>
      <c r="K315" s="1665">
        <v>408542329</v>
      </c>
    </row>
    <row r="316" spans="1:11">
      <c r="A316" t="s">
        <v>1698</v>
      </c>
      <c r="B316" t="s">
        <v>463</v>
      </c>
      <c r="C316" s="1417">
        <v>1.04</v>
      </c>
      <c r="D316" s="2020">
        <v>3163614</v>
      </c>
      <c r="E316" s="2020">
        <v>530049</v>
      </c>
      <c r="F316" s="2825">
        <v>12</v>
      </c>
      <c r="G316" s="1417">
        <v>0</v>
      </c>
    </row>
    <row r="317" spans="1:11">
      <c r="A317" t="s">
        <v>921</v>
      </c>
      <c r="B317" t="s">
        <v>464</v>
      </c>
      <c r="C317" s="1417">
        <v>1.04</v>
      </c>
      <c r="D317" s="2020">
        <v>1727392</v>
      </c>
      <c r="E317" s="2020">
        <v>0</v>
      </c>
      <c r="F317" s="2825">
        <v>12</v>
      </c>
      <c r="G317" s="1417">
        <v>0</v>
      </c>
      <c r="H317" s="1665">
        <v>176308</v>
      </c>
      <c r="I317" s="1665">
        <v>772119</v>
      </c>
      <c r="J317" s="1417">
        <v>305</v>
      </c>
      <c r="K317" s="1665">
        <v>44368711</v>
      </c>
    </row>
    <row r="318" spans="1:11">
      <c r="A318" t="s">
        <v>65</v>
      </c>
      <c r="B318" t="s">
        <v>177</v>
      </c>
      <c r="C318" s="1417">
        <v>1.04</v>
      </c>
      <c r="D318" s="2020">
        <v>3429312</v>
      </c>
      <c r="E318" s="2020">
        <v>143155</v>
      </c>
      <c r="F318" s="2825">
        <v>12</v>
      </c>
      <c r="G318" s="1417">
        <v>0</v>
      </c>
      <c r="H318" s="1665">
        <v>346771</v>
      </c>
      <c r="I318" s="1665">
        <v>818739</v>
      </c>
      <c r="J318" s="1417">
        <v>331</v>
      </c>
      <c r="K318" s="1665">
        <v>144888134</v>
      </c>
    </row>
    <row r="319" spans="1:11">
      <c r="A319" t="s">
        <v>754</v>
      </c>
      <c r="B319" t="s">
        <v>1036</v>
      </c>
      <c r="C319" s="1417">
        <v>1.04</v>
      </c>
      <c r="D319" s="2020">
        <v>647215</v>
      </c>
      <c r="E319" s="2020">
        <v>44789</v>
      </c>
      <c r="F319" s="2825">
        <v>12</v>
      </c>
      <c r="G319" s="1417">
        <v>0</v>
      </c>
    </row>
    <row r="320" spans="1:11">
      <c r="A320" t="s">
        <v>2505</v>
      </c>
      <c r="B320" t="s">
        <v>610</v>
      </c>
      <c r="C320" s="1417">
        <v>1.04</v>
      </c>
      <c r="D320" s="2020">
        <v>654915</v>
      </c>
      <c r="E320" s="2020">
        <v>22949</v>
      </c>
      <c r="F320" s="2825">
        <v>12</v>
      </c>
      <c r="G320" s="1417">
        <v>0</v>
      </c>
    </row>
    <row r="321" spans="1:11">
      <c r="A321" t="s">
        <v>627</v>
      </c>
      <c r="B321" t="s">
        <v>847</v>
      </c>
      <c r="C321" s="1417">
        <v>1.04</v>
      </c>
      <c r="D321" s="2020">
        <v>1418510</v>
      </c>
      <c r="E321" s="2020">
        <v>0</v>
      </c>
      <c r="F321" s="2825">
        <v>12</v>
      </c>
      <c r="G321" s="1417">
        <v>0</v>
      </c>
    </row>
    <row r="322" spans="1:11">
      <c r="A322" t="s">
        <v>628</v>
      </c>
      <c r="B322" t="s">
        <v>848</v>
      </c>
      <c r="C322" s="1417">
        <v>1.1399999999999999</v>
      </c>
      <c r="D322" s="2020">
        <v>958889</v>
      </c>
      <c r="E322" s="2020">
        <v>0</v>
      </c>
      <c r="F322" s="2825">
        <v>12</v>
      </c>
      <c r="G322" s="1417">
        <v>0</v>
      </c>
    </row>
    <row r="323" spans="1:11">
      <c r="A323" t="s">
        <v>629</v>
      </c>
      <c r="B323" t="s">
        <v>849</v>
      </c>
      <c r="C323" s="1417">
        <v>1.17</v>
      </c>
      <c r="D323" s="2020">
        <v>819830</v>
      </c>
      <c r="E323" s="2020">
        <v>0</v>
      </c>
      <c r="F323" s="2825">
        <v>12</v>
      </c>
      <c r="G323" s="1417">
        <v>0</v>
      </c>
    </row>
    <row r="324" spans="1:11">
      <c r="A324" t="s">
        <v>630</v>
      </c>
      <c r="B324" t="s">
        <v>1037</v>
      </c>
      <c r="C324" s="1417">
        <v>1</v>
      </c>
      <c r="D324" s="2020">
        <v>89666384</v>
      </c>
      <c r="E324" s="2020">
        <v>15095421</v>
      </c>
      <c r="F324" s="2825">
        <v>12</v>
      </c>
      <c r="G324" s="1417">
        <v>0</v>
      </c>
    </row>
    <row r="325" spans="1:11">
      <c r="A325" t="s">
        <v>2541</v>
      </c>
      <c r="B325" t="s">
        <v>894</v>
      </c>
      <c r="C325" s="1417">
        <v>1.04</v>
      </c>
      <c r="D325" s="2020">
        <v>5659172</v>
      </c>
      <c r="E325" s="2020">
        <v>701444</v>
      </c>
      <c r="F325" s="2825">
        <v>12</v>
      </c>
      <c r="G325" s="1417">
        <v>0</v>
      </c>
    </row>
    <row r="326" spans="1:11">
      <c r="A326" t="s">
        <v>1422</v>
      </c>
      <c r="B326" t="s">
        <v>112</v>
      </c>
      <c r="C326" s="1417">
        <v>1.04</v>
      </c>
      <c r="D326" s="2020">
        <v>214482185</v>
      </c>
      <c r="E326" s="2020">
        <v>38580861</v>
      </c>
      <c r="F326" s="2825">
        <v>12</v>
      </c>
      <c r="G326" s="1417">
        <v>0</v>
      </c>
    </row>
    <row r="327" spans="1:11">
      <c r="A327" t="s">
        <v>631</v>
      </c>
      <c r="B327" t="s">
        <v>851</v>
      </c>
      <c r="C327" s="1417">
        <v>1.04</v>
      </c>
      <c r="D327" s="2020">
        <v>464489</v>
      </c>
      <c r="E327" s="2020">
        <v>76667</v>
      </c>
      <c r="F327" s="2825">
        <v>6</v>
      </c>
      <c r="G327" s="1417">
        <v>0</v>
      </c>
    </row>
    <row r="328" spans="1:11">
      <c r="A328" t="s">
        <v>2318</v>
      </c>
      <c r="B328" t="s">
        <v>1038</v>
      </c>
      <c r="C328" s="1417">
        <v>1.0338000000000001</v>
      </c>
      <c r="D328" s="2020">
        <v>20421356</v>
      </c>
      <c r="E328" s="2020">
        <v>2967334</v>
      </c>
      <c r="F328" s="2825">
        <v>12</v>
      </c>
      <c r="G328" s="1417">
        <v>0</v>
      </c>
      <c r="H328" s="1665">
        <v>1475284</v>
      </c>
      <c r="I328" s="1665">
        <v>4824891</v>
      </c>
      <c r="J328" s="1665">
        <v>1990</v>
      </c>
      <c r="K328" s="1665">
        <v>655145179</v>
      </c>
    </row>
    <row r="329" spans="1:11">
      <c r="A329" t="s">
        <v>2013</v>
      </c>
      <c r="B329" t="s">
        <v>853</v>
      </c>
      <c r="C329" s="1417">
        <v>0.99019999999999997</v>
      </c>
      <c r="D329" s="2020">
        <v>8221161</v>
      </c>
      <c r="E329" s="2020">
        <v>769</v>
      </c>
      <c r="F329" s="2825">
        <v>12</v>
      </c>
      <c r="G329" s="1417">
        <v>0</v>
      </c>
      <c r="H329" s="1665">
        <v>410094</v>
      </c>
      <c r="I329" s="1665">
        <v>3833481</v>
      </c>
      <c r="J329" s="1665">
        <v>1657</v>
      </c>
      <c r="K329" s="1665">
        <v>290351874</v>
      </c>
    </row>
    <row r="330" spans="1:11">
      <c r="A330" t="s">
        <v>1303</v>
      </c>
      <c r="B330" t="s">
        <v>854</v>
      </c>
      <c r="C330" s="1417">
        <v>1.04</v>
      </c>
      <c r="D330" s="2020">
        <v>24622292</v>
      </c>
      <c r="E330" s="2020">
        <v>2020314</v>
      </c>
      <c r="F330" s="2825">
        <v>12</v>
      </c>
      <c r="G330" s="1417">
        <v>0</v>
      </c>
      <c r="H330" s="1665">
        <v>919201</v>
      </c>
      <c r="I330" s="1665">
        <v>4549718</v>
      </c>
      <c r="J330" s="1665">
        <v>1902</v>
      </c>
      <c r="K330" s="1665">
        <v>536298051</v>
      </c>
    </row>
    <row r="331" spans="1:11">
      <c r="A331" t="s">
        <v>1919</v>
      </c>
      <c r="B331" t="s">
        <v>855</v>
      </c>
      <c r="C331" s="1417">
        <v>1.04</v>
      </c>
      <c r="D331" s="2020">
        <v>16117414</v>
      </c>
      <c r="E331" s="2020">
        <v>197653</v>
      </c>
      <c r="F331" s="2825">
        <v>12</v>
      </c>
      <c r="G331" s="1417">
        <v>0</v>
      </c>
      <c r="H331" s="1665">
        <v>829371</v>
      </c>
      <c r="I331" s="1665">
        <v>3235404</v>
      </c>
      <c r="J331" s="1665">
        <v>1350</v>
      </c>
      <c r="K331" s="1665">
        <v>380294864</v>
      </c>
    </row>
    <row r="332" spans="1:11">
      <c r="A332" t="s">
        <v>1924</v>
      </c>
      <c r="B332" t="s">
        <v>856</v>
      </c>
      <c r="C332" s="1417">
        <v>1.04</v>
      </c>
      <c r="D332" s="2020">
        <v>1291064</v>
      </c>
      <c r="E332" s="2020">
        <v>58904</v>
      </c>
      <c r="F332" s="2825">
        <v>12</v>
      </c>
      <c r="G332" s="1417">
        <v>0</v>
      </c>
    </row>
    <row r="333" spans="1:11">
      <c r="A333" t="s">
        <v>1925</v>
      </c>
      <c r="B333" t="s">
        <v>857</v>
      </c>
      <c r="C333" s="1417">
        <v>0.90669999999999995</v>
      </c>
      <c r="D333" s="2020">
        <v>4378398</v>
      </c>
      <c r="E333" s="2020">
        <v>0</v>
      </c>
      <c r="F333" s="2825">
        <v>6</v>
      </c>
      <c r="G333" s="1417">
        <v>0</v>
      </c>
      <c r="H333" s="1665">
        <v>109899</v>
      </c>
      <c r="I333" s="1665">
        <v>242631</v>
      </c>
      <c r="J333" s="1417">
        <v>172</v>
      </c>
      <c r="K333" s="1665">
        <v>27975404</v>
      </c>
    </row>
    <row r="334" spans="1:11">
      <c r="A334" t="s">
        <v>1235</v>
      </c>
      <c r="B334" t="s">
        <v>2179</v>
      </c>
      <c r="C334" s="1417">
        <v>1.17</v>
      </c>
      <c r="D334" s="2020">
        <v>1187146</v>
      </c>
      <c r="E334" s="2020">
        <v>81261</v>
      </c>
      <c r="F334" s="2825">
        <v>12</v>
      </c>
      <c r="G334" s="1417">
        <v>0</v>
      </c>
    </row>
    <row r="335" spans="1:11">
      <c r="A335" t="s">
        <v>2506</v>
      </c>
      <c r="B335" t="s">
        <v>2592</v>
      </c>
      <c r="C335" s="1417">
        <v>1.17</v>
      </c>
      <c r="D335" s="2020">
        <v>4352235</v>
      </c>
      <c r="E335" s="2020">
        <v>413369</v>
      </c>
      <c r="F335" s="2825">
        <v>12</v>
      </c>
      <c r="G335" s="1417">
        <v>0</v>
      </c>
    </row>
    <row r="336" spans="1:11">
      <c r="A336" t="s">
        <v>1926</v>
      </c>
      <c r="B336" t="s">
        <v>858</v>
      </c>
      <c r="C336" s="1417">
        <v>0.95650000000000002</v>
      </c>
      <c r="D336" s="2020">
        <v>1997982</v>
      </c>
      <c r="E336" s="2020">
        <v>0</v>
      </c>
      <c r="F336" s="2825">
        <v>12</v>
      </c>
      <c r="G336" s="1417">
        <v>0</v>
      </c>
    </row>
    <row r="337" spans="1:11">
      <c r="A337" t="s">
        <v>2110</v>
      </c>
      <c r="B337" t="s">
        <v>531</v>
      </c>
      <c r="C337" s="1417">
        <v>0.84</v>
      </c>
      <c r="D337" s="2020">
        <v>3729226</v>
      </c>
      <c r="E337" s="2020">
        <v>367999</v>
      </c>
      <c r="F337" s="2825">
        <v>12</v>
      </c>
      <c r="G337" s="1417">
        <v>0</v>
      </c>
      <c r="H337" s="1665">
        <v>910830</v>
      </c>
      <c r="I337" s="1665">
        <v>565575</v>
      </c>
      <c r="J337" s="1417">
        <v>242.755</v>
      </c>
      <c r="K337" s="1665">
        <v>302151921</v>
      </c>
    </row>
    <row r="338" spans="1:11">
      <c r="A338" t="s">
        <v>2175</v>
      </c>
      <c r="B338" t="s">
        <v>532</v>
      </c>
      <c r="C338" s="1417">
        <v>0.72</v>
      </c>
      <c r="D338" s="2020">
        <v>29897170</v>
      </c>
      <c r="E338" s="2020">
        <v>1313757</v>
      </c>
      <c r="F338" s="2825">
        <v>12</v>
      </c>
      <c r="G338" s="1417">
        <v>0</v>
      </c>
      <c r="H338" s="1665">
        <v>6590227</v>
      </c>
      <c r="I338" s="1665">
        <v>6438445</v>
      </c>
      <c r="J338" s="1665">
        <v>2494</v>
      </c>
      <c r="K338" s="1665">
        <v>3513141454</v>
      </c>
    </row>
    <row r="339" spans="1:11">
      <c r="A339" t="s">
        <v>1993</v>
      </c>
      <c r="B339" t="s">
        <v>364</v>
      </c>
      <c r="C339" s="1417">
        <v>1.04</v>
      </c>
      <c r="D339" s="2020">
        <v>22641678</v>
      </c>
      <c r="E339" s="2020">
        <v>6933015</v>
      </c>
      <c r="F339" s="2825">
        <v>12</v>
      </c>
      <c r="G339" s="1417">
        <v>0</v>
      </c>
    </row>
    <row r="340" spans="1:11">
      <c r="A340" t="s">
        <v>2231</v>
      </c>
      <c r="B340" t="s">
        <v>365</v>
      </c>
      <c r="C340" s="1417">
        <v>1.04</v>
      </c>
      <c r="D340" s="2020">
        <v>50721094</v>
      </c>
      <c r="E340" s="2020">
        <v>6380979</v>
      </c>
      <c r="F340" s="2825">
        <v>12</v>
      </c>
      <c r="G340" s="1417">
        <v>0</v>
      </c>
      <c r="H340" s="1665">
        <v>10790350</v>
      </c>
      <c r="I340" s="1665">
        <v>29443627</v>
      </c>
      <c r="J340" s="1665">
        <v>12360</v>
      </c>
      <c r="K340" s="1665">
        <v>2200339956</v>
      </c>
    </row>
    <row r="341" spans="1:11">
      <c r="A341" t="s">
        <v>1866</v>
      </c>
      <c r="B341" t="s">
        <v>2375</v>
      </c>
      <c r="C341" s="1417">
        <v>1.17</v>
      </c>
      <c r="D341" s="2020">
        <v>1506135</v>
      </c>
      <c r="E341" s="2020">
        <v>157082</v>
      </c>
      <c r="F341" s="2825">
        <v>12</v>
      </c>
      <c r="G341" s="1417">
        <v>0</v>
      </c>
      <c r="H341" s="1665">
        <v>356061</v>
      </c>
      <c r="I341" s="1665">
        <v>1151091</v>
      </c>
      <c r="J341" s="1417">
        <v>269</v>
      </c>
      <c r="K341" s="1665">
        <v>69178176</v>
      </c>
    </row>
    <row r="342" spans="1:11">
      <c r="A342" t="s">
        <v>761</v>
      </c>
      <c r="B342" t="s">
        <v>366</v>
      </c>
      <c r="C342" s="1417">
        <v>1.04</v>
      </c>
      <c r="D342" s="2020">
        <v>15854450</v>
      </c>
      <c r="E342" s="2020">
        <v>2785771</v>
      </c>
      <c r="F342" s="2825">
        <v>12</v>
      </c>
      <c r="G342" s="1417">
        <v>0</v>
      </c>
    </row>
    <row r="343" spans="1:11">
      <c r="A343" t="s">
        <v>762</v>
      </c>
      <c r="B343" t="s">
        <v>367</v>
      </c>
      <c r="C343" s="1417">
        <v>1.04</v>
      </c>
      <c r="D343" s="2020">
        <v>44320693</v>
      </c>
      <c r="E343" s="2020">
        <v>2896555</v>
      </c>
      <c r="F343" s="2825">
        <v>12</v>
      </c>
      <c r="G343" s="1417">
        <v>0</v>
      </c>
      <c r="H343" s="1665">
        <v>9366681</v>
      </c>
      <c r="I343" s="1665">
        <v>15881944</v>
      </c>
      <c r="J343" s="1665">
        <v>6710</v>
      </c>
      <c r="K343" s="1665">
        <v>2818421929</v>
      </c>
    </row>
    <row r="344" spans="1:11">
      <c r="A344" t="s">
        <v>2458</v>
      </c>
      <c r="B344" t="s">
        <v>368</v>
      </c>
      <c r="C344" s="1417">
        <v>1.04</v>
      </c>
      <c r="D344" s="2020">
        <v>5324030</v>
      </c>
      <c r="E344" s="2020">
        <v>818366</v>
      </c>
      <c r="F344" s="2825">
        <v>12</v>
      </c>
      <c r="G344" s="1417">
        <v>0</v>
      </c>
    </row>
    <row r="345" spans="1:11">
      <c r="A345" t="s">
        <v>491</v>
      </c>
      <c r="B345" t="s">
        <v>85</v>
      </c>
      <c r="C345" s="1417">
        <v>1.04</v>
      </c>
      <c r="D345" s="2020">
        <v>9748187</v>
      </c>
      <c r="E345" s="2020">
        <v>1012089</v>
      </c>
      <c r="F345" s="2825">
        <v>12</v>
      </c>
      <c r="G345" s="1417">
        <v>0</v>
      </c>
    </row>
    <row r="346" spans="1:11">
      <c r="A346" t="s">
        <v>2459</v>
      </c>
      <c r="B346" t="s">
        <v>369</v>
      </c>
      <c r="C346" s="1417">
        <v>1</v>
      </c>
      <c r="D346" s="2020">
        <v>145230162</v>
      </c>
      <c r="E346" s="2020">
        <v>37819292</v>
      </c>
      <c r="F346" s="2825">
        <v>12</v>
      </c>
      <c r="G346" s="1417">
        <v>0</v>
      </c>
      <c r="H346" s="1665">
        <v>22938534</v>
      </c>
      <c r="I346" s="1665">
        <v>60035110</v>
      </c>
      <c r="J346" s="1665">
        <v>25162</v>
      </c>
      <c r="K346" s="1665">
        <v>6435702225</v>
      </c>
    </row>
    <row r="347" spans="1:11">
      <c r="A347" t="s">
        <v>1424</v>
      </c>
      <c r="B347" t="s">
        <v>1476</v>
      </c>
      <c r="C347" s="1417">
        <v>1.04</v>
      </c>
      <c r="D347" s="2020">
        <v>20919765</v>
      </c>
      <c r="E347" s="2020">
        <v>2446382</v>
      </c>
      <c r="F347" s="2825">
        <v>12</v>
      </c>
      <c r="G347" s="1417">
        <v>0</v>
      </c>
    </row>
    <row r="348" spans="1:11">
      <c r="A348" t="s">
        <v>1668</v>
      </c>
      <c r="B348" t="s">
        <v>370</v>
      </c>
      <c r="C348" s="1417">
        <v>0.98240000000000005</v>
      </c>
      <c r="D348" s="2020">
        <v>6458367</v>
      </c>
      <c r="E348" s="2020">
        <v>0</v>
      </c>
      <c r="F348" s="2825">
        <v>12</v>
      </c>
      <c r="G348" s="1417">
        <v>0</v>
      </c>
      <c r="H348" s="1665">
        <v>1861894</v>
      </c>
      <c r="I348" s="1665">
        <v>3605449</v>
      </c>
      <c r="J348" s="1665">
        <v>1552</v>
      </c>
      <c r="K348" s="1665">
        <v>403106664</v>
      </c>
    </row>
    <row r="349" spans="1:11">
      <c r="A349" t="s">
        <v>1669</v>
      </c>
      <c r="B349" t="s">
        <v>371</v>
      </c>
      <c r="C349" s="1417">
        <v>1.04</v>
      </c>
      <c r="D349" s="2020">
        <v>626950</v>
      </c>
      <c r="E349" s="2020">
        <v>0</v>
      </c>
      <c r="F349" s="2825">
        <v>12</v>
      </c>
      <c r="G349" s="1417">
        <v>0</v>
      </c>
    </row>
    <row r="350" spans="1:11">
      <c r="A350" t="s">
        <v>1873</v>
      </c>
      <c r="B350" t="s">
        <v>1039</v>
      </c>
      <c r="C350" s="1417">
        <v>0.92669999999999997</v>
      </c>
      <c r="D350" s="2020">
        <v>253451</v>
      </c>
      <c r="E350" s="2020">
        <v>0</v>
      </c>
      <c r="F350" s="2825">
        <v>8</v>
      </c>
      <c r="G350" s="1417">
        <v>31</v>
      </c>
    </row>
    <row r="351" spans="1:11">
      <c r="A351" t="s">
        <v>1451</v>
      </c>
      <c r="B351" t="s">
        <v>373</v>
      </c>
      <c r="C351" s="1417">
        <v>1.04</v>
      </c>
      <c r="D351" s="2020">
        <v>21733142</v>
      </c>
      <c r="E351" s="2020">
        <v>2057958</v>
      </c>
      <c r="F351" s="2825">
        <v>12</v>
      </c>
      <c r="G351" s="1417">
        <v>0</v>
      </c>
      <c r="H351" s="1665">
        <v>2250097</v>
      </c>
      <c r="I351" s="1665">
        <v>6906197</v>
      </c>
      <c r="J351" s="1665">
        <v>2931</v>
      </c>
      <c r="K351" s="1665">
        <v>471731276</v>
      </c>
    </row>
    <row r="352" spans="1:11">
      <c r="A352" t="s">
        <v>2160</v>
      </c>
      <c r="B352" t="s">
        <v>1785</v>
      </c>
      <c r="C352" s="1417">
        <v>1.04</v>
      </c>
      <c r="D352" s="2020">
        <v>2905014</v>
      </c>
      <c r="E352" s="2020">
        <v>0</v>
      </c>
      <c r="F352" s="2825">
        <v>12</v>
      </c>
      <c r="G352" s="1417">
        <v>0</v>
      </c>
    </row>
    <row r="353" spans="1:11">
      <c r="A353" t="s">
        <v>2161</v>
      </c>
      <c r="B353" t="s">
        <v>1786</v>
      </c>
      <c r="C353" s="1417">
        <v>1.0173000000000001</v>
      </c>
      <c r="D353" s="2020">
        <v>8247139</v>
      </c>
      <c r="E353" s="2020">
        <v>666084</v>
      </c>
      <c r="F353" s="2825">
        <v>12</v>
      </c>
      <c r="G353" s="1417">
        <v>0</v>
      </c>
      <c r="H353" s="1665">
        <v>931941</v>
      </c>
      <c r="I353" s="1665">
        <v>1794100</v>
      </c>
      <c r="J353" s="1417">
        <v>672</v>
      </c>
      <c r="K353" s="1665">
        <v>336225484</v>
      </c>
    </row>
    <row r="354" spans="1:11">
      <c r="A354" t="s">
        <v>2437</v>
      </c>
      <c r="B354" t="s">
        <v>1787</v>
      </c>
      <c r="C354" s="1417">
        <v>1.0149999999999999</v>
      </c>
      <c r="D354" s="2020">
        <v>11707016</v>
      </c>
      <c r="E354" s="2020">
        <v>1101251</v>
      </c>
      <c r="F354" s="2825">
        <v>12</v>
      </c>
      <c r="G354" s="1417">
        <v>0</v>
      </c>
      <c r="H354" s="1665">
        <v>945546</v>
      </c>
      <c r="I354" s="1665">
        <v>4400587</v>
      </c>
      <c r="J354" s="1665">
        <v>1760</v>
      </c>
      <c r="K354" s="1665">
        <v>401520956</v>
      </c>
    </row>
    <row r="355" spans="1:11">
      <c r="A355" t="s">
        <v>906</v>
      </c>
      <c r="B355" t="s">
        <v>861</v>
      </c>
      <c r="C355" s="1417">
        <v>0.93569999999999998</v>
      </c>
      <c r="D355" s="2020">
        <v>4728360</v>
      </c>
      <c r="E355" s="2020">
        <v>291296</v>
      </c>
      <c r="F355" s="2825">
        <v>12</v>
      </c>
      <c r="G355" s="1417">
        <v>0</v>
      </c>
    </row>
    <row r="356" spans="1:11">
      <c r="A356" t="s">
        <v>2438</v>
      </c>
      <c r="B356" t="s">
        <v>1040</v>
      </c>
      <c r="C356" s="1417">
        <v>0.995</v>
      </c>
      <c r="D356" s="2020">
        <v>1600165</v>
      </c>
      <c r="E356" s="2020">
        <v>44827</v>
      </c>
      <c r="F356" s="2825">
        <v>12</v>
      </c>
      <c r="G356" s="1417">
        <v>0</v>
      </c>
    </row>
    <row r="357" spans="1:11">
      <c r="A357" t="s">
        <v>2439</v>
      </c>
      <c r="B357" t="s">
        <v>1441</v>
      </c>
      <c r="C357" s="1417">
        <v>1.0133000000000001</v>
      </c>
      <c r="D357" s="2020">
        <v>1068891</v>
      </c>
      <c r="E357" s="2020">
        <v>0</v>
      </c>
      <c r="F357" s="2825">
        <v>12</v>
      </c>
      <c r="G357" s="1417">
        <v>0</v>
      </c>
    </row>
    <row r="358" spans="1:11">
      <c r="A358" t="s">
        <v>1852</v>
      </c>
      <c r="B358" t="s">
        <v>1442</v>
      </c>
      <c r="C358" s="1417">
        <v>1.04</v>
      </c>
      <c r="D358" s="2020">
        <v>1367173</v>
      </c>
      <c r="E358" s="2020">
        <v>0</v>
      </c>
      <c r="F358" s="2825">
        <v>12</v>
      </c>
      <c r="G358" s="1417">
        <v>0</v>
      </c>
      <c r="H358" s="1665">
        <v>526166</v>
      </c>
      <c r="I358" s="1665">
        <v>566242</v>
      </c>
      <c r="J358" s="1417">
        <v>236</v>
      </c>
      <c r="K358" s="1665">
        <v>124593922</v>
      </c>
    </row>
    <row r="359" spans="1:11">
      <c r="A359" t="s">
        <v>1853</v>
      </c>
      <c r="B359" t="s">
        <v>1443</v>
      </c>
      <c r="C359" s="1417">
        <v>1.04</v>
      </c>
      <c r="D359" s="2020">
        <v>1518261</v>
      </c>
      <c r="E359" s="2020">
        <v>0</v>
      </c>
      <c r="F359" s="2825">
        <v>12</v>
      </c>
      <c r="G359" s="1417">
        <v>0</v>
      </c>
      <c r="H359" s="1665">
        <v>254644</v>
      </c>
      <c r="I359" s="1665">
        <v>788352</v>
      </c>
      <c r="J359" s="1417">
        <v>301</v>
      </c>
      <c r="K359" s="1665">
        <v>55660682</v>
      </c>
    </row>
    <row r="360" spans="1:11">
      <c r="A360" t="s">
        <v>2021</v>
      </c>
      <c r="B360" t="s">
        <v>1364</v>
      </c>
      <c r="C360" s="1417">
        <v>1.04</v>
      </c>
      <c r="D360" s="2020">
        <v>10726428</v>
      </c>
      <c r="E360" s="2020">
        <v>590834</v>
      </c>
      <c r="F360" s="2825">
        <v>12</v>
      </c>
      <c r="G360" s="1417">
        <v>0</v>
      </c>
    </row>
    <row r="361" spans="1:11">
      <c r="A361" t="s">
        <v>2033</v>
      </c>
      <c r="B361" t="s">
        <v>1444</v>
      </c>
      <c r="C361" s="1417">
        <v>1.04</v>
      </c>
      <c r="D361" s="2020">
        <v>1177394</v>
      </c>
      <c r="E361" s="2020">
        <v>0</v>
      </c>
      <c r="F361" s="2825">
        <v>6</v>
      </c>
      <c r="G361" s="1417">
        <v>0</v>
      </c>
      <c r="H361" s="1665">
        <v>326633</v>
      </c>
      <c r="I361" s="1665">
        <v>119831</v>
      </c>
      <c r="J361" s="1417">
        <v>62</v>
      </c>
      <c r="K361" s="1665">
        <v>80544098</v>
      </c>
    </row>
    <row r="362" spans="1:11">
      <c r="A362" t="s">
        <v>1684</v>
      </c>
      <c r="B362" t="s">
        <v>1560</v>
      </c>
      <c r="C362" s="1417">
        <v>1.17</v>
      </c>
      <c r="D362" s="2020">
        <v>1511686</v>
      </c>
      <c r="E362" s="2020">
        <v>151800</v>
      </c>
      <c r="F362" s="2825">
        <v>12</v>
      </c>
      <c r="G362" s="1417">
        <v>0</v>
      </c>
    </row>
    <row r="363" spans="1:11">
      <c r="A363" t="s">
        <v>981</v>
      </c>
      <c r="B363" t="s">
        <v>1445</v>
      </c>
      <c r="C363" s="1417">
        <v>1.04</v>
      </c>
      <c r="D363" s="2020">
        <v>1198280</v>
      </c>
      <c r="E363" s="2020">
        <v>78123</v>
      </c>
      <c r="F363" s="2825">
        <v>12</v>
      </c>
      <c r="G363" s="1417">
        <v>0</v>
      </c>
    </row>
    <row r="364" spans="1:11">
      <c r="A364" t="s">
        <v>982</v>
      </c>
      <c r="B364" t="s">
        <v>1446</v>
      </c>
      <c r="C364" s="1417">
        <v>1.04</v>
      </c>
      <c r="D364" s="2020">
        <v>11898915</v>
      </c>
      <c r="E364" s="2020">
        <v>1075912</v>
      </c>
      <c r="F364" s="2825">
        <v>12</v>
      </c>
      <c r="G364" s="1417">
        <v>0</v>
      </c>
    </row>
    <row r="365" spans="1:11">
      <c r="A365" t="s">
        <v>1115</v>
      </c>
      <c r="B365" t="s">
        <v>2380</v>
      </c>
      <c r="C365" s="1417">
        <v>1.04</v>
      </c>
      <c r="D365" s="2020">
        <v>1918845</v>
      </c>
      <c r="E365" s="2020">
        <v>475598</v>
      </c>
      <c r="F365" s="2825">
        <v>12</v>
      </c>
      <c r="G365" s="1417">
        <v>0</v>
      </c>
    </row>
    <row r="366" spans="1:11">
      <c r="A366" t="s">
        <v>793</v>
      </c>
      <c r="B366" t="s">
        <v>1648</v>
      </c>
      <c r="C366" s="1417">
        <v>1.04</v>
      </c>
      <c r="D366" s="2020">
        <v>21594828</v>
      </c>
      <c r="E366" s="2020">
        <v>4814977</v>
      </c>
      <c r="F366" s="2825">
        <v>12</v>
      </c>
      <c r="G366" s="1417">
        <v>0</v>
      </c>
    </row>
    <row r="367" spans="1:11">
      <c r="A367" t="s">
        <v>794</v>
      </c>
      <c r="B367" t="s">
        <v>1649</v>
      </c>
      <c r="C367" s="1417">
        <v>1.04</v>
      </c>
      <c r="D367" s="2020">
        <v>672684</v>
      </c>
      <c r="E367" s="2020">
        <v>212766</v>
      </c>
      <c r="F367" s="2825">
        <v>8</v>
      </c>
      <c r="G367" s="1417">
        <v>0</v>
      </c>
    </row>
    <row r="368" spans="1:11">
      <c r="A368" t="s">
        <v>1236</v>
      </c>
      <c r="B368" t="s">
        <v>2365</v>
      </c>
      <c r="C368" s="1417">
        <v>1.04</v>
      </c>
      <c r="D368" s="2020">
        <v>3690191</v>
      </c>
      <c r="E368" s="2020">
        <v>1025198</v>
      </c>
      <c r="F368" s="2825">
        <v>12</v>
      </c>
      <c r="G368" s="1417">
        <v>0</v>
      </c>
    </row>
    <row r="369" spans="1:11">
      <c r="A369" t="s">
        <v>1237</v>
      </c>
      <c r="B369" t="s">
        <v>1335</v>
      </c>
      <c r="C369" s="1417">
        <v>1.17</v>
      </c>
      <c r="D369" s="2020">
        <v>4440083</v>
      </c>
      <c r="E369" s="2020">
        <v>564289</v>
      </c>
      <c r="F369" s="2825">
        <v>12</v>
      </c>
      <c r="G369" s="1417">
        <v>0</v>
      </c>
    </row>
    <row r="370" spans="1:11">
      <c r="A370" t="s">
        <v>1463</v>
      </c>
      <c r="B370" t="s">
        <v>1650</v>
      </c>
      <c r="C370" s="1417">
        <v>1.1399999999999999</v>
      </c>
      <c r="D370" s="2020">
        <v>1544119</v>
      </c>
      <c r="E370" s="2020">
        <v>290048</v>
      </c>
      <c r="F370" s="2825">
        <v>12</v>
      </c>
      <c r="G370" s="1417">
        <v>0</v>
      </c>
    </row>
    <row r="371" spans="1:11">
      <c r="A371" t="s">
        <v>215</v>
      </c>
      <c r="B371" t="s">
        <v>2100</v>
      </c>
      <c r="C371" s="1417">
        <v>1.04</v>
      </c>
      <c r="D371" s="2020">
        <v>6177630</v>
      </c>
      <c r="E371" s="2020">
        <v>1100541</v>
      </c>
      <c r="F371" s="2825">
        <v>12</v>
      </c>
      <c r="G371" s="1417">
        <v>0</v>
      </c>
      <c r="H371" s="1665">
        <v>304077</v>
      </c>
      <c r="I371" s="1665">
        <v>3390093</v>
      </c>
      <c r="J371" s="1665">
        <v>1408</v>
      </c>
      <c r="K371" s="1665">
        <v>223170818</v>
      </c>
    </row>
    <row r="372" spans="1:11">
      <c r="A372" t="s">
        <v>2582</v>
      </c>
      <c r="B372" t="s">
        <v>1041</v>
      </c>
      <c r="C372" s="1417">
        <v>1.0347</v>
      </c>
      <c r="D372" s="2020">
        <v>3348370</v>
      </c>
      <c r="E372" s="2020">
        <v>617969</v>
      </c>
      <c r="F372" s="2825">
        <v>12</v>
      </c>
      <c r="G372" s="1417">
        <v>0</v>
      </c>
    </row>
    <row r="373" spans="1:11">
      <c r="A373" t="s">
        <v>1308</v>
      </c>
      <c r="B373" t="s">
        <v>1732</v>
      </c>
      <c r="C373" s="1417">
        <v>1.04</v>
      </c>
      <c r="D373" s="2020">
        <v>1716232</v>
      </c>
      <c r="E373" s="2020">
        <v>585847</v>
      </c>
      <c r="F373" s="2825">
        <v>12</v>
      </c>
      <c r="G373" s="1417">
        <v>0</v>
      </c>
    </row>
    <row r="374" spans="1:11">
      <c r="A374" t="s">
        <v>1286</v>
      </c>
      <c r="B374" t="s">
        <v>222</v>
      </c>
      <c r="C374" s="1417">
        <v>1.04</v>
      </c>
      <c r="D374" s="2020">
        <v>1423217</v>
      </c>
      <c r="E374" s="2020">
        <v>160119</v>
      </c>
      <c r="F374" s="2825">
        <v>12</v>
      </c>
      <c r="G374" s="1417">
        <v>0</v>
      </c>
    </row>
    <row r="375" spans="1:11">
      <c r="A375" t="s">
        <v>1287</v>
      </c>
      <c r="B375" t="s">
        <v>223</v>
      </c>
      <c r="C375" s="1417">
        <v>1.04</v>
      </c>
      <c r="D375" s="2020">
        <v>5376117</v>
      </c>
      <c r="E375" s="2020">
        <v>156154</v>
      </c>
      <c r="F375" s="2825">
        <v>12</v>
      </c>
      <c r="G375" s="1417">
        <v>0</v>
      </c>
    </row>
    <row r="376" spans="1:11">
      <c r="A376" t="s">
        <v>1288</v>
      </c>
      <c r="B376" t="s">
        <v>224</v>
      </c>
      <c r="C376" s="1417">
        <v>1.04</v>
      </c>
      <c r="D376" s="2020">
        <v>14042938</v>
      </c>
      <c r="E376" s="2020">
        <v>1053912</v>
      </c>
      <c r="F376" s="2825">
        <v>12</v>
      </c>
      <c r="G376" s="1417">
        <v>0</v>
      </c>
    </row>
    <row r="377" spans="1:11">
      <c r="A377" t="s">
        <v>457</v>
      </c>
      <c r="B377" t="s">
        <v>2126</v>
      </c>
      <c r="C377" s="1417">
        <v>1.04</v>
      </c>
      <c r="D377" s="2020">
        <v>36232304</v>
      </c>
      <c r="E377" s="2020">
        <v>2989590</v>
      </c>
      <c r="F377" s="2825">
        <v>12</v>
      </c>
      <c r="G377" s="1417">
        <v>0</v>
      </c>
      <c r="H377" s="1665">
        <v>3883372</v>
      </c>
      <c r="I377" s="1665">
        <v>22991400</v>
      </c>
      <c r="J377" s="1665">
        <v>9816</v>
      </c>
      <c r="K377" s="1665">
        <v>1557044786</v>
      </c>
    </row>
    <row r="378" spans="1:11">
      <c r="A378" t="s">
        <v>2189</v>
      </c>
      <c r="B378" t="s">
        <v>225</v>
      </c>
      <c r="C378" s="1417">
        <v>1.04</v>
      </c>
      <c r="D378" s="2020">
        <v>16297616</v>
      </c>
      <c r="E378" s="2020">
        <v>3213276</v>
      </c>
      <c r="F378" s="2825">
        <v>12</v>
      </c>
      <c r="G378" s="1417">
        <v>0</v>
      </c>
    </row>
    <row r="379" spans="1:11">
      <c r="A379" t="s">
        <v>2639</v>
      </c>
      <c r="B379" t="s">
        <v>226</v>
      </c>
      <c r="C379" s="1417">
        <v>1.04</v>
      </c>
      <c r="D379" s="2020">
        <v>3241433</v>
      </c>
      <c r="E379" s="2020">
        <v>0</v>
      </c>
      <c r="F379" s="2825">
        <v>12</v>
      </c>
      <c r="G379" s="1417">
        <v>0</v>
      </c>
    </row>
    <row r="380" spans="1:11">
      <c r="A380" t="s">
        <v>1509</v>
      </c>
      <c r="B380" t="s">
        <v>1936</v>
      </c>
      <c r="C380" s="1417">
        <v>1.04</v>
      </c>
      <c r="D380" s="2020">
        <v>4064530</v>
      </c>
      <c r="E380" s="2020">
        <v>449031</v>
      </c>
      <c r="F380" s="2825">
        <v>12</v>
      </c>
      <c r="G380" s="1417">
        <v>0</v>
      </c>
    </row>
    <row r="381" spans="1:11">
      <c r="A381" t="s">
        <v>2640</v>
      </c>
      <c r="B381" t="s">
        <v>227</v>
      </c>
      <c r="C381" s="1417">
        <v>1.04</v>
      </c>
      <c r="D381" s="2020">
        <v>3477357</v>
      </c>
      <c r="E381" s="2020">
        <v>212964</v>
      </c>
      <c r="F381" s="2825">
        <v>12</v>
      </c>
      <c r="G381" s="1417">
        <v>0</v>
      </c>
    </row>
    <row r="382" spans="1:11">
      <c r="A382" t="s">
        <v>2641</v>
      </c>
      <c r="B382" t="s">
        <v>1042</v>
      </c>
      <c r="C382" s="1417">
        <v>1.04</v>
      </c>
      <c r="D382" s="2020">
        <v>4175475</v>
      </c>
      <c r="E382" s="2020">
        <v>279438</v>
      </c>
      <c r="F382" s="2825">
        <v>12</v>
      </c>
      <c r="G382" s="1417">
        <v>0</v>
      </c>
      <c r="H382" s="1665">
        <v>184885</v>
      </c>
      <c r="I382" s="1665">
        <v>1665169</v>
      </c>
      <c r="J382" s="1417">
        <v>654</v>
      </c>
      <c r="K382" s="1665">
        <v>115502904</v>
      </c>
    </row>
    <row r="383" spans="1:11">
      <c r="A383" t="s">
        <v>2642</v>
      </c>
      <c r="B383" t="s">
        <v>229</v>
      </c>
      <c r="C383" s="1417">
        <v>1.04</v>
      </c>
      <c r="D383" s="2020">
        <v>1169267</v>
      </c>
      <c r="E383" s="2020">
        <v>0</v>
      </c>
      <c r="F383" s="2825">
        <v>12</v>
      </c>
      <c r="G383" s="1417">
        <v>0</v>
      </c>
    </row>
    <row r="384" spans="1:11">
      <c r="A384" t="s">
        <v>2643</v>
      </c>
      <c r="B384" t="s">
        <v>230</v>
      </c>
      <c r="C384" s="1417">
        <v>1.04</v>
      </c>
      <c r="D384" s="2020">
        <v>10412214</v>
      </c>
      <c r="E384" s="2020">
        <v>1860012</v>
      </c>
      <c r="F384" s="2825">
        <v>12</v>
      </c>
      <c r="G384" s="1417">
        <v>0</v>
      </c>
    </row>
    <row r="385" spans="1:11">
      <c r="A385" t="s">
        <v>2142</v>
      </c>
      <c r="B385" t="s">
        <v>231</v>
      </c>
      <c r="C385" s="1417">
        <v>1.04</v>
      </c>
      <c r="D385" s="2020">
        <v>1095969</v>
      </c>
      <c r="E385" s="2020">
        <v>0</v>
      </c>
      <c r="F385" s="2825">
        <v>12</v>
      </c>
      <c r="G385" s="1417">
        <v>0</v>
      </c>
      <c r="H385" s="1665">
        <v>91250</v>
      </c>
      <c r="I385" s="1665">
        <v>569086</v>
      </c>
      <c r="J385" s="1417">
        <v>271</v>
      </c>
      <c r="K385" s="1665">
        <v>26479877</v>
      </c>
    </row>
    <row r="386" spans="1:11">
      <c r="A386" t="s">
        <v>495</v>
      </c>
      <c r="B386" t="s">
        <v>1247</v>
      </c>
      <c r="C386" s="1417">
        <v>1.04</v>
      </c>
      <c r="D386" s="2020">
        <v>23921804</v>
      </c>
      <c r="E386" s="2020">
        <v>3184175</v>
      </c>
      <c r="F386" s="2825">
        <v>12</v>
      </c>
      <c r="G386" s="1417">
        <v>0</v>
      </c>
    </row>
    <row r="387" spans="1:11">
      <c r="A387" t="s">
        <v>493</v>
      </c>
      <c r="B387" t="s">
        <v>1245</v>
      </c>
      <c r="C387" s="1417">
        <v>1.04</v>
      </c>
      <c r="D387" s="2020">
        <v>30970020</v>
      </c>
      <c r="E387" s="2020">
        <v>5676481</v>
      </c>
      <c r="F387" s="2825">
        <v>12</v>
      </c>
      <c r="G387" s="1417">
        <v>0</v>
      </c>
    </row>
    <row r="388" spans="1:11">
      <c r="A388" t="s">
        <v>2143</v>
      </c>
      <c r="B388" t="s">
        <v>232</v>
      </c>
      <c r="C388" s="1417">
        <v>1.1200000000000001</v>
      </c>
      <c r="D388" s="2020">
        <v>5317204</v>
      </c>
      <c r="E388" s="2020">
        <v>1277637</v>
      </c>
      <c r="F388" s="2825">
        <v>12</v>
      </c>
      <c r="G388" s="1417">
        <v>0</v>
      </c>
    </row>
    <row r="389" spans="1:11">
      <c r="A389" t="s">
        <v>349</v>
      </c>
      <c r="B389" t="s">
        <v>293</v>
      </c>
      <c r="C389" s="1417">
        <v>1.04</v>
      </c>
      <c r="D389" s="2020">
        <v>4389277</v>
      </c>
      <c r="E389" s="2020">
        <v>608080</v>
      </c>
      <c r="F389" s="2825">
        <v>12</v>
      </c>
      <c r="G389" s="1417">
        <v>0</v>
      </c>
    </row>
    <row r="390" spans="1:11">
      <c r="A390" t="s">
        <v>2144</v>
      </c>
      <c r="B390" t="s">
        <v>233</v>
      </c>
      <c r="C390" s="1417">
        <v>1.17</v>
      </c>
      <c r="D390" s="2020">
        <v>4422652</v>
      </c>
      <c r="E390" s="2020">
        <v>0</v>
      </c>
      <c r="F390" s="2825">
        <v>12</v>
      </c>
      <c r="G390" s="1417">
        <v>0</v>
      </c>
    </row>
    <row r="391" spans="1:11">
      <c r="A391" t="s">
        <v>2145</v>
      </c>
      <c r="B391" t="s">
        <v>234</v>
      </c>
      <c r="C391" s="1417">
        <v>1.17</v>
      </c>
      <c r="D391" s="2020">
        <v>351071</v>
      </c>
      <c r="E391" s="2020">
        <v>0</v>
      </c>
      <c r="F391" s="2825">
        <v>12</v>
      </c>
      <c r="G391" s="1417">
        <v>0</v>
      </c>
    </row>
    <row r="392" spans="1:11">
      <c r="A392" t="s">
        <v>505</v>
      </c>
      <c r="B392" t="s">
        <v>235</v>
      </c>
      <c r="C392" s="1417">
        <v>1.04</v>
      </c>
      <c r="D392" s="2020">
        <v>666179</v>
      </c>
      <c r="E392" s="2020">
        <v>0</v>
      </c>
      <c r="F392" s="2825">
        <v>12</v>
      </c>
      <c r="G392" s="1417">
        <v>0</v>
      </c>
    </row>
    <row r="393" spans="1:11">
      <c r="A393" t="s">
        <v>1955</v>
      </c>
      <c r="B393" t="s">
        <v>236</v>
      </c>
      <c r="C393" s="1417">
        <v>1.17</v>
      </c>
      <c r="D393" s="2020">
        <v>561650</v>
      </c>
      <c r="E393" s="2020">
        <v>29024</v>
      </c>
      <c r="F393" s="2825">
        <v>12</v>
      </c>
      <c r="G393" s="1417">
        <v>0</v>
      </c>
    </row>
    <row r="394" spans="1:11">
      <c r="A394" t="s">
        <v>2072</v>
      </c>
      <c r="B394" t="s">
        <v>237</v>
      </c>
      <c r="C394" s="1417">
        <v>1.04</v>
      </c>
      <c r="D394" s="2020">
        <v>10619496</v>
      </c>
      <c r="E394" s="2020">
        <v>0</v>
      </c>
      <c r="F394" s="2825">
        <v>12</v>
      </c>
      <c r="G394" s="1417">
        <v>0</v>
      </c>
    </row>
    <row r="395" spans="1:11">
      <c r="A395" t="s">
        <v>2073</v>
      </c>
      <c r="B395" t="s">
        <v>238</v>
      </c>
      <c r="C395" s="1417">
        <v>1.04</v>
      </c>
      <c r="D395" s="2020">
        <v>1130082</v>
      </c>
      <c r="E395" s="2020">
        <v>0</v>
      </c>
      <c r="F395" s="2825">
        <v>12</v>
      </c>
      <c r="G395" s="1417">
        <v>0</v>
      </c>
    </row>
    <row r="396" spans="1:11">
      <c r="A396" t="s">
        <v>146</v>
      </c>
      <c r="B396" t="s">
        <v>239</v>
      </c>
      <c r="C396" s="1417">
        <v>1.04</v>
      </c>
      <c r="D396" s="2020">
        <v>426158</v>
      </c>
      <c r="E396" s="2020">
        <v>0</v>
      </c>
      <c r="F396" s="2825">
        <v>12</v>
      </c>
      <c r="G396" s="1417">
        <v>0</v>
      </c>
    </row>
    <row r="397" spans="1:11">
      <c r="A397" t="s">
        <v>147</v>
      </c>
      <c r="B397" t="s">
        <v>1043</v>
      </c>
      <c r="C397" s="1417">
        <v>1.04</v>
      </c>
      <c r="D397" s="2020">
        <v>2552175</v>
      </c>
      <c r="E397" s="2020">
        <v>285656</v>
      </c>
      <c r="F397" s="2825">
        <v>12</v>
      </c>
      <c r="G397" s="1417">
        <v>0</v>
      </c>
    </row>
    <row r="398" spans="1:11">
      <c r="A398" t="s">
        <v>2507</v>
      </c>
      <c r="B398" t="s">
        <v>2373</v>
      </c>
      <c r="C398" s="1417">
        <v>1.04</v>
      </c>
      <c r="D398" s="2020">
        <v>1431233</v>
      </c>
      <c r="E398" s="2020">
        <v>146212</v>
      </c>
      <c r="F398" s="2825">
        <v>12</v>
      </c>
      <c r="G398" s="1417">
        <v>0</v>
      </c>
    </row>
    <row r="399" spans="1:11">
      <c r="A399" t="s">
        <v>2344</v>
      </c>
      <c r="B399" t="s">
        <v>241</v>
      </c>
      <c r="C399" s="1417">
        <v>1.04</v>
      </c>
      <c r="D399" s="2020">
        <v>4899131</v>
      </c>
      <c r="E399" s="2020">
        <v>0</v>
      </c>
      <c r="F399" s="2825">
        <v>12</v>
      </c>
      <c r="G399" s="1417">
        <v>0</v>
      </c>
      <c r="H399" s="1665">
        <v>495562</v>
      </c>
      <c r="I399" s="1665">
        <v>2059144</v>
      </c>
      <c r="J399" s="1417">
        <v>843</v>
      </c>
      <c r="K399" s="1665">
        <v>232163856</v>
      </c>
    </row>
    <row r="400" spans="1:11">
      <c r="A400" t="s">
        <v>1120</v>
      </c>
      <c r="B400" t="s">
        <v>1044</v>
      </c>
      <c r="C400" s="1417">
        <v>1.04</v>
      </c>
      <c r="D400" s="2020">
        <v>1916186</v>
      </c>
      <c r="E400" s="2020">
        <v>0</v>
      </c>
      <c r="F400" s="2825">
        <v>8</v>
      </c>
      <c r="G400" s="1417">
        <v>0</v>
      </c>
      <c r="H400" s="1665">
        <v>335359</v>
      </c>
      <c r="I400" s="1665">
        <v>412336</v>
      </c>
      <c r="J400" s="1417">
        <v>147</v>
      </c>
      <c r="K400" s="1665">
        <v>98099866</v>
      </c>
    </row>
    <row r="401" spans="1:11">
      <c r="A401" t="s">
        <v>1121</v>
      </c>
      <c r="B401" t="s">
        <v>2596</v>
      </c>
      <c r="C401" s="1417">
        <v>1.04</v>
      </c>
      <c r="D401" s="2020">
        <v>3947594</v>
      </c>
      <c r="E401" s="2020">
        <v>781296</v>
      </c>
      <c r="F401" s="2825">
        <v>12</v>
      </c>
      <c r="G401" s="1417">
        <v>0</v>
      </c>
      <c r="H401" s="1665">
        <v>534136</v>
      </c>
      <c r="I401" s="1665">
        <v>2792885</v>
      </c>
      <c r="J401" s="1665">
        <v>1166</v>
      </c>
      <c r="K401" s="1665">
        <v>259968190</v>
      </c>
    </row>
    <row r="402" spans="1:11">
      <c r="A402" t="s">
        <v>2106</v>
      </c>
      <c r="B402" t="s">
        <v>476</v>
      </c>
      <c r="C402" s="1417">
        <v>1.04</v>
      </c>
      <c r="D402" s="2020">
        <v>1123303</v>
      </c>
      <c r="E402" s="2020">
        <v>0</v>
      </c>
      <c r="F402" s="2825">
        <v>12</v>
      </c>
      <c r="G402" s="1417">
        <v>0</v>
      </c>
      <c r="H402" s="1665">
        <v>210319</v>
      </c>
      <c r="I402" s="1665">
        <v>982685</v>
      </c>
      <c r="J402" s="1417">
        <v>447</v>
      </c>
      <c r="K402" s="1665">
        <v>97979770</v>
      </c>
    </row>
    <row r="403" spans="1:11">
      <c r="A403" t="s">
        <v>2107</v>
      </c>
      <c r="B403" t="s">
        <v>477</v>
      </c>
      <c r="C403" s="1417">
        <v>1.04</v>
      </c>
      <c r="D403" s="2020">
        <v>2167086</v>
      </c>
      <c r="E403" s="2020">
        <v>0</v>
      </c>
      <c r="F403" s="2825">
        <v>12</v>
      </c>
      <c r="G403" s="1417">
        <v>0</v>
      </c>
    </row>
    <row r="404" spans="1:11">
      <c r="A404" t="s">
        <v>1020</v>
      </c>
      <c r="B404" t="s">
        <v>478</v>
      </c>
      <c r="C404" s="1417">
        <v>1.04</v>
      </c>
      <c r="D404" s="2020">
        <v>2589143</v>
      </c>
      <c r="E404" s="2020">
        <v>776915</v>
      </c>
      <c r="F404" s="2825">
        <v>12</v>
      </c>
      <c r="G404" s="1417">
        <v>0</v>
      </c>
    </row>
    <row r="405" spans="1:11">
      <c r="A405" t="s">
        <v>1148</v>
      </c>
      <c r="B405" t="s">
        <v>1494</v>
      </c>
      <c r="C405" s="1417">
        <v>1.17</v>
      </c>
      <c r="D405" s="2020">
        <v>7059829</v>
      </c>
      <c r="E405" s="2020">
        <v>927570</v>
      </c>
      <c r="F405" s="2825">
        <v>12</v>
      </c>
      <c r="G405" s="1417">
        <v>0</v>
      </c>
    </row>
    <row r="406" spans="1:11">
      <c r="A406" t="s">
        <v>381</v>
      </c>
      <c r="B406" t="s">
        <v>479</v>
      </c>
      <c r="C406" s="1417">
        <v>1.04</v>
      </c>
      <c r="D406" s="2020">
        <v>9159563</v>
      </c>
      <c r="E406" s="2020">
        <v>442215</v>
      </c>
      <c r="F406" s="2825">
        <v>12</v>
      </c>
      <c r="G406" s="1417">
        <v>0</v>
      </c>
      <c r="H406" s="1665">
        <v>923877</v>
      </c>
      <c r="I406" s="1665">
        <v>5953970</v>
      </c>
      <c r="J406" s="1665">
        <v>2430</v>
      </c>
      <c r="K406" s="1665">
        <v>279820206</v>
      </c>
    </row>
    <row r="407" spans="1:11">
      <c r="A407" t="s">
        <v>2285</v>
      </c>
      <c r="B407" t="s">
        <v>839</v>
      </c>
      <c r="C407" s="1417">
        <v>1.04</v>
      </c>
      <c r="D407" s="2020">
        <v>7252603</v>
      </c>
      <c r="E407" s="2020">
        <v>680850</v>
      </c>
      <c r="F407" s="2825">
        <v>12</v>
      </c>
      <c r="G407" s="1417">
        <v>0</v>
      </c>
    </row>
    <row r="408" spans="1:11">
      <c r="A408" t="s">
        <v>1179</v>
      </c>
      <c r="B408" t="s">
        <v>297</v>
      </c>
      <c r="C408" s="1417">
        <v>1.04</v>
      </c>
      <c r="D408" s="2020">
        <v>1357862</v>
      </c>
      <c r="E408" s="2020">
        <v>190649</v>
      </c>
      <c r="F408" s="2825">
        <v>12</v>
      </c>
      <c r="G408" s="1417">
        <v>0</v>
      </c>
    </row>
    <row r="409" spans="1:11">
      <c r="A409" t="s">
        <v>585</v>
      </c>
      <c r="B409" t="s">
        <v>699</v>
      </c>
      <c r="C409" s="1417">
        <v>1.1333</v>
      </c>
      <c r="D409" s="2020">
        <v>144038776</v>
      </c>
      <c r="E409" s="2020">
        <v>11345528</v>
      </c>
      <c r="F409" s="2825">
        <v>12</v>
      </c>
      <c r="G409" s="1417">
        <v>0</v>
      </c>
    </row>
    <row r="410" spans="1:11">
      <c r="A410" t="s">
        <v>194</v>
      </c>
      <c r="B410" t="s">
        <v>1987</v>
      </c>
      <c r="C410" s="1417">
        <v>1.04</v>
      </c>
      <c r="D410" s="2020">
        <v>124124899</v>
      </c>
      <c r="E410" s="2020">
        <v>21463319</v>
      </c>
      <c r="F410" s="2825">
        <v>12</v>
      </c>
      <c r="G410" s="1417">
        <v>0</v>
      </c>
    </row>
    <row r="411" spans="1:11">
      <c r="A411" t="s">
        <v>2313</v>
      </c>
      <c r="B411" t="s">
        <v>480</v>
      </c>
      <c r="C411" s="1417">
        <v>1.0219</v>
      </c>
      <c r="D411" s="2020">
        <v>23807603</v>
      </c>
      <c r="E411" s="2020">
        <v>5938716</v>
      </c>
      <c r="F411" s="2825">
        <v>12</v>
      </c>
      <c r="G411" s="1417">
        <v>0</v>
      </c>
    </row>
    <row r="412" spans="1:11">
      <c r="A412" t="s">
        <v>2404</v>
      </c>
      <c r="B412" t="s">
        <v>418</v>
      </c>
      <c r="C412" s="1417">
        <v>1.04</v>
      </c>
      <c r="D412" s="2020">
        <v>11499640</v>
      </c>
      <c r="E412" s="2020">
        <v>3020397</v>
      </c>
      <c r="F412" s="2825">
        <v>12</v>
      </c>
      <c r="G412" s="1417">
        <v>0</v>
      </c>
    </row>
    <row r="413" spans="1:11">
      <c r="A413" t="s">
        <v>2314</v>
      </c>
      <c r="B413" t="s">
        <v>481</v>
      </c>
      <c r="C413" s="1417">
        <v>1.024</v>
      </c>
      <c r="D413" s="2020">
        <v>330897674</v>
      </c>
      <c r="E413" s="2020">
        <v>73470557</v>
      </c>
      <c r="F413" s="2825">
        <v>12</v>
      </c>
      <c r="G413" s="1417">
        <v>0</v>
      </c>
    </row>
    <row r="414" spans="1:11">
      <c r="A414" t="s">
        <v>2166</v>
      </c>
      <c r="B414" t="s">
        <v>482</v>
      </c>
      <c r="C414" s="1417">
        <v>1.1067</v>
      </c>
      <c r="D414" s="2020">
        <v>92821853</v>
      </c>
      <c r="E414" s="2020">
        <v>14336537</v>
      </c>
      <c r="F414" s="2825">
        <v>12</v>
      </c>
      <c r="G414" s="1417">
        <v>0</v>
      </c>
      <c r="H414" s="1665">
        <v>17733284</v>
      </c>
      <c r="I414" s="1665">
        <v>27169337</v>
      </c>
      <c r="J414" s="1665">
        <v>11427</v>
      </c>
      <c r="K414" s="1665">
        <v>5671945194</v>
      </c>
    </row>
    <row r="415" spans="1:11">
      <c r="A415" t="s">
        <v>1408</v>
      </c>
      <c r="B415" t="s">
        <v>2288</v>
      </c>
      <c r="C415" s="1417">
        <v>1.04</v>
      </c>
      <c r="D415" s="2020">
        <v>17102061</v>
      </c>
      <c r="E415" s="2020">
        <v>2273281</v>
      </c>
      <c r="F415" s="2825">
        <v>12</v>
      </c>
      <c r="G415" s="1417">
        <v>0</v>
      </c>
    </row>
    <row r="416" spans="1:11">
      <c r="A416" t="s">
        <v>1428</v>
      </c>
      <c r="B416" t="s">
        <v>1480</v>
      </c>
      <c r="C416" s="1417">
        <v>1.1834</v>
      </c>
      <c r="D416" s="2020">
        <v>63150175</v>
      </c>
      <c r="E416" s="2020">
        <v>10382148</v>
      </c>
      <c r="F416" s="2825">
        <v>12</v>
      </c>
      <c r="G416" s="1417">
        <v>0</v>
      </c>
    </row>
    <row r="417" spans="1:11">
      <c r="A417" t="s">
        <v>2020</v>
      </c>
      <c r="B417" t="s">
        <v>483</v>
      </c>
      <c r="C417" s="1417">
        <v>1</v>
      </c>
      <c r="D417" s="2020">
        <v>96335761</v>
      </c>
      <c r="E417" s="2020">
        <v>22651917</v>
      </c>
      <c r="F417" s="2825">
        <v>12</v>
      </c>
      <c r="G417" s="1417">
        <v>0</v>
      </c>
      <c r="H417" s="1665">
        <v>23350869</v>
      </c>
      <c r="I417" s="1665">
        <v>47491873</v>
      </c>
      <c r="J417" s="1665">
        <v>19706</v>
      </c>
      <c r="K417" s="1665">
        <v>4816764713</v>
      </c>
    </row>
    <row r="418" spans="1:11">
      <c r="A418" t="s">
        <v>2552</v>
      </c>
      <c r="B418" t="s">
        <v>484</v>
      </c>
      <c r="C418" s="1417">
        <v>1.0066999999999999</v>
      </c>
      <c r="D418" s="2020">
        <v>0</v>
      </c>
      <c r="E418" s="2020">
        <v>124102516</v>
      </c>
      <c r="F418" s="2825">
        <v>12</v>
      </c>
      <c r="G418" s="1417">
        <v>0</v>
      </c>
      <c r="H418" s="1665">
        <v>159980884</v>
      </c>
      <c r="I418" s="1665">
        <v>578617240</v>
      </c>
      <c r="J418" s="1665">
        <v>238950</v>
      </c>
      <c r="K418" s="1665">
        <v>47350142901</v>
      </c>
    </row>
    <row r="419" spans="1:11">
      <c r="A419" t="s">
        <v>1117</v>
      </c>
      <c r="B419" t="s">
        <v>2385</v>
      </c>
      <c r="C419" s="1417">
        <v>1.04</v>
      </c>
      <c r="D419" s="2020">
        <v>96846709</v>
      </c>
      <c r="E419" s="2020">
        <v>22152127</v>
      </c>
      <c r="F419" s="2825">
        <v>12</v>
      </c>
      <c r="G419" s="1417">
        <v>0</v>
      </c>
    </row>
    <row r="420" spans="1:11">
      <c r="A420" t="s">
        <v>48</v>
      </c>
      <c r="B420" t="s">
        <v>410</v>
      </c>
      <c r="C420" s="1417">
        <v>1.1266</v>
      </c>
      <c r="D420" s="2020">
        <v>186205669</v>
      </c>
      <c r="E420" s="2020">
        <v>45519321</v>
      </c>
      <c r="F420" s="2825">
        <v>12</v>
      </c>
      <c r="G420" s="1417">
        <v>0</v>
      </c>
    </row>
    <row r="421" spans="1:11">
      <c r="A421" t="s">
        <v>55</v>
      </c>
      <c r="B421" t="s">
        <v>2585</v>
      </c>
      <c r="C421" s="1417">
        <v>1.04</v>
      </c>
      <c r="D421" s="2020">
        <v>126152237</v>
      </c>
      <c r="E421" s="2020">
        <v>21213439</v>
      </c>
      <c r="F421" s="2825">
        <v>12</v>
      </c>
      <c r="G421" s="1417">
        <v>0</v>
      </c>
    </row>
    <row r="422" spans="1:11">
      <c r="A422" t="s">
        <v>2553</v>
      </c>
      <c r="B422" t="s">
        <v>485</v>
      </c>
      <c r="C422" s="1417">
        <v>1.04</v>
      </c>
      <c r="D422" s="2020">
        <v>61187242</v>
      </c>
      <c r="E422" s="2020">
        <v>12983705</v>
      </c>
      <c r="F422" s="2825">
        <v>12</v>
      </c>
      <c r="G422" s="1417">
        <v>0</v>
      </c>
      <c r="H422" s="1665">
        <v>14927545</v>
      </c>
      <c r="I422" s="1665">
        <v>19417505</v>
      </c>
      <c r="J422" s="1665">
        <v>8212</v>
      </c>
      <c r="K422" s="1665">
        <v>2950398018</v>
      </c>
    </row>
    <row r="423" spans="1:11">
      <c r="A423" t="s">
        <v>206</v>
      </c>
      <c r="B423" t="s">
        <v>272</v>
      </c>
      <c r="C423" s="1417">
        <v>1.07</v>
      </c>
      <c r="D423" s="2020">
        <v>111473818</v>
      </c>
      <c r="E423" s="2020">
        <v>23558495</v>
      </c>
      <c r="F423" s="2825">
        <v>12</v>
      </c>
      <c r="G423" s="1417">
        <v>0</v>
      </c>
    </row>
    <row r="424" spans="1:11">
      <c r="A424" t="s">
        <v>668</v>
      </c>
      <c r="B424" t="s">
        <v>486</v>
      </c>
      <c r="C424" s="1417">
        <v>1.04</v>
      </c>
      <c r="D424" s="2020">
        <v>84763898</v>
      </c>
      <c r="E424" s="2020">
        <v>28882704</v>
      </c>
      <c r="F424" s="2825">
        <v>12</v>
      </c>
      <c r="G424" s="1417">
        <v>0</v>
      </c>
    </row>
    <row r="425" spans="1:11">
      <c r="A425" t="s">
        <v>811</v>
      </c>
      <c r="B425" t="s">
        <v>2190</v>
      </c>
      <c r="C425" s="1417">
        <v>1.0900000000000001</v>
      </c>
      <c r="D425" s="2020">
        <v>191424089</v>
      </c>
      <c r="E425" s="2020">
        <v>26881641</v>
      </c>
      <c r="F425" s="2825">
        <v>12</v>
      </c>
      <c r="G425" s="1417">
        <v>0</v>
      </c>
      <c r="H425" s="1665">
        <v>42721088</v>
      </c>
      <c r="I425" s="1665">
        <v>73982388</v>
      </c>
      <c r="J425" s="1665">
        <v>30862</v>
      </c>
      <c r="K425" s="1665">
        <v>8425709245</v>
      </c>
    </row>
    <row r="426" spans="1:11">
      <c r="A426" t="s">
        <v>1947</v>
      </c>
      <c r="B426" t="s">
        <v>2191</v>
      </c>
      <c r="C426" s="1417">
        <v>1</v>
      </c>
      <c r="D426" s="2020">
        <v>43730888</v>
      </c>
      <c r="E426" s="2020">
        <v>10704612</v>
      </c>
      <c r="F426" s="2825">
        <v>12</v>
      </c>
      <c r="G426" s="1417">
        <v>0</v>
      </c>
      <c r="H426" s="1665">
        <v>6173947</v>
      </c>
      <c r="I426" s="1665">
        <v>13780497</v>
      </c>
      <c r="J426" s="1665">
        <v>5597</v>
      </c>
      <c r="K426" s="1665">
        <v>1528041262</v>
      </c>
    </row>
    <row r="427" spans="1:11">
      <c r="A427" t="s">
        <v>1948</v>
      </c>
      <c r="B427" t="s">
        <v>2192</v>
      </c>
      <c r="C427" s="1417">
        <v>1.04</v>
      </c>
      <c r="D427" s="2020">
        <v>37049481</v>
      </c>
      <c r="E427" s="2020">
        <v>6854595</v>
      </c>
      <c r="F427" s="2825">
        <v>12</v>
      </c>
      <c r="G427" s="1417">
        <v>0</v>
      </c>
      <c r="H427" s="1665">
        <v>4844480</v>
      </c>
      <c r="I427" s="1665">
        <v>11225403</v>
      </c>
      <c r="J427" s="1665">
        <v>4633</v>
      </c>
      <c r="K427" s="1665">
        <v>1503188464</v>
      </c>
    </row>
    <row r="428" spans="1:11">
      <c r="A428" t="s">
        <v>867</v>
      </c>
      <c r="B428" t="s">
        <v>2383</v>
      </c>
      <c r="C428" s="1417">
        <v>1.04</v>
      </c>
      <c r="D428" s="2020">
        <v>7896729</v>
      </c>
      <c r="E428" s="2020">
        <v>1448518</v>
      </c>
      <c r="F428" s="2825">
        <v>12</v>
      </c>
      <c r="G428" s="1417">
        <v>0</v>
      </c>
    </row>
    <row r="429" spans="1:11">
      <c r="A429" t="s">
        <v>1949</v>
      </c>
      <c r="B429" t="s">
        <v>2193</v>
      </c>
      <c r="C429" s="1417">
        <v>1.04</v>
      </c>
      <c r="D429" s="2020">
        <v>1678217</v>
      </c>
      <c r="E429" s="2020">
        <v>0</v>
      </c>
      <c r="F429" s="2825">
        <v>12</v>
      </c>
      <c r="G429" s="1417">
        <v>0</v>
      </c>
      <c r="H429" s="1665">
        <v>107193</v>
      </c>
      <c r="I429" s="1665">
        <v>1737567</v>
      </c>
      <c r="J429" s="1417">
        <v>751</v>
      </c>
      <c r="K429" s="1665">
        <v>73630928</v>
      </c>
    </row>
    <row r="430" spans="1:11">
      <c r="A430" t="s">
        <v>1500</v>
      </c>
      <c r="B430" t="s">
        <v>2194</v>
      </c>
      <c r="C430" s="1417">
        <v>1.04</v>
      </c>
      <c r="D430" s="2020">
        <v>27734354</v>
      </c>
      <c r="E430" s="2020">
        <v>0</v>
      </c>
      <c r="F430" s="2825">
        <v>12</v>
      </c>
      <c r="G430" s="1417">
        <v>0</v>
      </c>
      <c r="H430" s="1665">
        <v>1664664</v>
      </c>
      <c r="I430" s="1665">
        <v>17407803</v>
      </c>
      <c r="J430" s="1665">
        <v>7427</v>
      </c>
      <c r="K430" s="1665">
        <v>1048587247</v>
      </c>
    </row>
    <row r="431" spans="1:11">
      <c r="A431" t="s">
        <v>1501</v>
      </c>
      <c r="B431" t="s">
        <v>2195</v>
      </c>
      <c r="C431" s="1417">
        <v>1.04</v>
      </c>
      <c r="D431" s="2020">
        <v>4019721</v>
      </c>
      <c r="E431" s="2020">
        <v>572673</v>
      </c>
      <c r="F431" s="2825">
        <v>12</v>
      </c>
      <c r="G431" s="1417">
        <v>0</v>
      </c>
      <c r="H431" s="1665">
        <v>414545</v>
      </c>
      <c r="I431" s="1665">
        <v>2611214</v>
      </c>
      <c r="J431" s="1665">
        <v>1089</v>
      </c>
      <c r="K431" s="1665">
        <v>157005199</v>
      </c>
    </row>
    <row r="432" spans="1:11">
      <c r="A432" t="s">
        <v>1502</v>
      </c>
      <c r="B432" t="s">
        <v>2074</v>
      </c>
      <c r="C432" s="1417">
        <v>1.02</v>
      </c>
      <c r="D432" s="2020">
        <v>26362814</v>
      </c>
      <c r="E432" s="2020">
        <v>2076388</v>
      </c>
      <c r="F432" s="2825">
        <v>12</v>
      </c>
      <c r="G432" s="1417">
        <v>0</v>
      </c>
      <c r="H432" s="1665">
        <v>3644685</v>
      </c>
      <c r="I432" s="1665">
        <v>8421511</v>
      </c>
      <c r="J432" s="1665">
        <v>3536</v>
      </c>
      <c r="K432" s="1665">
        <v>1022448393</v>
      </c>
    </row>
    <row r="433" spans="1:11">
      <c r="A433" t="s">
        <v>1568</v>
      </c>
      <c r="B433" t="s">
        <v>2075</v>
      </c>
      <c r="C433" s="1417">
        <v>1.17</v>
      </c>
      <c r="D433" s="2020">
        <v>1809681</v>
      </c>
      <c r="E433" s="2020">
        <v>97194</v>
      </c>
      <c r="F433" s="2825">
        <v>12</v>
      </c>
      <c r="G433" s="1417">
        <v>0</v>
      </c>
    </row>
    <row r="434" spans="1:11">
      <c r="A434" t="s">
        <v>1569</v>
      </c>
      <c r="B434" t="s">
        <v>156</v>
      </c>
      <c r="C434" s="1417">
        <v>1.03</v>
      </c>
      <c r="D434" s="2020">
        <v>3867519</v>
      </c>
      <c r="E434" s="2020">
        <v>432565</v>
      </c>
      <c r="F434" s="2825">
        <v>12</v>
      </c>
      <c r="G434" s="1417">
        <v>0</v>
      </c>
      <c r="H434" s="1665">
        <v>131022</v>
      </c>
      <c r="I434" s="1665">
        <v>3105117</v>
      </c>
      <c r="J434" s="1665">
        <v>1309</v>
      </c>
      <c r="K434" s="1665">
        <v>194309125</v>
      </c>
    </row>
    <row r="435" spans="1:11">
      <c r="A435" t="s">
        <v>497</v>
      </c>
      <c r="B435" t="s">
        <v>157</v>
      </c>
      <c r="C435" s="1417">
        <v>1.04</v>
      </c>
      <c r="D435" s="2020">
        <v>1395683</v>
      </c>
      <c r="E435" s="2020">
        <v>0</v>
      </c>
      <c r="F435" s="2825">
        <v>12</v>
      </c>
      <c r="G435" s="1417">
        <v>0</v>
      </c>
      <c r="H435" s="1665">
        <v>159966</v>
      </c>
      <c r="I435" s="1665">
        <v>680283</v>
      </c>
      <c r="J435" s="1417">
        <v>274</v>
      </c>
      <c r="K435" s="1665">
        <v>75441711</v>
      </c>
    </row>
    <row r="436" spans="1:11">
      <c r="A436" t="s">
        <v>465</v>
      </c>
      <c r="B436" t="s">
        <v>158</v>
      </c>
      <c r="C436" s="1417">
        <v>1.04</v>
      </c>
      <c r="D436" s="2020">
        <v>999149</v>
      </c>
      <c r="E436" s="2020">
        <v>76159</v>
      </c>
      <c r="F436" s="2825">
        <v>12</v>
      </c>
      <c r="G436" s="1417">
        <v>0</v>
      </c>
    </row>
    <row r="437" spans="1:11">
      <c r="A437" t="s">
        <v>466</v>
      </c>
      <c r="B437" t="s">
        <v>828</v>
      </c>
      <c r="C437" s="1417">
        <v>1.17</v>
      </c>
      <c r="D437" s="2020">
        <v>1374573</v>
      </c>
      <c r="E437" s="2020">
        <v>0</v>
      </c>
      <c r="F437" s="2825" t="s">
        <v>69</v>
      </c>
      <c r="G437" s="1417">
        <v>0</v>
      </c>
    </row>
    <row r="438" spans="1:11">
      <c r="A438" t="s">
        <v>467</v>
      </c>
      <c r="B438" t="s">
        <v>159</v>
      </c>
      <c r="C438" s="1417">
        <v>1.17</v>
      </c>
      <c r="D438" s="2020">
        <v>336224</v>
      </c>
      <c r="E438" s="2020">
        <v>0</v>
      </c>
      <c r="F438" s="2825">
        <v>12</v>
      </c>
      <c r="G438" s="1417">
        <v>0</v>
      </c>
    </row>
    <row r="439" spans="1:11">
      <c r="A439" t="s">
        <v>468</v>
      </c>
      <c r="B439" t="s">
        <v>160</v>
      </c>
      <c r="C439" s="1417">
        <v>1.17</v>
      </c>
      <c r="D439" s="2020">
        <v>435522</v>
      </c>
      <c r="E439" s="2020">
        <v>0</v>
      </c>
      <c r="F439" s="2825">
        <v>12</v>
      </c>
      <c r="G439" s="1417">
        <v>0</v>
      </c>
    </row>
    <row r="440" spans="1:11">
      <c r="A440" t="s">
        <v>1141</v>
      </c>
      <c r="B440" t="s">
        <v>1045</v>
      </c>
      <c r="C440" s="1417">
        <v>1.04</v>
      </c>
      <c r="D440" s="2020">
        <v>32631066</v>
      </c>
      <c r="E440" s="2020">
        <v>9046178</v>
      </c>
      <c r="F440" s="2825">
        <v>12</v>
      </c>
      <c r="G440" s="1417">
        <v>0</v>
      </c>
      <c r="H440" s="1665">
        <v>2420777</v>
      </c>
      <c r="I440" s="1665">
        <v>17750187</v>
      </c>
      <c r="J440" s="1665">
        <v>7499</v>
      </c>
      <c r="K440" s="1665">
        <v>822227254</v>
      </c>
    </row>
    <row r="441" spans="1:11">
      <c r="A441" t="s">
        <v>1488</v>
      </c>
      <c r="B441" t="s">
        <v>1061</v>
      </c>
      <c r="C441" s="1417">
        <v>1.04</v>
      </c>
      <c r="D441" s="2020">
        <v>22631199</v>
      </c>
      <c r="E441" s="2020">
        <v>5411037</v>
      </c>
      <c r="F441" s="2825">
        <v>12</v>
      </c>
      <c r="G441" s="1417">
        <v>0</v>
      </c>
      <c r="H441" s="1665">
        <v>706015</v>
      </c>
      <c r="I441" s="1665">
        <v>5411708</v>
      </c>
      <c r="J441" s="1665">
        <v>2182</v>
      </c>
      <c r="K441" s="1665">
        <v>281890545</v>
      </c>
    </row>
    <row r="442" spans="1:11">
      <c r="A442" t="s">
        <v>1292</v>
      </c>
      <c r="B442" t="s">
        <v>162</v>
      </c>
      <c r="C442" s="1417">
        <v>1.04</v>
      </c>
      <c r="D442" s="2020">
        <v>13151256</v>
      </c>
      <c r="E442" s="2020">
        <v>1890834</v>
      </c>
      <c r="F442" s="2825">
        <v>12</v>
      </c>
      <c r="G442" s="1417">
        <v>0</v>
      </c>
      <c r="H442" s="1665">
        <v>1046947</v>
      </c>
      <c r="I442" s="1665">
        <v>3488602</v>
      </c>
      <c r="J442" s="1665">
        <v>1446</v>
      </c>
      <c r="K442" s="1665">
        <v>279022770</v>
      </c>
    </row>
    <row r="443" spans="1:11">
      <c r="A443" t="s">
        <v>1863</v>
      </c>
      <c r="B443" t="s">
        <v>35</v>
      </c>
      <c r="C443" s="1417">
        <v>1.04</v>
      </c>
      <c r="D443" s="2020">
        <v>33447789</v>
      </c>
      <c r="E443" s="2020">
        <v>10920921</v>
      </c>
      <c r="F443" s="2825">
        <v>12</v>
      </c>
      <c r="G443" s="1417">
        <v>0</v>
      </c>
    </row>
    <row r="444" spans="1:11">
      <c r="A444" t="s">
        <v>1703</v>
      </c>
      <c r="B444" t="s">
        <v>163</v>
      </c>
      <c r="C444" s="1417">
        <v>0.92</v>
      </c>
      <c r="D444" s="2020">
        <v>12246532</v>
      </c>
      <c r="E444" s="2020">
        <v>1925884</v>
      </c>
      <c r="F444" s="2825">
        <v>12</v>
      </c>
      <c r="G444" s="1417">
        <v>0</v>
      </c>
      <c r="H444" s="1665">
        <v>2310311</v>
      </c>
      <c r="I444" s="1665">
        <v>2911127</v>
      </c>
      <c r="J444" s="1665">
        <v>1189</v>
      </c>
      <c r="K444" s="1665">
        <v>578777790</v>
      </c>
    </row>
    <row r="445" spans="1:11">
      <c r="A445" t="s">
        <v>1704</v>
      </c>
      <c r="B445" t="s">
        <v>1349</v>
      </c>
      <c r="C445" s="1417">
        <v>1.0373000000000001</v>
      </c>
      <c r="D445" s="2020">
        <v>10836288</v>
      </c>
      <c r="E445" s="2020">
        <v>1071106</v>
      </c>
      <c r="F445" s="2825">
        <v>12</v>
      </c>
      <c r="G445" s="1417">
        <v>0</v>
      </c>
    </row>
    <row r="446" spans="1:11">
      <c r="A446" t="s">
        <v>2544</v>
      </c>
      <c r="B446" t="s">
        <v>1350</v>
      </c>
      <c r="C446" s="1417">
        <v>1.04</v>
      </c>
      <c r="D446" s="2020">
        <v>6285429</v>
      </c>
      <c r="E446" s="2020">
        <v>503805</v>
      </c>
      <c r="F446" s="2825">
        <v>12</v>
      </c>
      <c r="G446" s="1417">
        <v>0</v>
      </c>
    </row>
    <row r="447" spans="1:11">
      <c r="A447" t="s">
        <v>2519</v>
      </c>
      <c r="B447" t="s">
        <v>1351</v>
      </c>
      <c r="C447" s="1417">
        <v>1.0249999999999999</v>
      </c>
      <c r="D447" s="2020">
        <v>2731899</v>
      </c>
      <c r="E447" s="2020">
        <v>410045</v>
      </c>
      <c r="F447" s="2825">
        <v>12</v>
      </c>
      <c r="G447" s="1417">
        <v>0</v>
      </c>
    </row>
    <row r="448" spans="1:11">
      <c r="A448" t="s">
        <v>2007</v>
      </c>
      <c r="B448" t="s">
        <v>1352</v>
      </c>
      <c r="C448" s="1417">
        <v>1.04</v>
      </c>
      <c r="D448" s="2020">
        <v>4591308</v>
      </c>
      <c r="E448" s="2020">
        <v>752037</v>
      </c>
      <c r="F448" s="2825">
        <v>12</v>
      </c>
      <c r="G448" s="1417">
        <v>0</v>
      </c>
    </row>
    <row r="449" spans="1:11">
      <c r="A449" t="s">
        <v>63</v>
      </c>
      <c r="B449" t="s">
        <v>2599</v>
      </c>
      <c r="C449" s="1417">
        <v>1.03</v>
      </c>
      <c r="D449" s="2020">
        <v>8662260</v>
      </c>
      <c r="E449" s="2020">
        <v>1030390</v>
      </c>
      <c r="F449" s="2825">
        <v>12</v>
      </c>
      <c r="G449" s="1417">
        <v>0</v>
      </c>
      <c r="H449" s="1665">
        <v>430200</v>
      </c>
      <c r="I449" s="1665">
        <v>3524413</v>
      </c>
      <c r="J449" s="1665">
        <v>1586</v>
      </c>
      <c r="K449" s="1665">
        <v>279022964</v>
      </c>
    </row>
    <row r="450" spans="1:11">
      <c r="A450" t="s">
        <v>1518</v>
      </c>
      <c r="B450" t="s">
        <v>607</v>
      </c>
      <c r="C450" s="1417">
        <v>1.04</v>
      </c>
      <c r="D450" s="2020">
        <v>384255</v>
      </c>
      <c r="E450" s="2020">
        <v>79514</v>
      </c>
      <c r="F450" s="2825">
        <v>12</v>
      </c>
      <c r="G450" s="1417">
        <v>0</v>
      </c>
    </row>
    <row r="451" spans="1:11">
      <c r="A451" t="s">
        <v>868</v>
      </c>
      <c r="B451" t="s">
        <v>2105</v>
      </c>
      <c r="C451" s="1417">
        <v>1.04</v>
      </c>
      <c r="D451" s="2020">
        <v>394991</v>
      </c>
      <c r="E451" s="2020">
        <v>0</v>
      </c>
      <c r="F451" s="2825">
        <v>8</v>
      </c>
      <c r="G451" s="1417">
        <v>0</v>
      </c>
    </row>
    <row r="452" spans="1:11">
      <c r="A452" t="s">
        <v>64</v>
      </c>
      <c r="B452" t="s">
        <v>2600</v>
      </c>
      <c r="C452" s="1417">
        <v>1.04</v>
      </c>
      <c r="D452" s="2020">
        <v>4354147</v>
      </c>
      <c r="E452" s="2020">
        <v>200039</v>
      </c>
      <c r="F452" s="2825">
        <v>12</v>
      </c>
      <c r="G452" s="1417">
        <v>0</v>
      </c>
      <c r="H452" s="1665">
        <v>524288</v>
      </c>
      <c r="I452" s="1665">
        <v>1600662</v>
      </c>
      <c r="J452" s="1417">
        <v>629</v>
      </c>
      <c r="K452" s="1665">
        <v>175539061</v>
      </c>
    </row>
    <row r="453" spans="1:11">
      <c r="A453" t="s">
        <v>2127</v>
      </c>
      <c r="B453" t="s">
        <v>32</v>
      </c>
      <c r="C453" s="1417">
        <v>1.04</v>
      </c>
      <c r="D453" s="2020">
        <v>7335562</v>
      </c>
      <c r="E453" s="2020">
        <v>1131706</v>
      </c>
      <c r="F453" s="2825">
        <v>12</v>
      </c>
      <c r="G453" s="1417">
        <v>0</v>
      </c>
    </row>
    <row r="454" spans="1:11">
      <c r="A454" t="s">
        <v>770</v>
      </c>
      <c r="B454" t="s">
        <v>1066</v>
      </c>
      <c r="C454" s="1417">
        <v>1.04</v>
      </c>
      <c r="D454" s="2020">
        <v>1773129</v>
      </c>
      <c r="E454" s="2020">
        <v>360047</v>
      </c>
      <c r="F454" s="2825">
        <v>12</v>
      </c>
      <c r="G454" s="1417">
        <v>0</v>
      </c>
    </row>
    <row r="455" spans="1:11">
      <c r="A455" t="s">
        <v>772</v>
      </c>
      <c r="B455" t="s">
        <v>33</v>
      </c>
      <c r="C455" s="1417">
        <v>1.04</v>
      </c>
      <c r="D455" s="2020">
        <v>52811668</v>
      </c>
      <c r="E455" s="2020">
        <v>3240710</v>
      </c>
      <c r="F455" s="2825">
        <v>12</v>
      </c>
      <c r="G455" s="1417">
        <v>0</v>
      </c>
    </row>
    <row r="456" spans="1:11">
      <c r="A456" t="s">
        <v>1865</v>
      </c>
      <c r="B456" t="s">
        <v>2374</v>
      </c>
      <c r="C456" s="1417">
        <v>1.04</v>
      </c>
      <c r="D456" s="2020">
        <v>4145123</v>
      </c>
      <c r="E456" s="2020">
        <v>579805</v>
      </c>
      <c r="F456" s="2825">
        <v>12</v>
      </c>
      <c r="G456" s="1417">
        <v>0</v>
      </c>
    </row>
    <row r="457" spans="1:11">
      <c r="A457" t="s">
        <v>2529</v>
      </c>
      <c r="B457" t="s">
        <v>817</v>
      </c>
      <c r="C457" s="1417">
        <v>1.04</v>
      </c>
      <c r="D457" s="2020">
        <v>62926235</v>
      </c>
      <c r="E457" s="2020">
        <v>5295164</v>
      </c>
      <c r="F457" s="2825">
        <v>12</v>
      </c>
      <c r="G457" s="1417">
        <v>0</v>
      </c>
    </row>
    <row r="458" spans="1:11">
      <c r="A458" t="s">
        <v>2532</v>
      </c>
      <c r="B458" t="s">
        <v>2234</v>
      </c>
      <c r="C458" s="1417">
        <v>1.04</v>
      </c>
      <c r="D458" s="2020">
        <v>3443075</v>
      </c>
      <c r="E458" s="2020">
        <v>449730</v>
      </c>
      <c r="F458" s="2825">
        <v>12</v>
      </c>
      <c r="G458" s="1417">
        <v>0</v>
      </c>
    </row>
    <row r="459" spans="1:11">
      <c r="A459" t="s">
        <v>2538</v>
      </c>
      <c r="B459" t="s">
        <v>38</v>
      </c>
      <c r="C459" s="1417">
        <v>1.04</v>
      </c>
      <c r="D459" s="2020">
        <v>15836757</v>
      </c>
      <c r="E459" s="2020">
        <v>1491587</v>
      </c>
      <c r="F459" s="2825">
        <v>12</v>
      </c>
      <c r="G459" s="1417">
        <v>0</v>
      </c>
    </row>
    <row r="460" spans="1:11">
      <c r="A460" t="s">
        <v>211</v>
      </c>
      <c r="B460" t="s">
        <v>999</v>
      </c>
      <c r="C460" s="1417">
        <v>1.04</v>
      </c>
      <c r="D460" s="2020">
        <v>30888172</v>
      </c>
      <c r="E460" s="2020">
        <v>3863235</v>
      </c>
      <c r="F460" s="2825">
        <v>12</v>
      </c>
      <c r="G460" s="1417">
        <v>0</v>
      </c>
    </row>
    <row r="461" spans="1:11">
      <c r="A461" t="s">
        <v>1067</v>
      </c>
      <c r="B461" t="s">
        <v>75</v>
      </c>
      <c r="C461" s="1417">
        <v>1.04</v>
      </c>
      <c r="D461" s="2020">
        <v>1036073</v>
      </c>
      <c r="E461" s="2020">
        <v>201493</v>
      </c>
      <c r="F461" s="2825">
        <v>12</v>
      </c>
      <c r="G461" s="1417">
        <v>0</v>
      </c>
    </row>
    <row r="462" spans="1:11">
      <c r="A462" t="s">
        <v>1562</v>
      </c>
      <c r="B462" t="s">
        <v>2602</v>
      </c>
      <c r="C462" s="1417">
        <v>1.04</v>
      </c>
      <c r="D462" s="2020">
        <v>24961445</v>
      </c>
      <c r="E462" s="2020">
        <v>3273783</v>
      </c>
      <c r="F462" s="2825">
        <v>12</v>
      </c>
      <c r="G462" s="1417">
        <v>0</v>
      </c>
    </row>
    <row r="463" spans="1:11">
      <c r="A463" t="s">
        <v>58</v>
      </c>
      <c r="B463" t="s">
        <v>1897</v>
      </c>
      <c r="C463" s="1417">
        <v>1.04</v>
      </c>
      <c r="D463" s="2020">
        <v>19344056</v>
      </c>
      <c r="E463" s="2020">
        <v>3528234</v>
      </c>
      <c r="F463" s="2825">
        <v>12</v>
      </c>
      <c r="G463" s="1417">
        <v>0</v>
      </c>
    </row>
    <row r="464" spans="1:11">
      <c r="A464" t="s">
        <v>723</v>
      </c>
      <c r="B464" t="s">
        <v>141</v>
      </c>
      <c r="C464" s="1417">
        <v>1.0106999999999999</v>
      </c>
      <c r="D464" s="2020">
        <v>15355010</v>
      </c>
      <c r="E464" s="2020">
        <v>841068</v>
      </c>
      <c r="F464" s="2825">
        <v>12</v>
      </c>
      <c r="G464" s="1417">
        <v>0</v>
      </c>
    </row>
    <row r="465" spans="1:7">
      <c r="A465" t="s">
        <v>60</v>
      </c>
      <c r="B465" t="s">
        <v>2299</v>
      </c>
      <c r="C465" s="1417">
        <v>1.0338000000000001</v>
      </c>
      <c r="D465" s="2020">
        <v>763303</v>
      </c>
      <c r="E465" s="2020">
        <v>98881</v>
      </c>
      <c r="F465" s="2825">
        <v>12</v>
      </c>
      <c r="G465" s="1417">
        <v>0</v>
      </c>
    </row>
    <row r="466" spans="1:7">
      <c r="A466" t="s">
        <v>512</v>
      </c>
      <c r="B466" t="s">
        <v>2242</v>
      </c>
      <c r="C466" s="1417">
        <v>1.04</v>
      </c>
      <c r="D466" s="2020">
        <v>495454</v>
      </c>
      <c r="E466" s="2020">
        <v>62924</v>
      </c>
      <c r="F466" s="2825">
        <v>8</v>
      </c>
      <c r="G466" s="1417">
        <v>0</v>
      </c>
    </row>
    <row r="467" spans="1:7">
      <c r="A467" t="s">
        <v>1522</v>
      </c>
      <c r="B467" t="s">
        <v>2364</v>
      </c>
      <c r="C467" s="1417">
        <v>1.04</v>
      </c>
      <c r="D467" s="2020">
        <v>3472911</v>
      </c>
      <c r="E467" s="2020">
        <v>631132</v>
      </c>
      <c r="F467" s="2825">
        <v>12</v>
      </c>
      <c r="G467" s="1417">
        <v>0</v>
      </c>
    </row>
    <row r="468" spans="1:7">
      <c r="A468" t="s">
        <v>149</v>
      </c>
      <c r="B468" t="s">
        <v>2150</v>
      </c>
      <c r="C468" s="1417">
        <v>1.1114999999999999</v>
      </c>
      <c r="D468" s="2020">
        <v>527684</v>
      </c>
      <c r="E468" s="2020">
        <v>16108</v>
      </c>
      <c r="F468" s="2825">
        <v>12</v>
      </c>
      <c r="G468" s="1417">
        <v>0</v>
      </c>
    </row>
    <row r="469" spans="1:7">
      <c r="A469" t="s">
        <v>2509</v>
      </c>
      <c r="B469" t="s">
        <v>898</v>
      </c>
      <c r="C469" s="1417">
        <v>1.04</v>
      </c>
      <c r="D469" s="2020">
        <v>386275</v>
      </c>
      <c r="E469" s="2020">
        <v>20074</v>
      </c>
      <c r="F469" s="2825">
        <v>12</v>
      </c>
      <c r="G469" s="1417">
        <v>0</v>
      </c>
    </row>
    <row r="470" spans="1:7">
      <c r="A470" t="s">
        <v>2402</v>
      </c>
      <c r="B470" t="s">
        <v>667</v>
      </c>
      <c r="C470" s="1417">
        <v>1.04</v>
      </c>
      <c r="D470" s="2020">
        <v>495943</v>
      </c>
      <c r="E470" s="2020">
        <v>81735</v>
      </c>
      <c r="F470" s="2825">
        <v>12</v>
      </c>
      <c r="G470" s="1417">
        <v>0</v>
      </c>
    </row>
    <row r="471" spans="1:7">
      <c r="A471" t="s">
        <v>1867</v>
      </c>
      <c r="B471" t="s">
        <v>2376</v>
      </c>
      <c r="C471" s="1417">
        <v>1.1499999999999999</v>
      </c>
      <c r="D471" s="2020">
        <v>5187096</v>
      </c>
      <c r="E471" s="2020">
        <v>1172453</v>
      </c>
      <c r="F471" s="2825">
        <v>12</v>
      </c>
      <c r="G471" s="1417">
        <v>0</v>
      </c>
    </row>
    <row r="472" spans="1:7">
      <c r="A472" t="s">
        <v>513</v>
      </c>
      <c r="B472" t="s">
        <v>2381</v>
      </c>
      <c r="C472" s="1417">
        <v>1.04</v>
      </c>
      <c r="D472" s="2020">
        <v>658525</v>
      </c>
      <c r="E472" s="2020">
        <v>94189</v>
      </c>
      <c r="F472" s="2825">
        <v>12</v>
      </c>
      <c r="G472" s="1417">
        <v>0</v>
      </c>
    </row>
    <row r="473" spans="1:7">
      <c r="A473" t="s">
        <v>42</v>
      </c>
      <c r="B473" t="s">
        <v>404</v>
      </c>
      <c r="C473" s="1417">
        <v>1.1422000000000001</v>
      </c>
      <c r="D473" s="2020">
        <v>1641060</v>
      </c>
      <c r="E473" s="2020">
        <v>96196</v>
      </c>
      <c r="F473" s="2825">
        <v>12</v>
      </c>
      <c r="G473" s="1417">
        <v>0</v>
      </c>
    </row>
    <row r="474" spans="1:7">
      <c r="A474" t="s">
        <v>150</v>
      </c>
      <c r="B474" t="s">
        <v>2152</v>
      </c>
      <c r="C474" s="1417">
        <v>1.04</v>
      </c>
      <c r="D474" s="2020">
        <v>230336</v>
      </c>
      <c r="E474" s="2020">
        <v>0</v>
      </c>
      <c r="F474" s="2825">
        <v>8</v>
      </c>
      <c r="G474" s="1417">
        <v>0</v>
      </c>
    </row>
    <row r="475" spans="1:7">
      <c r="A475" t="s">
        <v>521</v>
      </c>
      <c r="B475" t="s">
        <v>2243</v>
      </c>
      <c r="C475" s="1417">
        <v>1.17</v>
      </c>
      <c r="D475" s="2020">
        <v>242536</v>
      </c>
      <c r="E475" s="2020">
        <v>0</v>
      </c>
      <c r="F475" s="2825">
        <v>8</v>
      </c>
      <c r="G475" s="1417">
        <v>0</v>
      </c>
    </row>
    <row r="476" spans="1:7">
      <c r="A476" t="s">
        <v>1563</v>
      </c>
      <c r="B476" t="s">
        <v>2603</v>
      </c>
      <c r="C476" s="1417">
        <v>1.04</v>
      </c>
      <c r="D476" s="2020">
        <v>5127745</v>
      </c>
      <c r="E476" s="2020">
        <v>571362</v>
      </c>
      <c r="F476" s="2825">
        <v>12</v>
      </c>
      <c r="G476" s="1417">
        <v>0</v>
      </c>
    </row>
    <row r="477" spans="1:7">
      <c r="A477" t="s">
        <v>522</v>
      </c>
      <c r="B477" t="s">
        <v>2419</v>
      </c>
      <c r="C477" s="1417">
        <v>1.17</v>
      </c>
      <c r="D477" s="2020">
        <v>547724</v>
      </c>
      <c r="E477" s="2020">
        <v>25277</v>
      </c>
      <c r="F477" s="2825">
        <v>12</v>
      </c>
      <c r="G477" s="1417">
        <v>0</v>
      </c>
    </row>
    <row r="478" spans="1:7">
      <c r="A478" t="s">
        <v>1540</v>
      </c>
      <c r="B478" t="s">
        <v>1346</v>
      </c>
      <c r="C478" s="1417">
        <v>1.17</v>
      </c>
      <c r="D478" s="2020">
        <v>902905</v>
      </c>
      <c r="E478" s="2020">
        <v>109944</v>
      </c>
      <c r="F478" s="2825">
        <v>12</v>
      </c>
      <c r="G478" s="1417">
        <v>0</v>
      </c>
    </row>
    <row r="479" spans="1:7">
      <c r="A479" t="s">
        <v>523</v>
      </c>
      <c r="B479" t="s">
        <v>2594</v>
      </c>
      <c r="C479" s="1417">
        <v>1.17</v>
      </c>
      <c r="D479" s="2020">
        <v>238202</v>
      </c>
      <c r="E479" s="2020">
        <v>0</v>
      </c>
      <c r="F479" s="2825">
        <v>12</v>
      </c>
      <c r="G479" s="1417">
        <v>0</v>
      </c>
    </row>
    <row r="480" spans="1:7">
      <c r="A480" t="s">
        <v>1564</v>
      </c>
      <c r="B480" t="s">
        <v>2604</v>
      </c>
      <c r="C480" s="1417">
        <v>1.04</v>
      </c>
      <c r="D480" s="2020">
        <v>1002131</v>
      </c>
      <c r="E480" s="2020">
        <v>0</v>
      </c>
      <c r="F480" s="2825">
        <v>12</v>
      </c>
      <c r="G480" s="1417">
        <v>0</v>
      </c>
    </row>
    <row r="481" spans="1:11">
      <c r="A481" t="s">
        <v>1565</v>
      </c>
      <c r="B481" t="s">
        <v>2605</v>
      </c>
      <c r="C481" s="1417">
        <v>1.04</v>
      </c>
      <c r="D481" s="2020">
        <v>13968284</v>
      </c>
      <c r="E481" s="2020">
        <v>1562505</v>
      </c>
      <c r="F481" s="2825">
        <v>12</v>
      </c>
      <c r="G481" s="1417">
        <v>0</v>
      </c>
      <c r="H481" s="1665">
        <v>3880822</v>
      </c>
      <c r="I481" s="1665">
        <v>10672166</v>
      </c>
      <c r="J481" s="1665">
        <v>4638</v>
      </c>
      <c r="K481" s="1665">
        <v>1136684238</v>
      </c>
    </row>
    <row r="482" spans="1:11">
      <c r="A482" t="s">
        <v>1241</v>
      </c>
      <c r="B482" t="s">
        <v>2606</v>
      </c>
      <c r="C482" s="1417">
        <v>1.04</v>
      </c>
      <c r="D482" s="2020">
        <v>685237</v>
      </c>
      <c r="E482" s="2020">
        <v>0</v>
      </c>
      <c r="F482" s="2825">
        <v>12</v>
      </c>
      <c r="G482" s="1417">
        <v>0</v>
      </c>
    </row>
    <row r="483" spans="1:11">
      <c r="A483" t="s">
        <v>1843</v>
      </c>
      <c r="B483" t="s">
        <v>1929</v>
      </c>
      <c r="C483" s="1417">
        <v>1.17</v>
      </c>
      <c r="D483" s="2020">
        <v>1044018</v>
      </c>
      <c r="E483" s="2020">
        <v>0</v>
      </c>
      <c r="F483" s="2825">
        <v>12</v>
      </c>
      <c r="G483" s="1417">
        <v>0</v>
      </c>
    </row>
    <row r="484" spans="1:11">
      <c r="A484" t="s">
        <v>1242</v>
      </c>
      <c r="B484" t="s">
        <v>2607</v>
      </c>
      <c r="C484" s="1417">
        <v>1.04</v>
      </c>
      <c r="D484" s="2020">
        <v>13820361</v>
      </c>
      <c r="E484" s="2020">
        <v>0</v>
      </c>
      <c r="F484" s="2825">
        <v>12</v>
      </c>
      <c r="G484" s="1417">
        <v>0</v>
      </c>
      <c r="H484" s="1665">
        <v>4111717</v>
      </c>
      <c r="I484" s="1665">
        <v>2003770</v>
      </c>
      <c r="J484" s="1417">
        <v>819</v>
      </c>
      <c r="K484" s="1665">
        <v>859622353</v>
      </c>
    </row>
    <row r="485" spans="1:11">
      <c r="A485" t="s">
        <v>1243</v>
      </c>
      <c r="B485" t="s">
        <v>2608</v>
      </c>
      <c r="C485" s="1417">
        <v>1.04</v>
      </c>
      <c r="D485" s="2020">
        <v>719819</v>
      </c>
      <c r="E485" s="2020">
        <v>0</v>
      </c>
      <c r="F485" s="2825">
        <v>12</v>
      </c>
      <c r="G485" s="1417">
        <v>0</v>
      </c>
    </row>
    <row r="486" spans="1:11">
      <c r="A486" t="s">
        <v>1244</v>
      </c>
      <c r="B486" t="s">
        <v>219</v>
      </c>
      <c r="C486" s="1417">
        <v>1.0061</v>
      </c>
      <c r="D486" s="2020">
        <v>36324287</v>
      </c>
      <c r="E486" s="2020">
        <v>4720465</v>
      </c>
      <c r="F486" s="2825">
        <v>12</v>
      </c>
      <c r="G486" s="1417">
        <v>0</v>
      </c>
      <c r="H486" s="1665">
        <v>1185383</v>
      </c>
      <c r="I486" s="1665">
        <v>14139043</v>
      </c>
      <c r="J486" s="1665">
        <v>5887</v>
      </c>
      <c r="K486" s="1665">
        <v>937864049</v>
      </c>
    </row>
    <row r="487" spans="1:11">
      <c r="A487" t="s">
        <v>1772</v>
      </c>
      <c r="B487" t="s">
        <v>1566</v>
      </c>
      <c r="C487" s="1417">
        <v>1.04</v>
      </c>
      <c r="D487" s="2020">
        <v>993501</v>
      </c>
      <c r="E487" s="2020">
        <v>179039</v>
      </c>
      <c r="F487" s="2825">
        <v>12</v>
      </c>
      <c r="G487" s="1417">
        <v>0</v>
      </c>
    </row>
    <row r="488" spans="1:11">
      <c r="A488" t="s">
        <v>1516</v>
      </c>
      <c r="B488" t="s">
        <v>605</v>
      </c>
      <c r="C488" s="1417">
        <v>1.04</v>
      </c>
      <c r="D488" s="2020">
        <v>1481227</v>
      </c>
      <c r="E488" s="2020">
        <v>223728</v>
      </c>
      <c r="F488" s="2825">
        <v>12</v>
      </c>
      <c r="G488" s="1417">
        <v>0</v>
      </c>
    </row>
    <row r="489" spans="1:11">
      <c r="A489" t="s">
        <v>180</v>
      </c>
      <c r="B489" t="s">
        <v>220</v>
      </c>
      <c r="C489" s="1417">
        <v>1.04</v>
      </c>
      <c r="D489" s="2020">
        <v>10803163</v>
      </c>
      <c r="E489" s="2020">
        <v>1030058</v>
      </c>
      <c r="F489" s="2825">
        <v>12</v>
      </c>
      <c r="G489" s="1417">
        <v>0</v>
      </c>
    </row>
    <row r="490" spans="1:11">
      <c r="A490" t="s">
        <v>1497</v>
      </c>
      <c r="B490" t="s">
        <v>422</v>
      </c>
      <c r="C490" s="1417">
        <v>1.04</v>
      </c>
      <c r="D490" s="2020">
        <v>577701</v>
      </c>
      <c r="E490" s="2020">
        <v>71078</v>
      </c>
      <c r="F490" s="2825">
        <v>12</v>
      </c>
      <c r="G490" s="1417">
        <v>0</v>
      </c>
    </row>
    <row r="491" spans="1:11">
      <c r="A491" t="s">
        <v>181</v>
      </c>
      <c r="B491" t="s">
        <v>221</v>
      </c>
      <c r="C491" s="1417">
        <v>0.97460000000000002</v>
      </c>
      <c r="D491" s="2020">
        <v>756110</v>
      </c>
      <c r="E491" s="2020">
        <v>54355</v>
      </c>
      <c r="F491" s="2825">
        <v>12</v>
      </c>
      <c r="G491" s="1417">
        <v>0</v>
      </c>
    </row>
    <row r="492" spans="1:11">
      <c r="A492" t="s">
        <v>1943</v>
      </c>
      <c r="B492" t="s">
        <v>2238</v>
      </c>
      <c r="C492" s="1417">
        <v>1.04</v>
      </c>
      <c r="D492" s="2020">
        <v>431789</v>
      </c>
      <c r="E492" s="2020">
        <v>56665</v>
      </c>
      <c r="F492" s="2825">
        <v>12</v>
      </c>
      <c r="G492" s="1417">
        <v>0</v>
      </c>
    </row>
    <row r="493" spans="1:11">
      <c r="A493" t="s">
        <v>182</v>
      </c>
      <c r="B493" t="s">
        <v>632</v>
      </c>
      <c r="C493" s="1417">
        <v>1.0317000000000001</v>
      </c>
      <c r="D493" s="2020">
        <v>1317802</v>
      </c>
      <c r="E493" s="2020">
        <v>0</v>
      </c>
      <c r="F493" s="2825">
        <v>12</v>
      </c>
      <c r="G493" s="1417">
        <v>0</v>
      </c>
    </row>
    <row r="494" spans="1:11">
      <c r="A494" t="s">
        <v>183</v>
      </c>
      <c r="B494" t="s">
        <v>633</v>
      </c>
      <c r="C494" s="1417">
        <v>1.04</v>
      </c>
      <c r="D494" s="2020">
        <v>358180</v>
      </c>
      <c r="E494" s="2020">
        <v>0</v>
      </c>
      <c r="F494" s="2825">
        <v>12</v>
      </c>
      <c r="G494" s="1417">
        <v>0</v>
      </c>
    </row>
    <row r="495" spans="1:11">
      <c r="A495" t="s">
        <v>1498</v>
      </c>
      <c r="B495" t="s">
        <v>1942</v>
      </c>
      <c r="C495" s="1417">
        <v>1.04</v>
      </c>
      <c r="D495" s="2020">
        <v>521790</v>
      </c>
      <c r="E495" s="2020">
        <v>82898</v>
      </c>
      <c r="F495" s="2825">
        <v>12</v>
      </c>
      <c r="G495" s="1417">
        <v>0</v>
      </c>
    </row>
    <row r="496" spans="1:11">
      <c r="A496" t="s">
        <v>1421</v>
      </c>
      <c r="B496" t="s">
        <v>634</v>
      </c>
      <c r="C496" s="1417">
        <v>1.04</v>
      </c>
      <c r="D496" s="2020">
        <v>3515278</v>
      </c>
      <c r="E496" s="2020">
        <v>471101</v>
      </c>
      <c r="F496" s="2825">
        <v>12</v>
      </c>
      <c r="G496" s="1417">
        <v>0</v>
      </c>
    </row>
    <row r="497" spans="1:11">
      <c r="A497" t="s">
        <v>1261</v>
      </c>
      <c r="B497" t="s">
        <v>2165</v>
      </c>
      <c r="C497" s="1417">
        <v>1.04</v>
      </c>
      <c r="D497" s="2020">
        <v>2575160</v>
      </c>
      <c r="E497" s="2020">
        <v>386731</v>
      </c>
      <c r="F497" s="2825">
        <v>12</v>
      </c>
      <c r="G497" s="1417">
        <v>0</v>
      </c>
    </row>
    <row r="498" spans="1:11">
      <c r="A498" t="s">
        <v>978</v>
      </c>
      <c r="B498" t="s">
        <v>2520</v>
      </c>
      <c r="C498" s="1417">
        <v>1.04</v>
      </c>
      <c r="D498" s="2020">
        <v>1949357</v>
      </c>
      <c r="E498" s="2020">
        <v>0</v>
      </c>
      <c r="F498" s="2825">
        <v>12</v>
      </c>
      <c r="G498" s="1417">
        <v>0</v>
      </c>
    </row>
    <row r="499" spans="1:11">
      <c r="A499" t="s">
        <v>979</v>
      </c>
      <c r="B499" t="s">
        <v>1570</v>
      </c>
      <c r="C499" s="1417">
        <v>1.04</v>
      </c>
      <c r="D499" s="2020">
        <v>1287582</v>
      </c>
      <c r="E499" s="2020">
        <v>142698</v>
      </c>
      <c r="F499" s="2825">
        <v>12</v>
      </c>
      <c r="G499" s="1417">
        <v>0</v>
      </c>
    </row>
    <row r="500" spans="1:11">
      <c r="A500" t="s">
        <v>899</v>
      </c>
      <c r="B500" t="s">
        <v>1571</v>
      </c>
      <c r="C500" s="1417">
        <v>1.04</v>
      </c>
      <c r="D500" s="2020">
        <v>1534916</v>
      </c>
      <c r="E500" s="2020">
        <v>53765</v>
      </c>
      <c r="F500" s="2825">
        <v>12</v>
      </c>
      <c r="G500" s="1417">
        <v>0</v>
      </c>
    </row>
    <row r="501" spans="1:11">
      <c r="A501" t="s">
        <v>1797</v>
      </c>
      <c r="B501" t="s">
        <v>1572</v>
      </c>
      <c r="C501" s="1417">
        <v>1.04</v>
      </c>
      <c r="D501" s="2020">
        <v>11941017</v>
      </c>
      <c r="E501" s="2020">
        <v>457762</v>
      </c>
      <c r="F501" s="2825">
        <v>12</v>
      </c>
      <c r="G501" s="1417">
        <v>0</v>
      </c>
    </row>
    <row r="502" spans="1:11">
      <c r="A502" t="s">
        <v>2677</v>
      </c>
      <c r="B502" t="s">
        <v>1573</v>
      </c>
      <c r="C502" s="1417">
        <v>1.04</v>
      </c>
      <c r="D502" s="2020">
        <v>3281434</v>
      </c>
      <c r="E502" s="2020">
        <v>0</v>
      </c>
      <c r="F502" s="2825">
        <v>12</v>
      </c>
      <c r="G502" s="1417">
        <v>0</v>
      </c>
    </row>
    <row r="503" spans="1:11">
      <c r="A503" t="s">
        <v>2678</v>
      </c>
      <c r="B503" t="s">
        <v>1574</v>
      </c>
      <c r="C503" s="1417">
        <v>1.04</v>
      </c>
      <c r="D503" s="2020">
        <v>4235674</v>
      </c>
      <c r="E503" s="2020">
        <v>442075</v>
      </c>
      <c r="F503" s="2825">
        <v>12</v>
      </c>
      <c r="G503" s="1417">
        <v>0</v>
      </c>
      <c r="H503" s="1665">
        <v>794800</v>
      </c>
      <c r="I503" s="1665">
        <v>1980716</v>
      </c>
      <c r="J503" s="1417">
        <v>698</v>
      </c>
      <c r="K503" s="1665">
        <v>340360555</v>
      </c>
    </row>
    <row r="504" spans="1:11">
      <c r="A504" t="s">
        <v>1331</v>
      </c>
      <c r="B504" t="s">
        <v>1575</v>
      </c>
      <c r="C504" s="1417">
        <v>0.9</v>
      </c>
      <c r="D504" s="2020">
        <v>1224980</v>
      </c>
      <c r="E504" s="2020">
        <v>81099</v>
      </c>
      <c r="F504" s="2825">
        <v>12</v>
      </c>
      <c r="G504" s="1417">
        <v>0</v>
      </c>
    </row>
    <row r="505" spans="1:11">
      <c r="A505" t="s">
        <v>2177</v>
      </c>
      <c r="B505" t="s">
        <v>1576</v>
      </c>
      <c r="C505" s="1417">
        <v>1.04</v>
      </c>
      <c r="D505" s="2020">
        <v>701279</v>
      </c>
      <c r="E505" s="2020">
        <v>0</v>
      </c>
      <c r="F505" s="2825">
        <v>12</v>
      </c>
      <c r="G505" s="1417">
        <v>0</v>
      </c>
    </row>
    <row r="506" spans="1:11">
      <c r="A506" t="s">
        <v>1111</v>
      </c>
      <c r="B506" t="s">
        <v>1577</v>
      </c>
      <c r="C506" s="1417">
        <v>1.0266999999999999</v>
      </c>
      <c r="D506" s="2020">
        <v>560690</v>
      </c>
      <c r="E506" s="2020">
        <v>0</v>
      </c>
      <c r="F506" s="2825">
        <v>12</v>
      </c>
      <c r="G506" s="1417">
        <v>31</v>
      </c>
    </row>
    <row r="507" spans="1:11">
      <c r="A507" t="s">
        <v>1886</v>
      </c>
      <c r="B507" t="s">
        <v>651</v>
      </c>
      <c r="C507" s="1417">
        <v>1.04</v>
      </c>
      <c r="D507" s="2020">
        <v>3090935</v>
      </c>
      <c r="E507" s="2020">
        <v>686173</v>
      </c>
      <c r="F507" s="2825">
        <v>12</v>
      </c>
      <c r="G507" s="1417">
        <v>0</v>
      </c>
    </row>
    <row r="508" spans="1:11">
      <c r="A508" t="s">
        <v>1112</v>
      </c>
      <c r="B508" t="s">
        <v>1578</v>
      </c>
      <c r="C508" s="1417">
        <v>1.04</v>
      </c>
      <c r="D508" s="2020">
        <v>735683</v>
      </c>
      <c r="E508" s="2020">
        <v>39361</v>
      </c>
      <c r="F508" s="2825">
        <v>12</v>
      </c>
      <c r="G508" s="1417">
        <v>0</v>
      </c>
    </row>
    <row r="509" spans="1:11">
      <c r="A509" t="s">
        <v>1437</v>
      </c>
      <c r="B509" t="s">
        <v>1550</v>
      </c>
      <c r="C509" s="1417">
        <v>1.04</v>
      </c>
      <c r="D509" s="2020">
        <v>4584718</v>
      </c>
      <c r="E509" s="2020">
        <v>850833</v>
      </c>
      <c r="F509" s="2825">
        <v>12</v>
      </c>
      <c r="G509" s="1417">
        <v>0</v>
      </c>
    </row>
    <row r="510" spans="1:11">
      <c r="A510" t="s">
        <v>1058</v>
      </c>
      <c r="B510" t="s">
        <v>1579</v>
      </c>
      <c r="C510" s="1417">
        <v>1.04</v>
      </c>
      <c r="D510" s="2020">
        <v>13307673</v>
      </c>
      <c r="E510" s="2020">
        <v>1697501</v>
      </c>
      <c r="F510" s="2825">
        <v>12</v>
      </c>
      <c r="G510" s="1417">
        <v>0</v>
      </c>
    </row>
    <row r="511" spans="1:11">
      <c r="A511" t="s">
        <v>1944</v>
      </c>
      <c r="B511" t="s">
        <v>2125</v>
      </c>
      <c r="C511" s="1417">
        <v>1.0389999999999999</v>
      </c>
      <c r="D511" s="2020">
        <v>2055856</v>
      </c>
      <c r="E511" s="2020">
        <v>376964</v>
      </c>
      <c r="F511" s="2825">
        <v>12</v>
      </c>
      <c r="G511" s="1417">
        <v>0</v>
      </c>
    </row>
    <row r="512" spans="1:11">
      <c r="A512" t="s">
        <v>1584</v>
      </c>
      <c r="B512" t="s">
        <v>77</v>
      </c>
      <c r="C512" s="1417">
        <v>1.04</v>
      </c>
      <c r="D512" s="2020">
        <v>5904806</v>
      </c>
      <c r="E512" s="2020">
        <v>1020456</v>
      </c>
      <c r="F512" s="2825">
        <v>12</v>
      </c>
      <c r="G512" s="1417">
        <v>0</v>
      </c>
    </row>
    <row r="513" spans="1:11">
      <c r="A513" t="s">
        <v>245</v>
      </c>
      <c r="B513" t="s">
        <v>1131</v>
      </c>
      <c r="C513" s="1417">
        <v>1.1259999999999999</v>
      </c>
      <c r="D513" s="2020">
        <v>893247</v>
      </c>
      <c r="E513" s="2020">
        <v>138631</v>
      </c>
      <c r="F513" s="2825">
        <v>12</v>
      </c>
      <c r="G513" s="1417">
        <v>0</v>
      </c>
    </row>
    <row r="514" spans="1:11">
      <c r="A514" t="s">
        <v>1059</v>
      </c>
      <c r="B514" t="s">
        <v>1580</v>
      </c>
      <c r="C514" s="1417">
        <v>1.04</v>
      </c>
      <c r="D514" s="2020">
        <v>647510</v>
      </c>
      <c r="E514" s="2020">
        <v>53960</v>
      </c>
      <c r="F514" s="2825">
        <v>12</v>
      </c>
      <c r="G514" s="1417">
        <v>0</v>
      </c>
    </row>
    <row r="515" spans="1:11">
      <c r="A515" t="s">
        <v>875</v>
      </c>
      <c r="B515" t="s">
        <v>799</v>
      </c>
      <c r="C515" s="1417">
        <v>1.04</v>
      </c>
      <c r="D515" s="2020">
        <v>1028214</v>
      </c>
      <c r="E515" s="2020">
        <v>40670</v>
      </c>
      <c r="F515" s="2825">
        <v>12</v>
      </c>
      <c r="G515" s="1417">
        <v>0</v>
      </c>
    </row>
    <row r="516" spans="1:11">
      <c r="A516" t="s">
        <v>1844</v>
      </c>
      <c r="B516" t="s">
        <v>1347</v>
      </c>
      <c r="C516" s="1417">
        <v>1.17</v>
      </c>
      <c r="D516" s="2020">
        <v>176359</v>
      </c>
      <c r="E516" s="2020">
        <v>12207</v>
      </c>
      <c r="F516" s="2825">
        <v>12</v>
      </c>
      <c r="G516" s="1417">
        <v>0</v>
      </c>
    </row>
    <row r="517" spans="1:11">
      <c r="A517" t="s">
        <v>1060</v>
      </c>
      <c r="B517" t="s">
        <v>1581</v>
      </c>
      <c r="C517" s="1417">
        <v>1.04</v>
      </c>
      <c r="D517" s="2020">
        <v>5240883</v>
      </c>
      <c r="E517" s="2020">
        <v>1292421</v>
      </c>
      <c r="F517" s="2825">
        <v>12</v>
      </c>
      <c r="G517" s="1417">
        <v>0</v>
      </c>
    </row>
    <row r="518" spans="1:11">
      <c r="A518" t="s">
        <v>2140</v>
      </c>
      <c r="B518" t="s">
        <v>1046</v>
      </c>
      <c r="C518" s="1417">
        <v>1.0071000000000001</v>
      </c>
      <c r="D518" s="2020">
        <v>1577530</v>
      </c>
      <c r="E518" s="2020">
        <v>213424</v>
      </c>
      <c r="F518" s="2825">
        <v>12</v>
      </c>
      <c r="G518" s="1417">
        <v>0</v>
      </c>
    </row>
    <row r="519" spans="1:11">
      <c r="A519" t="s">
        <v>2141</v>
      </c>
      <c r="B519" t="s">
        <v>1047</v>
      </c>
      <c r="C519" s="1417">
        <v>1.0035000000000001</v>
      </c>
      <c r="D519" s="2020">
        <v>15456267</v>
      </c>
      <c r="E519" s="2020">
        <v>879120</v>
      </c>
      <c r="F519" s="2825">
        <v>12</v>
      </c>
      <c r="G519" s="1417">
        <v>0</v>
      </c>
      <c r="H519" s="1665">
        <v>2262833</v>
      </c>
      <c r="I519" s="1665">
        <v>3141160</v>
      </c>
      <c r="J519" s="1665">
        <v>1250</v>
      </c>
      <c r="K519" s="1665">
        <v>690635754</v>
      </c>
    </row>
    <row r="520" spans="1:11">
      <c r="A520" t="s">
        <v>1259</v>
      </c>
      <c r="B520" t="s">
        <v>2525</v>
      </c>
      <c r="C520" s="1417">
        <v>0.9103</v>
      </c>
      <c r="D520" s="2020">
        <v>302958</v>
      </c>
      <c r="E520" s="2020">
        <v>0</v>
      </c>
      <c r="F520" s="2825">
        <v>6</v>
      </c>
      <c r="G520" s="1417">
        <v>0</v>
      </c>
    </row>
    <row r="521" spans="1:11">
      <c r="A521" t="s">
        <v>1260</v>
      </c>
      <c r="B521" t="s">
        <v>1048</v>
      </c>
      <c r="C521" s="1417">
        <v>1.04</v>
      </c>
      <c r="D521" s="2020">
        <v>5283270</v>
      </c>
      <c r="E521" s="2020">
        <v>0</v>
      </c>
      <c r="F521" s="2825">
        <v>12</v>
      </c>
      <c r="G521" s="1417">
        <v>0</v>
      </c>
      <c r="H521" s="1665">
        <v>918246</v>
      </c>
      <c r="I521" s="1665">
        <v>1442987</v>
      </c>
      <c r="J521" s="1417">
        <v>604</v>
      </c>
      <c r="K521" s="1665">
        <v>255942255</v>
      </c>
    </row>
    <row r="522" spans="1:11">
      <c r="A522" t="s">
        <v>923</v>
      </c>
      <c r="B522" t="s">
        <v>2462</v>
      </c>
      <c r="C522" s="1417">
        <v>1.04</v>
      </c>
      <c r="D522" s="2020">
        <v>1143240</v>
      </c>
      <c r="E522" s="2020">
        <v>65531</v>
      </c>
      <c r="F522" s="2825">
        <v>12</v>
      </c>
      <c r="G522" s="1417">
        <v>0</v>
      </c>
    </row>
    <row r="523" spans="1:11">
      <c r="A523" t="s">
        <v>924</v>
      </c>
      <c r="B523" t="s">
        <v>2463</v>
      </c>
      <c r="C523" s="1417">
        <v>1.04</v>
      </c>
      <c r="D523" s="2020">
        <v>6274449</v>
      </c>
      <c r="E523" s="2020">
        <v>1580222</v>
      </c>
      <c r="F523" s="2825">
        <v>12</v>
      </c>
      <c r="G523" s="1417">
        <v>0</v>
      </c>
      <c r="H523" s="1665">
        <v>776083</v>
      </c>
      <c r="I523" s="1665">
        <v>3560131</v>
      </c>
      <c r="J523" s="1665">
        <v>1444</v>
      </c>
      <c r="K523" s="1665">
        <v>225598839</v>
      </c>
    </row>
    <row r="524" spans="1:11">
      <c r="A524" t="s">
        <v>925</v>
      </c>
      <c r="B524" t="s">
        <v>1049</v>
      </c>
      <c r="C524" s="1417">
        <v>1.04</v>
      </c>
      <c r="D524" s="2020">
        <v>1539707</v>
      </c>
      <c r="E524" s="2020">
        <v>176675</v>
      </c>
      <c r="F524" s="2825">
        <v>12</v>
      </c>
      <c r="G524" s="1417">
        <v>0</v>
      </c>
    </row>
    <row r="525" spans="1:11">
      <c r="A525" t="s">
        <v>926</v>
      </c>
      <c r="B525" t="s">
        <v>620</v>
      </c>
      <c r="C525" s="1417">
        <v>1.04</v>
      </c>
      <c r="D525" s="2020">
        <v>4475100</v>
      </c>
      <c r="E525" s="2020">
        <v>1052671</v>
      </c>
      <c r="F525" s="2825">
        <v>12</v>
      </c>
      <c r="G525" s="1417">
        <v>0</v>
      </c>
    </row>
    <row r="526" spans="1:11">
      <c r="A526" t="s">
        <v>2577</v>
      </c>
      <c r="B526" t="s">
        <v>1481</v>
      </c>
      <c r="C526" s="1417">
        <v>1.04</v>
      </c>
      <c r="D526" s="2020">
        <v>1489078</v>
      </c>
      <c r="E526" s="2020">
        <v>70624</v>
      </c>
      <c r="F526" s="2825">
        <v>12</v>
      </c>
      <c r="G526" s="1417">
        <v>0</v>
      </c>
    </row>
    <row r="527" spans="1:11">
      <c r="A527" t="s">
        <v>502</v>
      </c>
      <c r="B527" t="s">
        <v>621</v>
      </c>
      <c r="C527" s="1417">
        <v>1.04</v>
      </c>
      <c r="D527" s="2020">
        <v>5985993</v>
      </c>
      <c r="E527" s="2020">
        <v>1143968</v>
      </c>
      <c r="F527" s="2825">
        <v>12</v>
      </c>
      <c r="G527" s="1417">
        <v>0</v>
      </c>
      <c r="H527" s="1665">
        <v>448396</v>
      </c>
      <c r="I527" s="1665">
        <v>3109433</v>
      </c>
      <c r="J527" s="1665">
        <v>1259</v>
      </c>
      <c r="K527" s="1665">
        <v>186984128</v>
      </c>
    </row>
    <row r="528" spans="1:11">
      <c r="A528" t="s">
        <v>2646</v>
      </c>
      <c r="B528" t="s">
        <v>2499</v>
      </c>
      <c r="C528" s="1417">
        <v>1.04</v>
      </c>
      <c r="D528" s="2020">
        <v>1371981</v>
      </c>
      <c r="E528" s="2020">
        <v>0</v>
      </c>
      <c r="F528" s="2825">
        <v>12</v>
      </c>
      <c r="G528" s="1417">
        <v>0</v>
      </c>
    </row>
    <row r="529" spans="1:11">
      <c r="A529" t="s">
        <v>883</v>
      </c>
      <c r="B529" t="s">
        <v>1447</v>
      </c>
      <c r="C529" s="1417">
        <v>1.04</v>
      </c>
      <c r="D529" s="2020">
        <v>2270789</v>
      </c>
      <c r="E529" s="2020">
        <v>382927</v>
      </c>
      <c r="F529" s="2825">
        <v>12</v>
      </c>
      <c r="G529" s="1417">
        <v>0</v>
      </c>
    </row>
    <row r="530" spans="1:11">
      <c r="A530" t="s">
        <v>44</v>
      </c>
      <c r="B530" t="s">
        <v>406</v>
      </c>
      <c r="C530" s="1417">
        <v>1.17</v>
      </c>
      <c r="D530" s="2020">
        <v>6402980</v>
      </c>
      <c r="E530" s="2020">
        <v>773162</v>
      </c>
      <c r="F530" s="2825">
        <v>12</v>
      </c>
      <c r="G530" s="1417">
        <v>0</v>
      </c>
    </row>
    <row r="531" spans="1:11">
      <c r="A531" t="s">
        <v>54</v>
      </c>
      <c r="B531" t="s">
        <v>2017</v>
      </c>
      <c r="C531" s="1417">
        <v>1.04</v>
      </c>
      <c r="D531" s="2020">
        <v>1547261</v>
      </c>
      <c r="E531" s="2020">
        <v>157518</v>
      </c>
      <c r="F531" s="2825">
        <v>12</v>
      </c>
      <c r="G531" s="1417">
        <v>0</v>
      </c>
    </row>
    <row r="532" spans="1:11">
      <c r="A532" t="s">
        <v>2647</v>
      </c>
      <c r="B532" t="s">
        <v>2500</v>
      </c>
      <c r="C532" s="1417">
        <v>1.04</v>
      </c>
      <c r="D532" s="2020">
        <v>4180603</v>
      </c>
      <c r="E532" s="2020">
        <v>296063</v>
      </c>
      <c r="F532" s="2825">
        <v>12</v>
      </c>
      <c r="G532" s="1417">
        <v>0</v>
      </c>
      <c r="H532" s="1665">
        <v>1312063</v>
      </c>
      <c r="I532" s="1665">
        <v>1390398</v>
      </c>
      <c r="J532" s="1417">
        <v>524</v>
      </c>
      <c r="K532" s="1665">
        <v>339344792</v>
      </c>
    </row>
    <row r="533" spans="1:11">
      <c r="A533" t="s">
        <v>2648</v>
      </c>
      <c r="B533" t="s">
        <v>2501</v>
      </c>
      <c r="C533" s="1417">
        <v>1.02</v>
      </c>
      <c r="D533" s="2020">
        <v>1514820</v>
      </c>
      <c r="E533" s="2020">
        <v>0</v>
      </c>
      <c r="F533" s="2825">
        <v>12</v>
      </c>
      <c r="G533" s="1417">
        <v>0</v>
      </c>
    </row>
    <row r="534" spans="1:11">
      <c r="A534" t="s">
        <v>2649</v>
      </c>
      <c r="B534" t="s">
        <v>2295</v>
      </c>
      <c r="C534" s="1417">
        <v>0.9133</v>
      </c>
      <c r="D534" s="2020">
        <v>299202</v>
      </c>
      <c r="E534" s="2020">
        <v>0</v>
      </c>
      <c r="F534" s="2825">
        <v>12</v>
      </c>
      <c r="G534" s="1417">
        <v>31</v>
      </c>
    </row>
    <row r="535" spans="1:11">
      <c r="A535" t="s">
        <v>2540</v>
      </c>
      <c r="B535" t="s">
        <v>390</v>
      </c>
      <c r="C535" s="1417">
        <v>1.04</v>
      </c>
      <c r="D535" s="2020">
        <v>16674958</v>
      </c>
      <c r="E535" s="2020">
        <v>1047444</v>
      </c>
      <c r="F535" s="2825">
        <v>12</v>
      </c>
      <c r="G535" s="1417">
        <v>0</v>
      </c>
    </row>
    <row r="536" spans="1:11">
      <c r="A536" t="s">
        <v>2292</v>
      </c>
      <c r="B536" t="s">
        <v>2296</v>
      </c>
      <c r="C536" s="1417">
        <v>1.04</v>
      </c>
      <c r="D536" s="2020">
        <v>46237045</v>
      </c>
      <c r="E536" s="2020">
        <v>4049898</v>
      </c>
      <c r="F536" s="2825">
        <v>12</v>
      </c>
      <c r="G536" s="1417">
        <v>0</v>
      </c>
      <c r="H536" s="1665">
        <v>13044858</v>
      </c>
      <c r="I536" s="1665">
        <v>33615751</v>
      </c>
      <c r="J536" s="1665">
        <v>14149</v>
      </c>
      <c r="K536" s="1665">
        <v>2721854092</v>
      </c>
    </row>
    <row r="537" spans="1:11">
      <c r="A537" t="s">
        <v>2293</v>
      </c>
      <c r="B537" t="s">
        <v>2690</v>
      </c>
      <c r="C537" s="1417">
        <v>1.04</v>
      </c>
      <c r="D537" s="2020">
        <v>33322673</v>
      </c>
      <c r="E537" s="2020">
        <v>3008044</v>
      </c>
      <c r="F537" s="2825">
        <v>12</v>
      </c>
      <c r="G537" s="1417">
        <v>0</v>
      </c>
      <c r="H537" s="1665">
        <v>5347619</v>
      </c>
      <c r="I537" s="1665">
        <v>13614738</v>
      </c>
      <c r="J537" s="1665">
        <v>5825</v>
      </c>
      <c r="K537" s="1665">
        <v>1187183072</v>
      </c>
    </row>
    <row r="538" spans="1:11">
      <c r="A538" t="s">
        <v>1325</v>
      </c>
      <c r="B538" t="s">
        <v>2691</v>
      </c>
      <c r="C538" s="1417">
        <v>1.04</v>
      </c>
      <c r="D538" s="2020">
        <v>88826510</v>
      </c>
      <c r="E538" s="2020">
        <v>4168675</v>
      </c>
      <c r="F538" s="2825">
        <v>12</v>
      </c>
      <c r="G538" s="1417">
        <v>0</v>
      </c>
      <c r="H538" s="1665">
        <v>20503088</v>
      </c>
      <c r="I538" s="1665">
        <v>57848344</v>
      </c>
      <c r="J538" s="1665">
        <v>24102</v>
      </c>
      <c r="K538" s="1665">
        <v>4816460704</v>
      </c>
    </row>
    <row r="539" spans="1:11">
      <c r="A539" t="s">
        <v>1326</v>
      </c>
      <c r="B539" t="s">
        <v>2692</v>
      </c>
      <c r="C539" s="1417">
        <v>1.04</v>
      </c>
      <c r="D539" s="2020">
        <v>5511502</v>
      </c>
      <c r="E539" s="2020">
        <v>760362</v>
      </c>
      <c r="F539" s="2825">
        <v>12</v>
      </c>
      <c r="G539" s="1417">
        <v>0</v>
      </c>
      <c r="H539" s="1665">
        <v>1031146</v>
      </c>
      <c r="I539" s="1665">
        <v>860193</v>
      </c>
      <c r="J539" s="1417">
        <v>350</v>
      </c>
      <c r="K539" s="1665">
        <v>311364499</v>
      </c>
    </row>
    <row r="540" spans="1:11">
      <c r="A540" t="s">
        <v>1309</v>
      </c>
      <c r="B540" t="s">
        <v>1734</v>
      </c>
      <c r="C540" s="1417">
        <v>1.17</v>
      </c>
      <c r="D540" s="2020">
        <v>7145196</v>
      </c>
      <c r="E540" s="2020">
        <v>1054358</v>
      </c>
      <c r="F540" s="2825">
        <v>12</v>
      </c>
      <c r="G540" s="1417">
        <v>0</v>
      </c>
    </row>
    <row r="541" spans="1:11">
      <c r="A541" t="s">
        <v>1327</v>
      </c>
      <c r="B541" t="s">
        <v>1738</v>
      </c>
      <c r="C541" s="1417">
        <v>1.04</v>
      </c>
      <c r="D541" s="2020">
        <v>4735391</v>
      </c>
      <c r="E541" s="2020">
        <v>417336</v>
      </c>
      <c r="F541" s="2825">
        <v>12</v>
      </c>
      <c r="G541" s="1417">
        <v>0</v>
      </c>
    </row>
    <row r="542" spans="1:11">
      <c r="A542" t="s">
        <v>2019</v>
      </c>
      <c r="B542" t="s">
        <v>701</v>
      </c>
      <c r="C542" s="1417">
        <v>1.04</v>
      </c>
      <c r="D542" s="2020">
        <v>10180956</v>
      </c>
      <c r="E542" s="2020">
        <v>1403023</v>
      </c>
      <c r="F542" s="2825">
        <v>12</v>
      </c>
      <c r="G542" s="1417">
        <v>0</v>
      </c>
    </row>
    <row r="543" spans="1:11">
      <c r="A543" t="s">
        <v>2323</v>
      </c>
      <c r="B543" t="s">
        <v>2681</v>
      </c>
      <c r="C543" s="1417">
        <v>1.04</v>
      </c>
      <c r="D543" s="2020">
        <v>538693</v>
      </c>
      <c r="E543" s="2020">
        <v>73640</v>
      </c>
      <c r="F543" s="2825">
        <v>12</v>
      </c>
      <c r="G543" s="1417">
        <v>0</v>
      </c>
    </row>
    <row r="544" spans="1:11">
      <c r="A544" t="s">
        <v>1413</v>
      </c>
      <c r="B544" t="s">
        <v>1016</v>
      </c>
      <c r="C544" s="1417">
        <v>1.04</v>
      </c>
      <c r="D544" s="2020">
        <v>1454381</v>
      </c>
      <c r="E544" s="2020">
        <v>184185</v>
      </c>
      <c r="F544" s="2825">
        <v>12</v>
      </c>
      <c r="G544" s="1417">
        <v>0</v>
      </c>
    </row>
    <row r="545" spans="1:11">
      <c r="A545" t="s">
        <v>216</v>
      </c>
      <c r="B545" t="s">
        <v>2102</v>
      </c>
      <c r="C545" s="1417">
        <v>1.04</v>
      </c>
      <c r="D545" s="2020">
        <v>1298452</v>
      </c>
      <c r="E545" s="2020">
        <v>173349</v>
      </c>
      <c r="F545" s="2825">
        <v>12</v>
      </c>
      <c r="G545" s="1417">
        <v>0</v>
      </c>
    </row>
    <row r="546" spans="1:11">
      <c r="A546" t="s">
        <v>1328</v>
      </c>
      <c r="B546" t="s">
        <v>1739</v>
      </c>
      <c r="C546" s="1417">
        <v>1.04</v>
      </c>
      <c r="D546" s="2020">
        <v>344264</v>
      </c>
      <c r="E546" s="2020">
        <v>0</v>
      </c>
      <c r="F546" s="2825">
        <v>6</v>
      </c>
      <c r="G546" s="1417">
        <v>0</v>
      </c>
    </row>
    <row r="547" spans="1:11">
      <c r="A547" t="s">
        <v>195</v>
      </c>
      <c r="B547" t="s">
        <v>1051</v>
      </c>
      <c r="C547" s="1417">
        <v>1.04</v>
      </c>
      <c r="D547" s="2020">
        <v>9088907</v>
      </c>
      <c r="E547" s="2020">
        <v>1742202</v>
      </c>
      <c r="F547" s="2825">
        <v>12</v>
      </c>
      <c r="G547" s="1417">
        <v>0</v>
      </c>
    </row>
    <row r="548" spans="1:11">
      <c r="A548" t="s">
        <v>1884</v>
      </c>
      <c r="B548" t="s">
        <v>1449</v>
      </c>
      <c r="C548" s="1417">
        <v>1.04</v>
      </c>
      <c r="D548" s="2020">
        <v>25941327</v>
      </c>
      <c r="E548" s="2020">
        <v>4722642</v>
      </c>
      <c r="F548" s="2825">
        <v>12</v>
      </c>
      <c r="G548" s="1417">
        <v>0</v>
      </c>
    </row>
    <row r="549" spans="1:11">
      <c r="A549" t="s">
        <v>574</v>
      </c>
      <c r="B549" t="s">
        <v>1163</v>
      </c>
      <c r="C549" s="1417">
        <v>1.04</v>
      </c>
      <c r="D549" s="2020">
        <v>25174327</v>
      </c>
      <c r="E549" s="2020">
        <v>3943604</v>
      </c>
      <c r="F549" s="2825">
        <v>12</v>
      </c>
      <c r="G549" s="1417">
        <v>0</v>
      </c>
    </row>
    <row r="550" spans="1:11">
      <c r="A550" t="s">
        <v>1798</v>
      </c>
      <c r="B550" t="s">
        <v>865</v>
      </c>
      <c r="C550" s="1417">
        <v>1.04</v>
      </c>
      <c r="D550" s="2020">
        <v>2631241</v>
      </c>
      <c r="E550" s="2020">
        <v>183411</v>
      </c>
      <c r="F550" s="2825">
        <v>12</v>
      </c>
      <c r="G550" s="1417">
        <v>0</v>
      </c>
    </row>
    <row r="551" spans="1:11">
      <c r="A551" t="s">
        <v>45</v>
      </c>
      <c r="B551" t="s">
        <v>407</v>
      </c>
      <c r="C551" s="1417">
        <v>1.04</v>
      </c>
      <c r="D551" s="2020">
        <v>10648885</v>
      </c>
      <c r="E551" s="2020">
        <v>1594167</v>
      </c>
      <c r="F551" s="2825">
        <v>12</v>
      </c>
      <c r="G551" s="1417">
        <v>0</v>
      </c>
    </row>
    <row r="552" spans="1:11">
      <c r="A552" t="s">
        <v>1329</v>
      </c>
      <c r="B552" t="s">
        <v>2034</v>
      </c>
      <c r="C552" s="1417">
        <v>1.04</v>
      </c>
      <c r="D552" s="2020">
        <v>1436221</v>
      </c>
      <c r="E552" s="2020">
        <v>2204</v>
      </c>
      <c r="F552" s="2825">
        <v>12</v>
      </c>
      <c r="G552" s="1417">
        <v>0</v>
      </c>
    </row>
    <row r="553" spans="1:11">
      <c r="A553" t="s">
        <v>2324</v>
      </c>
      <c r="B553" t="s">
        <v>2695</v>
      </c>
      <c r="C553" s="1417">
        <v>1.04</v>
      </c>
      <c r="D553" s="2020">
        <v>2019258</v>
      </c>
      <c r="E553" s="2020">
        <v>202790</v>
      </c>
      <c r="F553" s="2825">
        <v>12</v>
      </c>
      <c r="G553" s="1417">
        <v>0</v>
      </c>
    </row>
    <row r="554" spans="1:11">
      <c r="A554" t="s">
        <v>255</v>
      </c>
      <c r="B554" t="s">
        <v>2644</v>
      </c>
      <c r="C554" s="1417">
        <v>1.04</v>
      </c>
      <c r="D554" s="2020">
        <v>2714427</v>
      </c>
      <c r="E554" s="2020">
        <v>208855</v>
      </c>
      <c r="F554" s="2825">
        <v>12</v>
      </c>
      <c r="G554" s="1417">
        <v>0</v>
      </c>
    </row>
    <row r="555" spans="1:11">
      <c r="A555" t="s">
        <v>1263</v>
      </c>
      <c r="B555" t="s">
        <v>2322</v>
      </c>
      <c r="C555" s="1417">
        <v>0.92149999999999999</v>
      </c>
      <c r="D555" s="2020">
        <v>7131888</v>
      </c>
      <c r="E555" s="2020">
        <v>580469</v>
      </c>
      <c r="F555" s="2825">
        <v>12</v>
      </c>
      <c r="G555" s="1417">
        <v>0</v>
      </c>
      <c r="H555" s="1665">
        <v>135114</v>
      </c>
      <c r="I555" s="1665">
        <v>2375985</v>
      </c>
      <c r="J555" s="1417">
        <v>984</v>
      </c>
      <c r="K555" s="1665">
        <v>55813682</v>
      </c>
    </row>
    <row r="556" spans="1:11">
      <c r="A556" t="s">
        <v>2097</v>
      </c>
      <c r="B556" t="s">
        <v>2417</v>
      </c>
      <c r="C556" s="1417">
        <v>1.04</v>
      </c>
      <c r="D556" s="2020">
        <v>1034554</v>
      </c>
      <c r="E556" s="2020">
        <v>0</v>
      </c>
      <c r="F556" s="2825">
        <v>12</v>
      </c>
      <c r="G556" s="1417">
        <v>0</v>
      </c>
    </row>
    <row r="557" spans="1:11">
      <c r="A557" t="s">
        <v>1330</v>
      </c>
      <c r="B557" t="s">
        <v>2035</v>
      </c>
      <c r="C557" s="1417">
        <v>1.17</v>
      </c>
      <c r="D557" s="2020">
        <v>1001990</v>
      </c>
      <c r="E557" s="2020">
        <v>85290</v>
      </c>
      <c r="F557" s="2825">
        <v>12</v>
      </c>
      <c r="G557" s="1417">
        <v>0</v>
      </c>
    </row>
    <row r="558" spans="1:11">
      <c r="A558" t="s">
        <v>1862</v>
      </c>
      <c r="B558" t="s">
        <v>829</v>
      </c>
      <c r="C558" s="1417">
        <v>1.04</v>
      </c>
      <c r="D558" s="2020">
        <v>703050</v>
      </c>
      <c r="E558" s="2020">
        <v>0</v>
      </c>
      <c r="F558" s="2825">
        <v>12</v>
      </c>
      <c r="G558" s="1417">
        <v>0</v>
      </c>
    </row>
    <row r="559" spans="1:11">
      <c r="A559" t="s">
        <v>2510</v>
      </c>
      <c r="B559" t="s">
        <v>144</v>
      </c>
      <c r="C559" s="1417">
        <v>1.17</v>
      </c>
      <c r="D559" s="2020">
        <v>557696</v>
      </c>
      <c r="E559" s="2020">
        <v>27635</v>
      </c>
      <c r="F559" s="2825">
        <v>12</v>
      </c>
      <c r="G559" s="1417">
        <v>0</v>
      </c>
    </row>
    <row r="560" spans="1:11">
      <c r="A560" t="s">
        <v>259</v>
      </c>
      <c r="B560" t="s">
        <v>1939</v>
      </c>
      <c r="C560" s="1417">
        <v>1.17</v>
      </c>
      <c r="D560" s="2020">
        <v>835496</v>
      </c>
      <c r="E560" s="2020">
        <v>47130</v>
      </c>
      <c r="F560" s="2825">
        <v>12</v>
      </c>
      <c r="G560" s="1417">
        <v>0</v>
      </c>
    </row>
    <row r="561" spans="1:11">
      <c r="A561" t="s">
        <v>47</v>
      </c>
      <c r="B561" t="s">
        <v>409</v>
      </c>
      <c r="C561" s="1417">
        <v>1.04</v>
      </c>
      <c r="D561" s="2020">
        <v>2154927</v>
      </c>
      <c r="E561" s="2020">
        <v>56431</v>
      </c>
      <c r="F561" s="2825">
        <v>12</v>
      </c>
      <c r="G561" s="1417">
        <v>0</v>
      </c>
    </row>
    <row r="562" spans="1:11">
      <c r="A562" t="s">
        <v>2511</v>
      </c>
      <c r="B562" t="s">
        <v>414</v>
      </c>
      <c r="C562" s="1417">
        <v>1.04</v>
      </c>
      <c r="D562" s="2020">
        <v>1170723</v>
      </c>
      <c r="E562" s="2020">
        <v>90084</v>
      </c>
      <c r="F562" s="2825">
        <v>12</v>
      </c>
      <c r="G562" s="1417">
        <v>0</v>
      </c>
    </row>
    <row r="563" spans="1:11">
      <c r="A563" t="s">
        <v>1153</v>
      </c>
      <c r="B563" t="s">
        <v>2036</v>
      </c>
      <c r="C563" s="1417">
        <v>1.04</v>
      </c>
      <c r="D563" s="2020">
        <v>590306</v>
      </c>
      <c r="E563" s="2020">
        <v>0</v>
      </c>
      <c r="F563" s="2825">
        <v>12</v>
      </c>
      <c r="G563" s="1417">
        <v>0</v>
      </c>
    </row>
    <row r="564" spans="1:11">
      <c r="A564" t="s">
        <v>1686</v>
      </c>
      <c r="B564" t="s">
        <v>893</v>
      </c>
      <c r="C564" s="1417">
        <v>1.04</v>
      </c>
      <c r="D564" s="2020">
        <v>602571</v>
      </c>
      <c r="E564" s="2020">
        <v>90214</v>
      </c>
      <c r="F564" s="2825">
        <v>12</v>
      </c>
      <c r="G564" s="1417">
        <v>0</v>
      </c>
    </row>
    <row r="565" spans="1:11">
      <c r="A565" t="s">
        <v>2403</v>
      </c>
      <c r="B565" t="s">
        <v>416</v>
      </c>
      <c r="C565" s="1417">
        <v>1.04</v>
      </c>
      <c r="D565" s="2020">
        <v>4968042</v>
      </c>
      <c r="E565" s="2020">
        <v>1077094</v>
      </c>
      <c r="F565" s="2825">
        <v>12</v>
      </c>
      <c r="G565" s="1417">
        <v>0</v>
      </c>
    </row>
    <row r="566" spans="1:11">
      <c r="A566" t="s">
        <v>1339</v>
      </c>
      <c r="B566" t="s">
        <v>111</v>
      </c>
      <c r="C566" s="1417">
        <v>1.04</v>
      </c>
      <c r="D566" s="2020">
        <v>24233844</v>
      </c>
      <c r="E566" s="2020">
        <v>5097898</v>
      </c>
      <c r="F566" s="2825">
        <v>12</v>
      </c>
      <c r="G566" s="1417">
        <v>0</v>
      </c>
    </row>
    <row r="567" spans="1:11">
      <c r="A567" t="s">
        <v>49</v>
      </c>
      <c r="B567" t="s">
        <v>411</v>
      </c>
      <c r="C567" s="1417">
        <v>1.04</v>
      </c>
      <c r="D567" s="2020">
        <v>6755162</v>
      </c>
      <c r="E567" s="2020">
        <v>1214677</v>
      </c>
      <c r="F567" s="2825">
        <v>12</v>
      </c>
      <c r="G567" s="1417">
        <v>0</v>
      </c>
    </row>
    <row r="568" spans="1:11">
      <c r="A568" t="s">
        <v>51</v>
      </c>
      <c r="B568" t="s">
        <v>413</v>
      </c>
      <c r="C568" s="1417">
        <v>1.04</v>
      </c>
      <c r="D568" s="2020">
        <v>3047086</v>
      </c>
      <c r="E568" s="2020">
        <v>225726</v>
      </c>
      <c r="F568" s="2825">
        <v>12</v>
      </c>
      <c r="G568" s="1417">
        <v>0</v>
      </c>
    </row>
    <row r="569" spans="1:11">
      <c r="A569" t="s">
        <v>2554</v>
      </c>
      <c r="B569" t="s">
        <v>2037</v>
      </c>
      <c r="C569" s="1417">
        <v>1.04</v>
      </c>
      <c r="D569" s="2020">
        <v>9456591</v>
      </c>
      <c r="E569" s="2020">
        <v>2652556</v>
      </c>
      <c r="F569" s="2825">
        <v>12</v>
      </c>
      <c r="G569" s="1417">
        <v>0</v>
      </c>
    </row>
    <row r="570" spans="1:11">
      <c r="A570" t="s">
        <v>2555</v>
      </c>
      <c r="B570" t="s">
        <v>2038</v>
      </c>
      <c r="C570" s="1417">
        <v>1.04</v>
      </c>
      <c r="D570" s="2020">
        <v>14651144</v>
      </c>
      <c r="E570" s="2020">
        <v>3281534</v>
      </c>
      <c r="F570" s="2825">
        <v>12</v>
      </c>
      <c r="G570" s="1417">
        <v>0</v>
      </c>
    </row>
    <row r="571" spans="1:11">
      <c r="A571" t="s">
        <v>494</v>
      </c>
      <c r="B571" t="s">
        <v>1246</v>
      </c>
      <c r="C571" s="1417">
        <v>1.04</v>
      </c>
      <c r="D571" s="2020">
        <v>1698167</v>
      </c>
      <c r="E571" s="2020">
        <v>324436</v>
      </c>
      <c r="F571" s="2825">
        <v>12</v>
      </c>
      <c r="G571" s="1417">
        <v>0</v>
      </c>
    </row>
    <row r="572" spans="1:11">
      <c r="A572" t="s">
        <v>2556</v>
      </c>
      <c r="B572" t="s">
        <v>2039</v>
      </c>
      <c r="C572" s="1417">
        <v>1.04</v>
      </c>
      <c r="D572" s="2020">
        <v>39281983</v>
      </c>
      <c r="E572" s="2020">
        <v>8752107</v>
      </c>
      <c r="F572" s="2825">
        <v>12</v>
      </c>
      <c r="G572" s="1417">
        <v>0</v>
      </c>
      <c r="H572" s="1665">
        <v>965795</v>
      </c>
      <c r="I572" s="1665">
        <v>8964643</v>
      </c>
      <c r="J572" s="1665">
        <v>3722</v>
      </c>
      <c r="K572" s="1665">
        <v>607266090</v>
      </c>
    </row>
    <row r="573" spans="1:11">
      <c r="A573" t="s">
        <v>1539</v>
      </c>
      <c r="B573" t="s">
        <v>2040</v>
      </c>
      <c r="C573" s="1417">
        <v>0.94499999999999995</v>
      </c>
      <c r="D573" s="2020">
        <v>5299922</v>
      </c>
      <c r="E573" s="2020">
        <v>640930</v>
      </c>
      <c r="F573" s="2825">
        <v>12</v>
      </c>
      <c r="G573" s="1417">
        <v>0</v>
      </c>
    </row>
    <row r="574" spans="1:11">
      <c r="A574" t="s">
        <v>2689</v>
      </c>
      <c r="B574" t="s">
        <v>2041</v>
      </c>
      <c r="C574" s="1417">
        <v>1.04</v>
      </c>
      <c r="D574" s="2020">
        <v>5174476</v>
      </c>
      <c r="E574" s="2020">
        <v>324081</v>
      </c>
      <c r="F574" s="2825">
        <v>6</v>
      </c>
      <c r="G574" s="1417">
        <v>0</v>
      </c>
      <c r="H574" s="1665">
        <v>751817</v>
      </c>
      <c r="I574" s="1665">
        <v>255831</v>
      </c>
      <c r="J574" s="1417">
        <v>311</v>
      </c>
      <c r="K574" s="1665">
        <v>245765979</v>
      </c>
    </row>
    <row r="575" spans="1:11">
      <c r="A575" t="s">
        <v>2320</v>
      </c>
      <c r="B575" t="s">
        <v>2042</v>
      </c>
      <c r="C575" s="1417">
        <v>1.0066999999999999</v>
      </c>
      <c r="D575" s="2020">
        <v>5380625</v>
      </c>
      <c r="E575" s="2020">
        <v>381811</v>
      </c>
      <c r="F575" s="2825">
        <v>12</v>
      </c>
      <c r="G575" s="1417">
        <v>0</v>
      </c>
      <c r="H575" s="1665">
        <v>1218857</v>
      </c>
      <c r="I575" s="1665">
        <v>804643</v>
      </c>
      <c r="J575" s="1417">
        <v>306</v>
      </c>
      <c r="K575" s="1665">
        <v>878446646</v>
      </c>
    </row>
    <row r="576" spans="1:11">
      <c r="A576" t="s">
        <v>1541</v>
      </c>
      <c r="B576" t="s">
        <v>659</v>
      </c>
      <c r="C576" s="1417">
        <v>1.04</v>
      </c>
      <c r="D576" s="2020">
        <v>1936907</v>
      </c>
      <c r="E576" s="2020">
        <v>119686</v>
      </c>
      <c r="F576" s="2825">
        <v>12</v>
      </c>
      <c r="G576" s="1417">
        <v>0</v>
      </c>
    </row>
    <row r="577" spans="1:11">
      <c r="A577" t="s">
        <v>2545</v>
      </c>
      <c r="B577" t="s">
        <v>2043</v>
      </c>
      <c r="C577" s="1417">
        <v>1.04</v>
      </c>
      <c r="D577" s="2020">
        <v>2661252</v>
      </c>
      <c r="E577" s="2020">
        <v>0</v>
      </c>
      <c r="F577" s="2825">
        <v>6</v>
      </c>
      <c r="G577" s="1417">
        <v>0</v>
      </c>
      <c r="H577" s="1665">
        <v>409058</v>
      </c>
      <c r="I577" s="1665">
        <v>416261</v>
      </c>
      <c r="J577" s="1417">
        <v>317</v>
      </c>
      <c r="K577" s="1665">
        <v>82816199</v>
      </c>
    </row>
    <row r="578" spans="1:11">
      <c r="A578" t="s">
        <v>2546</v>
      </c>
      <c r="B578" t="s">
        <v>2044</v>
      </c>
      <c r="C578" s="1417">
        <v>0.99</v>
      </c>
      <c r="D578" s="2020">
        <v>19835518</v>
      </c>
      <c r="E578" s="2020">
        <v>3159314</v>
      </c>
      <c r="F578" s="2825">
        <v>12</v>
      </c>
      <c r="G578" s="1417">
        <v>0</v>
      </c>
      <c r="H578" s="1665">
        <v>1251808</v>
      </c>
      <c r="I578" s="1665">
        <v>11378286</v>
      </c>
      <c r="J578" s="1665">
        <v>4929</v>
      </c>
      <c r="K578" s="1665">
        <v>782416129</v>
      </c>
    </row>
    <row r="579" spans="1:11">
      <c r="A579" t="s">
        <v>487</v>
      </c>
      <c r="B579" t="s">
        <v>2045</v>
      </c>
      <c r="C579" s="1417">
        <v>1.04</v>
      </c>
      <c r="D579" s="2020">
        <v>3820665</v>
      </c>
      <c r="E579" s="2020">
        <v>254371</v>
      </c>
      <c r="F579" s="2825">
        <v>12</v>
      </c>
      <c r="G579" s="1417">
        <v>0</v>
      </c>
    </row>
    <row r="580" spans="1:11">
      <c r="A580" t="s">
        <v>2278</v>
      </c>
      <c r="B580" t="s">
        <v>2046</v>
      </c>
      <c r="C580" s="1417">
        <v>0.74299999999999999</v>
      </c>
      <c r="D580" s="2020">
        <v>369311</v>
      </c>
      <c r="E580" s="2020">
        <v>0</v>
      </c>
      <c r="F580" s="2825">
        <v>6</v>
      </c>
      <c r="G580" s="1417">
        <v>31</v>
      </c>
      <c r="H580" s="1665">
        <v>75689</v>
      </c>
      <c r="I580" s="1665">
        <v>47577</v>
      </c>
      <c r="J580" s="1417">
        <v>25</v>
      </c>
      <c r="K580" s="1665">
        <v>16311697</v>
      </c>
    </row>
    <row r="581" spans="1:11">
      <c r="A581" t="s">
        <v>2279</v>
      </c>
      <c r="B581" t="s">
        <v>2047</v>
      </c>
      <c r="C581" s="1417">
        <v>0.95</v>
      </c>
      <c r="D581" s="2020">
        <v>2551556</v>
      </c>
      <c r="E581" s="2020">
        <v>0</v>
      </c>
      <c r="F581" s="2825">
        <v>12</v>
      </c>
      <c r="G581" s="1417">
        <v>0</v>
      </c>
    </row>
    <row r="582" spans="1:11">
      <c r="A582" t="s">
        <v>1534</v>
      </c>
      <c r="B582" t="s">
        <v>2048</v>
      </c>
      <c r="C582" s="1417">
        <v>0.98</v>
      </c>
      <c r="D582" s="2020">
        <v>2807759</v>
      </c>
      <c r="E582" s="2020">
        <v>0</v>
      </c>
      <c r="F582" s="2825">
        <v>12</v>
      </c>
      <c r="G582" s="1417">
        <v>0</v>
      </c>
      <c r="H582" s="1665">
        <v>1021933</v>
      </c>
      <c r="I582" s="1665">
        <v>658181</v>
      </c>
      <c r="J582" s="1417">
        <v>199</v>
      </c>
      <c r="K582" s="1665">
        <v>492054151</v>
      </c>
    </row>
    <row r="583" spans="1:11">
      <c r="A583" t="s">
        <v>1535</v>
      </c>
      <c r="B583" t="s">
        <v>2049</v>
      </c>
      <c r="C583" s="1417">
        <v>0.97</v>
      </c>
      <c r="D583" s="2020">
        <v>1369882</v>
      </c>
      <c r="E583" s="2020">
        <v>0</v>
      </c>
      <c r="F583" s="2825">
        <v>12</v>
      </c>
      <c r="G583" s="1417">
        <v>0</v>
      </c>
    </row>
    <row r="584" spans="1:11">
      <c r="A584" t="s">
        <v>2512</v>
      </c>
      <c r="B584" t="s">
        <v>2016</v>
      </c>
      <c r="C584" s="1417">
        <v>1.04</v>
      </c>
      <c r="D584" s="2020">
        <v>7552077</v>
      </c>
      <c r="E584" s="2020">
        <v>562540</v>
      </c>
      <c r="F584" s="2825">
        <v>12</v>
      </c>
      <c r="G584" s="1417">
        <v>0</v>
      </c>
    </row>
    <row r="585" spans="1:11">
      <c r="A585" t="s">
        <v>393</v>
      </c>
      <c r="B585" t="s">
        <v>2050</v>
      </c>
      <c r="C585" s="1417">
        <v>1.17</v>
      </c>
      <c r="D585" s="2020">
        <v>1515688</v>
      </c>
      <c r="E585" s="2020">
        <v>0</v>
      </c>
      <c r="F585" s="2825">
        <v>8</v>
      </c>
      <c r="G585" s="1417">
        <v>0</v>
      </c>
    </row>
    <row r="586" spans="1:11">
      <c r="A586" t="s">
        <v>394</v>
      </c>
      <c r="B586" t="s">
        <v>2051</v>
      </c>
      <c r="C586" s="1417">
        <v>1.04</v>
      </c>
      <c r="D586" s="2020">
        <v>2672921</v>
      </c>
      <c r="E586" s="2020">
        <v>0</v>
      </c>
      <c r="F586" s="2825">
        <v>12</v>
      </c>
      <c r="G586" s="1417">
        <v>0</v>
      </c>
    </row>
    <row r="587" spans="1:11">
      <c r="A587" t="s">
        <v>395</v>
      </c>
      <c r="B587" t="s">
        <v>2052</v>
      </c>
      <c r="C587" s="1417">
        <v>1.04</v>
      </c>
      <c r="D587" s="2020">
        <v>2242195</v>
      </c>
      <c r="E587" s="2020">
        <v>0</v>
      </c>
      <c r="F587" s="2825">
        <v>12</v>
      </c>
      <c r="G587" s="1417">
        <v>0</v>
      </c>
      <c r="H587" s="1665">
        <v>736815</v>
      </c>
      <c r="I587" s="1665">
        <v>357233</v>
      </c>
      <c r="J587" s="1417">
        <v>144</v>
      </c>
      <c r="K587" s="1665">
        <v>174817600</v>
      </c>
    </row>
    <row r="588" spans="1:11">
      <c r="A588" t="s">
        <v>2513</v>
      </c>
      <c r="B588" t="s">
        <v>1050</v>
      </c>
      <c r="C588" s="1417">
        <v>1.17</v>
      </c>
      <c r="D588" s="2020">
        <v>762693</v>
      </c>
      <c r="E588" s="2020">
        <v>37640</v>
      </c>
      <c r="F588" s="2825">
        <v>12</v>
      </c>
      <c r="G588" s="1417">
        <v>0</v>
      </c>
    </row>
    <row r="589" spans="1:11">
      <c r="A589" t="s">
        <v>242</v>
      </c>
      <c r="B589" t="s">
        <v>2053</v>
      </c>
      <c r="C589" s="1417">
        <v>1.17</v>
      </c>
      <c r="D589" s="2020">
        <v>544486</v>
      </c>
      <c r="E589" s="2020">
        <v>0</v>
      </c>
      <c r="F589" s="2825">
        <v>12</v>
      </c>
      <c r="G589" s="1417">
        <v>0</v>
      </c>
    </row>
    <row r="590" spans="1:11">
      <c r="A590" t="s">
        <v>243</v>
      </c>
      <c r="B590" t="s">
        <v>2054</v>
      </c>
      <c r="C590" s="1417">
        <v>1.17</v>
      </c>
      <c r="D590" s="2020">
        <v>289376</v>
      </c>
      <c r="E590" s="2020">
        <v>0</v>
      </c>
      <c r="F590" s="2825">
        <v>12</v>
      </c>
      <c r="G590" s="1417">
        <v>0</v>
      </c>
    </row>
    <row r="591" spans="1:11">
      <c r="A591" t="s">
        <v>244</v>
      </c>
      <c r="B591" t="s">
        <v>2055</v>
      </c>
      <c r="C591" s="1417">
        <v>1.04</v>
      </c>
      <c r="D591" s="2020">
        <v>5879507</v>
      </c>
      <c r="E591" s="2020">
        <v>832782</v>
      </c>
      <c r="F591" s="2825">
        <v>12</v>
      </c>
      <c r="G591" s="1417">
        <v>0</v>
      </c>
      <c r="H591" s="1665">
        <v>93337</v>
      </c>
      <c r="I591" s="1665">
        <v>2597190</v>
      </c>
      <c r="J591" s="1417">
        <v>819</v>
      </c>
      <c r="K591" s="1665">
        <v>214182194</v>
      </c>
    </row>
    <row r="592" spans="1:11">
      <c r="A592" t="s">
        <v>2325</v>
      </c>
      <c r="B592" t="s">
        <v>612</v>
      </c>
      <c r="C592" s="1417">
        <v>1.04</v>
      </c>
      <c r="D592" s="2020">
        <v>319372</v>
      </c>
      <c r="E592" s="2020">
        <v>36445</v>
      </c>
      <c r="F592" s="2825">
        <v>12</v>
      </c>
      <c r="G592" s="1417">
        <v>0</v>
      </c>
    </row>
    <row r="593" spans="1:11">
      <c r="A593" t="s">
        <v>2023</v>
      </c>
      <c r="B593" t="s">
        <v>198</v>
      </c>
      <c r="C593" s="1417">
        <v>1.04</v>
      </c>
      <c r="D593" s="2020">
        <v>6785225</v>
      </c>
      <c r="E593" s="2020">
        <v>490286</v>
      </c>
      <c r="F593" s="2825">
        <v>12</v>
      </c>
      <c r="G593" s="1417">
        <v>0</v>
      </c>
    </row>
    <row r="594" spans="1:11">
      <c r="A594" t="s">
        <v>2076</v>
      </c>
      <c r="B594" t="s">
        <v>2429</v>
      </c>
      <c r="C594" s="1417">
        <v>1.04</v>
      </c>
      <c r="D594" s="2020">
        <v>8109985</v>
      </c>
      <c r="E594" s="2020">
        <v>600166</v>
      </c>
      <c r="F594" s="2825">
        <v>12</v>
      </c>
      <c r="G594" s="1417">
        <v>0</v>
      </c>
    </row>
    <row r="595" spans="1:11">
      <c r="A595" t="s">
        <v>2514</v>
      </c>
      <c r="B595" t="s">
        <v>2101</v>
      </c>
      <c r="C595" s="1417">
        <v>1.04</v>
      </c>
      <c r="D595" s="2020">
        <v>1248528</v>
      </c>
      <c r="E595" s="2020">
        <v>194553</v>
      </c>
      <c r="F595" s="2825">
        <v>12</v>
      </c>
      <c r="G595" s="1417">
        <v>0</v>
      </c>
    </row>
    <row r="596" spans="1:11">
      <c r="A596" t="s">
        <v>1557</v>
      </c>
      <c r="B596" t="s">
        <v>2430</v>
      </c>
      <c r="C596" s="1417">
        <v>1.04</v>
      </c>
      <c r="D596" s="2020">
        <v>386651</v>
      </c>
      <c r="E596" s="2020">
        <v>0</v>
      </c>
      <c r="F596" s="2825">
        <v>12</v>
      </c>
      <c r="G596" s="1417">
        <v>0</v>
      </c>
    </row>
    <row r="597" spans="1:11">
      <c r="A597" t="s">
        <v>1558</v>
      </c>
      <c r="B597" t="s">
        <v>943</v>
      </c>
      <c r="C597" s="1417">
        <v>1.04</v>
      </c>
      <c r="D597" s="2020">
        <v>2163326</v>
      </c>
      <c r="E597" s="2020">
        <v>0</v>
      </c>
      <c r="F597" s="2825">
        <v>12</v>
      </c>
      <c r="G597" s="1417">
        <v>0</v>
      </c>
    </row>
    <row r="598" spans="1:11">
      <c r="A598" t="s">
        <v>1412</v>
      </c>
      <c r="B598" t="s">
        <v>826</v>
      </c>
      <c r="C598" s="1417">
        <v>1.04</v>
      </c>
      <c r="D598" s="2020">
        <v>1049595</v>
      </c>
      <c r="E598" s="2020">
        <v>53295</v>
      </c>
      <c r="F598" s="2825">
        <v>12</v>
      </c>
      <c r="G598" s="1417">
        <v>0</v>
      </c>
    </row>
    <row r="599" spans="1:11">
      <c r="A599" t="s">
        <v>2261</v>
      </c>
      <c r="B599" t="s">
        <v>945</v>
      </c>
      <c r="C599" s="1417">
        <v>1.0266999999999999</v>
      </c>
      <c r="D599" s="2020">
        <v>544274</v>
      </c>
      <c r="E599" s="2020">
        <v>0</v>
      </c>
      <c r="F599" s="2825">
        <v>12</v>
      </c>
      <c r="G599" s="1417">
        <v>0</v>
      </c>
    </row>
    <row r="600" spans="1:11">
      <c r="A600" t="s">
        <v>2262</v>
      </c>
      <c r="B600" t="s">
        <v>946</v>
      </c>
      <c r="C600" s="1417">
        <v>0.91</v>
      </c>
      <c r="D600" s="2020">
        <v>3508004</v>
      </c>
      <c r="E600" s="2020">
        <v>326498</v>
      </c>
      <c r="F600" s="2825">
        <v>12</v>
      </c>
      <c r="G600" s="1417">
        <v>0</v>
      </c>
      <c r="H600" s="1665">
        <v>1836642</v>
      </c>
      <c r="I600" s="1665">
        <v>2063208</v>
      </c>
      <c r="J600" s="1417">
        <v>794</v>
      </c>
      <c r="K600" s="1665">
        <v>564395797</v>
      </c>
    </row>
    <row r="601" spans="1:11">
      <c r="A601" t="s">
        <v>2263</v>
      </c>
      <c r="B601" t="s">
        <v>947</v>
      </c>
      <c r="C601" s="1417">
        <v>1.04</v>
      </c>
      <c r="D601" s="2020">
        <v>8924974</v>
      </c>
      <c r="E601" s="2020">
        <v>375042</v>
      </c>
      <c r="F601" s="2825">
        <v>12</v>
      </c>
      <c r="G601" s="1417">
        <v>0</v>
      </c>
    </row>
    <row r="602" spans="1:11">
      <c r="A602" t="s">
        <v>2264</v>
      </c>
      <c r="B602" t="s">
        <v>948</v>
      </c>
      <c r="C602" s="1417">
        <v>1.04</v>
      </c>
      <c r="D602" s="2020">
        <v>763928</v>
      </c>
      <c r="E602" s="2020">
        <v>0</v>
      </c>
      <c r="F602" s="2825">
        <v>12</v>
      </c>
      <c r="G602" s="1417">
        <v>0</v>
      </c>
    </row>
    <row r="603" spans="1:11">
      <c r="A603" t="s">
        <v>2401</v>
      </c>
      <c r="B603" t="s">
        <v>1102</v>
      </c>
      <c r="C603" s="1417">
        <v>1.17</v>
      </c>
      <c r="D603" s="2020">
        <v>4843939</v>
      </c>
      <c r="E603" s="2020">
        <v>232833</v>
      </c>
      <c r="F603" s="2825">
        <v>12</v>
      </c>
      <c r="G603" s="1417">
        <v>0</v>
      </c>
    </row>
    <row r="604" spans="1:11">
      <c r="A604" t="s">
        <v>2265</v>
      </c>
      <c r="B604" t="s">
        <v>949</v>
      </c>
      <c r="C604" s="1417">
        <v>0.98170000000000002</v>
      </c>
      <c r="D604" s="2020">
        <v>7543426</v>
      </c>
      <c r="E604" s="2020">
        <v>0</v>
      </c>
      <c r="F604" s="2825">
        <v>12</v>
      </c>
      <c r="G604" s="1417">
        <v>0</v>
      </c>
      <c r="H604" s="1665">
        <v>117852</v>
      </c>
      <c r="I604" s="1665">
        <v>3728490</v>
      </c>
      <c r="J604" s="1665">
        <v>1465</v>
      </c>
      <c r="K604" s="1665">
        <v>247974601</v>
      </c>
    </row>
    <row r="605" spans="1:11">
      <c r="A605" t="s">
        <v>2266</v>
      </c>
      <c r="B605" t="s">
        <v>950</v>
      </c>
      <c r="C605" s="1417">
        <v>1.04</v>
      </c>
      <c r="D605" s="2020">
        <v>744992</v>
      </c>
      <c r="E605" s="2020">
        <v>18147</v>
      </c>
      <c r="F605" s="2825">
        <v>12</v>
      </c>
      <c r="G605" s="1417">
        <v>0</v>
      </c>
    </row>
    <row r="606" spans="1:11">
      <c r="A606" t="s">
        <v>2267</v>
      </c>
      <c r="B606" t="s">
        <v>951</v>
      </c>
      <c r="C606" s="1417">
        <v>1.04</v>
      </c>
      <c r="D606" s="2020">
        <v>1921392</v>
      </c>
      <c r="E606" s="2020">
        <v>0</v>
      </c>
      <c r="F606" s="2825">
        <v>12</v>
      </c>
      <c r="G606" s="1417">
        <v>0</v>
      </c>
    </row>
    <row r="607" spans="1:11">
      <c r="A607" t="s">
        <v>2268</v>
      </c>
      <c r="B607" t="s">
        <v>952</v>
      </c>
      <c r="C607" s="1417">
        <v>0.9</v>
      </c>
      <c r="D607" s="2020">
        <v>581194</v>
      </c>
      <c r="E607" s="2020">
        <v>0</v>
      </c>
      <c r="F607" s="2825">
        <v>8</v>
      </c>
      <c r="G607" s="1417">
        <v>0</v>
      </c>
      <c r="H607" s="1665">
        <v>21250</v>
      </c>
      <c r="I607" s="1665">
        <v>317939</v>
      </c>
      <c r="J607" s="1417">
        <v>220</v>
      </c>
      <c r="K607" s="1665">
        <v>36063330</v>
      </c>
    </row>
    <row r="608" spans="1:11">
      <c r="A608" t="s">
        <v>2269</v>
      </c>
      <c r="B608" t="s">
        <v>953</v>
      </c>
      <c r="C608" s="1417">
        <v>1.04</v>
      </c>
      <c r="D608" s="2020">
        <v>372789</v>
      </c>
      <c r="E608" s="2020">
        <v>0</v>
      </c>
      <c r="F608" s="2825">
        <v>8</v>
      </c>
      <c r="G608" s="1417">
        <v>0</v>
      </c>
    </row>
    <row r="609" spans="1:11">
      <c r="A609" t="s">
        <v>2586</v>
      </c>
      <c r="B609" t="s">
        <v>954</v>
      </c>
      <c r="C609" s="1417">
        <v>0.97070000000000001</v>
      </c>
      <c r="D609" s="2020">
        <v>1680365</v>
      </c>
      <c r="E609" s="2020">
        <v>0</v>
      </c>
      <c r="F609" s="2825">
        <v>8</v>
      </c>
      <c r="G609" s="1417">
        <v>0</v>
      </c>
      <c r="H609" s="1665">
        <v>40444</v>
      </c>
      <c r="I609" s="1665">
        <v>344495</v>
      </c>
      <c r="J609" s="1417">
        <v>189</v>
      </c>
      <c r="K609" s="1665">
        <v>50140654</v>
      </c>
    </row>
    <row r="610" spans="1:11">
      <c r="A610" t="s">
        <v>2587</v>
      </c>
      <c r="B610" t="s">
        <v>955</v>
      </c>
      <c r="C610" s="1417">
        <v>1.04</v>
      </c>
      <c r="D610" s="2020">
        <v>7652462</v>
      </c>
      <c r="E610" s="2020">
        <v>602236</v>
      </c>
      <c r="F610" s="2825">
        <v>12</v>
      </c>
      <c r="G610" s="1417">
        <v>0</v>
      </c>
    </row>
    <row r="611" spans="1:11">
      <c r="A611" t="s">
        <v>2588</v>
      </c>
      <c r="B611" t="s">
        <v>956</v>
      </c>
      <c r="C611" s="1417">
        <v>1.04</v>
      </c>
      <c r="D611" s="2020">
        <v>2924147</v>
      </c>
      <c r="E611" s="2020">
        <v>186852</v>
      </c>
      <c r="F611" s="2825">
        <v>12</v>
      </c>
      <c r="G611" s="1417">
        <v>0</v>
      </c>
    </row>
    <row r="612" spans="1:11">
      <c r="A612" t="s">
        <v>2589</v>
      </c>
      <c r="B612" t="s">
        <v>957</v>
      </c>
      <c r="C612" s="1417">
        <v>1.04</v>
      </c>
      <c r="D612" s="2020">
        <v>1630097</v>
      </c>
      <c r="E612" s="2020">
        <v>0</v>
      </c>
      <c r="F612" s="2825">
        <v>12</v>
      </c>
      <c r="G612" s="1417">
        <v>0</v>
      </c>
      <c r="H612" s="1665">
        <v>98135</v>
      </c>
      <c r="I612" s="1665">
        <v>827726</v>
      </c>
      <c r="J612" s="1417">
        <v>330</v>
      </c>
      <c r="K612" s="1665">
        <v>72142539</v>
      </c>
    </row>
    <row r="613" spans="1:11">
      <c r="A613" t="s">
        <v>2590</v>
      </c>
      <c r="B613" t="s">
        <v>958</v>
      </c>
      <c r="C613" s="1417">
        <v>1.04</v>
      </c>
      <c r="D613" s="2020">
        <v>4121481</v>
      </c>
      <c r="E613" s="2020">
        <v>224385</v>
      </c>
      <c r="F613" s="2825">
        <v>12</v>
      </c>
      <c r="G613" s="1417">
        <v>0</v>
      </c>
      <c r="H613" s="1665">
        <v>89864</v>
      </c>
      <c r="I613" s="1665">
        <v>2511931</v>
      </c>
      <c r="J613" s="1665">
        <v>1068</v>
      </c>
      <c r="K613" s="1665">
        <v>93755244</v>
      </c>
    </row>
    <row r="614" spans="1:11">
      <c r="A614" t="s">
        <v>1381</v>
      </c>
      <c r="B614" t="s">
        <v>1824</v>
      </c>
      <c r="C614" s="1417">
        <v>1.04</v>
      </c>
      <c r="D614" s="2020">
        <v>2543113</v>
      </c>
      <c r="E614" s="2020">
        <v>125698</v>
      </c>
      <c r="F614" s="2825">
        <v>12</v>
      </c>
      <c r="G614" s="1417">
        <v>0</v>
      </c>
    </row>
    <row r="615" spans="1:11">
      <c r="A615" t="s">
        <v>1382</v>
      </c>
      <c r="B615" t="s">
        <v>1825</v>
      </c>
      <c r="C615" s="1417">
        <v>1.04</v>
      </c>
      <c r="D615" s="2020">
        <v>1768674</v>
      </c>
      <c r="E615" s="2020">
        <v>281846</v>
      </c>
      <c r="F615" s="2825">
        <v>12</v>
      </c>
      <c r="G615" s="1417">
        <v>0</v>
      </c>
    </row>
    <row r="616" spans="1:11">
      <c r="A616" t="s">
        <v>2426</v>
      </c>
      <c r="B616" t="s">
        <v>1826</v>
      </c>
      <c r="C616" s="1417">
        <v>1.04</v>
      </c>
      <c r="D616" s="2020">
        <v>1355757</v>
      </c>
      <c r="E616" s="2020">
        <v>0</v>
      </c>
      <c r="F616" s="2825">
        <v>12</v>
      </c>
      <c r="G616" s="1417">
        <v>0</v>
      </c>
      <c r="H616" s="1665">
        <v>144558</v>
      </c>
      <c r="I616" s="1665">
        <v>1232021</v>
      </c>
      <c r="J616" s="1417">
        <v>505</v>
      </c>
      <c r="K616" s="1665">
        <v>80414933</v>
      </c>
    </row>
    <row r="617" spans="1:11">
      <c r="A617" t="s">
        <v>2111</v>
      </c>
      <c r="B617" t="s">
        <v>2005</v>
      </c>
      <c r="C617" s="1417">
        <v>0.85929999999999995</v>
      </c>
      <c r="D617" s="2020">
        <v>9106454</v>
      </c>
      <c r="E617" s="2020">
        <v>324217</v>
      </c>
      <c r="F617" s="2825">
        <v>12</v>
      </c>
      <c r="G617" s="1417">
        <v>0</v>
      </c>
      <c r="H617" s="1665">
        <v>288850</v>
      </c>
      <c r="I617" s="1665">
        <v>2391142</v>
      </c>
      <c r="J617" s="1665">
        <v>1010</v>
      </c>
      <c r="K617" s="1665">
        <v>364902994</v>
      </c>
    </row>
    <row r="618" spans="1:11">
      <c r="A618" t="s">
        <v>2633</v>
      </c>
      <c r="B618" t="s">
        <v>1164</v>
      </c>
      <c r="C618" s="1417">
        <v>1.04</v>
      </c>
      <c r="D618" s="2020">
        <v>6297539</v>
      </c>
      <c r="E618" s="2020">
        <v>1475319</v>
      </c>
      <c r="F618" s="2825">
        <v>12</v>
      </c>
      <c r="G618" s="1417">
        <v>0</v>
      </c>
    </row>
    <row r="619" spans="1:11">
      <c r="A619" t="s">
        <v>2408</v>
      </c>
      <c r="B619" t="s">
        <v>2664</v>
      </c>
      <c r="C619" s="1417">
        <v>1.04</v>
      </c>
      <c r="D619" s="2020">
        <v>12657260</v>
      </c>
      <c r="E619" s="2020">
        <v>1791760</v>
      </c>
      <c r="F619" s="2825">
        <v>12</v>
      </c>
      <c r="G619" s="1417">
        <v>0</v>
      </c>
    </row>
    <row r="620" spans="1:11">
      <c r="A620" t="s">
        <v>2112</v>
      </c>
      <c r="B620" t="s">
        <v>2006</v>
      </c>
      <c r="C620" s="1417">
        <v>0.96</v>
      </c>
      <c r="D620" s="2020">
        <v>5329722</v>
      </c>
      <c r="E620" s="2020">
        <v>156610</v>
      </c>
      <c r="F620" s="2825">
        <v>8</v>
      </c>
      <c r="G620" s="1417">
        <v>0</v>
      </c>
      <c r="H620" s="1665">
        <v>570682</v>
      </c>
      <c r="I620" s="1665">
        <v>390571</v>
      </c>
      <c r="J620" s="1417">
        <v>240</v>
      </c>
      <c r="K620" s="1665">
        <v>102834898</v>
      </c>
    </row>
    <row r="621" spans="1:11">
      <c r="A621" t="s">
        <v>2515</v>
      </c>
      <c r="B621" t="s">
        <v>1735</v>
      </c>
      <c r="C621" s="1417">
        <v>1.04</v>
      </c>
      <c r="D621" s="2020">
        <v>3015900</v>
      </c>
      <c r="E621" s="2020">
        <v>0</v>
      </c>
      <c r="F621" s="2825">
        <v>12</v>
      </c>
      <c r="G621" s="1417">
        <v>0</v>
      </c>
    </row>
    <row r="622" spans="1:11">
      <c r="A622" t="s">
        <v>1116</v>
      </c>
      <c r="B622" t="s">
        <v>2384</v>
      </c>
      <c r="C622" s="1417">
        <v>1.04</v>
      </c>
      <c r="D622" s="2020">
        <v>2382555</v>
      </c>
      <c r="E622" s="2020">
        <v>157858</v>
      </c>
      <c r="F622" s="2825">
        <v>12</v>
      </c>
      <c r="G622" s="1417">
        <v>0</v>
      </c>
    </row>
    <row r="623" spans="1:11">
      <c r="A623" t="s">
        <v>2113</v>
      </c>
      <c r="B623" t="s">
        <v>543</v>
      </c>
      <c r="C623" s="1417">
        <v>1.04</v>
      </c>
      <c r="D623" s="2020">
        <v>8461263</v>
      </c>
      <c r="E623" s="2020">
        <v>1027595</v>
      </c>
      <c r="F623" s="2825">
        <v>12</v>
      </c>
      <c r="G623" s="1417">
        <v>0</v>
      </c>
    </row>
    <row r="624" spans="1:11">
      <c r="A624" t="s">
        <v>2114</v>
      </c>
      <c r="B624" t="s">
        <v>544</v>
      </c>
      <c r="C624" s="1417">
        <v>1.04</v>
      </c>
      <c r="D624" s="2020">
        <v>3068196</v>
      </c>
      <c r="E624" s="2020">
        <v>400685</v>
      </c>
      <c r="F624" s="2825">
        <v>12</v>
      </c>
      <c r="G624" s="1417">
        <v>0</v>
      </c>
    </row>
    <row r="625" spans="1:11">
      <c r="A625" t="s">
        <v>967</v>
      </c>
      <c r="B625" t="s">
        <v>1554</v>
      </c>
      <c r="C625" s="1417">
        <v>1.04</v>
      </c>
      <c r="D625" s="2020">
        <v>305640</v>
      </c>
      <c r="E625" s="2020">
        <v>42119</v>
      </c>
      <c r="F625" s="2825">
        <v>12</v>
      </c>
      <c r="G625" s="1417">
        <v>0</v>
      </c>
    </row>
    <row r="626" spans="1:11">
      <c r="A626" t="s">
        <v>1337</v>
      </c>
      <c r="B626" t="s">
        <v>545</v>
      </c>
      <c r="C626" s="1417">
        <v>0.98499999999999999</v>
      </c>
      <c r="D626" s="2020">
        <v>20509816</v>
      </c>
      <c r="E626" s="2020">
        <v>0</v>
      </c>
      <c r="F626" s="2825">
        <v>12</v>
      </c>
      <c r="G626" s="1417">
        <v>0</v>
      </c>
      <c r="H626" s="1665">
        <v>4295603</v>
      </c>
      <c r="I626" s="1665">
        <v>4745688</v>
      </c>
      <c r="J626" s="1665">
        <v>1920</v>
      </c>
      <c r="K626" s="1665">
        <v>1127023221</v>
      </c>
    </row>
    <row r="627" spans="1:11">
      <c r="A627" t="s">
        <v>1689</v>
      </c>
      <c r="B627" t="s">
        <v>546</v>
      </c>
      <c r="C627" s="1417">
        <v>1.04</v>
      </c>
      <c r="D627" s="2020">
        <v>3440922</v>
      </c>
      <c r="E627" s="2020">
        <v>244848</v>
      </c>
      <c r="F627" s="2825">
        <v>12</v>
      </c>
      <c r="G627" s="1417">
        <v>0</v>
      </c>
    </row>
    <row r="628" spans="1:11">
      <c r="A628" t="s">
        <v>1690</v>
      </c>
      <c r="B628" t="s">
        <v>547</v>
      </c>
      <c r="C628" s="1417">
        <v>1.04</v>
      </c>
      <c r="D628" s="2020">
        <v>2231147</v>
      </c>
      <c r="E628" s="2020">
        <v>48081</v>
      </c>
      <c r="F628" s="2825">
        <v>12</v>
      </c>
      <c r="G628" s="1417">
        <v>0</v>
      </c>
    </row>
    <row r="629" spans="1:11">
      <c r="A629" t="s">
        <v>2557</v>
      </c>
      <c r="B629" t="s">
        <v>548</v>
      </c>
      <c r="C629" s="1417">
        <v>1.04</v>
      </c>
      <c r="D629" s="2020">
        <v>2602143</v>
      </c>
      <c r="E629" s="2020">
        <v>137042</v>
      </c>
      <c r="F629" s="2825">
        <v>12</v>
      </c>
      <c r="G629" s="1417">
        <v>0</v>
      </c>
      <c r="H629" s="1665">
        <v>477637</v>
      </c>
      <c r="I629" s="1665">
        <v>620347</v>
      </c>
      <c r="J629" s="1417">
        <v>221</v>
      </c>
      <c r="K629" s="1665">
        <v>80732630</v>
      </c>
    </row>
    <row r="630" spans="1:11">
      <c r="A630" t="s">
        <v>2558</v>
      </c>
      <c r="B630" t="s">
        <v>549</v>
      </c>
      <c r="C630" s="1417">
        <v>1.04</v>
      </c>
      <c r="D630" s="2020">
        <v>2520433</v>
      </c>
      <c r="E630" s="2020">
        <v>0</v>
      </c>
      <c r="F630" s="2825">
        <v>12</v>
      </c>
      <c r="G630" s="1417">
        <v>0</v>
      </c>
      <c r="H630" s="1665">
        <v>287295</v>
      </c>
      <c r="I630" s="1665">
        <v>514448</v>
      </c>
      <c r="J630" s="1417">
        <v>216</v>
      </c>
      <c r="K630" s="1665">
        <v>47677328</v>
      </c>
    </row>
    <row r="631" spans="1:11">
      <c r="A631" t="s">
        <v>2659</v>
      </c>
      <c r="B631" t="s">
        <v>550</v>
      </c>
      <c r="C631" s="1417">
        <v>1.02</v>
      </c>
      <c r="D631" s="2020">
        <v>2075724</v>
      </c>
      <c r="E631" s="2020">
        <v>175132</v>
      </c>
      <c r="F631" s="2825">
        <v>6</v>
      </c>
      <c r="G631" s="1417">
        <v>0</v>
      </c>
      <c r="H631" s="1665">
        <v>481715</v>
      </c>
      <c r="I631" s="1665">
        <v>297759</v>
      </c>
      <c r="J631" s="1417">
        <v>184</v>
      </c>
      <c r="K631" s="1665">
        <v>78930972</v>
      </c>
    </row>
    <row r="632" spans="1:11">
      <c r="A632" t="s">
        <v>837</v>
      </c>
      <c r="B632" t="s">
        <v>551</v>
      </c>
      <c r="C632" s="1417">
        <v>1.04</v>
      </c>
      <c r="D632" s="2020">
        <v>5076929</v>
      </c>
      <c r="E632" s="2020">
        <v>0</v>
      </c>
      <c r="F632" s="2825">
        <v>12</v>
      </c>
      <c r="G632" s="1417">
        <v>0</v>
      </c>
    </row>
    <row r="633" spans="1:11">
      <c r="A633" t="s">
        <v>82</v>
      </c>
      <c r="B633" t="s">
        <v>552</v>
      </c>
      <c r="C633" s="1417">
        <v>1.04</v>
      </c>
      <c r="D633" s="2020">
        <v>5219188</v>
      </c>
      <c r="E633" s="2020">
        <v>223330</v>
      </c>
      <c r="F633" s="2825">
        <v>12</v>
      </c>
      <c r="G633" s="1417">
        <v>0</v>
      </c>
      <c r="H633" s="1665">
        <v>941572</v>
      </c>
      <c r="I633" s="1665">
        <v>2988275</v>
      </c>
      <c r="J633" s="1665">
        <v>1222</v>
      </c>
      <c r="K633" s="1665">
        <v>271009440</v>
      </c>
    </row>
    <row r="634" spans="1:11">
      <c r="A634" t="s">
        <v>83</v>
      </c>
      <c r="B634" t="s">
        <v>553</v>
      </c>
      <c r="C634" s="1417">
        <v>1.04</v>
      </c>
      <c r="D634" s="2020">
        <v>25659777</v>
      </c>
      <c r="E634" s="2020">
        <v>1990715</v>
      </c>
      <c r="F634" s="2825">
        <v>12</v>
      </c>
      <c r="G634" s="1417">
        <v>0</v>
      </c>
      <c r="H634" s="1665">
        <v>808796</v>
      </c>
      <c r="I634" s="1665">
        <v>4279715</v>
      </c>
      <c r="J634" s="1665">
        <v>1817</v>
      </c>
      <c r="K634" s="1665">
        <v>683404510</v>
      </c>
    </row>
    <row r="635" spans="1:11">
      <c r="A635" t="s">
        <v>2284</v>
      </c>
      <c r="B635" t="s">
        <v>586</v>
      </c>
      <c r="C635" s="1417">
        <v>1.04</v>
      </c>
      <c r="D635" s="2020">
        <v>86369180</v>
      </c>
      <c r="E635" s="2020">
        <v>14293006</v>
      </c>
      <c r="F635" s="2825">
        <v>12</v>
      </c>
      <c r="G635" s="1417">
        <v>0</v>
      </c>
    </row>
    <row r="636" spans="1:11">
      <c r="A636" t="s">
        <v>2410</v>
      </c>
      <c r="B636" t="s">
        <v>554</v>
      </c>
      <c r="C636" s="1417">
        <v>1.17</v>
      </c>
      <c r="D636" s="2020">
        <v>1947412</v>
      </c>
      <c r="E636" s="2020">
        <v>0</v>
      </c>
      <c r="F636" s="2825">
        <v>12</v>
      </c>
      <c r="G636" s="1417">
        <v>0</v>
      </c>
    </row>
    <row r="637" spans="1:11">
      <c r="A637" t="s">
        <v>2411</v>
      </c>
      <c r="B637" t="s">
        <v>555</v>
      </c>
      <c r="C637" s="1417">
        <v>1.04</v>
      </c>
      <c r="D637" s="2020">
        <v>2676152</v>
      </c>
      <c r="E637" s="2020">
        <v>230533</v>
      </c>
      <c r="F637" s="2825">
        <v>12</v>
      </c>
      <c r="G637" s="1417">
        <v>0</v>
      </c>
    </row>
    <row r="638" spans="1:11">
      <c r="A638" t="s">
        <v>2104</v>
      </c>
      <c r="B638" t="s">
        <v>587</v>
      </c>
      <c r="C638" s="1417">
        <v>1.04</v>
      </c>
      <c r="D638" s="2020">
        <v>12135854</v>
      </c>
      <c r="E638" s="2020">
        <v>2592077</v>
      </c>
      <c r="F638" s="2825">
        <v>12</v>
      </c>
      <c r="G638" s="1417">
        <v>0</v>
      </c>
    </row>
    <row r="639" spans="1:11">
      <c r="A639" t="s">
        <v>1423</v>
      </c>
      <c r="B639" t="s">
        <v>2303</v>
      </c>
      <c r="C639" s="1417">
        <v>1.04</v>
      </c>
      <c r="D639" s="2020">
        <v>21017040</v>
      </c>
      <c r="E639" s="2020">
        <v>4710216</v>
      </c>
      <c r="F639" s="2825">
        <v>12</v>
      </c>
      <c r="G639" s="1417">
        <v>0</v>
      </c>
    </row>
    <row r="640" spans="1:11">
      <c r="A640" t="s">
        <v>2412</v>
      </c>
      <c r="B640" t="s">
        <v>556</v>
      </c>
      <c r="C640" s="1417">
        <v>1.04</v>
      </c>
      <c r="D640" s="2020">
        <v>1951860</v>
      </c>
      <c r="E640" s="2020">
        <v>308045</v>
      </c>
      <c r="F640" s="2825">
        <v>12</v>
      </c>
      <c r="G640" s="1417">
        <v>0</v>
      </c>
    </row>
    <row r="641" spans="1:11">
      <c r="A641" t="s">
        <v>496</v>
      </c>
      <c r="B641" t="s">
        <v>1248</v>
      </c>
      <c r="C641" s="1417">
        <v>1.17</v>
      </c>
      <c r="D641" s="2020">
        <v>2222900</v>
      </c>
      <c r="E641" s="2020">
        <v>463206</v>
      </c>
      <c r="F641" s="2825">
        <v>12</v>
      </c>
      <c r="G641" s="1417">
        <v>0</v>
      </c>
    </row>
    <row r="642" spans="1:11">
      <c r="A642" t="s">
        <v>677</v>
      </c>
      <c r="B642" t="s">
        <v>557</v>
      </c>
      <c r="C642" s="1417">
        <v>1.17</v>
      </c>
      <c r="D642" s="2020">
        <v>2148654</v>
      </c>
      <c r="E642" s="2020">
        <v>161304</v>
      </c>
      <c r="F642" s="2825">
        <v>12</v>
      </c>
      <c r="G642" s="1417">
        <v>0</v>
      </c>
    </row>
    <row r="643" spans="1:11">
      <c r="A643" t="s">
        <v>2347</v>
      </c>
      <c r="B643" t="s">
        <v>2626</v>
      </c>
      <c r="C643" s="1417">
        <v>1.0129999999999999</v>
      </c>
      <c r="D643" s="2020">
        <v>933563</v>
      </c>
      <c r="E643" s="2020">
        <v>79050</v>
      </c>
      <c r="F643" s="2825">
        <v>12</v>
      </c>
      <c r="G643" s="1417">
        <v>0</v>
      </c>
    </row>
    <row r="644" spans="1:11">
      <c r="A644" t="s">
        <v>2348</v>
      </c>
      <c r="B644" t="s">
        <v>559</v>
      </c>
      <c r="C644" s="1417">
        <v>1.04</v>
      </c>
      <c r="D644" s="2020">
        <v>1005258</v>
      </c>
      <c r="E644" s="2020">
        <v>0</v>
      </c>
      <c r="F644" s="2825">
        <v>12</v>
      </c>
      <c r="G644" s="1417">
        <v>0</v>
      </c>
    </row>
    <row r="645" spans="1:11">
      <c r="A645" t="s">
        <v>2349</v>
      </c>
      <c r="B645" t="s">
        <v>560</v>
      </c>
      <c r="C645" s="1417">
        <v>1.17</v>
      </c>
      <c r="D645" s="2020">
        <v>492604</v>
      </c>
      <c r="E645" s="2020">
        <v>31447</v>
      </c>
      <c r="F645" s="2825">
        <v>12</v>
      </c>
      <c r="G645" s="1417">
        <v>0</v>
      </c>
    </row>
    <row r="646" spans="1:11">
      <c r="A646" t="s">
        <v>1464</v>
      </c>
      <c r="B646" t="s">
        <v>561</v>
      </c>
      <c r="C646" s="1417">
        <v>1.04</v>
      </c>
      <c r="D646" s="2020">
        <v>396609</v>
      </c>
      <c r="E646" s="2020">
        <v>21059</v>
      </c>
      <c r="F646" s="2825">
        <v>12</v>
      </c>
      <c r="G646" s="1417">
        <v>0</v>
      </c>
    </row>
    <row r="647" spans="1:11">
      <c r="A647" t="s">
        <v>2091</v>
      </c>
      <c r="B647" t="s">
        <v>37</v>
      </c>
      <c r="C647" s="1417">
        <v>1.04</v>
      </c>
      <c r="D647" s="2020">
        <v>4499068</v>
      </c>
      <c r="E647" s="2020">
        <v>699400</v>
      </c>
      <c r="F647" s="2825">
        <v>12</v>
      </c>
      <c r="G647" s="1417">
        <v>0</v>
      </c>
    </row>
    <row r="648" spans="1:11">
      <c r="A648" t="s">
        <v>1465</v>
      </c>
      <c r="B648" t="s">
        <v>562</v>
      </c>
      <c r="C648" s="1417">
        <v>1.0369999999999999</v>
      </c>
      <c r="D648" s="2020">
        <v>1255144</v>
      </c>
      <c r="E648" s="2020">
        <v>210616</v>
      </c>
      <c r="F648" s="2825">
        <v>12</v>
      </c>
      <c r="G648" s="1417">
        <v>0</v>
      </c>
    </row>
    <row r="649" spans="1:11">
      <c r="A649" t="s">
        <v>382</v>
      </c>
      <c r="B649" t="s">
        <v>563</v>
      </c>
      <c r="C649" s="1417">
        <v>0.98</v>
      </c>
      <c r="D649" s="2020">
        <v>5532810</v>
      </c>
      <c r="E649" s="2020">
        <v>495324</v>
      </c>
      <c r="F649" s="2825">
        <v>12</v>
      </c>
      <c r="G649" s="1417">
        <v>0</v>
      </c>
    </row>
    <row r="650" spans="1:11">
      <c r="A650" t="s">
        <v>383</v>
      </c>
      <c r="B650" t="s">
        <v>564</v>
      </c>
      <c r="C650" s="1417">
        <v>0.99</v>
      </c>
      <c r="D650" s="2020">
        <v>4253962</v>
      </c>
      <c r="E650" s="2020">
        <v>0</v>
      </c>
      <c r="F650" s="2825">
        <v>12</v>
      </c>
      <c r="G650" s="1417">
        <v>0</v>
      </c>
      <c r="H650" s="1665">
        <v>704660</v>
      </c>
      <c r="I650" s="1665">
        <v>3196402</v>
      </c>
      <c r="J650" s="1665">
        <v>1346</v>
      </c>
      <c r="K650" s="1665">
        <v>167935161</v>
      </c>
    </row>
    <row r="651" spans="1:11">
      <c r="A651" t="s">
        <v>384</v>
      </c>
      <c r="B651" t="s">
        <v>565</v>
      </c>
      <c r="C651" s="1417">
        <v>0.9</v>
      </c>
      <c r="D651" s="2020">
        <v>3866088</v>
      </c>
      <c r="E651" s="2020">
        <v>0</v>
      </c>
      <c r="F651" s="2825">
        <v>12</v>
      </c>
      <c r="G651" s="1417">
        <v>0</v>
      </c>
      <c r="H651" s="1665">
        <v>674270</v>
      </c>
      <c r="I651" s="1665">
        <v>868029</v>
      </c>
      <c r="J651" s="1417">
        <v>314</v>
      </c>
      <c r="K651" s="1665">
        <v>211481140</v>
      </c>
    </row>
    <row r="652" spans="1:11">
      <c r="A652" t="s">
        <v>1655</v>
      </c>
      <c r="B652" t="s">
        <v>566</v>
      </c>
      <c r="C652" s="1417">
        <v>1.04</v>
      </c>
      <c r="D652" s="2020">
        <v>2219567</v>
      </c>
      <c r="E652" s="2020">
        <v>114049</v>
      </c>
      <c r="F652" s="2825">
        <v>12</v>
      </c>
      <c r="G652" s="1417">
        <v>0</v>
      </c>
    </row>
    <row r="653" spans="1:11">
      <c r="A653" t="s">
        <v>1656</v>
      </c>
      <c r="B653" t="s">
        <v>567</v>
      </c>
      <c r="C653" s="1417">
        <v>1.17</v>
      </c>
      <c r="D653" s="2020">
        <v>11915437</v>
      </c>
      <c r="E653" s="2020">
        <v>1427310</v>
      </c>
      <c r="F653" s="2825">
        <v>12</v>
      </c>
      <c r="G653" s="1417">
        <v>0</v>
      </c>
    </row>
    <row r="654" spans="1:11">
      <c r="A654" t="s">
        <v>173</v>
      </c>
      <c r="B654" t="s">
        <v>1745</v>
      </c>
      <c r="C654" s="1417">
        <v>0.93620000000000003</v>
      </c>
      <c r="D654" s="2020">
        <v>5378194</v>
      </c>
      <c r="E654" s="2020">
        <v>0</v>
      </c>
      <c r="F654" s="2825">
        <v>12</v>
      </c>
      <c r="G654" s="1417">
        <v>0</v>
      </c>
      <c r="H654" s="1665">
        <v>297605</v>
      </c>
      <c r="I654" s="1665">
        <v>3665699</v>
      </c>
      <c r="J654" s="1665">
        <v>1511</v>
      </c>
      <c r="K654" s="1665">
        <v>218702564</v>
      </c>
    </row>
    <row r="655" spans="1:11">
      <c r="A655" t="s">
        <v>2128</v>
      </c>
      <c r="B655" t="s">
        <v>1746</v>
      </c>
      <c r="C655" s="1417">
        <v>0.97330000000000005</v>
      </c>
      <c r="D655" s="2020">
        <v>2195653</v>
      </c>
      <c r="E655" s="2020">
        <v>0</v>
      </c>
      <c r="F655" s="2825">
        <v>8</v>
      </c>
      <c r="G655" s="1417">
        <v>0</v>
      </c>
      <c r="H655" s="1665">
        <v>243419</v>
      </c>
      <c r="I655" s="1665">
        <v>360495</v>
      </c>
      <c r="J655" s="1417">
        <v>250</v>
      </c>
      <c r="K655" s="1665">
        <v>65997238</v>
      </c>
    </row>
    <row r="656" spans="1:11">
      <c r="A656" t="s">
        <v>2129</v>
      </c>
      <c r="B656" t="s">
        <v>1747</v>
      </c>
      <c r="C656" s="1417">
        <v>0.98</v>
      </c>
      <c r="D656" s="2020">
        <v>14342860</v>
      </c>
      <c r="E656" s="2020">
        <v>588199</v>
      </c>
      <c r="F656" s="2825">
        <v>12</v>
      </c>
      <c r="G656" s="1417">
        <v>0</v>
      </c>
      <c r="H656" s="1665">
        <v>3298140</v>
      </c>
      <c r="I656" s="1665">
        <v>4761581</v>
      </c>
      <c r="J656" s="1665">
        <v>1961</v>
      </c>
      <c r="K656" s="1665">
        <v>2813259306</v>
      </c>
    </row>
    <row r="657" spans="1:11">
      <c r="A657" t="s">
        <v>2130</v>
      </c>
      <c r="B657" t="s">
        <v>1748</v>
      </c>
      <c r="C657" s="1417">
        <v>0.98</v>
      </c>
      <c r="D657" s="2020">
        <v>4614865</v>
      </c>
      <c r="E657" s="2020">
        <v>0</v>
      </c>
      <c r="F657" s="2825">
        <v>12</v>
      </c>
      <c r="G657" s="1417">
        <v>0</v>
      </c>
    </row>
    <row r="658" spans="1:11">
      <c r="A658" t="s">
        <v>1813</v>
      </c>
      <c r="B658" t="s">
        <v>1062</v>
      </c>
      <c r="C658" s="1417">
        <v>1.17</v>
      </c>
      <c r="D658" s="2020">
        <v>16943905</v>
      </c>
      <c r="E658" s="2020">
        <v>923753</v>
      </c>
      <c r="F658" s="2825">
        <v>12</v>
      </c>
      <c r="G658" s="1417">
        <v>0</v>
      </c>
    </row>
    <row r="659" spans="1:11">
      <c r="A659" t="s">
        <v>880</v>
      </c>
      <c r="B659" t="s">
        <v>1854</v>
      </c>
      <c r="C659" s="1417">
        <v>1.04</v>
      </c>
      <c r="D659" s="2020">
        <v>2851771</v>
      </c>
      <c r="E659" s="2020">
        <v>382935</v>
      </c>
      <c r="F659" s="2825">
        <v>12</v>
      </c>
      <c r="G659" s="1417">
        <v>0</v>
      </c>
    </row>
    <row r="660" spans="1:11">
      <c r="A660" t="s">
        <v>1403</v>
      </c>
      <c r="B660" t="s">
        <v>1749</v>
      </c>
      <c r="C660" s="1417">
        <v>1.04</v>
      </c>
      <c r="D660" s="2020">
        <v>380651</v>
      </c>
      <c r="E660" s="2020">
        <v>0</v>
      </c>
      <c r="F660" s="2825">
        <v>12</v>
      </c>
      <c r="G660" s="1417">
        <v>0</v>
      </c>
    </row>
    <row r="661" spans="1:11">
      <c r="A661" t="s">
        <v>1988</v>
      </c>
      <c r="B661" t="s">
        <v>2228</v>
      </c>
      <c r="C661" s="1417">
        <v>1.04</v>
      </c>
      <c r="D661" s="2020">
        <v>193144</v>
      </c>
      <c r="E661" s="2020">
        <v>12150</v>
      </c>
      <c r="F661" s="2825">
        <v>12</v>
      </c>
      <c r="G661" s="1417">
        <v>0</v>
      </c>
    </row>
    <row r="662" spans="1:11">
      <c r="A662" t="s">
        <v>968</v>
      </c>
      <c r="B662" t="s">
        <v>417</v>
      </c>
      <c r="C662" s="1417">
        <v>1.04</v>
      </c>
      <c r="D662" s="2020">
        <v>1264141</v>
      </c>
      <c r="E662" s="2020">
        <v>140543</v>
      </c>
      <c r="F662" s="2825">
        <v>12</v>
      </c>
      <c r="G662" s="1417">
        <v>0</v>
      </c>
    </row>
    <row r="663" spans="1:11">
      <c r="A663" t="s">
        <v>900</v>
      </c>
      <c r="B663" t="s">
        <v>1922</v>
      </c>
      <c r="C663" s="1417">
        <v>1.04</v>
      </c>
      <c r="D663" s="2020">
        <v>31334671</v>
      </c>
      <c r="E663" s="2020">
        <v>6787880</v>
      </c>
      <c r="F663" s="2825">
        <v>12</v>
      </c>
      <c r="G663" s="1417">
        <v>0</v>
      </c>
      <c r="H663" s="1665">
        <v>2784647</v>
      </c>
      <c r="I663" s="1665">
        <v>12985591</v>
      </c>
      <c r="J663" s="1665">
        <v>5763</v>
      </c>
      <c r="K663" s="1665">
        <v>963803773</v>
      </c>
    </row>
    <row r="664" spans="1:11">
      <c r="A664" t="s">
        <v>702</v>
      </c>
      <c r="B664" t="s">
        <v>1899</v>
      </c>
      <c r="C664" s="1417">
        <v>1.04</v>
      </c>
      <c r="D664" s="2020">
        <v>5286817</v>
      </c>
      <c r="E664" s="2020">
        <v>737146</v>
      </c>
      <c r="F664" s="2825">
        <v>12</v>
      </c>
      <c r="G664" s="1417">
        <v>0</v>
      </c>
    </row>
    <row r="665" spans="1:11">
      <c r="A665" t="s">
        <v>969</v>
      </c>
      <c r="B665" t="s">
        <v>1257</v>
      </c>
      <c r="C665" s="1417">
        <v>1.04</v>
      </c>
      <c r="D665" s="2020">
        <v>3355154</v>
      </c>
      <c r="E665" s="2020">
        <v>616487</v>
      </c>
      <c r="F665" s="2825">
        <v>12</v>
      </c>
      <c r="G665" s="1417">
        <v>0</v>
      </c>
    </row>
    <row r="666" spans="1:11">
      <c r="A666" t="s">
        <v>1835</v>
      </c>
      <c r="B666" t="s">
        <v>2064</v>
      </c>
      <c r="C666" s="1417">
        <v>1.04</v>
      </c>
      <c r="D666" s="2020">
        <v>750329</v>
      </c>
      <c r="E666" s="2020">
        <v>109301</v>
      </c>
      <c r="F666" s="2825">
        <v>12</v>
      </c>
      <c r="G666" s="1417">
        <v>0</v>
      </c>
    </row>
    <row r="667" spans="1:11">
      <c r="A667" t="s">
        <v>1542</v>
      </c>
      <c r="B667" t="s">
        <v>819</v>
      </c>
      <c r="C667" s="1417">
        <v>1.04</v>
      </c>
      <c r="D667" s="2020">
        <v>2697396</v>
      </c>
      <c r="E667" s="2020">
        <v>361802</v>
      </c>
      <c r="F667" s="2825">
        <v>12</v>
      </c>
      <c r="G667" s="1417">
        <v>0</v>
      </c>
    </row>
    <row r="668" spans="1:11">
      <c r="A668" t="s">
        <v>113</v>
      </c>
      <c r="B668" t="s">
        <v>1750</v>
      </c>
      <c r="C668" s="1417">
        <v>0.98670000000000002</v>
      </c>
      <c r="D668" s="2020">
        <v>1166798</v>
      </c>
      <c r="E668" s="2020">
        <v>0</v>
      </c>
      <c r="F668" s="2825">
        <v>12</v>
      </c>
      <c r="G668" s="1417">
        <v>0</v>
      </c>
    </row>
    <row r="669" spans="1:11">
      <c r="A669" t="s">
        <v>2086</v>
      </c>
      <c r="B669" t="s">
        <v>1740</v>
      </c>
      <c r="C669" s="1417">
        <v>1.04</v>
      </c>
      <c r="D669" s="2020">
        <v>882292</v>
      </c>
      <c r="E669" s="2020">
        <v>96200</v>
      </c>
      <c r="F669" s="2825">
        <v>12</v>
      </c>
      <c r="G669" s="1417">
        <v>0</v>
      </c>
    </row>
    <row r="670" spans="1:11">
      <c r="A670" t="s">
        <v>341</v>
      </c>
      <c r="B670" t="s">
        <v>136</v>
      </c>
      <c r="C670" s="1417">
        <v>1.04</v>
      </c>
      <c r="D670" s="2020">
        <v>36003532</v>
      </c>
      <c r="E670" s="2020">
        <v>3739731</v>
      </c>
      <c r="F670" s="2825">
        <v>12</v>
      </c>
      <c r="G670" s="1417">
        <v>0</v>
      </c>
    </row>
    <row r="671" spans="1:11">
      <c r="A671" t="s">
        <v>344</v>
      </c>
      <c r="B671" t="s">
        <v>1430</v>
      </c>
      <c r="C671" s="1417">
        <v>1.04</v>
      </c>
      <c r="D671" s="2020">
        <v>2892327</v>
      </c>
      <c r="E671" s="2020">
        <v>465526</v>
      </c>
      <c r="F671" s="2825">
        <v>12</v>
      </c>
      <c r="G671" s="1417">
        <v>0</v>
      </c>
    </row>
    <row r="672" spans="1:11">
      <c r="A672" t="s">
        <v>2460</v>
      </c>
      <c r="B672" t="s">
        <v>1751</v>
      </c>
      <c r="C672" s="1417">
        <v>1.17</v>
      </c>
      <c r="D672" s="2020">
        <v>981366</v>
      </c>
      <c r="E672" s="2020">
        <v>0</v>
      </c>
      <c r="F672" s="2825">
        <v>12</v>
      </c>
      <c r="G672" s="1417">
        <v>0</v>
      </c>
    </row>
    <row r="673" spans="1:11">
      <c r="A673" t="s">
        <v>2461</v>
      </c>
      <c r="B673" t="s">
        <v>1752</v>
      </c>
      <c r="C673" s="1417">
        <v>1.17</v>
      </c>
      <c r="D673" s="2020">
        <v>1492284</v>
      </c>
      <c r="E673" s="2020">
        <v>0</v>
      </c>
      <c r="F673" s="2825">
        <v>12</v>
      </c>
      <c r="G673" s="1417">
        <v>0</v>
      </c>
    </row>
    <row r="674" spans="1:11">
      <c r="A674" t="s">
        <v>72</v>
      </c>
      <c r="B674" t="s">
        <v>1160</v>
      </c>
      <c r="C674" s="1417">
        <v>1</v>
      </c>
      <c r="D674" s="2020">
        <v>4631725</v>
      </c>
      <c r="E674" s="2020">
        <v>708087</v>
      </c>
      <c r="F674" s="2825">
        <v>12</v>
      </c>
      <c r="G674" s="1417">
        <v>0</v>
      </c>
    </row>
    <row r="675" spans="1:11">
      <c r="A675" t="s">
        <v>2310</v>
      </c>
      <c r="B675" t="s">
        <v>1552</v>
      </c>
      <c r="C675" s="1417">
        <v>1.04</v>
      </c>
      <c r="D675" s="2020">
        <v>5118983</v>
      </c>
      <c r="E675" s="2020">
        <v>637713</v>
      </c>
      <c r="F675" s="2825">
        <v>12</v>
      </c>
      <c r="G675" s="1417">
        <v>0</v>
      </c>
    </row>
    <row r="676" spans="1:11">
      <c r="A676" t="s">
        <v>164</v>
      </c>
      <c r="B676" t="s">
        <v>2698</v>
      </c>
      <c r="C676" s="1417">
        <v>1.04</v>
      </c>
      <c r="D676" s="2020">
        <v>4225038</v>
      </c>
      <c r="E676" s="2020">
        <v>498118</v>
      </c>
      <c r="F676" s="2825">
        <v>12</v>
      </c>
      <c r="G676" s="1417">
        <v>0</v>
      </c>
    </row>
    <row r="677" spans="1:11">
      <c r="A677" t="s">
        <v>879</v>
      </c>
      <c r="B677" t="s">
        <v>1348</v>
      </c>
      <c r="C677" s="1417">
        <v>1.1442000000000001</v>
      </c>
      <c r="D677" s="2020">
        <v>1216648</v>
      </c>
      <c r="E677" s="2020">
        <v>83020</v>
      </c>
      <c r="F677" s="2825">
        <v>12</v>
      </c>
      <c r="G677" s="1417">
        <v>0</v>
      </c>
    </row>
    <row r="678" spans="1:11">
      <c r="A678" t="s">
        <v>1837</v>
      </c>
      <c r="B678" t="s">
        <v>1753</v>
      </c>
      <c r="C678" s="1417">
        <v>1.04</v>
      </c>
      <c r="D678" s="2020">
        <v>743510</v>
      </c>
      <c r="E678" s="2020">
        <v>0</v>
      </c>
      <c r="F678" s="2825">
        <v>6</v>
      </c>
      <c r="G678" s="1417">
        <v>0</v>
      </c>
      <c r="H678" s="1665">
        <v>217248</v>
      </c>
      <c r="I678" s="1665">
        <v>439721</v>
      </c>
      <c r="J678" s="1417">
        <v>323</v>
      </c>
      <c r="K678" s="1665">
        <v>83081627</v>
      </c>
    </row>
    <row r="679" spans="1:11">
      <c r="A679" t="s">
        <v>258</v>
      </c>
      <c r="B679" t="s">
        <v>1754</v>
      </c>
      <c r="C679" s="1417">
        <v>1.04</v>
      </c>
      <c r="D679" s="2020">
        <v>325389</v>
      </c>
      <c r="E679" s="2020">
        <v>0</v>
      </c>
      <c r="F679" s="2825">
        <v>8</v>
      </c>
      <c r="G679" s="1417">
        <v>0</v>
      </c>
    </row>
    <row r="680" spans="1:11">
      <c r="A680" t="s">
        <v>1585</v>
      </c>
      <c r="B680" t="s">
        <v>1755</v>
      </c>
      <c r="C680" s="1417">
        <v>0.97</v>
      </c>
      <c r="D680" s="2020">
        <v>4407056</v>
      </c>
      <c r="E680" s="2020">
        <v>370580</v>
      </c>
      <c r="F680" s="2825">
        <v>12</v>
      </c>
      <c r="G680" s="1417">
        <v>0</v>
      </c>
      <c r="H680" s="1665">
        <v>1073067</v>
      </c>
      <c r="I680" s="1665">
        <v>804965</v>
      </c>
      <c r="J680" s="1417">
        <v>296</v>
      </c>
      <c r="K680" s="1665">
        <v>373909329</v>
      </c>
    </row>
    <row r="681" spans="1:11">
      <c r="A681" t="s">
        <v>1134</v>
      </c>
      <c r="B681" t="s">
        <v>2669</v>
      </c>
      <c r="C681" s="1417">
        <v>1.17</v>
      </c>
      <c r="D681" s="2020">
        <v>3060559</v>
      </c>
      <c r="E681" s="2020">
        <v>69806</v>
      </c>
      <c r="F681" s="2825">
        <v>12</v>
      </c>
      <c r="G681" s="1417">
        <v>0</v>
      </c>
    </row>
    <row r="682" spans="1:11">
      <c r="A682" t="s">
        <v>1989</v>
      </c>
      <c r="B682" t="s">
        <v>2627</v>
      </c>
      <c r="C682" s="1417">
        <v>0.98670000000000002</v>
      </c>
      <c r="D682" s="2020">
        <v>783380</v>
      </c>
      <c r="E682" s="2020">
        <v>45867</v>
      </c>
      <c r="F682" s="2825">
        <v>12</v>
      </c>
      <c r="G682" s="1417">
        <v>0</v>
      </c>
    </row>
    <row r="683" spans="1:11">
      <c r="A683" t="s">
        <v>920</v>
      </c>
      <c r="B683" t="s">
        <v>2244</v>
      </c>
      <c r="C683" s="1417">
        <v>1.0189999999999999</v>
      </c>
      <c r="D683" s="2020">
        <v>1274511</v>
      </c>
      <c r="E683" s="2020">
        <v>171726</v>
      </c>
      <c r="F683" s="2825">
        <v>12</v>
      </c>
      <c r="G683" s="1417">
        <v>0</v>
      </c>
    </row>
    <row r="684" spans="1:11">
      <c r="A684" t="s">
        <v>171</v>
      </c>
      <c r="B684" t="s">
        <v>2378</v>
      </c>
      <c r="C684" s="1417">
        <v>1.04</v>
      </c>
      <c r="D684" s="2020">
        <v>3809507</v>
      </c>
      <c r="E684" s="2020">
        <v>286078</v>
      </c>
      <c r="F684" s="2825">
        <v>12</v>
      </c>
      <c r="G684" s="1417">
        <v>0</v>
      </c>
    </row>
    <row r="685" spans="1:11">
      <c r="A685" t="s">
        <v>2531</v>
      </c>
      <c r="B685" t="s">
        <v>823</v>
      </c>
      <c r="C685" s="1417">
        <v>1.04</v>
      </c>
      <c r="D685" s="2020">
        <v>8091091</v>
      </c>
      <c r="E685" s="2020">
        <v>920449</v>
      </c>
      <c r="F685" s="2825">
        <v>12</v>
      </c>
      <c r="G685" s="1417">
        <v>0</v>
      </c>
    </row>
    <row r="686" spans="1:11">
      <c r="A686" t="s">
        <v>2583</v>
      </c>
      <c r="B686" t="s">
        <v>1756</v>
      </c>
      <c r="C686" s="1417">
        <v>1.04</v>
      </c>
      <c r="D686" s="2020">
        <v>1135242</v>
      </c>
      <c r="E686" s="2020">
        <v>0</v>
      </c>
      <c r="F686" s="2825">
        <v>12</v>
      </c>
      <c r="G686" s="1417">
        <v>0</v>
      </c>
    </row>
    <row r="687" spans="1:11">
      <c r="A687" t="s">
        <v>2534</v>
      </c>
      <c r="B687" t="s">
        <v>2236</v>
      </c>
      <c r="C687" s="1417">
        <v>1</v>
      </c>
      <c r="D687" s="2020">
        <v>84514487</v>
      </c>
      <c r="E687" s="2020">
        <v>8505973</v>
      </c>
      <c r="F687" s="2825">
        <v>12</v>
      </c>
      <c r="G687" s="1417">
        <v>0</v>
      </c>
      <c r="H687" s="1665">
        <v>11213576</v>
      </c>
      <c r="I687" s="1665">
        <v>57953599</v>
      </c>
      <c r="J687" s="1665">
        <v>24409</v>
      </c>
      <c r="K687" s="1665">
        <v>3490156662</v>
      </c>
    </row>
    <row r="688" spans="1:11">
      <c r="A688" t="s">
        <v>1300</v>
      </c>
      <c r="B688" t="s">
        <v>1757</v>
      </c>
      <c r="C688" s="1417">
        <v>1.04</v>
      </c>
      <c r="D688" s="2020">
        <v>5925007</v>
      </c>
      <c r="E688" s="2020">
        <v>564081</v>
      </c>
      <c r="F688" s="2825">
        <v>12</v>
      </c>
      <c r="G688" s="1417">
        <v>0</v>
      </c>
    </row>
    <row r="689" spans="1:11">
      <c r="A689" t="s">
        <v>1887</v>
      </c>
      <c r="B689" t="s">
        <v>652</v>
      </c>
      <c r="C689" s="1417">
        <v>1.04</v>
      </c>
      <c r="D689" s="2020">
        <v>2787162</v>
      </c>
      <c r="E689" s="2020">
        <v>735521</v>
      </c>
      <c r="F689" s="2825">
        <v>12</v>
      </c>
      <c r="G689" s="1417">
        <v>0</v>
      </c>
    </row>
    <row r="690" spans="1:11">
      <c r="A690" t="s">
        <v>1360</v>
      </c>
      <c r="B690" t="s">
        <v>1758</v>
      </c>
      <c r="C690" s="1417">
        <v>1.04</v>
      </c>
      <c r="D690" s="2020">
        <v>821386</v>
      </c>
      <c r="E690" s="2020">
        <v>130</v>
      </c>
      <c r="F690" s="2825">
        <v>8</v>
      </c>
      <c r="G690" s="1417">
        <v>0</v>
      </c>
      <c r="H690" s="1665">
        <v>25114</v>
      </c>
      <c r="I690" s="1665">
        <v>396319</v>
      </c>
      <c r="J690" s="1417">
        <v>208</v>
      </c>
      <c r="K690" s="1665">
        <v>13407807</v>
      </c>
    </row>
    <row r="691" spans="1:11">
      <c r="A691" t="s">
        <v>2535</v>
      </c>
      <c r="B691" t="s">
        <v>1759</v>
      </c>
      <c r="C691" s="1417">
        <v>1.04</v>
      </c>
      <c r="D691" s="2020">
        <v>765182</v>
      </c>
      <c r="E691" s="2020">
        <v>196299</v>
      </c>
      <c r="F691" s="2825">
        <v>12</v>
      </c>
      <c r="G691" s="1417">
        <v>0</v>
      </c>
    </row>
    <row r="692" spans="1:11">
      <c r="A692" t="s">
        <v>2197</v>
      </c>
      <c r="B692" t="s">
        <v>1760</v>
      </c>
      <c r="C692" s="1417">
        <v>1.04</v>
      </c>
      <c r="D692" s="2020">
        <v>7915397</v>
      </c>
      <c r="E692" s="2020">
        <v>0</v>
      </c>
      <c r="F692" s="2825">
        <v>12</v>
      </c>
      <c r="G692" s="1417">
        <v>0</v>
      </c>
    </row>
    <row r="693" spans="1:11">
      <c r="A693" t="s">
        <v>930</v>
      </c>
      <c r="B693" t="s">
        <v>1761</v>
      </c>
      <c r="C693" s="1417">
        <v>1.17</v>
      </c>
      <c r="D693" s="2020">
        <v>1215097</v>
      </c>
      <c r="E693" s="2020">
        <v>143712</v>
      </c>
      <c r="F693" s="2825">
        <v>12</v>
      </c>
      <c r="G693" s="1417">
        <v>0</v>
      </c>
    </row>
    <row r="694" spans="1:11">
      <c r="A694" t="s">
        <v>375</v>
      </c>
      <c r="B694" t="s">
        <v>2637</v>
      </c>
      <c r="C694" s="1417">
        <v>1.03</v>
      </c>
      <c r="D694" s="2020">
        <v>281072</v>
      </c>
      <c r="E694" s="2020">
        <v>0</v>
      </c>
      <c r="F694" s="2825">
        <v>12</v>
      </c>
      <c r="G694" s="1417">
        <v>0</v>
      </c>
    </row>
    <row r="695" spans="1:11">
      <c r="A695" t="s">
        <v>1264</v>
      </c>
      <c r="B695" t="s">
        <v>860</v>
      </c>
      <c r="C695" s="1417">
        <v>1.04</v>
      </c>
      <c r="D695" s="2020">
        <v>1388372</v>
      </c>
      <c r="E695" s="2020">
        <v>87968</v>
      </c>
      <c r="F695" s="2825">
        <v>12</v>
      </c>
      <c r="G695" s="1417">
        <v>0</v>
      </c>
    </row>
    <row r="696" spans="1:11">
      <c r="A696" t="s">
        <v>2671</v>
      </c>
      <c r="B696" t="s">
        <v>1762</v>
      </c>
      <c r="C696" s="1417">
        <v>0.99670000000000003</v>
      </c>
      <c r="D696" s="2020">
        <v>486991</v>
      </c>
      <c r="E696" s="2020">
        <v>0</v>
      </c>
      <c r="F696" s="2825">
        <v>12</v>
      </c>
      <c r="G696" s="1417">
        <v>0</v>
      </c>
    </row>
    <row r="697" spans="1:11">
      <c r="A697" t="s">
        <v>2672</v>
      </c>
      <c r="B697" t="s">
        <v>1763</v>
      </c>
      <c r="C697" s="1417">
        <v>0.9</v>
      </c>
      <c r="D697" s="2020">
        <v>232946</v>
      </c>
      <c r="E697" s="2020">
        <v>0</v>
      </c>
      <c r="F697" s="2825">
        <v>12</v>
      </c>
      <c r="G697" s="1417">
        <v>0</v>
      </c>
    </row>
    <row r="698" spans="1:11">
      <c r="A698" t="s">
        <v>1990</v>
      </c>
      <c r="B698" t="s">
        <v>73</v>
      </c>
      <c r="C698" s="1417">
        <v>1.04</v>
      </c>
      <c r="D698" s="2020">
        <v>194423</v>
      </c>
      <c r="E698" s="2020">
        <v>7415</v>
      </c>
      <c r="F698" s="2825">
        <v>12</v>
      </c>
      <c r="G698" s="1417">
        <v>0</v>
      </c>
    </row>
    <row r="699" spans="1:11">
      <c r="A699" t="s">
        <v>2673</v>
      </c>
      <c r="B699" t="s">
        <v>1764</v>
      </c>
      <c r="C699" s="1417">
        <v>1.17</v>
      </c>
      <c r="D699" s="2020">
        <v>2897353</v>
      </c>
      <c r="E699" s="2020">
        <v>0</v>
      </c>
      <c r="F699" s="2825">
        <v>12</v>
      </c>
      <c r="G699" s="1417">
        <v>0</v>
      </c>
    </row>
    <row r="700" spans="1:11">
      <c r="A700" t="s">
        <v>2674</v>
      </c>
      <c r="B700" t="s">
        <v>1765</v>
      </c>
      <c r="C700" s="1417">
        <v>1.17</v>
      </c>
      <c r="D700" s="2020">
        <v>325614</v>
      </c>
      <c r="E700" s="2020">
        <v>0</v>
      </c>
      <c r="F700" s="2825">
        <v>12</v>
      </c>
      <c r="G700" s="1417">
        <v>0</v>
      </c>
    </row>
    <row r="701" spans="1:11">
      <c r="A701" t="s">
        <v>1486</v>
      </c>
      <c r="B701" t="s">
        <v>1766</v>
      </c>
      <c r="C701" s="1417">
        <v>1</v>
      </c>
      <c r="D701" s="2020">
        <v>3358021</v>
      </c>
      <c r="E701" s="2020">
        <v>0</v>
      </c>
      <c r="F701" s="2825">
        <v>12</v>
      </c>
      <c r="G701" s="1417">
        <v>0</v>
      </c>
      <c r="H701" s="1665">
        <v>1008659</v>
      </c>
      <c r="I701" s="1665">
        <v>546232</v>
      </c>
      <c r="J701" s="1417">
        <v>193</v>
      </c>
      <c r="K701" s="1665">
        <v>177538470</v>
      </c>
    </row>
    <row r="702" spans="1:11">
      <c r="A702" t="s">
        <v>1318</v>
      </c>
      <c r="B702" t="s">
        <v>1366</v>
      </c>
      <c r="C702" s="1417">
        <v>1.02</v>
      </c>
      <c r="D702" s="2020">
        <v>5052579</v>
      </c>
      <c r="E702" s="2020">
        <v>0</v>
      </c>
      <c r="F702" s="2825">
        <v>12</v>
      </c>
      <c r="G702" s="1417">
        <v>0</v>
      </c>
    </row>
    <row r="703" spans="1:11">
      <c r="A703" t="s">
        <v>1432</v>
      </c>
      <c r="B703" t="s">
        <v>1367</v>
      </c>
      <c r="C703" s="1417">
        <v>1.04</v>
      </c>
      <c r="D703" s="2020">
        <v>1726005</v>
      </c>
      <c r="E703" s="2020">
        <v>0</v>
      </c>
      <c r="F703" s="2825">
        <v>12</v>
      </c>
      <c r="G703" s="1417">
        <v>0</v>
      </c>
    </row>
    <row r="704" spans="1:11">
      <c r="A704" t="s">
        <v>804</v>
      </c>
      <c r="B704" t="s">
        <v>1368</v>
      </c>
      <c r="C704" s="1417">
        <v>1.04</v>
      </c>
      <c r="D704" s="2020">
        <v>606998</v>
      </c>
      <c r="E704" s="2020">
        <v>111091</v>
      </c>
      <c r="F704" s="2825">
        <v>12</v>
      </c>
      <c r="G704" s="1417">
        <v>0</v>
      </c>
    </row>
    <row r="705" spans="1:11">
      <c r="A705" t="s">
        <v>1495</v>
      </c>
      <c r="B705" t="s">
        <v>2245</v>
      </c>
      <c r="C705" s="1417">
        <v>1.04</v>
      </c>
      <c r="D705" s="2020">
        <v>254343</v>
      </c>
      <c r="E705" s="2020">
        <v>0</v>
      </c>
      <c r="F705" s="2825">
        <v>8</v>
      </c>
      <c r="G705" s="1417">
        <v>0</v>
      </c>
    </row>
    <row r="706" spans="1:11">
      <c r="A706" t="s">
        <v>1496</v>
      </c>
      <c r="B706" t="s">
        <v>2246</v>
      </c>
      <c r="C706" s="1417">
        <v>1.04</v>
      </c>
      <c r="D706" s="2020">
        <v>1063708</v>
      </c>
      <c r="E706" s="2020">
        <v>0</v>
      </c>
      <c r="F706" s="2825">
        <v>12</v>
      </c>
      <c r="G706" s="1417">
        <v>0</v>
      </c>
      <c r="H706" s="1665">
        <v>101626</v>
      </c>
      <c r="I706" s="1665">
        <v>599035</v>
      </c>
      <c r="J706" s="1417">
        <v>186</v>
      </c>
      <c r="K706" s="1665">
        <v>31812935</v>
      </c>
    </row>
    <row r="707" spans="1:11">
      <c r="A707" t="s">
        <v>1272</v>
      </c>
      <c r="B707" t="s">
        <v>2247</v>
      </c>
      <c r="C707" s="1417">
        <v>1.04</v>
      </c>
      <c r="D707" s="2020">
        <v>521775</v>
      </c>
      <c r="E707" s="2020">
        <v>43239</v>
      </c>
      <c r="F707" s="2825">
        <v>12</v>
      </c>
      <c r="G707" s="1417">
        <v>0</v>
      </c>
    </row>
    <row r="708" spans="1:11">
      <c r="A708" t="s">
        <v>1531</v>
      </c>
      <c r="B708" t="s">
        <v>2248</v>
      </c>
      <c r="C708" s="1417">
        <v>1.17</v>
      </c>
      <c r="D708" s="2020">
        <v>1297699</v>
      </c>
      <c r="E708" s="2020">
        <v>141525</v>
      </c>
      <c r="F708" s="2825">
        <v>12</v>
      </c>
      <c r="G708" s="1417">
        <v>0</v>
      </c>
    </row>
    <row r="709" spans="1:11">
      <c r="A709" t="s">
        <v>2311</v>
      </c>
      <c r="B709" t="s">
        <v>1553</v>
      </c>
      <c r="C709" s="1417">
        <v>1.03</v>
      </c>
      <c r="D709" s="2020">
        <v>178845612</v>
      </c>
      <c r="E709" s="2020">
        <v>40675630</v>
      </c>
      <c r="F709" s="2825">
        <v>12</v>
      </c>
      <c r="G709" s="1417">
        <v>0</v>
      </c>
    </row>
    <row r="710" spans="1:11">
      <c r="A710" t="s">
        <v>1532</v>
      </c>
      <c r="B710" t="s">
        <v>2249</v>
      </c>
      <c r="C710" s="1417">
        <v>1.04</v>
      </c>
      <c r="D710" s="2020">
        <v>31093567</v>
      </c>
      <c r="E710" s="2020">
        <v>5227443</v>
      </c>
      <c r="F710" s="2825">
        <v>12</v>
      </c>
      <c r="G710" s="1417">
        <v>0</v>
      </c>
      <c r="H710" s="1665">
        <v>3682795</v>
      </c>
      <c r="I710" s="1665">
        <v>6043017</v>
      </c>
      <c r="J710" s="1665">
        <v>2385</v>
      </c>
      <c r="K710" s="1665">
        <v>609617338</v>
      </c>
    </row>
    <row r="711" spans="1:11">
      <c r="A711" t="s">
        <v>1182</v>
      </c>
      <c r="B711" t="s">
        <v>1127</v>
      </c>
      <c r="C711" s="1417">
        <v>1.026</v>
      </c>
      <c r="D711" s="2020">
        <v>18099290</v>
      </c>
      <c r="E711" s="2020">
        <v>3695561</v>
      </c>
      <c r="F711" s="2825">
        <v>12</v>
      </c>
      <c r="G711" s="1417">
        <v>0</v>
      </c>
    </row>
    <row r="712" spans="1:11">
      <c r="A712" t="s">
        <v>346</v>
      </c>
      <c r="B712" t="s">
        <v>288</v>
      </c>
      <c r="C712" s="1417">
        <v>1.04</v>
      </c>
      <c r="D712" s="2020">
        <v>29480551</v>
      </c>
      <c r="E712" s="2020">
        <v>7667704</v>
      </c>
      <c r="F712" s="2825">
        <v>12</v>
      </c>
      <c r="G712" s="1417">
        <v>0</v>
      </c>
    </row>
    <row r="713" spans="1:11">
      <c r="A713" t="s">
        <v>1508</v>
      </c>
      <c r="B713" t="s">
        <v>1935</v>
      </c>
      <c r="C713" s="1417">
        <v>1.04</v>
      </c>
      <c r="D713" s="2020">
        <v>3298509</v>
      </c>
      <c r="E713" s="2020">
        <v>466053</v>
      </c>
      <c r="F713" s="2825">
        <v>12</v>
      </c>
      <c r="G713" s="1417">
        <v>0</v>
      </c>
    </row>
    <row r="714" spans="1:11">
      <c r="A714" t="s">
        <v>703</v>
      </c>
      <c r="B714" t="s">
        <v>1142</v>
      </c>
      <c r="C714" s="1417">
        <v>1.04</v>
      </c>
      <c r="D714" s="2020">
        <v>17650109</v>
      </c>
      <c r="E714" s="2020">
        <v>3791711</v>
      </c>
      <c r="F714" s="2825">
        <v>12</v>
      </c>
      <c r="G714" s="1417">
        <v>0</v>
      </c>
    </row>
    <row r="715" spans="1:11">
      <c r="A715" t="s">
        <v>1868</v>
      </c>
      <c r="B715" t="s">
        <v>2250</v>
      </c>
      <c r="C715" s="1417">
        <v>1.04</v>
      </c>
      <c r="D715" s="2020">
        <v>19260804</v>
      </c>
      <c r="E715" s="2020">
        <v>546288</v>
      </c>
      <c r="F715" s="2825">
        <v>12</v>
      </c>
      <c r="G715" s="1417">
        <v>0</v>
      </c>
      <c r="H715" s="1665">
        <v>3224913</v>
      </c>
      <c r="I715" s="1665">
        <v>9714972</v>
      </c>
      <c r="J715" s="1665">
        <v>4193</v>
      </c>
      <c r="K715" s="1665">
        <v>1157095395</v>
      </c>
    </row>
    <row r="716" spans="1:11">
      <c r="A716" t="s">
        <v>1869</v>
      </c>
      <c r="B716" t="s">
        <v>2251</v>
      </c>
      <c r="C716" s="1417">
        <v>1.04</v>
      </c>
      <c r="D716" s="2020">
        <v>3531321</v>
      </c>
      <c r="E716" s="2020">
        <v>358482</v>
      </c>
      <c r="F716" s="2825">
        <v>12</v>
      </c>
      <c r="G716" s="1417">
        <v>0</v>
      </c>
      <c r="H716" s="1665">
        <v>845268</v>
      </c>
      <c r="I716" s="1665">
        <v>1868922</v>
      </c>
      <c r="J716" s="1417">
        <v>804</v>
      </c>
      <c r="K716" s="1665">
        <v>184924650</v>
      </c>
    </row>
    <row r="717" spans="1:11">
      <c r="A717" t="s">
        <v>1870</v>
      </c>
      <c r="B717" t="s">
        <v>2252</v>
      </c>
      <c r="C717" s="1417">
        <v>1.04</v>
      </c>
      <c r="D717" s="2020">
        <v>8622141</v>
      </c>
      <c r="E717" s="2020">
        <v>850349</v>
      </c>
      <c r="F717" s="2825">
        <v>12</v>
      </c>
      <c r="G717" s="1417">
        <v>0</v>
      </c>
      <c r="H717" s="1665">
        <v>3186454</v>
      </c>
      <c r="I717" s="1665">
        <v>5386091</v>
      </c>
      <c r="J717" s="1665">
        <v>2280</v>
      </c>
      <c r="K717" s="1665">
        <v>665015929</v>
      </c>
    </row>
    <row r="718" spans="1:11">
      <c r="A718" t="s">
        <v>1871</v>
      </c>
      <c r="B718" t="s">
        <v>2628</v>
      </c>
      <c r="C718" s="1417">
        <v>1.04</v>
      </c>
      <c r="D718" s="2020">
        <v>1834132</v>
      </c>
      <c r="E718" s="2020">
        <v>215605</v>
      </c>
      <c r="F718" s="2825">
        <v>12</v>
      </c>
      <c r="G718" s="1417">
        <v>0</v>
      </c>
    </row>
    <row r="719" spans="1:11">
      <c r="A719" t="s">
        <v>2353</v>
      </c>
      <c r="B719" t="s">
        <v>2254</v>
      </c>
      <c r="C719" s="1417">
        <v>1.17</v>
      </c>
      <c r="D719" s="2020">
        <v>838300</v>
      </c>
      <c r="E719" s="2020">
        <v>0</v>
      </c>
      <c r="F719" s="2825">
        <v>12</v>
      </c>
      <c r="G719" s="1417">
        <v>0</v>
      </c>
    </row>
    <row r="720" spans="1:11">
      <c r="A720" t="s">
        <v>704</v>
      </c>
      <c r="B720" t="s">
        <v>1161</v>
      </c>
      <c r="C720" s="1417">
        <v>1.04</v>
      </c>
      <c r="D720" s="2020">
        <v>436327</v>
      </c>
      <c r="E720" s="2020">
        <v>23155</v>
      </c>
      <c r="F720" s="2825">
        <v>12</v>
      </c>
      <c r="G720" s="1417">
        <v>0</v>
      </c>
    </row>
    <row r="721" spans="1:11">
      <c r="A721" t="s">
        <v>524</v>
      </c>
      <c r="B721" t="s">
        <v>2255</v>
      </c>
      <c r="C721" s="1417">
        <v>1.04</v>
      </c>
      <c r="D721" s="2020">
        <v>4340001</v>
      </c>
      <c r="E721" s="2020">
        <v>0</v>
      </c>
      <c r="F721" s="2825">
        <v>12</v>
      </c>
      <c r="G721" s="1417">
        <v>0</v>
      </c>
      <c r="H721" s="1665">
        <v>597062</v>
      </c>
      <c r="I721" s="1665">
        <v>1621229</v>
      </c>
      <c r="J721" s="1417">
        <v>688</v>
      </c>
      <c r="K721" s="1665">
        <v>159652072</v>
      </c>
    </row>
    <row r="722" spans="1:11">
      <c r="A722" t="s">
        <v>705</v>
      </c>
      <c r="B722" t="s">
        <v>453</v>
      </c>
      <c r="C722" s="1417">
        <v>0.99329999999999996</v>
      </c>
      <c r="D722" s="2020">
        <v>2438535</v>
      </c>
      <c r="E722" s="2020">
        <v>141653</v>
      </c>
      <c r="F722" s="2825">
        <v>12</v>
      </c>
      <c r="G722" s="1417">
        <v>0</v>
      </c>
    </row>
    <row r="723" spans="1:11">
      <c r="A723" t="s">
        <v>525</v>
      </c>
      <c r="B723" t="s">
        <v>2256</v>
      </c>
      <c r="C723" s="1417">
        <v>1.17</v>
      </c>
      <c r="D723" s="2020">
        <v>19461747</v>
      </c>
      <c r="E723" s="2020">
        <v>3118246</v>
      </c>
      <c r="F723" s="2825">
        <v>12</v>
      </c>
      <c r="G723" s="1417">
        <v>0</v>
      </c>
    </row>
    <row r="724" spans="1:11">
      <c r="A724" t="s">
        <v>376</v>
      </c>
      <c r="B724" t="s">
        <v>1130</v>
      </c>
      <c r="C724" s="1417">
        <v>1.04</v>
      </c>
      <c r="D724" s="2020">
        <v>1148857</v>
      </c>
      <c r="E724" s="2020">
        <v>26036</v>
      </c>
      <c r="F724" s="2825">
        <v>12</v>
      </c>
      <c r="G724" s="1417">
        <v>0</v>
      </c>
    </row>
    <row r="725" spans="1:11">
      <c r="A725" t="s">
        <v>526</v>
      </c>
      <c r="B725" t="s">
        <v>2257</v>
      </c>
      <c r="C725" s="1417">
        <v>1.04</v>
      </c>
      <c r="D725" s="2020">
        <v>1007225</v>
      </c>
      <c r="E725" s="2020">
        <v>0</v>
      </c>
      <c r="F725" s="2825">
        <v>12</v>
      </c>
      <c r="G725" s="1417">
        <v>0</v>
      </c>
    </row>
    <row r="726" spans="1:11">
      <c r="A726" t="s">
        <v>527</v>
      </c>
      <c r="B726" t="s">
        <v>2258</v>
      </c>
      <c r="C726" s="1417">
        <v>1.04</v>
      </c>
      <c r="D726" s="2020">
        <v>531685</v>
      </c>
      <c r="E726" s="2020">
        <v>33797</v>
      </c>
      <c r="F726" s="2825">
        <v>12</v>
      </c>
      <c r="G726" s="1417">
        <v>0</v>
      </c>
    </row>
    <row r="727" spans="1:11">
      <c r="A727" t="s">
        <v>774</v>
      </c>
      <c r="B727" t="s">
        <v>891</v>
      </c>
      <c r="C727" s="1417">
        <v>1.04</v>
      </c>
      <c r="D727" s="2020">
        <v>402097</v>
      </c>
      <c r="E727" s="2020">
        <v>0</v>
      </c>
      <c r="F727" s="2825">
        <v>8</v>
      </c>
      <c r="G727" s="1417">
        <v>0</v>
      </c>
    </row>
    <row r="728" spans="1:11">
      <c r="A728" t="s">
        <v>528</v>
      </c>
      <c r="B728" t="s">
        <v>2259</v>
      </c>
      <c r="C728" s="1417">
        <v>1.04</v>
      </c>
      <c r="D728" s="2020">
        <v>1904353</v>
      </c>
      <c r="E728" s="2020">
        <v>0</v>
      </c>
      <c r="F728" s="2825">
        <v>12</v>
      </c>
      <c r="G728" s="1417">
        <v>0</v>
      </c>
      <c r="H728" s="1417">
        <v>0</v>
      </c>
      <c r="I728" s="1665">
        <v>961029</v>
      </c>
      <c r="J728" s="1417">
        <v>355</v>
      </c>
      <c r="K728" s="1665">
        <v>34374367</v>
      </c>
    </row>
    <row r="729" spans="1:11">
      <c r="A729" t="s">
        <v>529</v>
      </c>
      <c r="B729" t="s">
        <v>307</v>
      </c>
      <c r="C729" s="1417">
        <v>1.04</v>
      </c>
      <c r="D729" s="2020">
        <v>1161154</v>
      </c>
      <c r="E729" s="2020">
        <v>80205</v>
      </c>
      <c r="F729" s="2825">
        <v>12</v>
      </c>
      <c r="G729" s="1417">
        <v>0</v>
      </c>
    </row>
    <row r="730" spans="1:11">
      <c r="A730" t="s">
        <v>2400</v>
      </c>
      <c r="B730" t="s">
        <v>1101</v>
      </c>
      <c r="C730" s="1417">
        <v>1.04</v>
      </c>
      <c r="D730" s="2020">
        <v>13628700</v>
      </c>
      <c r="E730" s="2020">
        <v>2344944</v>
      </c>
      <c r="F730" s="2825">
        <v>12</v>
      </c>
      <c r="G730" s="1417">
        <v>0</v>
      </c>
    </row>
    <row r="731" spans="1:11">
      <c r="A731" t="s">
        <v>2407</v>
      </c>
      <c r="B731" t="s">
        <v>2663</v>
      </c>
      <c r="C731" s="1417">
        <v>1.04</v>
      </c>
      <c r="D731" s="2020">
        <v>822884</v>
      </c>
      <c r="E731" s="2020">
        <v>188110</v>
      </c>
      <c r="F731" s="2825">
        <v>12</v>
      </c>
      <c r="G731" s="1417">
        <v>0</v>
      </c>
    </row>
    <row r="732" spans="1:11">
      <c r="A732" t="s">
        <v>19</v>
      </c>
      <c r="B732" t="s">
        <v>308</v>
      </c>
      <c r="C732" s="1417">
        <v>1.04</v>
      </c>
      <c r="D732" s="2020">
        <v>608531</v>
      </c>
      <c r="E732" s="2020">
        <v>45911</v>
      </c>
      <c r="F732" s="2825">
        <v>12</v>
      </c>
      <c r="G732" s="1417">
        <v>0</v>
      </c>
    </row>
    <row r="733" spans="1:11">
      <c r="A733" t="s">
        <v>706</v>
      </c>
      <c r="B733" t="s">
        <v>2517</v>
      </c>
      <c r="C733" s="1417">
        <v>1.03</v>
      </c>
      <c r="D733" s="2020">
        <v>1706692</v>
      </c>
      <c r="E733" s="2020">
        <v>92073</v>
      </c>
      <c r="F733" s="2825">
        <v>12</v>
      </c>
      <c r="G733" s="1417">
        <v>0</v>
      </c>
    </row>
    <row r="734" spans="1:11">
      <c r="A734" t="s">
        <v>20</v>
      </c>
      <c r="B734" t="s">
        <v>309</v>
      </c>
      <c r="C734" s="1417">
        <v>0.92469999999999997</v>
      </c>
      <c r="D734" s="2020">
        <v>2924377</v>
      </c>
      <c r="E734" s="2020">
        <v>225290</v>
      </c>
      <c r="F734" s="2825">
        <v>12</v>
      </c>
      <c r="G734" s="1417">
        <v>0</v>
      </c>
    </row>
    <row r="735" spans="1:11">
      <c r="A735" t="s">
        <v>2085</v>
      </c>
      <c r="B735" t="s">
        <v>80</v>
      </c>
      <c r="C735" s="1417">
        <v>1.04</v>
      </c>
      <c r="D735" s="2020">
        <v>726276</v>
      </c>
      <c r="E735" s="2020">
        <v>105897</v>
      </c>
      <c r="F735" s="2825">
        <v>12</v>
      </c>
      <c r="G735" s="1417">
        <v>0</v>
      </c>
    </row>
    <row r="736" spans="1:11">
      <c r="A736" t="s">
        <v>21</v>
      </c>
      <c r="B736" t="s">
        <v>310</v>
      </c>
      <c r="C736" s="1417">
        <v>1.04</v>
      </c>
      <c r="D736" s="2020">
        <v>1489715</v>
      </c>
      <c r="E736" s="2020">
        <v>247328</v>
      </c>
      <c r="F736" s="2825">
        <v>12</v>
      </c>
      <c r="G736" s="1417">
        <v>0</v>
      </c>
    </row>
    <row r="737" spans="1:11">
      <c r="A737" t="s">
        <v>1021</v>
      </c>
      <c r="B737" t="s">
        <v>2286</v>
      </c>
      <c r="C737" s="1417">
        <v>0.99119999999999997</v>
      </c>
      <c r="D737" s="2020">
        <v>2151687</v>
      </c>
      <c r="E737" s="2020">
        <v>331363</v>
      </c>
      <c r="F737" s="2825">
        <v>12</v>
      </c>
      <c r="G737" s="1417">
        <v>0</v>
      </c>
    </row>
    <row r="738" spans="1:11">
      <c r="A738" t="s">
        <v>1991</v>
      </c>
      <c r="B738" t="s">
        <v>2670</v>
      </c>
      <c r="C738" s="1417">
        <v>1.04</v>
      </c>
      <c r="D738" s="2020">
        <v>3989523</v>
      </c>
      <c r="E738" s="2020">
        <v>660876</v>
      </c>
      <c r="F738" s="2825">
        <v>12</v>
      </c>
      <c r="G738" s="1417">
        <v>0</v>
      </c>
      <c r="H738" s="1665">
        <v>533218</v>
      </c>
      <c r="I738" s="1665">
        <v>2390303</v>
      </c>
      <c r="J738" s="1665">
        <v>1069</v>
      </c>
      <c r="K738" s="1665">
        <v>105825093</v>
      </c>
    </row>
    <row r="739" spans="1:11">
      <c r="A739" t="s">
        <v>1543</v>
      </c>
      <c r="B739" t="s">
        <v>609</v>
      </c>
      <c r="C739" s="1417">
        <v>1.17</v>
      </c>
      <c r="D739" s="2020">
        <v>762061</v>
      </c>
      <c r="E739" s="2020">
        <v>52877</v>
      </c>
      <c r="F739" s="2825">
        <v>12</v>
      </c>
      <c r="G739" s="1417">
        <v>0</v>
      </c>
    </row>
    <row r="740" spans="1:11">
      <c r="A740" t="s">
        <v>1878</v>
      </c>
      <c r="B740" t="s">
        <v>311</v>
      </c>
      <c r="C740" s="1417">
        <v>1.04</v>
      </c>
      <c r="D740" s="2020">
        <v>4675528</v>
      </c>
      <c r="E740" s="2020">
        <v>397763</v>
      </c>
      <c r="F740" s="2825">
        <v>12</v>
      </c>
      <c r="G740" s="1417">
        <v>0</v>
      </c>
    </row>
    <row r="741" spans="1:11">
      <c r="A741" t="s">
        <v>2309</v>
      </c>
      <c r="B741" t="s">
        <v>2328</v>
      </c>
      <c r="C741" s="1417">
        <v>1.04</v>
      </c>
      <c r="D741" s="2020">
        <v>9119445</v>
      </c>
      <c r="E741" s="2020">
        <v>327426</v>
      </c>
      <c r="F741" s="2825">
        <v>12</v>
      </c>
      <c r="G741" s="1417">
        <v>0</v>
      </c>
      <c r="H741" s="1665">
        <v>450262</v>
      </c>
      <c r="I741" s="1665">
        <v>788366</v>
      </c>
      <c r="J741" s="1417">
        <v>337</v>
      </c>
      <c r="K741" s="1665">
        <v>87310462</v>
      </c>
    </row>
    <row r="742" spans="1:11">
      <c r="A742" t="s">
        <v>424</v>
      </c>
      <c r="B742" t="s">
        <v>313</v>
      </c>
      <c r="C742" s="1417">
        <v>1.1599999999999999</v>
      </c>
      <c r="D742" s="2020">
        <v>1954073</v>
      </c>
      <c r="E742" s="2020">
        <v>97638</v>
      </c>
      <c r="F742" s="2825">
        <v>12</v>
      </c>
      <c r="G742" s="1417">
        <v>0</v>
      </c>
      <c r="H742" s="1665">
        <v>317533</v>
      </c>
      <c r="I742" s="1665">
        <v>619584</v>
      </c>
      <c r="J742" s="1417">
        <v>143</v>
      </c>
      <c r="K742" s="1665">
        <v>44286780</v>
      </c>
    </row>
    <row r="743" spans="1:11">
      <c r="A743" t="s">
        <v>2498</v>
      </c>
      <c r="B743" t="s">
        <v>314</v>
      </c>
      <c r="C743" s="1417">
        <v>1.04</v>
      </c>
      <c r="D743" s="2020">
        <v>1108518</v>
      </c>
      <c r="E743" s="2020">
        <v>214529</v>
      </c>
      <c r="F743" s="2825">
        <v>12</v>
      </c>
      <c r="G743" s="1417">
        <v>0</v>
      </c>
    </row>
    <row r="744" spans="1:11">
      <c r="A744" t="s">
        <v>1172</v>
      </c>
      <c r="B744" t="s">
        <v>2329</v>
      </c>
      <c r="C744" s="1417">
        <v>1.0266999999999999</v>
      </c>
      <c r="D744" s="2020">
        <v>5073365</v>
      </c>
      <c r="E744" s="2020">
        <v>741982</v>
      </c>
      <c r="F744" s="2825">
        <v>12</v>
      </c>
      <c r="G744" s="1417">
        <v>0</v>
      </c>
    </row>
    <row r="745" spans="1:11">
      <c r="A745" t="s">
        <v>1173</v>
      </c>
      <c r="B745" t="s">
        <v>316</v>
      </c>
      <c r="C745" s="1417">
        <v>1.04</v>
      </c>
      <c r="D745" s="2020">
        <v>12368543</v>
      </c>
      <c r="E745" s="2020">
        <v>651961</v>
      </c>
      <c r="F745" s="2825">
        <v>12</v>
      </c>
      <c r="G745" s="1417">
        <v>0</v>
      </c>
    </row>
    <row r="746" spans="1:11">
      <c r="A746" t="s">
        <v>2399</v>
      </c>
      <c r="B746" t="s">
        <v>1100</v>
      </c>
      <c r="C746" s="1417">
        <v>1.04</v>
      </c>
      <c r="D746" s="2020">
        <v>106002501</v>
      </c>
      <c r="E746" s="2020">
        <v>10004755</v>
      </c>
      <c r="F746" s="2825">
        <v>12</v>
      </c>
      <c r="G746" s="1417">
        <v>0</v>
      </c>
    </row>
    <row r="747" spans="1:11">
      <c r="A747" t="s">
        <v>570</v>
      </c>
      <c r="B747" t="s">
        <v>317</v>
      </c>
      <c r="C747" s="1417">
        <v>1.04</v>
      </c>
      <c r="D747" s="2020">
        <v>1278090</v>
      </c>
      <c r="E747" s="2020">
        <v>313689</v>
      </c>
      <c r="F747" s="2825">
        <v>8</v>
      </c>
      <c r="G747" s="1417">
        <v>0</v>
      </c>
    </row>
    <row r="748" spans="1:11">
      <c r="A748" t="s">
        <v>579</v>
      </c>
      <c r="B748" t="s">
        <v>318</v>
      </c>
      <c r="C748" s="1417">
        <v>0.9</v>
      </c>
      <c r="D748" s="2020">
        <v>1919889</v>
      </c>
      <c r="E748" s="2020">
        <v>229156</v>
      </c>
      <c r="F748" s="2825">
        <v>8</v>
      </c>
      <c r="G748" s="1417">
        <v>0</v>
      </c>
      <c r="H748" s="1665">
        <v>256431</v>
      </c>
      <c r="I748" s="1665">
        <v>536081</v>
      </c>
      <c r="J748" s="1417">
        <v>121</v>
      </c>
      <c r="K748" s="1665">
        <v>41075069</v>
      </c>
    </row>
    <row r="749" spans="1:11">
      <c r="A749" t="s">
        <v>580</v>
      </c>
      <c r="B749" t="s">
        <v>319</v>
      </c>
      <c r="C749" s="1417">
        <v>1.0133000000000001</v>
      </c>
      <c r="D749" s="2020">
        <v>17477758</v>
      </c>
      <c r="E749" s="2020">
        <v>800801</v>
      </c>
      <c r="F749" s="2825">
        <v>12</v>
      </c>
      <c r="G749" s="1417">
        <v>0</v>
      </c>
      <c r="H749" s="1665">
        <v>1072009</v>
      </c>
      <c r="I749" s="1665">
        <v>1501927</v>
      </c>
      <c r="J749" s="1417">
        <v>647</v>
      </c>
      <c r="K749" s="1665">
        <v>348789017</v>
      </c>
    </row>
    <row r="750" spans="1:11">
      <c r="A750" t="s">
        <v>165</v>
      </c>
      <c r="B750" t="s">
        <v>2699</v>
      </c>
      <c r="C750" s="1417">
        <v>1.04</v>
      </c>
      <c r="D750" s="2020">
        <v>2956075</v>
      </c>
      <c r="E750" s="2020">
        <v>529957</v>
      </c>
      <c r="F750" s="2825">
        <v>12</v>
      </c>
      <c r="G750" s="1417">
        <v>0</v>
      </c>
    </row>
    <row r="751" spans="1:11">
      <c r="A751" t="s">
        <v>767</v>
      </c>
      <c r="B751" t="s">
        <v>320</v>
      </c>
      <c r="C751" s="1417">
        <v>1.04</v>
      </c>
      <c r="D751" s="2020">
        <v>14423299</v>
      </c>
      <c r="E751" s="2020">
        <v>2788345</v>
      </c>
      <c r="F751" s="2825">
        <v>12</v>
      </c>
      <c r="G751" s="1417">
        <v>0</v>
      </c>
    </row>
    <row r="752" spans="1:11">
      <c r="A752" t="s">
        <v>964</v>
      </c>
      <c r="B752" t="s">
        <v>321</v>
      </c>
      <c r="C752" s="1417">
        <v>1.04</v>
      </c>
      <c r="D752" s="2020">
        <v>2122595</v>
      </c>
      <c r="E752" s="2020">
        <v>538259</v>
      </c>
      <c r="F752" s="2825">
        <v>12</v>
      </c>
      <c r="G752" s="1417">
        <v>0</v>
      </c>
    </row>
    <row r="753" spans="1:11">
      <c r="A753" t="s">
        <v>2138</v>
      </c>
      <c r="B753" t="s">
        <v>322</v>
      </c>
      <c r="C753" s="1417">
        <v>1.04</v>
      </c>
      <c r="D753" s="2020">
        <v>21690840</v>
      </c>
      <c r="E753" s="2020">
        <v>513423</v>
      </c>
      <c r="F753" s="2825">
        <v>12</v>
      </c>
      <c r="G753" s="1417">
        <v>0</v>
      </c>
    </row>
    <row r="754" spans="1:11">
      <c r="A754" t="s">
        <v>2139</v>
      </c>
      <c r="B754" t="s">
        <v>323</v>
      </c>
      <c r="C754" s="1417">
        <v>1.04</v>
      </c>
      <c r="D754" s="2020">
        <v>5234823</v>
      </c>
      <c r="E754" s="2020">
        <v>1051272</v>
      </c>
      <c r="F754" s="2825">
        <v>12</v>
      </c>
      <c r="G754" s="1417">
        <v>0</v>
      </c>
    </row>
    <row r="755" spans="1:11">
      <c r="A755" t="s">
        <v>209</v>
      </c>
      <c r="B755" t="s">
        <v>996</v>
      </c>
      <c r="C755" s="1417">
        <v>1.04</v>
      </c>
      <c r="D755" s="2020">
        <v>8402747</v>
      </c>
      <c r="E755" s="2020">
        <v>440550</v>
      </c>
      <c r="F755" s="2825">
        <v>12</v>
      </c>
      <c r="G755" s="1417">
        <v>0</v>
      </c>
    </row>
    <row r="756" spans="1:11">
      <c r="A756" t="s">
        <v>971</v>
      </c>
      <c r="B756" t="s">
        <v>324</v>
      </c>
      <c r="C756" s="1417">
        <v>1.04</v>
      </c>
      <c r="D756" s="2020">
        <v>1074441</v>
      </c>
      <c r="E756" s="2020">
        <v>0</v>
      </c>
      <c r="F756" s="2825">
        <v>12</v>
      </c>
      <c r="G756" s="1417">
        <v>0</v>
      </c>
    </row>
    <row r="757" spans="1:11">
      <c r="A757" t="s">
        <v>972</v>
      </c>
      <c r="B757" t="s">
        <v>325</v>
      </c>
      <c r="C757" s="1417">
        <v>1.04</v>
      </c>
      <c r="D757" s="2020">
        <v>387405</v>
      </c>
      <c r="E757" s="2020">
        <v>0</v>
      </c>
      <c r="F757" s="2825">
        <v>12</v>
      </c>
      <c r="G757" s="1417">
        <v>0</v>
      </c>
    </row>
    <row r="758" spans="1:11">
      <c r="A758" t="s">
        <v>973</v>
      </c>
      <c r="B758" t="s">
        <v>326</v>
      </c>
      <c r="C758" s="1417">
        <v>1.04</v>
      </c>
      <c r="D758" s="2020">
        <v>367423</v>
      </c>
      <c r="E758" s="2020">
        <v>0</v>
      </c>
      <c r="F758" s="2825">
        <v>6</v>
      </c>
      <c r="G758" s="1417">
        <v>0</v>
      </c>
    </row>
    <row r="759" spans="1:11">
      <c r="A759" t="s">
        <v>1951</v>
      </c>
      <c r="B759" t="s">
        <v>1855</v>
      </c>
      <c r="C759" s="1417">
        <v>1.04</v>
      </c>
      <c r="D759" s="2020">
        <v>7510004</v>
      </c>
      <c r="E759" s="2020">
        <v>1167158</v>
      </c>
      <c r="F759" s="2825">
        <v>12</v>
      </c>
      <c r="G759" s="1417">
        <v>0</v>
      </c>
    </row>
    <row r="760" spans="1:11">
      <c r="A760" t="s">
        <v>974</v>
      </c>
      <c r="B760" t="s">
        <v>327</v>
      </c>
      <c r="C760" s="1417">
        <v>1.04</v>
      </c>
      <c r="D760" s="2020">
        <v>3462146</v>
      </c>
      <c r="E760" s="2020">
        <v>346377</v>
      </c>
      <c r="F760" s="2825">
        <v>12</v>
      </c>
      <c r="G760" s="1417">
        <v>0</v>
      </c>
    </row>
    <row r="761" spans="1:11">
      <c r="A761" t="s">
        <v>975</v>
      </c>
      <c r="B761" t="s">
        <v>2330</v>
      </c>
      <c r="C761" s="1417">
        <v>1.04</v>
      </c>
      <c r="D761" s="2020">
        <v>16218124</v>
      </c>
      <c r="E761" s="2020">
        <v>1214178</v>
      </c>
      <c r="F761" s="2825">
        <v>12</v>
      </c>
      <c r="G761" s="1417">
        <v>0</v>
      </c>
      <c r="H761" s="1665">
        <v>6703706</v>
      </c>
      <c r="I761" s="1665">
        <v>10197068</v>
      </c>
      <c r="J761" s="1665">
        <v>4379</v>
      </c>
      <c r="K761" s="1665">
        <v>1373978114</v>
      </c>
    </row>
    <row r="762" spans="1:11">
      <c r="A762" t="s">
        <v>1466</v>
      </c>
      <c r="B762" t="s">
        <v>135</v>
      </c>
      <c r="C762" s="1417">
        <v>1.125</v>
      </c>
      <c r="D762" s="2020">
        <v>7598465</v>
      </c>
      <c r="E762" s="2020">
        <v>593772</v>
      </c>
      <c r="F762" s="2825">
        <v>12</v>
      </c>
      <c r="G762" s="1417">
        <v>0</v>
      </c>
    </row>
    <row r="763" spans="1:11">
      <c r="A763" t="s">
        <v>1092</v>
      </c>
      <c r="B763" t="s">
        <v>329</v>
      </c>
      <c r="C763" s="1417">
        <v>1.04</v>
      </c>
      <c r="D763" s="2020">
        <v>8210577</v>
      </c>
      <c r="E763" s="2020">
        <v>883182</v>
      </c>
      <c r="F763" s="2825">
        <v>12</v>
      </c>
      <c r="G763" s="1417">
        <v>0</v>
      </c>
    </row>
    <row r="764" spans="1:11">
      <c r="A764" t="s">
        <v>1093</v>
      </c>
      <c r="B764" t="s">
        <v>330</v>
      </c>
      <c r="C764" s="1417">
        <v>1.04</v>
      </c>
      <c r="D764" s="2020">
        <v>967351</v>
      </c>
      <c r="E764" s="2020">
        <v>71817</v>
      </c>
      <c r="F764" s="2825">
        <v>12</v>
      </c>
      <c r="G764" s="1417">
        <v>0</v>
      </c>
    </row>
    <row r="765" spans="1:11">
      <c r="A765" t="s">
        <v>1094</v>
      </c>
      <c r="B765" t="s">
        <v>331</v>
      </c>
      <c r="C765" s="1417">
        <v>1.04</v>
      </c>
      <c r="D765" s="2020">
        <v>5094588</v>
      </c>
      <c r="E765" s="2020">
        <v>238169</v>
      </c>
      <c r="F765" s="2825">
        <v>12</v>
      </c>
      <c r="G765" s="1417">
        <v>0</v>
      </c>
      <c r="H765" s="1665">
        <v>591010</v>
      </c>
      <c r="I765" s="1665">
        <v>1294144</v>
      </c>
      <c r="J765" s="1417">
        <v>492</v>
      </c>
      <c r="K765" s="1665">
        <v>124357588</v>
      </c>
    </row>
    <row r="766" spans="1:11">
      <c r="A766" t="s">
        <v>2537</v>
      </c>
      <c r="B766" t="s">
        <v>2240</v>
      </c>
      <c r="C766" s="1417">
        <v>1.04</v>
      </c>
      <c r="D766" s="2020">
        <v>6655987</v>
      </c>
      <c r="E766" s="2020">
        <v>1336260</v>
      </c>
      <c r="F766" s="2825">
        <v>12</v>
      </c>
      <c r="G766" s="1417">
        <v>0</v>
      </c>
    </row>
    <row r="767" spans="1:11">
      <c r="A767" t="s">
        <v>1353</v>
      </c>
      <c r="B767" t="s">
        <v>332</v>
      </c>
      <c r="C767" s="1417">
        <v>1.04</v>
      </c>
      <c r="D767" s="2020">
        <v>2196331</v>
      </c>
      <c r="E767" s="2020">
        <v>328612</v>
      </c>
      <c r="F767" s="2825">
        <v>12</v>
      </c>
      <c r="G767" s="1417">
        <v>0</v>
      </c>
    </row>
    <row r="768" spans="1:11">
      <c r="A768" t="s">
        <v>1354</v>
      </c>
      <c r="B768" t="s">
        <v>333</v>
      </c>
      <c r="C768" s="1417">
        <v>1.04</v>
      </c>
      <c r="D768" s="2020">
        <v>745825</v>
      </c>
      <c r="E768" s="2020">
        <v>0</v>
      </c>
      <c r="F768" s="2825">
        <v>12</v>
      </c>
      <c r="G768" s="1417">
        <v>0</v>
      </c>
    </row>
    <row r="769" spans="1:11">
      <c r="A769" t="s">
        <v>1355</v>
      </c>
      <c r="B769" t="s">
        <v>431</v>
      </c>
      <c r="C769" s="1417">
        <v>1.04</v>
      </c>
      <c r="D769" s="2020">
        <v>3775096</v>
      </c>
      <c r="E769" s="2020">
        <v>86052</v>
      </c>
      <c r="F769" s="2825">
        <v>6</v>
      </c>
      <c r="G769" s="1417">
        <v>0</v>
      </c>
      <c r="H769" s="1665">
        <v>82396</v>
      </c>
      <c r="I769" s="1665">
        <v>253060</v>
      </c>
      <c r="J769" s="1417">
        <v>153</v>
      </c>
      <c r="K769" s="1665">
        <v>69480117</v>
      </c>
    </row>
    <row r="770" spans="1:11">
      <c r="A770" t="s">
        <v>1356</v>
      </c>
      <c r="B770" t="s">
        <v>432</v>
      </c>
      <c r="C770" s="1417">
        <v>1.04</v>
      </c>
      <c r="D770" s="2020">
        <v>7707525</v>
      </c>
      <c r="E770" s="2020">
        <v>587976</v>
      </c>
      <c r="F770" s="2825">
        <v>12</v>
      </c>
      <c r="G770" s="1417">
        <v>0</v>
      </c>
      <c r="H770" s="1665">
        <v>596267</v>
      </c>
      <c r="I770" s="1665">
        <v>1683301</v>
      </c>
      <c r="J770" s="1417">
        <v>781</v>
      </c>
      <c r="K770" s="1665">
        <v>255996995</v>
      </c>
    </row>
    <row r="771" spans="1:11">
      <c r="A771" t="s">
        <v>1357</v>
      </c>
      <c r="B771" t="s">
        <v>433</v>
      </c>
      <c r="C771" s="1417">
        <v>1.04</v>
      </c>
      <c r="D771" s="2020">
        <v>33266505</v>
      </c>
      <c r="E771" s="2020">
        <v>4059817</v>
      </c>
      <c r="F771" s="2825">
        <v>12</v>
      </c>
      <c r="G771" s="1417">
        <v>0</v>
      </c>
      <c r="H771" s="1665">
        <v>3833612</v>
      </c>
      <c r="I771" s="1665">
        <v>9112942</v>
      </c>
      <c r="J771" s="1665">
        <v>3731</v>
      </c>
      <c r="K771" s="1665">
        <v>1138295124</v>
      </c>
    </row>
    <row r="772" spans="1:11">
      <c r="A772" t="s">
        <v>2579</v>
      </c>
      <c r="B772" t="s">
        <v>454</v>
      </c>
      <c r="C772" s="1417">
        <v>0.95989999999999998</v>
      </c>
      <c r="D772" s="2020">
        <v>2323700</v>
      </c>
      <c r="E772" s="2020">
        <v>163732</v>
      </c>
      <c r="F772" s="2825">
        <v>12</v>
      </c>
      <c r="G772" s="1417">
        <v>0</v>
      </c>
      <c r="H772" s="1665">
        <v>144580</v>
      </c>
      <c r="I772" s="1665">
        <v>885476</v>
      </c>
      <c r="J772" s="1417">
        <v>400</v>
      </c>
      <c r="K772" s="1665">
        <v>58002076</v>
      </c>
    </row>
    <row r="773" spans="1:11">
      <c r="A773" t="s">
        <v>707</v>
      </c>
      <c r="B773" t="s">
        <v>1003</v>
      </c>
      <c r="C773" s="1417">
        <v>1.04</v>
      </c>
      <c r="D773" s="2020">
        <v>1412401</v>
      </c>
      <c r="E773" s="2020">
        <v>267695</v>
      </c>
      <c r="F773" s="2825">
        <v>12</v>
      </c>
      <c r="G773" s="1417">
        <v>0</v>
      </c>
    </row>
    <row r="774" spans="1:11">
      <c r="A774" t="s">
        <v>1510</v>
      </c>
      <c r="B774" t="s">
        <v>1937</v>
      </c>
      <c r="C774" s="1417">
        <v>1.04</v>
      </c>
      <c r="D774" s="2020">
        <v>7397839</v>
      </c>
      <c r="E774" s="2020">
        <v>1120100</v>
      </c>
      <c r="F774" s="2825">
        <v>12</v>
      </c>
      <c r="G774" s="1417">
        <v>0</v>
      </c>
    </row>
    <row r="775" spans="1:11">
      <c r="A775" t="s">
        <v>1467</v>
      </c>
      <c r="B775" t="s">
        <v>140</v>
      </c>
      <c r="C775" s="1417">
        <v>1.04</v>
      </c>
      <c r="D775" s="2020">
        <v>30144725</v>
      </c>
      <c r="E775" s="2020">
        <v>7547450</v>
      </c>
      <c r="F775" s="2825">
        <v>12</v>
      </c>
      <c r="G775" s="1417">
        <v>0</v>
      </c>
      <c r="H775" s="1665">
        <v>419064</v>
      </c>
      <c r="I775" s="1665">
        <v>14919953</v>
      </c>
      <c r="J775" s="1665">
        <v>6365</v>
      </c>
      <c r="K775" s="1665">
        <v>724573221</v>
      </c>
    </row>
    <row r="776" spans="1:11">
      <c r="A776" t="s">
        <v>2536</v>
      </c>
      <c r="B776" t="s">
        <v>2239</v>
      </c>
      <c r="C776" s="1417">
        <v>1.04</v>
      </c>
      <c r="D776" s="2020">
        <v>2461990</v>
      </c>
      <c r="E776" s="2020">
        <v>467644</v>
      </c>
      <c r="F776" s="2825">
        <v>12</v>
      </c>
      <c r="G776" s="1417">
        <v>0</v>
      </c>
    </row>
    <row r="777" spans="1:11">
      <c r="A777" t="s">
        <v>1383</v>
      </c>
      <c r="B777" t="s">
        <v>434</v>
      </c>
      <c r="C777" s="1417">
        <v>1.04</v>
      </c>
      <c r="D777" s="2020">
        <v>20614874</v>
      </c>
      <c r="E777" s="2020">
        <v>4683475</v>
      </c>
      <c r="F777" s="2825">
        <v>12</v>
      </c>
      <c r="G777" s="1417">
        <v>0</v>
      </c>
      <c r="H777" s="1665">
        <v>646425</v>
      </c>
      <c r="I777" s="1665">
        <v>5050101</v>
      </c>
      <c r="J777" s="1665">
        <v>2047</v>
      </c>
      <c r="K777" s="1665">
        <v>266585078</v>
      </c>
    </row>
    <row r="778" spans="1:11">
      <c r="A778" t="s">
        <v>208</v>
      </c>
      <c r="B778" t="s">
        <v>2593</v>
      </c>
      <c r="C778" s="1417">
        <v>1.04</v>
      </c>
      <c r="D778" s="2020">
        <v>2568095</v>
      </c>
      <c r="E778" s="2020">
        <v>435837</v>
      </c>
      <c r="F778" s="2825">
        <v>12</v>
      </c>
      <c r="G778" s="1417">
        <v>0</v>
      </c>
    </row>
    <row r="779" spans="1:11">
      <c r="A779" t="s">
        <v>1877</v>
      </c>
      <c r="B779" t="s">
        <v>1856</v>
      </c>
      <c r="C779" s="1417">
        <v>1.04</v>
      </c>
      <c r="D779" s="2020">
        <v>3210580</v>
      </c>
      <c r="E779" s="2020">
        <v>339083</v>
      </c>
      <c r="F779" s="2825">
        <v>12</v>
      </c>
      <c r="G779" s="1417">
        <v>0</v>
      </c>
    </row>
    <row r="780" spans="1:11">
      <c r="A780" t="s">
        <v>1634</v>
      </c>
      <c r="B780" t="s">
        <v>435</v>
      </c>
      <c r="C780" s="1417">
        <v>1.04</v>
      </c>
      <c r="D780" s="2020">
        <v>1911540</v>
      </c>
      <c r="E780" s="2020">
        <v>107623</v>
      </c>
      <c r="F780" s="2825">
        <v>8</v>
      </c>
      <c r="G780" s="1417">
        <v>0</v>
      </c>
      <c r="H780" s="1665">
        <v>126925</v>
      </c>
      <c r="I780" s="1665">
        <v>687638</v>
      </c>
      <c r="J780" s="1417">
        <v>304</v>
      </c>
      <c r="K780" s="1665">
        <v>46935174</v>
      </c>
    </row>
    <row r="781" spans="1:11">
      <c r="A781" t="s">
        <v>1635</v>
      </c>
      <c r="B781" t="s">
        <v>436</v>
      </c>
      <c r="C781" s="1417">
        <v>0.97660000000000002</v>
      </c>
      <c r="D781" s="2020">
        <v>643899</v>
      </c>
      <c r="E781" s="2020">
        <v>0</v>
      </c>
      <c r="F781" s="2825">
        <v>12</v>
      </c>
      <c r="G781" s="1417">
        <v>0</v>
      </c>
    </row>
    <row r="782" spans="1:11">
      <c r="A782" t="s">
        <v>1636</v>
      </c>
      <c r="B782" t="s">
        <v>437</v>
      </c>
      <c r="C782" s="1417">
        <v>1.04</v>
      </c>
      <c r="D782" s="2020">
        <v>1116760</v>
      </c>
      <c r="E782" s="2020">
        <v>67375</v>
      </c>
      <c r="F782" s="2825">
        <v>12</v>
      </c>
      <c r="G782" s="1417">
        <v>0</v>
      </c>
    </row>
    <row r="783" spans="1:11">
      <c r="A783" t="s">
        <v>1637</v>
      </c>
      <c r="B783" t="s">
        <v>438</v>
      </c>
      <c r="C783" s="1417">
        <v>0.85</v>
      </c>
      <c r="D783" s="2020">
        <v>2402825</v>
      </c>
      <c r="E783" s="2020">
        <v>0</v>
      </c>
      <c r="F783" s="2825">
        <v>12</v>
      </c>
      <c r="G783" s="1417">
        <v>0</v>
      </c>
    </row>
    <row r="784" spans="1:11">
      <c r="A784" t="s">
        <v>1638</v>
      </c>
      <c r="B784" t="s">
        <v>439</v>
      </c>
      <c r="C784" s="1417">
        <v>1.17</v>
      </c>
      <c r="D784" s="2020">
        <v>621505</v>
      </c>
      <c r="E784" s="2020">
        <v>746</v>
      </c>
      <c r="F784" s="2825">
        <v>12</v>
      </c>
      <c r="G784" s="1417">
        <v>0</v>
      </c>
    </row>
    <row r="785" spans="1:11">
      <c r="A785" t="s">
        <v>1874</v>
      </c>
      <c r="B785" t="s">
        <v>440</v>
      </c>
      <c r="C785" s="1417">
        <v>1.04</v>
      </c>
      <c r="D785" s="2020">
        <v>2577112</v>
      </c>
      <c r="E785" s="2020">
        <v>0</v>
      </c>
      <c r="F785" s="2825">
        <v>12</v>
      </c>
      <c r="G785" s="1417">
        <v>0</v>
      </c>
      <c r="H785" s="1665">
        <v>509308</v>
      </c>
      <c r="I785" s="1665">
        <v>726409</v>
      </c>
      <c r="J785" s="1417">
        <v>251</v>
      </c>
      <c r="K785" s="1665">
        <v>141218190</v>
      </c>
    </row>
    <row r="786" spans="1:11">
      <c r="A786" t="s">
        <v>2302</v>
      </c>
      <c r="B786" t="s">
        <v>2331</v>
      </c>
      <c r="C786" s="1417">
        <v>1.04</v>
      </c>
      <c r="D786" s="2020">
        <v>18192599</v>
      </c>
      <c r="E786" s="2020">
        <v>1303393</v>
      </c>
      <c r="F786" s="2825">
        <v>12</v>
      </c>
      <c r="G786" s="1417">
        <v>0</v>
      </c>
      <c r="H786" s="1665">
        <v>5945093</v>
      </c>
      <c r="I786" s="1665">
        <v>8721840</v>
      </c>
      <c r="J786" s="1665">
        <v>3635</v>
      </c>
      <c r="K786" s="1665">
        <v>1425250759</v>
      </c>
    </row>
    <row r="787" spans="1:11">
      <c r="A787" t="s">
        <v>2291</v>
      </c>
      <c r="B787" t="s">
        <v>442</v>
      </c>
      <c r="C787" s="1417">
        <v>1.04</v>
      </c>
      <c r="D787" s="2020">
        <v>14063767</v>
      </c>
      <c r="E787" s="2020">
        <v>498</v>
      </c>
      <c r="F787" s="2825">
        <v>12</v>
      </c>
      <c r="G787" s="1417">
        <v>0</v>
      </c>
      <c r="H787" s="1665">
        <v>2166598</v>
      </c>
      <c r="I787" s="1665">
        <v>2166717</v>
      </c>
      <c r="J787" s="1417">
        <v>881</v>
      </c>
      <c r="K787" s="1665">
        <v>1635508501</v>
      </c>
    </row>
    <row r="788" spans="1:11">
      <c r="A788" t="s">
        <v>1302</v>
      </c>
      <c r="B788" t="s">
        <v>443</v>
      </c>
      <c r="C788" s="1417">
        <v>1.04</v>
      </c>
      <c r="D788" s="2020">
        <v>3130049</v>
      </c>
      <c r="E788" s="2020">
        <v>227643</v>
      </c>
      <c r="F788" s="2825">
        <v>12</v>
      </c>
      <c r="G788" s="1417">
        <v>0</v>
      </c>
      <c r="H788" s="1665">
        <v>3619</v>
      </c>
      <c r="I788" s="1665">
        <v>1464673</v>
      </c>
      <c r="J788" s="1417">
        <v>626</v>
      </c>
      <c r="K788" s="1665">
        <v>62115640</v>
      </c>
    </row>
    <row r="789" spans="1:11">
      <c r="A789" t="s">
        <v>692</v>
      </c>
      <c r="B789" t="s">
        <v>444</v>
      </c>
      <c r="C789" s="1417">
        <v>1.04</v>
      </c>
      <c r="D789" s="2020">
        <v>865230</v>
      </c>
      <c r="E789" s="2020">
        <v>0</v>
      </c>
      <c r="F789" s="2825">
        <v>12</v>
      </c>
      <c r="G789" s="1417">
        <v>0</v>
      </c>
    </row>
    <row r="790" spans="1:11">
      <c r="A790" t="s">
        <v>2548</v>
      </c>
      <c r="B790" t="s">
        <v>445</v>
      </c>
      <c r="C790" s="1417">
        <v>1.0316000000000001</v>
      </c>
      <c r="D790" s="2020">
        <v>2267340</v>
      </c>
      <c r="E790" s="2020">
        <v>286837</v>
      </c>
      <c r="F790" s="2825">
        <v>12</v>
      </c>
      <c r="G790" s="1417">
        <v>0</v>
      </c>
    </row>
    <row r="791" spans="1:11">
      <c r="A791" t="s">
        <v>693</v>
      </c>
      <c r="B791" t="s">
        <v>446</v>
      </c>
      <c r="C791" s="1417">
        <v>1.04</v>
      </c>
      <c r="D791" s="2020">
        <v>1029989</v>
      </c>
      <c r="E791" s="2020">
        <v>129537</v>
      </c>
      <c r="F791" s="2825">
        <v>12</v>
      </c>
      <c r="G791" s="1417">
        <v>0</v>
      </c>
    </row>
    <row r="792" spans="1:11">
      <c r="A792" t="s">
        <v>1773</v>
      </c>
      <c r="B792" t="s">
        <v>2226</v>
      </c>
      <c r="C792" s="1417">
        <v>1.04</v>
      </c>
      <c r="D792" s="2020">
        <v>10292981</v>
      </c>
      <c r="E792" s="2020">
        <v>604464</v>
      </c>
      <c r="F792" s="2825">
        <v>12</v>
      </c>
      <c r="G792" s="1417">
        <v>0</v>
      </c>
    </row>
    <row r="793" spans="1:11">
      <c r="A793" t="s">
        <v>1213</v>
      </c>
      <c r="B793" t="s">
        <v>447</v>
      </c>
      <c r="C793" s="1417">
        <v>1.04</v>
      </c>
      <c r="D793" s="2020">
        <v>2864344</v>
      </c>
      <c r="E793" s="2020">
        <v>471490</v>
      </c>
      <c r="F793" s="2825">
        <v>8</v>
      </c>
      <c r="G793" s="1417">
        <v>0</v>
      </c>
    </row>
    <row r="794" spans="1:11">
      <c r="A794" t="s">
        <v>1639</v>
      </c>
      <c r="B794" t="s">
        <v>1054</v>
      </c>
      <c r="C794" s="1417">
        <v>1.04</v>
      </c>
      <c r="D794" s="2020">
        <v>72034406</v>
      </c>
      <c r="E794" s="2020">
        <v>8922220</v>
      </c>
      <c r="F794" s="2825">
        <v>12</v>
      </c>
      <c r="G794" s="1417">
        <v>0</v>
      </c>
    </row>
    <row r="795" spans="1:11">
      <c r="A795" t="s">
        <v>199</v>
      </c>
      <c r="B795" t="s">
        <v>2696</v>
      </c>
      <c r="C795" s="1417">
        <v>1.04</v>
      </c>
      <c r="D795" s="2020">
        <v>2345701</v>
      </c>
      <c r="E795" s="2020">
        <v>574565</v>
      </c>
      <c r="F795" s="2825">
        <v>12</v>
      </c>
      <c r="G795" s="1417">
        <v>0</v>
      </c>
    </row>
    <row r="796" spans="1:11">
      <c r="A796" t="s">
        <v>572</v>
      </c>
      <c r="B796" t="s">
        <v>130</v>
      </c>
      <c r="C796" s="1417">
        <v>1.04</v>
      </c>
      <c r="D796" s="2020">
        <v>8669114</v>
      </c>
      <c r="E796" s="2020">
        <v>1404168</v>
      </c>
      <c r="F796" s="2825">
        <v>12</v>
      </c>
      <c r="G796" s="1417">
        <v>0</v>
      </c>
      <c r="H796" s="1665">
        <v>1451112</v>
      </c>
      <c r="I796" s="1665">
        <v>2217113</v>
      </c>
      <c r="J796" s="1417">
        <v>887</v>
      </c>
      <c r="K796" s="1665">
        <v>679735276</v>
      </c>
    </row>
    <row r="797" spans="1:11">
      <c r="A797" t="s">
        <v>2181</v>
      </c>
      <c r="B797" t="s">
        <v>448</v>
      </c>
      <c r="C797" s="1417">
        <v>1.04</v>
      </c>
      <c r="D797" s="2020">
        <v>8271000</v>
      </c>
      <c r="E797" s="2020">
        <v>1006700</v>
      </c>
      <c r="F797" s="2825">
        <v>12</v>
      </c>
      <c r="G797" s="1417">
        <v>0</v>
      </c>
      <c r="H797" s="1665">
        <v>698773</v>
      </c>
      <c r="I797" s="1665">
        <v>1331285</v>
      </c>
      <c r="J797" s="1417">
        <v>732</v>
      </c>
      <c r="K797" s="1665">
        <v>320295290</v>
      </c>
    </row>
    <row r="798" spans="1:11">
      <c r="A798" t="s">
        <v>1468</v>
      </c>
      <c r="B798" t="s">
        <v>292</v>
      </c>
      <c r="C798" s="1417">
        <v>1.04</v>
      </c>
      <c r="D798" s="2020">
        <v>1272408</v>
      </c>
      <c r="E798" s="2020">
        <v>95841</v>
      </c>
      <c r="F798" s="2825">
        <v>12</v>
      </c>
      <c r="G798" s="1417">
        <v>0</v>
      </c>
    </row>
    <row r="799" spans="1:11">
      <c r="A799" t="s">
        <v>217</v>
      </c>
      <c r="B799" t="s">
        <v>2103</v>
      </c>
      <c r="C799" s="1417">
        <v>1.17</v>
      </c>
      <c r="D799" s="2020">
        <v>899218</v>
      </c>
      <c r="E799" s="2020">
        <v>147011</v>
      </c>
      <c r="F799" s="2825">
        <v>12</v>
      </c>
      <c r="G799" s="1417">
        <v>0</v>
      </c>
    </row>
    <row r="800" spans="1:11">
      <c r="A800" t="s">
        <v>1289</v>
      </c>
      <c r="B800" t="s">
        <v>449</v>
      </c>
      <c r="C800" s="1417">
        <v>1.04</v>
      </c>
      <c r="D800" s="2020">
        <v>4708711</v>
      </c>
      <c r="E800" s="2020">
        <v>237258</v>
      </c>
      <c r="F800" s="2825">
        <v>12</v>
      </c>
      <c r="G800" s="1417">
        <v>0</v>
      </c>
    </row>
    <row r="801" spans="1:11">
      <c r="A801" t="s">
        <v>1290</v>
      </c>
      <c r="B801" t="s">
        <v>2332</v>
      </c>
      <c r="C801" s="1417">
        <v>1.04</v>
      </c>
      <c r="D801" s="2020">
        <v>26733060</v>
      </c>
      <c r="E801" s="2020">
        <v>4068414</v>
      </c>
      <c r="F801" s="2825">
        <v>12</v>
      </c>
      <c r="G801" s="1417">
        <v>0</v>
      </c>
    </row>
    <row r="802" spans="1:11">
      <c r="A802" t="s">
        <v>2522</v>
      </c>
      <c r="B802" t="s">
        <v>154</v>
      </c>
      <c r="C802" s="1417">
        <v>0.92</v>
      </c>
      <c r="D802" s="2020">
        <v>12818524</v>
      </c>
      <c r="E802" s="2020">
        <v>1775352</v>
      </c>
      <c r="F802" s="2825">
        <v>12</v>
      </c>
      <c r="G802" s="1417">
        <v>0</v>
      </c>
      <c r="H802" s="1665">
        <v>1404710</v>
      </c>
      <c r="I802" s="1665">
        <v>4186474</v>
      </c>
      <c r="J802" s="1665">
        <v>1807</v>
      </c>
      <c r="K802" s="1665">
        <v>394987929</v>
      </c>
    </row>
    <row r="803" spans="1:11">
      <c r="A803" t="s">
        <v>792</v>
      </c>
      <c r="B803" t="s">
        <v>155</v>
      </c>
      <c r="C803" s="1417">
        <v>1</v>
      </c>
      <c r="D803" s="2020">
        <v>2051495</v>
      </c>
      <c r="E803" s="2020">
        <v>0</v>
      </c>
      <c r="F803" s="2825">
        <v>12</v>
      </c>
      <c r="G803" s="1417">
        <v>0</v>
      </c>
      <c r="H803" s="1665">
        <v>44666</v>
      </c>
      <c r="I803" s="1665">
        <v>1113305</v>
      </c>
      <c r="J803" s="1417">
        <v>457</v>
      </c>
      <c r="K803" s="1665">
        <v>85932391</v>
      </c>
    </row>
    <row r="804" spans="1:11">
      <c r="A804" t="s">
        <v>114</v>
      </c>
      <c r="B804" t="s">
        <v>2118</v>
      </c>
      <c r="C804" s="1417">
        <v>1</v>
      </c>
      <c r="D804" s="2020">
        <v>409042</v>
      </c>
      <c r="E804" s="2020">
        <v>0</v>
      </c>
      <c r="F804" s="2825">
        <v>12</v>
      </c>
      <c r="G804" s="1417">
        <v>0</v>
      </c>
    </row>
    <row r="805" spans="1:11">
      <c r="A805" t="s">
        <v>2654</v>
      </c>
      <c r="B805" t="s">
        <v>2697</v>
      </c>
      <c r="C805" s="1417">
        <v>1.02</v>
      </c>
      <c r="D805" s="2020">
        <v>1529307</v>
      </c>
      <c r="E805" s="2020">
        <v>272706</v>
      </c>
      <c r="F805" s="2825">
        <v>12</v>
      </c>
      <c r="G805" s="1417">
        <v>0</v>
      </c>
    </row>
    <row r="806" spans="1:11">
      <c r="A806" t="s">
        <v>2274</v>
      </c>
      <c r="B806" t="s">
        <v>1622</v>
      </c>
      <c r="C806" s="1417">
        <v>0.96589999999999998</v>
      </c>
      <c r="D806" s="2020">
        <v>1774249</v>
      </c>
      <c r="E806" s="2020">
        <v>0</v>
      </c>
      <c r="F806" s="2825">
        <v>12</v>
      </c>
      <c r="G806" s="1417">
        <v>0</v>
      </c>
    </row>
    <row r="807" spans="1:11">
      <c r="A807" t="s">
        <v>377</v>
      </c>
      <c r="B807" t="s">
        <v>2668</v>
      </c>
      <c r="C807" s="1417">
        <v>1.1698999999999999</v>
      </c>
      <c r="D807" s="2020">
        <v>602016</v>
      </c>
      <c r="E807" s="2020">
        <v>81476</v>
      </c>
      <c r="F807" s="2825">
        <v>12</v>
      </c>
      <c r="G807" s="1417">
        <v>0</v>
      </c>
    </row>
    <row r="808" spans="1:11">
      <c r="A808" t="s">
        <v>986</v>
      </c>
      <c r="B808" t="s">
        <v>1623</v>
      </c>
      <c r="C808" s="1417">
        <v>1.04</v>
      </c>
      <c r="D808" s="2020">
        <v>8845062</v>
      </c>
      <c r="E808" s="2020">
        <v>0</v>
      </c>
      <c r="F808" s="2825">
        <v>12</v>
      </c>
      <c r="G808" s="1417">
        <v>0</v>
      </c>
    </row>
    <row r="809" spans="1:11">
      <c r="A809" t="s">
        <v>1716</v>
      </c>
      <c r="B809" t="s">
        <v>2120</v>
      </c>
      <c r="C809" s="1417">
        <v>1.04</v>
      </c>
      <c r="D809" s="2020">
        <v>353435</v>
      </c>
      <c r="E809" s="2020">
        <v>19573</v>
      </c>
      <c r="F809" s="2825">
        <v>12</v>
      </c>
      <c r="G809" s="1417">
        <v>31</v>
      </c>
    </row>
    <row r="810" spans="1:11">
      <c r="A810" t="s">
        <v>695</v>
      </c>
      <c r="B810" t="s">
        <v>1624</v>
      </c>
      <c r="C810" s="1417">
        <v>0.98870000000000002</v>
      </c>
      <c r="D810" s="2020">
        <v>4200128</v>
      </c>
      <c r="E810" s="2020">
        <v>94877</v>
      </c>
      <c r="F810" s="2825">
        <v>12</v>
      </c>
      <c r="G810" s="1417">
        <v>0</v>
      </c>
      <c r="H810" s="1665">
        <v>752430</v>
      </c>
      <c r="I810" s="1665">
        <v>717970</v>
      </c>
      <c r="J810" s="1417">
        <v>293</v>
      </c>
      <c r="K810" s="1665">
        <v>189769978</v>
      </c>
    </row>
    <row r="811" spans="1:11">
      <c r="A811" t="s">
        <v>696</v>
      </c>
      <c r="B811" t="s">
        <v>1625</v>
      </c>
      <c r="C811" s="1417">
        <v>1.04</v>
      </c>
      <c r="D811" s="2020">
        <v>1223838</v>
      </c>
      <c r="E811" s="2020">
        <v>454185</v>
      </c>
      <c r="F811" s="2825">
        <v>12</v>
      </c>
      <c r="G811" s="1417">
        <v>0</v>
      </c>
    </row>
    <row r="812" spans="1:11">
      <c r="A812" t="s">
        <v>697</v>
      </c>
      <c r="B812" t="s">
        <v>1626</v>
      </c>
      <c r="C812" s="1417">
        <v>1.04</v>
      </c>
      <c r="D812" s="2020">
        <v>5243881</v>
      </c>
      <c r="E812" s="2020">
        <v>505351</v>
      </c>
      <c r="F812" s="2825">
        <v>12</v>
      </c>
      <c r="G812" s="1417">
        <v>0</v>
      </c>
      <c r="H812" s="1665">
        <v>1473297</v>
      </c>
      <c r="I812" s="1665">
        <v>2975202</v>
      </c>
      <c r="J812" s="1665">
        <v>1266</v>
      </c>
      <c r="K812" s="1665">
        <v>476488160</v>
      </c>
    </row>
    <row r="813" spans="1:11">
      <c r="A813" t="s">
        <v>1457</v>
      </c>
      <c r="B813" t="s">
        <v>1627</v>
      </c>
      <c r="C813" s="1417">
        <v>1.04</v>
      </c>
      <c r="D813" s="2020">
        <v>7325910</v>
      </c>
      <c r="E813" s="2020">
        <v>687</v>
      </c>
      <c r="F813" s="2825">
        <v>12</v>
      </c>
      <c r="G813" s="1417">
        <v>0</v>
      </c>
      <c r="H813" s="1665">
        <v>458394</v>
      </c>
      <c r="I813" s="1665">
        <v>881991</v>
      </c>
      <c r="J813" s="1417">
        <v>353</v>
      </c>
      <c r="K813" s="1665">
        <v>215291740</v>
      </c>
    </row>
    <row r="814" spans="1:11">
      <c r="A814" t="s">
        <v>1458</v>
      </c>
      <c r="B814" t="s">
        <v>1628</v>
      </c>
      <c r="C814" s="1417">
        <v>1.04</v>
      </c>
      <c r="D814" s="2020">
        <v>5686934</v>
      </c>
      <c r="E814" s="2020">
        <v>590275</v>
      </c>
      <c r="F814" s="2825">
        <v>12</v>
      </c>
      <c r="G814" s="1417">
        <v>0</v>
      </c>
      <c r="H814" s="1665">
        <v>1478650</v>
      </c>
      <c r="I814" s="1665">
        <v>1166063</v>
      </c>
      <c r="J814" s="1417">
        <v>460</v>
      </c>
      <c r="K814" s="1665">
        <v>623963224</v>
      </c>
    </row>
    <row r="815" spans="1:11">
      <c r="A815" t="s">
        <v>1459</v>
      </c>
      <c r="B815" t="s">
        <v>1629</v>
      </c>
      <c r="C815" s="1417">
        <v>1.03</v>
      </c>
      <c r="D815" s="2020">
        <v>482649</v>
      </c>
      <c r="E815" s="2020">
        <v>0</v>
      </c>
      <c r="F815" s="2825">
        <v>12</v>
      </c>
      <c r="G815" s="1417">
        <v>0</v>
      </c>
    </row>
    <row r="816" spans="1:11">
      <c r="A816" t="s">
        <v>1460</v>
      </c>
      <c r="B816" t="s">
        <v>1630</v>
      </c>
      <c r="C816" s="1417">
        <v>0.91200000000000003</v>
      </c>
      <c r="D816" s="2020">
        <v>13297530</v>
      </c>
      <c r="E816" s="2020">
        <v>2759410</v>
      </c>
      <c r="F816" s="2825">
        <v>12</v>
      </c>
      <c r="G816" s="1417">
        <v>0</v>
      </c>
      <c r="H816" s="1665">
        <v>490710</v>
      </c>
      <c r="I816" s="1665">
        <v>2978790</v>
      </c>
      <c r="J816" s="1665">
        <v>1231</v>
      </c>
      <c r="K816" s="1665">
        <v>229619715</v>
      </c>
    </row>
    <row r="817" spans="1:11">
      <c r="A817" t="s">
        <v>1461</v>
      </c>
      <c r="B817" t="s">
        <v>1631</v>
      </c>
      <c r="C817" s="1417">
        <v>1.04</v>
      </c>
      <c r="D817" s="2020">
        <v>2928005</v>
      </c>
      <c r="E817" s="2020">
        <v>721984</v>
      </c>
      <c r="F817" s="2825">
        <v>12</v>
      </c>
      <c r="G817" s="1417">
        <v>0</v>
      </c>
    </row>
    <row r="818" spans="1:11">
      <c r="A818" t="s">
        <v>1462</v>
      </c>
      <c r="B818" t="s">
        <v>976</v>
      </c>
      <c r="C818" s="1417">
        <v>0.96</v>
      </c>
      <c r="D818" s="2020">
        <v>597761</v>
      </c>
      <c r="E818" s="2020">
        <v>0</v>
      </c>
      <c r="F818" s="2825">
        <v>8</v>
      </c>
      <c r="G818" s="1417">
        <v>0</v>
      </c>
    </row>
    <row r="819" spans="1:11">
      <c r="A819" t="s">
        <v>1672</v>
      </c>
      <c r="B819" t="s">
        <v>977</v>
      </c>
      <c r="C819" s="1417">
        <v>1.04</v>
      </c>
      <c r="D819" s="2020">
        <v>56820648</v>
      </c>
      <c r="E819" s="2020">
        <v>18045928</v>
      </c>
      <c r="F819" s="2825">
        <v>12</v>
      </c>
      <c r="G819" s="1417">
        <v>0</v>
      </c>
      <c r="H819" s="1665">
        <v>2137880</v>
      </c>
      <c r="I819" s="1665">
        <v>12776367</v>
      </c>
      <c r="J819" s="1665">
        <v>5311</v>
      </c>
      <c r="K819" s="1665">
        <v>1077190337</v>
      </c>
    </row>
    <row r="820" spans="1:11">
      <c r="A820" t="s">
        <v>1812</v>
      </c>
      <c r="B820" t="s">
        <v>613</v>
      </c>
      <c r="C820" s="1417">
        <v>1.04</v>
      </c>
      <c r="D820" s="2020">
        <v>9419622</v>
      </c>
      <c r="E820" s="2020">
        <v>2301019</v>
      </c>
      <c r="F820" s="2825">
        <v>12</v>
      </c>
      <c r="G820" s="1417">
        <v>0</v>
      </c>
    </row>
    <row r="821" spans="1:11">
      <c r="A821" t="s">
        <v>1673</v>
      </c>
      <c r="B821" t="s">
        <v>1894</v>
      </c>
      <c r="C821" s="1417">
        <v>1.17</v>
      </c>
      <c r="D821" s="2020">
        <v>2303103</v>
      </c>
      <c r="E821" s="2020">
        <v>2613</v>
      </c>
      <c r="F821" s="2825">
        <v>12</v>
      </c>
      <c r="G821" s="1417">
        <v>0</v>
      </c>
    </row>
    <row r="822" spans="1:11">
      <c r="A822" t="s">
        <v>378</v>
      </c>
      <c r="B822" t="s">
        <v>2237</v>
      </c>
      <c r="C822" s="1417">
        <v>1.17</v>
      </c>
      <c r="D822" s="2020">
        <v>610007</v>
      </c>
      <c r="E822" s="2020">
        <v>32779</v>
      </c>
      <c r="F822" s="2825">
        <v>12</v>
      </c>
      <c r="G822" s="1417">
        <v>0</v>
      </c>
    </row>
    <row r="823" spans="1:11">
      <c r="A823" t="s">
        <v>1183</v>
      </c>
      <c r="B823" t="s">
        <v>2333</v>
      </c>
      <c r="C823" s="1417">
        <v>1.04</v>
      </c>
      <c r="D823" s="2020">
        <v>1755400</v>
      </c>
      <c r="E823" s="2020">
        <v>0</v>
      </c>
      <c r="F823" s="2825">
        <v>12</v>
      </c>
      <c r="G823" s="1417">
        <v>0</v>
      </c>
    </row>
    <row r="824" spans="1:11">
      <c r="A824" t="s">
        <v>379</v>
      </c>
      <c r="B824" t="s">
        <v>262</v>
      </c>
      <c r="C824" s="1417">
        <v>1.17</v>
      </c>
      <c r="D824" s="2020">
        <v>50871</v>
      </c>
      <c r="E824" s="2020">
        <v>1873</v>
      </c>
      <c r="F824" s="2825">
        <v>8</v>
      </c>
      <c r="G824" s="1417">
        <v>0</v>
      </c>
    </row>
    <row r="825" spans="1:11">
      <c r="A825" t="s">
        <v>1674</v>
      </c>
      <c r="B825" t="s">
        <v>1895</v>
      </c>
      <c r="C825" s="1417">
        <v>1.04</v>
      </c>
      <c r="D825" s="2020">
        <v>16771229</v>
      </c>
      <c r="E825" s="2020">
        <v>1228175</v>
      </c>
      <c r="F825" s="2825">
        <v>12</v>
      </c>
      <c r="G825" s="1417">
        <v>0</v>
      </c>
      <c r="H825" s="1665">
        <v>1142158</v>
      </c>
      <c r="I825" s="1665">
        <v>10154694</v>
      </c>
      <c r="J825" s="1665">
        <v>4406</v>
      </c>
      <c r="K825" s="1665">
        <v>523557424</v>
      </c>
    </row>
    <row r="826" spans="1:11">
      <c r="A826" t="s">
        <v>1675</v>
      </c>
      <c r="B826" t="s">
        <v>1525</v>
      </c>
      <c r="C826" s="1417">
        <v>1.04</v>
      </c>
      <c r="D826" s="2020">
        <v>818164</v>
      </c>
      <c r="E826" s="2020">
        <v>0</v>
      </c>
      <c r="F826" s="2825">
        <v>12</v>
      </c>
      <c r="G826" s="1417">
        <v>0</v>
      </c>
    </row>
    <row r="827" spans="1:11">
      <c r="A827" t="s">
        <v>1676</v>
      </c>
      <c r="B827" t="s">
        <v>1526</v>
      </c>
      <c r="C827" s="1417">
        <v>1.2518</v>
      </c>
      <c r="D827" s="2020">
        <v>465931</v>
      </c>
      <c r="E827" s="2020">
        <v>0</v>
      </c>
      <c r="F827" s="2825">
        <v>12</v>
      </c>
      <c r="G827" s="1417">
        <v>0</v>
      </c>
    </row>
    <row r="828" spans="1:11">
      <c r="A828" t="s">
        <v>2470</v>
      </c>
      <c r="B828" t="s">
        <v>2153</v>
      </c>
      <c r="C828" s="1417">
        <v>1.04</v>
      </c>
      <c r="D828" s="2020">
        <v>523988</v>
      </c>
      <c r="E828" s="2020">
        <v>0</v>
      </c>
      <c r="F828" s="2825">
        <v>12</v>
      </c>
      <c r="G828" s="1417">
        <v>0</v>
      </c>
    </row>
    <row r="829" spans="1:11">
      <c r="A829" t="s">
        <v>2471</v>
      </c>
      <c r="B829" t="s">
        <v>1362</v>
      </c>
      <c r="C829" s="1417">
        <v>1.04</v>
      </c>
      <c r="D829" s="2020">
        <v>643102</v>
      </c>
      <c r="E829" s="2020">
        <v>79806</v>
      </c>
      <c r="F829" s="2825">
        <v>12</v>
      </c>
      <c r="G829" s="1417">
        <v>0</v>
      </c>
    </row>
    <row r="830" spans="1:11">
      <c r="A830" t="s">
        <v>1677</v>
      </c>
      <c r="B830" t="s">
        <v>1527</v>
      </c>
      <c r="C830" s="1417">
        <v>0.75</v>
      </c>
      <c r="D830" s="2020">
        <v>14473989</v>
      </c>
      <c r="E830" s="2020">
        <v>2555999</v>
      </c>
      <c r="F830" s="2825">
        <v>12</v>
      </c>
      <c r="G830" s="1417">
        <v>0</v>
      </c>
      <c r="H830" s="1665">
        <v>1135415</v>
      </c>
      <c r="I830" s="1665">
        <v>3549056</v>
      </c>
      <c r="J830" s="1665">
        <v>1434</v>
      </c>
      <c r="K830" s="1665">
        <v>750020440</v>
      </c>
    </row>
    <row r="831" spans="1:11">
      <c r="A831" t="s">
        <v>190</v>
      </c>
      <c r="B831" t="s">
        <v>654</v>
      </c>
      <c r="C831" s="1417">
        <v>1.17</v>
      </c>
      <c r="D831" s="2020">
        <v>1036344</v>
      </c>
      <c r="E831" s="2020">
        <v>97106</v>
      </c>
      <c r="F831" s="2825">
        <v>12</v>
      </c>
      <c r="G831" s="1417">
        <v>0</v>
      </c>
    </row>
    <row r="832" spans="1:11">
      <c r="A832" t="s">
        <v>1678</v>
      </c>
      <c r="B832" t="s">
        <v>1528</v>
      </c>
      <c r="C832" s="1417">
        <v>1.04</v>
      </c>
      <c r="D832" s="2020">
        <v>4524716</v>
      </c>
      <c r="E832" s="2020">
        <v>768361</v>
      </c>
      <c r="F832" s="2825">
        <v>12</v>
      </c>
      <c r="G832" s="1417">
        <v>0</v>
      </c>
      <c r="H832" s="1665">
        <v>2055512</v>
      </c>
      <c r="I832" s="1665">
        <v>3575918</v>
      </c>
      <c r="J832" s="1665">
        <v>1502</v>
      </c>
      <c r="K832" s="1665">
        <v>319558103</v>
      </c>
    </row>
    <row r="833" spans="1:11">
      <c r="A833" t="s">
        <v>1395</v>
      </c>
      <c r="B833" t="s">
        <v>1529</v>
      </c>
      <c r="C833" s="1417">
        <v>0.99739999999999995</v>
      </c>
      <c r="D833" s="2020">
        <v>2836352</v>
      </c>
      <c r="E833" s="2020">
        <v>0</v>
      </c>
      <c r="F833" s="2825">
        <v>12</v>
      </c>
      <c r="G833" s="1417">
        <v>0</v>
      </c>
    </row>
    <row r="834" spans="1:11">
      <c r="A834" t="s">
        <v>1396</v>
      </c>
      <c r="B834" t="s">
        <v>1530</v>
      </c>
      <c r="C834" s="1417">
        <v>0.996</v>
      </c>
      <c r="D834" s="2020">
        <v>959172</v>
      </c>
      <c r="E834" s="2020">
        <v>0</v>
      </c>
      <c r="F834" s="2825">
        <v>12</v>
      </c>
      <c r="G834" s="1417">
        <v>0</v>
      </c>
    </row>
    <row r="835" spans="1:11">
      <c r="A835" t="s">
        <v>1397</v>
      </c>
      <c r="B835" t="s">
        <v>2070</v>
      </c>
      <c r="C835" s="1417">
        <v>1.04</v>
      </c>
      <c r="D835" s="2020">
        <v>1349035</v>
      </c>
      <c r="E835" s="2020">
        <v>0</v>
      </c>
      <c r="F835" s="2825">
        <v>12</v>
      </c>
      <c r="G835" s="1417">
        <v>0</v>
      </c>
    </row>
    <row r="836" spans="1:11">
      <c r="A836" t="s">
        <v>1632</v>
      </c>
      <c r="B836" t="s">
        <v>2071</v>
      </c>
      <c r="C836" s="1417">
        <v>1.04</v>
      </c>
      <c r="D836" s="2020">
        <v>677027</v>
      </c>
      <c r="E836" s="2020">
        <v>0</v>
      </c>
      <c r="F836" s="2825">
        <v>12</v>
      </c>
      <c r="G836" s="1417">
        <v>0</v>
      </c>
    </row>
    <row r="837" spans="1:11">
      <c r="A837" t="s">
        <v>1633</v>
      </c>
      <c r="B837" t="s">
        <v>2334</v>
      </c>
      <c r="C837" s="1417">
        <v>1.02</v>
      </c>
      <c r="D837" s="2020">
        <v>6872162</v>
      </c>
      <c r="E837" s="2020">
        <v>537683</v>
      </c>
      <c r="F837" s="2825">
        <v>12</v>
      </c>
      <c r="G837" s="1417">
        <v>0</v>
      </c>
    </row>
    <row r="838" spans="1:11">
      <c r="A838" t="s">
        <v>2433</v>
      </c>
      <c r="B838" t="s">
        <v>351</v>
      </c>
      <c r="C838" s="1417">
        <v>0.99</v>
      </c>
      <c r="D838" s="2020">
        <v>2399668</v>
      </c>
      <c r="E838" s="2020">
        <v>172889</v>
      </c>
      <c r="F838" s="2825">
        <v>12</v>
      </c>
      <c r="G838" s="1417">
        <v>0</v>
      </c>
    </row>
    <row r="839" spans="1:11">
      <c r="A839" t="s">
        <v>1215</v>
      </c>
      <c r="B839" t="s">
        <v>2420</v>
      </c>
      <c r="C839" s="1417">
        <v>1.0313000000000001</v>
      </c>
      <c r="D839" s="2020">
        <v>6695982</v>
      </c>
      <c r="E839" s="2020">
        <v>444890</v>
      </c>
      <c r="F839" s="2825">
        <v>12</v>
      </c>
      <c r="G839" s="1417">
        <v>0</v>
      </c>
    </row>
    <row r="840" spans="1:11">
      <c r="A840" t="s">
        <v>2434</v>
      </c>
      <c r="B840" t="s">
        <v>352</v>
      </c>
      <c r="C840" s="1417">
        <v>1.04</v>
      </c>
      <c r="D840" s="2020">
        <v>10995394</v>
      </c>
      <c r="E840" s="2020">
        <v>2110705</v>
      </c>
      <c r="F840" s="2825">
        <v>12</v>
      </c>
      <c r="G840" s="1417">
        <v>0</v>
      </c>
    </row>
    <row r="841" spans="1:11">
      <c r="A841" t="s">
        <v>1454</v>
      </c>
      <c r="B841" t="s">
        <v>353</v>
      </c>
      <c r="C841" s="1417">
        <v>1.04</v>
      </c>
      <c r="D841" s="2020">
        <v>12119212</v>
      </c>
      <c r="E841" s="2020">
        <v>1238303</v>
      </c>
      <c r="F841" s="2825">
        <v>12</v>
      </c>
      <c r="G841" s="1417">
        <v>0</v>
      </c>
      <c r="H841" s="1665">
        <v>2143034</v>
      </c>
      <c r="I841" s="1665">
        <v>4337680</v>
      </c>
      <c r="J841" s="1665">
        <v>1772</v>
      </c>
      <c r="K841" s="1665">
        <v>492306146</v>
      </c>
    </row>
    <row r="842" spans="1:11">
      <c r="A842" t="s">
        <v>2527</v>
      </c>
      <c r="B842" t="s">
        <v>2066</v>
      </c>
      <c r="C842" s="1417">
        <v>1.17</v>
      </c>
      <c r="D842" s="2020">
        <v>2693184</v>
      </c>
      <c r="E842" s="2020">
        <v>151827</v>
      </c>
      <c r="F842" s="2825">
        <v>12</v>
      </c>
      <c r="G842" s="1417">
        <v>0</v>
      </c>
    </row>
    <row r="843" spans="1:11">
      <c r="A843" t="s">
        <v>1411</v>
      </c>
      <c r="B843" t="s">
        <v>260</v>
      </c>
      <c r="C843" s="1417">
        <v>1.17</v>
      </c>
      <c r="D843" s="2020">
        <v>2451673</v>
      </c>
      <c r="E843" s="2020">
        <v>234593</v>
      </c>
      <c r="F843" s="2825">
        <v>12</v>
      </c>
      <c r="G843" s="1417">
        <v>0</v>
      </c>
    </row>
    <row r="844" spans="1:11">
      <c r="A844" t="s">
        <v>1317</v>
      </c>
      <c r="B844" t="s">
        <v>267</v>
      </c>
      <c r="C844" s="1417">
        <v>1.17</v>
      </c>
      <c r="D844" s="2020">
        <v>3445835</v>
      </c>
      <c r="E844" s="2020">
        <v>188279</v>
      </c>
      <c r="F844" s="2825">
        <v>12</v>
      </c>
      <c r="G844" s="1417">
        <v>0</v>
      </c>
    </row>
    <row r="845" spans="1:11">
      <c r="A845" t="s">
        <v>191</v>
      </c>
      <c r="B845" t="s">
        <v>601</v>
      </c>
      <c r="C845" s="1417">
        <v>1.04</v>
      </c>
      <c r="D845" s="2020">
        <v>2668985</v>
      </c>
      <c r="E845" s="2020">
        <v>28926</v>
      </c>
      <c r="F845" s="2825">
        <v>12</v>
      </c>
      <c r="G845" s="1417">
        <v>0</v>
      </c>
    </row>
    <row r="846" spans="1:11">
      <c r="A846" t="s">
        <v>489</v>
      </c>
      <c r="B846" t="s">
        <v>1404</v>
      </c>
      <c r="C846" s="1417">
        <v>1.04</v>
      </c>
      <c r="D846" s="2020">
        <v>1550944</v>
      </c>
      <c r="E846" s="2020">
        <v>122108</v>
      </c>
      <c r="F846" s="2825">
        <v>12</v>
      </c>
      <c r="G846" s="1417">
        <v>0</v>
      </c>
    </row>
    <row r="847" spans="1:11">
      <c r="A847" t="s">
        <v>1455</v>
      </c>
      <c r="B847" t="s">
        <v>354</v>
      </c>
      <c r="C847" s="1417">
        <v>1.04</v>
      </c>
      <c r="D847" s="2020">
        <v>496487</v>
      </c>
      <c r="E847" s="2020">
        <v>0</v>
      </c>
      <c r="F847" s="2825">
        <v>12</v>
      </c>
      <c r="G847" s="1417">
        <v>0</v>
      </c>
    </row>
    <row r="848" spans="1:11">
      <c r="A848" t="s">
        <v>1456</v>
      </c>
      <c r="B848" t="s">
        <v>355</v>
      </c>
      <c r="C848" s="1417">
        <v>1.04</v>
      </c>
      <c r="D848" s="2020">
        <v>375462</v>
      </c>
      <c r="E848" s="2020">
        <v>0</v>
      </c>
      <c r="F848" s="2825">
        <v>12</v>
      </c>
      <c r="G848" s="1417">
        <v>0</v>
      </c>
    </row>
    <row r="849" spans="1:11">
      <c r="A849" t="s">
        <v>1377</v>
      </c>
      <c r="B849" t="s">
        <v>356</v>
      </c>
      <c r="C849" s="1417">
        <v>1.17</v>
      </c>
      <c r="D849" s="2020">
        <v>4241537</v>
      </c>
      <c r="E849" s="2020">
        <v>0</v>
      </c>
      <c r="F849" s="2825">
        <v>12</v>
      </c>
      <c r="G849" s="1417">
        <v>0</v>
      </c>
      <c r="H849" s="1665">
        <v>507214</v>
      </c>
      <c r="I849" s="1665">
        <v>2834027</v>
      </c>
      <c r="J849" s="1665">
        <v>1178</v>
      </c>
      <c r="K849" s="1665">
        <v>193121396</v>
      </c>
    </row>
    <row r="850" spans="1:11">
      <c r="A850" t="s">
        <v>1378</v>
      </c>
      <c r="B850" t="s">
        <v>357</v>
      </c>
      <c r="C850" s="1417">
        <v>1.04</v>
      </c>
      <c r="D850" s="2020">
        <v>585246</v>
      </c>
      <c r="E850" s="2020">
        <v>0</v>
      </c>
      <c r="F850" s="2825">
        <v>12</v>
      </c>
      <c r="G850" s="1417">
        <v>0</v>
      </c>
    </row>
    <row r="851" spans="1:11">
      <c r="A851" t="s">
        <v>1379</v>
      </c>
      <c r="B851" t="s">
        <v>358</v>
      </c>
      <c r="C851" s="1417">
        <v>1.04</v>
      </c>
      <c r="D851" s="2020">
        <v>25107378</v>
      </c>
      <c r="E851" s="2020">
        <v>1760171</v>
      </c>
      <c r="F851" s="2825">
        <v>12</v>
      </c>
      <c r="G851" s="1417">
        <v>0</v>
      </c>
      <c r="H851" s="1665">
        <v>2934028</v>
      </c>
      <c r="I851" s="1665">
        <v>9522241</v>
      </c>
      <c r="J851" s="1665">
        <v>4084</v>
      </c>
      <c r="K851" s="1665">
        <v>731572850</v>
      </c>
    </row>
    <row r="852" spans="1:11">
      <c r="A852" t="s">
        <v>1473</v>
      </c>
      <c r="B852" t="s">
        <v>359</v>
      </c>
      <c r="C852" s="1417">
        <v>1.04</v>
      </c>
      <c r="D852" s="2020">
        <v>2031706</v>
      </c>
      <c r="E852" s="2020">
        <v>0</v>
      </c>
      <c r="F852" s="2825">
        <v>12</v>
      </c>
      <c r="G852" s="1417">
        <v>0</v>
      </c>
      <c r="H852" s="1665">
        <v>537233</v>
      </c>
      <c r="I852" s="1665">
        <v>770878</v>
      </c>
      <c r="J852" s="1417">
        <v>254</v>
      </c>
      <c r="K852" s="1665">
        <v>118791802</v>
      </c>
    </row>
    <row r="853" spans="1:11">
      <c r="A853" t="s">
        <v>961</v>
      </c>
      <c r="B853" t="s">
        <v>360</v>
      </c>
      <c r="C853" s="1417">
        <v>1.0304</v>
      </c>
      <c r="D853" s="2020">
        <v>2395838</v>
      </c>
      <c r="E853" s="2020">
        <v>200715</v>
      </c>
      <c r="F853" s="2825">
        <v>12</v>
      </c>
      <c r="G853" s="1417">
        <v>0</v>
      </c>
    </row>
    <row r="854" spans="1:11">
      <c r="A854" t="s">
        <v>962</v>
      </c>
      <c r="B854" t="s">
        <v>361</v>
      </c>
      <c r="C854" s="1417">
        <v>1.04</v>
      </c>
      <c r="D854" s="2020">
        <v>509320</v>
      </c>
      <c r="E854" s="2020">
        <v>0</v>
      </c>
      <c r="F854" s="2825">
        <v>12</v>
      </c>
      <c r="G854" s="1417">
        <v>0</v>
      </c>
    </row>
    <row r="855" spans="1:11">
      <c r="A855" t="s">
        <v>963</v>
      </c>
      <c r="B855" t="s">
        <v>1776</v>
      </c>
      <c r="C855" s="1417">
        <v>1.04</v>
      </c>
      <c r="D855" s="2020">
        <v>3978962</v>
      </c>
      <c r="E855" s="2020">
        <v>539245</v>
      </c>
      <c r="F855" s="2825">
        <v>12</v>
      </c>
      <c r="G855" s="1417">
        <v>0</v>
      </c>
    </row>
    <row r="856" spans="1:11">
      <c r="A856" t="s">
        <v>1089</v>
      </c>
      <c r="B856" t="s">
        <v>1777</v>
      </c>
      <c r="C856" s="1417">
        <v>1.0229999999999999</v>
      </c>
      <c r="D856" s="2020">
        <v>2599713</v>
      </c>
      <c r="E856" s="2020">
        <v>203893</v>
      </c>
      <c r="F856" s="2825">
        <v>12</v>
      </c>
      <c r="G856" s="1417">
        <v>0</v>
      </c>
    </row>
    <row r="857" spans="1:11">
      <c r="A857" t="s">
        <v>192</v>
      </c>
      <c r="B857" t="s">
        <v>1249</v>
      </c>
      <c r="C857" s="1417">
        <v>1.1100000000000001</v>
      </c>
      <c r="D857" s="2020">
        <v>2290193</v>
      </c>
      <c r="E857" s="2020">
        <v>189779</v>
      </c>
      <c r="F857" s="2825">
        <v>12</v>
      </c>
      <c r="G857" s="1417">
        <v>0</v>
      </c>
    </row>
    <row r="858" spans="1:11">
      <c r="A858" t="s">
        <v>1090</v>
      </c>
      <c r="B858" t="s">
        <v>1778</v>
      </c>
      <c r="C858" s="1417">
        <v>1.04</v>
      </c>
      <c r="D858" s="2020">
        <v>712615</v>
      </c>
      <c r="E858" s="2020">
        <v>0</v>
      </c>
      <c r="F858" s="2825">
        <v>12</v>
      </c>
      <c r="G858" s="1417">
        <v>0</v>
      </c>
    </row>
    <row r="859" spans="1:11">
      <c r="A859" t="s">
        <v>1091</v>
      </c>
      <c r="B859" t="s">
        <v>1779</v>
      </c>
      <c r="C859" s="1417">
        <v>1.04</v>
      </c>
      <c r="D859" s="2020">
        <v>1582922</v>
      </c>
      <c r="E859" s="2020">
        <v>117605</v>
      </c>
      <c r="F859" s="2825">
        <v>12</v>
      </c>
      <c r="G859" s="1417">
        <v>0</v>
      </c>
    </row>
    <row r="860" spans="1:11">
      <c r="A860" t="s">
        <v>1238</v>
      </c>
      <c r="B860" t="s">
        <v>1780</v>
      </c>
      <c r="C860" s="1417">
        <v>1.17</v>
      </c>
      <c r="D860" s="2020">
        <v>156405</v>
      </c>
      <c r="E860" s="2020">
        <v>0</v>
      </c>
      <c r="F860" s="2825">
        <v>8</v>
      </c>
      <c r="G860" s="1417">
        <v>0</v>
      </c>
    </row>
    <row r="861" spans="1:11">
      <c r="A861" t="s">
        <v>1239</v>
      </c>
      <c r="B861" t="s">
        <v>1781</v>
      </c>
      <c r="C861" s="1417">
        <v>1.04</v>
      </c>
      <c r="D861" s="2020">
        <v>1696968</v>
      </c>
      <c r="E861" s="2020">
        <v>0</v>
      </c>
      <c r="F861" s="2825">
        <v>12</v>
      </c>
      <c r="G861" s="1417">
        <v>0</v>
      </c>
      <c r="H861" s="1665">
        <v>106951</v>
      </c>
      <c r="I861" s="1665">
        <v>290943</v>
      </c>
      <c r="J861" s="1417">
        <v>114</v>
      </c>
      <c r="K861" s="1665">
        <v>114512519</v>
      </c>
    </row>
    <row r="862" spans="1:11">
      <c r="A862" t="s">
        <v>1801</v>
      </c>
      <c r="B862" t="s">
        <v>1994</v>
      </c>
      <c r="C862" s="1417">
        <v>1.04</v>
      </c>
      <c r="D862" s="2020">
        <v>4031526</v>
      </c>
      <c r="E862" s="2020">
        <v>237580</v>
      </c>
      <c r="F862" s="2825">
        <v>12</v>
      </c>
      <c r="G862" s="1417">
        <v>0</v>
      </c>
      <c r="H862" s="1665">
        <v>586659</v>
      </c>
      <c r="I862" s="1665">
        <v>2073457</v>
      </c>
      <c r="J862" s="1417">
        <v>828</v>
      </c>
      <c r="K862" s="1665">
        <v>240431113</v>
      </c>
    </row>
    <row r="863" spans="1:11">
      <c r="A863" t="s">
        <v>274</v>
      </c>
      <c r="B863" t="s">
        <v>2115</v>
      </c>
      <c r="C863" s="1417">
        <v>1.04</v>
      </c>
      <c r="D863" s="2020">
        <v>4723932</v>
      </c>
      <c r="E863" s="2020">
        <v>814960</v>
      </c>
      <c r="F863" s="2825">
        <v>12</v>
      </c>
      <c r="G863" s="1417">
        <v>0</v>
      </c>
      <c r="H863" s="1417">
        <v>0</v>
      </c>
      <c r="I863" s="1665">
        <v>2438201</v>
      </c>
      <c r="J863" s="1665">
        <v>1103</v>
      </c>
      <c r="K863" s="1665">
        <v>99669019</v>
      </c>
    </row>
    <row r="864" spans="1:11">
      <c r="A864" t="s">
        <v>1727</v>
      </c>
      <c r="B864" t="s">
        <v>1995</v>
      </c>
      <c r="C864" s="1417">
        <v>1.04</v>
      </c>
      <c r="D864" s="2020">
        <v>6597281</v>
      </c>
      <c r="E864" s="2020">
        <v>1012522</v>
      </c>
      <c r="F864" s="2825">
        <v>12</v>
      </c>
      <c r="G864" s="1417">
        <v>0</v>
      </c>
    </row>
    <row r="865" spans="1:11">
      <c r="A865" t="s">
        <v>1728</v>
      </c>
      <c r="B865" t="s">
        <v>1996</v>
      </c>
      <c r="C865" s="1417">
        <v>1.04</v>
      </c>
      <c r="D865" s="2020">
        <v>10722938</v>
      </c>
      <c r="E865" s="2020">
        <v>1994007</v>
      </c>
      <c r="F865" s="2825">
        <v>12</v>
      </c>
      <c r="G865" s="1417">
        <v>0</v>
      </c>
    </row>
    <row r="866" spans="1:11">
      <c r="A866" t="s">
        <v>1006</v>
      </c>
      <c r="B866" t="s">
        <v>1997</v>
      </c>
      <c r="C866" s="1417">
        <v>0.94330000000000003</v>
      </c>
      <c r="D866" s="2020">
        <v>4131652</v>
      </c>
      <c r="E866" s="2020">
        <v>415213</v>
      </c>
      <c r="F866" s="2825">
        <v>12</v>
      </c>
      <c r="G866" s="1417">
        <v>0</v>
      </c>
    </row>
    <row r="867" spans="1:11">
      <c r="A867" t="s">
        <v>189</v>
      </c>
      <c r="B867" t="s">
        <v>1998</v>
      </c>
      <c r="C867" s="1417">
        <v>1.0297000000000001</v>
      </c>
      <c r="D867" s="2020">
        <v>70686490</v>
      </c>
      <c r="E867" s="2020">
        <v>10991658</v>
      </c>
      <c r="F867" s="2825">
        <v>12</v>
      </c>
      <c r="G867" s="1417">
        <v>0</v>
      </c>
    </row>
    <row r="868" spans="1:11">
      <c r="A868" t="s">
        <v>1181</v>
      </c>
      <c r="B868" t="s">
        <v>1334</v>
      </c>
      <c r="C868" s="1417">
        <v>1.04</v>
      </c>
      <c r="D868" s="2020">
        <v>15771388</v>
      </c>
      <c r="E868" s="2020">
        <v>972690</v>
      </c>
      <c r="F868" s="2825">
        <v>12</v>
      </c>
      <c r="G868" s="1417">
        <v>0</v>
      </c>
    </row>
    <row r="869" spans="1:11">
      <c r="A869" t="s">
        <v>1340</v>
      </c>
      <c r="B869" t="s">
        <v>660</v>
      </c>
      <c r="C869" s="1417">
        <v>1.04</v>
      </c>
      <c r="D869" s="2020">
        <v>10132475</v>
      </c>
      <c r="E869" s="2020">
        <v>942034</v>
      </c>
      <c r="F869" s="2825">
        <v>12</v>
      </c>
      <c r="G869" s="1417">
        <v>0</v>
      </c>
    </row>
    <row r="870" spans="1:11">
      <c r="A870" t="s">
        <v>1341</v>
      </c>
      <c r="B870" t="s">
        <v>1999</v>
      </c>
      <c r="C870" s="1417">
        <v>1.04</v>
      </c>
      <c r="D870" s="2020">
        <v>3402210</v>
      </c>
      <c r="E870" s="2020">
        <v>194380</v>
      </c>
      <c r="F870" s="2825">
        <v>12</v>
      </c>
      <c r="G870" s="1417">
        <v>0</v>
      </c>
    </row>
    <row r="871" spans="1:11">
      <c r="A871" t="s">
        <v>1342</v>
      </c>
      <c r="B871" t="s">
        <v>2000</v>
      </c>
      <c r="C871" s="1417">
        <v>0.8054</v>
      </c>
      <c r="D871" s="2020">
        <v>23654829</v>
      </c>
      <c r="E871" s="2020">
        <v>1387068</v>
      </c>
      <c r="F871" s="2825">
        <v>12</v>
      </c>
      <c r="G871" s="1417">
        <v>0</v>
      </c>
      <c r="H871" s="1665">
        <v>8589456</v>
      </c>
      <c r="I871" s="1665">
        <v>3744526</v>
      </c>
      <c r="J871" s="1665">
        <v>1556</v>
      </c>
      <c r="K871" s="1665">
        <v>6885019427</v>
      </c>
    </row>
    <row r="872" spans="1:11">
      <c r="A872" t="s">
        <v>2653</v>
      </c>
      <c r="B872" t="s">
        <v>2693</v>
      </c>
      <c r="C872" s="1417">
        <v>1.17</v>
      </c>
      <c r="D872" s="2020">
        <v>11896600</v>
      </c>
      <c r="E872" s="2020">
        <v>2202231</v>
      </c>
      <c r="F872" s="2825">
        <v>12</v>
      </c>
      <c r="G872" s="1417">
        <v>0</v>
      </c>
    </row>
    <row r="873" spans="1:11">
      <c r="A873" t="s">
        <v>1729</v>
      </c>
      <c r="B873" t="s">
        <v>2001</v>
      </c>
      <c r="C873" s="1417">
        <v>1.04</v>
      </c>
      <c r="D873" s="2020">
        <v>3010223</v>
      </c>
      <c r="E873" s="2020">
        <v>0</v>
      </c>
      <c r="F873" s="2825">
        <v>12</v>
      </c>
      <c r="G873" s="1417">
        <v>0</v>
      </c>
      <c r="H873" s="1665">
        <v>632405</v>
      </c>
      <c r="I873" s="1665">
        <v>1402649</v>
      </c>
      <c r="J873" s="1417">
        <v>517</v>
      </c>
      <c r="K873" s="1665">
        <v>140325468</v>
      </c>
    </row>
    <row r="874" spans="1:11">
      <c r="A874" t="s">
        <v>193</v>
      </c>
      <c r="B874" t="s">
        <v>608</v>
      </c>
      <c r="C874" s="1417">
        <v>1.04</v>
      </c>
      <c r="D874" s="2020">
        <v>4305067</v>
      </c>
      <c r="E874" s="2020">
        <v>630517</v>
      </c>
      <c r="F874" s="2825">
        <v>12</v>
      </c>
      <c r="G874" s="1417">
        <v>0</v>
      </c>
    </row>
    <row r="875" spans="1:11">
      <c r="A875" t="s">
        <v>1730</v>
      </c>
      <c r="B875" t="s">
        <v>2002</v>
      </c>
      <c r="C875" s="1417">
        <v>1.04</v>
      </c>
      <c r="D875" s="2020">
        <v>6331352</v>
      </c>
      <c r="E875" s="2020">
        <v>697439</v>
      </c>
      <c r="F875" s="2825">
        <v>12</v>
      </c>
      <c r="G875" s="1417">
        <v>0</v>
      </c>
    </row>
    <row r="876" spans="1:11">
      <c r="A876" t="s">
        <v>2584</v>
      </c>
      <c r="B876" t="s">
        <v>2562</v>
      </c>
      <c r="C876" s="1417">
        <v>1.04</v>
      </c>
      <c r="D876" s="2020">
        <v>6215309</v>
      </c>
      <c r="E876" s="2020">
        <v>334056</v>
      </c>
      <c r="F876" s="2825">
        <v>12</v>
      </c>
      <c r="G876" s="1417">
        <v>0</v>
      </c>
      <c r="H876" s="1665">
        <v>778030</v>
      </c>
      <c r="I876" s="1665">
        <v>1585480</v>
      </c>
      <c r="J876" s="1417">
        <v>656</v>
      </c>
      <c r="K876" s="1665">
        <v>361919809</v>
      </c>
    </row>
    <row r="877" spans="1:11">
      <c r="A877" t="s">
        <v>750</v>
      </c>
      <c r="B877" t="s">
        <v>2563</v>
      </c>
      <c r="C877" s="1417">
        <v>1.04</v>
      </c>
      <c r="D877" s="2020">
        <v>1609333</v>
      </c>
      <c r="E877" s="2020">
        <v>0</v>
      </c>
      <c r="F877" s="2825">
        <v>12</v>
      </c>
      <c r="G877" s="1417">
        <v>0</v>
      </c>
      <c r="H877" s="1665">
        <v>770781</v>
      </c>
      <c r="I877" s="1665">
        <v>1646135</v>
      </c>
      <c r="J877" s="1417">
        <v>673</v>
      </c>
      <c r="K877" s="1665">
        <v>234545550</v>
      </c>
    </row>
    <row r="878" spans="1:11">
      <c r="A878" t="s">
        <v>751</v>
      </c>
      <c r="B878" t="s">
        <v>2564</v>
      </c>
      <c r="C878" s="1417">
        <v>1.04</v>
      </c>
      <c r="D878" s="2020">
        <v>15404301</v>
      </c>
      <c r="E878" s="2020">
        <v>1152670</v>
      </c>
      <c r="F878" s="2825">
        <v>12</v>
      </c>
      <c r="G878" s="1417">
        <v>0</v>
      </c>
      <c r="H878" s="1665">
        <v>1095493</v>
      </c>
      <c r="I878" s="1665">
        <v>3504762</v>
      </c>
      <c r="J878" s="1665">
        <v>1466</v>
      </c>
      <c r="K878" s="1665">
        <v>408403721</v>
      </c>
    </row>
    <row r="879" spans="1:11">
      <c r="A879" t="s">
        <v>802</v>
      </c>
      <c r="B879" t="s">
        <v>2565</v>
      </c>
      <c r="C879" s="1417">
        <v>1.008</v>
      </c>
      <c r="D879" s="2020">
        <v>619424</v>
      </c>
      <c r="E879" s="2020">
        <v>0</v>
      </c>
      <c r="F879" s="2825">
        <v>12</v>
      </c>
      <c r="G879" s="1417">
        <v>0</v>
      </c>
    </row>
    <row r="880" spans="1:11">
      <c r="A880" t="s">
        <v>568</v>
      </c>
      <c r="B880" t="s">
        <v>2566</v>
      </c>
      <c r="C880" s="1417">
        <v>1.1599999999999999</v>
      </c>
      <c r="D880" s="2020">
        <v>1561549</v>
      </c>
      <c r="E880" s="2020">
        <v>0</v>
      </c>
      <c r="F880" s="2825">
        <v>12</v>
      </c>
      <c r="G880" s="1417">
        <v>0</v>
      </c>
    </row>
    <row r="881" spans="1:11">
      <c r="A881" t="s">
        <v>569</v>
      </c>
      <c r="B881" t="s">
        <v>2567</v>
      </c>
      <c r="C881" s="1417">
        <v>1.17</v>
      </c>
      <c r="D881" s="2020">
        <v>587020</v>
      </c>
      <c r="E881" s="2020">
        <v>3108</v>
      </c>
      <c r="F881" s="2825">
        <v>12</v>
      </c>
      <c r="G881" s="1417">
        <v>0</v>
      </c>
    </row>
    <row r="882" spans="1:11">
      <c r="A882" t="s">
        <v>2298</v>
      </c>
      <c r="B882" t="s">
        <v>2421</v>
      </c>
      <c r="C882" s="1417">
        <v>1.04</v>
      </c>
      <c r="D882" s="2020">
        <v>212879449</v>
      </c>
      <c r="E882" s="2020">
        <v>44835023</v>
      </c>
      <c r="F882" s="2825">
        <v>12</v>
      </c>
      <c r="G882" s="1417">
        <v>0</v>
      </c>
    </row>
    <row r="883" spans="1:11">
      <c r="A883" t="s">
        <v>873</v>
      </c>
      <c r="B883" t="s">
        <v>797</v>
      </c>
      <c r="C883" s="1417">
        <v>1.04</v>
      </c>
      <c r="D883" s="2020">
        <v>74111324</v>
      </c>
      <c r="E883" s="2020">
        <v>14605246</v>
      </c>
      <c r="F883" s="2825">
        <v>12</v>
      </c>
      <c r="G883" s="1417">
        <v>0</v>
      </c>
    </row>
    <row r="884" spans="1:11">
      <c r="A884" t="s">
        <v>1849</v>
      </c>
      <c r="B884" t="s">
        <v>2568</v>
      </c>
      <c r="C884" s="1417">
        <v>1.04</v>
      </c>
      <c r="D884" s="2020">
        <v>10510941</v>
      </c>
      <c r="E884" s="2020">
        <v>786152</v>
      </c>
      <c r="F884" s="2825">
        <v>12</v>
      </c>
      <c r="G884" s="1417">
        <v>0</v>
      </c>
    </row>
    <row r="885" spans="1:11">
      <c r="A885" t="s">
        <v>2018</v>
      </c>
      <c r="B885" t="s">
        <v>1278</v>
      </c>
      <c r="C885" s="1417">
        <v>1.04</v>
      </c>
      <c r="D885" s="2020">
        <v>251093328</v>
      </c>
      <c r="E885" s="2020">
        <v>30579156</v>
      </c>
      <c r="F885" s="2825">
        <v>12</v>
      </c>
      <c r="G885" s="1417">
        <v>0</v>
      </c>
    </row>
    <row r="886" spans="1:11">
      <c r="A886" t="s">
        <v>2182</v>
      </c>
      <c r="B886" t="s">
        <v>1279</v>
      </c>
      <c r="C886" s="1417">
        <v>1.04</v>
      </c>
      <c r="D886" s="2020">
        <v>101326182</v>
      </c>
      <c r="E886" s="2020">
        <v>22562584</v>
      </c>
      <c r="F886" s="2825">
        <v>12</v>
      </c>
      <c r="G886" s="1417">
        <v>0</v>
      </c>
      <c r="H886" s="1665">
        <v>6885776</v>
      </c>
      <c r="I886" s="1665">
        <v>26394237</v>
      </c>
      <c r="J886" s="1665">
        <v>11161</v>
      </c>
      <c r="K886" s="1665">
        <v>3615945336</v>
      </c>
    </row>
    <row r="887" spans="1:11">
      <c r="A887" t="s">
        <v>50</v>
      </c>
      <c r="B887" t="s">
        <v>412</v>
      </c>
      <c r="C887" s="1417">
        <v>1.04</v>
      </c>
      <c r="D887" s="2020">
        <v>102799492</v>
      </c>
      <c r="E887" s="2020">
        <v>24856614</v>
      </c>
      <c r="F887" s="2825">
        <v>12</v>
      </c>
      <c r="G887" s="1417">
        <v>0</v>
      </c>
    </row>
    <row r="888" spans="1:11">
      <c r="A888" t="s">
        <v>347</v>
      </c>
      <c r="B888" t="s">
        <v>290</v>
      </c>
      <c r="C888" s="1417">
        <v>1.04</v>
      </c>
      <c r="D888" s="2020">
        <v>86330943</v>
      </c>
      <c r="E888" s="2020">
        <v>27546810</v>
      </c>
      <c r="F888" s="2825">
        <v>12</v>
      </c>
      <c r="G888" s="1417">
        <v>0</v>
      </c>
    </row>
    <row r="889" spans="1:11">
      <c r="A889" t="s">
        <v>1767</v>
      </c>
      <c r="B889" t="s">
        <v>2301</v>
      </c>
      <c r="C889" s="1417">
        <v>1.04</v>
      </c>
      <c r="D889" s="2020">
        <v>8006247</v>
      </c>
      <c r="E889" s="2020">
        <v>2493467</v>
      </c>
      <c r="F889" s="2825">
        <v>12</v>
      </c>
      <c r="G889" s="1417">
        <v>0</v>
      </c>
    </row>
    <row r="890" spans="1:11">
      <c r="A890" t="s">
        <v>2405</v>
      </c>
      <c r="B890" t="s">
        <v>419</v>
      </c>
      <c r="C890" s="1417">
        <v>1.04</v>
      </c>
      <c r="D890" s="2020">
        <v>48635190</v>
      </c>
      <c r="E890" s="2020">
        <v>11597324</v>
      </c>
      <c r="F890" s="2825">
        <v>12</v>
      </c>
      <c r="G890" s="1417">
        <v>0</v>
      </c>
    </row>
    <row r="891" spans="1:11">
      <c r="A891" t="s">
        <v>52</v>
      </c>
      <c r="B891" t="s">
        <v>2516</v>
      </c>
      <c r="C891" s="1417">
        <v>1.04</v>
      </c>
      <c r="D891" s="2020">
        <v>9735992</v>
      </c>
      <c r="E891" s="2020">
        <v>2889658</v>
      </c>
      <c r="F891" s="2825">
        <v>12</v>
      </c>
      <c r="G891" s="1417">
        <v>0</v>
      </c>
    </row>
    <row r="892" spans="1:11">
      <c r="A892" t="s">
        <v>1681</v>
      </c>
      <c r="B892" t="s">
        <v>2119</v>
      </c>
      <c r="C892" s="1417">
        <v>1.04</v>
      </c>
      <c r="D892" s="2020">
        <v>20458535</v>
      </c>
      <c r="E892" s="2020">
        <v>2520510</v>
      </c>
      <c r="F892" s="2825">
        <v>12</v>
      </c>
      <c r="G892" s="1417">
        <v>0</v>
      </c>
    </row>
    <row r="893" spans="1:11">
      <c r="A893" t="s">
        <v>1119</v>
      </c>
      <c r="B893" t="s">
        <v>1267</v>
      </c>
      <c r="C893" s="1417">
        <v>1.04</v>
      </c>
      <c r="D893" s="2020">
        <v>89728087</v>
      </c>
      <c r="E893" s="2020">
        <v>19443922</v>
      </c>
      <c r="F893" s="2825">
        <v>12</v>
      </c>
      <c r="G893" s="1417">
        <v>0</v>
      </c>
      <c r="H893" s="1665">
        <v>16042235</v>
      </c>
      <c r="I893" s="1665">
        <v>47299387</v>
      </c>
      <c r="J893" s="1665">
        <v>20240</v>
      </c>
      <c r="K893" s="1665">
        <v>4639269247</v>
      </c>
    </row>
    <row r="894" spans="1:11">
      <c r="A894" t="s">
        <v>1847</v>
      </c>
      <c r="B894" t="s">
        <v>657</v>
      </c>
      <c r="C894" s="1417">
        <v>1.04</v>
      </c>
      <c r="D894" s="2020">
        <v>4950342</v>
      </c>
      <c r="E894" s="2020">
        <v>697246</v>
      </c>
      <c r="F894" s="2825">
        <v>12</v>
      </c>
      <c r="G894" s="1417">
        <v>0</v>
      </c>
    </row>
    <row r="895" spans="1:11">
      <c r="A895" t="s">
        <v>2223</v>
      </c>
      <c r="B895" t="s">
        <v>1280</v>
      </c>
      <c r="C895" s="1417">
        <v>0.94010000000000005</v>
      </c>
      <c r="D895" s="2020">
        <v>54593664</v>
      </c>
      <c r="E895" s="2020">
        <v>17044103</v>
      </c>
      <c r="F895" s="2825">
        <v>12</v>
      </c>
      <c r="G895" s="1417">
        <v>0</v>
      </c>
      <c r="H895" s="1665">
        <v>2989824</v>
      </c>
      <c r="I895" s="1665">
        <v>12447466</v>
      </c>
      <c r="J895" s="1665">
        <v>5221</v>
      </c>
      <c r="K895" s="1665">
        <v>1088280377</v>
      </c>
    </row>
    <row r="896" spans="1:11">
      <c r="A896" t="s">
        <v>1846</v>
      </c>
      <c r="B896" t="s">
        <v>656</v>
      </c>
      <c r="C896" s="1417">
        <v>1.04</v>
      </c>
      <c r="D896" s="2020">
        <v>50492957</v>
      </c>
      <c r="E896" s="2020">
        <v>18128021</v>
      </c>
      <c r="F896" s="2825">
        <v>12</v>
      </c>
      <c r="G896" s="1417">
        <v>0</v>
      </c>
      <c r="H896" s="1665">
        <v>3366665</v>
      </c>
      <c r="I896" s="1665">
        <v>6067868</v>
      </c>
      <c r="J896" s="1665">
        <v>2525</v>
      </c>
      <c r="K896" s="1665">
        <v>837019969</v>
      </c>
    </row>
    <row r="897" spans="1:11">
      <c r="A897" t="s">
        <v>1180</v>
      </c>
      <c r="B897" t="s">
        <v>1333</v>
      </c>
      <c r="C897" s="1417">
        <v>1.04</v>
      </c>
      <c r="D897" s="2020">
        <v>14122119</v>
      </c>
      <c r="E897" s="2020">
        <v>4471173</v>
      </c>
      <c r="F897" s="2825">
        <v>12</v>
      </c>
      <c r="G897" s="1417">
        <v>0</v>
      </c>
    </row>
    <row r="898" spans="1:11">
      <c r="A898" t="s">
        <v>2224</v>
      </c>
      <c r="B898" t="s">
        <v>1281</v>
      </c>
      <c r="C898" s="1417">
        <v>1.04</v>
      </c>
      <c r="D898" s="2020">
        <v>37836677</v>
      </c>
      <c r="E898" s="2020">
        <v>3703298</v>
      </c>
      <c r="F898" s="2825">
        <v>12</v>
      </c>
      <c r="G898" s="1417">
        <v>0</v>
      </c>
    </row>
    <row r="899" spans="1:11">
      <c r="A899" t="s">
        <v>2225</v>
      </c>
      <c r="B899" t="s">
        <v>1282</v>
      </c>
      <c r="C899" s="1417">
        <v>1.04</v>
      </c>
      <c r="D899" s="2020">
        <v>3747066</v>
      </c>
      <c r="E899" s="2020">
        <v>48021</v>
      </c>
      <c r="F899" s="2825">
        <v>12</v>
      </c>
      <c r="G899" s="1417">
        <v>0</v>
      </c>
    </row>
    <row r="900" spans="1:11">
      <c r="A900" t="s">
        <v>2655</v>
      </c>
      <c r="B900" t="s">
        <v>1283</v>
      </c>
      <c r="C900" s="1417">
        <v>1.04</v>
      </c>
      <c r="D900" s="2020">
        <v>1031740</v>
      </c>
      <c r="E900" s="2020">
        <v>384845</v>
      </c>
      <c r="F900" s="2825">
        <v>12</v>
      </c>
      <c r="G900" s="1417">
        <v>0</v>
      </c>
      <c r="H900" s="1665">
        <v>232905</v>
      </c>
      <c r="I900" s="1665">
        <v>693940</v>
      </c>
      <c r="J900" s="1417">
        <v>248</v>
      </c>
      <c r="K900" s="1665">
        <v>33371934</v>
      </c>
    </row>
    <row r="901" spans="1:11">
      <c r="A901" t="s">
        <v>2656</v>
      </c>
      <c r="B901" t="s">
        <v>2335</v>
      </c>
      <c r="C901" s="1417">
        <v>1.04</v>
      </c>
      <c r="D901" s="2020">
        <v>4900276</v>
      </c>
      <c r="E901" s="2020">
        <v>191519</v>
      </c>
      <c r="F901" s="2825">
        <v>12</v>
      </c>
      <c r="G901" s="1417">
        <v>0</v>
      </c>
    </row>
    <row r="902" spans="1:11">
      <c r="A902" t="s">
        <v>2657</v>
      </c>
      <c r="B902" t="s">
        <v>1132</v>
      </c>
      <c r="C902" s="1417">
        <v>0.97</v>
      </c>
      <c r="D902" s="2020">
        <v>10655940</v>
      </c>
      <c r="E902" s="2020">
        <v>1193000</v>
      </c>
      <c r="F902" s="2825">
        <v>12</v>
      </c>
      <c r="G902" s="1417">
        <v>0</v>
      </c>
    </row>
    <row r="903" spans="1:11">
      <c r="A903" t="s">
        <v>2658</v>
      </c>
      <c r="B903" t="s">
        <v>1285</v>
      </c>
      <c r="C903" s="1417">
        <v>1.0215000000000001</v>
      </c>
      <c r="D903" s="2020">
        <v>10102319</v>
      </c>
      <c r="E903" s="2020">
        <v>340188</v>
      </c>
      <c r="F903" s="2825">
        <v>12</v>
      </c>
      <c r="G903" s="1417">
        <v>0</v>
      </c>
      <c r="H903" s="1665">
        <v>393879</v>
      </c>
      <c r="I903" s="1665">
        <v>1372381</v>
      </c>
      <c r="J903" s="1417">
        <v>547</v>
      </c>
      <c r="K903" s="1665">
        <v>147385072</v>
      </c>
    </row>
    <row r="904" spans="1:11">
      <c r="A904" t="s">
        <v>1170</v>
      </c>
      <c r="B904" t="s">
        <v>305</v>
      </c>
      <c r="C904" s="1417">
        <v>1.04</v>
      </c>
      <c r="D904" s="2020">
        <v>6564948</v>
      </c>
      <c r="E904" s="2020">
        <v>523510</v>
      </c>
      <c r="F904" s="2825">
        <v>12</v>
      </c>
      <c r="G904" s="1417">
        <v>0</v>
      </c>
    </row>
    <row r="905" spans="1:11">
      <c r="A905" t="s">
        <v>1845</v>
      </c>
      <c r="B905" t="s">
        <v>822</v>
      </c>
      <c r="C905" s="1417">
        <v>1.04</v>
      </c>
      <c r="D905" s="2020">
        <v>653670</v>
      </c>
      <c r="E905" s="2020">
        <v>37307</v>
      </c>
      <c r="F905" s="2825">
        <v>12</v>
      </c>
      <c r="G905" s="1417">
        <v>0</v>
      </c>
    </row>
    <row r="906" spans="1:11">
      <c r="A906" t="s">
        <v>1171</v>
      </c>
      <c r="B906" t="s">
        <v>2336</v>
      </c>
      <c r="C906" s="1417">
        <v>1.04</v>
      </c>
      <c r="D906" s="2020">
        <v>1435397</v>
      </c>
      <c r="E906" s="2020">
        <v>0</v>
      </c>
      <c r="F906" s="2825">
        <v>12</v>
      </c>
      <c r="G906" s="1417">
        <v>0</v>
      </c>
      <c r="H906" s="1665">
        <v>477028</v>
      </c>
      <c r="I906" s="1665">
        <v>620837</v>
      </c>
      <c r="J906" s="1417">
        <v>208</v>
      </c>
      <c r="K906" s="1665">
        <v>133587389</v>
      </c>
    </row>
    <row r="907" spans="1:11">
      <c r="A907" t="s">
        <v>1586</v>
      </c>
      <c r="B907" t="s">
        <v>636</v>
      </c>
      <c r="C907" s="1417">
        <v>1.04</v>
      </c>
      <c r="D907" s="2020">
        <v>1165102</v>
      </c>
      <c r="E907" s="2020">
        <v>0</v>
      </c>
      <c r="F907" s="2825">
        <v>12</v>
      </c>
      <c r="G907" s="1417">
        <v>0</v>
      </c>
    </row>
    <row r="908" spans="1:11">
      <c r="A908" t="s">
        <v>1587</v>
      </c>
      <c r="B908" t="s">
        <v>637</v>
      </c>
      <c r="C908" s="1417">
        <v>1.17</v>
      </c>
      <c r="D908" s="2020">
        <v>373183</v>
      </c>
      <c r="E908" s="2020">
        <v>0</v>
      </c>
      <c r="F908" s="2825">
        <v>12</v>
      </c>
      <c r="G908" s="1417">
        <v>0</v>
      </c>
    </row>
    <row r="909" spans="1:11">
      <c r="A909" t="s">
        <v>1588</v>
      </c>
      <c r="B909" t="s">
        <v>638</v>
      </c>
      <c r="C909" s="1417">
        <v>1.04</v>
      </c>
      <c r="D909" s="2020">
        <v>20786335</v>
      </c>
      <c r="E909" s="2020">
        <v>1401041</v>
      </c>
      <c r="F909" s="2825">
        <v>12</v>
      </c>
      <c r="G909" s="1417">
        <v>0</v>
      </c>
    </row>
    <row r="910" spans="1:11">
      <c r="A910" t="s">
        <v>1817</v>
      </c>
      <c r="B910" t="s">
        <v>1665</v>
      </c>
      <c r="C910" s="1417">
        <v>1.04</v>
      </c>
      <c r="D910" s="2020">
        <v>490282</v>
      </c>
      <c r="E910" s="2020">
        <v>0</v>
      </c>
      <c r="F910" s="2825">
        <v>8</v>
      </c>
      <c r="G910" s="1417">
        <v>0</v>
      </c>
    </row>
    <row r="911" spans="1:11">
      <c r="A911" t="s">
        <v>275</v>
      </c>
      <c r="B911" t="s">
        <v>660</v>
      </c>
      <c r="C911" s="1417">
        <v>1.04</v>
      </c>
      <c r="D911" s="2020">
        <v>952517</v>
      </c>
      <c r="E911" s="2020">
        <v>95548</v>
      </c>
      <c r="F911" s="2825">
        <v>8</v>
      </c>
      <c r="G911" s="1417">
        <v>0</v>
      </c>
    </row>
    <row r="912" spans="1:11">
      <c r="A912" t="s">
        <v>1818</v>
      </c>
      <c r="B912" t="s">
        <v>1666</v>
      </c>
      <c r="C912" s="1417">
        <v>1.04</v>
      </c>
      <c r="D912" s="2020">
        <v>1163477</v>
      </c>
      <c r="E912" s="2020">
        <v>0</v>
      </c>
      <c r="F912" s="2825">
        <v>8</v>
      </c>
      <c r="G912" s="1417">
        <v>0</v>
      </c>
    </row>
    <row r="913" spans="1:11">
      <c r="A913" t="s">
        <v>2440</v>
      </c>
      <c r="B913" t="s">
        <v>1906</v>
      </c>
      <c r="C913" s="1417">
        <v>1.04</v>
      </c>
      <c r="D913" s="2020">
        <v>1284993</v>
      </c>
      <c r="E913" s="2020">
        <v>100472</v>
      </c>
      <c r="F913" s="2825">
        <v>12</v>
      </c>
      <c r="G913" s="1417">
        <v>0</v>
      </c>
    </row>
    <row r="914" spans="1:11">
      <c r="A914" t="s">
        <v>1313</v>
      </c>
      <c r="B914" t="s">
        <v>2027</v>
      </c>
      <c r="C914" s="1417">
        <v>1.04</v>
      </c>
      <c r="D914" s="2020">
        <v>32042422</v>
      </c>
      <c r="E914" s="2020">
        <v>1785810</v>
      </c>
      <c r="F914" s="2825">
        <v>12</v>
      </c>
      <c r="G914" s="1417">
        <v>0</v>
      </c>
    </row>
    <row r="915" spans="1:11">
      <c r="A915" t="s">
        <v>2428</v>
      </c>
      <c r="B915" t="s">
        <v>1907</v>
      </c>
      <c r="C915" s="1417">
        <v>1.04</v>
      </c>
      <c r="D915" s="2020">
        <v>1198287</v>
      </c>
      <c r="E915" s="2020">
        <v>213445</v>
      </c>
      <c r="F915" s="2825">
        <v>12</v>
      </c>
      <c r="G915" s="1417">
        <v>0</v>
      </c>
    </row>
    <row r="916" spans="1:11">
      <c r="A916" t="s">
        <v>342</v>
      </c>
      <c r="B916" t="s">
        <v>137</v>
      </c>
      <c r="C916" s="1417">
        <v>1.04</v>
      </c>
      <c r="D916" s="2020">
        <v>1900490</v>
      </c>
      <c r="E916" s="2020">
        <v>105993</v>
      </c>
      <c r="F916" s="2825">
        <v>12</v>
      </c>
      <c r="G916" s="1417">
        <v>0</v>
      </c>
    </row>
    <row r="917" spans="1:11">
      <c r="A917" t="s">
        <v>1307</v>
      </c>
      <c r="B917" t="s">
        <v>1731</v>
      </c>
      <c r="C917" s="1417">
        <v>1.17</v>
      </c>
      <c r="D917" s="2020">
        <v>1335540</v>
      </c>
      <c r="E917" s="2020">
        <v>198838</v>
      </c>
      <c r="F917" s="2825">
        <v>12</v>
      </c>
      <c r="G917" s="1417">
        <v>0</v>
      </c>
    </row>
    <row r="918" spans="1:11">
      <c r="A918" t="s">
        <v>1253</v>
      </c>
      <c r="B918" t="s">
        <v>2645</v>
      </c>
      <c r="C918" s="1417">
        <v>1.17</v>
      </c>
      <c r="D918" s="2020">
        <v>791824</v>
      </c>
      <c r="E918" s="2020">
        <v>75154</v>
      </c>
      <c r="F918" s="2825">
        <v>10</v>
      </c>
      <c r="G918" s="1417">
        <v>0</v>
      </c>
    </row>
    <row r="919" spans="1:11">
      <c r="A919" t="s">
        <v>263</v>
      </c>
      <c r="B919" t="s">
        <v>1908</v>
      </c>
      <c r="C919" s="1417">
        <v>1.04</v>
      </c>
      <c r="D919" s="2020">
        <v>567515646</v>
      </c>
      <c r="E919" s="2020">
        <v>57507125</v>
      </c>
      <c r="F919" s="2825">
        <v>12</v>
      </c>
      <c r="G919" s="1417">
        <v>0</v>
      </c>
      <c r="H919" s="1665">
        <v>67682077</v>
      </c>
      <c r="I919" s="1665">
        <v>195434372</v>
      </c>
      <c r="J919" s="1665">
        <v>82685</v>
      </c>
      <c r="K919" s="1665">
        <v>16517525236</v>
      </c>
    </row>
    <row r="920" spans="1:11">
      <c r="A920" t="s">
        <v>210</v>
      </c>
      <c r="B920" t="s">
        <v>998</v>
      </c>
      <c r="C920" s="1417">
        <v>1.04</v>
      </c>
      <c r="D920" s="2020">
        <v>71346317</v>
      </c>
      <c r="E920" s="2020">
        <v>18713063</v>
      </c>
      <c r="F920" s="2825">
        <v>12</v>
      </c>
      <c r="G920" s="1417">
        <v>0</v>
      </c>
    </row>
    <row r="921" spans="1:11">
      <c r="A921" t="s">
        <v>264</v>
      </c>
      <c r="B921" t="s">
        <v>1909</v>
      </c>
      <c r="C921" s="1417">
        <v>1.02</v>
      </c>
      <c r="D921" s="2020">
        <v>25134208</v>
      </c>
      <c r="E921" s="2020">
        <v>8094456</v>
      </c>
      <c r="F921" s="2825">
        <v>12</v>
      </c>
      <c r="G921" s="1417">
        <v>0</v>
      </c>
      <c r="H921" s="1665">
        <v>1523594</v>
      </c>
      <c r="I921" s="1665">
        <v>5044625</v>
      </c>
      <c r="J921" s="1665">
        <v>2070</v>
      </c>
      <c r="K921" s="1665">
        <v>405189225</v>
      </c>
    </row>
    <row r="922" spans="1:11">
      <c r="A922" t="s">
        <v>265</v>
      </c>
      <c r="B922" t="s">
        <v>1910</v>
      </c>
      <c r="C922" s="1417">
        <v>1.04</v>
      </c>
      <c r="D922" s="2020">
        <v>91270469</v>
      </c>
      <c r="E922" s="2020">
        <v>14316330</v>
      </c>
      <c r="F922" s="2825">
        <v>12</v>
      </c>
      <c r="G922" s="1417">
        <v>0</v>
      </c>
      <c r="H922" s="1665">
        <v>10858341</v>
      </c>
      <c r="I922" s="1665">
        <v>15220266</v>
      </c>
      <c r="J922" s="1665">
        <v>6354</v>
      </c>
      <c r="K922" s="1665">
        <v>1804437963</v>
      </c>
    </row>
    <row r="923" spans="1:11">
      <c r="A923" t="s">
        <v>1133</v>
      </c>
      <c r="B923" t="s">
        <v>2667</v>
      </c>
      <c r="C923" s="1417">
        <v>1.04</v>
      </c>
      <c r="D923" s="2020">
        <v>31449765</v>
      </c>
      <c r="E923" s="2020">
        <v>8966182</v>
      </c>
      <c r="F923" s="2825">
        <v>12</v>
      </c>
      <c r="G923" s="1417">
        <v>0</v>
      </c>
    </row>
    <row r="924" spans="1:11">
      <c r="A924" t="s">
        <v>2446</v>
      </c>
      <c r="B924" t="s">
        <v>1911</v>
      </c>
      <c r="C924" s="1417">
        <v>1.04</v>
      </c>
      <c r="D924" s="2020">
        <v>12495224</v>
      </c>
      <c r="E924" s="2020">
        <v>1818358</v>
      </c>
      <c r="F924" s="2825">
        <v>12</v>
      </c>
      <c r="G924" s="1417">
        <v>0</v>
      </c>
      <c r="H924" s="1665">
        <v>760465</v>
      </c>
      <c r="I924" s="1665">
        <v>1817443</v>
      </c>
      <c r="J924" s="1417">
        <v>765</v>
      </c>
      <c r="K924" s="1665">
        <v>245341709</v>
      </c>
    </row>
    <row r="925" spans="1:11">
      <c r="A925" t="s">
        <v>1320</v>
      </c>
      <c r="B925" t="s">
        <v>1912</v>
      </c>
      <c r="C925" s="1417">
        <v>1.04</v>
      </c>
      <c r="D925" s="2020">
        <v>62279745</v>
      </c>
      <c r="E925" s="2020">
        <v>10943079</v>
      </c>
      <c r="F925" s="2825">
        <v>12</v>
      </c>
      <c r="G925" s="1417">
        <v>0</v>
      </c>
      <c r="H925" s="1665">
        <v>2553918</v>
      </c>
      <c r="I925" s="1665">
        <v>5657555</v>
      </c>
      <c r="J925" s="1665">
        <v>2294</v>
      </c>
      <c r="K925" s="1665">
        <v>758073253</v>
      </c>
    </row>
    <row r="926" spans="1:11">
      <c r="A926" t="s">
        <v>1321</v>
      </c>
      <c r="B926" t="s">
        <v>1913</v>
      </c>
      <c r="C926" s="1417">
        <v>1.04</v>
      </c>
      <c r="D926" s="2020">
        <v>1387693</v>
      </c>
      <c r="E926" s="2020">
        <v>0</v>
      </c>
      <c r="F926" s="2825">
        <v>12</v>
      </c>
      <c r="G926" s="1417">
        <v>0</v>
      </c>
    </row>
    <row r="927" spans="1:11">
      <c r="A927" t="s">
        <v>1322</v>
      </c>
      <c r="B927" t="s">
        <v>1914</v>
      </c>
      <c r="C927" s="1417">
        <v>1.04</v>
      </c>
      <c r="D927" s="2020">
        <v>2144938</v>
      </c>
      <c r="E927" s="2020">
        <v>241560</v>
      </c>
      <c r="F927" s="2825">
        <v>12</v>
      </c>
      <c r="G927" s="1417">
        <v>0</v>
      </c>
    </row>
    <row r="928" spans="1:11">
      <c r="A928" t="s">
        <v>1323</v>
      </c>
      <c r="B928" t="s">
        <v>1824</v>
      </c>
      <c r="C928" s="1417">
        <v>1.04</v>
      </c>
      <c r="D928" s="2020">
        <v>263629</v>
      </c>
      <c r="E928" s="2020">
        <v>0</v>
      </c>
      <c r="F928" s="2825">
        <v>12</v>
      </c>
      <c r="G928" s="1417">
        <v>0</v>
      </c>
    </row>
    <row r="929" spans="1:11">
      <c r="A929" t="s">
        <v>1324</v>
      </c>
      <c r="B929" t="s">
        <v>1915</v>
      </c>
      <c r="C929" s="1417">
        <v>1.04</v>
      </c>
      <c r="D929" s="2020">
        <v>239554</v>
      </c>
      <c r="E929" s="2020">
        <v>0</v>
      </c>
      <c r="F929" s="2825">
        <v>12</v>
      </c>
      <c r="G929" s="1417">
        <v>0</v>
      </c>
    </row>
    <row r="930" spans="1:11">
      <c r="A930" t="s">
        <v>1434</v>
      </c>
      <c r="B930" t="s">
        <v>1547</v>
      </c>
      <c r="C930" s="1417">
        <v>1.04</v>
      </c>
      <c r="D930" s="2020">
        <v>935719</v>
      </c>
      <c r="E930" s="2020">
        <v>0</v>
      </c>
      <c r="F930" s="2825">
        <v>12</v>
      </c>
      <c r="G930" s="1417">
        <v>0</v>
      </c>
    </row>
    <row r="931" spans="1:11">
      <c r="A931" t="s">
        <v>1807</v>
      </c>
      <c r="B931" t="s">
        <v>1916</v>
      </c>
      <c r="C931" s="1417">
        <v>1.04</v>
      </c>
      <c r="D931" s="2020">
        <v>7507748</v>
      </c>
      <c r="E931" s="2020">
        <v>463743</v>
      </c>
      <c r="F931" s="2825">
        <v>12</v>
      </c>
      <c r="G931" s="1417">
        <v>0</v>
      </c>
      <c r="H931" s="1665">
        <v>590199</v>
      </c>
      <c r="I931" s="1665">
        <v>5074899</v>
      </c>
      <c r="J931" s="1665">
        <v>2013</v>
      </c>
      <c r="K931" s="1665">
        <v>202525814</v>
      </c>
    </row>
    <row r="932" spans="1:11">
      <c r="A932" t="s">
        <v>1808</v>
      </c>
      <c r="B932" t="s">
        <v>1917</v>
      </c>
      <c r="C932" s="1417">
        <v>1.04</v>
      </c>
      <c r="D932" s="2020">
        <v>2139810</v>
      </c>
      <c r="E932" s="2020">
        <v>0</v>
      </c>
      <c r="F932" s="2825">
        <v>12</v>
      </c>
      <c r="G932" s="1417">
        <v>0</v>
      </c>
    </row>
    <row r="933" spans="1:11">
      <c r="A933" t="s">
        <v>1254</v>
      </c>
      <c r="B933" t="s">
        <v>1938</v>
      </c>
      <c r="C933" s="1417">
        <v>1.04</v>
      </c>
      <c r="D933" s="2020">
        <v>537862</v>
      </c>
      <c r="E933" s="2020">
        <v>53904</v>
      </c>
      <c r="F933" s="2825">
        <v>12</v>
      </c>
      <c r="G933" s="1417">
        <v>0</v>
      </c>
    </row>
    <row r="934" spans="1:11">
      <c r="A934" t="s">
        <v>70</v>
      </c>
      <c r="B934" t="s">
        <v>2184</v>
      </c>
      <c r="C934" s="1417">
        <v>1.04</v>
      </c>
      <c r="D934" s="2020">
        <v>540545</v>
      </c>
      <c r="E934" s="2020">
        <v>18939</v>
      </c>
      <c r="F934" s="2825">
        <v>12</v>
      </c>
      <c r="G934" s="1417">
        <v>0</v>
      </c>
    </row>
    <row r="935" spans="1:11">
      <c r="A935" t="s">
        <v>1809</v>
      </c>
      <c r="B935" t="s">
        <v>443</v>
      </c>
      <c r="C935" s="1417">
        <v>1.04</v>
      </c>
      <c r="D935" s="2020">
        <v>1683410</v>
      </c>
      <c r="E935" s="2020">
        <v>84629</v>
      </c>
      <c r="F935" s="2825">
        <v>12</v>
      </c>
      <c r="G935" s="1417">
        <v>0</v>
      </c>
    </row>
    <row r="936" spans="1:11">
      <c r="A936" t="s">
        <v>1810</v>
      </c>
      <c r="B936" t="s">
        <v>1918</v>
      </c>
      <c r="C936" s="1417">
        <v>1.04</v>
      </c>
      <c r="D936" s="2020">
        <v>8946826</v>
      </c>
      <c r="E936" s="2020">
        <v>1282215</v>
      </c>
      <c r="F936" s="2825">
        <v>12</v>
      </c>
      <c r="G936" s="1417">
        <v>0</v>
      </c>
    </row>
    <row r="937" spans="1:11">
      <c r="A937" t="s">
        <v>1414</v>
      </c>
      <c r="B937" t="s">
        <v>1017</v>
      </c>
      <c r="C937" s="1417">
        <v>1.04</v>
      </c>
      <c r="D937" s="2020">
        <v>1350316</v>
      </c>
      <c r="E937" s="2020">
        <v>82737</v>
      </c>
      <c r="F937" s="2825">
        <v>12</v>
      </c>
      <c r="G937" s="1417">
        <v>0</v>
      </c>
    </row>
    <row r="938" spans="1:11">
      <c r="A938" t="s">
        <v>1077</v>
      </c>
      <c r="B938" t="s">
        <v>777</v>
      </c>
      <c r="C938" s="1417">
        <v>1.04</v>
      </c>
      <c r="D938" s="2020">
        <v>892169</v>
      </c>
      <c r="E938" s="2020">
        <v>0</v>
      </c>
      <c r="F938" s="2825">
        <v>12</v>
      </c>
      <c r="G938" s="1417">
        <v>0</v>
      </c>
    </row>
    <row r="939" spans="1:11">
      <c r="A939" t="s">
        <v>1861</v>
      </c>
      <c r="B939" t="s">
        <v>827</v>
      </c>
      <c r="C939" s="1417">
        <v>1.04</v>
      </c>
      <c r="D939" s="2020">
        <v>3976337</v>
      </c>
      <c r="E939" s="2020">
        <v>251997</v>
      </c>
      <c r="F939" s="2825">
        <v>12</v>
      </c>
      <c r="G939" s="1417">
        <v>0</v>
      </c>
    </row>
    <row r="940" spans="1:11">
      <c r="A940" t="s">
        <v>1078</v>
      </c>
      <c r="B940" t="s">
        <v>1536</v>
      </c>
      <c r="C940" s="1417">
        <v>1.04</v>
      </c>
      <c r="D940" s="2020">
        <v>1470956</v>
      </c>
      <c r="E940" s="2020">
        <v>156216</v>
      </c>
      <c r="F940" s="2825">
        <v>12</v>
      </c>
      <c r="G940" s="1417">
        <v>0</v>
      </c>
    </row>
    <row r="941" spans="1:11">
      <c r="A941" t="s">
        <v>1079</v>
      </c>
      <c r="B941" t="s">
        <v>778</v>
      </c>
      <c r="C941" s="1417">
        <v>1.17</v>
      </c>
      <c r="D941" s="2020">
        <v>2545341</v>
      </c>
      <c r="E941" s="2020">
        <v>166226</v>
      </c>
      <c r="F941" s="2825">
        <v>12</v>
      </c>
      <c r="G941" s="1417">
        <v>0</v>
      </c>
    </row>
    <row r="942" spans="1:11">
      <c r="A942" t="s">
        <v>1080</v>
      </c>
      <c r="B942" t="s">
        <v>779</v>
      </c>
      <c r="C942" s="1417">
        <v>1.04</v>
      </c>
      <c r="D942" s="2020">
        <v>15478486</v>
      </c>
      <c r="E942" s="2020">
        <v>423309</v>
      </c>
      <c r="F942" s="2825">
        <v>12</v>
      </c>
      <c r="G942" s="1417">
        <v>0</v>
      </c>
      <c r="H942" s="1665">
        <v>1316524</v>
      </c>
      <c r="I942" s="1665">
        <v>2832321</v>
      </c>
      <c r="J942" s="1665">
        <v>1172</v>
      </c>
      <c r="K942" s="1665">
        <v>352647406</v>
      </c>
    </row>
    <row r="943" spans="1:11">
      <c r="A943" t="s">
        <v>1081</v>
      </c>
      <c r="B943" t="s">
        <v>780</v>
      </c>
      <c r="C943" s="1417">
        <v>1.04</v>
      </c>
      <c r="D943" s="2020">
        <v>15335351</v>
      </c>
      <c r="E943" s="2020">
        <v>574258</v>
      </c>
      <c r="F943" s="2825">
        <v>12</v>
      </c>
      <c r="G943" s="1417">
        <v>0</v>
      </c>
      <c r="H943" s="1665">
        <v>1186291</v>
      </c>
      <c r="I943" s="1665">
        <v>1676154</v>
      </c>
      <c r="J943" s="1417">
        <v>629</v>
      </c>
      <c r="K943" s="1665">
        <v>299766142</v>
      </c>
    </row>
    <row r="944" spans="1:11">
      <c r="A944" t="s">
        <v>56</v>
      </c>
      <c r="B944" t="s">
        <v>2472</v>
      </c>
      <c r="C944" s="1417">
        <v>1.01</v>
      </c>
      <c r="D944" s="2020">
        <v>453335</v>
      </c>
      <c r="E944" s="2020">
        <v>29017</v>
      </c>
      <c r="F944" s="2825">
        <v>12</v>
      </c>
      <c r="G944" s="1417">
        <v>0</v>
      </c>
    </row>
    <row r="945" spans="1:11">
      <c r="A945" t="s">
        <v>1544</v>
      </c>
      <c r="B945" t="s">
        <v>615</v>
      </c>
      <c r="C945" s="1417">
        <v>0.82199999999999995</v>
      </c>
      <c r="D945" s="2020">
        <v>1352755</v>
      </c>
      <c r="E945" s="2020">
        <v>104187</v>
      </c>
      <c r="F945" s="2825">
        <v>12</v>
      </c>
      <c r="G945" s="1417">
        <v>0</v>
      </c>
    </row>
    <row r="946" spans="1:11">
      <c r="A946" t="s">
        <v>1521</v>
      </c>
      <c r="B946" t="s">
        <v>296</v>
      </c>
      <c r="C946" s="1417">
        <v>1.04</v>
      </c>
      <c r="D946" s="2020">
        <v>7696460</v>
      </c>
      <c r="E946" s="2020">
        <v>1196203</v>
      </c>
      <c r="F946" s="2825">
        <v>12</v>
      </c>
      <c r="G946" s="1417">
        <v>0</v>
      </c>
    </row>
    <row r="947" spans="1:11">
      <c r="A947" t="s">
        <v>1319</v>
      </c>
      <c r="B947" t="s">
        <v>622</v>
      </c>
      <c r="C947" s="1417">
        <v>1.04</v>
      </c>
      <c r="D947" s="2020">
        <v>1425683</v>
      </c>
      <c r="E947" s="2020">
        <v>0</v>
      </c>
      <c r="F947" s="2825">
        <v>12</v>
      </c>
      <c r="G947" s="1417">
        <v>0</v>
      </c>
      <c r="H947" s="1665">
        <v>105737</v>
      </c>
      <c r="I947" s="1665">
        <v>714171</v>
      </c>
      <c r="J947" s="1417">
        <v>283</v>
      </c>
      <c r="K947" s="1665">
        <v>64384826</v>
      </c>
    </row>
    <row r="948" spans="1:11">
      <c r="A948" t="s">
        <v>488</v>
      </c>
      <c r="B948" t="s">
        <v>2146</v>
      </c>
      <c r="C948" s="1417">
        <v>1.04</v>
      </c>
      <c r="D948" s="2020">
        <v>12840542</v>
      </c>
      <c r="E948" s="2020">
        <v>1130509</v>
      </c>
      <c r="F948" s="2825">
        <v>12</v>
      </c>
      <c r="G948" s="1417">
        <v>0</v>
      </c>
    </row>
    <row r="949" spans="1:11">
      <c r="A949" t="s">
        <v>831</v>
      </c>
      <c r="B949" t="s">
        <v>623</v>
      </c>
      <c r="C949" s="1417">
        <v>1.04</v>
      </c>
      <c r="D949" s="2020">
        <v>1700450</v>
      </c>
      <c r="E949" s="2020">
        <v>296733</v>
      </c>
      <c r="F949" s="2825">
        <v>12</v>
      </c>
      <c r="G949" s="1417">
        <v>0</v>
      </c>
      <c r="H949" s="1665">
        <v>114003</v>
      </c>
      <c r="I949" s="1665">
        <v>720480</v>
      </c>
      <c r="J949" s="1417">
        <v>263</v>
      </c>
      <c r="K949" s="1665">
        <v>61059757</v>
      </c>
    </row>
    <row r="950" spans="1:11">
      <c r="A950" t="s">
        <v>833</v>
      </c>
      <c r="B950" t="s">
        <v>1146</v>
      </c>
      <c r="C950" s="1417">
        <v>1.04</v>
      </c>
      <c r="D950" s="2020">
        <v>5799800</v>
      </c>
      <c r="E950" s="2020">
        <v>1145745</v>
      </c>
      <c r="F950" s="2825">
        <v>12</v>
      </c>
      <c r="G950" s="1417">
        <v>0</v>
      </c>
    </row>
    <row r="951" spans="1:11">
      <c r="A951" t="s">
        <v>834</v>
      </c>
      <c r="B951" t="s">
        <v>888</v>
      </c>
      <c r="C951" s="1417">
        <v>0.97330000000000005</v>
      </c>
      <c r="D951" s="2020">
        <v>1922832</v>
      </c>
      <c r="E951" s="2020">
        <v>304105</v>
      </c>
      <c r="F951" s="2825">
        <v>12</v>
      </c>
      <c r="G951" s="1417">
        <v>0</v>
      </c>
    </row>
    <row r="952" spans="1:11">
      <c r="A952" t="s">
        <v>1533</v>
      </c>
      <c r="B952" t="s">
        <v>864</v>
      </c>
      <c r="C952" s="1417">
        <v>0.9133</v>
      </c>
      <c r="D952" s="2020">
        <v>1967934</v>
      </c>
      <c r="E952" s="2020">
        <v>272808</v>
      </c>
      <c r="F952" s="2825">
        <v>12</v>
      </c>
      <c r="G952" s="1417">
        <v>0</v>
      </c>
    </row>
    <row r="953" spans="1:11">
      <c r="A953" t="s">
        <v>1836</v>
      </c>
      <c r="B953" t="s">
        <v>2065</v>
      </c>
      <c r="C953" s="1417">
        <v>1.04</v>
      </c>
      <c r="D953" s="2020">
        <v>873063</v>
      </c>
      <c r="E953" s="2020">
        <v>77713</v>
      </c>
      <c r="F953" s="2825">
        <v>12</v>
      </c>
      <c r="G953" s="1417">
        <v>0</v>
      </c>
    </row>
    <row r="954" spans="1:11">
      <c r="A954" t="s">
        <v>835</v>
      </c>
      <c r="B954" t="s">
        <v>1147</v>
      </c>
      <c r="C954" s="1417">
        <v>1.04</v>
      </c>
      <c r="D954" s="2020">
        <v>5368672</v>
      </c>
      <c r="E954" s="2020">
        <v>678921</v>
      </c>
      <c r="F954" s="2825">
        <v>12</v>
      </c>
      <c r="G954" s="1417">
        <v>0</v>
      </c>
    </row>
    <row r="955" spans="1:11">
      <c r="A955" t="s">
        <v>836</v>
      </c>
      <c r="B955" t="s">
        <v>2081</v>
      </c>
      <c r="C955" s="1417">
        <v>1.04</v>
      </c>
      <c r="D955" s="2020">
        <v>4779893</v>
      </c>
      <c r="E955" s="2020">
        <v>310906</v>
      </c>
      <c r="F955" s="2825">
        <v>12</v>
      </c>
      <c r="G955" s="1417">
        <v>0</v>
      </c>
    </row>
    <row r="956" spans="1:11">
      <c r="A956" t="s">
        <v>1426</v>
      </c>
      <c r="B956" t="s">
        <v>1478</v>
      </c>
      <c r="C956" s="1417">
        <v>1.04</v>
      </c>
      <c r="D956" s="2020">
        <v>591762</v>
      </c>
      <c r="E956" s="2020">
        <v>34219</v>
      </c>
      <c r="F956" s="2825">
        <v>12</v>
      </c>
      <c r="G956" s="1417">
        <v>0</v>
      </c>
    </row>
    <row r="957" spans="1:11">
      <c r="A957" t="s">
        <v>877</v>
      </c>
      <c r="B957" t="s">
        <v>1344</v>
      </c>
      <c r="C957" s="1417">
        <v>1.04</v>
      </c>
      <c r="D957" s="2020">
        <v>1395368</v>
      </c>
      <c r="E957" s="2020">
        <v>166372</v>
      </c>
      <c r="F957" s="2825">
        <v>12</v>
      </c>
      <c r="G957" s="1417">
        <v>0</v>
      </c>
    </row>
    <row r="958" spans="1:11">
      <c r="A958" t="s">
        <v>340</v>
      </c>
      <c r="B958" t="s">
        <v>134</v>
      </c>
      <c r="C958" s="1417">
        <v>1.03</v>
      </c>
      <c r="D958" s="2020">
        <v>41932522</v>
      </c>
      <c r="E958" s="2020">
        <v>3468582</v>
      </c>
      <c r="F958" s="2825">
        <v>12</v>
      </c>
      <c r="G958" s="1417">
        <v>0</v>
      </c>
    </row>
    <row r="959" spans="1:11">
      <c r="A959" t="s">
        <v>2597</v>
      </c>
      <c r="B959" t="s">
        <v>2082</v>
      </c>
      <c r="C959" s="1417">
        <v>1.0001</v>
      </c>
      <c r="D959" s="2020">
        <v>1749059</v>
      </c>
      <c r="E959" s="2020">
        <v>0</v>
      </c>
      <c r="F959" s="2825">
        <v>5</v>
      </c>
      <c r="G959" s="1417">
        <v>0</v>
      </c>
      <c r="H959" s="1665">
        <v>104889</v>
      </c>
      <c r="I959" s="1665">
        <v>315665</v>
      </c>
      <c r="J959" s="1417">
        <v>270</v>
      </c>
      <c r="K959" s="1665">
        <v>33519031</v>
      </c>
    </row>
    <row r="960" spans="1:11">
      <c r="A960" t="s">
        <v>1022</v>
      </c>
      <c r="B960" t="s">
        <v>1144</v>
      </c>
      <c r="C960" s="1417">
        <v>0.97330000000000005</v>
      </c>
      <c r="D960" s="2020">
        <v>1750269</v>
      </c>
      <c r="E960" s="2020">
        <v>318352</v>
      </c>
      <c r="F960" s="2825">
        <v>12</v>
      </c>
      <c r="G960" s="1417">
        <v>0</v>
      </c>
    </row>
    <row r="961" spans="1:11">
      <c r="A961" t="s">
        <v>1156</v>
      </c>
      <c r="B961" t="s">
        <v>93</v>
      </c>
      <c r="C961" s="1417">
        <v>1.04</v>
      </c>
      <c r="D961" s="2020">
        <v>16565253</v>
      </c>
      <c r="E961" s="2020">
        <v>2350511</v>
      </c>
      <c r="F961" s="2825">
        <v>12</v>
      </c>
      <c r="G961" s="1417">
        <v>0</v>
      </c>
    </row>
    <row r="962" spans="1:11">
      <c r="A962" t="s">
        <v>276</v>
      </c>
      <c r="B962" t="s">
        <v>2371</v>
      </c>
      <c r="C962" s="1417">
        <v>1.04</v>
      </c>
      <c r="D962" s="2020">
        <v>3789189</v>
      </c>
      <c r="E962" s="2020">
        <v>733332</v>
      </c>
      <c r="F962" s="2825">
        <v>12</v>
      </c>
      <c r="G962" s="1417">
        <v>0</v>
      </c>
    </row>
    <row r="963" spans="1:11">
      <c r="A963" t="s">
        <v>277</v>
      </c>
      <c r="B963" t="s">
        <v>138</v>
      </c>
      <c r="C963" s="1417">
        <v>1.04</v>
      </c>
      <c r="D963" s="2020">
        <v>14840997</v>
      </c>
      <c r="E963" s="2020">
        <v>3933863</v>
      </c>
      <c r="F963" s="2825">
        <v>12</v>
      </c>
      <c r="G963" s="1417">
        <v>0</v>
      </c>
    </row>
    <row r="964" spans="1:11">
      <c r="A964" t="s">
        <v>624</v>
      </c>
      <c r="B964" t="s">
        <v>94</v>
      </c>
      <c r="C964" s="1417">
        <v>1.04</v>
      </c>
      <c r="D964" s="2020">
        <v>6252021</v>
      </c>
      <c r="E964" s="2020">
        <v>780244</v>
      </c>
      <c r="F964" s="2825">
        <v>12</v>
      </c>
      <c r="G964" s="1417">
        <v>0</v>
      </c>
    </row>
    <row r="965" spans="1:11">
      <c r="A965" t="s">
        <v>625</v>
      </c>
      <c r="B965" t="s">
        <v>887</v>
      </c>
      <c r="C965" s="1417">
        <v>1.04</v>
      </c>
      <c r="D965" s="2020">
        <v>13514131</v>
      </c>
      <c r="E965" s="2020">
        <v>2390986</v>
      </c>
      <c r="F965" s="2825">
        <v>12</v>
      </c>
      <c r="G965" s="1417">
        <v>0</v>
      </c>
      <c r="H965" s="1665">
        <v>3849711</v>
      </c>
      <c r="I965" s="1665">
        <v>7239863</v>
      </c>
      <c r="J965" s="1665">
        <v>3116</v>
      </c>
      <c r="K965" s="1665">
        <v>900862047</v>
      </c>
    </row>
    <row r="966" spans="1:11">
      <c r="A966" t="s">
        <v>626</v>
      </c>
      <c r="B966" t="s">
        <v>1216</v>
      </c>
      <c r="C966" s="1417">
        <v>1.04</v>
      </c>
      <c r="D966" s="2020">
        <v>1775659</v>
      </c>
      <c r="E966" s="2020">
        <v>81237</v>
      </c>
      <c r="F966" s="2825">
        <v>12</v>
      </c>
      <c r="G966" s="1417">
        <v>0</v>
      </c>
      <c r="H966" s="1665">
        <v>506284</v>
      </c>
      <c r="I966" s="1665">
        <v>746387</v>
      </c>
      <c r="J966" s="1417">
        <v>303</v>
      </c>
      <c r="K966" s="1665">
        <v>83506818</v>
      </c>
    </row>
    <row r="967" spans="1:11">
      <c r="A967" t="s">
        <v>2339</v>
      </c>
      <c r="B967" t="s">
        <v>1217</v>
      </c>
      <c r="C967" s="1417">
        <v>0.97340000000000004</v>
      </c>
      <c r="D967" s="2020">
        <v>17505641</v>
      </c>
      <c r="E967" s="2020">
        <v>2394703</v>
      </c>
      <c r="F967" s="2825">
        <v>12</v>
      </c>
      <c r="G967" s="1417">
        <v>0</v>
      </c>
    </row>
    <row r="968" spans="1:11">
      <c r="A968" t="s">
        <v>2340</v>
      </c>
      <c r="B968" t="s">
        <v>1218</v>
      </c>
      <c r="C968" s="1417">
        <v>1.04</v>
      </c>
      <c r="D968" s="2020">
        <v>3153768</v>
      </c>
      <c r="E968" s="2020">
        <v>84551</v>
      </c>
      <c r="F968" s="2825">
        <v>12</v>
      </c>
      <c r="G968" s="1417">
        <v>0</v>
      </c>
      <c r="H968" s="1665">
        <v>167215</v>
      </c>
      <c r="I968" s="1665">
        <v>1714434</v>
      </c>
      <c r="J968" s="1417">
        <v>733</v>
      </c>
      <c r="K968" s="1665">
        <v>101040009</v>
      </c>
    </row>
    <row r="969" spans="1:11">
      <c r="A969" t="s">
        <v>1768</v>
      </c>
      <c r="B969" t="s">
        <v>2345</v>
      </c>
      <c r="C969" s="1417">
        <v>1.04</v>
      </c>
      <c r="D969" s="2020">
        <v>21319591</v>
      </c>
      <c r="E969" s="2020">
        <v>4277648</v>
      </c>
      <c r="F969" s="2825">
        <v>12</v>
      </c>
      <c r="G969" s="1417">
        <v>0</v>
      </c>
    </row>
    <row r="970" spans="1:11">
      <c r="A970" t="s">
        <v>1520</v>
      </c>
      <c r="B970" t="s">
        <v>2362</v>
      </c>
      <c r="C970" s="1417">
        <v>1.03</v>
      </c>
      <c r="D970" s="2020">
        <v>91220270</v>
      </c>
      <c r="E970" s="2020">
        <v>16272633</v>
      </c>
      <c r="F970" s="2825">
        <v>12</v>
      </c>
      <c r="G970" s="1417">
        <v>0</v>
      </c>
    </row>
    <row r="971" spans="1:11">
      <c r="A971" t="s">
        <v>927</v>
      </c>
      <c r="B971" t="s">
        <v>2337</v>
      </c>
      <c r="C971" s="1417">
        <v>0.80669999999999997</v>
      </c>
      <c r="D971" s="2020">
        <v>12733315</v>
      </c>
      <c r="E971" s="2020">
        <v>617221</v>
      </c>
      <c r="F971" s="2825">
        <v>12</v>
      </c>
      <c r="G971" s="1417">
        <v>0</v>
      </c>
      <c r="H971" s="1665">
        <v>3347099</v>
      </c>
      <c r="I971" s="1665">
        <v>2047587</v>
      </c>
      <c r="J971" s="1417">
        <v>800</v>
      </c>
      <c r="K971" s="1665">
        <v>452687842</v>
      </c>
    </row>
    <row r="972" spans="1:11">
      <c r="A972" t="s">
        <v>928</v>
      </c>
      <c r="B972" t="s">
        <v>1220</v>
      </c>
      <c r="C972" s="1417">
        <v>1.04</v>
      </c>
      <c r="D972" s="2020">
        <v>1854330</v>
      </c>
      <c r="E972" s="2020">
        <v>0</v>
      </c>
      <c r="F972" s="2825">
        <v>12</v>
      </c>
      <c r="G972" s="1417">
        <v>0</v>
      </c>
    </row>
    <row r="973" spans="1:11">
      <c r="A973" t="s">
        <v>929</v>
      </c>
      <c r="B973" t="s">
        <v>1221</v>
      </c>
      <c r="C973" s="1417">
        <v>1.04</v>
      </c>
      <c r="D973" s="2020">
        <v>3024528</v>
      </c>
      <c r="E973" s="2020">
        <v>315758</v>
      </c>
      <c r="F973" s="2825">
        <v>12</v>
      </c>
      <c r="G973" s="1417">
        <v>0</v>
      </c>
    </row>
    <row r="974" spans="1:11">
      <c r="A974" t="s">
        <v>571</v>
      </c>
      <c r="B974" t="s">
        <v>1222</v>
      </c>
      <c r="C974" s="1417">
        <v>1.04</v>
      </c>
      <c r="D974" s="2020">
        <v>11773250</v>
      </c>
      <c r="E974" s="2020">
        <v>1679665</v>
      </c>
      <c r="F974" s="2825">
        <v>12</v>
      </c>
      <c r="G974" s="1417">
        <v>0</v>
      </c>
    </row>
    <row r="975" spans="1:11">
      <c r="A975" t="s">
        <v>902</v>
      </c>
      <c r="B975" t="s">
        <v>1223</v>
      </c>
      <c r="C975" s="1417">
        <v>1.04</v>
      </c>
      <c r="D975" s="2020">
        <v>7208673</v>
      </c>
      <c r="E975" s="2020">
        <v>1181496</v>
      </c>
      <c r="F975" s="2825">
        <v>12</v>
      </c>
      <c r="G975" s="1417">
        <v>0</v>
      </c>
    </row>
    <row r="976" spans="1:11">
      <c r="A976" t="s">
        <v>903</v>
      </c>
      <c r="B976" t="s">
        <v>1224</v>
      </c>
      <c r="C976" s="1417">
        <v>1.04</v>
      </c>
      <c r="D976" s="2020">
        <v>1677914</v>
      </c>
      <c r="E976" s="2020">
        <v>233674</v>
      </c>
      <c r="F976" s="2825">
        <v>12</v>
      </c>
      <c r="G976" s="1417">
        <v>0</v>
      </c>
    </row>
    <row r="977" spans="1:11">
      <c r="A977" t="s">
        <v>904</v>
      </c>
      <c r="B977" t="s">
        <v>1225</v>
      </c>
      <c r="C977" s="1417">
        <v>1.04</v>
      </c>
      <c r="D977" s="2020">
        <v>1431201</v>
      </c>
      <c r="E977" s="2020">
        <v>0</v>
      </c>
      <c r="F977" s="2825">
        <v>12</v>
      </c>
      <c r="G977" s="1417">
        <v>0</v>
      </c>
    </row>
    <row r="978" spans="1:11">
      <c r="A978" t="s">
        <v>905</v>
      </c>
      <c r="B978" t="s">
        <v>1226</v>
      </c>
      <c r="C978" s="1417">
        <v>1.04</v>
      </c>
      <c r="D978" s="2020">
        <v>2018861</v>
      </c>
      <c r="E978" s="2020">
        <v>0</v>
      </c>
      <c r="F978" s="2825">
        <v>12</v>
      </c>
      <c r="G978" s="1417">
        <v>0</v>
      </c>
      <c r="H978" s="1665">
        <v>311217</v>
      </c>
      <c r="I978" s="1665">
        <v>1508412</v>
      </c>
      <c r="J978" s="1417">
        <v>626</v>
      </c>
      <c r="K978" s="1665">
        <v>115140885</v>
      </c>
    </row>
    <row r="979" spans="1:11">
      <c r="A979" t="s">
        <v>1724</v>
      </c>
      <c r="B979" t="s">
        <v>1227</v>
      </c>
      <c r="C979" s="1417">
        <v>0.7</v>
      </c>
      <c r="D979" s="2020">
        <v>3153106</v>
      </c>
      <c r="E979" s="2020">
        <v>0</v>
      </c>
      <c r="F979" s="2825">
        <v>12</v>
      </c>
      <c r="G979" s="1417">
        <v>0</v>
      </c>
      <c r="H979" s="1665">
        <v>369317</v>
      </c>
      <c r="I979" s="1665">
        <v>278784</v>
      </c>
      <c r="J979" s="1417">
        <v>98</v>
      </c>
      <c r="K979" s="1665">
        <v>96998265</v>
      </c>
    </row>
    <row r="980" spans="1:11">
      <c r="A980" t="s">
        <v>2319</v>
      </c>
      <c r="B980" t="s">
        <v>1228</v>
      </c>
      <c r="C980" s="1417">
        <v>0.78669999999999995</v>
      </c>
      <c r="D980" s="2020">
        <v>10823329</v>
      </c>
      <c r="E980" s="2020">
        <v>160973</v>
      </c>
      <c r="F980" s="2825">
        <v>12</v>
      </c>
      <c r="G980" s="1417">
        <v>0</v>
      </c>
      <c r="H980" s="1665">
        <v>1360925</v>
      </c>
      <c r="I980" s="1665">
        <v>873380</v>
      </c>
      <c r="J980" s="1417">
        <v>349</v>
      </c>
      <c r="K980" s="1665">
        <v>385109571</v>
      </c>
    </row>
    <row r="981" spans="1:11">
      <c r="A981" t="s">
        <v>884</v>
      </c>
      <c r="B981" t="s">
        <v>1448</v>
      </c>
      <c r="C981" s="1417">
        <v>1.17</v>
      </c>
      <c r="D981" s="2020">
        <v>8602181</v>
      </c>
      <c r="E981" s="2020">
        <v>857258</v>
      </c>
      <c r="F981" s="2825">
        <v>12</v>
      </c>
      <c r="G981" s="1417">
        <v>0</v>
      </c>
    </row>
    <row r="982" spans="1:11">
      <c r="A982" t="s">
        <v>1255</v>
      </c>
      <c r="B982" t="s">
        <v>1607</v>
      </c>
      <c r="C982" s="1417">
        <v>1.04</v>
      </c>
      <c r="D982" s="2020">
        <v>2184076</v>
      </c>
      <c r="E982" s="2020">
        <v>176385</v>
      </c>
      <c r="F982" s="2825">
        <v>12</v>
      </c>
      <c r="G982" s="1417">
        <v>0</v>
      </c>
    </row>
    <row r="983" spans="1:11">
      <c r="A983" t="s">
        <v>642</v>
      </c>
      <c r="B983" t="s">
        <v>2338</v>
      </c>
      <c r="C983" s="1417">
        <v>1.04</v>
      </c>
      <c r="D983" s="2020">
        <v>5188528</v>
      </c>
      <c r="E983" s="2020">
        <v>398497</v>
      </c>
      <c r="F983" s="2825">
        <v>12</v>
      </c>
      <c r="G983" s="1417">
        <v>0</v>
      </c>
    </row>
    <row r="984" spans="1:11">
      <c r="A984" t="s">
        <v>1827</v>
      </c>
      <c r="B984" t="s">
        <v>1609</v>
      </c>
      <c r="C984" s="1417">
        <v>1.04</v>
      </c>
      <c r="D984" s="2020">
        <v>41034161</v>
      </c>
      <c r="E984" s="2020">
        <v>2284079</v>
      </c>
      <c r="F984" s="2825">
        <v>12</v>
      </c>
      <c r="G984" s="1417">
        <v>0</v>
      </c>
    </row>
    <row r="985" spans="1:11">
      <c r="A985" t="s">
        <v>573</v>
      </c>
      <c r="B985" t="s">
        <v>1162</v>
      </c>
      <c r="C985" s="1417">
        <v>1.04</v>
      </c>
      <c r="D985" s="2020">
        <v>1739196</v>
      </c>
      <c r="E985" s="2020">
        <v>348258</v>
      </c>
      <c r="F985" s="2825">
        <v>8</v>
      </c>
      <c r="G985" s="1417">
        <v>0</v>
      </c>
    </row>
    <row r="986" spans="1:11">
      <c r="A986" t="s">
        <v>1358</v>
      </c>
      <c r="B986" t="s">
        <v>1610</v>
      </c>
      <c r="C986" s="1417">
        <v>1.04</v>
      </c>
      <c r="D986" s="2020">
        <v>481953</v>
      </c>
      <c r="E986" s="2020">
        <v>0</v>
      </c>
      <c r="F986" s="2825">
        <v>12</v>
      </c>
      <c r="G986" s="1417">
        <v>0</v>
      </c>
    </row>
    <row r="987" spans="1:11">
      <c r="A987" t="s">
        <v>9</v>
      </c>
      <c r="B987" t="s">
        <v>1611</v>
      </c>
      <c r="C987" s="1417">
        <v>1.04</v>
      </c>
      <c r="D987" s="2020">
        <v>8672727</v>
      </c>
      <c r="E987" s="2020">
        <v>-66143</v>
      </c>
      <c r="F987" s="2825">
        <v>12</v>
      </c>
      <c r="G987" s="1417">
        <v>0</v>
      </c>
    </row>
    <row r="988" spans="1:11">
      <c r="A988" t="s">
        <v>10</v>
      </c>
      <c r="B988" t="s">
        <v>2289</v>
      </c>
      <c r="C988" s="1417">
        <v>1.04</v>
      </c>
      <c r="D988" s="2020">
        <v>227967</v>
      </c>
      <c r="E988" s="2020">
        <v>17168</v>
      </c>
      <c r="F988" s="2825">
        <v>12</v>
      </c>
      <c r="G988" s="1417">
        <v>0</v>
      </c>
    </row>
    <row r="989" spans="1:11">
      <c r="A989" t="s">
        <v>1503</v>
      </c>
      <c r="B989" t="s">
        <v>2346</v>
      </c>
      <c r="C989" s="1417">
        <v>1.04</v>
      </c>
      <c r="D989" s="2020">
        <v>417033</v>
      </c>
      <c r="E989" s="2020">
        <v>81224</v>
      </c>
      <c r="F989" s="2825">
        <v>8</v>
      </c>
      <c r="G989" s="1417">
        <v>0</v>
      </c>
    </row>
    <row r="990" spans="1:11">
      <c r="A990" t="s">
        <v>2089</v>
      </c>
      <c r="B990" t="s">
        <v>840</v>
      </c>
      <c r="C990" s="1417">
        <v>1.04</v>
      </c>
      <c r="D990" s="2020">
        <v>1772732</v>
      </c>
      <c r="E990" s="2020">
        <v>126573</v>
      </c>
      <c r="F990" s="2825">
        <v>12</v>
      </c>
      <c r="G990" s="1417">
        <v>0</v>
      </c>
    </row>
    <row r="991" spans="1:11">
      <c r="A991" t="s">
        <v>425</v>
      </c>
      <c r="B991" t="s">
        <v>78</v>
      </c>
      <c r="C991" s="1417">
        <v>1.04</v>
      </c>
      <c r="D991" s="2020">
        <v>3519003</v>
      </c>
      <c r="E991" s="2020">
        <v>355757</v>
      </c>
      <c r="F991" s="2825">
        <v>12</v>
      </c>
      <c r="G991" s="1417">
        <v>0</v>
      </c>
    </row>
    <row r="992" spans="1:11">
      <c r="A992" t="s">
        <v>278</v>
      </c>
      <c r="B992" t="s">
        <v>534</v>
      </c>
      <c r="C992" s="1417">
        <v>1.04</v>
      </c>
      <c r="D992" s="2020">
        <v>583079</v>
      </c>
      <c r="E992" s="2020">
        <v>39184</v>
      </c>
      <c r="F992" s="2825">
        <v>12</v>
      </c>
      <c r="G992" s="1417">
        <v>0</v>
      </c>
    </row>
    <row r="993" spans="1:11">
      <c r="A993" t="s">
        <v>1338</v>
      </c>
      <c r="B993" t="s">
        <v>109</v>
      </c>
      <c r="C993" s="1417">
        <v>1.04</v>
      </c>
      <c r="D993" s="2020">
        <v>2358434</v>
      </c>
      <c r="E993" s="2020">
        <v>430151</v>
      </c>
      <c r="F993" s="2825">
        <v>12</v>
      </c>
      <c r="G993" s="1417">
        <v>0</v>
      </c>
    </row>
    <row r="994" spans="1:11">
      <c r="A994" t="s">
        <v>2580</v>
      </c>
      <c r="B994" t="s">
        <v>2321</v>
      </c>
      <c r="C994" s="1417">
        <v>1.04</v>
      </c>
      <c r="D994" s="2020">
        <v>48293075</v>
      </c>
      <c r="E994" s="2020">
        <v>10094926</v>
      </c>
      <c r="F994" s="2825">
        <v>12</v>
      </c>
      <c r="G994" s="1417">
        <v>0</v>
      </c>
      <c r="H994" s="1665">
        <v>1747322</v>
      </c>
      <c r="I994" s="1665">
        <v>14414703</v>
      </c>
      <c r="J994" s="1665">
        <v>6090</v>
      </c>
      <c r="K994" s="1665">
        <v>681532257</v>
      </c>
    </row>
    <row r="995" spans="1:11">
      <c r="A995" t="s">
        <v>1799</v>
      </c>
      <c r="B995" t="s">
        <v>1018</v>
      </c>
      <c r="C995" s="1417">
        <v>1.02</v>
      </c>
      <c r="D995" s="2020">
        <v>975542</v>
      </c>
      <c r="E995" s="2020">
        <v>57174</v>
      </c>
      <c r="F995" s="2825">
        <v>12</v>
      </c>
      <c r="G995" s="1417">
        <v>0</v>
      </c>
    </row>
    <row r="996" spans="1:11">
      <c r="A996" t="s">
        <v>40</v>
      </c>
      <c r="B996" t="s">
        <v>1268</v>
      </c>
      <c r="C996" s="1417">
        <v>1.04</v>
      </c>
      <c r="D996" s="2020">
        <v>12723260</v>
      </c>
      <c r="E996" s="2020">
        <v>3360334</v>
      </c>
      <c r="F996" s="2825">
        <v>12</v>
      </c>
      <c r="G996" s="1417">
        <v>0</v>
      </c>
    </row>
    <row r="997" spans="1:11">
      <c r="A997" t="s">
        <v>11</v>
      </c>
      <c r="B997" t="s">
        <v>1612</v>
      </c>
      <c r="C997" s="1417">
        <v>1.04</v>
      </c>
      <c r="D997" s="2020">
        <v>5757834</v>
      </c>
      <c r="E997" s="2020">
        <v>1165278</v>
      </c>
      <c r="F997" s="2825">
        <v>12</v>
      </c>
      <c r="G997" s="1417">
        <v>0</v>
      </c>
      <c r="H997" s="1665">
        <v>156831</v>
      </c>
      <c r="I997" s="1665">
        <v>1567371</v>
      </c>
      <c r="J997" s="1417">
        <v>639</v>
      </c>
      <c r="K997" s="1665">
        <v>32322518</v>
      </c>
    </row>
    <row r="998" spans="1:11">
      <c r="A998" t="s">
        <v>1771</v>
      </c>
      <c r="B998" t="s">
        <v>2467</v>
      </c>
      <c r="C998" s="1417">
        <v>1.04</v>
      </c>
      <c r="D998" s="2020">
        <v>9097362</v>
      </c>
      <c r="E998" s="2020">
        <v>1886353</v>
      </c>
      <c r="F998" s="2825">
        <v>12</v>
      </c>
      <c r="G998" s="1417">
        <v>0</v>
      </c>
    </row>
    <row r="999" spans="1:11">
      <c r="A999" t="s">
        <v>1310</v>
      </c>
      <c r="B999" t="s">
        <v>611</v>
      </c>
      <c r="C999" s="1417">
        <v>1.0169999999999999</v>
      </c>
      <c r="D999" s="2020">
        <v>199998218</v>
      </c>
      <c r="E999" s="2020">
        <v>49996234</v>
      </c>
      <c r="F999" s="2825">
        <v>12</v>
      </c>
      <c r="G999" s="1417">
        <v>0</v>
      </c>
      <c r="H999" s="1665">
        <v>12992040</v>
      </c>
      <c r="I999" s="1665">
        <v>57736183</v>
      </c>
      <c r="J999" s="1665">
        <v>24421</v>
      </c>
      <c r="K999" s="1665">
        <v>3097311693</v>
      </c>
    </row>
    <row r="1000" spans="1:11">
      <c r="A1000" t="s">
        <v>1545</v>
      </c>
      <c r="B1000" t="s">
        <v>602</v>
      </c>
      <c r="C1000" s="1417">
        <v>1.04</v>
      </c>
      <c r="D1000" s="2020">
        <v>8140063</v>
      </c>
      <c r="E1000" s="2020">
        <v>1190412</v>
      </c>
      <c r="F1000" s="2825">
        <v>12</v>
      </c>
      <c r="G1000" s="1417">
        <v>0</v>
      </c>
    </row>
    <row r="1001" spans="1:11">
      <c r="A1001" t="s">
        <v>1515</v>
      </c>
      <c r="B1001" t="s">
        <v>604</v>
      </c>
      <c r="C1001" s="1417">
        <v>1.04</v>
      </c>
      <c r="D1001" s="2020">
        <v>1435019</v>
      </c>
      <c r="E1001" s="2020">
        <v>158688</v>
      </c>
      <c r="F1001" s="2825">
        <v>12</v>
      </c>
      <c r="G1001" s="1417">
        <v>0</v>
      </c>
    </row>
    <row r="1002" spans="1:11">
      <c r="A1002" t="s">
        <v>1769</v>
      </c>
      <c r="B1002" t="s">
        <v>2465</v>
      </c>
      <c r="C1002" s="1417">
        <v>1.0058</v>
      </c>
      <c r="D1002" s="2020">
        <v>116690083</v>
      </c>
      <c r="E1002" s="2020">
        <v>29184751</v>
      </c>
      <c r="F1002" s="2825">
        <v>12</v>
      </c>
      <c r="G1002" s="1417">
        <v>0</v>
      </c>
      <c r="H1002" s="1665">
        <v>3269958</v>
      </c>
      <c r="I1002" s="1665">
        <v>18082919</v>
      </c>
      <c r="J1002" s="1665">
        <v>7448</v>
      </c>
      <c r="K1002" s="1665">
        <v>1098941496</v>
      </c>
    </row>
    <row r="1003" spans="1:11">
      <c r="A1003" t="s">
        <v>12</v>
      </c>
      <c r="B1003" t="s">
        <v>1613</v>
      </c>
      <c r="C1003" s="1417">
        <v>1.04</v>
      </c>
      <c r="D1003" s="2020">
        <v>528142</v>
      </c>
      <c r="E1003" s="2020">
        <v>0</v>
      </c>
      <c r="F1003" s="2825">
        <v>8</v>
      </c>
      <c r="G1003" s="1417">
        <v>0</v>
      </c>
      <c r="H1003" s="1665">
        <v>149901</v>
      </c>
      <c r="I1003" s="1665">
        <v>387037</v>
      </c>
      <c r="J1003" s="1417">
        <v>210</v>
      </c>
      <c r="K1003" s="1665">
        <v>18561485</v>
      </c>
    </row>
    <row r="1004" spans="1:11">
      <c r="A1004" t="s">
        <v>2455</v>
      </c>
      <c r="B1004" t="s">
        <v>110</v>
      </c>
      <c r="C1004" s="1417">
        <v>1.04</v>
      </c>
      <c r="D1004" s="2020">
        <v>8023628</v>
      </c>
      <c r="E1004" s="2020">
        <v>948470</v>
      </c>
      <c r="F1004" s="2825">
        <v>12</v>
      </c>
      <c r="G1004" s="1417">
        <v>0</v>
      </c>
    </row>
    <row r="1005" spans="1:11">
      <c r="A1005" t="s">
        <v>59</v>
      </c>
      <c r="B1005" t="s">
        <v>1900</v>
      </c>
      <c r="C1005" s="1417">
        <v>1.04</v>
      </c>
      <c r="D1005" s="2020">
        <v>5899308</v>
      </c>
      <c r="E1005" s="2020">
        <v>664782</v>
      </c>
      <c r="F1005" s="2825">
        <v>12</v>
      </c>
      <c r="G1005" s="1417">
        <v>0</v>
      </c>
    </row>
    <row r="1006" spans="1:11">
      <c r="A1006" t="s">
        <v>2456</v>
      </c>
      <c r="B1006" t="s">
        <v>1005</v>
      </c>
      <c r="C1006" s="1417">
        <v>1.0333000000000001</v>
      </c>
      <c r="D1006" s="2020">
        <v>1407534</v>
      </c>
      <c r="E1006" s="2020">
        <v>687</v>
      </c>
      <c r="F1006" s="2825">
        <v>12</v>
      </c>
      <c r="G1006" s="1417">
        <v>0</v>
      </c>
    </row>
    <row r="1007" spans="1:11">
      <c r="A1007" t="s">
        <v>1512</v>
      </c>
      <c r="B1007" t="s">
        <v>1941</v>
      </c>
      <c r="C1007" s="1417">
        <v>1.0269999999999999</v>
      </c>
      <c r="D1007" s="2020">
        <v>1440315</v>
      </c>
      <c r="E1007" s="2020">
        <v>70537</v>
      </c>
      <c r="F1007" s="2825">
        <v>12</v>
      </c>
      <c r="G1007" s="1417">
        <v>0</v>
      </c>
    </row>
    <row r="1008" spans="1:11">
      <c r="A1008" t="s">
        <v>1174</v>
      </c>
      <c r="B1008" t="s">
        <v>1614</v>
      </c>
      <c r="C1008" s="1417">
        <v>1.04</v>
      </c>
      <c r="D1008" s="2020">
        <v>7181294</v>
      </c>
      <c r="E1008" s="2020">
        <v>0</v>
      </c>
      <c r="F1008" s="2825">
        <v>12</v>
      </c>
      <c r="G1008" s="1417">
        <v>0</v>
      </c>
      <c r="H1008" s="1665">
        <v>834758</v>
      </c>
      <c r="I1008" s="1665">
        <v>5214972</v>
      </c>
      <c r="J1008" s="1665">
        <v>2258</v>
      </c>
      <c r="K1008" s="1665">
        <v>377516858</v>
      </c>
    </row>
    <row r="1009" spans="1:11">
      <c r="A1009" t="s">
        <v>1175</v>
      </c>
      <c r="B1009" t="s">
        <v>1615</v>
      </c>
      <c r="C1009" s="1417">
        <v>1.04</v>
      </c>
      <c r="D1009" s="2020">
        <v>13195744</v>
      </c>
      <c r="E1009" s="2020">
        <v>0</v>
      </c>
      <c r="F1009" s="2825">
        <v>12</v>
      </c>
      <c r="G1009" s="1417">
        <v>0</v>
      </c>
      <c r="H1009" s="1665">
        <v>2260386</v>
      </c>
      <c r="I1009" s="1665">
        <v>1543119</v>
      </c>
      <c r="J1009" s="1417">
        <v>583</v>
      </c>
      <c r="K1009" s="1665">
        <v>445727302</v>
      </c>
    </row>
    <row r="1010" spans="1:11">
      <c r="A1010" t="s">
        <v>196</v>
      </c>
      <c r="B1010" t="s">
        <v>1053</v>
      </c>
      <c r="C1010" s="1417">
        <v>1.04</v>
      </c>
      <c r="D1010" s="2020">
        <v>2275491</v>
      </c>
      <c r="E1010" s="2020">
        <v>260850</v>
      </c>
      <c r="F1010" s="2825">
        <v>12</v>
      </c>
      <c r="G1010" s="1417">
        <v>0</v>
      </c>
    </row>
    <row r="1011" spans="1:11">
      <c r="A1011" t="s">
        <v>800</v>
      </c>
      <c r="B1011" t="s">
        <v>1616</v>
      </c>
      <c r="C1011" s="1417">
        <v>1.04</v>
      </c>
      <c r="D1011" s="2020">
        <v>6582522</v>
      </c>
      <c r="E1011" s="2020">
        <v>410123</v>
      </c>
      <c r="F1011" s="2825">
        <v>12</v>
      </c>
      <c r="G1011" s="1417">
        <v>0</v>
      </c>
      <c r="H1011" s="1665">
        <v>289666</v>
      </c>
      <c r="I1011" s="1665">
        <v>3260385</v>
      </c>
      <c r="J1011" s="1665">
        <v>1364</v>
      </c>
      <c r="K1011" s="1665">
        <v>121284731</v>
      </c>
    </row>
    <row r="1012" spans="1:11">
      <c r="A1012" t="s">
        <v>2176</v>
      </c>
      <c r="B1012" t="s">
        <v>1617</v>
      </c>
      <c r="C1012" s="1417">
        <v>1.04</v>
      </c>
      <c r="D1012" s="2020">
        <v>12106877</v>
      </c>
      <c r="E1012" s="2020">
        <v>1893774</v>
      </c>
      <c r="F1012" s="2825">
        <v>12</v>
      </c>
      <c r="G1012" s="1417">
        <v>0</v>
      </c>
      <c r="H1012" s="1665">
        <v>537743</v>
      </c>
      <c r="I1012" s="1665">
        <v>4739507</v>
      </c>
      <c r="J1012" s="1665">
        <v>2016</v>
      </c>
      <c r="K1012" s="1665">
        <v>307481396</v>
      </c>
    </row>
    <row r="1013" spans="1:11">
      <c r="A1013" t="s">
        <v>2424</v>
      </c>
      <c r="B1013" t="s">
        <v>1618</v>
      </c>
      <c r="C1013" s="1417">
        <v>1.04</v>
      </c>
      <c r="D1013" s="2020">
        <v>4877003</v>
      </c>
      <c r="E1013" s="2020">
        <v>292320</v>
      </c>
      <c r="F1013" s="2825">
        <v>12</v>
      </c>
      <c r="G1013" s="1417">
        <v>0</v>
      </c>
      <c r="H1013" s="1665">
        <v>202114</v>
      </c>
      <c r="I1013" s="1665">
        <v>2042073</v>
      </c>
      <c r="J1013" s="1417">
        <v>820</v>
      </c>
      <c r="K1013" s="1665">
        <v>134229603</v>
      </c>
    </row>
    <row r="1014" spans="1:11">
      <c r="A1014" t="s">
        <v>2425</v>
      </c>
      <c r="B1014" t="s">
        <v>1619</v>
      </c>
      <c r="C1014" s="1417">
        <v>1.03</v>
      </c>
      <c r="D1014" s="2020">
        <v>18235377</v>
      </c>
      <c r="E1014" s="2020">
        <v>3751518</v>
      </c>
      <c r="F1014" s="2825">
        <v>12</v>
      </c>
      <c r="G1014" s="1417">
        <v>0</v>
      </c>
      <c r="H1014" s="1665">
        <v>1517971</v>
      </c>
      <c r="I1014" s="1665">
        <v>4733647</v>
      </c>
      <c r="J1014" s="1665">
        <v>1936</v>
      </c>
      <c r="K1014" s="1665">
        <v>285097120</v>
      </c>
    </row>
    <row r="1015" spans="1:11">
      <c r="A1015" t="s">
        <v>2022</v>
      </c>
      <c r="B1015" t="s">
        <v>1365</v>
      </c>
      <c r="C1015" s="1417">
        <v>1.04</v>
      </c>
      <c r="D1015" s="2020">
        <v>2858819</v>
      </c>
      <c r="E1015" s="2020">
        <v>437048</v>
      </c>
      <c r="F1015" s="2825">
        <v>12</v>
      </c>
      <c r="G1015" s="1417">
        <v>0</v>
      </c>
    </row>
    <row r="1016" spans="1:11">
      <c r="A1016" t="s">
        <v>1150</v>
      </c>
      <c r="B1016" t="s">
        <v>1927</v>
      </c>
      <c r="C1016" s="1417">
        <v>1.01</v>
      </c>
      <c r="D1016" s="2020">
        <v>1806451</v>
      </c>
      <c r="E1016" s="2020">
        <v>212315</v>
      </c>
      <c r="F1016" s="2825">
        <v>12</v>
      </c>
      <c r="G1016" s="1417">
        <v>0</v>
      </c>
      <c r="H1016" s="1665">
        <v>136632</v>
      </c>
      <c r="I1016" s="1665">
        <v>859671</v>
      </c>
      <c r="J1016" s="1417">
        <v>363</v>
      </c>
      <c r="K1016" s="1665">
        <v>28732533</v>
      </c>
    </row>
    <row r="1017" spans="1:11">
      <c r="A1017" t="s">
        <v>2229</v>
      </c>
      <c r="B1017" t="s">
        <v>1620</v>
      </c>
      <c r="C1017" s="1417">
        <v>0.98</v>
      </c>
      <c r="D1017" s="2020">
        <v>6344035</v>
      </c>
      <c r="E1017" s="2020">
        <v>1062306</v>
      </c>
      <c r="F1017" s="2825">
        <v>12</v>
      </c>
      <c r="G1017" s="1417">
        <v>0</v>
      </c>
      <c r="H1017" s="1665">
        <v>1887192</v>
      </c>
      <c r="I1017" s="1665">
        <v>2682840</v>
      </c>
      <c r="J1017" s="1665">
        <v>1156</v>
      </c>
      <c r="K1017" s="1665">
        <v>530818058</v>
      </c>
    </row>
    <row r="1018" spans="1:11">
      <c r="A1018" t="s">
        <v>2230</v>
      </c>
      <c r="B1018" t="s">
        <v>1621</v>
      </c>
      <c r="C1018" s="1417">
        <v>1.17</v>
      </c>
      <c r="D1018" s="2020">
        <v>4946410</v>
      </c>
      <c r="E1018" s="2020">
        <v>0</v>
      </c>
      <c r="F1018" s="2825">
        <v>12</v>
      </c>
      <c r="G1018" s="1417">
        <v>0</v>
      </c>
    </row>
    <row r="1019" spans="1:11">
      <c r="A1019" t="s">
        <v>2575</v>
      </c>
      <c r="B1019" t="s">
        <v>24</v>
      </c>
      <c r="C1019" s="1417">
        <v>1.04</v>
      </c>
      <c r="D1019" s="2020">
        <v>4156508</v>
      </c>
      <c r="E1019" s="2020">
        <v>321391</v>
      </c>
      <c r="F1019" s="2825">
        <v>12</v>
      </c>
      <c r="G1019" s="1417">
        <v>0</v>
      </c>
    </row>
    <row r="1020" spans="1:11">
      <c r="A1020" t="s">
        <v>2576</v>
      </c>
      <c r="B1020" t="s">
        <v>1370</v>
      </c>
      <c r="C1020" s="1417">
        <v>1.04</v>
      </c>
      <c r="D1020" s="2020">
        <v>2476899</v>
      </c>
      <c r="E1020" s="2020">
        <v>273260</v>
      </c>
      <c r="F1020" s="2825">
        <v>12</v>
      </c>
      <c r="G1020" s="1417">
        <v>0</v>
      </c>
      <c r="H1020" s="1665">
        <v>192482</v>
      </c>
      <c r="I1020" s="1665">
        <v>1147645</v>
      </c>
      <c r="J1020" s="1417">
        <v>479</v>
      </c>
      <c r="K1020" s="1665">
        <v>75418096</v>
      </c>
    </row>
    <row r="1021" spans="1:11">
      <c r="A1021" t="s">
        <v>635</v>
      </c>
      <c r="B1021" t="s">
        <v>1371</v>
      </c>
      <c r="C1021" s="1417">
        <v>1.04</v>
      </c>
      <c r="D1021" s="2020">
        <v>2323229</v>
      </c>
      <c r="E1021" s="2020">
        <v>160364</v>
      </c>
      <c r="F1021" s="2825">
        <v>12</v>
      </c>
      <c r="G1021" s="1417">
        <v>0</v>
      </c>
    </row>
    <row r="1022" spans="1:11">
      <c r="A1022" t="s">
        <v>679</v>
      </c>
      <c r="B1022" t="s">
        <v>1372</v>
      </c>
      <c r="C1022" s="1417">
        <v>1.04</v>
      </c>
      <c r="D1022" s="2020">
        <v>4179588</v>
      </c>
      <c r="E1022" s="2020">
        <v>204</v>
      </c>
      <c r="F1022" s="2825">
        <v>12</v>
      </c>
      <c r="G1022" s="1417">
        <v>0</v>
      </c>
    </row>
    <row r="1023" spans="1:11">
      <c r="A1023" t="s">
        <v>680</v>
      </c>
      <c r="B1023" t="s">
        <v>1373</v>
      </c>
      <c r="C1023" s="1417">
        <v>1.04</v>
      </c>
      <c r="D1023" s="2020">
        <v>27403566</v>
      </c>
      <c r="E1023" s="2020">
        <v>1799135</v>
      </c>
      <c r="F1023" s="2825">
        <v>12</v>
      </c>
      <c r="G1023" s="1417">
        <v>0</v>
      </c>
      <c r="H1023" s="1665">
        <v>5151413</v>
      </c>
      <c r="I1023" s="1665">
        <v>5362796</v>
      </c>
      <c r="J1023" s="1665">
        <v>2031</v>
      </c>
      <c r="K1023" s="1665">
        <v>2012148981</v>
      </c>
    </row>
    <row r="1024" spans="1:11">
      <c r="A1024" t="s">
        <v>1471</v>
      </c>
      <c r="B1024" t="s">
        <v>1374</v>
      </c>
      <c r="C1024" s="1417">
        <v>0.9909</v>
      </c>
      <c r="D1024" s="2020">
        <v>8138506</v>
      </c>
      <c r="E1024" s="2020">
        <v>0</v>
      </c>
      <c r="F1024" s="2825">
        <v>12</v>
      </c>
      <c r="G1024" s="1417">
        <v>0</v>
      </c>
      <c r="H1024" s="1665">
        <v>1660252</v>
      </c>
      <c r="I1024" s="1665">
        <v>2253690</v>
      </c>
      <c r="J1024" s="1417">
        <v>963</v>
      </c>
      <c r="K1024" s="1665">
        <v>791629153</v>
      </c>
    </row>
    <row r="1025" spans="1:11">
      <c r="A1025" t="s">
        <v>907</v>
      </c>
      <c r="B1025" t="s">
        <v>862</v>
      </c>
      <c r="C1025" s="1417">
        <v>1.0314000000000001</v>
      </c>
      <c r="D1025" s="2020">
        <v>6251922</v>
      </c>
      <c r="E1025" s="2020">
        <v>367641</v>
      </c>
      <c r="F1025" s="2825">
        <v>12</v>
      </c>
      <c r="G1025" s="1417">
        <v>0</v>
      </c>
    </row>
    <row r="1026" spans="1:11">
      <c r="A1026" t="s">
        <v>1472</v>
      </c>
      <c r="B1026" t="s">
        <v>1375</v>
      </c>
      <c r="C1026" s="1417">
        <v>1.17</v>
      </c>
      <c r="D1026" s="2020">
        <v>516501</v>
      </c>
      <c r="E1026" s="2020">
        <v>0</v>
      </c>
      <c r="F1026" s="2825">
        <v>12</v>
      </c>
      <c r="G1026" s="1417">
        <v>0</v>
      </c>
    </row>
    <row r="1027" spans="1:11">
      <c r="A1027" t="s">
        <v>1504</v>
      </c>
      <c r="B1027" t="s">
        <v>825</v>
      </c>
      <c r="C1027" s="1417">
        <v>1.17</v>
      </c>
      <c r="D1027" s="2020">
        <v>1920430</v>
      </c>
      <c r="E1027" s="2020">
        <v>306023</v>
      </c>
      <c r="F1027" s="2825">
        <v>12</v>
      </c>
      <c r="G1027" s="1417">
        <v>0</v>
      </c>
    </row>
    <row r="1028" spans="1:11">
      <c r="A1028" t="s">
        <v>514</v>
      </c>
      <c r="B1028" t="s">
        <v>1376</v>
      </c>
      <c r="C1028" s="1417">
        <v>1.04</v>
      </c>
      <c r="D1028" s="2020">
        <v>33434451</v>
      </c>
      <c r="E1028" s="2020">
        <v>3583990</v>
      </c>
      <c r="F1028" s="2825">
        <v>12</v>
      </c>
      <c r="G1028" s="1417">
        <v>0</v>
      </c>
      <c r="H1028" s="1665">
        <v>3510178</v>
      </c>
      <c r="I1028" s="1665">
        <v>8244404</v>
      </c>
      <c r="J1028" s="1665">
        <v>3414</v>
      </c>
      <c r="K1028" s="1665">
        <v>850632146</v>
      </c>
    </row>
    <row r="1029" spans="1:11">
      <c r="A1029" t="s">
        <v>2406</v>
      </c>
      <c r="B1029" t="s">
        <v>420</v>
      </c>
      <c r="C1029" s="1417">
        <v>1.17</v>
      </c>
      <c r="D1029" s="2020">
        <v>2750305</v>
      </c>
      <c r="E1029" s="2020">
        <v>327429</v>
      </c>
      <c r="F1029" s="2825">
        <v>12</v>
      </c>
      <c r="G1029" s="1417">
        <v>0</v>
      </c>
    </row>
    <row r="1030" spans="1:11">
      <c r="A1030" t="s">
        <v>1688</v>
      </c>
      <c r="B1030" t="s">
        <v>1898</v>
      </c>
      <c r="C1030" s="1417">
        <v>1.17</v>
      </c>
      <c r="D1030" s="2020">
        <v>467764</v>
      </c>
      <c r="E1030" s="2020">
        <v>39508</v>
      </c>
      <c r="F1030" s="2825">
        <v>12</v>
      </c>
      <c r="G1030" s="1417">
        <v>0</v>
      </c>
    </row>
  </sheetData>
  <phoneticPr fontId="25" type="noConversion"/>
  <pageMargins left="0.75" right="0.75" top="1" bottom="1" header="0.5" footer="0.5"/>
  <pageSetup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42578125" customWidth="1"/>
    <col min="2" max="3" width="18.5703125" style="1417" customWidth="1"/>
    <col min="4" max="4" width="18.5703125" style="2877" customWidth="1"/>
  </cols>
  <sheetData>
    <row r="1" spans="1:4" s="52" customFormat="1">
      <c r="A1" s="52">
        <v>1</v>
      </c>
      <c r="B1" s="1993">
        <f>A1+1</f>
        <v>2</v>
      </c>
      <c r="C1" s="1993">
        <f t="shared" ref="C1:D1" si="0">B1+1</f>
        <v>3</v>
      </c>
      <c r="D1" s="1993">
        <f t="shared" si="0"/>
        <v>4</v>
      </c>
    </row>
    <row r="2" spans="1:4" s="52" customFormat="1">
      <c r="B2" s="1993"/>
      <c r="C2" s="1993"/>
      <c r="D2" s="1993" t="s">
        <v>3222</v>
      </c>
    </row>
    <row r="3" spans="1:4" s="52" customFormat="1">
      <c r="B3" s="1993" t="s">
        <v>1082</v>
      </c>
      <c r="C3" s="1993" t="s">
        <v>2360</v>
      </c>
      <c r="D3" s="2876" t="s">
        <v>2361</v>
      </c>
    </row>
    <row r="4" spans="1:4" ht="20.25">
      <c r="A4" t="s">
        <v>197</v>
      </c>
      <c r="B4" s="2883">
        <v>0</v>
      </c>
      <c r="C4" s="2883">
        <v>98172</v>
      </c>
      <c r="D4" s="2882">
        <v>5793.7314114263681</v>
      </c>
    </row>
    <row r="5" spans="1:4" ht="20.25">
      <c r="A5" t="s">
        <v>1954</v>
      </c>
      <c r="B5" s="2883">
        <v>0</v>
      </c>
      <c r="C5" s="2883">
        <v>122335</v>
      </c>
      <c r="D5" s="2882">
        <v>4829.5708398172637</v>
      </c>
    </row>
    <row r="6" spans="1:4" ht="20.25">
      <c r="A6" t="s">
        <v>14</v>
      </c>
      <c r="B6" s="2883">
        <v>0</v>
      </c>
      <c r="C6" s="2883">
        <v>55345</v>
      </c>
      <c r="D6" s="2882">
        <v>4845.8046155037555</v>
      </c>
    </row>
    <row r="7" spans="1:4" ht="20.25">
      <c r="A7" t="s">
        <v>15</v>
      </c>
      <c r="B7" s="2883">
        <v>0</v>
      </c>
      <c r="C7" s="2883">
        <v>37201</v>
      </c>
      <c r="D7" s="2882">
        <v>4733.2976320200105</v>
      </c>
    </row>
    <row r="8" spans="1:4" ht="20.25">
      <c r="A8" t="s">
        <v>16</v>
      </c>
      <c r="B8" s="2883">
        <v>0</v>
      </c>
      <c r="C8" s="2883">
        <v>332278</v>
      </c>
      <c r="D8" s="2882">
        <v>4909.1402279124086</v>
      </c>
    </row>
    <row r="9" spans="1:4" ht="20.25">
      <c r="A9" t="s">
        <v>1098</v>
      </c>
      <c r="B9" s="2883">
        <v>0</v>
      </c>
      <c r="C9" s="2883">
        <v>179725</v>
      </c>
      <c r="D9" s="2882">
        <v>4672.0836677208981</v>
      </c>
    </row>
    <row r="10" spans="1:4" ht="20.25">
      <c r="A10" t="s">
        <v>1099</v>
      </c>
      <c r="B10" s="2883">
        <v>0</v>
      </c>
      <c r="C10" s="2883">
        <v>67057</v>
      </c>
      <c r="D10" s="2882">
        <v>4662.5416636573045</v>
      </c>
    </row>
    <row r="11" spans="1:4" ht="20.25">
      <c r="A11" t="s">
        <v>1841</v>
      </c>
      <c r="B11" s="2883">
        <v>0</v>
      </c>
      <c r="C11" s="2883">
        <v>110301</v>
      </c>
      <c r="D11" s="2882">
        <v>6461.3118103039187</v>
      </c>
    </row>
    <row r="12" spans="1:4" ht="20.25">
      <c r="A12" t="s">
        <v>676</v>
      </c>
      <c r="B12" s="2883">
        <v>0</v>
      </c>
      <c r="C12" s="2883">
        <v>221755</v>
      </c>
      <c r="D12" s="2882">
        <v>4774.3019130824732</v>
      </c>
    </row>
    <row r="13" spans="1:4" ht="20.25">
      <c r="A13" t="s">
        <v>1452</v>
      </c>
      <c r="B13" s="2883">
        <v>0</v>
      </c>
      <c r="C13" s="2883">
        <v>905805</v>
      </c>
      <c r="D13" s="2882">
        <v>4801.5738404339727</v>
      </c>
    </row>
    <row r="14" spans="1:4" ht="20.25">
      <c r="A14" t="s">
        <v>1118</v>
      </c>
      <c r="B14" s="2883">
        <v>0</v>
      </c>
      <c r="C14" s="2883">
        <v>154128</v>
      </c>
      <c r="D14" s="2882">
        <v>4414.6290087111302</v>
      </c>
    </row>
    <row r="15" spans="1:4" ht="20.25">
      <c r="A15" t="s">
        <v>337</v>
      </c>
      <c r="B15" s="2883">
        <v>0</v>
      </c>
      <c r="C15" s="2883">
        <v>139986</v>
      </c>
      <c r="D15" s="2882">
        <v>4629.8550148926115</v>
      </c>
    </row>
    <row r="16" spans="1:4" ht="20.25">
      <c r="A16" t="s">
        <v>338</v>
      </c>
      <c r="B16" s="2883">
        <v>0</v>
      </c>
      <c r="C16" s="2883">
        <v>64595</v>
      </c>
      <c r="D16" s="2882">
        <v>4246.372113318369</v>
      </c>
    </row>
    <row r="17" spans="1:4" ht="20.25">
      <c r="A17" t="s">
        <v>339</v>
      </c>
      <c r="B17" s="2883">
        <v>0</v>
      </c>
      <c r="C17" s="2883">
        <v>152312</v>
      </c>
      <c r="D17" s="2882">
        <v>4769.5418010216345</v>
      </c>
    </row>
    <row r="18" spans="1:4" ht="20.25">
      <c r="A18" t="s">
        <v>2479</v>
      </c>
      <c r="B18" s="2883">
        <v>0</v>
      </c>
      <c r="C18" s="2883">
        <v>324675</v>
      </c>
      <c r="D18" s="2882">
        <v>6311.3811212607097</v>
      </c>
    </row>
    <row r="19" spans="1:4" ht="20.25">
      <c r="A19" t="s">
        <v>2480</v>
      </c>
      <c r="B19" s="2883">
        <v>0</v>
      </c>
      <c r="C19" s="2883">
        <v>47736</v>
      </c>
      <c r="D19" s="2882">
        <v>5170.7812232311126</v>
      </c>
    </row>
    <row r="20" spans="1:4" ht="20.25">
      <c r="A20" t="s">
        <v>2481</v>
      </c>
      <c r="B20" s="2883">
        <v>0</v>
      </c>
      <c r="C20" s="2883">
        <v>65076</v>
      </c>
      <c r="D20" s="2882">
        <v>4988.5254461954555</v>
      </c>
    </row>
    <row r="21" spans="1:4" ht="20.25">
      <c r="A21" t="s">
        <v>1945</v>
      </c>
      <c r="B21" s="2883">
        <v>0</v>
      </c>
      <c r="C21" s="2883">
        <v>45487</v>
      </c>
      <c r="D21" s="2882">
        <v>4900.5805563234871</v>
      </c>
    </row>
    <row r="22" spans="1:4" ht="20.25">
      <c r="A22" t="s">
        <v>2483</v>
      </c>
      <c r="B22" s="2883">
        <v>0</v>
      </c>
      <c r="C22" s="2883">
        <v>67597</v>
      </c>
      <c r="D22" s="2882">
        <v>4986.6863680756214</v>
      </c>
    </row>
    <row r="23" spans="1:4" ht="20.25">
      <c r="A23" t="s">
        <v>708</v>
      </c>
      <c r="B23" s="2883">
        <v>0</v>
      </c>
      <c r="C23" s="2883">
        <v>44127</v>
      </c>
      <c r="D23" s="2882">
        <v>4777.7717257450313</v>
      </c>
    </row>
    <row r="24" spans="1:4" ht="20.25">
      <c r="A24" t="s">
        <v>2484</v>
      </c>
      <c r="B24" s="2883">
        <v>0</v>
      </c>
      <c r="C24" s="2883">
        <v>109109</v>
      </c>
      <c r="D24" s="2882">
        <v>5114.2850708337492</v>
      </c>
    </row>
    <row r="25" spans="1:4" ht="20.25">
      <c r="A25" t="s">
        <v>2090</v>
      </c>
      <c r="B25" s="2883">
        <v>0</v>
      </c>
      <c r="C25" s="2883">
        <v>187650</v>
      </c>
      <c r="D25" s="2882">
        <v>4863.6076948053287</v>
      </c>
    </row>
    <row r="26" spans="1:4" ht="20.25">
      <c r="A26" t="s">
        <v>213</v>
      </c>
      <c r="B26" s="2883">
        <v>0</v>
      </c>
      <c r="C26" s="2883">
        <v>317664</v>
      </c>
      <c r="D26" s="2882">
        <v>4901.5059260700191</v>
      </c>
    </row>
    <row r="27" spans="1:4" ht="20.25">
      <c r="A27" t="s">
        <v>2133</v>
      </c>
      <c r="B27" s="2883">
        <v>0</v>
      </c>
      <c r="C27" s="2883">
        <v>144059</v>
      </c>
      <c r="D27" s="2882">
        <v>4942.7377450662798</v>
      </c>
    </row>
    <row r="28" spans="1:4" ht="20.25">
      <c r="A28" t="s">
        <v>2485</v>
      </c>
      <c r="B28" s="2883">
        <v>0</v>
      </c>
      <c r="C28" s="2883">
        <v>262073</v>
      </c>
      <c r="D28" s="2882">
        <v>5269.5632829259248</v>
      </c>
    </row>
    <row r="29" spans="1:4" ht="20.25">
      <c r="A29" t="s">
        <v>685</v>
      </c>
      <c r="B29" s="2883">
        <v>0</v>
      </c>
      <c r="C29" s="2883">
        <v>222721</v>
      </c>
      <c r="D29" s="2882">
        <v>5194.9680777072581</v>
      </c>
    </row>
    <row r="30" spans="1:4" ht="20.25">
      <c r="A30" t="s">
        <v>686</v>
      </c>
      <c r="B30" s="2883">
        <v>0</v>
      </c>
      <c r="C30" s="2883">
        <v>117025</v>
      </c>
      <c r="D30" s="2882">
        <v>5196.2566124195555</v>
      </c>
    </row>
    <row r="31" spans="1:4" ht="20.25">
      <c r="A31" t="s">
        <v>687</v>
      </c>
      <c r="B31" s="2883">
        <v>0</v>
      </c>
      <c r="C31" s="2883">
        <v>102033</v>
      </c>
      <c r="D31" s="2882">
        <v>4928.3555752052644</v>
      </c>
    </row>
    <row r="32" spans="1:4" ht="20.25">
      <c r="A32" t="s">
        <v>188</v>
      </c>
      <c r="B32" s="2883">
        <v>0</v>
      </c>
      <c r="C32" s="2883">
        <v>61665</v>
      </c>
      <c r="D32" s="2882">
        <v>4960.5787124743028</v>
      </c>
    </row>
    <row r="33" spans="1:4" ht="20.25">
      <c r="A33" t="s">
        <v>1946</v>
      </c>
      <c r="B33" s="2883">
        <v>0</v>
      </c>
      <c r="C33" s="2883">
        <v>339730</v>
      </c>
      <c r="D33" s="2882">
        <v>5381.7120075517932</v>
      </c>
    </row>
    <row r="34" spans="1:4" ht="20.25">
      <c r="A34" t="s">
        <v>1683</v>
      </c>
      <c r="B34" s="2883">
        <v>0</v>
      </c>
      <c r="C34" s="2883">
        <v>1606102</v>
      </c>
      <c r="D34" s="2882">
        <v>5008.1645192005353</v>
      </c>
    </row>
    <row r="35" spans="1:4" ht="20.25">
      <c r="A35" t="s">
        <v>773</v>
      </c>
      <c r="B35" s="2883">
        <v>54476</v>
      </c>
      <c r="C35" s="2883">
        <v>427716</v>
      </c>
      <c r="D35" s="2882">
        <v>4895.8320778949073</v>
      </c>
    </row>
    <row r="36" spans="1:4" ht="20.25">
      <c r="A36" t="s">
        <v>2366</v>
      </c>
      <c r="B36" s="2883">
        <v>0</v>
      </c>
      <c r="C36" s="2883">
        <v>271940</v>
      </c>
      <c r="D36" s="2882">
        <v>4987.5816669058931</v>
      </c>
    </row>
    <row r="37" spans="1:4" ht="20.25">
      <c r="A37" t="s">
        <v>2134</v>
      </c>
      <c r="B37" s="2883">
        <v>0</v>
      </c>
      <c r="C37" s="2883">
        <v>26338</v>
      </c>
      <c r="D37" s="2882">
        <v>5090.8165114937792</v>
      </c>
    </row>
    <row r="38" spans="1:4" ht="20.25">
      <c r="A38" t="s">
        <v>452</v>
      </c>
      <c r="B38" s="2883">
        <v>0</v>
      </c>
      <c r="C38" s="2883">
        <v>42110</v>
      </c>
      <c r="D38" s="2882">
        <v>5005.3706326723322</v>
      </c>
    </row>
    <row r="39" spans="1:4" ht="20.25">
      <c r="A39" t="s">
        <v>2367</v>
      </c>
      <c r="B39" s="2883">
        <v>0</v>
      </c>
      <c r="C39" s="2883">
        <v>163494</v>
      </c>
      <c r="D39" s="2882">
        <v>4688.8578337426088</v>
      </c>
    </row>
    <row r="40" spans="1:4" ht="20.25">
      <c r="A40" t="s">
        <v>2651</v>
      </c>
      <c r="B40" s="2883">
        <v>15901</v>
      </c>
      <c r="C40" s="2883">
        <v>26120</v>
      </c>
      <c r="D40" s="2882">
        <v>6229.6561638347512</v>
      </c>
    </row>
    <row r="41" spans="1:4" ht="20.25">
      <c r="A41" t="s">
        <v>2652</v>
      </c>
      <c r="B41" s="2883">
        <v>0</v>
      </c>
      <c r="C41" s="2883">
        <v>47710</v>
      </c>
      <c r="D41" s="2882">
        <v>4846.5551169641712</v>
      </c>
    </row>
    <row r="42" spans="1:4" ht="20.25">
      <c r="A42" t="s">
        <v>1149</v>
      </c>
      <c r="B42" s="2883">
        <v>0</v>
      </c>
      <c r="C42" s="2883">
        <v>77814</v>
      </c>
      <c r="D42" s="2882">
        <v>4852.3881039357184</v>
      </c>
    </row>
    <row r="43" spans="1:4" ht="20.25">
      <c r="A43" t="s">
        <v>2135</v>
      </c>
      <c r="B43" s="2883">
        <v>0</v>
      </c>
      <c r="C43" s="2883">
        <v>104607</v>
      </c>
      <c r="D43" s="2882">
        <v>4871.1970582514896</v>
      </c>
    </row>
    <row r="44" spans="1:4" ht="20.25">
      <c r="A44" t="s">
        <v>1682</v>
      </c>
      <c r="B44" s="2883">
        <v>0</v>
      </c>
      <c r="C44" s="2883">
        <v>58767</v>
      </c>
      <c r="D44" s="2882">
        <v>4774.3302803293009</v>
      </c>
    </row>
    <row r="45" spans="1:4" ht="20.25">
      <c r="A45" t="s">
        <v>1685</v>
      </c>
      <c r="B45" s="2883">
        <v>0</v>
      </c>
      <c r="C45" s="2883">
        <v>758690</v>
      </c>
      <c r="D45" s="2882">
        <v>5025.4000526016744</v>
      </c>
    </row>
    <row r="46" spans="1:4" ht="20.25">
      <c r="A46" t="s">
        <v>170</v>
      </c>
      <c r="B46" s="2883">
        <v>34539</v>
      </c>
      <c r="C46" s="2883">
        <v>59678</v>
      </c>
      <c r="D46" s="2882">
        <v>4829.7584298437105</v>
      </c>
    </row>
    <row r="47" spans="1:4" ht="20.25">
      <c r="A47" t="s">
        <v>53</v>
      </c>
      <c r="B47" s="2883">
        <v>278632</v>
      </c>
      <c r="C47" s="2883">
        <v>2125419</v>
      </c>
      <c r="D47" s="2882">
        <v>4882.3765106499541</v>
      </c>
    </row>
    <row r="48" spans="1:4" ht="20.25">
      <c r="A48" t="s">
        <v>166</v>
      </c>
      <c r="B48" s="2883">
        <v>86947</v>
      </c>
      <c r="C48" s="2883">
        <v>100782</v>
      </c>
      <c r="D48" s="2882">
        <v>4913.6429485026447</v>
      </c>
    </row>
    <row r="49" spans="1:4" ht="20.25">
      <c r="A49" t="s">
        <v>1312</v>
      </c>
      <c r="B49" s="2883">
        <v>4007</v>
      </c>
      <c r="C49" s="2883">
        <v>144003</v>
      </c>
      <c r="D49" s="2882">
        <v>5315.2523130791778</v>
      </c>
    </row>
    <row r="50" spans="1:4" ht="20.25">
      <c r="A50" t="s">
        <v>1514</v>
      </c>
      <c r="B50" s="2883">
        <v>0</v>
      </c>
      <c r="C50" s="2883">
        <v>786311</v>
      </c>
      <c r="D50" s="2882">
        <v>4921.6985197472586</v>
      </c>
    </row>
    <row r="51" spans="1:4" ht="20.25">
      <c r="A51" t="s">
        <v>1519</v>
      </c>
      <c r="B51" s="2883">
        <v>0</v>
      </c>
      <c r="C51" s="2883">
        <v>110507</v>
      </c>
      <c r="D51" s="2882">
        <v>4781.6066132451315</v>
      </c>
    </row>
    <row r="52" spans="1:4" ht="20.25">
      <c r="A52" t="s">
        <v>423</v>
      </c>
      <c r="B52" s="2883">
        <v>0</v>
      </c>
      <c r="C52" s="2883">
        <v>123698</v>
      </c>
      <c r="D52" s="2882">
        <v>6108.7360089511194</v>
      </c>
    </row>
    <row r="53" spans="1:4" ht="20.25">
      <c r="A53" t="s">
        <v>1859</v>
      </c>
      <c r="B53" s="2883">
        <v>0</v>
      </c>
      <c r="C53" s="2883">
        <v>306162</v>
      </c>
      <c r="D53" s="2882">
        <v>4769.1346137622304</v>
      </c>
    </row>
    <row r="54" spans="1:4" ht="20.25">
      <c r="A54" t="s">
        <v>771</v>
      </c>
      <c r="B54" s="2883">
        <v>185783</v>
      </c>
      <c r="C54" s="2883">
        <v>226142</v>
      </c>
      <c r="D54" s="2882">
        <v>4771.4841127447789</v>
      </c>
    </row>
    <row r="55" spans="1:4" ht="20.25">
      <c r="A55" t="s">
        <v>2350</v>
      </c>
      <c r="B55" s="2883">
        <v>0</v>
      </c>
      <c r="C55" s="2883">
        <v>39337</v>
      </c>
      <c r="D55" s="2882">
        <v>3733.7689560344711</v>
      </c>
    </row>
    <row r="56" spans="1:4" ht="20.25">
      <c r="A56" t="s">
        <v>1314</v>
      </c>
      <c r="B56" s="2883">
        <v>28281</v>
      </c>
      <c r="C56" s="2883">
        <v>1968551</v>
      </c>
      <c r="D56" s="2882">
        <v>4885.5170351875231</v>
      </c>
    </row>
    <row r="57" spans="1:4" ht="20.25">
      <c r="A57" t="s">
        <v>1506</v>
      </c>
      <c r="B57" s="2883">
        <v>0</v>
      </c>
      <c r="C57" s="2883">
        <v>329797</v>
      </c>
      <c r="D57" s="2882">
        <v>4820.8201492804819</v>
      </c>
    </row>
    <row r="58" spans="1:4" ht="20.25">
      <c r="A58" t="s">
        <v>1152</v>
      </c>
      <c r="B58" s="2883">
        <v>0</v>
      </c>
      <c r="C58" s="2883">
        <v>632226</v>
      </c>
      <c r="D58" s="2882">
        <v>4962.8793595049056</v>
      </c>
    </row>
    <row r="59" spans="1:4" ht="20.25">
      <c r="A59" t="s">
        <v>1407</v>
      </c>
      <c r="B59" s="2883">
        <v>104193</v>
      </c>
      <c r="C59" s="2883">
        <v>3535751</v>
      </c>
      <c r="D59" s="2882">
        <v>5562.4863113347565</v>
      </c>
    </row>
    <row r="60" spans="1:4" ht="20.25">
      <c r="A60" t="s">
        <v>768</v>
      </c>
      <c r="B60" s="2883">
        <v>0</v>
      </c>
      <c r="C60" s="2883">
        <v>1273057</v>
      </c>
      <c r="D60" s="2882">
        <v>5081.6964945729487</v>
      </c>
    </row>
    <row r="61" spans="1:4" ht="20.25">
      <c r="A61" t="s">
        <v>709</v>
      </c>
      <c r="B61" s="2883">
        <v>106076</v>
      </c>
      <c r="C61" s="2883">
        <v>1066116</v>
      </c>
      <c r="D61" s="2882">
        <v>5202.1707779657636</v>
      </c>
    </row>
    <row r="62" spans="1:4" ht="20.25">
      <c r="A62" t="s">
        <v>2351</v>
      </c>
      <c r="B62" s="2883">
        <v>0</v>
      </c>
      <c r="C62" s="2883">
        <v>70069</v>
      </c>
      <c r="D62" s="2882">
        <v>3832.6455931769151</v>
      </c>
    </row>
    <row r="63" spans="1:4" ht="20.25">
      <c r="A63" t="s">
        <v>2352</v>
      </c>
      <c r="B63" s="2883">
        <v>0</v>
      </c>
      <c r="C63" s="2883">
        <v>44498</v>
      </c>
      <c r="D63" s="2882">
        <v>3760.1079501706818</v>
      </c>
    </row>
    <row r="64" spans="1:4" ht="20.25">
      <c r="A64" t="s">
        <v>1409</v>
      </c>
      <c r="B64" s="2883">
        <v>1048546</v>
      </c>
      <c r="C64" s="2883">
        <v>6015777</v>
      </c>
      <c r="D64" s="2882">
        <v>5269.0931803337935</v>
      </c>
    </row>
    <row r="65" spans="1:4" ht="20.25">
      <c r="A65" t="s">
        <v>46</v>
      </c>
      <c r="B65" s="2883">
        <v>323188</v>
      </c>
      <c r="C65" s="2883">
        <v>1587807</v>
      </c>
      <c r="D65" s="2882">
        <v>5081.4506494234165</v>
      </c>
    </row>
    <row r="66" spans="1:4" ht="20.25">
      <c r="A66" t="s">
        <v>1507</v>
      </c>
      <c r="B66" s="2883">
        <v>167366</v>
      </c>
      <c r="C66" s="2883">
        <v>691770</v>
      </c>
      <c r="D66" s="2882">
        <v>4872.7339153698094</v>
      </c>
    </row>
    <row r="67" spans="1:4" ht="20.25">
      <c r="A67" t="s">
        <v>1210</v>
      </c>
      <c r="B67" s="2883">
        <v>0</v>
      </c>
      <c r="C67" s="2883">
        <v>102992</v>
      </c>
      <c r="D67" s="2882">
        <v>5661.1419227592251</v>
      </c>
    </row>
    <row r="68" spans="1:4" ht="20.25">
      <c r="A68" t="s">
        <v>874</v>
      </c>
      <c r="B68" s="2883">
        <v>0</v>
      </c>
      <c r="C68" s="2883">
        <v>100263</v>
      </c>
      <c r="D68" s="2882">
        <v>5407.3288291584786</v>
      </c>
    </row>
    <row r="69" spans="1:4" ht="20.25">
      <c r="A69" t="s">
        <v>1211</v>
      </c>
      <c r="B69" s="2883">
        <v>0</v>
      </c>
      <c r="C69" s="2883">
        <v>70772</v>
      </c>
      <c r="D69" s="2882">
        <v>12401.30464184059</v>
      </c>
    </row>
    <row r="70" spans="1:4" ht="20.25">
      <c r="A70" t="s">
        <v>575</v>
      </c>
      <c r="B70" s="2883">
        <v>0</v>
      </c>
      <c r="C70" s="2883">
        <v>93777</v>
      </c>
      <c r="D70" s="2882">
        <v>4800.0041122331222</v>
      </c>
    </row>
    <row r="71" spans="1:4" ht="20.25">
      <c r="A71" t="s">
        <v>1212</v>
      </c>
      <c r="B71" s="2883">
        <v>7213</v>
      </c>
      <c r="C71" s="2883">
        <v>35764</v>
      </c>
      <c r="D71" s="2882">
        <v>5303.0240601467312</v>
      </c>
    </row>
    <row r="72" spans="1:4" ht="20.25">
      <c r="A72" t="s">
        <v>1113</v>
      </c>
      <c r="B72" s="2883">
        <v>0</v>
      </c>
      <c r="C72" s="2883">
        <v>21415</v>
      </c>
      <c r="D72" s="2882">
        <v>4811.0334184916637</v>
      </c>
    </row>
    <row r="73" spans="1:4" ht="20.25">
      <c r="A73" t="s">
        <v>1114</v>
      </c>
      <c r="B73" s="2883">
        <v>0</v>
      </c>
      <c r="C73" s="2883">
        <v>73018</v>
      </c>
      <c r="D73" s="2882">
        <v>4833.3752648025129</v>
      </c>
    </row>
    <row r="74" spans="1:4" ht="20.25">
      <c r="A74" t="s">
        <v>1901</v>
      </c>
      <c r="B74" s="2883">
        <v>0</v>
      </c>
      <c r="C74" s="2883">
        <v>0</v>
      </c>
      <c r="D74" s="2882">
        <v>4399.3292082576227</v>
      </c>
    </row>
    <row r="75" spans="1:4" ht="20.25">
      <c r="A75" t="s">
        <v>1645</v>
      </c>
      <c r="B75" s="2883">
        <v>0</v>
      </c>
      <c r="C75" s="2883">
        <v>36546</v>
      </c>
      <c r="D75" s="2882">
        <v>4820.7397830212922</v>
      </c>
    </row>
    <row r="76" spans="1:4" ht="20.25">
      <c r="A76" t="s">
        <v>1646</v>
      </c>
      <c r="B76" s="2883">
        <v>0</v>
      </c>
      <c r="C76" s="2883">
        <v>42921</v>
      </c>
      <c r="D76" s="2882">
        <v>4903.4469010867851</v>
      </c>
    </row>
    <row r="77" spans="1:4" ht="20.25">
      <c r="A77" t="s">
        <v>1647</v>
      </c>
      <c r="B77" s="2883">
        <v>0</v>
      </c>
      <c r="C77" s="2883">
        <v>19010</v>
      </c>
      <c r="D77" s="2882">
        <v>4883.4636478332886</v>
      </c>
    </row>
    <row r="78" spans="1:4" ht="20.25">
      <c r="A78" t="s">
        <v>885</v>
      </c>
      <c r="B78" s="2883">
        <v>0</v>
      </c>
      <c r="C78" s="2883">
        <v>0</v>
      </c>
      <c r="D78" s="2882">
        <v>4687.3341016394661</v>
      </c>
    </row>
    <row r="79" spans="1:4" ht="20.25">
      <c r="A79" t="s">
        <v>710</v>
      </c>
      <c r="B79" s="2883">
        <v>0</v>
      </c>
      <c r="C79" s="2883">
        <v>0</v>
      </c>
      <c r="D79" s="2882">
        <v>5331.7410870224112</v>
      </c>
    </row>
    <row r="80" spans="1:4" ht="20.25">
      <c r="A80" t="s">
        <v>2136</v>
      </c>
      <c r="B80" s="2883">
        <v>0</v>
      </c>
      <c r="C80" s="2883">
        <v>10908</v>
      </c>
      <c r="D80" s="2882">
        <v>4573.6989876423231</v>
      </c>
    </row>
    <row r="81" spans="1:4" ht="20.25">
      <c r="A81" t="s">
        <v>2638</v>
      </c>
      <c r="B81" s="2883">
        <v>75755</v>
      </c>
      <c r="C81" s="2883">
        <v>117359</v>
      </c>
      <c r="D81" s="2882">
        <v>4913.1017484321656</v>
      </c>
    </row>
    <row r="82" spans="1:4" ht="20.25">
      <c r="A82" t="s">
        <v>1096</v>
      </c>
      <c r="B82" s="2883">
        <v>0</v>
      </c>
      <c r="C82" s="2883">
        <v>11099</v>
      </c>
      <c r="D82" s="2882">
        <v>4759.9920476267907</v>
      </c>
    </row>
    <row r="83" spans="1:4" ht="20.25">
      <c r="A83" t="s">
        <v>1097</v>
      </c>
      <c r="B83" s="2883">
        <v>0</v>
      </c>
      <c r="C83" s="2883">
        <v>51618</v>
      </c>
      <c r="D83" s="2882">
        <v>4970.7741152018534</v>
      </c>
    </row>
    <row r="84" spans="1:4" ht="20.25">
      <c r="A84" t="s">
        <v>1124</v>
      </c>
      <c r="B84" s="2883">
        <v>0</v>
      </c>
      <c r="C84" s="2883">
        <v>39837</v>
      </c>
      <c r="D84" s="2882">
        <v>4699.1347922156992</v>
      </c>
    </row>
    <row r="85" spans="1:4" ht="20.25">
      <c r="A85" t="s">
        <v>2137</v>
      </c>
      <c r="B85" s="2883">
        <v>0</v>
      </c>
      <c r="C85" s="2883">
        <v>0</v>
      </c>
      <c r="D85" s="2882">
        <v>5055.2241045235878</v>
      </c>
    </row>
    <row r="86" spans="1:4" ht="20.25">
      <c r="A86" t="s">
        <v>984</v>
      </c>
      <c r="B86" s="2883">
        <v>0</v>
      </c>
      <c r="C86" s="2883">
        <v>0</v>
      </c>
      <c r="D86" s="2882">
        <v>4615.0606103777855</v>
      </c>
    </row>
    <row r="87" spans="1:4" ht="20.25">
      <c r="A87" t="s">
        <v>842</v>
      </c>
      <c r="B87" s="2883">
        <v>0</v>
      </c>
      <c r="C87" s="2883">
        <v>0</v>
      </c>
      <c r="D87" s="2882">
        <v>3783.0252214305588</v>
      </c>
    </row>
    <row r="88" spans="1:4" ht="20.25">
      <c r="A88" t="s">
        <v>1125</v>
      </c>
      <c r="B88" s="2883">
        <v>0</v>
      </c>
      <c r="C88" s="2883">
        <v>21474</v>
      </c>
      <c r="D88" s="2882">
        <v>5256.5250624939426</v>
      </c>
    </row>
    <row r="89" spans="1:4" ht="20.25">
      <c r="A89" t="s">
        <v>1126</v>
      </c>
      <c r="B89" s="2883">
        <v>0</v>
      </c>
      <c r="C89" s="2883">
        <v>0</v>
      </c>
      <c r="D89" s="2882">
        <v>4663.9400747384989</v>
      </c>
    </row>
    <row r="90" spans="1:4" ht="20.25">
      <c r="A90" t="s">
        <v>843</v>
      </c>
      <c r="B90" s="2883">
        <v>0</v>
      </c>
      <c r="C90" s="2883">
        <v>0</v>
      </c>
      <c r="D90" s="2882">
        <v>4652.2079040998997</v>
      </c>
    </row>
    <row r="91" spans="1:4" ht="20.25">
      <c r="A91" t="s">
        <v>179</v>
      </c>
      <c r="B91" s="2883">
        <v>33795</v>
      </c>
      <c r="C91" s="2883">
        <v>1680672</v>
      </c>
      <c r="D91" s="2882">
        <v>4919.7510444597938</v>
      </c>
    </row>
    <row r="92" spans="1:4" ht="20.25">
      <c r="A92" t="s">
        <v>919</v>
      </c>
      <c r="B92" s="2883">
        <v>0</v>
      </c>
      <c r="C92" s="2883">
        <v>625083</v>
      </c>
      <c r="D92" s="2882">
        <v>5121.1268504844029</v>
      </c>
    </row>
    <row r="93" spans="1:4" ht="20.25">
      <c r="A93" t="s">
        <v>711</v>
      </c>
      <c r="B93" s="2883">
        <v>0</v>
      </c>
      <c r="C93" s="2883">
        <v>30036</v>
      </c>
      <c r="D93" s="2882">
        <v>4943.2825355785135</v>
      </c>
    </row>
    <row r="94" spans="1:4" ht="20.25">
      <c r="A94" t="s">
        <v>1157</v>
      </c>
      <c r="B94" s="2883">
        <v>0</v>
      </c>
      <c r="C94" s="2883">
        <v>466257</v>
      </c>
      <c r="D94" s="2882">
        <v>4968.9283880424691</v>
      </c>
    </row>
    <row r="95" spans="1:4" ht="20.25">
      <c r="A95" t="s">
        <v>1158</v>
      </c>
      <c r="B95" s="2883">
        <v>0</v>
      </c>
      <c r="C95" s="2883">
        <v>204162</v>
      </c>
      <c r="D95" s="2882">
        <v>5639.0852106825832</v>
      </c>
    </row>
    <row r="96" spans="1:4" ht="20.25">
      <c r="A96" t="s">
        <v>1435</v>
      </c>
      <c r="B96" s="2883">
        <v>0</v>
      </c>
      <c r="C96" s="2883">
        <v>406083</v>
      </c>
      <c r="D96" s="2882">
        <v>4800.8292149347053</v>
      </c>
    </row>
    <row r="97" spans="1:4" ht="20.25">
      <c r="A97" t="s">
        <v>207</v>
      </c>
      <c r="B97" s="2883">
        <v>473399</v>
      </c>
      <c r="C97" s="2883">
        <v>1327056</v>
      </c>
      <c r="D97" s="2882">
        <v>5087.1924507939166</v>
      </c>
    </row>
    <row r="98" spans="1:4" ht="20.25">
      <c r="A98" t="s">
        <v>1159</v>
      </c>
      <c r="B98" s="2883">
        <v>0</v>
      </c>
      <c r="C98" s="2883">
        <v>27579</v>
      </c>
      <c r="D98" s="2882">
        <v>5117.6275690813918</v>
      </c>
    </row>
    <row r="99" spans="1:4" ht="20.25">
      <c r="A99" t="s">
        <v>578</v>
      </c>
      <c r="B99" s="2883">
        <v>158373</v>
      </c>
      <c r="C99" s="2883">
        <v>671893</v>
      </c>
      <c r="D99" s="2882">
        <v>5869.4454036935467</v>
      </c>
    </row>
    <row r="100" spans="1:4" ht="20.25">
      <c r="A100" t="s">
        <v>882</v>
      </c>
      <c r="B100" s="2883">
        <v>83115</v>
      </c>
      <c r="C100" s="2883">
        <v>1003506</v>
      </c>
      <c r="D100" s="2882">
        <v>5055.2578425811762</v>
      </c>
    </row>
    <row r="101" spans="1:4" ht="20.25">
      <c r="A101" t="s">
        <v>2549</v>
      </c>
      <c r="B101" s="2883">
        <v>0</v>
      </c>
      <c r="C101" s="2883">
        <v>88666</v>
      </c>
      <c r="D101" s="2882">
        <v>4817.2780665378195</v>
      </c>
    </row>
    <row r="102" spans="1:4" ht="20.25">
      <c r="A102" t="s">
        <v>400</v>
      </c>
      <c r="B102" s="2883">
        <v>0</v>
      </c>
      <c r="C102" s="2883">
        <v>0</v>
      </c>
      <c r="D102" s="2882">
        <v>5109.0983961855218</v>
      </c>
    </row>
    <row r="103" spans="1:4" ht="20.25">
      <c r="A103" t="s">
        <v>401</v>
      </c>
      <c r="B103" s="2883">
        <v>0</v>
      </c>
      <c r="C103" s="2883">
        <v>0</v>
      </c>
      <c r="D103" s="2882">
        <v>4814.4804103124279</v>
      </c>
    </row>
    <row r="104" spans="1:4" ht="20.25">
      <c r="A104" t="s">
        <v>402</v>
      </c>
      <c r="B104" s="2883">
        <v>0</v>
      </c>
      <c r="C104" s="2883">
        <v>2448</v>
      </c>
      <c r="D104" s="2882">
        <v>4425.3459577567373</v>
      </c>
    </row>
    <row r="105" spans="1:4" ht="20.25">
      <c r="A105" t="s">
        <v>403</v>
      </c>
      <c r="B105" s="2883">
        <v>0</v>
      </c>
      <c r="C105" s="2883">
        <v>38515</v>
      </c>
      <c r="D105" s="2882">
        <v>4961.7458123402466</v>
      </c>
    </row>
    <row r="106" spans="1:4" ht="20.25">
      <c r="A106" t="s">
        <v>669</v>
      </c>
      <c r="B106" s="2883">
        <v>0</v>
      </c>
      <c r="C106" s="2883">
        <v>56332</v>
      </c>
      <c r="D106" s="2882">
        <v>6218.8624648257919</v>
      </c>
    </row>
    <row r="107" spans="1:4" ht="20.25">
      <c r="A107" t="s">
        <v>670</v>
      </c>
      <c r="B107" s="2883">
        <v>0</v>
      </c>
      <c r="C107" s="2883">
        <v>129507</v>
      </c>
      <c r="D107" s="2882">
        <v>4781.1679365041982</v>
      </c>
    </row>
    <row r="108" spans="1:4" ht="20.25">
      <c r="A108" t="s">
        <v>671</v>
      </c>
      <c r="B108" s="2883">
        <v>0</v>
      </c>
      <c r="C108" s="2883">
        <v>120697</v>
      </c>
      <c r="D108" s="2882">
        <v>4925.5422621504977</v>
      </c>
    </row>
    <row r="109" spans="1:4" ht="20.25">
      <c r="A109" t="s">
        <v>876</v>
      </c>
      <c r="B109" s="2883">
        <v>0</v>
      </c>
      <c r="C109" s="2883">
        <v>0</v>
      </c>
      <c r="D109" s="2882">
        <v>5174.4470656534968</v>
      </c>
    </row>
    <row r="110" spans="1:4" ht="20.25">
      <c r="A110" t="s">
        <v>2528</v>
      </c>
      <c r="B110" s="2883">
        <v>0</v>
      </c>
      <c r="C110" s="2883">
        <v>60198</v>
      </c>
      <c r="D110" s="2882">
        <v>5011.4681849584294</v>
      </c>
    </row>
    <row r="111" spans="1:4" ht="20.25">
      <c r="A111" t="s">
        <v>1187</v>
      </c>
      <c r="B111" s="2883">
        <v>0</v>
      </c>
      <c r="C111" s="2883">
        <v>23485</v>
      </c>
      <c r="D111" s="2882">
        <v>4427.2987673577763</v>
      </c>
    </row>
    <row r="112" spans="1:4" ht="20.25">
      <c r="A112" t="s">
        <v>712</v>
      </c>
      <c r="B112" s="2883">
        <v>0</v>
      </c>
      <c r="C112" s="2883">
        <v>22443</v>
      </c>
      <c r="D112" s="2882">
        <v>4862.7267672204071</v>
      </c>
    </row>
    <row r="113" spans="1:4" ht="20.25">
      <c r="A113" t="s">
        <v>769</v>
      </c>
      <c r="B113" s="2883">
        <v>50623</v>
      </c>
      <c r="C113" s="2883">
        <v>33783</v>
      </c>
      <c r="D113" s="2882">
        <v>5051.2642394922368</v>
      </c>
    </row>
    <row r="114" spans="1:4" ht="20.25">
      <c r="A114" t="s">
        <v>672</v>
      </c>
      <c r="B114" s="2883">
        <v>0</v>
      </c>
      <c r="C114" s="2883">
        <v>245895</v>
      </c>
      <c r="D114" s="2882">
        <v>5389.6974553184964</v>
      </c>
    </row>
    <row r="115" spans="1:4" ht="20.25">
      <c r="A115" t="s">
        <v>673</v>
      </c>
      <c r="B115" s="2883">
        <v>0</v>
      </c>
      <c r="C115" s="2883">
        <v>49290</v>
      </c>
      <c r="D115" s="2882">
        <v>5028.0450741866362</v>
      </c>
    </row>
    <row r="116" spans="1:4" ht="20.25">
      <c r="A116" t="s">
        <v>674</v>
      </c>
      <c r="B116" s="2883">
        <v>0</v>
      </c>
      <c r="C116" s="2883">
        <v>44238</v>
      </c>
      <c r="D116" s="2882">
        <v>5127.5727854622346</v>
      </c>
    </row>
    <row r="117" spans="1:4" ht="20.25">
      <c r="A117" t="s">
        <v>1885</v>
      </c>
      <c r="B117" s="2883">
        <v>0</v>
      </c>
      <c r="C117" s="2883">
        <v>631697</v>
      </c>
      <c r="D117" s="2882">
        <v>5325.2154940880528</v>
      </c>
    </row>
    <row r="118" spans="1:4" ht="20.25">
      <c r="A118" t="s">
        <v>348</v>
      </c>
      <c r="B118" s="2883">
        <v>132866</v>
      </c>
      <c r="C118" s="2883">
        <v>468864</v>
      </c>
      <c r="D118" s="2882">
        <v>5887.2629180672102</v>
      </c>
    </row>
    <row r="119" spans="1:4" ht="20.25">
      <c r="A119" t="s">
        <v>456</v>
      </c>
      <c r="B119" s="2883">
        <v>0</v>
      </c>
      <c r="C119" s="2883">
        <v>596313</v>
      </c>
      <c r="D119" s="2882">
        <v>5103.1997694855845</v>
      </c>
    </row>
    <row r="120" spans="1:4" ht="20.25">
      <c r="A120" t="s">
        <v>1154</v>
      </c>
      <c r="B120" s="2883">
        <v>0</v>
      </c>
      <c r="C120" s="2883">
        <v>36090</v>
      </c>
      <c r="D120" s="2882">
        <v>4777.2489132000646</v>
      </c>
    </row>
    <row r="121" spans="1:4" ht="20.25">
      <c r="A121" t="s">
        <v>2306</v>
      </c>
      <c r="B121" s="2883">
        <v>0</v>
      </c>
      <c r="C121" s="2883">
        <v>18055</v>
      </c>
      <c r="D121" s="2882">
        <v>5033.5536402436501</v>
      </c>
    </row>
    <row r="122" spans="1:4" ht="20.25">
      <c r="A122" t="s">
        <v>1359</v>
      </c>
      <c r="B122" s="2883">
        <v>0</v>
      </c>
      <c r="C122" s="2883">
        <v>371186</v>
      </c>
      <c r="D122" s="2882">
        <v>5254.8713322087497</v>
      </c>
    </row>
    <row r="123" spans="1:4" ht="20.25">
      <c r="A123" t="s">
        <v>2341</v>
      </c>
      <c r="B123" s="2883">
        <v>0</v>
      </c>
      <c r="C123" s="2883">
        <v>44666</v>
      </c>
      <c r="D123" s="2882">
        <v>4649.8531050868405</v>
      </c>
    </row>
    <row r="124" spans="1:4" ht="20.25">
      <c r="A124" t="s">
        <v>713</v>
      </c>
      <c r="B124" s="2883">
        <v>0</v>
      </c>
      <c r="C124" s="2883">
        <v>126260</v>
      </c>
      <c r="D124" s="2882">
        <v>4812.6190064947632</v>
      </c>
    </row>
    <row r="125" spans="1:4" ht="20.25">
      <c r="A125" t="s">
        <v>148</v>
      </c>
      <c r="B125" s="2883">
        <v>0</v>
      </c>
      <c r="C125" s="2883">
        <v>23038</v>
      </c>
      <c r="D125" s="2882">
        <v>4651.9982602972377</v>
      </c>
    </row>
    <row r="126" spans="1:4" ht="20.25">
      <c r="A126" t="s">
        <v>1829</v>
      </c>
      <c r="B126" s="2883">
        <v>0</v>
      </c>
      <c r="C126" s="2883">
        <v>41541</v>
      </c>
      <c r="D126" s="2882">
        <v>4927.4374857388293</v>
      </c>
    </row>
    <row r="127" spans="1:4" ht="20.25">
      <c r="A127" t="s">
        <v>881</v>
      </c>
      <c r="B127" s="2883">
        <v>366628</v>
      </c>
      <c r="C127" s="2883">
        <v>2186081</v>
      </c>
      <c r="D127" s="2882">
        <v>4823.445920466811</v>
      </c>
    </row>
    <row r="128" spans="1:4" ht="20.25">
      <c r="A128" t="s">
        <v>1860</v>
      </c>
      <c r="B128" s="2883">
        <v>71394</v>
      </c>
      <c r="C128" s="2883">
        <v>828892</v>
      </c>
      <c r="D128" s="2882">
        <v>4878.2287591942577</v>
      </c>
    </row>
    <row r="129" spans="1:4" ht="20.25">
      <c r="A129" t="s">
        <v>57</v>
      </c>
      <c r="B129" s="2883">
        <v>0</v>
      </c>
      <c r="C129" s="2883">
        <v>176652</v>
      </c>
      <c r="D129" s="2882">
        <v>4806.5998408516425</v>
      </c>
    </row>
    <row r="130" spans="1:4" ht="20.25">
      <c r="A130" t="s">
        <v>2283</v>
      </c>
      <c r="B130" s="2883">
        <v>297493</v>
      </c>
      <c r="C130" s="2883">
        <v>1252755</v>
      </c>
      <c r="D130" s="2882">
        <v>4983.9308704677269</v>
      </c>
    </row>
    <row r="131" spans="1:4" ht="20.25">
      <c r="A131" t="s">
        <v>1679</v>
      </c>
      <c r="B131" s="2883">
        <v>0</v>
      </c>
      <c r="C131" s="2883">
        <v>0</v>
      </c>
      <c r="D131" s="2882">
        <v>5272.0630204293702</v>
      </c>
    </row>
    <row r="132" spans="1:4" ht="20.25">
      <c r="A132" t="s">
        <v>714</v>
      </c>
      <c r="B132" s="2883">
        <v>0</v>
      </c>
      <c r="C132" s="2883">
        <v>263412</v>
      </c>
      <c r="D132" s="2882">
        <v>4816.9699834707953</v>
      </c>
    </row>
    <row r="133" spans="1:4" ht="20.25">
      <c r="A133" t="s">
        <v>1315</v>
      </c>
      <c r="B133" s="2883">
        <v>0</v>
      </c>
      <c r="C133" s="2883">
        <v>993652</v>
      </c>
      <c r="D133" s="2882">
        <v>4747.900950990067</v>
      </c>
    </row>
    <row r="134" spans="1:4" ht="20.25">
      <c r="A134" t="s">
        <v>715</v>
      </c>
      <c r="B134" s="2883">
        <v>0</v>
      </c>
      <c r="C134" s="2883">
        <v>37320</v>
      </c>
      <c r="D134" s="2882">
        <v>4504.4104336607952</v>
      </c>
    </row>
    <row r="135" spans="1:4" ht="20.25">
      <c r="A135" t="s">
        <v>492</v>
      </c>
      <c r="B135" s="2883">
        <v>0</v>
      </c>
      <c r="C135" s="2883">
        <v>65152</v>
      </c>
      <c r="D135" s="2882">
        <v>4625.9509370458372</v>
      </c>
    </row>
    <row r="136" spans="1:4" ht="20.25">
      <c r="A136" t="s">
        <v>933</v>
      </c>
      <c r="B136" s="2883">
        <v>0</v>
      </c>
      <c r="C136" s="2883">
        <v>257333</v>
      </c>
      <c r="D136" s="2882">
        <v>4877.9778915494162</v>
      </c>
    </row>
    <row r="137" spans="1:4" ht="20.25">
      <c r="A137" t="s">
        <v>934</v>
      </c>
      <c r="B137" s="2883">
        <v>0</v>
      </c>
      <c r="C137" s="2883">
        <v>29041</v>
      </c>
      <c r="D137" s="2882">
        <v>5616.6963179822087</v>
      </c>
    </row>
    <row r="138" spans="1:4" ht="20.25">
      <c r="A138" t="s">
        <v>776</v>
      </c>
      <c r="B138" s="2883">
        <v>0</v>
      </c>
      <c r="C138" s="2883">
        <v>68865</v>
      </c>
      <c r="D138" s="2882">
        <v>5691.7027850184168</v>
      </c>
    </row>
    <row r="139" spans="1:4" ht="20.25">
      <c r="A139" t="s">
        <v>1806</v>
      </c>
      <c r="B139" s="2883">
        <v>0</v>
      </c>
      <c r="C139" s="2883">
        <v>34485</v>
      </c>
      <c r="D139" s="2882">
        <v>5934.0287216869201</v>
      </c>
    </row>
    <row r="140" spans="1:4" ht="20.25">
      <c r="A140" t="s">
        <v>1725</v>
      </c>
      <c r="B140" s="2883">
        <v>0</v>
      </c>
      <c r="C140" s="2883">
        <v>287442</v>
      </c>
      <c r="D140" s="2882">
        <v>5089.5807588351736</v>
      </c>
    </row>
    <row r="141" spans="1:4" ht="20.25">
      <c r="A141" t="s">
        <v>1726</v>
      </c>
      <c r="B141" s="2883">
        <v>0</v>
      </c>
      <c r="C141" s="2883">
        <v>17295</v>
      </c>
      <c r="D141" s="2882">
        <v>5027.2017988350626</v>
      </c>
    </row>
    <row r="142" spans="1:4" ht="20.25">
      <c r="A142" t="s">
        <v>743</v>
      </c>
      <c r="B142" s="2883">
        <v>0</v>
      </c>
      <c r="C142" s="2883">
        <v>75825</v>
      </c>
      <c r="D142" s="2882">
        <v>5664.1840182790984</v>
      </c>
    </row>
    <row r="143" spans="1:4" ht="20.25">
      <c r="A143" t="s">
        <v>744</v>
      </c>
      <c r="B143" s="2883">
        <v>0</v>
      </c>
      <c r="C143" s="2883">
        <v>164045</v>
      </c>
      <c r="D143" s="2882">
        <v>4685.7055211247998</v>
      </c>
    </row>
    <row r="144" spans="1:4" ht="20.25">
      <c r="A144" t="s">
        <v>1875</v>
      </c>
      <c r="B144" s="2883">
        <v>0</v>
      </c>
      <c r="C144" s="2883">
        <v>19003</v>
      </c>
      <c r="D144" s="2882">
        <v>5091.6963504259102</v>
      </c>
    </row>
    <row r="145" spans="1:4" ht="20.25">
      <c r="A145" t="s">
        <v>745</v>
      </c>
      <c r="B145" s="2883">
        <v>0</v>
      </c>
      <c r="C145" s="2883">
        <v>104051</v>
      </c>
      <c r="D145" s="2882">
        <v>4654.4842974877311</v>
      </c>
    </row>
    <row r="146" spans="1:4" ht="20.25">
      <c r="A146" t="s">
        <v>1952</v>
      </c>
      <c r="B146" s="2883">
        <v>0</v>
      </c>
      <c r="C146" s="2883">
        <v>14911</v>
      </c>
      <c r="D146" s="2882">
        <v>4746.7165883666003</v>
      </c>
    </row>
    <row r="147" spans="1:4" ht="20.25">
      <c r="A147" t="s">
        <v>1953</v>
      </c>
      <c r="B147" s="2883">
        <v>0</v>
      </c>
      <c r="C147" s="2883">
        <v>71313</v>
      </c>
      <c r="D147" s="2882">
        <v>4737.3799643264292</v>
      </c>
    </row>
    <row r="148" spans="1:4" ht="20.25">
      <c r="A148" t="s">
        <v>2431</v>
      </c>
      <c r="B148" s="2883">
        <v>0</v>
      </c>
      <c r="C148" s="2883">
        <v>11639</v>
      </c>
      <c r="D148" s="2882">
        <v>4750.1166266565488</v>
      </c>
    </row>
    <row r="149" spans="1:4" ht="20.25">
      <c r="A149" t="s">
        <v>2539</v>
      </c>
      <c r="B149" s="2883">
        <v>0</v>
      </c>
      <c r="C149" s="2883">
        <v>7309</v>
      </c>
      <c r="D149" s="2882">
        <v>4799.9946816525871</v>
      </c>
    </row>
    <row r="150" spans="1:4" ht="20.25">
      <c r="A150" t="s">
        <v>1640</v>
      </c>
      <c r="B150" s="2883">
        <v>0</v>
      </c>
      <c r="C150" s="2883">
        <v>139182</v>
      </c>
      <c r="D150" s="2882">
        <v>4956.4120942834734</v>
      </c>
    </row>
    <row r="151" spans="1:4" ht="20.25">
      <c r="A151" t="s">
        <v>2432</v>
      </c>
      <c r="B151" s="2883">
        <v>0</v>
      </c>
      <c r="C151" s="2883">
        <v>353393</v>
      </c>
      <c r="D151" s="2882">
        <v>7055.9592708072596</v>
      </c>
    </row>
    <row r="152" spans="1:4" ht="20.25">
      <c r="A152" t="s">
        <v>285</v>
      </c>
      <c r="B152" s="2883">
        <v>0</v>
      </c>
      <c r="C152" s="2883">
        <v>76158</v>
      </c>
      <c r="D152" s="2882">
        <v>4884.957934347327</v>
      </c>
    </row>
    <row r="153" spans="1:4" ht="20.25">
      <c r="A153" t="s">
        <v>1469</v>
      </c>
      <c r="B153" s="2883">
        <v>0</v>
      </c>
      <c r="C153" s="2883">
        <v>54157</v>
      </c>
      <c r="D153" s="2882">
        <v>4784.9813866333543</v>
      </c>
    </row>
    <row r="154" spans="1:4" ht="20.25">
      <c r="A154" t="s">
        <v>43</v>
      </c>
      <c r="B154" s="2883">
        <v>0</v>
      </c>
      <c r="C154" s="2883">
        <v>495524</v>
      </c>
      <c r="D154" s="2882">
        <v>4762.2782785846393</v>
      </c>
    </row>
    <row r="155" spans="1:4" ht="20.25">
      <c r="A155" t="s">
        <v>1311</v>
      </c>
      <c r="B155" s="2883">
        <v>0</v>
      </c>
      <c r="C155" s="2883">
        <v>238446</v>
      </c>
      <c r="D155" s="2882">
        <v>4816.0049849670686</v>
      </c>
    </row>
    <row r="156" spans="1:4" ht="20.25">
      <c r="A156" t="s">
        <v>2542</v>
      </c>
      <c r="B156" s="2883">
        <v>0</v>
      </c>
      <c r="C156" s="2883">
        <v>45426</v>
      </c>
      <c r="D156" s="2882">
        <v>6004.0783514818886</v>
      </c>
    </row>
    <row r="157" spans="1:4" ht="20.25">
      <c r="A157" t="s">
        <v>1470</v>
      </c>
      <c r="B157" s="2883">
        <v>0</v>
      </c>
      <c r="C157" s="2883">
        <v>23410</v>
      </c>
      <c r="D157" s="2882">
        <v>4600.8483238541057</v>
      </c>
    </row>
    <row r="158" spans="1:4" ht="20.25">
      <c r="A158" t="s">
        <v>71</v>
      </c>
      <c r="B158" s="2883">
        <v>0</v>
      </c>
      <c r="C158" s="2883">
        <v>45263</v>
      </c>
      <c r="D158" s="2882">
        <v>4912.5666756709898</v>
      </c>
    </row>
    <row r="159" spans="1:4" ht="20.25">
      <c r="A159" t="s">
        <v>1110</v>
      </c>
      <c r="B159" s="2883">
        <v>0</v>
      </c>
      <c r="C159" s="2883">
        <v>2142</v>
      </c>
      <c r="D159" s="2882">
        <v>4729.1120539776057</v>
      </c>
    </row>
    <row r="160" spans="1:4" ht="20.25">
      <c r="A160" t="s">
        <v>2167</v>
      </c>
      <c r="B160" s="2883">
        <v>0</v>
      </c>
      <c r="C160" s="2883">
        <v>99143</v>
      </c>
      <c r="D160" s="2882">
        <v>4862.1139148837437</v>
      </c>
    </row>
    <row r="161" spans="1:4" ht="20.25">
      <c r="A161" t="s">
        <v>716</v>
      </c>
      <c r="B161" s="2883">
        <v>0</v>
      </c>
      <c r="C161" s="2883">
        <v>63697</v>
      </c>
      <c r="D161" s="2882">
        <v>4848.2291737532578</v>
      </c>
    </row>
    <row r="162" spans="1:4" ht="20.25">
      <c r="A162" t="s">
        <v>2168</v>
      </c>
      <c r="B162" s="2883">
        <v>0</v>
      </c>
      <c r="C162" s="2883">
        <v>13865</v>
      </c>
      <c r="D162" s="2882">
        <v>4834.6049360234574</v>
      </c>
    </row>
    <row r="163" spans="1:4" ht="20.25">
      <c r="A163" t="s">
        <v>1670</v>
      </c>
      <c r="B163" s="2883">
        <v>0</v>
      </c>
      <c r="C163" s="2883">
        <v>36942</v>
      </c>
      <c r="D163" s="2882">
        <v>5419.7699780279927</v>
      </c>
    </row>
    <row r="164" spans="1:4" ht="20.25">
      <c r="A164" t="s">
        <v>1671</v>
      </c>
      <c r="B164" s="2883">
        <v>0</v>
      </c>
      <c r="C164" s="2883">
        <v>23555</v>
      </c>
      <c r="D164" s="2882">
        <v>5027.1723144780153</v>
      </c>
    </row>
    <row r="165" spans="1:4" ht="20.25">
      <c r="A165" t="s">
        <v>795</v>
      </c>
      <c r="B165" s="2883">
        <v>0</v>
      </c>
      <c r="C165" s="2883">
        <v>46165</v>
      </c>
      <c r="D165" s="2882">
        <v>9402.070765711891</v>
      </c>
    </row>
    <row r="166" spans="1:4" ht="20.25">
      <c r="A166" t="s">
        <v>796</v>
      </c>
      <c r="B166" s="2883">
        <v>0</v>
      </c>
      <c r="C166" s="2883">
        <v>44961</v>
      </c>
      <c r="D166" s="2882">
        <v>4905.971064289648</v>
      </c>
    </row>
    <row r="167" spans="1:4" ht="20.25">
      <c r="A167" t="s">
        <v>815</v>
      </c>
      <c r="B167" s="2883">
        <v>0</v>
      </c>
      <c r="C167" s="2883">
        <v>42375</v>
      </c>
      <c r="D167" s="2882">
        <v>5430.1875394711551</v>
      </c>
    </row>
    <row r="168" spans="1:4" ht="20.25">
      <c r="A168" t="s">
        <v>577</v>
      </c>
      <c r="B168" s="2883">
        <v>0</v>
      </c>
      <c r="C168" s="2883">
        <v>45886</v>
      </c>
      <c r="D168" s="2882">
        <v>4910.2399008666807</v>
      </c>
    </row>
    <row r="169" spans="1:4" ht="20.25">
      <c r="A169" t="s">
        <v>2368</v>
      </c>
      <c r="B169" s="2883">
        <v>0</v>
      </c>
      <c r="C169" s="2883">
        <v>72883</v>
      </c>
      <c r="D169" s="2882">
        <v>4898.7911727584305</v>
      </c>
    </row>
    <row r="170" spans="1:4" ht="20.25">
      <c r="A170" t="s">
        <v>816</v>
      </c>
      <c r="B170" s="2883">
        <v>0</v>
      </c>
      <c r="C170" s="2883">
        <v>67558</v>
      </c>
      <c r="D170" s="2882">
        <v>4972.7226654965052</v>
      </c>
    </row>
    <row r="171" spans="1:4" ht="20.25">
      <c r="A171" t="s">
        <v>1736</v>
      </c>
      <c r="B171" s="2883">
        <v>0</v>
      </c>
      <c r="C171" s="2883">
        <v>65505</v>
      </c>
      <c r="D171" s="2882">
        <v>5122.3203180255105</v>
      </c>
    </row>
    <row r="172" spans="1:4" ht="20.25">
      <c r="A172" t="s">
        <v>584</v>
      </c>
      <c r="B172" s="2883">
        <v>198397</v>
      </c>
      <c r="C172" s="2883">
        <v>638016</v>
      </c>
      <c r="D172" s="2882">
        <v>5396.6315139841699</v>
      </c>
    </row>
    <row r="173" spans="1:4" ht="20.25">
      <c r="A173" t="s">
        <v>1641</v>
      </c>
      <c r="B173" s="2883">
        <v>0</v>
      </c>
      <c r="C173" s="2883">
        <v>166993</v>
      </c>
      <c r="D173" s="2882">
        <v>5384.0280015627723</v>
      </c>
    </row>
    <row r="174" spans="1:4" ht="20.25">
      <c r="A174" t="s">
        <v>2502</v>
      </c>
      <c r="B174" s="2883">
        <v>5370</v>
      </c>
      <c r="C174" s="2883">
        <v>126343</v>
      </c>
      <c r="D174" s="2882">
        <v>5268.02418702261</v>
      </c>
    </row>
    <row r="175" spans="1:4" ht="20.25">
      <c r="A175" t="s">
        <v>1687</v>
      </c>
      <c r="B175" s="2883">
        <v>0</v>
      </c>
      <c r="C175" s="2883">
        <v>108372</v>
      </c>
      <c r="D175" s="2882">
        <v>4859.0844326462066</v>
      </c>
    </row>
    <row r="176" spans="1:4" ht="20.25">
      <c r="A176" t="s">
        <v>1425</v>
      </c>
      <c r="B176" s="2883">
        <v>425030</v>
      </c>
      <c r="C176" s="2883">
        <v>1329905</v>
      </c>
      <c r="D176" s="2882">
        <v>5695.1341014689078</v>
      </c>
    </row>
    <row r="177" spans="1:4" ht="20.25">
      <c r="A177" t="s">
        <v>2530</v>
      </c>
      <c r="B177" s="2883">
        <v>101748</v>
      </c>
      <c r="C177" s="2883">
        <v>1571456</v>
      </c>
      <c r="D177" s="2882">
        <v>5703.4239521379523</v>
      </c>
    </row>
    <row r="178" spans="1:4" ht="20.25">
      <c r="A178" t="s">
        <v>649</v>
      </c>
      <c r="B178" s="2883">
        <v>8241</v>
      </c>
      <c r="C178" s="2883">
        <v>92458</v>
      </c>
      <c r="D178" s="2882">
        <v>5561.6068274724821</v>
      </c>
    </row>
    <row r="179" spans="1:4" ht="20.25">
      <c r="A179" t="s">
        <v>650</v>
      </c>
      <c r="B179" s="2883">
        <v>67221</v>
      </c>
      <c r="C179" s="2883">
        <v>1915651</v>
      </c>
      <c r="D179" s="2882">
        <v>5671.3000351516557</v>
      </c>
    </row>
    <row r="180" spans="1:4" ht="20.25">
      <c r="A180" t="s">
        <v>218</v>
      </c>
      <c r="B180" s="2883">
        <v>10060</v>
      </c>
      <c r="C180" s="2883">
        <v>194743</v>
      </c>
      <c r="D180" s="2882">
        <v>4895.8682276140944</v>
      </c>
    </row>
    <row r="181" spans="1:4" ht="20.25">
      <c r="A181" t="s">
        <v>1583</v>
      </c>
      <c r="B181" s="2883">
        <v>231454</v>
      </c>
      <c r="C181" s="2883">
        <v>236825</v>
      </c>
      <c r="D181" s="2882">
        <v>7500.2683146753725</v>
      </c>
    </row>
    <row r="182" spans="1:4" ht="20.25">
      <c r="A182" t="s">
        <v>1184</v>
      </c>
      <c r="B182" s="2883">
        <v>16976</v>
      </c>
      <c r="C182" s="2883">
        <v>577406</v>
      </c>
      <c r="D182" s="2882">
        <v>5192.1920591137177</v>
      </c>
    </row>
    <row r="183" spans="1:4" ht="20.25">
      <c r="A183" t="s">
        <v>878</v>
      </c>
      <c r="B183" s="2883">
        <v>0</v>
      </c>
      <c r="C183" s="2883">
        <v>79071</v>
      </c>
      <c r="D183" s="2882">
        <v>4793.2095732189873</v>
      </c>
    </row>
    <row r="184" spans="1:4" ht="20.25">
      <c r="A184" t="s">
        <v>1438</v>
      </c>
      <c r="B184" s="2883">
        <v>9768</v>
      </c>
      <c r="C184" s="2883">
        <v>140788</v>
      </c>
      <c r="D184" s="2882">
        <v>5077.0386533908986</v>
      </c>
    </row>
    <row r="185" spans="1:4" ht="20.25">
      <c r="A185" t="s">
        <v>253</v>
      </c>
      <c r="B185" s="2883">
        <v>8126</v>
      </c>
      <c r="C185" s="2883">
        <v>0</v>
      </c>
      <c r="D185" s="2882">
        <v>7420.6037664426985</v>
      </c>
    </row>
    <row r="186" spans="1:4" ht="20.25">
      <c r="A186" t="s">
        <v>254</v>
      </c>
      <c r="B186" s="2883">
        <v>0</v>
      </c>
      <c r="C186" s="2883">
        <v>8397</v>
      </c>
      <c r="D186" s="2882">
        <v>4614.1926534443337</v>
      </c>
    </row>
    <row r="187" spans="1:4" ht="20.25">
      <c r="A187" t="s">
        <v>588</v>
      </c>
      <c r="B187" s="2883">
        <v>0</v>
      </c>
      <c r="C187" s="2883">
        <v>10967</v>
      </c>
      <c r="D187" s="2882">
        <v>4789.2611567316017</v>
      </c>
    </row>
    <row r="188" spans="1:4" ht="20.25">
      <c r="A188" t="s">
        <v>1436</v>
      </c>
      <c r="B188" s="2883">
        <v>0</v>
      </c>
      <c r="C188" s="2883">
        <v>148292</v>
      </c>
      <c r="D188" s="2882">
        <v>4933.5543164930577</v>
      </c>
    </row>
    <row r="189" spans="1:4" ht="20.25">
      <c r="A189" t="s">
        <v>589</v>
      </c>
      <c r="B189" s="2883">
        <v>45106</v>
      </c>
      <c r="C189" s="2883">
        <v>169517</v>
      </c>
      <c r="D189" s="2882">
        <v>5249.2022853939525</v>
      </c>
    </row>
    <row r="190" spans="1:4" ht="20.25">
      <c r="A190" t="s">
        <v>27</v>
      </c>
      <c r="B190" s="2883">
        <v>0</v>
      </c>
      <c r="C190" s="2883">
        <v>37664</v>
      </c>
      <c r="D190" s="2882">
        <v>5095.478094441939</v>
      </c>
    </row>
    <row r="191" spans="1:4" ht="20.25">
      <c r="A191" t="s">
        <v>28</v>
      </c>
      <c r="B191" s="2883">
        <v>2527</v>
      </c>
      <c r="C191" s="2883">
        <v>424657</v>
      </c>
      <c r="D191" s="2882">
        <v>5212.5724583473475</v>
      </c>
    </row>
    <row r="192" spans="1:4" ht="20.25">
      <c r="A192" t="s">
        <v>1265</v>
      </c>
      <c r="B192" s="2883">
        <v>271395</v>
      </c>
      <c r="C192" s="2883">
        <v>2186296</v>
      </c>
      <c r="D192" s="2882">
        <v>5726.7214755047689</v>
      </c>
    </row>
    <row r="193" spans="1:4" ht="20.25">
      <c r="A193" t="s">
        <v>2315</v>
      </c>
      <c r="B193" s="2883">
        <v>71847</v>
      </c>
      <c r="C193" s="2883">
        <v>104973</v>
      </c>
      <c r="D193" s="2882">
        <v>4827.5559035689839</v>
      </c>
    </row>
    <row r="194" spans="1:4" ht="20.25">
      <c r="A194" t="s">
        <v>2409</v>
      </c>
      <c r="B194" s="2883">
        <v>0</v>
      </c>
      <c r="C194" s="2883">
        <v>43328</v>
      </c>
      <c r="D194" s="2882">
        <v>4864.4068127108985</v>
      </c>
    </row>
    <row r="195" spans="1:4" ht="20.25">
      <c r="A195" t="s">
        <v>2342</v>
      </c>
      <c r="B195" s="2883">
        <v>0</v>
      </c>
      <c r="C195" s="2883">
        <v>28116</v>
      </c>
      <c r="D195" s="2882">
        <v>4773.1871884552893</v>
      </c>
    </row>
    <row r="196" spans="1:4" ht="20.25">
      <c r="A196" t="s">
        <v>2316</v>
      </c>
      <c r="B196" s="2883">
        <v>0</v>
      </c>
      <c r="C196" s="2883">
        <v>0</v>
      </c>
      <c r="D196" s="2882">
        <v>4614.4478975074526</v>
      </c>
    </row>
    <row r="197" spans="1:4" ht="20.25">
      <c r="A197" t="s">
        <v>2317</v>
      </c>
      <c r="B197" s="2883">
        <v>0</v>
      </c>
      <c r="C197" s="2883">
        <v>43700</v>
      </c>
      <c r="D197" s="2882">
        <v>5258.0846768056981</v>
      </c>
    </row>
    <row r="198" spans="1:4" ht="20.25">
      <c r="A198" t="s">
        <v>300</v>
      </c>
      <c r="B198" s="2883">
        <v>0</v>
      </c>
      <c r="C198" s="2883">
        <v>10688</v>
      </c>
      <c r="D198" s="2882">
        <v>4900.0904391814893</v>
      </c>
    </row>
    <row r="199" spans="1:4" ht="20.25">
      <c r="A199" t="s">
        <v>1427</v>
      </c>
      <c r="B199" s="2883">
        <v>0</v>
      </c>
      <c r="C199" s="2883">
        <v>165590</v>
      </c>
      <c r="D199" s="2882">
        <v>4865.6172072288691</v>
      </c>
    </row>
    <row r="200" spans="1:4" ht="20.25">
      <c r="A200" t="s">
        <v>301</v>
      </c>
      <c r="B200" s="2883">
        <v>0</v>
      </c>
      <c r="C200" s="2883">
        <v>43457</v>
      </c>
      <c r="D200" s="2882">
        <v>4894.8515998222028</v>
      </c>
    </row>
    <row r="201" spans="1:4" ht="20.25">
      <c r="A201" t="s">
        <v>2503</v>
      </c>
      <c r="B201" s="2883">
        <v>0</v>
      </c>
      <c r="C201" s="2883">
        <v>64162</v>
      </c>
      <c r="D201" s="2882">
        <v>4858.0268861771647</v>
      </c>
    </row>
    <row r="202" spans="1:4" ht="20.25">
      <c r="A202" t="s">
        <v>302</v>
      </c>
      <c r="B202" s="2883">
        <v>0</v>
      </c>
      <c r="C202" s="2883">
        <v>263681</v>
      </c>
      <c r="D202" s="2882">
        <v>5857.5457529820642</v>
      </c>
    </row>
    <row r="203" spans="1:4" ht="20.25">
      <c r="A203" t="s">
        <v>303</v>
      </c>
      <c r="B203" s="2883">
        <v>0</v>
      </c>
      <c r="C203" s="2883">
        <v>45204</v>
      </c>
      <c r="D203" s="2882">
        <v>4930.2826988086354</v>
      </c>
    </row>
    <row r="204" spans="1:4" ht="20.25">
      <c r="A204" t="s">
        <v>304</v>
      </c>
      <c r="B204" s="2883">
        <v>0</v>
      </c>
      <c r="C204" s="2883">
        <v>13885</v>
      </c>
      <c r="D204" s="2882">
        <v>5272.3613947184467</v>
      </c>
    </row>
    <row r="205" spans="1:4" ht="20.25">
      <c r="A205" t="s">
        <v>1743</v>
      </c>
      <c r="B205" s="2883">
        <v>0</v>
      </c>
      <c r="C205" s="2883">
        <v>12776</v>
      </c>
      <c r="D205" s="2882">
        <v>5526.6515089200502</v>
      </c>
    </row>
    <row r="206" spans="1:4" ht="20.25">
      <c r="A206" t="s">
        <v>1744</v>
      </c>
      <c r="B206" s="2883">
        <v>0</v>
      </c>
      <c r="C206" s="2883">
        <v>31841</v>
      </c>
      <c r="D206" s="2882">
        <v>5371.7277912947247</v>
      </c>
    </row>
    <row r="207" spans="1:4" ht="20.25">
      <c r="A207" t="s">
        <v>1316</v>
      </c>
      <c r="B207" s="2883">
        <v>0</v>
      </c>
      <c r="C207" s="2883">
        <v>39389</v>
      </c>
      <c r="D207" s="2882">
        <v>5104.914678262141</v>
      </c>
    </row>
    <row r="208" spans="1:4" ht="20.25">
      <c r="A208" t="s">
        <v>1107</v>
      </c>
      <c r="B208" s="2883">
        <v>0</v>
      </c>
      <c r="C208" s="2883">
        <v>284992</v>
      </c>
      <c r="D208" s="2882">
        <v>4954.0269503351965</v>
      </c>
    </row>
    <row r="209" spans="1:4" ht="20.25">
      <c r="A209" t="s">
        <v>2148</v>
      </c>
      <c r="B209" s="2883">
        <v>0</v>
      </c>
      <c r="C209" s="2883">
        <v>10898</v>
      </c>
      <c r="D209" s="2882">
        <v>5653.6245071276926</v>
      </c>
    </row>
    <row r="210" spans="1:4" ht="20.25">
      <c r="A210" t="s">
        <v>1108</v>
      </c>
      <c r="B210" s="2883">
        <v>0</v>
      </c>
      <c r="C210" s="2883">
        <v>40469</v>
      </c>
      <c r="D210" s="2882">
        <v>4814.5305781175348</v>
      </c>
    </row>
    <row r="211" spans="1:4" ht="20.25">
      <c r="A211" t="s">
        <v>2398</v>
      </c>
      <c r="B211" s="2883">
        <v>0</v>
      </c>
      <c r="C211" s="2883">
        <v>402514</v>
      </c>
      <c r="D211" s="2882">
        <v>4928.3228218684935</v>
      </c>
    </row>
    <row r="212" spans="1:4" ht="20.25">
      <c r="A212" t="s">
        <v>1109</v>
      </c>
      <c r="B212" s="2883">
        <v>0</v>
      </c>
      <c r="C212" s="2883">
        <v>24733</v>
      </c>
      <c r="D212" s="2882">
        <v>5197.9044244728657</v>
      </c>
    </row>
    <row r="213" spans="1:4" ht="20.25">
      <c r="A213" t="s">
        <v>681</v>
      </c>
      <c r="B213" s="2883">
        <v>0</v>
      </c>
      <c r="C213" s="2883">
        <v>48558</v>
      </c>
      <c r="D213" s="2882">
        <v>9367.9373065676336</v>
      </c>
    </row>
    <row r="214" spans="1:4" ht="20.25">
      <c r="A214" t="s">
        <v>682</v>
      </c>
      <c r="B214" s="2883">
        <v>0</v>
      </c>
      <c r="C214" s="2883">
        <v>93860</v>
      </c>
      <c r="D214" s="2882">
        <v>6813.6006291852636</v>
      </c>
    </row>
    <row r="215" spans="1:4" ht="20.25">
      <c r="A215" t="s">
        <v>683</v>
      </c>
      <c r="B215" s="2883">
        <v>0</v>
      </c>
      <c r="C215" s="2883">
        <v>21388</v>
      </c>
      <c r="D215" s="2882">
        <v>5080.8761371736882</v>
      </c>
    </row>
    <row r="216" spans="1:4" ht="20.25">
      <c r="A216" t="s">
        <v>684</v>
      </c>
      <c r="B216" s="2883">
        <v>0</v>
      </c>
      <c r="C216" s="2883">
        <v>74919</v>
      </c>
      <c r="D216" s="2882">
        <v>5305.8512077222586</v>
      </c>
    </row>
    <row r="217" spans="1:4" ht="20.25">
      <c r="A217" t="s">
        <v>392</v>
      </c>
      <c r="B217" s="2883">
        <v>0</v>
      </c>
      <c r="C217" s="2883">
        <v>20000</v>
      </c>
      <c r="D217" s="2882">
        <v>4417.9403986981288</v>
      </c>
    </row>
    <row r="218" spans="1:4" ht="20.25">
      <c r="A218" t="s">
        <v>2559</v>
      </c>
      <c r="B218" s="2883">
        <v>0</v>
      </c>
      <c r="C218" s="2883">
        <v>10196</v>
      </c>
      <c r="D218" s="2882">
        <v>5453.0683122316004</v>
      </c>
    </row>
    <row r="219" spans="1:4" ht="20.25">
      <c r="A219" t="s">
        <v>2560</v>
      </c>
      <c r="B219" s="2883">
        <v>0</v>
      </c>
      <c r="C219" s="2883">
        <v>44352</v>
      </c>
      <c r="D219" s="2882">
        <v>4755.2589454927102</v>
      </c>
    </row>
    <row r="220" spans="1:4" ht="20.25">
      <c r="A220" t="s">
        <v>2561</v>
      </c>
      <c r="B220" s="2883">
        <v>0</v>
      </c>
      <c r="C220" s="2883">
        <v>42511</v>
      </c>
      <c r="D220" s="2882">
        <v>4851.8768363135296</v>
      </c>
    </row>
    <row r="221" spans="1:4" ht="20.25">
      <c r="A221" t="s">
        <v>1642</v>
      </c>
      <c r="B221" s="2883">
        <v>11467</v>
      </c>
      <c r="C221" s="2883">
        <v>0</v>
      </c>
      <c r="D221" s="2882">
        <v>5526.1974662050497</v>
      </c>
    </row>
    <row r="222" spans="1:4" ht="20.25">
      <c r="A222" t="s">
        <v>385</v>
      </c>
      <c r="B222" s="2883">
        <v>0</v>
      </c>
      <c r="C222" s="2883">
        <v>0</v>
      </c>
      <c r="D222" s="2882">
        <v>5068.0836224691284</v>
      </c>
    </row>
    <row r="223" spans="1:4" ht="20.25">
      <c r="A223" t="s">
        <v>386</v>
      </c>
      <c r="B223" s="2883">
        <v>6923</v>
      </c>
      <c r="C223" s="2883">
        <v>0</v>
      </c>
      <c r="D223" s="2882">
        <v>5429.7374496643806</v>
      </c>
    </row>
    <row r="224" spans="1:4" ht="20.25">
      <c r="A224" t="s">
        <v>387</v>
      </c>
      <c r="B224" s="2883">
        <v>0</v>
      </c>
      <c r="C224" s="2883">
        <v>0</v>
      </c>
      <c r="D224" s="2882">
        <v>4902.6573433530357</v>
      </c>
    </row>
    <row r="225" spans="1:4" ht="20.25">
      <c r="A225" t="s">
        <v>388</v>
      </c>
      <c r="B225" s="2883">
        <v>0</v>
      </c>
      <c r="C225" s="2883">
        <v>526125</v>
      </c>
      <c r="D225" s="2882">
        <v>4884.102566385508</v>
      </c>
    </row>
    <row r="226" spans="1:4" ht="20.25">
      <c r="A226" t="s">
        <v>2578</v>
      </c>
      <c r="B226" s="2883">
        <v>0</v>
      </c>
      <c r="C226" s="2883">
        <v>3294526</v>
      </c>
      <c r="D226" s="2882">
        <v>4853.284801608107</v>
      </c>
    </row>
    <row r="227" spans="1:4" ht="20.25">
      <c r="A227" t="s">
        <v>666</v>
      </c>
      <c r="B227" s="2883">
        <v>186511</v>
      </c>
      <c r="C227" s="2883">
        <v>767177</v>
      </c>
      <c r="D227" s="2882">
        <v>4852.0550894285298</v>
      </c>
    </row>
    <row r="228" spans="1:4" ht="20.25">
      <c r="A228" t="s">
        <v>533</v>
      </c>
      <c r="B228" s="2883">
        <v>0</v>
      </c>
      <c r="C228" s="2883">
        <v>0</v>
      </c>
      <c r="D228" s="2882">
        <v>5856.2477976638902</v>
      </c>
    </row>
    <row r="229" spans="1:4" ht="20.25">
      <c r="A229" t="s">
        <v>41</v>
      </c>
      <c r="B229" s="2883">
        <v>0</v>
      </c>
      <c r="C229" s="2883">
        <v>0</v>
      </c>
      <c r="D229" s="2882">
        <v>4911.9150100916322</v>
      </c>
    </row>
    <row r="230" spans="1:4" ht="20.25">
      <c r="A230" t="s">
        <v>1790</v>
      </c>
      <c r="B230" s="2883">
        <v>0</v>
      </c>
      <c r="C230" s="2883">
        <v>0</v>
      </c>
      <c r="D230" s="2882">
        <v>4956.5936864548994</v>
      </c>
    </row>
    <row r="231" spans="1:4" ht="20.25">
      <c r="A231" t="s">
        <v>2533</v>
      </c>
      <c r="B231" s="2883">
        <v>148132</v>
      </c>
      <c r="C231" s="2883">
        <v>1096453</v>
      </c>
      <c r="D231" s="2882">
        <v>4780.4690287475851</v>
      </c>
    </row>
    <row r="232" spans="1:4" ht="20.25">
      <c r="A232" t="s">
        <v>1791</v>
      </c>
      <c r="B232" s="2883">
        <v>0</v>
      </c>
      <c r="C232" s="2883">
        <v>0</v>
      </c>
      <c r="D232" s="2882">
        <v>5250.5738566569862</v>
      </c>
    </row>
    <row r="233" spans="1:4" ht="20.25">
      <c r="A233" t="s">
        <v>2688</v>
      </c>
      <c r="B233" s="2883">
        <v>61243</v>
      </c>
      <c r="C233" s="2883">
        <v>45076</v>
      </c>
      <c r="D233" s="2882">
        <v>6186.8133405023045</v>
      </c>
    </row>
    <row r="234" spans="1:4" ht="20.25">
      <c r="A234" t="s">
        <v>249</v>
      </c>
      <c r="B234" s="2883">
        <v>0</v>
      </c>
      <c r="C234" s="2883">
        <v>0</v>
      </c>
      <c r="D234" s="2882">
        <v>5677.9075939701115</v>
      </c>
    </row>
    <row r="235" spans="1:4" ht="20.25">
      <c r="A235" t="s">
        <v>250</v>
      </c>
      <c r="B235" s="2883">
        <v>0</v>
      </c>
      <c r="C235" s="2883">
        <v>9926</v>
      </c>
      <c r="D235" s="2882">
        <v>7444.156841326193</v>
      </c>
    </row>
    <row r="236" spans="1:4" ht="20.25">
      <c r="A236" t="s">
        <v>251</v>
      </c>
      <c r="B236" s="2883">
        <v>0</v>
      </c>
      <c r="C236" s="2883">
        <v>52954</v>
      </c>
      <c r="D236" s="2882">
        <v>7158.6762867264015</v>
      </c>
    </row>
    <row r="237" spans="1:4" ht="20.25">
      <c r="A237" t="s">
        <v>252</v>
      </c>
      <c r="B237" s="2883">
        <v>0</v>
      </c>
      <c r="C237" s="2883">
        <v>82745</v>
      </c>
      <c r="D237" s="2882">
        <v>4872.7464196900883</v>
      </c>
    </row>
    <row r="238" spans="1:4" ht="20.25">
      <c r="A238" t="s">
        <v>374</v>
      </c>
      <c r="B238" s="2883">
        <v>0</v>
      </c>
      <c r="C238" s="2883">
        <v>54178</v>
      </c>
      <c r="D238" s="2882">
        <v>6432.0510046286272</v>
      </c>
    </row>
    <row r="239" spans="1:4" ht="20.25">
      <c r="A239" t="s">
        <v>1864</v>
      </c>
      <c r="B239" s="2883">
        <v>0</v>
      </c>
      <c r="C239" s="2883">
        <v>224383</v>
      </c>
      <c r="D239" s="2882">
        <v>4748.8349737008966</v>
      </c>
    </row>
    <row r="240" spans="1:4" ht="20.25">
      <c r="A240" t="s">
        <v>1068</v>
      </c>
      <c r="B240" s="2883">
        <v>0</v>
      </c>
      <c r="C240" s="2883">
        <v>161318</v>
      </c>
      <c r="D240" s="2882">
        <v>4927.2839401313913</v>
      </c>
    </row>
    <row r="241" spans="1:4" ht="20.25">
      <c r="A241" t="s">
        <v>1069</v>
      </c>
      <c r="B241" s="2883">
        <v>0</v>
      </c>
      <c r="C241" s="2883">
        <v>111866</v>
      </c>
      <c r="D241" s="2882">
        <v>4768.7404613694025</v>
      </c>
    </row>
    <row r="242" spans="1:4" ht="20.25">
      <c r="A242" t="s">
        <v>640</v>
      </c>
      <c r="B242" s="2883">
        <v>0</v>
      </c>
      <c r="C242" s="2883">
        <v>48533</v>
      </c>
      <c r="D242" s="2882">
        <v>4955.7046700519686</v>
      </c>
    </row>
    <row r="243" spans="1:4" ht="20.25">
      <c r="A243" t="s">
        <v>1070</v>
      </c>
      <c r="B243" s="2883">
        <v>80985</v>
      </c>
      <c r="C243" s="2883">
        <v>1465534</v>
      </c>
      <c r="D243" s="2882">
        <v>5976.7971884090066</v>
      </c>
    </row>
    <row r="244" spans="1:4" ht="20.25">
      <c r="A244" t="s">
        <v>1770</v>
      </c>
      <c r="B244" s="2883">
        <v>17548</v>
      </c>
      <c r="C244" s="2883">
        <v>2365880</v>
      </c>
      <c r="D244" s="2882">
        <v>5705.4186399223754</v>
      </c>
    </row>
    <row r="245" spans="1:4" ht="20.25">
      <c r="A245" t="s">
        <v>212</v>
      </c>
      <c r="B245" s="2883">
        <v>0</v>
      </c>
      <c r="C245" s="2883">
        <v>143575</v>
      </c>
      <c r="D245" s="2882">
        <v>4892.1208461154793</v>
      </c>
    </row>
    <row r="246" spans="1:4" ht="20.25">
      <c r="A246" t="s">
        <v>717</v>
      </c>
      <c r="B246" s="2883">
        <v>0</v>
      </c>
      <c r="C246" s="2883">
        <v>76958</v>
      </c>
      <c r="D246" s="2882">
        <v>6734.0051788877117</v>
      </c>
    </row>
    <row r="247" spans="1:4" ht="20.25">
      <c r="A247" t="s">
        <v>214</v>
      </c>
      <c r="B247" s="2883">
        <v>0</v>
      </c>
      <c r="C247" s="2883">
        <v>85052</v>
      </c>
      <c r="D247" s="2882">
        <v>7049.5461447758362</v>
      </c>
    </row>
    <row r="248" spans="1:4" ht="20.25">
      <c r="A248" t="s">
        <v>1680</v>
      </c>
      <c r="B248" s="2883">
        <v>0</v>
      </c>
      <c r="C248" s="2883">
        <v>123046</v>
      </c>
      <c r="D248" s="2882">
        <v>5331.1633434869682</v>
      </c>
    </row>
    <row r="249" spans="1:4" ht="20.25">
      <c r="A249" t="s">
        <v>490</v>
      </c>
      <c r="B249" s="2883">
        <v>0</v>
      </c>
      <c r="C249" s="2883">
        <v>145936</v>
      </c>
      <c r="D249" s="2882">
        <v>5180.254073870542</v>
      </c>
    </row>
    <row r="250" spans="1:4" ht="20.25">
      <c r="A250" t="s">
        <v>1838</v>
      </c>
      <c r="B250" s="2883">
        <v>0</v>
      </c>
      <c r="C250" s="2883">
        <v>125645</v>
      </c>
      <c r="D250" s="2882">
        <v>6199.6099378831423</v>
      </c>
    </row>
    <row r="251" spans="1:4" ht="20.25">
      <c r="A251" t="s">
        <v>1410</v>
      </c>
      <c r="B251" s="2883">
        <v>389640</v>
      </c>
      <c r="C251" s="2883">
        <v>1213715</v>
      </c>
      <c r="D251" s="2882">
        <v>6704.4040233826254</v>
      </c>
    </row>
    <row r="252" spans="1:4" ht="20.25">
      <c r="A252" t="s">
        <v>61</v>
      </c>
      <c r="B252" s="2883">
        <v>0</v>
      </c>
      <c r="C252" s="2883">
        <v>154187</v>
      </c>
      <c r="D252" s="2882">
        <v>5042.5557624154389</v>
      </c>
    </row>
    <row r="253" spans="1:4" ht="20.25">
      <c r="A253" t="s">
        <v>641</v>
      </c>
      <c r="B253" s="2883">
        <v>4836</v>
      </c>
      <c r="C253" s="2883">
        <v>412407</v>
      </c>
      <c r="D253" s="2882">
        <v>5278.3076995511701</v>
      </c>
    </row>
    <row r="254" spans="1:4" ht="20.25">
      <c r="A254" t="s">
        <v>2504</v>
      </c>
      <c r="B254" s="2883">
        <v>0</v>
      </c>
      <c r="C254" s="2883">
        <v>200459</v>
      </c>
      <c r="D254" s="2882">
        <v>5218.8984421202376</v>
      </c>
    </row>
    <row r="255" spans="1:4" ht="20.25">
      <c r="A255" t="s">
        <v>1839</v>
      </c>
      <c r="B255" s="2883">
        <v>0</v>
      </c>
      <c r="C255" s="2883">
        <v>13885</v>
      </c>
      <c r="D255" s="2882">
        <v>5295.2477314090083</v>
      </c>
    </row>
    <row r="256" spans="1:4" ht="20.25">
      <c r="A256" t="s">
        <v>1185</v>
      </c>
      <c r="B256" s="2883">
        <v>0</v>
      </c>
      <c r="C256" s="2883">
        <v>126371</v>
      </c>
      <c r="D256" s="2882">
        <v>4935.0368714098986</v>
      </c>
    </row>
    <row r="257" spans="1:4" ht="20.25">
      <c r="A257" t="s">
        <v>1840</v>
      </c>
      <c r="B257" s="2883">
        <v>0</v>
      </c>
      <c r="C257" s="2883">
        <v>41721</v>
      </c>
      <c r="D257" s="2882">
        <v>4709.8604178771257</v>
      </c>
    </row>
    <row r="258" spans="1:4" ht="20.25">
      <c r="A258" t="s">
        <v>698</v>
      </c>
      <c r="B258" s="2883">
        <v>0</v>
      </c>
      <c r="C258" s="2883">
        <v>7606</v>
      </c>
      <c r="D258" s="2882">
        <v>4880.667284819031</v>
      </c>
    </row>
    <row r="259" spans="1:4" ht="20.25">
      <c r="A259" t="s">
        <v>299</v>
      </c>
      <c r="B259" s="2883">
        <v>0</v>
      </c>
      <c r="C259" s="2883">
        <v>26498</v>
      </c>
      <c r="D259" s="2882">
        <v>6250.2292757993564</v>
      </c>
    </row>
    <row r="260" spans="1:4" ht="20.25">
      <c r="A260" t="s">
        <v>175</v>
      </c>
      <c r="B260" s="2883">
        <v>0</v>
      </c>
      <c r="C260" s="2883">
        <v>32103</v>
      </c>
      <c r="D260" s="2882">
        <v>6421.1372111071159</v>
      </c>
    </row>
    <row r="261" spans="1:4" ht="20.25">
      <c r="A261" t="s">
        <v>176</v>
      </c>
      <c r="B261" s="2883">
        <v>0</v>
      </c>
      <c r="C261" s="2883">
        <v>26279</v>
      </c>
      <c r="D261" s="2882">
        <v>4709.0712918855088</v>
      </c>
    </row>
    <row r="262" spans="1:4" ht="20.25">
      <c r="A262" t="s">
        <v>718</v>
      </c>
      <c r="B262" s="2883">
        <v>0</v>
      </c>
      <c r="C262" s="2883">
        <v>253942</v>
      </c>
      <c r="D262" s="2882">
        <v>4890.7932445469851</v>
      </c>
    </row>
    <row r="263" spans="1:4" ht="20.25">
      <c r="A263" t="s">
        <v>2629</v>
      </c>
      <c r="B263" s="2883">
        <v>0</v>
      </c>
      <c r="C263" s="2883">
        <v>43887</v>
      </c>
      <c r="D263" s="2882">
        <v>4920.6325197961678</v>
      </c>
    </row>
    <row r="264" spans="1:4" ht="20.25">
      <c r="A264" t="s">
        <v>1556</v>
      </c>
      <c r="B264" s="2883">
        <v>0</v>
      </c>
      <c r="C264" s="2883">
        <v>25412</v>
      </c>
      <c r="D264" s="2882">
        <v>4781.5583063202275</v>
      </c>
    </row>
    <row r="265" spans="1:4" ht="20.25">
      <c r="A265" t="s">
        <v>2630</v>
      </c>
      <c r="B265" s="2883">
        <v>0</v>
      </c>
      <c r="C265" s="2883">
        <v>23244</v>
      </c>
      <c r="D265" s="2882">
        <v>4856.8573644335738</v>
      </c>
    </row>
    <row r="266" spans="1:4" ht="20.25">
      <c r="A266" t="s">
        <v>2631</v>
      </c>
      <c r="B266" s="2883">
        <v>0</v>
      </c>
      <c r="C266" s="2883">
        <v>26794</v>
      </c>
      <c r="D266" s="2882">
        <v>5677.5845538133381</v>
      </c>
    </row>
    <row r="267" spans="1:4" ht="20.25">
      <c r="A267" t="s">
        <v>719</v>
      </c>
      <c r="B267" s="2883">
        <v>0</v>
      </c>
      <c r="C267" s="2883">
        <v>53361</v>
      </c>
      <c r="D267" s="2882">
        <v>4894.8552334034321</v>
      </c>
    </row>
    <row r="268" spans="1:4" ht="20.25">
      <c r="A268" t="s">
        <v>678</v>
      </c>
      <c r="B268" s="2883">
        <v>0</v>
      </c>
      <c r="C268" s="2883">
        <v>54382</v>
      </c>
      <c r="D268" s="2882">
        <v>5348.636170560856</v>
      </c>
    </row>
    <row r="269" spans="1:4" ht="20.25">
      <c r="A269" t="s">
        <v>2149</v>
      </c>
      <c r="B269" s="2883">
        <v>0</v>
      </c>
      <c r="C269" s="2883">
        <v>48363</v>
      </c>
      <c r="D269" s="2882">
        <v>5628.8504287075266</v>
      </c>
    </row>
    <row r="270" spans="1:4" ht="20.25">
      <c r="A270" t="s">
        <v>2297</v>
      </c>
      <c r="B270" s="2883">
        <v>0</v>
      </c>
      <c r="C270" s="2883">
        <v>70645</v>
      </c>
      <c r="D270" s="2882">
        <v>4854.2135285660152</v>
      </c>
    </row>
    <row r="271" spans="1:4" ht="20.25">
      <c r="A271" t="s">
        <v>1788</v>
      </c>
      <c r="B271" s="2883">
        <v>21594</v>
      </c>
      <c r="C271" s="2883">
        <v>15861</v>
      </c>
      <c r="D271" s="2882">
        <v>4708.8360497260992</v>
      </c>
    </row>
    <row r="272" spans="1:4" ht="20.25">
      <c r="A272" t="s">
        <v>616</v>
      </c>
      <c r="B272" s="2883">
        <v>0</v>
      </c>
      <c r="C272" s="2883">
        <v>36065</v>
      </c>
      <c r="D272" s="2882">
        <v>4930.6914096259561</v>
      </c>
    </row>
    <row r="273" spans="1:4" ht="20.25">
      <c r="A273" t="s">
        <v>918</v>
      </c>
      <c r="B273" s="2883">
        <v>0</v>
      </c>
      <c r="C273" s="2883">
        <v>22727</v>
      </c>
      <c r="D273" s="2882">
        <v>4719.3757416817789</v>
      </c>
    </row>
    <row r="274" spans="1:4" ht="20.25">
      <c r="A274" t="s">
        <v>2132</v>
      </c>
      <c r="B274" s="2883">
        <v>0</v>
      </c>
      <c r="C274" s="2883">
        <v>1966971</v>
      </c>
      <c r="D274" s="2882">
        <v>4850.1587871598294</v>
      </c>
    </row>
    <row r="275" spans="1:4" ht="20.25">
      <c r="A275" t="s">
        <v>2581</v>
      </c>
      <c r="B275" s="2883">
        <v>0</v>
      </c>
      <c r="C275" s="2883">
        <v>24045</v>
      </c>
      <c r="D275" s="2882">
        <v>6435.7088008299252</v>
      </c>
    </row>
    <row r="276" spans="1:4" ht="20.25">
      <c r="A276" t="s">
        <v>2393</v>
      </c>
      <c r="B276" s="2883">
        <v>0</v>
      </c>
      <c r="C276" s="2883">
        <v>33280</v>
      </c>
      <c r="D276" s="2882">
        <v>5099.126153846154</v>
      </c>
    </row>
    <row r="277" spans="1:4" ht="20.25">
      <c r="A277" t="s">
        <v>246</v>
      </c>
      <c r="B277" s="2883">
        <v>0</v>
      </c>
      <c r="C277" s="2883">
        <v>17856</v>
      </c>
      <c r="D277" s="2882">
        <v>4401.1958128229244</v>
      </c>
    </row>
    <row r="278" spans="1:4" ht="20.25">
      <c r="A278" t="s">
        <v>1405</v>
      </c>
      <c r="B278" s="2883">
        <v>82501</v>
      </c>
      <c r="C278" s="2883">
        <v>386707</v>
      </c>
      <c r="D278" s="2882">
        <v>4940.9110711517696</v>
      </c>
    </row>
    <row r="279" spans="1:4" ht="20.25">
      <c r="A279" t="s">
        <v>1406</v>
      </c>
      <c r="B279" s="2883">
        <v>0</v>
      </c>
      <c r="C279" s="2883">
        <v>277875</v>
      </c>
      <c r="D279" s="2882">
        <v>4810.5193351616253</v>
      </c>
    </row>
    <row r="280" spans="1:4" ht="20.25">
      <c r="A280" t="s">
        <v>720</v>
      </c>
      <c r="B280" s="2883">
        <v>0</v>
      </c>
      <c r="C280" s="2883">
        <v>19908</v>
      </c>
      <c r="D280" s="2882">
        <v>4761.3020979166022</v>
      </c>
    </row>
    <row r="281" spans="1:4" ht="20.25">
      <c r="A281" t="s">
        <v>1401</v>
      </c>
      <c r="B281" s="2883">
        <v>0</v>
      </c>
      <c r="C281" s="2883">
        <v>640053</v>
      </c>
      <c r="D281" s="2882">
        <v>5497.5418000610343</v>
      </c>
    </row>
    <row r="282" spans="1:4" ht="20.25">
      <c r="A282" t="s">
        <v>932</v>
      </c>
      <c r="B282" s="2883">
        <v>0</v>
      </c>
      <c r="C282" s="2883">
        <v>17171</v>
      </c>
      <c r="D282" s="2882">
        <v>5035.2130029019208</v>
      </c>
    </row>
    <row r="283" spans="1:4" ht="20.25">
      <c r="A283" t="s">
        <v>247</v>
      </c>
      <c r="B283" s="2883">
        <v>0</v>
      </c>
      <c r="C283" s="2883">
        <v>44401</v>
      </c>
      <c r="D283" s="2882">
        <v>4805.6296527506829</v>
      </c>
    </row>
    <row r="284" spans="1:4" ht="20.25">
      <c r="A284" t="s">
        <v>2084</v>
      </c>
      <c r="B284" s="2883">
        <v>122809</v>
      </c>
      <c r="C284" s="2883">
        <v>407928</v>
      </c>
      <c r="D284" s="2882">
        <v>4984.9846116158333</v>
      </c>
    </row>
    <row r="285" spans="1:4" ht="20.25">
      <c r="A285" t="s">
        <v>343</v>
      </c>
      <c r="B285" s="2883">
        <v>52123</v>
      </c>
      <c r="C285" s="2883">
        <v>588245</v>
      </c>
      <c r="D285" s="2882">
        <v>5421.1062925278566</v>
      </c>
    </row>
    <row r="286" spans="1:4" ht="20.25">
      <c r="A286" t="s">
        <v>721</v>
      </c>
      <c r="B286" s="2883">
        <v>0</v>
      </c>
      <c r="C286" s="2883">
        <v>59780</v>
      </c>
      <c r="D286" s="2882">
        <v>4818.0378777496171</v>
      </c>
    </row>
    <row r="287" spans="1:4" ht="20.25">
      <c r="A287" t="s">
        <v>576</v>
      </c>
      <c r="B287" s="2883">
        <v>0</v>
      </c>
      <c r="C287" s="2883">
        <v>975837</v>
      </c>
      <c r="D287" s="2882">
        <v>4861.991763292941</v>
      </c>
    </row>
    <row r="288" spans="1:4" ht="20.25">
      <c r="A288" t="s">
        <v>2413</v>
      </c>
      <c r="B288" s="2883">
        <v>332526</v>
      </c>
      <c r="C288" s="2883">
        <v>2741495</v>
      </c>
      <c r="D288" s="2882">
        <v>5050.8373112158806</v>
      </c>
    </row>
    <row r="289" spans="1:4" ht="20.25">
      <c r="A289" t="s">
        <v>775</v>
      </c>
      <c r="B289" s="2883">
        <v>0</v>
      </c>
      <c r="C289" s="2883">
        <v>106575</v>
      </c>
      <c r="D289" s="2882">
        <v>4734.6728016808902</v>
      </c>
    </row>
    <row r="290" spans="1:4" ht="20.25">
      <c r="A290" t="s">
        <v>184</v>
      </c>
      <c r="B290" s="2883">
        <v>0</v>
      </c>
      <c r="C290" s="2883">
        <v>238165</v>
      </c>
      <c r="D290" s="2882">
        <v>4633.7316731774499</v>
      </c>
    </row>
    <row r="291" spans="1:4" ht="20.25">
      <c r="A291" t="s">
        <v>1186</v>
      </c>
      <c r="B291" s="2883">
        <v>0</v>
      </c>
      <c r="C291" s="2883">
        <v>1788616</v>
      </c>
      <c r="D291" s="2882">
        <v>4614.6491016297196</v>
      </c>
    </row>
    <row r="292" spans="1:4" ht="20.25">
      <c r="A292" t="s">
        <v>2098</v>
      </c>
      <c r="B292" s="2883">
        <v>0</v>
      </c>
      <c r="C292" s="2883">
        <v>78320</v>
      </c>
      <c r="D292" s="2882">
        <v>4855.2934964784299</v>
      </c>
    </row>
    <row r="293" spans="1:4" ht="20.25">
      <c r="A293" t="s">
        <v>1888</v>
      </c>
      <c r="B293" s="2883">
        <v>0</v>
      </c>
      <c r="C293" s="2883">
        <v>342937</v>
      </c>
      <c r="D293" s="2882">
        <v>5105.2422002682333</v>
      </c>
    </row>
    <row r="294" spans="1:4" ht="20.25">
      <c r="A294" t="s">
        <v>1517</v>
      </c>
      <c r="B294" s="2883">
        <v>27810</v>
      </c>
      <c r="C294" s="2883">
        <v>185056</v>
      </c>
      <c r="D294" s="2882">
        <v>4936.5105446647995</v>
      </c>
    </row>
    <row r="295" spans="1:4" ht="20.25">
      <c r="A295" t="s">
        <v>1151</v>
      </c>
      <c r="B295" s="2883">
        <v>138510</v>
      </c>
      <c r="C295" s="2883">
        <v>1402543</v>
      </c>
      <c r="D295" s="2882">
        <v>4813.6122349268953</v>
      </c>
    </row>
    <row r="296" spans="1:4" ht="20.25">
      <c r="A296" t="s">
        <v>2414</v>
      </c>
      <c r="B296" s="2883">
        <v>0</v>
      </c>
      <c r="C296" s="2883">
        <v>12098</v>
      </c>
      <c r="D296" s="2882">
        <v>4693.6881470333383</v>
      </c>
    </row>
    <row r="297" spans="1:4" ht="20.25">
      <c r="A297" t="s">
        <v>2415</v>
      </c>
      <c r="B297" s="2883">
        <v>76140</v>
      </c>
      <c r="C297" s="2883">
        <v>97961</v>
      </c>
      <c r="D297" s="2882">
        <v>4880.8039810848486</v>
      </c>
    </row>
    <row r="298" spans="1:4" ht="20.25">
      <c r="A298" t="s">
        <v>1511</v>
      </c>
      <c r="B298" s="2883">
        <v>0</v>
      </c>
      <c r="C298" s="2883">
        <v>214064</v>
      </c>
      <c r="D298" s="2882">
        <v>5080.6855955469791</v>
      </c>
    </row>
    <row r="299" spans="1:4" ht="20.25">
      <c r="A299" t="s">
        <v>1830</v>
      </c>
      <c r="B299" s="2883">
        <v>0</v>
      </c>
      <c r="C299" s="2883">
        <v>7078</v>
      </c>
      <c r="D299" s="2882">
        <v>6060.4107458141079</v>
      </c>
    </row>
    <row r="300" spans="1:4" ht="20.25">
      <c r="A300" t="s">
        <v>1831</v>
      </c>
      <c r="B300" s="2883">
        <v>0</v>
      </c>
      <c r="C300" s="2883">
        <v>13019</v>
      </c>
      <c r="D300" s="2882">
        <v>5419.6775931209222</v>
      </c>
    </row>
    <row r="301" spans="1:4" ht="20.25">
      <c r="A301" t="s">
        <v>1232</v>
      </c>
      <c r="B301" s="2883">
        <v>0</v>
      </c>
      <c r="C301" s="2883">
        <v>29998</v>
      </c>
      <c r="D301" s="2882">
        <v>5039.3684731790436</v>
      </c>
    </row>
    <row r="302" spans="1:4" ht="20.25">
      <c r="A302" t="s">
        <v>1832</v>
      </c>
      <c r="B302" s="2883">
        <v>0</v>
      </c>
      <c r="C302" s="2883">
        <v>12362</v>
      </c>
      <c r="D302" s="2882">
        <v>5183.819892653677</v>
      </c>
    </row>
    <row r="303" spans="1:4" ht="20.25">
      <c r="A303" t="s">
        <v>201</v>
      </c>
      <c r="B303" s="2883">
        <v>0</v>
      </c>
      <c r="C303" s="2883">
        <v>20946</v>
      </c>
      <c r="D303" s="2882">
        <v>4424.7611680805612</v>
      </c>
    </row>
    <row r="304" spans="1:4" ht="20.25">
      <c r="A304" t="s">
        <v>1834</v>
      </c>
      <c r="B304" s="2883">
        <v>0</v>
      </c>
      <c r="C304" s="2883">
        <v>180696</v>
      </c>
      <c r="D304" s="2882">
        <v>4587.0344654319088</v>
      </c>
    </row>
    <row r="305" spans="1:4" ht="20.25">
      <c r="A305" t="s">
        <v>1842</v>
      </c>
      <c r="B305" s="2883">
        <v>0</v>
      </c>
      <c r="C305" s="2883">
        <v>0</v>
      </c>
      <c r="D305" s="2882">
        <v>4115.6252954777929</v>
      </c>
    </row>
    <row r="306" spans="1:4" ht="20.25">
      <c r="A306" t="s">
        <v>202</v>
      </c>
      <c r="B306" s="2883">
        <v>0</v>
      </c>
      <c r="C306" s="2883">
        <v>132382</v>
      </c>
      <c r="D306" s="2882">
        <v>4541.4953613262778</v>
      </c>
    </row>
    <row r="307" spans="1:4" ht="20.25">
      <c r="A307" t="s">
        <v>203</v>
      </c>
      <c r="B307" s="2883">
        <v>0</v>
      </c>
      <c r="C307" s="2883">
        <v>165955</v>
      </c>
      <c r="D307" s="2882">
        <v>4835.3052643302581</v>
      </c>
    </row>
    <row r="308" spans="1:4" ht="20.25">
      <c r="A308" t="s">
        <v>1233</v>
      </c>
      <c r="B308" s="2883">
        <v>0</v>
      </c>
      <c r="C308" s="2883">
        <v>18602</v>
      </c>
      <c r="D308" s="2882">
        <v>4745.9467352697384</v>
      </c>
    </row>
    <row r="309" spans="1:4" ht="20.25">
      <c r="A309" t="s">
        <v>722</v>
      </c>
      <c r="B309" s="2883">
        <v>0</v>
      </c>
      <c r="C309" s="2883">
        <v>11501</v>
      </c>
      <c r="D309" s="2882">
        <v>4806.9745256686565</v>
      </c>
    </row>
    <row r="310" spans="1:4" ht="20.25">
      <c r="A310" t="s">
        <v>204</v>
      </c>
      <c r="B310" s="2883">
        <v>18219</v>
      </c>
      <c r="C310" s="2883">
        <v>61855</v>
      </c>
      <c r="D310" s="2882">
        <v>4796.8476951887824</v>
      </c>
    </row>
    <row r="311" spans="1:4" ht="20.25">
      <c r="A311" t="s">
        <v>205</v>
      </c>
      <c r="B311" s="2883">
        <v>0</v>
      </c>
      <c r="C311" s="2883">
        <v>39939</v>
      </c>
      <c r="D311" s="2882">
        <v>4750.4492045661937</v>
      </c>
    </row>
    <row r="312" spans="1:4" ht="20.25">
      <c r="A312" t="s">
        <v>1741</v>
      </c>
      <c r="B312" s="2883">
        <v>0</v>
      </c>
      <c r="C312" s="2883">
        <v>26222</v>
      </c>
      <c r="D312" s="2882">
        <v>4724.3017109950952</v>
      </c>
    </row>
    <row r="313" spans="1:4" ht="20.25">
      <c r="A313" t="s">
        <v>1742</v>
      </c>
      <c r="B313" s="2883">
        <v>0</v>
      </c>
      <c r="C313" s="2883">
        <v>53540</v>
      </c>
      <c r="D313" s="2882">
        <v>4840.2844867858848</v>
      </c>
    </row>
    <row r="314" spans="1:4" ht="20.25">
      <c r="A314" t="s">
        <v>1234</v>
      </c>
      <c r="B314" s="2883">
        <v>0</v>
      </c>
      <c r="C314" s="2883">
        <v>65944</v>
      </c>
      <c r="D314" s="2882">
        <v>4749.0885263529299</v>
      </c>
    </row>
    <row r="315" spans="1:4" ht="20.25">
      <c r="A315" t="s">
        <v>2571</v>
      </c>
      <c r="B315" s="2883">
        <v>0</v>
      </c>
      <c r="C315" s="2883">
        <v>90325</v>
      </c>
      <c r="D315" s="2882">
        <v>4983.5317093450021</v>
      </c>
    </row>
    <row r="316" spans="1:4" ht="20.25">
      <c r="A316" t="s">
        <v>1697</v>
      </c>
      <c r="B316" s="2883">
        <v>0</v>
      </c>
      <c r="C316" s="2883">
        <v>190055</v>
      </c>
      <c r="D316" s="2882">
        <v>5928.344962976812</v>
      </c>
    </row>
    <row r="317" spans="1:4" ht="20.25">
      <c r="A317" t="s">
        <v>1698</v>
      </c>
      <c r="B317" s="2883">
        <v>0</v>
      </c>
      <c r="C317" s="2883">
        <v>87092</v>
      </c>
      <c r="D317" s="2882">
        <v>4956.6466647617235</v>
      </c>
    </row>
    <row r="318" spans="1:4" ht="20.25">
      <c r="A318" t="s">
        <v>921</v>
      </c>
      <c r="B318" s="2883">
        <v>0</v>
      </c>
      <c r="C318" s="2883">
        <v>0</v>
      </c>
      <c r="D318" s="2882">
        <v>5802.2651024903116</v>
      </c>
    </row>
    <row r="319" spans="1:4" ht="20.25">
      <c r="A319" t="s">
        <v>65</v>
      </c>
      <c r="B319" s="2883">
        <v>0</v>
      </c>
      <c r="C319" s="2883">
        <v>36830</v>
      </c>
      <c r="D319" s="2882">
        <v>6028.8449269653884</v>
      </c>
    </row>
    <row r="320" spans="1:4" ht="20.25">
      <c r="A320" t="s">
        <v>754</v>
      </c>
      <c r="B320" s="2883">
        <v>0</v>
      </c>
      <c r="C320" s="2883">
        <v>61196</v>
      </c>
      <c r="D320" s="2882">
        <v>4783.1469862348658</v>
      </c>
    </row>
    <row r="321" spans="1:4" ht="20.25">
      <c r="A321" t="s">
        <v>2505</v>
      </c>
      <c r="B321" s="2883">
        <v>0</v>
      </c>
      <c r="C321" s="2883">
        <v>17209</v>
      </c>
      <c r="D321" s="2882">
        <v>4679.9823764978009</v>
      </c>
    </row>
    <row r="322" spans="1:4" ht="20.25">
      <c r="A322" t="s">
        <v>627</v>
      </c>
      <c r="B322" s="2883">
        <v>0</v>
      </c>
      <c r="C322" s="2883">
        <v>96897</v>
      </c>
      <c r="D322" s="2882">
        <v>4813.1221512737338</v>
      </c>
    </row>
    <row r="323" spans="1:4" ht="20.25">
      <c r="A323" t="s">
        <v>628</v>
      </c>
      <c r="B323" s="2883">
        <v>0</v>
      </c>
      <c r="C323" s="2883">
        <v>31383</v>
      </c>
      <c r="D323" s="2882">
        <v>4794.2517380893787</v>
      </c>
    </row>
    <row r="324" spans="1:4" ht="20.25">
      <c r="A324" t="s">
        <v>629</v>
      </c>
      <c r="B324" s="2883">
        <v>0</v>
      </c>
      <c r="C324" s="2883">
        <v>18609</v>
      </c>
      <c r="D324" s="2882">
        <v>4623.5280030479507</v>
      </c>
    </row>
    <row r="325" spans="1:4" ht="20.25">
      <c r="A325" t="s">
        <v>630</v>
      </c>
      <c r="B325" s="2883">
        <v>236594</v>
      </c>
      <c r="C325" s="2883">
        <v>2041472</v>
      </c>
      <c r="D325" s="2882">
        <v>5547.3759346739289</v>
      </c>
    </row>
    <row r="326" spans="1:4" ht="20.25">
      <c r="A326" t="s">
        <v>2541</v>
      </c>
      <c r="B326" s="2883">
        <v>0</v>
      </c>
      <c r="C326" s="2883">
        <v>226930</v>
      </c>
      <c r="D326" s="2882">
        <v>5012.2310711699593</v>
      </c>
    </row>
    <row r="327" spans="1:4" ht="20.25">
      <c r="A327" t="s">
        <v>1422</v>
      </c>
      <c r="B327" s="2883">
        <v>154359</v>
      </c>
      <c r="C327" s="2883">
        <v>4332408</v>
      </c>
      <c r="D327" s="2882">
        <v>5085.8456430718734</v>
      </c>
    </row>
    <row r="328" spans="1:4" ht="20.25">
      <c r="A328" t="s">
        <v>631</v>
      </c>
      <c r="B328" s="2883">
        <v>0</v>
      </c>
      <c r="C328" s="2883">
        <v>43158</v>
      </c>
      <c r="D328" s="2882">
        <v>0</v>
      </c>
    </row>
    <row r="329" spans="1:4" ht="20.25">
      <c r="A329" t="s">
        <v>2318</v>
      </c>
      <c r="B329" s="2883">
        <v>0</v>
      </c>
      <c r="C329" s="2883">
        <v>0</v>
      </c>
      <c r="D329" s="2882">
        <v>5291.8766487334897</v>
      </c>
    </row>
    <row r="330" spans="1:4" ht="20.25">
      <c r="A330" t="s">
        <v>2013</v>
      </c>
      <c r="B330" s="2883">
        <v>0</v>
      </c>
      <c r="C330" s="2883">
        <v>165664</v>
      </c>
      <c r="D330" s="2882">
        <v>5383.1021376203025</v>
      </c>
    </row>
    <row r="331" spans="1:4" ht="20.25">
      <c r="A331" t="s">
        <v>1303</v>
      </c>
      <c r="B331" s="2883">
        <v>0</v>
      </c>
      <c r="C331" s="2883">
        <v>185293</v>
      </c>
      <c r="D331" s="2882">
        <v>6155.8360254556419</v>
      </c>
    </row>
    <row r="332" spans="1:4" ht="20.25">
      <c r="A332" t="s">
        <v>1919</v>
      </c>
      <c r="B332" s="2883">
        <v>0</v>
      </c>
      <c r="C332" s="2883">
        <v>67390</v>
      </c>
      <c r="D332" s="2882">
        <v>6822.8187696433115</v>
      </c>
    </row>
    <row r="333" spans="1:4" ht="20.25">
      <c r="A333" t="s">
        <v>1924</v>
      </c>
      <c r="B333" s="2883">
        <v>0</v>
      </c>
      <c r="C333" s="2883">
        <v>40769</v>
      </c>
      <c r="D333" s="2882">
        <v>5231.0669781310544</v>
      </c>
    </row>
    <row r="334" spans="1:4" ht="20.25">
      <c r="A334" t="s">
        <v>1925</v>
      </c>
      <c r="B334" s="2883">
        <v>0</v>
      </c>
      <c r="C334" s="2883">
        <v>26975</v>
      </c>
      <c r="D334" s="2882">
        <v>6913.6614479392119</v>
      </c>
    </row>
    <row r="335" spans="1:4" ht="20.25">
      <c r="A335" t="s">
        <v>1235</v>
      </c>
      <c r="B335" s="2883">
        <v>0</v>
      </c>
      <c r="C335" s="2883">
        <v>49193</v>
      </c>
      <c r="D335" s="2882">
        <v>4606.8932871086226</v>
      </c>
    </row>
    <row r="336" spans="1:4" ht="20.25">
      <c r="A336" t="s">
        <v>2506</v>
      </c>
      <c r="B336" s="2883">
        <v>0</v>
      </c>
      <c r="C336" s="2883">
        <v>100234</v>
      </c>
      <c r="D336" s="2882">
        <v>4759.2969044685287</v>
      </c>
    </row>
    <row r="337" spans="1:4" ht="20.25">
      <c r="A337" t="s">
        <v>1926</v>
      </c>
      <c r="B337" s="2883">
        <v>0</v>
      </c>
      <c r="C337" s="2883">
        <v>16983</v>
      </c>
      <c r="D337" s="2882">
        <v>6566.4391232467606</v>
      </c>
    </row>
    <row r="338" spans="1:4" ht="20.25">
      <c r="A338" t="s">
        <v>2110</v>
      </c>
      <c r="B338" s="2883">
        <v>0</v>
      </c>
      <c r="C338" s="2883">
        <v>10837</v>
      </c>
      <c r="D338" s="2882">
        <v>7240.9054764954508</v>
      </c>
    </row>
    <row r="339" spans="1:4" ht="20.25">
      <c r="A339" t="s">
        <v>2175</v>
      </c>
      <c r="B339" s="2883">
        <v>0</v>
      </c>
      <c r="C339" s="2883">
        <v>177095</v>
      </c>
      <c r="D339" s="2882">
        <v>5686.33586904391</v>
      </c>
    </row>
    <row r="340" spans="1:4" ht="20.25">
      <c r="A340" t="s">
        <v>1993</v>
      </c>
      <c r="B340" s="2883">
        <v>302258</v>
      </c>
      <c r="C340" s="2883">
        <v>755633</v>
      </c>
      <c r="D340" s="2882">
        <v>5181.003244185139</v>
      </c>
    </row>
    <row r="341" spans="1:4" ht="20.25">
      <c r="A341" t="s">
        <v>2231</v>
      </c>
      <c r="B341" s="2883">
        <v>0</v>
      </c>
      <c r="C341" s="2883">
        <v>528981</v>
      </c>
      <c r="D341" s="2882">
        <v>5894.6796805426438</v>
      </c>
    </row>
    <row r="342" spans="1:4" ht="20.25">
      <c r="A342" t="s">
        <v>1866</v>
      </c>
      <c r="B342" s="2883">
        <v>0</v>
      </c>
      <c r="C342" s="2883">
        <v>37650</v>
      </c>
      <c r="D342" s="2882">
        <v>5851.0579696056511</v>
      </c>
    </row>
    <row r="343" spans="1:4" ht="20.25">
      <c r="A343" t="s">
        <v>761</v>
      </c>
      <c r="B343" s="2883">
        <v>0</v>
      </c>
      <c r="C343" s="2883">
        <v>195347</v>
      </c>
      <c r="D343" s="2882">
        <v>5257.3714681343417</v>
      </c>
    </row>
    <row r="344" spans="1:4" ht="20.25">
      <c r="A344" t="s">
        <v>762</v>
      </c>
      <c r="B344" s="2883">
        <v>0</v>
      </c>
      <c r="C344" s="2883">
        <v>239301</v>
      </c>
      <c r="D344" s="2882">
        <v>5983.5838026178008</v>
      </c>
    </row>
    <row r="345" spans="1:4" ht="20.25">
      <c r="A345" t="s">
        <v>2458</v>
      </c>
      <c r="B345" s="2883">
        <v>59302</v>
      </c>
      <c r="C345" s="2883">
        <v>0</v>
      </c>
      <c r="D345" s="2882">
        <v>5372.0099172613409</v>
      </c>
    </row>
    <row r="346" spans="1:4" ht="20.25">
      <c r="A346" t="s">
        <v>491</v>
      </c>
      <c r="B346" s="2883">
        <v>0</v>
      </c>
      <c r="C346" s="2883">
        <v>455289</v>
      </c>
      <c r="D346" s="2882">
        <v>4863.0300456633249</v>
      </c>
    </row>
    <row r="347" spans="1:4" ht="20.25">
      <c r="A347" t="s">
        <v>2459</v>
      </c>
      <c r="B347" s="2883">
        <v>327474</v>
      </c>
      <c r="C347" s="2883">
        <v>1886226</v>
      </c>
      <c r="D347" s="2882">
        <v>5576.3651933278343</v>
      </c>
    </row>
    <row r="348" spans="1:4" ht="20.25">
      <c r="A348" t="s">
        <v>1424</v>
      </c>
      <c r="B348" s="2883">
        <v>0</v>
      </c>
      <c r="C348" s="2883">
        <v>320539</v>
      </c>
      <c r="D348" s="2882">
        <v>5168.8062537640699</v>
      </c>
    </row>
    <row r="349" spans="1:4" ht="20.25">
      <c r="A349" t="s">
        <v>1668</v>
      </c>
      <c r="B349" s="2883">
        <v>0</v>
      </c>
      <c r="C349" s="2883">
        <v>111378</v>
      </c>
      <c r="D349" s="2882">
        <v>5721.840907758753</v>
      </c>
    </row>
    <row r="350" spans="1:4" ht="20.25">
      <c r="A350" t="s">
        <v>1669</v>
      </c>
      <c r="B350" s="2883">
        <v>0</v>
      </c>
      <c r="C350" s="2883">
        <v>19111</v>
      </c>
      <c r="D350" s="2882">
        <v>5063.0288805821856</v>
      </c>
    </row>
    <row r="351" spans="1:4" ht="20.25">
      <c r="A351" t="s">
        <v>1873</v>
      </c>
      <c r="B351" s="2883">
        <v>0</v>
      </c>
      <c r="C351" s="2883">
        <v>0</v>
      </c>
      <c r="D351" s="2882">
        <v>4469.1678709276166</v>
      </c>
    </row>
    <row r="352" spans="1:4" ht="20.25">
      <c r="A352" t="s">
        <v>1451</v>
      </c>
      <c r="B352" s="2883">
        <v>0</v>
      </c>
      <c r="C352" s="2883">
        <v>265426</v>
      </c>
      <c r="D352" s="2882">
        <v>6045.8465943102237</v>
      </c>
    </row>
    <row r="353" spans="1:4" ht="20.25">
      <c r="A353" t="s">
        <v>2160</v>
      </c>
      <c r="B353" s="2883">
        <v>0</v>
      </c>
      <c r="C353" s="2883">
        <v>126892</v>
      </c>
      <c r="D353" s="2882">
        <v>5047.8589642220813</v>
      </c>
    </row>
    <row r="354" spans="1:4" ht="20.25">
      <c r="A354" t="s">
        <v>2161</v>
      </c>
      <c r="B354" s="2883">
        <v>0</v>
      </c>
      <c r="C354" s="2883">
        <v>76994</v>
      </c>
      <c r="D354" s="2882">
        <v>6289.7812794682604</v>
      </c>
    </row>
    <row r="355" spans="1:4" ht="20.25">
      <c r="A355" t="s">
        <v>2437</v>
      </c>
      <c r="B355" s="2883">
        <v>0</v>
      </c>
      <c r="C355" s="2883">
        <v>172217</v>
      </c>
      <c r="D355" s="2882">
        <v>6701.4481507446799</v>
      </c>
    </row>
    <row r="356" spans="1:4" ht="20.25">
      <c r="A356" t="s">
        <v>906</v>
      </c>
      <c r="B356" s="2883">
        <v>0</v>
      </c>
      <c r="C356" s="2883">
        <v>167734</v>
      </c>
      <c r="D356" s="2882">
        <v>5005.1278130511855</v>
      </c>
    </row>
    <row r="357" spans="1:4" ht="20.25">
      <c r="A357" t="s">
        <v>2438</v>
      </c>
      <c r="B357" s="2883">
        <v>0</v>
      </c>
      <c r="C357" s="2883">
        <v>159874</v>
      </c>
      <c r="D357" s="2882">
        <v>4758.3288025361908</v>
      </c>
    </row>
    <row r="358" spans="1:4" ht="20.25">
      <c r="A358" t="s">
        <v>2439</v>
      </c>
      <c r="B358" s="2883">
        <v>0</v>
      </c>
      <c r="C358" s="2883">
        <v>20883</v>
      </c>
      <c r="D358" s="2882">
        <v>4949.0490434261583</v>
      </c>
    </row>
    <row r="359" spans="1:4" ht="20.25">
      <c r="A359" t="s">
        <v>1852</v>
      </c>
      <c r="B359" s="2883">
        <v>0</v>
      </c>
      <c r="C359" s="2883">
        <v>10210</v>
      </c>
      <c r="D359" s="2882">
        <v>8027.2449358102494</v>
      </c>
    </row>
    <row r="360" spans="1:4" ht="20.25">
      <c r="A360" t="s">
        <v>1853</v>
      </c>
      <c r="B360" s="2883">
        <v>0</v>
      </c>
      <c r="C360" s="2883">
        <v>33965</v>
      </c>
      <c r="D360" s="2882">
        <v>6227.4136358512415</v>
      </c>
    </row>
    <row r="361" spans="1:4" ht="20.25">
      <c r="A361" t="s">
        <v>2021</v>
      </c>
      <c r="B361" s="2883">
        <v>0</v>
      </c>
      <c r="C361" s="2883">
        <v>104425</v>
      </c>
      <c r="D361" s="2882">
        <v>5010.8472054805461</v>
      </c>
    </row>
    <row r="362" spans="1:4" ht="20.25">
      <c r="A362" t="s">
        <v>2033</v>
      </c>
      <c r="B362" s="2883">
        <v>0</v>
      </c>
      <c r="C362" s="2883">
        <v>12879</v>
      </c>
      <c r="D362" s="2882">
        <v>9492.4438982202191</v>
      </c>
    </row>
    <row r="363" spans="1:4" ht="20.25">
      <c r="A363" t="s">
        <v>1684</v>
      </c>
      <c r="B363" s="2883">
        <v>0</v>
      </c>
      <c r="C363" s="2883">
        <v>61415</v>
      </c>
      <c r="D363" s="2882">
        <v>4923.2542235954425</v>
      </c>
    </row>
    <row r="364" spans="1:4" ht="20.25">
      <c r="A364" t="s">
        <v>981</v>
      </c>
      <c r="B364" s="2883">
        <v>0</v>
      </c>
      <c r="C364" s="2883">
        <v>19580</v>
      </c>
      <c r="D364" s="2882">
        <v>4924.6968201062527</v>
      </c>
    </row>
    <row r="365" spans="1:4" ht="20.25">
      <c r="A365" t="s">
        <v>982</v>
      </c>
      <c r="B365" s="2883">
        <v>0</v>
      </c>
      <c r="C365" s="2883">
        <v>239970</v>
      </c>
      <c r="D365" s="2882">
        <v>4890.6955705379505</v>
      </c>
    </row>
    <row r="366" spans="1:4" ht="20.25">
      <c r="A366" t="s">
        <v>1115</v>
      </c>
      <c r="B366" s="2883">
        <v>0</v>
      </c>
      <c r="C366" s="2883">
        <v>60012</v>
      </c>
      <c r="D366" s="2882">
        <v>4779.2469773582943</v>
      </c>
    </row>
    <row r="367" spans="1:4" ht="20.25">
      <c r="A367" t="s">
        <v>793</v>
      </c>
      <c r="B367" s="2883">
        <v>6842</v>
      </c>
      <c r="C367" s="2883">
        <v>305752</v>
      </c>
      <c r="D367" s="2882">
        <v>5004.9735527772245</v>
      </c>
    </row>
    <row r="368" spans="1:4" ht="20.25">
      <c r="A368" t="s">
        <v>794</v>
      </c>
      <c r="B368" s="2883">
        <v>0</v>
      </c>
      <c r="C368" s="2883">
        <v>16478</v>
      </c>
      <c r="D368" s="2882">
        <v>5820.6173768287608</v>
      </c>
    </row>
    <row r="369" spans="1:4" ht="20.25">
      <c r="A369" t="s">
        <v>1236</v>
      </c>
      <c r="B369" s="2883">
        <v>0</v>
      </c>
      <c r="C369" s="2883">
        <v>71904</v>
      </c>
      <c r="D369" s="2882">
        <v>4915.9207103672125</v>
      </c>
    </row>
    <row r="370" spans="1:4" ht="20.25">
      <c r="A370" t="s">
        <v>1237</v>
      </c>
      <c r="B370" s="2883">
        <v>0</v>
      </c>
      <c r="C370" s="2883">
        <v>114832</v>
      </c>
      <c r="D370" s="2882">
        <v>4990.9796786255238</v>
      </c>
    </row>
    <row r="371" spans="1:4" ht="20.25">
      <c r="A371" t="s">
        <v>1463</v>
      </c>
      <c r="B371" s="2883">
        <v>0</v>
      </c>
      <c r="C371" s="2883">
        <v>34579</v>
      </c>
      <c r="D371" s="2882">
        <v>4735.4232014343252</v>
      </c>
    </row>
    <row r="372" spans="1:4" ht="20.25">
      <c r="A372" t="s">
        <v>215</v>
      </c>
      <c r="B372" s="2883">
        <v>0</v>
      </c>
      <c r="C372" s="2883">
        <v>87481</v>
      </c>
      <c r="D372" s="2882">
        <v>5589.2992227186487</v>
      </c>
    </row>
    <row r="373" spans="1:4" ht="20.25">
      <c r="A373" t="s">
        <v>2582</v>
      </c>
      <c r="B373" s="2883">
        <v>0</v>
      </c>
      <c r="C373" s="2883">
        <v>110595</v>
      </c>
      <c r="D373" s="2882">
        <v>5165.8260607380362</v>
      </c>
    </row>
    <row r="374" spans="1:4" ht="20.25">
      <c r="A374" t="s">
        <v>1308</v>
      </c>
      <c r="B374" s="2883">
        <v>0</v>
      </c>
      <c r="C374" s="2883">
        <v>337907</v>
      </c>
      <c r="D374" s="2882">
        <v>5260.8443565270773</v>
      </c>
    </row>
    <row r="375" spans="1:4" ht="20.25">
      <c r="A375" t="s">
        <v>1286</v>
      </c>
      <c r="B375" s="2883">
        <v>0</v>
      </c>
      <c r="C375" s="2883">
        <v>62255</v>
      </c>
      <c r="D375" s="2882">
        <v>4841.7313193214632</v>
      </c>
    </row>
    <row r="376" spans="1:4" ht="20.25">
      <c r="A376" t="s">
        <v>1287</v>
      </c>
      <c r="B376" s="2883">
        <v>0</v>
      </c>
      <c r="C376" s="2883">
        <v>193416</v>
      </c>
      <c r="D376" s="2882">
        <v>4797.739135615454</v>
      </c>
    </row>
    <row r="377" spans="1:4" ht="20.25">
      <c r="A377" t="s">
        <v>1288</v>
      </c>
      <c r="B377" s="2883">
        <v>0</v>
      </c>
      <c r="C377" s="2883">
        <v>230685</v>
      </c>
      <c r="D377" s="2882">
        <v>5086.0113270304209</v>
      </c>
    </row>
    <row r="378" spans="1:4" ht="20.25">
      <c r="A378" t="s">
        <v>457</v>
      </c>
      <c r="B378" s="2883">
        <v>0</v>
      </c>
      <c r="C378" s="2883">
        <v>550007</v>
      </c>
      <c r="D378" s="2882">
        <v>5585.7374749661813</v>
      </c>
    </row>
    <row r="379" spans="1:4" ht="20.25">
      <c r="A379" t="s">
        <v>2189</v>
      </c>
      <c r="B379" s="2883">
        <v>102516</v>
      </c>
      <c r="C379" s="2883">
        <v>200187</v>
      </c>
      <c r="D379" s="2882">
        <v>4757.3324302642268</v>
      </c>
    </row>
    <row r="380" spans="1:4" ht="20.25">
      <c r="A380" t="s">
        <v>2639</v>
      </c>
      <c r="B380" s="2883">
        <v>0</v>
      </c>
      <c r="C380" s="2883">
        <v>89369</v>
      </c>
      <c r="D380" s="2882">
        <v>5401.3982862108996</v>
      </c>
    </row>
    <row r="381" spans="1:4" ht="20.25">
      <c r="A381" t="s">
        <v>1509</v>
      </c>
      <c r="B381" s="2883">
        <v>0</v>
      </c>
      <c r="C381" s="2883">
        <v>38282</v>
      </c>
      <c r="D381" s="2882">
        <v>4612.1172041226937</v>
      </c>
    </row>
    <row r="382" spans="1:4" ht="20.25">
      <c r="A382" t="s">
        <v>2640</v>
      </c>
      <c r="B382" s="2883">
        <v>0</v>
      </c>
      <c r="C382" s="2883">
        <v>54369</v>
      </c>
      <c r="D382" s="2882">
        <v>4807.0026546371637</v>
      </c>
    </row>
    <row r="383" spans="1:4" ht="20.25">
      <c r="A383" t="s">
        <v>2641</v>
      </c>
      <c r="B383" s="2883">
        <v>21434</v>
      </c>
      <c r="C383" s="2883">
        <v>112554</v>
      </c>
      <c r="D383" s="2882">
        <v>5404.2149643981784</v>
      </c>
    </row>
    <row r="384" spans="1:4" ht="20.25">
      <c r="A384" t="s">
        <v>2642</v>
      </c>
      <c r="B384" s="2883">
        <v>0</v>
      </c>
      <c r="C384" s="2883">
        <v>63795</v>
      </c>
      <c r="D384" s="2882">
        <v>4968.376191057494</v>
      </c>
    </row>
    <row r="385" spans="1:4" ht="20.25">
      <c r="A385" t="s">
        <v>2643</v>
      </c>
      <c r="B385" s="2883">
        <v>0</v>
      </c>
      <c r="C385" s="2883">
        <v>415887</v>
      </c>
      <c r="D385" s="2882">
        <v>5018.259967736989</v>
      </c>
    </row>
    <row r="386" spans="1:4" ht="20.25">
      <c r="A386" t="s">
        <v>2142</v>
      </c>
      <c r="B386" s="2883">
        <v>0</v>
      </c>
      <c r="C386" s="2883">
        <v>0</v>
      </c>
      <c r="D386" s="2882">
        <v>6539.2967256648526</v>
      </c>
    </row>
    <row r="387" spans="1:4" ht="20.25">
      <c r="A387" t="s">
        <v>495</v>
      </c>
      <c r="B387" s="2883">
        <v>0</v>
      </c>
      <c r="C387" s="2883">
        <v>899117</v>
      </c>
      <c r="D387" s="2882">
        <v>5039.8647427636934</v>
      </c>
    </row>
    <row r="388" spans="1:4" ht="20.25">
      <c r="A388" t="s">
        <v>493</v>
      </c>
      <c r="B388" s="2883">
        <v>181243</v>
      </c>
      <c r="C388" s="2883">
        <v>1047710</v>
      </c>
      <c r="D388" s="2882">
        <v>5380.399998953606</v>
      </c>
    </row>
    <row r="389" spans="1:4" ht="20.25">
      <c r="A389" t="s">
        <v>2143</v>
      </c>
      <c r="B389" s="2883">
        <v>0</v>
      </c>
      <c r="C389" s="2883">
        <v>180847</v>
      </c>
      <c r="D389" s="2882">
        <v>4425.5752693374288</v>
      </c>
    </row>
    <row r="390" spans="1:4" ht="20.25">
      <c r="A390" t="s">
        <v>349</v>
      </c>
      <c r="B390" s="2883">
        <v>0</v>
      </c>
      <c r="C390" s="2883">
        <v>125068</v>
      </c>
      <c r="D390" s="2882">
        <v>4769.7566859848857</v>
      </c>
    </row>
    <row r="391" spans="1:4" ht="20.25">
      <c r="A391" t="s">
        <v>2144</v>
      </c>
      <c r="B391" s="2883">
        <v>0</v>
      </c>
      <c r="C391" s="2883">
        <v>26629</v>
      </c>
      <c r="D391" s="2882">
        <v>5753.5755057896495</v>
      </c>
    </row>
    <row r="392" spans="1:4" ht="20.25">
      <c r="A392" t="s">
        <v>2145</v>
      </c>
      <c r="B392" s="2883">
        <v>0</v>
      </c>
      <c r="C392" s="2883">
        <v>26871</v>
      </c>
      <c r="D392" s="2882">
        <v>4805.2209077013804</v>
      </c>
    </row>
    <row r="393" spans="1:4" ht="20.25">
      <c r="A393" t="s">
        <v>505</v>
      </c>
      <c r="B393" s="2883">
        <v>0</v>
      </c>
      <c r="C393" s="2883">
        <v>32868</v>
      </c>
      <c r="D393" s="2882">
        <v>4635.5983678745361</v>
      </c>
    </row>
    <row r="394" spans="1:4" ht="20.25">
      <c r="A394" t="s">
        <v>1955</v>
      </c>
      <c r="B394" s="2883">
        <v>0</v>
      </c>
      <c r="C394" s="2883">
        <v>22373</v>
      </c>
      <c r="D394" s="2882">
        <v>4691.1780947894431</v>
      </c>
    </row>
    <row r="395" spans="1:4" ht="20.25">
      <c r="A395" t="s">
        <v>2072</v>
      </c>
      <c r="B395" s="2883">
        <v>0</v>
      </c>
      <c r="C395" s="2883">
        <v>361804</v>
      </c>
      <c r="D395" s="2882">
        <v>4766.9773324617427</v>
      </c>
    </row>
    <row r="396" spans="1:4" ht="20.25">
      <c r="A396" t="s">
        <v>2073</v>
      </c>
      <c r="B396" s="2883">
        <v>0</v>
      </c>
      <c r="C396" s="2883">
        <v>29225</v>
      </c>
      <c r="D396" s="2882">
        <v>5110.0416816647621</v>
      </c>
    </row>
    <row r="397" spans="1:4" ht="20.25">
      <c r="A397" t="s">
        <v>146</v>
      </c>
      <c r="B397" s="2883">
        <v>0</v>
      </c>
      <c r="C397" s="2883">
        <v>39155</v>
      </c>
      <c r="D397" s="2882">
        <v>4484.3194416557162</v>
      </c>
    </row>
    <row r="398" spans="1:4" ht="20.25">
      <c r="A398" t="s">
        <v>147</v>
      </c>
      <c r="B398" s="2883">
        <v>0</v>
      </c>
      <c r="C398" s="2883">
        <v>62510</v>
      </c>
      <c r="D398" s="2882">
        <v>4768.2452827227598</v>
      </c>
    </row>
    <row r="399" spans="1:4" ht="20.25">
      <c r="A399" t="s">
        <v>2507</v>
      </c>
      <c r="B399" s="2883">
        <v>0</v>
      </c>
      <c r="C399" s="2883">
        <v>46316</v>
      </c>
      <c r="D399" s="2882">
        <v>5147.9470160618339</v>
      </c>
    </row>
    <row r="400" spans="1:4" ht="20.25">
      <c r="A400" t="s">
        <v>2344</v>
      </c>
      <c r="B400" s="2883">
        <v>0</v>
      </c>
      <c r="C400" s="2883">
        <v>66901</v>
      </c>
      <c r="D400" s="2882">
        <v>7186.0405616060052</v>
      </c>
    </row>
    <row r="401" spans="1:4" ht="20.25">
      <c r="A401" t="s">
        <v>1120</v>
      </c>
      <c r="B401" s="2883">
        <v>0</v>
      </c>
      <c r="C401" s="2883">
        <v>25987</v>
      </c>
      <c r="D401" s="2882">
        <v>6997.852947133887</v>
      </c>
    </row>
    <row r="402" spans="1:4" ht="20.25">
      <c r="A402" t="s">
        <v>1121</v>
      </c>
      <c r="B402" s="2883">
        <v>0</v>
      </c>
      <c r="C402" s="2883">
        <v>49564</v>
      </c>
      <c r="D402" s="2882">
        <v>5754.689513919292</v>
      </c>
    </row>
    <row r="403" spans="1:4" ht="20.25">
      <c r="A403" t="s">
        <v>2106</v>
      </c>
      <c r="B403" s="2883">
        <v>0</v>
      </c>
      <c r="C403" s="2883">
        <v>28743</v>
      </c>
      <c r="D403" s="2882">
        <v>5509.1978683213028</v>
      </c>
    </row>
    <row r="404" spans="1:4" ht="20.25">
      <c r="A404" t="s">
        <v>2107</v>
      </c>
      <c r="B404" s="2883">
        <v>0</v>
      </c>
      <c r="C404" s="2883">
        <v>23976</v>
      </c>
      <c r="D404" s="2882">
        <v>4950.7953294670324</v>
      </c>
    </row>
    <row r="405" spans="1:4" ht="20.25">
      <c r="A405" t="s">
        <v>1020</v>
      </c>
      <c r="B405" s="2883">
        <v>0</v>
      </c>
      <c r="C405" s="2883">
        <v>158081</v>
      </c>
      <c r="D405" s="2882">
        <v>4717.4706579843642</v>
      </c>
    </row>
    <row r="406" spans="1:4" ht="20.25">
      <c r="A406" t="s">
        <v>1148</v>
      </c>
      <c r="B406" s="2883">
        <v>0</v>
      </c>
      <c r="C406" s="2883">
        <v>247768</v>
      </c>
      <c r="D406" s="2882">
        <v>4929.7337295857342</v>
      </c>
    </row>
    <row r="407" spans="1:4" ht="20.25">
      <c r="A407" t="s">
        <v>381</v>
      </c>
      <c r="B407" s="2883">
        <v>0</v>
      </c>
      <c r="C407" s="2883">
        <v>301176</v>
      </c>
      <c r="D407" s="2882">
        <v>5634.0452974587406</v>
      </c>
    </row>
    <row r="408" spans="1:4" ht="20.25">
      <c r="A408" t="s">
        <v>2285</v>
      </c>
      <c r="B408" s="2883">
        <v>0</v>
      </c>
      <c r="C408" s="2883">
        <v>348242</v>
      </c>
      <c r="D408" s="2882">
        <v>5017.1235294689195</v>
      </c>
    </row>
    <row r="409" spans="1:4" ht="20.25">
      <c r="A409" t="s">
        <v>1179</v>
      </c>
      <c r="B409" s="2883">
        <v>0</v>
      </c>
      <c r="C409" s="2883">
        <v>109769</v>
      </c>
      <c r="D409" s="2882">
        <v>4864.2000244621959</v>
      </c>
    </row>
    <row r="410" spans="1:4" ht="20.25">
      <c r="A410" t="s">
        <v>585</v>
      </c>
      <c r="B410" s="2883">
        <v>88403</v>
      </c>
      <c r="C410" s="2883">
        <v>5309164</v>
      </c>
      <c r="D410" s="2882">
        <v>5139.2721079686944</v>
      </c>
    </row>
    <row r="411" spans="1:4" ht="20.25">
      <c r="A411" t="s">
        <v>194</v>
      </c>
      <c r="B411" s="2883">
        <v>0</v>
      </c>
      <c r="C411" s="2883">
        <v>2499408</v>
      </c>
      <c r="D411" s="2882">
        <v>4903.0432285607458</v>
      </c>
    </row>
    <row r="412" spans="1:4" ht="20.25">
      <c r="A412" t="s">
        <v>2313</v>
      </c>
      <c r="B412" s="2883">
        <v>0</v>
      </c>
      <c r="C412" s="2883">
        <v>424705</v>
      </c>
      <c r="D412" s="2882">
        <v>4886.1537354205238</v>
      </c>
    </row>
    <row r="413" spans="1:4" ht="20.25">
      <c r="A413" t="s">
        <v>2404</v>
      </c>
      <c r="B413" s="2883">
        <v>0</v>
      </c>
      <c r="C413" s="2883">
        <v>779944</v>
      </c>
      <c r="D413" s="2882">
        <v>5170.4359202306869</v>
      </c>
    </row>
    <row r="414" spans="1:4" ht="20.25">
      <c r="A414" t="s">
        <v>2314</v>
      </c>
      <c r="B414" s="2883">
        <v>837231</v>
      </c>
      <c r="C414" s="2883">
        <v>6843429</v>
      </c>
      <c r="D414" s="2882">
        <v>4773.6014854214864</v>
      </c>
    </row>
    <row r="415" spans="1:4" ht="20.25">
      <c r="A415" t="s">
        <v>2166</v>
      </c>
      <c r="B415" s="2883">
        <v>0</v>
      </c>
      <c r="C415" s="2883">
        <v>638254</v>
      </c>
      <c r="D415" s="2882">
        <v>5870.2859760778483</v>
      </c>
    </row>
    <row r="416" spans="1:4" ht="20.25">
      <c r="A416" t="s">
        <v>1408</v>
      </c>
      <c r="B416" s="2883">
        <v>0</v>
      </c>
      <c r="C416" s="2883">
        <v>317517</v>
      </c>
      <c r="D416" s="2882">
        <v>4889.5853442467514</v>
      </c>
    </row>
    <row r="417" spans="1:4" ht="20.25">
      <c r="A417" t="s">
        <v>1428</v>
      </c>
      <c r="B417" s="2883">
        <v>0</v>
      </c>
      <c r="C417" s="2883">
        <v>1031153</v>
      </c>
      <c r="D417" s="2882">
        <v>5045.7113612530302</v>
      </c>
    </row>
    <row r="418" spans="1:4" ht="20.25">
      <c r="A418" t="s">
        <v>2020</v>
      </c>
      <c r="B418" s="2883">
        <v>97390</v>
      </c>
      <c r="C418" s="2883">
        <v>2041414</v>
      </c>
      <c r="D418" s="2882">
        <v>5742.9461066306749</v>
      </c>
    </row>
    <row r="419" spans="1:4" ht="20.25">
      <c r="A419" t="s">
        <v>2552</v>
      </c>
      <c r="B419" s="2883">
        <v>207404</v>
      </c>
      <c r="C419" s="2883">
        <v>14933952</v>
      </c>
      <c r="D419" s="2882">
        <v>5279.2247200719912</v>
      </c>
    </row>
    <row r="420" spans="1:4" ht="20.25">
      <c r="A420" t="s">
        <v>1117</v>
      </c>
      <c r="B420" s="2883">
        <v>332764</v>
      </c>
      <c r="C420" s="2883">
        <v>2059283</v>
      </c>
      <c r="D420" s="2882">
        <v>5030.9513211795365</v>
      </c>
    </row>
    <row r="421" spans="1:4" ht="20.25">
      <c r="A421" t="s">
        <v>48</v>
      </c>
      <c r="B421" s="2883">
        <v>340274</v>
      </c>
      <c r="C421" s="2883">
        <v>2477048</v>
      </c>
      <c r="D421" s="2882">
        <v>5467.3537335402434</v>
      </c>
    </row>
    <row r="422" spans="1:4" ht="20.25">
      <c r="A422" t="s">
        <v>55</v>
      </c>
      <c r="B422" s="2883">
        <v>148887</v>
      </c>
      <c r="C422" s="2883">
        <v>2112324</v>
      </c>
      <c r="D422" s="2882">
        <v>5019.9472556387964</v>
      </c>
    </row>
    <row r="423" spans="1:4" ht="20.25">
      <c r="A423" t="s">
        <v>2553</v>
      </c>
      <c r="B423" s="2883">
        <v>42422</v>
      </c>
      <c r="C423" s="2883">
        <v>564929</v>
      </c>
      <c r="D423" s="2882">
        <v>5525.4411858518961</v>
      </c>
    </row>
    <row r="424" spans="1:4" ht="20.25">
      <c r="A424" t="s">
        <v>206</v>
      </c>
      <c r="B424" s="2883">
        <v>330906</v>
      </c>
      <c r="C424" s="2883">
        <v>1669526</v>
      </c>
      <c r="D424" s="2882">
        <v>4922.6748634414944</v>
      </c>
    </row>
    <row r="425" spans="1:4" ht="20.25">
      <c r="A425" t="s">
        <v>668</v>
      </c>
      <c r="B425" s="2883">
        <v>459212</v>
      </c>
      <c r="C425" s="2883">
        <v>2356717</v>
      </c>
      <c r="D425" s="2882">
        <v>5029.6542803435295</v>
      </c>
    </row>
    <row r="426" spans="1:4" ht="20.25">
      <c r="A426" t="s">
        <v>811</v>
      </c>
      <c r="B426" s="2883">
        <v>0</v>
      </c>
      <c r="C426" s="2883">
        <v>1283112</v>
      </c>
      <c r="D426" s="2882">
        <v>5477.7806592175957</v>
      </c>
    </row>
    <row r="427" spans="1:4" ht="20.25">
      <c r="A427" t="s">
        <v>1947</v>
      </c>
      <c r="B427" s="2883">
        <v>81668</v>
      </c>
      <c r="C427" s="2883">
        <v>964345</v>
      </c>
      <c r="D427" s="2882">
        <v>6024.9512243417194</v>
      </c>
    </row>
    <row r="428" spans="1:4" ht="20.25">
      <c r="A428" t="s">
        <v>1948</v>
      </c>
      <c r="B428" s="2883">
        <v>287674</v>
      </c>
      <c r="C428" s="2883">
        <v>624717</v>
      </c>
      <c r="D428" s="2882">
        <v>6461.224444671695</v>
      </c>
    </row>
    <row r="429" spans="1:4" ht="20.25">
      <c r="A429" t="s">
        <v>867</v>
      </c>
      <c r="B429" s="2883">
        <v>0</v>
      </c>
      <c r="C429" s="2883">
        <v>324063</v>
      </c>
      <c r="D429" s="2882">
        <v>5019.760311394115</v>
      </c>
    </row>
    <row r="430" spans="1:4" ht="20.25">
      <c r="A430" t="s">
        <v>1949</v>
      </c>
      <c r="B430" s="2883">
        <v>0</v>
      </c>
      <c r="C430" s="2883">
        <v>42775</v>
      </c>
      <c r="D430" s="2882">
        <v>5709.2363578251197</v>
      </c>
    </row>
    <row r="431" spans="1:4" ht="20.25">
      <c r="A431" t="s">
        <v>1500</v>
      </c>
      <c r="B431" s="2883">
        <v>0</v>
      </c>
      <c r="C431" s="2883">
        <v>685751</v>
      </c>
      <c r="D431" s="2882">
        <v>4922.9684778069904</v>
      </c>
    </row>
    <row r="432" spans="1:4" ht="20.25">
      <c r="A432" t="s">
        <v>1501</v>
      </c>
      <c r="B432" s="2883">
        <v>0</v>
      </c>
      <c r="C432" s="2883">
        <v>54081</v>
      </c>
      <c r="D432" s="2882">
        <v>5314.550339955761</v>
      </c>
    </row>
    <row r="433" spans="1:4" ht="20.25">
      <c r="A433" t="s">
        <v>1502</v>
      </c>
      <c r="B433" s="2883">
        <v>0</v>
      </c>
      <c r="C433" s="2883">
        <v>512376</v>
      </c>
      <c r="D433" s="2882">
        <v>6013.3998528894435</v>
      </c>
    </row>
    <row r="434" spans="1:4" ht="20.25">
      <c r="A434" t="s">
        <v>1568</v>
      </c>
      <c r="B434" s="2883">
        <v>0</v>
      </c>
      <c r="C434" s="2883">
        <v>77484</v>
      </c>
      <c r="D434" s="2882">
        <v>4806.1283446640291</v>
      </c>
    </row>
    <row r="435" spans="1:4" ht="20.25">
      <c r="A435" t="s">
        <v>1569</v>
      </c>
      <c r="B435" s="2883">
        <v>0</v>
      </c>
      <c r="C435" s="2883">
        <v>155632</v>
      </c>
      <c r="D435" s="2882">
        <v>5593.3052436785838</v>
      </c>
    </row>
    <row r="436" spans="1:4" ht="20.25">
      <c r="A436" t="s">
        <v>497</v>
      </c>
      <c r="B436" s="2883">
        <v>0</v>
      </c>
      <c r="C436" s="2883">
        <v>44521</v>
      </c>
      <c r="D436" s="2882">
        <v>5665.6226235576405</v>
      </c>
    </row>
    <row r="437" spans="1:4" ht="20.25">
      <c r="A437" t="s">
        <v>465</v>
      </c>
      <c r="B437" s="2883">
        <v>0</v>
      </c>
      <c r="C437" s="2883">
        <v>26238</v>
      </c>
      <c r="D437" s="2882">
        <v>5088.4986001268098</v>
      </c>
    </row>
    <row r="438" spans="1:4" ht="20.25">
      <c r="A438" t="s">
        <v>466</v>
      </c>
      <c r="B438" s="2883">
        <v>0</v>
      </c>
      <c r="C438" s="2883">
        <v>53589</v>
      </c>
      <c r="D438" s="2882">
        <v>4739.2948522814313</v>
      </c>
    </row>
    <row r="439" spans="1:4" ht="20.25">
      <c r="A439" t="s">
        <v>467</v>
      </c>
      <c r="B439" s="2883">
        <v>0</v>
      </c>
      <c r="C439" s="2883">
        <v>20796</v>
      </c>
      <c r="D439" s="2882">
        <v>4719.4206092433687</v>
      </c>
    </row>
    <row r="440" spans="1:4" ht="20.25">
      <c r="A440" t="s">
        <v>468</v>
      </c>
      <c r="B440" s="2883">
        <v>0</v>
      </c>
      <c r="C440" s="2883">
        <v>32478</v>
      </c>
      <c r="D440" s="2882">
        <v>4808.77031561693</v>
      </c>
    </row>
    <row r="441" spans="1:4" ht="20.25">
      <c r="A441" t="s">
        <v>1141</v>
      </c>
      <c r="B441" s="2883">
        <v>0</v>
      </c>
      <c r="C441" s="2883">
        <v>975034</v>
      </c>
      <c r="D441" s="2882">
        <v>5636.6492074309763</v>
      </c>
    </row>
    <row r="442" spans="1:4" ht="20.25">
      <c r="A442" t="s">
        <v>1488</v>
      </c>
      <c r="B442" s="2883">
        <v>0</v>
      </c>
      <c r="C442" s="2883">
        <v>602688</v>
      </c>
      <c r="D442" s="2882">
        <v>5909.9957234049507</v>
      </c>
    </row>
    <row r="443" spans="1:4" ht="20.25">
      <c r="A443" t="s">
        <v>1292</v>
      </c>
      <c r="B443" s="2883">
        <v>126724</v>
      </c>
      <c r="C443" s="2883">
        <v>124412</v>
      </c>
      <c r="D443" s="2882">
        <v>5933.6620125861182</v>
      </c>
    </row>
    <row r="444" spans="1:4" ht="20.25">
      <c r="A444" t="s">
        <v>1863</v>
      </c>
      <c r="B444" s="2883">
        <v>138983</v>
      </c>
      <c r="C444" s="2883">
        <v>1947460</v>
      </c>
      <c r="D444" s="2882">
        <v>5654.9937634901835</v>
      </c>
    </row>
    <row r="445" spans="1:4" ht="20.25">
      <c r="A445" t="s">
        <v>1703</v>
      </c>
      <c r="B445" s="2883">
        <v>0</v>
      </c>
      <c r="C445" s="2883">
        <v>55937</v>
      </c>
      <c r="D445" s="2882">
        <v>6448.8923341428008</v>
      </c>
    </row>
    <row r="446" spans="1:4" ht="20.25">
      <c r="A446" t="s">
        <v>1704</v>
      </c>
      <c r="B446" s="2883">
        <v>0</v>
      </c>
      <c r="C446" s="2883">
        <v>335668</v>
      </c>
      <c r="D446" s="2882">
        <v>4854.6562839956678</v>
      </c>
    </row>
    <row r="447" spans="1:4" ht="20.25">
      <c r="A447" t="s">
        <v>2544</v>
      </c>
      <c r="B447" s="2883">
        <v>0</v>
      </c>
      <c r="C447" s="2883">
        <v>334527</v>
      </c>
      <c r="D447" s="2882">
        <v>4899.9892705041093</v>
      </c>
    </row>
    <row r="448" spans="1:4" ht="20.25">
      <c r="A448" t="s">
        <v>2519</v>
      </c>
      <c r="B448" s="2883">
        <v>0</v>
      </c>
      <c r="C448" s="2883">
        <v>68180</v>
      </c>
      <c r="D448" s="2882">
        <v>4934.6637023132726</v>
      </c>
    </row>
    <row r="449" spans="1:4" ht="20.25">
      <c r="A449" t="s">
        <v>2007</v>
      </c>
      <c r="B449" s="2883">
        <v>0</v>
      </c>
      <c r="C449" s="2883">
        <v>147504</v>
      </c>
      <c r="D449" s="2882">
        <v>4624.4187154418069</v>
      </c>
    </row>
    <row r="450" spans="1:4" ht="20.25">
      <c r="A450" t="s">
        <v>63</v>
      </c>
      <c r="B450" s="2883">
        <v>0</v>
      </c>
      <c r="C450" s="2883">
        <v>140440</v>
      </c>
      <c r="D450" s="2882">
        <v>5641.9957547059785</v>
      </c>
    </row>
    <row r="451" spans="1:4" ht="20.25">
      <c r="A451" t="s">
        <v>1518</v>
      </c>
      <c r="B451" s="2883">
        <v>0</v>
      </c>
      <c r="C451" s="2883">
        <v>1511</v>
      </c>
      <c r="D451" s="2882">
        <v>4921.9998540808201</v>
      </c>
    </row>
    <row r="452" spans="1:4" ht="20.25">
      <c r="A452" t="s">
        <v>868</v>
      </c>
      <c r="B452" s="2883">
        <v>0</v>
      </c>
      <c r="C452" s="2883">
        <v>6484</v>
      </c>
      <c r="D452" s="2882">
        <v>4786.2022929157665</v>
      </c>
    </row>
    <row r="453" spans="1:4" ht="20.25">
      <c r="A453" t="s">
        <v>64</v>
      </c>
      <c r="B453" s="2883">
        <v>0</v>
      </c>
      <c r="C453" s="2883">
        <v>73006</v>
      </c>
      <c r="D453" s="2882">
        <v>5814.3297777171801</v>
      </c>
    </row>
    <row r="454" spans="1:4" ht="20.25">
      <c r="A454" t="s">
        <v>2127</v>
      </c>
      <c r="B454" s="2883">
        <v>0</v>
      </c>
      <c r="C454" s="2883">
        <v>882715</v>
      </c>
      <c r="D454" s="2882">
        <v>4825.5671603794181</v>
      </c>
    </row>
    <row r="455" spans="1:4" ht="20.25">
      <c r="A455" t="s">
        <v>770</v>
      </c>
      <c r="B455" s="2883">
        <v>0</v>
      </c>
      <c r="C455" s="2883">
        <v>309434</v>
      </c>
      <c r="D455" s="2882">
        <v>4775.2341893837838</v>
      </c>
    </row>
    <row r="456" spans="1:4" ht="20.25">
      <c r="A456" t="s">
        <v>772</v>
      </c>
      <c r="B456" s="2883">
        <v>0</v>
      </c>
      <c r="C456" s="2883">
        <v>2417778</v>
      </c>
      <c r="D456" s="2882">
        <v>4982.9739907014027</v>
      </c>
    </row>
    <row r="457" spans="1:4" ht="20.25">
      <c r="A457" t="s">
        <v>1865</v>
      </c>
      <c r="B457" s="2883">
        <v>0</v>
      </c>
      <c r="C457" s="2883">
        <v>230889</v>
      </c>
      <c r="D457" s="2882">
        <v>4863.9500997093037</v>
      </c>
    </row>
    <row r="458" spans="1:4" ht="20.25">
      <c r="A458" t="s">
        <v>2529</v>
      </c>
      <c r="B458" s="2883">
        <v>0</v>
      </c>
      <c r="C458" s="2883">
        <v>542295</v>
      </c>
      <c r="D458" s="2882">
        <v>4893.9237355864316</v>
      </c>
    </row>
    <row r="459" spans="1:4" ht="20.25">
      <c r="A459" t="s">
        <v>2532</v>
      </c>
      <c r="B459" s="2883">
        <v>55038</v>
      </c>
      <c r="C459" s="2883">
        <v>321622</v>
      </c>
      <c r="D459" s="2882">
        <v>4804.5537664786989</v>
      </c>
    </row>
    <row r="460" spans="1:4" ht="20.25">
      <c r="A460" t="s">
        <v>2538</v>
      </c>
      <c r="B460" s="2883">
        <v>5728</v>
      </c>
      <c r="C460" s="2883">
        <v>614392</v>
      </c>
      <c r="D460" s="2882">
        <v>4868.5008939736863</v>
      </c>
    </row>
    <row r="461" spans="1:4" ht="20.25">
      <c r="A461" t="s">
        <v>211</v>
      </c>
      <c r="B461" s="2883">
        <v>0</v>
      </c>
      <c r="C461" s="2883">
        <v>850402</v>
      </c>
      <c r="D461" s="2882">
        <v>4874.098776898607</v>
      </c>
    </row>
    <row r="462" spans="1:4" ht="20.25">
      <c r="A462" t="s">
        <v>1067</v>
      </c>
      <c r="B462" s="2883">
        <v>82369</v>
      </c>
      <c r="C462" s="2883">
        <v>0</v>
      </c>
      <c r="D462" s="2882">
        <v>4795.9555100959324</v>
      </c>
    </row>
    <row r="463" spans="1:4" ht="20.25">
      <c r="A463" t="s">
        <v>1562</v>
      </c>
      <c r="B463" s="2883">
        <v>12563</v>
      </c>
      <c r="C463" s="2883">
        <v>514335</v>
      </c>
      <c r="D463" s="2882">
        <v>5170.3841444017271</v>
      </c>
    </row>
    <row r="464" spans="1:4" ht="20.25">
      <c r="A464" t="s">
        <v>58</v>
      </c>
      <c r="B464" s="2883">
        <v>768140</v>
      </c>
      <c r="C464" s="2883">
        <v>2405668</v>
      </c>
      <c r="D464" s="2882">
        <v>4938.1979129477158</v>
      </c>
    </row>
    <row r="465" spans="1:4" ht="20.25">
      <c r="A465" t="s">
        <v>723</v>
      </c>
      <c r="B465" s="2883">
        <v>0</v>
      </c>
      <c r="C465" s="2883">
        <v>749424</v>
      </c>
      <c r="D465" s="2882">
        <v>4739.5126735885297</v>
      </c>
    </row>
    <row r="466" spans="1:4" ht="20.25">
      <c r="A466" t="s">
        <v>60</v>
      </c>
      <c r="B466" s="2883">
        <v>0</v>
      </c>
      <c r="C466" s="2883">
        <v>29581</v>
      </c>
      <c r="D466" s="2882">
        <v>4823.8030984918914</v>
      </c>
    </row>
    <row r="467" spans="1:4" ht="20.25">
      <c r="A467" t="s">
        <v>512</v>
      </c>
      <c r="B467" s="2883">
        <v>0</v>
      </c>
      <c r="C467" s="2883">
        <v>0</v>
      </c>
      <c r="D467" s="2882">
        <v>4729.9029603621602</v>
      </c>
    </row>
    <row r="468" spans="1:4" ht="20.25">
      <c r="A468" t="s">
        <v>1522</v>
      </c>
      <c r="B468" s="2883">
        <v>0</v>
      </c>
      <c r="C468" s="2883">
        <v>265732</v>
      </c>
      <c r="D468" s="2882">
        <v>4875.7625827347629</v>
      </c>
    </row>
    <row r="469" spans="1:4" ht="20.25">
      <c r="A469" t="s">
        <v>149</v>
      </c>
      <c r="B469" s="2883">
        <v>0</v>
      </c>
      <c r="C469" s="2883">
        <v>24078</v>
      </c>
      <c r="D469" s="2882">
        <v>4776.2658702499539</v>
      </c>
    </row>
    <row r="470" spans="1:4" ht="20.25">
      <c r="A470" t="s">
        <v>2509</v>
      </c>
      <c r="B470" s="2883">
        <v>0</v>
      </c>
      <c r="C470" s="2883">
        <v>21614</v>
      </c>
      <c r="D470" s="2882">
        <v>4735.5602520157026</v>
      </c>
    </row>
    <row r="471" spans="1:4" ht="20.25">
      <c r="A471" t="s">
        <v>2402</v>
      </c>
      <c r="B471" s="2883">
        <v>0</v>
      </c>
      <c r="C471" s="2883">
        <v>78416</v>
      </c>
      <c r="D471" s="2882">
        <v>4898.6204948065551</v>
      </c>
    </row>
    <row r="472" spans="1:4" ht="20.25">
      <c r="A472" t="s">
        <v>1867</v>
      </c>
      <c r="B472" s="2883">
        <v>0</v>
      </c>
      <c r="C472" s="2883">
        <v>115077</v>
      </c>
      <c r="D472" s="2882">
        <v>4768.1268435230904</v>
      </c>
    </row>
    <row r="473" spans="1:4" ht="20.25">
      <c r="A473" t="s">
        <v>513</v>
      </c>
      <c r="B473" s="2883">
        <v>0</v>
      </c>
      <c r="C473" s="2883">
        <v>45790</v>
      </c>
      <c r="D473" s="2882">
        <v>5844.5669767412564</v>
      </c>
    </row>
    <row r="474" spans="1:4" ht="20.25">
      <c r="A474" t="s">
        <v>42</v>
      </c>
      <c r="B474" s="2883">
        <v>0</v>
      </c>
      <c r="C474" s="2883">
        <v>48734</v>
      </c>
      <c r="D474" s="2882">
        <v>4766.1834430594472</v>
      </c>
    </row>
    <row r="475" spans="1:4" ht="20.25">
      <c r="A475" t="s">
        <v>150</v>
      </c>
      <c r="B475" s="2883">
        <v>0</v>
      </c>
      <c r="C475" s="2883">
        <v>13505</v>
      </c>
      <c r="D475" s="2882">
        <v>4888.6336333171748</v>
      </c>
    </row>
    <row r="476" spans="1:4" ht="20.25">
      <c r="A476" t="s">
        <v>521</v>
      </c>
      <c r="B476" s="2883">
        <v>0</v>
      </c>
      <c r="C476" s="2883">
        <v>16758</v>
      </c>
      <c r="D476" s="2882">
        <v>4810.2690230691087</v>
      </c>
    </row>
    <row r="477" spans="1:4" ht="20.25">
      <c r="A477" t="s">
        <v>1563</v>
      </c>
      <c r="B477" s="2883">
        <v>0</v>
      </c>
      <c r="C477" s="2883">
        <v>141188</v>
      </c>
      <c r="D477" s="2882">
        <v>4898.5091426850468</v>
      </c>
    </row>
    <row r="478" spans="1:4" ht="20.25">
      <c r="A478" t="s">
        <v>522</v>
      </c>
      <c r="B478" s="2883">
        <v>0</v>
      </c>
      <c r="C478" s="2883">
        <v>29285</v>
      </c>
      <c r="D478" s="2882">
        <v>4890.9093330846999</v>
      </c>
    </row>
    <row r="479" spans="1:4" ht="20.25">
      <c r="A479" t="s">
        <v>1540</v>
      </c>
      <c r="B479" s="2883">
        <v>0</v>
      </c>
      <c r="C479" s="2883">
        <v>51412</v>
      </c>
      <c r="D479" s="2882">
        <v>5050.4840745963693</v>
      </c>
    </row>
    <row r="480" spans="1:4" ht="20.25">
      <c r="A480" t="s">
        <v>523</v>
      </c>
      <c r="B480" s="2883">
        <v>0</v>
      </c>
      <c r="C480" s="2883">
        <v>37123</v>
      </c>
      <c r="D480" s="2882">
        <v>4825.2469754456297</v>
      </c>
    </row>
    <row r="481" spans="1:4" ht="20.25">
      <c r="A481" t="s">
        <v>1564</v>
      </c>
      <c r="B481" s="2883">
        <v>0</v>
      </c>
      <c r="C481" s="2883">
        <v>25888</v>
      </c>
      <c r="D481" s="2882">
        <v>4398.3389961597559</v>
      </c>
    </row>
    <row r="482" spans="1:4" ht="20.25">
      <c r="A482" t="s">
        <v>1565</v>
      </c>
      <c r="B482" s="2883">
        <v>0</v>
      </c>
      <c r="C482" s="2883">
        <v>239006</v>
      </c>
      <c r="D482" s="2882">
        <v>5696.4149972999412</v>
      </c>
    </row>
    <row r="483" spans="1:4" ht="20.25">
      <c r="A483" t="s">
        <v>1241</v>
      </c>
      <c r="B483" s="2883">
        <v>0</v>
      </c>
      <c r="C483" s="2883">
        <v>26108</v>
      </c>
      <c r="D483" s="2882">
        <v>5022.9050880137647</v>
      </c>
    </row>
    <row r="484" spans="1:4" ht="20.25">
      <c r="A484" t="s">
        <v>1843</v>
      </c>
      <c r="B484" s="2883">
        <v>0</v>
      </c>
      <c r="C484" s="2883">
        <v>33543</v>
      </c>
      <c r="D484" s="2882">
        <v>4944.1999024029965</v>
      </c>
    </row>
    <row r="485" spans="1:4" ht="20.25">
      <c r="A485" t="s">
        <v>1242</v>
      </c>
      <c r="B485" s="2883">
        <v>0</v>
      </c>
      <c r="C485" s="2883">
        <v>29943</v>
      </c>
      <c r="D485" s="2882">
        <v>12400.281299913446</v>
      </c>
    </row>
    <row r="486" spans="1:4" ht="20.25">
      <c r="A486" t="s">
        <v>1243</v>
      </c>
      <c r="B486" s="2883">
        <v>0</v>
      </c>
      <c r="C486" s="2883">
        <v>6619</v>
      </c>
      <c r="D486" s="2882">
        <v>5659.2324956471848</v>
      </c>
    </row>
    <row r="487" spans="1:4" ht="20.25">
      <c r="A487" t="s">
        <v>1244</v>
      </c>
      <c r="B487" s="2883">
        <v>0</v>
      </c>
      <c r="C487" s="2883">
        <v>804305</v>
      </c>
      <c r="D487" s="2882">
        <v>6047.8731845482571</v>
      </c>
    </row>
    <row r="488" spans="1:4" ht="20.25">
      <c r="A488" t="s">
        <v>1772</v>
      </c>
      <c r="B488" s="2883">
        <v>0</v>
      </c>
      <c r="C488" s="2883">
        <v>49065</v>
      </c>
      <c r="D488" s="2882">
        <v>5060.6551017269358</v>
      </c>
    </row>
    <row r="489" spans="1:4" ht="20.25">
      <c r="A489" t="s">
        <v>1516</v>
      </c>
      <c r="B489" s="2883">
        <v>0</v>
      </c>
      <c r="C489" s="2883">
        <v>63307</v>
      </c>
      <c r="D489" s="2882">
        <v>5272.6654437572934</v>
      </c>
    </row>
    <row r="490" spans="1:4" ht="20.25">
      <c r="A490" t="s">
        <v>180</v>
      </c>
      <c r="B490" s="2883">
        <v>0</v>
      </c>
      <c r="C490" s="2883">
        <v>330385</v>
      </c>
      <c r="D490" s="2882">
        <v>4906.3734111802141</v>
      </c>
    </row>
    <row r="491" spans="1:4" ht="20.25">
      <c r="A491" t="s">
        <v>1497</v>
      </c>
      <c r="B491" s="2883">
        <v>0</v>
      </c>
      <c r="C491" s="2883">
        <v>33102</v>
      </c>
      <c r="D491" s="2882">
        <v>4815.4658032809239</v>
      </c>
    </row>
    <row r="492" spans="1:4" ht="20.25">
      <c r="A492" t="s">
        <v>181</v>
      </c>
      <c r="B492" s="2883">
        <v>0</v>
      </c>
      <c r="C492" s="2883">
        <v>40519</v>
      </c>
      <c r="D492" s="2882">
        <v>4673.9911174857916</v>
      </c>
    </row>
    <row r="493" spans="1:4" ht="20.25">
      <c r="A493" t="s">
        <v>1943</v>
      </c>
      <c r="B493" s="2883">
        <v>0</v>
      </c>
      <c r="C493" s="2883">
        <v>26057</v>
      </c>
      <c r="D493" s="2882">
        <v>4436.6027151676381</v>
      </c>
    </row>
    <row r="494" spans="1:4" ht="20.25">
      <c r="A494" t="s">
        <v>182</v>
      </c>
      <c r="B494" s="2883">
        <v>0</v>
      </c>
      <c r="C494" s="2883">
        <v>82709</v>
      </c>
      <c r="D494" s="2882">
        <v>4467.5238446109133</v>
      </c>
    </row>
    <row r="495" spans="1:4" ht="20.25">
      <c r="A495" t="s">
        <v>183</v>
      </c>
      <c r="B495" s="2883">
        <v>0</v>
      </c>
      <c r="C495" s="2883">
        <v>63694</v>
      </c>
      <c r="D495" s="2882">
        <v>4742.9683644936677</v>
      </c>
    </row>
    <row r="496" spans="1:4" ht="20.25">
      <c r="A496" t="s">
        <v>1498</v>
      </c>
      <c r="B496" s="2883">
        <v>0</v>
      </c>
      <c r="C496" s="2883">
        <v>35678</v>
      </c>
      <c r="D496" s="2882">
        <v>4542.3038125740823</v>
      </c>
    </row>
    <row r="497" spans="1:4" ht="20.25">
      <c r="A497" t="s">
        <v>1421</v>
      </c>
      <c r="B497" s="2883">
        <v>0</v>
      </c>
      <c r="C497" s="2883">
        <v>152345</v>
      </c>
      <c r="D497" s="2882">
        <v>4813.4549953119304</v>
      </c>
    </row>
    <row r="498" spans="1:4" ht="20.25">
      <c r="A498" t="s">
        <v>1261</v>
      </c>
      <c r="B498" s="2883">
        <v>0</v>
      </c>
      <c r="C498" s="2883">
        <v>57790</v>
      </c>
      <c r="D498" s="2882">
        <v>5261.6825284118022</v>
      </c>
    </row>
    <row r="499" spans="1:4" ht="20.25">
      <c r="A499" t="s">
        <v>978</v>
      </c>
      <c r="B499" s="2883">
        <v>0</v>
      </c>
      <c r="C499" s="2883">
        <v>106138</v>
      </c>
      <c r="D499" s="2882">
        <v>5014.1165659899525</v>
      </c>
    </row>
    <row r="500" spans="1:4" ht="20.25">
      <c r="A500" t="s">
        <v>979</v>
      </c>
      <c r="B500" s="2883">
        <v>0</v>
      </c>
      <c r="C500" s="2883">
        <v>45073</v>
      </c>
      <c r="D500" s="2882">
        <v>4960.2842715876004</v>
      </c>
    </row>
    <row r="501" spans="1:4" ht="20.25">
      <c r="A501" t="s">
        <v>899</v>
      </c>
      <c r="B501" s="2883">
        <v>0</v>
      </c>
      <c r="C501" s="2883">
        <v>62125</v>
      </c>
      <c r="D501" s="2882">
        <v>5602.813791452475</v>
      </c>
    </row>
    <row r="502" spans="1:4" ht="20.25">
      <c r="A502" t="s">
        <v>1797</v>
      </c>
      <c r="B502" s="2883">
        <v>0</v>
      </c>
      <c r="C502" s="2883">
        <v>202782</v>
      </c>
      <c r="D502" s="2882">
        <v>4942.4975676141048</v>
      </c>
    </row>
    <row r="503" spans="1:4" ht="20.25">
      <c r="A503" t="s">
        <v>2677</v>
      </c>
      <c r="B503" s="2883">
        <v>0</v>
      </c>
      <c r="C503" s="2883">
        <v>103908</v>
      </c>
      <c r="D503" s="2882">
        <v>5091.5260322304184</v>
      </c>
    </row>
    <row r="504" spans="1:4" ht="20.25">
      <c r="A504" t="s">
        <v>2678</v>
      </c>
      <c r="B504" s="2883">
        <v>0</v>
      </c>
      <c r="C504" s="2883">
        <v>68504</v>
      </c>
      <c r="D504" s="2882">
        <v>6010.3282165135488</v>
      </c>
    </row>
    <row r="505" spans="1:4" ht="20.25">
      <c r="A505" t="s">
        <v>1331</v>
      </c>
      <c r="B505" s="2883">
        <v>0</v>
      </c>
      <c r="C505" s="2883">
        <v>95550</v>
      </c>
      <c r="D505" s="2882">
        <v>4584.4947517494165</v>
      </c>
    </row>
    <row r="506" spans="1:4" ht="20.25">
      <c r="A506" t="s">
        <v>2177</v>
      </c>
      <c r="B506" s="2883">
        <v>0</v>
      </c>
      <c r="C506" s="2883">
        <v>0</v>
      </c>
      <c r="D506" s="2882">
        <v>4809.3253775554804</v>
      </c>
    </row>
    <row r="507" spans="1:4" ht="20.25">
      <c r="A507" t="s">
        <v>1111</v>
      </c>
      <c r="B507" s="2883">
        <v>0</v>
      </c>
      <c r="C507" s="2883">
        <v>36706</v>
      </c>
      <c r="D507" s="2882">
        <v>4596.4906925903178</v>
      </c>
    </row>
    <row r="508" spans="1:4" ht="20.25">
      <c r="A508" t="s">
        <v>1886</v>
      </c>
      <c r="B508" s="2883">
        <v>1417</v>
      </c>
      <c r="C508" s="2883">
        <v>112664</v>
      </c>
      <c r="D508" s="2882">
        <v>4966.8665049654483</v>
      </c>
    </row>
    <row r="509" spans="1:4" ht="20.25">
      <c r="A509" t="s">
        <v>1112</v>
      </c>
      <c r="B509" s="2883">
        <v>37585</v>
      </c>
      <c r="C509" s="2883">
        <v>49085</v>
      </c>
      <c r="D509" s="2882">
        <v>4862.7515712652903</v>
      </c>
    </row>
    <row r="510" spans="1:4" ht="20.25">
      <c r="A510" t="s">
        <v>1437</v>
      </c>
      <c r="B510" s="2883">
        <v>0</v>
      </c>
      <c r="C510" s="2883">
        <v>0</v>
      </c>
      <c r="D510" s="2882">
        <v>4753.3830889227493</v>
      </c>
    </row>
    <row r="511" spans="1:4" ht="20.25">
      <c r="A511" t="s">
        <v>1058</v>
      </c>
      <c r="B511" s="2883">
        <v>0</v>
      </c>
      <c r="C511" s="2883">
        <v>204414</v>
      </c>
      <c r="D511" s="2882">
        <v>4852.2662561975312</v>
      </c>
    </row>
    <row r="512" spans="1:4" ht="20.25">
      <c r="A512" t="s">
        <v>1944</v>
      </c>
      <c r="B512" s="2883">
        <v>3084</v>
      </c>
      <c r="C512" s="2883">
        <v>80085</v>
      </c>
      <c r="D512" s="2882">
        <v>5023.0217455633747</v>
      </c>
    </row>
    <row r="513" spans="1:4" ht="20.25">
      <c r="A513" t="s">
        <v>1584</v>
      </c>
      <c r="B513" s="2883">
        <v>0</v>
      </c>
      <c r="C513" s="2883">
        <v>302727</v>
      </c>
      <c r="D513" s="2882">
        <v>4723.4012632070226</v>
      </c>
    </row>
    <row r="514" spans="1:4" ht="20.25">
      <c r="A514" t="s">
        <v>245</v>
      </c>
      <c r="B514" s="2883">
        <v>0</v>
      </c>
      <c r="C514" s="2883">
        <v>47153</v>
      </c>
      <c r="D514" s="2882">
        <v>4695.4394941186338</v>
      </c>
    </row>
    <row r="515" spans="1:4" ht="20.25">
      <c r="A515" t="s">
        <v>1059</v>
      </c>
      <c r="B515" s="2883">
        <v>0</v>
      </c>
      <c r="C515" s="2883">
        <v>39900</v>
      </c>
      <c r="D515" s="2882">
        <v>4788.2946032123464</v>
      </c>
    </row>
    <row r="516" spans="1:4" ht="20.25">
      <c r="A516" t="s">
        <v>875</v>
      </c>
      <c r="B516" s="2883">
        <v>0</v>
      </c>
      <c r="C516" s="2883">
        <v>63249</v>
      </c>
      <c r="D516" s="2882">
        <v>4747.1283175332564</v>
      </c>
    </row>
    <row r="517" spans="1:4" ht="20.25">
      <c r="A517" t="s">
        <v>1844</v>
      </c>
      <c r="B517" s="2883">
        <v>0</v>
      </c>
      <c r="C517" s="2883">
        <v>7376</v>
      </c>
      <c r="D517" s="2882">
        <v>4676.5264794517916</v>
      </c>
    </row>
    <row r="518" spans="1:4" ht="20.25">
      <c r="A518" t="s">
        <v>1060</v>
      </c>
      <c r="B518" s="2883">
        <v>0</v>
      </c>
      <c r="C518" s="2883">
        <v>112340</v>
      </c>
      <c r="D518" s="2882">
        <v>4619.8591915154047</v>
      </c>
    </row>
    <row r="519" spans="1:4" ht="20.25">
      <c r="A519" t="s">
        <v>2140</v>
      </c>
      <c r="B519" s="2883">
        <v>0</v>
      </c>
      <c r="C519" s="2883">
        <v>59227</v>
      </c>
      <c r="D519" s="2882">
        <v>4616.3740971042471</v>
      </c>
    </row>
    <row r="520" spans="1:4" ht="20.25">
      <c r="A520" t="s">
        <v>2141</v>
      </c>
      <c r="B520" s="2883">
        <v>0</v>
      </c>
      <c r="C520" s="2883">
        <v>63345</v>
      </c>
      <c r="D520" s="2882">
        <v>5983.4529021922881</v>
      </c>
    </row>
    <row r="521" spans="1:4" ht="20.25">
      <c r="A521" t="s">
        <v>1259</v>
      </c>
      <c r="B521" s="2883">
        <v>0</v>
      </c>
      <c r="C521" s="2883">
        <v>9058</v>
      </c>
      <c r="D521" s="2882">
        <v>4447.080821233084</v>
      </c>
    </row>
    <row r="522" spans="1:4" ht="20.25">
      <c r="A522" t="s">
        <v>1260</v>
      </c>
      <c r="B522" s="2883">
        <v>42518</v>
      </c>
      <c r="C522" s="2883">
        <v>22994</v>
      </c>
      <c r="D522" s="2882">
        <v>6691.5400733813367</v>
      </c>
    </row>
    <row r="523" spans="1:4" ht="20.25">
      <c r="A523" t="s">
        <v>923</v>
      </c>
      <c r="B523" s="2883">
        <v>0</v>
      </c>
      <c r="C523" s="2883">
        <v>21565</v>
      </c>
      <c r="D523" s="2882">
        <v>5100.9273260985583</v>
      </c>
    </row>
    <row r="524" spans="1:4" ht="20.25">
      <c r="A524" t="s">
        <v>924</v>
      </c>
      <c r="B524" s="2883">
        <v>59157</v>
      </c>
      <c r="C524" s="2883">
        <v>78097</v>
      </c>
      <c r="D524" s="2882">
        <v>6578.8707587352255</v>
      </c>
    </row>
    <row r="525" spans="1:4" ht="20.25">
      <c r="A525" t="s">
        <v>925</v>
      </c>
      <c r="B525" s="2883">
        <v>0</v>
      </c>
      <c r="C525" s="2883">
        <v>44994</v>
      </c>
      <c r="D525" s="2882">
        <v>5154.1397261796692</v>
      </c>
    </row>
    <row r="526" spans="1:4" ht="20.25">
      <c r="A526" t="s">
        <v>926</v>
      </c>
      <c r="B526" s="2883">
        <v>0</v>
      </c>
      <c r="C526" s="2883">
        <v>109331</v>
      </c>
      <c r="D526" s="2882">
        <v>5783.7767204509519</v>
      </c>
    </row>
    <row r="527" spans="1:4" ht="20.25">
      <c r="A527" t="s">
        <v>2577</v>
      </c>
      <c r="B527" s="2883">
        <v>0</v>
      </c>
      <c r="C527" s="2883">
        <v>51279</v>
      </c>
      <c r="D527" s="2882">
        <v>4883.4919300260453</v>
      </c>
    </row>
    <row r="528" spans="1:4" ht="20.25">
      <c r="A528" t="s">
        <v>502</v>
      </c>
      <c r="B528" s="2883">
        <v>0</v>
      </c>
      <c r="C528" s="2883">
        <v>165798</v>
      </c>
      <c r="D528" s="2882">
        <v>5390.6945712660199</v>
      </c>
    </row>
    <row r="529" spans="1:4" ht="20.25">
      <c r="A529" t="s">
        <v>2646</v>
      </c>
      <c r="B529" s="2883">
        <v>0</v>
      </c>
      <c r="C529" s="2883">
        <v>55250</v>
      </c>
      <c r="D529" s="2882">
        <v>4591.8662344434724</v>
      </c>
    </row>
    <row r="530" spans="1:4" ht="20.25">
      <c r="A530" t="s">
        <v>883</v>
      </c>
      <c r="B530" s="2883">
        <v>0</v>
      </c>
      <c r="C530" s="2883">
        <v>171696</v>
      </c>
      <c r="D530" s="2882">
        <v>4835.0215072407436</v>
      </c>
    </row>
    <row r="531" spans="1:4" ht="20.25">
      <c r="A531" t="s">
        <v>44</v>
      </c>
      <c r="B531" s="2883">
        <v>0</v>
      </c>
      <c r="C531" s="2883">
        <v>263362</v>
      </c>
      <c r="D531" s="2882">
        <v>4767.0203069288209</v>
      </c>
    </row>
    <row r="532" spans="1:4" ht="20.25">
      <c r="A532" t="s">
        <v>54</v>
      </c>
      <c r="B532" s="2883">
        <v>0</v>
      </c>
      <c r="C532" s="2883">
        <v>141620</v>
      </c>
      <c r="D532" s="2882">
        <v>4486.3376374039672</v>
      </c>
    </row>
    <row r="533" spans="1:4" ht="20.25">
      <c r="A533" t="s">
        <v>2647</v>
      </c>
      <c r="B533" s="2883">
        <v>0</v>
      </c>
      <c r="C533" s="2883">
        <v>15178</v>
      </c>
      <c r="D533" s="2882">
        <v>5551.3159876901882</v>
      </c>
    </row>
    <row r="534" spans="1:4" ht="20.25">
      <c r="A534" t="s">
        <v>2648</v>
      </c>
      <c r="B534" s="2883">
        <v>0</v>
      </c>
      <c r="C534" s="2883">
        <v>24513</v>
      </c>
      <c r="D534" s="2882">
        <v>5814.653257915742</v>
      </c>
    </row>
    <row r="535" spans="1:4" ht="20.25">
      <c r="A535" t="s">
        <v>2649</v>
      </c>
      <c r="B535" s="2883">
        <v>0</v>
      </c>
      <c r="C535" s="2883">
        <v>19502</v>
      </c>
      <c r="D535" s="2882">
        <v>4831.3258733530192</v>
      </c>
    </row>
    <row r="536" spans="1:4" ht="20.25">
      <c r="A536" t="s">
        <v>2540</v>
      </c>
      <c r="B536" s="2883">
        <v>0</v>
      </c>
      <c r="C536" s="2883">
        <v>115500</v>
      </c>
      <c r="D536" s="2882">
        <v>4827.0916317528663</v>
      </c>
    </row>
    <row r="537" spans="1:4" ht="20.25">
      <c r="A537" t="s">
        <v>2292</v>
      </c>
      <c r="B537" s="2883">
        <v>506995</v>
      </c>
      <c r="C537" s="2883">
        <v>376796</v>
      </c>
      <c r="D537" s="2882">
        <v>5512.6384938720785</v>
      </c>
    </row>
    <row r="538" spans="1:4" ht="20.25">
      <c r="A538" t="s">
        <v>2293</v>
      </c>
      <c r="B538" s="2883">
        <v>0</v>
      </c>
      <c r="C538" s="2883">
        <v>151460</v>
      </c>
      <c r="D538" s="2882">
        <v>5264.2496741007699</v>
      </c>
    </row>
    <row r="539" spans="1:4" ht="20.25">
      <c r="A539" t="s">
        <v>1325</v>
      </c>
      <c r="B539" s="2883">
        <v>0</v>
      </c>
      <c r="C539" s="2883">
        <v>1806723</v>
      </c>
      <c r="D539" s="2882">
        <v>5502.4333479535835</v>
      </c>
    </row>
    <row r="540" spans="1:4" ht="20.25">
      <c r="A540" t="s">
        <v>1326</v>
      </c>
      <c r="B540" s="2883">
        <v>0</v>
      </c>
      <c r="C540" s="2883">
        <v>49984</v>
      </c>
      <c r="D540" s="2882">
        <v>6876.1899954962646</v>
      </c>
    </row>
    <row r="541" spans="1:4" ht="20.25">
      <c r="A541" t="s">
        <v>1309</v>
      </c>
      <c r="B541" s="2883">
        <v>0</v>
      </c>
      <c r="C541" s="2883">
        <v>217729</v>
      </c>
      <c r="D541" s="2882">
        <v>5150.2459601035298</v>
      </c>
    </row>
    <row r="542" spans="1:4" ht="20.25">
      <c r="A542" t="s">
        <v>1327</v>
      </c>
      <c r="B542" s="2883">
        <v>0</v>
      </c>
      <c r="C542" s="2883">
        <v>33862</v>
      </c>
      <c r="D542" s="2882">
        <v>5169.4379303056548</v>
      </c>
    </row>
    <row r="543" spans="1:4" ht="20.25">
      <c r="A543" t="s">
        <v>2019</v>
      </c>
      <c r="B543" s="2883">
        <v>188492</v>
      </c>
      <c r="C543" s="2883">
        <v>192682</v>
      </c>
      <c r="D543" s="2882">
        <v>4906.0764163935546</v>
      </c>
    </row>
    <row r="544" spans="1:4" ht="20.25">
      <c r="A544" t="s">
        <v>2323</v>
      </c>
      <c r="B544" s="2883">
        <v>0</v>
      </c>
      <c r="C544" s="2883">
        <v>87692</v>
      </c>
      <c r="D544" s="2882">
        <v>4921.8565340020796</v>
      </c>
    </row>
    <row r="545" spans="1:4" ht="20.25">
      <c r="A545" t="s">
        <v>1413</v>
      </c>
      <c r="B545" s="2883">
        <v>0</v>
      </c>
      <c r="C545" s="2883">
        <v>185077</v>
      </c>
      <c r="D545" s="2882">
        <v>4784.6697938759671</v>
      </c>
    </row>
    <row r="546" spans="1:4" ht="20.25">
      <c r="A546" t="s">
        <v>216</v>
      </c>
      <c r="B546" s="2883">
        <v>0</v>
      </c>
      <c r="C546" s="2883">
        <v>34204</v>
      </c>
      <c r="D546" s="2882">
        <v>4774.9248001166343</v>
      </c>
    </row>
    <row r="547" spans="1:4" ht="20.25">
      <c r="A547" t="s">
        <v>1328</v>
      </c>
      <c r="B547" s="2883">
        <v>0</v>
      </c>
      <c r="C547" s="2883">
        <v>7341</v>
      </c>
      <c r="D547" s="2882">
        <v>5012.8231142976319</v>
      </c>
    </row>
    <row r="548" spans="1:4" ht="20.25">
      <c r="A548" t="s">
        <v>195</v>
      </c>
      <c r="B548" s="2883">
        <v>0</v>
      </c>
      <c r="C548" s="2883">
        <v>278968</v>
      </c>
      <c r="D548" s="2882">
        <v>5061.5194777066126</v>
      </c>
    </row>
    <row r="549" spans="1:4" ht="20.25">
      <c r="A549" t="s">
        <v>1884</v>
      </c>
      <c r="B549" s="2883">
        <v>170269</v>
      </c>
      <c r="C549" s="2883">
        <v>423997</v>
      </c>
      <c r="D549" s="2882">
        <v>5049.0761016224224</v>
      </c>
    </row>
    <row r="550" spans="1:4" ht="20.25">
      <c r="A550" t="s">
        <v>574</v>
      </c>
      <c r="B550" s="2883">
        <v>0</v>
      </c>
      <c r="C550" s="2883">
        <v>351361</v>
      </c>
      <c r="D550" s="2882">
        <v>5428.2544315322248</v>
      </c>
    </row>
    <row r="551" spans="1:4" ht="20.25">
      <c r="A551" t="s">
        <v>1798</v>
      </c>
      <c r="B551" s="2883">
        <v>0</v>
      </c>
      <c r="C551" s="2883">
        <v>41502</v>
      </c>
      <c r="D551" s="2882">
        <v>5409.9219664710927</v>
      </c>
    </row>
    <row r="552" spans="1:4" ht="20.25">
      <c r="A552" t="s">
        <v>45</v>
      </c>
      <c r="B552" s="2883">
        <v>0</v>
      </c>
      <c r="C552" s="2883">
        <v>397623</v>
      </c>
      <c r="D552" s="2882">
        <v>5066.2797688277178</v>
      </c>
    </row>
    <row r="553" spans="1:4" ht="20.25">
      <c r="A553" t="s">
        <v>1329</v>
      </c>
      <c r="B553" s="2883">
        <v>0</v>
      </c>
      <c r="C553" s="2883">
        <v>0</v>
      </c>
      <c r="D553" s="2882">
        <v>4755.5354415516431</v>
      </c>
    </row>
    <row r="554" spans="1:4" ht="20.25">
      <c r="A554" t="s">
        <v>2324</v>
      </c>
      <c r="B554" s="2883">
        <v>0</v>
      </c>
      <c r="C554" s="2883">
        <v>262230</v>
      </c>
      <c r="D554" s="2882">
        <v>5381.556229947184</v>
      </c>
    </row>
    <row r="555" spans="1:4" ht="20.25">
      <c r="A555" t="s">
        <v>255</v>
      </c>
      <c r="B555" s="2883">
        <v>0</v>
      </c>
      <c r="C555" s="2883">
        <v>228699</v>
      </c>
      <c r="D555" s="2882">
        <v>5059.5690073068881</v>
      </c>
    </row>
    <row r="556" spans="1:4" ht="20.25">
      <c r="A556" t="s">
        <v>1263</v>
      </c>
      <c r="B556" s="2883">
        <v>0</v>
      </c>
      <c r="C556" s="2883">
        <v>114957</v>
      </c>
      <c r="D556" s="2882">
        <v>6880.1422617338703</v>
      </c>
    </row>
    <row r="557" spans="1:4" ht="20.25">
      <c r="A557" t="s">
        <v>2097</v>
      </c>
      <c r="B557" s="2883">
        <v>0</v>
      </c>
      <c r="C557" s="2883">
        <v>39142</v>
      </c>
      <c r="D557" s="2882">
        <v>4698.7622232324293</v>
      </c>
    </row>
    <row r="558" spans="1:4" ht="20.25">
      <c r="A558" t="s">
        <v>1330</v>
      </c>
      <c r="B558" s="2883">
        <v>0</v>
      </c>
      <c r="C558" s="2883">
        <v>13276</v>
      </c>
      <c r="D558" s="2882">
        <v>4749.6484423290885</v>
      </c>
    </row>
    <row r="559" spans="1:4" ht="20.25">
      <c r="A559" t="s">
        <v>1862</v>
      </c>
      <c r="B559" s="2883">
        <v>79390</v>
      </c>
      <c r="C559" s="2883">
        <v>43592</v>
      </c>
      <c r="D559" s="2882">
        <v>4738.67385348687</v>
      </c>
    </row>
    <row r="560" spans="1:4" ht="20.25">
      <c r="A560" t="s">
        <v>2510</v>
      </c>
      <c r="B560" s="2883">
        <v>0</v>
      </c>
      <c r="C560" s="2883">
        <v>21424</v>
      </c>
      <c r="D560" s="2882">
        <v>5312.9079087016453</v>
      </c>
    </row>
    <row r="561" spans="1:4" ht="20.25">
      <c r="A561" t="s">
        <v>259</v>
      </c>
      <c r="B561" s="2883">
        <v>0</v>
      </c>
      <c r="C561" s="2883">
        <v>45399</v>
      </c>
      <c r="D561" s="2882">
        <v>4712.1629098806552</v>
      </c>
    </row>
    <row r="562" spans="1:4" ht="20.25">
      <c r="A562" t="s">
        <v>47</v>
      </c>
      <c r="B562" s="2883">
        <v>0</v>
      </c>
      <c r="C562" s="2883">
        <v>0</v>
      </c>
      <c r="D562" s="2882">
        <v>4730.5720491806615</v>
      </c>
    </row>
    <row r="563" spans="1:4" ht="20.25">
      <c r="A563" t="s">
        <v>2511</v>
      </c>
      <c r="B563" s="2883">
        <v>0</v>
      </c>
      <c r="C563" s="2883">
        <v>28641</v>
      </c>
      <c r="D563" s="2882">
        <v>4732.948998845095</v>
      </c>
    </row>
    <row r="564" spans="1:4" ht="20.25">
      <c r="A564" t="s">
        <v>1153</v>
      </c>
      <c r="B564" s="2883">
        <v>0</v>
      </c>
      <c r="C564" s="2883">
        <v>8804</v>
      </c>
      <c r="D564" s="2882">
        <v>5077.7069295901101</v>
      </c>
    </row>
    <row r="565" spans="1:4" ht="20.25">
      <c r="A565" t="s">
        <v>1686</v>
      </c>
      <c r="B565" s="2883">
        <v>0</v>
      </c>
      <c r="C565" s="2883">
        <v>35394</v>
      </c>
      <c r="D565" s="2882">
        <v>4875.771230783901</v>
      </c>
    </row>
    <row r="566" spans="1:4" ht="20.25">
      <c r="A566" t="s">
        <v>2403</v>
      </c>
      <c r="B566" s="2883">
        <v>96598</v>
      </c>
      <c r="C566" s="2883">
        <v>141582</v>
      </c>
      <c r="D566" s="2882">
        <v>4933.3378516082557</v>
      </c>
    </row>
    <row r="567" spans="1:4" ht="20.25">
      <c r="A567" t="s">
        <v>1339</v>
      </c>
      <c r="B567" s="2883">
        <v>129991</v>
      </c>
      <c r="C567" s="2883">
        <v>446445</v>
      </c>
      <c r="D567" s="2882">
        <v>5195.3989504309056</v>
      </c>
    </row>
    <row r="568" spans="1:4" ht="20.25">
      <c r="A568" t="s">
        <v>49</v>
      </c>
      <c r="B568" s="2883">
        <v>0</v>
      </c>
      <c r="C568" s="2883">
        <v>376571</v>
      </c>
      <c r="D568" s="2882">
        <v>4826.8951557121763</v>
      </c>
    </row>
    <row r="569" spans="1:4" ht="20.25">
      <c r="A569" t="s">
        <v>51</v>
      </c>
      <c r="B569" s="2883">
        <v>112747</v>
      </c>
      <c r="C569" s="2883">
        <v>192528</v>
      </c>
      <c r="D569" s="2882">
        <v>4954.9617748928285</v>
      </c>
    </row>
    <row r="570" spans="1:4" ht="20.25">
      <c r="A570" t="s">
        <v>2554</v>
      </c>
      <c r="B570" s="2883">
        <v>0</v>
      </c>
      <c r="C570" s="2883">
        <v>342546</v>
      </c>
      <c r="D570" s="2882">
        <v>4929.0764996961498</v>
      </c>
    </row>
    <row r="571" spans="1:4" ht="20.25">
      <c r="A571" t="s">
        <v>2555</v>
      </c>
      <c r="B571" s="2883">
        <v>0</v>
      </c>
      <c r="C571" s="2883">
        <v>450038</v>
      </c>
      <c r="D571" s="2882">
        <v>4976.0240382544098</v>
      </c>
    </row>
    <row r="572" spans="1:4" ht="20.25">
      <c r="A572" t="s">
        <v>494</v>
      </c>
      <c r="B572" s="2883">
        <v>0</v>
      </c>
      <c r="C572" s="2883">
        <v>106599</v>
      </c>
      <c r="D572" s="2882">
        <v>4669.4654506856414</v>
      </c>
    </row>
    <row r="573" spans="1:4" ht="20.25">
      <c r="A573" t="s">
        <v>2556</v>
      </c>
      <c r="B573" s="2883">
        <v>206158</v>
      </c>
      <c r="C573" s="2883">
        <v>629865</v>
      </c>
      <c r="D573" s="2882">
        <v>5928.4532220961792</v>
      </c>
    </row>
    <row r="574" spans="1:4" ht="20.25">
      <c r="A574" t="s">
        <v>1539</v>
      </c>
      <c r="B574" s="2883">
        <v>0</v>
      </c>
      <c r="C574" s="2883">
        <v>111803</v>
      </c>
      <c r="D574" s="2882">
        <v>5187.1213913023657</v>
      </c>
    </row>
    <row r="575" spans="1:4" ht="20.25">
      <c r="A575" t="s">
        <v>2689</v>
      </c>
      <c r="B575" s="2883">
        <v>0</v>
      </c>
      <c r="C575" s="2883">
        <v>0</v>
      </c>
      <c r="D575" s="2882">
        <v>7005.4326248643501</v>
      </c>
    </row>
    <row r="576" spans="1:4" ht="20.25">
      <c r="A576" t="s">
        <v>2320</v>
      </c>
      <c r="B576" s="2883">
        <v>0</v>
      </c>
      <c r="C576" s="2883">
        <v>23783</v>
      </c>
      <c r="D576" s="2882">
        <v>10005.499641401626</v>
      </c>
    </row>
    <row r="577" spans="1:4" ht="20.25">
      <c r="A577" t="s">
        <v>1541</v>
      </c>
      <c r="B577" s="2883">
        <v>0</v>
      </c>
      <c r="C577" s="2883">
        <v>62854</v>
      </c>
      <c r="D577" s="2882">
        <v>5030.1709698761379</v>
      </c>
    </row>
    <row r="578" spans="1:4" ht="20.25">
      <c r="A578" t="s">
        <v>2545</v>
      </c>
      <c r="B578" s="2883">
        <v>0</v>
      </c>
      <c r="C578" s="2883">
        <v>22694</v>
      </c>
      <c r="D578" s="2882">
        <v>6864.0999128913691</v>
      </c>
    </row>
    <row r="579" spans="1:4" ht="20.25">
      <c r="A579" t="s">
        <v>2546</v>
      </c>
      <c r="B579" s="2883">
        <v>0</v>
      </c>
      <c r="C579" s="2883">
        <v>272373</v>
      </c>
      <c r="D579" s="2882">
        <v>5732.4618676320088</v>
      </c>
    </row>
    <row r="580" spans="1:4" ht="20.25">
      <c r="A580" t="s">
        <v>487</v>
      </c>
      <c r="B580" s="2883">
        <v>0</v>
      </c>
      <c r="C580" s="2883">
        <v>107667</v>
      </c>
      <c r="D580" s="2882">
        <v>4949.3469075210205</v>
      </c>
    </row>
    <row r="581" spans="1:4" ht="20.25">
      <c r="A581" t="s">
        <v>2278</v>
      </c>
      <c r="B581" s="2883">
        <v>0</v>
      </c>
      <c r="C581" s="2883">
        <v>0</v>
      </c>
      <c r="D581" s="2882">
        <v>4526.2236935445735</v>
      </c>
    </row>
    <row r="582" spans="1:4" ht="20.25">
      <c r="A582" t="s">
        <v>2279</v>
      </c>
      <c r="B582" s="2883">
        <v>0</v>
      </c>
      <c r="C582" s="2883">
        <v>64348</v>
      </c>
      <c r="D582" s="2882">
        <v>4862.3038730867402</v>
      </c>
    </row>
    <row r="583" spans="1:4" ht="20.25">
      <c r="A583" t="s">
        <v>1534</v>
      </c>
      <c r="B583" s="2883">
        <v>0</v>
      </c>
      <c r="C583" s="2883">
        <v>144684</v>
      </c>
      <c r="D583" s="2882">
        <v>12341.160926559662</v>
      </c>
    </row>
    <row r="584" spans="1:4" ht="20.25">
      <c r="A584" t="s">
        <v>1535</v>
      </c>
      <c r="B584" s="2883">
        <v>0</v>
      </c>
      <c r="C584" s="2883">
        <v>41956</v>
      </c>
      <c r="D584" s="2882">
        <v>4606.128289244084</v>
      </c>
    </row>
    <row r="585" spans="1:4" ht="20.25">
      <c r="A585" t="s">
        <v>2512</v>
      </c>
      <c r="B585" s="2883">
        <v>0</v>
      </c>
      <c r="C585" s="2883">
        <v>138322</v>
      </c>
      <c r="D585" s="2882">
        <v>4970.0138809766431</v>
      </c>
    </row>
    <row r="586" spans="1:4" ht="20.25">
      <c r="A586" t="s">
        <v>393</v>
      </c>
      <c r="B586" s="2883">
        <v>0</v>
      </c>
      <c r="C586" s="2883">
        <v>91891</v>
      </c>
      <c r="D586" s="2882">
        <v>4675.2848249941271</v>
      </c>
    </row>
    <row r="587" spans="1:4" ht="20.25">
      <c r="A587" t="s">
        <v>394</v>
      </c>
      <c r="B587" s="2883">
        <v>0</v>
      </c>
      <c r="C587" s="2883">
        <v>57263</v>
      </c>
      <c r="D587" s="2882">
        <v>5397.0071889461069</v>
      </c>
    </row>
    <row r="588" spans="1:4" ht="20.25">
      <c r="A588" t="s">
        <v>395</v>
      </c>
      <c r="B588" s="2883">
        <v>0</v>
      </c>
      <c r="C588" s="2883">
        <v>0</v>
      </c>
      <c r="D588" s="2882">
        <v>7285.8225021928083</v>
      </c>
    </row>
    <row r="589" spans="1:4" ht="20.25">
      <c r="A589" t="s">
        <v>2513</v>
      </c>
      <c r="B589" s="2883">
        <v>0</v>
      </c>
      <c r="C589" s="2883">
        <v>12942</v>
      </c>
      <c r="D589" s="2882">
        <v>4837.8454890238672</v>
      </c>
    </row>
    <row r="590" spans="1:4" ht="20.25">
      <c r="A590" t="s">
        <v>242</v>
      </c>
      <c r="B590" s="2883">
        <v>0</v>
      </c>
      <c r="C590" s="2883">
        <v>43433</v>
      </c>
      <c r="D590" s="2882">
        <v>4723.9296549714209</v>
      </c>
    </row>
    <row r="591" spans="1:4" ht="20.25">
      <c r="A591" t="s">
        <v>243</v>
      </c>
      <c r="B591" s="2883">
        <v>0</v>
      </c>
      <c r="C591" s="2883">
        <v>14728</v>
      </c>
      <c r="D591" s="2882">
        <v>4575.7059130455882</v>
      </c>
    </row>
    <row r="592" spans="1:4" ht="20.25">
      <c r="A592" t="s">
        <v>244</v>
      </c>
      <c r="B592" s="2883">
        <v>0</v>
      </c>
      <c r="C592" s="2883">
        <v>85661</v>
      </c>
      <c r="D592" s="2882">
        <v>5356.6728305052993</v>
      </c>
    </row>
    <row r="593" spans="1:4" ht="20.25">
      <c r="A593" t="s">
        <v>2325</v>
      </c>
      <c r="B593" s="2883">
        <v>0</v>
      </c>
      <c r="C593" s="2883">
        <v>19017</v>
      </c>
      <c r="D593" s="2882">
        <v>4750.2505851858132</v>
      </c>
    </row>
    <row r="594" spans="1:4" ht="20.25">
      <c r="A594" t="s">
        <v>2023</v>
      </c>
      <c r="B594" s="2883">
        <v>0</v>
      </c>
      <c r="C594" s="2883">
        <v>233477</v>
      </c>
      <c r="D594" s="2882">
        <v>4719.3135131547988</v>
      </c>
    </row>
    <row r="595" spans="1:4" ht="20.25">
      <c r="A595" t="s">
        <v>2076</v>
      </c>
      <c r="B595" s="2883">
        <v>0</v>
      </c>
      <c r="C595" s="2883">
        <v>454493</v>
      </c>
      <c r="D595" s="2882">
        <v>4870.2768527381368</v>
      </c>
    </row>
    <row r="596" spans="1:4" ht="20.25">
      <c r="A596" t="s">
        <v>2514</v>
      </c>
      <c r="B596" s="2883">
        <v>0</v>
      </c>
      <c r="C596" s="2883">
        <v>135957</v>
      </c>
      <c r="D596" s="2882">
        <v>4742.5050695666678</v>
      </c>
    </row>
    <row r="597" spans="1:4" ht="20.25">
      <c r="A597" t="s">
        <v>1557</v>
      </c>
      <c r="B597" s="2883">
        <v>0</v>
      </c>
      <c r="C597" s="2883">
        <v>8305</v>
      </c>
      <c r="D597" s="2882">
        <v>4615.374968648106</v>
      </c>
    </row>
    <row r="598" spans="1:4" ht="20.25">
      <c r="A598" t="s">
        <v>1558</v>
      </c>
      <c r="B598" s="2883">
        <v>0</v>
      </c>
      <c r="C598" s="2883">
        <v>47361</v>
      </c>
      <c r="D598" s="2882">
        <v>4497.506034535636</v>
      </c>
    </row>
    <row r="599" spans="1:4" ht="20.25">
      <c r="A599" t="s">
        <v>1412</v>
      </c>
      <c r="B599" s="2883">
        <v>0</v>
      </c>
      <c r="C599" s="2883">
        <v>42318</v>
      </c>
      <c r="D599" s="2882">
        <v>4654.9335926883814</v>
      </c>
    </row>
    <row r="600" spans="1:4" ht="20.25">
      <c r="A600" t="s">
        <v>2261</v>
      </c>
      <c r="B600" s="2883">
        <v>0</v>
      </c>
      <c r="C600" s="2883">
        <v>45972</v>
      </c>
      <c r="D600" s="2882">
        <v>4871.6910742142627</v>
      </c>
    </row>
    <row r="601" spans="1:4" ht="20.25">
      <c r="A601" t="s">
        <v>2262</v>
      </c>
      <c r="B601" s="2883">
        <v>0</v>
      </c>
      <c r="C601" s="2883">
        <v>52325</v>
      </c>
      <c r="D601" s="2882">
        <v>5476.7679175294588</v>
      </c>
    </row>
    <row r="602" spans="1:4" ht="20.25">
      <c r="A602" t="s">
        <v>2263</v>
      </c>
      <c r="B602" s="2883">
        <v>330556</v>
      </c>
      <c r="C602" s="2883">
        <v>395130</v>
      </c>
      <c r="D602" s="2882">
        <v>5151.7142098455251</v>
      </c>
    </row>
    <row r="603" spans="1:4" ht="20.25">
      <c r="A603" t="s">
        <v>2264</v>
      </c>
      <c r="B603" s="2883">
        <v>0</v>
      </c>
      <c r="C603" s="2883">
        <v>13997</v>
      </c>
      <c r="D603" s="2882">
        <v>4630.1553539114866</v>
      </c>
    </row>
    <row r="604" spans="1:4" ht="20.25">
      <c r="A604" t="s">
        <v>2401</v>
      </c>
      <c r="B604" s="2883">
        <v>32634</v>
      </c>
      <c r="C604" s="2883">
        <v>155587</v>
      </c>
      <c r="D604" s="2882">
        <v>5327.1906339030938</v>
      </c>
    </row>
    <row r="605" spans="1:4" ht="20.25">
      <c r="A605" t="s">
        <v>2265</v>
      </c>
      <c r="B605" s="2883">
        <v>0</v>
      </c>
      <c r="C605" s="2883">
        <v>172047</v>
      </c>
      <c r="D605" s="2882">
        <v>5776.4807423517968</v>
      </c>
    </row>
    <row r="606" spans="1:4" ht="20.25">
      <c r="A606" t="s">
        <v>2266</v>
      </c>
      <c r="B606" s="2883">
        <v>0</v>
      </c>
      <c r="C606" s="2883">
        <v>47503</v>
      </c>
      <c r="D606" s="2882">
        <v>4890.5085486539638</v>
      </c>
    </row>
    <row r="607" spans="1:4" ht="20.25">
      <c r="A607" t="s">
        <v>2267</v>
      </c>
      <c r="B607" s="2883">
        <v>0</v>
      </c>
      <c r="C607" s="2883">
        <v>56707</v>
      </c>
      <c r="D607" s="2882">
        <v>4986.0903685370195</v>
      </c>
    </row>
    <row r="608" spans="1:4" ht="20.25">
      <c r="A608" t="s">
        <v>2268</v>
      </c>
      <c r="B608" s="2883">
        <v>0</v>
      </c>
      <c r="C608" s="2883">
        <v>18668</v>
      </c>
      <c r="D608" s="2882">
        <v>5772.9213504985655</v>
      </c>
    </row>
    <row r="609" spans="1:4" ht="20.25">
      <c r="A609" t="s">
        <v>2269</v>
      </c>
      <c r="B609" s="2883">
        <v>0</v>
      </c>
      <c r="C609" s="2883">
        <v>10832</v>
      </c>
      <c r="D609" s="2882">
        <v>5279.1722401447796</v>
      </c>
    </row>
    <row r="610" spans="1:4" ht="20.25">
      <c r="A610" t="s">
        <v>2586</v>
      </c>
      <c r="B610" s="2883">
        <v>0</v>
      </c>
      <c r="C610" s="2883">
        <v>22315</v>
      </c>
      <c r="D610" s="2882">
        <v>4826.4585058404546</v>
      </c>
    </row>
    <row r="611" spans="1:4" ht="20.25">
      <c r="A611" t="s">
        <v>2587</v>
      </c>
      <c r="B611" s="2883">
        <v>145917</v>
      </c>
      <c r="C611" s="2883">
        <v>110066</v>
      </c>
      <c r="D611" s="2882">
        <v>5263.0797260759437</v>
      </c>
    </row>
    <row r="612" spans="1:4" ht="20.25">
      <c r="A612" t="s">
        <v>2588</v>
      </c>
      <c r="B612" s="2883">
        <v>0</v>
      </c>
      <c r="C612" s="2883">
        <v>149025</v>
      </c>
      <c r="D612" s="2882">
        <v>5206.9835215135799</v>
      </c>
    </row>
    <row r="613" spans="1:4" ht="20.25">
      <c r="A613" t="s">
        <v>2589</v>
      </c>
      <c r="B613" s="2883">
        <v>0</v>
      </c>
      <c r="C613" s="2883">
        <v>21674</v>
      </c>
      <c r="D613" s="2882">
        <v>5691.411599003638</v>
      </c>
    </row>
    <row r="614" spans="1:4" ht="20.25">
      <c r="A614" t="s">
        <v>2590</v>
      </c>
      <c r="B614" s="2883">
        <v>0</v>
      </c>
      <c r="C614" s="2883">
        <v>73095</v>
      </c>
      <c r="D614" s="2882">
        <v>5450.4209839528994</v>
      </c>
    </row>
    <row r="615" spans="1:4" ht="20.25">
      <c r="A615" t="s">
        <v>1381</v>
      </c>
      <c r="B615" s="2883">
        <v>0</v>
      </c>
      <c r="C615" s="2883">
        <v>166843</v>
      </c>
      <c r="D615" s="2882">
        <v>4841.8122678864647</v>
      </c>
    </row>
    <row r="616" spans="1:4" ht="20.25">
      <c r="A616" t="s">
        <v>1382</v>
      </c>
      <c r="B616" s="2883">
        <v>0</v>
      </c>
      <c r="C616" s="2883">
        <v>55823</v>
      </c>
      <c r="D616" s="2882">
        <v>4875.4799406153479</v>
      </c>
    </row>
    <row r="617" spans="1:4" ht="20.25">
      <c r="A617" t="s">
        <v>2426</v>
      </c>
      <c r="B617" s="2883">
        <v>0</v>
      </c>
      <c r="C617" s="2883">
        <v>59233</v>
      </c>
      <c r="D617" s="2882">
        <v>5703.1247121005936</v>
      </c>
    </row>
    <row r="618" spans="1:4" ht="20.25">
      <c r="A618" t="s">
        <v>2111</v>
      </c>
      <c r="B618" s="2883">
        <v>0</v>
      </c>
      <c r="C618" s="2883">
        <v>140501</v>
      </c>
      <c r="D618" s="2882">
        <v>7353.9225993791924</v>
      </c>
    </row>
    <row r="619" spans="1:4" ht="20.25">
      <c r="A619" t="s">
        <v>2633</v>
      </c>
      <c r="B619" s="2883">
        <v>0</v>
      </c>
      <c r="C619" s="2883">
        <v>483316</v>
      </c>
      <c r="D619" s="2882">
        <v>4913.1932045520944</v>
      </c>
    </row>
    <row r="620" spans="1:4" ht="20.25">
      <c r="A620" t="s">
        <v>2408</v>
      </c>
      <c r="B620" s="2883">
        <v>0</v>
      </c>
      <c r="C620" s="2883">
        <v>725092</v>
      </c>
      <c r="D620" s="2882">
        <v>5228.1950553812749</v>
      </c>
    </row>
    <row r="621" spans="1:4" ht="20.25">
      <c r="A621" t="s">
        <v>2112</v>
      </c>
      <c r="B621" s="2883">
        <v>0</v>
      </c>
      <c r="C621" s="2883">
        <v>33013</v>
      </c>
      <c r="D621" s="2882">
        <v>7060.1906718817627</v>
      </c>
    </row>
    <row r="622" spans="1:4" ht="20.25">
      <c r="A622" t="s">
        <v>2515</v>
      </c>
      <c r="B622" s="2883">
        <v>0</v>
      </c>
      <c r="C622" s="2883">
        <v>210833</v>
      </c>
      <c r="D622" s="2882">
        <v>5377.0997774046646</v>
      </c>
    </row>
    <row r="623" spans="1:4" ht="20.25">
      <c r="A623" t="s">
        <v>1116</v>
      </c>
      <c r="B623" s="2883">
        <v>0</v>
      </c>
      <c r="C623" s="2883">
        <v>59439</v>
      </c>
      <c r="D623" s="2882">
        <v>5565.3255403864496</v>
      </c>
    </row>
    <row r="624" spans="1:4" ht="20.25">
      <c r="A624" t="s">
        <v>2113</v>
      </c>
      <c r="B624" s="2883">
        <v>0</v>
      </c>
      <c r="C624" s="2883">
        <v>154235</v>
      </c>
      <c r="D624" s="2882">
        <v>5162.3339157402525</v>
      </c>
    </row>
    <row r="625" spans="1:4" ht="20.25">
      <c r="A625" t="s">
        <v>2114</v>
      </c>
      <c r="B625" s="2883">
        <v>0</v>
      </c>
      <c r="C625" s="2883">
        <v>214453</v>
      </c>
      <c r="D625" s="2882">
        <v>4614.9631322382829</v>
      </c>
    </row>
    <row r="626" spans="1:4" ht="20.25">
      <c r="A626" t="s">
        <v>967</v>
      </c>
      <c r="B626" s="2883">
        <v>0</v>
      </c>
      <c r="C626" s="2883">
        <v>16402</v>
      </c>
      <c r="D626" s="2882">
        <v>4717.0657643942513</v>
      </c>
    </row>
    <row r="627" spans="1:4" ht="20.25">
      <c r="A627" t="s">
        <v>1337</v>
      </c>
      <c r="B627" s="2883">
        <v>0</v>
      </c>
      <c r="C627" s="2883">
        <v>221623</v>
      </c>
      <c r="D627" s="2882">
        <v>6669.0720867381533</v>
      </c>
    </row>
    <row r="628" spans="1:4" ht="20.25">
      <c r="A628" t="s">
        <v>1689</v>
      </c>
      <c r="B628" s="2883">
        <v>0</v>
      </c>
      <c r="C628" s="2883">
        <v>151223</v>
      </c>
      <c r="D628" s="2882">
        <v>4771.6807329711237</v>
      </c>
    </row>
    <row r="629" spans="1:4" ht="20.25">
      <c r="A629" t="s">
        <v>1690</v>
      </c>
      <c r="B629" s="2883">
        <v>0</v>
      </c>
      <c r="C629" s="2883">
        <v>6270</v>
      </c>
      <c r="D629" s="2882">
        <v>5267.9487305351759</v>
      </c>
    </row>
    <row r="630" spans="1:4" ht="20.25">
      <c r="A630" t="s">
        <v>2557</v>
      </c>
      <c r="B630" s="2883">
        <v>0</v>
      </c>
      <c r="C630" s="2883">
        <v>26387</v>
      </c>
      <c r="D630" s="2882">
        <v>7768.8560465255714</v>
      </c>
    </row>
    <row r="631" spans="1:4" ht="20.25">
      <c r="A631" t="s">
        <v>2558</v>
      </c>
      <c r="B631" s="2883">
        <v>0</v>
      </c>
      <c r="C631" s="2883">
        <v>17469</v>
      </c>
      <c r="D631" s="2882">
        <v>7719.8434608122334</v>
      </c>
    </row>
    <row r="632" spans="1:4" ht="20.25">
      <c r="A632" t="s">
        <v>2659</v>
      </c>
      <c r="B632" s="2883">
        <v>0</v>
      </c>
      <c r="C632" s="2883">
        <v>3467</v>
      </c>
      <c r="D632" s="2882">
        <v>6803.1531458562822</v>
      </c>
    </row>
    <row r="633" spans="1:4" ht="20.25">
      <c r="A633" t="s">
        <v>837</v>
      </c>
      <c r="B633" s="2883">
        <v>0</v>
      </c>
      <c r="C633" s="2883">
        <v>209138</v>
      </c>
      <c r="D633" s="2882">
        <v>5183.2667228883265</v>
      </c>
    </row>
    <row r="634" spans="1:4" ht="20.25">
      <c r="A634" t="s">
        <v>82</v>
      </c>
      <c r="B634" s="2883">
        <v>0</v>
      </c>
      <c r="C634" s="2883">
        <v>61914</v>
      </c>
      <c r="D634" s="2882">
        <v>5674.117481031205</v>
      </c>
    </row>
    <row r="635" spans="1:4" ht="20.25">
      <c r="A635" t="s">
        <v>83</v>
      </c>
      <c r="B635" s="2883">
        <v>0</v>
      </c>
      <c r="C635" s="2883">
        <v>297391</v>
      </c>
      <c r="D635" s="2882">
        <v>5768.01271810047</v>
      </c>
    </row>
    <row r="636" spans="1:4" ht="20.25">
      <c r="A636" t="s">
        <v>2284</v>
      </c>
      <c r="B636" s="2883">
        <v>0</v>
      </c>
      <c r="C636" s="2883">
        <v>969890</v>
      </c>
      <c r="D636" s="2882">
        <v>4872.842991312029</v>
      </c>
    </row>
    <row r="637" spans="1:4" ht="20.25">
      <c r="A637" t="s">
        <v>2410</v>
      </c>
      <c r="B637" s="2883">
        <v>0</v>
      </c>
      <c r="C637" s="2883">
        <v>64495</v>
      </c>
      <c r="D637" s="2882">
        <v>4834.5937458411745</v>
      </c>
    </row>
    <row r="638" spans="1:4" ht="20.25">
      <c r="A638" t="s">
        <v>2411</v>
      </c>
      <c r="B638" s="2883">
        <v>0</v>
      </c>
      <c r="C638" s="2883">
        <v>109481</v>
      </c>
      <c r="D638" s="2882">
        <v>4803.8196431469351</v>
      </c>
    </row>
    <row r="639" spans="1:4" ht="20.25">
      <c r="A639" t="s">
        <v>2104</v>
      </c>
      <c r="B639" s="2883">
        <v>32982</v>
      </c>
      <c r="C639" s="2883">
        <v>261285</v>
      </c>
      <c r="D639" s="2882">
        <v>5186.8766852073668</v>
      </c>
    </row>
    <row r="640" spans="1:4" ht="20.25">
      <c r="A640" t="s">
        <v>1423</v>
      </c>
      <c r="B640" s="2883">
        <v>126253</v>
      </c>
      <c r="C640" s="2883">
        <v>425969</v>
      </c>
      <c r="D640" s="2882">
        <v>5083.1365250586678</v>
      </c>
    </row>
    <row r="641" spans="1:4" ht="20.25">
      <c r="A641" t="s">
        <v>2412</v>
      </c>
      <c r="B641" s="2883">
        <v>0</v>
      </c>
      <c r="C641" s="2883">
        <v>198239</v>
      </c>
      <c r="D641" s="2882">
        <v>4925.7736655758545</v>
      </c>
    </row>
    <row r="642" spans="1:4" ht="20.25">
      <c r="A642" t="s">
        <v>496</v>
      </c>
      <c r="B642" s="2883">
        <v>0</v>
      </c>
      <c r="C642" s="2883">
        <v>206217</v>
      </c>
      <c r="D642" s="2882">
        <v>5009.2864524349925</v>
      </c>
    </row>
    <row r="643" spans="1:4" ht="20.25">
      <c r="A643" t="s">
        <v>677</v>
      </c>
      <c r="B643" s="2883">
        <v>0</v>
      </c>
      <c r="C643" s="2883">
        <v>36659</v>
      </c>
      <c r="D643" s="2882">
        <v>4742.259471489303</v>
      </c>
    </row>
    <row r="644" spans="1:4" ht="20.25">
      <c r="A644" t="s">
        <v>2347</v>
      </c>
      <c r="B644" s="2883">
        <v>0</v>
      </c>
      <c r="C644" s="2883">
        <v>39271</v>
      </c>
      <c r="D644" s="2882">
        <v>5245.9661277409023</v>
      </c>
    </row>
    <row r="645" spans="1:4" ht="20.25">
      <c r="A645" t="s">
        <v>2348</v>
      </c>
      <c r="B645" s="2883">
        <v>0</v>
      </c>
      <c r="C645" s="2883">
        <v>25606</v>
      </c>
      <c r="D645" s="2882">
        <v>4742.7186998223606</v>
      </c>
    </row>
    <row r="646" spans="1:4" ht="20.25">
      <c r="A646" t="s">
        <v>2349</v>
      </c>
      <c r="B646" s="2883">
        <v>0</v>
      </c>
      <c r="C646" s="2883">
        <v>16671</v>
      </c>
      <c r="D646" s="2882">
        <v>4956.4611621939484</v>
      </c>
    </row>
    <row r="647" spans="1:4" ht="20.25">
      <c r="A647" t="s">
        <v>1464</v>
      </c>
      <c r="B647" s="2883">
        <v>0</v>
      </c>
      <c r="C647" s="2883">
        <v>17815</v>
      </c>
      <c r="D647" s="2882">
        <v>4771.5669626701556</v>
      </c>
    </row>
    <row r="648" spans="1:4" ht="20.25">
      <c r="A648" t="s">
        <v>2091</v>
      </c>
      <c r="B648" s="2883">
        <v>0</v>
      </c>
      <c r="C648" s="2883">
        <v>212495</v>
      </c>
      <c r="D648" s="2882">
        <v>4999.6735403078837</v>
      </c>
    </row>
    <row r="649" spans="1:4" ht="20.25">
      <c r="A649" t="s">
        <v>1465</v>
      </c>
      <c r="B649" s="2883">
        <v>0</v>
      </c>
      <c r="C649" s="2883">
        <v>27932</v>
      </c>
      <c r="D649" s="2882">
        <v>4870.4767088976887</v>
      </c>
    </row>
    <row r="650" spans="1:4" ht="20.25">
      <c r="A650" t="s">
        <v>382</v>
      </c>
      <c r="B650" s="2883">
        <v>0</v>
      </c>
      <c r="C650" s="2883">
        <v>212449</v>
      </c>
      <c r="D650" s="2882">
        <v>4930.3531062436668</v>
      </c>
    </row>
    <row r="651" spans="1:4" ht="20.25">
      <c r="A651" t="s">
        <v>383</v>
      </c>
      <c r="B651" s="2883">
        <v>0</v>
      </c>
      <c r="C651" s="2883">
        <v>56265</v>
      </c>
      <c r="D651" s="2882">
        <v>6026.8483554104441</v>
      </c>
    </row>
    <row r="652" spans="1:4" ht="20.25">
      <c r="A652" t="s">
        <v>384</v>
      </c>
      <c r="B652" s="2883">
        <v>0</v>
      </c>
      <c r="C652" s="2883">
        <v>28724</v>
      </c>
      <c r="D652" s="2882">
        <v>7155.9745410349897</v>
      </c>
    </row>
    <row r="653" spans="1:4" ht="20.25">
      <c r="A653" t="s">
        <v>1655</v>
      </c>
      <c r="B653" s="2883">
        <v>0</v>
      </c>
      <c r="C653" s="2883">
        <v>116597</v>
      </c>
      <c r="D653" s="2882">
        <v>5186.6869860000979</v>
      </c>
    </row>
    <row r="654" spans="1:4" ht="20.25">
      <c r="A654" t="s">
        <v>1656</v>
      </c>
      <c r="B654" s="2883">
        <v>0</v>
      </c>
      <c r="C654" s="2883">
        <v>161386</v>
      </c>
      <c r="D654" s="2882">
        <v>5168.4261075021332</v>
      </c>
    </row>
    <row r="655" spans="1:4" ht="20.25">
      <c r="A655" t="s">
        <v>173</v>
      </c>
      <c r="B655" s="2883">
        <v>0</v>
      </c>
      <c r="C655" s="2883">
        <v>104873</v>
      </c>
      <c r="D655" s="2882">
        <v>5556.7413184587695</v>
      </c>
    </row>
    <row r="656" spans="1:4" ht="20.25">
      <c r="A656" t="s">
        <v>2128</v>
      </c>
      <c r="B656" s="2883">
        <v>0</v>
      </c>
      <c r="C656" s="2883">
        <v>9963</v>
      </c>
      <c r="D656" s="2882">
        <v>5797.2885851645824</v>
      </c>
    </row>
    <row r="657" spans="1:4" ht="20.25">
      <c r="A657" t="s">
        <v>2129</v>
      </c>
      <c r="B657" s="2883">
        <v>0</v>
      </c>
      <c r="C657" s="2883">
        <v>95776</v>
      </c>
      <c r="D657" s="2882">
        <v>6688.6810564315083</v>
      </c>
    </row>
    <row r="658" spans="1:4" ht="20.25">
      <c r="A658" t="s">
        <v>2130</v>
      </c>
      <c r="B658" s="2883">
        <v>0</v>
      </c>
      <c r="C658" s="2883">
        <v>128330</v>
      </c>
      <c r="D658" s="2882">
        <v>5214.1155964071104</v>
      </c>
    </row>
    <row r="659" spans="1:4" ht="20.25">
      <c r="A659" t="s">
        <v>1813</v>
      </c>
      <c r="B659" s="2883">
        <v>168661</v>
      </c>
      <c r="C659" s="2883">
        <v>913978</v>
      </c>
      <c r="D659" s="2882">
        <v>4525.1549893043311</v>
      </c>
    </row>
    <row r="660" spans="1:4" ht="20.25">
      <c r="A660" t="s">
        <v>880</v>
      </c>
      <c r="B660" s="2883">
        <v>39887</v>
      </c>
      <c r="C660" s="2883">
        <v>101657</v>
      </c>
      <c r="D660" s="2882">
        <v>5091.88575597409</v>
      </c>
    </row>
    <row r="661" spans="1:4" ht="20.25">
      <c r="A661" t="s">
        <v>1403</v>
      </c>
      <c r="B661" s="2883">
        <v>0</v>
      </c>
      <c r="C661" s="2883">
        <v>33294</v>
      </c>
      <c r="D661" s="2882">
        <v>4884.7766936228918</v>
      </c>
    </row>
    <row r="662" spans="1:4" ht="20.25">
      <c r="A662" t="s">
        <v>1988</v>
      </c>
      <c r="B662" s="2883">
        <v>0</v>
      </c>
      <c r="C662" s="2883">
        <v>10037</v>
      </c>
      <c r="D662" s="2882">
        <v>4766.2894968276896</v>
      </c>
    </row>
    <row r="663" spans="1:4" ht="20.25">
      <c r="A663" t="s">
        <v>968</v>
      </c>
      <c r="B663" s="2883">
        <v>0</v>
      </c>
      <c r="C663" s="2883">
        <v>47835</v>
      </c>
      <c r="D663" s="2882">
        <v>4799.3368148190193</v>
      </c>
    </row>
    <row r="664" spans="1:4" ht="20.25">
      <c r="A664" t="s">
        <v>900</v>
      </c>
      <c r="B664" s="2883">
        <v>107145</v>
      </c>
      <c r="C664" s="2883">
        <v>402763</v>
      </c>
      <c r="D664" s="2882">
        <v>5598.7917118222522</v>
      </c>
    </row>
    <row r="665" spans="1:4" ht="20.25">
      <c r="A665" t="s">
        <v>702</v>
      </c>
      <c r="B665" s="2883">
        <v>0</v>
      </c>
      <c r="C665" s="2883">
        <v>192386</v>
      </c>
      <c r="D665" s="2882">
        <v>4868.7529577015976</v>
      </c>
    </row>
    <row r="666" spans="1:4" ht="20.25">
      <c r="A666" t="s">
        <v>969</v>
      </c>
      <c r="B666" s="2883">
        <v>0</v>
      </c>
      <c r="C666" s="2883">
        <v>0</v>
      </c>
      <c r="D666" s="2882">
        <v>4864.1938301844775</v>
      </c>
    </row>
    <row r="667" spans="1:4" ht="20.25">
      <c r="A667" t="s">
        <v>1835</v>
      </c>
      <c r="B667" s="2883">
        <v>0</v>
      </c>
      <c r="C667" s="2883">
        <v>30110</v>
      </c>
      <c r="D667" s="2882">
        <v>4999.2327741109075</v>
      </c>
    </row>
    <row r="668" spans="1:4" ht="20.25">
      <c r="A668" t="s">
        <v>1542</v>
      </c>
      <c r="B668" s="2883">
        <v>0</v>
      </c>
      <c r="C668" s="2883">
        <v>73353</v>
      </c>
      <c r="D668" s="2882">
        <v>5282.7018602466196</v>
      </c>
    </row>
    <row r="669" spans="1:4" ht="20.25">
      <c r="A669" t="s">
        <v>113</v>
      </c>
      <c r="B669" s="2883">
        <v>0</v>
      </c>
      <c r="C669" s="2883">
        <v>49490</v>
      </c>
      <c r="D669" s="2882">
        <v>5313.0181353067474</v>
      </c>
    </row>
    <row r="670" spans="1:4" ht="20.25">
      <c r="A670" t="s">
        <v>2086</v>
      </c>
      <c r="B670" s="2883">
        <v>0</v>
      </c>
      <c r="C670" s="2883">
        <v>32250</v>
      </c>
      <c r="D670" s="2882">
        <v>4629.2717221828489</v>
      </c>
    </row>
    <row r="671" spans="1:4" ht="20.25">
      <c r="A671" t="s">
        <v>341</v>
      </c>
      <c r="B671" s="2883">
        <v>0</v>
      </c>
      <c r="C671" s="2883">
        <v>577293</v>
      </c>
      <c r="D671" s="2882">
        <v>4794.086048111556</v>
      </c>
    </row>
    <row r="672" spans="1:4" ht="20.25">
      <c r="A672" t="s">
        <v>344</v>
      </c>
      <c r="B672" s="2883">
        <v>0</v>
      </c>
      <c r="C672" s="2883">
        <v>764680</v>
      </c>
      <c r="D672" s="2882">
        <v>5234.5812722558167</v>
      </c>
    </row>
    <row r="673" spans="1:4" ht="20.25">
      <c r="A673" t="s">
        <v>2460</v>
      </c>
      <c r="B673" s="2883">
        <v>0</v>
      </c>
      <c r="C673" s="2883">
        <v>107245</v>
      </c>
      <c r="D673" s="2882">
        <v>4783.1959580672001</v>
      </c>
    </row>
    <row r="674" spans="1:4" ht="20.25">
      <c r="A674" t="s">
        <v>2461</v>
      </c>
      <c r="B674" s="2883">
        <v>0</v>
      </c>
      <c r="C674" s="2883">
        <v>104426</v>
      </c>
      <c r="D674" s="2882">
        <v>4750.3168926759527</v>
      </c>
    </row>
    <row r="675" spans="1:4" ht="20.25">
      <c r="A675" t="s">
        <v>72</v>
      </c>
      <c r="B675" s="2883">
        <v>0</v>
      </c>
      <c r="C675" s="2883">
        <v>0</v>
      </c>
      <c r="D675" s="2882">
        <v>4913.6705034024808</v>
      </c>
    </row>
    <row r="676" spans="1:4" ht="20.25">
      <c r="A676" t="s">
        <v>2310</v>
      </c>
      <c r="B676" s="2883">
        <v>0</v>
      </c>
      <c r="C676" s="2883">
        <v>244270</v>
      </c>
      <c r="D676" s="2882">
        <v>4838.5475385913296</v>
      </c>
    </row>
    <row r="677" spans="1:4" ht="20.25">
      <c r="A677" t="s">
        <v>164</v>
      </c>
      <c r="B677" s="2883">
        <v>0</v>
      </c>
      <c r="C677" s="2883">
        <v>126721</v>
      </c>
      <c r="D677" s="2882">
        <v>4902.6192424065348</v>
      </c>
    </row>
    <row r="678" spans="1:4" ht="20.25">
      <c r="A678" t="s">
        <v>879</v>
      </c>
      <c r="B678" s="2883">
        <v>60099</v>
      </c>
      <c r="C678" s="2883">
        <v>12613</v>
      </c>
      <c r="D678" s="2882">
        <v>4784.414092370962</v>
      </c>
    </row>
    <row r="679" spans="1:4" ht="20.25">
      <c r="A679" t="s">
        <v>1837</v>
      </c>
      <c r="B679" s="2883">
        <v>0</v>
      </c>
      <c r="C679" s="2883">
        <v>0</v>
      </c>
      <c r="D679" s="2882">
        <v>5491.7566606858727</v>
      </c>
    </row>
    <row r="680" spans="1:4" ht="20.25">
      <c r="A680" t="s">
        <v>258</v>
      </c>
      <c r="B680" s="2883">
        <v>0</v>
      </c>
      <c r="C680" s="2883">
        <v>23711</v>
      </c>
      <c r="D680" s="2882">
        <v>5116.431282125186</v>
      </c>
    </row>
    <row r="681" spans="1:4" ht="20.25">
      <c r="A681" t="s">
        <v>1585</v>
      </c>
      <c r="B681" s="2883">
        <v>0</v>
      </c>
      <c r="C681" s="2883">
        <v>68838</v>
      </c>
      <c r="D681" s="2882">
        <v>9684.6674878996109</v>
      </c>
    </row>
    <row r="682" spans="1:4" ht="20.25">
      <c r="A682" t="s">
        <v>1134</v>
      </c>
      <c r="B682" s="2883">
        <v>0</v>
      </c>
      <c r="C682" s="2883">
        <v>191139</v>
      </c>
      <c r="D682" s="2882">
        <v>4919.490072524598</v>
      </c>
    </row>
    <row r="683" spans="1:4" ht="20.25">
      <c r="A683" t="s">
        <v>1989</v>
      </c>
      <c r="B683" s="2883">
        <v>0</v>
      </c>
      <c r="C683" s="2883">
        <v>32203</v>
      </c>
      <c r="D683" s="2882">
        <v>4651.6362521608071</v>
      </c>
    </row>
    <row r="684" spans="1:4" ht="20.25">
      <c r="A684" t="s">
        <v>920</v>
      </c>
      <c r="B684" s="2883">
        <v>0</v>
      </c>
      <c r="C684" s="2883">
        <v>0</v>
      </c>
      <c r="D684" s="2882">
        <v>4649.2627995286102</v>
      </c>
    </row>
    <row r="685" spans="1:4" ht="20.25">
      <c r="A685" t="s">
        <v>171</v>
      </c>
      <c r="B685" s="2883">
        <v>0</v>
      </c>
      <c r="C685" s="2883">
        <v>164264</v>
      </c>
      <c r="D685" s="2882">
        <v>4842.9539907418921</v>
      </c>
    </row>
    <row r="686" spans="1:4" ht="20.25">
      <c r="A686" t="s">
        <v>2531</v>
      </c>
      <c r="B686" s="2883">
        <v>0</v>
      </c>
      <c r="C686" s="2883">
        <v>551399</v>
      </c>
      <c r="D686" s="2882">
        <v>5069.8402943340689</v>
      </c>
    </row>
    <row r="687" spans="1:4" ht="20.25">
      <c r="A687" t="s">
        <v>2583</v>
      </c>
      <c r="B687" s="2883">
        <v>0</v>
      </c>
      <c r="C687" s="2883">
        <v>35034</v>
      </c>
      <c r="D687" s="2882">
        <v>4923.1554782424473</v>
      </c>
    </row>
    <row r="688" spans="1:4" ht="20.25">
      <c r="A688" t="s">
        <v>2534</v>
      </c>
      <c r="B688" s="2883">
        <v>0</v>
      </c>
      <c r="C688" s="2883">
        <v>1935499</v>
      </c>
      <c r="D688" s="2882">
        <v>5330.2391796450602</v>
      </c>
    </row>
    <row r="689" spans="1:4" ht="20.25">
      <c r="A689" t="s">
        <v>1300</v>
      </c>
      <c r="B689" s="2883">
        <v>0</v>
      </c>
      <c r="C689" s="2883">
        <v>133653</v>
      </c>
      <c r="D689" s="2882">
        <v>5412.8242613028897</v>
      </c>
    </row>
    <row r="690" spans="1:4" ht="20.25">
      <c r="A690" t="s">
        <v>1887</v>
      </c>
      <c r="B690" s="2883">
        <v>0</v>
      </c>
      <c r="C690" s="2883">
        <v>127517</v>
      </c>
      <c r="D690" s="2882">
        <v>4708.2048694289178</v>
      </c>
    </row>
    <row r="691" spans="1:4" ht="20.25">
      <c r="A691" t="s">
        <v>1360</v>
      </c>
      <c r="B691" s="2883">
        <v>0</v>
      </c>
      <c r="C691" s="2883">
        <v>16500</v>
      </c>
      <c r="D691" s="2882">
        <v>5356.3943643311686</v>
      </c>
    </row>
    <row r="692" spans="1:4" ht="20.25">
      <c r="A692" t="s">
        <v>2535</v>
      </c>
      <c r="B692" s="2883">
        <v>0</v>
      </c>
      <c r="C692" s="2883">
        <v>42912</v>
      </c>
      <c r="D692" s="2882">
        <v>4811.8756005232517</v>
      </c>
    </row>
    <row r="693" spans="1:4" ht="20.25">
      <c r="A693" t="s">
        <v>2197</v>
      </c>
      <c r="B693" s="2883">
        <v>89635</v>
      </c>
      <c r="C693" s="2883">
        <v>160761</v>
      </c>
      <c r="D693" s="2882">
        <v>5021.2324843200959</v>
      </c>
    </row>
    <row r="694" spans="1:4" ht="20.25">
      <c r="A694" t="s">
        <v>930</v>
      </c>
      <c r="B694" s="2883">
        <v>0</v>
      </c>
      <c r="C694" s="2883">
        <v>47819</v>
      </c>
      <c r="D694" s="2882">
        <v>4763.0026065693137</v>
      </c>
    </row>
    <row r="695" spans="1:4" ht="20.25">
      <c r="A695" t="s">
        <v>375</v>
      </c>
      <c r="B695" s="2883">
        <v>0</v>
      </c>
      <c r="C695" s="2883">
        <v>8916</v>
      </c>
      <c r="D695" s="2882">
        <v>4804.5818740583309</v>
      </c>
    </row>
    <row r="696" spans="1:4" ht="20.25">
      <c r="A696" t="s">
        <v>1264</v>
      </c>
      <c r="B696" s="2883">
        <v>0</v>
      </c>
      <c r="C696" s="2883">
        <v>48881</v>
      </c>
      <c r="D696" s="2882">
        <v>4485.1420739979349</v>
      </c>
    </row>
    <row r="697" spans="1:4" ht="20.25">
      <c r="A697" t="s">
        <v>2671</v>
      </c>
      <c r="B697" s="2883">
        <v>0</v>
      </c>
      <c r="C697" s="2883">
        <v>15557</v>
      </c>
      <c r="D697" s="2882">
        <v>4683.8906339340747</v>
      </c>
    </row>
    <row r="698" spans="1:4" ht="20.25">
      <c r="A698" t="s">
        <v>2672</v>
      </c>
      <c r="B698" s="2883">
        <v>0</v>
      </c>
      <c r="C698" s="2883">
        <v>13378</v>
      </c>
      <c r="D698" s="2882">
        <v>3896.4369263991362</v>
      </c>
    </row>
    <row r="699" spans="1:4" ht="20.25">
      <c r="A699" t="s">
        <v>1990</v>
      </c>
      <c r="B699" s="2883">
        <v>0</v>
      </c>
      <c r="C699" s="2883">
        <v>9156</v>
      </c>
      <c r="D699" s="2882">
        <v>4485.8439272784444</v>
      </c>
    </row>
    <row r="700" spans="1:4" ht="20.25">
      <c r="A700" t="s">
        <v>2673</v>
      </c>
      <c r="B700" s="2883">
        <v>0</v>
      </c>
      <c r="C700" s="2883">
        <v>40248</v>
      </c>
      <c r="D700" s="2882">
        <v>4826.2467965698188</v>
      </c>
    </row>
    <row r="701" spans="1:4" ht="20.25">
      <c r="A701" t="s">
        <v>2674</v>
      </c>
      <c r="B701" s="2883">
        <v>0</v>
      </c>
      <c r="C701" s="2883">
        <v>17675</v>
      </c>
      <c r="D701" s="2882">
        <v>4767.5622568728177</v>
      </c>
    </row>
    <row r="702" spans="1:4" ht="20.25">
      <c r="A702" t="s">
        <v>1486</v>
      </c>
      <c r="B702" s="2883">
        <v>0</v>
      </c>
      <c r="C702" s="2883">
        <v>33026</v>
      </c>
      <c r="D702" s="2882">
        <v>12978.749596383597</v>
      </c>
    </row>
    <row r="703" spans="1:4" ht="20.25">
      <c r="A703" t="s">
        <v>1318</v>
      </c>
      <c r="B703" s="2883">
        <v>102855</v>
      </c>
      <c r="C703" s="2883">
        <v>138225</v>
      </c>
      <c r="D703" s="2882">
        <v>5348.9783715638914</v>
      </c>
    </row>
    <row r="704" spans="1:4" ht="20.25">
      <c r="A704" t="s">
        <v>1432</v>
      </c>
      <c r="B704" s="2883">
        <v>0</v>
      </c>
      <c r="C704" s="2883">
        <v>51229</v>
      </c>
      <c r="D704" s="2882">
        <v>4910.7644804794454</v>
      </c>
    </row>
    <row r="705" spans="1:4" ht="20.25">
      <c r="A705" t="s">
        <v>804</v>
      </c>
      <c r="B705" s="2883">
        <v>0</v>
      </c>
      <c r="C705" s="2883">
        <v>21713</v>
      </c>
      <c r="D705" s="2882">
        <v>5101.6970122686162</v>
      </c>
    </row>
    <row r="706" spans="1:4" ht="20.25">
      <c r="A706" t="s">
        <v>1495</v>
      </c>
      <c r="B706" s="2883">
        <v>0</v>
      </c>
      <c r="C706" s="2883">
        <v>1258</v>
      </c>
      <c r="D706" s="2882">
        <v>4751.7114006383881</v>
      </c>
    </row>
    <row r="707" spans="1:4" ht="20.25">
      <c r="A707" t="s">
        <v>1496</v>
      </c>
      <c r="B707" s="2883">
        <v>0</v>
      </c>
      <c r="C707" s="2883">
        <v>23268</v>
      </c>
      <c r="D707" s="2882">
        <v>6485.2061812546563</v>
      </c>
    </row>
    <row r="708" spans="1:4" ht="20.25">
      <c r="A708" t="s">
        <v>1272</v>
      </c>
      <c r="B708" s="2883">
        <v>0</v>
      </c>
      <c r="C708" s="2883">
        <v>33056</v>
      </c>
      <c r="D708" s="2882">
        <v>5075.4533689104765</v>
      </c>
    </row>
    <row r="709" spans="1:4" ht="20.25">
      <c r="A709" t="s">
        <v>1531</v>
      </c>
      <c r="B709" s="2883">
        <v>0</v>
      </c>
      <c r="C709" s="2883">
        <v>46332</v>
      </c>
      <c r="D709" s="2882">
        <v>5467.5477892507279</v>
      </c>
    </row>
    <row r="710" spans="1:4" ht="20.25">
      <c r="A710" t="s">
        <v>2311</v>
      </c>
      <c r="B710" s="2883">
        <v>475084</v>
      </c>
      <c r="C710" s="2883">
        <v>5019200</v>
      </c>
      <c r="D710" s="2882">
        <v>5318.5354392473246</v>
      </c>
    </row>
    <row r="711" spans="1:4" ht="20.25">
      <c r="A711" t="s">
        <v>1532</v>
      </c>
      <c r="B711" s="2883">
        <v>0</v>
      </c>
      <c r="C711" s="2883">
        <v>927420</v>
      </c>
      <c r="D711" s="2882">
        <v>5792.9916143105838</v>
      </c>
    </row>
    <row r="712" spans="1:4" ht="20.25">
      <c r="A712" t="s">
        <v>1182</v>
      </c>
      <c r="B712" s="2883">
        <v>11494</v>
      </c>
      <c r="C712" s="2883">
        <v>742187</v>
      </c>
      <c r="D712" s="2882">
        <v>5232.4256088220709</v>
      </c>
    </row>
    <row r="713" spans="1:4" ht="20.25">
      <c r="A713" t="s">
        <v>346</v>
      </c>
      <c r="B713" s="2883">
        <v>21947</v>
      </c>
      <c r="C713" s="2883">
        <v>1369831</v>
      </c>
      <c r="D713" s="2882">
        <v>5188.1652448952855</v>
      </c>
    </row>
    <row r="714" spans="1:4" ht="20.25">
      <c r="A714" t="s">
        <v>1508</v>
      </c>
      <c r="B714" s="2883">
        <v>139299</v>
      </c>
      <c r="C714" s="2883">
        <v>427200</v>
      </c>
      <c r="D714" s="2882">
        <v>4882.3137749335228</v>
      </c>
    </row>
    <row r="715" spans="1:4" ht="20.25">
      <c r="A715" t="s">
        <v>703</v>
      </c>
      <c r="B715" s="2883">
        <v>0</v>
      </c>
      <c r="C715" s="2883">
        <v>1124344</v>
      </c>
      <c r="D715" s="2882">
        <v>5066.0320797102668</v>
      </c>
    </row>
    <row r="716" spans="1:4" ht="20.25">
      <c r="A716" t="s">
        <v>1868</v>
      </c>
      <c r="B716" s="2883">
        <v>0</v>
      </c>
      <c r="C716" s="2883">
        <v>183031</v>
      </c>
      <c r="D716" s="2882">
        <v>5666.1287928881329</v>
      </c>
    </row>
    <row r="717" spans="1:4" ht="20.25">
      <c r="A717" t="s">
        <v>1869</v>
      </c>
      <c r="B717" s="2883">
        <v>0</v>
      </c>
      <c r="C717" s="2883">
        <v>27965</v>
      </c>
      <c r="D717" s="2882">
        <v>5893.7001067778519</v>
      </c>
    </row>
    <row r="718" spans="1:4" ht="20.25">
      <c r="A718" t="s">
        <v>1870</v>
      </c>
      <c r="B718" s="2883">
        <v>0</v>
      </c>
      <c r="C718" s="2883">
        <v>183105</v>
      </c>
      <c r="D718" s="2882">
        <v>5447.9023443082642</v>
      </c>
    </row>
    <row r="719" spans="1:4" ht="20.25">
      <c r="A719" t="s">
        <v>1871</v>
      </c>
      <c r="B719" s="2883">
        <v>0</v>
      </c>
      <c r="C719" s="2883">
        <v>128791</v>
      </c>
      <c r="D719" s="2882">
        <v>4656.5297843162771</v>
      </c>
    </row>
    <row r="720" spans="1:4" ht="20.25">
      <c r="A720" t="s">
        <v>2353</v>
      </c>
      <c r="B720" s="2883">
        <v>0</v>
      </c>
      <c r="C720" s="2883">
        <v>59783</v>
      </c>
      <c r="D720" s="2882">
        <v>4937.5710518605329</v>
      </c>
    </row>
    <row r="721" spans="1:4" ht="20.25">
      <c r="A721" t="s">
        <v>704</v>
      </c>
      <c r="B721" s="2883">
        <v>0</v>
      </c>
      <c r="C721" s="2883">
        <v>30874</v>
      </c>
      <c r="D721" s="2882">
        <v>4890.0427084537778</v>
      </c>
    </row>
    <row r="722" spans="1:4" ht="20.25">
      <c r="A722" t="s">
        <v>524</v>
      </c>
      <c r="B722" s="2883">
        <v>0</v>
      </c>
      <c r="C722" s="2883">
        <v>45333</v>
      </c>
      <c r="D722" s="2882">
        <v>7224.7013802807014</v>
      </c>
    </row>
    <row r="723" spans="1:4" ht="20.25">
      <c r="A723" t="s">
        <v>705</v>
      </c>
      <c r="B723" s="2883">
        <v>0</v>
      </c>
      <c r="C723" s="2883">
        <v>231038</v>
      </c>
      <c r="D723" s="2882">
        <v>5988.578284197738</v>
      </c>
    </row>
    <row r="724" spans="1:4" ht="20.25">
      <c r="A724" t="s">
        <v>525</v>
      </c>
      <c r="B724" s="2883">
        <v>0</v>
      </c>
      <c r="C724" s="2883">
        <v>543219</v>
      </c>
      <c r="D724" s="2882">
        <v>4645.5828392570602</v>
      </c>
    </row>
    <row r="725" spans="1:4" ht="20.25">
      <c r="A725" t="s">
        <v>376</v>
      </c>
      <c r="B725" s="2883">
        <v>0</v>
      </c>
      <c r="C725" s="2883">
        <v>61515</v>
      </c>
      <c r="D725" s="2882">
        <v>4840.77954177845</v>
      </c>
    </row>
    <row r="726" spans="1:4" ht="20.25">
      <c r="A726" t="s">
        <v>526</v>
      </c>
      <c r="B726" s="2883">
        <v>0</v>
      </c>
      <c r="C726" s="2883">
        <v>48364</v>
      </c>
      <c r="D726" s="2882">
        <v>4809.5151410341596</v>
      </c>
    </row>
    <row r="727" spans="1:4" ht="20.25">
      <c r="A727" t="s">
        <v>527</v>
      </c>
      <c r="B727" s="2883">
        <v>0</v>
      </c>
      <c r="C727" s="2883">
        <v>28826</v>
      </c>
      <c r="D727" s="2882">
        <v>4659.0674958266291</v>
      </c>
    </row>
    <row r="728" spans="1:4" ht="20.25">
      <c r="A728" t="s">
        <v>774</v>
      </c>
      <c r="B728" s="2883">
        <v>0</v>
      </c>
      <c r="C728" s="2883">
        <v>27308</v>
      </c>
      <c r="D728" s="2882">
        <v>4078.2107667655382</v>
      </c>
    </row>
    <row r="729" spans="1:4" ht="20.25">
      <c r="A729" t="s">
        <v>528</v>
      </c>
      <c r="B729" s="2883">
        <v>0</v>
      </c>
      <c r="C729" s="2883">
        <v>35015</v>
      </c>
      <c r="D729" s="2882">
        <v>6015.6525674589229</v>
      </c>
    </row>
    <row r="730" spans="1:4" ht="20.25">
      <c r="A730" t="s">
        <v>529</v>
      </c>
      <c r="B730" s="2883">
        <v>0</v>
      </c>
      <c r="C730" s="2883">
        <v>110895</v>
      </c>
      <c r="D730" s="2882">
        <v>4762.5587255193759</v>
      </c>
    </row>
    <row r="731" spans="1:4" ht="20.25">
      <c r="A731" t="s">
        <v>2400</v>
      </c>
      <c r="B731" s="2883">
        <v>0</v>
      </c>
      <c r="C731" s="2883">
        <v>339823</v>
      </c>
      <c r="D731" s="2882">
        <v>4660.9089029898687</v>
      </c>
    </row>
    <row r="732" spans="1:4" ht="20.25">
      <c r="A732" t="s">
        <v>2407</v>
      </c>
      <c r="B732" s="2883">
        <v>0</v>
      </c>
      <c r="C732" s="2883">
        <v>76371</v>
      </c>
      <c r="D732" s="2882">
        <v>4701.3787942773743</v>
      </c>
    </row>
    <row r="733" spans="1:4" ht="20.25">
      <c r="A733" t="s">
        <v>19</v>
      </c>
      <c r="B733" s="2883">
        <v>0</v>
      </c>
      <c r="C733" s="2883">
        <v>36675</v>
      </c>
      <c r="D733" s="2882">
        <v>4900.0977122472568</v>
      </c>
    </row>
    <row r="734" spans="1:4" ht="20.25">
      <c r="A734" t="s">
        <v>706</v>
      </c>
      <c r="B734" s="2883">
        <v>0</v>
      </c>
      <c r="C734" s="2883">
        <v>65386</v>
      </c>
      <c r="D734" s="2882">
        <v>4805.4691967866866</v>
      </c>
    </row>
    <row r="735" spans="1:4" ht="20.25">
      <c r="A735" t="s">
        <v>20</v>
      </c>
      <c r="B735" s="2883">
        <v>20315</v>
      </c>
      <c r="C735" s="2883">
        <v>65842</v>
      </c>
      <c r="D735" s="2882">
        <v>5430.7688935355454</v>
      </c>
    </row>
    <row r="736" spans="1:4" ht="20.25">
      <c r="A736" t="s">
        <v>2085</v>
      </c>
      <c r="B736" s="2883">
        <v>0</v>
      </c>
      <c r="C736" s="2883">
        <v>56020</v>
      </c>
      <c r="D736" s="2882">
        <v>4707.4368542329985</v>
      </c>
    </row>
    <row r="737" spans="1:4" ht="20.25">
      <c r="A737" t="s">
        <v>21</v>
      </c>
      <c r="B737" s="2883">
        <v>0</v>
      </c>
      <c r="C737" s="2883">
        <v>87402</v>
      </c>
      <c r="D737" s="2882">
        <v>4682.3720552396426</v>
      </c>
    </row>
    <row r="738" spans="1:4" ht="20.25">
      <c r="A738" t="s">
        <v>1021</v>
      </c>
      <c r="B738" s="2883">
        <v>0</v>
      </c>
      <c r="C738" s="2883">
        <v>157581</v>
      </c>
      <c r="D738" s="2882">
        <v>4740.4604920611437</v>
      </c>
    </row>
    <row r="739" spans="1:4" ht="20.25">
      <c r="A739" t="s">
        <v>1991</v>
      </c>
      <c r="B739" s="2883">
        <v>0</v>
      </c>
      <c r="C739" s="2883">
        <v>53453</v>
      </c>
      <c r="D739" s="2882">
        <v>5296.7874299944042</v>
      </c>
    </row>
    <row r="740" spans="1:4" ht="20.25">
      <c r="A740" t="s">
        <v>1543</v>
      </c>
      <c r="B740" s="2883">
        <v>0</v>
      </c>
      <c r="C740" s="2883">
        <v>7719</v>
      </c>
      <c r="D740" s="2882">
        <v>5048.516739652493</v>
      </c>
    </row>
    <row r="741" spans="1:4" ht="20.25">
      <c r="A741" t="s">
        <v>1878</v>
      </c>
      <c r="B741" s="2883">
        <v>0</v>
      </c>
      <c r="C741" s="2883">
        <v>95296</v>
      </c>
      <c r="D741" s="2882">
        <v>4984.3241701264024</v>
      </c>
    </row>
    <row r="742" spans="1:4" ht="20.25">
      <c r="A742" t="s">
        <v>2309</v>
      </c>
      <c r="B742" s="2883">
        <v>0</v>
      </c>
      <c r="C742" s="2883">
        <v>57066</v>
      </c>
      <c r="D742" s="2882">
        <v>7636.1817250967888</v>
      </c>
    </row>
    <row r="743" spans="1:4" ht="20.25">
      <c r="A743" t="s">
        <v>424</v>
      </c>
      <c r="B743" s="2883">
        <v>0</v>
      </c>
      <c r="C743" s="2883">
        <v>11957</v>
      </c>
      <c r="D743" s="2882">
        <v>5876.3740795287185</v>
      </c>
    </row>
    <row r="744" spans="1:4" ht="20.25">
      <c r="A744" t="s">
        <v>2498</v>
      </c>
      <c r="B744" s="2883">
        <v>0</v>
      </c>
      <c r="C744" s="2883">
        <v>12871</v>
      </c>
      <c r="D744" s="2882">
        <v>4811.7438358262298</v>
      </c>
    </row>
    <row r="745" spans="1:4" ht="20.25">
      <c r="A745" t="s">
        <v>1172</v>
      </c>
      <c r="B745" s="2883">
        <v>0</v>
      </c>
      <c r="C745" s="2883">
        <v>89581</v>
      </c>
      <c r="D745" s="2882">
        <v>4957.8870132256361</v>
      </c>
    </row>
    <row r="746" spans="1:4" ht="20.25">
      <c r="A746" t="s">
        <v>1173</v>
      </c>
      <c r="B746" s="2883">
        <v>0</v>
      </c>
      <c r="C746" s="2883">
        <v>248445</v>
      </c>
      <c r="D746" s="2882">
        <v>4953.3523602731129</v>
      </c>
    </row>
    <row r="747" spans="1:4" ht="20.25">
      <c r="A747" t="s">
        <v>2399</v>
      </c>
      <c r="B747" s="2883">
        <v>0</v>
      </c>
      <c r="C747" s="2883">
        <v>1744156</v>
      </c>
      <c r="D747" s="2882">
        <v>4881.8253023766674</v>
      </c>
    </row>
    <row r="748" spans="1:4" ht="20.25">
      <c r="A748" t="s">
        <v>570</v>
      </c>
      <c r="B748" s="2883">
        <v>0</v>
      </c>
      <c r="C748" s="2883">
        <v>47395</v>
      </c>
      <c r="D748" s="2882">
        <v>9548.3772555992255</v>
      </c>
    </row>
    <row r="749" spans="1:4" ht="20.25">
      <c r="A749" t="s">
        <v>579</v>
      </c>
      <c r="B749" s="2883">
        <v>0</v>
      </c>
      <c r="C749" s="2883">
        <v>44965</v>
      </c>
      <c r="D749" s="2882">
        <v>6134.5325997092114</v>
      </c>
    </row>
    <row r="750" spans="1:4" ht="20.25">
      <c r="A750" t="s">
        <v>580</v>
      </c>
      <c r="B750" s="2883">
        <v>0</v>
      </c>
      <c r="C750" s="2883">
        <v>5386</v>
      </c>
      <c r="D750" s="2882">
        <v>7093.51086239294</v>
      </c>
    </row>
    <row r="751" spans="1:4" ht="20.25">
      <c r="A751" t="s">
        <v>165</v>
      </c>
      <c r="B751" s="2883">
        <v>41885</v>
      </c>
      <c r="C751" s="2883">
        <v>112572</v>
      </c>
      <c r="D751" s="2882">
        <v>4785.296756003253</v>
      </c>
    </row>
    <row r="752" spans="1:4" ht="20.25">
      <c r="A752" t="s">
        <v>767</v>
      </c>
      <c r="B752" s="2883">
        <v>0</v>
      </c>
      <c r="C752" s="2883">
        <v>187359</v>
      </c>
      <c r="D752" s="2882">
        <v>4902.4353946563233</v>
      </c>
    </row>
    <row r="753" spans="1:4" ht="20.25">
      <c r="A753" t="s">
        <v>964</v>
      </c>
      <c r="B753" s="2883">
        <v>0</v>
      </c>
      <c r="C753" s="2883">
        <v>102881</v>
      </c>
      <c r="D753" s="2882">
        <v>5007.6692114516945</v>
      </c>
    </row>
    <row r="754" spans="1:4" ht="20.25">
      <c r="A754" t="s">
        <v>2138</v>
      </c>
      <c r="B754" s="2883">
        <v>0</v>
      </c>
      <c r="C754" s="2883">
        <v>395114</v>
      </c>
      <c r="D754" s="2882">
        <v>5311.3389995522029</v>
      </c>
    </row>
    <row r="755" spans="1:4" ht="20.25">
      <c r="A755" t="s">
        <v>2139</v>
      </c>
      <c r="B755" s="2883">
        <v>0</v>
      </c>
      <c r="C755" s="2883">
        <v>67806</v>
      </c>
      <c r="D755" s="2882">
        <v>4865.0180963129405</v>
      </c>
    </row>
    <row r="756" spans="1:4" ht="20.25">
      <c r="A756" t="s">
        <v>209</v>
      </c>
      <c r="B756" s="2883">
        <v>0</v>
      </c>
      <c r="C756" s="2883">
        <v>54133</v>
      </c>
      <c r="D756" s="2882">
        <v>5023.6601435183866</v>
      </c>
    </row>
    <row r="757" spans="1:4" ht="20.25">
      <c r="A757" t="s">
        <v>971</v>
      </c>
      <c r="B757" s="2883">
        <v>0</v>
      </c>
      <c r="C757" s="2883">
        <v>42839</v>
      </c>
      <c r="D757" s="2882">
        <v>4912.0112204494953</v>
      </c>
    </row>
    <row r="758" spans="1:4" ht="20.25">
      <c r="A758" t="s">
        <v>972</v>
      </c>
      <c r="B758" s="2883">
        <v>0</v>
      </c>
      <c r="C758" s="2883">
        <v>65037</v>
      </c>
      <c r="D758" s="2882">
        <v>4722.2738992498389</v>
      </c>
    </row>
    <row r="759" spans="1:4" ht="20.25">
      <c r="A759" t="s">
        <v>973</v>
      </c>
      <c r="B759" s="2883">
        <v>0</v>
      </c>
      <c r="C759" s="2883">
        <v>29741</v>
      </c>
      <c r="D759" s="2882">
        <v>5438.0397171656386</v>
      </c>
    </row>
    <row r="760" spans="1:4" ht="20.25">
      <c r="A760" t="s">
        <v>1951</v>
      </c>
      <c r="B760" s="2883">
        <v>0</v>
      </c>
      <c r="C760" s="2883">
        <v>110127</v>
      </c>
      <c r="D760" s="2882">
        <v>4933.4167818777378</v>
      </c>
    </row>
    <row r="761" spans="1:4" ht="20.25">
      <c r="A761" t="s">
        <v>974</v>
      </c>
      <c r="B761" s="2883">
        <v>0</v>
      </c>
      <c r="C761" s="2883">
        <v>198343</v>
      </c>
      <c r="D761" s="2882">
        <v>4627.0534712617646</v>
      </c>
    </row>
    <row r="762" spans="1:4" ht="20.25">
      <c r="A762" t="s">
        <v>975</v>
      </c>
      <c r="B762" s="2883">
        <v>0</v>
      </c>
      <c r="C762" s="2883">
        <v>222052</v>
      </c>
      <c r="D762" s="2882">
        <v>5051.6692188017996</v>
      </c>
    </row>
    <row r="763" spans="1:4" ht="20.25">
      <c r="A763" t="s">
        <v>1466</v>
      </c>
      <c r="B763" s="2883">
        <v>0</v>
      </c>
      <c r="C763" s="2883">
        <v>418461</v>
      </c>
      <c r="D763" s="2882">
        <v>4780.8528987155469</v>
      </c>
    </row>
    <row r="764" spans="1:4" ht="20.25">
      <c r="A764" t="s">
        <v>1092</v>
      </c>
      <c r="B764" s="2883">
        <v>0</v>
      </c>
      <c r="C764" s="2883">
        <v>365152</v>
      </c>
      <c r="D764" s="2882">
        <v>4810.2122533809561</v>
      </c>
    </row>
    <row r="765" spans="1:4" ht="20.25">
      <c r="A765" t="s">
        <v>1093</v>
      </c>
      <c r="B765" s="2883">
        <v>0</v>
      </c>
      <c r="C765" s="2883">
        <v>22350</v>
      </c>
      <c r="D765" s="2882">
        <v>5921.2127925366613</v>
      </c>
    </row>
    <row r="766" spans="1:4" ht="20.25">
      <c r="A766" t="s">
        <v>1094</v>
      </c>
      <c r="B766" s="2883">
        <v>0</v>
      </c>
      <c r="C766" s="2883">
        <v>38761</v>
      </c>
      <c r="D766" s="2882">
        <v>5924.0098277365414</v>
      </c>
    </row>
    <row r="767" spans="1:4" ht="20.25">
      <c r="A767" t="s">
        <v>2537</v>
      </c>
      <c r="B767" s="2883">
        <v>0</v>
      </c>
      <c r="C767" s="2883">
        <v>369676</v>
      </c>
      <c r="D767" s="2882">
        <v>4992.3973857569063</v>
      </c>
    </row>
    <row r="768" spans="1:4" ht="20.25">
      <c r="A768" t="s">
        <v>1353</v>
      </c>
      <c r="B768" s="2883">
        <v>0</v>
      </c>
      <c r="C768" s="2883">
        <v>57554</v>
      </c>
      <c r="D768" s="2882">
        <v>4875.1992025071868</v>
      </c>
    </row>
    <row r="769" spans="1:4" ht="20.25">
      <c r="A769" t="s">
        <v>1354</v>
      </c>
      <c r="B769" s="2883">
        <v>0</v>
      </c>
      <c r="C769" s="2883">
        <v>7259</v>
      </c>
      <c r="D769" s="2882">
        <v>4895.160732005631</v>
      </c>
    </row>
    <row r="770" spans="1:4" ht="20.25">
      <c r="A770" t="s">
        <v>1355</v>
      </c>
      <c r="B770" s="2883">
        <v>0</v>
      </c>
      <c r="C770" s="2883">
        <v>18535</v>
      </c>
      <c r="D770" s="2882">
        <v>6928.6343095252059</v>
      </c>
    </row>
    <row r="771" spans="1:4" ht="20.25">
      <c r="A771" t="s">
        <v>1356</v>
      </c>
      <c r="B771" s="2883">
        <v>0</v>
      </c>
      <c r="C771" s="2883">
        <v>31192</v>
      </c>
      <c r="D771" s="2882">
        <v>6874.6560741912799</v>
      </c>
    </row>
    <row r="772" spans="1:4" ht="20.25">
      <c r="A772" t="s">
        <v>1357</v>
      </c>
      <c r="B772" s="2883">
        <v>0</v>
      </c>
      <c r="C772" s="2883">
        <v>295379</v>
      </c>
      <c r="D772" s="2882">
        <v>6816.2981005558431</v>
      </c>
    </row>
    <row r="773" spans="1:4" ht="20.25">
      <c r="A773" t="s">
        <v>2579</v>
      </c>
      <c r="B773" s="2883">
        <v>0</v>
      </c>
      <c r="C773" s="2883">
        <v>48458</v>
      </c>
      <c r="D773" s="2882">
        <v>5965.4795786008117</v>
      </c>
    </row>
    <row r="774" spans="1:4" ht="20.25">
      <c r="A774" t="s">
        <v>707</v>
      </c>
      <c r="B774" s="2883">
        <v>0</v>
      </c>
      <c r="C774" s="2883">
        <v>55662</v>
      </c>
      <c r="D774" s="2882">
        <v>4985.4393705620705</v>
      </c>
    </row>
    <row r="775" spans="1:4" ht="20.25">
      <c r="A775" t="s">
        <v>1510</v>
      </c>
      <c r="B775" s="2883">
        <v>0</v>
      </c>
      <c r="C775" s="2883">
        <v>333795</v>
      </c>
      <c r="D775" s="2882">
        <v>5011.7825818040956</v>
      </c>
    </row>
    <row r="776" spans="1:4" ht="20.25">
      <c r="A776" t="s">
        <v>1467</v>
      </c>
      <c r="B776" s="2883">
        <v>0</v>
      </c>
      <c r="C776" s="2883">
        <v>621158</v>
      </c>
      <c r="D776" s="2882">
        <v>5309.8089227266992</v>
      </c>
    </row>
    <row r="777" spans="1:4" ht="20.25">
      <c r="A777" t="s">
        <v>2536</v>
      </c>
      <c r="B777" s="2883">
        <v>5442</v>
      </c>
      <c r="C777" s="2883">
        <v>63284</v>
      </c>
      <c r="D777" s="2882">
        <v>4930.2192502298449</v>
      </c>
    </row>
    <row r="778" spans="1:4" ht="20.25">
      <c r="A778" t="s">
        <v>1383</v>
      </c>
      <c r="B778" s="2883">
        <v>0</v>
      </c>
      <c r="C778" s="2883">
        <v>0</v>
      </c>
      <c r="D778" s="2882">
        <v>5785.7762980638008</v>
      </c>
    </row>
    <row r="779" spans="1:4" ht="20.25">
      <c r="A779" t="s">
        <v>208</v>
      </c>
      <c r="B779" s="2883">
        <v>0</v>
      </c>
      <c r="C779" s="2883">
        <v>64614</v>
      </c>
      <c r="D779" s="2882">
        <v>5121.9965302521714</v>
      </c>
    </row>
    <row r="780" spans="1:4" ht="20.25">
      <c r="A780" t="s">
        <v>1877</v>
      </c>
      <c r="B780" s="2883">
        <v>62707</v>
      </c>
      <c r="C780" s="2883">
        <v>53255</v>
      </c>
      <c r="D780" s="2882">
        <v>5382.0980173242142</v>
      </c>
    </row>
    <row r="781" spans="1:4" ht="20.25">
      <c r="A781" t="s">
        <v>1634</v>
      </c>
      <c r="B781" s="2883">
        <v>0</v>
      </c>
      <c r="C781" s="2883">
        <v>28100</v>
      </c>
      <c r="D781" s="2882">
        <v>5917.4391494609936</v>
      </c>
    </row>
    <row r="782" spans="1:4" ht="20.25">
      <c r="A782" t="s">
        <v>1635</v>
      </c>
      <c r="B782" s="2883">
        <v>0</v>
      </c>
      <c r="C782" s="2883">
        <v>18713</v>
      </c>
      <c r="D782" s="2882">
        <v>4431.7935330672071</v>
      </c>
    </row>
    <row r="783" spans="1:4" ht="20.25">
      <c r="A783" t="s">
        <v>1636</v>
      </c>
      <c r="B783" s="2883">
        <v>0</v>
      </c>
      <c r="C783" s="2883">
        <v>39117</v>
      </c>
      <c r="D783" s="2882">
        <v>4676.0444876172533</v>
      </c>
    </row>
    <row r="784" spans="1:4" ht="20.25">
      <c r="A784" t="s">
        <v>1637</v>
      </c>
      <c r="B784" s="2883">
        <v>0</v>
      </c>
      <c r="C784" s="2883">
        <v>41353</v>
      </c>
      <c r="D784" s="2882">
        <v>4946.5019865165432</v>
      </c>
    </row>
    <row r="785" spans="1:4" ht="20.25">
      <c r="A785" t="s">
        <v>1638</v>
      </c>
      <c r="B785" s="2883">
        <v>0</v>
      </c>
      <c r="C785" s="2883">
        <v>31377</v>
      </c>
      <c r="D785" s="2882">
        <v>5409.1797437443129</v>
      </c>
    </row>
    <row r="786" spans="1:4" ht="20.25">
      <c r="A786" t="s">
        <v>1874</v>
      </c>
      <c r="B786" s="2883">
        <v>0</v>
      </c>
      <c r="C786" s="2883">
        <v>15678</v>
      </c>
      <c r="D786" s="2882">
        <v>6556.8142899545637</v>
      </c>
    </row>
    <row r="787" spans="1:4" ht="20.25">
      <c r="A787" t="s">
        <v>2302</v>
      </c>
      <c r="B787" s="2883">
        <v>0</v>
      </c>
      <c r="C787" s="2883">
        <v>192724</v>
      </c>
      <c r="D787" s="2882">
        <v>6603.2684826023951</v>
      </c>
    </row>
    <row r="788" spans="1:4" ht="20.25">
      <c r="A788" t="s">
        <v>2291</v>
      </c>
      <c r="B788" s="2883">
        <v>0</v>
      </c>
      <c r="C788" s="2883">
        <v>66758</v>
      </c>
      <c r="D788" s="2882">
        <v>7292.6884641866873</v>
      </c>
    </row>
    <row r="789" spans="1:4" ht="20.25">
      <c r="A789" t="s">
        <v>1302</v>
      </c>
      <c r="B789" s="2883">
        <v>0</v>
      </c>
      <c r="C789" s="2883">
        <v>117853</v>
      </c>
      <c r="D789" s="2882">
        <v>5145.6123079927102</v>
      </c>
    </row>
    <row r="790" spans="1:4" ht="20.25">
      <c r="A790" t="s">
        <v>692</v>
      </c>
      <c r="B790" s="2883">
        <v>0</v>
      </c>
      <c r="C790" s="2883">
        <v>20044</v>
      </c>
      <c r="D790" s="2882">
        <v>4942.9245154801702</v>
      </c>
    </row>
    <row r="791" spans="1:4" ht="20.25">
      <c r="A791" t="s">
        <v>2548</v>
      </c>
      <c r="B791" s="2883">
        <v>0</v>
      </c>
      <c r="C791" s="2883">
        <v>143827</v>
      </c>
      <c r="D791" s="2882">
        <v>4772.1721687192949</v>
      </c>
    </row>
    <row r="792" spans="1:4" ht="20.25">
      <c r="A792" t="s">
        <v>693</v>
      </c>
      <c r="B792" s="2883">
        <v>0</v>
      </c>
      <c r="C792" s="2883">
        <v>24766</v>
      </c>
      <c r="D792" s="2882">
        <v>5355.0125489974898</v>
      </c>
    </row>
    <row r="793" spans="1:4" ht="20.25">
      <c r="A793" t="s">
        <v>1773</v>
      </c>
      <c r="B793" s="2883">
        <v>0</v>
      </c>
      <c r="C793" s="2883">
        <v>620594</v>
      </c>
      <c r="D793" s="2882">
        <v>4900.7705564991502</v>
      </c>
    </row>
    <row r="794" spans="1:4" ht="20.25">
      <c r="A794" t="s">
        <v>1213</v>
      </c>
      <c r="B794" s="2883">
        <v>0</v>
      </c>
      <c r="C794" s="2883">
        <v>103281</v>
      </c>
      <c r="D794" s="2882">
        <v>4876.0891121646227</v>
      </c>
    </row>
    <row r="795" spans="1:4" ht="20.25">
      <c r="A795" t="s">
        <v>1639</v>
      </c>
      <c r="B795" s="2883">
        <v>0</v>
      </c>
      <c r="C795" s="2883">
        <v>857377</v>
      </c>
      <c r="D795" s="2882">
        <v>4827.4772143602659</v>
      </c>
    </row>
    <row r="796" spans="1:4" ht="20.25">
      <c r="A796" t="s">
        <v>199</v>
      </c>
      <c r="B796" s="2883">
        <v>0</v>
      </c>
      <c r="C796" s="2883">
        <v>99782</v>
      </c>
      <c r="D796" s="2882">
        <v>4818.3617291331639</v>
      </c>
    </row>
    <row r="797" spans="1:4" ht="20.25">
      <c r="A797" t="s">
        <v>572</v>
      </c>
      <c r="B797" s="2883">
        <v>0</v>
      </c>
      <c r="C797" s="2883">
        <v>96407</v>
      </c>
      <c r="D797" s="2882">
        <v>5718.50045864191</v>
      </c>
    </row>
    <row r="798" spans="1:4" ht="20.25">
      <c r="A798" t="s">
        <v>2181</v>
      </c>
      <c r="B798" s="2883">
        <v>0</v>
      </c>
      <c r="C798" s="2883">
        <v>152474</v>
      </c>
      <c r="D798" s="2882">
        <v>6049.8748051932207</v>
      </c>
    </row>
    <row r="799" spans="1:4" ht="20.25">
      <c r="A799" t="s">
        <v>1468</v>
      </c>
      <c r="B799" s="2883">
        <v>0</v>
      </c>
      <c r="C799" s="2883">
        <v>19853</v>
      </c>
      <c r="D799" s="2882">
        <v>5224.4180556316169</v>
      </c>
    </row>
    <row r="800" spans="1:4" ht="20.25">
      <c r="A800" t="s">
        <v>217</v>
      </c>
      <c r="B800" s="2883">
        <v>0</v>
      </c>
      <c r="C800" s="2883">
        <v>54213</v>
      </c>
      <c r="D800" s="2882">
        <v>6163.8414258891235</v>
      </c>
    </row>
    <row r="801" spans="1:4" ht="20.25">
      <c r="A801" t="s">
        <v>1289</v>
      </c>
      <c r="B801" s="2883">
        <v>0</v>
      </c>
      <c r="C801" s="2883">
        <v>236091</v>
      </c>
      <c r="D801" s="2882">
        <v>5135.0465980214603</v>
      </c>
    </row>
    <row r="802" spans="1:4" ht="20.25">
      <c r="A802" t="s">
        <v>1290</v>
      </c>
      <c r="B802" s="2883">
        <v>156492</v>
      </c>
      <c r="C802" s="2883">
        <v>595908</v>
      </c>
      <c r="D802" s="2882">
        <v>5044.4380338345709</v>
      </c>
    </row>
    <row r="803" spans="1:4" ht="20.25">
      <c r="A803" t="s">
        <v>2522</v>
      </c>
      <c r="B803" s="2883">
        <v>0</v>
      </c>
      <c r="C803" s="2883">
        <v>45089</v>
      </c>
      <c r="D803" s="2882">
        <v>6328.5359478718256</v>
      </c>
    </row>
    <row r="804" spans="1:4" ht="20.25">
      <c r="A804" t="s">
        <v>792</v>
      </c>
      <c r="B804" s="2883">
        <v>0</v>
      </c>
      <c r="C804" s="2883">
        <v>24909</v>
      </c>
      <c r="D804" s="2882">
        <v>5685.7051662030917</v>
      </c>
    </row>
    <row r="805" spans="1:4" ht="20.25">
      <c r="A805" t="s">
        <v>114</v>
      </c>
      <c r="B805" s="2883">
        <v>0</v>
      </c>
      <c r="C805" s="2883">
        <v>51860</v>
      </c>
      <c r="D805" s="2882">
        <v>4597.7121112321638</v>
      </c>
    </row>
    <row r="806" spans="1:4" ht="20.25">
      <c r="A806" t="s">
        <v>2654</v>
      </c>
      <c r="B806" s="2883">
        <v>0</v>
      </c>
      <c r="C806" s="2883">
        <v>116769</v>
      </c>
      <c r="D806" s="2882">
        <v>5164.1798589638811</v>
      </c>
    </row>
    <row r="807" spans="1:4" ht="20.25">
      <c r="A807" t="s">
        <v>2274</v>
      </c>
      <c r="B807" s="2883">
        <v>0</v>
      </c>
      <c r="C807" s="2883">
        <v>122760</v>
      </c>
      <c r="D807" s="2882">
        <v>4868.0020128057095</v>
      </c>
    </row>
    <row r="808" spans="1:4" ht="20.25">
      <c r="A808" t="s">
        <v>377</v>
      </c>
      <c r="B808" s="2883">
        <v>54562</v>
      </c>
      <c r="C808" s="2883">
        <v>50306</v>
      </c>
      <c r="D808" s="2882">
        <v>4625.69154743132</v>
      </c>
    </row>
    <row r="809" spans="1:4" ht="20.25">
      <c r="A809" t="s">
        <v>986</v>
      </c>
      <c r="B809" s="2883">
        <v>0</v>
      </c>
      <c r="C809" s="2883">
        <v>0</v>
      </c>
      <c r="D809" s="2882">
        <v>5752.149552483258</v>
      </c>
    </row>
    <row r="810" spans="1:4" ht="20.25">
      <c r="A810" t="s">
        <v>1716</v>
      </c>
      <c r="B810" s="2883">
        <v>0</v>
      </c>
      <c r="C810" s="2883">
        <v>10541</v>
      </c>
      <c r="D810" s="2882">
        <v>6058.764915271232</v>
      </c>
    </row>
    <row r="811" spans="1:4" ht="20.25">
      <c r="A811" t="s">
        <v>695</v>
      </c>
      <c r="B811" s="2883">
        <v>0</v>
      </c>
      <c r="C811" s="2883">
        <v>23684</v>
      </c>
      <c r="D811" s="2882">
        <v>7934.7767730455653</v>
      </c>
    </row>
    <row r="812" spans="1:4" ht="20.25">
      <c r="A812" t="s">
        <v>696</v>
      </c>
      <c r="B812" s="2883">
        <v>0</v>
      </c>
      <c r="C812" s="2883">
        <v>30334</v>
      </c>
      <c r="D812" s="2882">
        <v>4990.7892327634609</v>
      </c>
    </row>
    <row r="813" spans="1:4" ht="20.25">
      <c r="A813" t="s">
        <v>697</v>
      </c>
      <c r="B813" s="2883">
        <v>0</v>
      </c>
      <c r="C813" s="2883">
        <v>24183</v>
      </c>
      <c r="D813" s="2882">
        <v>5831.6905591318455</v>
      </c>
    </row>
    <row r="814" spans="1:4" ht="20.25">
      <c r="A814" t="s">
        <v>1457</v>
      </c>
      <c r="B814" s="2883">
        <v>0</v>
      </c>
      <c r="C814" s="2883">
        <v>64927</v>
      </c>
      <c r="D814" s="2882">
        <v>8264.1280806702089</v>
      </c>
    </row>
    <row r="815" spans="1:4" ht="20.25">
      <c r="A815" t="s">
        <v>1458</v>
      </c>
      <c r="B815" s="2883">
        <v>0</v>
      </c>
      <c r="C815" s="2883">
        <v>46360</v>
      </c>
      <c r="D815" s="2882">
        <v>7704.683881971273</v>
      </c>
    </row>
    <row r="816" spans="1:4" ht="20.25">
      <c r="A816" t="s">
        <v>1459</v>
      </c>
      <c r="B816" s="2883">
        <v>0</v>
      </c>
      <c r="C816" s="2883">
        <v>0</v>
      </c>
      <c r="D816" s="2882">
        <v>4758.0609871974402</v>
      </c>
    </row>
    <row r="817" spans="1:4" ht="20.25">
      <c r="A817" t="s">
        <v>1460</v>
      </c>
      <c r="B817" s="2883">
        <v>0</v>
      </c>
      <c r="C817" s="2883">
        <v>136049</v>
      </c>
      <c r="D817" s="2882">
        <v>8645.7732032535841</v>
      </c>
    </row>
    <row r="818" spans="1:4" ht="20.25">
      <c r="A818" t="s">
        <v>1461</v>
      </c>
      <c r="B818" s="2883">
        <v>0</v>
      </c>
      <c r="C818" s="2883">
        <v>45575</v>
      </c>
      <c r="D818" s="2882">
        <v>5006.3527627687117</v>
      </c>
    </row>
    <row r="819" spans="1:4" ht="20.25">
      <c r="A819" t="s">
        <v>1462</v>
      </c>
      <c r="B819" s="2883">
        <v>0</v>
      </c>
      <c r="C819" s="2883">
        <v>9841</v>
      </c>
      <c r="D819" s="2882">
        <v>4742.5008807245631</v>
      </c>
    </row>
    <row r="820" spans="1:4" ht="20.25">
      <c r="A820" t="s">
        <v>1672</v>
      </c>
      <c r="B820" s="2883">
        <v>0</v>
      </c>
      <c r="C820" s="2883">
        <v>750855</v>
      </c>
      <c r="D820" s="2882">
        <v>5987.514971024646</v>
      </c>
    </row>
    <row r="821" spans="1:4" ht="20.25">
      <c r="A821" t="s">
        <v>1812</v>
      </c>
      <c r="B821" s="2883">
        <v>82114</v>
      </c>
      <c r="C821" s="2883">
        <v>390867</v>
      </c>
      <c r="D821" s="2882">
        <v>5352.1958650791648</v>
      </c>
    </row>
    <row r="822" spans="1:4" ht="20.25">
      <c r="A822" t="s">
        <v>1673</v>
      </c>
      <c r="B822" s="2883">
        <v>0</v>
      </c>
      <c r="C822" s="2883">
        <v>84115</v>
      </c>
      <c r="D822" s="2882">
        <v>5114.8991336120334</v>
      </c>
    </row>
    <row r="823" spans="1:4" ht="20.25">
      <c r="A823" t="s">
        <v>378</v>
      </c>
      <c r="B823" s="2883">
        <v>0</v>
      </c>
      <c r="C823" s="2883">
        <v>71380</v>
      </c>
      <c r="D823" s="2882">
        <v>5036.265136609135</v>
      </c>
    </row>
    <row r="824" spans="1:4" ht="20.25">
      <c r="A824" t="s">
        <v>1183</v>
      </c>
      <c r="B824" s="2883">
        <v>0</v>
      </c>
      <c r="C824" s="2883">
        <v>32077</v>
      </c>
      <c r="D824" s="2882">
        <v>5177.3794069577398</v>
      </c>
    </row>
    <row r="825" spans="1:4" ht="20.25">
      <c r="A825" t="s">
        <v>379</v>
      </c>
      <c r="B825" s="2883">
        <v>0</v>
      </c>
      <c r="C825" s="2883">
        <v>9516</v>
      </c>
      <c r="D825" s="2882">
        <v>5129.9931316198536</v>
      </c>
    </row>
    <row r="826" spans="1:4" ht="20.25">
      <c r="A826" t="s">
        <v>1674</v>
      </c>
      <c r="B826" s="2883">
        <v>263318</v>
      </c>
      <c r="C826" s="2883">
        <v>353210</v>
      </c>
      <c r="D826" s="2882">
        <v>5636.7491794370289</v>
      </c>
    </row>
    <row r="827" spans="1:4" ht="20.25">
      <c r="A827" t="s">
        <v>1675</v>
      </c>
      <c r="B827" s="2883">
        <v>0</v>
      </c>
      <c r="C827" s="2883">
        <v>41744</v>
      </c>
      <c r="D827" s="2882">
        <v>4960.8570335070845</v>
      </c>
    </row>
    <row r="828" spans="1:4" ht="20.25">
      <c r="A828" t="s">
        <v>1676</v>
      </c>
      <c r="B828" s="2883">
        <v>0</v>
      </c>
      <c r="C828" s="2883">
        <v>12640</v>
      </c>
      <c r="D828" s="2882">
        <v>4787.6075607560761</v>
      </c>
    </row>
    <row r="829" spans="1:4" ht="20.25">
      <c r="A829" t="s">
        <v>2470</v>
      </c>
      <c r="B829" s="2883">
        <v>0</v>
      </c>
      <c r="C829" s="2883">
        <v>47736</v>
      </c>
      <c r="D829" s="2882">
        <v>4459.7209794994606</v>
      </c>
    </row>
    <row r="830" spans="1:4" ht="20.25">
      <c r="A830" t="s">
        <v>2471</v>
      </c>
      <c r="B830" s="2883">
        <v>0</v>
      </c>
      <c r="C830" s="2883">
        <v>22398</v>
      </c>
      <c r="D830" s="2882">
        <v>4587.1162850409</v>
      </c>
    </row>
    <row r="831" spans="1:4" ht="20.25">
      <c r="A831" t="s">
        <v>1677</v>
      </c>
      <c r="B831" s="2883">
        <v>0</v>
      </c>
      <c r="C831" s="2883">
        <v>140813</v>
      </c>
      <c r="D831" s="2882">
        <v>5545.4636426246298</v>
      </c>
    </row>
    <row r="832" spans="1:4" ht="20.25">
      <c r="A832" t="s">
        <v>190</v>
      </c>
      <c r="B832" s="2883">
        <v>0</v>
      </c>
      <c r="C832" s="2883">
        <v>56427</v>
      </c>
      <c r="D832" s="2882">
        <v>4709.5106579568519</v>
      </c>
    </row>
    <row r="833" spans="1:4" ht="20.25">
      <c r="A833" t="s">
        <v>1678</v>
      </c>
      <c r="B833" s="2883">
        <v>0</v>
      </c>
      <c r="C833" s="2883">
        <v>137618</v>
      </c>
      <c r="D833" s="2882">
        <v>5767.0891058487796</v>
      </c>
    </row>
    <row r="834" spans="1:4" ht="20.25">
      <c r="A834" t="s">
        <v>1395</v>
      </c>
      <c r="B834" s="2883">
        <v>0</v>
      </c>
      <c r="C834" s="2883">
        <v>147293</v>
      </c>
      <c r="D834" s="2882">
        <v>4670.7894561672101</v>
      </c>
    </row>
    <row r="835" spans="1:4" ht="20.25">
      <c r="A835" t="s">
        <v>1396</v>
      </c>
      <c r="B835" s="2883">
        <v>0</v>
      </c>
      <c r="C835" s="2883">
        <v>58279</v>
      </c>
      <c r="D835" s="2882">
        <v>4450.8464651860377</v>
      </c>
    </row>
    <row r="836" spans="1:4" ht="20.25">
      <c r="A836" t="s">
        <v>1397</v>
      </c>
      <c r="B836" s="2883">
        <v>0</v>
      </c>
      <c r="C836" s="2883">
        <v>135190</v>
      </c>
      <c r="D836" s="2882">
        <v>4626.3763502685442</v>
      </c>
    </row>
    <row r="837" spans="1:4" ht="20.25">
      <c r="A837" t="s">
        <v>1632</v>
      </c>
      <c r="B837" s="2883">
        <v>0</v>
      </c>
      <c r="C837" s="2883">
        <v>123033</v>
      </c>
      <c r="D837" s="2882">
        <v>4591.5268726534841</v>
      </c>
    </row>
    <row r="838" spans="1:4" ht="20.25">
      <c r="A838" t="s">
        <v>1633</v>
      </c>
      <c r="B838" s="2883">
        <v>0</v>
      </c>
      <c r="C838" s="2883">
        <v>425333</v>
      </c>
      <c r="D838" s="2882">
        <v>5187.1108963883617</v>
      </c>
    </row>
    <row r="839" spans="1:4" ht="20.25">
      <c r="A839" t="s">
        <v>2433</v>
      </c>
      <c r="B839" s="2883">
        <v>0</v>
      </c>
      <c r="C839" s="2883">
        <v>263167</v>
      </c>
      <c r="D839" s="2882">
        <v>4681.1436199442778</v>
      </c>
    </row>
    <row r="840" spans="1:4" ht="20.25">
      <c r="A840" t="s">
        <v>1215</v>
      </c>
      <c r="B840" s="2883">
        <v>0</v>
      </c>
      <c r="C840" s="2883">
        <v>149816</v>
      </c>
      <c r="D840" s="2882">
        <v>5038.5976967888864</v>
      </c>
    </row>
    <row r="841" spans="1:4" ht="20.25">
      <c r="A841" t="s">
        <v>2434</v>
      </c>
      <c r="B841" s="2883">
        <v>0</v>
      </c>
      <c r="C841" s="2883">
        <v>183899</v>
      </c>
      <c r="D841" s="2882">
        <v>4906.1127408984648</v>
      </c>
    </row>
    <row r="842" spans="1:4" ht="20.25">
      <c r="A842" t="s">
        <v>1454</v>
      </c>
      <c r="B842" s="2883">
        <v>0</v>
      </c>
      <c r="C842" s="2883">
        <v>45174</v>
      </c>
      <c r="D842" s="2882">
        <v>5149.7363071832051</v>
      </c>
    </row>
    <row r="843" spans="1:4" ht="20.25">
      <c r="A843" t="s">
        <v>2527</v>
      </c>
      <c r="B843" s="2883">
        <v>0</v>
      </c>
      <c r="C843" s="2883">
        <v>153097</v>
      </c>
      <c r="D843" s="2882">
        <v>4813.7397815297008</v>
      </c>
    </row>
    <row r="844" spans="1:4" ht="20.25">
      <c r="A844" t="s">
        <v>1411</v>
      </c>
      <c r="B844" s="2883">
        <v>0</v>
      </c>
      <c r="C844" s="2883">
        <v>138133</v>
      </c>
      <c r="D844" s="2882">
        <v>4920.9504284181521</v>
      </c>
    </row>
    <row r="845" spans="1:4" ht="20.25">
      <c r="A845" t="s">
        <v>1317</v>
      </c>
      <c r="B845" s="2883">
        <v>0</v>
      </c>
      <c r="C845" s="2883">
        <v>218907</v>
      </c>
      <c r="D845" s="2882">
        <v>4806.5960972090497</v>
      </c>
    </row>
    <row r="846" spans="1:4" ht="20.25">
      <c r="A846" t="s">
        <v>191</v>
      </c>
      <c r="B846" s="2883">
        <v>0</v>
      </c>
      <c r="C846" s="2883">
        <v>77329</v>
      </c>
      <c r="D846" s="2882">
        <v>4927.5284136835517</v>
      </c>
    </row>
    <row r="847" spans="1:4" ht="20.25">
      <c r="A847" t="s">
        <v>489</v>
      </c>
      <c r="B847" s="2883">
        <v>0</v>
      </c>
      <c r="C847" s="2883">
        <v>35589</v>
      </c>
      <c r="D847" s="2882">
        <v>4727.6245408844097</v>
      </c>
    </row>
    <row r="848" spans="1:4" ht="20.25">
      <c r="A848" t="s">
        <v>1455</v>
      </c>
      <c r="B848" s="2883">
        <v>0</v>
      </c>
      <c r="C848" s="2883">
        <v>32021</v>
      </c>
      <c r="D848" s="2882">
        <v>4825.3197247218313</v>
      </c>
    </row>
    <row r="849" spans="1:4" ht="20.25">
      <c r="A849" t="s">
        <v>1456</v>
      </c>
      <c r="B849" s="2883">
        <v>0</v>
      </c>
      <c r="C849" s="2883">
        <v>13649</v>
      </c>
      <c r="D849" s="2882">
        <v>4795.1470460729224</v>
      </c>
    </row>
    <row r="850" spans="1:4" ht="20.25">
      <c r="A850" t="s">
        <v>1377</v>
      </c>
      <c r="B850" s="2883">
        <v>0</v>
      </c>
      <c r="C850" s="2883">
        <v>51103</v>
      </c>
      <c r="D850" s="2882">
        <v>5540.3507869815057</v>
      </c>
    </row>
    <row r="851" spans="1:4" ht="20.25">
      <c r="A851" t="s">
        <v>1378</v>
      </c>
      <c r="B851" s="2883">
        <v>0</v>
      </c>
      <c r="C851" s="2883">
        <v>24038</v>
      </c>
      <c r="D851" s="2882">
        <v>5804.7029002116851</v>
      </c>
    </row>
    <row r="852" spans="1:4" ht="20.25">
      <c r="A852" t="s">
        <v>1379</v>
      </c>
      <c r="B852" s="2883">
        <v>0</v>
      </c>
      <c r="C852" s="2883">
        <v>141622</v>
      </c>
      <c r="D852" s="2882">
        <v>7316.4048991129184</v>
      </c>
    </row>
    <row r="853" spans="1:4" ht="20.25">
      <c r="A853" t="s">
        <v>1473</v>
      </c>
      <c r="B853" s="2883">
        <v>0</v>
      </c>
      <c r="C853" s="2883">
        <v>20649</v>
      </c>
      <c r="D853" s="2882">
        <v>6604.1636522389917</v>
      </c>
    </row>
    <row r="854" spans="1:4" ht="20.25">
      <c r="A854" t="s">
        <v>961</v>
      </c>
      <c r="B854" s="2883">
        <v>0</v>
      </c>
      <c r="C854" s="2883">
        <v>20679</v>
      </c>
      <c r="D854" s="2882">
        <v>4795.9610320871843</v>
      </c>
    </row>
    <row r="855" spans="1:4" ht="20.25">
      <c r="A855" t="s">
        <v>962</v>
      </c>
      <c r="B855" s="2883">
        <v>0</v>
      </c>
      <c r="C855" s="2883">
        <v>8248</v>
      </c>
      <c r="D855" s="2882">
        <v>5064.2284431860435</v>
      </c>
    </row>
    <row r="856" spans="1:4" ht="20.25">
      <c r="A856" t="s">
        <v>963</v>
      </c>
      <c r="B856" s="2883">
        <v>0</v>
      </c>
      <c r="C856" s="2883">
        <v>285315</v>
      </c>
      <c r="D856" s="2882">
        <v>4660.4634240033347</v>
      </c>
    </row>
    <row r="857" spans="1:4" ht="20.25">
      <c r="A857" t="s">
        <v>1089</v>
      </c>
      <c r="B857" s="2883">
        <v>0</v>
      </c>
      <c r="C857" s="2883">
        <v>80881</v>
      </c>
      <c r="D857" s="2882">
        <v>5135.3283070596299</v>
      </c>
    </row>
    <row r="858" spans="1:4" ht="20.25">
      <c r="A858" t="s">
        <v>192</v>
      </c>
      <c r="B858" s="2883">
        <v>0</v>
      </c>
      <c r="C858" s="2883">
        <v>96525</v>
      </c>
      <c r="D858" s="2882">
        <v>5186.2606580508582</v>
      </c>
    </row>
    <row r="859" spans="1:4" ht="20.25">
      <c r="A859" t="s">
        <v>1090</v>
      </c>
      <c r="B859" s="2883">
        <v>0</v>
      </c>
      <c r="C859" s="2883">
        <v>50357</v>
      </c>
      <c r="D859" s="2882">
        <v>5699.0827123113186</v>
      </c>
    </row>
    <row r="860" spans="1:4" ht="20.25">
      <c r="A860" t="s">
        <v>1091</v>
      </c>
      <c r="B860" s="2883">
        <v>0</v>
      </c>
      <c r="C860" s="2883">
        <v>88311</v>
      </c>
      <c r="D860" s="2882">
        <v>5784.263713625679</v>
      </c>
    </row>
    <row r="861" spans="1:4" ht="20.25">
      <c r="A861" t="s">
        <v>1238</v>
      </c>
      <c r="B861" s="2883">
        <v>0</v>
      </c>
      <c r="C861" s="2883">
        <v>12130</v>
      </c>
      <c r="D861" s="2882">
        <v>4995.3709285927725</v>
      </c>
    </row>
    <row r="862" spans="1:4" ht="20.25">
      <c r="A862" t="s">
        <v>1239</v>
      </c>
      <c r="B862" s="2883">
        <v>0</v>
      </c>
      <c r="C862" s="2883">
        <v>22881</v>
      </c>
      <c r="D862" s="2882">
        <v>6032.7731433284207</v>
      </c>
    </row>
    <row r="863" spans="1:4" ht="20.25">
      <c r="A863" t="s">
        <v>1801</v>
      </c>
      <c r="B863" s="2883">
        <v>0</v>
      </c>
      <c r="C863" s="2883">
        <v>49312</v>
      </c>
      <c r="D863" s="2882">
        <v>5511.4870422597978</v>
      </c>
    </row>
    <row r="864" spans="1:4" ht="20.25">
      <c r="A864" t="s">
        <v>274</v>
      </c>
      <c r="B864" s="2883">
        <v>0</v>
      </c>
      <c r="C864" s="2883">
        <v>105396</v>
      </c>
      <c r="D864" s="2882">
        <v>6204.8751696576073</v>
      </c>
    </row>
    <row r="865" spans="1:4" ht="20.25">
      <c r="A865" t="s">
        <v>1727</v>
      </c>
      <c r="B865" s="2883">
        <v>0</v>
      </c>
      <c r="C865" s="2883">
        <v>143705</v>
      </c>
      <c r="D865" s="2882">
        <v>5200.7352041301965</v>
      </c>
    </row>
    <row r="866" spans="1:4" ht="20.25">
      <c r="A866" t="s">
        <v>1728</v>
      </c>
      <c r="B866" s="2883">
        <v>0</v>
      </c>
      <c r="C866" s="2883">
        <v>250848</v>
      </c>
      <c r="D866" s="2882">
        <v>5073.8799517938669</v>
      </c>
    </row>
    <row r="867" spans="1:4" ht="20.25">
      <c r="A867" t="s">
        <v>1006</v>
      </c>
      <c r="B867" s="2883">
        <v>0</v>
      </c>
      <c r="C867" s="2883">
        <v>84033</v>
      </c>
      <c r="D867" s="2882">
        <v>5913.9652970312445</v>
      </c>
    </row>
    <row r="868" spans="1:4" ht="20.25">
      <c r="A868" t="s">
        <v>189</v>
      </c>
      <c r="B868" s="2883">
        <v>0</v>
      </c>
      <c r="C868" s="2883">
        <v>1036265</v>
      </c>
      <c r="D868" s="2882">
        <v>4997.3851407193915</v>
      </c>
    </row>
    <row r="869" spans="1:4" ht="20.25">
      <c r="A869" t="s">
        <v>1181</v>
      </c>
      <c r="B869" s="2883">
        <v>287</v>
      </c>
      <c r="C869" s="2883">
        <v>253091</v>
      </c>
      <c r="D869" s="2882">
        <v>5104.7733114658031</v>
      </c>
    </row>
    <row r="870" spans="1:4" ht="20.25">
      <c r="A870" t="s">
        <v>1340</v>
      </c>
      <c r="B870" s="2883">
        <v>0</v>
      </c>
      <c r="C870" s="2883">
        <v>464016</v>
      </c>
      <c r="D870" s="2882">
        <v>5080.9804844544706</v>
      </c>
    </row>
    <row r="871" spans="1:4" ht="20.25">
      <c r="A871" t="s">
        <v>1341</v>
      </c>
      <c r="B871" s="2883">
        <v>0</v>
      </c>
      <c r="C871" s="2883">
        <v>109974</v>
      </c>
      <c r="D871" s="2882">
        <v>5048.4500184718536</v>
      </c>
    </row>
    <row r="872" spans="1:4" ht="20.25">
      <c r="A872" t="s">
        <v>1342</v>
      </c>
      <c r="B872" s="2883">
        <v>0</v>
      </c>
      <c r="C872" s="2883">
        <v>117957</v>
      </c>
      <c r="D872" s="2882">
        <v>7750.2562748775199</v>
      </c>
    </row>
    <row r="873" spans="1:4" ht="20.25">
      <c r="A873" t="s">
        <v>2653</v>
      </c>
      <c r="B873" s="2883">
        <v>0</v>
      </c>
      <c r="C873" s="2883">
        <v>851182</v>
      </c>
      <c r="D873" s="2882">
        <v>4902.5352644494669</v>
      </c>
    </row>
    <row r="874" spans="1:4" ht="20.25">
      <c r="A874" t="s">
        <v>1729</v>
      </c>
      <c r="B874" s="2883">
        <v>0</v>
      </c>
      <c r="C874" s="2883">
        <v>0</v>
      </c>
      <c r="D874" s="2882">
        <v>6169.8372887071619</v>
      </c>
    </row>
    <row r="875" spans="1:4" ht="20.25">
      <c r="A875" t="s">
        <v>193</v>
      </c>
      <c r="B875" s="2883">
        <v>0</v>
      </c>
      <c r="C875" s="2883">
        <v>359225</v>
      </c>
      <c r="D875" s="2882">
        <v>4868.775585803689</v>
      </c>
    </row>
    <row r="876" spans="1:4" ht="20.25">
      <c r="A876" t="s">
        <v>1730</v>
      </c>
      <c r="B876" s="2883">
        <v>0</v>
      </c>
      <c r="C876" s="2883">
        <v>91162</v>
      </c>
      <c r="D876" s="2882">
        <v>5380.7619740258733</v>
      </c>
    </row>
    <row r="877" spans="1:4" ht="20.25">
      <c r="A877" t="s">
        <v>2584</v>
      </c>
      <c r="B877" s="2883">
        <v>33492</v>
      </c>
      <c r="C877" s="2883">
        <v>0</v>
      </c>
      <c r="D877" s="2882">
        <v>6723.3573204239174</v>
      </c>
    </row>
    <row r="878" spans="1:4" ht="20.25">
      <c r="A878" t="s">
        <v>750</v>
      </c>
      <c r="B878" s="2883">
        <v>0</v>
      </c>
      <c r="C878" s="2883">
        <v>17052</v>
      </c>
      <c r="D878" s="2882">
        <v>5719.0797122774184</v>
      </c>
    </row>
    <row r="879" spans="1:4" ht="20.25">
      <c r="A879" t="s">
        <v>751</v>
      </c>
      <c r="B879" s="2883">
        <v>0</v>
      </c>
      <c r="C879" s="2883">
        <v>90680</v>
      </c>
      <c r="D879" s="2882">
        <v>7273.883464184295</v>
      </c>
    </row>
    <row r="880" spans="1:4" ht="20.25">
      <c r="A880" t="s">
        <v>802</v>
      </c>
      <c r="B880" s="2883">
        <v>0</v>
      </c>
      <c r="C880" s="2883">
        <v>47969</v>
      </c>
      <c r="D880" s="2882">
        <v>4752.9602956399785</v>
      </c>
    </row>
    <row r="881" spans="1:4" ht="20.25">
      <c r="A881" t="s">
        <v>568</v>
      </c>
      <c r="B881" s="2883">
        <v>0</v>
      </c>
      <c r="C881" s="2883">
        <v>66737</v>
      </c>
      <c r="D881" s="2882">
        <v>4736.5126807559209</v>
      </c>
    </row>
    <row r="882" spans="1:4" ht="20.25">
      <c r="A882" t="s">
        <v>569</v>
      </c>
      <c r="B882" s="2883">
        <v>0</v>
      </c>
      <c r="C882" s="2883">
        <v>22975</v>
      </c>
      <c r="D882" s="2882">
        <v>4862.2534762917621</v>
      </c>
    </row>
    <row r="883" spans="1:4" ht="20.25">
      <c r="A883" t="s">
        <v>2298</v>
      </c>
      <c r="B883" s="2883">
        <v>0</v>
      </c>
      <c r="C883" s="2883">
        <v>2741688</v>
      </c>
      <c r="D883" s="2882">
        <v>4837.0643777660489</v>
      </c>
    </row>
    <row r="884" spans="1:4" ht="20.25">
      <c r="A884" t="s">
        <v>873</v>
      </c>
      <c r="B884" s="2883">
        <v>9622</v>
      </c>
      <c r="C884" s="2883">
        <v>760452</v>
      </c>
      <c r="D884" s="2882">
        <v>4796.5519818813509</v>
      </c>
    </row>
    <row r="885" spans="1:4" ht="20.25">
      <c r="A885" t="s">
        <v>1849</v>
      </c>
      <c r="B885" s="2883">
        <v>100050</v>
      </c>
      <c r="C885" s="2883">
        <v>202564</v>
      </c>
      <c r="D885" s="2882">
        <v>4834.1102813823436</v>
      </c>
    </row>
    <row r="886" spans="1:4" ht="20.25">
      <c r="A886" t="s">
        <v>2018</v>
      </c>
      <c r="B886" s="2883">
        <v>0</v>
      </c>
      <c r="C886" s="2883">
        <v>3304633</v>
      </c>
      <c r="D886" s="2882">
        <v>4985.6415872332464</v>
      </c>
    </row>
    <row r="887" spans="1:4" ht="20.25">
      <c r="A887" t="s">
        <v>2182</v>
      </c>
      <c r="B887" s="2883">
        <v>0</v>
      </c>
      <c r="C887" s="2883">
        <v>366579</v>
      </c>
      <c r="D887" s="2882">
        <v>5510.7822700399938</v>
      </c>
    </row>
    <row r="888" spans="1:4" ht="20.25">
      <c r="A888" t="s">
        <v>50</v>
      </c>
      <c r="B888" s="2883">
        <v>251182</v>
      </c>
      <c r="C888" s="2883">
        <v>1259468</v>
      </c>
      <c r="D888" s="2882">
        <v>5051.4670940484293</v>
      </c>
    </row>
    <row r="889" spans="1:4" ht="20.25">
      <c r="A889" t="s">
        <v>347</v>
      </c>
      <c r="B889" s="2883">
        <v>420131</v>
      </c>
      <c r="C889" s="2883">
        <v>2254940</v>
      </c>
      <c r="D889" s="2882">
        <v>4944.9896816342653</v>
      </c>
    </row>
    <row r="890" spans="1:4" ht="20.25">
      <c r="A890" t="s">
        <v>1767</v>
      </c>
      <c r="B890" s="2883">
        <v>0</v>
      </c>
      <c r="C890" s="2883">
        <v>155418</v>
      </c>
      <c r="D890" s="2882">
        <v>5157.1116039895678</v>
      </c>
    </row>
    <row r="891" spans="1:4" ht="20.25">
      <c r="A891" t="s">
        <v>2405</v>
      </c>
      <c r="B891" s="2883">
        <v>11343</v>
      </c>
      <c r="C891" s="2883">
        <v>1051289</v>
      </c>
      <c r="D891" s="2882">
        <v>4891.0658587142852</v>
      </c>
    </row>
    <row r="892" spans="1:4" ht="20.25">
      <c r="A892" t="s">
        <v>52</v>
      </c>
      <c r="B892" s="2883">
        <v>0</v>
      </c>
      <c r="C892" s="2883">
        <v>185985</v>
      </c>
      <c r="D892" s="2882">
        <v>4803.9573033313445</v>
      </c>
    </row>
    <row r="893" spans="1:4" ht="20.25">
      <c r="A893" t="s">
        <v>1681</v>
      </c>
      <c r="B893" s="2883">
        <v>0</v>
      </c>
      <c r="C893" s="2883">
        <v>401044</v>
      </c>
      <c r="D893" s="2882">
        <v>5324.5041787450518</v>
      </c>
    </row>
    <row r="894" spans="1:4" ht="20.25">
      <c r="A894" t="s">
        <v>1119</v>
      </c>
      <c r="B894" s="2883">
        <v>0</v>
      </c>
      <c r="C894" s="2883">
        <v>607168</v>
      </c>
      <c r="D894" s="2882">
        <v>5295.3878659402053</v>
      </c>
    </row>
    <row r="895" spans="1:4" ht="20.25">
      <c r="A895" t="s">
        <v>1847</v>
      </c>
      <c r="B895" s="2883">
        <v>0</v>
      </c>
      <c r="C895" s="2883">
        <v>68984</v>
      </c>
      <c r="D895" s="2882">
        <v>4770.1057630045325</v>
      </c>
    </row>
    <row r="896" spans="1:4" ht="20.25">
      <c r="A896" t="s">
        <v>2223</v>
      </c>
      <c r="B896" s="2883">
        <v>212243</v>
      </c>
      <c r="C896" s="2883">
        <v>739029</v>
      </c>
      <c r="D896" s="2882">
        <v>5330.4788442118788</v>
      </c>
    </row>
    <row r="897" spans="1:4" ht="20.25">
      <c r="A897" t="s">
        <v>1846</v>
      </c>
      <c r="B897" s="2883">
        <v>0</v>
      </c>
      <c r="C897" s="2883">
        <v>0</v>
      </c>
      <c r="D897" s="2882">
        <v>5880.5690311077942</v>
      </c>
    </row>
    <row r="898" spans="1:4" ht="20.25">
      <c r="A898" t="s">
        <v>1180</v>
      </c>
      <c r="B898" s="2883">
        <v>79845</v>
      </c>
      <c r="C898" s="2883">
        <v>267081</v>
      </c>
      <c r="D898" s="2882">
        <v>5084.2877434075126</v>
      </c>
    </row>
    <row r="899" spans="1:4" ht="20.25">
      <c r="A899" t="s">
        <v>2224</v>
      </c>
      <c r="B899" s="2883">
        <v>0</v>
      </c>
      <c r="C899" s="2883">
        <v>759253</v>
      </c>
      <c r="D899" s="2882">
        <v>4809.8268770080313</v>
      </c>
    </row>
    <row r="900" spans="1:4" ht="20.25">
      <c r="A900" t="s">
        <v>2225</v>
      </c>
      <c r="B900" s="2883">
        <v>0</v>
      </c>
      <c r="C900" s="2883">
        <v>132038</v>
      </c>
      <c r="D900" s="2882">
        <v>5749.707634407705</v>
      </c>
    </row>
    <row r="901" spans="1:4" ht="20.25">
      <c r="A901" t="s">
        <v>2655</v>
      </c>
      <c r="B901" s="2883">
        <v>0</v>
      </c>
      <c r="C901" s="2883">
        <v>0</v>
      </c>
      <c r="D901" s="2882">
        <v>4790.9392115761721</v>
      </c>
    </row>
    <row r="902" spans="1:4" ht="20.25">
      <c r="A902" t="s">
        <v>2656</v>
      </c>
      <c r="B902" s="2883">
        <v>0</v>
      </c>
      <c r="C902" s="2883">
        <v>125602</v>
      </c>
      <c r="D902" s="2882">
        <v>5993.0855968375208</v>
      </c>
    </row>
    <row r="903" spans="1:4" ht="20.25">
      <c r="A903" t="s">
        <v>2657</v>
      </c>
      <c r="B903" s="2883">
        <v>0</v>
      </c>
      <c r="C903" s="2883">
        <v>249138</v>
      </c>
      <c r="D903" s="2882">
        <v>4770.4653266354335</v>
      </c>
    </row>
    <row r="904" spans="1:4" ht="20.25">
      <c r="A904" t="s">
        <v>2658</v>
      </c>
      <c r="B904" s="2883">
        <v>0</v>
      </c>
      <c r="C904" s="2883">
        <v>42476</v>
      </c>
      <c r="D904" s="2882">
        <v>7738.8583842219596</v>
      </c>
    </row>
    <row r="905" spans="1:4" ht="20.25">
      <c r="A905" t="s">
        <v>1170</v>
      </c>
      <c r="B905" s="2883">
        <v>0</v>
      </c>
      <c r="C905" s="2883">
        <v>134066</v>
      </c>
      <c r="D905" s="2882">
        <v>5370.2912581661076</v>
      </c>
    </row>
    <row r="906" spans="1:4" ht="20.25">
      <c r="A906" t="s">
        <v>1845</v>
      </c>
      <c r="B906" s="2883">
        <v>0</v>
      </c>
      <c r="C906" s="2883">
        <v>16437</v>
      </c>
      <c r="D906" s="2882">
        <v>4616.2910787488963</v>
      </c>
    </row>
    <row r="907" spans="1:4" ht="20.25">
      <c r="A907" t="s">
        <v>1171</v>
      </c>
      <c r="B907" s="2883">
        <v>0</v>
      </c>
      <c r="C907" s="2883">
        <v>33222</v>
      </c>
      <c r="D907" s="2882">
        <v>5489.7205205673044</v>
      </c>
    </row>
    <row r="908" spans="1:4" ht="20.25">
      <c r="A908" t="s">
        <v>1586</v>
      </c>
      <c r="B908" s="2883">
        <v>0</v>
      </c>
      <c r="C908" s="2883">
        <v>31836</v>
      </c>
      <c r="D908" s="2882">
        <v>5359.9953081452131</v>
      </c>
    </row>
    <row r="909" spans="1:4" ht="20.25">
      <c r="A909" t="s">
        <v>1587</v>
      </c>
      <c r="B909" s="2883">
        <v>0</v>
      </c>
      <c r="C909" s="2883">
        <v>14233</v>
      </c>
      <c r="D909" s="2882">
        <v>5154.6021772368176</v>
      </c>
    </row>
    <row r="910" spans="1:4" ht="20.25">
      <c r="A910" t="s">
        <v>1588</v>
      </c>
      <c r="B910" s="2883">
        <v>0</v>
      </c>
      <c r="C910" s="2883">
        <v>497903</v>
      </c>
      <c r="D910" s="2882">
        <v>4932.9516279451072</v>
      </c>
    </row>
    <row r="911" spans="1:4" ht="20.25">
      <c r="A911" t="s">
        <v>1817</v>
      </c>
      <c r="B911" s="2883">
        <v>0</v>
      </c>
      <c r="C911" s="2883">
        <v>7707</v>
      </c>
      <c r="D911" s="2882">
        <v>4158.7722479591066</v>
      </c>
    </row>
    <row r="912" spans="1:4" ht="20.25">
      <c r="A912" t="s">
        <v>275</v>
      </c>
      <c r="B912" s="2883">
        <v>0</v>
      </c>
      <c r="C912" s="2883">
        <v>54923</v>
      </c>
      <c r="D912" s="2882">
        <v>4731.4038228226173</v>
      </c>
    </row>
    <row r="913" spans="1:4" ht="20.25">
      <c r="A913" t="s">
        <v>1818</v>
      </c>
      <c r="B913" s="2883">
        <v>0</v>
      </c>
      <c r="C913" s="2883">
        <v>21039</v>
      </c>
      <c r="D913" s="2882">
        <v>5070.1336821133636</v>
      </c>
    </row>
    <row r="914" spans="1:4" ht="20.25">
      <c r="A914" t="s">
        <v>2440</v>
      </c>
      <c r="B914" s="2883">
        <v>0</v>
      </c>
      <c r="C914" s="2883">
        <v>44676</v>
      </c>
      <c r="D914" s="2882">
        <v>4673.7177944483028</v>
      </c>
    </row>
    <row r="915" spans="1:4" ht="20.25">
      <c r="A915" t="s">
        <v>1313</v>
      </c>
      <c r="B915" s="2883">
        <v>0</v>
      </c>
      <c r="C915" s="2883">
        <v>803151</v>
      </c>
      <c r="D915" s="2882">
        <v>4836.8990684922765</v>
      </c>
    </row>
    <row r="916" spans="1:4" ht="20.25">
      <c r="A916" t="s">
        <v>2428</v>
      </c>
      <c r="B916" s="2883">
        <v>0</v>
      </c>
      <c r="C916" s="2883">
        <v>42518</v>
      </c>
      <c r="D916" s="2882">
        <v>4928.4796532189503</v>
      </c>
    </row>
    <row r="917" spans="1:4" ht="20.25">
      <c r="A917" t="s">
        <v>342</v>
      </c>
      <c r="B917" s="2883">
        <v>0</v>
      </c>
      <c r="C917" s="2883">
        <v>391600</v>
      </c>
      <c r="D917" s="2882">
        <v>5657.0066663450998</v>
      </c>
    </row>
    <row r="918" spans="1:4" ht="20.25">
      <c r="A918" t="s">
        <v>1307</v>
      </c>
      <c r="B918" s="2883">
        <v>0</v>
      </c>
      <c r="C918" s="2883">
        <v>120914</v>
      </c>
      <c r="D918" s="2882">
        <v>4850.2575420778539</v>
      </c>
    </row>
    <row r="919" spans="1:4" ht="20.25">
      <c r="A919" t="s">
        <v>1253</v>
      </c>
      <c r="B919" s="2883">
        <v>0</v>
      </c>
      <c r="C919" s="2883">
        <v>36472</v>
      </c>
      <c r="D919" s="2882">
        <v>4729.8186872645383</v>
      </c>
    </row>
    <row r="920" spans="1:4" ht="20.25">
      <c r="A920" t="s">
        <v>263</v>
      </c>
      <c r="B920" s="2883">
        <v>201576</v>
      </c>
      <c r="C920" s="2883">
        <v>4547098</v>
      </c>
      <c r="D920" s="2882">
        <v>5961.1873550572245</v>
      </c>
    </row>
    <row r="921" spans="1:4" ht="20.25">
      <c r="A921" t="s">
        <v>210</v>
      </c>
      <c r="B921" s="2883">
        <v>0</v>
      </c>
      <c r="C921" s="2883">
        <v>1214307</v>
      </c>
      <c r="D921" s="2882">
        <v>5103.0661877710636</v>
      </c>
    </row>
    <row r="922" spans="1:4" ht="20.25">
      <c r="A922" t="s">
        <v>264</v>
      </c>
      <c r="B922" s="2883">
        <v>148175</v>
      </c>
      <c r="C922" s="2883">
        <v>734059</v>
      </c>
      <c r="D922" s="2882">
        <v>5569.0410551255754</v>
      </c>
    </row>
    <row r="923" spans="1:4" ht="20.25">
      <c r="A923" t="s">
        <v>265</v>
      </c>
      <c r="B923" s="2883">
        <v>0</v>
      </c>
      <c r="C923" s="2883">
        <v>323903</v>
      </c>
      <c r="D923" s="2882">
        <v>6202.5367796534156</v>
      </c>
    </row>
    <row r="924" spans="1:4" ht="20.25">
      <c r="A924" t="s">
        <v>1133</v>
      </c>
      <c r="B924" s="2883">
        <v>59255</v>
      </c>
      <c r="C924" s="2883">
        <v>1357239</v>
      </c>
      <c r="D924" s="2882">
        <v>5364.0631497799241</v>
      </c>
    </row>
    <row r="925" spans="1:4" ht="20.25">
      <c r="A925" t="s">
        <v>2446</v>
      </c>
      <c r="B925" s="2883">
        <v>0</v>
      </c>
      <c r="C925" s="2883">
        <v>111848</v>
      </c>
      <c r="D925" s="2882">
        <v>6271.9615077343906</v>
      </c>
    </row>
    <row r="926" spans="1:4" ht="20.25">
      <c r="A926" t="s">
        <v>1320</v>
      </c>
      <c r="B926" s="2883">
        <v>6201</v>
      </c>
      <c r="C926" s="2883">
        <v>402091</v>
      </c>
      <c r="D926" s="2882">
        <v>6030.1225452007266</v>
      </c>
    </row>
    <row r="927" spans="1:4" ht="20.25">
      <c r="A927" t="s">
        <v>1321</v>
      </c>
      <c r="B927" s="2883">
        <v>0</v>
      </c>
      <c r="C927" s="2883">
        <v>114869</v>
      </c>
      <c r="D927" s="2882">
        <v>4550.3635720380425</v>
      </c>
    </row>
    <row r="928" spans="1:4" ht="20.25">
      <c r="A928" t="s">
        <v>1322</v>
      </c>
      <c r="B928" s="2883">
        <v>0</v>
      </c>
      <c r="C928" s="2883">
        <v>151874</v>
      </c>
      <c r="D928" s="2882">
        <v>4696.6364932045581</v>
      </c>
    </row>
    <row r="929" spans="1:4" ht="20.25">
      <c r="A929" t="s">
        <v>1323</v>
      </c>
      <c r="B929" s="2883">
        <v>0</v>
      </c>
      <c r="C929" s="2883">
        <v>31406</v>
      </c>
      <c r="D929" s="2882">
        <v>4906.8958592714562</v>
      </c>
    </row>
    <row r="930" spans="1:4" ht="20.25">
      <c r="A930" t="s">
        <v>1324</v>
      </c>
      <c r="B930" s="2883">
        <v>0</v>
      </c>
      <c r="C930" s="2883">
        <v>25919</v>
      </c>
      <c r="D930" s="2882">
        <v>4852.0946113292994</v>
      </c>
    </row>
    <row r="931" spans="1:4" ht="20.25">
      <c r="A931" t="s">
        <v>1434</v>
      </c>
      <c r="B931" s="2883">
        <v>0</v>
      </c>
      <c r="C931" s="2883">
        <v>83062</v>
      </c>
      <c r="D931" s="2882">
        <v>4608.9654320728141</v>
      </c>
    </row>
    <row r="932" spans="1:4" ht="20.25">
      <c r="A932" t="s">
        <v>1807</v>
      </c>
      <c r="B932" s="2883">
        <v>0</v>
      </c>
      <c r="C932" s="2883">
        <v>189399</v>
      </c>
      <c r="D932" s="2882">
        <v>6101.0400707819726</v>
      </c>
    </row>
    <row r="933" spans="1:4" ht="20.25">
      <c r="A933" t="s">
        <v>1808</v>
      </c>
      <c r="B933" s="2883">
        <v>0</v>
      </c>
      <c r="C933" s="2883">
        <v>173841</v>
      </c>
      <c r="D933" s="2882">
        <v>5224.3615322595388</v>
      </c>
    </row>
    <row r="934" spans="1:4" ht="20.25">
      <c r="A934" t="s">
        <v>1254</v>
      </c>
      <c r="B934" s="2883">
        <v>0</v>
      </c>
      <c r="C934" s="2883">
        <v>50679</v>
      </c>
      <c r="D934" s="2882">
        <v>4854.1760753595199</v>
      </c>
    </row>
    <row r="935" spans="1:4" ht="20.25">
      <c r="A935" t="s">
        <v>70</v>
      </c>
      <c r="B935" s="2883">
        <v>0</v>
      </c>
      <c r="C935" s="2883">
        <v>32515</v>
      </c>
      <c r="D935" s="2882">
        <v>4798.9904858496748</v>
      </c>
    </row>
    <row r="936" spans="1:4" ht="20.25">
      <c r="A936" t="s">
        <v>1809</v>
      </c>
      <c r="B936" s="2883">
        <v>0</v>
      </c>
      <c r="C936" s="2883">
        <v>78666</v>
      </c>
      <c r="D936" s="2882">
        <v>4949.4212277729011</v>
      </c>
    </row>
    <row r="937" spans="1:4" ht="20.25">
      <c r="A937" t="s">
        <v>1810</v>
      </c>
      <c r="B937" s="2883">
        <v>0</v>
      </c>
      <c r="C937" s="2883">
        <v>304558</v>
      </c>
      <c r="D937" s="2882">
        <v>5242.9843825844855</v>
      </c>
    </row>
    <row r="938" spans="1:4" ht="20.25">
      <c r="A938" t="s">
        <v>1414</v>
      </c>
      <c r="B938" s="2883">
        <v>0</v>
      </c>
      <c r="C938" s="2883">
        <v>68897</v>
      </c>
      <c r="D938" s="2882">
        <v>4748.2290400314287</v>
      </c>
    </row>
    <row r="939" spans="1:4" ht="20.25">
      <c r="A939" t="s">
        <v>1077</v>
      </c>
      <c r="B939" s="2883">
        <v>0</v>
      </c>
      <c r="C939" s="2883">
        <v>39620</v>
      </c>
      <c r="D939" s="2882">
        <v>5011.8493680119327</v>
      </c>
    </row>
    <row r="940" spans="1:4" ht="20.25">
      <c r="A940" t="s">
        <v>1861</v>
      </c>
      <c r="B940" s="2883">
        <v>0</v>
      </c>
      <c r="C940" s="2883">
        <v>136308</v>
      </c>
      <c r="D940" s="2882">
        <v>5236.3461469949052</v>
      </c>
    </row>
    <row r="941" spans="1:4" ht="20.25">
      <c r="A941" t="s">
        <v>1078</v>
      </c>
      <c r="B941" s="2883">
        <v>0</v>
      </c>
      <c r="C941" s="2883">
        <v>61176</v>
      </c>
      <c r="D941" s="2882">
        <v>4963.3580284641912</v>
      </c>
    </row>
    <row r="942" spans="1:4" ht="20.25">
      <c r="A942" t="s">
        <v>1079</v>
      </c>
      <c r="B942" s="2883">
        <v>0</v>
      </c>
      <c r="C942" s="2883">
        <v>61849</v>
      </c>
      <c r="D942" s="2882">
        <v>5312.5216524370062</v>
      </c>
    </row>
    <row r="943" spans="1:4" ht="20.25">
      <c r="A943" t="s">
        <v>1080</v>
      </c>
      <c r="B943" s="2883">
        <v>0</v>
      </c>
      <c r="C943" s="2883">
        <v>0</v>
      </c>
      <c r="D943" s="2882">
        <v>6819.5141841207405</v>
      </c>
    </row>
    <row r="944" spans="1:4" ht="20.25">
      <c r="A944" t="s">
        <v>1081</v>
      </c>
      <c r="B944" s="2883">
        <v>0</v>
      </c>
      <c r="C944" s="2883">
        <v>28519</v>
      </c>
      <c r="D944" s="2882">
        <v>7985.7701025159558</v>
      </c>
    </row>
    <row r="945" spans="1:4" ht="20.25">
      <c r="A945" t="s">
        <v>56</v>
      </c>
      <c r="B945" s="2883">
        <v>0</v>
      </c>
      <c r="C945" s="2883">
        <v>23352</v>
      </c>
      <c r="D945" s="2882">
        <v>4611.9265412470058</v>
      </c>
    </row>
    <row r="946" spans="1:4" ht="20.25">
      <c r="A946" t="s">
        <v>1544</v>
      </c>
      <c r="B946" s="2883">
        <v>0</v>
      </c>
      <c r="C946" s="2883">
        <v>23534</v>
      </c>
      <c r="D946" s="2882">
        <v>4711.9913758016428</v>
      </c>
    </row>
    <row r="947" spans="1:4" ht="20.25">
      <c r="A947" t="s">
        <v>1521</v>
      </c>
      <c r="B947" s="2883">
        <v>0</v>
      </c>
      <c r="C947" s="2883">
        <v>0</v>
      </c>
      <c r="D947" s="2882">
        <v>4780.1464458046003</v>
      </c>
    </row>
    <row r="948" spans="1:4" ht="20.25">
      <c r="A948" t="s">
        <v>1319</v>
      </c>
      <c r="B948" s="2883">
        <v>0</v>
      </c>
      <c r="C948" s="2883">
        <v>41374</v>
      </c>
      <c r="D948" s="2882">
        <v>5603.9373983468276</v>
      </c>
    </row>
    <row r="949" spans="1:4" ht="20.25">
      <c r="A949" t="s">
        <v>488</v>
      </c>
      <c r="B949" s="2883">
        <v>0</v>
      </c>
      <c r="C949" s="2883">
        <v>629311</v>
      </c>
      <c r="D949" s="2882">
        <v>4470.1496500426601</v>
      </c>
    </row>
    <row r="950" spans="1:4" ht="20.25">
      <c r="A950" t="s">
        <v>831</v>
      </c>
      <c r="B950" s="2883">
        <v>0</v>
      </c>
      <c r="C950" s="2883">
        <v>65010</v>
      </c>
      <c r="D950" s="2882">
        <v>6265.9573602960118</v>
      </c>
    </row>
    <row r="951" spans="1:4" ht="20.25">
      <c r="A951" t="s">
        <v>833</v>
      </c>
      <c r="B951" s="2883">
        <v>0</v>
      </c>
      <c r="C951" s="2883">
        <v>178733</v>
      </c>
      <c r="D951" s="2882">
        <v>4994.8841421572542</v>
      </c>
    </row>
    <row r="952" spans="1:4" ht="20.25">
      <c r="A952" t="s">
        <v>834</v>
      </c>
      <c r="B952" s="2883">
        <v>0</v>
      </c>
      <c r="C952" s="2883">
        <v>67038</v>
      </c>
      <c r="D952" s="2882">
        <v>4631.1014343045763</v>
      </c>
    </row>
    <row r="953" spans="1:4" ht="20.25">
      <c r="A953" t="s">
        <v>1533</v>
      </c>
      <c r="B953" s="2883">
        <v>0</v>
      </c>
      <c r="C953" s="2883">
        <v>85451</v>
      </c>
      <c r="D953" s="2882">
        <v>5648.7778219902766</v>
      </c>
    </row>
    <row r="954" spans="1:4" ht="20.25">
      <c r="A954" t="s">
        <v>1836</v>
      </c>
      <c r="B954" s="2883">
        <v>0</v>
      </c>
      <c r="C954" s="2883">
        <v>33533</v>
      </c>
      <c r="D954" s="2882">
        <v>4833.2253245826605</v>
      </c>
    </row>
    <row r="955" spans="1:4" ht="20.25">
      <c r="A955" t="s">
        <v>835</v>
      </c>
      <c r="B955" s="2883">
        <v>8461</v>
      </c>
      <c r="C955" s="2883">
        <v>262846</v>
      </c>
      <c r="D955" s="2882">
        <v>4853.7279638836189</v>
      </c>
    </row>
    <row r="956" spans="1:4" ht="20.25">
      <c r="A956" t="s">
        <v>836</v>
      </c>
      <c r="B956" s="2883">
        <v>0</v>
      </c>
      <c r="C956" s="2883">
        <v>297622</v>
      </c>
      <c r="D956" s="2882">
        <v>4927.9543791693568</v>
      </c>
    </row>
    <row r="957" spans="1:4" ht="20.25">
      <c r="A957" t="s">
        <v>1426</v>
      </c>
      <c r="B957" s="2883">
        <v>0</v>
      </c>
      <c r="C957" s="2883">
        <v>20198</v>
      </c>
      <c r="D957" s="2882">
        <v>4645.2025343883552</v>
      </c>
    </row>
    <row r="958" spans="1:4" ht="20.25">
      <c r="A958" t="s">
        <v>877</v>
      </c>
      <c r="B958" s="2883">
        <v>0</v>
      </c>
      <c r="C958" s="2883">
        <v>101364</v>
      </c>
      <c r="D958" s="2882">
        <v>4887.3752996645844</v>
      </c>
    </row>
    <row r="959" spans="1:4" ht="20.25">
      <c r="A959" t="s">
        <v>340</v>
      </c>
      <c r="B959" s="2883">
        <v>216594</v>
      </c>
      <c r="C959" s="2883">
        <v>597510</v>
      </c>
      <c r="D959" s="2882">
        <v>4815.0041323316482</v>
      </c>
    </row>
    <row r="960" spans="1:4" ht="20.25">
      <c r="A960" t="s">
        <v>2597</v>
      </c>
      <c r="B960" s="2883">
        <v>0</v>
      </c>
      <c r="C960" s="2883">
        <v>0</v>
      </c>
      <c r="D960" s="2882">
        <v>5963.9849757351476</v>
      </c>
    </row>
    <row r="961" spans="1:4" ht="20.25">
      <c r="A961" t="s">
        <v>1022</v>
      </c>
      <c r="B961" s="2883">
        <v>0</v>
      </c>
      <c r="C961" s="2883">
        <v>88693</v>
      </c>
      <c r="D961" s="2882">
        <v>4862.4725574044151</v>
      </c>
    </row>
    <row r="962" spans="1:4" ht="20.25">
      <c r="A962" t="s">
        <v>1156</v>
      </c>
      <c r="B962" s="2883">
        <v>0</v>
      </c>
      <c r="C962" s="2883">
        <v>680534</v>
      </c>
      <c r="D962" s="2882">
        <v>4952.8401706018258</v>
      </c>
    </row>
    <row r="963" spans="1:4" ht="20.25">
      <c r="A963" t="s">
        <v>276</v>
      </c>
      <c r="B963" s="2883">
        <v>0</v>
      </c>
      <c r="C963" s="2883">
        <v>97890</v>
      </c>
      <c r="D963" s="2882">
        <v>4883.3903548342005</v>
      </c>
    </row>
    <row r="964" spans="1:4" ht="20.25">
      <c r="A964" t="s">
        <v>277</v>
      </c>
      <c r="B964" s="2883">
        <v>152288</v>
      </c>
      <c r="C964" s="2883">
        <v>905237</v>
      </c>
      <c r="D964" s="2882">
        <v>5277.5063684372135</v>
      </c>
    </row>
    <row r="965" spans="1:4" ht="20.25">
      <c r="A965" t="s">
        <v>624</v>
      </c>
      <c r="B965" s="2883">
        <v>192645</v>
      </c>
      <c r="C965" s="2883">
        <v>248528</v>
      </c>
      <c r="D965" s="2882">
        <v>5344.4780774670508</v>
      </c>
    </row>
    <row r="966" spans="1:4" ht="20.25">
      <c r="A966" t="s">
        <v>625</v>
      </c>
      <c r="B966" s="2883">
        <v>0</v>
      </c>
      <c r="C966" s="2883">
        <v>102321</v>
      </c>
      <c r="D966" s="2882">
        <v>5834.8095952425156</v>
      </c>
    </row>
    <row r="967" spans="1:4" ht="20.25">
      <c r="A967" t="s">
        <v>626</v>
      </c>
      <c r="B967" s="2883">
        <v>0</v>
      </c>
      <c r="C967" s="2883">
        <v>11713</v>
      </c>
      <c r="D967" s="2882">
        <v>7005.4196943225998</v>
      </c>
    </row>
    <row r="968" spans="1:4" ht="20.25">
      <c r="A968" t="s">
        <v>2339</v>
      </c>
      <c r="B968" s="2883">
        <v>0</v>
      </c>
      <c r="C968" s="2883">
        <v>422145</v>
      </c>
      <c r="D968" s="2882">
        <v>5174.7310907247911</v>
      </c>
    </row>
    <row r="969" spans="1:4" ht="20.25">
      <c r="A969" t="s">
        <v>2340</v>
      </c>
      <c r="B969" s="2883">
        <v>45819</v>
      </c>
      <c r="C969" s="2883">
        <v>58771</v>
      </c>
      <c r="D969" s="2882">
        <v>5933.3230638189916</v>
      </c>
    </row>
    <row r="970" spans="1:4" ht="20.25">
      <c r="A970" t="s">
        <v>1768</v>
      </c>
      <c r="B970" s="2883">
        <v>155340</v>
      </c>
      <c r="C970" s="2883">
        <v>277583</v>
      </c>
      <c r="D970" s="2882">
        <v>4862.9058439613209</v>
      </c>
    </row>
    <row r="971" spans="1:4" ht="20.25">
      <c r="A971" t="s">
        <v>1520</v>
      </c>
      <c r="B971" s="2883">
        <v>822433</v>
      </c>
      <c r="C971" s="2883">
        <v>2407163</v>
      </c>
      <c r="D971" s="2882">
        <v>4974.0145832379039</v>
      </c>
    </row>
    <row r="972" spans="1:4" ht="20.25">
      <c r="A972" t="s">
        <v>927</v>
      </c>
      <c r="B972" s="2883">
        <v>0</v>
      </c>
      <c r="C972" s="2883">
        <v>80646</v>
      </c>
      <c r="D972" s="2882">
        <v>10908.149347740238</v>
      </c>
    </row>
    <row r="973" spans="1:4" ht="20.25">
      <c r="A973" t="s">
        <v>928</v>
      </c>
      <c r="B973" s="2883">
        <v>0</v>
      </c>
      <c r="C973" s="2883">
        <v>144718</v>
      </c>
      <c r="D973" s="2882">
        <v>5107.5555958528339</v>
      </c>
    </row>
    <row r="974" spans="1:4" ht="20.25">
      <c r="A974" t="s">
        <v>929</v>
      </c>
      <c r="B974" s="2883">
        <v>0</v>
      </c>
      <c r="C974" s="2883">
        <v>100750</v>
      </c>
      <c r="D974" s="2882">
        <v>5000.3084802845706</v>
      </c>
    </row>
    <row r="975" spans="1:4" ht="20.25">
      <c r="A975" t="s">
        <v>571</v>
      </c>
      <c r="B975" s="2883">
        <v>0</v>
      </c>
      <c r="C975" s="2883">
        <v>308699</v>
      </c>
      <c r="D975" s="2882">
        <v>5506.399370024953</v>
      </c>
    </row>
    <row r="976" spans="1:4" ht="20.25">
      <c r="A976" t="s">
        <v>902</v>
      </c>
      <c r="B976" s="2883">
        <v>1140</v>
      </c>
      <c r="C976" s="2883">
        <v>162022</v>
      </c>
      <c r="D976" s="2882">
        <v>5041.6532739088543</v>
      </c>
    </row>
    <row r="977" spans="1:4" ht="20.25">
      <c r="A977" t="s">
        <v>903</v>
      </c>
      <c r="B977" s="2883">
        <v>0</v>
      </c>
      <c r="C977" s="2883">
        <v>51259</v>
      </c>
      <c r="D977" s="2882">
        <v>4863.6629509737713</v>
      </c>
    </row>
    <row r="978" spans="1:4" ht="20.25">
      <c r="A978" t="s">
        <v>904</v>
      </c>
      <c r="B978" s="2883">
        <v>0</v>
      </c>
      <c r="C978" s="2883">
        <v>31824</v>
      </c>
      <c r="D978" s="2882">
        <v>5135.446701488253</v>
      </c>
    </row>
    <row r="979" spans="1:4" ht="20.25">
      <c r="A979" t="s">
        <v>905</v>
      </c>
      <c r="B979" s="2883">
        <v>0</v>
      </c>
      <c r="C979" s="2883">
        <v>20482</v>
      </c>
      <c r="D979" s="2882">
        <v>5959.0606083950588</v>
      </c>
    </row>
    <row r="980" spans="1:4" ht="20.25">
      <c r="A980" t="s">
        <v>1724</v>
      </c>
      <c r="B980" s="2883">
        <v>0</v>
      </c>
      <c r="C980" s="2883">
        <v>0</v>
      </c>
      <c r="D980" s="2882">
        <v>9536.4237226782971</v>
      </c>
    </row>
    <row r="981" spans="1:4" ht="20.25">
      <c r="A981" t="s">
        <v>2319</v>
      </c>
      <c r="B981" s="2883">
        <v>0</v>
      </c>
      <c r="C981" s="2883">
        <v>44774</v>
      </c>
      <c r="D981" s="2882">
        <v>8694.5430830795285</v>
      </c>
    </row>
    <row r="982" spans="1:4" ht="20.25">
      <c r="A982" t="s">
        <v>884</v>
      </c>
      <c r="B982" s="2883">
        <v>0</v>
      </c>
      <c r="C982" s="2883">
        <v>170073</v>
      </c>
      <c r="D982" s="2882">
        <v>4915.6439992048699</v>
      </c>
    </row>
    <row r="983" spans="1:4" ht="20.25">
      <c r="A983" t="s">
        <v>1255</v>
      </c>
      <c r="B983" s="2883">
        <v>0</v>
      </c>
      <c r="C983" s="2883">
        <v>20750</v>
      </c>
      <c r="D983" s="2882">
        <v>5429.1906824288826</v>
      </c>
    </row>
    <row r="984" spans="1:4" ht="20.25">
      <c r="A984" t="s">
        <v>642</v>
      </c>
      <c r="B984" s="2883">
        <v>0</v>
      </c>
      <c r="C984" s="2883">
        <v>135141</v>
      </c>
      <c r="D984" s="2882">
        <v>4916.7533643562265</v>
      </c>
    </row>
    <row r="985" spans="1:4" ht="20.25">
      <c r="A985" t="s">
        <v>1827</v>
      </c>
      <c r="B985" s="2883">
        <v>0</v>
      </c>
      <c r="C985" s="2883">
        <v>556238</v>
      </c>
      <c r="D985" s="2882">
        <v>4886.6640788539471</v>
      </c>
    </row>
    <row r="986" spans="1:4" ht="20.25">
      <c r="A986" t="s">
        <v>573</v>
      </c>
      <c r="B986" s="2883">
        <v>0</v>
      </c>
      <c r="C986" s="2883">
        <v>17050</v>
      </c>
      <c r="D986" s="2882">
        <v>4677.4871354096022</v>
      </c>
    </row>
    <row r="987" spans="1:4" ht="20.25">
      <c r="A987" t="s">
        <v>1358</v>
      </c>
      <c r="B987" s="2883">
        <v>0</v>
      </c>
      <c r="C987" s="2883">
        <v>4778</v>
      </c>
      <c r="D987" s="2882">
        <v>5876.9968329858048</v>
      </c>
    </row>
    <row r="988" spans="1:4" ht="20.25">
      <c r="A988" t="s">
        <v>9</v>
      </c>
      <c r="B988" s="2883">
        <v>0</v>
      </c>
      <c r="C988" s="2883">
        <v>125929</v>
      </c>
      <c r="D988" s="2882">
        <v>5385.9129791189589</v>
      </c>
    </row>
    <row r="989" spans="1:4" ht="20.25">
      <c r="A989" t="s">
        <v>10</v>
      </c>
      <c r="B989" s="2883">
        <v>0</v>
      </c>
      <c r="C989" s="2883">
        <v>6826</v>
      </c>
      <c r="D989" s="2882">
        <v>4785.6257038665744</v>
      </c>
    </row>
    <row r="990" spans="1:4" ht="20.25">
      <c r="A990" t="s">
        <v>1503</v>
      </c>
      <c r="B990" s="2883">
        <v>0</v>
      </c>
      <c r="C990" s="2883">
        <v>19379</v>
      </c>
      <c r="D990" s="2882">
        <v>5249.791678964586</v>
      </c>
    </row>
    <row r="991" spans="1:4" ht="20.25">
      <c r="A991" t="s">
        <v>2089</v>
      </c>
      <c r="B991" s="2883">
        <v>0</v>
      </c>
      <c r="C991" s="2883">
        <v>147594</v>
      </c>
      <c r="D991" s="2882">
        <v>4757.20470824523</v>
      </c>
    </row>
    <row r="992" spans="1:4" ht="20.25">
      <c r="A992" t="s">
        <v>425</v>
      </c>
      <c r="B992" s="2883">
        <v>0</v>
      </c>
      <c r="C992" s="2883">
        <v>64083</v>
      </c>
      <c r="D992" s="2882">
        <v>4940.5278454395384</v>
      </c>
    </row>
    <row r="993" spans="1:4" ht="20.25">
      <c r="A993" t="s">
        <v>278</v>
      </c>
      <c r="B993" s="2883">
        <v>0</v>
      </c>
      <c r="C993" s="2883">
        <v>35553</v>
      </c>
      <c r="D993" s="2882">
        <v>4655.1577436443813</v>
      </c>
    </row>
    <row r="994" spans="1:4" ht="20.25">
      <c r="A994" t="s">
        <v>1338</v>
      </c>
      <c r="B994" s="2883">
        <v>0</v>
      </c>
      <c r="C994" s="2883">
        <v>97092</v>
      </c>
      <c r="D994" s="2882">
        <v>5254.8287575181521</v>
      </c>
    </row>
    <row r="995" spans="1:4" ht="20.25">
      <c r="A995" t="s">
        <v>2580</v>
      </c>
      <c r="B995" s="2883">
        <v>5185</v>
      </c>
      <c r="C995" s="2883">
        <v>1101797</v>
      </c>
      <c r="D995" s="2882">
        <v>6010.0115072207618</v>
      </c>
    </row>
    <row r="996" spans="1:4" ht="20.25">
      <c r="A996" t="s">
        <v>1799</v>
      </c>
      <c r="B996" s="2883">
        <v>0</v>
      </c>
      <c r="C996" s="2883">
        <v>44158</v>
      </c>
      <c r="D996" s="2882">
        <v>4839.4075628298424</v>
      </c>
    </row>
    <row r="997" spans="1:4" ht="20.25">
      <c r="A997" t="s">
        <v>40</v>
      </c>
      <c r="B997" s="2883">
        <v>39253</v>
      </c>
      <c r="C997" s="2883">
        <v>394325</v>
      </c>
      <c r="D997" s="2882">
        <v>5362.9366967907808</v>
      </c>
    </row>
    <row r="998" spans="1:4" ht="20.25">
      <c r="A998" t="s">
        <v>11</v>
      </c>
      <c r="B998" s="2883">
        <v>0</v>
      </c>
      <c r="C998" s="2883">
        <v>92476</v>
      </c>
      <c r="D998" s="2882">
        <v>6499.2050465715738</v>
      </c>
    </row>
    <row r="999" spans="1:4" ht="20.25">
      <c r="A999" t="s">
        <v>1771</v>
      </c>
      <c r="B999" s="2883">
        <v>0</v>
      </c>
      <c r="C999" s="2883">
        <v>311850</v>
      </c>
      <c r="D999" s="2882">
        <v>5316.0594845895703</v>
      </c>
    </row>
    <row r="1000" spans="1:4" ht="20.25">
      <c r="A1000" t="s">
        <v>1310</v>
      </c>
      <c r="B1000" s="2883">
        <v>207676</v>
      </c>
      <c r="C1000" s="2883">
        <v>1939999</v>
      </c>
      <c r="D1000" s="2882">
        <v>5842.800871623841</v>
      </c>
    </row>
    <row r="1001" spans="1:4" ht="20.25">
      <c r="A1001" t="s">
        <v>1545</v>
      </c>
      <c r="B1001" s="2883">
        <v>0</v>
      </c>
      <c r="C1001" s="2883">
        <v>181651</v>
      </c>
      <c r="D1001" s="2882">
        <v>4881.0394959298992</v>
      </c>
    </row>
    <row r="1002" spans="1:4" ht="20.25">
      <c r="A1002" t="s">
        <v>1515</v>
      </c>
      <c r="B1002" s="2883">
        <v>0</v>
      </c>
      <c r="C1002" s="2883">
        <v>77205</v>
      </c>
      <c r="D1002" s="2882">
        <v>4862.6165441438252</v>
      </c>
    </row>
    <row r="1003" spans="1:4" ht="20.25">
      <c r="A1003" t="s">
        <v>1769</v>
      </c>
      <c r="B1003" s="2883">
        <v>639952</v>
      </c>
      <c r="C1003" s="2883">
        <v>1974996</v>
      </c>
      <c r="D1003" s="2882">
        <v>5812.915359520578</v>
      </c>
    </row>
    <row r="1004" spans="1:4" ht="20.25">
      <c r="A1004" t="s">
        <v>12</v>
      </c>
      <c r="B1004" s="2883">
        <v>0</v>
      </c>
      <c r="C1004" s="2883">
        <v>18847</v>
      </c>
      <c r="D1004" s="2882">
        <v>5230.1669744536775</v>
      </c>
    </row>
    <row r="1005" spans="1:4" ht="20.25">
      <c r="A1005" t="s">
        <v>2455</v>
      </c>
      <c r="B1005" s="2883">
        <v>145902</v>
      </c>
      <c r="C1005" s="2883">
        <v>838388</v>
      </c>
      <c r="D1005" s="2882">
        <v>5092.4038952700166</v>
      </c>
    </row>
    <row r="1006" spans="1:4" ht="20.25">
      <c r="A1006" t="s">
        <v>59</v>
      </c>
      <c r="B1006" s="2883">
        <v>177668</v>
      </c>
      <c r="C1006" s="2883">
        <v>433991</v>
      </c>
      <c r="D1006" s="2882">
        <v>4991.6316041450518</v>
      </c>
    </row>
    <row r="1007" spans="1:4" ht="20.25">
      <c r="A1007" t="s">
        <v>2456</v>
      </c>
      <c r="B1007" s="2883">
        <v>0</v>
      </c>
      <c r="C1007" s="2883">
        <v>71621</v>
      </c>
      <c r="D1007" s="2882">
        <v>4796.3730345639678</v>
      </c>
    </row>
    <row r="1008" spans="1:4" ht="20.25">
      <c r="A1008" t="s">
        <v>1512</v>
      </c>
      <c r="B1008" s="2883">
        <v>52090</v>
      </c>
      <c r="C1008" s="2883">
        <v>0</v>
      </c>
      <c r="D1008" s="2882">
        <v>4934.8629379942886</v>
      </c>
    </row>
    <row r="1009" spans="1:4" ht="20.25">
      <c r="A1009" t="s">
        <v>1174</v>
      </c>
      <c r="B1009" s="2883">
        <v>138704</v>
      </c>
      <c r="C1009" s="2883">
        <v>15849</v>
      </c>
      <c r="D1009" s="2882">
        <v>5949.9418875195797</v>
      </c>
    </row>
    <row r="1010" spans="1:4" ht="20.25">
      <c r="A1010" t="s">
        <v>1175</v>
      </c>
      <c r="B1010" s="2883">
        <v>0</v>
      </c>
      <c r="C1010" s="2883">
        <v>26496</v>
      </c>
      <c r="D1010" s="2882">
        <v>12399.928355950911</v>
      </c>
    </row>
    <row r="1011" spans="1:4" ht="20.25">
      <c r="A1011" t="s">
        <v>196</v>
      </c>
      <c r="B1011" s="2883">
        <v>37670</v>
      </c>
      <c r="C1011" s="2883">
        <v>61291</v>
      </c>
      <c r="D1011" s="2882">
        <v>5142.1718895970889</v>
      </c>
    </row>
    <row r="1012" spans="1:4" ht="20.25">
      <c r="A1012" t="s">
        <v>800</v>
      </c>
      <c r="B1012" s="2883">
        <v>0</v>
      </c>
      <c r="C1012" s="2883">
        <v>101750</v>
      </c>
      <c r="D1012" s="2882">
        <v>6222.0455619907107</v>
      </c>
    </row>
    <row r="1013" spans="1:4" ht="20.25">
      <c r="A1013" t="s">
        <v>2176</v>
      </c>
      <c r="B1013" s="2883">
        <v>0</v>
      </c>
      <c r="C1013" s="2883">
        <v>151108</v>
      </c>
      <c r="D1013" s="2882">
        <v>5454.8305385165868</v>
      </c>
    </row>
    <row r="1014" spans="1:4" ht="20.25">
      <c r="A1014" t="s">
        <v>2424</v>
      </c>
      <c r="B1014" s="2883">
        <v>0</v>
      </c>
      <c r="C1014" s="2883">
        <v>61827</v>
      </c>
      <c r="D1014" s="2882">
        <v>6109.9130404125763</v>
      </c>
    </row>
    <row r="1015" spans="1:4" ht="20.25">
      <c r="A1015" t="s">
        <v>2425</v>
      </c>
      <c r="B1015" s="2883">
        <v>0</v>
      </c>
      <c r="C1015" s="2883">
        <v>306019</v>
      </c>
      <c r="D1015" s="2882">
        <v>6339.5626073738686</v>
      </c>
    </row>
    <row r="1016" spans="1:4" ht="20.25">
      <c r="A1016" t="s">
        <v>2022</v>
      </c>
      <c r="B1016" s="2883">
        <v>0</v>
      </c>
      <c r="C1016" s="2883">
        <v>78997</v>
      </c>
      <c r="D1016" s="2882">
        <v>6019.6472051333667</v>
      </c>
    </row>
    <row r="1017" spans="1:4" ht="20.25">
      <c r="A1017" t="s">
        <v>1150</v>
      </c>
      <c r="B1017" s="2883">
        <v>0</v>
      </c>
      <c r="C1017" s="2883">
        <v>63756</v>
      </c>
      <c r="D1017" s="2882">
        <v>5946.9373332908262</v>
      </c>
    </row>
    <row r="1018" spans="1:4" ht="20.25">
      <c r="A1018" t="s">
        <v>2229</v>
      </c>
      <c r="B1018" s="2883">
        <v>0</v>
      </c>
      <c r="C1018" s="2883">
        <v>75874</v>
      </c>
      <c r="D1018" s="2882">
        <v>5521.1843905444457</v>
      </c>
    </row>
    <row r="1019" spans="1:4" ht="20.25">
      <c r="A1019" t="s">
        <v>2230</v>
      </c>
      <c r="B1019" s="2883">
        <v>0</v>
      </c>
      <c r="C1019" s="2883">
        <v>81405</v>
      </c>
      <c r="D1019" s="2882">
        <v>4956.0743930816516</v>
      </c>
    </row>
    <row r="1020" spans="1:4" ht="20.25">
      <c r="A1020" t="s">
        <v>2575</v>
      </c>
      <c r="B1020" s="2883">
        <v>0</v>
      </c>
      <c r="C1020" s="2883">
        <v>331602</v>
      </c>
      <c r="D1020" s="2882">
        <v>5416.8597722561944</v>
      </c>
    </row>
    <row r="1021" spans="1:4" ht="20.25">
      <c r="A1021" t="s">
        <v>2576</v>
      </c>
      <c r="B1021" s="2883">
        <v>0</v>
      </c>
      <c r="C1021" s="2883">
        <v>37715</v>
      </c>
      <c r="D1021" s="2882">
        <v>5830.5645400865851</v>
      </c>
    </row>
    <row r="1022" spans="1:4" ht="20.25">
      <c r="A1022" t="s">
        <v>635</v>
      </c>
      <c r="B1022" s="2883">
        <v>0</v>
      </c>
      <c r="C1022" s="2883">
        <v>62452</v>
      </c>
      <c r="D1022" s="2882">
        <v>4884.2169018561099</v>
      </c>
    </row>
    <row r="1023" spans="1:4" ht="20.25">
      <c r="A1023" t="s">
        <v>679</v>
      </c>
      <c r="B1023" s="2883">
        <v>0</v>
      </c>
      <c r="C1023" s="2883">
        <v>101930</v>
      </c>
      <c r="D1023" s="2882">
        <v>5000.788953527549</v>
      </c>
    </row>
    <row r="1024" spans="1:4" ht="20.25">
      <c r="A1024" t="s">
        <v>680</v>
      </c>
      <c r="B1024" s="2883">
        <v>0</v>
      </c>
      <c r="C1024" s="2883">
        <v>72682</v>
      </c>
      <c r="D1024" s="2882">
        <v>7919.4753446881823</v>
      </c>
    </row>
    <row r="1025" spans="1:4" ht="20.25">
      <c r="A1025" t="s">
        <v>1471</v>
      </c>
      <c r="B1025" s="2883">
        <v>0</v>
      </c>
      <c r="C1025" s="2883">
        <v>73422</v>
      </c>
      <c r="D1025" s="2882">
        <v>6185.1162241012944</v>
      </c>
    </row>
    <row r="1026" spans="1:4" ht="20.25">
      <c r="A1026" t="s">
        <v>907</v>
      </c>
      <c r="B1026" s="2883">
        <v>0</v>
      </c>
      <c r="C1026" s="2883">
        <v>180158</v>
      </c>
      <c r="D1026" s="2882">
        <v>4915.1723100872259</v>
      </c>
    </row>
    <row r="1027" spans="1:4" ht="20.25">
      <c r="A1027" t="s">
        <v>1472</v>
      </c>
      <c r="B1027" s="2883">
        <v>0</v>
      </c>
      <c r="C1027" s="2883">
        <v>24794</v>
      </c>
      <c r="D1027" s="2882">
        <v>4944.5584742807896</v>
      </c>
    </row>
    <row r="1028" spans="1:4" ht="20.25">
      <c r="A1028" t="s">
        <v>1504</v>
      </c>
      <c r="B1028" s="2883">
        <v>0</v>
      </c>
      <c r="C1028" s="2883">
        <v>25321</v>
      </c>
      <c r="D1028" s="2882">
        <v>4801.6973442917661</v>
      </c>
    </row>
    <row r="1029" spans="1:4" ht="20.25">
      <c r="A1029" t="s">
        <v>514</v>
      </c>
      <c r="B1029" s="2883">
        <v>26805</v>
      </c>
      <c r="C1029" s="2883">
        <v>296884</v>
      </c>
      <c r="D1029" s="2882">
        <v>6967.6924934809267</v>
      </c>
    </row>
    <row r="1030" spans="1:4" ht="20.25">
      <c r="A1030" t="s">
        <v>2406</v>
      </c>
      <c r="B1030" s="2883">
        <v>0</v>
      </c>
      <c r="C1030" s="2883">
        <v>79950</v>
      </c>
      <c r="D1030" s="2882">
        <v>4885.9781375857892</v>
      </c>
    </row>
    <row r="1031" spans="1:4" ht="20.25">
      <c r="A1031" t="s">
        <v>1688</v>
      </c>
      <c r="B1031" s="2883">
        <v>0</v>
      </c>
      <c r="C1031" s="2883">
        <v>0</v>
      </c>
      <c r="D1031" s="2882">
        <v>4678.5379629450126</v>
      </c>
    </row>
  </sheetData>
  <phoneticPr fontId="25" type="noConversion"/>
  <pageMargins left="0.7" right="0.7" top="0.75" bottom="0.75" header="0.3" footer="0.3"/>
  <pageSetup orientation="portrait" horizontalDpi="1200" verticalDpi="12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2578125" customWidth="1"/>
    <col min="3" max="3" width="12.85546875" style="1417" customWidth="1"/>
  </cols>
  <sheetData>
    <row r="1" spans="1:3">
      <c r="A1" s="92" t="s">
        <v>197</v>
      </c>
      <c r="B1" s="216" t="s">
        <v>279</v>
      </c>
      <c r="C1" s="2877">
        <v>1.5</v>
      </c>
    </row>
    <row r="2" spans="1:3">
      <c r="A2" s="92" t="s">
        <v>1954</v>
      </c>
      <c r="B2" s="216" t="s">
        <v>280</v>
      </c>
      <c r="C2" s="2877">
        <v>1.5</v>
      </c>
    </row>
    <row r="3" spans="1:3">
      <c r="A3" s="92" t="s">
        <v>14</v>
      </c>
      <c r="B3" s="216" t="s">
        <v>281</v>
      </c>
      <c r="C3" s="2877">
        <v>1.4556</v>
      </c>
    </row>
    <row r="4" spans="1:3">
      <c r="A4" s="92" t="s">
        <v>15</v>
      </c>
      <c r="B4" s="216" t="s">
        <v>282</v>
      </c>
      <c r="C4" s="2877">
        <v>1.5</v>
      </c>
    </row>
    <row r="5" spans="1:3">
      <c r="A5" s="92" t="s">
        <v>16</v>
      </c>
      <c r="B5" s="216" t="s">
        <v>283</v>
      </c>
      <c r="C5" s="2877">
        <v>1.5</v>
      </c>
    </row>
    <row r="6" spans="1:3">
      <c r="A6" s="92" t="s">
        <v>1098</v>
      </c>
      <c r="B6" s="216" t="s">
        <v>1188</v>
      </c>
      <c r="C6" s="2877">
        <v>1.337</v>
      </c>
    </row>
    <row r="7" spans="1:3">
      <c r="A7" s="92" t="s">
        <v>1099</v>
      </c>
      <c r="B7" s="216" t="s">
        <v>1189</v>
      </c>
      <c r="C7" s="2877">
        <v>1.2871999999999999</v>
      </c>
    </row>
    <row r="8" spans="1:3">
      <c r="A8" s="92" t="s">
        <v>1841</v>
      </c>
      <c r="B8" s="216" t="s">
        <v>1190</v>
      </c>
      <c r="C8" s="2877">
        <v>1.5</v>
      </c>
    </row>
    <row r="9" spans="1:3">
      <c r="A9" s="92" t="s">
        <v>676</v>
      </c>
      <c r="B9" s="216" t="s">
        <v>2382</v>
      </c>
      <c r="C9" s="2877">
        <v>1.4350000000000001</v>
      </c>
    </row>
    <row r="10" spans="1:3">
      <c r="A10" s="92" t="s">
        <v>1452</v>
      </c>
      <c r="B10" s="216" t="s">
        <v>1191</v>
      </c>
      <c r="C10" s="2877">
        <v>1.5</v>
      </c>
    </row>
    <row r="11" spans="1:3">
      <c r="A11" s="92" t="s">
        <v>1118</v>
      </c>
      <c r="B11" s="216" t="s">
        <v>1266</v>
      </c>
      <c r="C11" s="2877">
        <v>1.5</v>
      </c>
    </row>
    <row r="12" spans="1:3">
      <c r="A12" s="92" t="s">
        <v>337</v>
      </c>
      <c r="B12" s="216" t="s">
        <v>1192</v>
      </c>
      <c r="C12" s="2877">
        <v>1.5</v>
      </c>
    </row>
    <row r="13" spans="1:3">
      <c r="A13" s="92" t="s">
        <v>338</v>
      </c>
      <c r="B13" s="216" t="s">
        <v>1193</v>
      </c>
      <c r="C13" s="2877">
        <v>1.4415</v>
      </c>
    </row>
    <row r="14" spans="1:3">
      <c r="A14" s="92" t="s">
        <v>339</v>
      </c>
      <c r="B14" s="216" t="s">
        <v>1194</v>
      </c>
      <c r="C14" s="2877">
        <v>1.5</v>
      </c>
    </row>
    <row r="15" spans="1:3">
      <c r="A15" s="92" t="s">
        <v>2479</v>
      </c>
      <c r="B15" s="216" t="s">
        <v>1195</v>
      </c>
      <c r="C15" s="2877">
        <v>1.462</v>
      </c>
    </row>
    <row r="16" spans="1:3">
      <c r="A16" s="92" t="s">
        <v>2480</v>
      </c>
      <c r="B16" s="216" t="s">
        <v>1196</v>
      </c>
      <c r="C16" s="2877">
        <v>1.35</v>
      </c>
    </row>
    <row r="17" spans="1:3">
      <c r="A17" s="92" t="s">
        <v>2481</v>
      </c>
      <c r="B17" s="216" t="s">
        <v>1197</v>
      </c>
      <c r="C17" s="2877">
        <v>1.5</v>
      </c>
    </row>
    <row r="18" spans="1:3">
      <c r="A18" s="92" t="s">
        <v>1945</v>
      </c>
      <c r="B18" s="216" t="s">
        <v>1128</v>
      </c>
      <c r="C18" s="2877">
        <v>1.5</v>
      </c>
    </row>
    <row r="19" spans="1:3">
      <c r="A19" s="92" t="s">
        <v>2483</v>
      </c>
      <c r="B19" s="216" t="s">
        <v>1198</v>
      </c>
      <c r="C19" s="2877">
        <v>1.36</v>
      </c>
    </row>
    <row r="20" spans="1:3">
      <c r="A20" s="92" t="s">
        <v>708</v>
      </c>
      <c r="B20" s="216" t="s">
        <v>661</v>
      </c>
      <c r="C20" s="2877">
        <v>1.39</v>
      </c>
    </row>
    <row r="21" spans="1:3">
      <c r="A21" s="92" t="s">
        <v>2484</v>
      </c>
      <c r="B21" s="216" t="s">
        <v>1199</v>
      </c>
      <c r="C21" s="2877">
        <v>1.5</v>
      </c>
    </row>
    <row r="22" spans="1:3">
      <c r="A22" s="92" t="s">
        <v>2090</v>
      </c>
      <c r="B22" s="216" t="s">
        <v>1200</v>
      </c>
      <c r="C22" s="2877">
        <v>1.5</v>
      </c>
    </row>
    <row r="23" spans="1:3">
      <c r="A23" s="92" t="s">
        <v>213</v>
      </c>
      <c r="B23" s="216" t="s">
        <v>1001</v>
      </c>
      <c r="C23" s="2877">
        <v>1.5</v>
      </c>
    </row>
    <row r="24" spans="1:3">
      <c r="A24" s="92" t="s">
        <v>2133</v>
      </c>
      <c r="B24" s="216" t="s">
        <v>1004</v>
      </c>
      <c r="C24" s="2877">
        <v>1.5</v>
      </c>
    </row>
    <row r="25" spans="1:3">
      <c r="A25" s="92" t="s">
        <v>2485</v>
      </c>
      <c r="B25" s="216" t="s">
        <v>1201</v>
      </c>
      <c r="C25" s="2877">
        <v>1.5</v>
      </c>
    </row>
    <row r="26" spans="1:3">
      <c r="A26" s="92" t="s">
        <v>685</v>
      </c>
      <c r="B26" s="216" t="s">
        <v>1202</v>
      </c>
      <c r="C26" s="2877">
        <v>1.38</v>
      </c>
    </row>
    <row r="27" spans="1:3">
      <c r="A27" s="92" t="s">
        <v>686</v>
      </c>
      <c r="B27" s="216" t="s">
        <v>1203</v>
      </c>
      <c r="C27" s="2877">
        <v>1.5</v>
      </c>
    </row>
    <row r="28" spans="1:3">
      <c r="A28" s="92" t="s">
        <v>687</v>
      </c>
      <c r="B28" s="216" t="s">
        <v>1204</v>
      </c>
      <c r="C28" s="2877">
        <v>1.5</v>
      </c>
    </row>
    <row r="29" spans="1:3">
      <c r="A29" s="92" t="s">
        <v>188</v>
      </c>
      <c r="B29" s="216" t="s">
        <v>1205</v>
      </c>
      <c r="C29" s="2877">
        <v>1.38</v>
      </c>
    </row>
    <row r="30" spans="1:3">
      <c r="A30" s="92" t="s">
        <v>1946</v>
      </c>
      <c r="B30" s="216" t="s">
        <v>2121</v>
      </c>
      <c r="C30" s="2877">
        <v>1.44</v>
      </c>
    </row>
    <row r="31" spans="1:3">
      <c r="A31" s="92" t="s">
        <v>1683</v>
      </c>
      <c r="B31" s="216" t="s">
        <v>2123</v>
      </c>
      <c r="C31" s="2877">
        <v>1.5</v>
      </c>
    </row>
    <row r="32" spans="1:3">
      <c r="A32" s="92" t="s">
        <v>773</v>
      </c>
      <c r="B32" s="216" t="s">
        <v>890</v>
      </c>
      <c r="C32" s="2877">
        <v>1.5</v>
      </c>
    </row>
    <row r="33" spans="1:3">
      <c r="A33" s="92" t="s">
        <v>2366</v>
      </c>
      <c r="B33" s="216" t="s">
        <v>1928</v>
      </c>
      <c r="C33" s="2877">
        <v>1.5</v>
      </c>
    </row>
    <row r="34" spans="1:3">
      <c r="A34" s="92" t="s">
        <v>2134</v>
      </c>
      <c r="B34" s="216" t="s">
        <v>818</v>
      </c>
      <c r="C34" s="2877">
        <v>1.5</v>
      </c>
    </row>
    <row r="35" spans="1:3">
      <c r="A35" s="92" t="s">
        <v>452</v>
      </c>
      <c r="B35" s="216" t="s">
        <v>1206</v>
      </c>
      <c r="C35" s="2877">
        <v>1.5</v>
      </c>
    </row>
    <row r="36" spans="1:3">
      <c r="A36" s="92" t="s">
        <v>2367</v>
      </c>
      <c r="B36" s="216" t="s">
        <v>2124</v>
      </c>
      <c r="C36" s="2877">
        <v>1.5</v>
      </c>
    </row>
    <row r="37" spans="1:3">
      <c r="A37" s="92" t="s">
        <v>2651</v>
      </c>
      <c r="B37" s="216" t="s">
        <v>1207</v>
      </c>
      <c r="C37" s="2877">
        <v>1.3035000000000001</v>
      </c>
    </row>
    <row r="38" spans="1:3">
      <c r="A38" s="92" t="s">
        <v>2652</v>
      </c>
      <c r="B38" s="216" t="s">
        <v>1208</v>
      </c>
      <c r="C38" s="2877">
        <v>1.5</v>
      </c>
    </row>
    <row r="39" spans="1:3">
      <c r="A39" s="92" t="s">
        <v>1149</v>
      </c>
      <c r="B39" s="216" t="s">
        <v>1828</v>
      </c>
      <c r="C39" s="2877">
        <v>1.5</v>
      </c>
    </row>
    <row r="40" spans="1:3">
      <c r="A40" s="92" t="s">
        <v>2135</v>
      </c>
      <c r="B40" s="216" t="s">
        <v>1209</v>
      </c>
      <c r="C40" s="2877">
        <v>1.4993000000000001</v>
      </c>
    </row>
    <row r="41" spans="1:3">
      <c r="A41" s="92" t="s">
        <v>1682</v>
      </c>
      <c r="B41" s="216" t="s">
        <v>2122</v>
      </c>
      <c r="C41" s="2877">
        <v>1.5</v>
      </c>
    </row>
    <row r="42" spans="1:3">
      <c r="A42" s="92" t="s">
        <v>1685</v>
      </c>
      <c r="B42" s="216" t="s">
        <v>2680</v>
      </c>
      <c r="C42" s="2877">
        <v>1.5</v>
      </c>
    </row>
    <row r="43" spans="1:3">
      <c r="A43" s="92" t="s">
        <v>170</v>
      </c>
      <c r="B43" s="216" t="s">
        <v>2377</v>
      </c>
      <c r="C43" s="2877">
        <v>1.42</v>
      </c>
    </row>
    <row r="44" spans="1:3">
      <c r="A44" s="92" t="s">
        <v>53</v>
      </c>
      <c r="B44" s="216" t="s">
        <v>2518</v>
      </c>
      <c r="C44" s="2877">
        <v>1.42</v>
      </c>
    </row>
    <row r="45" spans="1:3">
      <c r="A45" s="92" t="s">
        <v>166</v>
      </c>
      <c r="B45" s="216" t="s">
        <v>1402</v>
      </c>
      <c r="C45" s="2877">
        <v>1.4750000000000001</v>
      </c>
    </row>
    <row r="46" spans="1:3">
      <c r="A46" s="92" t="s">
        <v>1312</v>
      </c>
      <c r="B46" s="216" t="s">
        <v>2025</v>
      </c>
      <c r="C46" s="2877">
        <v>1.4219999999999999</v>
      </c>
    </row>
    <row r="47" spans="1:3">
      <c r="A47" s="92" t="s">
        <v>1514</v>
      </c>
      <c r="B47" s="216" t="s">
        <v>603</v>
      </c>
      <c r="C47" s="2877">
        <v>1.5</v>
      </c>
    </row>
    <row r="48" spans="1:3">
      <c r="A48" s="92" t="s">
        <v>1519</v>
      </c>
      <c r="B48" s="216" t="s">
        <v>2312</v>
      </c>
      <c r="C48" s="2877">
        <v>1.49</v>
      </c>
    </row>
    <row r="49" spans="1:3">
      <c r="A49" s="92" t="s">
        <v>423</v>
      </c>
      <c r="B49" s="216" t="s">
        <v>2280</v>
      </c>
      <c r="C49" s="2877">
        <v>1.5</v>
      </c>
    </row>
    <row r="50" spans="1:3">
      <c r="A50" s="92" t="s">
        <v>1859</v>
      </c>
      <c r="B50" s="216" t="s">
        <v>724</v>
      </c>
      <c r="C50" s="2877">
        <v>1.5</v>
      </c>
    </row>
    <row r="51" spans="1:3">
      <c r="A51" s="92" t="s">
        <v>771</v>
      </c>
      <c r="B51" s="216" t="s">
        <v>888</v>
      </c>
      <c r="C51" s="2877">
        <v>1.5</v>
      </c>
    </row>
    <row r="52" spans="1:3">
      <c r="A52" s="92" t="s">
        <v>1314</v>
      </c>
      <c r="B52" s="216" t="s">
        <v>2028</v>
      </c>
      <c r="C52" s="2877">
        <v>1.5</v>
      </c>
    </row>
    <row r="53" spans="1:3">
      <c r="A53" s="92" t="s">
        <v>1506</v>
      </c>
      <c r="B53" s="216" t="s">
        <v>1932</v>
      </c>
      <c r="C53" s="2877">
        <v>1.5</v>
      </c>
    </row>
    <row r="54" spans="1:3">
      <c r="A54" s="92" t="s">
        <v>1152</v>
      </c>
      <c r="B54" s="216" t="s">
        <v>1931</v>
      </c>
      <c r="C54" s="2877">
        <v>1.5</v>
      </c>
    </row>
    <row r="55" spans="1:3">
      <c r="A55" s="92" t="s">
        <v>1407</v>
      </c>
      <c r="B55" s="216" t="s">
        <v>2287</v>
      </c>
      <c r="C55" s="2877">
        <v>1.5</v>
      </c>
    </row>
    <row r="56" spans="1:3">
      <c r="A56" s="92" t="s">
        <v>768</v>
      </c>
      <c r="B56" s="216" t="s">
        <v>1064</v>
      </c>
      <c r="C56" s="2877">
        <v>1.5</v>
      </c>
    </row>
    <row r="57" spans="1:3">
      <c r="A57" s="92" t="s">
        <v>709</v>
      </c>
      <c r="B57" s="216" t="s">
        <v>1934</v>
      </c>
      <c r="C57" s="2877">
        <v>1.5</v>
      </c>
    </row>
    <row r="58" spans="1:3">
      <c r="A58" s="92" t="s">
        <v>1409</v>
      </c>
      <c r="B58" s="216" t="s">
        <v>2289</v>
      </c>
      <c r="C58" s="2877">
        <v>1.5</v>
      </c>
    </row>
    <row r="59" spans="1:3">
      <c r="A59" s="92" t="s">
        <v>46</v>
      </c>
      <c r="B59" s="216" t="s">
        <v>408</v>
      </c>
      <c r="C59" s="2877">
        <v>1.5</v>
      </c>
    </row>
    <row r="60" spans="1:3">
      <c r="A60" s="92" t="s">
        <v>1507</v>
      </c>
      <c r="B60" s="216" t="s">
        <v>1933</v>
      </c>
      <c r="C60" s="2877">
        <v>1.5</v>
      </c>
    </row>
    <row r="61" spans="1:3">
      <c r="A61" s="92" t="s">
        <v>1210</v>
      </c>
      <c r="B61" s="216" t="s">
        <v>2281</v>
      </c>
      <c r="C61" s="2877">
        <v>1.3701000000000001</v>
      </c>
    </row>
    <row r="62" spans="1:3">
      <c r="A62" s="92" t="s">
        <v>874</v>
      </c>
      <c r="B62" s="216" t="s">
        <v>798</v>
      </c>
      <c r="C62" s="2877">
        <v>1.2542</v>
      </c>
    </row>
    <row r="63" spans="1:3">
      <c r="A63" s="92" t="s">
        <v>1211</v>
      </c>
      <c r="B63" s="216" t="s">
        <v>2282</v>
      </c>
      <c r="C63" s="2877">
        <v>1.44</v>
      </c>
    </row>
    <row r="64" spans="1:3">
      <c r="A64" s="92" t="s">
        <v>575</v>
      </c>
      <c r="B64" s="216" t="s">
        <v>1165</v>
      </c>
      <c r="C64" s="2877">
        <v>1.4261999999999999</v>
      </c>
    </row>
    <row r="65" spans="1:3">
      <c r="A65" s="92" t="s">
        <v>1212</v>
      </c>
      <c r="B65" s="216" t="s">
        <v>2682</v>
      </c>
      <c r="C65" s="2877">
        <v>1.2291000000000001</v>
      </c>
    </row>
    <row r="66" spans="1:3">
      <c r="A66" s="92" t="s">
        <v>1113</v>
      </c>
      <c r="B66" s="216" t="s">
        <v>2683</v>
      </c>
      <c r="C66" s="2877">
        <v>1.47</v>
      </c>
    </row>
    <row r="67" spans="1:3">
      <c r="A67" s="92" t="s">
        <v>1114</v>
      </c>
      <c r="B67" s="216" t="s">
        <v>2684</v>
      </c>
      <c r="C67" s="2877">
        <v>1.5</v>
      </c>
    </row>
    <row r="68" spans="1:3">
      <c r="A68" s="92" t="s">
        <v>1901</v>
      </c>
      <c r="B68" s="216" t="s">
        <v>2024</v>
      </c>
      <c r="C68" s="2877">
        <v>1.1499999999999999</v>
      </c>
    </row>
    <row r="69" spans="1:3">
      <c r="A69" s="92" t="s">
        <v>1645</v>
      </c>
      <c r="B69" s="216" t="s">
        <v>2685</v>
      </c>
      <c r="C69" s="2877">
        <v>1.4291</v>
      </c>
    </row>
    <row r="70" spans="1:3">
      <c r="A70" s="92" t="s">
        <v>1646</v>
      </c>
      <c r="B70" s="216" t="s">
        <v>2686</v>
      </c>
      <c r="C70" s="2877">
        <v>1.48</v>
      </c>
    </row>
    <row r="71" spans="1:3">
      <c r="A71" s="92" t="s">
        <v>1647</v>
      </c>
      <c r="B71" s="216" t="s">
        <v>2687</v>
      </c>
      <c r="C71" s="2877">
        <v>1.46</v>
      </c>
    </row>
    <row r="72" spans="1:3">
      <c r="A72" s="92" t="s">
        <v>885</v>
      </c>
      <c r="B72" s="216" t="s">
        <v>2666</v>
      </c>
      <c r="C72" s="2877">
        <v>1.5</v>
      </c>
    </row>
    <row r="73" spans="1:3">
      <c r="A73" s="92" t="s">
        <v>710</v>
      </c>
      <c r="B73" s="216" t="s">
        <v>2379</v>
      </c>
      <c r="C73" s="2877">
        <v>1.41</v>
      </c>
    </row>
    <row r="74" spans="1:3">
      <c r="A74" s="92" t="s">
        <v>2136</v>
      </c>
      <c r="B74" s="216" t="s">
        <v>2067</v>
      </c>
      <c r="C74" s="2877">
        <v>1.3545</v>
      </c>
    </row>
    <row r="75" spans="1:3">
      <c r="A75" s="92" t="s">
        <v>2638</v>
      </c>
      <c r="B75" s="216" t="s">
        <v>1398</v>
      </c>
      <c r="C75" s="2877">
        <v>1.4567000000000001</v>
      </c>
    </row>
    <row r="76" spans="1:3">
      <c r="A76" s="92" t="s">
        <v>1096</v>
      </c>
      <c r="B76" s="216" t="s">
        <v>1399</v>
      </c>
      <c r="C76" s="2877">
        <v>1.3714999999999999</v>
      </c>
    </row>
    <row r="77" spans="1:3">
      <c r="A77" s="92" t="s">
        <v>1097</v>
      </c>
      <c r="B77" s="216" t="s">
        <v>1400</v>
      </c>
      <c r="C77" s="2877">
        <v>1.5</v>
      </c>
    </row>
    <row r="78" spans="1:3">
      <c r="A78" s="92" t="s">
        <v>1124</v>
      </c>
      <c r="B78" s="216" t="s">
        <v>2486</v>
      </c>
      <c r="C78" s="2877">
        <v>1.4644999999999999</v>
      </c>
    </row>
    <row r="79" spans="1:3">
      <c r="A79" s="92" t="s">
        <v>2137</v>
      </c>
      <c r="B79" s="216" t="s">
        <v>266</v>
      </c>
      <c r="C79" s="2877">
        <v>1.3229</v>
      </c>
    </row>
    <row r="80" spans="1:3">
      <c r="A80" s="92" t="s">
        <v>984</v>
      </c>
      <c r="B80" s="216" t="s">
        <v>289</v>
      </c>
      <c r="C80" s="2877">
        <v>1.43</v>
      </c>
    </row>
    <row r="81" spans="1:3">
      <c r="A81" s="92" t="s">
        <v>842</v>
      </c>
      <c r="B81" s="216" t="s">
        <v>2487</v>
      </c>
      <c r="C81" s="2877">
        <v>0.96640000000000004</v>
      </c>
    </row>
    <row r="82" spans="1:3">
      <c r="A82" s="92" t="s">
        <v>1125</v>
      </c>
      <c r="B82" s="216" t="s">
        <v>2488</v>
      </c>
      <c r="C82" s="2877">
        <v>1.4694</v>
      </c>
    </row>
    <row r="83" spans="1:3">
      <c r="A83" s="92" t="s">
        <v>1126</v>
      </c>
      <c r="B83" s="216" t="s">
        <v>2381</v>
      </c>
      <c r="C83" s="2877">
        <v>1.46</v>
      </c>
    </row>
    <row r="84" spans="1:3">
      <c r="A84" s="92" t="s">
        <v>843</v>
      </c>
      <c r="B84" s="216" t="s">
        <v>2489</v>
      </c>
      <c r="C84" s="2877">
        <v>1.41</v>
      </c>
    </row>
    <row r="85" spans="1:3">
      <c r="A85" s="92" t="s">
        <v>179</v>
      </c>
      <c r="B85" s="216" t="s">
        <v>1052</v>
      </c>
      <c r="C85" s="2877">
        <v>1.4410000000000001</v>
      </c>
    </row>
    <row r="86" spans="1:3">
      <c r="A86" s="92" t="s">
        <v>919</v>
      </c>
      <c r="B86" s="216" t="s">
        <v>2490</v>
      </c>
      <c r="C86" s="2877">
        <v>1.4151</v>
      </c>
    </row>
    <row r="87" spans="1:3">
      <c r="A87" s="92" t="s">
        <v>711</v>
      </c>
      <c r="B87" s="216" t="s">
        <v>2662</v>
      </c>
      <c r="C87" s="2877">
        <v>1.4582999999999999</v>
      </c>
    </row>
    <row r="88" spans="1:3">
      <c r="A88" s="92" t="s">
        <v>1157</v>
      </c>
      <c r="B88" s="216" t="s">
        <v>2491</v>
      </c>
      <c r="C88" s="2877">
        <v>1.3626</v>
      </c>
    </row>
    <row r="89" spans="1:3">
      <c r="A89" s="92" t="s">
        <v>1158</v>
      </c>
      <c r="B89" s="216" t="s">
        <v>2492</v>
      </c>
      <c r="C89" s="2877">
        <v>1.5</v>
      </c>
    </row>
    <row r="90" spans="1:3">
      <c r="A90" s="92" t="s">
        <v>1435</v>
      </c>
      <c r="B90" s="216" t="s">
        <v>1548</v>
      </c>
      <c r="C90" s="2877">
        <v>1.5</v>
      </c>
    </row>
    <row r="91" spans="1:3">
      <c r="A91" s="92" t="s">
        <v>207</v>
      </c>
      <c r="B91" s="216" t="s">
        <v>273</v>
      </c>
      <c r="C91" s="2877">
        <v>1.5</v>
      </c>
    </row>
    <row r="92" spans="1:3">
      <c r="A92" s="92" t="s">
        <v>1159</v>
      </c>
      <c r="B92" s="216" t="s">
        <v>2493</v>
      </c>
      <c r="C92" s="2877">
        <v>1.42</v>
      </c>
    </row>
    <row r="93" spans="1:3">
      <c r="A93" s="92" t="s">
        <v>578</v>
      </c>
      <c r="B93" s="216" t="s">
        <v>1169</v>
      </c>
      <c r="C93" s="2877">
        <v>1.5</v>
      </c>
    </row>
    <row r="94" spans="1:3">
      <c r="A94" s="92" t="s">
        <v>882</v>
      </c>
      <c r="B94" s="216" t="s">
        <v>2636</v>
      </c>
      <c r="C94" s="2877">
        <v>1.5</v>
      </c>
    </row>
    <row r="95" spans="1:3">
      <c r="A95" s="92" t="s">
        <v>2549</v>
      </c>
      <c r="B95" s="216" t="s">
        <v>2494</v>
      </c>
      <c r="C95" s="2877">
        <v>1.3</v>
      </c>
    </row>
    <row r="96" spans="1:3">
      <c r="A96" s="92" t="s">
        <v>400</v>
      </c>
      <c r="B96" s="216" t="s">
        <v>2495</v>
      </c>
      <c r="C96" s="2877">
        <v>1.5</v>
      </c>
    </row>
    <row r="97" spans="1:3">
      <c r="A97" s="92" t="s">
        <v>401</v>
      </c>
      <c r="B97" s="216" t="s">
        <v>1589</v>
      </c>
      <c r="C97" s="2877">
        <v>1.5</v>
      </c>
    </row>
    <row r="98" spans="1:3">
      <c r="A98" s="92" t="s">
        <v>402</v>
      </c>
      <c r="B98" s="216" t="s">
        <v>1590</v>
      </c>
      <c r="C98" s="2877">
        <v>1.23</v>
      </c>
    </row>
    <row r="99" spans="1:3">
      <c r="A99" s="92" t="s">
        <v>403</v>
      </c>
      <c r="B99" s="216" t="s">
        <v>1591</v>
      </c>
      <c r="C99" s="2877">
        <v>1.36</v>
      </c>
    </row>
    <row r="100" spans="1:3">
      <c r="A100" s="92" t="s">
        <v>669</v>
      </c>
      <c r="B100" s="216" t="s">
        <v>1592</v>
      </c>
      <c r="C100" s="2877">
        <v>1.3937999999999999</v>
      </c>
    </row>
    <row r="101" spans="1:3">
      <c r="A101" s="92" t="s">
        <v>670</v>
      </c>
      <c r="B101" s="216" t="s">
        <v>1593</v>
      </c>
      <c r="C101" s="2877">
        <v>1.4265000000000001</v>
      </c>
    </row>
    <row r="102" spans="1:3">
      <c r="A102" s="92" t="s">
        <v>671</v>
      </c>
      <c r="B102" s="216" t="s">
        <v>1594</v>
      </c>
      <c r="C102" s="2877">
        <v>1.46</v>
      </c>
    </row>
    <row r="103" spans="1:3">
      <c r="A103" s="92" t="s">
        <v>876</v>
      </c>
      <c r="B103" s="216" t="s">
        <v>1343</v>
      </c>
      <c r="C103" s="2877">
        <v>1.5</v>
      </c>
    </row>
    <row r="104" spans="1:3">
      <c r="A104" s="92" t="s">
        <v>2528</v>
      </c>
      <c r="B104" s="216" t="s">
        <v>2068</v>
      </c>
      <c r="C104" s="2877">
        <v>1.325</v>
      </c>
    </row>
    <row r="105" spans="1:3">
      <c r="A105" s="92" t="s">
        <v>1187</v>
      </c>
      <c r="B105" s="216" t="s">
        <v>2675</v>
      </c>
      <c r="C105" s="2877">
        <v>1.375</v>
      </c>
    </row>
    <row r="106" spans="1:3">
      <c r="A106" s="92" t="s">
        <v>712</v>
      </c>
      <c r="B106" s="216" t="s">
        <v>2416</v>
      </c>
      <c r="C106" s="2877">
        <v>1.5</v>
      </c>
    </row>
    <row r="107" spans="1:3">
      <c r="A107" s="92" t="s">
        <v>769</v>
      </c>
      <c r="B107" s="216" t="s">
        <v>1063</v>
      </c>
      <c r="C107" s="2877">
        <v>1.4530000000000001</v>
      </c>
    </row>
    <row r="108" spans="1:3">
      <c r="A108" s="92" t="s">
        <v>672</v>
      </c>
      <c r="B108" s="216" t="s">
        <v>1595</v>
      </c>
      <c r="C108" s="2877">
        <v>1.5</v>
      </c>
    </row>
    <row r="109" spans="1:3">
      <c r="A109" s="92" t="s">
        <v>673</v>
      </c>
      <c r="B109" s="216" t="s">
        <v>1596</v>
      </c>
      <c r="C109" s="2877">
        <v>1.5</v>
      </c>
    </row>
    <row r="110" spans="1:3">
      <c r="A110" s="92" t="s">
        <v>674</v>
      </c>
      <c r="B110" s="216" t="s">
        <v>1597</v>
      </c>
      <c r="C110" s="2877">
        <v>1.5</v>
      </c>
    </row>
    <row r="111" spans="1:3">
      <c r="A111" s="92" t="s">
        <v>1885</v>
      </c>
      <c r="B111" s="216" t="s">
        <v>1450</v>
      </c>
      <c r="C111" s="2877">
        <v>1.4750000000000001</v>
      </c>
    </row>
    <row r="112" spans="1:3">
      <c r="A112" s="92" t="s">
        <v>348</v>
      </c>
      <c r="B112" s="216" t="s">
        <v>291</v>
      </c>
      <c r="C112" s="2877">
        <v>1.49</v>
      </c>
    </row>
    <row r="113" spans="1:3">
      <c r="A113" s="92" t="s">
        <v>456</v>
      </c>
      <c r="B113" s="216" t="s">
        <v>2227</v>
      </c>
      <c r="C113" s="2877">
        <v>1.5</v>
      </c>
    </row>
    <row r="114" spans="1:3">
      <c r="A114" s="92" t="s">
        <v>1154</v>
      </c>
      <c r="B114" s="216" t="s">
        <v>838</v>
      </c>
      <c r="C114" s="2877">
        <v>1.2849999999999999</v>
      </c>
    </row>
    <row r="115" spans="1:3">
      <c r="A115" s="92" t="s">
        <v>2306</v>
      </c>
      <c r="B115" s="216" t="s">
        <v>1598</v>
      </c>
      <c r="C115" s="2877">
        <v>1.2</v>
      </c>
    </row>
    <row r="116" spans="1:3">
      <c r="A116" s="92" t="s">
        <v>1359</v>
      </c>
      <c r="B116" s="216" t="s">
        <v>1599</v>
      </c>
      <c r="C116" s="2877">
        <v>1.4176</v>
      </c>
    </row>
    <row r="117" spans="1:3">
      <c r="A117" s="92" t="s">
        <v>2341</v>
      </c>
      <c r="B117" s="216" t="s">
        <v>1600</v>
      </c>
      <c r="C117" s="2877">
        <v>1.2273000000000001</v>
      </c>
    </row>
    <row r="118" spans="1:3">
      <c r="A118" s="92" t="s">
        <v>713</v>
      </c>
      <c r="B118" s="216" t="s">
        <v>1167</v>
      </c>
      <c r="C118" s="2877">
        <v>1.5</v>
      </c>
    </row>
    <row r="119" spans="1:3">
      <c r="A119" s="92" t="s">
        <v>148</v>
      </c>
      <c r="B119" s="216" t="s">
        <v>1601</v>
      </c>
      <c r="C119" s="2877">
        <v>1.3620000000000001</v>
      </c>
    </row>
    <row r="120" spans="1:3">
      <c r="A120" s="92" t="s">
        <v>1829</v>
      </c>
      <c r="B120" s="216" t="s">
        <v>1602</v>
      </c>
      <c r="C120" s="2877">
        <v>1.5</v>
      </c>
    </row>
    <row r="121" spans="1:3">
      <c r="A121" s="92" t="s">
        <v>881</v>
      </c>
      <c r="B121" s="216" t="s">
        <v>2635</v>
      </c>
      <c r="C121" s="2877">
        <v>1.4387000000000001</v>
      </c>
    </row>
    <row r="122" spans="1:3">
      <c r="A122" s="92" t="s">
        <v>1860</v>
      </c>
      <c r="B122" s="216" t="s">
        <v>460</v>
      </c>
      <c r="C122" s="2877">
        <v>1.4650000000000001</v>
      </c>
    </row>
    <row r="123" spans="1:3">
      <c r="A123" s="92" t="s">
        <v>57</v>
      </c>
      <c r="B123" s="216" t="s">
        <v>1881</v>
      </c>
      <c r="C123" s="2877">
        <v>1.3640000000000001</v>
      </c>
    </row>
    <row r="124" spans="1:3">
      <c r="A124" s="92" t="s">
        <v>2283</v>
      </c>
      <c r="B124" s="216" t="s">
        <v>1258</v>
      </c>
      <c r="C124" s="2877">
        <v>1.454</v>
      </c>
    </row>
    <row r="125" spans="1:3">
      <c r="A125" s="92" t="s">
        <v>1679</v>
      </c>
      <c r="B125" s="216" t="s">
        <v>1603</v>
      </c>
      <c r="C125" s="2877">
        <v>1.2875000000000001</v>
      </c>
    </row>
    <row r="126" spans="1:3">
      <c r="A126" s="92" t="s">
        <v>714</v>
      </c>
      <c r="B126" s="216" t="s">
        <v>2694</v>
      </c>
      <c r="C126" s="2877">
        <v>1.47</v>
      </c>
    </row>
    <row r="127" spans="1:3">
      <c r="A127" s="92" t="s">
        <v>1315</v>
      </c>
      <c r="B127" s="216" t="s">
        <v>2029</v>
      </c>
      <c r="C127" s="2877">
        <v>1.4450000000000001</v>
      </c>
    </row>
    <row r="128" spans="1:3">
      <c r="A128" s="92" t="s">
        <v>715</v>
      </c>
      <c r="B128" s="216" t="s">
        <v>86</v>
      </c>
      <c r="C128" s="2877">
        <v>1.5</v>
      </c>
    </row>
    <row r="129" spans="1:3">
      <c r="A129" s="92" t="s">
        <v>492</v>
      </c>
      <c r="B129" s="216" t="s">
        <v>87</v>
      </c>
      <c r="C129" s="2877">
        <v>1.46</v>
      </c>
    </row>
    <row r="130" spans="1:3">
      <c r="A130" s="92" t="s">
        <v>933</v>
      </c>
      <c r="B130" s="216" t="s">
        <v>1604</v>
      </c>
      <c r="C130" s="2877">
        <v>1.379</v>
      </c>
    </row>
    <row r="131" spans="1:3">
      <c r="A131" s="92" t="s">
        <v>934</v>
      </c>
      <c r="B131" s="216" t="s">
        <v>1605</v>
      </c>
      <c r="C131" s="2877">
        <v>1.5</v>
      </c>
    </row>
    <row r="132" spans="1:3">
      <c r="A132" s="92" t="s">
        <v>776</v>
      </c>
      <c r="B132" s="216" t="s">
        <v>2169</v>
      </c>
      <c r="C132" s="2877">
        <v>1.5</v>
      </c>
    </row>
    <row r="133" spans="1:3">
      <c r="A133" s="92" t="s">
        <v>1806</v>
      </c>
      <c r="B133" s="216" t="s">
        <v>2170</v>
      </c>
      <c r="C133" s="2877">
        <v>1.49</v>
      </c>
    </row>
    <row r="134" spans="1:3">
      <c r="A134" s="92" t="s">
        <v>1725</v>
      </c>
      <c r="B134" s="216" t="s">
        <v>2171</v>
      </c>
      <c r="C134" s="2877">
        <v>1.476</v>
      </c>
    </row>
    <row r="135" spans="1:3">
      <c r="A135" s="92" t="s">
        <v>1726</v>
      </c>
      <c r="B135" s="216" t="s">
        <v>2172</v>
      </c>
      <c r="C135" s="2877">
        <v>1.5</v>
      </c>
    </row>
    <row r="136" spans="1:3">
      <c r="A136" s="92" t="s">
        <v>743</v>
      </c>
      <c r="B136" s="216" t="s">
        <v>2173</v>
      </c>
      <c r="C136" s="2877">
        <v>1.47</v>
      </c>
    </row>
    <row r="137" spans="1:3">
      <c r="A137" s="92" t="s">
        <v>744</v>
      </c>
      <c r="B137" s="216" t="s">
        <v>1705</v>
      </c>
      <c r="C137" s="2877">
        <v>1.48</v>
      </c>
    </row>
    <row r="138" spans="1:3">
      <c r="A138" s="92" t="s">
        <v>1875</v>
      </c>
      <c r="B138" s="216" t="s">
        <v>821</v>
      </c>
      <c r="C138" s="2877">
        <v>1.3955</v>
      </c>
    </row>
    <row r="139" spans="1:3">
      <c r="A139" s="92" t="s">
        <v>745</v>
      </c>
      <c r="B139" s="216" t="s">
        <v>1706</v>
      </c>
      <c r="C139" s="2877">
        <v>1.5</v>
      </c>
    </row>
    <row r="140" spans="1:3">
      <c r="A140" s="92" t="s">
        <v>746</v>
      </c>
      <c r="B140" s="216" t="s">
        <v>1707</v>
      </c>
      <c r="C140" s="2877">
        <v>1.3862000000000001</v>
      </c>
    </row>
    <row r="141" spans="1:3">
      <c r="A141" s="92" t="s">
        <v>1952</v>
      </c>
      <c r="B141" s="216" t="s">
        <v>1708</v>
      </c>
      <c r="C141" s="2877">
        <v>1.5</v>
      </c>
    </row>
    <row r="142" spans="1:3">
      <c r="A142" s="92" t="s">
        <v>1953</v>
      </c>
      <c r="B142" s="216" t="s">
        <v>1709</v>
      </c>
      <c r="C142" s="2877">
        <v>1.5</v>
      </c>
    </row>
    <row r="143" spans="1:3">
      <c r="A143" s="92" t="s">
        <v>2431</v>
      </c>
      <c r="B143" s="216" t="s">
        <v>1710</v>
      </c>
      <c r="C143" s="2877">
        <v>1.45</v>
      </c>
    </row>
    <row r="144" spans="1:3">
      <c r="A144" s="92" t="s">
        <v>2539</v>
      </c>
      <c r="B144" s="216" t="s">
        <v>389</v>
      </c>
      <c r="C144" s="2877">
        <v>1.48</v>
      </c>
    </row>
    <row r="145" spans="1:3">
      <c r="A145" s="92" t="s">
        <v>1640</v>
      </c>
      <c r="B145" s="216" t="s">
        <v>1055</v>
      </c>
      <c r="C145" s="2877">
        <v>1.5</v>
      </c>
    </row>
    <row r="146" spans="1:3">
      <c r="A146" s="92" t="s">
        <v>2432</v>
      </c>
      <c r="B146" s="216" t="s">
        <v>1711</v>
      </c>
      <c r="C146" s="2877">
        <v>1.5</v>
      </c>
    </row>
    <row r="147" spans="1:3">
      <c r="A147" s="92" t="s">
        <v>285</v>
      </c>
      <c r="B147" s="216" t="s">
        <v>2369</v>
      </c>
      <c r="C147" s="2877">
        <v>1.41</v>
      </c>
    </row>
    <row r="148" spans="1:3">
      <c r="A148" s="92" t="s">
        <v>1469</v>
      </c>
      <c r="B148" s="216" t="s">
        <v>1499</v>
      </c>
      <c r="C148" s="2877">
        <v>1.464</v>
      </c>
    </row>
    <row r="149" spans="1:3">
      <c r="A149" s="92" t="s">
        <v>43</v>
      </c>
      <c r="B149" s="216" t="s">
        <v>405</v>
      </c>
      <c r="C149" s="2877">
        <v>1.4550000000000001</v>
      </c>
    </row>
    <row r="150" spans="1:3">
      <c r="A150" s="92" t="s">
        <v>1311</v>
      </c>
      <c r="B150" s="216" t="s">
        <v>614</v>
      </c>
      <c r="C150" s="2877">
        <v>1.5</v>
      </c>
    </row>
    <row r="151" spans="1:3">
      <c r="A151" s="92" t="s">
        <v>2542</v>
      </c>
      <c r="B151" s="216" t="s">
        <v>1143</v>
      </c>
      <c r="C151" s="2877">
        <v>1.5</v>
      </c>
    </row>
    <row r="152" spans="1:3">
      <c r="A152" s="92" t="s">
        <v>1470</v>
      </c>
      <c r="B152" s="216" t="s">
        <v>25</v>
      </c>
      <c r="C152" s="2877">
        <v>1.5</v>
      </c>
    </row>
    <row r="153" spans="1:3">
      <c r="A153" s="92" t="s">
        <v>71</v>
      </c>
      <c r="B153" s="216" t="s">
        <v>2185</v>
      </c>
      <c r="C153" s="2877">
        <v>1.5</v>
      </c>
    </row>
    <row r="154" spans="1:3">
      <c r="A154" s="92" t="s">
        <v>1110</v>
      </c>
      <c r="B154" s="216" t="s">
        <v>26</v>
      </c>
      <c r="C154" s="2877">
        <v>1.5</v>
      </c>
    </row>
    <row r="155" spans="1:3">
      <c r="A155" s="92" t="s">
        <v>2167</v>
      </c>
      <c r="B155" s="216" t="s">
        <v>1920</v>
      </c>
      <c r="C155" s="2877">
        <v>1.47</v>
      </c>
    </row>
    <row r="156" spans="1:3">
      <c r="A156" s="92" t="s">
        <v>716</v>
      </c>
      <c r="B156" s="216" t="s">
        <v>997</v>
      </c>
      <c r="C156" s="2877">
        <v>1.5</v>
      </c>
    </row>
    <row r="157" spans="1:3">
      <c r="A157" s="92" t="s">
        <v>2168</v>
      </c>
      <c r="B157" s="216" t="s">
        <v>1921</v>
      </c>
      <c r="C157" s="2877">
        <v>1.5</v>
      </c>
    </row>
    <row r="158" spans="1:3">
      <c r="A158" s="92" t="s">
        <v>1670</v>
      </c>
      <c r="B158" s="216" t="s">
        <v>1922</v>
      </c>
      <c r="C158" s="2877">
        <v>1.5</v>
      </c>
    </row>
    <row r="159" spans="1:3">
      <c r="A159" s="92" t="s">
        <v>1671</v>
      </c>
      <c r="B159" s="216" t="s">
        <v>2154</v>
      </c>
      <c r="C159" s="2877">
        <v>1.5</v>
      </c>
    </row>
    <row r="160" spans="1:3">
      <c r="A160" s="92" t="s">
        <v>795</v>
      </c>
      <c r="B160" s="216" t="s">
        <v>2155</v>
      </c>
      <c r="C160" s="2877">
        <v>1.5</v>
      </c>
    </row>
    <row r="161" spans="1:3">
      <c r="A161" s="92" t="s">
        <v>796</v>
      </c>
      <c r="B161" s="216" t="s">
        <v>2156</v>
      </c>
      <c r="C161" s="2877">
        <v>1.45</v>
      </c>
    </row>
    <row r="162" spans="1:3">
      <c r="A162" s="92" t="s">
        <v>815</v>
      </c>
      <c r="B162" s="216" t="s">
        <v>2157</v>
      </c>
      <c r="C162" s="2877">
        <v>1.5</v>
      </c>
    </row>
    <row r="163" spans="1:3">
      <c r="A163" s="92" t="s">
        <v>577</v>
      </c>
      <c r="B163" s="216" t="s">
        <v>1168</v>
      </c>
      <c r="C163" s="2877">
        <v>1.46</v>
      </c>
    </row>
    <row r="164" spans="1:3">
      <c r="A164" s="92" t="s">
        <v>2368</v>
      </c>
      <c r="B164" s="216" t="s">
        <v>84</v>
      </c>
      <c r="C164" s="2877">
        <v>1.5</v>
      </c>
    </row>
    <row r="165" spans="1:3">
      <c r="A165" s="92" t="s">
        <v>816</v>
      </c>
      <c r="B165" s="216" t="s">
        <v>2158</v>
      </c>
      <c r="C165" s="2877">
        <v>1.5</v>
      </c>
    </row>
    <row r="166" spans="1:3">
      <c r="A166" s="92" t="s">
        <v>1736</v>
      </c>
      <c r="B166" s="216" t="s">
        <v>2159</v>
      </c>
      <c r="C166" s="2877">
        <v>1.5</v>
      </c>
    </row>
    <row r="167" spans="1:3">
      <c r="A167" s="92" t="s">
        <v>584</v>
      </c>
      <c r="B167" s="216" t="s">
        <v>1957</v>
      </c>
      <c r="C167" s="2877">
        <v>1.5</v>
      </c>
    </row>
    <row r="168" spans="1:3">
      <c r="A168" s="92" t="s">
        <v>1641</v>
      </c>
      <c r="B168" s="216" t="s">
        <v>1056</v>
      </c>
      <c r="C168" s="2877">
        <v>1.4552</v>
      </c>
    </row>
    <row r="169" spans="1:3">
      <c r="A169" s="92" t="s">
        <v>2502</v>
      </c>
      <c r="B169" s="216" t="s">
        <v>658</v>
      </c>
      <c r="C169" s="2877">
        <v>1.5</v>
      </c>
    </row>
    <row r="170" spans="1:3">
      <c r="A170" s="92" t="s">
        <v>1687</v>
      </c>
      <c r="B170" s="216" t="s">
        <v>108</v>
      </c>
      <c r="C170" s="2877">
        <v>1.44</v>
      </c>
    </row>
    <row r="171" spans="1:3">
      <c r="A171" s="92" t="s">
        <v>1425</v>
      </c>
      <c r="B171" s="216" t="s">
        <v>1477</v>
      </c>
      <c r="C171" s="2877">
        <v>1.32</v>
      </c>
    </row>
    <row r="172" spans="1:3">
      <c r="A172" s="92" t="s">
        <v>2530</v>
      </c>
      <c r="B172" s="216" t="s">
        <v>820</v>
      </c>
      <c r="C172" s="2877">
        <v>1.5</v>
      </c>
    </row>
    <row r="173" spans="1:3">
      <c r="A173" s="92" t="s">
        <v>649</v>
      </c>
      <c r="B173" s="216" t="s">
        <v>2199</v>
      </c>
      <c r="C173" s="2877">
        <v>1.5</v>
      </c>
    </row>
    <row r="174" spans="1:3">
      <c r="A174" s="92" t="s">
        <v>650</v>
      </c>
      <c r="B174" s="216" t="s">
        <v>2200</v>
      </c>
      <c r="C174" s="2877">
        <v>1.5</v>
      </c>
    </row>
    <row r="175" spans="1:3">
      <c r="A175" s="92" t="s">
        <v>218</v>
      </c>
      <c r="B175" s="216" t="s">
        <v>74</v>
      </c>
      <c r="C175" s="2877">
        <v>1.42</v>
      </c>
    </row>
    <row r="176" spans="1:3">
      <c r="A176" s="92" t="s">
        <v>1583</v>
      </c>
      <c r="B176" s="216" t="s">
        <v>76</v>
      </c>
      <c r="C176" s="2877">
        <v>1.5</v>
      </c>
    </row>
    <row r="177" spans="1:3">
      <c r="A177" s="92" t="s">
        <v>1184</v>
      </c>
      <c r="B177" s="216" t="s">
        <v>1132</v>
      </c>
      <c r="C177" s="2877">
        <v>1.5</v>
      </c>
    </row>
    <row r="178" spans="1:3">
      <c r="A178" s="92" t="s">
        <v>878</v>
      </c>
      <c r="B178" s="216" t="s">
        <v>1345</v>
      </c>
      <c r="C178" s="2877">
        <v>1.5</v>
      </c>
    </row>
    <row r="179" spans="1:3">
      <c r="A179" s="92" t="s">
        <v>1438</v>
      </c>
      <c r="B179" s="216" t="s">
        <v>1551</v>
      </c>
      <c r="C179" s="2877">
        <v>1.5</v>
      </c>
    </row>
    <row r="180" spans="1:3">
      <c r="A180" s="92" t="s">
        <v>253</v>
      </c>
      <c r="B180" s="216" t="s">
        <v>2201</v>
      </c>
      <c r="C180" s="2877">
        <v>1.5</v>
      </c>
    </row>
    <row r="181" spans="1:3">
      <c r="A181" s="92" t="s">
        <v>254</v>
      </c>
      <c r="B181" s="216" t="s">
        <v>2202</v>
      </c>
      <c r="C181" s="2877">
        <v>1.36</v>
      </c>
    </row>
    <row r="182" spans="1:3">
      <c r="A182" s="92" t="s">
        <v>588</v>
      </c>
      <c r="B182" s="216" t="s">
        <v>2203</v>
      </c>
      <c r="C182" s="2877">
        <v>1.335</v>
      </c>
    </row>
    <row r="183" spans="1:3">
      <c r="A183" s="92" t="s">
        <v>1436</v>
      </c>
      <c r="B183" s="216" t="s">
        <v>1549</v>
      </c>
      <c r="C183" s="2877">
        <v>1.39</v>
      </c>
    </row>
    <row r="184" spans="1:3">
      <c r="A184" s="92" t="s">
        <v>589</v>
      </c>
      <c r="B184" s="216" t="s">
        <v>2204</v>
      </c>
      <c r="C184" s="2877">
        <v>1.4214</v>
      </c>
    </row>
    <row r="185" spans="1:3">
      <c r="A185" s="92" t="s">
        <v>27</v>
      </c>
      <c r="B185" s="216" t="s">
        <v>2205</v>
      </c>
      <c r="C185" s="2877">
        <v>1.3471</v>
      </c>
    </row>
    <row r="186" spans="1:3">
      <c r="A186" s="92" t="s">
        <v>28</v>
      </c>
      <c r="B186" s="216" t="s">
        <v>2206</v>
      </c>
      <c r="C186" s="2877">
        <v>1.46</v>
      </c>
    </row>
    <row r="187" spans="1:3">
      <c r="A187" s="92" t="s">
        <v>1265</v>
      </c>
      <c r="B187" s="216" t="s">
        <v>2207</v>
      </c>
      <c r="C187" s="2877">
        <v>1.5</v>
      </c>
    </row>
    <row r="188" spans="1:3">
      <c r="A188" s="92" t="s">
        <v>2315</v>
      </c>
      <c r="B188" s="216" t="s">
        <v>2208</v>
      </c>
      <c r="C188" s="2877">
        <v>1.23</v>
      </c>
    </row>
    <row r="189" spans="1:3">
      <c r="A189" s="92" t="s">
        <v>2409</v>
      </c>
      <c r="B189" s="216" t="s">
        <v>2665</v>
      </c>
      <c r="C189" s="2877">
        <v>1.3308</v>
      </c>
    </row>
    <row r="190" spans="1:3">
      <c r="A190" s="92" t="s">
        <v>2342</v>
      </c>
      <c r="B190" s="216" t="s">
        <v>1733</v>
      </c>
      <c r="C190" s="2877">
        <v>1.4592000000000001</v>
      </c>
    </row>
    <row r="191" spans="1:3">
      <c r="A191" s="92" t="s">
        <v>2316</v>
      </c>
      <c r="B191" s="216" t="s">
        <v>2209</v>
      </c>
      <c r="C191" s="2877">
        <v>1.32</v>
      </c>
    </row>
    <row r="192" spans="1:3">
      <c r="A192" s="92" t="s">
        <v>2317</v>
      </c>
      <c r="B192" s="216" t="s">
        <v>2210</v>
      </c>
      <c r="C192" s="2877">
        <v>1.4918</v>
      </c>
    </row>
    <row r="193" spans="1:3">
      <c r="A193" s="92" t="s">
        <v>300</v>
      </c>
      <c r="B193" s="216" t="s">
        <v>2211</v>
      </c>
      <c r="C193" s="2877">
        <v>1.5</v>
      </c>
    </row>
    <row r="194" spans="1:3">
      <c r="A194" s="92" t="s">
        <v>1427</v>
      </c>
      <c r="B194" s="216" t="s">
        <v>1479</v>
      </c>
      <c r="C194" s="2877">
        <v>1.5</v>
      </c>
    </row>
    <row r="195" spans="1:3">
      <c r="A195" s="92" t="s">
        <v>301</v>
      </c>
      <c r="B195" s="216" t="s">
        <v>2212</v>
      </c>
      <c r="C195" s="2877">
        <v>1.41</v>
      </c>
    </row>
    <row r="196" spans="1:3">
      <c r="A196" s="92" t="s">
        <v>2503</v>
      </c>
      <c r="B196" s="216" t="s">
        <v>2364</v>
      </c>
      <c r="C196" s="2877">
        <v>1.5</v>
      </c>
    </row>
    <row r="197" spans="1:3">
      <c r="A197" s="92" t="s">
        <v>302</v>
      </c>
      <c r="B197" s="216" t="s">
        <v>2213</v>
      </c>
      <c r="C197" s="2877">
        <v>1.46</v>
      </c>
    </row>
    <row r="198" spans="1:3">
      <c r="A198" s="92" t="s">
        <v>303</v>
      </c>
      <c r="B198" s="216" t="s">
        <v>2214</v>
      </c>
      <c r="C198" s="2877">
        <v>1.47</v>
      </c>
    </row>
    <row r="199" spans="1:3">
      <c r="A199" s="92" t="s">
        <v>304</v>
      </c>
      <c r="B199" s="216" t="s">
        <v>2215</v>
      </c>
      <c r="C199" s="2877">
        <v>1.375</v>
      </c>
    </row>
    <row r="200" spans="1:3">
      <c r="A200" s="92" t="s">
        <v>1743</v>
      </c>
      <c r="B200" s="216" t="s">
        <v>2216</v>
      </c>
      <c r="C200" s="2877">
        <v>1.5</v>
      </c>
    </row>
    <row r="201" spans="1:3">
      <c r="A201" s="92" t="s">
        <v>1744</v>
      </c>
      <c r="B201" s="216" t="s">
        <v>2217</v>
      </c>
      <c r="C201" s="2877">
        <v>1.27</v>
      </c>
    </row>
    <row r="202" spans="1:3">
      <c r="A202" s="92" t="s">
        <v>1316</v>
      </c>
      <c r="B202" s="216" t="s">
        <v>2218</v>
      </c>
      <c r="C202" s="2877">
        <v>1.4</v>
      </c>
    </row>
    <row r="203" spans="1:3">
      <c r="A203" s="92" t="s">
        <v>1107</v>
      </c>
      <c r="B203" s="216" t="s">
        <v>2219</v>
      </c>
      <c r="C203" s="2877">
        <v>1.419</v>
      </c>
    </row>
    <row r="204" spans="1:3">
      <c r="A204" s="92" t="s">
        <v>2148</v>
      </c>
      <c r="B204" s="216" t="s">
        <v>261</v>
      </c>
      <c r="C204" s="2877">
        <v>1.35</v>
      </c>
    </row>
    <row r="205" spans="1:3">
      <c r="A205" s="92" t="s">
        <v>1108</v>
      </c>
      <c r="B205" s="216" t="s">
        <v>2220</v>
      </c>
      <c r="C205" s="2877">
        <v>1.39</v>
      </c>
    </row>
    <row r="206" spans="1:3">
      <c r="A206" s="92" t="s">
        <v>2398</v>
      </c>
      <c r="B206" s="216" t="s">
        <v>2573</v>
      </c>
      <c r="C206" s="2877">
        <v>1.4630000000000001</v>
      </c>
    </row>
    <row r="207" spans="1:3">
      <c r="A207" s="92" t="s">
        <v>1109</v>
      </c>
      <c r="B207" s="216" t="s">
        <v>2221</v>
      </c>
      <c r="C207" s="2877">
        <v>1.43</v>
      </c>
    </row>
    <row r="208" spans="1:3">
      <c r="A208" s="92" t="s">
        <v>681</v>
      </c>
      <c r="B208" s="216" t="s">
        <v>2222</v>
      </c>
      <c r="C208" s="2877">
        <v>1.5</v>
      </c>
    </row>
    <row r="209" spans="1:3">
      <c r="A209" s="92" t="s">
        <v>682</v>
      </c>
      <c r="B209" s="216" t="s">
        <v>662</v>
      </c>
      <c r="C209" s="2877">
        <v>1.5</v>
      </c>
    </row>
    <row r="210" spans="1:3">
      <c r="A210" s="92" t="s">
        <v>683</v>
      </c>
      <c r="B210" s="216" t="s">
        <v>663</v>
      </c>
      <c r="C210" s="2877">
        <v>1.5</v>
      </c>
    </row>
    <row r="211" spans="1:3">
      <c r="A211" s="92" t="s">
        <v>684</v>
      </c>
      <c r="B211" s="216" t="s">
        <v>664</v>
      </c>
      <c r="C211" s="2877">
        <v>1.4505999999999999</v>
      </c>
    </row>
    <row r="212" spans="1:3">
      <c r="A212" s="92" t="s">
        <v>392</v>
      </c>
      <c r="B212" s="216" t="s">
        <v>665</v>
      </c>
      <c r="C212" s="2877">
        <v>1.39</v>
      </c>
    </row>
    <row r="213" spans="1:3">
      <c r="A213" s="92" t="s">
        <v>2559</v>
      </c>
      <c r="B213" s="216" t="s">
        <v>122</v>
      </c>
      <c r="C213" s="2877">
        <v>1.5</v>
      </c>
    </row>
    <row r="214" spans="1:3">
      <c r="A214" s="92" t="s">
        <v>2560</v>
      </c>
      <c r="B214" s="216" t="s">
        <v>123</v>
      </c>
      <c r="C214" s="2877">
        <v>1.42</v>
      </c>
    </row>
    <row r="215" spans="1:3">
      <c r="A215" s="92" t="s">
        <v>2561</v>
      </c>
      <c r="B215" s="216" t="s">
        <v>124</v>
      </c>
      <c r="C215" s="2877">
        <v>1.48</v>
      </c>
    </row>
    <row r="216" spans="1:3">
      <c r="A216" s="92" t="s">
        <v>1642</v>
      </c>
      <c r="B216" s="216" t="s">
        <v>125</v>
      </c>
      <c r="C216" s="2877">
        <v>1.5</v>
      </c>
    </row>
    <row r="217" spans="1:3">
      <c r="A217" s="92" t="s">
        <v>385</v>
      </c>
      <c r="B217" s="216" t="s">
        <v>126</v>
      </c>
      <c r="C217" s="2877">
        <v>1.5</v>
      </c>
    </row>
    <row r="218" spans="1:3">
      <c r="A218" s="92" t="s">
        <v>386</v>
      </c>
      <c r="B218" s="216" t="s">
        <v>127</v>
      </c>
      <c r="C218" s="2877">
        <v>1.5</v>
      </c>
    </row>
    <row r="219" spans="1:3">
      <c r="A219" s="92" t="s">
        <v>387</v>
      </c>
      <c r="B219" s="216" t="s">
        <v>128</v>
      </c>
      <c r="C219" s="2877">
        <v>1.5</v>
      </c>
    </row>
    <row r="220" spans="1:3">
      <c r="A220" s="92" t="s">
        <v>388</v>
      </c>
      <c r="B220" s="216" t="s">
        <v>129</v>
      </c>
      <c r="C220" s="2877">
        <v>1.5</v>
      </c>
    </row>
    <row r="221" spans="1:3">
      <c r="A221" s="92" t="s">
        <v>2578</v>
      </c>
      <c r="B221" s="216" t="s">
        <v>1482</v>
      </c>
      <c r="C221" s="2877">
        <v>1.4568000000000001</v>
      </c>
    </row>
    <row r="222" spans="1:3">
      <c r="A222" s="92" t="s">
        <v>666</v>
      </c>
      <c r="B222" s="216" t="s">
        <v>863</v>
      </c>
      <c r="C222" s="2877">
        <v>1.49</v>
      </c>
    </row>
    <row r="223" spans="1:3">
      <c r="A223" s="92" t="s">
        <v>533</v>
      </c>
      <c r="B223" s="216" t="s">
        <v>130</v>
      </c>
      <c r="C223" s="2877">
        <v>1.45</v>
      </c>
    </row>
    <row r="224" spans="1:3">
      <c r="A224" s="92" t="s">
        <v>41</v>
      </c>
      <c r="B224" s="216" t="s">
        <v>1269</v>
      </c>
      <c r="C224" s="2877">
        <v>1.5</v>
      </c>
    </row>
    <row r="225" spans="1:3">
      <c r="A225" s="92" t="s">
        <v>1790</v>
      </c>
      <c r="B225" s="216" t="s">
        <v>131</v>
      </c>
      <c r="C225" s="2877">
        <v>1.4616</v>
      </c>
    </row>
    <row r="226" spans="1:3">
      <c r="A226" s="92" t="s">
        <v>2533</v>
      </c>
      <c r="B226" s="216" t="s">
        <v>2235</v>
      </c>
      <c r="C226" s="2877">
        <v>1.45</v>
      </c>
    </row>
    <row r="227" spans="1:3">
      <c r="A227" s="92" t="s">
        <v>1791</v>
      </c>
      <c r="B227" s="216" t="s">
        <v>2610</v>
      </c>
      <c r="C227" s="2877">
        <v>1.5</v>
      </c>
    </row>
    <row r="228" spans="1:3">
      <c r="A228" s="92" t="s">
        <v>2688</v>
      </c>
      <c r="B228" s="216" t="s">
        <v>2611</v>
      </c>
      <c r="C228" s="2877">
        <v>1.446</v>
      </c>
    </row>
    <row r="229" spans="1:3">
      <c r="A229" s="92" t="s">
        <v>249</v>
      </c>
      <c r="B229" s="216" t="s">
        <v>2612</v>
      </c>
      <c r="C229" s="2877">
        <v>1.5</v>
      </c>
    </row>
    <row r="230" spans="1:3">
      <c r="A230" s="92" t="s">
        <v>250</v>
      </c>
      <c r="B230" s="216" t="s">
        <v>2663</v>
      </c>
      <c r="C230" s="2877">
        <v>1.44</v>
      </c>
    </row>
    <row r="231" spans="1:3">
      <c r="A231" s="92" t="s">
        <v>251</v>
      </c>
      <c r="B231" s="216" t="s">
        <v>2613</v>
      </c>
      <c r="C231" s="2877">
        <v>1.5</v>
      </c>
    </row>
    <row r="232" spans="1:3">
      <c r="A232" s="92" t="s">
        <v>252</v>
      </c>
      <c r="B232" s="216" t="s">
        <v>2614</v>
      </c>
      <c r="C232" s="2877">
        <v>1.5</v>
      </c>
    </row>
    <row r="233" spans="1:3">
      <c r="A233" s="92" t="s">
        <v>374</v>
      </c>
      <c r="B233" s="216" t="s">
        <v>2615</v>
      </c>
      <c r="C233" s="2877">
        <v>1.5</v>
      </c>
    </row>
    <row r="234" spans="1:3">
      <c r="A234" s="92" t="s">
        <v>1864</v>
      </c>
      <c r="B234" s="216" t="s">
        <v>2372</v>
      </c>
      <c r="C234" s="2877">
        <v>1.5</v>
      </c>
    </row>
    <row r="235" spans="1:3">
      <c r="A235" s="92" t="s">
        <v>1068</v>
      </c>
      <c r="B235" s="216" t="s">
        <v>2616</v>
      </c>
      <c r="C235" s="2877">
        <v>0.97570000000000001</v>
      </c>
    </row>
    <row r="236" spans="1:3">
      <c r="A236" s="92" t="s">
        <v>1069</v>
      </c>
      <c r="B236" s="216" t="s">
        <v>2617</v>
      </c>
      <c r="C236" s="2877">
        <v>1.49</v>
      </c>
    </row>
    <row r="237" spans="1:3">
      <c r="A237" s="92" t="s">
        <v>640</v>
      </c>
      <c r="B237" s="216" t="s">
        <v>107</v>
      </c>
      <c r="C237" s="2877">
        <v>1.5</v>
      </c>
    </row>
    <row r="238" spans="1:3">
      <c r="A238" s="92" t="s">
        <v>1070</v>
      </c>
      <c r="B238" s="216" t="s">
        <v>2618</v>
      </c>
      <c r="C238" s="2877">
        <v>1.5</v>
      </c>
    </row>
    <row r="239" spans="1:3">
      <c r="A239" s="92" t="s">
        <v>1770</v>
      </c>
      <c r="B239" s="216" t="s">
        <v>2466</v>
      </c>
      <c r="C239" s="2877">
        <v>1.5</v>
      </c>
    </row>
    <row r="240" spans="1:3">
      <c r="A240" s="92" t="s">
        <v>212</v>
      </c>
      <c r="B240" s="216" t="s">
        <v>1000</v>
      </c>
      <c r="C240" s="2877">
        <v>1.5</v>
      </c>
    </row>
    <row r="241" spans="1:3">
      <c r="A241" s="92" t="s">
        <v>717</v>
      </c>
      <c r="B241" s="216" t="s">
        <v>1692</v>
      </c>
      <c r="C241" s="2877">
        <v>1.5</v>
      </c>
    </row>
    <row r="242" spans="1:3">
      <c r="A242" s="92" t="s">
        <v>214</v>
      </c>
      <c r="B242" s="216" t="s">
        <v>1002</v>
      </c>
      <c r="C242" s="2877">
        <v>1.5</v>
      </c>
    </row>
    <row r="243" spans="1:3">
      <c r="A243" s="92" t="s">
        <v>1680</v>
      </c>
      <c r="B243" s="216" t="s">
        <v>2116</v>
      </c>
      <c r="C243" s="2877">
        <v>1.5</v>
      </c>
    </row>
    <row r="244" spans="1:3">
      <c r="A244" s="92" t="s">
        <v>490</v>
      </c>
      <c r="B244" s="216" t="s">
        <v>2060</v>
      </c>
      <c r="C244" s="2877">
        <v>1.5</v>
      </c>
    </row>
    <row r="245" spans="1:3">
      <c r="A245" s="92" t="s">
        <v>1838</v>
      </c>
      <c r="B245" s="216" t="s">
        <v>2619</v>
      </c>
      <c r="C245" s="2877">
        <v>1.5</v>
      </c>
    </row>
    <row r="246" spans="1:3">
      <c r="A246" s="92" t="s">
        <v>1410</v>
      </c>
      <c r="B246" s="216" t="s">
        <v>1256</v>
      </c>
      <c r="C246" s="2877">
        <v>1.5</v>
      </c>
    </row>
    <row r="247" spans="1:3">
      <c r="A247" s="92" t="s">
        <v>61</v>
      </c>
      <c r="B247" s="216" t="s">
        <v>2300</v>
      </c>
      <c r="C247" s="2877">
        <v>1.5</v>
      </c>
    </row>
    <row r="248" spans="1:3">
      <c r="A248" s="92" t="s">
        <v>641</v>
      </c>
      <c r="B248" s="216" t="s">
        <v>1567</v>
      </c>
      <c r="C248" s="2877">
        <v>1.49</v>
      </c>
    </row>
    <row r="249" spans="1:3">
      <c r="A249" s="92" t="s">
        <v>2504</v>
      </c>
      <c r="B249" s="216" t="s">
        <v>421</v>
      </c>
      <c r="C249" s="2877">
        <v>1.35</v>
      </c>
    </row>
    <row r="250" spans="1:3">
      <c r="A250" s="92" t="s">
        <v>1839</v>
      </c>
      <c r="B250" s="216" t="s">
        <v>2620</v>
      </c>
      <c r="C250" s="2877">
        <v>1.282</v>
      </c>
    </row>
    <row r="251" spans="1:3">
      <c r="A251" s="92" t="s">
        <v>1185</v>
      </c>
      <c r="B251" s="216" t="s">
        <v>2196</v>
      </c>
      <c r="C251" s="2877">
        <v>1.5</v>
      </c>
    </row>
    <row r="252" spans="1:3">
      <c r="A252" s="92" t="s">
        <v>1840</v>
      </c>
      <c r="B252" s="216" t="s">
        <v>2621</v>
      </c>
      <c r="C252" s="2877">
        <v>1.38</v>
      </c>
    </row>
    <row r="253" spans="1:3">
      <c r="A253" s="92" t="s">
        <v>698</v>
      </c>
      <c r="B253" s="216" t="s">
        <v>2622</v>
      </c>
      <c r="C253" s="2877">
        <v>1.3695999999999999</v>
      </c>
    </row>
    <row r="254" spans="1:3">
      <c r="A254" s="92" t="s">
        <v>299</v>
      </c>
      <c r="B254" s="216" t="s">
        <v>2623</v>
      </c>
      <c r="C254" s="2877">
        <v>1.5</v>
      </c>
    </row>
    <row r="255" spans="1:3">
      <c r="A255" s="92" t="s">
        <v>175</v>
      </c>
      <c r="B255" s="216" t="s">
        <v>2624</v>
      </c>
      <c r="C255" s="2877">
        <v>1.5</v>
      </c>
    </row>
    <row r="256" spans="1:3">
      <c r="A256" s="92" t="s">
        <v>176</v>
      </c>
      <c r="B256" s="216" t="s">
        <v>2625</v>
      </c>
      <c r="C256" s="2877">
        <v>1.5</v>
      </c>
    </row>
    <row r="257" spans="1:3">
      <c r="A257" s="92" t="s">
        <v>718</v>
      </c>
      <c r="B257" s="216" t="s">
        <v>655</v>
      </c>
      <c r="C257" s="2877">
        <v>1.5</v>
      </c>
    </row>
    <row r="258" spans="1:3">
      <c r="A258" s="92" t="s">
        <v>2629</v>
      </c>
      <c r="B258" s="216" t="s">
        <v>1958</v>
      </c>
      <c r="C258" s="2877">
        <v>1.3740000000000001</v>
      </c>
    </row>
    <row r="259" spans="1:3">
      <c r="A259" s="92" t="s">
        <v>1556</v>
      </c>
      <c r="B259" s="216" t="s">
        <v>2370</v>
      </c>
      <c r="C259" s="2877">
        <v>1.36</v>
      </c>
    </row>
    <row r="260" spans="1:3">
      <c r="A260" s="92" t="s">
        <v>2630</v>
      </c>
      <c r="B260" s="216" t="s">
        <v>1959</v>
      </c>
      <c r="C260" s="2877">
        <v>1.5</v>
      </c>
    </row>
    <row r="261" spans="1:3">
      <c r="A261" s="92" t="s">
        <v>2631</v>
      </c>
      <c r="B261" s="216" t="s">
        <v>1960</v>
      </c>
      <c r="C261" s="2877">
        <v>1.5</v>
      </c>
    </row>
    <row r="262" spans="1:3">
      <c r="A262" s="92" t="s">
        <v>719</v>
      </c>
      <c r="B262" s="216" t="s">
        <v>2030</v>
      </c>
      <c r="C262" s="2877">
        <v>1.5</v>
      </c>
    </row>
    <row r="263" spans="1:3">
      <c r="A263" s="92" t="s">
        <v>678</v>
      </c>
      <c r="B263" s="216" t="s">
        <v>1961</v>
      </c>
      <c r="C263" s="2877">
        <v>1.5</v>
      </c>
    </row>
    <row r="264" spans="1:3">
      <c r="A264" s="92" t="s">
        <v>2149</v>
      </c>
      <c r="B264" s="216" t="s">
        <v>2151</v>
      </c>
      <c r="C264" s="2877">
        <v>1.44</v>
      </c>
    </row>
    <row r="265" spans="1:3">
      <c r="A265" s="92" t="s">
        <v>2297</v>
      </c>
      <c r="B265" s="216" t="s">
        <v>1962</v>
      </c>
      <c r="C265" s="2877">
        <v>1.4650000000000001</v>
      </c>
    </row>
    <row r="266" spans="1:3">
      <c r="A266" s="92" t="s">
        <v>1788</v>
      </c>
      <c r="B266" s="216" t="s">
        <v>1963</v>
      </c>
      <c r="C266" s="2877">
        <v>1.45</v>
      </c>
    </row>
    <row r="267" spans="1:3">
      <c r="A267" s="92" t="s">
        <v>616</v>
      </c>
      <c r="B267" s="216" t="s">
        <v>1964</v>
      </c>
      <c r="C267" s="2877">
        <v>1.5</v>
      </c>
    </row>
    <row r="268" spans="1:3">
      <c r="A268" s="92" t="s">
        <v>918</v>
      </c>
      <c r="B268" s="216" t="s">
        <v>1965</v>
      </c>
      <c r="C268" s="2877">
        <v>1.4390000000000001</v>
      </c>
    </row>
    <row r="269" spans="1:3">
      <c r="A269" s="92" t="s">
        <v>2132</v>
      </c>
      <c r="B269" s="216" t="s">
        <v>1966</v>
      </c>
      <c r="C269" s="2877">
        <v>1.4</v>
      </c>
    </row>
    <row r="270" spans="1:3">
      <c r="A270" s="92" t="s">
        <v>2581</v>
      </c>
      <c r="B270" s="216" t="s">
        <v>1967</v>
      </c>
      <c r="C270" s="2877">
        <v>1.5</v>
      </c>
    </row>
    <row r="271" spans="1:3">
      <c r="A271" s="92" t="s">
        <v>2393</v>
      </c>
      <c r="B271" s="216" t="s">
        <v>1968</v>
      </c>
      <c r="C271" s="2877">
        <v>1.5</v>
      </c>
    </row>
    <row r="272" spans="1:3">
      <c r="A272" s="92" t="s">
        <v>246</v>
      </c>
      <c r="B272" s="216" t="s">
        <v>2117</v>
      </c>
      <c r="C272" s="2877">
        <v>1.43</v>
      </c>
    </row>
    <row r="273" spans="1:3">
      <c r="A273" s="92" t="s">
        <v>1405</v>
      </c>
      <c r="B273" s="216" t="s">
        <v>1969</v>
      </c>
      <c r="C273" s="2877">
        <v>1.4709000000000001</v>
      </c>
    </row>
    <row r="274" spans="1:3">
      <c r="A274" s="92" t="s">
        <v>1406</v>
      </c>
      <c r="B274" s="216" t="s">
        <v>1970</v>
      </c>
      <c r="C274" s="2877">
        <v>1.4750000000000001</v>
      </c>
    </row>
    <row r="275" spans="1:3">
      <c r="A275" s="92" t="s">
        <v>720</v>
      </c>
      <c r="B275" s="216" t="s">
        <v>1270</v>
      </c>
      <c r="C275" s="2877">
        <v>1.5</v>
      </c>
    </row>
    <row r="276" spans="1:3">
      <c r="A276" s="92" t="s">
        <v>1401</v>
      </c>
      <c r="B276" s="216" t="s">
        <v>1971</v>
      </c>
      <c r="C276" s="2877">
        <v>1.5</v>
      </c>
    </row>
    <row r="277" spans="1:3">
      <c r="A277" s="92" t="s">
        <v>932</v>
      </c>
      <c r="B277" s="216" t="s">
        <v>1972</v>
      </c>
      <c r="C277" s="2877">
        <v>1.5</v>
      </c>
    </row>
    <row r="278" spans="1:3">
      <c r="A278" s="92" t="s">
        <v>247</v>
      </c>
      <c r="B278" s="216" t="s">
        <v>1363</v>
      </c>
      <c r="C278" s="2877">
        <v>1.5</v>
      </c>
    </row>
    <row r="279" spans="1:3">
      <c r="A279" s="92" t="s">
        <v>2084</v>
      </c>
      <c r="B279" s="216" t="s">
        <v>79</v>
      </c>
      <c r="C279" s="2877">
        <v>1.5</v>
      </c>
    </row>
    <row r="280" spans="1:3">
      <c r="A280" s="92" t="s">
        <v>343</v>
      </c>
      <c r="B280" s="216" t="s">
        <v>139</v>
      </c>
      <c r="C280" s="2877">
        <v>1.4858</v>
      </c>
    </row>
    <row r="281" spans="1:3">
      <c r="A281" s="92" t="s">
        <v>721</v>
      </c>
      <c r="B281" s="216" t="s">
        <v>1992</v>
      </c>
      <c r="C281" s="2877">
        <v>1.4570000000000001</v>
      </c>
    </row>
    <row r="282" spans="1:3">
      <c r="A282" s="92" t="s">
        <v>576</v>
      </c>
      <c r="B282" s="216" t="s">
        <v>1166</v>
      </c>
      <c r="C282" s="2877">
        <v>1.5</v>
      </c>
    </row>
    <row r="283" spans="1:3">
      <c r="A283" s="92" t="s">
        <v>2413</v>
      </c>
      <c r="B283" s="216" t="s">
        <v>1973</v>
      </c>
      <c r="C283" s="2877">
        <v>1.5</v>
      </c>
    </row>
    <row r="284" spans="1:3">
      <c r="A284" s="92" t="s">
        <v>775</v>
      </c>
      <c r="B284" s="216" t="s">
        <v>892</v>
      </c>
      <c r="C284" s="2877">
        <v>1.5</v>
      </c>
    </row>
    <row r="285" spans="1:3">
      <c r="A285" s="92" t="s">
        <v>184</v>
      </c>
      <c r="B285" s="216" t="s">
        <v>2031</v>
      </c>
      <c r="C285" s="2877">
        <v>1.5</v>
      </c>
    </row>
    <row r="286" spans="1:3">
      <c r="A286" s="92" t="s">
        <v>1186</v>
      </c>
      <c r="B286" s="216" t="s">
        <v>760</v>
      </c>
      <c r="C286" s="2877">
        <v>1.5</v>
      </c>
    </row>
    <row r="287" spans="1:3">
      <c r="A287" s="92" t="s">
        <v>2098</v>
      </c>
      <c r="B287" s="216" t="s">
        <v>2418</v>
      </c>
      <c r="C287" s="2877">
        <v>1.5</v>
      </c>
    </row>
    <row r="288" spans="1:3">
      <c r="A288" s="92" t="s">
        <v>1888</v>
      </c>
      <c r="B288" s="216" t="s">
        <v>653</v>
      </c>
      <c r="C288" s="2877">
        <v>1.5</v>
      </c>
    </row>
    <row r="289" spans="1:3">
      <c r="A289" s="92" t="s">
        <v>1517</v>
      </c>
      <c r="B289" s="216" t="s">
        <v>606</v>
      </c>
      <c r="C289" s="2877">
        <v>1.5</v>
      </c>
    </row>
    <row r="290" spans="1:3">
      <c r="A290" s="92" t="s">
        <v>1151</v>
      </c>
      <c r="B290" s="216" t="s">
        <v>1930</v>
      </c>
      <c r="C290" s="2877">
        <v>1.3583000000000001</v>
      </c>
    </row>
    <row r="291" spans="1:3">
      <c r="A291" s="92" t="s">
        <v>2414</v>
      </c>
      <c r="B291" s="216" t="s">
        <v>1974</v>
      </c>
      <c r="C291" s="2877">
        <v>1.26</v>
      </c>
    </row>
    <row r="292" spans="1:3">
      <c r="A292" s="92" t="s">
        <v>2415</v>
      </c>
      <c r="B292" s="216" t="s">
        <v>1975</v>
      </c>
      <c r="C292" s="2877">
        <v>1.3420000000000001</v>
      </c>
    </row>
    <row r="293" spans="1:3">
      <c r="A293" s="92" t="s">
        <v>1511</v>
      </c>
      <c r="B293" s="216" t="s">
        <v>1940</v>
      </c>
      <c r="C293" s="2877">
        <v>1.5</v>
      </c>
    </row>
    <row r="294" spans="1:3">
      <c r="A294" s="92" t="s">
        <v>1830</v>
      </c>
      <c r="B294" s="216" t="s">
        <v>1976</v>
      </c>
      <c r="C294" s="2877">
        <v>1.4307000000000001</v>
      </c>
    </row>
    <row r="295" spans="1:3">
      <c r="A295" s="92" t="s">
        <v>1831</v>
      </c>
      <c r="B295" s="216" t="s">
        <v>1977</v>
      </c>
      <c r="C295" s="2877">
        <v>1.5</v>
      </c>
    </row>
    <row r="296" spans="1:3">
      <c r="A296" s="92" t="s">
        <v>1232</v>
      </c>
      <c r="B296" s="216" t="s">
        <v>2468</v>
      </c>
      <c r="C296" s="2877">
        <v>1.42</v>
      </c>
    </row>
    <row r="297" spans="1:3">
      <c r="A297" s="92" t="s">
        <v>1832</v>
      </c>
      <c r="B297" s="216" t="s">
        <v>1978</v>
      </c>
      <c r="C297" s="2877">
        <v>1.37</v>
      </c>
    </row>
    <row r="298" spans="1:3">
      <c r="A298" s="92" t="s">
        <v>201</v>
      </c>
      <c r="B298" s="216" t="s">
        <v>1979</v>
      </c>
      <c r="C298" s="2877">
        <v>1.49</v>
      </c>
    </row>
    <row r="299" spans="1:3">
      <c r="A299" s="92" t="s">
        <v>1834</v>
      </c>
      <c r="B299" s="216" t="s">
        <v>2063</v>
      </c>
      <c r="C299" s="2877">
        <v>1.4076</v>
      </c>
    </row>
    <row r="300" spans="1:3">
      <c r="A300" s="92" t="s">
        <v>1842</v>
      </c>
      <c r="B300" s="216" t="s">
        <v>1332</v>
      </c>
      <c r="C300" s="2877">
        <v>1.23</v>
      </c>
    </row>
    <row r="301" spans="1:3">
      <c r="A301" s="92" t="s">
        <v>202</v>
      </c>
      <c r="B301" s="216" t="s">
        <v>1980</v>
      </c>
      <c r="C301" s="2877">
        <v>1.0054000000000001</v>
      </c>
    </row>
    <row r="302" spans="1:3">
      <c r="A302" s="92" t="s">
        <v>203</v>
      </c>
      <c r="B302" s="216" t="s">
        <v>1</v>
      </c>
      <c r="C302" s="2877">
        <v>1.5</v>
      </c>
    </row>
    <row r="303" spans="1:3">
      <c r="A303" s="92" t="s">
        <v>1233</v>
      </c>
      <c r="B303" s="216" t="s">
        <v>2180</v>
      </c>
      <c r="C303" s="2877">
        <v>1.5</v>
      </c>
    </row>
    <row r="304" spans="1:3">
      <c r="A304" s="92" t="s">
        <v>722</v>
      </c>
      <c r="B304" s="216" t="s">
        <v>1065</v>
      </c>
      <c r="C304" s="2877">
        <v>1.5</v>
      </c>
    </row>
    <row r="305" spans="1:3">
      <c r="A305" s="92" t="s">
        <v>204</v>
      </c>
      <c r="B305" s="216" t="s">
        <v>2</v>
      </c>
      <c r="C305" s="2877">
        <v>1.421</v>
      </c>
    </row>
    <row r="306" spans="1:3">
      <c r="A306" s="92" t="s">
        <v>205</v>
      </c>
      <c r="B306" s="216" t="s">
        <v>3</v>
      </c>
      <c r="C306" s="2877">
        <v>1.4141999999999999</v>
      </c>
    </row>
    <row r="307" spans="1:3">
      <c r="A307" s="92" t="s">
        <v>1741</v>
      </c>
      <c r="B307" s="216" t="s">
        <v>4</v>
      </c>
      <c r="C307" s="2877">
        <v>1.5</v>
      </c>
    </row>
    <row r="308" spans="1:3">
      <c r="A308" s="92" t="s">
        <v>1742</v>
      </c>
      <c r="B308" s="216" t="s">
        <v>5</v>
      </c>
      <c r="C308" s="2877">
        <v>1.39</v>
      </c>
    </row>
    <row r="309" spans="1:3">
      <c r="A309" s="92" t="s">
        <v>1234</v>
      </c>
      <c r="B309" s="216" t="s">
        <v>2026</v>
      </c>
      <c r="C309" s="2877">
        <v>1.4179999999999999</v>
      </c>
    </row>
    <row r="310" spans="1:3">
      <c r="A310" s="92" t="s">
        <v>2571</v>
      </c>
      <c r="B310" s="216" t="s">
        <v>461</v>
      </c>
      <c r="C310" s="2877">
        <v>1.4224000000000001</v>
      </c>
    </row>
    <row r="311" spans="1:3">
      <c r="A311" s="92" t="s">
        <v>1697</v>
      </c>
      <c r="B311" s="216" t="s">
        <v>462</v>
      </c>
      <c r="C311" s="2877">
        <v>1.5</v>
      </c>
    </row>
    <row r="312" spans="1:3">
      <c r="A312" s="92" t="s">
        <v>1698</v>
      </c>
      <c r="B312" s="216" t="s">
        <v>463</v>
      </c>
      <c r="C312" s="2877">
        <v>1.415</v>
      </c>
    </row>
    <row r="313" spans="1:3">
      <c r="A313" s="92" t="s">
        <v>921</v>
      </c>
      <c r="B313" s="216" t="s">
        <v>464</v>
      </c>
      <c r="C313" s="2877">
        <v>1.5</v>
      </c>
    </row>
    <row r="314" spans="1:3">
      <c r="A314" s="92" t="s">
        <v>65</v>
      </c>
      <c r="B314" s="216" t="s">
        <v>177</v>
      </c>
      <c r="C314" s="2877">
        <v>1.5</v>
      </c>
    </row>
    <row r="315" spans="1:3">
      <c r="A315" s="92" t="s">
        <v>754</v>
      </c>
      <c r="B315" s="216" t="s">
        <v>846</v>
      </c>
      <c r="C315" s="2877">
        <v>1.5</v>
      </c>
    </row>
    <row r="316" spans="1:3">
      <c r="A316" s="92" t="s">
        <v>2505</v>
      </c>
      <c r="B316" s="216" t="s">
        <v>610</v>
      </c>
      <c r="C316" s="2877">
        <v>1.5</v>
      </c>
    </row>
    <row r="317" spans="1:3">
      <c r="A317" s="92" t="s">
        <v>627</v>
      </c>
      <c r="B317" s="216" t="s">
        <v>847</v>
      </c>
      <c r="C317" s="2877">
        <v>1.5</v>
      </c>
    </row>
    <row r="318" spans="1:3">
      <c r="A318" s="92" t="s">
        <v>628</v>
      </c>
      <c r="B318" s="216" t="s">
        <v>848</v>
      </c>
      <c r="C318" s="2877">
        <v>1.5</v>
      </c>
    </row>
    <row r="319" spans="1:3">
      <c r="A319" s="92" t="s">
        <v>629</v>
      </c>
      <c r="B319" s="216" t="s">
        <v>849</v>
      </c>
      <c r="C319" s="2877">
        <v>1.36</v>
      </c>
    </row>
    <row r="320" spans="1:3">
      <c r="A320" s="92" t="s">
        <v>630</v>
      </c>
      <c r="B320" s="216" t="s">
        <v>850</v>
      </c>
      <c r="C320" s="2877">
        <v>1.5</v>
      </c>
    </row>
    <row r="321" spans="1:3">
      <c r="A321" s="92" t="s">
        <v>2541</v>
      </c>
      <c r="B321" s="216" t="s">
        <v>894</v>
      </c>
      <c r="C321" s="2877">
        <v>1.5</v>
      </c>
    </row>
    <row r="322" spans="1:3">
      <c r="A322" s="92" t="s">
        <v>1422</v>
      </c>
      <c r="B322" s="216" t="s">
        <v>112</v>
      </c>
      <c r="C322" s="2877">
        <v>1.5</v>
      </c>
    </row>
    <row r="323" spans="1:3">
      <c r="A323" s="92" t="s">
        <v>631</v>
      </c>
      <c r="B323" s="216" t="s">
        <v>851</v>
      </c>
      <c r="C323" s="2877">
        <v>1.5</v>
      </c>
    </row>
    <row r="324" spans="1:3">
      <c r="A324" s="92" t="s">
        <v>2318</v>
      </c>
      <c r="B324" s="216" t="s">
        <v>852</v>
      </c>
      <c r="C324" s="2877">
        <v>1.49</v>
      </c>
    </row>
    <row r="325" spans="1:3">
      <c r="A325" s="92" t="s">
        <v>2013</v>
      </c>
      <c r="B325" s="216" t="s">
        <v>853</v>
      </c>
      <c r="C325" s="2877">
        <v>1.36</v>
      </c>
    </row>
    <row r="326" spans="1:3">
      <c r="A326" s="92" t="s">
        <v>1303</v>
      </c>
      <c r="B326" s="216" t="s">
        <v>854</v>
      </c>
      <c r="C326" s="2877">
        <v>1.45</v>
      </c>
    </row>
    <row r="327" spans="1:3">
      <c r="A327" s="92" t="s">
        <v>1919</v>
      </c>
      <c r="B327" s="216" t="s">
        <v>855</v>
      </c>
      <c r="C327" s="2877">
        <v>1.5</v>
      </c>
    </row>
    <row r="328" spans="1:3">
      <c r="A328" s="92" t="s">
        <v>1924</v>
      </c>
      <c r="B328" s="216" t="s">
        <v>856</v>
      </c>
      <c r="C328" s="2877">
        <v>1.5</v>
      </c>
    </row>
    <row r="329" spans="1:3">
      <c r="A329" s="92" t="s">
        <v>1925</v>
      </c>
      <c r="B329" s="216" t="s">
        <v>857</v>
      </c>
      <c r="C329" s="2877">
        <v>1.3</v>
      </c>
    </row>
    <row r="330" spans="1:3">
      <c r="A330" s="92" t="s">
        <v>1235</v>
      </c>
      <c r="B330" s="216" t="s">
        <v>2179</v>
      </c>
      <c r="C330" s="2877">
        <v>1.5</v>
      </c>
    </row>
    <row r="331" spans="1:3">
      <c r="A331" s="92" t="s">
        <v>2506</v>
      </c>
      <c r="B331" s="216" t="s">
        <v>2592</v>
      </c>
      <c r="C331" s="2877">
        <v>1.425</v>
      </c>
    </row>
    <row r="332" spans="1:3">
      <c r="A332" s="92" t="s">
        <v>1926</v>
      </c>
      <c r="B332" s="216" t="s">
        <v>858</v>
      </c>
      <c r="C332" s="2877">
        <v>1.28</v>
      </c>
    </row>
    <row r="333" spans="1:3">
      <c r="A333" s="92" t="s">
        <v>2110</v>
      </c>
      <c r="B333" s="216" t="s">
        <v>531</v>
      </c>
      <c r="C333" s="2877">
        <v>1.18</v>
      </c>
    </row>
    <row r="334" spans="1:3">
      <c r="A334" s="92" t="s">
        <v>2175</v>
      </c>
      <c r="B334" s="216" t="s">
        <v>532</v>
      </c>
      <c r="C334" s="2877">
        <v>1.01</v>
      </c>
    </row>
    <row r="335" spans="1:3">
      <c r="A335" s="92" t="s">
        <v>1993</v>
      </c>
      <c r="B335" s="216" t="s">
        <v>364</v>
      </c>
      <c r="C335" s="2877">
        <v>1.5</v>
      </c>
    </row>
    <row r="336" spans="1:3">
      <c r="A336" s="92" t="s">
        <v>2231</v>
      </c>
      <c r="B336" s="216" t="s">
        <v>365</v>
      </c>
      <c r="C336" s="2877">
        <v>1.5</v>
      </c>
    </row>
    <row r="337" spans="1:3">
      <c r="A337" s="92" t="s">
        <v>1866</v>
      </c>
      <c r="B337" s="216" t="s">
        <v>2375</v>
      </c>
      <c r="C337" s="2877">
        <v>1.5</v>
      </c>
    </row>
    <row r="338" spans="1:3">
      <c r="A338" s="92" t="s">
        <v>761</v>
      </c>
      <c r="B338" s="216" t="s">
        <v>366</v>
      </c>
      <c r="C338" s="2877">
        <v>1.5</v>
      </c>
    </row>
    <row r="339" spans="1:3">
      <c r="A339" s="92" t="s">
        <v>762</v>
      </c>
      <c r="B339" s="216" t="s">
        <v>367</v>
      </c>
      <c r="C339" s="2877">
        <v>1.5</v>
      </c>
    </row>
    <row r="340" spans="1:3">
      <c r="A340" s="92" t="s">
        <v>2458</v>
      </c>
      <c r="B340" s="216" t="s">
        <v>368</v>
      </c>
      <c r="C340" s="2877">
        <v>1.5</v>
      </c>
    </row>
    <row r="341" spans="1:3">
      <c r="A341" s="92" t="s">
        <v>491</v>
      </c>
      <c r="B341" s="216" t="s">
        <v>85</v>
      </c>
      <c r="C341" s="2877">
        <v>1.45</v>
      </c>
    </row>
    <row r="342" spans="1:3">
      <c r="A342" s="92" t="s">
        <v>2459</v>
      </c>
      <c r="B342" s="216" t="s">
        <v>369</v>
      </c>
      <c r="C342" s="2877">
        <v>1.5</v>
      </c>
    </row>
    <row r="343" spans="1:3">
      <c r="A343" s="92" t="s">
        <v>1424</v>
      </c>
      <c r="B343" s="216" t="s">
        <v>1476</v>
      </c>
      <c r="C343" s="2877">
        <v>1.5</v>
      </c>
    </row>
    <row r="344" spans="1:3">
      <c r="A344" s="92" t="s">
        <v>1668</v>
      </c>
      <c r="B344" s="216" t="s">
        <v>370</v>
      </c>
      <c r="C344" s="2877">
        <v>1.3615999999999999</v>
      </c>
    </row>
    <row r="345" spans="1:3">
      <c r="A345" s="92" t="s">
        <v>1669</v>
      </c>
      <c r="B345" s="216" t="s">
        <v>371</v>
      </c>
      <c r="C345" s="2877">
        <v>1.5</v>
      </c>
    </row>
    <row r="346" spans="1:3">
      <c r="A346" s="92" t="s">
        <v>1873</v>
      </c>
      <c r="B346" s="216" t="s">
        <v>372</v>
      </c>
      <c r="C346" s="2877">
        <v>1.39</v>
      </c>
    </row>
    <row r="347" spans="1:3">
      <c r="A347" s="92" t="s">
        <v>1451</v>
      </c>
      <c r="B347" s="216" t="s">
        <v>373</v>
      </c>
      <c r="C347" s="2877">
        <v>1.4517</v>
      </c>
    </row>
    <row r="348" spans="1:3">
      <c r="A348" s="92" t="s">
        <v>2160</v>
      </c>
      <c r="B348" s="216" t="s">
        <v>1785</v>
      </c>
      <c r="C348" s="2877">
        <v>1.3756999999999999</v>
      </c>
    </row>
    <row r="349" spans="1:3">
      <c r="A349" s="92" t="s">
        <v>2161</v>
      </c>
      <c r="B349" s="216" t="s">
        <v>1786</v>
      </c>
      <c r="C349" s="2877">
        <v>1.4657</v>
      </c>
    </row>
    <row r="350" spans="1:3">
      <c r="A350" s="92" t="s">
        <v>2437</v>
      </c>
      <c r="B350" s="216" t="s">
        <v>1787</v>
      </c>
      <c r="C350" s="2877">
        <v>1.39</v>
      </c>
    </row>
    <row r="351" spans="1:3">
      <c r="A351" s="92" t="s">
        <v>906</v>
      </c>
      <c r="B351" s="216" t="s">
        <v>861</v>
      </c>
      <c r="C351" s="2877">
        <v>1.3434999999999999</v>
      </c>
    </row>
    <row r="352" spans="1:3">
      <c r="A352" s="92" t="s">
        <v>2438</v>
      </c>
      <c r="B352" s="216" t="s">
        <v>1440</v>
      </c>
      <c r="C352" s="2877">
        <v>1.3331999999999999</v>
      </c>
    </row>
    <row r="353" spans="1:3">
      <c r="A353" s="92" t="s">
        <v>2439</v>
      </c>
      <c r="B353" s="216" t="s">
        <v>1441</v>
      </c>
      <c r="C353" s="2877">
        <v>1.46</v>
      </c>
    </row>
    <row r="354" spans="1:3">
      <c r="A354" s="92" t="s">
        <v>1852</v>
      </c>
      <c r="B354" s="216" t="s">
        <v>1442</v>
      </c>
      <c r="C354" s="2877">
        <v>1.5</v>
      </c>
    </row>
    <row r="355" spans="1:3">
      <c r="A355" s="92" t="s">
        <v>1853</v>
      </c>
      <c r="B355" s="216" t="s">
        <v>1443</v>
      </c>
      <c r="C355" s="2877">
        <v>1.5</v>
      </c>
    </row>
    <row r="356" spans="1:3">
      <c r="A356" s="92" t="s">
        <v>2021</v>
      </c>
      <c r="B356" s="216" t="s">
        <v>1364</v>
      </c>
      <c r="C356" s="2877">
        <v>1.5</v>
      </c>
    </row>
    <row r="357" spans="1:3">
      <c r="A357" s="92" t="s">
        <v>2033</v>
      </c>
      <c r="B357" s="216" t="s">
        <v>1444</v>
      </c>
      <c r="C357" s="2877">
        <v>1.32</v>
      </c>
    </row>
    <row r="358" spans="1:3">
      <c r="A358" s="92" t="s">
        <v>1684</v>
      </c>
      <c r="B358" s="216" t="s">
        <v>1560</v>
      </c>
      <c r="C358" s="2877">
        <v>1.43</v>
      </c>
    </row>
    <row r="359" spans="1:3">
      <c r="A359" s="92" t="s">
        <v>981</v>
      </c>
      <c r="B359" s="216" t="s">
        <v>1445</v>
      </c>
      <c r="C359" s="2877">
        <v>1.4523999999999999</v>
      </c>
    </row>
    <row r="360" spans="1:3">
      <c r="A360" s="92" t="s">
        <v>982</v>
      </c>
      <c r="B360" s="216" t="s">
        <v>1446</v>
      </c>
      <c r="C360" s="2877">
        <v>1.49</v>
      </c>
    </row>
    <row r="361" spans="1:3">
      <c r="A361" s="92" t="s">
        <v>1115</v>
      </c>
      <c r="B361" s="216" t="s">
        <v>2380</v>
      </c>
      <c r="C361" s="2877">
        <v>1.5</v>
      </c>
    </row>
    <row r="362" spans="1:3">
      <c r="A362" s="92" t="s">
        <v>793</v>
      </c>
      <c r="B362" s="216" t="s">
        <v>1648</v>
      </c>
      <c r="C362" s="2877">
        <v>1.5</v>
      </c>
    </row>
    <row r="363" spans="1:3">
      <c r="A363" s="92" t="s">
        <v>794</v>
      </c>
      <c r="B363" s="216" t="s">
        <v>1649</v>
      </c>
      <c r="C363" s="2877">
        <v>1.45</v>
      </c>
    </row>
    <row r="364" spans="1:3">
      <c r="A364" s="92" t="s">
        <v>1236</v>
      </c>
      <c r="B364" s="216" t="s">
        <v>2365</v>
      </c>
      <c r="C364" s="2877">
        <v>1.5</v>
      </c>
    </row>
    <row r="365" spans="1:3">
      <c r="A365" s="92" t="s">
        <v>1237</v>
      </c>
      <c r="B365" s="216" t="s">
        <v>1335</v>
      </c>
      <c r="C365" s="2877">
        <v>1.5</v>
      </c>
    </row>
    <row r="366" spans="1:3">
      <c r="A366" s="92" t="s">
        <v>1463</v>
      </c>
      <c r="B366" s="216" t="s">
        <v>1650</v>
      </c>
      <c r="C366" s="2877">
        <v>1.46</v>
      </c>
    </row>
    <row r="367" spans="1:3">
      <c r="A367" s="92" t="s">
        <v>215</v>
      </c>
      <c r="B367" s="216" t="s">
        <v>2100</v>
      </c>
      <c r="C367" s="2877">
        <v>1.44</v>
      </c>
    </row>
    <row r="368" spans="1:3">
      <c r="A368" s="92" t="s">
        <v>2582</v>
      </c>
      <c r="B368" s="216" t="s">
        <v>1651</v>
      </c>
      <c r="C368" s="2877">
        <v>1.4954000000000001</v>
      </c>
    </row>
    <row r="369" spans="1:3">
      <c r="A369" s="92" t="s">
        <v>1308</v>
      </c>
      <c r="B369" s="216" t="s">
        <v>1732</v>
      </c>
      <c r="C369" s="2877">
        <v>1.44</v>
      </c>
    </row>
    <row r="370" spans="1:3">
      <c r="A370" s="92" t="s">
        <v>1286</v>
      </c>
      <c r="B370" s="216" t="s">
        <v>222</v>
      </c>
      <c r="C370" s="2877">
        <v>1.4095</v>
      </c>
    </row>
    <row r="371" spans="1:3">
      <c r="A371" s="92" t="s">
        <v>1287</v>
      </c>
      <c r="B371" s="216" t="s">
        <v>223</v>
      </c>
      <c r="C371" s="2877">
        <v>1.4258</v>
      </c>
    </row>
    <row r="372" spans="1:3">
      <c r="A372" s="92" t="s">
        <v>1288</v>
      </c>
      <c r="B372" s="216" t="s">
        <v>224</v>
      </c>
      <c r="C372" s="2877">
        <v>1.5</v>
      </c>
    </row>
    <row r="373" spans="1:3">
      <c r="A373" s="92" t="s">
        <v>457</v>
      </c>
      <c r="B373" s="216" t="s">
        <v>2126</v>
      </c>
      <c r="C373" s="2877">
        <v>1.5</v>
      </c>
    </row>
    <row r="374" spans="1:3">
      <c r="A374" s="92" t="s">
        <v>2189</v>
      </c>
      <c r="B374" s="216" t="s">
        <v>225</v>
      </c>
      <c r="C374" s="2877">
        <v>1.5</v>
      </c>
    </row>
    <row r="375" spans="1:3">
      <c r="A375" s="92" t="s">
        <v>2639</v>
      </c>
      <c r="B375" s="216" t="s">
        <v>226</v>
      </c>
      <c r="C375" s="2877">
        <v>1.5</v>
      </c>
    </row>
    <row r="376" spans="1:3">
      <c r="A376" s="92" t="s">
        <v>1509</v>
      </c>
      <c r="B376" s="216" t="s">
        <v>1936</v>
      </c>
      <c r="C376" s="2877">
        <v>1.5</v>
      </c>
    </row>
    <row r="377" spans="1:3">
      <c r="A377" s="92" t="s">
        <v>2640</v>
      </c>
      <c r="B377" s="216" t="s">
        <v>227</v>
      </c>
      <c r="C377" s="2877">
        <v>1.5</v>
      </c>
    </row>
    <row r="378" spans="1:3">
      <c r="A378" s="92" t="s">
        <v>2641</v>
      </c>
      <c r="B378" s="216" t="s">
        <v>228</v>
      </c>
      <c r="C378" s="2877">
        <v>1.5</v>
      </c>
    </row>
    <row r="379" spans="1:3">
      <c r="A379" s="92" t="s">
        <v>2642</v>
      </c>
      <c r="B379" s="216" t="s">
        <v>229</v>
      </c>
      <c r="C379" s="2877">
        <v>1.42</v>
      </c>
    </row>
    <row r="380" spans="1:3">
      <c r="A380" s="92" t="s">
        <v>2643</v>
      </c>
      <c r="B380" s="216" t="s">
        <v>230</v>
      </c>
      <c r="C380" s="2877">
        <v>1.5</v>
      </c>
    </row>
    <row r="381" spans="1:3">
      <c r="A381" s="92" t="s">
        <v>2142</v>
      </c>
      <c r="B381" s="216" t="s">
        <v>231</v>
      </c>
      <c r="C381" s="2877">
        <v>1.5</v>
      </c>
    </row>
    <row r="382" spans="1:3">
      <c r="A382" s="92" t="s">
        <v>495</v>
      </c>
      <c r="B382" s="216" t="s">
        <v>1247</v>
      </c>
      <c r="C382" s="2877">
        <v>1.5</v>
      </c>
    </row>
    <row r="383" spans="1:3">
      <c r="A383" s="92" t="s">
        <v>493</v>
      </c>
      <c r="B383" s="216" t="s">
        <v>1245</v>
      </c>
      <c r="C383" s="2877">
        <v>1.5</v>
      </c>
    </row>
    <row r="384" spans="1:3">
      <c r="A384" s="92" t="s">
        <v>2143</v>
      </c>
      <c r="B384" s="216" t="s">
        <v>232</v>
      </c>
      <c r="C384" s="2877">
        <v>1.5</v>
      </c>
    </row>
    <row r="385" spans="1:3">
      <c r="A385" s="92" t="s">
        <v>349</v>
      </c>
      <c r="B385" s="216" t="s">
        <v>293</v>
      </c>
      <c r="C385" s="2877">
        <v>1.5</v>
      </c>
    </row>
    <row r="386" spans="1:3">
      <c r="A386" s="92" t="s">
        <v>2144</v>
      </c>
      <c r="B386" s="216" t="s">
        <v>233</v>
      </c>
      <c r="C386" s="2877">
        <v>1.5</v>
      </c>
    </row>
    <row r="387" spans="1:3">
      <c r="A387" s="92" t="s">
        <v>2145</v>
      </c>
      <c r="B387" s="216" t="s">
        <v>234</v>
      </c>
      <c r="C387" s="2877">
        <v>1.5</v>
      </c>
    </row>
    <row r="388" spans="1:3">
      <c r="A388" s="92" t="s">
        <v>505</v>
      </c>
      <c r="B388" s="216" t="s">
        <v>235</v>
      </c>
      <c r="C388" s="2877">
        <v>1.5</v>
      </c>
    </row>
    <row r="389" spans="1:3">
      <c r="A389" s="92" t="s">
        <v>1955</v>
      </c>
      <c r="B389" s="216" t="s">
        <v>236</v>
      </c>
      <c r="C389" s="2877">
        <v>1.5</v>
      </c>
    </row>
    <row r="390" spans="1:3">
      <c r="A390" s="92" t="s">
        <v>2072</v>
      </c>
      <c r="B390" s="216" t="s">
        <v>237</v>
      </c>
      <c r="C390" s="2877">
        <v>1.5</v>
      </c>
    </row>
    <row r="391" spans="1:3">
      <c r="A391" s="92" t="s">
        <v>2073</v>
      </c>
      <c r="B391" s="216" t="s">
        <v>238</v>
      </c>
      <c r="C391" s="2877">
        <v>1.5</v>
      </c>
    </row>
    <row r="392" spans="1:3">
      <c r="A392" s="92" t="s">
        <v>146</v>
      </c>
      <c r="B392" s="216" t="s">
        <v>239</v>
      </c>
      <c r="C392" s="2877">
        <v>1.4</v>
      </c>
    </row>
    <row r="393" spans="1:3">
      <c r="A393" s="92" t="s">
        <v>147</v>
      </c>
      <c r="B393" s="216" t="s">
        <v>240</v>
      </c>
      <c r="C393" s="2877">
        <v>1.43</v>
      </c>
    </row>
    <row r="394" spans="1:3">
      <c r="A394" s="92" t="s">
        <v>2507</v>
      </c>
      <c r="B394" s="216" t="s">
        <v>2373</v>
      </c>
      <c r="C394" s="2877">
        <v>1.41</v>
      </c>
    </row>
    <row r="395" spans="1:3">
      <c r="A395" s="92" t="s">
        <v>2344</v>
      </c>
      <c r="B395" s="216" t="s">
        <v>241</v>
      </c>
      <c r="C395" s="2877">
        <v>1.5</v>
      </c>
    </row>
    <row r="396" spans="1:3">
      <c r="A396" s="92" t="s">
        <v>1120</v>
      </c>
      <c r="B396" s="216" t="s">
        <v>2595</v>
      </c>
      <c r="C396" s="2877">
        <v>1.425</v>
      </c>
    </row>
    <row r="397" spans="1:3">
      <c r="A397" s="92" t="s">
        <v>1121</v>
      </c>
      <c r="B397" s="216" t="s">
        <v>2596</v>
      </c>
      <c r="C397" s="2877">
        <v>1.5</v>
      </c>
    </row>
    <row r="398" spans="1:3">
      <c r="A398" s="92" t="s">
        <v>2106</v>
      </c>
      <c r="B398" s="216" t="s">
        <v>476</v>
      </c>
      <c r="C398" s="2877">
        <v>1.45</v>
      </c>
    </row>
    <row r="399" spans="1:3">
      <c r="A399" s="92" t="s">
        <v>2107</v>
      </c>
      <c r="B399" s="216" t="s">
        <v>477</v>
      </c>
      <c r="C399" s="2877">
        <v>1.44</v>
      </c>
    </row>
    <row r="400" spans="1:3">
      <c r="A400" s="92" t="s">
        <v>1020</v>
      </c>
      <c r="B400" s="216" t="s">
        <v>478</v>
      </c>
      <c r="C400" s="2877">
        <v>1.4650000000000001</v>
      </c>
    </row>
    <row r="401" spans="1:3">
      <c r="A401" s="92" t="s">
        <v>1148</v>
      </c>
      <c r="B401" s="216" t="s">
        <v>1494</v>
      </c>
      <c r="C401" s="2877">
        <v>1.5</v>
      </c>
    </row>
    <row r="402" spans="1:3">
      <c r="A402" s="92" t="s">
        <v>381</v>
      </c>
      <c r="B402" s="216" t="s">
        <v>479</v>
      </c>
      <c r="C402" s="2877">
        <v>1.5</v>
      </c>
    </row>
    <row r="403" spans="1:3">
      <c r="A403" s="92" t="s">
        <v>2285</v>
      </c>
      <c r="B403" s="216" t="s">
        <v>839</v>
      </c>
      <c r="C403" s="2877">
        <v>1.43</v>
      </c>
    </row>
    <row r="404" spans="1:3">
      <c r="A404" s="92" t="s">
        <v>1179</v>
      </c>
      <c r="B404" s="216" t="s">
        <v>1429</v>
      </c>
      <c r="C404" s="2877">
        <v>1.5</v>
      </c>
    </row>
    <row r="405" spans="1:3">
      <c r="A405" s="92" t="s">
        <v>585</v>
      </c>
      <c r="B405" s="216" t="s">
        <v>699</v>
      </c>
      <c r="C405" s="2877">
        <v>1.64</v>
      </c>
    </row>
    <row r="406" spans="1:3">
      <c r="A406" s="92" t="s">
        <v>194</v>
      </c>
      <c r="B406" s="216" t="s">
        <v>1987</v>
      </c>
      <c r="C406" s="2877">
        <v>1.5</v>
      </c>
    </row>
    <row r="407" spans="1:3">
      <c r="A407" s="92" t="s">
        <v>2313</v>
      </c>
      <c r="B407" s="216" t="s">
        <v>480</v>
      </c>
      <c r="C407" s="2877">
        <v>1.4729000000000001</v>
      </c>
    </row>
    <row r="408" spans="1:3">
      <c r="A408" s="92" t="s">
        <v>2404</v>
      </c>
      <c r="B408" s="216" t="s">
        <v>418</v>
      </c>
      <c r="C408" s="2877">
        <v>1.5</v>
      </c>
    </row>
    <row r="409" spans="1:3">
      <c r="A409" s="92" t="s">
        <v>2314</v>
      </c>
      <c r="B409" s="216" t="s">
        <v>481</v>
      </c>
      <c r="C409" s="2877">
        <v>1.5</v>
      </c>
    </row>
    <row r="410" spans="1:3">
      <c r="A410" s="92" t="s">
        <v>2166</v>
      </c>
      <c r="B410" s="216" t="s">
        <v>482</v>
      </c>
      <c r="C410" s="2877">
        <v>1.6</v>
      </c>
    </row>
    <row r="411" spans="1:3">
      <c r="A411" s="92" t="s">
        <v>1408</v>
      </c>
      <c r="B411" s="216" t="s">
        <v>2288</v>
      </c>
      <c r="C411" s="2877">
        <v>1.4843999999999999</v>
      </c>
    </row>
    <row r="412" spans="1:3">
      <c r="A412" s="92" t="s">
        <v>1428</v>
      </c>
      <c r="B412" s="216" t="s">
        <v>1480</v>
      </c>
      <c r="C412" s="2877">
        <v>1.61</v>
      </c>
    </row>
    <row r="413" spans="1:3">
      <c r="A413" s="92" t="s">
        <v>2020</v>
      </c>
      <c r="B413" s="216" t="s">
        <v>483</v>
      </c>
      <c r="C413" s="2877">
        <v>1.5</v>
      </c>
    </row>
    <row r="414" spans="1:3">
      <c r="A414" s="92" t="s">
        <v>2552</v>
      </c>
      <c r="B414" s="216" t="s">
        <v>484</v>
      </c>
      <c r="C414" s="2877">
        <v>1.45</v>
      </c>
    </row>
    <row r="415" spans="1:3">
      <c r="A415" s="92" t="s">
        <v>1117</v>
      </c>
      <c r="B415" s="216" t="s">
        <v>2385</v>
      </c>
      <c r="C415" s="2877">
        <v>1.5</v>
      </c>
    </row>
    <row r="416" spans="1:3">
      <c r="A416" s="92" t="s">
        <v>48</v>
      </c>
      <c r="B416" s="216" t="s">
        <v>410</v>
      </c>
      <c r="C416" s="2877">
        <v>1.63</v>
      </c>
    </row>
    <row r="417" spans="1:3">
      <c r="A417" s="92" t="s">
        <v>55</v>
      </c>
      <c r="B417" s="216" t="s">
        <v>2585</v>
      </c>
      <c r="C417" s="2877">
        <v>1.5</v>
      </c>
    </row>
    <row r="418" spans="1:3">
      <c r="A418" s="92" t="s">
        <v>2553</v>
      </c>
      <c r="B418" s="216" t="s">
        <v>485</v>
      </c>
      <c r="C418" s="2877">
        <v>1.5</v>
      </c>
    </row>
    <row r="419" spans="1:3">
      <c r="A419" s="92" t="s">
        <v>206</v>
      </c>
      <c r="B419" s="216" t="s">
        <v>272</v>
      </c>
      <c r="C419" s="2877">
        <v>1.5449999999999999</v>
      </c>
    </row>
    <row r="420" spans="1:3">
      <c r="A420" s="92" t="s">
        <v>668</v>
      </c>
      <c r="B420" s="216" t="s">
        <v>486</v>
      </c>
      <c r="C420" s="2877">
        <v>1.5</v>
      </c>
    </row>
    <row r="421" spans="1:3">
      <c r="A421" s="92" t="s">
        <v>811</v>
      </c>
      <c r="B421" s="216" t="s">
        <v>2190</v>
      </c>
      <c r="C421" s="2877">
        <v>1.575</v>
      </c>
    </row>
    <row r="422" spans="1:3">
      <c r="A422" s="92" t="s">
        <v>1947</v>
      </c>
      <c r="B422" s="216" t="s">
        <v>2191</v>
      </c>
      <c r="C422" s="2877">
        <v>1.44</v>
      </c>
    </row>
    <row r="423" spans="1:3">
      <c r="A423" s="92" t="s">
        <v>1948</v>
      </c>
      <c r="B423" s="216" t="s">
        <v>2192</v>
      </c>
      <c r="C423" s="2877">
        <v>1.5</v>
      </c>
    </row>
    <row r="424" spans="1:3">
      <c r="A424" s="92" t="s">
        <v>867</v>
      </c>
      <c r="B424" s="216" t="s">
        <v>2383</v>
      </c>
      <c r="C424" s="2877">
        <v>1.5</v>
      </c>
    </row>
    <row r="425" spans="1:3">
      <c r="A425" s="92" t="s">
        <v>1949</v>
      </c>
      <c r="B425" s="216" t="s">
        <v>2193</v>
      </c>
      <c r="C425" s="2877">
        <v>1.5</v>
      </c>
    </row>
    <row r="426" spans="1:3">
      <c r="A426" s="92" t="s">
        <v>1500</v>
      </c>
      <c r="B426" s="216" t="s">
        <v>2194</v>
      </c>
      <c r="C426" s="2877">
        <v>1.5</v>
      </c>
    </row>
    <row r="427" spans="1:3">
      <c r="A427" s="92" t="s">
        <v>1501</v>
      </c>
      <c r="B427" s="216" t="s">
        <v>2195</v>
      </c>
      <c r="C427" s="2877">
        <v>1.5</v>
      </c>
    </row>
    <row r="428" spans="1:3">
      <c r="A428" s="92" t="s">
        <v>1502</v>
      </c>
      <c r="B428" s="216" t="s">
        <v>2074</v>
      </c>
      <c r="C428" s="2877">
        <v>1.4730000000000001</v>
      </c>
    </row>
    <row r="429" spans="1:3">
      <c r="A429" s="92" t="s">
        <v>1568</v>
      </c>
      <c r="B429" s="216" t="s">
        <v>2075</v>
      </c>
      <c r="C429" s="2877">
        <v>1.44</v>
      </c>
    </row>
    <row r="430" spans="1:3">
      <c r="A430" s="92" t="s">
        <v>1569</v>
      </c>
      <c r="B430" s="216" t="s">
        <v>156</v>
      </c>
      <c r="C430" s="2877">
        <v>1.4359999999999999</v>
      </c>
    </row>
    <row r="431" spans="1:3">
      <c r="A431" s="92" t="s">
        <v>497</v>
      </c>
      <c r="B431" s="216" t="s">
        <v>157</v>
      </c>
      <c r="C431" s="2877">
        <v>1.4815</v>
      </c>
    </row>
    <row r="432" spans="1:3">
      <c r="A432" s="92" t="s">
        <v>465</v>
      </c>
      <c r="B432" s="216" t="s">
        <v>158</v>
      </c>
      <c r="C432" s="2877">
        <v>1.4810000000000001</v>
      </c>
    </row>
    <row r="433" spans="1:3">
      <c r="A433" s="92" t="s">
        <v>466</v>
      </c>
      <c r="B433" s="216" t="s">
        <v>828</v>
      </c>
      <c r="C433" s="2877">
        <v>1.5</v>
      </c>
    </row>
    <row r="434" spans="1:3">
      <c r="A434" s="92" t="s">
        <v>467</v>
      </c>
      <c r="B434" s="216" t="s">
        <v>159</v>
      </c>
      <c r="C434" s="2877">
        <v>1.5</v>
      </c>
    </row>
    <row r="435" spans="1:3">
      <c r="A435" s="92" t="s">
        <v>468</v>
      </c>
      <c r="B435" s="216" t="s">
        <v>160</v>
      </c>
      <c r="C435" s="2877">
        <v>1.5</v>
      </c>
    </row>
    <row r="436" spans="1:3">
      <c r="A436" s="92" t="s">
        <v>1141</v>
      </c>
      <c r="B436" s="216" t="s">
        <v>161</v>
      </c>
      <c r="C436" s="2877">
        <v>1.5</v>
      </c>
    </row>
    <row r="437" spans="1:3">
      <c r="A437" s="92" t="s">
        <v>1488</v>
      </c>
      <c r="B437" s="216" t="s">
        <v>1061</v>
      </c>
      <c r="C437" s="2877">
        <v>1.5</v>
      </c>
    </row>
    <row r="438" spans="1:3">
      <c r="A438" s="92" t="s">
        <v>1292</v>
      </c>
      <c r="B438" s="216" t="s">
        <v>162</v>
      </c>
      <c r="C438" s="2877">
        <v>1.5</v>
      </c>
    </row>
    <row r="439" spans="1:3">
      <c r="A439" s="92" t="s">
        <v>1863</v>
      </c>
      <c r="B439" s="216" t="s">
        <v>830</v>
      </c>
      <c r="C439" s="2877">
        <v>1.4850000000000001</v>
      </c>
    </row>
    <row r="440" spans="1:3">
      <c r="A440" s="92" t="s">
        <v>1703</v>
      </c>
      <c r="B440" s="216" t="s">
        <v>163</v>
      </c>
      <c r="C440" s="2877">
        <v>1.3197000000000001</v>
      </c>
    </row>
    <row r="441" spans="1:3">
      <c r="A441" s="92" t="s">
        <v>1704</v>
      </c>
      <c r="B441" s="216" t="s">
        <v>1349</v>
      </c>
      <c r="C441" s="2877">
        <v>1.454</v>
      </c>
    </row>
    <row r="442" spans="1:3">
      <c r="A442" s="92" t="s">
        <v>2544</v>
      </c>
      <c r="B442" s="216" t="s">
        <v>1350</v>
      </c>
      <c r="C442" s="2877">
        <v>1.5</v>
      </c>
    </row>
    <row r="443" spans="1:3">
      <c r="A443" s="92" t="s">
        <v>2519</v>
      </c>
      <c r="B443" s="216" t="s">
        <v>1351</v>
      </c>
      <c r="C443" s="2877">
        <v>1.421</v>
      </c>
    </row>
    <row r="444" spans="1:3">
      <c r="A444" s="92" t="s">
        <v>2007</v>
      </c>
      <c r="B444" s="216" t="s">
        <v>1352</v>
      </c>
      <c r="C444" s="2877">
        <v>1.45</v>
      </c>
    </row>
    <row r="445" spans="1:3">
      <c r="A445" s="92" t="s">
        <v>63</v>
      </c>
      <c r="B445" s="216" t="s">
        <v>2599</v>
      </c>
      <c r="C445" s="2877">
        <v>1.2370000000000001</v>
      </c>
    </row>
    <row r="446" spans="1:3">
      <c r="A446" s="92" t="s">
        <v>1518</v>
      </c>
      <c r="B446" s="216" t="s">
        <v>607</v>
      </c>
      <c r="C446" s="2877">
        <v>1.5</v>
      </c>
    </row>
    <row r="447" spans="1:3">
      <c r="A447" s="92" t="s">
        <v>868</v>
      </c>
      <c r="B447" s="216" t="s">
        <v>2105</v>
      </c>
      <c r="C447" s="2877">
        <v>1.456</v>
      </c>
    </row>
    <row r="448" spans="1:3">
      <c r="A448" s="92" t="s">
        <v>64</v>
      </c>
      <c r="B448" s="216" t="s">
        <v>2600</v>
      </c>
      <c r="C448" s="2877">
        <v>1.5</v>
      </c>
    </row>
    <row r="449" spans="1:3">
      <c r="A449" s="92" t="s">
        <v>2127</v>
      </c>
      <c r="B449" s="216" t="s">
        <v>2601</v>
      </c>
      <c r="C449" s="2877">
        <v>1.5</v>
      </c>
    </row>
    <row r="450" spans="1:3">
      <c r="A450" s="92" t="s">
        <v>770</v>
      </c>
      <c r="B450" s="216" t="s">
        <v>1066</v>
      </c>
      <c r="C450" s="2877">
        <v>1.4722999999999999</v>
      </c>
    </row>
    <row r="451" spans="1:3">
      <c r="A451" s="92" t="s">
        <v>772</v>
      </c>
      <c r="B451" s="216" t="s">
        <v>889</v>
      </c>
      <c r="C451" s="2877">
        <v>1.5</v>
      </c>
    </row>
    <row r="452" spans="1:3">
      <c r="A452" s="92" t="s">
        <v>1865</v>
      </c>
      <c r="B452" s="216" t="s">
        <v>2374</v>
      </c>
      <c r="C452" s="2877">
        <v>1.46</v>
      </c>
    </row>
    <row r="453" spans="1:3">
      <c r="A453" s="92" t="s">
        <v>2529</v>
      </c>
      <c r="B453" s="216" t="s">
        <v>817</v>
      </c>
      <c r="C453" s="2877">
        <v>1.5</v>
      </c>
    </row>
    <row r="454" spans="1:3">
      <c r="A454" s="92" t="s">
        <v>2532</v>
      </c>
      <c r="B454" s="216" t="s">
        <v>2234</v>
      </c>
      <c r="C454" s="2877">
        <v>1.5</v>
      </c>
    </row>
    <row r="455" spans="1:3">
      <c r="A455" s="92" t="s">
        <v>2538</v>
      </c>
      <c r="B455" s="216" t="s">
        <v>2241</v>
      </c>
      <c r="C455" s="2877">
        <v>1.46</v>
      </c>
    </row>
    <row r="456" spans="1:3">
      <c r="A456" s="92" t="s">
        <v>211</v>
      </c>
      <c r="B456" s="216" t="s">
        <v>999</v>
      </c>
      <c r="C456" s="2877">
        <v>1.5</v>
      </c>
    </row>
    <row r="457" spans="1:3">
      <c r="A457" s="92" t="s">
        <v>1067</v>
      </c>
      <c r="B457" s="216" t="s">
        <v>75</v>
      </c>
      <c r="C457" s="2877">
        <v>1.5</v>
      </c>
    </row>
    <row r="458" spans="1:3">
      <c r="A458" s="92" t="s">
        <v>1562</v>
      </c>
      <c r="B458" s="216" t="s">
        <v>2602</v>
      </c>
      <c r="C458" s="2877">
        <v>1.4750000000000001</v>
      </c>
    </row>
    <row r="459" spans="1:3">
      <c r="A459" s="92" t="s">
        <v>58</v>
      </c>
      <c r="B459" s="216" t="s">
        <v>1897</v>
      </c>
      <c r="C459" s="2877">
        <v>1.5</v>
      </c>
    </row>
    <row r="460" spans="1:3">
      <c r="A460" s="92" t="s">
        <v>723</v>
      </c>
      <c r="B460" s="216" t="s">
        <v>141</v>
      </c>
      <c r="C460" s="2877">
        <v>1.3959999999999999</v>
      </c>
    </row>
    <row r="461" spans="1:3">
      <c r="A461" s="92" t="s">
        <v>60</v>
      </c>
      <c r="B461" s="216" t="s">
        <v>2299</v>
      </c>
      <c r="C461" s="2877">
        <v>1.4705999999999999</v>
      </c>
    </row>
    <row r="462" spans="1:3">
      <c r="A462" s="92" t="s">
        <v>512</v>
      </c>
      <c r="B462" s="216" t="s">
        <v>2242</v>
      </c>
      <c r="C462" s="2877">
        <v>1.4</v>
      </c>
    </row>
    <row r="463" spans="1:3">
      <c r="A463" s="92" t="s">
        <v>1522</v>
      </c>
      <c r="B463" s="216" t="s">
        <v>2364</v>
      </c>
      <c r="C463" s="2877">
        <v>1.4251</v>
      </c>
    </row>
    <row r="464" spans="1:3">
      <c r="A464" s="92" t="s">
        <v>149</v>
      </c>
      <c r="B464" s="216" t="s">
        <v>2150</v>
      </c>
      <c r="C464" s="2877">
        <v>1.5</v>
      </c>
    </row>
    <row r="465" spans="1:3">
      <c r="A465" s="92" t="s">
        <v>2509</v>
      </c>
      <c r="B465" s="216" t="s">
        <v>898</v>
      </c>
      <c r="C465" s="2877">
        <v>1.5</v>
      </c>
    </row>
    <row r="466" spans="1:3">
      <c r="A466" s="92" t="s">
        <v>2402</v>
      </c>
      <c r="B466" s="216" t="s">
        <v>667</v>
      </c>
      <c r="C466" s="2877">
        <v>1.46</v>
      </c>
    </row>
    <row r="467" spans="1:3">
      <c r="A467" s="92" t="s">
        <v>1867</v>
      </c>
      <c r="B467" s="216" t="s">
        <v>2376</v>
      </c>
      <c r="C467" s="2877">
        <v>1.5</v>
      </c>
    </row>
    <row r="468" spans="1:3">
      <c r="A468" s="92" t="s">
        <v>513</v>
      </c>
      <c r="B468" s="216" t="s">
        <v>2381</v>
      </c>
      <c r="C468" s="2877">
        <v>1.5</v>
      </c>
    </row>
    <row r="469" spans="1:3">
      <c r="A469" s="92" t="s">
        <v>42</v>
      </c>
      <c r="B469" s="216" t="s">
        <v>404</v>
      </c>
      <c r="C469" s="2877">
        <v>1.5</v>
      </c>
    </row>
    <row r="470" spans="1:3">
      <c r="A470" s="92" t="s">
        <v>150</v>
      </c>
      <c r="B470" s="216" t="s">
        <v>2152</v>
      </c>
      <c r="C470" s="2877">
        <v>1.45</v>
      </c>
    </row>
    <row r="471" spans="1:3">
      <c r="A471" s="92" t="s">
        <v>521</v>
      </c>
      <c r="B471" s="216" t="s">
        <v>2243</v>
      </c>
      <c r="C471" s="2877">
        <v>1.5</v>
      </c>
    </row>
    <row r="472" spans="1:3">
      <c r="A472" s="92" t="s">
        <v>1563</v>
      </c>
      <c r="B472" s="216" t="s">
        <v>2603</v>
      </c>
      <c r="C472" s="2877">
        <v>1.5</v>
      </c>
    </row>
    <row r="473" spans="1:3">
      <c r="A473" s="92" t="s">
        <v>522</v>
      </c>
      <c r="B473" s="216" t="s">
        <v>2419</v>
      </c>
      <c r="C473" s="2877">
        <v>1.5</v>
      </c>
    </row>
    <row r="474" spans="1:3">
      <c r="A474" s="92" t="s">
        <v>1540</v>
      </c>
      <c r="B474" s="216" t="s">
        <v>1346</v>
      </c>
      <c r="C474" s="2877">
        <v>1.5</v>
      </c>
    </row>
    <row r="475" spans="1:3">
      <c r="A475" s="92" t="s">
        <v>523</v>
      </c>
      <c r="B475" s="216" t="s">
        <v>2594</v>
      </c>
      <c r="C475" s="2877">
        <v>1.5</v>
      </c>
    </row>
    <row r="476" spans="1:3">
      <c r="A476" s="92" t="s">
        <v>1564</v>
      </c>
      <c r="B476" s="216" t="s">
        <v>2604</v>
      </c>
      <c r="C476" s="2877">
        <v>1.42</v>
      </c>
    </row>
    <row r="477" spans="1:3">
      <c r="A477" s="92" t="s">
        <v>1565</v>
      </c>
      <c r="B477" s="216" t="s">
        <v>2605</v>
      </c>
      <c r="C477" s="2877">
        <v>1.48</v>
      </c>
    </row>
    <row r="478" spans="1:3">
      <c r="A478" s="92" t="s">
        <v>1241</v>
      </c>
      <c r="B478" s="216" t="s">
        <v>2606</v>
      </c>
      <c r="C478" s="2877">
        <v>1.5</v>
      </c>
    </row>
    <row r="479" spans="1:3">
      <c r="A479" s="92" t="s">
        <v>1843</v>
      </c>
      <c r="B479" s="216" t="s">
        <v>1929</v>
      </c>
      <c r="C479" s="2877">
        <v>1.5</v>
      </c>
    </row>
    <row r="480" spans="1:3">
      <c r="A480" s="92" t="s">
        <v>1242</v>
      </c>
      <c r="B480" s="216" t="s">
        <v>2607</v>
      </c>
      <c r="C480" s="2877">
        <v>1.5</v>
      </c>
    </row>
    <row r="481" spans="1:3">
      <c r="A481" s="92" t="s">
        <v>1243</v>
      </c>
      <c r="B481" s="216" t="s">
        <v>2608</v>
      </c>
      <c r="C481" s="2877">
        <v>1.5</v>
      </c>
    </row>
    <row r="482" spans="1:3">
      <c r="A482" s="92" t="s">
        <v>1244</v>
      </c>
      <c r="B482" s="216" t="s">
        <v>219</v>
      </c>
      <c r="C482" s="2877">
        <v>1.45</v>
      </c>
    </row>
    <row r="483" spans="1:3">
      <c r="A483" s="92" t="s">
        <v>1772</v>
      </c>
      <c r="B483" s="216" t="s">
        <v>1566</v>
      </c>
      <c r="C483" s="2877">
        <v>1.5</v>
      </c>
    </row>
    <row r="484" spans="1:3">
      <c r="A484" s="92" t="s">
        <v>1516</v>
      </c>
      <c r="B484" s="216" t="s">
        <v>605</v>
      </c>
      <c r="C484" s="2877">
        <v>1.5</v>
      </c>
    </row>
    <row r="485" spans="1:3">
      <c r="A485" s="92" t="s">
        <v>180</v>
      </c>
      <c r="B485" s="216" t="s">
        <v>220</v>
      </c>
      <c r="C485" s="2877">
        <v>1.4256</v>
      </c>
    </row>
    <row r="486" spans="1:3">
      <c r="A486" s="92" t="s">
        <v>1497</v>
      </c>
      <c r="B486" s="216" t="s">
        <v>422</v>
      </c>
      <c r="C486" s="2877">
        <v>1.4112</v>
      </c>
    </row>
    <row r="487" spans="1:3">
      <c r="A487" s="92" t="s">
        <v>181</v>
      </c>
      <c r="B487" s="216" t="s">
        <v>221</v>
      </c>
      <c r="C487" s="2877">
        <v>1.4011</v>
      </c>
    </row>
    <row r="488" spans="1:3">
      <c r="A488" s="92" t="s">
        <v>1943</v>
      </c>
      <c r="B488" s="216" t="s">
        <v>2238</v>
      </c>
      <c r="C488" s="2877">
        <v>1.41</v>
      </c>
    </row>
    <row r="489" spans="1:3">
      <c r="A489" s="92" t="s">
        <v>182</v>
      </c>
      <c r="B489" s="216" t="s">
        <v>632</v>
      </c>
      <c r="C489" s="2877">
        <v>1.2150000000000001</v>
      </c>
    </row>
    <row r="490" spans="1:3">
      <c r="A490" s="92" t="s">
        <v>183</v>
      </c>
      <c r="B490" s="216" t="s">
        <v>633</v>
      </c>
      <c r="C490" s="2877">
        <v>1.29</v>
      </c>
    </row>
    <row r="491" spans="1:3">
      <c r="A491" s="92" t="s">
        <v>1498</v>
      </c>
      <c r="B491" s="216" t="s">
        <v>1942</v>
      </c>
      <c r="C491" s="2877">
        <v>1.3562000000000001</v>
      </c>
    </row>
    <row r="492" spans="1:3">
      <c r="A492" s="92" t="s">
        <v>1421</v>
      </c>
      <c r="B492" s="216" t="s">
        <v>634</v>
      </c>
      <c r="C492" s="2877">
        <v>1.47</v>
      </c>
    </row>
    <row r="493" spans="1:3">
      <c r="A493" s="92" t="s">
        <v>1261</v>
      </c>
      <c r="B493" s="216" t="s">
        <v>2165</v>
      </c>
      <c r="C493" s="2877">
        <v>1.4</v>
      </c>
    </row>
    <row r="494" spans="1:3">
      <c r="A494" s="92" t="s">
        <v>978</v>
      </c>
      <c r="B494" s="216" t="s">
        <v>2520</v>
      </c>
      <c r="C494" s="2877">
        <v>1.415</v>
      </c>
    </row>
    <row r="495" spans="1:3">
      <c r="A495" s="92" t="s">
        <v>979</v>
      </c>
      <c r="B495" s="216" t="s">
        <v>1570</v>
      </c>
      <c r="C495" s="2877">
        <v>1.4703999999999999</v>
      </c>
    </row>
    <row r="496" spans="1:3">
      <c r="A496" s="92" t="s">
        <v>899</v>
      </c>
      <c r="B496" s="216" t="s">
        <v>1571</v>
      </c>
      <c r="C496" s="2877">
        <v>1.35</v>
      </c>
    </row>
    <row r="497" spans="1:3">
      <c r="A497" s="92" t="s">
        <v>1797</v>
      </c>
      <c r="B497" s="216" t="s">
        <v>1572</v>
      </c>
      <c r="C497" s="2877">
        <v>1.5</v>
      </c>
    </row>
    <row r="498" spans="1:3">
      <c r="A498" s="92" t="s">
        <v>2677</v>
      </c>
      <c r="B498" s="216" t="s">
        <v>1573</v>
      </c>
      <c r="C498" s="2877">
        <v>1.5</v>
      </c>
    </row>
    <row r="499" spans="1:3">
      <c r="A499" s="92" t="s">
        <v>2678</v>
      </c>
      <c r="B499" s="216" t="s">
        <v>1574</v>
      </c>
      <c r="C499" s="2877">
        <v>1.5</v>
      </c>
    </row>
    <row r="500" spans="1:3">
      <c r="A500" s="92" t="s">
        <v>1331</v>
      </c>
      <c r="B500" s="216" t="s">
        <v>1575</v>
      </c>
      <c r="C500" s="2877">
        <v>1.2</v>
      </c>
    </row>
    <row r="501" spans="1:3">
      <c r="A501" s="92" t="s">
        <v>2177</v>
      </c>
      <c r="B501" s="216" t="s">
        <v>1576</v>
      </c>
      <c r="C501" s="2877">
        <v>1.5</v>
      </c>
    </row>
    <row r="502" spans="1:3">
      <c r="A502" s="92" t="s">
        <v>1111</v>
      </c>
      <c r="B502" s="216" t="s">
        <v>1577</v>
      </c>
      <c r="C502" s="2877">
        <v>1.48</v>
      </c>
    </row>
    <row r="503" spans="1:3">
      <c r="A503" s="92" t="s">
        <v>1886</v>
      </c>
      <c r="B503" s="216" t="s">
        <v>651</v>
      </c>
      <c r="C503" s="2877">
        <v>1.4710000000000001</v>
      </c>
    </row>
    <row r="504" spans="1:3">
      <c r="A504" s="92" t="s">
        <v>1112</v>
      </c>
      <c r="B504" s="216" t="s">
        <v>1578</v>
      </c>
      <c r="C504" s="2877">
        <v>1.5</v>
      </c>
    </row>
    <row r="505" spans="1:3">
      <c r="A505" s="92" t="s">
        <v>1437</v>
      </c>
      <c r="B505" s="216" t="s">
        <v>1550</v>
      </c>
      <c r="C505" s="2877">
        <v>1.5</v>
      </c>
    </row>
    <row r="506" spans="1:3">
      <c r="A506" s="92" t="s">
        <v>1058</v>
      </c>
      <c r="B506" s="216" t="s">
        <v>1579</v>
      </c>
      <c r="C506" s="2877">
        <v>1.5</v>
      </c>
    </row>
    <row r="507" spans="1:3">
      <c r="A507" s="92" t="s">
        <v>1944</v>
      </c>
      <c r="B507" s="216" t="s">
        <v>2125</v>
      </c>
      <c r="C507" s="2877">
        <v>1.43</v>
      </c>
    </row>
    <row r="508" spans="1:3">
      <c r="A508" s="92" t="s">
        <v>1584</v>
      </c>
      <c r="B508" s="216" t="s">
        <v>77</v>
      </c>
      <c r="C508" s="2877">
        <v>1.4219999999999999</v>
      </c>
    </row>
    <row r="509" spans="1:3">
      <c r="A509" s="92" t="s">
        <v>245</v>
      </c>
      <c r="B509" s="216" t="s">
        <v>1131</v>
      </c>
      <c r="C509" s="2877">
        <v>1.4343999999999999</v>
      </c>
    </row>
    <row r="510" spans="1:3">
      <c r="A510" s="92" t="s">
        <v>1059</v>
      </c>
      <c r="B510" s="216" t="s">
        <v>1580</v>
      </c>
      <c r="C510" s="2877">
        <v>1.4257</v>
      </c>
    </row>
    <row r="511" spans="1:3">
      <c r="A511" s="92" t="s">
        <v>875</v>
      </c>
      <c r="B511" s="216" t="s">
        <v>799</v>
      </c>
      <c r="C511" s="2877">
        <v>1.4607000000000001</v>
      </c>
    </row>
    <row r="512" spans="1:3">
      <c r="A512" s="92" t="s">
        <v>1844</v>
      </c>
      <c r="B512" s="216" t="s">
        <v>1347</v>
      </c>
      <c r="C512" s="2877">
        <v>1.5</v>
      </c>
    </row>
    <row r="513" spans="1:3">
      <c r="A513" s="92" t="s">
        <v>1060</v>
      </c>
      <c r="B513" s="216" t="s">
        <v>1581</v>
      </c>
      <c r="C513" s="2877">
        <v>1.5</v>
      </c>
    </row>
    <row r="514" spans="1:3">
      <c r="A514" s="92" t="s">
        <v>2140</v>
      </c>
      <c r="B514" s="216" t="s">
        <v>2523</v>
      </c>
      <c r="C514" s="2877">
        <v>1.39</v>
      </c>
    </row>
    <row r="515" spans="1:3">
      <c r="A515" s="92" t="s">
        <v>2141</v>
      </c>
      <c r="B515" s="216" t="s">
        <v>2524</v>
      </c>
      <c r="C515" s="2877">
        <v>1.4036</v>
      </c>
    </row>
    <row r="516" spans="1:3">
      <c r="A516" s="92" t="s">
        <v>1259</v>
      </c>
      <c r="B516" s="216" t="s">
        <v>2525</v>
      </c>
      <c r="C516" s="2877">
        <v>1.1859999999999999</v>
      </c>
    </row>
    <row r="517" spans="1:3">
      <c r="A517" s="92" t="s">
        <v>1260</v>
      </c>
      <c r="B517" s="216" t="s">
        <v>2526</v>
      </c>
      <c r="C517" s="2877">
        <v>1.5</v>
      </c>
    </row>
    <row r="518" spans="1:3">
      <c r="A518" s="92" t="s">
        <v>923</v>
      </c>
      <c r="B518" s="216" t="s">
        <v>2462</v>
      </c>
      <c r="C518" s="2877">
        <v>1.5</v>
      </c>
    </row>
    <row r="519" spans="1:3">
      <c r="A519" s="92" t="s">
        <v>924</v>
      </c>
      <c r="B519" s="216" t="s">
        <v>2463</v>
      </c>
      <c r="C519" s="2877">
        <v>1.5</v>
      </c>
    </row>
    <row r="520" spans="1:3">
      <c r="A520" s="92" t="s">
        <v>925</v>
      </c>
      <c r="B520" s="216" t="s">
        <v>2464</v>
      </c>
      <c r="C520" s="2877">
        <v>1.5</v>
      </c>
    </row>
    <row r="521" spans="1:3">
      <c r="A521" s="92" t="s">
        <v>926</v>
      </c>
      <c r="B521" s="216" t="s">
        <v>620</v>
      </c>
      <c r="C521" s="2877">
        <v>1.5</v>
      </c>
    </row>
    <row r="522" spans="1:3">
      <c r="A522" s="92" t="s">
        <v>2577</v>
      </c>
      <c r="B522" s="216" t="s">
        <v>1481</v>
      </c>
      <c r="C522" s="2877">
        <v>1.5</v>
      </c>
    </row>
    <row r="523" spans="1:3">
      <c r="A523" s="92" t="s">
        <v>502</v>
      </c>
      <c r="B523" s="216" t="s">
        <v>621</v>
      </c>
      <c r="C523" s="2877">
        <v>1.4961</v>
      </c>
    </row>
    <row r="524" spans="1:3">
      <c r="A524" s="92" t="s">
        <v>2646</v>
      </c>
      <c r="B524" s="216" t="s">
        <v>2499</v>
      </c>
      <c r="C524" s="2877">
        <v>1.5</v>
      </c>
    </row>
    <row r="525" spans="1:3">
      <c r="A525" s="92" t="s">
        <v>883</v>
      </c>
      <c r="B525" s="216" t="s">
        <v>1447</v>
      </c>
      <c r="C525" s="2877">
        <v>1.5</v>
      </c>
    </row>
    <row r="526" spans="1:3">
      <c r="A526" s="92" t="s">
        <v>44</v>
      </c>
      <c r="B526" s="216" t="s">
        <v>406</v>
      </c>
      <c r="C526" s="2877">
        <v>1.5</v>
      </c>
    </row>
    <row r="527" spans="1:3">
      <c r="A527" s="92" t="s">
        <v>54</v>
      </c>
      <c r="B527" s="216" t="s">
        <v>2017</v>
      </c>
      <c r="C527" s="2877">
        <v>1.5</v>
      </c>
    </row>
    <row r="528" spans="1:3">
      <c r="A528" s="92" t="s">
        <v>2647</v>
      </c>
      <c r="B528" s="216" t="s">
        <v>2500</v>
      </c>
      <c r="C528" s="2877">
        <v>1.5</v>
      </c>
    </row>
    <row r="529" spans="1:3">
      <c r="A529" s="92" t="s">
        <v>2648</v>
      </c>
      <c r="B529" s="216" t="s">
        <v>2501</v>
      </c>
      <c r="C529" s="2877">
        <v>1.47</v>
      </c>
    </row>
    <row r="530" spans="1:3">
      <c r="A530" s="92" t="s">
        <v>2649</v>
      </c>
      <c r="B530" s="216" t="s">
        <v>2295</v>
      </c>
      <c r="C530" s="2877">
        <v>1.31</v>
      </c>
    </row>
    <row r="531" spans="1:3">
      <c r="A531" s="92" t="s">
        <v>2540</v>
      </c>
      <c r="B531" s="216" t="s">
        <v>390</v>
      </c>
      <c r="C531" s="2877">
        <v>1.47</v>
      </c>
    </row>
    <row r="532" spans="1:3">
      <c r="A532" s="92" t="s">
        <v>2292</v>
      </c>
      <c r="B532" s="216" t="s">
        <v>2296</v>
      </c>
      <c r="C532" s="2877">
        <v>1.5</v>
      </c>
    </row>
    <row r="533" spans="1:3">
      <c r="A533" s="92" t="s">
        <v>2293</v>
      </c>
      <c r="B533" s="216" t="s">
        <v>2690</v>
      </c>
      <c r="C533" s="2877">
        <v>1.5</v>
      </c>
    </row>
    <row r="534" spans="1:3">
      <c r="A534" s="92" t="s">
        <v>1325</v>
      </c>
      <c r="B534" s="216" t="s">
        <v>2691</v>
      </c>
      <c r="C534" s="2877">
        <v>1.4750000000000001</v>
      </c>
    </row>
    <row r="535" spans="1:3">
      <c r="A535" s="92" t="s">
        <v>1326</v>
      </c>
      <c r="B535" s="216" t="s">
        <v>2692</v>
      </c>
      <c r="C535" s="2877">
        <v>1.5</v>
      </c>
    </row>
    <row r="536" spans="1:3">
      <c r="A536" s="92" t="s">
        <v>1309</v>
      </c>
      <c r="B536" s="216" t="s">
        <v>1734</v>
      </c>
      <c r="C536" s="2877">
        <v>1.5</v>
      </c>
    </row>
    <row r="537" spans="1:3">
      <c r="A537" s="92" t="s">
        <v>1327</v>
      </c>
      <c r="B537" s="216" t="s">
        <v>1738</v>
      </c>
      <c r="C537" s="2877">
        <v>1.5</v>
      </c>
    </row>
    <row r="538" spans="1:3">
      <c r="A538" s="92" t="s">
        <v>2019</v>
      </c>
      <c r="B538" s="216" t="s">
        <v>701</v>
      </c>
      <c r="C538" s="2877">
        <v>1.4734</v>
      </c>
    </row>
    <row r="539" spans="1:3">
      <c r="A539" s="92" t="s">
        <v>2323</v>
      </c>
      <c r="B539" s="216" t="s">
        <v>2681</v>
      </c>
      <c r="C539" s="2877">
        <v>1.3774999999999999</v>
      </c>
    </row>
    <row r="540" spans="1:3">
      <c r="A540" s="92" t="s">
        <v>1413</v>
      </c>
      <c r="B540" s="216" t="s">
        <v>1016</v>
      </c>
      <c r="C540" s="2877">
        <v>1.4429000000000001</v>
      </c>
    </row>
    <row r="541" spans="1:3">
      <c r="A541" s="92" t="s">
        <v>216</v>
      </c>
      <c r="B541" s="216" t="s">
        <v>2102</v>
      </c>
      <c r="C541" s="2877">
        <v>1.5</v>
      </c>
    </row>
    <row r="542" spans="1:3">
      <c r="A542" s="92" t="s">
        <v>1328</v>
      </c>
      <c r="B542" s="216" t="s">
        <v>1739</v>
      </c>
      <c r="C542" s="2877">
        <v>1.5</v>
      </c>
    </row>
    <row r="543" spans="1:3">
      <c r="A543" s="92" t="s">
        <v>195</v>
      </c>
      <c r="B543" s="216" t="s">
        <v>1051</v>
      </c>
      <c r="C543" s="2877">
        <v>1.4750000000000001</v>
      </c>
    </row>
    <row r="544" spans="1:3">
      <c r="A544" s="92" t="s">
        <v>1884</v>
      </c>
      <c r="B544" s="216" t="s">
        <v>1449</v>
      </c>
      <c r="C544" s="2877">
        <v>1.5</v>
      </c>
    </row>
    <row r="545" spans="1:3">
      <c r="A545" s="92" t="s">
        <v>574</v>
      </c>
      <c r="B545" s="216" t="s">
        <v>1163</v>
      </c>
      <c r="C545" s="2877">
        <v>1.5</v>
      </c>
    </row>
    <row r="546" spans="1:3">
      <c r="A546" s="92" t="s">
        <v>1798</v>
      </c>
      <c r="B546" s="216" t="s">
        <v>865</v>
      </c>
      <c r="C546" s="2877">
        <v>1.5</v>
      </c>
    </row>
    <row r="547" spans="1:3">
      <c r="A547" s="92" t="s">
        <v>45</v>
      </c>
      <c r="B547" s="216" t="s">
        <v>407</v>
      </c>
      <c r="C547" s="2877">
        <v>1.5</v>
      </c>
    </row>
    <row r="548" spans="1:3">
      <c r="A548" s="92" t="s">
        <v>1329</v>
      </c>
      <c r="B548" s="216" t="s">
        <v>2034</v>
      </c>
      <c r="C548" s="2877">
        <v>1.5</v>
      </c>
    </row>
    <row r="549" spans="1:3">
      <c r="A549" s="92" t="s">
        <v>2324</v>
      </c>
      <c r="B549" s="216" t="s">
        <v>2695</v>
      </c>
      <c r="C549" s="2877">
        <v>1.5</v>
      </c>
    </row>
    <row r="550" spans="1:3">
      <c r="A550" s="92" t="s">
        <v>255</v>
      </c>
      <c r="B550" s="216" t="s">
        <v>2644</v>
      </c>
      <c r="C550" s="2877">
        <v>1.5</v>
      </c>
    </row>
    <row r="551" spans="1:3">
      <c r="A551" s="92" t="s">
        <v>1263</v>
      </c>
      <c r="B551" s="216" t="s">
        <v>2322</v>
      </c>
      <c r="C551" s="2877">
        <v>1.3223</v>
      </c>
    </row>
    <row r="552" spans="1:3">
      <c r="A552" s="92" t="s">
        <v>2097</v>
      </c>
      <c r="B552" s="216" t="s">
        <v>2417</v>
      </c>
      <c r="C552" s="2877">
        <v>1.5</v>
      </c>
    </row>
    <row r="553" spans="1:3">
      <c r="A553" s="92" t="s">
        <v>1330</v>
      </c>
      <c r="B553" s="216" t="s">
        <v>2035</v>
      </c>
      <c r="C553" s="2877">
        <v>1.5</v>
      </c>
    </row>
    <row r="554" spans="1:3">
      <c r="A554" s="92" t="s">
        <v>1862</v>
      </c>
      <c r="B554" s="216" t="s">
        <v>829</v>
      </c>
      <c r="C554" s="2877">
        <v>1.5</v>
      </c>
    </row>
    <row r="555" spans="1:3">
      <c r="A555" s="92" t="s">
        <v>2510</v>
      </c>
      <c r="B555" s="216" t="s">
        <v>144</v>
      </c>
      <c r="C555" s="2877">
        <v>1.5</v>
      </c>
    </row>
    <row r="556" spans="1:3">
      <c r="A556" s="92" t="s">
        <v>259</v>
      </c>
      <c r="B556" s="216" t="s">
        <v>1939</v>
      </c>
      <c r="C556" s="2877">
        <v>1.5</v>
      </c>
    </row>
    <row r="557" spans="1:3">
      <c r="A557" s="92" t="s">
        <v>47</v>
      </c>
      <c r="B557" s="216" t="s">
        <v>409</v>
      </c>
      <c r="C557" s="2877">
        <v>1.4094</v>
      </c>
    </row>
    <row r="558" spans="1:3">
      <c r="A558" s="92" t="s">
        <v>2511</v>
      </c>
      <c r="B558" s="216" t="s">
        <v>414</v>
      </c>
      <c r="C558" s="2877">
        <v>1.5</v>
      </c>
    </row>
    <row r="559" spans="1:3">
      <c r="A559" s="92" t="s">
        <v>1153</v>
      </c>
      <c r="B559" s="216" t="s">
        <v>2036</v>
      </c>
      <c r="C559" s="2877">
        <v>1.5</v>
      </c>
    </row>
    <row r="560" spans="1:3">
      <c r="A560" s="92" t="s">
        <v>1686</v>
      </c>
      <c r="B560" s="216" t="s">
        <v>893</v>
      </c>
      <c r="C560" s="2877">
        <v>1.5</v>
      </c>
    </row>
    <row r="561" spans="1:3">
      <c r="A561" s="92" t="s">
        <v>2403</v>
      </c>
      <c r="B561" s="216" t="s">
        <v>416</v>
      </c>
      <c r="C561" s="2877">
        <v>1.5</v>
      </c>
    </row>
    <row r="562" spans="1:3">
      <c r="A562" s="92" t="s">
        <v>1339</v>
      </c>
      <c r="B562" s="216" t="s">
        <v>111</v>
      </c>
      <c r="C562" s="2877">
        <v>1.46</v>
      </c>
    </row>
    <row r="563" spans="1:3">
      <c r="A563" s="92" t="s">
        <v>49</v>
      </c>
      <c r="B563" s="216" t="s">
        <v>411</v>
      </c>
      <c r="C563" s="2877">
        <v>1.5</v>
      </c>
    </row>
    <row r="564" spans="1:3">
      <c r="A564" s="92" t="s">
        <v>51</v>
      </c>
      <c r="B564" s="216" t="s">
        <v>413</v>
      </c>
      <c r="C564" s="2877">
        <v>1.5</v>
      </c>
    </row>
    <row r="565" spans="1:3">
      <c r="A565" s="92" t="s">
        <v>2554</v>
      </c>
      <c r="B565" s="216" t="s">
        <v>2037</v>
      </c>
      <c r="C565" s="2877">
        <v>1.46</v>
      </c>
    </row>
    <row r="566" spans="1:3">
      <c r="A566" s="92" t="s">
        <v>2555</v>
      </c>
      <c r="B566" s="216" t="s">
        <v>2038</v>
      </c>
      <c r="C566" s="2877">
        <v>1.5</v>
      </c>
    </row>
    <row r="567" spans="1:3">
      <c r="A567" s="92" t="s">
        <v>494</v>
      </c>
      <c r="B567" s="216" t="s">
        <v>1246</v>
      </c>
      <c r="C567" s="2877">
        <v>1.5</v>
      </c>
    </row>
    <row r="568" spans="1:3">
      <c r="A568" s="92" t="s">
        <v>2556</v>
      </c>
      <c r="B568" s="216" t="s">
        <v>2039</v>
      </c>
      <c r="C568" s="2877">
        <v>1.46</v>
      </c>
    </row>
    <row r="569" spans="1:3">
      <c r="A569" s="92" t="s">
        <v>1539</v>
      </c>
      <c r="B569" s="216" t="s">
        <v>2040</v>
      </c>
      <c r="C569" s="2877">
        <v>1.36</v>
      </c>
    </row>
    <row r="570" spans="1:3">
      <c r="A570" s="92" t="s">
        <v>2689</v>
      </c>
      <c r="B570" s="216" t="s">
        <v>2041</v>
      </c>
      <c r="C570" s="2877">
        <v>1.5</v>
      </c>
    </row>
    <row r="571" spans="1:3">
      <c r="A571" s="92" t="s">
        <v>2320</v>
      </c>
      <c r="B571" s="216" t="s">
        <v>2042</v>
      </c>
      <c r="C571" s="2877">
        <v>1.45</v>
      </c>
    </row>
    <row r="572" spans="1:3">
      <c r="A572" s="92" t="s">
        <v>1541</v>
      </c>
      <c r="B572" s="216" t="s">
        <v>659</v>
      </c>
      <c r="C572" s="2877">
        <v>1.45</v>
      </c>
    </row>
    <row r="573" spans="1:3">
      <c r="A573" s="92" t="s">
        <v>2545</v>
      </c>
      <c r="B573" s="216" t="s">
        <v>2043</v>
      </c>
      <c r="C573" s="2877">
        <v>1.48</v>
      </c>
    </row>
    <row r="574" spans="1:3">
      <c r="A574" s="92" t="s">
        <v>2546</v>
      </c>
      <c r="B574" s="216" t="s">
        <v>2044</v>
      </c>
      <c r="C574" s="2877">
        <v>1.49</v>
      </c>
    </row>
    <row r="575" spans="1:3">
      <c r="A575" s="92" t="s">
        <v>487</v>
      </c>
      <c r="B575" s="216" t="s">
        <v>2045</v>
      </c>
      <c r="C575" s="2877">
        <v>1.5</v>
      </c>
    </row>
    <row r="576" spans="1:3">
      <c r="A576" s="92" t="s">
        <v>2278</v>
      </c>
      <c r="B576" s="216" t="s">
        <v>2046</v>
      </c>
      <c r="C576" s="2877">
        <v>0.90800000000000003</v>
      </c>
    </row>
    <row r="577" spans="1:3">
      <c r="A577" s="92" t="s">
        <v>2279</v>
      </c>
      <c r="B577" s="216" t="s">
        <v>2047</v>
      </c>
      <c r="C577" s="2877">
        <v>1.43</v>
      </c>
    </row>
    <row r="578" spans="1:3">
      <c r="A578" s="92" t="s">
        <v>1534</v>
      </c>
      <c r="B578" s="216" t="s">
        <v>2048</v>
      </c>
      <c r="C578" s="2877">
        <v>1.41</v>
      </c>
    </row>
    <row r="579" spans="1:3">
      <c r="A579" s="92" t="s">
        <v>1535</v>
      </c>
      <c r="B579" s="216" t="s">
        <v>2049</v>
      </c>
      <c r="C579" s="2877">
        <v>1.2975000000000001</v>
      </c>
    </row>
    <row r="580" spans="1:3">
      <c r="A580" s="92" t="s">
        <v>2512</v>
      </c>
      <c r="B580" s="216" t="s">
        <v>2016</v>
      </c>
      <c r="C580" s="2877">
        <v>1.5</v>
      </c>
    </row>
    <row r="581" spans="1:3">
      <c r="A581" s="92" t="s">
        <v>393</v>
      </c>
      <c r="B581" s="216" t="s">
        <v>2050</v>
      </c>
      <c r="C581" s="2877">
        <v>1.4</v>
      </c>
    </row>
    <row r="582" spans="1:3">
      <c r="A582" s="92" t="s">
        <v>394</v>
      </c>
      <c r="B582" s="216" t="s">
        <v>2051</v>
      </c>
      <c r="C582" s="2877">
        <v>1.5</v>
      </c>
    </row>
    <row r="583" spans="1:3">
      <c r="A583" s="92" t="s">
        <v>395</v>
      </c>
      <c r="B583" s="216" t="s">
        <v>2052</v>
      </c>
      <c r="C583" s="2877">
        <v>1.5</v>
      </c>
    </row>
    <row r="584" spans="1:3">
      <c r="A584" s="92" t="s">
        <v>2513</v>
      </c>
      <c r="B584" s="216" t="s">
        <v>1691</v>
      </c>
      <c r="C584" s="2877">
        <v>1.5</v>
      </c>
    </row>
    <row r="585" spans="1:3">
      <c r="A585" s="92" t="s">
        <v>242</v>
      </c>
      <c r="B585" s="216" t="s">
        <v>2053</v>
      </c>
      <c r="C585" s="2877">
        <v>1.5</v>
      </c>
    </row>
    <row r="586" spans="1:3">
      <c r="A586" s="92" t="s">
        <v>243</v>
      </c>
      <c r="B586" s="216" t="s">
        <v>2054</v>
      </c>
      <c r="C586" s="2877">
        <v>1.5</v>
      </c>
    </row>
    <row r="587" spans="1:3">
      <c r="A587" s="92" t="s">
        <v>244</v>
      </c>
      <c r="B587" s="216" t="s">
        <v>2055</v>
      </c>
      <c r="C587" s="2877">
        <v>1.5</v>
      </c>
    </row>
    <row r="588" spans="1:3">
      <c r="A588" s="92" t="s">
        <v>2325</v>
      </c>
      <c r="B588" s="216" t="s">
        <v>612</v>
      </c>
      <c r="C588" s="2877">
        <v>1.5</v>
      </c>
    </row>
    <row r="589" spans="1:3">
      <c r="A589" s="92" t="s">
        <v>2023</v>
      </c>
      <c r="B589" s="216" t="s">
        <v>198</v>
      </c>
      <c r="C589" s="2877">
        <v>1.5</v>
      </c>
    </row>
    <row r="590" spans="1:3">
      <c r="A590" s="92" t="s">
        <v>2076</v>
      </c>
      <c r="B590" s="216" t="s">
        <v>2429</v>
      </c>
      <c r="C590" s="2877">
        <v>1.4591000000000001</v>
      </c>
    </row>
    <row r="591" spans="1:3">
      <c r="A591" s="92" t="s">
        <v>2514</v>
      </c>
      <c r="B591" s="216" t="s">
        <v>2101</v>
      </c>
      <c r="C591" s="2877">
        <v>1.47</v>
      </c>
    </row>
    <row r="592" spans="1:3">
      <c r="A592" s="92" t="s">
        <v>1557</v>
      </c>
      <c r="B592" s="216" t="s">
        <v>2430</v>
      </c>
      <c r="C592" s="2877">
        <v>1.5</v>
      </c>
    </row>
    <row r="593" spans="1:3">
      <c r="A593" s="92" t="s">
        <v>1558</v>
      </c>
      <c r="B593" s="216" t="s">
        <v>943</v>
      </c>
      <c r="C593" s="2877">
        <v>1.375</v>
      </c>
    </row>
    <row r="594" spans="1:3">
      <c r="A594" s="92" t="s">
        <v>1412</v>
      </c>
      <c r="B594" s="216" t="s">
        <v>826</v>
      </c>
      <c r="C594" s="2877">
        <v>1.5</v>
      </c>
    </row>
    <row r="595" spans="1:3">
      <c r="A595" s="92" t="s">
        <v>2147</v>
      </c>
      <c r="B595" s="216" t="s">
        <v>944</v>
      </c>
      <c r="C595" s="2877">
        <v>1.5</v>
      </c>
    </row>
    <row r="596" spans="1:3">
      <c r="A596" s="92" t="s">
        <v>2261</v>
      </c>
      <c r="B596" s="216" t="s">
        <v>945</v>
      </c>
      <c r="C596" s="2877">
        <v>1.48</v>
      </c>
    </row>
    <row r="597" spans="1:3">
      <c r="A597" s="92" t="s">
        <v>2262</v>
      </c>
      <c r="B597" s="216" t="s">
        <v>946</v>
      </c>
      <c r="C597" s="2877">
        <v>1.2669999999999999</v>
      </c>
    </row>
    <row r="598" spans="1:3">
      <c r="A598" s="92" t="s">
        <v>2263</v>
      </c>
      <c r="B598" s="216" t="s">
        <v>947</v>
      </c>
      <c r="C598" s="2877">
        <v>1.45</v>
      </c>
    </row>
    <row r="599" spans="1:3">
      <c r="A599" s="92" t="s">
        <v>2264</v>
      </c>
      <c r="B599" s="216" t="s">
        <v>948</v>
      </c>
      <c r="C599" s="2877">
        <v>1.45</v>
      </c>
    </row>
    <row r="600" spans="1:3">
      <c r="A600" s="92" t="s">
        <v>2401</v>
      </c>
      <c r="B600" s="216" t="s">
        <v>1102</v>
      </c>
      <c r="C600" s="2877">
        <v>1.5</v>
      </c>
    </row>
    <row r="601" spans="1:3">
      <c r="A601" s="92" t="s">
        <v>2265</v>
      </c>
      <c r="B601" s="216" t="s">
        <v>949</v>
      </c>
      <c r="C601" s="2877">
        <v>1.35</v>
      </c>
    </row>
    <row r="602" spans="1:3">
      <c r="A602" s="92" t="s">
        <v>2266</v>
      </c>
      <c r="B602" s="216" t="s">
        <v>950</v>
      </c>
      <c r="C602" s="2877">
        <v>1.42</v>
      </c>
    </row>
    <row r="603" spans="1:3">
      <c r="A603" s="92" t="s">
        <v>2267</v>
      </c>
      <c r="B603" s="216" t="s">
        <v>951</v>
      </c>
      <c r="C603" s="2877">
        <v>1.5</v>
      </c>
    </row>
    <row r="604" spans="1:3">
      <c r="A604" s="92" t="s">
        <v>2268</v>
      </c>
      <c r="B604" s="216" t="s">
        <v>952</v>
      </c>
      <c r="C604" s="2877">
        <v>1.28</v>
      </c>
    </row>
    <row r="605" spans="1:3">
      <c r="A605" s="92" t="s">
        <v>2269</v>
      </c>
      <c r="B605" s="216" t="s">
        <v>953</v>
      </c>
      <c r="C605" s="2877">
        <v>1.48</v>
      </c>
    </row>
    <row r="606" spans="1:3">
      <c r="A606" s="92" t="s">
        <v>2586</v>
      </c>
      <c r="B606" s="216" t="s">
        <v>954</v>
      </c>
      <c r="C606" s="2877">
        <v>1.35</v>
      </c>
    </row>
    <row r="607" spans="1:3">
      <c r="A607" s="92" t="s">
        <v>2587</v>
      </c>
      <c r="B607" s="216" t="s">
        <v>955</v>
      </c>
      <c r="C607" s="2877">
        <v>1.5</v>
      </c>
    </row>
    <row r="608" spans="1:3">
      <c r="A608" s="92" t="s">
        <v>2588</v>
      </c>
      <c r="B608" s="216" t="s">
        <v>956</v>
      </c>
      <c r="C608" s="2877">
        <v>1.4691000000000001</v>
      </c>
    </row>
    <row r="609" spans="1:3">
      <c r="A609" s="92" t="s">
        <v>2589</v>
      </c>
      <c r="B609" s="216" t="s">
        <v>957</v>
      </c>
      <c r="C609" s="2877">
        <v>1.4842</v>
      </c>
    </row>
    <row r="610" spans="1:3">
      <c r="A610" s="92" t="s">
        <v>2590</v>
      </c>
      <c r="B610" s="216" t="s">
        <v>958</v>
      </c>
      <c r="C610" s="2877">
        <v>1.4750000000000001</v>
      </c>
    </row>
    <row r="611" spans="1:3">
      <c r="A611" s="92" t="s">
        <v>1381</v>
      </c>
      <c r="B611" s="216" t="s">
        <v>1824</v>
      </c>
      <c r="C611" s="2877">
        <v>1.5</v>
      </c>
    </row>
    <row r="612" spans="1:3">
      <c r="A612" s="92" t="s">
        <v>1382</v>
      </c>
      <c r="B612" s="216" t="s">
        <v>1825</v>
      </c>
      <c r="C612" s="2877">
        <v>1.5</v>
      </c>
    </row>
    <row r="613" spans="1:3">
      <c r="A613" s="92" t="s">
        <v>2426</v>
      </c>
      <c r="B613" s="216" t="s">
        <v>1826</v>
      </c>
      <c r="C613" s="2877">
        <v>1.5</v>
      </c>
    </row>
    <row r="614" spans="1:3">
      <c r="A614" s="92" t="s">
        <v>2111</v>
      </c>
      <c r="B614" s="216" t="s">
        <v>2005</v>
      </c>
      <c r="C614" s="2877">
        <v>1.2291000000000001</v>
      </c>
    </row>
    <row r="615" spans="1:3">
      <c r="A615" s="92" t="s">
        <v>2633</v>
      </c>
      <c r="B615" s="216" t="s">
        <v>1164</v>
      </c>
      <c r="C615" s="2877">
        <v>1.44</v>
      </c>
    </row>
    <row r="616" spans="1:3">
      <c r="A616" s="92" t="s">
        <v>2408</v>
      </c>
      <c r="B616" s="216" t="s">
        <v>2664</v>
      </c>
      <c r="C616" s="2877">
        <v>1.5</v>
      </c>
    </row>
    <row r="617" spans="1:3">
      <c r="A617" s="92" t="s">
        <v>2112</v>
      </c>
      <c r="B617" s="216" t="s">
        <v>2006</v>
      </c>
      <c r="C617" s="2877">
        <v>1.38</v>
      </c>
    </row>
    <row r="618" spans="1:3">
      <c r="A618" s="92" t="s">
        <v>2515</v>
      </c>
      <c r="B618" s="216" t="s">
        <v>1735</v>
      </c>
      <c r="C618" s="2877">
        <v>1.4579</v>
      </c>
    </row>
    <row r="619" spans="1:3">
      <c r="A619" s="92" t="s">
        <v>1116</v>
      </c>
      <c r="B619" s="216" t="s">
        <v>2384</v>
      </c>
      <c r="C619" s="2877">
        <v>1.5</v>
      </c>
    </row>
    <row r="620" spans="1:3">
      <c r="A620" s="92" t="s">
        <v>2113</v>
      </c>
      <c r="B620" s="216" t="s">
        <v>543</v>
      </c>
      <c r="C620" s="2877">
        <v>1.5</v>
      </c>
    </row>
    <row r="621" spans="1:3">
      <c r="A621" s="92" t="s">
        <v>2114</v>
      </c>
      <c r="B621" s="216" t="s">
        <v>544</v>
      </c>
      <c r="C621" s="2877">
        <v>1.5</v>
      </c>
    </row>
    <row r="622" spans="1:3">
      <c r="A622" s="92" t="s">
        <v>967</v>
      </c>
      <c r="B622" s="216" t="s">
        <v>1554</v>
      </c>
      <c r="C622" s="2877">
        <v>1.5</v>
      </c>
    </row>
    <row r="623" spans="1:3">
      <c r="A623" s="92" t="s">
        <v>1337</v>
      </c>
      <c r="B623" s="216" t="s">
        <v>545</v>
      </c>
      <c r="C623" s="2877">
        <v>1.375</v>
      </c>
    </row>
    <row r="624" spans="1:3">
      <c r="A624" s="92" t="s">
        <v>1689</v>
      </c>
      <c r="B624" s="216" t="s">
        <v>546</v>
      </c>
      <c r="C624" s="2877">
        <v>1.5</v>
      </c>
    </row>
    <row r="625" spans="1:3">
      <c r="A625" s="92" t="s">
        <v>1690</v>
      </c>
      <c r="B625" s="216" t="s">
        <v>547</v>
      </c>
      <c r="C625" s="2877">
        <v>1.45</v>
      </c>
    </row>
    <row r="626" spans="1:3">
      <c r="A626" s="92" t="s">
        <v>2557</v>
      </c>
      <c r="B626" s="216" t="s">
        <v>548</v>
      </c>
      <c r="C626" s="2877">
        <v>1.5</v>
      </c>
    </row>
    <row r="627" spans="1:3">
      <c r="A627" s="92" t="s">
        <v>2558</v>
      </c>
      <c r="B627" s="216" t="s">
        <v>549</v>
      </c>
      <c r="C627" s="2877">
        <v>1.5</v>
      </c>
    </row>
    <row r="628" spans="1:3">
      <c r="A628" s="92" t="s">
        <v>2659</v>
      </c>
      <c r="B628" s="216" t="s">
        <v>550</v>
      </c>
      <c r="C628" s="2877">
        <v>1.4024000000000001</v>
      </c>
    </row>
    <row r="629" spans="1:3">
      <c r="A629" s="92" t="s">
        <v>837</v>
      </c>
      <c r="B629" s="216" t="s">
        <v>551</v>
      </c>
      <c r="C629" s="2877">
        <v>1.48</v>
      </c>
    </row>
    <row r="630" spans="1:3">
      <c r="A630" s="92" t="s">
        <v>82</v>
      </c>
      <c r="B630" s="216" t="s">
        <v>552</v>
      </c>
      <c r="C630" s="2877">
        <v>1.4449000000000001</v>
      </c>
    </row>
    <row r="631" spans="1:3">
      <c r="A631" s="92" t="s">
        <v>83</v>
      </c>
      <c r="B631" s="216" t="s">
        <v>553</v>
      </c>
      <c r="C631" s="2877">
        <v>1.4219999999999999</v>
      </c>
    </row>
    <row r="632" spans="1:3">
      <c r="A632" s="92" t="s">
        <v>2284</v>
      </c>
      <c r="B632" s="216" t="s">
        <v>586</v>
      </c>
      <c r="C632" s="2877">
        <v>1.5</v>
      </c>
    </row>
    <row r="633" spans="1:3">
      <c r="A633" s="92" t="s">
        <v>2410</v>
      </c>
      <c r="B633" s="216" t="s">
        <v>554</v>
      </c>
      <c r="C633" s="2877">
        <v>1.5</v>
      </c>
    </row>
    <row r="634" spans="1:3">
      <c r="A634" s="92" t="s">
        <v>2411</v>
      </c>
      <c r="B634" s="216" t="s">
        <v>555</v>
      </c>
      <c r="C634" s="2877">
        <v>1.5</v>
      </c>
    </row>
    <row r="635" spans="1:3">
      <c r="A635" s="92" t="s">
        <v>2104</v>
      </c>
      <c r="B635" s="216" t="s">
        <v>587</v>
      </c>
      <c r="C635" s="2877">
        <v>1.397</v>
      </c>
    </row>
    <row r="636" spans="1:3">
      <c r="A636" s="92" t="s">
        <v>1423</v>
      </c>
      <c r="B636" s="216" t="s">
        <v>2303</v>
      </c>
      <c r="C636" s="2877">
        <v>1.4111</v>
      </c>
    </row>
    <row r="637" spans="1:3">
      <c r="A637" s="92" t="s">
        <v>2412</v>
      </c>
      <c r="B637" s="216" t="s">
        <v>556</v>
      </c>
      <c r="C637" s="2877">
        <v>1.5</v>
      </c>
    </row>
    <row r="638" spans="1:3">
      <c r="A638" s="92" t="s">
        <v>496</v>
      </c>
      <c r="B638" s="216" t="s">
        <v>1248</v>
      </c>
      <c r="C638" s="2877">
        <v>1.5</v>
      </c>
    </row>
    <row r="639" spans="1:3">
      <c r="A639" s="92" t="s">
        <v>677</v>
      </c>
      <c r="B639" s="216" t="s">
        <v>557</v>
      </c>
      <c r="C639" s="2877">
        <v>1.44</v>
      </c>
    </row>
    <row r="640" spans="1:3">
      <c r="A640" s="92" t="s">
        <v>2347</v>
      </c>
      <c r="B640" s="216" t="s">
        <v>558</v>
      </c>
      <c r="C640" s="2877">
        <v>1.4</v>
      </c>
    </row>
    <row r="641" spans="1:3">
      <c r="A641" s="92" t="s">
        <v>2348</v>
      </c>
      <c r="B641" s="216" t="s">
        <v>559</v>
      </c>
      <c r="C641" s="2877">
        <v>1.5</v>
      </c>
    </row>
    <row r="642" spans="1:3">
      <c r="A642" s="92" t="s">
        <v>2349</v>
      </c>
      <c r="B642" s="216" t="s">
        <v>560</v>
      </c>
      <c r="C642" s="2877">
        <v>1.5</v>
      </c>
    </row>
    <row r="643" spans="1:3">
      <c r="A643" s="92" t="s">
        <v>1464</v>
      </c>
      <c r="B643" s="216" t="s">
        <v>561</v>
      </c>
      <c r="C643" s="2877">
        <v>1.5</v>
      </c>
    </row>
    <row r="644" spans="1:3">
      <c r="A644" s="92" t="s">
        <v>2091</v>
      </c>
      <c r="B644" s="216" t="s">
        <v>287</v>
      </c>
      <c r="C644" s="2877">
        <v>1.5</v>
      </c>
    </row>
    <row r="645" spans="1:3">
      <c r="A645" s="92" t="s">
        <v>1465</v>
      </c>
      <c r="B645" s="216" t="s">
        <v>562</v>
      </c>
      <c r="C645" s="2877">
        <v>1.45</v>
      </c>
    </row>
    <row r="646" spans="1:3">
      <c r="A646" s="92" t="s">
        <v>382</v>
      </c>
      <c r="B646" s="216" t="s">
        <v>563</v>
      </c>
      <c r="C646" s="2877">
        <v>1.3411999999999999</v>
      </c>
    </row>
    <row r="647" spans="1:3">
      <c r="A647" s="92" t="s">
        <v>383</v>
      </c>
      <c r="B647" s="216" t="s">
        <v>564</v>
      </c>
      <c r="C647" s="2877">
        <v>1.37</v>
      </c>
    </row>
    <row r="648" spans="1:3">
      <c r="A648" s="92" t="s">
        <v>384</v>
      </c>
      <c r="B648" s="216" t="s">
        <v>565</v>
      </c>
      <c r="C648" s="2877">
        <v>1.26</v>
      </c>
    </row>
    <row r="649" spans="1:3">
      <c r="A649" s="92" t="s">
        <v>1655</v>
      </c>
      <c r="B649" s="216" t="s">
        <v>566</v>
      </c>
      <c r="C649" s="2877">
        <v>1.5</v>
      </c>
    </row>
    <row r="650" spans="1:3">
      <c r="A650" s="92" t="s">
        <v>1656</v>
      </c>
      <c r="B650" s="216" t="s">
        <v>567</v>
      </c>
      <c r="C650" s="2877">
        <v>1.5</v>
      </c>
    </row>
    <row r="651" spans="1:3">
      <c r="A651" s="92" t="s">
        <v>173</v>
      </c>
      <c r="B651" s="216" t="s">
        <v>1745</v>
      </c>
      <c r="C651" s="2877">
        <v>1.3249</v>
      </c>
    </row>
    <row r="652" spans="1:3">
      <c r="A652" s="92" t="s">
        <v>2128</v>
      </c>
      <c r="B652" s="216" t="s">
        <v>1746</v>
      </c>
      <c r="C652" s="2877">
        <v>1.4</v>
      </c>
    </row>
    <row r="653" spans="1:3">
      <c r="A653" s="92" t="s">
        <v>2129</v>
      </c>
      <c r="B653" s="216" t="s">
        <v>1747</v>
      </c>
      <c r="C653" s="2877">
        <v>1.41</v>
      </c>
    </row>
    <row r="654" spans="1:3">
      <c r="A654" s="92" t="s">
        <v>2130</v>
      </c>
      <c r="B654" s="216" t="s">
        <v>1748</v>
      </c>
      <c r="C654" s="2877">
        <v>1.4076</v>
      </c>
    </row>
    <row r="655" spans="1:3">
      <c r="A655" s="92" t="s">
        <v>1813</v>
      </c>
      <c r="B655" s="216" t="s">
        <v>1062</v>
      </c>
      <c r="C655" s="2877">
        <v>1.3519000000000001</v>
      </c>
    </row>
    <row r="656" spans="1:3">
      <c r="A656" s="92" t="s">
        <v>880</v>
      </c>
      <c r="B656" s="216" t="s">
        <v>1854</v>
      </c>
      <c r="C656" s="2877">
        <v>1.5</v>
      </c>
    </row>
    <row r="657" spans="1:3">
      <c r="A657" s="92" t="s">
        <v>1403</v>
      </c>
      <c r="B657" s="216" t="s">
        <v>1749</v>
      </c>
      <c r="C657" s="2877">
        <v>1.5</v>
      </c>
    </row>
    <row r="658" spans="1:3">
      <c r="A658" s="92" t="s">
        <v>1988</v>
      </c>
      <c r="B658" s="216" t="s">
        <v>2228</v>
      </c>
      <c r="C658" s="2877">
        <v>1.49</v>
      </c>
    </row>
    <row r="659" spans="1:3">
      <c r="A659" s="92" t="s">
        <v>968</v>
      </c>
      <c r="B659" s="216" t="s">
        <v>417</v>
      </c>
      <c r="C659" s="2877">
        <v>1.5</v>
      </c>
    </row>
    <row r="660" spans="1:3">
      <c r="A660" s="92" t="s">
        <v>900</v>
      </c>
      <c r="B660" s="216" t="s">
        <v>1922</v>
      </c>
      <c r="C660" s="2877">
        <v>1.3720000000000001</v>
      </c>
    </row>
    <row r="661" spans="1:3">
      <c r="A661" s="92" t="s">
        <v>702</v>
      </c>
      <c r="B661" s="216" t="s">
        <v>1899</v>
      </c>
      <c r="C661" s="2877">
        <v>1.5</v>
      </c>
    </row>
    <row r="662" spans="1:3">
      <c r="A662" s="92" t="s">
        <v>969</v>
      </c>
      <c r="B662" s="216" t="s">
        <v>1257</v>
      </c>
      <c r="C662" s="2877">
        <v>1.5</v>
      </c>
    </row>
    <row r="663" spans="1:3">
      <c r="A663" s="92" t="s">
        <v>1835</v>
      </c>
      <c r="B663" s="216" t="s">
        <v>2064</v>
      </c>
      <c r="C663" s="2877">
        <v>1.3882000000000001</v>
      </c>
    </row>
    <row r="664" spans="1:3">
      <c r="A664" s="92" t="s">
        <v>1542</v>
      </c>
      <c r="B664" s="216" t="s">
        <v>819</v>
      </c>
      <c r="C664" s="2877">
        <v>1.49</v>
      </c>
    </row>
    <row r="665" spans="1:3">
      <c r="A665" s="92" t="s">
        <v>113</v>
      </c>
      <c r="B665" s="216" t="s">
        <v>1750</v>
      </c>
      <c r="C665" s="2877">
        <v>1.42</v>
      </c>
    </row>
    <row r="666" spans="1:3">
      <c r="A666" s="92" t="s">
        <v>2086</v>
      </c>
      <c r="B666" s="216" t="s">
        <v>1740</v>
      </c>
      <c r="C666" s="2877">
        <v>1.5</v>
      </c>
    </row>
    <row r="667" spans="1:3">
      <c r="A667" s="92" t="s">
        <v>341</v>
      </c>
      <c r="B667" s="216" t="s">
        <v>136</v>
      </c>
      <c r="C667" s="2877">
        <v>1.4456</v>
      </c>
    </row>
    <row r="668" spans="1:3">
      <c r="A668" s="92" t="s">
        <v>344</v>
      </c>
      <c r="B668" s="216" t="s">
        <v>1430</v>
      </c>
      <c r="C668" s="2877">
        <v>1.5</v>
      </c>
    </row>
    <row r="669" spans="1:3">
      <c r="A669" s="92" t="s">
        <v>2460</v>
      </c>
      <c r="B669" s="216" t="s">
        <v>1751</v>
      </c>
      <c r="C669" s="2877">
        <v>1.5</v>
      </c>
    </row>
    <row r="670" spans="1:3">
      <c r="A670" s="92" t="s">
        <v>2461</v>
      </c>
      <c r="B670" s="216" t="s">
        <v>1752</v>
      </c>
      <c r="C670" s="2877">
        <v>1.45</v>
      </c>
    </row>
    <row r="671" spans="1:3">
      <c r="A671" s="92" t="s">
        <v>72</v>
      </c>
      <c r="B671" s="216" t="s">
        <v>1160</v>
      </c>
      <c r="C671" s="2877">
        <v>1.4084000000000001</v>
      </c>
    </row>
    <row r="672" spans="1:3">
      <c r="A672" s="92" t="s">
        <v>2310</v>
      </c>
      <c r="B672" s="216" t="s">
        <v>1552</v>
      </c>
      <c r="C672" s="2877">
        <v>1.5</v>
      </c>
    </row>
    <row r="673" spans="1:3">
      <c r="A673" s="92" t="s">
        <v>164</v>
      </c>
      <c r="B673" s="216" t="s">
        <v>2698</v>
      </c>
      <c r="C673" s="2877">
        <v>1.5</v>
      </c>
    </row>
    <row r="674" spans="1:3">
      <c r="A674" s="92" t="s">
        <v>879</v>
      </c>
      <c r="B674" s="216" t="s">
        <v>1348</v>
      </c>
      <c r="C674" s="2877">
        <v>1.46</v>
      </c>
    </row>
    <row r="675" spans="1:3">
      <c r="A675" s="92" t="s">
        <v>1837</v>
      </c>
      <c r="B675" s="216" t="s">
        <v>1753</v>
      </c>
      <c r="C675" s="2877">
        <v>1.5</v>
      </c>
    </row>
    <row r="676" spans="1:3">
      <c r="A676" s="92" t="s">
        <v>258</v>
      </c>
      <c r="B676" s="216" t="s">
        <v>1754</v>
      </c>
      <c r="C676" s="2877">
        <v>1.4523999999999999</v>
      </c>
    </row>
    <row r="677" spans="1:3">
      <c r="A677" s="92" t="s">
        <v>1585</v>
      </c>
      <c r="B677" s="216" t="s">
        <v>1755</v>
      </c>
      <c r="C677" s="2877">
        <v>1.4</v>
      </c>
    </row>
    <row r="678" spans="1:3">
      <c r="A678" s="92" t="s">
        <v>1134</v>
      </c>
      <c r="B678" s="216" t="s">
        <v>2669</v>
      </c>
      <c r="C678" s="2877">
        <v>1.48</v>
      </c>
    </row>
    <row r="679" spans="1:3">
      <c r="A679" s="92" t="s">
        <v>1989</v>
      </c>
      <c r="B679" s="216" t="s">
        <v>2178</v>
      </c>
      <c r="C679" s="2877">
        <v>1.42</v>
      </c>
    </row>
    <row r="680" spans="1:3">
      <c r="A680" s="92" t="s">
        <v>920</v>
      </c>
      <c r="B680" s="216" t="s">
        <v>2244</v>
      </c>
      <c r="C680" s="2877">
        <v>1.4693000000000001</v>
      </c>
    </row>
    <row r="681" spans="1:3">
      <c r="A681" s="92" t="s">
        <v>171</v>
      </c>
      <c r="B681" s="216" t="s">
        <v>2378</v>
      </c>
      <c r="C681" s="2877">
        <v>1.5</v>
      </c>
    </row>
    <row r="682" spans="1:3">
      <c r="A682" s="92" t="s">
        <v>2531</v>
      </c>
      <c r="B682" s="216" t="s">
        <v>823</v>
      </c>
      <c r="C682" s="2877">
        <v>1.4775</v>
      </c>
    </row>
    <row r="683" spans="1:3">
      <c r="A683" s="92" t="s">
        <v>2583</v>
      </c>
      <c r="B683" s="216" t="s">
        <v>1756</v>
      </c>
      <c r="C683" s="2877">
        <v>1.5</v>
      </c>
    </row>
    <row r="684" spans="1:3">
      <c r="A684" s="92" t="s">
        <v>2534</v>
      </c>
      <c r="B684" s="216" t="s">
        <v>2236</v>
      </c>
      <c r="C684" s="2877">
        <v>1.5</v>
      </c>
    </row>
    <row r="685" spans="1:3">
      <c r="A685" s="92" t="s">
        <v>1300</v>
      </c>
      <c r="B685" s="216" t="s">
        <v>1757</v>
      </c>
      <c r="C685" s="2877">
        <v>1.4997</v>
      </c>
    </row>
    <row r="686" spans="1:3">
      <c r="A686" s="92" t="s">
        <v>1887</v>
      </c>
      <c r="B686" s="216" t="s">
        <v>652</v>
      </c>
      <c r="C686" s="2877">
        <v>1.41</v>
      </c>
    </row>
    <row r="687" spans="1:3">
      <c r="A687" s="92" t="s">
        <v>1360</v>
      </c>
      <c r="B687" s="216" t="s">
        <v>1758</v>
      </c>
      <c r="C687" s="2877">
        <v>1.48</v>
      </c>
    </row>
    <row r="688" spans="1:3">
      <c r="A688" s="92" t="s">
        <v>2535</v>
      </c>
      <c r="B688" s="216" t="s">
        <v>1759</v>
      </c>
      <c r="C688" s="2877">
        <v>1.5</v>
      </c>
    </row>
    <row r="689" spans="1:3">
      <c r="A689" s="92" t="s">
        <v>2197</v>
      </c>
      <c r="B689" s="216" t="s">
        <v>1760</v>
      </c>
      <c r="C689" s="2877">
        <v>1.5</v>
      </c>
    </row>
    <row r="690" spans="1:3">
      <c r="A690" s="92" t="s">
        <v>930</v>
      </c>
      <c r="B690" s="216" t="s">
        <v>1761</v>
      </c>
      <c r="C690" s="2877">
        <v>1.44</v>
      </c>
    </row>
    <row r="691" spans="1:3">
      <c r="A691" s="92" t="s">
        <v>375</v>
      </c>
      <c r="B691" s="216" t="s">
        <v>2637</v>
      </c>
      <c r="C691" s="2877">
        <v>1.4850000000000001</v>
      </c>
    </row>
    <row r="692" spans="1:3">
      <c r="A692" s="92" t="s">
        <v>1264</v>
      </c>
      <c r="B692" s="216" t="s">
        <v>860</v>
      </c>
      <c r="C692" s="2877">
        <v>1.3032999999999999</v>
      </c>
    </row>
    <row r="693" spans="1:3">
      <c r="A693" s="92" t="s">
        <v>2671</v>
      </c>
      <c r="B693" s="216" t="s">
        <v>1762</v>
      </c>
      <c r="C693" s="2877">
        <v>1.39</v>
      </c>
    </row>
    <row r="694" spans="1:3">
      <c r="A694" s="92" t="s">
        <v>2672</v>
      </c>
      <c r="B694" s="216" t="s">
        <v>1763</v>
      </c>
      <c r="C694" s="2877">
        <v>1.165</v>
      </c>
    </row>
    <row r="695" spans="1:3">
      <c r="A695" s="92" t="s">
        <v>1990</v>
      </c>
      <c r="B695" s="216" t="s">
        <v>73</v>
      </c>
      <c r="C695" s="2877">
        <v>1.2749999999999999</v>
      </c>
    </row>
    <row r="696" spans="1:3">
      <c r="A696" s="92" t="s">
        <v>2673</v>
      </c>
      <c r="B696" s="216" t="s">
        <v>1764</v>
      </c>
      <c r="C696" s="2877">
        <v>1.5</v>
      </c>
    </row>
    <row r="697" spans="1:3">
      <c r="A697" s="92" t="s">
        <v>2674</v>
      </c>
      <c r="B697" s="216" t="s">
        <v>1765</v>
      </c>
      <c r="C697" s="2877">
        <v>1.5</v>
      </c>
    </row>
    <row r="698" spans="1:3">
      <c r="A698" s="92" t="s">
        <v>1486</v>
      </c>
      <c r="B698" s="216" t="s">
        <v>1766</v>
      </c>
      <c r="C698" s="2877">
        <v>1.4</v>
      </c>
    </row>
    <row r="699" spans="1:3">
      <c r="A699" s="92" t="s">
        <v>1318</v>
      </c>
      <c r="B699" s="216" t="s">
        <v>1366</v>
      </c>
      <c r="C699" s="2877">
        <v>1.48</v>
      </c>
    </row>
    <row r="700" spans="1:3">
      <c r="A700" s="92" t="s">
        <v>1432</v>
      </c>
      <c r="B700" s="216" t="s">
        <v>1367</v>
      </c>
      <c r="C700" s="2877">
        <v>1.5</v>
      </c>
    </row>
    <row r="701" spans="1:3">
      <c r="A701" s="92" t="s">
        <v>804</v>
      </c>
      <c r="B701" s="216" t="s">
        <v>1368</v>
      </c>
      <c r="C701" s="2877">
        <v>1.5</v>
      </c>
    </row>
    <row r="702" spans="1:3">
      <c r="A702" s="92" t="s">
        <v>1495</v>
      </c>
      <c r="B702" s="216" t="s">
        <v>2245</v>
      </c>
      <c r="C702" s="2877">
        <v>1.3</v>
      </c>
    </row>
    <row r="703" spans="1:3">
      <c r="A703" s="92" t="s">
        <v>1496</v>
      </c>
      <c r="B703" s="216" t="s">
        <v>2246</v>
      </c>
      <c r="C703" s="2877">
        <v>1.5</v>
      </c>
    </row>
    <row r="704" spans="1:3">
      <c r="A704" s="92" t="s">
        <v>1272</v>
      </c>
      <c r="B704" s="216" t="s">
        <v>2247</v>
      </c>
      <c r="C704" s="2877">
        <v>1.5</v>
      </c>
    </row>
    <row r="705" spans="1:3">
      <c r="A705" s="92" t="s">
        <v>1531</v>
      </c>
      <c r="B705" s="216" t="s">
        <v>2248</v>
      </c>
      <c r="C705" s="2877">
        <v>1.5</v>
      </c>
    </row>
    <row r="706" spans="1:3">
      <c r="A706" s="92" t="s">
        <v>2311</v>
      </c>
      <c r="B706" s="216" t="s">
        <v>1553</v>
      </c>
      <c r="C706" s="2877">
        <v>1.49</v>
      </c>
    </row>
    <row r="707" spans="1:3">
      <c r="A707" s="92" t="s">
        <v>1532</v>
      </c>
      <c r="B707" s="216" t="s">
        <v>2249</v>
      </c>
      <c r="C707" s="2877">
        <v>1.4570000000000001</v>
      </c>
    </row>
    <row r="708" spans="1:3">
      <c r="A708" s="92" t="s">
        <v>1182</v>
      </c>
      <c r="B708" s="216" t="s">
        <v>1127</v>
      </c>
      <c r="C708" s="2877">
        <v>1.48</v>
      </c>
    </row>
    <row r="709" spans="1:3">
      <c r="A709" s="92" t="s">
        <v>346</v>
      </c>
      <c r="B709" s="216" t="s">
        <v>288</v>
      </c>
      <c r="C709" s="2877">
        <v>1.46</v>
      </c>
    </row>
    <row r="710" spans="1:3">
      <c r="A710" s="92" t="s">
        <v>1508</v>
      </c>
      <c r="B710" s="216" t="s">
        <v>1935</v>
      </c>
      <c r="C710" s="2877">
        <v>1.5</v>
      </c>
    </row>
    <row r="711" spans="1:3">
      <c r="A711" s="92" t="s">
        <v>703</v>
      </c>
      <c r="B711" s="216" t="s">
        <v>1142</v>
      </c>
      <c r="C711" s="2877">
        <v>1.5</v>
      </c>
    </row>
    <row r="712" spans="1:3">
      <c r="A712" s="92" t="s">
        <v>1868</v>
      </c>
      <c r="B712" s="216" t="s">
        <v>2250</v>
      </c>
      <c r="C712" s="2877">
        <v>1.4841</v>
      </c>
    </row>
    <row r="713" spans="1:3">
      <c r="A713" s="92" t="s">
        <v>1869</v>
      </c>
      <c r="B713" s="216" t="s">
        <v>2251</v>
      </c>
      <c r="C713" s="2877">
        <v>1.4659</v>
      </c>
    </row>
    <row r="714" spans="1:3">
      <c r="A714" s="92" t="s">
        <v>1870</v>
      </c>
      <c r="B714" s="216" t="s">
        <v>2252</v>
      </c>
      <c r="C714" s="2877">
        <v>1.5</v>
      </c>
    </row>
    <row r="715" spans="1:3">
      <c r="A715" s="92" t="s">
        <v>1871</v>
      </c>
      <c r="B715" s="216" t="s">
        <v>2253</v>
      </c>
      <c r="C715" s="2877">
        <v>1.4</v>
      </c>
    </row>
    <row r="716" spans="1:3">
      <c r="A716" s="92" t="s">
        <v>2353</v>
      </c>
      <c r="B716" s="216" t="s">
        <v>2254</v>
      </c>
      <c r="C716" s="2877">
        <v>1.5</v>
      </c>
    </row>
    <row r="717" spans="1:3">
      <c r="A717" s="92" t="s">
        <v>704</v>
      </c>
      <c r="B717" s="216" t="s">
        <v>1161</v>
      </c>
      <c r="C717" s="2877">
        <v>1.5</v>
      </c>
    </row>
    <row r="718" spans="1:3">
      <c r="A718" s="92" t="s">
        <v>524</v>
      </c>
      <c r="B718" s="216" t="s">
        <v>2255</v>
      </c>
      <c r="C718" s="2877">
        <v>1.5</v>
      </c>
    </row>
    <row r="719" spans="1:3">
      <c r="A719" s="92" t="s">
        <v>705</v>
      </c>
      <c r="B719" s="216" t="s">
        <v>453</v>
      </c>
      <c r="C719" s="2877">
        <v>1.37</v>
      </c>
    </row>
    <row r="720" spans="1:3">
      <c r="A720" s="92" t="s">
        <v>525</v>
      </c>
      <c r="B720" s="216" t="s">
        <v>2256</v>
      </c>
      <c r="C720" s="2877">
        <v>1.5</v>
      </c>
    </row>
    <row r="721" spans="1:3">
      <c r="A721" s="92" t="s">
        <v>376</v>
      </c>
      <c r="B721" s="216" t="s">
        <v>1130</v>
      </c>
      <c r="C721" s="2877">
        <v>1.4870000000000001</v>
      </c>
    </row>
    <row r="722" spans="1:3">
      <c r="A722" s="92" t="s">
        <v>526</v>
      </c>
      <c r="B722" s="216" t="s">
        <v>2257</v>
      </c>
      <c r="C722" s="2877">
        <v>1.5</v>
      </c>
    </row>
    <row r="723" spans="1:3">
      <c r="A723" s="92" t="s">
        <v>527</v>
      </c>
      <c r="B723" s="216" t="s">
        <v>2258</v>
      </c>
      <c r="C723" s="2877">
        <v>1.5</v>
      </c>
    </row>
    <row r="724" spans="1:3">
      <c r="A724" s="92" t="s">
        <v>774</v>
      </c>
      <c r="B724" s="216" t="s">
        <v>891</v>
      </c>
      <c r="C724" s="2877">
        <v>1.45</v>
      </c>
    </row>
    <row r="725" spans="1:3">
      <c r="A725" s="92" t="s">
        <v>528</v>
      </c>
      <c r="B725" s="216" t="s">
        <v>2259</v>
      </c>
      <c r="C725" s="2877">
        <v>1.5</v>
      </c>
    </row>
    <row r="726" spans="1:3">
      <c r="A726" s="92" t="s">
        <v>529</v>
      </c>
      <c r="B726" s="216" t="s">
        <v>307</v>
      </c>
      <c r="C726" s="2877">
        <v>1.5</v>
      </c>
    </row>
    <row r="727" spans="1:3">
      <c r="A727" s="92" t="s">
        <v>2400</v>
      </c>
      <c r="B727" s="216" t="s">
        <v>1101</v>
      </c>
      <c r="C727" s="2877">
        <v>1.4108000000000001</v>
      </c>
    </row>
    <row r="728" spans="1:3">
      <c r="A728" s="92" t="s">
        <v>2407</v>
      </c>
      <c r="B728" s="216" t="s">
        <v>2663</v>
      </c>
      <c r="C728" s="2877">
        <v>1.5</v>
      </c>
    </row>
    <row r="729" spans="1:3">
      <c r="A729" s="92" t="s">
        <v>19</v>
      </c>
      <c r="B729" s="216" t="s">
        <v>308</v>
      </c>
      <c r="C729" s="2877">
        <v>1.5</v>
      </c>
    </row>
    <row r="730" spans="1:3">
      <c r="A730" s="92" t="s">
        <v>706</v>
      </c>
      <c r="B730" s="216" t="s">
        <v>2517</v>
      </c>
      <c r="C730" s="2877">
        <v>1.36</v>
      </c>
    </row>
    <row r="731" spans="1:3">
      <c r="A731" s="92" t="s">
        <v>20</v>
      </c>
      <c r="B731" s="216" t="s">
        <v>309</v>
      </c>
      <c r="C731" s="2877">
        <v>1.327</v>
      </c>
    </row>
    <row r="732" spans="1:3">
      <c r="A732" s="92" t="s">
        <v>2085</v>
      </c>
      <c r="B732" s="216" t="s">
        <v>80</v>
      </c>
      <c r="C732" s="2877">
        <v>1.4419999999999999</v>
      </c>
    </row>
    <row r="733" spans="1:3">
      <c r="A733" s="92" t="s">
        <v>21</v>
      </c>
      <c r="B733" s="216" t="s">
        <v>310</v>
      </c>
      <c r="C733" s="2877">
        <v>1.41</v>
      </c>
    </row>
    <row r="734" spans="1:3">
      <c r="A734" s="92" t="s">
        <v>1021</v>
      </c>
      <c r="B734" s="216" t="s">
        <v>2286</v>
      </c>
      <c r="C734" s="2877">
        <v>1.4265000000000001</v>
      </c>
    </row>
    <row r="735" spans="1:3">
      <c r="A735" s="92" t="s">
        <v>1991</v>
      </c>
      <c r="B735" s="216" t="s">
        <v>2670</v>
      </c>
      <c r="C735" s="2877">
        <v>1.48</v>
      </c>
    </row>
    <row r="736" spans="1:3">
      <c r="A736" s="92" t="s">
        <v>1543</v>
      </c>
      <c r="B736" s="216" t="s">
        <v>609</v>
      </c>
      <c r="C736" s="2877">
        <v>1.5</v>
      </c>
    </row>
    <row r="737" spans="1:3">
      <c r="A737" s="92" t="s">
        <v>1878</v>
      </c>
      <c r="B737" s="216" t="s">
        <v>311</v>
      </c>
      <c r="C737" s="2877">
        <v>1.5</v>
      </c>
    </row>
    <row r="738" spans="1:3">
      <c r="A738" s="92" t="s">
        <v>2309</v>
      </c>
      <c r="B738" s="216" t="s">
        <v>312</v>
      </c>
      <c r="C738" s="2877">
        <v>1.5</v>
      </c>
    </row>
    <row r="739" spans="1:3">
      <c r="A739" s="92" t="s">
        <v>424</v>
      </c>
      <c r="B739" s="216" t="s">
        <v>313</v>
      </c>
      <c r="C739" s="2877">
        <v>1.4313</v>
      </c>
    </row>
    <row r="740" spans="1:3">
      <c r="A740" s="92" t="s">
        <v>2498</v>
      </c>
      <c r="B740" s="216" t="s">
        <v>314</v>
      </c>
      <c r="C740" s="2877">
        <v>1.5</v>
      </c>
    </row>
    <row r="741" spans="1:3">
      <c r="A741" s="92" t="s">
        <v>1172</v>
      </c>
      <c r="B741" s="216" t="s">
        <v>315</v>
      </c>
      <c r="C741" s="2877">
        <v>1.48</v>
      </c>
    </row>
    <row r="742" spans="1:3">
      <c r="A742" s="92" t="s">
        <v>1173</v>
      </c>
      <c r="B742" s="216" t="s">
        <v>316</v>
      </c>
      <c r="C742" s="2877">
        <v>1.5</v>
      </c>
    </row>
    <row r="743" spans="1:3">
      <c r="A743" s="92" t="s">
        <v>2399</v>
      </c>
      <c r="B743" s="216" t="s">
        <v>1100</v>
      </c>
      <c r="C743" s="2877">
        <v>1.5</v>
      </c>
    </row>
    <row r="744" spans="1:3">
      <c r="A744" s="92" t="s">
        <v>570</v>
      </c>
      <c r="B744" s="216" t="s">
        <v>317</v>
      </c>
      <c r="C744" s="2877">
        <v>1.5</v>
      </c>
    </row>
    <row r="745" spans="1:3">
      <c r="A745" s="92" t="s">
        <v>579</v>
      </c>
      <c r="B745" s="216" t="s">
        <v>318</v>
      </c>
      <c r="C745" s="2877">
        <v>1.24</v>
      </c>
    </row>
    <row r="746" spans="1:3">
      <c r="A746" s="92" t="s">
        <v>580</v>
      </c>
      <c r="B746" s="216" t="s">
        <v>319</v>
      </c>
      <c r="C746" s="2877">
        <v>1.46</v>
      </c>
    </row>
    <row r="747" spans="1:3">
      <c r="A747" s="92" t="s">
        <v>165</v>
      </c>
      <c r="B747" s="216" t="s">
        <v>2699</v>
      </c>
      <c r="C747" s="2877">
        <v>1.5</v>
      </c>
    </row>
    <row r="748" spans="1:3">
      <c r="A748" s="92" t="s">
        <v>767</v>
      </c>
      <c r="B748" s="216" t="s">
        <v>320</v>
      </c>
      <c r="C748" s="2877">
        <v>1.5</v>
      </c>
    </row>
    <row r="749" spans="1:3">
      <c r="A749" s="92" t="s">
        <v>964</v>
      </c>
      <c r="B749" s="216" t="s">
        <v>321</v>
      </c>
      <c r="C749" s="2877">
        <v>1.5</v>
      </c>
    </row>
    <row r="750" spans="1:3">
      <c r="A750" s="92" t="s">
        <v>2138</v>
      </c>
      <c r="B750" s="216" t="s">
        <v>322</v>
      </c>
      <c r="C750" s="2877">
        <v>1.4841</v>
      </c>
    </row>
    <row r="751" spans="1:3">
      <c r="A751" s="92" t="s">
        <v>2139</v>
      </c>
      <c r="B751" s="216" t="s">
        <v>323</v>
      </c>
      <c r="C751" s="2877">
        <v>1.5</v>
      </c>
    </row>
    <row r="752" spans="1:3">
      <c r="A752" s="92" t="s">
        <v>209</v>
      </c>
      <c r="B752" s="216" t="s">
        <v>996</v>
      </c>
      <c r="C752" s="2877">
        <v>1.5</v>
      </c>
    </row>
    <row r="753" spans="1:3">
      <c r="A753" s="92" t="s">
        <v>971</v>
      </c>
      <c r="B753" s="216" t="s">
        <v>324</v>
      </c>
      <c r="C753" s="2877">
        <v>1.4</v>
      </c>
    </row>
    <row r="754" spans="1:3">
      <c r="A754" s="92" t="s">
        <v>972</v>
      </c>
      <c r="B754" s="216" t="s">
        <v>325</v>
      </c>
      <c r="C754" s="2877">
        <v>1.45</v>
      </c>
    </row>
    <row r="755" spans="1:3">
      <c r="A755" s="92" t="s">
        <v>973</v>
      </c>
      <c r="B755" s="216" t="s">
        <v>326</v>
      </c>
      <c r="C755" s="2877">
        <v>1.5</v>
      </c>
    </row>
    <row r="756" spans="1:3">
      <c r="A756" s="92" t="s">
        <v>1951</v>
      </c>
      <c r="B756" s="216" t="s">
        <v>1855</v>
      </c>
      <c r="C756" s="2877">
        <v>1.4985999999999999</v>
      </c>
    </row>
    <row r="757" spans="1:3">
      <c r="A757" s="92" t="s">
        <v>974</v>
      </c>
      <c r="B757" s="216" t="s">
        <v>327</v>
      </c>
      <c r="C757" s="2877">
        <v>1.5</v>
      </c>
    </row>
    <row r="758" spans="1:3">
      <c r="A758" s="92" t="s">
        <v>975</v>
      </c>
      <c r="B758" s="216" t="s">
        <v>328</v>
      </c>
      <c r="C758" s="2877">
        <v>1.4957</v>
      </c>
    </row>
    <row r="759" spans="1:3">
      <c r="A759" s="92" t="s">
        <v>1466</v>
      </c>
      <c r="B759" s="216" t="s">
        <v>135</v>
      </c>
      <c r="C759" s="2877">
        <v>1.5</v>
      </c>
    </row>
    <row r="760" spans="1:3">
      <c r="A760" s="92" t="s">
        <v>1092</v>
      </c>
      <c r="B760" s="216" t="s">
        <v>329</v>
      </c>
      <c r="C760" s="2877">
        <v>1.5</v>
      </c>
    </row>
    <row r="761" spans="1:3">
      <c r="A761" s="92" t="s">
        <v>1093</v>
      </c>
      <c r="B761" s="216" t="s">
        <v>330</v>
      </c>
      <c r="C761" s="2877">
        <v>1.4870000000000001</v>
      </c>
    </row>
    <row r="762" spans="1:3">
      <c r="A762" s="92" t="s">
        <v>1094</v>
      </c>
      <c r="B762" s="216" t="s">
        <v>331</v>
      </c>
      <c r="C762" s="2877">
        <v>1.431</v>
      </c>
    </row>
    <row r="763" spans="1:3">
      <c r="A763" s="92" t="s">
        <v>2537</v>
      </c>
      <c r="B763" s="216" t="s">
        <v>2240</v>
      </c>
      <c r="C763" s="2877">
        <v>1.5</v>
      </c>
    </row>
    <row r="764" spans="1:3">
      <c r="A764" s="92" t="s">
        <v>1353</v>
      </c>
      <c r="B764" s="216" t="s">
        <v>332</v>
      </c>
      <c r="C764" s="2877">
        <v>1.5</v>
      </c>
    </row>
    <row r="765" spans="1:3">
      <c r="A765" s="92" t="s">
        <v>1354</v>
      </c>
      <c r="B765" s="216" t="s">
        <v>333</v>
      </c>
      <c r="C765" s="2877">
        <v>1.4386000000000001</v>
      </c>
    </row>
    <row r="766" spans="1:3">
      <c r="A766" s="92" t="s">
        <v>1355</v>
      </c>
      <c r="B766" s="216" t="s">
        <v>431</v>
      </c>
      <c r="C766" s="2877">
        <v>1.5</v>
      </c>
    </row>
    <row r="767" spans="1:3">
      <c r="A767" s="92" t="s">
        <v>1356</v>
      </c>
      <c r="B767" s="216" t="s">
        <v>432</v>
      </c>
      <c r="C767" s="2877">
        <v>1.4097</v>
      </c>
    </row>
    <row r="768" spans="1:3">
      <c r="A768" s="92" t="s">
        <v>1357</v>
      </c>
      <c r="B768" s="216" t="s">
        <v>433</v>
      </c>
      <c r="C768" s="2877">
        <v>1.5</v>
      </c>
    </row>
    <row r="769" spans="1:3">
      <c r="A769" s="92" t="s">
        <v>2579</v>
      </c>
      <c r="B769" s="216" t="s">
        <v>454</v>
      </c>
      <c r="C769" s="2877">
        <v>1.1274999999999999</v>
      </c>
    </row>
    <row r="770" spans="1:3">
      <c r="A770" s="92" t="s">
        <v>707</v>
      </c>
      <c r="B770" s="216" t="s">
        <v>1003</v>
      </c>
      <c r="C770" s="2877">
        <v>1.4330000000000001</v>
      </c>
    </row>
    <row r="771" spans="1:3">
      <c r="A771" s="92" t="s">
        <v>1510</v>
      </c>
      <c r="B771" s="216" t="s">
        <v>1937</v>
      </c>
      <c r="C771" s="2877">
        <v>1.5</v>
      </c>
    </row>
    <row r="772" spans="1:3">
      <c r="A772" s="92" t="s">
        <v>1467</v>
      </c>
      <c r="B772" s="216" t="s">
        <v>140</v>
      </c>
      <c r="C772" s="2877">
        <v>1.5</v>
      </c>
    </row>
    <row r="773" spans="1:3">
      <c r="A773" s="92" t="s">
        <v>2536</v>
      </c>
      <c r="B773" s="216" t="s">
        <v>2239</v>
      </c>
      <c r="C773" s="2877">
        <v>1.5</v>
      </c>
    </row>
    <row r="774" spans="1:3">
      <c r="A774" s="92" t="s">
        <v>1383</v>
      </c>
      <c r="B774" s="216" t="s">
        <v>434</v>
      </c>
      <c r="C774" s="2877">
        <v>1.5</v>
      </c>
    </row>
    <row r="775" spans="1:3">
      <c r="A775" s="92" t="s">
        <v>208</v>
      </c>
      <c r="B775" s="216" t="s">
        <v>2593</v>
      </c>
      <c r="C775" s="2877">
        <v>1.5</v>
      </c>
    </row>
    <row r="776" spans="1:3">
      <c r="A776" s="92" t="s">
        <v>1877</v>
      </c>
      <c r="B776" s="216" t="s">
        <v>1856</v>
      </c>
      <c r="C776" s="2877">
        <v>1.5</v>
      </c>
    </row>
    <row r="777" spans="1:3">
      <c r="A777" s="92" t="s">
        <v>1634</v>
      </c>
      <c r="B777" s="216" t="s">
        <v>435</v>
      </c>
      <c r="C777" s="2877">
        <v>1.5</v>
      </c>
    </row>
    <row r="778" spans="1:3">
      <c r="A778" s="92" t="s">
        <v>1635</v>
      </c>
      <c r="B778" s="216" t="s">
        <v>436</v>
      </c>
      <c r="C778" s="2877">
        <v>1.3</v>
      </c>
    </row>
    <row r="779" spans="1:3">
      <c r="A779" s="92" t="s">
        <v>1636</v>
      </c>
      <c r="B779" s="216" t="s">
        <v>437</v>
      </c>
      <c r="C779" s="2877">
        <v>1.3373999999999999</v>
      </c>
    </row>
    <row r="780" spans="1:3">
      <c r="A780" s="92" t="s">
        <v>1637</v>
      </c>
      <c r="B780" s="216" t="s">
        <v>438</v>
      </c>
      <c r="C780" s="2877">
        <v>1.17</v>
      </c>
    </row>
    <row r="781" spans="1:3">
      <c r="A781" s="92" t="s">
        <v>1638</v>
      </c>
      <c r="B781" s="216" t="s">
        <v>439</v>
      </c>
      <c r="C781" s="2877">
        <v>1.5</v>
      </c>
    </row>
    <row r="782" spans="1:3">
      <c r="A782" s="92" t="s">
        <v>1874</v>
      </c>
      <c r="B782" s="216" t="s">
        <v>440</v>
      </c>
      <c r="C782" s="2877">
        <v>1.5</v>
      </c>
    </row>
    <row r="783" spans="1:3">
      <c r="A783" s="92" t="s">
        <v>2302</v>
      </c>
      <c r="B783" s="216" t="s">
        <v>441</v>
      </c>
      <c r="C783" s="2877">
        <v>1.5</v>
      </c>
    </row>
    <row r="784" spans="1:3">
      <c r="A784" s="92" t="s">
        <v>2291</v>
      </c>
      <c r="B784" s="216" t="s">
        <v>442</v>
      </c>
      <c r="C784" s="2877">
        <v>1.5</v>
      </c>
    </row>
    <row r="785" spans="1:3">
      <c r="A785" s="92" t="s">
        <v>1302</v>
      </c>
      <c r="B785" s="216" t="s">
        <v>443</v>
      </c>
      <c r="C785" s="2877">
        <v>1.5</v>
      </c>
    </row>
    <row r="786" spans="1:3">
      <c r="A786" s="92" t="s">
        <v>692</v>
      </c>
      <c r="B786" s="216" t="s">
        <v>444</v>
      </c>
      <c r="C786" s="2877">
        <v>1.5</v>
      </c>
    </row>
    <row r="787" spans="1:3">
      <c r="A787" s="92" t="s">
        <v>2548</v>
      </c>
      <c r="B787" s="216" t="s">
        <v>445</v>
      </c>
      <c r="C787" s="2877">
        <v>1.4750000000000001</v>
      </c>
    </row>
    <row r="788" spans="1:3">
      <c r="A788" s="92" t="s">
        <v>693</v>
      </c>
      <c r="B788" s="216" t="s">
        <v>446</v>
      </c>
      <c r="C788" s="2877">
        <v>1.5</v>
      </c>
    </row>
    <row r="789" spans="1:3">
      <c r="A789" s="92" t="s">
        <v>1773</v>
      </c>
      <c r="B789" s="216" t="s">
        <v>2226</v>
      </c>
      <c r="C789" s="2877">
        <v>1.4824999999999999</v>
      </c>
    </row>
    <row r="790" spans="1:3">
      <c r="A790" s="92" t="s">
        <v>1213</v>
      </c>
      <c r="B790" s="216" t="s">
        <v>447</v>
      </c>
      <c r="C790" s="2877">
        <v>1.4833000000000001</v>
      </c>
    </row>
    <row r="791" spans="1:3">
      <c r="A791" s="92" t="s">
        <v>1639</v>
      </c>
      <c r="B791" s="216" t="s">
        <v>1054</v>
      </c>
      <c r="C791" s="2877">
        <v>1.5</v>
      </c>
    </row>
    <row r="792" spans="1:3">
      <c r="A792" s="92" t="s">
        <v>199</v>
      </c>
      <c r="B792" s="216" t="s">
        <v>2696</v>
      </c>
      <c r="C792" s="2877">
        <v>1.5</v>
      </c>
    </row>
    <row r="793" spans="1:3">
      <c r="A793" s="92" t="s">
        <v>572</v>
      </c>
      <c r="B793" s="216" t="s">
        <v>130</v>
      </c>
      <c r="C793" s="2877">
        <v>1.45</v>
      </c>
    </row>
    <row r="794" spans="1:3">
      <c r="A794" s="92" t="s">
        <v>2181</v>
      </c>
      <c r="B794" s="216" t="s">
        <v>448</v>
      </c>
      <c r="C794" s="2877">
        <v>1.4717</v>
      </c>
    </row>
    <row r="795" spans="1:3">
      <c r="A795" s="92" t="s">
        <v>1468</v>
      </c>
      <c r="B795" s="216" t="s">
        <v>292</v>
      </c>
      <c r="C795" s="2877">
        <v>1.5</v>
      </c>
    </row>
    <row r="796" spans="1:3">
      <c r="A796" s="92" t="s">
        <v>217</v>
      </c>
      <c r="B796" s="216" t="s">
        <v>2103</v>
      </c>
      <c r="C796" s="2877">
        <v>1.5</v>
      </c>
    </row>
    <row r="797" spans="1:3">
      <c r="A797" s="92" t="s">
        <v>1289</v>
      </c>
      <c r="B797" s="216" t="s">
        <v>449</v>
      </c>
      <c r="C797" s="2877">
        <v>1.43</v>
      </c>
    </row>
    <row r="798" spans="1:3">
      <c r="A798" s="92" t="s">
        <v>1290</v>
      </c>
      <c r="B798" s="216" t="s">
        <v>153</v>
      </c>
      <c r="C798" s="2877">
        <v>1.4975000000000001</v>
      </c>
    </row>
    <row r="799" spans="1:3">
      <c r="A799" s="92" t="s">
        <v>2522</v>
      </c>
      <c r="B799" s="216" t="s">
        <v>154</v>
      </c>
      <c r="C799" s="2877">
        <v>1.33</v>
      </c>
    </row>
    <row r="800" spans="1:3">
      <c r="A800" s="92" t="s">
        <v>792</v>
      </c>
      <c r="B800" s="216" t="s">
        <v>155</v>
      </c>
      <c r="C800" s="2877">
        <v>1.39</v>
      </c>
    </row>
    <row r="801" spans="1:3">
      <c r="A801" s="92" t="s">
        <v>114</v>
      </c>
      <c r="B801" s="216" t="s">
        <v>2118</v>
      </c>
      <c r="C801" s="2877">
        <v>1.44</v>
      </c>
    </row>
    <row r="802" spans="1:3">
      <c r="A802" s="92" t="s">
        <v>2654</v>
      </c>
      <c r="B802" s="216" t="s">
        <v>2697</v>
      </c>
      <c r="C802" s="2877">
        <v>1.2778</v>
      </c>
    </row>
    <row r="803" spans="1:3">
      <c r="A803" s="92" t="s">
        <v>2274</v>
      </c>
      <c r="B803" s="216" t="s">
        <v>1622</v>
      </c>
      <c r="C803" s="2877">
        <v>1.3</v>
      </c>
    </row>
    <row r="804" spans="1:3">
      <c r="A804" s="92" t="s">
        <v>377</v>
      </c>
      <c r="B804" s="216" t="s">
        <v>2668</v>
      </c>
      <c r="C804" s="2877">
        <v>1.42</v>
      </c>
    </row>
    <row r="805" spans="1:3">
      <c r="A805" s="92" t="s">
        <v>986</v>
      </c>
      <c r="B805" s="216" t="s">
        <v>1623</v>
      </c>
      <c r="C805" s="2877">
        <v>1.5</v>
      </c>
    </row>
    <row r="806" spans="1:3">
      <c r="A806" s="92" t="s">
        <v>1716</v>
      </c>
      <c r="B806" s="216" t="s">
        <v>2120</v>
      </c>
      <c r="C806" s="2877">
        <v>1.5</v>
      </c>
    </row>
    <row r="807" spans="1:3">
      <c r="A807" s="92" t="s">
        <v>695</v>
      </c>
      <c r="B807" s="216" t="s">
        <v>1624</v>
      </c>
      <c r="C807" s="2877">
        <v>1.3583000000000001</v>
      </c>
    </row>
    <row r="808" spans="1:3">
      <c r="A808" s="92" t="s">
        <v>696</v>
      </c>
      <c r="B808" s="216" t="s">
        <v>1625</v>
      </c>
      <c r="C808" s="2877">
        <v>1.5</v>
      </c>
    </row>
    <row r="809" spans="1:3">
      <c r="A809" s="92" t="s">
        <v>697</v>
      </c>
      <c r="B809" s="216" t="s">
        <v>1626</v>
      </c>
      <c r="C809" s="2877">
        <v>1.46</v>
      </c>
    </row>
    <row r="810" spans="1:3">
      <c r="A810" s="92" t="s">
        <v>1457</v>
      </c>
      <c r="B810" s="216" t="s">
        <v>1627</v>
      </c>
      <c r="C810" s="2877">
        <v>1.5</v>
      </c>
    </row>
    <row r="811" spans="1:3">
      <c r="A811" s="92" t="s">
        <v>1458</v>
      </c>
      <c r="B811" s="216" t="s">
        <v>1628</v>
      </c>
      <c r="C811" s="2877">
        <v>1.5</v>
      </c>
    </row>
    <row r="812" spans="1:3">
      <c r="A812" s="92" t="s">
        <v>1459</v>
      </c>
      <c r="B812" s="216" t="s">
        <v>1629</v>
      </c>
      <c r="C812" s="2877">
        <v>1.4893000000000001</v>
      </c>
    </row>
    <row r="813" spans="1:3">
      <c r="A813" s="92" t="s">
        <v>1460</v>
      </c>
      <c r="B813" s="216" t="s">
        <v>1630</v>
      </c>
      <c r="C813" s="2877">
        <v>1.3080000000000001</v>
      </c>
    </row>
    <row r="814" spans="1:3">
      <c r="A814" s="92" t="s">
        <v>1461</v>
      </c>
      <c r="B814" s="216" t="s">
        <v>1631</v>
      </c>
      <c r="C814" s="2877">
        <v>1.5</v>
      </c>
    </row>
    <row r="815" spans="1:3">
      <c r="A815" s="92" t="s">
        <v>1462</v>
      </c>
      <c r="B815" s="216" t="s">
        <v>976</v>
      </c>
      <c r="C815" s="2877">
        <v>1.38</v>
      </c>
    </row>
    <row r="816" spans="1:3">
      <c r="A816" s="92" t="s">
        <v>1672</v>
      </c>
      <c r="B816" s="216" t="s">
        <v>977</v>
      </c>
      <c r="C816" s="2877">
        <v>1.5</v>
      </c>
    </row>
    <row r="817" spans="1:3">
      <c r="A817" s="92" t="s">
        <v>1812</v>
      </c>
      <c r="B817" s="216" t="s">
        <v>613</v>
      </c>
      <c r="C817" s="2877">
        <v>1.395</v>
      </c>
    </row>
    <row r="818" spans="1:3">
      <c r="A818" s="92" t="s">
        <v>1673</v>
      </c>
      <c r="B818" s="216" t="s">
        <v>1894</v>
      </c>
      <c r="C818" s="2877">
        <v>1.5</v>
      </c>
    </row>
    <row r="819" spans="1:3">
      <c r="A819" s="92" t="s">
        <v>378</v>
      </c>
      <c r="B819" s="216" t="s">
        <v>2237</v>
      </c>
      <c r="C819" s="2877">
        <v>1.5</v>
      </c>
    </row>
    <row r="820" spans="1:3">
      <c r="A820" s="92" t="s">
        <v>1183</v>
      </c>
      <c r="B820" s="216" t="s">
        <v>1129</v>
      </c>
      <c r="C820" s="2877">
        <v>1.45</v>
      </c>
    </row>
    <row r="821" spans="1:3">
      <c r="A821" s="92" t="s">
        <v>379</v>
      </c>
      <c r="B821" s="216" t="s">
        <v>262</v>
      </c>
      <c r="C821" s="2877">
        <v>1.5</v>
      </c>
    </row>
    <row r="822" spans="1:3">
      <c r="A822" s="92" t="s">
        <v>1674</v>
      </c>
      <c r="B822" s="216" t="s">
        <v>1895</v>
      </c>
      <c r="C822" s="2877">
        <v>1.5</v>
      </c>
    </row>
    <row r="823" spans="1:3">
      <c r="A823" s="92" t="s">
        <v>1675</v>
      </c>
      <c r="B823" s="216" t="s">
        <v>1525</v>
      </c>
      <c r="C823" s="2877">
        <v>1.5</v>
      </c>
    </row>
    <row r="824" spans="1:3">
      <c r="A824" s="92" t="s">
        <v>1676</v>
      </c>
      <c r="B824" s="216" t="s">
        <v>1526</v>
      </c>
      <c r="C824" s="2877">
        <v>1.6227</v>
      </c>
    </row>
    <row r="825" spans="1:3">
      <c r="A825" s="92" t="s">
        <v>2470</v>
      </c>
      <c r="B825" s="216" t="s">
        <v>2153</v>
      </c>
      <c r="C825" s="2877">
        <v>1.5</v>
      </c>
    </row>
    <row r="826" spans="1:3">
      <c r="A826" s="92" t="s">
        <v>2471</v>
      </c>
      <c r="B826" s="216" t="s">
        <v>1362</v>
      </c>
      <c r="C826" s="2877">
        <v>1.5</v>
      </c>
    </row>
    <row r="827" spans="1:3">
      <c r="A827" s="92" t="s">
        <v>1677</v>
      </c>
      <c r="B827" s="216" t="s">
        <v>1527</v>
      </c>
      <c r="C827" s="2877">
        <v>1.33</v>
      </c>
    </row>
    <row r="828" spans="1:3">
      <c r="A828" s="92" t="s">
        <v>190</v>
      </c>
      <c r="B828" s="216" t="s">
        <v>654</v>
      </c>
      <c r="C828" s="2877">
        <v>1.5</v>
      </c>
    </row>
    <row r="829" spans="1:3">
      <c r="A829" s="92" t="s">
        <v>1678</v>
      </c>
      <c r="B829" s="216" t="s">
        <v>1528</v>
      </c>
      <c r="C829" s="2877">
        <v>1.5</v>
      </c>
    </row>
    <row r="830" spans="1:3">
      <c r="A830" s="92" t="s">
        <v>1395</v>
      </c>
      <c r="B830" s="216" t="s">
        <v>1529</v>
      </c>
      <c r="C830" s="2877">
        <v>1.3827</v>
      </c>
    </row>
    <row r="831" spans="1:3">
      <c r="A831" s="92" t="s">
        <v>1396</v>
      </c>
      <c r="B831" s="216" t="s">
        <v>1530</v>
      </c>
      <c r="C831" s="2877">
        <v>1.35</v>
      </c>
    </row>
    <row r="832" spans="1:3">
      <c r="A832" s="92" t="s">
        <v>1397</v>
      </c>
      <c r="B832" s="216" t="s">
        <v>2070</v>
      </c>
      <c r="C832" s="2877">
        <v>1.5</v>
      </c>
    </row>
    <row r="833" spans="1:3">
      <c r="A833" s="92" t="s">
        <v>1632</v>
      </c>
      <c r="B833" s="216" t="s">
        <v>2071</v>
      </c>
      <c r="C833" s="2877">
        <v>1.5</v>
      </c>
    </row>
    <row r="834" spans="1:3">
      <c r="A834" s="92" t="s">
        <v>1633</v>
      </c>
      <c r="B834" s="216" t="s">
        <v>350</v>
      </c>
      <c r="C834" s="2877">
        <v>1.47</v>
      </c>
    </row>
    <row r="835" spans="1:3">
      <c r="A835" s="92" t="s">
        <v>2433</v>
      </c>
      <c r="B835" s="216" t="s">
        <v>351</v>
      </c>
      <c r="C835" s="2877">
        <v>1.42</v>
      </c>
    </row>
    <row r="836" spans="1:3">
      <c r="A836" s="92" t="s">
        <v>1215</v>
      </c>
      <c r="B836" s="216" t="s">
        <v>2420</v>
      </c>
      <c r="C836" s="2877">
        <v>1.4864999999999999</v>
      </c>
    </row>
    <row r="837" spans="1:3">
      <c r="A837" s="92" t="s">
        <v>2434</v>
      </c>
      <c r="B837" s="216" t="s">
        <v>352</v>
      </c>
      <c r="C837" s="2877">
        <v>1.5</v>
      </c>
    </row>
    <row r="838" spans="1:3">
      <c r="A838" s="92" t="s">
        <v>1454</v>
      </c>
      <c r="B838" s="216" t="s">
        <v>353</v>
      </c>
      <c r="C838" s="2877">
        <v>1.5</v>
      </c>
    </row>
    <row r="839" spans="1:3">
      <c r="A839" s="92" t="s">
        <v>2527</v>
      </c>
      <c r="B839" s="216" t="s">
        <v>2066</v>
      </c>
      <c r="C839" s="2877">
        <v>1.5</v>
      </c>
    </row>
    <row r="840" spans="1:3">
      <c r="A840" s="92" t="s">
        <v>1411</v>
      </c>
      <c r="B840" s="216" t="s">
        <v>260</v>
      </c>
      <c r="C840" s="2877">
        <v>1.5</v>
      </c>
    </row>
    <row r="841" spans="1:3">
      <c r="A841" s="92" t="s">
        <v>1317</v>
      </c>
      <c r="B841" s="216" t="s">
        <v>267</v>
      </c>
      <c r="C841" s="2877">
        <v>1.5</v>
      </c>
    </row>
    <row r="842" spans="1:3">
      <c r="A842" s="92" t="s">
        <v>191</v>
      </c>
      <c r="B842" s="216" t="s">
        <v>601</v>
      </c>
      <c r="C842" s="2877">
        <v>1.5</v>
      </c>
    </row>
    <row r="843" spans="1:3">
      <c r="A843" s="92" t="s">
        <v>489</v>
      </c>
      <c r="B843" s="216" t="s">
        <v>1404</v>
      </c>
      <c r="C843" s="2877">
        <v>1.46</v>
      </c>
    </row>
    <row r="844" spans="1:3">
      <c r="A844" s="92" t="s">
        <v>1455</v>
      </c>
      <c r="B844" s="216" t="s">
        <v>354</v>
      </c>
      <c r="C844" s="2877">
        <v>1.5</v>
      </c>
    </row>
    <row r="845" spans="1:3">
      <c r="A845" s="92" t="s">
        <v>1456</v>
      </c>
      <c r="B845" s="216" t="s">
        <v>355</v>
      </c>
      <c r="C845" s="2877">
        <v>1.5</v>
      </c>
    </row>
    <row r="846" spans="1:3">
      <c r="A846" s="92" t="s">
        <v>1377</v>
      </c>
      <c r="B846" s="216" t="s">
        <v>356</v>
      </c>
      <c r="C846" s="2877">
        <v>1.5</v>
      </c>
    </row>
    <row r="847" spans="1:3">
      <c r="A847" s="92" t="s">
        <v>1378</v>
      </c>
      <c r="B847" s="216" t="s">
        <v>357</v>
      </c>
      <c r="C847" s="2877">
        <v>1.5</v>
      </c>
    </row>
    <row r="848" spans="1:3">
      <c r="A848" s="92" t="s">
        <v>1379</v>
      </c>
      <c r="B848" s="216" t="s">
        <v>358</v>
      </c>
      <c r="C848" s="2877">
        <v>1.5</v>
      </c>
    </row>
    <row r="849" spans="1:3">
      <c r="A849" s="92" t="s">
        <v>1473</v>
      </c>
      <c r="B849" s="216" t="s">
        <v>359</v>
      </c>
      <c r="C849" s="2877">
        <v>1.5</v>
      </c>
    </row>
    <row r="850" spans="1:3">
      <c r="A850" s="92" t="s">
        <v>961</v>
      </c>
      <c r="B850" s="216" t="s">
        <v>360</v>
      </c>
      <c r="C850" s="2877">
        <v>1.2817000000000001</v>
      </c>
    </row>
    <row r="851" spans="1:3">
      <c r="A851" s="92" t="s">
        <v>962</v>
      </c>
      <c r="B851" s="216" t="s">
        <v>361</v>
      </c>
      <c r="C851" s="2877">
        <v>1.4291</v>
      </c>
    </row>
    <row r="852" spans="1:3">
      <c r="A852" s="92" t="s">
        <v>963</v>
      </c>
      <c r="B852" s="216" t="s">
        <v>1776</v>
      </c>
      <c r="C852" s="2877">
        <v>1.5</v>
      </c>
    </row>
    <row r="853" spans="1:3">
      <c r="A853" s="92" t="s">
        <v>1089</v>
      </c>
      <c r="B853" s="216" t="s">
        <v>1777</v>
      </c>
      <c r="C853" s="2877">
        <v>1.4</v>
      </c>
    </row>
    <row r="854" spans="1:3">
      <c r="A854" s="92" t="s">
        <v>192</v>
      </c>
      <c r="B854" s="216" t="s">
        <v>1249</v>
      </c>
      <c r="C854" s="2877">
        <v>1.3277000000000001</v>
      </c>
    </row>
    <row r="855" spans="1:3">
      <c r="A855" s="92" t="s">
        <v>1090</v>
      </c>
      <c r="B855" s="216" t="s">
        <v>1778</v>
      </c>
      <c r="C855" s="2877">
        <v>1.5</v>
      </c>
    </row>
    <row r="856" spans="1:3">
      <c r="A856" s="92" t="s">
        <v>1091</v>
      </c>
      <c r="B856" s="216" t="s">
        <v>1779</v>
      </c>
      <c r="C856" s="2877">
        <v>1.5</v>
      </c>
    </row>
    <row r="857" spans="1:3">
      <c r="A857" s="92" t="s">
        <v>1238</v>
      </c>
      <c r="B857" s="216" t="s">
        <v>1780</v>
      </c>
      <c r="C857" s="2877">
        <v>1.5</v>
      </c>
    </row>
    <row r="858" spans="1:3">
      <c r="A858" s="92" t="s">
        <v>1239</v>
      </c>
      <c r="B858" s="216" t="s">
        <v>1781</v>
      </c>
      <c r="C858" s="2877">
        <v>1.4114</v>
      </c>
    </row>
    <row r="859" spans="1:3">
      <c r="A859" s="92" t="s">
        <v>1801</v>
      </c>
      <c r="B859" s="216" t="s">
        <v>1994</v>
      </c>
      <c r="C859" s="2877">
        <v>1.42</v>
      </c>
    </row>
    <row r="860" spans="1:3">
      <c r="A860" s="92" t="s">
        <v>274</v>
      </c>
      <c r="B860" s="216" t="s">
        <v>2115</v>
      </c>
      <c r="C860" s="2877">
        <v>1.5</v>
      </c>
    </row>
    <row r="861" spans="1:3">
      <c r="A861" s="92" t="s">
        <v>1727</v>
      </c>
      <c r="B861" s="216" t="s">
        <v>1995</v>
      </c>
      <c r="C861" s="2877">
        <v>1.43</v>
      </c>
    </row>
    <row r="862" spans="1:3">
      <c r="A862" s="92" t="s">
        <v>1728</v>
      </c>
      <c r="B862" s="216" t="s">
        <v>1996</v>
      </c>
      <c r="C862" s="2877">
        <v>1.5</v>
      </c>
    </row>
    <row r="863" spans="1:3">
      <c r="A863" s="92" t="s">
        <v>1006</v>
      </c>
      <c r="B863" s="216" t="s">
        <v>1997</v>
      </c>
      <c r="C863" s="2877">
        <v>1.2949999999999999</v>
      </c>
    </row>
    <row r="864" spans="1:3">
      <c r="A864" s="92" t="s">
        <v>189</v>
      </c>
      <c r="B864" s="216" t="s">
        <v>1998</v>
      </c>
      <c r="C864" s="2877">
        <v>1.4245000000000001</v>
      </c>
    </row>
    <row r="865" spans="1:3">
      <c r="A865" s="92" t="s">
        <v>1181</v>
      </c>
      <c r="B865" s="216" t="s">
        <v>1334</v>
      </c>
      <c r="C865" s="2877">
        <v>1.5</v>
      </c>
    </row>
    <row r="866" spans="1:3">
      <c r="A866" s="92" t="s">
        <v>1340</v>
      </c>
      <c r="B866" s="216" t="s">
        <v>660</v>
      </c>
      <c r="C866" s="2877">
        <v>1.5</v>
      </c>
    </row>
    <row r="867" spans="1:3">
      <c r="A867" s="92" t="s">
        <v>1341</v>
      </c>
      <c r="B867" s="216" t="s">
        <v>1999</v>
      </c>
      <c r="C867" s="2877">
        <v>1.5</v>
      </c>
    </row>
    <row r="868" spans="1:3">
      <c r="A868" s="92" t="s">
        <v>1342</v>
      </c>
      <c r="B868" s="216" t="s">
        <v>2000</v>
      </c>
      <c r="C868" s="2877">
        <v>1.1477999999999999</v>
      </c>
    </row>
    <row r="869" spans="1:3">
      <c r="A869" s="92" t="s">
        <v>2653</v>
      </c>
      <c r="B869" s="216" t="s">
        <v>2693</v>
      </c>
      <c r="C869" s="2877">
        <v>1.5</v>
      </c>
    </row>
    <row r="870" spans="1:3">
      <c r="A870" s="92" t="s">
        <v>1729</v>
      </c>
      <c r="B870" s="216" t="s">
        <v>2001</v>
      </c>
      <c r="C870" s="2877">
        <v>1.5</v>
      </c>
    </row>
    <row r="871" spans="1:3">
      <c r="A871" s="92" t="s">
        <v>193</v>
      </c>
      <c r="B871" s="216" t="s">
        <v>608</v>
      </c>
      <c r="C871" s="2877">
        <v>1.5</v>
      </c>
    </row>
    <row r="872" spans="1:3">
      <c r="A872" s="92" t="s">
        <v>1730</v>
      </c>
      <c r="B872" s="216" t="s">
        <v>2002</v>
      </c>
      <c r="C872" s="2877">
        <v>1.5</v>
      </c>
    </row>
    <row r="873" spans="1:3">
      <c r="A873" s="92" t="s">
        <v>2584</v>
      </c>
      <c r="B873" s="216" t="s">
        <v>2562</v>
      </c>
      <c r="C873" s="2877">
        <v>1.5</v>
      </c>
    </row>
    <row r="874" spans="1:3">
      <c r="A874" s="92" t="s">
        <v>750</v>
      </c>
      <c r="B874" s="216" t="s">
        <v>2563</v>
      </c>
      <c r="C874" s="2877">
        <v>1.4398</v>
      </c>
    </row>
    <row r="875" spans="1:3">
      <c r="A875" s="92" t="s">
        <v>751</v>
      </c>
      <c r="B875" s="216" t="s">
        <v>2564</v>
      </c>
      <c r="C875" s="2877">
        <v>1.5</v>
      </c>
    </row>
    <row r="876" spans="1:3">
      <c r="A876" s="92" t="s">
        <v>802</v>
      </c>
      <c r="B876" s="216" t="s">
        <v>2565</v>
      </c>
      <c r="C876" s="2877">
        <v>1.3754999999999999</v>
      </c>
    </row>
    <row r="877" spans="1:3">
      <c r="A877" s="92" t="s">
        <v>568</v>
      </c>
      <c r="B877" s="216" t="s">
        <v>2566</v>
      </c>
      <c r="C877" s="2877">
        <v>1.45</v>
      </c>
    </row>
    <row r="878" spans="1:3">
      <c r="A878" s="92" t="s">
        <v>569</v>
      </c>
      <c r="B878" s="216" t="s">
        <v>2567</v>
      </c>
      <c r="C878" s="2877">
        <v>1.5</v>
      </c>
    </row>
    <row r="879" spans="1:3">
      <c r="A879" s="92" t="s">
        <v>2298</v>
      </c>
      <c r="B879" s="216" t="s">
        <v>2421</v>
      </c>
      <c r="C879" s="2877">
        <v>1.5</v>
      </c>
    </row>
    <row r="880" spans="1:3">
      <c r="A880" s="92" t="s">
        <v>873</v>
      </c>
      <c r="B880" s="216" t="s">
        <v>797</v>
      </c>
      <c r="C880" s="2877">
        <v>1.4650000000000001</v>
      </c>
    </row>
    <row r="881" spans="1:3">
      <c r="A881" s="92" t="s">
        <v>1849</v>
      </c>
      <c r="B881" s="216" t="s">
        <v>2568</v>
      </c>
      <c r="C881" s="2877">
        <v>1.5</v>
      </c>
    </row>
    <row r="882" spans="1:3">
      <c r="A882" s="92" t="s">
        <v>2018</v>
      </c>
      <c r="B882" s="216" t="s">
        <v>1278</v>
      </c>
      <c r="C882" s="2877">
        <v>1.5</v>
      </c>
    </row>
    <row r="883" spans="1:3">
      <c r="A883" s="92" t="s">
        <v>2182</v>
      </c>
      <c r="B883" s="216" t="s">
        <v>1279</v>
      </c>
      <c r="C883" s="2877">
        <v>1.4710000000000001</v>
      </c>
    </row>
    <row r="884" spans="1:3">
      <c r="A884" s="92" t="s">
        <v>50</v>
      </c>
      <c r="B884" s="216" t="s">
        <v>412</v>
      </c>
      <c r="C884" s="2877">
        <v>1.4336</v>
      </c>
    </row>
    <row r="885" spans="1:3">
      <c r="A885" s="92" t="s">
        <v>347</v>
      </c>
      <c r="B885" s="216" t="s">
        <v>290</v>
      </c>
      <c r="C885" s="2877">
        <v>1.407</v>
      </c>
    </row>
    <row r="886" spans="1:3">
      <c r="A886" s="92" t="s">
        <v>1767</v>
      </c>
      <c r="B886" s="216" t="s">
        <v>2301</v>
      </c>
      <c r="C886" s="2877">
        <v>1.5</v>
      </c>
    </row>
    <row r="887" spans="1:3">
      <c r="A887" s="92" t="s">
        <v>2405</v>
      </c>
      <c r="B887" s="216" t="s">
        <v>419</v>
      </c>
      <c r="C887" s="2877">
        <v>1.5</v>
      </c>
    </row>
    <row r="888" spans="1:3">
      <c r="A888" s="92" t="s">
        <v>52</v>
      </c>
      <c r="B888" s="216" t="s">
        <v>2516</v>
      </c>
      <c r="C888" s="2877">
        <v>1.5</v>
      </c>
    </row>
    <row r="889" spans="1:3">
      <c r="A889" s="92" t="s">
        <v>1681</v>
      </c>
      <c r="B889" s="216" t="s">
        <v>2119</v>
      </c>
      <c r="C889" s="2877">
        <v>1.5</v>
      </c>
    </row>
    <row r="890" spans="1:3">
      <c r="A890" s="92" t="s">
        <v>1119</v>
      </c>
      <c r="B890" s="216" t="s">
        <v>1267</v>
      </c>
      <c r="C890" s="2877">
        <v>1.4706999999999999</v>
      </c>
    </row>
    <row r="891" spans="1:3">
      <c r="A891" s="92" t="s">
        <v>1847</v>
      </c>
      <c r="B891" s="216" t="s">
        <v>657</v>
      </c>
      <c r="C891" s="2877">
        <v>1.5</v>
      </c>
    </row>
    <row r="892" spans="1:3">
      <c r="A892" s="92" t="s">
        <v>2223</v>
      </c>
      <c r="B892" s="216" t="s">
        <v>1280</v>
      </c>
      <c r="C892" s="2877">
        <v>1.292</v>
      </c>
    </row>
    <row r="893" spans="1:3">
      <c r="A893" s="92" t="s">
        <v>1846</v>
      </c>
      <c r="B893" s="216" t="s">
        <v>656</v>
      </c>
      <c r="C893" s="2877">
        <v>1.5</v>
      </c>
    </row>
    <row r="894" spans="1:3">
      <c r="A894" s="92" t="s">
        <v>1180</v>
      </c>
      <c r="B894" s="216" t="s">
        <v>1333</v>
      </c>
      <c r="C894" s="2877">
        <v>1.5</v>
      </c>
    </row>
    <row r="895" spans="1:3">
      <c r="A895" s="92" t="s">
        <v>2224</v>
      </c>
      <c r="B895" s="216" t="s">
        <v>1281</v>
      </c>
      <c r="C895" s="2877">
        <v>1.5</v>
      </c>
    </row>
    <row r="896" spans="1:3">
      <c r="A896" s="92" t="s">
        <v>2225</v>
      </c>
      <c r="B896" s="216" t="s">
        <v>1282</v>
      </c>
      <c r="C896" s="2877">
        <v>1.4490000000000001</v>
      </c>
    </row>
    <row r="897" spans="1:3">
      <c r="A897" s="92" t="s">
        <v>2655</v>
      </c>
      <c r="B897" s="216" t="s">
        <v>1283</v>
      </c>
      <c r="C897" s="2877">
        <v>1.5</v>
      </c>
    </row>
    <row r="898" spans="1:3">
      <c r="A898" s="92" t="s">
        <v>2656</v>
      </c>
      <c r="B898" s="216" t="s">
        <v>1284</v>
      </c>
      <c r="C898" s="2877">
        <v>1.44</v>
      </c>
    </row>
    <row r="899" spans="1:3">
      <c r="A899" s="92" t="s">
        <v>2657</v>
      </c>
      <c r="B899" s="216" t="s">
        <v>1132</v>
      </c>
      <c r="C899" s="2877">
        <v>1.2349000000000001</v>
      </c>
    </row>
    <row r="900" spans="1:3">
      <c r="A900" s="92" t="s">
        <v>2658</v>
      </c>
      <c r="B900" s="216" t="s">
        <v>1285</v>
      </c>
      <c r="C900" s="2877">
        <v>1.42</v>
      </c>
    </row>
    <row r="901" spans="1:3">
      <c r="A901" s="92" t="s">
        <v>1170</v>
      </c>
      <c r="B901" s="216" t="s">
        <v>305</v>
      </c>
      <c r="C901" s="2877">
        <v>1.5</v>
      </c>
    </row>
    <row r="902" spans="1:3">
      <c r="A902" s="92" t="s">
        <v>1845</v>
      </c>
      <c r="B902" s="216" t="s">
        <v>822</v>
      </c>
      <c r="C902" s="2877">
        <v>1.5</v>
      </c>
    </row>
    <row r="903" spans="1:3">
      <c r="A903" s="92" t="s">
        <v>1171</v>
      </c>
      <c r="B903" s="216" t="s">
        <v>306</v>
      </c>
      <c r="C903" s="2877">
        <v>1.5</v>
      </c>
    </row>
    <row r="904" spans="1:3">
      <c r="A904" s="92" t="s">
        <v>1586</v>
      </c>
      <c r="B904" s="216" t="s">
        <v>636</v>
      </c>
      <c r="C904" s="2877">
        <v>1.5</v>
      </c>
    </row>
    <row r="905" spans="1:3">
      <c r="A905" s="92" t="s">
        <v>1587</v>
      </c>
      <c r="B905" s="216" t="s">
        <v>637</v>
      </c>
      <c r="C905" s="2877">
        <v>1.5</v>
      </c>
    </row>
    <row r="906" spans="1:3">
      <c r="A906" s="92" t="s">
        <v>1588</v>
      </c>
      <c r="B906" s="216" t="s">
        <v>638</v>
      </c>
      <c r="C906" s="2877">
        <v>1.5</v>
      </c>
    </row>
    <row r="907" spans="1:3">
      <c r="A907" s="92" t="s">
        <v>1817</v>
      </c>
      <c r="B907" s="216" t="s">
        <v>1665</v>
      </c>
      <c r="C907" s="2877">
        <v>1.5</v>
      </c>
    </row>
    <row r="908" spans="1:3">
      <c r="A908" s="92" t="s">
        <v>275</v>
      </c>
      <c r="B908" s="216" t="s">
        <v>660</v>
      </c>
      <c r="C908" s="2877">
        <v>1.427</v>
      </c>
    </row>
    <row r="909" spans="1:3">
      <c r="A909" s="92" t="s">
        <v>1818</v>
      </c>
      <c r="B909" s="216" t="s">
        <v>1666</v>
      </c>
      <c r="C909" s="2877">
        <v>1.4</v>
      </c>
    </row>
    <row r="910" spans="1:3">
      <c r="A910" s="92" t="s">
        <v>2440</v>
      </c>
      <c r="B910" s="216" t="s">
        <v>1906</v>
      </c>
      <c r="C910" s="2877">
        <v>1.5</v>
      </c>
    </row>
    <row r="911" spans="1:3">
      <c r="A911" s="92" t="s">
        <v>1313</v>
      </c>
      <c r="B911" s="216" t="s">
        <v>2027</v>
      </c>
      <c r="C911" s="2877">
        <v>1.5</v>
      </c>
    </row>
    <row r="912" spans="1:3">
      <c r="A912" s="92" t="s">
        <v>2428</v>
      </c>
      <c r="B912" s="216" t="s">
        <v>1907</v>
      </c>
      <c r="C912" s="2877">
        <v>1.5</v>
      </c>
    </row>
    <row r="913" spans="1:3">
      <c r="A913" s="92" t="s">
        <v>342</v>
      </c>
      <c r="B913" s="216" t="s">
        <v>137</v>
      </c>
      <c r="C913" s="2877">
        <v>1.5</v>
      </c>
    </row>
    <row r="914" spans="1:3">
      <c r="A914" s="92" t="s">
        <v>1307</v>
      </c>
      <c r="B914" s="216" t="s">
        <v>1731</v>
      </c>
      <c r="C914" s="2877">
        <v>1.5</v>
      </c>
    </row>
    <row r="915" spans="1:3">
      <c r="A915" s="92" t="s">
        <v>1253</v>
      </c>
      <c r="B915" s="216" t="s">
        <v>2645</v>
      </c>
      <c r="C915" s="2877">
        <v>1.5</v>
      </c>
    </row>
    <row r="916" spans="1:3">
      <c r="A916" s="92" t="s">
        <v>263</v>
      </c>
      <c r="B916" s="216" t="s">
        <v>1908</v>
      </c>
      <c r="C916" s="2877">
        <v>1.5</v>
      </c>
    </row>
    <row r="917" spans="1:3">
      <c r="A917" s="92" t="s">
        <v>210</v>
      </c>
      <c r="B917" s="216" t="s">
        <v>998</v>
      </c>
      <c r="C917" s="2877">
        <v>1.5</v>
      </c>
    </row>
    <row r="918" spans="1:3">
      <c r="A918" s="92" t="s">
        <v>264</v>
      </c>
      <c r="B918" s="216" t="s">
        <v>1909</v>
      </c>
      <c r="C918" s="2877">
        <v>1.47</v>
      </c>
    </row>
    <row r="919" spans="1:3">
      <c r="A919" s="92" t="s">
        <v>265</v>
      </c>
      <c r="B919" s="216" t="s">
        <v>1910</v>
      </c>
      <c r="C919" s="2877">
        <v>1.5</v>
      </c>
    </row>
    <row r="920" spans="1:3">
      <c r="A920" s="92" t="s">
        <v>1133</v>
      </c>
      <c r="B920" s="216" t="s">
        <v>2667</v>
      </c>
      <c r="C920" s="2877">
        <v>1.5</v>
      </c>
    </row>
    <row r="921" spans="1:3">
      <c r="A921" s="92" t="s">
        <v>2446</v>
      </c>
      <c r="B921" s="216" t="s">
        <v>1911</v>
      </c>
      <c r="C921" s="2877">
        <v>1.5</v>
      </c>
    </row>
    <row r="922" spans="1:3">
      <c r="A922" s="92" t="s">
        <v>1320</v>
      </c>
      <c r="B922" s="216" t="s">
        <v>1912</v>
      </c>
      <c r="C922" s="2877">
        <v>1.5</v>
      </c>
    </row>
    <row r="923" spans="1:3">
      <c r="A923" s="92" t="s">
        <v>1321</v>
      </c>
      <c r="B923" s="216" t="s">
        <v>1913</v>
      </c>
      <c r="C923" s="2877">
        <v>1.46</v>
      </c>
    </row>
    <row r="924" spans="1:3">
      <c r="A924" s="92" t="s">
        <v>1322</v>
      </c>
      <c r="B924" s="216" t="s">
        <v>1914</v>
      </c>
      <c r="C924" s="2877">
        <v>1.5</v>
      </c>
    </row>
    <row r="925" spans="1:3">
      <c r="A925" s="92" t="s">
        <v>1323</v>
      </c>
      <c r="B925" s="216" t="s">
        <v>1824</v>
      </c>
      <c r="C925" s="2877">
        <v>1.48</v>
      </c>
    </row>
    <row r="926" spans="1:3">
      <c r="A926" s="92" t="s">
        <v>1324</v>
      </c>
      <c r="B926" s="216" t="s">
        <v>1915</v>
      </c>
      <c r="C926" s="2877">
        <v>1.46</v>
      </c>
    </row>
    <row r="927" spans="1:3">
      <c r="A927" s="92" t="s">
        <v>1434</v>
      </c>
      <c r="B927" s="216" t="s">
        <v>1547</v>
      </c>
      <c r="C927" s="2877">
        <v>1.5</v>
      </c>
    </row>
    <row r="928" spans="1:3">
      <c r="A928" s="92" t="s">
        <v>1807</v>
      </c>
      <c r="B928" s="216" t="s">
        <v>1916</v>
      </c>
      <c r="C928" s="2877">
        <v>1.5</v>
      </c>
    </row>
    <row r="929" spans="1:3">
      <c r="A929" s="92" t="s">
        <v>1808</v>
      </c>
      <c r="B929" s="216" t="s">
        <v>1917</v>
      </c>
      <c r="C929" s="2877">
        <v>1.5</v>
      </c>
    </row>
    <row r="930" spans="1:3">
      <c r="A930" s="92" t="s">
        <v>1254</v>
      </c>
      <c r="B930" s="216" t="s">
        <v>1938</v>
      </c>
      <c r="C930" s="2877">
        <v>1.5</v>
      </c>
    </row>
    <row r="931" spans="1:3">
      <c r="A931" s="92" t="s">
        <v>70</v>
      </c>
      <c r="B931" s="216" t="s">
        <v>2184</v>
      </c>
      <c r="C931" s="2877">
        <v>1.5</v>
      </c>
    </row>
    <row r="932" spans="1:3">
      <c r="A932" s="92" t="s">
        <v>1809</v>
      </c>
      <c r="B932" s="216" t="s">
        <v>443</v>
      </c>
      <c r="C932" s="2877">
        <v>1.5</v>
      </c>
    </row>
    <row r="933" spans="1:3">
      <c r="A933" s="92" t="s">
        <v>1810</v>
      </c>
      <c r="B933" s="216" t="s">
        <v>1918</v>
      </c>
      <c r="C933" s="2877">
        <v>1.4444999999999999</v>
      </c>
    </row>
    <row r="934" spans="1:3">
      <c r="A934" s="92" t="s">
        <v>1414</v>
      </c>
      <c r="B934" s="216" t="s">
        <v>1017</v>
      </c>
      <c r="C934" s="2877">
        <v>1.5</v>
      </c>
    </row>
    <row r="935" spans="1:3">
      <c r="A935" s="92" t="s">
        <v>1077</v>
      </c>
      <c r="B935" s="216" t="s">
        <v>777</v>
      </c>
      <c r="C935" s="2877">
        <v>1.5</v>
      </c>
    </row>
    <row r="936" spans="1:3">
      <c r="A936" s="92" t="s">
        <v>1861</v>
      </c>
      <c r="B936" s="216" t="s">
        <v>827</v>
      </c>
      <c r="C936" s="2877">
        <v>1.47</v>
      </c>
    </row>
    <row r="937" spans="1:3">
      <c r="A937" s="92" t="s">
        <v>1078</v>
      </c>
      <c r="B937" s="216" t="s">
        <v>1536</v>
      </c>
      <c r="C937" s="2877">
        <v>1.46</v>
      </c>
    </row>
    <row r="938" spans="1:3">
      <c r="A938" s="92" t="s">
        <v>1079</v>
      </c>
      <c r="B938" s="216" t="s">
        <v>778</v>
      </c>
      <c r="C938" s="2877">
        <v>1.4450000000000001</v>
      </c>
    </row>
    <row r="939" spans="1:3">
      <c r="A939" s="92" t="s">
        <v>1080</v>
      </c>
      <c r="B939" s="216" t="s">
        <v>779</v>
      </c>
      <c r="C939" s="2877">
        <v>1.5</v>
      </c>
    </row>
    <row r="940" spans="1:3">
      <c r="A940" s="92" t="s">
        <v>1081</v>
      </c>
      <c r="B940" s="216" t="s">
        <v>780</v>
      </c>
      <c r="C940" s="2877">
        <v>1.4643999999999999</v>
      </c>
    </row>
    <row r="941" spans="1:3">
      <c r="A941" s="92" t="s">
        <v>56</v>
      </c>
      <c r="B941" s="216" t="s">
        <v>2472</v>
      </c>
      <c r="C941" s="2877">
        <v>1.32</v>
      </c>
    </row>
    <row r="942" spans="1:3">
      <c r="A942" s="92" t="s">
        <v>1544</v>
      </c>
      <c r="B942" s="216" t="s">
        <v>615</v>
      </c>
      <c r="C942" s="2877">
        <v>1.1218999999999999</v>
      </c>
    </row>
    <row r="943" spans="1:3">
      <c r="A943" s="92" t="s">
        <v>1521</v>
      </c>
      <c r="B943" s="216" t="s">
        <v>2363</v>
      </c>
      <c r="C943" s="2877">
        <v>1.3872</v>
      </c>
    </row>
    <row r="944" spans="1:3">
      <c r="A944" s="92" t="s">
        <v>1319</v>
      </c>
      <c r="B944" s="216" t="s">
        <v>622</v>
      </c>
      <c r="C944" s="2877">
        <v>1.4</v>
      </c>
    </row>
    <row r="945" spans="1:3">
      <c r="A945" s="92" t="s">
        <v>488</v>
      </c>
      <c r="B945" s="216" t="s">
        <v>2032</v>
      </c>
      <c r="C945" s="2877">
        <v>1.44</v>
      </c>
    </row>
    <row r="946" spans="1:3">
      <c r="A946" s="92" t="s">
        <v>831</v>
      </c>
      <c r="B946" s="216" t="s">
        <v>623</v>
      </c>
      <c r="C946" s="2877">
        <v>1.5</v>
      </c>
    </row>
    <row r="947" spans="1:3">
      <c r="A947" s="92" t="s">
        <v>833</v>
      </c>
      <c r="B947" s="216" t="s">
        <v>1146</v>
      </c>
      <c r="C947" s="2877">
        <v>1.46</v>
      </c>
    </row>
    <row r="948" spans="1:3">
      <c r="A948" s="92" t="s">
        <v>834</v>
      </c>
      <c r="B948" s="216" t="s">
        <v>888</v>
      </c>
      <c r="C948" s="2877">
        <v>1.3399000000000001</v>
      </c>
    </row>
    <row r="949" spans="1:3">
      <c r="A949" s="92" t="s">
        <v>1533</v>
      </c>
      <c r="B949" s="216" t="s">
        <v>864</v>
      </c>
      <c r="C949" s="2877">
        <v>1.31</v>
      </c>
    </row>
    <row r="950" spans="1:3">
      <c r="A950" s="92" t="s">
        <v>1836</v>
      </c>
      <c r="B950" s="216" t="s">
        <v>2065</v>
      </c>
      <c r="C950" s="2877">
        <v>1.45</v>
      </c>
    </row>
    <row r="951" spans="1:3">
      <c r="A951" s="92" t="s">
        <v>835</v>
      </c>
      <c r="B951" s="216" t="s">
        <v>1147</v>
      </c>
      <c r="C951" s="2877">
        <v>1.5</v>
      </c>
    </row>
    <row r="952" spans="1:3">
      <c r="A952" s="92" t="s">
        <v>836</v>
      </c>
      <c r="B952" s="216" t="s">
        <v>2081</v>
      </c>
      <c r="C952" s="2877">
        <v>1.5</v>
      </c>
    </row>
    <row r="953" spans="1:3">
      <c r="A953" s="92" t="s">
        <v>1426</v>
      </c>
      <c r="B953" s="216" t="s">
        <v>1478</v>
      </c>
      <c r="C953" s="2877">
        <v>1.5</v>
      </c>
    </row>
    <row r="954" spans="1:3">
      <c r="A954" s="92" t="s">
        <v>877</v>
      </c>
      <c r="B954" s="216" t="s">
        <v>1344</v>
      </c>
      <c r="C954" s="2877">
        <v>1.5</v>
      </c>
    </row>
    <row r="955" spans="1:3">
      <c r="A955" s="92" t="s">
        <v>340</v>
      </c>
      <c r="B955" s="216" t="s">
        <v>134</v>
      </c>
      <c r="C955" s="2877">
        <v>1.456</v>
      </c>
    </row>
    <row r="956" spans="1:3">
      <c r="A956" s="92" t="s">
        <v>2597</v>
      </c>
      <c r="B956" s="216" t="s">
        <v>2082</v>
      </c>
      <c r="C956" s="2877">
        <v>1.37</v>
      </c>
    </row>
    <row r="957" spans="1:3">
      <c r="A957" s="92" t="s">
        <v>1022</v>
      </c>
      <c r="B957" s="216" t="s">
        <v>1144</v>
      </c>
      <c r="C957" s="2877">
        <v>1.4</v>
      </c>
    </row>
    <row r="958" spans="1:3">
      <c r="A958" s="92" t="s">
        <v>1156</v>
      </c>
      <c r="B958" s="216" t="s">
        <v>93</v>
      </c>
      <c r="C958" s="2877">
        <v>1.4850000000000001</v>
      </c>
    </row>
    <row r="959" spans="1:3">
      <c r="A959" s="92" t="s">
        <v>276</v>
      </c>
      <c r="B959" s="216" t="s">
        <v>2371</v>
      </c>
      <c r="C959" s="2877">
        <v>1.5</v>
      </c>
    </row>
    <row r="960" spans="1:3">
      <c r="A960" s="92" t="s">
        <v>277</v>
      </c>
      <c r="B960" s="216" t="s">
        <v>138</v>
      </c>
      <c r="C960" s="2877">
        <v>1.5</v>
      </c>
    </row>
    <row r="961" spans="1:3">
      <c r="A961" s="92" t="s">
        <v>624</v>
      </c>
      <c r="B961" s="216" t="s">
        <v>94</v>
      </c>
      <c r="C961" s="2877">
        <v>1.5</v>
      </c>
    </row>
    <row r="962" spans="1:3">
      <c r="A962" s="92" t="s">
        <v>625</v>
      </c>
      <c r="B962" s="216" t="s">
        <v>887</v>
      </c>
      <c r="C962" s="2877">
        <v>1.4</v>
      </c>
    </row>
    <row r="963" spans="1:3">
      <c r="A963" s="92" t="s">
        <v>626</v>
      </c>
      <c r="B963" s="216" t="s">
        <v>1216</v>
      </c>
      <c r="C963" s="2877">
        <v>1.5</v>
      </c>
    </row>
    <row r="964" spans="1:3">
      <c r="A964" s="92" t="s">
        <v>2339</v>
      </c>
      <c r="B964" s="216" t="s">
        <v>1217</v>
      </c>
      <c r="C964" s="2877">
        <v>1.46</v>
      </c>
    </row>
    <row r="965" spans="1:3">
      <c r="A965" s="92" t="s">
        <v>2340</v>
      </c>
      <c r="B965" s="216" t="s">
        <v>1218</v>
      </c>
      <c r="C965" s="2877">
        <v>1.5</v>
      </c>
    </row>
    <row r="966" spans="1:3">
      <c r="A966" s="92" t="s">
        <v>1768</v>
      </c>
      <c r="B966" s="216" t="s">
        <v>2345</v>
      </c>
      <c r="C966" s="2877">
        <v>1.3829</v>
      </c>
    </row>
    <row r="967" spans="1:3">
      <c r="A967" s="92" t="s">
        <v>1520</v>
      </c>
      <c r="B967" s="216" t="s">
        <v>2362</v>
      </c>
      <c r="C967" s="2877">
        <v>1.3798999999999999</v>
      </c>
    </row>
    <row r="968" spans="1:3">
      <c r="A968" s="92" t="s">
        <v>927</v>
      </c>
      <c r="B968" s="216" t="s">
        <v>1219</v>
      </c>
      <c r="C968" s="2877">
        <v>1.115</v>
      </c>
    </row>
    <row r="969" spans="1:3">
      <c r="A969" s="92" t="s">
        <v>928</v>
      </c>
      <c r="B969" s="216" t="s">
        <v>1220</v>
      </c>
      <c r="C969" s="2877">
        <v>1.5</v>
      </c>
    </row>
    <row r="970" spans="1:3">
      <c r="A970" s="92" t="s">
        <v>929</v>
      </c>
      <c r="B970" s="216" t="s">
        <v>1221</v>
      </c>
      <c r="C970" s="2877">
        <v>1.4886999999999999</v>
      </c>
    </row>
    <row r="971" spans="1:3">
      <c r="A971" s="92" t="s">
        <v>571</v>
      </c>
      <c r="B971" s="216" t="s">
        <v>1222</v>
      </c>
      <c r="C971" s="2877">
        <v>1.3956</v>
      </c>
    </row>
    <row r="972" spans="1:3">
      <c r="A972" s="92" t="s">
        <v>902</v>
      </c>
      <c r="B972" s="216" t="s">
        <v>1223</v>
      </c>
      <c r="C972" s="2877">
        <v>1.4850000000000001</v>
      </c>
    </row>
    <row r="973" spans="1:3">
      <c r="A973" s="92" t="s">
        <v>903</v>
      </c>
      <c r="B973" s="216" t="s">
        <v>1224</v>
      </c>
      <c r="C973" s="2877">
        <v>1.4450000000000001</v>
      </c>
    </row>
    <row r="974" spans="1:3">
      <c r="A974" s="92" t="s">
        <v>904</v>
      </c>
      <c r="B974" s="216" t="s">
        <v>1225</v>
      </c>
      <c r="C974" s="2877">
        <v>1.48</v>
      </c>
    </row>
    <row r="975" spans="1:3">
      <c r="A975" s="92" t="s">
        <v>905</v>
      </c>
      <c r="B975" s="216" t="s">
        <v>1226</v>
      </c>
      <c r="C975" s="2877">
        <v>1.5</v>
      </c>
    </row>
    <row r="976" spans="1:3">
      <c r="A976" s="92" t="s">
        <v>1724</v>
      </c>
      <c r="B976" s="216" t="s">
        <v>1227</v>
      </c>
      <c r="C976" s="2877">
        <v>0.97</v>
      </c>
    </row>
    <row r="977" spans="1:3">
      <c r="A977" s="92" t="s">
        <v>2319</v>
      </c>
      <c r="B977" s="216" t="s">
        <v>1228</v>
      </c>
      <c r="C977" s="2877">
        <v>1.1200000000000001</v>
      </c>
    </row>
    <row r="978" spans="1:3">
      <c r="A978" s="92" t="s">
        <v>884</v>
      </c>
      <c r="B978" s="216" t="s">
        <v>1448</v>
      </c>
      <c r="C978" s="2877">
        <v>1.5</v>
      </c>
    </row>
    <row r="979" spans="1:3">
      <c r="A979" s="92" t="s">
        <v>1255</v>
      </c>
      <c r="B979" s="216" t="s">
        <v>1607</v>
      </c>
      <c r="C979" s="2877">
        <v>1.5</v>
      </c>
    </row>
    <row r="980" spans="1:3">
      <c r="A980" s="92" t="s">
        <v>642</v>
      </c>
      <c r="B980" s="216" t="s">
        <v>1608</v>
      </c>
      <c r="C980" s="2877">
        <v>1.49</v>
      </c>
    </row>
    <row r="981" spans="1:3">
      <c r="A981" s="92" t="s">
        <v>1827</v>
      </c>
      <c r="B981" s="216" t="s">
        <v>1609</v>
      </c>
      <c r="C981" s="2877">
        <v>1.5</v>
      </c>
    </row>
    <row r="982" spans="1:3">
      <c r="A982" s="92" t="s">
        <v>573</v>
      </c>
      <c r="B982" s="216" t="s">
        <v>1162</v>
      </c>
      <c r="C982" s="2877">
        <v>1.5</v>
      </c>
    </row>
    <row r="983" spans="1:3">
      <c r="A983" s="92" t="s">
        <v>1358</v>
      </c>
      <c r="B983" s="216" t="s">
        <v>1610</v>
      </c>
      <c r="C983" s="2877">
        <v>1.5</v>
      </c>
    </row>
    <row r="984" spans="1:3">
      <c r="A984" s="92" t="s">
        <v>9</v>
      </c>
      <c r="B984" s="216" t="s">
        <v>1611</v>
      </c>
      <c r="C984" s="2877">
        <v>1.5</v>
      </c>
    </row>
    <row r="985" spans="1:3">
      <c r="A985" s="92" t="s">
        <v>10</v>
      </c>
      <c r="B985" s="216" t="s">
        <v>2289</v>
      </c>
      <c r="C985" s="2877">
        <v>1.5</v>
      </c>
    </row>
    <row r="986" spans="1:3">
      <c r="A986" s="92" t="s">
        <v>1503</v>
      </c>
      <c r="B986" s="216" t="s">
        <v>2346</v>
      </c>
      <c r="C986" s="2877">
        <v>1.5</v>
      </c>
    </row>
    <row r="987" spans="1:3">
      <c r="A987" s="92" t="s">
        <v>2089</v>
      </c>
      <c r="B987" s="216" t="s">
        <v>840</v>
      </c>
      <c r="C987" s="2877">
        <v>1.5</v>
      </c>
    </row>
    <row r="988" spans="1:3">
      <c r="A988" s="92" t="s">
        <v>425</v>
      </c>
      <c r="B988" s="216" t="s">
        <v>78</v>
      </c>
      <c r="C988" s="2877">
        <v>1.38</v>
      </c>
    </row>
    <row r="989" spans="1:3">
      <c r="A989" s="92" t="s">
        <v>278</v>
      </c>
      <c r="B989" s="216" t="s">
        <v>534</v>
      </c>
      <c r="C989" s="2877">
        <v>1.5</v>
      </c>
    </row>
    <row r="990" spans="1:3">
      <c r="A990" s="92" t="s">
        <v>1338</v>
      </c>
      <c r="B990" s="216" t="s">
        <v>109</v>
      </c>
      <c r="C990" s="2877">
        <v>1.5</v>
      </c>
    </row>
    <row r="991" spans="1:3">
      <c r="A991" s="92" t="s">
        <v>2580</v>
      </c>
      <c r="B991" s="216" t="s">
        <v>2321</v>
      </c>
      <c r="C991" s="2877">
        <v>1.5</v>
      </c>
    </row>
    <row r="992" spans="1:3">
      <c r="A992" s="92" t="s">
        <v>1799</v>
      </c>
      <c r="B992" s="216" t="s">
        <v>1018</v>
      </c>
      <c r="C992" s="2877">
        <v>1.48</v>
      </c>
    </row>
    <row r="993" spans="1:3">
      <c r="A993" s="92" t="s">
        <v>40</v>
      </c>
      <c r="B993" s="216" t="s">
        <v>1268</v>
      </c>
      <c r="C993" s="2877">
        <v>1.49</v>
      </c>
    </row>
    <row r="994" spans="1:3">
      <c r="A994" s="92" t="s">
        <v>11</v>
      </c>
      <c r="B994" s="216" t="s">
        <v>1612</v>
      </c>
      <c r="C994" s="2877">
        <v>1.5</v>
      </c>
    </row>
    <row r="995" spans="1:3">
      <c r="A995" s="92" t="s">
        <v>1771</v>
      </c>
      <c r="B995" s="216" t="s">
        <v>2467</v>
      </c>
      <c r="C995" s="2877">
        <v>1.5</v>
      </c>
    </row>
    <row r="996" spans="1:3">
      <c r="A996" s="92" t="s">
        <v>1310</v>
      </c>
      <c r="B996" s="216" t="s">
        <v>611</v>
      </c>
      <c r="C996" s="2877">
        <v>1.4967999999999999</v>
      </c>
    </row>
    <row r="997" spans="1:3">
      <c r="A997" s="92" t="s">
        <v>1545</v>
      </c>
      <c r="B997" s="216" t="s">
        <v>602</v>
      </c>
      <c r="C997" s="2877">
        <v>1.5</v>
      </c>
    </row>
    <row r="998" spans="1:3">
      <c r="A998" s="92" t="s">
        <v>1515</v>
      </c>
      <c r="B998" s="216" t="s">
        <v>604</v>
      </c>
      <c r="C998" s="2877">
        <v>1.5</v>
      </c>
    </row>
    <row r="999" spans="1:3">
      <c r="A999" s="92" t="s">
        <v>1769</v>
      </c>
      <c r="B999" s="216" t="s">
        <v>2465</v>
      </c>
      <c r="C999" s="2877">
        <v>1.4490000000000001</v>
      </c>
    </row>
    <row r="1000" spans="1:3">
      <c r="A1000" s="92" t="s">
        <v>12</v>
      </c>
      <c r="B1000" s="216" t="s">
        <v>1613</v>
      </c>
      <c r="C1000" s="2877">
        <v>1.5</v>
      </c>
    </row>
    <row r="1001" spans="1:3">
      <c r="A1001" s="92" t="s">
        <v>2455</v>
      </c>
      <c r="B1001" s="216" t="s">
        <v>110</v>
      </c>
      <c r="C1001" s="2877">
        <v>1.5</v>
      </c>
    </row>
    <row r="1002" spans="1:3">
      <c r="A1002" s="92" t="s">
        <v>59</v>
      </c>
      <c r="B1002" s="216" t="s">
        <v>1900</v>
      </c>
      <c r="C1002" s="2877">
        <v>1.5</v>
      </c>
    </row>
    <row r="1003" spans="1:3">
      <c r="A1003" s="92" t="s">
        <v>2456</v>
      </c>
      <c r="B1003" s="216" t="s">
        <v>1005</v>
      </c>
      <c r="C1003" s="2877">
        <v>1.49</v>
      </c>
    </row>
    <row r="1004" spans="1:3">
      <c r="A1004" s="92" t="s">
        <v>1512</v>
      </c>
      <c r="B1004" s="216" t="s">
        <v>1941</v>
      </c>
      <c r="C1004" s="2877">
        <v>1.48</v>
      </c>
    </row>
    <row r="1005" spans="1:3">
      <c r="A1005" s="92" t="s">
        <v>1174</v>
      </c>
      <c r="B1005" s="216" t="s">
        <v>1614</v>
      </c>
      <c r="C1005" s="2877">
        <v>1.5</v>
      </c>
    </row>
    <row r="1006" spans="1:3">
      <c r="A1006" s="92" t="s">
        <v>1175</v>
      </c>
      <c r="B1006" s="216" t="s">
        <v>1615</v>
      </c>
      <c r="C1006" s="2877">
        <v>1.5</v>
      </c>
    </row>
    <row r="1007" spans="1:3">
      <c r="A1007" s="92" t="s">
        <v>196</v>
      </c>
      <c r="B1007" s="216" t="s">
        <v>1053</v>
      </c>
      <c r="C1007" s="2877">
        <v>1.4359999999999999</v>
      </c>
    </row>
    <row r="1008" spans="1:3">
      <c r="A1008" s="92" t="s">
        <v>800</v>
      </c>
      <c r="B1008" s="216" t="s">
        <v>1616</v>
      </c>
      <c r="C1008" s="2877">
        <v>1.4625999999999999</v>
      </c>
    </row>
    <row r="1009" spans="1:3">
      <c r="A1009" s="92" t="s">
        <v>2176</v>
      </c>
      <c r="B1009" s="216" t="s">
        <v>1617</v>
      </c>
      <c r="C1009" s="2877">
        <v>1.37</v>
      </c>
    </row>
    <row r="1010" spans="1:3">
      <c r="A1010" s="92" t="s">
        <v>2424</v>
      </c>
      <c r="B1010" s="216" t="s">
        <v>1618</v>
      </c>
      <c r="C1010" s="2877">
        <v>1.46</v>
      </c>
    </row>
    <row r="1011" spans="1:3">
      <c r="A1011" s="92" t="s">
        <v>2425</v>
      </c>
      <c r="B1011" s="216" t="s">
        <v>1619</v>
      </c>
      <c r="C1011" s="2877">
        <v>1.45</v>
      </c>
    </row>
    <row r="1012" spans="1:3">
      <c r="A1012" s="92" t="s">
        <v>2022</v>
      </c>
      <c r="B1012" s="216" t="s">
        <v>1365</v>
      </c>
      <c r="C1012" s="2877">
        <v>1.5</v>
      </c>
    </row>
    <row r="1013" spans="1:3">
      <c r="A1013" s="92" t="s">
        <v>1150</v>
      </c>
      <c r="B1013" s="216" t="s">
        <v>1927</v>
      </c>
      <c r="C1013" s="2877">
        <v>1.3314999999999999</v>
      </c>
    </row>
    <row r="1014" spans="1:3">
      <c r="A1014" s="92" t="s">
        <v>2229</v>
      </c>
      <c r="B1014" s="216" t="s">
        <v>1620</v>
      </c>
      <c r="C1014" s="2877">
        <v>1.2961</v>
      </c>
    </row>
    <row r="1015" spans="1:3">
      <c r="A1015" s="92" t="s">
        <v>2230</v>
      </c>
      <c r="B1015" s="216" t="s">
        <v>1621</v>
      </c>
      <c r="C1015" s="2877">
        <v>1.5</v>
      </c>
    </row>
    <row r="1016" spans="1:3">
      <c r="A1016" s="92" t="s">
        <v>2575</v>
      </c>
      <c r="B1016" s="216" t="s">
        <v>24</v>
      </c>
      <c r="C1016" s="2877">
        <v>1.5</v>
      </c>
    </row>
    <row r="1017" spans="1:3">
      <c r="A1017" s="92" t="s">
        <v>2576</v>
      </c>
      <c r="B1017" s="216" t="s">
        <v>1370</v>
      </c>
      <c r="C1017" s="2877">
        <v>1.431</v>
      </c>
    </row>
    <row r="1018" spans="1:3">
      <c r="A1018" s="92" t="s">
        <v>635</v>
      </c>
      <c r="B1018" s="216" t="s">
        <v>1371</v>
      </c>
      <c r="C1018" s="2877">
        <v>1.5</v>
      </c>
    </row>
    <row r="1019" spans="1:3">
      <c r="A1019" s="92" t="s">
        <v>679</v>
      </c>
      <c r="B1019" s="216" t="s">
        <v>1372</v>
      </c>
      <c r="C1019" s="2877">
        <v>1.5</v>
      </c>
    </row>
    <row r="1020" spans="1:3">
      <c r="A1020" s="92" t="s">
        <v>680</v>
      </c>
      <c r="B1020" s="216" t="s">
        <v>1373</v>
      </c>
      <c r="C1020" s="2877">
        <v>1.5</v>
      </c>
    </row>
    <row r="1021" spans="1:3">
      <c r="A1021" s="92" t="s">
        <v>1471</v>
      </c>
      <c r="B1021" s="216" t="s">
        <v>1374</v>
      </c>
      <c r="C1021" s="2877">
        <v>1.3785000000000001</v>
      </c>
    </row>
    <row r="1022" spans="1:3">
      <c r="A1022" s="92" t="s">
        <v>907</v>
      </c>
      <c r="B1022" s="216" t="s">
        <v>862</v>
      </c>
      <c r="C1022" s="2877">
        <v>1.43</v>
      </c>
    </row>
    <row r="1023" spans="1:3">
      <c r="A1023" s="92" t="s">
        <v>1472</v>
      </c>
      <c r="B1023" s="216" t="s">
        <v>1375</v>
      </c>
      <c r="C1023" s="2877">
        <v>1.5</v>
      </c>
    </row>
    <row r="1024" spans="1:3">
      <c r="A1024" s="92" t="s">
        <v>1504</v>
      </c>
      <c r="B1024" s="216" t="s">
        <v>825</v>
      </c>
      <c r="C1024" s="2877">
        <v>1.5</v>
      </c>
    </row>
    <row r="1025" spans="1:3">
      <c r="A1025" s="92" t="s">
        <v>514</v>
      </c>
      <c r="B1025" s="216" t="s">
        <v>1376</v>
      </c>
      <c r="C1025" s="2877">
        <v>1.5</v>
      </c>
    </row>
    <row r="1026" spans="1:3">
      <c r="A1026" s="92" t="s">
        <v>2406</v>
      </c>
      <c r="B1026" s="216" t="s">
        <v>420</v>
      </c>
      <c r="C1026" s="2877">
        <v>1.48</v>
      </c>
    </row>
    <row r="1027" spans="1:3">
      <c r="A1027" s="92" t="s">
        <v>1688</v>
      </c>
      <c r="B1027" s="216" t="s">
        <v>1898</v>
      </c>
      <c r="C1027" s="2877">
        <v>1.5</v>
      </c>
    </row>
  </sheetData>
  <phoneticPr fontId="25" type="noConversion"/>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40625" style="382"/>
    <col min="2" max="2" width="16.85546875" style="125" customWidth="1"/>
  </cols>
  <sheetData>
    <row r="1" spans="1:2" s="52" customFormat="1">
      <c r="A1" s="394"/>
      <c r="B1" s="656" t="s">
        <v>6571</v>
      </c>
    </row>
    <row r="2" spans="1:2" ht="21">
      <c r="A2" s="386" t="s">
        <v>197</v>
      </c>
      <c r="B2" s="1047">
        <v>1.04</v>
      </c>
    </row>
    <row r="3" spans="1:2" ht="21">
      <c r="A3" s="386" t="s">
        <v>1954</v>
      </c>
      <c r="B3" s="1047">
        <v>1.17</v>
      </c>
    </row>
    <row r="4" spans="1:2" ht="21">
      <c r="A4" s="386" t="s">
        <v>14</v>
      </c>
      <c r="B4" s="1047">
        <v>1.17</v>
      </c>
    </row>
    <row r="5" spans="1:2" ht="21">
      <c r="A5" s="386" t="s">
        <v>15</v>
      </c>
      <c r="B5" s="1047">
        <v>1.04</v>
      </c>
    </row>
    <row r="6" spans="1:2" ht="21">
      <c r="A6" s="386" t="s">
        <v>16</v>
      </c>
      <c r="B6" s="1047">
        <v>1.17</v>
      </c>
    </row>
    <row r="7" spans="1:2" ht="21">
      <c r="A7" s="386" t="s">
        <v>1098</v>
      </c>
      <c r="B7" s="1047">
        <v>1.17</v>
      </c>
    </row>
    <row r="8" spans="1:2" ht="21">
      <c r="A8" s="386" t="s">
        <v>1099</v>
      </c>
      <c r="B8" s="1047">
        <v>1.04</v>
      </c>
    </row>
    <row r="9" spans="1:2" ht="21">
      <c r="A9" s="386" t="s">
        <v>1841</v>
      </c>
      <c r="B9" s="1047">
        <v>1.06</v>
      </c>
    </row>
    <row r="10" spans="1:2" ht="21">
      <c r="A10" s="386" t="s">
        <v>676</v>
      </c>
      <c r="B10" s="1047">
        <v>1.17</v>
      </c>
    </row>
    <row r="11" spans="1:2" ht="21">
      <c r="A11" s="386" t="s">
        <v>1452</v>
      </c>
      <c r="B11" s="1047">
        <v>1.04</v>
      </c>
    </row>
    <row r="12" spans="1:2" ht="21">
      <c r="A12" s="386" t="s">
        <v>1118</v>
      </c>
      <c r="B12" s="1047">
        <v>1.17</v>
      </c>
    </row>
    <row r="13" spans="1:2" ht="21">
      <c r="A13" s="386" t="s">
        <v>337</v>
      </c>
      <c r="B13" s="1047">
        <v>1.17</v>
      </c>
    </row>
    <row r="14" spans="1:2" ht="21">
      <c r="A14" s="386" t="s">
        <v>338</v>
      </c>
      <c r="B14" s="1047">
        <v>1.17</v>
      </c>
    </row>
    <row r="15" spans="1:2" ht="21">
      <c r="A15" s="386" t="s">
        <v>339</v>
      </c>
      <c r="B15" s="1047">
        <v>1.17</v>
      </c>
    </row>
    <row r="16" spans="1:2" ht="21">
      <c r="A16" s="386" t="s">
        <v>2479</v>
      </c>
      <c r="B16" s="1047">
        <v>1.0401</v>
      </c>
    </row>
    <row r="17" spans="1:2" ht="21">
      <c r="A17" s="386" t="s">
        <v>2480</v>
      </c>
      <c r="B17" s="1047">
        <v>1.04</v>
      </c>
    </row>
    <row r="18" spans="1:2" ht="21">
      <c r="A18" s="386" t="s">
        <v>2481</v>
      </c>
      <c r="B18" s="1047">
        <v>1.04</v>
      </c>
    </row>
    <row r="19" spans="1:2" ht="21">
      <c r="A19" s="386" t="s">
        <v>1945</v>
      </c>
      <c r="B19" s="1047">
        <v>1.17</v>
      </c>
    </row>
    <row r="20" spans="1:2" ht="21">
      <c r="A20" s="386" t="s">
        <v>2483</v>
      </c>
      <c r="B20" s="1047">
        <v>0.95</v>
      </c>
    </row>
    <row r="21" spans="1:2" ht="21">
      <c r="A21" s="386" t="s">
        <v>708</v>
      </c>
      <c r="B21" s="1047">
        <v>1.04</v>
      </c>
    </row>
    <row r="22" spans="1:2" ht="21">
      <c r="A22" s="386" t="s">
        <v>2484</v>
      </c>
      <c r="B22" s="1047">
        <v>1.17</v>
      </c>
    </row>
    <row r="23" spans="1:2" ht="21">
      <c r="A23" s="386" t="s">
        <v>2090</v>
      </c>
      <c r="B23" s="1047">
        <v>1.17</v>
      </c>
    </row>
    <row r="24" spans="1:2" ht="21">
      <c r="A24" s="386" t="s">
        <v>213</v>
      </c>
      <c r="B24" s="1047">
        <v>1.04</v>
      </c>
    </row>
    <row r="25" spans="1:2" ht="21">
      <c r="A25" s="386" t="s">
        <v>2133</v>
      </c>
      <c r="B25" s="1047">
        <v>1.17</v>
      </c>
    </row>
    <row r="26" spans="1:2" ht="21">
      <c r="A26" s="386" t="s">
        <v>2485</v>
      </c>
      <c r="B26" s="1047">
        <v>1.08</v>
      </c>
    </row>
    <row r="27" spans="1:2" ht="21">
      <c r="A27" s="386" t="s">
        <v>685</v>
      </c>
      <c r="B27" s="1047">
        <v>1.04</v>
      </c>
    </row>
    <row r="28" spans="1:2" ht="21">
      <c r="A28" s="386" t="s">
        <v>686</v>
      </c>
      <c r="B28" s="1047">
        <v>1.04</v>
      </c>
    </row>
    <row r="29" spans="1:2" ht="21">
      <c r="A29" s="386" t="s">
        <v>687</v>
      </c>
      <c r="B29" s="1047">
        <v>1.04</v>
      </c>
    </row>
    <row r="30" spans="1:2" ht="21">
      <c r="A30" s="386" t="s">
        <v>188</v>
      </c>
      <c r="B30" s="1047">
        <v>1.04</v>
      </c>
    </row>
    <row r="31" spans="1:2" ht="21">
      <c r="A31" s="386" t="s">
        <v>1946</v>
      </c>
      <c r="B31" s="1047">
        <v>1.04</v>
      </c>
    </row>
    <row r="32" spans="1:2" ht="21">
      <c r="A32" s="386" t="s">
        <v>1683</v>
      </c>
      <c r="B32" s="1047">
        <v>1.04</v>
      </c>
    </row>
    <row r="33" spans="1:2" ht="21">
      <c r="A33" s="386" t="s">
        <v>773</v>
      </c>
      <c r="B33" s="1047">
        <v>1.17</v>
      </c>
    </row>
    <row r="34" spans="1:2" ht="21">
      <c r="A34" s="386" t="s">
        <v>2366</v>
      </c>
      <c r="B34" s="1047">
        <v>1.17</v>
      </c>
    </row>
    <row r="35" spans="1:2" ht="21">
      <c r="A35" s="386" t="s">
        <v>2134</v>
      </c>
      <c r="B35" s="1047">
        <v>1.04</v>
      </c>
    </row>
    <row r="36" spans="1:2" ht="21">
      <c r="A36" s="386" t="s">
        <v>452</v>
      </c>
      <c r="B36" s="1047">
        <v>1.04</v>
      </c>
    </row>
    <row r="37" spans="1:2" ht="21">
      <c r="A37" s="386" t="s">
        <v>2367</v>
      </c>
      <c r="B37" s="1047">
        <v>1.04</v>
      </c>
    </row>
    <row r="38" spans="1:2" ht="21">
      <c r="A38" s="386" t="s">
        <v>2651</v>
      </c>
      <c r="B38" s="1047">
        <v>0.9173</v>
      </c>
    </row>
    <row r="39" spans="1:2" ht="21">
      <c r="A39" s="386" t="s">
        <v>2652</v>
      </c>
      <c r="B39" s="1047">
        <v>1.04</v>
      </c>
    </row>
    <row r="40" spans="1:2" ht="21">
      <c r="A40" s="386" t="s">
        <v>1149</v>
      </c>
      <c r="B40" s="1047">
        <v>1.17</v>
      </c>
    </row>
    <row r="41" spans="1:2" ht="21">
      <c r="A41" s="386" t="s">
        <v>2135</v>
      </c>
      <c r="B41" s="1047">
        <v>1.04</v>
      </c>
    </row>
    <row r="42" spans="1:2" ht="21">
      <c r="A42" s="386" t="s">
        <v>1682</v>
      </c>
      <c r="B42" s="1047">
        <v>1.04</v>
      </c>
    </row>
    <row r="43" spans="1:2" ht="21">
      <c r="A43" s="386" t="s">
        <v>1685</v>
      </c>
      <c r="B43" s="1047">
        <v>1.17</v>
      </c>
    </row>
    <row r="44" spans="1:2" ht="21">
      <c r="A44" s="386" t="s">
        <v>170</v>
      </c>
      <c r="B44" s="1047">
        <v>1.04</v>
      </c>
    </row>
    <row r="45" spans="1:2" ht="21">
      <c r="A45" s="386" t="s">
        <v>53</v>
      </c>
      <c r="B45" s="1047">
        <v>1.04</v>
      </c>
    </row>
    <row r="46" spans="1:2" ht="21">
      <c r="A46" s="386" t="s">
        <v>166</v>
      </c>
      <c r="B46" s="1047">
        <v>1.04</v>
      </c>
    </row>
    <row r="47" spans="1:2" ht="21">
      <c r="A47" s="386" t="s">
        <v>1312</v>
      </c>
      <c r="B47" s="1047">
        <v>1.04</v>
      </c>
    </row>
    <row r="48" spans="1:2" ht="21">
      <c r="A48" s="386" t="s">
        <v>1514</v>
      </c>
      <c r="B48" s="1047">
        <v>1.1200000000000001</v>
      </c>
    </row>
    <row r="49" spans="1:2" ht="21">
      <c r="A49" s="386" t="s">
        <v>1519</v>
      </c>
      <c r="B49" s="1047">
        <v>1.04</v>
      </c>
    </row>
    <row r="50" spans="1:2" ht="21">
      <c r="A50" s="386" t="s">
        <v>423</v>
      </c>
      <c r="B50" s="1047">
        <v>1.06</v>
      </c>
    </row>
    <row r="51" spans="1:2" ht="21">
      <c r="A51" s="386" t="s">
        <v>1859</v>
      </c>
      <c r="B51" s="1047">
        <v>1.17</v>
      </c>
    </row>
    <row r="52" spans="1:2" ht="21">
      <c r="A52" s="386" t="s">
        <v>771</v>
      </c>
      <c r="B52" s="1047">
        <v>1.17</v>
      </c>
    </row>
    <row r="53" spans="1:2" ht="21">
      <c r="A53" s="386" t="s">
        <v>1314</v>
      </c>
      <c r="B53" s="1047">
        <v>1.04</v>
      </c>
    </row>
    <row r="54" spans="1:2" ht="21">
      <c r="A54" s="386" t="s">
        <v>1506</v>
      </c>
      <c r="B54" s="1047">
        <v>1.04</v>
      </c>
    </row>
    <row r="55" spans="1:2" ht="21">
      <c r="A55" s="386" t="s">
        <v>1152</v>
      </c>
      <c r="B55" s="1047">
        <v>1.17</v>
      </c>
    </row>
    <row r="56" spans="1:2" ht="21">
      <c r="A56" s="386" t="s">
        <v>1407</v>
      </c>
      <c r="B56" s="1047">
        <v>1.04</v>
      </c>
    </row>
    <row r="57" spans="1:2" ht="21">
      <c r="A57" s="386" t="s">
        <v>768</v>
      </c>
      <c r="B57" s="1047">
        <v>1.04</v>
      </c>
    </row>
    <row r="58" spans="1:2" ht="21">
      <c r="A58" s="386" t="s">
        <v>709</v>
      </c>
      <c r="B58" s="1047">
        <v>1.04</v>
      </c>
    </row>
    <row r="59" spans="1:2" ht="21">
      <c r="A59" s="386" t="s">
        <v>1409</v>
      </c>
      <c r="B59" s="1047">
        <v>1.04</v>
      </c>
    </row>
    <row r="60" spans="1:2" ht="21">
      <c r="A60" s="386" t="s">
        <v>46</v>
      </c>
      <c r="B60" s="1047">
        <v>1.04</v>
      </c>
    </row>
    <row r="61" spans="1:2" ht="21">
      <c r="A61" s="386" t="s">
        <v>1507</v>
      </c>
      <c r="B61" s="1047">
        <v>1.1507000000000001</v>
      </c>
    </row>
    <row r="62" spans="1:2" ht="21">
      <c r="A62" s="386" t="s">
        <v>1210</v>
      </c>
      <c r="B62" s="1047">
        <v>1.04</v>
      </c>
    </row>
    <row r="63" spans="1:2" ht="21">
      <c r="A63" s="386" t="s">
        <v>874</v>
      </c>
      <c r="B63" s="1047">
        <v>1.04</v>
      </c>
    </row>
    <row r="64" spans="1:2" ht="21">
      <c r="A64" s="386" t="s">
        <v>1211</v>
      </c>
      <c r="B64" s="1047">
        <v>1.04</v>
      </c>
    </row>
    <row r="65" spans="1:2" ht="21">
      <c r="A65" s="386" t="s">
        <v>575</v>
      </c>
      <c r="B65" s="1047">
        <v>1.04</v>
      </c>
    </row>
    <row r="66" spans="1:2" ht="21">
      <c r="A66" s="386" t="s">
        <v>1212</v>
      </c>
      <c r="B66" s="1047">
        <v>1.04</v>
      </c>
    </row>
    <row r="67" spans="1:2" ht="21">
      <c r="A67" s="386" t="s">
        <v>1113</v>
      </c>
      <c r="B67" s="1047">
        <v>1.04</v>
      </c>
    </row>
    <row r="68" spans="1:2" ht="21">
      <c r="A68" s="386" t="s">
        <v>1114</v>
      </c>
      <c r="B68" s="1047">
        <v>1.04</v>
      </c>
    </row>
    <row r="69" spans="1:2" ht="21">
      <c r="A69" s="386" t="s">
        <v>1901</v>
      </c>
      <c r="B69" s="1047">
        <v>0.89990000000000003</v>
      </c>
    </row>
    <row r="70" spans="1:2" ht="21">
      <c r="A70" s="386" t="s">
        <v>1645</v>
      </c>
      <c r="B70" s="1047">
        <v>1.0349999999999999</v>
      </c>
    </row>
    <row r="71" spans="1:2" ht="21">
      <c r="A71" s="386" t="s">
        <v>1646</v>
      </c>
      <c r="B71" s="1047">
        <v>1.04</v>
      </c>
    </row>
    <row r="72" spans="1:2" ht="21">
      <c r="A72" s="386" t="s">
        <v>1647</v>
      </c>
      <c r="B72" s="1047">
        <v>1.04</v>
      </c>
    </row>
    <row r="73" spans="1:2" ht="21">
      <c r="A73" s="386" t="s">
        <v>885</v>
      </c>
      <c r="B73" s="1047">
        <v>1.17</v>
      </c>
    </row>
    <row r="74" spans="1:2" ht="21">
      <c r="A74" s="386" t="s">
        <v>710</v>
      </c>
      <c r="B74" s="1047">
        <v>1.17</v>
      </c>
    </row>
    <row r="75" spans="1:2" ht="21">
      <c r="A75" s="386" t="s">
        <v>2136</v>
      </c>
      <c r="B75" s="1047">
        <v>1.17</v>
      </c>
    </row>
    <row r="76" spans="1:2" ht="21">
      <c r="A76" s="386" t="s">
        <v>2638</v>
      </c>
      <c r="B76" s="1047">
        <v>1.17</v>
      </c>
    </row>
    <row r="77" spans="1:2" ht="21">
      <c r="A77" s="386" t="s">
        <v>1096</v>
      </c>
      <c r="B77" s="1047">
        <v>1.17</v>
      </c>
    </row>
    <row r="78" spans="1:2" ht="21">
      <c r="A78" s="386" t="s">
        <v>1097</v>
      </c>
      <c r="B78" s="1047">
        <v>1.17</v>
      </c>
    </row>
    <row r="79" spans="1:2" ht="21">
      <c r="A79" s="386" t="s">
        <v>1124</v>
      </c>
      <c r="B79" s="1047">
        <v>1.17</v>
      </c>
    </row>
    <row r="80" spans="1:2" ht="21">
      <c r="A80" s="386" t="s">
        <v>2137</v>
      </c>
      <c r="B80" s="1047">
        <v>1.04</v>
      </c>
    </row>
    <row r="81" spans="1:2" ht="21">
      <c r="A81" s="386" t="s">
        <v>984</v>
      </c>
      <c r="B81" s="1047">
        <v>1.04</v>
      </c>
    </row>
    <row r="82" spans="1:2" ht="21">
      <c r="A82" s="386" t="s">
        <v>842</v>
      </c>
      <c r="B82" s="1047">
        <v>1.04</v>
      </c>
    </row>
    <row r="83" spans="1:2" ht="21">
      <c r="A83" s="386" t="s">
        <v>1125</v>
      </c>
      <c r="B83" s="1047">
        <v>1.0900000000000001</v>
      </c>
    </row>
    <row r="84" spans="1:2" ht="21">
      <c r="A84" s="386" t="s">
        <v>1126</v>
      </c>
      <c r="B84" s="1047">
        <v>1.04</v>
      </c>
    </row>
    <row r="85" spans="1:2" ht="21">
      <c r="A85" s="386" t="s">
        <v>843</v>
      </c>
      <c r="B85" s="1047">
        <v>1.04</v>
      </c>
    </row>
    <row r="86" spans="1:2" ht="21">
      <c r="A86" s="386" t="s">
        <v>179</v>
      </c>
      <c r="B86" s="1047">
        <v>1.04</v>
      </c>
    </row>
    <row r="87" spans="1:2" ht="21">
      <c r="A87" s="386" t="s">
        <v>919</v>
      </c>
      <c r="B87" s="1047">
        <v>1.04</v>
      </c>
    </row>
    <row r="88" spans="1:2" ht="21">
      <c r="A88" s="386" t="s">
        <v>711</v>
      </c>
      <c r="B88" s="1047">
        <v>1.17</v>
      </c>
    </row>
    <row r="89" spans="1:2" ht="21">
      <c r="A89" s="386" t="s">
        <v>1157</v>
      </c>
      <c r="B89" s="1047">
        <v>1.04</v>
      </c>
    </row>
    <row r="90" spans="1:2" ht="21">
      <c r="A90" s="386" t="s">
        <v>1158</v>
      </c>
      <c r="B90" s="1047">
        <v>1.04</v>
      </c>
    </row>
    <row r="91" spans="1:2" ht="21">
      <c r="A91" s="386" t="s">
        <v>1435</v>
      </c>
      <c r="B91" s="1047">
        <v>1.04</v>
      </c>
    </row>
    <row r="92" spans="1:2" ht="21">
      <c r="A92" s="386" t="s">
        <v>207</v>
      </c>
      <c r="B92" s="1047">
        <v>1.04</v>
      </c>
    </row>
    <row r="93" spans="1:2" ht="21">
      <c r="A93" s="386" t="s">
        <v>1159</v>
      </c>
      <c r="B93" s="1047">
        <v>1.17</v>
      </c>
    </row>
    <row r="94" spans="1:2" ht="21">
      <c r="A94" s="386" t="s">
        <v>578</v>
      </c>
      <c r="B94" s="1047">
        <v>1.04</v>
      </c>
    </row>
    <row r="95" spans="1:2" ht="21">
      <c r="A95" s="386" t="s">
        <v>882</v>
      </c>
      <c r="B95" s="1047">
        <v>1.04</v>
      </c>
    </row>
    <row r="96" spans="1:2" ht="21">
      <c r="A96" s="386" t="s">
        <v>2549</v>
      </c>
      <c r="B96" s="1047">
        <v>1.04</v>
      </c>
    </row>
    <row r="97" spans="1:2" ht="21">
      <c r="A97" s="386" t="s">
        <v>400</v>
      </c>
      <c r="B97" s="1047">
        <v>1.17</v>
      </c>
    </row>
    <row r="98" spans="1:2" ht="21">
      <c r="A98" s="386" t="s">
        <v>401</v>
      </c>
      <c r="B98" s="1047">
        <v>1.1463000000000001</v>
      </c>
    </row>
    <row r="99" spans="1:2" ht="21">
      <c r="A99" s="386" t="s">
        <v>402</v>
      </c>
      <c r="B99" s="1047">
        <v>1.04</v>
      </c>
    </row>
    <row r="100" spans="1:2" ht="21">
      <c r="A100" s="386" t="s">
        <v>403</v>
      </c>
      <c r="B100" s="1047">
        <v>0.95499999999999996</v>
      </c>
    </row>
    <row r="101" spans="1:2" ht="21">
      <c r="A101" s="386" t="s">
        <v>669</v>
      </c>
      <c r="B101" s="1047">
        <v>1.0385</v>
      </c>
    </row>
    <row r="102" spans="1:2" ht="21">
      <c r="A102" s="386" t="s">
        <v>670</v>
      </c>
      <c r="B102" s="1047">
        <v>1.04</v>
      </c>
    </row>
    <row r="103" spans="1:2" ht="21">
      <c r="A103" s="386" t="s">
        <v>671</v>
      </c>
      <c r="B103" s="1047">
        <v>1.04</v>
      </c>
    </row>
    <row r="104" spans="1:2" ht="21">
      <c r="A104" s="386" t="s">
        <v>876</v>
      </c>
      <c r="B104" s="1047">
        <v>1.04</v>
      </c>
    </row>
    <row r="105" spans="1:2" ht="21">
      <c r="A105" s="386" t="s">
        <v>2528</v>
      </c>
      <c r="B105" s="1047">
        <v>1.04</v>
      </c>
    </row>
    <row r="106" spans="1:2" ht="21">
      <c r="A106" s="386" t="s">
        <v>1187</v>
      </c>
      <c r="B106" s="1047">
        <v>1.04</v>
      </c>
    </row>
    <row r="107" spans="1:2" ht="21">
      <c r="A107" s="386" t="s">
        <v>712</v>
      </c>
      <c r="B107" s="1047">
        <v>1.17</v>
      </c>
    </row>
    <row r="108" spans="1:2" ht="21">
      <c r="A108" s="386" t="s">
        <v>769</v>
      </c>
      <c r="B108" s="1047">
        <v>1.17</v>
      </c>
    </row>
    <row r="109" spans="1:2" ht="21">
      <c r="A109" s="386" t="s">
        <v>672</v>
      </c>
      <c r="B109" s="1047">
        <v>1.04</v>
      </c>
    </row>
    <row r="110" spans="1:2" ht="21">
      <c r="A110" s="386" t="s">
        <v>673</v>
      </c>
      <c r="B110" s="1047">
        <v>1.04</v>
      </c>
    </row>
    <row r="111" spans="1:2" ht="21">
      <c r="A111" s="386" t="s">
        <v>674</v>
      </c>
      <c r="B111" s="1047">
        <v>1.04</v>
      </c>
    </row>
    <row r="112" spans="1:2" ht="21">
      <c r="A112" s="386" t="s">
        <v>1885</v>
      </c>
      <c r="B112" s="1047">
        <v>1.04</v>
      </c>
    </row>
    <row r="113" spans="1:2" ht="21">
      <c r="A113" s="386" t="s">
        <v>348</v>
      </c>
      <c r="B113" s="1047">
        <v>1.0532999999999999</v>
      </c>
    </row>
    <row r="114" spans="1:2" ht="21">
      <c r="A114" s="386" t="s">
        <v>456</v>
      </c>
      <c r="B114" s="1047">
        <v>1.04</v>
      </c>
    </row>
    <row r="115" spans="1:2" ht="21">
      <c r="A115" s="386" t="s">
        <v>1154</v>
      </c>
      <c r="B115" s="1047">
        <v>1.0389999999999999</v>
      </c>
    </row>
    <row r="116" spans="1:2" ht="21">
      <c r="A116" s="386" t="s">
        <v>2306</v>
      </c>
      <c r="B116" s="1047">
        <v>0.98</v>
      </c>
    </row>
    <row r="117" spans="1:2" ht="21">
      <c r="A117" s="386" t="s">
        <v>1359</v>
      </c>
      <c r="B117" s="1047">
        <v>1.0401</v>
      </c>
    </row>
    <row r="118" spans="1:2" ht="21">
      <c r="A118" s="386" t="s">
        <v>2341</v>
      </c>
      <c r="B118" s="1047">
        <v>1.04</v>
      </c>
    </row>
    <row r="119" spans="1:2" ht="21">
      <c r="A119" s="386" t="s">
        <v>713</v>
      </c>
      <c r="B119" s="1047">
        <v>1.04</v>
      </c>
    </row>
    <row r="120" spans="1:2" ht="21">
      <c r="A120" s="386" t="s">
        <v>148</v>
      </c>
      <c r="B120" s="1047">
        <v>1.17</v>
      </c>
    </row>
    <row r="121" spans="1:2" ht="21">
      <c r="A121" s="386" t="s">
        <v>1829</v>
      </c>
      <c r="B121" s="1047">
        <v>1.17</v>
      </c>
    </row>
    <row r="122" spans="1:2" ht="21">
      <c r="A122" s="386" t="s">
        <v>881</v>
      </c>
      <c r="B122" s="1047">
        <v>1.04</v>
      </c>
    </row>
    <row r="123" spans="1:2" ht="21">
      <c r="A123" s="386" t="s">
        <v>1860</v>
      </c>
      <c r="B123" s="1047">
        <v>1.04</v>
      </c>
    </row>
    <row r="124" spans="1:2" ht="21">
      <c r="A124" s="386" t="s">
        <v>57</v>
      </c>
      <c r="B124" s="1047">
        <v>1.17</v>
      </c>
    </row>
    <row r="125" spans="1:2" ht="21">
      <c r="A125" s="386" t="s">
        <v>2283</v>
      </c>
      <c r="B125" s="1047">
        <v>1.17</v>
      </c>
    </row>
    <row r="126" spans="1:2" ht="21">
      <c r="A126" s="386" t="s">
        <v>1679</v>
      </c>
      <c r="B126" s="1047">
        <v>0.98060000000000003</v>
      </c>
    </row>
    <row r="127" spans="1:2" ht="21">
      <c r="A127" s="386" t="s">
        <v>714</v>
      </c>
      <c r="B127" s="1047">
        <v>1.17</v>
      </c>
    </row>
    <row r="128" spans="1:2" ht="21">
      <c r="A128" s="386" t="s">
        <v>1315</v>
      </c>
      <c r="B128" s="1047">
        <v>1.17</v>
      </c>
    </row>
    <row r="129" spans="1:2" ht="21">
      <c r="A129" s="386" t="s">
        <v>715</v>
      </c>
      <c r="B129" s="1047">
        <v>1.17</v>
      </c>
    </row>
    <row r="130" spans="1:2" ht="21">
      <c r="A130" s="386" t="s">
        <v>492</v>
      </c>
      <c r="B130" s="1047">
        <v>1.17</v>
      </c>
    </row>
    <row r="131" spans="1:2" ht="21">
      <c r="A131" s="386" t="s">
        <v>933</v>
      </c>
      <c r="B131" s="1047">
        <v>1.04</v>
      </c>
    </row>
    <row r="132" spans="1:2" ht="21">
      <c r="A132" s="386" t="s">
        <v>934</v>
      </c>
      <c r="B132" s="1047">
        <v>1.105</v>
      </c>
    </row>
    <row r="133" spans="1:2" ht="21">
      <c r="A133" s="386" t="s">
        <v>776</v>
      </c>
      <c r="B133" s="1047">
        <v>1.04</v>
      </c>
    </row>
    <row r="134" spans="1:2" ht="21">
      <c r="A134" s="386" t="s">
        <v>1806</v>
      </c>
      <c r="B134" s="1047">
        <v>1.04</v>
      </c>
    </row>
    <row r="135" spans="1:2" ht="21">
      <c r="A135" s="386" t="s">
        <v>1725</v>
      </c>
      <c r="B135" s="1047">
        <v>1.04</v>
      </c>
    </row>
    <row r="136" spans="1:2" ht="21">
      <c r="A136" s="386" t="s">
        <v>1726</v>
      </c>
      <c r="B136" s="1047">
        <v>1.17</v>
      </c>
    </row>
    <row r="137" spans="1:2" ht="21">
      <c r="A137" s="386" t="s">
        <v>743</v>
      </c>
      <c r="B137" s="1047">
        <v>1.119</v>
      </c>
    </row>
    <row r="138" spans="1:2" ht="21">
      <c r="A138" s="386" t="s">
        <v>744</v>
      </c>
      <c r="B138" s="1047">
        <v>1.17</v>
      </c>
    </row>
    <row r="139" spans="1:2" ht="21">
      <c r="A139" s="386" t="s">
        <v>1875</v>
      </c>
      <c r="B139" s="1047">
        <v>1.0401</v>
      </c>
    </row>
    <row r="140" spans="1:2" ht="21">
      <c r="A140" s="386" t="s">
        <v>745</v>
      </c>
      <c r="B140" s="1047">
        <v>1.17</v>
      </c>
    </row>
    <row r="141" spans="1:2" ht="21">
      <c r="A141" s="386" t="s">
        <v>1952</v>
      </c>
      <c r="B141" s="1047">
        <v>1.17</v>
      </c>
    </row>
    <row r="142" spans="1:2" ht="21">
      <c r="A142" s="386" t="s">
        <v>1953</v>
      </c>
      <c r="B142" s="1047">
        <v>1.04</v>
      </c>
    </row>
    <row r="143" spans="1:2" ht="21">
      <c r="A143" s="386" t="s">
        <v>2431</v>
      </c>
      <c r="B143" s="1047">
        <v>1.17</v>
      </c>
    </row>
    <row r="144" spans="1:2" ht="21">
      <c r="A144" s="386" t="s">
        <v>2539</v>
      </c>
      <c r="B144" s="1047">
        <v>1.17</v>
      </c>
    </row>
    <row r="145" spans="1:2" ht="21">
      <c r="A145" s="386" t="s">
        <v>1640</v>
      </c>
      <c r="B145" s="1047">
        <v>1.04</v>
      </c>
    </row>
    <row r="146" spans="1:2" ht="21">
      <c r="A146" s="386" t="s">
        <v>2432</v>
      </c>
      <c r="B146" s="1047">
        <v>1.06</v>
      </c>
    </row>
    <row r="147" spans="1:2" ht="21">
      <c r="A147" s="386" t="s">
        <v>285</v>
      </c>
      <c r="B147" s="1047">
        <v>1.04</v>
      </c>
    </row>
    <row r="148" spans="1:2" ht="21">
      <c r="A148" s="386" t="s">
        <v>1469</v>
      </c>
      <c r="B148" s="1047">
        <v>1.04</v>
      </c>
    </row>
    <row r="149" spans="1:2" ht="21">
      <c r="A149" s="386" t="s">
        <v>43</v>
      </c>
      <c r="B149" s="1047">
        <v>1.04</v>
      </c>
    </row>
    <row r="150" spans="1:2" ht="21">
      <c r="A150" s="386" t="s">
        <v>1311</v>
      </c>
      <c r="B150" s="1047">
        <v>1.04</v>
      </c>
    </row>
    <row r="151" spans="1:2" ht="21">
      <c r="A151" s="386" t="s">
        <v>2542</v>
      </c>
      <c r="B151" s="1047">
        <v>1.17</v>
      </c>
    </row>
    <row r="152" spans="1:2" ht="21">
      <c r="A152" s="386" t="s">
        <v>1470</v>
      </c>
      <c r="B152" s="1047">
        <v>1.17</v>
      </c>
    </row>
    <row r="153" spans="1:2" ht="21">
      <c r="A153" s="386" t="s">
        <v>71</v>
      </c>
      <c r="B153" s="1047">
        <v>1.04</v>
      </c>
    </row>
    <row r="154" spans="1:2" ht="21">
      <c r="A154" s="386" t="s">
        <v>2167</v>
      </c>
      <c r="B154" s="1047">
        <v>1.04</v>
      </c>
    </row>
    <row r="155" spans="1:2" ht="21">
      <c r="A155" s="386" t="s">
        <v>716</v>
      </c>
      <c r="B155" s="1047">
        <v>1.17</v>
      </c>
    </row>
    <row r="156" spans="1:2" ht="21">
      <c r="A156" s="386" t="s">
        <v>2168</v>
      </c>
      <c r="B156" s="1047">
        <v>1.17</v>
      </c>
    </row>
    <row r="157" spans="1:2" ht="21">
      <c r="A157" s="386" t="s">
        <v>1670</v>
      </c>
      <c r="B157" s="1047">
        <v>1.04</v>
      </c>
    </row>
    <row r="158" spans="1:2" ht="21">
      <c r="A158" s="386" t="s">
        <v>1671</v>
      </c>
      <c r="B158" s="1047">
        <v>1.04</v>
      </c>
    </row>
    <row r="159" spans="1:2" ht="21">
      <c r="A159" s="386" t="s">
        <v>795</v>
      </c>
      <c r="B159" s="1047">
        <v>1.04</v>
      </c>
    </row>
    <row r="160" spans="1:2" ht="21">
      <c r="A160" s="386" t="s">
        <v>796</v>
      </c>
      <c r="B160" s="1047">
        <v>1.04</v>
      </c>
    </row>
    <row r="161" spans="1:2" ht="21">
      <c r="A161" s="386" t="s">
        <v>815</v>
      </c>
      <c r="B161" s="1047">
        <v>1.04</v>
      </c>
    </row>
    <row r="162" spans="1:2" ht="21">
      <c r="A162" s="386" t="s">
        <v>577</v>
      </c>
      <c r="B162" s="1047">
        <v>1.17</v>
      </c>
    </row>
    <row r="163" spans="1:2" ht="21">
      <c r="A163" s="386" t="s">
        <v>2368</v>
      </c>
      <c r="B163" s="1047">
        <v>1.04</v>
      </c>
    </row>
    <row r="164" spans="1:2" ht="21">
      <c r="A164" s="386" t="s">
        <v>816</v>
      </c>
      <c r="B164" s="1047">
        <v>1.1000000000000001</v>
      </c>
    </row>
    <row r="165" spans="1:2" ht="21">
      <c r="A165" s="386" t="s">
        <v>584</v>
      </c>
      <c r="B165" s="1047">
        <v>1.1599999999999999</v>
      </c>
    </row>
    <row r="166" spans="1:2" ht="21">
      <c r="A166" s="386" t="s">
        <v>1641</v>
      </c>
      <c r="B166" s="1047">
        <v>1.04</v>
      </c>
    </row>
    <row r="167" spans="1:2" ht="21">
      <c r="A167" s="386" t="s">
        <v>2502</v>
      </c>
      <c r="B167" s="1047">
        <v>1.1399999999999999</v>
      </c>
    </row>
    <row r="168" spans="1:2" ht="21">
      <c r="A168" s="386" t="s">
        <v>1687</v>
      </c>
      <c r="B168" s="1047">
        <v>1.17</v>
      </c>
    </row>
    <row r="169" spans="1:2" ht="21">
      <c r="A169" s="386" t="s">
        <v>1425</v>
      </c>
      <c r="B169" s="1047">
        <v>1.04</v>
      </c>
    </row>
    <row r="170" spans="1:2" ht="21">
      <c r="A170" s="386" t="s">
        <v>2530</v>
      </c>
      <c r="B170" s="1047">
        <v>1.17</v>
      </c>
    </row>
    <row r="171" spans="1:2" ht="21">
      <c r="A171" s="386" t="s">
        <v>649</v>
      </c>
      <c r="B171" s="1047">
        <v>1.17</v>
      </c>
    </row>
    <row r="172" spans="1:2" ht="21">
      <c r="A172" s="386" t="s">
        <v>650</v>
      </c>
      <c r="B172" s="1047">
        <v>1.17</v>
      </c>
    </row>
    <row r="173" spans="1:2" ht="21">
      <c r="A173" s="386" t="s">
        <v>218</v>
      </c>
      <c r="B173" s="1047">
        <v>1.17</v>
      </c>
    </row>
    <row r="174" spans="1:2" ht="21">
      <c r="A174" s="386" t="s">
        <v>1583</v>
      </c>
      <c r="B174" s="1047">
        <v>1.17</v>
      </c>
    </row>
    <row r="175" spans="1:2" ht="21">
      <c r="A175" s="386" t="s">
        <v>1184</v>
      </c>
      <c r="B175" s="1047">
        <v>1.17</v>
      </c>
    </row>
    <row r="176" spans="1:2" ht="21">
      <c r="A176" s="386" t="s">
        <v>878</v>
      </c>
      <c r="B176" s="1047">
        <v>1.17</v>
      </c>
    </row>
    <row r="177" spans="1:2" ht="21">
      <c r="A177" s="386" t="s">
        <v>1438</v>
      </c>
      <c r="B177" s="1047">
        <v>1.17</v>
      </c>
    </row>
    <row r="178" spans="1:2" ht="21">
      <c r="A178" s="386" t="s">
        <v>253</v>
      </c>
      <c r="B178" s="1047">
        <v>1.06</v>
      </c>
    </row>
    <row r="179" spans="1:2" ht="21">
      <c r="A179" s="386" t="s">
        <v>254</v>
      </c>
      <c r="B179" s="1047">
        <v>1</v>
      </c>
    </row>
    <row r="180" spans="1:2" ht="21">
      <c r="A180" s="386" t="s">
        <v>1436</v>
      </c>
      <c r="B180" s="1047">
        <v>1.04</v>
      </c>
    </row>
    <row r="181" spans="1:2" ht="21">
      <c r="A181" s="386" t="s">
        <v>589</v>
      </c>
      <c r="B181" s="1047">
        <v>1.04</v>
      </c>
    </row>
    <row r="182" spans="1:2" ht="21">
      <c r="A182" s="386" t="s">
        <v>27</v>
      </c>
      <c r="B182" s="1047">
        <v>1.04</v>
      </c>
    </row>
    <row r="183" spans="1:2" ht="21">
      <c r="A183" s="386" t="s">
        <v>28</v>
      </c>
      <c r="B183" s="1047">
        <v>1.0133000000000001</v>
      </c>
    </row>
    <row r="184" spans="1:2" ht="21">
      <c r="A184" s="386" t="s">
        <v>1265</v>
      </c>
      <c r="B184" s="1047">
        <v>1.04</v>
      </c>
    </row>
    <row r="185" spans="1:2" ht="21">
      <c r="A185" s="386" t="s">
        <v>2315</v>
      </c>
      <c r="B185" s="1047">
        <v>1.04</v>
      </c>
    </row>
    <row r="186" spans="1:2" ht="21">
      <c r="A186" s="386" t="s">
        <v>2409</v>
      </c>
      <c r="B186" s="1047">
        <v>1.04</v>
      </c>
    </row>
    <row r="187" spans="1:2" ht="21">
      <c r="A187" s="386" t="s">
        <v>2342</v>
      </c>
      <c r="B187" s="1047">
        <v>1.04</v>
      </c>
    </row>
    <row r="188" spans="1:2" ht="21">
      <c r="A188" s="386" t="s">
        <v>2316</v>
      </c>
      <c r="B188" s="1047">
        <v>1.04</v>
      </c>
    </row>
    <row r="189" spans="1:2" ht="21">
      <c r="A189" s="386" t="s">
        <v>2317</v>
      </c>
      <c r="B189" s="1047">
        <v>1.04</v>
      </c>
    </row>
    <row r="190" spans="1:2" ht="21">
      <c r="A190" s="386" t="s">
        <v>300</v>
      </c>
      <c r="B190" s="1047">
        <v>1.17</v>
      </c>
    </row>
    <row r="191" spans="1:2" ht="21">
      <c r="A191" s="386" t="s">
        <v>1427</v>
      </c>
      <c r="B191" s="1047">
        <v>1.04</v>
      </c>
    </row>
    <row r="192" spans="1:2" ht="21">
      <c r="A192" s="386" t="s">
        <v>301</v>
      </c>
      <c r="B192" s="1047">
        <v>1.04</v>
      </c>
    </row>
    <row r="193" spans="1:2" ht="21">
      <c r="A193" s="386" t="s">
        <v>2503</v>
      </c>
      <c r="B193" s="1047">
        <v>1.1200000000000001</v>
      </c>
    </row>
    <row r="194" spans="1:2" ht="21">
      <c r="A194" s="386" t="s">
        <v>302</v>
      </c>
      <c r="B194" s="1047">
        <v>1.04</v>
      </c>
    </row>
    <row r="195" spans="1:2" ht="21">
      <c r="A195" s="386" t="s">
        <v>303</v>
      </c>
      <c r="B195" s="1047">
        <v>1.04</v>
      </c>
    </row>
    <row r="196" spans="1:2" ht="21">
      <c r="A196" s="386" t="s">
        <v>304</v>
      </c>
      <c r="B196" s="1047">
        <v>1.04</v>
      </c>
    </row>
    <row r="197" spans="1:2" ht="21">
      <c r="A197" s="386" t="s">
        <v>1743</v>
      </c>
      <c r="B197" s="1047">
        <v>1.04</v>
      </c>
    </row>
    <row r="198" spans="1:2" ht="21">
      <c r="A198" s="386" t="s">
        <v>1744</v>
      </c>
      <c r="B198" s="1047">
        <v>1.0085999999999999</v>
      </c>
    </row>
    <row r="199" spans="1:2" ht="21">
      <c r="A199" s="386" t="s">
        <v>1316</v>
      </c>
      <c r="B199" s="1047">
        <v>1.04</v>
      </c>
    </row>
    <row r="200" spans="1:2" ht="21">
      <c r="A200" s="386" t="s">
        <v>1107</v>
      </c>
      <c r="B200" s="1047">
        <v>1.04</v>
      </c>
    </row>
    <row r="201" spans="1:2" ht="21">
      <c r="A201" s="386" t="s">
        <v>2148</v>
      </c>
      <c r="B201" s="1047">
        <v>1.04</v>
      </c>
    </row>
    <row r="202" spans="1:2" ht="21">
      <c r="A202" s="386" t="s">
        <v>1108</v>
      </c>
      <c r="B202" s="1047">
        <v>1.17</v>
      </c>
    </row>
    <row r="203" spans="1:2" ht="21">
      <c r="A203" s="386" t="s">
        <v>2398</v>
      </c>
      <c r="B203" s="1047">
        <v>1.04</v>
      </c>
    </row>
    <row r="204" spans="1:2" ht="21">
      <c r="A204" s="386" t="s">
        <v>1109</v>
      </c>
      <c r="B204" s="1047">
        <v>0.99</v>
      </c>
    </row>
    <row r="205" spans="1:2" ht="21">
      <c r="A205" s="386" t="s">
        <v>681</v>
      </c>
      <c r="B205" s="1047">
        <v>1.06</v>
      </c>
    </row>
    <row r="206" spans="1:2" ht="21">
      <c r="A206" s="386" t="s">
        <v>682</v>
      </c>
      <c r="B206" s="1047">
        <v>1.06</v>
      </c>
    </row>
    <row r="207" spans="1:2" ht="21">
      <c r="A207" s="386" t="s">
        <v>683</v>
      </c>
      <c r="B207" s="1047">
        <v>1.08</v>
      </c>
    </row>
    <row r="208" spans="1:2" ht="21">
      <c r="A208" s="386" t="s">
        <v>684</v>
      </c>
      <c r="B208" s="1047">
        <v>1.0071000000000001</v>
      </c>
    </row>
    <row r="209" spans="1:2" ht="21">
      <c r="A209" s="386" t="s">
        <v>392</v>
      </c>
      <c r="B209" s="1047">
        <v>1.0107999999999999</v>
      </c>
    </row>
    <row r="210" spans="1:2" ht="21">
      <c r="A210" s="386" t="s">
        <v>2559</v>
      </c>
      <c r="B210" s="1047">
        <v>1.04</v>
      </c>
    </row>
    <row r="211" spans="1:2" ht="21">
      <c r="A211" s="386" t="s">
        <v>2560</v>
      </c>
      <c r="B211" s="1047">
        <v>1.04</v>
      </c>
    </row>
    <row r="212" spans="1:2" ht="21">
      <c r="A212" s="386" t="s">
        <v>2561</v>
      </c>
      <c r="B212" s="1047">
        <v>1.17</v>
      </c>
    </row>
    <row r="213" spans="1:2" ht="21">
      <c r="A213" s="386" t="s">
        <v>1642</v>
      </c>
      <c r="B213" s="1047">
        <v>1.04</v>
      </c>
    </row>
    <row r="214" spans="1:2" ht="21">
      <c r="A214" s="386" t="s">
        <v>385</v>
      </c>
      <c r="B214" s="1047">
        <v>1.04</v>
      </c>
    </row>
    <row r="215" spans="1:2" ht="21">
      <c r="A215" s="386" t="s">
        <v>386</v>
      </c>
      <c r="B215" s="1047">
        <v>1.0401</v>
      </c>
    </row>
    <row r="216" spans="1:2" ht="21">
      <c r="A216" s="386" t="s">
        <v>387</v>
      </c>
      <c r="B216" s="1047">
        <v>1.04</v>
      </c>
    </row>
    <row r="217" spans="1:2" ht="21">
      <c r="A217" s="386" t="s">
        <v>388</v>
      </c>
      <c r="B217" s="1047">
        <v>1.04</v>
      </c>
    </row>
    <row r="218" spans="1:2" ht="21">
      <c r="A218" s="386" t="s">
        <v>2578</v>
      </c>
      <c r="B218" s="1047">
        <v>1.04</v>
      </c>
    </row>
    <row r="219" spans="1:2" ht="21">
      <c r="A219" s="386" t="s">
        <v>666</v>
      </c>
      <c r="B219" s="1047">
        <v>1.04</v>
      </c>
    </row>
    <row r="220" spans="1:2" ht="21">
      <c r="A220" s="386" t="s">
        <v>533</v>
      </c>
      <c r="B220" s="1047">
        <v>1.0266999999999999</v>
      </c>
    </row>
    <row r="221" spans="1:2" ht="21">
      <c r="A221" s="386" t="s">
        <v>41</v>
      </c>
      <c r="B221" s="1047">
        <v>1.04</v>
      </c>
    </row>
    <row r="222" spans="1:2" ht="21">
      <c r="A222" s="386" t="s">
        <v>1790</v>
      </c>
      <c r="B222" s="1047">
        <v>1.04</v>
      </c>
    </row>
    <row r="223" spans="1:2" ht="21">
      <c r="A223" s="386" t="s">
        <v>2533</v>
      </c>
      <c r="B223" s="1047">
        <v>1.04</v>
      </c>
    </row>
    <row r="224" spans="1:2" ht="21">
      <c r="A224" s="386" t="s">
        <v>1791</v>
      </c>
      <c r="B224" s="1047">
        <v>1.0401</v>
      </c>
    </row>
    <row r="225" spans="1:2" ht="21">
      <c r="A225" s="386" t="s">
        <v>2688</v>
      </c>
      <c r="B225" s="1047">
        <v>1.024</v>
      </c>
    </row>
    <row r="226" spans="1:2" ht="21">
      <c r="A226" s="386" t="s">
        <v>249</v>
      </c>
      <c r="B226" s="1047">
        <v>1.17</v>
      </c>
    </row>
    <row r="227" spans="1:2" ht="21">
      <c r="A227" s="386" t="s">
        <v>250</v>
      </c>
      <c r="B227" s="1047">
        <v>1.04</v>
      </c>
    </row>
    <row r="228" spans="1:2" ht="21">
      <c r="A228" s="386" t="s">
        <v>251</v>
      </c>
      <c r="B228" s="1047">
        <v>1.04</v>
      </c>
    </row>
    <row r="229" spans="1:2" ht="21">
      <c r="A229" s="386" t="s">
        <v>252</v>
      </c>
      <c r="B229" s="1047">
        <v>1.17</v>
      </c>
    </row>
    <row r="230" spans="1:2" ht="21">
      <c r="A230" s="386" t="s">
        <v>374</v>
      </c>
      <c r="B230" s="1047">
        <v>1.06</v>
      </c>
    </row>
    <row r="231" spans="1:2" ht="21">
      <c r="A231" s="386" t="s">
        <v>1864</v>
      </c>
      <c r="B231" s="1047">
        <v>1.04</v>
      </c>
    </row>
    <row r="232" spans="1:2" ht="21">
      <c r="A232" s="386" t="s">
        <v>1068</v>
      </c>
      <c r="B232" s="1047">
        <v>1.04</v>
      </c>
    </row>
    <row r="233" spans="1:2" ht="21">
      <c r="A233" s="386" t="s">
        <v>1069</v>
      </c>
      <c r="B233" s="1047">
        <v>1.17</v>
      </c>
    </row>
    <row r="234" spans="1:2" ht="21">
      <c r="A234" s="386" t="s">
        <v>640</v>
      </c>
      <c r="B234" s="1047">
        <v>1.17</v>
      </c>
    </row>
    <row r="235" spans="1:2" ht="21">
      <c r="A235" s="386" t="s">
        <v>1070</v>
      </c>
      <c r="B235" s="1047">
        <v>1.04</v>
      </c>
    </row>
    <row r="236" spans="1:2" ht="21">
      <c r="A236" s="386" t="s">
        <v>1770</v>
      </c>
      <c r="B236" s="1047">
        <v>1.04</v>
      </c>
    </row>
    <row r="237" spans="1:2" ht="21">
      <c r="A237" s="386" t="s">
        <v>212</v>
      </c>
      <c r="B237" s="1047">
        <v>1.17</v>
      </c>
    </row>
    <row r="238" spans="1:2" ht="21">
      <c r="A238" s="386" t="s">
        <v>717</v>
      </c>
      <c r="B238" s="1047">
        <v>1.17</v>
      </c>
    </row>
    <row r="239" spans="1:2" ht="21">
      <c r="A239" s="386" t="s">
        <v>214</v>
      </c>
      <c r="B239" s="1047">
        <v>1.04</v>
      </c>
    </row>
    <row r="240" spans="1:2" ht="21">
      <c r="A240" s="386" t="s">
        <v>1680</v>
      </c>
      <c r="B240" s="1047">
        <v>1.04</v>
      </c>
    </row>
    <row r="241" spans="1:2" ht="21">
      <c r="A241" s="386" t="s">
        <v>490</v>
      </c>
      <c r="B241" s="1047">
        <v>1.17</v>
      </c>
    </row>
    <row r="242" spans="1:2" ht="21">
      <c r="A242" s="386" t="s">
        <v>1838</v>
      </c>
      <c r="B242" s="1047">
        <v>1.1001000000000001</v>
      </c>
    </row>
    <row r="243" spans="1:2" ht="21">
      <c r="A243" s="386" t="s">
        <v>1410</v>
      </c>
      <c r="B243" s="1047">
        <v>1.04</v>
      </c>
    </row>
    <row r="244" spans="1:2" ht="21">
      <c r="A244" s="386" t="s">
        <v>61</v>
      </c>
      <c r="B244" s="1047">
        <v>1.17</v>
      </c>
    </row>
    <row r="245" spans="1:2" ht="21">
      <c r="A245" s="386" t="s">
        <v>641</v>
      </c>
      <c r="B245" s="1047">
        <v>1.04</v>
      </c>
    </row>
    <row r="246" spans="1:2" ht="21">
      <c r="A246" s="386" t="s">
        <v>2504</v>
      </c>
      <c r="B246" s="1047">
        <v>0.94</v>
      </c>
    </row>
    <row r="247" spans="1:2" ht="21">
      <c r="A247" s="386" t="s">
        <v>1839</v>
      </c>
      <c r="B247" s="1047">
        <v>0.91469999999999996</v>
      </c>
    </row>
    <row r="248" spans="1:2" ht="21">
      <c r="A248" s="386" t="s">
        <v>1185</v>
      </c>
      <c r="B248" s="1047">
        <v>1.04</v>
      </c>
    </row>
    <row r="249" spans="1:2" ht="21">
      <c r="A249" s="386" t="s">
        <v>1840</v>
      </c>
      <c r="B249" s="1047">
        <v>0.98</v>
      </c>
    </row>
    <row r="250" spans="1:2" ht="21">
      <c r="A250" s="386" t="s">
        <v>698</v>
      </c>
      <c r="B250" s="1047">
        <v>0.96</v>
      </c>
    </row>
    <row r="251" spans="1:2" ht="21">
      <c r="A251" s="386" t="s">
        <v>299</v>
      </c>
      <c r="B251" s="1047">
        <v>1.04</v>
      </c>
    </row>
    <row r="252" spans="1:2" ht="21">
      <c r="A252" s="386" t="s">
        <v>175</v>
      </c>
      <c r="B252" s="1047">
        <v>1.04</v>
      </c>
    </row>
    <row r="253" spans="1:2" ht="21">
      <c r="A253" s="386" t="s">
        <v>176</v>
      </c>
      <c r="B253" s="1047">
        <v>1.17</v>
      </c>
    </row>
    <row r="254" spans="1:2" ht="21">
      <c r="A254" s="386" t="s">
        <v>718</v>
      </c>
      <c r="B254" s="1047">
        <v>1.06</v>
      </c>
    </row>
    <row r="255" spans="1:2" ht="21">
      <c r="A255" s="386" t="s">
        <v>2629</v>
      </c>
      <c r="B255" s="1047">
        <v>1.17</v>
      </c>
    </row>
    <row r="256" spans="1:2" ht="21">
      <c r="A256" s="386" t="s">
        <v>1556</v>
      </c>
      <c r="B256" s="1047">
        <v>0.99</v>
      </c>
    </row>
    <row r="257" spans="1:2" ht="21">
      <c r="A257" s="386" t="s">
        <v>2630</v>
      </c>
      <c r="B257" s="1047">
        <v>1.04</v>
      </c>
    </row>
    <row r="258" spans="1:2" ht="21">
      <c r="A258" s="386" t="s">
        <v>2631</v>
      </c>
      <c r="B258" s="1047">
        <v>1.04</v>
      </c>
    </row>
    <row r="259" spans="1:2" ht="21">
      <c r="A259" s="386" t="s">
        <v>719</v>
      </c>
      <c r="B259" s="1047">
        <v>1.04</v>
      </c>
    </row>
    <row r="260" spans="1:2" ht="21">
      <c r="A260" s="386" t="s">
        <v>678</v>
      </c>
      <c r="B260" s="1047">
        <v>1.17</v>
      </c>
    </row>
    <row r="261" spans="1:2" ht="21">
      <c r="A261" s="386" t="s">
        <v>2149</v>
      </c>
      <c r="B261" s="1047">
        <v>1.17</v>
      </c>
    </row>
    <row r="262" spans="1:2" ht="21">
      <c r="A262" s="386" t="s">
        <v>2297</v>
      </c>
      <c r="B262" s="1047">
        <v>1.04</v>
      </c>
    </row>
    <row r="263" spans="1:2" ht="21">
      <c r="A263" s="386" t="s">
        <v>1788</v>
      </c>
      <c r="B263" s="1047">
        <v>1.04</v>
      </c>
    </row>
    <row r="264" spans="1:2" ht="21">
      <c r="A264" s="386" t="s">
        <v>616</v>
      </c>
      <c r="B264" s="1047">
        <v>1.04</v>
      </c>
    </row>
    <row r="265" spans="1:2" ht="21">
      <c r="A265" s="386" t="s">
        <v>918</v>
      </c>
      <c r="B265" s="1047">
        <v>1.1140000000000001</v>
      </c>
    </row>
    <row r="266" spans="1:2" ht="21">
      <c r="A266" s="386" t="s">
        <v>2132</v>
      </c>
      <c r="B266" s="1047">
        <v>1.04</v>
      </c>
    </row>
    <row r="267" spans="1:2" ht="21">
      <c r="A267" s="386" t="s">
        <v>2581</v>
      </c>
      <c r="B267" s="1047">
        <v>1.04</v>
      </c>
    </row>
    <row r="268" spans="1:2" ht="21">
      <c r="A268" s="386" t="s">
        <v>2393</v>
      </c>
      <c r="B268" s="1047">
        <v>1.17</v>
      </c>
    </row>
    <row r="269" spans="1:2" ht="21">
      <c r="A269" s="386" t="s">
        <v>246</v>
      </c>
      <c r="B269" s="1047">
        <v>1.17</v>
      </c>
    </row>
    <row r="270" spans="1:2" ht="21">
      <c r="A270" s="386" t="s">
        <v>1405</v>
      </c>
      <c r="B270" s="1047">
        <v>1.04</v>
      </c>
    </row>
    <row r="271" spans="1:2" ht="21">
      <c r="A271" s="386" t="s">
        <v>1406</v>
      </c>
      <c r="B271" s="1047">
        <v>1.04</v>
      </c>
    </row>
    <row r="272" spans="1:2" ht="21">
      <c r="A272" s="386" t="s">
        <v>720</v>
      </c>
      <c r="B272" s="1047">
        <v>1.17</v>
      </c>
    </row>
    <row r="273" spans="1:2" ht="21">
      <c r="A273" s="386" t="s">
        <v>1401</v>
      </c>
      <c r="B273" s="1047">
        <v>1.04</v>
      </c>
    </row>
    <row r="274" spans="1:2" ht="21">
      <c r="A274" s="386" t="s">
        <v>932</v>
      </c>
      <c r="B274" s="1047">
        <v>1.17</v>
      </c>
    </row>
    <row r="275" spans="1:2" ht="21">
      <c r="A275" s="386" t="s">
        <v>247</v>
      </c>
      <c r="B275" s="1047">
        <v>1.17</v>
      </c>
    </row>
    <row r="276" spans="1:2" ht="21">
      <c r="A276" s="386" t="s">
        <v>2084</v>
      </c>
      <c r="B276" s="1047">
        <v>1.17</v>
      </c>
    </row>
    <row r="277" spans="1:2" ht="21">
      <c r="A277" s="386" t="s">
        <v>343</v>
      </c>
      <c r="B277" s="1047">
        <v>1.17</v>
      </c>
    </row>
    <row r="278" spans="1:2" ht="21">
      <c r="A278" s="386" t="s">
        <v>721</v>
      </c>
      <c r="B278" s="1047">
        <v>1.04</v>
      </c>
    </row>
    <row r="279" spans="1:2" ht="21">
      <c r="A279" s="386" t="s">
        <v>576</v>
      </c>
      <c r="B279" s="1047">
        <v>1.0401</v>
      </c>
    </row>
    <row r="280" spans="1:2" ht="21">
      <c r="A280" s="386" t="s">
        <v>2413</v>
      </c>
      <c r="B280" s="1047">
        <v>1.04</v>
      </c>
    </row>
    <row r="281" spans="1:2" ht="21">
      <c r="A281" s="386" t="s">
        <v>775</v>
      </c>
      <c r="B281" s="1047">
        <v>1.04</v>
      </c>
    </row>
    <row r="282" spans="1:2" ht="21">
      <c r="A282" s="386" t="s">
        <v>184</v>
      </c>
      <c r="B282" s="1047">
        <v>1.1089</v>
      </c>
    </row>
    <row r="283" spans="1:2" ht="21">
      <c r="A283" s="386" t="s">
        <v>1186</v>
      </c>
      <c r="B283" s="1047">
        <v>1.17</v>
      </c>
    </row>
    <row r="284" spans="1:2" ht="21">
      <c r="A284" s="386" t="s">
        <v>2098</v>
      </c>
      <c r="B284" s="1047">
        <v>1.04</v>
      </c>
    </row>
    <row r="285" spans="1:2" ht="21">
      <c r="A285" s="386" t="s">
        <v>1888</v>
      </c>
      <c r="B285" s="1047">
        <v>1.17</v>
      </c>
    </row>
    <row r="286" spans="1:2" ht="21">
      <c r="A286" s="386" t="s">
        <v>1517</v>
      </c>
      <c r="B286" s="1047">
        <v>1.0901000000000001</v>
      </c>
    </row>
    <row r="287" spans="1:2" ht="21">
      <c r="A287" s="386" t="s">
        <v>1151</v>
      </c>
      <c r="B287" s="1047">
        <v>0.97609999999999997</v>
      </c>
    </row>
    <row r="288" spans="1:2" ht="21">
      <c r="A288" s="386" t="s">
        <v>2414</v>
      </c>
      <c r="B288" s="1047">
        <v>1.04</v>
      </c>
    </row>
    <row r="289" spans="1:2" ht="21">
      <c r="A289" s="386" t="s">
        <v>2415</v>
      </c>
      <c r="B289" s="1047">
        <v>1.04</v>
      </c>
    </row>
    <row r="290" spans="1:2" ht="21">
      <c r="A290" s="386" t="s">
        <v>1511</v>
      </c>
      <c r="B290" s="1047">
        <v>1.04</v>
      </c>
    </row>
    <row r="291" spans="1:2" ht="21">
      <c r="A291" s="386" t="s">
        <v>1830</v>
      </c>
      <c r="B291" s="1047">
        <v>1.04</v>
      </c>
    </row>
    <row r="292" spans="1:2" ht="21">
      <c r="A292" s="386" t="s">
        <v>1831</v>
      </c>
      <c r="B292" s="1047">
        <v>1.04</v>
      </c>
    </row>
    <row r="293" spans="1:2" ht="21">
      <c r="A293" s="386" t="s">
        <v>1232</v>
      </c>
      <c r="B293" s="1047">
        <v>1.04</v>
      </c>
    </row>
    <row r="294" spans="1:2" ht="21">
      <c r="A294" s="386" t="s">
        <v>1832</v>
      </c>
      <c r="B294" s="1047">
        <v>1.04</v>
      </c>
    </row>
    <row r="295" spans="1:2" ht="21">
      <c r="A295" s="386" t="s">
        <v>201</v>
      </c>
      <c r="B295" s="1047">
        <v>1.04</v>
      </c>
    </row>
    <row r="296" spans="1:2" ht="21">
      <c r="A296" s="386" t="s">
        <v>1834</v>
      </c>
      <c r="B296" s="1047">
        <v>1.04</v>
      </c>
    </row>
    <row r="297" spans="1:2" ht="21">
      <c r="A297" s="386" t="s">
        <v>1842</v>
      </c>
      <c r="B297" s="1047">
        <v>0.96179999999999999</v>
      </c>
    </row>
    <row r="298" spans="1:2" ht="21">
      <c r="A298" s="386" t="s">
        <v>202</v>
      </c>
      <c r="B298" s="1047">
        <v>0.99</v>
      </c>
    </row>
    <row r="299" spans="1:2" ht="21">
      <c r="A299" s="386" t="s">
        <v>203</v>
      </c>
      <c r="B299" s="1047">
        <v>1.0401</v>
      </c>
    </row>
    <row r="300" spans="1:2" ht="21">
      <c r="A300" s="386" t="s">
        <v>1233</v>
      </c>
      <c r="B300" s="1047">
        <v>1.04</v>
      </c>
    </row>
    <row r="301" spans="1:2" ht="21">
      <c r="A301" s="386" t="s">
        <v>722</v>
      </c>
      <c r="B301" s="1047">
        <v>1.17</v>
      </c>
    </row>
    <row r="302" spans="1:2" ht="21">
      <c r="A302" s="386" t="s">
        <v>204</v>
      </c>
      <c r="B302" s="1047">
        <v>1.04</v>
      </c>
    </row>
    <row r="303" spans="1:2" ht="21">
      <c r="A303" s="386" t="s">
        <v>205</v>
      </c>
      <c r="B303" s="1047">
        <v>1.17</v>
      </c>
    </row>
    <row r="304" spans="1:2" ht="21">
      <c r="A304" s="386" t="s">
        <v>1741</v>
      </c>
      <c r="B304" s="1047">
        <v>1.04</v>
      </c>
    </row>
    <row r="305" spans="1:2" ht="21">
      <c r="A305" s="386" t="s">
        <v>1742</v>
      </c>
      <c r="B305" s="1047">
        <v>1.17</v>
      </c>
    </row>
    <row r="306" spans="1:2" ht="21">
      <c r="A306" s="386" t="s">
        <v>1234</v>
      </c>
      <c r="B306" s="1047">
        <v>1.17</v>
      </c>
    </row>
    <row r="307" spans="1:2" ht="21">
      <c r="A307" s="386" t="s">
        <v>2571</v>
      </c>
      <c r="B307" s="1047">
        <v>1.17</v>
      </c>
    </row>
    <row r="308" spans="1:2" ht="21">
      <c r="A308" s="386" t="s">
        <v>1697</v>
      </c>
      <c r="B308" s="1047">
        <v>1.04</v>
      </c>
    </row>
    <row r="309" spans="1:2" ht="21">
      <c r="A309" s="386" t="s">
        <v>1698</v>
      </c>
      <c r="B309" s="1047">
        <v>1.04</v>
      </c>
    </row>
    <row r="310" spans="1:2" ht="21">
      <c r="A310" s="386" t="s">
        <v>921</v>
      </c>
      <c r="B310" s="1047">
        <v>1.04</v>
      </c>
    </row>
    <row r="311" spans="1:2" ht="21">
      <c r="A311" s="386" t="s">
        <v>65</v>
      </c>
      <c r="B311" s="1047">
        <v>1.06</v>
      </c>
    </row>
    <row r="312" spans="1:2" ht="21">
      <c r="A312" s="386" t="s">
        <v>754</v>
      </c>
      <c r="B312" s="1047">
        <v>1.17</v>
      </c>
    </row>
    <row r="313" spans="1:2" ht="21">
      <c r="A313" s="386" t="s">
        <v>2505</v>
      </c>
      <c r="B313" s="1047">
        <v>1.17</v>
      </c>
    </row>
    <row r="314" spans="1:2" ht="21">
      <c r="A314" s="386" t="s">
        <v>627</v>
      </c>
      <c r="B314" s="1047">
        <v>1.17</v>
      </c>
    </row>
    <row r="315" spans="1:2" ht="21">
      <c r="A315" s="386" t="s">
        <v>628</v>
      </c>
      <c r="B315" s="1047">
        <v>1.1399999999999999</v>
      </c>
    </row>
    <row r="316" spans="1:2" ht="21">
      <c r="A316" s="386" t="s">
        <v>629</v>
      </c>
      <c r="B316" s="1047">
        <v>1.17</v>
      </c>
    </row>
    <row r="317" spans="1:2" ht="21">
      <c r="A317" s="386" t="s">
        <v>630</v>
      </c>
      <c r="B317" s="1047">
        <v>1.0401</v>
      </c>
    </row>
    <row r="318" spans="1:2" ht="21">
      <c r="A318" s="386" t="s">
        <v>2541</v>
      </c>
      <c r="B318" s="1047">
        <v>1.04</v>
      </c>
    </row>
    <row r="319" spans="1:2" ht="21">
      <c r="A319" s="386" t="s">
        <v>1422</v>
      </c>
      <c r="B319" s="1047">
        <v>1.04</v>
      </c>
    </row>
    <row r="320" spans="1:2" ht="21">
      <c r="A320" s="386" t="s">
        <v>2318</v>
      </c>
      <c r="B320" s="1047">
        <v>1.0401</v>
      </c>
    </row>
    <row r="321" spans="1:2" ht="21">
      <c r="A321" s="386" t="s">
        <v>2013</v>
      </c>
      <c r="B321" s="1047">
        <v>0.99019999999999997</v>
      </c>
    </row>
    <row r="322" spans="1:2" ht="21">
      <c r="A322" s="386" t="s">
        <v>1303</v>
      </c>
      <c r="B322" s="1047">
        <v>1.1367</v>
      </c>
    </row>
    <row r="323" spans="1:2" ht="21">
      <c r="A323" s="386" t="s">
        <v>1919</v>
      </c>
      <c r="B323" s="1047">
        <v>1.04</v>
      </c>
    </row>
    <row r="324" spans="1:2" ht="21">
      <c r="A324" s="386" t="s">
        <v>1924</v>
      </c>
      <c r="B324" s="1047">
        <v>1.04</v>
      </c>
    </row>
    <row r="325" spans="1:2" ht="21">
      <c r="A325" s="386" t="s">
        <v>1925</v>
      </c>
      <c r="B325" s="1047">
        <v>0.92669999999999997</v>
      </c>
    </row>
    <row r="326" spans="1:2" ht="21">
      <c r="A326" s="386" t="s">
        <v>1235</v>
      </c>
      <c r="B326" s="1047">
        <v>1.04</v>
      </c>
    </row>
    <row r="327" spans="1:2" ht="21">
      <c r="A327" s="386" t="s">
        <v>2506</v>
      </c>
      <c r="B327" s="1047">
        <v>1.17</v>
      </c>
    </row>
    <row r="328" spans="1:2" ht="21">
      <c r="A328" s="386" t="s">
        <v>1926</v>
      </c>
      <c r="B328" s="1047">
        <v>1</v>
      </c>
    </row>
    <row r="329" spans="1:2" ht="21">
      <c r="A329" s="386" t="s">
        <v>2110</v>
      </c>
      <c r="B329" s="1047">
        <v>0.84670000000000001</v>
      </c>
    </row>
    <row r="330" spans="1:2" ht="21">
      <c r="A330" s="386" t="s">
        <v>2175</v>
      </c>
      <c r="B330" s="1047">
        <v>0.74</v>
      </c>
    </row>
    <row r="331" spans="1:2" ht="21">
      <c r="A331" s="386" t="s">
        <v>1993</v>
      </c>
      <c r="B331" s="1047">
        <v>1.04</v>
      </c>
    </row>
    <row r="332" spans="1:2" ht="21">
      <c r="A332" s="386" t="s">
        <v>2231</v>
      </c>
      <c r="B332" s="1047">
        <v>1.06</v>
      </c>
    </row>
    <row r="333" spans="1:2" ht="21">
      <c r="A333" s="386" t="s">
        <v>1866</v>
      </c>
      <c r="B333" s="1047">
        <v>1.17</v>
      </c>
    </row>
    <row r="334" spans="1:2" ht="21">
      <c r="A334" s="386" t="s">
        <v>761</v>
      </c>
      <c r="B334" s="1047">
        <v>1.04</v>
      </c>
    </row>
    <row r="335" spans="1:2" ht="21">
      <c r="A335" s="386" t="s">
        <v>762</v>
      </c>
      <c r="B335" s="1047">
        <v>1.04</v>
      </c>
    </row>
    <row r="336" spans="1:2" ht="21">
      <c r="A336" s="386" t="s">
        <v>2458</v>
      </c>
      <c r="B336" s="1047">
        <v>1.04</v>
      </c>
    </row>
    <row r="337" spans="1:2" ht="21">
      <c r="A337" s="386" t="s">
        <v>491</v>
      </c>
      <c r="B337" s="1047">
        <v>1.04</v>
      </c>
    </row>
    <row r="338" spans="1:2" ht="21">
      <c r="A338" s="386" t="s">
        <v>2459</v>
      </c>
      <c r="B338" s="1047">
        <v>1.04</v>
      </c>
    </row>
    <row r="339" spans="1:2" ht="21">
      <c r="A339" s="386" t="s">
        <v>1424</v>
      </c>
      <c r="B339" s="1047">
        <v>1.04</v>
      </c>
    </row>
    <row r="340" spans="1:2" ht="21">
      <c r="A340" s="386" t="s">
        <v>1668</v>
      </c>
      <c r="B340" s="1047">
        <v>1.0401</v>
      </c>
    </row>
    <row r="341" spans="1:2" ht="21">
      <c r="A341" s="386" t="s">
        <v>1669</v>
      </c>
      <c r="B341" s="1047">
        <v>1.0682</v>
      </c>
    </row>
    <row r="342" spans="1:2" ht="21">
      <c r="A342" s="386" t="s">
        <v>1873</v>
      </c>
      <c r="B342" s="1047">
        <v>0.92669999999999997</v>
      </c>
    </row>
    <row r="343" spans="1:2" ht="21">
      <c r="A343" s="386" t="s">
        <v>1451</v>
      </c>
      <c r="B343" s="1047">
        <v>1.04</v>
      </c>
    </row>
    <row r="344" spans="1:2" ht="21">
      <c r="A344" s="386" t="s">
        <v>2160</v>
      </c>
      <c r="B344" s="1047">
        <v>1.04</v>
      </c>
    </row>
    <row r="345" spans="1:2" ht="21">
      <c r="A345" s="386" t="s">
        <v>2161</v>
      </c>
      <c r="B345" s="1047">
        <v>1.0370999999999999</v>
      </c>
    </row>
    <row r="346" spans="1:2" ht="21">
      <c r="A346" s="386" t="s">
        <v>2437</v>
      </c>
      <c r="B346" s="1047">
        <v>1.04</v>
      </c>
    </row>
    <row r="347" spans="1:2" ht="21">
      <c r="A347" s="386" t="s">
        <v>906</v>
      </c>
      <c r="B347" s="1047">
        <v>1.04</v>
      </c>
    </row>
    <row r="348" spans="1:2" ht="21">
      <c r="A348" s="386" t="s">
        <v>2438</v>
      </c>
      <c r="B348" s="1047">
        <v>0.94</v>
      </c>
    </row>
    <row r="349" spans="1:2" ht="21">
      <c r="A349" s="386" t="s">
        <v>2439</v>
      </c>
      <c r="B349" s="1047">
        <v>1.04</v>
      </c>
    </row>
    <row r="350" spans="1:2" ht="21">
      <c r="A350" s="386" t="s">
        <v>1852</v>
      </c>
      <c r="B350" s="1047">
        <v>1.04</v>
      </c>
    </row>
    <row r="351" spans="1:2" ht="21">
      <c r="A351" s="386" t="s">
        <v>1853</v>
      </c>
      <c r="B351" s="1047">
        <v>1.04</v>
      </c>
    </row>
    <row r="352" spans="1:2" ht="21">
      <c r="A352" s="386" t="s">
        <v>2021</v>
      </c>
      <c r="B352" s="1047">
        <v>1.04</v>
      </c>
    </row>
    <row r="353" spans="1:2" ht="21">
      <c r="A353" s="386" t="s">
        <v>2033</v>
      </c>
      <c r="B353" s="1047">
        <v>0.97</v>
      </c>
    </row>
    <row r="354" spans="1:2" ht="21">
      <c r="A354" s="386" t="s">
        <v>1684</v>
      </c>
      <c r="B354" s="1047">
        <v>1.17</v>
      </c>
    </row>
    <row r="355" spans="1:2" ht="21">
      <c r="A355" s="386" t="s">
        <v>981</v>
      </c>
      <c r="B355" s="1047">
        <v>1.17</v>
      </c>
    </row>
    <row r="356" spans="1:2" ht="21">
      <c r="A356" s="386" t="s">
        <v>982</v>
      </c>
      <c r="B356" s="1047">
        <v>1.17</v>
      </c>
    </row>
    <row r="357" spans="1:2" ht="21">
      <c r="A357" s="386" t="s">
        <v>1115</v>
      </c>
      <c r="B357" s="1047">
        <v>1.17</v>
      </c>
    </row>
    <row r="358" spans="1:2" ht="21">
      <c r="A358" s="386" t="s">
        <v>793</v>
      </c>
      <c r="B358" s="1047">
        <v>1.04</v>
      </c>
    </row>
    <row r="359" spans="1:2" ht="21">
      <c r="A359" s="386" t="s">
        <v>794</v>
      </c>
      <c r="B359" s="1047">
        <v>1.04</v>
      </c>
    </row>
    <row r="360" spans="1:2" ht="21">
      <c r="A360" s="386" t="s">
        <v>1236</v>
      </c>
      <c r="B360" s="1047">
        <v>1.1200000000000001</v>
      </c>
    </row>
    <row r="361" spans="1:2" ht="21">
      <c r="A361" s="386" t="s">
        <v>1237</v>
      </c>
      <c r="B361" s="1047">
        <v>1.17</v>
      </c>
    </row>
    <row r="362" spans="1:2" ht="21">
      <c r="A362" s="386" t="s">
        <v>1463</v>
      </c>
      <c r="B362" s="1047">
        <v>1.17</v>
      </c>
    </row>
    <row r="363" spans="1:2" ht="21">
      <c r="A363" s="386" t="s">
        <v>215</v>
      </c>
      <c r="B363" s="1047">
        <v>1.04</v>
      </c>
    </row>
    <row r="364" spans="1:2" ht="21">
      <c r="A364" s="386" t="s">
        <v>2582</v>
      </c>
      <c r="B364" s="1047">
        <v>1.04</v>
      </c>
    </row>
    <row r="365" spans="1:2" ht="21">
      <c r="A365" s="386" t="s">
        <v>1308</v>
      </c>
      <c r="B365" s="1047">
        <v>1.17</v>
      </c>
    </row>
    <row r="366" spans="1:2" ht="21">
      <c r="A366" s="386" t="s">
        <v>1286</v>
      </c>
      <c r="B366" s="1047">
        <v>1.04</v>
      </c>
    </row>
    <row r="367" spans="1:2" ht="21">
      <c r="A367" s="386" t="s">
        <v>1287</v>
      </c>
      <c r="B367" s="1047">
        <v>1.17</v>
      </c>
    </row>
    <row r="368" spans="1:2" ht="21">
      <c r="A368" s="386" t="s">
        <v>1288</v>
      </c>
      <c r="B368" s="1047">
        <v>1.04</v>
      </c>
    </row>
    <row r="369" spans="1:2" ht="21">
      <c r="A369" s="386" t="s">
        <v>457</v>
      </c>
      <c r="B369" s="1047">
        <v>1.04</v>
      </c>
    </row>
    <row r="370" spans="1:2" ht="21">
      <c r="A370" s="386" t="s">
        <v>2189</v>
      </c>
      <c r="B370" s="1047">
        <v>1.17</v>
      </c>
    </row>
    <row r="371" spans="1:2" ht="21">
      <c r="A371" s="386" t="s">
        <v>2639</v>
      </c>
      <c r="B371" s="1047">
        <v>1.04</v>
      </c>
    </row>
    <row r="372" spans="1:2" ht="21">
      <c r="A372" s="386" t="s">
        <v>1509</v>
      </c>
      <c r="B372" s="1047">
        <v>1.17</v>
      </c>
    </row>
    <row r="373" spans="1:2" ht="21">
      <c r="A373" s="386" t="s">
        <v>2640</v>
      </c>
      <c r="B373" s="1047">
        <v>1.17</v>
      </c>
    </row>
    <row r="374" spans="1:2" ht="21">
      <c r="A374" s="386" t="s">
        <v>2641</v>
      </c>
      <c r="B374" s="1047">
        <v>1.04</v>
      </c>
    </row>
    <row r="375" spans="1:2" ht="21">
      <c r="A375" s="386" t="s">
        <v>2642</v>
      </c>
      <c r="B375" s="1047">
        <v>1.04</v>
      </c>
    </row>
    <row r="376" spans="1:2" ht="21">
      <c r="A376" s="386" t="s">
        <v>2643</v>
      </c>
      <c r="B376" s="1047">
        <v>1.04</v>
      </c>
    </row>
    <row r="377" spans="1:2" ht="21">
      <c r="A377" s="386" t="s">
        <v>2142</v>
      </c>
      <c r="B377" s="1047">
        <v>1.04</v>
      </c>
    </row>
    <row r="378" spans="1:2" ht="21">
      <c r="A378" s="386" t="s">
        <v>495</v>
      </c>
      <c r="B378" s="1047">
        <v>1.04</v>
      </c>
    </row>
    <row r="379" spans="1:2" ht="21">
      <c r="A379" s="386" t="s">
        <v>493</v>
      </c>
      <c r="B379" s="1047">
        <v>1.04</v>
      </c>
    </row>
    <row r="380" spans="1:2" ht="21">
      <c r="A380" s="386" t="s">
        <v>2143</v>
      </c>
      <c r="B380" s="1047">
        <v>1.1399999999999999</v>
      </c>
    </row>
    <row r="381" spans="1:2" ht="21">
      <c r="A381" s="386" t="s">
        <v>349</v>
      </c>
      <c r="B381" s="1047">
        <v>1.17</v>
      </c>
    </row>
    <row r="382" spans="1:2" ht="21">
      <c r="A382" s="386" t="s">
        <v>2144</v>
      </c>
      <c r="B382" s="1047">
        <v>1.17</v>
      </c>
    </row>
    <row r="383" spans="1:2" ht="21">
      <c r="A383" s="386" t="s">
        <v>2145</v>
      </c>
      <c r="B383" s="1047">
        <v>1.17</v>
      </c>
    </row>
    <row r="384" spans="1:2" ht="21">
      <c r="A384" s="386" t="s">
        <v>505</v>
      </c>
      <c r="B384" s="1047">
        <v>1.04</v>
      </c>
    </row>
    <row r="385" spans="1:2" ht="21">
      <c r="A385" s="386" t="s">
        <v>1955</v>
      </c>
      <c r="B385" s="1047">
        <v>1.17</v>
      </c>
    </row>
    <row r="386" spans="1:2" ht="21">
      <c r="A386" s="386" t="s">
        <v>2072</v>
      </c>
      <c r="B386" s="1047">
        <v>1.04</v>
      </c>
    </row>
    <row r="387" spans="1:2" ht="21">
      <c r="A387" s="386" t="s">
        <v>2073</v>
      </c>
      <c r="B387" s="1047">
        <v>1.04</v>
      </c>
    </row>
    <row r="388" spans="1:2" ht="21">
      <c r="A388" s="386" t="s">
        <v>146</v>
      </c>
      <c r="B388" s="1047">
        <v>1.01</v>
      </c>
    </row>
    <row r="389" spans="1:2" ht="21">
      <c r="A389" s="386" t="s">
        <v>147</v>
      </c>
      <c r="B389" s="1047">
        <v>1.04</v>
      </c>
    </row>
    <row r="390" spans="1:2" ht="21">
      <c r="A390" s="386" t="s">
        <v>2507</v>
      </c>
      <c r="B390" s="1047">
        <v>1.17</v>
      </c>
    </row>
    <row r="391" spans="1:2" ht="21">
      <c r="A391" s="386" t="s">
        <v>2344</v>
      </c>
      <c r="B391" s="1047">
        <v>1.04</v>
      </c>
    </row>
    <row r="392" spans="1:2" ht="21">
      <c r="A392" s="386" t="s">
        <v>1120</v>
      </c>
      <c r="B392" s="1047">
        <v>1.04</v>
      </c>
    </row>
    <row r="393" spans="1:2" ht="21">
      <c r="A393" s="386" t="s">
        <v>1121</v>
      </c>
      <c r="B393" s="1047">
        <v>1.04</v>
      </c>
    </row>
    <row r="394" spans="1:2" ht="21">
      <c r="A394" s="386" t="s">
        <v>2106</v>
      </c>
      <c r="B394" s="1047">
        <v>1.04</v>
      </c>
    </row>
    <row r="395" spans="1:2" ht="21">
      <c r="A395" s="386" t="s">
        <v>2107</v>
      </c>
      <c r="B395" s="1047">
        <v>1.04</v>
      </c>
    </row>
    <row r="396" spans="1:2" ht="21">
      <c r="A396" s="386" t="s">
        <v>1020</v>
      </c>
      <c r="B396" s="1047">
        <v>1.04</v>
      </c>
    </row>
    <row r="397" spans="1:2" ht="21">
      <c r="A397" s="386" t="s">
        <v>1148</v>
      </c>
      <c r="B397" s="1047">
        <v>1.17</v>
      </c>
    </row>
    <row r="398" spans="1:2" ht="21">
      <c r="A398" s="386" t="s">
        <v>381</v>
      </c>
      <c r="B398" s="1047">
        <v>1.04</v>
      </c>
    </row>
    <row r="399" spans="1:2" ht="21">
      <c r="A399" s="386" t="s">
        <v>2285</v>
      </c>
      <c r="B399" s="1047">
        <v>1.04</v>
      </c>
    </row>
    <row r="400" spans="1:2" ht="21">
      <c r="A400" s="386" t="s">
        <v>1179</v>
      </c>
      <c r="B400" s="1047">
        <v>1.04</v>
      </c>
    </row>
    <row r="401" spans="1:2" ht="21">
      <c r="A401" s="386" t="s">
        <v>585</v>
      </c>
      <c r="B401" s="1047">
        <v>1.1334</v>
      </c>
    </row>
    <row r="402" spans="1:2" ht="21">
      <c r="A402" s="386" t="s">
        <v>194</v>
      </c>
      <c r="B402" s="1047">
        <v>1.125</v>
      </c>
    </row>
    <row r="403" spans="1:2" ht="21">
      <c r="A403" s="386" t="s">
        <v>2313</v>
      </c>
      <c r="B403" s="1047">
        <v>1.04</v>
      </c>
    </row>
    <row r="404" spans="1:2" ht="21">
      <c r="A404" s="386" t="s">
        <v>2404</v>
      </c>
      <c r="B404" s="1047">
        <v>1.17</v>
      </c>
    </row>
    <row r="405" spans="1:2" ht="21">
      <c r="A405" s="386" t="s">
        <v>2314</v>
      </c>
      <c r="B405" s="1047">
        <v>1.04</v>
      </c>
    </row>
    <row r="406" spans="1:2" ht="21">
      <c r="A406" s="386" t="s">
        <v>2166</v>
      </c>
      <c r="B406" s="1047">
        <v>1.2366999999999999</v>
      </c>
    </row>
    <row r="407" spans="1:2" ht="21">
      <c r="A407" s="386" t="s">
        <v>1428</v>
      </c>
      <c r="B407" s="1047">
        <v>1.2433000000000001</v>
      </c>
    </row>
    <row r="408" spans="1:2" ht="21">
      <c r="A408" s="386" t="s">
        <v>2020</v>
      </c>
      <c r="B408" s="1047">
        <v>1.04</v>
      </c>
    </row>
    <row r="409" spans="1:2" ht="21">
      <c r="A409" s="386" t="s">
        <v>2552</v>
      </c>
      <c r="B409" s="1047">
        <v>1.0266999999999999</v>
      </c>
    </row>
    <row r="410" spans="1:2" ht="21">
      <c r="A410" s="386" t="s">
        <v>1117</v>
      </c>
      <c r="B410" s="1047">
        <v>1.17</v>
      </c>
    </row>
    <row r="411" spans="1:2" ht="21">
      <c r="A411" s="386" t="s">
        <v>48</v>
      </c>
      <c r="B411" s="1047">
        <v>1.1266</v>
      </c>
    </row>
    <row r="412" spans="1:2" ht="21">
      <c r="A412" s="386" t="s">
        <v>55</v>
      </c>
      <c r="B412" s="1047">
        <v>1.04</v>
      </c>
    </row>
    <row r="413" spans="1:2" ht="21">
      <c r="A413" s="386" t="s">
        <v>2553</v>
      </c>
      <c r="B413" s="1047">
        <v>1.04</v>
      </c>
    </row>
    <row r="414" spans="1:2" ht="21">
      <c r="A414" s="386" t="s">
        <v>206</v>
      </c>
      <c r="B414" s="1047">
        <v>1.07</v>
      </c>
    </row>
    <row r="415" spans="1:2" ht="21">
      <c r="A415" s="386" t="s">
        <v>668</v>
      </c>
      <c r="B415" s="1047">
        <v>1.04</v>
      </c>
    </row>
    <row r="416" spans="1:2" ht="21">
      <c r="A416" s="386" t="s">
        <v>811</v>
      </c>
      <c r="B416" s="1047">
        <v>1.0900000000000001</v>
      </c>
    </row>
    <row r="417" spans="1:2" ht="21">
      <c r="A417" s="386" t="s">
        <v>1947</v>
      </c>
      <c r="B417" s="1047">
        <v>1.02</v>
      </c>
    </row>
    <row r="418" spans="1:2" ht="21">
      <c r="A418" s="386" t="s">
        <v>1948</v>
      </c>
      <c r="B418" s="1047">
        <v>1.17</v>
      </c>
    </row>
    <row r="419" spans="1:2" ht="21">
      <c r="A419" s="386" t="s">
        <v>867</v>
      </c>
      <c r="B419" s="1047">
        <v>1.04</v>
      </c>
    </row>
    <row r="420" spans="1:2" ht="21">
      <c r="A420" s="386" t="s">
        <v>1949</v>
      </c>
      <c r="B420" s="1047">
        <v>1.04</v>
      </c>
    </row>
    <row r="421" spans="1:2" ht="21">
      <c r="A421" s="386" t="s">
        <v>1500</v>
      </c>
      <c r="B421" s="1047">
        <v>1.04</v>
      </c>
    </row>
    <row r="422" spans="1:2" ht="21">
      <c r="A422" s="386" t="s">
        <v>1501</v>
      </c>
      <c r="B422" s="1047">
        <v>1.04</v>
      </c>
    </row>
    <row r="423" spans="1:2" ht="21">
      <c r="A423" s="386" t="s">
        <v>1502</v>
      </c>
      <c r="B423" s="1047">
        <v>1.04</v>
      </c>
    </row>
    <row r="424" spans="1:2" ht="21">
      <c r="A424" s="386" t="s">
        <v>1568</v>
      </c>
      <c r="B424" s="1047">
        <v>1.17</v>
      </c>
    </row>
    <row r="425" spans="1:2" ht="21">
      <c r="A425" s="386" t="s">
        <v>1569</v>
      </c>
      <c r="B425" s="1047">
        <v>1.04</v>
      </c>
    </row>
    <row r="426" spans="1:2" ht="21">
      <c r="A426" s="386" t="s">
        <v>497</v>
      </c>
      <c r="B426" s="1047">
        <v>1.04</v>
      </c>
    </row>
    <row r="427" spans="1:2" ht="21">
      <c r="A427" s="386" t="s">
        <v>465</v>
      </c>
      <c r="B427" s="1047">
        <v>1.04</v>
      </c>
    </row>
    <row r="428" spans="1:2" ht="21">
      <c r="A428" s="386" t="s">
        <v>466</v>
      </c>
      <c r="B428" s="1047">
        <v>1.0813999999999999</v>
      </c>
    </row>
    <row r="429" spans="1:2" ht="21">
      <c r="A429" s="386" t="s">
        <v>467</v>
      </c>
      <c r="B429" s="1047">
        <v>1.0833999999999999</v>
      </c>
    </row>
    <row r="430" spans="1:2" ht="21">
      <c r="A430" s="386" t="s">
        <v>468</v>
      </c>
      <c r="B430" s="1047">
        <v>1.04</v>
      </c>
    </row>
    <row r="431" spans="1:2" ht="21">
      <c r="A431" s="386" t="s">
        <v>1141</v>
      </c>
      <c r="B431" s="1047">
        <v>1.06</v>
      </c>
    </row>
    <row r="432" spans="1:2" ht="21">
      <c r="A432" s="386" t="s">
        <v>1488</v>
      </c>
      <c r="B432" s="1047">
        <v>1.04</v>
      </c>
    </row>
    <row r="433" spans="1:2" ht="21">
      <c r="A433" s="386" t="s">
        <v>1292</v>
      </c>
      <c r="B433" s="1047">
        <v>1.0900000000000001</v>
      </c>
    </row>
    <row r="434" spans="1:2" ht="21">
      <c r="A434" s="386" t="s">
        <v>1863</v>
      </c>
      <c r="B434" s="1047">
        <v>1.04</v>
      </c>
    </row>
    <row r="435" spans="1:2" ht="21">
      <c r="A435" s="386" t="s">
        <v>1703</v>
      </c>
      <c r="B435" s="1047">
        <v>0.93979999999999997</v>
      </c>
    </row>
    <row r="436" spans="1:2" ht="21">
      <c r="A436" s="386" t="s">
        <v>1704</v>
      </c>
      <c r="B436" s="1047">
        <v>1.0374000000000001</v>
      </c>
    </row>
    <row r="437" spans="1:2" ht="21">
      <c r="A437" s="386" t="s">
        <v>2544</v>
      </c>
      <c r="B437" s="1047">
        <v>1.17</v>
      </c>
    </row>
    <row r="438" spans="1:2" ht="21">
      <c r="A438" s="386" t="s">
        <v>2519</v>
      </c>
      <c r="B438" s="1047">
        <v>1.04</v>
      </c>
    </row>
    <row r="439" spans="1:2" ht="21">
      <c r="A439" s="386" t="s">
        <v>2007</v>
      </c>
      <c r="B439" s="1047">
        <v>1.04</v>
      </c>
    </row>
    <row r="440" spans="1:2" ht="21">
      <c r="A440" s="386" t="s">
        <v>63</v>
      </c>
      <c r="B440" s="1047">
        <v>0.99</v>
      </c>
    </row>
    <row r="441" spans="1:2" ht="21">
      <c r="A441" s="386" t="s">
        <v>1518</v>
      </c>
      <c r="B441" s="1047">
        <v>1.17</v>
      </c>
    </row>
    <row r="442" spans="1:2" ht="21">
      <c r="A442" s="386" t="s">
        <v>868</v>
      </c>
      <c r="B442" s="1047">
        <v>1.04</v>
      </c>
    </row>
    <row r="443" spans="1:2" ht="21">
      <c r="A443" s="386" t="s">
        <v>64</v>
      </c>
      <c r="B443" s="1047">
        <v>1.04</v>
      </c>
    </row>
    <row r="444" spans="1:2" ht="21">
      <c r="A444" s="386" t="s">
        <v>2127</v>
      </c>
      <c r="B444" s="1047">
        <v>1.17</v>
      </c>
    </row>
    <row r="445" spans="1:2" ht="21">
      <c r="A445" s="386" t="s">
        <v>770</v>
      </c>
      <c r="B445" s="1047">
        <v>1.17</v>
      </c>
    </row>
    <row r="446" spans="1:2" ht="21">
      <c r="A446" s="386" t="s">
        <v>772</v>
      </c>
      <c r="B446" s="1047">
        <v>1.17</v>
      </c>
    </row>
    <row r="447" spans="1:2" ht="21">
      <c r="A447" s="386" t="s">
        <v>1865</v>
      </c>
      <c r="B447" s="1047">
        <v>1.17</v>
      </c>
    </row>
    <row r="448" spans="1:2" ht="21">
      <c r="A448" s="386" t="s">
        <v>2529</v>
      </c>
      <c r="B448" s="1047">
        <v>1.04</v>
      </c>
    </row>
    <row r="449" spans="1:2" ht="21">
      <c r="A449" s="386" t="s">
        <v>2532</v>
      </c>
      <c r="B449" s="1047">
        <v>1.04</v>
      </c>
    </row>
    <row r="450" spans="1:2" ht="21">
      <c r="A450" s="386" t="s">
        <v>2538</v>
      </c>
      <c r="B450" s="1047">
        <v>1.17</v>
      </c>
    </row>
    <row r="451" spans="1:2" ht="21">
      <c r="A451" s="386" t="s">
        <v>211</v>
      </c>
      <c r="B451" s="1047">
        <v>1.17</v>
      </c>
    </row>
    <row r="452" spans="1:2" ht="21">
      <c r="A452" s="386" t="s">
        <v>1067</v>
      </c>
      <c r="B452" s="1047">
        <v>1.04</v>
      </c>
    </row>
    <row r="453" spans="1:2" ht="21">
      <c r="A453" s="386" t="s">
        <v>1562</v>
      </c>
      <c r="B453" s="1047">
        <v>1.17</v>
      </c>
    </row>
    <row r="454" spans="1:2" ht="21">
      <c r="A454" s="386" t="s">
        <v>58</v>
      </c>
      <c r="B454" s="1047">
        <v>1.17</v>
      </c>
    </row>
    <row r="455" spans="1:2" ht="21">
      <c r="A455" s="386" t="s">
        <v>723</v>
      </c>
      <c r="B455" s="1047">
        <v>1.1396999999999999</v>
      </c>
    </row>
    <row r="456" spans="1:2" ht="21">
      <c r="A456" s="386" t="s">
        <v>60</v>
      </c>
      <c r="B456" s="1047">
        <v>1.17</v>
      </c>
    </row>
    <row r="457" spans="1:2" ht="21">
      <c r="A457" s="386" t="s">
        <v>512</v>
      </c>
      <c r="B457" s="1047">
        <v>1.17</v>
      </c>
    </row>
    <row r="458" spans="1:2" ht="21">
      <c r="A458" s="386" t="s">
        <v>1522</v>
      </c>
      <c r="B458" s="1047">
        <v>1.04</v>
      </c>
    </row>
    <row r="459" spans="1:2" ht="21">
      <c r="A459" s="386" t="s">
        <v>149</v>
      </c>
      <c r="B459" s="1047">
        <v>1.081</v>
      </c>
    </row>
    <row r="460" spans="1:2" ht="21">
      <c r="A460" s="386" t="s">
        <v>2509</v>
      </c>
      <c r="B460" s="1047">
        <v>1.17</v>
      </c>
    </row>
    <row r="461" spans="1:2" ht="21">
      <c r="A461" s="386" t="s">
        <v>2402</v>
      </c>
      <c r="B461" s="1047">
        <v>1.17</v>
      </c>
    </row>
    <row r="462" spans="1:2" ht="21">
      <c r="A462" s="386" t="s">
        <v>1867</v>
      </c>
      <c r="B462" s="1047">
        <v>1.1499999999999999</v>
      </c>
    </row>
    <row r="463" spans="1:2" ht="21">
      <c r="A463" s="386" t="s">
        <v>513</v>
      </c>
      <c r="B463" s="1047">
        <v>1.04</v>
      </c>
    </row>
    <row r="464" spans="1:2" ht="21">
      <c r="A464" s="386" t="s">
        <v>42</v>
      </c>
      <c r="B464" s="1047">
        <v>1.17</v>
      </c>
    </row>
    <row r="465" spans="1:2" ht="21">
      <c r="A465" s="386" t="s">
        <v>150</v>
      </c>
      <c r="B465" s="1047">
        <v>1.04</v>
      </c>
    </row>
    <row r="466" spans="1:2" ht="21">
      <c r="A466" s="386" t="s">
        <v>521</v>
      </c>
      <c r="B466" s="1047">
        <v>1.17</v>
      </c>
    </row>
    <row r="467" spans="1:2" ht="21">
      <c r="A467" s="386" t="s">
        <v>1563</v>
      </c>
      <c r="B467" s="1047">
        <v>1.17</v>
      </c>
    </row>
    <row r="468" spans="1:2" ht="21">
      <c r="A468" s="386" t="s">
        <v>522</v>
      </c>
      <c r="B468" s="1047">
        <v>1.1432</v>
      </c>
    </row>
    <row r="469" spans="1:2" ht="21">
      <c r="A469" s="386" t="s">
        <v>1540</v>
      </c>
      <c r="B469" s="1047">
        <v>1.17</v>
      </c>
    </row>
    <row r="470" spans="1:2" ht="21">
      <c r="A470" s="386" t="s">
        <v>523</v>
      </c>
      <c r="B470" s="1047">
        <v>1.17</v>
      </c>
    </row>
    <row r="471" spans="1:2" ht="21">
      <c r="A471" s="386" t="s">
        <v>1564</v>
      </c>
      <c r="B471" s="1047">
        <v>1.17</v>
      </c>
    </row>
    <row r="472" spans="1:2" ht="21">
      <c r="A472" s="386" t="s">
        <v>1565</v>
      </c>
      <c r="B472" s="1047">
        <v>1.04</v>
      </c>
    </row>
    <row r="473" spans="1:2" ht="21">
      <c r="A473" s="386" t="s">
        <v>1241</v>
      </c>
      <c r="B473" s="1047">
        <v>1.17</v>
      </c>
    </row>
    <row r="474" spans="1:2" ht="21">
      <c r="A474" s="386" t="s">
        <v>1843</v>
      </c>
      <c r="B474" s="1047">
        <v>1.17</v>
      </c>
    </row>
    <row r="475" spans="1:2" ht="21">
      <c r="A475" s="386" t="s">
        <v>1242</v>
      </c>
      <c r="B475" s="1047">
        <v>1.04</v>
      </c>
    </row>
    <row r="476" spans="1:2" ht="21">
      <c r="A476" s="386" t="s">
        <v>1243</v>
      </c>
      <c r="B476" s="1047">
        <v>1.17</v>
      </c>
    </row>
    <row r="477" spans="1:2" ht="21">
      <c r="A477" s="386" t="s">
        <v>1244</v>
      </c>
      <c r="B477" s="1047">
        <v>1.04</v>
      </c>
    </row>
    <row r="478" spans="1:2" ht="21">
      <c r="A478" s="386" t="s">
        <v>1772</v>
      </c>
      <c r="B478" s="1047">
        <v>1.17</v>
      </c>
    </row>
    <row r="479" spans="1:2" ht="21">
      <c r="A479" s="386" t="s">
        <v>1516</v>
      </c>
      <c r="B479" s="1047">
        <v>1.04</v>
      </c>
    </row>
    <row r="480" spans="1:2" ht="21">
      <c r="A480" s="386" t="s">
        <v>180</v>
      </c>
      <c r="B480" s="1047">
        <v>1.04</v>
      </c>
    </row>
    <row r="481" spans="1:2" ht="21">
      <c r="A481" s="386" t="s">
        <v>1497</v>
      </c>
      <c r="B481" s="1047">
        <v>1.17</v>
      </c>
    </row>
    <row r="482" spans="1:2" ht="21">
      <c r="A482" s="386" t="s">
        <v>181</v>
      </c>
      <c r="B482" s="1047">
        <v>1.04</v>
      </c>
    </row>
    <row r="483" spans="1:2" ht="21">
      <c r="A483" s="386" t="s">
        <v>1943</v>
      </c>
      <c r="B483" s="1047">
        <v>1.17</v>
      </c>
    </row>
    <row r="484" spans="1:2" ht="21">
      <c r="A484" s="386" t="s">
        <v>182</v>
      </c>
      <c r="B484" s="1047">
        <v>1.04</v>
      </c>
    </row>
    <row r="485" spans="1:2" ht="21">
      <c r="A485" s="386" t="s">
        <v>183</v>
      </c>
      <c r="B485" s="1047">
        <v>1.04</v>
      </c>
    </row>
    <row r="486" spans="1:2" ht="21">
      <c r="A486" s="386" t="s">
        <v>1498</v>
      </c>
      <c r="B486" s="1047">
        <v>1.17</v>
      </c>
    </row>
    <row r="487" spans="1:2" ht="21">
      <c r="A487" s="386" t="s">
        <v>1421</v>
      </c>
      <c r="B487" s="1047">
        <v>1.04</v>
      </c>
    </row>
    <row r="488" spans="1:2" ht="21">
      <c r="A488" s="386" t="s">
        <v>1261</v>
      </c>
      <c r="B488" s="1047">
        <v>1.04</v>
      </c>
    </row>
    <row r="489" spans="1:2" ht="21">
      <c r="A489" s="386" t="s">
        <v>978</v>
      </c>
      <c r="B489" s="1047">
        <v>1.0256000000000001</v>
      </c>
    </row>
    <row r="490" spans="1:2" ht="21">
      <c r="A490" s="386" t="s">
        <v>979</v>
      </c>
      <c r="B490" s="1047">
        <v>1.04</v>
      </c>
    </row>
    <row r="491" spans="1:2" ht="21">
      <c r="A491" s="386" t="s">
        <v>899</v>
      </c>
      <c r="B491" s="1047">
        <v>1.04</v>
      </c>
    </row>
    <row r="492" spans="1:2" ht="21">
      <c r="A492" s="386" t="s">
        <v>1797</v>
      </c>
      <c r="B492" s="1047">
        <v>1.0505</v>
      </c>
    </row>
    <row r="493" spans="1:2" ht="21">
      <c r="A493" s="386" t="s">
        <v>2677</v>
      </c>
      <c r="B493" s="1047">
        <v>1.04</v>
      </c>
    </row>
    <row r="494" spans="1:2" ht="21">
      <c r="A494" s="386" t="s">
        <v>2678</v>
      </c>
      <c r="B494" s="1047">
        <v>1.04</v>
      </c>
    </row>
    <row r="495" spans="1:2" ht="21">
      <c r="A495" s="386" t="s">
        <v>1331</v>
      </c>
      <c r="B495" s="1047">
        <v>1.0314000000000001</v>
      </c>
    </row>
    <row r="496" spans="1:2" ht="21">
      <c r="A496" s="386" t="s">
        <v>2177</v>
      </c>
      <c r="B496" s="1047">
        <v>0.95050000000000001</v>
      </c>
    </row>
    <row r="497" spans="1:2" ht="21">
      <c r="A497" s="386" t="s">
        <v>1111</v>
      </c>
      <c r="B497" s="1047">
        <v>1.0401</v>
      </c>
    </row>
    <row r="498" spans="1:2" ht="21">
      <c r="A498" s="386" t="s">
        <v>1886</v>
      </c>
      <c r="B498" s="1047">
        <v>1.04</v>
      </c>
    </row>
    <row r="499" spans="1:2" ht="21">
      <c r="A499" s="386" t="s">
        <v>1112</v>
      </c>
      <c r="B499" s="1047">
        <v>1.17</v>
      </c>
    </row>
    <row r="500" spans="1:2" ht="21">
      <c r="A500" s="386" t="s">
        <v>1437</v>
      </c>
      <c r="B500" s="1047">
        <v>1.17</v>
      </c>
    </row>
    <row r="501" spans="1:2" ht="21">
      <c r="A501" s="386" t="s">
        <v>1058</v>
      </c>
      <c r="B501" s="1047">
        <v>1.04</v>
      </c>
    </row>
    <row r="502" spans="1:2" ht="21">
      <c r="A502" s="386" t="s">
        <v>1944</v>
      </c>
      <c r="B502" s="1047">
        <v>1.0401</v>
      </c>
    </row>
    <row r="503" spans="1:2" ht="21">
      <c r="A503" s="386" t="s">
        <v>1584</v>
      </c>
      <c r="B503" s="1047">
        <v>1.04</v>
      </c>
    </row>
    <row r="504" spans="1:2" ht="21">
      <c r="A504" s="386" t="s">
        <v>245</v>
      </c>
      <c r="B504" s="1047">
        <v>1.1259999999999999</v>
      </c>
    </row>
    <row r="505" spans="1:2" ht="21">
      <c r="A505" s="386" t="s">
        <v>1059</v>
      </c>
      <c r="B505" s="1047">
        <v>1.04</v>
      </c>
    </row>
    <row r="506" spans="1:2" ht="21">
      <c r="A506" s="386" t="s">
        <v>875</v>
      </c>
      <c r="B506" s="1047">
        <v>1.04</v>
      </c>
    </row>
    <row r="507" spans="1:2" ht="21">
      <c r="A507" s="386" t="s">
        <v>1844</v>
      </c>
      <c r="B507" s="1047">
        <v>1.17</v>
      </c>
    </row>
    <row r="508" spans="1:2" ht="21">
      <c r="A508" s="386" t="s">
        <v>1060</v>
      </c>
      <c r="B508" s="1047">
        <v>1.04</v>
      </c>
    </row>
    <row r="509" spans="1:2" ht="21">
      <c r="A509" s="386" t="s">
        <v>2140</v>
      </c>
      <c r="B509" s="1047">
        <v>1.04</v>
      </c>
    </row>
    <row r="510" spans="1:2" ht="21">
      <c r="A510" s="386" t="s">
        <v>2141</v>
      </c>
      <c r="B510" s="1047">
        <v>0.99570000000000003</v>
      </c>
    </row>
    <row r="511" spans="1:2" ht="21">
      <c r="A511" s="386" t="s">
        <v>1259</v>
      </c>
      <c r="B511" s="1047">
        <v>1.1200000000000001</v>
      </c>
    </row>
    <row r="512" spans="1:2" ht="21">
      <c r="A512" s="386" t="s">
        <v>1260</v>
      </c>
      <c r="B512" s="1047">
        <v>1.04</v>
      </c>
    </row>
    <row r="513" spans="1:2" ht="21">
      <c r="A513" s="386" t="s">
        <v>923</v>
      </c>
      <c r="B513" s="1047">
        <v>1.04</v>
      </c>
    </row>
    <row r="514" spans="1:2" ht="21">
      <c r="A514" s="386" t="s">
        <v>924</v>
      </c>
      <c r="B514" s="1047">
        <v>1.04</v>
      </c>
    </row>
    <row r="515" spans="1:2" ht="21">
      <c r="A515" s="386" t="s">
        <v>925</v>
      </c>
      <c r="B515" s="1047">
        <v>1.04</v>
      </c>
    </row>
    <row r="516" spans="1:2" ht="21">
      <c r="A516" s="386" t="s">
        <v>926</v>
      </c>
      <c r="B516" s="1047">
        <v>1.04</v>
      </c>
    </row>
    <row r="517" spans="1:2" ht="21">
      <c r="A517" s="386" t="s">
        <v>2577</v>
      </c>
      <c r="B517" s="1047">
        <v>1.17</v>
      </c>
    </row>
    <row r="518" spans="1:2" ht="21">
      <c r="A518" s="386" t="s">
        <v>502</v>
      </c>
      <c r="B518" s="1047">
        <v>1.17</v>
      </c>
    </row>
    <row r="519" spans="1:2" ht="21">
      <c r="A519" s="386" t="s">
        <v>2646</v>
      </c>
      <c r="B519" s="1047">
        <v>1.04</v>
      </c>
    </row>
    <row r="520" spans="1:2" ht="21">
      <c r="A520" s="386" t="s">
        <v>883</v>
      </c>
      <c r="B520" s="1047">
        <v>1.04</v>
      </c>
    </row>
    <row r="521" spans="1:2" ht="21">
      <c r="A521" s="386" t="s">
        <v>44</v>
      </c>
      <c r="B521" s="1047">
        <v>1.17</v>
      </c>
    </row>
    <row r="522" spans="1:2" ht="21">
      <c r="A522" s="386" t="s">
        <v>54</v>
      </c>
      <c r="B522" s="1047">
        <v>1.04</v>
      </c>
    </row>
    <row r="523" spans="1:2" ht="21">
      <c r="A523" s="386" t="s">
        <v>2647</v>
      </c>
      <c r="B523" s="1047">
        <v>1.17</v>
      </c>
    </row>
    <row r="524" spans="1:2" ht="21">
      <c r="A524" s="386" t="s">
        <v>2648</v>
      </c>
      <c r="B524" s="1047">
        <v>1.17</v>
      </c>
    </row>
    <row r="525" spans="1:2" ht="21">
      <c r="A525" s="386" t="s">
        <v>2649</v>
      </c>
      <c r="B525" s="1047">
        <v>1.04</v>
      </c>
    </row>
    <row r="526" spans="1:2" ht="21">
      <c r="A526" s="386" t="s">
        <v>2540</v>
      </c>
      <c r="B526" s="1047">
        <v>1.04</v>
      </c>
    </row>
    <row r="527" spans="1:2" ht="21">
      <c r="A527" s="386" t="s">
        <v>2292</v>
      </c>
      <c r="B527" s="1047">
        <v>1.04</v>
      </c>
    </row>
    <row r="528" spans="1:2" ht="21">
      <c r="A528" s="386" t="s">
        <v>2293</v>
      </c>
      <c r="B528" s="1047">
        <v>1.04</v>
      </c>
    </row>
    <row r="529" spans="1:2" ht="21">
      <c r="A529" s="386" t="s">
        <v>1325</v>
      </c>
      <c r="B529" s="1047">
        <v>1.04</v>
      </c>
    </row>
    <row r="530" spans="1:2" ht="21">
      <c r="A530" s="386" t="s">
        <v>1326</v>
      </c>
      <c r="B530" s="1047">
        <v>1.04</v>
      </c>
    </row>
    <row r="531" spans="1:2" ht="21">
      <c r="A531" s="386" t="s">
        <v>1309</v>
      </c>
      <c r="B531" s="1047">
        <v>1.17</v>
      </c>
    </row>
    <row r="532" spans="1:2" ht="21">
      <c r="A532" s="386" t="s">
        <v>1327</v>
      </c>
      <c r="B532" s="1047">
        <v>1.0401</v>
      </c>
    </row>
    <row r="533" spans="1:2" ht="21">
      <c r="A533" s="386" t="s">
        <v>2019</v>
      </c>
      <c r="B533" s="1047">
        <v>1.04</v>
      </c>
    </row>
    <row r="534" spans="1:2" ht="21">
      <c r="A534" s="386" t="s">
        <v>2323</v>
      </c>
      <c r="B534" s="1047">
        <v>1.04</v>
      </c>
    </row>
    <row r="535" spans="1:2" ht="21">
      <c r="A535" s="386" t="s">
        <v>1413</v>
      </c>
      <c r="B535" s="1047">
        <v>1.06</v>
      </c>
    </row>
    <row r="536" spans="1:2" ht="21">
      <c r="A536" s="386" t="s">
        <v>216</v>
      </c>
      <c r="B536" s="1047">
        <v>1.17</v>
      </c>
    </row>
    <row r="537" spans="1:2" ht="21">
      <c r="A537" s="386" t="s">
        <v>1328</v>
      </c>
      <c r="B537" s="1047">
        <v>1.04</v>
      </c>
    </row>
    <row r="538" spans="1:2" ht="21">
      <c r="A538" s="386" t="s">
        <v>195</v>
      </c>
      <c r="B538" s="1047">
        <v>1.04</v>
      </c>
    </row>
    <row r="539" spans="1:2" ht="21">
      <c r="A539" s="386" t="s">
        <v>1884</v>
      </c>
      <c r="B539" s="1047">
        <v>1.04</v>
      </c>
    </row>
    <row r="540" spans="1:2" ht="21">
      <c r="A540" s="386" t="s">
        <v>574</v>
      </c>
      <c r="B540" s="1047">
        <v>1.17</v>
      </c>
    </row>
    <row r="541" spans="1:2" ht="21">
      <c r="A541" s="386" t="s">
        <v>1798</v>
      </c>
      <c r="B541" s="1047">
        <v>1.04</v>
      </c>
    </row>
    <row r="542" spans="1:2" ht="21">
      <c r="A542" s="386" t="s">
        <v>45</v>
      </c>
      <c r="B542" s="1047">
        <v>1.1000000000000001</v>
      </c>
    </row>
    <row r="543" spans="1:2" ht="21">
      <c r="A543" s="386" t="s">
        <v>1329</v>
      </c>
      <c r="B543" s="1047">
        <v>1.17</v>
      </c>
    </row>
    <row r="544" spans="1:2" ht="21">
      <c r="A544" s="386" t="s">
        <v>2324</v>
      </c>
      <c r="B544" s="1047">
        <v>1.17</v>
      </c>
    </row>
    <row r="545" spans="1:2" ht="21">
      <c r="A545" s="386" t="s">
        <v>255</v>
      </c>
      <c r="B545" s="1047">
        <v>1.17</v>
      </c>
    </row>
    <row r="546" spans="1:2" ht="21">
      <c r="A546" s="386" t="s">
        <v>1263</v>
      </c>
      <c r="B546" s="1047">
        <v>0.9415</v>
      </c>
    </row>
    <row r="547" spans="1:2" ht="21">
      <c r="A547" s="386" t="s">
        <v>2097</v>
      </c>
      <c r="B547" s="1047">
        <v>1.17</v>
      </c>
    </row>
    <row r="548" spans="1:2" ht="21">
      <c r="A548" s="386" t="s">
        <v>1330</v>
      </c>
      <c r="B548" s="1047">
        <v>1.17</v>
      </c>
    </row>
    <row r="549" spans="1:2" ht="21">
      <c r="A549" s="386" t="s">
        <v>1862</v>
      </c>
      <c r="B549" s="1047">
        <v>1.17</v>
      </c>
    </row>
    <row r="550" spans="1:2" ht="21">
      <c r="A550" s="386" t="s">
        <v>2510</v>
      </c>
      <c r="B550" s="1047">
        <v>1.0518000000000001</v>
      </c>
    </row>
    <row r="551" spans="1:2" ht="21">
      <c r="A551" s="386" t="s">
        <v>259</v>
      </c>
      <c r="B551" s="1047">
        <v>1.17</v>
      </c>
    </row>
    <row r="552" spans="1:2" ht="21">
      <c r="A552" s="386" t="s">
        <v>47</v>
      </c>
      <c r="B552" s="1047">
        <v>1.04</v>
      </c>
    </row>
    <row r="553" spans="1:2" ht="21">
      <c r="A553" s="386" t="s">
        <v>2511</v>
      </c>
      <c r="B553" s="1047">
        <v>1.04</v>
      </c>
    </row>
    <row r="554" spans="1:2" ht="21">
      <c r="A554" s="386" t="s">
        <v>1153</v>
      </c>
      <c r="B554" s="1047">
        <v>1.04</v>
      </c>
    </row>
    <row r="555" spans="1:2" ht="21">
      <c r="A555" s="386" t="s">
        <v>1686</v>
      </c>
      <c r="B555" s="1047">
        <v>1.04</v>
      </c>
    </row>
    <row r="556" spans="1:2" ht="21">
      <c r="A556" s="386" t="s">
        <v>2403</v>
      </c>
      <c r="B556" s="1047">
        <v>1.04</v>
      </c>
    </row>
    <row r="557" spans="1:2" ht="21">
      <c r="A557" s="386" t="s">
        <v>1339</v>
      </c>
      <c r="B557" s="1047">
        <v>1.04</v>
      </c>
    </row>
    <row r="558" spans="1:2" ht="21">
      <c r="A558" s="386" t="s">
        <v>49</v>
      </c>
      <c r="B558" s="1047">
        <v>1.17</v>
      </c>
    </row>
    <row r="559" spans="1:2" ht="21">
      <c r="A559" s="386" t="s">
        <v>51</v>
      </c>
      <c r="B559" s="1047">
        <v>1.17</v>
      </c>
    </row>
    <row r="560" spans="1:2" ht="21">
      <c r="A560" s="386" t="s">
        <v>2554</v>
      </c>
      <c r="B560" s="1047">
        <v>1.04</v>
      </c>
    </row>
    <row r="561" spans="1:2" ht="21">
      <c r="A561" s="386" t="s">
        <v>2555</v>
      </c>
      <c r="B561" s="1047">
        <v>1.17</v>
      </c>
    </row>
    <row r="562" spans="1:2" ht="21">
      <c r="A562" s="386" t="s">
        <v>494</v>
      </c>
      <c r="B562" s="1047">
        <v>1.04</v>
      </c>
    </row>
    <row r="563" spans="1:2" ht="21">
      <c r="A563" s="386" t="s">
        <v>2556</v>
      </c>
      <c r="B563" s="1047">
        <v>1.04</v>
      </c>
    </row>
    <row r="564" spans="1:2" ht="21">
      <c r="A564" s="386" t="s">
        <v>1539</v>
      </c>
      <c r="B564" s="1047">
        <v>1.0149999999999999</v>
      </c>
    </row>
    <row r="565" spans="1:2" ht="21">
      <c r="A565" s="386" t="s">
        <v>2689</v>
      </c>
      <c r="B565" s="1047">
        <v>1.06</v>
      </c>
    </row>
    <row r="566" spans="1:2" ht="21">
      <c r="A566" s="386" t="s">
        <v>2320</v>
      </c>
      <c r="B566" s="1047">
        <v>1.0266999999999999</v>
      </c>
    </row>
    <row r="567" spans="1:2" ht="21">
      <c r="A567" s="386" t="s">
        <v>1541</v>
      </c>
      <c r="B567" s="1047">
        <v>1.04</v>
      </c>
    </row>
    <row r="568" spans="1:2" ht="21">
      <c r="A568" s="386" t="s">
        <v>2545</v>
      </c>
      <c r="B568" s="1047">
        <v>1.04</v>
      </c>
    </row>
    <row r="569" spans="1:2" ht="21">
      <c r="A569" s="386" t="s">
        <v>2546</v>
      </c>
      <c r="B569" s="1047">
        <v>1.04</v>
      </c>
    </row>
    <row r="570" spans="1:2" ht="21">
      <c r="A570" s="386" t="s">
        <v>487</v>
      </c>
      <c r="B570" s="1047">
        <v>1.04</v>
      </c>
    </row>
    <row r="571" spans="1:2" ht="21">
      <c r="A571" s="386" t="s">
        <v>2278</v>
      </c>
      <c r="B571" s="1047">
        <v>0.85</v>
      </c>
    </row>
    <row r="572" spans="1:2" ht="21">
      <c r="A572" s="386" t="s">
        <v>2279</v>
      </c>
      <c r="B572" s="1047">
        <v>0.95330000000000004</v>
      </c>
    </row>
    <row r="573" spans="1:2" ht="21">
      <c r="A573" s="386" t="s">
        <v>1534</v>
      </c>
      <c r="B573" s="1047">
        <v>1.03</v>
      </c>
    </row>
    <row r="574" spans="1:2" ht="21">
      <c r="A574" s="386" t="s">
        <v>1535</v>
      </c>
      <c r="B574" s="1047">
        <v>1.04</v>
      </c>
    </row>
    <row r="575" spans="1:2" ht="21">
      <c r="A575" s="386" t="s">
        <v>2512</v>
      </c>
      <c r="B575" s="1047">
        <v>1.17</v>
      </c>
    </row>
    <row r="576" spans="1:2" ht="21">
      <c r="A576" s="386" t="s">
        <v>393</v>
      </c>
      <c r="B576" s="1047">
        <v>1.17</v>
      </c>
    </row>
    <row r="577" spans="1:2" ht="21">
      <c r="A577" s="386" t="s">
        <v>394</v>
      </c>
      <c r="B577" s="1047">
        <v>1.04</v>
      </c>
    </row>
    <row r="578" spans="1:2" ht="21">
      <c r="A578" s="386" t="s">
        <v>395</v>
      </c>
      <c r="B578" s="1047">
        <v>1.04</v>
      </c>
    </row>
    <row r="579" spans="1:2" ht="21">
      <c r="A579" s="386" t="s">
        <v>2513</v>
      </c>
      <c r="B579" s="1047">
        <v>1.17</v>
      </c>
    </row>
    <row r="580" spans="1:2" ht="21">
      <c r="A580" s="386" t="s">
        <v>242</v>
      </c>
      <c r="B580" s="1047">
        <v>1.17</v>
      </c>
    </row>
    <row r="581" spans="1:2" ht="21">
      <c r="A581" s="386" t="s">
        <v>243</v>
      </c>
      <c r="B581" s="1047">
        <v>1.17</v>
      </c>
    </row>
    <row r="582" spans="1:2" ht="21">
      <c r="A582" s="386" t="s">
        <v>244</v>
      </c>
      <c r="B582" s="1047">
        <v>1.04</v>
      </c>
    </row>
    <row r="583" spans="1:2" ht="21">
      <c r="A583" s="386" t="s">
        <v>2325</v>
      </c>
      <c r="B583" s="1047">
        <v>1.04</v>
      </c>
    </row>
    <row r="584" spans="1:2" ht="21">
      <c r="A584" s="386" t="s">
        <v>2023</v>
      </c>
      <c r="B584" s="1047">
        <v>1.17</v>
      </c>
    </row>
    <row r="585" spans="1:2" ht="21">
      <c r="A585" s="386" t="s">
        <v>2076</v>
      </c>
      <c r="B585" s="1047">
        <v>1.04</v>
      </c>
    </row>
    <row r="586" spans="1:2" ht="21">
      <c r="A586" s="386" t="s">
        <v>2514</v>
      </c>
      <c r="B586" s="1047">
        <v>1.04</v>
      </c>
    </row>
    <row r="587" spans="1:2" ht="21">
      <c r="A587" s="386" t="s">
        <v>1557</v>
      </c>
      <c r="B587" s="1047">
        <v>1.17</v>
      </c>
    </row>
    <row r="588" spans="1:2" ht="21">
      <c r="A588" s="386" t="s">
        <v>1558</v>
      </c>
      <c r="B588" s="1047">
        <v>1.04</v>
      </c>
    </row>
    <row r="589" spans="1:2" ht="21">
      <c r="A589" s="386" t="s">
        <v>1412</v>
      </c>
      <c r="B589" s="1047">
        <v>1.04</v>
      </c>
    </row>
    <row r="590" spans="1:2" ht="21">
      <c r="A590" s="386" t="s">
        <v>2261</v>
      </c>
      <c r="B590" s="1047">
        <v>1.04</v>
      </c>
    </row>
    <row r="591" spans="1:2" ht="21">
      <c r="A591" s="386" t="s">
        <v>2262</v>
      </c>
      <c r="B591" s="1047">
        <v>0.96099999999999997</v>
      </c>
    </row>
    <row r="592" spans="1:2" ht="21">
      <c r="A592" s="386" t="s">
        <v>2263</v>
      </c>
      <c r="B592" s="1047">
        <v>1.17</v>
      </c>
    </row>
    <row r="593" spans="1:2" ht="21">
      <c r="A593" s="386" t="s">
        <v>2264</v>
      </c>
      <c r="B593" s="1047">
        <v>1.04</v>
      </c>
    </row>
    <row r="594" spans="1:2" ht="21">
      <c r="A594" s="386" t="s">
        <v>2401</v>
      </c>
      <c r="B594" s="1047">
        <v>1.06</v>
      </c>
    </row>
    <row r="595" spans="1:2" ht="21">
      <c r="A595" s="386" t="s">
        <v>2265</v>
      </c>
      <c r="B595" s="1047">
        <v>1.02</v>
      </c>
    </row>
    <row r="596" spans="1:2" ht="21">
      <c r="A596" s="386" t="s">
        <v>2266</v>
      </c>
      <c r="B596" s="1047">
        <v>0.98</v>
      </c>
    </row>
    <row r="597" spans="1:2" ht="21">
      <c r="A597" s="386" t="s">
        <v>2267</v>
      </c>
      <c r="B597" s="1047">
        <v>1.04</v>
      </c>
    </row>
    <row r="598" spans="1:2" ht="21">
      <c r="A598" s="386" t="s">
        <v>2268</v>
      </c>
      <c r="B598" s="1047">
        <v>1.04</v>
      </c>
    </row>
    <row r="599" spans="1:2" ht="21">
      <c r="A599" s="386" t="s">
        <v>2269</v>
      </c>
      <c r="B599" s="1047">
        <v>1.04</v>
      </c>
    </row>
    <row r="600" spans="1:2" ht="21">
      <c r="A600" s="386" t="s">
        <v>2586</v>
      </c>
      <c r="B600" s="1047">
        <v>0.96</v>
      </c>
    </row>
    <row r="601" spans="1:2" ht="21">
      <c r="A601" s="386" t="s">
        <v>2587</v>
      </c>
      <c r="B601" s="1047">
        <v>1.04</v>
      </c>
    </row>
    <row r="602" spans="1:2" ht="21">
      <c r="A602" s="386" t="s">
        <v>2588</v>
      </c>
      <c r="B602" s="1047">
        <v>1.04</v>
      </c>
    </row>
    <row r="603" spans="1:2" ht="21">
      <c r="A603" s="386" t="s">
        <v>2589</v>
      </c>
      <c r="B603" s="1047">
        <v>1.17</v>
      </c>
    </row>
    <row r="604" spans="1:2" ht="21">
      <c r="A604" s="386" t="s">
        <v>2590</v>
      </c>
      <c r="B604" s="1047">
        <v>1.0401</v>
      </c>
    </row>
    <row r="605" spans="1:2" ht="21">
      <c r="A605" s="386" t="s">
        <v>1381</v>
      </c>
      <c r="B605" s="1047">
        <v>1.04</v>
      </c>
    </row>
    <row r="606" spans="1:2" ht="21">
      <c r="A606" s="386" t="s">
        <v>1382</v>
      </c>
      <c r="B606" s="1047">
        <v>1.04</v>
      </c>
    </row>
    <row r="607" spans="1:2" ht="21">
      <c r="A607" s="386" t="s">
        <v>2426</v>
      </c>
      <c r="B607" s="1047">
        <v>1.04</v>
      </c>
    </row>
    <row r="608" spans="1:2" ht="21">
      <c r="A608" s="386" t="s">
        <v>2111</v>
      </c>
      <c r="B608" s="1047">
        <v>0.87939999999999996</v>
      </c>
    </row>
    <row r="609" spans="1:2" ht="21">
      <c r="A609" s="386" t="s">
        <v>2633</v>
      </c>
      <c r="B609" s="1047">
        <v>1.04</v>
      </c>
    </row>
    <row r="610" spans="1:2" ht="21">
      <c r="A610" s="386" t="s">
        <v>2408</v>
      </c>
      <c r="B610" s="1047">
        <v>1.04</v>
      </c>
    </row>
    <row r="611" spans="1:2" ht="21">
      <c r="A611" s="386" t="s">
        <v>2112</v>
      </c>
      <c r="B611" s="1047">
        <v>1.04</v>
      </c>
    </row>
    <row r="612" spans="1:2" ht="21">
      <c r="A612" s="386" t="s">
        <v>2515</v>
      </c>
      <c r="B612" s="1047">
        <v>1.04</v>
      </c>
    </row>
    <row r="613" spans="1:2" ht="21">
      <c r="A613" s="386" t="s">
        <v>1116</v>
      </c>
      <c r="B613" s="1047">
        <v>1.17</v>
      </c>
    </row>
    <row r="614" spans="1:2" ht="21">
      <c r="A614" s="386" t="s">
        <v>2113</v>
      </c>
      <c r="B614" s="1047">
        <v>1.06</v>
      </c>
    </row>
    <row r="615" spans="1:2" ht="21">
      <c r="A615" s="386" t="s">
        <v>2114</v>
      </c>
      <c r="B615" s="1047">
        <v>1.04</v>
      </c>
    </row>
    <row r="616" spans="1:2" ht="21">
      <c r="A616" s="386" t="s">
        <v>967</v>
      </c>
      <c r="B616" s="1047">
        <v>1.04</v>
      </c>
    </row>
    <row r="617" spans="1:2" ht="21">
      <c r="A617" s="386" t="s">
        <v>1337</v>
      </c>
      <c r="B617" s="1047">
        <v>0.81669999999999998</v>
      </c>
    </row>
    <row r="618" spans="1:2" ht="21">
      <c r="A618" s="386" t="s">
        <v>1689</v>
      </c>
      <c r="B618" s="1047">
        <v>1.04</v>
      </c>
    </row>
    <row r="619" spans="1:2" ht="21">
      <c r="A619" s="386" t="s">
        <v>1690</v>
      </c>
      <c r="B619" s="1047">
        <v>1.1299999999999999</v>
      </c>
    </row>
    <row r="620" spans="1:2" ht="21">
      <c r="A620" s="386" t="s">
        <v>2557</v>
      </c>
      <c r="B620" s="1047">
        <v>1.04</v>
      </c>
    </row>
    <row r="621" spans="1:2" ht="21">
      <c r="A621" s="386" t="s">
        <v>2558</v>
      </c>
      <c r="B621" s="1047">
        <v>1.04</v>
      </c>
    </row>
    <row r="622" spans="1:2" ht="21">
      <c r="A622" s="386" t="s">
        <v>2659</v>
      </c>
      <c r="B622" s="1047">
        <v>1.04</v>
      </c>
    </row>
    <row r="623" spans="1:2" ht="21">
      <c r="A623" s="386" t="s">
        <v>837</v>
      </c>
      <c r="B623" s="1047">
        <v>1.04</v>
      </c>
    </row>
    <row r="624" spans="1:2" ht="21">
      <c r="A624" s="386" t="s">
        <v>82</v>
      </c>
      <c r="B624" s="1047">
        <v>1.0233000000000001</v>
      </c>
    </row>
    <row r="625" spans="1:2" ht="21">
      <c r="A625" s="386" t="s">
        <v>83</v>
      </c>
      <c r="B625" s="1047">
        <v>1.04</v>
      </c>
    </row>
    <row r="626" spans="1:2" ht="21">
      <c r="A626" s="386" t="s">
        <v>2284</v>
      </c>
      <c r="B626" s="1047">
        <v>1.04</v>
      </c>
    </row>
    <row r="627" spans="1:2" ht="21">
      <c r="A627" s="386" t="s">
        <v>2410</v>
      </c>
      <c r="B627" s="1047">
        <v>1.17</v>
      </c>
    </row>
    <row r="628" spans="1:2" ht="21">
      <c r="A628" s="386" t="s">
        <v>2411</v>
      </c>
      <c r="B628" s="1047">
        <v>1.17</v>
      </c>
    </row>
    <row r="629" spans="1:2" ht="21">
      <c r="A629" s="386" t="s">
        <v>2104</v>
      </c>
      <c r="B629" s="1047">
        <v>1.04</v>
      </c>
    </row>
    <row r="630" spans="1:2" ht="21">
      <c r="A630" s="386" t="s">
        <v>1423</v>
      </c>
      <c r="B630" s="1047">
        <v>1.0401</v>
      </c>
    </row>
    <row r="631" spans="1:2" ht="21">
      <c r="A631" s="386" t="s">
        <v>2412</v>
      </c>
      <c r="B631" s="1047">
        <v>1.06</v>
      </c>
    </row>
    <row r="632" spans="1:2" ht="21">
      <c r="A632" s="386" t="s">
        <v>496</v>
      </c>
      <c r="B632" s="1047">
        <v>1.17</v>
      </c>
    </row>
    <row r="633" spans="1:2" ht="21">
      <c r="A633" s="386" t="s">
        <v>677</v>
      </c>
      <c r="B633" s="1047">
        <v>1.17</v>
      </c>
    </row>
    <row r="634" spans="1:2" ht="21">
      <c r="A634" s="386" t="s">
        <v>2347</v>
      </c>
      <c r="B634" s="1047">
        <v>1.17</v>
      </c>
    </row>
    <row r="635" spans="1:2" ht="21">
      <c r="A635" s="386" t="s">
        <v>2348</v>
      </c>
      <c r="B635" s="1047">
        <v>1.17</v>
      </c>
    </row>
    <row r="636" spans="1:2" ht="21">
      <c r="A636" s="386" t="s">
        <v>2349</v>
      </c>
      <c r="B636" s="1047">
        <v>1.17</v>
      </c>
    </row>
    <row r="637" spans="1:2" ht="21">
      <c r="A637" s="386" t="s">
        <v>1464</v>
      </c>
      <c r="B637" s="1047">
        <v>1.17</v>
      </c>
    </row>
    <row r="638" spans="1:2" ht="21">
      <c r="A638" s="386" t="s">
        <v>2091</v>
      </c>
      <c r="B638" s="1047">
        <v>1.04</v>
      </c>
    </row>
    <row r="639" spans="1:2" ht="21">
      <c r="A639" s="386" t="s">
        <v>1465</v>
      </c>
      <c r="B639" s="1047">
        <v>1.04</v>
      </c>
    </row>
    <row r="640" spans="1:2" ht="21">
      <c r="A640" s="386" t="s">
        <v>382</v>
      </c>
      <c r="B640" s="1047">
        <v>1.04</v>
      </c>
    </row>
    <row r="641" spans="1:2" ht="21">
      <c r="A641" s="386" t="s">
        <v>383</v>
      </c>
      <c r="B641" s="1047">
        <v>0.97330000000000005</v>
      </c>
    </row>
    <row r="642" spans="1:2" ht="21">
      <c r="A642" s="386" t="s">
        <v>384</v>
      </c>
      <c r="B642" s="1047">
        <v>0.9</v>
      </c>
    </row>
    <row r="643" spans="1:2" ht="21">
      <c r="A643" s="386" t="s">
        <v>1655</v>
      </c>
      <c r="B643" s="1047">
        <v>1.1375</v>
      </c>
    </row>
    <row r="644" spans="1:2" ht="21">
      <c r="A644" s="386" t="s">
        <v>1656</v>
      </c>
      <c r="B644" s="1047">
        <v>1.1473</v>
      </c>
    </row>
    <row r="645" spans="1:2" ht="21">
      <c r="A645" s="386" t="s">
        <v>173</v>
      </c>
      <c r="B645" s="1047">
        <v>1.0049999999999999</v>
      </c>
    </row>
    <row r="646" spans="1:2" ht="21">
      <c r="A646" s="386" t="s">
        <v>2128</v>
      </c>
      <c r="B646" s="1047">
        <v>1.02</v>
      </c>
    </row>
    <row r="647" spans="1:2" ht="21">
      <c r="A647" s="386" t="s">
        <v>2129</v>
      </c>
      <c r="B647" s="1047">
        <v>1</v>
      </c>
    </row>
    <row r="648" spans="1:2" ht="21">
      <c r="A648" s="386" t="s">
        <v>2130</v>
      </c>
      <c r="B648" s="1047">
        <v>0.98839999999999995</v>
      </c>
    </row>
    <row r="649" spans="1:2" ht="21">
      <c r="A649" s="386" t="s">
        <v>1813</v>
      </c>
      <c r="B649" s="1047">
        <v>1.0401</v>
      </c>
    </row>
    <row r="650" spans="1:2" ht="21">
      <c r="A650" s="386" t="s">
        <v>880</v>
      </c>
      <c r="B650" s="1047">
        <v>1.04</v>
      </c>
    </row>
    <row r="651" spans="1:2" ht="21">
      <c r="A651" s="386" t="s">
        <v>1403</v>
      </c>
      <c r="B651" s="1047">
        <v>1.04</v>
      </c>
    </row>
    <row r="652" spans="1:2" ht="21">
      <c r="A652" s="386" t="s">
        <v>1988</v>
      </c>
      <c r="B652" s="1047">
        <v>1.17</v>
      </c>
    </row>
    <row r="653" spans="1:2" ht="21">
      <c r="A653" s="386" t="s">
        <v>968</v>
      </c>
      <c r="B653" s="1047">
        <v>1.04</v>
      </c>
    </row>
    <row r="654" spans="1:2" ht="21">
      <c r="A654" s="386" t="s">
        <v>900</v>
      </c>
      <c r="B654" s="1047">
        <v>1.04</v>
      </c>
    </row>
    <row r="655" spans="1:2" ht="21">
      <c r="A655" s="386" t="s">
        <v>702</v>
      </c>
      <c r="B655" s="1047">
        <v>1.17</v>
      </c>
    </row>
    <row r="656" spans="1:2" ht="21">
      <c r="A656" s="386" t="s">
        <v>969</v>
      </c>
      <c r="B656" s="1047">
        <v>1.17</v>
      </c>
    </row>
    <row r="657" spans="1:2" ht="21">
      <c r="A657" s="386" t="s">
        <v>1835</v>
      </c>
      <c r="B657" s="1047">
        <v>1.04</v>
      </c>
    </row>
    <row r="658" spans="1:2" ht="21">
      <c r="A658" s="386" t="s">
        <v>1542</v>
      </c>
      <c r="B658" s="1047">
        <v>1.04</v>
      </c>
    </row>
    <row r="659" spans="1:2" ht="21">
      <c r="A659" s="386" t="s">
        <v>113</v>
      </c>
      <c r="B659" s="1047">
        <v>1.04</v>
      </c>
    </row>
    <row r="660" spans="1:2" ht="21">
      <c r="A660" s="386" t="s">
        <v>2086</v>
      </c>
      <c r="B660" s="1047">
        <v>1.04</v>
      </c>
    </row>
    <row r="661" spans="1:2" ht="21">
      <c r="A661" s="386" t="s">
        <v>341</v>
      </c>
      <c r="B661" s="1047">
        <v>1.04</v>
      </c>
    </row>
    <row r="662" spans="1:2" ht="21">
      <c r="A662" s="386" t="s">
        <v>344</v>
      </c>
      <c r="B662" s="1047">
        <v>1.04</v>
      </c>
    </row>
    <row r="663" spans="1:2" ht="21">
      <c r="A663" s="386" t="s">
        <v>2460</v>
      </c>
      <c r="B663" s="1047">
        <v>1.17</v>
      </c>
    </row>
    <row r="664" spans="1:2" ht="21">
      <c r="A664" s="386" t="s">
        <v>2461</v>
      </c>
      <c r="B664" s="1047">
        <v>1.17</v>
      </c>
    </row>
    <row r="665" spans="1:2" ht="21">
      <c r="A665" s="386" t="s">
        <v>72</v>
      </c>
      <c r="B665" s="1047">
        <v>1.04</v>
      </c>
    </row>
    <row r="666" spans="1:2" ht="21">
      <c r="A666" s="386" t="s">
        <v>2310</v>
      </c>
      <c r="B666" s="1047">
        <v>1.04</v>
      </c>
    </row>
    <row r="667" spans="1:2" ht="21">
      <c r="A667" s="386" t="s">
        <v>164</v>
      </c>
      <c r="B667" s="1047">
        <v>1.17</v>
      </c>
    </row>
    <row r="668" spans="1:2" ht="21">
      <c r="A668" s="386" t="s">
        <v>879</v>
      </c>
      <c r="B668" s="1047">
        <v>1.17</v>
      </c>
    </row>
    <row r="669" spans="1:2" ht="21">
      <c r="A669" s="386" t="s">
        <v>1837</v>
      </c>
      <c r="B669" s="1047">
        <v>1.04</v>
      </c>
    </row>
    <row r="670" spans="1:2" ht="21">
      <c r="A670" s="386" t="s">
        <v>258</v>
      </c>
      <c r="B670" s="1047">
        <v>1.04</v>
      </c>
    </row>
    <row r="671" spans="1:2" ht="21">
      <c r="A671" s="386" t="s">
        <v>1585</v>
      </c>
      <c r="B671" s="1047">
        <v>0.99329999999999996</v>
      </c>
    </row>
    <row r="672" spans="1:2" ht="21">
      <c r="A672" s="386" t="s">
        <v>1134</v>
      </c>
      <c r="B672" s="1047">
        <v>1.17</v>
      </c>
    </row>
    <row r="673" spans="1:2" ht="21">
      <c r="A673" s="386" t="s">
        <v>1989</v>
      </c>
      <c r="B673" s="1047">
        <v>1.0401</v>
      </c>
    </row>
    <row r="674" spans="1:2" ht="21">
      <c r="A674" s="386" t="s">
        <v>920</v>
      </c>
      <c r="B674" s="1047">
        <v>1.17</v>
      </c>
    </row>
    <row r="675" spans="1:2" ht="21">
      <c r="A675" s="386" t="s">
        <v>171</v>
      </c>
      <c r="B675" s="1047">
        <v>1.04</v>
      </c>
    </row>
    <row r="676" spans="1:2" ht="21">
      <c r="A676" s="386" t="s">
        <v>2531</v>
      </c>
      <c r="B676" s="1047">
        <v>1.04</v>
      </c>
    </row>
    <row r="677" spans="1:2" ht="21">
      <c r="A677" s="386" t="s">
        <v>2583</v>
      </c>
      <c r="B677" s="1047">
        <v>1.04</v>
      </c>
    </row>
    <row r="678" spans="1:2" ht="21">
      <c r="A678" s="386" t="s">
        <v>2534</v>
      </c>
      <c r="B678" s="1047">
        <v>1.0401</v>
      </c>
    </row>
    <row r="679" spans="1:2" ht="21">
      <c r="A679" s="386" t="s">
        <v>1300</v>
      </c>
      <c r="B679" s="1047">
        <v>1.0633999999999999</v>
      </c>
    </row>
    <row r="680" spans="1:2" ht="21">
      <c r="A680" s="386" t="s">
        <v>1887</v>
      </c>
      <c r="B680" s="1047">
        <v>1.04</v>
      </c>
    </row>
    <row r="681" spans="1:2" ht="21">
      <c r="A681" s="386" t="s">
        <v>1360</v>
      </c>
      <c r="B681" s="1047">
        <v>1.04</v>
      </c>
    </row>
    <row r="682" spans="1:2" ht="21">
      <c r="A682" s="386" t="s">
        <v>2535</v>
      </c>
      <c r="B682" s="1047">
        <v>1.04</v>
      </c>
    </row>
    <row r="683" spans="1:2" ht="21">
      <c r="A683" s="386" t="s">
        <v>2197</v>
      </c>
      <c r="B683" s="1047">
        <v>1.04</v>
      </c>
    </row>
    <row r="684" spans="1:2" ht="21">
      <c r="A684" s="386" t="s">
        <v>930</v>
      </c>
      <c r="B684" s="1047">
        <v>1.17</v>
      </c>
    </row>
    <row r="685" spans="1:2" ht="21">
      <c r="A685" s="386" t="s">
        <v>375</v>
      </c>
      <c r="B685" s="1047">
        <v>1.04</v>
      </c>
    </row>
    <row r="686" spans="1:2" ht="21">
      <c r="A686" s="386" t="s">
        <v>1264</v>
      </c>
      <c r="B686" s="1047">
        <v>0.90890000000000004</v>
      </c>
    </row>
    <row r="687" spans="1:2" ht="21">
      <c r="A687" s="386" t="s">
        <v>2671</v>
      </c>
      <c r="B687" s="1047">
        <v>1.04</v>
      </c>
    </row>
    <row r="688" spans="1:2" ht="21">
      <c r="A688" s="386" t="s">
        <v>1990</v>
      </c>
      <c r="B688" s="1047">
        <v>1.04</v>
      </c>
    </row>
    <row r="689" spans="1:2" ht="21">
      <c r="A689" s="386" t="s">
        <v>2673</v>
      </c>
      <c r="B689" s="1047">
        <v>1.17</v>
      </c>
    </row>
    <row r="690" spans="1:2" ht="21">
      <c r="A690" s="386" t="s">
        <v>2674</v>
      </c>
      <c r="B690" s="1047">
        <v>1.17</v>
      </c>
    </row>
    <row r="691" spans="1:2" ht="21">
      <c r="A691" s="386" t="s">
        <v>1486</v>
      </c>
      <c r="B691" s="1047">
        <v>1.04</v>
      </c>
    </row>
    <row r="692" spans="1:2" ht="21">
      <c r="A692" s="386" t="s">
        <v>1318</v>
      </c>
      <c r="B692" s="1047">
        <v>1.04</v>
      </c>
    </row>
    <row r="693" spans="1:2" ht="21">
      <c r="A693" s="386" t="s">
        <v>1432</v>
      </c>
      <c r="B693" s="1047">
        <v>1.04</v>
      </c>
    </row>
    <row r="694" spans="1:2" ht="21">
      <c r="A694" s="386" t="s">
        <v>804</v>
      </c>
      <c r="B694" s="1047">
        <v>1.04</v>
      </c>
    </row>
    <row r="695" spans="1:2" ht="21">
      <c r="A695" s="386" t="s">
        <v>1495</v>
      </c>
      <c r="B695" s="1047">
        <v>1.17</v>
      </c>
    </row>
    <row r="696" spans="1:2" ht="21">
      <c r="A696" s="386" t="s">
        <v>1496</v>
      </c>
      <c r="B696" s="1047">
        <v>1.04</v>
      </c>
    </row>
    <row r="697" spans="1:2" ht="21">
      <c r="A697" s="386" t="s">
        <v>1272</v>
      </c>
      <c r="B697" s="1047">
        <v>1.04</v>
      </c>
    </row>
    <row r="698" spans="1:2" ht="21">
      <c r="A698" s="386" t="s">
        <v>1531</v>
      </c>
      <c r="B698" s="1047">
        <v>1.17</v>
      </c>
    </row>
    <row r="699" spans="1:2" ht="21">
      <c r="A699" s="386" t="s">
        <v>2311</v>
      </c>
      <c r="B699" s="1047">
        <v>1.04</v>
      </c>
    </row>
    <row r="700" spans="1:2" ht="21">
      <c r="A700" s="386" t="s">
        <v>1532</v>
      </c>
      <c r="B700" s="1047">
        <v>1.04</v>
      </c>
    </row>
    <row r="701" spans="1:2" ht="21">
      <c r="A701" s="386" t="s">
        <v>1182</v>
      </c>
      <c r="B701" s="1047">
        <v>1.04</v>
      </c>
    </row>
    <row r="702" spans="1:2" ht="21">
      <c r="A702" s="386" t="s">
        <v>346</v>
      </c>
      <c r="B702" s="1047">
        <v>1.04</v>
      </c>
    </row>
    <row r="703" spans="1:2" ht="21">
      <c r="A703" s="386" t="s">
        <v>1508</v>
      </c>
      <c r="B703" s="1047">
        <v>1.17</v>
      </c>
    </row>
    <row r="704" spans="1:2" ht="21">
      <c r="A704" s="386" t="s">
        <v>703</v>
      </c>
      <c r="B704" s="1047">
        <v>1.17</v>
      </c>
    </row>
    <row r="705" spans="1:2" ht="21">
      <c r="A705" s="386" t="s">
        <v>1868</v>
      </c>
      <c r="B705" s="1047">
        <v>1.04</v>
      </c>
    </row>
    <row r="706" spans="1:2" ht="21">
      <c r="A706" s="386" t="s">
        <v>1869</v>
      </c>
      <c r="B706" s="1047">
        <v>1.04</v>
      </c>
    </row>
    <row r="707" spans="1:2" ht="21">
      <c r="A707" s="386" t="s">
        <v>1870</v>
      </c>
      <c r="B707" s="1047">
        <v>1.04</v>
      </c>
    </row>
    <row r="708" spans="1:2" ht="21">
      <c r="A708" s="386" t="s">
        <v>1871</v>
      </c>
      <c r="B708" s="1047">
        <v>1.04</v>
      </c>
    </row>
    <row r="709" spans="1:2" ht="21">
      <c r="A709" s="386" t="s">
        <v>2353</v>
      </c>
      <c r="B709" s="1047">
        <v>1.17</v>
      </c>
    </row>
    <row r="710" spans="1:2" ht="21">
      <c r="A710" s="386" t="s">
        <v>704</v>
      </c>
      <c r="B710" s="1047">
        <v>1.1116999999999999</v>
      </c>
    </row>
    <row r="711" spans="1:2" ht="21">
      <c r="A711" s="386" t="s">
        <v>524</v>
      </c>
      <c r="B711" s="1047">
        <v>1.04</v>
      </c>
    </row>
    <row r="712" spans="1:2" ht="21">
      <c r="A712" s="386" t="s">
        <v>705</v>
      </c>
      <c r="B712" s="1047">
        <v>1.04</v>
      </c>
    </row>
    <row r="713" spans="1:2" ht="21">
      <c r="A713" s="386" t="s">
        <v>525</v>
      </c>
      <c r="B713" s="1047">
        <v>1.17</v>
      </c>
    </row>
    <row r="714" spans="1:2" ht="21">
      <c r="A714" s="386" t="s">
        <v>376</v>
      </c>
      <c r="B714" s="1047">
        <v>1.109</v>
      </c>
    </row>
    <row r="715" spans="1:2" ht="21">
      <c r="A715" s="386" t="s">
        <v>526</v>
      </c>
      <c r="B715" s="1047">
        <v>1.04</v>
      </c>
    </row>
    <row r="716" spans="1:2" ht="21">
      <c r="A716" s="386" t="s">
        <v>527</v>
      </c>
      <c r="B716" s="1047">
        <v>1.04</v>
      </c>
    </row>
    <row r="717" spans="1:2" ht="21">
      <c r="A717" s="386" t="s">
        <v>774</v>
      </c>
      <c r="B717" s="1047">
        <v>1.17</v>
      </c>
    </row>
    <row r="718" spans="1:2" ht="21">
      <c r="A718" s="386" t="s">
        <v>528</v>
      </c>
      <c r="B718" s="1047">
        <v>1.04</v>
      </c>
    </row>
    <row r="719" spans="1:2" ht="21">
      <c r="A719" s="386" t="s">
        <v>529</v>
      </c>
      <c r="B719" s="1047">
        <v>1.04</v>
      </c>
    </row>
    <row r="720" spans="1:2" ht="21">
      <c r="A720" s="386" t="s">
        <v>2400</v>
      </c>
      <c r="B720" s="1047">
        <v>1.04</v>
      </c>
    </row>
    <row r="721" spans="1:2" ht="21">
      <c r="A721" s="386" t="s">
        <v>2407</v>
      </c>
      <c r="B721" s="1047">
        <v>1.04</v>
      </c>
    </row>
    <row r="722" spans="1:2" ht="21">
      <c r="A722" s="386" t="s">
        <v>19</v>
      </c>
      <c r="B722" s="1047">
        <v>1.1254</v>
      </c>
    </row>
    <row r="723" spans="1:2" ht="21">
      <c r="A723" s="386" t="s">
        <v>706</v>
      </c>
      <c r="B723" s="1047">
        <v>1.04</v>
      </c>
    </row>
    <row r="724" spans="1:2" ht="21">
      <c r="A724" s="386" t="s">
        <v>20</v>
      </c>
      <c r="B724" s="1047">
        <v>1.0401</v>
      </c>
    </row>
    <row r="725" spans="1:2" ht="21">
      <c r="A725" s="386" t="s">
        <v>2085</v>
      </c>
      <c r="B725" s="1047">
        <v>1.04</v>
      </c>
    </row>
    <row r="726" spans="1:2" ht="21">
      <c r="A726" s="386" t="s">
        <v>21</v>
      </c>
      <c r="B726" s="1047">
        <v>1.1469</v>
      </c>
    </row>
    <row r="727" spans="1:2" ht="21">
      <c r="A727" s="386" t="s">
        <v>1021</v>
      </c>
      <c r="B727" s="1047">
        <v>1.17</v>
      </c>
    </row>
    <row r="728" spans="1:2" ht="21">
      <c r="A728" s="386" t="s">
        <v>1991</v>
      </c>
      <c r="B728" s="1047">
        <v>1.04</v>
      </c>
    </row>
    <row r="729" spans="1:2" ht="21">
      <c r="A729" s="386" t="s">
        <v>1543</v>
      </c>
      <c r="B729" s="1047">
        <v>1.17</v>
      </c>
    </row>
    <row r="730" spans="1:2" ht="21">
      <c r="A730" s="386" t="s">
        <v>1878</v>
      </c>
      <c r="B730" s="1047">
        <v>1.095</v>
      </c>
    </row>
    <row r="731" spans="1:2" ht="21">
      <c r="A731" s="386" t="s">
        <v>2309</v>
      </c>
      <c r="B731" s="1047">
        <v>1.04</v>
      </c>
    </row>
    <row r="732" spans="1:2" ht="21">
      <c r="A732" s="386" t="s">
        <v>424</v>
      </c>
      <c r="B732" s="1047">
        <v>1.1599999999999999</v>
      </c>
    </row>
    <row r="733" spans="1:2" ht="21">
      <c r="A733" s="386" t="s">
        <v>2498</v>
      </c>
      <c r="B733" s="1047">
        <v>1.17</v>
      </c>
    </row>
    <row r="734" spans="1:2" ht="21">
      <c r="A734" s="386" t="s">
        <v>1172</v>
      </c>
      <c r="B734" s="1047">
        <v>1.0391999999999999</v>
      </c>
    </row>
    <row r="735" spans="1:2" ht="21">
      <c r="A735" s="386" t="s">
        <v>1173</v>
      </c>
      <c r="B735" s="1047">
        <v>1.17</v>
      </c>
    </row>
    <row r="736" spans="1:2" ht="21">
      <c r="A736" s="386" t="s">
        <v>2399</v>
      </c>
      <c r="B736" s="1047">
        <v>1.0601</v>
      </c>
    </row>
    <row r="737" spans="1:2" ht="21">
      <c r="A737" s="386" t="s">
        <v>570</v>
      </c>
      <c r="B737" s="1047">
        <v>1.04</v>
      </c>
    </row>
    <row r="738" spans="1:2" ht="21">
      <c r="A738" s="386" t="s">
        <v>579</v>
      </c>
      <c r="B738" s="1047">
        <v>0.95889999999999997</v>
      </c>
    </row>
    <row r="739" spans="1:2" ht="21">
      <c r="A739" s="386" t="s">
        <v>580</v>
      </c>
      <c r="B739" s="1047">
        <v>1.0333000000000001</v>
      </c>
    </row>
    <row r="740" spans="1:2" ht="21">
      <c r="A740" s="386" t="s">
        <v>165</v>
      </c>
      <c r="B740" s="1047">
        <v>1.17</v>
      </c>
    </row>
    <row r="741" spans="1:2" ht="21">
      <c r="A741" s="386" t="s">
        <v>767</v>
      </c>
      <c r="B741" s="1047">
        <v>1.0900000000000001</v>
      </c>
    </row>
    <row r="742" spans="1:2" ht="21">
      <c r="A742" s="386" t="s">
        <v>964</v>
      </c>
      <c r="B742" s="1047">
        <v>1.17</v>
      </c>
    </row>
    <row r="743" spans="1:2" ht="21">
      <c r="A743" s="386" t="s">
        <v>2138</v>
      </c>
      <c r="B743" s="1047">
        <v>1.04</v>
      </c>
    </row>
    <row r="744" spans="1:2" ht="21">
      <c r="A744" s="386" t="s">
        <v>2139</v>
      </c>
      <c r="B744" s="1047">
        <v>1.17</v>
      </c>
    </row>
    <row r="745" spans="1:2" ht="21">
      <c r="A745" s="386" t="s">
        <v>209</v>
      </c>
      <c r="B745" s="1047">
        <v>1.04</v>
      </c>
    </row>
    <row r="746" spans="1:2" ht="21">
      <c r="A746" s="386" t="s">
        <v>971</v>
      </c>
      <c r="B746" s="1047">
        <v>0.97299999999999998</v>
      </c>
    </row>
    <row r="747" spans="1:2" ht="21">
      <c r="A747" s="386" t="s">
        <v>972</v>
      </c>
      <c r="B747" s="1047">
        <v>1.0065999999999999</v>
      </c>
    </row>
    <row r="748" spans="1:2" ht="21">
      <c r="A748" s="386" t="s">
        <v>973</v>
      </c>
      <c r="B748" s="1047">
        <v>1.04</v>
      </c>
    </row>
    <row r="749" spans="1:2" ht="21">
      <c r="A749" s="386" t="s">
        <v>1951</v>
      </c>
      <c r="B749" s="1047">
        <v>1.04</v>
      </c>
    </row>
    <row r="750" spans="1:2" ht="21">
      <c r="A750" s="386" t="s">
        <v>974</v>
      </c>
      <c r="B750" s="1047">
        <v>1.04</v>
      </c>
    </row>
    <row r="751" spans="1:2" ht="21">
      <c r="A751" s="386" t="s">
        <v>975</v>
      </c>
      <c r="B751" s="1047">
        <v>1.17</v>
      </c>
    </row>
    <row r="752" spans="1:2" ht="21">
      <c r="A752" s="386" t="s">
        <v>1466</v>
      </c>
      <c r="B752" s="1047">
        <v>1.125</v>
      </c>
    </row>
    <row r="753" spans="1:2" ht="21">
      <c r="A753" s="386" t="s">
        <v>1092</v>
      </c>
      <c r="B753" s="1047">
        <v>1.04</v>
      </c>
    </row>
    <row r="754" spans="1:2" ht="21">
      <c r="A754" s="386" t="s">
        <v>1093</v>
      </c>
      <c r="B754" s="1047">
        <v>1.04</v>
      </c>
    </row>
    <row r="755" spans="1:2" ht="21">
      <c r="A755" s="386" t="s">
        <v>1094</v>
      </c>
      <c r="B755" s="1047">
        <v>1.0401</v>
      </c>
    </row>
    <row r="756" spans="1:2" ht="21">
      <c r="A756" s="386" t="s">
        <v>2537</v>
      </c>
      <c r="B756" s="1047">
        <v>1.0401</v>
      </c>
    </row>
    <row r="757" spans="1:2" ht="21">
      <c r="A757" s="386" t="s">
        <v>1353</v>
      </c>
      <c r="B757" s="1047">
        <v>1.17</v>
      </c>
    </row>
    <row r="758" spans="1:2" ht="21">
      <c r="A758" s="386" t="s">
        <v>1354</v>
      </c>
      <c r="B758" s="1047">
        <v>1.17</v>
      </c>
    </row>
    <row r="759" spans="1:2" ht="21">
      <c r="A759" s="386" t="s">
        <v>1355</v>
      </c>
      <c r="B759" s="1047">
        <v>1.0401</v>
      </c>
    </row>
    <row r="760" spans="1:2" ht="21">
      <c r="A760" s="386" t="s">
        <v>1356</v>
      </c>
      <c r="B760" s="1047">
        <v>1.01</v>
      </c>
    </row>
    <row r="761" spans="1:2" ht="21">
      <c r="A761" s="386" t="s">
        <v>1357</v>
      </c>
      <c r="B761" s="1047">
        <v>0.9</v>
      </c>
    </row>
    <row r="762" spans="1:2" ht="21">
      <c r="A762" s="386" t="s">
        <v>2579</v>
      </c>
      <c r="B762" s="1047">
        <v>0.9</v>
      </c>
    </row>
    <row r="763" spans="1:2" ht="21">
      <c r="A763" s="386" t="s">
        <v>707</v>
      </c>
      <c r="B763" s="1047">
        <v>1.17</v>
      </c>
    </row>
    <row r="764" spans="1:2" ht="21">
      <c r="A764" s="386" t="s">
        <v>1510</v>
      </c>
      <c r="B764" s="1047">
        <v>1.04</v>
      </c>
    </row>
    <row r="765" spans="1:2" ht="21">
      <c r="A765" s="386" t="s">
        <v>1467</v>
      </c>
      <c r="B765" s="1047">
        <v>1.17</v>
      </c>
    </row>
    <row r="766" spans="1:2" ht="21">
      <c r="A766" s="386" t="s">
        <v>2536</v>
      </c>
      <c r="B766" s="1047">
        <v>1.17</v>
      </c>
    </row>
    <row r="767" spans="1:2" ht="21">
      <c r="A767" s="386" t="s">
        <v>1383</v>
      </c>
      <c r="B767" s="1047">
        <v>1.17</v>
      </c>
    </row>
    <row r="768" spans="1:2" ht="21">
      <c r="A768" s="386" t="s">
        <v>208</v>
      </c>
      <c r="B768" s="1047">
        <v>1.04</v>
      </c>
    </row>
    <row r="769" spans="1:2" ht="21">
      <c r="A769" s="386" t="s">
        <v>1877</v>
      </c>
      <c r="B769" s="1047">
        <v>1.17</v>
      </c>
    </row>
    <row r="770" spans="1:2" ht="21">
      <c r="A770" s="386" t="s">
        <v>1634</v>
      </c>
      <c r="B770" s="1047">
        <v>1.04</v>
      </c>
    </row>
    <row r="771" spans="1:2" ht="21">
      <c r="A771" s="386" t="s">
        <v>1635</v>
      </c>
      <c r="B771" s="1047">
        <v>1.04</v>
      </c>
    </row>
    <row r="772" spans="1:2" ht="21">
      <c r="A772" s="386" t="s">
        <v>1636</v>
      </c>
      <c r="B772" s="1047">
        <v>1.04</v>
      </c>
    </row>
    <row r="773" spans="1:2" ht="21">
      <c r="A773" s="386" t="s">
        <v>1637</v>
      </c>
      <c r="B773" s="1047">
        <v>0.94</v>
      </c>
    </row>
    <row r="774" spans="1:2" ht="21">
      <c r="A774" s="386" t="s">
        <v>1638</v>
      </c>
      <c r="B774" s="1047">
        <v>1.17</v>
      </c>
    </row>
    <row r="775" spans="1:2" ht="21">
      <c r="A775" s="386" t="s">
        <v>1874</v>
      </c>
      <c r="B775" s="1047">
        <v>1.04</v>
      </c>
    </row>
    <row r="776" spans="1:2" ht="21">
      <c r="A776" s="386" t="s">
        <v>2302</v>
      </c>
      <c r="B776" s="1047">
        <v>1.04</v>
      </c>
    </row>
    <row r="777" spans="1:2" ht="21">
      <c r="A777" s="386" t="s">
        <v>2291</v>
      </c>
      <c r="B777" s="1047">
        <v>1.06</v>
      </c>
    </row>
    <row r="778" spans="1:2" ht="21">
      <c r="A778" s="386" t="s">
        <v>1302</v>
      </c>
      <c r="B778" s="1047">
        <v>1.04</v>
      </c>
    </row>
    <row r="779" spans="1:2" ht="21">
      <c r="A779" s="386" t="s">
        <v>692</v>
      </c>
      <c r="B779" s="1047">
        <v>1.17</v>
      </c>
    </row>
    <row r="780" spans="1:2" ht="21">
      <c r="A780" s="386" t="s">
        <v>2548</v>
      </c>
      <c r="B780" s="1047">
        <v>1.04</v>
      </c>
    </row>
    <row r="781" spans="1:2" ht="21">
      <c r="A781" s="386" t="s">
        <v>693</v>
      </c>
      <c r="B781" s="1047">
        <v>1.04</v>
      </c>
    </row>
    <row r="782" spans="1:2" ht="21">
      <c r="A782" s="386" t="s">
        <v>1773</v>
      </c>
      <c r="B782" s="1047">
        <v>1.04</v>
      </c>
    </row>
    <row r="783" spans="1:2" ht="21">
      <c r="A783" s="386" t="s">
        <v>1213</v>
      </c>
      <c r="B783" s="1047">
        <v>1.04</v>
      </c>
    </row>
    <row r="784" spans="1:2" ht="21">
      <c r="A784" s="386" t="s">
        <v>1639</v>
      </c>
      <c r="B784" s="1047">
        <v>1.08</v>
      </c>
    </row>
    <row r="785" spans="1:2" ht="21">
      <c r="A785" s="386" t="s">
        <v>199</v>
      </c>
      <c r="B785" s="1047">
        <v>1.0900000000000001</v>
      </c>
    </row>
    <row r="786" spans="1:2" ht="21">
      <c r="A786" s="386" t="s">
        <v>572</v>
      </c>
      <c r="B786" s="1047">
        <v>1.04</v>
      </c>
    </row>
    <row r="787" spans="1:2" ht="21">
      <c r="A787" s="386" t="s">
        <v>2181</v>
      </c>
      <c r="B787" s="1047">
        <v>1.04</v>
      </c>
    </row>
    <row r="788" spans="1:2" ht="21">
      <c r="A788" s="386" t="s">
        <v>1468</v>
      </c>
      <c r="B788" s="1047">
        <v>1.04</v>
      </c>
    </row>
    <row r="789" spans="1:2" ht="21">
      <c r="A789" s="386" t="s">
        <v>217</v>
      </c>
      <c r="B789" s="1047">
        <v>1.17</v>
      </c>
    </row>
    <row r="790" spans="1:2" ht="21">
      <c r="A790" s="386" t="s">
        <v>1289</v>
      </c>
      <c r="B790" s="1047">
        <v>1.04</v>
      </c>
    </row>
    <row r="791" spans="1:2" ht="21">
      <c r="A791" s="386" t="s">
        <v>1290</v>
      </c>
      <c r="B791" s="1047">
        <v>1.04</v>
      </c>
    </row>
    <row r="792" spans="1:2" ht="21">
      <c r="A792" s="386" t="s">
        <v>2522</v>
      </c>
      <c r="B792" s="1047">
        <v>1.1000000000000001</v>
      </c>
    </row>
    <row r="793" spans="1:2" ht="21">
      <c r="A793" s="386" t="s">
        <v>792</v>
      </c>
      <c r="B793" s="1047">
        <v>1.04</v>
      </c>
    </row>
    <row r="794" spans="1:2" ht="21">
      <c r="A794" s="386" t="s">
        <v>114</v>
      </c>
      <c r="B794" s="1047">
        <v>1.04</v>
      </c>
    </row>
    <row r="795" spans="1:2" ht="21">
      <c r="A795" s="386" t="s">
        <v>2654</v>
      </c>
      <c r="B795" s="1047">
        <v>1.04</v>
      </c>
    </row>
    <row r="796" spans="1:2" ht="21">
      <c r="A796" s="386" t="s">
        <v>2274</v>
      </c>
      <c r="B796" s="1047">
        <v>1.04</v>
      </c>
    </row>
    <row r="797" spans="1:2" ht="21">
      <c r="A797" s="386" t="s">
        <v>377</v>
      </c>
      <c r="B797" s="1047">
        <v>1.17</v>
      </c>
    </row>
    <row r="798" spans="1:2" ht="21">
      <c r="A798" s="386" t="s">
        <v>986</v>
      </c>
      <c r="B798" s="1047">
        <v>1.04</v>
      </c>
    </row>
    <row r="799" spans="1:2" ht="21">
      <c r="A799" s="386" t="s">
        <v>1716</v>
      </c>
      <c r="B799" s="1047">
        <v>1.17</v>
      </c>
    </row>
    <row r="800" spans="1:2" ht="21">
      <c r="A800" s="386" t="s">
        <v>695</v>
      </c>
      <c r="B800" s="1047">
        <v>1.04</v>
      </c>
    </row>
    <row r="801" spans="1:2" ht="21">
      <c r="A801" s="386" t="s">
        <v>696</v>
      </c>
      <c r="B801" s="1047">
        <v>1.17</v>
      </c>
    </row>
    <row r="802" spans="1:2" ht="21">
      <c r="A802" s="386" t="s">
        <v>697</v>
      </c>
      <c r="B802" s="1047">
        <v>1.04</v>
      </c>
    </row>
    <row r="803" spans="1:2" ht="21">
      <c r="A803" s="386" t="s">
        <v>1457</v>
      </c>
      <c r="B803" s="1047">
        <v>1.04</v>
      </c>
    </row>
    <row r="804" spans="1:2" ht="21">
      <c r="A804" s="386" t="s">
        <v>1458</v>
      </c>
      <c r="B804" s="1047">
        <v>1.04</v>
      </c>
    </row>
    <row r="805" spans="1:2" ht="21">
      <c r="A805" s="386" t="s">
        <v>1459</v>
      </c>
      <c r="B805" s="1047">
        <v>1.17</v>
      </c>
    </row>
    <row r="806" spans="1:2" ht="21">
      <c r="A806" s="386" t="s">
        <v>1460</v>
      </c>
      <c r="B806" s="1047">
        <v>0.93200000000000005</v>
      </c>
    </row>
    <row r="807" spans="1:2" ht="21">
      <c r="A807" s="386" t="s">
        <v>1461</v>
      </c>
      <c r="B807" s="1047">
        <v>1.04</v>
      </c>
    </row>
    <row r="808" spans="1:2" ht="21">
      <c r="A808" s="386" t="s">
        <v>1462</v>
      </c>
      <c r="B808" s="1047">
        <v>1.04</v>
      </c>
    </row>
    <row r="809" spans="1:2" ht="21">
      <c r="A809" s="386" t="s">
        <v>1672</v>
      </c>
      <c r="B809" s="1047">
        <v>1.04</v>
      </c>
    </row>
    <row r="810" spans="1:2" ht="21">
      <c r="A810" s="386" t="s">
        <v>1812</v>
      </c>
      <c r="B810" s="1047">
        <v>1.17</v>
      </c>
    </row>
    <row r="811" spans="1:2" ht="21">
      <c r="A811" s="386" t="s">
        <v>1673</v>
      </c>
      <c r="B811" s="1047">
        <v>1.17</v>
      </c>
    </row>
    <row r="812" spans="1:2" ht="21">
      <c r="A812" s="386" t="s">
        <v>378</v>
      </c>
      <c r="B812" s="1047">
        <v>1.17</v>
      </c>
    </row>
    <row r="813" spans="1:2" ht="21">
      <c r="A813" s="386" t="s">
        <v>1183</v>
      </c>
      <c r="B813" s="1047">
        <v>1.04</v>
      </c>
    </row>
    <row r="814" spans="1:2" ht="21">
      <c r="A814" s="386" t="s">
        <v>379</v>
      </c>
      <c r="B814" s="1047">
        <v>1.17</v>
      </c>
    </row>
    <row r="815" spans="1:2" ht="21">
      <c r="A815" s="386" t="s">
        <v>1674</v>
      </c>
      <c r="B815" s="1047">
        <v>1.04</v>
      </c>
    </row>
    <row r="816" spans="1:2" ht="21">
      <c r="A816" s="386" t="s">
        <v>1675</v>
      </c>
      <c r="B816" s="1047">
        <v>1.17</v>
      </c>
    </row>
    <row r="817" spans="1:2" ht="21">
      <c r="A817" s="386" t="s">
        <v>1676</v>
      </c>
      <c r="B817" s="1047">
        <v>1.17</v>
      </c>
    </row>
    <row r="818" spans="1:2" ht="21">
      <c r="A818" s="386" t="s">
        <v>2470</v>
      </c>
      <c r="B818" s="1047">
        <v>1.17</v>
      </c>
    </row>
    <row r="819" spans="1:2" ht="21">
      <c r="A819" s="386" t="s">
        <v>2471</v>
      </c>
      <c r="B819" s="1047">
        <v>1.04</v>
      </c>
    </row>
    <row r="820" spans="1:2" ht="21">
      <c r="A820" s="386" t="s">
        <v>1677</v>
      </c>
      <c r="B820" s="1047">
        <v>0.94669999999999999</v>
      </c>
    </row>
    <row r="821" spans="1:2" ht="21">
      <c r="A821" s="386" t="s">
        <v>190</v>
      </c>
      <c r="B821" s="1047">
        <v>1.17</v>
      </c>
    </row>
    <row r="822" spans="1:2" ht="21">
      <c r="A822" s="386" t="s">
        <v>1678</v>
      </c>
      <c r="B822" s="1047">
        <v>1.04</v>
      </c>
    </row>
    <row r="823" spans="1:2" ht="21">
      <c r="A823" s="386" t="s">
        <v>1395</v>
      </c>
      <c r="B823" s="1047">
        <v>1.04</v>
      </c>
    </row>
    <row r="824" spans="1:2" ht="21">
      <c r="A824" s="386" t="s">
        <v>1396</v>
      </c>
      <c r="B824" s="1047">
        <v>1.04</v>
      </c>
    </row>
    <row r="825" spans="1:2" ht="21">
      <c r="A825" s="386" t="s">
        <v>1397</v>
      </c>
      <c r="B825" s="1047">
        <v>1.04</v>
      </c>
    </row>
    <row r="826" spans="1:2" ht="21">
      <c r="A826" s="386" t="s">
        <v>1632</v>
      </c>
      <c r="B826" s="1047">
        <v>1.17</v>
      </c>
    </row>
    <row r="827" spans="1:2" ht="21">
      <c r="A827" s="386" t="s">
        <v>1633</v>
      </c>
      <c r="B827" s="1047">
        <v>1.04</v>
      </c>
    </row>
    <row r="828" spans="1:2" ht="21">
      <c r="A828" s="386" t="s">
        <v>2433</v>
      </c>
      <c r="B828" s="1047">
        <v>1.04</v>
      </c>
    </row>
    <row r="829" spans="1:2" ht="21">
      <c r="A829" s="386" t="s">
        <v>1215</v>
      </c>
      <c r="B829" s="1047">
        <v>1.0314000000000001</v>
      </c>
    </row>
    <row r="830" spans="1:2" ht="21">
      <c r="A830" s="386" t="s">
        <v>2434</v>
      </c>
      <c r="B830" s="1047">
        <v>1.17</v>
      </c>
    </row>
    <row r="831" spans="1:2" ht="21">
      <c r="A831" s="386" t="s">
        <v>1454</v>
      </c>
      <c r="B831" s="1047">
        <v>1.04</v>
      </c>
    </row>
    <row r="832" spans="1:2" ht="21">
      <c r="A832" s="386" t="s">
        <v>2527</v>
      </c>
      <c r="B832" s="1047">
        <v>1.17</v>
      </c>
    </row>
    <row r="833" spans="1:2" ht="21">
      <c r="A833" s="386" t="s">
        <v>1411</v>
      </c>
      <c r="B833" s="1047">
        <v>1.17</v>
      </c>
    </row>
    <row r="834" spans="1:2" ht="21">
      <c r="A834" s="386" t="s">
        <v>1317</v>
      </c>
      <c r="B834" s="1047">
        <v>1.17</v>
      </c>
    </row>
    <row r="835" spans="1:2" ht="21">
      <c r="A835" s="386" t="s">
        <v>191</v>
      </c>
      <c r="B835" s="1047">
        <v>1.1155999999999999</v>
      </c>
    </row>
    <row r="836" spans="1:2" ht="21">
      <c r="A836" s="386" t="s">
        <v>489</v>
      </c>
      <c r="B836" s="1047">
        <v>1.04</v>
      </c>
    </row>
    <row r="837" spans="1:2" ht="21">
      <c r="A837" s="386" t="s">
        <v>1455</v>
      </c>
      <c r="B837" s="1047">
        <v>1.17</v>
      </c>
    </row>
    <row r="838" spans="1:2" ht="21">
      <c r="A838" s="386" t="s">
        <v>1456</v>
      </c>
      <c r="B838" s="1047">
        <v>1.17</v>
      </c>
    </row>
    <row r="839" spans="1:2" ht="21">
      <c r="A839" s="386" t="s">
        <v>1377</v>
      </c>
      <c r="B839" s="1047">
        <v>1.17</v>
      </c>
    </row>
    <row r="840" spans="1:2" ht="21">
      <c r="A840" s="386" t="s">
        <v>1378</v>
      </c>
      <c r="B840" s="1047">
        <v>1.04</v>
      </c>
    </row>
    <row r="841" spans="1:2" ht="21">
      <c r="A841" s="386" t="s">
        <v>1379</v>
      </c>
      <c r="B841" s="1047">
        <v>1.04</v>
      </c>
    </row>
    <row r="842" spans="1:2" ht="21">
      <c r="A842" s="386" t="s">
        <v>1473</v>
      </c>
      <c r="B842" s="1047">
        <v>1.04</v>
      </c>
    </row>
    <row r="843" spans="1:2" ht="21">
      <c r="A843" s="386" t="s">
        <v>961</v>
      </c>
      <c r="B843" s="1047">
        <v>1.04</v>
      </c>
    </row>
    <row r="844" spans="1:2" ht="21">
      <c r="A844" s="386" t="s">
        <v>962</v>
      </c>
      <c r="B844" s="1047">
        <v>1.04</v>
      </c>
    </row>
    <row r="845" spans="1:2" ht="21">
      <c r="A845" s="386" t="s">
        <v>963</v>
      </c>
      <c r="B845" s="1047">
        <v>1.17</v>
      </c>
    </row>
    <row r="846" spans="1:2" ht="21">
      <c r="A846" s="386" t="s">
        <v>1089</v>
      </c>
      <c r="B846" s="1047">
        <v>1.04</v>
      </c>
    </row>
    <row r="847" spans="1:2" ht="21">
      <c r="A847" s="386" t="s">
        <v>192</v>
      </c>
      <c r="B847" s="1047">
        <v>1.1100000000000001</v>
      </c>
    </row>
    <row r="848" spans="1:2" ht="21">
      <c r="A848" s="386" t="s">
        <v>1090</v>
      </c>
      <c r="B848" s="1047">
        <v>1.04</v>
      </c>
    </row>
    <row r="849" spans="1:2" ht="21">
      <c r="A849" s="386" t="s">
        <v>1091</v>
      </c>
      <c r="B849" s="1047">
        <v>1.17</v>
      </c>
    </row>
    <row r="850" spans="1:2" ht="21">
      <c r="A850" s="386" t="s">
        <v>1238</v>
      </c>
      <c r="B850" s="1047">
        <v>1.17</v>
      </c>
    </row>
    <row r="851" spans="1:2" ht="21">
      <c r="A851" s="386" t="s">
        <v>1239</v>
      </c>
      <c r="B851" s="1047">
        <v>1.04</v>
      </c>
    </row>
    <row r="852" spans="1:2" ht="21">
      <c r="A852" s="386" t="s">
        <v>1801</v>
      </c>
      <c r="B852" s="1047">
        <v>1.04</v>
      </c>
    </row>
    <row r="853" spans="1:2" ht="21">
      <c r="A853" s="386" t="s">
        <v>274</v>
      </c>
      <c r="B853" s="1047">
        <v>1.04</v>
      </c>
    </row>
    <row r="854" spans="1:2" ht="21">
      <c r="A854" s="386" t="s">
        <v>1727</v>
      </c>
      <c r="B854" s="1047">
        <v>1.17</v>
      </c>
    </row>
    <row r="855" spans="1:2" ht="21">
      <c r="A855" s="386" t="s">
        <v>1728</v>
      </c>
      <c r="B855" s="1047">
        <v>1.08</v>
      </c>
    </row>
    <row r="856" spans="1:2" ht="21">
      <c r="A856" s="386" t="s">
        <v>1006</v>
      </c>
      <c r="B856" s="1047">
        <v>0.99299999999999999</v>
      </c>
    </row>
    <row r="857" spans="1:2" ht="21">
      <c r="A857" s="386" t="s">
        <v>189</v>
      </c>
      <c r="B857" s="1047">
        <v>1.04</v>
      </c>
    </row>
    <row r="858" spans="1:2" ht="21">
      <c r="A858" s="386" t="s">
        <v>1181</v>
      </c>
      <c r="B858" s="1047">
        <v>1.04</v>
      </c>
    </row>
    <row r="859" spans="1:2" ht="21">
      <c r="A859" s="386" t="s">
        <v>1340</v>
      </c>
      <c r="B859" s="1047">
        <v>1.08</v>
      </c>
    </row>
    <row r="860" spans="1:2" ht="21">
      <c r="A860" s="386" t="s">
        <v>1341</v>
      </c>
      <c r="B860" s="1047">
        <v>1.04</v>
      </c>
    </row>
    <row r="861" spans="1:2" ht="21">
      <c r="A861" s="386" t="s">
        <v>1342</v>
      </c>
      <c r="B861" s="1047">
        <v>0.82499999999999996</v>
      </c>
    </row>
    <row r="862" spans="1:2" ht="21">
      <c r="A862" s="386" t="s">
        <v>2653</v>
      </c>
      <c r="B862" s="1047">
        <v>1.17</v>
      </c>
    </row>
    <row r="863" spans="1:2" ht="21">
      <c r="A863" s="386" t="s">
        <v>1729</v>
      </c>
      <c r="B863" s="1047">
        <v>1.17</v>
      </c>
    </row>
    <row r="864" spans="1:2" ht="21">
      <c r="A864" s="386" t="s">
        <v>193</v>
      </c>
      <c r="B864" s="1047">
        <v>1.17</v>
      </c>
    </row>
    <row r="865" spans="1:2" ht="21">
      <c r="A865" s="386" t="s">
        <v>1730</v>
      </c>
      <c r="B865" s="1047">
        <v>1.04</v>
      </c>
    </row>
    <row r="866" spans="1:2" ht="21">
      <c r="A866" s="386" t="s">
        <v>2584</v>
      </c>
      <c r="B866" s="1047">
        <v>1.04</v>
      </c>
    </row>
    <row r="867" spans="1:2" ht="21">
      <c r="A867" s="386" t="s">
        <v>750</v>
      </c>
      <c r="B867" s="1047">
        <v>1.04</v>
      </c>
    </row>
    <row r="868" spans="1:2" ht="21">
      <c r="A868" s="386" t="s">
        <v>751</v>
      </c>
      <c r="B868" s="1047">
        <v>1.04</v>
      </c>
    </row>
    <row r="869" spans="1:2" ht="21">
      <c r="A869" s="386" t="s">
        <v>802</v>
      </c>
      <c r="B869" s="1047">
        <v>1.04</v>
      </c>
    </row>
    <row r="870" spans="1:2" ht="21">
      <c r="A870" s="386" t="s">
        <v>568</v>
      </c>
      <c r="B870" s="1047">
        <v>1.1599999999999999</v>
      </c>
    </row>
    <row r="871" spans="1:2" ht="21">
      <c r="A871" s="386" t="s">
        <v>569</v>
      </c>
      <c r="B871" s="1047">
        <v>1.17</v>
      </c>
    </row>
    <row r="872" spans="1:2" ht="21">
      <c r="A872" s="386" t="s">
        <v>2298</v>
      </c>
      <c r="B872" s="1047">
        <v>1.04</v>
      </c>
    </row>
    <row r="873" spans="1:2" ht="21">
      <c r="A873" s="386" t="s">
        <v>873</v>
      </c>
      <c r="B873" s="1047">
        <v>1.04</v>
      </c>
    </row>
    <row r="874" spans="1:2" ht="21">
      <c r="A874" s="386" t="s">
        <v>1849</v>
      </c>
      <c r="B874" s="1047">
        <v>1.17</v>
      </c>
    </row>
    <row r="875" spans="1:2" ht="21">
      <c r="A875" s="386" t="s">
        <v>2018</v>
      </c>
      <c r="B875" s="1047">
        <v>1.04</v>
      </c>
    </row>
    <row r="876" spans="1:2" ht="21">
      <c r="A876" s="386" t="s">
        <v>2182</v>
      </c>
      <c r="B876" s="1047">
        <v>1.04</v>
      </c>
    </row>
    <row r="877" spans="1:2" ht="21">
      <c r="A877" s="386" t="s">
        <v>50</v>
      </c>
      <c r="B877" s="1047">
        <v>1.04</v>
      </c>
    </row>
    <row r="878" spans="1:2" ht="21">
      <c r="A878" s="386" t="s">
        <v>347</v>
      </c>
      <c r="B878" s="1047">
        <v>1.04</v>
      </c>
    </row>
    <row r="879" spans="1:2" ht="21">
      <c r="A879" s="386" t="s">
        <v>1767</v>
      </c>
      <c r="B879" s="1047">
        <v>1.17</v>
      </c>
    </row>
    <row r="880" spans="1:2" ht="21">
      <c r="A880" s="386" t="s">
        <v>2405</v>
      </c>
      <c r="B880" s="1047">
        <v>1.17</v>
      </c>
    </row>
    <row r="881" spans="1:2" ht="21">
      <c r="A881" s="386" t="s">
        <v>52</v>
      </c>
      <c r="B881" s="1047">
        <v>1.17</v>
      </c>
    </row>
    <row r="882" spans="1:2" ht="21">
      <c r="A882" s="386" t="s">
        <v>1681</v>
      </c>
      <c r="B882" s="1047">
        <v>1.04</v>
      </c>
    </row>
    <row r="883" spans="1:2" ht="21">
      <c r="A883" s="386" t="s">
        <v>1119</v>
      </c>
      <c r="B883" s="1047">
        <v>1.04</v>
      </c>
    </row>
    <row r="884" spans="1:2" ht="21">
      <c r="A884" s="386" t="s">
        <v>1847</v>
      </c>
      <c r="B884" s="1047">
        <v>1.17</v>
      </c>
    </row>
    <row r="885" spans="1:2" ht="21">
      <c r="A885" s="386" t="s">
        <v>2223</v>
      </c>
      <c r="B885" s="1047">
        <v>1.17</v>
      </c>
    </row>
    <row r="886" spans="1:2" ht="21">
      <c r="A886" s="386" t="s">
        <v>1846</v>
      </c>
      <c r="B886" s="1047">
        <v>1.04</v>
      </c>
    </row>
    <row r="887" spans="1:2" ht="21">
      <c r="A887" s="386" t="s">
        <v>1180</v>
      </c>
      <c r="B887" s="1047">
        <v>1.04</v>
      </c>
    </row>
    <row r="888" spans="1:2" ht="21">
      <c r="A888" s="386" t="s">
        <v>2224</v>
      </c>
      <c r="B888" s="1047">
        <v>1.04</v>
      </c>
    </row>
    <row r="889" spans="1:2" ht="21">
      <c r="A889" s="386" t="s">
        <v>2225</v>
      </c>
      <c r="B889" s="1047">
        <v>1.04</v>
      </c>
    </row>
    <row r="890" spans="1:2" ht="21">
      <c r="A890" s="386" t="s">
        <v>2655</v>
      </c>
      <c r="B890" s="1047">
        <v>1.0857000000000001</v>
      </c>
    </row>
    <row r="891" spans="1:2" ht="21">
      <c r="A891" s="386" t="s">
        <v>2656</v>
      </c>
      <c r="B891" s="1047">
        <v>1.04</v>
      </c>
    </row>
    <row r="892" spans="1:2" ht="21">
      <c r="A892" s="386" t="s">
        <v>2657</v>
      </c>
      <c r="B892" s="1047">
        <v>1.04</v>
      </c>
    </row>
    <row r="893" spans="1:2" ht="21">
      <c r="A893" s="386" t="s">
        <v>2658</v>
      </c>
      <c r="B893" s="1047">
        <v>1.04</v>
      </c>
    </row>
    <row r="894" spans="1:2" ht="21">
      <c r="A894" s="386" t="s">
        <v>1170</v>
      </c>
      <c r="B894" s="1047">
        <v>1.17</v>
      </c>
    </row>
    <row r="895" spans="1:2" ht="21">
      <c r="A895" s="386" t="s">
        <v>1845</v>
      </c>
      <c r="B895" s="1047">
        <v>1.17</v>
      </c>
    </row>
    <row r="896" spans="1:2" ht="21">
      <c r="A896" s="386" t="s">
        <v>1171</v>
      </c>
      <c r="B896" s="1047">
        <v>1.04</v>
      </c>
    </row>
    <row r="897" spans="1:2" ht="21">
      <c r="A897" s="386" t="s">
        <v>1586</v>
      </c>
      <c r="B897" s="1047">
        <v>1.04</v>
      </c>
    </row>
    <row r="898" spans="1:2" ht="21">
      <c r="A898" s="386" t="s">
        <v>1587</v>
      </c>
      <c r="B898" s="1047">
        <v>1.17</v>
      </c>
    </row>
    <row r="899" spans="1:2" ht="21">
      <c r="A899" s="386" t="s">
        <v>1588</v>
      </c>
      <c r="B899" s="1047">
        <v>1.04</v>
      </c>
    </row>
    <row r="900" spans="1:2" ht="21">
      <c r="A900" s="386" t="s">
        <v>1817</v>
      </c>
      <c r="B900" s="1047">
        <v>1.04</v>
      </c>
    </row>
    <row r="901" spans="1:2" ht="21">
      <c r="A901" s="386" t="s">
        <v>275</v>
      </c>
      <c r="B901" s="1047">
        <v>1.04</v>
      </c>
    </row>
    <row r="902" spans="1:2" ht="21">
      <c r="A902" s="386" t="s">
        <v>1818</v>
      </c>
      <c r="B902" s="1047">
        <v>1.04</v>
      </c>
    </row>
    <row r="903" spans="1:2" ht="21">
      <c r="A903" s="386" t="s">
        <v>2440</v>
      </c>
      <c r="B903" s="1047">
        <v>1.17</v>
      </c>
    </row>
    <row r="904" spans="1:2" ht="21">
      <c r="A904" s="386" t="s">
        <v>1313</v>
      </c>
      <c r="B904" s="1047">
        <v>1.04</v>
      </c>
    </row>
    <row r="905" spans="1:2" ht="21">
      <c r="A905" s="386" t="s">
        <v>2428</v>
      </c>
      <c r="B905" s="1047">
        <v>1.17</v>
      </c>
    </row>
    <row r="906" spans="1:2" ht="21">
      <c r="A906" s="386" t="s">
        <v>342</v>
      </c>
      <c r="B906" s="1047">
        <v>1.04</v>
      </c>
    </row>
    <row r="907" spans="1:2" ht="21">
      <c r="A907" s="386" t="s">
        <v>1307</v>
      </c>
      <c r="B907" s="1047">
        <v>1.17</v>
      </c>
    </row>
    <row r="908" spans="1:2" ht="21">
      <c r="A908" s="386" t="s">
        <v>1253</v>
      </c>
      <c r="B908" s="1047">
        <v>1.17</v>
      </c>
    </row>
    <row r="909" spans="1:2" ht="21">
      <c r="A909" s="386" t="s">
        <v>263</v>
      </c>
      <c r="B909" s="1047">
        <v>1.079</v>
      </c>
    </row>
    <row r="910" spans="1:2" ht="21">
      <c r="A910" s="386" t="s">
        <v>210</v>
      </c>
      <c r="B910" s="1047">
        <v>1.04</v>
      </c>
    </row>
    <row r="911" spans="1:2" ht="21">
      <c r="A911" s="386" t="s">
        <v>264</v>
      </c>
      <c r="B911" s="1047">
        <v>1.04</v>
      </c>
    </row>
    <row r="912" spans="1:2" ht="21">
      <c r="A912" s="386" t="s">
        <v>265</v>
      </c>
      <c r="B912" s="1047">
        <v>1.04</v>
      </c>
    </row>
    <row r="913" spans="1:2" ht="21">
      <c r="A913" s="386" t="s">
        <v>1133</v>
      </c>
      <c r="B913" s="1047">
        <v>1.04</v>
      </c>
    </row>
    <row r="914" spans="1:2" ht="21">
      <c r="A914" s="386" t="s">
        <v>2446</v>
      </c>
      <c r="B914" s="1047">
        <v>1.04</v>
      </c>
    </row>
    <row r="915" spans="1:2" ht="21">
      <c r="A915" s="386" t="s">
        <v>1320</v>
      </c>
      <c r="B915" s="1047">
        <v>1.04</v>
      </c>
    </row>
    <row r="916" spans="1:2" ht="21">
      <c r="A916" s="386" t="s">
        <v>1321</v>
      </c>
      <c r="B916" s="1047">
        <v>1.04</v>
      </c>
    </row>
    <row r="917" spans="1:2" ht="21">
      <c r="A917" s="386" t="s">
        <v>1322</v>
      </c>
      <c r="B917" s="1047">
        <v>1.04</v>
      </c>
    </row>
    <row r="918" spans="1:2" ht="21">
      <c r="A918" s="386" t="s">
        <v>1323</v>
      </c>
      <c r="B918" s="1047">
        <v>1.1200000000000001</v>
      </c>
    </row>
    <row r="919" spans="1:2" ht="21">
      <c r="A919" s="386" t="s">
        <v>1324</v>
      </c>
      <c r="B919" s="1047">
        <v>1.04</v>
      </c>
    </row>
    <row r="920" spans="1:2" ht="21">
      <c r="A920" s="386" t="s">
        <v>1434</v>
      </c>
      <c r="B920" s="1047">
        <v>1.04</v>
      </c>
    </row>
    <row r="921" spans="1:2" ht="21">
      <c r="A921" s="386" t="s">
        <v>1807</v>
      </c>
      <c r="B921" s="1047">
        <v>1.04</v>
      </c>
    </row>
    <row r="922" spans="1:2" ht="21">
      <c r="A922" s="386" t="s">
        <v>1808</v>
      </c>
      <c r="B922" s="1047">
        <v>1.04</v>
      </c>
    </row>
    <row r="923" spans="1:2" ht="21">
      <c r="A923" s="386" t="s">
        <v>1254</v>
      </c>
      <c r="B923" s="1047">
        <v>1.04</v>
      </c>
    </row>
    <row r="924" spans="1:2" ht="21">
      <c r="A924" s="386" t="s">
        <v>70</v>
      </c>
      <c r="B924" s="1047">
        <v>1.04</v>
      </c>
    </row>
    <row r="925" spans="1:2" ht="21">
      <c r="A925" s="386" t="s">
        <v>1809</v>
      </c>
      <c r="B925" s="1047">
        <v>1.04</v>
      </c>
    </row>
    <row r="926" spans="1:2" ht="21">
      <c r="A926" s="386" t="s">
        <v>1810</v>
      </c>
      <c r="B926" s="1047">
        <v>1.17</v>
      </c>
    </row>
    <row r="927" spans="1:2" ht="21">
      <c r="A927" s="386" t="s">
        <v>1414</v>
      </c>
      <c r="B927" s="1047">
        <v>1.17</v>
      </c>
    </row>
    <row r="928" spans="1:2" ht="21">
      <c r="A928" s="386" t="s">
        <v>1077</v>
      </c>
      <c r="B928" s="1047">
        <v>1.04</v>
      </c>
    </row>
    <row r="929" spans="1:2" ht="21">
      <c r="A929" s="386" t="s">
        <v>1861</v>
      </c>
      <c r="B929" s="1047">
        <v>1.04</v>
      </c>
    </row>
    <row r="930" spans="1:2" ht="21">
      <c r="A930" s="386" t="s">
        <v>1078</v>
      </c>
      <c r="B930" s="1047">
        <v>1.04</v>
      </c>
    </row>
    <row r="931" spans="1:2" ht="21">
      <c r="A931" s="386" t="s">
        <v>1079</v>
      </c>
      <c r="B931" s="1047">
        <v>1.17</v>
      </c>
    </row>
    <row r="932" spans="1:2" ht="21">
      <c r="A932" s="386" t="s">
        <v>1080</v>
      </c>
      <c r="B932" s="1047">
        <v>1.04</v>
      </c>
    </row>
    <row r="933" spans="1:2" ht="21">
      <c r="A933" s="386" t="s">
        <v>1081</v>
      </c>
      <c r="B933" s="1047">
        <v>1.0363</v>
      </c>
    </row>
    <row r="934" spans="1:2" ht="21">
      <c r="A934" s="386" t="s">
        <v>56</v>
      </c>
      <c r="B934" s="1047">
        <v>1.1200000000000001</v>
      </c>
    </row>
    <row r="935" spans="1:2" ht="21">
      <c r="A935" s="386" t="s">
        <v>1544</v>
      </c>
      <c r="B935" s="1047">
        <v>0.86</v>
      </c>
    </row>
    <row r="936" spans="1:2" ht="21">
      <c r="A936" s="386" t="s">
        <v>1521</v>
      </c>
      <c r="B936" s="1047">
        <v>1.17</v>
      </c>
    </row>
    <row r="937" spans="1:2" ht="21">
      <c r="A937" s="386" t="s">
        <v>1319</v>
      </c>
      <c r="B937" s="1047">
        <v>1.04</v>
      </c>
    </row>
    <row r="938" spans="1:2" ht="21">
      <c r="A938" s="386" t="s">
        <v>488</v>
      </c>
      <c r="B938" s="1047">
        <v>1.04</v>
      </c>
    </row>
    <row r="939" spans="1:2" ht="21">
      <c r="A939" s="386" t="s">
        <v>831</v>
      </c>
      <c r="B939" s="1047">
        <v>1.04</v>
      </c>
    </row>
    <row r="940" spans="1:2" ht="21">
      <c r="A940" s="386" t="s">
        <v>833</v>
      </c>
      <c r="B940" s="1047">
        <v>1.04</v>
      </c>
    </row>
    <row r="941" spans="1:2" ht="21">
      <c r="A941" s="386" t="s">
        <v>834</v>
      </c>
      <c r="B941" s="1047">
        <v>1.17</v>
      </c>
    </row>
    <row r="942" spans="1:2" ht="21">
      <c r="A942" s="386" t="s">
        <v>1533</v>
      </c>
      <c r="B942" s="1047">
        <v>1.17</v>
      </c>
    </row>
    <row r="943" spans="1:2" ht="21">
      <c r="A943" s="386" t="s">
        <v>1836</v>
      </c>
      <c r="B943" s="1047">
        <v>1.04</v>
      </c>
    </row>
    <row r="944" spans="1:2" ht="21">
      <c r="A944" s="386" t="s">
        <v>835</v>
      </c>
      <c r="B944" s="1047">
        <v>1.17</v>
      </c>
    </row>
    <row r="945" spans="1:2" ht="21">
      <c r="A945" s="386" t="s">
        <v>836</v>
      </c>
      <c r="B945" s="1047">
        <v>1.04</v>
      </c>
    </row>
    <row r="946" spans="1:2" ht="21">
      <c r="A946" s="386" t="s">
        <v>1426</v>
      </c>
      <c r="B946" s="1047">
        <v>1.17</v>
      </c>
    </row>
    <row r="947" spans="1:2" ht="21">
      <c r="A947" s="386" t="s">
        <v>877</v>
      </c>
      <c r="B947" s="1047">
        <v>1.04</v>
      </c>
    </row>
    <row r="948" spans="1:2" ht="21">
      <c r="A948" s="386" t="s">
        <v>340</v>
      </c>
      <c r="B948" s="1047">
        <v>1.04</v>
      </c>
    </row>
    <row r="949" spans="1:2" ht="21">
      <c r="A949" s="386" t="s">
        <v>2597</v>
      </c>
      <c r="B949" s="1047">
        <v>0.99</v>
      </c>
    </row>
    <row r="950" spans="1:2" ht="21">
      <c r="A950" s="386" t="s">
        <v>1022</v>
      </c>
      <c r="B950" s="1047">
        <v>1.04</v>
      </c>
    </row>
    <row r="951" spans="1:2" ht="21">
      <c r="A951" s="386" t="s">
        <v>1156</v>
      </c>
      <c r="B951" s="1047">
        <v>1.04</v>
      </c>
    </row>
    <row r="952" spans="1:2" ht="21">
      <c r="A952" s="386" t="s">
        <v>276</v>
      </c>
      <c r="B952" s="1047">
        <v>1.17</v>
      </c>
    </row>
    <row r="953" spans="1:2" ht="21">
      <c r="A953" s="386" t="s">
        <v>277</v>
      </c>
      <c r="B953" s="1047">
        <v>1.04</v>
      </c>
    </row>
    <row r="954" spans="1:2" ht="21">
      <c r="A954" s="386" t="s">
        <v>624</v>
      </c>
      <c r="B954" s="1047">
        <v>1.04</v>
      </c>
    </row>
    <row r="955" spans="1:2" ht="21">
      <c r="A955" s="386" t="s">
        <v>625</v>
      </c>
      <c r="B955" s="1047">
        <v>1.0134000000000001</v>
      </c>
    </row>
    <row r="956" spans="1:2" ht="21">
      <c r="A956" s="386" t="s">
        <v>626</v>
      </c>
      <c r="B956" s="1047">
        <v>1.04</v>
      </c>
    </row>
    <row r="957" spans="1:2" ht="21">
      <c r="A957" s="386" t="s">
        <v>2339</v>
      </c>
      <c r="B957" s="1047">
        <v>1.0333000000000001</v>
      </c>
    </row>
    <row r="958" spans="1:2" ht="21">
      <c r="A958" s="386" t="s">
        <v>2340</v>
      </c>
      <c r="B958" s="1047">
        <v>1.04</v>
      </c>
    </row>
    <row r="959" spans="1:2" ht="21">
      <c r="A959" s="386" t="s">
        <v>1768</v>
      </c>
      <c r="B959" s="1047">
        <v>1.04</v>
      </c>
    </row>
    <row r="960" spans="1:2" ht="21">
      <c r="A960" s="386" t="s">
        <v>1520</v>
      </c>
      <c r="B960" s="1047">
        <v>1.04</v>
      </c>
    </row>
    <row r="961" spans="1:2" ht="21">
      <c r="A961" s="386" t="s">
        <v>927</v>
      </c>
      <c r="B961" s="1047">
        <v>0.80330000000000001</v>
      </c>
    </row>
    <row r="962" spans="1:2" ht="21">
      <c r="A962" s="386" t="s">
        <v>928</v>
      </c>
      <c r="B962" s="1047">
        <v>1.04</v>
      </c>
    </row>
    <row r="963" spans="1:2" ht="21">
      <c r="A963" s="386" t="s">
        <v>929</v>
      </c>
      <c r="B963" s="1047">
        <v>1.17</v>
      </c>
    </row>
    <row r="964" spans="1:2" ht="21">
      <c r="A964" s="386" t="s">
        <v>571</v>
      </c>
      <c r="B964" s="1047">
        <v>1.0401</v>
      </c>
    </row>
    <row r="965" spans="1:2" ht="21">
      <c r="A965" s="386" t="s">
        <v>902</v>
      </c>
      <c r="B965" s="1047">
        <v>1.0401</v>
      </c>
    </row>
    <row r="966" spans="1:2" ht="21">
      <c r="A966" s="386" t="s">
        <v>903</v>
      </c>
      <c r="B966" s="1047">
        <v>1.1499999999999999</v>
      </c>
    </row>
    <row r="967" spans="1:2" ht="21">
      <c r="A967" s="386" t="s">
        <v>904</v>
      </c>
      <c r="B967" s="1047">
        <v>1.04</v>
      </c>
    </row>
    <row r="968" spans="1:2" ht="21">
      <c r="A968" s="386" t="s">
        <v>905</v>
      </c>
      <c r="B968" s="1047">
        <v>1.0309999999999999</v>
      </c>
    </row>
    <row r="969" spans="1:2" ht="21">
      <c r="A969" s="386" t="s">
        <v>1724</v>
      </c>
      <c r="B969" s="1047">
        <v>0.70660000000000001</v>
      </c>
    </row>
    <row r="970" spans="1:2" ht="21">
      <c r="A970" s="386" t="s">
        <v>2319</v>
      </c>
      <c r="B970" s="1047">
        <v>0.80669999999999997</v>
      </c>
    </row>
    <row r="971" spans="1:2" ht="21">
      <c r="A971" s="386" t="s">
        <v>884</v>
      </c>
      <c r="B971" s="1047">
        <v>1.17</v>
      </c>
    </row>
    <row r="972" spans="1:2" ht="21">
      <c r="A972" s="386" t="s">
        <v>1255</v>
      </c>
      <c r="B972" s="1047">
        <v>1.04</v>
      </c>
    </row>
    <row r="973" spans="1:2" ht="21">
      <c r="A973" s="386" t="s">
        <v>642</v>
      </c>
      <c r="B973" s="1047">
        <v>1.04</v>
      </c>
    </row>
    <row r="974" spans="1:2" ht="21">
      <c r="A974" s="386" t="s">
        <v>1827</v>
      </c>
      <c r="B974" s="1047">
        <v>1.04</v>
      </c>
    </row>
    <row r="975" spans="1:2" ht="21">
      <c r="A975" s="386" t="s">
        <v>573</v>
      </c>
      <c r="B975" s="1047">
        <v>1.17</v>
      </c>
    </row>
    <row r="976" spans="1:2" ht="21">
      <c r="A976" s="386" t="s">
        <v>1358</v>
      </c>
      <c r="B976" s="1047">
        <v>1.17</v>
      </c>
    </row>
    <row r="977" spans="1:2" ht="21">
      <c r="A977" s="386" t="s">
        <v>9</v>
      </c>
      <c r="B977" s="1047">
        <v>1.04</v>
      </c>
    </row>
    <row r="978" spans="1:2" ht="21">
      <c r="A978" s="386" t="s">
        <v>10</v>
      </c>
      <c r="B978" s="1047">
        <v>1.17</v>
      </c>
    </row>
    <row r="979" spans="1:2" ht="21">
      <c r="A979" s="386" t="s">
        <v>1503</v>
      </c>
      <c r="B979" s="1047">
        <v>1.17</v>
      </c>
    </row>
    <row r="980" spans="1:2" ht="21">
      <c r="A980" s="386" t="s">
        <v>2089</v>
      </c>
      <c r="B980" s="1047">
        <v>1.17</v>
      </c>
    </row>
    <row r="981" spans="1:2" ht="21">
      <c r="A981" s="386" t="s">
        <v>425</v>
      </c>
      <c r="B981" s="1047">
        <v>1.04</v>
      </c>
    </row>
    <row r="982" spans="1:2" ht="21">
      <c r="A982" s="386" t="s">
        <v>278</v>
      </c>
      <c r="B982" s="1047">
        <v>1.04</v>
      </c>
    </row>
    <row r="983" spans="1:2" ht="21">
      <c r="A983" s="386" t="s">
        <v>1338</v>
      </c>
      <c r="B983" s="1047">
        <v>1.17</v>
      </c>
    </row>
    <row r="984" spans="1:2" ht="21">
      <c r="A984" s="386" t="s">
        <v>2580</v>
      </c>
      <c r="B984" s="1047">
        <v>1.08</v>
      </c>
    </row>
    <row r="985" spans="1:2" ht="21">
      <c r="A985" s="386" t="s">
        <v>1799</v>
      </c>
      <c r="B985" s="1047">
        <v>1.04</v>
      </c>
    </row>
    <row r="986" spans="1:2" ht="21">
      <c r="A986" s="386" t="s">
        <v>40</v>
      </c>
      <c r="B986" s="1047">
        <v>1.17</v>
      </c>
    </row>
    <row r="987" spans="1:2" ht="21">
      <c r="A987" s="386" t="s">
        <v>11</v>
      </c>
      <c r="B987" s="1047">
        <v>1.04</v>
      </c>
    </row>
    <row r="988" spans="1:2" ht="21">
      <c r="A988" s="386" t="s">
        <v>1771</v>
      </c>
      <c r="B988" s="1047">
        <v>1.04</v>
      </c>
    </row>
    <row r="989" spans="1:2" ht="21">
      <c r="A989" s="386" t="s">
        <v>1310</v>
      </c>
      <c r="B989" s="1047">
        <v>1.04</v>
      </c>
    </row>
    <row r="990" spans="1:2" ht="21">
      <c r="A990" s="386" t="s">
        <v>1545</v>
      </c>
      <c r="B990" s="1047">
        <v>1.17</v>
      </c>
    </row>
    <row r="991" spans="1:2" ht="21">
      <c r="A991" s="386" t="s">
        <v>1515</v>
      </c>
      <c r="B991" s="1047">
        <v>1.04</v>
      </c>
    </row>
    <row r="992" spans="1:2" ht="21">
      <c r="A992" s="386" t="s">
        <v>1769</v>
      </c>
      <c r="B992" s="1047">
        <v>1.04</v>
      </c>
    </row>
    <row r="993" spans="1:2" ht="21">
      <c r="A993" s="386" t="s">
        <v>12</v>
      </c>
      <c r="B993" s="1047">
        <v>1.0401</v>
      </c>
    </row>
    <row r="994" spans="1:2" ht="21">
      <c r="A994" s="386" t="s">
        <v>2455</v>
      </c>
      <c r="B994" s="1047">
        <v>1.04</v>
      </c>
    </row>
    <row r="995" spans="1:2" ht="21">
      <c r="A995" s="386" t="s">
        <v>59</v>
      </c>
      <c r="B995" s="1047">
        <v>1.04</v>
      </c>
    </row>
    <row r="996" spans="1:2" ht="21">
      <c r="A996" s="386" t="s">
        <v>2456</v>
      </c>
      <c r="B996" s="1047">
        <v>1.04</v>
      </c>
    </row>
    <row r="997" spans="1:2" ht="21">
      <c r="A997" s="386" t="s">
        <v>1512</v>
      </c>
      <c r="B997" s="1047">
        <v>1.04</v>
      </c>
    </row>
    <row r="998" spans="1:2" ht="21">
      <c r="A998" s="386" t="s">
        <v>1174</v>
      </c>
      <c r="B998" s="1047">
        <v>1.0701000000000001</v>
      </c>
    </row>
    <row r="999" spans="1:2" ht="21">
      <c r="A999" s="386" t="s">
        <v>1175</v>
      </c>
      <c r="B999" s="1047">
        <v>1.04</v>
      </c>
    </row>
    <row r="1000" spans="1:2" ht="21">
      <c r="A1000" s="386" t="s">
        <v>196</v>
      </c>
      <c r="B1000" s="1047">
        <v>1.17</v>
      </c>
    </row>
    <row r="1001" spans="1:2" ht="21">
      <c r="A1001" s="386" t="s">
        <v>800</v>
      </c>
      <c r="B1001" s="1047">
        <v>1.04</v>
      </c>
    </row>
    <row r="1002" spans="1:2" ht="21">
      <c r="A1002" s="386" t="s">
        <v>2176</v>
      </c>
      <c r="B1002" s="1047">
        <v>1.04</v>
      </c>
    </row>
    <row r="1003" spans="1:2" ht="21">
      <c r="A1003" s="386" t="s">
        <v>2424</v>
      </c>
      <c r="B1003" s="1047">
        <v>1.04</v>
      </c>
    </row>
    <row r="1004" spans="1:2" ht="21">
      <c r="A1004" s="386" t="s">
        <v>2425</v>
      </c>
      <c r="B1004" s="1047">
        <v>1.04</v>
      </c>
    </row>
    <row r="1005" spans="1:2" ht="21">
      <c r="A1005" s="386" t="s">
        <v>2022</v>
      </c>
      <c r="B1005" s="1047">
        <v>1.04</v>
      </c>
    </row>
    <row r="1006" spans="1:2" ht="21">
      <c r="A1006" s="386" t="s">
        <v>1150</v>
      </c>
      <c r="B1006" s="1047">
        <v>1.07</v>
      </c>
    </row>
    <row r="1007" spans="1:2" ht="21">
      <c r="A1007" s="386" t="s">
        <v>2229</v>
      </c>
      <c r="B1007" s="1047">
        <v>1.03</v>
      </c>
    </row>
    <row r="1008" spans="1:2" ht="21">
      <c r="A1008" s="386" t="s">
        <v>2230</v>
      </c>
      <c r="B1008" s="1047">
        <v>1.17</v>
      </c>
    </row>
    <row r="1009" spans="1:2" ht="21">
      <c r="A1009" s="386" t="s">
        <v>2575</v>
      </c>
      <c r="B1009" s="1047">
        <v>1.04</v>
      </c>
    </row>
    <row r="1010" spans="1:2" ht="21">
      <c r="A1010" s="386" t="s">
        <v>2576</v>
      </c>
      <c r="B1010" s="1047">
        <v>1.04</v>
      </c>
    </row>
    <row r="1011" spans="1:2" ht="21">
      <c r="A1011" s="386" t="s">
        <v>635</v>
      </c>
      <c r="B1011" s="1047">
        <v>1.04</v>
      </c>
    </row>
    <row r="1012" spans="1:2" ht="21">
      <c r="A1012" s="386" t="s">
        <v>679</v>
      </c>
      <c r="B1012" s="1047">
        <v>1.17</v>
      </c>
    </row>
    <row r="1013" spans="1:2" ht="21">
      <c r="A1013" s="386" t="s">
        <v>680</v>
      </c>
      <c r="B1013" s="1047">
        <v>1.04</v>
      </c>
    </row>
    <row r="1014" spans="1:2" ht="21">
      <c r="A1014" s="386" t="s">
        <v>1471</v>
      </c>
      <c r="B1014" s="1047">
        <v>0.97789999999999999</v>
      </c>
    </row>
    <row r="1015" spans="1:2" ht="21">
      <c r="A1015" s="386" t="s">
        <v>907</v>
      </c>
      <c r="B1015" s="1047">
        <v>1.04</v>
      </c>
    </row>
    <row r="1016" spans="1:2" ht="21">
      <c r="A1016" s="386" t="s">
        <v>1472</v>
      </c>
      <c r="B1016" s="1047">
        <v>1.17</v>
      </c>
    </row>
    <row r="1017" spans="1:2" ht="21">
      <c r="A1017" s="386" t="s">
        <v>1504</v>
      </c>
      <c r="B1017" s="1047">
        <v>1.17</v>
      </c>
    </row>
    <row r="1018" spans="1:2" ht="21">
      <c r="A1018" s="386" t="s">
        <v>514</v>
      </c>
      <c r="B1018" s="1047">
        <v>1.04</v>
      </c>
    </row>
    <row r="1019" spans="1:2" ht="21">
      <c r="A1019" s="386" t="s">
        <v>2406</v>
      </c>
      <c r="B1019" s="1047">
        <v>1.0847</v>
      </c>
    </row>
    <row r="1020" spans="1:2" ht="21">
      <c r="A1020" s="386" t="s">
        <v>1688</v>
      </c>
      <c r="B1020" s="1047">
        <v>1.1332</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85546875" customWidth="1"/>
    <col min="3" max="6" width="20.5703125" customWidth="1"/>
    <col min="7" max="10" width="20.5703125" hidden="1" customWidth="1"/>
    <col min="11" max="12" width="20.5703125" customWidth="1"/>
  </cols>
  <sheetData>
    <row r="1" spans="1:12">
      <c r="A1" s="760" t="s">
        <v>6666</v>
      </c>
      <c r="B1" s="372"/>
      <c r="C1" s="1074" t="s">
        <v>6656</v>
      </c>
      <c r="D1" s="1074" t="s">
        <v>6657</v>
      </c>
      <c r="E1" s="1074" t="s">
        <v>6658</v>
      </c>
      <c r="F1" s="1074" t="s">
        <v>6659</v>
      </c>
      <c r="G1" s="1076" t="s">
        <v>6660</v>
      </c>
      <c r="H1" s="1076" t="s">
        <v>6661</v>
      </c>
      <c r="I1" s="1076" t="s">
        <v>6662</v>
      </c>
      <c r="J1" s="1076" t="s">
        <v>6663</v>
      </c>
      <c r="K1" s="1074" t="s">
        <v>6664</v>
      </c>
      <c r="L1" s="1074" t="s">
        <v>6665</v>
      </c>
    </row>
    <row r="2" spans="1:12">
      <c r="A2" t="s">
        <v>197</v>
      </c>
      <c r="B2" s="31" t="s">
        <v>279</v>
      </c>
      <c r="C2" s="1075">
        <v>260793410</v>
      </c>
      <c r="D2" s="1075">
        <v>255828367</v>
      </c>
      <c r="E2" s="1075">
        <v>254851721</v>
      </c>
      <c r="F2" s="1075">
        <v>249886678</v>
      </c>
      <c r="G2" s="1073">
        <v>286308506</v>
      </c>
      <c r="H2" s="1073">
        <v>280821698</v>
      </c>
      <c r="I2" s="1073">
        <v>260793410</v>
      </c>
      <c r="J2" s="1077">
        <v>255828367</v>
      </c>
      <c r="K2" s="1075">
        <v>254851721</v>
      </c>
      <c r="L2" s="1075">
        <v>249886678</v>
      </c>
    </row>
    <row r="3" spans="1:12">
      <c r="A3" t="s">
        <v>1954</v>
      </c>
      <c r="B3" s="31" t="s">
        <v>280</v>
      </c>
      <c r="C3" s="1075">
        <v>267703658</v>
      </c>
      <c r="D3" s="1075">
        <v>254733010</v>
      </c>
      <c r="E3" s="1075">
        <v>267703658</v>
      </c>
      <c r="F3" s="1075">
        <v>254733010</v>
      </c>
      <c r="G3" s="1073">
        <v>305424649</v>
      </c>
      <c r="H3" s="1073">
        <v>305424649</v>
      </c>
      <c r="I3" s="1073">
        <v>267703658</v>
      </c>
      <c r="J3" s="1077">
        <v>254733010</v>
      </c>
      <c r="K3" s="1075">
        <v>267703658</v>
      </c>
      <c r="L3" s="1075">
        <v>254733010</v>
      </c>
    </row>
    <row r="4" spans="1:12">
      <c r="A4" t="s">
        <v>14</v>
      </c>
      <c r="B4" s="31" t="s">
        <v>281</v>
      </c>
      <c r="C4" s="1075">
        <v>251091175</v>
      </c>
      <c r="D4" s="1075">
        <v>240747748</v>
      </c>
      <c r="E4" s="1075">
        <v>237297397</v>
      </c>
      <c r="F4" s="1075">
        <v>226953970</v>
      </c>
      <c r="G4" s="1073">
        <v>268589357</v>
      </c>
      <c r="H4" s="1073">
        <v>254882444</v>
      </c>
      <c r="I4" s="1073">
        <v>251091175</v>
      </c>
      <c r="J4" s="1077">
        <v>240747748</v>
      </c>
      <c r="K4" s="1075">
        <v>237297397</v>
      </c>
      <c r="L4" s="1075">
        <v>226953970</v>
      </c>
    </row>
    <row r="5" spans="1:12">
      <c r="A5" t="s">
        <v>15</v>
      </c>
      <c r="B5" s="31" t="s">
        <v>282</v>
      </c>
      <c r="C5" s="1075">
        <v>102100305</v>
      </c>
      <c r="D5" s="1075">
        <v>98805242</v>
      </c>
      <c r="E5" s="1075">
        <v>98328220</v>
      </c>
      <c r="F5" s="1075">
        <v>95033157</v>
      </c>
      <c r="G5" s="1073">
        <v>126121448</v>
      </c>
      <c r="H5" s="1073">
        <v>122559640</v>
      </c>
      <c r="I5" s="1073">
        <v>102100305</v>
      </c>
      <c r="J5" s="1077">
        <v>98805242</v>
      </c>
      <c r="K5" s="1075">
        <v>98328220</v>
      </c>
      <c r="L5" s="1075">
        <v>95033157</v>
      </c>
    </row>
    <row r="6" spans="1:12">
      <c r="A6" t="s">
        <v>16</v>
      </c>
      <c r="B6" s="31" t="s">
        <v>283</v>
      </c>
      <c r="C6" s="1075">
        <v>1093932382</v>
      </c>
      <c r="D6" s="1075">
        <v>1053528640</v>
      </c>
      <c r="E6" s="1075">
        <v>1093932382</v>
      </c>
      <c r="F6" s="1075">
        <v>1053528640</v>
      </c>
      <c r="G6" s="1073">
        <v>1016023654</v>
      </c>
      <c r="H6" s="1073">
        <v>1016023654</v>
      </c>
      <c r="I6" s="1073">
        <v>1093932382</v>
      </c>
      <c r="J6" s="1077">
        <v>1053528640</v>
      </c>
      <c r="K6" s="1075">
        <v>1093932382</v>
      </c>
      <c r="L6" s="1075">
        <v>1053528640</v>
      </c>
    </row>
    <row r="7" spans="1:12">
      <c r="A7" t="s">
        <v>1098</v>
      </c>
      <c r="B7" s="31" t="s">
        <v>1188</v>
      </c>
      <c r="C7" s="1075">
        <v>504035129</v>
      </c>
      <c r="D7" s="1075">
        <v>487016255</v>
      </c>
      <c r="E7" s="1075">
        <v>504035129</v>
      </c>
      <c r="F7" s="1075">
        <v>487016255</v>
      </c>
      <c r="G7" s="1073">
        <v>436841383</v>
      </c>
      <c r="H7" s="1073">
        <v>436841383</v>
      </c>
      <c r="I7" s="1073">
        <v>504035129</v>
      </c>
      <c r="J7" s="1077">
        <v>487016255</v>
      </c>
      <c r="K7" s="1075">
        <v>504035129</v>
      </c>
      <c r="L7" s="1075">
        <v>487016255</v>
      </c>
    </row>
    <row r="8" spans="1:12">
      <c r="A8" t="s">
        <v>1099</v>
      </c>
      <c r="B8" s="31" t="s">
        <v>1189</v>
      </c>
      <c r="C8" s="1075">
        <v>114371171</v>
      </c>
      <c r="D8" s="1075">
        <v>109081785</v>
      </c>
      <c r="E8" s="1075">
        <v>114371171</v>
      </c>
      <c r="F8" s="1075">
        <v>109081785</v>
      </c>
      <c r="G8" s="1073">
        <v>122881361</v>
      </c>
      <c r="H8" s="1073">
        <v>122881361</v>
      </c>
      <c r="I8" s="1073">
        <v>114371171</v>
      </c>
      <c r="J8" s="1077">
        <v>109081785</v>
      </c>
      <c r="K8" s="1075">
        <v>114371171</v>
      </c>
      <c r="L8" s="1075">
        <v>109081785</v>
      </c>
    </row>
    <row r="9" spans="1:12">
      <c r="A9" t="s">
        <v>1841</v>
      </c>
      <c r="B9" s="31" t="s">
        <v>1190</v>
      </c>
      <c r="C9" s="1075">
        <v>3389706499</v>
      </c>
      <c r="D9" s="1075">
        <v>3355657448</v>
      </c>
      <c r="E9" s="1075">
        <v>3337268497</v>
      </c>
      <c r="F9" s="1075">
        <v>3303219446</v>
      </c>
      <c r="G9" s="1073">
        <v>7092557160</v>
      </c>
      <c r="H9" s="1073">
        <v>7045900649</v>
      </c>
      <c r="I9" s="1073">
        <v>3389706499</v>
      </c>
      <c r="J9" s="1077">
        <v>3355657448</v>
      </c>
      <c r="K9" s="1075">
        <v>3337268497</v>
      </c>
      <c r="L9" s="1075">
        <v>3303219446</v>
      </c>
    </row>
    <row r="10" spans="1:12">
      <c r="A10" t="s">
        <v>676</v>
      </c>
      <c r="B10" s="31" t="s">
        <v>2382</v>
      </c>
      <c r="C10" s="1075">
        <v>474087233</v>
      </c>
      <c r="D10" s="1075">
        <v>453698962</v>
      </c>
      <c r="E10" s="1075">
        <v>474087233</v>
      </c>
      <c r="F10" s="1075">
        <v>453698962</v>
      </c>
      <c r="G10" s="1073">
        <v>444349992</v>
      </c>
      <c r="H10" s="1073">
        <v>444349992</v>
      </c>
      <c r="I10" s="1073">
        <v>474087233</v>
      </c>
      <c r="J10" s="1077">
        <v>453698962</v>
      </c>
      <c r="K10" s="1075">
        <v>474087233</v>
      </c>
      <c r="L10" s="1075">
        <v>453698962</v>
      </c>
    </row>
    <row r="11" spans="1:12">
      <c r="A11" t="s">
        <v>1452</v>
      </c>
      <c r="B11" s="31" t="s">
        <v>1191</v>
      </c>
      <c r="C11" s="1075">
        <v>2301279282</v>
      </c>
      <c r="D11" s="1075">
        <v>2225029045</v>
      </c>
      <c r="E11" s="1075">
        <v>2301279282</v>
      </c>
      <c r="F11" s="1075">
        <v>2225029045</v>
      </c>
      <c r="G11" s="1073">
        <v>2306143147</v>
      </c>
      <c r="H11" s="1073">
        <v>2306143147</v>
      </c>
      <c r="I11" s="1073">
        <v>2301279282</v>
      </c>
      <c r="J11" s="1077">
        <v>2225029045</v>
      </c>
      <c r="K11" s="1075">
        <v>2301279282</v>
      </c>
      <c r="L11" s="1075">
        <v>2225029045</v>
      </c>
    </row>
    <row r="12" spans="1:12">
      <c r="A12" t="s">
        <v>1118</v>
      </c>
      <c r="B12" s="31" t="s">
        <v>1266</v>
      </c>
      <c r="C12" s="1075">
        <v>268813521</v>
      </c>
      <c r="D12" s="1075">
        <v>252633590</v>
      </c>
      <c r="E12" s="1075">
        <v>251493437</v>
      </c>
      <c r="F12" s="1075">
        <v>235313506</v>
      </c>
      <c r="G12" s="1073">
        <v>243378998</v>
      </c>
      <c r="H12" s="1073">
        <v>225876294</v>
      </c>
      <c r="I12" s="1073">
        <v>268813521</v>
      </c>
      <c r="J12" s="1077">
        <v>252633590</v>
      </c>
      <c r="K12" s="1075">
        <v>251493437</v>
      </c>
      <c r="L12" s="1075">
        <v>235313506</v>
      </c>
    </row>
    <row r="13" spans="1:12">
      <c r="A13" t="s">
        <v>337</v>
      </c>
      <c r="B13" s="31" t="s">
        <v>1192</v>
      </c>
      <c r="C13" s="1075">
        <v>301603957</v>
      </c>
      <c r="D13" s="1075">
        <v>287914949</v>
      </c>
      <c r="E13" s="1075">
        <v>289307881</v>
      </c>
      <c r="F13" s="1075">
        <v>275618873</v>
      </c>
      <c r="G13" s="1073">
        <v>292396680</v>
      </c>
      <c r="H13" s="1073">
        <v>279745333</v>
      </c>
      <c r="I13" s="1073">
        <v>301603957</v>
      </c>
      <c r="J13" s="1077">
        <v>287914949</v>
      </c>
      <c r="K13" s="1075">
        <v>289307881</v>
      </c>
      <c r="L13" s="1075">
        <v>275618873</v>
      </c>
    </row>
    <row r="14" spans="1:12">
      <c r="A14" t="s">
        <v>338</v>
      </c>
      <c r="B14" s="31" t="s">
        <v>1193</v>
      </c>
      <c r="C14" s="1075">
        <v>110523874</v>
      </c>
      <c r="D14" s="1075">
        <v>104895758</v>
      </c>
      <c r="E14" s="1075">
        <v>105582615</v>
      </c>
      <c r="F14" s="1075">
        <v>99954499</v>
      </c>
      <c r="G14" s="1073">
        <v>99081209</v>
      </c>
      <c r="H14" s="1073">
        <v>94054973</v>
      </c>
      <c r="I14" s="1073">
        <v>110523874</v>
      </c>
      <c r="J14" s="1077">
        <v>104895758</v>
      </c>
      <c r="K14" s="1075">
        <v>105582615</v>
      </c>
      <c r="L14" s="1075">
        <v>99954499</v>
      </c>
    </row>
    <row r="15" spans="1:12">
      <c r="A15" t="s">
        <v>339</v>
      </c>
      <c r="B15" s="31" t="s">
        <v>1194</v>
      </c>
      <c r="C15" s="1075">
        <v>275287340</v>
      </c>
      <c r="D15" s="1075">
        <v>259419370</v>
      </c>
      <c r="E15" s="1075">
        <v>275287340</v>
      </c>
      <c r="F15" s="1075">
        <v>259419370</v>
      </c>
      <c r="G15" s="1073">
        <v>259520865</v>
      </c>
      <c r="H15" s="1073">
        <v>259520865</v>
      </c>
      <c r="I15" s="1073">
        <v>275287340</v>
      </c>
      <c r="J15" s="1077">
        <v>259419370</v>
      </c>
      <c r="K15" s="1075">
        <v>275287340</v>
      </c>
      <c r="L15" s="1075">
        <v>259419370</v>
      </c>
    </row>
    <row r="16" spans="1:12">
      <c r="A16" t="s">
        <v>2479</v>
      </c>
      <c r="B16" s="31" t="s">
        <v>1195</v>
      </c>
      <c r="C16" s="1075">
        <v>2807188175</v>
      </c>
      <c r="D16" s="1075">
        <v>2757370325</v>
      </c>
      <c r="E16" s="1075">
        <v>2807188175</v>
      </c>
      <c r="F16" s="1075">
        <v>2757370325</v>
      </c>
      <c r="G16" s="1073">
        <v>2755091019</v>
      </c>
      <c r="H16" s="1073">
        <v>2755091019</v>
      </c>
      <c r="I16" s="1073">
        <v>2807188175</v>
      </c>
      <c r="J16" s="1077">
        <v>2757370325</v>
      </c>
      <c r="K16" s="1075">
        <v>2807188175</v>
      </c>
      <c r="L16" s="1075">
        <v>2757370325</v>
      </c>
    </row>
    <row r="17" spans="1:12">
      <c r="A17" t="s">
        <v>2480</v>
      </c>
      <c r="B17" s="31" t="s">
        <v>1196</v>
      </c>
      <c r="C17" s="1075">
        <v>219858290</v>
      </c>
      <c r="D17" s="1075">
        <v>213114230</v>
      </c>
      <c r="E17" s="1075">
        <v>219858290</v>
      </c>
      <c r="F17" s="1075">
        <v>213114230</v>
      </c>
      <c r="G17" s="1073">
        <v>470391702</v>
      </c>
      <c r="H17" s="1073">
        <v>470391702</v>
      </c>
      <c r="I17" s="1073">
        <v>419310790</v>
      </c>
      <c r="J17" s="1077">
        <v>412566730</v>
      </c>
      <c r="K17" s="1075">
        <v>419310790</v>
      </c>
      <c r="L17" s="1075">
        <v>412566730</v>
      </c>
    </row>
    <row r="18" spans="1:12">
      <c r="A18" t="s">
        <v>2481</v>
      </c>
      <c r="B18" s="31" t="s">
        <v>1197</v>
      </c>
      <c r="C18" s="1075">
        <v>291780288</v>
      </c>
      <c r="D18" s="1075">
        <v>279858093</v>
      </c>
      <c r="E18" s="1075">
        <v>291780288</v>
      </c>
      <c r="F18" s="1075">
        <v>279858093</v>
      </c>
      <c r="G18" s="1073">
        <v>332318362</v>
      </c>
      <c r="H18" s="1073">
        <v>332318362</v>
      </c>
      <c r="I18" s="1073">
        <v>291780288</v>
      </c>
      <c r="J18" s="1077">
        <v>279858093</v>
      </c>
      <c r="K18" s="1075">
        <v>291780288</v>
      </c>
      <c r="L18" s="1075">
        <v>279858093</v>
      </c>
    </row>
    <row r="19" spans="1:12">
      <c r="A19" t="s">
        <v>1945</v>
      </c>
      <c r="B19" s="31" t="s">
        <v>1128</v>
      </c>
      <c r="C19" s="1075">
        <v>89927189</v>
      </c>
      <c r="D19" s="1075">
        <v>86369529</v>
      </c>
      <c r="E19" s="1075">
        <v>89927189</v>
      </c>
      <c r="F19" s="1075">
        <v>86369529</v>
      </c>
      <c r="G19" s="1073">
        <v>76817671</v>
      </c>
      <c r="H19" s="1073">
        <v>76817671</v>
      </c>
      <c r="I19" s="1073">
        <v>89927189</v>
      </c>
      <c r="J19" s="1077">
        <v>86369529</v>
      </c>
      <c r="K19" s="1075">
        <v>89927189</v>
      </c>
      <c r="L19" s="1075">
        <v>86369529</v>
      </c>
    </row>
    <row r="20" spans="1:12">
      <c r="A20" t="s">
        <v>2483</v>
      </c>
      <c r="B20" s="31" t="s">
        <v>1198</v>
      </c>
      <c r="C20" s="1075">
        <v>164283555</v>
      </c>
      <c r="D20" s="1075">
        <v>159464915</v>
      </c>
      <c r="E20" s="1075">
        <v>164283555</v>
      </c>
      <c r="F20" s="1075">
        <v>159464915</v>
      </c>
      <c r="G20" s="1073">
        <v>170558391</v>
      </c>
      <c r="H20" s="1073">
        <v>170558391</v>
      </c>
      <c r="I20" s="1073">
        <v>233509655</v>
      </c>
      <c r="J20" s="1077">
        <v>228691015</v>
      </c>
      <c r="K20" s="1075">
        <v>233509655</v>
      </c>
      <c r="L20" s="1075">
        <v>228691015</v>
      </c>
    </row>
    <row r="21" spans="1:12">
      <c r="A21" t="s">
        <v>708</v>
      </c>
      <c r="B21" s="31" t="s">
        <v>661</v>
      </c>
      <c r="C21" s="1075">
        <v>238633170</v>
      </c>
      <c r="D21" s="1075">
        <v>234979828</v>
      </c>
      <c r="E21" s="1075">
        <v>238633170</v>
      </c>
      <c r="F21" s="1075">
        <v>234979828</v>
      </c>
      <c r="G21" s="1073">
        <v>296303376</v>
      </c>
      <c r="H21" s="1073">
        <v>296303376</v>
      </c>
      <c r="I21" s="1073">
        <v>238633170</v>
      </c>
      <c r="J21" s="1077">
        <v>234979828</v>
      </c>
      <c r="K21" s="1075">
        <v>238633170</v>
      </c>
      <c r="L21" s="1075">
        <v>234979828</v>
      </c>
    </row>
    <row r="22" spans="1:12">
      <c r="A22" t="s">
        <v>2484</v>
      </c>
      <c r="B22" s="31" t="s">
        <v>1199</v>
      </c>
      <c r="C22" s="1075">
        <v>761865823</v>
      </c>
      <c r="D22" s="1075">
        <v>751047918</v>
      </c>
      <c r="E22" s="1075">
        <v>761865823</v>
      </c>
      <c r="F22" s="1075">
        <v>751047918</v>
      </c>
      <c r="G22" s="1073">
        <v>827821008</v>
      </c>
      <c r="H22" s="1073">
        <v>827821008</v>
      </c>
      <c r="I22" s="1073">
        <v>761865823</v>
      </c>
      <c r="J22" s="1077">
        <v>751047918</v>
      </c>
      <c r="K22" s="1075">
        <v>761865823</v>
      </c>
      <c r="L22" s="1075">
        <v>751047918</v>
      </c>
    </row>
    <row r="23" spans="1:12">
      <c r="A23" t="s">
        <v>2090</v>
      </c>
      <c r="B23" s="31" t="s">
        <v>1200</v>
      </c>
      <c r="C23" s="1075">
        <v>284216035</v>
      </c>
      <c r="D23" s="1075">
        <v>271343193</v>
      </c>
      <c r="E23" s="1075">
        <v>284216035</v>
      </c>
      <c r="F23" s="1075">
        <v>271343193</v>
      </c>
      <c r="G23" s="1073">
        <v>255411510</v>
      </c>
      <c r="H23" s="1073">
        <v>255411510</v>
      </c>
      <c r="I23" s="1073">
        <v>284216035</v>
      </c>
      <c r="J23" s="1077">
        <v>271343193</v>
      </c>
      <c r="K23" s="1075">
        <v>284216035</v>
      </c>
      <c r="L23" s="1075">
        <v>271343193</v>
      </c>
    </row>
    <row r="24" spans="1:12">
      <c r="A24" t="s">
        <v>213</v>
      </c>
      <c r="B24" s="31" t="s">
        <v>1001</v>
      </c>
      <c r="C24" s="1075">
        <v>1717627345</v>
      </c>
      <c r="D24" s="1075">
        <v>1685287530</v>
      </c>
      <c r="E24" s="1075">
        <v>1717627345</v>
      </c>
      <c r="F24" s="1075">
        <v>1685287530</v>
      </c>
      <c r="G24" s="1073">
        <v>2248045945</v>
      </c>
      <c r="H24" s="1073">
        <v>2248045945</v>
      </c>
      <c r="I24" s="1073">
        <v>1717627345</v>
      </c>
      <c r="J24" s="1077">
        <v>1685287530</v>
      </c>
      <c r="K24" s="1075">
        <v>1717627345</v>
      </c>
      <c r="L24" s="1075">
        <v>1685287530</v>
      </c>
    </row>
    <row r="25" spans="1:12">
      <c r="A25" t="s">
        <v>2133</v>
      </c>
      <c r="B25" s="31" t="s">
        <v>1004</v>
      </c>
      <c r="C25" s="1075">
        <v>261770328</v>
      </c>
      <c r="D25" s="1075">
        <v>247775569</v>
      </c>
      <c r="E25" s="1075">
        <v>261770328</v>
      </c>
      <c r="F25" s="1075">
        <v>247775569</v>
      </c>
      <c r="G25" s="1073">
        <v>230053136</v>
      </c>
      <c r="H25" s="1073">
        <v>230053136</v>
      </c>
      <c r="I25" s="1073">
        <v>261770328</v>
      </c>
      <c r="J25" s="1077">
        <v>247775569</v>
      </c>
      <c r="K25" s="1075">
        <v>261770328</v>
      </c>
      <c r="L25" s="1075">
        <v>247775569</v>
      </c>
    </row>
    <row r="26" spans="1:12">
      <c r="A26" t="s">
        <v>2485</v>
      </c>
      <c r="B26" s="31" t="s">
        <v>1201</v>
      </c>
      <c r="C26" s="1075">
        <v>1173949192</v>
      </c>
      <c r="D26" s="1075">
        <v>1142498760</v>
      </c>
      <c r="E26" s="1075">
        <v>1173949192</v>
      </c>
      <c r="F26" s="1075">
        <v>1142498760</v>
      </c>
      <c r="G26" s="1073">
        <v>1123785753</v>
      </c>
      <c r="H26" s="1073">
        <v>1123785753</v>
      </c>
      <c r="I26" s="1073">
        <v>1173949192</v>
      </c>
      <c r="J26" s="1077">
        <v>1142498760</v>
      </c>
      <c r="K26" s="1075">
        <v>1173949192</v>
      </c>
      <c r="L26" s="1075">
        <v>1142498760</v>
      </c>
    </row>
    <row r="27" spans="1:12">
      <c r="A27" t="s">
        <v>685</v>
      </c>
      <c r="B27" s="31" t="s">
        <v>1202</v>
      </c>
      <c r="C27" s="1075">
        <v>1228720437</v>
      </c>
      <c r="D27" s="1075">
        <v>1201264432</v>
      </c>
      <c r="E27" s="1075">
        <v>1176645946</v>
      </c>
      <c r="F27" s="1075">
        <v>1149189941</v>
      </c>
      <c r="G27" s="1073">
        <v>1164735902</v>
      </c>
      <c r="H27" s="1073">
        <v>1117877879</v>
      </c>
      <c r="I27" s="1073">
        <v>1228720437</v>
      </c>
      <c r="J27" s="1077">
        <v>1201264432</v>
      </c>
      <c r="K27" s="1075">
        <v>1176645946</v>
      </c>
      <c r="L27" s="1075">
        <v>1149189941</v>
      </c>
    </row>
    <row r="28" spans="1:12">
      <c r="A28" t="s">
        <v>686</v>
      </c>
      <c r="B28" s="31" t="s">
        <v>1203</v>
      </c>
      <c r="C28" s="1075">
        <v>269131224</v>
      </c>
      <c r="D28" s="1075">
        <v>260479581</v>
      </c>
      <c r="E28" s="1075">
        <v>265784991</v>
      </c>
      <c r="F28" s="1075">
        <v>257133348</v>
      </c>
      <c r="G28" s="1073">
        <v>314419337</v>
      </c>
      <c r="H28" s="1073">
        <v>311336861</v>
      </c>
      <c r="I28" s="1073">
        <v>269131224</v>
      </c>
      <c r="J28" s="1077">
        <v>260479581</v>
      </c>
      <c r="K28" s="1075">
        <v>265784991</v>
      </c>
      <c r="L28" s="1075">
        <v>257133348</v>
      </c>
    </row>
    <row r="29" spans="1:12">
      <c r="A29" t="s">
        <v>687</v>
      </c>
      <c r="B29" s="31" t="s">
        <v>1204</v>
      </c>
      <c r="C29" s="1075">
        <v>268442420</v>
      </c>
      <c r="D29" s="1075">
        <v>259262155</v>
      </c>
      <c r="E29" s="1075">
        <v>268442420</v>
      </c>
      <c r="F29" s="1075">
        <v>259262155</v>
      </c>
      <c r="G29" s="1073">
        <v>248873732</v>
      </c>
      <c r="H29" s="1073">
        <v>248873732</v>
      </c>
      <c r="I29" s="1073">
        <v>268442420</v>
      </c>
      <c r="J29" s="1077">
        <v>259262155</v>
      </c>
      <c r="K29" s="1075">
        <v>268442420</v>
      </c>
      <c r="L29" s="1075">
        <v>259262155</v>
      </c>
    </row>
    <row r="30" spans="1:12">
      <c r="A30" t="s">
        <v>188</v>
      </c>
      <c r="B30" s="31" t="s">
        <v>1205</v>
      </c>
      <c r="C30" s="1075">
        <v>240133535</v>
      </c>
      <c r="D30" s="1075">
        <v>234927938</v>
      </c>
      <c r="E30" s="1075">
        <v>240133535</v>
      </c>
      <c r="F30" s="1075">
        <v>234927938</v>
      </c>
      <c r="G30" s="1073">
        <v>228525948</v>
      </c>
      <c r="H30" s="1073">
        <v>228525948</v>
      </c>
      <c r="I30" s="1073">
        <v>240133535</v>
      </c>
      <c r="J30" s="1077">
        <v>234927938</v>
      </c>
      <c r="K30" s="1075">
        <v>240133535</v>
      </c>
      <c r="L30" s="1075">
        <v>234927938</v>
      </c>
    </row>
    <row r="31" spans="1:12">
      <c r="A31" t="s">
        <v>1946</v>
      </c>
      <c r="B31" s="31" t="s">
        <v>2121</v>
      </c>
      <c r="C31" s="1075">
        <v>1501187388</v>
      </c>
      <c r="D31" s="1075">
        <v>1454455022</v>
      </c>
      <c r="E31" s="1075">
        <v>1501187388</v>
      </c>
      <c r="F31" s="1075">
        <v>1454455022</v>
      </c>
      <c r="G31" s="1073">
        <v>1437754535</v>
      </c>
      <c r="H31" s="1073">
        <v>1437754535</v>
      </c>
      <c r="I31" s="1073">
        <v>1501187388</v>
      </c>
      <c r="J31" s="1077">
        <v>1454455022</v>
      </c>
      <c r="K31" s="1075">
        <v>1501187388</v>
      </c>
      <c r="L31" s="1075">
        <v>1454455022</v>
      </c>
    </row>
    <row r="32" spans="1:12">
      <c r="A32" t="s">
        <v>1683</v>
      </c>
      <c r="B32" s="31" t="s">
        <v>2123</v>
      </c>
      <c r="C32" s="1075">
        <v>3419791860</v>
      </c>
      <c r="D32" s="1075">
        <v>3336205139</v>
      </c>
      <c r="E32" s="1075">
        <v>3419791860</v>
      </c>
      <c r="F32" s="1075">
        <v>3336205139</v>
      </c>
      <c r="G32" s="1073">
        <v>3123994439</v>
      </c>
      <c r="H32" s="1073">
        <v>3123994439</v>
      </c>
      <c r="I32" s="1073">
        <v>3419791860</v>
      </c>
      <c r="J32" s="1077">
        <v>3336205139</v>
      </c>
      <c r="K32" s="1075">
        <v>3419791860</v>
      </c>
      <c r="L32" s="1075">
        <v>3336205139</v>
      </c>
    </row>
    <row r="33" spans="1:12">
      <c r="A33" t="s">
        <v>773</v>
      </c>
      <c r="B33" s="31" t="s">
        <v>890</v>
      </c>
      <c r="C33" s="1075">
        <v>1124779095</v>
      </c>
      <c r="D33" s="1075">
        <v>1086277556</v>
      </c>
      <c r="E33" s="1075">
        <v>1124779095</v>
      </c>
      <c r="F33" s="1075">
        <v>1086277556</v>
      </c>
      <c r="G33" s="1073">
        <v>934072723</v>
      </c>
      <c r="H33" s="1073">
        <v>934072723</v>
      </c>
      <c r="I33" s="1073">
        <v>1124779095</v>
      </c>
      <c r="J33" s="1077">
        <v>1086277556</v>
      </c>
      <c r="K33" s="1075">
        <v>1124779095</v>
      </c>
      <c r="L33" s="1075">
        <v>1086277556</v>
      </c>
    </row>
    <row r="34" spans="1:12">
      <c r="A34" t="s">
        <v>2366</v>
      </c>
      <c r="B34" s="31" t="s">
        <v>1928</v>
      </c>
      <c r="C34" s="1075">
        <v>781167620</v>
      </c>
      <c r="D34" s="1075">
        <v>758550764</v>
      </c>
      <c r="E34" s="1075">
        <v>781167620</v>
      </c>
      <c r="F34" s="1075">
        <v>758550764</v>
      </c>
      <c r="G34" s="1073">
        <v>641861899</v>
      </c>
      <c r="H34" s="1073">
        <v>641861899</v>
      </c>
      <c r="I34" s="1073">
        <v>781167620</v>
      </c>
      <c r="J34" s="1077">
        <v>758550764</v>
      </c>
      <c r="K34" s="1075">
        <v>781167620</v>
      </c>
      <c r="L34" s="1075">
        <v>758550764</v>
      </c>
    </row>
    <row r="35" spans="1:12">
      <c r="A35" t="s">
        <v>2134</v>
      </c>
      <c r="B35" s="31" t="s">
        <v>818</v>
      </c>
      <c r="C35" s="1075">
        <v>87808150</v>
      </c>
      <c r="D35" s="1075">
        <v>84822917</v>
      </c>
      <c r="E35" s="1075">
        <v>87808150</v>
      </c>
      <c r="F35" s="1075">
        <v>84822917</v>
      </c>
      <c r="G35" s="1073">
        <v>76010917</v>
      </c>
      <c r="H35" s="1073">
        <v>76010917</v>
      </c>
      <c r="I35" s="1073">
        <v>87808150</v>
      </c>
      <c r="J35" s="1077">
        <v>84822917</v>
      </c>
      <c r="K35" s="1075">
        <v>87808150</v>
      </c>
      <c r="L35" s="1075">
        <v>84822917</v>
      </c>
    </row>
    <row r="36" spans="1:12">
      <c r="A36" t="s">
        <v>452</v>
      </c>
      <c r="B36" s="31" t="s">
        <v>1206</v>
      </c>
      <c r="C36" s="1075">
        <v>196440948</v>
      </c>
      <c r="D36" s="1075">
        <v>188848538</v>
      </c>
      <c r="E36" s="1075">
        <v>196440948</v>
      </c>
      <c r="F36" s="1075">
        <v>188848538</v>
      </c>
      <c r="G36" s="1073">
        <v>187072252</v>
      </c>
      <c r="H36" s="1073">
        <v>187072252</v>
      </c>
      <c r="I36" s="1073">
        <v>527043408</v>
      </c>
      <c r="J36" s="1077">
        <v>519450998</v>
      </c>
      <c r="K36" s="1075">
        <v>527043408</v>
      </c>
      <c r="L36" s="1075">
        <v>519450998</v>
      </c>
    </row>
    <row r="37" spans="1:12">
      <c r="A37" t="s">
        <v>2367</v>
      </c>
      <c r="B37" s="31" t="s">
        <v>2124</v>
      </c>
      <c r="C37" s="1075">
        <v>812504144</v>
      </c>
      <c r="D37" s="1075">
        <v>780268694</v>
      </c>
      <c r="E37" s="1075">
        <v>812504144</v>
      </c>
      <c r="F37" s="1075">
        <v>780268694</v>
      </c>
      <c r="G37" s="1073">
        <v>779833047</v>
      </c>
      <c r="H37" s="1073">
        <v>779833047</v>
      </c>
      <c r="I37" s="1073">
        <v>812504144</v>
      </c>
      <c r="J37" s="1077">
        <v>780268694</v>
      </c>
      <c r="K37" s="1075">
        <v>812504144</v>
      </c>
      <c r="L37" s="1075">
        <v>780268694</v>
      </c>
    </row>
    <row r="38" spans="1:12">
      <c r="A38" t="s">
        <v>2651</v>
      </c>
      <c r="B38" s="31" t="s">
        <v>1207</v>
      </c>
      <c r="C38" s="1075">
        <v>328474244</v>
      </c>
      <c r="D38" s="1075">
        <v>326891587</v>
      </c>
      <c r="E38" s="1075">
        <v>326896709</v>
      </c>
      <c r="F38" s="1075">
        <v>325314052</v>
      </c>
      <c r="G38" s="1073">
        <v>521108884</v>
      </c>
      <c r="H38" s="1073">
        <v>519589794</v>
      </c>
      <c r="I38" s="1073">
        <v>328474244</v>
      </c>
      <c r="J38" s="1077">
        <v>326891587</v>
      </c>
      <c r="K38" s="1075">
        <v>326896709</v>
      </c>
      <c r="L38" s="1075">
        <v>325314052</v>
      </c>
    </row>
    <row r="39" spans="1:12">
      <c r="A39" t="s">
        <v>2652</v>
      </c>
      <c r="B39" s="31" t="s">
        <v>1208</v>
      </c>
      <c r="C39" s="1075">
        <v>552615733</v>
      </c>
      <c r="D39" s="1075">
        <v>549258118</v>
      </c>
      <c r="E39" s="1075">
        <v>552615733</v>
      </c>
      <c r="F39" s="1075">
        <v>549258118</v>
      </c>
      <c r="G39" s="1073">
        <v>509708658</v>
      </c>
      <c r="H39" s="1073">
        <v>509708658</v>
      </c>
      <c r="I39" s="1073">
        <v>628461783</v>
      </c>
      <c r="J39" s="1077">
        <v>625104168</v>
      </c>
      <c r="K39" s="1075">
        <v>628461783</v>
      </c>
      <c r="L39" s="1075">
        <v>625104168</v>
      </c>
    </row>
    <row r="40" spans="1:12">
      <c r="A40" t="s">
        <v>1149</v>
      </c>
      <c r="B40" s="31" t="s">
        <v>1828</v>
      </c>
      <c r="C40" s="1075">
        <v>153347280</v>
      </c>
      <c r="D40" s="1075">
        <v>148543691</v>
      </c>
      <c r="E40" s="1075">
        <v>153347280</v>
      </c>
      <c r="F40" s="1075">
        <v>148543691</v>
      </c>
      <c r="G40" s="1073">
        <v>157143962</v>
      </c>
      <c r="H40" s="1073">
        <v>152400907</v>
      </c>
      <c r="I40" s="1073">
        <v>153347280</v>
      </c>
      <c r="J40" s="1077">
        <v>148543691</v>
      </c>
      <c r="K40" s="1075">
        <v>153347280</v>
      </c>
      <c r="L40" s="1075">
        <v>148543691</v>
      </c>
    </row>
    <row r="41" spans="1:12">
      <c r="A41" t="s">
        <v>2135</v>
      </c>
      <c r="B41" s="31" t="s">
        <v>1209</v>
      </c>
      <c r="C41" s="1075">
        <v>364979526</v>
      </c>
      <c r="D41" s="1075">
        <v>349563619</v>
      </c>
      <c r="E41" s="1075">
        <v>364979526</v>
      </c>
      <c r="F41" s="1075">
        <v>349563619</v>
      </c>
      <c r="G41" s="1073">
        <v>302238912</v>
      </c>
      <c r="H41" s="1073">
        <v>302238912</v>
      </c>
      <c r="I41" s="1073">
        <v>364979526</v>
      </c>
      <c r="J41" s="1077">
        <v>349563619</v>
      </c>
      <c r="K41" s="1075">
        <v>364979526</v>
      </c>
      <c r="L41" s="1075">
        <v>349563619</v>
      </c>
    </row>
    <row r="42" spans="1:12">
      <c r="A42" t="s">
        <v>1682</v>
      </c>
      <c r="B42" s="31" t="s">
        <v>2122</v>
      </c>
      <c r="C42" s="1075">
        <v>111881758</v>
      </c>
      <c r="D42" s="1075">
        <v>107054290</v>
      </c>
      <c r="E42" s="1075">
        <v>111881758</v>
      </c>
      <c r="F42" s="1075">
        <v>107054290</v>
      </c>
      <c r="G42" s="1073">
        <v>103028339</v>
      </c>
      <c r="H42" s="1073">
        <v>103028339</v>
      </c>
      <c r="I42" s="1073">
        <v>111881758</v>
      </c>
      <c r="J42" s="1077">
        <v>107054290</v>
      </c>
      <c r="K42" s="1075">
        <v>111881758</v>
      </c>
      <c r="L42" s="1075">
        <v>107054290</v>
      </c>
    </row>
    <row r="43" spans="1:12">
      <c r="A43" t="s">
        <v>1685</v>
      </c>
      <c r="B43" s="31" t="s">
        <v>2680</v>
      </c>
      <c r="C43" s="1075">
        <v>2778875360</v>
      </c>
      <c r="D43" s="1075">
        <v>2674828224</v>
      </c>
      <c r="E43" s="1075">
        <v>2778875360</v>
      </c>
      <c r="F43" s="1075">
        <v>2674828224</v>
      </c>
      <c r="G43" s="1073">
        <v>2423117959</v>
      </c>
      <c r="H43" s="1073">
        <v>2423117959</v>
      </c>
      <c r="I43" s="1073">
        <v>2778875360</v>
      </c>
      <c r="J43" s="1077">
        <v>2674828224</v>
      </c>
      <c r="K43" s="1075">
        <v>2778875360</v>
      </c>
      <c r="L43" s="1075">
        <v>2674828224</v>
      </c>
    </row>
    <row r="44" spans="1:12">
      <c r="A44" t="s">
        <v>170</v>
      </c>
      <c r="B44" s="31" t="s">
        <v>2377</v>
      </c>
      <c r="C44" s="1075">
        <v>111874219</v>
      </c>
      <c r="D44" s="1075">
        <v>106593700</v>
      </c>
      <c r="E44" s="1075">
        <v>111874219</v>
      </c>
      <c r="F44" s="1075">
        <v>106593700</v>
      </c>
      <c r="G44" s="1073">
        <v>96088483</v>
      </c>
      <c r="H44" s="1073">
        <v>96088483</v>
      </c>
      <c r="I44" s="1073">
        <v>111874219</v>
      </c>
      <c r="J44" s="1077">
        <v>106593700</v>
      </c>
      <c r="K44" s="1075">
        <v>111874219</v>
      </c>
      <c r="L44" s="1075">
        <v>106593700</v>
      </c>
    </row>
    <row r="45" spans="1:12">
      <c r="A45" t="s">
        <v>53</v>
      </c>
      <c r="B45" s="31" t="s">
        <v>2518</v>
      </c>
      <c r="C45" s="1075">
        <v>7357115263</v>
      </c>
      <c r="D45" s="1075">
        <v>7083905616</v>
      </c>
      <c r="E45" s="1075">
        <v>7357115263</v>
      </c>
      <c r="F45" s="1075">
        <v>7083905616</v>
      </c>
      <c r="G45" s="1073">
        <v>6912567847</v>
      </c>
      <c r="H45" s="1073">
        <v>6912567847</v>
      </c>
      <c r="I45" s="1073">
        <v>7357115263</v>
      </c>
      <c r="J45" s="1077">
        <v>7083905616</v>
      </c>
      <c r="K45" s="1075">
        <v>7357115263</v>
      </c>
      <c r="L45" s="1075">
        <v>7083905616</v>
      </c>
    </row>
    <row r="46" spans="1:12">
      <c r="A46" t="s">
        <v>166</v>
      </c>
      <c r="B46" s="31" t="s">
        <v>1402</v>
      </c>
      <c r="C46" s="1075">
        <v>181450158</v>
      </c>
      <c r="D46" s="1075">
        <v>172878184</v>
      </c>
      <c r="E46" s="1075">
        <v>181450158</v>
      </c>
      <c r="F46" s="1075">
        <v>172878184</v>
      </c>
      <c r="G46" s="1073">
        <v>159622460</v>
      </c>
      <c r="H46" s="1073">
        <v>159622460</v>
      </c>
      <c r="I46" s="1073">
        <v>181450158</v>
      </c>
      <c r="J46" s="1077">
        <v>172878184</v>
      </c>
      <c r="K46" s="1075">
        <v>181450158</v>
      </c>
      <c r="L46" s="1075">
        <v>172878184</v>
      </c>
    </row>
    <row r="47" spans="1:12">
      <c r="A47" t="s">
        <v>1312</v>
      </c>
      <c r="B47" s="31" t="s">
        <v>2025</v>
      </c>
      <c r="C47" s="1075">
        <v>755487759</v>
      </c>
      <c r="D47" s="1075">
        <v>734203271</v>
      </c>
      <c r="E47" s="1075">
        <v>755487759</v>
      </c>
      <c r="F47" s="1075">
        <v>734203271</v>
      </c>
      <c r="G47" s="1073">
        <v>690661356</v>
      </c>
      <c r="H47" s="1073">
        <v>690661356</v>
      </c>
      <c r="I47" s="1073">
        <v>755487759</v>
      </c>
      <c r="J47" s="1077">
        <v>734203271</v>
      </c>
      <c r="K47" s="1075">
        <v>755487759</v>
      </c>
      <c r="L47" s="1075">
        <v>734203271</v>
      </c>
    </row>
    <row r="48" spans="1:12">
      <c r="A48" t="s">
        <v>1514</v>
      </c>
      <c r="B48" s="31" t="s">
        <v>603</v>
      </c>
      <c r="C48" s="1075">
        <v>3030816802</v>
      </c>
      <c r="D48" s="1075">
        <v>2936130576</v>
      </c>
      <c r="E48" s="1075">
        <v>3030816802</v>
      </c>
      <c r="F48" s="1075">
        <v>2936130576</v>
      </c>
      <c r="G48" s="1073">
        <v>3001301122</v>
      </c>
      <c r="H48" s="1073">
        <v>3001301122</v>
      </c>
      <c r="I48" s="1073">
        <v>3030816802</v>
      </c>
      <c r="J48" s="1077">
        <v>2936130576</v>
      </c>
      <c r="K48" s="1075">
        <v>3030816802</v>
      </c>
      <c r="L48" s="1075">
        <v>2936130576</v>
      </c>
    </row>
    <row r="49" spans="1:12">
      <c r="A49" t="s">
        <v>1519</v>
      </c>
      <c r="B49" s="31" t="s">
        <v>2312</v>
      </c>
      <c r="C49" s="1075">
        <v>320610757</v>
      </c>
      <c r="D49" s="1075">
        <v>307176645</v>
      </c>
      <c r="E49" s="1075">
        <v>320610757</v>
      </c>
      <c r="F49" s="1075">
        <v>307176645</v>
      </c>
      <c r="G49" s="1073">
        <v>289873351</v>
      </c>
      <c r="H49" s="1073">
        <v>289873351</v>
      </c>
      <c r="I49" s="1073">
        <v>320610757</v>
      </c>
      <c r="J49" s="1077">
        <v>307176645</v>
      </c>
      <c r="K49" s="1075">
        <v>320610757</v>
      </c>
      <c r="L49" s="1075">
        <v>307176645</v>
      </c>
    </row>
    <row r="50" spans="1:12">
      <c r="A50" t="s">
        <v>423</v>
      </c>
      <c r="B50" s="31" t="s">
        <v>2280</v>
      </c>
      <c r="C50" s="1075">
        <v>6546284685</v>
      </c>
      <c r="D50" s="1075">
        <v>6476546388</v>
      </c>
      <c r="E50" s="1075">
        <v>6546284685</v>
      </c>
      <c r="F50" s="1075">
        <v>6476546388</v>
      </c>
      <c r="G50" s="1073">
        <v>5760334537</v>
      </c>
      <c r="H50" s="1073">
        <v>5760334537</v>
      </c>
      <c r="I50" s="1073">
        <v>6546284685</v>
      </c>
      <c r="J50" s="1077">
        <v>6476546388</v>
      </c>
      <c r="K50" s="1075">
        <v>6546284685</v>
      </c>
      <c r="L50" s="1075">
        <v>6476546388</v>
      </c>
    </row>
    <row r="51" spans="1:12">
      <c r="A51" t="s">
        <v>1859</v>
      </c>
      <c r="B51" s="31" t="s">
        <v>724</v>
      </c>
      <c r="C51" s="1075">
        <v>1548550279</v>
      </c>
      <c r="D51" s="1075">
        <v>1449425647</v>
      </c>
      <c r="E51" s="1075">
        <v>1548550279</v>
      </c>
      <c r="F51" s="1075">
        <v>1449425647</v>
      </c>
      <c r="G51" s="1073">
        <v>1186590535</v>
      </c>
      <c r="H51" s="1073">
        <v>1186590535</v>
      </c>
      <c r="I51" s="1073">
        <v>1548550279</v>
      </c>
      <c r="J51" s="1077">
        <v>1449425647</v>
      </c>
      <c r="K51" s="1075">
        <v>1548550279</v>
      </c>
      <c r="L51" s="1075">
        <v>1449425647</v>
      </c>
    </row>
    <row r="52" spans="1:12">
      <c r="A52" t="s">
        <v>771</v>
      </c>
      <c r="B52" s="31" t="s">
        <v>888</v>
      </c>
      <c r="C52" s="1075">
        <v>1261148596</v>
      </c>
      <c r="D52" s="1075">
        <v>1176658209</v>
      </c>
      <c r="E52" s="1075">
        <v>1261148596</v>
      </c>
      <c r="F52" s="1075">
        <v>1176658209</v>
      </c>
      <c r="G52" s="1073">
        <v>959872478</v>
      </c>
      <c r="H52" s="1073">
        <v>959872478</v>
      </c>
      <c r="I52" s="1073">
        <v>1261148596</v>
      </c>
      <c r="J52" s="1077">
        <v>1176658209</v>
      </c>
      <c r="K52" s="1075">
        <v>1261148596</v>
      </c>
      <c r="L52" s="1075">
        <v>1176658209</v>
      </c>
    </row>
    <row r="53" spans="1:12">
      <c r="A53" t="s">
        <v>1314</v>
      </c>
      <c r="B53" s="31" t="s">
        <v>2028</v>
      </c>
      <c r="C53" s="1075">
        <v>16473244900</v>
      </c>
      <c r="D53" s="1075">
        <v>16028720312</v>
      </c>
      <c r="E53" s="1075">
        <v>16473244900</v>
      </c>
      <c r="F53" s="1075">
        <v>16028720312</v>
      </c>
      <c r="G53" s="1073">
        <v>13111727280</v>
      </c>
      <c r="H53" s="1073">
        <v>13111727280</v>
      </c>
      <c r="I53" s="1073">
        <v>16473244900</v>
      </c>
      <c r="J53" s="1077">
        <v>16028720312</v>
      </c>
      <c r="K53" s="1075">
        <v>16473244900</v>
      </c>
      <c r="L53" s="1075">
        <v>16028720312</v>
      </c>
    </row>
    <row r="54" spans="1:12">
      <c r="A54" t="s">
        <v>1506</v>
      </c>
      <c r="B54" s="31" t="s">
        <v>1932</v>
      </c>
      <c r="C54" s="1075">
        <v>1642902303</v>
      </c>
      <c r="D54" s="1075">
        <v>1580541430</v>
      </c>
      <c r="E54" s="1075">
        <v>1642902303</v>
      </c>
      <c r="F54" s="1075">
        <v>1580541430</v>
      </c>
      <c r="G54" s="1073">
        <v>1391562666</v>
      </c>
      <c r="H54" s="1073">
        <v>1391562666</v>
      </c>
      <c r="I54" s="1073">
        <v>1642902303</v>
      </c>
      <c r="J54" s="1077">
        <v>1580541430</v>
      </c>
      <c r="K54" s="1075">
        <v>1642902303</v>
      </c>
      <c r="L54" s="1075">
        <v>1580541430</v>
      </c>
    </row>
    <row r="55" spans="1:12">
      <c r="A55" t="s">
        <v>1152</v>
      </c>
      <c r="B55" s="31" t="s">
        <v>1931</v>
      </c>
      <c r="C55" s="1075">
        <v>462461228</v>
      </c>
      <c r="D55" s="1075">
        <v>440838089</v>
      </c>
      <c r="E55" s="1075">
        <v>462461228</v>
      </c>
      <c r="F55" s="1075">
        <v>440838089</v>
      </c>
      <c r="G55" s="1073">
        <v>397523510</v>
      </c>
      <c r="H55" s="1073">
        <v>397523510</v>
      </c>
      <c r="I55" s="1073">
        <v>462461228</v>
      </c>
      <c r="J55" s="1077">
        <v>440838089</v>
      </c>
      <c r="K55" s="1075">
        <v>462461228</v>
      </c>
      <c r="L55" s="1075">
        <v>440838089</v>
      </c>
    </row>
    <row r="56" spans="1:12">
      <c r="A56" t="s">
        <v>1407</v>
      </c>
      <c r="B56" s="31" t="s">
        <v>2287</v>
      </c>
      <c r="C56" s="1075">
        <v>36800028031</v>
      </c>
      <c r="D56" s="1075">
        <v>35976258170</v>
      </c>
      <c r="E56" s="1075">
        <v>36800028031</v>
      </c>
      <c r="F56" s="1075">
        <v>35976258170</v>
      </c>
      <c r="G56" s="1073">
        <v>31811475773</v>
      </c>
      <c r="H56" s="1073">
        <v>31811475773</v>
      </c>
      <c r="I56" s="1073">
        <v>36800028031</v>
      </c>
      <c r="J56" s="1077">
        <v>35976258170</v>
      </c>
      <c r="K56" s="1075">
        <v>36800028031</v>
      </c>
      <c r="L56" s="1075">
        <v>35976258170</v>
      </c>
    </row>
    <row r="57" spans="1:12">
      <c r="A57" t="s">
        <v>768</v>
      </c>
      <c r="B57" s="31" t="s">
        <v>1064</v>
      </c>
      <c r="C57" s="1075">
        <v>3557100105</v>
      </c>
      <c r="D57" s="1075">
        <v>3454068646</v>
      </c>
      <c r="E57" s="1075">
        <v>3557100105</v>
      </c>
      <c r="F57" s="1075">
        <v>3454068646</v>
      </c>
      <c r="G57" s="1073">
        <v>2668258792</v>
      </c>
      <c r="H57" s="1073">
        <v>2668258792</v>
      </c>
      <c r="I57" s="1073">
        <v>3557100105</v>
      </c>
      <c r="J57" s="1077">
        <v>3454068646</v>
      </c>
      <c r="K57" s="1075">
        <v>3557100105</v>
      </c>
      <c r="L57" s="1075">
        <v>3454068646</v>
      </c>
    </row>
    <row r="58" spans="1:12">
      <c r="A58" t="s">
        <v>709</v>
      </c>
      <c r="B58" s="31" t="s">
        <v>1934</v>
      </c>
      <c r="C58" s="1075">
        <v>3096890373</v>
      </c>
      <c r="D58" s="1075">
        <v>3011037671</v>
      </c>
      <c r="E58" s="1075">
        <v>3096890373</v>
      </c>
      <c r="F58" s="1075">
        <v>3011037671</v>
      </c>
      <c r="G58" s="1073">
        <v>2091423993</v>
      </c>
      <c r="H58" s="1073">
        <v>2091423993</v>
      </c>
      <c r="I58" s="1073">
        <v>3096890373</v>
      </c>
      <c r="J58" s="1077">
        <v>3011037671</v>
      </c>
      <c r="K58" s="1075">
        <v>3096890373</v>
      </c>
      <c r="L58" s="1075">
        <v>3011037671</v>
      </c>
    </row>
    <row r="59" spans="1:12">
      <c r="A59" t="s">
        <v>1409</v>
      </c>
      <c r="B59" s="31" t="s">
        <v>2289</v>
      </c>
      <c r="C59" s="1075">
        <v>48271668924</v>
      </c>
      <c r="D59" s="1075">
        <v>47215842437</v>
      </c>
      <c r="E59" s="1075">
        <v>48271668924</v>
      </c>
      <c r="F59" s="1075">
        <v>47215842437</v>
      </c>
      <c r="G59" s="1073">
        <v>39760933621</v>
      </c>
      <c r="H59" s="1073">
        <v>39760933621</v>
      </c>
      <c r="I59" s="1073">
        <v>48271668924</v>
      </c>
      <c r="J59" s="1077">
        <v>47215842437</v>
      </c>
      <c r="K59" s="1075">
        <v>48271668924</v>
      </c>
      <c r="L59" s="1075">
        <v>47215842437</v>
      </c>
    </row>
    <row r="60" spans="1:12">
      <c r="A60" t="s">
        <v>46</v>
      </c>
      <c r="B60" s="31" t="s">
        <v>408</v>
      </c>
      <c r="C60" s="1075">
        <v>8451905469</v>
      </c>
      <c r="D60" s="1075">
        <v>8215313119</v>
      </c>
      <c r="E60" s="1075">
        <v>8451905469</v>
      </c>
      <c r="F60" s="1075">
        <v>8215313119</v>
      </c>
      <c r="G60" s="1073">
        <v>6994914104</v>
      </c>
      <c r="H60" s="1073">
        <v>6994914104</v>
      </c>
      <c r="I60" s="1073">
        <v>8451905469</v>
      </c>
      <c r="J60" s="1077">
        <v>8215313119</v>
      </c>
      <c r="K60" s="1075">
        <v>8451905469</v>
      </c>
      <c r="L60" s="1075">
        <v>8215313119</v>
      </c>
    </row>
    <row r="61" spans="1:12">
      <c r="A61" t="s">
        <v>1507</v>
      </c>
      <c r="B61" s="31" t="s">
        <v>1933</v>
      </c>
      <c r="C61" s="1075">
        <v>1269469498</v>
      </c>
      <c r="D61" s="1075">
        <v>1235320800</v>
      </c>
      <c r="E61" s="1075">
        <v>1269469498</v>
      </c>
      <c r="F61" s="1075">
        <v>1235320800</v>
      </c>
      <c r="G61" s="1073">
        <v>1168478933</v>
      </c>
      <c r="H61" s="1073">
        <v>1168478933</v>
      </c>
      <c r="I61" s="1073">
        <v>1269469498</v>
      </c>
      <c r="J61" s="1077">
        <v>1235320800</v>
      </c>
      <c r="K61" s="1075">
        <v>1269469498</v>
      </c>
      <c r="L61" s="1075">
        <v>1235320800</v>
      </c>
    </row>
    <row r="62" spans="1:12">
      <c r="A62" t="s">
        <v>1210</v>
      </c>
      <c r="B62" s="31" t="s">
        <v>2281</v>
      </c>
      <c r="C62" s="1075">
        <v>718444434</v>
      </c>
      <c r="D62" s="1075">
        <v>703856192</v>
      </c>
      <c r="E62" s="1075">
        <v>718444434</v>
      </c>
      <c r="F62" s="1075">
        <v>703856192</v>
      </c>
      <c r="G62" s="1073">
        <v>637872334</v>
      </c>
      <c r="H62" s="1073">
        <v>637872334</v>
      </c>
      <c r="I62" s="1073">
        <v>718444434</v>
      </c>
      <c r="J62" s="1077">
        <v>703856192</v>
      </c>
      <c r="K62" s="1075">
        <v>718444434</v>
      </c>
      <c r="L62" s="1075">
        <v>703856192</v>
      </c>
    </row>
    <row r="63" spans="1:12">
      <c r="A63" t="s">
        <v>874</v>
      </c>
      <c r="B63" s="31" t="s">
        <v>798</v>
      </c>
      <c r="C63" s="1075">
        <v>816106103</v>
      </c>
      <c r="D63" s="1075">
        <v>797748226</v>
      </c>
      <c r="E63" s="1075">
        <v>816106103</v>
      </c>
      <c r="F63" s="1075">
        <v>797748226</v>
      </c>
      <c r="G63" s="1073">
        <v>752423930</v>
      </c>
      <c r="H63" s="1073">
        <v>752423930</v>
      </c>
      <c r="I63" s="1073">
        <v>816106103</v>
      </c>
      <c r="J63" s="1077">
        <v>797748226</v>
      </c>
      <c r="K63" s="1075">
        <v>816106103</v>
      </c>
      <c r="L63" s="1075">
        <v>797748226</v>
      </c>
    </row>
    <row r="64" spans="1:12">
      <c r="A64" t="s">
        <v>1211</v>
      </c>
      <c r="B64" s="31" t="s">
        <v>2282</v>
      </c>
      <c r="C64" s="1075">
        <v>588480803</v>
      </c>
      <c r="D64" s="1075">
        <v>588062103</v>
      </c>
      <c r="E64" s="1075">
        <v>588212612</v>
      </c>
      <c r="F64" s="1075">
        <v>587793912</v>
      </c>
      <c r="G64" s="1073">
        <v>983152416</v>
      </c>
      <c r="H64" s="1073">
        <v>982868006</v>
      </c>
      <c r="I64" s="1073">
        <v>617210453</v>
      </c>
      <c r="J64" s="1077">
        <v>616791753</v>
      </c>
      <c r="K64" s="1075">
        <v>616942262</v>
      </c>
      <c r="L64" s="1075">
        <v>616523562</v>
      </c>
    </row>
    <row r="65" spans="1:12">
      <c r="A65" t="s">
        <v>575</v>
      </c>
      <c r="B65" s="31" t="s">
        <v>1165</v>
      </c>
      <c r="C65" s="1075">
        <v>604811812</v>
      </c>
      <c r="D65" s="1075">
        <v>589293144</v>
      </c>
      <c r="E65" s="1075">
        <v>604811812</v>
      </c>
      <c r="F65" s="1075">
        <v>589293144</v>
      </c>
      <c r="G65" s="1073">
        <v>676327888</v>
      </c>
      <c r="H65" s="1073">
        <v>676327888</v>
      </c>
      <c r="I65" s="1073">
        <v>604811812</v>
      </c>
      <c r="J65" s="1077">
        <v>589293144</v>
      </c>
      <c r="K65" s="1075">
        <v>604811812</v>
      </c>
      <c r="L65" s="1075">
        <v>589293144</v>
      </c>
    </row>
    <row r="66" spans="1:12">
      <c r="A66" t="s">
        <v>1212</v>
      </c>
      <c r="B66" s="31" t="s">
        <v>2682</v>
      </c>
      <c r="C66" s="1075">
        <v>165432477</v>
      </c>
      <c r="D66" s="1075">
        <v>159787808</v>
      </c>
      <c r="E66" s="1075">
        <v>165432477</v>
      </c>
      <c r="F66" s="1075">
        <v>159787808</v>
      </c>
      <c r="G66" s="1073">
        <v>161523114</v>
      </c>
      <c r="H66" s="1073">
        <v>161523114</v>
      </c>
      <c r="I66" s="1073">
        <v>165432477</v>
      </c>
      <c r="J66" s="1077">
        <v>159787808</v>
      </c>
      <c r="K66" s="1075">
        <v>165432477</v>
      </c>
      <c r="L66" s="1075">
        <v>159787808</v>
      </c>
    </row>
    <row r="67" spans="1:12">
      <c r="A67" t="s">
        <v>1113</v>
      </c>
      <c r="B67" s="31" t="s">
        <v>2683</v>
      </c>
      <c r="C67" s="1075">
        <v>58982185</v>
      </c>
      <c r="D67" s="1075">
        <v>57052477</v>
      </c>
      <c r="E67" s="1075">
        <v>58982185</v>
      </c>
      <c r="F67" s="1075">
        <v>57052477</v>
      </c>
      <c r="G67" s="1073">
        <v>58947522</v>
      </c>
      <c r="H67" s="1073">
        <v>58947522</v>
      </c>
      <c r="I67" s="1073">
        <v>58982185</v>
      </c>
      <c r="J67" s="1077">
        <v>57052477</v>
      </c>
      <c r="K67" s="1075">
        <v>58982185</v>
      </c>
      <c r="L67" s="1075">
        <v>57052477</v>
      </c>
    </row>
    <row r="68" spans="1:12">
      <c r="A68" t="s">
        <v>1114</v>
      </c>
      <c r="B68" s="31" t="s">
        <v>2684</v>
      </c>
      <c r="C68" s="1075">
        <v>214626321</v>
      </c>
      <c r="D68" s="1075">
        <v>206813616</v>
      </c>
      <c r="E68" s="1075">
        <v>214626321</v>
      </c>
      <c r="F68" s="1075">
        <v>206813616</v>
      </c>
      <c r="G68" s="1073">
        <v>201856207</v>
      </c>
      <c r="H68" s="1073">
        <v>201856207</v>
      </c>
      <c r="I68" s="1073">
        <v>214626321</v>
      </c>
      <c r="J68" s="1077">
        <v>206813616</v>
      </c>
      <c r="K68" s="1075">
        <v>214626321</v>
      </c>
      <c r="L68" s="1075">
        <v>206813616</v>
      </c>
    </row>
    <row r="69" spans="1:12">
      <c r="A69" t="s">
        <v>1901</v>
      </c>
      <c r="B69" s="31" t="s">
        <v>2024</v>
      </c>
      <c r="C69" s="1075">
        <v>77277446</v>
      </c>
      <c r="D69" s="1075">
        <v>75367631</v>
      </c>
      <c r="E69" s="1075">
        <v>77277446</v>
      </c>
      <c r="F69" s="1075">
        <v>75367631</v>
      </c>
      <c r="G69" s="1073">
        <v>74023616</v>
      </c>
      <c r="H69" s="1073">
        <v>74023616</v>
      </c>
      <c r="I69" s="1073">
        <v>77277446</v>
      </c>
      <c r="J69" s="1077">
        <v>75367631</v>
      </c>
      <c r="K69" s="1075">
        <v>77277446</v>
      </c>
      <c r="L69" s="1075">
        <v>75367631</v>
      </c>
    </row>
    <row r="70" spans="1:12">
      <c r="A70" t="s">
        <v>1645</v>
      </c>
      <c r="B70" s="31" t="s">
        <v>2685</v>
      </c>
      <c r="C70" s="1075">
        <v>120470003</v>
      </c>
      <c r="D70" s="1075">
        <v>118007651</v>
      </c>
      <c r="E70" s="1075">
        <v>120470003</v>
      </c>
      <c r="F70" s="1075">
        <v>118007651</v>
      </c>
      <c r="G70" s="1073">
        <v>122232029</v>
      </c>
      <c r="H70" s="1073">
        <v>122232029</v>
      </c>
      <c r="I70" s="1073">
        <v>120470003</v>
      </c>
      <c r="J70" s="1077">
        <v>118007651</v>
      </c>
      <c r="K70" s="1075">
        <v>120470003</v>
      </c>
      <c r="L70" s="1075">
        <v>118007651</v>
      </c>
    </row>
    <row r="71" spans="1:12">
      <c r="A71" t="s">
        <v>1646</v>
      </c>
      <c r="B71" s="31" t="s">
        <v>2686</v>
      </c>
      <c r="C71" s="1075">
        <v>113328747</v>
      </c>
      <c r="D71" s="1075">
        <v>108904008</v>
      </c>
      <c r="E71" s="1075">
        <v>113328747</v>
      </c>
      <c r="F71" s="1075">
        <v>108904008</v>
      </c>
      <c r="G71" s="1073">
        <v>104483349</v>
      </c>
      <c r="H71" s="1073">
        <v>104483349</v>
      </c>
      <c r="I71" s="1073">
        <v>113328747</v>
      </c>
      <c r="J71" s="1077">
        <v>108904008</v>
      </c>
      <c r="K71" s="1075">
        <v>113328747</v>
      </c>
      <c r="L71" s="1075">
        <v>108904008</v>
      </c>
    </row>
    <row r="72" spans="1:12">
      <c r="A72" t="s">
        <v>1647</v>
      </c>
      <c r="B72" s="31" t="s">
        <v>2687</v>
      </c>
      <c r="C72" s="1075">
        <v>78476654</v>
      </c>
      <c r="D72" s="1075">
        <v>76361512</v>
      </c>
      <c r="E72" s="1075">
        <v>78476654</v>
      </c>
      <c r="F72" s="1075">
        <v>76361512</v>
      </c>
      <c r="G72" s="1073">
        <v>77597063</v>
      </c>
      <c r="H72" s="1073">
        <v>77597063</v>
      </c>
      <c r="I72" s="1073">
        <v>78476654</v>
      </c>
      <c r="J72" s="1077">
        <v>76361512</v>
      </c>
      <c r="K72" s="1075">
        <v>78476654</v>
      </c>
      <c r="L72" s="1075">
        <v>76361512</v>
      </c>
    </row>
    <row r="73" spans="1:12">
      <c r="A73" t="s">
        <v>885</v>
      </c>
      <c r="B73" s="31" t="s">
        <v>2666</v>
      </c>
      <c r="C73" s="1075">
        <v>187599008</v>
      </c>
      <c r="D73" s="1075">
        <v>177920995</v>
      </c>
      <c r="E73" s="1075">
        <v>187599008</v>
      </c>
      <c r="F73" s="1075">
        <v>177920995</v>
      </c>
      <c r="G73" s="1073">
        <v>171505132</v>
      </c>
      <c r="H73" s="1073">
        <v>171505132</v>
      </c>
      <c r="I73" s="1073">
        <v>187599008</v>
      </c>
      <c r="J73" s="1077">
        <v>177920995</v>
      </c>
      <c r="K73" s="1075">
        <v>187599008</v>
      </c>
      <c r="L73" s="1075">
        <v>177920995</v>
      </c>
    </row>
    <row r="74" spans="1:12">
      <c r="A74" t="s">
        <v>710</v>
      </c>
      <c r="B74" s="31" t="s">
        <v>2379</v>
      </c>
      <c r="C74" s="1075">
        <v>158013048</v>
      </c>
      <c r="D74" s="1075">
        <v>149396740</v>
      </c>
      <c r="E74" s="1075">
        <v>158013048</v>
      </c>
      <c r="F74" s="1075">
        <v>149396740</v>
      </c>
      <c r="G74" s="1073">
        <v>142312282</v>
      </c>
      <c r="H74" s="1073">
        <v>142312282</v>
      </c>
      <c r="I74" s="1073">
        <v>158013048</v>
      </c>
      <c r="J74" s="1077">
        <v>149396740</v>
      </c>
      <c r="K74" s="1075">
        <v>158013048</v>
      </c>
      <c r="L74" s="1075">
        <v>149396740</v>
      </c>
    </row>
    <row r="75" spans="1:12">
      <c r="A75" t="s">
        <v>2136</v>
      </c>
      <c r="B75" s="31" t="s">
        <v>2067</v>
      </c>
      <c r="C75" s="1075">
        <v>61133877</v>
      </c>
      <c r="D75" s="1075">
        <v>56539183</v>
      </c>
      <c r="E75" s="1075">
        <v>61133877</v>
      </c>
      <c r="F75" s="1075">
        <v>56539183</v>
      </c>
      <c r="G75" s="1073">
        <v>53575281</v>
      </c>
      <c r="H75" s="1073">
        <v>53575281</v>
      </c>
      <c r="I75" s="1073">
        <v>61133877</v>
      </c>
      <c r="J75" s="1077">
        <v>56539183</v>
      </c>
      <c r="K75" s="1075">
        <v>61133877</v>
      </c>
      <c r="L75" s="1075">
        <v>56539183</v>
      </c>
    </row>
    <row r="76" spans="1:12">
      <c r="A76" t="s">
        <v>2638</v>
      </c>
      <c r="B76" s="31" t="s">
        <v>1398</v>
      </c>
      <c r="C76" s="1075">
        <v>374671025</v>
      </c>
      <c r="D76" s="1075">
        <v>358913079</v>
      </c>
      <c r="E76" s="1075">
        <v>374671025</v>
      </c>
      <c r="F76" s="1075">
        <v>358913079</v>
      </c>
      <c r="G76" s="1073">
        <v>396599467</v>
      </c>
      <c r="H76" s="1073">
        <v>396599467</v>
      </c>
      <c r="I76" s="1073">
        <v>374671025</v>
      </c>
      <c r="J76" s="1077">
        <v>358913079</v>
      </c>
      <c r="K76" s="1075">
        <v>374671025</v>
      </c>
      <c r="L76" s="1075">
        <v>358913079</v>
      </c>
    </row>
    <row r="77" spans="1:12">
      <c r="A77" t="s">
        <v>1096</v>
      </c>
      <c r="B77" s="31" t="s">
        <v>1399</v>
      </c>
      <c r="C77" s="1075">
        <v>233017230</v>
      </c>
      <c r="D77" s="1075">
        <v>221206292</v>
      </c>
      <c r="E77" s="1075">
        <v>233017230</v>
      </c>
      <c r="F77" s="1075">
        <v>221206292</v>
      </c>
      <c r="G77" s="1073">
        <v>209796426</v>
      </c>
      <c r="H77" s="1073">
        <v>209796426</v>
      </c>
      <c r="I77" s="1073">
        <v>233017230</v>
      </c>
      <c r="J77" s="1077">
        <v>221206292</v>
      </c>
      <c r="K77" s="1075">
        <v>233017230</v>
      </c>
      <c r="L77" s="1075">
        <v>221206292</v>
      </c>
    </row>
    <row r="78" spans="1:12">
      <c r="A78" t="s">
        <v>1097</v>
      </c>
      <c r="B78" s="31" t="s">
        <v>1400</v>
      </c>
      <c r="C78" s="1075">
        <v>1965936440</v>
      </c>
      <c r="D78" s="1075">
        <v>1920713646</v>
      </c>
      <c r="E78" s="1075">
        <v>1965936440</v>
      </c>
      <c r="F78" s="1075">
        <v>1920713646</v>
      </c>
      <c r="G78" s="1073">
        <v>1902193326</v>
      </c>
      <c r="H78" s="1073">
        <v>1902193326</v>
      </c>
      <c r="I78" s="1073">
        <v>1965936440</v>
      </c>
      <c r="J78" s="1077">
        <v>1920713646</v>
      </c>
      <c r="K78" s="1075">
        <v>1965936440</v>
      </c>
      <c r="L78" s="1075">
        <v>1920713646</v>
      </c>
    </row>
    <row r="79" spans="1:12">
      <c r="A79" t="s">
        <v>1124</v>
      </c>
      <c r="B79" s="31" t="s">
        <v>2486</v>
      </c>
      <c r="C79" s="1075">
        <v>546168603</v>
      </c>
      <c r="D79" s="1075">
        <v>523546084</v>
      </c>
      <c r="E79" s="1075">
        <v>546168603</v>
      </c>
      <c r="F79" s="1075">
        <v>523546084</v>
      </c>
      <c r="G79" s="1073">
        <v>520690660</v>
      </c>
      <c r="H79" s="1073">
        <v>520690660</v>
      </c>
      <c r="I79" s="1073">
        <v>546168603</v>
      </c>
      <c r="J79" s="1077">
        <v>523546084</v>
      </c>
      <c r="K79" s="1075">
        <v>546168603</v>
      </c>
      <c r="L79" s="1075">
        <v>523546084</v>
      </c>
    </row>
    <row r="80" spans="1:12">
      <c r="A80" t="s">
        <v>2137</v>
      </c>
      <c r="B80" s="31" t="s">
        <v>266</v>
      </c>
      <c r="C80" s="1075">
        <v>109252836</v>
      </c>
      <c r="D80" s="1075">
        <v>102812954</v>
      </c>
      <c r="E80" s="1075">
        <v>109252836</v>
      </c>
      <c r="F80" s="1075">
        <v>102812954</v>
      </c>
      <c r="G80" s="1073">
        <v>101846566</v>
      </c>
      <c r="H80" s="1073">
        <v>101846566</v>
      </c>
      <c r="I80" s="1073">
        <v>109252836</v>
      </c>
      <c r="J80" s="1077">
        <v>102812954</v>
      </c>
      <c r="K80" s="1075">
        <v>109252836</v>
      </c>
      <c r="L80" s="1075">
        <v>102812954</v>
      </c>
    </row>
    <row r="81" spans="1:12">
      <c r="A81" t="s">
        <v>984</v>
      </c>
      <c r="B81" s="31" t="s">
        <v>289</v>
      </c>
      <c r="C81" s="1075">
        <v>20289217</v>
      </c>
      <c r="D81" s="1075">
        <v>18722105</v>
      </c>
      <c r="E81" s="1075">
        <v>20289217</v>
      </c>
      <c r="F81" s="1075">
        <v>18722105</v>
      </c>
      <c r="G81" s="1073">
        <v>18435046</v>
      </c>
      <c r="H81" s="1073">
        <v>18435046</v>
      </c>
      <c r="I81" s="1073">
        <v>20289217</v>
      </c>
      <c r="J81" s="1077">
        <v>18722105</v>
      </c>
      <c r="K81" s="1075">
        <v>20289217</v>
      </c>
      <c r="L81" s="1075">
        <v>18722105</v>
      </c>
    </row>
    <row r="82" spans="1:12">
      <c r="A82" t="s">
        <v>842</v>
      </c>
      <c r="B82" s="31" t="s">
        <v>2487</v>
      </c>
      <c r="C82" s="1075">
        <v>203885753</v>
      </c>
      <c r="D82" s="1075">
        <v>197059680</v>
      </c>
      <c r="E82" s="1075">
        <v>203885753</v>
      </c>
      <c r="F82" s="1075">
        <v>197059680</v>
      </c>
      <c r="G82" s="1073">
        <v>186336516</v>
      </c>
      <c r="H82" s="1073">
        <v>186336516</v>
      </c>
      <c r="I82" s="1073">
        <v>203885753</v>
      </c>
      <c r="J82" s="1077">
        <v>197059680</v>
      </c>
      <c r="K82" s="1075">
        <v>203885753</v>
      </c>
      <c r="L82" s="1075">
        <v>197059680</v>
      </c>
    </row>
    <row r="83" spans="1:12">
      <c r="A83" t="s">
        <v>1125</v>
      </c>
      <c r="B83" s="31" t="s">
        <v>2488</v>
      </c>
      <c r="C83" s="1075">
        <v>897425631</v>
      </c>
      <c r="D83" s="1075">
        <v>872390271</v>
      </c>
      <c r="E83" s="1075">
        <v>897425631</v>
      </c>
      <c r="F83" s="1075">
        <v>872390271</v>
      </c>
      <c r="G83" s="1073">
        <v>859147803</v>
      </c>
      <c r="H83" s="1073">
        <v>859147803</v>
      </c>
      <c r="I83" s="1073">
        <v>897425631</v>
      </c>
      <c r="J83" s="1077">
        <v>872390271</v>
      </c>
      <c r="K83" s="1075">
        <v>897425631</v>
      </c>
      <c r="L83" s="1075">
        <v>872390271</v>
      </c>
    </row>
    <row r="84" spans="1:12">
      <c r="A84" t="s">
        <v>1126</v>
      </c>
      <c r="B84" s="31" t="s">
        <v>2381</v>
      </c>
      <c r="C84" s="1075">
        <v>19891399</v>
      </c>
      <c r="D84" s="1075">
        <v>18405759</v>
      </c>
      <c r="E84" s="1075">
        <v>19891399</v>
      </c>
      <c r="F84" s="1075">
        <v>18405759</v>
      </c>
      <c r="G84" s="1073">
        <v>17835480</v>
      </c>
      <c r="H84" s="1073">
        <v>17835480</v>
      </c>
      <c r="I84" s="1073">
        <v>19891399</v>
      </c>
      <c r="J84" s="1077">
        <v>18405759</v>
      </c>
      <c r="K84" s="1075">
        <v>19891399</v>
      </c>
      <c r="L84" s="1075">
        <v>18405759</v>
      </c>
    </row>
    <row r="85" spans="1:12">
      <c r="A85" t="s">
        <v>843</v>
      </c>
      <c r="B85" s="31" t="s">
        <v>2489</v>
      </c>
      <c r="C85" s="1075">
        <v>42155996</v>
      </c>
      <c r="D85" s="1075">
        <v>40387475</v>
      </c>
      <c r="E85" s="1075">
        <v>42155996</v>
      </c>
      <c r="F85" s="1075">
        <v>40387475</v>
      </c>
      <c r="G85" s="1073">
        <v>40864748</v>
      </c>
      <c r="H85" s="1073">
        <v>40864748</v>
      </c>
      <c r="I85" s="1073">
        <v>42155996</v>
      </c>
      <c r="J85" s="1077">
        <v>40387475</v>
      </c>
      <c r="K85" s="1075">
        <v>42155996</v>
      </c>
      <c r="L85" s="1075">
        <v>40387475</v>
      </c>
    </row>
    <row r="86" spans="1:12">
      <c r="A86" t="s">
        <v>179</v>
      </c>
      <c r="B86" s="31" t="s">
        <v>1052</v>
      </c>
      <c r="C86" s="1075">
        <v>5956944789</v>
      </c>
      <c r="D86" s="1075">
        <v>5747214805</v>
      </c>
      <c r="E86" s="1075">
        <v>5956944789</v>
      </c>
      <c r="F86" s="1075">
        <v>5747214805</v>
      </c>
      <c r="G86" s="1073">
        <v>4875683444</v>
      </c>
      <c r="H86" s="1073">
        <v>4875683444</v>
      </c>
      <c r="I86" s="1073">
        <v>5956944789</v>
      </c>
      <c r="J86" s="1077">
        <v>5747214805</v>
      </c>
      <c r="K86" s="1075">
        <v>5956944789</v>
      </c>
      <c r="L86" s="1075">
        <v>5747214805</v>
      </c>
    </row>
    <row r="87" spans="1:12">
      <c r="A87" t="s">
        <v>919</v>
      </c>
      <c r="B87" s="31" t="s">
        <v>2490</v>
      </c>
      <c r="C87" s="1075">
        <v>2525501673</v>
      </c>
      <c r="D87" s="1075">
        <v>2461158443</v>
      </c>
      <c r="E87" s="1075">
        <v>2525501673</v>
      </c>
      <c r="F87" s="1075">
        <v>2461158443</v>
      </c>
      <c r="G87" s="1073">
        <v>2333555920</v>
      </c>
      <c r="H87" s="1073">
        <v>2333555920</v>
      </c>
      <c r="I87" s="1073">
        <v>2525501673</v>
      </c>
      <c r="J87" s="1077">
        <v>2461158443</v>
      </c>
      <c r="K87" s="1075">
        <v>2525501673</v>
      </c>
      <c r="L87" s="1075">
        <v>2461158443</v>
      </c>
    </row>
    <row r="88" spans="1:12">
      <c r="A88" t="s">
        <v>711</v>
      </c>
      <c r="B88" s="31" t="s">
        <v>2662</v>
      </c>
      <c r="C88" s="1075">
        <v>252646832</v>
      </c>
      <c r="D88" s="1075">
        <v>243448178</v>
      </c>
      <c r="E88" s="1075">
        <v>252646832</v>
      </c>
      <c r="F88" s="1075">
        <v>243448178</v>
      </c>
      <c r="G88" s="1073">
        <v>224776413</v>
      </c>
      <c r="H88" s="1073">
        <v>224776413</v>
      </c>
      <c r="I88" s="1073">
        <v>252646832</v>
      </c>
      <c r="J88" s="1077">
        <v>243448178</v>
      </c>
      <c r="K88" s="1075">
        <v>252646832</v>
      </c>
      <c r="L88" s="1075">
        <v>243448178</v>
      </c>
    </row>
    <row r="89" spans="1:12">
      <c r="A89" t="s">
        <v>1157</v>
      </c>
      <c r="B89" s="31" t="s">
        <v>2491</v>
      </c>
      <c r="C89" s="1075">
        <v>8684549805</v>
      </c>
      <c r="D89" s="1075">
        <v>8560898061</v>
      </c>
      <c r="E89" s="1075">
        <v>8590699435</v>
      </c>
      <c r="F89" s="1075">
        <v>8467047691</v>
      </c>
      <c r="G89" s="1073">
        <v>7031003753</v>
      </c>
      <c r="H89" s="1073">
        <v>6945006019</v>
      </c>
      <c r="I89" s="1073">
        <v>9572543065</v>
      </c>
      <c r="J89" s="1077">
        <v>9448891321</v>
      </c>
      <c r="K89" s="1075">
        <v>9478692695</v>
      </c>
      <c r="L89" s="1075">
        <v>9355040951</v>
      </c>
    </row>
    <row r="90" spans="1:12">
      <c r="A90" t="s">
        <v>1158</v>
      </c>
      <c r="B90" s="31" t="s">
        <v>2492</v>
      </c>
      <c r="C90" s="1075">
        <v>2163730658</v>
      </c>
      <c r="D90" s="1075">
        <v>2139982621</v>
      </c>
      <c r="E90" s="1075">
        <v>2132233982</v>
      </c>
      <c r="F90" s="1075">
        <v>2108485945</v>
      </c>
      <c r="G90" s="1073">
        <v>1516771731</v>
      </c>
      <c r="H90" s="1073">
        <v>1488696482</v>
      </c>
      <c r="I90" s="1073">
        <v>2163730658</v>
      </c>
      <c r="J90" s="1077">
        <v>2139982621</v>
      </c>
      <c r="K90" s="1075">
        <v>2132233982</v>
      </c>
      <c r="L90" s="1075">
        <v>2108485945</v>
      </c>
    </row>
    <row r="91" spans="1:12">
      <c r="A91" t="s">
        <v>1435</v>
      </c>
      <c r="B91" s="31" t="s">
        <v>1548</v>
      </c>
      <c r="C91" s="1075">
        <v>1194834893</v>
      </c>
      <c r="D91" s="1075">
        <v>1149814907</v>
      </c>
      <c r="E91" s="1075">
        <v>1163040971</v>
      </c>
      <c r="F91" s="1075">
        <v>1118020985</v>
      </c>
      <c r="G91" s="1073">
        <v>1001933138</v>
      </c>
      <c r="H91" s="1073">
        <v>973901358</v>
      </c>
      <c r="I91" s="1073">
        <v>1194834893</v>
      </c>
      <c r="J91" s="1077">
        <v>1149814907</v>
      </c>
      <c r="K91" s="1075">
        <v>1163040971</v>
      </c>
      <c r="L91" s="1075">
        <v>1118020985</v>
      </c>
    </row>
    <row r="92" spans="1:12">
      <c r="A92" t="s">
        <v>207</v>
      </c>
      <c r="B92" s="31" t="s">
        <v>273</v>
      </c>
      <c r="C92" s="1075">
        <v>7271507838</v>
      </c>
      <c r="D92" s="1075">
        <v>7037231349</v>
      </c>
      <c r="E92" s="1075">
        <v>7271507838</v>
      </c>
      <c r="F92" s="1075">
        <v>7037231349</v>
      </c>
      <c r="G92" s="1073">
        <v>6099852396</v>
      </c>
      <c r="H92" s="1073">
        <v>6099852396</v>
      </c>
      <c r="I92" s="1073">
        <v>7271507838</v>
      </c>
      <c r="J92" s="1077">
        <v>7037231349</v>
      </c>
      <c r="K92" s="1075">
        <v>7271507838</v>
      </c>
      <c r="L92" s="1075">
        <v>7037231349</v>
      </c>
    </row>
    <row r="93" spans="1:12">
      <c r="A93" t="s">
        <v>1159</v>
      </c>
      <c r="B93" s="31" t="s">
        <v>2493</v>
      </c>
      <c r="C93" s="1075">
        <v>60965293</v>
      </c>
      <c r="D93" s="1075">
        <v>58805502</v>
      </c>
      <c r="E93" s="1075">
        <v>60965293</v>
      </c>
      <c r="F93" s="1075">
        <v>58805502</v>
      </c>
      <c r="G93" s="1073">
        <v>50759086</v>
      </c>
      <c r="H93" s="1073">
        <v>50759086</v>
      </c>
      <c r="I93" s="1073">
        <v>60965293</v>
      </c>
      <c r="J93" s="1077">
        <v>58805502</v>
      </c>
      <c r="K93" s="1075">
        <v>60965293</v>
      </c>
      <c r="L93" s="1075">
        <v>58805502</v>
      </c>
    </row>
    <row r="94" spans="1:12">
      <c r="A94" t="s">
        <v>578</v>
      </c>
      <c r="B94" s="31" t="s">
        <v>1169</v>
      </c>
      <c r="C94" s="1075">
        <v>8591943483</v>
      </c>
      <c r="D94" s="1075">
        <v>8475506493</v>
      </c>
      <c r="E94" s="1075">
        <v>8591943483</v>
      </c>
      <c r="F94" s="1075">
        <v>8475506493</v>
      </c>
      <c r="G94" s="1073">
        <v>7438296100</v>
      </c>
      <c r="H94" s="1073">
        <v>7438296100</v>
      </c>
      <c r="I94" s="1073">
        <v>8591943483</v>
      </c>
      <c r="J94" s="1077">
        <v>8475506493</v>
      </c>
      <c r="K94" s="1075">
        <v>8591943483</v>
      </c>
      <c r="L94" s="1075">
        <v>8475506493</v>
      </c>
    </row>
    <row r="95" spans="1:12">
      <c r="A95" t="s">
        <v>882</v>
      </c>
      <c r="B95" s="31" t="s">
        <v>2636</v>
      </c>
      <c r="C95" s="1075">
        <v>6665405445</v>
      </c>
      <c r="D95" s="1075">
        <v>6529555404</v>
      </c>
      <c r="E95" s="1075">
        <v>6665405445</v>
      </c>
      <c r="F95" s="1075">
        <v>6529555404</v>
      </c>
      <c r="G95" s="1073">
        <v>6413754054</v>
      </c>
      <c r="H95" s="1073">
        <v>6413754054</v>
      </c>
      <c r="I95" s="1073">
        <v>6880623525</v>
      </c>
      <c r="J95" s="1077">
        <v>6744773484</v>
      </c>
      <c r="K95" s="1075">
        <v>6880623525</v>
      </c>
      <c r="L95" s="1075">
        <v>6744773484</v>
      </c>
    </row>
    <row r="96" spans="1:12">
      <c r="A96" t="s">
        <v>2549</v>
      </c>
      <c r="B96" s="31" t="s">
        <v>2494</v>
      </c>
      <c r="C96" s="1075">
        <v>79268328</v>
      </c>
      <c r="D96" s="1075">
        <v>77905283</v>
      </c>
      <c r="E96" s="1075">
        <v>79268328</v>
      </c>
      <c r="F96" s="1075">
        <v>77905283</v>
      </c>
      <c r="G96" s="1073">
        <v>75470645</v>
      </c>
      <c r="H96" s="1073">
        <v>75470645</v>
      </c>
      <c r="I96" s="1073">
        <v>79268328</v>
      </c>
      <c r="J96" s="1077">
        <v>77905283</v>
      </c>
      <c r="K96" s="1075">
        <v>79268328</v>
      </c>
      <c r="L96" s="1075">
        <v>77905283</v>
      </c>
    </row>
    <row r="97" spans="1:12">
      <c r="A97" t="s">
        <v>400</v>
      </c>
      <c r="B97" s="31" t="s">
        <v>2495</v>
      </c>
      <c r="C97" s="1075">
        <v>542188665</v>
      </c>
      <c r="D97" s="1075">
        <v>523531446</v>
      </c>
      <c r="E97" s="1075">
        <v>529226770</v>
      </c>
      <c r="F97" s="1075">
        <v>510569551</v>
      </c>
      <c r="G97" s="1073">
        <v>452279946</v>
      </c>
      <c r="H97" s="1073">
        <v>440303409</v>
      </c>
      <c r="I97" s="1073">
        <v>542188665</v>
      </c>
      <c r="J97" s="1077">
        <v>523531446</v>
      </c>
      <c r="K97" s="1075">
        <v>529226770</v>
      </c>
      <c r="L97" s="1075">
        <v>510569551</v>
      </c>
    </row>
    <row r="98" spans="1:12">
      <c r="A98" t="s">
        <v>401</v>
      </c>
      <c r="B98" s="31" t="s">
        <v>1589</v>
      </c>
      <c r="C98" s="1075">
        <v>88698795</v>
      </c>
      <c r="D98" s="1075">
        <v>87223570</v>
      </c>
      <c r="E98" s="1075">
        <v>88698795</v>
      </c>
      <c r="F98" s="1075">
        <v>87223570</v>
      </c>
      <c r="G98" s="1073">
        <v>78528667</v>
      </c>
      <c r="H98" s="1073">
        <v>78528667</v>
      </c>
      <c r="I98" s="1073">
        <v>88698795</v>
      </c>
      <c r="J98" s="1077">
        <v>87223570</v>
      </c>
      <c r="K98" s="1075">
        <v>88698795</v>
      </c>
      <c r="L98" s="1075">
        <v>87223570</v>
      </c>
    </row>
    <row r="99" spans="1:12">
      <c r="A99" t="s">
        <v>402</v>
      </c>
      <c r="B99" s="31" t="s">
        <v>1590</v>
      </c>
      <c r="C99" s="1075">
        <v>8842296</v>
      </c>
      <c r="D99" s="1075">
        <v>8822296</v>
      </c>
      <c r="E99" s="1075">
        <v>8842296</v>
      </c>
      <c r="F99" s="1075">
        <v>8822296</v>
      </c>
      <c r="G99" s="1073">
        <v>7771441</v>
      </c>
      <c r="H99" s="1073">
        <v>7771441</v>
      </c>
      <c r="I99" s="1073">
        <v>8842296</v>
      </c>
      <c r="J99" s="1077">
        <v>8822296</v>
      </c>
      <c r="K99" s="1075">
        <v>8842296</v>
      </c>
      <c r="L99" s="1075">
        <v>8822296</v>
      </c>
    </row>
    <row r="100" spans="1:12">
      <c r="A100" t="s">
        <v>403</v>
      </c>
      <c r="B100" s="31" t="s">
        <v>1591</v>
      </c>
      <c r="C100" s="1075">
        <v>335616277</v>
      </c>
      <c r="D100" s="1075">
        <v>333859437</v>
      </c>
      <c r="E100" s="1075">
        <v>335616277</v>
      </c>
      <c r="F100" s="1075">
        <v>333859437</v>
      </c>
      <c r="G100" s="1073">
        <v>172787004</v>
      </c>
      <c r="H100" s="1073">
        <v>172787004</v>
      </c>
      <c r="I100" s="1073">
        <v>440855447</v>
      </c>
      <c r="J100" s="1077">
        <v>439098607</v>
      </c>
      <c r="K100" s="1075">
        <v>440855447</v>
      </c>
      <c r="L100" s="1075">
        <v>439098607</v>
      </c>
    </row>
    <row r="101" spans="1:12">
      <c r="A101" t="s">
        <v>669</v>
      </c>
      <c r="B101" s="31" t="s">
        <v>1592</v>
      </c>
      <c r="C101" s="1075">
        <v>473628576</v>
      </c>
      <c r="D101" s="1075">
        <v>464106282</v>
      </c>
      <c r="E101" s="1075">
        <v>473628576</v>
      </c>
      <c r="F101" s="1075">
        <v>464106282</v>
      </c>
      <c r="G101" s="1073">
        <v>689734930</v>
      </c>
      <c r="H101" s="1073">
        <v>689734930</v>
      </c>
      <c r="I101" s="1073">
        <v>473628576</v>
      </c>
      <c r="J101" s="1077">
        <v>464106282</v>
      </c>
      <c r="K101" s="1075">
        <v>473628576</v>
      </c>
      <c r="L101" s="1075">
        <v>464106282</v>
      </c>
    </row>
    <row r="102" spans="1:12">
      <c r="A102" t="s">
        <v>670</v>
      </c>
      <c r="B102" s="31" t="s">
        <v>1593</v>
      </c>
      <c r="C102" s="1075">
        <v>330660965</v>
      </c>
      <c r="D102" s="1075">
        <v>316263798</v>
      </c>
      <c r="E102" s="1075">
        <v>330660965</v>
      </c>
      <c r="F102" s="1075">
        <v>316263798</v>
      </c>
      <c r="G102" s="1073">
        <v>310189396</v>
      </c>
      <c r="H102" s="1073">
        <v>310189396</v>
      </c>
      <c r="I102" s="1073">
        <v>330660965</v>
      </c>
      <c r="J102" s="1077">
        <v>316263798</v>
      </c>
      <c r="K102" s="1075">
        <v>330660965</v>
      </c>
      <c r="L102" s="1075">
        <v>316263798</v>
      </c>
    </row>
    <row r="103" spans="1:12">
      <c r="A103" t="s">
        <v>671</v>
      </c>
      <c r="B103" s="31" t="s">
        <v>1594</v>
      </c>
      <c r="C103" s="1075">
        <v>1359709194</v>
      </c>
      <c r="D103" s="1075">
        <v>1321210233</v>
      </c>
      <c r="E103" s="1075">
        <v>1359709194</v>
      </c>
      <c r="F103" s="1075">
        <v>1321210233</v>
      </c>
      <c r="G103" s="1073">
        <v>1287650693</v>
      </c>
      <c r="H103" s="1073">
        <v>1287650693</v>
      </c>
      <c r="I103" s="1073">
        <v>1359709194</v>
      </c>
      <c r="J103" s="1077">
        <v>1321210233</v>
      </c>
      <c r="K103" s="1075">
        <v>1359709194</v>
      </c>
      <c r="L103" s="1075">
        <v>1321210233</v>
      </c>
    </row>
    <row r="104" spans="1:12">
      <c r="A104" t="s">
        <v>876</v>
      </c>
      <c r="B104" s="31" t="s">
        <v>1343</v>
      </c>
      <c r="C104" s="1075">
        <v>60938499</v>
      </c>
      <c r="D104" s="1075">
        <v>58132685</v>
      </c>
      <c r="E104" s="1075">
        <v>60938499</v>
      </c>
      <c r="F104" s="1075">
        <v>58132685</v>
      </c>
      <c r="G104" s="1073">
        <v>42860076</v>
      </c>
      <c r="H104" s="1073">
        <v>42860076</v>
      </c>
      <c r="I104" s="1073">
        <v>124373109</v>
      </c>
      <c r="J104" s="1077">
        <v>121567295</v>
      </c>
      <c r="K104" s="1075">
        <v>124373109</v>
      </c>
      <c r="L104" s="1075">
        <v>121567295</v>
      </c>
    </row>
    <row r="105" spans="1:12">
      <c r="A105" t="s">
        <v>2528</v>
      </c>
      <c r="B105" s="31" t="s">
        <v>2068</v>
      </c>
      <c r="C105" s="1075">
        <v>165779668</v>
      </c>
      <c r="D105" s="1075">
        <v>160583627</v>
      </c>
      <c r="E105" s="1075">
        <v>165779668</v>
      </c>
      <c r="F105" s="1075">
        <v>160583627</v>
      </c>
      <c r="G105" s="1073">
        <v>158165442</v>
      </c>
      <c r="H105" s="1073">
        <v>158165442</v>
      </c>
      <c r="I105" s="1073">
        <v>165779668</v>
      </c>
      <c r="J105" s="1077">
        <v>160583627</v>
      </c>
      <c r="K105" s="1075">
        <v>165779668</v>
      </c>
      <c r="L105" s="1075">
        <v>160583627</v>
      </c>
    </row>
    <row r="106" spans="1:12">
      <c r="A106" t="s">
        <v>1187</v>
      </c>
      <c r="B106" s="31" t="s">
        <v>2675</v>
      </c>
      <c r="C106" s="1075">
        <v>50247327</v>
      </c>
      <c r="D106" s="1075">
        <v>48291097</v>
      </c>
      <c r="E106" s="1075">
        <v>50247327</v>
      </c>
      <c r="F106" s="1075">
        <v>48291097</v>
      </c>
      <c r="G106" s="1073">
        <v>43940622</v>
      </c>
      <c r="H106" s="1073">
        <v>43940622</v>
      </c>
      <c r="I106" s="1073">
        <v>50247327</v>
      </c>
      <c r="J106" s="1077">
        <v>48291097</v>
      </c>
      <c r="K106" s="1075">
        <v>50247327</v>
      </c>
      <c r="L106" s="1075">
        <v>48291097</v>
      </c>
    </row>
    <row r="107" spans="1:12">
      <c r="A107" t="s">
        <v>712</v>
      </c>
      <c r="B107" s="31" t="s">
        <v>2416</v>
      </c>
      <c r="C107" s="1075">
        <v>100865955</v>
      </c>
      <c r="D107" s="1075">
        <v>98623933</v>
      </c>
      <c r="E107" s="1075">
        <v>100865955</v>
      </c>
      <c r="F107" s="1075">
        <v>98623933</v>
      </c>
      <c r="G107" s="1073">
        <v>79008674</v>
      </c>
      <c r="H107" s="1073">
        <v>79008674</v>
      </c>
      <c r="I107" s="1073">
        <v>100865955</v>
      </c>
      <c r="J107" s="1077">
        <v>98623933</v>
      </c>
      <c r="K107" s="1075">
        <v>100865955</v>
      </c>
      <c r="L107" s="1075">
        <v>98623933</v>
      </c>
    </row>
    <row r="108" spans="1:12">
      <c r="A108" t="s">
        <v>769</v>
      </c>
      <c r="B108" s="31" t="s">
        <v>1063</v>
      </c>
      <c r="C108" s="1075">
        <v>292457959</v>
      </c>
      <c r="D108" s="1075">
        <v>279983556</v>
      </c>
      <c r="E108" s="1075">
        <v>292457959</v>
      </c>
      <c r="F108" s="1075">
        <v>279983556</v>
      </c>
      <c r="G108" s="1073">
        <v>271182203</v>
      </c>
      <c r="H108" s="1073">
        <v>271182203</v>
      </c>
      <c r="I108" s="1073">
        <v>292457959</v>
      </c>
      <c r="J108" s="1077">
        <v>279983556</v>
      </c>
      <c r="K108" s="1075">
        <v>292457959</v>
      </c>
      <c r="L108" s="1075">
        <v>279983556</v>
      </c>
    </row>
    <row r="109" spans="1:12">
      <c r="A109" t="s">
        <v>672</v>
      </c>
      <c r="B109" s="31" t="s">
        <v>1595</v>
      </c>
      <c r="C109" s="1075">
        <v>827774501</v>
      </c>
      <c r="D109" s="1075">
        <v>806731055</v>
      </c>
      <c r="E109" s="1075">
        <v>827774501</v>
      </c>
      <c r="F109" s="1075">
        <v>806731055</v>
      </c>
      <c r="G109" s="1073">
        <v>963743067</v>
      </c>
      <c r="H109" s="1073">
        <v>963743067</v>
      </c>
      <c r="I109" s="1073">
        <v>827774501</v>
      </c>
      <c r="J109" s="1077">
        <v>806731055</v>
      </c>
      <c r="K109" s="1075">
        <v>827774501</v>
      </c>
      <c r="L109" s="1075">
        <v>806731055</v>
      </c>
    </row>
    <row r="110" spans="1:12">
      <c r="A110" t="s">
        <v>673</v>
      </c>
      <c r="B110" s="31" t="s">
        <v>1596</v>
      </c>
      <c r="C110" s="1075">
        <v>275727648</v>
      </c>
      <c r="D110" s="1075">
        <v>267108716</v>
      </c>
      <c r="E110" s="1075">
        <v>275727648</v>
      </c>
      <c r="F110" s="1075">
        <v>267108716</v>
      </c>
      <c r="G110" s="1073">
        <v>216008141</v>
      </c>
      <c r="H110" s="1073">
        <v>216008141</v>
      </c>
      <c r="I110" s="1073">
        <v>275727648</v>
      </c>
      <c r="J110" s="1077">
        <v>267108716</v>
      </c>
      <c r="K110" s="1075">
        <v>275727648</v>
      </c>
      <c r="L110" s="1075">
        <v>267108716</v>
      </c>
    </row>
    <row r="111" spans="1:12">
      <c r="A111" t="s">
        <v>674</v>
      </c>
      <c r="B111" s="31" t="s">
        <v>1597</v>
      </c>
      <c r="C111" s="1075">
        <v>225808327</v>
      </c>
      <c r="D111" s="1075">
        <v>220727547</v>
      </c>
      <c r="E111" s="1075">
        <v>225808327</v>
      </c>
      <c r="F111" s="1075">
        <v>220727547</v>
      </c>
      <c r="G111" s="1073">
        <v>150952565</v>
      </c>
      <c r="H111" s="1073">
        <v>150952565</v>
      </c>
      <c r="I111" s="1073">
        <v>225808327</v>
      </c>
      <c r="J111" s="1077">
        <v>220727547</v>
      </c>
      <c r="K111" s="1075">
        <v>225808327</v>
      </c>
      <c r="L111" s="1075">
        <v>220727547</v>
      </c>
    </row>
    <row r="112" spans="1:12">
      <c r="A112" t="s">
        <v>1885</v>
      </c>
      <c r="B112" s="31" t="s">
        <v>133</v>
      </c>
      <c r="C112" s="1075">
        <v>2032237881</v>
      </c>
      <c r="D112" s="1075">
        <v>1976552112</v>
      </c>
      <c r="E112" s="1075">
        <v>2032237881</v>
      </c>
      <c r="F112" s="1075">
        <v>1976552112</v>
      </c>
      <c r="G112" s="1073">
        <v>1875486276</v>
      </c>
      <c r="H112" s="1073">
        <v>1875486276</v>
      </c>
      <c r="I112" s="1073">
        <v>2032237881</v>
      </c>
      <c r="J112" s="1077">
        <v>1976552112</v>
      </c>
      <c r="K112" s="1075">
        <v>2032237881</v>
      </c>
      <c r="L112" s="1075">
        <v>1976552112</v>
      </c>
    </row>
    <row r="113" spans="1:12">
      <c r="A113" t="s">
        <v>348</v>
      </c>
      <c r="B113" s="31" t="s">
        <v>291</v>
      </c>
      <c r="C113" s="1075">
        <v>3326227062</v>
      </c>
      <c r="D113" s="1075">
        <v>3270092355</v>
      </c>
      <c r="E113" s="1075">
        <v>3326227062</v>
      </c>
      <c r="F113" s="1075">
        <v>3270092355</v>
      </c>
      <c r="G113" s="1073">
        <v>3136611060</v>
      </c>
      <c r="H113" s="1073">
        <v>3136611060</v>
      </c>
      <c r="I113" s="1073">
        <v>3326227062</v>
      </c>
      <c r="J113" s="1077">
        <v>3270092355</v>
      </c>
      <c r="K113" s="1075">
        <v>3326227062</v>
      </c>
      <c r="L113" s="1075">
        <v>3270092355</v>
      </c>
    </row>
    <row r="114" spans="1:12">
      <c r="A114" t="s">
        <v>456</v>
      </c>
      <c r="B114" s="31" t="s">
        <v>2227</v>
      </c>
      <c r="C114" s="1075">
        <v>1138467015</v>
      </c>
      <c r="D114" s="1075">
        <v>1097065526</v>
      </c>
      <c r="E114" s="1075">
        <v>1138467015</v>
      </c>
      <c r="F114" s="1075">
        <v>1097065526</v>
      </c>
      <c r="G114" s="1073">
        <v>1068661656</v>
      </c>
      <c r="H114" s="1073">
        <v>1068661656</v>
      </c>
      <c r="I114" s="1073">
        <v>1138467015</v>
      </c>
      <c r="J114" s="1077">
        <v>1097065526</v>
      </c>
      <c r="K114" s="1075">
        <v>1138467015</v>
      </c>
      <c r="L114" s="1075">
        <v>1097065526</v>
      </c>
    </row>
    <row r="115" spans="1:12">
      <c r="A115" t="s">
        <v>1154</v>
      </c>
      <c r="B115" s="31" t="s">
        <v>838</v>
      </c>
      <c r="C115" s="1075">
        <v>415800259</v>
      </c>
      <c r="D115" s="1075">
        <v>403869409</v>
      </c>
      <c r="E115" s="1075">
        <v>415800259</v>
      </c>
      <c r="F115" s="1075">
        <v>403869409</v>
      </c>
      <c r="G115" s="1073">
        <v>511471885</v>
      </c>
      <c r="H115" s="1073">
        <v>511471885</v>
      </c>
      <c r="I115" s="1073">
        <v>415800259</v>
      </c>
      <c r="J115" s="1077">
        <v>403869409</v>
      </c>
      <c r="K115" s="1075">
        <v>415800259</v>
      </c>
      <c r="L115" s="1075">
        <v>403869409</v>
      </c>
    </row>
    <row r="116" spans="1:12">
      <c r="A116" t="s">
        <v>2306</v>
      </c>
      <c r="B116" s="31" t="s">
        <v>1598</v>
      </c>
      <c r="C116" s="1075">
        <v>145701996</v>
      </c>
      <c r="D116" s="1075">
        <v>143721123</v>
      </c>
      <c r="E116" s="1075">
        <v>145701996</v>
      </c>
      <c r="F116" s="1075">
        <v>143721123</v>
      </c>
      <c r="G116" s="1073">
        <v>176941242</v>
      </c>
      <c r="H116" s="1073">
        <v>176941242</v>
      </c>
      <c r="I116" s="1073">
        <v>145701996</v>
      </c>
      <c r="J116" s="1077">
        <v>143721123</v>
      </c>
      <c r="K116" s="1075">
        <v>145701996</v>
      </c>
      <c r="L116" s="1075">
        <v>143721123</v>
      </c>
    </row>
    <row r="117" spans="1:12">
      <c r="A117" t="s">
        <v>1359</v>
      </c>
      <c r="B117" s="31" t="s">
        <v>1027</v>
      </c>
      <c r="C117" s="1075">
        <v>3423246322</v>
      </c>
      <c r="D117" s="1075">
        <v>3380889683</v>
      </c>
      <c r="E117" s="1075">
        <v>3370682445</v>
      </c>
      <c r="F117" s="1075">
        <v>3328325806</v>
      </c>
      <c r="G117" s="1073">
        <v>3818534363</v>
      </c>
      <c r="H117" s="1073">
        <v>3765989680</v>
      </c>
      <c r="I117" s="1073">
        <v>3481513122</v>
      </c>
      <c r="J117" s="1077">
        <v>3439156483</v>
      </c>
      <c r="K117" s="1075">
        <v>3428949245</v>
      </c>
      <c r="L117" s="1075">
        <v>3386592606</v>
      </c>
    </row>
    <row r="118" spans="1:12">
      <c r="A118" t="s">
        <v>2341</v>
      </c>
      <c r="B118" s="31" t="s">
        <v>1600</v>
      </c>
      <c r="C118" s="1075">
        <v>129500489</v>
      </c>
      <c r="D118" s="1075">
        <v>123028719</v>
      </c>
      <c r="E118" s="1075">
        <v>129500489</v>
      </c>
      <c r="F118" s="1075">
        <v>123028719</v>
      </c>
      <c r="G118" s="1073">
        <v>133801342</v>
      </c>
      <c r="H118" s="1073">
        <v>133801342</v>
      </c>
      <c r="I118" s="1073">
        <v>129500489</v>
      </c>
      <c r="J118" s="1077">
        <v>123028719</v>
      </c>
      <c r="K118" s="1075">
        <v>129500489</v>
      </c>
      <c r="L118" s="1075">
        <v>123028719</v>
      </c>
    </row>
    <row r="119" spans="1:12">
      <c r="A119" t="s">
        <v>713</v>
      </c>
      <c r="B119" s="31" t="s">
        <v>31</v>
      </c>
      <c r="C119" s="1075">
        <v>526621882</v>
      </c>
      <c r="D119" s="1075">
        <v>507931675</v>
      </c>
      <c r="E119" s="1075">
        <v>526621882</v>
      </c>
      <c r="F119" s="1075">
        <v>507931675</v>
      </c>
      <c r="G119" s="1073">
        <v>318389869</v>
      </c>
      <c r="H119" s="1073">
        <v>318389869</v>
      </c>
      <c r="I119" s="1073">
        <v>526621882</v>
      </c>
      <c r="J119" s="1077">
        <v>507931675</v>
      </c>
      <c r="K119" s="1075">
        <v>526621882</v>
      </c>
      <c r="L119" s="1075">
        <v>507931675</v>
      </c>
    </row>
    <row r="120" spans="1:12">
      <c r="A120" t="s">
        <v>148</v>
      </c>
      <c r="B120" s="31" t="s">
        <v>1601</v>
      </c>
      <c r="C120" s="1075">
        <v>184452300</v>
      </c>
      <c r="D120" s="1075">
        <v>178870880</v>
      </c>
      <c r="E120" s="1075">
        <v>184452300</v>
      </c>
      <c r="F120" s="1075">
        <v>178870880</v>
      </c>
      <c r="G120" s="1073">
        <v>162121316</v>
      </c>
      <c r="H120" s="1073">
        <v>162121316</v>
      </c>
      <c r="I120" s="1073">
        <v>184452300</v>
      </c>
      <c r="J120" s="1077">
        <v>178870880</v>
      </c>
      <c r="K120" s="1075">
        <v>184452300</v>
      </c>
      <c r="L120" s="1075">
        <v>178870880</v>
      </c>
    </row>
    <row r="121" spans="1:12">
      <c r="A121" t="s">
        <v>1829</v>
      </c>
      <c r="B121" s="31" t="s">
        <v>1602</v>
      </c>
      <c r="C121" s="1075">
        <v>239670310</v>
      </c>
      <c r="D121" s="1075">
        <v>233810742</v>
      </c>
      <c r="E121" s="1075">
        <v>239670310</v>
      </c>
      <c r="F121" s="1075">
        <v>233810742</v>
      </c>
      <c r="G121" s="1073">
        <v>225629446</v>
      </c>
      <c r="H121" s="1073">
        <v>225629446</v>
      </c>
      <c r="I121" s="1073">
        <v>239670310</v>
      </c>
      <c r="J121" s="1077">
        <v>233810742</v>
      </c>
      <c r="K121" s="1075">
        <v>239670310</v>
      </c>
      <c r="L121" s="1075">
        <v>233810742</v>
      </c>
    </row>
    <row r="122" spans="1:12">
      <c r="A122" t="s">
        <v>881</v>
      </c>
      <c r="B122" s="31" t="s">
        <v>2635</v>
      </c>
      <c r="C122" s="1075">
        <v>5654520678</v>
      </c>
      <c r="D122" s="1075">
        <v>5426008380</v>
      </c>
      <c r="E122" s="1075">
        <v>5654520678</v>
      </c>
      <c r="F122" s="1075">
        <v>5426008380</v>
      </c>
      <c r="G122" s="1073">
        <v>5425295447</v>
      </c>
      <c r="H122" s="1073">
        <v>5425295447</v>
      </c>
      <c r="I122" s="1073">
        <v>5654520678</v>
      </c>
      <c r="J122" s="1077">
        <v>5426008380</v>
      </c>
      <c r="K122" s="1075">
        <v>5654520678</v>
      </c>
      <c r="L122" s="1075">
        <v>5426008380</v>
      </c>
    </row>
    <row r="123" spans="1:12">
      <c r="A123" t="s">
        <v>1860</v>
      </c>
      <c r="B123" s="31" t="s">
        <v>34</v>
      </c>
      <c r="C123" s="1075">
        <v>3453027302</v>
      </c>
      <c r="D123" s="1075">
        <v>3335826960</v>
      </c>
      <c r="E123" s="1075">
        <v>3453027302</v>
      </c>
      <c r="F123" s="1075">
        <v>3335826960</v>
      </c>
      <c r="G123" s="1073">
        <v>3382654546</v>
      </c>
      <c r="H123" s="1073">
        <v>3382654546</v>
      </c>
      <c r="I123" s="1073">
        <v>3453027302</v>
      </c>
      <c r="J123" s="1077">
        <v>3335826960</v>
      </c>
      <c r="K123" s="1075">
        <v>3453027302</v>
      </c>
      <c r="L123" s="1075">
        <v>3335826960</v>
      </c>
    </row>
    <row r="124" spans="1:12">
      <c r="A124" t="s">
        <v>57</v>
      </c>
      <c r="B124" s="31" t="s">
        <v>1881</v>
      </c>
      <c r="C124" s="1075">
        <v>414452194</v>
      </c>
      <c r="D124" s="1075">
        <v>397180924</v>
      </c>
      <c r="E124" s="1075">
        <v>414452194</v>
      </c>
      <c r="F124" s="1075">
        <v>397180924</v>
      </c>
      <c r="G124" s="1073">
        <v>369876024</v>
      </c>
      <c r="H124" s="1073">
        <v>369876024</v>
      </c>
      <c r="I124" s="1073">
        <v>414452194</v>
      </c>
      <c r="J124" s="1077">
        <v>397180924</v>
      </c>
      <c r="K124" s="1075">
        <v>414452194</v>
      </c>
      <c r="L124" s="1075">
        <v>397180924</v>
      </c>
    </row>
    <row r="125" spans="1:12">
      <c r="A125" t="s">
        <v>2283</v>
      </c>
      <c r="B125" s="31" t="s">
        <v>36</v>
      </c>
      <c r="C125" s="1075">
        <v>1676903439</v>
      </c>
      <c r="D125" s="1075">
        <v>1618476284</v>
      </c>
      <c r="E125" s="1075">
        <v>1676903439</v>
      </c>
      <c r="F125" s="1075">
        <v>1618476284</v>
      </c>
      <c r="G125" s="1073">
        <v>1489903439</v>
      </c>
      <c r="H125" s="1073">
        <v>1489903439</v>
      </c>
      <c r="I125" s="1073">
        <v>1946903439</v>
      </c>
      <c r="J125" s="1077">
        <v>1888476284</v>
      </c>
      <c r="K125" s="1075">
        <v>1946903439</v>
      </c>
      <c r="L125" s="1075">
        <v>1888476284</v>
      </c>
    </row>
    <row r="126" spans="1:12">
      <c r="A126" t="s">
        <v>1679</v>
      </c>
      <c r="B126" s="31" t="s">
        <v>1603</v>
      </c>
      <c r="C126" s="1075">
        <v>3537378253</v>
      </c>
      <c r="D126" s="1075">
        <v>3514802734</v>
      </c>
      <c r="E126" s="1075">
        <v>3537378253</v>
      </c>
      <c r="F126" s="1075">
        <v>3514802734</v>
      </c>
      <c r="G126" s="1073">
        <v>3676638050</v>
      </c>
      <c r="H126" s="1073">
        <v>3676638050</v>
      </c>
      <c r="I126" s="1073">
        <v>3537378253</v>
      </c>
      <c r="J126" s="1077">
        <v>3514802734</v>
      </c>
      <c r="K126" s="1075">
        <v>3537378253</v>
      </c>
      <c r="L126" s="1075">
        <v>3514802734</v>
      </c>
    </row>
    <row r="127" spans="1:12">
      <c r="A127" t="s">
        <v>714</v>
      </c>
      <c r="B127" s="31" t="s">
        <v>2694</v>
      </c>
      <c r="C127" s="1075">
        <v>274447961</v>
      </c>
      <c r="D127" s="1075">
        <v>262956958</v>
      </c>
      <c r="E127" s="1075">
        <v>274447961</v>
      </c>
      <c r="F127" s="1075">
        <v>262956958</v>
      </c>
      <c r="G127" s="1073">
        <v>249728568</v>
      </c>
      <c r="H127" s="1073">
        <v>249728568</v>
      </c>
      <c r="I127" s="1073">
        <v>312862751</v>
      </c>
      <c r="J127" s="1077">
        <v>301371748</v>
      </c>
      <c r="K127" s="1075">
        <v>312862751</v>
      </c>
      <c r="L127" s="1075">
        <v>301371748</v>
      </c>
    </row>
    <row r="128" spans="1:12">
      <c r="A128" t="s">
        <v>1315</v>
      </c>
      <c r="B128" s="31" t="s">
        <v>39</v>
      </c>
      <c r="C128" s="1075">
        <v>990617346</v>
      </c>
      <c r="D128" s="1075">
        <v>942118601</v>
      </c>
      <c r="E128" s="1075">
        <v>990617346</v>
      </c>
      <c r="F128" s="1075">
        <v>942118601</v>
      </c>
      <c r="G128" s="1073">
        <v>872018310</v>
      </c>
      <c r="H128" s="1073">
        <v>872018310</v>
      </c>
      <c r="I128" s="1073">
        <v>990617346</v>
      </c>
      <c r="J128" s="1077">
        <v>942118601</v>
      </c>
      <c r="K128" s="1075">
        <v>990617346</v>
      </c>
      <c r="L128" s="1075">
        <v>942118601</v>
      </c>
    </row>
    <row r="129" spans="1:12">
      <c r="A129" t="s">
        <v>715</v>
      </c>
      <c r="B129" s="31" t="s">
        <v>86</v>
      </c>
      <c r="C129" s="1075">
        <v>53413337</v>
      </c>
      <c r="D129" s="1075">
        <v>51337537</v>
      </c>
      <c r="E129" s="1075">
        <v>53413337</v>
      </c>
      <c r="F129" s="1075">
        <v>51337537</v>
      </c>
      <c r="G129" s="1073">
        <v>41221901</v>
      </c>
      <c r="H129" s="1073">
        <v>41221901</v>
      </c>
      <c r="I129" s="1073">
        <v>53413337</v>
      </c>
      <c r="J129" s="1077">
        <v>51337537</v>
      </c>
      <c r="K129" s="1075">
        <v>53413337</v>
      </c>
      <c r="L129" s="1075">
        <v>51337537</v>
      </c>
    </row>
    <row r="130" spans="1:12">
      <c r="A130" t="s">
        <v>492</v>
      </c>
      <c r="B130" s="31" t="s">
        <v>87</v>
      </c>
      <c r="C130" s="1075">
        <v>85676859</v>
      </c>
      <c r="D130" s="1075">
        <v>80114515</v>
      </c>
      <c r="E130" s="1075">
        <v>85676859</v>
      </c>
      <c r="F130" s="1075">
        <v>80114515</v>
      </c>
      <c r="G130" s="1073">
        <v>74240107</v>
      </c>
      <c r="H130" s="1073">
        <v>74240107</v>
      </c>
      <c r="I130" s="1073">
        <v>85676859</v>
      </c>
      <c r="J130" s="1077">
        <v>80114515</v>
      </c>
      <c r="K130" s="1075">
        <v>85676859</v>
      </c>
      <c r="L130" s="1075">
        <v>80114515</v>
      </c>
    </row>
    <row r="131" spans="1:12">
      <c r="A131" t="s">
        <v>933</v>
      </c>
      <c r="B131" s="31" t="s">
        <v>1604</v>
      </c>
      <c r="C131" s="1075">
        <v>712724767</v>
      </c>
      <c r="D131" s="1075">
        <v>687638704</v>
      </c>
      <c r="E131" s="1075">
        <v>712724767</v>
      </c>
      <c r="F131" s="1075">
        <v>687638704</v>
      </c>
      <c r="G131" s="1073">
        <v>735329224</v>
      </c>
      <c r="H131" s="1073">
        <v>735329224</v>
      </c>
      <c r="I131" s="1073">
        <v>712724767</v>
      </c>
      <c r="J131" s="1077">
        <v>687638704</v>
      </c>
      <c r="K131" s="1075">
        <v>712724767</v>
      </c>
      <c r="L131" s="1075">
        <v>687638704</v>
      </c>
    </row>
    <row r="132" spans="1:12">
      <c r="A132" t="s">
        <v>934</v>
      </c>
      <c r="B132" s="31" t="s">
        <v>1605</v>
      </c>
      <c r="C132" s="1075">
        <v>128914354</v>
      </c>
      <c r="D132" s="1075">
        <v>126912276</v>
      </c>
      <c r="E132" s="1075">
        <v>128914354</v>
      </c>
      <c r="F132" s="1075">
        <v>126912276</v>
      </c>
      <c r="G132" s="1073">
        <v>89558463</v>
      </c>
      <c r="H132" s="1073">
        <v>89558463</v>
      </c>
      <c r="I132" s="1073">
        <v>357349144</v>
      </c>
      <c r="J132" s="1077">
        <v>355347066</v>
      </c>
      <c r="K132" s="1075">
        <v>357349144</v>
      </c>
      <c r="L132" s="1075">
        <v>355347066</v>
      </c>
    </row>
    <row r="133" spans="1:12">
      <c r="A133" t="s">
        <v>776</v>
      </c>
      <c r="B133" s="31" t="s">
        <v>2169</v>
      </c>
      <c r="C133" s="1075">
        <v>443480597</v>
      </c>
      <c r="D133" s="1075">
        <v>434923167</v>
      </c>
      <c r="E133" s="1075">
        <v>433862267</v>
      </c>
      <c r="F133" s="1075">
        <v>425304837</v>
      </c>
      <c r="G133" s="1073">
        <v>568595701</v>
      </c>
      <c r="H133" s="1073">
        <v>558830210</v>
      </c>
      <c r="I133" s="1073">
        <v>874762257</v>
      </c>
      <c r="J133" s="1077">
        <v>866204827</v>
      </c>
      <c r="K133" s="1075">
        <v>865143927</v>
      </c>
      <c r="L133" s="1075">
        <v>856586497</v>
      </c>
    </row>
    <row r="134" spans="1:12">
      <c r="A134" t="s">
        <v>1806</v>
      </c>
      <c r="B134" s="31" t="s">
        <v>2170</v>
      </c>
      <c r="C134" s="1075">
        <v>262953215</v>
      </c>
      <c r="D134" s="1075">
        <v>258901195</v>
      </c>
      <c r="E134" s="1075">
        <v>261372415</v>
      </c>
      <c r="F134" s="1075">
        <v>257320395</v>
      </c>
      <c r="G134" s="1073">
        <v>413057139</v>
      </c>
      <c r="H134" s="1073">
        <v>410215282</v>
      </c>
      <c r="I134" s="1073">
        <v>423503825</v>
      </c>
      <c r="J134" s="1077">
        <v>419451805</v>
      </c>
      <c r="K134" s="1075">
        <v>421923025</v>
      </c>
      <c r="L134" s="1075">
        <v>417871005</v>
      </c>
    </row>
    <row r="135" spans="1:12">
      <c r="A135" t="s">
        <v>1725</v>
      </c>
      <c r="B135" s="31" t="s">
        <v>2171</v>
      </c>
      <c r="C135" s="1075">
        <v>544778768</v>
      </c>
      <c r="D135" s="1075">
        <v>519119251</v>
      </c>
      <c r="E135" s="1075">
        <v>544778768</v>
      </c>
      <c r="F135" s="1075">
        <v>519119251</v>
      </c>
      <c r="G135" s="1073">
        <v>543218347</v>
      </c>
      <c r="H135" s="1073">
        <v>543218347</v>
      </c>
      <c r="I135" s="1073">
        <v>544778768</v>
      </c>
      <c r="J135" s="1077">
        <v>519119251</v>
      </c>
      <c r="K135" s="1075">
        <v>544778768</v>
      </c>
      <c r="L135" s="1075">
        <v>519119251</v>
      </c>
    </row>
    <row r="136" spans="1:12">
      <c r="A136" t="s">
        <v>1726</v>
      </c>
      <c r="B136" s="31" t="s">
        <v>2172</v>
      </c>
      <c r="C136" s="1075">
        <v>60874027</v>
      </c>
      <c r="D136" s="1075">
        <v>57593751</v>
      </c>
      <c r="E136" s="1075">
        <v>60874027</v>
      </c>
      <c r="F136" s="1075">
        <v>57593751</v>
      </c>
      <c r="G136" s="1073">
        <v>57398259</v>
      </c>
      <c r="H136" s="1073">
        <v>57398259</v>
      </c>
      <c r="I136" s="1073">
        <v>60874027</v>
      </c>
      <c r="J136" s="1077">
        <v>57593751</v>
      </c>
      <c r="K136" s="1075">
        <v>60874027</v>
      </c>
      <c r="L136" s="1075">
        <v>57593751</v>
      </c>
    </row>
    <row r="137" spans="1:12">
      <c r="A137" t="s">
        <v>743</v>
      </c>
      <c r="B137" s="31" t="s">
        <v>2173</v>
      </c>
      <c r="C137" s="1075">
        <v>252497622</v>
      </c>
      <c r="D137" s="1075">
        <v>241360257</v>
      </c>
      <c r="E137" s="1075">
        <v>252497622</v>
      </c>
      <c r="F137" s="1075">
        <v>241360257</v>
      </c>
      <c r="G137" s="1073">
        <v>328942292</v>
      </c>
      <c r="H137" s="1073">
        <v>328942292</v>
      </c>
      <c r="I137" s="1073">
        <v>252497622</v>
      </c>
      <c r="J137" s="1077">
        <v>241360257</v>
      </c>
      <c r="K137" s="1075">
        <v>252497622</v>
      </c>
      <c r="L137" s="1075">
        <v>241360257</v>
      </c>
    </row>
    <row r="138" spans="1:12">
      <c r="A138" t="s">
        <v>744</v>
      </c>
      <c r="B138" s="31" t="s">
        <v>1028</v>
      </c>
      <c r="C138" s="1075">
        <v>224681641</v>
      </c>
      <c r="D138" s="1075">
        <v>210923076</v>
      </c>
      <c r="E138" s="1075">
        <v>224681641</v>
      </c>
      <c r="F138" s="1075">
        <v>210923076</v>
      </c>
      <c r="G138" s="1073">
        <v>218452674</v>
      </c>
      <c r="H138" s="1073">
        <v>218452674</v>
      </c>
      <c r="I138" s="1073">
        <v>224681641</v>
      </c>
      <c r="J138" s="1077">
        <v>210923076</v>
      </c>
      <c r="K138" s="1075">
        <v>224681641</v>
      </c>
      <c r="L138" s="1075">
        <v>210923076</v>
      </c>
    </row>
    <row r="139" spans="1:12">
      <c r="A139" t="s">
        <v>1875</v>
      </c>
      <c r="B139" s="31" t="s">
        <v>821</v>
      </c>
      <c r="C139" s="1075">
        <v>28879006</v>
      </c>
      <c r="D139" s="1075">
        <v>26990873</v>
      </c>
      <c r="E139" s="1075">
        <v>28879006</v>
      </c>
      <c r="F139" s="1075">
        <v>26990873</v>
      </c>
      <c r="G139" s="1073">
        <v>33088465</v>
      </c>
      <c r="H139" s="1073">
        <v>33088465</v>
      </c>
      <c r="I139" s="1073">
        <v>28879006</v>
      </c>
      <c r="J139" s="1077">
        <v>26990873</v>
      </c>
      <c r="K139" s="1075">
        <v>28879006</v>
      </c>
      <c r="L139" s="1075">
        <v>26990873</v>
      </c>
    </row>
    <row r="140" spans="1:12">
      <c r="A140" t="s">
        <v>745</v>
      </c>
      <c r="B140" s="31" t="s">
        <v>1706</v>
      </c>
      <c r="C140" s="1075">
        <v>459344645</v>
      </c>
      <c r="D140" s="1075">
        <v>447191758</v>
      </c>
      <c r="E140" s="1075">
        <v>448473546</v>
      </c>
      <c r="F140" s="1075">
        <v>436320659</v>
      </c>
      <c r="G140" s="1073">
        <v>423282997</v>
      </c>
      <c r="H140" s="1073">
        <v>412342431</v>
      </c>
      <c r="I140" s="1073">
        <v>459344645</v>
      </c>
      <c r="J140" s="1077">
        <v>447191758</v>
      </c>
      <c r="K140" s="1075">
        <v>448473546</v>
      </c>
      <c r="L140" s="1075">
        <v>436320659</v>
      </c>
    </row>
    <row r="141" spans="1:12">
      <c r="A141" t="s">
        <v>1952</v>
      </c>
      <c r="B141" s="31" t="s">
        <v>1708</v>
      </c>
      <c r="C141" s="1075">
        <v>42016565</v>
      </c>
      <c r="D141" s="1075">
        <v>39078778</v>
      </c>
      <c r="E141" s="1075">
        <v>42016565</v>
      </c>
      <c r="F141" s="1075">
        <v>39078778</v>
      </c>
      <c r="G141" s="1073">
        <v>37238737</v>
      </c>
      <c r="H141" s="1073">
        <v>37238737</v>
      </c>
      <c r="I141" s="1073">
        <v>42016565</v>
      </c>
      <c r="J141" s="1077">
        <v>39078778</v>
      </c>
      <c r="K141" s="1075">
        <v>42016565</v>
      </c>
      <c r="L141" s="1075">
        <v>39078778</v>
      </c>
    </row>
    <row r="142" spans="1:12">
      <c r="A142" t="s">
        <v>1953</v>
      </c>
      <c r="B142" s="31" t="s">
        <v>1709</v>
      </c>
      <c r="C142" s="1075">
        <v>253204562</v>
      </c>
      <c r="D142" s="1075">
        <v>245624812</v>
      </c>
      <c r="E142" s="1075">
        <v>253204562</v>
      </c>
      <c r="F142" s="1075">
        <v>245624812</v>
      </c>
      <c r="G142" s="1073">
        <v>264750432</v>
      </c>
      <c r="H142" s="1073">
        <v>264750432</v>
      </c>
      <c r="I142" s="1073">
        <v>568011982</v>
      </c>
      <c r="J142" s="1077">
        <v>560432232</v>
      </c>
      <c r="K142" s="1075">
        <v>568011982</v>
      </c>
      <c r="L142" s="1075">
        <v>560432232</v>
      </c>
    </row>
    <row r="143" spans="1:12">
      <c r="A143" t="s">
        <v>2431</v>
      </c>
      <c r="B143" s="31" t="s">
        <v>1710</v>
      </c>
      <c r="C143" s="1075">
        <v>79996962</v>
      </c>
      <c r="D143" s="1075">
        <v>78283942</v>
      </c>
      <c r="E143" s="1075">
        <v>79996962</v>
      </c>
      <c r="F143" s="1075">
        <v>78283942</v>
      </c>
      <c r="G143" s="1073">
        <v>86530533</v>
      </c>
      <c r="H143" s="1073">
        <v>86530533</v>
      </c>
      <c r="I143" s="1073">
        <v>79996962</v>
      </c>
      <c r="J143" s="1077">
        <v>78283942</v>
      </c>
      <c r="K143" s="1075">
        <v>79996962</v>
      </c>
      <c r="L143" s="1075">
        <v>78283942</v>
      </c>
    </row>
    <row r="144" spans="1:12">
      <c r="A144" t="s">
        <v>2539</v>
      </c>
      <c r="B144" s="31" t="s">
        <v>389</v>
      </c>
      <c r="C144" s="1075">
        <v>56912652</v>
      </c>
      <c r="D144" s="1075">
        <v>55154702</v>
      </c>
      <c r="E144" s="1075">
        <v>56912652</v>
      </c>
      <c r="F144" s="1075">
        <v>55154702</v>
      </c>
      <c r="G144" s="1073">
        <v>74380050</v>
      </c>
      <c r="H144" s="1073">
        <v>74380050</v>
      </c>
      <c r="I144" s="1073">
        <v>56912652</v>
      </c>
      <c r="J144" s="1077">
        <v>55154702</v>
      </c>
      <c r="K144" s="1075">
        <v>56912652</v>
      </c>
      <c r="L144" s="1075">
        <v>55154702</v>
      </c>
    </row>
    <row r="145" spans="1:12">
      <c r="A145" t="s">
        <v>1640</v>
      </c>
      <c r="B145" s="31" t="s">
        <v>1055</v>
      </c>
      <c r="C145" s="1075">
        <v>520190528</v>
      </c>
      <c r="D145" s="1075">
        <v>503537038</v>
      </c>
      <c r="E145" s="1075">
        <v>500927363</v>
      </c>
      <c r="F145" s="1075">
        <v>484273873</v>
      </c>
      <c r="G145" s="1073">
        <v>712354746</v>
      </c>
      <c r="H145" s="1073">
        <v>692694535</v>
      </c>
      <c r="I145" s="1073">
        <v>520190528</v>
      </c>
      <c r="J145" s="1077">
        <v>503537038</v>
      </c>
      <c r="K145" s="1075">
        <v>500927363</v>
      </c>
      <c r="L145" s="1075">
        <v>484273873</v>
      </c>
    </row>
    <row r="146" spans="1:12">
      <c r="A146" t="s">
        <v>2432</v>
      </c>
      <c r="B146" s="31" t="s">
        <v>1711</v>
      </c>
      <c r="C146" s="1075">
        <v>4507904708</v>
      </c>
      <c r="D146" s="1075">
        <v>4458617738</v>
      </c>
      <c r="E146" s="1075">
        <v>4400984288</v>
      </c>
      <c r="F146" s="1075">
        <v>4351697318</v>
      </c>
      <c r="G146" s="1073">
        <v>4884458332</v>
      </c>
      <c r="H146" s="1073">
        <v>4785344077</v>
      </c>
      <c r="I146" s="1073">
        <v>7447878944</v>
      </c>
      <c r="J146" s="1077">
        <v>7398591974</v>
      </c>
      <c r="K146" s="1075">
        <v>7340958524</v>
      </c>
      <c r="L146" s="1075">
        <v>7291671554</v>
      </c>
    </row>
    <row r="147" spans="1:12">
      <c r="A147" t="s">
        <v>285</v>
      </c>
      <c r="B147" s="31" t="s">
        <v>2369</v>
      </c>
      <c r="C147" s="1075">
        <v>309134101</v>
      </c>
      <c r="D147" s="1075">
        <v>297003711</v>
      </c>
      <c r="E147" s="1075">
        <v>294763456</v>
      </c>
      <c r="F147" s="1075">
        <v>282633066</v>
      </c>
      <c r="G147" s="1073">
        <v>277968993</v>
      </c>
      <c r="H147" s="1073">
        <v>263112864</v>
      </c>
      <c r="I147" s="1073">
        <v>309134101</v>
      </c>
      <c r="J147" s="1077">
        <v>297003711</v>
      </c>
      <c r="K147" s="1075">
        <v>294763456</v>
      </c>
      <c r="L147" s="1075">
        <v>282633066</v>
      </c>
    </row>
    <row r="148" spans="1:12">
      <c r="A148" t="s">
        <v>1469</v>
      </c>
      <c r="B148" s="31" t="s">
        <v>1499</v>
      </c>
      <c r="C148" s="1075">
        <v>134294282</v>
      </c>
      <c r="D148" s="1075">
        <v>128865725</v>
      </c>
      <c r="E148" s="1075">
        <v>134294282</v>
      </c>
      <c r="F148" s="1075">
        <v>128865725</v>
      </c>
      <c r="G148" s="1073">
        <v>123398913</v>
      </c>
      <c r="H148" s="1073">
        <v>123398913</v>
      </c>
      <c r="I148" s="1073">
        <v>134294282</v>
      </c>
      <c r="J148" s="1077">
        <v>128865725</v>
      </c>
      <c r="K148" s="1075">
        <v>134294282</v>
      </c>
      <c r="L148" s="1075">
        <v>128865725</v>
      </c>
    </row>
    <row r="149" spans="1:12">
      <c r="A149" t="s">
        <v>43</v>
      </c>
      <c r="B149" s="31" t="s">
        <v>405</v>
      </c>
      <c r="C149" s="1075">
        <v>1042256799</v>
      </c>
      <c r="D149" s="1075">
        <v>998981924</v>
      </c>
      <c r="E149" s="1075">
        <v>1042256799</v>
      </c>
      <c r="F149" s="1075">
        <v>998981924</v>
      </c>
      <c r="G149" s="1073">
        <v>981158195</v>
      </c>
      <c r="H149" s="1073">
        <v>981158195</v>
      </c>
      <c r="I149" s="1073">
        <v>1042256799</v>
      </c>
      <c r="J149" s="1077">
        <v>998981924</v>
      </c>
      <c r="K149" s="1075">
        <v>1042256799</v>
      </c>
      <c r="L149" s="1075">
        <v>998981924</v>
      </c>
    </row>
    <row r="150" spans="1:12">
      <c r="A150" t="s">
        <v>1311</v>
      </c>
      <c r="B150" s="31" t="s">
        <v>614</v>
      </c>
      <c r="C150" s="1075">
        <v>385990836</v>
      </c>
      <c r="D150" s="1075">
        <v>366879329</v>
      </c>
      <c r="E150" s="1075">
        <v>385990836</v>
      </c>
      <c r="F150" s="1075">
        <v>366879329</v>
      </c>
      <c r="G150" s="1073">
        <v>359096839</v>
      </c>
      <c r="H150" s="1073">
        <v>359096839</v>
      </c>
      <c r="I150" s="1073">
        <v>385990836</v>
      </c>
      <c r="J150" s="1077">
        <v>366879329</v>
      </c>
      <c r="K150" s="1075">
        <v>385990836</v>
      </c>
      <c r="L150" s="1075">
        <v>366879329</v>
      </c>
    </row>
    <row r="151" spans="1:12">
      <c r="A151" t="s">
        <v>2542</v>
      </c>
      <c r="B151" s="31" t="s">
        <v>1143</v>
      </c>
      <c r="C151" s="1075">
        <v>66710155</v>
      </c>
      <c r="D151" s="1075">
        <v>64400485</v>
      </c>
      <c r="E151" s="1075">
        <v>66710155</v>
      </c>
      <c r="F151" s="1075">
        <v>64400485</v>
      </c>
      <c r="G151" s="1073">
        <v>59690901</v>
      </c>
      <c r="H151" s="1073">
        <v>59690901</v>
      </c>
      <c r="I151" s="1073">
        <v>66710155</v>
      </c>
      <c r="J151" s="1077">
        <v>64400485</v>
      </c>
      <c r="K151" s="1075">
        <v>66710155</v>
      </c>
      <c r="L151" s="1075">
        <v>64400485</v>
      </c>
    </row>
    <row r="152" spans="1:12">
      <c r="A152" t="s">
        <v>1470</v>
      </c>
      <c r="B152" s="31" t="s">
        <v>25</v>
      </c>
      <c r="C152" s="1075">
        <v>85255452</v>
      </c>
      <c r="D152" s="1075">
        <v>82335468</v>
      </c>
      <c r="E152" s="1075">
        <v>85255452</v>
      </c>
      <c r="F152" s="1075">
        <v>82335468</v>
      </c>
      <c r="G152" s="1073">
        <v>71212575</v>
      </c>
      <c r="H152" s="1073">
        <v>71212575</v>
      </c>
      <c r="I152" s="1073">
        <v>85255452</v>
      </c>
      <c r="J152" s="1077">
        <v>82335468</v>
      </c>
      <c r="K152" s="1075">
        <v>85255452</v>
      </c>
      <c r="L152" s="1075">
        <v>82335468</v>
      </c>
    </row>
    <row r="153" spans="1:12">
      <c r="A153" t="s">
        <v>71</v>
      </c>
      <c r="B153" s="31" t="s">
        <v>2185</v>
      </c>
      <c r="C153" s="1075">
        <v>416907299</v>
      </c>
      <c r="D153" s="1075">
        <v>405059754</v>
      </c>
      <c r="E153" s="1075">
        <v>416907299</v>
      </c>
      <c r="F153" s="1075">
        <v>405059754</v>
      </c>
      <c r="G153" s="1073">
        <v>350349076</v>
      </c>
      <c r="H153" s="1073">
        <v>350349076</v>
      </c>
      <c r="I153" s="1073">
        <v>416907299</v>
      </c>
      <c r="J153" s="1077">
        <v>405059754</v>
      </c>
      <c r="K153" s="1075">
        <v>416907299</v>
      </c>
      <c r="L153" s="1075">
        <v>405059754</v>
      </c>
    </row>
    <row r="154" spans="1:12">
      <c r="A154" t="s">
        <v>2167</v>
      </c>
      <c r="B154" s="31" t="s">
        <v>1920</v>
      </c>
      <c r="C154" s="1075">
        <v>310513360</v>
      </c>
      <c r="D154" s="1075">
        <v>297649750</v>
      </c>
      <c r="E154" s="1075">
        <v>310513360</v>
      </c>
      <c r="F154" s="1075">
        <v>297649750</v>
      </c>
      <c r="G154" s="1073">
        <v>342327969</v>
      </c>
      <c r="H154" s="1073">
        <v>342327969</v>
      </c>
      <c r="I154" s="1073">
        <v>310513360</v>
      </c>
      <c r="J154" s="1077">
        <v>297649750</v>
      </c>
      <c r="K154" s="1075">
        <v>310513360</v>
      </c>
      <c r="L154" s="1075">
        <v>297649750</v>
      </c>
    </row>
    <row r="155" spans="1:12">
      <c r="A155" t="s">
        <v>716</v>
      </c>
      <c r="B155" s="31" t="s">
        <v>3912</v>
      </c>
      <c r="C155" s="1075">
        <v>130999631</v>
      </c>
      <c r="D155" s="1075">
        <v>124232531</v>
      </c>
      <c r="E155" s="1075">
        <v>130999631</v>
      </c>
      <c r="F155" s="1075">
        <v>124232531</v>
      </c>
      <c r="G155" s="1073">
        <v>130895077</v>
      </c>
      <c r="H155" s="1073">
        <v>130895077</v>
      </c>
      <c r="I155" s="1073">
        <v>130999631</v>
      </c>
      <c r="J155" s="1077">
        <v>124232531</v>
      </c>
      <c r="K155" s="1075">
        <v>130999631</v>
      </c>
      <c r="L155" s="1075">
        <v>124232531</v>
      </c>
    </row>
    <row r="156" spans="1:12">
      <c r="A156" t="s">
        <v>2168</v>
      </c>
      <c r="B156" s="31" t="s">
        <v>1921</v>
      </c>
      <c r="C156" s="1075">
        <v>134943914</v>
      </c>
      <c r="D156" s="1075">
        <v>133331824</v>
      </c>
      <c r="E156" s="1075">
        <v>134943914</v>
      </c>
      <c r="F156" s="1075">
        <v>133331824</v>
      </c>
      <c r="G156" s="1073">
        <v>66153850</v>
      </c>
      <c r="H156" s="1073">
        <v>66153850</v>
      </c>
      <c r="I156" s="1073">
        <v>134943914</v>
      </c>
      <c r="J156" s="1077">
        <v>133331824</v>
      </c>
      <c r="K156" s="1075">
        <v>134943914</v>
      </c>
      <c r="L156" s="1075">
        <v>133331824</v>
      </c>
    </row>
    <row r="157" spans="1:12">
      <c r="A157" t="s">
        <v>1670</v>
      </c>
      <c r="B157" s="31" t="s">
        <v>1922</v>
      </c>
      <c r="C157" s="1075">
        <v>79209330</v>
      </c>
      <c r="D157" s="1075">
        <v>77020720</v>
      </c>
      <c r="E157" s="1075">
        <v>79209330</v>
      </c>
      <c r="F157" s="1075">
        <v>77020720</v>
      </c>
      <c r="G157" s="1073">
        <v>100090135</v>
      </c>
      <c r="H157" s="1073">
        <v>100090135</v>
      </c>
      <c r="I157" s="1073">
        <v>375277600</v>
      </c>
      <c r="J157" s="1077">
        <v>373088990</v>
      </c>
      <c r="K157" s="1075">
        <v>375277600</v>
      </c>
      <c r="L157" s="1075">
        <v>373088990</v>
      </c>
    </row>
    <row r="158" spans="1:12">
      <c r="A158" t="s">
        <v>1671</v>
      </c>
      <c r="B158" s="31" t="s">
        <v>2154</v>
      </c>
      <c r="C158" s="1075">
        <v>61302178</v>
      </c>
      <c r="D158" s="1075">
        <v>59757698</v>
      </c>
      <c r="E158" s="1075">
        <v>61302178</v>
      </c>
      <c r="F158" s="1075">
        <v>59757698</v>
      </c>
      <c r="G158" s="1073">
        <v>63527003</v>
      </c>
      <c r="H158" s="1073">
        <v>63527003</v>
      </c>
      <c r="I158" s="1073">
        <v>61302178</v>
      </c>
      <c r="J158" s="1077">
        <v>59757698</v>
      </c>
      <c r="K158" s="1075">
        <v>61302178</v>
      </c>
      <c r="L158" s="1075">
        <v>59757698</v>
      </c>
    </row>
    <row r="159" spans="1:12">
      <c r="A159" t="s">
        <v>795</v>
      </c>
      <c r="B159" s="31" t="s">
        <v>1029</v>
      </c>
      <c r="C159" s="1075">
        <v>317043666</v>
      </c>
      <c r="D159" s="1075">
        <v>316048947</v>
      </c>
      <c r="E159" s="1075">
        <v>317043666</v>
      </c>
      <c r="F159" s="1075">
        <v>316048947</v>
      </c>
      <c r="G159" s="1073">
        <v>1007065772</v>
      </c>
      <c r="H159" s="1073">
        <v>1007065772</v>
      </c>
      <c r="I159" s="1073">
        <v>317043666</v>
      </c>
      <c r="J159" s="1077">
        <v>316048947</v>
      </c>
      <c r="K159" s="1075">
        <v>317043666</v>
      </c>
      <c r="L159" s="1075">
        <v>316048947</v>
      </c>
    </row>
    <row r="160" spans="1:12">
      <c r="A160" t="s">
        <v>796</v>
      </c>
      <c r="B160" s="31" t="s">
        <v>2156</v>
      </c>
      <c r="C160" s="1075">
        <v>100349774</v>
      </c>
      <c r="D160" s="1075">
        <v>96668644</v>
      </c>
      <c r="E160" s="1075">
        <v>100349774</v>
      </c>
      <c r="F160" s="1075">
        <v>96668644</v>
      </c>
      <c r="G160" s="1073">
        <v>118749854</v>
      </c>
      <c r="H160" s="1073">
        <v>118749854</v>
      </c>
      <c r="I160" s="1073">
        <v>100349774</v>
      </c>
      <c r="J160" s="1077">
        <v>96668644</v>
      </c>
      <c r="K160" s="1075">
        <v>100349774</v>
      </c>
      <c r="L160" s="1075">
        <v>96668644</v>
      </c>
    </row>
    <row r="161" spans="1:12">
      <c r="A161" t="s">
        <v>815</v>
      </c>
      <c r="B161" s="31" t="s">
        <v>2157</v>
      </c>
      <c r="C161" s="1075">
        <v>155672303</v>
      </c>
      <c r="D161" s="1075">
        <v>151785583</v>
      </c>
      <c r="E161" s="1075">
        <v>152953268</v>
      </c>
      <c r="F161" s="1075">
        <v>149066548</v>
      </c>
      <c r="G161" s="1073">
        <v>254843431</v>
      </c>
      <c r="H161" s="1073">
        <v>252262182</v>
      </c>
      <c r="I161" s="1073">
        <v>239366703</v>
      </c>
      <c r="J161" s="1077">
        <v>235479983</v>
      </c>
      <c r="K161" s="1075">
        <v>236647668</v>
      </c>
      <c r="L161" s="1075">
        <v>232760948</v>
      </c>
    </row>
    <row r="162" spans="1:12">
      <c r="A162" t="s">
        <v>577</v>
      </c>
      <c r="B162" s="31" t="s">
        <v>1168</v>
      </c>
      <c r="C162" s="1075">
        <v>188471461</v>
      </c>
      <c r="D162" s="1075">
        <v>178285090</v>
      </c>
      <c r="E162" s="1075">
        <v>188471461</v>
      </c>
      <c r="F162" s="1075">
        <v>178285090</v>
      </c>
      <c r="G162" s="1073">
        <v>173720414</v>
      </c>
      <c r="H162" s="1073">
        <v>173720414</v>
      </c>
      <c r="I162" s="1073">
        <v>188471461</v>
      </c>
      <c r="J162" s="1077">
        <v>178285090</v>
      </c>
      <c r="K162" s="1075">
        <v>188471461</v>
      </c>
      <c r="L162" s="1075">
        <v>178285090</v>
      </c>
    </row>
    <row r="163" spans="1:12">
      <c r="A163" t="s">
        <v>2368</v>
      </c>
      <c r="B163" s="31" t="s">
        <v>84</v>
      </c>
      <c r="C163" s="1075">
        <v>92986348</v>
      </c>
      <c r="D163" s="1075">
        <v>90068618</v>
      </c>
      <c r="E163" s="1075">
        <v>92986348</v>
      </c>
      <c r="F163" s="1075">
        <v>90068618</v>
      </c>
      <c r="G163" s="1073">
        <v>91052878</v>
      </c>
      <c r="H163" s="1073">
        <v>91052878</v>
      </c>
      <c r="I163" s="1073">
        <v>92986348</v>
      </c>
      <c r="J163" s="1077">
        <v>90068618</v>
      </c>
      <c r="K163" s="1075">
        <v>92986348</v>
      </c>
      <c r="L163" s="1075">
        <v>90068618</v>
      </c>
    </row>
    <row r="164" spans="1:12">
      <c r="A164" t="s">
        <v>816</v>
      </c>
      <c r="B164" s="31" t="s">
        <v>1030</v>
      </c>
      <c r="C164" s="1075">
        <v>116691541</v>
      </c>
      <c r="D164" s="1075">
        <v>114254081</v>
      </c>
      <c r="E164" s="1075">
        <v>116691541</v>
      </c>
      <c r="F164" s="1075">
        <v>114254081</v>
      </c>
      <c r="G164" s="1073">
        <v>131162698</v>
      </c>
      <c r="H164" s="1073">
        <v>131162698</v>
      </c>
      <c r="I164" s="1073">
        <v>116691541</v>
      </c>
      <c r="J164" s="1077">
        <v>114254081</v>
      </c>
      <c r="K164" s="1075">
        <v>116691541</v>
      </c>
      <c r="L164" s="1075">
        <v>114254081</v>
      </c>
    </row>
    <row r="165" spans="1:12">
      <c r="A165" t="s">
        <v>584</v>
      </c>
      <c r="B165" s="31" t="s">
        <v>1957</v>
      </c>
      <c r="C165" s="1075">
        <v>11289512407</v>
      </c>
      <c r="D165" s="1075">
        <v>11078249443</v>
      </c>
      <c r="E165" s="1075">
        <v>11289512407</v>
      </c>
      <c r="F165" s="1075">
        <v>11078249443</v>
      </c>
      <c r="G165" s="1073">
        <v>9363467014</v>
      </c>
      <c r="H165" s="1073">
        <v>9363467014</v>
      </c>
      <c r="I165" s="1073">
        <v>11289512407</v>
      </c>
      <c r="J165" s="1077">
        <v>11078249443</v>
      </c>
      <c r="K165" s="1075">
        <v>11289512407</v>
      </c>
      <c r="L165" s="1075">
        <v>11078249443</v>
      </c>
    </row>
    <row r="166" spans="1:12">
      <c r="A166" t="s">
        <v>1641</v>
      </c>
      <c r="B166" s="31" t="s">
        <v>1056</v>
      </c>
      <c r="C166" s="1075">
        <v>878349567</v>
      </c>
      <c r="D166" s="1075">
        <v>848819352</v>
      </c>
      <c r="E166" s="1075">
        <v>878349567</v>
      </c>
      <c r="F166" s="1075">
        <v>848819352</v>
      </c>
      <c r="G166" s="1073">
        <v>654962393</v>
      </c>
      <c r="H166" s="1073">
        <v>654962393</v>
      </c>
      <c r="I166" s="1073">
        <v>878349567</v>
      </c>
      <c r="J166" s="1077">
        <v>848819352</v>
      </c>
      <c r="K166" s="1075">
        <v>878349567</v>
      </c>
      <c r="L166" s="1075">
        <v>848819352</v>
      </c>
    </row>
    <row r="167" spans="1:12">
      <c r="A167" t="s">
        <v>2502</v>
      </c>
      <c r="B167" s="31" t="s">
        <v>658</v>
      </c>
      <c r="C167" s="1075">
        <v>1008321180</v>
      </c>
      <c r="D167" s="1075">
        <v>985383170</v>
      </c>
      <c r="E167" s="1075">
        <v>1008321180</v>
      </c>
      <c r="F167" s="1075">
        <v>985383170</v>
      </c>
      <c r="G167" s="1073">
        <v>771838792</v>
      </c>
      <c r="H167" s="1073">
        <v>771838792</v>
      </c>
      <c r="I167" s="1073">
        <v>1008321180</v>
      </c>
      <c r="J167" s="1077">
        <v>985383170</v>
      </c>
      <c r="K167" s="1075">
        <v>1008321180</v>
      </c>
      <c r="L167" s="1075">
        <v>985383170</v>
      </c>
    </row>
    <row r="168" spans="1:12">
      <c r="A168" t="s">
        <v>1687</v>
      </c>
      <c r="B168" s="31" t="s">
        <v>108</v>
      </c>
      <c r="C168" s="1075">
        <v>462618472</v>
      </c>
      <c r="D168" s="1075">
        <v>445899836</v>
      </c>
      <c r="E168" s="1075">
        <v>462618472</v>
      </c>
      <c r="F168" s="1075">
        <v>445899836</v>
      </c>
      <c r="G168" s="1073">
        <v>369447544</v>
      </c>
      <c r="H168" s="1073">
        <v>369447544</v>
      </c>
      <c r="I168" s="1073">
        <v>462618472</v>
      </c>
      <c r="J168" s="1077">
        <v>445899836</v>
      </c>
      <c r="K168" s="1075">
        <v>462618472</v>
      </c>
      <c r="L168" s="1075">
        <v>445899836</v>
      </c>
    </row>
    <row r="169" spans="1:12">
      <c r="A169" t="s">
        <v>1425</v>
      </c>
      <c r="B169" s="31" t="s">
        <v>1477</v>
      </c>
      <c r="C169" s="1075">
        <v>29318882245</v>
      </c>
      <c r="D169" s="1075">
        <v>28872385212</v>
      </c>
      <c r="E169" s="1075">
        <v>29318882245</v>
      </c>
      <c r="F169" s="1075">
        <v>28872385212</v>
      </c>
      <c r="G169" s="1073">
        <v>22270240661</v>
      </c>
      <c r="H169" s="1073">
        <v>22270240661</v>
      </c>
      <c r="I169" s="1073">
        <v>29318882245</v>
      </c>
      <c r="J169" s="1077">
        <v>28872385212</v>
      </c>
      <c r="K169" s="1075">
        <v>29318882245</v>
      </c>
      <c r="L169" s="1075">
        <v>28872385212</v>
      </c>
    </row>
    <row r="170" spans="1:12">
      <c r="A170" t="s">
        <v>2530</v>
      </c>
      <c r="B170" s="31" t="s">
        <v>820</v>
      </c>
      <c r="C170" s="1075">
        <v>12707816343</v>
      </c>
      <c r="D170" s="1075">
        <v>12459730276</v>
      </c>
      <c r="E170" s="1075">
        <v>12707816343</v>
      </c>
      <c r="F170" s="1075">
        <v>12459730276</v>
      </c>
      <c r="G170" s="1073">
        <v>10669444996</v>
      </c>
      <c r="H170" s="1073">
        <v>10669444996</v>
      </c>
      <c r="I170" s="1073">
        <v>12707816343</v>
      </c>
      <c r="J170" s="1077">
        <v>12459730276</v>
      </c>
      <c r="K170" s="1075">
        <v>12707816343</v>
      </c>
      <c r="L170" s="1075">
        <v>12459730276</v>
      </c>
    </row>
    <row r="171" spans="1:12">
      <c r="A171" t="s">
        <v>649</v>
      </c>
      <c r="B171" s="31" t="s">
        <v>2199</v>
      </c>
      <c r="C171" s="1075">
        <v>818071016</v>
      </c>
      <c r="D171" s="1075">
        <v>795615242</v>
      </c>
      <c r="E171" s="1075">
        <v>818071016</v>
      </c>
      <c r="F171" s="1075">
        <v>795615242</v>
      </c>
      <c r="G171" s="1073">
        <v>574853977</v>
      </c>
      <c r="H171" s="1073">
        <v>574853977</v>
      </c>
      <c r="I171" s="1073">
        <v>818071016</v>
      </c>
      <c r="J171" s="1077">
        <v>795615242</v>
      </c>
      <c r="K171" s="1075">
        <v>818071016</v>
      </c>
      <c r="L171" s="1075">
        <v>795615242</v>
      </c>
    </row>
    <row r="172" spans="1:12">
      <c r="A172" t="s">
        <v>650</v>
      </c>
      <c r="B172" s="31" t="s">
        <v>2200</v>
      </c>
      <c r="C172" s="1075">
        <v>45164702386</v>
      </c>
      <c r="D172" s="1075">
        <v>44476409130</v>
      </c>
      <c r="E172" s="1075">
        <v>45164702386</v>
      </c>
      <c r="F172" s="1075">
        <v>44476409130</v>
      </c>
      <c r="G172" s="1073">
        <v>38684896710</v>
      </c>
      <c r="H172" s="1073">
        <v>38684896710</v>
      </c>
      <c r="I172" s="1073">
        <v>45164702386</v>
      </c>
      <c r="J172" s="1077">
        <v>44476409130</v>
      </c>
      <c r="K172" s="1075">
        <v>45164702386</v>
      </c>
      <c r="L172" s="1075">
        <v>44476409130</v>
      </c>
    </row>
    <row r="173" spans="1:12">
      <c r="A173" t="s">
        <v>218</v>
      </c>
      <c r="B173" s="31" t="s">
        <v>74</v>
      </c>
      <c r="C173" s="1075">
        <v>774095541</v>
      </c>
      <c r="D173" s="1075">
        <v>743202925</v>
      </c>
      <c r="E173" s="1075">
        <v>774095541</v>
      </c>
      <c r="F173" s="1075">
        <v>743202925</v>
      </c>
      <c r="G173" s="1073">
        <v>574119261</v>
      </c>
      <c r="H173" s="1073">
        <v>574119261</v>
      </c>
      <c r="I173" s="1073">
        <v>774095541</v>
      </c>
      <c r="J173" s="1077">
        <v>743202925</v>
      </c>
      <c r="K173" s="1075">
        <v>774095541</v>
      </c>
      <c r="L173" s="1075">
        <v>743202925</v>
      </c>
    </row>
    <row r="174" spans="1:12">
      <c r="A174" t="s">
        <v>1583</v>
      </c>
      <c r="B174" s="31" t="s">
        <v>76</v>
      </c>
      <c r="C174" s="1075">
        <v>5022524204</v>
      </c>
      <c r="D174" s="1075">
        <v>4943279405</v>
      </c>
      <c r="E174" s="1075">
        <v>5022524204</v>
      </c>
      <c r="F174" s="1075">
        <v>4943279405</v>
      </c>
      <c r="G174" s="1073">
        <v>3075621861</v>
      </c>
      <c r="H174" s="1073">
        <v>3075621861</v>
      </c>
      <c r="I174" s="1073">
        <v>5022524204</v>
      </c>
      <c r="J174" s="1077">
        <v>4943279405</v>
      </c>
      <c r="K174" s="1075">
        <v>5022524204</v>
      </c>
      <c r="L174" s="1075">
        <v>4943279405</v>
      </c>
    </row>
    <row r="175" spans="1:12">
      <c r="A175" t="s">
        <v>1184</v>
      </c>
      <c r="B175" s="31" t="s">
        <v>1132</v>
      </c>
      <c r="C175" s="1075">
        <v>4992309823</v>
      </c>
      <c r="D175" s="1075">
        <v>4848706534</v>
      </c>
      <c r="E175" s="1075">
        <v>4992309823</v>
      </c>
      <c r="F175" s="1075">
        <v>4848706534</v>
      </c>
      <c r="G175" s="1073">
        <v>3879085526</v>
      </c>
      <c r="H175" s="1073">
        <v>3879085526</v>
      </c>
      <c r="I175" s="1073">
        <v>4992309823</v>
      </c>
      <c r="J175" s="1077">
        <v>4848706534</v>
      </c>
      <c r="K175" s="1075">
        <v>4992309823</v>
      </c>
      <c r="L175" s="1075">
        <v>4848706534</v>
      </c>
    </row>
    <row r="176" spans="1:12">
      <c r="A176" t="s">
        <v>878</v>
      </c>
      <c r="B176" s="31" t="s">
        <v>1345</v>
      </c>
      <c r="C176" s="1075">
        <v>169987964</v>
      </c>
      <c r="D176" s="1075">
        <v>162769520</v>
      </c>
      <c r="E176" s="1075">
        <v>169987964</v>
      </c>
      <c r="F176" s="1075">
        <v>162769520</v>
      </c>
      <c r="G176" s="1073">
        <v>131617230</v>
      </c>
      <c r="H176" s="1073">
        <v>131617230</v>
      </c>
      <c r="I176" s="1073">
        <v>169987964</v>
      </c>
      <c r="J176" s="1077">
        <v>162769520</v>
      </c>
      <c r="K176" s="1075">
        <v>169987964</v>
      </c>
      <c r="L176" s="1075">
        <v>162769520</v>
      </c>
    </row>
    <row r="177" spans="1:12">
      <c r="A177" t="s">
        <v>1438</v>
      </c>
      <c r="B177" s="31" t="s">
        <v>1551</v>
      </c>
      <c r="C177" s="1075">
        <v>686772061</v>
      </c>
      <c r="D177" s="1075">
        <v>661272280</v>
      </c>
      <c r="E177" s="1075">
        <v>686772061</v>
      </c>
      <c r="F177" s="1075">
        <v>661272280</v>
      </c>
      <c r="G177" s="1073">
        <v>531271391</v>
      </c>
      <c r="H177" s="1073">
        <v>531271391</v>
      </c>
      <c r="I177" s="1073">
        <v>686772061</v>
      </c>
      <c r="J177" s="1077">
        <v>661272280</v>
      </c>
      <c r="K177" s="1075">
        <v>686772061</v>
      </c>
      <c r="L177" s="1075">
        <v>661272280</v>
      </c>
    </row>
    <row r="178" spans="1:12">
      <c r="A178" t="s">
        <v>253</v>
      </c>
      <c r="B178" s="31" t="s">
        <v>2201</v>
      </c>
      <c r="C178" s="1075">
        <v>2199650950</v>
      </c>
      <c r="D178" s="1075">
        <v>2156665212</v>
      </c>
      <c r="E178" s="1075">
        <v>2199650950</v>
      </c>
      <c r="F178" s="1075">
        <v>2156665212</v>
      </c>
      <c r="G178" s="1073">
        <v>1889972831</v>
      </c>
      <c r="H178" s="1073">
        <v>1889972831</v>
      </c>
      <c r="I178" s="1073">
        <v>2199650950</v>
      </c>
      <c r="J178" s="1077">
        <v>2156665212</v>
      </c>
      <c r="K178" s="1075">
        <v>2199650950</v>
      </c>
      <c r="L178" s="1075">
        <v>2156665212</v>
      </c>
    </row>
    <row r="179" spans="1:12">
      <c r="A179" t="s">
        <v>254</v>
      </c>
      <c r="B179" s="31" t="s">
        <v>2202</v>
      </c>
      <c r="C179" s="1075">
        <v>177492652</v>
      </c>
      <c r="D179" s="1075">
        <v>172599564</v>
      </c>
      <c r="E179" s="1075">
        <v>177492652</v>
      </c>
      <c r="F179" s="1075">
        <v>172599564</v>
      </c>
      <c r="G179" s="1073">
        <v>159378569</v>
      </c>
      <c r="H179" s="1073">
        <v>159378569</v>
      </c>
      <c r="I179" s="1073">
        <v>177492652</v>
      </c>
      <c r="J179" s="1077">
        <v>172599564</v>
      </c>
      <c r="K179" s="1075">
        <v>177492652</v>
      </c>
      <c r="L179" s="1075">
        <v>172599564</v>
      </c>
    </row>
    <row r="180" spans="1:12">
      <c r="A180" t="s">
        <v>1436</v>
      </c>
      <c r="B180" s="31" t="s">
        <v>1549</v>
      </c>
      <c r="C180" s="1075">
        <v>1007815834</v>
      </c>
      <c r="D180" s="1075">
        <v>982210826</v>
      </c>
      <c r="E180" s="1075">
        <v>1007815834</v>
      </c>
      <c r="F180" s="1075">
        <v>982210826</v>
      </c>
      <c r="G180" s="1073">
        <v>938448490</v>
      </c>
      <c r="H180" s="1073">
        <v>931929265</v>
      </c>
      <c r="I180" s="1073">
        <v>1007815834</v>
      </c>
      <c r="J180" s="1077">
        <v>982210826</v>
      </c>
      <c r="K180" s="1075">
        <v>1007815834</v>
      </c>
      <c r="L180" s="1075">
        <v>982210826</v>
      </c>
    </row>
    <row r="181" spans="1:12">
      <c r="A181" t="s">
        <v>589</v>
      </c>
      <c r="B181" s="31" t="s">
        <v>1031</v>
      </c>
      <c r="C181" s="1075">
        <v>756925934</v>
      </c>
      <c r="D181" s="1075">
        <v>744079150</v>
      </c>
      <c r="E181" s="1075">
        <v>756925934</v>
      </c>
      <c r="F181" s="1075">
        <v>744079150</v>
      </c>
      <c r="G181" s="1073">
        <v>683354002</v>
      </c>
      <c r="H181" s="1073">
        <v>683354002</v>
      </c>
      <c r="I181" s="1073">
        <v>756925934</v>
      </c>
      <c r="J181" s="1077">
        <v>744079150</v>
      </c>
      <c r="K181" s="1075">
        <v>756925934</v>
      </c>
      <c r="L181" s="1075">
        <v>744079150</v>
      </c>
    </row>
    <row r="182" spans="1:12">
      <c r="A182" t="s">
        <v>27</v>
      </c>
      <c r="B182" s="31" t="s">
        <v>2205</v>
      </c>
      <c r="C182" s="1075">
        <v>370416863</v>
      </c>
      <c r="D182" s="1075">
        <v>358639672</v>
      </c>
      <c r="E182" s="1075">
        <v>370416863</v>
      </c>
      <c r="F182" s="1075">
        <v>358639672</v>
      </c>
      <c r="G182" s="1073">
        <v>344812491</v>
      </c>
      <c r="H182" s="1073">
        <v>344812491</v>
      </c>
      <c r="I182" s="1073">
        <v>370416863</v>
      </c>
      <c r="J182" s="1077">
        <v>358639672</v>
      </c>
      <c r="K182" s="1075">
        <v>370416863</v>
      </c>
      <c r="L182" s="1075">
        <v>358639672</v>
      </c>
    </row>
    <row r="183" spans="1:12">
      <c r="A183" t="s">
        <v>28</v>
      </c>
      <c r="B183" s="31" t="s">
        <v>2206</v>
      </c>
      <c r="C183" s="1075">
        <v>4369888872</v>
      </c>
      <c r="D183" s="1075">
        <v>4254111366</v>
      </c>
      <c r="E183" s="1075">
        <v>4369888872</v>
      </c>
      <c r="F183" s="1075">
        <v>4254111366</v>
      </c>
      <c r="G183" s="1073">
        <v>3664479741</v>
      </c>
      <c r="H183" s="1073">
        <v>3664479741</v>
      </c>
      <c r="I183" s="1073">
        <v>4369888872</v>
      </c>
      <c r="J183" s="1077">
        <v>4254111366</v>
      </c>
      <c r="K183" s="1075">
        <v>4369888872</v>
      </c>
      <c r="L183" s="1075">
        <v>4254111366</v>
      </c>
    </row>
    <row r="184" spans="1:12">
      <c r="A184" t="s">
        <v>1265</v>
      </c>
      <c r="B184" s="31" t="s">
        <v>2207</v>
      </c>
      <c r="C184" s="1075">
        <v>14904360033</v>
      </c>
      <c r="D184" s="1075">
        <v>14592522665</v>
      </c>
      <c r="E184" s="1075">
        <v>14014737179</v>
      </c>
      <c r="F184" s="1075">
        <v>13702899811</v>
      </c>
      <c r="G184" s="1073">
        <v>12853504993</v>
      </c>
      <c r="H184" s="1073">
        <v>12080446271</v>
      </c>
      <c r="I184" s="1073">
        <v>14983469333</v>
      </c>
      <c r="J184" s="1077">
        <v>14671631965</v>
      </c>
      <c r="K184" s="1075">
        <v>14093846479</v>
      </c>
      <c r="L184" s="1075">
        <v>13782009111</v>
      </c>
    </row>
    <row r="185" spans="1:12">
      <c r="A185" t="s">
        <v>2315</v>
      </c>
      <c r="B185" s="31" t="s">
        <v>2208</v>
      </c>
      <c r="C185" s="1075">
        <v>315832413</v>
      </c>
      <c r="D185" s="1075">
        <v>301058141</v>
      </c>
      <c r="E185" s="1075">
        <v>315832413</v>
      </c>
      <c r="F185" s="1075">
        <v>301058141</v>
      </c>
      <c r="G185" s="1073">
        <v>262438615</v>
      </c>
      <c r="H185" s="1073">
        <v>262438615</v>
      </c>
      <c r="I185" s="1073">
        <v>464774693</v>
      </c>
      <c r="J185" s="1077">
        <v>450000421</v>
      </c>
      <c r="K185" s="1075">
        <v>464774693</v>
      </c>
      <c r="L185" s="1075">
        <v>450000421</v>
      </c>
    </row>
    <row r="186" spans="1:12">
      <c r="A186" t="s">
        <v>2409</v>
      </c>
      <c r="B186" s="31" t="s">
        <v>2665</v>
      </c>
      <c r="C186" s="1075">
        <v>202598670</v>
      </c>
      <c r="D186" s="1075">
        <v>193321767</v>
      </c>
      <c r="E186" s="1075">
        <v>202598670</v>
      </c>
      <c r="F186" s="1075">
        <v>193321767</v>
      </c>
      <c r="G186" s="1073">
        <v>177203875</v>
      </c>
      <c r="H186" s="1073">
        <v>177203875</v>
      </c>
      <c r="I186" s="1073">
        <v>202598670</v>
      </c>
      <c r="J186" s="1077">
        <v>193321767</v>
      </c>
      <c r="K186" s="1075">
        <v>202598670</v>
      </c>
      <c r="L186" s="1075">
        <v>193321767</v>
      </c>
    </row>
    <row r="187" spans="1:12">
      <c r="A187" t="s">
        <v>2342</v>
      </c>
      <c r="B187" s="31" t="s">
        <v>1733</v>
      </c>
      <c r="C187" s="1075">
        <v>57391713</v>
      </c>
      <c r="D187" s="1075">
        <v>55145012</v>
      </c>
      <c r="E187" s="1075">
        <v>57391713</v>
      </c>
      <c r="F187" s="1075">
        <v>55145012</v>
      </c>
      <c r="G187" s="1073">
        <v>44593073</v>
      </c>
      <c r="H187" s="1073">
        <v>44593073</v>
      </c>
      <c r="I187" s="1073">
        <v>57391713</v>
      </c>
      <c r="J187" s="1077">
        <v>55145012</v>
      </c>
      <c r="K187" s="1075">
        <v>57391713</v>
      </c>
      <c r="L187" s="1075">
        <v>55145012</v>
      </c>
    </row>
    <row r="188" spans="1:12">
      <c r="A188" t="s">
        <v>2316</v>
      </c>
      <c r="B188" s="31" t="s">
        <v>2209</v>
      </c>
      <c r="C188" s="1075">
        <v>27130491</v>
      </c>
      <c r="D188" s="1075">
        <v>25513893</v>
      </c>
      <c r="E188" s="1075">
        <v>27130491</v>
      </c>
      <c r="F188" s="1075">
        <v>25513893</v>
      </c>
      <c r="G188" s="1073">
        <v>23127701</v>
      </c>
      <c r="H188" s="1073">
        <v>23127701</v>
      </c>
      <c r="I188" s="1073">
        <v>27130491</v>
      </c>
      <c r="J188" s="1077">
        <v>25513893</v>
      </c>
      <c r="K188" s="1075">
        <v>27130491</v>
      </c>
      <c r="L188" s="1075">
        <v>25513893</v>
      </c>
    </row>
    <row r="189" spans="1:12">
      <c r="A189" t="s">
        <v>2317</v>
      </c>
      <c r="B189" s="31" t="s">
        <v>1032</v>
      </c>
      <c r="C189" s="1075">
        <v>134702058</v>
      </c>
      <c r="D189" s="1075">
        <v>131405648</v>
      </c>
      <c r="E189" s="1075">
        <v>134702058</v>
      </c>
      <c r="F189" s="1075">
        <v>131405648</v>
      </c>
      <c r="G189" s="1073">
        <v>164812145</v>
      </c>
      <c r="H189" s="1073">
        <v>164812145</v>
      </c>
      <c r="I189" s="1073">
        <v>134702058</v>
      </c>
      <c r="J189" s="1077">
        <v>131405648</v>
      </c>
      <c r="K189" s="1075">
        <v>134702058</v>
      </c>
      <c r="L189" s="1075">
        <v>131405648</v>
      </c>
    </row>
    <row r="190" spans="1:12">
      <c r="A190" t="s">
        <v>300</v>
      </c>
      <c r="B190" s="31" t="s">
        <v>2211</v>
      </c>
      <c r="C190" s="1075">
        <v>86201501</v>
      </c>
      <c r="D190" s="1075">
        <v>85426981</v>
      </c>
      <c r="E190" s="1075">
        <v>86201501</v>
      </c>
      <c r="F190" s="1075">
        <v>85426981</v>
      </c>
      <c r="G190" s="1073">
        <v>71505684</v>
      </c>
      <c r="H190" s="1073">
        <v>71505684</v>
      </c>
      <c r="I190" s="1073">
        <v>86201501</v>
      </c>
      <c r="J190" s="1077">
        <v>85426981</v>
      </c>
      <c r="K190" s="1075">
        <v>86201501</v>
      </c>
      <c r="L190" s="1075">
        <v>85426981</v>
      </c>
    </row>
    <row r="191" spans="1:12">
      <c r="A191" t="s">
        <v>1427</v>
      </c>
      <c r="B191" s="31" t="s">
        <v>1479</v>
      </c>
      <c r="C191" s="1075">
        <v>1018636939</v>
      </c>
      <c r="D191" s="1075">
        <v>988019498</v>
      </c>
      <c r="E191" s="1075">
        <v>1018636939</v>
      </c>
      <c r="F191" s="1075">
        <v>988019498</v>
      </c>
      <c r="G191" s="1073">
        <v>1020638797</v>
      </c>
      <c r="H191" s="1073">
        <v>1020638797</v>
      </c>
      <c r="I191" s="1073">
        <v>1018636939</v>
      </c>
      <c r="J191" s="1077">
        <v>988019498</v>
      </c>
      <c r="K191" s="1075">
        <v>1018636939</v>
      </c>
      <c r="L191" s="1075">
        <v>988019498</v>
      </c>
    </row>
    <row r="192" spans="1:12">
      <c r="A192" t="s">
        <v>301</v>
      </c>
      <c r="B192" s="31" t="s">
        <v>2212</v>
      </c>
      <c r="C192" s="1075">
        <v>274191905</v>
      </c>
      <c r="D192" s="1075">
        <v>266566318</v>
      </c>
      <c r="E192" s="1075">
        <v>274191905</v>
      </c>
      <c r="F192" s="1075">
        <v>266566318</v>
      </c>
      <c r="G192" s="1073">
        <v>352345684</v>
      </c>
      <c r="H192" s="1073">
        <v>352345684</v>
      </c>
      <c r="I192" s="1073">
        <v>326179802</v>
      </c>
      <c r="J192" s="1077">
        <v>318554215</v>
      </c>
      <c r="K192" s="1075">
        <v>326179802</v>
      </c>
      <c r="L192" s="1075">
        <v>318554215</v>
      </c>
    </row>
    <row r="193" spans="1:12">
      <c r="A193" t="s">
        <v>2503</v>
      </c>
      <c r="B193" s="31" t="s">
        <v>2364</v>
      </c>
      <c r="C193" s="1075">
        <v>261618084</v>
      </c>
      <c r="D193" s="1075">
        <v>253956162</v>
      </c>
      <c r="E193" s="1075">
        <v>261618084</v>
      </c>
      <c r="F193" s="1075">
        <v>253956162</v>
      </c>
      <c r="G193" s="1073">
        <v>231140375</v>
      </c>
      <c r="H193" s="1073">
        <v>231140375</v>
      </c>
      <c r="I193" s="1073">
        <v>261618084</v>
      </c>
      <c r="J193" s="1077">
        <v>253956162</v>
      </c>
      <c r="K193" s="1075">
        <v>261618084</v>
      </c>
      <c r="L193" s="1075">
        <v>253956162</v>
      </c>
    </row>
    <row r="194" spans="1:12">
      <c r="A194" t="s">
        <v>302</v>
      </c>
      <c r="B194" s="31" t="s">
        <v>2213</v>
      </c>
      <c r="C194" s="1075">
        <v>611378944</v>
      </c>
      <c r="D194" s="1075">
        <v>591590434</v>
      </c>
      <c r="E194" s="1075">
        <v>611378944</v>
      </c>
      <c r="F194" s="1075">
        <v>591590434</v>
      </c>
      <c r="G194" s="1073">
        <v>620822092</v>
      </c>
      <c r="H194" s="1073">
        <v>620822092</v>
      </c>
      <c r="I194" s="1073">
        <v>611378944</v>
      </c>
      <c r="J194" s="1077">
        <v>591590434</v>
      </c>
      <c r="K194" s="1075">
        <v>611378944</v>
      </c>
      <c r="L194" s="1075">
        <v>591590434</v>
      </c>
    </row>
    <row r="195" spans="1:12">
      <c r="A195" t="s">
        <v>303</v>
      </c>
      <c r="B195" s="31" t="s">
        <v>2214</v>
      </c>
      <c r="C195" s="1075">
        <v>140981944</v>
      </c>
      <c r="D195" s="1075">
        <v>136446545</v>
      </c>
      <c r="E195" s="1075">
        <v>140981944</v>
      </c>
      <c r="F195" s="1075">
        <v>136446545</v>
      </c>
      <c r="G195" s="1073">
        <v>215639179</v>
      </c>
      <c r="H195" s="1073">
        <v>215639179</v>
      </c>
      <c r="I195" s="1073">
        <v>140981944</v>
      </c>
      <c r="J195" s="1077">
        <v>136446545</v>
      </c>
      <c r="K195" s="1075">
        <v>140981944</v>
      </c>
      <c r="L195" s="1075">
        <v>136446545</v>
      </c>
    </row>
    <row r="196" spans="1:12">
      <c r="A196" t="s">
        <v>304</v>
      </c>
      <c r="B196" s="31" t="s">
        <v>2215</v>
      </c>
      <c r="C196" s="1075">
        <v>499195728</v>
      </c>
      <c r="D196" s="1075">
        <v>493827671</v>
      </c>
      <c r="E196" s="1075">
        <v>499195728</v>
      </c>
      <c r="F196" s="1075">
        <v>493827671</v>
      </c>
      <c r="G196" s="1073">
        <v>445049168</v>
      </c>
      <c r="H196" s="1073">
        <v>445049168</v>
      </c>
      <c r="I196" s="1073">
        <v>499195728</v>
      </c>
      <c r="J196" s="1077">
        <v>493827671</v>
      </c>
      <c r="K196" s="1075">
        <v>499195728</v>
      </c>
      <c r="L196" s="1075">
        <v>493827671</v>
      </c>
    </row>
    <row r="197" spans="1:12">
      <c r="A197" t="s">
        <v>1743</v>
      </c>
      <c r="B197" s="31" t="s">
        <v>2216</v>
      </c>
      <c r="C197" s="1075">
        <v>11697706</v>
      </c>
      <c r="D197" s="1075">
        <v>11451832</v>
      </c>
      <c r="E197" s="1075">
        <v>11697706</v>
      </c>
      <c r="F197" s="1075">
        <v>11451832</v>
      </c>
      <c r="G197" s="1073">
        <v>29692645</v>
      </c>
      <c r="H197" s="1073">
        <v>29692645</v>
      </c>
      <c r="I197" s="1073">
        <v>11697706</v>
      </c>
      <c r="J197" s="1077">
        <v>11451832</v>
      </c>
      <c r="K197" s="1075">
        <v>11697706</v>
      </c>
      <c r="L197" s="1075">
        <v>11451832</v>
      </c>
    </row>
    <row r="198" spans="1:12">
      <c r="A198" t="s">
        <v>1744</v>
      </c>
      <c r="B198" s="31" t="s">
        <v>2217</v>
      </c>
      <c r="C198" s="1075">
        <v>109886241</v>
      </c>
      <c r="D198" s="1075">
        <v>108674019</v>
      </c>
      <c r="E198" s="1075">
        <v>109886241</v>
      </c>
      <c r="F198" s="1075">
        <v>108674019</v>
      </c>
      <c r="G198" s="1073">
        <v>132170700</v>
      </c>
      <c r="H198" s="1073">
        <v>132170700</v>
      </c>
      <c r="I198" s="1073">
        <v>109886241</v>
      </c>
      <c r="J198" s="1077">
        <v>108674019</v>
      </c>
      <c r="K198" s="1075">
        <v>109886241</v>
      </c>
      <c r="L198" s="1075">
        <v>108674019</v>
      </c>
    </row>
    <row r="199" spans="1:12">
      <c r="A199" t="s">
        <v>1316</v>
      </c>
      <c r="B199" s="31" t="s">
        <v>2218</v>
      </c>
      <c r="C199" s="1075">
        <v>97628273</v>
      </c>
      <c r="D199" s="1075">
        <v>93691643</v>
      </c>
      <c r="E199" s="1075">
        <v>97628273</v>
      </c>
      <c r="F199" s="1075">
        <v>93691643</v>
      </c>
      <c r="G199" s="1073">
        <v>86372179</v>
      </c>
      <c r="H199" s="1073">
        <v>86372179</v>
      </c>
      <c r="I199" s="1073">
        <v>97628273</v>
      </c>
      <c r="J199" s="1077">
        <v>93691643</v>
      </c>
      <c r="K199" s="1075">
        <v>97628273</v>
      </c>
      <c r="L199" s="1075">
        <v>93691643</v>
      </c>
    </row>
    <row r="200" spans="1:12">
      <c r="A200" t="s">
        <v>1107</v>
      </c>
      <c r="B200" s="31" t="s">
        <v>2219</v>
      </c>
      <c r="C200" s="1075">
        <v>761737196</v>
      </c>
      <c r="D200" s="1075">
        <v>726728348</v>
      </c>
      <c r="E200" s="1075">
        <v>761737196</v>
      </c>
      <c r="F200" s="1075">
        <v>726728348</v>
      </c>
      <c r="G200" s="1073">
        <v>647199513</v>
      </c>
      <c r="H200" s="1073">
        <v>647199513</v>
      </c>
      <c r="I200" s="1073">
        <v>761737196</v>
      </c>
      <c r="J200" s="1077">
        <v>726728348</v>
      </c>
      <c r="K200" s="1075">
        <v>761737196</v>
      </c>
      <c r="L200" s="1075">
        <v>726728348</v>
      </c>
    </row>
    <row r="201" spans="1:12">
      <c r="A201" t="s">
        <v>2148</v>
      </c>
      <c r="B201" s="31" t="s">
        <v>261</v>
      </c>
      <c r="C201" s="1075">
        <v>60756010</v>
      </c>
      <c r="D201" s="1075">
        <v>57997297</v>
      </c>
      <c r="E201" s="1075">
        <v>60756010</v>
      </c>
      <c r="F201" s="1075">
        <v>57997297</v>
      </c>
      <c r="G201" s="1073">
        <v>43603085</v>
      </c>
      <c r="H201" s="1073">
        <v>43603085</v>
      </c>
      <c r="I201" s="1073">
        <v>60756010</v>
      </c>
      <c r="J201" s="1077">
        <v>57997297</v>
      </c>
      <c r="K201" s="1075">
        <v>60756010</v>
      </c>
      <c r="L201" s="1075">
        <v>57997297</v>
      </c>
    </row>
    <row r="202" spans="1:12">
      <c r="A202" t="s">
        <v>1108</v>
      </c>
      <c r="B202" s="31" t="s">
        <v>2220</v>
      </c>
      <c r="C202" s="1075">
        <v>83413847</v>
      </c>
      <c r="D202" s="1075">
        <v>80546380</v>
      </c>
      <c r="E202" s="1075">
        <v>83413847</v>
      </c>
      <c r="F202" s="1075">
        <v>80546380</v>
      </c>
      <c r="G202" s="1073">
        <v>63285601</v>
      </c>
      <c r="H202" s="1073">
        <v>63285601</v>
      </c>
      <c r="I202" s="1073">
        <v>83413847</v>
      </c>
      <c r="J202" s="1077">
        <v>80546380</v>
      </c>
      <c r="K202" s="1075">
        <v>83413847</v>
      </c>
      <c r="L202" s="1075">
        <v>80546380</v>
      </c>
    </row>
    <row r="203" spans="1:12">
      <c r="A203" t="s">
        <v>2398</v>
      </c>
      <c r="B203" s="31" t="s">
        <v>2573</v>
      </c>
      <c r="C203" s="1075">
        <v>1395226015</v>
      </c>
      <c r="D203" s="1075">
        <v>1326649618</v>
      </c>
      <c r="E203" s="1075">
        <v>1395226015</v>
      </c>
      <c r="F203" s="1075">
        <v>1326649618</v>
      </c>
      <c r="G203" s="1073">
        <v>1326796662</v>
      </c>
      <c r="H203" s="1073">
        <v>1326796662</v>
      </c>
      <c r="I203" s="1073">
        <v>1395226015</v>
      </c>
      <c r="J203" s="1077">
        <v>1326649618</v>
      </c>
      <c r="K203" s="1075">
        <v>1395226015</v>
      </c>
      <c r="L203" s="1075">
        <v>1326649618</v>
      </c>
    </row>
    <row r="204" spans="1:12">
      <c r="A204" t="s">
        <v>1109</v>
      </c>
      <c r="B204" s="31" t="s">
        <v>2221</v>
      </c>
      <c r="C204" s="1075">
        <v>137319338</v>
      </c>
      <c r="D204" s="1075">
        <v>134913508</v>
      </c>
      <c r="E204" s="1075">
        <v>136497493</v>
      </c>
      <c r="F204" s="1075">
        <v>134091663</v>
      </c>
      <c r="G204" s="1073">
        <v>156532853</v>
      </c>
      <c r="H204" s="1073">
        <v>155829699</v>
      </c>
      <c r="I204" s="1073">
        <v>137319338</v>
      </c>
      <c r="J204" s="1077">
        <v>134913508</v>
      </c>
      <c r="K204" s="1075">
        <v>136497493</v>
      </c>
      <c r="L204" s="1075">
        <v>134091663</v>
      </c>
    </row>
    <row r="205" spans="1:12">
      <c r="A205" t="s">
        <v>681</v>
      </c>
      <c r="B205" s="31" t="s">
        <v>2222</v>
      </c>
      <c r="C205" s="1075">
        <v>858300334</v>
      </c>
      <c r="D205" s="1075">
        <v>850950914</v>
      </c>
      <c r="E205" s="1075">
        <v>858300334</v>
      </c>
      <c r="F205" s="1075">
        <v>850950914</v>
      </c>
      <c r="G205" s="1073">
        <v>2323016890</v>
      </c>
      <c r="H205" s="1073">
        <v>2323016890</v>
      </c>
      <c r="I205" s="1073">
        <v>858300334</v>
      </c>
      <c r="J205" s="1077">
        <v>850950914</v>
      </c>
      <c r="K205" s="1075">
        <v>858300334</v>
      </c>
      <c r="L205" s="1075">
        <v>850950914</v>
      </c>
    </row>
    <row r="206" spans="1:12">
      <c r="A206" t="s">
        <v>682</v>
      </c>
      <c r="B206" s="31" t="s">
        <v>3913</v>
      </c>
      <c r="C206" s="1075">
        <v>1218467360</v>
      </c>
      <c r="D206" s="1075">
        <v>1211933920</v>
      </c>
      <c r="E206" s="1075">
        <v>1215398720</v>
      </c>
      <c r="F206" s="1075">
        <v>1208865280</v>
      </c>
      <c r="G206" s="1073">
        <v>2374965507</v>
      </c>
      <c r="H206" s="1073">
        <v>2371679917</v>
      </c>
      <c r="I206" s="1073">
        <v>1218467360</v>
      </c>
      <c r="J206" s="1077">
        <v>1211933920</v>
      </c>
      <c r="K206" s="1075">
        <v>1215398720</v>
      </c>
      <c r="L206" s="1075">
        <v>1208865280</v>
      </c>
    </row>
    <row r="207" spans="1:12">
      <c r="A207" t="s">
        <v>683</v>
      </c>
      <c r="B207" s="31" t="s">
        <v>1034</v>
      </c>
      <c r="C207" s="1075">
        <v>97909046</v>
      </c>
      <c r="D207" s="1075">
        <v>94185043</v>
      </c>
      <c r="E207" s="1075">
        <v>97909046</v>
      </c>
      <c r="F207" s="1075">
        <v>94185043</v>
      </c>
      <c r="G207" s="1073">
        <v>89673466</v>
      </c>
      <c r="H207" s="1073">
        <v>89673466</v>
      </c>
      <c r="I207" s="1073">
        <v>112648698</v>
      </c>
      <c r="J207" s="1077">
        <v>108924695</v>
      </c>
      <c r="K207" s="1075">
        <v>112648698</v>
      </c>
      <c r="L207" s="1075">
        <v>108924695</v>
      </c>
    </row>
    <row r="208" spans="1:12">
      <c r="A208" t="s">
        <v>684</v>
      </c>
      <c r="B208" s="31" t="s">
        <v>664</v>
      </c>
      <c r="C208" s="1075">
        <v>138545121</v>
      </c>
      <c r="D208" s="1075">
        <v>136346183</v>
      </c>
      <c r="E208" s="1075">
        <v>138545121</v>
      </c>
      <c r="F208" s="1075">
        <v>136346183</v>
      </c>
      <c r="G208" s="1073">
        <v>237493850</v>
      </c>
      <c r="H208" s="1073">
        <v>237493850</v>
      </c>
      <c r="I208" s="1073">
        <v>160694695</v>
      </c>
      <c r="J208" s="1077">
        <v>158495757</v>
      </c>
      <c r="K208" s="1075">
        <v>160694695</v>
      </c>
      <c r="L208" s="1075">
        <v>158495757</v>
      </c>
    </row>
    <row r="209" spans="1:12">
      <c r="A209" t="s">
        <v>392</v>
      </c>
      <c r="B209" s="31" t="s">
        <v>665</v>
      </c>
      <c r="C209" s="1075">
        <v>131520932</v>
      </c>
      <c r="D209" s="1075">
        <v>128014217</v>
      </c>
      <c r="E209" s="1075">
        <v>131520932</v>
      </c>
      <c r="F209" s="1075">
        <v>128014217</v>
      </c>
      <c r="G209" s="1073">
        <v>162357712</v>
      </c>
      <c r="H209" s="1073">
        <v>162357712</v>
      </c>
      <c r="I209" s="1073">
        <v>131520932</v>
      </c>
      <c r="J209" s="1077">
        <v>128014217</v>
      </c>
      <c r="K209" s="1075">
        <v>131520932</v>
      </c>
      <c r="L209" s="1075">
        <v>128014217</v>
      </c>
    </row>
    <row r="210" spans="1:12">
      <c r="A210" t="s">
        <v>2559</v>
      </c>
      <c r="B210" s="31" t="s">
        <v>122</v>
      </c>
      <c r="C210" s="1075">
        <v>868245945</v>
      </c>
      <c r="D210" s="1075">
        <v>864908469</v>
      </c>
      <c r="E210" s="1075">
        <v>868245945</v>
      </c>
      <c r="F210" s="1075">
        <v>864908469</v>
      </c>
      <c r="G210" s="1073">
        <v>628847536</v>
      </c>
      <c r="H210" s="1073">
        <v>628847536</v>
      </c>
      <c r="I210" s="1073">
        <v>868245945</v>
      </c>
      <c r="J210" s="1077">
        <v>864908469</v>
      </c>
      <c r="K210" s="1075">
        <v>868245945</v>
      </c>
      <c r="L210" s="1075">
        <v>864908469</v>
      </c>
    </row>
    <row r="211" spans="1:12">
      <c r="A211" t="s">
        <v>2560</v>
      </c>
      <c r="B211" s="31" t="s">
        <v>123</v>
      </c>
      <c r="C211" s="1075">
        <v>1055849672</v>
      </c>
      <c r="D211" s="1075">
        <v>1041367888</v>
      </c>
      <c r="E211" s="1075">
        <v>1055849672</v>
      </c>
      <c r="F211" s="1075">
        <v>1041367888</v>
      </c>
      <c r="G211" s="1073">
        <v>744491045</v>
      </c>
      <c r="H211" s="1073">
        <v>744491045</v>
      </c>
      <c r="I211" s="1073">
        <v>1055849672</v>
      </c>
      <c r="J211" s="1077">
        <v>1041367888</v>
      </c>
      <c r="K211" s="1075">
        <v>1055849672</v>
      </c>
      <c r="L211" s="1075">
        <v>1041367888</v>
      </c>
    </row>
    <row r="212" spans="1:12">
      <c r="A212" t="s">
        <v>2561</v>
      </c>
      <c r="B212" s="31" t="s">
        <v>124</v>
      </c>
      <c r="C212" s="1075">
        <v>176054034</v>
      </c>
      <c r="D212" s="1075">
        <v>175110022</v>
      </c>
      <c r="E212" s="1075">
        <v>176054034</v>
      </c>
      <c r="F212" s="1075">
        <v>175110022</v>
      </c>
      <c r="G212" s="1073">
        <v>132190811</v>
      </c>
      <c r="H212" s="1073">
        <v>132190811</v>
      </c>
      <c r="I212" s="1073">
        <v>176054034</v>
      </c>
      <c r="J212" s="1077">
        <v>175110022</v>
      </c>
      <c r="K212" s="1075">
        <v>176054034</v>
      </c>
      <c r="L212" s="1075">
        <v>175110022</v>
      </c>
    </row>
    <row r="213" spans="1:12">
      <c r="A213" t="s">
        <v>1642</v>
      </c>
      <c r="B213" s="31" t="s">
        <v>125</v>
      </c>
      <c r="C213" s="1075">
        <v>16591930453</v>
      </c>
      <c r="D213" s="1075">
        <v>16340114953</v>
      </c>
      <c r="E213" s="1075">
        <v>16591930453</v>
      </c>
      <c r="F213" s="1075">
        <v>16340114953</v>
      </c>
      <c r="G213" s="1073">
        <v>15057052179</v>
      </c>
      <c r="H213" s="1073">
        <v>15057052179</v>
      </c>
      <c r="I213" s="1073">
        <v>16591930453</v>
      </c>
      <c r="J213" s="1077">
        <v>16340114953</v>
      </c>
      <c r="K213" s="1075">
        <v>16591930453</v>
      </c>
      <c r="L213" s="1075">
        <v>16340114953</v>
      </c>
    </row>
    <row r="214" spans="1:12">
      <c r="A214" t="s">
        <v>385</v>
      </c>
      <c r="B214" s="31" t="s">
        <v>126</v>
      </c>
      <c r="C214" s="1075">
        <v>3007551300</v>
      </c>
      <c r="D214" s="1075">
        <v>2907647170</v>
      </c>
      <c r="E214" s="1075">
        <v>3007551300</v>
      </c>
      <c r="F214" s="1075">
        <v>2907647170</v>
      </c>
      <c r="G214" s="1073">
        <v>2691754917</v>
      </c>
      <c r="H214" s="1073">
        <v>2691754917</v>
      </c>
      <c r="I214" s="1073">
        <v>3007551300</v>
      </c>
      <c r="J214" s="1077">
        <v>2907647170</v>
      </c>
      <c r="K214" s="1075">
        <v>3007551300</v>
      </c>
      <c r="L214" s="1075">
        <v>2907647170</v>
      </c>
    </row>
    <row r="215" spans="1:12">
      <c r="A215" t="s">
        <v>386</v>
      </c>
      <c r="B215" s="31" t="s">
        <v>127</v>
      </c>
      <c r="C215" s="1075">
        <v>101676634853</v>
      </c>
      <c r="D215" s="1075">
        <v>100195091348</v>
      </c>
      <c r="E215" s="1075">
        <v>99768329899</v>
      </c>
      <c r="F215" s="1075">
        <v>98286786394</v>
      </c>
      <c r="G215" s="1073">
        <v>88376144698</v>
      </c>
      <c r="H215" s="1073">
        <v>86666137525</v>
      </c>
      <c r="I215" s="1073">
        <v>101676634853</v>
      </c>
      <c r="J215" s="1077">
        <v>100195091348</v>
      </c>
      <c r="K215" s="1075">
        <v>99768329899</v>
      </c>
      <c r="L215" s="1075">
        <v>98286786394</v>
      </c>
    </row>
    <row r="216" spans="1:12">
      <c r="A216" t="s">
        <v>387</v>
      </c>
      <c r="B216" s="31" t="s">
        <v>128</v>
      </c>
      <c r="C216" s="1075">
        <v>2594562853</v>
      </c>
      <c r="D216" s="1075">
        <v>2479192909</v>
      </c>
      <c r="E216" s="1075">
        <v>2594562853</v>
      </c>
      <c r="F216" s="1075">
        <v>2479192909</v>
      </c>
      <c r="G216" s="1073">
        <v>2141200367</v>
      </c>
      <c r="H216" s="1073">
        <v>2141200367</v>
      </c>
      <c r="I216" s="1073">
        <v>2594562853</v>
      </c>
      <c r="J216" s="1077">
        <v>2479192909</v>
      </c>
      <c r="K216" s="1075">
        <v>2594562853</v>
      </c>
      <c r="L216" s="1075">
        <v>2479192909</v>
      </c>
    </row>
    <row r="217" spans="1:12">
      <c r="A217" t="s">
        <v>388</v>
      </c>
      <c r="B217" s="31" t="s">
        <v>129</v>
      </c>
      <c r="C217" s="1075">
        <v>3948034338</v>
      </c>
      <c r="D217" s="1075">
        <v>3815840148</v>
      </c>
      <c r="E217" s="1075">
        <v>3948034338</v>
      </c>
      <c r="F217" s="1075">
        <v>3815840148</v>
      </c>
      <c r="G217" s="1073">
        <v>3496416948</v>
      </c>
      <c r="H217" s="1073">
        <v>3496416948</v>
      </c>
      <c r="I217" s="1073">
        <v>3948034338</v>
      </c>
      <c r="J217" s="1077">
        <v>3815840148</v>
      </c>
      <c r="K217" s="1075">
        <v>3948034338</v>
      </c>
      <c r="L217" s="1075">
        <v>3815840148</v>
      </c>
    </row>
    <row r="218" spans="1:12">
      <c r="A218" t="s">
        <v>2578</v>
      </c>
      <c r="B218" s="31" t="s">
        <v>1482</v>
      </c>
      <c r="C218" s="1075">
        <v>15941444274</v>
      </c>
      <c r="D218" s="1075">
        <v>15398541406</v>
      </c>
      <c r="E218" s="1075">
        <v>15941444274</v>
      </c>
      <c r="F218" s="1075">
        <v>15398541406</v>
      </c>
      <c r="G218" s="1073">
        <v>13977161941</v>
      </c>
      <c r="H218" s="1073">
        <v>13977161941</v>
      </c>
      <c r="I218" s="1073">
        <v>15941444274</v>
      </c>
      <c r="J218" s="1077">
        <v>15398541406</v>
      </c>
      <c r="K218" s="1075">
        <v>15941444274</v>
      </c>
      <c r="L218" s="1075">
        <v>15398541406</v>
      </c>
    </row>
    <row r="219" spans="1:12">
      <c r="A219" t="s">
        <v>666</v>
      </c>
      <c r="B219" s="31" t="s">
        <v>863</v>
      </c>
      <c r="C219" s="1075">
        <v>5787566202</v>
      </c>
      <c r="D219" s="1075">
        <v>5598276295</v>
      </c>
      <c r="E219" s="1075">
        <v>5787566202</v>
      </c>
      <c r="F219" s="1075">
        <v>5598276295</v>
      </c>
      <c r="G219" s="1073">
        <v>5043325183</v>
      </c>
      <c r="H219" s="1073">
        <v>5043325183</v>
      </c>
      <c r="I219" s="1073">
        <v>5787566202</v>
      </c>
      <c r="J219" s="1077">
        <v>5598276295</v>
      </c>
      <c r="K219" s="1075">
        <v>5787566202</v>
      </c>
      <c r="L219" s="1075">
        <v>5598276295</v>
      </c>
    </row>
    <row r="220" spans="1:12">
      <c r="A220" t="s">
        <v>533</v>
      </c>
      <c r="B220" s="31" t="s">
        <v>130</v>
      </c>
      <c r="C220" s="1075">
        <v>15665633203</v>
      </c>
      <c r="D220" s="1075">
        <v>15583170967</v>
      </c>
      <c r="E220" s="1075">
        <v>14365082827</v>
      </c>
      <c r="F220" s="1075">
        <v>14282620591</v>
      </c>
      <c r="G220" s="1073">
        <v>14179763510</v>
      </c>
      <c r="H220" s="1073">
        <v>13018827547</v>
      </c>
      <c r="I220" s="1073">
        <v>15665633203</v>
      </c>
      <c r="J220" s="1077">
        <v>15583170967</v>
      </c>
      <c r="K220" s="1075">
        <v>14365082827</v>
      </c>
      <c r="L220" s="1075">
        <v>14282620591</v>
      </c>
    </row>
    <row r="221" spans="1:12">
      <c r="A221" t="s">
        <v>41</v>
      </c>
      <c r="B221" s="31" t="s">
        <v>1269</v>
      </c>
      <c r="C221" s="1075">
        <v>10634264410</v>
      </c>
      <c r="D221" s="1075">
        <v>10418766103</v>
      </c>
      <c r="E221" s="1075">
        <v>10634264410</v>
      </c>
      <c r="F221" s="1075">
        <v>10418766103</v>
      </c>
      <c r="G221" s="1073">
        <v>9556206941</v>
      </c>
      <c r="H221" s="1073">
        <v>9556206941</v>
      </c>
      <c r="I221" s="1073">
        <v>10634264410</v>
      </c>
      <c r="J221" s="1077">
        <v>10418766103</v>
      </c>
      <c r="K221" s="1075">
        <v>10634264410</v>
      </c>
      <c r="L221" s="1075">
        <v>10418766103</v>
      </c>
    </row>
    <row r="222" spans="1:12">
      <c r="A222" t="s">
        <v>1790</v>
      </c>
      <c r="B222" s="31" t="s">
        <v>131</v>
      </c>
      <c r="C222" s="1075">
        <v>2086062973</v>
      </c>
      <c r="D222" s="1075">
        <v>2014991847</v>
      </c>
      <c r="E222" s="1075">
        <v>2086062973</v>
      </c>
      <c r="F222" s="1075">
        <v>2014991847</v>
      </c>
      <c r="G222" s="1073">
        <v>1643213021</v>
      </c>
      <c r="H222" s="1073">
        <v>1643213021</v>
      </c>
      <c r="I222" s="1073">
        <v>2086062973</v>
      </c>
      <c r="J222" s="1077">
        <v>2014991847</v>
      </c>
      <c r="K222" s="1075">
        <v>2086062973</v>
      </c>
      <c r="L222" s="1075">
        <v>2014991847</v>
      </c>
    </row>
    <row r="223" spans="1:12">
      <c r="A223" t="s">
        <v>2533</v>
      </c>
      <c r="B223" s="31" t="s">
        <v>2235</v>
      </c>
      <c r="C223" s="1075">
        <v>6983310655</v>
      </c>
      <c r="D223" s="1075">
        <v>6719008388</v>
      </c>
      <c r="E223" s="1075">
        <v>6983310655</v>
      </c>
      <c r="F223" s="1075">
        <v>6719008388</v>
      </c>
      <c r="G223" s="1073">
        <v>6166509470</v>
      </c>
      <c r="H223" s="1073">
        <v>6166509470</v>
      </c>
      <c r="I223" s="1073">
        <v>6983310655</v>
      </c>
      <c r="J223" s="1077">
        <v>6719008388</v>
      </c>
      <c r="K223" s="1075">
        <v>6983310655</v>
      </c>
      <c r="L223" s="1075">
        <v>6719008388</v>
      </c>
    </row>
    <row r="224" spans="1:12">
      <c r="A224" t="s">
        <v>1791</v>
      </c>
      <c r="B224" s="31" t="s">
        <v>2610</v>
      </c>
      <c r="C224" s="1075">
        <v>20382347171</v>
      </c>
      <c r="D224" s="1075">
        <v>19975180970</v>
      </c>
      <c r="E224" s="1075">
        <v>19874568962</v>
      </c>
      <c r="F224" s="1075">
        <v>19467402761</v>
      </c>
      <c r="G224" s="1073">
        <v>18144200383</v>
      </c>
      <c r="H224" s="1073">
        <v>17686362886</v>
      </c>
      <c r="I224" s="1073">
        <v>20382347171</v>
      </c>
      <c r="J224" s="1077">
        <v>19975180970</v>
      </c>
      <c r="K224" s="1075">
        <v>19874568962</v>
      </c>
      <c r="L224" s="1075">
        <v>19467402761</v>
      </c>
    </row>
    <row r="225" spans="1:12">
      <c r="A225" t="s">
        <v>2688</v>
      </c>
      <c r="B225" s="31" t="s">
        <v>2611</v>
      </c>
      <c r="C225" s="1075">
        <v>1013967200</v>
      </c>
      <c r="D225" s="1075">
        <v>997429700</v>
      </c>
      <c r="E225" s="1075">
        <v>1013967200</v>
      </c>
      <c r="F225" s="1075">
        <v>997429700</v>
      </c>
      <c r="G225" s="1073">
        <v>893566168</v>
      </c>
      <c r="H225" s="1073">
        <v>893566168</v>
      </c>
      <c r="I225" s="1073">
        <v>1013967200</v>
      </c>
      <c r="J225" s="1077">
        <v>997429700</v>
      </c>
      <c r="K225" s="1075">
        <v>1013967200</v>
      </c>
      <c r="L225" s="1075">
        <v>997429700</v>
      </c>
    </row>
    <row r="226" spans="1:12">
      <c r="A226" t="s">
        <v>249</v>
      </c>
      <c r="B226" s="31" t="s">
        <v>2612</v>
      </c>
      <c r="C226" s="1075">
        <v>10314120118</v>
      </c>
      <c r="D226" s="1075">
        <v>10203202358</v>
      </c>
      <c r="E226" s="1075">
        <v>10314120118</v>
      </c>
      <c r="F226" s="1075">
        <v>10203202358</v>
      </c>
      <c r="G226" s="1073">
        <v>8824759042</v>
      </c>
      <c r="H226" s="1073">
        <v>8824759042</v>
      </c>
      <c r="I226" s="1073">
        <v>10314120118</v>
      </c>
      <c r="J226" s="1077">
        <v>10203202358</v>
      </c>
      <c r="K226" s="1075">
        <v>10314120118</v>
      </c>
      <c r="L226" s="1075">
        <v>10203202358</v>
      </c>
    </row>
    <row r="227" spans="1:12">
      <c r="A227" t="s">
        <v>250</v>
      </c>
      <c r="B227" s="31" t="s">
        <v>2663</v>
      </c>
      <c r="C227" s="1075">
        <v>94076075</v>
      </c>
      <c r="D227" s="1075">
        <v>93503387</v>
      </c>
      <c r="E227" s="1075">
        <v>94076075</v>
      </c>
      <c r="F227" s="1075">
        <v>93503387</v>
      </c>
      <c r="G227" s="1073">
        <v>266768523</v>
      </c>
      <c r="H227" s="1073">
        <v>266768523</v>
      </c>
      <c r="I227" s="1073">
        <v>94076075</v>
      </c>
      <c r="J227" s="1077">
        <v>93503387</v>
      </c>
      <c r="K227" s="1075">
        <v>94076075</v>
      </c>
      <c r="L227" s="1075">
        <v>93503387</v>
      </c>
    </row>
    <row r="228" spans="1:12">
      <c r="A228" t="s">
        <v>251</v>
      </c>
      <c r="B228" s="31" t="s">
        <v>2613</v>
      </c>
      <c r="C228" s="1075">
        <v>648502455</v>
      </c>
      <c r="D228" s="1075">
        <v>647124395</v>
      </c>
      <c r="E228" s="1075">
        <v>647006860</v>
      </c>
      <c r="F228" s="1075">
        <v>645628800</v>
      </c>
      <c r="G228" s="1073">
        <v>1412176780</v>
      </c>
      <c r="H228" s="1073">
        <v>1410677106</v>
      </c>
      <c r="I228" s="1073">
        <v>648502455</v>
      </c>
      <c r="J228" s="1077">
        <v>647124395</v>
      </c>
      <c r="K228" s="1075">
        <v>647006860</v>
      </c>
      <c r="L228" s="1075">
        <v>645628800</v>
      </c>
    </row>
    <row r="229" spans="1:12">
      <c r="A229" t="s">
        <v>252</v>
      </c>
      <c r="B229" s="31" t="s">
        <v>2614</v>
      </c>
      <c r="C229" s="1075">
        <v>410589076</v>
      </c>
      <c r="D229" s="1075">
        <v>394809926</v>
      </c>
      <c r="E229" s="1075">
        <v>410589076</v>
      </c>
      <c r="F229" s="1075">
        <v>394809926</v>
      </c>
      <c r="G229" s="1073">
        <v>526048724</v>
      </c>
      <c r="H229" s="1073">
        <v>526048724</v>
      </c>
      <c r="I229" s="1073">
        <v>601707186</v>
      </c>
      <c r="J229" s="1077">
        <v>585928036</v>
      </c>
      <c r="K229" s="1075">
        <v>601707186</v>
      </c>
      <c r="L229" s="1075">
        <v>585928036</v>
      </c>
    </row>
    <row r="230" spans="1:12">
      <c r="A230" t="s">
        <v>374</v>
      </c>
      <c r="B230" s="31" t="s">
        <v>2615</v>
      </c>
      <c r="C230" s="1075">
        <v>538243832</v>
      </c>
      <c r="D230" s="1075">
        <v>536989276</v>
      </c>
      <c r="E230" s="1075">
        <v>537095691</v>
      </c>
      <c r="F230" s="1075">
        <v>535841135</v>
      </c>
      <c r="G230" s="1073">
        <v>1323213722</v>
      </c>
      <c r="H230" s="1073">
        <v>1322099131</v>
      </c>
      <c r="I230" s="1073">
        <v>538243832</v>
      </c>
      <c r="J230" s="1077">
        <v>536989276</v>
      </c>
      <c r="K230" s="1075">
        <v>537095691</v>
      </c>
      <c r="L230" s="1075">
        <v>535841135</v>
      </c>
    </row>
    <row r="231" spans="1:12">
      <c r="A231" t="s">
        <v>1864</v>
      </c>
      <c r="B231" s="31" t="s">
        <v>2372</v>
      </c>
      <c r="C231" s="1075">
        <v>1241130968</v>
      </c>
      <c r="D231" s="1075">
        <v>1212753993</v>
      </c>
      <c r="E231" s="1075">
        <v>1241130968</v>
      </c>
      <c r="F231" s="1075">
        <v>1212753993</v>
      </c>
      <c r="G231" s="1073">
        <v>1180085538</v>
      </c>
      <c r="H231" s="1073">
        <v>1180085538</v>
      </c>
      <c r="I231" s="1073">
        <v>1449884151</v>
      </c>
      <c r="J231" s="1077">
        <v>1421507176</v>
      </c>
      <c r="K231" s="1075">
        <v>1449884151</v>
      </c>
      <c r="L231" s="1075">
        <v>1421507176</v>
      </c>
    </row>
    <row r="232" spans="1:12">
      <c r="A232" t="s">
        <v>1068</v>
      </c>
      <c r="B232" s="31" t="s">
        <v>2616</v>
      </c>
      <c r="C232" s="1075">
        <v>47445040</v>
      </c>
      <c r="D232" s="1075">
        <v>47175640</v>
      </c>
      <c r="E232" s="1075">
        <v>47445040</v>
      </c>
      <c r="F232" s="1075">
        <v>47175640</v>
      </c>
      <c r="G232" s="1073">
        <v>42011260</v>
      </c>
      <c r="H232" s="1073">
        <v>42011260</v>
      </c>
      <c r="I232" s="1073">
        <v>47445040</v>
      </c>
      <c r="J232" s="1077">
        <v>47175640</v>
      </c>
      <c r="K232" s="1075">
        <v>47445040</v>
      </c>
      <c r="L232" s="1075">
        <v>47175640</v>
      </c>
    </row>
    <row r="233" spans="1:12">
      <c r="A233" t="s">
        <v>1069</v>
      </c>
      <c r="B233" s="31" t="s">
        <v>2617</v>
      </c>
      <c r="C233" s="1075">
        <v>188677544</v>
      </c>
      <c r="D233" s="1075">
        <v>177932423</v>
      </c>
      <c r="E233" s="1075">
        <v>188677544</v>
      </c>
      <c r="F233" s="1075">
        <v>177932423</v>
      </c>
      <c r="G233" s="1073">
        <v>175043058</v>
      </c>
      <c r="H233" s="1073">
        <v>175043058</v>
      </c>
      <c r="I233" s="1073">
        <v>188677544</v>
      </c>
      <c r="J233" s="1077">
        <v>177932423</v>
      </c>
      <c r="K233" s="1075">
        <v>188677544</v>
      </c>
      <c r="L233" s="1075">
        <v>177932423</v>
      </c>
    </row>
    <row r="234" spans="1:12">
      <c r="A234" t="s">
        <v>640</v>
      </c>
      <c r="B234" s="31" t="s">
        <v>107</v>
      </c>
      <c r="C234" s="1075">
        <v>56508968</v>
      </c>
      <c r="D234" s="1075">
        <v>53716348</v>
      </c>
      <c r="E234" s="1075">
        <v>56508968</v>
      </c>
      <c r="F234" s="1075">
        <v>53716348</v>
      </c>
      <c r="G234" s="1073">
        <v>51609460</v>
      </c>
      <c r="H234" s="1073">
        <v>51609460</v>
      </c>
      <c r="I234" s="1073">
        <v>56508968</v>
      </c>
      <c r="J234" s="1077">
        <v>53716348</v>
      </c>
      <c r="K234" s="1075">
        <v>56508968</v>
      </c>
      <c r="L234" s="1075">
        <v>53716348</v>
      </c>
    </row>
    <row r="235" spans="1:12">
      <c r="A235" t="s">
        <v>1070</v>
      </c>
      <c r="B235" s="31" t="s">
        <v>2618</v>
      </c>
      <c r="C235" s="1075">
        <v>14268341718</v>
      </c>
      <c r="D235" s="1075">
        <v>13963361639</v>
      </c>
      <c r="E235" s="1075">
        <v>14268341718</v>
      </c>
      <c r="F235" s="1075">
        <v>13963361639</v>
      </c>
      <c r="G235" s="1073">
        <v>12079224911</v>
      </c>
      <c r="H235" s="1073">
        <v>12079224911</v>
      </c>
      <c r="I235" s="1073">
        <v>14268341718</v>
      </c>
      <c r="J235" s="1077">
        <v>13963361639</v>
      </c>
      <c r="K235" s="1075">
        <v>14268341718</v>
      </c>
      <c r="L235" s="1075">
        <v>13963361639</v>
      </c>
    </row>
    <row r="236" spans="1:12">
      <c r="A236" t="s">
        <v>1770</v>
      </c>
      <c r="B236" s="31" t="s">
        <v>2466</v>
      </c>
      <c r="C236" s="1075">
        <v>32662025500</v>
      </c>
      <c r="D236" s="1075">
        <v>32090944700</v>
      </c>
      <c r="E236" s="1075">
        <v>32662025500</v>
      </c>
      <c r="F236" s="1075">
        <v>32090944700</v>
      </c>
      <c r="G236" s="1073">
        <v>27809306163</v>
      </c>
      <c r="H236" s="1073">
        <v>27809306163</v>
      </c>
      <c r="I236" s="1073">
        <v>32662025500</v>
      </c>
      <c r="J236" s="1077">
        <v>32090944700</v>
      </c>
      <c r="K236" s="1075">
        <v>32662025500</v>
      </c>
      <c r="L236" s="1075">
        <v>32090944700</v>
      </c>
    </row>
    <row r="237" spans="1:12">
      <c r="A237" t="s">
        <v>212</v>
      </c>
      <c r="B237" s="31" t="s">
        <v>1000</v>
      </c>
      <c r="C237" s="1075">
        <v>645440524</v>
      </c>
      <c r="D237" s="1075">
        <v>628831702</v>
      </c>
      <c r="E237" s="1075">
        <v>645440524</v>
      </c>
      <c r="F237" s="1075">
        <v>628831702</v>
      </c>
      <c r="G237" s="1073">
        <v>583425506</v>
      </c>
      <c r="H237" s="1073">
        <v>583425506</v>
      </c>
      <c r="I237" s="1073">
        <v>645440524</v>
      </c>
      <c r="J237" s="1077">
        <v>628831702</v>
      </c>
      <c r="K237" s="1075">
        <v>645440524</v>
      </c>
      <c r="L237" s="1075">
        <v>628831702</v>
      </c>
    </row>
    <row r="238" spans="1:12">
      <c r="A238" t="s">
        <v>717</v>
      </c>
      <c r="B238" s="31" t="s">
        <v>1692</v>
      </c>
      <c r="C238" s="1075">
        <v>671796079</v>
      </c>
      <c r="D238" s="1075">
        <v>651911801</v>
      </c>
      <c r="E238" s="1075">
        <v>671796079</v>
      </c>
      <c r="F238" s="1075">
        <v>651911801</v>
      </c>
      <c r="G238" s="1073">
        <v>774327241</v>
      </c>
      <c r="H238" s="1073">
        <v>774327241</v>
      </c>
      <c r="I238" s="1073">
        <v>671796079</v>
      </c>
      <c r="J238" s="1077">
        <v>651911801</v>
      </c>
      <c r="K238" s="1075">
        <v>671796079</v>
      </c>
      <c r="L238" s="1075">
        <v>651911801</v>
      </c>
    </row>
    <row r="239" spans="1:12">
      <c r="A239" t="s">
        <v>214</v>
      </c>
      <c r="B239" s="31" t="s">
        <v>1002</v>
      </c>
      <c r="C239" s="1075">
        <v>590580733</v>
      </c>
      <c r="D239" s="1075">
        <v>578417993</v>
      </c>
      <c r="E239" s="1075">
        <v>590580733</v>
      </c>
      <c r="F239" s="1075">
        <v>578417993</v>
      </c>
      <c r="G239" s="1073">
        <v>743143763</v>
      </c>
      <c r="H239" s="1073">
        <v>743143763</v>
      </c>
      <c r="I239" s="1073">
        <v>590580733</v>
      </c>
      <c r="J239" s="1077">
        <v>578417993</v>
      </c>
      <c r="K239" s="1075">
        <v>590580733</v>
      </c>
      <c r="L239" s="1075">
        <v>578417993</v>
      </c>
    </row>
    <row r="240" spans="1:12">
      <c r="A240" t="s">
        <v>1680</v>
      </c>
      <c r="B240" s="31" t="s">
        <v>2116</v>
      </c>
      <c r="C240" s="1075">
        <v>829568400</v>
      </c>
      <c r="D240" s="1075">
        <v>804493588</v>
      </c>
      <c r="E240" s="1075">
        <v>829568400</v>
      </c>
      <c r="F240" s="1075">
        <v>804493588</v>
      </c>
      <c r="G240" s="1073">
        <v>660242894</v>
      </c>
      <c r="H240" s="1073">
        <v>660242894</v>
      </c>
      <c r="I240" s="1073">
        <v>829568400</v>
      </c>
      <c r="J240" s="1077">
        <v>804493588</v>
      </c>
      <c r="K240" s="1075">
        <v>829568400</v>
      </c>
      <c r="L240" s="1075">
        <v>804493588</v>
      </c>
    </row>
    <row r="241" spans="1:12">
      <c r="A241" t="s">
        <v>490</v>
      </c>
      <c r="B241" s="31" t="s">
        <v>2060</v>
      </c>
      <c r="C241" s="1075">
        <v>946109832</v>
      </c>
      <c r="D241" s="1075">
        <v>917730221</v>
      </c>
      <c r="E241" s="1075">
        <v>946109832</v>
      </c>
      <c r="F241" s="1075">
        <v>917730221</v>
      </c>
      <c r="G241" s="1073">
        <v>799379122</v>
      </c>
      <c r="H241" s="1073">
        <v>799379122</v>
      </c>
      <c r="I241" s="1073">
        <v>946109832</v>
      </c>
      <c r="J241" s="1077">
        <v>917730221</v>
      </c>
      <c r="K241" s="1075">
        <v>946109832</v>
      </c>
      <c r="L241" s="1075">
        <v>917730221</v>
      </c>
    </row>
    <row r="242" spans="1:12">
      <c r="A242" t="s">
        <v>1838</v>
      </c>
      <c r="B242" s="31" t="s">
        <v>2619</v>
      </c>
      <c r="C242" s="1075">
        <v>1522885752</v>
      </c>
      <c r="D242" s="1075">
        <v>1497701119</v>
      </c>
      <c r="E242" s="1075">
        <v>1522885752</v>
      </c>
      <c r="F242" s="1075">
        <v>1497701119</v>
      </c>
      <c r="G242" s="1073">
        <v>1224877168</v>
      </c>
      <c r="H242" s="1073">
        <v>1224877168</v>
      </c>
      <c r="I242" s="1073">
        <v>1522885752</v>
      </c>
      <c r="J242" s="1077">
        <v>1497701119</v>
      </c>
      <c r="K242" s="1075">
        <v>1522885752</v>
      </c>
      <c r="L242" s="1075">
        <v>1497701119</v>
      </c>
    </row>
    <row r="243" spans="1:12">
      <c r="A243" t="s">
        <v>1410</v>
      </c>
      <c r="B243" s="31" t="s">
        <v>1256</v>
      </c>
      <c r="C243" s="1075">
        <v>13134202193</v>
      </c>
      <c r="D243" s="1075">
        <v>12917014030</v>
      </c>
      <c r="E243" s="1075">
        <v>13134202193</v>
      </c>
      <c r="F243" s="1075">
        <v>12917014030</v>
      </c>
      <c r="G243" s="1073">
        <v>11823977719</v>
      </c>
      <c r="H243" s="1073">
        <v>11823977719</v>
      </c>
      <c r="I243" s="1073">
        <v>13134202193</v>
      </c>
      <c r="J243" s="1077">
        <v>12917014030</v>
      </c>
      <c r="K243" s="1075">
        <v>13134202193</v>
      </c>
      <c r="L243" s="1075">
        <v>12917014030</v>
      </c>
    </row>
    <row r="244" spans="1:12">
      <c r="A244" t="s">
        <v>61</v>
      </c>
      <c r="B244" s="31" t="s">
        <v>2300</v>
      </c>
      <c r="C244" s="1075">
        <v>1612882015</v>
      </c>
      <c r="D244" s="1075">
        <v>1565722144</v>
      </c>
      <c r="E244" s="1075">
        <v>1612882015</v>
      </c>
      <c r="F244" s="1075">
        <v>1565722144</v>
      </c>
      <c r="G244" s="1073">
        <v>1372140611</v>
      </c>
      <c r="H244" s="1073">
        <v>1372140611</v>
      </c>
      <c r="I244" s="1073">
        <v>1612882015</v>
      </c>
      <c r="J244" s="1077">
        <v>1565722144</v>
      </c>
      <c r="K244" s="1075">
        <v>1612882015</v>
      </c>
      <c r="L244" s="1075">
        <v>1565722144</v>
      </c>
    </row>
    <row r="245" spans="1:12">
      <c r="A245" t="s">
        <v>641</v>
      </c>
      <c r="B245" s="31" t="s">
        <v>1567</v>
      </c>
      <c r="C245" s="1075">
        <v>3261071095</v>
      </c>
      <c r="D245" s="1075">
        <v>3176431895</v>
      </c>
      <c r="E245" s="1075">
        <v>3261071095</v>
      </c>
      <c r="F245" s="1075">
        <v>3176431895</v>
      </c>
      <c r="G245" s="1073">
        <v>2389358047</v>
      </c>
      <c r="H245" s="1073">
        <v>2389358047</v>
      </c>
      <c r="I245" s="1073">
        <v>3261071095</v>
      </c>
      <c r="J245" s="1077">
        <v>3176431895</v>
      </c>
      <c r="K245" s="1075">
        <v>3261071095</v>
      </c>
      <c r="L245" s="1075">
        <v>3176431895</v>
      </c>
    </row>
    <row r="246" spans="1:12">
      <c r="A246" t="s">
        <v>2504</v>
      </c>
      <c r="B246" s="31" t="s">
        <v>421</v>
      </c>
      <c r="C246" s="1075">
        <v>1207220634</v>
      </c>
      <c r="D246" s="1075">
        <v>1189693184</v>
      </c>
      <c r="E246" s="1075">
        <v>1207220634</v>
      </c>
      <c r="F246" s="1075">
        <v>1189693184</v>
      </c>
      <c r="G246" s="1073">
        <v>2478430890</v>
      </c>
      <c r="H246" s="1073">
        <v>2478430890</v>
      </c>
      <c r="I246" s="1073">
        <v>1207220634</v>
      </c>
      <c r="J246" s="1077">
        <v>1189693184</v>
      </c>
      <c r="K246" s="1075">
        <v>1207220634</v>
      </c>
      <c r="L246" s="1075">
        <v>1189693184</v>
      </c>
    </row>
    <row r="247" spans="1:12">
      <c r="A247" t="s">
        <v>1839</v>
      </c>
      <c r="B247" s="31" t="s">
        <v>2620</v>
      </c>
      <c r="C247" s="1075">
        <v>491165631</v>
      </c>
      <c r="D247" s="1075">
        <v>489191411</v>
      </c>
      <c r="E247" s="1075">
        <v>491165631</v>
      </c>
      <c r="F247" s="1075">
        <v>489191411</v>
      </c>
      <c r="G247" s="1073">
        <v>843332503</v>
      </c>
      <c r="H247" s="1073">
        <v>843332503</v>
      </c>
      <c r="I247" s="1073">
        <v>491165631</v>
      </c>
      <c r="J247" s="1077">
        <v>489191411</v>
      </c>
      <c r="K247" s="1075">
        <v>491165631</v>
      </c>
      <c r="L247" s="1075">
        <v>489191411</v>
      </c>
    </row>
    <row r="248" spans="1:12">
      <c r="A248" t="s">
        <v>1185</v>
      </c>
      <c r="B248" s="31" t="s">
        <v>2196</v>
      </c>
      <c r="C248" s="1075">
        <v>649286511</v>
      </c>
      <c r="D248" s="1075">
        <v>630995098</v>
      </c>
      <c r="E248" s="1075">
        <v>649286511</v>
      </c>
      <c r="F248" s="1075">
        <v>630995098</v>
      </c>
      <c r="G248" s="1073">
        <v>1086417188</v>
      </c>
      <c r="H248" s="1073">
        <v>1086417188</v>
      </c>
      <c r="I248" s="1073">
        <v>1091604771</v>
      </c>
      <c r="J248" s="1077">
        <v>1073313358</v>
      </c>
      <c r="K248" s="1075">
        <v>1091604771</v>
      </c>
      <c r="L248" s="1075">
        <v>1073313358</v>
      </c>
    </row>
    <row r="249" spans="1:12">
      <c r="A249" t="s">
        <v>1840</v>
      </c>
      <c r="B249" s="31" t="s">
        <v>2621</v>
      </c>
      <c r="C249" s="1075">
        <v>1645144309</v>
      </c>
      <c r="D249" s="1075">
        <v>1636230819</v>
      </c>
      <c r="E249" s="1075">
        <v>1645144309</v>
      </c>
      <c r="F249" s="1075">
        <v>1636230819</v>
      </c>
      <c r="G249" s="1073">
        <v>2741104528</v>
      </c>
      <c r="H249" s="1073">
        <v>2741104528</v>
      </c>
      <c r="I249" s="1073">
        <v>1645144309</v>
      </c>
      <c r="J249" s="1077">
        <v>1636230819</v>
      </c>
      <c r="K249" s="1075">
        <v>1645144309</v>
      </c>
      <c r="L249" s="1075">
        <v>1636230819</v>
      </c>
    </row>
    <row r="250" spans="1:12">
      <c r="A250" t="s">
        <v>698</v>
      </c>
      <c r="B250" s="31" t="s">
        <v>2622</v>
      </c>
      <c r="C250" s="1075">
        <v>1151226762</v>
      </c>
      <c r="D250" s="1075">
        <v>1149947482</v>
      </c>
      <c r="E250" s="1075">
        <v>1151226762</v>
      </c>
      <c r="F250" s="1075">
        <v>1149947482</v>
      </c>
      <c r="G250" s="1073">
        <v>1520851321</v>
      </c>
      <c r="H250" s="1073">
        <v>1520851321</v>
      </c>
      <c r="I250" s="1073">
        <v>1151226762</v>
      </c>
      <c r="J250" s="1077">
        <v>1149947482</v>
      </c>
      <c r="K250" s="1075">
        <v>1151226762</v>
      </c>
      <c r="L250" s="1075">
        <v>1149947482</v>
      </c>
    </row>
    <row r="251" spans="1:12">
      <c r="A251" t="s">
        <v>299</v>
      </c>
      <c r="B251" s="31" t="s">
        <v>2623</v>
      </c>
      <c r="C251" s="1075">
        <v>77046657</v>
      </c>
      <c r="D251" s="1075">
        <v>73768509</v>
      </c>
      <c r="E251" s="1075">
        <v>77046657</v>
      </c>
      <c r="F251" s="1075">
        <v>73768509</v>
      </c>
      <c r="G251" s="1073">
        <v>64618014</v>
      </c>
      <c r="H251" s="1073">
        <v>64618014</v>
      </c>
      <c r="I251" s="1073">
        <v>77046657</v>
      </c>
      <c r="J251" s="1077">
        <v>73768509</v>
      </c>
      <c r="K251" s="1075">
        <v>77046657</v>
      </c>
      <c r="L251" s="1075">
        <v>73768509</v>
      </c>
    </row>
    <row r="252" spans="1:12">
      <c r="A252" t="s">
        <v>175</v>
      </c>
      <c r="B252" s="31" t="s">
        <v>2624</v>
      </c>
      <c r="C252" s="1075">
        <v>123807494</v>
      </c>
      <c r="D252" s="1075">
        <v>120960394</v>
      </c>
      <c r="E252" s="1075">
        <v>123807494</v>
      </c>
      <c r="F252" s="1075">
        <v>120960394</v>
      </c>
      <c r="G252" s="1073">
        <v>220776485</v>
      </c>
      <c r="H252" s="1073">
        <v>220776485</v>
      </c>
      <c r="I252" s="1073">
        <v>209672624</v>
      </c>
      <c r="J252" s="1077">
        <v>206825524</v>
      </c>
      <c r="K252" s="1075">
        <v>209672624</v>
      </c>
      <c r="L252" s="1075">
        <v>206825524</v>
      </c>
    </row>
    <row r="253" spans="1:12">
      <c r="A253" t="s">
        <v>176</v>
      </c>
      <c r="B253" s="31" t="s">
        <v>2625</v>
      </c>
      <c r="C253" s="1075">
        <v>86129069</v>
      </c>
      <c r="D253" s="1075">
        <v>85674649</v>
      </c>
      <c r="E253" s="1075">
        <v>86129069</v>
      </c>
      <c r="F253" s="1075">
        <v>85674649</v>
      </c>
      <c r="G253" s="1073">
        <v>84626534</v>
      </c>
      <c r="H253" s="1073">
        <v>84626534</v>
      </c>
      <c r="I253" s="1073">
        <v>86129069</v>
      </c>
      <c r="J253" s="1077">
        <v>85674649</v>
      </c>
      <c r="K253" s="1075">
        <v>86129069</v>
      </c>
      <c r="L253" s="1075">
        <v>85674649</v>
      </c>
    </row>
    <row r="254" spans="1:12">
      <c r="A254" t="s">
        <v>718</v>
      </c>
      <c r="B254" s="31" t="s">
        <v>30</v>
      </c>
      <c r="C254" s="1075">
        <v>3557755901</v>
      </c>
      <c r="D254" s="1075">
        <v>3541407953</v>
      </c>
      <c r="E254" s="1075">
        <v>3545473856</v>
      </c>
      <c r="F254" s="1075">
        <v>3529125908</v>
      </c>
      <c r="G254" s="1073">
        <v>7228603830</v>
      </c>
      <c r="H254" s="1073">
        <v>7214918321</v>
      </c>
      <c r="I254" s="1073">
        <v>3557755901</v>
      </c>
      <c r="J254" s="1077">
        <v>3541407953</v>
      </c>
      <c r="K254" s="1075">
        <v>3545473856</v>
      </c>
      <c r="L254" s="1075">
        <v>3529125908</v>
      </c>
    </row>
    <row r="255" spans="1:12">
      <c r="A255" t="s">
        <v>2629</v>
      </c>
      <c r="B255" s="31" t="s">
        <v>1958</v>
      </c>
      <c r="C255" s="1075">
        <v>151596515</v>
      </c>
      <c r="D255" s="1075">
        <v>145788357</v>
      </c>
      <c r="E255" s="1075">
        <v>151596515</v>
      </c>
      <c r="F255" s="1075">
        <v>145788357</v>
      </c>
      <c r="G255" s="1073">
        <v>144286945</v>
      </c>
      <c r="H255" s="1073">
        <v>144286945</v>
      </c>
      <c r="I255" s="1073">
        <v>151596515</v>
      </c>
      <c r="J255" s="1077">
        <v>145788357</v>
      </c>
      <c r="K255" s="1075">
        <v>151596515</v>
      </c>
      <c r="L255" s="1075">
        <v>145788357</v>
      </c>
    </row>
    <row r="256" spans="1:12">
      <c r="A256" t="s">
        <v>1556</v>
      </c>
      <c r="B256" s="31" t="s">
        <v>2370</v>
      </c>
      <c r="C256" s="1075">
        <v>57264598</v>
      </c>
      <c r="D256" s="1075">
        <v>56600510</v>
      </c>
      <c r="E256" s="1075">
        <v>57264598</v>
      </c>
      <c r="F256" s="1075">
        <v>56600510</v>
      </c>
      <c r="G256" s="1073">
        <v>53653074</v>
      </c>
      <c r="H256" s="1073">
        <v>53653074</v>
      </c>
      <c r="I256" s="1073">
        <v>57264598</v>
      </c>
      <c r="J256" s="1077">
        <v>56600510</v>
      </c>
      <c r="K256" s="1075">
        <v>57264598</v>
      </c>
      <c r="L256" s="1075">
        <v>56600510</v>
      </c>
    </row>
    <row r="257" spans="1:12">
      <c r="A257" t="s">
        <v>2630</v>
      </c>
      <c r="B257" s="31" t="s">
        <v>1959</v>
      </c>
      <c r="C257" s="1075">
        <v>24363768</v>
      </c>
      <c r="D257" s="1075">
        <v>24129344</v>
      </c>
      <c r="E257" s="1075">
        <v>24178911</v>
      </c>
      <c r="F257" s="1075">
        <v>23944487</v>
      </c>
      <c r="G257" s="1073">
        <v>26005926</v>
      </c>
      <c r="H257" s="1073">
        <v>25907826</v>
      </c>
      <c r="I257" s="1073">
        <v>24363768</v>
      </c>
      <c r="J257" s="1077">
        <v>24129344</v>
      </c>
      <c r="K257" s="1075">
        <v>24178911</v>
      </c>
      <c r="L257" s="1075">
        <v>23944487</v>
      </c>
    </row>
    <row r="258" spans="1:12">
      <c r="A258" t="s">
        <v>2631</v>
      </c>
      <c r="B258" s="31" t="s">
        <v>1960</v>
      </c>
      <c r="C258" s="1075">
        <v>203307079</v>
      </c>
      <c r="D258" s="1075">
        <v>199821895</v>
      </c>
      <c r="E258" s="1075">
        <v>203307079</v>
      </c>
      <c r="F258" s="1075">
        <v>199821895</v>
      </c>
      <c r="G258" s="1073">
        <v>248866942</v>
      </c>
      <c r="H258" s="1073">
        <v>248866942</v>
      </c>
      <c r="I258" s="1073">
        <v>203307079</v>
      </c>
      <c r="J258" s="1077">
        <v>199821895</v>
      </c>
      <c r="K258" s="1075">
        <v>203307079</v>
      </c>
      <c r="L258" s="1075">
        <v>199821895</v>
      </c>
    </row>
    <row r="259" spans="1:12">
      <c r="A259" t="s">
        <v>719</v>
      </c>
      <c r="B259" s="31" t="s">
        <v>2030</v>
      </c>
      <c r="C259" s="1075">
        <v>192385673</v>
      </c>
      <c r="D259" s="1075">
        <v>184697296</v>
      </c>
      <c r="E259" s="1075">
        <v>192385673</v>
      </c>
      <c r="F259" s="1075">
        <v>184697296</v>
      </c>
      <c r="G259" s="1073">
        <v>205645057</v>
      </c>
      <c r="H259" s="1073">
        <v>205645057</v>
      </c>
      <c r="I259" s="1073">
        <v>192385673</v>
      </c>
      <c r="J259" s="1077">
        <v>184697296</v>
      </c>
      <c r="K259" s="1075">
        <v>192385673</v>
      </c>
      <c r="L259" s="1075">
        <v>184697296</v>
      </c>
    </row>
    <row r="260" spans="1:12">
      <c r="A260" t="s">
        <v>678</v>
      </c>
      <c r="B260" s="31" t="s">
        <v>1961</v>
      </c>
      <c r="C260" s="1075">
        <v>272557525</v>
      </c>
      <c r="D260" s="1075">
        <v>266856892</v>
      </c>
      <c r="E260" s="1075">
        <v>269356637</v>
      </c>
      <c r="F260" s="1075">
        <v>263656004</v>
      </c>
      <c r="G260" s="1073">
        <v>363072214</v>
      </c>
      <c r="H260" s="1073">
        <v>360060599</v>
      </c>
      <c r="I260" s="1073">
        <v>272557525</v>
      </c>
      <c r="J260" s="1077">
        <v>266856892</v>
      </c>
      <c r="K260" s="1075">
        <v>269356637</v>
      </c>
      <c r="L260" s="1075">
        <v>263656004</v>
      </c>
    </row>
    <row r="261" spans="1:12">
      <c r="A261" t="s">
        <v>2149</v>
      </c>
      <c r="B261" s="31" t="s">
        <v>2151</v>
      </c>
      <c r="C261" s="1075">
        <v>538554943</v>
      </c>
      <c r="D261" s="1075">
        <v>528422803</v>
      </c>
      <c r="E261" s="1075">
        <v>538554943</v>
      </c>
      <c r="F261" s="1075">
        <v>528422803</v>
      </c>
      <c r="G261" s="1073">
        <v>619228196</v>
      </c>
      <c r="H261" s="1073">
        <v>619228196</v>
      </c>
      <c r="I261" s="1073">
        <v>538554943</v>
      </c>
      <c r="J261" s="1077">
        <v>528422803</v>
      </c>
      <c r="K261" s="1075">
        <v>538554943</v>
      </c>
      <c r="L261" s="1075">
        <v>528422803</v>
      </c>
    </row>
    <row r="262" spans="1:12">
      <c r="A262" t="s">
        <v>2297</v>
      </c>
      <c r="B262" s="31" t="s">
        <v>1962</v>
      </c>
      <c r="C262" s="1075">
        <v>473544679</v>
      </c>
      <c r="D262" s="1075">
        <v>459030229</v>
      </c>
      <c r="E262" s="1075">
        <v>473544679</v>
      </c>
      <c r="F262" s="1075">
        <v>459030229</v>
      </c>
      <c r="G262" s="1073">
        <v>454733784</v>
      </c>
      <c r="H262" s="1073">
        <v>454733784</v>
      </c>
      <c r="I262" s="1073">
        <v>473544679</v>
      </c>
      <c r="J262" s="1077">
        <v>459030229</v>
      </c>
      <c r="K262" s="1075">
        <v>473544679</v>
      </c>
      <c r="L262" s="1075">
        <v>459030229</v>
      </c>
    </row>
    <row r="263" spans="1:12">
      <c r="A263" t="s">
        <v>1788</v>
      </c>
      <c r="B263" s="31" t="s">
        <v>1963</v>
      </c>
      <c r="C263" s="1075">
        <v>112387864</v>
      </c>
      <c r="D263" s="1075">
        <v>108897607</v>
      </c>
      <c r="E263" s="1075">
        <v>112387864</v>
      </c>
      <c r="F263" s="1075">
        <v>108897607</v>
      </c>
      <c r="G263" s="1073">
        <v>115053254</v>
      </c>
      <c r="H263" s="1073">
        <v>115053254</v>
      </c>
      <c r="I263" s="1073">
        <v>112387864</v>
      </c>
      <c r="J263" s="1077">
        <v>108897607</v>
      </c>
      <c r="K263" s="1075">
        <v>112387864</v>
      </c>
      <c r="L263" s="1075">
        <v>108897607</v>
      </c>
    </row>
    <row r="264" spans="1:12">
      <c r="A264" t="s">
        <v>616</v>
      </c>
      <c r="B264" s="31" t="s">
        <v>1964</v>
      </c>
      <c r="C264" s="1075">
        <v>124703354</v>
      </c>
      <c r="D264" s="1075">
        <v>120576484</v>
      </c>
      <c r="E264" s="1075">
        <v>124703354</v>
      </c>
      <c r="F264" s="1075">
        <v>120576484</v>
      </c>
      <c r="G264" s="1073">
        <v>106028640</v>
      </c>
      <c r="H264" s="1073">
        <v>106028640</v>
      </c>
      <c r="I264" s="1073">
        <v>124703354</v>
      </c>
      <c r="J264" s="1077">
        <v>120576484</v>
      </c>
      <c r="K264" s="1075">
        <v>124703354</v>
      </c>
      <c r="L264" s="1075">
        <v>120576484</v>
      </c>
    </row>
    <row r="265" spans="1:12">
      <c r="A265" t="s">
        <v>918</v>
      </c>
      <c r="B265" s="31" t="s">
        <v>1965</v>
      </c>
      <c r="C265" s="1075">
        <v>49064338</v>
      </c>
      <c r="D265" s="1075">
        <v>46364078</v>
      </c>
      <c r="E265" s="1075">
        <v>49064338</v>
      </c>
      <c r="F265" s="1075">
        <v>46364078</v>
      </c>
      <c r="G265" s="1073">
        <v>44739216</v>
      </c>
      <c r="H265" s="1073">
        <v>44739216</v>
      </c>
      <c r="I265" s="1073">
        <v>49064338</v>
      </c>
      <c r="J265" s="1077">
        <v>46364078</v>
      </c>
      <c r="K265" s="1075">
        <v>49064338</v>
      </c>
      <c r="L265" s="1075">
        <v>46364078</v>
      </c>
    </row>
    <row r="266" spans="1:12">
      <c r="A266" t="s">
        <v>2132</v>
      </c>
      <c r="B266" s="31" t="s">
        <v>1966</v>
      </c>
      <c r="C266" s="1075">
        <v>12585471099</v>
      </c>
      <c r="D266" s="1075">
        <v>12328544880</v>
      </c>
      <c r="E266" s="1075">
        <v>12201318857</v>
      </c>
      <c r="F266" s="1075">
        <v>11944392638</v>
      </c>
      <c r="G266" s="1073">
        <v>15280886701</v>
      </c>
      <c r="H266" s="1073">
        <v>14931889394</v>
      </c>
      <c r="I266" s="1073">
        <v>12585471099</v>
      </c>
      <c r="J266" s="1077">
        <v>12328544880</v>
      </c>
      <c r="K266" s="1075">
        <v>12201318857</v>
      </c>
      <c r="L266" s="1075">
        <v>11944392638</v>
      </c>
    </row>
    <row r="267" spans="1:12">
      <c r="A267" t="s">
        <v>2581</v>
      </c>
      <c r="B267" s="31" t="s">
        <v>1967</v>
      </c>
      <c r="C267" s="1075">
        <v>297670537</v>
      </c>
      <c r="D267" s="1075">
        <v>294717273</v>
      </c>
      <c r="E267" s="1075">
        <v>297670537</v>
      </c>
      <c r="F267" s="1075">
        <v>294717273</v>
      </c>
      <c r="G267" s="1073">
        <v>322900813</v>
      </c>
      <c r="H267" s="1073">
        <v>322900813</v>
      </c>
      <c r="I267" s="1073">
        <v>297670537</v>
      </c>
      <c r="J267" s="1077">
        <v>294717273</v>
      </c>
      <c r="K267" s="1075">
        <v>297670537</v>
      </c>
      <c r="L267" s="1075">
        <v>294717273</v>
      </c>
    </row>
    <row r="268" spans="1:12">
      <c r="A268" t="s">
        <v>2393</v>
      </c>
      <c r="B268" s="31" t="s">
        <v>1968</v>
      </c>
      <c r="C268" s="1075">
        <v>229699355</v>
      </c>
      <c r="D268" s="1075">
        <v>225521316</v>
      </c>
      <c r="E268" s="1075">
        <v>229699355</v>
      </c>
      <c r="F268" s="1075">
        <v>225521316</v>
      </c>
      <c r="G268" s="1073">
        <v>228138818</v>
      </c>
      <c r="H268" s="1073">
        <v>228138818</v>
      </c>
      <c r="I268" s="1073">
        <v>229699355</v>
      </c>
      <c r="J268" s="1077">
        <v>225521316</v>
      </c>
      <c r="K268" s="1075">
        <v>229699355</v>
      </c>
      <c r="L268" s="1075">
        <v>225521316</v>
      </c>
    </row>
    <row r="269" spans="1:12">
      <c r="A269" t="s">
        <v>246</v>
      </c>
      <c r="B269" s="31" t="s">
        <v>2117</v>
      </c>
      <c r="C269" s="1075">
        <v>38013253</v>
      </c>
      <c r="D269" s="1075">
        <v>36627860</v>
      </c>
      <c r="E269" s="1075">
        <v>38013253</v>
      </c>
      <c r="F269" s="1075">
        <v>36627860</v>
      </c>
      <c r="G269" s="1073">
        <v>36314498</v>
      </c>
      <c r="H269" s="1073">
        <v>36314498</v>
      </c>
      <c r="I269" s="1073">
        <v>38013253</v>
      </c>
      <c r="J269" s="1077">
        <v>36627860</v>
      </c>
      <c r="K269" s="1075">
        <v>38013253</v>
      </c>
      <c r="L269" s="1075">
        <v>36627860</v>
      </c>
    </row>
    <row r="270" spans="1:12">
      <c r="A270" t="s">
        <v>1405</v>
      </c>
      <c r="B270" s="31" t="s">
        <v>1969</v>
      </c>
      <c r="C270" s="1075">
        <v>1921503922</v>
      </c>
      <c r="D270" s="1075">
        <v>1875991727</v>
      </c>
      <c r="E270" s="1075">
        <v>1921503922</v>
      </c>
      <c r="F270" s="1075">
        <v>1875991727</v>
      </c>
      <c r="G270" s="1073">
        <v>1774754612</v>
      </c>
      <c r="H270" s="1073">
        <v>1774754612</v>
      </c>
      <c r="I270" s="1073">
        <v>1921503922</v>
      </c>
      <c r="J270" s="1077">
        <v>1875991727</v>
      </c>
      <c r="K270" s="1075">
        <v>1921503922</v>
      </c>
      <c r="L270" s="1075">
        <v>1875991727</v>
      </c>
    </row>
    <row r="271" spans="1:12">
      <c r="A271" t="s">
        <v>1406</v>
      </c>
      <c r="B271" s="31" t="s">
        <v>1970</v>
      </c>
      <c r="C271" s="1075">
        <v>335113874</v>
      </c>
      <c r="D271" s="1075">
        <v>318868594</v>
      </c>
      <c r="E271" s="1075">
        <v>335113874</v>
      </c>
      <c r="F271" s="1075">
        <v>318868594</v>
      </c>
      <c r="G271" s="1073">
        <v>313570993</v>
      </c>
      <c r="H271" s="1073">
        <v>313570993</v>
      </c>
      <c r="I271" s="1073">
        <v>335113874</v>
      </c>
      <c r="J271" s="1077">
        <v>318868594</v>
      </c>
      <c r="K271" s="1075">
        <v>335113874</v>
      </c>
      <c r="L271" s="1075">
        <v>318868594</v>
      </c>
    </row>
    <row r="272" spans="1:12">
      <c r="A272" t="s">
        <v>720</v>
      </c>
      <c r="B272" s="31" t="s">
        <v>1270</v>
      </c>
      <c r="C272" s="1075">
        <v>112623038</v>
      </c>
      <c r="D272" s="1075">
        <v>107297898</v>
      </c>
      <c r="E272" s="1075">
        <v>112623038</v>
      </c>
      <c r="F272" s="1075">
        <v>107297898</v>
      </c>
      <c r="G272" s="1073">
        <v>98044103</v>
      </c>
      <c r="H272" s="1073">
        <v>98044103</v>
      </c>
      <c r="I272" s="1073">
        <v>112623038</v>
      </c>
      <c r="J272" s="1077">
        <v>107297898</v>
      </c>
      <c r="K272" s="1075">
        <v>112623038</v>
      </c>
      <c r="L272" s="1075">
        <v>107297898</v>
      </c>
    </row>
    <row r="273" spans="1:12">
      <c r="A273" t="s">
        <v>1401</v>
      </c>
      <c r="B273" s="31" t="s">
        <v>1971</v>
      </c>
      <c r="C273" s="1075">
        <v>3560604179</v>
      </c>
      <c r="D273" s="1075">
        <v>3466925920</v>
      </c>
      <c r="E273" s="1075">
        <v>3454780757</v>
      </c>
      <c r="F273" s="1075">
        <v>3361102498</v>
      </c>
      <c r="G273" s="1073">
        <v>2987022280</v>
      </c>
      <c r="H273" s="1073">
        <v>2896286132</v>
      </c>
      <c r="I273" s="1073">
        <v>3560604179</v>
      </c>
      <c r="J273" s="1077">
        <v>3466925920</v>
      </c>
      <c r="K273" s="1075">
        <v>3454780757</v>
      </c>
      <c r="L273" s="1075">
        <v>3361102498</v>
      </c>
    </row>
    <row r="274" spans="1:12">
      <c r="A274" t="s">
        <v>932</v>
      </c>
      <c r="B274" s="31" t="s">
        <v>1972</v>
      </c>
      <c r="C274" s="1075">
        <v>79196235</v>
      </c>
      <c r="D274" s="1075">
        <v>77049166</v>
      </c>
      <c r="E274" s="1075">
        <v>79196235</v>
      </c>
      <c r="F274" s="1075">
        <v>77049166</v>
      </c>
      <c r="G274" s="1073">
        <v>78799852</v>
      </c>
      <c r="H274" s="1073">
        <v>78799852</v>
      </c>
      <c r="I274" s="1073">
        <v>79196235</v>
      </c>
      <c r="J274" s="1077">
        <v>77049166</v>
      </c>
      <c r="K274" s="1075">
        <v>79196235</v>
      </c>
      <c r="L274" s="1075">
        <v>77049166</v>
      </c>
    </row>
    <row r="275" spans="1:12">
      <c r="A275" t="s">
        <v>247</v>
      </c>
      <c r="B275" s="31" t="s">
        <v>1363</v>
      </c>
      <c r="C275" s="1075">
        <v>241813801</v>
      </c>
      <c r="D275" s="1075">
        <v>230928626</v>
      </c>
      <c r="E275" s="1075">
        <v>241813801</v>
      </c>
      <c r="F275" s="1075">
        <v>230928626</v>
      </c>
      <c r="G275" s="1073">
        <v>216969036</v>
      </c>
      <c r="H275" s="1073">
        <v>216969036</v>
      </c>
      <c r="I275" s="1073">
        <v>241813801</v>
      </c>
      <c r="J275" s="1077">
        <v>230928626</v>
      </c>
      <c r="K275" s="1075">
        <v>241813801</v>
      </c>
      <c r="L275" s="1075">
        <v>230928626</v>
      </c>
    </row>
    <row r="276" spans="1:12">
      <c r="A276" t="s">
        <v>2084</v>
      </c>
      <c r="B276" s="31" t="s">
        <v>79</v>
      </c>
      <c r="C276" s="1075">
        <v>1552472316</v>
      </c>
      <c r="D276" s="1075">
        <v>1490766885</v>
      </c>
      <c r="E276" s="1075">
        <v>1552472316</v>
      </c>
      <c r="F276" s="1075">
        <v>1490766885</v>
      </c>
      <c r="G276" s="1073">
        <v>1386194065</v>
      </c>
      <c r="H276" s="1073">
        <v>1386194065</v>
      </c>
      <c r="I276" s="1073">
        <v>1601588856</v>
      </c>
      <c r="J276" s="1077">
        <v>1539883425</v>
      </c>
      <c r="K276" s="1075">
        <v>1601588856</v>
      </c>
      <c r="L276" s="1075">
        <v>1539883425</v>
      </c>
    </row>
    <row r="277" spans="1:12">
      <c r="A277" t="s">
        <v>343</v>
      </c>
      <c r="B277" s="31" t="s">
        <v>139</v>
      </c>
      <c r="C277" s="1075">
        <v>3409459375</v>
      </c>
      <c r="D277" s="1075">
        <v>3319576781</v>
      </c>
      <c r="E277" s="1075">
        <v>3409459375</v>
      </c>
      <c r="F277" s="1075">
        <v>3319576781</v>
      </c>
      <c r="G277" s="1073">
        <v>3000212327</v>
      </c>
      <c r="H277" s="1073">
        <v>3000212327</v>
      </c>
      <c r="I277" s="1073">
        <v>3409459375</v>
      </c>
      <c r="J277" s="1077">
        <v>3319576781</v>
      </c>
      <c r="K277" s="1075">
        <v>3409459375</v>
      </c>
      <c r="L277" s="1075">
        <v>3319576781</v>
      </c>
    </row>
    <row r="278" spans="1:12">
      <c r="A278" t="s">
        <v>721</v>
      </c>
      <c r="B278" s="31" t="s">
        <v>1992</v>
      </c>
      <c r="C278" s="1075">
        <v>298265685</v>
      </c>
      <c r="D278" s="1075">
        <v>287593029</v>
      </c>
      <c r="E278" s="1075">
        <v>298265685</v>
      </c>
      <c r="F278" s="1075">
        <v>287593029</v>
      </c>
      <c r="G278" s="1073">
        <v>271331150</v>
      </c>
      <c r="H278" s="1073">
        <v>271331150</v>
      </c>
      <c r="I278" s="1073">
        <v>298265685</v>
      </c>
      <c r="J278" s="1077">
        <v>287593029</v>
      </c>
      <c r="K278" s="1075">
        <v>298265685</v>
      </c>
      <c r="L278" s="1075">
        <v>287593029</v>
      </c>
    </row>
    <row r="279" spans="1:12">
      <c r="A279" t="s">
        <v>576</v>
      </c>
      <c r="B279" s="31" t="s">
        <v>1166</v>
      </c>
      <c r="C279" s="1075">
        <v>1119067888</v>
      </c>
      <c r="D279" s="1075">
        <v>1058830350</v>
      </c>
      <c r="E279" s="1075">
        <v>1119067888</v>
      </c>
      <c r="F279" s="1075">
        <v>1058830350</v>
      </c>
      <c r="G279" s="1073">
        <v>1043204314</v>
      </c>
      <c r="H279" s="1073">
        <v>1043204314</v>
      </c>
      <c r="I279" s="1073">
        <v>1119067888</v>
      </c>
      <c r="J279" s="1077">
        <v>1058830350</v>
      </c>
      <c r="K279" s="1075">
        <v>1119067888</v>
      </c>
      <c r="L279" s="1075">
        <v>1058830350</v>
      </c>
    </row>
    <row r="280" spans="1:12">
      <c r="A280" t="s">
        <v>2413</v>
      </c>
      <c r="B280" s="31" t="s">
        <v>1973</v>
      </c>
      <c r="C280" s="1075">
        <v>16331066551</v>
      </c>
      <c r="D280" s="1075">
        <v>15781063249</v>
      </c>
      <c r="E280" s="1075">
        <v>16331066551</v>
      </c>
      <c r="F280" s="1075">
        <v>15781063249</v>
      </c>
      <c r="G280" s="1073">
        <v>15835167752</v>
      </c>
      <c r="H280" s="1073">
        <v>15835167752</v>
      </c>
      <c r="I280" s="1073">
        <v>16331066551</v>
      </c>
      <c r="J280" s="1077">
        <v>15781063249</v>
      </c>
      <c r="K280" s="1075">
        <v>16331066551</v>
      </c>
      <c r="L280" s="1075">
        <v>15781063249</v>
      </c>
    </row>
    <row r="281" spans="1:12">
      <c r="A281" t="s">
        <v>775</v>
      </c>
      <c r="B281" s="31" t="s">
        <v>892</v>
      </c>
      <c r="C281" s="1075">
        <v>166108166</v>
      </c>
      <c r="D281" s="1075">
        <v>158173374</v>
      </c>
      <c r="E281" s="1075">
        <v>166108166</v>
      </c>
      <c r="F281" s="1075">
        <v>158173374</v>
      </c>
      <c r="G281" s="1073">
        <v>160551583</v>
      </c>
      <c r="H281" s="1073">
        <v>160551583</v>
      </c>
      <c r="I281" s="1073">
        <v>166108166</v>
      </c>
      <c r="J281" s="1077">
        <v>158173374</v>
      </c>
      <c r="K281" s="1075">
        <v>166108166</v>
      </c>
      <c r="L281" s="1075">
        <v>158173374</v>
      </c>
    </row>
    <row r="282" spans="1:12">
      <c r="A282" t="s">
        <v>184</v>
      </c>
      <c r="B282" s="31" t="s">
        <v>2031</v>
      </c>
      <c r="C282" s="1075">
        <v>225056881</v>
      </c>
      <c r="D282" s="1075">
        <v>212427155</v>
      </c>
      <c r="E282" s="1075">
        <v>225056881</v>
      </c>
      <c r="F282" s="1075">
        <v>212427155</v>
      </c>
      <c r="G282" s="1073">
        <v>194967915</v>
      </c>
      <c r="H282" s="1073">
        <v>194967915</v>
      </c>
      <c r="I282" s="1073">
        <v>225056881</v>
      </c>
      <c r="J282" s="1077">
        <v>212427155</v>
      </c>
      <c r="K282" s="1075">
        <v>225056881</v>
      </c>
      <c r="L282" s="1075">
        <v>212427155</v>
      </c>
    </row>
    <row r="283" spans="1:12">
      <c r="A283" t="s">
        <v>1186</v>
      </c>
      <c r="B283" s="31" t="s">
        <v>760</v>
      </c>
      <c r="C283" s="1075">
        <v>7187392474</v>
      </c>
      <c r="D283" s="1075">
        <v>6827195892</v>
      </c>
      <c r="E283" s="1075">
        <v>6804456993</v>
      </c>
      <c r="F283" s="1075">
        <v>6444260411</v>
      </c>
      <c r="G283" s="1073">
        <v>6839522537</v>
      </c>
      <c r="H283" s="1073">
        <v>6434387025</v>
      </c>
      <c r="I283" s="1073">
        <v>7187392474</v>
      </c>
      <c r="J283" s="1077">
        <v>6827195892</v>
      </c>
      <c r="K283" s="1075">
        <v>6804456993</v>
      </c>
      <c r="L283" s="1075">
        <v>6444260411</v>
      </c>
    </row>
    <row r="284" spans="1:12">
      <c r="A284" t="s">
        <v>2098</v>
      </c>
      <c r="B284" s="31" t="s">
        <v>132</v>
      </c>
      <c r="C284" s="1075">
        <v>191175089</v>
      </c>
      <c r="D284" s="1075">
        <v>184377771</v>
      </c>
      <c r="E284" s="1075">
        <v>191175089</v>
      </c>
      <c r="F284" s="1075">
        <v>184377771</v>
      </c>
      <c r="G284" s="1073">
        <v>178335822</v>
      </c>
      <c r="H284" s="1073">
        <v>178335822</v>
      </c>
      <c r="I284" s="1073">
        <v>191175089</v>
      </c>
      <c r="J284" s="1077">
        <v>184377771</v>
      </c>
      <c r="K284" s="1075">
        <v>191175089</v>
      </c>
      <c r="L284" s="1075">
        <v>184377771</v>
      </c>
    </row>
    <row r="285" spans="1:12">
      <c r="A285" t="s">
        <v>1888</v>
      </c>
      <c r="B285" s="31" t="s">
        <v>653</v>
      </c>
      <c r="C285" s="1075">
        <v>1905597678</v>
      </c>
      <c r="D285" s="1075">
        <v>1855099918</v>
      </c>
      <c r="E285" s="1075">
        <v>1905597678</v>
      </c>
      <c r="F285" s="1075">
        <v>1855099918</v>
      </c>
      <c r="G285" s="1073">
        <v>1666600210</v>
      </c>
      <c r="H285" s="1073">
        <v>1666600210</v>
      </c>
      <c r="I285" s="1073">
        <v>1905597678</v>
      </c>
      <c r="J285" s="1077">
        <v>1855099918</v>
      </c>
      <c r="K285" s="1075">
        <v>1905597678</v>
      </c>
      <c r="L285" s="1075">
        <v>1855099918</v>
      </c>
    </row>
    <row r="286" spans="1:12">
      <c r="A286" t="s">
        <v>1517</v>
      </c>
      <c r="B286" s="31" t="s">
        <v>606</v>
      </c>
      <c r="C286" s="1075">
        <v>68888834</v>
      </c>
      <c r="D286" s="1075">
        <v>67070931</v>
      </c>
      <c r="E286" s="1075">
        <v>68888834</v>
      </c>
      <c r="F286" s="1075">
        <v>67070931</v>
      </c>
      <c r="G286" s="1073">
        <v>62492774</v>
      </c>
      <c r="H286" s="1073">
        <v>62492774</v>
      </c>
      <c r="I286" s="1073">
        <v>68888834</v>
      </c>
      <c r="J286" s="1077">
        <v>67070931</v>
      </c>
      <c r="K286" s="1075">
        <v>68888834</v>
      </c>
      <c r="L286" s="1075">
        <v>67070931</v>
      </c>
    </row>
    <row r="287" spans="1:12">
      <c r="A287" t="s">
        <v>1151</v>
      </c>
      <c r="B287" s="31" t="s">
        <v>1930</v>
      </c>
      <c r="C287" s="1075">
        <v>9340488830</v>
      </c>
      <c r="D287" s="1075">
        <v>8940898471</v>
      </c>
      <c r="E287" s="1075">
        <v>9340488830</v>
      </c>
      <c r="F287" s="1075">
        <v>8940898471</v>
      </c>
      <c r="G287" s="1073">
        <v>8512919463</v>
      </c>
      <c r="H287" s="1073">
        <v>8512919463</v>
      </c>
      <c r="I287" s="1073">
        <v>9340488830</v>
      </c>
      <c r="J287" s="1077">
        <v>8940898471</v>
      </c>
      <c r="K287" s="1075">
        <v>9340488830</v>
      </c>
      <c r="L287" s="1075">
        <v>8940898471</v>
      </c>
    </row>
    <row r="288" spans="1:12">
      <c r="A288" t="s">
        <v>2414</v>
      </c>
      <c r="B288" s="31" t="s">
        <v>1974</v>
      </c>
      <c r="C288" s="1075">
        <v>47377731</v>
      </c>
      <c r="D288" s="1075">
        <v>46084661</v>
      </c>
      <c r="E288" s="1075">
        <v>47377731</v>
      </c>
      <c r="F288" s="1075">
        <v>46084661</v>
      </c>
      <c r="G288" s="1073">
        <v>46897128</v>
      </c>
      <c r="H288" s="1073">
        <v>46897128</v>
      </c>
      <c r="I288" s="1073">
        <v>47377731</v>
      </c>
      <c r="J288" s="1077">
        <v>46084661</v>
      </c>
      <c r="K288" s="1075">
        <v>47377731</v>
      </c>
      <c r="L288" s="1075">
        <v>46084661</v>
      </c>
    </row>
    <row r="289" spans="1:12">
      <c r="A289" t="s">
        <v>2415</v>
      </c>
      <c r="B289" s="31" t="s">
        <v>1975</v>
      </c>
      <c r="C289" s="1075">
        <v>299821761</v>
      </c>
      <c r="D289" s="1075">
        <v>286911223</v>
      </c>
      <c r="E289" s="1075">
        <v>299821761</v>
      </c>
      <c r="F289" s="1075">
        <v>286911223</v>
      </c>
      <c r="G289" s="1073">
        <v>279903194</v>
      </c>
      <c r="H289" s="1073">
        <v>279903194</v>
      </c>
      <c r="I289" s="1073">
        <v>299821761</v>
      </c>
      <c r="J289" s="1077">
        <v>286911223</v>
      </c>
      <c r="K289" s="1075">
        <v>299821761</v>
      </c>
      <c r="L289" s="1075">
        <v>286911223</v>
      </c>
    </row>
    <row r="290" spans="1:12">
      <c r="A290" t="s">
        <v>1511</v>
      </c>
      <c r="B290" s="31" t="s">
        <v>2099</v>
      </c>
      <c r="C290" s="1075">
        <v>1555224059</v>
      </c>
      <c r="D290" s="1075">
        <v>1513391310</v>
      </c>
      <c r="E290" s="1075">
        <v>1555224059</v>
      </c>
      <c r="F290" s="1075">
        <v>1513391310</v>
      </c>
      <c r="G290" s="1073">
        <v>1462805195</v>
      </c>
      <c r="H290" s="1073">
        <v>1462805195</v>
      </c>
      <c r="I290" s="1073">
        <v>1555224059</v>
      </c>
      <c r="J290" s="1077">
        <v>1513391310</v>
      </c>
      <c r="K290" s="1075">
        <v>1555224059</v>
      </c>
      <c r="L290" s="1075">
        <v>1513391310</v>
      </c>
    </row>
    <row r="291" spans="1:12">
      <c r="A291" t="s">
        <v>1830</v>
      </c>
      <c r="B291" s="31" t="s">
        <v>1976</v>
      </c>
      <c r="C291" s="1075">
        <v>131213723</v>
      </c>
      <c r="D291" s="1075">
        <v>128423143</v>
      </c>
      <c r="E291" s="1075">
        <v>131213723</v>
      </c>
      <c r="F291" s="1075">
        <v>128423143</v>
      </c>
      <c r="G291" s="1073">
        <v>123943284</v>
      </c>
      <c r="H291" s="1073">
        <v>123943284</v>
      </c>
      <c r="I291" s="1073">
        <v>131213723</v>
      </c>
      <c r="J291" s="1077">
        <v>128423143</v>
      </c>
      <c r="K291" s="1075">
        <v>131213723</v>
      </c>
      <c r="L291" s="1075">
        <v>128423143</v>
      </c>
    </row>
    <row r="292" spans="1:12">
      <c r="A292" t="s">
        <v>1831</v>
      </c>
      <c r="B292" s="31" t="s">
        <v>1977</v>
      </c>
      <c r="C292" s="1075">
        <v>137277340</v>
      </c>
      <c r="D292" s="1075">
        <v>133939652</v>
      </c>
      <c r="E292" s="1075">
        <v>137277340</v>
      </c>
      <c r="F292" s="1075">
        <v>133939652</v>
      </c>
      <c r="G292" s="1073">
        <v>122505564</v>
      </c>
      <c r="H292" s="1073">
        <v>122505564</v>
      </c>
      <c r="I292" s="1073">
        <v>137277340</v>
      </c>
      <c r="J292" s="1077">
        <v>133939652</v>
      </c>
      <c r="K292" s="1075">
        <v>137277340</v>
      </c>
      <c r="L292" s="1075">
        <v>133939652</v>
      </c>
    </row>
    <row r="293" spans="1:12">
      <c r="A293" t="s">
        <v>1232</v>
      </c>
      <c r="B293" s="31" t="s">
        <v>2468</v>
      </c>
      <c r="C293" s="1075">
        <v>86695242</v>
      </c>
      <c r="D293" s="1075">
        <v>84334582</v>
      </c>
      <c r="E293" s="1075">
        <v>86695242</v>
      </c>
      <c r="F293" s="1075">
        <v>84334582</v>
      </c>
      <c r="G293" s="1073">
        <v>94312367</v>
      </c>
      <c r="H293" s="1073">
        <v>94312367</v>
      </c>
      <c r="I293" s="1073">
        <v>117459332</v>
      </c>
      <c r="J293" s="1077">
        <v>115098672</v>
      </c>
      <c r="K293" s="1075">
        <v>117459332</v>
      </c>
      <c r="L293" s="1075">
        <v>115098672</v>
      </c>
    </row>
    <row r="294" spans="1:12">
      <c r="A294" t="s">
        <v>1832</v>
      </c>
      <c r="B294" s="31" t="s">
        <v>1978</v>
      </c>
      <c r="C294" s="1075">
        <v>118645933</v>
      </c>
      <c r="D294" s="1075">
        <v>116165853</v>
      </c>
      <c r="E294" s="1075">
        <v>118645933</v>
      </c>
      <c r="F294" s="1075">
        <v>116165853</v>
      </c>
      <c r="G294" s="1073">
        <v>80820037</v>
      </c>
      <c r="H294" s="1073">
        <v>80820037</v>
      </c>
      <c r="I294" s="1073">
        <v>118645933</v>
      </c>
      <c r="J294" s="1077">
        <v>116165853</v>
      </c>
      <c r="K294" s="1075">
        <v>118645933</v>
      </c>
      <c r="L294" s="1075">
        <v>116165853</v>
      </c>
    </row>
    <row r="295" spans="1:12">
      <c r="A295" t="s">
        <v>201</v>
      </c>
      <c r="B295" s="31" t="s">
        <v>1035</v>
      </c>
      <c r="C295" s="1075">
        <v>63864627</v>
      </c>
      <c r="D295" s="1075">
        <v>60647495</v>
      </c>
      <c r="E295" s="1075">
        <v>63864627</v>
      </c>
      <c r="F295" s="1075">
        <v>60647495</v>
      </c>
      <c r="G295" s="1073">
        <v>60305171</v>
      </c>
      <c r="H295" s="1073">
        <v>60305171</v>
      </c>
      <c r="I295" s="1073">
        <v>63864627</v>
      </c>
      <c r="J295" s="1077">
        <v>60647495</v>
      </c>
      <c r="K295" s="1075">
        <v>63864627</v>
      </c>
      <c r="L295" s="1075">
        <v>60647495</v>
      </c>
    </row>
    <row r="296" spans="1:12">
      <c r="A296" t="s">
        <v>1834</v>
      </c>
      <c r="B296" s="31" t="s">
        <v>2063</v>
      </c>
      <c r="C296" s="1075">
        <v>253905299</v>
      </c>
      <c r="D296" s="1075">
        <v>242307774</v>
      </c>
      <c r="E296" s="1075">
        <v>253905299</v>
      </c>
      <c r="F296" s="1075">
        <v>242307774</v>
      </c>
      <c r="G296" s="1073">
        <v>230093838</v>
      </c>
      <c r="H296" s="1073">
        <v>230093838</v>
      </c>
      <c r="I296" s="1073">
        <v>253905299</v>
      </c>
      <c r="J296" s="1077">
        <v>242307774</v>
      </c>
      <c r="K296" s="1075">
        <v>253905299</v>
      </c>
      <c r="L296" s="1075">
        <v>242307774</v>
      </c>
    </row>
    <row r="297" spans="1:12">
      <c r="A297" t="s">
        <v>1842</v>
      </c>
      <c r="B297" s="31" t="s">
        <v>1332</v>
      </c>
      <c r="C297" s="1075">
        <v>20549406</v>
      </c>
      <c r="D297" s="1075">
        <v>19436994</v>
      </c>
      <c r="E297" s="1075">
        <v>20549406</v>
      </c>
      <c r="F297" s="1075">
        <v>19436994</v>
      </c>
      <c r="G297" s="1073">
        <v>16280935</v>
      </c>
      <c r="H297" s="1073">
        <v>16280935</v>
      </c>
      <c r="I297" s="1073">
        <v>20549406</v>
      </c>
      <c r="J297" s="1077">
        <v>19436994</v>
      </c>
      <c r="K297" s="1075">
        <v>20549406</v>
      </c>
      <c r="L297" s="1075">
        <v>19436994</v>
      </c>
    </row>
    <row r="298" spans="1:12">
      <c r="A298" t="s">
        <v>202</v>
      </c>
      <c r="B298" s="31" t="s">
        <v>1980</v>
      </c>
      <c r="C298" s="1075">
        <v>201456534</v>
      </c>
      <c r="D298" s="1075">
        <v>192899888</v>
      </c>
      <c r="E298" s="1075">
        <v>201456534</v>
      </c>
      <c r="F298" s="1075">
        <v>192899888</v>
      </c>
      <c r="G298" s="1073">
        <v>146336955</v>
      </c>
      <c r="H298" s="1073">
        <v>146336955</v>
      </c>
      <c r="I298" s="1073">
        <v>201456534</v>
      </c>
      <c r="J298" s="1077">
        <v>192899888</v>
      </c>
      <c r="K298" s="1075">
        <v>201456534</v>
      </c>
      <c r="L298" s="1075">
        <v>192899888</v>
      </c>
    </row>
    <row r="299" spans="1:12">
      <c r="A299" t="s">
        <v>203</v>
      </c>
      <c r="B299" s="31" t="s">
        <v>1</v>
      </c>
      <c r="C299" s="1075">
        <v>644791344</v>
      </c>
      <c r="D299" s="1075">
        <v>614532908</v>
      </c>
      <c r="E299" s="1075">
        <v>644791344</v>
      </c>
      <c r="F299" s="1075">
        <v>614532908</v>
      </c>
      <c r="G299" s="1073">
        <v>571606237</v>
      </c>
      <c r="H299" s="1073">
        <v>571606237</v>
      </c>
      <c r="I299" s="1073">
        <v>644791344</v>
      </c>
      <c r="J299" s="1077">
        <v>614532908</v>
      </c>
      <c r="K299" s="1075">
        <v>644791344</v>
      </c>
      <c r="L299" s="1075">
        <v>614532908</v>
      </c>
    </row>
    <row r="300" spans="1:12">
      <c r="A300" t="s">
        <v>1233</v>
      </c>
      <c r="B300" s="31" t="s">
        <v>2180</v>
      </c>
      <c r="C300" s="1075">
        <v>47892677</v>
      </c>
      <c r="D300" s="1075">
        <v>44950981</v>
      </c>
      <c r="E300" s="1075">
        <v>47892677</v>
      </c>
      <c r="F300" s="1075">
        <v>44950981</v>
      </c>
      <c r="G300" s="1073">
        <v>40310330</v>
      </c>
      <c r="H300" s="1073">
        <v>40310330</v>
      </c>
      <c r="I300" s="1073">
        <v>47892677</v>
      </c>
      <c r="J300" s="1077">
        <v>44950981</v>
      </c>
      <c r="K300" s="1075">
        <v>47892677</v>
      </c>
      <c r="L300" s="1075">
        <v>44950981</v>
      </c>
    </row>
    <row r="301" spans="1:12">
      <c r="A301" t="s">
        <v>722</v>
      </c>
      <c r="B301" s="31" t="s">
        <v>1065</v>
      </c>
      <c r="C301" s="1075">
        <v>44001215</v>
      </c>
      <c r="D301" s="1075">
        <v>41667581</v>
      </c>
      <c r="E301" s="1075">
        <v>44001215</v>
      </c>
      <c r="F301" s="1075">
        <v>41667581</v>
      </c>
      <c r="G301" s="1073">
        <v>37733267</v>
      </c>
      <c r="H301" s="1073">
        <v>37733267</v>
      </c>
      <c r="I301" s="1073">
        <v>44001215</v>
      </c>
      <c r="J301" s="1077">
        <v>41667581</v>
      </c>
      <c r="K301" s="1075">
        <v>44001215</v>
      </c>
      <c r="L301" s="1075">
        <v>41667581</v>
      </c>
    </row>
    <row r="302" spans="1:12">
      <c r="A302" t="s">
        <v>204</v>
      </c>
      <c r="B302" s="31" t="s">
        <v>2</v>
      </c>
      <c r="C302" s="1075">
        <v>185884689</v>
      </c>
      <c r="D302" s="1075">
        <v>177875156</v>
      </c>
      <c r="E302" s="1075">
        <v>185884689</v>
      </c>
      <c r="F302" s="1075">
        <v>177875156</v>
      </c>
      <c r="G302" s="1073">
        <v>175487868</v>
      </c>
      <c r="H302" s="1073">
        <v>175487868</v>
      </c>
      <c r="I302" s="1073">
        <v>185884689</v>
      </c>
      <c r="J302" s="1077">
        <v>177875156</v>
      </c>
      <c r="K302" s="1075">
        <v>185884689</v>
      </c>
      <c r="L302" s="1075">
        <v>177875156</v>
      </c>
    </row>
    <row r="303" spans="1:12">
      <c r="A303" t="s">
        <v>205</v>
      </c>
      <c r="B303" s="31" t="s">
        <v>3</v>
      </c>
      <c r="C303" s="1075">
        <v>167421643</v>
      </c>
      <c r="D303" s="1075">
        <v>158944074</v>
      </c>
      <c r="E303" s="1075">
        <v>167421643</v>
      </c>
      <c r="F303" s="1075">
        <v>158944074</v>
      </c>
      <c r="G303" s="1073">
        <v>141228711</v>
      </c>
      <c r="H303" s="1073">
        <v>141228711</v>
      </c>
      <c r="I303" s="1073">
        <v>167421643</v>
      </c>
      <c r="J303" s="1077">
        <v>158944074</v>
      </c>
      <c r="K303" s="1075">
        <v>167421643</v>
      </c>
      <c r="L303" s="1075">
        <v>158944074</v>
      </c>
    </row>
    <row r="304" spans="1:12">
      <c r="A304" t="s">
        <v>1741</v>
      </c>
      <c r="B304" s="31" t="s">
        <v>4</v>
      </c>
      <c r="C304" s="1075">
        <v>90151276</v>
      </c>
      <c r="D304" s="1075">
        <v>85396297</v>
      </c>
      <c r="E304" s="1075">
        <v>90151276</v>
      </c>
      <c r="F304" s="1075">
        <v>85396297</v>
      </c>
      <c r="G304" s="1073">
        <v>81311216</v>
      </c>
      <c r="H304" s="1073">
        <v>81311216</v>
      </c>
      <c r="I304" s="1073">
        <v>90151276</v>
      </c>
      <c r="J304" s="1077">
        <v>85396297</v>
      </c>
      <c r="K304" s="1075">
        <v>90151276</v>
      </c>
      <c r="L304" s="1075">
        <v>85396297</v>
      </c>
    </row>
    <row r="305" spans="1:12">
      <c r="A305" t="s">
        <v>1742</v>
      </c>
      <c r="B305" s="31" t="s">
        <v>5</v>
      </c>
      <c r="C305" s="1075">
        <v>179002829</v>
      </c>
      <c r="D305" s="1075">
        <v>170853209</v>
      </c>
      <c r="E305" s="1075">
        <v>179002829</v>
      </c>
      <c r="F305" s="1075">
        <v>170853209</v>
      </c>
      <c r="G305" s="1073">
        <v>149414650</v>
      </c>
      <c r="H305" s="1073">
        <v>149414650</v>
      </c>
      <c r="I305" s="1073">
        <v>179002829</v>
      </c>
      <c r="J305" s="1077">
        <v>170853209</v>
      </c>
      <c r="K305" s="1075">
        <v>179002829</v>
      </c>
      <c r="L305" s="1075">
        <v>170853209</v>
      </c>
    </row>
    <row r="306" spans="1:12">
      <c r="A306" t="s">
        <v>1234</v>
      </c>
      <c r="B306" s="31" t="s">
        <v>2026</v>
      </c>
      <c r="C306" s="1075">
        <v>108916411</v>
      </c>
      <c r="D306" s="1075">
        <v>102281469</v>
      </c>
      <c r="E306" s="1075">
        <v>108916411</v>
      </c>
      <c r="F306" s="1075">
        <v>102281469</v>
      </c>
      <c r="G306" s="1073">
        <v>93554226</v>
      </c>
      <c r="H306" s="1073">
        <v>93554226</v>
      </c>
      <c r="I306" s="1073">
        <v>108916411</v>
      </c>
      <c r="J306" s="1077">
        <v>102281469</v>
      </c>
      <c r="K306" s="1075">
        <v>108916411</v>
      </c>
      <c r="L306" s="1075">
        <v>102281469</v>
      </c>
    </row>
    <row r="307" spans="1:12">
      <c r="A307" t="s">
        <v>2571</v>
      </c>
      <c r="B307" s="31" t="s">
        <v>461</v>
      </c>
      <c r="C307" s="1075">
        <v>391133848</v>
      </c>
      <c r="D307" s="1075">
        <v>382361086</v>
      </c>
      <c r="E307" s="1075">
        <v>391133848</v>
      </c>
      <c r="F307" s="1075">
        <v>382361086</v>
      </c>
      <c r="G307" s="1073">
        <v>486596684</v>
      </c>
      <c r="H307" s="1073">
        <v>486596684</v>
      </c>
      <c r="I307" s="1073">
        <v>391133848</v>
      </c>
      <c r="J307" s="1077">
        <v>382361086</v>
      </c>
      <c r="K307" s="1075">
        <v>391133848</v>
      </c>
      <c r="L307" s="1075">
        <v>382361086</v>
      </c>
    </row>
    <row r="308" spans="1:12">
      <c r="A308" t="s">
        <v>1697</v>
      </c>
      <c r="B308" s="31" t="s">
        <v>462</v>
      </c>
      <c r="C308" s="1075">
        <v>1137580519</v>
      </c>
      <c r="D308" s="1075">
        <v>1107688604</v>
      </c>
      <c r="E308" s="1075">
        <v>1137580519</v>
      </c>
      <c r="F308" s="1075">
        <v>1107688604</v>
      </c>
      <c r="G308" s="1073">
        <v>1062942339</v>
      </c>
      <c r="H308" s="1073">
        <v>1062942339</v>
      </c>
      <c r="I308" s="1073">
        <v>1137580519</v>
      </c>
      <c r="J308" s="1077">
        <v>1107688604</v>
      </c>
      <c r="K308" s="1075">
        <v>1137580519</v>
      </c>
      <c r="L308" s="1075">
        <v>1107688604</v>
      </c>
    </row>
    <row r="309" spans="1:12">
      <c r="A309" t="s">
        <v>1698</v>
      </c>
      <c r="B309" s="31" t="s">
        <v>463</v>
      </c>
      <c r="C309" s="1075">
        <v>443514496</v>
      </c>
      <c r="D309" s="1075">
        <v>430816331</v>
      </c>
      <c r="E309" s="1075">
        <v>443514496</v>
      </c>
      <c r="F309" s="1075">
        <v>430816331</v>
      </c>
      <c r="G309" s="1073">
        <v>433205544</v>
      </c>
      <c r="H309" s="1073">
        <v>433205544</v>
      </c>
      <c r="I309" s="1073">
        <v>443514496</v>
      </c>
      <c r="J309" s="1077">
        <v>430816331</v>
      </c>
      <c r="K309" s="1075">
        <v>443514496</v>
      </c>
      <c r="L309" s="1075">
        <v>430816331</v>
      </c>
    </row>
    <row r="310" spans="1:12">
      <c r="A310" t="s">
        <v>921</v>
      </c>
      <c r="B310" s="31" t="s">
        <v>464</v>
      </c>
      <c r="C310" s="1075">
        <v>188833005</v>
      </c>
      <c r="D310" s="1075">
        <v>183930070</v>
      </c>
      <c r="E310" s="1075">
        <v>188833005</v>
      </c>
      <c r="F310" s="1075">
        <v>183930070</v>
      </c>
      <c r="G310" s="1073">
        <v>174532512</v>
      </c>
      <c r="H310" s="1073">
        <v>174532512</v>
      </c>
      <c r="I310" s="1073">
        <v>188833005</v>
      </c>
      <c r="J310" s="1077">
        <v>183930070</v>
      </c>
      <c r="K310" s="1075">
        <v>188833005</v>
      </c>
      <c r="L310" s="1075">
        <v>183930070</v>
      </c>
    </row>
    <row r="311" spans="1:12">
      <c r="A311" t="s">
        <v>65</v>
      </c>
      <c r="B311" s="31" t="s">
        <v>177</v>
      </c>
      <c r="C311" s="1075">
        <v>297727632</v>
      </c>
      <c r="D311" s="1075">
        <v>291661783</v>
      </c>
      <c r="E311" s="1075">
        <v>286452715</v>
      </c>
      <c r="F311" s="1075">
        <v>280386866</v>
      </c>
      <c r="G311" s="1073">
        <v>340652514</v>
      </c>
      <c r="H311" s="1073">
        <v>330747702</v>
      </c>
      <c r="I311" s="1073">
        <v>297727632</v>
      </c>
      <c r="J311" s="1077">
        <v>291661783</v>
      </c>
      <c r="K311" s="1075">
        <v>286452715</v>
      </c>
      <c r="L311" s="1075">
        <v>280386866</v>
      </c>
    </row>
    <row r="312" spans="1:12">
      <c r="A312" t="s">
        <v>754</v>
      </c>
      <c r="B312" s="31" t="s">
        <v>1036</v>
      </c>
      <c r="C312" s="1075">
        <v>99547695</v>
      </c>
      <c r="D312" s="1075">
        <v>96443905</v>
      </c>
      <c r="E312" s="1075">
        <v>99547695</v>
      </c>
      <c r="F312" s="1075">
        <v>96443905</v>
      </c>
      <c r="G312" s="1073">
        <v>115035636</v>
      </c>
      <c r="H312" s="1073">
        <v>115035636</v>
      </c>
      <c r="I312" s="1073">
        <v>99547695</v>
      </c>
      <c r="J312" s="1077">
        <v>96443905</v>
      </c>
      <c r="K312" s="1075">
        <v>99547695</v>
      </c>
      <c r="L312" s="1075">
        <v>96443905</v>
      </c>
    </row>
    <row r="313" spans="1:12">
      <c r="A313" t="s">
        <v>2505</v>
      </c>
      <c r="B313" s="31" t="s">
        <v>610</v>
      </c>
      <c r="C313" s="1075">
        <v>121932867</v>
      </c>
      <c r="D313" s="1075">
        <v>118692367</v>
      </c>
      <c r="E313" s="1075">
        <v>121932867</v>
      </c>
      <c r="F313" s="1075">
        <v>118692367</v>
      </c>
      <c r="G313" s="1073">
        <v>119485025</v>
      </c>
      <c r="H313" s="1073">
        <v>119485025</v>
      </c>
      <c r="I313" s="1073">
        <v>146786827</v>
      </c>
      <c r="J313" s="1077">
        <v>143546327</v>
      </c>
      <c r="K313" s="1075">
        <v>146786827</v>
      </c>
      <c r="L313" s="1075">
        <v>143546327</v>
      </c>
    </row>
    <row r="314" spans="1:12">
      <c r="A314" t="s">
        <v>627</v>
      </c>
      <c r="B314" s="31" t="s">
        <v>847</v>
      </c>
      <c r="C314" s="1075">
        <v>324996390</v>
      </c>
      <c r="D314" s="1075">
        <v>317829830</v>
      </c>
      <c r="E314" s="1075">
        <v>324996390</v>
      </c>
      <c r="F314" s="1075">
        <v>317829830</v>
      </c>
      <c r="G314" s="1073">
        <v>272457821</v>
      </c>
      <c r="H314" s="1073">
        <v>272457821</v>
      </c>
      <c r="I314" s="1073">
        <v>506763590</v>
      </c>
      <c r="J314" s="1077">
        <v>499597030</v>
      </c>
      <c r="K314" s="1075">
        <v>506763590</v>
      </c>
      <c r="L314" s="1075">
        <v>499597030</v>
      </c>
    </row>
    <row r="315" spans="1:12">
      <c r="A315" t="s">
        <v>628</v>
      </c>
      <c r="B315" s="31" t="s">
        <v>848</v>
      </c>
      <c r="C315" s="1075">
        <v>131187236</v>
      </c>
      <c r="D315" s="1075">
        <v>127145076</v>
      </c>
      <c r="E315" s="1075">
        <v>131187236</v>
      </c>
      <c r="F315" s="1075">
        <v>127145076</v>
      </c>
      <c r="G315" s="1073">
        <v>106119414</v>
      </c>
      <c r="H315" s="1073">
        <v>106119414</v>
      </c>
      <c r="I315" s="1073">
        <v>370265876</v>
      </c>
      <c r="J315" s="1077">
        <v>366223716</v>
      </c>
      <c r="K315" s="1075">
        <v>370265876</v>
      </c>
      <c r="L315" s="1075">
        <v>366223716</v>
      </c>
    </row>
    <row r="316" spans="1:12">
      <c r="A316" t="s">
        <v>629</v>
      </c>
      <c r="B316" s="31" t="s">
        <v>849</v>
      </c>
      <c r="C316" s="1075">
        <v>221164040</v>
      </c>
      <c r="D316" s="1075">
        <v>218794940</v>
      </c>
      <c r="E316" s="1075">
        <v>221164040</v>
      </c>
      <c r="F316" s="1075">
        <v>218794940</v>
      </c>
      <c r="G316" s="1073">
        <v>181401770</v>
      </c>
      <c r="H316" s="1073">
        <v>181401770</v>
      </c>
      <c r="I316" s="1073">
        <v>221164040</v>
      </c>
      <c r="J316" s="1077">
        <v>218794940</v>
      </c>
      <c r="K316" s="1075">
        <v>221164040</v>
      </c>
      <c r="L316" s="1075">
        <v>218794940</v>
      </c>
    </row>
    <row r="317" spans="1:12">
      <c r="A317" t="s">
        <v>630</v>
      </c>
      <c r="B317" s="31" t="s">
        <v>1037</v>
      </c>
      <c r="C317" s="1075">
        <v>14525403604</v>
      </c>
      <c r="D317" s="1075">
        <v>14204838076</v>
      </c>
      <c r="E317" s="1075">
        <v>14525403604</v>
      </c>
      <c r="F317" s="1075">
        <v>14204838076</v>
      </c>
      <c r="G317" s="1073">
        <v>11940423648</v>
      </c>
      <c r="H317" s="1073">
        <v>11940423648</v>
      </c>
      <c r="I317" s="1073">
        <v>14525403604</v>
      </c>
      <c r="J317" s="1077">
        <v>14204838076</v>
      </c>
      <c r="K317" s="1075">
        <v>14525403604</v>
      </c>
      <c r="L317" s="1075">
        <v>14204838076</v>
      </c>
    </row>
    <row r="318" spans="1:12">
      <c r="A318" t="s">
        <v>2541</v>
      </c>
      <c r="B318" s="31" t="s">
        <v>894</v>
      </c>
      <c r="C318" s="1075">
        <v>824656945</v>
      </c>
      <c r="D318" s="1075">
        <v>793827865</v>
      </c>
      <c r="E318" s="1075">
        <v>824656945</v>
      </c>
      <c r="F318" s="1075">
        <v>793827865</v>
      </c>
      <c r="G318" s="1073">
        <v>689979657</v>
      </c>
      <c r="H318" s="1073">
        <v>689979657</v>
      </c>
      <c r="I318" s="1073">
        <v>824656945</v>
      </c>
      <c r="J318" s="1077">
        <v>793827865</v>
      </c>
      <c r="K318" s="1075">
        <v>824656945</v>
      </c>
      <c r="L318" s="1075">
        <v>793827865</v>
      </c>
    </row>
    <row r="319" spans="1:12">
      <c r="A319" t="s">
        <v>1422</v>
      </c>
      <c r="B319" s="31" t="s">
        <v>112</v>
      </c>
      <c r="C319" s="1075">
        <v>35424919164</v>
      </c>
      <c r="D319" s="1075">
        <v>34579628148</v>
      </c>
      <c r="E319" s="1075">
        <v>35424919164</v>
      </c>
      <c r="F319" s="1075">
        <v>34579628148</v>
      </c>
      <c r="G319" s="1073">
        <v>28960187185</v>
      </c>
      <c r="H319" s="1073">
        <v>28960187185</v>
      </c>
      <c r="I319" s="1073">
        <v>35424919164</v>
      </c>
      <c r="J319" s="1077">
        <v>34579628148</v>
      </c>
      <c r="K319" s="1075">
        <v>35424919164</v>
      </c>
      <c r="L319" s="1075">
        <v>34579628148</v>
      </c>
    </row>
    <row r="320" spans="1:12">
      <c r="A320" t="s">
        <v>2318</v>
      </c>
      <c r="B320" s="31" t="s">
        <v>1038</v>
      </c>
      <c r="C320" s="1075">
        <v>2377882994</v>
      </c>
      <c r="D320" s="1075">
        <v>2354063252</v>
      </c>
      <c r="E320" s="1075">
        <v>2333180579</v>
      </c>
      <c r="F320" s="1075">
        <v>2309360837</v>
      </c>
      <c r="G320" s="1073">
        <v>2276713340</v>
      </c>
      <c r="H320" s="1073">
        <v>2236987182</v>
      </c>
      <c r="I320" s="1073">
        <v>2377882994</v>
      </c>
      <c r="J320" s="1077">
        <v>2354063252</v>
      </c>
      <c r="K320" s="1075">
        <v>2333180579</v>
      </c>
      <c r="L320" s="1075">
        <v>2309360837</v>
      </c>
    </row>
    <row r="321" spans="1:12">
      <c r="A321" t="s">
        <v>2013</v>
      </c>
      <c r="B321" s="31" t="s">
        <v>853</v>
      </c>
      <c r="C321" s="1075">
        <v>990455173</v>
      </c>
      <c r="D321" s="1075">
        <v>969143773</v>
      </c>
      <c r="E321" s="1075">
        <v>990455173</v>
      </c>
      <c r="F321" s="1075">
        <v>969143773</v>
      </c>
      <c r="G321" s="1073">
        <v>995244035</v>
      </c>
      <c r="H321" s="1073">
        <v>995244035</v>
      </c>
      <c r="I321" s="1073">
        <v>990455173</v>
      </c>
      <c r="J321" s="1077">
        <v>969143773</v>
      </c>
      <c r="K321" s="1075">
        <v>990455173</v>
      </c>
      <c r="L321" s="1075">
        <v>969143773</v>
      </c>
    </row>
    <row r="322" spans="1:12">
      <c r="A322" t="s">
        <v>1303</v>
      </c>
      <c r="B322" s="31" t="s">
        <v>854</v>
      </c>
      <c r="C322" s="1075">
        <v>1489748831</v>
      </c>
      <c r="D322" s="1075">
        <v>1469589827</v>
      </c>
      <c r="E322" s="1075">
        <v>1489748831</v>
      </c>
      <c r="F322" s="1075">
        <v>1469589827</v>
      </c>
      <c r="G322" s="1073">
        <v>1721007206</v>
      </c>
      <c r="H322" s="1073">
        <v>1721007206</v>
      </c>
      <c r="I322" s="1073">
        <v>1489748831</v>
      </c>
      <c r="J322" s="1077">
        <v>1469589827</v>
      </c>
      <c r="K322" s="1075">
        <v>1489748831</v>
      </c>
      <c r="L322" s="1075">
        <v>1469589827</v>
      </c>
    </row>
    <row r="323" spans="1:12">
      <c r="A323" t="s">
        <v>1919</v>
      </c>
      <c r="B323" s="31" t="s">
        <v>855</v>
      </c>
      <c r="C323" s="1075">
        <v>727060111</v>
      </c>
      <c r="D323" s="1075">
        <v>715687471</v>
      </c>
      <c r="E323" s="1075">
        <v>727060111</v>
      </c>
      <c r="F323" s="1075">
        <v>715687471</v>
      </c>
      <c r="G323" s="1073">
        <v>968764498</v>
      </c>
      <c r="H323" s="1073">
        <v>968764498</v>
      </c>
      <c r="I323" s="1073">
        <v>727060111</v>
      </c>
      <c r="J323" s="1077">
        <v>715687471</v>
      </c>
      <c r="K323" s="1075">
        <v>727060111</v>
      </c>
      <c r="L323" s="1075">
        <v>715687471</v>
      </c>
    </row>
    <row r="324" spans="1:12">
      <c r="A324" t="s">
        <v>1924</v>
      </c>
      <c r="B324" s="31" t="s">
        <v>856</v>
      </c>
      <c r="C324" s="1075">
        <v>148237297</v>
      </c>
      <c r="D324" s="1075">
        <v>144433996</v>
      </c>
      <c r="E324" s="1075">
        <v>148237297</v>
      </c>
      <c r="F324" s="1075">
        <v>144433996</v>
      </c>
      <c r="G324" s="1073">
        <v>136184417</v>
      </c>
      <c r="H324" s="1073">
        <v>136184417</v>
      </c>
      <c r="I324" s="1073">
        <v>148237297</v>
      </c>
      <c r="J324" s="1077">
        <v>144433996</v>
      </c>
      <c r="K324" s="1075">
        <v>148237297</v>
      </c>
      <c r="L324" s="1075">
        <v>144433996</v>
      </c>
    </row>
    <row r="325" spans="1:12">
      <c r="A325" t="s">
        <v>1925</v>
      </c>
      <c r="B325" s="31" t="s">
        <v>857</v>
      </c>
      <c r="C325" s="1075">
        <v>146587009</v>
      </c>
      <c r="D325" s="1075">
        <v>144832357</v>
      </c>
      <c r="E325" s="1075">
        <v>146587009</v>
      </c>
      <c r="F325" s="1075">
        <v>144832357</v>
      </c>
      <c r="G325" s="1073">
        <v>205629304</v>
      </c>
      <c r="H325" s="1073">
        <v>205629304</v>
      </c>
      <c r="I325" s="1073">
        <v>146587009</v>
      </c>
      <c r="J325" s="1077">
        <v>144832357</v>
      </c>
      <c r="K325" s="1075">
        <v>146587009</v>
      </c>
      <c r="L325" s="1075">
        <v>144832357</v>
      </c>
    </row>
    <row r="326" spans="1:12">
      <c r="A326" t="s">
        <v>1235</v>
      </c>
      <c r="B326" s="31" t="s">
        <v>2179</v>
      </c>
      <c r="C326" s="1075">
        <v>766507754</v>
      </c>
      <c r="D326" s="1075">
        <v>762022254</v>
      </c>
      <c r="E326" s="1075">
        <v>766507754</v>
      </c>
      <c r="F326" s="1075">
        <v>762022254</v>
      </c>
      <c r="G326" s="1073">
        <v>1549176039</v>
      </c>
      <c r="H326" s="1073">
        <v>1549176039</v>
      </c>
      <c r="I326" s="1073">
        <v>766507754</v>
      </c>
      <c r="J326" s="1077">
        <v>762022254</v>
      </c>
      <c r="K326" s="1075">
        <v>766507754</v>
      </c>
      <c r="L326" s="1075">
        <v>762022254</v>
      </c>
    </row>
    <row r="327" spans="1:12">
      <c r="A327" t="s">
        <v>2506</v>
      </c>
      <c r="B327" s="31" t="s">
        <v>2592</v>
      </c>
      <c r="C327" s="1075">
        <v>1140275253</v>
      </c>
      <c r="D327" s="1075">
        <v>1125378203</v>
      </c>
      <c r="E327" s="1075">
        <v>1140275253</v>
      </c>
      <c r="F327" s="1075">
        <v>1125378203</v>
      </c>
      <c r="G327" s="1073">
        <v>1501582248</v>
      </c>
      <c r="H327" s="1073">
        <v>1501582248</v>
      </c>
      <c r="I327" s="1073">
        <v>1140275253</v>
      </c>
      <c r="J327" s="1077">
        <v>1125378203</v>
      </c>
      <c r="K327" s="1075">
        <v>1140275253</v>
      </c>
      <c r="L327" s="1075">
        <v>1125378203</v>
      </c>
    </row>
    <row r="328" spans="1:12">
      <c r="A328" t="s">
        <v>1926</v>
      </c>
      <c r="B328" s="31" t="s">
        <v>858</v>
      </c>
      <c r="C328" s="1075">
        <v>172295798</v>
      </c>
      <c r="D328" s="1075">
        <v>168287515</v>
      </c>
      <c r="E328" s="1075">
        <v>172295798</v>
      </c>
      <c r="F328" s="1075">
        <v>168287515</v>
      </c>
      <c r="G328" s="1073">
        <v>268885275</v>
      </c>
      <c r="H328" s="1073">
        <v>268885275</v>
      </c>
      <c r="I328" s="1073">
        <v>172295798</v>
      </c>
      <c r="J328" s="1077">
        <v>168287515</v>
      </c>
      <c r="K328" s="1075">
        <v>172295798</v>
      </c>
      <c r="L328" s="1075">
        <v>168287515</v>
      </c>
    </row>
    <row r="329" spans="1:12">
      <c r="A329" t="s">
        <v>2110</v>
      </c>
      <c r="B329" s="31" t="s">
        <v>531</v>
      </c>
      <c r="C329" s="1075">
        <v>186284946</v>
      </c>
      <c r="D329" s="1075">
        <v>185491569</v>
      </c>
      <c r="E329" s="1075">
        <v>185665416</v>
      </c>
      <c r="F329" s="1075">
        <v>184872039</v>
      </c>
      <c r="G329" s="1073">
        <v>512970487</v>
      </c>
      <c r="H329" s="1073">
        <v>512321293</v>
      </c>
      <c r="I329" s="1073">
        <v>186284946</v>
      </c>
      <c r="J329" s="1077">
        <v>185491569</v>
      </c>
      <c r="K329" s="1075">
        <v>185665416</v>
      </c>
      <c r="L329" s="1075">
        <v>184872039</v>
      </c>
    </row>
    <row r="330" spans="1:12">
      <c r="A330" t="s">
        <v>2175</v>
      </c>
      <c r="B330" s="31" t="s">
        <v>532</v>
      </c>
      <c r="C330" s="1075">
        <v>2567794541</v>
      </c>
      <c r="D330" s="1075">
        <v>2542321186</v>
      </c>
      <c r="E330" s="1075">
        <v>2567794541</v>
      </c>
      <c r="F330" s="1075">
        <v>2542321186</v>
      </c>
      <c r="G330" s="1073">
        <v>5908074273</v>
      </c>
      <c r="H330" s="1073">
        <v>5908074273</v>
      </c>
      <c r="I330" s="1073">
        <v>2567794541</v>
      </c>
      <c r="J330" s="1077">
        <v>2542321186</v>
      </c>
      <c r="K330" s="1075">
        <v>2567794541</v>
      </c>
      <c r="L330" s="1075">
        <v>2542321186</v>
      </c>
    </row>
    <row r="331" spans="1:12">
      <c r="A331" t="s">
        <v>1993</v>
      </c>
      <c r="B331" s="31" t="s">
        <v>364</v>
      </c>
      <c r="C331" s="1075">
        <v>3525031585</v>
      </c>
      <c r="D331" s="1075">
        <v>3412946960</v>
      </c>
      <c r="E331" s="1075">
        <v>3525031585</v>
      </c>
      <c r="F331" s="1075">
        <v>3412946960</v>
      </c>
      <c r="G331" s="1073">
        <v>2939340052</v>
      </c>
      <c r="H331" s="1073">
        <v>2939340052</v>
      </c>
      <c r="I331" s="1073">
        <v>3525031585</v>
      </c>
      <c r="J331" s="1077">
        <v>3412946960</v>
      </c>
      <c r="K331" s="1075">
        <v>3525031585</v>
      </c>
      <c r="L331" s="1075">
        <v>3412946960</v>
      </c>
    </row>
    <row r="332" spans="1:12">
      <c r="A332" t="s">
        <v>2231</v>
      </c>
      <c r="B332" s="31" t="s">
        <v>365</v>
      </c>
      <c r="C332" s="1075">
        <v>7128473328</v>
      </c>
      <c r="D332" s="1075">
        <v>7027202651</v>
      </c>
      <c r="E332" s="1075">
        <v>6946254194</v>
      </c>
      <c r="F332" s="1075">
        <v>6844983517</v>
      </c>
      <c r="G332" s="1073">
        <v>5884349071</v>
      </c>
      <c r="H332" s="1073">
        <v>5732173153</v>
      </c>
      <c r="I332" s="1073">
        <v>7128473328</v>
      </c>
      <c r="J332" s="1077">
        <v>7027202651</v>
      </c>
      <c r="K332" s="1075">
        <v>6946254194</v>
      </c>
      <c r="L332" s="1075">
        <v>6844983517</v>
      </c>
    </row>
    <row r="333" spans="1:12">
      <c r="A333" t="s">
        <v>1866</v>
      </c>
      <c r="B333" s="31" t="s">
        <v>2375</v>
      </c>
      <c r="C333" s="1075">
        <v>97415237</v>
      </c>
      <c r="D333" s="1075">
        <v>96226426</v>
      </c>
      <c r="E333" s="1075">
        <v>97048547</v>
      </c>
      <c r="F333" s="1075">
        <v>95859736</v>
      </c>
      <c r="G333" s="1073">
        <v>98578640</v>
      </c>
      <c r="H333" s="1073">
        <v>97662787</v>
      </c>
      <c r="I333" s="1073">
        <v>97415237</v>
      </c>
      <c r="J333" s="1077">
        <v>96226426</v>
      </c>
      <c r="K333" s="1075">
        <v>97048547</v>
      </c>
      <c r="L333" s="1075">
        <v>95859736</v>
      </c>
    </row>
    <row r="334" spans="1:12">
      <c r="A334" t="s">
        <v>762</v>
      </c>
      <c r="B334" s="31" t="s">
        <v>367</v>
      </c>
      <c r="C334" s="1075">
        <v>5067794336</v>
      </c>
      <c r="D334" s="1075">
        <v>4952255025</v>
      </c>
      <c r="E334" s="1075">
        <v>4948007943</v>
      </c>
      <c r="F334" s="1075">
        <v>4832468632</v>
      </c>
      <c r="G334" s="1073">
        <v>4159539401</v>
      </c>
      <c r="H334" s="1073">
        <v>4107096348</v>
      </c>
      <c r="I334" s="1073">
        <v>5067794336</v>
      </c>
      <c r="J334" s="1077">
        <v>4952255025</v>
      </c>
      <c r="K334" s="1075">
        <v>4948007943</v>
      </c>
      <c r="L334" s="1075">
        <v>4832468632</v>
      </c>
    </row>
    <row r="335" spans="1:12">
      <c r="A335" t="s">
        <v>2458</v>
      </c>
      <c r="B335" s="31" t="s">
        <v>368</v>
      </c>
      <c r="C335" s="1075">
        <v>637036485</v>
      </c>
      <c r="D335" s="1075">
        <v>616316169</v>
      </c>
      <c r="E335" s="1075">
        <v>637036485</v>
      </c>
      <c r="F335" s="1075">
        <v>616316169</v>
      </c>
      <c r="G335" s="1073">
        <v>533454529</v>
      </c>
      <c r="H335" s="1073">
        <v>533454529</v>
      </c>
      <c r="I335" s="1073">
        <v>637036485</v>
      </c>
      <c r="J335" s="1077">
        <v>616316169</v>
      </c>
      <c r="K335" s="1075">
        <v>637036485</v>
      </c>
      <c r="L335" s="1075">
        <v>616316169</v>
      </c>
    </row>
    <row r="336" spans="1:12">
      <c r="A336" t="s">
        <v>491</v>
      </c>
      <c r="B336" s="31" t="s">
        <v>85</v>
      </c>
      <c r="C336" s="1075">
        <v>1362846887</v>
      </c>
      <c r="D336" s="1075">
        <v>1295174084</v>
      </c>
      <c r="E336" s="1075">
        <v>1362846887</v>
      </c>
      <c r="F336" s="1075">
        <v>1295174084</v>
      </c>
      <c r="G336" s="1073">
        <v>1095939260</v>
      </c>
      <c r="H336" s="1073">
        <v>1095939260</v>
      </c>
      <c r="I336" s="1073">
        <v>1362846887</v>
      </c>
      <c r="J336" s="1077">
        <v>1295174084</v>
      </c>
      <c r="K336" s="1075">
        <v>1362846887</v>
      </c>
      <c r="L336" s="1075">
        <v>1295174084</v>
      </c>
    </row>
    <row r="337" spans="1:12">
      <c r="A337" t="s">
        <v>2459</v>
      </c>
      <c r="B337" s="31" t="s">
        <v>369</v>
      </c>
      <c r="C337" s="1075">
        <v>20889462451</v>
      </c>
      <c r="D337" s="1075">
        <v>20363232028</v>
      </c>
      <c r="E337" s="1075">
        <v>20585270070</v>
      </c>
      <c r="F337" s="1075">
        <v>20059039647</v>
      </c>
      <c r="G337" s="1073">
        <v>18063282039</v>
      </c>
      <c r="H337" s="1073">
        <v>17793579631</v>
      </c>
      <c r="I337" s="1073">
        <v>20889462451</v>
      </c>
      <c r="J337" s="1077">
        <v>20363232028</v>
      </c>
      <c r="K337" s="1075">
        <v>20585270070</v>
      </c>
      <c r="L337" s="1075">
        <v>20059039647</v>
      </c>
    </row>
    <row r="338" spans="1:12">
      <c r="A338" t="s">
        <v>1424</v>
      </c>
      <c r="B338" s="31" t="s">
        <v>1476</v>
      </c>
      <c r="C338" s="1075">
        <v>2823768649</v>
      </c>
      <c r="D338" s="1075">
        <v>2744057750</v>
      </c>
      <c r="E338" s="1075">
        <v>2823768649</v>
      </c>
      <c r="F338" s="1075">
        <v>2744057750</v>
      </c>
      <c r="G338" s="1073">
        <v>2390449284</v>
      </c>
      <c r="H338" s="1073">
        <v>2390449284</v>
      </c>
      <c r="I338" s="1073">
        <v>2823768649</v>
      </c>
      <c r="J338" s="1077">
        <v>2744057750</v>
      </c>
      <c r="K338" s="1075">
        <v>2823768649</v>
      </c>
      <c r="L338" s="1075">
        <v>2744057750</v>
      </c>
    </row>
    <row r="339" spans="1:12">
      <c r="A339" t="s">
        <v>1668</v>
      </c>
      <c r="B339" s="31" t="s">
        <v>370</v>
      </c>
      <c r="C339" s="1075">
        <v>347268539</v>
      </c>
      <c r="D339" s="1075">
        <v>340066224</v>
      </c>
      <c r="E339" s="1075">
        <v>347268539</v>
      </c>
      <c r="F339" s="1075">
        <v>340066224</v>
      </c>
      <c r="G339" s="1073">
        <v>891034882</v>
      </c>
      <c r="H339" s="1073">
        <v>891034882</v>
      </c>
      <c r="I339" s="1073">
        <v>347268539</v>
      </c>
      <c r="J339" s="1077">
        <v>340066224</v>
      </c>
      <c r="K339" s="1075">
        <v>347268539</v>
      </c>
      <c r="L339" s="1075">
        <v>340066224</v>
      </c>
    </row>
    <row r="340" spans="1:12">
      <c r="A340" t="s">
        <v>1669</v>
      </c>
      <c r="B340" s="31" t="s">
        <v>371</v>
      </c>
      <c r="C340" s="1075">
        <v>39654318</v>
      </c>
      <c r="D340" s="1075">
        <v>39207203</v>
      </c>
      <c r="E340" s="1075">
        <v>39654318</v>
      </c>
      <c r="F340" s="1075">
        <v>39207203</v>
      </c>
      <c r="G340" s="1073">
        <v>83427280</v>
      </c>
      <c r="H340" s="1073">
        <v>83427280</v>
      </c>
      <c r="I340" s="1073">
        <v>39654318</v>
      </c>
      <c r="J340" s="1077">
        <v>39207203</v>
      </c>
      <c r="K340" s="1075">
        <v>39654318</v>
      </c>
      <c r="L340" s="1075">
        <v>39207203</v>
      </c>
    </row>
    <row r="341" spans="1:12">
      <c r="A341" t="s">
        <v>1873</v>
      </c>
      <c r="B341" s="31" t="s">
        <v>1039</v>
      </c>
      <c r="C341" s="1075">
        <v>43322067</v>
      </c>
      <c r="D341" s="1075">
        <v>42394567</v>
      </c>
      <c r="E341" s="1075">
        <v>43322067</v>
      </c>
      <c r="F341" s="1075">
        <v>42394567</v>
      </c>
      <c r="G341" s="1073">
        <v>38679589</v>
      </c>
      <c r="H341" s="1073">
        <v>38679589</v>
      </c>
      <c r="I341" s="1073">
        <v>43322067</v>
      </c>
      <c r="J341" s="1077">
        <v>42394567</v>
      </c>
      <c r="K341" s="1075">
        <v>43322067</v>
      </c>
      <c r="L341" s="1075">
        <v>42394567</v>
      </c>
    </row>
    <row r="342" spans="1:12">
      <c r="A342" t="s">
        <v>1451</v>
      </c>
      <c r="B342" s="31" t="s">
        <v>373</v>
      </c>
      <c r="C342" s="1075">
        <v>3023799554</v>
      </c>
      <c r="D342" s="1075">
        <v>2963715592</v>
      </c>
      <c r="E342" s="1075">
        <v>3023799554</v>
      </c>
      <c r="F342" s="1075">
        <v>2963715592</v>
      </c>
      <c r="G342" s="1073">
        <v>2661717482</v>
      </c>
      <c r="H342" s="1073">
        <v>2661717482</v>
      </c>
      <c r="I342" s="1073">
        <v>3023799554</v>
      </c>
      <c r="J342" s="1077">
        <v>2963715592</v>
      </c>
      <c r="K342" s="1075">
        <v>3023799554</v>
      </c>
      <c r="L342" s="1075">
        <v>2963715592</v>
      </c>
    </row>
    <row r="343" spans="1:12">
      <c r="A343" t="s">
        <v>2160</v>
      </c>
      <c r="B343" s="31" t="s">
        <v>1785</v>
      </c>
      <c r="C343" s="1075">
        <v>408438176</v>
      </c>
      <c r="D343" s="1075">
        <v>396706436</v>
      </c>
      <c r="E343" s="1075">
        <v>408438176</v>
      </c>
      <c r="F343" s="1075">
        <v>396706436</v>
      </c>
      <c r="G343" s="1073">
        <v>382801365</v>
      </c>
      <c r="H343" s="1073">
        <v>382801365</v>
      </c>
      <c r="I343" s="1073">
        <v>408438176</v>
      </c>
      <c r="J343" s="1077">
        <v>396706436</v>
      </c>
      <c r="K343" s="1075">
        <v>408438176</v>
      </c>
      <c r="L343" s="1075">
        <v>396706436</v>
      </c>
    </row>
    <row r="344" spans="1:12">
      <c r="A344" t="s">
        <v>2161</v>
      </c>
      <c r="B344" s="31" t="s">
        <v>1786</v>
      </c>
      <c r="C344" s="1075">
        <v>2333697726</v>
      </c>
      <c r="D344" s="1075">
        <v>2331547159</v>
      </c>
      <c r="E344" s="1075">
        <v>2331354083</v>
      </c>
      <c r="F344" s="1075">
        <v>2329203516</v>
      </c>
      <c r="G344" s="1073">
        <v>3742344746</v>
      </c>
      <c r="H344" s="1073">
        <v>3740241229</v>
      </c>
      <c r="I344" s="1073">
        <v>2786735886</v>
      </c>
      <c r="J344" s="1077">
        <v>2784585319</v>
      </c>
      <c r="K344" s="1075">
        <v>2784392243</v>
      </c>
      <c r="L344" s="1075">
        <v>2782241676</v>
      </c>
    </row>
    <row r="345" spans="1:12">
      <c r="A345" t="s">
        <v>2437</v>
      </c>
      <c r="B345" s="31" t="s">
        <v>1787</v>
      </c>
      <c r="C345" s="1075">
        <v>857289395</v>
      </c>
      <c r="D345" s="1075">
        <v>839396471</v>
      </c>
      <c r="E345" s="1075">
        <v>836418362</v>
      </c>
      <c r="F345" s="1075">
        <v>818525438</v>
      </c>
      <c r="G345" s="1073">
        <v>1104167678</v>
      </c>
      <c r="H345" s="1073">
        <v>1084263072</v>
      </c>
      <c r="I345" s="1073">
        <v>992713715</v>
      </c>
      <c r="J345" s="1077">
        <v>974820791</v>
      </c>
      <c r="K345" s="1075">
        <v>971842682</v>
      </c>
      <c r="L345" s="1075">
        <v>953949758</v>
      </c>
    </row>
    <row r="346" spans="1:12">
      <c r="A346" t="s">
        <v>906</v>
      </c>
      <c r="B346" s="31" t="s">
        <v>861</v>
      </c>
      <c r="C346" s="1075">
        <v>1343286388</v>
      </c>
      <c r="D346" s="1075">
        <v>1321947088</v>
      </c>
      <c r="E346" s="1075">
        <v>1343286388</v>
      </c>
      <c r="F346" s="1075">
        <v>1321947088</v>
      </c>
      <c r="G346" s="1073">
        <v>2593336694</v>
      </c>
      <c r="H346" s="1073">
        <v>2593336694</v>
      </c>
      <c r="I346" s="1073">
        <v>1343286388</v>
      </c>
      <c r="J346" s="1077">
        <v>1321947088</v>
      </c>
      <c r="K346" s="1075">
        <v>1343286388</v>
      </c>
      <c r="L346" s="1075">
        <v>1321947088</v>
      </c>
    </row>
    <row r="347" spans="1:12">
      <c r="A347" t="s">
        <v>2438</v>
      </c>
      <c r="B347" s="31" t="s">
        <v>1040</v>
      </c>
      <c r="C347" s="1075">
        <v>649357859</v>
      </c>
      <c r="D347" s="1075">
        <v>641941086</v>
      </c>
      <c r="E347" s="1075">
        <v>642352480</v>
      </c>
      <c r="F347" s="1075">
        <v>634935707</v>
      </c>
      <c r="G347" s="1073">
        <v>1735457991</v>
      </c>
      <c r="H347" s="1073">
        <v>1728408001</v>
      </c>
      <c r="I347" s="1073">
        <v>649357859</v>
      </c>
      <c r="J347" s="1077">
        <v>641941086</v>
      </c>
      <c r="K347" s="1075">
        <v>642352480</v>
      </c>
      <c r="L347" s="1075">
        <v>634935707</v>
      </c>
    </row>
    <row r="348" spans="1:12">
      <c r="A348" t="s">
        <v>2439</v>
      </c>
      <c r="B348" s="31" t="s">
        <v>1441</v>
      </c>
      <c r="C348" s="1075">
        <v>187353501</v>
      </c>
      <c r="D348" s="1075">
        <v>184632391</v>
      </c>
      <c r="E348" s="1075">
        <v>187353501</v>
      </c>
      <c r="F348" s="1075">
        <v>184632391</v>
      </c>
      <c r="G348" s="1073">
        <v>215547288</v>
      </c>
      <c r="H348" s="1073">
        <v>215547288</v>
      </c>
      <c r="I348" s="1073">
        <v>187353501</v>
      </c>
      <c r="J348" s="1077">
        <v>184632391</v>
      </c>
      <c r="K348" s="1075">
        <v>187353501</v>
      </c>
      <c r="L348" s="1075">
        <v>184632391</v>
      </c>
    </row>
    <row r="349" spans="1:12">
      <c r="A349" t="s">
        <v>1852</v>
      </c>
      <c r="B349" s="31" t="s">
        <v>1442</v>
      </c>
      <c r="C349" s="1075">
        <v>92560152</v>
      </c>
      <c r="D349" s="1075">
        <v>92008862</v>
      </c>
      <c r="E349" s="1075">
        <v>92560152</v>
      </c>
      <c r="F349" s="1075">
        <v>92008862</v>
      </c>
      <c r="G349" s="1073">
        <v>200557418</v>
      </c>
      <c r="H349" s="1073">
        <v>200557418</v>
      </c>
      <c r="I349" s="1073">
        <v>92560152</v>
      </c>
      <c r="J349" s="1077">
        <v>92008862</v>
      </c>
      <c r="K349" s="1075">
        <v>92560152</v>
      </c>
      <c r="L349" s="1075">
        <v>92008862</v>
      </c>
    </row>
    <row r="350" spans="1:12">
      <c r="A350" t="s">
        <v>1853</v>
      </c>
      <c r="B350" s="31" t="s">
        <v>1443</v>
      </c>
      <c r="C350" s="1075">
        <v>104972728</v>
      </c>
      <c r="D350" s="1075">
        <v>103462208</v>
      </c>
      <c r="E350" s="1075">
        <v>104972728</v>
      </c>
      <c r="F350" s="1075">
        <v>103462208</v>
      </c>
      <c r="G350" s="1073">
        <v>155285722</v>
      </c>
      <c r="H350" s="1073">
        <v>155285722</v>
      </c>
      <c r="I350" s="1073">
        <v>104972728</v>
      </c>
      <c r="J350" s="1077">
        <v>103462208</v>
      </c>
      <c r="K350" s="1075">
        <v>104972728</v>
      </c>
      <c r="L350" s="1075">
        <v>103462208</v>
      </c>
    </row>
    <row r="351" spans="1:12">
      <c r="A351" t="s">
        <v>2021</v>
      </c>
      <c r="B351" s="31" t="s">
        <v>1364</v>
      </c>
      <c r="C351" s="1075">
        <v>1104433060</v>
      </c>
      <c r="D351" s="1075">
        <v>1072366040</v>
      </c>
      <c r="E351" s="1075">
        <v>1104433060</v>
      </c>
      <c r="F351" s="1075">
        <v>1072366040</v>
      </c>
      <c r="G351" s="1073">
        <v>1280401882</v>
      </c>
      <c r="H351" s="1073">
        <v>1280401882</v>
      </c>
      <c r="I351" s="1073">
        <v>1104433060</v>
      </c>
      <c r="J351" s="1077">
        <v>1072366040</v>
      </c>
      <c r="K351" s="1075">
        <v>1104433060</v>
      </c>
      <c r="L351" s="1075">
        <v>1072366040</v>
      </c>
    </row>
    <row r="352" spans="1:12">
      <c r="A352" t="s">
        <v>2033</v>
      </c>
      <c r="B352" s="31" t="s">
        <v>1444</v>
      </c>
      <c r="C352" s="1075">
        <v>97375199</v>
      </c>
      <c r="D352" s="1075">
        <v>97110599</v>
      </c>
      <c r="E352" s="1075">
        <v>97375199</v>
      </c>
      <c r="F352" s="1075">
        <v>97110599</v>
      </c>
      <c r="G352" s="1073">
        <v>155064002</v>
      </c>
      <c r="H352" s="1073">
        <v>155064002</v>
      </c>
      <c r="I352" s="1073">
        <v>97375199</v>
      </c>
      <c r="J352" s="1077">
        <v>97110599</v>
      </c>
      <c r="K352" s="1075">
        <v>97375199</v>
      </c>
      <c r="L352" s="1075">
        <v>97110599</v>
      </c>
    </row>
    <row r="353" spans="1:12">
      <c r="A353" t="s">
        <v>1684</v>
      </c>
      <c r="B353" s="31" t="s">
        <v>1560</v>
      </c>
      <c r="C353" s="1075">
        <v>214818961</v>
      </c>
      <c r="D353" s="1075">
        <v>205719051</v>
      </c>
      <c r="E353" s="1075">
        <v>214818961</v>
      </c>
      <c r="F353" s="1075">
        <v>205719051</v>
      </c>
      <c r="G353" s="1073">
        <v>188096406</v>
      </c>
      <c r="H353" s="1073">
        <v>188096406</v>
      </c>
      <c r="I353" s="1073">
        <v>214818961</v>
      </c>
      <c r="J353" s="1077">
        <v>205719051</v>
      </c>
      <c r="K353" s="1075">
        <v>214818961</v>
      </c>
      <c r="L353" s="1075">
        <v>205719051</v>
      </c>
    </row>
    <row r="354" spans="1:12">
      <c r="A354" t="s">
        <v>981</v>
      </c>
      <c r="B354" s="31" t="s">
        <v>1445</v>
      </c>
      <c r="C354" s="1075">
        <v>158738234</v>
      </c>
      <c r="D354" s="1075">
        <v>152327428</v>
      </c>
      <c r="E354" s="1075">
        <v>158738234</v>
      </c>
      <c r="F354" s="1075">
        <v>152327428</v>
      </c>
      <c r="G354" s="1073">
        <v>139402149</v>
      </c>
      <c r="H354" s="1073">
        <v>139402149</v>
      </c>
      <c r="I354" s="1073">
        <v>158738234</v>
      </c>
      <c r="J354" s="1077">
        <v>152327428</v>
      </c>
      <c r="K354" s="1075">
        <v>158738234</v>
      </c>
      <c r="L354" s="1075">
        <v>152327428</v>
      </c>
    </row>
    <row r="355" spans="1:12">
      <c r="A355" t="s">
        <v>982</v>
      </c>
      <c r="B355" s="31" t="s">
        <v>1446</v>
      </c>
      <c r="C355" s="1075">
        <v>1549588695</v>
      </c>
      <c r="D355" s="1075">
        <v>1493833625</v>
      </c>
      <c r="E355" s="1075">
        <v>1549588695</v>
      </c>
      <c r="F355" s="1075">
        <v>1493833625</v>
      </c>
      <c r="G355" s="1073">
        <v>1364515996</v>
      </c>
      <c r="H355" s="1073">
        <v>1364515996</v>
      </c>
      <c r="I355" s="1073">
        <v>1549588695</v>
      </c>
      <c r="J355" s="1077">
        <v>1493833625</v>
      </c>
      <c r="K355" s="1075">
        <v>1549588695</v>
      </c>
      <c r="L355" s="1075">
        <v>1493833625</v>
      </c>
    </row>
    <row r="356" spans="1:12">
      <c r="A356" t="s">
        <v>1115</v>
      </c>
      <c r="B356" s="31" t="s">
        <v>2380</v>
      </c>
      <c r="C356" s="1075">
        <v>238765818</v>
      </c>
      <c r="D356" s="1075">
        <v>228486660</v>
      </c>
      <c r="E356" s="1075">
        <v>238765818</v>
      </c>
      <c r="F356" s="1075">
        <v>228486660</v>
      </c>
      <c r="G356" s="1073">
        <v>211801512</v>
      </c>
      <c r="H356" s="1073">
        <v>211801512</v>
      </c>
      <c r="I356" s="1073">
        <v>238765818</v>
      </c>
      <c r="J356" s="1077">
        <v>228486660</v>
      </c>
      <c r="K356" s="1075">
        <v>238765818</v>
      </c>
      <c r="L356" s="1075">
        <v>228486660</v>
      </c>
    </row>
    <row r="357" spans="1:12">
      <c r="A357" t="s">
        <v>793</v>
      </c>
      <c r="B357" s="31" t="s">
        <v>1648</v>
      </c>
      <c r="C357" s="1075">
        <v>2913634730</v>
      </c>
      <c r="D357" s="1075">
        <v>2845067801</v>
      </c>
      <c r="E357" s="1075">
        <v>2913634730</v>
      </c>
      <c r="F357" s="1075">
        <v>2845067801</v>
      </c>
      <c r="G357" s="1073">
        <v>2670804288</v>
      </c>
      <c r="H357" s="1073">
        <v>2670804288</v>
      </c>
      <c r="I357" s="1073">
        <v>2913634730</v>
      </c>
      <c r="J357" s="1077">
        <v>2845067801</v>
      </c>
      <c r="K357" s="1075">
        <v>2913634730</v>
      </c>
      <c r="L357" s="1075">
        <v>2845067801</v>
      </c>
    </row>
    <row r="358" spans="1:12">
      <c r="A358" t="s">
        <v>794</v>
      </c>
      <c r="B358" s="31" t="s">
        <v>1649</v>
      </c>
      <c r="C358" s="1075">
        <v>91094667</v>
      </c>
      <c r="D358" s="1075">
        <v>87708817</v>
      </c>
      <c r="E358" s="1075">
        <v>91094667</v>
      </c>
      <c r="F358" s="1075">
        <v>87708817</v>
      </c>
      <c r="G358" s="1073">
        <v>74977475</v>
      </c>
      <c r="H358" s="1073">
        <v>74977475</v>
      </c>
      <c r="I358" s="1073">
        <v>91094667</v>
      </c>
      <c r="J358" s="1077">
        <v>87708817</v>
      </c>
      <c r="K358" s="1075">
        <v>91094667</v>
      </c>
      <c r="L358" s="1075">
        <v>87708817</v>
      </c>
    </row>
    <row r="359" spans="1:12">
      <c r="A359" t="s">
        <v>1236</v>
      </c>
      <c r="B359" s="31" t="s">
        <v>2365</v>
      </c>
      <c r="C359" s="1075">
        <v>572296415</v>
      </c>
      <c r="D359" s="1075">
        <v>554327477</v>
      </c>
      <c r="E359" s="1075">
        <v>572296415</v>
      </c>
      <c r="F359" s="1075">
        <v>554327477</v>
      </c>
      <c r="G359" s="1073">
        <v>502518148</v>
      </c>
      <c r="H359" s="1073">
        <v>502518148</v>
      </c>
      <c r="I359" s="1073">
        <v>572296415</v>
      </c>
      <c r="J359" s="1077">
        <v>554327477</v>
      </c>
      <c r="K359" s="1075">
        <v>572296415</v>
      </c>
      <c r="L359" s="1075">
        <v>554327477</v>
      </c>
    </row>
    <row r="360" spans="1:12">
      <c r="A360" t="s">
        <v>1237</v>
      </c>
      <c r="B360" s="31" t="s">
        <v>1335</v>
      </c>
      <c r="C360" s="1075">
        <v>721167760</v>
      </c>
      <c r="D360" s="1075">
        <v>698981535</v>
      </c>
      <c r="E360" s="1075">
        <v>721167760</v>
      </c>
      <c r="F360" s="1075">
        <v>698981535</v>
      </c>
      <c r="G360" s="1073">
        <v>637878974</v>
      </c>
      <c r="H360" s="1073">
        <v>637878974</v>
      </c>
      <c r="I360" s="1073">
        <v>721167760</v>
      </c>
      <c r="J360" s="1077">
        <v>698981535</v>
      </c>
      <c r="K360" s="1075">
        <v>721167760</v>
      </c>
      <c r="L360" s="1075">
        <v>698981535</v>
      </c>
    </row>
    <row r="361" spans="1:12">
      <c r="A361" t="s">
        <v>1463</v>
      </c>
      <c r="B361" s="31" t="s">
        <v>1650</v>
      </c>
      <c r="C361" s="1075">
        <v>208159162</v>
      </c>
      <c r="D361" s="1075">
        <v>199971145</v>
      </c>
      <c r="E361" s="1075">
        <v>208159162</v>
      </c>
      <c r="F361" s="1075">
        <v>199971145</v>
      </c>
      <c r="G361" s="1073">
        <v>169518053</v>
      </c>
      <c r="H361" s="1073">
        <v>169518053</v>
      </c>
      <c r="I361" s="1073">
        <v>208159162</v>
      </c>
      <c r="J361" s="1077">
        <v>199971145</v>
      </c>
      <c r="K361" s="1075">
        <v>208159162</v>
      </c>
      <c r="L361" s="1075">
        <v>199971145</v>
      </c>
    </row>
    <row r="362" spans="1:12">
      <c r="A362" t="s">
        <v>215</v>
      </c>
      <c r="B362" s="31" t="s">
        <v>2100</v>
      </c>
      <c r="C362" s="1075">
        <v>840878713</v>
      </c>
      <c r="D362" s="1075">
        <v>818825232</v>
      </c>
      <c r="E362" s="1075">
        <v>840878713</v>
      </c>
      <c r="F362" s="1075">
        <v>818825232</v>
      </c>
      <c r="G362" s="1073">
        <v>746606347</v>
      </c>
      <c r="H362" s="1073">
        <v>746606347</v>
      </c>
      <c r="I362" s="1073">
        <v>840878713</v>
      </c>
      <c r="J362" s="1077">
        <v>818825232</v>
      </c>
      <c r="K362" s="1075">
        <v>840878713</v>
      </c>
      <c r="L362" s="1075">
        <v>818825232</v>
      </c>
    </row>
    <row r="363" spans="1:12">
      <c r="A363" t="s">
        <v>2582</v>
      </c>
      <c r="B363" s="31" t="s">
        <v>1041</v>
      </c>
      <c r="C363" s="1075">
        <v>342149855</v>
      </c>
      <c r="D363" s="1075">
        <v>329885353</v>
      </c>
      <c r="E363" s="1075">
        <v>342149855</v>
      </c>
      <c r="F363" s="1075">
        <v>329885353</v>
      </c>
      <c r="G363" s="1073">
        <v>378896405</v>
      </c>
      <c r="H363" s="1073">
        <v>378896405</v>
      </c>
      <c r="I363" s="1073">
        <v>342149855</v>
      </c>
      <c r="J363" s="1077">
        <v>329885353</v>
      </c>
      <c r="K363" s="1075">
        <v>342149855</v>
      </c>
      <c r="L363" s="1075">
        <v>329885353</v>
      </c>
    </row>
    <row r="364" spans="1:12">
      <c r="A364" t="s">
        <v>1308</v>
      </c>
      <c r="B364" s="31" t="s">
        <v>1732</v>
      </c>
      <c r="C364" s="1075">
        <v>258251806</v>
      </c>
      <c r="D364" s="1075">
        <v>251802532</v>
      </c>
      <c r="E364" s="1075">
        <v>258251806</v>
      </c>
      <c r="F364" s="1075">
        <v>251802532</v>
      </c>
      <c r="G364" s="1073">
        <v>205723676</v>
      </c>
      <c r="H364" s="1073">
        <v>205723676</v>
      </c>
      <c r="I364" s="1073">
        <v>258251806</v>
      </c>
      <c r="J364" s="1077">
        <v>251802532</v>
      </c>
      <c r="K364" s="1075">
        <v>258251806</v>
      </c>
      <c r="L364" s="1075">
        <v>251802532</v>
      </c>
    </row>
    <row r="365" spans="1:12">
      <c r="A365" t="s">
        <v>1286</v>
      </c>
      <c r="B365" s="31" t="s">
        <v>222</v>
      </c>
      <c r="C365" s="1075">
        <v>198142309</v>
      </c>
      <c r="D365" s="1075">
        <v>188364175</v>
      </c>
      <c r="E365" s="1075">
        <v>198142309</v>
      </c>
      <c r="F365" s="1075">
        <v>188364175</v>
      </c>
      <c r="G365" s="1073">
        <v>165357274</v>
      </c>
      <c r="H365" s="1073">
        <v>165357274</v>
      </c>
      <c r="I365" s="1073">
        <v>198142309</v>
      </c>
      <c r="J365" s="1077">
        <v>188364175</v>
      </c>
      <c r="K365" s="1075">
        <v>198142309</v>
      </c>
      <c r="L365" s="1075">
        <v>188364175</v>
      </c>
    </row>
    <row r="366" spans="1:12">
      <c r="A366" t="s">
        <v>1287</v>
      </c>
      <c r="B366" s="31" t="s">
        <v>223</v>
      </c>
      <c r="C366" s="1075">
        <v>493133155</v>
      </c>
      <c r="D366" s="1075">
        <v>471118017</v>
      </c>
      <c r="E366" s="1075">
        <v>468541396</v>
      </c>
      <c r="F366" s="1075">
        <v>446526258</v>
      </c>
      <c r="G366" s="1073">
        <v>554873867</v>
      </c>
      <c r="H366" s="1073">
        <v>530593146</v>
      </c>
      <c r="I366" s="1073">
        <v>493133155</v>
      </c>
      <c r="J366" s="1077">
        <v>471118017</v>
      </c>
      <c r="K366" s="1075">
        <v>468541396</v>
      </c>
      <c r="L366" s="1075">
        <v>446526258</v>
      </c>
    </row>
    <row r="367" spans="1:12">
      <c r="A367" t="s">
        <v>1288</v>
      </c>
      <c r="B367" s="31" t="s">
        <v>224</v>
      </c>
      <c r="C367" s="1075">
        <v>1564944929</v>
      </c>
      <c r="D367" s="1075">
        <v>1523757197</v>
      </c>
      <c r="E367" s="1075">
        <v>1564944929</v>
      </c>
      <c r="F367" s="1075">
        <v>1523757197</v>
      </c>
      <c r="G367" s="1073">
        <v>1724341430</v>
      </c>
      <c r="H367" s="1073">
        <v>1670062820</v>
      </c>
      <c r="I367" s="1073">
        <v>1564944929</v>
      </c>
      <c r="J367" s="1077">
        <v>1523757197</v>
      </c>
      <c r="K367" s="1075">
        <v>1564944929</v>
      </c>
      <c r="L367" s="1075">
        <v>1523757197</v>
      </c>
    </row>
    <row r="368" spans="1:12">
      <c r="A368" t="s">
        <v>457</v>
      </c>
      <c r="B368" s="31" t="s">
        <v>2126</v>
      </c>
      <c r="C368" s="1075">
        <v>4087115351</v>
      </c>
      <c r="D368" s="1075">
        <v>3987427458</v>
      </c>
      <c r="E368" s="1075">
        <v>4087115351</v>
      </c>
      <c r="F368" s="1075">
        <v>3987427458</v>
      </c>
      <c r="G368" s="1073">
        <v>4120921482</v>
      </c>
      <c r="H368" s="1073">
        <v>4120921482</v>
      </c>
      <c r="I368" s="1073">
        <v>4087115351</v>
      </c>
      <c r="J368" s="1077">
        <v>3987427458</v>
      </c>
      <c r="K368" s="1075">
        <v>4087115351</v>
      </c>
      <c r="L368" s="1075">
        <v>3987427458</v>
      </c>
    </row>
    <row r="369" spans="1:12">
      <c r="A369" t="s">
        <v>2189</v>
      </c>
      <c r="B369" s="31" t="s">
        <v>225</v>
      </c>
      <c r="C369" s="1075">
        <v>1633009696</v>
      </c>
      <c r="D369" s="1075">
        <v>1582953825</v>
      </c>
      <c r="E369" s="1075">
        <v>1555194489</v>
      </c>
      <c r="F369" s="1075">
        <v>1505138618</v>
      </c>
      <c r="G369" s="1073">
        <v>1650968150</v>
      </c>
      <c r="H369" s="1073">
        <v>1568750085</v>
      </c>
      <c r="I369" s="1073">
        <v>1633009696</v>
      </c>
      <c r="J369" s="1077">
        <v>1582953825</v>
      </c>
      <c r="K369" s="1075">
        <v>1555194489</v>
      </c>
      <c r="L369" s="1075">
        <v>1505138618</v>
      </c>
    </row>
    <row r="370" spans="1:12">
      <c r="A370" t="s">
        <v>2639</v>
      </c>
      <c r="B370" s="31" t="s">
        <v>226</v>
      </c>
      <c r="C370" s="1075">
        <v>455520969</v>
      </c>
      <c r="D370" s="1075">
        <v>442003728</v>
      </c>
      <c r="E370" s="1075">
        <v>435378119</v>
      </c>
      <c r="F370" s="1075">
        <v>421860878</v>
      </c>
      <c r="G370" s="1073">
        <v>473045546</v>
      </c>
      <c r="H370" s="1073">
        <v>453550719</v>
      </c>
      <c r="I370" s="1073">
        <v>455520969</v>
      </c>
      <c r="J370" s="1077">
        <v>442003728</v>
      </c>
      <c r="K370" s="1075">
        <v>435378119</v>
      </c>
      <c r="L370" s="1075">
        <v>421860878</v>
      </c>
    </row>
    <row r="371" spans="1:12">
      <c r="A371" t="s">
        <v>1509</v>
      </c>
      <c r="B371" s="31" t="s">
        <v>1936</v>
      </c>
      <c r="C371" s="1075">
        <v>525858407</v>
      </c>
      <c r="D371" s="1075">
        <v>506616043</v>
      </c>
      <c r="E371" s="1075">
        <v>494374509</v>
      </c>
      <c r="F371" s="1075">
        <v>475132145</v>
      </c>
      <c r="G371" s="1073">
        <v>518633842</v>
      </c>
      <c r="H371" s="1073">
        <v>486772063</v>
      </c>
      <c r="I371" s="1073">
        <v>525858407</v>
      </c>
      <c r="J371" s="1077">
        <v>506616043</v>
      </c>
      <c r="K371" s="1075">
        <v>494374509</v>
      </c>
      <c r="L371" s="1075">
        <v>475132145</v>
      </c>
    </row>
    <row r="372" spans="1:12">
      <c r="A372" t="s">
        <v>2640</v>
      </c>
      <c r="B372" s="31" t="s">
        <v>227</v>
      </c>
      <c r="C372" s="1075">
        <v>346570660</v>
      </c>
      <c r="D372" s="1075">
        <v>332239447</v>
      </c>
      <c r="E372" s="1075">
        <v>324053686</v>
      </c>
      <c r="F372" s="1075">
        <v>309722473</v>
      </c>
      <c r="G372" s="1073">
        <v>400559689</v>
      </c>
      <c r="H372" s="1073">
        <v>377727480</v>
      </c>
      <c r="I372" s="1073">
        <v>346570660</v>
      </c>
      <c r="J372" s="1077">
        <v>332239447</v>
      </c>
      <c r="K372" s="1075">
        <v>324053686</v>
      </c>
      <c r="L372" s="1075">
        <v>309722473</v>
      </c>
    </row>
    <row r="373" spans="1:12">
      <c r="A373" t="s">
        <v>2641</v>
      </c>
      <c r="B373" s="31" t="s">
        <v>1042</v>
      </c>
      <c r="C373" s="1075">
        <v>576637835</v>
      </c>
      <c r="D373" s="1075">
        <v>568686180</v>
      </c>
      <c r="E373" s="1075">
        <v>576637835</v>
      </c>
      <c r="F373" s="1075">
        <v>568686180</v>
      </c>
      <c r="G373" s="1073">
        <v>521697895</v>
      </c>
      <c r="H373" s="1073">
        <v>521697895</v>
      </c>
      <c r="I373" s="1073">
        <v>576637835</v>
      </c>
      <c r="J373" s="1077">
        <v>568686180</v>
      </c>
      <c r="K373" s="1075">
        <v>576637835</v>
      </c>
      <c r="L373" s="1075">
        <v>568686180</v>
      </c>
    </row>
    <row r="374" spans="1:12">
      <c r="A374" t="s">
        <v>2642</v>
      </c>
      <c r="B374" s="31" t="s">
        <v>229</v>
      </c>
      <c r="C374" s="1075">
        <v>270139821</v>
      </c>
      <c r="D374" s="1075">
        <v>263809729</v>
      </c>
      <c r="E374" s="1075">
        <v>270139821</v>
      </c>
      <c r="F374" s="1075">
        <v>263809729</v>
      </c>
      <c r="G374" s="1073">
        <v>307210358</v>
      </c>
      <c r="H374" s="1073">
        <v>307210358</v>
      </c>
      <c r="I374" s="1073">
        <v>270139821</v>
      </c>
      <c r="J374" s="1077">
        <v>263809729</v>
      </c>
      <c r="K374" s="1075">
        <v>270139821</v>
      </c>
      <c r="L374" s="1075">
        <v>263809729</v>
      </c>
    </row>
    <row r="375" spans="1:12">
      <c r="A375" t="s">
        <v>2643</v>
      </c>
      <c r="B375" s="31" t="s">
        <v>230</v>
      </c>
      <c r="C375" s="1075">
        <v>1721266188</v>
      </c>
      <c r="D375" s="1075">
        <v>1689198229</v>
      </c>
      <c r="E375" s="1075">
        <v>1673369023</v>
      </c>
      <c r="F375" s="1075">
        <v>1641301064</v>
      </c>
      <c r="G375" s="1073">
        <v>1764382095</v>
      </c>
      <c r="H375" s="1073">
        <v>1724698313</v>
      </c>
      <c r="I375" s="1073">
        <v>1721266188</v>
      </c>
      <c r="J375" s="1077">
        <v>1689198229</v>
      </c>
      <c r="K375" s="1075">
        <v>1673369023</v>
      </c>
      <c r="L375" s="1075">
        <v>1641301064</v>
      </c>
    </row>
    <row r="376" spans="1:12">
      <c r="A376" t="s">
        <v>2142</v>
      </c>
      <c r="B376" s="31" t="s">
        <v>231</v>
      </c>
      <c r="C376" s="1075">
        <v>138153842</v>
      </c>
      <c r="D376" s="1075">
        <v>134292005</v>
      </c>
      <c r="E376" s="1075">
        <v>138153842</v>
      </c>
      <c r="F376" s="1075">
        <v>134292005</v>
      </c>
      <c r="G376" s="1073">
        <v>137676495</v>
      </c>
      <c r="H376" s="1073">
        <v>137676495</v>
      </c>
      <c r="I376" s="1073">
        <v>138153842</v>
      </c>
      <c r="J376" s="1077">
        <v>134292005</v>
      </c>
      <c r="K376" s="1075">
        <v>138153842</v>
      </c>
      <c r="L376" s="1075">
        <v>134292005</v>
      </c>
    </row>
    <row r="377" spans="1:12">
      <c r="A377" t="s">
        <v>495</v>
      </c>
      <c r="B377" s="31" t="s">
        <v>1247</v>
      </c>
      <c r="C377" s="1075">
        <v>3011173951</v>
      </c>
      <c r="D377" s="1075">
        <v>2929736433</v>
      </c>
      <c r="E377" s="1075">
        <v>3011173951</v>
      </c>
      <c r="F377" s="1075">
        <v>2929736433</v>
      </c>
      <c r="G377" s="1073">
        <v>2887223229</v>
      </c>
      <c r="H377" s="1073">
        <v>2887223229</v>
      </c>
      <c r="I377" s="1073">
        <v>3125980293</v>
      </c>
      <c r="J377" s="1077">
        <v>3044542775</v>
      </c>
      <c r="K377" s="1075">
        <v>3125980293</v>
      </c>
      <c r="L377" s="1075">
        <v>3044542775</v>
      </c>
    </row>
    <row r="378" spans="1:12">
      <c r="A378" t="s">
        <v>493</v>
      </c>
      <c r="B378" s="31" t="s">
        <v>1245</v>
      </c>
      <c r="C378" s="1075">
        <v>5109363440</v>
      </c>
      <c r="D378" s="1075">
        <v>4945177268</v>
      </c>
      <c r="E378" s="1075">
        <v>5109363440</v>
      </c>
      <c r="F378" s="1075">
        <v>4945177268</v>
      </c>
      <c r="G378" s="1073">
        <v>4386635993</v>
      </c>
      <c r="H378" s="1073">
        <v>4386635993</v>
      </c>
      <c r="I378" s="1073">
        <v>5109363440</v>
      </c>
      <c r="J378" s="1077">
        <v>4945177268</v>
      </c>
      <c r="K378" s="1075">
        <v>5109363440</v>
      </c>
      <c r="L378" s="1075">
        <v>4945177268</v>
      </c>
    </row>
    <row r="379" spans="1:12">
      <c r="A379" t="s">
        <v>2143</v>
      </c>
      <c r="B379" s="31" t="s">
        <v>232</v>
      </c>
      <c r="C379" s="1075">
        <v>899986153</v>
      </c>
      <c r="D379" s="1075">
        <v>881525514</v>
      </c>
      <c r="E379" s="1075">
        <v>899986153</v>
      </c>
      <c r="F379" s="1075">
        <v>881525514</v>
      </c>
      <c r="G379" s="1073">
        <v>648001225</v>
      </c>
      <c r="H379" s="1073">
        <v>648001225</v>
      </c>
      <c r="I379" s="1073">
        <v>899986153</v>
      </c>
      <c r="J379" s="1077">
        <v>881525514</v>
      </c>
      <c r="K379" s="1075">
        <v>899986153</v>
      </c>
      <c r="L379" s="1075">
        <v>881525514</v>
      </c>
    </row>
    <row r="380" spans="1:12">
      <c r="A380" t="s">
        <v>349</v>
      </c>
      <c r="B380" s="31" t="s">
        <v>293</v>
      </c>
      <c r="C380" s="1075">
        <v>654395576</v>
      </c>
      <c r="D380" s="1075">
        <v>637901037</v>
      </c>
      <c r="E380" s="1075">
        <v>654395576</v>
      </c>
      <c r="F380" s="1075">
        <v>637901037</v>
      </c>
      <c r="G380" s="1073">
        <v>637779729</v>
      </c>
      <c r="H380" s="1073">
        <v>637779729</v>
      </c>
      <c r="I380" s="1073">
        <v>654395576</v>
      </c>
      <c r="J380" s="1077">
        <v>637901037</v>
      </c>
      <c r="K380" s="1075">
        <v>654395576</v>
      </c>
      <c r="L380" s="1075">
        <v>637901037</v>
      </c>
    </row>
    <row r="381" spans="1:12">
      <c r="A381" t="s">
        <v>2144</v>
      </c>
      <c r="B381" s="31" t="s">
        <v>233</v>
      </c>
      <c r="C381" s="1075">
        <v>544102284</v>
      </c>
      <c r="D381" s="1075">
        <v>537165262</v>
      </c>
      <c r="E381" s="1075">
        <v>544102284</v>
      </c>
      <c r="F381" s="1075">
        <v>537165262</v>
      </c>
      <c r="G381" s="1073">
        <v>632997357</v>
      </c>
      <c r="H381" s="1073">
        <v>632997357</v>
      </c>
      <c r="I381" s="1073">
        <v>544102284</v>
      </c>
      <c r="J381" s="1077">
        <v>537165262</v>
      </c>
      <c r="K381" s="1075">
        <v>544102284</v>
      </c>
      <c r="L381" s="1075">
        <v>537165262</v>
      </c>
    </row>
    <row r="382" spans="1:12">
      <c r="A382" t="s">
        <v>2145</v>
      </c>
      <c r="B382" s="31" t="s">
        <v>234</v>
      </c>
      <c r="C382" s="1075">
        <v>37137977</v>
      </c>
      <c r="D382" s="1075">
        <v>36625681</v>
      </c>
      <c r="E382" s="1075">
        <v>37137977</v>
      </c>
      <c r="F382" s="1075">
        <v>36625681</v>
      </c>
      <c r="G382" s="1073">
        <v>51629462</v>
      </c>
      <c r="H382" s="1073">
        <v>51629462</v>
      </c>
      <c r="I382" s="1073">
        <v>37137977</v>
      </c>
      <c r="J382" s="1077">
        <v>36625681</v>
      </c>
      <c r="K382" s="1075">
        <v>37137977</v>
      </c>
      <c r="L382" s="1075">
        <v>36625681</v>
      </c>
    </row>
    <row r="383" spans="1:12">
      <c r="A383" t="s">
        <v>505</v>
      </c>
      <c r="B383" s="31" t="s">
        <v>235</v>
      </c>
      <c r="C383" s="1075">
        <v>92664575</v>
      </c>
      <c r="D383" s="1075">
        <v>88042065</v>
      </c>
      <c r="E383" s="1075">
        <v>92664575</v>
      </c>
      <c r="F383" s="1075">
        <v>88042065</v>
      </c>
      <c r="G383" s="1073">
        <v>101383018</v>
      </c>
      <c r="H383" s="1073">
        <v>101383018</v>
      </c>
      <c r="I383" s="1073">
        <v>92664575</v>
      </c>
      <c r="J383" s="1077">
        <v>88042065</v>
      </c>
      <c r="K383" s="1075">
        <v>92664575</v>
      </c>
      <c r="L383" s="1075">
        <v>88042065</v>
      </c>
    </row>
    <row r="384" spans="1:12">
      <c r="A384" t="s">
        <v>1955</v>
      </c>
      <c r="B384" s="31" t="s">
        <v>236</v>
      </c>
      <c r="C384" s="1075">
        <v>74900320</v>
      </c>
      <c r="D384" s="1075">
        <v>72352404</v>
      </c>
      <c r="E384" s="1075">
        <v>74900320</v>
      </c>
      <c r="F384" s="1075">
        <v>72352404</v>
      </c>
      <c r="G384" s="1073">
        <v>69811004</v>
      </c>
      <c r="H384" s="1073">
        <v>69811004</v>
      </c>
      <c r="I384" s="1073">
        <v>74900320</v>
      </c>
      <c r="J384" s="1077">
        <v>72352404</v>
      </c>
      <c r="K384" s="1075">
        <v>74900320</v>
      </c>
      <c r="L384" s="1075">
        <v>72352404</v>
      </c>
    </row>
    <row r="385" spans="1:12">
      <c r="A385" t="s">
        <v>2072</v>
      </c>
      <c r="B385" s="31" t="s">
        <v>237</v>
      </c>
      <c r="C385" s="1075">
        <v>1273754864</v>
      </c>
      <c r="D385" s="1075">
        <v>1231556333</v>
      </c>
      <c r="E385" s="1075">
        <v>1273754864</v>
      </c>
      <c r="F385" s="1075">
        <v>1231556333</v>
      </c>
      <c r="G385" s="1073">
        <v>1160178720</v>
      </c>
      <c r="H385" s="1073">
        <v>1160178720</v>
      </c>
      <c r="I385" s="1073">
        <v>1357734424</v>
      </c>
      <c r="J385" s="1077">
        <v>1315535893</v>
      </c>
      <c r="K385" s="1075">
        <v>1357734424</v>
      </c>
      <c r="L385" s="1075">
        <v>1315535893</v>
      </c>
    </row>
    <row r="386" spans="1:12">
      <c r="A386" t="s">
        <v>2073</v>
      </c>
      <c r="B386" s="31" t="s">
        <v>238</v>
      </c>
      <c r="C386" s="1075">
        <v>163594194</v>
      </c>
      <c r="D386" s="1075">
        <v>159796304</v>
      </c>
      <c r="E386" s="1075">
        <v>163594194</v>
      </c>
      <c r="F386" s="1075">
        <v>159796304</v>
      </c>
      <c r="G386" s="1073">
        <v>146325372</v>
      </c>
      <c r="H386" s="1073">
        <v>146325372</v>
      </c>
      <c r="I386" s="1073">
        <v>163594194</v>
      </c>
      <c r="J386" s="1077">
        <v>159796304</v>
      </c>
      <c r="K386" s="1075">
        <v>163594194</v>
      </c>
      <c r="L386" s="1075">
        <v>159796304</v>
      </c>
    </row>
    <row r="387" spans="1:12">
      <c r="A387" t="s">
        <v>146</v>
      </c>
      <c r="B387" s="31" t="s">
        <v>239</v>
      </c>
      <c r="C387" s="1075">
        <v>82442355</v>
      </c>
      <c r="D387" s="1075">
        <v>80899696</v>
      </c>
      <c r="E387" s="1075">
        <v>82442355</v>
      </c>
      <c r="F387" s="1075">
        <v>80899696</v>
      </c>
      <c r="G387" s="1073">
        <v>85870148</v>
      </c>
      <c r="H387" s="1073">
        <v>85870148</v>
      </c>
      <c r="I387" s="1073">
        <v>82442355</v>
      </c>
      <c r="J387" s="1077">
        <v>80899696</v>
      </c>
      <c r="K387" s="1075">
        <v>82442355</v>
      </c>
      <c r="L387" s="1075">
        <v>80899696</v>
      </c>
    </row>
    <row r="388" spans="1:12">
      <c r="A388" t="s">
        <v>147</v>
      </c>
      <c r="B388" s="31" t="s">
        <v>1043</v>
      </c>
      <c r="C388" s="1075">
        <v>318176525</v>
      </c>
      <c r="D388" s="1075">
        <v>304995089</v>
      </c>
      <c r="E388" s="1075">
        <v>318176525</v>
      </c>
      <c r="F388" s="1075">
        <v>304995089</v>
      </c>
      <c r="G388" s="1073">
        <v>292472235</v>
      </c>
      <c r="H388" s="1073">
        <v>292472235</v>
      </c>
      <c r="I388" s="1073">
        <v>318176525</v>
      </c>
      <c r="J388" s="1077">
        <v>304995089</v>
      </c>
      <c r="K388" s="1075">
        <v>318176525</v>
      </c>
      <c r="L388" s="1075">
        <v>304995089</v>
      </c>
    </row>
    <row r="389" spans="1:12">
      <c r="A389" t="s">
        <v>2507</v>
      </c>
      <c r="B389" s="31" t="s">
        <v>2373</v>
      </c>
      <c r="C389" s="1075">
        <v>170316008</v>
      </c>
      <c r="D389" s="1075">
        <v>163088589</v>
      </c>
      <c r="E389" s="1075">
        <v>170316008</v>
      </c>
      <c r="F389" s="1075">
        <v>163088589</v>
      </c>
      <c r="G389" s="1073">
        <v>168953842</v>
      </c>
      <c r="H389" s="1073">
        <v>168953842</v>
      </c>
      <c r="I389" s="1073">
        <v>170316008</v>
      </c>
      <c r="J389" s="1077">
        <v>163088589</v>
      </c>
      <c r="K389" s="1075">
        <v>170316008</v>
      </c>
      <c r="L389" s="1075">
        <v>163088589</v>
      </c>
    </row>
    <row r="390" spans="1:12">
      <c r="A390" t="s">
        <v>2344</v>
      </c>
      <c r="B390" s="31" t="s">
        <v>241</v>
      </c>
      <c r="C390" s="1075">
        <v>289623592</v>
      </c>
      <c r="D390" s="1075">
        <v>286233145</v>
      </c>
      <c r="E390" s="1075">
        <v>289623592</v>
      </c>
      <c r="F390" s="1075">
        <v>286233145</v>
      </c>
      <c r="G390" s="1073">
        <v>380330368</v>
      </c>
      <c r="H390" s="1073">
        <v>376514655</v>
      </c>
      <c r="I390" s="1073">
        <v>325069592</v>
      </c>
      <c r="J390" s="1077">
        <v>321679145</v>
      </c>
      <c r="K390" s="1075">
        <v>325069592</v>
      </c>
      <c r="L390" s="1075">
        <v>321679145</v>
      </c>
    </row>
    <row r="391" spans="1:12">
      <c r="A391" t="s">
        <v>1120</v>
      </c>
      <c r="B391" s="31" t="s">
        <v>1044</v>
      </c>
      <c r="C391" s="1075">
        <v>115490799</v>
      </c>
      <c r="D391" s="1075">
        <v>114898502</v>
      </c>
      <c r="E391" s="1075">
        <v>115048937</v>
      </c>
      <c r="F391" s="1075">
        <v>114456640</v>
      </c>
      <c r="G391" s="1073">
        <v>189362194</v>
      </c>
      <c r="H391" s="1073">
        <v>188854683</v>
      </c>
      <c r="I391" s="1073">
        <v>117419299</v>
      </c>
      <c r="J391" s="1077">
        <v>116827002</v>
      </c>
      <c r="K391" s="1075">
        <v>116977437</v>
      </c>
      <c r="L391" s="1075">
        <v>116385140</v>
      </c>
    </row>
    <row r="392" spans="1:12">
      <c r="A392" t="s">
        <v>1121</v>
      </c>
      <c r="B392" s="31" t="s">
        <v>2596</v>
      </c>
      <c r="C392" s="1075">
        <v>355120173</v>
      </c>
      <c r="D392" s="1075">
        <v>347191577</v>
      </c>
      <c r="E392" s="1075">
        <v>355120173</v>
      </c>
      <c r="F392" s="1075">
        <v>347191577</v>
      </c>
      <c r="G392" s="1073">
        <v>490601020</v>
      </c>
      <c r="H392" s="1073">
        <v>490601020</v>
      </c>
      <c r="I392" s="1073">
        <v>385161673</v>
      </c>
      <c r="J392" s="1077">
        <v>377233077</v>
      </c>
      <c r="K392" s="1075">
        <v>385161673</v>
      </c>
      <c r="L392" s="1075">
        <v>377233077</v>
      </c>
    </row>
    <row r="393" spans="1:12">
      <c r="A393" t="s">
        <v>2106</v>
      </c>
      <c r="B393" s="31" t="s">
        <v>476</v>
      </c>
      <c r="C393" s="1075">
        <v>115200385</v>
      </c>
      <c r="D393" s="1075">
        <v>113676195</v>
      </c>
      <c r="E393" s="1075">
        <v>115200385</v>
      </c>
      <c r="F393" s="1075">
        <v>113676195</v>
      </c>
      <c r="G393" s="1073">
        <v>241144081</v>
      </c>
      <c r="H393" s="1073">
        <v>241144081</v>
      </c>
      <c r="I393" s="1073">
        <v>178430965</v>
      </c>
      <c r="J393" s="1077">
        <v>176906775</v>
      </c>
      <c r="K393" s="1075">
        <v>178430965</v>
      </c>
      <c r="L393" s="1075">
        <v>176906775</v>
      </c>
    </row>
    <row r="394" spans="1:12">
      <c r="A394" t="s">
        <v>2107</v>
      </c>
      <c r="B394" s="31" t="s">
        <v>477</v>
      </c>
      <c r="C394" s="1075">
        <v>275528682</v>
      </c>
      <c r="D394" s="1075">
        <v>271132502</v>
      </c>
      <c r="E394" s="1075">
        <v>275528682</v>
      </c>
      <c r="F394" s="1075">
        <v>271132502</v>
      </c>
      <c r="G394" s="1073">
        <v>345873450</v>
      </c>
      <c r="H394" s="1073">
        <v>345873450</v>
      </c>
      <c r="I394" s="1073">
        <v>275528682</v>
      </c>
      <c r="J394" s="1077">
        <v>271132502</v>
      </c>
      <c r="K394" s="1075">
        <v>275528682</v>
      </c>
      <c r="L394" s="1075">
        <v>271132502</v>
      </c>
    </row>
    <row r="395" spans="1:12">
      <c r="A395" t="s">
        <v>1020</v>
      </c>
      <c r="B395" s="31" t="s">
        <v>478</v>
      </c>
      <c r="C395" s="1075">
        <v>372244338</v>
      </c>
      <c r="D395" s="1075">
        <v>355323868</v>
      </c>
      <c r="E395" s="1075">
        <v>364048223</v>
      </c>
      <c r="F395" s="1075">
        <v>347127753</v>
      </c>
      <c r="G395" s="1073">
        <v>398712106</v>
      </c>
      <c r="H395" s="1073">
        <v>390356757</v>
      </c>
      <c r="I395" s="1073">
        <v>372244338</v>
      </c>
      <c r="J395" s="1077">
        <v>355323868</v>
      </c>
      <c r="K395" s="1075">
        <v>364048223</v>
      </c>
      <c r="L395" s="1075">
        <v>347127753</v>
      </c>
    </row>
    <row r="396" spans="1:12">
      <c r="A396" t="s">
        <v>1148</v>
      </c>
      <c r="B396" s="31" t="s">
        <v>1494</v>
      </c>
      <c r="C396" s="1075">
        <v>795711628</v>
      </c>
      <c r="D396" s="1075">
        <v>758401088</v>
      </c>
      <c r="E396" s="1075">
        <v>795711628</v>
      </c>
      <c r="F396" s="1075">
        <v>758401088</v>
      </c>
      <c r="G396" s="1073">
        <v>773443282</v>
      </c>
      <c r="H396" s="1073">
        <v>773443282</v>
      </c>
      <c r="I396" s="1073">
        <v>795711628</v>
      </c>
      <c r="J396" s="1077">
        <v>758401088</v>
      </c>
      <c r="K396" s="1075">
        <v>795711628</v>
      </c>
      <c r="L396" s="1075">
        <v>758401088</v>
      </c>
    </row>
    <row r="397" spans="1:12">
      <c r="A397" t="s">
        <v>381</v>
      </c>
      <c r="B397" s="31" t="s">
        <v>479</v>
      </c>
      <c r="C397" s="1075">
        <v>819589064</v>
      </c>
      <c r="D397" s="1075">
        <v>793103372</v>
      </c>
      <c r="E397" s="1075">
        <v>788280452</v>
      </c>
      <c r="F397" s="1075">
        <v>761794760</v>
      </c>
      <c r="G397" s="1073">
        <v>857138146</v>
      </c>
      <c r="H397" s="1073">
        <v>827775390</v>
      </c>
      <c r="I397" s="1073">
        <v>819589064</v>
      </c>
      <c r="J397" s="1077">
        <v>793103372</v>
      </c>
      <c r="K397" s="1075">
        <v>788280452</v>
      </c>
      <c r="L397" s="1075">
        <v>761794760</v>
      </c>
    </row>
    <row r="398" spans="1:12">
      <c r="A398" t="s">
        <v>2285</v>
      </c>
      <c r="B398" s="31" t="s">
        <v>839</v>
      </c>
      <c r="C398" s="1075">
        <v>1123498482</v>
      </c>
      <c r="D398" s="1075">
        <v>1073389622</v>
      </c>
      <c r="E398" s="1075">
        <v>1123498482</v>
      </c>
      <c r="F398" s="1075">
        <v>1073389622</v>
      </c>
      <c r="G398" s="1073">
        <v>1039085874</v>
      </c>
      <c r="H398" s="1073">
        <v>1039085874</v>
      </c>
      <c r="I398" s="1073">
        <v>1123498482</v>
      </c>
      <c r="J398" s="1077">
        <v>1073389622</v>
      </c>
      <c r="K398" s="1075">
        <v>1123498482</v>
      </c>
      <c r="L398" s="1075">
        <v>1073389622</v>
      </c>
    </row>
    <row r="399" spans="1:12">
      <c r="A399" t="s">
        <v>1179</v>
      </c>
      <c r="B399" s="31" t="s">
        <v>297</v>
      </c>
      <c r="C399" s="1075">
        <v>193432615</v>
      </c>
      <c r="D399" s="1075">
        <v>186483935</v>
      </c>
      <c r="E399" s="1075">
        <v>193432615</v>
      </c>
      <c r="F399" s="1075">
        <v>186483935</v>
      </c>
      <c r="G399" s="1073">
        <v>218479113</v>
      </c>
      <c r="H399" s="1073">
        <v>218479113</v>
      </c>
      <c r="I399" s="1073">
        <v>193432615</v>
      </c>
      <c r="J399" s="1077">
        <v>186483935</v>
      </c>
      <c r="K399" s="1075">
        <v>193432615</v>
      </c>
      <c r="L399" s="1075">
        <v>186483935</v>
      </c>
    </row>
    <row r="400" spans="1:12">
      <c r="A400" t="s">
        <v>585</v>
      </c>
      <c r="B400" s="31" t="s">
        <v>699</v>
      </c>
      <c r="C400" s="1075">
        <v>19256145453</v>
      </c>
      <c r="D400" s="1075">
        <v>18926881613</v>
      </c>
      <c r="E400" s="1075">
        <v>19256145453</v>
      </c>
      <c r="F400" s="1075">
        <v>18926881613</v>
      </c>
      <c r="G400" s="1073">
        <v>17302894413</v>
      </c>
      <c r="H400" s="1073">
        <v>17302894413</v>
      </c>
      <c r="I400" s="1073">
        <v>19256145453</v>
      </c>
      <c r="J400" s="1077">
        <v>18926881613</v>
      </c>
      <c r="K400" s="1075">
        <v>19256145453</v>
      </c>
      <c r="L400" s="1075">
        <v>18926881613</v>
      </c>
    </row>
    <row r="401" spans="1:12">
      <c r="A401" t="s">
        <v>194</v>
      </c>
      <c r="B401" s="31" t="s">
        <v>1987</v>
      </c>
      <c r="C401" s="1075">
        <v>14940618926</v>
      </c>
      <c r="D401" s="1075">
        <v>14673777042</v>
      </c>
      <c r="E401" s="1075">
        <v>14940618926</v>
      </c>
      <c r="F401" s="1075">
        <v>14673777042</v>
      </c>
      <c r="G401" s="1073">
        <v>13124030433</v>
      </c>
      <c r="H401" s="1073">
        <v>13124030433</v>
      </c>
      <c r="I401" s="1073">
        <v>14940618926</v>
      </c>
      <c r="J401" s="1077">
        <v>14673777042</v>
      </c>
      <c r="K401" s="1075">
        <v>14940618926</v>
      </c>
      <c r="L401" s="1075">
        <v>14673777042</v>
      </c>
    </row>
    <row r="402" spans="1:12">
      <c r="A402" t="s">
        <v>2313</v>
      </c>
      <c r="B402" s="31" t="s">
        <v>480</v>
      </c>
      <c r="C402" s="1075">
        <v>3108260307</v>
      </c>
      <c r="D402" s="1075">
        <v>3051017360</v>
      </c>
      <c r="E402" s="1075">
        <v>3108260307</v>
      </c>
      <c r="F402" s="1075">
        <v>3051017360</v>
      </c>
      <c r="G402" s="1073">
        <v>2797111015</v>
      </c>
      <c r="H402" s="1073">
        <v>2797111015</v>
      </c>
      <c r="I402" s="1073">
        <v>3108260307</v>
      </c>
      <c r="J402" s="1077">
        <v>3051017360</v>
      </c>
      <c r="K402" s="1075">
        <v>3108260307</v>
      </c>
      <c r="L402" s="1075">
        <v>3051017360</v>
      </c>
    </row>
    <row r="403" spans="1:12">
      <c r="A403" t="s">
        <v>2404</v>
      </c>
      <c r="B403" s="31" t="s">
        <v>418</v>
      </c>
      <c r="C403" s="1075">
        <v>1784656643</v>
      </c>
      <c r="D403" s="1075">
        <v>1726024240</v>
      </c>
      <c r="E403" s="1075">
        <v>1784656643</v>
      </c>
      <c r="F403" s="1075">
        <v>1726024240</v>
      </c>
      <c r="G403" s="1073">
        <v>1540940595</v>
      </c>
      <c r="H403" s="1073">
        <v>1540940595</v>
      </c>
      <c r="I403" s="1073">
        <v>1784656643</v>
      </c>
      <c r="J403" s="1077">
        <v>1726024240</v>
      </c>
      <c r="K403" s="1075">
        <v>1784656643</v>
      </c>
      <c r="L403" s="1075">
        <v>1726024240</v>
      </c>
    </row>
    <row r="404" spans="1:12">
      <c r="A404" t="s">
        <v>2314</v>
      </c>
      <c r="B404" s="31" t="s">
        <v>481</v>
      </c>
      <c r="C404" s="1075">
        <v>52399500670</v>
      </c>
      <c r="D404" s="1075">
        <v>51232390841</v>
      </c>
      <c r="E404" s="1075">
        <v>49944500338</v>
      </c>
      <c r="F404" s="1075">
        <v>48777390509</v>
      </c>
      <c r="G404" s="1073">
        <v>44197728266</v>
      </c>
      <c r="H404" s="1073">
        <v>42099285525</v>
      </c>
      <c r="I404" s="1073">
        <v>52399500670</v>
      </c>
      <c r="J404" s="1077">
        <v>51232390841</v>
      </c>
      <c r="K404" s="1075">
        <v>49944500338</v>
      </c>
      <c r="L404" s="1075">
        <v>48777390509</v>
      </c>
    </row>
    <row r="405" spans="1:12">
      <c r="A405" t="s">
        <v>2166</v>
      </c>
      <c r="B405" s="31" t="s">
        <v>482</v>
      </c>
      <c r="C405" s="1075">
        <v>8371153775</v>
      </c>
      <c r="D405" s="1075">
        <v>8258591098</v>
      </c>
      <c r="E405" s="1075">
        <v>8192706967</v>
      </c>
      <c r="F405" s="1075">
        <v>8080144290</v>
      </c>
      <c r="G405" s="1073">
        <v>8199563728</v>
      </c>
      <c r="H405" s="1073">
        <v>8034785944</v>
      </c>
      <c r="I405" s="1073">
        <v>8409075855</v>
      </c>
      <c r="J405" s="1077">
        <v>8296513178</v>
      </c>
      <c r="K405" s="1075">
        <v>8230629047</v>
      </c>
      <c r="L405" s="1075">
        <v>8118066370</v>
      </c>
    </row>
    <row r="406" spans="1:12">
      <c r="A406" t="s">
        <v>1428</v>
      </c>
      <c r="B406" s="31" t="s">
        <v>1480</v>
      </c>
      <c r="C406" s="1075">
        <v>8546073090</v>
      </c>
      <c r="D406" s="1075">
        <v>8422144129</v>
      </c>
      <c r="E406" s="1075">
        <v>8430055185</v>
      </c>
      <c r="F406" s="1075">
        <v>8306126224</v>
      </c>
      <c r="G406" s="1073">
        <v>7834438993</v>
      </c>
      <c r="H406" s="1073">
        <v>7732577543</v>
      </c>
      <c r="I406" s="1073">
        <v>8546073090</v>
      </c>
      <c r="J406" s="1077">
        <v>8422144129</v>
      </c>
      <c r="K406" s="1075">
        <v>8430055185</v>
      </c>
      <c r="L406" s="1075">
        <v>8306126224</v>
      </c>
    </row>
    <row r="407" spans="1:12">
      <c r="A407" t="s">
        <v>2020</v>
      </c>
      <c r="B407" s="31" t="s">
        <v>483</v>
      </c>
      <c r="C407" s="1075">
        <v>10918539524</v>
      </c>
      <c r="D407" s="1075">
        <v>10732671592</v>
      </c>
      <c r="E407" s="1075">
        <v>10802691856</v>
      </c>
      <c r="F407" s="1075">
        <v>10616823924</v>
      </c>
      <c r="G407" s="1073">
        <v>9832079435</v>
      </c>
      <c r="H407" s="1073">
        <v>9729470507</v>
      </c>
      <c r="I407" s="1073">
        <v>11240568440</v>
      </c>
      <c r="J407" s="1077">
        <v>11054700508</v>
      </c>
      <c r="K407" s="1075">
        <v>11124720772</v>
      </c>
      <c r="L407" s="1075">
        <v>10938852840</v>
      </c>
    </row>
    <row r="408" spans="1:12">
      <c r="A408" t="s">
        <v>2552</v>
      </c>
      <c r="B408" s="31" t="s">
        <v>484</v>
      </c>
      <c r="C408" s="1075">
        <v>170264157872</v>
      </c>
      <c r="D408" s="1075">
        <v>168099946742</v>
      </c>
      <c r="E408" s="1075">
        <v>163383767557</v>
      </c>
      <c r="F408" s="1075">
        <v>161219556427</v>
      </c>
      <c r="G408" s="1073">
        <v>145721018329</v>
      </c>
      <c r="H408" s="1073">
        <v>139925959363</v>
      </c>
      <c r="I408" s="1073">
        <v>170264157872</v>
      </c>
      <c r="J408" s="1077">
        <v>168099946742</v>
      </c>
      <c r="K408" s="1075">
        <v>163383767557</v>
      </c>
      <c r="L408" s="1075">
        <v>161219556427</v>
      </c>
    </row>
    <row r="409" spans="1:12">
      <c r="A409" t="s">
        <v>1117</v>
      </c>
      <c r="B409" s="31" t="s">
        <v>2385</v>
      </c>
      <c r="C409" s="1075">
        <v>14276064804</v>
      </c>
      <c r="D409" s="1075">
        <v>13839245656</v>
      </c>
      <c r="E409" s="1075">
        <v>14276064804</v>
      </c>
      <c r="F409" s="1075">
        <v>13839245656</v>
      </c>
      <c r="G409" s="1073">
        <v>12191746281</v>
      </c>
      <c r="H409" s="1073">
        <v>12191746281</v>
      </c>
      <c r="I409" s="1073">
        <v>14276064804</v>
      </c>
      <c r="J409" s="1077">
        <v>13839245656</v>
      </c>
      <c r="K409" s="1075">
        <v>14276064804</v>
      </c>
      <c r="L409" s="1075">
        <v>13839245656</v>
      </c>
    </row>
    <row r="410" spans="1:12">
      <c r="A410" t="s">
        <v>48</v>
      </c>
      <c r="B410" s="31" t="s">
        <v>410</v>
      </c>
      <c r="C410" s="1075">
        <v>36465875356</v>
      </c>
      <c r="D410" s="1075">
        <v>35779543377</v>
      </c>
      <c r="E410" s="1075">
        <v>36465875356</v>
      </c>
      <c r="F410" s="1075">
        <v>35779543377</v>
      </c>
      <c r="G410" s="1073">
        <v>28883510437</v>
      </c>
      <c r="H410" s="1073">
        <v>28883510437</v>
      </c>
      <c r="I410" s="1073">
        <v>36481153206</v>
      </c>
      <c r="J410" s="1077">
        <v>35794821227</v>
      </c>
      <c r="K410" s="1075">
        <v>36481153206</v>
      </c>
      <c r="L410" s="1075">
        <v>35794821227</v>
      </c>
    </row>
    <row r="411" spans="1:12">
      <c r="A411" t="s">
        <v>55</v>
      </c>
      <c r="B411" s="31" t="s">
        <v>2585</v>
      </c>
      <c r="C411" s="1075">
        <v>19419269680</v>
      </c>
      <c r="D411" s="1075">
        <v>18878793373</v>
      </c>
      <c r="E411" s="1075">
        <v>19419269680</v>
      </c>
      <c r="F411" s="1075">
        <v>18878793373</v>
      </c>
      <c r="G411" s="1073">
        <v>15815431659</v>
      </c>
      <c r="H411" s="1073">
        <v>15815431659</v>
      </c>
      <c r="I411" s="1073">
        <v>19488112321</v>
      </c>
      <c r="J411" s="1077">
        <v>18947636014</v>
      </c>
      <c r="K411" s="1075">
        <v>19488112321</v>
      </c>
      <c r="L411" s="1075">
        <v>18947636014</v>
      </c>
    </row>
    <row r="412" spans="1:12">
      <c r="A412" t="s">
        <v>2553</v>
      </c>
      <c r="B412" s="31" t="s">
        <v>485</v>
      </c>
      <c r="C412" s="1075">
        <v>8490438212</v>
      </c>
      <c r="D412" s="1075">
        <v>8388847824</v>
      </c>
      <c r="E412" s="1075">
        <v>8326607277</v>
      </c>
      <c r="F412" s="1075">
        <v>8225016889</v>
      </c>
      <c r="G412" s="1073">
        <v>7439362850</v>
      </c>
      <c r="H412" s="1073">
        <v>7295998314</v>
      </c>
      <c r="I412" s="1073">
        <v>9679867862</v>
      </c>
      <c r="J412" s="1077">
        <v>9578277474</v>
      </c>
      <c r="K412" s="1075">
        <v>9516036927</v>
      </c>
      <c r="L412" s="1075">
        <v>9414446539</v>
      </c>
    </row>
    <row r="413" spans="1:12">
      <c r="A413" t="s">
        <v>206</v>
      </c>
      <c r="B413" s="31" t="s">
        <v>272</v>
      </c>
      <c r="C413" s="1075">
        <v>13184494377</v>
      </c>
      <c r="D413" s="1075">
        <v>12819187914</v>
      </c>
      <c r="E413" s="1075">
        <v>12964503359</v>
      </c>
      <c r="F413" s="1075">
        <v>12599196896</v>
      </c>
      <c r="G413" s="1073">
        <v>11400647233</v>
      </c>
      <c r="H413" s="1073">
        <v>11205669019</v>
      </c>
      <c r="I413" s="1073">
        <v>13184494377</v>
      </c>
      <c r="J413" s="1077">
        <v>12819187914</v>
      </c>
      <c r="K413" s="1075">
        <v>12964503359</v>
      </c>
      <c r="L413" s="1075">
        <v>12599196896</v>
      </c>
    </row>
    <row r="414" spans="1:12">
      <c r="A414" t="s">
        <v>668</v>
      </c>
      <c r="B414" s="31" t="s">
        <v>486</v>
      </c>
      <c r="C414" s="1075">
        <v>11809850960</v>
      </c>
      <c r="D414" s="1075">
        <v>11542912332</v>
      </c>
      <c r="E414" s="1075">
        <v>11809850960</v>
      </c>
      <c r="F414" s="1075">
        <v>11542912332</v>
      </c>
      <c r="G414" s="1073">
        <v>9248628433</v>
      </c>
      <c r="H414" s="1073">
        <v>9248628433</v>
      </c>
      <c r="I414" s="1073">
        <v>11809850960</v>
      </c>
      <c r="J414" s="1077">
        <v>11542912332</v>
      </c>
      <c r="K414" s="1075">
        <v>11809850960</v>
      </c>
      <c r="L414" s="1075">
        <v>11542912332</v>
      </c>
    </row>
    <row r="415" spans="1:12">
      <c r="A415" t="s">
        <v>811</v>
      </c>
      <c r="B415" s="31" t="s">
        <v>2190</v>
      </c>
      <c r="C415" s="1075">
        <v>32121338673</v>
      </c>
      <c r="D415" s="1075">
        <v>31793958644</v>
      </c>
      <c r="E415" s="1075">
        <v>30133347258</v>
      </c>
      <c r="F415" s="1075">
        <v>29805967229</v>
      </c>
      <c r="G415" s="1073">
        <v>26442604550</v>
      </c>
      <c r="H415" s="1073">
        <v>24777294615</v>
      </c>
      <c r="I415" s="1073">
        <v>32121338673</v>
      </c>
      <c r="J415" s="1077">
        <v>31793958644</v>
      </c>
      <c r="K415" s="1075">
        <v>30133347258</v>
      </c>
      <c r="L415" s="1075">
        <v>29805967229</v>
      </c>
    </row>
    <row r="416" spans="1:12">
      <c r="A416" t="s">
        <v>1947</v>
      </c>
      <c r="B416" s="31" t="s">
        <v>2191</v>
      </c>
      <c r="C416" s="1075">
        <v>10000772311</v>
      </c>
      <c r="D416" s="1075">
        <v>9825852232</v>
      </c>
      <c r="E416" s="1075">
        <v>10000772311</v>
      </c>
      <c r="F416" s="1075">
        <v>9825852232</v>
      </c>
      <c r="G416" s="1073">
        <v>7874175925</v>
      </c>
      <c r="H416" s="1073">
        <v>7874175925</v>
      </c>
      <c r="I416" s="1073">
        <v>10000772311</v>
      </c>
      <c r="J416" s="1077">
        <v>9825852232</v>
      </c>
      <c r="K416" s="1075">
        <v>10000772311</v>
      </c>
      <c r="L416" s="1075">
        <v>9825852232</v>
      </c>
    </row>
    <row r="417" spans="1:12">
      <c r="A417" t="s">
        <v>1948</v>
      </c>
      <c r="B417" s="31" t="s">
        <v>2192</v>
      </c>
      <c r="C417" s="1075">
        <v>5393822306</v>
      </c>
      <c r="D417" s="1075">
        <v>5339377157</v>
      </c>
      <c r="E417" s="1075">
        <v>5334823837</v>
      </c>
      <c r="F417" s="1075">
        <v>5280378688</v>
      </c>
      <c r="G417" s="1073">
        <v>5185904116</v>
      </c>
      <c r="H417" s="1073">
        <v>5138504272</v>
      </c>
      <c r="I417" s="1073">
        <v>5551260206</v>
      </c>
      <c r="J417" s="1077">
        <v>5496815057</v>
      </c>
      <c r="K417" s="1075">
        <v>5492261737</v>
      </c>
      <c r="L417" s="1075">
        <v>5437816588</v>
      </c>
    </row>
    <row r="418" spans="1:12">
      <c r="A418" t="s">
        <v>867</v>
      </c>
      <c r="B418" s="31" t="s">
        <v>2383</v>
      </c>
      <c r="C418" s="1075">
        <v>1087300435</v>
      </c>
      <c r="D418" s="1075">
        <v>1051085854</v>
      </c>
      <c r="E418" s="1075">
        <v>1087300435</v>
      </c>
      <c r="F418" s="1075">
        <v>1051085854</v>
      </c>
      <c r="G418" s="1073">
        <v>914034019</v>
      </c>
      <c r="H418" s="1073">
        <v>914034019</v>
      </c>
      <c r="I418" s="1073">
        <v>1087300435</v>
      </c>
      <c r="J418" s="1077">
        <v>1051085854</v>
      </c>
      <c r="K418" s="1075">
        <v>1087300435</v>
      </c>
      <c r="L418" s="1075">
        <v>1051085854</v>
      </c>
    </row>
    <row r="419" spans="1:12">
      <c r="A419" t="s">
        <v>1949</v>
      </c>
      <c r="B419" s="31" t="s">
        <v>2193</v>
      </c>
      <c r="C419" s="1075">
        <v>201687069</v>
      </c>
      <c r="D419" s="1075">
        <v>196902493</v>
      </c>
      <c r="E419" s="1075">
        <v>194718821</v>
      </c>
      <c r="F419" s="1075">
        <v>189934245</v>
      </c>
      <c r="G419" s="1073">
        <v>236706051</v>
      </c>
      <c r="H419" s="1073">
        <v>230163988</v>
      </c>
      <c r="I419" s="1073">
        <v>201687069</v>
      </c>
      <c r="J419" s="1077">
        <v>196902493</v>
      </c>
      <c r="K419" s="1075">
        <v>194718821</v>
      </c>
      <c r="L419" s="1075">
        <v>189934245</v>
      </c>
    </row>
    <row r="420" spans="1:12">
      <c r="A420" t="s">
        <v>1500</v>
      </c>
      <c r="B420" s="31" t="s">
        <v>2194</v>
      </c>
      <c r="C420" s="1075">
        <v>2437206178</v>
      </c>
      <c r="D420" s="1075">
        <v>2379961395</v>
      </c>
      <c r="E420" s="1075">
        <v>2360766405</v>
      </c>
      <c r="F420" s="1075">
        <v>2303521622</v>
      </c>
      <c r="G420" s="1073">
        <v>2753162555</v>
      </c>
      <c r="H420" s="1073">
        <v>2677105418</v>
      </c>
      <c r="I420" s="1073">
        <v>2437206178</v>
      </c>
      <c r="J420" s="1077">
        <v>2379961395</v>
      </c>
      <c r="K420" s="1075">
        <v>2360766405</v>
      </c>
      <c r="L420" s="1075">
        <v>2303521622</v>
      </c>
    </row>
    <row r="421" spans="1:12">
      <c r="A421" t="s">
        <v>1501</v>
      </c>
      <c r="B421" s="31" t="s">
        <v>2195</v>
      </c>
      <c r="C421" s="1075">
        <v>356244635</v>
      </c>
      <c r="D421" s="1075">
        <v>349882330</v>
      </c>
      <c r="E421" s="1075">
        <v>347497986</v>
      </c>
      <c r="F421" s="1075">
        <v>341135681</v>
      </c>
      <c r="G421" s="1073">
        <v>441780708</v>
      </c>
      <c r="H421" s="1073">
        <v>433085114</v>
      </c>
      <c r="I421" s="1073">
        <v>356244635</v>
      </c>
      <c r="J421" s="1077">
        <v>349882330</v>
      </c>
      <c r="K421" s="1075">
        <v>347497986</v>
      </c>
      <c r="L421" s="1075">
        <v>341135681</v>
      </c>
    </row>
    <row r="422" spans="1:12">
      <c r="A422" t="s">
        <v>1502</v>
      </c>
      <c r="B422" s="31" t="s">
        <v>2074</v>
      </c>
      <c r="C422" s="1075">
        <v>2586099925</v>
      </c>
      <c r="D422" s="1075">
        <v>2541652904</v>
      </c>
      <c r="E422" s="1075">
        <v>2498483897</v>
      </c>
      <c r="F422" s="1075">
        <v>2454036876</v>
      </c>
      <c r="G422" s="1073">
        <v>2571958355</v>
      </c>
      <c r="H422" s="1073">
        <v>2489326629</v>
      </c>
      <c r="I422" s="1073">
        <v>2586099925</v>
      </c>
      <c r="J422" s="1077">
        <v>2541652904</v>
      </c>
      <c r="K422" s="1075">
        <v>2498483897</v>
      </c>
      <c r="L422" s="1075">
        <v>2454036876</v>
      </c>
    </row>
    <row r="423" spans="1:12">
      <c r="A423" t="s">
        <v>1568</v>
      </c>
      <c r="B423" s="31" t="s">
        <v>2075</v>
      </c>
      <c r="C423" s="1075">
        <v>160812028</v>
      </c>
      <c r="D423" s="1075">
        <v>155289825</v>
      </c>
      <c r="E423" s="1075">
        <v>151486010</v>
      </c>
      <c r="F423" s="1075">
        <v>145963807</v>
      </c>
      <c r="G423" s="1073">
        <v>167944739</v>
      </c>
      <c r="H423" s="1073">
        <v>159248602</v>
      </c>
      <c r="I423" s="1073">
        <v>160812028</v>
      </c>
      <c r="J423" s="1077">
        <v>155289825</v>
      </c>
      <c r="K423" s="1075">
        <v>151486010</v>
      </c>
      <c r="L423" s="1075">
        <v>145963807</v>
      </c>
    </row>
    <row r="424" spans="1:12">
      <c r="A424" t="s">
        <v>1569</v>
      </c>
      <c r="B424" s="31" t="s">
        <v>156</v>
      </c>
      <c r="C424" s="1075">
        <v>331775222</v>
      </c>
      <c r="D424" s="1075">
        <v>321297951</v>
      </c>
      <c r="E424" s="1075">
        <v>318175083</v>
      </c>
      <c r="F424" s="1075">
        <v>307697812</v>
      </c>
      <c r="G424" s="1073">
        <v>486052582</v>
      </c>
      <c r="H424" s="1073">
        <v>472955566</v>
      </c>
      <c r="I424" s="1073">
        <v>331775222</v>
      </c>
      <c r="J424" s="1077">
        <v>321297951</v>
      </c>
      <c r="K424" s="1075">
        <v>318175083</v>
      </c>
      <c r="L424" s="1075">
        <v>307697812</v>
      </c>
    </row>
    <row r="425" spans="1:12">
      <c r="A425" t="s">
        <v>497</v>
      </c>
      <c r="B425" s="31" t="s">
        <v>157</v>
      </c>
      <c r="C425" s="1075">
        <v>175793026</v>
      </c>
      <c r="D425" s="1075">
        <v>175127676</v>
      </c>
      <c r="E425" s="1075">
        <v>175793026</v>
      </c>
      <c r="F425" s="1075">
        <v>175127676</v>
      </c>
      <c r="G425" s="1073">
        <v>275592155</v>
      </c>
      <c r="H425" s="1073">
        <v>275592155</v>
      </c>
      <c r="I425" s="1073">
        <v>175793026</v>
      </c>
      <c r="J425" s="1077">
        <v>175127676</v>
      </c>
      <c r="K425" s="1075">
        <v>175793026</v>
      </c>
      <c r="L425" s="1075">
        <v>175127676</v>
      </c>
    </row>
    <row r="426" spans="1:12">
      <c r="A426" t="s">
        <v>465</v>
      </c>
      <c r="B426" s="31" t="s">
        <v>158</v>
      </c>
      <c r="C426" s="1075">
        <v>159871962</v>
      </c>
      <c r="D426" s="1075">
        <v>158982522</v>
      </c>
      <c r="E426" s="1075">
        <v>159871962</v>
      </c>
      <c r="F426" s="1075">
        <v>158982522</v>
      </c>
      <c r="G426" s="1073">
        <v>169242710</v>
      </c>
      <c r="H426" s="1073">
        <v>169242710</v>
      </c>
      <c r="I426" s="1073">
        <v>159871962</v>
      </c>
      <c r="J426" s="1077">
        <v>158982522</v>
      </c>
      <c r="K426" s="1075">
        <v>159871962</v>
      </c>
      <c r="L426" s="1075">
        <v>158982522</v>
      </c>
    </row>
    <row r="427" spans="1:12">
      <c r="A427" t="s">
        <v>466</v>
      </c>
      <c r="B427" s="31" t="s">
        <v>828</v>
      </c>
      <c r="C427" s="1075">
        <v>165530570</v>
      </c>
      <c r="D427" s="1075">
        <v>158218620</v>
      </c>
      <c r="E427" s="1075">
        <v>165530570</v>
      </c>
      <c r="F427" s="1075">
        <v>158218620</v>
      </c>
      <c r="G427" s="1073">
        <v>203158751</v>
      </c>
      <c r="H427" s="1073">
        <v>203158751</v>
      </c>
      <c r="I427" s="1073">
        <v>165530570</v>
      </c>
      <c r="J427" s="1077">
        <v>158218620</v>
      </c>
      <c r="K427" s="1075">
        <v>165530570</v>
      </c>
      <c r="L427" s="1075">
        <v>158218620</v>
      </c>
    </row>
    <row r="428" spans="1:12">
      <c r="A428" t="s">
        <v>467</v>
      </c>
      <c r="B428" s="31" t="s">
        <v>159</v>
      </c>
      <c r="C428" s="1075">
        <v>37868259</v>
      </c>
      <c r="D428" s="1075">
        <v>36684149</v>
      </c>
      <c r="E428" s="1075">
        <v>37222444</v>
      </c>
      <c r="F428" s="1075">
        <v>36038334</v>
      </c>
      <c r="G428" s="1073">
        <v>44140487</v>
      </c>
      <c r="H428" s="1073">
        <v>43514764</v>
      </c>
      <c r="I428" s="1073">
        <v>37868259</v>
      </c>
      <c r="J428" s="1077">
        <v>36684149</v>
      </c>
      <c r="K428" s="1075">
        <v>37222444</v>
      </c>
      <c r="L428" s="1075">
        <v>36038334</v>
      </c>
    </row>
    <row r="429" spans="1:12">
      <c r="A429" t="s">
        <v>468</v>
      </c>
      <c r="B429" s="31" t="s">
        <v>160</v>
      </c>
      <c r="C429" s="1075">
        <v>220946942</v>
      </c>
      <c r="D429" s="1075">
        <v>220370722</v>
      </c>
      <c r="E429" s="1075">
        <v>220946942</v>
      </c>
      <c r="F429" s="1075">
        <v>220370722</v>
      </c>
      <c r="G429" s="1073">
        <v>106427017</v>
      </c>
      <c r="H429" s="1073">
        <v>106427017</v>
      </c>
      <c r="I429" s="1073">
        <v>220946942</v>
      </c>
      <c r="J429" s="1077">
        <v>220370722</v>
      </c>
      <c r="K429" s="1075">
        <v>220946942</v>
      </c>
      <c r="L429" s="1075">
        <v>220370722</v>
      </c>
    </row>
    <row r="430" spans="1:12">
      <c r="A430" t="s">
        <v>1141</v>
      </c>
      <c r="B430" s="31" t="s">
        <v>1045</v>
      </c>
      <c r="C430" s="1075">
        <v>4749660022</v>
      </c>
      <c r="D430" s="1075">
        <v>4682325586</v>
      </c>
      <c r="E430" s="1075">
        <v>4749660022</v>
      </c>
      <c r="F430" s="1075">
        <v>4682325586</v>
      </c>
      <c r="G430" s="1073">
        <v>4178103815</v>
      </c>
      <c r="H430" s="1073">
        <v>4178103815</v>
      </c>
      <c r="I430" s="1073">
        <v>4749660022</v>
      </c>
      <c r="J430" s="1077">
        <v>4682325586</v>
      </c>
      <c r="K430" s="1075">
        <v>4749660022</v>
      </c>
      <c r="L430" s="1075">
        <v>4682325586</v>
      </c>
    </row>
    <row r="431" spans="1:12">
      <c r="A431" t="s">
        <v>1488</v>
      </c>
      <c r="B431" s="31" t="s">
        <v>1061</v>
      </c>
      <c r="C431" s="1075">
        <v>3979418046</v>
      </c>
      <c r="D431" s="1075">
        <v>3901803025</v>
      </c>
      <c r="E431" s="1075">
        <v>3979418046</v>
      </c>
      <c r="F431" s="1075">
        <v>3901803025</v>
      </c>
      <c r="G431" s="1073">
        <v>3168432342</v>
      </c>
      <c r="H431" s="1073">
        <v>3168432342</v>
      </c>
      <c r="I431" s="1073">
        <v>3979418046</v>
      </c>
      <c r="J431" s="1077">
        <v>3901803025</v>
      </c>
      <c r="K431" s="1075">
        <v>3979418046</v>
      </c>
      <c r="L431" s="1075">
        <v>3901803025</v>
      </c>
    </row>
    <row r="432" spans="1:12">
      <c r="A432" t="s">
        <v>1292</v>
      </c>
      <c r="B432" s="31" t="s">
        <v>162</v>
      </c>
      <c r="C432" s="1075">
        <v>1805579681</v>
      </c>
      <c r="D432" s="1075">
        <v>1763165859</v>
      </c>
      <c r="E432" s="1075">
        <v>1805579681</v>
      </c>
      <c r="F432" s="1075">
        <v>1763165859</v>
      </c>
      <c r="G432" s="1073">
        <v>1607484170</v>
      </c>
      <c r="H432" s="1073">
        <v>1607484170</v>
      </c>
      <c r="I432" s="1073">
        <v>1805579681</v>
      </c>
      <c r="J432" s="1077">
        <v>1763165859</v>
      </c>
      <c r="K432" s="1075">
        <v>1805579681</v>
      </c>
      <c r="L432" s="1075">
        <v>1763165859</v>
      </c>
    </row>
    <row r="433" spans="1:12">
      <c r="A433" t="s">
        <v>1863</v>
      </c>
      <c r="B433" s="31" t="s">
        <v>35</v>
      </c>
      <c r="C433" s="1075">
        <v>6222410228</v>
      </c>
      <c r="D433" s="1075">
        <v>6050655594</v>
      </c>
      <c r="E433" s="1075">
        <v>6222410228</v>
      </c>
      <c r="F433" s="1075">
        <v>6050655594</v>
      </c>
      <c r="G433" s="1073">
        <v>4646310333</v>
      </c>
      <c r="H433" s="1073">
        <v>4646310333</v>
      </c>
      <c r="I433" s="1073">
        <v>6222410228</v>
      </c>
      <c r="J433" s="1077">
        <v>6050655594</v>
      </c>
      <c r="K433" s="1075">
        <v>6222410228</v>
      </c>
      <c r="L433" s="1075">
        <v>6050655594</v>
      </c>
    </row>
    <row r="434" spans="1:12">
      <c r="A434" t="s">
        <v>1703</v>
      </c>
      <c r="B434" s="31" t="s">
        <v>163</v>
      </c>
      <c r="C434" s="1075">
        <v>1208552487</v>
      </c>
      <c r="D434" s="1075">
        <v>1201440447</v>
      </c>
      <c r="E434" s="1075">
        <v>1199067362</v>
      </c>
      <c r="F434" s="1075">
        <v>1191955322</v>
      </c>
      <c r="G434" s="1073">
        <v>1784945155</v>
      </c>
      <c r="H434" s="1073">
        <v>1775400305</v>
      </c>
      <c r="I434" s="1073">
        <v>1223267187</v>
      </c>
      <c r="J434" s="1077">
        <v>1216155147</v>
      </c>
      <c r="K434" s="1075">
        <v>1213782062</v>
      </c>
      <c r="L434" s="1075">
        <v>1206670022</v>
      </c>
    </row>
    <row r="435" spans="1:12">
      <c r="A435" t="s">
        <v>1704</v>
      </c>
      <c r="B435" s="31" t="s">
        <v>1349</v>
      </c>
      <c r="C435" s="1075">
        <v>1286195301</v>
      </c>
      <c r="D435" s="1075">
        <v>1241639608</v>
      </c>
      <c r="E435" s="1075">
        <v>1286195301</v>
      </c>
      <c r="F435" s="1075">
        <v>1241639608</v>
      </c>
      <c r="G435" s="1073">
        <v>1278545512</v>
      </c>
      <c r="H435" s="1073">
        <v>1278545512</v>
      </c>
      <c r="I435" s="1073">
        <v>1286195301</v>
      </c>
      <c r="J435" s="1077">
        <v>1241639608</v>
      </c>
      <c r="K435" s="1075">
        <v>1286195301</v>
      </c>
      <c r="L435" s="1075">
        <v>1241639608</v>
      </c>
    </row>
    <row r="436" spans="1:12">
      <c r="A436" t="s">
        <v>2544</v>
      </c>
      <c r="B436" s="31" t="s">
        <v>1350</v>
      </c>
      <c r="C436" s="1075">
        <v>693066307</v>
      </c>
      <c r="D436" s="1075">
        <v>655317392</v>
      </c>
      <c r="E436" s="1075">
        <v>647693140</v>
      </c>
      <c r="F436" s="1075">
        <v>609944225</v>
      </c>
      <c r="G436" s="1073">
        <v>661969534</v>
      </c>
      <c r="H436" s="1073">
        <v>616260303</v>
      </c>
      <c r="I436" s="1073">
        <v>693066307</v>
      </c>
      <c r="J436" s="1077">
        <v>655317392</v>
      </c>
      <c r="K436" s="1075">
        <v>647693140</v>
      </c>
      <c r="L436" s="1075">
        <v>609944225</v>
      </c>
    </row>
    <row r="437" spans="1:12">
      <c r="A437" t="s">
        <v>2519</v>
      </c>
      <c r="B437" s="31" t="s">
        <v>1351</v>
      </c>
      <c r="C437" s="1075">
        <v>218116780</v>
      </c>
      <c r="D437" s="1075">
        <v>212078082</v>
      </c>
      <c r="E437" s="1075">
        <v>218116780</v>
      </c>
      <c r="F437" s="1075">
        <v>212078082</v>
      </c>
      <c r="G437" s="1073">
        <v>264102548</v>
      </c>
      <c r="H437" s="1073">
        <v>264102548</v>
      </c>
      <c r="I437" s="1073">
        <v>218116780</v>
      </c>
      <c r="J437" s="1077">
        <v>212078082</v>
      </c>
      <c r="K437" s="1075">
        <v>218116780</v>
      </c>
      <c r="L437" s="1075">
        <v>212078082</v>
      </c>
    </row>
    <row r="438" spans="1:12">
      <c r="A438" t="s">
        <v>2007</v>
      </c>
      <c r="B438" s="31" t="s">
        <v>1352</v>
      </c>
      <c r="C438" s="1075">
        <v>562635767</v>
      </c>
      <c r="D438" s="1075">
        <v>546154734</v>
      </c>
      <c r="E438" s="1075">
        <v>538005294</v>
      </c>
      <c r="F438" s="1075">
        <v>521524261</v>
      </c>
      <c r="G438" s="1073">
        <v>561979052</v>
      </c>
      <c r="H438" s="1073">
        <v>536484900</v>
      </c>
      <c r="I438" s="1073">
        <v>562635767</v>
      </c>
      <c r="J438" s="1077">
        <v>546154734</v>
      </c>
      <c r="K438" s="1075">
        <v>538005294</v>
      </c>
      <c r="L438" s="1075">
        <v>521524261</v>
      </c>
    </row>
    <row r="439" spans="1:12">
      <c r="A439" t="s">
        <v>63</v>
      </c>
      <c r="B439" s="31" t="s">
        <v>2599</v>
      </c>
      <c r="C439" s="1075">
        <v>1191032874</v>
      </c>
      <c r="D439" s="1075">
        <v>1166673109</v>
      </c>
      <c r="E439" s="1075">
        <v>1191032874</v>
      </c>
      <c r="F439" s="1075">
        <v>1166673109</v>
      </c>
      <c r="G439" s="1073">
        <v>1123397888</v>
      </c>
      <c r="H439" s="1073">
        <v>1123397888</v>
      </c>
      <c r="I439" s="1073">
        <v>1191032874</v>
      </c>
      <c r="J439" s="1077">
        <v>1166673109</v>
      </c>
      <c r="K439" s="1075">
        <v>1191032874</v>
      </c>
      <c r="L439" s="1075">
        <v>1166673109</v>
      </c>
    </row>
    <row r="440" spans="1:12">
      <c r="A440" t="s">
        <v>1518</v>
      </c>
      <c r="B440" s="31" t="s">
        <v>607</v>
      </c>
      <c r="C440" s="1075">
        <v>49886196</v>
      </c>
      <c r="D440" s="1075">
        <v>48194990</v>
      </c>
      <c r="E440" s="1075">
        <v>48987924</v>
      </c>
      <c r="F440" s="1075">
        <v>47296718</v>
      </c>
      <c r="G440" s="1073">
        <v>42160768</v>
      </c>
      <c r="H440" s="1073">
        <v>41144530</v>
      </c>
      <c r="I440" s="1073">
        <v>49886196</v>
      </c>
      <c r="J440" s="1077">
        <v>48194990</v>
      </c>
      <c r="K440" s="1075">
        <v>48987924</v>
      </c>
      <c r="L440" s="1075">
        <v>47296718</v>
      </c>
    </row>
    <row r="441" spans="1:12">
      <c r="A441" t="s">
        <v>868</v>
      </c>
      <c r="B441" s="31" t="s">
        <v>2105</v>
      </c>
      <c r="C441" s="1075">
        <v>36388691</v>
      </c>
      <c r="D441" s="1075">
        <v>34570141</v>
      </c>
      <c r="E441" s="1075">
        <v>36388691</v>
      </c>
      <c r="F441" s="1075">
        <v>34570141</v>
      </c>
      <c r="G441" s="1073">
        <v>39588027</v>
      </c>
      <c r="H441" s="1073">
        <v>39588027</v>
      </c>
      <c r="I441" s="1073">
        <v>36388691</v>
      </c>
      <c r="J441" s="1077">
        <v>34570141</v>
      </c>
      <c r="K441" s="1075">
        <v>36388691</v>
      </c>
      <c r="L441" s="1075">
        <v>34570141</v>
      </c>
    </row>
    <row r="442" spans="1:12">
      <c r="A442" t="s">
        <v>64</v>
      </c>
      <c r="B442" s="31" t="s">
        <v>2600</v>
      </c>
      <c r="C442" s="1075">
        <v>198113485</v>
      </c>
      <c r="D442" s="1075">
        <v>191833769</v>
      </c>
      <c r="E442" s="1075">
        <v>190193854</v>
      </c>
      <c r="F442" s="1075">
        <v>183914138</v>
      </c>
      <c r="G442" s="1073">
        <v>235113552</v>
      </c>
      <c r="H442" s="1073">
        <v>227391830</v>
      </c>
      <c r="I442" s="1073">
        <v>198113485</v>
      </c>
      <c r="J442" s="1077">
        <v>191833769</v>
      </c>
      <c r="K442" s="1075">
        <v>190193854</v>
      </c>
      <c r="L442" s="1075">
        <v>183914138</v>
      </c>
    </row>
    <row r="443" spans="1:12">
      <c r="A443" t="s">
        <v>2127</v>
      </c>
      <c r="B443" s="31" t="s">
        <v>32</v>
      </c>
      <c r="C443" s="1075">
        <v>1280446690</v>
      </c>
      <c r="D443" s="1075">
        <v>1200968522</v>
      </c>
      <c r="E443" s="1075">
        <v>1280446690</v>
      </c>
      <c r="F443" s="1075">
        <v>1200968522</v>
      </c>
      <c r="G443" s="1073">
        <v>1105814874</v>
      </c>
      <c r="H443" s="1073">
        <v>1105814874</v>
      </c>
      <c r="I443" s="1073">
        <v>1280446690</v>
      </c>
      <c r="J443" s="1077">
        <v>1200968522</v>
      </c>
      <c r="K443" s="1075">
        <v>1280446690</v>
      </c>
      <c r="L443" s="1075">
        <v>1200968522</v>
      </c>
    </row>
    <row r="444" spans="1:12">
      <c r="A444" t="s">
        <v>770</v>
      </c>
      <c r="B444" s="31" t="s">
        <v>1066</v>
      </c>
      <c r="C444" s="1075">
        <v>328327546</v>
      </c>
      <c r="D444" s="1075">
        <v>303358252</v>
      </c>
      <c r="E444" s="1075">
        <v>328327546</v>
      </c>
      <c r="F444" s="1075">
        <v>303358252</v>
      </c>
      <c r="G444" s="1073">
        <v>264903176</v>
      </c>
      <c r="H444" s="1073">
        <v>264903176</v>
      </c>
      <c r="I444" s="1073">
        <v>328327546</v>
      </c>
      <c r="J444" s="1077">
        <v>303358252</v>
      </c>
      <c r="K444" s="1075">
        <v>328327546</v>
      </c>
      <c r="L444" s="1075">
        <v>303358252</v>
      </c>
    </row>
    <row r="445" spans="1:12">
      <c r="A445" t="s">
        <v>772</v>
      </c>
      <c r="B445" s="31" t="s">
        <v>33</v>
      </c>
      <c r="C445" s="1075">
        <v>5807385774</v>
      </c>
      <c r="D445" s="1075">
        <v>5599586224</v>
      </c>
      <c r="E445" s="1075">
        <v>5807385774</v>
      </c>
      <c r="F445" s="1075">
        <v>5599586224</v>
      </c>
      <c r="G445" s="1073">
        <v>5280585861</v>
      </c>
      <c r="H445" s="1073">
        <v>5280585861</v>
      </c>
      <c r="I445" s="1073">
        <v>5807385774</v>
      </c>
      <c r="J445" s="1077">
        <v>5599586224</v>
      </c>
      <c r="K445" s="1075">
        <v>5807385774</v>
      </c>
      <c r="L445" s="1075">
        <v>5599586224</v>
      </c>
    </row>
    <row r="446" spans="1:12">
      <c r="A446" t="s">
        <v>1865</v>
      </c>
      <c r="B446" s="31" t="s">
        <v>2374</v>
      </c>
      <c r="C446" s="1075">
        <v>488624378</v>
      </c>
      <c r="D446" s="1075">
        <v>477510411</v>
      </c>
      <c r="E446" s="1075">
        <v>488624378</v>
      </c>
      <c r="F446" s="1075">
        <v>477510411</v>
      </c>
      <c r="G446" s="1073">
        <v>428835395</v>
      </c>
      <c r="H446" s="1073">
        <v>428835395</v>
      </c>
      <c r="I446" s="1073">
        <v>488624378</v>
      </c>
      <c r="J446" s="1077">
        <v>477510411</v>
      </c>
      <c r="K446" s="1075">
        <v>488624378</v>
      </c>
      <c r="L446" s="1075">
        <v>477510411</v>
      </c>
    </row>
    <row r="447" spans="1:12">
      <c r="A447" t="s">
        <v>2529</v>
      </c>
      <c r="B447" s="31" t="s">
        <v>817</v>
      </c>
      <c r="C447" s="1075">
        <v>6968464674</v>
      </c>
      <c r="D447" s="1075">
        <v>6773801924</v>
      </c>
      <c r="E447" s="1075">
        <v>6968464674</v>
      </c>
      <c r="F447" s="1075">
        <v>6773801924</v>
      </c>
      <c r="G447" s="1073">
        <v>6332551858</v>
      </c>
      <c r="H447" s="1073">
        <v>6332551858</v>
      </c>
      <c r="I447" s="1073">
        <v>6968464674</v>
      </c>
      <c r="J447" s="1077">
        <v>6773801924</v>
      </c>
      <c r="K447" s="1075">
        <v>6968464674</v>
      </c>
      <c r="L447" s="1075">
        <v>6773801924</v>
      </c>
    </row>
    <row r="448" spans="1:12">
      <c r="A448" t="s">
        <v>2532</v>
      </c>
      <c r="B448" s="31" t="s">
        <v>2234</v>
      </c>
      <c r="C448" s="1075">
        <v>504588978</v>
      </c>
      <c r="D448" s="1075">
        <v>476298374</v>
      </c>
      <c r="E448" s="1075">
        <v>504588978</v>
      </c>
      <c r="F448" s="1075">
        <v>476298374</v>
      </c>
      <c r="G448" s="1073">
        <v>480640889</v>
      </c>
      <c r="H448" s="1073">
        <v>480640889</v>
      </c>
      <c r="I448" s="1073">
        <v>504588978</v>
      </c>
      <c r="J448" s="1077">
        <v>476298374</v>
      </c>
      <c r="K448" s="1075">
        <v>504588978</v>
      </c>
      <c r="L448" s="1075">
        <v>476298374</v>
      </c>
    </row>
    <row r="449" spans="1:12">
      <c r="A449" t="s">
        <v>2538</v>
      </c>
      <c r="B449" s="31" t="s">
        <v>38</v>
      </c>
      <c r="C449" s="1075">
        <v>1995473351</v>
      </c>
      <c r="D449" s="1075">
        <v>1896358985</v>
      </c>
      <c r="E449" s="1075">
        <v>1995473351</v>
      </c>
      <c r="F449" s="1075">
        <v>1896358985</v>
      </c>
      <c r="G449" s="1073">
        <v>1701405352</v>
      </c>
      <c r="H449" s="1073">
        <v>1701405352</v>
      </c>
      <c r="I449" s="1073">
        <v>1995473351</v>
      </c>
      <c r="J449" s="1077">
        <v>1896358985</v>
      </c>
      <c r="K449" s="1075">
        <v>1995473351</v>
      </c>
      <c r="L449" s="1075">
        <v>1896358985</v>
      </c>
    </row>
    <row r="450" spans="1:12">
      <c r="A450" t="s">
        <v>211</v>
      </c>
      <c r="B450" s="31" t="s">
        <v>999</v>
      </c>
      <c r="C450" s="1075">
        <v>4205687808</v>
      </c>
      <c r="D450" s="1075">
        <v>4023183469</v>
      </c>
      <c r="E450" s="1075">
        <v>4205687808</v>
      </c>
      <c r="F450" s="1075">
        <v>4023183469</v>
      </c>
      <c r="G450" s="1073">
        <v>3816273192</v>
      </c>
      <c r="H450" s="1073">
        <v>3816273192</v>
      </c>
      <c r="I450" s="1073">
        <v>4205687808</v>
      </c>
      <c r="J450" s="1077">
        <v>4023183469</v>
      </c>
      <c r="K450" s="1075">
        <v>4205687808</v>
      </c>
      <c r="L450" s="1075">
        <v>4023183469</v>
      </c>
    </row>
    <row r="451" spans="1:12">
      <c r="A451" t="s">
        <v>1067</v>
      </c>
      <c r="B451" s="31" t="s">
        <v>75</v>
      </c>
      <c r="C451" s="1075">
        <v>157770971</v>
      </c>
      <c r="D451" s="1075">
        <v>148076351</v>
      </c>
      <c r="E451" s="1075">
        <v>157770971</v>
      </c>
      <c r="F451" s="1075">
        <v>148076351</v>
      </c>
      <c r="G451" s="1073">
        <v>138657900</v>
      </c>
      <c r="H451" s="1073">
        <v>138657900</v>
      </c>
      <c r="I451" s="1073">
        <v>157770971</v>
      </c>
      <c r="J451" s="1077">
        <v>148076351</v>
      </c>
      <c r="K451" s="1075">
        <v>157770971</v>
      </c>
      <c r="L451" s="1075">
        <v>148076351</v>
      </c>
    </row>
    <row r="452" spans="1:12">
      <c r="A452" t="s">
        <v>1562</v>
      </c>
      <c r="B452" s="31" t="s">
        <v>2602</v>
      </c>
      <c r="C452" s="1075">
        <v>3112749762</v>
      </c>
      <c r="D452" s="1075">
        <v>3035642647</v>
      </c>
      <c r="E452" s="1075">
        <v>3112749762</v>
      </c>
      <c r="F452" s="1075">
        <v>3035642647</v>
      </c>
      <c r="G452" s="1073">
        <v>2784840304</v>
      </c>
      <c r="H452" s="1073">
        <v>2784840304</v>
      </c>
      <c r="I452" s="1073">
        <v>3112749762</v>
      </c>
      <c r="J452" s="1077">
        <v>3035642647</v>
      </c>
      <c r="K452" s="1075">
        <v>3112749762</v>
      </c>
      <c r="L452" s="1075">
        <v>3035642647</v>
      </c>
    </row>
    <row r="453" spans="1:12">
      <c r="A453" t="s">
        <v>58</v>
      </c>
      <c r="B453" s="31" t="s">
        <v>1897</v>
      </c>
      <c r="C453" s="1075">
        <v>2339757554</v>
      </c>
      <c r="D453" s="1075">
        <v>2205353802</v>
      </c>
      <c r="E453" s="1075">
        <v>2339757554</v>
      </c>
      <c r="F453" s="1075">
        <v>2205353802</v>
      </c>
      <c r="G453" s="1073">
        <v>2073951230</v>
      </c>
      <c r="H453" s="1073">
        <v>2073951230</v>
      </c>
      <c r="I453" s="1073">
        <v>2339757554</v>
      </c>
      <c r="J453" s="1077">
        <v>2205353802</v>
      </c>
      <c r="K453" s="1075">
        <v>2339757554</v>
      </c>
      <c r="L453" s="1075">
        <v>2205353802</v>
      </c>
    </row>
    <row r="454" spans="1:12">
      <c r="A454" t="s">
        <v>723</v>
      </c>
      <c r="B454" s="31" t="s">
        <v>141</v>
      </c>
      <c r="C454" s="1075">
        <v>2236333149</v>
      </c>
      <c r="D454" s="1075">
        <v>2132950261</v>
      </c>
      <c r="E454" s="1075">
        <v>2236333149</v>
      </c>
      <c r="F454" s="1075">
        <v>2132950261</v>
      </c>
      <c r="G454" s="1073">
        <v>2000393014</v>
      </c>
      <c r="H454" s="1073">
        <v>2000393014</v>
      </c>
      <c r="I454" s="1073">
        <v>2236333149</v>
      </c>
      <c r="J454" s="1077">
        <v>2132950261</v>
      </c>
      <c r="K454" s="1075">
        <v>2236333149</v>
      </c>
      <c r="L454" s="1075">
        <v>2132950261</v>
      </c>
    </row>
    <row r="455" spans="1:12">
      <c r="A455" t="s">
        <v>60</v>
      </c>
      <c r="B455" s="31" t="s">
        <v>2299</v>
      </c>
      <c r="C455" s="1075">
        <v>104125664</v>
      </c>
      <c r="D455" s="1075">
        <v>100393855</v>
      </c>
      <c r="E455" s="1075">
        <v>104125664</v>
      </c>
      <c r="F455" s="1075">
        <v>100393855</v>
      </c>
      <c r="G455" s="1073">
        <v>102626682</v>
      </c>
      <c r="H455" s="1073">
        <v>102626682</v>
      </c>
      <c r="I455" s="1073">
        <v>104125664</v>
      </c>
      <c r="J455" s="1077">
        <v>100393855</v>
      </c>
      <c r="K455" s="1075">
        <v>104125664</v>
      </c>
      <c r="L455" s="1075">
        <v>100393855</v>
      </c>
    </row>
    <row r="456" spans="1:12">
      <c r="A456" t="s">
        <v>512</v>
      </c>
      <c r="B456" s="31" t="s">
        <v>2242</v>
      </c>
      <c r="C456" s="1075">
        <v>95137305</v>
      </c>
      <c r="D456" s="1075">
        <v>90108360</v>
      </c>
      <c r="E456" s="1075">
        <v>95137305</v>
      </c>
      <c r="F456" s="1075">
        <v>90108360</v>
      </c>
      <c r="G456" s="1073">
        <v>84118699</v>
      </c>
      <c r="H456" s="1073">
        <v>84118699</v>
      </c>
      <c r="I456" s="1073">
        <v>95137305</v>
      </c>
      <c r="J456" s="1077">
        <v>90108360</v>
      </c>
      <c r="K456" s="1075">
        <v>95137305</v>
      </c>
      <c r="L456" s="1075">
        <v>90108360</v>
      </c>
    </row>
    <row r="457" spans="1:12">
      <c r="A457" t="s">
        <v>1522</v>
      </c>
      <c r="B457" s="31" t="s">
        <v>2364</v>
      </c>
      <c r="C457" s="1075">
        <v>567172370</v>
      </c>
      <c r="D457" s="1075">
        <v>544606081</v>
      </c>
      <c r="E457" s="1075">
        <v>567172370</v>
      </c>
      <c r="F457" s="1075">
        <v>544606081</v>
      </c>
      <c r="G457" s="1073">
        <v>459211615</v>
      </c>
      <c r="H457" s="1073">
        <v>459211615</v>
      </c>
      <c r="I457" s="1073">
        <v>567172370</v>
      </c>
      <c r="J457" s="1077">
        <v>544606081</v>
      </c>
      <c r="K457" s="1075">
        <v>567172370</v>
      </c>
      <c r="L457" s="1075">
        <v>544606081</v>
      </c>
    </row>
    <row r="458" spans="1:12">
      <c r="A458" t="s">
        <v>149</v>
      </c>
      <c r="B458" s="31" t="s">
        <v>2150</v>
      </c>
      <c r="C458" s="1075">
        <v>97475446</v>
      </c>
      <c r="D458" s="1075">
        <v>94703894</v>
      </c>
      <c r="E458" s="1075">
        <v>97475446</v>
      </c>
      <c r="F458" s="1075">
        <v>94703894</v>
      </c>
      <c r="G458" s="1073">
        <v>89530952</v>
      </c>
      <c r="H458" s="1073">
        <v>89530952</v>
      </c>
      <c r="I458" s="1073">
        <v>97475446</v>
      </c>
      <c r="J458" s="1077">
        <v>94703894</v>
      </c>
      <c r="K458" s="1075">
        <v>97475446</v>
      </c>
      <c r="L458" s="1075">
        <v>94703894</v>
      </c>
    </row>
    <row r="459" spans="1:12">
      <c r="A459" t="s">
        <v>2509</v>
      </c>
      <c r="B459" s="31" t="s">
        <v>898</v>
      </c>
      <c r="C459" s="1075">
        <v>86032472</v>
      </c>
      <c r="D459" s="1075">
        <v>83791647</v>
      </c>
      <c r="E459" s="1075">
        <v>86032472</v>
      </c>
      <c r="F459" s="1075">
        <v>83791647</v>
      </c>
      <c r="G459" s="1073">
        <v>69507493</v>
      </c>
      <c r="H459" s="1073">
        <v>69507493</v>
      </c>
      <c r="I459" s="1073">
        <v>86032472</v>
      </c>
      <c r="J459" s="1077">
        <v>83791647</v>
      </c>
      <c r="K459" s="1075">
        <v>86032472</v>
      </c>
      <c r="L459" s="1075">
        <v>83791647</v>
      </c>
    </row>
    <row r="460" spans="1:12">
      <c r="A460" t="s">
        <v>2402</v>
      </c>
      <c r="B460" s="31" t="s">
        <v>667</v>
      </c>
      <c r="C460" s="1075">
        <v>80296688</v>
      </c>
      <c r="D460" s="1075">
        <v>76739983</v>
      </c>
      <c r="E460" s="1075">
        <v>80296688</v>
      </c>
      <c r="F460" s="1075">
        <v>76739983</v>
      </c>
      <c r="G460" s="1073">
        <v>79779493</v>
      </c>
      <c r="H460" s="1073">
        <v>79779493</v>
      </c>
      <c r="I460" s="1073">
        <v>80296688</v>
      </c>
      <c r="J460" s="1077">
        <v>76739983</v>
      </c>
      <c r="K460" s="1075">
        <v>80296688</v>
      </c>
      <c r="L460" s="1075">
        <v>76739983</v>
      </c>
    </row>
    <row r="461" spans="1:12">
      <c r="A461" t="s">
        <v>1867</v>
      </c>
      <c r="B461" s="31" t="s">
        <v>2376</v>
      </c>
      <c r="C461" s="1075">
        <v>617263799</v>
      </c>
      <c r="D461" s="1075">
        <v>599771612</v>
      </c>
      <c r="E461" s="1075">
        <v>617263799</v>
      </c>
      <c r="F461" s="1075">
        <v>599771612</v>
      </c>
      <c r="G461" s="1073">
        <v>561695265</v>
      </c>
      <c r="H461" s="1073">
        <v>561695265</v>
      </c>
      <c r="I461" s="1073">
        <v>617263799</v>
      </c>
      <c r="J461" s="1077">
        <v>599771612</v>
      </c>
      <c r="K461" s="1075">
        <v>617263799</v>
      </c>
      <c r="L461" s="1075">
        <v>599771612</v>
      </c>
    </row>
    <row r="462" spans="1:12">
      <c r="A462" t="s">
        <v>513</v>
      </c>
      <c r="B462" s="31" t="s">
        <v>2381</v>
      </c>
      <c r="C462" s="1075">
        <v>74769168</v>
      </c>
      <c r="D462" s="1075">
        <v>70838548</v>
      </c>
      <c r="E462" s="1075">
        <v>74769168</v>
      </c>
      <c r="F462" s="1075">
        <v>70838548</v>
      </c>
      <c r="G462" s="1073">
        <v>67883208</v>
      </c>
      <c r="H462" s="1073">
        <v>67883208</v>
      </c>
      <c r="I462" s="1073">
        <v>74769168</v>
      </c>
      <c r="J462" s="1077">
        <v>70838548</v>
      </c>
      <c r="K462" s="1075">
        <v>74769168</v>
      </c>
      <c r="L462" s="1075">
        <v>70838548</v>
      </c>
    </row>
    <row r="463" spans="1:12">
      <c r="A463" t="s">
        <v>42</v>
      </c>
      <c r="B463" s="31" t="s">
        <v>404</v>
      </c>
      <c r="C463" s="1075">
        <v>188603388</v>
      </c>
      <c r="D463" s="1075">
        <v>181781319</v>
      </c>
      <c r="E463" s="1075">
        <v>188603388</v>
      </c>
      <c r="F463" s="1075">
        <v>181781319</v>
      </c>
      <c r="G463" s="1073">
        <v>174757954</v>
      </c>
      <c r="H463" s="1073">
        <v>174757954</v>
      </c>
      <c r="I463" s="1073">
        <v>188603388</v>
      </c>
      <c r="J463" s="1077">
        <v>181781319</v>
      </c>
      <c r="K463" s="1075">
        <v>188603388</v>
      </c>
      <c r="L463" s="1075">
        <v>181781319</v>
      </c>
    </row>
    <row r="464" spans="1:12">
      <c r="A464" t="s">
        <v>150</v>
      </c>
      <c r="B464" s="31" t="s">
        <v>2152</v>
      </c>
      <c r="C464" s="1075">
        <v>49841300</v>
      </c>
      <c r="D464" s="1075">
        <v>48687139</v>
      </c>
      <c r="E464" s="1075">
        <v>49841300</v>
      </c>
      <c r="F464" s="1075">
        <v>48687139</v>
      </c>
      <c r="G464" s="1073">
        <v>43688219</v>
      </c>
      <c r="H464" s="1073">
        <v>43688219</v>
      </c>
      <c r="I464" s="1073">
        <v>49841300</v>
      </c>
      <c r="J464" s="1077">
        <v>48687139</v>
      </c>
      <c r="K464" s="1075">
        <v>49841300</v>
      </c>
      <c r="L464" s="1075">
        <v>48687139</v>
      </c>
    </row>
    <row r="465" spans="1:12">
      <c r="A465" t="s">
        <v>521</v>
      </c>
      <c r="B465" s="31" t="s">
        <v>2243</v>
      </c>
      <c r="C465" s="1075">
        <v>30029502</v>
      </c>
      <c r="D465" s="1075">
        <v>28225923</v>
      </c>
      <c r="E465" s="1075">
        <v>30029502</v>
      </c>
      <c r="F465" s="1075">
        <v>28225923</v>
      </c>
      <c r="G465" s="1073">
        <v>26817974</v>
      </c>
      <c r="H465" s="1073">
        <v>26817974</v>
      </c>
      <c r="I465" s="1073">
        <v>30029502</v>
      </c>
      <c r="J465" s="1077">
        <v>28225923</v>
      </c>
      <c r="K465" s="1075">
        <v>30029502</v>
      </c>
      <c r="L465" s="1075">
        <v>28225923</v>
      </c>
    </row>
    <row r="466" spans="1:12">
      <c r="A466" t="s">
        <v>1563</v>
      </c>
      <c r="B466" s="31" t="s">
        <v>2603</v>
      </c>
      <c r="C466" s="1075">
        <v>589262892</v>
      </c>
      <c r="D466" s="1075">
        <v>566402875</v>
      </c>
      <c r="E466" s="1075">
        <v>589262892</v>
      </c>
      <c r="F466" s="1075">
        <v>566402875</v>
      </c>
      <c r="G466" s="1073">
        <v>567537745</v>
      </c>
      <c r="H466" s="1073">
        <v>567537745</v>
      </c>
      <c r="I466" s="1073">
        <v>589262892</v>
      </c>
      <c r="J466" s="1077">
        <v>566402875</v>
      </c>
      <c r="K466" s="1075">
        <v>589262892</v>
      </c>
      <c r="L466" s="1075">
        <v>566402875</v>
      </c>
    </row>
    <row r="467" spans="1:12">
      <c r="A467" t="s">
        <v>522</v>
      </c>
      <c r="B467" s="31" t="s">
        <v>2419</v>
      </c>
      <c r="C467" s="1075">
        <v>76908900</v>
      </c>
      <c r="D467" s="1075">
        <v>74085345</v>
      </c>
      <c r="E467" s="1075">
        <v>76908900</v>
      </c>
      <c r="F467" s="1075">
        <v>74085345</v>
      </c>
      <c r="G467" s="1073">
        <v>73078624</v>
      </c>
      <c r="H467" s="1073">
        <v>73078624</v>
      </c>
      <c r="I467" s="1073">
        <v>76908900</v>
      </c>
      <c r="J467" s="1077">
        <v>74085345</v>
      </c>
      <c r="K467" s="1075">
        <v>76908900</v>
      </c>
      <c r="L467" s="1075">
        <v>74085345</v>
      </c>
    </row>
    <row r="468" spans="1:12">
      <c r="A468" t="s">
        <v>1540</v>
      </c>
      <c r="B468" s="31" t="s">
        <v>1346</v>
      </c>
      <c r="C468" s="1075">
        <v>126059704</v>
      </c>
      <c r="D468" s="1075">
        <v>122346807</v>
      </c>
      <c r="E468" s="1075">
        <v>126059704</v>
      </c>
      <c r="F468" s="1075">
        <v>122346807</v>
      </c>
      <c r="G468" s="1073">
        <v>112553877</v>
      </c>
      <c r="H468" s="1073">
        <v>112553877</v>
      </c>
      <c r="I468" s="1073">
        <v>126059704</v>
      </c>
      <c r="J468" s="1077">
        <v>122346807</v>
      </c>
      <c r="K468" s="1075">
        <v>126059704</v>
      </c>
      <c r="L468" s="1075">
        <v>122346807</v>
      </c>
    </row>
    <row r="469" spans="1:12">
      <c r="A469" t="s">
        <v>523</v>
      </c>
      <c r="B469" s="31" t="s">
        <v>2594</v>
      </c>
      <c r="C469" s="1075">
        <v>32739718</v>
      </c>
      <c r="D469" s="1075">
        <v>31475264</v>
      </c>
      <c r="E469" s="1075">
        <v>32739718</v>
      </c>
      <c r="F469" s="1075">
        <v>31475264</v>
      </c>
      <c r="G469" s="1073">
        <v>25001319</v>
      </c>
      <c r="H469" s="1073">
        <v>25001319</v>
      </c>
      <c r="I469" s="1073">
        <v>32739718</v>
      </c>
      <c r="J469" s="1077">
        <v>31475264</v>
      </c>
      <c r="K469" s="1075">
        <v>32739718</v>
      </c>
      <c r="L469" s="1075">
        <v>31475264</v>
      </c>
    </row>
    <row r="470" spans="1:12">
      <c r="A470" t="s">
        <v>1564</v>
      </c>
      <c r="B470" s="31" t="s">
        <v>2604</v>
      </c>
      <c r="C470" s="1075">
        <v>66154846</v>
      </c>
      <c r="D470" s="1075">
        <v>64172039</v>
      </c>
      <c r="E470" s="1075">
        <v>66154846</v>
      </c>
      <c r="F470" s="1075">
        <v>64172039</v>
      </c>
      <c r="G470" s="1073">
        <v>101944447</v>
      </c>
      <c r="H470" s="1073">
        <v>101260707</v>
      </c>
      <c r="I470" s="1073">
        <v>66154846</v>
      </c>
      <c r="J470" s="1077">
        <v>64172039</v>
      </c>
      <c r="K470" s="1075">
        <v>66154846</v>
      </c>
      <c r="L470" s="1075">
        <v>64172039</v>
      </c>
    </row>
    <row r="471" spans="1:12">
      <c r="A471" t="s">
        <v>1565</v>
      </c>
      <c r="B471" s="31" t="s">
        <v>2605</v>
      </c>
      <c r="C471" s="1075">
        <v>1073143926</v>
      </c>
      <c r="D471" s="1075">
        <v>1043237447</v>
      </c>
      <c r="E471" s="1075">
        <v>1073143926</v>
      </c>
      <c r="F471" s="1075">
        <v>1043237447</v>
      </c>
      <c r="G471" s="1073">
        <v>1922316119</v>
      </c>
      <c r="H471" s="1073">
        <v>1922316119</v>
      </c>
      <c r="I471" s="1073">
        <v>1073143926</v>
      </c>
      <c r="J471" s="1077">
        <v>1043237447</v>
      </c>
      <c r="K471" s="1075">
        <v>1073143926</v>
      </c>
      <c r="L471" s="1075">
        <v>1043237447</v>
      </c>
    </row>
    <row r="472" spans="1:12">
      <c r="A472" t="s">
        <v>1241</v>
      </c>
      <c r="B472" s="31" t="s">
        <v>2606</v>
      </c>
      <c r="C472" s="1075">
        <v>97624270</v>
      </c>
      <c r="D472" s="1075">
        <v>94825658</v>
      </c>
      <c r="E472" s="1075">
        <v>97624270</v>
      </c>
      <c r="F472" s="1075">
        <v>94825658</v>
      </c>
      <c r="G472" s="1073">
        <v>91478004</v>
      </c>
      <c r="H472" s="1073">
        <v>91478004</v>
      </c>
      <c r="I472" s="1073">
        <v>97624270</v>
      </c>
      <c r="J472" s="1077">
        <v>94825658</v>
      </c>
      <c r="K472" s="1075">
        <v>97624270</v>
      </c>
      <c r="L472" s="1075">
        <v>94825658</v>
      </c>
    </row>
    <row r="473" spans="1:12">
      <c r="A473" t="s">
        <v>1843</v>
      </c>
      <c r="B473" s="31" t="s">
        <v>1929</v>
      </c>
      <c r="C473" s="1075">
        <v>91169274</v>
      </c>
      <c r="D473" s="1075">
        <v>87626098</v>
      </c>
      <c r="E473" s="1075">
        <v>91169274</v>
      </c>
      <c r="F473" s="1075">
        <v>87626098</v>
      </c>
      <c r="G473" s="1073">
        <v>143660938</v>
      </c>
      <c r="H473" s="1073">
        <v>143660938</v>
      </c>
      <c r="I473" s="1073">
        <v>91169274</v>
      </c>
      <c r="J473" s="1077">
        <v>87626098</v>
      </c>
      <c r="K473" s="1075">
        <v>91169274</v>
      </c>
      <c r="L473" s="1075">
        <v>87626098</v>
      </c>
    </row>
    <row r="474" spans="1:12">
      <c r="A474" t="s">
        <v>1242</v>
      </c>
      <c r="B474" s="31" t="s">
        <v>2607</v>
      </c>
      <c r="C474" s="1075">
        <v>694141183</v>
      </c>
      <c r="D474" s="1075">
        <v>691388377</v>
      </c>
      <c r="E474" s="1075">
        <v>691798252</v>
      </c>
      <c r="F474" s="1075">
        <v>689045446</v>
      </c>
      <c r="G474" s="1073">
        <v>1653125273</v>
      </c>
      <c r="H474" s="1073">
        <v>1650836339</v>
      </c>
      <c r="I474" s="1073">
        <v>694141183</v>
      </c>
      <c r="J474" s="1077">
        <v>691388377</v>
      </c>
      <c r="K474" s="1075">
        <v>691798252</v>
      </c>
      <c r="L474" s="1075">
        <v>689045446</v>
      </c>
    </row>
    <row r="475" spans="1:12">
      <c r="A475" t="s">
        <v>1243</v>
      </c>
      <c r="B475" s="31" t="s">
        <v>2608</v>
      </c>
      <c r="C475" s="1075">
        <v>49722233</v>
      </c>
      <c r="D475" s="1075">
        <v>48788333</v>
      </c>
      <c r="E475" s="1075">
        <v>49722233</v>
      </c>
      <c r="F475" s="1075">
        <v>48788333</v>
      </c>
      <c r="G475" s="1073">
        <v>84130672</v>
      </c>
      <c r="H475" s="1073">
        <v>84130672</v>
      </c>
      <c r="I475" s="1073">
        <v>49722233</v>
      </c>
      <c r="J475" s="1077">
        <v>48788333</v>
      </c>
      <c r="K475" s="1075">
        <v>49722233</v>
      </c>
      <c r="L475" s="1075">
        <v>48788333</v>
      </c>
    </row>
    <row r="476" spans="1:12">
      <c r="A476" t="s">
        <v>1244</v>
      </c>
      <c r="B476" s="31" t="s">
        <v>219</v>
      </c>
      <c r="C476" s="1075">
        <v>4930872612</v>
      </c>
      <c r="D476" s="1075">
        <v>4817537314</v>
      </c>
      <c r="E476" s="1075">
        <v>4930872612</v>
      </c>
      <c r="F476" s="1075">
        <v>4817537314</v>
      </c>
      <c r="G476" s="1073">
        <v>4840656124</v>
      </c>
      <c r="H476" s="1073">
        <v>4840656124</v>
      </c>
      <c r="I476" s="1073">
        <v>4930872612</v>
      </c>
      <c r="J476" s="1077">
        <v>4817537314</v>
      </c>
      <c r="K476" s="1075">
        <v>4930872612</v>
      </c>
      <c r="L476" s="1075">
        <v>4817537314</v>
      </c>
    </row>
    <row r="477" spans="1:12">
      <c r="A477" t="s">
        <v>1772</v>
      </c>
      <c r="B477" s="31" t="s">
        <v>1566</v>
      </c>
      <c r="C477" s="1075">
        <v>174354323</v>
      </c>
      <c r="D477" s="1075">
        <v>170175862</v>
      </c>
      <c r="E477" s="1075">
        <v>174354323</v>
      </c>
      <c r="F477" s="1075">
        <v>170175862</v>
      </c>
      <c r="G477" s="1073">
        <v>178115866</v>
      </c>
      <c r="H477" s="1073">
        <v>178115866</v>
      </c>
      <c r="I477" s="1073">
        <v>174354323</v>
      </c>
      <c r="J477" s="1077">
        <v>170175862</v>
      </c>
      <c r="K477" s="1075">
        <v>174354323</v>
      </c>
      <c r="L477" s="1075">
        <v>170175862</v>
      </c>
    </row>
    <row r="478" spans="1:12">
      <c r="A478" t="s">
        <v>1516</v>
      </c>
      <c r="B478" s="31" t="s">
        <v>605</v>
      </c>
      <c r="C478" s="1075">
        <v>214804008</v>
      </c>
      <c r="D478" s="1075">
        <v>209086352</v>
      </c>
      <c r="E478" s="1075">
        <v>214804008</v>
      </c>
      <c r="F478" s="1075">
        <v>209086352</v>
      </c>
      <c r="G478" s="1073">
        <v>205867678</v>
      </c>
      <c r="H478" s="1073">
        <v>205867678</v>
      </c>
      <c r="I478" s="1073">
        <v>214804008</v>
      </c>
      <c r="J478" s="1077">
        <v>209086352</v>
      </c>
      <c r="K478" s="1075">
        <v>214804008</v>
      </c>
      <c r="L478" s="1075">
        <v>209086352</v>
      </c>
    </row>
    <row r="479" spans="1:12">
      <c r="A479" t="s">
        <v>180</v>
      </c>
      <c r="B479" s="31" t="s">
        <v>220</v>
      </c>
      <c r="C479" s="1075">
        <v>1251957456</v>
      </c>
      <c r="D479" s="1075">
        <v>1205618382</v>
      </c>
      <c r="E479" s="1075">
        <v>1251957456</v>
      </c>
      <c r="F479" s="1075">
        <v>1205618382</v>
      </c>
      <c r="G479" s="1073">
        <v>1202040406</v>
      </c>
      <c r="H479" s="1073">
        <v>1202040406</v>
      </c>
      <c r="I479" s="1073">
        <v>1251957456</v>
      </c>
      <c r="J479" s="1077">
        <v>1205618382</v>
      </c>
      <c r="K479" s="1075">
        <v>1251957456</v>
      </c>
      <c r="L479" s="1075">
        <v>1205618382</v>
      </c>
    </row>
    <row r="480" spans="1:12">
      <c r="A480" t="s">
        <v>1497</v>
      </c>
      <c r="B480" s="31" t="s">
        <v>422</v>
      </c>
      <c r="C480" s="1075">
        <v>74916592</v>
      </c>
      <c r="D480" s="1075">
        <v>70416643</v>
      </c>
      <c r="E480" s="1075">
        <v>74916592</v>
      </c>
      <c r="F480" s="1075">
        <v>70416643</v>
      </c>
      <c r="G480" s="1073">
        <v>66707966</v>
      </c>
      <c r="H480" s="1073">
        <v>66707966</v>
      </c>
      <c r="I480" s="1073">
        <v>74916592</v>
      </c>
      <c r="J480" s="1077">
        <v>70416643</v>
      </c>
      <c r="K480" s="1075">
        <v>74916592</v>
      </c>
      <c r="L480" s="1075">
        <v>70416643</v>
      </c>
    </row>
    <row r="481" spans="1:12">
      <c r="A481" t="s">
        <v>181</v>
      </c>
      <c r="B481" s="31" t="s">
        <v>221</v>
      </c>
      <c r="C481" s="1075">
        <v>82629266</v>
      </c>
      <c r="D481" s="1075">
        <v>78542377</v>
      </c>
      <c r="E481" s="1075">
        <v>82629266</v>
      </c>
      <c r="F481" s="1075">
        <v>78542377</v>
      </c>
      <c r="G481" s="1073">
        <v>102560103</v>
      </c>
      <c r="H481" s="1073">
        <v>102560103</v>
      </c>
      <c r="I481" s="1073">
        <v>82629266</v>
      </c>
      <c r="J481" s="1077">
        <v>78542377</v>
      </c>
      <c r="K481" s="1075">
        <v>82629266</v>
      </c>
      <c r="L481" s="1075">
        <v>78542377</v>
      </c>
    </row>
    <row r="482" spans="1:12">
      <c r="A482" t="s">
        <v>1943</v>
      </c>
      <c r="B482" s="31" t="s">
        <v>2238</v>
      </c>
      <c r="C482" s="1075">
        <v>56722166</v>
      </c>
      <c r="D482" s="1075">
        <v>53387192</v>
      </c>
      <c r="E482" s="1075">
        <v>56722166</v>
      </c>
      <c r="F482" s="1075">
        <v>53387192</v>
      </c>
      <c r="G482" s="1073">
        <v>50966651</v>
      </c>
      <c r="H482" s="1073">
        <v>50966651</v>
      </c>
      <c r="I482" s="1073">
        <v>56722166</v>
      </c>
      <c r="J482" s="1077">
        <v>53387192</v>
      </c>
      <c r="K482" s="1075">
        <v>56722166</v>
      </c>
      <c r="L482" s="1075">
        <v>53387192</v>
      </c>
    </row>
    <row r="483" spans="1:12">
      <c r="A483" t="s">
        <v>182</v>
      </c>
      <c r="B483" s="31" t="s">
        <v>632</v>
      </c>
      <c r="C483" s="1075">
        <v>148215240</v>
      </c>
      <c r="D483" s="1075">
        <v>141730964</v>
      </c>
      <c r="E483" s="1075">
        <v>148215240</v>
      </c>
      <c r="F483" s="1075">
        <v>141730964</v>
      </c>
      <c r="G483" s="1073">
        <v>151277713</v>
      </c>
      <c r="H483" s="1073">
        <v>151277713</v>
      </c>
      <c r="I483" s="1073">
        <v>148215240</v>
      </c>
      <c r="J483" s="1077">
        <v>141730964</v>
      </c>
      <c r="K483" s="1075">
        <v>148215240</v>
      </c>
      <c r="L483" s="1075">
        <v>141730964</v>
      </c>
    </row>
    <row r="484" spans="1:12">
      <c r="A484" t="s">
        <v>183</v>
      </c>
      <c r="B484" s="31" t="s">
        <v>633</v>
      </c>
      <c r="C484" s="1075">
        <v>66937542</v>
      </c>
      <c r="D484" s="1075">
        <v>64952258</v>
      </c>
      <c r="E484" s="1075">
        <v>66937542</v>
      </c>
      <c r="F484" s="1075">
        <v>64952258</v>
      </c>
      <c r="G484" s="1073">
        <v>49950932</v>
      </c>
      <c r="H484" s="1073">
        <v>49950932</v>
      </c>
      <c r="I484" s="1073">
        <v>66937542</v>
      </c>
      <c r="J484" s="1077">
        <v>64952258</v>
      </c>
      <c r="K484" s="1075">
        <v>66937542</v>
      </c>
      <c r="L484" s="1075">
        <v>64952258</v>
      </c>
    </row>
    <row r="485" spans="1:12">
      <c r="A485" t="s">
        <v>1498</v>
      </c>
      <c r="B485" s="31" t="s">
        <v>1942</v>
      </c>
      <c r="C485" s="1075">
        <v>98276280</v>
      </c>
      <c r="D485" s="1075">
        <v>95599716</v>
      </c>
      <c r="E485" s="1075">
        <v>98276280</v>
      </c>
      <c r="F485" s="1075">
        <v>95599716</v>
      </c>
      <c r="G485" s="1073">
        <v>77116730</v>
      </c>
      <c r="H485" s="1073">
        <v>77116730</v>
      </c>
      <c r="I485" s="1073">
        <v>98276280</v>
      </c>
      <c r="J485" s="1077">
        <v>95599716</v>
      </c>
      <c r="K485" s="1075">
        <v>98276280</v>
      </c>
      <c r="L485" s="1075">
        <v>95599716</v>
      </c>
    </row>
    <row r="486" spans="1:12">
      <c r="A486" t="s">
        <v>1421</v>
      </c>
      <c r="B486" s="31" t="s">
        <v>634</v>
      </c>
      <c r="C486" s="1075">
        <v>463697620</v>
      </c>
      <c r="D486" s="1075">
        <v>446540630</v>
      </c>
      <c r="E486" s="1075">
        <v>463697620</v>
      </c>
      <c r="F486" s="1075">
        <v>446540630</v>
      </c>
      <c r="G486" s="1073">
        <v>424690453</v>
      </c>
      <c r="H486" s="1073">
        <v>424690453</v>
      </c>
      <c r="I486" s="1073">
        <v>533697620</v>
      </c>
      <c r="J486" s="1077">
        <v>516540630</v>
      </c>
      <c r="K486" s="1075">
        <v>533697620</v>
      </c>
      <c r="L486" s="1075">
        <v>516540630</v>
      </c>
    </row>
    <row r="487" spans="1:12">
      <c r="A487" t="s">
        <v>1261</v>
      </c>
      <c r="B487" s="31" t="s">
        <v>2165</v>
      </c>
      <c r="C487" s="1075">
        <v>271889021</v>
      </c>
      <c r="D487" s="1075">
        <v>262048271</v>
      </c>
      <c r="E487" s="1075">
        <v>271889021</v>
      </c>
      <c r="F487" s="1075">
        <v>262048271</v>
      </c>
      <c r="G487" s="1073">
        <v>267688603</v>
      </c>
      <c r="H487" s="1073">
        <v>267688603</v>
      </c>
      <c r="I487" s="1073">
        <v>271889021</v>
      </c>
      <c r="J487" s="1077">
        <v>262048271</v>
      </c>
      <c r="K487" s="1075">
        <v>271889021</v>
      </c>
      <c r="L487" s="1075">
        <v>262048271</v>
      </c>
    </row>
    <row r="488" spans="1:12">
      <c r="A488" t="s">
        <v>978</v>
      </c>
      <c r="B488" s="31" t="s">
        <v>2520</v>
      </c>
      <c r="C488" s="1075">
        <v>275565152</v>
      </c>
      <c r="D488" s="1075">
        <v>269112952</v>
      </c>
      <c r="E488" s="1075">
        <v>275565152</v>
      </c>
      <c r="F488" s="1075">
        <v>269112952</v>
      </c>
      <c r="G488" s="1073">
        <v>461519668</v>
      </c>
      <c r="H488" s="1073">
        <v>461519668</v>
      </c>
      <c r="I488" s="1073">
        <v>275565152</v>
      </c>
      <c r="J488" s="1077">
        <v>269112952</v>
      </c>
      <c r="K488" s="1075">
        <v>275565152</v>
      </c>
      <c r="L488" s="1075">
        <v>269112952</v>
      </c>
    </row>
    <row r="489" spans="1:12">
      <c r="A489" t="s">
        <v>979</v>
      </c>
      <c r="B489" s="31" t="s">
        <v>1570</v>
      </c>
      <c r="C489" s="1075">
        <v>151998342</v>
      </c>
      <c r="D489" s="1075">
        <v>146179062</v>
      </c>
      <c r="E489" s="1075">
        <v>151998342</v>
      </c>
      <c r="F489" s="1075">
        <v>146179062</v>
      </c>
      <c r="G489" s="1073">
        <v>150602277</v>
      </c>
      <c r="H489" s="1073">
        <v>150602277</v>
      </c>
      <c r="I489" s="1073">
        <v>151998342</v>
      </c>
      <c r="J489" s="1077">
        <v>146179062</v>
      </c>
      <c r="K489" s="1075">
        <v>151998342</v>
      </c>
      <c r="L489" s="1075">
        <v>146179062</v>
      </c>
    </row>
    <row r="490" spans="1:12">
      <c r="A490" t="s">
        <v>899</v>
      </c>
      <c r="B490" s="31" t="s">
        <v>1571</v>
      </c>
      <c r="C490" s="1075">
        <v>102393130</v>
      </c>
      <c r="D490" s="1075">
        <v>97180290</v>
      </c>
      <c r="E490" s="1075">
        <v>102393130</v>
      </c>
      <c r="F490" s="1075">
        <v>97180290</v>
      </c>
      <c r="G490" s="1073">
        <v>114991770</v>
      </c>
      <c r="H490" s="1073">
        <v>114991770</v>
      </c>
      <c r="I490" s="1073">
        <v>102393130</v>
      </c>
      <c r="J490" s="1077">
        <v>97180290</v>
      </c>
      <c r="K490" s="1075">
        <v>102393130</v>
      </c>
      <c r="L490" s="1075">
        <v>97180290</v>
      </c>
    </row>
    <row r="491" spans="1:12">
      <c r="A491" t="s">
        <v>1797</v>
      </c>
      <c r="B491" s="31" t="s">
        <v>1572</v>
      </c>
      <c r="C491" s="1075">
        <v>1748377033</v>
      </c>
      <c r="D491" s="1075">
        <v>1710395175</v>
      </c>
      <c r="E491" s="1075">
        <v>1710746035</v>
      </c>
      <c r="F491" s="1075">
        <v>1672764177</v>
      </c>
      <c r="G491" s="1073">
        <v>1936604826</v>
      </c>
      <c r="H491" s="1073">
        <v>1903467823</v>
      </c>
      <c r="I491" s="1073">
        <v>1748377033</v>
      </c>
      <c r="J491" s="1077">
        <v>1710395175</v>
      </c>
      <c r="K491" s="1075">
        <v>1710746035</v>
      </c>
      <c r="L491" s="1075">
        <v>1672764177</v>
      </c>
    </row>
    <row r="492" spans="1:12">
      <c r="A492" t="s">
        <v>2677</v>
      </c>
      <c r="B492" s="31" t="s">
        <v>1573</v>
      </c>
      <c r="C492" s="1075">
        <v>323867003</v>
      </c>
      <c r="D492" s="1075">
        <v>315227068</v>
      </c>
      <c r="E492" s="1075">
        <v>314268716</v>
      </c>
      <c r="F492" s="1075">
        <v>305628781</v>
      </c>
      <c r="G492" s="1073">
        <v>541991111</v>
      </c>
      <c r="H492" s="1073">
        <v>533926226</v>
      </c>
      <c r="I492" s="1073">
        <v>323867003</v>
      </c>
      <c r="J492" s="1077">
        <v>315227068</v>
      </c>
      <c r="K492" s="1075">
        <v>314268716</v>
      </c>
      <c r="L492" s="1075">
        <v>305628781</v>
      </c>
    </row>
    <row r="493" spans="1:12">
      <c r="A493" t="s">
        <v>2678</v>
      </c>
      <c r="B493" s="31" t="s">
        <v>1574</v>
      </c>
      <c r="C493" s="1075">
        <v>346609395</v>
      </c>
      <c r="D493" s="1075">
        <v>341339967</v>
      </c>
      <c r="E493" s="1075">
        <v>339921273</v>
      </c>
      <c r="F493" s="1075">
        <v>334651845</v>
      </c>
      <c r="G493" s="1073">
        <v>826678568</v>
      </c>
      <c r="H493" s="1073">
        <v>821178126</v>
      </c>
      <c r="I493" s="1073">
        <v>463709515</v>
      </c>
      <c r="J493" s="1077">
        <v>458440087</v>
      </c>
      <c r="K493" s="1075">
        <v>457021393</v>
      </c>
      <c r="L493" s="1075">
        <v>451751965</v>
      </c>
    </row>
    <row r="494" spans="1:12">
      <c r="A494" t="s">
        <v>1331</v>
      </c>
      <c r="B494" s="31" t="s">
        <v>1575</v>
      </c>
      <c r="C494" s="1075">
        <v>207262930</v>
      </c>
      <c r="D494" s="1075">
        <v>205047530</v>
      </c>
      <c r="E494" s="1075">
        <v>207262930</v>
      </c>
      <c r="F494" s="1075">
        <v>205047530</v>
      </c>
      <c r="G494" s="1073">
        <v>192244062</v>
      </c>
      <c r="H494" s="1073">
        <v>192244062</v>
      </c>
      <c r="I494" s="1073">
        <v>207262930</v>
      </c>
      <c r="J494" s="1077">
        <v>205047530</v>
      </c>
      <c r="K494" s="1075">
        <v>207262930</v>
      </c>
      <c r="L494" s="1075">
        <v>205047530</v>
      </c>
    </row>
    <row r="495" spans="1:12">
      <c r="A495" t="s">
        <v>2177</v>
      </c>
      <c r="B495" s="31" t="s">
        <v>1576</v>
      </c>
      <c r="C495" s="1075">
        <v>110527020</v>
      </c>
      <c r="D495" s="1075">
        <v>109852825</v>
      </c>
      <c r="E495" s="1075">
        <v>110527020</v>
      </c>
      <c r="F495" s="1075">
        <v>109852825</v>
      </c>
      <c r="G495" s="1073">
        <v>100838579</v>
      </c>
      <c r="H495" s="1073">
        <v>100838579</v>
      </c>
      <c r="I495" s="1073">
        <v>110527020</v>
      </c>
      <c r="J495" s="1077">
        <v>109852825</v>
      </c>
      <c r="K495" s="1075">
        <v>110527020</v>
      </c>
      <c r="L495" s="1075">
        <v>109852825</v>
      </c>
    </row>
    <row r="496" spans="1:12">
      <c r="A496" t="s">
        <v>1111</v>
      </c>
      <c r="B496" s="31" t="s">
        <v>1577</v>
      </c>
      <c r="C496" s="1075">
        <v>64633850</v>
      </c>
      <c r="D496" s="1075">
        <v>64096114</v>
      </c>
      <c r="E496" s="1075">
        <v>64378801</v>
      </c>
      <c r="F496" s="1075">
        <v>63841065</v>
      </c>
      <c r="G496" s="1073">
        <v>62446687</v>
      </c>
      <c r="H496" s="1073">
        <v>62159196</v>
      </c>
      <c r="I496" s="1073">
        <v>64633850</v>
      </c>
      <c r="J496" s="1077">
        <v>64096114</v>
      </c>
      <c r="K496" s="1075">
        <v>64378801</v>
      </c>
      <c r="L496" s="1075">
        <v>63841065</v>
      </c>
    </row>
    <row r="497" spans="1:12">
      <c r="A497" t="s">
        <v>1886</v>
      </c>
      <c r="B497" s="31" t="s">
        <v>651</v>
      </c>
      <c r="C497" s="1075">
        <v>405228470</v>
      </c>
      <c r="D497" s="1075">
        <v>389518468</v>
      </c>
      <c r="E497" s="1075">
        <v>405228470</v>
      </c>
      <c r="F497" s="1075">
        <v>389518468</v>
      </c>
      <c r="G497" s="1073">
        <v>366984727</v>
      </c>
      <c r="H497" s="1073">
        <v>366984727</v>
      </c>
      <c r="I497" s="1073">
        <v>405228470</v>
      </c>
      <c r="J497" s="1077">
        <v>389518468</v>
      </c>
      <c r="K497" s="1075">
        <v>405228470</v>
      </c>
      <c r="L497" s="1075">
        <v>389518468</v>
      </c>
    </row>
    <row r="498" spans="1:12">
      <c r="A498" t="s">
        <v>1112</v>
      </c>
      <c r="B498" s="31" t="s">
        <v>1578</v>
      </c>
      <c r="C498" s="1075">
        <v>93503488</v>
      </c>
      <c r="D498" s="1075">
        <v>88285388</v>
      </c>
      <c r="E498" s="1075">
        <v>93503488</v>
      </c>
      <c r="F498" s="1075">
        <v>88285388</v>
      </c>
      <c r="G498" s="1073">
        <v>83027871</v>
      </c>
      <c r="H498" s="1073">
        <v>83027871</v>
      </c>
      <c r="I498" s="1073">
        <v>93503488</v>
      </c>
      <c r="J498" s="1077">
        <v>88285388</v>
      </c>
      <c r="K498" s="1075">
        <v>93503488</v>
      </c>
      <c r="L498" s="1075">
        <v>88285388</v>
      </c>
    </row>
    <row r="499" spans="1:12">
      <c r="A499" t="s">
        <v>1437</v>
      </c>
      <c r="B499" s="31" t="s">
        <v>1550</v>
      </c>
      <c r="C499" s="1075">
        <v>418005624</v>
      </c>
      <c r="D499" s="1075">
        <v>403891798</v>
      </c>
      <c r="E499" s="1075">
        <v>418005624</v>
      </c>
      <c r="F499" s="1075">
        <v>403891798</v>
      </c>
      <c r="G499" s="1073">
        <v>405587419</v>
      </c>
      <c r="H499" s="1073">
        <v>405587419</v>
      </c>
      <c r="I499" s="1073">
        <v>418005624</v>
      </c>
      <c r="J499" s="1077">
        <v>403891798</v>
      </c>
      <c r="K499" s="1075">
        <v>418005624</v>
      </c>
      <c r="L499" s="1075">
        <v>403891798</v>
      </c>
    </row>
    <row r="500" spans="1:12">
      <c r="A500" t="s">
        <v>1058</v>
      </c>
      <c r="B500" s="31" t="s">
        <v>1579</v>
      </c>
      <c r="C500" s="1075">
        <v>1973155985</v>
      </c>
      <c r="D500" s="1075">
        <v>1919064244</v>
      </c>
      <c r="E500" s="1075">
        <v>1973155985</v>
      </c>
      <c r="F500" s="1075">
        <v>1919064244</v>
      </c>
      <c r="G500" s="1073">
        <v>1775364939</v>
      </c>
      <c r="H500" s="1073">
        <v>1775364939</v>
      </c>
      <c r="I500" s="1073">
        <v>1973155985</v>
      </c>
      <c r="J500" s="1077">
        <v>1919064244</v>
      </c>
      <c r="K500" s="1075">
        <v>1973155985</v>
      </c>
      <c r="L500" s="1075">
        <v>1919064244</v>
      </c>
    </row>
    <row r="501" spans="1:12">
      <c r="A501" t="s">
        <v>1944</v>
      </c>
      <c r="B501" s="31" t="s">
        <v>2125</v>
      </c>
      <c r="C501" s="1075">
        <v>229003477</v>
      </c>
      <c r="D501" s="1075">
        <v>218909381</v>
      </c>
      <c r="E501" s="1075">
        <v>229003477</v>
      </c>
      <c r="F501" s="1075">
        <v>218909381</v>
      </c>
      <c r="G501" s="1073">
        <v>205736251</v>
      </c>
      <c r="H501" s="1073">
        <v>205736251</v>
      </c>
      <c r="I501" s="1073">
        <v>229003477</v>
      </c>
      <c r="J501" s="1077">
        <v>218909381</v>
      </c>
      <c r="K501" s="1075">
        <v>229003477</v>
      </c>
      <c r="L501" s="1075">
        <v>218909381</v>
      </c>
    </row>
    <row r="502" spans="1:12">
      <c r="A502" t="s">
        <v>1584</v>
      </c>
      <c r="B502" s="31" t="s">
        <v>77</v>
      </c>
      <c r="C502" s="1075">
        <v>722366657</v>
      </c>
      <c r="D502" s="1075">
        <v>694562281</v>
      </c>
      <c r="E502" s="1075">
        <v>722366657</v>
      </c>
      <c r="F502" s="1075">
        <v>694562281</v>
      </c>
      <c r="G502" s="1073">
        <v>672519840</v>
      </c>
      <c r="H502" s="1073">
        <v>672519840</v>
      </c>
      <c r="I502" s="1073">
        <v>722366657</v>
      </c>
      <c r="J502" s="1077">
        <v>694562281</v>
      </c>
      <c r="K502" s="1075">
        <v>722366657</v>
      </c>
      <c r="L502" s="1075">
        <v>694562281</v>
      </c>
    </row>
    <row r="503" spans="1:12">
      <c r="A503" t="s">
        <v>245</v>
      </c>
      <c r="B503" s="31" t="s">
        <v>1131</v>
      </c>
      <c r="C503" s="1075">
        <v>113979186</v>
      </c>
      <c r="D503" s="1075">
        <v>107238249</v>
      </c>
      <c r="E503" s="1075">
        <v>113979186</v>
      </c>
      <c r="F503" s="1075">
        <v>107238249</v>
      </c>
      <c r="G503" s="1073">
        <v>100189450</v>
      </c>
      <c r="H503" s="1073">
        <v>100189450</v>
      </c>
      <c r="I503" s="1073">
        <v>113979186</v>
      </c>
      <c r="J503" s="1077">
        <v>107238249</v>
      </c>
      <c r="K503" s="1075">
        <v>113979186</v>
      </c>
      <c r="L503" s="1075">
        <v>107238249</v>
      </c>
    </row>
    <row r="504" spans="1:12">
      <c r="A504" t="s">
        <v>1059</v>
      </c>
      <c r="B504" s="31" t="s">
        <v>1580</v>
      </c>
      <c r="C504" s="1075">
        <v>89419817</v>
      </c>
      <c r="D504" s="1075">
        <v>84690945</v>
      </c>
      <c r="E504" s="1075">
        <v>89419817</v>
      </c>
      <c r="F504" s="1075">
        <v>84690945</v>
      </c>
      <c r="G504" s="1073">
        <v>78976233</v>
      </c>
      <c r="H504" s="1073">
        <v>78976233</v>
      </c>
      <c r="I504" s="1073">
        <v>89419817</v>
      </c>
      <c r="J504" s="1077">
        <v>84690945</v>
      </c>
      <c r="K504" s="1075">
        <v>89419817</v>
      </c>
      <c r="L504" s="1075">
        <v>84690945</v>
      </c>
    </row>
    <row r="505" spans="1:12">
      <c r="A505" t="s">
        <v>875</v>
      </c>
      <c r="B505" s="31" t="s">
        <v>799</v>
      </c>
      <c r="C505" s="1075">
        <v>149001303</v>
      </c>
      <c r="D505" s="1075">
        <v>142485899</v>
      </c>
      <c r="E505" s="1075">
        <v>149001303</v>
      </c>
      <c r="F505" s="1075">
        <v>142485899</v>
      </c>
      <c r="G505" s="1073">
        <v>123693645</v>
      </c>
      <c r="H505" s="1073">
        <v>123693645</v>
      </c>
      <c r="I505" s="1073">
        <v>149001303</v>
      </c>
      <c r="J505" s="1077">
        <v>142485899</v>
      </c>
      <c r="K505" s="1075">
        <v>149001303</v>
      </c>
      <c r="L505" s="1075">
        <v>142485899</v>
      </c>
    </row>
    <row r="506" spans="1:12">
      <c r="A506" t="s">
        <v>1844</v>
      </c>
      <c r="B506" s="31" t="s">
        <v>1347</v>
      </c>
      <c r="C506" s="1075">
        <v>15956661</v>
      </c>
      <c r="D506" s="1075">
        <v>14875161</v>
      </c>
      <c r="E506" s="1075">
        <v>15956661</v>
      </c>
      <c r="F506" s="1075">
        <v>14875161</v>
      </c>
      <c r="G506" s="1073">
        <v>14770329</v>
      </c>
      <c r="H506" s="1073">
        <v>14770329</v>
      </c>
      <c r="I506" s="1073">
        <v>15956661</v>
      </c>
      <c r="J506" s="1077">
        <v>14875161</v>
      </c>
      <c r="K506" s="1075">
        <v>15956661</v>
      </c>
      <c r="L506" s="1075">
        <v>14875161</v>
      </c>
    </row>
    <row r="507" spans="1:12">
      <c r="A507" t="s">
        <v>1060</v>
      </c>
      <c r="B507" s="31" t="s">
        <v>1581</v>
      </c>
      <c r="C507" s="1075">
        <v>643621524</v>
      </c>
      <c r="D507" s="1075">
        <v>611457834</v>
      </c>
      <c r="E507" s="1075">
        <v>630616079</v>
      </c>
      <c r="F507" s="1075">
        <v>598452389</v>
      </c>
      <c r="G507" s="1073">
        <v>607953748</v>
      </c>
      <c r="H507" s="1073">
        <v>594379623</v>
      </c>
      <c r="I507" s="1073">
        <v>1004621524</v>
      </c>
      <c r="J507" s="1077">
        <v>972457834</v>
      </c>
      <c r="K507" s="1075">
        <v>991616079</v>
      </c>
      <c r="L507" s="1075">
        <v>959452389</v>
      </c>
    </row>
    <row r="508" spans="1:12">
      <c r="A508" t="s">
        <v>2140</v>
      </c>
      <c r="B508" s="31" t="s">
        <v>1046</v>
      </c>
      <c r="C508" s="1075">
        <v>132209671</v>
      </c>
      <c r="D508" s="1075">
        <v>120244836</v>
      </c>
      <c r="E508" s="1075">
        <v>131863116</v>
      </c>
      <c r="F508" s="1075">
        <v>119898281</v>
      </c>
      <c r="G508" s="1073">
        <v>146471979</v>
      </c>
      <c r="H508" s="1073">
        <v>141637333</v>
      </c>
      <c r="I508" s="1073">
        <v>132209671</v>
      </c>
      <c r="J508" s="1077">
        <v>120244836</v>
      </c>
      <c r="K508" s="1075">
        <v>131863116</v>
      </c>
      <c r="L508" s="1075">
        <v>119898281</v>
      </c>
    </row>
    <row r="509" spans="1:12">
      <c r="A509" t="s">
        <v>2141</v>
      </c>
      <c r="B509" s="31" t="s">
        <v>1047</v>
      </c>
      <c r="C509" s="1075">
        <v>1127628953</v>
      </c>
      <c r="D509" s="1075">
        <v>1121895293</v>
      </c>
      <c r="E509" s="1075">
        <v>1124179703</v>
      </c>
      <c r="F509" s="1075">
        <v>1118446043</v>
      </c>
      <c r="G509" s="1073">
        <v>1097483032</v>
      </c>
      <c r="H509" s="1073">
        <v>1094173235</v>
      </c>
      <c r="I509" s="1073">
        <v>1170627593</v>
      </c>
      <c r="J509" s="1077">
        <v>1164893933</v>
      </c>
      <c r="K509" s="1075">
        <v>1167178343</v>
      </c>
      <c r="L509" s="1075">
        <v>1161444683</v>
      </c>
    </row>
    <row r="510" spans="1:12">
      <c r="A510" t="s">
        <v>1259</v>
      </c>
      <c r="B510" s="31" t="s">
        <v>2525</v>
      </c>
      <c r="C510" s="1075">
        <v>35174341</v>
      </c>
      <c r="D510" s="1075">
        <v>35010041</v>
      </c>
      <c r="E510" s="1075">
        <v>35066361</v>
      </c>
      <c r="F510" s="1075">
        <v>34902061</v>
      </c>
      <c r="G510" s="1073">
        <v>52777942</v>
      </c>
      <c r="H510" s="1073">
        <v>52676411</v>
      </c>
      <c r="I510" s="1073">
        <v>35174341</v>
      </c>
      <c r="J510" s="1077">
        <v>35010041</v>
      </c>
      <c r="K510" s="1075">
        <v>35066361</v>
      </c>
      <c r="L510" s="1075">
        <v>34902061</v>
      </c>
    </row>
    <row r="511" spans="1:12">
      <c r="A511" t="s">
        <v>1260</v>
      </c>
      <c r="B511" s="31" t="s">
        <v>1048</v>
      </c>
      <c r="C511" s="1075">
        <v>1005941213</v>
      </c>
      <c r="D511" s="1075">
        <v>1002661923</v>
      </c>
      <c r="E511" s="1075">
        <v>1005941213</v>
      </c>
      <c r="F511" s="1075">
        <v>1002661923</v>
      </c>
      <c r="G511" s="1073">
        <v>1600532668</v>
      </c>
      <c r="H511" s="1073">
        <v>1600532668</v>
      </c>
      <c r="I511" s="1073">
        <v>1005941213</v>
      </c>
      <c r="J511" s="1077">
        <v>1002661923</v>
      </c>
      <c r="K511" s="1075">
        <v>1005941213</v>
      </c>
      <c r="L511" s="1075">
        <v>1002661923</v>
      </c>
    </row>
    <row r="512" spans="1:12">
      <c r="A512" t="s">
        <v>923</v>
      </c>
      <c r="B512" s="31" t="s">
        <v>2462</v>
      </c>
      <c r="C512" s="1075">
        <v>144132151</v>
      </c>
      <c r="D512" s="1075">
        <v>142055791</v>
      </c>
      <c r="E512" s="1075">
        <v>144132151</v>
      </c>
      <c r="F512" s="1075">
        <v>142055791</v>
      </c>
      <c r="G512" s="1073">
        <v>204860697</v>
      </c>
      <c r="H512" s="1073">
        <v>204860697</v>
      </c>
      <c r="I512" s="1073">
        <v>308216791</v>
      </c>
      <c r="J512" s="1077">
        <v>306140431</v>
      </c>
      <c r="K512" s="1075">
        <v>308216791</v>
      </c>
      <c r="L512" s="1075">
        <v>306140431</v>
      </c>
    </row>
    <row r="513" spans="1:12">
      <c r="A513" t="s">
        <v>924</v>
      </c>
      <c r="B513" s="31" t="s">
        <v>2463</v>
      </c>
      <c r="C513" s="1075">
        <v>849628384</v>
      </c>
      <c r="D513" s="1075">
        <v>839294094</v>
      </c>
      <c r="E513" s="1075">
        <v>849628384</v>
      </c>
      <c r="F513" s="1075">
        <v>839294094</v>
      </c>
      <c r="G513" s="1073">
        <v>1166959161</v>
      </c>
      <c r="H513" s="1073">
        <v>1166959161</v>
      </c>
      <c r="I513" s="1073">
        <v>931515724</v>
      </c>
      <c r="J513" s="1077">
        <v>921181434</v>
      </c>
      <c r="K513" s="1075">
        <v>931515724</v>
      </c>
      <c r="L513" s="1075">
        <v>921181434</v>
      </c>
    </row>
    <row r="514" spans="1:12">
      <c r="A514" t="s">
        <v>925</v>
      </c>
      <c r="B514" s="31" t="s">
        <v>1049</v>
      </c>
      <c r="C514" s="1075">
        <v>268712632</v>
      </c>
      <c r="D514" s="1075">
        <v>264404722</v>
      </c>
      <c r="E514" s="1075">
        <v>268712632</v>
      </c>
      <c r="F514" s="1075">
        <v>264404722</v>
      </c>
      <c r="G514" s="1073">
        <v>327619299</v>
      </c>
      <c r="H514" s="1073">
        <v>327619299</v>
      </c>
      <c r="I514" s="1073">
        <v>279829032</v>
      </c>
      <c r="J514" s="1077">
        <v>275521122</v>
      </c>
      <c r="K514" s="1075">
        <v>279829032</v>
      </c>
      <c r="L514" s="1075">
        <v>275521122</v>
      </c>
    </row>
    <row r="515" spans="1:12">
      <c r="A515" t="s">
        <v>926</v>
      </c>
      <c r="B515" s="31" t="s">
        <v>620</v>
      </c>
      <c r="C515" s="1075">
        <v>466623791</v>
      </c>
      <c r="D515" s="1075">
        <v>450521865</v>
      </c>
      <c r="E515" s="1075">
        <v>466623791</v>
      </c>
      <c r="F515" s="1075">
        <v>450521865</v>
      </c>
      <c r="G515" s="1073">
        <v>605272616</v>
      </c>
      <c r="H515" s="1073">
        <v>605272616</v>
      </c>
      <c r="I515" s="1073">
        <v>566162591</v>
      </c>
      <c r="J515" s="1077">
        <v>550060665</v>
      </c>
      <c r="K515" s="1075">
        <v>566162591</v>
      </c>
      <c r="L515" s="1075">
        <v>550060665</v>
      </c>
    </row>
    <row r="516" spans="1:12">
      <c r="A516" t="s">
        <v>2577</v>
      </c>
      <c r="B516" s="31" t="s">
        <v>1481</v>
      </c>
      <c r="C516" s="1075">
        <v>220858721</v>
      </c>
      <c r="D516" s="1075">
        <v>213926083</v>
      </c>
      <c r="E516" s="1075">
        <v>220858721</v>
      </c>
      <c r="F516" s="1075">
        <v>213926083</v>
      </c>
      <c r="G516" s="1073">
        <v>479286486</v>
      </c>
      <c r="H516" s="1073">
        <v>479286486</v>
      </c>
      <c r="I516" s="1073">
        <v>515168821</v>
      </c>
      <c r="J516" s="1077">
        <v>508236183</v>
      </c>
      <c r="K516" s="1075">
        <v>515168821</v>
      </c>
      <c r="L516" s="1075">
        <v>508236183</v>
      </c>
    </row>
    <row r="517" spans="1:12">
      <c r="A517" t="s">
        <v>502</v>
      </c>
      <c r="B517" s="31" t="s">
        <v>621</v>
      </c>
      <c r="C517" s="1075">
        <v>719872980</v>
      </c>
      <c r="D517" s="1075">
        <v>710183265</v>
      </c>
      <c r="E517" s="1075">
        <v>705670320</v>
      </c>
      <c r="F517" s="1075">
        <v>695980605</v>
      </c>
      <c r="G517" s="1073">
        <v>755273486</v>
      </c>
      <c r="H517" s="1073">
        <v>741732072</v>
      </c>
      <c r="I517" s="1073">
        <v>719872980</v>
      </c>
      <c r="J517" s="1077">
        <v>710183265</v>
      </c>
      <c r="K517" s="1075">
        <v>705670320</v>
      </c>
      <c r="L517" s="1075">
        <v>695980605</v>
      </c>
    </row>
    <row r="518" spans="1:12">
      <c r="A518" t="s">
        <v>2646</v>
      </c>
      <c r="B518" s="31" t="s">
        <v>2499</v>
      </c>
      <c r="C518" s="1075">
        <v>266675062</v>
      </c>
      <c r="D518" s="1075">
        <v>260032566</v>
      </c>
      <c r="E518" s="1075">
        <v>258097468</v>
      </c>
      <c r="F518" s="1075">
        <v>251454972</v>
      </c>
      <c r="G518" s="1073">
        <v>252721064</v>
      </c>
      <c r="H518" s="1073">
        <v>245126029</v>
      </c>
      <c r="I518" s="1073">
        <v>266675062</v>
      </c>
      <c r="J518" s="1077">
        <v>260032566</v>
      </c>
      <c r="K518" s="1075">
        <v>258097468</v>
      </c>
      <c r="L518" s="1075">
        <v>251454972</v>
      </c>
    </row>
    <row r="519" spans="1:12">
      <c r="A519" t="s">
        <v>883</v>
      </c>
      <c r="B519" s="31" t="s">
        <v>1447</v>
      </c>
      <c r="C519" s="1075">
        <v>336080569</v>
      </c>
      <c r="D519" s="1075">
        <v>317473091</v>
      </c>
      <c r="E519" s="1075">
        <v>336080569</v>
      </c>
      <c r="F519" s="1075">
        <v>317473091</v>
      </c>
      <c r="G519" s="1073">
        <v>316351093</v>
      </c>
      <c r="H519" s="1073">
        <v>316351093</v>
      </c>
      <c r="I519" s="1073">
        <v>336080569</v>
      </c>
      <c r="J519" s="1077">
        <v>317473091</v>
      </c>
      <c r="K519" s="1075">
        <v>336080569</v>
      </c>
      <c r="L519" s="1075">
        <v>317473091</v>
      </c>
    </row>
    <row r="520" spans="1:12">
      <c r="A520" t="s">
        <v>44</v>
      </c>
      <c r="B520" s="31" t="s">
        <v>406</v>
      </c>
      <c r="C520" s="1075">
        <v>943015492</v>
      </c>
      <c r="D520" s="1075">
        <v>912737543</v>
      </c>
      <c r="E520" s="1075">
        <v>943015492</v>
      </c>
      <c r="F520" s="1075">
        <v>912737543</v>
      </c>
      <c r="G520" s="1073">
        <v>972273905</v>
      </c>
      <c r="H520" s="1073">
        <v>972273905</v>
      </c>
      <c r="I520" s="1073">
        <v>943015492</v>
      </c>
      <c r="J520" s="1077">
        <v>912737543</v>
      </c>
      <c r="K520" s="1075">
        <v>943015492</v>
      </c>
      <c r="L520" s="1075">
        <v>912737543</v>
      </c>
    </row>
    <row r="521" spans="1:12">
      <c r="A521" t="s">
        <v>54</v>
      </c>
      <c r="B521" s="31" t="s">
        <v>2017</v>
      </c>
      <c r="C521" s="1075">
        <v>276484376</v>
      </c>
      <c r="D521" s="1075">
        <v>261365258</v>
      </c>
      <c r="E521" s="1075">
        <v>276484376</v>
      </c>
      <c r="F521" s="1075">
        <v>261365258</v>
      </c>
      <c r="G521" s="1073">
        <v>217054543</v>
      </c>
      <c r="H521" s="1073">
        <v>217054543</v>
      </c>
      <c r="I521" s="1073">
        <v>276484376</v>
      </c>
      <c r="J521" s="1077">
        <v>261365258</v>
      </c>
      <c r="K521" s="1075">
        <v>276484376</v>
      </c>
      <c r="L521" s="1075">
        <v>261365258</v>
      </c>
    </row>
    <row r="522" spans="1:12">
      <c r="A522" t="s">
        <v>2647</v>
      </c>
      <c r="B522" s="31" t="s">
        <v>2500</v>
      </c>
      <c r="C522" s="1075">
        <v>355507622</v>
      </c>
      <c r="D522" s="1075">
        <v>351718062</v>
      </c>
      <c r="E522" s="1075">
        <v>351914321</v>
      </c>
      <c r="F522" s="1075">
        <v>348124761</v>
      </c>
      <c r="G522" s="1073">
        <v>389883877</v>
      </c>
      <c r="H522" s="1073">
        <v>386496831</v>
      </c>
      <c r="I522" s="1073">
        <v>355507622</v>
      </c>
      <c r="J522" s="1077">
        <v>351718062</v>
      </c>
      <c r="K522" s="1075">
        <v>351914321</v>
      </c>
      <c r="L522" s="1075">
        <v>348124761</v>
      </c>
    </row>
    <row r="523" spans="1:12">
      <c r="A523" t="s">
        <v>2648</v>
      </c>
      <c r="B523" s="31" t="s">
        <v>2501</v>
      </c>
      <c r="C523" s="1075">
        <v>194575014</v>
      </c>
      <c r="D523" s="1075">
        <v>189444414</v>
      </c>
      <c r="E523" s="1075">
        <v>194575014</v>
      </c>
      <c r="F523" s="1075">
        <v>189444414</v>
      </c>
      <c r="G523" s="1073">
        <v>181278226</v>
      </c>
      <c r="H523" s="1073">
        <v>181278226</v>
      </c>
      <c r="I523" s="1073">
        <v>194575014</v>
      </c>
      <c r="J523" s="1077">
        <v>189444414</v>
      </c>
      <c r="K523" s="1075">
        <v>194575014</v>
      </c>
      <c r="L523" s="1075">
        <v>189444414</v>
      </c>
    </row>
    <row r="524" spans="1:12">
      <c r="A524" t="s">
        <v>2649</v>
      </c>
      <c r="B524" s="31" t="s">
        <v>2295</v>
      </c>
      <c r="C524" s="1075">
        <v>46481869</v>
      </c>
      <c r="D524" s="1075">
        <v>46087599</v>
      </c>
      <c r="E524" s="1075">
        <v>46481869</v>
      </c>
      <c r="F524" s="1075">
        <v>46087599</v>
      </c>
      <c r="G524" s="1073">
        <v>45635965</v>
      </c>
      <c r="H524" s="1073">
        <v>45635965</v>
      </c>
      <c r="I524" s="1073">
        <v>46481869</v>
      </c>
      <c r="J524" s="1077">
        <v>46087599</v>
      </c>
      <c r="K524" s="1075">
        <v>46481869</v>
      </c>
      <c r="L524" s="1075">
        <v>46087599</v>
      </c>
    </row>
    <row r="525" spans="1:12">
      <c r="A525" t="s">
        <v>2540</v>
      </c>
      <c r="B525" s="31" t="s">
        <v>390</v>
      </c>
      <c r="C525" s="1075">
        <v>2229058102</v>
      </c>
      <c r="D525" s="1075">
        <v>2163806540</v>
      </c>
      <c r="E525" s="1075">
        <v>2229058102</v>
      </c>
      <c r="F525" s="1075">
        <v>2163806540</v>
      </c>
      <c r="G525" s="1073">
        <v>2173822708</v>
      </c>
      <c r="H525" s="1073">
        <v>2173822708</v>
      </c>
      <c r="I525" s="1073">
        <v>2400111402</v>
      </c>
      <c r="J525" s="1077">
        <v>2334859840</v>
      </c>
      <c r="K525" s="1075">
        <v>2400111402</v>
      </c>
      <c r="L525" s="1075">
        <v>2334859840</v>
      </c>
    </row>
    <row r="526" spans="1:12">
      <c r="A526" t="s">
        <v>2292</v>
      </c>
      <c r="B526" s="31" t="s">
        <v>2296</v>
      </c>
      <c r="C526" s="1075">
        <v>3591870655</v>
      </c>
      <c r="D526" s="1075">
        <v>3497164143</v>
      </c>
      <c r="E526" s="1075">
        <v>3591870655</v>
      </c>
      <c r="F526" s="1075">
        <v>3497164143</v>
      </c>
      <c r="G526" s="1073">
        <v>4104522726</v>
      </c>
      <c r="H526" s="1073">
        <v>4104522726</v>
      </c>
      <c r="I526" s="1073">
        <v>7760232395</v>
      </c>
      <c r="J526" s="1077">
        <v>7665525883</v>
      </c>
      <c r="K526" s="1075">
        <v>7760232395</v>
      </c>
      <c r="L526" s="1075">
        <v>7665525883</v>
      </c>
    </row>
    <row r="527" spans="1:12">
      <c r="A527" t="s">
        <v>2293</v>
      </c>
      <c r="B527" s="31" t="s">
        <v>2690</v>
      </c>
      <c r="C527" s="1075">
        <v>2531021501</v>
      </c>
      <c r="D527" s="1075">
        <v>2461660924</v>
      </c>
      <c r="E527" s="1075">
        <v>2436721262</v>
      </c>
      <c r="F527" s="1075">
        <v>2367360685</v>
      </c>
      <c r="G527" s="1073">
        <v>2511698196</v>
      </c>
      <c r="H527" s="1073">
        <v>2416366411</v>
      </c>
      <c r="I527" s="1073">
        <v>2801527731</v>
      </c>
      <c r="J527" s="1077">
        <v>2732167154</v>
      </c>
      <c r="K527" s="1075">
        <v>2707227492</v>
      </c>
      <c r="L527" s="1075">
        <v>2637866915</v>
      </c>
    </row>
    <row r="528" spans="1:12">
      <c r="A528" t="s">
        <v>1325</v>
      </c>
      <c r="B528" s="31" t="s">
        <v>2691</v>
      </c>
      <c r="C528" s="1075">
        <v>10036040995</v>
      </c>
      <c r="D528" s="1075">
        <v>9815337313</v>
      </c>
      <c r="E528" s="1075">
        <v>10036040995</v>
      </c>
      <c r="F528" s="1075">
        <v>9815337313</v>
      </c>
      <c r="G528" s="1073">
        <v>10051134744</v>
      </c>
      <c r="H528" s="1073">
        <v>10051134744</v>
      </c>
      <c r="I528" s="1073">
        <v>10203301295</v>
      </c>
      <c r="J528" s="1077">
        <v>9982597613</v>
      </c>
      <c r="K528" s="1075">
        <v>10203301295</v>
      </c>
      <c r="L528" s="1075">
        <v>9982597613</v>
      </c>
    </row>
    <row r="529" spans="1:12">
      <c r="A529" t="s">
        <v>1326</v>
      </c>
      <c r="B529" s="31" t="s">
        <v>2692</v>
      </c>
      <c r="C529" s="1075">
        <v>565014076</v>
      </c>
      <c r="D529" s="1075">
        <v>564094206</v>
      </c>
      <c r="E529" s="1075">
        <v>564209417</v>
      </c>
      <c r="F529" s="1075">
        <v>563289547</v>
      </c>
      <c r="G529" s="1073">
        <v>678386918</v>
      </c>
      <c r="H529" s="1073">
        <v>677438114</v>
      </c>
      <c r="I529" s="1073">
        <v>938511776</v>
      </c>
      <c r="J529" s="1077">
        <v>937591906</v>
      </c>
      <c r="K529" s="1075">
        <v>937707117</v>
      </c>
      <c r="L529" s="1075">
        <v>936787247</v>
      </c>
    </row>
    <row r="530" spans="1:12">
      <c r="A530" t="s">
        <v>1309</v>
      </c>
      <c r="B530" s="31" t="s">
        <v>1734</v>
      </c>
      <c r="C530" s="1075">
        <v>688102035</v>
      </c>
      <c r="D530" s="1075">
        <v>665556618</v>
      </c>
      <c r="E530" s="1075">
        <v>688102035</v>
      </c>
      <c r="F530" s="1075">
        <v>665556618</v>
      </c>
      <c r="G530" s="1073">
        <v>702448435</v>
      </c>
      <c r="H530" s="1073">
        <v>702448435</v>
      </c>
      <c r="I530" s="1073">
        <v>688102035</v>
      </c>
      <c r="J530" s="1077">
        <v>665556618</v>
      </c>
      <c r="K530" s="1075">
        <v>688102035</v>
      </c>
      <c r="L530" s="1075">
        <v>665556618</v>
      </c>
    </row>
    <row r="531" spans="1:12">
      <c r="A531" t="s">
        <v>1327</v>
      </c>
      <c r="B531" s="31" t="s">
        <v>1738</v>
      </c>
      <c r="C531" s="1075">
        <v>348527092</v>
      </c>
      <c r="D531" s="1075">
        <v>339871712</v>
      </c>
      <c r="E531" s="1075">
        <v>345521092</v>
      </c>
      <c r="F531" s="1075">
        <v>336865712</v>
      </c>
      <c r="G531" s="1073">
        <v>392193394</v>
      </c>
      <c r="H531" s="1073">
        <v>389220628</v>
      </c>
      <c r="I531" s="1073">
        <v>448027092</v>
      </c>
      <c r="J531" s="1077">
        <v>439371712</v>
      </c>
      <c r="K531" s="1075">
        <v>445021092</v>
      </c>
      <c r="L531" s="1075">
        <v>436365712</v>
      </c>
    </row>
    <row r="532" spans="1:12">
      <c r="A532" t="s">
        <v>2019</v>
      </c>
      <c r="B532" s="31" t="s">
        <v>701</v>
      </c>
      <c r="C532" s="1075">
        <v>1251018869</v>
      </c>
      <c r="D532" s="1075">
        <v>1213953177</v>
      </c>
      <c r="E532" s="1075">
        <v>1251018869</v>
      </c>
      <c r="F532" s="1075">
        <v>1213953177</v>
      </c>
      <c r="G532" s="1073">
        <v>1791623872</v>
      </c>
      <c r="H532" s="1073">
        <v>1791623872</v>
      </c>
      <c r="I532" s="1073">
        <v>1251018869</v>
      </c>
      <c r="J532" s="1077">
        <v>1213953177</v>
      </c>
      <c r="K532" s="1075">
        <v>1251018869</v>
      </c>
      <c r="L532" s="1075">
        <v>1213953177</v>
      </c>
    </row>
    <row r="533" spans="1:12">
      <c r="A533" t="s">
        <v>2323</v>
      </c>
      <c r="B533" s="31" t="s">
        <v>2681</v>
      </c>
      <c r="C533" s="1075">
        <v>92939523</v>
      </c>
      <c r="D533" s="1075">
        <v>89429006</v>
      </c>
      <c r="E533" s="1075">
        <v>92939523</v>
      </c>
      <c r="F533" s="1075">
        <v>89429006</v>
      </c>
      <c r="G533" s="1073">
        <v>78849553</v>
      </c>
      <c r="H533" s="1073">
        <v>78849553</v>
      </c>
      <c r="I533" s="1073">
        <v>92939523</v>
      </c>
      <c r="J533" s="1077">
        <v>89429006</v>
      </c>
      <c r="K533" s="1075">
        <v>92939523</v>
      </c>
      <c r="L533" s="1075">
        <v>89429006</v>
      </c>
    </row>
    <row r="534" spans="1:12">
      <c r="A534" t="s">
        <v>1413</v>
      </c>
      <c r="B534" s="31" t="s">
        <v>1016</v>
      </c>
      <c r="C534" s="1075">
        <v>388695683</v>
      </c>
      <c r="D534" s="1075">
        <v>377600271</v>
      </c>
      <c r="E534" s="1075">
        <v>388695683</v>
      </c>
      <c r="F534" s="1075">
        <v>377600271</v>
      </c>
      <c r="G534" s="1073">
        <v>268183671</v>
      </c>
      <c r="H534" s="1073">
        <v>268183671</v>
      </c>
      <c r="I534" s="1073">
        <v>388695683</v>
      </c>
      <c r="J534" s="1077">
        <v>377600271</v>
      </c>
      <c r="K534" s="1075">
        <v>388695683</v>
      </c>
      <c r="L534" s="1075">
        <v>377600271</v>
      </c>
    </row>
    <row r="535" spans="1:12">
      <c r="A535" t="s">
        <v>216</v>
      </c>
      <c r="B535" s="31" t="s">
        <v>2102</v>
      </c>
      <c r="C535" s="1075">
        <v>148709997</v>
      </c>
      <c r="D535" s="1075">
        <v>143745178</v>
      </c>
      <c r="E535" s="1075">
        <v>148709997</v>
      </c>
      <c r="F535" s="1075">
        <v>143745178</v>
      </c>
      <c r="G535" s="1073">
        <v>135324864</v>
      </c>
      <c r="H535" s="1073">
        <v>135324864</v>
      </c>
      <c r="I535" s="1073">
        <v>148709997</v>
      </c>
      <c r="J535" s="1077">
        <v>143745178</v>
      </c>
      <c r="K535" s="1075">
        <v>148709997</v>
      </c>
      <c r="L535" s="1075">
        <v>143745178</v>
      </c>
    </row>
    <row r="536" spans="1:12">
      <c r="A536" t="s">
        <v>1328</v>
      </c>
      <c r="B536" s="31" t="s">
        <v>1739</v>
      </c>
      <c r="C536" s="1075">
        <v>56151735</v>
      </c>
      <c r="D536" s="1075">
        <v>55575464</v>
      </c>
      <c r="E536" s="1075">
        <v>56003517</v>
      </c>
      <c r="F536" s="1075">
        <v>55427246</v>
      </c>
      <c r="G536" s="1073">
        <v>63599402</v>
      </c>
      <c r="H536" s="1073">
        <v>63467630</v>
      </c>
      <c r="I536" s="1073">
        <v>56151735</v>
      </c>
      <c r="J536" s="1077">
        <v>55575464</v>
      </c>
      <c r="K536" s="1075">
        <v>56003517</v>
      </c>
      <c r="L536" s="1075">
        <v>55427246</v>
      </c>
    </row>
    <row r="537" spans="1:12">
      <c r="A537" t="s">
        <v>195</v>
      </c>
      <c r="B537" s="31" t="s">
        <v>1051</v>
      </c>
      <c r="C537" s="1075">
        <v>1309220907</v>
      </c>
      <c r="D537" s="1075">
        <v>1277891864</v>
      </c>
      <c r="E537" s="1075">
        <v>1309220907</v>
      </c>
      <c r="F537" s="1075">
        <v>1277891864</v>
      </c>
      <c r="G537" s="1073">
        <v>1486141345</v>
      </c>
      <c r="H537" s="1073">
        <v>1486141345</v>
      </c>
      <c r="I537" s="1073">
        <v>1309220907</v>
      </c>
      <c r="J537" s="1077">
        <v>1277891864</v>
      </c>
      <c r="K537" s="1075">
        <v>1309220907</v>
      </c>
      <c r="L537" s="1075">
        <v>1277891864</v>
      </c>
    </row>
    <row r="538" spans="1:12">
      <c r="A538" t="s">
        <v>1884</v>
      </c>
      <c r="B538" s="31" t="s">
        <v>1449</v>
      </c>
      <c r="C538" s="1075">
        <v>3902405571</v>
      </c>
      <c r="D538" s="1075">
        <v>3771510158</v>
      </c>
      <c r="E538" s="1075">
        <v>3902405571</v>
      </c>
      <c r="F538" s="1075">
        <v>3771510158</v>
      </c>
      <c r="G538" s="1073">
        <v>3602800255</v>
      </c>
      <c r="H538" s="1073">
        <v>3602800255</v>
      </c>
      <c r="I538" s="1073">
        <v>3902405571</v>
      </c>
      <c r="J538" s="1077">
        <v>3771510158</v>
      </c>
      <c r="K538" s="1075">
        <v>3902405571</v>
      </c>
      <c r="L538" s="1075">
        <v>3771510158</v>
      </c>
    </row>
    <row r="539" spans="1:12">
      <c r="A539" t="s">
        <v>574</v>
      </c>
      <c r="B539" s="31" t="s">
        <v>1163</v>
      </c>
      <c r="C539" s="1075">
        <v>2459166664</v>
      </c>
      <c r="D539" s="1075">
        <v>2389950850</v>
      </c>
      <c r="E539" s="1075">
        <v>2459166664</v>
      </c>
      <c r="F539" s="1075">
        <v>2389950850</v>
      </c>
      <c r="G539" s="1073">
        <v>2671129934</v>
      </c>
      <c r="H539" s="1073">
        <v>2671129934</v>
      </c>
      <c r="I539" s="1073">
        <v>2459166664</v>
      </c>
      <c r="J539" s="1077">
        <v>2389950850</v>
      </c>
      <c r="K539" s="1075">
        <v>2459166664</v>
      </c>
      <c r="L539" s="1075">
        <v>2389950850</v>
      </c>
    </row>
    <row r="540" spans="1:12">
      <c r="A540" t="s">
        <v>1798</v>
      </c>
      <c r="B540" s="31" t="s">
        <v>865</v>
      </c>
      <c r="C540" s="1075">
        <v>282309133</v>
      </c>
      <c r="D540" s="1075">
        <v>271294025</v>
      </c>
      <c r="E540" s="1075">
        <v>282309133</v>
      </c>
      <c r="F540" s="1075">
        <v>271294025</v>
      </c>
      <c r="G540" s="1073">
        <v>292994717</v>
      </c>
      <c r="H540" s="1073">
        <v>292994717</v>
      </c>
      <c r="I540" s="1073">
        <v>282309133</v>
      </c>
      <c r="J540" s="1077">
        <v>271294025</v>
      </c>
      <c r="K540" s="1075">
        <v>282309133</v>
      </c>
      <c r="L540" s="1075">
        <v>271294025</v>
      </c>
    </row>
    <row r="541" spans="1:12">
      <c r="A541" t="s">
        <v>45</v>
      </c>
      <c r="B541" s="31" t="s">
        <v>407</v>
      </c>
      <c r="C541" s="1075">
        <v>1354116611</v>
      </c>
      <c r="D541" s="1075">
        <v>1301582390</v>
      </c>
      <c r="E541" s="1075">
        <v>1354116611</v>
      </c>
      <c r="F541" s="1075">
        <v>1301582390</v>
      </c>
      <c r="G541" s="1073">
        <v>1375858284</v>
      </c>
      <c r="H541" s="1073">
        <v>1375858284</v>
      </c>
      <c r="I541" s="1073">
        <v>1354116611</v>
      </c>
      <c r="J541" s="1077">
        <v>1301582390</v>
      </c>
      <c r="K541" s="1075">
        <v>1354116611</v>
      </c>
      <c r="L541" s="1075">
        <v>1301582390</v>
      </c>
    </row>
    <row r="542" spans="1:12">
      <c r="A542" t="s">
        <v>1329</v>
      </c>
      <c r="B542" s="31" t="s">
        <v>2034</v>
      </c>
      <c r="C542" s="1075">
        <v>153235564</v>
      </c>
      <c r="D542" s="1075">
        <v>147357146</v>
      </c>
      <c r="E542" s="1075">
        <v>153235564</v>
      </c>
      <c r="F542" s="1075">
        <v>147357146</v>
      </c>
      <c r="G542" s="1073">
        <v>160002577</v>
      </c>
      <c r="H542" s="1073">
        <v>160002577</v>
      </c>
      <c r="I542" s="1073">
        <v>153235564</v>
      </c>
      <c r="J542" s="1077">
        <v>147357146</v>
      </c>
      <c r="K542" s="1075">
        <v>153235564</v>
      </c>
      <c r="L542" s="1075">
        <v>147357146</v>
      </c>
    </row>
    <row r="543" spans="1:12">
      <c r="A543" t="s">
        <v>2324</v>
      </c>
      <c r="B543" s="31" t="s">
        <v>2695</v>
      </c>
      <c r="C543" s="1075">
        <v>268878137</v>
      </c>
      <c r="D543" s="1075">
        <v>259451033</v>
      </c>
      <c r="E543" s="1075">
        <v>268878137</v>
      </c>
      <c r="F543" s="1075">
        <v>259451033</v>
      </c>
      <c r="G543" s="1073">
        <v>277760409</v>
      </c>
      <c r="H543" s="1073">
        <v>277760409</v>
      </c>
      <c r="I543" s="1073">
        <v>268878137</v>
      </c>
      <c r="J543" s="1077">
        <v>259451033</v>
      </c>
      <c r="K543" s="1075">
        <v>268878137</v>
      </c>
      <c r="L543" s="1075">
        <v>259451033</v>
      </c>
    </row>
    <row r="544" spans="1:12">
      <c r="A544" t="s">
        <v>255</v>
      </c>
      <c r="B544" s="31" t="s">
        <v>2644</v>
      </c>
      <c r="C544" s="1075">
        <v>270655710</v>
      </c>
      <c r="D544" s="1075">
        <v>257881610</v>
      </c>
      <c r="E544" s="1075">
        <v>270655710</v>
      </c>
      <c r="F544" s="1075">
        <v>257881610</v>
      </c>
      <c r="G544" s="1073">
        <v>251348138</v>
      </c>
      <c r="H544" s="1073">
        <v>251348138</v>
      </c>
      <c r="I544" s="1073">
        <v>270655710</v>
      </c>
      <c r="J544" s="1077">
        <v>257881610</v>
      </c>
      <c r="K544" s="1075">
        <v>270655710</v>
      </c>
      <c r="L544" s="1075">
        <v>257881610</v>
      </c>
    </row>
    <row r="545" spans="1:12">
      <c r="A545" t="s">
        <v>1263</v>
      </c>
      <c r="B545" s="31" t="s">
        <v>2322</v>
      </c>
      <c r="C545" s="1075">
        <v>771902369</v>
      </c>
      <c r="D545" s="1075">
        <v>760018481</v>
      </c>
      <c r="E545" s="1075">
        <v>771902369</v>
      </c>
      <c r="F545" s="1075">
        <v>760018481</v>
      </c>
      <c r="G545" s="1073">
        <v>1046936772</v>
      </c>
      <c r="H545" s="1073">
        <v>1046936772</v>
      </c>
      <c r="I545" s="1073">
        <v>771902369</v>
      </c>
      <c r="J545" s="1077">
        <v>760018481</v>
      </c>
      <c r="K545" s="1075">
        <v>771902369</v>
      </c>
      <c r="L545" s="1075">
        <v>760018481</v>
      </c>
    </row>
    <row r="546" spans="1:12">
      <c r="A546" t="s">
        <v>2097</v>
      </c>
      <c r="B546" s="31" t="s">
        <v>2417</v>
      </c>
      <c r="C546" s="1075">
        <v>132687097</v>
      </c>
      <c r="D546" s="1075">
        <v>124822947</v>
      </c>
      <c r="E546" s="1075">
        <v>132687097</v>
      </c>
      <c r="F546" s="1075">
        <v>124822947</v>
      </c>
      <c r="G546" s="1073">
        <v>134722551</v>
      </c>
      <c r="H546" s="1073">
        <v>134722551</v>
      </c>
      <c r="I546" s="1073">
        <v>132687097</v>
      </c>
      <c r="J546" s="1077">
        <v>124822947</v>
      </c>
      <c r="K546" s="1075">
        <v>132687097</v>
      </c>
      <c r="L546" s="1075">
        <v>124822947</v>
      </c>
    </row>
    <row r="547" spans="1:12">
      <c r="A547" t="s">
        <v>1330</v>
      </c>
      <c r="B547" s="31" t="s">
        <v>2035</v>
      </c>
      <c r="C547" s="1075">
        <v>129605628</v>
      </c>
      <c r="D547" s="1075">
        <v>124954358</v>
      </c>
      <c r="E547" s="1075">
        <v>129605628</v>
      </c>
      <c r="F547" s="1075">
        <v>124954358</v>
      </c>
      <c r="G547" s="1073">
        <v>172005498</v>
      </c>
      <c r="H547" s="1073">
        <v>172005498</v>
      </c>
      <c r="I547" s="1073">
        <v>129605628</v>
      </c>
      <c r="J547" s="1077">
        <v>124954358</v>
      </c>
      <c r="K547" s="1075">
        <v>129605628</v>
      </c>
      <c r="L547" s="1075">
        <v>124954358</v>
      </c>
    </row>
    <row r="548" spans="1:12">
      <c r="A548" t="s">
        <v>1862</v>
      </c>
      <c r="B548" s="31" t="s">
        <v>829</v>
      </c>
      <c r="C548" s="1075">
        <v>147383396</v>
      </c>
      <c r="D548" s="1075">
        <v>139257596</v>
      </c>
      <c r="E548" s="1075">
        <v>147383396</v>
      </c>
      <c r="F548" s="1075">
        <v>139257596</v>
      </c>
      <c r="G548" s="1073">
        <v>124530155</v>
      </c>
      <c r="H548" s="1073">
        <v>124530155</v>
      </c>
      <c r="I548" s="1073">
        <v>147383396</v>
      </c>
      <c r="J548" s="1077">
        <v>139257596</v>
      </c>
      <c r="K548" s="1075">
        <v>147383396</v>
      </c>
      <c r="L548" s="1075">
        <v>139257596</v>
      </c>
    </row>
    <row r="549" spans="1:12">
      <c r="A549" t="s">
        <v>2510</v>
      </c>
      <c r="B549" s="31" t="s">
        <v>144</v>
      </c>
      <c r="C549" s="1075">
        <v>77004106</v>
      </c>
      <c r="D549" s="1075">
        <v>75406088</v>
      </c>
      <c r="E549" s="1075">
        <v>77004106</v>
      </c>
      <c r="F549" s="1075">
        <v>75406088</v>
      </c>
      <c r="G549" s="1073">
        <v>100334563</v>
      </c>
      <c r="H549" s="1073">
        <v>100334563</v>
      </c>
      <c r="I549" s="1073">
        <v>77004106</v>
      </c>
      <c r="J549" s="1077">
        <v>75406088</v>
      </c>
      <c r="K549" s="1075">
        <v>77004106</v>
      </c>
      <c r="L549" s="1075">
        <v>75406088</v>
      </c>
    </row>
    <row r="550" spans="1:12">
      <c r="A550" t="s">
        <v>259</v>
      </c>
      <c r="B550" s="31" t="s">
        <v>1939</v>
      </c>
      <c r="C550" s="1075">
        <v>101498693</v>
      </c>
      <c r="D550" s="1075">
        <v>95101603</v>
      </c>
      <c r="E550" s="1075">
        <v>101498693</v>
      </c>
      <c r="F550" s="1075">
        <v>95101603</v>
      </c>
      <c r="G550" s="1073">
        <v>87526312</v>
      </c>
      <c r="H550" s="1073">
        <v>87526312</v>
      </c>
      <c r="I550" s="1073">
        <v>101498693</v>
      </c>
      <c r="J550" s="1077">
        <v>95101603</v>
      </c>
      <c r="K550" s="1075">
        <v>101498693</v>
      </c>
      <c r="L550" s="1075">
        <v>95101603</v>
      </c>
    </row>
    <row r="551" spans="1:12">
      <c r="A551" t="s">
        <v>47</v>
      </c>
      <c r="B551" s="31" t="s">
        <v>409</v>
      </c>
      <c r="C551" s="1075">
        <v>3284658697</v>
      </c>
      <c r="D551" s="1075">
        <v>3275561222</v>
      </c>
      <c r="E551" s="1075">
        <v>3284658697</v>
      </c>
      <c r="F551" s="1075">
        <v>3275561222</v>
      </c>
      <c r="G551" s="1073">
        <v>6766932439</v>
      </c>
      <c r="H551" s="1073">
        <v>6766932439</v>
      </c>
      <c r="I551" s="1073">
        <v>3284658697</v>
      </c>
      <c r="J551" s="1077">
        <v>3275561222</v>
      </c>
      <c r="K551" s="1075">
        <v>3284658697</v>
      </c>
      <c r="L551" s="1075">
        <v>3275561222</v>
      </c>
    </row>
    <row r="552" spans="1:12">
      <c r="A552" t="s">
        <v>2511</v>
      </c>
      <c r="B552" s="31" t="s">
        <v>414</v>
      </c>
      <c r="C552" s="1075">
        <v>947028566</v>
      </c>
      <c r="D552" s="1075">
        <v>939469906</v>
      </c>
      <c r="E552" s="1075">
        <v>947028566</v>
      </c>
      <c r="F552" s="1075">
        <v>939469906</v>
      </c>
      <c r="G552" s="1073">
        <v>1943260579</v>
      </c>
      <c r="H552" s="1073">
        <v>1943260579</v>
      </c>
      <c r="I552" s="1073">
        <v>1082153786</v>
      </c>
      <c r="J552" s="1077">
        <v>1074595126</v>
      </c>
      <c r="K552" s="1075">
        <v>1082153786</v>
      </c>
      <c r="L552" s="1075">
        <v>1074595126</v>
      </c>
    </row>
    <row r="553" spans="1:12">
      <c r="A553" t="s">
        <v>1153</v>
      </c>
      <c r="B553" s="31" t="s">
        <v>2036</v>
      </c>
      <c r="C553" s="1075">
        <v>316453020</v>
      </c>
      <c r="D553" s="1075">
        <v>314320207</v>
      </c>
      <c r="E553" s="1075">
        <v>316453020</v>
      </c>
      <c r="F553" s="1075">
        <v>314320207</v>
      </c>
      <c r="G553" s="1073">
        <v>1215983663</v>
      </c>
      <c r="H553" s="1073">
        <v>1215983663</v>
      </c>
      <c r="I553" s="1073">
        <v>316453020</v>
      </c>
      <c r="J553" s="1077">
        <v>314320207</v>
      </c>
      <c r="K553" s="1075">
        <v>316453020</v>
      </c>
      <c r="L553" s="1075">
        <v>314320207</v>
      </c>
    </row>
    <row r="554" spans="1:12">
      <c r="A554" t="s">
        <v>1686</v>
      </c>
      <c r="B554" s="31" t="s">
        <v>893</v>
      </c>
      <c r="C554" s="1075">
        <v>418290176</v>
      </c>
      <c r="D554" s="1075">
        <v>413533529</v>
      </c>
      <c r="E554" s="1075">
        <v>418290176</v>
      </c>
      <c r="F554" s="1075">
        <v>413533529</v>
      </c>
      <c r="G554" s="1073">
        <v>1084772318</v>
      </c>
      <c r="H554" s="1073">
        <v>1084772318</v>
      </c>
      <c r="I554" s="1073">
        <v>418290176</v>
      </c>
      <c r="J554" s="1077">
        <v>413533529</v>
      </c>
      <c r="K554" s="1075">
        <v>418290176</v>
      </c>
      <c r="L554" s="1075">
        <v>413533529</v>
      </c>
    </row>
    <row r="555" spans="1:12">
      <c r="A555" t="s">
        <v>2403</v>
      </c>
      <c r="B555" s="31" t="s">
        <v>416</v>
      </c>
      <c r="C555" s="1075">
        <v>672732802</v>
      </c>
      <c r="D555" s="1075">
        <v>640174907</v>
      </c>
      <c r="E555" s="1075">
        <v>672732802</v>
      </c>
      <c r="F555" s="1075">
        <v>640174907</v>
      </c>
      <c r="G555" s="1073">
        <v>570368480</v>
      </c>
      <c r="H555" s="1073">
        <v>570368480</v>
      </c>
      <c r="I555" s="1073">
        <v>672732802</v>
      </c>
      <c r="J555" s="1077">
        <v>640174907</v>
      </c>
      <c r="K555" s="1075">
        <v>672732802</v>
      </c>
      <c r="L555" s="1075">
        <v>640174907</v>
      </c>
    </row>
    <row r="556" spans="1:12">
      <c r="A556" t="s">
        <v>1339</v>
      </c>
      <c r="B556" s="31" t="s">
        <v>111</v>
      </c>
      <c r="C556" s="1075">
        <v>3155676614</v>
      </c>
      <c r="D556" s="1075">
        <v>3068933561</v>
      </c>
      <c r="E556" s="1075">
        <v>3155676614</v>
      </c>
      <c r="F556" s="1075">
        <v>3068933561</v>
      </c>
      <c r="G556" s="1073">
        <v>2568325277</v>
      </c>
      <c r="H556" s="1073">
        <v>2568325277</v>
      </c>
      <c r="I556" s="1073">
        <v>3155676614</v>
      </c>
      <c r="J556" s="1077">
        <v>3068933561</v>
      </c>
      <c r="K556" s="1075">
        <v>3155676614</v>
      </c>
      <c r="L556" s="1075">
        <v>3068933561</v>
      </c>
    </row>
    <row r="557" spans="1:12">
      <c r="A557" t="s">
        <v>49</v>
      </c>
      <c r="B557" s="31" t="s">
        <v>411</v>
      </c>
      <c r="C557" s="1075">
        <v>641133585</v>
      </c>
      <c r="D557" s="1075">
        <v>608815152</v>
      </c>
      <c r="E557" s="1075">
        <v>641133585</v>
      </c>
      <c r="F557" s="1075">
        <v>608815152</v>
      </c>
      <c r="G557" s="1073">
        <v>603666576</v>
      </c>
      <c r="H557" s="1073">
        <v>603666576</v>
      </c>
      <c r="I557" s="1073">
        <v>641133585</v>
      </c>
      <c r="J557" s="1077">
        <v>608815152</v>
      </c>
      <c r="K557" s="1075">
        <v>641133585</v>
      </c>
      <c r="L557" s="1075">
        <v>608815152</v>
      </c>
    </row>
    <row r="558" spans="1:12">
      <c r="A558" t="s">
        <v>51</v>
      </c>
      <c r="B558" s="31" t="s">
        <v>413</v>
      </c>
      <c r="C558" s="1075">
        <v>334818919</v>
      </c>
      <c r="D558" s="1075">
        <v>316764068</v>
      </c>
      <c r="E558" s="1075">
        <v>334818919</v>
      </c>
      <c r="F558" s="1075">
        <v>316764068</v>
      </c>
      <c r="G558" s="1073">
        <v>312014138</v>
      </c>
      <c r="H558" s="1073">
        <v>312014138</v>
      </c>
      <c r="I558" s="1073">
        <v>334818919</v>
      </c>
      <c r="J558" s="1077">
        <v>316764068</v>
      </c>
      <c r="K558" s="1075">
        <v>334818919</v>
      </c>
      <c r="L558" s="1075">
        <v>316764068</v>
      </c>
    </row>
    <row r="559" spans="1:12">
      <c r="A559" t="s">
        <v>2554</v>
      </c>
      <c r="B559" s="31" t="s">
        <v>2037</v>
      </c>
      <c r="C559" s="1075">
        <v>1111184876</v>
      </c>
      <c r="D559" s="1075">
        <v>1071885416</v>
      </c>
      <c r="E559" s="1075">
        <v>1111184876</v>
      </c>
      <c r="F559" s="1075">
        <v>1071885416</v>
      </c>
      <c r="G559" s="1073">
        <v>1100795979</v>
      </c>
      <c r="H559" s="1073">
        <v>1100795979</v>
      </c>
      <c r="I559" s="1073">
        <v>1111184876</v>
      </c>
      <c r="J559" s="1077">
        <v>1071885416</v>
      </c>
      <c r="K559" s="1075">
        <v>1111184876</v>
      </c>
      <c r="L559" s="1075">
        <v>1071885416</v>
      </c>
    </row>
    <row r="560" spans="1:12">
      <c r="A560" t="s">
        <v>2555</v>
      </c>
      <c r="B560" s="31" t="s">
        <v>2038</v>
      </c>
      <c r="C560" s="1075">
        <v>1444021754</v>
      </c>
      <c r="D560" s="1075">
        <v>1399753557</v>
      </c>
      <c r="E560" s="1075">
        <v>1444021754</v>
      </c>
      <c r="F560" s="1075">
        <v>1399753557</v>
      </c>
      <c r="G560" s="1073">
        <v>1366096751</v>
      </c>
      <c r="H560" s="1073">
        <v>1366096751</v>
      </c>
      <c r="I560" s="1073">
        <v>1444021754</v>
      </c>
      <c r="J560" s="1077">
        <v>1399753557</v>
      </c>
      <c r="K560" s="1075">
        <v>1444021754</v>
      </c>
      <c r="L560" s="1075">
        <v>1399753557</v>
      </c>
    </row>
    <row r="561" spans="1:12">
      <c r="A561" t="s">
        <v>494</v>
      </c>
      <c r="B561" s="31" t="s">
        <v>1246</v>
      </c>
      <c r="C561" s="1075">
        <v>163921904</v>
      </c>
      <c r="D561" s="1075">
        <v>154708694</v>
      </c>
      <c r="E561" s="1075">
        <v>163921904</v>
      </c>
      <c r="F561" s="1075">
        <v>154708694</v>
      </c>
      <c r="G561" s="1073">
        <v>151937388</v>
      </c>
      <c r="H561" s="1073">
        <v>151937388</v>
      </c>
      <c r="I561" s="1073">
        <v>163921904</v>
      </c>
      <c r="J561" s="1077">
        <v>154708694</v>
      </c>
      <c r="K561" s="1075">
        <v>163921904</v>
      </c>
      <c r="L561" s="1075">
        <v>154708694</v>
      </c>
    </row>
    <row r="562" spans="1:12">
      <c r="A562" t="s">
        <v>2556</v>
      </c>
      <c r="B562" s="31" t="s">
        <v>2039</v>
      </c>
      <c r="C562" s="1075">
        <v>6083695416</v>
      </c>
      <c r="D562" s="1075">
        <v>5972073704</v>
      </c>
      <c r="E562" s="1075">
        <v>6083695416</v>
      </c>
      <c r="F562" s="1075">
        <v>5972073704</v>
      </c>
      <c r="G562" s="1073">
        <v>5494890819</v>
      </c>
      <c r="H562" s="1073">
        <v>5494890819</v>
      </c>
      <c r="I562" s="1073">
        <v>6083695416</v>
      </c>
      <c r="J562" s="1077">
        <v>5972073704</v>
      </c>
      <c r="K562" s="1075">
        <v>6083695416</v>
      </c>
      <c r="L562" s="1075">
        <v>5972073704</v>
      </c>
    </row>
    <row r="563" spans="1:12">
      <c r="A563" t="s">
        <v>1539</v>
      </c>
      <c r="B563" s="31" t="s">
        <v>2040</v>
      </c>
      <c r="C563" s="1075">
        <v>807078500</v>
      </c>
      <c r="D563" s="1075">
        <v>789180057</v>
      </c>
      <c r="E563" s="1075">
        <v>807078500</v>
      </c>
      <c r="F563" s="1075">
        <v>789180057</v>
      </c>
      <c r="G563" s="1073">
        <v>752977262</v>
      </c>
      <c r="H563" s="1073">
        <v>752977262</v>
      </c>
      <c r="I563" s="1073">
        <v>807078500</v>
      </c>
      <c r="J563" s="1077">
        <v>789180057</v>
      </c>
      <c r="K563" s="1075">
        <v>807078500</v>
      </c>
      <c r="L563" s="1075">
        <v>789180057</v>
      </c>
    </row>
    <row r="564" spans="1:12">
      <c r="A564" t="s">
        <v>2689</v>
      </c>
      <c r="B564" s="31" t="s">
        <v>2041</v>
      </c>
      <c r="C564" s="1075">
        <v>811380201</v>
      </c>
      <c r="D564" s="1075">
        <v>811197370</v>
      </c>
      <c r="E564" s="1075">
        <v>811126724</v>
      </c>
      <c r="F564" s="1075">
        <v>810943893</v>
      </c>
      <c r="G564" s="1073">
        <v>825578673</v>
      </c>
      <c r="H564" s="1073">
        <v>825322454</v>
      </c>
      <c r="I564" s="1073">
        <v>932019221</v>
      </c>
      <c r="J564" s="1077">
        <v>931836390</v>
      </c>
      <c r="K564" s="1075">
        <v>931765744</v>
      </c>
      <c r="L564" s="1075">
        <v>931582913</v>
      </c>
    </row>
    <row r="565" spans="1:12">
      <c r="A565" t="s">
        <v>2320</v>
      </c>
      <c r="B565" s="31" t="s">
        <v>2042</v>
      </c>
      <c r="C565" s="1075">
        <v>329821211</v>
      </c>
      <c r="D565" s="1075">
        <v>328467211</v>
      </c>
      <c r="E565" s="1075">
        <v>329134416</v>
      </c>
      <c r="F565" s="1075">
        <v>327780416</v>
      </c>
      <c r="G565" s="1073">
        <v>840956219</v>
      </c>
      <c r="H565" s="1073">
        <v>840009308</v>
      </c>
      <c r="I565" s="1073">
        <v>329821211</v>
      </c>
      <c r="J565" s="1077">
        <v>328467211</v>
      </c>
      <c r="K565" s="1075">
        <v>329134416</v>
      </c>
      <c r="L565" s="1075">
        <v>327780416</v>
      </c>
    </row>
    <row r="566" spans="1:12">
      <c r="A566" t="s">
        <v>1541</v>
      </c>
      <c r="B566" s="31" t="s">
        <v>659</v>
      </c>
      <c r="C566" s="1075">
        <v>277039908</v>
      </c>
      <c r="D566" s="1075">
        <v>269028472</v>
      </c>
      <c r="E566" s="1075">
        <v>277039908</v>
      </c>
      <c r="F566" s="1075">
        <v>269028472</v>
      </c>
      <c r="G566" s="1073">
        <v>250984354</v>
      </c>
      <c r="H566" s="1073">
        <v>250984354</v>
      </c>
      <c r="I566" s="1073">
        <v>277039908</v>
      </c>
      <c r="J566" s="1077">
        <v>269028472</v>
      </c>
      <c r="K566" s="1075">
        <v>277039908</v>
      </c>
      <c r="L566" s="1075">
        <v>269028472</v>
      </c>
    </row>
    <row r="567" spans="1:12">
      <c r="A567" t="s">
        <v>2545</v>
      </c>
      <c r="B567" s="31" t="s">
        <v>2043</v>
      </c>
      <c r="C567" s="1075">
        <v>362541427</v>
      </c>
      <c r="D567" s="1075">
        <v>357861183</v>
      </c>
      <c r="E567" s="1075">
        <v>362541427</v>
      </c>
      <c r="F567" s="1075">
        <v>357861183</v>
      </c>
      <c r="G567" s="1073">
        <v>365038211</v>
      </c>
      <c r="H567" s="1073">
        <v>365038211</v>
      </c>
      <c r="I567" s="1073">
        <v>362541427</v>
      </c>
      <c r="J567" s="1077">
        <v>357861183</v>
      </c>
      <c r="K567" s="1075">
        <v>362541427</v>
      </c>
      <c r="L567" s="1075">
        <v>357861183</v>
      </c>
    </row>
    <row r="568" spans="1:12">
      <c r="A568" t="s">
        <v>2546</v>
      </c>
      <c r="B568" s="31" t="s">
        <v>2044</v>
      </c>
      <c r="C568" s="1075">
        <v>2551443745</v>
      </c>
      <c r="D568" s="1075">
        <v>2473400315</v>
      </c>
      <c r="E568" s="1075">
        <v>2551443745</v>
      </c>
      <c r="F568" s="1075">
        <v>2473400315</v>
      </c>
      <c r="G568" s="1073">
        <v>2509223365</v>
      </c>
      <c r="H568" s="1073">
        <v>2509223365</v>
      </c>
      <c r="I568" s="1073">
        <v>2551443745</v>
      </c>
      <c r="J568" s="1077">
        <v>2473400315</v>
      </c>
      <c r="K568" s="1075">
        <v>2551443745</v>
      </c>
      <c r="L568" s="1075">
        <v>2473400315</v>
      </c>
    </row>
    <row r="569" spans="1:12">
      <c r="A569" t="s">
        <v>487</v>
      </c>
      <c r="B569" s="31" t="s">
        <v>2045</v>
      </c>
      <c r="C569" s="1075">
        <v>504593812</v>
      </c>
      <c r="D569" s="1075">
        <v>485333304</v>
      </c>
      <c r="E569" s="1075">
        <v>504593812</v>
      </c>
      <c r="F569" s="1075">
        <v>485333304</v>
      </c>
      <c r="G569" s="1073">
        <v>469907944</v>
      </c>
      <c r="H569" s="1073">
        <v>469907944</v>
      </c>
      <c r="I569" s="1073">
        <v>504593812</v>
      </c>
      <c r="J569" s="1077">
        <v>485333304</v>
      </c>
      <c r="K569" s="1075">
        <v>504593812</v>
      </c>
      <c r="L569" s="1075">
        <v>485333304</v>
      </c>
    </row>
    <row r="570" spans="1:12">
      <c r="A570" t="s">
        <v>2278</v>
      </c>
      <c r="B570" s="31" t="s">
        <v>2046</v>
      </c>
      <c r="C570" s="1075">
        <v>61082834</v>
      </c>
      <c r="D570" s="1075">
        <v>60722238</v>
      </c>
      <c r="E570" s="1075">
        <v>61082834</v>
      </c>
      <c r="F570" s="1075">
        <v>60722238</v>
      </c>
      <c r="G570" s="1073">
        <v>56265578</v>
      </c>
      <c r="H570" s="1073">
        <v>56265578</v>
      </c>
      <c r="I570" s="1073">
        <v>61082834</v>
      </c>
      <c r="J570" s="1077">
        <v>60722238</v>
      </c>
      <c r="K570" s="1075">
        <v>61082834</v>
      </c>
      <c r="L570" s="1075">
        <v>60722238</v>
      </c>
    </row>
    <row r="571" spans="1:12">
      <c r="A571" t="s">
        <v>2279</v>
      </c>
      <c r="B571" s="31" t="s">
        <v>2047</v>
      </c>
      <c r="C571" s="1075">
        <v>387305071</v>
      </c>
      <c r="D571" s="1075">
        <v>377677150</v>
      </c>
      <c r="E571" s="1075">
        <v>387305071</v>
      </c>
      <c r="F571" s="1075">
        <v>377677150</v>
      </c>
      <c r="G571" s="1073">
        <v>395163022</v>
      </c>
      <c r="H571" s="1073">
        <v>395163022</v>
      </c>
      <c r="I571" s="1073">
        <v>387305071</v>
      </c>
      <c r="J571" s="1077">
        <v>377677150</v>
      </c>
      <c r="K571" s="1075">
        <v>387305071</v>
      </c>
      <c r="L571" s="1075">
        <v>377677150</v>
      </c>
    </row>
    <row r="572" spans="1:12">
      <c r="A572" t="s">
        <v>1534</v>
      </c>
      <c r="B572" s="31" t="s">
        <v>2048</v>
      </c>
      <c r="C572" s="1075">
        <v>159659491</v>
      </c>
      <c r="D572" s="1075">
        <v>159495311</v>
      </c>
      <c r="E572" s="1075">
        <v>159537016</v>
      </c>
      <c r="F572" s="1075">
        <v>159372836</v>
      </c>
      <c r="G572" s="1073">
        <v>296829241</v>
      </c>
      <c r="H572" s="1073">
        <v>296694350</v>
      </c>
      <c r="I572" s="1073">
        <v>159659491</v>
      </c>
      <c r="J572" s="1077">
        <v>159495311</v>
      </c>
      <c r="K572" s="1075">
        <v>159537016</v>
      </c>
      <c r="L572" s="1075">
        <v>159372836</v>
      </c>
    </row>
    <row r="573" spans="1:12">
      <c r="A573" t="s">
        <v>1535</v>
      </c>
      <c r="B573" s="31" t="s">
        <v>2049</v>
      </c>
      <c r="C573" s="1075">
        <v>311486473</v>
      </c>
      <c r="D573" s="1075">
        <v>303871664</v>
      </c>
      <c r="E573" s="1075">
        <v>311486473</v>
      </c>
      <c r="F573" s="1075">
        <v>303871664</v>
      </c>
      <c r="G573" s="1073">
        <v>255772116</v>
      </c>
      <c r="H573" s="1073">
        <v>255772116</v>
      </c>
      <c r="I573" s="1073">
        <v>467620823</v>
      </c>
      <c r="J573" s="1077">
        <v>460006014</v>
      </c>
      <c r="K573" s="1075">
        <v>467620823</v>
      </c>
      <c r="L573" s="1075">
        <v>460006014</v>
      </c>
    </row>
    <row r="574" spans="1:12">
      <c r="A574" t="s">
        <v>2512</v>
      </c>
      <c r="B574" s="31" t="s">
        <v>2016</v>
      </c>
      <c r="C574" s="1075">
        <v>875158349</v>
      </c>
      <c r="D574" s="1075">
        <v>840159580</v>
      </c>
      <c r="E574" s="1075">
        <v>875158349</v>
      </c>
      <c r="F574" s="1075">
        <v>840159580</v>
      </c>
      <c r="G574" s="1073">
        <v>742875881</v>
      </c>
      <c r="H574" s="1073">
        <v>742875881</v>
      </c>
      <c r="I574" s="1073">
        <v>875158349</v>
      </c>
      <c r="J574" s="1077">
        <v>840159580</v>
      </c>
      <c r="K574" s="1075">
        <v>875158349</v>
      </c>
      <c r="L574" s="1075">
        <v>840159580</v>
      </c>
    </row>
    <row r="575" spans="1:12">
      <c r="A575" t="s">
        <v>393</v>
      </c>
      <c r="B575" s="31" t="s">
        <v>2050</v>
      </c>
      <c r="C575" s="1075">
        <v>177994869</v>
      </c>
      <c r="D575" s="1075">
        <v>170487833</v>
      </c>
      <c r="E575" s="1075">
        <v>173419432</v>
      </c>
      <c r="F575" s="1075">
        <v>165912396</v>
      </c>
      <c r="G575" s="1073">
        <v>140777789</v>
      </c>
      <c r="H575" s="1073">
        <v>136301612</v>
      </c>
      <c r="I575" s="1073">
        <v>177994869</v>
      </c>
      <c r="J575" s="1077">
        <v>170487833</v>
      </c>
      <c r="K575" s="1075">
        <v>173419432</v>
      </c>
      <c r="L575" s="1075">
        <v>165912396</v>
      </c>
    </row>
    <row r="576" spans="1:12">
      <c r="A576" t="s">
        <v>394</v>
      </c>
      <c r="B576" s="31" t="s">
        <v>2051</v>
      </c>
      <c r="C576" s="1075">
        <v>222647324</v>
      </c>
      <c r="D576" s="1075">
        <v>219198490</v>
      </c>
      <c r="E576" s="1075">
        <v>222647324</v>
      </c>
      <c r="F576" s="1075">
        <v>219198490</v>
      </c>
      <c r="G576" s="1073">
        <v>228959225</v>
      </c>
      <c r="H576" s="1073">
        <v>224828792</v>
      </c>
      <c r="I576" s="1073">
        <v>222647324</v>
      </c>
      <c r="J576" s="1077">
        <v>219198490</v>
      </c>
      <c r="K576" s="1075">
        <v>222647324</v>
      </c>
      <c r="L576" s="1075">
        <v>219198490</v>
      </c>
    </row>
    <row r="577" spans="1:12">
      <c r="A577" t="s">
        <v>395</v>
      </c>
      <c r="B577" s="31" t="s">
        <v>2052</v>
      </c>
      <c r="C577" s="1075">
        <v>130025156</v>
      </c>
      <c r="D577" s="1075">
        <v>130025156</v>
      </c>
      <c r="E577" s="1075">
        <v>130025156</v>
      </c>
      <c r="F577" s="1075">
        <v>130025156</v>
      </c>
      <c r="G577" s="1073">
        <v>203974015</v>
      </c>
      <c r="H577" s="1073">
        <v>203974015</v>
      </c>
      <c r="I577" s="1073">
        <v>130025156</v>
      </c>
      <c r="J577" s="1077">
        <v>130025156</v>
      </c>
      <c r="K577" s="1075">
        <v>130025156</v>
      </c>
      <c r="L577" s="1075">
        <v>130025156</v>
      </c>
    </row>
    <row r="578" spans="1:12">
      <c r="A578" t="s">
        <v>2513</v>
      </c>
      <c r="B578" s="31" t="s">
        <v>1691</v>
      </c>
      <c r="C578" s="1075">
        <v>76470591</v>
      </c>
      <c r="D578" s="1075">
        <v>73568501</v>
      </c>
      <c r="E578" s="1075">
        <v>76470591</v>
      </c>
      <c r="F578" s="1075">
        <v>73568501</v>
      </c>
      <c r="G578" s="1073">
        <v>114634670</v>
      </c>
      <c r="H578" s="1073">
        <v>114634670</v>
      </c>
      <c r="I578" s="1073">
        <v>76470591</v>
      </c>
      <c r="J578" s="1077">
        <v>73568501</v>
      </c>
      <c r="K578" s="1075">
        <v>76470591</v>
      </c>
      <c r="L578" s="1075">
        <v>73568501</v>
      </c>
    </row>
    <row r="579" spans="1:12">
      <c r="A579" t="s">
        <v>242</v>
      </c>
      <c r="B579" s="31" t="s">
        <v>2053</v>
      </c>
      <c r="C579" s="1075">
        <v>76992567</v>
      </c>
      <c r="D579" s="1075">
        <v>73380167</v>
      </c>
      <c r="E579" s="1075">
        <v>76992567</v>
      </c>
      <c r="F579" s="1075">
        <v>73380167</v>
      </c>
      <c r="G579" s="1073">
        <v>64812576</v>
      </c>
      <c r="H579" s="1073">
        <v>64812576</v>
      </c>
      <c r="I579" s="1073">
        <v>76992567</v>
      </c>
      <c r="J579" s="1077">
        <v>73380167</v>
      </c>
      <c r="K579" s="1075">
        <v>76992567</v>
      </c>
      <c r="L579" s="1075">
        <v>73380167</v>
      </c>
    </row>
    <row r="580" spans="1:12">
      <c r="A580" t="s">
        <v>243</v>
      </c>
      <c r="B580" s="31" t="s">
        <v>2054</v>
      </c>
      <c r="C580" s="1075">
        <v>63918350</v>
      </c>
      <c r="D580" s="1075">
        <v>63357850</v>
      </c>
      <c r="E580" s="1075">
        <v>63918350</v>
      </c>
      <c r="F580" s="1075">
        <v>63357850</v>
      </c>
      <c r="G580" s="1073">
        <v>54961619</v>
      </c>
      <c r="H580" s="1073">
        <v>54961619</v>
      </c>
      <c r="I580" s="1073">
        <v>63918350</v>
      </c>
      <c r="J580" s="1077">
        <v>63357850</v>
      </c>
      <c r="K580" s="1075">
        <v>63918350</v>
      </c>
      <c r="L580" s="1075">
        <v>63357850</v>
      </c>
    </row>
    <row r="581" spans="1:12">
      <c r="A581" t="s">
        <v>244</v>
      </c>
      <c r="B581" s="31" t="s">
        <v>2055</v>
      </c>
      <c r="C581" s="1075">
        <v>970453168</v>
      </c>
      <c r="D581" s="1075">
        <v>961648013</v>
      </c>
      <c r="E581" s="1075">
        <v>970453168</v>
      </c>
      <c r="F581" s="1075">
        <v>961648013</v>
      </c>
      <c r="G581" s="1073">
        <v>809014125</v>
      </c>
      <c r="H581" s="1073">
        <v>809014125</v>
      </c>
      <c r="I581" s="1073">
        <v>970453168</v>
      </c>
      <c r="J581" s="1077">
        <v>961648013</v>
      </c>
      <c r="K581" s="1075">
        <v>970453168</v>
      </c>
      <c r="L581" s="1075">
        <v>961648013</v>
      </c>
    </row>
    <row r="582" spans="1:12">
      <c r="A582" t="s">
        <v>2325</v>
      </c>
      <c r="B582" s="31" t="s">
        <v>612</v>
      </c>
      <c r="C582" s="1075">
        <v>122924744</v>
      </c>
      <c r="D582" s="1075">
        <v>120146939</v>
      </c>
      <c r="E582" s="1075">
        <v>122924744</v>
      </c>
      <c r="F582" s="1075">
        <v>120146939</v>
      </c>
      <c r="G582" s="1073">
        <v>101133799</v>
      </c>
      <c r="H582" s="1073">
        <v>101133799</v>
      </c>
      <c r="I582" s="1073">
        <v>122924744</v>
      </c>
      <c r="J582" s="1077">
        <v>120146939</v>
      </c>
      <c r="K582" s="1075">
        <v>122924744</v>
      </c>
      <c r="L582" s="1075">
        <v>120146939</v>
      </c>
    </row>
    <row r="583" spans="1:12">
      <c r="A583" t="s">
        <v>2023</v>
      </c>
      <c r="B583" s="31" t="s">
        <v>198</v>
      </c>
      <c r="C583" s="1075">
        <v>764241188</v>
      </c>
      <c r="D583" s="1075">
        <v>729137194</v>
      </c>
      <c r="E583" s="1075">
        <v>764241188</v>
      </c>
      <c r="F583" s="1075">
        <v>729137194</v>
      </c>
      <c r="G583" s="1073">
        <v>716313998</v>
      </c>
      <c r="H583" s="1073">
        <v>716313998</v>
      </c>
      <c r="I583" s="1073">
        <v>764241188</v>
      </c>
      <c r="J583" s="1077">
        <v>729137194</v>
      </c>
      <c r="K583" s="1075">
        <v>764241188</v>
      </c>
      <c r="L583" s="1075">
        <v>729137194</v>
      </c>
    </row>
    <row r="584" spans="1:12">
      <c r="A584" t="s">
        <v>2076</v>
      </c>
      <c r="B584" s="31" t="s">
        <v>2429</v>
      </c>
      <c r="C584" s="1075">
        <v>1186835673</v>
      </c>
      <c r="D584" s="1075">
        <v>1143525141</v>
      </c>
      <c r="E584" s="1075">
        <v>1186835673</v>
      </c>
      <c r="F584" s="1075">
        <v>1143525141</v>
      </c>
      <c r="G584" s="1073">
        <v>1101482667</v>
      </c>
      <c r="H584" s="1073">
        <v>1101482667</v>
      </c>
      <c r="I584" s="1073">
        <v>1186835673</v>
      </c>
      <c r="J584" s="1077">
        <v>1143525141</v>
      </c>
      <c r="K584" s="1075">
        <v>1186835673</v>
      </c>
      <c r="L584" s="1075">
        <v>1143525141</v>
      </c>
    </row>
    <row r="585" spans="1:12">
      <c r="A585" t="s">
        <v>2514</v>
      </c>
      <c r="B585" s="31" t="s">
        <v>2101</v>
      </c>
      <c r="C585" s="1075">
        <v>225748036</v>
      </c>
      <c r="D585" s="1075">
        <v>211270344</v>
      </c>
      <c r="E585" s="1075">
        <v>225748036</v>
      </c>
      <c r="F585" s="1075">
        <v>211270344</v>
      </c>
      <c r="G585" s="1073">
        <v>208055698</v>
      </c>
      <c r="H585" s="1073">
        <v>208055698</v>
      </c>
      <c r="I585" s="1073">
        <v>225748036</v>
      </c>
      <c r="J585" s="1077">
        <v>211270344</v>
      </c>
      <c r="K585" s="1075">
        <v>225748036</v>
      </c>
      <c r="L585" s="1075">
        <v>211270344</v>
      </c>
    </row>
    <row r="586" spans="1:12">
      <c r="A586" t="s">
        <v>1557</v>
      </c>
      <c r="B586" s="31" t="s">
        <v>2430</v>
      </c>
      <c r="C586" s="1075">
        <v>47417686</v>
      </c>
      <c r="D586" s="1075">
        <v>46479252</v>
      </c>
      <c r="E586" s="1075">
        <v>47417686</v>
      </c>
      <c r="F586" s="1075">
        <v>46479252</v>
      </c>
      <c r="G586" s="1073">
        <v>44916165</v>
      </c>
      <c r="H586" s="1073">
        <v>44916165</v>
      </c>
      <c r="I586" s="1073">
        <v>47417686</v>
      </c>
      <c r="J586" s="1077">
        <v>46479252</v>
      </c>
      <c r="K586" s="1075">
        <v>47417686</v>
      </c>
      <c r="L586" s="1075">
        <v>46479252</v>
      </c>
    </row>
    <row r="587" spans="1:12">
      <c r="A587" t="s">
        <v>1558</v>
      </c>
      <c r="B587" s="31" t="s">
        <v>943</v>
      </c>
      <c r="C587" s="1075">
        <v>196342452</v>
      </c>
      <c r="D587" s="1075">
        <v>187981655</v>
      </c>
      <c r="E587" s="1075">
        <v>196342452</v>
      </c>
      <c r="F587" s="1075">
        <v>187981655</v>
      </c>
      <c r="G587" s="1073">
        <v>216942609</v>
      </c>
      <c r="H587" s="1073">
        <v>216942609</v>
      </c>
      <c r="I587" s="1073">
        <v>196342452</v>
      </c>
      <c r="J587" s="1077">
        <v>187981655</v>
      </c>
      <c r="K587" s="1075">
        <v>196342452</v>
      </c>
      <c r="L587" s="1075">
        <v>187981655</v>
      </c>
    </row>
    <row r="588" spans="1:12">
      <c r="A588" t="s">
        <v>1412</v>
      </c>
      <c r="B588" s="31" t="s">
        <v>826</v>
      </c>
      <c r="C588" s="1075">
        <v>141061459</v>
      </c>
      <c r="D588" s="1075">
        <v>137506690</v>
      </c>
      <c r="E588" s="1075">
        <v>141061459</v>
      </c>
      <c r="F588" s="1075">
        <v>137506690</v>
      </c>
      <c r="G588" s="1073">
        <v>137168117</v>
      </c>
      <c r="H588" s="1073">
        <v>137168117</v>
      </c>
      <c r="I588" s="1073">
        <v>141061459</v>
      </c>
      <c r="J588" s="1077">
        <v>137506690</v>
      </c>
      <c r="K588" s="1075">
        <v>141061459</v>
      </c>
      <c r="L588" s="1075">
        <v>137506690</v>
      </c>
    </row>
    <row r="589" spans="1:12">
      <c r="A589" t="s">
        <v>2261</v>
      </c>
      <c r="B589" s="31" t="s">
        <v>945</v>
      </c>
      <c r="C589" s="1075">
        <v>84897860</v>
      </c>
      <c r="D589" s="1075">
        <v>82905433</v>
      </c>
      <c r="E589" s="1075">
        <v>84897860</v>
      </c>
      <c r="F589" s="1075">
        <v>82905433</v>
      </c>
      <c r="G589" s="1073">
        <v>82336274</v>
      </c>
      <c r="H589" s="1073">
        <v>82336274</v>
      </c>
      <c r="I589" s="1073">
        <v>84897860</v>
      </c>
      <c r="J589" s="1077">
        <v>82905433</v>
      </c>
      <c r="K589" s="1075">
        <v>84897860</v>
      </c>
      <c r="L589" s="1075">
        <v>82905433</v>
      </c>
    </row>
    <row r="590" spans="1:12">
      <c r="A590" t="s">
        <v>2262</v>
      </c>
      <c r="B590" s="31" t="s">
        <v>946</v>
      </c>
      <c r="C590" s="1075">
        <v>432248414</v>
      </c>
      <c r="D590" s="1075">
        <v>430080870</v>
      </c>
      <c r="E590" s="1075">
        <v>432248414</v>
      </c>
      <c r="F590" s="1075">
        <v>430080870</v>
      </c>
      <c r="G590" s="1073">
        <v>420143721</v>
      </c>
      <c r="H590" s="1073">
        <v>420143721</v>
      </c>
      <c r="I590" s="1073">
        <v>432248414</v>
      </c>
      <c r="J590" s="1077">
        <v>430080870</v>
      </c>
      <c r="K590" s="1075">
        <v>432248414</v>
      </c>
      <c r="L590" s="1075">
        <v>430080870</v>
      </c>
    </row>
    <row r="591" spans="1:12">
      <c r="A591" t="s">
        <v>2263</v>
      </c>
      <c r="B591" s="31" t="s">
        <v>947</v>
      </c>
      <c r="C591" s="1075">
        <v>1131994569</v>
      </c>
      <c r="D591" s="1075">
        <v>1083831896</v>
      </c>
      <c r="E591" s="1075">
        <v>1131994569</v>
      </c>
      <c r="F591" s="1075">
        <v>1083831896</v>
      </c>
      <c r="G591" s="1073">
        <v>1049034348</v>
      </c>
      <c r="H591" s="1073">
        <v>1049034348</v>
      </c>
      <c r="I591" s="1073">
        <v>1131994569</v>
      </c>
      <c r="J591" s="1077">
        <v>1083831896</v>
      </c>
      <c r="K591" s="1075">
        <v>1131994569</v>
      </c>
      <c r="L591" s="1075">
        <v>1083831896</v>
      </c>
    </row>
    <row r="592" spans="1:12">
      <c r="A592" t="s">
        <v>2264</v>
      </c>
      <c r="B592" s="31" t="s">
        <v>948</v>
      </c>
      <c r="C592" s="1075">
        <v>136252778</v>
      </c>
      <c r="D592" s="1075">
        <v>133069318</v>
      </c>
      <c r="E592" s="1075">
        <v>136252778</v>
      </c>
      <c r="F592" s="1075">
        <v>133069318</v>
      </c>
      <c r="G592" s="1073">
        <v>128550857</v>
      </c>
      <c r="H592" s="1073">
        <v>128550857</v>
      </c>
      <c r="I592" s="1073">
        <v>136252778</v>
      </c>
      <c r="J592" s="1077">
        <v>133069318</v>
      </c>
      <c r="K592" s="1075">
        <v>136252778</v>
      </c>
      <c r="L592" s="1075">
        <v>133069318</v>
      </c>
    </row>
    <row r="593" spans="1:12">
      <c r="A593" t="s">
        <v>2401</v>
      </c>
      <c r="B593" s="31" t="s">
        <v>1102</v>
      </c>
      <c r="C593" s="1075">
        <v>4601556789</v>
      </c>
      <c r="D593" s="1075">
        <v>4594632689</v>
      </c>
      <c r="E593" s="1075">
        <v>4601556789</v>
      </c>
      <c r="F593" s="1075">
        <v>4594632689</v>
      </c>
      <c r="G593" s="1073">
        <v>7349738133</v>
      </c>
      <c r="H593" s="1073">
        <v>7349738133</v>
      </c>
      <c r="I593" s="1073">
        <v>4601556789</v>
      </c>
      <c r="J593" s="1077">
        <v>4594632689</v>
      </c>
      <c r="K593" s="1075">
        <v>4601556789</v>
      </c>
      <c r="L593" s="1075">
        <v>4594632689</v>
      </c>
    </row>
    <row r="594" spans="1:12">
      <c r="A594" t="s">
        <v>2265</v>
      </c>
      <c r="B594" s="31" t="s">
        <v>949</v>
      </c>
      <c r="C594" s="1075">
        <v>690702243</v>
      </c>
      <c r="D594" s="1075">
        <v>672926952</v>
      </c>
      <c r="E594" s="1075">
        <v>690702243</v>
      </c>
      <c r="F594" s="1075">
        <v>672926952</v>
      </c>
      <c r="G594" s="1073">
        <v>777521896</v>
      </c>
      <c r="H594" s="1073">
        <v>777521896</v>
      </c>
      <c r="I594" s="1073">
        <v>690702243</v>
      </c>
      <c r="J594" s="1077">
        <v>672926952</v>
      </c>
      <c r="K594" s="1075">
        <v>690702243</v>
      </c>
      <c r="L594" s="1075">
        <v>672926952</v>
      </c>
    </row>
    <row r="595" spans="1:12">
      <c r="A595" t="s">
        <v>2266</v>
      </c>
      <c r="B595" s="31" t="s">
        <v>950</v>
      </c>
      <c r="C595" s="1075">
        <v>305531602</v>
      </c>
      <c r="D595" s="1075">
        <v>300072430</v>
      </c>
      <c r="E595" s="1075">
        <v>299766491</v>
      </c>
      <c r="F595" s="1075">
        <v>294307319</v>
      </c>
      <c r="G595" s="1073">
        <v>625980111</v>
      </c>
      <c r="H595" s="1073">
        <v>620037049</v>
      </c>
      <c r="I595" s="1073">
        <v>305531602</v>
      </c>
      <c r="J595" s="1077">
        <v>300072430</v>
      </c>
      <c r="K595" s="1075">
        <v>299766491</v>
      </c>
      <c r="L595" s="1075">
        <v>294307319</v>
      </c>
    </row>
    <row r="596" spans="1:12">
      <c r="A596" t="s">
        <v>2267</v>
      </c>
      <c r="B596" s="31" t="s">
        <v>951</v>
      </c>
      <c r="C596" s="1075">
        <v>579932128</v>
      </c>
      <c r="D596" s="1075">
        <v>568895832</v>
      </c>
      <c r="E596" s="1075">
        <v>579932128</v>
      </c>
      <c r="F596" s="1075">
        <v>568895832</v>
      </c>
      <c r="G596" s="1073">
        <v>841940442</v>
      </c>
      <c r="H596" s="1073">
        <v>841940442</v>
      </c>
      <c r="I596" s="1073">
        <v>579932128</v>
      </c>
      <c r="J596" s="1077">
        <v>568895832</v>
      </c>
      <c r="K596" s="1075">
        <v>579932128</v>
      </c>
      <c r="L596" s="1075">
        <v>568895832</v>
      </c>
    </row>
    <row r="597" spans="1:12">
      <c r="A597" t="s">
        <v>2268</v>
      </c>
      <c r="B597" s="31" t="s">
        <v>952</v>
      </c>
      <c r="C597" s="1075">
        <v>59719697</v>
      </c>
      <c r="D597" s="1075">
        <v>57259524</v>
      </c>
      <c r="E597" s="1075">
        <v>56679771</v>
      </c>
      <c r="F597" s="1075">
        <v>54219598</v>
      </c>
      <c r="G597" s="1073">
        <v>60303964</v>
      </c>
      <c r="H597" s="1073">
        <v>57405343</v>
      </c>
      <c r="I597" s="1073">
        <v>59719697</v>
      </c>
      <c r="J597" s="1077">
        <v>57259524</v>
      </c>
      <c r="K597" s="1075">
        <v>56679771</v>
      </c>
      <c r="L597" s="1075">
        <v>54219598</v>
      </c>
    </row>
    <row r="598" spans="1:12">
      <c r="A598" t="s">
        <v>2269</v>
      </c>
      <c r="B598" s="31" t="s">
        <v>953</v>
      </c>
      <c r="C598" s="1075">
        <v>70386662</v>
      </c>
      <c r="D598" s="1075">
        <v>67809613</v>
      </c>
      <c r="E598" s="1075">
        <v>70386662</v>
      </c>
      <c r="F598" s="1075">
        <v>67809613</v>
      </c>
      <c r="G598" s="1073">
        <v>66202045</v>
      </c>
      <c r="H598" s="1073">
        <v>66202045</v>
      </c>
      <c r="I598" s="1073">
        <v>70386662</v>
      </c>
      <c r="J598" s="1077">
        <v>67809613</v>
      </c>
      <c r="K598" s="1075">
        <v>70386662</v>
      </c>
      <c r="L598" s="1075">
        <v>67809613</v>
      </c>
    </row>
    <row r="599" spans="1:12">
      <c r="A599" t="s">
        <v>2586</v>
      </c>
      <c r="B599" s="31" t="s">
        <v>954</v>
      </c>
      <c r="C599" s="1075">
        <v>82577337</v>
      </c>
      <c r="D599" s="1075">
        <v>80225407</v>
      </c>
      <c r="E599" s="1075">
        <v>79983810</v>
      </c>
      <c r="F599" s="1075">
        <v>77631880</v>
      </c>
      <c r="G599" s="1073">
        <v>103622392</v>
      </c>
      <c r="H599" s="1073">
        <v>101017710</v>
      </c>
      <c r="I599" s="1073">
        <v>82577337</v>
      </c>
      <c r="J599" s="1077">
        <v>80225407</v>
      </c>
      <c r="K599" s="1075">
        <v>79983810</v>
      </c>
      <c r="L599" s="1075">
        <v>77631880</v>
      </c>
    </row>
    <row r="600" spans="1:12">
      <c r="A600" t="s">
        <v>2587</v>
      </c>
      <c r="B600" s="31" t="s">
        <v>955</v>
      </c>
      <c r="C600" s="1075">
        <v>755857516</v>
      </c>
      <c r="D600" s="1075">
        <v>736185386</v>
      </c>
      <c r="E600" s="1075">
        <v>742866606</v>
      </c>
      <c r="F600" s="1075">
        <v>723194476</v>
      </c>
      <c r="G600" s="1073">
        <v>823103116</v>
      </c>
      <c r="H600" s="1073">
        <v>810511592</v>
      </c>
      <c r="I600" s="1073">
        <v>755857516</v>
      </c>
      <c r="J600" s="1077">
        <v>736185386</v>
      </c>
      <c r="K600" s="1075">
        <v>742866606</v>
      </c>
      <c r="L600" s="1075">
        <v>723194476</v>
      </c>
    </row>
    <row r="601" spans="1:12">
      <c r="A601" t="s">
        <v>2588</v>
      </c>
      <c r="B601" s="31" t="s">
        <v>956</v>
      </c>
      <c r="C601" s="1075">
        <v>408827085</v>
      </c>
      <c r="D601" s="1075">
        <v>395331378</v>
      </c>
      <c r="E601" s="1075">
        <v>408827085</v>
      </c>
      <c r="F601" s="1075">
        <v>395331378</v>
      </c>
      <c r="G601" s="1073">
        <v>387141550</v>
      </c>
      <c r="H601" s="1073">
        <v>383865950</v>
      </c>
      <c r="I601" s="1073">
        <v>408827085</v>
      </c>
      <c r="J601" s="1077">
        <v>395331378</v>
      </c>
      <c r="K601" s="1075">
        <v>408827085</v>
      </c>
      <c r="L601" s="1075">
        <v>395331378</v>
      </c>
    </row>
    <row r="602" spans="1:12">
      <c r="A602" t="s">
        <v>2589</v>
      </c>
      <c r="B602" s="31" t="s">
        <v>957</v>
      </c>
      <c r="C602" s="1075">
        <v>116921830</v>
      </c>
      <c r="D602" s="1075">
        <v>114153346</v>
      </c>
      <c r="E602" s="1075">
        <v>116269503</v>
      </c>
      <c r="F602" s="1075">
        <v>113501019</v>
      </c>
      <c r="G602" s="1073">
        <v>188349738</v>
      </c>
      <c r="H602" s="1073">
        <v>187657824</v>
      </c>
      <c r="I602" s="1073">
        <v>116921830</v>
      </c>
      <c r="J602" s="1077">
        <v>114153346</v>
      </c>
      <c r="K602" s="1075">
        <v>116269503</v>
      </c>
      <c r="L602" s="1075">
        <v>113501019</v>
      </c>
    </row>
    <row r="603" spans="1:12">
      <c r="A603" t="s">
        <v>2590</v>
      </c>
      <c r="B603" s="31" t="s">
        <v>958</v>
      </c>
      <c r="C603" s="1075">
        <v>397483815</v>
      </c>
      <c r="D603" s="1075">
        <v>387381111</v>
      </c>
      <c r="E603" s="1075">
        <v>395124503</v>
      </c>
      <c r="F603" s="1075">
        <v>385021799</v>
      </c>
      <c r="G603" s="1073">
        <v>464457854</v>
      </c>
      <c r="H603" s="1073">
        <v>461980702</v>
      </c>
      <c r="I603" s="1073">
        <v>397483815</v>
      </c>
      <c r="J603" s="1077">
        <v>387381111</v>
      </c>
      <c r="K603" s="1075">
        <v>395124503</v>
      </c>
      <c r="L603" s="1075">
        <v>385021799</v>
      </c>
    </row>
    <row r="604" spans="1:12">
      <c r="A604" t="s">
        <v>1381</v>
      </c>
      <c r="B604" s="31" t="s">
        <v>1824</v>
      </c>
      <c r="C604" s="1075">
        <v>322102378</v>
      </c>
      <c r="D604" s="1075">
        <v>311128548</v>
      </c>
      <c r="E604" s="1075">
        <v>316689813</v>
      </c>
      <c r="F604" s="1075">
        <v>305715983</v>
      </c>
      <c r="G604" s="1073">
        <v>492995381</v>
      </c>
      <c r="H604" s="1073">
        <v>488372738</v>
      </c>
      <c r="I604" s="1073">
        <v>322102378</v>
      </c>
      <c r="J604" s="1077">
        <v>311128548</v>
      </c>
      <c r="K604" s="1075">
        <v>316689813</v>
      </c>
      <c r="L604" s="1075">
        <v>305715983</v>
      </c>
    </row>
    <row r="605" spans="1:12">
      <c r="A605" t="s">
        <v>1382</v>
      </c>
      <c r="B605" s="31" t="s">
        <v>1825</v>
      </c>
      <c r="C605" s="1075">
        <v>297641539</v>
      </c>
      <c r="D605" s="1075">
        <v>287640351</v>
      </c>
      <c r="E605" s="1075">
        <v>285182277</v>
      </c>
      <c r="F605" s="1075">
        <v>275181089</v>
      </c>
      <c r="G605" s="1073">
        <v>287345667</v>
      </c>
      <c r="H605" s="1073">
        <v>275561377</v>
      </c>
      <c r="I605" s="1073">
        <v>297641539</v>
      </c>
      <c r="J605" s="1077">
        <v>287640351</v>
      </c>
      <c r="K605" s="1075">
        <v>285182277</v>
      </c>
      <c r="L605" s="1075">
        <v>275181089</v>
      </c>
    </row>
    <row r="606" spans="1:12">
      <c r="A606" t="s">
        <v>2426</v>
      </c>
      <c r="B606" s="31" t="s">
        <v>1826</v>
      </c>
      <c r="C606" s="1075">
        <v>116988854</v>
      </c>
      <c r="D606" s="1075">
        <v>114875611</v>
      </c>
      <c r="E606" s="1075">
        <v>116988854</v>
      </c>
      <c r="F606" s="1075">
        <v>114875611</v>
      </c>
      <c r="G606" s="1073">
        <v>81531206</v>
      </c>
      <c r="H606" s="1073">
        <v>81531206</v>
      </c>
      <c r="I606" s="1073">
        <v>116988854</v>
      </c>
      <c r="J606" s="1077">
        <v>114875611</v>
      </c>
      <c r="K606" s="1075">
        <v>116988854</v>
      </c>
      <c r="L606" s="1075">
        <v>114875611</v>
      </c>
    </row>
    <row r="607" spans="1:12">
      <c r="A607" t="s">
        <v>2111</v>
      </c>
      <c r="B607" s="31" t="s">
        <v>2005</v>
      </c>
      <c r="C607" s="1075">
        <v>774963624</v>
      </c>
      <c r="D607" s="1075">
        <v>766622925</v>
      </c>
      <c r="E607" s="1075">
        <v>774963624</v>
      </c>
      <c r="F607" s="1075">
        <v>766622925</v>
      </c>
      <c r="G607" s="1073">
        <v>836159987</v>
      </c>
      <c r="H607" s="1073">
        <v>836159987</v>
      </c>
      <c r="I607" s="1073">
        <v>774963624</v>
      </c>
      <c r="J607" s="1077">
        <v>766622925</v>
      </c>
      <c r="K607" s="1075">
        <v>774963624</v>
      </c>
      <c r="L607" s="1075">
        <v>766622925</v>
      </c>
    </row>
    <row r="608" spans="1:12">
      <c r="A608" t="s">
        <v>2633</v>
      </c>
      <c r="B608" s="31" t="s">
        <v>1164</v>
      </c>
      <c r="C608" s="1075">
        <v>1102202337</v>
      </c>
      <c r="D608" s="1075">
        <v>1070246114</v>
      </c>
      <c r="E608" s="1075">
        <v>1102202337</v>
      </c>
      <c r="F608" s="1075">
        <v>1070246114</v>
      </c>
      <c r="G608" s="1073">
        <v>862166302</v>
      </c>
      <c r="H608" s="1073">
        <v>862166302</v>
      </c>
      <c r="I608" s="1073">
        <v>1102202337</v>
      </c>
      <c r="J608" s="1077">
        <v>1070246114</v>
      </c>
      <c r="K608" s="1075">
        <v>1102202337</v>
      </c>
      <c r="L608" s="1075">
        <v>1070246114</v>
      </c>
    </row>
    <row r="609" spans="1:12">
      <c r="A609" t="s">
        <v>2408</v>
      </c>
      <c r="B609" s="31" t="s">
        <v>2664</v>
      </c>
      <c r="C609" s="1075">
        <v>1650771482</v>
      </c>
      <c r="D609" s="1075">
        <v>1604724292</v>
      </c>
      <c r="E609" s="1075">
        <v>1650771482</v>
      </c>
      <c r="F609" s="1075">
        <v>1604724292</v>
      </c>
      <c r="G609" s="1073">
        <v>1550660456</v>
      </c>
      <c r="H609" s="1073">
        <v>1550660456</v>
      </c>
      <c r="I609" s="1073">
        <v>1650771482</v>
      </c>
      <c r="J609" s="1077">
        <v>1604724292</v>
      </c>
      <c r="K609" s="1075">
        <v>1650771482</v>
      </c>
      <c r="L609" s="1075">
        <v>1604724292</v>
      </c>
    </row>
    <row r="610" spans="1:12">
      <c r="A610" t="s">
        <v>2112</v>
      </c>
      <c r="B610" s="31" t="s">
        <v>2006</v>
      </c>
      <c r="C610" s="1075">
        <v>170609766</v>
      </c>
      <c r="D610" s="1075">
        <v>168602568</v>
      </c>
      <c r="E610" s="1075">
        <v>170609766</v>
      </c>
      <c r="F610" s="1075">
        <v>168602568</v>
      </c>
      <c r="G610" s="1073">
        <v>303443166</v>
      </c>
      <c r="H610" s="1073">
        <v>303443166</v>
      </c>
      <c r="I610" s="1073">
        <v>170609766</v>
      </c>
      <c r="J610" s="1077">
        <v>168602568</v>
      </c>
      <c r="K610" s="1075">
        <v>170609766</v>
      </c>
      <c r="L610" s="1075">
        <v>168602568</v>
      </c>
    </row>
    <row r="611" spans="1:12">
      <c r="A611" t="s">
        <v>2515</v>
      </c>
      <c r="B611" s="31" t="s">
        <v>1735</v>
      </c>
      <c r="C611" s="1075">
        <v>397611623</v>
      </c>
      <c r="D611" s="1075">
        <v>383180710</v>
      </c>
      <c r="E611" s="1075">
        <v>397611623</v>
      </c>
      <c r="F611" s="1075">
        <v>383180710</v>
      </c>
      <c r="G611" s="1073">
        <v>331408374</v>
      </c>
      <c r="H611" s="1073">
        <v>331408374</v>
      </c>
      <c r="I611" s="1073">
        <v>397611623</v>
      </c>
      <c r="J611" s="1077">
        <v>383180710</v>
      </c>
      <c r="K611" s="1075">
        <v>397611623</v>
      </c>
      <c r="L611" s="1075">
        <v>383180710</v>
      </c>
    </row>
    <row r="612" spans="1:12">
      <c r="A612" t="s">
        <v>1116</v>
      </c>
      <c r="B612" s="31" t="s">
        <v>2384</v>
      </c>
      <c r="C612" s="1075">
        <v>234508846</v>
      </c>
      <c r="D612" s="1075">
        <v>228509184</v>
      </c>
      <c r="E612" s="1075">
        <v>234508846</v>
      </c>
      <c r="F612" s="1075">
        <v>228509184</v>
      </c>
      <c r="G612" s="1073">
        <v>262125096</v>
      </c>
      <c r="H612" s="1073">
        <v>262125096</v>
      </c>
      <c r="I612" s="1073">
        <v>234508846</v>
      </c>
      <c r="J612" s="1077">
        <v>228509184</v>
      </c>
      <c r="K612" s="1075">
        <v>234508846</v>
      </c>
      <c r="L612" s="1075">
        <v>228509184</v>
      </c>
    </row>
    <row r="613" spans="1:12">
      <c r="A613" t="s">
        <v>2113</v>
      </c>
      <c r="B613" s="31" t="s">
        <v>543</v>
      </c>
      <c r="C613" s="1075">
        <v>864030524</v>
      </c>
      <c r="D613" s="1075">
        <v>843372178</v>
      </c>
      <c r="E613" s="1075">
        <v>864030524</v>
      </c>
      <c r="F613" s="1075">
        <v>843372178</v>
      </c>
      <c r="G613" s="1073">
        <v>862889809</v>
      </c>
      <c r="H613" s="1073">
        <v>862889809</v>
      </c>
      <c r="I613" s="1073">
        <v>925910334</v>
      </c>
      <c r="J613" s="1077">
        <v>905251988</v>
      </c>
      <c r="K613" s="1075">
        <v>925910334</v>
      </c>
      <c r="L613" s="1075">
        <v>905251988</v>
      </c>
    </row>
    <row r="614" spans="1:12">
      <c r="A614" t="s">
        <v>2114</v>
      </c>
      <c r="B614" s="31" t="s">
        <v>544</v>
      </c>
      <c r="C614" s="1075">
        <v>494297898</v>
      </c>
      <c r="D614" s="1075">
        <v>474777496</v>
      </c>
      <c r="E614" s="1075">
        <v>494297898</v>
      </c>
      <c r="F614" s="1075">
        <v>474777496</v>
      </c>
      <c r="G614" s="1073">
        <v>448612412</v>
      </c>
      <c r="H614" s="1073">
        <v>448612412</v>
      </c>
      <c r="I614" s="1073">
        <v>494297898</v>
      </c>
      <c r="J614" s="1077">
        <v>474777496</v>
      </c>
      <c r="K614" s="1075">
        <v>494297898</v>
      </c>
      <c r="L614" s="1075">
        <v>474777496</v>
      </c>
    </row>
    <row r="615" spans="1:12">
      <c r="A615" t="s">
        <v>967</v>
      </c>
      <c r="B615" s="31" t="s">
        <v>1554</v>
      </c>
      <c r="C615" s="1075">
        <v>40270551</v>
      </c>
      <c r="D615" s="1075">
        <v>38482238</v>
      </c>
      <c r="E615" s="1075">
        <v>40270551</v>
      </c>
      <c r="F615" s="1075">
        <v>38482238</v>
      </c>
      <c r="G615" s="1073">
        <v>40323754</v>
      </c>
      <c r="H615" s="1073">
        <v>40323754</v>
      </c>
      <c r="I615" s="1073">
        <v>40270551</v>
      </c>
      <c r="J615" s="1077">
        <v>38482238</v>
      </c>
      <c r="K615" s="1075">
        <v>40270551</v>
      </c>
      <c r="L615" s="1075">
        <v>38482238</v>
      </c>
    </row>
    <row r="616" spans="1:12">
      <c r="A616" t="s">
        <v>1337</v>
      </c>
      <c r="B616" s="31" t="s">
        <v>545</v>
      </c>
      <c r="C616" s="1075">
        <v>1458679099</v>
      </c>
      <c r="D616" s="1075">
        <v>1438594020</v>
      </c>
      <c r="E616" s="1075">
        <v>1458679099</v>
      </c>
      <c r="F616" s="1075">
        <v>1438594020</v>
      </c>
      <c r="G616" s="1073">
        <v>1828134313</v>
      </c>
      <c r="H616" s="1073">
        <v>1805617792</v>
      </c>
      <c r="I616" s="1073">
        <v>1458679099</v>
      </c>
      <c r="J616" s="1077">
        <v>1438594020</v>
      </c>
      <c r="K616" s="1075">
        <v>1458679099</v>
      </c>
      <c r="L616" s="1075">
        <v>1438594020</v>
      </c>
    </row>
    <row r="617" spans="1:12">
      <c r="A617" t="s">
        <v>1689</v>
      </c>
      <c r="B617" s="31" t="s">
        <v>546</v>
      </c>
      <c r="C617" s="1075">
        <v>428617098</v>
      </c>
      <c r="D617" s="1075">
        <v>408677709</v>
      </c>
      <c r="E617" s="1075">
        <v>428617098</v>
      </c>
      <c r="F617" s="1075">
        <v>408677709</v>
      </c>
      <c r="G617" s="1073">
        <v>429598354</v>
      </c>
      <c r="H617" s="1073">
        <v>429598354</v>
      </c>
      <c r="I617" s="1073">
        <v>428617098</v>
      </c>
      <c r="J617" s="1077">
        <v>408677709</v>
      </c>
      <c r="K617" s="1075">
        <v>428617098</v>
      </c>
      <c r="L617" s="1075">
        <v>408677709</v>
      </c>
    </row>
    <row r="618" spans="1:12">
      <c r="A618" t="s">
        <v>1690</v>
      </c>
      <c r="B618" s="31" t="s">
        <v>547</v>
      </c>
      <c r="C618" s="1075">
        <v>200744079</v>
      </c>
      <c r="D618" s="1075">
        <v>198080859</v>
      </c>
      <c r="E618" s="1075">
        <v>200744079</v>
      </c>
      <c r="F618" s="1075">
        <v>198080859</v>
      </c>
      <c r="G618" s="1073">
        <v>389208321</v>
      </c>
      <c r="H618" s="1073">
        <v>389208321</v>
      </c>
      <c r="I618" s="1073">
        <v>200744079</v>
      </c>
      <c r="J618" s="1077">
        <v>198080859</v>
      </c>
      <c r="K618" s="1075">
        <v>200744079</v>
      </c>
      <c r="L618" s="1075">
        <v>198080859</v>
      </c>
    </row>
    <row r="619" spans="1:12">
      <c r="A619" t="s">
        <v>2557</v>
      </c>
      <c r="B619" s="31" t="s">
        <v>548</v>
      </c>
      <c r="C619" s="1075">
        <v>109542822</v>
      </c>
      <c r="D619" s="1075">
        <v>108320962</v>
      </c>
      <c r="E619" s="1075">
        <v>109542822</v>
      </c>
      <c r="F619" s="1075">
        <v>108320962</v>
      </c>
      <c r="G619" s="1073">
        <v>275295144</v>
      </c>
      <c r="H619" s="1073">
        <v>275295144</v>
      </c>
      <c r="I619" s="1073">
        <v>109542822</v>
      </c>
      <c r="J619" s="1077">
        <v>108320962</v>
      </c>
      <c r="K619" s="1075">
        <v>109542822</v>
      </c>
      <c r="L619" s="1075">
        <v>108320962</v>
      </c>
    </row>
    <row r="620" spans="1:12">
      <c r="A620" t="s">
        <v>2558</v>
      </c>
      <c r="B620" s="31" t="s">
        <v>549</v>
      </c>
      <c r="C620" s="1075">
        <v>204991321</v>
      </c>
      <c r="D620" s="1075">
        <v>204090771</v>
      </c>
      <c r="E620" s="1075">
        <v>204991321</v>
      </c>
      <c r="F620" s="1075">
        <v>204090771</v>
      </c>
      <c r="G620" s="1073">
        <v>502458688</v>
      </c>
      <c r="H620" s="1073">
        <v>502458688</v>
      </c>
      <c r="I620" s="1073">
        <v>204991321</v>
      </c>
      <c r="J620" s="1077">
        <v>204090771</v>
      </c>
      <c r="K620" s="1075">
        <v>204991321</v>
      </c>
      <c r="L620" s="1075">
        <v>204090771</v>
      </c>
    </row>
    <row r="621" spans="1:12">
      <c r="A621" t="s">
        <v>2659</v>
      </c>
      <c r="B621" s="31" t="s">
        <v>550</v>
      </c>
      <c r="C621" s="1075">
        <v>74132132</v>
      </c>
      <c r="D621" s="1075">
        <v>73160942</v>
      </c>
      <c r="E621" s="1075">
        <v>74132132</v>
      </c>
      <c r="F621" s="1075">
        <v>73160942</v>
      </c>
      <c r="G621" s="1073">
        <v>156554502</v>
      </c>
      <c r="H621" s="1073">
        <v>156554502</v>
      </c>
      <c r="I621" s="1073">
        <v>74132132</v>
      </c>
      <c r="J621" s="1077">
        <v>73160942</v>
      </c>
      <c r="K621" s="1075">
        <v>74132132</v>
      </c>
      <c r="L621" s="1075">
        <v>73160942</v>
      </c>
    </row>
    <row r="622" spans="1:12">
      <c r="A622" t="s">
        <v>837</v>
      </c>
      <c r="B622" s="31" t="s">
        <v>551</v>
      </c>
      <c r="C622" s="1075">
        <v>776186284</v>
      </c>
      <c r="D622" s="1075">
        <v>761156420</v>
      </c>
      <c r="E622" s="1075">
        <v>759189712</v>
      </c>
      <c r="F622" s="1075">
        <v>744159848</v>
      </c>
      <c r="G622" s="1073">
        <v>732468238</v>
      </c>
      <c r="H622" s="1073">
        <v>718508692</v>
      </c>
      <c r="I622" s="1073">
        <v>776186284</v>
      </c>
      <c r="J622" s="1077">
        <v>761156420</v>
      </c>
      <c r="K622" s="1075">
        <v>759189712</v>
      </c>
      <c r="L622" s="1075">
        <v>744159848</v>
      </c>
    </row>
    <row r="623" spans="1:12">
      <c r="A623" t="s">
        <v>82</v>
      </c>
      <c r="B623" s="31" t="s">
        <v>552</v>
      </c>
      <c r="C623" s="1075">
        <v>1375090127</v>
      </c>
      <c r="D623" s="1075">
        <v>1367926883</v>
      </c>
      <c r="E623" s="1075">
        <v>1368181655</v>
      </c>
      <c r="F623" s="1075">
        <v>1361018411</v>
      </c>
      <c r="G623" s="1073">
        <v>2843835197</v>
      </c>
      <c r="H623" s="1073">
        <v>2838074833</v>
      </c>
      <c r="I623" s="1073">
        <v>1375090127</v>
      </c>
      <c r="J623" s="1077">
        <v>1367926883</v>
      </c>
      <c r="K623" s="1075">
        <v>1368181655</v>
      </c>
      <c r="L623" s="1075">
        <v>1361018411</v>
      </c>
    </row>
    <row r="624" spans="1:12">
      <c r="A624" t="s">
        <v>83</v>
      </c>
      <c r="B624" s="31" t="s">
        <v>553</v>
      </c>
      <c r="C624" s="1075">
        <v>3406775140</v>
      </c>
      <c r="D624" s="1075">
        <v>3361323972</v>
      </c>
      <c r="E624" s="1075">
        <v>3346054344</v>
      </c>
      <c r="F624" s="1075">
        <v>3300603176</v>
      </c>
      <c r="G624" s="1073">
        <v>3262143420</v>
      </c>
      <c r="H624" s="1073">
        <v>3203318016</v>
      </c>
      <c r="I624" s="1073">
        <v>3406775140</v>
      </c>
      <c r="J624" s="1077">
        <v>3361323972</v>
      </c>
      <c r="K624" s="1075">
        <v>3346054344</v>
      </c>
      <c r="L624" s="1075">
        <v>3300603176</v>
      </c>
    </row>
    <row r="625" spans="1:12">
      <c r="A625" t="s">
        <v>2284</v>
      </c>
      <c r="B625" s="31" t="s">
        <v>586</v>
      </c>
      <c r="C625" s="1075">
        <v>10366736534</v>
      </c>
      <c r="D625" s="1075">
        <v>10067030736</v>
      </c>
      <c r="E625" s="1075">
        <v>10366736534</v>
      </c>
      <c r="F625" s="1075">
        <v>10067030736</v>
      </c>
      <c r="G625" s="1073">
        <v>9758633965</v>
      </c>
      <c r="H625" s="1073">
        <v>9758633965</v>
      </c>
      <c r="I625" s="1073">
        <v>10366736534</v>
      </c>
      <c r="J625" s="1077">
        <v>10067030736</v>
      </c>
      <c r="K625" s="1075">
        <v>10366736534</v>
      </c>
      <c r="L625" s="1075">
        <v>10067030736</v>
      </c>
    </row>
    <row r="626" spans="1:12">
      <c r="A626" t="s">
        <v>2410</v>
      </c>
      <c r="B626" s="31" t="s">
        <v>554</v>
      </c>
      <c r="C626" s="1075">
        <v>200225163</v>
      </c>
      <c r="D626" s="1075">
        <v>195187128</v>
      </c>
      <c r="E626" s="1075">
        <v>200225163</v>
      </c>
      <c r="F626" s="1075">
        <v>195187128</v>
      </c>
      <c r="G626" s="1073">
        <v>226930995</v>
      </c>
      <c r="H626" s="1073">
        <v>226930995</v>
      </c>
      <c r="I626" s="1073">
        <v>200225163</v>
      </c>
      <c r="J626" s="1077">
        <v>195187128</v>
      </c>
      <c r="K626" s="1075">
        <v>200225163</v>
      </c>
      <c r="L626" s="1075">
        <v>195187128</v>
      </c>
    </row>
    <row r="627" spans="1:12">
      <c r="A627" t="s">
        <v>2411</v>
      </c>
      <c r="B627" s="31" t="s">
        <v>555</v>
      </c>
      <c r="C627" s="1075">
        <v>381373617</v>
      </c>
      <c r="D627" s="1075">
        <v>366511074</v>
      </c>
      <c r="E627" s="1075">
        <v>381373617</v>
      </c>
      <c r="F627" s="1075">
        <v>366511074</v>
      </c>
      <c r="G627" s="1073">
        <v>370116390</v>
      </c>
      <c r="H627" s="1073">
        <v>370116390</v>
      </c>
      <c r="I627" s="1073">
        <v>381373617</v>
      </c>
      <c r="J627" s="1077">
        <v>366511074</v>
      </c>
      <c r="K627" s="1075">
        <v>381373617</v>
      </c>
      <c r="L627" s="1075">
        <v>366511074</v>
      </c>
    </row>
    <row r="628" spans="1:12">
      <c r="A628" t="s">
        <v>2104</v>
      </c>
      <c r="B628" s="31" t="s">
        <v>587</v>
      </c>
      <c r="C628" s="1075">
        <v>2616539020</v>
      </c>
      <c r="D628" s="1075">
        <v>2551915121</v>
      </c>
      <c r="E628" s="1075">
        <v>2616539020</v>
      </c>
      <c r="F628" s="1075">
        <v>2551915121</v>
      </c>
      <c r="G628" s="1073">
        <v>2076488731</v>
      </c>
      <c r="H628" s="1073">
        <v>2076488731</v>
      </c>
      <c r="I628" s="1073">
        <v>2616539020</v>
      </c>
      <c r="J628" s="1077">
        <v>2551915121</v>
      </c>
      <c r="K628" s="1075">
        <v>2616539020</v>
      </c>
      <c r="L628" s="1075">
        <v>2551915121</v>
      </c>
    </row>
    <row r="629" spans="1:12">
      <c r="A629" t="s">
        <v>1423</v>
      </c>
      <c r="B629" s="31" t="s">
        <v>2303</v>
      </c>
      <c r="C629" s="1075">
        <v>3594873976</v>
      </c>
      <c r="D629" s="1075">
        <v>3509643156</v>
      </c>
      <c r="E629" s="1075">
        <v>3594873976</v>
      </c>
      <c r="F629" s="1075">
        <v>3509643156</v>
      </c>
      <c r="G629" s="1073">
        <v>3016055705</v>
      </c>
      <c r="H629" s="1073">
        <v>3016055705</v>
      </c>
      <c r="I629" s="1073">
        <v>3594873976</v>
      </c>
      <c r="J629" s="1077">
        <v>3509643156</v>
      </c>
      <c r="K629" s="1075">
        <v>3594873976</v>
      </c>
      <c r="L629" s="1075">
        <v>3509643156</v>
      </c>
    </row>
    <row r="630" spans="1:12">
      <c r="A630" t="s">
        <v>2412</v>
      </c>
      <c r="B630" s="31" t="s">
        <v>556</v>
      </c>
      <c r="C630" s="1075">
        <v>204539347</v>
      </c>
      <c r="D630" s="1075">
        <v>197129233</v>
      </c>
      <c r="E630" s="1075">
        <v>204539347</v>
      </c>
      <c r="F630" s="1075">
        <v>197129233</v>
      </c>
      <c r="G630" s="1073">
        <v>292682279</v>
      </c>
      <c r="H630" s="1073">
        <v>292682279</v>
      </c>
      <c r="I630" s="1073">
        <v>204539347</v>
      </c>
      <c r="J630" s="1077">
        <v>197129233</v>
      </c>
      <c r="K630" s="1075">
        <v>204539347</v>
      </c>
      <c r="L630" s="1075">
        <v>197129233</v>
      </c>
    </row>
    <row r="631" spans="1:12">
      <c r="A631" t="s">
        <v>496</v>
      </c>
      <c r="B631" s="31" t="s">
        <v>1248</v>
      </c>
      <c r="C631" s="1075">
        <v>270894204</v>
      </c>
      <c r="D631" s="1075">
        <v>261522046</v>
      </c>
      <c r="E631" s="1075">
        <v>270894204</v>
      </c>
      <c r="F631" s="1075">
        <v>261522046</v>
      </c>
      <c r="G631" s="1073">
        <v>301928890</v>
      </c>
      <c r="H631" s="1073">
        <v>301928890</v>
      </c>
      <c r="I631" s="1073">
        <v>270894204</v>
      </c>
      <c r="J631" s="1077">
        <v>261522046</v>
      </c>
      <c r="K631" s="1075">
        <v>270894204</v>
      </c>
      <c r="L631" s="1075">
        <v>261522046</v>
      </c>
    </row>
    <row r="632" spans="1:12">
      <c r="A632" t="s">
        <v>677</v>
      </c>
      <c r="B632" s="31" t="s">
        <v>557</v>
      </c>
      <c r="C632" s="1075">
        <v>236870778</v>
      </c>
      <c r="D632" s="1075">
        <v>228868641</v>
      </c>
      <c r="E632" s="1075">
        <v>236870778</v>
      </c>
      <c r="F632" s="1075">
        <v>228868641</v>
      </c>
      <c r="G632" s="1073">
        <v>243468515</v>
      </c>
      <c r="H632" s="1073">
        <v>243468515</v>
      </c>
      <c r="I632" s="1073">
        <v>236870778</v>
      </c>
      <c r="J632" s="1077">
        <v>228868641</v>
      </c>
      <c r="K632" s="1075">
        <v>236870778</v>
      </c>
      <c r="L632" s="1075">
        <v>228868641</v>
      </c>
    </row>
    <row r="633" spans="1:12">
      <c r="A633" t="s">
        <v>2347</v>
      </c>
      <c r="B633" s="31" t="s">
        <v>558</v>
      </c>
      <c r="C633" s="1075">
        <v>93535173</v>
      </c>
      <c r="D633" s="1075">
        <v>91498353</v>
      </c>
      <c r="E633" s="1075">
        <v>93535173</v>
      </c>
      <c r="F633" s="1075">
        <v>91498353</v>
      </c>
      <c r="G633" s="1073">
        <v>152648182</v>
      </c>
      <c r="H633" s="1073">
        <v>152648182</v>
      </c>
      <c r="I633" s="1073">
        <v>342828473</v>
      </c>
      <c r="J633" s="1077">
        <v>340791653</v>
      </c>
      <c r="K633" s="1075">
        <v>342828473</v>
      </c>
      <c r="L633" s="1075">
        <v>340791653</v>
      </c>
    </row>
    <row r="634" spans="1:12">
      <c r="A634" t="s">
        <v>2348</v>
      </c>
      <c r="B634" s="31" t="s">
        <v>559</v>
      </c>
      <c r="C634" s="1075">
        <v>121278409</v>
      </c>
      <c r="D634" s="1075">
        <v>115872359</v>
      </c>
      <c r="E634" s="1075">
        <v>121278409</v>
      </c>
      <c r="F634" s="1075">
        <v>115872359</v>
      </c>
      <c r="G634" s="1073">
        <v>119712674</v>
      </c>
      <c r="H634" s="1073">
        <v>119712674</v>
      </c>
      <c r="I634" s="1073">
        <v>121278409</v>
      </c>
      <c r="J634" s="1077">
        <v>115872359</v>
      </c>
      <c r="K634" s="1075">
        <v>121278409</v>
      </c>
      <c r="L634" s="1075">
        <v>115872359</v>
      </c>
    </row>
    <row r="635" spans="1:12">
      <c r="A635" t="s">
        <v>2349</v>
      </c>
      <c r="B635" s="31" t="s">
        <v>560</v>
      </c>
      <c r="C635" s="1075">
        <v>68047247</v>
      </c>
      <c r="D635" s="1075">
        <v>66062377</v>
      </c>
      <c r="E635" s="1075">
        <v>68047247</v>
      </c>
      <c r="F635" s="1075">
        <v>66062377</v>
      </c>
      <c r="G635" s="1073">
        <v>60682283</v>
      </c>
      <c r="H635" s="1073">
        <v>60682283</v>
      </c>
      <c r="I635" s="1073">
        <v>68047247</v>
      </c>
      <c r="J635" s="1077">
        <v>66062377</v>
      </c>
      <c r="K635" s="1075">
        <v>68047247</v>
      </c>
      <c r="L635" s="1075">
        <v>66062377</v>
      </c>
    </row>
    <row r="636" spans="1:12">
      <c r="A636" t="s">
        <v>1464</v>
      </c>
      <c r="B636" s="31" t="s">
        <v>561</v>
      </c>
      <c r="C636" s="1075">
        <v>44511423</v>
      </c>
      <c r="D636" s="1075">
        <v>43023333</v>
      </c>
      <c r="E636" s="1075">
        <v>44511423</v>
      </c>
      <c r="F636" s="1075">
        <v>43023333</v>
      </c>
      <c r="G636" s="1073">
        <v>53397768</v>
      </c>
      <c r="H636" s="1073">
        <v>53397768</v>
      </c>
      <c r="I636" s="1073">
        <v>44511423</v>
      </c>
      <c r="J636" s="1077">
        <v>43023333</v>
      </c>
      <c r="K636" s="1075">
        <v>44511423</v>
      </c>
      <c r="L636" s="1075">
        <v>43023333</v>
      </c>
    </row>
    <row r="637" spans="1:12">
      <c r="A637" t="s">
        <v>2091</v>
      </c>
      <c r="B637" s="31" t="s">
        <v>37</v>
      </c>
      <c r="C637" s="1075">
        <v>799199471</v>
      </c>
      <c r="D637" s="1075">
        <v>779088775</v>
      </c>
      <c r="E637" s="1075">
        <v>799199471</v>
      </c>
      <c r="F637" s="1075">
        <v>779088775</v>
      </c>
      <c r="G637" s="1073">
        <v>851664215</v>
      </c>
      <c r="H637" s="1073">
        <v>851664215</v>
      </c>
      <c r="I637" s="1073">
        <v>799199471</v>
      </c>
      <c r="J637" s="1077">
        <v>779088775</v>
      </c>
      <c r="K637" s="1075">
        <v>799199471</v>
      </c>
      <c r="L637" s="1075">
        <v>779088775</v>
      </c>
    </row>
    <row r="638" spans="1:12">
      <c r="A638" t="s">
        <v>1465</v>
      </c>
      <c r="B638" s="31" t="s">
        <v>562</v>
      </c>
      <c r="C638" s="1075">
        <v>228239399</v>
      </c>
      <c r="D638" s="1075">
        <v>224625164</v>
      </c>
      <c r="E638" s="1075">
        <v>228239399</v>
      </c>
      <c r="F638" s="1075">
        <v>224625164</v>
      </c>
      <c r="G638" s="1073">
        <v>417709788</v>
      </c>
      <c r="H638" s="1073">
        <v>417709788</v>
      </c>
      <c r="I638" s="1073">
        <v>228239399</v>
      </c>
      <c r="J638" s="1077">
        <v>224625164</v>
      </c>
      <c r="K638" s="1075">
        <v>228239399</v>
      </c>
      <c r="L638" s="1075">
        <v>224625164</v>
      </c>
    </row>
    <row r="639" spans="1:12">
      <c r="A639" t="s">
        <v>382</v>
      </c>
      <c r="B639" s="31" t="s">
        <v>563</v>
      </c>
      <c r="C639" s="1075">
        <v>634885944</v>
      </c>
      <c r="D639" s="1075">
        <v>612467594</v>
      </c>
      <c r="E639" s="1075">
        <v>624598159</v>
      </c>
      <c r="F639" s="1075">
        <v>602179809</v>
      </c>
      <c r="G639" s="1073">
        <v>641758606</v>
      </c>
      <c r="H639" s="1073">
        <v>630152746</v>
      </c>
      <c r="I639" s="1073">
        <v>634885944</v>
      </c>
      <c r="J639" s="1077">
        <v>612467594</v>
      </c>
      <c r="K639" s="1075">
        <v>624598159</v>
      </c>
      <c r="L639" s="1075">
        <v>602179809</v>
      </c>
    </row>
    <row r="640" spans="1:12">
      <c r="A640" t="s">
        <v>383</v>
      </c>
      <c r="B640" s="31" t="s">
        <v>564</v>
      </c>
      <c r="C640" s="1075">
        <v>1856294355</v>
      </c>
      <c r="D640" s="1075">
        <v>1847847637</v>
      </c>
      <c r="E640" s="1075">
        <v>1850962434</v>
      </c>
      <c r="F640" s="1075">
        <v>1842515716</v>
      </c>
      <c r="G640" s="1073">
        <v>2544764907</v>
      </c>
      <c r="H640" s="1073">
        <v>2539617600</v>
      </c>
      <c r="I640" s="1073">
        <v>1930865635</v>
      </c>
      <c r="J640" s="1077">
        <v>1922418917</v>
      </c>
      <c r="K640" s="1075">
        <v>1925533714</v>
      </c>
      <c r="L640" s="1075">
        <v>1917086996</v>
      </c>
    </row>
    <row r="641" spans="1:12">
      <c r="A641" t="s">
        <v>384</v>
      </c>
      <c r="B641" s="31" t="s">
        <v>565</v>
      </c>
      <c r="C641" s="1075">
        <v>1485436611</v>
      </c>
      <c r="D641" s="1075">
        <v>1484281791</v>
      </c>
      <c r="E641" s="1075">
        <v>1484264656</v>
      </c>
      <c r="F641" s="1075">
        <v>1483109836</v>
      </c>
      <c r="G641" s="1073">
        <v>2269729441</v>
      </c>
      <c r="H641" s="1073">
        <v>2268469873</v>
      </c>
      <c r="I641" s="1073">
        <v>1490735121</v>
      </c>
      <c r="J641" s="1077">
        <v>1489580301</v>
      </c>
      <c r="K641" s="1075">
        <v>1489563166</v>
      </c>
      <c r="L641" s="1075">
        <v>1488408346</v>
      </c>
    </row>
    <row r="642" spans="1:12">
      <c r="A642" t="s">
        <v>1655</v>
      </c>
      <c r="B642" s="31" t="s">
        <v>566</v>
      </c>
      <c r="C642" s="1075">
        <v>346740004</v>
      </c>
      <c r="D642" s="1075">
        <v>335565514</v>
      </c>
      <c r="E642" s="1075">
        <v>346740004</v>
      </c>
      <c r="F642" s="1075">
        <v>335565514</v>
      </c>
      <c r="G642" s="1073">
        <v>335280772</v>
      </c>
      <c r="H642" s="1073">
        <v>335280772</v>
      </c>
      <c r="I642" s="1073">
        <v>346740004</v>
      </c>
      <c r="J642" s="1077">
        <v>335565514</v>
      </c>
      <c r="K642" s="1075">
        <v>346740004</v>
      </c>
      <c r="L642" s="1075">
        <v>335565514</v>
      </c>
    </row>
    <row r="643" spans="1:12">
      <c r="A643" t="s">
        <v>1656</v>
      </c>
      <c r="B643" s="31" t="s">
        <v>567</v>
      </c>
      <c r="C643" s="1075">
        <v>1163056645</v>
      </c>
      <c r="D643" s="1075">
        <v>1128784998</v>
      </c>
      <c r="E643" s="1075">
        <v>1163056645</v>
      </c>
      <c r="F643" s="1075">
        <v>1128784998</v>
      </c>
      <c r="G643" s="1073">
        <v>1123769062</v>
      </c>
      <c r="H643" s="1073">
        <v>1123769062</v>
      </c>
      <c r="I643" s="1073">
        <v>1163056645</v>
      </c>
      <c r="J643" s="1077">
        <v>1128784998</v>
      </c>
      <c r="K643" s="1075">
        <v>1163056645</v>
      </c>
      <c r="L643" s="1075">
        <v>1128784998</v>
      </c>
    </row>
    <row r="644" spans="1:12">
      <c r="A644" t="s">
        <v>173</v>
      </c>
      <c r="B644" s="31" t="s">
        <v>1745</v>
      </c>
      <c r="C644" s="1075">
        <v>1061216577</v>
      </c>
      <c r="D644" s="1075">
        <v>1053085377</v>
      </c>
      <c r="E644" s="1075">
        <v>1052338420</v>
      </c>
      <c r="F644" s="1075">
        <v>1044207220</v>
      </c>
      <c r="G644" s="1073">
        <v>1165285082</v>
      </c>
      <c r="H644" s="1073">
        <v>1157002619</v>
      </c>
      <c r="I644" s="1073">
        <v>1061216577</v>
      </c>
      <c r="J644" s="1077">
        <v>1053085377</v>
      </c>
      <c r="K644" s="1075">
        <v>1052338420</v>
      </c>
      <c r="L644" s="1075">
        <v>1044207220</v>
      </c>
    </row>
    <row r="645" spans="1:12">
      <c r="A645" t="s">
        <v>2128</v>
      </c>
      <c r="B645" s="31" t="s">
        <v>1746</v>
      </c>
      <c r="C645" s="1075">
        <v>276379514</v>
      </c>
      <c r="D645" s="1075">
        <v>273608286</v>
      </c>
      <c r="E645" s="1075">
        <v>271088497</v>
      </c>
      <c r="F645" s="1075">
        <v>268317269</v>
      </c>
      <c r="G645" s="1073">
        <v>269746765</v>
      </c>
      <c r="H645" s="1073">
        <v>264264146</v>
      </c>
      <c r="I645" s="1073">
        <v>276379514</v>
      </c>
      <c r="J645" s="1077">
        <v>273608286</v>
      </c>
      <c r="K645" s="1075">
        <v>271088497</v>
      </c>
      <c r="L645" s="1075">
        <v>268317269</v>
      </c>
    </row>
    <row r="646" spans="1:12">
      <c r="A646" t="s">
        <v>2129</v>
      </c>
      <c r="B646" s="31" t="s">
        <v>1747</v>
      </c>
      <c r="C646" s="1075">
        <v>1291554237</v>
      </c>
      <c r="D646" s="1075">
        <v>1278060935</v>
      </c>
      <c r="E646" s="1075">
        <v>1275599403</v>
      </c>
      <c r="F646" s="1075">
        <v>1262106101</v>
      </c>
      <c r="G646" s="1073">
        <v>1264363367</v>
      </c>
      <c r="H646" s="1073">
        <v>1249435170</v>
      </c>
      <c r="I646" s="1073">
        <v>1291554237</v>
      </c>
      <c r="J646" s="1077">
        <v>1278060935</v>
      </c>
      <c r="K646" s="1075">
        <v>1275599403</v>
      </c>
      <c r="L646" s="1075">
        <v>1262106101</v>
      </c>
    </row>
    <row r="647" spans="1:12">
      <c r="A647" t="s">
        <v>2130</v>
      </c>
      <c r="B647" s="31" t="s">
        <v>1748</v>
      </c>
      <c r="C647" s="1075">
        <v>955009262</v>
      </c>
      <c r="D647" s="1075">
        <v>942232329</v>
      </c>
      <c r="E647" s="1075">
        <v>937831373</v>
      </c>
      <c r="F647" s="1075">
        <v>925054440</v>
      </c>
      <c r="G647" s="1073">
        <v>639326329</v>
      </c>
      <c r="H647" s="1073">
        <v>623067354</v>
      </c>
      <c r="I647" s="1073">
        <v>955009262</v>
      </c>
      <c r="J647" s="1077">
        <v>942232329</v>
      </c>
      <c r="K647" s="1075">
        <v>937831373</v>
      </c>
      <c r="L647" s="1075">
        <v>925054440</v>
      </c>
    </row>
    <row r="648" spans="1:12">
      <c r="A648" t="s">
        <v>1813</v>
      </c>
      <c r="B648" s="31" t="s">
        <v>1062</v>
      </c>
      <c r="C648" s="1075">
        <v>2304642728</v>
      </c>
      <c r="D648" s="1075">
        <v>2224390806</v>
      </c>
      <c r="E648" s="1075">
        <v>2304642728</v>
      </c>
      <c r="F648" s="1075">
        <v>2224390806</v>
      </c>
      <c r="G648" s="1073">
        <v>2167347779</v>
      </c>
      <c r="H648" s="1073">
        <v>2167347779</v>
      </c>
      <c r="I648" s="1073">
        <v>2304642728</v>
      </c>
      <c r="J648" s="1077">
        <v>2224390806</v>
      </c>
      <c r="K648" s="1075">
        <v>2304642728</v>
      </c>
      <c r="L648" s="1075">
        <v>2224390806</v>
      </c>
    </row>
    <row r="649" spans="1:12">
      <c r="A649" t="s">
        <v>880</v>
      </c>
      <c r="B649" s="31" t="s">
        <v>1854</v>
      </c>
      <c r="C649" s="1075">
        <v>456464608</v>
      </c>
      <c r="D649" s="1075">
        <v>441886498</v>
      </c>
      <c r="E649" s="1075">
        <v>456464608</v>
      </c>
      <c r="F649" s="1075">
        <v>441886498</v>
      </c>
      <c r="G649" s="1073">
        <v>476673779</v>
      </c>
      <c r="H649" s="1073">
        <v>476673779</v>
      </c>
      <c r="I649" s="1073">
        <v>456464608</v>
      </c>
      <c r="J649" s="1077">
        <v>441886498</v>
      </c>
      <c r="K649" s="1075">
        <v>456464608</v>
      </c>
      <c r="L649" s="1075">
        <v>441886498</v>
      </c>
    </row>
    <row r="650" spans="1:12">
      <c r="A650" t="s">
        <v>1403</v>
      </c>
      <c r="B650" s="31" t="s">
        <v>1749</v>
      </c>
      <c r="C650" s="1075">
        <v>64374078</v>
      </c>
      <c r="D650" s="1075">
        <v>62027268</v>
      </c>
      <c r="E650" s="1075">
        <v>64374078</v>
      </c>
      <c r="F650" s="1075">
        <v>62027268</v>
      </c>
      <c r="G650" s="1073">
        <v>55518786</v>
      </c>
      <c r="H650" s="1073">
        <v>55518786</v>
      </c>
      <c r="I650" s="1073">
        <v>64374078</v>
      </c>
      <c r="J650" s="1077">
        <v>62027268</v>
      </c>
      <c r="K650" s="1075">
        <v>64374078</v>
      </c>
      <c r="L650" s="1075">
        <v>62027268</v>
      </c>
    </row>
    <row r="651" spans="1:12">
      <c r="A651" t="s">
        <v>1988</v>
      </c>
      <c r="B651" s="31" t="s">
        <v>2228</v>
      </c>
      <c r="C651" s="1075">
        <v>27936004</v>
      </c>
      <c r="D651" s="1075">
        <v>27295394</v>
      </c>
      <c r="E651" s="1075">
        <v>27936004</v>
      </c>
      <c r="F651" s="1075">
        <v>27295394</v>
      </c>
      <c r="G651" s="1073">
        <v>23465993</v>
      </c>
      <c r="H651" s="1073">
        <v>23465993</v>
      </c>
      <c r="I651" s="1073">
        <v>27936004</v>
      </c>
      <c r="J651" s="1077">
        <v>27295394</v>
      </c>
      <c r="K651" s="1075">
        <v>27936004</v>
      </c>
      <c r="L651" s="1075">
        <v>27295394</v>
      </c>
    </row>
    <row r="652" spans="1:12">
      <c r="A652" t="s">
        <v>968</v>
      </c>
      <c r="B652" s="31" t="s">
        <v>417</v>
      </c>
      <c r="C652" s="1075">
        <v>173674537</v>
      </c>
      <c r="D652" s="1075">
        <v>166673001</v>
      </c>
      <c r="E652" s="1075">
        <v>173674537</v>
      </c>
      <c r="F652" s="1075">
        <v>166673001</v>
      </c>
      <c r="G652" s="1073">
        <v>158209784</v>
      </c>
      <c r="H652" s="1073">
        <v>158209784</v>
      </c>
      <c r="I652" s="1073">
        <v>173674537</v>
      </c>
      <c r="J652" s="1077">
        <v>166673001</v>
      </c>
      <c r="K652" s="1075">
        <v>173674537</v>
      </c>
      <c r="L652" s="1075">
        <v>166673001</v>
      </c>
    </row>
    <row r="653" spans="1:12">
      <c r="A653" t="s">
        <v>900</v>
      </c>
      <c r="B653" s="31" t="s">
        <v>1922</v>
      </c>
      <c r="C653" s="1075">
        <v>4657525398</v>
      </c>
      <c r="D653" s="1075">
        <v>4550078802</v>
      </c>
      <c r="E653" s="1075">
        <v>4657525398</v>
      </c>
      <c r="F653" s="1075">
        <v>4550078802</v>
      </c>
      <c r="G653" s="1073">
        <v>4296780817</v>
      </c>
      <c r="H653" s="1073">
        <v>4296780817</v>
      </c>
      <c r="I653" s="1073">
        <v>4657525398</v>
      </c>
      <c r="J653" s="1077">
        <v>4550078802</v>
      </c>
      <c r="K653" s="1075">
        <v>4657525398</v>
      </c>
      <c r="L653" s="1075">
        <v>4550078802</v>
      </c>
    </row>
    <row r="654" spans="1:12">
      <c r="A654" t="s">
        <v>702</v>
      </c>
      <c r="B654" s="31" t="s">
        <v>1899</v>
      </c>
      <c r="C654" s="1075">
        <v>759088261</v>
      </c>
      <c r="D654" s="1075">
        <v>738330984</v>
      </c>
      <c r="E654" s="1075">
        <v>759088261</v>
      </c>
      <c r="F654" s="1075">
        <v>738330984</v>
      </c>
      <c r="G654" s="1073">
        <v>689732178</v>
      </c>
      <c r="H654" s="1073">
        <v>689732178</v>
      </c>
      <c r="I654" s="1073">
        <v>759088261</v>
      </c>
      <c r="J654" s="1077">
        <v>738330984</v>
      </c>
      <c r="K654" s="1075">
        <v>759088261</v>
      </c>
      <c r="L654" s="1075">
        <v>738330984</v>
      </c>
    </row>
    <row r="655" spans="1:12">
      <c r="A655" t="s">
        <v>969</v>
      </c>
      <c r="B655" s="31" t="s">
        <v>1257</v>
      </c>
      <c r="C655" s="1075">
        <v>464701076</v>
      </c>
      <c r="D655" s="1075">
        <v>444358579</v>
      </c>
      <c r="E655" s="1075">
        <v>464701076</v>
      </c>
      <c r="F655" s="1075">
        <v>444358579</v>
      </c>
      <c r="G655" s="1073">
        <v>434758229</v>
      </c>
      <c r="H655" s="1073">
        <v>434758229</v>
      </c>
      <c r="I655" s="1073">
        <v>464701076</v>
      </c>
      <c r="J655" s="1077">
        <v>444358579</v>
      </c>
      <c r="K655" s="1075">
        <v>464701076</v>
      </c>
      <c r="L655" s="1075">
        <v>444358579</v>
      </c>
    </row>
    <row r="656" spans="1:12">
      <c r="A656" t="s">
        <v>1835</v>
      </c>
      <c r="B656" s="31" t="s">
        <v>2064</v>
      </c>
      <c r="C656" s="1075">
        <v>137035427</v>
      </c>
      <c r="D656" s="1075">
        <v>130863807</v>
      </c>
      <c r="E656" s="1075">
        <v>137035427</v>
      </c>
      <c r="F656" s="1075">
        <v>130863807</v>
      </c>
      <c r="G656" s="1073">
        <v>111147386</v>
      </c>
      <c r="H656" s="1073">
        <v>111147386</v>
      </c>
      <c r="I656" s="1073">
        <v>137035427</v>
      </c>
      <c r="J656" s="1077">
        <v>130863807</v>
      </c>
      <c r="K656" s="1075">
        <v>137035427</v>
      </c>
      <c r="L656" s="1075">
        <v>130863807</v>
      </c>
    </row>
    <row r="657" spans="1:12">
      <c r="A657" t="s">
        <v>1542</v>
      </c>
      <c r="B657" s="31" t="s">
        <v>819</v>
      </c>
      <c r="C657" s="1075">
        <v>394551138</v>
      </c>
      <c r="D657" s="1075">
        <v>382266745</v>
      </c>
      <c r="E657" s="1075">
        <v>394551138</v>
      </c>
      <c r="F657" s="1075">
        <v>382266745</v>
      </c>
      <c r="G657" s="1073">
        <v>329671086</v>
      </c>
      <c r="H657" s="1073">
        <v>329671086</v>
      </c>
      <c r="I657" s="1073">
        <v>394551138</v>
      </c>
      <c r="J657" s="1077">
        <v>382266745</v>
      </c>
      <c r="K657" s="1075">
        <v>394551138</v>
      </c>
      <c r="L657" s="1075">
        <v>382266745</v>
      </c>
    </row>
    <row r="658" spans="1:12">
      <c r="A658" t="s">
        <v>113</v>
      </c>
      <c r="B658" s="31" t="s">
        <v>1750</v>
      </c>
      <c r="C658" s="1075">
        <v>180206407</v>
      </c>
      <c r="D658" s="1075">
        <v>170666870</v>
      </c>
      <c r="E658" s="1075">
        <v>180206407</v>
      </c>
      <c r="F658" s="1075">
        <v>170666870</v>
      </c>
      <c r="G658" s="1073">
        <v>156597600</v>
      </c>
      <c r="H658" s="1073">
        <v>156597600</v>
      </c>
      <c r="I658" s="1073">
        <v>180206407</v>
      </c>
      <c r="J658" s="1077">
        <v>170666870</v>
      </c>
      <c r="K658" s="1075">
        <v>180206407</v>
      </c>
      <c r="L658" s="1075">
        <v>170666870</v>
      </c>
    </row>
    <row r="659" spans="1:12">
      <c r="A659" t="s">
        <v>2086</v>
      </c>
      <c r="B659" s="31" t="s">
        <v>1740</v>
      </c>
      <c r="C659" s="1075">
        <v>714386987</v>
      </c>
      <c r="D659" s="1075">
        <v>709081700</v>
      </c>
      <c r="E659" s="1075">
        <v>711571417</v>
      </c>
      <c r="F659" s="1075">
        <v>706266130</v>
      </c>
      <c r="G659" s="1073">
        <v>742950983</v>
      </c>
      <c r="H659" s="1073">
        <v>740149867</v>
      </c>
      <c r="I659" s="1073">
        <v>714386987</v>
      </c>
      <c r="J659" s="1077">
        <v>709081700</v>
      </c>
      <c r="K659" s="1075">
        <v>711571417</v>
      </c>
      <c r="L659" s="1075">
        <v>706266130</v>
      </c>
    </row>
    <row r="660" spans="1:12">
      <c r="A660" t="s">
        <v>341</v>
      </c>
      <c r="B660" s="31" t="s">
        <v>136</v>
      </c>
      <c r="C660" s="1075">
        <v>4845162967</v>
      </c>
      <c r="D660" s="1075">
        <v>4703592263</v>
      </c>
      <c r="E660" s="1075">
        <v>4845162967</v>
      </c>
      <c r="F660" s="1075">
        <v>4703592263</v>
      </c>
      <c r="G660" s="1073">
        <v>4241317359</v>
      </c>
      <c r="H660" s="1073">
        <v>4241317359</v>
      </c>
      <c r="I660" s="1073">
        <v>4845162967</v>
      </c>
      <c r="J660" s="1077">
        <v>4703592263</v>
      </c>
      <c r="K660" s="1075">
        <v>4845162967</v>
      </c>
      <c r="L660" s="1075">
        <v>4703592263</v>
      </c>
    </row>
    <row r="661" spans="1:12">
      <c r="A661" t="s">
        <v>344</v>
      </c>
      <c r="B661" s="31" t="s">
        <v>1430</v>
      </c>
      <c r="C661" s="1075">
        <v>418299049</v>
      </c>
      <c r="D661" s="1075">
        <v>398728061</v>
      </c>
      <c r="E661" s="1075">
        <v>418299049</v>
      </c>
      <c r="F661" s="1075">
        <v>398728061</v>
      </c>
      <c r="G661" s="1073">
        <v>369842600</v>
      </c>
      <c r="H661" s="1073">
        <v>369842600</v>
      </c>
      <c r="I661" s="1073">
        <v>418299049</v>
      </c>
      <c r="J661" s="1077">
        <v>398728061</v>
      </c>
      <c r="K661" s="1075">
        <v>418299049</v>
      </c>
      <c r="L661" s="1075">
        <v>398728061</v>
      </c>
    </row>
    <row r="662" spans="1:12">
      <c r="A662" t="s">
        <v>2460</v>
      </c>
      <c r="B662" s="31" t="s">
        <v>1751</v>
      </c>
      <c r="C662" s="1075">
        <v>133061245</v>
      </c>
      <c r="D662" s="1075">
        <v>125370312</v>
      </c>
      <c r="E662" s="1075">
        <v>133061245</v>
      </c>
      <c r="F662" s="1075">
        <v>125370312</v>
      </c>
      <c r="G662" s="1073">
        <v>115465518</v>
      </c>
      <c r="H662" s="1073">
        <v>115465518</v>
      </c>
      <c r="I662" s="1073">
        <v>133061245</v>
      </c>
      <c r="J662" s="1077">
        <v>125370312</v>
      </c>
      <c r="K662" s="1075">
        <v>133061245</v>
      </c>
      <c r="L662" s="1075">
        <v>125370312</v>
      </c>
    </row>
    <row r="663" spans="1:12">
      <c r="A663" t="s">
        <v>2461</v>
      </c>
      <c r="B663" s="31" t="s">
        <v>1752</v>
      </c>
      <c r="C663" s="1075">
        <v>170731594</v>
      </c>
      <c r="D663" s="1075">
        <v>161611348</v>
      </c>
      <c r="E663" s="1075">
        <v>170731594</v>
      </c>
      <c r="F663" s="1075">
        <v>161611348</v>
      </c>
      <c r="G663" s="1073">
        <v>160284389</v>
      </c>
      <c r="H663" s="1073">
        <v>160284389</v>
      </c>
      <c r="I663" s="1073">
        <v>170731594</v>
      </c>
      <c r="J663" s="1077">
        <v>161611348</v>
      </c>
      <c r="K663" s="1075">
        <v>170731594</v>
      </c>
      <c r="L663" s="1075">
        <v>161611348</v>
      </c>
    </row>
    <row r="664" spans="1:12">
      <c r="A664" t="s">
        <v>72</v>
      </c>
      <c r="B664" s="31" t="s">
        <v>1160</v>
      </c>
      <c r="C664" s="1075">
        <v>753517255</v>
      </c>
      <c r="D664" s="1075">
        <v>722175605</v>
      </c>
      <c r="E664" s="1075">
        <v>753517255</v>
      </c>
      <c r="F664" s="1075">
        <v>722175605</v>
      </c>
      <c r="G664" s="1073">
        <v>639789366</v>
      </c>
      <c r="H664" s="1073">
        <v>639789366</v>
      </c>
      <c r="I664" s="1073">
        <v>753517255</v>
      </c>
      <c r="J664" s="1077">
        <v>722175605</v>
      </c>
      <c r="K664" s="1075">
        <v>753517255</v>
      </c>
      <c r="L664" s="1075">
        <v>722175605</v>
      </c>
    </row>
    <row r="665" spans="1:12">
      <c r="A665" t="s">
        <v>2310</v>
      </c>
      <c r="B665" s="31" t="s">
        <v>1552</v>
      </c>
      <c r="C665" s="1075">
        <v>634658149</v>
      </c>
      <c r="D665" s="1075">
        <v>610270469</v>
      </c>
      <c r="E665" s="1075">
        <v>634658149</v>
      </c>
      <c r="F665" s="1075">
        <v>610270469</v>
      </c>
      <c r="G665" s="1073">
        <v>597344356</v>
      </c>
      <c r="H665" s="1073">
        <v>597344356</v>
      </c>
      <c r="I665" s="1073">
        <v>634658149</v>
      </c>
      <c r="J665" s="1077">
        <v>610270469</v>
      </c>
      <c r="K665" s="1075">
        <v>634658149</v>
      </c>
      <c r="L665" s="1075">
        <v>610270469</v>
      </c>
    </row>
    <row r="666" spans="1:12">
      <c r="A666" t="s">
        <v>164</v>
      </c>
      <c r="B666" s="31" t="s">
        <v>2698</v>
      </c>
      <c r="C666" s="1075">
        <v>630934093</v>
      </c>
      <c r="D666" s="1075">
        <v>600531000</v>
      </c>
      <c r="E666" s="1075">
        <v>630934093</v>
      </c>
      <c r="F666" s="1075">
        <v>600531000</v>
      </c>
      <c r="G666" s="1073">
        <v>551989219</v>
      </c>
      <c r="H666" s="1073">
        <v>551989219</v>
      </c>
      <c r="I666" s="1073">
        <v>630934093</v>
      </c>
      <c r="J666" s="1077">
        <v>600531000</v>
      </c>
      <c r="K666" s="1075">
        <v>630934093</v>
      </c>
      <c r="L666" s="1075">
        <v>600531000</v>
      </c>
    </row>
    <row r="667" spans="1:12">
      <c r="A667" t="s">
        <v>879</v>
      </c>
      <c r="B667" s="31" t="s">
        <v>1348</v>
      </c>
      <c r="C667" s="1075">
        <v>156219285</v>
      </c>
      <c r="D667" s="1075">
        <v>150643705</v>
      </c>
      <c r="E667" s="1075">
        <v>156219285</v>
      </c>
      <c r="F667" s="1075">
        <v>150643705</v>
      </c>
      <c r="G667" s="1073">
        <v>144615310</v>
      </c>
      <c r="H667" s="1073">
        <v>144615310</v>
      </c>
      <c r="I667" s="1073">
        <v>156219285</v>
      </c>
      <c r="J667" s="1077">
        <v>150643705</v>
      </c>
      <c r="K667" s="1075">
        <v>156219285</v>
      </c>
      <c r="L667" s="1075">
        <v>150643705</v>
      </c>
    </row>
    <row r="668" spans="1:12">
      <c r="A668" t="s">
        <v>1837</v>
      </c>
      <c r="B668" s="31" t="s">
        <v>1753</v>
      </c>
      <c r="C668" s="1075">
        <v>69727716</v>
      </c>
      <c r="D668" s="1075">
        <v>66620537</v>
      </c>
      <c r="E668" s="1075">
        <v>69727716</v>
      </c>
      <c r="F668" s="1075">
        <v>66620537</v>
      </c>
      <c r="G668" s="1073">
        <v>60535471</v>
      </c>
      <c r="H668" s="1073">
        <v>60535471</v>
      </c>
      <c r="I668" s="1073">
        <v>69727716</v>
      </c>
      <c r="J668" s="1077">
        <v>66620537</v>
      </c>
      <c r="K668" s="1075">
        <v>69727716</v>
      </c>
      <c r="L668" s="1075">
        <v>66620537</v>
      </c>
    </row>
    <row r="669" spans="1:12">
      <c r="A669" t="s">
        <v>258</v>
      </c>
      <c r="B669" s="31" t="s">
        <v>1754</v>
      </c>
      <c r="C669" s="1075">
        <v>46389323</v>
      </c>
      <c r="D669" s="1075">
        <v>43234030</v>
      </c>
      <c r="E669" s="1075">
        <v>46389323</v>
      </c>
      <c r="F669" s="1075">
        <v>43234030</v>
      </c>
      <c r="G669" s="1073">
        <v>37836006</v>
      </c>
      <c r="H669" s="1073">
        <v>37836006</v>
      </c>
      <c r="I669" s="1073">
        <v>46389323</v>
      </c>
      <c r="J669" s="1077">
        <v>43234030</v>
      </c>
      <c r="K669" s="1075">
        <v>46389323</v>
      </c>
      <c r="L669" s="1075">
        <v>43234030</v>
      </c>
    </row>
    <row r="670" spans="1:12">
      <c r="A670" t="s">
        <v>1585</v>
      </c>
      <c r="B670" s="31" t="s">
        <v>1755</v>
      </c>
      <c r="C670" s="1075">
        <v>1794047216</v>
      </c>
      <c r="D670" s="1075">
        <v>1792533511</v>
      </c>
      <c r="E670" s="1075">
        <v>1792369807</v>
      </c>
      <c r="F670" s="1075">
        <v>1790856102</v>
      </c>
      <c r="G670" s="1073">
        <v>4129551126</v>
      </c>
      <c r="H670" s="1073">
        <v>4128380672</v>
      </c>
      <c r="I670" s="1073">
        <v>1794047216</v>
      </c>
      <c r="J670" s="1077">
        <v>1792533511</v>
      </c>
      <c r="K670" s="1075">
        <v>1792369807</v>
      </c>
      <c r="L670" s="1075">
        <v>1790856102</v>
      </c>
    </row>
    <row r="671" spans="1:12">
      <c r="A671" t="s">
        <v>1134</v>
      </c>
      <c r="B671" s="31" t="s">
        <v>2669</v>
      </c>
      <c r="C671" s="1075">
        <v>439527393</v>
      </c>
      <c r="D671" s="1075">
        <v>420295488</v>
      </c>
      <c r="E671" s="1075">
        <v>439527393</v>
      </c>
      <c r="F671" s="1075">
        <v>420295488</v>
      </c>
      <c r="G671" s="1073">
        <v>377507198</v>
      </c>
      <c r="H671" s="1073">
        <v>377507198</v>
      </c>
      <c r="I671" s="1073">
        <v>439527393</v>
      </c>
      <c r="J671" s="1077">
        <v>420295488</v>
      </c>
      <c r="K671" s="1075">
        <v>439527393</v>
      </c>
      <c r="L671" s="1075">
        <v>420295488</v>
      </c>
    </row>
    <row r="672" spans="1:12">
      <c r="A672" t="s">
        <v>1989</v>
      </c>
      <c r="B672" s="31" t="s">
        <v>2178</v>
      </c>
      <c r="C672" s="1075">
        <v>177918462</v>
      </c>
      <c r="D672" s="1075">
        <v>174776188</v>
      </c>
      <c r="E672" s="1075">
        <v>177918462</v>
      </c>
      <c r="F672" s="1075">
        <v>174776188</v>
      </c>
      <c r="G672" s="1073">
        <v>111944416</v>
      </c>
      <c r="H672" s="1073">
        <v>111944416</v>
      </c>
      <c r="I672" s="1073">
        <v>177918462</v>
      </c>
      <c r="J672" s="1077">
        <v>174776188</v>
      </c>
      <c r="K672" s="1075">
        <v>177918462</v>
      </c>
      <c r="L672" s="1075">
        <v>174776188</v>
      </c>
    </row>
    <row r="673" spans="1:12">
      <c r="A673" t="s">
        <v>920</v>
      </c>
      <c r="B673" s="31" t="s">
        <v>2244</v>
      </c>
      <c r="C673" s="1075">
        <v>197385630</v>
      </c>
      <c r="D673" s="1075">
        <v>186638386</v>
      </c>
      <c r="E673" s="1075">
        <v>197385630</v>
      </c>
      <c r="F673" s="1075">
        <v>186638386</v>
      </c>
      <c r="G673" s="1073">
        <v>171610114</v>
      </c>
      <c r="H673" s="1073">
        <v>171610114</v>
      </c>
      <c r="I673" s="1073">
        <v>197385630</v>
      </c>
      <c r="J673" s="1077">
        <v>186638386</v>
      </c>
      <c r="K673" s="1075">
        <v>197385630</v>
      </c>
      <c r="L673" s="1075">
        <v>186638386</v>
      </c>
    </row>
    <row r="674" spans="1:12">
      <c r="A674" t="s">
        <v>171</v>
      </c>
      <c r="B674" s="31" t="s">
        <v>2378</v>
      </c>
      <c r="C674" s="1075">
        <v>650981658</v>
      </c>
      <c r="D674" s="1075">
        <v>629136489</v>
      </c>
      <c r="E674" s="1075">
        <v>650981658</v>
      </c>
      <c r="F674" s="1075">
        <v>629136489</v>
      </c>
      <c r="G674" s="1073">
        <v>579345789</v>
      </c>
      <c r="H674" s="1073">
        <v>579345789</v>
      </c>
      <c r="I674" s="1073">
        <v>650981658</v>
      </c>
      <c r="J674" s="1077">
        <v>629136489</v>
      </c>
      <c r="K674" s="1075">
        <v>650981658</v>
      </c>
      <c r="L674" s="1075">
        <v>629136489</v>
      </c>
    </row>
    <row r="675" spans="1:12">
      <c r="A675" t="s">
        <v>2531</v>
      </c>
      <c r="B675" s="31" t="s">
        <v>823</v>
      </c>
      <c r="C675" s="1075">
        <v>1588613132</v>
      </c>
      <c r="D675" s="1075">
        <v>1537810428</v>
      </c>
      <c r="E675" s="1075">
        <v>1588613132</v>
      </c>
      <c r="F675" s="1075">
        <v>1537810428</v>
      </c>
      <c r="G675" s="1073">
        <v>1262456149</v>
      </c>
      <c r="H675" s="1073">
        <v>1262456149</v>
      </c>
      <c r="I675" s="1073">
        <v>1588613132</v>
      </c>
      <c r="J675" s="1077">
        <v>1537810428</v>
      </c>
      <c r="K675" s="1075">
        <v>1588613132</v>
      </c>
      <c r="L675" s="1075">
        <v>1537810428</v>
      </c>
    </row>
    <row r="676" spans="1:12">
      <c r="A676" t="s">
        <v>2583</v>
      </c>
      <c r="B676" s="31" t="s">
        <v>1756</v>
      </c>
      <c r="C676" s="1075">
        <v>165130434</v>
      </c>
      <c r="D676" s="1075">
        <v>160464014</v>
      </c>
      <c r="E676" s="1075">
        <v>165130434</v>
      </c>
      <c r="F676" s="1075">
        <v>160464014</v>
      </c>
      <c r="G676" s="1073">
        <v>182854672</v>
      </c>
      <c r="H676" s="1073">
        <v>182854672</v>
      </c>
      <c r="I676" s="1073">
        <v>165130434</v>
      </c>
      <c r="J676" s="1077">
        <v>160464014</v>
      </c>
      <c r="K676" s="1075">
        <v>165130434</v>
      </c>
      <c r="L676" s="1075">
        <v>160464014</v>
      </c>
    </row>
    <row r="677" spans="1:12">
      <c r="A677" t="s">
        <v>2534</v>
      </c>
      <c r="B677" s="31" t="s">
        <v>2236</v>
      </c>
      <c r="C677" s="1075">
        <v>19351729483</v>
      </c>
      <c r="D677" s="1075">
        <v>19080727368</v>
      </c>
      <c r="E677" s="1075">
        <v>19040988595</v>
      </c>
      <c r="F677" s="1075">
        <v>18769986480</v>
      </c>
      <c r="G677" s="1073">
        <v>20203357048</v>
      </c>
      <c r="H677" s="1073">
        <v>19933754367</v>
      </c>
      <c r="I677" s="1073">
        <v>19351729483</v>
      </c>
      <c r="J677" s="1077">
        <v>19080727368</v>
      </c>
      <c r="K677" s="1075">
        <v>19040988595</v>
      </c>
      <c r="L677" s="1075">
        <v>18769986480</v>
      </c>
    </row>
    <row r="678" spans="1:12">
      <c r="A678" t="s">
        <v>1300</v>
      </c>
      <c r="B678" s="31" t="s">
        <v>1757</v>
      </c>
      <c r="C678" s="1075">
        <v>1305811565</v>
      </c>
      <c r="D678" s="1075">
        <v>1291375828</v>
      </c>
      <c r="E678" s="1075">
        <v>1269461480</v>
      </c>
      <c r="F678" s="1075">
        <v>1255025743</v>
      </c>
      <c r="G678" s="1073">
        <v>1390196399</v>
      </c>
      <c r="H678" s="1073">
        <v>1361790500</v>
      </c>
      <c r="I678" s="1073">
        <v>1305811565</v>
      </c>
      <c r="J678" s="1077">
        <v>1291375828</v>
      </c>
      <c r="K678" s="1075">
        <v>1269461480</v>
      </c>
      <c r="L678" s="1075">
        <v>1255025743</v>
      </c>
    </row>
    <row r="679" spans="1:12">
      <c r="A679" t="s">
        <v>1887</v>
      </c>
      <c r="B679" s="31" t="s">
        <v>652</v>
      </c>
      <c r="C679" s="1075">
        <v>364804234</v>
      </c>
      <c r="D679" s="1075">
        <v>349691984</v>
      </c>
      <c r="E679" s="1075">
        <v>364804234</v>
      </c>
      <c r="F679" s="1075">
        <v>349691984</v>
      </c>
      <c r="G679" s="1073">
        <v>297983477</v>
      </c>
      <c r="H679" s="1073">
        <v>297983477</v>
      </c>
      <c r="I679" s="1073">
        <v>364804234</v>
      </c>
      <c r="J679" s="1077">
        <v>349691984</v>
      </c>
      <c r="K679" s="1075">
        <v>364804234</v>
      </c>
      <c r="L679" s="1075">
        <v>349691984</v>
      </c>
    </row>
    <row r="680" spans="1:12">
      <c r="A680" t="s">
        <v>1360</v>
      </c>
      <c r="B680" s="31" t="s">
        <v>1758</v>
      </c>
      <c r="C680" s="1075">
        <v>70045706</v>
      </c>
      <c r="D680" s="1075">
        <v>67799565</v>
      </c>
      <c r="E680" s="1075">
        <v>70045706</v>
      </c>
      <c r="F680" s="1075">
        <v>67799565</v>
      </c>
      <c r="G680" s="1073">
        <v>99661862</v>
      </c>
      <c r="H680" s="1073">
        <v>99661862</v>
      </c>
      <c r="I680" s="1073">
        <v>70045706</v>
      </c>
      <c r="J680" s="1077">
        <v>67799565</v>
      </c>
      <c r="K680" s="1075">
        <v>70045706</v>
      </c>
      <c r="L680" s="1075">
        <v>67799565</v>
      </c>
    </row>
    <row r="681" spans="1:12">
      <c r="A681" t="s">
        <v>2535</v>
      </c>
      <c r="B681" s="31" t="s">
        <v>1759</v>
      </c>
      <c r="C681" s="1075">
        <v>103375909</v>
      </c>
      <c r="D681" s="1075">
        <v>99886936</v>
      </c>
      <c r="E681" s="1075">
        <v>103375909</v>
      </c>
      <c r="F681" s="1075">
        <v>99886936</v>
      </c>
      <c r="G681" s="1073">
        <v>86590851</v>
      </c>
      <c r="H681" s="1073">
        <v>86590851</v>
      </c>
      <c r="I681" s="1073">
        <v>103375909</v>
      </c>
      <c r="J681" s="1077">
        <v>99886936</v>
      </c>
      <c r="K681" s="1075">
        <v>103375909</v>
      </c>
      <c r="L681" s="1075">
        <v>99886936</v>
      </c>
    </row>
    <row r="682" spans="1:12">
      <c r="A682" t="s">
        <v>2197</v>
      </c>
      <c r="B682" s="31" t="s">
        <v>1760</v>
      </c>
      <c r="C682" s="1075">
        <v>882885398</v>
      </c>
      <c r="D682" s="1075">
        <v>865550372</v>
      </c>
      <c r="E682" s="1075">
        <v>882885398</v>
      </c>
      <c r="F682" s="1075">
        <v>865550372</v>
      </c>
      <c r="G682" s="1073">
        <v>883082785</v>
      </c>
      <c r="H682" s="1073">
        <v>883082785</v>
      </c>
      <c r="I682" s="1073">
        <v>882885398</v>
      </c>
      <c r="J682" s="1077">
        <v>865550372</v>
      </c>
      <c r="K682" s="1075">
        <v>882885398</v>
      </c>
      <c r="L682" s="1075">
        <v>865550372</v>
      </c>
    </row>
    <row r="683" spans="1:12">
      <c r="A683" t="s">
        <v>930</v>
      </c>
      <c r="B683" s="31" t="s">
        <v>1761</v>
      </c>
      <c r="C683" s="1075">
        <v>154822343</v>
      </c>
      <c r="D683" s="1075">
        <v>148089791</v>
      </c>
      <c r="E683" s="1075">
        <v>154822343</v>
      </c>
      <c r="F683" s="1075">
        <v>148089791</v>
      </c>
      <c r="G683" s="1073">
        <v>125123168</v>
      </c>
      <c r="H683" s="1073">
        <v>125123168</v>
      </c>
      <c r="I683" s="1073">
        <v>154822343</v>
      </c>
      <c r="J683" s="1077">
        <v>148089791</v>
      </c>
      <c r="K683" s="1075">
        <v>154822343</v>
      </c>
      <c r="L683" s="1075">
        <v>148089791</v>
      </c>
    </row>
    <row r="684" spans="1:12">
      <c r="A684" t="s">
        <v>375</v>
      </c>
      <c r="B684" s="31" t="s">
        <v>2637</v>
      </c>
      <c r="C684" s="1075">
        <v>33952687</v>
      </c>
      <c r="D684" s="1075">
        <v>32726592</v>
      </c>
      <c r="E684" s="1075">
        <v>33952687</v>
      </c>
      <c r="F684" s="1075">
        <v>32726592</v>
      </c>
      <c r="G684" s="1073">
        <v>29869376</v>
      </c>
      <c r="H684" s="1073">
        <v>29869376</v>
      </c>
      <c r="I684" s="1073">
        <v>33952687</v>
      </c>
      <c r="J684" s="1077">
        <v>32726592</v>
      </c>
      <c r="K684" s="1075">
        <v>33952687</v>
      </c>
      <c r="L684" s="1075">
        <v>32726592</v>
      </c>
    </row>
    <row r="685" spans="1:12">
      <c r="A685" t="s">
        <v>1264</v>
      </c>
      <c r="B685" s="31" t="s">
        <v>860</v>
      </c>
      <c r="C685" s="1075">
        <v>233777539</v>
      </c>
      <c r="D685" s="1075">
        <v>225230524</v>
      </c>
      <c r="E685" s="1075">
        <v>233777539</v>
      </c>
      <c r="F685" s="1075">
        <v>225230524</v>
      </c>
      <c r="G685" s="1073">
        <v>410282576</v>
      </c>
      <c r="H685" s="1073">
        <v>410282576</v>
      </c>
      <c r="I685" s="1073">
        <v>408509769</v>
      </c>
      <c r="J685" s="1077">
        <v>399962754</v>
      </c>
      <c r="K685" s="1075">
        <v>408509769</v>
      </c>
      <c r="L685" s="1075">
        <v>399962754</v>
      </c>
    </row>
    <row r="686" spans="1:12">
      <c r="A686" t="s">
        <v>2671</v>
      </c>
      <c r="B686" s="31" t="s">
        <v>1762</v>
      </c>
      <c r="C686" s="1075">
        <v>77729654</v>
      </c>
      <c r="D686" s="1075">
        <v>75534764</v>
      </c>
      <c r="E686" s="1075">
        <v>77729654</v>
      </c>
      <c r="F686" s="1075">
        <v>75534764</v>
      </c>
      <c r="G686" s="1073">
        <v>77199702</v>
      </c>
      <c r="H686" s="1073">
        <v>77199702</v>
      </c>
      <c r="I686" s="1073">
        <v>93380754</v>
      </c>
      <c r="J686" s="1077">
        <v>91185864</v>
      </c>
      <c r="K686" s="1075">
        <v>93380754</v>
      </c>
      <c r="L686" s="1075">
        <v>91185864</v>
      </c>
    </row>
    <row r="687" spans="1:12">
      <c r="A687" t="s">
        <v>1990</v>
      </c>
      <c r="B687" s="31" t="s">
        <v>73</v>
      </c>
      <c r="C687" s="1075">
        <v>23028898</v>
      </c>
      <c r="D687" s="1075">
        <v>22046748</v>
      </c>
      <c r="E687" s="1075">
        <v>23028898</v>
      </c>
      <c r="F687" s="1075">
        <v>22046748</v>
      </c>
      <c r="G687" s="1073">
        <v>20396574</v>
      </c>
      <c r="H687" s="1073">
        <v>20396574</v>
      </c>
      <c r="I687" s="1073">
        <v>23028898</v>
      </c>
      <c r="J687" s="1077">
        <v>22046748</v>
      </c>
      <c r="K687" s="1075">
        <v>23028898</v>
      </c>
      <c r="L687" s="1075">
        <v>22046748</v>
      </c>
    </row>
    <row r="688" spans="1:12">
      <c r="A688" t="s">
        <v>2673</v>
      </c>
      <c r="B688" s="31" t="s">
        <v>1764</v>
      </c>
      <c r="C688" s="1075">
        <v>392170066</v>
      </c>
      <c r="D688" s="1075">
        <v>381943205</v>
      </c>
      <c r="E688" s="1075">
        <v>392170066</v>
      </c>
      <c r="F688" s="1075">
        <v>381943205</v>
      </c>
      <c r="G688" s="1073">
        <v>446796841</v>
      </c>
      <c r="H688" s="1073">
        <v>446796841</v>
      </c>
      <c r="I688" s="1073">
        <v>392170066</v>
      </c>
      <c r="J688" s="1077">
        <v>381943205</v>
      </c>
      <c r="K688" s="1075">
        <v>392170066</v>
      </c>
      <c r="L688" s="1075">
        <v>381943205</v>
      </c>
    </row>
    <row r="689" spans="1:12">
      <c r="A689" t="s">
        <v>2674</v>
      </c>
      <c r="B689" s="31" t="s">
        <v>1765</v>
      </c>
      <c r="C689" s="1075">
        <v>90755583</v>
      </c>
      <c r="D689" s="1075">
        <v>88901151</v>
      </c>
      <c r="E689" s="1075">
        <v>90755583</v>
      </c>
      <c r="F689" s="1075">
        <v>88901151</v>
      </c>
      <c r="G689" s="1073">
        <v>81534955</v>
      </c>
      <c r="H689" s="1073">
        <v>81534955</v>
      </c>
      <c r="I689" s="1073">
        <v>222169653</v>
      </c>
      <c r="J689" s="1077">
        <v>220315221</v>
      </c>
      <c r="K689" s="1075">
        <v>222169653</v>
      </c>
      <c r="L689" s="1075">
        <v>220315221</v>
      </c>
    </row>
    <row r="690" spans="1:12">
      <c r="A690" t="s">
        <v>1486</v>
      </c>
      <c r="B690" s="31" t="s">
        <v>1766</v>
      </c>
      <c r="C690" s="1075">
        <v>231973613</v>
      </c>
      <c r="D690" s="1075">
        <v>229967213</v>
      </c>
      <c r="E690" s="1075">
        <v>231973613</v>
      </c>
      <c r="F690" s="1075">
        <v>229967213</v>
      </c>
      <c r="G690" s="1073">
        <v>709408397</v>
      </c>
      <c r="H690" s="1073">
        <v>709408397</v>
      </c>
      <c r="I690" s="1073">
        <v>231973613</v>
      </c>
      <c r="J690" s="1077">
        <v>229967213</v>
      </c>
      <c r="K690" s="1075">
        <v>231973613</v>
      </c>
      <c r="L690" s="1075">
        <v>229967213</v>
      </c>
    </row>
    <row r="691" spans="1:12">
      <c r="A691" t="s">
        <v>1318</v>
      </c>
      <c r="B691" s="31" t="s">
        <v>1366</v>
      </c>
      <c r="C691" s="1075">
        <v>921867080</v>
      </c>
      <c r="D691" s="1075">
        <v>898261388</v>
      </c>
      <c r="E691" s="1075">
        <v>921867080</v>
      </c>
      <c r="F691" s="1075">
        <v>898261388</v>
      </c>
      <c r="G691" s="1073">
        <v>1109216293</v>
      </c>
      <c r="H691" s="1073">
        <v>1109216293</v>
      </c>
      <c r="I691" s="1073">
        <v>921867080</v>
      </c>
      <c r="J691" s="1077">
        <v>898261388</v>
      </c>
      <c r="K691" s="1075">
        <v>921867080</v>
      </c>
      <c r="L691" s="1075">
        <v>898261388</v>
      </c>
    </row>
    <row r="692" spans="1:12">
      <c r="A692" t="s">
        <v>1432</v>
      </c>
      <c r="B692" s="31" t="s">
        <v>1367</v>
      </c>
      <c r="C692" s="1075">
        <v>240216410</v>
      </c>
      <c r="D692" s="1075">
        <v>230402032</v>
      </c>
      <c r="E692" s="1075">
        <v>240216410</v>
      </c>
      <c r="F692" s="1075">
        <v>230402032</v>
      </c>
      <c r="G692" s="1073">
        <v>252328327</v>
      </c>
      <c r="H692" s="1073">
        <v>252328327</v>
      </c>
      <c r="I692" s="1073">
        <v>240216410</v>
      </c>
      <c r="J692" s="1077">
        <v>230402032</v>
      </c>
      <c r="K692" s="1075">
        <v>240216410</v>
      </c>
      <c r="L692" s="1075">
        <v>230402032</v>
      </c>
    </row>
    <row r="693" spans="1:12">
      <c r="A693" t="s">
        <v>804</v>
      </c>
      <c r="B693" s="31" t="s">
        <v>1368</v>
      </c>
      <c r="C693" s="1075">
        <v>95277018</v>
      </c>
      <c r="D693" s="1075">
        <v>93789208</v>
      </c>
      <c r="E693" s="1075">
        <v>95277018</v>
      </c>
      <c r="F693" s="1075">
        <v>93789208</v>
      </c>
      <c r="G693" s="1073">
        <v>100196230</v>
      </c>
      <c r="H693" s="1073">
        <v>100196230</v>
      </c>
      <c r="I693" s="1073">
        <v>95277018</v>
      </c>
      <c r="J693" s="1077">
        <v>93789208</v>
      </c>
      <c r="K693" s="1075">
        <v>95277018</v>
      </c>
      <c r="L693" s="1075">
        <v>93789208</v>
      </c>
    </row>
    <row r="694" spans="1:12">
      <c r="A694" t="s">
        <v>1495</v>
      </c>
      <c r="B694" s="31" t="s">
        <v>2245</v>
      </c>
      <c r="C694" s="1075">
        <v>35307218</v>
      </c>
      <c r="D694" s="1075">
        <v>33912348</v>
      </c>
      <c r="E694" s="1075">
        <v>35307218</v>
      </c>
      <c r="F694" s="1075">
        <v>33912348</v>
      </c>
      <c r="G694" s="1073">
        <v>39246318</v>
      </c>
      <c r="H694" s="1073">
        <v>39246318</v>
      </c>
      <c r="I694" s="1073">
        <v>35307218</v>
      </c>
      <c r="J694" s="1077">
        <v>33912348</v>
      </c>
      <c r="K694" s="1075">
        <v>35307218</v>
      </c>
      <c r="L694" s="1075">
        <v>33912348</v>
      </c>
    </row>
    <row r="695" spans="1:12">
      <c r="A695" t="s">
        <v>1496</v>
      </c>
      <c r="B695" s="31" t="s">
        <v>2246</v>
      </c>
      <c r="C695" s="1075">
        <v>88765095</v>
      </c>
      <c r="D695" s="1075">
        <v>87268944</v>
      </c>
      <c r="E695" s="1075">
        <v>88765095</v>
      </c>
      <c r="F695" s="1075">
        <v>87268944</v>
      </c>
      <c r="G695" s="1073">
        <v>173336449</v>
      </c>
      <c r="H695" s="1073">
        <v>173336449</v>
      </c>
      <c r="I695" s="1073">
        <v>88765095</v>
      </c>
      <c r="J695" s="1077">
        <v>87268944</v>
      </c>
      <c r="K695" s="1075">
        <v>88765095</v>
      </c>
      <c r="L695" s="1075">
        <v>87268944</v>
      </c>
    </row>
    <row r="696" spans="1:12">
      <c r="A696" t="s">
        <v>1272</v>
      </c>
      <c r="B696" s="31" t="s">
        <v>2247</v>
      </c>
      <c r="C696" s="1075">
        <v>244301571</v>
      </c>
      <c r="D696" s="1075">
        <v>241629870</v>
      </c>
      <c r="E696" s="1075">
        <v>244301571</v>
      </c>
      <c r="F696" s="1075">
        <v>241629870</v>
      </c>
      <c r="G696" s="1073">
        <v>371026984</v>
      </c>
      <c r="H696" s="1073">
        <v>371026984</v>
      </c>
      <c r="I696" s="1073">
        <v>244301571</v>
      </c>
      <c r="J696" s="1077">
        <v>241629870</v>
      </c>
      <c r="K696" s="1075">
        <v>244301571</v>
      </c>
      <c r="L696" s="1075">
        <v>241629870</v>
      </c>
    </row>
    <row r="697" spans="1:12">
      <c r="A697" t="s">
        <v>1531</v>
      </c>
      <c r="B697" s="31" t="s">
        <v>2248</v>
      </c>
      <c r="C697" s="1075">
        <v>192836685</v>
      </c>
      <c r="D697" s="1075">
        <v>189070481</v>
      </c>
      <c r="E697" s="1075">
        <v>192836685</v>
      </c>
      <c r="F697" s="1075">
        <v>189070481</v>
      </c>
      <c r="G697" s="1073">
        <v>275335522</v>
      </c>
      <c r="H697" s="1073">
        <v>275335522</v>
      </c>
      <c r="I697" s="1073">
        <v>192836685</v>
      </c>
      <c r="J697" s="1077">
        <v>189070481</v>
      </c>
      <c r="K697" s="1075">
        <v>192836685</v>
      </c>
      <c r="L697" s="1075">
        <v>189070481</v>
      </c>
    </row>
    <row r="698" spans="1:12">
      <c r="A698" t="s">
        <v>2311</v>
      </c>
      <c r="B698" s="31" t="s">
        <v>1553</v>
      </c>
      <c r="C698" s="1075">
        <v>32944574799</v>
      </c>
      <c r="D698" s="1075">
        <v>32336064358</v>
      </c>
      <c r="E698" s="1075">
        <v>32944574799</v>
      </c>
      <c r="F698" s="1075">
        <v>32336064358</v>
      </c>
      <c r="G698" s="1073">
        <v>27594289666</v>
      </c>
      <c r="H698" s="1073">
        <v>27594289666</v>
      </c>
      <c r="I698" s="1073">
        <v>32944574799</v>
      </c>
      <c r="J698" s="1077">
        <v>32336064358</v>
      </c>
      <c r="K698" s="1075">
        <v>32944574799</v>
      </c>
      <c r="L698" s="1075">
        <v>32336064358</v>
      </c>
    </row>
    <row r="699" spans="1:12">
      <c r="A699" t="s">
        <v>1532</v>
      </c>
      <c r="B699" s="31" t="s">
        <v>2249</v>
      </c>
      <c r="C699" s="1075">
        <v>5409214264</v>
      </c>
      <c r="D699" s="1075">
        <v>5287722689</v>
      </c>
      <c r="E699" s="1075">
        <v>5409214264</v>
      </c>
      <c r="F699" s="1075">
        <v>5287722689</v>
      </c>
      <c r="G699" s="1073">
        <v>4509127859</v>
      </c>
      <c r="H699" s="1073">
        <v>4509127859</v>
      </c>
      <c r="I699" s="1073">
        <v>5409214264</v>
      </c>
      <c r="J699" s="1077">
        <v>5287722689</v>
      </c>
      <c r="K699" s="1075">
        <v>5409214264</v>
      </c>
      <c r="L699" s="1075">
        <v>5287722689</v>
      </c>
    </row>
    <row r="700" spans="1:12">
      <c r="A700" t="s">
        <v>1182</v>
      </c>
      <c r="B700" s="31" t="s">
        <v>1127</v>
      </c>
      <c r="C700" s="1075">
        <v>3143066927</v>
      </c>
      <c r="D700" s="1075">
        <v>3055337525</v>
      </c>
      <c r="E700" s="1075">
        <v>3143066927</v>
      </c>
      <c r="F700" s="1075">
        <v>3055337525</v>
      </c>
      <c r="G700" s="1073">
        <v>2598459650</v>
      </c>
      <c r="H700" s="1073">
        <v>2598459650</v>
      </c>
      <c r="I700" s="1073">
        <v>3143066927</v>
      </c>
      <c r="J700" s="1077">
        <v>3055337525</v>
      </c>
      <c r="K700" s="1075">
        <v>3143066927</v>
      </c>
      <c r="L700" s="1075">
        <v>3055337525</v>
      </c>
    </row>
    <row r="701" spans="1:12">
      <c r="A701" t="s">
        <v>346</v>
      </c>
      <c r="B701" s="31" t="s">
        <v>288</v>
      </c>
      <c r="C701" s="1075">
        <v>5574885412</v>
      </c>
      <c r="D701" s="1075">
        <v>5441534889</v>
      </c>
      <c r="E701" s="1075">
        <v>5574885412</v>
      </c>
      <c r="F701" s="1075">
        <v>5441534889</v>
      </c>
      <c r="G701" s="1073">
        <v>4550617348</v>
      </c>
      <c r="H701" s="1073">
        <v>4550617348</v>
      </c>
      <c r="I701" s="1073">
        <v>5574885412</v>
      </c>
      <c r="J701" s="1077">
        <v>5441534889</v>
      </c>
      <c r="K701" s="1075">
        <v>5574885412</v>
      </c>
      <c r="L701" s="1075">
        <v>5441534889</v>
      </c>
    </row>
    <row r="702" spans="1:12">
      <c r="A702" t="s">
        <v>1508</v>
      </c>
      <c r="B702" s="31" t="s">
        <v>1935</v>
      </c>
      <c r="C702" s="1075">
        <v>659131375</v>
      </c>
      <c r="D702" s="1075">
        <v>633403918</v>
      </c>
      <c r="E702" s="1075">
        <v>659131375</v>
      </c>
      <c r="F702" s="1075">
        <v>633403918</v>
      </c>
      <c r="G702" s="1073">
        <v>467101943</v>
      </c>
      <c r="H702" s="1073">
        <v>467101943</v>
      </c>
      <c r="I702" s="1073">
        <v>659131375</v>
      </c>
      <c r="J702" s="1077">
        <v>633403918</v>
      </c>
      <c r="K702" s="1075">
        <v>659131375</v>
      </c>
      <c r="L702" s="1075">
        <v>633403918</v>
      </c>
    </row>
    <row r="703" spans="1:12">
      <c r="A703" t="s">
        <v>703</v>
      </c>
      <c r="B703" s="31" t="s">
        <v>1142</v>
      </c>
      <c r="C703" s="1075">
        <v>3630545146</v>
      </c>
      <c r="D703" s="1075">
        <v>3531395563</v>
      </c>
      <c r="E703" s="1075">
        <v>3630545146</v>
      </c>
      <c r="F703" s="1075">
        <v>3531395563</v>
      </c>
      <c r="G703" s="1073">
        <v>2770192107</v>
      </c>
      <c r="H703" s="1073">
        <v>2770192107</v>
      </c>
      <c r="I703" s="1073">
        <v>3630545146</v>
      </c>
      <c r="J703" s="1077">
        <v>3531395563</v>
      </c>
      <c r="K703" s="1075">
        <v>3630545146</v>
      </c>
      <c r="L703" s="1075">
        <v>3531395563</v>
      </c>
    </row>
    <row r="704" spans="1:12">
      <c r="A704" t="s">
        <v>1868</v>
      </c>
      <c r="B704" s="31" t="s">
        <v>2250</v>
      </c>
      <c r="C704" s="1075">
        <v>1794636773</v>
      </c>
      <c r="D704" s="1075">
        <v>1763789577</v>
      </c>
      <c r="E704" s="1075">
        <v>1784171504</v>
      </c>
      <c r="F704" s="1075">
        <v>1753324308</v>
      </c>
      <c r="G704" s="1073">
        <v>2169803452</v>
      </c>
      <c r="H704" s="1073">
        <v>2133936109</v>
      </c>
      <c r="I704" s="1073">
        <v>1794636773</v>
      </c>
      <c r="J704" s="1077">
        <v>1763789577</v>
      </c>
      <c r="K704" s="1075">
        <v>1784171504</v>
      </c>
      <c r="L704" s="1075">
        <v>1753324308</v>
      </c>
    </row>
    <row r="705" spans="1:12">
      <c r="A705" t="s">
        <v>1869</v>
      </c>
      <c r="B705" s="31" t="s">
        <v>2251</v>
      </c>
      <c r="C705" s="1075">
        <v>263592261</v>
      </c>
      <c r="D705" s="1075">
        <v>259656406</v>
      </c>
      <c r="E705" s="1075">
        <v>263592261</v>
      </c>
      <c r="F705" s="1075">
        <v>259656406</v>
      </c>
      <c r="G705" s="1073">
        <v>377767530</v>
      </c>
      <c r="H705" s="1073">
        <v>377767530</v>
      </c>
      <c r="I705" s="1073">
        <v>268652261</v>
      </c>
      <c r="J705" s="1077">
        <v>264716406</v>
      </c>
      <c r="K705" s="1075">
        <v>268652261</v>
      </c>
      <c r="L705" s="1075">
        <v>264716406</v>
      </c>
    </row>
    <row r="706" spans="1:12">
      <c r="A706" t="s">
        <v>1870</v>
      </c>
      <c r="B706" s="31" t="s">
        <v>2252</v>
      </c>
      <c r="C706" s="1075">
        <v>804439080</v>
      </c>
      <c r="D706" s="1075">
        <v>784618034</v>
      </c>
      <c r="E706" s="1075">
        <v>804439080</v>
      </c>
      <c r="F706" s="1075">
        <v>784618034</v>
      </c>
      <c r="G706" s="1073">
        <v>864041772</v>
      </c>
      <c r="H706" s="1073">
        <v>847429893</v>
      </c>
      <c r="I706" s="1073">
        <v>804439080</v>
      </c>
      <c r="J706" s="1077">
        <v>784618034</v>
      </c>
      <c r="K706" s="1075">
        <v>804439080</v>
      </c>
      <c r="L706" s="1075">
        <v>784618034</v>
      </c>
    </row>
    <row r="707" spans="1:12">
      <c r="A707" t="s">
        <v>1871</v>
      </c>
      <c r="B707" s="31" t="s">
        <v>2628</v>
      </c>
      <c r="C707" s="1075">
        <v>285076526</v>
      </c>
      <c r="D707" s="1075">
        <v>270584086</v>
      </c>
      <c r="E707" s="1075">
        <v>285076526</v>
      </c>
      <c r="F707" s="1075">
        <v>270584086</v>
      </c>
      <c r="G707" s="1073">
        <v>282775667</v>
      </c>
      <c r="H707" s="1073">
        <v>282775667</v>
      </c>
      <c r="I707" s="1073">
        <v>285076526</v>
      </c>
      <c r="J707" s="1077">
        <v>270584086</v>
      </c>
      <c r="K707" s="1075">
        <v>285076526</v>
      </c>
      <c r="L707" s="1075">
        <v>270584086</v>
      </c>
    </row>
    <row r="708" spans="1:12">
      <c r="A708" t="s">
        <v>2353</v>
      </c>
      <c r="B708" s="31" t="s">
        <v>2254</v>
      </c>
      <c r="C708" s="1075">
        <v>117721425</v>
      </c>
      <c r="D708" s="1075">
        <v>115064695</v>
      </c>
      <c r="E708" s="1075">
        <v>117721425</v>
      </c>
      <c r="F708" s="1075">
        <v>115064695</v>
      </c>
      <c r="G708" s="1073">
        <v>106633465</v>
      </c>
      <c r="H708" s="1073">
        <v>106633465</v>
      </c>
      <c r="I708" s="1073">
        <v>117721425</v>
      </c>
      <c r="J708" s="1077">
        <v>115064695</v>
      </c>
      <c r="K708" s="1075">
        <v>117721425</v>
      </c>
      <c r="L708" s="1075">
        <v>115064695</v>
      </c>
    </row>
    <row r="709" spans="1:12">
      <c r="A709" t="s">
        <v>704</v>
      </c>
      <c r="B709" s="31" t="s">
        <v>1161</v>
      </c>
      <c r="C709" s="1075">
        <v>113756594</v>
      </c>
      <c r="D709" s="1075">
        <v>110014124</v>
      </c>
      <c r="E709" s="1075">
        <v>110563189</v>
      </c>
      <c r="F709" s="1075">
        <v>106820719</v>
      </c>
      <c r="G709" s="1073">
        <v>203701184</v>
      </c>
      <c r="H709" s="1073">
        <v>200455775</v>
      </c>
      <c r="I709" s="1073">
        <v>113756594</v>
      </c>
      <c r="J709" s="1077">
        <v>110014124</v>
      </c>
      <c r="K709" s="1075">
        <v>110563189</v>
      </c>
      <c r="L709" s="1075">
        <v>106820719</v>
      </c>
    </row>
    <row r="710" spans="1:12">
      <c r="A710" t="s">
        <v>524</v>
      </c>
      <c r="B710" s="31" t="s">
        <v>2255</v>
      </c>
      <c r="C710" s="1075">
        <v>221387081</v>
      </c>
      <c r="D710" s="1075">
        <v>214247061</v>
      </c>
      <c r="E710" s="1075">
        <v>215152311</v>
      </c>
      <c r="F710" s="1075">
        <v>208012291</v>
      </c>
      <c r="G710" s="1073">
        <v>250747827</v>
      </c>
      <c r="H710" s="1073">
        <v>244318104</v>
      </c>
      <c r="I710" s="1073">
        <v>510744101</v>
      </c>
      <c r="J710" s="1077">
        <v>503604081</v>
      </c>
      <c r="K710" s="1075">
        <v>504509331</v>
      </c>
      <c r="L710" s="1075">
        <v>497369311</v>
      </c>
    </row>
    <row r="711" spans="1:12">
      <c r="A711" t="s">
        <v>705</v>
      </c>
      <c r="B711" s="31" t="s">
        <v>453</v>
      </c>
      <c r="C711" s="1075">
        <v>146933403</v>
      </c>
      <c r="D711" s="1075">
        <v>140840023</v>
      </c>
      <c r="E711" s="1075">
        <v>140741273</v>
      </c>
      <c r="F711" s="1075">
        <v>134647893</v>
      </c>
      <c r="G711" s="1073">
        <v>158558724</v>
      </c>
      <c r="H711" s="1073">
        <v>152278334</v>
      </c>
      <c r="I711" s="1073">
        <v>146933403</v>
      </c>
      <c r="J711" s="1077">
        <v>140840023</v>
      </c>
      <c r="K711" s="1075">
        <v>140741273</v>
      </c>
      <c r="L711" s="1075">
        <v>134647893</v>
      </c>
    </row>
    <row r="712" spans="1:12">
      <c r="A712" t="s">
        <v>525</v>
      </c>
      <c r="B712" s="31" t="s">
        <v>2256</v>
      </c>
      <c r="C712" s="1075">
        <v>2083997364</v>
      </c>
      <c r="D712" s="1075">
        <v>2014438804</v>
      </c>
      <c r="E712" s="1075">
        <v>1987682789</v>
      </c>
      <c r="F712" s="1075">
        <v>1918124229</v>
      </c>
      <c r="G712" s="1073">
        <v>2004745469</v>
      </c>
      <c r="H712" s="1073">
        <v>1903987078</v>
      </c>
      <c r="I712" s="1073">
        <v>2083997364</v>
      </c>
      <c r="J712" s="1077">
        <v>2014438804</v>
      </c>
      <c r="K712" s="1075">
        <v>1987682789</v>
      </c>
      <c r="L712" s="1075">
        <v>1918124229</v>
      </c>
    </row>
    <row r="713" spans="1:12">
      <c r="A713" t="s">
        <v>376</v>
      </c>
      <c r="B713" s="31" t="s">
        <v>1130</v>
      </c>
      <c r="C713" s="1075">
        <v>147568736</v>
      </c>
      <c r="D713" s="1075">
        <v>141299246</v>
      </c>
      <c r="E713" s="1075">
        <v>141116141</v>
      </c>
      <c r="F713" s="1075">
        <v>134846651</v>
      </c>
      <c r="G713" s="1073">
        <v>184225877</v>
      </c>
      <c r="H713" s="1073">
        <v>177650150</v>
      </c>
      <c r="I713" s="1073">
        <v>147568736</v>
      </c>
      <c r="J713" s="1077">
        <v>141299246</v>
      </c>
      <c r="K713" s="1075">
        <v>141116141</v>
      </c>
      <c r="L713" s="1075">
        <v>134846651</v>
      </c>
    </row>
    <row r="714" spans="1:12">
      <c r="A714" t="s">
        <v>526</v>
      </c>
      <c r="B714" s="31" t="s">
        <v>2257</v>
      </c>
      <c r="C714" s="1075">
        <v>128244412</v>
      </c>
      <c r="D714" s="1075">
        <v>120634232</v>
      </c>
      <c r="E714" s="1075">
        <v>118834352</v>
      </c>
      <c r="F714" s="1075">
        <v>111224172</v>
      </c>
      <c r="G714" s="1073">
        <v>117739004</v>
      </c>
      <c r="H714" s="1073">
        <v>108783335</v>
      </c>
      <c r="I714" s="1073">
        <v>128244412</v>
      </c>
      <c r="J714" s="1077">
        <v>120634232</v>
      </c>
      <c r="K714" s="1075">
        <v>118834352</v>
      </c>
      <c r="L714" s="1075">
        <v>111224172</v>
      </c>
    </row>
    <row r="715" spans="1:12">
      <c r="A715" t="s">
        <v>527</v>
      </c>
      <c r="B715" s="31" t="s">
        <v>2258</v>
      </c>
      <c r="C715" s="1075">
        <v>71583254</v>
      </c>
      <c r="D715" s="1075">
        <v>68435274</v>
      </c>
      <c r="E715" s="1075">
        <v>68222049</v>
      </c>
      <c r="F715" s="1075">
        <v>65074069</v>
      </c>
      <c r="G715" s="1073">
        <v>76629579</v>
      </c>
      <c r="H715" s="1073">
        <v>73195379</v>
      </c>
      <c r="I715" s="1073">
        <v>71583254</v>
      </c>
      <c r="J715" s="1077">
        <v>68435274</v>
      </c>
      <c r="K715" s="1075">
        <v>68222049</v>
      </c>
      <c r="L715" s="1075">
        <v>65074069</v>
      </c>
    </row>
    <row r="716" spans="1:12">
      <c r="A716" t="s">
        <v>774</v>
      </c>
      <c r="B716" s="31" t="s">
        <v>891</v>
      </c>
      <c r="C716" s="1075">
        <v>49854311</v>
      </c>
      <c r="D716" s="1075">
        <v>46248271</v>
      </c>
      <c r="E716" s="1075">
        <v>46654691</v>
      </c>
      <c r="F716" s="1075">
        <v>43048651</v>
      </c>
      <c r="G716" s="1073">
        <v>48533188</v>
      </c>
      <c r="H716" s="1073">
        <v>45286508</v>
      </c>
      <c r="I716" s="1073">
        <v>49854311</v>
      </c>
      <c r="J716" s="1077">
        <v>46248271</v>
      </c>
      <c r="K716" s="1075">
        <v>46654691</v>
      </c>
      <c r="L716" s="1075">
        <v>43048651</v>
      </c>
    </row>
    <row r="717" spans="1:12">
      <c r="A717" t="s">
        <v>528</v>
      </c>
      <c r="B717" s="31" t="s">
        <v>2259</v>
      </c>
      <c r="C717" s="1075">
        <v>157280645</v>
      </c>
      <c r="D717" s="1075">
        <v>151858015</v>
      </c>
      <c r="E717" s="1075">
        <v>149047830</v>
      </c>
      <c r="F717" s="1075">
        <v>143625200</v>
      </c>
      <c r="G717" s="1073">
        <v>169891647</v>
      </c>
      <c r="H717" s="1073">
        <v>161530451</v>
      </c>
      <c r="I717" s="1073">
        <v>157280645</v>
      </c>
      <c r="J717" s="1077">
        <v>151858015</v>
      </c>
      <c r="K717" s="1075">
        <v>149047830</v>
      </c>
      <c r="L717" s="1075">
        <v>143625200</v>
      </c>
    </row>
    <row r="718" spans="1:12">
      <c r="A718" t="s">
        <v>529</v>
      </c>
      <c r="B718" s="31" t="s">
        <v>307</v>
      </c>
      <c r="C718" s="1075">
        <v>175434937</v>
      </c>
      <c r="D718" s="1075">
        <v>166005001</v>
      </c>
      <c r="E718" s="1075">
        <v>175434937</v>
      </c>
      <c r="F718" s="1075">
        <v>166005001</v>
      </c>
      <c r="G718" s="1073">
        <v>151187906</v>
      </c>
      <c r="H718" s="1073">
        <v>151187906</v>
      </c>
      <c r="I718" s="1073">
        <v>175434937</v>
      </c>
      <c r="J718" s="1077">
        <v>166005001</v>
      </c>
      <c r="K718" s="1075">
        <v>175434937</v>
      </c>
      <c r="L718" s="1075">
        <v>166005001</v>
      </c>
    </row>
    <row r="719" spans="1:12">
      <c r="A719" t="s">
        <v>2400</v>
      </c>
      <c r="B719" s="31" t="s">
        <v>1101</v>
      </c>
      <c r="C719" s="1075">
        <v>1508726978</v>
      </c>
      <c r="D719" s="1075">
        <v>1457842730</v>
      </c>
      <c r="E719" s="1075">
        <v>1508726978</v>
      </c>
      <c r="F719" s="1075">
        <v>1457842730</v>
      </c>
      <c r="G719" s="1073">
        <v>1443841394</v>
      </c>
      <c r="H719" s="1073">
        <v>1443841394</v>
      </c>
      <c r="I719" s="1073">
        <v>1508726978</v>
      </c>
      <c r="J719" s="1077">
        <v>1457842730</v>
      </c>
      <c r="K719" s="1075">
        <v>1508726978</v>
      </c>
      <c r="L719" s="1075">
        <v>1457842730</v>
      </c>
    </row>
    <row r="720" spans="1:12">
      <c r="A720" t="s">
        <v>2407</v>
      </c>
      <c r="B720" s="31" t="s">
        <v>2663</v>
      </c>
      <c r="C720" s="1075">
        <v>154139879</v>
      </c>
      <c r="D720" s="1075">
        <v>147999565</v>
      </c>
      <c r="E720" s="1075">
        <v>154139879</v>
      </c>
      <c r="F720" s="1075">
        <v>147999565</v>
      </c>
      <c r="G720" s="1073">
        <v>152836970</v>
      </c>
      <c r="H720" s="1073">
        <v>152836970</v>
      </c>
      <c r="I720" s="1073">
        <v>154139879</v>
      </c>
      <c r="J720" s="1077">
        <v>147999565</v>
      </c>
      <c r="K720" s="1075">
        <v>154139879</v>
      </c>
      <c r="L720" s="1075">
        <v>147999565</v>
      </c>
    </row>
    <row r="721" spans="1:12">
      <c r="A721" t="s">
        <v>19</v>
      </c>
      <c r="B721" s="31" t="s">
        <v>308</v>
      </c>
      <c r="C721" s="1075">
        <v>97881782</v>
      </c>
      <c r="D721" s="1075">
        <v>94372740</v>
      </c>
      <c r="E721" s="1075">
        <v>97881782</v>
      </c>
      <c r="F721" s="1075">
        <v>94372740</v>
      </c>
      <c r="G721" s="1073">
        <v>99641203</v>
      </c>
      <c r="H721" s="1073">
        <v>99641203</v>
      </c>
      <c r="I721" s="1073">
        <v>97881782</v>
      </c>
      <c r="J721" s="1077">
        <v>94372740</v>
      </c>
      <c r="K721" s="1075">
        <v>97881782</v>
      </c>
      <c r="L721" s="1075">
        <v>94372740</v>
      </c>
    </row>
    <row r="722" spans="1:12">
      <c r="A722" t="s">
        <v>706</v>
      </c>
      <c r="B722" s="31" t="s">
        <v>2517</v>
      </c>
      <c r="C722" s="1075">
        <v>262131976</v>
      </c>
      <c r="D722" s="1075">
        <v>254617684</v>
      </c>
      <c r="E722" s="1075">
        <v>262131976</v>
      </c>
      <c r="F722" s="1075">
        <v>254617684</v>
      </c>
      <c r="G722" s="1073">
        <v>257470470</v>
      </c>
      <c r="H722" s="1073">
        <v>257470470</v>
      </c>
      <c r="I722" s="1073">
        <v>262131976</v>
      </c>
      <c r="J722" s="1077">
        <v>254617684</v>
      </c>
      <c r="K722" s="1075">
        <v>262131976</v>
      </c>
      <c r="L722" s="1075">
        <v>254617684</v>
      </c>
    </row>
    <row r="723" spans="1:12">
      <c r="A723" t="s">
        <v>20</v>
      </c>
      <c r="B723" s="31" t="s">
        <v>309</v>
      </c>
      <c r="C723" s="1075">
        <v>404959602</v>
      </c>
      <c r="D723" s="1075">
        <v>396534260</v>
      </c>
      <c r="E723" s="1075">
        <v>404959602</v>
      </c>
      <c r="F723" s="1075">
        <v>396534260</v>
      </c>
      <c r="G723" s="1073">
        <v>430591089</v>
      </c>
      <c r="H723" s="1073">
        <v>430591089</v>
      </c>
      <c r="I723" s="1073">
        <v>404959602</v>
      </c>
      <c r="J723" s="1077">
        <v>396534260</v>
      </c>
      <c r="K723" s="1075">
        <v>404959602</v>
      </c>
      <c r="L723" s="1075">
        <v>396534260</v>
      </c>
    </row>
    <row r="724" spans="1:12">
      <c r="A724" t="s">
        <v>2085</v>
      </c>
      <c r="B724" s="31" t="s">
        <v>80</v>
      </c>
      <c r="C724" s="1075">
        <v>118680267</v>
      </c>
      <c r="D724" s="1075">
        <v>113957914</v>
      </c>
      <c r="E724" s="1075">
        <v>118680267</v>
      </c>
      <c r="F724" s="1075">
        <v>113957914</v>
      </c>
      <c r="G724" s="1073">
        <v>110647778</v>
      </c>
      <c r="H724" s="1073">
        <v>110647778</v>
      </c>
      <c r="I724" s="1073">
        <v>118680267</v>
      </c>
      <c r="J724" s="1077">
        <v>113957914</v>
      </c>
      <c r="K724" s="1075">
        <v>118680267</v>
      </c>
      <c r="L724" s="1075">
        <v>113957914</v>
      </c>
    </row>
    <row r="725" spans="1:12">
      <c r="A725" t="s">
        <v>21</v>
      </c>
      <c r="B725" s="31" t="s">
        <v>310</v>
      </c>
      <c r="C725" s="1075">
        <v>202392357</v>
      </c>
      <c r="D725" s="1075">
        <v>196713932</v>
      </c>
      <c r="E725" s="1075">
        <v>196515045</v>
      </c>
      <c r="F725" s="1075">
        <v>190836620</v>
      </c>
      <c r="G725" s="1073">
        <v>245484247</v>
      </c>
      <c r="H725" s="1073">
        <v>239925905</v>
      </c>
      <c r="I725" s="1073">
        <v>202392357</v>
      </c>
      <c r="J725" s="1077">
        <v>196713932</v>
      </c>
      <c r="K725" s="1075">
        <v>196515045</v>
      </c>
      <c r="L725" s="1075">
        <v>190836620</v>
      </c>
    </row>
    <row r="726" spans="1:12">
      <c r="A726" t="s">
        <v>1021</v>
      </c>
      <c r="B726" s="31" t="s">
        <v>2286</v>
      </c>
      <c r="C726" s="1075">
        <v>252009750</v>
      </c>
      <c r="D726" s="1075">
        <v>238369171</v>
      </c>
      <c r="E726" s="1075">
        <v>240193006</v>
      </c>
      <c r="F726" s="1075">
        <v>226552427</v>
      </c>
      <c r="G726" s="1073">
        <v>280519176</v>
      </c>
      <c r="H726" s="1073">
        <v>269100685</v>
      </c>
      <c r="I726" s="1073">
        <v>252009750</v>
      </c>
      <c r="J726" s="1077">
        <v>238369171</v>
      </c>
      <c r="K726" s="1075">
        <v>240193006</v>
      </c>
      <c r="L726" s="1075">
        <v>226552427</v>
      </c>
    </row>
    <row r="727" spans="1:12">
      <c r="A727" t="s">
        <v>1991</v>
      </c>
      <c r="B727" s="31" t="s">
        <v>2670</v>
      </c>
      <c r="C727" s="1075">
        <v>574466024</v>
      </c>
      <c r="D727" s="1075">
        <v>566248826</v>
      </c>
      <c r="E727" s="1075">
        <v>567105629</v>
      </c>
      <c r="F727" s="1075">
        <v>558888431</v>
      </c>
      <c r="G727" s="1073">
        <v>579731885</v>
      </c>
      <c r="H727" s="1073">
        <v>572654492</v>
      </c>
      <c r="I727" s="1073">
        <v>574466024</v>
      </c>
      <c r="J727" s="1077">
        <v>566248826</v>
      </c>
      <c r="K727" s="1075">
        <v>567105629</v>
      </c>
      <c r="L727" s="1075">
        <v>558888431</v>
      </c>
    </row>
    <row r="728" spans="1:12">
      <c r="A728" t="s">
        <v>1543</v>
      </c>
      <c r="B728" s="31" t="s">
        <v>3914</v>
      </c>
      <c r="C728" s="1075">
        <v>160831486</v>
      </c>
      <c r="D728" s="1075">
        <v>156905236</v>
      </c>
      <c r="E728" s="1075">
        <v>160831486</v>
      </c>
      <c r="F728" s="1075">
        <v>156905236</v>
      </c>
      <c r="G728" s="1073">
        <v>145964695</v>
      </c>
      <c r="H728" s="1073">
        <v>145964695</v>
      </c>
      <c r="I728" s="1073">
        <v>390061066</v>
      </c>
      <c r="J728" s="1077">
        <v>386134816</v>
      </c>
      <c r="K728" s="1075">
        <v>390061066</v>
      </c>
      <c r="L728" s="1075">
        <v>386134816</v>
      </c>
    </row>
    <row r="729" spans="1:12">
      <c r="A729" t="s">
        <v>1878</v>
      </c>
      <c r="B729" s="31" t="s">
        <v>311</v>
      </c>
      <c r="C729" s="1075">
        <v>755155970</v>
      </c>
      <c r="D729" s="1075">
        <v>731417250</v>
      </c>
      <c r="E729" s="1075">
        <v>755155970</v>
      </c>
      <c r="F729" s="1075">
        <v>731417250</v>
      </c>
      <c r="G729" s="1073">
        <v>736405001</v>
      </c>
      <c r="H729" s="1073">
        <v>736405001</v>
      </c>
      <c r="I729" s="1073">
        <v>755155970</v>
      </c>
      <c r="J729" s="1077">
        <v>731417250</v>
      </c>
      <c r="K729" s="1075">
        <v>755155970</v>
      </c>
      <c r="L729" s="1075">
        <v>731417250</v>
      </c>
    </row>
    <row r="730" spans="1:12">
      <c r="A730" t="s">
        <v>2309</v>
      </c>
      <c r="B730" s="31" t="s">
        <v>2328</v>
      </c>
      <c r="C730" s="1075">
        <v>512629817</v>
      </c>
      <c r="D730" s="1075">
        <v>510445276</v>
      </c>
      <c r="E730" s="1075">
        <v>512629817</v>
      </c>
      <c r="F730" s="1075">
        <v>510445276</v>
      </c>
      <c r="G730" s="1073">
        <v>333858317</v>
      </c>
      <c r="H730" s="1073">
        <v>333858317</v>
      </c>
      <c r="I730" s="1073">
        <v>754644376</v>
      </c>
      <c r="J730" s="1077">
        <v>752459835</v>
      </c>
      <c r="K730" s="1075">
        <v>754644376</v>
      </c>
      <c r="L730" s="1075">
        <v>752459835</v>
      </c>
    </row>
    <row r="731" spans="1:12">
      <c r="A731" t="s">
        <v>424</v>
      </c>
      <c r="B731" s="31" t="s">
        <v>313</v>
      </c>
      <c r="C731" s="1075">
        <v>249430926</v>
      </c>
      <c r="D731" s="1075">
        <v>248547366</v>
      </c>
      <c r="E731" s="1075">
        <v>249430926</v>
      </c>
      <c r="F731" s="1075">
        <v>248547366</v>
      </c>
      <c r="G731" s="1073">
        <v>230037967</v>
      </c>
      <c r="H731" s="1073">
        <v>230037967</v>
      </c>
      <c r="I731" s="1073">
        <v>453483776</v>
      </c>
      <c r="J731" s="1077">
        <v>452600216</v>
      </c>
      <c r="K731" s="1075">
        <v>453483776</v>
      </c>
      <c r="L731" s="1075">
        <v>452600216</v>
      </c>
    </row>
    <row r="732" spans="1:12">
      <c r="A732" t="s">
        <v>2498</v>
      </c>
      <c r="B732" s="31" t="s">
        <v>314</v>
      </c>
      <c r="C732" s="1075">
        <v>143535717</v>
      </c>
      <c r="D732" s="1075">
        <v>140998150</v>
      </c>
      <c r="E732" s="1075">
        <v>143535717</v>
      </c>
      <c r="F732" s="1075">
        <v>140998150</v>
      </c>
      <c r="G732" s="1073">
        <v>137832772</v>
      </c>
      <c r="H732" s="1073">
        <v>137832772</v>
      </c>
      <c r="I732" s="1073">
        <v>143535717</v>
      </c>
      <c r="J732" s="1077">
        <v>140998150</v>
      </c>
      <c r="K732" s="1075">
        <v>143535717</v>
      </c>
      <c r="L732" s="1075">
        <v>140998150</v>
      </c>
    </row>
    <row r="733" spans="1:12">
      <c r="A733" t="s">
        <v>1172</v>
      </c>
      <c r="B733" s="31" t="s">
        <v>2329</v>
      </c>
      <c r="C733" s="1075">
        <v>519959973</v>
      </c>
      <c r="D733" s="1075">
        <v>507788527</v>
      </c>
      <c r="E733" s="1075">
        <v>507727913</v>
      </c>
      <c r="F733" s="1075">
        <v>495556467</v>
      </c>
      <c r="G733" s="1073">
        <v>511052884</v>
      </c>
      <c r="H733" s="1073">
        <v>500000959</v>
      </c>
      <c r="I733" s="1073">
        <v>519959973</v>
      </c>
      <c r="J733" s="1077">
        <v>507788527</v>
      </c>
      <c r="K733" s="1075">
        <v>507727913</v>
      </c>
      <c r="L733" s="1075">
        <v>495556467</v>
      </c>
    </row>
    <row r="734" spans="1:12">
      <c r="A734" t="s">
        <v>1173</v>
      </c>
      <c r="B734" s="31" t="s">
        <v>316</v>
      </c>
      <c r="C734" s="1075">
        <v>1506786029</v>
      </c>
      <c r="D734" s="1075">
        <v>1460597514</v>
      </c>
      <c r="E734" s="1075">
        <v>1506786029</v>
      </c>
      <c r="F734" s="1075">
        <v>1460597514</v>
      </c>
      <c r="G734" s="1073">
        <v>1413263471</v>
      </c>
      <c r="H734" s="1073">
        <v>1413263471</v>
      </c>
      <c r="I734" s="1073">
        <v>1714101289</v>
      </c>
      <c r="J734" s="1077">
        <v>1667912774</v>
      </c>
      <c r="K734" s="1075">
        <v>1714101289</v>
      </c>
      <c r="L734" s="1075">
        <v>1667912774</v>
      </c>
    </row>
    <row r="735" spans="1:12">
      <c r="A735" t="s">
        <v>2399</v>
      </c>
      <c r="B735" s="31" t="s">
        <v>1100</v>
      </c>
      <c r="C735" s="1075">
        <v>15431349763</v>
      </c>
      <c r="D735" s="1075">
        <v>14987118111</v>
      </c>
      <c r="E735" s="1075">
        <v>15431349763</v>
      </c>
      <c r="F735" s="1075">
        <v>14987118111</v>
      </c>
      <c r="G735" s="1073">
        <v>13731352405</v>
      </c>
      <c r="H735" s="1073">
        <v>13731352405</v>
      </c>
      <c r="I735" s="1073">
        <v>15431349763</v>
      </c>
      <c r="J735" s="1077">
        <v>14987118111</v>
      </c>
      <c r="K735" s="1075">
        <v>15431349763</v>
      </c>
      <c r="L735" s="1075">
        <v>14987118111</v>
      </c>
    </row>
    <row r="736" spans="1:12">
      <c r="A736" t="s">
        <v>570</v>
      </c>
      <c r="B736" s="31" t="s">
        <v>317</v>
      </c>
      <c r="C736" s="1075">
        <v>86526177</v>
      </c>
      <c r="D736" s="1075">
        <v>84431036</v>
      </c>
      <c r="E736" s="1075">
        <v>86526177</v>
      </c>
      <c r="F736" s="1075">
        <v>84431036</v>
      </c>
      <c r="G736" s="1073">
        <v>116161854</v>
      </c>
      <c r="H736" s="1073">
        <v>116161854</v>
      </c>
      <c r="I736" s="1073">
        <v>86526177</v>
      </c>
      <c r="J736" s="1077">
        <v>84431036</v>
      </c>
      <c r="K736" s="1075">
        <v>86526177</v>
      </c>
      <c r="L736" s="1075">
        <v>84431036</v>
      </c>
    </row>
    <row r="737" spans="1:12">
      <c r="A737" t="s">
        <v>579</v>
      </c>
      <c r="B737" s="31" t="s">
        <v>318</v>
      </c>
      <c r="C737" s="1075">
        <v>341573247</v>
      </c>
      <c r="D737" s="1075">
        <v>335783242</v>
      </c>
      <c r="E737" s="1075">
        <v>341573247</v>
      </c>
      <c r="F737" s="1075">
        <v>335783242</v>
      </c>
      <c r="G737" s="1073">
        <v>286929658</v>
      </c>
      <c r="H737" s="1073">
        <v>286929658</v>
      </c>
      <c r="I737" s="1073">
        <v>341573247</v>
      </c>
      <c r="J737" s="1077">
        <v>335783242</v>
      </c>
      <c r="K737" s="1075">
        <v>341573247</v>
      </c>
      <c r="L737" s="1075">
        <v>335783242</v>
      </c>
    </row>
    <row r="738" spans="1:12">
      <c r="A738" t="s">
        <v>580</v>
      </c>
      <c r="B738" s="31" t="s">
        <v>319</v>
      </c>
      <c r="C738" s="1075">
        <v>2413783834</v>
      </c>
      <c r="D738" s="1075">
        <v>2403278297</v>
      </c>
      <c r="E738" s="1075">
        <v>2413783834</v>
      </c>
      <c r="F738" s="1075">
        <v>2403278297</v>
      </c>
      <c r="G738" s="1073">
        <v>2027243426</v>
      </c>
      <c r="H738" s="1073">
        <v>2027243426</v>
      </c>
      <c r="I738" s="1073">
        <v>2413783834</v>
      </c>
      <c r="J738" s="1077">
        <v>2403278297</v>
      </c>
      <c r="K738" s="1075">
        <v>2413783834</v>
      </c>
      <c r="L738" s="1075">
        <v>2403278297</v>
      </c>
    </row>
    <row r="739" spans="1:12">
      <c r="A739" t="s">
        <v>165</v>
      </c>
      <c r="B739" s="31" t="s">
        <v>2699</v>
      </c>
      <c r="C739" s="1075">
        <v>543233141</v>
      </c>
      <c r="D739" s="1075">
        <v>517701081</v>
      </c>
      <c r="E739" s="1075">
        <v>543233141</v>
      </c>
      <c r="F739" s="1075">
        <v>517701081</v>
      </c>
      <c r="G739" s="1073">
        <v>511626316</v>
      </c>
      <c r="H739" s="1073">
        <v>511626316</v>
      </c>
      <c r="I739" s="1073">
        <v>543233141</v>
      </c>
      <c r="J739" s="1077">
        <v>517701081</v>
      </c>
      <c r="K739" s="1075">
        <v>543233141</v>
      </c>
      <c r="L739" s="1075">
        <v>517701081</v>
      </c>
    </row>
    <row r="740" spans="1:12">
      <c r="A740" t="s">
        <v>767</v>
      </c>
      <c r="B740" s="31" t="s">
        <v>320</v>
      </c>
      <c r="C740" s="1075">
        <v>2611555410</v>
      </c>
      <c r="D740" s="1075">
        <v>2587554023</v>
      </c>
      <c r="E740" s="1075">
        <v>2577957433</v>
      </c>
      <c r="F740" s="1075">
        <v>2553956046</v>
      </c>
      <c r="G740" s="1073">
        <v>2312687753</v>
      </c>
      <c r="H740" s="1073">
        <v>2282201160</v>
      </c>
      <c r="I740" s="1073">
        <v>2721189573</v>
      </c>
      <c r="J740" s="1077">
        <v>2697188186</v>
      </c>
      <c r="K740" s="1075">
        <v>2687591596</v>
      </c>
      <c r="L740" s="1075">
        <v>2663590209</v>
      </c>
    </row>
    <row r="741" spans="1:12">
      <c r="A741" t="s">
        <v>964</v>
      </c>
      <c r="B741" s="31" t="s">
        <v>321</v>
      </c>
      <c r="C741" s="1075">
        <v>339109029</v>
      </c>
      <c r="D741" s="1075">
        <v>330716439</v>
      </c>
      <c r="E741" s="1075">
        <v>339109029</v>
      </c>
      <c r="F741" s="1075">
        <v>330716439</v>
      </c>
      <c r="G741" s="1073">
        <v>271108664</v>
      </c>
      <c r="H741" s="1073">
        <v>271108664</v>
      </c>
      <c r="I741" s="1073">
        <v>339109029</v>
      </c>
      <c r="J741" s="1077">
        <v>330716439</v>
      </c>
      <c r="K741" s="1075">
        <v>339109029</v>
      </c>
      <c r="L741" s="1075">
        <v>330716439</v>
      </c>
    </row>
    <row r="742" spans="1:12">
      <c r="A742" t="s">
        <v>2138</v>
      </c>
      <c r="B742" s="31" t="s">
        <v>322</v>
      </c>
      <c r="C742" s="1075">
        <v>2895988046</v>
      </c>
      <c r="D742" s="1075">
        <v>2830957079</v>
      </c>
      <c r="E742" s="1075">
        <v>2895988046</v>
      </c>
      <c r="F742" s="1075">
        <v>2830957079</v>
      </c>
      <c r="G742" s="1073">
        <v>2616536651</v>
      </c>
      <c r="H742" s="1073">
        <v>2616536651</v>
      </c>
      <c r="I742" s="1073">
        <v>2895988046</v>
      </c>
      <c r="J742" s="1077">
        <v>2830957079</v>
      </c>
      <c r="K742" s="1075">
        <v>2895988046</v>
      </c>
      <c r="L742" s="1075">
        <v>2830957079</v>
      </c>
    </row>
    <row r="743" spans="1:12">
      <c r="A743" t="s">
        <v>2139</v>
      </c>
      <c r="B743" s="31" t="s">
        <v>323</v>
      </c>
      <c r="C743" s="1075">
        <v>781097761</v>
      </c>
      <c r="D743" s="1075">
        <v>766963661</v>
      </c>
      <c r="E743" s="1075">
        <v>781097761</v>
      </c>
      <c r="F743" s="1075">
        <v>766963661</v>
      </c>
      <c r="G743" s="1073">
        <v>726657589</v>
      </c>
      <c r="H743" s="1073">
        <v>726657589</v>
      </c>
      <c r="I743" s="1073">
        <v>781097761</v>
      </c>
      <c r="J743" s="1077">
        <v>766963661</v>
      </c>
      <c r="K743" s="1075">
        <v>781097761</v>
      </c>
      <c r="L743" s="1075">
        <v>766963661</v>
      </c>
    </row>
    <row r="744" spans="1:12">
      <c r="A744" t="s">
        <v>209</v>
      </c>
      <c r="B744" s="31" t="s">
        <v>996</v>
      </c>
      <c r="C744" s="1075">
        <v>1144724646</v>
      </c>
      <c r="D744" s="1075">
        <v>1125961445</v>
      </c>
      <c r="E744" s="1075">
        <v>1144724646</v>
      </c>
      <c r="F744" s="1075">
        <v>1125961445</v>
      </c>
      <c r="G744" s="1073">
        <v>1772463969</v>
      </c>
      <c r="H744" s="1073">
        <v>1772463969</v>
      </c>
      <c r="I744" s="1073">
        <v>1344942506</v>
      </c>
      <c r="J744" s="1077">
        <v>1326179305</v>
      </c>
      <c r="K744" s="1075">
        <v>1344942506</v>
      </c>
      <c r="L744" s="1075">
        <v>1326179305</v>
      </c>
    </row>
    <row r="745" spans="1:12">
      <c r="A745" t="s">
        <v>971</v>
      </c>
      <c r="B745" s="31" t="s">
        <v>324</v>
      </c>
      <c r="C745" s="1075">
        <v>146527898</v>
      </c>
      <c r="D745" s="1075">
        <v>143640598</v>
      </c>
      <c r="E745" s="1075">
        <v>146527898</v>
      </c>
      <c r="F745" s="1075">
        <v>143640598</v>
      </c>
      <c r="G745" s="1073">
        <v>230917761</v>
      </c>
      <c r="H745" s="1073">
        <v>230917761</v>
      </c>
      <c r="I745" s="1073">
        <v>464763588</v>
      </c>
      <c r="J745" s="1077">
        <v>461876288</v>
      </c>
      <c r="K745" s="1075">
        <v>464763588</v>
      </c>
      <c r="L745" s="1075">
        <v>461876288</v>
      </c>
    </row>
    <row r="746" spans="1:12">
      <c r="A746" t="s">
        <v>972</v>
      </c>
      <c r="B746" s="31" t="s">
        <v>325</v>
      </c>
      <c r="C746" s="1075">
        <v>63162766</v>
      </c>
      <c r="D746" s="1075">
        <v>62595851</v>
      </c>
      <c r="E746" s="1075">
        <v>63162766</v>
      </c>
      <c r="F746" s="1075">
        <v>62595851</v>
      </c>
      <c r="G746" s="1073">
        <v>73002609</v>
      </c>
      <c r="H746" s="1073">
        <v>73002609</v>
      </c>
      <c r="I746" s="1073">
        <v>328386226</v>
      </c>
      <c r="J746" s="1077">
        <v>327819311</v>
      </c>
      <c r="K746" s="1075">
        <v>328386226</v>
      </c>
      <c r="L746" s="1075">
        <v>327819311</v>
      </c>
    </row>
    <row r="747" spans="1:12">
      <c r="A747" t="s">
        <v>973</v>
      </c>
      <c r="B747" s="31" t="s">
        <v>326</v>
      </c>
      <c r="C747" s="1075">
        <v>72553073</v>
      </c>
      <c r="D747" s="1075">
        <v>71819789</v>
      </c>
      <c r="E747" s="1075">
        <v>72553073</v>
      </c>
      <c r="F747" s="1075">
        <v>71819789</v>
      </c>
      <c r="G747" s="1073">
        <v>83064598</v>
      </c>
      <c r="H747" s="1073">
        <v>83064598</v>
      </c>
      <c r="I747" s="1073">
        <v>208222943</v>
      </c>
      <c r="J747" s="1077">
        <v>207489659</v>
      </c>
      <c r="K747" s="1075">
        <v>208222943</v>
      </c>
      <c r="L747" s="1075">
        <v>207489659</v>
      </c>
    </row>
    <row r="748" spans="1:12">
      <c r="A748" t="s">
        <v>1951</v>
      </c>
      <c r="B748" s="31" t="s">
        <v>1855</v>
      </c>
      <c r="C748" s="1075">
        <v>1031756368</v>
      </c>
      <c r="D748" s="1075">
        <v>997220473</v>
      </c>
      <c r="E748" s="1075">
        <v>1031756368</v>
      </c>
      <c r="F748" s="1075">
        <v>997220473</v>
      </c>
      <c r="G748" s="1073">
        <v>946124335</v>
      </c>
      <c r="H748" s="1073">
        <v>921404761</v>
      </c>
      <c r="I748" s="1073">
        <v>1031756368</v>
      </c>
      <c r="J748" s="1077">
        <v>997220473</v>
      </c>
      <c r="K748" s="1075">
        <v>1031756368</v>
      </c>
      <c r="L748" s="1075">
        <v>997220473</v>
      </c>
    </row>
    <row r="749" spans="1:12">
      <c r="A749" t="s">
        <v>974</v>
      </c>
      <c r="B749" s="31" t="s">
        <v>327</v>
      </c>
      <c r="C749" s="1075">
        <v>543424604</v>
      </c>
      <c r="D749" s="1075">
        <v>522570907</v>
      </c>
      <c r="E749" s="1075">
        <v>513914673</v>
      </c>
      <c r="F749" s="1075">
        <v>493060976</v>
      </c>
      <c r="G749" s="1073">
        <v>475038263</v>
      </c>
      <c r="H749" s="1073">
        <v>448377266</v>
      </c>
      <c r="I749" s="1073">
        <v>543424604</v>
      </c>
      <c r="J749" s="1077">
        <v>522570907</v>
      </c>
      <c r="K749" s="1075">
        <v>513914673</v>
      </c>
      <c r="L749" s="1075">
        <v>493060976</v>
      </c>
    </row>
    <row r="750" spans="1:12">
      <c r="A750" t="s">
        <v>975</v>
      </c>
      <c r="B750" s="31" t="s">
        <v>2330</v>
      </c>
      <c r="C750" s="1075">
        <v>1829763568</v>
      </c>
      <c r="D750" s="1075">
        <v>1794942178</v>
      </c>
      <c r="E750" s="1075">
        <v>1799705913</v>
      </c>
      <c r="F750" s="1075">
        <v>1764884523</v>
      </c>
      <c r="G750" s="1073">
        <v>1826951242</v>
      </c>
      <c r="H750" s="1073">
        <v>1796789725</v>
      </c>
      <c r="I750" s="1073">
        <v>1829763568</v>
      </c>
      <c r="J750" s="1077">
        <v>1794942178</v>
      </c>
      <c r="K750" s="1075">
        <v>1799705913</v>
      </c>
      <c r="L750" s="1075">
        <v>1764884523</v>
      </c>
    </row>
    <row r="751" spans="1:12">
      <c r="A751" t="s">
        <v>1466</v>
      </c>
      <c r="B751" s="31" t="s">
        <v>135</v>
      </c>
      <c r="C751" s="1075">
        <v>1147528436</v>
      </c>
      <c r="D751" s="1075">
        <v>1093022887</v>
      </c>
      <c r="E751" s="1075">
        <v>1108168650</v>
      </c>
      <c r="F751" s="1075">
        <v>1053663101</v>
      </c>
      <c r="G751" s="1073">
        <v>1070217986</v>
      </c>
      <c r="H751" s="1073">
        <v>1032651870</v>
      </c>
      <c r="I751" s="1073">
        <v>1147528436</v>
      </c>
      <c r="J751" s="1077">
        <v>1093022887</v>
      </c>
      <c r="K751" s="1075">
        <v>1108168650</v>
      </c>
      <c r="L751" s="1075">
        <v>1053663101</v>
      </c>
    </row>
    <row r="752" spans="1:12">
      <c r="A752" t="s">
        <v>1092</v>
      </c>
      <c r="B752" s="31" t="s">
        <v>3915</v>
      </c>
      <c r="C752" s="1075">
        <v>1007407644</v>
      </c>
      <c r="D752" s="1075">
        <v>960368299</v>
      </c>
      <c r="E752" s="1075">
        <v>962273974</v>
      </c>
      <c r="F752" s="1075">
        <v>915234629</v>
      </c>
      <c r="G752" s="1073">
        <v>966932095</v>
      </c>
      <c r="H752" s="1073">
        <v>922593303</v>
      </c>
      <c r="I752" s="1073">
        <v>1007407644</v>
      </c>
      <c r="J752" s="1077">
        <v>960368299</v>
      </c>
      <c r="K752" s="1075">
        <v>962273974</v>
      </c>
      <c r="L752" s="1075">
        <v>915234629</v>
      </c>
    </row>
    <row r="753" spans="1:12">
      <c r="A753" t="s">
        <v>1093</v>
      </c>
      <c r="B753" s="31" t="s">
        <v>330</v>
      </c>
      <c r="C753" s="1075">
        <v>159578995</v>
      </c>
      <c r="D753" s="1075">
        <v>156310135</v>
      </c>
      <c r="E753" s="1075">
        <v>159578995</v>
      </c>
      <c r="F753" s="1075">
        <v>156310135</v>
      </c>
      <c r="G753" s="1073">
        <v>161149944</v>
      </c>
      <c r="H753" s="1073">
        <v>161149944</v>
      </c>
      <c r="I753" s="1073">
        <v>159578995</v>
      </c>
      <c r="J753" s="1077">
        <v>156310135</v>
      </c>
      <c r="K753" s="1075">
        <v>159578995</v>
      </c>
      <c r="L753" s="1075">
        <v>156310135</v>
      </c>
    </row>
    <row r="754" spans="1:12">
      <c r="A754" t="s">
        <v>1094</v>
      </c>
      <c r="B754" s="31" t="s">
        <v>331</v>
      </c>
      <c r="C754" s="1075">
        <v>954404135</v>
      </c>
      <c r="D754" s="1075">
        <v>948992842</v>
      </c>
      <c r="E754" s="1075">
        <v>954404135</v>
      </c>
      <c r="F754" s="1075">
        <v>948992842</v>
      </c>
      <c r="G754" s="1073">
        <v>996383547</v>
      </c>
      <c r="H754" s="1073">
        <v>996383547</v>
      </c>
      <c r="I754" s="1073">
        <v>954404135</v>
      </c>
      <c r="J754" s="1077">
        <v>948992842</v>
      </c>
      <c r="K754" s="1075">
        <v>954404135</v>
      </c>
      <c r="L754" s="1075">
        <v>948992842</v>
      </c>
    </row>
    <row r="755" spans="1:12">
      <c r="A755" t="s">
        <v>2537</v>
      </c>
      <c r="B755" s="31" t="s">
        <v>2240</v>
      </c>
      <c r="C755" s="1075">
        <v>763224434</v>
      </c>
      <c r="D755" s="1075">
        <v>729129076</v>
      </c>
      <c r="E755" s="1075">
        <v>763224434</v>
      </c>
      <c r="F755" s="1075">
        <v>729129076</v>
      </c>
      <c r="G755" s="1073">
        <v>779256547</v>
      </c>
      <c r="H755" s="1073">
        <v>779256547</v>
      </c>
      <c r="I755" s="1073">
        <v>763224434</v>
      </c>
      <c r="J755" s="1077">
        <v>729129076</v>
      </c>
      <c r="K755" s="1075">
        <v>763224434</v>
      </c>
      <c r="L755" s="1075">
        <v>729129076</v>
      </c>
    </row>
    <row r="756" spans="1:12">
      <c r="A756" t="s">
        <v>1353</v>
      </c>
      <c r="B756" s="31" t="s">
        <v>332</v>
      </c>
      <c r="C756" s="1075">
        <v>276657824</v>
      </c>
      <c r="D756" s="1075">
        <v>268534512</v>
      </c>
      <c r="E756" s="1075">
        <v>276657824</v>
      </c>
      <c r="F756" s="1075">
        <v>268534512</v>
      </c>
      <c r="G756" s="1073">
        <v>282135125</v>
      </c>
      <c r="H756" s="1073">
        <v>282135125</v>
      </c>
      <c r="I756" s="1073">
        <v>276657824</v>
      </c>
      <c r="J756" s="1077">
        <v>268534512</v>
      </c>
      <c r="K756" s="1075">
        <v>276657824</v>
      </c>
      <c r="L756" s="1075">
        <v>268534512</v>
      </c>
    </row>
    <row r="757" spans="1:12">
      <c r="A757" t="s">
        <v>1354</v>
      </c>
      <c r="B757" s="31" t="s">
        <v>333</v>
      </c>
      <c r="C757" s="1075">
        <v>55339244</v>
      </c>
      <c r="D757" s="1075">
        <v>53899855</v>
      </c>
      <c r="E757" s="1075">
        <v>55339244</v>
      </c>
      <c r="F757" s="1075">
        <v>53899855</v>
      </c>
      <c r="G757" s="1073">
        <v>67163881</v>
      </c>
      <c r="H757" s="1073">
        <v>67163881</v>
      </c>
      <c r="I757" s="1073">
        <v>55339244</v>
      </c>
      <c r="J757" s="1077">
        <v>53899855</v>
      </c>
      <c r="K757" s="1075">
        <v>55339244</v>
      </c>
      <c r="L757" s="1075">
        <v>53899855</v>
      </c>
    </row>
    <row r="758" spans="1:12">
      <c r="A758" t="s">
        <v>1355</v>
      </c>
      <c r="B758" s="31" t="s">
        <v>431</v>
      </c>
      <c r="C758" s="1075">
        <v>517247136</v>
      </c>
      <c r="D758" s="1075">
        <v>514744069</v>
      </c>
      <c r="E758" s="1075">
        <v>508769894</v>
      </c>
      <c r="F758" s="1075">
        <v>506266827</v>
      </c>
      <c r="G758" s="1073">
        <v>536754083</v>
      </c>
      <c r="H758" s="1073">
        <v>528389055</v>
      </c>
      <c r="I758" s="1073">
        <v>517247136</v>
      </c>
      <c r="J758" s="1077">
        <v>514744069</v>
      </c>
      <c r="K758" s="1075">
        <v>508769894</v>
      </c>
      <c r="L758" s="1075">
        <v>506266827</v>
      </c>
    </row>
    <row r="759" spans="1:12">
      <c r="A759" t="s">
        <v>1356</v>
      </c>
      <c r="B759" s="31" t="s">
        <v>432</v>
      </c>
      <c r="C759" s="1075">
        <v>386465961</v>
      </c>
      <c r="D759" s="1075">
        <v>380897631</v>
      </c>
      <c r="E759" s="1075">
        <v>379863971</v>
      </c>
      <c r="F759" s="1075">
        <v>374295641</v>
      </c>
      <c r="G759" s="1073">
        <v>491489059</v>
      </c>
      <c r="H759" s="1073">
        <v>484809887</v>
      </c>
      <c r="I759" s="1073">
        <v>386465961</v>
      </c>
      <c r="J759" s="1077">
        <v>380897631</v>
      </c>
      <c r="K759" s="1075">
        <v>379863971</v>
      </c>
      <c r="L759" s="1075">
        <v>374295641</v>
      </c>
    </row>
    <row r="760" spans="1:12">
      <c r="A760" t="s">
        <v>1357</v>
      </c>
      <c r="B760" s="31" t="s">
        <v>433</v>
      </c>
      <c r="C760" s="1075">
        <v>2772069291</v>
      </c>
      <c r="D760" s="1075">
        <v>2734203051</v>
      </c>
      <c r="E760" s="1075">
        <v>2728766031</v>
      </c>
      <c r="F760" s="1075">
        <v>2690899791</v>
      </c>
      <c r="G760" s="1073">
        <v>3572394525</v>
      </c>
      <c r="H760" s="1073">
        <v>3528928652</v>
      </c>
      <c r="I760" s="1073">
        <v>2772069291</v>
      </c>
      <c r="J760" s="1077">
        <v>2734203051</v>
      </c>
      <c r="K760" s="1075">
        <v>2728766031</v>
      </c>
      <c r="L760" s="1075">
        <v>2690899791</v>
      </c>
    </row>
    <row r="761" spans="1:12">
      <c r="A761" t="s">
        <v>2579</v>
      </c>
      <c r="B761" s="31" t="s">
        <v>454</v>
      </c>
      <c r="C761" s="1075">
        <v>165447300</v>
      </c>
      <c r="D761" s="1075">
        <v>160988740</v>
      </c>
      <c r="E761" s="1075">
        <v>160968245</v>
      </c>
      <c r="F761" s="1075">
        <v>156509685</v>
      </c>
      <c r="G761" s="1073">
        <v>280719498</v>
      </c>
      <c r="H761" s="1073">
        <v>276079116</v>
      </c>
      <c r="I761" s="1073">
        <v>165447300</v>
      </c>
      <c r="J761" s="1077">
        <v>160988740</v>
      </c>
      <c r="K761" s="1075">
        <v>160968245</v>
      </c>
      <c r="L761" s="1075">
        <v>156509685</v>
      </c>
    </row>
    <row r="762" spans="1:12">
      <c r="A762" t="s">
        <v>707</v>
      </c>
      <c r="B762" s="31" t="s">
        <v>1003</v>
      </c>
      <c r="C762" s="1075">
        <v>181640644</v>
      </c>
      <c r="D762" s="1075">
        <v>175536363</v>
      </c>
      <c r="E762" s="1075">
        <v>181640644</v>
      </c>
      <c r="F762" s="1075">
        <v>175536363</v>
      </c>
      <c r="G762" s="1073">
        <v>180457317</v>
      </c>
      <c r="H762" s="1073">
        <v>180457317</v>
      </c>
      <c r="I762" s="1073">
        <v>181640644</v>
      </c>
      <c r="J762" s="1077">
        <v>175536363</v>
      </c>
      <c r="K762" s="1075">
        <v>181640644</v>
      </c>
      <c r="L762" s="1075">
        <v>175536363</v>
      </c>
    </row>
    <row r="763" spans="1:12">
      <c r="A763" t="s">
        <v>1510</v>
      </c>
      <c r="B763" s="31" t="s">
        <v>1937</v>
      </c>
      <c r="C763" s="1075">
        <v>937872047</v>
      </c>
      <c r="D763" s="1075">
        <v>894615451</v>
      </c>
      <c r="E763" s="1075">
        <v>937872047</v>
      </c>
      <c r="F763" s="1075">
        <v>894615451</v>
      </c>
      <c r="G763" s="1073">
        <v>925036922</v>
      </c>
      <c r="H763" s="1073">
        <v>925036922</v>
      </c>
      <c r="I763" s="1073">
        <v>937872047</v>
      </c>
      <c r="J763" s="1077">
        <v>894615451</v>
      </c>
      <c r="K763" s="1075">
        <v>937872047</v>
      </c>
      <c r="L763" s="1075">
        <v>894615451</v>
      </c>
    </row>
    <row r="764" spans="1:12">
      <c r="A764" t="s">
        <v>1467</v>
      </c>
      <c r="B764" s="31" t="s">
        <v>140</v>
      </c>
      <c r="C764" s="1075">
        <v>3824369318</v>
      </c>
      <c r="D764" s="1075">
        <v>3711133633</v>
      </c>
      <c r="E764" s="1075">
        <v>3824369318</v>
      </c>
      <c r="F764" s="1075">
        <v>3711133633</v>
      </c>
      <c r="G764" s="1073">
        <v>3674095149</v>
      </c>
      <c r="H764" s="1073">
        <v>3674095149</v>
      </c>
      <c r="I764" s="1073">
        <v>3824369318</v>
      </c>
      <c r="J764" s="1077">
        <v>3711133633</v>
      </c>
      <c r="K764" s="1075">
        <v>3824369318</v>
      </c>
      <c r="L764" s="1075">
        <v>3711133633</v>
      </c>
    </row>
    <row r="765" spans="1:12">
      <c r="A765" t="s">
        <v>2536</v>
      </c>
      <c r="B765" s="31" t="s">
        <v>2239</v>
      </c>
      <c r="C765" s="1075">
        <v>315771118</v>
      </c>
      <c r="D765" s="1075">
        <v>305609758</v>
      </c>
      <c r="E765" s="1075">
        <v>315771118</v>
      </c>
      <c r="F765" s="1075">
        <v>305609758</v>
      </c>
      <c r="G765" s="1073">
        <v>294401492</v>
      </c>
      <c r="H765" s="1073">
        <v>294401492</v>
      </c>
      <c r="I765" s="1073">
        <v>315771118</v>
      </c>
      <c r="J765" s="1077">
        <v>305609758</v>
      </c>
      <c r="K765" s="1075">
        <v>315771118</v>
      </c>
      <c r="L765" s="1075">
        <v>305609758</v>
      </c>
    </row>
    <row r="766" spans="1:12">
      <c r="A766" t="s">
        <v>1383</v>
      </c>
      <c r="B766" s="31" t="s">
        <v>434</v>
      </c>
      <c r="C766" s="1075">
        <v>2801213966</v>
      </c>
      <c r="D766" s="1075">
        <v>2740323557</v>
      </c>
      <c r="E766" s="1075">
        <v>2801213966</v>
      </c>
      <c r="F766" s="1075">
        <v>2740323557</v>
      </c>
      <c r="G766" s="1073">
        <v>2680825375</v>
      </c>
      <c r="H766" s="1073">
        <v>2680825375</v>
      </c>
      <c r="I766" s="1073">
        <v>2801213966</v>
      </c>
      <c r="J766" s="1077">
        <v>2740323557</v>
      </c>
      <c r="K766" s="1075">
        <v>2801213966</v>
      </c>
      <c r="L766" s="1075">
        <v>2740323557</v>
      </c>
    </row>
    <row r="767" spans="1:12">
      <c r="A767" t="s">
        <v>208</v>
      </c>
      <c r="B767" s="31" t="s">
        <v>2593</v>
      </c>
      <c r="C767" s="1075">
        <v>295146193</v>
      </c>
      <c r="D767" s="1075">
        <v>284438739</v>
      </c>
      <c r="E767" s="1075">
        <v>295146193</v>
      </c>
      <c r="F767" s="1075">
        <v>284438739</v>
      </c>
      <c r="G767" s="1073">
        <v>271547356</v>
      </c>
      <c r="H767" s="1073">
        <v>271547356</v>
      </c>
      <c r="I767" s="1073">
        <v>295146193</v>
      </c>
      <c r="J767" s="1077">
        <v>284438739</v>
      </c>
      <c r="K767" s="1075">
        <v>295146193</v>
      </c>
      <c r="L767" s="1075">
        <v>284438739</v>
      </c>
    </row>
    <row r="768" spans="1:12">
      <c r="A768" t="s">
        <v>1877</v>
      </c>
      <c r="B768" s="31" t="s">
        <v>1856</v>
      </c>
      <c r="C768" s="1075">
        <v>524321997</v>
      </c>
      <c r="D768" s="1075">
        <v>511753187</v>
      </c>
      <c r="E768" s="1075">
        <v>524321997</v>
      </c>
      <c r="F768" s="1075">
        <v>511753187</v>
      </c>
      <c r="G768" s="1073">
        <v>474726961</v>
      </c>
      <c r="H768" s="1073">
        <v>474726961</v>
      </c>
      <c r="I768" s="1073">
        <v>524321997</v>
      </c>
      <c r="J768" s="1077">
        <v>511753187</v>
      </c>
      <c r="K768" s="1075">
        <v>524321997</v>
      </c>
      <c r="L768" s="1075">
        <v>511753187</v>
      </c>
    </row>
    <row r="769" spans="1:12">
      <c r="A769" t="s">
        <v>1634</v>
      </c>
      <c r="B769" s="31" t="s">
        <v>435</v>
      </c>
      <c r="C769" s="1075">
        <v>169507311</v>
      </c>
      <c r="D769" s="1075">
        <v>165529071</v>
      </c>
      <c r="E769" s="1075">
        <v>169507311</v>
      </c>
      <c r="F769" s="1075">
        <v>165529071</v>
      </c>
      <c r="G769" s="1073">
        <v>170639345</v>
      </c>
      <c r="H769" s="1073">
        <v>170639345</v>
      </c>
      <c r="I769" s="1073">
        <v>169507311</v>
      </c>
      <c r="J769" s="1077">
        <v>165529071</v>
      </c>
      <c r="K769" s="1075">
        <v>169507311</v>
      </c>
      <c r="L769" s="1075">
        <v>165529071</v>
      </c>
    </row>
    <row r="770" spans="1:12">
      <c r="A770" t="s">
        <v>1635</v>
      </c>
      <c r="B770" s="31" t="s">
        <v>436</v>
      </c>
      <c r="C770" s="1075">
        <v>110725722</v>
      </c>
      <c r="D770" s="1075">
        <v>107758238</v>
      </c>
      <c r="E770" s="1075">
        <v>110725722</v>
      </c>
      <c r="F770" s="1075">
        <v>107758238</v>
      </c>
      <c r="G770" s="1073">
        <v>125842572</v>
      </c>
      <c r="H770" s="1073">
        <v>125842572</v>
      </c>
      <c r="I770" s="1073">
        <v>131708493</v>
      </c>
      <c r="J770" s="1077">
        <v>128741009</v>
      </c>
      <c r="K770" s="1075">
        <v>131708493</v>
      </c>
      <c r="L770" s="1075">
        <v>128741009</v>
      </c>
    </row>
    <row r="771" spans="1:12">
      <c r="A771" t="s">
        <v>1636</v>
      </c>
      <c r="B771" s="31" t="s">
        <v>437</v>
      </c>
      <c r="C771" s="1075">
        <v>173498336</v>
      </c>
      <c r="D771" s="1075">
        <v>169323760</v>
      </c>
      <c r="E771" s="1075">
        <v>173498336</v>
      </c>
      <c r="F771" s="1075">
        <v>169323760</v>
      </c>
      <c r="G771" s="1073">
        <v>155845290</v>
      </c>
      <c r="H771" s="1073">
        <v>155845290</v>
      </c>
      <c r="I771" s="1073">
        <v>173498336</v>
      </c>
      <c r="J771" s="1077">
        <v>169323760</v>
      </c>
      <c r="K771" s="1075">
        <v>173498336</v>
      </c>
      <c r="L771" s="1075">
        <v>169323760</v>
      </c>
    </row>
    <row r="772" spans="1:12">
      <c r="A772" t="s">
        <v>1637</v>
      </c>
      <c r="B772" s="31" t="s">
        <v>438</v>
      </c>
      <c r="C772" s="1075">
        <v>356873470</v>
      </c>
      <c r="D772" s="1075">
        <v>349063086</v>
      </c>
      <c r="E772" s="1075">
        <v>356873470</v>
      </c>
      <c r="F772" s="1075">
        <v>349063086</v>
      </c>
      <c r="G772" s="1073">
        <v>344736680</v>
      </c>
      <c r="H772" s="1073">
        <v>344736680</v>
      </c>
      <c r="I772" s="1073">
        <v>356873470</v>
      </c>
      <c r="J772" s="1077">
        <v>349063086</v>
      </c>
      <c r="K772" s="1075">
        <v>356873470</v>
      </c>
      <c r="L772" s="1075">
        <v>349063086</v>
      </c>
    </row>
    <row r="773" spans="1:12">
      <c r="A773" t="s">
        <v>1638</v>
      </c>
      <c r="B773" s="31" t="s">
        <v>439</v>
      </c>
      <c r="C773" s="1075">
        <v>67993736</v>
      </c>
      <c r="D773" s="1075">
        <v>66898761</v>
      </c>
      <c r="E773" s="1075">
        <v>67993736</v>
      </c>
      <c r="F773" s="1075">
        <v>66898761</v>
      </c>
      <c r="G773" s="1073">
        <v>64546102</v>
      </c>
      <c r="H773" s="1073">
        <v>64546102</v>
      </c>
      <c r="I773" s="1073">
        <v>67993736</v>
      </c>
      <c r="J773" s="1077">
        <v>66898761</v>
      </c>
      <c r="K773" s="1075">
        <v>67993736</v>
      </c>
      <c r="L773" s="1075">
        <v>66898761</v>
      </c>
    </row>
    <row r="774" spans="1:12">
      <c r="A774" t="s">
        <v>1874</v>
      </c>
      <c r="B774" s="31" t="s">
        <v>440</v>
      </c>
      <c r="C774" s="1075">
        <v>207066694</v>
      </c>
      <c r="D774" s="1075">
        <v>206494504</v>
      </c>
      <c r="E774" s="1075">
        <v>206719539</v>
      </c>
      <c r="F774" s="1075">
        <v>206147349</v>
      </c>
      <c r="G774" s="1073">
        <v>241518413</v>
      </c>
      <c r="H774" s="1073">
        <v>241225593</v>
      </c>
      <c r="I774" s="1073">
        <v>311542694</v>
      </c>
      <c r="J774" s="1077">
        <v>310970504</v>
      </c>
      <c r="K774" s="1075">
        <v>311195539</v>
      </c>
      <c r="L774" s="1075">
        <v>310623349</v>
      </c>
    </row>
    <row r="775" spans="1:12">
      <c r="A775" t="s">
        <v>2302</v>
      </c>
      <c r="B775" s="31" t="s">
        <v>2331</v>
      </c>
      <c r="C775" s="1075">
        <v>1101981884</v>
      </c>
      <c r="D775" s="1075">
        <v>1079605234</v>
      </c>
      <c r="E775" s="1075">
        <v>1085096084</v>
      </c>
      <c r="F775" s="1075">
        <v>1062719434</v>
      </c>
      <c r="G775" s="1073">
        <v>1178942694</v>
      </c>
      <c r="H775" s="1073">
        <v>1162590647</v>
      </c>
      <c r="I775" s="1073">
        <v>1391749404</v>
      </c>
      <c r="J775" s="1077">
        <v>1369372754</v>
      </c>
      <c r="K775" s="1075">
        <v>1374863604</v>
      </c>
      <c r="L775" s="1075">
        <v>1352486954</v>
      </c>
    </row>
    <row r="776" spans="1:12">
      <c r="A776" t="s">
        <v>2291</v>
      </c>
      <c r="B776" s="31" t="s">
        <v>442</v>
      </c>
      <c r="C776" s="1075">
        <v>888165527</v>
      </c>
      <c r="D776" s="1075">
        <v>885055587</v>
      </c>
      <c r="E776" s="1075">
        <v>886183582</v>
      </c>
      <c r="F776" s="1075">
        <v>883073642</v>
      </c>
      <c r="G776" s="1073">
        <v>2083611216</v>
      </c>
      <c r="H776" s="1073">
        <v>2081730987</v>
      </c>
      <c r="I776" s="1073">
        <v>976328937</v>
      </c>
      <c r="J776" s="1077">
        <v>973218997</v>
      </c>
      <c r="K776" s="1075">
        <v>974346992</v>
      </c>
      <c r="L776" s="1075">
        <v>971237052</v>
      </c>
    </row>
    <row r="777" spans="1:12">
      <c r="A777" t="s">
        <v>1302</v>
      </c>
      <c r="B777" s="31" t="s">
        <v>443</v>
      </c>
      <c r="C777" s="1075">
        <v>192686775</v>
      </c>
      <c r="D777" s="1075">
        <v>188333530</v>
      </c>
      <c r="E777" s="1075">
        <v>189194473</v>
      </c>
      <c r="F777" s="1075">
        <v>184841228</v>
      </c>
      <c r="G777" s="1073">
        <v>328990238</v>
      </c>
      <c r="H777" s="1073">
        <v>325653432</v>
      </c>
      <c r="I777" s="1073">
        <v>192686775</v>
      </c>
      <c r="J777" s="1077">
        <v>188333530</v>
      </c>
      <c r="K777" s="1075">
        <v>189194473</v>
      </c>
      <c r="L777" s="1075">
        <v>184841228</v>
      </c>
    </row>
    <row r="778" spans="1:12">
      <c r="A778" t="s">
        <v>692</v>
      </c>
      <c r="B778" s="31" t="s">
        <v>444</v>
      </c>
      <c r="C778" s="1075">
        <v>107982679</v>
      </c>
      <c r="D778" s="1075">
        <v>103366569</v>
      </c>
      <c r="E778" s="1075">
        <v>107982679</v>
      </c>
      <c r="F778" s="1075">
        <v>103366569</v>
      </c>
      <c r="G778" s="1073">
        <v>112637548</v>
      </c>
      <c r="H778" s="1073">
        <v>112637548</v>
      </c>
      <c r="I778" s="1073">
        <v>107982679</v>
      </c>
      <c r="J778" s="1077">
        <v>103366569</v>
      </c>
      <c r="K778" s="1075">
        <v>107982679</v>
      </c>
      <c r="L778" s="1075">
        <v>103366569</v>
      </c>
    </row>
    <row r="779" spans="1:12">
      <c r="A779" t="s">
        <v>2548</v>
      </c>
      <c r="B779" s="31" t="s">
        <v>445</v>
      </c>
      <c r="C779" s="1075">
        <v>376881385</v>
      </c>
      <c r="D779" s="1075">
        <v>368051109</v>
      </c>
      <c r="E779" s="1075">
        <v>370072344</v>
      </c>
      <c r="F779" s="1075">
        <v>361242068</v>
      </c>
      <c r="G779" s="1073">
        <v>314877983</v>
      </c>
      <c r="H779" s="1073">
        <v>308207139</v>
      </c>
      <c r="I779" s="1073">
        <v>376881385</v>
      </c>
      <c r="J779" s="1077">
        <v>368051109</v>
      </c>
      <c r="K779" s="1075">
        <v>370072344</v>
      </c>
      <c r="L779" s="1075">
        <v>361242068</v>
      </c>
    </row>
    <row r="780" spans="1:12">
      <c r="A780" t="s">
        <v>693</v>
      </c>
      <c r="B780" s="31" t="s">
        <v>446</v>
      </c>
      <c r="C780" s="1075">
        <v>88049593</v>
      </c>
      <c r="D780" s="1075">
        <v>85721202</v>
      </c>
      <c r="E780" s="1075">
        <v>88049593</v>
      </c>
      <c r="F780" s="1075">
        <v>85721202</v>
      </c>
      <c r="G780" s="1073">
        <v>134116556</v>
      </c>
      <c r="H780" s="1073">
        <v>134116556</v>
      </c>
      <c r="I780" s="1073">
        <v>88049593</v>
      </c>
      <c r="J780" s="1077">
        <v>85721202</v>
      </c>
      <c r="K780" s="1075">
        <v>88049593</v>
      </c>
      <c r="L780" s="1075">
        <v>85721202</v>
      </c>
    </row>
    <row r="781" spans="1:12">
      <c r="A781" t="s">
        <v>1773</v>
      </c>
      <c r="B781" s="31" t="s">
        <v>2226</v>
      </c>
      <c r="C781" s="1075">
        <v>1509535105</v>
      </c>
      <c r="D781" s="1075">
        <v>1458045066</v>
      </c>
      <c r="E781" s="1075">
        <v>1509535105</v>
      </c>
      <c r="F781" s="1075">
        <v>1458045066</v>
      </c>
      <c r="G781" s="1073">
        <v>1411261613</v>
      </c>
      <c r="H781" s="1073">
        <v>1411261613</v>
      </c>
      <c r="I781" s="1073">
        <v>1509535105</v>
      </c>
      <c r="J781" s="1077">
        <v>1458045066</v>
      </c>
      <c r="K781" s="1075">
        <v>1509535105</v>
      </c>
      <c r="L781" s="1075">
        <v>1458045066</v>
      </c>
    </row>
    <row r="782" spans="1:12">
      <c r="A782" t="s">
        <v>1213</v>
      </c>
      <c r="B782" s="31" t="s">
        <v>447</v>
      </c>
      <c r="C782" s="1075">
        <v>520932440</v>
      </c>
      <c r="D782" s="1075">
        <v>502826259</v>
      </c>
      <c r="E782" s="1075">
        <v>520932440</v>
      </c>
      <c r="F782" s="1075">
        <v>502826259</v>
      </c>
      <c r="G782" s="1073">
        <v>453479285</v>
      </c>
      <c r="H782" s="1073">
        <v>453479285</v>
      </c>
      <c r="I782" s="1073">
        <v>520932440</v>
      </c>
      <c r="J782" s="1077">
        <v>502826259</v>
      </c>
      <c r="K782" s="1075">
        <v>520932440</v>
      </c>
      <c r="L782" s="1075">
        <v>502826259</v>
      </c>
    </row>
    <row r="783" spans="1:12">
      <c r="A783" t="s">
        <v>1639</v>
      </c>
      <c r="B783" s="31" t="s">
        <v>1054</v>
      </c>
      <c r="C783" s="1075">
        <v>8502291492</v>
      </c>
      <c r="D783" s="1075">
        <v>8199488780</v>
      </c>
      <c r="E783" s="1075">
        <v>8502291492</v>
      </c>
      <c r="F783" s="1075">
        <v>8199488780</v>
      </c>
      <c r="G783" s="1073">
        <v>8119872207</v>
      </c>
      <c r="H783" s="1073">
        <v>8119872207</v>
      </c>
      <c r="I783" s="1073">
        <v>8502291492</v>
      </c>
      <c r="J783" s="1077">
        <v>8199488780</v>
      </c>
      <c r="K783" s="1075">
        <v>8502291492</v>
      </c>
      <c r="L783" s="1075">
        <v>8199488780</v>
      </c>
    </row>
    <row r="784" spans="1:12">
      <c r="A784" t="s">
        <v>199</v>
      </c>
      <c r="B784" s="31" t="s">
        <v>2696</v>
      </c>
      <c r="C784" s="1075">
        <v>255663957</v>
      </c>
      <c r="D784" s="1075">
        <v>242951088</v>
      </c>
      <c r="E784" s="1075">
        <v>255663957</v>
      </c>
      <c r="F784" s="1075">
        <v>242951088</v>
      </c>
      <c r="G784" s="1073">
        <v>263735095</v>
      </c>
      <c r="H784" s="1073">
        <v>263735095</v>
      </c>
      <c r="I784" s="1073">
        <v>255663957</v>
      </c>
      <c r="J784" s="1077">
        <v>242951088</v>
      </c>
      <c r="K784" s="1075">
        <v>255663957</v>
      </c>
      <c r="L784" s="1075">
        <v>242951088</v>
      </c>
    </row>
    <row r="785" spans="1:12">
      <c r="A785" t="s">
        <v>572</v>
      </c>
      <c r="B785" s="31" t="s">
        <v>130</v>
      </c>
      <c r="C785" s="1075">
        <v>1097075232</v>
      </c>
      <c r="D785" s="1075">
        <v>1095602379</v>
      </c>
      <c r="E785" s="1075">
        <v>1097075232</v>
      </c>
      <c r="F785" s="1075">
        <v>1095602379</v>
      </c>
      <c r="G785" s="1073">
        <v>1016696343</v>
      </c>
      <c r="H785" s="1073">
        <v>1016696343</v>
      </c>
      <c r="I785" s="1073">
        <v>1097075232</v>
      </c>
      <c r="J785" s="1077">
        <v>1095602379</v>
      </c>
      <c r="K785" s="1075">
        <v>1097075232</v>
      </c>
      <c r="L785" s="1075">
        <v>1095602379</v>
      </c>
    </row>
    <row r="786" spans="1:12">
      <c r="A786" t="s">
        <v>2181</v>
      </c>
      <c r="B786" s="31" t="s">
        <v>448</v>
      </c>
      <c r="C786" s="1075">
        <v>1175452559</v>
      </c>
      <c r="D786" s="1075">
        <v>1162315266</v>
      </c>
      <c r="E786" s="1075">
        <v>1175452559</v>
      </c>
      <c r="F786" s="1075">
        <v>1162315266</v>
      </c>
      <c r="G786" s="1073">
        <v>1164434891</v>
      </c>
      <c r="H786" s="1073">
        <v>1164434891</v>
      </c>
      <c r="I786" s="1073">
        <v>1175452559</v>
      </c>
      <c r="J786" s="1077">
        <v>1162315266</v>
      </c>
      <c r="K786" s="1075">
        <v>1175452559</v>
      </c>
      <c r="L786" s="1075">
        <v>1162315266</v>
      </c>
    </row>
    <row r="787" spans="1:12">
      <c r="A787" t="s">
        <v>1468</v>
      </c>
      <c r="B787" s="31" t="s">
        <v>292</v>
      </c>
      <c r="C787" s="1075">
        <v>281741183</v>
      </c>
      <c r="D787" s="1075">
        <v>276189509</v>
      </c>
      <c r="E787" s="1075">
        <v>281741183</v>
      </c>
      <c r="F787" s="1075">
        <v>276189509</v>
      </c>
      <c r="G787" s="1073">
        <v>246257805</v>
      </c>
      <c r="H787" s="1073">
        <v>246257805</v>
      </c>
      <c r="I787" s="1073">
        <v>281741183</v>
      </c>
      <c r="J787" s="1077">
        <v>276189509</v>
      </c>
      <c r="K787" s="1075">
        <v>281741183</v>
      </c>
      <c r="L787" s="1075">
        <v>276189509</v>
      </c>
    </row>
    <row r="788" spans="1:12">
      <c r="A788" t="s">
        <v>217</v>
      </c>
      <c r="B788" s="31" t="s">
        <v>2103</v>
      </c>
      <c r="C788" s="1075">
        <v>176528892</v>
      </c>
      <c r="D788" s="1075">
        <v>167938802</v>
      </c>
      <c r="E788" s="1075">
        <v>176528892</v>
      </c>
      <c r="F788" s="1075">
        <v>167938802</v>
      </c>
      <c r="G788" s="1073">
        <v>182614270</v>
      </c>
      <c r="H788" s="1073">
        <v>182614270</v>
      </c>
      <c r="I788" s="1073">
        <v>176528892</v>
      </c>
      <c r="J788" s="1077">
        <v>167938802</v>
      </c>
      <c r="K788" s="1075">
        <v>176528892</v>
      </c>
      <c r="L788" s="1075">
        <v>167938802</v>
      </c>
    </row>
    <row r="789" spans="1:12">
      <c r="A789" t="s">
        <v>1289</v>
      </c>
      <c r="B789" s="31" t="s">
        <v>449</v>
      </c>
      <c r="C789" s="1075">
        <v>550376449</v>
      </c>
      <c r="D789" s="1075">
        <v>527376200</v>
      </c>
      <c r="E789" s="1075">
        <v>550376449</v>
      </c>
      <c r="F789" s="1075">
        <v>527376200</v>
      </c>
      <c r="G789" s="1073">
        <v>497563299</v>
      </c>
      <c r="H789" s="1073">
        <v>497563299</v>
      </c>
      <c r="I789" s="1073">
        <v>550376449</v>
      </c>
      <c r="J789" s="1077">
        <v>527376200</v>
      </c>
      <c r="K789" s="1075">
        <v>550376449</v>
      </c>
      <c r="L789" s="1075">
        <v>527376200</v>
      </c>
    </row>
    <row r="790" spans="1:12">
      <c r="A790" t="s">
        <v>1290</v>
      </c>
      <c r="B790" s="31" t="s">
        <v>2332</v>
      </c>
      <c r="C790" s="1075">
        <v>4207426227</v>
      </c>
      <c r="D790" s="1075">
        <v>4089231965</v>
      </c>
      <c r="E790" s="1075">
        <v>4207426227</v>
      </c>
      <c r="F790" s="1075">
        <v>4089231965</v>
      </c>
      <c r="G790" s="1073">
        <v>3800083519</v>
      </c>
      <c r="H790" s="1073">
        <v>3800083519</v>
      </c>
      <c r="I790" s="1073">
        <v>4207426227</v>
      </c>
      <c r="J790" s="1077">
        <v>4089231965</v>
      </c>
      <c r="K790" s="1075">
        <v>4207426227</v>
      </c>
      <c r="L790" s="1075">
        <v>4089231965</v>
      </c>
    </row>
    <row r="791" spans="1:12">
      <c r="A791" t="s">
        <v>2522</v>
      </c>
      <c r="B791" s="31" t="s">
        <v>154</v>
      </c>
      <c r="C791" s="1075">
        <v>1827971621</v>
      </c>
      <c r="D791" s="1075">
        <v>1822821434</v>
      </c>
      <c r="E791" s="1075">
        <v>1824365379</v>
      </c>
      <c r="F791" s="1075">
        <v>1819215192</v>
      </c>
      <c r="G791" s="1073">
        <v>3129520955</v>
      </c>
      <c r="H791" s="1073">
        <v>3125252206</v>
      </c>
      <c r="I791" s="1073">
        <v>1827971621</v>
      </c>
      <c r="J791" s="1077">
        <v>1822821434</v>
      </c>
      <c r="K791" s="1075">
        <v>1824365379</v>
      </c>
      <c r="L791" s="1075">
        <v>1819215192</v>
      </c>
    </row>
    <row r="792" spans="1:12">
      <c r="A792" t="s">
        <v>792</v>
      </c>
      <c r="B792" s="31" t="s">
        <v>155</v>
      </c>
      <c r="C792" s="1075">
        <v>309506502</v>
      </c>
      <c r="D792" s="1075">
        <v>303909372</v>
      </c>
      <c r="E792" s="1075">
        <v>309506502</v>
      </c>
      <c r="F792" s="1075">
        <v>303909372</v>
      </c>
      <c r="G792" s="1073">
        <v>286583277</v>
      </c>
      <c r="H792" s="1073">
        <v>286583277</v>
      </c>
      <c r="I792" s="1073">
        <v>309506502</v>
      </c>
      <c r="J792" s="1077">
        <v>303909372</v>
      </c>
      <c r="K792" s="1075">
        <v>309506502</v>
      </c>
      <c r="L792" s="1075">
        <v>303909372</v>
      </c>
    </row>
    <row r="793" spans="1:12">
      <c r="A793" t="s">
        <v>114</v>
      </c>
      <c r="B793" s="31" t="s">
        <v>2118</v>
      </c>
      <c r="C793" s="1075">
        <v>50399679</v>
      </c>
      <c r="D793" s="1075">
        <v>46708411</v>
      </c>
      <c r="E793" s="1075">
        <v>50399679</v>
      </c>
      <c r="F793" s="1075">
        <v>46708411</v>
      </c>
      <c r="G793" s="1073">
        <v>46184710</v>
      </c>
      <c r="H793" s="1073">
        <v>46184710</v>
      </c>
      <c r="I793" s="1073">
        <v>50399679</v>
      </c>
      <c r="J793" s="1077">
        <v>46708411</v>
      </c>
      <c r="K793" s="1075">
        <v>50399679</v>
      </c>
      <c r="L793" s="1075">
        <v>46708411</v>
      </c>
    </row>
    <row r="794" spans="1:12">
      <c r="A794" t="s">
        <v>2654</v>
      </c>
      <c r="B794" s="31" t="s">
        <v>2697</v>
      </c>
      <c r="C794" s="1075">
        <v>174366658</v>
      </c>
      <c r="D794" s="1075">
        <v>165973984</v>
      </c>
      <c r="E794" s="1075">
        <v>174366658</v>
      </c>
      <c r="F794" s="1075">
        <v>165973984</v>
      </c>
      <c r="G794" s="1073">
        <v>228927182</v>
      </c>
      <c r="H794" s="1073">
        <v>228927182</v>
      </c>
      <c r="I794" s="1073">
        <v>174366658</v>
      </c>
      <c r="J794" s="1077">
        <v>165973984</v>
      </c>
      <c r="K794" s="1075">
        <v>174366658</v>
      </c>
      <c r="L794" s="1075">
        <v>165973984</v>
      </c>
    </row>
    <row r="795" spans="1:12">
      <c r="A795" t="s">
        <v>2274</v>
      </c>
      <c r="B795" s="31" t="s">
        <v>1622</v>
      </c>
      <c r="C795" s="1075">
        <v>210479183</v>
      </c>
      <c r="D795" s="1075">
        <v>198343296</v>
      </c>
      <c r="E795" s="1075">
        <v>210479183</v>
      </c>
      <c r="F795" s="1075">
        <v>198343296</v>
      </c>
      <c r="G795" s="1073">
        <v>211486437</v>
      </c>
      <c r="H795" s="1073">
        <v>211486437</v>
      </c>
      <c r="I795" s="1073">
        <v>210479183</v>
      </c>
      <c r="J795" s="1077">
        <v>198343296</v>
      </c>
      <c r="K795" s="1075">
        <v>210479183</v>
      </c>
      <c r="L795" s="1075">
        <v>198343296</v>
      </c>
    </row>
    <row r="796" spans="1:12">
      <c r="A796" t="s">
        <v>377</v>
      </c>
      <c r="B796" s="31" t="s">
        <v>2668</v>
      </c>
      <c r="C796" s="1075">
        <v>66538467</v>
      </c>
      <c r="D796" s="1075">
        <v>62002941</v>
      </c>
      <c r="E796" s="1075">
        <v>66538467</v>
      </c>
      <c r="F796" s="1075">
        <v>62002941</v>
      </c>
      <c r="G796" s="1073">
        <v>59882085</v>
      </c>
      <c r="H796" s="1073">
        <v>59882085</v>
      </c>
      <c r="I796" s="1073">
        <v>66538467</v>
      </c>
      <c r="J796" s="1077">
        <v>62002941</v>
      </c>
      <c r="K796" s="1075">
        <v>66538467</v>
      </c>
      <c r="L796" s="1075">
        <v>62002941</v>
      </c>
    </row>
    <row r="797" spans="1:12">
      <c r="A797" t="s">
        <v>986</v>
      </c>
      <c r="B797" s="31" t="s">
        <v>1623</v>
      </c>
      <c r="C797" s="1075">
        <v>3670565645</v>
      </c>
      <c r="D797" s="1075">
        <v>3651289150</v>
      </c>
      <c r="E797" s="1075">
        <v>3670565645</v>
      </c>
      <c r="F797" s="1075">
        <v>3651289150</v>
      </c>
      <c r="G797" s="1073">
        <v>3779861106</v>
      </c>
      <c r="H797" s="1073">
        <v>3779861106</v>
      </c>
      <c r="I797" s="1073">
        <v>3885351425</v>
      </c>
      <c r="J797" s="1077">
        <v>3866074930</v>
      </c>
      <c r="K797" s="1075">
        <v>3885351425</v>
      </c>
      <c r="L797" s="1075">
        <v>3866074930</v>
      </c>
    </row>
    <row r="798" spans="1:12">
      <c r="A798" t="s">
        <v>1716</v>
      </c>
      <c r="B798" s="31" t="s">
        <v>2120</v>
      </c>
      <c r="C798" s="1075">
        <v>40392181</v>
      </c>
      <c r="D798" s="1075">
        <v>39368681</v>
      </c>
      <c r="E798" s="1075">
        <v>40392181</v>
      </c>
      <c r="F798" s="1075">
        <v>39368681</v>
      </c>
      <c r="G798" s="1073">
        <v>47333051</v>
      </c>
      <c r="H798" s="1073">
        <v>47333051</v>
      </c>
      <c r="I798" s="1073">
        <v>40392181</v>
      </c>
      <c r="J798" s="1077">
        <v>39368681</v>
      </c>
      <c r="K798" s="1075">
        <v>40392181</v>
      </c>
      <c r="L798" s="1075">
        <v>39368681</v>
      </c>
    </row>
    <row r="799" spans="1:12">
      <c r="A799" t="s">
        <v>695</v>
      </c>
      <c r="B799" s="31" t="s">
        <v>1624</v>
      </c>
      <c r="C799" s="1075">
        <v>231095499</v>
      </c>
      <c r="D799" s="1075">
        <v>229393249</v>
      </c>
      <c r="E799" s="1075">
        <v>229911379</v>
      </c>
      <c r="F799" s="1075">
        <v>228209129</v>
      </c>
      <c r="G799" s="1073">
        <v>479956069</v>
      </c>
      <c r="H799" s="1073">
        <v>478757905</v>
      </c>
      <c r="I799" s="1073">
        <v>231095499</v>
      </c>
      <c r="J799" s="1077">
        <v>229393249</v>
      </c>
      <c r="K799" s="1075">
        <v>229911379</v>
      </c>
      <c r="L799" s="1075">
        <v>228209129</v>
      </c>
    </row>
    <row r="800" spans="1:12">
      <c r="A800" t="s">
        <v>696</v>
      </c>
      <c r="B800" s="31" t="s">
        <v>1625</v>
      </c>
      <c r="C800" s="1075">
        <v>309867332</v>
      </c>
      <c r="D800" s="1075">
        <v>303849982</v>
      </c>
      <c r="E800" s="1075">
        <v>309867332</v>
      </c>
      <c r="F800" s="1075">
        <v>303849982</v>
      </c>
      <c r="G800" s="1073">
        <v>334311257</v>
      </c>
      <c r="H800" s="1073">
        <v>334311257</v>
      </c>
      <c r="I800" s="1073">
        <v>309867332</v>
      </c>
      <c r="J800" s="1077">
        <v>303849982</v>
      </c>
      <c r="K800" s="1075">
        <v>309867332</v>
      </c>
      <c r="L800" s="1075">
        <v>303849982</v>
      </c>
    </row>
    <row r="801" spans="1:12">
      <c r="A801" t="s">
        <v>697</v>
      </c>
      <c r="B801" s="31" t="s">
        <v>1626</v>
      </c>
      <c r="C801" s="1075">
        <v>390365845</v>
      </c>
      <c r="D801" s="1075">
        <v>382931336</v>
      </c>
      <c r="E801" s="1075">
        <v>390365845</v>
      </c>
      <c r="F801" s="1075">
        <v>382931336</v>
      </c>
      <c r="G801" s="1073">
        <v>647592975</v>
      </c>
      <c r="H801" s="1073">
        <v>647592975</v>
      </c>
      <c r="I801" s="1073">
        <v>390365845</v>
      </c>
      <c r="J801" s="1077">
        <v>382931336</v>
      </c>
      <c r="K801" s="1075">
        <v>390365845</v>
      </c>
      <c r="L801" s="1075">
        <v>382931336</v>
      </c>
    </row>
    <row r="802" spans="1:12">
      <c r="A802" t="s">
        <v>1457</v>
      </c>
      <c r="B802" s="31" t="s">
        <v>1627</v>
      </c>
      <c r="C802" s="1075">
        <v>469936342</v>
      </c>
      <c r="D802" s="1075">
        <v>467916288</v>
      </c>
      <c r="E802" s="1075">
        <v>468941095</v>
      </c>
      <c r="F802" s="1075">
        <v>466921041</v>
      </c>
      <c r="G802" s="1073">
        <v>966676886</v>
      </c>
      <c r="H802" s="1073">
        <v>965129511</v>
      </c>
      <c r="I802" s="1073">
        <v>656008022</v>
      </c>
      <c r="J802" s="1077">
        <v>653987968</v>
      </c>
      <c r="K802" s="1075">
        <v>655012775</v>
      </c>
      <c r="L802" s="1075">
        <v>652992721</v>
      </c>
    </row>
    <row r="803" spans="1:12">
      <c r="A803" t="s">
        <v>1458</v>
      </c>
      <c r="B803" s="31" t="s">
        <v>1628</v>
      </c>
      <c r="C803" s="1075">
        <v>336968237</v>
      </c>
      <c r="D803" s="1075">
        <v>332096006</v>
      </c>
      <c r="E803" s="1075">
        <v>336968237</v>
      </c>
      <c r="F803" s="1075">
        <v>332096006</v>
      </c>
      <c r="G803" s="1073">
        <v>363355831</v>
      </c>
      <c r="H803" s="1073">
        <v>363355831</v>
      </c>
      <c r="I803" s="1073">
        <v>336968237</v>
      </c>
      <c r="J803" s="1077">
        <v>332096006</v>
      </c>
      <c r="K803" s="1075">
        <v>336968237</v>
      </c>
      <c r="L803" s="1075">
        <v>332096006</v>
      </c>
    </row>
    <row r="804" spans="1:12">
      <c r="A804" t="s">
        <v>1459</v>
      </c>
      <c r="B804" s="31" t="s">
        <v>1629</v>
      </c>
      <c r="C804" s="1075">
        <v>111205604</v>
      </c>
      <c r="D804" s="1075">
        <v>108461170</v>
      </c>
      <c r="E804" s="1075">
        <v>111205604</v>
      </c>
      <c r="F804" s="1075">
        <v>108461170</v>
      </c>
      <c r="G804" s="1073">
        <v>105868924</v>
      </c>
      <c r="H804" s="1073">
        <v>105868924</v>
      </c>
      <c r="I804" s="1073">
        <v>111205604</v>
      </c>
      <c r="J804" s="1077">
        <v>108461170</v>
      </c>
      <c r="K804" s="1075">
        <v>111205604</v>
      </c>
      <c r="L804" s="1075">
        <v>108461170</v>
      </c>
    </row>
    <row r="805" spans="1:12">
      <c r="A805" t="s">
        <v>1460</v>
      </c>
      <c r="B805" s="31" t="s">
        <v>1630</v>
      </c>
      <c r="C805" s="1075">
        <v>1686992943</v>
      </c>
      <c r="D805" s="1075">
        <v>1674424408</v>
      </c>
      <c r="E805" s="1075">
        <v>1686992943</v>
      </c>
      <c r="F805" s="1075">
        <v>1674424408</v>
      </c>
      <c r="G805" s="1073">
        <v>2146624176</v>
      </c>
      <c r="H805" s="1073">
        <v>2146624176</v>
      </c>
      <c r="I805" s="1073">
        <v>1686992943</v>
      </c>
      <c r="J805" s="1077">
        <v>1674424408</v>
      </c>
      <c r="K805" s="1075">
        <v>1686992943</v>
      </c>
      <c r="L805" s="1075">
        <v>1674424408</v>
      </c>
    </row>
    <row r="806" spans="1:12">
      <c r="A806" t="s">
        <v>1461</v>
      </c>
      <c r="B806" s="31" t="s">
        <v>1631</v>
      </c>
      <c r="C806" s="1075">
        <v>382530646</v>
      </c>
      <c r="D806" s="1075">
        <v>370557067</v>
      </c>
      <c r="E806" s="1075">
        <v>382530646</v>
      </c>
      <c r="F806" s="1075">
        <v>370557067</v>
      </c>
      <c r="G806" s="1073">
        <v>441023252</v>
      </c>
      <c r="H806" s="1073">
        <v>441023252</v>
      </c>
      <c r="I806" s="1073">
        <v>382530646</v>
      </c>
      <c r="J806" s="1077">
        <v>370557067</v>
      </c>
      <c r="K806" s="1075">
        <v>382530646</v>
      </c>
      <c r="L806" s="1075">
        <v>370557067</v>
      </c>
    </row>
    <row r="807" spans="1:12">
      <c r="A807" t="s">
        <v>1462</v>
      </c>
      <c r="B807" s="31" t="s">
        <v>976</v>
      </c>
      <c r="C807" s="1075">
        <v>55714960</v>
      </c>
      <c r="D807" s="1075">
        <v>55447165</v>
      </c>
      <c r="E807" s="1075">
        <v>55714960</v>
      </c>
      <c r="F807" s="1075">
        <v>55447165</v>
      </c>
      <c r="G807" s="1073">
        <v>118076416</v>
      </c>
      <c r="H807" s="1073">
        <v>118076416</v>
      </c>
      <c r="I807" s="1073">
        <v>55714960</v>
      </c>
      <c r="J807" s="1077">
        <v>55447165</v>
      </c>
      <c r="K807" s="1075">
        <v>55714960</v>
      </c>
      <c r="L807" s="1075">
        <v>55447165</v>
      </c>
    </row>
    <row r="808" spans="1:12">
      <c r="A808" t="s">
        <v>1672</v>
      </c>
      <c r="B808" s="31" t="s">
        <v>977</v>
      </c>
      <c r="C808" s="1075">
        <v>7877107598</v>
      </c>
      <c r="D808" s="1075">
        <v>7703003246</v>
      </c>
      <c r="E808" s="1075">
        <v>7877107598</v>
      </c>
      <c r="F808" s="1075">
        <v>7703003246</v>
      </c>
      <c r="G808" s="1073">
        <v>6914116940</v>
      </c>
      <c r="H808" s="1073">
        <v>6914116940</v>
      </c>
      <c r="I808" s="1073">
        <v>7877107598</v>
      </c>
      <c r="J808" s="1077">
        <v>7703003246</v>
      </c>
      <c r="K808" s="1075">
        <v>7877107598</v>
      </c>
      <c r="L808" s="1075">
        <v>7703003246</v>
      </c>
    </row>
    <row r="809" spans="1:12">
      <c r="A809" t="s">
        <v>1812</v>
      </c>
      <c r="B809" s="31" t="s">
        <v>613</v>
      </c>
      <c r="C809" s="1075">
        <v>1481550268</v>
      </c>
      <c r="D809" s="1075">
        <v>1429914436</v>
      </c>
      <c r="E809" s="1075">
        <v>1481550268</v>
      </c>
      <c r="F809" s="1075">
        <v>1429914436</v>
      </c>
      <c r="G809" s="1073">
        <v>1189284019</v>
      </c>
      <c r="H809" s="1073">
        <v>1189284019</v>
      </c>
      <c r="I809" s="1073">
        <v>1481550268</v>
      </c>
      <c r="J809" s="1077">
        <v>1429914436</v>
      </c>
      <c r="K809" s="1075">
        <v>1481550268</v>
      </c>
      <c r="L809" s="1075">
        <v>1429914436</v>
      </c>
    </row>
    <row r="810" spans="1:12">
      <c r="A810" t="s">
        <v>1673</v>
      </c>
      <c r="B810" s="31" t="s">
        <v>1894</v>
      </c>
      <c r="C810" s="1075">
        <v>279192012</v>
      </c>
      <c r="D810" s="1075">
        <v>266720850</v>
      </c>
      <c r="E810" s="1075">
        <v>279192012</v>
      </c>
      <c r="F810" s="1075">
        <v>266720850</v>
      </c>
      <c r="G810" s="1073">
        <v>285230201</v>
      </c>
      <c r="H810" s="1073">
        <v>285230201</v>
      </c>
      <c r="I810" s="1073">
        <v>279192012</v>
      </c>
      <c r="J810" s="1077">
        <v>266720850</v>
      </c>
      <c r="K810" s="1075">
        <v>279192012</v>
      </c>
      <c r="L810" s="1075">
        <v>266720850</v>
      </c>
    </row>
    <row r="811" spans="1:12">
      <c r="A811" t="s">
        <v>378</v>
      </c>
      <c r="B811" s="31" t="s">
        <v>2237</v>
      </c>
      <c r="C811" s="1075">
        <v>82203097</v>
      </c>
      <c r="D811" s="1075">
        <v>78043052</v>
      </c>
      <c r="E811" s="1075">
        <v>82203097</v>
      </c>
      <c r="F811" s="1075">
        <v>78043052</v>
      </c>
      <c r="G811" s="1073">
        <v>76323230</v>
      </c>
      <c r="H811" s="1073">
        <v>76323230</v>
      </c>
      <c r="I811" s="1073">
        <v>82203097</v>
      </c>
      <c r="J811" s="1077">
        <v>78043052</v>
      </c>
      <c r="K811" s="1075">
        <v>82203097</v>
      </c>
      <c r="L811" s="1075">
        <v>78043052</v>
      </c>
    </row>
    <row r="812" spans="1:12">
      <c r="A812" t="s">
        <v>1183</v>
      </c>
      <c r="B812" s="31" t="s">
        <v>1129</v>
      </c>
      <c r="C812" s="1075">
        <v>167889938</v>
      </c>
      <c r="D812" s="1075">
        <v>160561496</v>
      </c>
      <c r="E812" s="1075">
        <v>167889938</v>
      </c>
      <c r="F812" s="1075">
        <v>160561496</v>
      </c>
      <c r="G812" s="1073">
        <v>233077806</v>
      </c>
      <c r="H812" s="1073">
        <v>233077806</v>
      </c>
      <c r="I812" s="1073">
        <v>167889938</v>
      </c>
      <c r="J812" s="1077">
        <v>160561496</v>
      </c>
      <c r="K812" s="1075">
        <v>167889938</v>
      </c>
      <c r="L812" s="1075">
        <v>160561496</v>
      </c>
    </row>
    <row r="813" spans="1:12">
      <c r="A813" t="s">
        <v>379</v>
      </c>
      <c r="B813" s="31" t="s">
        <v>262</v>
      </c>
      <c r="C813" s="1075">
        <v>5933603</v>
      </c>
      <c r="D813" s="1075">
        <v>5649853</v>
      </c>
      <c r="E813" s="1075">
        <v>5933603</v>
      </c>
      <c r="F813" s="1075">
        <v>5649853</v>
      </c>
      <c r="G813" s="1073">
        <v>5621715</v>
      </c>
      <c r="H813" s="1073">
        <v>5621715</v>
      </c>
      <c r="I813" s="1073">
        <v>5933603</v>
      </c>
      <c r="J813" s="1077">
        <v>5649853</v>
      </c>
      <c r="K813" s="1075">
        <v>5933603</v>
      </c>
      <c r="L813" s="1075">
        <v>5649853</v>
      </c>
    </row>
    <row r="814" spans="1:12">
      <c r="A814" t="s">
        <v>1674</v>
      </c>
      <c r="B814" s="31" t="s">
        <v>1895</v>
      </c>
      <c r="C814" s="1075">
        <v>1576231714</v>
      </c>
      <c r="D814" s="1075">
        <v>1531981364</v>
      </c>
      <c r="E814" s="1075">
        <v>1519315569</v>
      </c>
      <c r="F814" s="1075">
        <v>1475065219</v>
      </c>
      <c r="G814" s="1073">
        <v>1764760005</v>
      </c>
      <c r="H814" s="1073">
        <v>1707722016</v>
      </c>
      <c r="I814" s="1073">
        <v>1576231714</v>
      </c>
      <c r="J814" s="1077">
        <v>1531981364</v>
      </c>
      <c r="K814" s="1075">
        <v>1519315569</v>
      </c>
      <c r="L814" s="1075">
        <v>1475065219</v>
      </c>
    </row>
    <row r="815" spans="1:12">
      <c r="A815" t="s">
        <v>1675</v>
      </c>
      <c r="B815" s="31" t="s">
        <v>1525</v>
      </c>
      <c r="C815" s="1075">
        <v>87342652</v>
      </c>
      <c r="D815" s="1075">
        <v>83800162</v>
      </c>
      <c r="E815" s="1075">
        <v>83772572</v>
      </c>
      <c r="F815" s="1075">
        <v>80230082</v>
      </c>
      <c r="G815" s="1073">
        <v>93486261</v>
      </c>
      <c r="H815" s="1073">
        <v>89983127</v>
      </c>
      <c r="I815" s="1073">
        <v>87342652</v>
      </c>
      <c r="J815" s="1077">
        <v>83800162</v>
      </c>
      <c r="K815" s="1075">
        <v>83772572</v>
      </c>
      <c r="L815" s="1075">
        <v>80230082</v>
      </c>
    </row>
    <row r="816" spans="1:12">
      <c r="A816" t="s">
        <v>1676</v>
      </c>
      <c r="B816" s="31" t="s">
        <v>1526</v>
      </c>
      <c r="C816" s="1075">
        <v>30133534</v>
      </c>
      <c r="D816" s="1075">
        <v>28702954</v>
      </c>
      <c r="E816" s="1075">
        <v>28923059</v>
      </c>
      <c r="F816" s="1075">
        <v>27492479</v>
      </c>
      <c r="G816" s="1073">
        <v>48565030</v>
      </c>
      <c r="H816" s="1073">
        <v>47329659</v>
      </c>
      <c r="I816" s="1073">
        <v>30133534</v>
      </c>
      <c r="J816" s="1077">
        <v>28702954</v>
      </c>
      <c r="K816" s="1075">
        <v>28923059</v>
      </c>
      <c r="L816" s="1075">
        <v>27492479</v>
      </c>
    </row>
    <row r="817" spans="1:12">
      <c r="A817" t="s">
        <v>2470</v>
      </c>
      <c r="B817" s="31" t="s">
        <v>2153</v>
      </c>
      <c r="C817" s="1075">
        <v>62463289</v>
      </c>
      <c r="D817" s="1075">
        <v>58685889</v>
      </c>
      <c r="E817" s="1075">
        <v>58537934</v>
      </c>
      <c r="F817" s="1075">
        <v>54760534</v>
      </c>
      <c r="G817" s="1073">
        <v>59375688</v>
      </c>
      <c r="H817" s="1073">
        <v>55438969</v>
      </c>
      <c r="I817" s="1073">
        <v>62463289</v>
      </c>
      <c r="J817" s="1077">
        <v>58685889</v>
      </c>
      <c r="K817" s="1075">
        <v>58537934</v>
      </c>
      <c r="L817" s="1075">
        <v>54760534</v>
      </c>
    </row>
    <row r="818" spans="1:12">
      <c r="A818" t="s">
        <v>2471</v>
      </c>
      <c r="B818" s="31" t="s">
        <v>1362</v>
      </c>
      <c r="C818" s="1075">
        <v>78264718</v>
      </c>
      <c r="D818" s="1075">
        <v>72939868</v>
      </c>
      <c r="E818" s="1075">
        <v>73401748</v>
      </c>
      <c r="F818" s="1075">
        <v>68076898</v>
      </c>
      <c r="G818" s="1073">
        <v>74951052</v>
      </c>
      <c r="H818" s="1073">
        <v>69956266</v>
      </c>
      <c r="I818" s="1073">
        <v>78264718</v>
      </c>
      <c r="J818" s="1077">
        <v>72939868</v>
      </c>
      <c r="K818" s="1075">
        <v>73401748</v>
      </c>
      <c r="L818" s="1075">
        <v>68076898</v>
      </c>
    </row>
    <row r="819" spans="1:12">
      <c r="A819" t="s">
        <v>1677</v>
      </c>
      <c r="B819" s="31" t="s">
        <v>1527</v>
      </c>
      <c r="C819" s="1075">
        <v>1091783463</v>
      </c>
      <c r="D819" s="1075">
        <v>1078844713</v>
      </c>
      <c r="E819" s="1075">
        <v>1074199933</v>
      </c>
      <c r="F819" s="1075">
        <v>1061261183</v>
      </c>
      <c r="G819" s="1073">
        <v>1296934708</v>
      </c>
      <c r="H819" s="1073">
        <v>1279965330</v>
      </c>
      <c r="I819" s="1073">
        <v>1091783463</v>
      </c>
      <c r="J819" s="1077">
        <v>1078844713</v>
      </c>
      <c r="K819" s="1075">
        <v>1074199933</v>
      </c>
      <c r="L819" s="1075">
        <v>1061261183</v>
      </c>
    </row>
    <row r="820" spans="1:12">
      <c r="A820" t="s">
        <v>190</v>
      </c>
      <c r="B820" s="31" t="s">
        <v>654</v>
      </c>
      <c r="C820" s="1075">
        <v>123573410</v>
      </c>
      <c r="D820" s="1075">
        <v>119338563</v>
      </c>
      <c r="E820" s="1075">
        <v>119165371</v>
      </c>
      <c r="F820" s="1075">
        <v>114930524</v>
      </c>
      <c r="G820" s="1073">
        <v>117945895</v>
      </c>
      <c r="H820" s="1073">
        <v>113489935</v>
      </c>
      <c r="I820" s="1073">
        <v>123573410</v>
      </c>
      <c r="J820" s="1077">
        <v>119338563</v>
      </c>
      <c r="K820" s="1075">
        <v>119165371</v>
      </c>
      <c r="L820" s="1075">
        <v>114930524</v>
      </c>
    </row>
    <row r="821" spans="1:12">
      <c r="A821" t="s">
        <v>1678</v>
      </c>
      <c r="B821" s="31" t="s">
        <v>3916</v>
      </c>
      <c r="C821" s="1075">
        <v>364231959</v>
      </c>
      <c r="D821" s="1075">
        <v>353260769</v>
      </c>
      <c r="E821" s="1075">
        <v>353516644</v>
      </c>
      <c r="F821" s="1075">
        <v>342545454</v>
      </c>
      <c r="G821" s="1073">
        <v>554952338</v>
      </c>
      <c r="H821" s="1073">
        <v>544027245</v>
      </c>
      <c r="I821" s="1073">
        <v>364231959</v>
      </c>
      <c r="J821" s="1077">
        <v>353260769</v>
      </c>
      <c r="K821" s="1075">
        <v>353516644</v>
      </c>
      <c r="L821" s="1075">
        <v>342545454</v>
      </c>
    </row>
    <row r="822" spans="1:12">
      <c r="A822" t="s">
        <v>1395</v>
      </c>
      <c r="B822" s="31" t="s">
        <v>1529</v>
      </c>
      <c r="C822" s="1075">
        <v>457050742</v>
      </c>
      <c r="D822" s="1075">
        <v>435951032</v>
      </c>
      <c r="E822" s="1075">
        <v>457050742</v>
      </c>
      <c r="F822" s="1075">
        <v>435951032</v>
      </c>
      <c r="G822" s="1073">
        <v>484095629</v>
      </c>
      <c r="H822" s="1073">
        <v>484095629</v>
      </c>
      <c r="I822" s="1073">
        <v>457050742</v>
      </c>
      <c r="J822" s="1077">
        <v>435951032</v>
      </c>
      <c r="K822" s="1075">
        <v>457050742</v>
      </c>
      <c r="L822" s="1075">
        <v>435951032</v>
      </c>
    </row>
    <row r="823" spans="1:12">
      <c r="A823" t="s">
        <v>1396</v>
      </c>
      <c r="B823" s="31" t="s">
        <v>1530</v>
      </c>
      <c r="C823" s="1075">
        <v>109121057</v>
      </c>
      <c r="D823" s="1075">
        <v>103111347</v>
      </c>
      <c r="E823" s="1075">
        <v>105621277</v>
      </c>
      <c r="F823" s="1075">
        <v>99611567</v>
      </c>
      <c r="G823" s="1073">
        <v>99971002</v>
      </c>
      <c r="H823" s="1073">
        <v>96954521</v>
      </c>
      <c r="I823" s="1073">
        <v>109121057</v>
      </c>
      <c r="J823" s="1077">
        <v>103111347</v>
      </c>
      <c r="K823" s="1075">
        <v>105621277</v>
      </c>
      <c r="L823" s="1075">
        <v>99611567</v>
      </c>
    </row>
    <row r="824" spans="1:12">
      <c r="A824" t="s">
        <v>1397</v>
      </c>
      <c r="B824" s="31" t="s">
        <v>2070</v>
      </c>
      <c r="C824" s="1075">
        <v>378425338</v>
      </c>
      <c r="D824" s="1075">
        <v>370450829</v>
      </c>
      <c r="E824" s="1075">
        <v>378425338</v>
      </c>
      <c r="F824" s="1075">
        <v>370450829</v>
      </c>
      <c r="G824" s="1073">
        <v>472355733</v>
      </c>
      <c r="H824" s="1073">
        <v>472355733</v>
      </c>
      <c r="I824" s="1073">
        <v>378425338</v>
      </c>
      <c r="J824" s="1077">
        <v>370450829</v>
      </c>
      <c r="K824" s="1075">
        <v>378425338</v>
      </c>
      <c r="L824" s="1075">
        <v>370450829</v>
      </c>
    </row>
    <row r="825" spans="1:12">
      <c r="A825" t="s">
        <v>1632</v>
      </c>
      <c r="B825" s="31" t="s">
        <v>2071</v>
      </c>
      <c r="C825" s="1075">
        <v>163006714</v>
      </c>
      <c r="D825" s="1075">
        <v>157776224</v>
      </c>
      <c r="E825" s="1075">
        <v>163006714</v>
      </c>
      <c r="F825" s="1075">
        <v>157776224</v>
      </c>
      <c r="G825" s="1073">
        <v>178716171</v>
      </c>
      <c r="H825" s="1073">
        <v>175680618</v>
      </c>
      <c r="I825" s="1073">
        <v>163006714</v>
      </c>
      <c r="J825" s="1077">
        <v>157776224</v>
      </c>
      <c r="K825" s="1075">
        <v>163006714</v>
      </c>
      <c r="L825" s="1075">
        <v>157776224</v>
      </c>
    </row>
    <row r="826" spans="1:12">
      <c r="A826" t="s">
        <v>1633</v>
      </c>
      <c r="B826" s="31" t="s">
        <v>2334</v>
      </c>
      <c r="C826" s="1075">
        <v>1071438051</v>
      </c>
      <c r="D826" s="1075">
        <v>1036673868</v>
      </c>
      <c r="E826" s="1075">
        <v>1071438051</v>
      </c>
      <c r="F826" s="1075">
        <v>1036673868</v>
      </c>
      <c r="G826" s="1073">
        <v>1021879434</v>
      </c>
      <c r="H826" s="1073">
        <v>1021879434</v>
      </c>
      <c r="I826" s="1073">
        <v>1071438051</v>
      </c>
      <c r="J826" s="1077">
        <v>1036673868</v>
      </c>
      <c r="K826" s="1075">
        <v>1071438051</v>
      </c>
      <c r="L826" s="1075">
        <v>1036673868</v>
      </c>
    </row>
    <row r="827" spans="1:12">
      <c r="A827" t="s">
        <v>2433</v>
      </c>
      <c r="B827" s="31" t="s">
        <v>351</v>
      </c>
      <c r="C827" s="1075">
        <v>337512633</v>
      </c>
      <c r="D827" s="1075">
        <v>322645284</v>
      </c>
      <c r="E827" s="1075">
        <v>337512633</v>
      </c>
      <c r="F827" s="1075">
        <v>322645284</v>
      </c>
      <c r="G827" s="1073">
        <v>321069387</v>
      </c>
      <c r="H827" s="1073">
        <v>307251896</v>
      </c>
      <c r="I827" s="1073">
        <v>337512633</v>
      </c>
      <c r="J827" s="1077">
        <v>322645284</v>
      </c>
      <c r="K827" s="1075">
        <v>337512633</v>
      </c>
      <c r="L827" s="1075">
        <v>322645284</v>
      </c>
    </row>
    <row r="828" spans="1:12">
      <c r="A828" t="s">
        <v>1215</v>
      </c>
      <c r="B828" s="31" t="s">
        <v>2420</v>
      </c>
      <c r="C828" s="1075">
        <v>722480769</v>
      </c>
      <c r="D828" s="1075">
        <v>703720396</v>
      </c>
      <c r="E828" s="1075">
        <v>722480769</v>
      </c>
      <c r="F828" s="1075">
        <v>703720396</v>
      </c>
      <c r="G828" s="1073">
        <v>643529073</v>
      </c>
      <c r="H828" s="1073">
        <v>643529073</v>
      </c>
      <c r="I828" s="1073">
        <v>722480769</v>
      </c>
      <c r="J828" s="1077">
        <v>703720396</v>
      </c>
      <c r="K828" s="1075">
        <v>722480769</v>
      </c>
      <c r="L828" s="1075">
        <v>703720396</v>
      </c>
    </row>
    <row r="829" spans="1:12">
      <c r="A829" t="s">
        <v>2434</v>
      </c>
      <c r="B829" s="31" t="s">
        <v>352</v>
      </c>
      <c r="C829" s="1075">
        <v>1774549086</v>
      </c>
      <c r="D829" s="1075">
        <v>1734569473</v>
      </c>
      <c r="E829" s="1075">
        <v>1774549086</v>
      </c>
      <c r="F829" s="1075">
        <v>1734569473</v>
      </c>
      <c r="G829" s="1073">
        <v>1375263178</v>
      </c>
      <c r="H829" s="1073">
        <v>1375263178</v>
      </c>
      <c r="I829" s="1073">
        <v>2253157436</v>
      </c>
      <c r="J829" s="1077">
        <v>2213177823</v>
      </c>
      <c r="K829" s="1075">
        <v>2253157436</v>
      </c>
      <c r="L829" s="1075">
        <v>2213177823</v>
      </c>
    </row>
    <row r="830" spans="1:12">
      <c r="A830" t="s">
        <v>1454</v>
      </c>
      <c r="B830" s="31" t="s">
        <v>353</v>
      </c>
      <c r="C830" s="1075">
        <v>2518364935</v>
      </c>
      <c r="D830" s="1075">
        <v>2499821252</v>
      </c>
      <c r="E830" s="1075">
        <v>2518364935</v>
      </c>
      <c r="F830" s="1075">
        <v>2499821252</v>
      </c>
      <c r="G830" s="1073">
        <v>1568162511</v>
      </c>
      <c r="H830" s="1073">
        <v>1568162511</v>
      </c>
      <c r="I830" s="1073">
        <v>2518364935</v>
      </c>
      <c r="J830" s="1077">
        <v>2499821252</v>
      </c>
      <c r="K830" s="1075">
        <v>2518364935</v>
      </c>
      <c r="L830" s="1075">
        <v>2499821252</v>
      </c>
    </row>
    <row r="831" spans="1:12">
      <c r="A831" t="s">
        <v>2527</v>
      </c>
      <c r="B831" s="31" t="s">
        <v>2066</v>
      </c>
      <c r="C831" s="1075">
        <v>367640313</v>
      </c>
      <c r="D831" s="1075">
        <v>352188659</v>
      </c>
      <c r="E831" s="1075">
        <v>367640313</v>
      </c>
      <c r="F831" s="1075">
        <v>352188659</v>
      </c>
      <c r="G831" s="1073">
        <v>366064975</v>
      </c>
      <c r="H831" s="1073">
        <v>366064975</v>
      </c>
      <c r="I831" s="1073">
        <v>367640313</v>
      </c>
      <c r="J831" s="1077">
        <v>352188659</v>
      </c>
      <c r="K831" s="1075">
        <v>367640313</v>
      </c>
      <c r="L831" s="1075">
        <v>352188659</v>
      </c>
    </row>
    <row r="832" spans="1:12">
      <c r="A832" t="s">
        <v>1411</v>
      </c>
      <c r="B832" s="31" t="s">
        <v>260</v>
      </c>
      <c r="C832" s="1075">
        <v>309748993</v>
      </c>
      <c r="D832" s="1075">
        <v>299957248</v>
      </c>
      <c r="E832" s="1075">
        <v>309748993</v>
      </c>
      <c r="F832" s="1075">
        <v>299957248</v>
      </c>
      <c r="G832" s="1073">
        <v>317444695</v>
      </c>
      <c r="H832" s="1073">
        <v>317444695</v>
      </c>
      <c r="I832" s="1073">
        <v>352062813</v>
      </c>
      <c r="J832" s="1077">
        <v>342271068</v>
      </c>
      <c r="K832" s="1075">
        <v>352062813</v>
      </c>
      <c r="L832" s="1075">
        <v>342271068</v>
      </c>
    </row>
    <row r="833" spans="1:12">
      <c r="A833" t="s">
        <v>1317</v>
      </c>
      <c r="B833" s="31" t="s">
        <v>267</v>
      </c>
      <c r="C833" s="1075">
        <v>420946344</v>
      </c>
      <c r="D833" s="1075">
        <v>404852687</v>
      </c>
      <c r="E833" s="1075">
        <v>420946344</v>
      </c>
      <c r="F833" s="1075">
        <v>404852687</v>
      </c>
      <c r="G833" s="1073">
        <v>400314754</v>
      </c>
      <c r="H833" s="1073">
        <v>400314754</v>
      </c>
      <c r="I833" s="1073">
        <v>475332584</v>
      </c>
      <c r="J833" s="1077">
        <v>459238927</v>
      </c>
      <c r="K833" s="1075">
        <v>475332584</v>
      </c>
      <c r="L833" s="1075">
        <v>459238927</v>
      </c>
    </row>
    <row r="834" spans="1:12">
      <c r="A834" t="s">
        <v>191</v>
      </c>
      <c r="B834" s="31" t="s">
        <v>601</v>
      </c>
      <c r="C834" s="1075">
        <v>311603323</v>
      </c>
      <c r="D834" s="1075">
        <v>302606617</v>
      </c>
      <c r="E834" s="1075">
        <v>311603323</v>
      </c>
      <c r="F834" s="1075">
        <v>302606617</v>
      </c>
      <c r="G834" s="1073">
        <v>300331152</v>
      </c>
      <c r="H834" s="1073">
        <v>300331152</v>
      </c>
      <c r="I834" s="1073">
        <v>510660263</v>
      </c>
      <c r="J834" s="1077">
        <v>501663557</v>
      </c>
      <c r="K834" s="1075">
        <v>510660263</v>
      </c>
      <c r="L834" s="1075">
        <v>501663557</v>
      </c>
    </row>
    <row r="835" spans="1:12">
      <c r="A835" t="s">
        <v>489</v>
      </c>
      <c r="B835" s="31" t="s">
        <v>1404</v>
      </c>
      <c r="C835" s="1075">
        <v>226881950</v>
      </c>
      <c r="D835" s="1075">
        <v>217961010</v>
      </c>
      <c r="E835" s="1075">
        <v>226881950</v>
      </c>
      <c r="F835" s="1075">
        <v>217961010</v>
      </c>
      <c r="G835" s="1073">
        <v>193240554</v>
      </c>
      <c r="H835" s="1073">
        <v>193240554</v>
      </c>
      <c r="I835" s="1073">
        <v>226881950</v>
      </c>
      <c r="J835" s="1077">
        <v>217961010</v>
      </c>
      <c r="K835" s="1075">
        <v>226881950</v>
      </c>
      <c r="L835" s="1075">
        <v>217961010</v>
      </c>
    </row>
    <row r="836" spans="1:12">
      <c r="A836" t="s">
        <v>1455</v>
      </c>
      <c r="B836" s="31" t="s">
        <v>354</v>
      </c>
      <c r="C836" s="1075">
        <v>64614820</v>
      </c>
      <c r="D836" s="1075">
        <v>62505210</v>
      </c>
      <c r="E836" s="1075">
        <v>64614820</v>
      </c>
      <c r="F836" s="1075">
        <v>62505210</v>
      </c>
      <c r="G836" s="1073">
        <v>59258675</v>
      </c>
      <c r="H836" s="1073">
        <v>59258675</v>
      </c>
      <c r="I836" s="1073">
        <v>64614820</v>
      </c>
      <c r="J836" s="1077">
        <v>62505210</v>
      </c>
      <c r="K836" s="1075">
        <v>64614820</v>
      </c>
      <c r="L836" s="1075">
        <v>62505210</v>
      </c>
    </row>
    <row r="837" spans="1:12">
      <c r="A837" t="s">
        <v>1456</v>
      </c>
      <c r="B837" s="31" t="s">
        <v>355</v>
      </c>
      <c r="C837" s="1075">
        <v>49977856</v>
      </c>
      <c r="D837" s="1075">
        <v>48542086</v>
      </c>
      <c r="E837" s="1075">
        <v>49977856</v>
      </c>
      <c r="F837" s="1075">
        <v>48542086</v>
      </c>
      <c r="G837" s="1073">
        <v>46361822</v>
      </c>
      <c r="H837" s="1073">
        <v>46361822</v>
      </c>
      <c r="I837" s="1073">
        <v>49977856</v>
      </c>
      <c r="J837" s="1077">
        <v>48542086</v>
      </c>
      <c r="K837" s="1075">
        <v>49977856</v>
      </c>
      <c r="L837" s="1075">
        <v>48542086</v>
      </c>
    </row>
    <row r="838" spans="1:12">
      <c r="A838" t="s">
        <v>1377</v>
      </c>
      <c r="B838" s="31" t="s">
        <v>356</v>
      </c>
      <c r="C838" s="1075">
        <v>290326350</v>
      </c>
      <c r="D838" s="1075">
        <v>285424150</v>
      </c>
      <c r="E838" s="1075">
        <v>287122919</v>
      </c>
      <c r="F838" s="1075">
        <v>282220719</v>
      </c>
      <c r="G838" s="1073">
        <v>420452635</v>
      </c>
      <c r="H838" s="1073">
        <v>417752075</v>
      </c>
      <c r="I838" s="1073">
        <v>295355350</v>
      </c>
      <c r="J838" s="1077">
        <v>290453150</v>
      </c>
      <c r="K838" s="1075">
        <v>292151919</v>
      </c>
      <c r="L838" s="1075">
        <v>287249719</v>
      </c>
    </row>
    <row r="839" spans="1:12">
      <c r="A839" t="s">
        <v>1378</v>
      </c>
      <c r="B839" s="31" t="s">
        <v>357</v>
      </c>
      <c r="C839" s="1075">
        <v>145954546</v>
      </c>
      <c r="D839" s="1075">
        <v>144162448</v>
      </c>
      <c r="E839" s="1075">
        <v>145954546</v>
      </c>
      <c r="F839" s="1075">
        <v>144162448</v>
      </c>
      <c r="G839" s="1073">
        <v>145141750</v>
      </c>
      <c r="H839" s="1073">
        <v>145141750</v>
      </c>
      <c r="I839" s="1073">
        <v>350015346</v>
      </c>
      <c r="J839" s="1077">
        <v>348223248</v>
      </c>
      <c r="K839" s="1075">
        <v>350015346</v>
      </c>
      <c r="L839" s="1075">
        <v>348223248</v>
      </c>
    </row>
    <row r="840" spans="1:12">
      <c r="A840" t="s">
        <v>1379</v>
      </c>
      <c r="B840" s="31" t="s">
        <v>358</v>
      </c>
      <c r="C840" s="1075">
        <v>2162284215</v>
      </c>
      <c r="D840" s="1075">
        <v>2131958646</v>
      </c>
      <c r="E840" s="1075">
        <v>2162284215</v>
      </c>
      <c r="F840" s="1075">
        <v>2131958646</v>
      </c>
      <c r="G840" s="1073">
        <v>3474514737</v>
      </c>
      <c r="H840" s="1073">
        <v>3474514737</v>
      </c>
      <c r="I840" s="1073">
        <v>2201521425</v>
      </c>
      <c r="J840" s="1077">
        <v>2171195856</v>
      </c>
      <c r="K840" s="1075">
        <v>2201521425</v>
      </c>
      <c r="L840" s="1075">
        <v>2171195856</v>
      </c>
    </row>
    <row r="841" spans="1:12">
      <c r="A841" t="s">
        <v>1473</v>
      </c>
      <c r="B841" s="31" t="s">
        <v>359</v>
      </c>
      <c r="C841" s="1075">
        <v>133149982</v>
      </c>
      <c r="D841" s="1075">
        <v>131419946</v>
      </c>
      <c r="E841" s="1075">
        <v>133149982</v>
      </c>
      <c r="F841" s="1075">
        <v>131419946</v>
      </c>
      <c r="G841" s="1073">
        <v>267299890</v>
      </c>
      <c r="H841" s="1073">
        <v>267299890</v>
      </c>
      <c r="I841" s="1073">
        <v>133149982</v>
      </c>
      <c r="J841" s="1077">
        <v>131419946</v>
      </c>
      <c r="K841" s="1075">
        <v>133149982</v>
      </c>
      <c r="L841" s="1075">
        <v>131419946</v>
      </c>
    </row>
    <row r="842" spans="1:12">
      <c r="A842" t="s">
        <v>961</v>
      </c>
      <c r="B842" s="31" t="s">
        <v>360</v>
      </c>
      <c r="C842" s="1075">
        <v>280649037</v>
      </c>
      <c r="D842" s="1075">
        <v>274724365</v>
      </c>
      <c r="E842" s="1075">
        <v>280649037</v>
      </c>
      <c r="F842" s="1075">
        <v>274724365</v>
      </c>
      <c r="G842" s="1073">
        <v>323318140</v>
      </c>
      <c r="H842" s="1073">
        <v>323318140</v>
      </c>
      <c r="I842" s="1073">
        <v>375649037</v>
      </c>
      <c r="J842" s="1077">
        <v>369724365</v>
      </c>
      <c r="K842" s="1075">
        <v>375649037</v>
      </c>
      <c r="L842" s="1075">
        <v>369724365</v>
      </c>
    </row>
    <row r="843" spans="1:12">
      <c r="A843" t="s">
        <v>962</v>
      </c>
      <c r="B843" s="31" t="s">
        <v>361</v>
      </c>
      <c r="C843" s="1075">
        <v>53718911</v>
      </c>
      <c r="D843" s="1075">
        <v>52936863</v>
      </c>
      <c r="E843" s="1075">
        <v>53718911</v>
      </c>
      <c r="F843" s="1075">
        <v>52936863</v>
      </c>
      <c r="G843" s="1073">
        <v>81961515</v>
      </c>
      <c r="H843" s="1073">
        <v>81961515</v>
      </c>
      <c r="I843" s="1073">
        <v>53718911</v>
      </c>
      <c r="J843" s="1077">
        <v>52936863</v>
      </c>
      <c r="K843" s="1075">
        <v>53718911</v>
      </c>
      <c r="L843" s="1075">
        <v>52936863</v>
      </c>
    </row>
    <row r="844" spans="1:12">
      <c r="A844" t="s">
        <v>963</v>
      </c>
      <c r="B844" s="31" t="s">
        <v>1776</v>
      </c>
      <c r="C844" s="1075">
        <v>563689479</v>
      </c>
      <c r="D844" s="1075">
        <v>546662945</v>
      </c>
      <c r="E844" s="1075">
        <v>546896788</v>
      </c>
      <c r="F844" s="1075">
        <v>529870254</v>
      </c>
      <c r="G844" s="1073">
        <v>631832010</v>
      </c>
      <c r="H844" s="1073">
        <v>614810064</v>
      </c>
      <c r="I844" s="1073">
        <v>563689479</v>
      </c>
      <c r="J844" s="1077">
        <v>546662945</v>
      </c>
      <c r="K844" s="1075">
        <v>546896788</v>
      </c>
      <c r="L844" s="1075">
        <v>529870254</v>
      </c>
    </row>
    <row r="845" spans="1:12">
      <c r="A845" t="s">
        <v>1089</v>
      </c>
      <c r="B845" s="31" t="s">
        <v>1777</v>
      </c>
      <c r="C845" s="1075">
        <v>170814684</v>
      </c>
      <c r="D845" s="1075">
        <v>164366924</v>
      </c>
      <c r="E845" s="1075">
        <v>164943514</v>
      </c>
      <c r="F845" s="1075">
        <v>158495754</v>
      </c>
      <c r="G845" s="1073">
        <v>197920790</v>
      </c>
      <c r="H845" s="1073">
        <v>191712782</v>
      </c>
      <c r="I845" s="1073">
        <v>170814684</v>
      </c>
      <c r="J845" s="1077">
        <v>164366924</v>
      </c>
      <c r="K845" s="1075">
        <v>164943514</v>
      </c>
      <c r="L845" s="1075">
        <v>158495754</v>
      </c>
    </row>
    <row r="846" spans="1:12">
      <c r="A846" t="s">
        <v>192</v>
      </c>
      <c r="B846" s="31" t="s">
        <v>1249</v>
      </c>
      <c r="C846" s="1075">
        <v>247715085</v>
      </c>
      <c r="D846" s="1075">
        <v>241798338</v>
      </c>
      <c r="E846" s="1075">
        <v>247715085</v>
      </c>
      <c r="F846" s="1075">
        <v>241798338</v>
      </c>
      <c r="G846" s="1073">
        <v>262977525</v>
      </c>
      <c r="H846" s="1073">
        <v>262977525</v>
      </c>
      <c r="I846" s="1073">
        <v>247715085</v>
      </c>
      <c r="J846" s="1077">
        <v>241798338</v>
      </c>
      <c r="K846" s="1075">
        <v>247715085</v>
      </c>
      <c r="L846" s="1075">
        <v>241798338</v>
      </c>
    </row>
    <row r="847" spans="1:12">
      <c r="A847" t="s">
        <v>1090</v>
      </c>
      <c r="B847" s="31" t="s">
        <v>1778</v>
      </c>
      <c r="C847" s="1075">
        <v>98106130</v>
      </c>
      <c r="D847" s="1075">
        <v>94841995</v>
      </c>
      <c r="E847" s="1075">
        <v>98106130</v>
      </c>
      <c r="F847" s="1075">
        <v>94841995</v>
      </c>
      <c r="G847" s="1073">
        <v>106001500</v>
      </c>
      <c r="H847" s="1073">
        <v>106001500</v>
      </c>
      <c r="I847" s="1073">
        <v>98106130</v>
      </c>
      <c r="J847" s="1077">
        <v>94841995</v>
      </c>
      <c r="K847" s="1075">
        <v>98106130</v>
      </c>
      <c r="L847" s="1075">
        <v>94841995</v>
      </c>
    </row>
    <row r="848" spans="1:12">
      <c r="A848" t="s">
        <v>1091</v>
      </c>
      <c r="B848" s="31" t="s">
        <v>1779</v>
      </c>
      <c r="C848" s="1075">
        <v>135455638</v>
      </c>
      <c r="D848" s="1075">
        <v>129538750</v>
      </c>
      <c r="E848" s="1075">
        <v>129901687</v>
      </c>
      <c r="F848" s="1075">
        <v>123984799</v>
      </c>
      <c r="G848" s="1073">
        <v>140040560</v>
      </c>
      <c r="H848" s="1073">
        <v>134440435</v>
      </c>
      <c r="I848" s="1073">
        <v>135455638</v>
      </c>
      <c r="J848" s="1077">
        <v>129538750</v>
      </c>
      <c r="K848" s="1075">
        <v>129901687</v>
      </c>
      <c r="L848" s="1075">
        <v>123984799</v>
      </c>
    </row>
    <row r="849" spans="1:12">
      <c r="A849" t="s">
        <v>1238</v>
      </c>
      <c r="B849" s="31" t="s">
        <v>1780</v>
      </c>
      <c r="C849" s="1075">
        <v>46922269</v>
      </c>
      <c r="D849" s="1075">
        <v>46021031</v>
      </c>
      <c r="E849" s="1075">
        <v>46922269</v>
      </c>
      <c r="F849" s="1075">
        <v>46021031</v>
      </c>
      <c r="G849" s="1073">
        <v>55489952</v>
      </c>
      <c r="H849" s="1073">
        <v>54667943</v>
      </c>
      <c r="I849" s="1073">
        <v>46922269</v>
      </c>
      <c r="J849" s="1077">
        <v>46021031</v>
      </c>
      <c r="K849" s="1075">
        <v>46922269</v>
      </c>
      <c r="L849" s="1075">
        <v>46021031</v>
      </c>
    </row>
    <row r="850" spans="1:12">
      <c r="A850" t="s">
        <v>1239</v>
      </c>
      <c r="B850" s="31" t="s">
        <v>1781</v>
      </c>
      <c r="C850" s="1075">
        <v>96141620</v>
      </c>
      <c r="D850" s="1075">
        <v>95233610</v>
      </c>
      <c r="E850" s="1075">
        <v>96141620</v>
      </c>
      <c r="F850" s="1075">
        <v>95233610</v>
      </c>
      <c r="G850" s="1073">
        <v>133207331</v>
      </c>
      <c r="H850" s="1073">
        <v>133207331</v>
      </c>
      <c r="I850" s="1073">
        <v>96141620</v>
      </c>
      <c r="J850" s="1077">
        <v>95233610</v>
      </c>
      <c r="K850" s="1075">
        <v>96141620</v>
      </c>
      <c r="L850" s="1075">
        <v>95233610</v>
      </c>
    </row>
    <row r="851" spans="1:12">
      <c r="A851" t="s">
        <v>1801</v>
      </c>
      <c r="B851" s="31" t="s">
        <v>1994</v>
      </c>
      <c r="C851" s="1075">
        <v>419544929</v>
      </c>
      <c r="D851" s="1075">
        <v>414859223</v>
      </c>
      <c r="E851" s="1075">
        <v>419544929</v>
      </c>
      <c r="F851" s="1075">
        <v>414859223</v>
      </c>
      <c r="G851" s="1073">
        <v>493280012</v>
      </c>
      <c r="H851" s="1073">
        <v>493280012</v>
      </c>
      <c r="I851" s="1073">
        <v>419544929</v>
      </c>
      <c r="J851" s="1077">
        <v>414859223</v>
      </c>
      <c r="K851" s="1075">
        <v>419544929</v>
      </c>
      <c r="L851" s="1075">
        <v>414859223</v>
      </c>
    </row>
    <row r="852" spans="1:12">
      <c r="A852" t="s">
        <v>274</v>
      </c>
      <c r="B852" s="31" t="s">
        <v>2115</v>
      </c>
      <c r="C852" s="1075">
        <v>354837702</v>
      </c>
      <c r="D852" s="1075">
        <v>341743284</v>
      </c>
      <c r="E852" s="1075">
        <v>331813718</v>
      </c>
      <c r="F852" s="1075">
        <v>318719300</v>
      </c>
      <c r="G852" s="1073">
        <v>340447567</v>
      </c>
      <c r="H852" s="1073">
        <v>319153138</v>
      </c>
      <c r="I852" s="1073">
        <v>354837702</v>
      </c>
      <c r="J852" s="1077">
        <v>341743284</v>
      </c>
      <c r="K852" s="1075">
        <v>331813718</v>
      </c>
      <c r="L852" s="1075">
        <v>318719300</v>
      </c>
    </row>
    <row r="853" spans="1:12">
      <c r="A853" t="s">
        <v>1727</v>
      </c>
      <c r="B853" s="31" t="s">
        <v>1995</v>
      </c>
      <c r="C853" s="1075">
        <v>956974590</v>
      </c>
      <c r="D853" s="1075">
        <v>926365412</v>
      </c>
      <c r="E853" s="1075">
        <v>956974590</v>
      </c>
      <c r="F853" s="1075">
        <v>926365412</v>
      </c>
      <c r="G853" s="1073">
        <v>863926287</v>
      </c>
      <c r="H853" s="1073">
        <v>863926287</v>
      </c>
      <c r="I853" s="1073">
        <v>956974590</v>
      </c>
      <c r="J853" s="1077">
        <v>926365412</v>
      </c>
      <c r="K853" s="1075">
        <v>956974590</v>
      </c>
      <c r="L853" s="1075">
        <v>926365412</v>
      </c>
    </row>
    <row r="854" spans="1:12">
      <c r="A854" t="s">
        <v>1728</v>
      </c>
      <c r="B854" s="31" t="s">
        <v>1996</v>
      </c>
      <c r="C854" s="1075">
        <v>1340026446</v>
      </c>
      <c r="D854" s="1075">
        <v>1289092092</v>
      </c>
      <c r="E854" s="1075">
        <v>1340026446</v>
      </c>
      <c r="F854" s="1075">
        <v>1289092092</v>
      </c>
      <c r="G854" s="1073">
        <v>1234692758</v>
      </c>
      <c r="H854" s="1073">
        <v>1234692758</v>
      </c>
      <c r="I854" s="1073">
        <v>1340026446</v>
      </c>
      <c r="J854" s="1077">
        <v>1289092092</v>
      </c>
      <c r="K854" s="1075">
        <v>1340026446</v>
      </c>
      <c r="L854" s="1075">
        <v>1289092092</v>
      </c>
    </row>
    <row r="855" spans="1:12">
      <c r="A855" t="s">
        <v>1006</v>
      </c>
      <c r="B855" s="31" t="s">
        <v>1997</v>
      </c>
      <c r="C855" s="1075">
        <v>339094497</v>
      </c>
      <c r="D855" s="1075">
        <v>328571936</v>
      </c>
      <c r="E855" s="1075">
        <v>339094497</v>
      </c>
      <c r="F855" s="1075">
        <v>328571936</v>
      </c>
      <c r="G855" s="1073">
        <v>296613801</v>
      </c>
      <c r="H855" s="1073">
        <v>296613801</v>
      </c>
      <c r="I855" s="1073">
        <v>339094497</v>
      </c>
      <c r="J855" s="1077">
        <v>328571936</v>
      </c>
      <c r="K855" s="1075">
        <v>339094497</v>
      </c>
      <c r="L855" s="1075">
        <v>328571936</v>
      </c>
    </row>
    <row r="856" spans="1:12">
      <c r="A856" t="s">
        <v>189</v>
      </c>
      <c r="B856" s="31" t="s">
        <v>1998</v>
      </c>
      <c r="C856" s="1075">
        <v>8344523931</v>
      </c>
      <c r="D856" s="1075">
        <v>8118208860</v>
      </c>
      <c r="E856" s="1075">
        <v>8344523931</v>
      </c>
      <c r="F856" s="1075">
        <v>8118208860</v>
      </c>
      <c r="G856" s="1073">
        <v>7948280358</v>
      </c>
      <c r="H856" s="1073">
        <v>7948280358</v>
      </c>
      <c r="I856" s="1073">
        <v>8344523931</v>
      </c>
      <c r="J856" s="1077">
        <v>8118208860</v>
      </c>
      <c r="K856" s="1075">
        <v>8344523931</v>
      </c>
      <c r="L856" s="1075">
        <v>8118208860</v>
      </c>
    </row>
    <row r="857" spans="1:12">
      <c r="A857" t="s">
        <v>1181</v>
      </c>
      <c r="B857" s="31" t="s">
        <v>1334</v>
      </c>
      <c r="C857" s="1075">
        <v>1952225215</v>
      </c>
      <c r="D857" s="1075">
        <v>1894577874</v>
      </c>
      <c r="E857" s="1075">
        <v>1952225215</v>
      </c>
      <c r="F857" s="1075">
        <v>1894577874</v>
      </c>
      <c r="G857" s="1073">
        <v>1767855184</v>
      </c>
      <c r="H857" s="1073">
        <v>1767855184</v>
      </c>
      <c r="I857" s="1073">
        <v>1952225215</v>
      </c>
      <c r="J857" s="1077">
        <v>1894577874</v>
      </c>
      <c r="K857" s="1075">
        <v>1952225215</v>
      </c>
      <c r="L857" s="1075">
        <v>1894577874</v>
      </c>
    </row>
    <row r="858" spans="1:12">
      <c r="A858" t="s">
        <v>1340</v>
      </c>
      <c r="B858" s="31" t="s">
        <v>660</v>
      </c>
      <c r="C858" s="1075">
        <v>1172377306</v>
      </c>
      <c r="D858" s="1075">
        <v>1132458903</v>
      </c>
      <c r="E858" s="1075">
        <v>1172377306</v>
      </c>
      <c r="F858" s="1075">
        <v>1132458903</v>
      </c>
      <c r="G858" s="1073">
        <v>1167200702</v>
      </c>
      <c r="H858" s="1073">
        <v>1167200702</v>
      </c>
      <c r="I858" s="1073">
        <v>1172377306</v>
      </c>
      <c r="J858" s="1077">
        <v>1132458903</v>
      </c>
      <c r="K858" s="1075">
        <v>1172377306</v>
      </c>
      <c r="L858" s="1075">
        <v>1132458903</v>
      </c>
    </row>
    <row r="859" spans="1:12">
      <c r="A859" t="s">
        <v>1341</v>
      </c>
      <c r="B859" s="31" t="s">
        <v>1999</v>
      </c>
      <c r="C859" s="1075">
        <v>428699862</v>
      </c>
      <c r="D859" s="1075">
        <v>416213528</v>
      </c>
      <c r="E859" s="1075">
        <v>428699862</v>
      </c>
      <c r="F859" s="1075">
        <v>416213528</v>
      </c>
      <c r="G859" s="1073">
        <v>423480238</v>
      </c>
      <c r="H859" s="1073">
        <v>423480238</v>
      </c>
      <c r="I859" s="1073">
        <v>428699862</v>
      </c>
      <c r="J859" s="1077">
        <v>416213528</v>
      </c>
      <c r="K859" s="1075">
        <v>428699862</v>
      </c>
      <c r="L859" s="1075">
        <v>416213528</v>
      </c>
    </row>
    <row r="860" spans="1:12">
      <c r="A860" t="s">
        <v>1342</v>
      </c>
      <c r="B860" s="31" t="s">
        <v>2000</v>
      </c>
      <c r="C860" s="1075">
        <v>2793289301</v>
      </c>
      <c r="D860" s="1075">
        <v>2774518646</v>
      </c>
      <c r="E860" s="1075">
        <v>2759504122</v>
      </c>
      <c r="F860" s="1075">
        <v>2740733467</v>
      </c>
      <c r="G860" s="1073">
        <v>2827611898</v>
      </c>
      <c r="H860" s="1073">
        <v>2794651092</v>
      </c>
      <c r="I860" s="1073">
        <v>2793289301</v>
      </c>
      <c r="J860" s="1077">
        <v>2774518646</v>
      </c>
      <c r="K860" s="1075">
        <v>2759504122</v>
      </c>
      <c r="L860" s="1075">
        <v>2740733467</v>
      </c>
    </row>
    <row r="861" spans="1:12">
      <c r="A861" t="s">
        <v>2653</v>
      </c>
      <c r="B861" s="31" t="s">
        <v>2693</v>
      </c>
      <c r="C861" s="1075">
        <v>1641882132</v>
      </c>
      <c r="D861" s="1075">
        <v>1590662212</v>
      </c>
      <c r="E861" s="1075">
        <v>1641882132</v>
      </c>
      <c r="F861" s="1075">
        <v>1590662212</v>
      </c>
      <c r="G861" s="1073">
        <v>1234739801</v>
      </c>
      <c r="H861" s="1073">
        <v>1234739801</v>
      </c>
      <c r="I861" s="1073">
        <v>1641882132</v>
      </c>
      <c r="J861" s="1077">
        <v>1590662212</v>
      </c>
      <c r="K861" s="1075">
        <v>1641882132</v>
      </c>
      <c r="L861" s="1075">
        <v>1590662212</v>
      </c>
    </row>
    <row r="862" spans="1:12">
      <c r="A862" t="s">
        <v>1729</v>
      </c>
      <c r="B862" s="31" t="s">
        <v>2001</v>
      </c>
      <c r="C862" s="1075">
        <v>152342330</v>
      </c>
      <c r="D862" s="1075">
        <v>151522210</v>
      </c>
      <c r="E862" s="1075">
        <v>152342330</v>
      </c>
      <c r="F862" s="1075">
        <v>151522210</v>
      </c>
      <c r="G862" s="1073">
        <v>191762803</v>
      </c>
      <c r="H862" s="1073">
        <v>191762803</v>
      </c>
      <c r="I862" s="1073">
        <v>152342330</v>
      </c>
      <c r="J862" s="1077">
        <v>151522210</v>
      </c>
      <c r="K862" s="1075">
        <v>152342330</v>
      </c>
      <c r="L862" s="1075">
        <v>151522210</v>
      </c>
    </row>
    <row r="863" spans="1:12">
      <c r="A863" t="s">
        <v>193</v>
      </c>
      <c r="B863" s="31" t="s">
        <v>608</v>
      </c>
      <c r="C863" s="1075">
        <v>506644510</v>
      </c>
      <c r="D863" s="1075">
        <v>478016370</v>
      </c>
      <c r="E863" s="1075">
        <v>506644510</v>
      </c>
      <c r="F863" s="1075">
        <v>478016370</v>
      </c>
      <c r="G863" s="1073">
        <v>548536062</v>
      </c>
      <c r="H863" s="1073">
        <v>548536062</v>
      </c>
      <c r="I863" s="1073">
        <v>506644510</v>
      </c>
      <c r="J863" s="1077">
        <v>478016370</v>
      </c>
      <c r="K863" s="1075">
        <v>506644510</v>
      </c>
      <c r="L863" s="1075">
        <v>478016370</v>
      </c>
    </row>
    <row r="864" spans="1:12">
      <c r="A864" t="s">
        <v>1730</v>
      </c>
      <c r="B864" s="31" t="s">
        <v>2002</v>
      </c>
      <c r="C864" s="1075">
        <v>469278441</v>
      </c>
      <c r="D864" s="1075">
        <v>449398661</v>
      </c>
      <c r="E864" s="1075">
        <v>469278441</v>
      </c>
      <c r="F864" s="1075">
        <v>449398661</v>
      </c>
      <c r="G864" s="1073">
        <v>738084409</v>
      </c>
      <c r="H864" s="1073">
        <v>738084409</v>
      </c>
      <c r="I864" s="1073">
        <v>469278441</v>
      </c>
      <c r="J864" s="1077">
        <v>449398661</v>
      </c>
      <c r="K864" s="1075">
        <v>469278441</v>
      </c>
      <c r="L864" s="1075">
        <v>449398661</v>
      </c>
    </row>
    <row r="865" spans="1:12">
      <c r="A865" t="s">
        <v>2584</v>
      </c>
      <c r="B865" s="31" t="s">
        <v>2562</v>
      </c>
      <c r="C865" s="1075">
        <v>369673834</v>
      </c>
      <c r="D865" s="1075">
        <v>367462424</v>
      </c>
      <c r="E865" s="1075">
        <v>369673834</v>
      </c>
      <c r="F865" s="1075">
        <v>367462424</v>
      </c>
      <c r="G865" s="1073">
        <v>545627264</v>
      </c>
      <c r="H865" s="1073">
        <v>545627264</v>
      </c>
      <c r="I865" s="1073">
        <v>876445784</v>
      </c>
      <c r="J865" s="1077">
        <v>874234374</v>
      </c>
      <c r="K865" s="1075">
        <v>876445784</v>
      </c>
      <c r="L865" s="1075">
        <v>874234374</v>
      </c>
    </row>
    <row r="866" spans="1:12">
      <c r="A866" t="s">
        <v>750</v>
      </c>
      <c r="B866" s="31" t="s">
        <v>2563</v>
      </c>
      <c r="C866" s="1075">
        <v>152531155</v>
      </c>
      <c r="D866" s="1075">
        <v>149988305</v>
      </c>
      <c r="E866" s="1075">
        <v>152531155</v>
      </c>
      <c r="F866" s="1075">
        <v>149988305</v>
      </c>
      <c r="G866" s="1073">
        <v>347454238</v>
      </c>
      <c r="H866" s="1073">
        <v>347454238</v>
      </c>
      <c r="I866" s="1073">
        <v>152531155</v>
      </c>
      <c r="J866" s="1077">
        <v>149988305</v>
      </c>
      <c r="K866" s="1075">
        <v>152531155</v>
      </c>
      <c r="L866" s="1075">
        <v>149988305</v>
      </c>
    </row>
    <row r="867" spans="1:12">
      <c r="A867" t="s">
        <v>751</v>
      </c>
      <c r="B867" s="31" t="s">
        <v>2564</v>
      </c>
      <c r="C867" s="1075">
        <v>538177892</v>
      </c>
      <c r="D867" s="1075">
        <v>529909522</v>
      </c>
      <c r="E867" s="1075">
        <v>528702184</v>
      </c>
      <c r="F867" s="1075">
        <v>520433814</v>
      </c>
      <c r="G867" s="1073">
        <v>644023294</v>
      </c>
      <c r="H867" s="1073">
        <v>634603293</v>
      </c>
      <c r="I867" s="1073">
        <v>538177892</v>
      </c>
      <c r="J867" s="1077">
        <v>529909522</v>
      </c>
      <c r="K867" s="1075">
        <v>528702184</v>
      </c>
      <c r="L867" s="1075">
        <v>520433814</v>
      </c>
    </row>
    <row r="868" spans="1:12">
      <c r="A868" t="s">
        <v>802</v>
      </c>
      <c r="B868" s="31" t="s">
        <v>2565</v>
      </c>
      <c r="C868" s="1075">
        <v>75778355</v>
      </c>
      <c r="D868" s="1075">
        <v>74167062</v>
      </c>
      <c r="E868" s="1075">
        <v>75778355</v>
      </c>
      <c r="F868" s="1075">
        <v>74167062</v>
      </c>
      <c r="G868" s="1073">
        <v>75570609</v>
      </c>
      <c r="H868" s="1073">
        <v>75570609</v>
      </c>
      <c r="I868" s="1073">
        <v>75778355</v>
      </c>
      <c r="J868" s="1077">
        <v>74167062</v>
      </c>
      <c r="K868" s="1075">
        <v>75778355</v>
      </c>
      <c r="L868" s="1075">
        <v>74167062</v>
      </c>
    </row>
    <row r="869" spans="1:12">
      <c r="A869" t="s">
        <v>568</v>
      </c>
      <c r="B869" s="31" t="s">
        <v>2566</v>
      </c>
      <c r="C869" s="1075">
        <v>152000275</v>
      </c>
      <c r="D869" s="1075">
        <v>144241093</v>
      </c>
      <c r="E869" s="1075">
        <v>152000275</v>
      </c>
      <c r="F869" s="1075">
        <v>144241093</v>
      </c>
      <c r="G869" s="1073">
        <v>153276097</v>
      </c>
      <c r="H869" s="1073">
        <v>153276097</v>
      </c>
      <c r="I869" s="1073">
        <v>152000275</v>
      </c>
      <c r="J869" s="1077">
        <v>144241093</v>
      </c>
      <c r="K869" s="1075">
        <v>152000275</v>
      </c>
      <c r="L869" s="1075">
        <v>144241093</v>
      </c>
    </row>
    <row r="870" spans="1:12">
      <c r="A870" t="s">
        <v>569</v>
      </c>
      <c r="B870" s="31" t="s">
        <v>2567</v>
      </c>
      <c r="C870" s="1075">
        <v>86989151</v>
      </c>
      <c r="D870" s="1075">
        <v>85275690</v>
      </c>
      <c r="E870" s="1075">
        <v>86989151</v>
      </c>
      <c r="F870" s="1075">
        <v>85275690</v>
      </c>
      <c r="G870" s="1073">
        <v>100394208</v>
      </c>
      <c r="H870" s="1073">
        <v>100394208</v>
      </c>
      <c r="I870" s="1073">
        <v>86989151</v>
      </c>
      <c r="J870" s="1077">
        <v>85275690</v>
      </c>
      <c r="K870" s="1075">
        <v>86989151</v>
      </c>
      <c r="L870" s="1075">
        <v>85275690</v>
      </c>
    </row>
    <row r="871" spans="1:12">
      <c r="A871" t="s">
        <v>2298</v>
      </c>
      <c r="B871" s="31" t="s">
        <v>2421</v>
      </c>
      <c r="C871" s="1075">
        <v>23663689942</v>
      </c>
      <c r="D871" s="1075">
        <v>23095336198</v>
      </c>
      <c r="E871" s="1075">
        <v>23663689942</v>
      </c>
      <c r="F871" s="1075">
        <v>23095336198</v>
      </c>
      <c r="G871" s="1073">
        <v>21401126368</v>
      </c>
      <c r="H871" s="1073">
        <v>21401126368</v>
      </c>
      <c r="I871" s="1073">
        <v>23663689942</v>
      </c>
      <c r="J871" s="1077">
        <v>23095336198</v>
      </c>
      <c r="K871" s="1075">
        <v>23663689942</v>
      </c>
      <c r="L871" s="1075">
        <v>23095336198</v>
      </c>
    </row>
    <row r="872" spans="1:12">
      <c r="A872" t="s">
        <v>873</v>
      </c>
      <c r="B872" s="31" t="s">
        <v>797</v>
      </c>
      <c r="C872" s="1075">
        <v>8502481859</v>
      </c>
      <c r="D872" s="1075">
        <v>8233801096</v>
      </c>
      <c r="E872" s="1075">
        <v>8502481859</v>
      </c>
      <c r="F872" s="1075">
        <v>8233801096</v>
      </c>
      <c r="G872" s="1073">
        <v>7682474153</v>
      </c>
      <c r="H872" s="1073">
        <v>7682474153</v>
      </c>
      <c r="I872" s="1073">
        <v>8502481859</v>
      </c>
      <c r="J872" s="1077">
        <v>8233801096</v>
      </c>
      <c r="K872" s="1075">
        <v>8502481859</v>
      </c>
      <c r="L872" s="1075">
        <v>8233801096</v>
      </c>
    </row>
    <row r="873" spans="1:12">
      <c r="A873" t="s">
        <v>1849</v>
      </c>
      <c r="B873" s="31" t="s">
        <v>2568</v>
      </c>
      <c r="C873" s="1075">
        <v>1206675286</v>
      </c>
      <c r="D873" s="1075">
        <v>1167912271</v>
      </c>
      <c r="E873" s="1075">
        <v>1206675286</v>
      </c>
      <c r="F873" s="1075">
        <v>1167912271</v>
      </c>
      <c r="G873" s="1073">
        <v>1099369032</v>
      </c>
      <c r="H873" s="1073">
        <v>1099369032</v>
      </c>
      <c r="I873" s="1073">
        <v>1206675286</v>
      </c>
      <c r="J873" s="1077">
        <v>1167912271</v>
      </c>
      <c r="K873" s="1075">
        <v>1206675286</v>
      </c>
      <c r="L873" s="1075">
        <v>1167912271</v>
      </c>
    </row>
    <row r="874" spans="1:12">
      <c r="A874" t="s">
        <v>2018</v>
      </c>
      <c r="B874" s="31" t="s">
        <v>1278</v>
      </c>
      <c r="C874" s="1075">
        <v>30903276110</v>
      </c>
      <c r="D874" s="1075">
        <v>30153705760</v>
      </c>
      <c r="E874" s="1075">
        <v>30903276110</v>
      </c>
      <c r="F874" s="1075">
        <v>30153705760</v>
      </c>
      <c r="G874" s="1073">
        <v>28286342225</v>
      </c>
      <c r="H874" s="1073">
        <v>28286342225</v>
      </c>
      <c r="I874" s="1073">
        <v>30903276110</v>
      </c>
      <c r="J874" s="1077">
        <v>30153705760</v>
      </c>
      <c r="K874" s="1075">
        <v>30903276110</v>
      </c>
      <c r="L874" s="1075">
        <v>30153705760</v>
      </c>
    </row>
    <row r="875" spans="1:12">
      <c r="A875" t="s">
        <v>2182</v>
      </c>
      <c r="B875" s="31" t="s">
        <v>1279</v>
      </c>
      <c r="C875" s="1075">
        <v>12662564591</v>
      </c>
      <c r="D875" s="1075">
        <v>12489641746</v>
      </c>
      <c r="E875" s="1075">
        <v>12662564591</v>
      </c>
      <c r="F875" s="1075">
        <v>12489641746</v>
      </c>
      <c r="G875" s="1073">
        <v>11293582526</v>
      </c>
      <c r="H875" s="1073">
        <v>11293582526</v>
      </c>
      <c r="I875" s="1073">
        <v>12662564591</v>
      </c>
      <c r="J875" s="1077">
        <v>12489641746</v>
      </c>
      <c r="K875" s="1075">
        <v>12662564591</v>
      </c>
      <c r="L875" s="1075">
        <v>12489641746</v>
      </c>
    </row>
    <row r="876" spans="1:12">
      <c r="A876" t="s">
        <v>50</v>
      </c>
      <c r="B876" s="31" t="s">
        <v>412</v>
      </c>
      <c r="C876" s="1075">
        <v>15396016302</v>
      </c>
      <c r="D876" s="1075">
        <v>15003683814</v>
      </c>
      <c r="E876" s="1075">
        <v>15396016302</v>
      </c>
      <c r="F876" s="1075">
        <v>15003683814</v>
      </c>
      <c r="G876" s="1073">
        <v>12925898795</v>
      </c>
      <c r="H876" s="1073">
        <v>12925898795</v>
      </c>
      <c r="I876" s="1073">
        <v>15396016302</v>
      </c>
      <c r="J876" s="1077">
        <v>15003683814</v>
      </c>
      <c r="K876" s="1075">
        <v>15396016302</v>
      </c>
      <c r="L876" s="1075">
        <v>15003683814</v>
      </c>
    </row>
    <row r="877" spans="1:12">
      <c r="A877" t="s">
        <v>347</v>
      </c>
      <c r="B877" s="31" t="s">
        <v>290</v>
      </c>
      <c r="C877" s="1075">
        <v>11855631267</v>
      </c>
      <c r="D877" s="1075">
        <v>11525771524</v>
      </c>
      <c r="E877" s="1075">
        <v>11855631267</v>
      </c>
      <c r="F877" s="1075">
        <v>11525771524</v>
      </c>
      <c r="G877" s="1073">
        <v>10332573358</v>
      </c>
      <c r="H877" s="1073">
        <v>10332573358</v>
      </c>
      <c r="I877" s="1073">
        <v>11855631267</v>
      </c>
      <c r="J877" s="1077">
        <v>11525771524</v>
      </c>
      <c r="K877" s="1075">
        <v>11855631267</v>
      </c>
      <c r="L877" s="1075">
        <v>11525771524</v>
      </c>
    </row>
    <row r="878" spans="1:12">
      <c r="A878" t="s">
        <v>1767</v>
      </c>
      <c r="B878" s="31" t="s">
        <v>2301</v>
      </c>
      <c r="C878" s="1075">
        <v>826685491</v>
      </c>
      <c r="D878" s="1075">
        <v>806318797</v>
      </c>
      <c r="E878" s="1075">
        <v>826685491</v>
      </c>
      <c r="F878" s="1075">
        <v>806318797</v>
      </c>
      <c r="G878" s="1073">
        <v>764261356</v>
      </c>
      <c r="H878" s="1073">
        <v>764261356</v>
      </c>
      <c r="I878" s="1073">
        <v>826685491</v>
      </c>
      <c r="J878" s="1077">
        <v>806318797</v>
      </c>
      <c r="K878" s="1075">
        <v>826685491</v>
      </c>
      <c r="L878" s="1075">
        <v>806318797</v>
      </c>
    </row>
    <row r="879" spans="1:12">
      <c r="A879" t="s">
        <v>2405</v>
      </c>
      <c r="B879" s="31" t="s">
        <v>419</v>
      </c>
      <c r="C879" s="1075">
        <v>5692103144</v>
      </c>
      <c r="D879" s="1075">
        <v>5516180989</v>
      </c>
      <c r="E879" s="1075">
        <v>5544223407</v>
      </c>
      <c r="F879" s="1075">
        <v>5368301252</v>
      </c>
      <c r="G879" s="1073">
        <v>5213301724</v>
      </c>
      <c r="H879" s="1073">
        <v>5079990135</v>
      </c>
      <c r="I879" s="1073">
        <v>5692103144</v>
      </c>
      <c r="J879" s="1077">
        <v>5516180989</v>
      </c>
      <c r="K879" s="1075">
        <v>5544223407</v>
      </c>
      <c r="L879" s="1075">
        <v>5368301252</v>
      </c>
    </row>
    <row r="880" spans="1:12">
      <c r="A880" t="s">
        <v>52</v>
      </c>
      <c r="B880" s="31" t="s">
        <v>2516</v>
      </c>
      <c r="C880" s="1075">
        <v>1219065215</v>
      </c>
      <c r="D880" s="1075">
        <v>1174740511</v>
      </c>
      <c r="E880" s="1075">
        <v>1219065215</v>
      </c>
      <c r="F880" s="1075">
        <v>1174740511</v>
      </c>
      <c r="G880" s="1073">
        <v>1075584709</v>
      </c>
      <c r="H880" s="1073">
        <v>1075584709</v>
      </c>
      <c r="I880" s="1073">
        <v>1219065215</v>
      </c>
      <c r="J880" s="1077">
        <v>1174740511</v>
      </c>
      <c r="K880" s="1075">
        <v>1219065215</v>
      </c>
      <c r="L880" s="1075">
        <v>1174740511</v>
      </c>
    </row>
    <row r="881" spans="1:12">
      <c r="A881" t="s">
        <v>1681</v>
      </c>
      <c r="B881" s="31" t="s">
        <v>2119</v>
      </c>
      <c r="C881" s="1075">
        <v>2452854874</v>
      </c>
      <c r="D881" s="1075">
        <v>2364960341</v>
      </c>
      <c r="E881" s="1075">
        <v>2452854874</v>
      </c>
      <c r="F881" s="1075">
        <v>2364960341</v>
      </c>
      <c r="G881" s="1073">
        <v>2329632654</v>
      </c>
      <c r="H881" s="1073">
        <v>2329632654</v>
      </c>
      <c r="I881" s="1073">
        <v>2452854874</v>
      </c>
      <c r="J881" s="1077">
        <v>2364960341</v>
      </c>
      <c r="K881" s="1075">
        <v>2452854874</v>
      </c>
      <c r="L881" s="1075">
        <v>2364960341</v>
      </c>
    </row>
    <row r="882" spans="1:12">
      <c r="A882" t="s">
        <v>1119</v>
      </c>
      <c r="B882" s="31" t="s">
        <v>1267</v>
      </c>
      <c r="C882" s="1075">
        <v>11180706987</v>
      </c>
      <c r="D882" s="1075">
        <v>10897779023</v>
      </c>
      <c r="E882" s="1075">
        <v>11108437545</v>
      </c>
      <c r="F882" s="1075">
        <v>10825509581</v>
      </c>
      <c r="G882" s="1073">
        <v>9734523725</v>
      </c>
      <c r="H882" s="1073">
        <v>9662631037</v>
      </c>
      <c r="I882" s="1073">
        <v>11180706987</v>
      </c>
      <c r="J882" s="1077">
        <v>10897779023</v>
      </c>
      <c r="K882" s="1075">
        <v>11108437545</v>
      </c>
      <c r="L882" s="1075">
        <v>10825509581</v>
      </c>
    </row>
    <row r="883" spans="1:12">
      <c r="A883" t="s">
        <v>1847</v>
      </c>
      <c r="B883" s="31" t="s">
        <v>657</v>
      </c>
      <c r="C883" s="1075">
        <v>570030520</v>
      </c>
      <c r="D883" s="1075">
        <v>537847551</v>
      </c>
      <c r="E883" s="1075">
        <v>570030520</v>
      </c>
      <c r="F883" s="1075">
        <v>537847551</v>
      </c>
      <c r="G883" s="1073">
        <v>473279483</v>
      </c>
      <c r="H883" s="1073">
        <v>473279483</v>
      </c>
      <c r="I883" s="1073">
        <v>570030520</v>
      </c>
      <c r="J883" s="1077">
        <v>537847551</v>
      </c>
      <c r="K883" s="1075">
        <v>570030520</v>
      </c>
      <c r="L883" s="1075">
        <v>537847551</v>
      </c>
    </row>
    <row r="884" spans="1:12">
      <c r="A884" t="s">
        <v>2223</v>
      </c>
      <c r="B884" s="31" t="s">
        <v>1280</v>
      </c>
      <c r="C884" s="1075">
        <v>7652013685</v>
      </c>
      <c r="D884" s="1075">
        <v>7456360100</v>
      </c>
      <c r="E884" s="1075">
        <v>7652013685</v>
      </c>
      <c r="F884" s="1075">
        <v>7456360100</v>
      </c>
      <c r="G884" s="1073">
        <v>6916328659</v>
      </c>
      <c r="H884" s="1073">
        <v>6916328659</v>
      </c>
      <c r="I884" s="1073">
        <v>7652013685</v>
      </c>
      <c r="J884" s="1077">
        <v>7456360100</v>
      </c>
      <c r="K884" s="1075">
        <v>7652013685</v>
      </c>
      <c r="L884" s="1075">
        <v>7456360100</v>
      </c>
    </row>
    <row r="885" spans="1:12">
      <c r="A885" t="s">
        <v>1846</v>
      </c>
      <c r="B885" s="31" t="s">
        <v>656</v>
      </c>
      <c r="C885" s="1075">
        <v>7162478978</v>
      </c>
      <c r="D885" s="1075">
        <v>7082042923</v>
      </c>
      <c r="E885" s="1075">
        <v>7162478978</v>
      </c>
      <c r="F885" s="1075">
        <v>7082042923</v>
      </c>
      <c r="G885" s="1073">
        <v>6268346961</v>
      </c>
      <c r="H885" s="1073">
        <v>6268346961</v>
      </c>
      <c r="I885" s="1073">
        <v>7162478978</v>
      </c>
      <c r="J885" s="1077">
        <v>7082042923</v>
      </c>
      <c r="K885" s="1075">
        <v>7162478978</v>
      </c>
      <c r="L885" s="1075">
        <v>7082042923</v>
      </c>
    </row>
    <row r="886" spans="1:12">
      <c r="A886" t="s">
        <v>1180</v>
      </c>
      <c r="B886" s="31" t="s">
        <v>1333</v>
      </c>
      <c r="C886" s="1075">
        <v>1737850327</v>
      </c>
      <c r="D886" s="1075">
        <v>1670328586</v>
      </c>
      <c r="E886" s="1075">
        <v>1737850327</v>
      </c>
      <c r="F886" s="1075">
        <v>1670328586</v>
      </c>
      <c r="G886" s="1073">
        <v>1655740881</v>
      </c>
      <c r="H886" s="1073">
        <v>1655740881</v>
      </c>
      <c r="I886" s="1073">
        <v>1737850327</v>
      </c>
      <c r="J886" s="1077">
        <v>1670328586</v>
      </c>
      <c r="K886" s="1075">
        <v>1737850327</v>
      </c>
      <c r="L886" s="1075">
        <v>1670328586</v>
      </c>
    </row>
    <row r="887" spans="1:12">
      <c r="A887" t="s">
        <v>2224</v>
      </c>
      <c r="B887" s="31" t="s">
        <v>1281</v>
      </c>
      <c r="C887" s="1075">
        <v>4541630772</v>
      </c>
      <c r="D887" s="1075">
        <v>4369710826</v>
      </c>
      <c r="E887" s="1075">
        <v>4490759008</v>
      </c>
      <c r="F887" s="1075">
        <v>4318839062</v>
      </c>
      <c r="G887" s="1073">
        <v>4183286585</v>
      </c>
      <c r="H887" s="1073">
        <v>4131549230</v>
      </c>
      <c r="I887" s="1073">
        <v>4541630772</v>
      </c>
      <c r="J887" s="1077">
        <v>4369710826</v>
      </c>
      <c r="K887" s="1075">
        <v>4490759008</v>
      </c>
      <c r="L887" s="1075">
        <v>4318839062</v>
      </c>
    </row>
    <row r="888" spans="1:12">
      <c r="A888" t="s">
        <v>2225</v>
      </c>
      <c r="B888" s="31" t="s">
        <v>1282</v>
      </c>
      <c r="C888" s="1075">
        <v>402676373</v>
      </c>
      <c r="D888" s="1075">
        <v>391515620</v>
      </c>
      <c r="E888" s="1075">
        <v>402676373</v>
      </c>
      <c r="F888" s="1075">
        <v>391515620</v>
      </c>
      <c r="G888" s="1073">
        <v>404095714</v>
      </c>
      <c r="H888" s="1073">
        <v>404095714</v>
      </c>
      <c r="I888" s="1073">
        <v>402676373</v>
      </c>
      <c r="J888" s="1077">
        <v>391515620</v>
      </c>
      <c r="K888" s="1075">
        <v>402676373</v>
      </c>
      <c r="L888" s="1075">
        <v>391515620</v>
      </c>
    </row>
    <row r="889" spans="1:12">
      <c r="A889" t="s">
        <v>2655</v>
      </c>
      <c r="B889" s="31" t="s">
        <v>1283</v>
      </c>
      <c r="C889" s="1075">
        <v>133005248</v>
      </c>
      <c r="D889" s="1075">
        <v>131703609</v>
      </c>
      <c r="E889" s="1075">
        <v>133005248</v>
      </c>
      <c r="F889" s="1075">
        <v>131703609</v>
      </c>
      <c r="G889" s="1073">
        <v>154758393</v>
      </c>
      <c r="H889" s="1073">
        <v>154758393</v>
      </c>
      <c r="I889" s="1073">
        <v>161273129</v>
      </c>
      <c r="J889" s="1077">
        <v>159971490</v>
      </c>
      <c r="K889" s="1075">
        <v>161273129</v>
      </c>
      <c r="L889" s="1075">
        <v>159971490</v>
      </c>
    </row>
    <row r="890" spans="1:12">
      <c r="A890" t="s">
        <v>2656</v>
      </c>
      <c r="B890" s="31" t="s">
        <v>2335</v>
      </c>
      <c r="C890" s="1075">
        <v>432153930</v>
      </c>
      <c r="D890" s="1075">
        <v>417543049</v>
      </c>
      <c r="E890" s="1075">
        <v>408522681</v>
      </c>
      <c r="F890" s="1075">
        <v>393911800</v>
      </c>
      <c r="G890" s="1073">
        <v>423724638</v>
      </c>
      <c r="H890" s="1073">
        <v>402296893</v>
      </c>
      <c r="I890" s="1073">
        <v>476704005</v>
      </c>
      <c r="J890" s="1077">
        <v>462093124</v>
      </c>
      <c r="K890" s="1075">
        <v>453072756</v>
      </c>
      <c r="L890" s="1075">
        <v>438461875</v>
      </c>
    </row>
    <row r="891" spans="1:12">
      <c r="A891" t="s">
        <v>2657</v>
      </c>
      <c r="B891" s="31" t="s">
        <v>1132</v>
      </c>
      <c r="C891" s="1075">
        <v>1837126004</v>
      </c>
      <c r="D891" s="1075">
        <v>1780793810</v>
      </c>
      <c r="E891" s="1075">
        <v>1837126004</v>
      </c>
      <c r="F891" s="1075">
        <v>1780793810</v>
      </c>
      <c r="G891" s="1073">
        <v>1585433415</v>
      </c>
      <c r="H891" s="1073">
        <v>1585433415</v>
      </c>
      <c r="I891" s="1073">
        <v>1837126004</v>
      </c>
      <c r="J891" s="1077">
        <v>1780793810</v>
      </c>
      <c r="K891" s="1075">
        <v>1837126004</v>
      </c>
      <c r="L891" s="1075">
        <v>1780793810</v>
      </c>
    </row>
    <row r="892" spans="1:12">
      <c r="A892" t="s">
        <v>2658</v>
      </c>
      <c r="B892" s="31" t="s">
        <v>1285</v>
      </c>
      <c r="C892" s="1075">
        <v>243576194</v>
      </c>
      <c r="D892" s="1075">
        <v>241345578</v>
      </c>
      <c r="E892" s="1075">
        <v>242332079</v>
      </c>
      <c r="F892" s="1075">
        <v>240101463</v>
      </c>
      <c r="G892" s="1073">
        <v>385664822</v>
      </c>
      <c r="H892" s="1073">
        <v>384178966</v>
      </c>
      <c r="I892" s="1073">
        <v>243576194</v>
      </c>
      <c r="J892" s="1077">
        <v>241345578</v>
      </c>
      <c r="K892" s="1075">
        <v>242332079</v>
      </c>
      <c r="L892" s="1075">
        <v>240101463</v>
      </c>
    </row>
    <row r="893" spans="1:12">
      <c r="A893" t="s">
        <v>1170</v>
      </c>
      <c r="B893" s="31" t="s">
        <v>305</v>
      </c>
      <c r="C893" s="1075">
        <v>495320179</v>
      </c>
      <c r="D893" s="1075">
        <v>486394428</v>
      </c>
      <c r="E893" s="1075">
        <v>495320179</v>
      </c>
      <c r="F893" s="1075">
        <v>486394428</v>
      </c>
      <c r="G893" s="1073">
        <v>925660481</v>
      </c>
      <c r="H893" s="1073">
        <v>925660481</v>
      </c>
      <c r="I893" s="1073">
        <v>495320179</v>
      </c>
      <c r="J893" s="1077">
        <v>486394428</v>
      </c>
      <c r="K893" s="1075">
        <v>495320179</v>
      </c>
      <c r="L893" s="1075">
        <v>486394428</v>
      </c>
    </row>
    <row r="894" spans="1:12">
      <c r="A894" t="s">
        <v>1845</v>
      </c>
      <c r="B894" s="31" t="s">
        <v>822</v>
      </c>
      <c r="C894" s="1075">
        <v>50441655</v>
      </c>
      <c r="D894" s="1075">
        <v>49614669</v>
      </c>
      <c r="E894" s="1075">
        <v>50441655</v>
      </c>
      <c r="F894" s="1075">
        <v>49614669</v>
      </c>
      <c r="G894" s="1073">
        <v>71197224</v>
      </c>
      <c r="H894" s="1073">
        <v>71197224</v>
      </c>
      <c r="I894" s="1073">
        <v>50441655</v>
      </c>
      <c r="J894" s="1077">
        <v>49614669</v>
      </c>
      <c r="K894" s="1075">
        <v>50441655</v>
      </c>
      <c r="L894" s="1075">
        <v>49614669</v>
      </c>
    </row>
    <row r="895" spans="1:12">
      <c r="A895" t="s">
        <v>1171</v>
      </c>
      <c r="B895" s="31" t="s">
        <v>2336</v>
      </c>
      <c r="C895" s="1075">
        <v>174258302</v>
      </c>
      <c r="D895" s="1075">
        <v>173726378</v>
      </c>
      <c r="E895" s="1075">
        <v>174258302</v>
      </c>
      <c r="F895" s="1075">
        <v>173726378</v>
      </c>
      <c r="G895" s="1073">
        <v>347268935</v>
      </c>
      <c r="H895" s="1073">
        <v>347268935</v>
      </c>
      <c r="I895" s="1073">
        <v>174258302</v>
      </c>
      <c r="J895" s="1077">
        <v>173726378</v>
      </c>
      <c r="K895" s="1075">
        <v>174258302</v>
      </c>
      <c r="L895" s="1075">
        <v>173726378</v>
      </c>
    </row>
    <row r="896" spans="1:12">
      <c r="A896" t="s">
        <v>1586</v>
      </c>
      <c r="B896" s="31" t="s">
        <v>636</v>
      </c>
      <c r="C896" s="1075">
        <v>128576271</v>
      </c>
      <c r="D896" s="1075">
        <v>125878091</v>
      </c>
      <c r="E896" s="1075">
        <v>128576271</v>
      </c>
      <c r="F896" s="1075">
        <v>125878091</v>
      </c>
      <c r="G896" s="1073">
        <v>164730332</v>
      </c>
      <c r="H896" s="1073">
        <v>164730332</v>
      </c>
      <c r="I896" s="1073">
        <v>128576271</v>
      </c>
      <c r="J896" s="1077">
        <v>125878091</v>
      </c>
      <c r="K896" s="1075">
        <v>128576271</v>
      </c>
      <c r="L896" s="1075">
        <v>125878091</v>
      </c>
    </row>
    <row r="897" spans="1:12">
      <c r="A897" t="s">
        <v>1587</v>
      </c>
      <c r="B897" s="31" t="s">
        <v>637</v>
      </c>
      <c r="C897" s="1075">
        <v>32684686</v>
      </c>
      <c r="D897" s="1075">
        <v>31697726</v>
      </c>
      <c r="E897" s="1075">
        <v>32684686</v>
      </c>
      <c r="F897" s="1075">
        <v>31697726</v>
      </c>
      <c r="G897" s="1073">
        <v>48672173</v>
      </c>
      <c r="H897" s="1073">
        <v>48672173</v>
      </c>
      <c r="I897" s="1073">
        <v>32684686</v>
      </c>
      <c r="J897" s="1077">
        <v>31697726</v>
      </c>
      <c r="K897" s="1075">
        <v>32684686</v>
      </c>
      <c r="L897" s="1075">
        <v>31697726</v>
      </c>
    </row>
    <row r="898" spans="1:12">
      <c r="A898" t="s">
        <v>1588</v>
      </c>
      <c r="B898" s="31" t="s">
        <v>638</v>
      </c>
      <c r="C898" s="1075">
        <v>1556169086</v>
      </c>
      <c r="D898" s="1075">
        <v>1516466877</v>
      </c>
      <c r="E898" s="1075">
        <v>1556169086</v>
      </c>
      <c r="F898" s="1075">
        <v>1516466877</v>
      </c>
      <c r="G898" s="1073">
        <v>1628415903</v>
      </c>
      <c r="H898" s="1073">
        <v>1585478818</v>
      </c>
      <c r="I898" s="1073">
        <v>1556169086</v>
      </c>
      <c r="J898" s="1077">
        <v>1516466877</v>
      </c>
      <c r="K898" s="1075">
        <v>1556169086</v>
      </c>
      <c r="L898" s="1075">
        <v>1516466877</v>
      </c>
    </row>
    <row r="899" spans="1:12">
      <c r="A899" t="s">
        <v>1817</v>
      </c>
      <c r="B899" s="31" t="s">
        <v>1665</v>
      </c>
      <c r="C899" s="1075">
        <v>51671156</v>
      </c>
      <c r="D899" s="1075">
        <v>50434728</v>
      </c>
      <c r="E899" s="1075">
        <v>51671156</v>
      </c>
      <c r="F899" s="1075">
        <v>50434728</v>
      </c>
      <c r="G899" s="1073">
        <v>73204021</v>
      </c>
      <c r="H899" s="1073">
        <v>72095686</v>
      </c>
      <c r="I899" s="1073">
        <v>51671156</v>
      </c>
      <c r="J899" s="1077">
        <v>50434728</v>
      </c>
      <c r="K899" s="1075">
        <v>51671156</v>
      </c>
      <c r="L899" s="1075">
        <v>50434728</v>
      </c>
    </row>
    <row r="900" spans="1:12">
      <c r="A900" t="s">
        <v>275</v>
      </c>
      <c r="B900" s="31" t="s">
        <v>660</v>
      </c>
      <c r="C900" s="1075">
        <v>121730710</v>
      </c>
      <c r="D900" s="1075">
        <v>115950858</v>
      </c>
      <c r="E900" s="1075">
        <v>121730710</v>
      </c>
      <c r="F900" s="1075">
        <v>115950858</v>
      </c>
      <c r="G900" s="1073">
        <v>107064967</v>
      </c>
      <c r="H900" s="1073">
        <v>107064967</v>
      </c>
      <c r="I900" s="1073">
        <v>121730710</v>
      </c>
      <c r="J900" s="1077">
        <v>115950858</v>
      </c>
      <c r="K900" s="1075">
        <v>121730710</v>
      </c>
      <c r="L900" s="1075">
        <v>115950858</v>
      </c>
    </row>
    <row r="901" spans="1:12">
      <c r="A901" t="s">
        <v>1818</v>
      </c>
      <c r="B901" s="31" t="s">
        <v>1666</v>
      </c>
      <c r="C901" s="1075">
        <v>148358194</v>
      </c>
      <c r="D901" s="1075">
        <v>141709240</v>
      </c>
      <c r="E901" s="1075">
        <v>148358194</v>
      </c>
      <c r="F901" s="1075">
        <v>141709240</v>
      </c>
      <c r="G901" s="1073">
        <v>138995056</v>
      </c>
      <c r="H901" s="1073">
        <v>138995056</v>
      </c>
      <c r="I901" s="1073">
        <v>148358194</v>
      </c>
      <c r="J901" s="1077">
        <v>141709240</v>
      </c>
      <c r="K901" s="1075">
        <v>148358194</v>
      </c>
      <c r="L901" s="1075">
        <v>141709240</v>
      </c>
    </row>
    <row r="902" spans="1:12">
      <c r="A902" t="s">
        <v>2440</v>
      </c>
      <c r="B902" s="31" t="s">
        <v>1906</v>
      </c>
      <c r="C902" s="1075">
        <v>245056158</v>
      </c>
      <c r="D902" s="1075">
        <v>237313668</v>
      </c>
      <c r="E902" s="1075">
        <v>245056158</v>
      </c>
      <c r="F902" s="1075">
        <v>237313668</v>
      </c>
      <c r="G902" s="1073">
        <v>236383486</v>
      </c>
      <c r="H902" s="1073">
        <v>223104603</v>
      </c>
      <c r="I902" s="1073">
        <v>260160808</v>
      </c>
      <c r="J902" s="1077">
        <v>252418318</v>
      </c>
      <c r="K902" s="1075">
        <v>260160808</v>
      </c>
      <c r="L902" s="1075">
        <v>252418318</v>
      </c>
    </row>
    <row r="903" spans="1:12">
      <c r="A903" t="s">
        <v>1313</v>
      </c>
      <c r="B903" s="31" t="s">
        <v>2027</v>
      </c>
      <c r="C903" s="1075">
        <v>4908490570</v>
      </c>
      <c r="D903" s="1075">
        <v>4694723962</v>
      </c>
      <c r="E903" s="1075">
        <v>4908490570</v>
      </c>
      <c r="F903" s="1075">
        <v>4694723962</v>
      </c>
      <c r="G903" s="1073">
        <v>4383926403</v>
      </c>
      <c r="H903" s="1073">
        <v>4383926403</v>
      </c>
      <c r="I903" s="1073">
        <v>4908490570</v>
      </c>
      <c r="J903" s="1077">
        <v>4694723962</v>
      </c>
      <c r="K903" s="1075">
        <v>4908490570</v>
      </c>
      <c r="L903" s="1075">
        <v>4694723962</v>
      </c>
    </row>
    <row r="904" spans="1:12">
      <c r="A904" t="s">
        <v>2428</v>
      </c>
      <c r="B904" s="31" t="s">
        <v>1907</v>
      </c>
      <c r="C904" s="1075">
        <v>128354237</v>
      </c>
      <c r="D904" s="1075">
        <v>124218747</v>
      </c>
      <c r="E904" s="1075">
        <v>128354237</v>
      </c>
      <c r="F904" s="1075">
        <v>124218747</v>
      </c>
      <c r="G904" s="1073">
        <v>125247290</v>
      </c>
      <c r="H904" s="1073">
        <v>125247290</v>
      </c>
      <c r="I904" s="1073">
        <v>128354237</v>
      </c>
      <c r="J904" s="1077">
        <v>124218747</v>
      </c>
      <c r="K904" s="1075">
        <v>128354237</v>
      </c>
      <c r="L904" s="1075">
        <v>124218747</v>
      </c>
    </row>
    <row r="905" spans="1:12">
      <c r="A905" t="s">
        <v>342</v>
      </c>
      <c r="B905" s="31" t="s">
        <v>137</v>
      </c>
      <c r="C905" s="1075">
        <v>428949589</v>
      </c>
      <c r="D905" s="1075">
        <v>416347589</v>
      </c>
      <c r="E905" s="1075">
        <v>428949589</v>
      </c>
      <c r="F905" s="1075">
        <v>416347589</v>
      </c>
      <c r="G905" s="1073">
        <v>374145395</v>
      </c>
      <c r="H905" s="1073">
        <v>374145395</v>
      </c>
      <c r="I905" s="1073">
        <v>428949589</v>
      </c>
      <c r="J905" s="1077">
        <v>416347589</v>
      </c>
      <c r="K905" s="1075">
        <v>428949589</v>
      </c>
      <c r="L905" s="1075">
        <v>416347589</v>
      </c>
    </row>
    <row r="906" spans="1:12">
      <c r="A906" t="s">
        <v>1307</v>
      </c>
      <c r="B906" s="31" t="s">
        <v>1731</v>
      </c>
      <c r="C906" s="1075">
        <v>284941175</v>
      </c>
      <c r="D906" s="1075">
        <v>269074745</v>
      </c>
      <c r="E906" s="1075">
        <v>284941175</v>
      </c>
      <c r="F906" s="1075">
        <v>269074745</v>
      </c>
      <c r="G906" s="1073">
        <v>228235268</v>
      </c>
      <c r="H906" s="1073">
        <v>228235268</v>
      </c>
      <c r="I906" s="1073">
        <v>284941175</v>
      </c>
      <c r="J906" s="1077">
        <v>269074745</v>
      </c>
      <c r="K906" s="1075">
        <v>284941175</v>
      </c>
      <c r="L906" s="1075">
        <v>269074745</v>
      </c>
    </row>
    <row r="907" spans="1:12">
      <c r="A907" t="s">
        <v>1253</v>
      </c>
      <c r="B907" s="31" t="s">
        <v>2645</v>
      </c>
      <c r="C907" s="1075">
        <v>118109536</v>
      </c>
      <c r="D907" s="1075">
        <v>115021106</v>
      </c>
      <c r="E907" s="1075">
        <v>118109536</v>
      </c>
      <c r="F907" s="1075">
        <v>115021106</v>
      </c>
      <c r="G907" s="1073">
        <v>112305029</v>
      </c>
      <c r="H907" s="1073">
        <v>110420952</v>
      </c>
      <c r="I907" s="1073">
        <v>118109536</v>
      </c>
      <c r="J907" s="1077">
        <v>115021106</v>
      </c>
      <c r="K907" s="1075">
        <v>118109536</v>
      </c>
      <c r="L907" s="1075">
        <v>115021106</v>
      </c>
    </row>
    <row r="908" spans="1:12">
      <c r="A908" t="s">
        <v>263</v>
      </c>
      <c r="B908" s="31" t="s">
        <v>1908</v>
      </c>
      <c r="C908" s="1075">
        <v>100556504782</v>
      </c>
      <c r="D908" s="1075">
        <v>99438350611</v>
      </c>
      <c r="E908" s="1075">
        <v>100556504782</v>
      </c>
      <c r="F908" s="1075">
        <v>99438350611</v>
      </c>
      <c r="G908" s="1073">
        <v>78614122330</v>
      </c>
      <c r="H908" s="1073">
        <v>78614122330</v>
      </c>
      <c r="I908" s="1073">
        <v>100575859177</v>
      </c>
      <c r="J908" s="1077">
        <v>99457705006</v>
      </c>
      <c r="K908" s="1075">
        <v>100575859177</v>
      </c>
      <c r="L908" s="1075">
        <v>99457705006</v>
      </c>
    </row>
    <row r="909" spans="1:12">
      <c r="A909" t="s">
        <v>210</v>
      </c>
      <c r="B909" s="31" t="s">
        <v>998</v>
      </c>
      <c r="C909" s="1075">
        <v>11186232943</v>
      </c>
      <c r="D909" s="1075">
        <v>10926046709</v>
      </c>
      <c r="E909" s="1075">
        <v>11186232943</v>
      </c>
      <c r="F909" s="1075">
        <v>10926046709</v>
      </c>
      <c r="G909" s="1073">
        <v>8895355295</v>
      </c>
      <c r="H909" s="1073">
        <v>8895355295</v>
      </c>
      <c r="I909" s="1073">
        <v>11186232943</v>
      </c>
      <c r="J909" s="1077">
        <v>10926046709</v>
      </c>
      <c r="K909" s="1075">
        <v>11186232943</v>
      </c>
      <c r="L909" s="1075">
        <v>10926046709</v>
      </c>
    </row>
    <row r="910" spans="1:12">
      <c r="A910" t="s">
        <v>264</v>
      </c>
      <c r="B910" s="31" t="s">
        <v>1909</v>
      </c>
      <c r="C910" s="1075">
        <v>4271508093</v>
      </c>
      <c r="D910" s="1075">
        <v>4198657917</v>
      </c>
      <c r="E910" s="1075">
        <v>4271508093</v>
      </c>
      <c r="F910" s="1075">
        <v>4198657917</v>
      </c>
      <c r="G910" s="1073">
        <v>3893100591</v>
      </c>
      <c r="H910" s="1073">
        <v>3893100591</v>
      </c>
      <c r="I910" s="1073">
        <v>5817138095</v>
      </c>
      <c r="J910" s="1077">
        <v>5744287919</v>
      </c>
      <c r="K910" s="1075">
        <v>5817138095</v>
      </c>
      <c r="L910" s="1075">
        <v>5744287919</v>
      </c>
    </row>
    <row r="911" spans="1:12">
      <c r="A911" t="s">
        <v>265</v>
      </c>
      <c r="B911" s="31" t="s">
        <v>1910</v>
      </c>
      <c r="C911" s="1075">
        <v>13721694405</v>
      </c>
      <c r="D911" s="1075">
        <v>13626040970</v>
      </c>
      <c r="E911" s="1075">
        <v>13721694405</v>
      </c>
      <c r="F911" s="1075">
        <v>13626040970</v>
      </c>
      <c r="G911" s="1073">
        <v>11699125244</v>
      </c>
      <c r="H911" s="1073">
        <v>11699125244</v>
      </c>
      <c r="I911" s="1073">
        <v>13721694405</v>
      </c>
      <c r="J911" s="1077">
        <v>13626040970</v>
      </c>
      <c r="K911" s="1075">
        <v>13721694405</v>
      </c>
      <c r="L911" s="1075">
        <v>13626040970</v>
      </c>
    </row>
    <row r="912" spans="1:12">
      <c r="A912" t="s">
        <v>1133</v>
      </c>
      <c r="B912" s="31" t="s">
        <v>2667</v>
      </c>
      <c r="C912" s="1075">
        <v>4524387590</v>
      </c>
      <c r="D912" s="1075">
        <v>4455451839</v>
      </c>
      <c r="E912" s="1075">
        <v>4524387590</v>
      </c>
      <c r="F912" s="1075">
        <v>4455451839</v>
      </c>
      <c r="G912" s="1073">
        <v>3807328695</v>
      </c>
      <c r="H912" s="1073">
        <v>3807328695</v>
      </c>
      <c r="I912" s="1073">
        <v>4524387590</v>
      </c>
      <c r="J912" s="1077">
        <v>4455451839</v>
      </c>
      <c r="K912" s="1075">
        <v>4524387590</v>
      </c>
      <c r="L912" s="1075">
        <v>4455451839</v>
      </c>
    </row>
    <row r="913" spans="1:12">
      <c r="A913" t="s">
        <v>2446</v>
      </c>
      <c r="B913" s="31" t="s">
        <v>1911</v>
      </c>
      <c r="C913" s="1075">
        <v>1488009987</v>
      </c>
      <c r="D913" s="1075">
        <v>1459633186</v>
      </c>
      <c r="E913" s="1075">
        <v>1400388217</v>
      </c>
      <c r="F913" s="1075">
        <v>1372011416</v>
      </c>
      <c r="G913" s="1073">
        <v>1393110372</v>
      </c>
      <c r="H913" s="1073">
        <v>1315060740</v>
      </c>
      <c r="I913" s="1073">
        <v>1488009987</v>
      </c>
      <c r="J913" s="1077">
        <v>1459633186</v>
      </c>
      <c r="K913" s="1075">
        <v>1400388217</v>
      </c>
      <c r="L913" s="1075">
        <v>1372011416</v>
      </c>
    </row>
    <row r="914" spans="1:12">
      <c r="A914" t="s">
        <v>1320</v>
      </c>
      <c r="B914" s="31" t="s">
        <v>1912</v>
      </c>
      <c r="C914" s="1075">
        <v>10846509941</v>
      </c>
      <c r="D914" s="1075">
        <v>10714180440</v>
      </c>
      <c r="E914" s="1075">
        <v>10173271055</v>
      </c>
      <c r="F914" s="1075">
        <v>10040941554</v>
      </c>
      <c r="G914" s="1073">
        <v>8857635923</v>
      </c>
      <c r="H914" s="1073">
        <v>8304111379</v>
      </c>
      <c r="I914" s="1073">
        <v>10846509941</v>
      </c>
      <c r="J914" s="1077">
        <v>10714180440</v>
      </c>
      <c r="K914" s="1075">
        <v>10173271055</v>
      </c>
      <c r="L914" s="1075">
        <v>10040941554</v>
      </c>
    </row>
    <row r="915" spans="1:12">
      <c r="A915" t="s">
        <v>1321</v>
      </c>
      <c r="B915" s="31" t="s">
        <v>1913</v>
      </c>
      <c r="C915" s="1075">
        <v>298666779</v>
      </c>
      <c r="D915" s="1075">
        <v>288599746</v>
      </c>
      <c r="E915" s="1075">
        <v>298666779</v>
      </c>
      <c r="F915" s="1075">
        <v>288599746</v>
      </c>
      <c r="G915" s="1073">
        <v>245354281</v>
      </c>
      <c r="H915" s="1073">
        <v>245354281</v>
      </c>
      <c r="I915" s="1073">
        <v>298666779</v>
      </c>
      <c r="J915" s="1077">
        <v>288599746</v>
      </c>
      <c r="K915" s="1075">
        <v>298666779</v>
      </c>
      <c r="L915" s="1075">
        <v>288599746</v>
      </c>
    </row>
    <row r="916" spans="1:12">
      <c r="A916" t="s">
        <v>1322</v>
      </c>
      <c r="B916" s="31" t="s">
        <v>1914</v>
      </c>
      <c r="C916" s="1075">
        <v>390002209</v>
      </c>
      <c r="D916" s="1075">
        <v>373997261</v>
      </c>
      <c r="E916" s="1075">
        <v>390002209</v>
      </c>
      <c r="F916" s="1075">
        <v>373997261</v>
      </c>
      <c r="G916" s="1073">
        <v>347750244</v>
      </c>
      <c r="H916" s="1073">
        <v>347750244</v>
      </c>
      <c r="I916" s="1073">
        <v>390002209</v>
      </c>
      <c r="J916" s="1077">
        <v>373997261</v>
      </c>
      <c r="K916" s="1075">
        <v>390002209</v>
      </c>
      <c r="L916" s="1075">
        <v>373997261</v>
      </c>
    </row>
    <row r="917" spans="1:12">
      <c r="A917" t="s">
        <v>1323</v>
      </c>
      <c r="B917" s="31" t="s">
        <v>1824</v>
      </c>
      <c r="C917" s="1075">
        <v>30340653</v>
      </c>
      <c r="D917" s="1075">
        <v>28424826</v>
      </c>
      <c r="E917" s="1075">
        <v>30340653</v>
      </c>
      <c r="F917" s="1075">
        <v>28424826</v>
      </c>
      <c r="G917" s="1073">
        <v>29080625</v>
      </c>
      <c r="H917" s="1073">
        <v>29080625</v>
      </c>
      <c r="I917" s="1073">
        <v>30340653</v>
      </c>
      <c r="J917" s="1077">
        <v>28424826</v>
      </c>
      <c r="K917" s="1075">
        <v>30340653</v>
      </c>
      <c r="L917" s="1075">
        <v>28424826</v>
      </c>
    </row>
    <row r="918" spans="1:12">
      <c r="A918" t="s">
        <v>1324</v>
      </c>
      <c r="B918" s="31" t="s">
        <v>1915</v>
      </c>
      <c r="C918" s="1075">
        <v>41937005</v>
      </c>
      <c r="D918" s="1075">
        <v>39534704</v>
      </c>
      <c r="E918" s="1075">
        <v>41937005</v>
      </c>
      <c r="F918" s="1075">
        <v>39534704</v>
      </c>
      <c r="G918" s="1073">
        <v>37925829</v>
      </c>
      <c r="H918" s="1073">
        <v>37925829</v>
      </c>
      <c r="I918" s="1073">
        <v>41937005</v>
      </c>
      <c r="J918" s="1077">
        <v>39534704</v>
      </c>
      <c r="K918" s="1075">
        <v>41937005</v>
      </c>
      <c r="L918" s="1075">
        <v>39534704</v>
      </c>
    </row>
    <row r="919" spans="1:12">
      <c r="A919" t="s">
        <v>1434</v>
      </c>
      <c r="B919" s="31" t="s">
        <v>1547</v>
      </c>
      <c r="C919" s="1075">
        <v>125758733</v>
      </c>
      <c r="D919" s="1075">
        <v>119678172</v>
      </c>
      <c r="E919" s="1075">
        <v>125758733</v>
      </c>
      <c r="F919" s="1075">
        <v>119678172</v>
      </c>
      <c r="G919" s="1073">
        <v>120576678</v>
      </c>
      <c r="H919" s="1073">
        <v>120576678</v>
      </c>
      <c r="I919" s="1073">
        <v>125758733</v>
      </c>
      <c r="J919" s="1077">
        <v>119678172</v>
      </c>
      <c r="K919" s="1075">
        <v>125758733</v>
      </c>
      <c r="L919" s="1075">
        <v>119678172</v>
      </c>
    </row>
    <row r="920" spans="1:12">
      <c r="A920" t="s">
        <v>1807</v>
      </c>
      <c r="B920" s="31" t="s">
        <v>1916</v>
      </c>
      <c r="C920" s="1075">
        <v>534905578</v>
      </c>
      <c r="D920" s="1075">
        <v>515974260</v>
      </c>
      <c r="E920" s="1075">
        <v>534905578</v>
      </c>
      <c r="F920" s="1075">
        <v>515974260</v>
      </c>
      <c r="G920" s="1073">
        <v>862390720</v>
      </c>
      <c r="H920" s="1073">
        <v>862390720</v>
      </c>
      <c r="I920" s="1073">
        <v>639490399</v>
      </c>
      <c r="J920" s="1077">
        <v>620559081</v>
      </c>
      <c r="K920" s="1075">
        <v>639490399</v>
      </c>
      <c r="L920" s="1075">
        <v>620559081</v>
      </c>
    </row>
    <row r="921" spans="1:12">
      <c r="A921" t="s">
        <v>1808</v>
      </c>
      <c r="B921" s="31" t="s">
        <v>1917</v>
      </c>
      <c r="C921" s="1075">
        <v>283925350</v>
      </c>
      <c r="D921" s="1075">
        <v>267712424</v>
      </c>
      <c r="E921" s="1075">
        <v>283925350</v>
      </c>
      <c r="F921" s="1075">
        <v>267712424</v>
      </c>
      <c r="G921" s="1073">
        <v>337270750</v>
      </c>
      <c r="H921" s="1073">
        <v>337270750</v>
      </c>
      <c r="I921" s="1073">
        <v>283925350</v>
      </c>
      <c r="J921" s="1077">
        <v>267712424</v>
      </c>
      <c r="K921" s="1075">
        <v>283925350</v>
      </c>
      <c r="L921" s="1075">
        <v>267712424</v>
      </c>
    </row>
    <row r="922" spans="1:12">
      <c r="A922" t="s">
        <v>1254</v>
      </c>
      <c r="B922" s="31" t="s">
        <v>1938</v>
      </c>
      <c r="C922" s="1075">
        <v>84812546</v>
      </c>
      <c r="D922" s="1075">
        <v>79963146</v>
      </c>
      <c r="E922" s="1075">
        <v>84812546</v>
      </c>
      <c r="F922" s="1075">
        <v>79963146</v>
      </c>
      <c r="G922" s="1073">
        <v>62344568</v>
      </c>
      <c r="H922" s="1073">
        <v>60700846</v>
      </c>
      <c r="I922" s="1073">
        <v>84812546</v>
      </c>
      <c r="J922" s="1077">
        <v>79963146</v>
      </c>
      <c r="K922" s="1075">
        <v>84812546</v>
      </c>
      <c r="L922" s="1075">
        <v>79963146</v>
      </c>
    </row>
    <row r="923" spans="1:12">
      <c r="A923" t="s">
        <v>70</v>
      </c>
      <c r="B923" s="31" t="s">
        <v>2184</v>
      </c>
      <c r="C923" s="1075">
        <v>71160227</v>
      </c>
      <c r="D923" s="1075">
        <v>68074850</v>
      </c>
      <c r="E923" s="1075">
        <v>71160227</v>
      </c>
      <c r="F923" s="1075">
        <v>68074850</v>
      </c>
      <c r="G923" s="1073">
        <v>66265085</v>
      </c>
      <c r="H923" s="1073">
        <v>66265085</v>
      </c>
      <c r="I923" s="1073">
        <v>71160227</v>
      </c>
      <c r="J923" s="1077">
        <v>68074850</v>
      </c>
      <c r="K923" s="1075">
        <v>71160227</v>
      </c>
      <c r="L923" s="1075">
        <v>68074850</v>
      </c>
    </row>
    <row r="924" spans="1:12">
      <c r="A924" t="s">
        <v>1809</v>
      </c>
      <c r="B924" s="31" t="s">
        <v>443</v>
      </c>
      <c r="C924" s="1075">
        <v>211891914</v>
      </c>
      <c r="D924" s="1075">
        <v>203422925</v>
      </c>
      <c r="E924" s="1075">
        <v>211891914</v>
      </c>
      <c r="F924" s="1075">
        <v>203422925</v>
      </c>
      <c r="G924" s="1073">
        <v>219110634</v>
      </c>
      <c r="H924" s="1073">
        <v>219110634</v>
      </c>
      <c r="I924" s="1073">
        <v>211891914</v>
      </c>
      <c r="J924" s="1077">
        <v>203422925</v>
      </c>
      <c r="K924" s="1075">
        <v>211891914</v>
      </c>
      <c r="L924" s="1075">
        <v>203422925</v>
      </c>
    </row>
    <row r="925" spans="1:12">
      <c r="A925" t="s">
        <v>1810</v>
      </c>
      <c r="B925" s="31" t="s">
        <v>1918</v>
      </c>
      <c r="C925" s="1075">
        <v>843425935</v>
      </c>
      <c r="D925" s="1075">
        <v>807381465</v>
      </c>
      <c r="E925" s="1075">
        <v>843425935</v>
      </c>
      <c r="F925" s="1075">
        <v>807381465</v>
      </c>
      <c r="G925" s="1073">
        <v>824237867</v>
      </c>
      <c r="H925" s="1073">
        <v>824237867</v>
      </c>
      <c r="I925" s="1073">
        <v>843425935</v>
      </c>
      <c r="J925" s="1077">
        <v>807381465</v>
      </c>
      <c r="K925" s="1075">
        <v>843425935</v>
      </c>
      <c r="L925" s="1075">
        <v>807381465</v>
      </c>
    </row>
    <row r="926" spans="1:12">
      <c r="A926" t="s">
        <v>1414</v>
      </c>
      <c r="B926" s="31" t="s">
        <v>1017</v>
      </c>
      <c r="C926" s="1075">
        <v>162648044</v>
      </c>
      <c r="D926" s="1075">
        <v>153569250</v>
      </c>
      <c r="E926" s="1075">
        <v>162648044</v>
      </c>
      <c r="F926" s="1075">
        <v>153569250</v>
      </c>
      <c r="G926" s="1073">
        <v>140248690</v>
      </c>
      <c r="H926" s="1073">
        <v>140248690</v>
      </c>
      <c r="I926" s="1073">
        <v>162648044</v>
      </c>
      <c r="J926" s="1077">
        <v>153569250</v>
      </c>
      <c r="K926" s="1075">
        <v>162648044</v>
      </c>
      <c r="L926" s="1075">
        <v>153569250</v>
      </c>
    </row>
    <row r="927" spans="1:12">
      <c r="A927" t="s">
        <v>1077</v>
      </c>
      <c r="B927" s="31" t="s">
        <v>777</v>
      </c>
      <c r="C927" s="1075">
        <v>86783493</v>
      </c>
      <c r="D927" s="1075">
        <v>81944949</v>
      </c>
      <c r="E927" s="1075">
        <v>86783493</v>
      </c>
      <c r="F927" s="1075">
        <v>81944949</v>
      </c>
      <c r="G927" s="1073">
        <v>83207862</v>
      </c>
      <c r="H927" s="1073">
        <v>83207862</v>
      </c>
      <c r="I927" s="1073">
        <v>86783493</v>
      </c>
      <c r="J927" s="1077">
        <v>81944949</v>
      </c>
      <c r="K927" s="1075">
        <v>86783493</v>
      </c>
      <c r="L927" s="1075">
        <v>81944949</v>
      </c>
    </row>
    <row r="928" spans="1:12">
      <c r="A928" t="s">
        <v>1861</v>
      </c>
      <c r="B928" s="31" t="s">
        <v>827</v>
      </c>
      <c r="C928" s="1075">
        <v>393183172</v>
      </c>
      <c r="D928" s="1075">
        <v>374432489</v>
      </c>
      <c r="E928" s="1075">
        <v>393183172</v>
      </c>
      <c r="F928" s="1075">
        <v>374432489</v>
      </c>
      <c r="G928" s="1073">
        <v>391868525</v>
      </c>
      <c r="H928" s="1073">
        <v>391868525</v>
      </c>
      <c r="I928" s="1073">
        <v>393183172</v>
      </c>
      <c r="J928" s="1077">
        <v>374432489</v>
      </c>
      <c r="K928" s="1075">
        <v>393183172</v>
      </c>
      <c r="L928" s="1075">
        <v>374432489</v>
      </c>
    </row>
    <row r="929" spans="1:12">
      <c r="A929" t="s">
        <v>1078</v>
      </c>
      <c r="B929" s="31" t="s">
        <v>1536</v>
      </c>
      <c r="C929" s="1075">
        <v>215580180</v>
      </c>
      <c r="D929" s="1075">
        <v>204522116</v>
      </c>
      <c r="E929" s="1075">
        <v>215580180</v>
      </c>
      <c r="F929" s="1075">
        <v>204522116</v>
      </c>
      <c r="G929" s="1073">
        <v>189246923</v>
      </c>
      <c r="H929" s="1073">
        <v>189246923</v>
      </c>
      <c r="I929" s="1073">
        <v>215580180</v>
      </c>
      <c r="J929" s="1077">
        <v>204522116</v>
      </c>
      <c r="K929" s="1075">
        <v>215580180</v>
      </c>
      <c r="L929" s="1075">
        <v>204522116</v>
      </c>
    </row>
    <row r="930" spans="1:12">
      <c r="A930" t="s">
        <v>1079</v>
      </c>
      <c r="B930" s="31" t="s">
        <v>778</v>
      </c>
      <c r="C930" s="1075">
        <v>146074133</v>
      </c>
      <c r="D930" s="1075">
        <v>138976164</v>
      </c>
      <c r="E930" s="1075">
        <v>146074133</v>
      </c>
      <c r="F930" s="1075">
        <v>138976164</v>
      </c>
      <c r="G930" s="1073">
        <v>166572134</v>
      </c>
      <c r="H930" s="1073">
        <v>166572134</v>
      </c>
      <c r="I930" s="1073">
        <v>146074133</v>
      </c>
      <c r="J930" s="1077">
        <v>138976164</v>
      </c>
      <c r="K930" s="1075">
        <v>146074133</v>
      </c>
      <c r="L930" s="1075">
        <v>138976164</v>
      </c>
    </row>
    <row r="931" spans="1:12">
      <c r="A931" t="s">
        <v>1080</v>
      </c>
      <c r="B931" s="31" t="s">
        <v>779</v>
      </c>
      <c r="C931" s="1075">
        <v>661972209</v>
      </c>
      <c r="D931" s="1075">
        <v>657478943</v>
      </c>
      <c r="E931" s="1075">
        <v>658682058</v>
      </c>
      <c r="F931" s="1075">
        <v>654188792</v>
      </c>
      <c r="G931" s="1073">
        <v>1323119245</v>
      </c>
      <c r="H931" s="1073">
        <v>1320905998</v>
      </c>
      <c r="I931" s="1073">
        <v>661972209</v>
      </c>
      <c r="J931" s="1077">
        <v>657478943</v>
      </c>
      <c r="K931" s="1075">
        <v>658682058</v>
      </c>
      <c r="L931" s="1075">
        <v>654188792</v>
      </c>
    </row>
    <row r="932" spans="1:12">
      <c r="A932" t="s">
        <v>1081</v>
      </c>
      <c r="B932" s="31" t="s">
        <v>780</v>
      </c>
      <c r="C932" s="1075">
        <v>1994463891</v>
      </c>
      <c r="D932" s="1075">
        <v>1992579786</v>
      </c>
      <c r="E932" s="1075">
        <v>1994463891</v>
      </c>
      <c r="F932" s="1075">
        <v>1992579786</v>
      </c>
      <c r="G932" s="1073">
        <v>3869035863</v>
      </c>
      <c r="H932" s="1073">
        <v>3869035863</v>
      </c>
      <c r="I932" s="1073">
        <v>2068286031</v>
      </c>
      <c r="J932" s="1077">
        <v>2066401926</v>
      </c>
      <c r="K932" s="1075">
        <v>2068286031</v>
      </c>
      <c r="L932" s="1075">
        <v>2066401926</v>
      </c>
    </row>
    <row r="933" spans="1:12">
      <c r="A933" t="s">
        <v>56</v>
      </c>
      <c r="B933" s="31" t="s">
        <v>2472</v>
      </c>
      <c r="C933" s="1075">
        <v>147570601</v>
      </c>
      <c r="D933" s="1075">
        <v>145997941</v>
      </c>
      <c r="E933" s="1075">
        <v>147570601</v>
      </c>
      <c r="F933" s="1075">
        <v>145997941</v>
      </c>
      <c r="G933" s="1073">
        <v>59955308</v>
      </c>
      <c r="H933" s="1073">
        <v>59955308</v>
      </c>
      <c r="I933" s="1073">
        <v>147570601</v>
      </c>
      <c r="J933" s="1077">
        <v>145997941</v>
      </c>
      <c r="K933" s="1075">
        <v>147570601</v>
      </c>
      <c r="L933" s="1075">
        <v>145997941</v>
      </c>
    </row>
    <row r="934" spans="1:12">
      <c r="A934" t="s">
        <v>1544</v>
      </c>
      <c r="B934" s="31" t="s">
        <v>615</v>
      </c>
      <c r="C934" s="1075">
        <v>305276308</v>
      </c>
      <c r="D934" s="1075">
        <v>300040615</v>
      </c>
      <c r="E934" s="1075">
        <v>305276308</v>
      </c>
      <c r="F934" s="1075">
        <v>300040615</v>
      </c>
      <c r="G934" s="1073">
        <v>320922578</v>
      </c>
      <c r="H934" s="1073">
        <v>320922578</v>
      </c>
      <c r="I934" s="1073">
        <v>305276308</v>
      </c>
      <c r="J934" s="1077">
        <v>300040615</v>
      </c>
      <c r="K934" s="1075">
        <v>305276308</v>
      </c>
      <c r="L934" s="1075">
        <v>300040615</v>
      </c>
    </row>
    <row r="935" spans="1:12">
      <c r="A935" t="s">
        <v>1521</v>
      </c>
      <c r="B935" s="31" t="s">
        <v>296</v>
      </c>
      <c r="C935" s="1075">
        <v>1320725218</v>
      </c>
      <c r="D935" s="1075">
        <v>1282574602</v>
      </c>
      <c r="E935" s="1075">
        <v>1320725218</v>
      </c>
      <c r="F935" s="1075">
        <v>1282574602</v>
      </c>
      <c r="G935" s="1073">
        <v>1115341131</v>
      </c>
      <c r="H935" s="1073">
        <v>1115341131</v>
      </c>
      <c r="I935" s="1073">
        <v>1320725218</v>
      </c>
      <c r="J935" s="1077">
        <v>1282574602</v>
      </c>
      <c r="K935" s="1075">
        <v>1320725218</v>
      </c>
      <c r="L935" s="1075">
        <v>1282574602</v>
      </c>
    </row>
    <row r="936" spans="1:12">
      <c r="A936" t="s">
        <v>1319</v>
      </c>
      <c r="B936" s="31" t="s">
        <v>622</v>
      </c>
      <c r="C936" s="1075">
        <v>199726045</v>
      </c>
      <c r="D936" s="1075">
        <v>195740798</v>
      </c>
      <c r="E936" s="1075">
        <v>199726045</v>
      </c>
      <c r="F936" s="1075">
        <v>195740798</v>
      </c>
      <c r="G936" s="1073">
        <v>190400749</v>
      </c>
      <c r="H936" s="1073">
        <v>190400749</v>
      </c>
      <c r="I936" s="1073">
        <v>199726045</v>
      </c>
      <c r="J936" s="1077">
        <v>195740798</v>
      </c>
      <c r="K936" s="1075">
        <v>199726045</v>
      </c>
      <c r="L936" s="1075">
        <v>195740798</v>
      </c>
    </row>
    <row r="937" spans="1:12">
      <c r="A937" t="s">
        <v>488</v>
      </c>
      <c r="B937" s="31" t="s">
        <v>2146</v>
      </c>
      <c r="C937" s="1075">
        <v>1879786506</v>
      </c>
      <c r="D937" s="1075">
        <v>1797134147</v>
      </c>
      <c r="E937" s="1075">
        <v>1789941841</v>
      </c>
      <c r="F937" s="1075">
        <v>1707289482</v>
      </c>
      <c r="G937" s="1073">
        <v>1660469439</v>
      </c>
      <c r="H937" s="1073">
        <v>1573752486</v>
      </c>
      <c r="I937" s="1073">
        <v>1879786506</v>
      </c>
      <c r="J937" s="1077">
        <v>1797134147</v>
      </c>
      <c r="K937" s="1075">
        <v>1789941841</v>
      </c>
      <c r="L937" s="1075">
        <v>1707289482</v>
      </c>
    </row>
    <row r="938" spans="1:12">
      <c r="A938" t="s">
        <v>831</v>
      </c>
      <c r="B938" s="31" t="s">
        <v>623</v>
      </c>
      <c r="C938" s="1075">
        <v>222494587</v>
      </c>
      <c r="D938" s="1075">
        <v>221147480</v>
      </c>
      <c r="E938" s="1075">
        <v>222115443</v>
      </c>
      <c r="F938" s="1075">
        <v>220768336</v>
      </c>
      <c r="G938" s="1073">
        <v>194757414</v>
      </c>
      <c r="H938" s="1073">
        <v>194396283</v>
      </c>
      <c r="I938" s="1073">
        <v>222494587</v>
      </c>
      <c r="J938" s="1077">
        <v>221147480</v>
      </c>
      <c r="K938" s="1075">
        <v>222115443</v>
      </c>
      <c r="L938" s="1075">
        <v>220768336</v>
      </c>
    </row>
    <row r="939" spans="1:12">
      <c r="A939" t="s">
        <v>833</v>
      </c>
      <c r="B939" s="31" t="s">
        <v>1146</v>
      </c>
      <c r="C939" s="1075">
        <v>681929532</v>
      </c>
      <c r="D939" s="1075">
        <v>654793770</v>
      </c>
      <c r="E939" s="1075">
        <v>681929532</v>
      </c>
      <c r="F939" s="1075">
        <v>654793770</v>
      </c>
      <c r="G939" s="1073">
        <v>623849780</v>
      </c>
      <c r="H939" s="1073">
        <v>623849780</v>
      </c>
      <c r="I939" s="1073">
        <v>681929532</v>
      </c>
      <c r="J939" s="1077">
        <v>654793770</v>
      </c>
      <c r="K939" s="1075">
        <v>681929532</v>
      </c>
      <c r="L939" s="1075">
        <v>654793770</v>
      </c>
    </row>
    <row r="940" spans="1:12">
      <c r="A940" t="s">
        <v>834</v>
      </c>
      <c r="B940" s="31" t="s">
        <v>888</v>
      </c>
      <c r="C940" s="1075">
        <v>221958641</v>
      </c>
      <c r="D940" s="1075">
        <v>210868575</v>
      </c>
      <c r="E940" s="1075">
        <v>221958641</v>
      </c>
      <c r="F940" s="1075">
        <v>210868575</v>
      </c>
      <c r="G940" s="1073">
        <v>223263255</v>
      </c>
      <c r="H940" s="1073">
        <v>223263255</v>
      </c>
      <c r="I940" s="1073">
        <v>221958641</v>
      </c>
      <c r="J940" s="1077">
        <v>210868575</v>
      </c>
      <c r="K940" s="1075">
        <v>221958641</v>
      </c>
      <c r="L940" s="1075">
        <v>210868575</v>
      </c>
    </row>
    <row r="941" spans="1:12">
      <c r="A941" t="s">
        <v>1533</v>
      </c>
      <c r="B941" s="31" t="s">
        <v>864</v>
      </c>
      <c r="C941" s="1075">
        <v>257401863</v>
      </c>
      <c r="D941" s="1075">
        <v>243955433</v>
      </c>
      <c r="E941" s="1075">
        <v>243794368</v>
      </c>
      <c r="F941" s="1075">
        <v>230347938</v>
      </c>
      <c r="G941" s="1073">
        <v>237067512</v>
      </c>
      <c r="H941" s="1073">
        <v>223523648</v>
      </c>
      <c r="I941" s="1073">
        <v>257401863</v>
      </c>
      <c r="J941" s="1077">
        <v>243955433</v>
      </c>
      <c r="K941" s="1075">
        <v>243794368</v>
      </c>
      <c r="L941" s="1075">
        <v>230347938</v>
      </c>
    </row>
    <row r="942" spans="1:12">
      <c r="A942" t="s">
        <v>1836</v>
      </c>
      <c r="B942" s="31" t="s">
        <v>2065</v>
      </c>
      <c r="C942" s="1075">
        <v>103444036</v>
      </c>
      <c r="D942" s="1075">
        <v>98917237</v>
      </c>
      <c r="E942" s="1075">
        <v>103444036</v>
      </c>
      <c r="F942" s="1075">
        <v>98917237</v>
      </c>
      <c r="G942" s="1073">
        <v>94566670</v>
      </c>
      <c r="H942" s="1073">
        <v>94566670</v>
      </c>
      <c r="I942" s="1073">
        <v>103444036</v>
      </c>
      <c r="J942" s="1077">
        <v>98917237</v>
      </c>
      <c r="K942" s="1075">
        <v>103444036</v>
      </c>
      <c r="L942" s="1075">
        <v>98917237</v>
      </c>
    </row>
    <row r="943" spans="1:12">
      <c r="A943" t="s">
        <v>835</v>
      </c>
      <c r="B943" s="31" t="s">
        <v>1147</v>
      </c>
      <c r="C943" s="1075">
        <v>616842731</v>
      </c>
      <c r="D943" s="1075">
        <v>586087314</v>
      </c>
      <c r="E943" s="1075">
        <v>577170515</v>
      </c>
      <c r="F943" s="1075">
        <v>546415098</v>
      </c>
      <c r="G943" s="1073">
        <v>591731707</v>
      </c>
      <c r="H943" s="1073">
        <v>555672564</v>
      </c>
      <c r="I943" s="1073">
        <v>616842731</v>
      </c>
      <c r="J943" s="1077">
        <v>586087314</v>
      </c>
      <c r="K943" s="1075">
        <v>577170515</v>
      </c>
      <c r="L943" s="1075">
        <v>546415098</v>
      </c>
    </row>
    <row r="944" spans="1:12">
      <c r="A944" t="s">
        <v>836</v>
      </c>
      <c r="B944" s="31" t="s">
        <v>2081</v>
      </c>
      <c r="C944" s="1075">
        <v>567659228</v>
      </c>
      <c r="D944" s="1075">
        <v>540819172</v>
      </c>
      <c r="E944" s="1075">
        <v>567659228</v>
      </c>
      <c r="F944" s="1075">
        <v>540819172</v>
      </c>
      <c r="G944" s="1073">
        <v>514352178</v>
      </c>
      <c r="H944" s="1073">
        <v>514352178</v>
      </c>
      <c r="I944" s="1073">
        <v>567659228</v>
      </c>
      <c r="J944" s="1077">
        <v>540819172</v>
      </c>
      <c r="K944" s="1075">
        <v>567659228</v>
      </c>
      <c r="L944" s="1075">
        <v>540819172</v>
      </c>
    </row>
    <row r="945" spans="1:12">
      <c r="A945" t="s">
        <v>1426</v>
      </c>
      <c r="B945" s="31" t="s">
        <v>1478</v>
      </c>
      <c r="C945" s="1075">
        <v>53160789</v>
      </c>
      <c r="D945" s="1075">
        <v>49762599</v>
      </c>
      <c r="E945" s="1075">
        <v>49799911</v>
      </c>
      <c r="F945" s="1075">
        <v>46401721</v>
      </c>
      <c r="G945" s="1073">
        <v>58635417</v>
      </c>
      <c r="H945" s="1073">
        <v>55350005</v>
      </c>
      <c r="I945" s="1073">
        <v>53160789</v>
      </c>
      <c r="J945" s="1077">
        <v>49762599</v>
      </c>
      <c r="K945" s="1075">
        <v>49799911</v>
      </c>
      <c r="L945" s="1075">
        <v>46401721</v>
      </c>
    </row>
    <row r="946" spans="1:12">
      <c r="A946" t="s">
        <v>877</v>
      </c>
      <c r="B946" s="31" t="s">
        <v>1344</v>
      </c>
      <c r="C946" s="1075">
        <v>168685017</v>
      </c>
      <c r="D946" s="1075">
        <v>163316193</v>
      </c>
      <c r="E946" s="1075">
        <v>168685017</v>
      </c>
      <c r="F946" s="1075">
        <v>163316193</v>
      </c>
      <c r="G946" s="1073">
        <v>180558224</v>
      </c>
      <c r="H946" s="1073">
        <v>180558224</v>
      </c>
      <c r="I946" s="1073">
        <v>168685017</v>
      </c>
      <c r="J946" s="1077">
        <v>163316193</v>
      </c>
      <c r="K946" s="1075">
        <v>168685017</v>
      </c>
      <c r="L946" s="1075">
        <v>163316193</v>
      </c>
    </row>
    <row r="947" spans="1:12">
      <c r="A947" t="s">
        <v>340</v>
      </c>
      <c r="B947" s="31" t="s">
        <v>134</v>
      </c>
      <c r="C947" s="1075">
        <v>5895115184</v>
      </c>
      <c r="D947" s="1075">
        <v>5736739750</v>
      </c>
      <c r="E947" s="1075">
        <v>5895115184</v>
      </c>
      <c r="F947" s="1075">
        <v>5736739750</v>
      </c>
      <c r="G947" s="1073">
        <v>5937291884</v>
      </c>
      <c r="H947" s="1073">
        <v>5937291884</v>
      </c>
      <c r="I947" s="1073">
        <v>5895115184</v>
      </c>
      <c r="J947" s="1077">
        <v>5736739750</v>
      </c>
      <c r="K947" s="1075">
        <v>5895115184</v>
      </c>
      <c r="L947" s="1075">
        <v>5736739750</v>
      </c>
    </row>
    <row r="948" spans="1:12">
      <c r="A948" t="s">
        <v>2597</v>
      </c>
      <c r="B948" s="31" t="s">
        <v>2082</v>
      </c>
      <c r="C948" s="1075">
        <v>241033834</v>
      </c>
      <c r="D948" s="1075">
        <v>236826112</v>
      </c>
      <c r="E948" s="1075">
        <v>241033834</v>
      </c>
      <c r="F948" s="1075">
        <v>236826112</v>
      </c>
      <c r="G948" s="1073">
        <v>235662424</v>
      </c>
      <c r="H948" s="1073">
        <v>235662424</v>
      </c>
      <c r="I948" s="1073">
        <v>241033834</v>
      </c>
      <c r="J948" s="1077">
        <v>236826112</v>
      </c>
      <c r="K948" s="1075">
        <v>241033834</v>
      </c>
      <c r="L948" s="1075">
        <v>236826112</v>
      </c>
    </row>
    <row r="949" spans="1:12">
      <c r="A949" t="s">
        <v>1022</v>
      </c>
      <c r="B949" s="31" t="s">
        <v>1144</v>
      </c>
      <c r="C949" s="1075">
        <v>309053850</v>
      </c>
      <c r="D949" s="1075">
        <v>300041002</v>
      </c>
      <c r="E949" s="1075">
        <v>309053850</v>
      </c>
      <c r="F949" s="1075">
        <v>300041002</v>
      </c>
      <c r="G949" s="1073">
        <v>273101089</v>
      </c>
      <c r="H949" s="1073">
        <v>273101089</v>
      </c>
      <c r="I949" s="1073">
        <v>309053850</v>
      </c>
      <c r="J949" s="1077">
        <v>300041002</v>
      </c>
      <c r="K949" s="1075">
        <v>309053850</v>
      </c>
      <c r="L949" s="1075">
        <v>300041002</v>
      </c>
    </row>
    <row r="950" spans="1:12">
      <c r="A950" t="s">
        <v>1156</v>
      </c>
      <c r="B950" s="31" t="s">
        <v>93</v>
      </c>
      <c r="C950" s="1075">
        <v>2433748737</v>
      </c>
      <c r="D950" s="1075">
        <v>2368291918</v>
      </c>
      <c r="E950" s="1075">
        <v>2433748737</v>
      </c>
      <c r="F950" s="1075">
        <v>2368291918</v>
      </c>
      <c r="G950" s="1073">
        <v>2155287394</v>
      </c>
      <c r="H950" s="1073">
        <v>2155287394</v>
      </c>
      <c r="I950" s="1073">
        <v>2433748737</v>
      </c>
      <c r="J950" s="1077">
        <v>2368291918</v>
      </c>
      <c r="K950" s="1075">
        <v>2433748737</v>
      </c>
      <c r="L950" s="1075">
        <v>2368291918</v>
      </c>
    </row>
    <row r="951" spans="1:12">
      <c r="A951" t="s">
        <v>276</v>
      </c>
      <c r="B951" s="31" t="s">
        <v>2371</v>
      </c>
      <c r="C951" s="1075">
        <v>523367025</v>
      </c>
      <c r="D951" s="1075">
        <v>509680552</v>
      </c>
      <c r="E951" s="1075">
        <v>523367025</v>
      </c>
      <c r="F951" s="1075">
        <v>509680552</v>
      </c>
      <c r="G951" s="1073">
        <v>470278315</v>
      </c>
      <c r="H951" s="1073">
        <v>470278315</v>
      </c>
      <c r="I951" s="1073">
        <v>523367025</v>
      </c>
      <c r="J951" s="1077">
        <v>509680552</v>
      </c>
      <c r="K951" s="1075">
        <v>523367025</v>
      </c>
      <c r="L951" s="1075">
        <v>509680552</v>
      </c>
    </row>
    <row r="952" spans="1:12">
      <c r="A952" t="s">
        <v>277</v>
      </c>
      <c r="B952" s="31" t="s">
        <v>138</v>
      </c>
      <c r="C952" s="1075">
        <v>2611669801</v>
      </c>
      <c r="D952" s="1075">
        <v>2552775517</v>
      </c>
      <c r="E952" s="1075">
        <v>2611669801</v>
      </c>
      <c r="F952" s="1075">
        <v>2552775517</v>
      </c>
      <c r="G952" s="1073">
        <v>1975884350</v>
      </c>
      <c r="H952" s="1073">
        <v>1975884350</v>
      </c>
      <c r="I952" s="1073">
        <v>2742550561</v>
      </c>
      <c r="J952" s="1077">
        <v>2683656277</v>
      </c>
      <c r="K952" s="1075">
        <v>2742550561</v>
      </c>
      <c r="L952" s="1075">
        <v>2683656277</v>
      </c>
    </row>
    <row r="953" spans="1:12">
      <c r="A953" t="s">
        <v>624</v>
      </c>
      <c r="B953" s="31" t="s">
        <v>94</v>
      </c>
      <c r="C953" s="1075">
        <v>1105447893</v>
      </c>
      <c r="D953" s="1075">
        <v>1092484031</v>
      </c>
      <c r="E953" s="1075">
        <v>1102192370</v>
      </c>
      <c r="F953" s="1075">
        <v>1089228508</v>
      </c>
      <c r="G953" s="1073">
        <v>1028001065</v>
      </c>
      <c r="H953" s="1073">
        <v>1024719149</v>
      </c>
      <c r="I953" s="1073">
        <v>1123915383</v>
      </c>
      <c r="J953" s="1077">
        <v>1110951521</v>
      </c>
      <c r="K953" s="1075">
        <v>1120659860</v>
      </c>
      <c r="L953" s="1075">
        <v>1107695998</v>
      </c>
    </row>
    <row r="954" spans="1:12">
      <c r="A954" t="s">
        <v>625</v>
      </c>
      <c r="B954" s="31" t="s">
        <v>887</v>
      </c>
      <c r="C954" s="1075">
        <v>1461841954</v>
      </c>
      <c r="D954" s="1075">
        <v>1446118794</v>
      </c>
      <c r="E954" s="1075">
        <v>1452787329</v>
      </c>
      <c r="F954" s="1075">
        <v>1437064169</v>
      </c>
      <c r="G954" s="1073">
        <v>2475776699</v>
      </c>
      <c r="H954" s="1073">
        <v>2469177133</v>
      </c>
      <c r="I954" s="1073">
        <v>1461841954</v>
      </c>
      <c r="J954" s="1077">
        <v>1446118794</v>
      </c>
      <c r="K954" s="1075">
        <v>1452787329</v>
      </c>
      <c r="L954" s="1075">
        <v>1437064169</v>
      </c>
    </row>
    <row r="955" spans="1:12">
      <c r="A955" t="s">
        <v>626</v>
      </c>
      <c r="B955" s="31" t="s">
        <v>1216</v>
      </c>
      <c r="C955" s="1075">
        <v>89538551</v>
      </c>
      <c r="D955" s="1075">
        <v>89245601</v>
      </c>
      <c r="E955" s="1075">
        <v>89353901</v>
      </c>
      <c r="F955" s="1075">
        <v>89060951</v>
      </c>
      <c r="G955" s="1073">
        <v>167394412</v>
      </c>
      <c r="H955" s="1073">
        <v>167248760</v>
      </c>
      <c r="I955" s="1073">
        <v>89538551</v>
      </c>
      <c r="J955" s="1077">
        <v>89245601</v>
      </c>
      <c r="K955" s="1075">
        <v>89353901</v>
      </c>
      <c r="L955" s="1075">
        <v>89060951</v>
      </c>
    </row>
    <row r="956" spans="1:12">
      <c r="A956" t="s">
        <v>2339</v>
      </c>
      <c r="B956" s="31" t="s">
        <v>1217</v>
      </c>
      <c r="C956" s="1075">
        <v>2536098727</v>
      </c>
      <c r="D956" s="1075">
        <v>2470279190</v>
      </c>
      <c r="E956" s="1075">
        <v>2536098727</v>
      </c>
      <c r="F956" s="1075">
        <v>2470279190</v>
      </c>
      <c r="G956" s="1073">
        <v>2321747633</v>
      </c>
      <c r="H956" s="1073">
        <v>2321747633</v>
      </c>
      <c r="I956" s="1073">
        <v>2536098727</v>
      </c>
      <c r="J956" s="1077">
        <v>2470279190</v>
      </c>
      <c r="K956" s="1075">
        <v>2536098727</v>
      </c>
      <c r="L956" s="1075">
        <v>2470279190</v>
      </c>
    </row>
    <row r="957" spans="1:12">
      <c r="A957" t="s">
        <v>2340</v>
      </c>
      <c r="B957" s="31" t="s">
        <v>1218</v>
      </c>
      <c r="C957" s="1075">
        <v>386269875</v>
      </c>
      <c r="D957" s="1075">
        <v>378368404</v>
      </c>
      <c r="E957" s="1075">
        <v>386269875</v>
      </c>
      <c r="F957" s="1075">
        <v>378368404</v>
      </c>
      <c r="G957" s="1073">
        <v>412937528</v>
      </c>
      <c r="H957" s="1073">
        <v>412937528</v>
      </c>
      <c r="I957" s="1073">
        <v>386269875</v>
      </c>
      <c r="J957" s="1077">
        <v>378368404</v>
      </c>
      <c r="K957" s="1075">
        <v>386269875</v>
      </c>
      <c r="L957" s="1075">
        <v>378368404</v>
      </c>
    </row>
    <row r="958" spans="1:12">
      <c r="A958" t="s">
        <v>1768</v>
      </c>
      <c r="B958" s="31" t="s">
        <v>2345</v>
      </c>
      <c r="C958" s="1075">
        <v>2234765628</v>
      </c>
      <c r="D958" s="1075">
        <v>2148991362</v>
      </c>
      <c r="E958" s="1075">
        <v>2199158936</v>
      </c>
      <c r="F958" s="1075">
        <v>2113384670</v>
      </c>
      <c r="G958" s="1073">
        <v>2132982724</v>
      </c>
      <c r="H958" s="1073">
        <v>2096303818</v>
      </c>
      <c r="I958" s="1073">
        <v>2234765628</v>
      </c>
      <c r="J958" s="1077">
        <v>2148991362</v>
      </c>
      <c r="K958" s="1075">
        <v>2199158936</v>
      </c>
      <c r="L958" s="1075">
        <v>2113384670</v>
      </c>
    </row>
    <row r="959" spans="1:12">
      <c r="A959" t="s">
        <v>1520</v>
      </c>
      <c r="B959" s="31" t="s">
        <v>2362</v>
      </c>
      <c r="C959" s="1075">
        <v>14633526640</v>
      </c>
      <c r="D959" s="1075">
        <v>14391939028</v>
      </c>
      <c r="E959" s="1075">
        <v>14350010868</v>
      </c>
      <c r="F959" s="1075">
        <v>14108423256</v>
      </c>
      <c r="G959" s="1073">
        <v>15744177972</v>
      </c>
      <c r="H959" s="1073">
        <v>15482569291</v>
      </c>
      <c r="I959" s="1073">
        <v>14633526640</v>
      </c>
      <c r="J959" s="1077">
        <v>14391939028</v>
      </c>
      <c r="K959" s="1075">
        <v>14350010868</v>
      </c>
      <c r="L959" s="1075">
        <v>14108423256</v>
      </c>
    </row>
    <row r="960" spans="1:12">
      <c r="A960" t="s">
        <v>927</v>
      </c>
      <c r="B960" s="31" t="s">
        <v>2337</v>
      </c>
      <c r="C960" s="1075">
        <v>426289186</v>
      </c>
      <c r="D960" s="1075">
        <v>424945116</v>
      </c>
      <c r="E960" s="1075">
        <v>425467595</v>
      </c>
      <c r="F960" s="1075">
        <v>424123525</v>
      </c>
      <c r="G960" s="1073">
        <v>981233212</v>
      </c>
      <c r="H960" s="1073">
        <v>980306403</v>
      </c>
      <c r="I960" s="1073">
        <v>893927026</v>
      </c>
      <c r="J960" s="1077">
        <v>892582956</v>
      </c>
      <c r="K960" s="1075">
        <v>893105435</v>
      </c>
      <c r="L960" s="1075">
        <v>891761365</v>
      </c>
    </row>
    <row r="961" spans="1:12">
      <c r="A961" t="s">
        <v>928</v>
      </c>
      <c r="B961" s="31" t="s">
        <v>1220</v>
      </c>
      <c r="C961" s="1075">
        <v>306878927</v>
      </c>
      <c r="D961" s="1075">
        <v>297353941</v>
      </c>
      <c r="E961" s="1075">
        <v>306878927</v>
      </c>
      <c r="F961" s="1075">
        <v>297353941</v>
      </c>
      <c r="G961" s="1073">
        <v>255736957</v>
      </c>
      <c r="H961" s="1073">
        <v>255736957</v>
      </c>
      <c r="I961" s="1073">
        <v>306878927</v>
      </c>
      <c r="J961" s="1077">
        <v>297353941</v>
      </c>
      <c r="K961" s="1075">
        <v>306878927</v>
      </c>
      <c r="L961" s="1075">
        <v>297353941</v>
      </c>
    </row>
    <row r="962" spans="1:12">
      <c r="A962" t="s">
        <v>929</v>
      </c>
      <c r="B962" s="31" t="s">
        <v>1221</v>
      </c>
      <c r="C962" s="1075">
        <v>352469321</v>
      </c>
      <c r="D962" s="1075">
        <v>342442444</v>
      </c>
      <c r="E962" s="1075">
        <v>352469321</v>
      </c>
      <c r="F962" s="1075">
        <v>342442444</v>
      </c>
      <c r="G962" s="1073">
        <v>337530371</v>
      </c>
      <c r="H962" s="1073">
        <v>337530371</v>
      </c>
      <c r="I962" s="1073">
        <v>352469321</v>
      </c>
      <c r="J962" s="1077">
        <v>342442444</v>
      </c>
      <c r="K962" s="1075">
        <v>352469321</v>
      </c>
      <c r="L962" s="1075">
        <v>342442444</v>
      </c>
    </row>
    <row r="963" spans="1:12">
      <c r="A963" t="s">
        <v>571</v>
      </c>
      <c r="B963" s="31" t="s">
        <v>1222</v>
      </c>
      <c r="C963" s="1075">
        <v>1189183664</v>
      </c>
      <c r="D963" s="1075">
        <v>1154680207</v>
      </c>
      <c r="E963" s="1075">
        <v>1189183664</v>
      </c>
      <c r="F963" s="1075">
        <v>1154680207</v>
      </c>
      <c r="G963" s="1073">
        <v>1278265146</v>
      </c>
      <c r="H963" s="1073">
        <v>1278265146</v>
      </c>
      <c r="I963" s="1073">
        <v>1189183664</v>
      </c>
      <c r="J963" s="1077">
        <v>1154680207</v>
      </c>
      <c r="K963" s="1075">
        <v>1189183664</v>
      </c>
      <c r="L963" s="1075">
        <v>1154680207</v>
      </c>
    </row>
    <row r="964" spans="1:12">
      <c r="A964" t="s">
        <v>902</v>
      </c>
      <c r="B964" s="31" t="s">
        <v>1223</v>
      </c>
      <c r="C964" s="1075">
        <v>1010492984</v>
      </c>
      <c r="D964" s="1075">
        <v>987533821</v>
      </c>
      <c r="E964" s="1075">
        <v>1010492984</v>
      </c>
      <c r="F964" s="1075">
        <v>987533821</v>
      </c>
      <c r="G964" s="1073">
        <v>1027600413</v>
      </c>
      <c r="H964" s="1073">
        <v>1027600413</v>
      </c>
      <c r="I964" s="1073">
        <v>1010492984</v>
      </c>
      <c r="J964" s="1077">
        <v>987533821</v>
      </c>
      <c r="K964" s="1075">
        <v>1010492984</v>
      </c>
      <c r="L964" s="1075">
        <v>987533821</v>
      </c>
    </row>
    <row r="965" spans="1:12">
      <c r="A965" t="s">
        <v>903</v>
      </c>
      <c r="B965" s="31" t="s">
        <v>1224</v>
      </c>
      <c r="C965" s="1075">
        <v>257237936</v>
      </c>
      <c r="D965" s="1075">
        <v>251699757</v>
      </c>
      <c r="E965" s="1075">
        <v>257237936</v>
      </c>
      <c r="F965" s="1075">
        <v>251699757</v>
      </c>
      <c r="G965" s="1073">
        <v>259948401</v>
      </c>
      <c r="H965" s="1073">
        <v>259948401</v>
      </c>
      <c r="I965" s="1073">
        <v>257237936</v>
      </c>
      <c r="J965" s="1077">
        <v>251699757</v>
      </c>
      <c r="K965" s="1075">
        <v>257237936</v>
      </c>
      <c r="L965" s="1075">
        <v>251699757</v>
      </c>
    </row>
    <row r="966" spans="1:12">
      <c r="A966" t="s">
        <v>904</v>
      </c>
      <c r="B966" s="31" t="s">
        <v>1225</v>
      </c>
      <c r="C966" s="1075">
        <v>138615454</v>
      </c>
      <c r="D966" s="1075">
        <v>133911404</v>
      </c>
      <c r="E966" s="1075">
        <v>138615454</v>
      </c>
      <c r="F966" s="1075">
        <v>133911404</v>
      </c>
      <c r="G966" s="1073">
        <v>179331106</v>
      </c>
      <c r="H966" s="1073">
        <v>179331106</v>
      </c>
      <c r="I966" s="1073">
        <v>138615454</v>
      </c>
      <c r="J966" s="1077">
        <v>133911404</v>
      </c>
      <c r="K966" s="1075">
        <v>138615454</v>
      </c>
      <c r="L966" s="1075">
        <v>133911404</v>
      </c>
    </row>
    <row r="967" spans="1:12">
      <c r="A967" t="s">
        <v>905</v>
      </c>
      <c r="B967" s="31" t="s">
        <v>1226</v>
      </c>
      <c r="C967" s="1075">
        <v>275995594</v>
      </c>
      <c r="D967" s="1075">
        <v>272238694</v>
      </c>
      <c r="E967" s="1075">
        <v>275995594</v>
      </c>
      <c r="F967" s="1075">
        <v>272238694</v>
      </c>
      <c r="G967" s="1073">
        <v>522970250</v>
      </c>
      <c r="H967" s="1073">
        <v>522970250</v>
      </c>
      <c r="I967" s="1073">
        <v>275995594</v>
      </c>
      <c r="J967" s="1077">
        <v>272238694</v>
      </c>
      <c r="K967" s="1075">
        <v>275995594</v>
      </c>
      <c r="L967" s="1075">
        <v>272238694</v>
      </c>
    </row>
    <row r="968" spans="1:12">
      <c r="A968" t="s">
        <v>1724</v>
      </c>
      <c r="B968" s="31" t="s">
        <v>1227</v>
      </c>
      <c r="C968" s="1075">
        <v>644536731</v>
      </c>
      <c r="D968" s="1075">
        <v>644196751</v>
      </c>
      <c r="E968" s="1075">
        <v>644536731</v>
      </c>
      <c r="F968" s="1075">
        <v>644196751</v>
      </c>
      <c r="G968" s="1073">
        <v>1155205505</v>
      </c>
      <c r="H968" s="1073">
        <v>1155205505</v>
      </c>
      <c r="I968" s="1073">
        <v>644536731</v>
      </c>
      <c r="J968" s="1077">
        <v>644196751</v>
      </c>
      <c r="K968" s="1075">
        <v>644536731</v>
      </c>
      <c r="L968" s="1075">
        <v>644196751</v>
      </c>
    </row>
    <row r="969" spans="1:12">
      <c r="A969" t="s">
        <v>2319</v>
      </c>
      <c r="B969" s="31" t="s">
        <v>1228</v>
      </c>
      <c r="C969" s="1075">
        <v>1119821275</v>
      </c>
      <c r="D969" s="1075">
        <v>1118032535</v>
      </c>
      <c r="E969" s="1075">
        <v>1119821275</v>
      </c>
      <c r="F969" s="1075">
        <v>1118032535</v>
      </c>
      <c r="G969" s="1073">
        <v>2069000643</v>
      </c>
      <c r="H969" s="1073">
        <v>2069000643</v>
      </c>
      <c r="I969" s="1073">
        <v>1191075575</v>
      </c>
      <c r="J969" s="1077">
        <v>1189286835</v>
      </c>
      <c r="K969" s="1075">
        <v>1191075575</v>
      </c>
      <c r="L969" s="1075">
        <v>1189286835</v>
      </c>
    </row>
    <row r="970" spans="1:12">
      <c r="A970" t="s">
        <v>884</v>
      </c>
      <c r="B970" s="31" t="s">
        <v>1448</v>
      </c>
      <c r="C970" s="1075">
        <v>787294423</v>
      </c>
      <c r="D970" s="1075">
        <v>756393657</v>
      </c>
      <c r="E970" s="1075">
        <v>787294423</v>
      </c>
      <c r="F970" s="1075">
        <v>756393657</v>
      </c>
      <c r="G970" s="1073">
        <v>803057019</v>
      </c>
      <c r="H970" s="1073">
        <v>803057019</v>
      </c>
      <c r="I970" s="1073">
        <v>787294423</v>
      </c>
      <c r="J970" s="1077">
        <v>756393657</v>
      </c>
      <c r="K970" s="1075">
        <v>787294423</v>
      </c>
      <c r="L970" s="1075">
        <v>756393657</v>
      </c>
    </row>
    <row r="971" spans="1:12">
      <c r="A971" t="s">
        <v>1255</v>
      </c>
      <c r="B971" s="31" t="s">
        <v>1607</v>
      </c>
      <c r="C971" s="1075">
        <v>174585116</v>
      </c>
      <c r="D971" s="1075">
        <v>169787525</v>
      </c>
      <c r="E971" s="1075">
        <v>174585116</v>
      </c>
      <c r="F971" s="1075">
        <v>169787525</v>
      </c>
      <c r="G971" s="1073">
        <v>318568610</v>
      </c>
      <c r="H971" s="1073">
        <v>318568610</v>
      </c>
      <c r="I971" s="1073">
        <v>174585116</v>
      </c>
      <c r="J971" s="1077">
        <v>169787525</v>
      </c>
      <c r="K971" s="1075">
        <v>174585116</v>
      </c>
      <c r="L971" s="1075">
        <v>169787525</v>
      </c>
    </row>
    <row r="972" spans="1:12">
      <c r="A972" t="s">
        <v>642</v>
      </c>
      <c r="B972" s="31" t="s">
        <v>2338</v>
      </c>
      <c r="C972" s="1075">
        <v>554888824</v>
      </c>
      <c r="D972" s="1075">
        <v>530626816</v>
      </c>
      <c r="E972" s="1075">
        <v>554888824</v>
      </c>
      <c r="F972" s="1075">
        <v>530626816</v>
      </c>
      <c r="G972" s="1073">
        <v>626171891</v>
      </c>
      <c r="H972" s="1073">
        <v>626171891</v>
      </c>
      <c r="I972" s="1073">
        <v>554888824</v>
      </c>
      <c r="J972" s="1077">
        <v>530626816</v>
      </c>
      <c r="K972" s="1075">
        <v>554888824</v>
      </c>
      <c r="L972" s="1075">
        <v>530626816</v>
      </c>
    </row>
    <row r="973" spans="1:12">
      <c r="A973" t="s">
        <v>1827</v>
      </c>
      <c r="B973" s="31" t="s">
        <v>1609</v>
      </c>
      <c r="C973" s="1075">
        <v>4322258744</v>
      </c>
      <c r="D973" s="1075">
        <v>4174131369</v>
      </c>
      <c r="E973" s="1075">
        <v>4322258744</v>
      </c>
      <c r="F973" s="1075">
        <v>4174131369</v>
      </c>
      <c r="G973" s="1073">
        <v>4190104261</v>
      </c>
      <c r="H973" s="1073">
        <v>4190104261</v>
      </c>
      <c r="I973" s="1073">
        <v>4322258744</v>
      </c>
      <c r="J973" s="1077">
        <v>4174131369</v>
      </c>
      <c r="K973" s="1075">
        <v>4322258744</v>
      </c>
      <c r="L973" s="1075">
        <v>4174131369</v>
      </c>
    </row>
    <row r="974" spans="1:12">
      <c r="A974" t="s">
        <v>573</v>
      </c>
      <c r="B974" s="31" t="s">
        <v>1162</v>
      </c>
      <c r="C974" s="1075">
        <v>189432910</v>
      </c>
      <c r="D974" s="1075">
        <v>180843764</v>
      </c>
      <c r="E974" s="1075">
        <v>189432910</v>
      </c>
      <c r="F974" s="1075">
        <v>180843764</v>
      </c>
      <c r="G974" s="1073">
        <v>177880295</v>
      </c>
      <c r="H974" s="1073">
        <v>177880295</v>
      </c>
      <c r="I974" s="1073">
        <v>189432910</v>
      </c>
      <c r="J974" s="1077">
        <v>180843764</v>
      </c>
      <c r="K974" s="1075">
        <v>189432910</v>
      </c>
      <c r="L974" s="1075">
        <v>180843764</v>
      </c>
    </row>
    <row r="975" spans="1:12">
      <c r="A975" t="s">
        <v>1358</v>
      </c>
      <c r="B975" s="31" t="s">
        <v>1610</v>
      </c>
      <c r="C975" s="1075">
        <v>48234523</v>
      </c>
      <c r="D975" s="1075">
        <v>47903863</v>
      </c>
      <c r="E975" s="1075">
        <v>48234523</v>
      </c>
      <c r="F975" s="1075">
        <v>47903863</v>
      </c>
      <c r="G975" s="1073">
        <v>98672805</v>
      </c>
      <c r="H975" s="1073">
        <v>98672805</v>
      </c>
      <c r="I975" s="1073">
        <v>48234523</v>
      </c>
      <c r="J975" s="1077">
        <v>47903863</v>
      </c>
      <c r="K975" s="1075">
        <v>48234523</v>
      </c>
      <c r="L975" s="1075">
        <v>47903863</v>
      </c>
    </row>
    <row r="976" spans="1:12">
      <c r="A976" t="s">
        <v>9</v>
      </c>
      <c r="B976" s="31" t="s">
        <v>1611</v>
      </c>
      <c r="C976" s="1075">
        <v>892934804</v>
      </c>
      <c r="D976" s="1075">
        <v>869755164</v>
      </c>
      <c r="E976" s="1075">
        <v>892934804</v>
      </c>
      <c r="F976" s="1075">
        <v>869755164</v>
      </c>
      <c r="G976" s="1073">
        <v>831529402</v>
      </c>
      <c r="H976" s="1073">
        <v>831529402</v>
      </c>
      <c r="I976" s="1073">
        <v>892934804</v>
      </c>
      <c r="J976" s="1077">
        <v>869755164</v>
      </c>
      <c r="K976" s="1075">
        <v>892934804</v>
      </c>
      <c r="L976" s="1075">
        <v>869755164</v>
      </c>
    </row>
    <row r="977" spans="1:12">
      <c r="A977" t="s">
        <v>10</v>
      </c>
      <c r="B977" s="31" t="s">
        <v>2289</v>
      </c>
      <c r="C977" s="1075">
        <v>33830434</v>
      </c>
      <c r="D977" s="1075">
        <v>33232444</v>
      </c>
      <c r="E977" s="1075">
        <v>33830434</v>
      </c>
      <c r="F977" s="1075">
        <v>33232444</v>
      </c>
      <c r="G977" s="1073">
        <v>106243562</v>
      </c>
      <c r="H977" s="1073">
        <v>106243562</v>
      </c>
      <c r="I977" s="1073">
        <v>74020884</v>
      </c>
      <c r="J977" s="1077">
        <v>73422894</v>
      </c>
      <c r="K977" s="1075">
        <v>74020884</v>
      </c>
      <c r="L977" s="1075">
        <v>73422894</v>
      </c>
    </row>
    <row r="978" spans="1:12">
      <c r="A978" t="s">
        <v>1503</v>
      </c>
      <c r="B978" s="31" t="s">
        <v>2346</v>
      </c>
      <c r="C978" s="1075">
        <v>37241742</v>
      </c>
      <c r="D978" s="1075">
        <v>35265973</v>
      </c>
      <c r="E978" s="1075">
        <v>37241742</v>
      </c>
      <c r="F978" s="1075">
        <v>35265973</v>
      </c>
      <c r="G978" s="1073">
        <v>33640367</v>
      </c>
      <c r="H978" s="1073">
        <v>33640367</v>
      </c>
      <c r="I978" s="1073">
        <v>37241742</v>
      </c>
      <c r="J978" s="1077">
        <v>35265973</v>
      </c>
      <c r="K978" s="1075">
        <v>37241742</v>
      </c>
      <c r="L978" s="1075">
        <v>35265973</v>
      </c>
    </row>
    <row r="979" spans="1:12">
      <c r="A979" t="s">
        <v>2089</v>
      </c>
      <c r="B979" s="31" t="s">
        <v>840</v>
      </c>
      <c r="C979" s="1075">
        <v>206163825</v>
      </c>
      <c r="D979" s="1075">
        <v>196518582</v>
      </c>
      <c r="E979" s="1075">
        <v>206163825</v>
      </c>
      <c r="F979" s="1075">
        <v>196518582</v>
      </c>
      <c r="G979" s="1073">
        <v>258698471</v>
      </c>
      <c r="H979" s="1073">
        <v>258698471</v>
      </c>
      <c r="I979" s="1073">
        <v>605840815</v>
      </c>
      <c r="J979" s="1077">
        <v>596195572</v>
      </c>
      <c r="K979" s="1075">
        <v>605840815</v>
      </c>
      <c r="L979" s="1075">
        <v>596195572</v>
      </c>
    </row>
    <row r="980" spans="1:12">
      <c r="A980" t="s">
        <v>425</v>
      </c>
      <c r="B980" s="31" t="s">
        <v>78</v>
      </c>
      <c r="C980" s="1075">
        <v>253822183</v>
      </c>
      <c r="D980" s="1075">
        <v>240602530</v>
      </c>
      <c r="E980" s="1075">
        <v>253822183</v>
      </c>
      <c r="F980" s="1075">
        <v>240602530</v>
      </c>
      <c r="G980" s="1073">
        <v>260079232</v>
      </c>
      <c r="H980" s="1073">
        <v>260079232</v>
      </c>
      <c r="I980" s="1073">
        <v>327545903</v>
      </c>
      <c r="J980" s="1077">
        <v>314326250</v>
      </c>
      <c r="K980" s="1075">
        <v>327545903</v>
      </c>
      <c r="L980" s="1075">
        <v>314326250</v>
      </c>
    </row>
    <row r="981" spans="1:12">
      <c r="A981" t="s">
        <v>278</v>
      </c>
      <c r="B981" s="31" t="s">
        <v>534</v>
      </c>
      <c r="C981" s="1075">
        <v>96930781</v>
      </c>
      <c r="D981" s="1075">
        <v>94802267</v>
      </c>
      <c r="E981" s="1075">
        <v>96930781</v>
      </c>
      <c r="F981" s="1075">
        <v>94802267</v>
      </c>
      <c r="G981" s="1073">
        <v>83210749</v>
      </c>
      <c r="H981" s="1073">
        <v>83210749</v>
      </c>
      <c r="I981" s="1073">
        <v>125315331</v>
      </c>
      <c r="J981" s="1077">
        <v>123186817</v>
      </c>
      <c r="K981" s="1075">
        <v>125315331</v>
      </c>
      <c r="L981" s="1075">
        <v>123186817</v>
      </c>
    </row>
    <row r="982" spans="1:12">
      <c r="A982" t="s">
        <v>1338</v>
      </c>
      <c r="B982" s="31" t="s">
        <v>109</v>
      </c>
      <c r="C982" s="1075">
        <v>335771580</v>
      </c>
      <c r="D982" s="1075">
        <v>324949267</v>
      </c>
      <c r="E982" s="1075">
        <v>335771580</v>
      </c>
      <c r="F982" s="1075">
        <v>324949267</v>
      </c>
      <c r="G982" s="1073">
        <v>293596146</v>
      </c>
      <c r="H982" s="1073">
        <v>293596146</v>
      </c>
      <c r="I982" s="1073">
        <v>335771580</v>
      </c>
      <c r="J982" s="1077">
        <v>324949267</v>
      </c>
      <c r="K982" s="1075">
        <v>335771580</v>
      </c>
      <c r="L982" s="1075">
        <v>324949267</v>
      </c>
    </row>
    <row r="983" spans="1:12">
      <c r="A983" t="s">
        <v>2580</v>
      </c>
      <c r="B983" s="31" t="s">
        <v>2321</v>
      </c>
      <c r="C983" s="1075">
        <v>8118678920</v>
      </c>
      <c r="D983" s="1075">
        <v>7922711431</v>
      </c>
      <c r="E983" s="1075">
        <v>8118678920</v>
      </c>
      <c r="F983" s="1075">
        <v>7922711431</v>
      </c>
      <c r="G983" s="1073">
        <v>6567055736</v>
      </c>
      <c r="H983" s="1073">
        <v>6567055736</v>
      </c>
      <c r="I983" s="1073">
        <v>8118678920</v>
      </c>
      <c r="J983" s="1077">
        <v>7922711431</v>
      </c>
      <c r="K983" s="1075">
        <v>8118678920</v>
      </c>
      <c r="L983" s="1075">
        <v>7922711431</v>
      </c>
    </row>
    <row r="984" spans="1:12">
      <c r="A984" t="s">
        <v>1799</v>
      </c>
      <c r="B984" s="31" t="s">
        <v>1018</v>
      </c>
      <c r="C984" s="1075">
        <v>147236449</v>
      </c>
      <c r="D984" s="1075">
        <v>141193954</v>
      </c>
      <c r="E984" s="1075">
        <v>147236449</v>
      </c>
      <c r="F984" s="1075">
        <v>141193954</v>
      </c>
      <c r="G984" s="1073">
        <v>128191377</v>
      </c>
      <c r="H984" s="1073">
        <v>128191377</v>
      </c>
      <c r="I984" s="1073">
        <v>147236449</v>
      </c>
      <c r="J984" s="1077">
        <v>141193954</v>
      </c>
      <c r="K984" s="1075">
        <v>147236449</v>
      </c>
      <c r="L984" s="1075">
        <v>141193954</v>
      </c>
    </row>
    <row r="985" spans="1:12">
      <c r="A985" t="s">
        <v>40</v>
      </c>
      <c r="B985" s="31" t="s">
        <v>1268</v>
      </c>
      <c r="C985" s="1075">
        <v>2415604218</v>
      </c>
      <c r="D985" s="1075">
        <v>2349261307</v>
      </c>
      <c r="E985" s="1075">
        <v>2415604218</v>
      </c>
      <c r="F985" s="1075">
        <v>2349261307</v>
      </c>
      <c r="G985" s="1073">
        <v>1775484109</v>
      </c>
      <c r="H985" s="1073">
        <v>1775484109</v>
      </c>
      <c r="I985" s="1073">
        <v>2415604218</v>
      </c>
      <c r="J985" s="1077">
        <v>2349261307</v>
      </c>
      <c r="K985" s="1075">
        <v>2415604218</v>
      </c>
      <c r="L985" s="1075">
        <v>2349261307</v>
      </c>
    </row>
    <row r="986" spans="1:12">
      <c r="A986" t="s">
        <v>11</v>
      </c>
      <c r="B986" s="31" t="s">
        <v>1612</v>
      </c>
      <c r="C986" s="1075">
        <v>977398530</v>
      </c>
      <c r="D986" s="1075">
        <v>944114945</v>
      </c>
      <c r="E986" s="1075">
        <v>977398530</v>
      </c>
      <c r="F986" s="1075">
        <v>944114945</v>
      </c>
      <c r="G986" s="1073">
        <v>779899324</v>
      </c>
      <c r="H986" s="1073">
        <v>779899324</v>
      </c>
      <c r="I986" s="1073">
        <v>977398530</v>
      </c>
      <c r="J986" s="1077">
        <v>944114945</v>
      </c>
      <c r="K986" s="1075">
        <v>977398530</v>
      </c>
      <c r="L986" s="1075">
        <v>944114945</v>
      </c>
    </row>
    <row r="987" spans="1:12">
      <c r="A987" t="s">
        <v>1771</v>
      </c>
      <c r="B987" s="31" t="s">
        <v>2467</v>
      </c>
      <c r="C987" s="1075">
        <v>1714634951</v>
      </c>
      <c r="D987" s="1075">
        <v>1677566078</v>
      </c>
      <c r="E987" s="1075">
        <v>1714634951</v>
      </c>
      <c r="F987" s="1075">
        <v>1677566078</v>
      </c>
      <c r="G987" s="1073">
        <v>1247082328</v>
      </c>
      <c r="H987" s="1073">
        <v>1247082328</v>
      </c>
      <c r="I987" s="1073">
        <v>1714634951</v>
      </c>
      <c r="J987" s="1077">
        <v>1677566078</v>
      </c>
      <c r="K987" s="1075">
        <v>1714634951</v>
      </c>
      <c r="L987" s="1075">
        <v>1677566078</v>
      </c>
    </row>
    <row r="988" spans="1:12">
      <c r="A988" t="s">
        <v>1310</v>
      </c>
      <c r="B988" s="31" t="s">
        <v>611</v>
      </c>
      <c r="C988" s="1075">
        <v>30754167572</v>
      </c>
      <c r="D988" s="1075">
        <v>30243974760</v>
      </c>
      <c r="E988" s="1075">
        <v>30754167572</v>
      </c>
      <c r="F988" s="1075">
        <v>30243974760</v>
      </c>
      <c r="G988" s="1073">
        <v>25652325646</v>
      </c>
      <c r="H988" s="1073">
        <v>25652325646</v>
      </c>
      <c r="I988" s="1073">
        <v>30754167572</v>
      </c>
      <c r="J988" s="1077">
        <v>30243974760</v>
      </c>
      <c r="K988" s="1075">
        <v>30754167572</v>
      </c>
      <c r="L988" s="1075">
        <v>30243974760</v>
      </c>
    </row>
    <row r="989" spans="1:12">
      <c r="A989" t="s">
        <v>1545</v>
      </c>
      <c r="B989" s="31" t="s">
        <v>602</v>
      </c>
      <c r="C989" s="1075">
        <v>969461645</v>
      </c>
      <c r="D989" s="1075">
        <v>935711015</v>
      </c>
      <c r="E989" s="1075">
        <v>969461645</v>
      </c>
      <c r="F989" s="1075">
        <v>935711015</v>
      </c>
      <c r="G989" s="1073">
        <v>855762827</v>
      </c>
      <c r="H989" s="1073">
        <v>855762827</v>
      </c>
      <c r="I989" s="1073">
        <v>969461645</v>
      </c>
      <c r="J989" s="1077">
        <v>935711015</v>
      </c>
      <c r="K989" s="1075">
        <v>969461645</v>
      </c>
      <c r="L989" s="1075">
        <v>935711015</v>
      </c>
    </row>
    <row r="990" spans="1:12">
      <c r="A990" t="s">
        <v>1515</v>
      </c>
      <c r="B990" s="31" t="s">
        <v>604</v>
      </c>
      <c r="C990" s="1075">
        <v>219689939</v>
      </c>
      <c r="D990" s="1075">
        <v>211989293</v>
      </c>
      <c r="E990" s="1075">
        <v>219689939</v>
      </c>
      <c r="F990" s="1075">
        <v>211989293</v>
      </c>
      <c r="G990" s="1073">
        <v>203752203</v>
      </c>
      <c r="H990" s="1073">
        <v>203752203</v>
      </c>
      <c r="I990" s="1073">
        <v>219689939</v>
      </c>
      <c r="J990" s="1077">
        <v>211989293</v>
      </c>
      <c r="K990" s="1075">
        <v>219689939</v>
      </c>
      <c r="L990" s="1075">
        <v>211989293</v>
      </c>
    </row>
    <row r="991" spans="1:12">
      <c r="A991" t="s">
        <v>1769</v>
      </c>
      <c r="B991" s="31" t="s">
        <v>2465</v>
      </c>
      <c r="C991" s="1075">
        <v>20707390137</v>
      </c>
      <c r="D991" s="1075">
        <v>20308543608</v>
      </c>
      <c r="E991" s="1075">
        <v>20707390137</v>
      </c>
      <c r="F991" s="1075">
        <v>20308543608</v>
      </c>
      <c r="G991" s="1073">
        <v>16858775821</v>
      </c>
      <c r="H991" s="1073">
        <v>16858775821</v>
      </c>
      <c r="I991" s="1073">
        <v>20707390137</v>
      </c>
      <c r="J991" s="1077">
        <v>20308543608</v>
      </c>
      <c r="K991" s="1075">
        <v>20707390137</v>
      </c>
      <c r="L991" s="1075">
        <v>20308543608</v>
      </c>
    </row>
    <row r="992" spans="1:12">
      <c r="A992" t="s">
        <v>12</v>
      </c>
      <c r="B992" s="31" t="s">
        <v>1613</v>
      </c>
      <c r="C992" s="1075">
        <v>66631827</v>
      </c>
      <c r="D992" s="1075">
        <v>64256490</v>
      </c>
      <c r="E992" s="1075">
        <v>66631827</v>
      </c>
      <c r="F992" s="1075">
        <v>64256490</v>
      </c>
      <c r="G992" s="1073">
        <v>61528347</v>
      </c>
      <c r="H992" s="1073">
        <v>61528347</v>
      </c>
      <c r="I992" s="1073">
        <v>66631827</v>
      </c>
      <c r="J992" s="1077">
        <v>64256490</v>
      </c>
      <c r="K992" s="1075">
        <v>66631827</v>
      </c>
      <c r="L992" s="1075">
        <v>64256490</v>
      </c>
    </row>
    <row r="993" spans="1:12">
      <c r="A993" t="s">
        <v>2455</v>
      </c>
      <c r="B993" s="31" t="s">
        <v>110</v>
      </c>
      <c r="C993" s="1075">
        <v>1249391851</v>
      </c>
      <c r="D993" s="1075">
        <v>1200626864</v>
      </c>
      <c r="E993" s="1075">
        <v>1249391851</v>
      </c>
      <c r="F993" s="1075">
        <v>1200626864</v>
      </c>
      <c r="G993" s="1073">
        <v>1137028146</v>
      </c>
      <c r="H993" s="1073">
        <v>1137028146</v>
      </c>
      <c r="I993" s="1073">
        <v>1249391851</v>
      </c>
      <c r="J993" s="1077">
        <v>1200626864</v>
      </c>
      <c r="K993" s="1075">
        <v>1249391851</v>
      </c>
      <c r="L993" s="1075">
        <v>1200626864</v>
      </c>
    </row>
    <row r="994" spans="1:12">
      <c r="A994" t="s">
        <v>59</v>
      </c>
      <c r="B994" s="31" t="s">
        <v>1900</v>
      </c>
      <c r="C994" s="1075">
        <v>1009146763</v>
      </c>
      <c r="D994" s="1075">
        <v>971657186</v>
      </c>
      <c r="E994" s="1075">
        <v>1009146763</v>
      </c>
      <c r="F994" s="1075">
        <v>971657186</v>
      </c>
      <c r="G994" s="1073">
        <v>866488393</v>
      </c>
      <c r="H994" s="1073">
        <v>866488393</v>
      </c>
      <c r="I994" s="1073">
        <v>1009146763</v>
      </c>
      <c r="J994" s="1077">
        <v>971657186</v>
      </c>
      <c r="K994" s="1075">
        <v>1009146763</v>
      </c>
      <c r="L994" s="1075">
        <v>971657186</v>
      </c>
    </row>
    <row r="995" spans="1:12">
      <c r="A995" t="s">
        <v>2456</v>
      </c>
      <c r="B995" s="31" t="s">
        <v>1005</v>
      </c>
      <c r="C995" s="1075">
        <v>290000818</v>
      </c>
      <c r="D995" s="1075">
        <v>281596339</v>
      </c>
      <c r="E995" s="1075">
        <v>290000818</v>
      </c>
      <c r="F995" s="1075">
        <v>281596339</v>
      </c>
      <c r="G995" s="1073">
        <v>478327690</v>
      </c>
      <c r="H995" s="1073">
        <v>478327690</v>
      </c>
      <c r="I995" s="1073">
        <v>290000818</v>
      </c>
      <c r="J995" s="1077">
        <v>281596339</v>
      </c>
      <c r="K995" s="1075">
        <v>290000818</v>
      </c>
      <c r="L995" s="1075">
        <v>281596339</v>
      </c>
    </row>
    <row r="996" spans="1:12">
      <c r="A996" t="s">
        <v>1512</v>
      </c>
      <c r="B996" s="31" t="s">
        <v>1941</v>
      </c>
      <c r="C996" s="1075">
        <v>208635197</v>
      </c>
      <c r="D996" s="1075">
        <v>200316118</v>
      </c>
      <c r="E996" s="1075">
        <v>208635197</v>
      </c>
      <c r="F996" s="1075">
        <v>200316118</v>
      </c>
      <c r="G996" s="1073">
        <v>208178538</v>
      </c>
      <c r="H996" s="1073">
        <v>208178538</v>
      </c>
      <c r="I996" s="1073">
        <v>208635197</v>
      </c>
      <c r="J996" s="1077">
        <v>200316118</v>
      </c>
      <c r="K996" s="1075">
        <v>208635197</v>
      </c>
      <c r="L996" s="1075">
        <v>200316118</v>
      </c>
    </row>
    <row r="997" spans="1:12">
      <c r="A997" t="s">
        <v>1174</v>
      </c>
      <c r="B997" s="31" t="s">
        <v>1614</v>
      </c>
      <c r="C997" s="1075">
        <v>517415622</v>
      </c>
      <c r="D997" s="1075">
        <v>505465494</v>
      </c>
      <c r="E997" s="1075">
        <v>510723678</v>
      </c>
      <c r="F997" s="1075">
        <v>498773550</v>
      </c>
      <c r="G997" s="1073">
        <v>890883855</v>
      </c>
      <c r="H997" s="1073">
        <v>885760156</v>
      </c>
      <c r="I997" s="1073">
        <v>592864812</v>
      </c>
      <c r="J997" s="1077">
        <v>580914684</v>
      </c>
      <c r="K997" s="1075">
        <v>586172868</v>
      </c>
      <c r="L997" s="1075">
        <v>574222740</v>
      </c>
    </row>
    <row r="998" spans="1:12">
      <c r="A998" t="s">
        <v>1175</v>
      </c>
      <c r="B998" s="31" t="s">
        <v>1615</v>
      </c>
      <c r="C998" s="1075">
        <v>1651664094</v>
      </c>
      <c r="D998" s="1075">
        <v>1649761655</v>
      </c>
      <c r="E998" s="1075">
        <v>1650786908</v>
      </c>
      <c r="F998" s="1075">
        <v>1648884469</v>
      </c>
      <c r="G998" s="1073">
        <v>1692583650</v>
      </c>
      <c r="H998" s="1073">
        <v>1691899041</v>
      </c>
      <c r="I998" s="1073">
        <v>1651664094</v>
      </c>
      <c r="J998" s="1077">
        <v>1649761655</v>
      </c>
      <c r="K998" s="1075">
        <v>1650786908</v>
      </c>
      <c r="L998" s="1075">
        <v>1648884469</v>
      </c>
    </row>
    <row r="999" spans="1:12">
      <c r="A999" t="s">
        <v>196</v>
      </c>
      <c r="B999" s="31" t="s">
        <v>1053</v>
      </c>
      <c r="C999" s="1075">
        <v>346881135</v>
      </c>
      <c r="D999" s="1075">
        <v>338400792</v>
      </c>
      <c r="E999" s="1075">
        <v>346881135</v>
      </c>
      <c r="F999" s="1075">
        <v>338400792</v>
      </c>
      <c r="G999" s="1073">
        <v>456874556</v>
      </c>
      <c r="H999" s="1073">
        <v>456874556</v>
      </c>
      <c r="I999" s="1073">
        <v>346881135</v>
      </c>
      <c r="J999" s="1077">
        <v>338400792</v>
      </c>
      <c r="K999" s="1075">
        <v>346881135</v>
      </c>
      <c r="L999" s="1075">
        <v>338400792</v>
      </c>
    </row>
    <row r="1000" spans="1:12">
      <c r="A1000" t="s">
        <v>800</v>
      </c>
      <c r="B1000" s="31" t="s">
        <v>1616</v>
      </c>
      <c r="C1000" s="1075">
        <v>560799542</v>
      </c>
      <c r="D1000" s="1075">
        <v>548080239</v>
      </c>
      <c r="E1000" s="1075">
        <v>560799542</v>
      </c>
      <c r="F1000" s="1075">
        <v>548080239</v>
      </c>
      <c r="G1000" s="1073">
        <v>914869410</v>
      </c>
      <c r="H1000" s="1073">
        <v>914869410</v>
      </c>
      <c r="I1000" s="1073">
        <v>560799542</v>
      </c>
      <c r="J1000" s="1077">
        <v>548080239</v>
      </c>
      <c r="K1000" s="1075">
        <v>560799542</v>
      </c>
      <c r="L1000" s="1075">
        <v>548080239</v>
      </c>
    </row>
    <row r="1001" spans="1:12">
      <c r="A1001" t="s">
        <v>2176</v>
      </c>
      <c r="B1001" s="31" t="s">
        <v>1617</v>
      </c>
      <c r="C1001" s="1075">
        <v>1296973409</v>
      </c>
      <c r="D1001" s="1075">
        <v>1274267238</v>
      </c>
      <c r="E1001" s="1075">
        <v>1291082307</v>
      </c>
      <c r="F1001" s="1075">
        <v>1268376136</v>
      </c>
      <c r="G1001" s="1073">
        <v>1525392298</v>
      </c>
      <c r="H1001" s="1073">
        <v>1519317651</v>
      </c>
      <c r="I1001" s="1073">
        <v>1296973409</v>
      </c>
      <c r="J1001" s="1077">
        <v>1274267238</v>
      </c>
      <c r="K1001" s="1075">
        <v>1291082307</v>
      </c>
      <c r="L1001" s="1075">
        <v>1268376136</v>
      </c>
    </row>
    <row r="1002" spans="1:12">
      <c r="A1002" t="s">
        <v>2424</v>
      </c>
      <c r="B1002" s="31" t="s">
        <v>1618</v>
      </c>
      <c r="C1002" s="1075">
        <v>513550081</v>
      </c>
      <c r="D1002" s="1075">
        <v>506378091</v>
      </c>
      <c r="E1002" s="1075">
        <v>513550081</v>
      </c>
      <c r="F1002" s="1075">
        <v>506378091</v>
      </c>
      <c r="G1002" s="1073">
        <v>619501674</v>
      </c>
      <c r="H1002" s="1073">
        <v>619501674</v>
      </c>
      <c r="I1002" s="1073">
        <v>513550081</v>
      </c>
      <c r="J1002" s="1077">
        <v>506378091</v>
      </c>
      <c r="K1002" s="1075">
        <v>513550081</v>
      </c>
      <c r="L1002" s="1075">
        <v>506378091</v>
      </c>
    </row>
    <row r="1003" spans="1:12">
      <c r="A1003" t="s">
        <v>2425</v>
      </c>
      <c r="B1003" s="31" t="s">
        <v>1619</v>
      </c>
      <c r="C1003" s="1075">
        <v>1886591133</v>
      </c>
      <c r="D1003" s="1075">
        <v>1854961308</v>
      </c>
      <c r="E1003" s="1075">
        <v>1886591133</v>
      </c>
      <c r="F1003" s="1075">
        <v>1854961308</v>
      </c>
      <c r="G1003" s="1073">
        <v>2354709983</v>
      </c>
      <c r="H1003" s="1073">
        <v>2354709983</v>
      </c>
      <c r="I1003" s="1073">
        <v>1886591133</v>
      </c>
      <c r="J1003" s="1077">
        <v>1854961308</v>
      </c>
      <c r="K1003" s="1075">
        <v>1886591133</v>
      </c>
      <c r="L1003" s="1075">
        <v>1854961308</v>
      </c>
    </row>
    <row r="1004" spans="1:12">
      <c r="A1004" t="s">
        <v>2022</v>
      </c>
      <c r="B1004" s="31" t="s">
        <v>1365</v>
      </c>
      <c r="C1004" s="1075">
        <v>363488596</v>
      </c>
      <c r="D1004" s="1075">
        <v>352366726</v>
      </c>
      <c r="E1004" s="1075">
        <v>363488596</v>
      </c>
      <c r="F1004" s="1075">
        <v>352366726</v>
      </c>
      <c r="G1004" s="1073">
        <v>397231301</v>
      </c>
      <c r="H1004" s="1073">
        <v>397231301</v>
      </c>
      <c r="I1004" s="1073">
        <v>363488596</v>
      </c>
      <c r="J1004" s="1077">
        <v>352366726</v>
      </c>
      <c r="K1004" s="1075">
        <v>363488596</v>
      </c>
      <c r="L1004" s="1075">
        <v>352366726</v>
      </c>
    </row>
    <row r="1005" spans="1:12">
      <c r="A1005" t="s">
        <v>1150</v>
      </c>
      <c r="B1005" s="31" t="s">
        <v>1927</v>
      </c>
      <c r="C1005" s="1075">
        <v>265205490</v>
      </c>
      <c r="D1005" s="1075">
        <v>261508475</v>
      </c>
      <c r="E1005" s="1075">
        <v>260131682</v>
      </c>
      <c r="F1005" s="1075">
        <v>256434667</v>
      </c>
      <c r="G1005" s="1073">
        <v>372075792</v>
      </c>
      <c r="H1005" s="1073">
        <v>367419761</v>
      </c>
      <c r="I1005" s="1073">
        <v>265205490</v>
      </c>
      <c r="J1005" s="1077">
        <v>261508475</v>
      </c>
      <c r="K1005" s="1075">
        <v>260131682</v>
      </c>
      <c r="L1005" s="1075">
        <v>256434667</v>
      </c>
    </row>
    <row r="1006" spans="1:12">
      <c r="A1006" t="s">
        <v>2229</v>
      </c>
      <c r="B1006" s="31" t="s">
        <v>1620</v>
      </c>
      <c r="C1006" s="1075">
        <v>586839037</v>
      </c>
      <c r="D1006" s="1075">
        <v>574845388</v>
      </c>
      <c r="E1006" s="1075">
        <v>586839037</v>
      </c>
      <c r="F1006" s="1075">
        <v>574845388</v>
      </c>
      <c r="G1006" s="1073">
        <v>962629628</v>
      </c>
      <c r="H1006" s="1073">
        <v>962629628</v>
      </c>
      <c r="I1006" s="1073">
        <v>586839037</v>
      </c>
      <c r="J1006" s="1077">
        <v>574845388</v>
      </c>
      <c r="K1006" s="1075">
        <v>586839037</v>
      </c>
      <c r="L1006" s="1075">
        <v>574845388</v>
      </c>
    </row>
    <row r="1007" spans="1:12">
      <c r="A1007" t="s">
        <v>2230</v>
      </c>
      <c r="B1007" s="31" t="s">
        <v>1621</v>
      </c>
      <c r="C1007" s="1075">
        <v>486685353</v>
      </c>
      <c r="D1007" s="1075">
        <v>465420386</v>
      </c>
      <c r="E1007" s="1075">
        <v>486685353</v>
      </c>
      <c r="F1007" s="1075">
        <v>465420386</v>
      </c>
      <c r="G1007" s="1073">
        <v>537677895</v>
      </c>
      <c r="H1007" s="1073">
        <v>537677895</v>
      </c>
      <c r="I1007" s="1073">
        <v>486685353</v>
      </c>
      <c r="J1007" s="1077">
        <v>465420386</v>
      </c>
      <c r="K1007" s="1075">
        <v>486685353</v>
      </c>
      <c r="L1007" s="1075">
        <v>465420386</v>
      </c>
    </row>
    <row r="1008" spans="1:12">
      <c r="A1008" t="s">
        <v>2575</v>
      </c>
      <c r="B1008" s="31" t="s">
        <v>24</v>
      </c>
      <c r="C1008" s="1075">
        <v>407512495</v>
      </c>
      <c r="D1008" s="1075">
        <v>386249576</v>
      </c>
      <c r="E1008" s="1075">
        <v>407512495</v>
      </c>
      <c r="F1008" s="1075">
        <v>386249576</v>
      </c>
      <c r="G1008" s="1073">
        <v>482320895</v>
      </c>
      <c r="H1008" s="1073">
        <v>482320895</v>
      </c>
      <c r="I1008" s="1073">
        <v>407512495</v>
      </c>
      <c r="J1008" s="1077">
        <v>386249576</v>
      </c>
      <c r="K1008" s="1075">
        <v>407512495</v>
      </c>
      <c r="L1008" s="1075">
        <v>386249576</v>
      </c>
    </row>
    <row r="1009" spans="1:12">
      <c r="A1009" t="s">
        <v>2576</v>
      </c>
      <c r="B1009" s="31" t="s">
        <v>1370</v>
      </c>
      <c r="C1009" s="1075">
        <v>293821586</v>
      </c>
      <c r="D1009" s="1075">
        <v>283836836</v>
      </c>
      <c r="E1009" s="1075">
        <v>293821586</v>
      </c>
      <c r="F1009" s="1075">
        <v>283836836</v>
      </c>
      <c r="G1009" s="1073">
        <v>298673795</v>
      </c>
      <c r="H1009" s="1073">
        <v>298673795</v>
      </c>
      <c r="I1009" s="1073">
        <v>293821586</v>
      </c>
      <c r="J1009" s="1077">
        <v>283836836</v>
      </c>
      <c r="K1009" s="1075">
        <v>293821586</v>
      </c>
      <c r="L1009" s="1075">
        <v>283836836</v>
      </c>
    </row>
    <row r="1010" spans="1:12">
      <c r="A1010" t="s">
        <v>635</v>
      </c>
      <c r="B1010" s="31" t="s">
        <v>1371</v>
      </c>
      <c r="C1010" s="1075">
        <v>256458653</v>
      </c>
      <c r="D1010" s="1075">
        <v>242260586</v>
      </c>
      <c r="E1010" s="1075">
        <v>256458653</v>
      </c>
      <c r="F1010" s="1075">
        <v>242260586</v>
      </c>
      <c r="G1010" s="1073">
        <v>263103911</v>
      </c>
      <c r="H1010" s="1073">
        <v>263103911</v>
      </c>
      <c r="I1010" s="1073">
        <v>256458653</v>
      </c>
      <c r="J1010" s="1077">
        <v>242260586</v>
      </c>
      <c r="K1010" s="1075">
        <v>256458653</v>
      </c>
      <c r="L1010" s="1075">
        <v>242260586</v>
      </c>
    </row>
    <row r="1011" spans="1:12">
      <c r="A1011" t="s">
        <v>679</v>
      </c>
      <c r="B1011" s="31" t="s">
        <v>1372</v>
      </c>
      <c r="C1011" s="1075">
        <v>463808773</v>
      </c>
      <c r="D1011" s="1075">
        <v>443515695</v>
      </c>
      <c r="E1011" s="1075">
        <v>463808773</v>
      </c>
      <c r="F1011" s="1075">
        <v>443515695</v>
      </c>
      <c r="G1011" s="1073">
        <v>477336616</v>
      </c>
      <c r="H1011" s="1073">
        <v>477336616</v>
      </c>
      <c r="I1011" s="1073">
        <v>463808773</v>
      </c>
      <c r="J1011" s="1077">
        <v>443515695</v>
      </c>
      <c r="K1011" s="1075">
        <v>463808773</v>
      </c>
      <c r="L1011" s="1075">
        <v>443515695</v>
      </c>
    </row>
    <row r="1012" spans="1:12">
      <c r="A1012" t="s">
        <v>680</v>
      </c>
      <c r="B1012" s="31" t="s">
        <v>1373</v>
      </c>
      <c r="C1012" s="1075">
        <v>1256679308</v>
      </c>
      <c r="D1012" s="1075">
        <v>1245639716</v>
      </c>
      <c r="E1012" s="1075">
        <v>1251710024</v>
      </c>
      <c r="F1012" s="1075">
        <v>1240670432</v>
      </c>
      <c r="G1012" s="1073">
        <v>3224336980</v>
      </c>
      <c r="H1012" s="1073">
        <v>3219673307</v>
      </c>
      <c r="I1012" s="1073">
        <v>1256679308</v>
      </c>
      <c r="J1012" s="1077">
        <v>1245639716</v>
      </c>
      <c r="K1012" s="1075">
        <v>1251710024</v>
      </c>
      <c r="L1012" s="1075">
        <v>1240670432</v>
      </c>
    </row>
    <row r="1013" spans="1:12">
      <c r="A1013" t="s">
        <v>1471</v>
      </c>
      <c r="B1013" s="31" t="s">
        <v>1374</v>
      </c>
      <c r="C1013" s="1075">
        <v>498889010</v>
      </c>
      <c r="D1013" s="1075">
        <v>495165706</v>
      </c>
      <c r="E1013" s="1075">
        <v>495199072</v>
      </c>
      <c r="F1013" s="1075">
        <v>491475768</v>
      </c>
      <c r="G1013" s="1073">
        <v>1192757438</v>
      </c>
      <c r="H1013" s="1073">
        <v>1189524672</v>
      </c>
      <c r="I1013" s="1073">
        <v>498889010</v>
      </c>
      <c r="J1013" s="1077">
        <v>495165706</v>
      </c>
      <c r="K1013" s="1075">
        <v>495199072</v>
      </c>
      <c r="L1013" s="1075">
        <v>491475768</v>
      </c>
    </row>
    <row r="1014" spans="1:12">
      <c r="A1014" t="s">
        <v>907</v>
      </c>
      <c r="B1014" s="31" t="s">
        <v>862</v>
      </c>
      <c r="C1014" s="1075">
        <v>706112086</v>
      </c>
      <c r="D1014" s="1075">
        <v>678244786</v>
      </c>
      <c r="E1014" s="1075">
        <v>706112086</v>
      </c>
      <c r="F1014" s="1075">
        <v>678244786</v>
      </c>
      <c r="G1014" s="1073">
        <v>802266609</v>
      </c>
      <c r="H1014" s="1073">
        <v>802266609</v>
      </c>
      <c r="I1014" s="1073">
        <v>721646806</v>
      </c>
      <c r="J1014" s="1077">
        <v>693779506</v>
      </c>
      <c r="K1014" s="1075">
        <v>721646806</v>
      </c>
      <c r="L1014" s="1075">
        <v>693779506</v>
      </c>
    </row>
    <row r="1015" spans="1:12">
      <c r="A1015" t="s">
        <v>1472</v>
      </c>
      <c r="B1015" s="31" t="s">
        <v>1375</v>
      </c>
      <c r="C1015" s="1075">
        <v>62757902</v>
      </c>
      <c r="D1015" s="1075">
        <v>61466172</v>
      </c>
      <c r="E1015" s="1075">
        <v>62757902</v>
      </c>
      <c r="F1015" s="1075">
        <v>61466172</v>
      </c>
      <c r="G1015" s="1073">
        <v>91926735</v>
      </c>
      <c r="H1015" s="1073">
        <v>91926735</v>
      </c>
      <c r="I1015" s="1073">
        <v>62757902</v>
      </c>
      <c r="J1015" s="1077">
        <v>61466172</v>
      </c>
      <c r="K1015" s="1075">
        <v>62757902</v>
      </c>
      <c r="L1015" s="1075">
        <v>61466172</v>
      </c>
    </row>
    <row r="1016" spans="1:12">
      <c r="A1016" t="s">
        <v>1504</v>
      </c>
      <c r="B1016" s="31" t="s">
        <v>825</v>
      </c>
      <c r="C1016" s="1075">
        <v>235643204</v>
      </c>
      <c r="D1016" s="1075">
        <v>228694784</v>
      </c>
      <c r="E1016" s="1075">
        <v>235643204</v>
      </c>
      <c r="F1016" s="1075">
        <v>228694784</v>
      </c>
      <c r="G1016" s="1073">
        <v>289269707</v>
      </c>
      <c r="H1016" s="1073">
        <v>289269707</v>
      </c>
      <c r="I1016" s="1073">
        <v>439987204</v>
      </c>
      <c r="J1016" s="1077">
        <v>433038784</v>
      </c>
      <c r="K1016" s="1075">
        <v>439987204</v>
      </c>
      <c r="L1016" s="1075">
        <v>433038784</v>
      </c>
    </row>
    <row r="1017" spans="1:12">
      <c r="A1017" t="s">
        <v>514</v>
      </c>
      <c r="B1017" s="31" t="s">
        <v>1376</v>
      </c>
      <c r="C1017" s="1075">
        <v>1009413131</v>
      </c>
      <c r="D1017" s="1075">
        <v>981348524</v>
      </c>
      <c r="E1017" s="1075">
        <v>985896151</v>
      </c>
      <c r="F1017" s="1075">
        <v>957831544</v>
      </c>
      <c r="G1017" s="1073">
        <v>1562739378</v>
      </c>
      <c r="H1017" s="1073">
        <v>1538762764</v>
      </c>
      <c r="I1017" s="1073">
        <v>1009413131</v>
      </c>
      <c r="J1017" s="1077">
        <v>981348524</v>
      </c>
      <c r="K1017" s="1075">
        <v>985896151</v>
      </c>
      <c r="L1017" s="1075">
        <v>957831544</v>
      </c>
    </row>
    <row r="1018" spans="1:12">
      <c r="A1018" t="s">
        <v>2406</v>
      </c>
      <c r="B1018" s="31" t="s">
        <v>420</v>
      </c>
      <c r="C1018" s="1075">
        <v>847753594</v>
      </c>
      <c r="D1018" s="1075">
        <v>836651237</v>
      </c>
      <c r="E1018" s="1075">
        <v>847753594</v>
      </c>
      <c r="F1018" s="1075">
        <v>836651237</v>
      </c>
      <c r="G1018" s="1073">
        <v>831077015</v>
      </c>
      <c r="H1018" s="1073">
        <v>831077015</v>
      </c>
      <c r="I1018" s="1073">
        <v>847753594</v>
      </c>
      <c r="J1018" s="1077">
        <v>836651237</v>
      </c>
      <c r="K1018" s="1075">
        <v>847753594</v>
      </c>
      <c r="L1018" s="1075">
        <v>836651237</v>
      </c>
    </row>
    <row r="1019" spans="1:12">
      <c r="A1019" t="s">
        <v>1688</v>
      </c>
      <c r="B1019" s="31" t="s">
        <v>1898</v>
      </c>
      <c r="C1019" s="1075">
        <v>104500198</v>
      </c>
      <c r="D1019" s="1075">
        <v>101801015</v>
      </c>
      <c r="E1019" s="1075">
        <v>104500198</v>
      </c>
      <c r="F1019" s="1075">
        <v>101801015</v>
      </c>
      <c r="G1019" s="1073">
        <v>80389487</v>
      </c>
      <c r="H1019" s="1073">
        <v>80389487</v>
      </c>
      <c r="I1019" s="1073">
        <v>104500198</v>
      </c>
      <c r="J1019" s="1077">
        <v>101801015</v>
      </c>
      <c r="K1019" s="1075">
        <v>104500198</v>
      </c>
      <c r="L1019" s="1075">
        <v>101801015</v>
      </c>
    </row>
  </sheetData>
  <pageMargins left="0.7" right="0.7" top="0.75" bottom="0.75" header="0.3" footer="0.3"/>
  <pageSetup orientation="portrait" horizontalDpi="90" verticalDpi="9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703125" customWidth="1"/>
    <col min="4" max="4" width="20.5703125" customWidth="1"/>
    <col min="5" max="5" width="13.140625" customWidth="1"/>
  </cols>
  <sheetData>
    <row r="1" spans="1:4" ht="15">
      <c r="A1" s="1078" t="s">
        <v>6667</v>
      </c>
      <c r="B1" t="s">
        <v>197</v>
      </c>
      <c r="C1" s="1078" t="s">
        <v>279</v>
      </c>
      <c r="D1" s="91">
        <v>1734.1209143744554</v>
      </c>
    </row>
    <row r="2" spans="1:4" ht="15">
      <c r="A2" s="1078" t="s">
        <v>3365</v>
      </c>
      <c r="B2" t="s">
        <v>1954</v>
      </c>
      <c r="C2" s="1078" t="s">
        <v>280</v>
      </c>
      <c r="D2" s="91">
        <v>0</v>
      </c>
    </row>
    <row r="3" spans="1:4" ht="15">
      <c r="A3" s="1078" t="s">
        <v>5753</v>
      </c>
      <c r="B3" t="s">
        <v>14</v>
      </c>
      <c r="C3" s="1078" t="s">
        <v>281</v>
      </c>
      <c r="D3" s="91">
        <v>0</v>
      </c>
    </row>
    <row r="4" spans="1:4" ht="15">
      <c r="A4" s="1078" t="s">
        <v>5754</v>
      </c>
      <c r="B4" t="s">
        <v>15</v>
      </c>
      <c r="C4" s="1078" t="s">
        <v>282</v>
      </c>
      <c r="D4" s="91">
        <v>9585.4329674354303</v>
      </c>
    </row>
    <row r="5" spans="1:4" ht="15">
      <c r="A5" s="1078" t="s">
        <v>3366</v>
      </c>
      <c r="B5" t="s">
        <v>16</v>
      </c>
      <c r="C5" s="1078" t="s">
        <v>283</v>
      </c>
      <c r="D5" s="91">
        <v>0</v>
      </c>
    </row>
    <row r="6" spans="1:4" ht="15">
      <c r="A6" s="1078" t="s">
        <v>6668</v>
      </c>
      <c r="B6" t="s">
        <v>1098</v>
      </c>
      <c r="C6" s="1078" t="s">
        <v>1188</v>
      </c>
      <c r="D6" s="91">
        <v>0</v>
      </c>
    </row>
    <row r="7" spans="1:4" ht="15">
      <c r="A7" s="1078" t="s">
        <v>5755</v>
      </c>
      <c r="B7" t="s">
        <v>1099</v>
      </c>
      <c r="C7" s="1078" t="s">
        <v>1189</v>
      </c>
      <c r="D7" s="91">
        <v>0</v>
      </c>
    </row>
    <row r="8" spans="1:4" ht="15">
      <c r="A8" s="1078" t="s">
        <v>5756</v>
      </c>
      <c r="B8" t="s">
        <v>1841</v>
      </c>
      <c r="C8" s="1078" t="s">
        <v>1190</v>
      </c>
      <c r="D8" s="91">
        <v>0</v>
      </c>
    </row>
    <row r="9" spans="1:4" ht="15">
      <c r="A9" s="1078" t="s">
        <v>3367</v>
      </c>
      <c r="B9" t="s">
        <v>676</v>
      </c>
      <c r="C9" s="1078" t="s">
        <v>2382</v>
      </c>
      <c r="D9" s="91">
        <v>0</v>
      </c>
    </row>
    <row r="10" spans="1:4" ht="15">
      <c r="A10" s="1078" t="s">
        <v>5757</v>
      </c>
      <c r="B10" t="s">
        <v>1452</v>
      </c>
      <c r="C10" s="1078" t="s">
        <v>1191</v>
      </c>
      <c r="D10" s="91">
        <v>0</v>
      </c>
    </row>
    <row r="11" spans="1:4" ht="15">
      <c r="A11" s="1078" t="s">
        <v>3368</v>
      </c>
      <c r="B11" t="s">
        <v>1118</v>
      </c>
      <c r="C11" s="1078" t="s">
        <v>1266</v>
      </c>
      <c r="D11" s="91">
        <v>0</v>
      </c>
    </row>
    <row r="12" spans="1:4" ht="15">
      <c r="A12" s="1078" t="s">
        <v>3369</v>
      </c>
      <c r="B12" t="s">
        <v>337</v>
      </c>
      <c r="C12" s="1078" t="s">
        <v>1192</v>
      </c>
      <c r="D12" s="91">
        <v>0</v>
      </c>
    </row>
    <row r="13" spans="1:4" ht="15">
      <c r="A13" s="1078" t="s">
        <v>5758</v>
      </c>
      <c r="B13" t="s">
        <v>338</v>
      </c>
      <c r="C13" s="1078" t="s">
        <v>1193</v>
      </c>
      <c r="D13" s="91">
        <v>0</v>
      </c>
    </row>
    <row r="14" spans="1:4" ht="15">
      <c r="A14" s="1078" t="s">
        <v>3370</v>
      </c>
      <c r="B14" t="s">
        <v>339</v>
      </c>
      <c r="C14" s="1078" t="s">
        <v>1194</v>
      </c>
      <c r="D14" s="91">
        <v>0</v>
      </c>
    </row>
    <row r="15" spans="1:4" ht="15">
      <c r="A15" s="1078" t="s">
        <v>5759</v>
      </c>
      <c r="B15" t="s">
        <v>2479</v>
      </c>
      <c r="C15" s="1078" t="s">
        <v>1195</v>
      </c>
      <c r="D15" s="91">
        <v>0</v>
      </c>
    </row>
    <row r="16" spans="1:4" ht="15">
      <c r="A16" s="1078" t="s">
        <v>5760</v>
      </c>
      <c r="B16" t="s">
        <v>2480</v>
      </c>
      <c r="C16" s="1078" t="s">
        <v>1196</v>
      </c>
      <c r="D16" s="91">
        <v>29126.379798612692</v>
      </c>
    </row>
    <row r="17" spans="1:4" ht="15">
      <c r="A17" s="1078" t="s">
        <v>5761</v>
      </c>
      <c r="B17" t="s">
        <v>2481</v>
      </c>
      <c r="C17" s="1078" t="s">
        <v>1197</v>
      </c>
      <c r="D17" s="91">
        <v>126971.52274305852</v>
      </c>
    </row>
    <row r="18" spans="1:4" ht="15">
      <c r="A18" s="1078" t="s">
        <v>3371</v>
      </c>
      <c r="B18" t="s">
        <v>1945</v>
      </c>
      <c r="C18" s="1078" t="s">
        <v>1128</v>
      </c>
      <c r="D18" s="91">
        <v>2835.1960191609073</v>
      </c>
    </row>
    <row r="19" spans="1:4" ht="15">
      <c r="A19" s="1078" t="s">
        <v>5762</v>
      </c>
      <c r="B19" t="s">
        <v>2483</v>
      </c>
      <c r="C19" s="1078" t="s">
        <v>1198</v>
      </c>
      <c r="D19" s="91">
        <v>0</v>
      </c>
    </row>
    <row r="20" spans="1:4" ht="15">
      <c r="A20" s="1078" t="s">
        <v>3372</v>
      </c>
      <c r="B20" t="s">
        <v>708</v>
      </c>
      <c r="C20" s="1078" t="s">
        <v>661</v>
      </c>
      <c r="D20" s="91">
        <v>172507.39563487124</v>
      </c>
    </row>
    <row r="21" spans="1:4" ht="15">
      <c r="A21" s="1078" t="s">
        <v>6669</v>
      </c>
      <c r="B21" t="s">
        <v>2484</v>
      </c>
      <c r="C21" s="1078" t="s">
        <v>1199</v>
      </c>
      <c r="D21" s="91">
        <v>413684.33896391559</v>
      </c>
    </row>
    <row r="22" spans="1:4" ht="15">
      <c r="A22" s="1078" t="s">
        <v>3373</v>
      </c>
      <c r="B22" t="s">
        <v>2090</v>
      </c>
      <c r="C22" s="1078" t="s">
        <v>1200</v>
      </c>
      <c r="D22" s="91">
        <v>0</v>
      </c>
    </row>
    <row r="23" spans="1:4" ht="15">
      <c r="A23" s="1078" t="s">
        <v>3374</v>
      </c>
      <c r="B23" t="s">
        <v>213</v>
      </c>
      <c r="C23" s="1078" t="s">
        <v>1001</v>
      </c>
      <c r="D23" s="91">
        <v>1153977.8552855738</v>
      </c>
    </row>
    <row r="24" spans="1:4" ht="15">
      <c r="A24" s="1078" t="s">
        <v>3375</v>
      </c>
      <c r="B24" t="s">
        <v>2133</v>
      </c>
      <c r="C24" s="1078" t="s">
        <v>1004</v>
      </c>
      <c r="D24" s="91">
        <v>0</v>
      </c>
    </row>
    <row r="25" spans="1:4" ht="15">
      <c r="A25" s="1078" t="s">
        <v>5763</v>
      </c>
      <c r="B25" t="s">
        <v>2485</v>
      </c>
      <c r="C25" s="1078" t="s">
        <v>1201</v>
      </c>
      <c r="D25" s="91">
        <v>0</v>
      </c>
    </row>
    <row r="26" spans="1:4" ht="15">
      <c r="A26" s="1078" t="s">
        <v>5764</v>
      </c>
      <c r="B26" t="s">
        <v>685</v>
      </c>
      <c r="C26" s="1078" t="s">
        <v>1202</v>
      </c>
      <c r="D26" s="91">
        <v>0</v>
      </c>
    </row>
    <row r="27" spans="1:4" ht="15">
      <c r="A27" s="1078" t="s">
        <v>5765</v>
      </c>
      <c r="B27" t="s">
        <v>686</v>
      </c>
      <c r="C27" s="1078" t="s">
        <v>1203</v>
      </c>
      <c r="D27" s="91">
        <v>38475.868100736734</v>
      </c>
    </row>
    <row r="28" spans="1:4" ht="15">
      <c r="A28" s="1078" t="s">
        <v>3376</v>
      </c>
      <c r="B28" t="s">
        <v>687</v>
      </c>
      <c r="C28" s="1078" t="s">
        <v>1204</v>
      </c>
      <c r="D28" s="91">
        <v>0</v>
      </c>
    </row>
    <row r="29" spans="1:4" ht="15">
      <c r="A29" s="1078" t="s">
        <v>6670</v>
      </c>
      <c r="B29" t="s">
        <v>188</v>
      </c>
      <c r="C29" s="1078" t="s">
        <v>1205</v>
      </c>
      <c r="D29" s="91">
        <v>0</v>
      </c>
    </row>
    <row r="30" spans="1:4" ht="15">
      <c r="A30" s="1078" t="s">
        <v>3377</v>
      </c>
      <c r="B30" t="s">
        <v>1946</v>
      </c>
      <c r="C30" s="1078" t="s">
        <v>2121</v>
      </c>
      <c r="D30" s="91">
        <v>0</v>
      </c>
    </row>
    <row r="31" spans="1:4" ht="15">
      <c r="A31" s="1078" t="s">
        <v>3378</v>
      </c>
      <c r="B31" t="s">
        <v>1683</v>
      </c>
      <c r="C31" s="1078" t="s">
        <v>2123</v>
      </c>
      <c r="D31" s="91">
        <v>0</v>
      </c>
    </row>
    <row r="32" spans="1:4" ht="15">
      <c r="A32" s="1078" t="s">
        <v>3379</v>
      </c>
      <c r="B32" t="s">
        <v>773</v>
      </c>
      <c r="C32" s="1078" t="s">
        <v>890</v>
      </c>
      <c r="D32" s="91">
        <v>0</v>
      </c>
    </row>
    <row r="33" spans="1:4" ht="15">
      <c r="A33" s="1078" t="s">
        <v>3380</v>
      </c>
      <c r="B33" t="s">
        <v>2366</v>
      </c>
      <c r="C33" s="1078" t="s">
        <v>1928</v>
      </c>
      <c r="D33" s="91">
        <v>0</v>
      </c>
    </row>
    <row r="34" spans="1:4" ht="15">
      <c r="A34" s="1078" t="s">
        <v>3381</v>
      </c>
      <c r="B34" t="s">
        <v>2134</v>
      </c>
      <c r="C34" s="1078" t="s">
        <v>818</v>
      </c>
      <c r="D34" s="91">
        <v>0</v>
      </c>
    </row>
    <row r="35" spans="1:4" ht="15">
      <c r="A35" s="1078" t="s">
        <v>6671</v>
      </c>
      <c r="B35" t="s">
        <v>452</v>
      </c>
      <c r="C35" s="1078" t="s">
        <v>1206</v>
      </c>
      <c r="D35" s="91">
        <v>249301.35288837575</v>
      </c>
    </row>
    <row r="36" spans="1:4" ht="15">
      <c r="A36" s="1078" t="s">
        <v>3382</v>
      </c>
      <c r="B36" t="s">
        <v>2367</v>
      </c>
      <c r="C36" s="1078" t="s">
        <v>2124</v>
      </c>
      <c r="D36" s="91">
        <v>0</v>
      </c>
    </row>
    <row r="37" spans="1:4" ht="15">
      <c r="A37" s="1078" t="s">
        <v>5766</v>
      </c>
      <c r="B37" t="s">
        <v>2651</v>
      </c>
      <c r="C37" s="1078" t="s">
        <v>1207</v>
      </c>
      <c r="D37" s="91">
        <v>0</v>
      </c>
    </row>
    <row r="38" spans="1:4" ht="15">
      <c r="A38" s="1078" t="s">
        <v>5767</v>
      </c>
      <c r="B38" t="s">
        <v>2652</v>
      </c>
      <c r="C38" s="1078" t="s">
        <v>1208</v>
      </c>
      <c r="D38" s="91">
        <v>0</v>
      </c>
    </row>
    <row r="39" spans="1:4" ht="15">
      <c r="A39" s="1078" t="s">
        <v>3383</v>
      </c>
      <c r="B39" t="s">
        <v>1149</v>
      </c>
      <c r="C39" s="1078" t="s">
        <v>1828</v>
      </c>
      <c r="D39" s="91">
        <v>25905.180237020071</v>
      </c>
    </row>
    <row r="40" spans="1:4" ht="15">
      <c r="A40" s="1078" t="s">
        <v>5768</v>
      </c>
      <c r="B40" t="s">
        <v>2135</v>
      </c>
      <c r="C40" s="1078" t="s">
        <v>1209</v>
      </c>
      <c r="D40" s="91">
        <v>0</v>
      </c>
    </row>
    <row r="41" spans="1:4" ht="15">
      <c r="A41" s="1078" t="s">
        <v>3384</v>
      </c>
      <c r="B41" t="s">
        <v>1682</v>
      </c>
      <c r="C41" s="1078" t="s">
        <v>2122</v>
      </c>
      <c r="D41" s="91">
        <v>0</v>
      </c>
    </row>
    <row r="42" spans="1:4" ht="15">
      <c r="A42" s="1078" t="s">
        <v>3385</v>
      </c>
      <c r="B42" t="s">
        <v>1685</v>
      </c>
      <c r="C42" s="1078" t="s">
        <v>2680</v>
      </c>
      <c r="D42" s="91">
        <v>0</v>
      </c>
    </row>
    <row r="43" spans="1:4" ht="15">
      <c r="A43" s="1078" t="s">
        <v>3386</v>
      </c>
      <c r="B43" t="s">
        <v>170</v>
      </c>
      <c r="C43" s="1078" t="s">
        <v>2377</v>
      </c>
      <c r="D43" s="91">
        <v>0</v>
      </c>
    </row>
    <row r="44" spans="1:4" ht="15">
      <c r="A44" s="1078" t="s">
        <v>3387</v>
      </c>
      <c r="B44" t="s">
        <v>53</v>
      </c>
      <c r="C44" s="1078" t="s">
        <v>2518</v>
      </c>
      <c r="D44" s="91">
        <v>0</v>
      </c>
    </row>
    <row r="45" spans="1:4" ht="15">
      <c r="A45" s="1078" t="s">
        <v>3388</v>
      </c>
      <c r="B45" t="s">
        <v>166</v>
      </c>
      <c r="C45" s="1078" t="s">
        <v>1402</v>
      </c>
      <c r="D45" s="91">
        <v>0</v>
      </c>
    </row>
    <row r="46" spans="1:4" ht="15">
      <c r="A46" s="1078" t="s">
        <v>3389</v>
      </c>
      <c r="B46" t="s">
        <v>1312</v>
      </c>
      <c r="C46" s="1078" t="s">
        <v>2025</v>
      </c>
      <c r="D46" s="91">
        <v>0</v>
      </c>
    </row>
    <row r="47" spans="1:4" ht="15">
      <c r="A47" s="1078" t="s">
        <v>3390</v>
      </c>
      <c r="B47" t="s">
        <v>1514</v>
      </c>
      <c r="C47" s="1078" t="s">
        <v>603</v>
      </c>
      <c r="D47" s="91">
        <v>0</v>
      </c>
    </row>
    <row r="48" spans="1:4" ht="15">
      <c r="A48" s="1078" t="s">
        <v>3391</v>
      </c>
      <c r="B48" t="s">
        <v>1519</v>
      </c>
      <c r="C48" s="1078" t="s">
        <v>2312</v>
      </c>
      <c r="D48" s="91">
        <v>0</v>
      </c>
    </row>
    <row r="49" spans="1:4" ht="15">
      <c r="A49" s="1078" t="s">
        <v>5769</v>
      </c>
      <c r="B49" t="s">
        <v>423</v>
      </c>
      <c r="C49" s="1078" t="s">
        <v>2280</v>
      </c>
      <c r="D49" s="91">
        <v>0</v>
      </c>
    </row>
    <row r="50" spans="1:4" ht="15">
      <c r="A50" s="1078" t="s">
        <v>3392</v>
      </c>
      <c r="B50" t="s">
        <v>1859</v>
      </c>
      <c r="C50" s="1078" t="s">
        <v>724</v>
      </c>
      <c r="D50" s="91">
        <v>0</v>
      </c>
    </row>
    <row r="51" spans="1:4" ht="15">
      <c r="A51" s="1078" t="s">
        <v>3393</v>
      </c>
      <c r="B51" t="s">
        <v>771</v>
      </c>
      <c r="C51" s="1078" t="s">
        <v>888</v>
      </c>
      <c r="D51" s="91">
        <v>0</v>
      </c>
    </row>
    <row r="52" spans="1:4" ht="15">
      <c r="A52" s="1078" t="s">
        <v>3394</v>
      </c>
      <c r="B52" t="s">
        <v>1314</v>
      </c>
      <c r="C52" s="1078" t="s">
        <v>2028</v>
      </c>
      <c r="D52" s="91">
        <v>0</v>
      </c>
    </row>
    <row r="53" spans="1:4" ht="15">
      <c r="A53" s="1078" t="s">
        <v>3395</v>
      </c>
      <c r="B53" t="s">
        <v>1506</v>
      </c>
      <c r="C53" s="1078" t="s">
        <v>1932</v>
      </c>
      <c r="D53" s="91">
        <v>0</v>
      </c>
    </row>
    <row r="54" spans="1:4" ht="15">
      <c r="A54" s="1078" t="s">
        <v>3396</v>
      </c>
      <c r="B54" t="s">
        <v>1152</v>
      </c>
      <c r="C54" s="1078" t="s">
        <v>1931</v>
      </c>
      <c r="D54" s="91">
        <v>0</v>
      </c>
    </row>
    <row r="55" spans="1:4" ht="15">
      <c r="A55" s="1078" t="s">
        <v>3397</v>
      </c>
      <c r="B55" t="s">
        <v>1407</v>
      </c>
      <c r="C55" s="1078" t="s">
        <v>2287</v>
      </c>
      <c r="D55" s="91">
        <v>0</v>
      </c>
    </row>
    <row r="56" spans="1:4" ht="15">
      <c r="A56" s="1078" t="s">
        <v>3398</v>
      </c>
      <c r="B56" t="s">
        <v>768</v>
      </c>
      <c r="C56" s="1078" t="s">
        <v>1064</v>
      </c>
      <c r="D56" s="91">
        <v>0</v>
      </c>
    </row>
    <row r="57" spans="1:4" ht="15">
      <c r="A57" s="1078" t="s">
        <v>3399</v>
      </c>
      <c r="B57" t="s">
        <v>709</v>
      </c>
      <c r="C57" s="1078" t="s">
        <v>1934</v>
      </c>
      <c r="D57" s="91">
        <v>0</v>
      </c>
    </row>
    <row r="58" spans="1:4" ht="15">
      <c r="A58" s="1078" t="s">
        <v>3400</v>
      </c>
      <c r="B58" t="s">
        <v>1409</v>
      </c>
      <c r="C58" s="1078" t="s">
        <v>2289</v>
      </c>
      <c r="D58" s="91">
        <v>0</v>
      </c>
    </row>
    <row r="59" spans="1:4" ht="15">
      <c r="A59" s="1078" t="s">
        <v>3401</v>
      </c>
      <c r="B59" t="s">
        <v>46</v>
      </c>
      <c r="C59" s="1078" t="s">
        <v>408</v>
      </c>
      <c r="D59" s="91">
        <v>0</v>
      </c>
    </row>
    <row r="60" spans="1:4" ht="15">
      <c r="A60" s="1078" t="s">
        <v>3402</v>
      </c>
      <c r="B60" t="s">
        <v>1507</v>
      </c>
      <c r="C60" s="1078" t="s">
        <v>1933</v>
      </c>
      <c r="D60" s="91">
        <v>1073150.1610136577</v>
      </c>
    </row>
    <row r="61" spans="1:4" ht="15">
      <c r="A61" s="1078" t="s">
        <v>5770</v>
      </c>
      <c r="B61" t="s">
        <v>1210</v>
      </c>
      <c r="C61" s="1078" t="s">
        <v>2281</v>
      </c>
      <c r="D61" s="91">
        <v>0</v>
      </c>
    </row>
    <row r="62" spans="1:4" ht="15">
      <c r="A62" s="1078" t="s">
        <v>3403</v>
      </c>
      <c r="B62" t="s">
        <v>874</v>
      </c>
      <c r="C62" s="1078" t="s">
        <v>798</v>
      </c>
      <c r="D62" s="91">
        <v>0</v>
      </c>
    </row>
    <row r="63" spans="1:4" ht="15">
      <c r="A63" s="1078" t="s">
        <v>5771</v>
      </c>
      <c r="B63" t="s">
        <v>1211</v>
      </c>
      <c r="C63" s="1078" t="s">
        <v>2282</v>
      </c>
      <c r="D63" s="91">
        <v>0</v>
      </c>
    </row>
    <row r="64" spans="1:4" ht="15">
      <c r="A64" s="1078" t="s">
        <v>3404</v>
      </c>
      <c r="B64" t="s">
        <v>575</v>
      </c>
      <c r="C64" s="1078" t="s">
        <v>1165</v>
      </c>
      <c r="D64" s="91">
        <v>16844.229582863729</v>
      </c>
    </row>
    <row r="65" spans="1:4" ht="15">
      <c r="A65" s="1078" t="s">
        <v>3405</v>
      </c>
      <c r="B65" t="s">
        <v>1212</v>
      </c>
      <c r="C65" s="1078" t="s">
        <v>2682</v>
      </c>
      <c r="D65" s="91">
        <v>0</v>
      </c>
    </row>
    <row r="66" spans="1:4" ht="15">
      <c r="A66" s="1078" t="s">
        <v>6672</v>
      </c>
      <c r="B66" t="s">
        <v>1113</v>
      </c>
      <c r="C66" s="1078" t="s">
        <v>2683</v>
      </c>
      <c r="D66" s="91">
        <v>0</v>
      </c>
    </row>
    <row r="67" spans="1:4" ht="15">
      <c r="A67" s="1078" t="s">
        <v>3406</v>
      </c>
      <c r="B67" t="s">
        <v>1114</v>
      </c>
      <c r="C67" s="1078" t="s">
        <v>2684</v>
      </c>
      <c r="D67" s="91">
        <v>0</v>
      </c>
    </row>
    <row r="68" spans="1:4" ht="15">
      <c r="A68" s="1078" t="s">
        <v>4235</v>
      </c>
      <c r="B68" t="s">
        <v>1901</v>
      </c>
      <c r="C68" s="1078" t="s">
        <v>2024</v>
      </c>
      <c r="D68" s="91">
        <v>0</v>
      </c>
    </row>
    <row r="69" spans="1:4" ht="15">
      <c r="A69" s="1078" t="s">
        <v>5772</v>
      </c>
      <c r="B69" t="s">
        <v>1645</v>
      </c>
      <c r="C69" s="1078" t="s">
        <v>2685</v>
      </c>
      <c r="D69" s="91">
        <v>0</v>
      </c>
    </row>
    <row r="70" spans="1:4" ht="15">
      <c r="A70" s="1078" t="s">
        <v>5773</v>
      </c>
      <c r="B70" t="s">
        <v>1646</v>
      </c>
      <c r="C70" s="1078" t="s">
        <v>2686</v>
      </c>
      <c r="D70" s="91">
        <v>0</v>
      </c>
    </row>
    <row r="71" spans="1:4" ht="15">
      <c r="A71" s="1078" t="s">
        <v>6673</v>
      </c>
      <c r="B71" t="s">
        <v>1647</v>
      </c>
      <c r="C71" s="1078" t="s">
        <v>2687</v>
      </c>
      <c r="D71" s="91">
        <v>0</v>
      </c>
    </row>
    <row r="72" spans="1:4" ht="15">
      <c r="A72" s="1078" t="s">
        <v>4237</v>
      </c>
      <c r="B72" t="s">
        <v>885</v>
      </c>
      <c r="C72" s="1078" t="s">
        <v>2666</v>
      </c>
      <c r="D72" s="91">
        <v>0</v>
      </c>
    </row>
    <row r="73" spans="1:4" ht="15">
      <c r="A73" s="1078" t="s">
        <v>3407</v>
      </c>
      <c r="B73" t="s">
        <v>710</v>
      </c>
      <c r="C73" s="1078" t="s">
        <v>2379</v>
      </c>
      <c r="D73" s="91">
        <v>0</v>
      </c>
    </row>
    <row r="74" spans="1:4" ht="15">
      <c r="A74" s="1078" t="s">
        <v>3408</v>
      </c>
      <c r="B74" t="s">
        <v>2136</v>
      </c>
      <c r="C74" s="1078" t="s">
        <v>2067</v>
      </c>
      <c r="D74" s="91">
        <v>0</v>
      </c>
    </row>
    <row r="75" spans="1:4" ht="15">
      <c r="A75" s="1078" t="s">
        <v>3409</v>
      </c>
      <c r="B75" t="s">
        <v>2638</v>
      </c>
      <c r="C75" s="1078" t="s">
        <v>1398</v>
      </c>
      <c r="D75" s="91">
        <v>0</v>
      </c>
    </row>
    <row r="76" spans="1:4" ht="15">
      <c r="A76" s="1078" t="s">
        <v>5774</v>
      </c>
      <c r="B76" t="s">
        <v>1096</v>
      </c>
      <c r="C76" s="1078" t="s">
        <v>1399</v>
      </c>
      <c r="D76" s="91">
        <v>0</v>
      </c>
    </row>
    <row r="77" spans="1:4" ht="15">
      <c r="A77" s="1078" t="s">
        <v>5775</v>
      </c>
      <c r="B77" t="s">
        <v>1097</v>
      </c>
      <c r="C77" s="1078" t="s">
        <v>1400</v>
      </c>
      <c r="D77" s="91">
        <v>0</v>
      </c>
    </row>
    <row r="78" spans="1:4" ht="15">
      <c r="A78" s="1078" t="s">
        <v>5776</v>
      </c>
      <c r="B78" t="s">
        <v>1124</v>
      </c>
      <c r="C78" s="1078" t="s">
        <v>2486</v>
      </c>
      <c r="D78" s="91">
        <v>0</v>
      </c>
    </row>
    <row r="79" spans="1:4" ht="15">
      <c r="A79" s="1078" t="s">
        <v>3410</v>
      </c>
      <c r="B79" t="s">
        <v>2137</v>
      </c>
      <c r="C79" s="1078" t="s">
        <v>266</v>
      </c>
      <c r="D79" s="91">
        <v>0</v>
      </c>
    </row>
    <row r="80" spans="1:4" ht="15">
      <c r="A80" s="1078" t="s">
        <v>3411</v>
      </c>
      <c r="B80" t="s">
        <v>984</v>
      </c>
      <c r="C80" s="1078" t="s">
        <v>289</v>
      </c>
      <c r="D80" s="91">
        <v>0</v>
      </c>
    </row>
    <row r="81" spans="1:4" ht="15">
      <c r="A81" s="1078" t="s">
        <v>5777</v>
      </c>
      <c r="B81" t="s">
        <v>842</v>
      </c>
      <c r="C81" s="1078" t="s">
        <v>2487</v>
      </c>
      <c r="D81" s="91">
        <v>0</v>
      </c>
    </row>
    <row r="82" spans="1:4" ht="15">
      <c r="A82" s="1078" t="s">
        <v>5778</v>
      </c>
      <c r="B82" t="s">
        <v>1125</v>
      </c>
      <c r="C82" s="1078" t="s">
        <v>2488</v>
      </c>
      <c r="D82" s="91">
        <v>0</v>
      </c>
    </row>
    <row r="83" spans="1:4" ht="15">
      <c r="A83" s="1078" t="s">
        <v>6674</v>
      </c>
      <c r="B83" t="s">
        <v>1126</v>
      </c>
      <c r="C83" s="1078" t="s">
        <v>2381</v>
      </c>
      <c r="D83" s="91">
        <v>0</v>
      </c>
    </row>
    <row r="84" spans="1:4" ht="15">
      <c r="A84" s="1078" t="s">
        <v>6675</v>
      </c>
      <c r="B84" t="s">
        <v>843</v>
      </c>
      <c r="C84" s="1078" t="s">
        <v>2489</v>
      </c>
      <c r="D84" s="91">
        <v>0</v>
      </c>
    </row>
    <row r="85" spans="1:4" ht="15">
      <c r="A85" s="1078" t="s">
        <v>3412</v>
      </c>
      <c r="B85" t="s">
        <v>179</v>
      </c>
      <c r="C85" s="1078" t="s">
        <v>1052</v>
      </c>
      <c r="D85" s="91">
        <v>0</v>
      </c>
    </row>
    <row r="86" spans="1:4" ht="15">
      <c r="A86" s="1078" t="s">
        <v>5779</v>
      </c>
      <c r="B86" t="s">
        <v>919</v>
      </c>
      <c r="C86" s="1078" t="s">
        <v>2490</v>
      </c>
      <c r="D86" s="91">
        <v>0</v>
      </c>
    </row>
    <row r="87" spans="1:4" ht="15">
      <c r="A87" s="1078" t="s">
        <v>3413</v>
      </c>
      <c r="B87" t="s">
        <v>711</v>
      </c>
      <c r="C87" s="1078" t="s">
        <v>2662</v>
      </c>
      <c r="D87" s="91">
        <v>0</v>
      </c>
    </row>
    <row r="88" spans="1:4" ht="15">
      <c r="A88" s="1078" t="s">
        <v>5780</v>
      </c>
      <c r="B88" t="s">
        <v>1157</v>
      </c>
      <c r="C88" s="1078" t="s">
        <v>2491</v>
      </c>
      <c r="D88" s="91">
        <v>0</v>
      </c>
    </row>
    <row r="89" spans="1:4" ht="15">
      <c r="A89" s="1078" t="s">
        <v>5781</v>
      </c>
      <c r="B89" t="s">
        <v>1158</v>
      </c>
      <c r="C89" s="1078" t="s">
        <v>2492</v>
      </c>
      <c r="D89" s="91">
        <v>0</v>
      </c>
    </row>
    <row r="90" spans="1:4" ht="15">
      <c r="A90" s="1078" t="s">
        <v>3414</v>
      </c>
      <c r="B90" t="s">
        <v>1435</v>
      </c>
      <c r="C90" s="1078" t="s">
        <v>1548</v>
      </c>
      <c r="D90" s="91">
        <v>0</v>
      </c>
    </row>
    <row r="91" spans="1:4" ht="15">
      <c r="A91" s="1078" t="s">
        <v>3415</v>
      </c>
      <c r="B91" t="s">
        <v>207</v>
      </c>
      <c r="C91" s="1078" t="s">
        <v>273</v>
      </c>
      <c r="D91" s="91">
        <v>0</v>
      </c>
    </row>
    <row r="92" spans="1:4" ht="15">
      <c r="A92" s="1078" t="s">
        <v>3416</v>
      </c>
      <c r="B92" t="s">
        <v>1159</v>
      </c>
      <c r="C92" s="1078" t="s">
        <v>2493</v>
      </c>
      <c r="D92" s="91">
        <v>0</v>
      </c>
    </row>
    <row r="93" spans="1:4" ht="15">
      <c r="A93" s="1078" t="s">
        <v>3417</v>
      </c>
      <c r="B93" t="s">
        <v>578</v>
      </c>
      <c r="C93" s="1078" t="s">
        <v>1169</v>
      </c>
      <c r="D93" s="91">
        <v>0</v>
      </c>
    </row>
    <row r="94" spans="1:4" ht="15">
      <c r="A94" s="1078" t="s">
        <v>3418</v>
      </c>
      <c r="B94" t="s">
        <v>882</v>
      </c>
      <c r="C94" s="1078" t="s">
        <v>2636</v>
      </c>
      <c r="D94" s="91">
        <v>0</v>
      </c>
    </row>
    <row r="95" spans="1:4" ht="15">
      <c r="A95" s="1078" t="s">
        <v>6676</v>
      </c>
      <c r="B95" t="s">
        <v>2549</v>
      </c>
      <c r="C95" s="1078" t="s">
        <v>2494</v>
      </c>
      <c r="D95" s="91">
        <v>0</v>
      </c>
    </row>
    <row r="96" spans="1:4" ht="15">
      <c r="A96" s="1078" t="s">
        <v>5782</v>
      </c>
      <c r="B96" t="s">
        <v>400</v>
      </c>
      <c r="C96" s="1078" t="s">
        <v>2495</v>
      </c>
      <c r="D96" s="91">
        <v>0</v>
      </c>
    </row>
    <row r="97" spans="1:4" ht="15">
      <c r="A97" s="1078" t="s">
        <v>6677</v>
      </c>
      <c r="B97" t="s">
        <v>401</v>
      </c>
      <c r="C97" s="1078" t="s">
        <v>1589</v>
      </c>
      <c r="D97" s="91">
        <v>0</v>
      </c>
    </row>
    <row r="98" spans="1:4" ht="15">
      <c r="A98" s="1078" t="s">
        <v>6678</v>
      </c>
      <c r="B98" t="s">
        <v>402</v>
      </c>
      <c r="C98" s="1078" t="s">
        <v>1590</v>
      </c>
      <c r="D98" s="91">
        <v>0</v>
      </c>
    </row>
    <row r="99" spans="1:4" ht="15">
      <c r="A99" s="1078" t="s">
        <v>6679</v>
      </c>
      <c r="B99" t="s">
        <v>403</v>
      </c>
      <c r="C99" s="1078" t="s">
        <v>1591</v>
      </c>
      <c r="D99" s="91">
        <v>0</v>
      </c>
    </row>
    <row r="100" spans="1:4" ht="15">
      <c r="A100" s="1078" t="s">
        <v>5783</v>
      </c>
      <c r="B100" t="s">
        <v>669</v>
      </c>
      <c r="C100" s="1078" t="s">
        <v>1592</v>
      </c>
      <c r="D100" s="91">
        <v>0</v>
      </c>
    </row>
    <row r="101" spans="1:4" ht="15">
      <c r="A101" s="1078" t="s">
        <v>5784</v>
      </c>
      <c r="B101" t="s">
        <v>670</v>
      </c>
      <c r="C101" s="1078" t="s">
        <v>1593</v>
      </c>
      <c r="D101" s="91">
        <v>0</v>
      </c>
    </row>
    <row r="102" spans="1:4" ht="15">
      <c r="A102" s="1078" t="s">
        <v>5785</v>
      </c>
      <c r="B102" t="s">
        <v>671</v>
      </c>
      <c r="C102" s="1078" t="s">
        <v>1594</v>
      </c>
      <c r="D102" s="91">
        <v>0</v>
      </c>
    </row>
    <row r="103" spans="1:4" ht="15">
      <c r="A103" s="1078" t="s">
        <v>3419</v>
      </c>
      <c r="B103" t="s">
        <v>876</v>
      </c>
      <c r="C103" s="1078" t="s">
        <v>1343</v>
      </c>
      <c r="D103" s="91">
        <v>0</v>
      </c>
    </row>
    <row r="104" spans="1:4" ht="15">
      <c r="A104" s="1078" t="s">
        <v>3420</v>
      </c>
      <c r="B104" t="s">
        <v>2528</v>
      </c>
      <c r="C104" s="1078" t="s">
        <v>2068</v>
      </c>
      <c r="D104" s="91">
        <v>0</v>
      </c>
    </row>
    <row r="105" spans="1:4" ht="15">
      <c r="A105" s="1078" t="s">
        <v>3421</v>
      </c>
      <c r="B105" t="s">
        <v>1187</v>
      </c>
      <c r="C105" s="1078" t="s">
        <v>2675</v>
      </c>
      <c r="D105" s="91">
        <v>0</v>
      </c>
    </row>
    <row r="106" spans="1:4" ht="15">
      <c r="A106" s="1078" t="s">
        <v>3422</v>
      </c>
      <c r="B106" t="s">
        <v>712</v>
      </c>
      <c r="C106" s="1078" t="s">
        <v>2416</v>
      </c>
      <c r="D106" s="91">
        <v>4336.2672947922183</v>
      </c>
    </row>
    <row r="107" spans="1:4" ht="15">
      <c r="A107" s="1078" t="s">
        <v>3423</v>
      </c>
      <c r="B107" t="s">
        <v>769</v>
      </c>
      <c r="C107" s="1078" t="s">
        <v>1063</v>
      </c>
      <c r="D107" s="91">
        <v>0</v>
      </c>
    </row>
    <row r="108" spans="1:4" ht="15">
      <c r="A108" s="1078" t="s">
        <v>5786</v>
      </c>
      <c r="B108" t="s">
        <v>672</v>
      </c>
      <c r="C108" s="1078" t="s">
        <v>1595</v>
      </c>
      <c r="D108" s="91">
        <v>117777.88337119129</v>
      </c>
    </row>
    <row r="109" spans="1:4" ht="15">
      <c r="A109" s="1078" t="s">
        <v>5787</v>
      </c>
      <c r="B109" t="s">
        <v>673</v>
      </c>
      <c r="C109" s="1078" t="s">
        <v>1596</v>
      </c>
      <c r="D109" s="91">
        <v>24144.039074675398</v>
      </c>
    </row>
    <row r="110" spans="1:4" ht="15">
      <c r="A110" s="1078" t="s">
        <v>3424</v>
      </c>
      <c r="B110" t="s">
        <v>674</v>
      </c>
      <c r="C110" s="1078" t="s">
        <v>1597</v>
      </c>
      <c r="D110" s="91">
        <v>198131.2757903442</v>
      </c>
    </row>
    <row r="111" spans="1:4" ht="15">
      <c r="A111" s="1078" t="s">
        <v>3425</v>
      </c>
      <c r="B111" t="s">
        <v>1885</v>
      </c>
      <c r="C111" s="1078" t="s">
        <v>133</v>
      </c>
      <c r="D111" s="91">
        <v>0</v>
      </c>
    </row>
    <row r="112" spans="1:4" ht="15">
      <c r="A112" s="1078" t="s">
        <v>4299</v>
      </c>
      <c r="B112" t="s">
        <v>348</v>
      </c>
      <c r="C112" s="1078" t="s">
        <v>291</v>
      </c>
      <c r="D112" s="91">
        <v>0</v>
      </c>
    </row>
    <row r="113" spans="1:4" ht="15">
      <c r="A113" s="1078" t="s">
        <v>3426</v>
      </c>
      <c r="B113" t="s">
        <v>456</v>
      </c>
      <c r="C113" s="1078" t="s">
        <v>2227</v>
      </c>
      <c r="D113" s="91">
        <v>0</v>
      </c>
    </row>
    <row r="114" spans="1:4" ht="15">
      <c r="A114" s="1078" t="s">
        <v>3427</v>
      </c>
      <c r="B114" t="s">
        <v>1154</v>
      </c>
      <c r="C114" s="1078" t="s">
        <v>838</v>
      </c>
      <c r="D114" s="91">
        <v>26833.036252140293</v>
      </c>
    </row>
    <row r="115" spans="1:4" ht="15">
      <c r="A115" s="1078" t="s">
        <v>6680</v>
      </c>
      <c r="B115" t="s">
        <v>2306</v>
      </c>
      <c r="C115" s="1078" t="s">
        <v>1598</v>
      </c>
      <c r="D115" s="91">
        <v>0</v>
      </c>
    </row>
    <row r="116" spans="1:4" ht="15">
      <c r="A116" s="1078" t="s">
        <v>5788</v>
      </c>
      <c r="B116" t="s">
        <v>1359</v>
      </c>
      <c r="C116" s="1078" t="s">
        <v>1027</v>
      </c>
      <c r="D116" s="91">
        <v>0</v>
      </c>
    </row>
    <row r="117" spans="1:4" ht="15">
      <c r="A117" s="1078" t="s">
        <v>6681</v>
      </c>
      <c r="B117" t="s">
        <v>2341</v>
      </c>
      <c r="C117" s="1078" t="s">
        <v>1600</v>
      </c>
      <c r="D117" s="91">
        <v>2517.2256010827864</v>
      </c>
    </row>
    <row r="118" spans="1:4" ht="15">
      <c r="A118" s="1078" t="s">
        <v>3428</v>
      </c>
      <c r="B118" t="s">
        <v>713</v>
      </c>
      <c r="C118" s="1078" t="s">
        <v>31</v>
      </c>
      <c r="D118" s="91">
        <v>0</v>
      </c>
    </row>
    <row r="119" spans="1:4" ht="15">
      <c r="A119" s="1078" t="s">
        <v>3429</v>
      </c>
      <c r="B119" t="s">
        <v>148</v>
      </c>
      <c r="C119" s="1078" t="s">
        <v>1601</v>
      </c>
      <c r="D119" s="91">
        <v>0</v>
      </c>
    </row>
    <row r="120" spans="1:4" ht="15">
      <c r="A120" s="1078" t="s">
        <v>5789</v>
      </c>
      <c r="B120" t="s">
        <v>1829</v>
      </c>
      <c r="C120" s="1078" t="s">
        <v>1602</v>
      </c>
      <c r="D120" s="91">
        <v>0</v>
      </c>
    </row>
    <row r="121" spans="1:4" ht="15">
      <c r="A121" s="1078" t="s">
        <v>3430</v>
      </c>
      <c r="B121" t="s">
        <v>881</v>
      </c>
      <c r="C121" s="1078" t="s">
        <v>2635</v>
      </c>
      <c r="D121" s="91">
        <v>0</v>
      </c>
    </row>
    <row r="122" spans="1:4" ht="15">
      <c r="A122" s="1078" t="s">
        <v>3431</v>
      </c>
      <c r="B122" t="s">
        <v>1860</v>
      </c>
      <c r="C122" s="1078" t="s">
        <v>34</v>
      </c>
      <c r="D122" s="91">
        <v>0</v>
      </c>
    </row>
    <row r="123" spans="1:4" ht="15">
      <c r="A123" s="1078" t="s">
        <v>3432</v>
      </c>
      <c r="B123" t="s">
        <v>57</v>
      </c>
      <c r="C123" s="1078" t="s">
        <v>1881</v>
      </c>
      <c r="D123" s="91">
        <v>0</v>
      </c>
    </row>
    <row r="124" spans="1:4" ht="15">
      <c r="A124" s="1078" t="s">
        <v>3433</v>
      </c>
      <c r="B124" t="s">
        <v>2283</v>
      </c>
      <c r="C124" s="1078" t="s">
        <v>36</v>
      </c>
      <c r="D124" s="91">
        <v>0</v>
      </c>
    </row>
    <row r="125" spans="1:4" ht="15">
      <c r="A125" s="1078" t="s">
        <v>5790</v>
      </c>
      <c r="B125" t="s">
        <v>1679</v>
      </c>
      <c r="C125" s="1078" t="s">
        <v>1603</v>
      </c>
      <c r="D125" s="91">
        <v>0</v>
      </c>
    </row>
    <row r="126" spans="1:4" ht="15">
      <c r="A126" s="1078" t="s">
        <v>3434</v>
      </c>
      <c r="B126" t="s">
        <v>714</v>
      </c>
      <c r="C126" s="1078" t="s">
        <v>2694</v>
      </c>
      <c r="D126" s="91">
        <v>0</v>
      </c>
    </row>
    <row r="127" spans="1:4" ht="15">
      <c r="A127" s="1078" t="s">
        <v>3435</v>
      </c>
      <c r="B127" t="s">
        <v>1315</v>
      </c>
      <c r="C127" s="1078" t="s">
        <v>39</v>
      </c>
      <c r="D127" s="91">
        <v>0</v>
      </c>
    </row>
    <row r="128" spans="1:4" ht="15">
      <c r="A128" s="1078" t="s">
        <v>3436</v>
      </c>
      <c r="B128" t="s">
        <v>715</v>
      </c>
      <c r="C128" s="1078" t="s">
        <v>86</v>
      </c>
      <c r="D128" s="91">
        <v>0</v>
      </c>
    </row>
    <row r="129" spans="1:4" ht="15">
      <c r="A129" s="1078" t="s">
        <v>3437</v>
      </c>
      <c r="B129" t="s">
        <v>492</v>
      </c>
      <c r="C129" s="1078" t="s">
        <v>87</v>
      </c>
      <c r="D129" s="91">
        <v>0</v>
      </c>
    </row>
    <row r="130" spans="1:4" ht="15">
      <c r="A130" s="1078" t="s">
        <v>5791</v>
      </c>
      <c r="B130" t="s">
        <v>933</v>
      </c>
      <c r="C130" s="1078" t="s">
        <v>1604</v>
      </c>
      <c r="D130" s="91">
        <v>0</v>
      </c>
    </row>
    <row r="131" spans="1:4" ht="15">
      <c r="A131" s="1078" t="s">
        <v>5792</v>
      </c>
      <c r="B131" t="s">
        <v>934</v>
      </c>
      <c r="C131" s="1078" t="s">
        <v>1605</v>
      </c>
      <c r="D131" s="91">
        <v>636340.83232708648</v>
      </c>
    </row>
    <row r="132" spans="1:4" ht="15">
      <c r="A132" s="1078" t="s">
        <v>5793</v>
      </c>
      <c r="B132" t="s">
        <v>776</v>
      </c>
      <c r="C132" s="1078" t="s">
        <v>2169</v>
      </c>
      <c r="D132" s="91">
        <v>566749.70117535768</v>
      </c>
    </row>
    <row r="133" spans="1:4" ht="15">
      <c r="A133" s="1078" t="s">
        <v>5794</v>
      </c>
      <c r="B133" t="s">
        <v>1806</v>
      </c>
      <c r="C133" s="1078" t="s">
        <v>2170</v>
      </c>
      <c r="D133" s="91">
        <v>0</v>
      </c>
    </row>
    <row r="134" spans="1:4" ht="15">
      <c r="A134" s="1078" t="s">
        <v>5795</v>
      </c>
      <c r="B134" t="s">
        <v>1725</v>
      </c>
      <c r="C134" s="1078" t="s">
        <v>2171</v>
      </c>
      <c r="D134" s="91">
        <v>0</v>
      </c>
    </row>
    <row r="135" spans="1:4" ht="15">
      <c r="A135" s="1078" t="s">
        <v>6682</v>
      </c>
      <c r="B135" t="s">
        <v>1726</v>
      </c>
      <c r="C135" s="1078" t="s">
        <v>2172</v>
      </c>
      <c r="D135" s="91">
        <v>0</v>
      </c>
    </row>
    <row r="136" spans="1:4" ht="15">
      <c r="A136" s="1078" t="s">
        <v>5796</v>
      </c>
      <c r="B136" t="s">
        <v>743</v>
      </c>
      <c r="C136" s="1078" t="s">
        <v>2173</v>
      </c>
      <c r="D136" s="91">
        <v>128485.62163824691</v>
      </c>
    </row>
    <row r="137" spans="1:4" ht="15">
      <c r="A137" s="1078" t="s">
        <v>6683</v>
      </c>
      <c r="B137" t="s">
        <v>744</v>
      </c>
      <c r="C137" s="1078" t="s">
        <v>1028</v>
      </c>
      <c r="D137" s="91">
        <v>0</v>
      </c>
    </row>
    <row r="138" spans="1:4" ht="15">
      <c r="A138" s="1078" t="s">
        <v>4368</v>
      </c>
      <c r="B138" t="s">
        <v>1875</v>
      </c>
      <c r="C138" s="1078" t="s">
        <v>821</v>
      </c>
      <c r="D138" s="91">
        <v>0</v>
      </c>
    </row>
    <row r="139" spans="1:4" ht="15">
      <c r="A139" s="1078" t="s">
        <v>5797</v>
      </c>
      <c r="B139" t="s">
        <v>745</v>
      </c>
      <c r="C139" s="1078" t="s">
        <v>1706</v>
      </c>
      <c r="D139" s="91">
        <v>0</v>
      </c>
    </row>
    <row r="140" spans="1:4" ht="15">
      <c r="A140" s="1078" t="s">
        <v>5798</v>
      </c>
      <c r="B140" t="s">
        <v>1952</v>
      </c>
      <c r="C140" s="1078" t="s">
        <v>1708</v>
      </c>
      <c r="D140" s="91">
        <v>0</v>
      </c>
    </row>
    <row r="141" spans="1:4" ht="15">
      <c r="A141" s="1078" t="s">
        <v>5799</v>
      </c>
      <c r="B141" t="s">
        <v>1953</v>
      </c>
      <c r="C141" s="1078" t="s">
        <v>1709</v>
      </c>
      <c r="D141" s="91">
        <v>771712.75716231507</v>
      </c>
    </row>
    <row r="142" spans="1:4" ht="15">
      <c r="A142" s="1078" t="s">
        <v>6684</v>
      </c>
      <c r="B142" t="s">
        <v>2431</v>
      </c>
      <c r="C142" s="1078" t="s">
        <v>1710</v>
      </c>
      <c r="D142" s="91">
        <v>27839.54048903098</v>
      </c>
    </row>
    <row r="143" spans="1:4" ht="15">
      <c r="A143" s="1078" t="s">
        <v>3438</v>
      </c>
      <c r="B143" t="s">
        <v>2539</v>
      </c>
      <c r="C143" s="1078" t="s">
        <v>389</v>
      </c>
      <c r="D143" s="91">
        <v>10909.425117976194</v>
      </c>
    </row>
    <row r="144" spans="1:4" ht="15">
      <c r="A144" s="1078" t="s">
        <v>3439</v>
      </c>
      <c r="B144" t="s">
        <v>1640</v>
      </c>
      <c r="C144" s="1078" t="s">
        <v>1055</v>
      </c>
      <c r="D144" s="91">
        <v>606132.67760080891</v>
      </c>
    </row>
    <row r="145" spans="1:4" ht="15">
      <c r="A145" s="1078" t="s">
        <v>5800</v>
      </c>
      <c r="B145" t="s">
        <v>2432</v>
      </c>
      <c r="C145" s="1078" t="s">
        <v>1711</v>
      </c>
      <c r="D145" s="91">
        <v>0</v>
      </c>
    </row>
    <row r="146" spans="1:4" ht="15">
      <c r="A146" s="1078" t="s">
        <v>3440</v>
      </c>
      <c r="B146" t="s">
        <v>285</v>
      </c>
      <c r="C146" s="1078" t="s">
        <v>2369</v>
      </c>
      <c r="D146" s="91">
        <v>0</v>
      </c>
    </row>
    <row r="147" spans="1:4" ht="15">
      <c r="A147" s="1078" t="s">
        <v>5801</v>
      </c>
      <c r="B147" t="s">
        <v>1469</v>
      </c>
      <c r="C147" s="1078" t="s">
        <v>1499</v>
      </c>
      <c r="D147" s="91">
        <v>0</v>
      </c>
    </row>
    <row r="148" spans="1:4" ht="15">
      <c r="A148" s="1078" t="s">
        <v>3441</v>
      </c>
      <c r="B148" t="s">
        <v>43</v>
      </c>
      <c r="C148" s="1078" t="s">
        <v>405</v>
      </c>
      <c r="D148" s="91">
        <v>0</v>
      </c>
    </row>
    <row r="149" spans="1:4" ht="15">
      <c r="A149" s="1078" t="s">
        <v>3442</v>
      </c>
      <c r="B149" t="s">
        <v>1311</v>
      </c>
      <c r="C149" s="1078" t="s">
        <v>614</v>
      </c>
      <c r="D149" s="91">
        <v>0</v>
      </c>
    </row>
    <row r="150" spans="1:4" ht="15">
      <c r="A150" s="1078" t="s">
        <v>4382</v>
      </c>
      <c r="B150" t="s">
        <v>2542</v>
      </c>
      <c r="C150" s="1078" t="s">
        <v>1143</v>
      </c>
      <c r="D150" s="91">
        <v>0</v>
      </c>
    </row>
    <row r="151" spans="1:4" ht="15">
      <c r="A151" s="1078" t="s">
        <v>5802</v>
      </c>
      <c r="B151" t="s">
        <v>1470</v>
      </c>
      <c r="C151" s="1078" t="s">
        <v>25</v>
      </c>
      <c r="D151" s="91">
        <v>12069.84826741152</v>
      </c>
    </row>
    <row r="152" spans="1:4" ht="15">
      <c r="A152" s="1078" t="s">
        <v>3443</v>
      </c>
      <c r="B152" t="s">
        <v>71</v>
      </c>
      <c r="C152" s="1078" t="s">
        <v>2185</v>
      </c>
      <c r="D152" s="91">
        <v>0</v>
      </c>
    </row>
    <row r="153" spans="1:4" ht="15">
      <c r="A153" s="1078" t="s">
        <v>5803</v>
      </c>
      <c r="B153" t="s">
        <v>2167</v>
      </c>
      <c r="C153" s="1078" t="s">
        <v>1920</v>
      </c>
      <c r="D153" s="91">
        <v>116390.20063614928</v>
      </c>
    </row>
    <row r="154" spans="1:4" ht="15">
      <c r="A154" s="1078" t="s">
        <v>3444</v>
      </c>
      <c r="B154" t="s">
        <v>716</v>
      </c>
      <c r="C154" s="1078" t="s">
        <v>3912</v>
      </c>
      <c r="D154" s="91">
        <v>2998.7650202663444</v>
      </c>
    </row>
    <row r="155" spans="1:4" ht="15">
      <c r="A155" s="1078" t="s">
        <v>6685</v>
      </c>
      <c r="B155" t="s">
        <v>2168</v>
      </c>
      <c r="C155" s="1078" t="s">
        <v>1921</v>
      </c>
      <c r="D155" s="91">
        <v>0</v>
      </c>
    </row>
    <row r="156" spans="1:4" ht="15">
      <c r="A156" s="1078" t="s">
        <v>6686</v>
      </c>
      <c r="B156" t="s">
        <v>1670</v>
      </c>
      <c r="C156" s="1078" t="s">
        <v>1922</v>
      </c>
      <c r="D156" s="91">
        <v>2998.2825158383043</v>
      </c>
    </row>
    <row r="157" spans="1:4" ht="15">
      <c r="A157" s="1078" t="s">
        <v>6687</v>
      </c>
      <c r="B157" t="s">
        <v>1671</v>
      </c>
      <c r="C157" s="1078" t="s">
        <v>2154</v>
      </c>
      <c r="D157" s="91">
        <v>0</v>
      </c>
    </row>
    <row r="158" spans="1:4" ht="15">
      <c r="A158" s="1078" t="s">
        <v>5804</v>
      </c>
      <c r="B158" t="s">
        <v>795</v>
      </c>
      <c r="C158" s="1078" t="s">
        <v>1029</v>
      </c>
      <c r="D158" s="91">
        <v>0</v>
      </c>
    </row>
    <row r="159" spans="1:4" ht="15">
      <c r="A159" s="1078" t="s">
        <v>6688</v>
      </c>
      <c r="B159" t="s">
        <v>796</v>
      </c>
      <c r="C159" s="1078" t="s">
        <v>2156</v>
      </c>
      <c r="D159" s="91">
        <v>7458.5534486367087</v>
      </c>
    </row>
    <row r="160" spans="1:4" ht="15">
      <c r="A160" s="1078" t="s">
        <v>5805</v>
      </c>
      <c r="B160" t="s">
        <v>815</v>
      </c>
      <c r="C160" s="1078" t="s">
        <v>2157</v>
      </c>
      <c r="D160" s="91">
        <v>17334.93658618004</v>
      </c>
    </row>
    <row r="161" spans="1:4" ht="15">
      <c r="A161" s="1078" t="s">
        <v>4389</v>
      </c>
      <c r="B161" t="s">
        <v>577</v>
      </c>
      <c r="C161" s="1078" t="s">
        <v>1168</v>
      </c>
      <c r="D161" s="91">
        <v>0</v>
      </c>
    </row>
    <row r="162" spans="1:4" ht="15">
      <c r="A162" s="1078" t="s">
        <v>3445</v>
      </c>
      <c r="B162" t="s">
        <v>2368</v>
      </c>
      <c r="C162" s="1078" t="s">
        <v>84</v>
      </c>
      <c r="D162" s="91">
        <v>0</v>
      </c>
    </row>
    <row r="163" spans="1:4" ht="15">
      <c r="A163" s="1078" t="s">
        <v>5806</v>
      </c>
      <c r="B163" t="s">
        <v>816</v>
      </c>
      <c r="C163" s="1078" t="s">
        <v>1030</v>
      </c>
      <c r="D163" s="91">
        <v>5984.9849254036571</v>
      </c>
    </row>
    <row r="164" spans="1:4" ht="15">
      <c r="A164" s="1078" t="s">
        <v>3446</v>
      </c>
      <c r="B164" t="s">
        <v>584</v>
      </c>
      <c r="C164" s="1078" t="s">
        <v>1957</v>
      </c>
      <c r="D164" s="91">
        <v>0</v>
      </c>
    </row>
    <row r="165" spans="1:4" ht="15">
      <c r="A165" s="1078" t="s">
        <v>3447</v>
      </c>
      <c r="B165" t="s">
        <v>1641</v>
      </c>
      <c r="C165" s="1078" t="s">
        <v>1056</v>
      </c>
      <c r="D165" s="91">
        <v>0</v>
      </c>
    </row>
    <row r="166" spans="1:4" ht="15">
      <c r="A166" s="1078" t="s">
        <v>3448</v>
      </c>
      <c r="B166" t="s">
        <v>2502</v>
      </c>
      <c r="C166" s="1078" t="s">
        <v>658</v>
      </c>
      <c r="D166" s="91">
        <v>0</v>
      </c>
    </row>
    <row r="167" spans="1:4" ht="15">
      <c r="A167" s="1078" t="s">
        <v>3449</v>
      </c>
      <c r="B167" t="s">
        <v>1687</v>
      </c>
      <c r="C167" s="1078" t="s">
        <v>108</v>
      </c>
      <c r="D167" s="91">
        <v>0</v>
      </c>
    </row>
    <row r="168" spans="1:4" ht="15">
      <c r="A168" s="1078" t="s">
        <v>3450</v>
      </c>
      <c r="B168" t="s">
        <v>1425</v>
      </c>
      <c r="C168" s="1078" t="s">
        <v>1477</v>
      </c>
      <c r="D168" s="91">
        <v>0</v>
      </c>
    </row>
    <row r="169" spans="1:4" ht="15">
      <c r="A169" s="1078" t="s">
        <v>3451</v>
      </c>
      <c r="B169" t="s">
        <v>2530</v>
      </c>
      <c r="C169" s="1078" t="s">
        <v>820</v>
      </c>
      <c r="D169" s="91">
        <v>0</v>
      </c>
    </row>
    <row r="170" spans="1:4" ht="15">
      <c r="A170" s="1078" t="s">
        <v>3452</v>
      </c>
      <c r="B170" t="s">
        <v>649</v>
      </c>
      <c r="C170" s="1078" t="s">
        <v>2199</v>
      </c>
      <c r="D170" s="91">
        <v>0</v>
      </c>
    </row>
    <row r="171" spans="1:4" ht="15">
      <c r="A171" s="1078" t="s">
        <v>5807</v>
      </c>
      <c r="B171" t="s">
        <v>650</v>
      </c>
      <c r="C171" s="1078" t="s">
        <v>2200</v>
      </c>
      <c r="D171" s="91">
        <v>0</v>
      </c>
    </row>
    <row r="172" spans="1:4" ht="15">
      <c r="A172" s="1078" t="s">
        <v>3453</v>
      </c>
      <c r="B172" t="s">
        <v>218</v>
      </c>
      <c r="C172" s="1078" t="s">
        <v>74</v>
      </c>
      <c r="D172" s="91">
        <v>0</v>
      </c>
    </row>
    <row r="173" spans="1:4" ht="15">
      <c r="A173" s="1078" t="s">
        <v>3454</v>
      </c>
      <c r="B173" t="s">
        <v>1583</v>
      </c>
      <c r="C173" s="1078" t="s">
        <v>76</v>
      </c>
      <c r="D173" s="91">
        <v>0</v>
      </c>
    </row>
    <row r="174" spans="1:4" ht="15">
      <c r="A174" s="1078" t="s">
        <v>3455</v>
      </c>
      <c r="B174" t="s">
        <v>1184</v>
      </c>
      <c r="C174" s="1078" t="s">
        <v>1132</v>
      </c>
      <c r="D174" s="91">
        <v>0</v>
      </c>
    </row>
    <row r="175" spans="1:4" ht="15">
      <c r="A175" s="1078" t="s">
        <v>3456</v>
      </c>
      <c r="B175" t="s">
        <v>878</v>
      </c>
      <c r="C175" s="1078" t="s">
        <v>1345</v>
      </c>
      <c r="D175" s="91">
        <v>0</v>
      </c>
    </row>
    <row r="176" spans="1:4" ht="15">
      <c r="A176" s="1078" t="s">
        <v>3457</v>
      </c>
      <c r="B176" t="s">
        <v>1438</v>
      </c>
      <c r="C176" s="1078" t="s">
        <v>1551</v>
      </c>
      <c r="D176" s="91">
        <v>0</v>
      </c>
    </row>
    <row r="177" spans="1:4" ht="15">
      <c r="A177" s="1078" t="s">
        <v>5808</v>
      </c>
      <c r="B177" t="s">
        <v>253</v>
      </c>
      <c r="C177" s="1078" t="s">
        <v>2201</v>
      </c>
      <c r="D177" s="91">
        <v>0</v>
      </c>
    </row>
    <row r="178" spans="1:4" ht="15">
      <c r="A178" s="1078" t="s">
        <v>6689</v>
      </c>
      <c r="B178" t="s">
        <v>254</v>
      </c>
      <c r="C178" s="1078" t="s">
        <v>2202</v>
      </c>
      <c r="D178" s="91">
        <v>0</v>
      </c>
    </row>
    <row r="179" spans="1:4" ht="15">
      <c r="A179" s="1078" t="s">
        <v>3458</v>
      </c>
      <c r="B179" t="s">
        <v>1436</v>
      </c>
      <c r="C179" s="1078" t="s">
        <v>1549</v>
      </c>
      <c r="D179" s="91">
        <v>0</v>
      </c>
    </row>
    <row r="180" spans="1:4" ht="15">
      <c r="A180" s="1078" t="s">
        <v>5809</v>
      </c>
      <c r="B180" t="s">
        <v>589</v>
      </c>
      <c r="C180" s="1078" t="s">
        <v>1031</v>
      </c>
      <c r="D180" s="91">
        <v>0</v>
      </c>
    </row>
    <row r="181" spans="1:4" ht="15">
      <c r="A181" s="1078" t="s">
        <v>5810</v>
      </c>
      <c r="B181" t="s">
        <v>27</v>
      </c>
      <c r="C181" s="1078" t="s">
        <v>2205</v>
      </c>
      <c r="D181" s="91">
        <v>0</v>
      </c>
    </row>
    <row r="182" spans="1:4" ht="15">
      <c r="A182" s="1078" t="s">
        <v>3459</v>
      </c>
      <c r="B182" t="s">
        <v>28</v>
      </c>
      <c r="C182" s="1078" t="s">
        <v>2206</v>
      </c>
      <c r="D182" s="91">
        <v>0</v>
      </c>
    </row>
    <row r="183" spans="1:4" ht="15">
      <c r="A183" s="1078" t="s">
        <v>5811</v>
      </c>
      <c r="B183" t="s">
        <v>1265</v>
      </c>
      <c r="C183" s="1078" t="s">
        <v>2207</v>
      </c>
      <c r="D183" s="91">
        <v>0</v>
      </c>
    </row>
    <row r="184" spans="1:4" ht="15">
      <c r="A184" s="1078" t="s">
        <v>3460</v>
      </c>
      <c r="B184" t="s">
        <v>2315</v>
      </c>
      <c r="C184" s="1078" t="s">
        <v>2208</v>
      </c>
      <c r="D184" s="91">
        <v>0</v>
      </c>
    </row>
    <row r="185" spans="1:4" ht="15">
      <c r="A185" s="1078" t="s">
        <v>3461</v>
      </c>
      <c r="B185" t="s">
        <v>2409</v>
      </c>
      <c r="C185" s="1078" t="s">
        <v>2665</v>
      </c>
      <c r="D185" s="91">
        <v>0</v>
      </c>
    </row>
    <row r="186" spans="1:4" ht="15">
      <c r="A186" s="1078" t="s">
        <v>3462</v>
      </c>
      <c r="B186" t="s">
        <v>2342</v>
      </c>
      <c r="C186" s="1078" t="s">
        <v>1733</v>
      </c>
      <c r="D186" s="91">
        <v>0</v>
      </c>
    </row>
    <row r="187" spans="1:4" ht="15">
      <c r="A187" s="1078" t="s">
        <v>3463</v>
      </c>
      <c r="B187" t="s">
        <v>2316</v>
      </c>
      <c r="C187" s="1078" t="s">
        <v>2209</v>
      </c>
      <c r="D187" s="91">
        <v>0</v>
      </c>
    </row>
    <row r="188" spans="1:4" ht="15">
      <c r="A188" s="1078" t="s">
        <v>6690</v>
      </c>
      <c r="B188" t="s">
        <v>2317</v>
      </c>
      <c r="C188" s="1078" t="s">
        <v>1032</v>
      </c>
      <c r="D188" s="91">
        <v>0</v>
      </c>
    </row>
    <row r="189" spans="1:4" ht="15">
      <c r="A189" s="1078" t="s">
        <v>5812</v>
      </c>
      <c r="B189" t="s">
        <v>300</v>
      </c>
      <c r="C189" s="1078" t="s">
        <v>2211</v>
      </c>
      <c r="D189" s="91">
        <v>0</v>
      </c>
    </row>
    <row r="190" spans="1:4" ht="15">
      <c r="A190" s="1078" t="s">
        <v>3464</v>
      </c>
      <c r="B190" t="s">
        <v>1427</v>
      </c>
      <c r="C190" s="1078" t="s">
        <v>1479</v>
      </c>
      <c r="D190" s="91">
        <v>0</v>
      </c>
    </row>
    <row r="191" spans="1:4" ht="15">
      <c r="A191" s="1078" t="s">
        <v>5813</v>
      </c>
      <c r="B191" t="s">
        <v>301</v>
      </c>
      <c r="C191" s="1078" t="s">
        <v>2212</v>
      </c>
      <c r="D191" s="91">
        <v>171570.85454004628</v>
      </c>
    </row>
    <row r="192" spans="1:4" ht="15">
      <c r="A192" s="1078" t="s">
        <v>3465</v>
      </c>
      <c r="B192" t="s">
        <v>2503</v>
      </c>
      <c r="C192" s="1078" t="s">
        <v>2364</v>
      </c>
      <c r="D192" s="91">
        <v>0</v>
      </c>
    </row>
    <row r="193" spans="1:4" ht="15">
      <c r="A193" s="1078" t="s">
        <v>5814</v>
      </c>
      <c r="B193" t="s">
        <v>302</v>
      </c>
      <c r="C193" s="1078" t="s">
        <v>2213</v>
      </c>
      <c r="D193" s="91">
        <v>0</v>
      </c>
    </row>
    <row r="194" spans="1:4" ht="15">
      <c r="A194" s="1078" t="s">
        <v>3466</v>
      </c>
      <c r="B194" t="s">
        <v>303</v>
      </c>
      <c r="C194" s="1078" t="s">
        <v>2214</v>
      </c>
      <c r="D194" s="91">
        <v>214721.70804405908</v>
      </c>
    </row>
    <row r="195" spans="1:4" ht="15">
      <c r="A195" s="1078" t="s">
        <v>5815</v>
      </c>
      <c r="B195" t="s">
        <v>304</v>
      </c>
      <c r="C195" s="1078" t="s">
        <v>2215</v>
      </c>
      <c r="D195" s="91">
        <v>0</v>
      </c>
    </row>
    <row r="196" spans="1:4" ht="15">
      <c r="A196" s="1078" t="s">
        <v>6691</v>
      </c>
      <c r="B196" t="s">
        <v>1743</v>
      </c>
      <c r="C196" s="1078" t="s">
        <v>2216</v>
      </c>
      <c r="D196" s="91">
        <v>12967.789007993286</v>
      </c>
    </row>
    <row r="197" spans="1:4" ht="15">
      <c r="A197" s="1078" t="s">
        <v>6692</v>
      </c>
      <c r="B197" t="s">
        <v>1744</v>
      </c>
      <c r="C197" s="1078" t="s">
        <v>2217</v>
      </c>
      <c r="D197" s="91">
        <v>63.690584501232095</v>
      </c>
    </row>
    <row r="198" spans="1:4" ht="15">
      <c r="A198" s="1078" t="s">
        <v>6693</v>
      </c>
      <c r="B198" t="s">
        <v>1316</v>
      </c>
      <c r="C198" s="1078" t="s">
        <v>2218</v>
      </c>
      <c r="D198" s="91">
        <v>0</v>
      </c>
    </row>
    <row r="199" spans="1:4" ht="15">
      <c r="A199" s="1078" t="s">
        <v>5816</v>
      </c>
      <c r="B199" t="s">
        <v>1107</v>
      </c>
      <c r="C199" s="1078" t="s">
        <v>2219</v>
      </c>
      <c r="D199" s="91">
        <v>0</v>
      </c>
    </row>
    <row r="200" spans="1:4" ht="15">
      <c r="A200" s="1078" t="s">
        <v>3467</v>
      </c>
      <c r="B200" t="s">
        <v>2148</v>
      </c>
      <c r="C200" s="1078" t="s">
        <v>261</v>
      </c>
      <c r="D200" s="91">
        <v>0</v>
      </c>
    </row>
    <row r="201" spans="1:4" ht="15">
      <c r="A201" s="1078" t="s">
        <v>5817</v>
      </c>
      <c r="B201" t="s">
        <v>1108</v>
      </c>
      <c r="C201" s="1078" t="s">
        <v>2220</v>
      </c>
      <c r="D201" s="91">
        <v>0</v>
      </c>
    </row>
    <row r="202" spans="1:4" ht="15">
      <c r="A202" s="1078" t="s">
        <v>3468</v>
      </c>
      <c r="B202" t="s">
        <v>2398</v>
      </c>
      <c r="C202" s="1078" t="s">
        <v>2573</v>
      </c>
      <c r="D202" s="91">
        <v>0</v>
      </c>
    </row>
    <row r="203" spans="1:4" ht="15">
      <c r="A203" s="1078" t="s">
        <v>6694</v>
      </c>
      <c r="B203" t="s">
        <v>1109</v>
      </c>
      <c r="C203" s="1078" t="s">
        <v>2221</v>
      </c>
      <c r="D203" s="91">
        <v>30538.670259484708</v>
      </c>
    </row>
    <row r="204" spans="1:4" ht="15">
      <c r="A204" s="1078" t="s">
        <v>5818</v>
      </c>
      <c r="B204" t="s">
        <v>681</v>
      </c>
      <c r="C204" s="1078" t="s">
        <v>2222</v>
      </c>
      <c r="D204" s="91">
        <v>0</v>
      </c>
    </row>
    <row r="205" spans="1:4" ht="15">
      <c r="A205" s="1078" t="s">
        <v>6695</v>
      </c>
      <c r="B205" t="s">
        <v>682</v>
      </c>
      <c r="C205" s="1078" t="s">
        <v>3913</v>
      </c>
      <c r="D205" s="91">
        <v>0</v>
      </c>
    </row>
    <row r="206" spans="1:4" ht="15">
      <c r="A206" s="1078" t="s">
        <v>6696</v>
      </c>
      <c r="B206" t="s">
        <v>683</v>
      </c>
      <c r="C206" s="1078" t="s">
        <v>1034</v>
      </c>
      <c r="D206" s="91">
        <v>0</v>
      </c>
    </row>
    <row r="207" spans="1:4" ht="15">
      <c r="A207" s="1078" t="s">
        <v>6697</v>
      </c>
      <c r="B207" t="s">
        <v>684</v>
      </c>
      <c r="C207" s="1078" t="s">
        <v>664</v>
      </c>
      <c r="D207" s="91">
        <v>25995.408565063484</v>
      </c>
    </row>
    <row r="208" spans="1:4" ht="15">
      <c r="A208" s="1078" t="s">
        <v>6698</v>
      </c>
      <c r="B208" t="s">
        <v>392</v>
      </c>
      <c r="C208" s="1078" t="s">
        <v>665</v>
      </c>
      <c r="D208" s="91">
        <v>37841.857282292651</v>
      </c>
    </row>
    <row r="209" spans="1:4" ht="15">
      <c r="A209" s="1078" t="s">
        <v>5819</v>
      </c>
      <c r="B209" t="s">
        <v>2559</v>
      </c>
      <c r="C209" s="1078" t="s">
        <v>122</v>
      </c>
      <c r="D209" s="91">
        <v>0</v>
      </c>
    </row>
    <row r="210" spans="1:4" ht="15">
      <c r="A210" s="1078" t="s">
        <v>5820</v>
      </c>
      <c r="B210" t="s">
        <v>2560</v>
      </c>
      <c r="C210" s="1078" t="s">
        <v>123</v>
      </c>
      <c r="D210" s="91">
        <v>0</v>
      </c>
    </row>
    <row r="211" spans="1:4" ht="15">
      <c r="A211" s="1078" t="s">
        <v>6699</v>
      </c>
      <c r="B211" t="s">
        <v>2561</v>
      </c>
      <c r="C211" s="1078" t="s">
        <v>124</v>
      </c>
      <c r="D211" s="91">
        <v>0</v>
      </c>
    </row>
    <row r="212" spans="1:4" ht="15">
      <c r="A212" s="1078" t="s">
        <v>5821</v>
      </c>
      <c r="B212" t="s">
        <v>1642</v>
      </c>
      <c r="C212" s="1078" t="s">
        <v>125</v>
      </c>
      <c r="D212" s="91">
        <v>0</v>
      </c>
    </row>
    <row r="213" spans="1:4" ht="15">
      <c r="A213" s="1078" t="s">
        <v>5822</v>
      </c>
      <c r="B213" t="s">
        <v>385</v>
      </c>
      <c r="C213" s="1078" t="s">
        <v>126</v>
      </c>
      <c r="D213" s="91">
        <v>0</v>
      </c>
    </row>
    <row r="214" spans="1:4" ht="15">
      <c r="A214" s="1078" t="s">
        <v>5823</v>
      </c>
      <c r="B214" t="s">
        <v>386</v>
      </c>
      <c r="C214" s="1078" t="s">
        <v>127</v>
      </c>
      <c r="D214" s="91">
        <v>0</v>
      </c>
    </row>
    <row r="215" spans="1:4" ht="15">
      <c r="A215" s="1078" t="s">
        <v>3469</v>
      </c>
      <c r="B215" t="s">
        <v>387</v>
      </c>
      <c r="C215" s="1078" t="s">
        <v>128</v>
      </c>
      <c r="D215" s="91">
        <v>0</v>
      </c>
    </row>
    <row r="216" spans="1:4" ht="15">
      <c r="A216" s="1078" t="s">
        <v>5824</v>
      </c>
      <c r="B216" t="s">
        <v>388</v>
      </c>
      <c r="C216" s="1078" t="s">
        <v>129</v>
      </c>
      <c r="D216" s="91">
        <v>0</v>
      </c>
    </row>
    <row r="217" spans="1:4" ht="15">
      <c r="A217" s="1078" t="s">
        <v>3470</v>
      </c>
      <c r="B217" t="s">
        <v>2578</v>
      </c>
      <c r="C217" s="1078" t="s">
        <v>1482</v>
      </c>
      <c r="D217" s="91">
        <v>0</v>
      </c>
    </row>
    <row r="218" spans="1:4" ht="15">
      <c r="A218" s="1078" t="s">
        <v>3471</v>
      </c>
      <c r="B218" t="s">
        <v>666</v>
      </c>
      <c r="C218" s="1078" t="s">
        <v>863</v>
      </c>
      <c r="D218" s="91">
        <v>0</v>
      </c>
    </row>
    <row r="219" spans="1:4" ht="15">
      <c r="A219" s="1078" t="s">
        <v>5825</v>
      </c>
      <c r="B219" t="s">
        <v>533</v>
      </c>
      <c r="C219" s="1078" t="s">
        <v>130</v>
      </c>
      <c r="D219" s="91">
        <v>0</v>
      </c>
    </row>
    <row r="220" spans="1:4" ht="15">
      <c r="A220" s="1078" t="s">
        <v>3472</v>
      </c>
      <c r="B220" t="s">
        <v>41</v>
      </c>
      <c r="C220" s="1078" t="s">
        <v>1269</v>
      </c>
      <c r="D220" s="91">
        <v>0</v>
      </c>
    </row>
    <row r="221" spans="1:4" ht="15">
      <c r="A221" s="1078" t="s">
        <v>5826</v>
      </c>
      <c r="B221" t="s">
        <v>1790</v>
      </c>
      <c r="C221" s="1078" t="s">
        <v>131</v>
      </c>
      <c r="D221" s="91">
        <v>0</v>
      </c>
    </row>
    <row r="222" spans="1:4" ht="15">
      <c r="A222" s="1078" t="s">
        <v>3473</v>
      </c>
      <c r="B222" t="s">
        <v>2533</v>
      </c>
      <c r="C222" s="1078" t="s">
        <v>2235</v>
      </c>
      <c r="D222" s="91">
        <v>0</v>
      </c>
    </row>
    <row r="223" spans="1:4" ht="15">
      <c r="A223" s="1078" t="s">
        <v>5827</v>
      </c>
      <c r="B223" t="s">
        <v>1791</v>
      </c>
      <c r="C223" s="1078" t="s">
        <v>2610</v>
      </c>
      <c r="D223" s="91">
        <v>0</v>
      </c>
    </row>
    <row r="224" spans="1:4" ht="15">
      <c r="A224" s="1078" t="s">
        <v>5828</v>
      </c>
      <c r="B224" t="s">
        <v>2688</v>
      </c>
      <c r="C224" s="1078" t="s">
        <v>2611</v>
      </c>
      <c r="D224" s="91">
        <v>0</v>
      </c>
    </row>
    <row r="225" spans="1:4" ht="15">
      <c r="A225" s="1078" t="s">
        <v>5829</v>
      </c>
      <c r="B225" t="s">
        <v>249</v>
      </c>
      <c r="C225" s="1078" t="s">
        <v>2612</v>
      </c>
      <c r="D225" s="91">
        <v>0</v>
      </c>
    </row>
    <row r="226" spans="1:4" ht="15">
      <c r="A226" s="1078" t="s">
        <v>6700</v>
      </c>
      <c r="B226" t="s">
        <v>250</v>
      </c>
      <c r="C226" s="1078" t="s">
        <v>2663</v>
      </c>
      <c r="D226" s="91">
        <v>0</v>
      </c>
    </row>
    <row r="227" spans="1:4" ht="15">
      <c r="A227" s="1078" t="s">
        <v>5830</v>
      </c>
      <c r="B227" t="s">
        <v>251</v>
      </c>
      <c r="C227" s="1078" t="s">
        <v>2613</v>
      </c>
      <c r="D227" s="91">
        <v>0</v>
      </c>
    </row>
    <row r="228" spans="1:4" ht="15">
      <c r="A228" s="1078" t="s">
        <v>6701</v>
      </c>
      <c r="B228" t="s">
        <v>252</v>
      </c>
      <c r="C228" s="1078" t="s">
        <v>2614</v>
      </c>
      <c r="D228" s="91">
        <v>1030201.4768649936</v>
      </c>
    </row>
    <row r="229" spans="1:4" ht="15">
      <c r="A229" s="1078" t="s">
        <v>5831</v>
      </c>
      <c r="B229" t="s">
        <v>374</v>
      </c>
      <c r="C229" s="1078" t="s">
        <v>2615</v>
      </c>
      <c r="D229" s="91">
        <v>0</v>
      </c>
    </row>
    <row r="230" spans="1:4" ht="15">
      <c r="A230" s="1078" t="s">
        <v>4508</v>
      </c>
      <c r="B230" t="s">
        <v>1864</v>
      </c>
      <c r="C230" s="1078" t="s">
        <v>2372</v>
      </c>
      <c r="D230" s="91">
        <v>701661.79929066449</v>
      </c>
    </row>
    <row r="231" spans="1:4" ht="15">
      <c r="A231" s="1078" t="s">
        <v>6702</v>
      </c>
      <c r="B231" t="s">
        <v>1068</v>
      </c>
      <c r="C231" s="1078" t="s">
        <v>2616</v>
      </c>
      <c r="D231" s="91">
        <v>0</v>
      </c>
    </row>
    <row r="232" spans="1:4" ht="15">
      <c r="A232" s="1078" t="s">
        <v>3474</v>
      </c>
      <c r="B232" t="s">
        <v>1069</v>
      </c>
      <c r="C232" s="1078" t="s">
        <v>2617</v>
      </c>
      <c r="D232" s="91">
        <v>0</v>
      </c>
    </row>
    <row r="233" spans="1:4" ht="15">
      <c r="A233" s="1078" t="s">
        <v>3475</v>
      </c>
      <c r="B233" t="s">
        <v>640</v>
      </c>
      <c r="C233" s="1078" t="s">
        <v>107</v>
      </c>
      <c r="D233" s="91">
        <v>0</v>
      </c>
    </row>
    <row r="234" spans="1:4" ht="15">
      <c r="A234" s="1078" t="s">
        <v>5832</v>
      </c>
      <c r="B234" t="s">
        <v>1070</v>
      </c>
      <c r="C234" s="1078" t="s">
        <v>2618</v>
      </c>
      <c r="D234" s="91">
        <v>0</v>
      </c>
    </row>
    <row r="235" spans="1:4" ht="15">
      <c r="A235" s="1078" t="s">
        <v>3476</v>
      </c>
      <c r="B235" t="s">
        <v>1770</v>
      </c>
      <c r="C235" s="1078" t="s">
        <v>2466</v>
      </c>
      <c r="D235" s="91">
        <v>0</v>
      </c>
    </row>
    <row r="236" spans="1:4" ht="15">
      <c r="A236" s="1078" t="s">
        <v>4518</v>
      </c>
      <c r="B236" t="s">
        <v>212</v>
      </c>
      <c r="C236" s="1078" t="s">
        <v>1000</v>
      </c>
      <c r="D236" s="91">
        <v>0</v>
      </c>
    </row>
    <row r="237" spans="1:4" ht="15">
      <c r="A237" s="1078" t="s">
        <v>3477</v>
      </c>
      <c r="B237" t="s">
        <v>717</v>
      </c>
      <c r="C237" s="1078" t="s">
        <v>1692</v>
      </c>
      <c r="D237" s="91">
        <v>0</v>
      </c>
    </row>
    <row r="238" spans="1:4" ht="15">
      <c r="A238" s="1078" t="s">
        <v>3478</v>
      </c>
      <c r="B238" t="s">
        <v>214</v>
      </c>
      <c r="C238" s="1078" t="s">
        <v>1002</v>
      </c>
      <c r="D238" s="91">
        <v>0</v>
      </c>
    </row>
    <row r="239" spans="1:4" ht="15">
      <c r="A239" s="1078" t="s">
        <v>3479</v>
      </c>
      <c r="B239" t="s">
        <v>1680</v>
      </c>
      <c r="C239" s="1078" t="s">
        <v>2116</v>
      </c>
      <c r="D239" s="91">
        <v>0</v>
      </c>
    </row>
    <row r="240" spans="1:4" ht="15">
      <c r="A240" s="1078" t="s">
        <v>3480</v>
      </c>
      <c r="B240" t="s">
        <v>490</v>
      </c>
      <c r="C240" s="1078" t="s">
        <v>2060</v>
      </c>
      <c r="D240" s="91">
        <v>0</v>
      </c>
    </row>
    <row r="241" spans="1:4" ht="15">
      <c r="A241" s="1078" t="s">
        <v>5833</v>
      </c>
      <c r="B241" t="s">
        <v>1838</v>
      </c>
      <c r="C241" s="1078" t="s">
        <v>2619</v>
      </c>
      <c r="D241" s="91">
        <v>0</v>
      </c>
    </row>
    <row r="242" spans="1:4" ht="15">
      <c r="A242" s="1078" t="s">
        <v>3481</v>
      </c>
      <c r="B242" t="s">
        <v>1410</v>
      </c>
      <c r="C242" s="1078" t="s">
        <v>1256</v>
      </c>
      <c r="D242" s="91">
        <v>0</v>
      </c>
    </row>
    <row r="243" spans="1:4" ht="15">
      <c r="A243" s="1078" t="s">
        <v>3482</v>
      </c>
      <c r="B243" t="s">
        <v>61</v>
      </c>
      <c r="C243" s="1078" t="s">
        <v>2300</v>
      </c>
      <c r="D243" s="91">
        <v>0</v>
      </c>
    </row>
    <row r="244" spans="1:4" ht="15">
      <c r="A244" s="1078" t="s">
        <v>3483</v>
      </c>
      <c r="B244" t="s">
        <v>641</v>
      </c>
      <c r="C244" s="1078" t="s">
        <v>1567</v>
      </c>
      <c r="D244" s="91">
        <v>0</v>
      </c>
    </row>
    <row r="245" spans="1:4" ht="15">
      <c r="A245" s="1078" t="s">
        <v>3484</v>
      </c>
      <c r="B245" t="s">
        <v>2504</v>
      </c>
      <c r="C245" s="1078" t="s">
        <v>421</v>
      </c>
      <c r="D245" s="91">
        <v>141413.84528314095</v>
      </c>
    </row>
    <row r="246" spans="1:4" ht="15">
      <c r="A246" s="1078" t="s">
        <v>5834</v>
      </c>
      <c r="B246" t="s">
        <v>1839</v>
      </c>
      <c r="C246" s="1078" t="s">
        <v>2620</v>
      </c>
      <c r="D246" s="91">
        <v>35134.524936562251</v>
      </c>
    </row>
    <row r="247" spans="1:4" ht="15">
      <c r="A247" s="1078" t="s">
        <v>3485</v>
      </c>
      <c r="B247" t="s">
        <v>1185</v>
      </c>
      <c r="C247" s="1078" t="s">
        <v>2196</v>
      </c>
      <c r="D247" s="91">
        <v>580236.18244349351</v>
      </c>
    </row>
    <row r="248" spans="1:4" ht="15">
      <c r="A248" s="1078" t="s">
        <v>5835</v>
      </c>
      <c r="B248" t="s">
        <v>1840</v>
      </c>
      <c r="C248" s="1078" t="s">
        <v>2621</v>
      </c>
      <c r="D248" s="91">
        <v>245023.46862937632</v>
      </c>
    </row>
    <row r="249" spans="1:4" ht="15">
      <c r="A249" s="1078" t="s">
        <v>6703</v>
      </c>
      <c r="B249" t="s">
        <v>698</v>
      </c>
      <c r="C249" s="1078" t="s">
        <v>2622</v>
      </c>
      <c r="D249" s="91">
        <v>0</v>
      </c>
    </row>
    <row r="250" spans="1:4" ht="15">
      <c r="A250" s="1078" t="s">
        <v>6704</v>
      </c>
      <c r="B250" t="s">
        <v>299</v>
      </c>
      <c r="C250" s="1078" t="s">
        <v>2623</v>
      </c>
      <c r="D250" s="91">
        <v>0</v>
      </c>
    </row>
    <row r="251" spans="1:4" ht="15">
      <c r="A251" s="1078" t="s">
        <v>5836</v>
      </c>
      <c r="B251" t="s">
        <v>175</v>
      </c>
      <c r="C251" s="1078" t="s">
        <v>2624</v>
      </c>
      <c r="D251" s="91">
        <v>0</v>
      </c>
    </row>
    <row r="252" spans="1:4" ht="15">
      <c r="A252" s="1078" t="s">
        <v>6705</v>
      </c>
      <c r="B252" t="s">
        <v>176</v>
      </c>
      <c r="C252" s="1078" t="s">
        <v>2625</v>
      </c>
      <c r="D252" s="91">
        <v>0</v>
      </c>
    </row>
    <row r="253" spans="1:4" ht="15">
      <c r="A253" s="1078" t="s">
        <v>3486</v>
      </c>
      <c r="B253" t="s">
        <v>718</v>
      </c>
      <c r="C253" s="1078" t="s">
        <v>30</v>
      </c>
      <c r="D253" s="91">
        <v>1248078.7638684318</v>
      </c>
    </row>
    <row r="254" spans="1:4" ht="15">
      <c r="A254" s="1078" t="s">
        <v>6706</v>
      </c>
      <c r="B254" t="s">
        <v>2629</v>
      </c>
      <c r="C254" s="1078" t="s">
        <v>1958</v>
      </c>
      <c r="D254" s="91">
        <v>0</v>
      </c>
    </row>
    <row r="255" spans="1:4" ht="15">
      <c r="A255" s="1078" t="s">
        <v>3487</v>
      </c>
      <c r="B255" t="s">
        <v>1556</v>
      </c>
      <c r="C255" s="1078" t="s">
        <v>2370</v>
      </c>
      <c r="D255" s="91">
        <v>0</v>
      </c>
    </row>
    <row r="256" spans="1:4" ht="15">
      <c r="A256" s="1078" t="s">
        <v>6707</v>
      </c>
      <c r="B256" t="s">
        <v>2630</v>
      </c>
      <c r="C256" s="1078" t="s">
        <v>1959</v>
      </c>
      <c r="D256" s="91">
        <v>0</v>
      </c>
    </row>
    <row r="257" spans="1:4" ht="15">
      <c r="A257" s="1078" t="s">
        <v>5837</v>
      </c>
      <c r="B257" t="s">
        <v>2631</v>
      </c>
      <c r="C257" s="1078" t="s">
        <v>1960</v>
      </c>
      <c r="D257" s="91">
        <v>8769.5179796204029</v>
      </c>
    </row>
    <row r="258" spans="1:4" ht="15">
      <c r="A258" s="1078" t="s">
        <v>3488</v>
      </c>
      <c r="B258" t="s">
        <v>719</v>
      </c>
      <c r="C258" s="1078" t="s">
        <v>2030</v>
      </c>
      <c r="D258" s="91">
        <v>0</v>
      </c>
    </row>
    <row r="259" spans="1:4" ht="15">
      <c r="A259" s="1078" t="s">
        <v>5838</v>
      </c>
      <c r="B259" t="s">
        <v>678</v>
      </c>
      <c r="C259" s="1078" t="s">
        <v>1961</v>
      </c>
      <c r="D259" s="91">
        <v>81911.399217292899</v>
      </c>
    </row>
    <row r="260" spans="1:4" ht="15">
      <c r="A260" s="1078" t="s">
        <v>4572</v>
      </c>
      <c r="B260" t="s">
        <v>2149</v>
      </c>
      <c r="C260" s="1078" t="s">
        <v>2151</v>
      </c>
      <c r="D260" s="91">
        <v>204926.86815485446</v>
      </c>
    </row>
    <row r="261" spans="1:4" ht="15">
      <c r="A261" s="1078" t="s">
        <v>6708</v>
      </c>
      <c r="B261" t="s">
        <v>2297</v>
      </c>
      <c r="C261" s="1078" t="s">
        <v>1962</v>
      </c>
      <c r="D261" s="91">
        <v>0</v>
      </c>
    </row>
    <row r="262" spans="1:4" ht="15">
      <c r="A262" s="1078" t="s">
        <v>5839</v>
      </c>
      <c r="B262" t="s">
        <v>1788</v>
      </c>
      <c r="C262" s="1078" t="s">
        <v>1963</v>
      </c>
      <c r="D262" s="91">
        <v>0</v>
      </c>
    </row>
    <row r="263" spans="1:4" ht="15">
      <c r="A263" s="1078" t="s">
        <v>6709</v>
      </c>
      <c r="B263" t="s">
        <v>616</v>
      </c>
      <c r="C263" s="1078" t="s">
        <v>1964</v>
      </c>
      <c r="D263" s="91">
        <v>0</v>
      </c>
    </row>
    <row r="264" spans="1:4" ht="15">
      <c r="A264" s="1078" t="s">
        <v>6710</v>
      </c>
      <c r="B264" t="s">
        <v>918</v>
      </c>
      <c r="C264" s="1078" t="s">
        <v>1965</v>
      </c>
      <c r="D264" s="91">
        <v>0</v>
      </c>
    </row>
    <row r="265" spans="1:4" ht="15">
      <c r="A265" s="1078" t="s">
        <v>5840</v>
      </c>
      <c r="B265" t="s">
        <v>2132</v>
      </c>
      <c r="C265" s="1078" t="s">
        <v>1966</v>
      </c>
      <c r="D265" s="91">
        <v>4807792.8170762407</v>
      </c>
    </row>
    <row r="266" spans="1:4" ht="15">
      <c r="A266" s="1078" t="s">
        <v>5841</v>
      </c>
      <c r="B266" t="s">
        <v>2581</v>
      </c>
      <c r="C266" s="1078" t="s">
        <v>1967</v>
      </c>
      <c r="D266" s="91">
        <v>0</v>
      </c>
    </row>
    <row r="267" spans="1:4" ht="15">
      <c r="A267" s="1078" t="s">
        <v>6711</v>
      </c>
      <c r="B267" t="s">
        <v>2393</v>
      </c>
      <c r="C267" s="1078" t="s">
        <v>1968</v>
      </c>
      <c r="D267" s="91">
        <v>0</v>
      </c>
    </row>
    <row r="268" spans="1:4" ht="15">
      <c r="A268" s="1078" t="s">
        <v>3489</v>
      </c>
      <c r="B268" t="s">
        <v>246</v>
      </c>
      <c r="C268" s="1078" t="s">
        <v>2117</v>
      </c>
      <c r="D268" s="91">
        <v>0</v>
      </c>
    </row>
    <row r="269" spans="1:4" ht="15">
      <c r="A269" s="1078" t="s">
        <v>5842</v>
      </c>
      <c r="B269" t="s">
        <v>1405</v>
      </c>
      <c r="C269" s="1078" t="s">
        <v>1969</v>
      </c>
      <c r="D269" s="91">
        <v>0</v>
      </c>
    </row>
    <row r="270" spans="1:4" ht="15">
      <c r="A270" s="1078" t="s">
        <v>3490</v>
      </c>
      <c r="B270" t="s">
        <v>1406</v>
      </c>
      <c r="C270" s="1078" t="s">
        <v>1970</v>
      </c>
      <c r="D270" s="91">
        <v>0</v>
      </c>
    </row>
    <row r="271" spans="1:4" ht="15">
      <c r="A271" s="1078" t="s">
        <v>3491</v>
      </c>
      <c r="B271" t="s">
        <v>720</v>
      </c>
      <c r="C271" s="1078" t="s">
        <v>1270</v>
      </c>
      <c r="D271" s="91">
        <v>0</v>
      </c>
    </row>
    <row r="272" spans="1:4" ht="15">
      <c r="A272" s="1078" t="s">
        <v>5843</v>
      </c>
      <c r="B272" t="s">
        <v>1401</v>
      </c>
      <c r="C272" s="1078" t="s">
        <v>1971</v>
      </c>
      <c r="D272" s="91">
        <v>0</v>
      </c>
    </row>
    <row r="273" spans="1:4" ht="15">
      <c r="A273" s="1078" t="s">
        <v>6712</v>
      </c>
      <c r="B273" t="s">
        <v>932</v>
      </c>
      <c r="C273" s="1078" t="s">
        <v>1972</v>
      </c>
      <c r="D273" s="91">
        <v>0</v>
      </c>
    </row>
    <row r="274" spans="1:4" ht="15">
      <c r="A274" s="1078" t="s">
        <v>3492</v>
      </c>
      <c r="B274" t="s">
        <v>247</v>
      </c>
      <c r="C274" s="1078" t="s">
        <v>1363</v>
      </c>
      <c r="D274" s="91">
        <v>0</v>
      </c>
    </row>
    <row r="275" spans="1:4" ht="15">
      <c r="A275" s="1078" t="s">
        <v>3493</v>
      </c>
      <c r="B275" t="s">
        <v>2084</v>
      </c>
      <c r="C275" s="1078" t="s">
        <v>79</v>
      </c>
      <c r="D275" s="91">
        <v>0</v>
      </c>
    </row>
    <row r="276" spans="1:4" ht="15">
      <c r="A276" s="1078" t="s">
        <v>3494</v>
      </c>
      <c r="B276" t="s">
        <v>343</v>
      </c>
      <c r="C276" s="1078" t="s">
        <v>139</v>
      </c>
      <c r="D276" s="91">
        <v>0</v>
      </c>
    </row>
    <row r="277" spans="1:4" ht="15">
      <c r="A277" s="1078" t="s">
        <v>3495</v>
      </c>
      <c r="B277" t="s">
        <v>721</v>
      </c>
      <c r="C277" s="1078" t="s">
        <v>1992</v>
      </c>
      <c r="D277" s="91">
        <v>0</v>
      </c>
    </row>
    <row r="278" spans="1:4" ht="15">
      <c r="A278" s="1078" t="s">
        <v>3496</v>
      </c>
      <c r="B278" t="s">
        <v>576</v>
      </c>
      <c r="C278" s="1078" t="s">
        <v>1166</v>
      </c>
      <c r="D278" s="91">
        <v>0</v>
      </c>
    </row>
    <row r="279" spans="1:4" ht="15">
      <c r="A279" s="1078" t="s">
        <v>3497</v>
      </c>
      <c r="B279" t="s">
        <v>2413</v>
      </c>
      <c r="C279" s="1078" t="s">
        <v>1973</v>
      </c>
      <c r="D279" s="91">
        <v>0</v>
      </c>
    </row>
    <row r="280" spans="1:4" ht="15">
      <c r="A280" s="1078" t="s">
        <v>3498</v>
      </c>
      <c r="B280" t="s">
        <v>775</v>
      </c>
      <c r="C280" s="1078" t="s">
        <v>892</v>
      </c>
      <c r="D280" s="91">
        <v>0</v>
      </c>
    </row>
    <row r="281" spans="1:4" ht="15">
      <c r="A281" s="1078" t="s">
        <v>4611</v>
      </c>
      <c r="B281" t="s">
        <v>184</v>
      </c>
      <c r="C281" s="1078" t="s">
        <v>2031</v>
      </c>
      <c r="D281" s="91">
        <v>0</v>
      </c>
    </row>
    <row r="282" spans="1:4" ht="15">
      <c r="A282" s="1078" t="s">
        <v>4617</v>
      </c>
      <c r="B282" t="s">
        <v>1186</v>
      </c>
      <c r="C282" s="1078" t="s">
        <v>760</v>
      </c>
      <c r="D282" s="91">
        <v>0</v>
      </c>
    </row>
    <row r="283" spans="1:4" ht="15">
      <c r="A283" s="1078" t="s">
        <v>3499</v>
      </c>
      <c r="B283" t="s">
        <v>2098</v>
      </c>
      <c r="C283" s="1078" t="s">
        <v>132</v>
      </c>
      <c r="D283" s="91">
        <v>0</v>
      </c>
    </row>
    <row r="284" spans="1:4" ht="15">
      <c r="A284" s="1078" t="s">
        <v>3500</v>
      </c>
      <c r="B284" t="s">
        <v>1888</v>
      </c>
      <c r="C284" s="1078" t="s">
        <v>653</v>
      </c>
      <c r="D284" s="91">
        <v>0</v>
      </c>
    </row>
    <row r="285" spans="1:4" ht="15">
      <c r="A285" s="1078" t="s">
        <v>3501</v>
      </c>
      <c r="B285" t="s">
        <v>1517</v>
      </c>
      <c r="C285" s="1078" t="s">
        <v>606</v>
      </c>
      <c r="D285" s="91">
        <v>0</v>
      </c>
    </row>
    <row r="286" spans="1:4" ht="15">
      <c r="A286" s="1078" t="s">
        <v>3502</v>
      </c>
      <c r="B286" t="s">
        <v>1151</v>
      </c>
      <c r="C286" s="1078" t="s">
        <v>1930</v>
      </c>
      <c r="D286" s="91">
        <v>0</v>
      </c>
    </row>
    <row r="287" spans="1:4" ht="15">
      <c r="A287" s="1078" t="s">
        <v>6713</v>
      </c>
      <c r="B287" t="s">
        <v>2414</v>
      </c>
      <c r="C287" s="1078" t="s">
        <v>1974</v>
      </c>
      <c r="D287" s="91">
        <v>2461.7375918582279</v>
      </c>
    </row>
    <row r="288" spans="1:4" ht="15">
      <c r="A288" s="1078" t="s">
        <v>5844</v>
      </c>
      <c r="B288" t="s">
        <v>2415</v>
      </c>
      <c r="C288" s="1078" t="s">
        <v>1975</v>
      </c>
      <c r="D288" s="91">
        <v>0</v>
      </c>
    </row>
    <row r="289" spans="1:4" ht="15">
      <c r="A289" s="1078" t="s">
        <v>3503</v>
      </c>
      <c r="B289" t="s">
        <v>1511</v>
      </c>
      <c r="C289" s="1078" t="s">
        <v>2099</v>
      </c>
      <c r="D289" s="91">
        <v>0</v>
      </c>
    </row>
    <row r="290" spans="1:4" ht="15">
      <c r="A290" s="1078" t="s">
        <v>5845</v>
      </c>
      <c r="B290" t="s">
        <v>1830</v>
      </c>
      <c r="C290" s="1078" t="s">
        <v>1976</v>
      </c>
      <c r="D290" s="91">
        <v>0</v>
      </c>
    </row>
    <row r="291" spans="1:4" ht="15">
      <c r="A291" s="1078" t="s">
        <v>6714</v>
      </c>
      <c r="B291" t="s">
        <v>1831</v>
      </c>
      <c r="C291" s="1078" t="s">
        <v>1977</v>
      </c>
      <c r="D291" s="91">
        <v>0</v>
      </c>
    </row>
    <row r="292" spans="1:4" ht="15">
      <c r="A292" s="1078" t="s">
        <v>3504</v>
      </c>
      <c r="B292" t="s">
        <v>1232</v>
      </c>
      <c r="C292" s="1078" t="s">
        <v>2468</v>
      </c>
      <c r="D292" s="91">
        <v>0</v>
      </c>
    </row>
    <row r="293" spans="1:4" ht="15">
      <c r="A293" s="1078" t="s">
        <v>6715</v>
      </c>
      <c r="B293" t="s">
        <v>1832</v>
      </c>
      <c r="C293" s="1078" t="s">
        <v>1978</v>
      </c>
      <c r="D293" s="91">
        <v>0</v>
      </c>
    </row>
    <row r="294" spans="1:4" ht="15">
      <c r="A294" s="1078" t="s">
        <v>5846</v>
      </c>
      <c r="B294" t="s">
        <v>201</v>
      </c>
      <c r="C294" s="1078" t="s">
        <v>1035</v>
      </c>
      <c r="D294" s="91">
        <v>0</v>
      </c>
    </row>
    <row r="295" spans="1:4" ht="15">
      <c r="A295" s="1078" t="s">
        <v>4653</v>
      </c>
      <c r="B295" t="s">
        <v>1834</v>
      </c>
      <c r="C295" s="1078" t="s">
        <v>2063</v>
      </c>
      <c r="D295" s="91">
        <v>0</v>
      </c>
    </row>
    <row r="296" spans="1:4" ht="15">
      <c r="A296" s="1078" t="s">
        <v>4655</v>
      </c>
      <c r="B296" t="s">
        <v>1842</v>
      </c>
      <c r="C296" s="1078" t="s">
        <v>1332</v>
      </c>
      <c r="D296" s="91">
        <v>0</v>
      </c>
    </row>
    <row r="297" spans="1:4" ht="15">
      <c r="A297" s="1078" t="s">
        <v>6716</v>
      </c>
      <c r="B297" t="s">
        <v>202</v>
      </c>
      <c r="C297" s="1078" t="s">
        <v>1980</v>
      </c>
      <c r="D297" s="91">
        <v>0</v>
      </c>
    </row>
    <row r="298" spans="1:4" ht="15">
      <c r="A298" s="1078" t="s">
        <v>5847</v>
      </c>
      <c r="B298" t="s">
        <v>203</v>
      </c>
      <c r="C298" s="1078" t="s">
        <v>1</v>
      </c>
      <c r="D298" s="91">
        <v>0</v>
      </c>
    </row>
    <row r="299" spans="1:4" ht="15">
      <c r="A299" s="1078" t="s">
        <v>3505</v>
      </c>
      <c r="B299" t="s">
        <v>1233</v>
      </c>
      <c r="C299" s="1078" t="s">
        <v>2180</v>
      </c>
      <c r="D299" s="91">
        <v>0</v>
      </c>
    </row>
    <row r="300" spans="1:4" ht="15">
      <c r="A300" s="1078" t="s">
        <v>3506</v>
      </c>
      <c r="B300" t="s">
        <v>722</v>
      </c>
      <c r="C300" s="1078" t="s">
        <v>1065</v>
      </c>
      <c r="D300" s="91">
        <v>0</v>
      </c>
    </row>
    <row r="301" spans="1:4" ht="15">
      <c r="A301" s="1078" t="s">
        <v>3507</v>
      </c>
      <c r="B301" t="s">
        <v>204</v>
      </c>
      <c r="C301" s="1078" t="s">
        <v>2</v>
      </c>
      <c r="D301" s="91">
        <v>0</v>
      </c>
    </row>
    <row r="302" spans="1:4" ht="15">
      <c r="A302" s="1078" t="s">
        <v>5848</v>
      </c>
      <c r="B302" t="s">
        <v>205</v>
      </c>
      <c r="C302" s="1078" t="s">
        <v>3</v>
      </c>
      <c r="D302" s="91">
        <v>0</v>
      </c>
    </row>
    <row r="303" spans="1:4" ht="15">
      <c r="A303" s="1078" t="s">
        <v>5849</v>
      </c>
      <c r="B303" t="s">
        <v>1741</v>
      </c>
      <c r="C303" s="1078" t="s">
        <v>4</v>
      </c>
      <c r="D303" s="91">
        <v>0</v>
      </c>
    </row>
    <row r="304" spans="1:4" ht="15">
      <c r="A304" s="1078" t="s">
        <v>3508</v>
      </c>
      <c r="B304" t="s">
        <v>1742</v>
      </c>
      <c r="C304" s="1078" t="s">
        <v>5</v>
      </c>
      <c r="D304" s="91">
        <v>0</v>
      </c>
    </row>
    <row r="305" spans="1:4" ht="15">
      <c r="A305" s="1078" t="s">
        <v>3509</v>
      </c>
      <c r="B305" t="s">
        <v>1234</v>
      </c>
      <c r="C305" s="1078" t="s">
        <v>2026</v>
      </c>
      <c r="D305" s="91">
        <v>0</v>
      </c>
    </row>
    <row r="306" spans="1:4" ht="15">
      <c r="A306" s="1078" t="s">
        <v>5850</v>
      </c>
      <c r="B306" t="s">
        <v>2571</v>
      </c>
      <c r="C306" s="1078" t="s">
        <v>461</v>
      </c>
      <c r="D306" s="91">
        <v>156727.57082026292</v>
      </c>
    </row>
    <row r="307" spans="1:4" ht="15">
      <c r="A307" s="1078" t="s">
        <v>6717</v>
      </c>
      <c r="B307" t="s">
        <v>1697</v>
      </c>
      <c r="C307" s="1078" t="s">
        <v>462</v>
      </c>
      <c r="D307" s="91">
        <v>0</v>
      </c>
    </row>
    <row r="308" spans="1:4" ht="15">
      <c r="A308" s="1078" t="s">
        <v>5851</v>
      </c>
      <c r="B308" t="s">
        <v>1698</v>
      </c>
      <c r="C308" s="1078" t="s">
        <v>463</v>
      </c>
      <c r="D308" s="91">
        <v>0</v>
      </c>
    </row>
    <row r="309" spans="1:4" ht="15">
      <c r="A309" s="1078" t="s">
        <v>6718</v>
      </c>
      <c r="B309" t="s">
        <v>921</v>
      </c>
      <c r="C309" s="1078" t="s">
        <v>464</v>
      </c>
      <c r="D309" s="91">
        <v>0</v>
      </c>
    </row>
    <row r="310" spans="1:4" ht="15">
      <c r="A310" s="1078" t="s">
        <v>5852</v>
      </c>
      <c r="B310" t="s">
        <v>65</v>
      </c>
      <c r="C310" s="1078" t="s">
        <v>177</v>
      </c>
      <c r="D310" s="91">
        <v>0</v>
      </c>
    </row>
    <row r="311" spans="1:4" ht="15">
      <c r="A311" s="1078" t="s">
        <v>6719</v>
      </c>
      <c r="B311" t="s">
        <v>754</v>
      </c>
      <c r="C311" s="1078" t="s">
        <v>1036</v>
      </c>
      <c r="D311" s="91">
        <v>44335.401874850082</v>
      </c>
    </row>
    <row r="312" spans="1:4" ht="15">
      <c r="A312" s="1078" t="s">
        <v>3510</v>
      </c>
      <c r="B312" t="s">
        <v>2505</v>
      </c>
      <c r="C312" s="1078" t="s">
        <v>610</v>
      </c>
      <c r="D312" s="91">
        <v>0</v>
      </c>
    </row>
    <row r="313" spans="1:4" ht="15">
      <c r="A313" s="1078" t="s">
        <v>5853</v>
      </c>
      <c r="B313" t="s">
        <v>627</v>
      </c>
      <c r="C313" s="1078" t="s">
        <v>847</v>
      </c>
      <c r="D313" s="91">
        <v>0</v>
      </c>
    </row>
    <row r="314" spans="1:4" ht="15">
      <c r="A314" s="1078" t="s">
        <v>6720</v>
      </c>
      <c r="B314" t="s">
        <v>628</v>
      </c>
      <c r="C314" s="1078" t="s">
        <v>848</v>
      </c>
      <c r="D314" s="91">
        <v>0</v>
      </c>
    </row>
    <row r="315" spans="1:4" ht="15">
      <c r="A315" s="1078" t="s">
        <v>6721</v>
      </c>
      <c r="B315" t="s">
        <v>629</v>
      </c>
      <c r="C315" s="1078" t="s">
        <v>849</v>
      </c>
      <c r="D315" s="91">
        <v>0</v>
      </c>
    </row>
    <row r="316" spans="1:4" ht="15">
      <c r="A316" s="1078" t="s">
        <v>5854</v>
      </c>
      <c r="B316" t="s">
        <v>630</v>
      </c>
      <c r="C316" s="1078" t="s">
        <v>1037</v>
      </c>
      <c r="D316" s="91">
        <v>0</v>
      </c>
    </row>
    <row r="317" spans="1:4" ht="15">
      <c r="A317" s="1078" t="s">
        <v>3511</v>
      </c>
      <c r="B317" t="s">
        <v>2541</v>
      </c>
      <c r="C317" s="1078" t="s">
        <v>894</v>
      </c>
      <c r="D317" s="91">
        <v>0</v>
      </c>
    </row>
    <row r="318" spans="1:4" ht="15">
      <c r="A318" s="1078" t="s">
        <v>3512</v>
      </c>
      <c r="B318" t="s">
        <v>1422</v>
      </c>
      <c r="C318" s="1078" t="s">
        <v>112</v>
      </c>
      <c r="D318" s="91">
        <v>0</v>
      </c>
    </row>
    <row r="319" spans="1:4" ht="15">
      <c r="A319" s="1078" t="s">
        <v>5855</v>
      </c>
      <c r="B319" t="s">
        <v>2318</v>
      </c>
      <c r="C319" s="1078" t="s">
        <v>1038</v>
      </c>
      <c r="D319" s="91">
        <v>0</v>
      </c>
    </row>
    <row r="320" spans="1:4" ht="15">
      <c r="A320" s="1078" t="s">
        <v>5856</v>
      </c>
      <c r="B320" t="s">
        <v>2013</v>
      </c>
      <c r="C320" s="1078" t="s">
        <v>853</v>
      </c>
      <c r="D320" s="91">
        <v>0</v>
      </c>
    </row>
    <row r="321" spans="1:4" ht="15">
      <c r="A321" s="1078" t="s">
        <v>5857</v>
      </c>
      <c r="B321" t="s">
        <v>1303</v>
      </c>
      <c r="C321" s="1078" t="s">
        <v>854</v>
      </c>
      <c r="D321" s="91">
        <v>0</v>
      </c>
    </row>
    <row r="322" spans="1:4" ht="15">
      <c r="A322" s="1078" t="s">
        <v>5858</v>
      </c>
      <c r="B322" t="s">
        <v>1919</v>
      </c>
      <c r="C322" s="1078" t="s">
        <v>855</v>
      </c>
      <c r="D322" s="91">
        <v>0</v>
      </c>
    </row>
    <row r="323" spans="1:4" ht="15">
      <c r="A323" s="1078" t="s">
        <v>5859</v>
      </c>
      <c r="B323" t="s">
        <v>1924</v>
      </c>
      <c r="C323" s="1078" t="s">
        <v>856</v>
      </c>
      <c r="D323" s="91">
        <v>0</v>
      </c>
    </row>
    <row r="324" spans="1:4" ht="15">
      <c r="A324" s="1078" t="s">
        <v>5860</v>
      </c>
      <c r="B324" t="s">
        <v>1925</v>
      </c>
      <c r="C324" s="1078" t="s">
        <v>857</v>
      </c>
      <c r="D324" s="91">
        <v>0</v>
      </c>
    </row>
    <row r="325" spans="1:4" ht="15">
      <c r="A325" s="1078" t="s">
        <v>3513</v>
      </c>
      <c r="B325" t="s">
        <v>1235</v>
      </c>
      <c r="C325" s="1078" t="s">
        <v>2179</v>
      </c>
      <c r="D325" s="91">
        <v>748036.26487841003</v>
      </c>
    </row>
    <row r="326" spans="1:4" ht="15">
      <c r="A326" s="1078" t="s">
        <v>3514</v>
      </c>
      <c r="B326" t="s">
        <v>2506</v>
      </c>
      <c r="C326" s="1078" t="s">
        <v>2592</v>
      </c>
      <c r="D326" s="91">
        <v>804178.55010739015</v>
      </c>
    </row>
    <row r="327" spans="1:4" ht="15">
      <c r="A327" s="1078" t="s">
        <v>5861</v>
      </c>
      <c r="B327" t="s">
        <v>1926</v>
      </c>
      <c r="C327" s="1078" t="s">
        <v>858</v>
      </c>
      <c r="D327" s="91">
        <v>0</v>
      </c>
    </row>
    <row r="328" spans="1:4" ht="15">
      <c r="A328" s="1078" t="s">
        <v>5862</v>
      </c>
      <c r="B328" t="s">
        <v>2110</v>
      </c>
      <c r="C328" s="1078" t="s">
        <v>531</v>
      </c>
      <c r="D328" s="91">
        <v>0</v>
      </c>
    </row>
    <row r="329" spans="1:4" ht="15">
      <c r="A329" s="1078" t="s">
        <v>5863</v>
      </c>
      <c r="B329" t="s">
        <v>2175</v>
      </c>
      <c r="C329" s="1078" t="s">
        <v>532</v>
      </c>
      <c r="D329" s="91">
        <v>542640.88492392912</v>
      </c>
    </row>
    <row r="330" spans="1:4" ht="15">
      <c r="A330" s="1078" t="s">
        <v>5864</v>
      </c>
      <c r="B330" t="s">
        <v>1993</v>
      </c>
      <c r="C330" s="1078" t="s">
        <v>364</v>
      </c>
      <c r="D330" s="91">
        <v>0</v>
      </c>
    </row>
    <row r="331" spans="1:4" ht="15">
      <c r="A331" s="1078" t="s">
        <v>5865</v>
      </c>
      <c r="B331" t="s">
        <v>2231</v>
      </c>
      <c r="C331" s="1078" t="s">
        <v>365</v>
      </c>
      <c r="D331" s="91">
        <v>0</v>
      </c>
    </row>
    <row r="332" spans="1:4" ht="15">
      <c r="A332" s="1078" t="s">
        <v>5866</v>
      </c>
      <c r="B332" t="s">
        <v>1866</v>
      </c>
      <c r="C332" s="1078" t="s">
        <v>2375</v>
      </c>
      <c r="D332" s="91">
        <v>0</v>
      </c>
    </row>
    <row r="333" spans="1:4" ht="15">
      <c r="A333" s="1078" t="s">
        <v>5867</v>
      </c>
      <c r="B333" t="s">
        <v>762</v>
      </c>
      <c r="C333" s="1078" t="s">
        <v>367</v>
      </c>
      <c r="D333" s="91">
        <v>0</v>
      </c>
    </row>
    <row r="334" spans="1:4" ht="15">
      <c r="A334" s="1078" t="s">
        <v>5868</v>
      </c>
      <c r="B334" t="s">
        <v>2458</v>
      </c>
      <c r="C334" s="1078" t="s">
        <v>368</v>
      </c>
      <c r="D334" s="91">
        <v>0</v>
      </c>
    </row>
    <row r="335" spans="1:4" ht="15">
      <c r="A335" s="1078" t="s">
        <v>3515</v>
      </c>
      <c r="B335" t="s">
        <v>491</v>
      </c>
      <c r="C335" s="1078" t="s">
        <v>85</v>
      </c>
      <c r="D335" s="91">
        <v>0</v>
      </c>
    </row>
    <row r="336" spans="1:4" ht="15">
      <c r="A336" s="1078" t="s">
        <v>5869</v>
      </c>
      <c r="B336" t="s">
        <v>2459</v>
      </c>
      <c r="C336" s="1078" t="s">
        <v>369</v>
      </c>
      <c r="D336" s="91">
        <v>0</v>
      </c>
    </row>
    <row r="337" spans="1:4" ht="15">
      <c r="A337" s="1078" t="s">
        <v>3516</v>
      </c>
      <c r="B337" t="s">
        <v>1424</v>
      </c>
      <c r="C337" s="1078" t="s">
        <v>1476</v>
      </c>
      <c r="D337" s="91">
        <v>0</v>
      </c>
    </row>
    <row r="338" spans="1:4" ht="15">
      <c r="A338" s="1078" t="s">
        <v>5870</v>
      </c>
      <c r="B338" t="s">
        <v>1668</v>
      </c>
      <c r="C338" s="1078" t="s">
        <v>370</v>
      </c>
      <c r="D338" s="91">
        <v>157452.29247117849</v>
      </c>
    </row>
    <row r="339" spans="1:4" ht="15">
      <c r="A339" s="1078" t="s">
        <v>6722</v>
      </c>
      <c r="B339" t="s">
        <v>1669</v>
      </c>
      <c r="C339" s="1078" t="s">
        <v>371</v>
      </c>
      <c r="D339" s="91">
        <v>98640.792746283201</v>
      </c>
    </row>
    <row r="340" spans="1:4" ht="15">
      <c r="A340" s="1078" t="s">
        <v>6723</v>
      </c>
      <c r="B340" t="s">
        <v>1873</v>
      </c>
      <c r="C340" s="1078" t="s">
        <v>1039</v>
      </c>
      <c r="D340" s="91">
        <v>0</v>
      </c>
    </row>
    <row r="341" spans="1:4" ht="15">
      <c r="A341" s="1078" t="s">
        <v>5871</v>
      </c>
      <c r="B341" t="s">
        <v>1451</v>
      </c>
      <c r="C341" s="1078" t="s">
        <v>373</v>
      </c>
      <c r="D341" s="91">
        <v>0</v>
      </c>
    </row>
    <row r="342" spans="1:4" ht="15">
      <c r="A342" s="1078" t="s">
        <v>6724</v>
      </c>
      <c r="B342" t="s">
        <v>2160</v>
      </c>
      <c r="C342" s="1078" t="s">
        <v>1785</v>
      </c>
      <c r="D342" s="91">
        <v>0</v>
      </c>
    </row>
    <row r="343" spans="1:4" ht="15">
      <c r="A343" s="1078" t="s">
        <v>5872</v>
      </c>
      <c r="B343" t="s">
        <v>2161</v>
      </c>
      <c r="C343" s="1078" t="s">
        <v>1786</v>
      </c>
      <c r="D343" s="91">
        <v>67951.581105250123</v>
      </c>
    </row>
    <row r="344" spans="1:4" ht="15">
      <c r="A344" s="1078" t="s">
        <v>5873</v>
      </c>
      <c r="B344" t="s">
        <v>2437</v>
      </c>
      <c r="C344" s="1078" t="s">
        <v>1787</v>
      </c>
      <c r="D344" s="91">
        <v>0</v>
      </c>
    </row>
    <row r="345" spans="1:4" ht="15">
      <c r="A345" s="1078" t="s">
        <v>3517</v>
      </c>
      <c r="B345" t="s">
        <v>906</v>
      </c>
      <c r="C345" s="1078" t="s">
        <v>861</v>
      </c>
      <c r="D345" s="91">
        <v>180221.19392594093</v>
      </c>
    </row>
    <row r="346" spans="1:4" ht="15">
      <c r="A346" s="1078" t="s">
        <v>5874</v>
      </c>
      <c r="B346" t="s">
        <v>2438</v>
      </c>
      <c r="C346" s="1078" t="s">
        <v>1040</v>
      </c>
      <c r="D346" s="91">
        <v>121553.48052060144</v>
      </c>
    </row>
    <row r="347" spans="1:4" ht="15">
      <c r="A347" s="1078" t="s">
        <v>5875</v>
      </c>
      <c r="B347" t="s">
        <v>2439</v>
      </c>
      <c r="C347" s="1078" t="s">
        <v>1441</v>
      </c>
      <c r="D347" s="91">
        <v>74187.950837662429</v>
      </c>
    </row>
    <row r="348" spans="1:4" ht="15">
      <c r="A348" s="1078" t="s">
        <v>5876</v>
      </c>
      <c r="B348" t="s">
        <v>1852</v>
      </c>
      <c r="C348" s="1078" t="s">
        <v>1442</v>
      </c>
      <c r="D348" s="91">
        <v>0</v>
      </c>
    </row>
    <row r="349" spans="1:4" ht="15">
      <c r="A349" s="1078" t="s">
        <v>5877</v>
      </c>
      <c r="B349" t="s">
        <v>1853</v>
      </c>
      <c r="C349" s="1078" t="s">
        <v>1443</v>
      </c>
      <c r="D349" s="91">
        <v>0</v>
      </c>
    </row>
    <row r="350" spans="1:4" ht="15">
      <c r="A350" s="1078" t="s">
        <v>3518</v>
      </c>
      <c r="B350" t="s">
        <v>2021</v>
      </c>
      <c r="C350" s="1078" t="s">
        <v>1364</v>
      </c>
      <c r="D350" s="91">
        <v>800533.71165797871</v>
      </c>
    </row>
    <row r="351" spans="1:4" ht="15">
      <c r="A351" s="1078" t="s">
        <v>5878</v>
      </c>
      <c r="B351" t="s">
        <v>2033</v>
      </c>
      <c r="C351" s="1078" t="s">
        <v>1444</v>
      </c>
      <c r="D351" s="91">
        <v>0</v>
      </c>
    </row>
    <row r="352" spans="1:4" ht="15">
      <c r="A352" s="1078" t="s">
        <v>3519</v>
      </c>
      <c r="B352" t="s">
        <v>1684</v>
      </c>
      <c r="C352" s="1078" t="s">
        <v>1560</v>
      </c>
      <c r="D352" s="91">
        <v>0</v>
      </c>
    </row>
    <row r="353" spans="1:4" ht="15">
      <c r="A353" s="1078" t="s">
        <v>4707</v>
      </c>
      <c r="B353" t="s">
        <v>981</v>
      </c>
      <c r="C353" s="1078" t="s">
        <v>1445</v>
      </c>
      <c r="D353" s="91">
        <v>0</v>
      </c>
    </row>
    <row r="354" spans="1:4" ht="15">
      <c r="A354" s="1078" t="s">
        <v>5879</v>
      </c>
      <c r="B354" t="s">
        <v>982</v>
      </c>
      <c r="C354" s="1078" t="s">
        <v>1446</v>
      </c>
      <c r="D354" s="91">
        <v>0</v>
      </c>
    </row>
    <row r="355" spans="1:4" ht="15">
      <c r="A355" s="1078" t="s">
        <v>3520</v>
      </c>
      <c r="B355" t="s">
        <v>1115</v>
      </c>
      <c r="C355" s="1078" t="s">
        <v>2380</v>
      </c>
      <c r="D355" s="91">
        <v>0</v>
      </c>
    </row>
    <row r="356" spans="1:4" ht="15">
      <c r="A356" s="1078" t="s">
        <v>3521</v>
      </c>
      <c r="B356" t="s">
        <v>793</v>
      </c>
      <c r="C356" s="1078" t="s">
        <v>1648</v>
      </c>
      <c r="D356" s="91">
        <v>0</v>
      </c>
    </row>
    <row r="357" spans="1:4" ht="15">
      <c r="A357" s="1078" t="s">
        <v>5880</v>
      </c>
      <c r="B357" t="s">
        <v>794</v>
      </c>
      <c r="C357" s="1078" t="s">
        <v>1649</v>
      </c>
      <c r="D357" s="91">
        <v>0</v>
      </c>
    </row>
    <row r="358" spans="1:4" ht="15">
      <c r="A358" s="1078" t="s">
        <v>3522</v>
      </c>
      <c r="B358" t="s">
        <v>1236</v>
      </c>
      <c r="C358" s="1078" t="s">
        <v>2365</v>
      </c>
      <c r="D358" s="91">
        <v>0</v>
      </c>
    </row>
    <row r="359" spans="1:4" ht="15">
      <c r="A359" s="1078" t="s">
        <v>3523</v>
      </c>
      <c r="B359" t="s">
        <v>1237</v>
      </c>
      <c r="C359" s="1078" t="s">
        <v>1335</v>
      </c>
      <c r="D359" s="91">
        <v>0</v>
      </c>
    </row>
    <row r="360" spans="1:4" ht="15">
      <c r="A360" s="1078" t="s">
        <v>5881</v>
      </c>
      <c r="B360" t="s">
        <v>1463</v>
      </c>
      <c r="C360" s="1078" t="s">
        <v>1650</v>
      </c>
      <c r="D360" s="91">
        <v>0</v>
      </c>
    </row>
    <row r="361" spans="1:4" ht="15">
      <c r="A361" s="1078" t="s">
        <v>3524</v>
      </c>
      <c r="B361" t="s">
        <v>215</v>
      </c>
      <c r="C361" s="1078" t="s">
        <v>2100</v>
      </c>
      <c r="D361" s="91">
        <v>0</v>
      </c>
    </row>
    <row r="362" spans="1:4" ht="15">
      <c r="A362" s="1078" t="s">
        <v>5882</v>
      </c>
      <c r="B362" t="s">
        <v>2582</v>
      </c>
      <c r="C362" s="1078" t="s">
        <v>1041</v>
      </c>
      <c r="D362" s="91">
        <v>8983.7499456700025</v>
      </c>
    </row>
    <row r="363" spans="1:4" ht="15">
      <c r="A363" s="1078" t="s">
        <v>3525</v>
      </c>
      <c r="B363" t="s">
        <v>1308</v>
      </c>
      <c r="C363" s="1078" t="s">
        <v>1732</v>
      </c>
      <c r="D363" s="91">
        <v>0</v>
      </c>
    </row>
    <row r="364" spans="1:4" ht="15">
      <c r="A364" s="1078" t="s">
        <v>5883</v>
      </c>
      <c r="B364" t="s">
        <v>1286</v>
      </c>
      <c r="C364" s="1078" t="s">
        <v>222</v>
      </c>
      <c r="D364" s="91">
        <v>0</v>
      </c>
    </row>
    <row r="365" spans="1:4" ht="15">
      <c r="A365" s="1078" t="s">
        <v>5884</v>
      </c>
      <c r="B365" t="s">
        <v>1287</v>
      </c>
      <c r="C365" s="1078" t="s">
        <v>223</v>
      </c>
      <c r="D365" s="91">
        <v>126886.1194592955</v>
      </c>
    </row>
    <row r="366" spans="1:4" ht="15">
      <c r="A366" s="1078" t="s">
        <v>5885</v>
      </c>
      <c r="B366" t="s">
        <v>1288</v>
      </c>
      <c r="C366" s="1078" t="s">
        <v>224</v>
      </c>
      <c r="D366" s="91">
        <v>116503.58917673861</v>
      </c>
    </row>
    <row r="367" spans="1:4" ht="15">
      <c r="A367" s="1078" t="s">
        <v>4728</v>
      </c>
      <c r="B367" t="s">
        <v>457</v>
      </c>
      <c r="C367" s="1078" t="s">
        <v>2126</v>
      </c>
      <c r="D367" s="91">
        <v>0</v>
      </c>
    </row>
    <row r="368" spans="1:4" ht="15">
      <c r="A368" s="1078" t="s">
        <v>5886</v>
      </c>
      <c r="B368" t="s">
        <v>2189</v>
      </c>
      <c r="C368" s="1078" t="s">
        <v>225</v>
      </c>
      <c r="D368" s="91">
        <v>0</v>
      </c>
    </row>
    <row r="369" spans="1:4" ht="15">
      <c r="A369" s="1078" t="s">
        <v>5887</v>
      </c>
      <c r="B369" t="s">
        <v>2639</v>
      </c>
      <c r="C369" s="1078" t="s">
        <v>226</v>
      </c>
      <c r="D369" s="91">
        <v>0</v>
      </c>
    </row>
    <row r="370" spans="1:4" ht="15">
      <c r="A370" s="1078" t="s">
        <v>3526</v>
      </c>
      <c r="B370" t="s">
        <v>1509</v>
      </c>
      <c r="C370" s="1078" t="s">
        <v>1936</v>
      </c>
      <c r="D370" s="91">
        <v>0</v>
      </c>
    </row>
    <row r="371" spans="1:4" ht="15">
      <c r="A371" s="1078" t="s">
        <v>5888</v>
      </c>
      <c r="B371" t="s">
        <v>2640</v>
      </c>
      <c r="C371" s="1078" t="s">
        <v>227</v>
      </c>
      <c r="D371" s="91">
        <v>83845.276964875768</v>
      </c>
    </row>
    <row r="372" spans="1:4" ht="15">
      <c r="A372" s="1078" t="s">
        <v>5889</v>
      </c>
      <c r="B372" t="s">
        <v>2641</v>
      </c>
      <c r="C372" s="1078" t="s">
        <v>1042</v>
      </c>
      <c r="D372" s="91">
        <v>0</v>
      </c>
    </row>
    <row r="373" spans="1:4" ht="15">
      <c r="A373" s="1078" t="s">
        <v>3527</v>
      </c>
      <c r="B373" t="s">
        <v>2642</v>
      </c>
      <c r="C373" s="1078" t="s">
        <v>229</v>
      </c>
      <c r="D373" s="91">
        <v>4459.7884283703652</v>
      </c>
    </row>
    <row r="374" spans="1:4" ht="15">
      <c r="A374" s="1078" t="s">
        <v>5890</v>
      </c>
      <c r="B374" t="s">
        <v>2643</v>
      </c>
      <c r="C374" s="1078" t="s">
        <v>230</v>
      </c>
      <c r="D374" s="91">
        <v>0</v>
      </c>
    </row>
    <row r="375" spans="1:4" ht="15">
      <c r="A375" s="1078" t="s">
        <v>6725</v>
      </c>
      <c r="B375" t="s">
        <v>2142</v>
      </c>
      <c r="C375" s="1078" t="s">
        <v>231</v>
      </c>
      <c r="D375" s="91">
        <v>0</v>
      </c>
    </row>
    <row r="376" spans="1:4" ht="15">
      <c r="A376" s="1078" t="s">
        <v>3528</v>
      </c>
      <c r="B376" t="s">
        <v>495</v>
      </c>
      <c r="C376" s="1078" t="s">
        <v>1247</v>
      </c>
      <c r="D376" s="91">
        <v>0</v>
      </c>
    </row>
    <row r="377" spans="1:4" ht="15">
      <c r="A377" s="1078" t="s">
        <v>3529</v>
      </c>
      <c r="B377" t="s">
        <v>493</v>
      </c>
      <c r="C377" s="1078" t="s">
        <v>1245</v>
      </c>
      <c r="D377" s="91">
        <v>0</v>
      </c>
    </row>
    <row r="378" spans="1:4" ht="15">
      <c r="A378" s="1078" t="s">
        <v>3530</v>
      </c>
      <c r="B378" t="s">
        <v>2143</v>
      </c>
      <c r="C378" s="1078" t="s">
        <v>232</v>
      </c>
      <c r="D378" s="91">
        <v>0</v>
      </c>
    </row>
    <row r="379" spans="1:4" ht="15">
      <c r="A379" s="1078" t="s">
        <v>4755</v>
      </c>
      <c r="B379" t="s">
        <v>349</v>
      </c>
      <c r="C379" s="1078" t="s">
        <v>293</v>
      </c>
      <c r="D379" s="91">
        <v>0</v>
      </c>
    </row>
    <row r="380" spans="1:4" ht="15">
      <c r="A380" s="1078" t="s">
        <v>5891</v>
      </c>
      <c r="B380" t="s">
        <v>2144</v>
      </c>
      <c r="C380" s="1078" t="s">
        <v>233</v>
      </c>
      <c r="D380" s="91">
        <v>0</v>
      </c>
    </row>
    <row r="381" spans="1:4" ht="15">
      <c r="A381" s="1078" t="s">
        <v>6726</v>
      </c>
      <c r="B381" t="s">
        <v>2145</v>
      </c>
      <c r="C381" s="1078" t="s">
        <v>234</v>
      </c>
      <c r="D381" s="91">
        <v>7190.7634910747111</v>
      </c>
    </row>
    <row r="382" spans="1:4" ht="15">
      <c r="A382" s="1078" t="s">
        <v>5892</v>
      </c>
      <c r="B382" t="s">
        <v>505</v>
      </c>
      <c r="C382" s="1078" t="s">
        <v>235</v>
      </c>
      <c r="D382" s="91">
        <v>0</v>
      </c>
    </row>
    <row r="383" spans="1:4" ht="15">
      <c r="A383" s="1078" t="s">
        <v>6727</v>
      </c>
      <c r="B383" t="s">
        <v>1955</v>
      </c>
      <c r="C383" s="1078" t="s">
        <v>236</v>
      </c>
      <c r="D383" s="91">
        <v>0</v>
      </c>
    </row>
    <row r="384" spans="1:4" ht="15">
      <c r="A384" s="1078" t="s">
        <v>6728</v>
      </c>
      <c r="B384" t="s">
        <v>2072</v>
      </c>
      <c r="C384" s="1078" t="s">
        <v>237</v>
      </c>
      <c r="D384" s="91">
        <v>0</v>
      </c>
    </row>
    <row r="385" spans="1:4" ht="15">
      <c r="A385" s="1078" t="s">
        <v>6729</v>
      </c>
      <c r="B385" t="s">
        <v>2073</v>
      </c>
      <c r="C385" s="1078" t="s">
        <v>238</v>
      </c>
      <c r="D385" s="91">
        <v>0</v>
      </c>
    </row>
    <row r="386" spans="1:4" ht="15">
      <c r="A386" s="1078" t="s">
        <v>5893</v>
      </c>
      <c r="B386" t="s">
        <v>146</v>
      </c>
      <c r="C386" s="1078" t="s">
        <v>239</v>
      </c>
      <c r="D386" s="91">
        <v>0</v>
      </c>
    </row>
    <row r="387" spans="1:4" ht="15">
      <c r="A387" s="1078" t="s">
        <v>5894</v>
      </c>
      <c r="B387" t="s">
        <v>147</v>
      </c>
      <c r="C387" s="1078" t="s">
        <v>1043</v>
      </c>
      <c r="D387" s="91">
        <v>0</v>
      </c>
    </row>
    <row r="388" spans="1:4" ht="15">
      <c r="A388" s="1078" t="s">
        <v>3531</v>
      </c>
      <c r="B388" t="s">
        <v>2507</v>
      </c>
      <c r="C388" s="1078" t="s">
        <v>2373</v>
      </c>
      <c r="D388" s="91">
        <v>0</v>
      </c>
    </row>
    <row r="389" spans="1:4" ht="15">
      <c r="A389" s="1078" t="s">
        <v>5895</v>
      </c>
      <c r="B389" t="s">
        <v>2344</v>
      </c>
      <c r="C389" s="1078" t="s">
        <v>241</v>
      </c>
      <c r="D389" s="91">
        <v>0</v>
      </c>
    </row>
    <row r="390" spans="1:4" ht="15">
      <c r="A390" s="1078" t="s">
        <v>5896</v>
      </c>
      <c r="B390" t="s">
        <v>1120</v>
      </c>
      <c r="C390" s="1078" t="s">
        <v>1044</v>
      </c>
      <c r="D390" s="91">
        <v>0</v>
      </c>
    </row>
    <row r="391" spans="1:4" ht="15">
      <c r="A391" s="1078" t="s">
        <v>5897</v>
      </c>
      <c r="B391" t="s">
        <v>1121</v>
      </c>
      <c r="C391" s="1078" t="s">
        <v>2596</v>
      </c>
      <c r="D391" s="91">
        <v>58548.534811613674</v>
      </c>
    </row>
    <row r="392" spans="1:4" ht="15">
      <c r="A392" s="1078" t="s">
        <v>5898</v>
      </c>
      <c r="B392" t="s">
        <v>2106</v>
      </c>
      <c r="C392" s="1078" t="s">
        <v>476</v>
      </c>
      <c r="D392" s="91">
        <v>1206.2610700990926</v>
      </c>
    </row>
    <row r="393" spans="1:4" ht="15">
      <c r="A393" s="1078" t="s">
        <v>6730</v>
      </c>
      <c r="B393" t="s">
        <v>2107</v>
      </c>
      <c r="C393" s="1078" t="s">
        <v>477</v>
      </c>
      <c r="D393" s="91">
        <v>0</v>
      </c>
    </row>
    <row r="394" spans="1:4" ht="15">
      <c r="A394" s="1078" t="s">
        <v>5899</v>
      </c>
      <c r="B394" t="s">
        <v>1020</v>
      </c>
      <c r="C394" s="1078" t="s">
        <v>478</v>
      </c>
      <c r="D394" s="91">
        <v>0</v>
      </c>
    </row>
    <row r="395" spans="1:4" ht="15">
      <c r="A395" s="1078" t="s">
        <v>3532</v>
      </c>
      <c r="B395" t="s">
        <v>1148</v>
      </c>
      <c r="C395" s="1078" t="s">
        <v>1494</v>
      </c>
      <c r="D395" s="91">
        <v>0</v>
      </c>
    </row>
    <row r="396" spans="1:4" ht="15">
      <c r="A396" s="1078" t="s">
        <v>5900</v>
      </c>
      <c r="B396" t="s">
        <v>381</v>
      </c>
      <c r="C396" s="1078" t="s">
        <v>479</v>
      </c>
      <c r="D396" s="91">
        <v>1899.6199331920511</v>
      </c>
    </row>
    <row r="397" spans="1:4" ht="15">
      <c r="A397" s="1078" t="s">
        <v>3533</v>
      </c>
      <c r="B397" t="s">
        <v>2285</v>
      </c>
      <c r="C397" s="1078" t="s">
        <v>839</v>
      </c>
      <c r="D397" s="91">
        <v>0</v>
      </c>
    </row>
    <row r="398" spans="1:4" ht="15">
      <c r="A398" s="1078" t="s">
        <v>3534</v>
      </c>
      <c r="B398" t="s">
        <v>1179</v>
      </c>
      <c r="C398" s="1078" t="s">
        <v>297</v>
      </c>
      <c r="D398" s="91">
        <v>0</v>
      </c>
    </row>
    <row r="399" spans="1:4" ht="15">
      <c r="A399" s="1078" t="s">
        <v>3535</v>
      </c>
      <c r="B399" t="s">
        <v>585</v>
      </c>
      <c r="C399" s="1078" t="s">
        <v>699</v>
      </c>
      <c r="D399" s="91">
        <v>0</v>
      </c>
    </row>
    <row r="400" spans="1:4" ht="15">
      <c r="A400" s="1078" t="s">
        <v>3536</v>
      </c>
      <c r="B400" t="s">
        <v>194</v>
      </c>
      <c r="C400" s="1078" t="s">
        <v>1987</v>
      </c>
      <c r="D400" s="91">
        <v>0</v>
      </c>
    </row>
    <row r="401" spans="1:4" ht="15">
      <c r="A401" s="1078" t="s">
        <v>3537</v>
      </c>
      <c r="B401" t="s">
        <v>2313</v>
      </c>
      <c r="C401" s="1078" t="s">
        <v>480</v>
      </c>
      <c r="D401" s="91">
        <v>0</v>
      </c>
    </row>
    <row r="402" spans="1:4" ht="15">
      <c r="A402" s="1078" t="s">
        <v>3538</v>
      </c>
      <c r="B402" t="s">
        <v>2404</v>
      </c>
      <c r="C402" s="1078" t="s">
        <v>418</v>
      </c>
      <c r="D402" s="91">
        <v>0</v>
      </c>
    </row>
    <row r="403" spans="1:4" ht="15">
      <c r="A403" s="1078" t="s">
        <v>5901</v>
      </c>
      <c r="B403" t="s">
        <v>2314</v>
      </c>
      <c r="C403" s="1078" t="s">
        <v>481</v>
      </c>
      <c r="D403" s="91">
        <v>0</v>
      </c>
    </row>
    <row r="404" spans="1:4" ht="15">
      <c r="A404" s="1078" t="s">
        <v>5902</v>
      </c>
      <c r="B404" t="s">
        <v>2166</v>
      </c>
      <c r="C404" s="1078" t="s">
        <v>482</v>
      </c>
      <c r="D404" s="91">
        <v>0</v>
      </c>
    </row>
    <row r="405" spans="1:4" ht="15">
      <c r="A405" s="1078" t="s">
        <v>3539</v>
      </c>
      <c r="B405" t="s">
        <v>1428</v>
      </c>
      <c r="C405" s="1078" t="s">
        <v>1480</v>
      </c>
      <c r="D405" s="91">
        <v>0</v>
      </c>
    </row>
    <row r="406" spans="1:4" ht="15">
      <c r="A406" s="1078" t="s">
        <v>5903</v>
      </c>
      <c r="B406" t="s">
        <v>2020</v>
      </c>
      <c r="C406" s="1078" t="s">
        <v>483</v>
      </c>
      <c r="D406" s="91">
        <v>0</v>
      </c>
    </row>
    <row r="407" spans="1:4" ht="15">
      <c r="A407" s="1078" t="s">
        <v>5904</v>
      </c>
      <c r="B407" t="s">
        <v>2552</v>
      </c>
      <c r="C407" s="1078" t="s">
        <v>484</v>
      </c>
      <c r="D407" s="91">
        <v>0</v>
      </c>
    </row>
    <row r="408" spans="1:4" ht="15">
      <c r="A408" s="1078" t="s">
        <v>3540</v>
      </c>
      <c r="B408" t="s">
        <v>1117</v>
      </c>
      <c r="C408" s="1078" t="s">
        <v>2385</v>
      </c>
      <c r="D408" s="91">
        <v>0</v>
      </c>
    </row>
    <row r="409" spans="1:4" ht="15">
      <c r="A409" s="1078" t="s">
        <v>3541</v>
      </c>
      <c r="B409" t="s">
        <v>48</v>
      </c>
      <c r="C409" s="1078" t="s">
        <v>410</v>
      </c>
      <c r="D409" s="91">
        <v>0</v>
      </c>
    </row>
    <row r="410" spans="1:4" ht="15">
      <c r="A410" s="1078" t="s">
        <v>3542</v>
      </c>
      <c r="B410" t="s">
        <v>55</v>
      </c>
      <c r="C410" s="1078" t="s">
        <v>2585</v>
      </c>
      <c r="D410" s="91">
        <v>0</v>
      </c>
    </row>
    <row r="411" spans="1:4" ht="15">
      <c r="A411" s="1078" t="s">
        <v>5905</v>
      </c>
      <c r="B411" t="s">
        <v>2553</v>
      </c>
      <c r="C411" s="1078" t="s">
        <v>485</v>
      </c>
      <c r="D411" s="91">
        <v>0</v>
      </c>
    </row>
    <row r="412" spans="1:4" ht="15">
      <c r="A412" s="1078" t="s">
        <v>3543</v>
      </c>
      <c r="B412" t="s">
        <v>206</v>
      </c>
      <c r="C412" s="1078" t="s">
        <v>272</v>
      </c>
      <c r="D412" s="91">
        <v>0</v>
      </c>
    </row>
    <row r="413" spans="1:4" ht="15">
      <c r="A413" s="1078" t="s">
        <v>5906</v>
      </c>
      <c r="B413" t="s">
        <v>668</v>
      </c>
      <c r="C413" s="1078" t="s">
        <v>486</v>
      </c>
      <c r="D413" s="91">
        <v>0</v>
      </c>
    </row>
    <row r="414" spans="1:4" ht="15">
      <c r="A414" s="1078" t="s">
        <v>5907</v>
      </c>
      <c r="B414" t="s">
        <v>811</v>
      </c>
      <c r="C414" s="1078" t="s">
        <v>2190</v>
      </c>
      <c r="D414" s="91">
        <v>0</v>
      </c>
    </row>
    <row r="415" spans="1:4" ht="15">
      <c r="A415" s="1078" t="s">
        <v>5908</v>
      </c>
      <c r="B415" t="s">
        <v>1947</v>
      </c>
      <c r="C415" s="1078" t="s">
        <v>2191</v>
      </c>
      <c r="D415" s="91">
        <v>0</v>
      </c>
    </row>
    <row r="416" spans="1:4" ht="15">
      <c r="A416" s="1078" t="s">
        <v>5909</v>
      </c>
      <c r="B416" t="s">
        <v>1948</v>
      </c>
      <c r="C416" s="1078" t="s">
        <v>2192</v>
      </c>
      <c r="D416" s="91">
        <v>0</v>
      </c>
    </row>
    <row r="417" spans="1:4" ht="15">
      <c r="A417" s="1078" t="s">
        <v>3544</v>
      </c>
      <c r="B417" t="s">
        <v>867</v>
      </c>
      <c r="C417" s="1078" t="s">
        <v>2383</v>
      </c>
      <c r="D417" s="91">
        <v>0</v>
      </c>
    </row>
    <row r="418" spans="1:4" ht="15">
      <c r="A418" s="1078" t="s">
        <v>6731</v>
      </c>
      <c r="B418" t="s">
        <v>1949</v>
      </c>
      <c r="C418" s="1078" t="s">
        <v>2193</v>
      </c>
      <c r="D418" s="91">
        <v>0</v>
      </c>
    </row>
    <row r="419" spans="1:4" ht="15">
      <c r="A419" s="1078" t="s">
        <v>5910</v>
      </c>
      <c r="B419" t="s">
        <v>1500</v>
      </c>
      <c r="C419" s="1078" t="s">
        <v>2194</v>
      </c>
      <c r="D419" s="91">
        <v>488926.07947241655</v>
      </c>
    </row>
    <row r="420" spans="1:4" ht="15">
      <c r="A420" s="1078" t="s">
        <v>5911</v>
      </c>
      <c r="B420" t="s">
        <v>1501</v>
      </c>
      <c r="C420" s="1078" t="s">
        <v>2195</v>
      </c>
      <c r="D420" s="91">
        <v>32129.969863159429</v>
      </c>
    </row>
    <row r="421" spans="1:4" ht="15">
      <c r="A421" s="1078" t="s">
        <v>5912</v>
      </c>
      <c r="B421" t="s">
        <v>1502</v>
      </c>
      <c r="C421" s="1078" t="s">
        <v>2074</v>
      </c>
      <c r="D421" s="91">
        <v>0</v>
      </c>
    </row>
    <row r="422" spans="1:4" ht="15">
      <c r="A422" s="1078" t="s">
        <v>5913</v>
      </c>
      <c r="B422" t="s">
        <v>1568</v>
      </c>
      <c r="C422" s="1078" t="s">
        <v>2075</v>
      </c>
      <c r="D422" s="91">
        <v>0</v>
      </c>
    </row>
    <row r="423" spans="1:4" ht="15">
      <c r="A423" s="1078" t="s">
        <v>5914</v>
      </c>
      <c r="B423" t="s">
        <v>1569</v>
      </c>
      <c r="C423" s="1078" t="s">
        <v>156</v>
      </c>
      <c r="D423" s="91">
        <v>55796.812058503623</v>
      </c>
    </row>
    <row r="424" spans="1:4" ht="15">
      <c r="A424" s="1078" t="s">
        <v>5915</v>
      </c>
      <c r="B424" t="s">
        <v>497</v>
      </c>
      <c r="C424" s="1078" t="s">
        <v>157</v>
      </c>
      <c r="D424" s="91">
        <v>1683.4579494302939</v>
      </c>
    </row>
    <row r="425" spans="1:4" ht="15">
      <c r="A425" s="1078" t="s">
        <v>5916</v>
      </c>
      <c r="B425" t="s">
        <v>465</v>
      </c>
      <c r="C425" s="1078" t="s">
        <v>158</v>
      </c>
      <c r="D425" s="91">
        <v>0</v>
      </c>
    </row>
    <row r="426" spans="1:4" ht="15">
      <c r="A426" s="1078" t="s">
        <v>3545</v>
      </c>
      <c r="B426" t="s">
        <v>466</v>
      </c>
      <c r="C426" s="1078" t="s">
        <v>828</v>
      </c>
      <c r="D426" s="91">
        <v>54423.121951874782</v>
      </c>
    </row>
    <row r="427" spans="1:4" ht="15">
      <c r="A427" s="1078" t="s">
        <v>6732</v>
      </c>
      <c r="B427" t="s">
        <v>467</v>
      </c>
      <c r="C427" s="1078" t="s">
        <v>159</v>
      </c>
      <c r="D427" s="91">
        <v>25387.935490161581</v>
      </c>
    </row>
    <row r="428" spans="1:4" ht="15">
      <c r="A428" s="1078" t="s">
        <v>5917</v>
      </c>
      <c r="B428" t="s">
        <v>468</v>
      </c>
      <c r="C428" s="1078" t="s">
        <v>160</v>
      </c>
      <c r="D428" s="91">
        <v>0</v>
      </c>
    </row>
    <row r="429" spans="1:4" ht="15">
      <c r="A429" s="1078" t="s">
        <v>5918</v>
      </c>
      <c r="B429" t="s">
        <v>1141</v>
      </c>
      <c r="C429" s="1078" t="s">
        <v>1045</v>
      </c>
      <c r="D429" s="91">
        <v>0</v>
      </c>
    </row>
    <row r="430" spans="1:4" ht="15">
      <c r="A430" s="1078" t="s">
        <v>3546</v>
      </c>
      <c r="B430" t="s">
        <v>1488</v>
      </c>
      <c r="C430" s="1078" t="s">
        <v>1061</v>
      </c>
      <c r="D430" s="91">
        <v>0</v>
      </c>
    </row>
    <row r="431" spans="1:4" ht="15">
      <c r="A431" s="1078" t="s">
        <v>5919</v>
      </c>
      <c r="B431" t="s">
        <v>1292</v>
      </c>
      <c r="C431" s="1078" t="s">
        <v>162</v>
      </c>
      <c r="D431" s="91">
        <v>0</v>
      </c>
    </row>
    <row r="432" spans="1:4" ht="15">
      <c r="A432" s="1078" t="s">
        <v>3547</v>
      </c>
      <c r="B432" t="s">
        <v>1863</v>
      </c>
      <c r="C432" s="1078" t="s">
        <v>35</v>
      </c>
      <c r="D432" s="91">
        <v>0</v>
      </c>
    </row>
    <row r="433" spans="1:4" ht="15">
      <c r="A433" s="1078" t="s">
        <v>5920</v>
      </c>
      <c r="B433" t="s">
        <v>1703</v>
      </c>
      <c r="C433" s="1078" t="s">
        <v>163</v>
      </c>
      <c r="D433" s="91">
        <v>0</v>
      </c>
    </row>
    <row r="434" spans="1:4" ht="15">
      <c r="A434" s="1078" t="s">
        <v>5921</v>
      </c>
      <c r="B434" t="s">
        <v>1704</v>
      </c>
      <c r="C434" s="1078" t="s">
        <v>1349</v>
      </c>
      <c r="D434" s="91">
        <v>0</v>
      </c>
    </row>
    <row r="435" spans="1:4" ht="15">
      <c r="A435" s="1078" t="s">
        <v>5922</v>
      </c>
      <c r="B435" t="s">
        <v>2544</v>
      </c>
      <c r="C435" s="1078" t="s">
        <v>1350</v>
      </c>
      <c r="D435" s="91">
        <v>0</v>
      </c>
    </row>
    <row r="436" spans="1:4" ht="15">
      <c r="A436" s="1078" t="s">
        <v>5923</v>
      </c>
      <c r="B436" t="s">
        <v>2519</v>
      </c>
      <c r="C436" s="1078" t="s">
        <v>1351</v>
      </c>
      <c r="D436" s="91">
        <v>66686.454494930193</v>
      </c>
    </row>
    <row r="437" spans="1:4" ht="15">
      <c r="A437" s="1078" t="s">
        <v>5924</v>
      </c>
      <c r="B437" t="s">
        <v>2007</v>
      </c>
      <c r="C437" s="1078" t="s">
        <v>1352</v>
      </c>
      <c r="D437" s="91">
        <v>0</v>
      </c>
    </row>
    <row r="438" spans="1:4" ht="15">
      <c r="A438" s="1078" t="s">
        <v>5925</v>
      </c>
      <c r="B438" t="s">
        <v>63</v>
      </c>
      <c r="C438" s="1078" t="s">
        <v>2599</v>
      </c>
      <c r="D438" s="91">
        <v>0</v>
      </c>
    </row>
    <row r="439" spans="1:4" ht="15">
      <c r="A439" s="1078" t="s">
        <v>3548</v>
      </c>
      <c r="B439" t="s">
        <v>1518</v>
      </c>
      <c r="C439" s="1078" t="s">
        <v>607</v>
      </c>
      <c r="D439" s="91">
        <v>0</v>
      </c>
    </row>
    <row r="440" spans="1:4" ht="15">
      <c r="A440" s="1078" t="s">
        <v>4861</v>
      </c>
      <c r="B440" t="s">
        <v>868</v>
      </c>
      <c r="C440" s="1078" t="s">
        <v>2105</v>
      </c>
      <c r="D440" s="91">
        <v>3198.0393490467145</v>
      </c>
    </row>
    <row r="441" spans="1:4" ht="15">
      <c r="A441" s="1078" t="s">
        <v>5926</v>
      </c>
      <c r="B441" t="s">
        <v>64</v>
      </c>
      <c r="C441" s="1078" t="s">
        <v>2600</v>
      </c>
      <c r="D441" s="91">
        <v>78164.752333565135</v>
      </c>
    </row>
    <row r="442" spans="1:4" ht="15">
      <c r="A442" s="1078" t="s">
        <v>3549</v>
      </c>
      <c r="B442" t="s">
        <v>2127</v>
      </c>
      <c r="C442" s="1078" t="s">
        <v>32</v>
      </c>
      <c r="D442" s="91">
        <v>0</v>
      </c>
    </row>
    <row r="443" spans="1:4" ht="15">
      <c r="A443" s="1078" t="s">
        <v>3550</v>
      </c>
      <c r="B443" t="s">
        <v>770</v>
      </c>
      <c r="C443" s="1078" t="s">
        <v>1066</v>
      </c>
      <c r="D443" s="91">
        <v>0</v>
      </c>
    </row>
    <row r="444" spans="1:4" ht="15">
      <c r="A444" s="1078" t="s">
        <v>3551</v>
      </c>
      <c r="B444" t="s">
        <v>772</v>
      </c>
      <c r="C444" s="1078" t="s">
        <v>33</v>
      </c>
      <c r="D444" s="91">
        <v>0</v>
      </c>
    </row>
    <row r="445" spans="1:4" ht="15">
      <c r="A445" s="1078" t="s">
        <v>3552</v>
      </c>
      <c r="B445" t="s">
        <v>1865</v>
      </c>
      <c r="C445" s="1078" t="s">
        <v>2374</v>
      </c>
      <c r="D445" s="91">
        <v>0</v>
      </c>
    </row>
    <row r="446" spans="1:4" ht="15">
      <c r="A446" s="1078" t="s">
        <v>3553</v>
      </c>
      <c r="B446" t="s">
        <v>2529</v>
      </c>
      <c r="C446" s="1078" t="s">
        <v>817</v>
      </c>
      <c r="D446" s="91">
        <v>0</v>
      </c>
    </row>
    <row r="447" spans="1:4" ht="15">
      <c r="A447" s="1078" t="s">
        <v>3554</v>
      </c>
      <c r="B447" t="s">
        <v>2532</v>
      </c>
      <c r="C447" s="1078" t="s">
        <v>2234</v>
      </c>
      <c r="D447" s="91">
        <v>0</v>
      </c>
    </row>
    <row r="448" spans="1:4" ht="15">
      <c r="A448" s="1078" t="s">
        <v>3555</v>
      </c>
      <c r="B448" t="s">
        <v>2538</v>
      </c>
      <c r="C448" s="1078" t="s">
        <v>38</v>
      </c>
      <c r="D448" s="91">
        <v>0</v>
      </c>
    </row>
    <row r="449" spans="1:4" ht="15">
      <c r="A449" s="1078" t="s">
        <v>3556</v>
      </c>
      <c r="B449" t="s">
        <v>211</v>
      </c>
      <c r="C449" s="1078" t="s">
        <v>999</v>
      </c>
      <c r="D449" s="91">
        <v>0</v>
      </c>
    </row>
    <row r="450" spans="1:4" ht="15">
      <c r="A450" s="1078" t="s">
        <v>3557</v>
      </c>
      <c r="B450" t="s">
        <v>1067</v>
      </c>
      <c r="C450" s="1078" t="s">
        <v>75</v>
      </c>
      <c r="D450" s="91">
        <v>0</v>
      </c>
    </row>
    <row r="451" spans="1:4" ht="15">
      <c r="A451" s="1078" t="s">
        <v>3558</v>
      </c>
      <c r="B451" t="s">
        <v>1562</v>
      </c>
      <c r="C451" s="1078" t="s">
        <v>2602</v>
      </c>
      <c r="D451" s="91">
        <v>0</v>
      </c>
    </row>
    <row r="452" spans="1:4" ht="15">
      <c r="A452" s="1078" t="s">
        <v>3559</v>
      </c>
      <c r="B452" t="s">
        <v>58</v>
      </c>
      <c r="C452" s="1078" t="s">
        <v>1897</v>
      </c>
      <c r="D452" s="91">
        <v>0</v>
      </c>
    </row>
    <row r="453" spans="1:4" ht="15">
      <c r="A453" s="1078" t="s">
        <v>3560</v>
      </c>
      <c r="B453" t="s">
        <v>723</v>
      </c>
      <c r="C453" s="1078" t="s">
        <v>141</v>
      </c>
      <c r="D453" s="91">
        <v>0</v>
      </c>
    </row>
    <row r="454" spans="1:4" ht="15">
      <c r="A454" s="1078" t="s">
        <v>3561</v>
      </c>
      <c r="B454" t="s">
        <v>60</v>
      </c>
      <c r="C454" s="1078" t="s">
        <v>2299</v>
      </c>
      <c r="D454" s="91">
        <v>28986.936018909237</v>
      </c>
    </row>
    <row r="455" spans="1:4" ht="15">
      <c r="A455" s="1078" t="s">
        <v>3562</v>
      </c>
      <c r="B455" t="s">
        <v>512</v>
      </c>
      <c r="C455" s="1078" t="s">
        <v>2242</v>
      </c>
      <c r="D455" s="91">
        <v>0</v>
      </c>
    </row>
    <row r="456" spans="1:4" ht="15">
      <c r="A456" s="1078" t="s">
        <v>3563</v>
      </c>
      <c r="B456" t="s">
        <v>1522</v>
      </c>
      <c r="C456" s="1078" t="s">
        <v>2364</v>
      </c>
      <c r="D456" s="91">
        <v>0</v>
      </c>
    </row>
    <row r="457" spans="1:4" ht="15">
      <c r="A457" s="1078" t="s">
        <v>3564</v>
      </c>
      <c r="B457" t="s">
        <v>149</v>
      </c>
      <c r="C457" s="1078" t="s">
        <v>2150</v>
      </c>
      <c r="D457" s="91">
        <v>0</v>
      </c>
    </row>
    <row r="458" spans="1:4" ht="15">
      <c r="A458" s="1078" t="s">
        <v>3565</v>
      </c>
      <c r="B458" t="s">
        <v>2509</v>
      </c>
      <c r="C458" s="1078" t="s">
        <v>898</v>
      </c>
      <c r="D458" s="91">
        <v>0</v>
      </c>
    </row>
    <row r="459" spans="1:4" ht="15">
      <c r="A459" s="1078" t="s">
        <v>4964</v>
      </c>
      <c r="B459" t="s">
        <v>2402</v>
      </c>
      <c r="C459" s="1078" t="s">
        <v>667</v>
      </c>
      <c r="D459" s="91">
        <v>0</v>
      </c>
    </row>
    <row r="460" spans="1:4" ht="15">
      <c r="A460" s="1078" t="s">
        <v>3566</v>
      </c>
      <c r="B460" t="s">
        <v>1867</v>
      </c>
      <c r="C460" s="1078" t="s">
        <v>2376</v>
      </c>
      <c r="D460" s="91">
        <v>0</v>
      </c>
    </row>
    <row r="461" spans="1:4" ht="15">
      <c r="A461" s="1078" t="s">
        <v>3567</v>
      </c>
      <c r="B461" t="s">
        <v>513</v>
      </c>
      <c r="C461" s="1078" t="s">
        <v>2381</v>
      </c>
      <c r="D461" s="91">
        <v>0</v>
      </c>
    </row>
    <row r="462" spans="1:4" ht="15">
      <c r="A462" s="1078" t="s">
        <v>3568</v>
      </c>
      <c r="B462" t="s">
        <v>42</v>
      </c>
      <c r="C462" s="1078" t="s">
        <v>404</v>
      </c>
      <c r="D462" s="91">
        <v>0</v>
      </c>
    </row>
    <row r="463" spans="1:4" ht="15">
      <c r="A463" s="1078" t="s">
        <v>3569</v>
      </c>
      <c r="B463" t="s">
        <v>150</v>
      </c>
      <c r="C463" s="1078" t="s">
        <v>2152</v>
      </c>
      <c r="D463" s="91">
        <v>0</v>
      </c>
    </row>
    <row r="464" spans="1:4" ht="15">
      <c r="A464" s="1078" t="s">
        <v>3570</v>
      </c>
      <c r="B464" t="s">
        <v>521</v>
      </c>
      <c r="C464" s="1078" t="s">
        <v>2243</v>
      </c>
      <c r="D464" s="91">
        <v>0</v>
      </c>
    </row>
    <row r="465" spans="1:4" ht="15">
      <c r="A465" s="1078" t="s">
        <v>5927</v>
      </c>
      <c r="B465" t="s">
        <v>1563</v>
      </c>
      <c r="C465" s="1078" t="s">
        <v>2603</v>
      </c>
      <c r="D465" s="91">
        <v>0</v>
      </c>
    </row>
    <row r="466" spans="1:4" ht="15">
      <c r="A466" s="1078" t="s">
        <v>3571</v>
      </c>
      <c r="B466" t="s">
        <v>522</v>
      </c>
      <c r="C466" s="1078" t="s">
        <v>2419</v>
      </c>
      <c r="D466" s="91">
        <v>0</v>
      </c>
    </row>
    <row r="467" spans="1:4" ht="15">
      <c r="A467" s="1078" t="s">
        <v>4982</v>
      </c>
      <c r="B467" t="s">
        <v>1540</v>
      </c>
      <c r="C467" s="1078" t="s">
        <v>1346</v>
      </c>
      <c r="D467" s="91">
        <v>0</v>
      </c>
    </row>
    <row r="468" spans="1:4" ht="15">
      <c r="A468" s="1078" t="s">
        <v>4985</v>
      </c>
      <c r="B468" t="s">
        <v>523</v>
      </c>
      <c r="C468" s="1078" t="s">
        <v>2594</v>
      </c>
      <c r="D468" s="91">
        <v>0</v>
      </c>
    </row>
    <row r="469" spans="1:4" ht="15">
      <c r="A469" s="1078" t="s">
        <v>6733</v>
      </c>
      <c r="B469" t="s">
        <v>1564</v>
      </c>
      <c r="C469" s="1078" t="s">
        <v>2604</v>
      </c>
      <c r="D469" s="91">
        <v>87021.121110232649</v>
      </c>
    </row>
    <row r="470" spans="1:4" ht="15">
      <c r="A470" s="1078" t="s">
        <v>5928</v>
      </c>
      <c r="B470" t="s">
        <v>1565</v>
      </c>
      <c r="C470" s="1078" t="s">
        <v>2605</v>
      </c>
      <c r="D470" s="91">
        <v>210099.31562343935</v>
      </c>
    </row>
    <row r="471" spans="1:4" ht="15">
      <c r="A471" s="1078" t="s">
        <v>5929</v>
      </c>
      <c r="B471" t="s">
        <v>1241</v>
      </c>
      <c r="C471" s="1078" t="s">
        <v>2606</v>
      </c>
      <c r="D471" s="91">
        <v>0</v>
      </c>
    </row>
    <row r="472" spans="1:4" ht="15">
      <c r="A472" s="1078" t="s">
        <v>3572</v>
      </c>
      <c r="B472" t="s">
        <v>1843</v>
      </c>
      <c r="C472" s="1078" t="s">
        <v>1929</v>
      </c>
      <c r="D472" s="91">
        <v>172827.29607066151</v>
      </c>
    </row>
    <row r="473" spans="1:4" ht="15">
      <c r="A473" s="1078" t="s">
        <v>6734</v>
      </c>
      <c r="B473" t="s">
        <v>1242</v>
      </c>
      <c r="C473" s="1078" t="s">
        <v>2607</v>
      </c>
      <c r="D473" s="91">
        <v>0</v>
      </c>
    </row>
    <row r="474" spans="1:4" ht="15">
      <c r="A474" s="1078" t="s">
        <v>6735</v>
      </c>
      <c r="B474" t="s">
        <v>1243</v>
      </c>
      <c r="C474" s="1078" t="s">
        <v>2608</v>
      </c>
      <c r="D474" s="91">
        <v>19993.535984678438</v>
      </c>
    </row>
    <row r="475" spans="1:4" ht="15">
      <c r="A475" s="1078" t="s">
        <v>5930</v>
      </c>
      <c r="B475" t="s">
        <v>1244</v>
      </c>
      <c r="C475" s="1078" t="s">
        <v>219</v>
      </c>
      <c r="D475" s="91">
        <v>0</v>
      </c>
    </row>
    <row r="476" spans="1:4" ht="15">
      <c r="A476" s="1078" t="s">
        <v>3573</v>
      </c>
      <c r="B476" t="s">
        <v>1772</v>
      </c>
      <c r="C476" s="1078" t="s">
        <v>1566</v>
      </c>
      <c r="D476" s="91">
        <v>633.52831401604351</v>
      </c>
    </row>
    <row r="477" spans="1:4" ht="15">
      <c r="A477" s="1078" t="s">
        <v>3574</v>
      </c>
      <c r="B477" t="s">
        <v>1516</v>
      </c>
      <c r="C477" s="1078" t="s">
        <v>605</v>
      </c>
      <c r="D477" s="91">
        <v>0</v>
      </c>
    </row>
    <row r="478" spans="1:4" ht="15">
      <c r="A478" s="1078" t="s">
        <v>3575</v>
      </c>
      <c r="B478" t="s">
        <v>180</v>
      </c>
      <c r="C478" s="1078" t="s">
        <v>220</v>
      </c>
      <c r="D478" s="91">
        <v>0</v>
      </c>
    </row>
    <row r="479" spans="1:4" ht="15">
      <c r="A479" s="1078" t="s">
        <v>3576</v>
      </c>
      <c r="B479" t="s">
        <v>1497</v>
      </c>
      <c r="C479" s="1078" t="s">
        <v>422</v>
      </c>
      <c r="D479" s="91">
        <v>0</v>
      </c>
    </row>
    <row r="480" spans="1:4" ht="15">
      <c r="A480" s="1078" t="s">
        <v>5931</v>
      </c>
      <c r="B480" t="s">
        <v>181</v>
      </c>
      <c r="C480" s="1078" t="s">
        <v>221</v>
      </c>
      <c r="D480" s="91">
        <v>24094.341118587316</v>
      </c>
    </row>
    <row r="481" spans="1:4" ht="15">
      <c r="A481" s="1078" t="s">
        <v>3577</v>
      </c>
      <c r="B481" t="s">
        <v>1943</v>
      </c>
      <c r="C481" s="1078" t="s">
        <v>2238</v>
      </c>
      <c r="D481" s="91">
        <v>0</v>
      </c>
    </row>
    <row r="482" spans="1:4" ht="15">
      <c r="A482" s="1078" t="s">
        <v>6736</v>
      </c>
      <c r="B482" t="s">
        <v>182</v>
      </c>
      <c r="C482" s="1078" t="s">
        <v>632</v>
      </c>
      <c r="D482" s="91">
        <v>0</v>
      </c>
    </row>
    <row r="483" spans="1:4" ht="15">
      <c r="A483" s="1078" t="s">
        <v>6737</v>
      </c>
      <c r="B483" t="s">
        <v>183</v>
      </c>
      <c r="C483" s="1078" t="s">
        <v>633</v>
      </c>
      <c r="D483" s="91">
        <v>0</v>
      </c>
    </row>
    <row r="484" spans="1:4" ht="15">
      <c r="A484" s="1078" t="s">
        <v>3578</v>
      </c>
      <c r="B484" t="s">
        <v>1498</v>
      </c>
      <c r="C484" s="1078" t="s">
        <v>1942</v>
      </c>
      <c r="D484" s="91">
        <v>0</v>
      </c>
    </row>
    <row r="485" spans="1:4" ht="15">
      <c r="A485" s="1078" t="s">
        <v>5932</v>
      </c>
      <c r="B485" t="s">
        <v>1421</v>
      </c>
      <c r="C485" s="1078" t="s">
        <v>634</v>
      </c>
      <c r="D485" s="91">
        <v>0</v>
      </c>
    </row>
    <row r="486" spans="1:4" ht="15">
      <c r="A486" s="1078" t="s">
        <v>5933</v>
      </c>
      <c r="B486" t="s">
        <v>1261</v>
      </c>
      <c r="C486" s="1078" t="s">
        <v>2165</v>
      </c>
      <c r="D486" s="91">
        <v>0</v>
      </c>
    </row>
    <row r="487" spans="1:4" ht="15">
      <c r="A487" s="1078" t="s">
        <v>6738</v>
      </c>
      <c r="B487" t="s">
        <v>978</v>
      </c>
      <c r="C487" s="1078" t="s">
        <v>2520</v>
      </c>
      <c r="D487" s="91">
        <v>83808.606628344744</v>
      </c>
    </row>
    <row r="488" spans="1:4" ht="15">
      <c r="A488" s="1078" t="s">
        <v>5934</v>
      </c>
      <c r="B488" t="s">
        <v>979</v>
      </c>
      <c r="C488" s="1078" t="s">
        <v>1570</v>
      </c>
      <c r="D488" s="91">
        <v>0</v>
      </c>
    </row>
    <row r="489" spans="1:4" ht="15">
      <c r="A489" s="1078" t="s">
        <v>6739</v>
      </c>
      <c r="B489" t="s">
        <v>899</v>
      </c>
      <c r="C489" s="1078" t="s">
        <v>1571</v>
      </c>
      <c r="D489" s="91">
        <v>0</v>
      </c>
    </row>
    <row r="490" spans="1:4" ht="15">
      <c r="A490" s="1078" t="s">
        <v>3579</v>
      </c>
      <c r="B490" t="s">
        <v>1797</v>
      </c>
      <c r="C490" s="1078" t="s">
        <v>1572</v>
      </c>
      <c r="D490" s="91">
        <v>154121.0818999928</v>
      </c>
    </row>
    <row r="491" spans="1:4" ht="15">
      <c r="A491" s="1078" t="s">
        <v>5935</v>
      </c>
      <c r="B491" t="s">
        <v>2677</v>
      </c>
      <c r="C491" s="1078" t="s">
        <v>1573</v>
      </c>
      <c r="D491" s="91">
        <v>170135.40386662836</v>
      </c>
    </row>
    <row r="492" spans="1:4" ht="15">
      <c r="A492" s="1078" t="s">
        <v>5936</v>
      </c>
      <c r="B492" t="s">
        <v>2678</v>
      </c>
      <c r="C492" s="1078" t="s">
        <v>1574</v>
      </c>
      <c r="D492" s="91">
        <v>0</v>
      </c>
    </row>
    <row r="493" spans="1:4" ht="15">
      <c r="A493" s="1078" t="s">
        <v>5937</v>
      </c>
      <c r="B493" t="s">
        <v>1331</v>
      </c>
      <c r="C493" s="1078" t="s">
        <v>1575</v>
      </c>
      <c r="D493" s="91">
        <v>0</v>
      </c>
    </row>
    <row r="494" spans="1:4" ht="15">
      <c r="A494" s="1078" t="s">
        <v>6740</v>
      </c>
      <c r="B494" t="s">
        <v>2177</v>
      </c>
      <c r="C494" s="1078" t="s">
        <v>1576</v>
      </c>
      <c r="D494" s="91">
        <v>0</v>
      </c>
    </row>
    <row r="495" spans="1:4" ht="15">
      <c r="A495" s="1078" t="s">
        <v>6741</v>
      </c>
      <c r="B495" t="s">
        <v>1111</v>
      </c>
      <c r="C495" s="1078" t="s">
        <v>1577</v>
      </c>
      <c r="D495" s="91">
        <v>0</v>
      </c>
    </row>
    <row r="496" spans="1:4" ht="15">
      <c r="A496" s="1078" t="s">
        <v>3580</v>
      </c>
      <c r="B496" t="s">
        <v>1886</v>
      </c>
      <c r="C496" s="1078" t="s">
        <v>651</v>
      </c>
      <c r="D496" s="91">
        <v>0</v>
      </c>
    </row>
    <row r="497" spans="1:4" ht="15">
      <c r="A497" s="1078" t="s">
        <v>3581</v>
      </c>
      <c r="B497" t="s">
        <v>1112</v>
      </c>
      <c r="C497" s="1078" t="s">
        <v>1578</v>
      </c>
      <c r="D497" s="91">
        <v>0</v>
      </c>
    </row>
    <row r="498" spans="1:4" ht="15">
      <c r="A498" s="1078" t="s">
        <v>3582</v>
      </c>
      <c r="B498" t="s">
        <v>1437</v>
      </c>
      <c r="C498" s="1078" t="s">
        <v>1550</v>
      </c>
      <c r="D498" s="91">
        <v>0</v>
      </c>
    </row>
    <row r="499" spans="1:4" ht="15">
      <c r="A499" s="1078" t="s">
        <v>5938</v>
      </c>
      <c r="B499" t="s">
        <v>1058</v>
      </c>
      <c r="C499" s="1078" t="s">
        <v>1579</v>
      </c>
      <c r="D499" s="91">
        <v>0</v>
      </c>
    </row>
    <row r="500" spans="1:4" ht="15">
      <c r="A500" s="1078" t="s">
        <v>3583</v>
      </c>
      <c r="B500" t="s">
        <v>1944</v>
      </c>
      <c r="C500" s="1078" t="s">
        <v>2125</v>
      </c>
      <c r="D500" s="91">
        <v>0</v>
      </c>
    </row>
    <row r="501" spans="1:4" ht="15">
      <c r="A501" s="1078" t="s">
        <v>3584</v>
      </c>
      <c r="B501" t="s">
        <v>1584</v>
      </c>
      <c r="C501" s="1078" t="s">
        <v>77</v>
      </c>
      <c r="D501" s="91">
        <v>0</v>
      </c>
    </row>
    <row r="502" spans="1:4" ht="15">
      <c r="A502" s="1078" t="s">
        <v>3585</v>
      </c>
      <c r="B502" t="s">
        <v>245</v>
      </c>
      <c r="C502" s="1078" t="s">
        <v>1131</v>
      </c>
      <c r="D502" s="91">
        <v>0</v>
      </c>
    </row>
    <row r="503" spans="1:4" ht="15">
      <c r="A503" s="1078" t="s">
        <v>5939</v>
      </c>
      <c r="B503" t="s">
        <v>1059</v>
      </c>
      <c r="C503" s="1078" t="s">
        <v>1580</v>
      </c>
      <c r="D503" s="91">
        <v>0</v>
      </c>
    </row>
    <row r="504" spans="1:4" ht="15">
      <c r="A504" s="1078" t="s">
        <v>3586</v>
      </c>
      <c r="B504" t="s">
        <v>875</v>
      </c>
      <c r="C504" s="1078" t="s">
        <v>799</v>
      </c>
      <c r="D504" s="91">
        <v>0</v>
      </c>
    </row>
    <row r="505" spans="1:4" ht="15">
      <c r="A505" s="1078" t="s">
        <v>3587</v>
      </c>
      <c r="B505" t="s">
        <v>1844</v>
      </c>
      <c r="C505" s="1078" t="s">
        <v>1347</v>
      </c>
      <c r="D505" s="91">
        <v>0</v>
      </c>
    </row>
    <row r="506" spans="1:4" ht="15">
      <c r="A506" s="1078" t="s">
        <v>5940</v>
      </c>
      <c r="B506" t="s">
        <v>1060</v>
      </c>
      <c r="C506" s="1078" t="s">
        <v>1581</v>
      </c>
      <c r="D506" s="91">
        <v>500032.36639703292</v>
      </c>
    </row>
    <row r="507" spans="1:4" ht="15">
      <c r="A507" s="1078" t="s">
        <v>5941</v>
      </c>
      <c r="B507" t="s">
        <v>2140</v>
      </c>
      <c r="C507" s="1078" t="s">
        <v>1046</v>
      </c>
      <c r="D507" s="91">
        <v>63297.82589680783</v>
      </c>
    </row>
    <row r="508" spans="1:4" ht="15">
      <c r="A508" s="1078" t="s">
        <v>5942</v>
      </c>
      <c r="B508" t="s">
        <v>2141</v>
      </c>
      <c r="C508" s="1078" t="s">
        <v>1047</v>
      </c>
      <c r="D508" s="91">
        <v>0</v>
      </c>
    </row>
    <row r="509" spans="1:4" ht="15">
      <c r="A509" s="1078" t="s">
        <v>6742</v>
      </c>
      <c r="B509" t="s">
        <v>1259</v>
      </c>
      <c r="C509" s="1078" t="s">
        <v>2525</v>
      </c>
      <c r="D509" s="91">
        <v>76250.174763103845</v>
      </c>
    </row>
    <row r="510" spans="1:4" ht="15">
      <c r="A510" s="1078" t="s">
        <v>5943</v>
      </c>
      <c r="B510" t="s">
        <v>1260</v>
      </c>
      <c r="C510" s="1078" t="s">
        <v>1048</v>
      </c>
      <c r="D510" s="91">
        <v>0</v>
      </c>
    </row>
    <row r="511" spans="1:4" ht="15">
      <c r="A511" s="1078" t="s">
        <v>5944</v>
      </c>
      <c r="B511" t="s">
        <v>923</v>
      </c>
      <c r="C511" s="1078" t="s">
        <v>2462</v>
      </c>
      <c r="D511" s="91">
        <v>6143.7288822286982</v>
      </c>
    </row>
    <row r="512" spans="1:4" ht="15">
      <c r="A512" s="1078" t="s">
        <v>5945</v>
      </c>
      <c r="B512" t="s">
        <v>924</v>
      </c>
      <c r="C512" s="1078" t="s">
        <v>2463</v>
      </c>
      <c r="D512" s="91">
        <v>0</v>
      </c>
    </row>
    <row r="513" spans="1:4" ht="15">
      <c r="A513" s="1078" t="s">
        <v>5946</v>
      </c>
      <c r="B513" t="s">
        <v>925</v>
      </c>
      <c r="C513" s="1078" t="s">
        <v>1049</v>
      </c>
      <c r="D513" s="91">
        <v>48830.895630895386</v>
      </c>
    </row>
    <row r="514" spans="1:4" ht="15">
      <c r="A514" s="1078" t="s">
        <v>5947</v>
      </c>
      <c r="B514" t="s">
        <v>926</v>
      </c>
      <c r="C514" s="1078" t="s">
        <v>620</v>
      </c>
      <c r="D514" s="91">
        <v>17427.094931935608</v>
      </c>
    </row>
    <row r="515" spans="1:4" ht="15">
      <c r="A515" s="1078" t="s">
        <v>3588</v>
      </c>
      <c r="B515" t="s">
        <v>2577</v>
      </c>
      <c r="C515" s="1078" t="s">
        <v>1481</v>
      </c>
      <c r="D515" s="91">
        <v>0</v>
      </c>
    </row>
    <row r="516" spans="1:4" ht="15">
      <c r="A516" s="1078" t="s">
        <v>5948</v>
      </c>
      <c r="B516" t="s">
        <v>502</v>
      </c>
      <c r="C516" s="1078" t="s">
        <v>621</v>
      </c>
      <c r="D516" s="91">
        <v>0</v>
      </c>
    </row>
    <row r="517" spans="1:4" ht="15">
      <c r="A517" s="1078" t="s">
        <v>6743</v>
      </c>
      <c r="B517" t="s">
        <v>2646</v>
      </c>
      <c r="C517" s="1078" t="s">
        <v>2499</v>
      </c>
      <c r="D517" s="91">
        <v>0</v>
      </c>
    </row>
    <row r="518" spans="1:4" ht="15">
      <c r="A518" s="1078" t="s">
        <v>3589</v>
      </c>
      <c r="B518" t="s">
        <v>883</v>
      </c>
      <c r="C518" s="1078" t="s">
        <v>1447</v>
      </c>
      <c r="D518" s="91">
        <v>0</v>
      </c>
    </row>
    <row r="519" spans="1:4" ht="15">
      <c r="A519" s="1078" t="s">
        <v>3590</v>
      </c>
      <c r="B519" t="s">
        <v>44</v>
      </c>
      <c r="C519" s="1078" t="s">
        <v>406</v>
      </c>
      <c r="D519" s="91">
        <v>0</v>
      </c>
    </row>
    <row r="520" spans="1:4" ht="15">
      <c r="A520" s="1078" t="s">
        <v>3591</v>
      </c>
      <c r="B520" t="s">
        <v>54</v>
      </c>
      <c r="C520" s="1078" t="s">
        <v>2017</v>
      </c>
      <c r="D520" s="91">
        <v>0</v>
      </c>
    </row>
    <row r="521" spans="1:4" ht="15">
      <c r="A521" s="1078" t="s">
        <v>5949</v>
      </c>
      <c r="B521" t="s">
        <v>2647</v>
      </c>
      <c r="C521" s="1078" t="s">
        <v>2500</v>
      </c>
      <c r="D521" s="91">
        <v>5476.9077626779199</v>
      </c>
    </row>
    <row r="522" spans="1:4" ht="15">
      <c r="A522" s="1078" t="s">
        <v>6744</v>
      </c>
      <c r="B522" t="s">
        <v>2648</v>
      </c>
      <c r="C522" s="1078" t="s">
        <v>2501</v>
      </c>
      <c r="D522" s="91">
        <v>0</v>
      </c>
    </row>
    <row r="523" spans="1:4" ht="15">
      <c r="A523" s="1078" t="s">
        <v>6745</v>
      </c>
      <c r="B523" t="s">
        <v>2649</v>
      </c>
      <c r="C523" s="1078" t="s">
        <v>2295</v>
      </c>
      <c r="D523" s="91">
        <v>0</v>
      </c>
    </row>
    <row r="524" spans="1:4" ht="15">
      <c r="A524" s="1078" t="s">
        <v>3592</v>
      </c>
      <c r="B524" t="s">
        <v>2540</v>
      </c>
      <c r="C524" s="1078" t="s">
        <v>390</v>
      </c>
      <c r="D524" s="91">
        <v>232929.97764499087</v>
      </c>
    </row>
    <row r="525" spans="1:4" ht="15">
      <c r="A525" s="1078" t="s">
        <v>5950</v>
      </c>
      <c r="B525" t="s">
        <v>2292</v>
      </c>
      <c r="C525" s="1078" t="s">
        <v>2296</v>
      </c>
      <c r="D525" s="91">
        <v>154051.60126235511</v>
      </c>
    </row>
    <row r="526" spans="1:4" ht="15">
      <c r="A526" s="1078" t="s">
        <v>5951</v>
      </c>
      <c r="B526" t="s">
        <v>2293</v>
      </c>
      <c r="C526" s="1078" t="s">
        <v>2690</v>
      </c>
      <c r="D526" s="91">
        <v>0</v>
      </c>
    </row>
    <row r="527" spans="1:4" ht="15">
      <c r="A527" s="1078" t="s">
        <v>5952</v>
      </c>
      <c r="B527" t="s">
        <v>1325</v>
      </c>
      <c r="C527" s="1078" t="s">
        <v>2691</v>
      </c>
      <c r="D527" s="91">
        <v>0</v>
      </c>
    </row>
    <row r="528" spans="1:4" ht="15">
      <c r="A528" s="1078" t="s">
        <v>5953</v>
      </c>
      <c r="B528" t="s">
        <v>1326</v>
      </c>
      <c r="C528" s="1078" t="s">
        <v>2692</v>
      </c>
      <c r="D528" s="91">
        <v>135.10123985109837</v>
      </c>
    </row>
    <row r="529" spans="1:4" ht="15">
      <c r="A529" s="1078" t="s">
        <v>3593</v>
      </c>
      <c r="B529" t="s">
        <v>1309</v>
      </c>
      <c r="C529" s="1078" t="s">
        <v>1734</v>
      </c>
      <c r="D529" s="91">
        <v>0</v>
      </c>
    </row>
    <row r="530" spans="1:4" ht="15">
      <c r="A530" s="1078" t="s">
        <v>5954</v>
      </c>
      <c r="B530" t="s">
        <v>1327</v>
      </c>
      <c r="C530" s="1078" t="s">
        <v>1738</v>
      </c>
      <c r="D530" s="91">
        <v>2246.5406169525504</v>
      </c>
    </row>
    <row r="531" spans="1:4" ht="15">
      <c r="A531" s="1078" t="s">
        <v>3594</v>
      </c>
      <c r="B531" t="s">
        <v>2019</v>
      </c>
      <c r="C531" s="1078" t="s">
        <v>701</v>
      </c>
      <c r="D531" s="91">
        <v>1754104.3177661451</v>
      </c>
    </row>
    <row r="532" spans="1:4" ht="15">
      <c r="A532" s="1078" t="s">
        <v>3595</v>
      </c>
      <c r="B532" t="s">
        <v>2323</v>
      </c>
      <c r="C532" s="1078" t="s">
        <v>2681</v>
      </c>
      <c r="D532" s="91">
        <v>0</v>
      </c>
    </row>
    <row r="533" spans="1:4" ht="15">
      <c r="A533" s="1078" t="s">
        <v>3596</v>
      </c>
      <c r="B533" t="s">
        <v>1413</v>
      </c>
      <c r="C533" s="1078" t="s">
        <v>1016</v>
      </c>
      <c r="D533" s="91">
        <v>0</v>
      </c>
    </row>
    <row r="534" spans="1:4" ht="15">
      <c r="A534" s="1078" t="s">
        <v>3597</v>
      </c>
      <c r="B534" t="s">
        <v>216</v>
      </c>
      <c r="C534" s="1078" t="s">
        <v>2102</v>
      </c>
      <c r="D534" s="91">
        <v>0</v>
      </c>
    </row>
    <row r="535" spans="1:4" ht="15">
      <c r="A535" s="1078" t="s">
        <v>6746</v>
      </c>
      <c r="B535" t="s">
        <v>1328</v>
      </c>
      <c r="C535" s="1078" t="s">
        <v>1739</v>
      </c>
      <c r="D535" s="91">
        <v>850.65530663388006</v>
      </c>
    </row>
    <row r="536" spans="1:4" ht="15">
      <c r="A536" s="1078" t="s">
        <v>3598</v>
      </c>
      <c r="B536" t="s">
        <v>195</v>
      </c>
      <c r="C536" s="1078" t="s">
        <v>1051</v>
      </c>
      <c r="D536" s="91">
        <v>606032.31667977665</v>
      </c>
    </row>
    <row r="537" spans="1:4" ht="15">
      <c r="A537" s="1078" t="s">
        <v>3599</v>
      </c>
      <c r="B537" t="s">
        <v>1884</v>
      </c>
      <c r="C537" s="1078" t="s">
        <v>1449</v>
      </c>
      <c r="D537" s="91">
        <v>0</v>
      </c>
    </row>
    <row r="538" spans="1:4" ht="15">
      <c r="A538" s="1078" t="s">
        <v>5955</v>
      </c>
      <c r="B538" t="s">
        <v>574</v>
      </c>
      <c r="C538" s="1078" t="s">
        <v>1163</v>
      </c>
      <c r="D538" s="91">
        <v>520139.77342672873</v>
      </c>
    </row>
    <row r="539" spans="1:4" ht="15">
      <c r="A539" s="1078" t="s">
        <v>5069</v>
      </c>
      <c r="B539" t="s">
        <v>1798</v>
      </c>
      <c r="C539" s="1078" t="s">
        <v>865</v>
      </c>
      <c r="D539" s="91">
        <v>0</v>
      </c>
    </row>
    <row r="540" spans="1:4" ht="15">
      <c r="A540" s="1078" t="s">
        <v>3600</v>
      </c>
      <c r="B540" t="s">
        <v>45</v>
      </c>
      <c r="C540" s="1078" t="s">
        <v>407</v>
      </c>
      <c r="D540" s="91">
        <v>94929.851190230358</v>
      </c>
    </row>
    <row r="541" spans="1:4" ht="15">
      <c r="A541" s="1078" t="s">
        <v>3601</v>
      </c>
      <c r="B541" t="s">
        <v>1329</v>
      </c>
      <c r="C541" s="1078" t="s">
        <v>2034</v>
      </c>
      <c r="D541" s="91">
        <v>3932.4110885230421</v>
      </c>
    </row>
    <row r="542" spans="1:4" ht="15">
      <c r="A542" s="1078" t="s">
        <v>3602</v>
      </c>
      <c r="B542" t="s">
        <v>2324</v>
      </c>
      <c r="C542" s="1078" t="s">
        <v>2695</v>
      </c>
      <c r="D542" s="91">
        <v>0</v>
      </c>
    </row>
    <row r="543" spans="1:4" ht="15">
      <c r="A543" s="1078" t="s">
        <v>3603</v>
      </c>
      <c r="B543" t="s">
        <v>255</v>
      </c>
      <c r="C543" s="1078" t="s">
        <v>2644</v>
      </c>
      <c r="D543" s="91">
        <v>0</v>
      </c>
    </row>
    <row r="544" spans="1:4" ht="15">
      <c r="A544" s="1078" t="s">
        <v>3604</v>
      </c>
      <c r="B544" t="s">
        <v>1263</v>
      </c>
      <c r="C544" s="1078" t="s">
        <v>2322</v>
      </c>
      <c r="D544" s="91">
        <v>0</v>
      </c>
    </row>
    <row r="545" spans="1:4" ht="15">
      <c r="A545" s="1078" t="s">
        <v>5956</v>
      </c>
      <c r="B545" t="s">
        <v>2097</v>
      </c>
      <c r="C545" s="1078" t="s">
        <v>2417</v>
      </c>
      <c r="D545" s="91">
        <v>0</v>
      </c>
    </row>
    <row r="546" spans="1:4" ht="15">
      <c r="A546" s="1078" t="s">
        <v>5957</v>
      </c>
      <c r="B546" t="s">
        <v>1330</v>
      </c>
      <c r="C546" s="1078" t="s">
        <v>2035</v>
      </c>
      <c r="D546" s="91">
        <v>125769.60421281178</v>
      </c>
    </row>
    <row r="547" spans="1:4" ht="15">
      <c r="A547" s="1078" t="s">
        <v>5958</v>
      </c>
      <c r="B547" t="s">
        <v>1862</v>
      </c>
      <c r="C547" s="1078" t="s">
        <v>829</v>
      </c>
      <c r="D547" s="91">
        <v>0</v>
      </c>
    </row>
    <row r="548" spans="1:4" ht="15">
      <c r="A548" s="1078" t="s">
        <v>3605</v>
      </c>
      <c r="B548" t="s">
        <v>2510</v>
      </c>
      <c r="C548" s="1078" t="s">
        <v>144</v>
      </c>
      <c r="D548" s="91">
        <v>32819.951195256108</v>
      </c>
    </row>
    <row r="549" spans="1:4" ht="15">
      <c r="A549" s="1078" t="s">
        <v>3606</v>
      </c>
      <c r="B549" t="s">
        <v>259</v>
      </c>
      <c r="C549" s="1078" t="s">
        <v>1939</v>
      </c>
      <c r="D549" s="91">
        <v>0</v>
      </c>
    </row>
    <row r="550" spans="1:4" ht="15">
      <c r="A550" s="1078" t="s">
        <v>5090</v>
      </c>
      <c r="B550" t="s">
        <v>47</v>
      </c>
      <c r="C550" s="1078" t="s">
        <v>409</v>
      </c>
      <c r="D550" s="91">
        <v>629720.87157438265</v>
      </c>
    </row>
    <row r="551" spans="1:4" ht="15">
      <c r="A551" s="1078" t="s">
        <v>3607</v>
      </c>
      <c r="B551" t="s">
        <v>2511</v>
      </c>
      <c r="C551" s="1078" t="s">
        <v>414</v>
      </c>
      <c r="D551" s="91">
        <v>377757.54175651219</v>
      </c>
    </row>
    <row r="552" spans="1:4" ht="15">
      <c r="A552" s="1078" t="s">
        <v>5959</v>
      </c>
      <c r="B552" t="s">
        <v>1153</v>
      </c>
      <c r="C552" s="1078" t="s">
        <v>2036</v>
      </c>
      <c r="D552" s="91">
        <v>71842.979317389792</v>
      </c>
    </row>
    <row r="553" spans="1:4" ht="15">
      <c r="A553" s="1078" t="s">
        <v>3608</v>
      </c>
      <c r="B553" t="s">
        <v>1686</v>
      </c>
      <c r="C553" s="1078" t="s">
        <v>893</v>
      </c>
      <c r="D553" s="91">
        <v>183275.92945985985</v>
      </c>
    </row>
    <row r="554" spans="1:4" ht="15">
      <c r="A554" s="1078" t="s">
        <v>3609</v>
      </c>
      <c r="B554" t="s">
        <v>2403</v>
      </c>
      <c r="C554" s="1078" t="s">
        <v>416</v>
      </c>
      <c r="D554" s="91">
        <v>0</v>
      </c>
    </row>
    <row r="555" spans="1:4" ht="15">
      <c r="A555" s="1078" t="s">
        <v>3610</v>
      </c>
      <c r="B555" t="s">
        <v>1339</v>
      </c>
      <c r="C555" s="1078" t="s">
        <v>111</v>
      </c>
      <c r="D555" s="91">
        <v>0</v>
      </c>
    </row>
    <row r="556" spans="1:4" ht="15">
      <c r="A556" s="1078" t="s">
        <v>3611</v>
      </c>
      <c r="B556" t="s">
        <v>49</v>
      </c>
      <c r="C556" s="1078" t="s">
        <v>411</v>
      </c>
      <c r="D556" s="91">
        <v>0</v>
      </c>
    </row>
    <row r="557" spans="1:4" ht="15">
      <c r="A557" s="1078" t="s">
        <v>3612</v>
      </c>
      <c r="B557" t="s">
        <v>51</v>
      </c>
      <c r="C557" s="1078" t="s">
        <v>413</v>
      </c>
      <c r="D557" s="91">
        <v>0</v>
      </c>
    </row>
    <row r="558" spans="1:4" ht="15">
      <c r="A558" s="1078" t="s">
        <v>5960</v>
      </c>
      <c r="B558" t="s">
        <v>2554</v>
      </c>
      <c r="C558" s="1078" t="s">
        <v>2037</v>
      </c>
      <c r="D558" s="91">
        <v>0</v>
      </c>
    </row>
    <row r="559" spans="1:4" ht="15">
      <c r="A559" s="1078" t="s">
        <v>5961</v>
      </c>
      <c r="B559" t="s">
        <v>2555</v>
      </c>
      <c r="C559" s="1078" t="s">
        <v>2038</v>
      </c>
      <c r="D559" s="91">
        <v>0</v>
      </c>
    </row>
    <row r="560" spans="1:4" ht="15">
      <c r="A560" s="1078" t="s">
        <v>3613</v>
      </c>
      <c r="B560" t="s">
        <v>494</v>
      </c>
      <c r="C560" s="1078" t="s">
        <v>1246</v>
      </c>
      <c r="D560" s="91">
        <v>0</v>
      </c>
    </row>
    <row r="561" spans="1:4" ht="15">
      <c r="A561" s="1078" t="s">
        <v>5962</v>
      </c>
      <c r="B561" t="s">
        <v>2556</v>
      </c>
      <c r="C561" s="1078" t="s">
        <v>2039</v>
      </c>
      <c r="D561" s="91">
        <v>0</v>
      </c>
    </row>
    <row r="562" spans="1:4" ht="15">
      <c r="A562" s="1078" t="s">
        <v>5963</v>
      </c>
      <c r="B562" t="s">
        <v>1539</v>
      </c>
      <c r="C562" s="1078" t="s">
        <v>2040</v>
      </c>
      <c r="D562" s="91">
        <v>0</v>
      </c>
    </row>
    <row r="563" spans="1:4" ht="15">
      <c r="A563" s="1078" t="s">
        <v>5964</v>
      </c>
      <c r="B563" t="s">
        <v>2689</v>
      </c>
      <c r="C563" s="1078" t="s">
        <v>2041</v>
      </c>
      <c r="D563" s="91">
        <v>25469.478738500282</v>
      </c>
    </row>
    <row r="564" spans="1:4" ht="15">
      <c r="A564" s="1078" t="s">
        <v>6747</v>
      </c>
      <c r="B564" t="s">
        <v>2320</v>
      </c>
      <c r="C564" s="1078" t="s">
        <v>2042</v>
      </c>
      <c r="D564" s="91">
        <v>0</v>
      </c>
    </row>
    <row r="565" spans="1:4" ht="15">
      <c r="A565" s="1078" t="s">
        <v>3614</v>
      </c>
      <c r="B565" t="s">
        <v>1541</v>
      </c>
      <c r="C565" s="1078" t="s">
        <v>659</v>
      </c>
      <c r="D565" s="91">
        <v>0</v>
      </c>
    </row>
    <row r="566" spans="1:4" ht="15">
      <c r="A566" s="1078" t="s">
        <v>5965</v>
      </c>
      <c r="B566" t="s">
        <v>2545</v>
      </c>
      <c r="C566" s="1078" t="s">
        <v>2043</v>
      </c>
      <c r="D566" s="91">
        <v>0</v>
      </c>
    </row>
    <row r="567" spans="1:4" ht="15">
      <c r="A567" s="1078" t="s">
        <v>5966</v>
      </c>
      <c r="B567" t="s">
        <v>2546</v>
      </c>
      <c r="C567" s="1078" t="s">
        <v>2044</v>
      </c>
      <c r="D567" s="91">
        <v>0</v>
      </c>
    </row>
    <row r="568" spans="1:4" ht="15">
      <c r="A568" s="1078" t="s">
        <v>5967</v>
      </c>
      <c r="B568" t="s">
        <v>487</v>
      </c>
      <c r="C568" s="1078" t="s">
        <v>2045</v>
      </c>
      <c r="D568" s="91">
        <v>0</v>
      </c>
    </row>
    <row r="569" spans="1:4" ht="15">
      <c r="A569" s="1078" t="s">
        <v>6748</v>
      </c>
      <c r="B569" t="s">
        <v>2278</v>
      </c>
      <c r="C569" s="1078" t="s">
        <v>2046</v>
      </c>
      <c r="D569" s="91">
        <v>0</v>
      </c>
    </row>
    <row r="570" spans="1:4" ht="15">
      <c r="A570" s="1078" t="s">
        <v>6749</v>
      </c>
      <c r="B570" t="s">
        <v>2279</v>
      </c>
      <c r="C570" s="1078" t="s">
        <v>2047</v>
      </c>
      <c r="D570" s="91">
        <v>0</v>
      </c>
    </row>
    <row r="571" spans="1:4" ht="15">
      <c r="A571" s="1078" t="s">
        <v>5968</v>
      </c>
      <c r="B571" t="s">
        <v>1534</v>
      </c>
      <c r="C571" s="1078" t="s">
        <v>2048</v>
      </c>
      <c r="D571" s="91">
        <v>0</v>
      </c>
    </row>
    <row r="572" spans="1:4" ht="15">
      <c r="A572" s="1078" t="s">
        <v>6750</v>
      </c>
      <c r="B572" t="s">
        <v>1535</v>
      </c>
      <c r="C572" s="1078" t="s">
        <v>2049</v>
      </c>
      <c r="D572" s="91">
        <v>220415.26029492679</v>
      </c>
    </row>
    <row r="573" spans="1:4" ht="15">
      <c r="A573" s="1078" t="s">
        <v>3615</v>
      </c>
      <c r="B573" t="s">
        <v>2512</v>
      </c>
      <c r="C573" s="1078" t="s">
        <v>2016</v>
      </c>
      <c r="D573" s="91">
        <v>0</v>
      </c>
    </row>
    <row r="574" spans="1:4" ht="15">
      <c r="A574" s="1078" t="s">
        <v>6751</v>
      </c>
      <c r="B574" t="s">
        <v>393</v>
      </c>
      <c r="C574" s="1078" t="s">
        <v>2050</v>
      </c>
      <c r="D574" s="91">
        <v>0</v>
      </c>
    </row>
    <row r="575" spans="1:4" ht="15">
      <c r="A575" s="1078" t="s">
        <v>6752</v>
      </c>
      <c r="B575" t="s">
        <v>394</v>
      </c>
      <c r="C575" s="1078" t="s">
        <v>2051</v>
      </c>
      <c r="D575" s="91">
        <v>0</v>
      </c>
    </row>
    <row r="576" spans="1:4" ht="15">
      <c r="A576" s="1078" t="s">
        <v>5969</v>
      </c>
      <c r="B576" t="s">
        <v>395</v>
      </c>
      <c r="C576" s="1078" t="s">
        <v>2052</v>
      </c>
      <c r="D576" s="91">
        <v>0</v>
      </c>
    </row>
    <row r="577" spans="1:4" ht="15">
      <c r="A577" s="1078" t="s">
        <v>3616</v>
      </c>
      <c r="B577" t="s">
        <v>2513</v>
      </c>
      <c r="C577" s="1078" t="s">
        <v>1691</v>
      </c>
      <c r="D577" s="91">
        <v>100352.71845696784</v>
      </c>
    </row>
    <row r="578" spans="1:4" ht="15">
      <c r="A578" s="1078" t="s">
        <v>6753</v>
      </c>
      <c r="B578" t="s">
        <v>242</v>
      </c>
      <c r="C578" s="1078" t="s">
        <v>2053</v>
      </c>
      <c r="D578" s="91">
        <v>0</v>
      </c>
    </row>
    <row r="579" spans="1:4" ht="15">
      <c r="A579" s="1078" t="s">
        <v>6754</v>
      </c>
      <c r="B579" t="s">
        <v>243</v>
      </c>
      <c r="C579" s="1078" t="s">
        <v>2054</v>
      </c>
      <c r="D579" s="91">
        <v>0</v>
      </c>
    </row>
    <row r="580" spans="1:4" ht="15">
      <c r="A580" s="1078" t="s">
        <v>5970</v>
      </c>
      <c r="B580" t="s">
        <v>244</v>
      </c>
      <c r="C580" s="1078" t="s">
        <v>2055</v>
      </c>
      <c r="D580" s="91">
        <v>0</v>
      </c>
    </row>
    <row r="581" spans="1:4" ht="15">
      <c r="A581" s="1078" t="s">
        <v>3617</v>
      </c>
      <c r="B581" t="s">
        <v>2325</v>
      </c>
      <c r="C581" s="1078" t="s">
        <v>612</v>
      </c>
      <c r="D581" s="91">
        <v>0</v>
      </c>
    </row>
    <row r="582" spans="1:4" ht="15">
      <c r="A582" s="1078" t="s">
        <v>3618</v>
      </c>
      <c r="B582" t="s">
        <v>2023</v>
      </c>
      <c r="C582" s="1078" t="s">
        <v>198</v>
      </c>
      <c r="D582" s="91">
        <v>0</v>
      </c>
    </row>
    <row r="583" spans="1:4" ht="15">
      <c r="A583" s="1078" t="s">
        <v>5971</v>
      </c>
      <c r="B583" t="s">
        <v>2076</v>
      </c>
      <c r="C583" s="1078" t="s">
        <v>2429</v>
      </c>
      <c r="D583" s="91">
        <v>0</v>
      </c>
    </row>
    <row r="584" spans="1:4" ht="15">
      <c r="A584" s="1078" t="s">
        <v>3619</v>
      </c>
      <c r="B584" t="s">
        <v>2514</v>
      </c>
      <c r="C584" s="1078" t="s">
        <v>2101</v>
      </c>
      <c r="D584" s="91">
        <v>0</v>
      </c>
    </row>
    <row r="585" spans="1:4" ht="15">
      <c r="A585" s="1078" t="s">
        <v>6755</v>
      </c>
      <c r="B585" t="s">
        <v>1557</v>
      </c>
      <c r="C585" s="1078" t="s">
        <v>2430</v>
      </c>
      <c r="D585" s="91">
        <v>0</v>
      </c>
    </row>
    <row r="586" spans="1:4" ht="15">
      <c r="A586" s="1078" t="s">
        <v>6756</v>
      </c>
      <c r="B586" t="s">
        <v>1558</v>
      </c>
      <c r="C586" s="1078" t="s">
        <v>943</v>
      </c>
      <c r="D586" s="91">
        <v>0</v>
      </c>
    </row>
    <row r="587" spans="1:4" ht="15">
      <c r="A587" s="1078" t="s">
        <v>5142</v>
      </c>
      <c r="B587" t="s">
        <v>1412</v>
      </c>
      <c r="C587" s="1078" t="s">
        <v>826</v>
      </c>
      <c r="D587" s="91">
        <v>0</v>
      </c>
    </row>
    <row r="588" spans="1:4" ht="15">
      <c r="A588" s="1078" t="s">
        <v>6757</v>
      </c>
      <c r="B588" t="s">
        <v>2261</v>
      </c>
      <c r="C588" s="1078" t="s">
        <v>945</v>
      </c>
      <c r="D588" s="91">
        <v>0</v>
      </c>
    </row>
    <row r="589" spans="1:4" ht="15">
      <c r="A589" s="1078" t="s">
        <v>5972</v>
      </c>
      <c r="B589" t="s">
        <v>2262</v>
      </c>
      <c r="C589" s="1078" t="s">
        <v>946</v>
      </c>
      <c r="D589" s="91">
        <v>0</v>
      </c>
    </row>
    <row r="590" spans="1:4" ht="15">
      <c r="A590" s="1078" t="s">
        <v>3620</v>
      </c>
      <c r="B590" t="s">
        <v>2263</v>
      </c>
      <c r="C590" s="1078" t="s">
        <v>947</v>
      </c>
      <c r="D590" s="91">
        <v>0</v>
      </c>
    </row>
    <row r="591" spans="1:4" ht="15">
      <c r="A591" s="1078" t="s">
        <v>5973</v>
      </c>
      <c r="B591" t="s">
        <v>2264</v>
      </c>
      <c r="C591" s="1078" t="s">
        <v>948</v>
      </c>
      <c r="D591" s="91">
        <v>0</v>
      </c>
    </row>
    <row r="592" spans="1:4" ht="15">
      <c r="A592" s="1078" t="s">
        <v>3621</v>
      </c>
      <c r="B592" t="s">
        <v>2401</v>
      </c>
      <c r="C592" s="1078" t="s">
        <v>1102</v>
      </c>
      <c r="D592" s="91">
        <v>530423.8728059656</v>
      </c>
    </row>
    <row r="593" spans="1:4" ht="15">
      <c r="A593" s="1078" t="s">
        <v>5974</v>
      </c>
      <c r="B593" t="s">
        <v>2265</v>
      </c>
      <c r="C593" s="1078" t="s">
        <v>949</v>
      </c>
      <c r="D593" s="91">
        <v>0</v>
      </c>
    </row>
    <row r="594" spans="1:4" ht="15">
      <c r="A594" s="1078" t="s">
        <v>6758</v>
      </c>
      <c r="B594" t="s">
        <v>2266</v>
      </c>
      <c r="C594" s="1078" t="s">
        <v>950</v>
      </c>
      <c r="D594" s="91">
        <v>71890.264751337687</v>
      </c>
    </row>
    <row r="595" spans="1:4" ht="15">
      <c r="A595" s="1078" t="s">
        <v>6759</v>
      </c>
      <c r="B595" t="s">
        <v>2267</v>
      </c>
      <c r="C595" s="1078" t="s">
        <v>951</v>
      </c>
      <c r="D595" s="91">
        <v>208654.21486146064</v>
      </c>
    </row>
    <row r="596" spans="1:4" ht="15">
      <c r="A596" s="1078" t="s">
        <v>6760</v>
      </c>
      <c r="B596" t="s">
        <v>2268</v>
      </c>
      <c r="C596" s="1078" t="s">
        <v>952</v>
      </c>
      <c r="D596" s="91">
        <v>0</v>
      </c>
    </row>
    <row r="597" spans="1:4" ht="15">
      <c r="A597" s="1078" t="s">
        <v>6761</v>
      </c>
      <c r="B597" t="s">
        <v>2269</v>
      </c>
      <c r="C597" s="1078" t="s">
        <v>953</v>
      </c>
      <c r="D597" s="91">
        <v>0</v>
      </c>
    </row>
    <row r="598" spans="1:4" ht="15">
      <c r="A598" s="1078" t="s">
        <v>5975</v>
      </c>
      <c r="B598" t="s">
        <v>2586</v>
      </c>
      <c r="C598" s="1078" t="s">
        <v>954</v>
      </c>
      <c r="D598" s="91">
        <v>24443.674324488013</v>
      </c>
    </row>
    <row r="599" spans="1:4" ht="15">
      <c r="A599" s="1078" t="s">
        <v>5976</v>
      </c>
      <c r="B599" t="s">
        <v>2587</v>
      </c>
      <c r="C599" s="1078" t="s">
        <v>955</v>
      </c>
      <c r="D599" s="91">
        <v>106101.27621263206</v>
      </c>
    </row>
    <row r="600" spans="1:4" ht="15">
      <c r="A600" s="1078" t="s">
        <v>5977</v>
      </c>
      <c r="B600" t="s">
        <v>2588</v>
      </c>
      <c r="C600" s="1078" t="s">
        <v>956</v>
      </c>
      <c r="D600" s="91">
        <v>0</v>
      </c>
    </row>
    <row r="601" spans="1:4" ht="15">
      <c r="A601" s="1078" t="s">
        <v>6762</v>
      </c>
      <c r="B601" t="s">
        <v>2589</v>
      </c>
      <c r="C601" s="1078" t="s">
        <v>957</v>
      </c>
      <c r="D601" s="91">
        <v>28330.729996775328</v>
      </c>
    </row>
    <row r="602" spans="1:4" ht="15">
      <c r="A602" s="1078" t="s">
        <v>5978</v>
      </c>
      <c r="B602" t="s">
        <v>2590</v>
      </c>
      <c r="C602" s="1078" t="s">
        <v>958</v>
      </c>
      <c r="D602" s="91">
        <v>5919.364323190267</v>
      </c>
    </row>
    <row r="603" spans="1:4" ht="15">
      <c r="A603" s="1078" t="s">
        <v>5979</v>
      </c>
      <c r="B603" t="s">
        <v>1381</v>
      </c>
      <c r="C603" s="1078" t="s">
        <v>1824</v>
      </c>
      <c r="D603" s="91">
        <v>296525.99127832719</v>
      </c>
    </row>
    <row r="604" spans="1:4" ht="15">
      <c r="A604" s="1078" t="s">
        <v>5980</v>
      </c>
      <c r="B604" t="s">
        <v>1382</v>
      </c>
      <c r="C604" s="1078" t="s">
        <v>1825</v>
      </c>
      <c r="D604" s="91">
        <v>110559.13462329029</v>
      </c>
    </row>
    <row r="605" spans="1:4" ht="15">
      <c r="A605" s="1078" t="s">
        <v>5981</v>
      </c>
      <c r="B605" t="s">
        <v>2426</v>
      </c>
      <c r="C605" s="1078" t="s">
        <v>1826</v>
      </c>
      <c r="D605" s="91">
        <v>0</v>
      </c>
    </row>
    <row r="606" spans="1:4" ht="15">
      <c r="A606" s="1078" t="s">
        <v>5982</v>
      </c>
      <c r="B606" t="s">
        <v>2111</v>
      </c>
      <c r="C606" s="1078" t="s">
        <v>2005</v>
      </c>
      <c r="D606" s="91">
        <v>0</v>
      </c>
    </row>
    <row r="607" spans="1:4" ht="15">
      <c r="A607" s="1078" t="s">
        <v>3622</v>
      </c>
      <c r="B607" t="s">
        <v>2633</v>
      </c>
      <c r="C607" s="1078" t="s">
        <v>1164</v>
      </c>
      <c r="D607" s="91">
        <v>0</v>
      </c>
    </row>
    <row r="608" spans="1:4" ht="15">
      <c r="A608" s="1078" t="s">
        <v>3623</v>
      </c>
      <c r="B608" t="s">
        <v>2408</v>
      </c>
      <c r="C608" s="1078" t="s">
        <v>2664</v>
      </c>
      <c r="D608" s="91">
        <v>0</v>
      </c>
    </row>
    <row r="609" spans="1:4" ht="15">
      <c r="A609" s="1078" t="s">
        <v>5983</v>
      </c>
      <c r="B609" t="s">
        <v>2112</v>
      </c>
      <c r="C609" s="1078" t="s">
        <v>2006</v>
      </c>
      <c r="D609" s="91">
        <v>0</v>
      </c>
    </row>
    <row r="610" spans="1:4" ht="15">
      <c r="A610" s="1078" t="s">
        <v>3624</v>
      </c>
      <c r="B610" t="s">
        <v>2515</v>
      </c>
      <c r="C610" s="1078" t="s">
        <v>1735</v>
      </c>
      <c r="D610" s="91">
        <v>0</v>
      </c>
    </row>
    <row r="611" spans="1:4" ht="15">
      <c r="A611" s="1078" t="s">
        <v>3625</v>
      </c>
      <c r="B611" t="s">
        <v>1116</v>
      </c>
      <c r="C611" s="1078" t="s">
        <v>2384</v>
      </c>
      <c r="D611" s="91">
        <v>54149.05943674827</v>
      </c>
    </row>
    <row r="612" spans="1:4" ht="15">
      <c r="A612" s="1078" t="s">
        <v>5984</v>
      </c>
      <c r="B612" t="s">
        <v>2113</v>
      </c>
      <c r="C612" s="1078" t="s">
        <v>543</v>
      </c>
      <c r="D612" s="91">
        <v>127924.46898843681</v>
      </c>
    </row>
    <row r="613" spans="1:4" ht="15">
      <c r="A613" s="1078" t="s">
        <v>5985</v>
      </c>
      <c r="B613" t="s">
        <v>2114</v>
      </c>
      <c r="C613" s="1078" t="s">
        <v>544</v>
      </c>
      <c r="D613" s="91">
        <v>0</v>
      </c>
    </row>
    <row r="614" spans="1:4" ht="15">
      <c r="A614" s="1078" t="s">
        <v>3626</v>
      </c>
      <c r="B614" t="s">
        <v>967</v>
      </c>
      <c r="C614" s="1078" t="s">
        <v>1554</v>
      </c>
      <c r="D614" s="91">
        <v>0</v>
      </c>
    </row>
    <row r="615" spans="1:4" ht="15">
      <c r="A615" s="1078" t="s">
        <v>5986</v>
      </c>
      <c r="B615" t="s">
        <v>1337</v>
      </c>
      <c r="C615" s="1078" t="s">
        <v>545</v>
      </c>
      <c r="D615" s="91">
        <v>0</v>
      </c>
    </row>
    <row r="616" spans="1:4" ht="15">
      <c r="A616" s="1078" t="s">
        <v>5987</v>
      </c>
      <c r="B616" t="s">
        <v>1689</v>
      </c>
      <c r="C616" s="1078" t="s">
        <v>546</v>
      </c>
      <c r="D616" s="91">
        <v>0</v>
      </c>
    </row>
    <row r="617" spans="1:4" ht="15">
      <c r="A617" s="1078" t="s">
        <v>5988</v>
      </c>
      <c r="B617" t="s">
        <v>1690</v>
      </c>
      <c r="C617" s="1078" t="s">
        <v>547</v>
      </c>
      <c r="D617" s="91">
        <v>150365.74993656031</v>
      </c>
    </row>
    <row r="618" spans="1:4" ht="15">
      <c r="A618" s="1078" t="s">
        <v>5989</v>
      </c>
      <c r="B618" t="s">
        <v>2557</v>
      </c>
      <c r="C618" s="1078" t="s">
        <v>548</v>
      </c>
      <c r="D618" s="91">
        <v>0</v>
      </c>
    </row>
    <row r="619" spans="1:4" ht="15">
      <c r="A619" s="1078" t="s">
        <v>5990</v>
      </c>
      <c r="B619" t="s">
        <v>2558</v>
      </c>
      <c r="C619" s="1078" t="s">
        <v>549</v>
      </c>
      <c r="D619" s="91">
        <v>0</v>
      </c>
    </row>
    <row r="620" spans="1:4" ht="15">
      <c r="A620" s="1078" t="s">
        <v>5991</v>
      </c>
      <c r="B620" t="s">
        <v>2659</v>
      </c>
      <c r="C620" s="1078" t="s">
        <v>550</v>
      </c>
      <c r="D620" s="91">
        <v>0</v>
      </c>
    </row>
    <row r="621" spans="1:4" ht="15">
      <c r="A621" s="1078" t="s">
        <v>5992</v>
      </c>
      <c r="B621" t="s">
        <v>837</v>
      </c>
      <c r="C621" s="1078" t="s">
        <v>551</v>
      </c>
      <c r="D621" s="91">
        <v>0</v>
      </c>
    </row>
    <row r="622" spans="1:4" ht="15">
      <c r="A622" s="1078" t="s">
        <v>5993</v>
      </c>
      <c r="B622" t="s">
        <v>82</v>
      </c>
      <c r="C622" s="1078" t="s">
        <v>552</v>
      </c>
      <c r="D622" s="91">
        <v>170531.0574976209</v>
      </c>
    </row>
    <row r="623" spans="1:4" ht="15">
      <c r="A623" s="1078" t="s">
        <v>5994</v>
      </c>
      <c r="B623" t="s">
        <v>83</v>
      </c>
      <c r="C623" s="1078" t="s">
        <v>553</v>
      </c>
      <c r="D623" s="91">
        <v>0</v>
      </c>
    </row>
    <row r="624" spans="1:4" ht="15">
      <c r="A624" s="1078" t="s">
        <v>5163</v>
      </c>
      <c r="B624" t="s">
        <v>2284</v>
      </c>
      <c r="C624" s="1078" t="s">
        <v>586</v>
      </c>
      <c r="D624" s="91">
        <v>0</v>
      </c>
    </row>
    <row r="625" spans="1:4" ht="15">
      <c r="A625" s="1078" t="s">
        <v>6763</v>
      </c>
      <c r="B625" t="s">
        <v>2410</v>
      </c>
      <c r="C625" s="1078" t="s">
        <v>554</v>
      </c>
      <c r="D625" s="91">
        <v>0</v>
      </c>
    </row>
    <row r="626" spans="1:4" ht="15">
      <c r="A626" s="1078" t="s">
        <v>5995</v>
      </c>
      <c r="B626" t="s">
        <v>2411</v>
      </c>
      <c r="C626" s="1078" t="s">
        <v>555</v>
      </c>
      <c r="D626" s="91">
        <v>0</v>
      </c>
    </row>
    <row r="627" spans="1:4" ht="15">
      <c r="A627" s="1078" t="s">
        <v>3627</v>
      </c>
      <c r="B627" t="s">
        <v>2104</v>
      </c>
      <c r="C627" s="1078" t="s">
        <v>587</v>
      </c>
      <c r="D627" s="91">
        <v>0</v>
      </c>
    </row>
    <row r="628" spans="1:4" ht="15">
      <c r="A628" s="1078" t="s">
        <v>3628</v>
      </c>
      <c r="B628" t="s">
        <v>1423</v>
      </c>
      <c r="C628" s="1078" t="s">
        <v>2303</v>
      </c>
      <c r="D628" s="91">
        <v>0</v>
      </c>
    </row>
    <row r="629" spans="1:4" ht="15">
      <c r="A629" s="1078" t="s">
        <v>5996</v>
      </c>
      <c r="B629" t="s">
        <v>2412</v>
      </c>
      <c r="C629" s="1078" t="s">
        <v>556</v>
      </c>
      <c r="D629" s="91">
        <v>90210.475379574666</v>
      </c>
    </row>
    <row r="630" spans="1:4" ht="15">
      <c r="A630" s="1078" t="s">
        <v>3629</v>
      </c>
      <c r="B630" t="s">
        <v>496</v>
      </c>
      <c r="C630" s="1078" t="s">
        <v>1248</v>
      </c>
      <c r="D630" s="91">
        <v>0</v>
      </c>
    </row>
    <row r="631" spans="1:4" ht="15">
      <c r="A631" s="1078" t="s">
        <v>3630</v>
      </c>
      <c r="B631" t="s">
        <v>677</v>
      </c>
      <c r="C631" s="1078" t="s">
        <v>557</v>
      </c>
      <c r="D631" s="91">
        <v>0</v>
      </c>
    </row>
    <row r="632" spans="1:4" ht="15">
      <c r="A632" s="1078" t="s">
        <v>5997</v>
      </c>
      <c r="B632" t="s">
        <v>2347</v>
      </c>
      <c r="C632" s="1078" t="s">
        <v>558</v>
      </c>
      <c r="D632" s="91">
        <v>57293.05828985454</v>
      </c>
    </row>
    <row r="633" spans="1:4" ht="15">
      <c r="A633" s="1078" t="s">
        <v>6764</v>
      </c>
      <c r="B633" t="s">
        <v>2348</v>
      </c>
      <c r="C633" s="1078" t="s">
        <v>559</v>
      </c>
      <c r="D633" s="91">
        <v>0</v>
      </c>
    </row>
    <row r="634" spans="1:4" ht="15">
      <c r="A634" s="1078" t="s">
        <v>5998</v>
      </c>
      <c r="B634" t="s">
        <v>2349</v>
      </c>
      <c r="C634" s="1078" t="s">
        <v>560</v>
      </c>
      <c r="D634" s="91">
        <v>0</v>
      </c>
    </row>
    <row r="635" spans="1:4" ht="15">
      <c r="A635" s="1078" t="s">
        <v>6765</v>
      </c>
      <c r="B635" t="s">
        <v>1464</v>
      </c>
      <c r="C635" s="1078" t="s">
        <v>561</v>
      </c>
      <c r="D635" s="91">
        <v>1006.9867413187225</v>
      </c>
    </row>
    <row r="636" spans="1:4" ht="15">
      <c r="A636" s="1078" t="s">
        <v>3631</v>
      </c>
      <c r="B636" t="s">
        <v>2091</v>
      </c>
      <c r="C636" s="1078" t="s">
        <v>37</v>
      </c>
      <c r="D636" s="91">
        <v>414509.90404029138</v>
      </c>
    </row>
    <row r="637" spans="1:4" ht="15">
      <c r="A637" s="1078" t="s">
        <v>3632</v>
      </c>
      <c r="B637" t="s">
        <v>1465</v>
      </c>
      <c r="C637" s="1078" t="s">
        <v>562</v>
      </c>
      <c r="D637" s="91">
        <v>177311.20972043384</v>
      </c>
    </row>
    <row r="638" spans="1:4" ht="15">
      <c r="A638" s="1078" t="s">
        <v>5999</v>
      </c>
      <c r="B638" t="s">
        <v>382</v>
      </c>
      <c r="C638" s="1078" t="s">
        <v>563</v>
      </c>
      <c r="D638" s="91">
        <v>0</v>
      </c>
    </row>
    <row r="639" spans="1:4" ht="15">
      <c r="A639" s="1078" t="s">
        <v>6000</v>
      </c>
      <c r="B639" t="s">
        <v>383</v>
      </c>
      <c r="C639" s="1078" t="s">
        <v>564</v>
      </c>
      <c r="D639" s="91">
        <v>0</v>
      </c>
    </row>
    <row r="640" spans="1:4" ht="15">
      <c r="A640" s="1078" t="s">
        <v>6001</v>
      </c>
      <c r="B640" t="s">
        <v>384</v>
      </c>
      <c r="C640" s="1078" t="s">
        <v>565</v>
      </c>
      <c r="D640" s="91">
        <v>0</v>
      </c>
    </row>
    <row r="641" spans="1:4" ht="15">
      <c r="A641" s="1078" t="s">
        <v>6002</v>
      </c>
      <c r="B641" t="s">
        <v>1655</v>
      </c>
      <c r="C641" s="1078" t="s">
        <v>566</v>
      </c>
      <c r="D641" s="91">
        <v>0</v>
      </c>
    </row>
    <row r="642" spans="1:4" ht="15">
      <c r="A642" s="1078" t="s">
        <v>6003</v>
      </c>
      <c r="B642" t="s">
        <v>1656</v>
      </c>
      <c r="C642" s="1078" t="s">
        <v>567</v>
      </c>
      <c r="D642" s="91">
        <v>0</v>
      </c>
    </row>
    <row r="643" spans="1:4" ht="15">
      <c r="A643" s="1078" t="s">
        <v>6004</v>
      </c>
      <c r="B643" t="s">
        <v>173</v>
      </c>
      <c r="C643" s="1078" t="s">
        <v>1745</v>
      </c>
      <c r="D643" s="91">
        <v>0</v>
      </c>
    </row>
    <row r="644" spans="1:4" ht="15">
      <c r="A644" s="1078" t="s">
        <v>6005</v>
      </c>
      <c r="B644" t="s">
        <v>2128</v>
      </c>
      <c r="C644" s="1078" t="s">
        <v>1746</v>
      </c>
      <c r="D644" s="91">
        <v>0</v>
      </c>
    </row>
    <row r="645" spans="1:4" ht="15">
      <c r="A645" s="1078" t="s">
        <v>6006</v>
      </c>
      <c r="B645" t="s">
        <v>2129</v>
      </c>
      <c r="C645" s="1078" t="s">
        <v>1747</v>
      </c>
      <c r="D645" s="91">
        <v>0</v>
      </c>
    </row>
    <row r="646" spans="1:4" ht="15">
      <c r="A646" s="1078" t="s">
        <v>6766</v>
      </c>
      <c r="B646" t="s">
        <v>2130</v>
      </c>
      <c r="C646" s="1078" t="s">
        <v>1748</v>
      </c>
      <c r="D646" s="91">
        <v>0</v>
      </c>
    </row>
    <row r="647" spans="1:4" ht="15">
      <c r="A647" s="1078" t="s">
        <v>3633</v>
      </c>
      <c r="B647" t="s">
        <v>1813</v>
      </c>
      <c r="C647" s="1078" t="s">
        <v>1062</v>
      </c>
      <c r="D647" s="91">
        <v>0</v>
      </c>
    </row>
    <row r="648" spans="1:4" ht="15">
      <c r="A648" s="1078" t="s">
        <v>3634</v>
      </c>
      <c r="B648" t="s">
        <v>880</v>
      </c>
      <c r="C648" s="1078" t="s">
        <v>1854</v>
      </c>
      <c r="D648" s="91">
        <v>16993.805955556018</v>
      </c>
    </row>
    <row r="649" spans="1:4" ht="15">
      <c r="A649" s="1078" t="s">
        <v>6767</v>
      </c>
      <c r="B649" t="s">
        <v>1403</v>
      </c>
      <c r="C649" s="1078" t="s">
        <v>1749</v>
      </c>
      <c r="D649" s="91">
        <v>0</v>
      </c>
    </row>
    <row r="650" spans="1:4" ht="15">
      <c r="A650" s="1078" t="s">
        <v>3635</v>
      </c>
      <c r="B650" t="s">
        <v>1988</v>
      </c>
      <c r="C650" s="1078" t="s">
        <v>2228</v>
      </c>
      <c r="D650" s="91">
        <v>0</v>
      </c>
    </row>
    <row r="651" spans="1:4" ht="15">
      <c r="A651" s="1078" t="s">
        <v>3636</v>
      </c>
      <c r="B651" t="s">
        <v>968</v>
      </c>
      <c r="C651" s="1078" t="s">
        <v>417</v>
      </c>
      <c r="D651" s="91">
        <v>0</v>
      </c>
    </row>
    <row r="652" spans="1:4" ht="15">
      <c r="A652" s="1078" t="s">
        <v>6007</v>
      </c>
      <c r="B652" t="s">
        <v>900</v>
      </c>
      <c r="C652" s="1078" t="s">
        <v>1922</v>
      </c>
      <c r="D652" s="91">
        <v>0</v>
      </c>
    </row>
    <row r="653" spans="1:4" ht="15">
      <c r="A653" s="1078" t="s">
        <v>3637</v>
      </c>
      <c r="B653" t="s">
        <v>702</v>
      </c>
      <c r="C653" s="1078" t="s">
        <v>1899</v>
      </c>
      <c r="D653" s="91">
        <v>0</v>
      </c>
    </row>
    <row r="654" spans="1:4" ht="15">
      <c r="A654" s="1078" t="s">
        <v>3638</v>
      </c>
      <c r="B654" t="s">
        <v>969</v>
      </c>
      <c r="C654" s="1078" t="s">
        <v>1257</v>
      </c>
      <c r="D654" s="91">
        <v>0</v>
      </c>
    </row>
    <row r="655" spans="1:4" ht="15">
      <c r="A655" s="1078" t="s">
        <v>3639</v>
      </c>
      <c r="B655" t="s">
        <v>1835</v>
      </c>
      <c r="C655" s="1078" t="s">
        <v>2064</v>
      </c>
      <c r="D655" s="91">
        <v>0</v>
      </c>
    </row>
    <row r="656" spans="1:4" ht="15">
      <c r="A656" s="1078" t="s">
        <v>3640</v>
      </c>
      <c r="B656" t="s">
        <v>1542</v>
      </c>
      <c r="C656" s="1078" t="s">
        <v>819</v>
      </c>
      <c r="D656" s="91">
        <v>0</v>
      </c>
    </row>
    <row r="657" spans="1:4" ht="15">
      <c r="A657" s="1078" t="s">
        <v>3641</v>
      </c>
      <c r="B657" t="s">
        <v>113</v>
      </c>
      <c r="C657" s="1078" t="s">
        <v>1750</v>
      </c>
      <c r="D657" s="91">
        <v>0</v>
      </c>
    </row>
    <row r="658" spans="1:4" ht="15">
      <c r="A658" s="1078" t="s">
        <v>3642</v>
      </c>
      <c r="B658" t="s">
        <v>2086</v>
      </c>
      <c r="C658" s="1078" t="s">
        <v>1740</v>
      </c>
      <c r="D658" s="91">
        <v>0</v>
      </c>
    </row>
    <row r="659" spans="1:4" ht="15">
      <c r="A659" s="1078" t="s">
        <v>3643</v>
      </c>
      <c r="B659" t="s">
        <v>341</v>
      </c>
      <c r="C659" s="1078" t="s">
        <v>136</v>
      </c>
      <c r="D659" s="91">
        <v>0</v>
      </c>
    </row>
    <row r="660" spans="1:4" ht="15">
      <c r="A660" s="1078" t="s">
        <v>3644</v>
      </c>
      <c r="B660" t="s">
        <v>344</v>
      </c>
      <c r="C660" s="1078" t="s">
        <v>1430</v>
      </c>
      <c r="D660" s="91">
        <v>0</v>
      </c>
    </row>
    <row r="661" spans="1:4" ht="15">
      <c r="A661" s="1078" t="s">
        <v>6768</v>
      </c>
      <c r="B661" t="s">
        <v>2460</v>
      </c>
      <c r="C661" s="1078" t="s">
        <v>1751</v>
      </c>
      <c r="D661" s="91">
        <v>0</v>
      </c>
    </row>
    <row r="662" spans="1:4" ht="15">
      <c r="A662" s="1078" t="s">
        <v>3645</v>
      </c>
      <c r="B662" t="s">
        <v>2461</v>
      </c>
      <c r="C662" s="1078" t="s">
        <v>1752</v>
      </c>
      <c r="D662" s="91">
        <v>0</v>
      </c>
    </row>
    <row r="663" spans="1:4" ht="15">
      <c r="A663" s="1078" t="s">
        <v>3646</v>
      </c>
      <c r="B663" t="s">
        <v>72</v>
      </c>
      <c r="C663" s="1078" t="s">
        <v>1160</v>
      </c>
      <c r="D663" s="91">
        <v>0</v>
      </c>
    </row>
    <row r="664" spans="1:4" ht="15">
      <c r="A664" s="1078" t="s">
        <v>3647</v>
      </c>
      <c r="B664" t="s">
        <v>2310</v>
      </c>
      <c r="C664" s="1078" t="s">
        <v>1552</v>
      </c>
      <c r="D664" s="91">
        <v>0</v>
      </c>
    </row>
    <row r="665" spans="1:4" ht="15">
      <c r="A665" s="1078" t="s">
        <v>3648</v>
      </c>
      <c r="B665" t="s">
        <v>164</v>
      </c>
      <c r="C665" s="1078" t="s">
        <v>2698</v>
      </c>
      <c r="D665" s="91">
        <v>0</v>
      </c>
    </row>
    <row r="666" spans="1:4" ht="15">
      <c r="A666" s="1078" t="s">
        <v>3649</v>
      </c>
      <c r="B666" t="s">
        <v>879</v>
      </c>
      <c r="C666" s="1078" t="s">
        <v>1348</v>
      </c>
      <c r="D666" s="91">
        <v>0</v>
      </c>
    </row>
    <row r="667" spans="1:4" ht="15">
      <c r="A667" s="1078" t="s">
        <v>6008</v>
      </c>
      <c r="B667" t="s">
        <v>1837</v>
      </c>
      <c r="C667" s="1078" t="s">
        <v>1753</v>
      </c>
      <c r="D667" s="91">
        <v>0</v>
      </c>
    </row>
    <row r="668" spans="1:4" ht="15">
      <c r="A668" s="1078" t="s">
        <v>6769</v>
      </c>
      <c r="B668" t="s">
        <v>258</v>
      </c>
      <c r="C668" s="1078" t="s">
        <v>1754</v>
      </c>
      <c r="D668" s="91">
        <v>0</v>
      </c>
    </row>
    <row r="669" spans="1:4" ht="15">
      <c r="A669" s="1078" t="s">
        <v>6009</v>
      </c>
      <c r="B669" t="s">
        <v>1585</v>
      </c>
      <c r="C669" s="1078" t="s">
        <v>1755</v>
      </c>
      <c r="D669" s="91">
        <v>0</v>
      </c>
    </row>
    <row r="670" spans="1:4" ht="15">
      <c r="A670" s="1078" t="s">
        <v>3650</v>
      </c>
      <c r="B670" t="s">
        <v>1134</v>
      </c>
      <c r="C670" s="1078" t="s">
        <v>2669</v>
      </c>
      <c r="D670" s="91">
        <v>0</v>
      </c>
    </row>
    <row r="671" spans="1:4" ht="15">
      <c r="A671" s="1078" t="s">
        <v>3651</v>
      </c>
      <c r="B671" t="s">
        <v>1989</v>
      </c>
      <c r="C671" s="1078" t="s">
        <v>2178</v>
      </c>
      <c r="D671" s="91">
        <v>0</v>
      </c>
    </row>
    <row r="672" spans="1:4" ht="15">
      <c r="A672" s="1078" t="s">
        <v>3652</v>
      </c>
      <c r="B672" t="s">
        <v>920</v>
      </c>
      <c r="C672" s="1078" t="s">
        <v>2244</v>
      </c>
      <c r="D672" s="91">
        <v>0</v>
      </c>
    </row>
    <row r="673" spans="1:4" ht="15">
      <c r="A673" s="1078" t="s">
        <v>3653</v>
      </c>
      <c r="B673" t="s">
        <v>171</v>
      </c>
      <c r="C673" s="1078" t="s">
        <v>2378</v>
      </c>
      <c r="D673" s="91">
        <v>0</v>
      </c>
    </row>
    <row r="674" spans="1:4" ht="15">
      <c r="A674" s="1078" t="s">
        <v>3654</v>
      </c>
      <c r="B674" t="s">
        <v>2531</v>
      </c>
      <c r="C674" s="1078" t="s">
        <v>823</v>
      </c>
      <c r="D674" s="91">
        <v>0</v>
      </c>
    </row>
    <row r="675" spans="1:4" ht="15">
      <c r="A675" s="1078" t="s">
        <v>6770</v>
      </c>
      <c r="B675" t="s">
        <v>2583</v>
      </c>
      <c r="C675" s="1078" t="s">
        <v>1756</v>
      </c>
      <c r="D675" s="91">
        <v>0</v>
      </c>
    </row>
    <row r="676" spans="1:4" ht="15">
      <c r="A676" s="1078" t="s">
        <v>3655</v>
      </c>
      <c r="B676" t="s">
        <v>2534</v>
      </c>
      <c r="C676" s="1078" t="s">
        <v>2236</v>
      </c>
      <c r="D676" s="91">
        <v>1239490.6675537545</v>
      </c>
    </row>
    <row r="677" spans="1:4" ht="15">
      <c r="A677" s="1078" t="s">
        <v>6010</v>
      </c>
      <c r="B677" t="s">
        <v>1300</v>
      </c>
      <c r="C677" s="1078" t="s">
        <v>1757</v>
      </c>
      <c r="D677" s="91">
        <v>79551.952564179082</v>
      </c>
    </row>
    <row r="678" spans="1:4" ht="15">
      <c r="A678" s="1078" t="s">
        <v>3656</v>
      </c>
      <c r="B678" t="s">
        <v>1887</v>
      </c>
      <c r="C678" s="1078" t="s">
        <v>652</v>
      </c>
      <c r="D678" s="91">
        <v>0</v>
      </c>
    </row>
    <row r="679" spans="1:4" ht="15">
      <c r="A679" s="1078" t="s">
        <v>6771</v>
      </c>
      <c r="B679" t="s">
        <v>1360</v>
      </c>
      <c r="C679" s="1078" t="s">
        <v>1758</v>
      </c>
      <c r="D679" s="91">
        <v>3728.7942198903152</v>
      </c>
    </row>
    <row r="680" spans="1:4" ht="15">
      <c r="A680" s="1078" t="s">
        <v>6011</v>
      </c>
      <c r="B680" t="s">
        <v>2535</v>
      </c>
      <c r="C680" s="1078" t="s">
        <v>1759</v>
      </c>
      <c r="D680" s="91">
        <v>0</v>
      </c>
    </row>
    <row r="681" spans="1:4" ht="15">
      <c r="A681" s="1078" t="s">
        <v>6012</v>
      </c>
      <c r="B681" t="s">
        <v>2197</v>
      </c>
      <c r="C681" s="1078" t="s">
        <v>1760</v>
      </c>
      <c r="D681" s="91">
        <v>0</v>
      </c>
    </row>
    <row r="682" spans="1:4" ht="15">
      <c r="A682" s="1078" t="s">
        <v>6013</v>
      </c>
      <c r="B682" t="s">
        <v>930</v>
      </c>
      <c r="C682" s="1078" t="s">
        <v>1761</v>
      </c>
      <c r="D682" s="91">
        <v>0</v>
      </c>
    </row>
    <row r="683" spans="1:4" ht="15">
      <c r="A683" s="1078" t="s">
        <v>3657</v>
      </c>
      <c r="B683" t="s">
        <v>375</v>
      </c>
      <c r="C683" s="1078" t="s">
        <v>2637</v>
      </c>
      <c r="D683" s="91">
        <v>0</v>
      </c>
    </row>
    <row r="684" spans="1:4" ht="15">
      <c r="A684" s="1078" t="s">
        <v>3658</v>
      </c>
      <c r="B684" t="s">
        <v>1264</v>
      </c>
      <c r="C684" s="1078" t="s">
        <v>860</v>
      </c>
      <c r="D684" s="91">
        <v>0</v>
      </c>
    </row>
    <row r="685" spans="1:4" ht="15">
      <c r="A685" s="1078" t="s">
        <v>6772</v>
      </c>
      <c r="B685" t="s">
        <v>2671</v>
      </c>
      <c r="C685" s="1078" t="s">
        <v>1762</v>
      </c>
      <c r="D685" s="91">
        <v>0</v>
      </c>
    </row>
    <row r="686" spans="1:4" ht="15">
      <c r="A686" s="1078" t="s">
        <v>3659</v>
      </c>
      <c r="B686" t="s">
        <v>1990</v>
      </c>
      <c r="C686" s="1078" t="s">
        <v>73</v>
      </c>
      <c r="D686" s="91">
        <v>0</v>
      </c>
    </row>
    <row r="687" spans="1:4" ht="15">
      <c r="A687" s="1078" t="s">
        <v>6014</v>
      </c>
      <c r="B687" t="s">
        <v>2673</v>
      </c>
      <c r="C687" s="1078" t="s">
        <v>1764</v>
      </c>
      <c r="D687" s="91">
        <v>118218.40991399146</v>
      </c>
    </row>
    <row r="688" spans="1:4" ht="15">
      <c r="A688" s="1078" t="s">
        <v>6015</v>
      </c>
      <c r="B688" t="s">
        <v>2674</v>
      </c>
      <c r="C688" s="1078" t="s">
        <v>1765</v>
      </c>
      <c r="D688" s="91">
        <v>550.53755239322584</v>
      </c>
    </row>
    <row r="689" spans="1:4" ht="15">
      <c r="A689" s="1078" t="s">
        <v>6773</v>
      </c>
      <c r="B689" t="s">
        <v>1486</v>
      </c>
      <c r="C689" s="1078" t="s">
        <v>1766</v>
      </c>
      <c r="D689" s="91">
        <v>0</v>
      </c>
    </row>
    <row r="690" spans="1:4" ht="15">
      <c r="A690" s="1078" t="s">
        <v>3660</v>
      </c>
      <c r="B690" t="s">
        <v>1318</v>
      </c>
      <c r="C690" s="1078" t="s">
        <v>1366</v>
      </c>
      <c r="D690" s="91">
        <v>104273.54943921792</v>
      </c>
    </row>
    <row r="691" spans="1:4" ht="15">
      <c r="A691" s="1078" t="s">
        <v>6774</v>
      </c>
      <c r="B691" t="s">
        <v>1432</v>
      </c>
      <c r="C691" s="1078" t="s">
        <v>1367</v>
      </c>
      <c r="D691" s="91">
        <v>0</v>
      </c>
    </row>
    <row r="692" spans="1:4" ht="15">
      <c r="A692" s="1078" t="s">
        <v>6016</v>
      </c>
      <c r="B692" t="s">
        <v>804</v>
      </c>
      <c r="C692" s="1078" t="s">
        <v>1368</v>
      </c>
      <c r="D692" s="91">
        <v>42339.763560478154</v>
      </c>
    </row>
    <row r="693" spans="1:4" ht="15">
      <c r="A693" s="1078" t="s">
        <v>6775</v>
      </c>
      <c r="B693" t="s">
        <v>1495</v>
      </c>
      <c r="C693" s="1078" t="s">
        <v>2245</v>
      </c>
      <c r="D693" s="91">
        <v>0</v>
      </c>
    </row>
    <row r="694" spans="1:4" ht="15">
      <c r="A694" s="1078" t="s">
        <v>6776</v>
      </c>
      <c r="B694" t="s">
        <v>1496</v>
      </c>
      <c r="C694" s="1078" t="s">
        <v>2246</v>
      </c>
      <c r="D694" s="91">
        <v>0</v>
      </c>
    </row>
    <row r="695" spans="1:4" ht="15">
      <c r="A695" s="1078" t="s">
        <v>6017</v>
      </c>
      <c r="B695" t="s">
        <v>1272</v>
      </c>
      <c r="C695" s="1078" t="s">
        <v>2247</v>
      </c>
      <c r="D695" s="91">
        <v>69604.158771285875</v>
      </c>
    </row>
    <row r="696" spans="1:4" ht="15">
      <c r="A696" s="1078" t="s">
        <v>6018</v>
      </c>
      <c r="B696" t="s">
        <v>1531</v>
      </c>
      <c r="C696" s="1078" t="s">
        <v>2248</v>
      </c>
      <c r="D696" s="91">
        <v>30371.241222954955</v>
      </c>
    </row>
    <row r="697" spans="1:4" ht="15">
      <c r="A697" s="1078" t="s">
        <v>3661</v>
      </c>
      <c r="B697" t="s">
        <v>2311</v>
      </c>
      <c r="C697" s="1078" t="s">
        <v>1553</v>
      </c>
      <c r="D697" s="91">
        <v>0</v>
      </c>
    </row>
    <row r="698" spans="1:4" ht="15">
      <c r="A698" s="1078" t="s">
        <v>6019</v>
      </c>
      <c r="B698" t="s">
        <v>1532</v>
      </c>
      <c r="C698" s="1078" t="s">
        <v>2249</v>
      </c>
      <c r="D698" s="91">
        <v>0</v>
      </c>
    </row>
    <row r="699" spans="1:4" ht="15">
      <c r="A699" s="1078" t="s">
        <v>3662</v>
      </c>
      <c r="B699" t="s">
        <v>1182</v>
      </c>
      <c r="C699" s="1078" t="s">
        <v>1127</v>
      </c>
      <c r="D699" s="91">
        <v>0</v>
      </c>
    </row>
    <row r="700" spans="1:4" ht="15">
      <c r="A700" s="1078" t="s">
        <v>3663</v>
      </c>
      <c r="B700" t="s">
        <v>346</v>
      </c>
      <c r="C700" s="1078" t="s">
        <v>288</v>
      </c>
      <c r="D700" s="91">
        <v>0</v>
      </c>
    </row>
    <row r="701" spans="1:4" ht="15">
      <c r="A701" s="1078" t="s">
        <v>3664</v>
      </c>
      <c r="B701" t="s">
        <v>1508</v>
      </c>
      <c r="C701" s="1078" t="s">
        <v>1935</v>
      </c>
      <c r="D701" s="91">
        <v>0</v>
      </c>
    </row>
    <row r="702" spans="1:4" ht="15">
      <c r="A702" s="1078" t="s">
        <v>3665</v>
      </c>
      <c r="B702" t="s">
        <v>703</v>
      </c>
      <c r="C702" s="1078" t="s">
        <v>1142</v>
      </c>
      <c r="D702" s="91">
        <v>0</v>
      </c>
    </row>
    <row r="703" spans="1:4" ht="15">
      <c r="A703" s="1078" t="s">
        <v>6020</v>
      </c>
      <c r="B703" t="s">
        <v>1868</v>
      </c>
      <c r="C703" s="1078" t="s">
        <v>2250</v>
      </c>
      <c r="D703" s="91">
        <v>96690.027343718946</v>
      </c>
    </row>
    <row r="704" spans="1:4" ht="15">
      <c r="A704" s="1078" t="s">
        <v>6021</v>
      </c>
      <c r="B704" t="s">
        <v>1869</v>
      </c>
      <c r="C704" s="1078" t="s">
        <v>2251</v>
      </c>
      <c r="D704" s="91">
        <v>39451.492054232884</v>
      </c>
    </row>
    <row r="705" spans="1:4" ht="15">
      <c r="A705" s="1078" t="s">
        <v>6022</v>
      </c>
      <c r="B705" t="s">
        <v>1870</v>
      </c>
      <c r="C705" s="1078" t="s">
        <v>2252</v>
      </c>
      <c r="D705" s="91">
        <v>30081.256061703134</v>
      </c>
    </row>
    <row r="706" spans="1:4" ht="15">
      <c r="A706" s="1078" t="s">
        <v>6023</v>
      </c>
      <c r="B706" t="s">
        <v>1871</v>
      </c>
      <c r="C706" s="1078" t="s">
        <v>2628</v>
      </c>
      <c r="D706" s="91">
        <v>0</v>
      </c>
    </row>
    <row r="707" spans="1:4" ht="15">
      <c r="A707" s="1078" t="s">
        <v>6777</v>
      </c>
      <c r="B707" t="s">
        <v>2353</v>
      </c>
      <c r="C707" s="1078" t="s">
        <v>2254</v>
      </c>
      <c r="D707" s="91">
        <v>0</v>
      </c>
    </row>
    <row r="708" spans="1:4" ht="15">
      <c r="A708" s="1078" t="s">
        <v>3666</v>
      </c>
      <c r="B708" t="s">
        <v>704</v>
      </c>
      <c r="C708" s="1078" t="s">
        <v>1161</v>
      </c>
      <c r="D708" s="91">
        <v>213397.23338909028</v>
      </c>
    </row>
    <row r="709" spans="1:4" ht="15">
      <c r="A709" s="1078" t="s">
        <v>6024</v>
      </c>
      <c r="B709" t="s">
        <v>524</v>
      </c>
      <c r="C709" s="1078" t="s">
        <v>2255</v>
      </c>
      <c r="D709" s="91">
        <v>0</v>
      </c>
    </row>
    <row r="710" spans="1:4" ht="15">
      <c r="A710" s="1078" t="s">
        <v>3667</v>
      </c>
      <c r="B710" t="s">
        <v>705</v>
      </c>
      <c r="C710" s="1078" t="s">
        <v>453</v>
      </c>
      <c r="D710" s="91">
        <v>0</v>
      </c>
    </row>
    <row r="711" spans="1:4" ht="15">
      <c r="A711" s="1078" t="s">
        <v>6025</v>
      </c>
      <c r="B711" t="s">
        <v>525</v>
      </c>
      <c r="C711" s="1078" t="s">
        <v>2256</v>
      </c>
      <c r="D711" s="91">
        <v>0</v>
      </c>
    </row>
    <row r="712" spans="1:4" ht="15">
      <c r="A712" s="1078" t="s">
        <v>3668</v>
      </c>
      <c r="B712" t="s">
        <v>376</v>
      </c>
      <c r="C712" s="1078" t="s">
        <v>1130</v>
      </c>
      <c r="D712" s="91">
        <v>203597.56845560524</v>
      </c>
    </row>
    <row r="713" spans="1:4" ht="15">
      <c r="A713" s="1078" t="s">
        <v>3669</v>
      </c>
      <c r="B713" t="s">
        <v>526</v>
      </c>
      <c r="C713" s="1078" t="s">
        <v>2257</v>
      </c>
      <c r="D713" s="91">
        <v>0</v>
      </c>
    </row>
    <row r="714" spans="1:4" ht="15">
      <c r="A714" s="1078" t="s">
        <v>5307</v>
      </c>
      <c r="B714" t="s">
        <v>527</v>
      </c>
      <c r="C714" s="1078" t="s">
        <v>2258</v>
      </c>
      <c r="D714" s="91">
        <v>11877.811505051744</v>
      </c>
    </row>
    <row r="715" spans="1:4" ht="15">
      <c r="A715" s="1078" t="s">
        <v>6026</v>
      </c>
      <c r="B715" t="s">
        <v>774</v>
      </c>
      <c r="C715" s="1078" t="s">
        <v>891</v>
      </c>
      <c r="D715" s="91">
        <v>0</v>
      </c>
    </row>
    <row r="716" spans="1:4" ht="15">
      <c r="A716" s="1078" t="s">
        <v>6778</v>
      </c>
      <c r="B716" t="s">
        <v>528</v>
      </c>
      <c r="C716" s="1078" t="s">
        <v>2259</v>
      </c>
      <c r="D716" s="91">
        <v>0</v>
      </c>
    </row>
    <row r="717" spans="1:4" ht="15">
      <c r="A717" s="1078" t="s">
        <v>6027</v>
      </c>
      <c r="B717" t="s">
        <v>529</v>
      </c>
      <c r="C717" s="1078" t="s">
        <v>307</v>
      </c>
      <c r="D717" s="91">
        <v>0</v>
      </c>
    </row>
    <row r="718" spans="1:4" ht="15">
      <c r="A718" s="1078" t="s">
        <v>3670</v>
      </c>
      <c r="B718" t="s">
        <v>2400</v>
      </c>
      <c r="C718" s="1078" t="s">
        <v>1101</v>
      </c>
      <c r="D718" s="91">
        <v>0</v>
      </c>
    </row>
    <row r="719" spans="1:4" ht="15">
      <c r="A719" s="1078" t="s">
        <v>3671</v>
      </c>
      <c r="B719" t="s">
        <v>2407</v>
      </c>
      <c r="C719" s="1078" t="s">
        <v>2663</v>
      </c>
      <c r="D719" s="91">
        <v>0</v>
      </c>
    </row>
    <row r="720" spans="1:4" ht="15">
      <c r="A720" s="1078" t="s">
        <v>6028</v>
      </c>
      <c r="B720" t="s">
        <v>19</v>
      </c>
      <c r="C720" s="1078" t="s">
        <v>308</v>
      </c>
      <c r="D720" s="91">
        <v>0</v>
      </c>
    </row>
    <row r="721" spans="1:4" ht="15">
      <c r="A721" s="1078" t="s">
        <v>3672</v>
      </c>
      <c r="B721" t="s">
        <v>706</v>
      </c>
      <c r="C721" s="1078" t="s">
        <v>2517</v>
      </c>
      <c r="D721" s="91">
        <v>0</v>
      </c>
    </row>
    <row r="722" spans="1:4" ht="15">
      <c r="A722" s="1078" t="s">
        <v>6029</v>
      </c>
      <c r="B722" t="s">
        <v>20</v>
      </c>
      <c r="C722" s="1078" t="s">
        <v>309</v>
      </c>
      <c r="D722" s="91">
        <v>0</v>
      </c>
    </row>
    <row r="723" spans="1:4" ht="15">
      <c r="A723" s="1078" t="s">
        <v>3673</v>
      </c>
      <c r="B723" t="s">
        <v>2085</v>
      </c>
      <c r="C723" s="1078" t="s">
        <v>80</v>
      </c>
      <c r="D723" s="91">
        <v>0</v>
      </c>
    </row>
    <row r="724" spans="1:4" ht="15">
      <c r="A724" s="1078" t="s">
        <v>6030</v>
      </c>
      <c r="B724" t="s">
        <v>21</v>
      </c>
      <c r="C724" s="1078" t="s">
        <v>310</v>
      </c>
      <c r="D724" s="91">
        <v>66007.088260250384</v>
      </c>
    </row>
    <row r="725" spans="1:4" ht="15">
      <c r="A725" s="1078" t="s">
        <v>3674</v>
      </c>
      <c r="B725" t="s">
        <v>1021</v>
      </c>
      <c r="C725" s="1078" t="s">
        <v>2286</v>
      </c>
      <c r="D725" s="91">
        <v>73796.639746522284</v>
      </c>
    </row>
    <row r="726" spans="1:4" ht="15">
      <c r="A726" s="1078" t="s">
        <v>3675</v>
      </c>
      <c r="B726" t="s">
        <v>1991</v>
      </c>
      <c r="C726" s="1078" t="s">
        <v>2670</v>
      </c>
      <c r="D726" s="91">
        <v>0</v>
      </c>
    </row>
    <row r="727" spans="1:4" ht="15">
      <c r="A727" s="1078" t="s">
        <v>3676</v>
      </c>
      <c r="B727" t="s">
        <v>1543</v>
      </c>
      <c r="C727" s="1078" t="s">
        <v>3914</v>
      </c>
      <c r="D727" s="91">
        <v>248.48978044041309</v>
      </c>
    </row>
    <row r="728" spans="1:4" ht="15">
      <c r="A728" s="1078" t="s">
        <v>6031</v>
      </c>
      <c r="B728" t="s">
        <v>1878</v>
      </c>
      <c r="C728" s="1078" t="s">
        <v>311</v>
      </c>
      <c r="D728" s="91">
        <v>175045.36892635975</v>
      </c>
    </row>
    <row r="729" spans="1:4" ht="15">
      <c r="A729" s="1078" t="s">
        <v>6032</v>
      </c>
      <c r="B729" t="s">
        <v>2309</v>
      </c>
      <c r="C729" s="1078" t="s">
        <v>2328</v>
      </c>
      <c r="D729" s="91">
        <v>0</v>
      </c>
    </row>
    <row r="730" spans="1:4" ht="15">
      <c r="A730" s="1078" t="s">
        <v>6033</v>
      </c>
      <c r="B730" t="s">
        <v>424</v>
      </c>
      <c r="C730" s="1078" t="s">
        <v>313</v>
      </c>
      <c r="D730" s="91">
        <v>0</v>
      </c>
    </row>
    <row r="731" spans="1:4" ht="15">
      <c r="A731" s="1078" t="s">
        <v>6034</v>
      </c>
      <c r="B731" t="s">
        <v>2498</v>
      </c>
      <c r="C731" s="1078" t="s">
        <v>314</v>
      </c>
      <c r="D731" s="91">
        <v>27311.680644755616</v>
      </c>
    </row>
    <row r="732" spans="1:4" ht="15">
      <c r="A732" s="1078" t="s">
        <v>6035</v>
      </c>
      <c r="B732" t="s">
        <v>1172</v>
      </c>
      <c r="C732" s="1078" t="s">
        <v>2329</v>
      </c>
      <c r="D732" s="91">
        <v>0</v>
      </c>
    </row>
    <row r="733" spans="1:4" ht="15">
      <c r="A733" s="1078" t="s">
        <v>6036</v>
      </c>
      <c r="B733" t="s">
        <v>1173</v>
      </c>
      <c r="C733" s="1078" t="s">
        <v>316</v>
      </c>
      <c r="D733" s="91">
        <v>0</v>
      </c>
    </row>
    <row r="734" spans="1:4" ht="15">
      <c r="A734" s="1078" t="s">
        <v>3677</v>
      </c>
      <c r="B734" t="s">
        <v>2399</v>
      </c>
      <c r="C734" s="1078" t="s">
        <v>1100</v>
      </c>
      <c r="D734" s="91">
        <v>0</v>
      </c>
    </row>
    <row r="735" spans="1:4" ht="15">
      <c r="A735" s="1078" t="s">
        <v>6037</v>
      </c>
      <c r="B735" t="s">
        <v>570</v>
      </c>
      <c r="C735" s="1078" t="s">
        <v>317</v>
      </c>
      <c r="D735" s="91">
        <v>0</v>
      </c>
    </row>
    <row r="736" spans="1:4" ht="15">
      <c r="A736" s="1078" t="s">
        <v>6038</v>
      </c>
      <c r="B736" t="s">
        <v>579</v>
      </c>
      <c r="C736" s="1078" t="s">
        <v>318</v>
      </c>
      <c r="D736" s="91">
        <v>0</v>
      </c>
    </row>
    <row r="737" spans="1:4" ht="15">
      <c r="A737" s="1078" t="s">
        <v>6039</v>
      </c>
      <c r="B737" t="s">
        <v>580</v>
      </c>
      <c r="C737" s="1078" t="s">
        <v>319</v>
      </c>
      <c r="D737" s="91">
        <v>0</v>
      </c>
    </row>
    <row r="738" spans="1:4" ht="15">
      <c r="A738" s="1078" t="s">
        <v>3678</v>
      </c>
      <c r="B738" t="s">
        <v>165</v>
      </c>
      <c r="C738" s="1078" t="s">
        <v>2699</v>
      </c>
      <c r="D738" s="91">
        <v>0</v>
      </c>
    </row>
    <row r="739" spans="1:4" ht="15">
      <c r="A739" s="1078" t="s">
        <v>6040</v>
      </c>
      <c r="B739" t="s">
        <v>767</v>
      </c>
      <c r="C739" s="1078" t="s">
        <v>320</v>
      </c>
      <c r="D739" s="91">
        <v>0</v>
      </c>
    </row>
    <row r="740" spans="1:4" ht="15">
      <c r="A740" s="1078" t="s">
        <v>3679</v>
      </c>
      <c r="B740" t="s">
        <v>964</v>
      </c>
      <c r="C740" s="1078" t="s">
        <v>321</v>
      </c>
      <c r="D740" s="91">
        <v>0</v>
      </c>
    </row>
    <row r="741" spans="1:4" ht="15">
      <c r="A741" s="1078" t="s">
        <v>6041</v>
      </c>
      <c r="B741" t="s">
        <v>2138</v>
      </c>
      <c r="C741" s="1078" t="s">
        <v>322</v>
      </c>
      <c r="D741" s="91">
        <v>0</v>
      </c>
    </row>
    <row r="742" spans="1:4" ht="15">
      <c r="A742" s="1078" t="s">
        <v>3680</v>
      </c>
      <c r="B742" t="s">
        <v>2139</v>
      </c>
      <c r="C742" s="1078" t="s">
        <v>323</v>
      </c>
      <c r="D742" s="91">
        <v>0</v>
      </c>
    </row>
    <row r="743" spans="1:4" ht="15">
      <c r="A743" s="1078" t="s">
        <v>3681</v>
      </c>
      <c r="B743" t="s">
        <v>209</v>
      </c>
      <c r="C743" s="1078" t="s">
        <v>996</v>
      </c>
      <c r="D743" s="91">
        <v>1966430.8738294155</v>
      </c>
    </row>
    <row r="744" spans="1:4" ht="15">
      <c r="A744" s="1078" t="s">
        <v>6042</v>
      </c>
      <c r="B744" t="s">
        <v>971</v>
      </c>
      <c r="C744" s="1078" t="s">
        <v>324</v>
      </c>
      <c r="D744" s="91">
        <v>152705.41390812452</v>
      </c>
    </row>
    <row r="745" spans="1:4" ht="15">
      <c r="A745" s="1078" t="s">
        <v>6779</v>
      </c>
      <c r="B745" t="s">
        <v>972</v>
      </c>
      <c r="C745" s="1078" t="s">
        <v>325</v>
      </c>
      <c r="D745" s="91">
        <v>105557.01121780335</v>
      </c>
    </row>
    <row r="746" spans="1:4" ht="15">
      <c r="A746" s="1078" t="s">
        <v>6043</v>
      </c>
      <c r="B746" t="s">
        <v>973</v>
      </c>
      <c r="C746" s="1078" t="s">
        <v>326</v>
      </c>
      <c r="D746" s="91">
        <v>42.942894095527699</v>
      </c>
    </row>
    <row r="747" spans="1:4" ht="15">
      <c r="A747" s="1078" t="s">
        <v>3682</v>
      </c>
      <c r="B747" t="s">
        <v>1951</v>
      </c>
      <c r="C747" s="1078" t="s">
        <v>1855</v>
      </c>
      <c r="D747" s="91">
        <v>0</v>
      </c>
    </row>
    <row r="748" spans="1:4" ht="15">
      <c r="A748" s="1078" t="s">
        <v>6044</v>
      </c>
      <c r="B748" t="s">
        <v>974</v>
      </c>
      <c r="C748" s="1078" t="s">
        <v>327</v>
      </c>
      <c r="D748" s="91">
        <v>0</v>
      </c>
    </row>
    <row r="749" spans="1:4" ht="15">
      <c r="A749" s="1078" t="s">
        <v>6045</v>
      </c>
      <c r="B749" t="s">
        <v>975</v>
      </c>
      <c r="C749" s="1078" t="s">
        <v>2330</v>
      </c>
      <c r="D749" s="91">
        <v>0</v>
      </c>
    </row>
    <row r="750" spans="1:4" ht="15">
      <c r="A750" s="1078" t="s">
        <v>3683</v>
      </c>
      <c r="B750" t="s">
        <v>1466</v>
      </c>
      <c r="C750" s="1078" t="s">
        <v>135</v>
      </c>
      <c r="D750" s="91">
        <v>0</v>
      </c>
    </row>
    <row r="751" spans="1:4" ht="15">
      <c r="A751" s="1078" t="s">
        <v>6046</v>
      </c>
      <c r="B751" t="s">
        <v>1092</v>
      </c>
      <c r="C751" s="1078" t="s">
        <v>3915</v>
      </c>
      <c r="D751" s="91">
        <v>0</v>
      </c>
    </row>
    <row r="752" spans="1:4" ht="15">
      <c r="A752" s="1078" t="s">
        <v>6047</v>
      </c>
      <c r="B752" t="s">
        <v>1093</v>
      </c>
      <c r="C752" s="1078" t="s">
        <v>330</v>
      </c>
      <c r="D752" s="91">
        <v>0</v>
      </c>
    </row>
    <row r="753" spans="1:4" ht="15">
      <c r="A753" s="1078" t="s">
        <v>6048</v>
      </c>
      <c r="B753" t="s">
        <v>1094</v>
      </c>
      <c r="C753" s="1078" t="s">
        <v>331</v>
      </c>
      <c r="D753" s="91">
        <v>0</v>
      </c>
    </row>
    <row r="754" spans="1:4" ht="15">
      <c r="A754" s="1078" t="s">
        <v>3684</v>
      </c>
      <c r="B754" t="s">
        <v>2537</v>
      </c>
      <c r="C754" s="1078" t="s">
        <v>2240</v>
      </c>
      <c r="D754" s="91">
        <v>0</v>
      </c>
    </row>
    <row r="755" spans="1:4" ht="15">
      <c r="A755" s="1078" t="s">
        <v>6049</v>
      </c>
      <c r="B755" t="s">
        <v>1353</v>
      </c>
      <c r="C755" s="1078" t="s">
        <v>332</v>
      </c>
      <c r="D755" s="91">
        <v>0</v>
      </c>
    </row>
    <row r="756" spans="1:4" ht="15">
      <c r="A756" s="1078" t="s">
        <v>6780</v>
      </c>
      <c r="B756" t="s">
        <v>1354</v>
      </c>
      <c r="C756" s="1078" t="s">
        <v>333</v>
      </c>
      <c r="D756" s="91">
        <v>36173.356970131594</v>
      </c>
    </row>
    <row r="757" spans="1:4" ht="15">
      <c r="A757" s="1078" t="s">
        <v>6050</v>
      </c>
      <c r="B757" t="s">
        <v>1355</v>
      </c>
      <c r="C757" s="1078" t="s">
        <v>431</v>
      </c>
      <c r="D757" s="91">
        <v>0</v>
      </c>
    </row>
    <row r="758" spans="1:4" ht="15">
      <c r="A758" s="1078" t="s">
        <v>6051</v>
      </c>
      <c r="B758" t="s">
        <v>1356</v>
      </c>
      <c r="C758" s="1078" t="s">
        <v>432</v>
      </c>
      <c r="D758" s="91">
        <v>0</v>
      </c>
    </row>
    <row r="759" spans="1:4" ht="15">
      <c r="A759" s="1078" t="s">
        <v>6052</v>
      </c>
      <c r="B759" t="s">
        <v>1357</v>
      </c>
      <c r="C759" s="1078" t="s">
        <v>433</v>
      </c>
      <c r="D759" s="91">
        <v>0</v>
      </c>
    </row>
    <row r="760" spans="1:4" ht="15">
      <c r="A760" s="1078" t="s">
        <v>3685</v>
      </c>
      <c r="B760" t="s">
        <v>2579</v>
      </c>
      <c r="C760" s="1078" t="s">
        <v>454</v>
      </c>
      <c r="D760" s="91">
        <v>0</v>
      </c>
    </row>
    <row r="761" spans="1:4" ht="15">
      <c r="A761" s="1078" t="s">
        <v>3686</v>
      </c>
      <c r="B761" t="s">
        <v>707</v>
      </c>
      <c r="C761" s="1078" t="s">
        <v>1003</v>
      </c>
      <c r="D761" s="91">
        <v>0</v>
      </c>
    </row>
    <row r="762" spans="1:4" ht="15">
      <c r="A762" s="1078" t="s">
        <v>3687</v>
      </c>
      <c r="B762" t="s">
        <v>1510</v>
      </c>
      <c r="C762" s="1078" t="s">
        <v>1937</v>
      </c>
      <c r="D762" s="91">
        <v>0</v>
      </c>
    </row>
    <row r="763" spans="1:4" ht="15">
      <c r="A763" s="1078" t="s">
        <v>3688</v>
      </c>
      <c r="B763" t="s">
        <v>1467</v>
      </c>
      <c r="C763" s="1078" t="s">
        <v>140</v>
      </c>
      <c r="D763" s="91">
        <v>0</v>
      </c>
    </row>
    <row r="764" spans="1:4" ht="15">
      <c r="A764" s="1078" t="s">
        <v>3689</v>
      </c>
      <c r="B764" t="s">
        <v>2536</v>
      </c>
      <c r="C764" s="1078" t="s">
        <v>2239</v>
      </c>
      <c r="D764" s="91">
        <v>0</v>
      </c>
    </row>
    <row r="765" spans="1:4" ht="15">
      <c r="A765" s="1078" t="s">
        <v>6053</v>
      </c>
      <c r="B765" t="s">
        <v>1383</v>
      </c>
      <c r="C765" s="1078" t="s">
        <v>434</v>
      </c>
      <c r="D765" s="91">
        <v>0</v>
      </c>
    </row>
    <row r="766" spans="1:4" ht="15">
      <c r="A766" s="1078" t="s">
        <v>3690</v>
      </c>
      <c r="B766" t="s">
        <v>208</v>
      </c>
      <c r="C766" s="1078" t="s">
        <v>2593</v>
      </c>
      <c r="D766" s="91">
        <v>0</v>
      </c>
    </row>
    <row r="767" spans="1:4" ht="15">
      <c r="A767" s="1078" t="s">
        <v>3691</v>
      </c>
      <c r="B767" t="s">
        <v>1877</v>
      </c>
      <c r="C767" s="1078" t="s">
        <v>1856</v>
      </c>
      <c r="D767" s="91">
        <v>0</v>
      </c>
    </row>
    <row r="768" spans="1:4" ht="15">
      <c r="A768" s="1078" t="s">
        <v>6054</v>
      </c>
      <c r="B768" t="s">
        <v>1634</v>
      </c>
      <c r="C768" s="1078" t="s">
        <v>435</v>
      </c>
      <c r="D768" s="91">
        <v>0</v>
      </c>
    </row>
    <row r="769" spans="1:4" ht="15">
      <c r="A769" s="1078" t="s">
        <v>6781</v>
      </c>
      <c r="B769" t="s">
        <v>1635</v>
      </c>
      <c r="C769" s="1078" t="s">
        <v>436</v>
      </c>
      <c r="D769" s="91">
        <v>129453.52552089443</v>
      </c>
    </row>
    <row r="770" spans="1:4" ht="15">
      <c r="A770" s="1078" t="s">
        <v>6782</v>
      </c>
      <c r="B770" t="s">
        <v>1636</v>
      </c>
      <c r="C770" s="1078" t="s">
        <v>437</v>
      </c>
      <c r="D770" s="91">
        <v>0</v>
      </c>
    </row>
    <row r="771" spans="1:4" ht="15">
      <c r="A771" s="1078" t="s">
        <v>6055</v>
      </c>
      <c r="B771" t="s">
        <v>1637</v>
      </c>
      <c r="C771" s="1078" t="s">
        <v>438</v>
      </c>
      <c r="D771" s="91">
        <v>0</v>
      </c>
    </row>
    <row r="772" spans="1:4" ht="15">
      <c r="A772" s="1078" t="s">
        <v>6783</v>
      </c>
      <c r="B772" t="s">
        <v>1638</v>
      </c>
      <c r="C772" s="1078" t="s">
        <v>439</v>
      </c>
      <c r="D772" s="91">
        <v>30433.966798600104</v>
      </c>
    </row>
    <row r="773" spans="1:4" ht="15">
      <c r="A773" s="1078" t="s">
        <v>6056</v>
      </c>
      <c r="B773" t="s">
        <v>1874</v>
      </c>
      <c r="C773" s="1078" t="s">
        <v>440</v>
      </c>
      <c r="D773" s="91">
        <v>0</v>
      </c>
    </row>
    <row r="774" spans="1:4" ht="15">
      <c r="A774" s="1078" t="s">
        <v>6057</v>
      </c>
      <c r="B774" t="s">
        <v>2302</v>
      </c>
      <c r="C774" s="1078" t="s">
        <v>2331</v>
      </c>
      <c r="D774" s="91">
        <v>0</v>
      </c>
    </row>
    <row r="775" spans="1:4" ht="15">
      <c r="A775" s="1078" t="s">
        <v>6058</v>
      </c>
      <c r="B775" t="s">
        <v>2291</v>
      </c>
      <c r="C775" s="1078" t="s">
        <v>442</v>
      </c>
      <c r="D775" s="91">
        <v>0</v>
      </c>
    </row>
    <row r="776" spans="1:4" ht="15">
      <c r="A776" s="1078" t="s">
        <v>6059</v>
      </c>
      <c r="B776" t="s">
        <v>1302</v>
      </c>
      <c r="C776" s="1078" t="s">
        <v>443</v>
      </c>
      <c r="D776" s="91">
        <v>152337.74553395834</v>
      </c>
    </row>
    <row r="777" spans="1:4" ht="15">
      <c r="A777" s="1078" t="s">
        <v>6784</v>
      </c>
      <c r="B777" t="s">
        <v>692</v>
      </c>
      <c r="C777" s="1078" t="s">
        <v>444</v>
      </c>
      <c r="D777" s="91">
        <v>0</v>
      </c>
    </row>
    <row r="778" spans="1:4" ht="15">
      <c r="A778" s="1078" t="s">
        <v>6060</v>
      </c>
      <c r="B778" t="s">
        <v>2548</v>
      </c>
      <c r="C778" s="1078" t="s">
        <v>445</v>
      </c>
      <c r="D778" s="91">
        <v>0</v>
      </c>
    </row>
    <row r="779" spans="1:4" ht="15">
      <c r="A779" s="1078" t="s">
        <v>6061</v>
      </c>
      <c r="B779" t="s">
        <v>693</v>
      </c>
      <c r="C779" s="1078" t="s">
        <v>446</v>
      </c>
      <c r="D779" s="91">
        <v>32872.061673484393</v>
      </c>
    </row>
    <row r="780" spans="1:4" ht="15">
      <c r="A780" s="1078" t="s">
        <v>3692</v>
      </c>
      <c r="B780" t="s">
        <v>1773</v>
      </c>
      <c r="C780" s="1078" t="s">
        <v>2226</v>
      </c>
      <c r="D780" s="91">
        <v>0</v>
      </c>
    </row>
    <row r="781" spans="1:4" ht="15">
      <c r="A781" s="1078" t="s">
        <v>6062</v>
      </c>
      <c r="B781" t="s">
        <v>1213</v>
      </c>
      <c r="C781" s="1078" t="s">
        <v>447</v>
      </c>
      <c r="D781" s="91">
        <v>0</v>
      </c>
    </row>
    <row r="782" spans="1:4" ht="15">
      <c r="A782" s="1078" t="s">
        <v>3693</v>
      </c>
      <c r="B782" t="s">
        <v>1639</v>
      </c>
      <c r="C782" s="1078" t="s">
        <v>1054</v>
      </c>
      <c r="D782" s="91">
        <v>0</v>
      </c>
    </row>
    <row r="783" spans="1:4" ht="15">
      <c r="A783" s="1078" t="s">
        <v>3694</v>
      </c>
      <c r="B783" t="s">
        <v>199</v>
      </c>
      <c r="C783" s="1078" t="s">
        <v>2696</v>
      </c>
      <c r="D783" s="91">
        <v>0</v>
      </c>
    </row>
    <row r="784" spans="1:4" ht="15">
      <c r="A784" s="1078" t="s">
        <v>6063</v>
      </c>
      <c r="B784" t="s">
        <v>572</v>
      </c>
      <c r="C784" s="1078" t="s">
        <v>130</v>
      </c>
      <c r="D784" s="91">
        <v>0</v>
      </c>
    </row>
    <row r="785" spans="1:4" ht="15">
      <c r="A785" s="1078" t="s">
        <v>6064</v>
      </c>
      <c r="B785" t="s">
        <v>2181</v>
      </c>
      <c r="C785" s="1078" t="s">
        <v>448</v>
      </c>
      <c r="D785" s="91">
        <v>0</v>
      </c>
    </row>
    <row r="786" spans="1:4" ht="15">
      <c r="A786" s="1078" t="s">
        <v>3695</v>
      </c>
      <c r="B786" t="s">
        <v>1468</v>
      </c>
      <c r="C786" s="1078" t="s">
        <v>292</v>
      </c>
      <c r="D786" s="91">
        <v>0</v>
      </c>
    </row>
    <row r="787" spans="1:4" ht="15">
      <c r="A787" s="1078" t="s">
        <v>3696</v>
      </c>
      <c r="B787" t="s">
        <v>217</v>
      </c>
      <c r="C787" s="1078" t="s">
        <v>2103</v>
      </c>
      <c r="D787" s="91">
        <v>0</v>
      </c>
    </row>
    <row r="788" spans="1:4" ht="15">
      <c r="A788" s="1078" t="s">
        <v>6065</v>
      </c>
      <c r="B788" t="s">
        <v>1289</v>
      </c>
      <c r="C788" s="1078" t="s">
        <v>449</v>
      </c>
      <c r="D788" s="91">
        <v>0</v>
      </c>
    </row>
    <row r="789" spans="1:4" ht="15">
      <c r="A789" s="1078" t="s">
        <v>6066</v>
      </c>
      <c r="B789" t="s">
        <v>1290</v>
      </c>
      <c r="C789" s="1078" t="s">
        <v>2332</v>
      </c>
      <c r="D789" s="91">
        <v>0</v>
      </c>
    </row>
    <row r="790" spans="1:4" ht="15">
      <c r="A790" s="1078" t="s">
        <v>6067</v>
      </c>
      <c r="B790" t="s">
        <v>2522</v>
      </c>
      <c r="C790" s="1078" t="s">
        <v>154</v>
      </c>
      <c r="D790" s="91">
        <v>0</v>
      </c>
    </row>
    <row r="791" spans="1:4" ht="15">
      <c r="A791" s="1078" t="s">
        <v>6068</v>
      </c>
      <c r="B791" t="s">
        <v>792</v>
      </c>
      <c r="C791" s="1078" t="s">
        <v>155</v>
      </c>
      <c r="D791" s="91">
        <v>0</v>
      </c>
    </row>
    <row r="792" spans="1:4" ht="15">
      <c r="A792" s="1078" t="s">
        <v>6785</v>
      </c>
      <c r="B792" t="s">
        <v>114</v>
      </c>
      <c r="C792" s="1078" t="s">
        <v>2118</v>
      </c>
      <c r="D792" s="91">
        <v>0</v>
      </c>
    </row>
    <row r="793" spans="1:4" ht="15">
      <c r="A793" s="1078" t="s">
        <v>3697</v>
      </c>
      <c r="B793" t="s">
        <v>2654</v>
      </c>
      <c r="C793" s="1078" t="s">
        <v>2697</v>
      </c>
      <c r="D793" s="91">
        <v>64315.427735543417</v>
      </c>
    </row>
    <row r="794" spans="1:4" ht="15">
      <c r="A794" s="1078" t="s">
        <v>6786</v>
      </c>
      <c r="B794" t="s">
        <v>2274</v>
      </c>
      <c r="C794" s="1078" t="s">
        <v>1622</v>
      </c>
      <c r="D794" s="91">
        <v>0</v>
      </c>
    </row>
    <row r="795" spans="1:4" ht="15">
      <c r="A795" s="1078" t="s">
        <v>3698</v>
      </c>
      <c r="B795" t="s">
        <v>377</v>
      </c>
      <c r="C795" s="1078" t="s">
        <v>2668</v>
      </c>
      <c r="D795" s="91">
        <v>0</v>
      </c>
    </row>
    <row r="796" spans="1:4" ht="15">
      <c r="A796" s="1078" t="s">
        <v>6069</v>
      </c>
      <c r="B796" t="s">
        <v>986</v>
      </c>
      <c r="C796" s="1078" t="s">
        <v>1623</v>
      </c>
      <c r="D796" s="91">
        <v>7131.897950853875</v>
      </c>
    </row>
    <row r="797" spans="1:4" ht="15">
      <c r="A797" s="1078" t="s">
        <v>3699</v>
      </c>
      <c r="B797" t="s">
        <v>1716</v>
      </c>
      <c r="C797" s="1078" t="s">
        <v>2120</v>
      </c>
      <c r="D797" s="91">
        <v>0</v>
      </c>
    </row>
    <row r="798" spans="1:4" ht="15">
      <c r="A798" s="1078" t="s">
        <v>6070</v>
      </c>
      <c r="B798" t="s">
        <v>695</v>
      </c>
      <c r="C798" s="1078" t="s">
        <v>1624</v>
      </c>
      <c r="D798" s="91">
        <v>0</v>
      </c>
    </row>
    <row r="799" spans="1:4" ht="15">
      <c r="A799" s="1078" t="s">
        <v>6071</v>
      </c>
      <c r="B799" t="s">
        <v>696</v>
      </c>
      <c r="C799" s="1078" t="s">
        <v>1625</v>
      </c>
      <c r="D799" s="91">
        <v>2298.6510951808309</v>
      </c>
    </row>
    <row r="800" spans="1:4" ht="15">
      <c r="A800" s="1078" t="s">
        <v>6072</v>
      </c>
      <c r="B800" t="s">
        <v>697</v>
      </c>
      <c r="C800" s="1078" t="s">
        <v>1626</v>
      </c>
      <c r="D800" s="91">
        <v>0</v>
      </c>
    </row>
    <row r="801" spans="1:4" ht="15">
      <c r="A801" s="1078" t="s">
        <v>6073</v>
      </c>
      <c r="B801" t="s">
        <v>1457</v>
      </c>
      <c r="C801" s="1078" t="s">
        <v>1627</v>
      </c>
      <c r="D801" s="91">
        <v>0</v>
      </c>
    </row>
    <row r="802" spans="1:4" ht="15">
      <c r="A802" s="1078" t="s">
        <v>6074</v>
      </c>
      <c r="B802" t="s">
        <v>1458</v>
      </c>
      <c r="C802" s="1078" t="s">
        <v>1628</v>
      </c>
      <c r="D802" s="91">
        <v>0</v>
      </c>
    </row>
    <row r="803" spans="1:4" ht="15">
      <c r="A803" s="1078" t="s">
        <v>6787</v>
      </c>
      <c r="B803" t="s">
        <v>1459</v>
      </c>
      <c r="C803" s="1078" t="s">
        <v>1629</v>
      </c>
      <c r="D803" s="91">
        <v>0</v>
      </c>
    </row>
    <row r="804" spans="1:4" ht="15">
      <c r="A804" s="1078" t="s">
        <v>6075</v>
      </c>
      <c r="B804" t="s">
        <v>1460</v>
      </c>
      <c r="C804" s="1078" t="s">
        <v>1630</v>
      </c>
      <c r="D804" s="91">
        <v>0</v>
      </c>
    </row>
    <row r="805" spans="1:4" ht="15">
      <c r="A805" s="1078" t="s">
        <v>6076</v>
      </c>
      <c r="B805" t="s">
        <v>1461</v>
      </c>
      <c r="C805" s="1078" t="s">
        <v>1631</v>
      </c>
      <c r="D805" s="91">
        <v>38401.562418818634</v>
      </c>
    </row>
    <row r="806" spans="1:4" ht="15">
      <c r="A806" s="1078" t="s">
        <v>6788</v>
      </c>
      <c r="B806" t="s">
        <v>1462</v>
      </c>
      <c r="C806" s="1078" t="s">
        <v>976</v>
      </c>
      <c r="D806" s="91">
        <v>89186.118478846518</v>
      </c>
    </row>
    <row r="807" spans="1:4" ht="15">
      <c r="A807" s="1078" t="s">
        <v>6077</v>
      </c>
      <c r="B807" t="s">
        <v>1672</v>
      </c>
      <c r="C807" s="1078" t="s">
        <v>977</v>
      </c>
      <c r="D807" s="91">
        <v>0</v>
      </c>
    </row>
    <row r="808" spans="1:4" ht="15">
      <c r="A808" s="1078" t="s">
        <v>3700</v>
      </c>
      <c r="B808" t="s">
        <v>1812</v>
      </c>
      <c r="C808" s="1078" t="s">
        <v>613</v>
      </c>
      <c r="D808" s="91">
        <v>0</v>
      </c>
    </row>
    <row r="809" spans="1:4" ht="15">
      <c r="A809" s="1078" t="s">
        <v>6789</v>
      </c>
      <c r="B809" t="s">
        <v>1673</v>
      </c>
      <c r="C809" s="1078" t="s">
        <v>1894</v>
      </c>
      <c r="D809" s="91">
        <v>0</v>
      </c>
    </row>
    <row r="810" spans="1:4" ht="15">
      <c r="A810" s="1078" t="s">
        <v>3701</v>
      </c>
      <c r="B810" t="s">
        <v>378</v>
      </c>
      <c r="C810" s="1078" t="s">
        <v>2237</v>
      </c>
      <c r="D810" s="91">
        <v>0</v>
      </c>
    </row>
    <row r="811" spans="1:4" ht="15">
      <c r="A811" s="1078" t="s">
        <v>5403</v>
      </c>
      <c r="B811" t="s">
        <v>1183</v>
      </c>
      <c r="C811" s="1078" t="s">
        <v>1129</v>
      </c>
      <c r="D811" s="91">
        <v>88019.905276274701</v>
      </c>
    </row>
    <row r="812" spans="1:4" ht="15">
      <c r="A812" s="1078" t="s">
        <v>3702</v>
      </c>
      <c r="B812" t="s">
        <v>379</v>
      </c>
      <c r="C812" s="1078" t="s">
        <v>262</v>
      </c>
      <c r="D812" s="91">
        <v>0</v>
      </c>
    </row>
    <row r="813" spans="1:4" ht="15">
      <c r="A813" s="1078" t="s">
        <v>6078</v>
      </c>
      <c r="B813" t="s">
        <v>1674</v>
      </c>
      <c r="C813" s="1078" t="s">
        <v>1895</v>
      </c>
      <c r="D813" s="91">
        <v>50556.331465565134</v>
      </c>
    </row>
    <row r="814" spans="1:4" ht="15">
      <c r="A814" s="1078" t="s">
        <v>6790</v>
      </c>
      <c r="B814" t="s">
        <v>1675</v>
      </c>
      <c r="C814" s="1078" t="s">
        <v>1525</v>
      </c>
      <c r="D814" s="91">
        <v>3680.5437770863514</v>
      </c>
    </row>
    <row r="815" spans="1:4" ht="15">
      <c r="A815" s="1078" t="s">
        <v>6791</v>
      </c>
      <c r="B815" t="s">
        <v>1676</v>
      </c>
      <c r="C815" s="1078" t="s">
        <v>1526</v>
      </c>
      <c r="D815" s="91">
        <v>74324.982095225685</v>
      </c>
    </row>
    <row r="816" spans="1:4" ht="15">
      <c r="A816" s="1078" t="s">
        <v>5407</v>
      </c>
      <c r="B816" t="s">
        <v>2470</v>
      </c>
      <c r="C816" s="1078" t="s">
        <v>2153</v>
      </c>
      <c r="D816" s="91">
        <v>0</v>
      </c>
    </row>
    <row r="817" spans="1:4" ht="15">
      <c r="A817" s="1078" t="s">
        <v>3703</v>
      </c>
      <c r="B817" t="s">
        <v>2471</v>
      </c>
      <c r="C817" s="1078" t="s">
        <v>1362</v>
      </c>
      <c r="D817" s="91">
        <v>0</v>
      </c>
    </row>
    <row r="818" spans="1:4" ht="15">
      <c r="A818" s="1078" t="s">
        <v>6079</v>
      </c>
      <c r="B818" t="s">
        <v>1677</v>
      </c>
      <c r="C818" s="1078" t="s">
        <v>1527</v>
      </c>
      <c r="D818" s="91">
        <v>28950.265682378224</v>
      </c>
    </row>
    <row r="819" spans="1:4" ht="15">
      <c r="A819" s="1078" t="s">
        <v>3704</v>
      </c>
      <c r="B819" t="s">
        <v>190</v>
      </c>
      <c r="C819" s="1078" t="s">
        <v>654</v>
      </c>
      <c r="D819" s="91">
        <v>0</v>
      </c>
    </row>
    <row r="820" spans="1:4" ht="15">
      <c r="A820" s="1078" t="s">
        <v>6080</v>
      </c>
      <c r="B820" t="s">
        <v>1678</v>
      </c>
      <c r="C820" s="1078" t="s">
        <v>3916</v>
      </c>
      <c r="D820" s="91">
        <v>53677.170106125501</v>
      </c>
    </row>
    <row r="821" spans="1:4" ht="15">
      <c r="A821" s="1078" t="s">
        <v>6792</v>
      </c>
      <c r="B821" t="s">
        <v>1395</v>
      </c>
      <c r="C821" s="1078" t="s">
        <v>1529</v>
      </c>
      <c r="D821" s="91">
        <v>0</v>
      </c>
    </row>
    <row r="822" spans="1:4" ht="15">
      <c r="A822" s="1078" t="s">
        <v>3705</v>
      </c>
      <c r="B822" t="s">
        <v>1396</v>
      </c>
      <c r="C822" s="1078" t="s">
        <v>1530</v>
      </c>
      <c r="D822" s="91">
        <v>0</v>
      </c>
    </row>
    <row r="823" spans="1:4" ht="15">
      <c r="A823" s="1078" t="s">
        <v>3706</v>
      </c>
      <c r="B823" t="s">
        <v>1397</v>
      </c>
      <c r="C823" s="1078" t="s">
        <v>2070</v>
      </c>
      <c r="D823" s="91">
        <v>589090.62120244897</v>
      </c>
    </row>
    <row r="824" spans="1:4" ht="15">
      <c r="A824" s="1078" t="s">
        <v>6793</v>
      </c>
      <c r="B824" t="s">
        <v>1632</v>
      </c>
      <c r="C824" s="1078" t="s">
        <v>2071</v>
      </c>
      <c r="D824" s="91">
        <v>134837.30992896069</v>
      </c>
    </row>
    <row r="825" spans="1:4" ht="15">
      <c r="A825" s="1078" t="s">
        <v>6081</v>
      </c>
      <c r="B825" t="s">
        <v>1633</v>
      </c>
      <c r="C825" s="1078" t="s">
        <v>2334</v>
      </c>
      <c r="D825" s="91">
        <v>0</v>
      </c>
    </row>
    <row r="826" spans="1:4" ht="15">
      <c r="A826" s="1078" t="s">
        <v>3707</v>
      </c>
      <c r="B826" t="s">
        <v>2433</v>
      </c>
      <c r="C826" s="1078" t="s">
        <v>351</v>
      </c>
      <c r="D826" s="91">
        <v>0</v>
      </c>
    </row>
    <row r="827" spans="1:4" ht="15">
      <c r="A827" s="1078" t="s">
        <v>3708</v>
      </c>
      <c r="B827" t="s">
        <v>1215</v>
      </c>
      <c r="C827" s="1078" t="s">
        <v>2420</v>
      </c>
      <c r="D827" s="91">
        <v>0</v>
      </c>
    </row>
    <row r="828" spans="1:4" ht="15">
      <c r="A828" s="1078" t="s">
        <v>6082</v>
      </c>
      <c r="B828" t="s">
        <v>2434</v>
      </c>
      <c r="C828" s="1078" t="s">
        <v>352</v>
      </c>
      <c r="D828" s="91">
        <v>0</v>
      </c>
    </row>
    <row r="829" spans="1:4" ht="15">
      <c r="A829" s="1078" t="s">
        <v>6083</v>
      </c>
      <c r="B829" t="s">
        <v>1454</v>
      </c>
      <c r="C829" s="1078" t="s">
        <v>353</v>
      </c>
      <c r="D829" s="91">
        <v>0</v>
      </c>
    </row>
    <row r="830" spans="1:4" ht="15">
      <c r="A830" s="1078" t="s">
        <v>3709</v>
      </c>
      <c r="B830" t="s">
        <v>2527</v>
      </c>
      <c r="C830" s="1078" t="s">
        <v>2066</v>
      </c>
      <c r="D830" s="91">
        <v>34945.38320077071</v>
      </c>
    </row>
    <row r="831" spans="1:4" ht="15">
      <c r="A831" s="1078" t="s">
        <v>3710</v>
      </c>
      <c r="B831" t="s">
        <v>1411</v>
      </c>
      <c r="C831" s="1078" t="s">
        <v>260</v>
      </c>
      <c r="D831" s="91">
        <v>1846.0619416796512</v>
      </c>
    </row>
    <row r="832" spans="1:4" ht="15">
      <c r="A832" s="1078" t="s">
        <v>3711</v>
      </c>
      <c r="B832" t="s">
        <v>1317</v>
      </c>
      <c r="C832" s="1078" t="s">
        <v>267</v>
      </c>
      <c r="D832" s="91">
        <v>0</v>
      </c>
    </row>
    <row r="833" spans="1:4" ht="15">
      <c r="A833" s="1078" t="s">
        <v>3712</v>
      </c>
      <c r="B833" t="s">
        <v>191</v>
      </c>
      <c r="C833" s="1078" t="s">
        <v>601</v>
      </c>
      <c r="D833" s="91">
        <v>0</v>
      </c>
    </row>
    <row r="834" spans="1:4" ht="15">
      <c r="A834" s="1078" t="s">
        <v>3713</v>
      </c>
      <c r="B834" t="s">
        <v>489</v>
      </c>
      <c r="C834" s="1078" t="s">
        <v>1404</v>
      </c>
      <c r="D834" s="91">
        <v>0</v>
      </c>
    </row>
    <row r="835" spans="1:4" ht="15">
      <c r="A835" s="1078" t="s">
        <v>6794</v>
      </c>
      <c r="B835" t="s">
        <v>1455</v>
      </c>
      <c r="C835" s="1078" t="s">
        <v>354</v>
      </c>
      <c r="D835" s="91">
        <v>0</v>
      </c>
    </row>
    <row r="836" spans="1:4" ht="15">
      <c r="A836" s="1078" t="s">
        <v>6795</v>
      </c>
      <c r="B836" t="s">
        <v>1456</v>
      </c>
      <c r="C836" s="1078" t="s">
        <v>355</v>
      </c>
      <c r="D836" s="91">
        <v>0</v>
      </c>
    </row>
    <row r="837" spans="1:4" ht="15">
      <c r="A837" s="1078" t="s">
        <v>6796</v>
      </c>
      <c r="B837" t="s">
        <v>1377</v>
      </c>
      <c r="C837" s="1078" t="s">
        <v>356</v>
      </c>
      <c r="D837" s="91">
        <v>37500.726651668629</v>
      </c>
    </row>
    <row r="838" spans="1:4" ht="15">
      <c r="A838" s="1078" t="s">
        <v>6084</v>
      </c>
      <c r="B838" t="s">
        <v>1378</v>
      </c>
      <c r="C838" s="1078" t="s">
        <v>357</v>
      </c>
      <c r="D838" s="91">
        <v>281.78258597514804</v>
      </c>
    </row>
    <row r="839" spans="1:4" ht="15">
      <c r="A839" s="1078" t="s">
        <v>6085</v>
      </c>
      <c r="B839" t="s">
        <v>1379</v>
      </c>
      <c r="C839" s="1078" t="s">
        <v>358</v>
      </c>
      <c r="D839" s="91">
        <v>0</v>
      </c>
    </row>
    <row r="840" spans="1:4" ht="15">
      <c r="A840" s="1078" t="s">
        <v>6086</v>
      </c>
      <c r="B840" t="s">
        <v>1473</v>
      </c>
      <c r="C840" s="1078" t="s">
        <v>359</v>
      </c>
      <c r="D840" s="91">
        <v>0</v>
      </c>
    </row>
    <row r="841" spans="1:4" ht="15">
      <c r="A841" s="1078" t="s">
        <v>6797</v>
      </c>
      <c r="B841" t="s">
        <v>961</v>
      </c>
      <c r="C841" s="1078" t="s">
        <v>360</v>
      </c>
      <c r="D841" s="91">
        <v>0</v>
      </c>
    </row>
    <row r="842" spans="1:4" ht="15">
      <c r="A842" s="1078" t="s">
        <v>6798</v>
      </c>
      <c r="B842" t="s">
        <v>962</v>
      </c>
      <c r="C842" s="1078" t="s">
        <v>361</v>
      </c>
      <c r="D842" s="91">
        <v>31650.84296611607</v>
      </c>
    </row>
    <row r="843" spans="1:4" ht="15">
      <c r="A843" s="1078" t="s">
        <v>3714</v>
      </c>
      <c r="B843" t="s">
        <v>963</v>
      </c>
      <c r="C843" s="1078" t="s">
        <v>1776</v>
      </c>
      <c r="D843" s="91">
        <v>65463.788274277758</v>
      </c>
    </row>
    <row r="844" spans="1:4" ht="15">
      <c r="A844" s="1078" t="s">
        <v>6087</v>
      </c>
      <c r="B844" t="s">
        <v>1089</v>
      </c>
      <c r="C844" s="1078" t="s">
        <v>1777</v>
      </c>
      <c r="D844" s="91">
        <v>101520.37917282376</v>
      </c>
    </row>
    <row r="845" spans="1:4" ht="15">
      <c r="A845" s="1078" t="s">
        <v>3715</v>
      </c>
      <c r="B845" t="s">
        <v>192</v>
      </c>
      <c r="C845" s="1078" t="s">
        <v>1249</v>
      </c>
      <c r="D845" s="91">
        <v>75614.233926947607</v>
      </c>
    </row>
    <row r="846" spans="1:4" ht="15">
      <c r="A846" s="1078" t="s">
        <v>6088</v>
      </c>
      <c r="B846" t="s">
        <v>1090</v>
      </c>
      <c r="C846" s="1078" t="s">
        <v>1778</v>
      </c>
      <c r="D846" s="91">
        <v>1560.4193202801862</v>
      </c>
    </row>
    <row r="847" spans="1:4" ht="15">
      <c r="A847" s="1078" t="s">
        <v>6799</v>
      </c>
      <c r="B847" t="s">
        <v>1091</v>
      </c>
      <c r="C847" s="1078" t="s">
        <v>1779</v>
      </c>
      <c r="D847" s="91">
        <v>0</v>
      </c>
    </row>
    <row r="848" spans="1:4" ht="15">
      <c r="A848" s="1078" t="s">
        <v>6800</v>
      </c>
      <c r="B848" t="s">
        <v>1238</v>
      </c>
      <c r="C848" s="1078" t="s">
        <v>1780</v>
      </c>
      <c r="D848" s="91">
        <v>0</v>
      </c>
    </row>
    <row r="849" spans="1:4" ht="15">
      <c r="A849" s="1078" t="s">
        <v>6089</v>
      </c>
      <c r="B849" t="s">
        <v>1239</v>
      </c>
      <c r="C849" s="1078" t="s">
        <v>1781</v>
      </c>
      <c r="D849" s="91">
        <v>0</v>
      </c>
    </row>
    <row r="850" spans="1:4" ht="15">
      <c r="A850" s="1078" t="s">
        <v>6801</v>
      </c>
      <c r="B850" t="s">
        <v>1801</v>
      </c>
      <c r="C850" s="1078" t="s">
        <v>1994</v>
      </c>
      <c r="D850" s="91">
        <v>34761.549013687611</v>
      </c>
    </row>
    <row r="851" spans="1:4" ht="15">
      <c r="A851" s="1078" t="s">
        <v>3716</v>
      </c>
      <c r="B851" t="s">
        <v>274</v>
      </c>
      <c r="C851" s="1078" t="s">
        <v>2115</v>
      </c>
      <c r="D851" s="91">
        <v>0</v>
      </c>
    </row>
    <row r="852" spans="1:4" ht="15">
      <c r="A852" s="1078" t="s">
        <v>6090</v>
      </c>
      <c r="B852" t="s">
        <v>1727</v>
      </c>
      <c r="C852" s="1078" t="s">
        <v>1995</v>
      </c>
      <c r="D852" s="91">
        <v>0</v>
      </c>
    </row>
    <row r="853" spans="1:4" ht="15">
      <c r="A853" s="1078" t="s">
        <v>3717</v>
      </c>
      <c r="B853" t="s">
        <v>1728</v>
      </c>
      <c r="C853" s="1078" t="s">
        <v>1996</v>
      </c>
      <c r="D853" s="91">
        <v>0</v>
      </c>
    </row>
    <row r="854" spans="1:4" ht="15">
      <c r="A854" s="1078" t="s">
        <v>6091</v>
      </c>
      <c r="B854" t="s">
        <v>1006</v>
      </c>
      <c r="C854" s="1078" t="s">
        <v>1997</v>
      </c>
      <c r="D854" s="91">
        <v>0</v>
      </c>
    </row>
    <row r="855" spans="1:4" ht="15">
      <c r="A855" s="1078" t="s">
        <v>6092</v>
      </c>
      <c r="B855" t="s">
        <v>189</v>
      </c>
      <c r="C855" s="1078" t="s">
        <v>1998</v>
      </c>
      <c r="D855" s="91">
        <v>0</v>
      </c>
    </row>
    <row r="856" spans="1:4" ht="15">
      <c r="A856" s="1078" t="s">
        <v>3718</v>
      </c>
      <c r="B856" t="s">
        <v>1181</v>
      </c>
      <c r="C856" s="1078" t="s">
        <v>1334</v>
      </c>
      <c r="D856" s="91">
        <v>0</v>
      </c>
    </row>
    <row r="857" spans="1:4" ht="15">
      <c r="A857" s="1078" t="s">
        <v>3719</v>
      </c>
      <c r="B857" t="s">
        <v>1340</v>
      </c>
      <c r="C857" s="1078" t="s">
        <v>660</v>
      </c>
      <c r="D857" s="91">
        <v>0</v>
      </c>
    </row>
    <row r="858" spans="1:4" ht="15">
      <c r="A858" s="1078" t="s">
        <v>6093</v>
      </c>
      <c r="B858" t="s">
        <v>1341</v>
      </c>
      <c r="C858" s="1078" t="s">
        <v>1999</v>
      </c>
      <c r="D858" s="91">
        <v>0</v>
      </c>
    </row>
    <row r="859" spans="1:4" ht="15">
      <c r="A859" s="1078" t="s">
        <v>6094</v>
      </c>
      <c r="B859" t="s">
        <v>1342</v>
      </c>
      <c r="C859" s="1078" t="s">
        <v>2000</v>
      </c>
      <c r="D859" s="91">
        <v>0</v>
      </c>
    </row>
    <row r="860" spans="1:4" ht="15">
      <c r="A860" s="1078" t="s">
        <v>3720</v>
      </c>
      <c r="B860" t="s">
        <v>2653</v>
      </c>
      <c r="C860" s="1078" t="s">
        <v>2693</v>
      </c>
      <c r="D860" s="91">
        <v>0</v>
      </c>
    </row>
    <row r="861" spans="1:4" ht="15">
      <c r="A861" s="1078" t="s">
        <v>6095</v>
      </c>
      <c r="B861" t="s">
        <v>1729</v>
      </c>
      <c r="C861" s="1078" t="s">
        <v>2001</v>
      </c>
      <c r="D861" s="91">
        <v>20109.819551835993</v>
      </c>
    </row>
    <row r="862" spans="1:4" ht="15">
      <c r="A862" s="1078" t="s">
        <v>3721</v>
      </c>
      <c r="B862" t="s">
        <v>193</v>
      </c>
      <c r="C862" s="1078" t="s">
        <v>608</v>
      </c>
      <c r="D862" s="91">
        <v>0</v>
      </c>
    </row>
    <row r="863" spans="1:4" ht="15">
      <c r="A863" s="1078" t="s">
        <v>6096</v>
      </c>
      <c r="B863" t="s">
        <v>1730</v>
      </c>
      <c r="C863" s="1078" t="s">
        <v>2002</v>
      </c>
      <c r="D863" s="91">
        <v>170789.67987105012</v>
      </c>
    </row>
    <row r="864" spans="1:4" ht="15">
      <c r="A864" s="1078" t="s">
        <v>6097</v>
      </c>
      <c r="B864" t="s">
        <v>2584</v>
      </c>
      <c r="C864" s="1078" t="s">
        <v>2562</v>
      </c>
      <c r="D864" s="91">
        <v>0</v>
      </c>
    </row>
    <row r="865" spans="1:4" ht="15">
      <c r="A865" s="1078" t="s">
        <v>6098</v>
      </c>
      <c r="B865" t="s">
        <v>750</v>
      </c>
      <c r="C865" s="1078" t="s">
        <v>2563</v>
      </c>
      <c r="D865" s="91">
        <v>46302.572427967687</v>
      </c>
    </row>
    <row r="866" spans="1:4" ht="15">
      <c r="A866" s="1078" t="s">
        <v>6099</v>
      </c>
      <c r="B866" t="s">
        <v>751</v>
      </c>
      <c r="C866" s="1078" t="s">
        <v>2564</v>
      </c>
      <c r="D866" s="91">
        <v>0</v>
      </c>
    </row>
    <row r="867" spans="1:4" ht="15">
      <c r="A867" s="1078" t="s">
        <v>6802</v>
      </c>
      <c r="B867" t="s">
        <v>802</v>
      </c>
      <c r="C867" s="1078" t="s">
        <v>2565</v>
      </c>
      <c r="D867" s="91">
        <v>0</v>
      </c>
    </row>
    <row r="868" spans="1:4" ht="15">
      <c r="A868" s="1078" t="s">
        <v>6803</v>
      </c>
      <c r="B868" t="s">
        <v>568</v>
      </c>
      <c r="C868" s="1078" t="s">
        <v>2566</v>
      </c>
      <c r="D868" s="91">
        <v>0</v>
      </c>
    </row>
    <row r="869" spans="1:4" ht="15">
      <c r="A869" s="1078" t="s">
        <v>6100</v>
      </c>
      <c r="B869" t="s">
        <v>569</v>
      </c>
      <c r="C869" s="1078" t="s">
        <v>2567</v>
      </c>
      <c r="D869" s="91">
        <v>0</v>
      </c>
    </row>
    <row r="870" spans="1:4" ht="15">
      <c r="A870" s="1078" t="s">
        <v>3722</v>
      </c>
      <c r="B870" t="s">
        <v>2298</v>
      </c>
      <c r="C870" s="1078" t="s">
        <v>2421</v>
      </c>
      <c r="D870" s="91">
        <v>0</v>
      </c>
    </row>
    <row r="871" spans="1:4" ht="15">
      <c r="A871" s="1078" t="s">
        <v>3723</v>
      </c>
      <c r="B871" t="s">
        <v>873</v>
      </c>
      <c r="C871" s="1078" t="s">
        <v>797</v>
      </c>
      <c r="D871" s="91">
        <v>0</v>
      </c>
    </row>
    <row r="872" spans="1:4" ht="15">
      <c r="A872" s="1078" t="s">
        <v>3724</v>
      </c>
      <c r="B872" t="s">
        <v>1849</v>
      </c>
      <c r="C872" s="1078" t="s">
        <v>2568</v>
      </c>
      <c r="D872" s="91">
        <v>0</v>
      </c>
    </row>
    <row r="873" spans="1:4" ht="15">
      <c r="A873" s="1078" t="s">
        <v>6101</v>
      </c>
      <c r="B873" t="s">
        <v>2018</v>
      </c>
      <c r="C873" s="1078" t="s">
        <v>1278</v>
      </c>
      <c r="D873" s="91">
        <v>0</v>
      </c>
    </row>
    <row r="874" spans="1:4" ht="15">
      <c r="A874" s="1078" t="s">
        <v>6102</v>
      </c>
      <c r="B874" t="s">
        <v>2182</v>
      </c>
      <c r="C874" s="1078" t="s">
        <v>1279</v>
      </c>
      <c r="D874" s="91">
        <v>0</v>
      </c>
    </row>
    <row r="875" spans="1:4" ht="15">
      <c r="A875" s="1078" t="s">
        <v>3725</v>
      </c>
      <c r="B875" t="s">
        <v>50</v>
      </c>
      <c r="C875" s="1078" t="s">
        <v>412</v>
      </c>
      <c r="D875" s="91">
        <v>0</v>
      </c>
    </row>
    <row r="876" spans="1:4" ht="15">
      <c r="A876" s="1078" t="s">
        <v>3726</v>
      </c>
      <c r="B876" t="s">
        <v>347</v>
      </c>
      <c r="C876" s="1078" t="s">
        <v>290</v>
      </c>
      <c r="D876" s="91">
        <v>0</v>
      </c>
    </row>
    <row r="877" spans="1:4" ht="15">
      <c r="A877" s="1078" t="s">
        <v>3727</v>
      </c>
      <c r="B877" t="s">
        <v>1767</v>
      </c>
      <c r="C877" s="1078" t="s">
        <v>2301</v>
      </c>
      <c r="D877" s="91">
        <v>0</v>
      </c>
    </row>
    <row r="878" spans="1:4" ht="15">
      <c r="A878" s="1078" t="s">
        <v>3728</v>
      </c>
      <c r="B878" t="s">
        <v>2405</v>
      </c>
      <c r="C878" s="1078" t="s">
        <v>419</v>
      </c>
      <c r="D878" s="91">
        <v>0</v>
      </c>
    </row>
    <row r="879" spans="1:4" ht="15">
      <c r="A879" s="1078" t="s">
        <v>3729</v>
      </c>
      <c r="B879" t="s">
        <v>52</v>
      </c>
      <c r="C879" s="1078" t="s">
        <v>2516</v>
      </c>
      <c r="D879" s="91">
        <v>0</v>
      </c>
    </row>
    <row r="880" spans="1:4" ht="15">
      <c r="A880" s="1078" t="s">
        <v>3730</v>
      </c>
      <c r="B880" t="s">
        <v>1681</v>
      </c>
      <c r="C880" s="1078" t="s">
        <v>2119</v>
      </c>
      <c r="D880" s="91">
        <v>0</v>
      </c>
    </row>
    <row r="881" spans="1:4" ht="15">
      <c r="A881" s="1078" t="s">
        <v>3731</v>
      </c>
      <c r="B881" t="s">
        <v>1119</v>
      </c>
      <c r="C881" s="1078" t="s">
        <v>1267</v>
      </c>
      <c r="D881" s="91">
        <v>0</v>
      </c>
    </row>
    <row r="882" spans="1:4" ht="15">
      <c r="A882" s="1078" t="s">
        <v>3732</v>
      </c>
      <c r="B882" t="s">
        <v>1847</v>
      </c>
      <c r="C882" s="1078" t="s">
        <v>657</v>
      </c>
      <c r="D882" s="91">
        <v>0</v>
      </c>
    </row>
    <row r="883" spans="1:4" ht="15">
      <c r="A883" s="1078" t="s">
        <v>3733</v>
      </c>
      <c r="B883" t="s">
        <v>2223</v>
      </c>
      <c r="C883" s="1078" t="s">
        <v>1280</v>
      </c>
      <c r="D883" s="91">
        <v>0</v>
      </c>
    </row>
    <row r="884" spans="1:4" ht="15">
      <c r="A884" s="1078" t="s">
        <v>5533</v>
      </c>
      <c r="B884" t="s">
        <v>1846</v>
      </c>
      <c r="C884" s="1078" t="s">
        <v>656</v>
      </c>
      <c r="D884" s="91">
        <v>0</v>
      </c>
    </row>
    <row r="885" spans="1:4" ht="15">
      <c r="A885" s="1078" t="s">
        <v>3734</v>
      </c>
      <c r="B885" t="s">
        <v>1180</v>
      </c>
      <c r="C885" s="1078" t="s">
        <v>1333</v>
      </c>
      <c r="D885" s="91">
        <v>0</v>
      </c>
    </row>
    <row r="886" spans="1:4" ht="15">
      <c r="A886" s="1078" t="s">
        <v>6103</v>
      </c>
      <c r="B886" t="s">
        <v>2224</v>
      </c>
      <c r="C886" s="1078" t="s">
        <v>1281</v>
      </c>
      <c r="D886" s="91">
        <v>0</v>
      </c>
    </row>
    <row r="887" spans="1:4" ht="15">
      <c r="A887" s="1078" t="s">
        <v>6104</v>
      </c>
      <c r="B887" t="s">
        <v>2225</v>
      </c>
      <c r="C887" s="1078" t="s">
        <v>1282</v>
      </c>
      <c r="D887" s="91">
        <v>0</v>
      </c>
    </row>
    <row r="888" spans="1:4" ht="15">
      <c r="A888" s="1078" t="s">
        <v>6105</v>
      </c>
      <c r="B888" t="s">
        <v>2655</v>
      </c>
      <c r="C888" s="1078" t="s">
        <v>1283</v>
      </c>
      <c r="D888" s="91">
        <v>3808.8899549448947</v>
      </c>
    </row>
    <row r="889" spans="1:4" ht="15">
      <c r="A889" s="1078" t="s">
        <v>6106</v>
      </c>
      <c r="B889" t="s">
        <v>2656</v>
      </c>
      <c r="C889" s="1078" t="s">
        <v>2335</v>
      </c>
      <c r="D889" s="91">
        <v>0</v>
      </c>
    </row>
    <row r="890" spans="1:4" ht="15">
      <c r="A890" s="1078" t="s">
        <v>6107</v>
      </c>
      <c r="B890" t="s">
        <v>2657</v>
      </c>
      <c r="C890" s="1078" t="s">
        <v>1132</v>
      </c>
      <c r="D890" s="91">
        <v>0</v>
      </c>
    </row>
    <row r="891" spans="1:4" ht="15">
      <c r="A891" s="1078" t="s">
        <v>6108</v>
      </c>
      <c r="B891" t="s">
        <v>2658</v>
      </c>
      <c r="C891" s="1078" t="s">
        <v>1285</v>
      </c>
      <c r="D891" s="91">
        <v>0</v>
      </c>
    </row>
    <row r="892" spans="1:4" ht="15">
      <c r="A892" s="1078" t="s">
        <v>6109</v>
      </c>
      <c r="B892" t="s">
        <v>1170</v>
      </c>
      <c r="C892" s="1078" t="s">
        <v>305</v>
      </c>
      <c r="D892" s="91">
        <v>309068.21138078952</v>
      </c>
    </row>
    <row r="893" spans="1:4" ht="15">
      <c r="A893" s="1078" t="s">
        <v>3735</v>
      </c>
      <c r="B893" t="s">
        <v>1845</v>
      </c>
      <c r="C893" s="1078" t="s">
        <v>822</v>
      </c>
      <c r="D893" s="91">
        <v>53513.601105020069</v>
      </c>
    </row>
    <row r="894" spans="1:4" ht="15">
      <c r="A894" s="1078" t="s">
        <v>6110</v>
      </c>
      <c r="B894" t="s">
        <v>1171</v>
      </c>
      <c r="C894" s="1078" t="s">
        <v>2336</v>
      </c>
      <c r="D894" s="91">
        <v>25159.710895698834</v>
      </c>
    </row>
    <row r="895" spans="1:4" ht="15">
      <c r="A895" s="1078" t="s">
        <v>6804</v>
      </c>
      <c r="B895" t="s">
        <v>1586</v>
      </c>
      <c r="C895" s="1078" t="s">
        <v>636</v>
      </c>
      <c r="D895" s="91">
        <v>47087.607132388177</v>
      </c>
    </row>
    <row r="896" spans="1:4" ht="15">
      <c r="A896" s="1078" t="s">
        <v>6805</v>
      </c>
      <c r="B896" t="s">
        <v>1587</v>
      </c>
      <c r="C896" s="1078" t="s">
        <v>637</v>
      </c>
      <c r="D896" s="91">
        <v>45717.294556755609</v>
      </c>
    </row>
    <row r="897" spans="1:4" ht="15">
      <c r="A897" s="1078" t="s">
        <v>6111</v>
      </c>
      <c r="B897" t="s">
        <v>1588</v>
      </c>
      <c r="C897" s="1078" t="s">
        <v>638</v>
      </c>
      <c r="D897" s="91">
        <v>0</v>
      </c>
    </row>
    <row r="898" spans="1:4" ht="15">
      <c r="A898" s="1078" t="s">
        <v>6806</v>
      </c>
      <c r="B898" t="s">
        <v>1817</v>
      </c>
      <c r="C898" s="1078" t="s">
        <v>1665</v>
      </c>
      <c r="D898" s="91">
        <v>8056.3764349778194</v>
      </c>
    </row>
    <row r="899" spans="1:4" ht="15">
      <c r="A899" s="1078" t="s">
        <v>3736</v>
      </c>
      <c r="B899" t="s">
        <v>275</v>
      </c>
      <c r="C899" s="1078" t="s">
        <v>660</v>
      </c>
      <c r="D899" s="91">
        <v>0</v>
      </c>
    </row>
    <row r="900" spans="1:4" ht="15">
      <c r="A900" s="1078" t="s">
        <v>6807</v>
      </c>
      <c r="B900" t="s">
        <v>1818</v>
      </c>
      <c r="C900" s="1078" t="s">
        <v>1666</v>
      </c>
      <c r="D900" s="91">
        <v>0</v>
      </c>
    </row>
    <row r="901" spans="1:4" ht="15">
      <c r="A901" s="1078" t="s">
        <v>6112</v>
      </c>
      <c r="B901" t="s">
        <v>2440</v>
      </c>
      <c r="C901" s="1078" t="s">
        <v>1906</v>
      </c>
      <c r="D901" s="91">
        <v>90.228328043412134</v>
      </c>
    </row>
    <row r="902" spans="1:4" ht="15">
      <c r="A902" s="1078" t="s">
        <v>3737</v>
      </c>
      <c r="B902" t="s">
        <v>1313</v>
      </c>
      <c r="C902" s="1078" t="s">
        <v>2027</v>
      </c>
      <c r="D902" s="91">
        <v>0</v>
      </c>
    </row>
    <row r="903" spans="1:4" ht="15">
      <c r="A903" s="1078" t="s">
        <v>6113</v>
      </c>
      <c r="B903" t="s">
        <v>2428</v>
      </c>
      <c r="C903" s="1078" t="s">
        <v>1907</v>
      </c>
      <c r="D903" s="91">
        <v>0</v>
      </c>
    </row>
    <row r="904" spans="1:4" ht="15">
      <c r="A904" s="1078" t="s">
        <v>3738</v>
      </c>
      <c r="B904" t="s">
        <v>342</v>
      </c>
      <c r="C904" s="1078" t="s">
        <v>137</v>
      </c>
      <c r="D904" s="91">
        <v>0</v>
      </c>
    </row>
    <row r="905" spans="1:4" ht="15">
      <c r="A905" s="1078" t="s">
        <v>3739</v>
      </c>
      <c r="B905" t="s">
        <v>1307</v>
      </c>
      <c r="C905" s="1078" t="s">
        <v>1731</v>
      </c>
      <c r="D905" s="91">
        <v>0</v>
      </c>
    </row>
    <row r="906" spans="1:4" ht="15">
      <c r="A906" s="1078" t="s">
        <v>3740</v>
      </c>
      <c r="B906" t="s">
        <v>1253</v>
      </c>
      <c r="C906" s="1078" t="s">
        <v>2645</v>
      </c>
      <c r="D906" s="91">
        <v>13927.972819792163</v>
      </c>
    </row>
    <row r="907" spans="1:4" ht="15">
      <c r="A907" s="1078" t="s">
        <v>6114</v>
      </c>
      <c r="B907" t="s">
        <v>263</v>
      </c>
      <c r="C907" s="1078" t="s">
        <v>1908</v>
      </c>
      <c r="D907" s="91">
        <v>0</v>
      </c>
    </row>
    <row r="908" spans="1:4" ht="15">
      <c r="A908" s="1078" t="s">
        <v>3741</v>
      </c>
      <c r="B908" t="s">
        <v>210</v>
      </c>
      <c r="C908" s="1078" t="s">
        <v>998</v>
      </c>
      <c r="D908" s="91">
        <v>0</v>
      </c>
    </row>
    <row r="909" spans="1:4" ht="15">
      <c r="A909" s="1078" t="s">
        <v>6115</v>
      </c>
      <c r="B909" t="s">
        <v>264</v>
      </c>
      <c r="C909" s="1078" t="s">
        <v>1909</v>
      </c>
      <c r="D909" s="91">
        <v>0</v>
      </c>
    </row>
    <row r="910" spans="1:4" ht="15">
      <c r="A910" s="1078" t="s">
        <v>6116</v>
      </c>
      <c r="B910" t="s">
        <v>265</v>
      </c>
      <c r="C910" s="1078" t="s">
        <v>1910</v>
      </c>
      <c r="D910" s="91">
        <v>0</v>
      </c>
    </row>
    <row r="911" spans="1:4" ht="15">
      <c r="A911" s="1078" t="s">
        <v>3742</v>
      </c>
      <c r="B911" t="s">
        <v>1133</v>
      </c>
      <c r="C911" s="1078" t="s">
        <v>2667</v>
      </c>
      <c r="D911" s="91">
        <v>0</v>
      </c>
    </row>
    <row r="912" spans="1:4" ht="15">
      <c r="A912" s="1078" t="s">
        <v>6117</v>
      </c>
      <c r="B912" t="s">
        <v>2446</v>
      </c>
      <c r="C912" s="1078" t="s">
        <v>1911</v>
      </c>
      <c r="D912" s="91">
        <v>0</v>
      </c>
    </row>
    <row r="913" spans="1:4" ht="15">
      <c r="A913" s="1078" t="s">
        <v>6118</v>
      </c>
      <c r="B913" t="s">
        <v>1320</v>
      </c>
      <c r="C913" s="1078" t="s">
        <v>1912</v>
      </c>
      <c r="D913" s="91">
        <v>0</v>
      </c>
    </row>
    <row r="914" spans="1:4" ht="15">
      <c r="A914" s="1078" t="s">
        <v>6808</v>
      </c>
      <c r="B914" t="s">
        <v>1321</v>
      </c>
      <c r="C914" s="1078" t="s">
        <v>1913</v>
      </c>
      <c r="D914" s="91">
        <v>0</v>
      </c>
    </row>
    <row r="915" spans="1:4" ht="15">
      <c r="A915" s="1078" t="s">
        <v>6119</v>
      </c>
      <c r="B915" t="s">
        <v>1322</v>
      </c>
      <c r="C915" s="1078" t="s">
        <v>1914</v>
      </c>
      <c r="D915" s="91">
        <v>0</v>
      </c>
    </row>
    <row r="916" spans="1:4" ht="15">
      <c r="A916" s="1078" t="s">
        <v>6809</v>
      </c>
      <c r="B916" t="s">
        <v>1323</v>
      </c>
      <c r="C916" s="1078" t="s">
        <v>1824</v>
      </c>
      <c r="D916" s="91">
        <v>0</v>
      </c>
    </row>
    <row r="917" spans="1:4" ht="15">
      <c r="A917" s="1078" t="s">
        <v>6810</v>
      </c>
      <c r="B917" t="s">
        <v>1324</v>
      </c>
      <c r="C917" s="1078" t="s">
        <v>1915</v>
      </c>
      <c r="D917" s="91">
        <v>0</v>
      </c>
    </row>
    <row r="918" spans="1:4" ht="15">
      <c r="A918" s="1078" t="s">
        <v>5567</v>
      </c>
      <c r="B918" t="s">
        <v>1434</v>
      </c>
      <c r="C918" s="1078" t="s">
        <v>1547</v>
      </c>
      <c r="D918" s="91">
        <v>0</v>
      </c>
    </row>
    <row r="919" spans="1:4" ht="15">
      <c r="A919" s="1078" t="s">
        <v>6120</v>
      </c>
      <c r="B919" t="s">
        <v>1807</v>
      </c>
      <c r="C919" s="1078" t="s">
        <v>1916</v>
      </c>
      <c r="D919" s="91">
        <v>0</v>
      </c>
    </row>
    <row r="920" spans="1:4" ht="15">
      <c r="A920" s="1078" t="s">
        <v>3743</v>
      </c>
      <c r="B920" t="s">
        <v>1808</v>
      </c>
      <c r="C920" s="1078" t="s">
        <v>1917</v>
      </c>
      <c r="D920" s="91">
        <v>206396.09413823512</v>
      </c>
    </row>
    <row r="921" spans="1:4" ht="15">
      <c r="A921" s="1078" t="s">
        <v>3744</v>
      </c>
      <c r="B921" t="s">
        <v>1254</v>
      </c>
      <c r="C921" s="1078" t="s">
        <v>1938</v>
      </c>
      <c r="D921" s="91">
        <v>0</v>
      </c>
    </row>
    <row r="922" spans="1:4" ht="15">
      <c r="A922" s="1078" t="s">
        <v>3745</v>
      </c>
      <c r="B922" t="s">
        <v>70</v>
      </c>
      <c r="C922" s="1078" t="s">
        <v>2184</v>
      </c>
      <c r="D922" s="91">
        <v>0</v>
      </c>
    </row>
    <row r="923" spans="1:4" ht="15">
      <c r="A923" s="1078" t="s">
        <v>6121</v>
      </c>
      <c r="B923" t="s">
        <v>1809</v>
      </c>
      <c r="C923" s="1078" t="s">
        <v>443</v>
      </c>
      <c r="D923" s="91">
        <v>22211.126335948615</v>
      </c>
    </row>
    <row r="924" spans="1:4" ht="15">
      <c r="A924" s="1078" t="s">
        <v>6122</v>
      </c>
      <c r="B924" t="s">
        <v>1810</v>
      </c>
      <c r="C924" s="1078" t="s">
        <v>1918</v>
      </c>
      <c r="D924" s="91">
        <v>0</v>
      </c>
    </row>
    <row r="925" spans="1:4" ht="15">
      <c r="A925" s="1078" t="s">
        <v>3746</v>
      </c>
      <c r="B925" t="s">
        <v>1414</v>
      </c>
      <c r="C925" s="1078" t="s">
        <v>1017</v>
      </c>
      <c r="D925" s="91">
        <v>0</v>
      </c>
    </row>
    <row r="926" spans="1:4" ht="15">
      <c r="A926" s="1078" t="s">
        <v>6811</v>
      </c>
      <c r="B926" t="s">
        <v>1077</v>
      </c>
      <c r="C926" s="1078" t="s">
        <v>777</v>
      </c>
      <c r="D926" s="91">
        <v>0</v>
      </c>
    </row>
    <row r="927" spans="1:4" ht="15">
      <c r="A927" s="1078" t="s">
        <v>3747</v>
      </c>
      <c r="B927" t="s">
        <v>1861</v>
      </c>
      <c r="C927" s="1078" t="s">
        <v>827</v>
      </c>
      <c r="D927" s="91">
        <v>0</v>
      </c>
    </row>
    <row r="928" spans="1:4" ht="15">
      <c r="A928" s="1078" t="s">
        <v>3748</v>
      </c>
      <c r="B928" t="s">
        <v>1078</v>
      </c>
      <c r="C928" s="1078" t="s">
        <v>1536</v>
      </c>
      <c r="D928" s="91">
        <v>0</v>
      </c>
    </row>
    <row r="929" spans="1:4" ht="15">
      <c r="A929" s="1078" t="s">
        <v>6123</v>
      </c>
      <c r="B929" t="s">
        <v>1079</v>
      </c>
      <c r="C929" s="1078" t="s">
        <v>778</v>
      </c>
      <c r="D929" s="91">
        <v>42494.647481878877</v>
      </c>
    </row>
    <row r="930" spans="1:4" ht="15">
      <c r="A930" s="1078" t="s">
        <v>6812</v>
      </c>
      <c r="B930" t="s">
        <v>1080</v>
      </c>
      <c r="C930" s="1078" t="s">
        <v>779</v>
      </c>
      <c r="D930" s="91">
        <v>0</v>
      </c>
    </row>
    <row r="931" spans="1:4" ht="15">
      <c r="A931" s="1078" t="s">
        <v>6124</v>
      </c>
      <c r="B931" t="s">
        <v>1081</v>
      </c>
      <c r="C931" s="1078" t="s">
        <v>780</v>
      </c>
      <c r="D931" s="91">
        <v>0</v>
      </c>
    </row>
    <row r="932" spans="1:4" ht="15">
      <c r="A932" s="1078" t="s">
        <v>3749</v>
      </c>
      <c r="B932" t="s">
        <v>56</v>
      </c>
      <c r="C932" s="1078" t="s">
        <v>2472</v>
      </c>
      <c r="D932" s="91">
        <v>0</v>
      </c>
    </row>
    <row r="933" spans="1:4" ht="15">
      <c r="A933" s="1078" t="s">
        <v>3750</v>
      </c>
      <c r="B933" t="s">
        <v>1544</v>
      </c>
      <c r="C933" s="1078" t="s">
        <v>615</v>
      </c>
      <c r="D933" s="91">
        <v>0</v>
      </c>
    </row>
    <row r="934" spans="1:4" ht="15">
      <c r="A934" s="1078" t="s">
        <v>3751</v>
      </c>
      <c r="B934" t="s">
        <v>1521</v>
      </c>
      <c r="C934" s="1078" t="s">
        <v>296</v>
      </c>
      <c r="D934" s="91">
        <v>0</v>
      </c>
    </row>
    <row r="935" spans="1:4" ht="15">
      <c r="A935" s="1078" t="s">
        <v>6813</v>
      </c>
      <c r="B935" t="s">
        <v>1319</v>
      </c>
      <c r="C935" s="1078" t="s">
        <v>622</v>
      </c>
      <c r="D935" s="91">
        <v>0</v>
      </c>
    </row>
    <row r="936" spans="1:4" ht="15">
      <c r="A936" s="1078" t="s">
        <v>3752</v>
      </c>
      <c r="B936" t="s">
        <v>488</v>
      </c>
      <c r="C936" s="1078" t="s">
        <v>2146</v>
      </c>
      <c r="D936" s="91">
        <v>0</v>
      </c>
    </row>
    <row r="937" spans="1:4" ht="15">
      <c r="A937" s="1078" t="s">
        <v>6125</v>
      </c>
      <c r="B937" t="s">
        <v>831</v>
      </c>
      <c r="C937" s="1078" t="s">
        <v>623</v>
      </c>
      <c r="D937" s="91">
        <v>0</v>
      </c>
    </row>
    <row r="938" spans="1:4" ht="15">
      <c r="A938" s="1078" t="s">
        <v>3753</v>
      </c>
      <c r="B938" t="s">
        <v>833</v>
      </c>
      <c r="C938" s="1078" t="s">
        <v>1146</v>
      </c>
      <c r="D938" s="91">
        <v>0</v>
      </c>
    </row>
    <row r="939" spans="1:4" ht="15">
      <c r="A939" s="1078" t="s">
        <v>6126</v>
      </c>
      <c r="B939" t="s">
        <v>834</v>
      </c>
      <c r="C939" s="1078" t="s">
        <v>888</v>
      </c>
      <c r="D939" s="91">
        <v>0</v>
      </c>
    </row>
    <row r="940" spans="1:4" ht="15">
      <c r="A940" s="1078" t="s">
        <v>3754</v>
      </c>
      <c r="B940" t="s">
        <v>1533</v>
      </c>
      <c r="C940" s="1078" t="s">
        <v>864</v>
      </c>
      <c r="D940" s="91">
        <v>0</v>
      </c>
    </row>
    <row r="941" spans="1:4" ht="15">
      <c r="A941" s="1078" t="s">
        <v>3755</v>
      </c>
      <c r="B941" t="s">
        <v>1836</v>
      </c>
      <c r="C941" s="1078" t="s">
        <v>2065</v>
      </c>
      <c r="D941" s="91">
        <v>0</v>
      </c>
    </row>
    <row r="942" spans="1:4" ht="15">
      <c r="A942" s="1078" t="s">
        <v>3756</v>
      </c>
      <c r="B942" t="s">
        <v>835</v>
      </c>
      <c r="C942" s="1078" t="s">
        <v>1147</v>
      </c>
      <c r="D942" s="91">
        <v>0</v>
      </c>
    </row>
    <row r="943" spans="1:4" ht="15">
      <c r="A943" s="1078" t="s">
        <v>6127</v>
      </c>
      <c r="B943" t="s">
        <v>836</v>
      </c>
      <c r="C943" s="1078" t="s">
        <v>2081</v>
      </c>
      <c r="D943" s="91">
        <v>0</v>
      </c>
    </row>
    <row r="944" spans="1:4" ht="15">
      <c r="A944" s="1078" t="s">
        <v>3757</v>
      </c>
      <c r="B944" t="s">
        <v>1426</v>
      </c>
      <c r="C944" s="1078" t="s">
        <v>1478</v>
      </c>
      <c r="D944" s="91">
        <v>0</v>
      </c>
    </row>
    <row r="945" spans="1:4" ht="15">
      <c r="A945" s="1078" t="s">
        <v>3758</v>
      </c>
      <c r="B945" t="s">
        <v>877</v>
      </c>
      <c r="C945" s="1078" t="s">
        <v>1344</v>
      </c>
      <c r="D945" s="91">
        <v>1057.6497062628844</v>
      </c>
    </row>
    <row r="946" spans="1:4" ht="15">
      <c r="A946" s="1078" t="s">
        <v>3759</v>
      </c>
      <c r="B946" t="s">
        <v>340</v>
      </c>
      <c r="C946" s="1078" t="s">
        <v>134</v>
      </c>
      <c r="D946" s="91">
        <v>0</v>
      </c>
    </row>
    <row r="947" spans="1:4" ht="15">
      <c r="A947" s="1078" t="s">
        <v>6128</v>
      </c>
      <c r="B947" t="s">
        <v>2597</v>
      </c>
      <c r="C947" s="1078" t="s">
        <v>2082</v>
      </c>
      <c r="D947" s="91">
        <v>0</v>
      </c>
    </row>
    <row r="948" spans="1:4" ht="15">
      <c r="A948" s="1078" t="s">
        <v>3760</v>
      </c>
      <c r="B948" t="s">
        <v>1022</v>
      </c>
      <c r="C948" s="1078" t="s">
        <v>1144</v>
      </c>
      <c r="D948" s="91">
        <v>0</v>
      </c>
    </row>
    <row r="949" spans="1:4" ht="15">
      <c r="A949" s="1078" t="s">
        <v>3761</v>
      </c>
      <c r="B949" t="s">
        <v>1156</v>
      </c>
      <c r="C949" s="1078" t="s">
        <v>93</v>
      </c>
      <c r="D949" s="91">
        <v>0</v>
      </c>
    </row>
    <row r="950" spans="1:4" ht="15">
      <c r="A950" s="1078" t="s">
        <v>3762</v>
      </c>
      <c r="B950" t="s">
        <v>276</v>
      </c>
      <c r="C950" s="1078" t="s">
        <v>2371</v>
      </c>
      <c r="D950" s="91">
        <v>0</v>
      </c>
    </row>
    <row r="951" spans="1:4" ht="15">
      <c r="A951" s="1078" t="s">
        <v>3763</v>
      </c>
      <c r="B951" t="s">
        <v>277</v>
      </c>
      <c r="C951" s="1078" t="s">
        <v>138</v>
      </c>
      <c r="D951" s="91">
        <v>0</v>
      </c>
    </row>
    <row r="952" spans="1:4" ht="15">
      <c r="A952" s="1078" t="s">
        <v>3764</v>
      </c>
      <c r="B952" t="s">
        <v>624</v>
      </c>
      <c r="C952" s="1078" t="s">
        <v>94</v>
      </c>
      <c r="D952" s="91">
        <v>0</v>
      </c>
    </row>
    <row r="953" spans="1:4" ht="15">
      <c r="A953" s="1078" t="s">
        <v>6129</v>
      </c>
      <c r="B953" t="s">
        <v>625</v>
      </c>
      <c r="C953" s="1078" t="s">
        <v>887</v>
      </c>
      <c r="D953" s="91">
        <v>246805.83998655473</v>
      </c>
    </row>
    <row r="954" spans="1:4" ht="15">
      <c r="A954" s="1078" t="s">
        <v>6814</v>
      </c>
      <c r="B954" t="s">
        <v>626</v>
      </c>
      <c r="C954" s="1078" t="s">
        <v>1216</v>
      </c>
      <c r="D954" s="91">
        <v>0</v>
      </c>
    </row>
    <row r="955" spans="1:4" ht="15">
      <c r="A955" s="1078" t="s">
        <v>6130</v>
      </c>
      <c r="B955" t="s">
        <v>2339</v>
      </c>
      <c r="C955" s="1078" t="s">
        <v>1217</v>
      </c>
      <c r="D955" s="91">
        <v>0</v>
      </c>
    </row>
    <row r="956" spans="1:4" ht="15">
      <c r="A956" s="1078" t="s">
        <v>6131</v>
      </c>
      <c r="B956" t="s">
        <v>2340</v>
      </c>
      <c r="C956" s="1078" t="s">
        <v>1218</v>
      </c>
      <c r="D956" s="91">
        <v>4338.6798169324165</v>
      </c>
    </row>
    <row r="957" spans="1:4" ht="15">
      <c r="A957" s="1078" t="s">
        <v>3765</v>
      </c>
      <c r="B957" t="s">
        <v>1768</v>
      </c>
      <c r="C957" s="1078" t="s">
        <v>2345</v>
      </c>
      <c r="D957" s="91">
        <v>0</v>
      </c>
    </row>
    <row r="958" spans="1:4" ht="15">
      <c r="A958" s="1078" t="s">
        <v>3766</v>
      </c>
      <c r="B958" t="s">
        <v>1520</v>
      </c>
      <c r="C958" s="1078" t="s">
        <v>2362</v>
      </c>
      <c r="D958" s="91">
        <v>8297354.1039780835</v>
      </c>
    </row>
    <row r="959" spans="1:4" ht="15">
      <c r="A959" s="1078" t="s">
        <v>6132</v>
      </c>
      <c r="B959" t="s">
        <v>927</v>
      </c>
      <c r="C959" s="1078" t="s">
        <v>2337</v>
      </c>
      <c r="D959" s="91">
        <v>0</v>
      </c>
    </row>
    <row r="960" spans="1:4" ht="15">
      <c r="A960" s="1078" t="s">
        <v>6815</v>
      </c>
      <c r="B960" t="s">
        <v>928</v>
      </c>
      <c r="C960" s="1078" t="s">
        <v>1220</v>
      </c>
      <c r="D960" s="91">
        <v>0</v>
      </c>
    </row>
    <row r="961" spans="1:4" ht="15">
      <c r="A961" s="1078" t="s">
        <v>6133</v>
      </c>
      <c r="B961" t="s">
        <v>929</v>
      </c>
      <c r="C961" s="1078" t="s">
        <v>1221</v>
      </c>
      <c r="D961" s="91">
        <v>0</v>
      </c>
    </row>
    <row r="962" spans="1:4" ht="15">
      <c r="A962" s="1078" t="s">
        <v>6134</v>
      </c>
      <c r="B962" t="s">
        <v>571</v>
      </c>
      <c r="C962" s="1078" t="s">
        <v>1222</v>
      </c>
      <c r="D962" s="91">
        <v>0</v>
      </c>
    </row>
    <row r="963" spans="1:4" ht="15">
      <c r="A963" s="1078" t="s">
        <v>6135</v>
      </c>
      <c r="B963" t="s">
        <v>902</v>
      </c>
      <c r="C963" s="1078" t="s">
        <v>1223</v>
      </c>
      <c r="D963" s="91">
        <v>0</v>
      </c>
    </row>
    <row r="964" spans="1:4" ht="15">
      <c r="A964" s="1078" t="s">
        <v>6136</v>
      </c>
      <c r="B964" t="s">
        <v>903</v>
      </c>
      <c r="C964" s="1078" t="s">
        <v>1224</v>
      </c>
      <c r="D964" s="91">
        <v>0</v>
      </c>
    </row>
    <row r="965" spans="1:4" ht="15">
      <c r="A965" s="1078" t="s">
        <v>6816</v>
      </c>
      <c r="B965" t="s">
        <v>904</v>
      </c>
      <c r="C965" s="1078" t="s">
        <v>1225</v>
      </c>
      <c r="D965" s="91">
        <v>98129.338052561186</v>
      </c>
    </row>
    <row r="966" spans="1:4" ht="15">
      <c r="A966" s="1078" t="s">
        <v>6137</v>
      </c>
      <c r="B966" t="s">
        <v>905</v>
      </c>
      <c r="C966" s="1078" t="s">
        <v>1226</v>
      </c>
      <c r="D966" s="91">
        <v>0</v>
      </c>
    </row>
    <row r="967" spans="1:4" ht="15">
      <c r="A967" s="1078" t="s">
        <v>6817</v>
      </c>
      <c r="B967" t="s">
        <v>1724</v>
      </c>
      <c r="C967" s="1078" t="s">
        <v>1227</v>
      </c>
      <c r="D967" s="91">
        <v>0</v>
      </c>
    </row>
    <row r="968" spans="1:4" ht="15">
      <c r="A968" s="1078" t="s">
        <v>6138</v>
      </c>
      <c r="B968" t="s">
        <v>2319</v>
      </c>
      <c r="C968" s="1078" t="s">
        <v>1228</v>
      </c>
      <c r="D968" s="91">
        <v>0</v>
      </c>
    </row>
    <row r="969" spans="1:4" ht="15">
      <c r="A969" s="1078" t="s">
        <v>3767</v>
      </c>
      <c r="B969" t="s">
        <v>884</v>
      </c>
      <c r="C969" s="1078" t="s">
        <v>1448</v>
      </c>
      <c r="D969" s="91">
        <v>0</v>
      </c>
    </row>
    <row r="970" spans="1:4" ht="15">
      <c r="A970" s="1078" t="s">
        <v>6139</v>
      </c>
      <c r="B970" t="s">
        <v>1255</v>
      </c>
      <c r="C970" s="1078" t="s">
        <v>1607</v>
      </c>
      <c r="D970" s="91">
        <v>40996.471232815798</v>
      </c>
    </row>
    <row r="971" spans="1:4" ht="15">
      <c r="A971" s="1078" t="s">
        <v>6140</v>
      </c>
      <c r="B971" t="s">
        <v>642</v>
      </c>
      <c r="C971" s="1078" t="s">
        <v>2338</v>
      </c>
      <c r="D971" s="91">
        <v>176753.43460162004</v>
      </c>
    </row>
    <row r="972" spans="1:4" ht="15">
      <c r="A972" s="1078" t="s">
        <v>3768</v>
      </c>
      <c r="B972" t="s">
        <v>1827</v>
      </c>
      <c r="C972" s="1078" t="s">
        <v>1609</v>
      </c>
      <c r="D972" s="91">
        <v>0</v>
      </c>
    </row>
    <row r="973" spans="1:4" ht="15">
      <c r="A973" s="1078" t="s">
        <v>3769</v>
      </c>
      <c r="B973" t="s">
        <v>573</v>
      </c>
      <c r="C973" s="1078" t="s">
        <v>1162</v>
      </c>
      <c r="D973" s="91">
        <v>0</v>
      </c>
    </row>
    <row r="974" spans="1:4" ht="15">
      <c r="A974" s="1078" t="s">
        <v>6818</v>
      </c>
      <c r="B974" t="s">
        <v>1358</v>
      </c>
      <c r="C974" s="1078" t="s">
        <v>1610</v>
      </c>
      <c r="D974" s="91">
        <v>0</v>
      </c>
    </row>
    <row r="975" spans="1:4" ht="15">
      <c r="A975" s="1078" t="s">
        <v>6141</v>
      </c>
      <c r="B975" t="s">
        <v>9</v>
      </c>
      <c r="C975" s="1078" t="s">
        <v>1611</v>
      </c>
      <c r="D975" s="91">
        <v>0</v>
      </c>
    </row>
    <row r="976" spans="1:4" ht="15">
      <c r="A976" s="1078" t="s">
        <v>3770</v>
      </c>
      <c r="B976" t="s">
        <v>10</v>
      </c>
      <c r="C976" s="1078" t="s">
        <v>2289</v>
      </c>
      <c r="D976" s="91">
        <v>44065.681899575931</v>
      </c>
    </row>
    <row r="977" spans="1:4" ht="15">
      <c r="A977" s="1078" t="s">
        <v>3771</v>
      </c>
      <c r="B977" t="s">
        <v>1503</v>
      </c>
      <c r="C977" s="1078" t="s">
        <v>2346</v>
      </c>
      <c r="D977" s="91">
        <v>0</v>
      </c>
    </row>
    <row r="978" spans="1:4" ht="15">
      <c r="A978" s="1078" t="s">
        <v>3772</v>
      </c>
      <c r="B978" t="s">
        <v>2089</v>
      </c>
      <c r="C978" s="1078" t="s">
        <v>840</v>
      </c>
      <c r="D978" s="91">
        <v>169462.79269394113</v>
      </c>
    </row>
    <row r="979" spans="1:4" ht="15">
      <c r="A979" s="1078" t="s">
        <v>3773</v>
      </c>
      <c r="B979" t="s">
        <v>425</v>
      </c>
      <c r="C979" s="1078" t="s">
        <v>78</v>
      </c>
      <c r="D979" s="91">
        <v>0</v>
      </c>
    </row>
    <row r="980" spans="1:4" ht="15">
      <c r="A980" s="1078" t="s">
        <v>3774</v>
      </c>
      <c r="B980" t="s">
        <v>278</v>
      </c>
      <c r="C980" s="1078" t="s">
        <v>534</v>
      </c>
      <c r="D980" s="91">
        <v>0</v>
      </c>
    </row>
    <row r="981" spans="1:4" ht="15">
      <c r="A981" s="1078" t="s">
        <v>3775</v>
      </c>
      <c r="B981" t="s">
        <v>1338</v>
      </c>
      <c r="C981" s="1078" t="s">
        <v>109</v>
      </c>
      <c r="D981" s="91">
        <v>0</v>
      </c>
    </row>
    <row r="982" spans="1:4" ht="15">
      <c r="A982" s="1078" t="s">
        <v>3776</v>
      </c>
      <c r="B982" t="s">
        <v>2580</v>
      </c>
      <c r="C982" s="1078" t="s">
        <v>2321</v>
      </c>
      <c r="D982" s="91">
        <v>0</v>
      </c>
    </row>
    <row r="983" spans="1:4" ht="15">
      <c r="A983" s="1078" t="s">
        <v>3777</v>
      </c>
      <c r="B983" t="s">
        <v>1799</v>
      </c>
      <c r="C983" s="1078" t="s">
        <v>1018</v>
      </c>
      <c r="D983" s="91">
        <v>0</v>
      </c>
    </row>
    <row r="984" spans="1:4" ht="15">
      <c r="A984" s="1078" t="s">
        <v>3778</v>
      </c>
      <c r="B984" t="s">
        <v>40</v>
      </c>
      <c r="C984" s="1078" t="s">
        <v>1268</v>
      </c>
      <c r="D984" s="91">
        <v>0</v>
      </c>
    </row>
    <row r="985" spans="1:4" ht="15">
      <c r="A985" s="1078" t="s">
        <v>6142</v>
      </c>
      <c r="B985" t="s">
        <v>11</v>
      </c>
      <c r="C985" s="1078" t="s">
        <v>1612</v>
      </c>
      <c r="D985" s="91">
        <v>0</v>
      </c>
    </row>
    <row r="986" spans="1:4" ht="15">
      <c r="A986" s="1078" t="s">
        <v>3779</v>
      </c>
      <c r="B986" t="s">
        <v>1771</v>
      </c>
      <c r="C986" s="1078" t="s">
        <v>2467</v>
      </c>
      <c r="D986" s="91">
        <v>0</v>
      </c>
    </row>
    <row r="987" spans="1:4" ht="15">
      <c r="A987" s="1078" t="s">
        <v>5691</v>
      </c>
      <c r="B987" t="s">
        <v>1310</v>
      </c>
      <c r="C987" s="1078" t="s">
        <v>611</v>
      </c>
      <c r="D987" s="91">
        <v>0</v>
      </c>
    </row>
    <row r="988" spans="1:4" ht="15">
      <c r="A988" s="1078" t="s">
        <v>3780</v>
      </c>
      <c r="B988" t="s">
        <v>1545</v>
      </c>
      <c r="C988" s="1078" t="s">
        <v>602</v>
      </c>
      <c r="D988" s="91">
        <v>0</v>
      </c>
    </row>
    <row r="989" spans="1:4" ht="15">
      <c r="A989" s="1078" t="s">
        <v>3781</v>
      </c>
      <c r="B989" t="s">
        <v>1515</v>
      </c>
      <c r="C989" s="1078" t="s">
        <v>604</v>
      </c>
      <c r="D989" s="91">
        <v>0</v>
      </c>
    </row>
    <row r="990" spans="1:4" ht="15">
      <c r="A990" s="1078" t="s">
        <v>3782</v>
      </c>
      <c r="B990" t="s">
        <v>1769</v>
      </c>
      <c r="C990" s="1078" t="s">
        <v>2465</v>
      </c>
      <c r="D990" s="91">
        <v>0</v>
      </c>
    </row>
    <row r="991" spans="1:4" ht="15">
      <c r="A991" s="1078" t="s">
        <v>6819</v>
      </c>
      <c r="B991" t="s">
        <v>12</v>
      </c>
      <c r="C991" s="1078" t="s">
        <v>1613</v>
      </c>
      <c r="D991" s="91">
        <v>0</v>
      </c>
    </row>
    <row r="992" spans="1:4" ht="15">
      <c r="A992" s="1078" t="s">
        <v>3783</v>
      </c>
      <c r="B992" t="s">
        <v>2455</v>
      </c>
      <c r="C992" s="1078" t="s">
        <v>110</v>
      </c>
      <c r="D992" s="91">
        <v>0</v>
      </c>
    </row>
    <row r="993" spans="1:4" ht="15">
      <c r="A993" s="1078" t="s">
        <v>3784</v>
      </c>
      <c r="B993" t="s">
        <v>59</v>
      </c>
      <c r="C993" s="1078" t="s">
        <v>1900</v>
      </c>
      <c r="D993" s="91">
        <v>0</v>
      </c>
    </row>
    <row r="994" spans="1:4" ht="15">
      <c r="A994" s="1078" t="s">
        <v>3785</v>
      </c>
      <c r="B994" t="s">
        <v>2456</v>
      </c>
      <c r="C994" s="1078" t="s">
        <v>1005</v>
      </c>
      <c r="D994" s="91">
        <v>181940.83970747417</v>
      </c>
    </row>
    <row r="995" spans="1:4" ht="15">
      <c r="A995" s="1078" t="s">
        <v>3786</v>
      </c>
      <c r="B995" t="s">
        <v>1512</v>
      </c>
      <c r="C995" s="1078" t="s">
        <v>1941</v>
      </c>
      <c r="D995" s="91">
        <v>0</v>
      </c>
    </row>
    <row r="996" spans="1:4" ht="15">
      <c r="A996" s="1078" t="s">
        <v>6143</v>
      </c>
      <c r="B996" t="s">
        <v>1174</v>
      </c>
      <c r="C996" s="1078" t="s">
        <v>1614</v>
      </c>
      <c r="D996" s="91">
        <v>118740.47970513035</v>
      </c>
    </row>
    <row r="997" spans="1:4" ht="15">
      <c r="A997" s="1078" t="s">
        <v>6144</v>
      </c>
      <c r="B997" t="s">
        <v>1175</v>
      </c>
      <c r="C997" s="1078" t="s">
        <v>1615</v>
      </c>
      <c r="D997" s="91">
        <v>0</v>
      </c>
    </row>
    <row r="998" spans="1:4" ht="15">
      <c r="A998" s="1078" t="s">
        <v>3787</v>
      </c>
      <c r="B998" t="s">
        <v>196</v>
      </c>
      <c r="C998" s="1078" t="s">
        <v>1053</v>
      </c>
      <c r="D998" s="91">
        <v>230626.98400995767</v>
      </c>
    </row>
    <row r="999" spans="1:4" ht="15">
      <c r="A999" s="1078" t="s">
        <v>6145</v>
      </c>
      <c r="B999" t="s">
        <v>800</v>
      </c>
      <c r="C999" s="1078" t="s">
        <v>1616</v>
      </c>
      <c r="D999" s="91">
        <v>0</v>
      </c>
    </row>
    <row r="1000" spans="1:4" ht="15">
      <c r="A1000" s="1078" t="s">
        <v>6146</v>
      </c>
      <c r="B1000" t="s">
        <v>2176</v>
      </c>
      <c r="C1000" s="1078" t="s">
        <v>1617</v>
      </c>
      <c r="D1000" s="91">
        <v>53273.79640428436</v>
      </c>
    </row>
    <row r="1001" spans="1:4" ht="15">
      <c r="A1001" s="1078" t="s">
        <v>6147</v>
      </c>
      <c r="B1001" t="s">
        <v>2424</v>
      </c>
      <c r="C1001" s="1078" t="s">
        <v>1618</v>
      </c>
      <c r="D1001" s="91">
        <v>0</v>
      </c>
    </row>
    <row r="1002" spans="1:4" ht="15">
      <c r="A1002" s="1078" t="s">
        <v>6148</v>
      </c>
      <c r="B1002" t="s">
        <v>2425</v>
      </c>
      <c r="C1002" s="1078" t="s">
        <v>1619</v>
      </c>
      <c r="D1002" s="91">
        <v>0</v>
      </c>
    </row>
    <row r="1003" spans="1:4" ht="15">
      <c r="A1003" s="1078" t="s">
        <v>3788</v>
      </c>
      <c r="B1003" t="s">
        <v>2022</v>
      </c>
      <c r="C1003" s="1078" t="s">
        <v>1365</v>
      </c>
      <c r="D1003" s="91">
        <v>38144.870063101545</v>
      </c>
    </row>
    <row r="1004" spans="1:4" ht="15">
      <c r="A1004" s="1078" t="s">
        <v>3789</v>
      </c>
      <c r="B1004" t="s">
        <v>1150</v>
      </c>
      <c r="C1004" s="1078" t="s">
        <v>1927</v>
      </c>
      <c r="D1004" s="91">
        <v>27975.606737738155</v>
      </c>
    </row>
    <row r="1005" spans="1:4" ht="15">
      <c r="A1005" s="1078" t="s">
        <v>6149</v>
      </c>
      <c r="B1005" t="s">
        <v>2229</v>
      </c>
      <c r="C1005" s="1078" t="s">
        <v>1620</v>
      </c>
      <c r="D1005" s="91">
        <v>88379.85357959228</v>
      </c>
    </row>
    <row r="1006" spans="1:4" ht="15">
      <c r="A1006" s="1078" t="s">
        <v>6820</v>
      </c>
      <c r="B1006" t="s">
        <v>2230</v>
      </c>
      <c r="C1006" s="1078" t="s">
        <v>1621</v>
      </c>
      <c r="D1006" s="91">
        <v>9330.6706294305004</v>
      </c>
    </row>
    <row r="1007" spans="1:4" ht="15">
      <c r="A1007" s="1078" t="s">
        <v>6150</v>
      </c>
      <c r="B1007" t="s">
        <v>2575</v>
      </c>
      <c r="C1007" s="1078" t="s">
        <v>24</v>
      </c>
      <c r="D1007" s="91">
        <v>109934.77389340698</v>
      </c>
    </row>
    <row r="1008" spans="1:4" ht="15">
      <c r="A1008" s="1078" t="s">
        <v>6151</v>
      </c>
      <c r="B1008" t="s">
        <v>2576</v>
      </c>
      <c r="C1008" s="1078" t="s">
        <v>1370</v>
      </c>
      <c r="D1008" s="91">
        <v>0</v>
      </c>
    </row>
    <row r="1009" spans="1:4" ht="15">
      <c r="A1009" s="1078" t="s">
        <v>6152</v>
      </c>
      <c r="B1009" t="s">
        <v>635</v>
      </c>
      <c r="C1009" s="1078" t="s">
        <v>1371</v>
      </c>
      <c r="D1009" s="91">
        <v>0</v>
      </c>
    </row>
    <row r="1010" spans="1:4" ht="15">
      <c r="A1010" s="1078" t="s">
        <v>6821</v>
      </c>
      <c r="B1010" t="s">
        <v>679</v>
      </c>
      <c r="C1010" s="1078" t="s">
        <v>1372</v>
      </c>
      <c r="D1010" s="91">
        <v>0</v>
      </c>
    </row>
    <row r="1011" spans="1:4" ht="15">
      <c r="A1011" s="1078" t="s">
        <v>6153</v>
      </c>
      <c r="B1011" t="s">
        <v>680</v>
      </c>
      <c r="C1011" s="1078" t="s">
        <v>1373</v>
      </c>
      <c r="D1011" s="91">
        <v>0</v>
      </c>
    </row>
    <row r="1012" spans="1:4" ht="15">
      <c r="A1012" s="1078" t="s">
        <v>6154</v>
      </c>
      <c r="B1012" t="s">
        <v>1471</v>
      </c>
      <c r="C1012" s="1078" t="s">
        <v>1374</v>
      </c>
      <c r="D1012" s="91">
        <v>75680.337033589036</v>
      </c>
    </row>
    <row r="1013" spans="1:4" ht="15">
      <c r="A1013" s="1078" t="s">
        <v>3790</v>
      </c>
      <c r="B1013" t="s">
        <v>907</v>
      </c>
      <c r="C1013" s="1078" t="s">
        <v>862</v>
      </c>
      <c r="D1013" s="91">
        <v>180362.56772335651</v>
      </c>
    </row>
    <row r="1014" spans="1:4" ht="15">
      <c r="A1014" s="1078" t="s">
        <v>6155</v>
      </c>
      <c r="B1014" t="s">
        <v>1472</v>
      </c>
      <c r="C1014" s="1078" t="s">
        <v>1375</v>
      </c>
      <c r="D1014" s="91">
        <v>80752.423581141687</v>
      </c>
    </row>
    <row r="1015" spans="1:4" ht="15">
      <c r="A1015" s="1078" t="s">
        <v>3791</v>
      </c>
      <c r="B1015" t="s">
        <v>1504</v>
      </c>
      <c r="C1015" s="1078" t="s">
        <v>825</v>
      </c>
      <c r="D1015" s="91">
        <v>194996.44452137066</v>
      </c>
    </row>
    <row r="1016" spans="1:4" ht="15">
      <c r="A1016" s="1078" t="s">
        <v>6822</v>
      </c>
      <c r="B1016" t="s">
        <v>514</v>
      </c>
      <c r="C1016" s="1078" t="s">
        <v>1376</v>
      </c>
      <c r="D1016" s="91">
        <v>0</v>
      </c>
    </row>
    <row r="1017" spans="1:4" ht="15">
      <c r="A1017" s="1078" t="s">
        <v>3792</v>
      </c>
      <c r="B1017" t="s">
        <v>2406</v>
      </c>
      <c r="C1017" s="1078" t="s">
        <v>420</v>
      </c>
      <c r="D1017" s="91">
        <v>1030867.3329756883</v>
      </c>
    </row>
    <row r="1018" spans="1:4" ht="15">
      <c r="A1018" s="1078" t="s">
        <v>3793</v>
      </c>
      <c r="B1018" t="s">
        <v>1688</v>
      </c>
      <c r="C1018" s="1078" t="s">
        <v>1898</v>
      </c>
      <c r="D1018" s="91">
        <v>0</v>
      </c>
    </row>
    <row r="1019" spans="1:4" ht="15">
      <c r="B1019" s="1078"/>
      <c r="D1019" s="91">
        <f>SUM(D1:D1018)</f>
        <v>50000000.000000007</v>
      </c>
    </row>
    <row r="1020" spans="1:4" ht="15">
      <c r="B1020" s="1078"/>
    </row>
    <row r="1021" spans="1:4" ht="15">
      <c r="B1021" s="1078"/>
    </row>
    <row r="1022" spans="1:4" ht="15">
      <c r="B1022" s="107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O102"/>
  <sheetViews>
    <sheetView workbookViewId="0">
      <selection activeCell="D1" sqref="D1"/>
    </sheetView>
  </sheetViews>
  <sheetFormatPr defaultRowHeight="12.75"/>
  <cols>
    <col min="1" max="1" width="9.140625" style="64" customWidth="1"/>
    <col min="2" max="2" width="86.42578125" style="35" customWidth="1"/>
    <col min="3" max="3" width="4.140625" style="35" customWidth="1"/>
    <col min="4" max="4" width="20.5703125" style="35" customWidth="1"/>
    <col min="5" max="7" width="20.5703125" style="35" hidden="1" customWidth="1"/>
    <col min="8" max="8" width="17.5703125" style="35" customWidth="1"/>
    <col min="9" max="15" width="9.140625" style="35" customWidth="1"/>
  </cols>
  <sheetData>
    <row r="1" spans="1:15">
      <c r="A1" s="380" t="s">
        <v>2864</v>
      </c>
      <c r="C1" s="755"/>
      <c r="D1" s="3054" t="str">
        <f>'Data Entry - SOF'!S1</f>
        <v>Release 10</v>
      </c>
      <c r="E1" s="754"/>
      <c r="F1" s="754"/>
      <c r="G1" s="754"/>
    </row>
    <row r="2" spans="1:15">
      <c r="A2" s="484" t="s">
        <v>9515</v>
      </c>
      <c r="D2" s="4642">
        <f>'Data Entry - SOF'!S2</f>
        <v>43724</v>
      </c>
      <c r="E2" s="72"/>
      <c r="F2" s="72"/>
      <c r="G2" s="72"/>
    </row>
    <row r="3" spans="1:15" ht="15.75">
      <c r="D3" s="325"/>
      <c r="E3" s="58"/>
      <c r="F3" s="58"/>
      <c r="G3" s="58"/>
    </row>
    <row r="4" spans="1:15" s="382" customFormat="1" ht="15.75">
      <c r="A4" s="381" t="s">
        <v>3328</v>
      </c>
      <c r="B4" s="325"/>
      <c r="C4" s="325"/>
      <c r="D4" s="325"/>
      <c r="E4" s="325"/>
      <c r="F4" s="325"/>
      <c r="G4" s="325"/>
      <c r="H4" s="325"/>
      <c r="I4" s="325"/>
      <c r="J4" s="325"/>
      <c r="K4" s="325"/>
      <c r="L4" s="325"/>
      <c r="M4" s="325"/>
      <c r="N4" s="325"/>
      <c r="O4" s="325"/>
    </row>
    <row r="5" spans="1:15" s="382" customFormat="1" ht="15.75">
      <c r="A5" s="383">
        <f>'Data Entry - SOF'!B1</f>
        <v>0</v>
      </c>
      <c r="B5" s="325"/>
      <c r="C5" s="325"/>
      <c r="D5" s="325"/>
      <c r="E5" s="325"/>
      <c r="F5" s="325"/>
      <c r="G5" s="325"/>
      <c r="H5" s="325"/>
      <c r="I5" s="325"/>
      <c r="J5" s="325"/>
      <c r="K5" s="325"/>
      <c r="L5" s="325"/>
      <c r="M5" s="325"/>
      <c r="N5" s="325"/>
      <c r="O5" s="325"/>
    </row>
    <row r="6" spans="1:15" s="382" customFormat="1" ht="15.75">
      <c r="A6" s="381">
        <f>'Data Entry - SOF'!B2</f>
        <v>0</v>
      </c>
      <c r="B6" s="325"/>
      <c r="C6" s="325"/>
      <c r="D6" s="325"/>
      <c r="E6" s="325"/>
      <c r="F6" s="325"/>
      <c r="G6" s="325"/>
      <c r="H6" s="325"/>
      <c r="I6" s="325"/>
      <c r="J6" s="325"/>
      <c r="K6" s="325"/>
      <c r="L6" s="325"/>
      <c r="M6" s="325"/>
      <c r="N6" s="325"/>
      <c r="O6" s="325"/>
    </row>
    <row r="7" spans="1:15" s="382" customFormat="1" ht="15.75">
      <c r="A7" s="381"/>
      <c r="B7" s="325"/>
      <c r="C7" s="325"/>
      <c r="D7" s="4639" t="s">
        <v>8765</v>
      </c>
      <c r="F7" s="325"/>
      <c r="G7" s="325"/>
      <c r="H7" s="325"/>
      <c r="I7" s="325"/>
      <c r="J7" s="325"/>
      <c r="K7" s="325"/>
      <c r="L7" s="325"/>
      <c r="M7" s="325"/>
      <c r="N7" s="325"/>
      <c r="O7" s="325"/>
    </row>
    <row r="8" spans="1:15" s="382" customFormat="1" ht="18">
      <c r="A8" s="4801" t="s">
        <v>2707</v>
      </c>
      <c r="B8" s="4802"/>
      <c r="C8" s="4802"/>
      <c r="D8" s="532" t="s">
        <v>2715</v>
      </c>
      <c r="E8" s="3004"/>
      <c r="F8" s="1298"/>
      <c r="G8" s="1298"/>
      <c r="H8" s="325"/>
      <c r="I8" s="325"/>
      <c r="J8" s="325"/>
      <c r="K8" s="325"/>
      <c r="L8" s="325"/>
      <c r="M8" s="325"/>
      <c r="N8" s="325"/>
      <c r="O8" s="325"/>
    </row>
    <row r="9" spans="1:15" s="382" customFormat="1" ht="18">
      <c r="A9" s="4799" t="s">
        <v>2708</v>
      </c>
      <c r="B9" s="4800"/>
      <c r="C9" s="4800"/>
      <c r="D9" s="533" t="s">
        <v>2716</v>
      </c>
      <c r="E9" s="3005" t="s">
        <v>8765</v>
      </c>
      <c r="F9" s="1298"/>
      <c r="G9" s="1298"/>
      <c r="H9" s="325"/>
      <c r="I9" s="325"/>
      <c r="J9" s="325"/>
      <c r="K9" s="325"/>
      <c r="L9" s="325"/>
      <c r="M9" s="325"/>
      <c r="N9" s="325"/>
      <c r="O9" s="325"/>
    </row>
    <row r="10" spans="1:15" s="382" customFormat="1" ht="15.75">
      <c r="A10" s="385" t="s">
        <v>2186</v>
      </c>
      <c r="B10" s="386" t="s">
        <v>2709</v>
      </c>
      <c r="C10" s="386"/>
      <c r="D10" s="3082">
        <f>'Data Entry - SOF'!K19</f>
        <v>0</v>
      </c>
      <c r="E10" s="2997">
        <f>D10</f>
        <v>0</v>
      </c>
      <c r="F10" s="2988"/>
      <c r="G10" s="2988"/>
      <c r="H10" s="325"/>
      <c r="I10" s="325"/>
      <c r="J10" s="325"/>
      <c r="K10" s="325"/>
      <c r="L10" s="325"/>
      <c r="M10" s="325"/>
      <c r="N10" s="325"/>
      <c r="O10" s="325"/>
    </row>
    <row r="11" spans="1:15" s="382" customFormat="1" ht="15.75">
      <c r="A11" s="385" t="s">
        <v>2187</v>
      </c>
      <c r="B11" s="718" t="s">
        <v>3353</v>
      </c>
      <c r="C11" s="386"/>
      <c r="D11" s="3082">
        <f>'Calc Data'!F12</f>
        <v>0</v>
      </c>
      <c r="E11" s="2997">
        <f t="shared" ref="E11:E13" si="0">D11</f>
        <v>0</v>
      </c>
      <c r="F11" s="2988"/>
      <c r="G11" s="2988"/>
      <c r="H11" s="325"/>
      <c r="I11" s="325"/>
      <c r="J11" s="325"/>
      <c r="K11" s="325"/>
      <c r="L11" s="325"/>
      <c r="M11" s="325"/>
      <c r="N11" s="325"/>
      <c r="O11" s="325"/>
    </row>
    <row r="12" spans="1:15" s="382" customFormat="1" ht="15.75">
      <c r="A12" s="385" t="s">
        <v>2188</v>
      </c>
      <c r="B12" s="719" t="s">
        <v>3355</v>
      </c>
      <c r="C12" s="386"/>
      <c r="D12" s="3082">
        <f>'Calc Data'!F8</f>
        <v>0</v>
      </c>
      <c r="E12" s="2997">
        <f t="shared" si="0"/>
        <v>0</v>
      </c>
      <c r="F12" s="2988"/>
      <c r="G12" s="2988"/>
      <c r="H12" s="325"/>
      <c r="I12" s="325"/>
      <c r="J12" s="325"/>
      <c r="K12" s="325"/>
      <c r="L12" s="325"/>
      <c r="M12" s="325"/>
      <c r="N12" s="325"/>
      <c r="O12" s="325"/>
    </row>
    <row r="13" spans="1:15" s="382" customFormat="1" ht="15.75">
      <c r="A13" s="385" t="s">
        <v>909</v>
      </c>
      <c r="B13" s="386" t="s">
        <v>824</v>
      </c>
      <c r="C13" s="386"/>
      <c r="D13" s="3082">
        <f>'Data Entry - SOF'!K36</f>
        <v>0</v>
      </c>
      <c r="E13" s="2997">
        <f t="shared" si="0"/>
        <v>0</v>
      </c>
      <c r="F13" s="2988"/>
      <c r="G13" s="2988"/>
      <c r="H13" s="325"/>
      <c r="I13" s="325"/>
      <c r="J13" s="325"/>
      <c r="K13" s="325"/>
      <c r="L13" s="325"/>
      <c r="M13" s="325"/>
      <c r="N13" s="325"/>
      <c r="O13" s="325"/>
    </row>
    <row r="14" spans="1:15" s="382" customFormat="1" ht="15.75">
      <c r="A14" s="385" t="s">
        <v>910</v>
      </c>
      <c r="B14" s="719" t="s">
        <v>3356</v>
      </c>
      <c r="C14" s="386"/>
      <c r="D14" s="3082" t="e">
        <f>'SOF1920-HB3'!L66</f>
        <v>#DIV/0!</v>
      </c>
      <c r="E14" s="2997" t="e">
        <f>'SOF1920-HB3'!L66</f>
        <v>#DIV/0!</v>
      </c>
      <c r="F14" s="2988"/>
      <c r="G14" s="2988"/>
      <c r="H14" s="325"/>
      <c r="I14" s="325"/>
      <c r="J14" s="325"/>
      <c r="K14" s="325"/>
      <c r="L14" s="325"/>
      <c r="M14" s="325"/>
      <c r="N14" s="325"/>
      <c r="O14" s="325"/>
    </row>
    <row r="15" spans="1:15" s="382" customFormat="1" ht="18">
      <c r="A15" s="4799" t="s">
        <v>2720</v>
      </c>
      <c r="B15" s="4800"/>
      <c r="C15" s="4800"/>
      <c r="D15" s="4803"/>
      <c r="E15" s="3003"/>
      <c r="F15" s="1377"/>
      <c r="G15" s="1377"/>
      <c r="H15" s="325"/>
      <c r="I15" s="325"/>
      <c r="J15" s="325"/>
      <c r="K15" s="325"/>
      <c r="L15" s="325"/>
      <c r="M15" s="325"/>
      <c r="N15" s="325"/>
      <c r="O15" s="325"/>
    </row>
    <row r="16" spans="1:15" s="382" customFormat="1" ht="15.75">
      <c r="A16" s="385" t="s">
        <v>912</v>
      </c>
      <c r="B16" s="386" t="s">
        <v>10167</v>
      </c>
      <c r="C16" s="386"/>
      <c r="D16" s="3083">
        <f>'Data Entry - SOF'!E83</f>
        <v>0</v>
      </c>
      <c r="E16" s="2998">
        <f>D16</f>
        <v>0</v>
      </c>
      <c r="F16" s="601"/>
      <c r="G16" s="601"/>
      <c r="H16" s="325"/>
      <c r="I16" s="325"/>
      <c r="J16" s="325"/>
      <c r="K16" s="325"/>
      <c r="L16" s="325"/>
      <c r="M16" s="325"/>
      <c r="N16" s="325"/>
      <c r="O16" s="325"/>
    </row>
    <row r="17" spans="1:15" s="382" customFormat="1" ht="15.75">
      <c r="A17" s="385" t="s">
        <v>913</v>
      </c>
      <c r="B17" s="386" t="s">
        <v>9186</v>
      </c>
      <c r="C17" s="4677"/>
      <c r="D17" s="3083">
        <f>'Data Entry - SOF'!K73</f>
        <v>0</v>
      </c>
      <c r="E17" s="4686"/>
      <c r="F17" s="601"/>
      <c r="G17" s="601"/>
      <c r="H17" s="325"/>
      <c r="I17" s="325"/>
      <c r="J17" s="325"/>
      <c r="K17" s="325"/>
      <c r="L17" s="325"/>
      <c r="M17" s="325"/>
      <c r="N17" s="325"/>
      <c r="O17" s="325"/>
    </row>
    <row r="18" spans="1:15" s="382" customFormat="1" ht="18">
      <c r="A18" s="4799" t="s">
        <v>2721</v>
      </c>
      <c r="B18" s="4800"/>
      <c r="C18" s="4800"/>
      <c r="D18" s="4803"/>
      <c r="E18" s="3003"/>
      <c r="F18" s="1377"/>
      <c r="G18" s="1377"/>
      <c r="H18" s="325"/>
      <c r="I18" s="325"/>
      <c r="J18" s="325"/>
      <c r="K18" s="325"/>
      <c r="L18" s="325"/>
      <c r="M18" s="325"/>
      <c r="N18" s="325"/>
      <c r="O18" s="325"/>
    </row>
    <row r="19" spans="1:15" s="382" customFormat="1" ht="15.75">
      <c r="A19" s="385" t="s">
        <v>914</v>
      </c>
      <c r="B19" s="386" t="s">
        <v>10168</v>
      </c>
      <c r="C19" s="384"/>
      <c r="D19" s="4644">
        <f>'Data Entry - SOF'!K155</f>
        <v>0.93</v>
      </c>
      <c r="E19" s="2999"/>
      <c r="F19" s="2989"/>
      <c r="G19" s="2989"/>
      <c r="H19" s="325"/>
      <c r="I19" s="325"/>
      <c r="J19" s="325"/>
      <c r="K19" s="325"/>
      <c r="L19" s="325"/>
      <c r="M19" s="325"/>
      <c r="N19" s="325"/>
      <c r="O19" s="325"/>
    </row>
    <row r="20" spans="1:15" s="382" customFormat="1" ht="15.75">
      <c r="A20" s="385" t="s">
        <v>118</v>
      </c>
      <c r="B20" s="386" t="s">
        <v>3998</v>
      </c>
      <c r="C20" s="384"/>
      <c r="D20" s="4732">
        <f>'Data Entry - SOF'!E92</f>
        <v>1.17</v>
      </c>
      <c r="E20" s="2999">
        <f>'Data Entry - SOF'!K92</f>
        <v>1.17</v>
      </c>
      <c r="F20" s="2989"/>
      <c r="G20" s="2989"/>
      <c r="H20" s="325"/>
      <c r="I20" s="325"/>
      <c r="J20" s="325"/>
      <c r="K20" s="325"/>
      <c r="L20" s="325"/>
      <c r="M20" s="325"/>
      <c r="N20" s="325"/>
      <c r="O20" s="325"/>
    </row>
    <row r="21" spans="1:15" s="382" customFormat="1" ht="15.75">
      <c r="A21" s="385" t="s">
        <v>119</v>
      </c>
      <c r="B21" s="386" t="s">
        <v>3992</v>
      </c>
      <c r="C21" s="4648"/>
      <c r="D21" s="4732">
        <f>'Data Entry - SOF'!K95</f>
        <v>0</v>
      </c>
      <c r="E21" s="4688"/>
      <c r="F21" s="2989"/>
      <c r="G21" s="2989"/>
      <c r="H21" s="325"/>
      <c r="I21" s="325"/>
      <c r="J21" s="325"/>
      <c r="K21" s="325"/>
      <c r="L21" s="325"/>
      <c r="M21" s="325"/>
      <c r="N21" s="325"/>
      <c r="O21" s="325"/>
    </row>
    <row r="22" spans="1:15" s="382" customFormat="1" ht="15.75">
      <c r="A22" s="385" t="s">
        <v>120</v>
      </c>
      <c r="B22" s="386" t="s">
        <v>10170</v>
      </c>
      <c r="C22" s="4648"/>
      <c r="D22" s="4731">
        <f>'Data Entry - SOF'!K155</f>
        <v>0.93</v>
      </c>
      <c r="E22" s="4688"/>
      <c r="F22" s="2989"/>
      <c r="G22" s="2989"/>
      <c r="H22" s="325"/>
      <c r="I22" s="325"/>
      <c r="J22" s="325"/>
      <c r="K22" s="325"/>
      <c r="L22" s="325"/>
      <c r="M22" s="325"/>
      <c r="N22" s="325"/>
      <c r="O22" s="325"/>
    </row>
    <row r="23" spans="1:15" s="382" customFormat="1" ht="15.75">
      <c r="A23" s="385" t="s">
        <v>121</v>
      </c>
      <c r="B23" s="386" t="s">
        <v>10171</v>
      </c>
      <c r="C23" s="4648"/>
      <c r="D23" s="4731">
        <f>'HB3-RollbackRates'!E3</f>
        <v>0.93</v>
      </c>
      <c r="E23" s="4688"/>
      <c r="F23" s="2989"/>
      <c r="G23" s="2989"/>
      <c r="H23" s="325"/>
      <c r="I23" s="325"/>
      <c r="J23" s="325"/>
      <c r="K23" s="325"/>
      <c r="L23" s="325"/>
      <c r="M23" s="325"/>
      <c r="N23" s="325"/>
      <c r="O23" s="325"/>
    </row>
    <row r="24" spans="1:15" s="382" customFormat="1" ht="15.75">
      <c r="A24" s="385" t="s">
        <v>1513</v>
      </c>
      <c r="B24" s="719" t="s">
        <v>10169</v>
      </c>
      <c r="C24" s="386"/>
      <c r="D24" s="2932">
        <f>'Data Entry - SOF'!K96</f>
        <v>0</v>
      </c>
      <c r="E24" s="3000">
        <f>'Data Entry - SOF'!K93</f>
        <v>0</v>
      </c>
      <c r="F24" s="717"/>
      <c r="G24" s="717"/>
      <c r="H24" s="325"/>
      <c r="I24" s="325"/>
      <c r="J24" s="325"/>
      <c r="K24" s="325"/>
      <c r="L24" s="325"/>
      <c r="M24" s="325"/>
      <c r="N24" s="325"/>
      <c r="O24" s="325"/>
    </row>
    <row r="25" spans="1:15" s="382" customFormat="1" ht="15.75">
      <c r="A25" s="385" t="s">
        <v>6</v>
      </c>
      <c r="B25" s="386" t="s">
        <v>10172</v>
      </c>
      <c r="C25" s="4677"/>
      <c r="D25" s="4731">
        <f>'Data Entry - SOF'!K100</f>
        <v>0</v>
      </c>
      <c r="E25" s="4678"/>
      <c r="F25" s="717"/>
      <c r="G25" s="717"/>
      <c r="H25" s="325"/>
      <c r="I25" s="325"/>
      <c r="J25" s="325"/>
      <c r="K25" s="325"/>
      <c r="L25" s="325"/>
      <c r="M25" s="325"/>
      <c r="N25" s="325"/>
      <c r="O25" s="325"/>
    </row>
    <row r="26" spans="1:15" s="382" customFormat="1" ht="15.75">
      <c r="A26" s="385" t="s">
        <v>2232</v>
      </c>
      <c r="B26" s="386" t="s">
        <v>10173</v>
      </c>
      <c r="C26" s="386"/>
      <c r="D26" s="2932">
        <f>'Data Entry - SOF'!K101</f>
        <v>0</v>
      </c>
      <c r="E26" s="3000">
        <f>D26</f>
        <v>0</v>
      </c>
      <c r="F26" s="717"/>
      <c r="G26" s="717"/>
      <c r="H26" s="325"/>
      <c r="I26" s="325"/>
      <c r="J26" s="325"/>
      <c r="K26" s="325"/>
      <c r="L26" s="325"/>
      <c r="M26" s="325"/>
      <c r="N26" s="325"/>
      <c r="O26" s="325"/>
    </row>
    <row r="27" spans="1:15" s="382" customFormat="1" ht="15.75">
      <c r="A27" s="385" t="s">
        <v>2233</v>
      </c>
      <c r="B27" s="386" t="s">
        <v>3993</v>
      </c>
      <c r="C27" s="386"/>
      <c r="D27" s="2932">
        <f>D24+D26</f>
        <v>0</v>
      </c>
      <c r="E27" s="3000"/>
      <c r="F27" s="717"/>
      <c r="G27" s="717"/>
      <c r="H27" s="325"/>
      <c r="I27" s="325"/>
      <c r="J27" s="325"/>
      <c r="K27" s="325"/>
      <c r="L27" s="325"/>
      <c r="M27" s="325"/>
      <c r="N27" s="325"/>
      <c r="O27" s="325"/>
    </row>
    <row r="28" spans="1:15" s="382" customFormat="1" ht="15.75">
      <c r="A28" s="385" t="s">
        <v>2722</v>
      </c>
      <c r="B28" s="386" t="s">
        <v>3994</v>
      </c>
      <c r="C28" s="386"/>
      <c r="D28" s="2932">
        <f>'Data Entry - SOF'!K112</f>
        <v>0</v>
      </c>
      <c r="E28" s="3000"/>
      <c r="F28" s="717"/>
      <c r="G28" s="717"/>
      <c r="H28" s="325"/>
      <c r="I28" s="325"/>
      <c r="J28" s="325"/>
      <c r="K28" s="325"/>
      <c r="L28" s="325"/>
      <c r="M28" s="325"/>
      <c r="N28" s="325"/>
      <c r="O28" s="325"/>
    </row>
    <row r="29" spans="1:15" s="382" customFormat="1" ht="18">
      <c r="A29" s="4799" t="s">
        <v>2730</v>
      </c>
      <c r="B29" s="4800"/>
      <c r="C29" s="4800"/>
      <c r="D29" s="4803"/>
      <c r="E29" s="3003"/>
      <c r="F29" s="1377"/>
      <c r="G29" s="1377"/>
      <c r="H29" s="325"/>
      <c r="I29" s="325"/>
      <c r="J29" s="325"/>
      <c r="K29" s="325"/>
      <c r="L29" s="325"/>
      <c r="M29" s="325"/>
      <c r="N29" s="325"/>
      <c r="O29" s="325"/>
    </row>
    <row r="30" spans="1:15" s="382" customFormat="1" ht="15.75">
      <c r="A30" s="385" t="s">
        <v>2723</v>
      </c>
      <c r="B30" s="719" t="s">
        <v>10174</v>
      </c>
      <c r="C30" s="404"/>
      <c r="D30" s="772">
        <f>Assumptions!H118</f>
        <v>0</v>
      </c>
      <c r="E30" s="3000"/>
      <c r="F30" s="717"/>
      <c r="G30" s="717"/>
      <c r="H30" s="325"/>
      <c r="I30" s="325"/>
      <c r="J30" s="325"/>
      <c r="K30" s="325"/>
      <c r="L30" s="325"/>
      <c r="M30" s="325"/>
      <c r="N30" s="325"/>
      <c r="O30" s="325"/>
    </row>
    <row r="31" spans="1:15" s="382" customFormat="1" ht="15.75">
      <c r="A31" s="385" t="s">
        <v>2726</v>
      </c>
      <c r="B31" s="4691" t="s">
        <v>10175</v>
      </c>
      <c r="C31" s="4690"/>
      <c r="D31" s="4733">
        <f>'Data Entry - SOF'!E19</f>
        <v>0</v>
      </c>
      <c r="E31" s="4678"/>
      <c r="F31" s="717"/>
      <c r="G31" s="717"/>
      <c r="H31" s="325"/>
      <c r="I31" s="325"/>
      <c r="J31" s="325"/>
      <c r="K31" s="325"/>
      <c r="L31" s="325"/>
      <c r="M31" s="325"/>
      <c r="N31" s="325"/>
      <c r="O31" s="325"/>
    </row>
    <row r="32" spans="1:15" s="382" customFormat="1" ht="15.75">
      <c r="A32" s="385" t="s">
        <v>2727</v>
      </c>
      <c r="B32" s="386" t="s">
        <v>2738</v>
      </c>
      <c r="C32" s="386"/>
      <c r="D32" s="3084">
        <f>Assumptions!H123</f>
        <v>259.20699999999999</v>
      </c>
      <c r="E32" s="3001">
        <f>D32</f>
        <v>259.20699999999999</v>
      </c>
      <c r="F32" s="2990"/>
      <c r="G32" s="2990"/>
      <c r="H32" s="325"/>
      <c r="I32" s="325"/>
      <c r="J32" s="325"/>
      <c r="K32" s="325"/>
      <c r="L32" s="325"/>
      <c r="M32" s="325"/>
      <c r="N32" s="325"/>
      <c r="O32" s="325"/>
    </row>
    <row r="33" spans="1:15" s="382" customFormat="1" ht="18">
      <c r="A33" s="4804" t="s">
        <v>2759</v>
      </c>
      <c r="B33" s="4800"/>
      <c r="C33" s="4800"/>
      <c r="D33" s="4803"/>
      <c r="E33" s="3003"/>
      <c r="F33" s="1377"/>
      <c r="G33" s="1377"/>
      <c r="H33" s="325"/>
      <c r="I33" s="325"/>
      <c r="J33" s="325"/>
      <c r="K33" s="325"/>
      <c r="L33" s="325"/>
      <c r="M33" s="325"/>
      <c r="N33" s="325"/>
      <c r="O33" s="325"/>
    </row>
    <row r="34" spans="1:15" s="382" customFormat="1" ht="18">
      <c r="A34" s="4804" t="s">
        <v>10176</v>
      </c>
      <c r="B34" s="4804"/>
      <c r="C34" s="4800"/>
      <c r="D34" s="4803"/>
      <c r="E34" s="3003"/>
      <c r="F34" s="1377"/>
      <c r="G34" s="1377"/>
      <c r="H34" s="325"/>
      <c r="I34" s="325"/>
      <c r="J34" s="325"/>
      <c r="K34" s="325"/>
      <c r="L34" s="325"/>
      <c r="M34" s="325"/>
      <c r="N34" s="325"/>
      <c r="O34" s="325"/>
    </row>
    <row r="35" spans="1:15" s="382" customFormat="1" ht="15.75">
      <c r="A35" s="385" t="s">
        <v>2728</v>
      </c>
      <c r="B35" s="386" t="s">
        <v>10177</v>
      </c>
      <c r="C35" s="386"/>
      <c r="D35" s="2932">
        <f>'SOF1920-HB3'!I20</f>
        <v>0</v>
      </c>
      <c r="E35" s="3000">
        <f>'SOF1920-HB3'!I20</f>
        <v>0</v>
      </c>
      <c r="F35" s="717"/>
      <c r="G35" s="717"/>
      <c r="H35" s="325"/>
      <c r="I35" s="325"/>
      <c r="J35" s="325"/>
      <c r="K35" s="325"/>
      <c r="L35" s="325"/>
      <c r="M35" s="325"/>
      <c r="N35" s="325"/>
      <c r="O35" s="325"/>
    </row>
    <row r="36" spans="1:15" s="382" customFormat="1" ht="15.75">
      <c r="A36" s="385" t="s">
        <v>2729</v>
      </c>
      <c r="B36" s="4677" t="s">
        <v>10178</v>
      </c>
      <c r="C36" s="4677"/>
      <c r="D36" s="4689">
        <f>'SOF1920-HB3'!I21</f>
        <v>0</v>
      </c>
      <c r="E36" s="4678"/>
      <c r="F36" s="717"/>
      <c r="G36" s="717"/>
      <c r="H36" s="325"/>
      <c r="I36" s="325"/>
      <c r="J36" s="325"/>
      <c r="K36" s="325"/>
      <c r="L36" s="325"/>
      <c r="M36" s="325"/>
      <c r="N36" s="325"/>
      <c r="O36" s="325"/>
    </row>
    <row r="37" spans="1:15" s="382" customFormat="1" ht="15.75">
      <c r="A37" s="385" t="s">
        <v>2731</v>
      </c>
      <c r="B37" s="386" t="s">
        <v>10179</v>
      </c>
      <c r="C37" s="386"/>
      <c r="D37" s="2932">
        <f>SUM('SOF1920-HB3'!I22:I28)</f>
        <v>0</v>
      </c>
      <c r="E37" s="3000">
        <f>'SOF1920-HB3'!I167</f>
        <v>0</v>
      </c>
      <c r="F37" s="717"/>
      <c r="G37" s="717"/>
      <c r="H37" s="325"/>
      <c r="I37" s="325"/>
      <c r="J37" s="325"/>
      <c r="K37" s="325"/>
      <c r="L37" s="325"/>
      <c r="M37" s="325"/>
      <c r="N37" s="325"/>
      <c r="O37" s="325"/>
    </row>
    <row r="38" spans="1:15" s="382" customFormat="1" ht="15.75">
      <c r="A38" s="385" t="s">
        <v>2732</v>
      </c>
      <c r="B38" s="4677" t="s">
        <v>10180</v>
      </c>
      <c r="C38" s="4677"/>
      <c r="D38" s="4689">
        <f>'SOF1920-HB3'!I49</f>
        <v>0</v>
      </c>
      <c r="E38" s="4678"/>
      <c r="F38" s="717"/>
      <c r="G38" s="717"/>
      <c r="H38" s="325"/>
      <c r="I38" s="325"/>
      <c r="J38" s="325"/>
      <c r="K38" s="325"/>
      <c r="L38" s="325"/>
      <c r="M38" s="325"/>
      <c r="N38" s="325"/>
      <c r="O38" s="325"/>
    </row>
    <row r="39" spans="1:15" s="382" customFormat="1" ht="15.75">
      <c r="A39" s="385" t="s">
        <v>2733</v>
      </c>
      <c r="B39" s="386" t="s">
        <v>10181</v>
      </c>
      <c r="C39" s="386"/>
      <c r="D39" s="2932">
        <f>SUM('SOF1920-HB3'!I36:I43)</f>
        <v>0</v>
      </c>
      <c r="E39" s="3000">
        <f>'SOF1920-HB3'!I170</f>
        <v>0</v>
      </c>
      <c r="F39" s="717"/>
      <c r="G39" s="717"/>
      <c r="H39" s="325"/>
      <c r="I39" s="325"/>
      <c r="J39" s="325"/>
      <c r="K39" s="325"/>
      <c r="L39" s="325"/>
      <c r="M39" s="325"/>
      <c r="N39" s="325"/>
      <c r="O39" s="325"/>
    </row>
    <row r="40" spans="1:15" s="382" customFormat="1" ht="15.75">
      <c r="A40" s="385" t="s">
        <v>2734</v>
      </c>
      <c r="B40" s="386" t="s">
        <v>10182</v>
      </c>
      <c r="C40" s="386"/>
      <c r="D40" s="2932">
        <f>SUM('SOF1920-HB3'!I46:I48)</f>
        <v>0</v>
      </c>
      <c r="E40" s="3000">
        <f>'SOF1920-HB3'!I173</f>
        <v>0</v>
      </c>
      <c r="F40" s="717"/>
      <c r="G40" s="717"/>
      <c r="H40" s="325"/>
      <c r="I40" s="325"/>
      <c r="J40" s="325"/>
      <c r="K40" s="325"/>
      <c r="L40" s="325"/>
      <c r="M40" s="325"/>
      <c r="N40" s="325"/>
      <c r="O40" s="325"/>
    </row>
    <row r="41" spans="1:15" s="382" customFormat="1" ht="15.75">
      <c r="A41" s="385" t="s">
        <v>2735</v>
      </c>
      <c r="B41" s="386" t="s">
        <v>10183</v>
      </c>
      <c r="C41" s="386"/>
      <c r="D41" s="2932">
        <f>'SOF1920-HB3'!I29+'SOF1920-HB3'!I30</f>
        <v>0</v>
      </c>
      <c r="E41" s="3000">
        <f>'SOF1920-HB3'!I168</f>
        <v>0</v>
      </c>
      <c r="F41" s="717"/>
      <c r="G41" s="717"/>
      <c r="H41" s="325"/>
      <c r="I41" s="325"/>
      <c r="J41" s="325"/>
      <c r="K41" s="325"/>
      <c r="L41" s="325"/>
      <c r="M41" s="325"/>
      <c r="N41" s="325"/>
      <c r="O41" s="325"/>
    </row>
    <row r="42" spans="1:15" s="382" customFormat="1" ht="15.75">
      <c r="A42" s="385" t="s">
        <v>2740</v>
      </c>
      <c r="B42" s="386" t="s">
        <v>10184</v>
      </c>
      <c r="C42" s="386"/>
      <c r="D42" s="2932">
        <f>'SOF1920-HB3'!I53</f>
        <v>0</v>
      </c>
      <c r="E42" s="3000">
        <f>'SOF1920-HB3'!I53</f>
        <v>0</v>
      </c>
      <c r="F42" s="717"/>
      <c r="G42" s="717"/>
      <c r="H42" s="325"/>
      <c r="I42" s="325"/>
      <c r="J42" s="325"/>
      <c r="K42" s="325"/>
      <c r="L42" s="325"/>
      <c r="M42" s="325"/>
      <c r="N42" s="325"/>
      <c r="O42" s="325"/>
    </row>
    <row r="43" spans="1:15" s="382" customFormat="1" ht="15.75">
      <c r="A43" s="385" t="s">
        <v>2741</v>
      </c>
      <c r="B43" s="4677" t="s">
        <v>10185</v>
      </c>
      <c r="C43" s="4677"/>
      <c r="D43" s="4689">
        <f>'SOF1920-HB3'!I50</f>
        <v>0</v>
      </c>
      <c r="E43" s="4678"/>
      <c r="F43" s="717"/>
      <c r="G43" s="717"/>
      <c r="H43" s="325"/>
      <c r="I43" s="325"/>
      <c r="J43" s="325"/>
      <c r="K43" s="325"/>
      <c r="L43" s="325"/>
      <c r="M43" s="325"/>
      <c r="N43" s="325"/>
      <c r="O43" s="325"/>
    </row>
    <row r="44" spans="1:15" s="382" customFormat="1" ht="15.75">
      <c r="A44" s="385" t="s">
        <v>2742</v>
      </c>
      <c r="B44" s="4692" t="s">
        <v>10186</v>
      </c>
      <c r="C44" s="4677"/>
      <c r="D44" s="3263">
        <f>'SOF1920-HB3'!I51</f>
        <v>0</v>
      </c>
      <c r="E44" s="4678"/>
      <c r="F44" s="717"/>
      <c r="G44" s="717"/>
      <c r="H44" s="325"/>
      <c r="I44" s="325"/>
      <c r="J44" s="325"/>
      <c r="K44" s="325"/>
      <c r="L44" s="325"/>
      <c r="M44" s="325"/>
      <c r="N44" s="325"/>
      <c r="O44" s="325"/>
    </row>
    <row r="45" spans="1:15" s="382" customFormat="1" ht="15.75">
      <c r="A45" s="385" t="s">
        <v>2743</v>
      </c>
      <c r="B45" s="4693" t="s">
        <v>10187</v>
      </c>
      <c r="C45" s="3262"/>
      <c r="D45" s="3263">
        <f>'SOF1920-HB3'!I54</f>
        <v>0</v>
      </c>
      <c r="E45" s="3264"/>
      <c r="F45" s="717"/>
      <c r="G45" s="717"/>
      <c r="H45" s="325"/>
      <c r="I45" s="325"/>
      <c r="J45" s="325"/>
      <c r="K45" s="325"/>
      <c r="L45" s="325"/>
      <c r="M45" s="325"/>
      <c r="N45" s="325"/>
      <c r="O45" s="325"/>
    </row>
    <row r="46" spans="1:15" s="382" customFormat="1" ht="15.75">
      <c r="A46" s="385" t="s">
        <v>2744</v>
      </c>
      <c r="B46" s="4693" t="s">
        <v>10188</v>
      </c>
      <c r="C46" s="3262"/>
      <c r="D46" s="3263">
        <f>'SOF1920-HB3'!I55</f>
        <v>0</v>
      </c>
      <c r="E46" s="3264"/>
      <c r="F46" s="717"/>
      <c r="G46" s="717"/>
      <c r="H46" s="325"/>
      <c r="I46" s="325"/>
      <c r="J46" s="325"/>
      <c r="K46" s="325"/>
      <c r="L46" s="325"/>
      <c r="M46" s="325"/>
      <c r="N46" s="325"/>
      <c r="O46" s="325"/>
    </row>
    <row r="47" spans="1:15" s="382" customFormat="1" ht="15.75">
      <c r="A47" s="385" t="s">
        <v>2745</v>
      </c>
      <c r="B47" s="4694" t="s">
        <v>10189</v>
      </c>
      <c r="C47" s="3262"/>
      <c r="D47" s="3263">
        <f>'SOF1920-HB3'!I56</f>
        <v>0</v>
      </c>
      <c r="E47" s="3264"/>
      <c r="F47" s="717"/>
      <c r="G47" s="717"/>
      <c r="H47" s="325"/>
      <c r="I47" s="325"/>
      <c r="J47" s="325"/>
      <c r="K47" s="325"/>
      <c r="L47" s="325"/>
      <c r="M47" s="325"/>
      <c r="N47" s="325"/>
      <c r="O47" s="325"/>
    </row>
    <row r="48" spans="1:15" s="382" customFormat="1" ht="15.75">
      <c r="A48" s="385" t="s">
        <v>2746</v>
      </c>
      <c r="B48" s="4693" t="s">
        <v>10190</v>
      </c>
      <c r="C48" s="3262"/>
      <c r="D48" s="3263">
        <f>'SOF1920-HB3'!I57</f>
        <v>0</v>
      </c>
      <c r="E48" s="3264"/>
      <c r="F48" s="717"/>
      <c r="G48" s="717"/>
      <c r="H48" s="325"/>
      <c r="I48" s="325"/>
      <c r="J48" s="325"/>
      <c r="K48" s="325"/>
      <c r="L48" s="325"/>
      <c r="M48" s="325"/>
      <c r="N48" s="325"/>
      <c r="O48" s="325"/>
    </row>
    <row r="49" spans="1:15" s="382" customFormat="1" ht="18">
      <c r="A49" s="4804" t="s">
        <v>10191</v>
      </c>
      <c r="B49" s="4804"/>
      <c r="C49" s="4800"/>
      <c r="D49" s="4803"/>
      <c r="E49" s="3003"/>
      <c r="F49" s="1377"/>
      <c r="G49" s="1377"/>
      <c r="H49" s="325"/>
      <c r="I49" s="325"/>
      <c r="J49" s="325"/>
      <c r="K49" s="325"/>
      <c r="L49" s="325"/>
      <c r="M49" s="325"/>
      <c r="N49" s="325"/>
      <c r="O49" s="325"/>
    </row>
    <row r="50" spans="1:15" s="382" customFormat="1" ht="15.75">
      <c r="A50" s="385" t="s">
        <v>2747</v>
      </c>
      <c r="B50" s="386" t="s">
        <v>10192</v>
      </c>
      <c r="C50" s="386"/>
      <c r="D50" s="2932">
        <f>'SOF1920-HB3'!I60</f>
        <v>0</v>
      </c>
      <c r="E50" s="3000">
        <f>'SOF1920-HB3'!I60</f>
        <v>0</v>
      </c>
      <c r="F50" s="717"/>
      <c r="G50" s="717"/>
      <c r="H50" s="325"/>
      <c r="I50" s="325"/>
      <c r="J50" s="325"/>
      <c r="K50" s="325"/>
      <c r="L50" s="325"/>
      <c r="M50" s="325"/>
      <c r="N50" s="325"/>
      <c r="O50" s="325"/>
    </row>
    <row r="51" spans="1:15" s="382" customFormat="1" ht="15.75">
      <c r="A51" s="385" t="s">
        <v>2748</v>
      </c>
      <c r="B51" s="386" t="s">
        <v>10193</v>
      </c>
      <c r="C51" s="386"/>
      <c r="D51" s="2932">
        <f>'SOF1920-HB3'!I59</f>
        <v>0</v>
      </c>
      <c r="E51" s="3000">
        <f>'SOF1920-HB3'!I59</f>
        <v>0</v>
      </c>
      <c r="F51" s="717"/>
      <c r="G51" s="717"/>
      <c r="H51" s="325"/>
      <c r="I51" s="325"/>
      <c r="J51" s="325"/>
      <c r="K51" s="325"/>
      <c r="L51" s="325"/>
      <c r="M51" s="325"/>
      <c r="N51" s="325"/>
      <c r="O51" s="325"/>
    </row>
    <row r="52" spans="1:15" s="382" customFormat="1" ht="15.75">
      <c r="A52" s="385" t="s">
        <v>2749</v>
      </c>
      <c r="B52" s="4677" t="s">
        <v>10194</v>
      </c>
      <c r="C52" s="4677"/>
      <c r="D52" s="4689">
        <f>'SOF1920-HB3'!I63</f>
        <v>0</v>
      </c>
      <c r="E52" s="4678"/>
      <c r="F52" s="717"/>
      <c r="G52" s="717"/>
      <c r="H52" s="325"/>
      <c r="I52" s="325"/>
      <c r="J52" s="325"/>
      <c r="K52" s="325"/>
      <c r="L52" s="325"/>
      <c r="M52" s="325"/>
      <c r="N52" s="325"/>
      <c r="O52" s="325"/>
    </row>
    <row r="53" spans="1:15" ht="15">
      <c r="A53" s="385" t="s">
        <v>2750</v>
      </c>
      <c r="B53" s="4677" t="s">
        <v>10195</v>
      </c>
      <c r="C53" s="4677"/>
      <c r="D53" s="4689">
        <f>'SOF1920-HB3'!I58</f>
        <v>0</v>
      </c>
    </row>
    <row r="54" spans="1:15" ht="15">
      <c r="A54" s="385" t="s">
        <v>2751</v>
      </c>
      <c r="B54" s="4677" t="s">
        <v>10339</v>
      </c>
      <c r="C54" s="4677"/>
      <c r="D54" s="4689">
        <f>'SOF1920-HB3'!I64</f>
        <v>0</v>
      </c>
    </row>
    <row r="55" spans="1:15" ht="15">
      <c r="A55" s="385" t="s">
        <v>2752</v>
      </c>
      <c r="B55" s="4677" t="s">
        <v>10197</v>
      </c>
      <c r="C55" s="4677"/>
      <c r="D55" s="4689">
        <f>'SOF1920-HB3'!I65</f>
        <v>0</v>
      </c>
    </row>
    <row r="56" spans="1:15" ht="15">
      <c r="A56" s="385" t="s">
        <v>2753</v>
      </c>
      <c r="B56" s="4677" t="s">
        <v>10198</v>
      </c>
      <c r="C56" s="4677"/>
      <c r="D56" s="4689">
        <f>'SOF1920-HB3'!I34</f>
        <v>0</v>
      </c>
    </row>
    <row r="57" spans="1:15" s="382" customFormat="1" ht="15.75">
      <c r="A57" s="385" t="s">
        <v>2754</v>
      </c>
      <c r="B57" s="719" t="s">
        <v>3357</v>
      </c>
      <c r="C57" s="386"/>
      <c r="D57" s="2932">
        <f>'SOF1920-HB3'!I66</f>
        <v>0</v>
      </c>
      <c r="E57" s="3000">
        <f>'SOF1920-HB3'!I66</f>
        <v>0</v>
      </c>
      <c r="F57" s="717"/>
      <c r="G57" s="717"/>
      <c r="H57" s="325"/>
      <c r="I57" s="325"/>
      <c r="J57" s="325"/>
      <c r="K57" s="325"/>
      <c r="L57" s="325"/>
      <c r="M57" s="325"/>
      <c r="N57" s="325"/>
      <c r="O57" s="325"/>
    </row>
    <row r="58" spans="1:15" s="382" customFormat="1" ht="15.75">
      <c r="A58" s="385" t="s">
        <v>2755</v>
      </c>
      <c r="B58" s="386" t="s">
        <v>2763</v>
      </c>
      <c r="C58" s="386"/>
      <c r="D58" s="2932">
        <f>'SOF1920-HB3'!I67</f>
        <v>0</v>
      </c>
      <c r="E58" s="3000">
        <f>'SOF1920-HB3'!I67</f>
        <v>0</v>
      </c>
      <c r="F58" s="717"/>
      <c r="G58" s="717"/>
      <c r="H58" s="325"/>
      <c r="I58" s="325"/>
      <c r="J58" s="325"/>
      <c r="K58" s="325"/>
      <c r="L58" s="325"/>
      <c r="M58" s="325"/>
      <c r="N58" s="325"/>
      <c r="O58" s="325"/>
    </row>
    <row r="59" spans="1:15" s="382" customFormat="1" ht="15.75">
      <c r="A59" s="385" t="s">
        <v>2756</v>
      </c>
      <c r="B59" s="386" t="s">
        <v>2764</v>
      </c>
      <c r="C59" s="386"/>
      <c r="D59" s="2932">
        <f>'SOF1920-HB3'!I110</f>
        <v>0</v>
      </c>
      <c r="E59" s="3000">
        <f>'SOF1920-HB3'!H110</f>
        <v>0</v>
      </c>
      <c r="F59" s="717"/>
      <c r="G59" s="717"/>
      <c r="H59" s="325"/>
      <c r="I59" s="325"/>
      <c r="J59" s="325"/>
      <c r="K59" s="325"/>
      <c r="L59" s="325"/>
      <c r="M59" s="325"/>
      <c r="N59" s="325"/>
      <c r="O59" s="325"/>
    </row>
    <row r="60" spans="1:15" s="382" customFormat="1" ht="18">
      <c r="A60" s="4805" t="s">
        <v>10199</v>
      </c>
      <c r="B60" s="4806"/>
      <c r="C60" s="4806"/>
      <c r="D60" s="4807"/>
      <c r="E60" s="3006"/>
      <c r="F60" s="1377"/>
      <c r="G60" s="1377"/>
      <c r="H60" s="325"/>
      <c r="I60" s="325"/>
      <c r="J60" s="325"/>
      <c r="K60" s="325"/>
      <c r="L60" s="325"/>
      <c r="M60" s="325"/>
      <c r="N60" s="325"/>
      <c r="O60" s="325"/>
    </row>
    <row r="61" spans="1:15" s="382" customFormat="1" ht="15.75">
      <c r="A61" s="385" t="s">
        <v>2757</v>
      </c>
      <c r="B61" s="386" t="s">
        <v>10252</v>
      </c>
      <c r="C61" s="386"/>
      <c r="D61" s="2932">
        <f>IF(D57-D58-D59&lt;=0,0,D57-D58-D59)</f>
        <v>0</v>
      </c>
      <c r="E61" s="3000">
        <f>'SOF1920-HB3'!I68</f>
        <v>0</v>
      </c>
      <c r="F61" s="717"/>
      <c r="G61" s="717"/>
      <c r="H61" s="325"/>
      <c r="I61" s="325"/>
      <c r="J61" s="325"/>
      <c r="K61" s="325"/>
      <c r="L61" s="325"/>
      <c r="M61" s="325"/>
      <c r="N61" s="325"/>
      <c r="O61" s="325"/>
    </row>
    <row r="62" spans="1:15" s="382" customFormat="1" ht="15.75">
      <c r="A62" s="385" t="s">
        <v>2758</v>
      </c>
      <c r="B62" s="718" t="s">
        <v>10256</v>
      </c>
      <c r="C62" s="386"/>
      <c r="D62" s="2932" t="e">
        <f>'SOF1920-HB3'!I83</f>
        <v>#DIV/0!</v>
      </c>
      <c r="E62" s="3000" t="e">
        <f>'SOF1920-HB3'!I83</f>
        <v>#DIV/0!</v>
      </c>
      <c r="F62" s="717"/>
      <c r="G62" s="717"/>
      <c r="H62" s="325"/>
      <c r="I62" s="325"/>
      <c r="J62" s="325"/>
      <c r="K62" s="325"/>
      <c r="L62" s="325"/>
      <c r="M62" s="325"/>
      <c r="N62" s="325"/>
      <c r="O62" s="325"/>
    </row>
    <row r="63" spans="1:15" s="382" customFormat="1" ht="15.75">
      <c r="A63" s="385" t="s">
        <v>2773</v>
      </c>
      <c r="B63" s="719" t="s">
        <v>3359</v>
      </c>
      <c r="C63" s="386"/>
      <c r="D63" s="2932" t="e">
        <f>'SOF1920-HB3'!I103+'SOF1920-HB3'!I127+'SOF1920-HB3'!I128</f>
        <v>#DIV/0!</v>
      </c>
      <c r="E63" s="3000"/>
      <c r="F63" s="717"/>
      <c r="G63" s="717"/>
      <c r="H63" s="565" t="s">
        <v>10219</v>
      </c>
      <c r="I63" s="325"/>
      <c r="J63" s="325"/>
      <c r="K63" s="325"/>
      <c r="L63" s="325"/>
      <c r="M63" s="325"/>
      <c r="N63" s="325"/>
      <c r="O63" s="325"/>
    </row>
    <row r="64" spans="1:15" s="382" customFormat="1" ht="15.75">
      <c r="A64" s="385" t="s">
        <v>2774</v>
      </c>
      <c r="B64" s="386" t="s">
        <v>2766</v>
      </c>
      <c r="C64" s="386"/>
      <c r="D64" s="2932" t="e">
        <f>D61+D62+D63</f>
        <v>#DIV/0!</v>
      </c>
      <c r="E64" s="3000"/>
      <c r="F64" s="717"/>
      <c r="G64" s="717"/>
      <c r="H64" s="325"/>
      <c r="I64" s="325"/>
      <c r="J64" s="325"/>
      <c r="K64" s="325"/>
      <c r="L64" s="325"/>
      <c r="M64" s="325"/>
      <c r="N64" s="325"/>
      <c r="O64" s="325"/>
    </row>
    <row r="65" spans="1:15" s="382" customFormat="1" ht="18">
      <c r="A65" s="4799" t="s">
        <v>10200</v>
      </c>
      <c r="B65" s="4800"/>
      <c r="C65" s="4800"/>
      <c r="D65" s="4803"/>
      <c r="E65" s="3003"/>
      <c r="F65" s="1377"/>
      <c r="G65" s="1377"/>
      <c r="H65" s="325"/>
      <c r="I65" s="325"/>
      <c r="J65" s="325"/>
      <c r="K65" s="325"/>
      <c r="L65" s="325"/>
      <c r="M65" s="325"/>
      <c r="N65" s="325"/>
      <c r="O65" s="325"/>
    </row>
    <row r="66" spans="1:15" s="382" customFormat="1" ht="18">
      <c r="A66" s="4804" t="s">
        <v>10201</v>
      </c>
      <c r="B66" s="4804"/>
      <c r="C66" s="4800"/>
      <c r="D66" s="4803"/>
      <c r="E66" s="3003"/>
      <c r="F66" s="1377"/>
      <c r="G66" s="1377"/>
      <c r="H66" s="325"/>
      <c r="I66" s="325"/>
      <c r="J66" s="325"/>
      <c r="K66" s="325"/>
      <c r="L66" s="325"/>
      <c r="M66" s="325"/>
      <c r="N66" s="325"/>
      <c r="O66" s="325"/>
    </row>
    <row r="67" spans="1:15" s="382" customFormat="1" ht="15.75">
      <c r="A67" s="385" t="s">
        <v>2775</v>
      </c>
      <c r="B67" s="386" t="s">
        <v>2779</v>
      </c>
      <c r="C67" s="386"/>
      <c r="D67" s="2932" t="e">
        <f>D64</f>
        <v>#DIV/0!</v>
      </c>
      <c r="E67" s="3000" t="e">
        <f>'SOF1920-HB3'!I109</f>
        <v>#DIV/0!</v>
      </c>
      <c r="F67" s="717"/>
      <c r="G67" s="717"/>
      <c r="H67" s="325"/>
      <c r="I67" s="325"/>
      <c r="J67" s="325"/>
      <c r="K67" s="325"/>
      <c r="L67" s="325"/>
      <c r="M67" s="325"/>
      <c r="N67" s="325"/>
      <c r="O67" s="325"/>
    </row>
    <row r="68" spans="1:15" s="382" customFormat="1" ht="15.75">
      <c r="A68" s="385" t="s">
        <v>2776</v>
      </c>
      <c r="B68" s="386" t="s">
        <v>3047</v>
      </c>
      <c r="C68" s="386"/>
      <c r="D68" s="2932">
        <f>'SOF1920-HB3'!I110</f>
        <v>0</v>
      </c>
      <c r="E68" s="3000">
        <f>'SOF1920-HB3'!I110</f>
        <v>0</v>
      </c>
      <c r="F68" s="717"/>
      <c r="G68" s="717"/>
      <c r="H68" s="325"/>
      <c r="I68" s="325"/>
      <c r="J68" s="325"/>
      <c r="K68" s="325"/>
      <c r="L68" s="325"/>
      <c r="M68" s="325"/>
      <c r="N68" s="325"/>
      <c r="O68" s="325"/>
    </row>
    <row r="69" spans="1:15" s="382" customFormat="1" ht="18">
      <c r="A69" s="4804" t="s">
        <v>10202</v>
      </c>
      <c r="B69" s="4804"/>
      <c r="C69" s="4800"/>
      <c r="D69" s="4803"/>
      <c r="E69" s="3003"/>
      <c r="F69" s="1377"/>
      <c r="G69" s="1377"/>
      <c r="H69" s="325"/>
      <c r="I69" s="325"/>
      <c r="J69" s="325"/>
      <c r="K69" s="325"/>
      <c r="L69" s="325"/>
      <c r="M69" s="325"/>
      <c r="N69" s="325"/>
      <c r="O69" s="325"/>
    </row>
    <row r="70" spans="1:15" s="382" customFormat="1" ht="15.75">
      <c r="A70" s="385" t="s">
        <v>2777</v>
      </c>
      <c r="B70" s="718" t="s">
        <v>3360</v>
      </c>
      <c r="C70" s="386"/>
      <c r="D70" s="2932">
        <f>'SOF1920-HB3'!I112</f>
        <v>0</v>
      </c>
      <c r="E70" s="3000">
        <f>D70</f>
        <v>0</v>
      </c>
      <c r="F70" s="717"/>
      <c r="G70" s="717"/>
      <c r="H70" s="325"/>
      <c r="I70" s="325"/>
      <c r="J70" s="325"/>
      <c r="K70" s="325"/>
      <c r="L70" s="325"/>
      <c r="M70" s="325"/>
      <c r="N70" s="325"/>
      <c r="O70" s="325"/>
    </row>
    <row r="71" spans="1:15" s="382" customFormat="1" ht="15.75">
      <c r="A71" s="385" t="s">
        <v>2778</v>
      </c>
      <c r="B71" s="719" t="s">
        <v>3361</v>
      </c>
      <c r="C71" s="386"/>
      <c r="D71" s="2932">
        <f>'IFA-HB3'!N86</f>
        <v>0</v>
      </c>
      <c r="E71" s="3000">
        <f>D71</f>
        <v>0</v>
      </c>
      <c r="F71" s="717"/>
      <c r="G71" s="717"/>
      <c r="H71" s="325"/>
      <c r="I71" s="325"/>
      <c r="J71" s="325"/>
      <c r="K71" s="325"/>
      <c r="L71" s="325"/>
      <c r="M71" s="325"/>
      <c r="N71" s="325"/>
      <c r="O71" s="325"/>
    </row>
    <row r="72" spans="1:15" s="382" customFormat="1" ht="15.75">
      <c r="A72" s="385" t="s">
        <v>2917</v>
      </c>
      <c r="B72" s="718" t="s">
        <v>7062</v>
      </c>
      <c r="C72" s="386"/>
      <c r="D72" s="2932">
        <f>'IFA-HB3'!P75</f>
        <v>0</v>
      </c>
      <c r="E72" s="3000">
        <f>D72</f>
        <v>0</v>
      </c>
      <c r="F72" s="717"/>
      <c r="G72" s="717"/>
      <c r="H72" s="325"/>
      <c r="I72" s="325"/>
      <c r="J72" s="325"/>
      <c r="K72" s="325"/>
      <c r="L72" s="325"/>
      <c r="M72" s="325"/>
      <c r="N72" s="325"/>
      <c r="O72" s="325"/>
    </row>
    <row r="73" spans="1:15" s="382" customFormat="1" ht="15.75">
      <c r="A73" s="385" t="s">
        <v>3206</v>
      </c>
      <c r="B73" s="386" t="s">
        <v>4036</v>
      </c>
      <c r="C73" s="386"/>
      <c r="D73" s="2932" t="e">
        <f>'HH1920-Calcs'!C51</f>
        <v>#DIV/0!</v>
      </c>
      <c r="E73" s="3000"/>
      <c r="F73" s="717"/>
      <c r="G73" s="717"/>
      <c r="H73" s="325"/>
      <c r="I73" s="325"/>
      <c r="J73" s="325"/>
      <c r="K73" s="325"/>
      <c r="L73" s="325"/>
      <c r="M73" s="325"/>
      <c r="N73" s="325"/>
      <c r="O73" s="325"/>
    </row>
    <row r="74" spans="1:15" s="382" customFormat="1" ht="18">
      <c r="A74" s="4810" t="s">
        <v>3207</v>
      </c>
      <c r="B74" s="1303" t="s">
        <v>3329</v>
      </c>
      <c r="C74" s="1393"/>
      <c r="D74" s="3086" t="e">
        <f>'SOF1920-HB3'!I115+'SOF1920-HB3'!I127+'SOF1920-HB3'!I128+D73</f>
        <v>#DIV/0!</v>
      </c>
      <c r="E74" s="3002" t="e">
        <f>'SOF1920-HB3'!I115</f>
        <v>#DIV/0!</v>
      </c>
      <c r="F74" s="2991"/>
      <c r="G74" s="2991"/>
      <c r="H74" s="325"/>
      <c r="I74" s="325"/>
      <c r="J74" s="325"/>
      <c r="K74" s="325"/>
      <c r="L74" s="325"/>
      <c r="M74" s="325"/>
      <c r="N74" s="325"/>
      <c r="O74" s="325"/>
    </row>
    <row r="75" spans="1:15" s="382" customFormat="1" ht="18">
      <c r="A75" s="4804" t="s">
        <v>10203</v>
      </c>
      <c r="B75" s="4804"/>
      <c r="C75" s="4800"/>
      <c r="D75" s="4803"/>
      <c r="E75" s="3003"/>
      <c r="F75" s="1377"/>
      <c r="G75" s="1377"/>
      <c r="H75" s="325"/>
      <c r="I75" s="325"/>
      <c r="J75" s="325"/>
      <c r="K75" s="325"/>
      <c r="L75" s="325"/>
      <c r="M75" s="325"/>
      <c r="N75" s="325"/>
      <c r="O75" s="325"/>
    </row>
    <row r="76" spans="1:15" s="382" customFormat="1" ht="15.75">
      <c r="A76" s="385" t="s">
        <v>3208</v>
      </c>
      <c r="B76" s="4677" t="s">
        <v>10203</v>
      </c>
      <c r="C76" s="4677"/>
      <c r="D76" s="4689" t="e">
        <f>'SOF1920-HB3'!I79+'SOF1920-HB3'!I87</f>
        <v>#DIV/0!</v>
      </c>
      <c r="H76" s="325"/>
      <c r="I76" s="325"/>
      <c r="J76" s="325"/>
      <c r="K76" s="325"/>
      <c r="L76" s="325"/>
      <c r="M76" s="325"/>
      <c r="N76" s="325"/>
      <c r="O76" s="325"/>
    </row>
    <row r="77" spans="1:15" s="382" customFormat="1" ht="15.75">
      <c r="A77" s="4695"/>
      <c r="B77" s="4687"/>
      <c r="C77" s="4687"/>
      <c r="D77" s="4687"/>
      <c r="H77" s="325"/>
      <c r="I77" s="325"/>
      <c r="J77" s="325"/>
      <c r="K77" s="325"/>
      <c r="L77" s="325"/>
      <c r="M77" s="325"/>
      <c r="N77" s="325"/>
      <c r="O77" s="325"/>
    </row>
    <row r="78" spans="1:15" s="382" customFormat="1" ht="15.75">
      <c r="A78" s="645" t="s">
        <v>3209</v>
      </c>
      <c r="B78" s="4808" t="s">
        <v>7063</v>
      </c>
      <c r="C78" s="4809"/>
      <c r="D78" s="4809"/>
      <c r="H78" s="325"/>
      <c r="I78" s="325"/>
      <c r="J78" s="325"/>
      <c r="K78" s="325"/>
      <c r="L78" s="325"/>
      <c r="M78" s="325"/>
      <c r="N78" s="325"/>
      <c r="O78" s="325"/>
    </row>
    <row r="79" spans="1:15" s="382" customFormat="1" ht="15.75">
      <c r="A79" s="4698"/>
      <c r="B79" s="4699"/>
      <c r="H79" s="325"/>
      <c r="I79" s="325"/>
      <c r="J79" s="325"/>
      <c r="K79" s="325"/>
      <c r="L79" s="325"/>
      <c r="M79" s="325"/>
      <c r="N79" s="325"/>
      <c r="O79" s="325"/>
    </row>
    <row r="80" spans="1:15" s="382" customFormat="1" ht="16.5" thickBot="1">
      <c r="A80" s="4700"/>
      <c r="C80" s="4701"/>
      <c r="D80" s="4701"/>
      <c r="E80" s="382" t="e">
        <f>(E67+E68)/D10</f>
        <v>#DIV/0!</v>
      </c>
      <c r="H80" s="325"/>
      <c r="I80" s="325"/>
      <c r="J80" s="325"/>
      <c r="K80" s="325"/>
      <c r="L80" s="325"/>
      <c r="M80" s="325"/>
      <c r="N80" s="325"/>
      <c r="O80" s="325"/>
    </row>
    <row r="81" spans="1:7" ht="16.5" thickTop="1">
      <c r="A81" s="4715" t="s">
        <v>3103</v>
      </c>
      <c r="B81" s="4716"/>
      <c r="C81" s="4717"/>
      <c r="D81" s="4718"/>
      <c r="E81" s="382"/>
      <c r="F81" s="382"/>
      <c r="G81" s="382"/>
    </row>
    <row r="82" spans="1:7" ht="15.75">
      <c r="A82" s="4702" t="s">
        <v>2457</v>
      </c>
      <c r="C82" s="4703"/>
      <c r="D82" s="4704"/>
      <c r="E82" s="325"/>
      <c r="F82" s="325"/>
      <c r="G82" s="325"/>
    </row>
    <row r="83" spans="1:7" ht="15.75">
      <c r="A83" s="645" t="s">
        <v>3210</v>
      </c>
      <c r="B83" s="4705" t="s">
        <v>10213</v>
      </c>
      <c r="C83" s="4703"/>
      <c r="D83" s="4724" t="e">
        <f>'SOF1920-HB3'!I122+'SOF1920-HB3'!I127+'SOF1920-HB3'!I128</f>
        <v>#DIV/0!</v>
      </c>
      <c r="E83" s="325"/>
      <c r="F83" s="325"/>
      <c r="G83" s="325"/>
    </row>
    <row r="84" spans="1:7" ht="15.75">
      <c r="A84" s="645" t="s">
        <v>3211</v>
      </c>
      <c r="B84" s="644" t="s">
        <v>9492</v>
      </c>
      <c r="C84" s="384"/>
      <c r="D84" s="422">
        <f>'SOF1920-HB3'!I123</f>
        <v>0</v>
      </c>
      <c r="E84" s="717"/>
      <c r="F84" s="717"/>
      <c r="G84" s="717"/>
    </row>
    <row r="85" spans="1:7" ht="15.75">
      <c r="A85" s="645" t="s">
        <v>3212</v>
      </c>
      <c r="B85" s="644" t="s">
        <v>9493</v>
      </c>
      <c r="C85" s="651"/>
      <c r="D85" s="422" t="e">
        <f>'SOF1920-HB3'!I79</f>
        <v>#DIV/0!</v>
      </c>
      <c r="E85" s="717"/>
      <c r="F85" s="717"/>
      <c r="G85" s="717"/>
    </row>
    <row r="86" spans="1:7" ht="15.75">
      <c r="A86" s="645" t="s">
        <v>3213</v>
      </c>
      <c r="B86" s="644" t="s">
        <v>9494</v>
      </c>
      <c r="C86" s="384"/>
      <c r="D86" s="422" t="e">
        <f>'SOF1920-HB3'!I87</f>
        <v>#DIV/0!</v>
      </c>
      <c r="E86" s="717"/>
      <c r="F86" s="717"/>
      <c r="G86" s="717"/>
    </row>
    <row r="87" spans="1:7" ht="15.75">
      <c r="A87" s="645" t="s">
        <v>3214</v>
      </c>
      <c r="B87" s="4647" t="s">
        <v>9495</v>
      </c>
      <c r="C87" s="384"/>
      <c r="D87" s="422" t="e">
        <f>D83+D84-D85-D86</f>
        <v>#DIV/0!</v>
      </c>
      <c r="E87" s="717"/>
      <c r="F87" s="717"/>
      <c r="G87" s="717"/>
    </row>
    <row r="88" spans="1:7" ht="15.75">
      <c r="A88" s="645" t="s">
        <v>3215</v>
      </c>
      <c r="B88" s="653" t="s">
        <v>10205</v>
      </c>
      <c r="C88" s="4707"/>
      <c r="D88" s="4708" t="e">
        <f>IF(D83&gt;=0,0,D83)</f>
        <v>#DIV/0!</v>
      </c>
      <c r="E88" s="717"/>
      <c r="F88" s="717"/>
      <c r="G88" s="717"/>
    </row>
    <row r="89" spans="1:7" ht="16.5" thickBot="1">
      <c r="A89" s="645" t="s">
        <v>3216</v>
      </c>
      <c r="B89" s="4649" t="s">
        <v>9497</v>
      </c>
      <c r="C89" s="1297"/>
      <c r="D89" s="4735" t="e">
        <f>D87+D88</f>
        <v>#DIV/0!</v>
      </c>
      <c r="E89" s="2992"/>
      <c r="F89" s="2992"/>
      <c r="G89" s="2992"/>
    </row>
    <row r="90" spans="1:7" ht="14.25" thickTop="1" thickBot="1">
      <c r="B90" s="4709"/>
    </row>
    <row r="91" spans="1:7" ht="16.5" thickTop="1">
      <c r="A91" s="3266" t="s">
        <v>9187</v>
      </c>
      <c r="B91" s="499"/>
      <c r="C91" s="4710"/>
      <c r="D91" s="497"/>
    </row>
    <row r="92" spans="1:7" ht="15">
      <c r="A92" s="645" t="s">
        <v>3217</v>
      </c>
      <c r="B92" s="649" t="s">
        <v>9498</v>
      </c>
      <c r="C92" s="4706"/>
      <c r="D92" s="4734" t="e">
        <f>'SOF1920-HB3'!I79</f>
        <v>#DIV/0!</v>
      </c>
    </row>
    <row r="93" spans="1:7" ht="15">
      <c r="A93" s="645" t="s">
        <v>3218</v>
      </c>
      <c r="B93" s="649" t="s">
        <v>9510</v>
      </c>
      <c r="C93" s="647"/>
      <c r="D93" s="422" t="e">
        <f>'SOF1920-HB3'!I87</f>
        <v>#DIV/0!</v>
      </c>
      <c r="E93" s="717"/>
      <c r="F93" s="717"/>
      <c r="G93" s="717"/>
    </row>
    <row r="94" spans="1:7" ht="15.75">
      <c r="A94" s="645" t="s">
        <v>10208</v>
      </c>
      <c r="B94" s="4714" t="s">
        <v>10206</v>
      </c>
      <c r="C94" s="4712"/>
      <c r="D94" s="4713" t="e">
        <f>D92+D93</f>
        <v>#DIV/0!</v>
      </c>
      <c r="E94" s="717"/>
      <c r="F94" s="717"/>
      <c r="G94" s="717"/>
    </row>
    <row r="95" spans="1:7" ht="15">
      <c r="A95" s="645" t="s">
        <v>10209</v>
      </c>
      <c r="B95" s="649" t="s">
        <v>10207</v>
      </c>
      <c r="C95" s="647"/>
      <c r="D95" s="422">
        <f>'SOF1920-HB3'!I102</f>
        <v>0</v>
      </c>
      <c r="E95" s="717"/>
      <c r="F95" s="717"/>
      <c r="G95" s="717"/>
    </row>
    <row r="96" spans="1:7" ht="16.5" thickBot="1">
      <c r="A96" s="646" t="s">
        <v>10210</v>
      </c>
      <c r="B96" s="1297" t="s">
        <v>6956</v>
      </c>
      <c r="C96" s="4711"/>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f>D58</f>
        <v>0</v>
      </c>
      <c r="E101" s="1990"/>
      <c r="F101" s="1990"/>
      <c r="G101" s="1990"/>
    </row>
    <row r="102" spans="2:7" hidden="1">
      <c r="D102" s="35" t="e">
        <f>IF(D100-D101&lt;=0,0,D100-D101)</f>
        <v>#DIV/0!</v>
      </c>
    </row>
  </sheetData>
  <hyperlinks>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920'!A1" display="FSP Allocations and Adjustments Report                              (Link to Detail Report)"/>
    <hyperlink ref="B72" location="'Report-IFA1920'!A1" display="599/5829 - Instructional Facilities Allotment (Lease Purchase)  (See Link Above)"/>
  </hyperlink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85546875" style="1417" bestFit="1" customWidth="1"/>
  </cols>
  <sheetData>
    <row r="1" spans="1:8">
      <c r="A1" s="52" t="s">
        <v>7090</v>
      </c>
      <c r="B1" s="52" t="s">
        <v>7091</v>
      </c>
      <c r="C1" s="1417" t="s">
        <v>7092</v>
      </c>
      <c r="D1" s="1417" t="s">
        <v>7093</v>
      </c>
      <c r="E1" s="1417" t="s">
        <v>6590</v>
      </c>
      <c r="F1" s="1417" t="s">
        <v>6591</v>
      </c>
      <c r="G1" s="1417" t="s">
        <v>6592</v>
      </c>
      <c r="H1" s="1417" t="s">
        <v>6593</v>
      </c>
    </row>
    <row r="2" spans="1:8">
      <c r="A2" t="s">
        <v>197</v>
      </c>
      <c r="B2" t="s">
        <v>7094</v>
      </c>
      <c r="C2" s="1665">
        <v>280730714</v>
      </c>
      <c r="D2" s="1665">
        <v>285731740</v>
      </c>
      <c r="E2" s="1665">
        <v>279668091</v>
      </c>
      <c r="F2" s="1665">
        <v>274667065</v>
      </c>
      <c r="G2" s="1665">
        <v>279668091</v>
      </c>
      <c r="H2" s="1665">
        <v>274667065</v>
      </c>
    </row>
    <row r="3" spans="1:8">
      <c r="A3" t="s">
        <v>1954</v>
      </c>
      <c r="B3" t="s">
        <v>7095</v>
      </c>
      <c r="C3" s="1665">
        <v>273078218</v>
      </c>
      <c r="D3" s="1665">
        <v>286154308</v>
      </c>
      <c r="E3" s="1665">
        <v>286154308</v>
      </c>
      <c r="F3" s="1665">
        <v>273078218</v>
      </c>
      <c r="G3" s="1665">
        <v>286154308</v>
      </c>
      <c r="H3" s="1665">
        <v>273078218</v>
      </c>
    </row>
    <row r="4" spans="1:8">
      <c r="A4" t="s">
        <v>14</v>
      </c>
      <c r="B4" t="s">
        <v>7096</v>
      </c>
      <c r="C4" s="1665">
        <v>243823340</v>
      </c>
      <c r="D4" s="1665">
        <v>254205745</v>
      </c>
      <c r="E4" s="1665">
        <v>239806830</v>
      </c>
      <c r="F4" s="1665">
        <v>229424425</v>
      </c>
      <c r="G4" s="1665">
        <v>239806830</v>
      </c>
      <c r="H4" s="1665">
        <v>229424425</v>
      </c>
    </row>
    <row r="5" spans="1:8">
      <c r="A5" t="s">
        <v>15</v>
      </c>
      <c r="B5" t="s">
        <v>7097</v>
      </c>
      <c r="C5" s="1665">
        <v>102191952</v>
      </c>
      <c r="D5" s="1665">
        <v>105526214</v>
      </c>
      <c r="E5" s="1665">
        <v>101588591</v>
      </c>
      <c r="F5" s="1665">
        <v>98254329</v>
      </c>
      <c r="G5" s="1665">
        <v>101588591</v>
      </c>
      <c r="H5" s="1665">
        <v>98254329</v>
      </c>
    </row>
    <row r="6" spans="1:8">
      <c r="A6" t="s">
        <v>16</v>
      </c>
      <c r="B6" t="s">
        <v>7098</v>
      </c>
      <c r="C6" s="1665">
        <v>1043230501</v>
      </c>
      <c r="D6" s="1665">
        <v>1083498919</v>
      </c>
      <c r="E6" s="1665">
        <v>1083498919</v>
      </c>
      <c r="F6" s="1665">
        <v>1043230501</v>
      </c>
      <c r="G6" s="1665">
        <v>1083498919</v>
      </c>
      <c r="H6" s="1665">
        <v>1043230501</v>
      </c>
    </row>
    <row r="7" spans="1:8">
      <c r="A7" t="s">
        <v>1098</v>
      </c>
      <c r="B7" t="s">
        <v>7099</v>
      </c>
      <c r="C7" s="1665">
        <v>483144138</v>
      </c>
      <c r="D7" s="1665">
        <v>500324286</v>
      </c>
      <c r="E7" s="1665">
        <v>500324286</v>
      </c>
      <c r="F7" s="1665">
        <v>483144138</v>
      </c>
      <c r="G7" s="1665">
        <v>500324286</v>
      </c>
      <c r="H7" s="1665">
        <v>483144138</v>
      </c>
    </row>
    <row r="8" spans="1:8">
      <c r="A8" t="s">
        <v>1099</v>
      </c>
      <c r="B8" t="s">
        <v>7100</v>
      </c>
      <c r="C8" s="1665">
        <v>113178384</v>
      </c>
      <c r="D8" s="1665">
        <v>118350751</v>
      </c>
      <c r="E8" s="1665">
        <v>118350751</v>
      </c>
      <c r="F8" s="1665">
        <v>113178384</v>
      </c>
      <c r="G8" s="1665">
        <v>118350751</v>
      </c>
      <c r="H8" s="1665">
        <v>113178384</v>
      </c>
    </row>
    <row r="9" spans="1:8">
      <c r="A9" t="s">
        <v>1841</v>
      </c>
      <c r="B9" t="s">
        <v>7101</v>
      </c>
      <c r="C9" s="1665">
        <v>4012673687</v>
      </c>
      <c r="D9" s="1665">
        <v>4047741601</v>
      </c>
      <c r="E9" s="1665">
        <v>3992616643</v>
      </c>
      <c r="F9" s="1665">
        <v>3957548729</v>
      </c>
      <c r="G9" s="1665">
        <v>3992616643</v>
      </c>
      <c r="H9" s="1665">
        <v>3957548729</v>
      </c>
    </row>
    <row r="10" spans="1:8">
      <c r="A10" t="s">
        <v>676</v>
      </c>
      <c r="B10" t="s">
        <v>7102</v>
      </c>
      <c r="C10" s="1665">
        <v>484314197</v>
      </c>
      <c r="D10" s="1665">
        <v>505002983</v>
      </c>
      <c r="E10" s="1665">
        <v>505002983</v>
      </c>
      <c r="F10" s="1665">
        <v>484314197</v>
      </c>
      <c r="G10" s="1665">
        <v>505002983</v>
      </c>
      <c r="H10" s="1665">
        <v>484314197</v>
      </c>
    </row>
    <row r="11" spans="1:8">
      <c r="A11" t="s">
        <v>1452</v>
      </c>
      <c r="B11" t="s">
        <v>7103</v>
      </c>
      <c r="C11" s="1665">
        <v>2211797985</v>
      </c>
      <c r="D11" s="1665">
        <v>2287900667</v>
      </c>
      <c r="E11" s="1665">
        <v>2287900667</v>
      </c>
      <c r="F11" s="1665">
        <v>2211797985</v>
      </c>
      <c r="G11" s="1665">
        <v>2287900667</v>
      </c>
      <c r="H11" s="1665">
        <v>2211797985</v>
      </c>
    </row>
    <row r="12" spans="1:8">
      <c r="A12" t="s">
        <v>1118</v>
      </c>
      <c r="B12" t="s">
        <v>7104</v>
      </c>
      <c r="C12" s="1665">
        <v>261349329</v>
      </c>
      <c r="D12" s="1665">
        <v>277679180</v>
      </c>
      <c r="E12" s="1665">
        <v>259422412</v>
      </c>
      <c r="F12" s="1665">
        <v>243092561</v>
      </c>
      <c r="G12" s="1665">
        <v>259422412</v>
      </c>
      <c r="H12" s="1665">
        <v>243092561</v>
      </c>
    </row>
    <row r="13" spans="1:8">
      <c r="A13" t="s">
        <v>337</v>
      </c>
      <c r="B13" t="s">
        <v>7105</v>
      </c>
      <c r="C13" s="1665">
        <v>291615691</v>
      </c>
      <c r="D13" s="1665">
        <v>305354338</v>
      </c>
      <c r="E13" s="1665">
        <v>292606613</v>
      </c>
      <c r="F13" s="1665">
        <v>278867966</v>
      </c>
      <c r="G13" s="1665">
        <v>292606613</v>
      </c>
      <c r="H13" s="1665">
        <v>278867966</v>
      </c>
    </row>
    <row r="14" spans="1:8">
      <c r="A14" t="s">
        <v>338</v>
      </c>
      <c r="B14" t="s">
        <v>7106</v>
      </c>
      <c r="C14" s="1665">
        <v>106871995</v>
      </c>
      <c r="D14" s="1665">
        <v>112516660</v>
      </c>
      <c r="E14" s="1665">
        <v>107362770</v>
      </c>
      <c r="F14" s="1665">
        <v>101718105</v>
      </c>
      <c r="G14" s="1665">
        <v>107362770</v>
      </c>
      <c r="H14" s="1665">
        <v>101718105</v>
      </c>
    </row>
    <row r="15" spans="1:8">
      <c r="A15" t="s">
        <v>339</v>
      </c>
      <c r="B15" t="s">
        <v>7107</v>
      </c>
      <c r="C15" s="1665">
        <v>266777242</v>
      </c>
      <c r="D15" s="1665">
        <v>282756530</v>
      </c>
      <c r="E15" s="1665">
        <v>282756530</v>
      </c>
      <c r="F15" s="1665">
        <v>266777242</v>
      </c>
      <c r="G15" s="1665">
        <v>282756530</v>
      </c>
      <c r="H15" s="1665">
        <v>266777242</v>
      </c>
    </row>
    <row r="16" spans="1:8">
      <c r="A16" t="s">
        <v>2479</v>
      </c>
      <c r="B16" t="s">
        <v>7108</v>
      </c>
      <c r="C16" s="1665">
        <v>2899985102</v>
      </c>
      <c r="D16" s="1665">
        <v>2951669390</v>
      </c>
      <c r="E16" s="1665">
        <v>2951669390</v>
      </c>
      <c r="F16" s="1665">
        <v>2899985102</v>
      </c>
      <c r="G16" s="1665">
        <v>2951669390</v>
      </c>
      <c r="H16" s="1665">
        <v>2899985102</v>
      </c>
    </row>
    <row r="17" spans="1:8">
      <c r="A17" t="s">
        <v>2480</v>
      </c>
      <c r="B17" t="s">
        <v>7109</v>
      </c>
      <c r="C17" s="1665">
        <v>212825847</v>
      </c>
      <c r="D17" s="1665">
        <v>219566637</v>
      </c>
      <c r="E17" s="1665">
        <v>219566637</v>
      </c>
      <c r="F17" s="1665">
        <v>212825847</v>
      </c>
      <c r="G17" s="1665">
        <v>404398577</v>
      </c>
      <c r="H17" s="1665">
        <v>397657787</v>
      </c>
    </row>
    <row r="18" spans="1:8">
      <c r="A18" t="s">
        <v>2481</v>
      </c>
      <c r="B18" t="s">
        <v>7110</v>
      </c>
      <c r="C18" s="1665">
        <v>290885707</v>
      </c>
      <c r="D18" s="1665">
        <v>302938419</v>
      </c>
      <c r="E18" s="1665">
        <v>302938419</v>
      </c>
      <c r="F18" s="1665">
        <v>290885707</v>
      </c>
      <c r="G18" s="1665">
        <v>302938419</v>
      </c>
      <c r="H18" s="1665">
        <v>290885707</v>
      </c>
    </row>
    <row r="19" spans="1:8">
      <c r="A19" t="s">
        <v>1945</v>
      </c>
      <c r="B19" t="s">
        <v>7111</v>
      </c>
      <c r="C19" s="1665">
        <v>88645697</v>
      </c>
      <c r="D19" s="1665">
        <v>92316867</v>
      </c>
      <c r="E19" s="1665">
        <v>92316867</v>
      </c>
      <c r="F19" s="1665">
        <v>88645697</v>
      </c>
      <c r="G19" s="1665">
        <v>92316867</v>
      </c>
      <c r="H19" s="1665">
        <v>88645697</v>
      </c>
    </row>
    <row r="20" spans="1:8">
      <c r="A20" t="s">
        <v>2483</v>
      </c>
      <c r="B20" t="s">
        <v>7112</v>
      </c>
      <c r="C20" s="1665">
        <v>160245862</v>
      </c>
      <c r="D20" s="1665">
        <v>164681342</v>
      </c>
      <c r="E20" s="1665">
        <v>164681342</v>
      </c>
      <c r="F20" s="1665">
        <v>160245862</v>
      </c>
      <c r="G20" s="1665">
        <v>226565052</v>
      </c>
      <c r="H20" s="1665">
        <v>222129572</v>
      </c>
    </row>
    <row r="21" spans="1:8">
      <c r="A21" t="s">
        <v>708</v>
      </c>
      <c r="B21" t="s">
        <v>7113</v>
      </c>
      <c r="C21" s="1665">
        <v>251116530</v>
      </c>
      <c r="D21" s="1665">
        <v>254844619</v>
      </c>
      <c r="E21" s="1665">
        <v>254844619</v>
      </c>
      <c r="F21" s="1665">
        <v>251116530</v>
      </c>
      <c r="G21" s="1665">
        <v>254844619</v>
      </c>
      <c r="H21" s="1665">
        <v>251116530</v>
      </c>
    </row>
    <row r="22" spans="1:8">
      <c r="A22" t="s">
        <v>2484</v>
      </c>
      <c r="B22" t="s">
        <v>7114</v>
      </c>
      <c r="C22" s="1665">
        <v>794364229</v>
      </c>
      <c r="D22" s="1665">
        <v>805404426</v>
      </c>
      <c r="E22" s="1665">
        <v>805404426</v>
      </c>
      <c r="F22" s="1665">
        <v>794364229</v>
      </c>
      <c r="G22" s="1665">
        <v>805404426</v>
      </c>
      <c r="H22" s="1665">
        <v>794364229</v>
      </c>
    </row>
    <row r="23" spans="1:8">
      <c r="A23" t="s">
        <v>2090</v>
      </c>
      <c r="B23" t="s">
        <v>7115</v>
      </c>
      <c r="C23" s="1665">
        <v>291281510</v>
      </c>
      <c r="D23" s="1665">
        <v>304625611</v>
      </c>
      <c r="E23" s="1665">
        <v>304625611</v>
      </c>
      <c r="F23" s="1665">
        <v>291281510</v>
      </c>
      <c r="G23" s="1665">
        <v>304625611</v>
      </c>
      <c r="H23" s="1665">
        <v>291281510</v>
      </c>
    </row>
    <row r="24" spans="1:8">
      <c r="A24" t="s">
        <v>213</v>
      </c>
      <c r="B24" t="s">
        <v>7116</v>
      </c>
      <c r="C24" s="1665">
        <v>1687251609</v>
      </c>
      <c r="D24" s="1665">
        <v>1719861406</v>
      </c>
      <c r="E24" s="1665">
        <v>1719861406</v>
      </c>
      <c r="F24" s="1665">
        <v>1687251609</v>
      </c>
      <c r="G24" s="1665">
        <v>1719861406</v>
      </c>
      <c r="H24" s="1665">
        <v>1687251609</v>
      </c>
    </row>
    <row r="25" spans="1:8">
      <c r="A25" t="s">
        <v>2133</v>
      </c>
      <c r="B25" t="s">
        <v>7117</v>
      </c>
      <c r="C25" s="1665">
        <v>256816322</v>
      </c>
      <c r="D25" s="1665">
        <v>271142231</v>
      </c>
      <c r="E25" s="1665">
        <v>271142231</v>
      </c>
      <c r="F25" s="1665">
        <v>256816322</v>
      </c>
      <c r="G25" s="1665">
        <v>271142231</v>
      </c>
      <c r="H25" s="1665">
        <v>256816322</v>
      </c>
    </row>
    <row r="26" spans="1:8">
      <c r="A26" t="s">
        <v>2485</v>
      </c>
      <c r="B26" t="s">
        <v>7118</v>
      </c>
      <c r="C26" s="1665">
        <v>1182066797</v>
      </c>
      <c r="D26" s="1665">
        <v>1213124433</v>
      </c>
      <c r="E26" s="1665">
        <v>1213124433</v>
      </c>
      <c r="F26" s="1665">
        <v>1182066797</v>
      </c>
      <c r="G26" s="1665">
        <v>1213124433</v>
      </c>
      <c r="H26" s="1665">
        <v>1182066797</v>
      </c>
    </row>
    <row r="27" spans="1:8">
      <c r="A27" t="s">
        <v>685</v>
      </c>
      <c r="B27" t="s">
        <v>7119</v>
      </c>
      <c r="C27" s="1665">
        <v>1298471367</v>
      </c>
      <c r="D27" s="1665">
        <v>1326407016</v>
      </c>
      <c r="E27" s="1665">
        <v>1268513159</v>
      </c>
      <c r="F27" s="1665">
        <v>1240577510</v>
      </c>
      <c r="G27" s="1665">
        <v>1268513159</v>
      </c>
      <c r="H27" s="1665">
        <v>1240577510</v>
      </c>
    </row>
    <row r="28" spans="1:8">
      <c r="A28" t="s">
        <v>686</v>
      </c>
      <c r="B28" t="s">
        <v>7120</v>
      </c>
      <c r="C28" s="1665">
        <v>280489368</v>
      </c>
      <c r="D28" s="1665">
        <v>289198022</v>
      </c>
      <c r="E28" s="1665">
        <v>285717380</v>
      </c>
      <c r="F28" s="1665">
        <v>277008726</v>
      </c>
      <c r="G28" s="1665">
        <v>285717380</v>
      </c>
      <c r="H28" s="1665">
        <v>277008726</v>
      </c>
    </row>
    <row r="29" spans="1:8">
      <c r="A29" t="s">
        <v>687</v>
      </c>
      <c r="B29" t="s">
        <v>7121</v>
      </c>
      <c r="C29" s="1665">
        <v>265660595</v>
      </c>
      <c r="D29" s="1665">
        <v>274810475</v>
      </c>
      <c r="E29" s="1665">
        <v>274810475</v>
      </c>
      <c r="F29" s="1665">
        <v>265660595</v>
      </c>
      <c r="G29" s="1665">
        <v>274810475</v>
      </c>
      <c r="H29" s="1665">
        <v>265660595</v>
      </c>
    </row>
    <row r="30" spans="1:8">
      <c r="A30" t="s">
        <v>188</v>
      </c>
      <c r="B30" t="s">
        <v>7122</v>
      </c>
      <c r="C30" s="1665">
        <v>240935024</v>
      </c>
      <c r="D30" s="1665">
        <v>246117029</v>
      </c>
      <c r="E30" s="1665">
        <v>246117029</v>
      </c>
      <c r="F30" s="1665">
        <v>240935024</v>
      </c>
      <c r="G30" s="1665">
        <v>246117029</v>
      </c>
      <c r="H30" s="1665">
        <v>240935024</v>
      </c>
    </row>
    <row r="31" spans="1:8">
      <c r="A31" t="s">
        <v>1946</v>
      </c>
      <c r="B31" t="s">
        <v>7123</v>
      </c>
      <c r="C31" s="1665">
        <v>1496234966</v>
      </c>
      <c r="D31" s="1665">
        <v>1543336159</v>
      </c>
      <c r="E31" s="1665">
        <v>1543336159</v>
      </c>
      <c r="F31" s="1665">
        <v>1496234966</v>
      </c>
      <c r="G31" s="1665">
        <v>1543336159</v>
      </c>
      <c r="H31" s="1665">
        <v>1496234966</v>
      </c>
    </row>
    <row r="32" spans="1:8">
      <c r="A32" t="s">
        <v>1683</v>
      </c>
      <c r="B32" t="s">
        <v>7124</v>
      </c>
      <c r="C32" s="1665">
        <v>3460541047</v>
      </c>
      <c r="D32" s="1665">
        <v>3546552755</v>
      </c>
      <c r="E32" s="1665">
        <v>3546552755</v>
      </c>
      <c r="F32" s="1665">
        <v>3460541047</v>
      </c>
      <c r="G32" s="1665">
        <v>3546552755</v>
      </c>
      <c r="H32" s="1665">
        <v>3460541047</v>
      </c>
    </row>
    <row r="33" spans="1:8">
      <c r="A33" t="s">
        <v>773</v>
      </c>
      <c r="B33" t="s">
        <v>7125</v>
      </c>
      <c r="C33" s="1665">
        <v>1199627840</v>
      </c>
      <c r="D33" s="1665">
        <v>1238855839</v>
      </c>
      <c r="E33" s="1665">
        <v>1238855839</v>
      </c>
      <c r="F33" s="1665">
        <v>1199627840</v>
      </c>
      <c r="G33" s="1665">
        <v>1238855839</v>
      </c>
      <c r="H33" s="1665">
        <v>1199627840</v>
      </c>
    </row>
    <row r="34" spans="1:8">
      <c r="A34" t="s">
        <v>2366</v>
      </c>
      <c r="B34" t="s">
        <v>7126</v>
      </c>
      <c r="C34" s="1665">
        <v>787812223</v>
      </c>
      <c r="D34" s="1665">
        <v>810886439</v>
      </c>
      <c r="E34" s="1665">
        <v>810886439</v>
      </c>
      <c r="F34" s="1665">
        <v>787812223</v>
      </c>
      <c r="G34" s="1665">
        <v>810886439</v>
      </c>
      <c r="H34" s="1665">
        <v>787812223</v>
      </c>
    </row>
    <row r="35" spans="1:8">
      <c r="A35" t="s">
        <v>2134</v>
      </c>
      <c r="B35" t="s">
        <v>7127</v>
      </c>
      <c r="C35" s="1665">
        <v>90781427</v>
      </c>
      <c r="D35" s="1665">
        <v>93810213</v>
      </c>
      <c r="E35" s="1665">
        <v>93810213</v>
      </c>
      <c r="F35" s="1665">
        <v>90781427</v>
      </c>
      <c r="G35" s="1665">
        <v>93810213</v>
      </c>
      <c r="H35" s="1665">
        <v>90781427</v>
      </c>
    </row>
    <row r="36" spans="1:8">
      <c r="A36" t="s">
        <v>452</v>
      </c>
      <c r="B36" t="s">
        <v>7128</v>
      </c>
      <c r="C36" s="1665">
        <v>187155114</v>
      </c>
      <c r="D36" s="1665">
        <v>194932924</v>
      </c>
      <c r="E36" s="1665">
        <v>194932924</v>
      </c>
      <c r="F36" s="1665">
        <v>187155114</v>
      </c>
      <c r="G36" s="1665">
        <v>492794964</v>
      </c>
      <c r="H36" s="1665">
        <v>485017154</v>
      </c>
    </row>
    <row r="37" spans="1:8">
      <c r="A37" t="s">
        <v>2367</v>
      </c>
      <c r="B37" t="s">
        <v>7129</v>
      </c>
      <c r="C37" s="1665">
        <v>745423558</v>
      </c>
      <c r="D37" s="1665">
        <v>777317508</v>
      </c>
      <c r="E37" s="1665">
        <v>777317508</v>
      </c>
      <c r="F37" s="1665">
        <v>745423558</v>
      </c>
      <c r="G37" s="1665">
        <v>777317508</v>
      </c>
      <c r="H37" s="1665">
        <v>745423558</v>
      </c>
    </row>
    <row r="38" spans="1:8">
      <c r="A38" t="s">
        <v>2651</v>
      </c>
      <c r="B38" t="s">
        <v>7130</v>
      </c>
      <c r="C38" s="1665">
        <v>326755864</v>
      </c>
      <c r="D38" s="1665">
        <v>328342635</v>
      </c>
      <c r="E38" s="1665">
        <v>328342635</v>
      </c>
      <c r="F38" s="1665">
        <v>326755864</v>
      </c>
      <c r="G38" s="1665">
        <v>328342635</v>
      </c>
      <c r="H38" s="1665">
        <v>326755864</v>
      </c>
    </row>
    <row r="39" spans="1:8">
      <c r="A39" t="s">
        <v>2652</v>
      </c>
      <c r="B39" t="s">
        <v>7131</v>
      </c>
      <c r="C39" s="1665">
        <v>551608008</v>
      </c>
      <c r="D39" s="1665">
        <v>554857406</v>
      </c>
      <c r="E39" s="1665">
        <v>554857406</v>
      </c>
      <c r="F39" s="1665">
        <v>551608008</v>
      </c>
      <c r="G39" s="1665">
        <v>627125506</v>
      </c>
      <c r="H39" s="1665">
        <v>623876108</v>
      </c>
    </row>
    <row r="40" spans="1:8">
      <c r="A40" t="s">
        <v>1149</v>
      </c>
      <c r="B40" t="s">
        <v>7132</v>
      </c>
      <c r="C40" s="1665">
        <v>148587289</v>
      </c>
      <c r="D40" s="1665">
        <v>153448884</v>
      </c>
      <c r="E40" s="1665">
        <v>153448884</v>
      </c>
      <c r="F40" s="1665">
        <v>148587289</v>
      </c>
      <c r="G40" s="1665">
        <v>153448884</v>
      </c>
      <c r="H40" s="1665">
        <v>148587289</v>
      </c>
    </row>
    <row r="41" spans="1:8">
      <c r="A41" t="s">
        <v>2135</v>
      </c>
      <c r="B41" t="s">
        <v>7133</v>
      </c>
      <c r="C41" s="1665">
        <v>386950268</v>
      </c>
      <c r="D41" s="1665">
        <v>403596806</v>
      </c>
      <c r="E41" s="1665">
        <v>403596806</v>
      </c>
      <c r="F41" s="1665">
        <v>386950268</v>
      </c>
      <c r="G41" s="1665">
        <v>403596806</v>
      </c>
      <c r="H41" s="1665">
        <v>386950268</v>
      </c>
    </row>
    <row r="42" spans="1:8">
      <c r="A42" t="s">
        <v>1682</v>
      </c>
      <c r="B42" t="s">
        <v>7134</v>
      </c>
      <c r="C42" s="1665">
        <v>112043191</v>
      </c>
      <c r="D42" s="1665">
        <v>116969481</v>
      </c>
      <c r="E42" s="1665">
        <v>116969481</v>
      </c>
      <c r="F42" s="1665">
        <v>112043191</v>
      </c>
      <c r="G42" s="1665">
        <v>116969481</v>
      </c>
      <c r="H42" s="1665">
        <v>112043191</v>
      </c>
    </row>
    <row r="43" spans="1:8">
      <c r="A43" t="s">
        <v>1685</v>
      </c>
      <c r="B43" t="s">
        <v>7135</v>
      </c>
      <c r="C43" s="1665">
        <v>2868508056</v>
      </c>
      <c r="D43" s="1665">
        <v>2975745258</v>
      </c>
      <c r="E43" s="1665">
        <v>2975745258</v>
      </c>
      <c r="F43" s="1665">
        <v>2868508056</v>
      </c>
      <c r="G43" s="1665">
        <v>2975745258</v>
      </c>
      <c r="H43" s="1665">
        <v>2868508056</v>
      </c>
    </row>
    <row r="44" spans="1:8">
      <c r="A44" t="s">
        <v>170</v>
      </c>
      <c r="B44" t="s">
        <v>7136</v>
      </c>
      <c r="C44" s="1665">
        <v>117295317</v>
      </c>
      <c r="D44" s="1665">
        <v>122759731</v>
      </c>
      <c r="E44" s="1665">
        <v>122759731</v>
      </c>
      <c r="F44" s="1665">
        <v>117295317</v>
      </c>
      <c r="G44" s="1665">
        <v>122759731</v>
      </c>
      <c r="H44" s="1665">
        <v>117295317</v>
      </c>
    </row>
    <row r="45" spans="1:8">
      <c r="A45" t="s">
        <v>53</v>
      </c>
      <c r="B45" t="s">
        <v>7137</v>
      </c>
      <c r="C45" s="1665">
        <v>7623793069</v>
      </c>
      <c r="D45" s="1665">
        <v>7903612271</v>
      </c>
      <c r="E45" s="1665">
        <v>7903612271</v>
      </c>
      <c r="F45" s="1665">
        <v>7623793069</v>
      </c>
      <c r="G45" s="1665">
        <v>7903612271</v>
      </c>
      <c r="H45" s="1665">
        <v>7623793069</v>
      </c>
    </row>
    <row r="46" spans="1:8">
      <c r="A46" t="s">
        <v>166</v>
      </c>
      <c r="B46" t="s">
        <v>7138</v>
      </c>
      <c r="C46" s="1665">
        <v>184989800</v>
      </c>
      <c r="D46" s="1665">
        <v>193621347</v>
      </c>
      <c r="E46" s="1665">
        <v>193621347</v>
      </c>
      <c r="F46" s="1665">
        <v>184989800</v>
      </c>
      <c r="G46" s="1665">
        <v>193621347</v>
      </c>
      <c r="H46" s="1665">
        <v>184989800</v>
      </c>
    </row>
    <row r="47" spans="1:8">
      <c r="A47" t="s">
        <v>1312</v>
      </c>
      <c r="B47" t="s">
        <v>7139</v>
      </c>
      <c r="C47" s="1665">
        <v>784846994</v>
      </c>
      <c r="D47" s="1665">
        <v>806588574</v>
      </c>
      <c r="E47" s="1665">
        <v>806588574</v>
      </c>
      <c r="F47" s="1665">
        <v>784846994</v>
      </c>
      <c r="G47" s="1665">
        <v>806588574</v>
      </c>
      <c r="H47" s="1665">
        <v>784846994</v>
      </c>
    </row>
    <row r="48" spans="1:8">
      <c r="A48" t="s">
        <v>1514</v>
      </c>
      <c r="B48" t="s">
        <v>7140</v>
      </c>
      <c r="C48" s="1665">
        <v>3015654003</v>
      </c>
      <c r="D48" s="1665">
        <v>3110277413</v>
      </c>
      <c r="E48" s="1665">
        <v>3110277413</v>
      </c>
      <c r="F48" s="1665">
        <v>3015654003</v>
      </c>
      <c r="G48" s="1665">
        <v>3110277413</v>
      </c>
      <c r="H48" s="1665">
        <v>3015654003</v>
      </c>
    </row>
    <row r="49" spans="1:8">
      <c r="A49" t="s">
        <v>1519</v>
      </c>
      <c r="B49" t="s">
        <v>7141</v>
      </c>
      <c r="C49" s="1665">
        <v>331591185</v>
      </c>
      <c r="D49" s="1665">
        <v>345258507</v>
      </c>
      <c r="E49" s="1665">
        <v>345258507</v>
      </c>
      <c r="F49" s="1665">
        <v>331591185</v>
      </c>
      <c r="G49" s="1665">
        <v>345258507</v>
      </c>
      <c r="H49" s="1665">
        <v>331591185</v>
      </c>
    </row>
    <row r="50" spans="1:8">
      <c r="A50" t="s">
        <v>423</v>
      </c>
      <c r="B50" t="s">
        <v>7142</v>
      </c>
      <c r="C50" s="1665">
        <v>6710768000</v>
      </c>
      <c r="D50" s="1665">
        <v>6780955777</v>
      </c>
      <c r="E50" s="1665">
        <v>6780955777</v>
      </c>
      <c r="F50" s="1665">
        <v>6710768000</v>
      </c>
      <c r="G50" s="1665">
        <v>6780955777</v>
      </c>
      <c r="H50" s="1665">
        <v>6710768000</v>
      </c>
    </row>
    <row r="51" spans="1:8">
      <c r="A51" t="s">
        <v>1859</v>
      </c>
      <c r="B51" t="s">
        <v>7143</v>
      </c>
      <c r="C51" s="1665">
        <v>1612389091</v>
      </c>
      <c r="D51" s="1665">
        <v>1712631339</v>
      </c>
      <c r="E51" s="1665">
        <v>1712631339</v>
      </c>
      <c r="F51" s="1665">
        <v>1612389091</v>
      </c>
      <c r="G51" s="1665">
        <v>1712631339</v>
      </c>
      <c r="H51" s="1665">
        <v>1612389091</v>
      </c>
    </row>
    <row r="52" spans="1:8">
      <c r="A52" t="s">
        <v>771</v>
      </c>
      <c r="B52" t="s">
        <v>7144</v>
      </c>
      <c r="C52" s="1665">
        <v>1275238110</v>
      </c>
      <c r="D52" s="1665">
        <v>1360203157</v>
      </c>
      <c r="E52" s="1665">
        <v>1360203157</v>
      </c>
      <c r="F52" s="1665">
        <v>1275238110</v>
      </c>
      <c r="G52" s="1665">
        <v>1360203157</v>
      </c>
      <c r="H52" s="1665">
        <v>1275238110</v>
      </c>
    </row>
    <row r="53" spans="1:8">
      <c r="A53" t="s">
        <v>1314</v>
      </c>
      <c r="B53" t="s">
        <v>7145</v>
      </c>
      <c r="C53" s="1665">
        <v>17095260085</v>
      </c>
      <c r="D53" s="1665">
        <v>17546775881</v>
      </c>
      <c r="E53" s="1665">
        <v>17440340711</v>
      </c>
      <c r="F53" s="1665">
        <v>16988824915</v>
      </c>
      <c r="G53" s="1665">
        <v>17440340711</v>
      </c>
      <c r="H53" s="1665">
        <v>16988824915</v>
      </c>
    </row>
    <row r="54" spans="1:8">
      <c r="A54" t="s">
        <v>1506</v>
      </c>
      <c r="B54" t="s">
        <v>7146</v>
      </c>
      <c r="C54" s="1665">
        <v>1657570721</v>
      </c>
      <c r="D54" s="1665">
        <v>1720068635</v>
      </c>
      <c r="E54" s="1665">
        <v>1720068635</v>
      </c>
      <c r="F54" s="1665">
        <v>1657570721</v>
      </c>
      <c r="G54" s="1665">
        <v>1720068635</v>
      </c>
      <c r="H54" s="1665">
        <v>1657570721</v>
      </c>
    </row>
    <row r="55" spans="1:8">
      <c r="A55" t="s">
        <v>1152</v>
      </c>
      <c r="B55" t="s">
        <v>7147</v>
      </c>
      <c r="C55" s="1665">
        <v>457028163</v>
      </c>
      <c r="D55" s="1665">
        <v>479738402</v>
      </c>
      <c r="E55" s="1665">
        <v>479738402</v>
      </c>
      <c r="F55" s="1665">
        <v>457028163</v>
      </c>
      <c r="G55" s="1665">
        <v>479738402</v>
      </c>
      <c r="H55" s="1665">
        <v>457028163</v>
      </c>
    </row>
    <row r="56" spans="1:8">
      <c r="A56" t="s">
        <v>1407</v>
      </c>
      <c r="B56" t="s">
        <v>7148</v>
      </c>
      <c r="C56" s="1665">
        <v>37937203905</v>
      </c>
      <c r="D56" s="1665">
        <v>38764355708</v>
      </c>
      <c r="E56" s="1665">
        <v>38764355708</v>
      </c>
      <c r="F56" s="1665">
        <v>37937203905</v>
      </c>
      <c r="G56" s="1665">
        <v>38764355708</v>
      </c>
      <c r="H56" s="1665">
        <v>37937203905</v>
      </c>
    </row>
    <row r="57" spans="1:8">
      <c r="A57" t="s">
        <v>768</v>
      </c>
      <c r="B57" t="s">
        <v>7149</v>
      </c>
      <c r="C57" s="1665">
        <v>3643646809</v>
      </c>
      <c r="D57" s="1665">
        <v>3749619928</v>
      </c>
      <c r="E57" s="1665">
        <v>3749619928</v>
      </c>
      <c r="F57" s="1665">
        <v>3643646809</v>
      </c>
      <c r="G57" s="1665">
        <v>3749619928</v>
      </c>
      <c r="H57" s="1665">
        <v>3643646809</v>
      </c>
    </row>
    <row r="58" spans="1:8">
      <c r="A58" t="s">
        <v>709</v>
      </c>
      <c r="B58" t="s">
        <v>7150</v>
      </c>
      <c r="C58" s="1665">
        <v>3141203577</v>
      </c>
      <c r="D58" s="1665">
        <v>3230466262</v>
      </c>
      <c r="E58" s="1665">
        <v>3230466262</v>
      </c>
      <c r="F58" s="1665">
        <v>3141203577</v>
      </c>
      <c r="G58" s="1665">
        <v>3230466262</v>
      </c>
      <c r="H58" s="1665">
        <v>3141203577</v>
      </c>
    </row>
    <row r="59" spans="1:8">
      <c r="A59" t="s">
        <v>1409</v>
      </c>
      <c r="B59" t="s">
        <v>7151</v>
      </c>
      <c r="C59" s="1665">
        <v>51164534062</v>
      </c>
      <c r="D59" s="1665">
        <v>52242012498</v>
      </c>
      <c r="E59" s="1665">
        <v>52242012498</v>
      </c>
      <c r="F59" s="1665">
        <v>51164534062</v>
      </c>
      <c r="G59" s="1665">
        <v>52242012498</v>
      </c>
      <c r="H59" s="1665">
        <v>51164534062</v>
      </c>
    </row>
    <row r="60" spans="1:8">
      <c r="A60" t="s">
        <v>46</v>
      </c>
      <c r="B60" t="s">
        <v>7152</v>
      </c>
      <c r="C60" s="1665">
        <v>8945924016</v>
      </c>
      <c r="D60" s="1665">
        <v>9186487488</v>
      </c>
      <c r="E60" s="1665">
        <v>9186487488</v>
      </c>
      <c r="F60" s="1665">
        <v>8945924016</v>
      </c>
      <c r="G60" s="1665">
        <v>9186487488</v>
      </c>
      <c r="H60" s="1665">
        <v>8945924016</v>
      </c>
    </row>
    <row r="61" spans="1:8">
      <c r="A61" t="s">
        <v>1507</v>
      </c>
      <c r="B61" t="s">
        <v>7153</v>
      </c>
      <c r="C61" s="1665">
        <v>1241713401</v>
      </c>
      <c r="D61" s="1665">
        <v>1277207083</v>
      </c>
      <c r="E61" s="1665">
        <v>1277207083</v>
      </c>
      <c r="F61" s="1665">
        <v>1241713401</v>
      </c>
      <c r="G61" s="1665">
        <v>1277207083</v>
      </c>
      <c r="H61" s="1665">
        <v>1241713401</v>
      </c>
    </row>
    <row r="62" spans="1:8">
      <c r="A62" t="s">
        <v>1210</v>
      </c>
      <c r="B62" t="s">
        <v>7154</v>
      </c>
      <c r="C62" s="1665">
        <v>759967569</v>
      </c>
      <c r="D62" s="1665">
        <v>774800232</v>
      </c>
      <c r="E62" s="1665">
        <v>774800232</v>
      </c>
      <c r="F62" s="1665">
        <v>759967569</v>
      </c>
      <c r="G62" s="1665">
        <v>774800232</v>
      </c>
      <c r="H62" s="1665">
        <v>759967569</v>
      </c>
    </row>
    <row r="63" spans="1:8">
      <c r="A63" t="s">
        <v>874</v>
      </c>
      <c r="B63" t="s">
        <v>7155</v>
      </c>
      <c r="C63" s="1665">
        <v>855484568</v>
      </c>
      <c r="D63" s="1665">
        <v>874578297</v>
      </c>
      <c r="E63" s="1665">
        <v>874578297</v>
      </c>
      <c r="F63" s="1665">
        <v>855484568</v>
      </c>
      <c r="G63" s="1665">
        <v>874578297</v>
      </c>
      <c r="H63" s="1665">
        <v>855484568</v>
      </c>
    </row>
    <row r="64" spans="1:8">
      <c r="A64" t="s">
        <v>1211</v>
      </c>
      <c r="B64" t="s">
        <v>7156</v>
      </c>
      <c r="C64" s="1665">
        <v>414656164</v>
      </c>
      <c r="D64" s="1665">
        <v>415143174</v>
      </c>
      <c r="E64" s="1665">
        <v>414865067</v>
      </c>
      <c r="F64" s="1665">
        <v>414378057</v>
      </c>
      <c r="G64" s="1665">
        <v>601227707</v>
      </c>
      <c r="H64" s="1665">
        <v>600740697</v>
      </c>
    </row>
    <row r="65" spans="1:8">
      <c r="A65" t="s">
        <v>575</v>
      </c>
      <c r="B65" t="s">
        <v>7157</v>
      </c>
      <c r="C65" s="1665">
        <v>573399538</v>
      </c>
      <c r="D65" s="1665">
        <v>589082489</v>
      </c>
      <c r="E65" s="1665">
        <v>589082489</v>
      </c>
      <c r="F65" s="1665">
        <v>573399538</v>
      </c>
      <c r="G65" s="1665">
        <v>589082489</v>
      </c>
      <c r="H65" s="1665">
        <v>573399538</v>
      </c>
    </row>
    <row r="66" spans="1:8">
      <c r="A66" t="s">
        <v>1212</v>
      </c>
      <c r="B66" t="s">
        <v>7158</v>
      </c>
      <c r="C66" s="1665">
        <v>171151869</v>
      </c>
      <c r="D66" s="1665">
        <v>176821229</v>
      </c>
      <c r="E66" s="1665">
        <v>176821229</v>
      </c>
      <c r="F66" s="1665">
        <v>171151869</v>
      </c>
      <c r="G66" s="1665">
        <v>176821229</v>
      </c>
      <c r="H66" s="1665">
        <v>171151869</v>
      </c>
    </row>
    <row r="67" spans="1:8">
      <c r="A67" t="s">
        <v>1113</v>
      </c>
      <c r="B67" t="s">
        <v>7159</v>
      </c>
      <c r="C67" s="1665">
        <v>61325684</v>
      </c>
      <c r="D67" s="1665">
        <v>63382536</v>
      </c>
      <c r="E67" s="1665">
        <v>63382536</v>
      </c>
      <c r="F67" s="1665">
        <v>61325684</v>
      </c>
      <c r="G67" s="1665">
        <v>63382536</v>
      </c>
      <c r="H67" s="1665">
        <v>61325684</v>
      </c>
    </row>
    <row r="68" spans="1:8">
      <c r="A68" t="s">
        <v>1114</v>
      </c>
      <c r="B68" t="s">
        <v>7160</v>
      </c>
      <c r="C68" s="1665">
        <v>212113767</v>
      </c>
      <c r="D68" s="1665">
        <v>219803367</v>
      </c>
      <c r="E68" s="1665">
        <v>219803367</v>
      </c>
      <c r="F68" s="1665">
        <v>212113767</v>
      </c>
      <c r="G68" s="1665">
        <v>219803367</v>
      </c>
      <c r="H68" s="1665">
        <v>212113767</v>
      </c>
    </row>
    <row r="69" spans="1:8">
      <c r="A69" t="s">
        <v>1901</v>
      </c>
      <c r="B69" t="s">
        <v>7161</v>
      </c>
      <c r="C69" s="1665">
        <v>97134022</v>
      </c>
      <c r="D69" s="1665">
        <v>99008286</v>
      </c>
      <c r="E69" s="1665">
        <v>99008286</v>
      </c>
      <c r="F69" s="1665">
        <v>97134022</v>
      </c>
      <c r="G69" s="1665">
        <v>99008286</v>
      </c>
      <c r="H69" s="1665">
        <v>97134022</v>
      </c>
    </row>
    <row r="70" spans="1:8">
      <c r="A70" t="s">
        <v>1645</v>
      </c>
      <c r="B70" t="s">
        <v>7162</v>
      </c>
      <c r="C70" s="1665">
        <v>131370679</v>
      </c>
      <c r="D70" s="1665">
        <v>133895924</v>
      </c>
      <c r="E70" s="1665">
        <v>133895924</v>
      </c>
      <c r="F70" s="1665">
        <v>131370679</v>
      </c>
      <c r="G70" s="1665">
        <v>133895924</v>
      </c>
      <c r="H70" s="1665">
        <v>131370679</v>
      </c>
    </row>
    <row r="71" spans="1:8">
      <c r="A71" t="s">
        <v>1646</v>
      </c>
      <c r="B71" t="s">
        <v>7163</v>
      </c>
      <c r="C71" s="1665">
        <v>136283099</v>
      </c>
      <c r="D71" s="1665">
        <v>140983145</v>
      </c>
      <c r="E71" s="1665">
        <v>140983145</v>
      </c>
      <c r="F71" s="1665">
        <v>136283099</v>
      </c>
      <c r="G71" s="1665">
        <v>140983145</v>
      </c>
      <c r="H71" s="1665">
        <v>136283099</v>
      </c>
    </row>
    <row r="72" spans="1:8">
      <c r="A72" t="s">
        <v>1647</v>
      </c>
      <c r="B72" t="s">
        <v>7164</v>
      </c>
      <c r="C72" s="1665">
        <v>78114875</v>
      </c>
      <c r="D72" s="1665">
        <v>80268407</v>
      </c>
      <c r="E72" s="1665">
        <v>80268407</v>
      </c>
      <c r="F72" s="1665">
        <v>78114875</v>
      </c>
      <c r="G72" s="1665">
        <v>80268407</v>
      </c>
      <c r="H72" s="1665">
        <v>78114875</v>
      </c>
    </row>
    <row r="73" spans="1:8">
      <c r="A73" t="s">
        <v>885</v>
      </c>
      <c r="B73" t="s">
        <v>7165</v>
      </c>
      <c r="C73" s="1665">
        <v>182030999</v>
      </c>
      <c r="D73" s="1665">
        <v>191778708</v>
      </c>
      <c r="E73" s="1665">
        <v>191778708</v>
      </c>
      <c r="F73" s="1665">
        <v>182030999</v>
      </c>
      <c r="G73" s="1665">
        <v>191778708</v>
      </c>
      <c r="H73" s="1665">
        <v>182030999</v>
      </c>
    </row>
    <row r="74" spans="1:8">
      <c r="A74" t="s">
        <v>710</v>
      </c>
      <c r="B74" t="s">
        <v>7166</v>
      </c>
      <c r="C74" s="1665">
        <v>148151816</v>
      </c>
      <c r="D74" s="1665">
        <v>156652130</v>
      </c>
      <c r="E74" s="1665">
        <v>156652130</v>
      </c>
      <c r="F74" s="1665">
        <v>148151816</v>
      </c>
      <c r="G74" s="1665">
        <v>156652130</v>
      </c>
      <c r="H74" s="1665">
        <v>148151816</v>
      </c>
    </row>
    <row r="75" spans="1:8">
      <c r="A75" t="s">
        <v>2136</v>
      </c>
      <c r="B75" t="s">
        <v>7167</v>
      </c>
      <c r="C75" s="1665">
        <v>58567691</v>
      </c>
      <c r="D75" s="1665">
        <v>63148944</v>
      </c>
      <c r="E75" s="1665">
        <v>63148944</v>
      </c>
      <c r="F75" s="1665">
        <v>58567691</v>
      </c>
      <c r="G75" s="1665">
        <v>63148944</v>
      </c>
      <c r="H75" s="1665">
        <v>58567691</v>
      </c>
    </row>
    <row r="76" spans="1:8">
      <c r="A76" t="s">
        <v>2638</v>
      </c>
      <c r="B76" t="s">
        <v>7168</v>
      </c>
      <c r="C76" s="1665">
        <v>365035603</v>
      </c>
      <c r="D76" s="1665">
        <v>380850589</v>
      </c>
      <c r="E76" s="1665">
        <v>380850589</v>
      </c>
      <c r="F76" s="1665">
        <v>365035603</v>
      </c>
      <c r="G76" s="1665">
        <v>380850589</v>
      </c>
      <c r="H76" s="1665">
        <v>365035603</v>
      </c>
    </row>
    <row r="77" spans="1:8">
      <c r="A77" t="s">
        <v>1096</v>
      </c>
      <c r="B77" t="s">
        <v>7169</v>
      </c>
      <c r="C77" s="1665">
        <v>230856731</v>
      </c>
      <c r="D77" s="1665">
        <v>243000391</v>
      </c>
      <c r="E77" s="1665">
        <v>243000391</v>
      </c>
      <c r="F77" s="1665">
        <v>230856731</v>
      </c>
      <c r="G77" s="1665">
        <v>243000391</v>
      </c>
      <c r="H77" s="1665">
        <v>230856731</v>
      </c>
    </row>
    <row r="78" spans="1:8">
      <c r="A78" t="s">
        <v>1097</v>
      </c>
      <c r="B78" t="s">
        <v>7170</v>
      </c>
      <c r="C78" s="1665">
        <v>1943644199</v>
      </c>
      <c r="D78" s="1665">
        <v>1988243043</v>
      </c>
      <c r="E78" s="1665">
        <v>1988243043</v>
      </c>
      <c r="F78" s="1665">
        <v>1943644199</v>
      </c>
      <c r="G78" s="1665">
        <v>1988243043</v>
      </c>
      <c r="H78" s="1665">
        <v>1943644199</v>
      </c>
    </row>
    <row r="79" spans="1:8">
      <c r="A79" t="s">
        <v>1124</v>
      </c>
      <c r="B79" t="s">
        <v>7171</v>
      </c>
      <c r="C79" s="1665">
        <v>526661934</v>
      </c>
      <c r="D79" s="1665">
        <v>549121028</v>
      </c>
      <c r="E79" s="1665">
        <v>549121028</v>
      </c>
      <c r="F79" s="1665">
        <v>526661934</v>
      </c>
      <c r="G79" s="1665">
        <v>549121028</v>
      </c>
      <c r="H79" s="1665">
        <v>526661934</v>
      </c>
    </row>
    <row r="80" spans="1:8">
      <c r="A80" t="s">
        <v>2137</v>
      </c>
      <c r="B80" t="s">
        <v>7172</v>
      </c>
      <c r="C80" s="1665">
        <v>108307361</v>
      </c>
      <c r="D80" s="1665">
        <v>114924003</v>
      </c>
      <c r="E80" s="1665">
        <v>114924003</v>
      </c>
      <c r="F80" s="1665">
        <v>108307361</v>
      </c>
      <c r="G80" s="1665">
        <v>114924003</v>
      </c>
      <c r="H80" s="1665">
        <v>108307361</v>
      </c>
    </row>
    <row r="81" spans="1:8">
      <c r="A81" t="s">
        <v>984</v>
      </c>
      <c r="B81" t="s">
        <v>7173</v>
      </c>
      <c r="C81" s="1665">
        <v>19287982</v>
      </c>
      <c r="D81" s="1665">
        <v>20918631</v>
      </c>
      <c r="E81" s="1665">
        <v>20918631</v>
      </c>
      <c r="F81" s="1665">
        <v>19287982</v>
      </c>
      <c r="G81" s="1665">
        <v>20918631</v>
      </c>
      <c r="H81" s="1665">
        <v>19287982</v>
      </c>
    </row>
    <row r="82" spans="1:8">
      <c r="A82" t="s">
        <v>842</v>
      </c>
      <c r="B82" t="s">
        <v>7174</v>
      </c>
      <c r="C82" s="1665">
        <v>207163494</v>
      </c>
      <c r="D82" s="1665">
        <v>214142889</v>
      </c>
      <c r="E82" s="1665">
        <v>214142889</v>
      </c>
      <c r="F82" s="1665">
        <v>207163494</v>
      </c>
      <c r="G82" s="1665">
        <v>214142889</v>
      </c>
      <c r="H82" s="1665">
        <v>207163494</v>
      </c>
    </row>
    <row r="83" spans="1:8">
      <c r="A83" t="s">
        <v>1125</v>
      </c>
      <c r="B83" t="s">
        <v>7175</v>
      </c>
      <c r="C83" s="1665">
        <v>894313356</v>
      </c>
      <c r="D83" s="1665">
        <v>919346405</v>
      </c>
      <c r="E83" s="1665">
        <v>919346405</v>
      </c>
      <c r="F83" s="1665">
        <v>894313356</v>
      </c>
      <c r="G83" s="1665">
        <v>919346405</v>
      </c>
      <c r="H83" s="1665">
        <v>894313356</v>
      </c>
    </row>
    <row r="84" spans="1:8">
      <c r="A84" t="s">
        <v>1126</v>
      </c>
      <c r="B84" t="s">
        <v>7176</v>
      </c>
      <c r="C84" s="1665">
        <v>19638878</v>
      </c>
      <c r="D84" s="1665">
        <v>21126269</v>
      </c>
      <c r="E84" s="1665">
        <v>21126269</v>
      </c>
      <c r="F84" s="1665">
        <v>19638878</v>
      </c>
      <c r="G84" s="1665">
        <v>21126269</v>
      </c>
      <c r="H84" s="1665">
        <v>19638878</v>
      </c>
    </row>
    <row r="85" spans="1:8">
      <c r="A85" t="s">
        <v>843</v>
      </c>
      <c r="B85" t="s">
        <v>7177</v>
      </c>
      <c r="C85" s="1665">
        <v>40858151</v>
      </c>
      <c r="D85" s="1665">
        <v>42678974</v>
      </c>
      <c r="E85" s="1665">
        <v>42678974</v>
      </c>
      <c r="F85" s="1665">
        <v>40858151</v>
      </c>
      <c r="G85" s="1665">
        <v>42678974</v>
      </c>
      <c r="H85" s="1665">
        <v>40858151</v>
      </c>
    </row>
    <row r="86" spans="1:8">
      <c r="A86" t="s">
        <v>179</v>
      </c>
      <c r="B86" t="s">
        <v>7178</v>
      </c>
      <c r="C86" s="1665">
        <v>6106406199</v>
      </c>
      <c r="D86" s="1665">
        <v>6326801062</v>
      </c>
      <c r="E86" s="1665">
        <v>6326801062</v>
      </c>
      <c r="F86" s="1665">
        <v>6106406199</v>
      </c>
      <c r="G86" s="1665">
        <v>6326801062</v>
      </c>
      <c r="H86" s="1665">
        <v>6106406199</v>
      </c>
    </row>
    <row r="87" spans="1:8">
      <c r="A87" t="s">
        <v>919</v>
      </c>
      <c r="B87" t="s">
        <v>7179</v>
      </c>
      <c r="C87" s="1665">
        <v>2548072280</v>
      </c>
      <c r="D87" s="1665">
        <v>2613795646</v>
      </c>
      <c r="E87" s="1665">
        <v>2613795646</v>
      </c>
      <c r="F87" s="1665">
        <v>2548072280</v>
      </c>
      <c r="G87" s="1665">
        <v>2613795646</v>
      </c>
      <c r="H87" s="1665">
        <v>2548072280</v>
      </c>
    </row>
    <row r="88" spans="1:8">
      <c r="A88" t="s">
        <v>711</v>
      </c>
      <c r="B88" t="s">
        <v>7180</v>
      </c>
      <c r="C88" s="1665">
        <v>271650484</v>
      </c>
      <c r="D88" s="1665">
        <v>281062107</v>
      </c>
      <c r="E88" s="1665">
        <v>281062107</v>
      </c>
      <c r="F88" s="1665">
        <v>271650484</v>
      </c>
      <c r="G88" s="1665">
        <v>281062107</v>
      </c>
      <c r="H88" s="1665">
        <v>271650484</v>
      </c>
    </row>
    <row r="89" spans="1:8">
      <c r="A89" t="s">
        <v>1157</v>
      </c>
      <c r="B89" t="s">
        <v>7181</v>
      </c>
      <c r="C89" s="1665">
        <v>10893564861</v>
      </c>
      <c r="D89" s="1665">
        <v>11017242952</v>
      </c>
      <c r="E89" s="1665">
        <v>10917726163</v>
      </c>
      <c r="F89" s="1665">
        <v>10794048072</v>
      </c>
      <c r="G89" s="1665">
        <v>11848374653</v>
      </c>
      <c r="H89" s="1665">
        <v>11724696562</v>
      </c>
    </row>
    <row r="90" spans="1:8">
      <c r="A90" t="s">
        <v>1158</v>
      </c>
      <c r="B90" t="s">
        <v>7182</v>
      </c>
      <c r="C90" s="1665">
        <v>2507720202</v>
      </c>
      <c r="D90" s="1665">
        <v>2531795399</v>
      </c>
      <c r="E90" s="1665">
        <v>2498018012</v>
      </c>
      <c r="F90" s="1665">
        <v>2473942815</v>
      </c>
      <c r="G90" s="1665">
        <v>2725268612</v>
      </c>
      <c r="H90" s="1665">
        <v>2701193415</v>
      </c>
    </row>
    <row r="91" spans="1:8">
      <c r="A91" t="s">
        <v>1435</v>
      </c>
      <c r="B91" t="s">
        <v>7183</v>
      </c>
      <c r="C91" s="1665">
        <v>1282369457</v>
      </c>
      <c r="D91" s="1665">
        <v>1328300574</v>
      </c>
      <c r="E91" s="1665">
        <v>1294548277</v>
      </c>
      <c r="F91" s="1665">
        <v>1248617160</v>
      </c>
      <c r="G91" s="1665">
        <v>1294548277</v>
      </c>
      <c r="H91" s="1665">
        <v>1248617160</v>
      </c>
    </row>
    <row r="92" spans="1:8">
      <c r="A92" t="s">
        <v>207</v>
      </c>
      <c r="B92" t="s">
        <v>7184</v>
      </c>
      <c r="C92" s="1665">
        <v>7550037471</v>
      </c>
      <c r="D92" s="1665">
        <v>7788148364</v>
      </c>
      <c r="E92" s="1665">
        <v>7788148364</v>
      </c>
      <c r="F92" s="1665">
        <v>7550037471</v>
      </c>
      <c r="G92" s="1665">
        <v>7788148364</v>
      </c>
      <c r="H92" s="1665">
        <v>7550037471</v>
      </c>
    </row>
    <row r="93" spans="1:8">
      <c r="A93" t="s">
        <v>1159</v>
      </c>
      <c r="B93" t="s">
        <v>7185</v>
      </c>
      <c r="C93" s="1665">
        <v>61769209</v>
      </c>
      <c r="D93" s="1665">
        <v>63963751</v>
      </c>
      <c r="E93" s="1665">
        <v>63963751</v>
      </c>
      <c r="F93" s="1665">
        <v>61769209</v>
      </c>
      <c r="G93" s="1665">
        <v>63963751</v>
      </c>
      <c r="H93" s="1665">
        <v>61769209</v>
      </c>
    </row>
    <row r="94" spans="1:8">
      <c r="A94" t="s">
        <v>578</v>
      </c>
      <c r="B94" t="s">
        <v>7186</v>
      </c>
      <c r="C94" s="1665">
        <v>9436832194</v>
      </c>
      <c r="D94" s="1665">
        <v>9555427855</v>
      </c>
      <c r="E94" s="1665">
        <v>9555427855</v>
      </c>
      <c r="F94" s="1665">
        <v>9436832194</v>
      </c>
      <c r="G94" s="1665">
        <v>9555427855</v>
      </c>
      <c r="H94" s="1665">
        <v>9436832194</v>
      </c>
    </row>
    <row r="95" spans="1:8">
      <c r="A95" t="s">
        <v>882</v>
      </c>
      <c r="B95" t="s">
        <v>7187</v>
      </c>
      <c r="C95" s="1665">
        <v>7215128883</v>
      </c>
      <c r="D95" s="1665">
        <v>7354621811</v>
      </c>
      <c r="E95" s="1665">
        <v>7354621811</v>
      </c>
      <c r="F95" s="1665">
        <v>7215128883</v>
      </c>
      <c r="G95" s="1665">
        <v>7544030611</v>
      </c>
      <c r="H95" s="1665">
        <v>7404537683</v>
      </c>
    </row>
    <row r="96" spans="1:8">
      <c r="A96" t="s">
        <v>2549</v>
      </c>
      <c r="B96" t="s">
        <v>7188</v>
      </c>
      <c r="C96" s="1665">
        <v>83782146</v>
      </c>
      <c r="D96" s="1665">
        <v>85166478</v>
      </c>
      <c r="E96" s="1665">
        <v>85166478</v>
      </c>
      <c r="F96" s="1665">
        <v>83782146</v>
      </c>
      <c r="G96" s="1665">
        <v>85166478</v>
      </c>
      <c r="H96" s="1665">
        <v>83782146</v>
      </c>
    </row>
    <row r="97" spans="1:8">
      <c r="A97" t="s">
        <v>400</v>
      </c>
      <c r="B97" t="s">
        <v>7189</v>
      </c>
      <c r="C97" s="1665">
        <v>580669521</v>
      </c>
      <c r="D97" s="1665">
        <v>599436479</v>
      </c>
      <c r="E97" s="1665">
        <v>585676900</v>
      </c>
      <c r="F97" s="1665">
        <v>566909942</v>
      </c>
      <c r="G97" s="1665">
        <v>588676900</v>
      </c>
      <c r="H97" s="1665">
        <v>569909942</v>
      </c>
    </row>
    <row r="98" spans="1:8">
      <c r="A98" t="s">
        <v>401</v>
      </c>
      <c r="B98" t="s">
        <v>7190</v>
      </c>
      <c r="C98" s="1665">
        <v>89772631</v>
      </c>
      <c r="D98" s="1665">
        <v>91257952</v>
      </c>
      <c r="E98" s="1665">
        <v>91257952</v>
      </c>
      <c r="F98" s="1665">
        <v>89772631</v>
      </c>
      <c r="G98" s="1665">
        <v>91257952</v>
      </c>
      <c r="H98" s="1665">
        <v>89772631</v>
      </c>
    </row>
    <row r="99" spans="1:8">
      <c r="A99" t="s">
        <v>402</v>
      </c>
      <c r="B99" t="s">
        <v>7191</v>
      </c>
      <c r="C99" s="1665">
        <v>8863406</v>
      </c>
      <c r="D99" s="1665">
        <v>8873406</v>
      </c>
      <c r="E99" s="1665">
        <v>8873406</v>
      </c>
      <c r="F99" s="1665">
        <v>8863406</v>
      </c>
      <c r="G99" s="1665">
        <v>8873406</v>
      </c>
      <c r="H99" s="1665">
        <v>8863406</v>
      </c>
    </row>
    <row r="100" spans="1:8">
      <c r="A100" t="s">
        <v>403</v>
      </c>
      <c r="B100" t="s">
        <v>7192</v>
      </c>
      <c r="C100" s="1665">
        <v>144911720</v>
      </c>
      <c r="D100" s="1665">
        <v>146605321</v>
      </c>
      <c r="E100" s="1665">
        <v>146605321</v>
      </c>
      <c r="F100" s="1665">
        <v>144911720</v>
      </c>
      <c r="G100" s="1665">
        <v>367157901</v>
      </c>
      <c r="H100" s="1665">
        <v>365464300</v>
      </c>
    </row>
    <row r="101" spans="1:8">
      <c r="A101" t="s">
        <v>669</v>
      </c>
      <c r="B101" t="s">
        <v>7193</v>
      </c>
      <c r="C101" s="1665">
        <v>513913206</v>
      </c>
      <c r="D101" s="1665">
        <v>523925291</v>
      </c>
      <c r="E101" s="1665">
        <v>523925291</v>
      </c>
      <c r="F101" s="1665">
        <v>513913206</v>
      </c>
      <c r="G101" s="1665">
        <v>523925291</v>
      </c>
      <c r="H101" s="1665">
        <v>513913206</v>
      </c>
    </row>
    <row r="102" spans="1:8">
      <c r="A102" t="s">
        <v>670</v>
      </c>
      <c r="B102" t="s">
        <v>7194</v>
      </c>
      <c r="C102" s="1665">
        <v>323139597</v>
      </c>
      <c r="D102" s="1665">
        <v>337490234</v>
      </c>
      <c r="E102" s="1665">
        <v>337490234</v>
      </c>
      <c r="F102" s="1665">
        <v>323139597</v>
      </c>
      <c r="G102" s="1665">
        <v>337490234</v>
      </c>
      <c r="H102" s="1665">
        <v>323139597</v>
      </c>
    </row>
    <row r="103" spans="1:8">
      <c r="A103" t="s">
        <v>671</v>
      </c>
      <c r="B103" t="s">
        <v>7195</v>
      </c>
      <c r="C103" s="1665">
        <v>1361825598</v>
      </c>
      <c r="D103" s="1665">
        <v>1400194242</v>
      </c>
      <c r="E103" s="1665">
        <v>1400194242</v>
      </c>
      <c r="F103" s="1665">
        <v>1361825598</v>
      </c>
      <c r="G103" s="1665">
        <v>1400194242</v>
      </c>
      <c r="H103" s="1665">
        <v>1361825598</v>
      </c>
    </row>
    <row r="104" spans="1:8">
      <c r="A104" t="s">
        <v>876</v>
      </c>
      <c r="B104" t="s">
        <v>7196</v>
      </c>
      <c r="C104" s="1665">
        <v>57813782</v>
      </c>
      <c r="D104" s="1665">
        <v>60629429</v>
      </c>
      <c r="E104" s="1665">
        <v>60629429</v>
      </c>
      <c r="F104" s="1665">
        <v>57813782</v>
      </c>
      <c r="G104" s="1665">
        <v>119702919</v>
      </c>
      <c r="H104" s="1665">
        <v>116887272</v>
      </c>
    </row>
    <row r="105" spans="1:8">
      <c r="A105" t="s">
        <v>2528</v>
      </c>
      <c r="B105" t="s">
        <v>7197</v>
      </c>
      <c r="C105" s="1665">
        <v>161097792</v>
      </c>
      <c r="D105" s="1665">
        <v>166369544</v>
      </c>
      <c r="E105" s="1665">
        <v>166369544</v>
      </c>
      <c r="F105" s="1665">
        <v>161097792</v>
      </c>
      <c r="G105" s="1665">
        <v>166369544</v>
      </c>
      <c r="H105" s="1665">
        <v>161097792</v>
      </c>
    </row>
    <row r="106" spans="1:8">
      <c r="A106" t="s">
        <v>1187</v>
      </c>
      <c r="B106" t="s">
        <v>7198</v>
      </c>
      <c r="C106" s="1665">
        <v>48206844</v>
      </c>
      <c r="D106" s="1665">
        <v>50216975</v>
      </c>
      <c r="E106" s="1665">
        <v>50216975</v>
      </c>
      <c r="F106" s="1665">
        <v>48206844</v>
      </c>
      <c r="G106" s="1665">
        <v>50216975</v>
      </c>
      <c r="H106" s="1665">
        <v>48206844</v>
      </c>
    </row>
    <row r="107" spans="1:8">
      <c r="A107" t="s">
        <v>712</v>
      </c>
      <c r="B107" t="s">
        <v>7199</v>
      </c>
      <c r="C107" s="1665">
        <v>99494220</v>
      </c>
      <c r="D107" s="1665">
        <v>101794119</v>
      </c>
      <c r="E107" s="1665">
        <v>101794119</v>
      </c>
      <c r="F107" s="1665">
        <v>99494220</v>
      </c>
      <c r="G107" s="1665">
        <v>101794119</v>
      </c>
      <c r="H107" s="1665">
        <v>99494220</v>
      </c>
    </row>
    <row r="108" spans="1:8">
      <c r="A108" t="s">
        <v>769</v>
      </c>
      <c r="B108" t="s">
        <v>7200</v>
      </c>
      <c r="C108" s="1665">
        <v>286663806</v>
      </c>
      <c r="D108" s="1665">
        <v>299114229</v>
      </c>
      <c r="E108" s="1665">
        <v>299114229</v>
      </c>
      <c r="F108" s="1665">
        <v>286663806</v>
      </c>
      <c r="G108" s="1665">
        <v>299114229</v>
      </c>
      <c r="H108" s="1665">
        <v>286663806</v>
      </c>
    </row>
    <row r="109" spans="1:8">
      <c r="A109" t="s">
        <v>672</v>
      </c>
      <c r="B109" t="s">
        <v>7201</v>
      </c>
      <c r="C109" s="1665">
        <v>849054714</v>
      </c>
      <c r="D109" s="1665">
        <v>869325282</v>
      </c>
      <c r="E109" s="1665">
        <v>869325282</v>
      </c>
      <c r="F109" s="1665">
        <v>849054714</v>
      </c>
      <c r="G109" s="1665">
        <v>869325282</v>
      </c>
      <c r="H109" s="1665">
        <v>849054714</v>
      </c>
    </row>
    <row r="110" spans="1:8">
      <c r="A110" t="s">
        <v>673</v>
      </c>
      <c r="B110" t="s">
        <v>7202</v>
      </c>
      <c r="C110" s="1665">
        <v>292265611</v>
      </c>
      <c r="D110" s="1665">
        <v>301306489</v>
      </c>
      <c r="E110" s="1665">
        <v>301306489</v>
      </c>
      <c r="F110" s="1665">
        <v>292265611</v>
      </c>
      <c r="G110" s="1665">
        <v>301306489</v>
      </c>
      <c r="H110" s="1665">
        <v>292265611</v>
      </c>
    </row>
    <row r="111" spans="1:8">
      <c r="A111" t="s">
        <v>674</v>
      </c>
      <c r="B111" t="s">
        <v>7203</v>
      </c>
      <c r="C111" s="1665">
        <v>239565319</v>
      </c>
      <c r="D111" s="1665">
        <v>244714966</v>
      </c>
      <c r="E111" s="1665">
        <v>244714966</v>
      </c>
      <c r="F111" s="1665">
        <v>239565319</v>
      </c>
      <c r="G111" s="1665">
        <v>244714966</v>
      </c>
      <c r="H111" s="1665">
        <v>239565319</v>
      </c>
    </row>
    <row r="112" spans="1:8">
      <c r="A112" t="s">
        <v>1885</v>
      </c>
      <c r="B112" t="s">
        <v>7204</v>
      </c>
      <c r="C112" s="1665">
        <v>2190253739</v>
      </c>
      <c r="D112" s="1665">
        <v>2247057616</v>
      </c>
      <c r="E112" s="1665">
        <v>2247057616</v>
      </c>
      <c r="F112" s="1665">
        <v>2190253739</v>
      </c>
      <c r="G112" s="1665">
        <v>2247057616</v>
      </c>
      <c r="H112" s="1665">
        <v>2190253739</v>
      </c>
    </row>
    <row r="113" spans="1:8">
      <c r="A113" t="s">
        <v>348</v>
      </c>
      <c r="B113" t="s">
        <v>7205</v>
      </c>
      <c r="C113" s="1665">
        <v>3518396865</v>
      </c>
      <c r="D113" s="1665">
        <v>3575785850</v>
      </c>
      <c r="E113" s="1665">
        <v>3575785850</v>
      </c>
      <c r="F113" s="1665">
        <v>3518396865</v>
      </c>
      <c r="G113" s="1665">
        <v>3575785850</v>
      </c>
      <c r="H113" s="1665">
        <v>3518396865</v>
      </c>
    </row>
    <row r="114" spans="1:8">
      <c r="A114" t="s">
        <v>456</v>
      </c>
      <c r="B114" t="s">
        <v>7206</v>
      </c>
      <c r="C114" s="1665">
        <v>1228926209</v>
      </c>
      <c r="D114" s="1665">
        <v>1270899001</v>
      </c>
      <c r="E114" s="1665">
        <v>1270899001</v>
      </c>
      <c r="F114" s="1665">
        <v>1228926209</v>
      </c>
      <c r="G114" s="1665">
        <v>1270899001</v>
      </c>
      <c r="H114" s="1665">
        <v>1228926209</v>
      </c>
    </row>
    <row r="115" spans="1:8">
      <c r="A115" t="s">
        <v>1154</v>
      </c>
      <c r="B115" t="s">
        <v>7207</v>
      </c>
      <c r="C115" s="1665">
        <v>427195969</v>
      </c>
      <c r="D115" s="1665">
        <v>439328631</v>
      </c>
      <c r="E115" s="1665">
        <v>439328631</v>
      </c>
      <c r="F115" s="1665">
        <v>427195969</v>
      </c>
      <c r="G115" s="1665">
        <v>439328631</v>
      </c>
      <c r="H115" s="1665">
        <v>427195969</v>
      </c>
    </row>
    <row r="116" spans="1:8">
      <c r="A116" t="s">
        <v>2306</v>
      </c>
      <c r="B116" t="s">
        <v>7208</v>
      </c>
      <c r="C116" s="1665">
        <v>156553703</v>
      </c>
      <c r="D116" s="1665">
        <v>158539637</v>
      </c>
      <c r="E116" s="1665">
        <v>158539637</v>
      </c>
      <c r="F116" s="1665">
        <v>156553703</v>
      </c>
      <c r="G116" s="1665">
        <v>158539637</v>
      </c>
      <c r="H116" s="1665">
        <v>156553703</v>
      </c>
    </row>
    <row r="117" spans="1:8">
      <c r="A117" t="s">
        <v>1359</v>
      </c>
      <c r="B117" t="s">
        <v>7209</v>
      </c>
      <c r="C117" s="1665">
        <v>3463341967</v>
      </c>
      <c r="D117" s="1665">
        <v>3505398371</v>
      </c>
      <c r="E117" s="1665">
        <v>3450836586</v>
      </c>
      <c r="F117" s="1665">
        <v>3408780182</v>
      </c>
      <c r="G117" s="1665">
        <v>3488281496</v>
      </c>
      <c r="H117" s="1665">
        <v>3446225092</v>
      </c>
    </row>
    <row r="118" spans="1:8">
      <c r="A118" t="s">
        <v>2341</v>
      </c>
      <c r="B118" t="s">
        <v>7210</v>
      </c>
      <c r="C118" s="1665">
        <v>136243804</v>
      </c>
      <c r="D118" s="1665">
        <v>143010476</v>
      </c>
      <c r="E118" s="1665">
        <v>143010476</v>
      </c>
      <c r="F118" s="1665">
        <v>136243804</v>
      </c>
      <c r="G118" s="1665">
        <v>143010476</v>
      </c>
      <c r="H118" s="1665">
        <v>136243804</v>
      </c>
    </row>
    <row r="119" spans="1:8">
      <c r="A119" t="s">
        <v>713</v>
      </c>
      <c r="B119" t="s">
        <v>7211</v>
      </c>
      <c r="C119" s="1665">
        <v>519904931</v>
      </c>
      <c r="D119" s="1665">
        <v>539334425</v>
      </c>
      <c r="E119" s="1665">
        <v>539334425</v>
      </c>
      <c r="F119" s="1665">
        <v>519904931</v>
      </c>
      <c r="G119" s="1665">
        <v>539334425</v>
      </c>
      <c r="H119" s="1665">
        <v>519904931</v>
      </c>
    </row>
    <row r="120" spans="1:8">
      <c r="A120" t="s">
        <v>148</v>
      </c>
      <c r="B120" t="s">
        <v>7212</v>
      </c>
      <c r="C120" s="1665">
        <v>201653073</v>
      </c>
      <c r="D120" s="1665">
        <v>207642393</v>
      </c>
      <c r="E120" s="1665">
        <v>207642393</v>
      </c>
      <c r="F120" s="1665">
        <v>201653073</v>
      </c>
      <c r="G120" s="1665">
        <v>207642393</v>
      </c>
      <c r="H120" s="1665">
        <v>201653073</v>
      </c>
    </row>
    <row r="121" spans="1:8">
      <c r="A121" t="s">
        <v>1829</v>
      </c>
      <c r="B121" t="s">
        <v>7213</v>
      </c>
      <c r="C121" s="1665">
        <v>234055736</v>
      </c>
      <c r="D121" s="1665">
        <v>240097664</v>
      </c>
      <c r="E121" s="1665">
        <v>240097664</v>
      </c>
      <c r="F121" s="1665">
        <v>234055736</v>
      </c>
      <c r="G121" s="1665">
        <v>240097664</v>
      </c>
      <c r="H121" s="1665">
        <v>234055736</v>
      </c>
    </row>
    <row r="122" spans="1:8">
      <c r="A122" t="s">
        <v>881</v>
      </c>
      <c r="B122" t="s">
        <v>7214</v>
      </c>
      <c r="C122" s="1665">
        <v>5570429790</v>
      </c>
      <c r="D122" s="1665">
        <v>5796236558</v>
      </c>
      <c r="E122" s="1665">
        <v>5796236558</v>
      </c>
      <c r="F122" s="1665">
        <v>5570429790</v>
      </c>
      <c r="G122" s="1665">
        <v>5796236558</v>
      </c>
      <c r="H122" s="1665">
        <v>5570429790</v>
      </c>
    </row>
    <row r="123" spans="1:8">
      <c r="A123" t="s">
        <v>1860</v>
      </c>
      <c r="B123" t="s">
        <v>7215</v>
      </c>
      <c r="C123" s="1665">
        <v>3467120867</v>
      </c>
      <c r="D123" s="1665">
        <v>3583509587</v>
      </c>
      <c r="E123" s="1665">
        <v>3583509587</v>
      </c>
      <c r="F123" s="1665">
        <v>3467120867</v>
      </c>
      <c r="G123" s="1665">
        <v>3583509587</v>
      </c>
      <c r="H123" s="1665">
        <v>3467120867</v>
      </c>
    </row>
    <row r="124" spans="1:8">
      <c r="A124" t="s">
        <v>57</v>
      </c>
      <c r="B124" t="s">
        <v>7216</v>
      </c>
      <c r="C124" s="1665">
        <v>405523768</v>
      </c>
      <c r="D124" s="1665">
        <v>423081141</v>
      </c>
      <c r="E124" s="1665">
        <v>423081141</v>
      </c>
      <c r="F124" s="1665">
        <v>405523768</v>
      </c>
      <c r="G124" s="1665">
        <v>423081141</v>
      </c>
      <c r="H124" s="1665">
        <v>405523768</v>
      </c>
    </row>
    <row r="125" spans="1:8">
      <c r="A125" t="s">
        <v>2283</v>
      </c>
      <c r="B125" t="s">
        <v>7217</v>
      </c>
      <c r="C125" s="1665">
        <v>1739877330</v>
      </c>
      <c r="D125" s="1665">
        <v>1798888203</v>
      </c>
      <c r="E125" s="1665">
        <v>1798888203</v>
      </c>
      <c r="F125" s="1665">
        <v>1739877330</v>
      </c>
      <c r="G125" s="1665">
        <v>2060558043</v>
      </c>
      <c r="H125" s="1665">
        <v>2001547170</v>
      </c>
    </row>
    <row r="126" spans="1:8">
      <c r="A126" t="s">
        <v>1679</v>
      </c>
      <c r="B126" t="s">
        <v>7218</v>
      </c>
      <c r="C126" s="1665">
        <v>3564244775</v>
      </c>
      <c r="D126" s="1665">
        <v>3586220579</v>
      </c>
      <c r="E126" s="1665">
        <v>3586220579</v>
      </c>
      <c r="F126" s="1665">
        <v>3564244775</v>
      </c>
      <c r="G126" s="1665">
        <v>3586220579</v>
      </c>
      <c r="H126" s="1665">
        <v>3564244775</v>
      </c>
    </row>
    <row r="127" spans="1:8">
      <c r="A127" t="s">
        <v>714</v>
      </c>
      <c r="B127" t="s">
        <v>7219</v>
      </c>
      <c r="C127" s="1665">
        <v>283633355</v>
      </c>
      <c r="D127" s="1665">
        <v>295135447</v>
      </c>
      <c r="E127" s="1665">
        <v>295135447</v>
      </c>
      <c r="F127" s="1665">
        <v>283633355</v>
      </c>
      <c r="G127" s="1665">
        <v>330947857</v>
      </c>
      <c r="H127" s="1665">
        <v>319445765</v>
      </c>
    </row>
    <row r="128" spans="1:8">
      <c r="A128" t="s">
        <v>1315</v>
      </c>
      <c r="B128" t="s">
        <v>7220</v>
      </c>
      <c r="C128" s="1665">
        <v>988514765</v>
      </c>
      <c r="D128" s="1665">
        <v>1038407823</v>
      </c>
      <c r="E128" s="1665">
        <v>1038407823</v>
      </c>
      <c r="F128" s="1665">
        <v>988514765</v>
      </c>
      <c r="G128" s="1665">
        <v>1038407823</v>
      </c>
      <c r="H128" s="1665">
        <v>988514765</v>
      </c>
    </row>
    <row r="129" spans="1:8">
      <c r="A129" t="s">
        <v>715</v>
      </c>
      <c r="B129" t="s">
        <v>7221</v>
      </c>
      <c r="C129" s="1665">
        <v>53358795</v>
      </c>
      <c r="D129" s="1665">
        <v>55603659</v>
      </c>
      <c r="E129" s="1665">
        <v>55603659</v>
      </c>
      <c r="F129" s="1665">
        <v>53358795</v>
      </c>
      <c r="G129" s="1665">
        <v>55603659</v>
      </c>
      <c r="H129" s="1665">
        <v>53358795</v>
      </c>
    </row>
    <row r="130" spans="1:8">
      <c r="A130" t="s">
        <v>492</v>
      </c>
      <c r="B130" t="s">
        <v>7222</v>
      </c>
      <c r="C130" s="1665">
        <v>83525487</v>
      </c>
      <c r="D130" s="1665">
        <v>89124447</v>
      </c>
      <c r="E130" s="1665">
        <v>89124447</v>
      </c>
      <c r="F130" s="1665">
        <v>83525487</v>
      </c>
      <c r="G130" s="1665">
        <v>89124447</v>
      </c>
      <c r="H130" s="1665">
        <v>83525487</v>
      </c>
    </row>
    <row r="131" spans="1:8">
      <c r="A131" t="s">
        <v>933</v>
      </c>
      <c r="B131" t="s">
        <v>7223</v>
      </c>
      <c r="C131" s="1665">
        <v>732510441</v>
      </c>
      <c r="D131" s="1665">
        <v>758423240</v>
      </c>
      <c r="E131" s="1665">
        <v>758423240</v>
      </c>
      <c r="F131" s="1665">
        <v>732510441</v>
      </c>
      <c r="G131" s="1665">
        <v>758423240</v>
      </c>
      <c r="H131" s="1665">
        <v>732510441</v>
      </c>
    </row>
    <row r="132" spans="1:8">
      <c r="A132" t="s">
        <v>934</v>
      </c>
      <c r="B132" t="s">
        <v>7224</v>
      </c>
      <c r="C132" s="1665">
        <v>115347923</v>
      </c>
      <c r="D132" s="1665">
        <v>117379281</v>
      </c>
      <c r="E132" s="1665">
        <v>117379281</v>
      </c>
      <c r="F132" s="1665">
        <v>115347923</v>
      </c>
      <c r="G132" s="1665">
        <v>510308171</v>
      </c>
      <c r="H132" s="1665">
        <v>508276813</v>
      </c>
    </row>
    <row r="133" spans="1:8">
      <c r="A133" t="s">
        <v>776</v>
      </c>
      <c r="B133" t="s">
        <v>7225</v>
      </c>
      <c r="C133" s="1665">
        <v>431466847</v>
      </c>
      <c r="D133" s="1665">
        <v>439962897</v>
      </c>
      <c r="E133" s="1665">
        <v>430389912</v>
      </c>
      <c r="F133" s="1665">
        <v>421893862</v>
      </c>
      <c r="G133" s="1665">
        <v>819255052</v>
      </c>
      <c r="H133" s="1665">
        <v>810759002</v>
      </c>
    </row>
    <row r="134" spans="1:8">
      <c r="A134" t="s">
        <v>1806</v>
      </c>
      <c r="B134" t="s">
        <v>7226</v>
      </c>
      <c r="C134" s="1665">
        <v>242866070</v>
      </c>
      <c r="D134" s="1665">
        <v>246976240</v>
      </c>
      <c r="E134" s="1665">
        <v>245367330</v>
      </c>
      <c r="F134" s="1665">
        <v>241257160</v>
      </c>
      <c r="G134" s="1665">
        <v>388485810</v>
      </c>
      <c r="H134" s="1665">
        <v>384375640</v>
      </c>
    </row>
    <row r="135" spans="1:8">
      <c r="A135" t="s">
        <v>1725</v>
      </c>
      <c r="B135" t="s">
        <v>7227</v>
      </c>
      <c r="C135" s="1665">
        <v>517006856</v>
      </c>
      <c r="D135" s="1665">
        <v>542529655</v>
      </c>
      <c r="E135" s="1665">
        <v>542529655</v>
      </c>
      <c r="F135" s="1665">
        <v>517006856</v>
      </c>
      <c r="G135" s="1665">
        <v>542529655</v>
      </c>
      <c r="H135" s="1665">
        <v>517006856</v>
      </c>
    </row>
    <row r="136" spans="1:8">
      <c r="A136" t="s">
        <v>1726</v>
      </c>
      <c r="B136" t="s">
        <v>7228</v>
      </c>
      <c r="C136" s="1665">
        <v>60147607</v>
      </c>
      <c r="D136" s="1665">
        <v>63569357</v>
      </c>
      <c r="E136" s="1665">
        <v>63569357</v>
      </c>
      <c r="F136" s="1665">
        <v>60147607</v>
      </c>
      <c r="G136" s="1665">
        <v>63569357</v>
      </c>
      <c r="H136" s="1665">
        <v>60147607</v>
      </c>
    </row>
    <row r="137" spans="1:8">
      <c r="A137" t="s">
        <v>743</v>
      </c>
      <c r="B137" t="s">
        <v>7229</v>
      </c>
      <c r="C137" s="1665">
        <v>226055151</v>
      </c>
      <c r="D137" s="1665">
        <v>237241100</v>
      </c>
      <c r="E137" s="1665">
        <v>237241100</v>
      </c>
      <c r="F137" s="1665">
        <v>226055151</v>
      </c>
      <c r="G137" s="1665">
        <v>237241100</v>
      </c>
      <c r="H137" s="1665">
        <v>226055151</v>
      </c>
    </row>
    <row r="138" spans="1:8">
      <c r="A138" t="s">
        <v>744</v>
      </c>
      <c r="B138" t="s">
        <v>7230</v>
      </c>
      <c r="C138" s="1665">
        <v>228997979</v>
      </c>
      <c r="D138" s="1665">
        <v>242776137</v>
      </c>
      <c r="E138" s="1665">
        <v>242776137</v>
      </c>
      <c r="F138" s="1665">
        <v>228997979</v>
      </c>
      <c r="G138" s="1665">
        <v>242776137</v>
      </c>
      <c r="H138" s="1665">
        <v>228997979</v>
      </c>
    </row>
    <row r="139" spans="1:8">
      <c r="A139" t="s">
        <v>1875</v>
      </c>
      <c r="B139" t="s">
        <v>7231</v>
      </c>
      <c r="C139" s="1665">
        <v>33918160</v>
      </c>
      <c r="D139" s="1665">
        <v>35839951</v>
      </c>
      <c r="E139" s="1665">
        <v>35839951</v>
      </c>
      <c r="F139" s="1665">
        <v>33918160</v>
      </c>
      <c r="G139" s="1665">
        <v>35839951</v>
      </c>
      <c r="H139" s="1665">
        <v>33918160</v>
      </c>
    </row>
    <row r="140" spans="1:8">
      <c r="A140" t="s">
        <v>745</v>
      </c>
      <c r="B140" t="s">
        <v>7232</v>
      </c>
      <c r="C140" s="1665">
        <v>470147334</v>
      </c>
      <c r="D140" s="1665">
        <v>482542015</v>
      </c>
      <c r="E140" s="1665">
        <v>471093614</v>
      </c>
      <c r="F140" s="1665">
        <v>458698933</v>
      </c>
      <c r="G140" s="1665">
        <v>471093614</v>
      </c>
      <c r="H140" s="1665">
        <v>458698933</v>
      </c>
    </row>
    <row r="141" spans="1:8">
      <c r="A141" t="s">
        <v>1952</v>
      </c>
      <c r="B141" t="s">
        <v>7233</v>
      </c>
      <c r="C141" s="1665">
        <v>40742796</v>
      </c>
      <c r="D141" s="1665">
        <v>43750487</v>
      </c>
      <c r="E141" s="1665">
        <v>43750487</v>
      </c>
      <c r="F141" s="1665">
        <v>40742796</v>
      </c>
      <c r="G141" s="1665">
        <v>43750487</v>
      </c>
      <c r="H141" s="1665">
        <v>40742796</v>
      </c>
    </row>
    <row r="142" spans="1:8">
      <c r="A142" t="s">
        <v>1953</v>
      </c>
      <c r="B142" t="s">
        <v>7234</v>
      </c>
      <c r="C142" s="1665">
        <v>259477759</v>
      </c>
      <c r="D142" s="1665">
        <v>267069929</v>
      </c>
      <c r="E142" s="1665">
        <v>267069929</v>
      </c>
      <c r="F142" s="1665">
        <v>259477759</v>
      </c>
      <c r="G142" s="1665">
        <v>856710369</v>
      </c>
      <c r="H142" s="1665">
        <v>849118199</v>
      </c>
    </row>
    <row r="143" spans="1:8">
      <c r="A143" t="s">
        <v>2431</v>
      </c>
      <c r="B143" t="s">
        <v>7235</v>
      </c>
      <c r="C143" s="1665">
        <v>89258314</v>
      </c>
      <c r="D143" s="1665">
        <v>90923744</v>
      </c>
      <c r="E143" s="1665">
        <v>90923744</v>
      </c>
      <c r="F143" s="1665">
        <v>89258314</v>
      </c>
      <c r="G143" s="1665">
        <v>90923744</v>
      </c>
      <c r="H143" s="1665">
        <v>89258314</v>
      </c>
    </row>
    <row r="144" spans="1:8">
      <c r="A144" t="s">
        <v>2539</v>
      </c>
      <c r="B144" t="s">
        <v>7236</v>
      </c>
      <c r="C144" s="1665">
        <v>76876594</v>
      </c>
      <c r="D144" s="1665">
        <v>78643044</v>
      </c>
      <c r="E144" s="1665">
        <v>78643044</v>
      </c>
      <c r="F144" s="1665">
        <v>76876594</v>
      </c>
      <c r="G144" s="1665">
        <v>78643044</v>
      </c>
      <c r="H144" s="1665">
        <v>76876594</v>
      </c>
    </row>
    <row r="145" spans="1:8">
      <c r="A145" t="s">
        <v>1640</v>
      </c>
      <c r="B145" t="s">
        <v>7237</v>
      </c>
      <c r="C145" s="1665">
        <v>534828321</v>
      </c>
      <c r="D145" s="1665">
        <v>551399901</v>
      </c>
      <c r="E145" s="1665">
        <v>531439121</v>
      </c>
      <c r="F145" s="1665">
        <v>514867541</v>
      </c>
      <c r="G145" s="1665">
        <v>531439121</v>
      </c>
      <c r="H145" s="1665">
        <v>514867541</v>
      </c>
    </row>
    <row r="146" spans="1:8">
      <c r="A146" t="s">
        <v>2432</v>
      </c>
      <c r="B146" t="s">
        <v>7238</v>
      </c>
      <c r="C146" s="1665">
        <v>4648058789</v>
      </c>
      <c r="D146" s="1665">
        <v>4699752799</v>
      </c>
      <c r="E146" s="1665">
        <v>4574998739</v>
      </c>
      <c r="F146" s="1665">
        <v>4523304729</v>
      </c>
      <c r="G146" s="1665">
        <v>9017195181</v>
      </c>
      <c r="H146" s="1665">
        <v>8965501171</v>
      </c>
    </row>
    <row r="147" spans="1:8">
      <c r="A147" t="s">
        <v>285</v>
      </c>
      <c r="B147" t="s">
        <v>7239</v>
      </c>
      <c r="C147" s="1665">
        <v>310893929</v>
      </c>
      <c r="D147" s="1665">
        <v>323115929</v>
      </c>
      <c r="E147" s="1665">
        <v>308523504</v>
      </c>
      <c r="F147" s="1665">
        <v>296301504</v>
      </c>
      <c r="G147" s="1665">
        <v>308523504</v>
      </c>
      <c r="H147" s="1665">
        <v>296301504</v>
      </c>
    </row>
    <row r="148" spans="1:8">
      <c r="A148" t="s">
        <v>1469</v>
      </c>
      <c r="B148" t="s">
        <v>7240</v>
      </c>
      <c r="C148" s="1665">
        <v>138236637</v>
      </c>
      <c r="D148" s="1665">
        <v>143786671</v>
      </c>
      <c r="E148" s="1665">
        <v>143786671</v>
      </c>
      <c r="F148" s="1665">
        <v>138236637</v>
      </c>
      <c r="G148" s="1665">
        <v>143786671</v>
      </c>
      <c r="H148" s="1665">
        <v>138236637</v>
      </c>
    </row>
    <row r="149" spans="1:8">
      <c r="A149" t="s">
        <v>43</v>
      </c>
      <c r="B149" t="s">
        <v>7241</v>
      </c>
      <c r="C149" s="1665">
        <v>1033402418</v>
      </c>
      <c r="D149" s="1665">
        <v>1076617610</v>
      </c>
      <c r="E149" s="1665">
        <v>1076617610</v>
      </c>
      <c r="F149" s="1665">
        <v>1033402418</v>
      </c>
      <c r="G149" s="1665">
        <v>1076617610</v>
      </c>
      <c r="H149" s="1665">
        <v>1033402418</v>
      </c>
    </row>
    <row r="150" spans="1:8">
      <c r="A150" t="s">
        <v>1311</v>
      </c>
      <c r="B150" t="s">
        <v>7242</v>
      </c>
      <c r="C150" s="1665">
        <v>377544480</v>
      </c>
      <c r="D150" s="1665">
        <v>396748210</v>
      </c>
      <c r="E150" s="1665">
        <v>396748210</v>
      </c>
      <c r="F150" s="1665">
        <v>377544480</v>
      </c>
      <c r="G150" s="1665">
        <v>396748210</v>
      </c>
      <c r="H150" s="1665">
        <v>377544480</v>
      </c>
    </row>
    <row r="151" spans="1:8">
      <c r="A151" t="s">
        <v>2542</v>
      </c>
      <c r="B151" t="s">
        <v>7243</v>
      </c>
      <c r="C151" s="1665">
        <v>65700157</v>
      </c>
      <c r="D151" s="1665">
        <v>68091560</v>
      </c>
      <c r="E151" s="1665">
        <v>68091560</v>
      </c>
      <c r="F151" s="1665">
        <v>65700157</v>
      </c>
      <c r="G151" s="1665">
        <v>68091560</v>
      </c>
      <c r="H151" s="1665">
        <v>65700157</v>
      </c>
    </row>
    <row r="152" spans="1:8">
      <c r="A152" t="s">
        <v>1470</v>
      </c>
      <c r="B152" t="s">
        <v>7244</v>
      </c>
      <c r="C152" s="1665">
        <v>86629441</v>
      </c>
      <c r="D152" s="1665">
        <v>89715148</v>
      </c>
      <c r="E152" s="1665">
        <v>89715148</v>
      </c>
      <c r="F152" s="1665">
        <v>86629441</v>
      </c>
      <c r="G152" s="1665">
        <v>89715148</v>
      </c>
      <c r="H152" s="1665">
        <v>86629441</v>
      </c>
    </row>
    <row r="153" spans="1:8">
      <c r="A153" t="s">
        <v>71</v>
      </c>
      <c r="B153" t="s">
        <v>7245</v>
      </c>
      <c r="C153" s="1665">
        <v>416598127</v>
      </c>
      <c r="D153" s="1665">
        <v>428583433</v>
      </c>
      <c r="E153" s="1665">
        <v>428583433</v>
      </c>
      <c r="F153" s="1665">
        <v>416598127</v>
      </c>
      <c r="G153" s="1665">
        <v>428583433</v>
      </c>
      <c r="H153" s="1665">
        <v>416598127</v>
      </c>
    </row>
    <row r="154" spans="1:8">
      <c r="A154" t="s">
        <v>2167</v>
      </c>
      <c r="B154" t="s">
        <v>7246</v>
      </c>
      <c r="C154" s="1665">
        <v>325546771</v>
      </c>
      <c r="D154" s="1665">
        <v>336503721</v>
      </c>
      <c r="E154" s="1665">
        <v>336503721</v>
      </c>
      <c r="F154" s="1665">
        <v>325546771</v>
      </c>
      <c r="G154" s="1665">
        <v>336503721</v>
      </c>
      <c r="H154" s="1665">
        <v>325546771</v>
      </c>
    </row>
    <row r="155" spans="1:8">
      <c r="A155" t="s">
        <v>716</v>
      </c>
      <c r="B155" t="s">
        <v>7247</v>
      </c>
      <c r="C155" s="1665">
        <v>128884518</v>
      </c>
      <c r="D155" s="1665">
        <v>135517508</v>
      </c>
      <c r="E155" s="1665">
        <v>135517508</v>
      </c>
      <c r="F155" s="1665">
        <v>128884518</v>
      </c>
      <c r="G155" s="1665">
        <v>135517508</v>
      </c>
      <c r="H155" s="1665">
        <v>128884518</v>
      </c>
    </row>
    <row r="156" spans="1:8">
      <c r="A156" t="s">
        <v>2168</v>
      </c>
      <c r="B156" t="s">
        <v>7248</v>
      </c>
      <c r="C156" s="1665">
        <v>143635838</v>
      </c>
      <c r="D156" s="1665">
        <v>145193058</v>
      </c>
      <c r="E156" s="1665">
        <v>145193058</v>
      </c>
      <c r="F156" s="1665">
        <v>143635838</v>
      </c>
      <c r="G156" s="1665">
        <v>145193058</v>
      </c>
      <c r="H156" s="1665">
        <v>143635838</v>
      </c>
    </row>
    <row r="157" spans="1:8">
      <c r="A157" t="s">
        <v>1670</v>
      </c>
      <c r="B157" t="s">
        <v>7249</v>
      </c>
      <c r="C157" s="1665">
        <v>75790760</v>
      </c>
      <c r="D157" s="1665">
        <v>77971980</v>
      </c>
      <c r="E157" s="1665">
        <v>77971980</v>
      </c>
      <c r="F157" s="1665">
        <v>75790760</v>
      </c>
      <c r="G157" s="1665">
        <v>330586650</v>
      </c>
      <c r="H157" s="1665">
        <v>328405430</v>
      </c>
    </row>
    <row r="158" spans="1:8">
      <c r="A158" t="s">
        <v>1671</v>
      </c>
      <c r="B158" t="s">
        <v>7250</v>
      </c>
      <c r="C158" s="1665">
        <v>53340947</v>
      </c>
      <c r="D158" s="1665">
        <v>55107250</v>
      </c>
      <c r="E158" s="1665">
        <v>55107250</v>
      </c>
      <c r="F158" s="1665">
        <v>53340947</v>
      </c>
      <c r="G158" s="1665">
        <v>55107250</v>
      </c>
      <c r="H158" s="1665">
        <v>53340947</v>
      </c>
    </row>
    <row r="159" spans="1:8">
      <c r="A159" t="s">
        <v>795</v>
      </c>
      <c r="B159" t="s">
        <v>7251</v>
      </c>
      <c r="C159" s="1665">
        <v>353996327</v>
      </c>
      <c r="D159" s="1665">
        <v>355028867</v>
      </c>
      <c r="E159" s="1665">
        <v>355028867</v>
      </c>
      <c r="F159" s="1665">
        <v>353996327</v>
      </c>
      <c r="G159" s="1665">
        <v>355028867</v>
      </c>
      <c r="H159" s="1665">
        <v>353996327</v>
      </c>
    </row>
    <row r="160" spans="1:8">
      <c r="A160" t="s">
        <v>796</v>
      </c>
      <c r="B160" t="s">
        <v>7252</v>
      </c>
      <c r="C160" s="1665">
        <v>103182778</v>
      </c>
      <c r="D160" s="1665">
        <v>106937338</v>
      </c>
      <c r="E160" s="1665">
        <v>106937338</v>
      </c>
      <c r="F160" s="1665">
        <v>103182778</v>
      </c>
      <c r="G160" s="1665">
        <v>106937338</v>
      </c>
      <c r="H160" s="1665">
        <v>103182778</v>
      </c>
    </row>
    <row r="161" spans="1:8">
      <c r="A161" t="s">
        <v>815</v>
      </c>
      <c r="B161" t="s">
        <v>7253</v>
      </c>
      <c r="C161" s="1665">
        <v>141154009</v>
      </c>
      <c r="D161" s="1665">
        <v>145136789</v>
      </c>
      <c r="E161" s="1665">
        <v>142238849</v>
      </c>
      <c r="F161" s="1665">
        <v>138256069</v>
      </c>
      <c r="G161" s="1665">
        <v>211037809</v>
      </c>
      <c r="H161" s="1665">
        <v>207055029</v>
      </c>
    </row>
    <row r="162" spans="1:8">
      <c r="A162" t="s">
        <v>577</v>
      </c>
      <c r="B162" t="s">
        <v>7254</v>
      </c>
      <c r="C162" s="1665">
        <v>187369112</v>
      </c>
      <c r="D162" s="1665">
        <v>198327623</v>
      </c>
      <c r="E162" s="1665">
        <v>198327623</v>
      </c>
      <c r="F162" s="1665">
        <v>187369112</v>
      </c>
      <c r="G162" s="1665">
        <v>198327623</v>
      </c>
      <c r="H162" s="1665">
        <v>187369112</v>
      </c>
    </row>
    <row r="163" spans="1:8">
      <c r="A163" t="s">
        <v>2368</v>
      </c>
      <c r="B163" t="s">
        <v>7255</v>
      </c>
      <c r="C163" s="1665">
        <v>95300488</v>
      </c>
      <c r="D163" s="1665">
        <v>98693798</v>
      </c>
      <c r="E163" s="1665">
        <v>98693798</v>
      </c>
      <c r="F163" s="1665">
        <v>95300488</v>
      </c>
      <c r="G163" s="1665">
        <v>98693798</v>
      </c>
      <c r="H163" s="1665">
        <v>95300488</v>
      </c>
    </row>
    <row r="164" spans="1:8">
      <c r="A164" t="s">
        <v>816</v>
      </c>
      <c r="B164" t="s">
        <v>7256</v>
      </c>
      <c r="C164" s="1665">
        <v>113440592</v>
      </c>
      <c r="D164" s="1665">
        <v>115949692</v>
      </c>
      <c r="E164" s="1665">
        <v>115949692</v>
      </c>
      <c r="F164" s="1665">
        <v>113440592</v>
      </c>
      <c r="G164" s="1665">
        <v>115949692</v>
      </c>
      <c r="H164" s="1665">
        <v>113440592</v>
      </c>
    </row>
    <row r="165" spans="1:8">
      <c r="A165" t="s">
        <v>584</v>
      </c>
      <c r="B165" t="s">
        <v>7257</v>
      </c>
      <c r="C165" s="1665">
        <v>12373894065</v>
      </c>
      <c r="D165" s="1665">
        <v>12588665884</v>
      </c>
      <c r="E165" s="1665">
        <v>12588665884</v>
      </c>
      <c r="F165" s="1665">
        <v>12373894065</v>
      </c>
      <c r="G165" s="1665">
        <v>12588665884</v>
      </c>
      <c r="H165" s="1665">
        <v>12373894065</v>
      </c>
    </row>
    <row r="166" spans="1:8">
      <c r="A166" t="s">
        <v>1641</v>
      </c>
      <c r="B166" t="s">
        <v>7258</v>
      </c>
      <c r="C166" s="1665">
        <v>1037932830</v>
      </c>
      <c r="D166" s="1665">
        <v>1068995616</v>
      </c>
      <c r="E166" s="1665">
        <v>1068995616</v>
      </c>
      <c r="F166" s="1665">
        <v>1037932830</v>
      </c>
      <c r="G166" s="1665">
        <v>1068995616</v>
      </c>
      <c r="H166" s="1665">
        <v>1037932830</v>
      </c>
    </row>
    <row r="167" spans="1:8">
      <c r="A167" t="s">
        <v>2502</v>
      </c>
      <c r="B167" t="s">
        <v>7259</v>
      </c>
      <c r="C167" s="1665">
        <v>1148113957</v>
      </c>
      <c r="D167" s="1665">
        <v>1172168014</v>
      </c>
      <c r="E167" s="1665">
        <v>1172168014</v>
      </c>
      <c r="F167" s="1665">
        <v>1148113957</v>
      </c>
      <c r="G167" s="1665">
        <v>1172168014</v>
      </c>
      <c r="H167" s="1665">
        <v>1148113957</v>
      </c>
    </row>
    <row r="168" spans="1:8">
      <c r="A168" t="s">
        <v>1687</v>
      </c>
      <c r="B168" t="s">
        <v>7260</v>
      </c>
      <c r="C168" s="1665">
        <v>517142877</v>
      </c>
      <c r="D168" s="1665">
        <v>534350676</v>
      </c>
      <c r="E168" s="1665">
        <v>534350676</v>
      </c>
      <c r="F168" s="1665">
        <v>517142877</v>
      </c>
      <c r="G168" s="1665">
        <v>534350676</v>
      </c>
      <c r="H168" s="1665">
        <v>517142877</v>
      </c>
    </row>
    <row r="169" spans="1:8">
      <c r="A169" t="s">
        <v>1425</v>
      </c>
      <c r="B169" t="s">
        <v>7261</v>
      </c>
      <c r="C169" s="1665">
        <v>33521180480</v>
      </c>
      <c r="D169" s="1665">
        <v>33984187742</v>
      </c>
      <c r="E169" s="1665">
        <v>33984187742</v>
      </c>
      <c r="F169" s="1665">
        <v>33521180480</v>
      </c>
      <c r="G169" s="1665">
        <v>33984187742</v>
      </c>
      <c r="H169" s="1665">
        <v>33521180480</v>
      </c>
    </row>
    <row r="170" spans="1:8">
      <c r="A170" t="s">
        <v>2530</v>
      </c>
      <c r="B170" t="s">
        <v>7262</v>
      </c>
      <c r="C170" s="1665">
        <v>13918786847</v>
      </c>
      <c r="D170" s="1665">
        <v>14171035120</v>
      </c>
      <c r="E170" s="1665">
        <v>14171035120</v>
      </c>
      <c r="F170" s="1665">
        <v>13918786847</v>
      </c>
      <c r="G170" s="1665">
        <v>14171035120</v>
      </c>
      <c r="H170" s="1665">
        <v>13918786847</v>
      </c>
    </row>
    <row r="171" spans="1:8">
      <c r="A171" t="s">
        <v>649</v>
      </c>
      <c r="B171" t="s">
        <v>7263</v>
      </c>
      <c r="C171" s="1665">
        <v>975217429</v>
      </c>
      <c r="D171" s="1665">
        <v>999873342</v>
      </c>
      <c r="E171" s="1665">
        <v>999873342</v>
      </c>
      <c r="F171" s="1665">
        <v>975217429</v>
      </c>
      <c r="G171" s="1665">
        <v>999873342</v>
      </c>
      <c r="H171" s="1665">
        <v>975217429</v>
      </c>
    </row>
    <row r="172" spans="1:8">
      <c r="A172" t="s">
        <v>650</v>
      </c>
      <c r="B172" t="s">
        <v>7264</v>
      </c>
      <c r="C172" s="1665">
        <v>49322240323</v>
      </c>
      <c r="D172" s="1665">
        <v>50010984443</v>
      </c>
      <c r="E172" s="1665">
        <v>50010984443</v>
      </c>
      <c r="F172" s="1665">
        <v>49322240323</v>
      </c>
      <c r="G172" s="1665">
        <v>50010984443</v>
      </c>
      <c r="H172" s="1665">
        <v>49322240323</v>
      </c>
    </row>
    <row r="173" spans="1:8">
      <c r="A173" t="s">
        <v>218</v>
      </c>
      <c r="B173" t="s">
        <v>7265</v>
      </c>
      <c r="C173" s="1665">
        <v>950355138</v>
      </c>
      <c r="D173" s="1665">
        <v>983206307</v>
      </c>
      <c r="E173" s="1665">
        <v>983206307</v>
      </c>
      <c r="F173" s="1665">
        <v>950355138</v>
      </c>
      <c r="G173" s="1665">
        <v>983206307</v>
      </c>
      <c r="H173" s="1665">
        <v>950355138</v>
      </c>
    </row>
    <row r="174" spans="1:8">
      <c r="A174" t="s">
        <v>1583</v>
      </c>
      <c r="B174" t="s">
        <v>7266</v>
      </c>
      <c r="C174" s="1665">
        <v>6507777884</v>
      </c>
      <c r="D174" s="1665">
        <v>6603855064</v>
      </c>
      <c r="E174" s="1665">
        <v>6603855064</v>
      </c>
      <c r="F174" s="1665">
        <v>6507777884</v>
      </c>
      <c r="G174" s="1665">
        <v>6603855064</v>
      </c>
      <c r="H174" s="1665">
        <v>6507777884</v>
      </c>
    </row>
    <row r="175" spans="1:8">
      <c r="A175" t="s">
        <v>1184</v>
      </c>
      <c r="B175" t="s">
        <v>7267</v>
      </c>
      <c r="C175" s="1665">
        <v>5588664471</v>
      </c>
      <c r="D175" s="1665">
        <v>5738090640</v>
      </c>
      <c r="E175" s="1665">
        <v>5738090640</v>
      </c>
      <c r="F175" s="1665">
        <v>5588664471</v>
      </c>
      <c r="G175" s="1665">
        <v>5738090640</v>
      </c>
      <c r="H175" s="1665">
        <v>5588664471</v>
      </c>
    </row>
    <row r="176" spans="1:8">
      <c r="A176" t="s">
        <v>878</v>
      </c>
      <c r="B176" t="s">
        <v>7268</v>
      </c>
      <c r="C176" s="1665">
        <v>206485594</v>
      </c>
      <c r="D176" s="1665">
        <v>214036988</v>
      </c>
      <c r="E176" s="1665">
        <v>214036988</v>
      </c>
      <c r="F176" s="1665">
        <v>206485594</v>
      </c>
      <c r="G176" s="1665">
        <v>214036988</v>
      </c>
      <c r="H176" s="1665">
        <v>206485594</v>
      </c>
    </row>
    <row r="177" spans="1:8">
      <c r="A177" t="s">
        <v>1438</v>
      </c>
      <c r="B177" t="s">
        <v>7269</v>
      </c>
      <c r="C177" s="1665">
        <v>790021545</v>
      </c>
      <c r="D177" s="1665">
        <v>816784611</v>
      </c>
      <c r="E177" s="1665">
        <v>816784611</v>
      </c>
      <c r="F177" s="1665">
        <v>790021545</v>
      </c>
      <c r="G177" s="1665">
        <v>816784611</v>
      </c>
      <c r="H177" s="1665">
        <v>790021545</v>
      </c>
    </row>
    <row r="178" spans="1:8">
      <c r="A178" t="s">
        <v>253</v>
      </c>
      <c r="B178" t="s">
        <v>7270</v>
      </c>
      <c r="C178" s="1665">
        <v>2374836642</v>
      </c>
      <c r="D178" s="1665">
        <v>2418480943</v>
      </c>
      <c r="E178" s="1665">
        <v>2418480943</v>
      </c>
      <c r="F178" s="1665">
        <v>2374836642</v>
      </c>
      <c r="G178" s="1665">
        <v>2418480943</v>
      </c>
      <c r="H178" s="1665">
        <v>2374836642</v>
      </c>
    </row>
    <row r="179" spans="1:8">
      <c r="A179" t="s">
        <v>254</v>
      </c>
      <c r="B179" t="s">
        <v>7271</v>
      </c>
      <c r="C179" s="1665">
        <v>175815744</v>
      </c>
      <c r="D179" s="1665">
        <v>180963062</v>
      </c>
      <c r="E179" s="1665">
        <v>180963062</v>
      </c>
      <c r="F179" s="1665">
        <v>175815744</v>
      </c>
      <c r="G179" s="1665">
        <v>180963062</v>
      </c>
      <c r="H179" s="1665">
        <v>175815744</v>
      </c>
    </row>
    <row r="180" spans="1:8">
      <c r="A180" t="s">
        <v>1436</v>
      </c>
      <c r="B180" t="s">
        <v>7272</v>
      </c>
      <c r="C180" s="1665">
        <v>1080043239</v>
      </c>
      <c r="D180" s="1665">
        <v>1105808948</v>
      </c>
      <c r="E180" s="1665">
        <v>1105808948</v>
      </c>
      <c r="F180" s="1665">
        <v>1080043239</v>
      </c>
      <c r="G180" s="1665">
        <v>1105808948</v>
      </c>
      <c r="H180" s="1665">
        <v>1080043239</v>
      </c>
    </row>
    <row r="181" spans="1:8">
      <c r="A181" t="s">
        <v>589</v>
      </c>
      <c r="B181" t="s">
        <v>7273</v>
      </c>
      <c r="C181" s="1665">
        <v>777714802</v>
      </c>
      <c r="D181" s="1665">
        <v>790708530</v>
      </c>
      <c r="E181" s="1665">
        <v>790708530</v>
      </c>
      <c r="F181" s="1665">
        <v>777714802</v>
      </c>
      <c r="G181" s="1665">
        <v>790708530</v>
      </c>
      <c r="H181" s="1665">
        <v>777714802</v>
      </c>
    </row>
    <row r="182" spans="1:8">
      <c r="A182" t="s">
        <v>27</v>
      </c>
      <c r="B182" t="s">
        <v>7274</v>
      </c>
      <c r="C182" s="1665">
        <v>392370884</v>
      </c>
      <c r="D182" s="1665">
        <v>404219716</v>
      </c>
      <c r="E182" s="1665">
        <v>404219716</v>
      </c>
      <c r="F182" s="1665">
        <v>392370884</v>
      </c>
      <c r="G182" s="1665">
        <v>404219716</v>
      </c>
      <c r="H182" s="1665">
        <v>392370884</v>
      </c>
    </row>
    <row r="183" spans="1:8">
      <c r="A183" t="s">
        <v>28</v>
      </c>
      <c r="B183" t="s">
        <v>7275</v>
      </c>
      <c r="C183" s="1665">
        <v>4699587231</v>
      </c>
      <c r="D183" s="1665">
        <v>4820128498</v>
      </c>
      <c r="E183" s="1665">
        <v>4820128498</v>
      </c>
      <c r="F183" s="1665">
        <v>4699587231</v>
      </c>
      <c r="G183" s="1665">
        <v>4820128498</v>
      </c>
      <c r="H183" s="1665">
        <v>4699587231</v>
      </c>
    </row>
    <row r="184" spans="1:8">
      <c r="A184" t="s">
        <v>1265</v>
      </c>
      <c r="B184" t="s">
        <v>7276</v>
      </c>
      <c r="C184" s="1665">
        <v>15994952726</v>
      </c>
      <c r="D184" s="1665">
        <v>16321307117</v>
      </c>
      <c r="E184" s="1665">
        <v>15338009491</v>
      </c>
      <c r="F184" s="1665">
        <v>15011655100</v>
      </c>
      <c r="G184" s="1665">
        <v>15417118791</v>
      </c>
      <c r="H184" s="1665">
        <v>15090764400</v>
      </c>
    </row>
    <row r="185" spans="1:8">
      <c r="A185" t="s">
        <v>2315</v>
      </c>
      <c r="B185" t="s">
        <v>7277</v>
      </c>
      <c r="C185" s="1665">
        <v>342251339</v>
      </c>
      <c r="D185" s="1665">
        <v>357209479</v>
      </c>
      <c r="E185" s="1665">
        <v>357209479</v>
      </c>
      <c r="F185" s="1665">
        <v>342251339</v>
      </c>
      <c r="G185" s="1665">
        <v>496631449</v>
      </c>
      <c r="H185" s="1665">
        <v>481673309</v>
      </c>
    </row>
    <row r="186" spans="1:8">
      <c r="A186" t="s">
        <v>2409</v>
      </c>
      <c r="B186" t="s">
        <v>7278</v>
      </c>
      <c r="C186" s="1665">
        <v>201275392</v>
      </c>
      <c r="D186" s="1665">
        <v>210866953</v>
      </c>
      <c r="E186" s="1665">
        <v>210866953</v>
      </c>
      <c r="F186" s="1665">
        <v>201275392</v>
      </c>
      <c r="G186" s="1665">
        <v>210866953</v>
      </c>
      <c r="H186" s="1665">
        <v>201275392</v>
      </c>
    </row>
    <row r="187" spans="1:8">
      <c r="A187" t="s">
        <v>2342</v>
      </c>
      <c r="B187" t="s">
        <v>7279</v>
      </c>
      <c r="C187" s="1665">
        <v>60318313</v>
      </c>
      <c r="D187" s="1665">
        <v>62528791</v>
      </c>
      <c r="E187" s="1665">
        <v>62528791</v>
      </c>
      <c r="F187" s="1665">
        <v>60318313</v>
      </c>
      <c r="G187" s="1665">
        <v>62528791</v>
      </c>
      <c r="H187" s="1665">
        <v>60318313</v>
      </c>
    </row>
    <row r="188" spans="1:8">
      <c r="A188" t="s">
        <v>2316</v>
      </c>
      <c r="B188" t="s">
        <v>7280</v>
      </c>
      <c r="C188" s="1665">
        <v>27496423</v>
      </c>
      <c r="D188" s="1665">
        <v>29111447</v>
      </c>
      <c r="E188" s="1665">
        <v>29111447</v>
      </c>
      <c r="F188" s="1665">
        <v>27496423</v>
      </c>
      <c r="G188" s="1665">
        <v>29111447</v>
      </c>
      <c r="H188" s="1665">
        <v>27496423</v>
      </c>
    </row>
    <row r="189" spans="1:8">
      <c r="A189" t="s">
        <v>2317</v>
      </c>
      <c r="B189" t="s">
        <v>7281</v>
      </c>
      <c r="C189" s="1665">
        <v>135871845</v>
      </c>
      <c r="D189" s="1665">
        <v>139227585</v>
      </c>
      <c r="E189" s="1665">
        <v>139227585</v>
      </c>
      <c r="F189" s="1665">
        <v>135871845</v>
      </c>
      <c r="G189" s="1665">
        <v>139227585</v>
      </c>
      <c r="H189" s="1665">
        <v>135871845</v>
      </c>
    </row>
    <row r="190" spans="1:8">
      <c r="A190" t="s">
        <v>300</v>
      </c>
      <c r="B190" t="s">
        <v>7282</v>
      </c>
      <c r="C190" s="1665">
        <v>79427295</v>
      </c>
      <c r="D190" s="1665">
        <v>81107375</v>
      </c>
      <c r="E190" s="1665">
        <v>81107375</v>
      </c>
      <c r="F190" s="1665">
        <v>79427295</v>
      </c>
      <c r="G190" s="1665">
        <v>81107375</v>
      </c>
      <c r="H190" s="1665">
        <v>79427295</v>
      </c>
    </row>
    <row r="191" spans="1:8">
      <c r="A191" t="s">
        <v>1427</v>
      </c>
      <c r="B191" t="s">
        <v>7283</v>
      </c>
      <c r="C191" s="1665">
        <v>1012116291</v>
      </c>
      <c r="D191" s="1665">
        <v>1042848903</v>
      </c>
      <c r="E191" s="1665">
        <v>1042848903</v>
      </c>
      <c r="F191" s="1665">
        <v>1012116291</v>
      </c>
      <c r="G191" s="1665">
        <v>1042848903</v>
      </c>
      <c r="H191" s="1665">
        <v>1012116291</v>
      </c>
    </row>
    <row r="192" spans="1:8">
      <c r="A192" t="s">
        <v>301</v>
      </c>
      <c r="B192" t="s">
        <v>7284</v>
      </c>
      <c r="C192" s="1665">
        <v>299939221</v>
      </c>
      <c r="D192" s="1665">
        <v>307573828</v>
      </c>
      <c r="E192" s="1665">
        <v>307573828</v>
      </c>
      <c r="F192" s="1665">
        <v>299939221</v>
      </c>
      <c r="G192" s="1665">
        <v>485075400</v>
      </c>
      <c r="H192" s="1665">
        <v>477440793</v>
      </c>
    </row>
    <row r="193" spans="1:8">
      <c r="A193" t="s">
        <v>2503</v>
      </c>
      <c r="B193" t="s">
        <v>7285</v>
      </c>
      <c r="C193" s="1665">
        <v>248355820</v>
      </c>
      <c r="D193" s="1665">
        <v>256139613</v>
      </c>
      <c r="E193" s="1665">
        <v>256139613</v>
      </c>
      <c r="F193" s="1665">
        <v>248355820</v>
      </c>
      <c r="G193" s="1665">
        <v>256139613</v>
      </c>
      <c r="H193" s="1665">
        <v>248355820</v>
      </c>
    </row>
    <row r="194" spans="1:8">
      <c r="A194" t="s">
        <v>302</v>
      </c>
      <c r="B194" t="s">
        <v>7286</v>
      </c>
      <c r="C194" s="1665">
        <v>623632342</v>
      </c>
      <c r="D194" s="1665">
        <v>643624340</v>
      </c>
      <c r="E194" s="1665">
        <v>643624340</v>
      </c>
      <c r="F194" s="1665">
        <v>623632342</v>
      </c>
      <c r="G194" s="1665">
        <v>643624340</v>
      </c>
      <c r="H194" s="1665">
        <v>623632342</v>
      </c>
    </row>
    <row r="195" spans="1:8">
      <c r="A195" t="s">
        <v>303</v>
      </c>
      <c r="B195" t="s">
        <v>7287</v>
      </c>
      <c r="C195" s="1665">
        <v>144064763</v>
      </c>
      <c r="D195" s="1665">
        <v>148706143</v>
      </c>
      <c r="E195" s="1665">
        <v>148706143</v>
      </c>
      <c r="F195" s="1665">
        <v>144064763</v>
      </c>
      <c r="G195" s="1665">
        <v>148706143</v>
      </c>
      <c r="H195" s="1665">
        <v>144064763</v>
      </c>
    </row>
    <row r="196" spans="1:8">
      <c r="A196" t="s">
        <v>304</v>
      </c>
      <c r="B196" t="s">
        <v>7288</v>
      </c>
      <c r="C196" s="1665">
        <v>464174941</v>
      </c>
      <c r="D196" s="1665">
        <v>469693305</v>
      </c>
      <c r="E196" s="1665">
        <v>469693305</v>
      </c>
      <c r="F196" s="1665">
        <v>464174941</v>
      </c>
      <c r="G196" s="1665">
        <v>469693305</v>
      </c>
      <c r="H196" s="1665">
        <v>464174941</v>
      </c>
    </row>
    <row r="197" spans="1:8">
      <c r="A197" t="s">
        <v>1743</v>
      </c>
      <c r="B197" t="s">
        <v>7289</v>
      </c>
      <c r="C197" s="1665">
        <v>12490528</v>
      </c>
      <c r="D197" s="1665">
        <v>12757393</v>
      </c>
      <c r="E197" s="1665">
        <v>12757393</v>
      </c>
      <c r="F197" s="1665">
        <v>12490528</v>
      </c>
      <c r="G197" s="1665">
        <v>12757393</v>
      </c>
      <c r="H197" s="1665">
        <v>12490528</v>
      </c>
    </row>
    <row r="198" spans="1:8">
      <c r="A198" t="s">
        <v>1744</v>
      </c>
      <c r="B198" t="s">
        <v>7290</v>
      </c>
      <c r="C198" s="1665">
        <v>123066676</v>
      </c>
      <c r="D198" s="1665">
        <v>124338898</v>
      </c>
      <c r="E198" s="1665">
        <v>124338898</v>
      </c>
      <c r="F198" s="1665">
        <v>123066676</v>
      </c>
      <c r="G198" s="1665">
        <v>124338898</v>
      </c>
      <c r="H198" s="1665">
        <v>123066676</v>
      </c>
    </row>
    <row r="199" spans="1:8">
      <c r="A199" t="s">
        <v>1316</v>
      </c>
      <c r="B199" t="s">
        <v>7291</v>
      </c>
      <c r="C199" s="1665">
        <v>97074318</v>
      </c>
      <c r="D199" s="1665">
        <v>100936541</v>
      </c>
      <c r="E199" s="1665">
        <v>100936541</v>
      </c>
      <c r="F199" s="1665">
        <v>97074318</v>
      </c>
      <c r="G199" s="1665">
        <v>100936541</v>
      </c>
      <c r="H199" s="1665">
        <v>97074318</v>
      </c>
    </row>
    <row r="200" spans="1:8">
      <c r="A200" t="s">
        <v>1107</v>
      </c>
      <c r="B200" t="s">
        <v>7292</v>
      </c>
      <c r="C200" s="1665">
        <v>750632822</v>
      </c>
      <c r="D200" s="1665">
        <v>785602338</v>
      </c>
      <c r="E200" s="1665">
        <v>785602338</v>
      </c>
      <c r="F200" s="1665">
        <v>750632822</v>
      </c>
      <c r="G200" s="1665">
        <v>785602338</v>
      </c>
      <c r="H200" s="1665">
        <v>750632822</v>
      </c>
    </row>
    <row r="201" spans="1:8">
      <c r="A201" t="s">
        <v>2148</v>
      </c>
      <c r="B201" t="s">
        <v>7293</v>
      </c>
      <c r="C201" s="1665">
        <v>61369652</v>
      </c>
      <c r="D201" s="1665">
        <v>64217402</v>
      </c>
      <c r="E201" s="1665">
        <v>64217402</v>
      </c>
      <c r="F201" s="1665">
        <v>61369652</v>
      </c>
      <c r="G201" s="1665">
        <v>64217402</v>
      </c>
      <c r="H201" s="1665">
        <v>61369652</v>
      </c>
    </row>
    <row r="202" spans="1:8">
      <c r="A202" t="s">
        <v>1108</v>
      </c>
      <c r="B202" t="s">
        <v>7294</v>
      </c>
      <c r="C202" s="1665">
        <v>75756032</v>
      </c>
      <c r="D202" s="1665">
        <v>78653692</v>
      </c>
      <c r="E202" s="1665">
        <v>78653692</v>
      </c>
      <c r="F202" s="1665">
        <v>75756032</v>
      </c>
      <c r="G202" s="1665">
        <v>78653692</v>
      </c>
      <c r="H202" s="1665">
        <v>75756032</v>
      </c>
    </row>
    <row r="203" spans="1:8">
      <c r="A203" t="s">
        <v>2398</v>
      </c>
      <c r="B203" t="s">
        <v>7295</v>
      </c>
      <c r="C203" s="1665">
        <v>1360202764</v>
      </c>
      <c r="D203" s="1665">
        <v>1428386767</v>
      </c>
      <c r="E203" s="1665">
        <v>1428386767</v>
      </c>
      <c r="F203" s="1665">
        <v>1360202764</v>
      </c>
      <c r="G203" s="1665">
        <v>1428386767</v>
      </c>
      <c r="H203" s="1665">
        <v>1360202764</v>
      </c>
    </row>
    <row r="204" spans="1:8">
      <c r="A204" t="s">
        <v>1109</v>
      </c>
      <c r="B204" t="s">
        <v>7296</v>
      </c>
      <c r="C204" s="1665">
        <v>145347638</v>
      </c>
      <c r="D204" s="1665">
        <v>147986438</v>
      </c>
      <c r="E204" s="1665">
        <v>147074218</v>
      </c>
      <c r="F204" s="1665">
        <v>144435418</v>
      </c>
      <c r="G204" s="1665">
        <v>147074218</v>
      </c>
      <c r="H204" s="1665">
        <v>144435418</v>
      </c>
    </row>
    <row r="205" spans="1:8">
      <c r="A205" t="s">
        <v>681</v>
      </c>
      <c r="B205" t="s">
        <v>7297</v>
      </c>
      <c r="C205" s="1665">
        <v>845479578</v>
      </c>
      <c r="D205" s="1665">
        <v>853043558</v>
      </c>
      <c r="E205" s="1665">
        <v>853043558</v>
      </c>
      <c r="F205" s="1665">
        <v>845479578</v>
      </c>
      <c r="G205" s="1665">
        <v>853043558</v>
      </c>
      <c r="H205" s="1665">
        <v>845479578</v>
      </c>
    </row>
    <row r="206" spans="1:8">
      <c r="A206" t="s">
        <v>682</v>
      </c>
      <c r="B206" t="s">
        <v>7298</v>
      </c>
      <c r="C206" s="1665">
        <v>1215926398</v>
      </c>
      <c r="D206" s="1665">
        <v>1222549308</v>
      </c>
      <c r="E206" s="1665">
        <v>1219351678</v>
      </c>
      <c r="F206" s="1665">
        <v>1212728768</v>
      </c>
      <c r="G206" s="1665">
        <v>1219351678</v>
      </c>
      <c r="H206" s="1665">
        <v>1212728768</v>
      </c>
    </row>
    <row r="207" spans="1:8">
      <c r="A207" t="s">
        <v>683</v>
      </c>
      <c r="B207" t="s">
        <v>7299</v>
      </c>
      <c r="C207" s="1665">
        <v>96882890</v>
      </c>
      <c r="D207" s="1665">
        <v>100607869</v>
      </c>
      <c r="E207" s="1665">
        <v>100607869</v>
      </c>
      <c r="F207" s="1665">
        <v>96882890</v>
      </c>
      <c r="G207" s="1665">
        <v>244171731</v>
      </c>
      <c r="H207" s="1665">
        <v>240446752</v>
      </c>
    </row>
    <row r="208" spans="1:8">
      <c r="A208" t="s">
        <v>684</v>
      </c>
      <c r="B208" t="s">
        <v>7300</v>
      </c>
      <c r="C208" s="1665">
        <v>151670678</v>
      </c>
      <c r="D208" s="1665">
        <v>153913702</v>
      </c>
      <c r="E208" s="1665">
        <v>153913702</v>
      </c>
      <c r="F208" s="1665">
        <v>151670678</v>
      </c>
      <c r="G208" s="1665">
        <v>176040820</v>
      </c>
      <c r="H208" s="1665">
        <v>173797796</v>
      </c>
    </row>
    <row r="209" spans="1:8">
      <c r="A209" t="s">
        <v>392</v>
      </c>
      <c r="B209" t="s">
        <v>7301</v>
      </c>
      <c r="C209" s="1665">
        <v>125675085</v>
      </c>
      <c r="D209" s="1665">
        <v>129220067</v>
      </c>
      <c r="E209" s="1665">
        <v>129220067</v>
      </c>
      <c r="F209" s="1665">
        <v>125675085</v>
      </c>
      <c r="G209" s="1665">
        <v>129220067</v>
      </c>
      <c r="H209" s="1665">
        <v>125675085</v>
      </c>
    </row>
    <row r="210" spans="1:8">
      <c r="A210" t="s">
        <v>2559</v>
      </c>
      <c r="B210" t="s">
        <v>7302</v>
      </c>
      <c r="C210" s="1665">
        <v>1454809084</v>
      </c>
      <c r="D210" s="1665">
        <v>1458132303</v>
      </c>
      <c r="E210" s="1665">
        <v>1458132303</v>
      </c>
      <c r="F210" s="1665">
        <v>1454809084</v>
      </c>
      <c r="G210" s="1665">
        <v>1458132303</v>
      </c>
      <c r="H210" s="1665">
        <v>1454809084</v>
      </c>
    </row>
    <row r="211" spans="1:8">
      <c r="A211" t="s">
        <v>2560</v>
      </c>
      <c r="B211" t="s">
        <v>7303</v>
      </c>
      <c r="C211" s="1665">
        <v>1139451605</v>
      </c>
      <c r="D211" s="1665">
        <v>1153928475</v>
      </c>
      <c r="E211" s="1665">
        <v>1153928475</v>
      </c>
      <c r="F211" s="1665">
        <v>1139451605</v>
      </c>
      <c r="G211" s="1665">
        <v>1153928475</v>
      </c>
      <c r="H211" s="1665">
        <v>1139451605</v>
      </c>
    </row>
    <row r="212" spans="1:8">
      <c r="A212" t="s">
        <v>2561</v>
      </c>
      <c r="B212" t="s">
        <v>7304</v>
      </c>
      <c r="C212" s="1665">
        <v>177579234</v>
      </c>
      <c r="D212" s="1665">
        <v>178518346</v>
      </c>
      <c r="E212" s="1665">
        <v>178518346</v>
      </c>
      <c r="F212" s="1665">
        <v>177579234</v>
      </c>
      <c r="G212" s="1665">
        <v>178518346</v>
      </c>
      <c r="H212" s="1665">
        <v>177579234</v>
      </c>
    </row>
    <row r="213" spans="1:8">
      <c r="A213" t="s">
        <v>1642</v>
      </c>
      <c r="B213" t="s">
        <v>7305</v>
      </c>
      <c r="C213" s="1665">
        <v>17640166543</v>
      </c>
      <c r="D213" s="1665">
        <v>17892844975</v>
      </c>
      <c r="E213" s="1665">
        <v>17892844975</v>
      </c>
      <c r="F213" s="1665">
        <v>17640166543</v>
      </c>
      <c r="G213" s="1665">
        <v>17892844975</v>
      </c>
      <c r="H213" s="1665">
        <v>17640166543</v>
      </c>
    </row>
    <row r="214" spans="1:8">
      <c r="A214" t="s">
        <v>385</v>
      </c>
      <c r="B214" t="s">
        <v>7306</v>
      </c>
      <c r="C214" s="1665">
        <v>3148907674</v>
      </c>
      <c r="D214" s="1665">
        <v>3249069554</v>
      </c>
      <c r="E214" s="1665">
        <v>3249069554</v>
      </c>
      <c r="F214" s="1665">
        <v>3148907674</v>
      </c>
      <c r="G214" s="1665">
        <v>3249069554</v>
      </c>
      <c r="H214" s="1665">
        <v>3148907674</v>
      </c>
    </row>
    <row r="215" spans="1:8">
      <c r="A215" t="s">
        <v>386</v>
      </c>
      <c r="B215" t="s">
        <v>7307</v>
      </c>
      <c r="C215" s="1665">
        <v>108671484153</v>
      </c>
      <c r="D215" s="1665">
        <v>110149094853</v>
      </c>
      <c r="E215" s="1665">
        <v>108099515590</v>
      </c>
      <c r="F215" s="1665">
        <v>106621904890</v>
      </c>
      <c r="G215" s="1665">
        <v>108099515590</v>
      </c>
      <c r="H215" s="1665">
        <v>106621904890</v>
      </c>
    </row>
    <row r="216" spans="1:8">
      <c r="A216" t="s">
        <v>387</v>
      </c>
      <c r="B216" t="s">
        <v>7308</v>
      </c>
      <c r="C216" s="1665">
        <v>2731943495</v>
      </c>
      <c r="D216" s="1665">
        <v>2850409387</v>
      </c>
      <c r="E216" s="1665">
        <v>2850409387</v>
      </c>
      <c r="F216" s="1665">
        <v>2731943495</v>
      </c>
      <c r="G216" s="1665">
        <v>2850409387</v>
      </c>
      <c r="H216" s="1665">
        <v>2731943495</v>
      </c>
    </row>
    <row r="217" spans="1:8">
      <c r="A217" t="s">
        <v>388</v>
      </c>
      <c r="B217" t="s">
        <v>7309</v>
      </c>
      <c r="C217" s="1665">
        <v>4162268877</v>
      </c>
      <c r="D217" s="1665">
        <v>4293719467</v>
      </c>
      <c r="E217" s="1665">
        <v>4293719467</v>
      </c>
      <c r="F217" s="1665">
        <v>4162268877</v>
      </c>
      <c r="G217" s="1665">
        <v>4293719467</v>
      </c>
      <c r="H217" s="1665">
        <v>4162268877</v>
      </c>
    </row>
    <row r="218" spans="1:8">
      <c r="A218" t="s">
        <v>2578</v>
      </c>
      <c r="B218" t="s">
        <v>7310</v>
      </c>
      <c r="C218" s="1665">
        <v>17017562950</v>
      </c>
      <c r="D218" s="1665">
        <v>17562153524</v>
      </c>
      <c r="E218" s="1665">
        <v>17562153524</v>
      </c>
      <c r="F218" s="1665">
        <v>17017562950</v>
      </c>
      <c r="G218" s="1665">
        <v>17562153524</v>
      </c>
      <c r="H218" s="1665">
        <v>17017562950</v>
      </c>
    </row>
    <row r="219" spans="1:8">
      <c r="A219" t="s">
        <v>666</v>
      </c>
      <c r="B219" t="s">
        <v>7311</v>
      </c>
      <c r="C219" s="1665">
        <v>6150752771</v>
      </c>
      <c r="D219" s="1665">
        <v>6340644433</v>
      </c>
      <c r="E219" s="1665">
        <v>6340644433</v>
      </c>
      <c r="F219" s="1665">
        <v>6150752771</v>
      </c>
      <c r="G219" s="1665">
        <v>6340644433</v>
      </c>
      <c r="H219" s="1665">
        <v>6150752771</v>
      </c>
    </row>
    <row r="220" spans="1:8">
      <c r="A220" t="s">
        <v>533</v>
      </c>
      <c r="B220" t="s">
        <v>7312</v>
      </c>
      <c r="C220" s="1665">
        <v>16106710508</v>
      </c>
      <c r="D220" s="1665">
        <v>16189294388</v>
      </c>
      <c r="E220" s="1665">
        <v>14832785005</v>
      </c>
      <c r="F220" s="1665">
        <v>14750201125</v>
      </c>
      <c r="G220" s="1665">
        <v>14832785005</v>
      </c>
      <c r="H220" s="1665">
        <v>14750201125</v>
      </c>
    </row>
    <row r="221" spans="1:8">
      <c r="A221" t="s">
        <v>41</v>
      </c>
      <c r="B221" t="s">
        <v>7313</v>
      </c>
      <c r="C221" s="1665">
        <v>10991205334</v>
      </c>
      <c r="D221" s="1665">
        <v>11205868241</v>
      </c>
      <c r="E221" s="1665">
        <v>11205868241</v>
      </c>
      <c r="F221" s="1665">
        <v>10991205334</v>
      </c>
      <c r="G221" s="1665">
        <v>11205868241</v>
      </c>
      <c r="H221" s="1665">
        <v>10991205334</v>
      </c>
    </row>
    <row r="222" spans="1:8">
      <c r="A222" t="s">
        <v>1790</v>
      </c>
      <c r="B222" t="s">
        <v>7314</v>
      </c>
      <c r="C222" s="1665">
        <v>2240771970</v>
      </c>
      <c r="D222" s="1665">
        <v>2312785684</v>
      </c>
      <c r="E222" s="1665">
        <v>2312785684</v>
      </c>
      <c r="F222" s="1665">
        <v>2240771970</v>
      </c>
      <c r="G222" s="1665">
        <v>2312785684</v>
      </c>
      <c r="H222" s="1665">
        <v>2240771970</v>
      </c>
    </row>
    <row r="223" spans="1:8">
      <c r="A223" t="s">
        <v>2533</v>
      </c>
      <c r="B223" t="s">
        <v>7315</v>
      </c>
      <c r="C223" s="1665">
        <v>7395075558</v>
      </c>
      <c r="D223" s="1665">
        <v>7657882592</v>
      </c>
      <c r="E223" s="1665">
        <v>7657882592</v>
      </c>
      <c r="F223" s="1665">
        <v>7395075558</v>
      </c>
      <c r="G223" s="1665">
        <v>7657882592</v>
      </c>
      <c r="H223" s="1665">
        <v>7395075558</v>
      </c>
    </row>
    <row r="224" spans="1:8">
      <c r="A224" t="s">
        <v>1791</v>
      </c>
      <c r="B224" t="s">
        <v>7316</v>
      </c>
      <c r="C224" s="1665">
        <v>21676101878</v>
      </c>
      <c r="D224" s="1665">
        <v>22082810600</v>
      </c>
      <c r="E224" s="1665">
        <v>21526898043</v>
      </c>
      <c r="F224" s="1665">
        <v>21120189321</v>
      </c>
      <c r="G224" s="1665">
        <v>21526898043</v>
      </c>
      <c r="H224" s="1665">
        <v>21120189321</v>
      </c>
    </row>
    <row r="225" spans="1:8">
      <c r="A225" t="s">
        <v>2688</v>
      </c>
      <c r="B225" t="s">
        <v>7317</v>
      </c>
      <c r="C225" s="1665">
        <v>1088052317</v>
      </c>
      <c r="D225" s="1665">
        <v>1105019817</v>
      </c>
      <c r="E225" s="1665">
        <v>1105019817</v>
      </c>
      <c r="F225" s="1665">
        <v>1088052317</v>
      </c>
      <c r="G225" s="1665">
        <v>1105019817</v>
      </c>
      <c r="H225" s="1665">
        <v>1088052317</v>
      </c>
    </row>
    <row r="226" spans="1:8">
      <c r="A226" t="s">
        <v>249</v>
      </c>
      <c r="B226" t="s">
        <v>7318</v>
      </c>
      <c r="C226" s="1665">
        <v>10924832803</v>
      </c>
      <c r="D226" s="1665">
        <v>11038630023</v>
      </c>
      <c r="E226" s="1665">
        <v>11038630023</v>
      </c>
      <c r="F226" s="1665">
        <v>10924832803</v>
      </c>
      <c r="G226" s="1665">
        <v>11038630023</v>
      </c>
      <c r="H226" s="1665">
        <v>10924832803</v>
      </c>
    </row>
    <row r="227" spans="1:8">
      <c r="A227" t="s">
        <v>250</v>
      </c>
      <c r="B227" t="s">
        <v>7319</v>
      </c>
      <c r="C227" s="1665">
        <v>97979023</v>
      </c>
      <c r="D227" s="1665">
        <v>98573445</v>
      </c>
      <c r="E227" s="1665">
        <v>98573445</v>
      </c>
      <c r="F227" s="1665">
        <v>97979023</v>
      </c>
      <c r="G227" s="1665">
        <v>98573445</v>
      </c>
      <c r="H227" s="1665">
        <v>97979023</v>
      </c>
    </row>
    <row r="228" spans="1:8">
      <c r="A228" t="s">
        <v>251</v>
      </c>
      <c r="B228" t="s">
        <v>7320</v>
      </c>
      <c r="C228" s="1665">
        <v>800493312</v>
      </c>
      <c r="D228" s="1665">
        <v>801864502</v>
      </c>
      <c r="E228" s="1665">
        <v>800358877</v>
      </c>
      <c r="F228" s="1665">
        <v>798987687</v>
      </c>
      <c r="G228" s="1665">
        <v>800358877</v>
      </c>
      <c r="H228" s="1665">
        <v>798987687</v>
      </c>
    </row>
    <row r="229" spans="1:8">
      <c r="A229" t="s">
        <v>252</v>
      </c>
      <c r="B229" t="s">
        <v>7321</v>
      </c>
      <c r="C229" s="1665">
        <v>432914849</v>
      </c>
      <c r="D229" s="1665">
        <v>449134749</v>
      </c>
      <c r="E229" s="1665">
        <v>449134749</v>
      </c>
      <c r="F229" s="1665">
        <v>432914849</v>
      </c>
      <c r="G229" s="1665">
        <v>688403219</v>
      </c>
      <c r="H229" s="1665">
        <v>672183319</v>
      </c>
    </row>
    <row r="230" spans="1:8">
      <c r="A230" t="s">
        <v>374</v>
      </c>
      <c r="B230" t="s">
        <v>7322</v>
      </c>
      <c r="C230" s="1665">
        <v>524832482</v>
      </c>
      <c r="D230" s="1665">
        <v>526096221</v>
      </c>
      <c r="E230" s="1665">
        <v>524929709</v>
      </c>
      <c r="F230" s="1665">
        <v>523665970</v>
      </c>
      <c r="G230" s="1665">
        <v>524929709</v>
      </c>
      <c r="H230" s="1665">
        <v>523665970</v>
      </c>
    </row>
    <row r="231" spans="1:8">
      <c r="A231" t="s">
        <v>1864</v>
      </c>
      <c r="B231" t="s">
        <v>7323</v>
      </c>
      <c r="C231" s="1665">
        <v>1236413071</v>
      </c>
      <c r="D231" s="1665">
        <v>1264925212</v>
      </c>
      <c r="E231" s="1665">
        <v>1264925212</v>
      </c>
      <c r="F231" s="1665">
        <v>1236413071</v>
      </c>
      <c r="G231" s="1665">
        <v>1461089612</v>
      </c>
      <c r="H231" s="1665">
        <v>1432577471</v>
      </c>
    </row>
    <row r="232" spans="1:8">
      <c r="A232" t="s">
        <v>1068</v>
      </c>
      <c r="B232" t="s">
        <v>7324</v>
      </c>
      <c r="C232" s="1665">
        <v>62948813</v>
      </c>
      <c r="D232" s="1665">
        <v>63208213</v>
      </c>
      <c r="E232" s="1665">
        <v>63208213</v>
      </c>
      <c r="F232" s="1665">
        <v>62948813</v>
      </c>
      <c r="G232" s="1665">
        <v>108208213</v>
      </c>
      <c r="H232" s="1665">
        <v>107948813</v>
      </c>
    </row>
    <row r="233" spans="1:8">
      <c r="A233" t="s">
        <v>1069</v>
      </c>
      <c r="B233" t="s">
        <v>7325</v>
      </c>
      <c r="C233" s="1665">
        <v>187138316</v>
      </c>
      <c r="D233" s="1665">
        <v>198216189</v>
      </c>
      <c r="E233" s="1665">
        <v>198216189</v>
      </c>
      <c r="F233" s="1665">
        <v>187138316</v>
      </c>
      <c r="G233" s="1665">
        <v>198216189</v>
      </c>
      <c r="H233" s="1665">
        <v>187138316</v>
      </c>
    </row>
    <row r="234" spans="1:8">
      <c r="A234" t="s">
        <v>640</v>
      </c>
      <c r="B234" t="s">
        <v>7326</v>
      </c>
      <c r="C234" s="1665">
        <v>49600980</v>
      </c>
      <c r="D234" s="1665">
        <v>52476020</v>
      </c>
      <c r="E234" s="1665">
        <v>52476020</v>
      </c>
      <c r="F234" s="1665">
        <v>49600980</v>
      </c>
      <c r="G234" s="1665">
        <v>52476020</v>
      </c>
      <c r="H234" s="1665">
        <v>49600980</v>
      </c>
    </row>
    <row r="235" spans="1:8">
      <c r="A235" t="s">
        <v>1070</v>
      </c>
      <c r="B235" t="s">
        <v>7327</v>
      </c>
      <c r="C235" s="1665">
        <v>15880412646</v>
      </c>
      <c r="D235" s="1665">
        <v>16200904513</v>
      </c>
      <c r="E235" s="1665">
        <v>16200904513</v>
      </c>
      <c r="F235" s="1665">
        <v>15880412646</v>
      </c>
      <c r="G235" s="1665">
        <v>16200904513</v>
      </c>
      <c r="H235" s="1665">
        <v>15880412646</v>
      </c>
    </row>
    <row r="236" spans="1:8">
      <c r="A236" t="s">
        <v>1770</v>
      </c>
      <c r="B236" t="s">
        <v>7328</v>
      </c>
      <c r="C236" s="1665">
        <v>35372317892</v>
      </c>
      <c r="D236" s="1665">
        <v>35953941515</v>
      </c>
      <c r="E236" s="1665">
        <v>35953941515</v>
      </c>
      <c r="F236" s="1665">
        <v>35372317892</v>
      </c>
      <c r="G236" s="1665">
        <v>35953941515</v>
      </c>
      <c r="H236" s="1665">
        <v>35372317892</v>
      </c>
    </row>
    <row r="237" spans="1:8">
      <c r="A237" t="s">
        <v>212</v>
      </c>
      <c r="B237" t="s">
        <v>7329</v>
      </c>
      <c r="C237" s="1665">
        <v>693309094</v>
      </c>
      <c r="D237" s="1665">
        <v>710180185</v>
      </c>
      <c r="E237" s="1665">
        <v>710180185</v>
      </c>
      <c r="F237" s="1665">
        <v>693309094</v>
      </c>
      <c r="G237" s="1665">
        <v>710180185</v>
      </c>
      <c r="H237" s="1665">
        <v>693309094</v>
      </c>
    </row>
    <row r="238" spans="1:8">
      <c r="A238" t="s">
        <v>717</v>
      </c>
      <c r="B238" t="s">
        <v>7330</v>
      </c>
      <c r="C238" s="1665">
        <v>728315727</v>
      </c>
      <c r="D238" s="1665">
        <v>748251660</v>
      </c>
      <c r="E238" s="1665">
        <v>748251660</v>
      </c>
      <c r="F238" s="1665">
        <v>728315727</v>
      </c>
      <c r="G238" s="1665">
        <v>748251660</v>
      </c>
      <c r="H238" s="1665">
        <v>728315727</v>
      </c>
    </row>
    <row r="239" spans="1:8">
      <c r="A239" t="s">
        <v>214</v>
      </c>
      <c r="B239" t="s">
        <v>7331</v>
      </c>
      <c r="C239" s="1665">
        <v>595807915</v>
      </c>
      <c r="D239" s="1665">
        <v>608822635</v>
      </c>
      <c r="E239" s="1665">
        <v>608822635</v>
      </c>
      <c r="F239" s="1665">
        <v>595807915</v>
      </c>
      <c r="G239" s="1665">
        <v>608822635</v>
      </c>
      <c r="H239" s="1665">
        <v>595807915</v>
      </c>
    </row>
    <row r="240" spans="1:8">
      <c r="A240" t="s">
        <v>1680</v>
      </c>
      <c r="B240" t="s">
        <v>7332</v>
      </c>
      <c r="C240" s="1665">
        <v>940562587</v>
      </c>
      <c r="D240" s="1665">
        <v>966347927</v>
      </c>
      <c r="E240" s="1665">
        <v>966347927</v>
      </c>
      <c r="F240" s="1665">
        <v>940562587</v>
      </c>
      <c r="G240" s="1665">
        <v>966347927</v>
      </c>
      <c r="H240" s="1665">
        <v>940562587</v>
      </c>
    </row>
    <row r="241" spans="1:8">
      <c r="A241" t="s">
        <v>490</v>
      </c>
      <c r="B241" t="s">
        <v>7333</v>
      </c>
      <c r="C241" s="1665">
        <v>1000294530</v>
      </c>
      <c r="D241" s="1665">
        <v>1029680161</v>
      </c>
      <c r="E241" s="1665">
        <v>1029680161</v>
      </c>
      <c r="F241" s="1665">
        <v>1000294530</v>
      </c>
      <c r="G241" s="1665">
        <v>1029680161</v>
      </c>
      <c r="H241" s="1665">
        <v>1000294530</v>
      </c>
    </row>
    <row r="242" spans="1:8">
      <c r="A242" t="s">
        <v>1838</v>
      </c>
      <c r="B242" t="s">
        <v>7334</v>
      </c>
      <c r="C242" s="1665">
        <v>1770038909</v>
      </c>
      <c r="D242" s="1665">
        <v>1797675755</v>
      </c>
      <c r="E242" s="1665">
        <v>1797675755</v>
      </c>
      <c r="F242" s="1665">
        <v>1770038909</v>
      </c>
      <c r="G242" s="1665">
        <v>1797675755</v>
      </c>
      <c r="H242" s="1665">
        <v>1770038909</v>
      </c>
    </row>
    <row r="243" spans="1:8">
      <c r="A243" t="s">
        <v>1410</v>
      </c>
      <c r="B243" t="s">
        <v>7335</v>
      </c>
      <c r="C243" s="1665">
        <v>14640189835</v>
      </c>
      <c r="D243" s="1665">
        <v>14865134626</v>
      </c>
      <c r="E243" s="1665">
        <v>14865134626</v>
      </c>
      <c r="F243" s="1665">
        <v>14640189835</v>
      </c>
      <c r="G243" s="1665">
        <v>14865134626</v>
      </c>
      <c r="H243" s="1665">
        <v>14640189835</v>
      </c>
    </row>
    <row r="244" spans="1:8">
      <c r="A244" t="s">
        <v>61</v>
      </c>
      <c r="B244" t="s">
        <v>7336</v>
      </c>
      <c r="C244" s="1665">
        <v>1707460357</v>
      </c>
      <c r="D244" s="1665">
        <v>1755698214</v>
      </c>
      <c r="E244" s="1665">
        <v>1755698214</v>
      </c>
      <c r="F244" s="1665">
        <v>1707460357</v>
      </c>
      <c r="G244" s="1665">
        <v>1755698214</v>
      </c>
      <c r="H244" s="1665">
        <v>1707460357</v>
      </c>
    </row>
    <row r="245" spans="1:8">
      <c r="A245" t="s">
        <v>641</v>
      </c>
      <c r="B245" t="s">
        <v>7337</v>
      </c>
      <c r="C245" s="1665">
        <v>3773452079</v>
      </c>
      <c r="D245" s="1665">
        <v>3865118227</v>
      </c>
      <c r="E245" s="1665">
        <v>3865118227</v>
      </c>
      <c r="F245" s="1665">
        <v>3773452079</v>
      </c>
      <c r="G245" s="1665">
        <v>3865118227</v>
      </c>
      <c r="H245" s="1665">
        <v>3773452079</v>
      </c>
    </row>
    <row r="246" spans="1:8">
      <c r="A246" t="s">
        <v>2504</v>
      </c>
      <c r="B246" t="s">
        <v>7338</v>
      </c>
      <c r="C246" s="1665">
        <v>1111983487</v>
      </c>
      <c r="D246" s="1665">
        <v>1129869477</v>
      </c>
      <c r="E246" s="1665">
        <v>1129869477</v>
      </c>
      <c r="F246" s="1665">
        <v>1111983487</v>
      </c>
      <c r="G246" s="1665">
        <v>1129869477</v>
      </c>
      <c r="H246" s="1665">
        <v>1111983487</v>
      </c>
    </row>
    <row r="247" spans="1:8">
      <c r="A247" t="s">
        <v>1839</v>
      </c>
      <c r="B247" t="s">
        <v>7339</v>
      </c>
      <c r="C247" s="1665">
        <v>440250775</v>
      </c>
      <c r="D247" s="1665">
        <v>442237715</v>
      </c>
      <c r="E247" s="1665">
        <v>442237715</v>
      </c>
      <c r="F247" s="1665">
        <v>440250775</v>
      </c>
      <c r="G247" s="1665">
        <v>442237715</v>
      </c>
      <c r="H247" s="1665">
        <v>440250775</v>
      </c>
    </row>
    <row r="248" spans="1:8">
      <c r="A248" t="s">
        <v>1185</v>
      </c>
      <c r="B248" t="s">
        <v>7340</v>
      </c>
      <c r="C248" s="1665">
        <v>635243936</v>
      </c>
      <c r="D248" s="1665">
        <v>654021549</v>
      </c>
      <c r="E248" s="1665">
        <v>654021549</v>
      </c>
      <c r="F248" s="1665">
        <v>635243936</v>
      </c>
      <c r="G248" s="1665">
        <v>1074391199</v>
      </c>
      <c r="H248" s="1665">
        <v>1055613586</v>
      </c>
    </row>
    <row r="249" spans="1:8">
      <c r="A249" t="s">
        <v>1840</v>
      </c>
      <c r="B249" t="s">
        <v>7341</v>
      </c>
      <c r="C249" s="1665">
        <v>1404491222</v>
      </c>
      <c r="D249" s="1665">
        <v>1413507392</v>
      </c>
      <c r="E249" s="1665">
        <v>1413507392</v>
      </c>
      <c r="F249" s="1665">
        <v>1404491222</v>
      </c>
      <c r="G249" s="1665">
        <v>1413507392</v>
      </c>
      <c r="H249" s="1665">
        <v>1404491222</v>
      </c>
    </row>
    <row r="250" spans="1:8">
      <c r="A250" t="s">
        <v>698</v>
      </c>
      <c r="B250" t="s">
        <v>7342</v>
      </c>
      <c r="C250" s="1665">
        <v>807470798</v>
      </c>
      <c r="D250" s="1665">
        <v>808738908</v>
      </c>
      <c r="E250" s="1665">
        <v>808738908</v>
      </c>
      <c r="F250" s="1665">
        <v>807470798</v>
      </c>
      <c r="G250" s="1665">
        <v>808738908</v>
      </c>
      <c r="H250" s="1665">
        <v>807470798</v>
      </c>
    </row>
    <row r="251" spans="1:8">
      <c r="A251" t="s">
        <v>299</v>
      </c>
      <c r="B251" t="s">
        <v>7343</v>
      </c>
      <c r="C251" s="1665">
        <v>75883609</v>
      </c>
      <c r="D251" s="1665">
        <v>79195896</v>
      </c>
      <c r="E251" s="1665">
        <v>79195896</v>
      </c>
      <c r="F251" s="1665">
        <v>75883609</v>
      </c>
      <c r="G251" s="1665">
        <v>79195896</v>
      </c>
      <c r="H251" s="1665">
        <v>75883609</v>
      </c>
    </row>
    <row r="252" spans="1:8">
      <c r="A252" t="s">
        <v>175</v>
      </c>
      <c r="B252" t="s">
        <v>7344</v>
      </c>
      <c r="C252" s="1665">
        <v>126922270</v>
      </c>
      <c r="D252" s="1665">
        <v>129691500</v>
      </c>
      <c r="E252" s="1665">
        <v>129691500</v>
      </c>
      <c r="F252" s="1665">
        <v>126922270</v>
      </c>
      <c r="G252" s="1665">
        <v>193966500</v>
      </c>
      <c r="H252" s="1665">
        <v>191197270</v>
      </c>
    </row>
    <row r="253" spans="1:8">
      <c r="A253" t="s">
        <v>176</v>
      </c>
      <c r="B253" t="s">
        <v>7345</v>
      </c>
      <c r="C253" s="1665">
        <v>86073862</v>
      </c>
      <c r="D253" s="1665">
        <v>86528342</v>
      </c>
      <c r="E253" s="1665">
        <v>86528342</v>
      </c>
      <c r="F253" s="1665">
        <v>86073862</v>
      </c>
      <c r="G253" s="1665">
        <v>86528342</v>
      </c>
      <c r="H253" s="1665">
        <v>86073862</v>
      </c>
    </row>
    <row r="254" spans="1:8">
      <c r="A254" t="s">
        <v>718</v>
      </c>
      <c r="B254" t="s">
        <v>7346</v>
      </c>
      <c r="C254" s="1665">
        <v>5275975041</v>
      </c>
      <c r="D254" s="1665">
        <v>5292622629</v>
      </c>
      <c r="E254" s="1665">
        <v>5279548503</v>
      </c>
      <c r="F254" s="1665">
        <v>5262900915</v>
      </c>
      <c r="G254" s="1665">
        <v>5279548503</v>
      </c>
      <c r="H254" s="1665">
        <v>5262900915</v>
      </c>
    </row>
    <row r="255" spans="1:8">
      <c r="A255" t="s">
        <v>2629</v>
      </c>
      <c r="B255" t="s">
        <v>7347</v>
      </c>
      <c r="C255" s="1665">
        <v>151695030</v>
      </c>
      <c r="D255" s="1665">
        <v>157502612</v>
      </c>
      <c r="E255" s="1665">
        <v>157502612</v>
      </c>
      <c r="F255" s="1665">
        <v>151695030</v>
      </c>
      <c r="G255" s="1665">
        <v>301409452</v>
      </c>
      <c r="H255" s="1665">
        <v>295601870</v>
      </c>
    </row>
    <row r="256" spans="1:8">
      <c r="A256" t="s">
        <v>1556</v>
      </c>
      <c r="B256" t="s">
        <v>7348</v>
      </c>
      <c r="C256" s="1665">
        <v>55728662</v>
      </c>
      <c r="D256" s="1665">
        <v>56389599</v>
      </c>
      <c r="E256" s="1665">
        <v>56389599</v>
      </c>
      <c r="F256" s="1665">
        <v>55728662</v>
      </c>
      <c r="G256" s="1665">
        <v>56389599</v>
      </c>
      <c r="H256" s="1665">
        <v>55728662</v>
      </c>
    </row>
    <row r="257" spans="1:8">
      <c r="A257" t="s">
        <v>2630</v>
      </c>
      <c r="B257" t="s">
        <v>7349</v>
      </c>
      <c r="C257" s="1665">
        <v>25382074</v>
      </c>
      <c r="D257" s="1665">
        <v>25684358</v>
      </c>
      <c r="E257" s="1665">
        <v>25472051</v>
      </c>
      <c r="F257" s="1665">
        <v>25169767</v>
      </c>
      <c r="G257" s="1665">
        <v>25472051</v>
      </c>
      <c r="H257" s="1665">
        <v>25169767</v>
      </c>
    </row>
    <row r="258" spans="1:8">
      <c r="A258" t="s">
        <v>2631</v>
      </c>
      <c r="B258" t="s">
        <v>7350</v>
      </c>
      <c r="C258" s="1665">
        <v>210139973</v>
      </c>
      <c r="D258" s="1665">
        <v>213786586</v>
      </c>
      <c r="E258" s="1665">
        <v>213786586</v>
      </c>
      <c r="F258" s="1665">
        <v>210139973</v>
      </c>
      <c r="G258" s="1665">
        <v>213786586</v>
      </c>
      <c r="H258" s="1665">
        <v>210139973</v>
      </c>
    </row>
    <row r="259" spans="1:8">
      <c r="A259" t="s">
        <v>719</v>
      </c>
      <c r="B259" t="s">
        <v>7351</v>
      </c>
      <c r="C259" s="1665">
        <v>209248561</v>
      </c>
      <c r="D259" s="1665">
        <v>217796083</v>
      </c>
      <c r="E259" s="1665">
        <v>217796083</v>
      </c>
      <c r="F259" s="1665">
        <v>209248561</v>
      </c>
      <c r="G259" s="1665">
        <v>217796083</v>
      </c>
      <c r="H259" s="1665">
        <v>209248561</v>
      </c>
    </row>
    <row r="260" spans="1:8">
      <c r="A260" t="s">
        <v>678</v>
      </c>
      <c r="B260" t="s">
        <v>7352</v>
      </c>
      <c r="C260" s="1665">
        <v>266521211</v>
      </c>
      <c r="D260" s="1665">
        <v>272541323</v>
      </c>
      <c r="E260" s="1665">
        <v>268929590</v>
      </c>
      <c r="F260" s="1665">
        <v>262909478</v>
      </c>
      <c r="G260" s="1665">
        <v>268929590</v>
      </c>
      <c r="H260" s="1665">
        <v>262909478</v>
      </c>
    </row>
    <row r="261" spans="1:8">
      <c r="A261" t="s">
        <v>2149</v>
      </c>
      <c r="B261" t="s">
        <v>7353</v>
      </c>
      <c r="C261" s="1665">
        <v>427705337</v>
      </c>
      <c r="D261" s="1665">
        <v>438350787</v>
      </c>
      <c r="E261" s="1665">
        <v>438350787</v>
      </c>
      <c r="F261" s="1665">
        <v>427705337</v>
      </c>
      <c r="G261" s="1665">
        <v>438350787</v>
      </c>
      <c r="H261" s="1665">
        <v>427705337</v>
      </c>
    </row>
    <row r="262" spans="1:8">
      <c r="A262" t="s">
        <v>2297</v>
      </c>
      <c r="B262" t="s">
        <v>7354</v>
      </c>
      <c r="C262" s="1665">
        <v>484289050</v>
      </c>
      <c r="D262" s="1665">
        <v>498101180</v>
      </c>
      <c r="E262" s="1665">
        <v>498101180</v>
      </c>
      <c r="F262" s="1665">
        <v>484289050</v>
      </c>
      <c r="G262" s="1665">
        <v>498101180</v>
      </c>
      <c r="H262" s="1665">
        <v>484289050</v>
      </c>
    </row>
    <row r="263" spans="1:8">
      <c r="A263" t="s">
        <v>1788</v>
      </c>
      <c r="B263" t="s">
        <v>7355</v>
      </c>
      <c r="C263" s="1665">
        <v>118014970</v>
      </c>
      <c r="D263" s="1665">
        <v>121601106</v>
      </c>
      <c r="E263" s="1665">
        <v>121601106</v>
      </c>
      <c r="F263" s="1665">
        <v>118014970</v>
      </c>
      <c r="G263" s="1665">
        <v>121601106</v>
      </c>
      <c r="H263" s="1665">
        <v>118014970</v>
      </c>
    </row>
    <row r="264" spans="1:8">
      <c r="A264" t="s">
        <v>616</v>
      </c>
      <c r="B264" t="s">
        <v>7356</v>
      </c>
      <c r="C264" s="1665">
        <v>133610041</v>
      </c>
      <c r="D264" s="1665">
        <v>137534761</v>
      </c>
      <c r="E264" s="1665">
        <v>137534761</v>
      </c>
      <c r="F264" s="1665">
        <v>133610041</v>
      </c>
      <c r="G264" s="1665">
        <v>137534761</v>
      </c>
      <c r="H264" s="1665">
        <v>133610041</v>
      </c>
    </row>
    <row r="265" spans="1:8">
      <c r="A265" t="s">
        <v>918</v>
      </c>
      <c r="B265" t="s">
        <v>7357</v>
      </c>
      <c r="C265" s="1665">
        <v>48560012</v>
      </c>
      <c r="D265" s="1665">
        <v>51369192</v>
      </c>
      <c r="E265" s="1665">
        <v>51369192</v>
      </c>
      <c r="F265" s="1665">
        <v>48560012</v>
      </c>
      <c r="G265" s="1665">
        <v>51369192</v>
      </c>
      <c r="H265" s="1665">
        <v>48560012</v>
      </c>
    </row>
    <row r="266" spans="1:8">
      <c r="A266" t="s">
        <v>2132</v>
      </c>
      <c r="B266" t="s">
        <v>7358</v>
      </c>
      <c r="C266" s="1665">
        <v>12907761222</v>
      </c>
      <c r="D266" s="1665">
        <v>13168020794</v>
      </c>
      <c r="E266" s="1665">
        <v>12772938486</v>
      </c>
      <c r="F266" s="1665">
        <v>12512678914</v>
      </c>
      <c r="G266" s="1665">
        <v>12772938486</v>
      </c>
      <c r="H266" s="1665">
        <v>12512678914</v>
      </c>
    </row>
    <row r="267" spans="1:8">
      <c r="A267" t="s">
        <v>2581</v>
      </c>
      <c r="B267" t="s">
        <v>7359</v>
      </c>
      <c r="C267" s="1665">
        <v>299289912</v>
      </c>
      <c r="D267" s="1665">
        <v>302417623</v>
      </c>
      <c r="E267" s="1665">
        <v>302417623</v>
      </c>
      <c r="F267" s="1665">
        <v>299289912</v>
      </c>
      <c r="G267" s="1665">
        <v>302417623</v>
      </c>
      <c r="H267" s="1665">
        <v>299289912</v>
      </c>
    </row>
    <row r="268" spans="1:8">
      <c r="A268" t="s">
        <v>2393</v>
      </c>
      <c r="B268" t="s">
        <v>7360</v>
      </c>
      <c r="C268" s="1665">
        <v>237664699</v>
      </c>
      <c r="D268" s="1665">
        <v>241869239</v>
      </c>
      <c r="E268" s="1665">
        <v>241869239</v>
      </c>
      <c r="F268" s="1665">
        <v>237664699</v>
      </c>
      <c r="G268" s="1665">
        <v>241869239</v>
      </c>
      <c r="H268" s="1665">
        <v>237664699</v>
      </c>
    </row>
    <row r="269" spans="1:8">
      <c r="A269" t="s">
        <v>246</v>
      </c>
      <c r="B269" t="s">
        <v>7361</v>
      </c>
      <c r="C269" s="1665">
        <v>36619680</v>
      </c>
      <c r="D269" s="1665">
        <v>37934779</v>
      </c>
      <c r="E269" s="1665">
        <v>37934779</v>
      </c>
      <c r="F269" s="1665">
        <v>36619680</v>
      </c>
      <c r="G269" s="1665">
        <v>37934779</v>
      </c>
      <c r="H269" s="1665">
        <v>36619680</v>
      </c>
    </row>
    <row r="270" spans="1:8">
      <c r="A270" t="s">
        <v>1405</v>
      </c>
      <c r="B270" t="s">
        <v>7362</v>
      </c>
      <c r="C270" s="1665">
        <v>1940229553</v>
      </c>
      <c r="D270" s="1665">
        <v>1985580429</v>
      </c>
      <c r="E270" s="1665">
        <v>1985580429</v>
      </c>
      <c r="F270" s="1665">
        <v>1940229553</v>
      </c>
      <c r="G270" s="1665">
        <v>1985580429</v>
      </c>
      <c r="H270" s="1665">
        <v>1940229553</v>
      </c>
    </row>
    <row r="271" spans="1:8">
      <c r="A271" t="s">
        <v>1406</v>
      </c>
      <c r="B271" t="s">
        <v>7363</v>
      </c>
      <c r="C271" s="1665">
        <v>354934663</v>
      </c>
      <c r="D271" s="1665">
        <v>371000263</v>
      </c>
      <c r="E271" s="1665">
        <v>371000263</v>
      </c>
      <c r="F271" s="1665">
        <v>354934663</v>
      </c>
      <c r="G271" s="1665">
        <v>371000263</v>
      </c>
      <c r="H271" s="1665">
        <v>354934663</v>
      </c>
    </row>
    <row r="272" spans="1:8">
      <c r="A272" t="s">
        <v>720</v>
      </c>
      <c r="B272" t="s">
        <v>7364</v>
      </c>
      <c r="C272" s="1665">
        <v>111831029</v>
      </c>
      <c r="D272" s="1665">
        <v>117147885</v>
      </c>
      <c r="E272" s="1665">
        <v>117147885</v>
      </c>
      <c r="F272" s="1665">
        <v>111831029</v>
      </c>
      <c r="G272" s="1665">
        <v>117147885</v>
      </c>
      <c r="H272" s="1665">
        <v>111831029</v>
      </c>
    </row>
    <row r="273" spans="1:8">
      <c r="A273" t="s">
        <v>1401</v>
      </c>
      <c r="B273" t="s">
        <v>7365</v>
      </c>
      <c r="C273" s="1665">
        <v>3823934553</v>
      </c>
      <c r="D273" s="1665">
        <v>3921664352</v>
      </c>
      <c r="E273" s="1665">
        <v>3801243470</v>
      </c>
      <c r="F273" s="1665">
        <v>3703513671</v>
      </c>
      <c r="G273" s="1665">
        <v>3801243470</v>
      </c>
      <c r="H273" s="1665">
        <v>3703513671</v>
      </c>
    </row>
    <row r="274" spans="1:8">
      <c r="A274" t="s">
        <v>932</v>
      </c>
      <c r="B274" t="s">
        <v>7366</v>
      </c>
      <c r="C274" s="1665">
        <v>76628221</v>
      </c>
      <c r="D274" s="1665">
        <v>78855541</v>
      </c>
      <c r="E274" s="1665">
        <v>78855541</v>
      </c>
      <c r="F274" s="1665">
        <v>76628221</v>
      </c>
      <c r="G274" s="1665">
        <v>78855541</v>
      </c>
      <c r="H274" s="1665">
        <v>76628221</v>
      </c>
    </row>
    <row r="275" spans="1:8">
      <c r="A275" t="s">
        <v>247</v>
      </c>
      <c r="B275" t="s">
        <v>7367</v>
      </c>
      <c r="C275" s="1665">
        <v>252408668</v>
      </c>
      <c r="D275" s="1665">
        <v>263447023</v>
      </c>
      <c r="E275" s="1665">
        <v>263447023</v>
      </c>
      <c r="F275" s="1665">
        <v>252408668</v>
      </c>
      <c r="G275" s="1665">
        <v>263447023</v>
      </c>
      <c r="H275" s="1665">
        <v>252408668</v>
      </c>
    </row>
    <row r="276" spans="1:8">
      <c r="A276" t="s">
        <v>2084</v>
      </c>
      <c r="B276" t="s">
        <v>7368</v>
      </c>
      <c r="C276" s="1665">
        <v>1635785031</v>
      </c>
      <c r="D276" s="1665">
        <v>1699072560</v>
      </c>
      <c r="E276" s="1665">
        <v>1699072560</v>
      </c>
      <c r="F276" s="1665">
        <v>1635785031</v>
      </c>
      <c r="G276" s="1665">
        <v>1739409970</v>
      </c>
      <c r="H276" s="1665">
        <v>1676122441</v>
      </c>
    </row>
    <row r="277" spans="1:8">
      <c r="A277" t="s">
        <v>343</v>
      </c>
      <c r="B277" t="s">
        <v>7369</v>
      </c>
      <c r="C277" s="1665">
        <v>3632221479</v>
      </c>
      <c r="D277" s="1665">
        <v>3726106122</v>
      </c>
      <c r="E277" s="1665">
        <v>3726106122</v>
      </c>
      <c r="F277" s="1665">
        <v>3632221479</v>
      </c>
      <c r="G277" s="1665">
        <v>3726106122</v>
      </c>
      <c r="H277" s="1665">
        <v>3632221479</v>
      </c>
    </row>
    <row r="278" spans="1:8">
      <c r="A278" t="s">
        <v>721</v>
      </c>
      <c r="B278" t="s">
        <v>7370</v>
      </c>
      <c r="C278" s="1665">
        <v>310283639</v>
      </c>
      <c r="D278" s="1665">
        <v>321345699</v>
      </c>
      <c r="E278" s="1665">
        <v>321345699</v>
      </c>
      <c r="F278" s="1665">
        <v>310283639</v>
      </c>
      <c r="G278" s="1665">
        <v>321345699</v>
      </c>
      <c r="H278" s="1665">
        <v>310283639</v>
      </c>
    </row>
    <row r="279" spans="1:8">
      <c r="A279" t="s">
        <v>576</v>
      </c>
      <c r="B279" t="s">
        <v>7371</v>
      </c>
      <c r="C279" s="1665">
        <v>1167807971</v>
      </c>
      <c r="D279" s="1665">
        <v>1229869923</v>
      </c>
      <c r="E279" s="1665">
        <v>1229869923</v>
      </c>
      <c r="F279" s="1665">
        <v>1167807971</v>
      </c>
      <c r="G279" s="1665">
        <v>1229869923</v>
      </c>
      <c r="H279" s="1665">
        <v>1167807971</v>
      </c>
    </row>
    <row r="280" spans="1:8">
      <c r="A280" t="s">
        <v>2413</v>
      </c>
      <c r="B280" t="s">
        <v>7372</v>
      </c>
      <c r="C280" s="1665">
        <v>15781215689</v>
      </c>
      <c r="D280" s="1665">
        <v>16329534603</v>
      </c>
      <c r="E280" s="1665">
        <v>16329534603</v>
      </c>
      <c r="F280" s="1665">
        <v>15781215689</v>
      </c>
      <c r="G280" s="1665">
        <v>16329534603</v>
      </c>
      <c r="H280" s="1665">
        <v>15781215689</v>
      </c>
    </row>
    <row r="281" spans="1:8">
      <c r="A281" t="s">
        <v>775</v>
      </c>
      <c r="B281" t="s">
        <v>7373</v>
      </c>
      <c r="C281" s="1665">
        <v>186558024</v>
      </c>
      <c r="D281" s="1665">
        <v>194815818</v>
      </c>
      <c r="E281" s="1665">
        <v>194815818</v>
      </c>
      <c r="F281" s="1665">
        <v>186558024</v>
      </c>
      <c r="G281" s="1665">
        <v>194815818</v>
      </c>
      <c r="H281" s="1665">
        <v>186558024</v>
      </c>
    </row>
    <row r="282" spans="1:8">
      <c r="A282" t="s">
        <v>184</v>
      </c>
      <c r="B282" t="s">
        <v>7374</v>
      </c>
      <c r="C282" s="1665">
        <v>218393949</v>
      </c>
      <c r="D282" s="1665">
        <v>232019363</v>
      </c>
      <c r="E282" s="1665">
        <v>232019363</v>
      </c>
      <c r="F282" s="1665">
        <v>218393949</v>
      </c>
      <c r="G282" s="1665">
        <v>232019363</v>
      </c>
      <c r="H282" s="1665">
        <v>218393949</v>
      </c>
    </row>
    <row r="283" spans="1:8">
      <c r="A283" t="s">
        <v>1186</v>
      </c>
      <c r="B283" t="s">
        <v>7375</v>
      </c>
      <c r="C283" s="1665">
        <v>6863381367</v>
      </c>
      <c r="D283" s="1665">
        <v>7223769920</v>
      </c>
      <c r="E283" s="1665">
        <v>6841422452</v>
      </c>
      <c r="F283" s="1665">
        <v>6481033899</v>
      </c>
      <c r="G283" s="1665">
        <v>6841422452</v>
      </c>
      <c r="H283" s="1665">
        <v>6481033899</v>
      </c>
    </row>
    <row r="284" spans="1:8">
      <c r="A284" t="s">
        <v>2098</v>
      </c>
      <c r="B284" t="s">
        <v>7376</v>
      </c>
      <c r="C284" s="1665">
        <v>188167732</v>
      </c>
      <c r="D284" s="1665">
        <v>195354032</v>
      </c>
      <c r="E284" s="1665">
        <v>195354032</v>
      </c>
      <c r="F284" s="1665">
        <v>188167732</v>
      </c>
      <c r="G284" s="1665">
        <v>195354032</v>
      </c>
      <c r="H284" s="1665">
        <v>188167732</v>
      </c>
    </row>
    <row r="285" spans="1:8">
      <c r="A285" t="s">
        <v>1888</v>
      </c>
      <c r="B285" t="s">
        <v>7377</v>
      </c>
      <c r="C285" s="1665">
        <v>2011343041</v>
      </c>
      <c r="D285" s="1665">
        <v>2063822163</v>
      </c>
      <c r="E285" s="1665">
        <v>2063822163</v>
      </c>
      <c r="F285" s="1665">
        <v>2011343041</v>
      </c>
      <c r="G285" s="1665">
        <v>2063822163</v>
      </c>
      <c r="H285" s="1665">
        <v>2011343041</v>
      </c>
    </row>
    <row r="286" spans="1:8">
      <c r="A286" t="s">
        <v>1517</v>
      </c>
      <c r="B286" t="s">
        <v>7378</v>
      </c>
      <c r="C286" s="1665">
        <v>71429502</v>
      </c>
      <c r="D286" s="1665">
        <v>73703648</v>
      </c>
      <c r="E286" s="1665">
        <v>73703648</v>
      </c>
      <c r="F286" s="1665">
        <v>71429502</v>
      </c>
      <c r="G286" s="1665">
        <v>73703648</v>
      </c>
      <c r="H286" s="1665">
        <v>71429502</v>
      </c>
    </row>
    <row r="287" spans="1:8">
      <c r="A287" t="s">
        <v>1151</v>
      </c>
      <c r="B287" t="s">
        <v>7379</v>
      </c>
      <c r="C287" s="1665">
        <v>9414919981</v>
      </c>
      <c r="D287" s="1665">
        <v>9828562366</v>
      </c>
      <c r="E287" s="1665">
        <v>9828562366</v>
      </c>
      <c r="F287" s="1665">
        <v>9414919981</v>
      </c>
      <c r="G287" s="1665">
        <v>9828562366</v>
      </c>
      <c r="H287" s="1665">
        <v>9414919981</v>
      </c>
    </row>
    <row r="288" spans="1:8">
      <c r="A288" t="s">
        <v>2414</v>
      </c>
      <c r="B288" t="s">
        <v>7380</v>
      </c>
      <c r="C288" s="1665">
        <v>49448923</v>
      </c>
      <c r="D288" s="1665">
        <v>50739203</v>
      </c>
      <c r="E288" s="1665">
        <v>50739203</v>
      </c>
      <c r="F288" s="1665">
        <v>49448923</v>
      </c>
      <c r="G288" s="1665">
        <v>50739203</v>
      </c>
      <c r="H288" s="1665">
        <v>49448923</v>
      </c>
    </row>
    <row r="289" spans="1:8">
      <c r="A289" t="s">
        <v>2415</v>
      </c>
      <c r="B289" t="s">
        <v>7381</v>
      </c>
      <c r="C289" s="1665">
        <v>319560192</v>
      </c>
      <c r="D289" s="1665">
        <v>332405638</v>
      </c>
      <c r="E289" s="1665">
        <v>332405638</v>
      </c>
      <c r="F289" s="1665">
        <v>319560192</v>
      </c>
      <c r="G289" s="1665">
        <v>332405638</v>
      </c>
      <c r="H289" s="1665">
        <v>319560192</v>
      </c>
    </row>
    <row r="290" spans="1:8">
      <c r="A290" t="s">
        <v>1511</v>
      </c>
      <c r="B290" t="s">
        <v>7382</v>
      </c>
      <c r="C290" s="1665">
        <v>1670321409</v>
      </c>
      <c r="D290" s="1665">
        <v>1712540737</v>
      </c>
      <c r="E290" s="1665">
        <v>1712540737</v>
      </c>
      <c r="F290" s="1665">
        <v>1670321409</v>
      </c>
      <c r="G290" s="1665">
        <v>1712540737</v>
      </c>
      <c r="H290" s="1665">
        <v>1670321409</v>
      </c>
    </row>
    <row r="291" spans="1:8">
      <c r="A291" t="s">
        <v>1830</v>
      </c>
      <c r="B291" t="s">
        <v>7383</v>
      </c>
      <c r="C291" s="1665">
        <v>140371642</v>
      </c>
      <c r="D291" s="1665">
        <v>143331272</v>
      </c>
      <c r="E291" s="1665">
        <v>143331272</v>
      </c>
      <c r="F291" s="1665">
        <v>140371642</v>
      </c>
      <c r="G291" s="1665">
        <v>143331272</v>
      </c>
      <c r="H291" s="1665">
        <v>140371642</v>
      </c>
    </row>
    <row r="292" spans="1:8">
      <c r="A292" t="s">
        <v>1831</v>
      </c>
      <c r="B292" t="s">
        <v>7384</v>
      </c>
      <c r="C292" s="1665">
        <v>143008316</v>
      </c>
      <c r="D292" s="1665">
        <v>146374767</v>
      </c>
      <c r="E292" s="1665">
        <v>146374767</v>
      </c>
      <c r="F292" s="1665">
        <v>143008316</v>
      </c>
      <c r="G292" s="1665">
        <v>146374767</v>
      </c>
      <c r="H292" s="1665">
        <v>143008316</v>
      </c>
    </row>
    <row r="293" spans="1:8">
      <c r="A293" t="s">
        <v>1232</v>
      </c>
      <c r="B293" t="s">
        <v>7385</v>
      </c>
      <c r="C293" s="1665">
        <v>88239533</v>
      </c>
      <c r="D293" s="1665">
        <v>90584723</v>
      </c>
      <c r="E293" s="1665">
        <v>90584723</v>
      </c>
      <c r="F293" s="1665">
        <v>88239533</v>
      </c>
      <c r="G293" s="1665">
        <v>111684723</v>
      </c>
      <c r="H293" s="1665">
        <v>109339533</v>
      </c>
    </row>
    <row r="294" spans="1:8">
      <c r="A294" t="s">
        <v>1832</v>
      </c>
      <c r="B294" t="s">
        <v>7386</v>
      </c>
      <c r="C294" s="1665">
        <v>93738770</v>
      </c>
      <c r="D294" s="1665">
        <v>96289480</v>
      </c>
      <c r="E294" s="1665">
        <v>96289480</v>
      </c>
      <c r="F294" s="1665">
        <v>93738770</v>
      </c>
      <c r="G294" s="1665">
        <v>96289480</v>
      </c>
      <c r="H294" s="1665">
        <v>93738770</v>
      </c>
    </row>
    <row r="295" spans="1:8">
      <c r="A295" t="s">
        <v>201</v>
      </c>
      <c r="B295" t="s">
        <v>7387</v>
      </c>
      <c r="C295" s="1665">
        <v>60889119</v>
      </c>
      <c r="D295" s="1665">
        <v>64267970</v>
      </c>
      <c r="E295" s="1665">
        <v>64267970</v>
      </c>
      <c r="F295" s="1665">
        <v>60889119</v>
      </c>
      <c r="G295" s="1665">
        <v>64267970</v>
      </c>
      <c r="H295" s="1665">
        <v>60889119</v>
      </c>
    </row>
    <row r="296" spans="1:8">
      <c r="A296" t="s">
        <v>1834</v>
      </c>
      <c r="B296" t="s">
        <v>7388</v>
      </c>
      <c r="C296" s="1665">
        <v>238020679</v>
      </c>
      <c r="D296" s="1665">
        <v>249635015</v>
      </c>
      <c r="E296" s="1665">
        <v>249635015</v>
      </c>
      <c r="F296" s="1665">
        <v>238020679</v>
      </c>
      <c r="G296" s="1665">
        <v>249635015</v>
      </c>
      <c r="H296" s="1665">
        <v>238020679</v>
      </c>
    </row>
    <row r="297" spans="1:8">
      <c r="A297" t="s">
        <v>1842</v>
      </c>
      <c r="B297" t="s">
        <v>7389</v>
      </c>
      <c r="C297" s="1665">
        <v>17972784</v>
      </c>
      <c r="D297" s="1665">
        <v>19117643</v>
      </c>
      <c r="E297" s="1665">
        <v>19117643</v>
      </c>
      <c r="F297" s="1665">
        <v>17972784</v>
      </c>
      <c r="G297" s="1665">
        <v>19117643</v>
      </c>
      <c r="H297" s="1665">
        <v>17972784</v>
      </c>
    </row>
    <row r="298" spans="1:8">
      <c r="A298" t="s">
        <v>202</v>
      </c>
      <c r="B298" t="s">
        <v>7390</v>
      </c>
      <c r="C298" s="1665">
        <v>220860369</v>
      </c>
      <c r="D298" s="1665">
        <v>229850640</v>
      </c>
      <c r="E298" s="1665">
        <v>229850640</v>
      </c>
      <c r="F298" s="1665">
        <v>220860369</v>
      </c>
      <c r="G298" s="1665">
        <v>229850640</v>
      </c>
      <c r="H298" s="1665">
        <v>220860369</v>
      </c>
    </row>
    <row r="299" spans="1:8">
      <c r="A299" t="s">
        <v>203</v>
      </c>
      <c r="B299" t="s">
        <v>7391</v>
      </c>
      <c r="C299" s="1665">
        <v>639458459</v>
      </c>
      <c r="D299" s="1665">
        <v>669976202</v>
      </c>
      <c r="E299" s="1665">
        <v>669976202</v>
      </c>
      <c r="F299" s="1665">
        <v>639458459</v>
      </c>
      <c r="G299" s="1665">
        <v>669976202</v>
      </c>
      <c r="H299" s="1665">
        <v>639458459</v>
      </c>
    </row>
    <row r="300" spans="1:8">
      <c r="A300" t="s">
        <v>1233</v>
      </c>
      <c r="B300" t="s">
        <v>7392</v>
      </c>
      <c r="C300" s="1665">
        <v>53962729</v>
      </c>
      <c r="D300" s="1665">
        <v>56898106</v>
      </c>
      <c r="E300" s="1665">
        <v>56898106</v>
      </c>
      <c r="F300" s="1665">
        <v>53962729</v>
      </c>
      <c r="G300" s="1665">
        <v>56898106</v>
      </c>
      <c r="H300" s="1665">
        <v>53962729</v>
      </c>
    </row>
    <row r="301" spans="1:8">
      <c r="A301" t="s">
        <v>722</v>
      </c>
      <c r="B301" t="s">
        <v>7393</v>
      </c>
      <c r="C301" s="1665">
        <v>44849531</v>
      </c>
      <c r="D301" s="1665">
        <v>47230859</v>
      </c>
      <c r="E301" s="1665">
        <v>47230859</v>
      </c>
      <c r="F301" s="1665">
        <v>44849531</v>
      </c>
      <c r="G301" s="1665">
        <v>47230859</v>
      </c>
      <c r="H301" s="1665">
        <v>44849531</v>
      </c>
    </row>
    <row r="302" spans="1:8">
      <c r="A302" t="s">
        <v>204</v>
      </c>
      <c r="B302" t="s">
        <v>7394</v>
      </c>
      <c r="C302" s="1665">
        <v>183837009</v>
      </c>
      <c r="D302" s="1665">
        <v>191889577</v>
      </c>
      <c r="E302" s="1665">
        <v>191889577</v>
      </c>
      <c r="F302" s="1665">
        <v>183837009</v>
      </c>
      <c r="G302" s="1665">
        <v>191889577</v>
      </c>
      <c r="H302" s="1665">
        <v>183837009</v>
      </c>
    </row>
    <row r="303" spans="1:8">
      <c r="A303" t="s">
        <v>205</v>
      </c>
      <c r="B303" t="s">
        <v>7395</v>
      </c>
      <c r="C303" s="1665">
        <v>178929933</v>
      </c>
      <c r="D303" s="1665">
        <v>187521675</v>
      </c>
      <c r="E303" s="1665">
        <v>187521675</v>
      </c>
      <c r="F303" s="1665">
        <v>178929933</v>
      </c>
      <c r="G303" s="1665">
        <v>187521675</v>
      </c>
      <c r="H303" s="1665">
        <v>178929933</v>
      </c>
    </row>
    <row r="304" spans="1:8">
      <c r="A304" t="s">
        <v>1741</v>
      </c>
      <c r="B304" t="s">
        <v>7396</v>
      </c>
      <c r="C304" s="1665">
        <v>91954833</v>
      </c>
      <c r="D304" s="1665">
        <v>96616777</v>
      </c>
      <c r="E304" s="1665">
        <v>96616777</v>
      </c>
      <c r="F304" s="1665">
        <v>91954833</v>
      </c>
      <c r="G304" s="1665">
        <v>96616777</v>
      </c>
      <c r="H304" s="1665">
        <v>91954833</v>
      </c>
    </row>
    <row r="305" spans="1:8">
      <c r="A305" t="s">
        <v>1742</v>
      </c>
      <c r="B305" t="s">
        <v>7397</v>
      </c>
      <c r="C305" s="1665">
        <v>185351097</v>
      </c>
      <c r="D305" s="1665">
        <v>193636933</v>
      </c>
      <c r="E305" s="1665">
        <v>193636933</v>
      </c>
      <c r="F305" s="1665">
        <v>185351097</v>
      </c>
      <c r="G305" s="1665">
        <v>193636933</v>
      </c>
      <c r="H305" s="1665">
        <v>185351097</v>
      </c>
    </row>
    <row r="306" spans="1:8">
      <c r="A306" t="s">
        <v>1234</v>
      </c>
      <c r="B306" t="s">
        <v>7398</v>
      </c>
      <c r="C306" s="1665">
        <v>107914793</v>
      </c>
      <c r="D306" s="1665">
        <v>114735092</v>
      </c>
      <c r="E306" s="1665">
        <v>114735092</v>
      </c>
      <c r="F306" s="1665">
        <v>107914793</v>
      </c>
      <c r="G306" s="1665">
        <v>114735092</v>
      </c>
      <c r="H306" s="1665">
        <v>107914793</v>
      </c>
    </row>
    <row r="307" spans="1:8">
      <c r="A307" t="s">
        <v>2571</v>
      </c>
      <c r="B307" t="s">
        <v>7399</v>
      </c>
      <c r="C307" s="1665">
        <v>397359635</v>
      </c>
      <c r="D307" s="1665">
        <v>406259431</v>
      </c>
      <c r="E307" s="1665">
        <v>406259431</v>
      </c>
      <c r="F307" s="1665">
        <v>397359635</v>
      </c>
      <c r="G307" s="1665">
        <v>406259431</v>
      </c>
      <c r="H307" s="1665">
        <v>397359635</v>
      </c>
    </row>
    <row r="308" spans="1:8">
      <c r="A308" t="s">
        <v>1697</v>
      </c>
      <c r="B308" t="s">
        <v>7400</v>
      </c>
      <c r="C308" s="1665">
        <v>1083171818</v>
      </c>
      <c r="D308" s="1665">
        <v>1113112317</v>
      </c>
      <c r="E308" s="1665">
        <v>1113112317</v>
      </c>
      <c r="F308" s="1665">
        <v>1083171818</v>
      </c>
      <c r="G308" s="1665">
        <v>1113112317</v>
      </c>
      <c r="H308" s="1665">
        <v>1083171818</v>
      </c>
    </row>
    <row r="309" spans="1:8">
      <c r="A309" t="s">
        <v>1698</v>
      </c>
      <c r="B309" t="s">
        <v>7401</v>
      </c>
      <c r="C309" s="1665">
        <v>461290735</v>
      </c>
      <c r="D309" s="1665">
        <v>473971987</v>
      </c>
      <c r="E309" s="1665">
        <v>473971987</v>
      </c>
      <c r="F309" s="1665">
        <v>461290735</v>
      </c>
      <c r="G309" s="1665">
        <v>473971987</v>
      </c>
      <c r="H309" s="1665">
        <v>461290735</v>
      </c>
    </row>
    <row r="310" spans="1:8">
      <c r="A310" t="s">
        <v>921</v>
      </c>
      <c r="B310" t="s">
        <v>7402</v>
      </c>
      <c r="C310" s="1665">
        <v>181044341</v>
      </c>
      <c r="D310" s="1665">
        <v>186011062</v>
      </c>
      <c r="E310" s="1665">
        <v>186011062</v>
      </c>
      <c r="F310" s="1665">
        <v>181044341</v>
      </c>
      <c r="G310" s="1665">
        <v>186011062</v>
      </c>
      <c r="H310" s="1665">
        <v>181044341</v>
      </c>
    </row>
    <row r="311" spans="1:8">
      <c r="A311" t="s">
        <v>65</v>
      </c>
      <c r="B311" t="s">
        <v>7403</v>
      </c>
      <c r="C311" s="1665">
        <v>304035280</v>
      </c>
      <c r="D311" s="1665">
        <v>310082559</v>
      </c>
      <c r="E311" s="1665">
        <v>298362842</v>
      </c>
      <c r="F311" s="1665">
        <v>292315563</v>
      </c>
      <c r="G311" s="1665">
        <v>298362842</v>
      </c>
      <c r="H311" s="1665">
        <v>292315563</v>
      </c>
    </row>
    <row r="312" spans="1:8">
      <c r="A312" t="s">
        <v>754</v>
      </c>
      <c r="B312" t="s">
        <v>7404</v>
      </c>
      <c r="C312" s="1665">
        <v>118422132</v>
      </c>
      <c r="D312" s="1665">
        <v>121623512</v>
      </c>
      <c r="E312" s="1665">
        <v>121623512</v>
      </c>
      <c r="F312" s="1665">
        <v>118422132</v>
      </c>
      <c r="G312" s="1665">
        <v>121623512</v>
      </c>
      <c r="H312" s="1665">
        <v>118422132</v>
      </c>
    </row>
    <row r="313" spans="1:8">
      <c r="A313" t="s">
        <v>2505</v>
      </c>
      <c r="B313" t="s">
        <v>7405</v>
      </c>
      <c r="C313" s="1665">
        <v>123557262</v>
      </c>
      <c r="D313" s="1665">
        <v>126952352</v>
      </c>
      <c r="E313" s="1665">
        <v>126952352</v>
      </c>
      <c r="F313" s="1665">
        <v>123557262</v>
      </c>
      <c r="G313" s="1665">
        <v>143433352</v>
      </c>
      <c r="H313" s="1665">
        <v>140038262</v>
      </c>
    </row>
    <row r="314" spans="1:8">
      <c r="A314" t="s">
        <v>627</v>
      </c>
      <c r="B314" t="s">
        <v>7406</v>
      </c>
      <c r="C314" s="1665">
        <v>322706183</v>
      </c>
      <c r="D314" s="1665">
        <v>328741163</v>
      </c>
      <c r="E314" s="1665">
        <v>328741163</v>
      </c>
      <c r="F314" s="1665">
        <v>322706183</v>
      </c>
      <c r="G314" s="1665">
        <v>899857193</v>
      </c>
      <c r="H314" s="1665">
        <v>893822213</v>
      </c>
    </row>
    <row r="315" spans="1:8">
      <c r="A315" t="s">
        <v>628</v>
      </c>
      <c r="B315" t="s">
        <v>7407</v>
      </c>
      <c r="C315" s="1665">
        <v>119460238</v>
      </c>
      <c r="D315" s="1665">
        <v>123398148</v>
      </c>
      <c r="E315" s="1665">
        <v>123398148</v>
      </c>
      <c r="F315" s="1665">
        <v>119460238</v>
      </c>
      <c r="G315" s="1665">
        <v>508986028</v>
      </c>
      <c r="H315" s="1665">
        <v>505048118</v>
      </c>
    </row>
    <row r="316" spans="1:8">
      <c r="A316" t="s">
        <v>629</v>
      </c>
      <c r="B316" t="s">
        <v>7408</v>
      </c>
      <c r="C316" s="1665">
        <v>222511697</v>
      </c>
      <c r="D316" s="1665">
        <v>224789227</v>
      </c>
      <c r="E316" s="1665">
        <v>224789227</v>
      </c>
      <c r="F316" s="1665">
        <v>222511697</v>
      </c>
      <c r="G316" s="1665">
        <v>224789227</v>
      </c>
      <c r="H316" s="1665">
        <v>222511697</v>
      </c>
    </row>
    <row r="317" spans="1:8">
      <c r="A317" t="s">
        <v>630</v>
      </c>
      <c r="B317" t="s">
        <v>7409</v>
      </c>
      <c r="C317" s="1665">
        <v>15032721476</v>
      </c>
      <c r="D317" s="1665">
        <v>15370483186</v>
      </c>
      <c r="E317" s="1665">
        <v>15370483186</v>
      </c>
      <c r="F317" s="1665">
        <v>15032721476</v>
      </c>
      <c r="G317" s="1665">
        <v>15370483186</v>
      </c>
      <c r="H317" s="1665">
        <v>15032721476</v>
      </c>
    </row>
    <row r="318" spans="1:8">
      <c r="A318" t="s">
        <v>2541</v>
      </c>
      <c r="B318" t="s">
        <v>7410</v>
      </c>
      <c r="C318" s="1665">
        <v>867475015</v>
      </c>
      <c r="D318" s="1665">
        <v>898998883</v>
      </c>
      <c r="E318" s="1665">
        <v>898998883</v>
      </c>
      <c r="F318" s="1665">
        <v>867475015</v>
      </c>
      <c r="G318" s="1665">
        <v>898998883</v>
      </c>
      <c r="H318" s="1665">
        <v>867475015</v>
      </c>
    </row>
    <row r="319" spans="1:8">
      <c r="A319" t="s">
        <v>1422</v>
      </c>
      <c r="B319" t="s">
        <v>7411</v>
      </c>
      <c r="C319" s="1665">
        <v>36955726755</v>
      </c>
      <c r="D319" s="1665">
        <v>37821771949</v>
      </c>
      <c r="E319" s="1665">
        <v>37821771949</v>
      </c>
      <c r="F319" s="1665">
        <v>36955726755</v>
      </c>
      <c r="G319" s="1665">
        <v>37821771949</v>
      </c>
      <c r="H319" s="1665">
        <v>36955726755</v>
      </c>
    </row>
    <row r="320" spans="1:8">
      <c r="A320" t="s">
        <v>2318</v>
      </c>
      <c r="B320" t="s">
        <v>7412</v>
      </c>
      <c r="C320" s="1665">
        <v>2501218537</v>
      </c>
      <c r="D320" s="1665">
        <v>2524994319</v>
      </c>
      <c r="E320" s="1665">
        <v>2476779061</v>
      </c>
      <c r="F320" s="1665">
        <v>2453003279</v>
      </c>
      <c r="G320" s="1665">
        <v>2476779061</v>
      </c>
      <c r="H320" s="1665">
        <v>2453003279</v>
      </c>
    </row>
    <row r="321" spans="1:8">
      <c r="A321" t="s">
        <v>2013</v>
      </c>
      <c r="B321" t="s">
        <v>7413</v>
      </c>
      <c r="C321" s="1665">
        <v>988126471</v>
      </c>
      <c r="D321" s="1665">
        <v>1009345181</v>
      </c>
      <c r="E321" s="1665">
        <v>1009345181</v>
      </c>
      <c r="F321" s="1665">
        <v>988126471</v>
      </c>
      <c r="G321" s="1665">
        <v>1009345181</v>
      </c>
      <c r="H321" s="1665">
        <v>988126471</v>
      </c>
    </row>
    <row r="322" spans="1:8">
      <c r="A322" t="s">
        <v>1303</v>
      </c>
      <c r="B322" t="s">
        <v>7414</v>
      </c>
      <c r="C322" s="1665">
        <v>1297624918</v>
      </c>
      <c r="D322" s="1665">
        <v>1318276435</v>
      </c>
      <c r="E322" s="1665">
        <v>1318276435</v>
      </c>
      <c r="F322" s="1665">
        <v>1297624918</v>
      </c>
      <c r="G322" s="1665">
        <v>1318276435</v>
      </c>
      <c r="H322" s="1665">
        <v>1297624918</v>
      </c>
    </row>
    <row r="323" spans="1:8">
      <c r="A323" t="s">
        <v>1919</v>
      </c>
      <c r="B323" t="s">
        <v>7415</v>
      </c>
      <c r="C323" s="1665">
        <v>704812990</v>
      </c>
      <c r="D323" s="1665">
        <v>716224958</v>
      </c>
      <c r="E323" s="1665">
        <v>716224958</v>
      </c>
      <c r="F323" s="1665">
        <v>704812990</v>
      </c>
      <c r="G323" s="1665">
        <v>716224958</v>
      </c>
      <c r="H323" s="1665">
        <v>704812990</v>
      </c>
    </row>
    <row r="324" spans="1:8">
      <c r="A324" t="s">
        <v>1924</v>
      </c>
      <c r="B324" t="s">
        <v>7416</v>
      </c>
      <c r="C324" s="1665">
        <v>148248697</v>
      </c>
      <c r="D324" s="1665">
        <v>151997770</v>
      </c>
      <c r="E324" s="1665">
        <v>151997770</v>
      </c>
      <c r="F324" s="1665">
        <v>148248697</v>
      </c>
      <c r="G324" s="1665">
        <v>151997770</v>
      </c>
      <c r="H324" s="1665">
        <v>148248697</v>
      </c>
    </row>
    <row r="325" spans="1:8">
      <c r="A325" t="s">
        <v>1925</v>
      </c>
      <c r="B325" t="s">
        <v>7417</v>
      </c>
      <c r="C325" s="1665">
        <v>156743479</v>
      </c>
      <c r="D325" s="1665">
        <v>158490879</v>
      </c>
      <c r="E325" s="1665">
        <v>158490879</v>
      </c>
      <c r="F325" s="1665">
        <v>156743479</v>
      </c>
      <c r="G325" s="1665">
        <v>158490879</v>
      </c>
      <c r="H325" s="1665">
        <v>156743479</v>
      </c>
    </row>
    <row r="326" spans="1:8">
      <c r="A326" t="s">
        <v>1235</v>
      </c>
      <c r="B326" t="s">
        <v>7418</v>
      </c>
      <c r="C326" s="1665">
        <v>719340427</v>
      </c>
      <c r="D326" s="1665">
        <v>723945967</v>
      </c>
      <c r="E326" s="1665">
        <v>723945967</v>
      </c>
      <c r="F326" s="1665">
        <v>719340427</v>
      </c>
      <c r="G326" s="1665">
        <v>723945967</v>
      </c>
      <c r="H326" s="1665">
        <v>719340427</v>
      </c>
    </row>
    <row r="327" spans="1:8">
      <c r="A327" t="s">
        <v>2506</v>
      </c>
      <c r="B327" t="s">
        <v>7419</v>
      </c>
      <c r="C327" s="1665">
        <v>1006132470</v>
      </c>
      <c r="D327" s="1665">
        <v>1021324670</v>
      </c>
      <c r="E327" s="1665">
        <v>1021324670</v>
      </c>
      <c r="F327" s="1665">
        <v>1006132470</v>
      </c>
      <c r="G327" s="1665">
        <v>1021324670</v>
      </c>
      <c r="H327" s="1665">
        <v>1006132470</v>
      </c>
    </row>
    <row r="328" spans="1:8">
      <c r="A328" t="s">
        <v>1926</v>
      </c>
      <c r="B328" t="s">
        <v>7420</v>
      </c>
      <c r="C328" s="1665">
        <v>168351824</v>
      </c>
      <c r="D328" s="1665">
        <v>172504288</v>
      </c>
      <c r="E328" s="1665">
        <v>172504288</v>
      </c>
      <c r="F328" s="1665">
        <v>168351824</v>
      </c>
      <c r="G328" s="1665">
        <v>172504288</v>
      </c>
      <c r="H328" s="1665">
        <v>168351824</v>
      </c>
    </row>
    <row r="329" spans="1:8">
      <c r="A329" t="s">
        <v>2110</v>
      </c>
      <c r="B329" t="s">
        <v>7421</v>
      </c>
      <c r="C329" s="1665">
        <v>205968478</v>
      </c>
      <c r="D329" s="1665">
        <v>206743769</v>
      </c>
      <c r="E329" s="1665">
        <v>206058338</v>
      </c>
      <c r="F329" s="1665">
        <v>205283047</v>
      </c>
      <c r="G329" s="1665">
        <v>206058338</v>
      </c>
      <c r="H329" s="1665">
        <v>205283047</v>
      </c>
    </row>
    <row r="330" spans="1:8">
      <c r="A330" t="s">
        <v>2175</v>
      </c>
      <c r="B330" t="s">
        <v>7422</v>
      </c>
      <c r="C330" s="1665">
        <v>2836438084</v>
      </c>
      <c r="D330" s="1665">
        <v>2862179962</v>
      </c>
      <c r="E330" s="1665">
        <v>2862179962</v>
      </c>
      <c r="F330" s="1665">
        <v>2836438084</v>
      </c>
      <c r="G330" s="1665">
        <v>2862179962</v>
      </c>
      <c r="H330" s="1665">
        <v>2836438084</v>
      </c>
    </row>
    <row r="331" spans="1:8">
      <c r="A331" t="s">
        <v>1993</v>
      </c>
      <c r="B331" t="s">
        <v>7423</v>
      </c>
      <c r="C331" s="1665">
        <v>3694499426</v>
      </c>
      <c r="D331" s="1665">
        <v>3812580029</v>
      </c>
      <c r="E331" s="1665">
        <v>3812580029</v>
      </c>
      <c r="F331" s="1665">
        <v>3694499426</v>
      </c>
      <c r="G331" s="1665">
        <v>3812580029</v>
      </c>
      <c r="H331" s="1665">
        <v>3694499426</v>
      </c>
    </row>
    <row r="332" spans="1:8">
      <c r="A332" t="s">
        <v>2231</v>
      </c>
      <c r="B332" t="s">
        <v>7424</v>
      </c>
      <c r="C332" s="1665">
        <v>7351042252</v>
      </c>
      <c r="D332" s="1665">
        <v>7455463380</v>
      </c>
      <c r="E332" s="1665">
        <v>7251363806</v>
      </c>
      <c r="F332" s="1665">
        <v>7146942678</v>
      </c>
      <c r="G332" s="1665">
        <v>7251363806</v>
      </c>
      <c r="H332" s="1665">
        <v>7146942678</v>
      </c>
    </row>
    <row r="333" spans="1:8">
      <c r="A333" t="s">
        <v>1866</v>
      </c>
      <c r="B333" t="s">
        <v>7425</v>
      </c>
      <c r="C333" s="1665">
        <v>120665353</v>
      </c>
      <c r="D333" s="1665">
        <v>121926052</v>
      </c>
      <c r="E333" s="1665">
        <v>121514170</v>
      </c>
      <c r="F333" s="1665">
        <v>120253471</v>
      </c>
      <c r="G333" s="1665">
        <v>121514170</v>
      </c>
      <c r="H333" s="1665">
        <v>120253471</v>
      </c>
    </row>
    <row r="334" spans="1:8">
      <c r="A334" t="s">
        <v>762</v>
      </c>
      <c r="B334" t="s">
        <v>7426</v>
      </c>
      <c r="C334" s="1665">
        <v>4810736672</v>
      </c>
      <c r="D334" s="1665">
        <v>4926600117</v>
      </c>
      <c r="E334" s="1665">
        <v>4795515119</v>
      </c>
      <c r="F334" s="1665">
        <v>4679651674</v>
      </c>
      <c r="G334" s="1665">
        <v>4795515119</v>
      </c>
      <c r="H334" s="1665">
        <v>4679651674</v>
      </c>
    </row>
    <row r="335" spans="1:8">
      <c r="A335" t="s">
        <v>2458</v>
      </c>
      <c r="B335" t="s">
        <v>7427</v>
      </c>
      <c r="C335" s="1665">
        <v>651442145</v>
      </c>
      <c r="D335" s="1665">
        <v>673174485</v>
      </c>
      <c r="E335" s="1665">
        <v>673174485</v>
      </c>
      <c r="F335" s="1665">
        <v>651442145</v>
      </c>
      <c r="G335" s="1665">
        <v>673174485</v>
      </c>
      <c r="H335" s="1665">
        <v>651442145</v>
      </c>
    </row>
    <row r="336" spans="1:8">
      <c r="A336" t="s">
        <v>491</v>
      </c>
      <c r="B336" t="s">
        <v>7428</v>
      </c>
      <c r="C336" s="1665">
        <v>1415542980</v>
      </c>
      <c r="D336" s="1665">
        <v>1485876235</v>
      </c>
      <c r="E336" s="1665">
        <v>1485876235</v>
      </c>
      <c r="F336" s="1665">
        <v>1415542980</v>
      </c>
      <c r="G336" s="1665">
        <v>1485876235</v>
      </c>
      <c r="H336" s="1665">
        <v>1415542980</v>
      </c>
    </row>
    <row r="337" spans="1:8">
      <c r="A337" t="s">
        <v>2459</v>
      </c>
      <c r="B337" t="s">
        <v>7429</v>
      </c>
      <c r="C337" s="1665">
        <v>22089744012</v>
      </c>
      <c r="D337" s="1665">
        <v>22624158331</v>
      </c>
      <c r="E337" s="1665">
        <v>22292925605</v>
      </c>
      <c r="F337" s="1665">
        <v>21758511286</v>
      </c>
      <c r="G337" s="1665">
        <v>22292925605</v>
      </c>
      <c r="H337" s="1665">
        <v>21758511286</v>
      </c>
    </row>
    <row r="338" spans="1:8">
      <c r="A338" t="s">
        <v>1424</v>
      </c>
      <c r="B338" t="s">
        <v>7430</v>
      </c>
      <c r="C338" s="1665">
        <v>2954935933</v>
      </c>
      <c r="D338" s="1665">
        <v>3036207817</v>
      </c>
      <c r="E338" s="1665">
        <v>3036207817</v>
      </c>
      <c r="F338" s="1665">
        <v>2954935933</v>
      </c>
      <c r="G338" s="1665">
        <v>3036207817</v>
      </c>
      <c r="H338" s="1665">
        <v>2954935933</v>
      </c>
    </row>
    <row r="339" spans="1:8">
      <c r="A339" t="s">
        <v>1668</v>
      </c>
      <c r="B339" t="s">
        <v>7431</v>
      </c>
      <c r="C339" s="1665">
        <v>417866250</v>
      </c>
      <c r="D339" s="1665">
        <v>425316791</v>
      </c>
      <c r="E339" s="1665">
        <v>425316791</v>
      </c>
      <c r="F339" s="1665">
        <v>417866250</v>
      </c>
      <c r="G339" s="1665">
        <v>425316791</v>
      </c>
      <c r="H339" s="1665">
        <v>417866250</v>
      </c>
    </row>
    <row r="340" spans="1:8">
      <c r="A340" t="s">
        <v>1669</v>
      </c>
      <c r="B340" t="s">
        <v>7432</v>
      </c>
      <c r="C340" s="1665">
        <v>48580159</v>
      </c>
      <c r="D340" s="1665">
        <v>49052055</v>
      </c>
      <c r="E340" s="1665">
        <v>49052055</v>
      </c>
      <c r="F340" s="1665">
        <v>48580159</v>
      </c>
      <c r="G340" s="1665">
        <v>49052055</v>
      </c>
      <c r="H340" s="1665">
        <v>48580159</v>
      </c>
    </row>
    <row r="341" spans="1:8">
      <c r="A341" t="s">
        <v>1873</v>
      </c>
      <c r="B341" t="s">
        <v>7433</v>
      </c>
      <c r="C341" s="1665">
        <v>45892571</v>
      </c>
      <c r="D341" s="1665">
        <v>46830071</v>
      </c>
      <c r="E341" s="1665">
        <v>46830071</v>
      </c>
      <c r="F341" s="1665">
        <v>45892571</v>
      </c>
      <c r="G341" s="1665">
        <v>46830071</v>
      </c>
      <c r="H341" s="1665">
        <v>45892571</v>
      </c>
    </row>
    <row r="342" spans="1:8">
      <c r="A342" t="s">
        <v>1451</v>
      </c>
      <c r="B342" t="s">
        <v>7434</v>
      </c>
      <c r="C342" s="1665">
        <v>3344096289</v>
      </c>
      <c r="D342" s="1665">
        <v>3404852939</v>
      </c>
      <c r="E342" s="1665">
        <v>3404852939</v>
      </c>
      <c r="F342" s="1665">
        <v>3344096289</v>
      </c>
      <c r="G342" s="1665">
        <v>3404852939</v>
      </c>
      <c r="H342" s="1665">
        <v>3344096289</v>
      </c>
    </row>
    <row r="343" spans="1:8">
      <c r="A343" t="s">
        <v>2160</v>
      </c>
      <c r="B343" t="s">
        <v>7435</v>
      </c>
      <c r="C343" s="1665">
        <v>420122536</v>
      </c>
      <c r="D343" s="1665">
        <v>432137632</v>
      </c>
      <c r="E343" s="1665">
        <v>432137632</v>
      </c>
      <c r="F343" s="1665">
        <v>420122536</v>
      </c>
      <c r="G343" s="1665">
        <v>432137632</v>
      </c>
      <c r="H343" s="1665">
        <v>420122536</v>
      </c>
    </row>
    <row r="344" spans="1:8">
      <c r="A344" t="s">
        <v>2161</v>
      </c>
      <c r="B344" t="s">
        <v>7436</v>
      </c>
      <c r="C344" s="1665">
        <v>2356945012</v>
      </c>
      <c r="D344" s="1665">
        <v>2359177362</v>
      </c>
      <c r="E344" s="1665">
        <v>2356666853</v>
      </c>
      <c r="F344" s="1665">
        <v>2354434503</v>
      </c>
      <c r="G344" s="1665">
        <v>2823402743</v>
      </c>
      <c r="H344" s="1665">
        <v>2821170393</v>
      </c>
    </row>
    <row r="345" spans="1:8">
      <c r="A345" t="s">
        <v>2437</v>
      </c>
      <c r="B345" t="s">
        <v>7437</v>
      </c>
      <c r="C345" s="1665">
        <v>774261627</v>
      </c>
      <c r="D345" s="1665">
        <v>791375093</v>
      </c>
      <c r="E345" s="1665">
        <v>770078222</v>
      </c>
      <c r="F345" s="1665">
        <v>752964756</v>
      </c>
      <c r="G345" s="1665">
        <v>838078222</v>
      </c>
      <c r="H345" s="1665">
        <v>820964756</v>
      </c>
    </row>
    <row r="346" spans="1:8">
      <c r="A346" t="s">
        <v>906</v>
      </c>
      <c r="B346" t="s">
        <v>7438</v>
      </c>
      <c r="C346" s="1665">
        <v>1372136905</v>
      </c>
      <c r="D346" s="1665">
        <v>1393792745</v>
      </c>
      <c r="E346" s="1665">
        <v>1393792745</v>
      </c>
      <c r="F346" s="1665">
        <v>1372136905</v>
      </c>
      <c r="G346" s="1665">
        <v>1393792745</v>
      </c>
      <c r="H346" s="1665">
        <v>1372136905</v>
      </c>
    </row>
    <row r="347" spans="1:8">
      <c r="A347" t="s">
        <v>2438</v>
      </c>
      <c r="B347" t="s">
        <v>7439</v>
      </c>
      <c r="C347" s="1665">
        <v>714368585</v>
      </c>
      <c r="D347" s="1665">
        <v>721884953</v>
      </c>
      <c r="E347" s="1665">
        <v>714596799</v>
      </c>
      <c r="F347" s="1665">
        <v>707080431</v>
      </c>
      <c r="G347" s="1665">
        <v>714596799</v>
      </c>
      <c r="H347" s="1665">
        <v>707080431</v>
      </c>
    </row>
    <row r="348" spans="1:8">
      <c r="A348" t="s">
        <v>2439</v>
      </c>
      <c r="B348" t="s">
        <v>7440</v>
      </c>
      <c r="C348" s="1665">
        <v>186731780</v>
      </c>
      <c r="D348" s="1665">
        <v>189504031</v>
      </c>
      <c r="E348" s="1665">
        <v>189504031</v>
      </c>
      <c r="F348" s="1665">
        <v>186731780</v>
      </c>
      <c r="G348" s="1665">
        <v>189504031</v>
      </c>
      <c r="H348" s="1665">
        <v>186731780</v>
      </c>
    </row>
    <row r="349" spans="1:8">
      <c r="A349" t="s">
        <v>1852</v>
      </c>
      <c r="B349" t="s">
        <v>7441</v>
      </c>
      <c r="C349" s="1665">
        <v>98586010</v>
      </c>
      <c r="D349" s="1665">
        <v>99236120</v>
      </c>
      <c r="E349" s="1665">
        <v>99236120</v>
      </c>
      <c r="F349" s="1665">
        <v>98586010</v>
      </c>
      <c r="G349" s="1665">
        <v>99236120</v>
      </c>
      <c r="H349" s="1665">
        <v>98586010</v>
      </c>
    </row>
    <row r="350" spans="1:8">
      <c r="A350" t="s">
        <v>1853</v>
      </c>
      <c r="B350" t="s">
        <v>7442</v>
      </c>
      <c r="C350" s="1665">
        <v>97407815</v>
      </c>
      <c r="D350" s="1665">
        <v>98930795</v>
      </c>
      <c r="E350" s="1665">
        <v>98930795</v>
      </c>
      <c r="F350" s="1665">
        <v>97407815</v>
      </c>
      <c r="G350" s="1665">
        <v>98930795</v>
      </c>
      <c r="H350" s="1665">
        <v>97407815</v>
      </c>
    </row>
    <row r="351" spans="1:8">
      <c r="A351" t="s">
        <v>2021</v>
      </c>
      <c r="B351" t="s">
        <v>7443</v>
      </c>
      <c r="C351" s="1665">
        <v>1081427098</v>
      </c>
      <c r="D351" s="1665">
        <v>1113902398</v>
      </c>
      <c r="E351" s="1665">
        <v>1113902398</v>
      </c>
      <c r="F351" s="1665">
        <v>1081427098</v>
      </c>
      <c r="G351" s="1665">
        <v>1113902398</v>
      </c>
      <c r="H351" s="1665">
        <v>1081427098</v>
      </c>
    </row>
    <row r="352" spans="1:8">
      <c r="A352" t="s">
        <v>2033</v>
      </c>
      <c r="B352" t="s">
        <v>7444</v>
      </c>
      <c r="C352" s="1665">
        <v>92361014</v>
      </c>
      <c r="D352" s="1665">
        <v>92627774</v>
      </c>
      <c r="E352" s="1665">
        <v>92627774</v>
      </c>
      <c r="F352" s="1665">
        <v>92361014</v>
      </c>
      <c r="G352" s="1665">
        <v>179383714</v>
      </c>
      <c r="H352" s="1665">
        <v>179116954</v>
      </c>
    </row>
    <row r="353" spans="1:8">
      <c r="A353" t="s">
        <v>1684</v>
      </c>
      <c r="B353" t="s">
        <v>7445</v>
      </c>
      <c r="C353" s="1665">
        <v>224423783</v>
      </c>
      <c r="D353" s="1665">
        <v>233599440</v>
      </c>
      <c r="E353" s="1665">
        <v>233599440</v>
      </c>
      <c r="F353" s="1665">
        <v>224423783</v>
      </c>
      <c r="G353" s="1665">
        <v>233599440</v>
      </c>
      <c r="H353" s="1665">
        <v>224423783</v>
      </c>
    </row>
    <row r="354" spans="1:8">
      <c r="A354" t="s">
        <v>981</v>
      </c>
      <c r="B354" t="s">
        <v>7446</v>
      </c>
      <c r="C354" s="1665">
        <v>166942607</v>
      </c>
      <c r="D354" s="1665">
        <v>173525528</v>
      </c>
      <c r="E354" s="1665">
        <v>173525528</v>
      </c>
      <c r="F354" s="1665">
        <v>166942607</v>
      </c>
      <c r="G354" s="1665">
        <v>173525528</v>
      </c>
      <c r="H354" s="1665">
        <v>166942607</v>
      </c>
    </row>
    <row r="355" spans="1:8">
      <c r="A355" t="s">
        <v>982</v>
      </c>
      <c r="B355" t="s">
        <v>7447</v>
      </c>
      <c r="C355" s="1665">
        <v>1617140226</v>
      </c>
      <c r="D355" s="1665">
        <v>1673484787</v>
      </c>
      <c r="E355" s="1665">
        <v>1673484787</v>
      </c>
      <c r="F355" s="1665">
        <v>1617140226</v>
      </c>
      <c r="G355" s="1665">
        <v>1673484787</v>
      </c>
      <c r="H355" s="1665">
        <v>1617140226</v>
      </c>
    </row>
    <row r="356" spans="1:8">
      <c r="A356" t="s">
        <v>1115</v>
      </c>
      <c r="B356" t="s">
        <v>7448</v>
      </c>
      <c r="C356" s="1665">
        <v>263180085</v>
      </c>
      <c r="D356" s="1665">
        <v>273589205</v>
      </c>
      <c r="E356" s="1665">
        <v>273589205</v>
      </c>
      <c r="F356" s="1665">
        <v>263180085</v>
      </c>
      <c r="G356" s="1665">
        <v>273589205</v>
      </c>
      <c r="H356" s="1665">
        <v>263180085</v>
      </c>
    </row>
    <row r="357" spans="1:8">
      <c r="A357" t="s">
        <v>793</v>
      </c>
      <c r="B357" t="s">
        <v>7449</v>
      </c>
      <c r="C357" s="1665">
        <v>2997167334</v>
      </c>
      <c r="D357" s="1665">
        <v>3065628265</v>
      </c>
      <c r="E357" s="1665">
        <v>3065628265</v>
      </c>
      <c r="F357" s="1665">
        <v>2997167334</v>
      </c>
      <c r="G357" s="1665">
        <v>3065628265</v>
      </c>
      <c r="H357" s="1665">
        <v>2997167334</v>
      </c>
    </row>
    <row r="358" spans="1:8">
      <c r="A358" t="s">
        <v>794</v>
      </c>
      <c r="B358" t="s">
        <v>7450</v>
      </c>
      <c r="C358" s="1665">
        <v>100416887</v>
      </c>
      <c r="D358" s="1665">
        <v>103950438</v>
      </c>
      <c r="E358" s="1665">
        <v>103950438</v>
      </c>
      <c r="F358" s="1665">
        <v>100416887</v>
      </c>
      <c r="G358" s="1665">
        <v>103950438</v>
      </c>
      <c r="H358" s="1665">
        <v>100416887</v>
      </c>
    </row>
    <row r="359" spans="1:8">
      <c r="A359" t="s">
        <v>1236</v>
      </c>
      <c r="B359" t="s">
        <v>7451</v>
      </c>
      <c r="C359" s="1665">
        <v>577897059</v>
      </c>
      <c r="D359" s="1665">
        <v>596505844</v>
      </c>
      <c r="E359" s="1665">
        <v>596505844</v>
      </c>
      <c r="F359" s="1665">
        <v>577897059</v>
      </c>
      <c r="G359" s="1665">
        <v>596505844</v>
      </c>
      <c r="H359" s="1665">
        <v>577897059</v>
      </c>
    </row>
    <row r="360" spans="1:8">
      <c r="A360" t="s">
        <v>1237</v>
      </c>
      <c r="B360" t="s">
        <v>7452</v>
      </c>
      <c r="C360" s="1665">
        <v>737949620</v>
      </c>
      <c r="D360" s="1665">
        <v>760305421</v>
      </c>
      <c r="E360" s="1665">
        <v>760305421</v>
      </c>
      <c r="F360" s="1665">
        <v>737949620</v>
      </c>
      <c r="G360" s="1665">
        <v>760305421</v>
      </c>
      <c r="H360" s="1665">
        <v>737949620</v>
      </c>
    </row>
    <row r="361" spans="1:8">
      <c r="A361" t="s">
        <v>1463</v>
      </c>
      <c r="B361" t="s">
        <v>7453</v>
      </c>
      <c r="C361" s="1665">
        <v>218631554</v>
      </c>
      <c r="D361" s="1665">
        <v>227104074</v>
      </c>
      <c r="E361" s="1665">
        <v>227104074</v>
      </c>
      <c r="F361" s="1665">
        <v>218631554</v>
      </c>
      <c r="G361" s="1665">
        <v>227104074</v>
      </c>
      <c r="H361" s="1665">
        <v>218631554</v>
      </c>
    </row>
    <row r="362" spans="1:8">
      <c r="A362" t="s">
        <v>215</v>
      </c>
      <c r="B362" t="s">
        <v>7454</v>
      </c>
      <c r="C362" s="1665">
        <v>858761963</v>
      </c>
      <c r="D362" s="1665">
        <v>880994263</v>
      </c>
      <c r="E362" s="1665">
        <v>880994263</v>
      </c>
      <c r="F362" s="1665">
        <v>858761963</v>
      </c>
      <c r="G362" s="1665">
        <v>880994263</v>
      </c>
      <c r="H362" s="1665">
        <v>858761963</v>
      </c>
    </row>
    <row r="363" spans="1:8">
      <c r="A363" t="s">
        <v>2582</v>
      </c>
      <c r="B363" t="s">
        <v>7455</v>
      </c>
      <c r="C363" s="1665">
        <v>368123792</v>
      </c>
      <c r="D363" s="1665">
        <v>380362322</v>
      </c>
      <c r="E363" s="1665">
        <v>380362322</v>
      </c>
      <c r="F363" s="1665">
        <v>368123792</v>
      </c>
      <c r="G363" s="1665">
        <v>380362322</v>
      </c>
      <c r="H363" s="1665">
        <v>368123792</v>
      </c>
    </row>
    <row r="364" spans="1:8">
      <c r="A364" t="s">
        <v>1308</v>
      </c>
      <c r="B364" t="s">
        <v>7456</v>
      </c>
      <c r="C364" s="1665">
        <v>289092918</v>
      </c>
      <c r="D364" s="1665">
        <v>295949628</v>
      </c>
      <c r="E364" s="1665">
        <v>295949628</v>
      </c>
      <c r="F364" s="1665">
        <v>289092918</v>
      </c>
      <c r="G364" s="1665">
        <v>295949628</v>
      </c>
      <c r="H364" s="1665">
        <v>289092918</v>
      </c>
    </row>
    <row r="365" spans="1:8">
      <c r="A365" t="s">
        <v>1286</v>
      </c>
      <c r="B365" t="s">
        <v>7457</v>
      </c>
      <c r="C365" s="1665">
        <v>204638002</v>
      </c>
      <c r="D365" s="1665">
        <v>214598160</v>
      </c>
      <c r="E365" s="1665">
        <v>214598160</v>
      </c>
      <c r="F365" s="1665">
        <v>204638002</v>
      </c>
      <c r="G365" s="1665">
        <v>214598160</v>
      </c>
      <c r="H365" s="1665">
        <v>204638002</v>
      </c>
    </row>
    <row r="366" spans="1:8">
      <c r="A366" t="s">
        <v>1287</v>
      </c>
      <c r="B366" t="s">
        <v>7458</v>
      </c>
      <c r="C366" s="1665">
        <v>496609213</v>
      </c>
      <c r="D366" s="1665">
        <v>518650128</v>
      </c>
      <c r="E366" s="1665">
        <v>492910731</v>
      </c>
      <c r="F366" s="1665">
        <v>470869816</v>
      </c>
      <c r="G366" s="1665">
        <v>492910731</v>
      </c>
      <c r="H366" s="1665">
        <v>470869816</v>
      </c>
    </row>
    <row r="367" spans="1:8">
      <c r="A367" t="s">
        <v>1288</v>
      </c>
      <c r="B367" t="s">
        <v>7459</v>
      </c>
      <c r="C367" s="1665">
        <v>1509667824</v>
      </c>
      <c r="D367" s="1665">
        <v>1550662647</v>
      </c>
      <c r="E367" s="1665">
        <v>1550662647</v>
      </c>
      <c r="F367" s="1665">
        <v>1509667824</v>
      </c>
      <c r="G367" s="1665">
        <v>1550662647</v>
      </c>
      <c r="H367" s="1665">
        <v>1509667824</v>
      </c>
    </row>
    <row r="368" spans="1:8">
      <c r="A368" t="s">
        <v>457</v>
      </c>
      <c r="B368" t="s">
        <v>7460</v>
      </c>
      <c r="C368" s="1665">
        <v>4101794036</v>
      </c>
      <c r="D368" s="1665">
        <v>4200695054</v>
      </c>
      <c r="E368" s="1665">
        <v>4200695054</v>
      </c>
      <c r="F368" s="1665">
        <v>4101794036</v>
      </c>
      <c r="G368" s="1665">
        <v>4200695054</v>
      </c>
      <c r="H368" s="1665">
        <v>4101794036</v>
      </c>
    </row>
    <row r="369" spans="1:8">
      <c r="A369" t="s">
        <v>2189</v>
      </c>
      <c r="B369" t="s">
        <v>7461</v>
      </c>
      <c r="C369" s="1665">
        <v>1567147423</v>
      </c>
      <c r="D369" s="1665">
        <v>1616234508</v>
      </c>
      <c r="E369" s="1665">
        <v>1539340410</v>
      </c>
      <c r="F369" s="1665">
        <v>1490253325</v>
      </c>
      <c r="G369" s="1665">
        <v>1539340410</v>
      </c>
      <c r="H369" s="1665">
        <v>1490253325</v>
      </c>
    </row>
    <row r="370" spans="1:8">
      <c r="A370" t="s">
        <v>2639</v>
      </c>
      <c r="B370" t="s">
        <v>7462</v>
      </c>
      <c r="C370" s="1665">
        <v>426344236</v>
      </c>
      <c r="D370" s="1665">
        <v>440070544</v>
      </c>
      <c r="E370" s="1665">
        <v>418737558</v>
      </c>
      <c r="F370" s="1665">
        <v>405011250</v>
      </c>
      <c r="G370" s="1665">
        <v>418737558</v>
      </c>
      <c r="H370" s="1665">
        <v>405011250</v>
      </c>
    </row>
    <row r="371" spans="1:8">
      <c r="A371" t="s">
        <v>1509</v>
      </c>
      <c r="B371" t="s">
        <v>7463</v>
      </c>
      <c r="C371" s="1665">
        <v>525198525</v>
      </c>
      <c r="D371" s="1665">
        <v>544580300</v>
      </c>
      <c r="E371" s="1665">
        <v>512694607</v>
      </c>
      <c r="F371" s="1665">
        <v>493312832</v>
      </c>
      <c r="G371" s="1665">
        <v>512694607</v>
      </c>
      <c r="H371" s="1665">
        <v>493312832</v>
      </c>
    </row>
    <row r="372" spans="1:8">
      <c r="A372" t="s">
        <v>2640</v>
      </c>
      <c r="B372" t="s">
        <v>7464</v>
      </c>
      <c r="C372" s="1665">
        <v>347220005</v>
      </c>
      <c r="D372" s="1665">
        <v>361502039</v>
      </c>
      <c r="E372" s="1665">
        <v>338641091</v>
      </c>
      <c r="F372" s="1665">
        <v>324359057</v>
      </c>
      <c r="G372" s="1665">
        <v>338641091</v>
      </c>
      <c r="H372" s="1665">
        <v>324359057</v>
      </c>
    </row>
    <row r="373" spans="1:8">
      <c r="A373" t="s">
        <v>2641</v>
      </c>
      <c r="B373" t="s">
        <v>7465</v>
      </c>
      <c r="C373" s="1665">
        <v>577820698</v>
      </c>
      <c r="D373" s="1665">
        <v>586021777</v>
      </c>
      <c r="E373" s="1665">
        <v>586021777</v>
      </c>
      <c r="F373" s="1665">
        <v>577820698</v>
      </c>
      <c r="G373" s="1665">
        <v>586021777</v>
      </c>
      <c r="H373" s="1665">
        <v>577820698</v>
      </c>
    </row>
    <row r="374" spans="1:8">
      <c r="A374" t="s">
        <v>2642</v>
      </c>
      <c r="B374" t="s">
        <v>7466</v>
      </c>
      <c r="C374" s="1665">
        <v>291196322</v>
      </c>
      <c r="D374" s="1665">
        <v>297812335</v>
      </c>
      <c r="E374" s="1665">
        <v>297812335</v>
      </c>
      <c r="F374" s="1665">
        <v>291196322</v>
      </c>
      <c r="G374" s="1665">
        <v>297812335</v>
      </c>
      <c r="H374" s="1665">
        <v>291196322</v>
      </c>
    </row>
    <row r="375" spans="1:8">
      <c r="A375" t="s">
        <v>2643</v>
      </c>
      <c r="B375" t="s">
        <v>7467</v>
      </c>
      <c r="C375" s="1665">
        <v>1636226914</v>
      </c>
      <c r="D375" s="1665">
        <v>1668743923</v>
      </c>
      <c r="E375" s="1665">
        <v>1616075454</v>
      </c>
      <c r="F375" s="1665">
        <v>1583558445</v>
      </c>
      <c r="G375" s="1665">
        <v>1616075454</v>
      </c>
      <c r="H375" s="1665">
        <v>1583558445</v>
      </c>
    </row>
    <row r="376" spans="1:8">
      <c r="A376" t="s">
        <v>2142</v>
      </c>
      <c r="B376" t="s">
        <v>7468</v>
      </c>
      <c r="C376" s="1665">
        <v>147130964</v>
      </c>
      <c r="D376" s="1665">
        <v>151030360</v>
      </c>
      <c r="E376" s="1665">
        <v>151030360</v>
      </c>
      <c r="F376" s="1665">
        <v>147130964</v>
      </c>
      <c r="G376" s="1665">
        <v>151030360</v>
      </c>
      <c r="H376" s="1665">
        <v>147130964</v>
      </c>
    </row>
    <row r="377" spans="1:8">
      <c r="A377" t="s">
        <v>495</v>
      </c>
      <c r="B377" t="s">
        <v>7469</v>
      </c>
      <c r="C377" s="1665">
        <v>3165753541</v>
      </c>
      <c r="D377" s="1665">
        <v>3247712789</v>
      </c>
      <c r="E377" s="1665">
        <v>3247712789</v>
      </c>
      <c r="F377" s="1665">
        <v>3165753541</v>
      </c>
      <c r="G377" s="1665">
        <v>3351663722</v>
      </c>
      <c r="H377" s="1665">
        <v>3269704474</v>
      </c>
    </row>
    <row r="378" spans="1:8">
      <c r="A378" t="s">
        <v>493</v>
      </c>
      <c r="B378" t="s">
        <v>7470</v>
      </c>
      <c r="C378" s="1665">
        <v>5201223367</v>
      </c>
      <c r="D378" s="1665">
        <v>5371866698</v>
      </c>
      <c r="E378" s="1665">
        <v>5371866698</v>
      </c>
      <c r="F378" s="1665">
        <v>5201223367</v>
      </c>
      <c r="G378" s="1665">
        <v>5371866698</v>
      </c>
      <c r="H378" s="1665">
        <v>5201223367</v>
      </c>
    </row>
    <row r="379" spans="1:8">
      <c r="A379" t="s">
        <v>2143</v>
      </c>
      <c r="B379" t="s">
        <v>7471</v>
      </c>
      <c r="C379" s="1665">
        <v>949310089</v>
      </c>
      <c r="D379" s="1665">
        <v>968460705</v>
      </c>
      <c r="E379" s="1665">
        <v>968460705</v>
      </c>
      <c r="F379" s="1665">
        <v>949310089</v>
      </c>
      <c r="G379" s="1665">
        <v>968460705</v>
      </c>
      <c r="H379" s="1665">
        <v>949310089</v>
      </c>
    </row>
    <row r="380" spans="1:8">
      <c r="A380" t="s">
        <v>349</v>
      </c>
      <c r="B380" t="s">
        <v>7472</v>
      </c>
      <c r="C380" s="1665">
        <v>654161567</v>
      </c>
      <c r="D380" s="1665">
        <v>671193714</v>
      </c>
      <c r="E380" s="1665">
        <v>671193714</v>
      </c>
      <c r="F380" s="1665">
        <v>654161567</v>
      </c>
      <c r="G380" s="1665">
        <v>671193714</v>
      </c>
      <c r="H380" s="1665">
        <v>654161567</v>
      </c>
    </row>
    <row r="381" spans="1:8">
      <c r="A381" t="s">
        <v>2144</v>
      </c>
      <c r="B381" t="s">
        <v>7473</v>
      </c>
      <c r="C381" s="1665">
        <v>575260946</v>
      </c>
      <c r="D381" s="1665">
        <v>582219744</v>
      </c>
      <c r="E381" s="1665">
        <v>582219744</v>
      </c>
      <c r="F381" s="1665">
        <v>575260946</v>
      </c>
      <c r="G381" s="1665">
        <v>582219744</v>
      </c>
      <c r="H381" s="1665">
        <v>575260946</v>
      </c>
    </row>
    <row r="382" spans="1:8">
      <c r="A382" t="s">
        <v>2145</v>
      </c>
      <c r="B382" t="s">
        <v>7474</v>
      </c>
      <c r="C382" s="1665">
        <v>31626337</v>
      </c>
      <c r="D382" s="1665">
        <v>32112583</v>
      </c>
      <c r="E382" s="1665">
        <v>32112583</v>
      </c>
      <c r="F382" s="1665">
        <v>31626337</v>
      </c>
      <c r="G382" s="1665">
        <v>32112583</v>
      </c>
      <c r="H382" s="1665">
        <v>31626337</v>
      </c>
    </row>
    <row r="383" spans="1:8">
      <c r="A383" t="s">
        <v>505</v>
      </c>
      <c r="B383" t="s">
        <v>7475</v>
      </c>
      <c r="C383" s="1665">
        <v>81391339</v>
      </c>
      <c r="D383" s="1665">
        <v>85982269</v>
      </c>
      <c r="E383" s="1665">
        <v>85982269</v>
      </c>
      <c r="F383" s="1665">
        <v>81391339</v>
      </c>
      <c r="G383" s="1665">
        <v>85982269</v>
      </c>
      <c r="H383" s="1665">
        <v>81391339</v>
      </c>
    </row>
    <row r="384" spans="1:8">
      <c r="A384" t="s">
        <v>1955</v>
      </c>
      <c r="B384" t="s">
        <v>7476</v>
      </c>
      <c r="C384" s="1665">
        <v>61715580</v>
      </c>
      <c r="D384" s="1665">
        <v>64380646</v>
      </c>
      <c r="E384" s="1665">
        <v>64380646</v>
      </c>
      <c r="F384" s="1665">
        <v>61715580</v>
      </c>
      <c r="G384" s="1665">
        <v>64380646</v>
      </c>
      <c r="H384" s="1665">
        <v>61715580</v>
      </c>
    </row>
    <row r="385" spans="1:8">
      <c r="A385" t="s">
        <v>2072</v>
      </c>
      <c r="B385" t="s">
        <v>7477</v>
      </c>
      <c r="C385" s="1665">
        <v>1250214744</v>
      </c>
      <c r="D385" s="1665">
        <v>1292313851</v>
      </c>
      <c r="E385" s="1665">
        <v>1292313851</v>
      </c>
      <c r="F385" s="1665">
        <v>1250214744</v>
      </c>
      <c r="G385" s="1665">
        <v>1292313851</v>
      </c>
      <c r="H385" s="1665">
        <v>1250214744</v>
      </c>
    </row>
    <row r="386" spans="1:8">
      <c r="A386" t="s">
        <v>2073</v>
      </c>
      <c r="B386" t="s">
        <v>7478</v>
      </c>
      <c r="C386" s="1665">
        <v>155415520</v>
      </c>
      <c r="D386" s="1665">
        <v>159611930</v>
      </c>
      <c r="E386" s="1665">
        <v>159611930</v>
      </c>
      <c r="F386" s="1665">
        <v>155415520</v>
      </c>
      <c r="G386" s="1665">
        <v>159611930</v>
      </c>
      <c r="H386" s="1665">
        <v>155415520</v>
      </c>
    </row>
    <row r="387" spans="1:8">
      <c r="A387" t="s">
        <v>146</v>
      </c>
      <c r="B387" t="s">
        <v>7479</v>
      </c>
      <c r="C387" s="1665">
        <v>82190561</v>
      </c>
      <c r="D387" s="1665">
        <v>83856120</v>
      </c>
      <c r="E387" s="1665">
        <v>83856120</v>
      </c>
      <c r="F387" s="1665">
        <v>82190561</v>
      </c>
      <c r="G387" s="1665">
        <v>83856120</v>
      </c>
      <c r="H387" s="1665">
        <v>82190561</v>
      </c>
    </row>
    <row r="388" spans="1:8">
      <c r="A388" t="s">
        <v>147</v>
      </c>
      <c r="B388" t="s">
        <v>7480</v>
      </c>
      <c r="C388" s="1665">
        <v>295836399</v>
      </c>
      <c r="D388" s="1665">
        <v>308793427</v>
      </c>
      <c r="E388" s="1665">
        <v>308793427</v>
      </c>
      <c r="F388" s="1665">
        <v>295836399</v>
      </c>
      <c r="G388" s="1665">
        <v>308793427</v>
      </c>
      <c r="H388" s="1665">
        <v>295836399</v>
      </c>
    </row>
    <row r="389" spans="1:8">
      <c r="A389" t="s">
        <v>2507</v>
      </c>
      <c r="B389" t="s">
        <v>7481</v>
      </c>
      <c r="C389" s="1665">
        <v>167628227</v>
      </c>
      <c r="D389" s="1665">
        <v>174786236</v>
      </c>
      <c r="E389" s="1665">
        <v>174786236</v>
      </c>
      <c r="F389" s="1665">
        <v>167628227</v>
      </c>
      <c r="G389" s="1665">
        <v>174786236</v>
      </c>
      <c r="H389" s="1665">
        <v>167628227</v>
      </c>
    </row>
    <row r="390" spans="1:8">
      <c r="A390" t="s">
        <v>2344</v>
      </c>
      <c r="B390" t="s">
        <v>7482</v>
      </c>
      <c r="C390" s="1665">
        <v>264178999</v>
      </c>
      <c r="D390" s="1665">
        <v>267738572</v>
      </c>
      <c r="E390" s="1665">
        <v>267738572</v>
      </c>
      <c r="F390" s="1665">
        <v>264178999</v>
      </c>
      <c r="G390" s="1665">
        <v>292111572</v>
      </c>
      <c r="H390" s="1665">
        <v>288551999</v>
      </c>
    </row>
    <row r="391" spans="1:8">
      <c r="A391" t="s">
        <v>1120</v>
      </c>
      <c r="B391" t="s">
        <v>7483</v>
      </c>
      <c r="C391" s="1665">
        <v>110348212</v>
      </c>
      <c r="D391" s="1665">
        <v>110931363</v>
      </c>
      <c r="E391" s="1665">
        <v>110466908</v>
      </c>
      <c r="F391" s="1665">
        <v>109883757</v>
      </c>
      <c r="G391" s="1665">
        <v>110466908</v>
      </c>
      <c r="H391" s="1665">
        <v>109883757</v>
      </c>
    </row>
    <row r="392" spans="1:8">
      <c r="A392" t="s">
        <v>1121</v>
      </c>
      <c r="B392" t="s">
        <v>7484</v>
      </c>
      <c r="C392" s="1665">
        <v>338205435</v>
      </c>
      <c r="D392" s="1665">
        <v>346439597</v>
      </c>
      <c r="E392" s="1665">
        <v>346439597</v>
      </c>
      <c r="F392" s="1665">
        <v>338205435</v>
      </c>
      <c r="G392" s="1665">
        <v>373719597</v>
      </c>
      <c r="H392" s="1665">
        <v>365485435</v>
      </c>
    </row>
    <row r="393" spans="1:8">
      <c r="A393" t="s">
        <v>2106</v>
      </c>
      <c r="B393" t="s">
        <v>7485</v>
      </c>
      <c r="C393" s="1665">
        <v>115267079</v>
      </c>
      <c r="D393" s="1665">
        <v>116914089</v>
      </c>
      <c r="E393" s="1665">
        <v>116914089</v>
      </c>
      <c r="F393" s="1665">
        <v>115267079</v>
      </c>
      <c r="G393" s="1665">
        <v>173990099</v>
      </c>
      <c r="H393" s="1665">
        <v>172343089</v>
      </c>
    </row>
    <row r="394" spans="1:8">
      <c r="A394" t="s">
        <v>2107</v>
      </c>
      <c r="B394" t="s">
        <v>7486</v>
      </c>
      <c r="C394" s="1665">
        <v>289167333</v>
      </c>
      <c r="D394" s="1665">
        <v>294111183</v>
      </c>
      <c r="E394" s="1665">
        <v>294111183</v>
      </c>
      <c r="F394" s="1665">
        <v>289167333</v>
      </c>
      <c r="G394" s="1665">
        <v>294111183</v>
      </c>
      <c r="H394" s="1665">
        <v>289167333</v>
      </c>
    </row>
    <row r="395" spans="1:8">
      <c r="A395" t="s">
        <v>1020</v>
      </c>
      <c r="B395" t="s">
        <v>7487</v>
      </c>
      <c r="C395" s="1665">
        <v>365293267</v>
      </c>
      <c r="D395" s="1665">
        <v>382311357</v>
      </c>
      <c r="E395" s="1665">
        <v>373802232</v>
      </c>
      <c r="F395" s="1665">
        <v>356784142</v>
      </c>
      <c r="G395" s="1665">
        <v>373802232</v>
      </c>
      <c r="H395" s="1665">
        <v>356784142</v>
      </c>
    </row>
    <row r="396" spans="1:8">
      <c r="A396" t="s">
        <v>1148</v>
      </c>
      <c r="B396" t="s">
        <v>7488</v>
      </c>
      <c r="C396" s="1665">
        <v>771032818</v>
      </c>
      <c r="D396" s="1665">
        <v>808167647</v>
      </c>
      <c r="E396" s="1665">
        <v>808167647</v>
      </c>
      <c r="F396" s="1665">
        <v>771032818</v>
      </c>
      <c r="G396" s="1665">
        <v>808167647</v>
      </c>
      <c r="H396" s="1665">
        <v>771032818</v>
      </c>
    </row>
    <row r="397" spans="1:8">
      <c r="A397" t="s">
        <v>381</v>
      </c>
      <c r="B397" t="s">
        <v>7489</v>
      </c>
      <c r="C397" s="1665">
        <v>877257532</v>
      </c>
      <c r="D397" s="1665">
        <v>904428080</v>
      </c>
      <c r="E397" s="1665">
        <v>871657031</v>
      </c>
      <c r="F397" s="1665">
        <v>844486483</v>
      </c>
      <c r="G397" s="1665">
        <v>871657031</v>
      </c>
      <c r="H397" s="1665">
        <v>844486483</v>
      </c>
    </row>
    <row r="398" spans="1:8">
      <c r="A398" t="s">
        <v>2285</v>
      </c>
      <c r="B398" t="s">
        <v>7490</v>
      </c>
      <c r="C398" s="1665">
        <v>1123193444</v>
      </c>
      <c r="D398" s="1665">
        <v>1174638707</v>
      </c>
      <c r="E398" s="1665">
        <v>1174638707</v>
      </c>
      <c r="F398" s="1665">
        <v>1123193444</v>
      </c>
      <c r="G398" s="1665">
        <v>1174638707</v>
      </c>
      <c r="H398" s="1665">
        <v>1123193444</v>
      </c>
    </row>
    <row r="399" spans="1:8">
      <c r="A399" t="s">
        <v>1179</v>
      </c>
      <c r="B399" t="s">
        <v>7491</v>
      </c>
      <c r="C399" s="1665">
        <v>195759022</v>
      </c>
      <c r="D399" s="1665">
        <v>202713142</v>
      </c>
      <c r="E399" s="1665">
        <v>202713142</v>
      </c>
      <c r="F399" s="1665">
        <v>195759022</v>
      </c>
      <c r="G399" s="1665">
        <v>202713142</v>
      </c>
      <c r="H399" s="1665">
        <v>195759022</v>
      </c>
    </row>
    <row r="400" spans="1:8">
      <c r="A400" t="s">
        <v>585</v>
      </c>
      <c r="B400" t="s">
        <v>7492</v>
      </c>
      <c r="C400" s="1665">
        <v>18996495138</v>
      </c>
      <c r="D400" s="1665">
        <v>19327469450</v>
      </c>
      <c r="E400" s="1665">
        <v>19327469450</v>
      </c>
      <c r="F400" s="1665">
        <v>18996495138</v>
      </c>
      <c r="G400" s="1665">
        <v>19327469450</v>
      </c>
      <c r="H400" s="1665">
        <v>18996495138</v>
      </c>
    </row>
    <row r="401" spans="1:8">
      <c r="A401" t="s">
        <v>194</v>
      </c>
      <c r="B401" t="s">
        <v>7493</v>
      </c>
      <c r="C401" s="1665">
        <v>15173766024</v>
      </c>
      <c r="D401" s="1665">
        <v>15440912296</v>
      </c>
      <c r="E401" s="1665">
        <v>15440912296</v>
      </c>
      <c r="F401" s="1665">
        <v>15173766024</v>
      </c>
      <c r="G401" s="1665">
        <v>15440912296</v>
      </c>
      <c r="H401" s="1665">
        <v>15173766024</v>
      </c>
    </row>
    <row r="402" spans="1:8">
      <c r="A402" t="s">
        <v>2313</v>
      </c>
      <c r="B402" t="s">
        <v>7494</v>
      </c>
      <c r="C402" s="1665">
        <v>2996821534</v>
      </c>
      <c r="D402" s="1665">
        <v>3055417793</v>
      </c>
      <c r="E402" s="1665">
        <v>3055417793</v>
      </c>
      <c r="F402" s="1665">
        <v>2996821534</v>
      </c>
      <c r="G402" s="1665">
        <v>3055417793</v>
      </c>
      <c r="H402" s="1665">
        <v>2996821534</v>
      </c>
    </row>
    <row r="403" spans="1:8">
      <c r="A403" t="s">
        <v>2404</v>
      </c>
      <c r="B403" t="s">
        <v>7495</v>
      </c>
      <c r="C403" s="1665">
        <v>1781943068</v>
      </c>
      <c r="D403" s="1665">
        <v>1841950620</v>
      </c>
      <c r="E403" s="1665">
        <v>1841950620</v>
      </c>
      <c r="F403" s="1665">
        <v>1781943068</v>
      </c>
      <c r="G403" s="1665">
        <v>1841950620</v>
      </c>
      <c r="H403" s="1665">
        <v>1781943068</v>
      </c>
    </row>
    <row r="404" spans="1:8">
      <c r="A404" t="s">
        <v>2314</v>
      </c>
      <c r="B404" t="s">
        <v>7496</v>
      </c>
      <c r="C404" s="1665">
        <v>53445904613</v>
      </c>
      <c r="D404" s="1665">
        <v>54631455787</v>
      </c>
      <c r="E404" s="1665">
        <v>52033051767</v>
      </c>
      <c r="F404" s="1665">
        <v>50847500593</v>
      </c>
      <c r="G404" s="1665">
        <v>52033051767</v>
      </c>
      <c r="H404" s="1665">
        <v>50847500593</v>
      </c>
    </row>
    <row r="405" spans="1:8">
      <c r="A405" t="s">
        <v>2166</v>
      </c>
      <c r="B405" t="s">
        <v>7497</v>
      </c>
      <c r="C405" s="1665">
        <v>8136436529</v>
      </c>
      <c r="D405" s="1665">
        <v>8249301614</v>
      </c>
      <c r="E405" s="1665">
        <v>8057878739</v>
      </c>
      <c r="F405" s="1665">
        <v>7945013654</v>
      </c>
      <c r="G405" s="1665">
        <v>8181864119</v>
      </c>
      <c r="H405" s="1665">
        <v>8068999034</v>
      </c>
    </row>
    <row r="406" spans="1:8">
      <c r="A406" t="s">
        <v>1428</v>
      </c>
      <c r="B406" t="s">
        <v>7498</v>
      </c>
      <c r="C406" s="1665">
        <v>8375215201</v>
      </c>
      <c r="D406" s="1665">
        <v>8499571168</v>
      </c>
      <c r="E406" s="1665">
        <v>8374055353</v>
      </c>
      <c r="F406" s="1665">
        <v>8249699386</v>
      </c>
      <c r="G406" s="1665">
        <v>8374055353</v>
      </c>
      <c r="H406" s="1665">
        <v>8249699386</v>
      </c>
    </row>
    <row r="407" spans="1:8">
      <c r="A407" t="s">
        <v>2020</v>
      </c>
      <c r="B407" t="s">
        <v>7499</v>
      </c>
      <c r="C407" s="1665">
        <v>11288274587</v>
      </c>
      <c r="D407" s="1665">
        <v>11475660704</v>
      </c>
      <c r="E407" s="1665">
        <v>11349957806</v>
      </c>
      <c r="F407" s="1665">
        <v>11162571689</v>
      </c>
      <c r="G407" s="1665">
        <v>12123744604</v>
      </c>
      <c r="H407" s="1665">
        <v>11936358487</v>
      </c>
    </row>
    <row r="408" spans="1:8">
      <c r="A408" t="s">
        <v>2552</v>
      </c>
      <c r="B408" t="s">
        <v>7500</v>
      </c>
      <c r="C408" s="1665">
        <v>174202421321</v>
      </c>
      <c r="D408" s="1665">
        <v>176376324967</v>
      </c>
      <c r="E408" s="1665">
        <v>169111579107</v>
      </c>
      <c r="F408" s="1665">
        <v>166937675461</v>
      </c>
      <c r="G408" s="1665">
        <v>169111579107</v>
      </c>
      <c r="H408" s="1665">
        <v>166937675461</v>
      </c>
    </row>
    <row r="409" spans="1:8">
      <c r="A409" t="s">
        <v>1117</v>
      </c>
      <c r="B409" t="s">
        <v>7501</v>
      </c>
      <c r="C409" s="1665">
        <v>14674616926</v>
      </c>
      <c r="D409" s="1665">
        <v>15119644284</v>
      </c>
      <c r="E409" s="1665">
        <v>15119644284</v>
      </c>
      <c r="F409" s="1665">
        <v>14674616926</v>
      </c>
      <c r="G409" s="1665">
        <v>15119644284</v>
      </c>
      <c r="H409" s="1665">
        <v>14674616926</v>
      </c>
    </row>
    <row r="410" spans="1:8">
      <c r="A410" t="s">
        <v>48</v>
      </c>
      <c r="B410" t="s">
        <v>7502</v>
      </c>
      <c r="C410" s="1665">
        <v>37819513622</v>
      </c>
      <c r="D410" s="1665">
        <v>38523398588</v>
      </c>
      <c r="E410" s="1665">
        <v>38523398588</v>
      </c>
      <c r="F410" s="1665">
        <v>37819513622</v>
      </c>
      <c r="G410" s="1665">
        <v>38523398588</v>
      </c>
      <c r="H410" s="1665">
        <v>37819513622</v>
      </c>
    </row>
    <row r="411" spans="1:8">
      <c r="A411" t="s">
        <v>55</v>
      </c>
      <c r="B411" t="s">
        <v>7503</v>
      </c>
      <c r="C411" s="1665">
        <v>20178095594</v>
      </c>
      <c r="D411" s="1665">
        <v>20728066753</v>
      </c>
      <c r="E411" s="1665">
        <v>20728066753</v>
      </c>
      <c r="F411" s="1665">
        <v>20178095594</v>
      </c>
      <c r="G411" s="1665">
        <v>20728066753</v>
      </c>
      <c r="H411" s="1665">
        <v>20178095594</v>
      </c>
    </row>
    <row r="412" spans="1:8">
      <c r="A412" t="s">
        <v>2553</v>
      </c>
      <c r="B412" t="s">
        <v>7504</v>
      </c>
      <c r="C412" s="1665">
        <v>8945716625</v>
      </c>
      <c r="D412" s="1665">
        <v>9048085741</v>
      </c>
      <c r="E412" s="1665">
        <v>8869903255</v>
      </c>
      <c r="F412" s="1665">
        <v>8767534139</v>
      </c>
      <c r="G412" s="1665">
        <v>9951509875</v>
      </c>
      <c r="H412" s="1665">
        <v>9849140759</v>
      </c>
    </row>
    <row r="413" spans="1:8">
      <c r="A413" t="s">
        <v>206</v>
      </c>
      <c r="B413" t="s">
        <v>7505</v>
      </c>
      <c r="C413" s="1665">
        <v>13610439396</v>
      </c>
      <c r="D413" s="1665">
        <v>13976270099</v>
      </c>
      <c r="E413" s="1665">
        <v>13735651481</v>
      </c>
      <c r="F413" s="1665">
        <v>13369820778</v>
      </c>
      <c r="G413" s="1665">
        <v>13735651481</v>
      </c>
      <c r="H413" s="1665">
        <v>13369820778</v>
      </c>
    </row>
    <row r="414" spans="1:8">
      <c r="A414" t="s">
        <v>668</v>
      </c>
      <c r="B414" t="s">
        <v>7506</v>
      </c>
      <c r="C414" s="1665">
        <v>12455825591</v>
      </c>
      <c r="D414" s="1665">
        <v>12725880637</v>
      </c>
      <c r="E414" s="1665">
        <v>12725880637</v>
      </c>
      <c r="F414" s="1665">
        <v>12455825591</v>
      </c>
      <c r="G414" s="1665">
        <v>12725880637</v>
      </c>
      <c r="H414" s="1665">
        <v>12455825591</v>
      </c>
    </row>
    <row r="415" spans="1:8">
      <c r="A415" t="s">
        <v>811</v>
      </c>
      <c r="B415" t="s">
        <v>7507</v>
      </c>
      <c r="C415" s="1665">
        <v>33021678478</v>
      </c>
      <c r="D415" s="1665">
        <v>33351006977</v>
      </c>
      <c r="E415" s="1665">
        <v>31232347329</v>
      </c>
      <c r="F415" s="1665">
        <v>30903018830</v>
      </c>
      <c r="G415" s="1665">
        <v>31232347329</v>
      </c>
      <c r="H415" s="1665">
        <v>30903018830</v>
      </c>
    </row>
    <row r="416" spans="1:8">
      <c r="A416" t="s">
        <v>1947</v>
      </c>
      <c r="B416" t="s">
        <v>7508</v>
      </c>
      <c r="C416" s="1665">
        <v>10227349868</v>
      </c>
      <c r="D416" s="1665">
        <v>10410341726</v>
      </c>
      <c r="E416" s="1665">
        <v>10410341726</v>
      </c>
      <c r="F416" s="1665">
        <v>10227349868</v>
      </c>
      <c r="G416" s="1665">
        <v>10410341726</v>
      </c>
      <c r="H416" s="1665">
        <v>10227349868</v>
      </c>
    </row>
    <row r="417" spans="1:8">
      <c r="A417" t="s">
        <v>1948</v>
      </c>
      <c r="B417" t="s">
        <v>7509</v>
      </c>
      <c r="C417" s="1665">
        <v>5438872722</v>
      </c>
      <c r="D417" s="1665">
        <v>5496053492</v>
      </c>
      <c r="E417" s="1665">
        <v>5427289059</v>
      </c>
      <c r="F417" s="1665">
        <v>5370108289</v>
      </c>
      <c r="G417" s="1665">
        <v>5725821819</v>
      </c>
      <c r="H417" s="1665">
        <v>5668641049</v>
      </c>
    </row>
    <row r="418" spans="1:8">
      <c r="A418" t="s">
        <v>867</v>
      </c>
      <c r="B418" t="s">
        <v>7510</v>
      </c>
      <c r="C418" s="1665">
        <v>1132888632</v>
      </c>
      <c r="D418" s="1665">
        <v>1169953280</v>
      </c>
      <c r="E418" s="1665">
        <v>1169953280</v>
      </c>
      <c r="F418" s="1665">
        <v>1132888632</v>
      </c>
      <c r="G418" s="1665">
        <v>1169953280</v>
      </c>
      <c r="H418" s="1665">
        <v>1132888632</v>
      </c>
    </row>
    <row r="419" spans="1:8">
      <c r="A419" t="s">
        <v>1949</v>
      </c>
      <c r="B419" t="s">
        <v>7511</v>
      </c>
      <c r="C419" s="1665">
        <v>205205789</v>
      </c>
      <c r="D419" s="1665">
        <v>209990738</v>
      </c>
      <c r="E419" s="1665">
        <v>202798332</v>
      </c>
      <c r="F419" s="1665">
        <v>198013383</v>
      </c>
      <c r="G419" s="1665">
        <v>202798332</v>
      </c>
      <c r="H419" s="1665">
        <v>198013383</v>
      </c>
    </row>
    <row r="420" spans="1:8">
      <c r="A420" t="s">
        <v>1500</v>
      </c>
      <c r="B420" t="s">
        <v>7512</v>
      </c>
      <c r="C420" s="1665">
        <v>2421363318</v>
      </c>
      <c r="D420" s="1665">
        <v>2479092392</v>
      </c>
      <c r="E420" s="1665">
        <v>2400304413</v>
      </c>
      <c r="F420" s="1665">
        <v>2342575339</v>
      </c>
      <c r="G420" s="1665">
        <v>2400304413</v>
      </c>
      <c r="H420" s="1665">
        <v>2342575339</v>
      </c>
    </row>
    <row r="421" spans="1:8">
      <c r="A421" t="s">
        <v>1501</v>
      </c>
      <c r="B421" t="s">
        <v>7513</v>
      </c>
      <c r="C421" s="1665">
        <v>410513562</v>
      </c>
      <c r="D421" s="1665">
        <v>416900977</v>
      </c>
      <c r="E421" s="1665">
        <v>407892907</v>
      </c>
      <c r="F421" s="1665">
        <v>401505492</v>
      </c>
      <c r="G421" s="1665">
        <v>407892907</v>
      </c>
      <c r="H421" s="1665">
        <v>401505492</v>
      </c>
    </row>
    <row r="422" spans="1:8">
      <c r="A422" t="s">
        <v>1502</v>
      </c>
      <c r="B422" t="s">
        <v>7514</v>
      </c>
      <c r="C422" s="1665">
        <v>2635161666</v>
      </c>
      <c r="D422" s="1665">
        <v>2680525019</v>
      </c>
      <c r="E422" s="1665">
        <v>2588739456</v>
      </c>
      <c r="F422" s="1665">
        <v>2543376103</v>
      </c>
      <c r="G422" s="1665">
        <v>2588739456</v>
      </c>
      <c r="H422" s="1665">
        <v>2543376103</v>
      </c>
    </row>
    <row r="423" spans="1:8">
      <c r="A423" t="s">
        <v>1568</v>
      </c>
      <c r="B423" t="s">
        <v>7515</v>
      </c>
      <c r="C423" s="1665">
        <v>164054725</v>
      </c>
      <c r="D423" s="1665">
        <v>169948692</v>
      </c>
      <c r="E423" s="1665">
        <v>159709432</v>
      </c>
      <c r="F423" s="1665">
        <v>153815465</v>
      </c>
      <c r="G423" s="1665">
        <v>159709432</v>
      </c>
      <c r="H423" s="1665">
        <v>153815465</v>
      </c>
    </row>
    <row r="424" spans="1:8">
      <c r="A424" t="s">
        <v>1569</v>
      </c>
      <c r="B424" t="s">
        <v>7516</v>
      </c>
      <c r="C424" s="1665">
        <v>323337951</v>
      </c>
      <c r="D424" s="1665">
        <v>333806500</v>
      </c>
      <c r="E424" s="1665">
        <v>319952777</v>
      </c>
      <c r="F424" s="1665">
        <v>309484228</v>
      </c>
      <c r="G424" s="1665">
        <v>319952777</v>
      </c>
      <c r="H424" s="1665">
        <v>309484228</v>
      </c>
    </row>
    <row r="425" spans="1:8">
      <c r="A425" t="s">
        <v>497</v>
      </c>
      <c r="B425" t="s">
        <v>7517</v>
      </c>
      <c r="C425" s="1665">
        <v>189965956</v>
      </c>
      <c r="D425" s="1665">
        <v>190629296</v>
      </c>
      <c r="E425" s="1665">
        <v>190629296</v>
      </c>
      <c r="F425" s="1665">
        <v>189965956</v>
      </c>
      <c r="G425" s="1665">
        <v>190629296</v>
      </c>
      <c r="H425" s="1665">
        <v>189965956</v>
      </c>
    </row>
    <row r="426" spans="1:8">
      <c r="A426" t="s">
        <v>465</v>
      </c>
      <c r="B426" t="s">
        <v>7518</v>
      </c>
      <c r="C426" s="1665">
        <v>180849096</v>
      </c>
      <c r="D426" s="1665">
        <v>181762136</v>
      </c>
      <c r="E426" s="1665">
        <v>181762136</v>
      </c>
      <c r="F426" s="1665">
        <v>180849096</v>
      </c>
      <c r="G426" s="1665">
        <v>181762136</v>
      </c>
      <c r="H426" s="1665">
        <v>180849096</v>
      </c>
    </row>
    <row r="427" spans="1:8">
      <c r="A427" t="s">
        <v>466</v>
      </c>
      <c r="B427" t="s">
        <v>7519</v>
      </c>
      <c r="C427" s="1665">
        <v>180918033</v>
      </c>
      <c r="D427" s="1665">
        <v>188072003</v>
      </c>
      <c r="E427" s="1665">
        <v>188072003</v>
      </c>
      <c r="F427" s="1665">
        <v>180918033</v>
      </c>
      <c r="G427" s="1665">
        <v>347129793</v>
      </c>
      <c r="H427" s="1665">
        <v>339975823</v>
      </c>
    </row>
    <row r="428" spans="1:8">
      <c r="A428" t="s">
        <v>467</v>
      </c>
      <c r="B428" t="s">
        <v>7520</v>
      </c>
      <c r="C428" s="1665">
        <v>37835270</v>
      </c>
      <c r="D428" s="1665">
        <v>39066270</v>
      </c>
      <c r="E428" s="1665">
        <v>38386265</v>
      </c>
      <c r="F428" s="1665">
        <v>37155265</v>
      </c>
      <c r="G428" s="1665">
        <v>38386265</v>
      </c>
      <c r="H428" s="1665">
        <v>37155265</v>
      </c>
    </row>
    <row r="429" spans="1:8">
      <c r="A429" t="s">
        <v>468</v>
      </c>
      <c r="B429" t="s">
        <v>7521</v>
      </c>
      <c r="C429" s="1665">
        <v>172193245</v>
      </c>
      <c r="D429" s="1665">
        <v>172778175</v>
      </c>
      <c r="E429" s="1665">
        <v>172778175</v>
      </c>
      <c r="F429" s="1665">
        <v>172193245</v>
      </c>
      <c r="G429" s="1665">
        <v>322617605</v>
      </c>
      <c r="H429" s="1665">
        <v>322032675</v>
      </c>
    </row>
    <row r="430" spans="1:8">
      <c r="A430" t="s">
        <v>1141</v>
      </c>
      <c r="B430" t="s">
        <v>7522</v>
      </c>
      <c r="C430" s="1665">
        <v>5174998736</v>
      </c>
      <c r="D430" s="1665">
        <v>5243011818</v>
      </c>
      <c r="E430" s="1665">
        <v>5243011818</v>
      </c>
      <c r="F430" s="1665">
        <v>5174998736</v>
      </c>
      <c r="G430" s="1665">
        <v>5243011818</v>
      </c>
      <c r="H430" s="1665">
        <v>5174998736</v>
      </c>
    </row>
    <row r="431" spans="1:8">
      <c r="A431" t="s">
        <v>1488</v>
      </c>
      <c r="B431" t="s">
        <v>7523</v>
      </c>
      <c r="C431" s="1665">
        <v>4358104307</v>
      </c>
      <c r="D431" s="1665">
        <v>4438971064</v>
      </c>
      <c r="E431" s="1665">
        <v>4438971064</v>
      </c>
      <c r="F431" s="1665">
        <v>4358104307</v>
      </c>
      <c r="G431" s="1665">
        <v>4438971064</v>
      </c>
      <c r="H431" s="1665">
        <v>4358104307</v>
      </c>
    </row>
    <row r="432" spans="1:8">
      <c r="A432" t="s">
        <v>1292</v>
      </c>
      <c r="B432" t="s">
        <v>7524</v>
      </c>
      <c r="C432" s="1665">
        <v>1886260197</v>
      </c>
      <c r="D432" s="1665">
        <v>1929539038</v>
      </c>
      <c r="E432" s="1665">
        <v>1929539038</v>
      </c>
      <c r="F432" s="1665">
        <v>1886260197</v>
      </c>
      <c r="G432" s="1665">
        <v>1929539038</v>
      </c>
      <c r="H432" s="1665">
        <v>1886260197</v>
      </c>
    </row>
    <row r="433" spans="1:8">
      <c r="A433" t="s">
        <v>1863</v>
      </c>
      <c r="B433" t="s">
        <v>7525</v>
      </c>
      <c r="C433" s="1665">
        <v>6828380579</v>
      </c>
      <c r="D433" s="1665">
        <v>7011941841</v>
      </c>
      <c r="E433" s="1665">
        <v>7011941841</v>
      </c>
      <c r="F433" s="1665">
        <v>6828380579</v>
      </c>
      <c r="G433" s="1665">
        <v>7011941841</v>
      </c>
      <c r="H433" s="1665">
        <v>6828380579</v>
      </c>
    </row>
    <row r="434" spans="1:8">
      <c r="A434" t="s">
        <v>1703</v>
      </c>
      <c r="B434" t="s">
        <v>7526</v>
      </c>
      <c r="C434" s="1665">
        <v>1166245829</v>
      </c>
      <c r="D434" s="1665">
        <v>1173479199</v>
      </c>
      <c r="E434" s="1665">
        <v>1163801954</v>
      </c>
      <c r="F434" s="1665">
        <v>1156568584</v>
      </c>
      <c r="G434" s="1665">
        <v>1174660984</v>
      </c>
      <c r="H434" s="1665">
        <v>1167427614</v>
      </c>
    </row>
    <row r="435" spans="1:8">
      <c r="A435" t="s">
        <v>1704</v>
      </c>
      <c r="B435" t="s">
        <v>7527</v>
      </c>
      <c r="C435" s="1665">
        <v>1304805233</v>
      </c>
      <c r="D435" s="1665">
        <v>1349197516</v>
      </c>
      <c r="E435" s="1665">
        <v>1349197516</v>
      </c>
      <c r="F435" s="1665">
        <v>1304805233</v>
      </c>
      <c r="G435" s="1665">
        <v>1349197516</v>
      </c>
      <c r="H435" s="1665">
        <v>1304805233</v>
      </c>
    </row>
    <row r="436" spans="1:8">
      <c r="A436" t="s">
        <v>2544</v>
      </c>
      <c r="B436" t="s">
        <v>7528</v>
      </c>
      <c r="C436" s="1665">
        <v>665869065</v>
      </c>
      <c r="D436" s="1665">
        <v>703453186</v>
      </c>
      <c r="E436" s="1665">
        <v>656866330</v>
      </c>
      <c r="F436" s="1665">
        <v>619282209</v>
      </c>
      <c r="G436" s="1665">
        <v>656866330</v>
      </c>
      <c r="H436" s="1665">
        <v>619282209</v>
      </c>
    </row>
    <row r="437" spans="1:8">
      <c r="A437" t="s">
        <v>2519</v>
      </c>
      <c r="B437" t="s">
        <v>7529</v>
      </c>
      <c r="C437" s="1665">
        <v>263067528</v>
      </c>
      <c r="D437" s="1665">
        <v>269259575</v>
      </c>
      <c r="E437" s="1665">
        <v>269259575</v>
      </c>
      <c r="F437" s="1665">
        <v>263067528</v>
      </c>
      <c r="G437" s="1665">
        <v>269259575</v>
      </c>
      <c r="H437" s="1665">
        <v>263067528</v>
      </c>
    </row>
    <row r="438" spans="1:8">
      <c r="A438" t="s">
        <v>2007</v>
      </c>
      <c r="B438" t="s">
        <v>7530</v>
      </c>
      <c r="C438" s="1665">
        <v>557257789</v>
      </c>
      <c r="D438" s="1665">
        <v>573361352</v>
      </c>
      <c r="E438" s="1665">
        <v>548589960</v>
      </c>
      <c r="F438" s="1665">
        <v>532486397</v>
      </c>
      <c r="G438" s="1665">
        <v>548589960</v>
      </c>
      <c r="H438" s="1665">
        <v>532486397</v>
      </c>
    </row>
    <row r="439" spans="1:8">
      <c r="A439" t="s">
        <v>63</v>
      </c>
      <c r="B439" t="s">
        <v>7531</v>
      </c>
      <c r="C439" s="1665">
        <v>1221032663</v>
      </c>
      <c r="D439" s="1665">
        <v>1244585105</v>
      </c>
      <c r="E439" s="1665">
        <v>1244585105</v>
      </c>
      <c r="F439" s="1665">
        <v>1221032663</v>
      </c>
      <c r="G439" s="1665">
        <v>1244585105</v>
      </c>
      <c r="H439" s="1665">
        <v>1221032663</v>
      </c>
    </row>
    <row r="440" spans="1:8">
      <c r="A440" t="s">
        <v>1518</v>
      </c>
      <c r="B440" t="s">
        <v>7532</v>
      </c>
      <c r="C440" s="1665">
        <v>46618342</v>
      </c>
      <c r="D440" s="1665">
        <v>48263408</v>
      </c>
      <c r="E440" s="1665">
        <v>47346850</v>
      </c>
      <c r="F440" s="1665">
        <v>45701784</v>
      </c>
      <c r="G440" s="1665">
        <v>47346850</v>
      </c>
      <c r="H440" s="1665">
        <v>45701784</v>
      </c>
    </row>
    <row r="441" spans="1:8">
      <c r="A441" t="s">
        <v>868</v>
      </c>
      <c r="B441" t="s">
        <v>7533</v>
      </c>
      <c r="C441" s="1665">
        <v>36333603</v>
      </c>
      <c r="D441" s="1665">
        <v>38146393</v>
      </c>
      <c r="E441" s="1665">
        <v>38146393</v>
      </c>
      <c r="F441" s="1665">
        <v>36333603</v>
      </c>
      <c r="G441" s="1665">
        <v>38146393</v>
      </c>
      <c r="H441" s="1665">
        <v>36333603</v>
      </c>
    </row>
    <row r="442" spans="1:8">
      <c r="A442" t="s">
        <v>64</v>
      </c>
      <c r="B442" t="s">
        <v>7534</v>
      </c>
      <c r="C442" s="1665">
        <v>186818571</v>
      </c>
      <c r="D442" s="1665">
        <v>193055247</v>
      </c>
      <c r="E442" s="1665">
        <v>184881069</v>
      </c>
      <c r="F442" s="1665">
        <v>178644393</v>
      </c>
      <c r="G442" s="1665">
        <v>184881069</v>
      </c>
      <c r="H442" s="1665">
        <v>178644393</v>
      </c>
    </row>
    <row r="443" spans="1:8">
      <c r="A443" t="s">
        <v>2127</v>
      </c>
      <c r="B443" t="s">
        <v>7535</v>
      </c>
      <c r="C443" s="1665">
        <v>1396441933</v>
      </c>
      <c r="D443" s="1665">
        <v>1477785525</v>
      </c>
      <c r="E443" s="1665">
        <v>1477785525</v>
      </c>
      <c r="F443" s="1665">
        <v>1396441933</v>
      </c>
      <c r="G443" s="1665">
        <v>1477785525</v>
      </c>
      <c r="H443" s="1665">
        <v>1396441933</v>
      </c>
    </row>
    <row r="444" spans="1:8">
      <c r="A444" t="s">
        <v>770</v>
      </c>
      <c r="B444" t="s">
        <v>7536</v>
      </c>
      <c r="C444" s="1665">
        <v>312630406</v>
      </c>
      <c r="D444" s="1665">
        <v>337822836</v>
      </c>
      <c r="E444" s="1665">
        <v>337822836</v>
      </c>
      <c r="F444" s="1665">
        <v>312630406</v>
      </c>
      <c r="G444" s="1665">
        <v>337822836</v>
      </c>
      <c r="H444" s="1665">
        <v>312630406</v>
      </c>
    </row>
    <row r="445" spans="1:8">
      <c r="A445" t="s">
        <v>772</v>
      </c>
      <c r="B445" t="s">
        <v>7537</v>
      </c>
      <c r="C445" s="1665">
        <v>6088949383</v>
      </c>
      <c r="D445" s="1665">
        <v>6301847825</v>
      </c>
      <c r="E445" s="1665">
        <v>6301847825</v>
      </c>
      <c r="F445" s="1665">
        <v>6088949383</v>
      </c>
      <c r="G445" s="1665">
        <v>6511630223</v>
      </c>
      <c r="H445" s="1665">
        <v>6298731781</v>
      </c>
    </row>
    <row r="446" spans="1:8">
      <c r="A446" t="s">
        <v>1865</v>
      </c>
      <c r="B446" t="s">
        <v>7538</v>
      </c>
      <c r="C446" s="1665">
        <v>507593090</v>
      </c>
      <c r="D446" s="1665">
        <v>518974625</v>
      </c>
      <c r="E446" s="1665">
        <v>518974625</v>
      </c>
      <c r="F446" s="1665">
        <v>507593090</v>
      </c>
      <c r="G446" s="1665">
        <v>518974625</v>
      </c>
      <c r="H446" s="1665">
        <v>507593090</v>
      </c>
    </row>
    <row r="447" spans="1:8">
      <c r="A447" t="s">
        <v>2529</v>
      </c>
      <c r="B447" t="s">
        <v>7539</v>
      </c>
      <c r="C447" s="1665">
        <v>7006204393</v>
      </c>
      <c r="D447" s="1665">
        <v>7201035215</v>
      </c>
      <c r="E447" s="1665">
        <v>7201035215</v>
      </c>
      <c r="F447" s="1665">
        <v>7006204393</v>
      </c>
      <c r="G447" s="1665">
        <v>7201035215</v>
      </c>
      <c r="H447" s="1665">
        <v>7006204393</v>
      </c>
    </row>
    <row r="448" spans="1:8">
      <c r="A448" t="s">
        <v>2532</v>
      </c>
      <c r="B448" t="s">
        <v>7540</v>
      </c>
      <c r="C448" s="1665">
        <v>526504611</v>
      </c>
      <c r="D448" s="1665">
        <v>554849655</v>
      </c>
      <c r="E448" s="1665">
        <v>554849655</v>
      </c>
      <c r="F448" s="1665">
        <v>526504611</v>
      </c>
      <c r="G448" s="1665">
        <v>554849655</v>
      </c>
      <c r="H448" s="1665">
        <v>526504611</v>
      </c>
    </row>
    <row r="449" spans="1:8">
      <c r="A449" t="s">
        <v>2538</v>
      </c>
      <c r="B449" t="s">
        <v>7541</v>
      </c>
      <c r="C449" s="1665">
        <v>1947897625</v>
      </c>
      <c r="D449" s="1665">
        <v>2049733730</v>
      </c>
      <c r="E449" s="1665">
        <v>2049733730</v>
      </c>
      <c r="F449" s="1665">
        <v>1947897625</v>
      </c>
      <c r="G449" s="1665">
        <v>2049733730</v>
      </c>
      <c r="H449" s="1665">
        <v>1947897625</v>
      </c>
    </row>
    <row r="450" spans="1:8">
      <c r="A450" t="s">
        <v>211</v>
      </c>
      <c r="B450" t="s">
        <v>7542</v>
      </c>
      <c r="C450" s="1665">
        <v>4367328395</v>
      </c>
      <c r="D450" s="1665">
        <v>4553366955</v>
      </c>
      <c r="E450" s="1665">
        <v>4553366955</v>
      </c>
      <c r="F450" s="1665">
        <v>4367328395</v>
      </c>
      <c r="G450" s="1665">
        <v>4553366955</v>
      </c>
      <c r="H450" s="1665">
        <v>4367328395</v>
      </c>
    </row>
    <row r="451" spans="1:8">
      <c r="A451" t="s">
        <v>1067</v>
      </c>
      <c r="B451" t="s">
        <v>7543</v>
      </c>
      <c r="C451" s="1665">
        <v>173858844</v>
      </c>
      <c r="D451" s="1665">
        <v>183967985</v>
      </c>
      <c r="E451" s="1665">
        <v>183967985</v>
      </c>
      <c r="F451" s="1665">
        <v>173858844</v>
      </c>
      <c r="G451" s="1665">
        <v>183967985</v>
      </c>
      <c r="H451" s="1665">
        <v>173858844</v>
      </c>
    </row>
    <row r="452" spans="1:8">
      <c r="A452" t="s">
        <v>1562</v>
      </c>
      <c r="B452" t="s">
        <v>7544</v>
      </c>
      <c r="C452" s="1665">
        <v>3122780172</v>
      </c>
      <c r="D452" s="1665">
        <v>3202452424</v>
      </c>
      <c r="E452" s="1665">
        <v>3202452424</v>
      </c>
      <c r="F452" s="1665">
        <v>3122780172</v>
      </c>
      <c r="G452" s="1665">
        <v>3202452424</v>
      </c>
      <c r="H452" s="1665">
        <v>3122780172</v>
      </c>
    </row>
    <row r="453" spans="1:8">
      <c r="A453" t="s">
        <v>58</v>
      </c>
      <c r="B453" t="s">
        <v>7545</v>
      </c>
      <c r="C453" s="1665">
        <v>2265019983</v>
      </c>
      <c r="D453" s="1665">
        <v>2400897691</v>
      </c>
      <c r="E453" s="1665">
        <v>2400897691</v>
      </c>
      <c r="F453" s="1665">
        <v>2265019983</v>
      </c>
      <c r="G453" s="1665">
        <v>2400897691</v>
      </c>
      <c r="H453" s="1665">
        <v>2265019983</v>
      </c>
    </row>
    <row r="454" spans="1:8">
      <c r="A454" t="s">
        <v>723</v>
      </c>
      <c r="B454" t="s">
        <v>7546</v>
      </c>
      <c r="C454" s="1665">
        <v>2268988454</v>
      </c>
      <c r="D454" s="1665">
        <v>2374812012</v>
      </c>
      <c r="E454" s="1665">
        <v>2374812012</v>
      </c>
      <c r="F454" s="1665">
        <v>2268988454</v>
      </c>
      <c r="G454" s="1665">
        <v>2374812012</v>
      </c>
      <c r="H454" s="1665">
        <v>2268988454</v>
      </c>
    </row>
    <row r="455" spans="1:8">
      <c r="A455" t="s">
        <v>60</v>
      </c>
      <c r="B455" t="s">
        <v>7547</v>
      </c>
      <c r="C455" s="1665">
        <v>105574781</v>
      </c>
      <c r="D455" s="1665">
        <v>109455619</v>
      </c>
      <c r="E455" s="1665">
        <v>109455619</v>
      </c>
      <c r="F455" s="1665">
        <v>105574781</v>
      </c>
      <c r="G455" s="1665">
        <v>109455619</v>
      </c>
      <c r="H455" s="1665">
        <v>105574781</v>
      </c>
    </row>
    <row r="456" spans="1:8">
      <c r="A456" t="s">
        <v>512</v>
      </c>
      <c r="B456" t="s">
        <v>7548</v>
      </c>
      <c r="C456" s="1665">
        <v>93569736</v>
      </c>
      <c r="D456" s="1665">
        <v>98786212</v>
      </c>
      <c r="E456" s="1665">
        <v>98786212</v>
      </c>
      <c r="F456" s="1665">
        <v>93569736</v>
      </c>
      <c r="G456" s="1665">
        <v>98786212</v>
      </c>
      <c r="H456" s="1665">
        <v>93569736</v>
      </c>
    </row>
    <row r="457" spans="1:8">
      <c r="A457" t="s">
        <v>1522</v>
      </c>
      <c r="B457" t="s">
        <v>7285</v>
      </c>
      <c r="C457" s="1665">
        <v>574206905</v>
      </c>
      <c r="D457" s="1665">
        <v>597210446</v>
      </c>
      <c r="E457" s="1665">
        <v>597210446</v>
      </c>
      <c r="F457" s="1665">
        <v>574206905</v>
      </c>
      <c r="G457" s="1665">
        <v>597210446</v>
      </c>
      <c r="H457" s="1665">
        <v>574206905</v>
      </c>
    </row>
    <row r="458" spans="1:8">
      <c r="A458" t="s">
        <v>149</v>
      </c>
      <c r="B458" t="s">
        <v>7549</v>
      </c>
      <c r="C458" s="1665">
        <v>91904875</v>
      </c>
      <c r="D458" s="1665">
        <v>94718238</v>
      </c>
      <c r="E458" s="1665">
        <v>94718238</v>
      </c>
      <c r="F458" s="1665">
        <v>91904875</v>
      </c>
      <c r="G458" s="1665">
        <v>94718238</v>
      </c>
      <c r="H458" s="1665">
        <v>91904875</v>
      </c>
    </row>
    <row r="459" spans="1:8">
      <c r="A459" t="s">
        <v>2509</v>
      </c>
      <c r="B459" t="s">
        <v>7550</v>
      </c>
      <c r="C459" s="1665">
        <v>82486609</v>
      </c>
      <c r="D459" s="1665">
        <v>84697563</v>
      </c>
      <c r="E459" s="1665">
        <v>84697563</v>
      </c>
      <c r="F459" s="1665">
        <v>82486609</v>
      </c>
      <c r="G459" s="1665">
        <v>84697563</v>
      </c>
      <c r="H459" s="1665">
        <v>82486609</v>
      </c>
    </row>
    <row r="460" spans="1:8">
      <c r="A460" t="s">
        <v>2402</v>
      </c>
      <c r="B460" t="s">
        <v>7551</v>
      </c>
      <c r="C460" s="1665">
        <v>86106380</v>
      </c>
      <c r="D460" s="1665">
        <v>89743404</v>
      </c>
      <c r="E460" s="1665">
        <v>89743404</v>
      </c>
      <c r="F460" s="1665">
        <v>86106380</v>
      </c>
      <c r="G460" s="1665">
        <v>89743404</v>
      </c>
      <c r="H460" s="1665">
        <v>86106380</v>
      </c>
    </row>
    <row r="461" spans="1:8">
      <c r="A461" t="s">
        <v>1867</v>
      </c>
      <c r="B461" t="s">
        <v>7552</v>
      </c>
      <c r="C461" s="1665">
        <v>654289840</v>
      </c>
      <c r="D461" s="1665">
        <v>671762682</v>
      </c>
      <c r="E461" s="1665">
        <v>671762682</v>
      </c>
      <c r="F461" s="1665">
        <v>654289840</v>
      </c>
      <c r="G461" s="1665">
        <v>671762682</v>
      </c>
      <c r="H461" s="1665">
        <v>654289840</v>
      </c>
    </row>
    <row r="462" spans="1:8">
      <c r="A462" t="s">
        <v>513</v>
      </c>
      <c r="B462" t="s">
        <v>7176</v>
      </c>
      <c r="C462" s="1665">
        <v>79520290</v>
      </c>
      <c r="D462" s="1665">
        <v>83650479</v>
      </c>
      <c r="E462" s="1665">
        <v>83650479</v>
      </c>
      <c r="F462" s="1665">
        <v>79520290</v>
      </c>
      <c r="G462" s="1665">
        <v>83650479</v>
      </c>
      <c r="H462" s="1665">
        <v>79520290</v>
      </c>
    </row>
    <row r="463" spans="1:8">
      <c r="A463" t="s">
        <v>42</v>
      </c>
      <c r="B463" t="s">
        <v>7553</v>
      </c>
      <c r="C463" s="1665">
        <v>190924065</v>
      </c>
      <c r="D463" s="1665">
        <v>197860421</v>
      </c>
      <c r="E463" s="1665">
        <v>197860421</v>
      </c>
      <c r="F463" s="1665">
        <v>190924065</v>
      </c>
      <c r="G463" s="1665">
        <v>197860421</v>
      </c>
      <c r="H463" s="1665">
        <v>190924065</v>
      </c>
    </row>
    <row r="464" spans="1:8">
      <c r="A464" t="s">
        <v>150</v>
      </c>
      <c r="B464" t="s">
        <v>7554</v>
      </c>
      <c r="C464" s="1665">
        <v>51079648</v>
      </c>
      <c r="D464" s="1665">
        <v>52229185</v>
      </c>
      <c r="E464" s="1665">
        <v>52229185</v>
      </c>
      <c r="F464" s="1665">
        <v>51079648</v>
      </c>
      <c r="G464" s="1665">
        <v>52229185</v>
      </c>
      <c r="H464" s="1665">
        <v>51079648</v>
      </c>
    </row>
    <row r="465" spans="1:8">
      <c r="A465" t="s">
        <v>521</v>
      </c>
      <c r="B465" t="s">
        <v>7555</v>
      </c>
      <c r="C465" s="1665">
        <v>30002822</v>
      </c>
      <c r="D465" s="1665">
        <v>31829485</v>
      </c>
      <c r="E465" s="1665">
        <v>31829485</v>
      </c>
      <c r="F465" s="1665">
        <v>30002822</v>
      </c>
      <c r="G465" s="1665">
        <v>31829485</v>
      </c>
      <c r="H465" s="1665">
        <v>30002822</v>
      </c>
    </row>
    <row r="466" spans="1:8">
      <c r="A466" t="s">
        <v>1563</v>
      </c>
      <c r="B466" t="s">
        <v>7556</v>
      </c>
      <c r="C466" s="1665">
        <v>592411910</v>
      </c>
      <c r="D466" s="1665">
        <v>615820232</v>
      </c>
      <c r="E466" s="1665">
        <v>615820232</v>
      </c>
      <c r="F466" s="1665">
        <v>592411910</v>
      </c>
      <c r="G466" s="1665">
        <v>615820232</v>
      </c>
      <c r="H466" s="1665">
        <v>592411910</v>
      </c>
    </row>
    <row r="467" spans="1:8">
      <c r="A467" t="s">
        <v>522</v>
      </c>
      <c r="B467" t="s">
        <v>7557</v>
      </c>
      <c r="C467" s="1665">
        <v>82419484</v>
      </c>
      <c r="D467" s="1665">
        <v>85338393</v>
      </c>
      <c r="E467" s="1665">
        <v>85338393</v>
      </c>
      <c r="F467" s="1665">
        <v>82419484</v>
      </c>
      <c r="G467" s="1665">
        <v>85338393</v>
      </c>
      <c r="H467" s="1665">
        <v>82419484</v>
      </c>
    </row>
    <row r="468" spans="1:8">
      <c r="A468" t="s">
        <v>1540</v>
      </c>
      <c r="B468" t="s">
        <v>7558</v>
      </c>
      <c r="C468" s="1665">
        <v>139732601</v>
      </c>
      <c r="D468" s="1665">
        <v>143392299</v>
      </c>
      <c r="E468" s="1665">
        <v>143392299</v>
      </c>
      <c r="F468" s="1665">
        <v>139732601</v>
      </c>
      <c r="G468" s="1665">
        <v>143392299</v>
      </c>
      <c r="H468" s="1665">
        <v>139732601</v>
      </c>
    </row>
    <row r="469" spans="1:8">
      <c r="A469" t="s">
        <v>523</v>
      </c>
      <c r="B469" t="s">
        <v>7559</v>
      </c>
      <c r="C469" s="1665">
        <v>29630540</v>
      </c>
      <c r="D469" s="1665">
        <v>30975638</v>
      </c>
      <c r="E469" s="1665">
        <v>30975638</v>
      </c>
      <c r="F469" s="1665">
        <v>29630540</v>
      </c>
      <c r="G469" s="1665">
        <v>30975638</v>
      </c>
      <c r="H469" s="1665">
        <v>29630540</v>
      </c>
    </row>
    <row r="470" spans="1:8">
      <c r="A470" t="s">
        <v>1564</v>
      </c>
      <c r="B470" t="s">
        <v>7560</v>
      </c>
      <c r="C470" s="1665">
        <v>62228286</v>
      </c>
      <c r="D470" s="1665">
        <v>64268120</v>
      </c>
      <c r="E470" s="1665">
        <v>64268120</v>
      </c>
      <c r="F470" s="1665">
        <v>62228286</v>
      </c>
      <c r="G470" s="1665">
        <v>64268120</v>
      </c>
      <c r="H470" s="1665">
        <v>62228286</v>
      </c>
    </row>
    <row r="471" spans="1:8">
      <c r="A471" t="s">
        <v>1565</v>
      </c>
      <c r="B471" t="s">
        <v>7561</v>
      </c>
      <c r="C471" s="1665">
        <v>1102525853</v>
      </c>
      <c r="D471" s="1665">
        <v>1132514365</v>
      </c>
      <c r="E471" s="1665">
        <v>1132514365</v>
      </c>
      <c r="F471" s="1665">
        <v>1102525853</v>
      </c>
      <c r="G471" s="1665">
        <v>1132514365</v>
      </c>
      <c r="H471" s="1665">
        <v>1102525853</v>
      </c>
    </row>
    <row r="472" spans="1:8">
      <c r="A472" t="s">
        <v>1241</v>
      </c>
      <c r="B472" t="s">
        <v>7562</v>
      </c>
      <c r="C472" s="1665">
        <v>97415747</v>
      </c>
      <c r="D472" s="1665">
        <v>100213278</v>
      </c>
      <c r="E472" s="1665">
        <v>100213278</v>
      </c>
      <c r="F472" s="1665">
        <v>97415747</v>
      </c>
      <c r="G472" s="1665">
        <v>100213278</v>
      </c>
      <c r="H472" s="1665">
        <v>97415747</v>
      </c>
    </row>
    <row r="473" spans="1:8">
      <c r="A473" t="s">
        <v>1843</v>
      </c>
      <c r="B473" t="s">
        <v>7563</v>
      </c>
      <c r="C473" s="1665">
        <v>97473601</v>
      </c>
      <c r="D473" s="1665">
        <v>101067334</v>
      </c>
      <c r="E473" s="1665">
        <v>101067334</v>
      </c>
      <c r="F473" s="1665">
        <v>97473601</v>
      </c>
      <c r="G473" s="1665">
        <v>101067334</v>
      </c>
      <c r="H473" s="1665">
        <v>97473601</v>
      </c>
    </row>
    <row r="474" spans="1:8">
      <c r="A474" t="s">
        <v>1242</v>
      </c>
      <c r="B474" t="s">
        <v>7564</v>
      </c>
      <c r="C474" s="1665">
        <v>797979066</v>
      </c>
      <c r="D474" s="1665">
        <v>800882097</v>
      </c>
      <c r="E474" s="1665">
        <v>798340720</v>
      </c>
      <c r="F474" s="1665">
        <v>795437689</v>
      </c>
      <c r="G474" s="1665">
        <v>798340720</v>
      </c>
      <c r="H474" s="1665">
        <v>795437689</v>
      </c>
    </row>
    <row r="475" spans="1:8">
      <c r="A475" t="s">
        <v>1243</v>
      </c>
      <c r="B475" t="s">
        <v>7565</v>
      </c>
      <c r="C475" s="1665">
        <v>50754732</v>
      </c>
      <c r="D475" s="1665">
        <v>51657332</v>
      </c>
      <c r="E475" s="1665">
        <v>51657332</v>
      </c>
      <c r="F475" s="1665">
        <v>50754732</v>
      </c>
      <c r="G475" s="1665">
        <v>51657332</v>
      </c>
      <c r="H475" s="1665">
        <v>50754732</v>
      </c>
    </row>
    <row r="476" spans="1:8">
      <c r="A476" t="s">
        <v>1244</v>
      </c>
      <c r="B476" t="s">
        <v>7566</v>
      </c>
      <c r="C476" s="1665">
        <v>5427753660</v>
      </c>
      <c r="D476" s="1665">
        <v>5545794585</v>
      </c>
      <c r="E476" s="1665">
        <v>5545794585</v>
      </c>
      <c r="F476" s="1665">
        <v>5427753660</v>
      </c>
      <c r="G476" s="1665">
        <v>5545794585</v>
      </c>
      <c r="H476" s="1665">
        <v>5427753660</v>
      </c>
    </row>
    <row r="477" spans="1:8">
      <c r="A477" t="s">
        <v>1772</v>
      </c>
      <c r="B477" t="s">
        <v>7567</v>
      </c>
      <c r="C477" s="1665">
        <v>171611502</v>
      </c>
      <c r="D477" s="1665">
        <v>175918991</v>
      </c>
      <c r="E477" s="1665">
        <v>175918991</v>
      </c>
      <c r="F477" s="1665">
        <v>171611502</v>
      </c>
      <c r="G477" s="1665">
        <v>175918991</v>
      </c>
      <c r="H477" s="1665">
        <v>171611502</v>
      </c>
    </row>
    <row r="478" spans="1:8">
      <c r="A478" t="s">
        <v>1516</v>
      </c>
      <c r="B478" t="s">
        <v>7568</v>
      </c>
      <c r="C478" s="1665">
        <v>218738505</v>
      </c>
      <c r="D478" s="1665">
        <v>224502002</v>
      </c>
      <c r="E478" s="1665">
        <v>224502002</v>
      </c>
      <c r="F478" s="1665">
        <v>218738505</v>
      </c>
      <c r="G478" s="1665">
        <v>224502002</v>
      </c>
      <c r="H478" s="1665">
        <v>218738505</v>
      </c>
    </row>
    <row r="479" spans="1:8">
      <c r="A479" t="s">
        <v>180</v>
      </c>
      <c r="B479" t="s">
        <v>7569</v>
      </c>
      <c r="C479" s="1665">
        <v>1241010217</v>
      </c>
      <c r="D479" s="1665">
        <v>1287200101</v>
      </c>
      <c r="E479" s="1665">
        <v>1287200101</v>
      </c>
      <c r="F479" s="1665">
        <v>1241010217</v>
      </c>
      <c r="G479" s="1665">
        <v>1287200101</v>
      </c>
      <c r="H479" s="1665">
        <v>1241010217</v>
      </c>
    </row>
    <row r="480" spans="1:8">
      <c r="A480" t="s">
        <v>1497</v>
      </c>
      <c r="B480" t="s">
        <v>7570</v>
      </c>
      <c r="C480" s="1665">
        <v>75371636</v>
      </c>
      <c r="D480" s="1665">
        <v>79915963</v>
      </c>
      <c r="E480" s="1665">
        <v>79915963</v>
      </c>
      <c r="F480" s="1665">
        <v>75371636</v>
      </c>
      <c r="G480" s="1665">
        <v>79915963</v>
      </c>
      <c r="H480" s="1665">
        <v>75371636</v>
      </c>
    </row>
    <row r="481" spans="1:8">
      <c r="A481" t="s">
        <v>181</v>
      </c>
      <c r="B481" t="s">
        <v>7571</v>
      </c>
      <c r="C481" s="1665">
        <v>81074901</v>
      </c>
      <c r="D481" s="1665">
        <v>85204926</v>
      </c>
      <c r="E481" s="1665">
        <v>85204926</v>
      </c>
      <c r="F481" s="1665">
        <v>81074901</v>
      </c>
      <c r="G481" s="1665">
        <v>85204926</v>
      </c>
      <c r="H481" s="1665">
        <v>81074901</v>
      </c>
    </row>
    <row r="482" spans="1:8">
      <c r="A482" t="s">
        <v>1943</v>
      </c>
      <c r="B482" t="s">
        <v>7572</v>
      </c>
      <c r="C482" s="1665">
        <v>55105492</v>
      </c>
      <c r="D482" s="1665">
        <v>58493354</v>
      </c>
      <c r="E482" s="1665">
        <v>58493354</v>
      </c>
      <c r="F482" s="1665">
        <v>55105492</v>
      </c>
      <c r="G482" s="1665">
        <v>58493354</v>
      </c>
      <c r="H482" s="1665">
        <v>55105492</v>
      </c>
    </row>
    <row r="483" spans="1:8">
      <c r="A483" t="s">
        <v>182</v>
      </c>
      <c r="B483" t="s">
        <v>7573</v>
      </c>
      <c r="C483" s="1665">
        <v>138288564</v>
      </c>
      <c r="D483" s="1665">
        <v>144777871</v>
      </c>
      <c r="E483" s="1665">
        <v>144777871</v>
      </c>
      <c r="F483" s="1665">
        <v>138288564</v>
      </c>
      <c r="G483" s="1665">
        <v>144777871</v>
      </c>
      <c r="H483" s="1665">
        <v>138288564</v>
      </c>
    </row>
    <row r="484" spans="1:8">
      <c r="A484" t="s">
        <v>183</v>
      </c>
      <c r="B484" t="s">
        <v>7574</v>
      </c>
      <c r="C484" s="1665">
        <v>64893173</v>
      </c>
      <c r="D484" s="1665">
        <v>66968632</v>
      </c>
      <c r="E484" s="1665">
        <v>66968632</v>
      </c>
      <c r="F484" s="1665">
        <v>64893173</v>
      </c>
      <c r="G484" s="1665">
        <v>66968632</v>
      </c>
      <c r="H484" s="1665">
        <v>64893173</v>
      </c>
    </row>
    <row r="485" spans="1:8">
      <c r="A485" t="s">
        <v>1498</v>
      </c>
      <c r="B485" t="s">
        <v>7575</v>
      </c>
      <c r="C485" s="1665">
        <v>95703149</v>
      </c>
      <c r="D485" s="1665">
        <v>98424484</v>
      </c>
      <c r="E485" s="1665">
        <v>98424484</v>
      </c>
      <c r="F485" s="1665">
        <v>95703149</v>
      </c>
      <c r="G485" s="1665">
        <v>98424484</v>
      </c>
      <c r="H485" s="1665">
        <v>95703149</v>
      </c>
    </row>
    <row r="486" spans="1:8">
      <c r="A486" t="s">
        <v>1421</v>
      </c>
      <c r="B486" t="s">
        <v>7576</v>
      </c>
      <c r="C486" s="1665">
        <v>439686310</v>
      </c>
      <c r="D486" s="1665">
        <v>456747100</v>
      </c>
      <c r="E486" s="1665">
        <v>456747100</v>
      </c>
      <c r="F486" s="1665">
        <v>439686310</v>
      </c>
      <c r="G486" s="1665">
        <v>521652200</v>
      </c>
      <c r="H486" s="1665">
        <v>504591410</v>
      </c>
    </row>
    <row r="487" spans="1:8">
      <c r="A487" t="s">
        <v>1261</v>
      </c>
      <c r="B487" t="s">
        <v>7577</v>
      </c>
      <c r="C487" s="1665">
        <v>272542898</v>
      </c>
      <c r="D487" s="1665">
        <v>282398578</v>
      </c>
      <c r="E487" s="1665">
        <v>282398578</v>
      </c>
      <c r="F487" s="1665">
        <v>272542898</v>
      </c>
      <c r="G487" s="1665">
        <v>282398578</v>
      </c>
      <c r="H487" s="1665">
        <v>272542898</v>
      </c>
    </row>
    <row r="488" spans="1:8">
      <c r="A488" t="s">
        <v>978</v>
      </c>
      <c r="B488" t="s">
        <v>7578</v>
      </c>
      <c r="C488" s="1665">
        <v>263408549</v>
      </c>
      <c r="D488" s="1665">
        <v>269922019</v>
      </c>
      <c r="E488" s="1665">
        <v>269922019</v>
      </c>
      <c r="F488" s="1665">
        <v>263408549</v>
      </c>
      <c r="G488" s="1665">
        <v>269922019</v>
      </c>
      <c r="H488" s="1665">
        <v>263408549</v>
      </c>
    </row>
    <row r="489" spans="1:8">
      <c r="A489" t="s">
        <v>979</v>
      </c>
      <c r="B489" t="s">
        <v>7579</v>
      </c>
      <c r="C489" s="1665">
        <v>152203730</v>
      </c>
      <c r="D489" s="1665">
        <v>158037630</v>
      </c>
      <c r="E489" s="1665">
        <v>158037630</v>
      </c>
      <c r="F489" s="1665">
        <v>152203730</v>
      </c>
      <c r="G489" s="1665">
        <v>158037630</v>
      </c>
      <c r="H489" s="1665">
        <v>152203730</v>
      </c>
    </row>
    <row r="490" spans="1:8">
      <c r="A490" t="s">
        <v>899</v>
      </c>
      <c r="B490" t="s">
        <v>7580</v>
      </c>
      <c r="C490" s="1665">
        <v>101615499</v>
      </c>
      <c r="D490" s="1665">
        <v>106918489</v>
      </c>
      <c r="E490" s="1665">
        <v>106918489</v>
      </c>
      <c r="F490" s="1665">
        <v>101615499</v>
      </c>
      <c r="G490" s="1665">
        <v>106918489</v>
      </c>
      <c r="H490" s="1665">
        <v>101615499</v>
      </c>
    </row>
    <row r="491" spans="1:8">
      <c r="A491" t="s">
        <v>1797</v>
      </c>
      <c r="B491" t="s">
        <v>7581</v>
      </c>
      <c r="C491" s="1665">
        <v>1675529328</v>
      </c>
      <c r="D491" s="1665">
        <v>1715222308</v>
      </c>
      <c r="E491" s="1665">
        <v>1675412550</v>
      </c>
      <c r="F491" s="1665">
        <v>1635719570</v>
      </c>
      <c r="G491" s="1665">
        <v>1796690510</v>
      </c>
      <c r="H491" s="1665">
        <v>1756997530</v>
      </c>
    </row>
    <row r="492" spans="1:8">
      <c r="A492" t="s">
        <v>2677</v>
      </c>
      <c r="B492" t="s">
        <v>7582</v>
      </c>
      <c r="C492" s="1665">
        <v>357605531</v>
      </c>
      <c r="D492" s="1665">
        <v>366587517</v>
      </c>
      <c r="E492" s="1665">
        <v>356110365</v>
      </c>
      <c r="F492" s="1665">
        <v>347128379</v>
      </c>
      <c r="G492" s="1665">
        <v>356110365</v>
      </c>
      <c r="H492" s="1665">
        <v>347128379</v>
      </c>
    </row>
    <row r="493" spans="1:8">
      <c r="A493" t="s">
        <v>2678</v>
      </c>
      <c r="B493" t="s">
        <v>7583</v>
      </c>
      <c r="C493" s="1665">
        <v>467559474</v>
      </c>
      <c r="D493" s="1665">
        <v>473102789</v>
      </c>
      <c r="E493" s="1665">
        <v>465763258</v>
      </c>
      <c r="F493" s="1665">
        <v>460219943</v>
      </c>
      <c r="G493" s="1665">
        <v>571141958</v>
      </c>
      <c r="H493" s="1665">
        <v>565598643</v>
      </c>
    </row>
    <row r="494" spans="1:8">
      <c r="A494" t="s">
        <v>1331</v>
      </c>
      <c r="B494" t="s">
        <v>7584</v>
      </c>
      <c r="C494" s="1665">
        <v>261655917</v>
      </c>
      <c r="D494" s="1665">
        <v>264082971</v>
      </c>
      <c r="E494" s="1665">
        <v>264082971</v>
      </c>
      <c r="F494" s="1665">
        <v>261655917</v>
      </c>
      <c r="G494" s="1665">
        <v>264082971</v>
      </c>
      <c r="H494" s="1665">
        <v>261655917</v>
      </c>
    </row>
    <row r="495" spans="1:8">
      <c r="A495" t="s">
        <v>2177</v>
      </c>
      <c r="B495" t="s">
        <v>7585</v>
      </c>
      <c r="C495" s="1665">
        <v>144669986</v>
      </c>
      <c r="D495" s="1665">
        <v>145390332</v>
      </c>
      <c r="E495" s="1665">
        <v>145390332</v>
      </c>
      <c r="F495" s="1665">
        <v>144669986</v>
      </c>
      <c r="G495" s="1665">
        <v>145390332</v>
      </c>
      <c r="H495" s="1665">
        <v>144669986</v>
      </c>
    </row>
    <row r="496" spans="1:8">
      <c r="A496" t="s">
        <v>1111</v>
      </c>
      <c r="B496" t="s">
        <v>7586</v>
      </c>
      <c r="C496" s="1665">
        <v>66233043</v>
      </c>
      <c r="D496" s="1665">
        <v>66819542</v>
      </c>
      <c r="E496" s="1665">
        <v>66545694</v>
      </c>
      <c r="F496" s="1665">
        <v>65959195</v>
      </c>
      <c r="G496" s="1665">
        <v>66545694</v>
      </c>
      <c r="H496" s="1665">
        <v>65959195</v>
      </c>
    </row>
    <row r="497" spans="1:8">
      <c r="A497" t="s">
        <v>1886</v>
      </c>
      <c r="B497" t="s">
        <v>7587</v>
      </c>
      <c r="C497" s="1665">
        <v>451034261</v>
      </c>
      <c r="D497" s="1665">
        <v>467071746</v>
      </c>
      <c r="E497" s="1665">
        <v>467071746</v>
      </c>
      <c r="F497" s="1665">
        <v>451034261</v>
      </c>
      <c r="G497" s="1665">
        <v>467071746</v>
      </c>
      <c r="H497" s="1665">
        <v>451034261</v>
      </c>
    </row>
    <row r="498" spans="1:8">
      <c r="A498" t="s">
        <v>1112</v>
      </c>
      <c r="B498" t="s">
        <v>7588</v>
      </c>
      <c r="C498" s="1665">
        <v>98410128</v>
      </c>
      <c r="D498" s="1665">
        <v>103552817</v>
      </c>
      <c r="E498" s="1665">
        <v>103552817</v>
      </c>
      <c r="F498" s="1665">
        <v>98410128</v>
      </c>
      <c r="G498" s="1665">
        <v>103552817</v>
      </c>
      <c r="H498" s="1665">
        <v>98410128</v>
      </c>
    </row>
    <row r="499" spans="1:8">
      <c r="A499" t="s">
        <v>1437</v>
      </c>
      <c r="B499" t="s">
        <v>7589</v>
      </c>
      <c r="C499" s="1665">
        <v>423187365</v>
      </c>
      <c r="D499" s="1665">
        <v>437080848</v>
      </c>
      <c r="E499" s="1665">
        <v>437080848</v>
      </c>
      <c r="F499" s="1665">
        <v>423187365</v>
      </c>
      <c r="G499" s="1665">
        <v>437080848</v>
      </c>
      <c r="H499" s="1665">
        <v>423187365</v>
      </c>
    </row>
    <row r="500" spans="1:8">
      <c r="A500" t="s">
        <v>1058</v>
      </c>
      <c r="B500" t="s">
        <v>7590</v>
      </c>
      <c r="C500" s="1665">
        <v>2059482677</v>
      </c>
      <c r="D500" s="1665">
        <v>2113661540</v>
      </c>
      <c r="E500" s="1665">
        <v>2113661540</v>
      </c>
      <c r="F500" s="1665">
        <v>2059482677</v>
      </c>
      <c r="G500" s="1665">
        <v>2113661540</v>
      </c>
      <c r="H500" s="1665">
        <v>2059482677</v>
      </c>
    </row>
    <row r="501" spans="1:8">
      <c r="A501" t="s">
        <v>1944</v>
      </c>
      <c r="B501" t="s">
        <v>7591</v>
      </c>
      <c r="C501" s="1665">
        <v>233834690</v>
      </c>
      <c r="D501" s="1665">
        <v>244048558</v>
      </c>
      <c r="E501" s="1665">
        <v>244048558</v>
      </c>
      <c r="F501" s="1665">
        <v>233834690</v>
      </c>
      <c r="G501" s="1665">
        <v>244048558</v>
      </c>
      <c r="H501" s="1665">
        <v>233834690</v>
      </c>
    </row>
    <row r="502" spans="1:8">
      <c r="A502" t="s">
        <v>1584</v>
      </c>
      <c r="B502" t="s">
        <v>7592</v>
      </c>
      <c r="C502" s="1665">
        <v>759489863</v>
      </c>
      <c r="D502" s="1665">
        <v>786984687</v>
      </c>
      <c r="E502" s="1665">
        <v>786984687</v>
      </c>
      <c r="F502" s="1665">
        <v>759489863</v>
      </c>
      <c r="G502" s="1665">
        <v>786984687</v>
      </c>
      <c r="H502" s="1665">
        <v>759489863</v>
      </c>
    </row>
    <row r="503" spans="1:8">
      <c r="A503" t="s">
        <v>245</v>
      </c>
      <c r="B503" t="s">
        <v>7593</v>
      </c>
      <c r="C503" s="1665">
        <v>118833035</v>
      </c>
      <c r="D503" s="1665">
        <v>125489821</v>
      </c>
      <c r="E503" s="1665">
        <v>125489821</v>
      </c>
      <c r="F503" s="1665">
        <v>118833035</v>
      </c>
      <c r="G503" s="1665">
        <v>125489821</v>
      </c>
      <c r="H503" s="1665">
        <v>118833035</v>
      </c>
    </row>
    <row r="504" spans="1:8">
      <c r="A504" t="s">
        <v>1059</v>
      </c>
      <c r="B504" t="s">
        <v>7594</v>
      </c>
      <c r="C504" s="1665">
        <v>89287993</v>
      </c>
      <c r="D504" s="1665">
        <v>93983713</v>
      </c>
      <c r="E504" s="1665">
        <v>93983713</v>
      </c>
      <c r="F504" s="1665">
        <v>89287993</v>
      </c>
      <c r="G504" s="1665">
        <v>93983713</v>
      </c>
      <c r="H504" s="1665">
        <v>89287993</v>
      </c>
    </row>
    <row r="505" spans="1:8">
      <c r="A505" t="s">
        <v>875</v>
      </c>
      <c r="B505" t="s">
        <v>7595</v>
      </c>
      <c r="C505" s="1665">
        <v>162982888</v>
      </c>
      <c r="D505" s="1665">
        <v>169462635</v>
      </c>
      <c r="E505" s="1665">
        <v>169462635</v>
      </c>
      <c r="F505" s="1665">
        <v>162982888</v>
      </c>
      <c r="G505" s="1665">
        <v>169462635</v>
      </c>
      <c r="H505" s="1665">
        <v>162982888</v>
      </c>
    </row>
    <row r="506" spans="1:8">
      <c r="A506" t="s">
        <v>1844</v>
      </c>
      <c r="B506" t="s">
        <v>7596</v>
      </c>
      <c r="C506" s="1665">
        <v>15993786</v>
      </c>
      <c r="D506" s="1665">
        <v>17009856</v>
      </c>
      <c r="E506" s="1665">
        <v>17009856</v>
      </c>
      <c r="F506" s="1665">
        <v>15993786</v>
      </c>
      <c r="G506" s="1665">
        <v>17009856</v>
      </c>
      <c r="H506" s="1665">
        <v>15993786</v>
      </c>
    </row>
    <row r="507" spans="1:8">
      <c r="A507" t="s">
        <v>1060</v>
      </c>
      <c r="B507" t="s">
        <v>7597</v>
      </c>
      <c r="C507" s="1665">
        <v>618441915</v>
      </c>
      <c r="D507" s="1665">
        <v>650527065</v>
      </c>
      <c r="E507" s="1665">
        <v>637240905</v>
      </c>
      <c r="F507" s="1665">
        <v>605155755</v>
      </c>
      <c r="G507" s="1665">
        <v>1052984685</v>
      </c>
      <c r="H507" s="1665">
        <v>1020899535</v>
      </c>
    </row>
    <row r="508" spans="1:8">
      <c r="A508" t="s">
        <v>2140</v>
      </c>
      <c r="B508" t="s">
        <v>7598</v>
      </c>
      <c r="C508" s="1665">
        <v>123407111</v>
      </c>
      <c r="D508" s="1665">
        <v>135482521</v>
      </c>
      <c r="E508" s="1665">
        <v>135133501</v>
      </c>
      <c r="F508" s="1665">
        <v>123058091</v>
      </c>
      <c r="G508" s="1665">
        <v>135133501</v>
      </c>
      <c r="H508" s="1665">
        <v>123058091</v>
      </c>
    </row>
    <row r="509" spans="1:8">
      <c r="A509" t="s">
        <v>2141</v>
      </c>
      <c r="B509" t="s">
        <v>7599</v>
      </c>
      <c r="C509" s="1665">
        <v>1088588550</v>
      </c>
      <c r="D509" s="1665">
        <v>1094537720</v>
      </c>
      <c r="E509" s="1665">
        <v>1090845040</v>
      </c>
      <c r="F509" s="1665">
        <v>1084895870</v>
      </c>
      <c r="G509" s="1665">
        <v>1127951510</v>
      </c>
      <c r="H509" s="1665">
        <v>1122002340</v>
      </c>
    </row>
    <row r="510" spans="1:8">
      <c r="A510" t="s">
        <v>1259</v>
      </c>
      <c r="B510" t="s">
        <v>7600</v>
      </c>
      <c r="C510" s="1665">
        <v>35701106</v>
      </c>
      <c r="D510" s="1665">
        <v>35876416</v>
      </c>
      <c r="E510" s="1665">
        <v>35761796</v>
      </c>
      <c r="F510" s="1665">
        <v>35586486</v>
      </c>
      <c r="G510" s="1665">
        <v>35761796</v>
      </c>
      <c r="H510" s="1665">
        <v>35586486</v>
      </c>
    </row>
    <row r="511" spans="1:8">
      <c r="A511" t="s">
        <v>1260</v>
      </c>
      <c r="B511" t="s">
        <v>7601</v>
      </c>
      <c r="C511" s="1665">
        <v>914103508</v>
      </c>
      <c r="D511" s="1665">
        <v>917336478</v>
      </c>
      <c r="E511" s="1665">
        <v>917336478</v>
      </c>
      <c r="F511" s="1665">
        <v>914103508</v>
      </c>
      <c r="G511" s="1665">
        <v>917336478</v>
      </c>
      <c r="H511" s="1665">
        <v>914103508</v>
      </c>
    </row>
    <row r="512" spans="1:8">
      <c r="A512" t="s">
        <v>923</v>
      </c>
      <c r="B512" t="s">
        <v>7602</v>
      </c>
      <c r="C512" s="1665">
        <v>156747982</v>
      </c>
      <c r="D512" s="1665">
        <v>158938002</v>
      </c>
      <c r="E512" s="1665">
        <v>158938002</v>
      </c>
      <c r="F512" s="1665">
        <v>156747982</v>
      </c>
      <c r="G512" s="1665">
        <v>297757252</v>
      </c>
      <c r="H512" s="1665">
        <v>295567232</v>
      </c>
    </row>
    <row r="513" spans="1:8">
      <c r="A513" t="s">
        <v>924</v>
      </c>
      <c r="B513" t="s">
        <v>7603</v>
      </c>
      <c r="C513" s="1665">
        <v>778942041</v>
      </c>
      <c r="D513" s="1665">
        <v>788923090</v>
      </c>
      <c r="E513" s="1665">
        <v>788923090</v>
      </c>
      <c r="F513" s="1665">
        <v>778942041</v>
      </c>
      <c r="G513" s="1665">
        <v>862603190</v>
      </c>
      <c r="H513" s="1665">
        <v>852622141</v>
      </c>
    </row>
    <row r="514" spans="1:8">
      <c r="A514" t="s">
        <v>925</v>
      </c>
      <c r="B514" t="s">
        <v>7604</v>
      </c>
      <c r="C514" s="1665">
        <v>302093371</v>
      </c>
      <c r="D514" s="1665">
        <v>306519591</v>
      </c>
      <c r="E514" s="1665">
        <v>306519591</v>
      </c>
      <c r="F514" s="1665">
        <v>302093371</v>
      </c>
      <c r="G514" s="1665">
        <v>314836241</v>
      </c>
      <c r="H514" s="1665">
        <v>310410021</v>
      </c>
    </row>
    <row r="515" spans="1:8">
      <c r="A515" t="s">
        <v>926</v>
      </c>
      <c r="B515" t="s">
        <v>7605</v>
      </c>
      <c r="C515" s="1665">
        <v>515441643</v>
      </c>
      <c r="D515" s="1665">
        <v>531392990</v>
      </c>
      <c r="E515" s="1665">
        <v>531392990</v>
      </c>
      <c r="F515" s="1665">
        <v>515441643</v>
      </c>
      <c r="G515" s="1665">
        <v>624356890</v>
      </c>
      <c r="H515" s="1665">
        <v>608405543</v>
      </c>
    </row>
    <row r="516" spans="1:8">
      <c r="A516" t="s">
        <v>2577</v>
      </c>
      <c r="B516" t="s">
        <v>7606</v>
      </c>
      <c r="C516" s="1665">
        <v>217141561</v>
      </c>
      <c r="D516" s="1665">
        <v>224272019</v>
      </c>
      <c r="E516" s="1665">
        <v>224272019</v>
      </c>
      <c r="F516" s="1665">
        <v>217141561</v>
      </c>
      <c r="G516" s="1665">
        <v>506548419</v>
      </c>
      <c r="H516" s="1665">
        <v>499417961</v>
      </c>
    </row>
    <row r="517" spans="1:8">
      <c r="A517" t="s">
        <v>502</v>
      </c>
      <c r="B517" t="s">
        <v>7607</v>
      </c>
      <c r="C517" s="1665">
        <v>774252143</v>
      </c>
      <c r="D517" s="1665">
        <v>784259468</v>
      </c>
      <c r="E517" s="1665">
        <v>768662306</v>
      </c>
      <c r="F517" s="1665">
        <v>758654981</v>
      </c>
      <c r="G517" s="1665">
        <v>768662306</v>
      </c>
      <c r="H517" s="1665">
        <v>758654981</v>
      </c>
    </row>
    <row r="518" spans="1:8">
      <c r="A518" t="s">
        <v>2646</v>
      </c>
      <c r="B518" t="s">
        <v>7608</v>
      </c>
      <c r="C518" s="1665">
        <v>272336124</v>
      </c>
      <c r="D518" s="1665">
        <v>278855219</v>
      </c>
      <c r="E518" s="1665">
        <v>269783397</v>
      </c>
      <c r="F518" s="1665">
        <v>263264302</v>
      </c>
      <c r="G518" s="1665">
        <v>269783397</v>
      </c>
      <c r="H518" s="1665">
        <v>263264302</v>
      </c>
    </row>
    <row r="519" spans="1:8">
      <c r="A519" t="s">
        <v>883</v>
      </c>
      <c r="B519" t="s">
        <v>7609</v>
      </c>
      <c r="C519" s="1665">
        <v>320349244</v>
      </c>
      <c r="D519" s="1665">
        <v>339489979</v>
      </c>
      <c r="E519" s="1665">
        <v>339489979</v>
      </c>
      <c r="F519" s="1665">
        <v>320349244</v>
      </c>
      <c r="G519" s="1665">
        <v>339489979</v>
      </c>
      <c r="H519" s="1665">
        <v>320349244</v>
      </c>
    </row>
    <row r="520" spans="1:8">
      <c r="A520" t="s">
        <v>44</v>
      </c>
      <c r="B520" t="s">
        <v>7610</v>
      </c>
      <c r="C520" s="1665">
        <v>864719298</v>
      </c>
      <c r="D520" s="1665">
        <v>896746371</v>
      </c>
      <c r="E520" s="1665">
        <v>896746371</v>
      </c>
      <c r="F520" s="1665">
        <v>864719298</v>
      </c>
      <c r="G520" s="1665">
        <v>896746371</v>
      </c>
      <c r="H520" s="1665">
        <v>864719298</v>
      </c>
    </row>
    <row r="521" spans="1:8">
      <c r="A521" t="s">
        <v>54</v>
      </c>
      <c r="B521" t="s">
        <v>7611</v>
      </c>
      <c r="C521" s="1665">
        <v>273876666</v>
      </c>
      <c r="D521" s="1665">
        <v>289569308</v>
      </c>
      <c r="E521" s="1665">
        <v>289569308</v>
      </c>
      <c r="F521" s="1665">
        <v>273876666</v>
      </c>
      <c r="G521" s="1665">
        <v>289569308</v>
      </c>
      <c r="H521" s="1665">
        <v>273876666</v>
      </c>
    </row>
    <row r="522" spans="1:8">
      <c r="A522" t="s">
        <v>2647</v>
      </c>
      <c r="B522" t="s">
        <v>7612</v>
      </c>
      <c r="C522" s="1665">
        <v>354104475</v>
      </c>
      <c r="D522" s="1665">
        <v>357904715</v>
      </c>
      <c r="E522" s="1665">
        <v>354340868</v>
      </c>
      <c r="F522" s="1665">
        <v>350540628</v>
      </c>
      <c r="G522" s="1665">
        <v>354340868</v>
      </c>
      <c r="H522" s="1665">
        <v>350540628</v>
      </c>
    </row>
    <row r="523" spans="1:8">
      <c r="A523" t="s">
        <v>2648</v>
      </c>
      <c r="B523" t="s">
        <v>7613</v>
      </c>
      <c r="C523" s="1665">
        <v>209051746</v>
      </c>
      <c r="D523" s="1665">
        <v>214199546</v>
      </c>
      <c r="E523" s="1665">
        <v>214199546</v>
      </c>
      <c r="F523" s="1665">
        <v>209051746</v>
      </c>
      <c r="G523" s="1665">
        <v>214199546</v>
      </c>
      <c r="H523" s="1665">
        <v>209051746</v>
      </c>
    </row>
    <row r="524" spans="1:8">
      <c r="A524" t="s">
        <v>2649</v>
      </c>
      <c r="B524" t="s">
        <v>7614</v>
      </c>
      <c r="C524" s="1665">
        <v>48518482</v>
      </c>
      <c r="D524" s="1665">
        <v>48865352</v>
      </c>
      <c r="E524" s="1665">
        <v>48865352</v>
      </c>
      <c r="F524" s="1665">
        <v>48518482</v>
      </c>
      <c r="G524" s="1665">
        <v>48865352</v>
      </c>
      <c r="H524" s="1665">
        <v>48518482</v>
      </c>
    </row>
    <row r="525" spans="1:8">
      <c r="A525" t="s">
        <v>2540</v>
      </c>
      <c r="B525" t="s">
        <v>7615</v>
      </c>
      <c r="C525" s="1665">
        <v>2346563802</v>
      </c>
      <c r="D525" s="1665">
        <v>2411426678</v>
      </c>
      <c r="E525" s="1665">
        <v>2411426678</v>
      </c>
      <c r="F525" s="1665">
        <v>2346563802</v>
      </c>
      <c r="G525" s="1665">
        <v>2604665478</v>
      </c>
      <c r="H525" s="1665">
        <v>2539802602</v>
      </c>
    </row>
    <row r="526" spans="1:8">
      <c r="A526" t="s">
        <v>2292</v>
      </c>
      <c r="B526" t="s">
        <v>7616</v>
      </c>
      <c r="C526" s="1665">
        <v>3553419267</v>
      </c>
      <c r="D526" s="1665">
        <v>3644254616</v>
      </c>
      <c r="E526" s="1665">
        <v>3644254616</v>
      </c>
      <c r="F526" s="1665">
        <v>3553419267</v>
      </c>
      <c r="G526" s="1665">
        <v>7392085716</v>
      </c>
      <c r="H526" s="1665">
        <v>7301250367</v>
      </c>
    </row>
    <row r="527" spans="1:8">
      <c r="A527" t="s">
        <v>2293</v>
      </c>
      <c r="B527" t="s">
        <v>7617</v>
      </c>
      <c r="C527" s="1665">
        <v>2348729742</v>
      </c>
      <c r="D527" s="1665">
        <v>2417149533</v>
      </c>
      <c r="E527" s="1665">
        <v>2320332526</v>
      </c>
      <c r="F527" s="1665">
        <v>2251912735</v>
      </c>
      <c r="G527" s="1665">
        <v>2771692026</v>
      </c>
      <c r="H527" s="1665">
        <v>2703272235</v>
      </c>
    </row>
    <row r="528" spans="1:8">
      <c r="A528" t="s">
        <v>1325</v>
      </c>
      <c r="B528" t="s">
        <v>7618</v>
      </c>
      <c r="C528" s="1665">
        <v>10143691881</v>
      </c>
      <c r="D528" s="1665">
        <v>10358181905</v>
      </c>
      <c r="E528" s="1665">
        <v>10358181905</v>
      </c>
      <c r="F528" s="1665">
        <v>10143691881</v>
      </c>
      <c r="G528" s="1665">
        <v>10923343005</v>
      </c>
      <c r="H528" s="1665">
        <v>10708852981</v>
      </c>
    </row>
    <row r="529" spans="1:8">
      <c r="A529" t="s">
        <v>1326</v>
      </c>
      <c r="B529" t="s">
        <v>7619</v>
      </c>
      <c r="C529" s="1665">
        <v>905752078</v>
      </c>
      <c r="D529" s="1665">
        <v>906659428</v>
      </c>
      <c r="E529" s="1665">
        <v>905860399</v>
      </c>
      <c r="F529" s="1665">
        <v>904953049</v>
      </c>
      <c r="G529" s="1665">
        <v>905860399</v>
      </c>
      <c r="H529" s="1665">
        <v>904953049</v>
      </c>
    </row>
    <row r="530" spans="1:8">
      <c r="A530" t="s">
        <v>1309</v>
      </c>
      <c r="B530" t="s">
        <v>7620</v>
      </c>
      <c r="C530" s="1665">
        <v>713766438</v>
      </c>
      <c r="D530" s="1665">
        <v>736585757</v>
      </c>
      <c r="E530" s="1665">
        <v>736585757</v>
      </c>
      <c r="F530" s="1665">
        <v>713766438</v>
      </c>
      <c r="G530" s="1665">
        <v>736585757</v>
      </c>
      <c r="H530" s="1665">
        <v>713766438</v>
      </c>
    </row>
    <row r="531" spans="1:8">
      <c r="A531" t="s">
        <v>1327</v>
      </c>
      <c r="B531" t="s">
        <v>7621</v>
      </c>
      <c r="C531" s="1665">
        <v>315203022</v>
      </c>
      <c r="D531" s="1665">
        <v>324254252</v>
      </c>
      <c r="E531" s="1665">
        <v>320820372</v>
      </c>
      <c r="F531" s="1665">
        <v>311769142</v>
      </c>
      <c r="G531" s="1665">
        <v>413316522</v>
      </c>
      <c r="H531" s="1665">
        <v>404265292</v>
      </c>
    </row>
    <row r="532" spans="1:8">
      <c r="A532" t="s">
        <v>2019</v>
      </c>
      <c r="B532" t="s">
        <v>7622</v>
      </c>
      <c r="C532" s="1665">
        <v>1114368450</v>
      </c>
      <c r="D532" s="1665">
        <v>1151346130</v>
      </c>
      <c r="E532" s="1665">
        <v>1151346130</v>
      </c>
      <c r="F532" s="1665">
        <v>1114368450</v>
      </c>
      <c r="G532" s="1665">
        <v>1151346130</v>
      </c>
      <c r="H532" s="1665">
        <v>1114368450</v>
      </c>
    </row>
    <row r="533" spans="1:8">
      <c r="A533" t="s">
        <v>2323</v>
      </c>
      <c r="B533" t="s">
        <v>7623</v>
      </c>
      <c r="C533" s="1665">
        <v>85840653</v>
      </c>
      <c r="D533" s="1665">
        <v>89647199</v>
      </c>
      <c r="E533" s="1665">
        <v>89647199</v>
      </c>
      <c r="F533" s="1665">
        <v>85840653</v>
      </c>
      <c r="G533" s="1665">
        <v>89647199</v>
      </c>
      <c r="H533" s="1665">
        <v>85840653</v>
      </c>
    </row>
    <row r="534" spans="1:8">
      <c r="A534" t="s">
        <v>1413</v>
      </c>
      <c r="B534" t="s">
        <v>7624</v>
      </c>
      <c r="C534" s="1665">
        <v>403294535</v>
      </c>
      <c r="D534" s="1665">
        <v>414494115</v>
      </c>
      <c r="E534" s="1665">
        <v>414494115</v>
      </c>
      <c r="F534" s="1665">
        <v>403294535</v>
      </c>
      <c r="G534" s="1665">
        <v>414494115</v>
      </c>
      <c r="H534" s="1665">
        <v>403294535</v>
      </c>
    </row>
    <row r="535" spans="1:8">
      <c r="A535" t="s">
        <v>216</v>
      </c>
      <c r="B535" t="s">
        <v>7625</v>
      </c>
      <c r="C535" s="1665">
        <v>144322683</v>
      </c>
      <c r="D535" s="1665">
        <v>149356915</v>
      </c>
      <c r="E535" s="1665">
        <v>149356915</v>
      </c>
      <c r="F535" s="1665">
        <v>144322683</v>
      </c>
      <c r="G535" s="1665">
        <v>149356915</v>
      </c>
      <c r="H535" s="1665">
        <v>144322683</v>
      </c>
    </row>
    <row r="536" spans="1:8">
      <c r="A536" t="s">
        <v>1328</v>
      </c>
      <c r="B536" t="s">
        <v>7626</v>
      </c>
      <c r="C536" s="1665">
        <v>47704195</v>
      </c>
      <c r="D536" s="1665">
        <v>48311575</v>
      </c>
      <c r="E536" s="1665">
        <v>48152211</v>
      </c>
      <c r="F536" s="1665">
        <v>47544831</v>
      </c>
      <c r="G536" s="1665">
        <v>48152211</v>
      </c>
      <c r="H536" s="1665">
        <v>47544831</v>
      </c>
    </row>
    <row r="537" spans="1:8">
      <c r="A537" t="s">
        <v>195</v>
      </c>
      <c r="B537" t="s">
        <v>7627</v>
      </c>
      <c r="C537" s="1665">
        <v>1214385793</v>
      </c>
      <c r="D537" s="1665">
        <v>1245734741</v>
      </c>
      <c r="E537" s="1665">
        <v>1245734741</v>
      </c>
      <c r="F537" s="1665">
        <v>1214385793</v>
      </c>
      <c r="G537" s="1665">
        <v>1245734741</v>
      </c>
      <c r="H537" s="1665">
        <v>1214385793</v>
      </c>
    </row>
    <row r="538" spans="1:8">
      <c r="A538" t="s">
        <v>1884</v>
      </c>
      <c r="B538" t="s">
        <v>7628</v>
      </c>
      <c r="C538" s="1665">
        <v>4168783573</v>
      </c>
      <c r="D538" s="1665">
        <v>4302128192</v>
      </c>
      <c r="E538" s="1665">
        <v>4302128192</v>
      </c>
      <c r="F538" s="1665">
        <v>4168783573</v>
      </c>
      <c r="G538" s="1665">
        <v>4302128192</v>
      </c>
      <c r="H538" s="1665">
        <v>4168783573</v>
      </c>
    </row>
    <row r="539" spans="1:8">
      <c r="A539" t="s">
        <v>574</v>
      </c>
      <c r="B539" t="s">
        <v>7629</v>
      </c>
      <c r="C539" s="1665">
        <v>2412863075</v>
      </c>
      <c r="D539" s="1665">
        <v>2483058474</v>
      </c>
      <c r="E539" s="1665">
        <v>2483058474</v>
      </c>
      <c r="F539" s="1665">
        <v>2412863075</v>
      </c>
      <c r="G539" s="1665">
        <v>2483058474</v>
      </c>
      <c r="H539" s="1665">
        <v>2412863075</v>
      </c>
    </row>
    <row r="540" spans="1:8">
      <c r="A540" t="s">
        <v>1798</v>
      </c>
      <c r="B540" t="s">
        <v>7630</v>
      </c>
      <c r="C540" s="1665">
        <v>285871025</v>
      </c>
      <c r="D540" s="1665">
        <v>297076365</v>
      </c>
      <c r="E540" s="1665">
        <v>297076365</v>
      </c>
      <c r="F540" s="1665">
        <v>285871025</v>
      </c>
      <c r="G540" s="1665">
        <v>297076365</v>
      </c>
      <c r="H540" s="1665">
        <v>285871025</v>
      </c>
    </row>
    <row r="541" spans="1:8">
      <c r="A541" t="s">
        <v>45</v>
      </c>
      <c r="B541" t="s">
        <v>7631</v>
      </c>
      <c r="C541" s="1665">
        <v>1369031908</v>
      </c>
      <c r="D541" s="1665">
        <v>1423102039</v>
      </c>
      <c r="E541" s="1665">
        <v>1423102039</v>
      </c>
      <c r="F541" s="1665">
        <v>1369031908</v>
      </c>
      <c r="G541" s="1665">
        <v>1423102039</v>
      </c>
      <c r="H541" s="1665">
        <v>1369031908</v>
      </c>
    </row>
    <row r="542" spans="1:8">
      <c r="A542" t="s">
        <v>1329</v>
      </c>
      <c r="B542" t="s">
        <v>7632</v>
      </c>
      <c r="C542" s="1665">
        <v>149693059</v>
      </c>
      <c r="D542" s="1665">
        <v>155558113</v>
      </c>
      <c r="E542" s="1665">
        <v>155558113</v>
      </c>
      <c r="F542" s="1665">
        <v>149693059</v>
      </c>
      <c r="G542" s="1665">
        <v>155558113</v>
      </c>
      <c r="H542" s="1665">
        <v>149693059</v>
      </c>
    </row>
    <row r="543" spans="1:8">
      <c r="A543" t="s">
        <v>2324</v>
      </c>
      <c r="B543" t="s">
        <v>7633</v>
      </c>
      <c r="C543" s="1665">
        <v>257006635</v>
      </c>
      <c r="D543" s="1665">
        <v>266328979</v>
      </c>
      <c r="E543" s="1665">
        <v>266328979</v>
      </c>
      <c r="F543" s="1665">
        <v>257006635</v>
      </c>
      <c r="G543" s="1665">
        <v>266328979</v>
      </c>
      <c r="H543" s="1665">
        <v>257006635</v>
      </c>
    </row>
    <row r="544" spans="1:8">
      <c r="A544" t="s">
        <v>255</v>
      </c>
      <c r="B544" t="s">
        <v>7634</v>
      </c>
      <c r="C544" s="1665">
        <v>266628687</v>
      </c>
      <c r="D544" s="1665">
        <v>279820453</v>
      </c>
      <c r="E544" s="1665">
        <v>279820453</v>
      </c>
      <c r="F544" s="1665">
        <v>266628687</v>
      </c>
      <c r="G544" s="1665">
        <v>279820453</v>
      </c>
      <c r="H544" s="1665">
        <v>266628687</v>
      </c>
    </row>
    <row r="545" spans="1:8">
      <c r="A545" t="s">
        <v>1263</v>
      </c>
      <c r="B545" t="s">
        <v>7635</v>
      </c>
      <c r="C545" s="1665">
        <v>767681267</v>
      </c>
      <c r="D545" s="1665">
        <v>780509368</v>
      </c>
      <c r="E545" s="1665">
        <v>780509368</v>
      </c>
      <c r="F545" s="1665">
        <v>767681267</v>
      </c>
      <c r="G545" s="1665">
        <v>780509368</v>
      </c>
      <c r="H545" s="1665">
        <v>767681267</v>
      </c>
    </row>
    <row r="546" spans="1:8">
      <c r="A546" t="s">
        <v>2097</v>
      </c>
      <c r="B546" t="s">
        <v>7636</v>
      </c>
      <c r="C546" s="1665">
        <v>130256001</v>
      </c>
      <c r="D546" s="1665">
        <v>138363131</v>
      </c>
      <c r="E546" s="1665">
        <v>138363131</v>
      </c>
      <c r="F546" s="1665">
        <v>130256001</v>
      </c>
      <c r="G546" s="1665">
        <v>138363131</v>
      </c>
      <c r="H546" s="1665">
        <v>130256001</v>
      </c>
    </row>
    <row r="547" spans="1:8">
      <c r="A547" t="s">
        <v>1330</v>
      </c>
      <c r="B547" t="s">
        <v>7637</v>
      </c>
      <c r="C547" s="1665">
        <v>118879284</v>
      </c>
      <c r="D547" s="1665">
        <v>123727804</v>
      </c>
      <c r="E547" s="1665">
        <v>123727804</v>
      </c>
      <c r="F547" s="1665">
        <v>118879284</v>
      </c>
      <c r="G547" s="1665">
        <v>123727804</v>
      </c>
      <c r="H547" s="1665">
        <v>118879284</v>
      </c>
    </row>
    <row r="548" spans="1:8">
      <c r="A548" t="s">
        <v>1862</v>
      </c>
      <c r="B548" t="s">
        <v>7638</v>
      </c>
      <c r="C548" s="1665">
        <v>143423949</v>
      </c>
      <c r="D548" s="1665">
        <v>151686339</v>
      </c>
      <c r="E548" s="1665">
        <v>151686339</v>
      </c>
      <c r="F548" s="1665">
        <v>143423949</v>
      </c>
      <c r="G548" s="1665">
        <v>151686339</v>
      </c>
      <c r="H548" s="1665">
        <v>143423949</v>
      </c>
    </row>
    <row r="549" spans="1:8">
      <c r="A549" t="s">
        <v>2510</v>
      </c>
      <c r="B549" t="s">
        <v>7639</v>
      </c>
      <c r="C549" s="1665">
        <v>76425794</v>
      </c>
      <c r="D549" s="1665">
        <v>78023178</v>
      </c>
      <c r="E549" s="1665">
        <v>78023178</v>
      </c>
      <c r="F549" s="1665">
        <v>76425794</v>
      </c>
      <c r="G549" s="1665">
        <v>78023178</v>
      </c>
      <c r="H549" s="1665">
        <v>76425794</v>
      </c>
    </row>
    <row r="550" spans="1:8">
      <c r="A550" t="s">
        <v>259</v>
      </c>
      <c r="B550" t="s">
        <v>7640</v>
      </c>
      <c r="C550" s="1665">
        <v>100642042</v>
      </c>
      <c r="D550" s="1665">
        <v>107261142</v>
      </c>
      <c r="E550" s="1665">
        <v>107261142</v>
      </c>
      <c r="F550" s="1665">
        <v>100642042</v>
      </c>
      <c r="G550" s="1665">
        <v>107261142</v>
      </c>
      <c r="H550" s="1665">
        <v>100642042</v>
      </c>
    </row>
    <row r="551" spans="1:8">
      <c r="A551" t="s">
        <v>47</v>
      </c>
      <c r="B551" t="s">
        <v>7641</v>
      </c>
      <c r="C551" s="1665">
        <v>3563803311</v>
      </c>
      <c r="D551" s="1665">
        <v>3572756055</v>
      </c>
      <c r="E551" s="1665">
        <v>3572756055</v>
      </c>
      <c r="F551" s="1665">
        <v>3563803311</v>
      </c>
      <c r="G551" s="1665">
        <v>3572756055</v>
      </c>
      <c r="H551" s="1665">
        <v>3563803311</v>
      </c>
    </row>
    <row r="552" spans="1:8">
      <c r="A552" t="s">
        <v>2511</v>
      </c>
      <c r="B552" t="s">
        <v>7642</v>
      </c>
      <c r="C552" s="1665">
        <v>1015553310</v>
      </c>
      <c r="D552" s="1665">
        <v>1023039100</v>
      </c>
      <c r="E552" s="1665">
        <v>1023039100</v>
      </c>
      <c r="F552" s="1665">
        <v>1015553310</v>
      </c>
      <c r="G552" s="1665">
        <v>1155692010</v>
      </c>
      <c r="H552" s="1665">
        <v>1148206220</v>
      </c>
    </row>
    <row r="553" spans="1:8">
      <c r="A553" t="s">
        <v>1153</v>
      </c>
      <c r="B553" t="s">
        <v>7643</v>
      </c>
      <c r="C553" s="1665">
        <v>413822591</v>
      </c>
      <c r="D553" s="1665">
        <v>415985905</v>
      </c>
      <c r="E553" s="1665">
        <v>415985905</v>
      </c>
      <c r="F553" s="1665">
        <v>413822591</v>
      </c>
      <c r="G553" s="1665">
        <v>415985905</v>
      </c>
      <c r="H553" s="1665">
        <v>413822591</v>
      </c>
    </row>
    <row r="554" spans="1:8">
      <c r="A554" t="s">
        <v>1686</v>
      </c>
      <c r="B554" t="s">
        <v>7644</v>
      </c>
      <c r="C554" s="1665">
        <v>546593087</v>
      </c>
      <c r="D554" s="1665">
        <v>551411632</v>
      </c>
      <c r="E554" s="1665">
        <v>551411632</v>
      </c>
      <c r="F554" s="1665">
        <v>546593087</v>
      </c>
      <c r="G554" s="1665">
        <v>551411632</v>
      </c>
      <c r="H554" s="1665">
        <v>546593087</v>
      </c>
    </row>
    <row r="555" spans="1:8">
      <c r="A555" t="s">
        <v>2403</v>
      </c>
      <c r="B555" t="s">
        <v>7645</v>
      </c>
      <c r="C555" s="1665">
        <v>748207655</v>
      </c>
      <c r="D555" s="1665">
        <v>781350387</v>
      </c>
      <c r="E555" s="1665">
        <v>781350387</v>
      </c>
      <c r="F555" s="1665">
        <v>748207655</v>
      </c>
      <c r="G555" s="1665">
        <v>781350387</v>
      </c>
      <c r="H555" s="1665">
        <v>748207655</v>
      </c>
    </row>
    <row r="556" spans="1:8">
      <c r="A556" t="s">
        <v>1339</v>
      </c>
      <c r="B556" t="s">
        <v>7646</v>
      </c>
      <c r="C556" s="1665">
        <v>3548631381</v>
      </c>
      <c r="D556" s="1665">
        <v>3637780214</v>
      </c>
      <c r="E556" s="1665">
        <v>3637780214</v>
      </c>
      <c r="F556" s="1665">
        <v>3548631381</v>
      </c>
      <c r="G556" s="1665">
        <v>3637780214</v>
      </c>
      <c r="H556" s="1665">
        <v>3548631381</v>
      </c>
    </row>
    <row r="557" spans="1:8">
      <c r="A557" t="s">
        <v>49</v>
      </c>
      <c r="B557" t="s">
        <v>7647</v>
      </c>
      <c r="C557" s="1665">
        <v>680067128</v>
      </c>
      <c r="D557" s="1665">
        <v>712192460</v>
      </c>
      <c r="E557" s="1665">
        <v>712192460</v>
      </c>
      <c r="F557" s="1665">
        <v>680067128</v>
      </c>
      <c r="G557" s="1665">
        <v>712192460</v>
      </c>
      <c r="H557" s="1665">
        <v>680067128</v>
      </c>
    </row>
    <row r="558" spans="1:8">
      <c r="A558" t="s">
        <v>51</v>
      </c>
      <c r="B558" t="s">
        <v>7648</v>
      </c>
      <c r="C558" s="1665">
        <v>371720289</v>
      </c>
      <c r="D558" s="1665">
        <v>389405468</v>
      </c>
      <c r="E558" s="1665">
        <v>389405468</v>
      </c>
      <c r="F558" s="1665">
        <v>371720289</v>
      </c>
      <c r="G558" s="1665">
        <v>389405468</v>
      </c>
      <c r="H558" s="1665">
        <v>371720289</v>
      </c>
    </row>
    <row r="559" spans="1:8">
      <c r="A559" t="s">
        <v>2554</v>
      </c>
      <c r="B559" t="s">
        <v>7649</v>
      </c>
      <c r="C559" s="1665">
        <v>1102157440</v>
      </c>
      <c r="D559" s="1665">
        <v>1140931963</v>
      </c>
      <c r="E559" s="1665">
        <v>1140931963</v>
      </c>
      <c r="F559" s="1665">
        <v>1102157440</v>
      </c>
      <c r="G559" s="1665">
        <v>1140931963</v>
      </c>
      <c r="H559" s="1665">
        <v>1102157440</v>
      </c>
    </row>
    <row r="560" spans="1:8">
      <c r="A560" t="s">
        <v>2555</v>
      </c>
      <c r="B560" t="s">
        <v>7650</v>
      </c>
      <c r="C560" s="1665">
        <v>1523738288</v>
      </c>
      <c r="D560" s="1665">
        <v>1567801683</v>
      </c>
      <c r="E560" s="1665">
        <v>1567801683</v>
      </c>
      <c r="F560" s="1665">
        <v>1523738288</v>
      </c>
      <c r="G560" s="1665">
        <v>1567801683</v>
      </c>
      <c r="H560" s="1665">
        <v>1523738288</v>
      </c>
    </row>
    <row r="561" spans="1:8">
      <c r="A561" t="s">
        <v>494</v>
      </c>
      <c r="B561" t="s">
        <v>7651</v>
      </c>
      <c r="C561" s="1665">
        <v>170526129</v>
      </c>
      <c r="D561" s="1665">
        <v>179850246</v>
      </c>
      <c r="E561" s="1665">
        <v>179850246</v>
      </c>
      <c r="F561" s="1665">
        <v>170526129</v>
      </c>
      <c r="G561" s="1665">
        <v>179850246</v>
      </c>
      <c r="H561" s="1665">
        <v>170526129</v>
      </c>
    </row>
    <row r="562" spans="1:8">
      <c r="A562" t="s">
        <v>2556</v>
      </c>
      <c r="B562" t="s">
        <v>7652</v>
      </c>
      <c r="C562" s="1665">
        <v>6421480810</v>
      </c>
      <c r="D562" s="1665">
        <v>6537798811</v>
      </c>
      <c r="E562" s="1665">
        <v>6537798811</v>
      </c>
      <c r="F562" s="1665">
        <v>6421480810</v>
      </c>
      <c r="G562" s="1665">
        <v>6537798811</v>
      </c>
      <c r="H562" s="1665">
        <v>6421480810</v>
      </c>
    </row>
    <row r="563" spans="1:8">
      <c r="A563" t="s">
        <v>1539</v>
      </c>
      <c r="B563" t="s">
        <v>7653</v>
      </c>
      <c r="C563" s="1665">
        <v>847990300</v>
      </c>
      <c r="D563" s="1665">
        <v>866025540</v>
      </c>
      <c r="E563" s="1665">
        <v>866025540</v>
      </c>
      <c r="F563" s="1665">
        <v>847990300</v>
      </c>
      <c r="G563" s="1665">
        <v>866025540</v>
      </c>
      <c r="H563" s="1665">
        <v>847990300</v>
      </c>
    </row>
    <row r="564" spans="1:8">
      <c r="A564" t="s">
        <v>2689</v>
      </c>
      <c r="B564" t="s">
        <v>7654</v>
      </c>
      <c r="C564" s="1665">
        <v>777557072</v>
      </c>
      <c r="D564" s="1665">
        <v>777759473</v>
      </c>
      <c r="E564" s="1665">
        <v>777497962</v>
      </c>
      <c r="F564" s="1665">
        <v>777295561</v>
      </c>
      <c r="G564" s="1665">
        <v>881997892</v>
      </c>
      <c r="H564" s="1665">
        <v>881795491</v>
      </c>
    </row>
    <row r="565" spans="1:8">
      <c r="A565" t="s">
        <v>2320</v>
      </c>
      <c r="B565" t="s">
        <v>7655</v>
      </c>
      <c r="C565" s="1665">
        <v>399998059</v>
      </c>
      <c r="D565" s="1665">
        <v>401430179</v>
      </c>
      <c r="E565" s="1665">
        <v>400704264</v>
      </c>
      <c r="F565" s="1665">
        <v>399272144</v>
      </c>
      <c r="G565" s="1665">
        <v>400704264</v>
      </c>
      <c r="H565" s="1665">
        <v>399272144</v>
      </c>
    </row>
    <row r="566" spans="1:8">
      <c r="A566" t="s">
        <v>1541</v>
      </c>
      <c r="B566" t="s">
        <v>7656</v>
      </c>
      <c r="C566" s="1665">
        <v>301266415</v>
      </c>
      <c r="D566" s="1665">
        <v>309380447</v>
      </c>
      <c r="E566" s="1665">
        <v>309380447</v>
      </c>
      <c r="F566" s="1665">
        <v>301266415</v>
      </c>
      <c r="G566" s="1665">
        <v>309380447</v>
      </c>
      <c r="H566" s="1665">
        <v>301266415</v>
      </c>
    </row>
    <row r="567" spans="1:8">
      <c r="A567" t="s">
        <v>2545</v>
      </c>
      <c r="B567" t="s">
        <v>7657</v>
      </c>
      <c r="C567" s="1665">
        <v>386204547</v>
      </c>
      <c r="D567" s="1665">
        <v>390821724</v>
      </c>
      <c r="E567" s="1665">
        <v>390821724</v>
      </c>
      <c r="F567" s="1665">
        <v>386204547</v>
      </c>
      <c r="G567" s="1665">
        <v>390821724</v>
      </c>
      <c r="H567" s="1665">
        <v>386204547</v>
      </c>
    </row>
    <row r="568" spans="1:8">
      <c r="A568" t="s">
        <v>2546</v>
      </c>
      <c r="B568" t="s">
        <v>7658</v>
      </c>
      <c r="C568" s="1665">
        <v>2590741886</v>
      </c>
      <c r="D568" s="1665">
        <v>2669533823</v>
      </c>
      <c r="E568" s="1665">
        <v>2669533823</v>
      </c>
      <c r="F568" s="1665">
        <v>2590741886</v>
      </c>
      <c r="G568" s="1665">
        <v>2669533823</v>
      </c>
      <c r="H568" s="1665">
        <v>2590741886</v>
      </c>
    </row>
    <row r="569" spans="1:8">
      <c r="A569" t="s">
        <v>487</v>
      </c>
      <c r="B569" t="s">
        <v>7659</v>
      </c>
      <c r="C569" s="1665">
        <v>518853858</v>
      </c>
      <c r="D569" s="1665">
        <v>538261752</v>
      </c>
      <c r="E569" s="1665">
        <v>538261752</v>
      </c>
      <c r="F569" s="1665">
        <v>518853858</v>
      </c>
      <c r="G569" s="1665">
        <v>538261752</v>
      </c>
      <c r="H569" s="1665">
        <v>518853858</v>
      </c>
    </row>
    <row r="570" spans="1:8">
      <c r="A570" t="s">
        <v>2278</v>
      </c>
      <c r="B570" t="s">
        <v>7660</v>
      </c>
      <c r="C570" s="1665">
        <v>64330076</v>
      </c>
      <c r="D570" s="1665">
        <v>64661092</v>
      </c>
      <c r="E570" s="1665">
        <v>64661092</v>
      </c>
      <c r="F570" s="1665">
        <v>64330076</v>
      </c>
      <c r="G570" s="1665">
        <v>64661092</v>
      </c>
      <c r="H570" s="1665">
        <v>64330076</v>
      </c>
    </row>
    <row r="571" spans="1:8">
      <c r="A571" t="s">
        <v>2279</v>
      </c>
      <c r="B571" t="s">
        <v>7661</v>
      </c>
      <c r="C571" s="1665">
        <v>406700616</v>
      </c>
      <c r="D571" s="1665">
        <v>416343656</v>
      </c>
      <c r="E571" s="1665">
        <v>416343656</v>
      </c>
      <c r="F571" s="1665">
        <v>406700616</v>
      </c>
      <c r="G571" s="1665">
        <v>416343656</v>
      </c>
      <c r="H571" s="1665">
        <v>406700616</v>
      </c>
    </row>
    <row r="572" spans="1:8">
      <c r="A572" t="s">
        <v>1534</v>
      </c>
      <c r="B572" t="s">
        <v>7662</v>
      </c>
      <c r="C572" s="1665">
        <v>166566800</v>
      </c>
      <c r="D572" s="1665">
        <v>166742000</v>
      </c>
      <c r="E572" s="1665">
        <v>166613325</v>
      </c>
      <c r="F572" s="1665">
        <v>166438125</v>
      </c>
      <c r="G572" s="1665">
        <v>166613325</v>
      </c>
      <c r="H572" s="1665">
        <v>166438125</v>
      </c>
    </row>
    <row r="573" spans="1:8">
      <c r="A573" t="s">
        <v>1535</v>
      </c>
      <c r="B573" t="s">
        <v>7663</v>
      </c>
      <c r="C573" s="1665">
        <v>304748510</v>
      </c>
      <c r="D573" s="1665">
        <v>312412150</v>
      </c>
      <c r="E573" s="1665">
        <v>312412150</v>
      </c>
      <c r="F573" s="1665">
        <v>304748510</v>
      </c>
      <c r="G573" s="1665">
        <v>461012150</v>
      </c>
      <c r="H573" s="1665">
        <v>453348510</v>
      </c>
    </row>
    <row r="574" spans="1:8">
      <c r="A574" t="s">
        <v>2512</v>
      </c>
      <c r="B574" t="s">
        <v>7664</v>
      </c>
      <c r="C574" s="1665">
        <v>830583859</v>
      </c>
      <c r="D574" s="1665">
        <v>864894954</v>
      </c>
      <c r="E574" s="1665">
        <v>864894954</v>
      </c>
      <c r="F574" s="1665">
        <v>830583859</v>
      </c>
      <c r="G574" s="1665">
        <v>864894954</v>
      </c>
      <c r="H574" s="1665">
        <v>830583859</v>
      </c>
    </row>
    <row r="575" spans="1:8">
      <c r="A575" t="s">
        <v>393</v>
      </c>
      <c r="B575" t="s">
        <v>7665</v>
      </c>
      <c r="C575" s="1665">
        <v>156715031</v>
      </c>
      <c r="D575" s="1665">
        <v>164211504</v>
      </c>
      <c r="E575" s="1665">
        <v>159262619</v>
      </c>
      <c r="F575" s="1665">
        <v>151766146</v>
      </c>
      <c r="G575" s="1665">
        <v>159262619</v>
      </c>
      <c r="H575" s="1665">
        <v>151766146</v>
      </c>
    </row>
    <row r="576" spans="1:8">
      <c r="A576" t="s">
        <v>394</v>
      </c>
      <c r="B576" t="s">
        <v>7666</v>
      </c>
      <c r="C576" s="1665">
        <v>234270800</v>
      </c>
      <c r="D576" s="1665">
        <v>237666998</v>
      </c>
      <c r="E576" s="1665">
        <v>237666998</v>
      </c>
      <c r="F576" s="1665">
        <v>234270800</v>
      </c>
      <c r="G576" s="1665">
        <v>237666998</v>
      </c>
      <c r="H576" s="1665">
        <v>234270800</v>
      </c>
    </row>
    <row r="577" spans="1:8">
      <c r="A577" t="s">
        <v>395</v>
      </c>
      <c r="B577" t="s">
        <v>7667</v>
      </c>
      <c r="C577" s="1665">
        <v>116427794</v>
      </c>
      <c r="D577" s="1665">
        <v>116427794</v>
      </c>
      <c r="E577" s="1665">
        <v>116427794</v>
      </c>
      <c r="F577" s="1665">
        <v>116427794</v>
      </c>
      <c r="G577" s="1665">
        <v>116427794</v>
      </c>
      <c r="H577" s="1665">
        <v>116427794</v>
      </c>
    </row>
    <row r="578" spans="1:8">
      <c r="A578" t="s">
        <v>2513</v>
      </c>
      <c r="B578" t="s">
        <v>7668</v>
      </c>
      <c r="C578" s="1665">
        <v>81092917</v>
      </c>
      <c r="D578" s="1665">
        <v>84043837</v>
      </c>
      <c r="E578" s="1665">
        <v>84043837</v>
      </c>
      <c r="F578" s="1665">
        <v>81092917</v>
      </c>
      <c r="G578" s="1665">
        <v>84043837</v>
      </c>
      <c r="H578" s="1665">
        <v>81092917</v>
      </c>
    </row>
    <row r="579" spans="1:8">
      <c r="A579" t="s">
        <v>242</v>
      </c>
      <c r="B579" t="s">
        <v>7669</v>
      </c>
      <c r="C579" s="1665">
        <v>97829810</v>
      </c>
      <c r="D579" s="1665">
        <v>101463030</v>
      </c>
      <c r="E579" s="1665">
        <v>101463030</v>
      </c>
      <c r="F579" s="1665">
        <v>97829810</v>
      </c>
      <c r="G579" s="1665">
        <v>174351690</v>
      </c>
      <c r="H579" s="1665">
        <v>170718470</v>
      </c>
    </row>
    <row r="580" spans="1:8">
      <c r="A580" t="s">
        <v>243</v>
      </c>
      <c r="B580" t="s">
        <v>7670</v>
      </c>
      <c r="C580" s="1665">
        <v>62769068</v>
      </c>
      <c r="D580" s="1665">
        <v>63348128</v>
      </c>
      <c r="E580" s="1665">
        <v>63348128</v>
      </c>
      <c r="F580" s="1665">
        <v>62769068</v>
      </c>
      <c r="G580" s="1665">
        <v>63348128</v>
      </c>
      <c r="H580" s="1665">
        <v>62769068</v>
      </c>
    </row>
    <row r="581" spans="1:8">
      <c r="A581" t="s">
        <v>244</v>
      </c>
      <c r="B581" t="s">
        <v>7671</v>
      </c>
      <c r="C581" s="1665">
        <v>971694531</v>
      </c>
      <c r="D581" s="1665">
        <v>980666647</v>
      </c>
      <c r="E581" s="1665">
        <v>980666647</v>
      </c>
      <c r="F581" s="1665">
        <v>971694531</v>
      </c>
      <c r="G581" s="1665">
        <v>980666647</v>
      </c>
      <c r="H581" s="1665">
        <v>971694531</v>
      </c>
    </row>
    <row r="582" spans="1:8">
      <c r="A582" t="s">
        <v>2325</v>
      </c>
      <c r="B582" t="s">
        <v>7672</v>
      </c>
      <c r="C582" s="1665">
        <v>118934828</v>
      </c>
      <c r="D582" s="1665">
        <v>121774126</v>
      </c>
      <c r="E582" s="1665">
        <v>121774126</v>
      </c>
      <c r="F582" s="1665">
        <v>118934828</v>
      </c>
      <c r="G582" s="1665">
        <v>121774126</v>
      </c>
      <c r="H582" s="1665">
        <v>118934828</v>
      </c>
    </row>
    <row r="583" spans="1:8">
      <c r="A583" t="s">
        <v>2023</v>
      </c>
      <c r="B583" t="s">
        <v>7673</v>
      </c>
      <c r="C583" s="1665">
        <v>765698128</v>
      </c>
      <c r="D583" s="1665">
        <v>800899440</v>
      </c>
      <c r="E583" s="1665">
        <v>800899440</v>
      </c>
      <c r="F583" s="1665">
        <v>765698128</v>
      </c>
      <c r="G583" s="1665">
        <v>800899440</v>
      </c>
      <c r="H583" s="1665">
        <v>765698128</v>
      </c>
    </row>
    <row r="584" spans="1:8">
      <c r="A584" t="s">
        <v>2076</v>
      </c>
      <c r="B584" t="s">
        <v>7674</v>
      </c>
      <c r="C584" s="1665">
        <v>1186561079</v>
      </c>
      <c r="D584" s="1665">
        <v>1230002879</v>
      </c>
      <c r="E584" s="1665">
        <v>1230002879</v>
      </c>
      <c r="F584" s="1665">
        <v>1186561079</v>
      </c>
      <c r="G584" s="1665">
        <v>1230002879</v>
      </c>
      <c r="H584" s="1665">
        <v>1186561079</v>
      </c>
    </row>
    <row r="585" spans="1:8">
      <c r="A585" t="s">
        <v>2514</v>
      </c>
      <c r="B585" t="s">
        <v>7675</v>
      </c>
      <c r="C585" s="1665">
        <v>215175046</v>
      </c>
      <c r="D585" s="1665">
        <v>229750113</v>
      </c>
      <c r="E585" s="1665">
        <v>229750113</v>
      </c>
      <c r="F585" s="1665">
        <v>215175046</v>
      </c>
      <c r="G585" s="1665">
        <v>229750113</v>
      </c>
      <c r="H585" s="1665">
        <v>215175046</v>
      </c>
    </row>
    <row r="586" spans="1:8">
      <c r="A586" t="s">
        <v>1557</v>
      </c>
      <c r="B586" t="s">
        <v>7676</v>
      </c>
      <c r="C586" s="1665">
        <v>43285574</v>
      </c>
      <c r="D586" s="1665">
        <v>44256699</v>
      </c>
      <c r="E586" s="1665">
        <v>44256699</v>
      </c>
      <c r="F586" s="1665">
        <v>43285574</v>
      </c>
      <c r="G586" s="1665">
        <v>44256699</v>
      </c>
      <c r="H586" s="1665">
        <v>43285574</v>
      </c>
    </row>
    <row r="587" spans="1:8">
      <c r="A587" t="s">
        <v>1558</v>
      </c>
      <c r="B587" t="s">
        <v>7677</v>
      </c>
      <c r="C587" s="1665">
        <v>191117979</v>
      </c>
      <c r="D587" s="1665">
        <v>199770919</v>
      </c>
      <c r="E587" s="1665">
        <v>199770919</v>
      </c>
      <c r="F587" s="1665">
        <v>191117979</v>
      </c>
      <c r="G587" s="1665">
        <v>199770919</v>
      </c>
      <c r="H587" s="1665">
        <v>191117979</v>
      </c>
    </row>
    <row r="588" spans="1:8">
      <c r="A588" t="s">
        <v>1412</v>
      </c>
      <c r="B588" t="s">
        <v>7678</v>
      </c>
      <c r="C588" s="1665">
        <v>127072143</v>
      </c>
      <c r="D588" s="1665">
        <v>130781765</v>
      </c>
      <c r="E588" s="1665">
        <v>130781765</v>
      </c>
      <c r="F588" s="1665">
        <v>127072143</v>
      </c>
      <c r="G588" s="1665">
        <v>130781765</v>
      </c>
      <c r="H588" s="1665">
        <v>127072143</v>
      </c>
    </row>
    <row r="589" spans="1:8">
      <c r="A589" t="s">
        <v>2261</v>
      </c>
      <c r="B589" t="s">
        <v>7679</v>
      </c>
      <c r="C589" s="1665">
        <v>75900949</v>
      </c>
      <c r="D589" s="1665">
        <v>77959611</v>
      </c>
      <c r="E589" s="1665">
        <v>77959611</v>
      </c>
      <c r="F589" s="1665">
        <v>75900949</v>
      </c>
      <c r="G589" s="1665">
        <v>77959611</v>
      </c>
      <c r="H589" s="1665">
        <v>75900949</v>
      </c>
    </row>
    <row r="590" spans="1:8">
      <c r="A590" t="s">
        <v>2262</v>
      </c>
      <c r="B590" t="s">
        <v>7680</v>
      </c>
      <c r="C590" s="1665">
        <v>453195285</v>
      </c>
      <c r="D590" s="1665">
        <v>455448928</v>
      </c>
      <c r="E590" s="1665">
        <v>455448928</v>
      </c>
      <c r="F590" s="1665">
        <v>453195285</v>
      </c>
      <c r="G590" s="1665">
        <v>455448928</v>
      </c>
      <c r="H590" s="1665">
        <v>453195285</v>
      </c>
    </row>
    <row r="591" spans="1:8">
      <c r="A591" t="s">
        <v>2263</v>
      </c>
      <c r="B591" t="s">
        <v>7681</v>
      </c>
      <c r="C591" s="1665">
        <v>1165463480</v>
      </c>
      <c r="D591" s="1665">
        <v>1213713075</v>
      </c>
      <c r="E591" s="1665">
        <v>1213713075</v>
      </c>
      <c r="F591" s="1665">
        <v>1165463480</v>
      </c>
      <c r="G591" s="1665">
        <v>1213713075</v>
      </c>
      <c r="H591" s="1665">
        <v>1165463480</v>
      </c>
    </row>
    <row r="592" spans="1:8">
      <c r="A592" t="s">
        <v>2264</v>
      </c>
      <c r="B592" t="s">
        <v>7682</v>
      </c>
      <c r="C592" s="1665">
        <v>130735304</v>
      </c>
      <c r="D592" s="1665">
        <v>133970714</v>
      </c>
      <c r="E592" s="1665">
        <v>133970714</v>
      </c>
      <c r="F592" s="1665">
        <v>130735304</v>
      </c>
      <c r="G592" s="1665">
        <v>133970714</v>
      </c>
      <c r="H592" s="1665">
        <v>130735304</v>
      </c>
    </row>
    <row r="593" spans="1:8">
      <c r="A593" t="s">
        <v>2401</v>
      </c>
      <c r="B593" t="s">
        <v>7683</v>
      </c>
      <c r="C593" s="1665">
        <v>4158146704</v>
      </c>
      <c r="D593" s="1665">
        <v>4165297784</v>
      </c>
      <c r="E593" s="1665">
        <v>4165297784</v>
      </c>
      <c r="F593" s="1665">
        <v>4158146704</v>
      </c>
      <c r="G593" s="1665">
        <v>4165297784</v>
      </c>
      <c r="H593" s="1665">
        <v>4158146704</v>
      </c>
    </row>
    <row r="594" spans="1:8">
      <c r="A594" t="s">
        <v>2265</v>
      </c>
      <c r="B594" t="s">
        <v>7684</v>
      </c>
      <c r="C594" s="1665">
        <v>692827510</v>
      </c>
      <c r="D594" s="1665">
        <v>711247009</v>
      </c>
      <c r="E594" s="1665">
        <v>711247009</v>
      </c>
      <c r="F594" s="1665">
        <v>692827510</v>
      </c>
      <c r="G594" s="1665">
        <v>711247009</v>
      </c>
      <c r="H594" s="1665">
        <v>692827510</v>
      </c>
    </row>
    <row r="595" spans="1:8">
      <c r="A595" t="s">
        <v>2266</v>
      </c>
      <c r="B595" t="s">
        <v>7685</v>
      </c>
      <c r="C595" s="1665">
        <v>264588632</v>
      </c>
      <c r="D595" s="1665">
        <v>270180654</v>
      </c>
      <c r="E595" s="1665">
        <v>264117185</v>
      </c>
      <c r="F595" s="1665">
        <v>258525163</v>
      </c>
      <c r="G595" s="1665">
        <v>264117185</v>
      </c>
      <c r="H595" s="1665">
        <v>258525163</v>
      </c>
    </row>
    <row r="596" spans="1:8">
      <c r="A596" t="s">
        <v>2267</v>
      </c>
      <c r="B596" t="s">
        <v>7686</v>
      </c>
      <c r="C596" s="1665">
        <v>606376211</v>
      </c>
      <c r="D596" s="1665">
        <v>617580067</v>
      </c>
      <c r="E596" s="1665">
        <v>617580067</v>
      </c>
      <c r="F596" s="1665">
        <v>606376211</v>
      </c>
      <c r="G596" s="1665">
        <v>617580067</v>
      </c>
      <c r="H596" s="1665">
        <v>606376211</v>
      </c>
    </row>
    <row r="597" spans="1:8">
      <c r="A597" t="s">
        <v>2268</v>
      </c>
      <c r="B597" t="s">
        <v>7687</v>
      </c>
      <c r="C597" s="1665">
        <v>57428411</v>
      </c>
      <c r="D597" s="1665">
        <v>59961748</v>
      </c>
      <c r="E597" s="1665">
        <v>56685443</v>
      </c>
      <c r="F597" s="1665">
        <v>54152106</v>
      </c>
      <c r="G597" s="1665">
        <v>56685443</v>
      </c>
      <c r="H597" s="1665">
        <v>54152106</v>
      </c>
    </row>
    <row r="598" spans="1:8">
      <c r="A598" t="s">
        <v>2269</v>
      </c>
      <c r="B598" t="s">
        <v>7688</v>
      </c>
      <c r="C598" s="1665">
        <v>66022874</v>
      </c>
      <c r="D598" s="1665">
        <v>68667546</v>
      </c>
      <c r="E598" s="1665">
        <v>68667546</v>
      </c>
      <c r="F598" s="1665">
        <v>66022874</v>
      </c>
      <c r="G598" s="1665">
        <v>68667546</v>
      </c>
      <c r="H598" s="1665">
        <v>66022874</v>
      </c>
    </row>
    <row r="599" spans="1:8">
      <c r="A599" t="s">
        <v>2586</v>
      </c>
      <c r="B599" t="s">
        <v>7689</v>
      </c>
      <c r="C599" s="1665">
        <v>80140644</v>
      </c>
      <c r="D599" s="1665">
        <v>82578627</v>
      </c>
      <c r="E599" s="1665">
        <v>79874236</v>
      </c>
      <c r="F599" s="1665">
        <v>77436253</v>
      </c>
      <c r="G599" s="1665">
        <v>79874236</v>
      </c>
      <c r="H599" s="1665">
        <v>77436253</v>
      </c>
    </row>
    <row r="600" spans="1:8">
      <c r="A600" t="s">
        <v>2587</v>
      </c>
      <c r="B600" t="s">
        <v>7690</v>
      </c>
      <c r="C600" s="1665">
        <v>778110310</v>
      </c>
      <c r="D600" s="1665">
        <v>798024467</v>
      </c>
      <c r="E600" s="1665">
        <v>783754028</v>
      </c>
      <c r="F600" s="1665">
        <v>763839871</v>
      </c>
      <c r="G600" s="1665">
        <v>783754028</v>
      </c>
      <c r="H600" s="1665">
        <v>763839871</v>
      </c>
    </row>
    <row r="601" spans="1:8">
      <c r="A601" t="s">
        <v>2588</v>
      </c>
      <c r="B601" t="s">
        <v>7691</v>
      </c>
      <c r="C601" s="1665">
        <v>399864098</v>
      </c>
      <c r="D601" s="1665">
        <v>413646375</v>
      </c>
      <c r="E601" s="1665">
        <v>413646375</v>
      </c>
      <c r="F601" s="1665">
        <v>399864098</v>
      </c>
      <c r="G601" s="1665">
        <v>413646375</v>
      </c>
      <c r="H601" s="1665">
        <v>399864098</v>
      </c>
    </row>
    <row r="602" spans="1:8">
      <c r="A602" t="s">
        <v>2589</v>
      </c>
      <c r="B602" t="s">
        <v>7692</v>
      </c>
      <c r="C602" s="1665">
        <v>110985530</v>
      </c>
      <c r="D602" s="1665">
        <v>113907569</v>
      </c>
      <c r="E602" s="1665">
        <v>113211281</v>
      </c>
      <c r="F602" s="1665">
        <v>110289242</v>
      </c>
      <c r="G602" s="1665">
        <v>113211281</v>
      </c>
      <c r="H602" s="1665">
        <v>110289242</v>
      </c>
    </row>
    <row r="603" spans="1:8">
      <c r="A603" t="s">
        <v>2590</v>
      </c>
      <c r="B603" t="s">
        <v>7693</v>
      </c>
      <c r="C603" s="1665">
        <v>376573360</v>
      </c>
      <c r="D603" s="1665">
        <v>386597296</v>
      </c>
      <c r="E603" s="1665">
        <v>384222678</v>
      </c>
      <c r="F603" s="1665">
        <v>374198742</v>
      </c>
      <c r="G603" s="1665">
        <v>384222678</v>
      </c>
      <c r="H603" s="1665">
        <v>374198742</v>
      </c>
    </row>
    <row r="604" spans="1:8">
      <c r="A604" t="s">
        <v>1381</v>
      </c>
      <c r="B604" t="s">
        <v>7694</v>
      </c>
      <c r="C604" s="1665">
        <v>301125432</v>
      </c>
      <c r="D604" s="1665">
        <v>312273852</v>
      </c>
      <c r="E604" s="1665">
        <v>306586092</v>
      </c>
      <c r="F604" s="1665">
        <v>295437672</v>
      </c>
      <c r="G604" s="1665">
        <v>306586092</v>
      </c>
      <c r="H604" s="1665">
        <v>295437672</v>
      </c>
    </row>
    <row r="605" spans="1:8">
      <c r="A605" t="s">
        <v>1382</v>
      </c>
      <c r="B605" t="s">
        <v>7695</v>
      </c>
      <c r="C605" s="1665">
        <v>297115052</v>
      </c>
      <c r="D605" s="1665">
        <v>307574999</v>
      </c>
      <c r="E605" s="1665">
        <v>294208893</v>
      </c>
      <c r="F605" s="1665">
        <v>283748946</v>
      </c>
      <c r="G605" s="1665">
        <v>294208893</v>
      </c>
      <c r="H605" s="1665">
        <v>283748946</v>
      </c>
    </row>
    <row r="606" spans="1:8">
      <c r="A606" t="s">
        <v>2426</v>
      </c>
      <c r="B606" t="s">
        <v>7696</v>
      </c>
      <c r="C606" s="1665">
        <v>140456643</v>
      </c>
      <c r="D606" s="1665">
        <v>142625190</v>
      </c>
      <c r="E606" s="1665">
        <v>142625190</v>
      </c>
      <c r="F606" s="1665">
        <v>140456643</v>
      </c>
      <c r="G606" s="1665">
        <v>142625190</v>
      </c>
      <c r="H606" s="1665">
        <v>140456643</v>
      </c>
    </row>
    <row r="607" spans="1:8">
      <c r="A607" t="s">
        <v>2111</v>
      </c>
      <c r="B607" t="s">
        <v>7697</v>
      </c>
      <c r="C607" s="1665">
        <v>713530256</v>
      </c>
      <c r="D607" s="1665">
        <v>721921848</v>
      </c>
      <c r="E607" s="1665">
        <v>721921848</v>
      </c>
      <c r="F607" s="1665">
        <v>713530256</v>
      </c>
      <c r="G607" s="1665">
        <v>721921848</v>
      </c>
      <c r="H607" s="1665">
        <v>713530256</v>
      </c>
    </row>
    <row r="608" spans="1:8">
      <c r="A608" t="s">
        <v>2633</v>
      </c>
      <c r="B608" t="s">
        <v>7698</v>
      </c>
      <c r="C608" s="1665">
        <v>1190297285</v>
      </c>
      <c r="D608" s="1665">
        <v>1222144520</v>
      </c>
      <c r="E608" s="1665">
        <v>1222144520</v>
      </c>
      <c r="F608" s="1665">
        <v>1190297285</v>
      </c>
      <c r="G608" s="1665">
        <v>1222144520</v>
      </c>
      <c r="H608" s="1665">
        <v>1190297285</v>
      </c>
    </row>
    <row r="609" spans="1:8">
      <c r="A609" t="s">
        <v>2408</v>
      </c>
      <c r="B609" t="s">
        <v>7699</v>
      </c>
      <c r="C609" s="1665">
        <v>1768765884</v>
      </c>
      <c r="D609" s="1665">
        <v>1815192732</v>
      </c>
      <c r="E609" s="1665">
        <v>1815192732</v>
      </c>
      <c r="F609" s="1665">
        <v>1768765884</v>
      </c>
      <c r="G609" s="1665">
        <v>1815192732</v>
      </c>
      <c r="H609" s="1665">
        <v>1768765884</v>
      </c>
    </row>
    <row r="610" spans="1:8">
      <c r="A610" t="s">
        <v>2112</v>
      </c>
      <c r="B610" t="s">
        <v>7700</v>
      </c>
      <c r="C610" s="1665">
        <v>162138353</v>
      </c>
      <c r="D610" s="1665">
        <v>164125403</v>
      </c>
      <c r="E610" s="1665">
        <v>164125403</v>
      </c>
      <c r="F610" s="1665">
        <v>162138353</v>
      </c>
      <c r="G610" s="1665">
        <v>164125403</v>
      </c>
      <c r="H610" s="1665">
        <v>162138353</v>
      </c>
    </row>
    <row r="611" spans="1:8">
      <c r="A611" t="s">
        <v>2515</v>
      </c>
      <c r="B611" t="s">
        <v>7701</v>
      </c>
      <c r="C611" s="1665">
        <v>428505999</v>
      </c>
      <c r="D611" s="1665">
        <v>442312727</v>
      </c>
      <c r="E611" s="1665">
        <v>442312727</v>
      </c>
      <c r="F611" s="1665">
        <v>428505999</v>
      </c>
      <c r="G611" s="1665">
        <v>442312727</v>
      </c>
      <c r="H611" s="1665">
        <v>428505999</v>
      </c>
    </row>
    <row r="612" spans="1:8">
      <c r="A612" t="s">
        <v>1116</v>
      </c>
      <c r="B612" t="s">
        <v>7702</v>
      </c>
      <c r="C612" s="1665">
        <v>238899591</v>
      </c>
      <c r="D612" s="1665">
        <v>244758657</v>
      </c>
      <c r="E612" s="1665">
        <v>244758657</v>
      </c>
      <c r="F612" s="1665">
        <v>238899591</v>
      </c>
      <c r="G612" s="1665">
        <v>244758657</v>
      </c>
      <c r="H612" s="1665">
        <v>238899591</v>
      </c>
    </row>
    <row r="613" spans="1:8">
      <c r="A613" t="s">
        <v>2113</v>
      </c>
      <c r="B613" t="s">
        <v>7703</v>
      </c>
      <c r="C613" s="1665">
        <v>875903409</v>
      </c>
      <c r="D613" s="1665">
        <v>896298220</v>
      </c>
      <c r="E613" s="1665">
        <v>896298220</v>
      </c>
      <c r="F613" s="1665">
        <v>875903409</v>
      </c>
      <c r="G613" s="1665">
        <v>957805100</v>
      </c>
      <c r="H613" s="1665">
        <v>937410289</v>
      </c>
    </row>
    <row r="614" spans="1:8">
      <c r="A614" t="s">
        <v>2114</v>
      </c>
      <c r="B614" t="s">
        <v>7704</v>
      </c>
      <c r="C614" s="1665">
        <v>535940273</v>
      </c>
      <c r="D614" s="1665">
        <v>554861573</v>
      </c>
      <c r="E614" s="1665">
        <v>554861573</v>
      </c>
      <c r="F614" s="1665">
        <v>535940273</v>
      </c>
      <c r="G614" s="1665">
        <v>554861573</v>
      </c>
      <c r="H614" s="1665">
        <v>535940273</v>
      </c>
    </row>
    <row r="615" spans="1:8">
      <c r="A615" t="s">
        <v>967</v>
      </c>
      <c r="B615" t="s">
        <v>7705</v>
      </c>
      <c r="C615" s="1665">
        <v>39500131</v>
      </c>
      <c r="D615" s="1665">
        <v>41364511</v>
      </c>
      <c r="E615" s="1665">
        <v>41364511</v>
      </c>
      <c r="F615" s="1665">
        <v>39500131</v>
      </c>
      <c r="G615" s="1665">
        <v>41364511</v>
      </c>
      <c r="H615" s="1665">
        <v>39500131</v>
      </c>
    </row>
    <row r="616" spans="1:8">
      <c r="A616" t="s">
        <v>1337</v>
      </c>
      <c r="B616" t="s">
        <v>7706</v>
      </c>
      <c r="C616" s="1665">
        <v>1302302538</v>
      </c>
      <c r="D616" s="1665">
        <v>1322643211</v>
      </c>
      <c r="E616" s="1665">
        <v>1322643211</v>
      </c>
      <c r="F616" s="1665">
        <v>1302302538</v>
      </c>
      <c r="G616" s="1665">
        <v>1322643211</v>
      </c>
      <c r="H616" s="1665">
        <v>1302302538</v>
      </c>
    </row>
    <row r="617" spans="1:8">
      <c r="A617" t="s">
        <v>1689</v>
      </c>
      <c r="B617" t="s">
        <v>7707</v>
      </c>
      <c r="C617" s="1665">
        <v>417174535</v>
      </c>
      <c r="D617" s="1665">
        <v>436952124</v>
      </c>
      <c r="E617" s="1665">
        <v>436952124</v>
      </c>
      <c r="F617" s="1665">
        <v>417174535</v>
      </c>
      <c r="G617" s="1665">
        <v>436952124</v>
      </c>
      <c r="H617" s="1665">
        <v>417174535</v>
      </c>
    </row>
    <row r="618" spans="1:8">
      <c r="A618" t="s">
        <v>1690</v>
      </c>
      <c r="B618" t="s">
        <v>7708</v>
      </c>
      <c r="C618" s="1665">
        <v>212148196</v>
      </c>
      <c r="D618" s="1665">
        <v>214865996</v>
      </c>
      <c r="E618" s="1665">
        <v>214865996</v>
      </c>
      <c r="F618" s="1665">
        <v>212148196</v>
      </c>
      <c r="G618" s="1665">
        <v>214865996</v>
      </c>
      <c r="H618" s="1665">
        <v>212148196</v>
      </c>
    </row>
    <row r="619" spans="1:8">
      <c r="A619" t="s">
        <v>2557</v>
      </c>
      <c r="B619" t="s">
        <v>7709</v>
      </c>
      <c r="C619" s="1665">
        <v>129042927</v>
      </c>
      <c r="D619" s="1665">
        <v>130292387</v>
      </c>
      <c r="E619" s="1665">
        <v>130292387</v>
      </c>
      <c r="F619" s="1665">
        <v>129042927</v>
      </c>
      <c r="G619" s="1665">
        <v>130292387</v>
      </c>
      <c r="H619" s="1665">
        <v>129042927</v>
      </c>
    </row>
    <row r="620" spans="1:8">
      <c r="A620" t="s">
        <v>2558</v>
      </c>
      <c r="B620" t="s">
        <v>7710</v>
      </c>
      <c r="C620" s="1665">
        <v>230388536</v>
      </c>
      <c r="D620" s="1665">
        <v>231232206</v>
      </c>
      <c r="E620" s="1665">
        <v>231232206</v>
      </c>
      <c r="F620" s="1665">
        <v>230388536</v>
      </c>
      <c r="G620" s="1665">
        <v>231232206</v>
      </c>
      <c r="H620" s="1665">
        <v>230388536</v>
      </c>
    </row>
    <row r="621" spans="1:8">
      <c r="A621" t="s">
        <v>2659</v>
      </c>
      <c r="B621" t="s">
        <v>7711</v>
      </c>
      <c r="C621" s="1665">
        <v>76335663</v>
      </c>
      <c r="D621" s="1665">
        <v>77295273</v>
      </c>
      <c r="E621" s="1665">
        <v>77295273</v>
      </c>
      <c r="F621" s="1665">
        <v>76335663</v>
      </c>
      <c r="G621" s="1665">
        <v>77295273</v>
      </c>
      <c r="H621" s="1665">
        <v>76335663</v>
      </c>
    </row>
    <row r="622" spans="1:8">
      <c r="A622" t="s">
        <v>837</v>
      </c>
      <c r="B622" t="s">
        <v>7712</v>
      </c>
      <c r="C622" s="1665">
        <v>765338053</v>
      </c>
      <c r="D622" s="1665">
        <v>780621215</v>
      </c>
      <c r="E622" s="1665">
        <v>762293393</v>
      </c>
      <c r="F622" s="1665">
        <v>747010231</v>
      </c>
      <c r="G622" s="1665">
        <v>762293393</v>
      </c>
      <c r="H622" s="1665">
        <v>747010231</v>
      </c>
    </row>
    <row r="623" spans="1:8">
      <c r="A623" t="s">
        <v>82</v>
      </c>
      <c r="B623" t="s">
        <v>7713</v>
      </c>
      <c r="C623" s="1665">
        <v>1501163707</v>
      </c>
      <c r="D623" s="1665">
        <v>1508567138</v>
      </c>
      <c r="E623" s="1665">
        <v>1500940766</v>
      </c>
      <c r="F623" s="1665">
        <v>1493537335</v>
      </c>
      <c r="G623" s="1665">
        <v>1500940766</v>
      </c>
      <c r="H623" s="1665">
        <v>1493537335</v>
      </c>
    </row>
    <row r="624" spans="1:8">
      <c r="A624" t="s">
        <v>83</v>
      </c>
      <c r="B624" t="s">
        <v>7714</v>
      </c>
      <c r="C624" s="1665">
        <v>3588211089</v>
      </c>
      <c r="D624" s="1665">
        <v>3634790091</v>
      </c>
      <c r="E624" s="1665">
        <v>3567986988</v>
      </c>
      <c r="F624" s="1665">
        <v>3521407986</v>
      </c>
      <c r="G624" s="1665">
        <v>3567986988</v>
      </c>
      <c r="H624" s="1665">
        <v>3521407986</v>
      </c>
    </row>
    <row r="625" spans="1:8">
      <c r="A625" t="s">
        <v>2284</v>
      </c>
      <c r="B625" t="s">
        <v>7715</v>
      </c>
      <c r="C625" s="1665">
        <v>10328129674</v>
      </c>
      <c r="D625" s="1665">
        <v>10623279300</v>
      </c>
      <c r="E625" s="1665">
        <v>10623279300</v>
      </c>
      <c r="F625" s="1665">
        <v>10328129674</v>
      </c>
      <c r="G625" s="1665">
        <v>10623279300</v>
      </c>
      <c r="H625" s="1665">
        <v>10328129674</v>
      </c>
    </row>
    <row r="626" spans="1:8">
      <c r="A626" t="s">
        <v>2410</v>
      </c>
      <c r="B626" t="s">
        <v>7716</v>
      </c>
      <c r="C626" s="1665">
        <v>228426517</v>
      </c>
      <c r="D626" s="1665">
        <v>233648768</v>
      </c>
      <c r="E626" s="1665">
        <v>233648768</v>
      </c>
      <c r="F626" s="1665">
        <v>228426517</v>
      </c>
      <c r="G626" s="1665">
        <v>233648768</v>
      </c>
      <c r="H626" s="1665">
        <v>228426517</v>
      </c>
    </row>
    <row r="627" spans="1:8">
      <c r="A627" t="s">
        <v>2411</v>
      </c>
      <c r="B627" t="s">
        <v>7717</v>
      </c>
      <c r="C627" s="1665">
        <v>376860324</v>
      </c>
      <c r="D627" s="1665">
        <v>391681828</v>
      </c>
      <c r="E627" s="1665">
        <v>391681828</v>
      </c>
      <c r="F627" s="1665">
        <v>376860324</v>
      </c>
      <c r="G627" s="1665">
        <v>391681828</v>
      </c>
      <c r="H627" s="1665">
        <v>376860324</v>
      </c>
    </row>
    <row r="628" spans="1:8">
      <c r="A628" t="s">
        <v>2104</v>
      </c>
      <c r="B628" t="s">
        <v>7718</v>
      </c>
      <c r="C628" s="1665">
        <v>2876414792</v>
      </c>
      <c r="D628" s="1665">
        <v>2942221780</v>
      </c>
      <c r="E628" s="1665">
        <v>2942221780</v>
      </c>
      <c r="F628" s="1665">
        <v>2876414792</v>
      </c>
      <c r="G628" s="1665">
        <v>2942221780</v>
      </c>
      <c r="H628" s="1665">
        <v>2876414792</v>
      </c>
    </row>
    <row r="629" spans="1:8">
      <c r="A629" t="s">
        <v>1423</v>
      </c>
      <c r="B629" t="s">
        <v>7719</v>
      </c>
      <c r="C629" s="1665">
        <v>3783109061</v>
      </c>
      <c r="D629" s="1665">
        <v>3871435221</v>
      </c>
      <c r="E629" s="1665">
        <v>3871435221</v>
      </c>
      <c r="F629" s="1665">
        <v>3783109061</v>
      </c>
      <c r="G629" s="1665">
        <v>3871435221</v>
      </c>
      <c r="H629" s="1665">
        <v>3783109061</v>
      </c>
    </row>
    <row r="630" spans="1:8">
      <c r="A630" t="s">
        <v>2412</v>
      </c>
      <c r="B630" t="s">
        <v>7720</v>
      </c>
      <c r="C630" s="1665">
        <v>218404041</v>
      </c>
      <c r="D630" s="1665">
        <v>225893453</v>
      </c>
      <c r="E630" s="1665">
        <v>225893453</v>
      </c>
      <c r="F630" s="1665">
        <v>218404041</v>
      </c>
      <c r="G630" s="1665">
        <v>225893453</v>
      </c>
      <c r="H630" s="1665">
        <v>218404041</v>
      </c>
    </row>
    <row r="631" spans="1:8">
      <c r="A631" t="s">
        <v>496</v>
      </c>
      <c r="B631" t="s">
        <v>7721</v>
      </c>
      <c r="C631" s="1665">
        <v>287681368</v>
      </c>
      <c r="D631" s="1665">
        <v>297573862</v>
      </c>
      <c r="E631" s="1665">
        <v>297573862</v>
      </c>
      <c r="F631" s="1665">
        <v>287681368</v>
      </c>
      <c r="G631" s="1665">
        <v>297573862</v>
      </c>
      <c r="H631" s="1665">
        <v>287681368</v>
      </c>
    </row>
    <row r="632" spans="1:8">
      <c r="A632" t="s">
        <v>677</v>
      </c>
      <c r="B632" t="s">
        <v>7722</v>
      </c>
      <c r="C632" s="1665">
        <v>238782695</v>
      </c>
      <c r="D632" s="1665">
        <v>246788024</v>
      </c>
      <c r="E632" s="1665">
        <v>246788024</v>
      </c>
      <c r="F632" s="1665">
        <v>238782695</v>
      </c>
      <c r="G632" s="1665">
        <v>246788024</v>
      </c>
      <c r="H632" s="1665">
        <v>238782695</v>
      </c>
    </row>
    <row r="633" spans="1:8">
      <c r="A633" t="s">
        <v>2347</v>
      </c>
      <c r="B633" t="s">
        <v>7723</v>
      </c>
      <c r="C633" s="1665">
        <v>94254376</v>
      </c>
      <c r="D633" s="1665">
        <v>96278556</v>
      </c>
      <c r="E633" s="1665">
        <v>96278556</v>
      </c>
      <c r="F633" s="1665">
        <v>94254376</v>
      </c>
      <c r="G633" s="1665">
        <v>323657796</v>
      </c>
      <c r="H633" s="1665">
        <v>321633616</v>
      </c>
    </row>
    <row r="634" spans="1:8">
      <c r="A634" t="s">
        <v>2348</v>
      </c>
      <c r="B634" t="s">
        <v>7724</v>
      </c>
      <c r="C634" s="1665">
        <v>119834597</v>
      </c>
      <c r="D634" s="1665">
        <v>125307887</v>
      </c>
      <c r="E634" s="1665">
        <v>125307887</v>
      </c>
      <c r="F634" s="1665">
        <v>119834597</v>
      </c>
      <c r="G634" s="1665">
        <v>125307887</v>
      </c>
      <c r="H634" s="1665">
        <v>119834597</v>
      </c>
    </row>
    <row r="635" spans="1:8">
      <c r="A635" t="s">
        <v>2349</v>
      </c>
      <c r="B635" t="s">
        <v>7725</v>
      </c>
      <c r="C635" s="1665">
        <v>79271593</v>
      </c>
      <c r="D635" s="1665">
        <v>81352803</v>
      </c>
      <c r="E635" s="1665">
        <v>81352803</v>
      </c>
      <c r="F635" s="1665">
        <v>79271593</v>
      </c>
      <c r="G635" s="1665">
        <v>81352803</v>
      </c>
      <c r="H635" s="1665">
        <v>79271593</v>
      </c>
    </row>
    <row r="636" spans="1:8">
      <c r="A636" t="s">
        <v>1464</v>
      </c>
      <c r="B636" t="s">
        <v>7726</v>
      </c>
      <c r="C636" s="1665">
        <v>41486139</v>
      </c>
      <c r="D636" s="1665">
        <v>42998199</v>
      </c>
      <c r="E636" s="1665">
        <v>42998199</v>
      </c>
      <c r="F636" s="1665">
        <v>41486139</v>
      </c>
      <c r="G636" s="1665">
        <v>42998199</v>
      </c>
      <c r="H636" s="1665">
        <v>41486139</v>
      </c>
    </row>
    <row r="637" spans="1:8">
      <c r="A637" t="s">
        <v>2091</v>
      </c>
      <c r="B637" t="s">
        <v>7727</v>
      </c>
      <c r="C637" s="1665">
        <v>756982997</v>
      </c>
      <c r="D637" s="1665">
        <v>777476264</v>
      </c>
      <c r="E637" s="1665">
        <v>777476264</v>
      </c>
      <c r="F637" s="1665">
        <v>756982997</v>
      </c>
      <c r="G637" s="1665">
        <v>777476264</v>
      </c>
      <c r="H637" s="1665">
        <v>756982997</v>
      </c>
    </row>
    <row r="638" spans="1:8">
      <c r="A638" t="s">
        <v>1465</v>
      </c>
      <c r="B638" t="s">
        <v>7728</v>
      </c>
      <c r="C638" s="1665">
        <v>215814987</v>
      </c>
      <c r="D638" s="1665">
        <v>219715953</v>
      </c>
      <c r="E638" s="1665">
        <v>219715953</v>
      </c>
      <c r="F638" s="1665">
        <v>215814987</v>
      </c>
      <c r="G638" s="1665">
        <v>219715953</v>
      </c>
      <c r="H638" s="1665">
        <v>215814987</v>
      </c>
    </row>
    <row r="639" spans="1:8">
      <c r="A639" t="s">
        <v>382</v>
      </c>
      <c r="B639" t="s">
        <v>7729</v>
      </c>
      <c r="C639" s="1665">
        <v>631788097</v>
      </c>
      <c r="D639" s="1665">
        <v>653880177</v>
      </c>
      <c r="E639" s="1665">
        <v>643642347</v>
      </c>
      <c r="F639" s="1665">
        <v>621550267</v>
      </c>
      <c r="G639" s="1665">
        <v>643642347</v>
      </c>
      <c r="H639" s="1665">
        <v>621550267</v>
      </c>
    </row>
    <row r="640" spans="1:8">
      <c r="A640" t="s">
        <v>383</v>
      </c>
      <c r="B640" t="s">
        <v>7730</v>
      </c>
      <c r="C640" s="1665">
        <v>2009293780</v>
      </c>
      <c r="D640" s="1665">
        <v>2017949636</v>
      </c>
      <c r="E640" s="1665">
        <v>2012243907</v>
      </c>
      <c r="F640" s="1665">
        <v>2003588051</v>
      </c>
      <c r="G640" s="1665">
        <v>2107172947</v>
      </c>
      <c r="H640" s="1665">
        <v>2098517091</v>
      </c>
    </row>
    <row r="641" spans="1:8">
      <c r="A641" t="s">
        <v>384</v>
      </c>
      <c r="B641" t="s">
        <v>7731</v>
      </c>
      <c r="C641" s="1665">
        <v>1494673548</v>
      </c>
      <c r="D641" s="1665">
        <v>1495825588</v>
      </c>
      <c r="E641" s="1665">
        <v>1494617613</v>
      </c>
      <c r="F641" s="1665">
        <v>1493465573</v>
      </c>
      <c r="G641" s="1665">
        <v>1497780503</v>
      </c>
      <c r="H641" s="1665">
        <v>1496628463</v>
      </c>
    </row>
    <row r="642" spans="1:8">
      <c r="A642" t="s">
        <v>1655</v>
      </c>
      <c r="B642" t="s">
        <v>7732</v>
      </c>
      <c r="C642" s="1665">
        <v>367459300</v>
      </c>
      <c r="D642" s="1665">
        <v>378760520</v>
      </c>
      <c r="E642" s="1665">
        <v>378760520</v>
      </c>
      <c r="F642" s="1665">
        <v>367459300</v>
      </c>
      <c r="G642" s="1665">
        <v>378760520</v>
      </c>
      <c r="H642" s="1665">
        <v>367459300</v>
      </c>
    </row>
    <row r="643" spans="1:8">
      <c r="A643" t="s">
        <v>1656</v>
      </c>
      <c r="B643" t="s">
        <v>7733</v>
      </c>
      <c r="C643" s="1665">
        <v>1214930955</v>
      </c>
      <c r="D643" s="1665">
        <v>1249462986</v>
      </c>
      <c r="E643" s="1665">
        <v>1249462986</v>
      </c>
      <c r="F643" s="1665">
        <v>1214930955</v>
      </c>
      <c r="G643" s="1665">
        <v>1249462986</v>
      </c>
      <c r="H643" s="1665">
        <v>1214930955</v>
      </c>
    </row>
    <row r="644" spans="1:8">
      <c r="A644" t="s">
        <v>173</v>
      </c>
      <c r="B644" t="s">
        <v>7734</v>
      </c>
      <c r="C644" s="1665">
        <v>1146470600</v>
      </c>
      <c r="D644" s="1665">
        <v>1154267392</v>
      </c>
      <c r="E644" s="1665">
        <v>1145269624</v>
      </c>
      <c r="F644" s="1665">
        <v>1137472832</v>
      </c>
      <c r="G644" s="1665">
        <v>1145269624</v>
      </c>
      <c r="H644" s="1665">
        <v>1137472832</v>
      </c>
    </row>
    <row r="645" spans="1:8">
      <c r="A645" t="s">
        <v>2128</v>
      </c>
      <c r="B645" t="s">
        <v>7735</v>
      </c>
      <c r="C645" s="1665">
        <v>283952222</v>
      </c>
      <c r="D645" s="1665">
        <v>286717897</v>
      </c>
      <c r="E645" s="1665">
        <v>281268653</v>
      </c>
      <c r="F645" s="1665">
        <v>278502978</v>
      </c>
      <c r="G645" s="1665">
        <v>281268653</v>
      </c>
      <c r="H645" s="1665">
        <v>278502978</v>
      </c>
    </row>
    <row r="646" spans="1:8">
      <c r="A646" t="s">
        <v>2129</v>
      </c>
      <c r="B646" t="s">
        <v>7736</v>
      </c>
      <c r="C646" s="1665">
        <v>1271056473</v>
      </c>
      <c r="D646" s="1665">
        <v>1284459030</v>
      </c>
      <c r="E646" s="1665">
        <v>1268123629</v>
      </c>
      <c r="F646" s="1665">
        <v>1254721072</v>
      </c>
      <c r="G646" s="1665">
        <v>1268123629</v>
      </c>
      <c r="H646" s="1665">
        <v>1254721072</v>
      </c>
    </row>
    <row r="647" spans="1:8">
      <c r="A647" t="s">
        <v>2130</v>
      </c>
      <c r="B647" t="s">
        <v>7737</v>
      </c>
      <c r="C647" s="1665">
        <v>601822658</v>
      </c>
      <c r="D647" s="1665">
        <v>614927607</v>
      </c>
      <c r="E647" s="1665">
        <v>596534454</v>
      </c>
      <c r="F647" s="1665">
        <v>583429505</v>
      </c>
      <c r="G647" s="1665">
        <v>1472903454</v>
      </c>
      <c r="H647" s="1665">
        <v>1459798505</v>
      </c>
    </row>
    <row r="648" spans="1:8">
      <c r="A648" t="s">
        <v>1813</v>
      </c>
      <c r="B648" t="s">
        <v>7738</v>
      </c>
      <c r="C648" s="1665">
        <v>2303440565</v>
      </c>
      <c r="D648" s="1665">
        <v>2384813783</v>
      </c>
      <c r="E648" s="1665">
        <v>2384813783</v>
      </c>
      <c r="F648" s="1665">
        <v>2303440565</v>
      </c>
      <c r="G648" s="1665">
        <v>2384813783</v>
      </c>
      <c r="H648" s="1665">
        <v>2303440565</v>
      </c>
    </row>
    <row r="649" spans="1:8">
      <c r="A649" t="s">
        <v>880</v>
      </c>
      <c r="B649" t="s">
        <v>7739</v>
      </c>
      <c r="C649" s="1665">
        <v>444396313</v>
      </c>
      <c r="D649" s="1665">
        <v>458713593</v>
      </c>
      <c r="E649" s="1665">
        <v>458713593</v>
      </c>
      <c r="F649" s="1665">
        <v>444396313</v>
      </c>
      <c r="G649" s="1665">
        <v>458713593</v>
      </c>
      <c r="H649" s="1665">
        <v>444396313</v>
      </c>
    </row>
    <row r="650" spans="1:8">
      <c r="A650" t="s">
        <v>1403</v>
      </c>
      <c r="B650" t="s">
        <v>7740</v>
      </c>
      <c r="C650" s="1665">
        <v>66204054</v>
      </c>
      <c r="D650" s="1665">
        <v>68582614</v>
      </c>
      <c r="E650" s="1665">
        <v>68582614</v>
      </c>
      <c r="F650" s="1665">
        <v>66204054</v>
      </c>
      <c r="G650" s="1665">
        <v>68582614</v>
      </c>
      <c r="H650" s="1665">
        <v>66204054</v>
      </c>
    </row>
    <row r="651" spans="1:8">
      <c r="A651" t="s">
        <v>1988</v>
      </c>
      <c r="B651" t="s">
        <v>7741</v>
      </c>
      <c r="C651" s="1665">
        <v>28306228</v>
      </c>
      <c r="D651" s="1665">
        <v>28931028</v>
      </c>
      <c r="E651" s="1665">
        <v>28931028</v>
      </c>
      <c r="F651" s="1665">
        <v>28306228</v>
      </c>
      <c r="G651" s="1665">
        <v>28931028</v>
      </c>
      <c r="H651" s="1665">
        <v>28306228</v>
      </c>
    </row>
    <row r="652" spans="1:8">
      <c r="A652" t="s">
        <v>968</v>
      </c>
      <c r="B652" t="s">
        <v>7742</v>
      </c>
      <c r="C652" s="1665">
        <v>183146058</v>
      </c>
      <c r="D652" s="1665">
        <v>190165363</v>
      </c>
      <c r="E652" s="1665">
        <v>190165363</v>
      </c>
      <c r="F652" s="1665">
        <v>183146058</v>
      </c>
      <c r="G652" s="1665">
        <v>190165363</v>
      </c>
      <c r="H652" s="1665">
        <v>183146058</v>
      </c>
    </row>
    <row r="653" spans="1:8">
      <c r="A653" t="s">
        <v>900</v>
      </c>
      <c r="B653" t="s">
        <v>7249</v>
      </c>
      <c r="C653" s="1665">
        <v>4857816926</v>
      </c>
      <c r="D653" s="1665">
        <v>4966684326</v>
      </c>
      <c r="E653" s="1665">
        <v>4966684326</v>
      </c>
      <c r="F653" s="1665">
        <v>4857816926</v>
      </c>
      <c r="G653" s="1665">
        <v>4966684326</v>
      </c>
      <c r="H653" s="1665">
        <v>4857816926</v>
      </c>
    </row>
    <row r="654" spans="1:8">
      <c r="A654" t="s">
        <v>702</v>
      </c>
      <c r="B654" t="s">
        <v>7743</v>
      </c>
      <c r="C654" s="1665">
        <v>805563095</v>
      </c>
      <c r="D654" s="1665">
        <v>826399216</v>
      </c>
      <c r="E654" s="1665">
        <v>826399216</v>
      </c>
      <c r="F654" s="1665">
        <v>805563095</v>
      </c>
      <c r="G654" s="1665">
        <v>826399216</v>
      </c>
      <c r="H654" s="1665">
        <v>805563095</v>
      </c>
    </row>
    <row r="655" spans="1:8">
      <c r="A655" t="s">
        <v>969</v>
      </c>
      <c r="B655" t="s">
        <v>7744</v>
      </c>
      <c r="C655" s="1665">
        <v>479179504</v>
      </c>
      <c r="D655" s="1665">
        <v>500056021</v>
      </c>
      <c r="E655" s="1665">
        <v>500056021</v>
      </c>
      <c r="F655" s="1665">
        <v>479179504</v>
      </c>
      <c r="G655" s="1665">
        <v>500056021</v>
      </c>
      <c r="H655" s="1665">
        <v>479179504</v>
      </c>
    </row>
    <row r="656" spans="1:8">
      <c r="A656" t="s">
        <v>1835</v>
      </c>
      <c r="B656" t="s">
        <v>7745</v>
      </c>
      <c r="C656" s="1665">
        <v>132212945</v>
      </c>
      <c r="D656" s="1665">
        <v>138547235</v>
      </c>
      <c r="E656" s="1665">
        <v>138547235</v>
      </c>
      <c r="F656" s="1665">
        <v>132212945</v>
      </c>
      <c r="G656" s="1665">
        <v>138547235</v>
      </c>
      <c r="H656" s="1665">
        <v>132212945</v>
      </c>
    </row>
    <row r="657" spans="1:8">
      <c r="A657" t="s">
        <v>1542</v>
      </c>
      <c r="B657" t="s">
        <v>7746</v>
      </c>
      <c r="C657" s="1665">
        <v>419018748</v>
      </c>
      <c r="D657" s="1665">
        <v>431724706</v>
      </c>
      <c r="E657" s="1665">
        <v>431724706</v>
      </c>
      <c r="F657" s="1665">
        <v>419018748</v>
      </c>
      <c r="G657" s="1665">
        <v>431724706</v>
      </c>
      <c r="H657" s="1665">
        <v>419018748</v>
      </c>
    </row>
    <row r="658" spans="1:8">
      <c r="A658" t="s">
        <v>113</v>
      </c>
      <c r="B658" t="s">
        <v>7747</v>
      </c>
      <c r="C658" s="1665">
        <v>181598266</v>
      </c>
      <c r="D658" s="1665">
        <v>191108205</v>
      </c>
      <c r="E658" s="1665">
        <v>191108205</v>
      </c>
      <c r="F658" s="1665">
        <v>181598266</v>
      </c>
      <c r="G658" s="1665">
        <v>191108205</v>
      </c>
      <c r="H658" s="1665">
        <v>181598266</v>
      </c>
    </row>
    <row r="659" spans="1:8">
      <c r="A659" t="s">
        <v>2086</v>
      </c>
      <c r="B659" t="s">
        <v>7748</v>
      </c>
      <c r="C659" s="1665">
        <v>421999716</v>
      </c>
      <c r="D659" s="1665">
        <v>427351391</v>
      </c>
      <c r="E659" s="1665">
        <v>424275993</v>
      </c>
      <c r="F659" s="1665">
        <v>418924318</v>
      </c>
      <c r="G659" s="1665">
        <v>424275993</v>
      </c>
      <c r="H659" s="1665">
        <v>418924318</v>
      </c>
    </row>
    <row r="660" spans="1:8">
      <c r="A660" t="s">
        <v>341</v>
      </c>
      <c r="B660" t="s">
        <v>7749</v>
      </c>
      <c r="C660" s="1665">
        <v>5123912412</v>
      </c>
      <c r="D660" s="1665">
        <v>5265166462</v>
      </c>
      <c r="E660" s="1665">
        <v>5265166462</v>
      </c>
      <c r="F660" s="1665">
        <v>5123912412</v>
      </c>
      <c r="G660" s="1665">
        <v>5265166462</v>
      </c>
      <c r="H660" s="1665">
        <v>5123912412</v>
      </c>
    </row>
    <row r="661" spans="1:8">
      <c r="A661" t="s">
        <v>344</v>
      </c>
      <c r="B661" t="s">
        <v>7750</v>
      </c>
      <c r="C661" s="1665">
        <v>423190108</v>
      </c>
      <c r="D661" s="1665">
        <v>442818962</v>
      </c>
      <c r="E661" s="1665">
        <v>442818962</v>
      </c>
      <c r="F661" s="1665">
        <v>423190108</v>
      </c>
      <c r="G661" s="1665">
        <v>442818962</v>
      </c>
      <c r="H661" s="1665">
        <v>423190108</v>
      </c>
    </row>
    <row r="662" spans="1:8">
      <c r="A662" t="s">
        <v>2460</v>
      </c>
      <c r="B662" t="s">
        <v>7751</v>
      </c>
      <c r="C662" s="1665">
        <v>132578685</v>
      </c>
      <c r="D662" s="1665">
        <v>140383810</v>
      </c>
      <c r="E662" s="1665">
        <v>140383810</v>
      </c>
      <c r="F662" s="1665">
        <v>132578685</v>
      </c>
      <c r="G662" s="1665">
        <v>140383810</v>
      </c>
      <c r="H662" s="1665">
        <v>132578685</v>
      </c>
    </row>
    <row r="663" spans="1:8">
      <c r="A663" t="s">
        <v>2461</v>
      </c>
      <c r="B663" t="s">
        <v>7752</v>
      </c>
      <c r="C663" s="1665">
        <v>174781343</v>
      </c>
      <c r="D663" s="1665">
        <v>183886362</v>
      </c>
      <c r="E663" s="1665">
        <v>183886362</v>
      </c>
      <c r="F663" s="1665">
        <v>174781343</v>
      </c>
      <c r="G663" s="1665">
        <v>183886362</v>
      </c>
      <c r="H663" s="1665">
        <v>174781343</v>
      </c>
    </row>
    <row r="664" spans="1:8">
      <c r="A664" t="s">
        <v>72</v>
      </c>
      <c r="B664" t="s">
        <v>7753</v>
      </c>
      <c r="C664" s="1665">
        <v>805057025</v>
      </c>
      <c r="D664" s="1665">
        <v>837304269</v>
      </c>
      <c r="E664" s="1665">
        <v>837304269</v>
      </c>
      <c r="F664" s="1665">
        <v>805057025</v>
      </c>
      <c r="G664" s="1665">
        <v>837304269</v>
      </c>
      <c r="H664" s="1665">
        <v>805057025</v>
      </c>
    </row>
    <row r="665" spans="1:8">
      <c r="A665" t="s">
        <v>2310</v>
      </c>
      <c r="B665" t="s">
        <v>7754</v>
      </c>
      <c r="C665" s="1665">
        <v>659805476</v>
      </c>
      <c r="D665" s="1665">
        <v>684222003</v>
      </c>
      <c r="E665" s="1665">
        <v>684222003</v>
      </c>
      <c r="F665" s="1665">
        <v>659805476</v>
      </c>
      <c r="G665" s="1665">
        <v>684222003</v>
      </c>
      <c r="H665" s="1665">
        <v>659805476</v>
      </c>
    </row>
    <row r="666" spans="1:8">
      <c r="A666" t="s">
        <v>164</v>
      </c>
      <c r="B666" t="s">
        <v>7755</v>
      </c>
      <c r="C666" s="1665">
        <v>642783401</v>
      </c>
      <c r="D666" s="1665">
        <v>673409408</v>
      </c>
      <c r="E666" s="1665">
        <v>673409408</v>
      </c>
      <c r="F666" s="1665">
        <v>642783401</v>
      </c>
      <c r="G666" s="1665">
        <v>673409408</v>
      </c>
      <c r="H666" s="1665">
        <v>642783401</v>
      </c>
    </row>
    <row r="667" spans="1:8">
      <c r="A667" t="s">
        <v>879</v>
      </c>
      <c r="B667" t="s">
        <v>7756</v>
      </c>
      <c r="C667" s="1665">
        <v>163729099</v>
      </c>
      <c r="D667" s="1665">
        <v>169334679</v>
      </c>
      <c r="E667" s="1665">
        <v>169334679</v>
      </c>
      <c r="F667" s="1665">
        <v>163729099</v>
      </c>
      <c r="G667" s="1665">
        <v>169334679</v>
      </c>
      <c r="H667" s="1665">
        <v>163729099</v>
      </c>
    </row>
    <row r="668" spans="1:8">
      <c r="A668" t="s">
        <v>1837</v>
      </c>
      <c r="B668" t="s">
        <v>7757</v>
      </c>
      <c r="C668" s="1665">
        <v>69356707</v>
      </c>
      <c r="D668" s="1665">
        <v>72483872</v>
      </c>
      <c r="E668" s="1665">
        <v>72483872</v>
      </c>
      <c r="F668" s="1665">
        <v>69356707</v>
      </c>
      <c r="G668" s="1665">
        <v>72483872</v>
      </c>
      <c r="H668" s="1665">
        <v>69356707</v>
      </c>
    </row>
    <row r="669" spans="1:8">
      <c r="A669" t="s">
        <v>258</v>
      </c>
      <c r="B669" t="s">
        <v>7758</v>
      </c>
      <c r="C669" s="1665">
        <v>45712161</v>
      </c>
      <c r="D669" s="1665">
        <v>48903926</v>
      </c>
      <c r="E669" s="1665">
        <v>48903926</v>
      </c>
      <c r="F669" s="1665">
        <v>45712161</v>
      </c>
      <c r="G669" s="1665">
        <v>48903926</v>
      </c>
      <c r="H669" s="1665">
        <v>45712161</v>
      </c>
    </row>
    <row r="670" spans="1:8">
      <c r="A670" t="s">
        <v>1585</v>
      </c>
      <c r="B670" t="s">
        <v>7759</v>
      </c>
      <c r="C670" s="1665">
        <v>2244884896</v>
      </c>
      <c r="D670" s="1665">
        <v>2246271694</v>
      </c>
      <c r="E670" s="1665">
        <v>2244464235</v>
      </c>
      <c r="F670" s="1665">
        <v>2243077437</v>
      </c>
      <c r="G670" s="1665">
        <v>2244464235</v>
      </c>
      <c r="H670" s="1665">
        <v>2243077437</v>
      </c>
    </row>
    <row r="671" spans="1:8">
      <c r="A671" t="s">
        <v>1134</v>
      </c>
      <c r="B671" t="s">
        <v>7760</v>
      </c>
      <c r="C671" s="1665">
        <v>427102689</v>
      </c>
      <c r="D671" s="1665">
        <v>446864355</v>
      </c>
      <c r="E671" s="1665">
        <v>446864355</v>
      </c>
      <c r="F671" s="1665">
        <v>427102689</v>
      </c>
      <c r="G671" s="1665">
        <v>446864355</v>
      </c>
      <c r="H671" s="1665">
        <v>427102689</v>
      </c>
    </row>
    <row r="672" spans="1:8">
      <c r="A672" t="s">
        <v>1989</v>
      </c>
      <c r="B672" t="s">
        <v>7761</v>
      </c>
      <c r="C672" s="1665">
        <v>196132686</v>
      </c>
      <c r="D672" s="1665">
        <v>199286505</v>
      </c>
      <c r="E672" s="1665">
        <v>199286505</v>
      </c>
      <c r="F672" s="1665">
        <v>196132686</v>
      </c>
      <c r="G672" s="1665">
        <v>199286505</v>
      </c>
      <c r="H672" s="1665">
        <v>196132686</v>
      </c>
    </row>
    <row r="673" spans="1:8">
      <c r="A673" t="s">
        <v>920</v>
      </c>
      <c r="B673" t="s">
        <v>7762</v>
      </c>
      <c r="C673" s="1665">
        <v>202923573</v>
      </c>
      <c r="D673" s="1665">
        <v>214076197</v>
      </c>
      <c r="E673" s="1665">
        <v>214076197</v>
      </c>
      <c r="F673" s="1665">
        <v>202923573</v>
      </c>
      <c r="G673" s="1665">
        <v>214076197</v>
      </c>
      <c r="H673" s="1665">
        <v>202923573</v>
      </c>
    </row>
    <row r="674" spans="1:8">
      <c r="A674" t="s">
        <v>171</v>
      </c>
      <c r="B674" t="s">
        <v>7763</v>
      </c>
      <c r="C674" s="1665">
        <v>715145172</v>
      </c>
      <c r="D674" s="1665">
        <v>737413832</v>
      </c>
      <c r="E674" s="1665">
        <v>737413832</v>
      </c>
      <c r="F674" s="1665">
        <v>715145172</v>
      </c>
      <c r="G674" s="1665">
        <v>737413832</v>
      </c>
      <c r="H674" s="1665">
        <v>715145172</v>
      </c>
    </row>
    <row r="675" spans="1:8">
      <c r="A675" t="s">
        <v>2531</v>
      </c>
      <c r="B675" t="s">
        <v>7764</v>
      </c>
      <c r="C675" s="1665">
        <v>1689265122</v>
      </c>
      <c r="D675" s="1665">
        <v>1744157509</v>
      </c>
      <c r="E675" s="1665">
        <v>1744157509</v>
      </c>
      <c r="F675" s="1665">
        <v>1689265122</v>
      </c>
      <c r="G675" s="1665">
        <v>1744157509</v>
      </c>
      <c r="H675" s="1665">
        <v>1689265122</v>
      </c>
    </row>
    <row r="676" spans="1:8">
      <c r="A676" t="s">
        <v>2583</v>
      </c>
      <c r="B676" t="s">
        <v>7765</v>
      </c>
      <c r="C676" s="1665">
        <v>180292936</v>
      </c>
      <c r="D676" s="1665">
        <v>185035346</v>
      </c>
      <c r="E676" s="1665">
        <v>185035346</v>
      </c>
      <c r="F676" s="1665">
        <v>180292936</v>
      </c>
      <c r="G676" s="1665">
        <v>185035346</v>
      </c>
      <c r="H676" s="1665">
        <v>180292936</v>
      </c>
    </row>
    <row r="677" spans="1:8">
      <c r="A677" t="s">
        <v>2534</v>
      </c>
      <c r="B677" t="s">
        <v>7766</v>
      </c>
      <c r="C677" s="1665">
        <v>21538070794</v>
      </c>
      <c r="D677" s="1665">
        <v>21816185606</v>
      </c>
      <c r="E677" s="1665">
        <v>21484868421</v>
      </c>
      <c r="F677" s="1665">
        <v>21206753609</v>
      </c>
      <c r="G677" s="1665">
        <v>21484868421</v>
      </c>
      <c r="H677" s="1665">
        <v>21206753609</v>
      </c>
    </row>
    <row r="678" spans="1:8">
      <c r="A678" t="s">
        <v>1300</v>
      </c>
      <c r="B678" t="s">
        <v>7767</v>
      </c>
      <c r="C678" s="1665">
        <v>1581397085</v>
      </c>
      <c r="D678" s="1665">
        <v>1596652848</v>
      </c>
      <c r="E678" s="1665">
        <v>1555841524</v>
      </c>
      <c r="F678" s="1665">
        <v>1540585761</v>
      </c>
      <c r="G678" s="1665">
        <v>1555841524</v>
      </c>
      <c r="H678" s="1665">
        <v>1540585761</v>
      </c>
    </row>
    <row r="679" spans="1:8">
      <c r="A679" t="s">
        <v>1887</v>
      </c>
      <c r="B679" t="s">
        <v>7768</v>
      </c>
      <c r="C679" s="1665">
        <v>359360313</v>
      </c>
      <c r="D679" s="1665">
        <v>374729080</v>
      </c>
      <c r="E679" s="1665">
        <v>374729080</v>
      </c>
      <c r="F679" s="1665">
        <v>359360313</v>
      </c>
      <c r="G679" s="1665">
        <v>374729080</v>
      </c>
      <c r="H679" s="1665">
        <v>359360313</v>
      </c>
    </row>
    <row r="680" spans="1:8">
      <c r="A680" t="s">
        <v>1360</v>
      </c>
      <c r="B680" t="s">
        <v>7769</v>
      </c>
      <c r="C680" s="1665">
        <v>69969763</v>
      </c>
      <c r="D680" s="1665">
        <v>72187604</v>
      </c>
      <c r="E680" s="1665">
        <v>72187604</v>
      </c>
      <c r="F680" s="1665">
        <v>69969763</v>
      </c>
      <c r="G680" s="1665">
        <v>72187604</v>
      </c>
      <c r="H680" s="1665">
        <v>69969763</v>
      </c>
    </row>
    <row r="681" spans="1:8">
      <c r="A681" t="s">
        <v>2535</v>
      </c>
      <c r="B681" t="s">
        <v>7770</v>
      </c>
      <c r="C681" s="1665">
        <v>107264149</v>
      </c>
      <c r="D681" s="1665">
        <v>110736865</v>
      </c>
      <c r="E681" s="1665">
        <v>110736865</v>
      </c>
      <c r="F681" s="1665">
        <v>107264149</v>
      </c>
      <c r="G681" s="1665">
        <v>110736865</v>
      </c>
      <c r="H681" s="1665">
        <v>107264149</v>
      </c>
    </row>
    <row r="682" spans="1:8">
      <c r="A682" t="s">
        <v>2197</v>
      </c>
      <c r="B682" t="s">
        <v>7771</v>
      </c>
      <c r="C682" s="1665">
        <v>706444975</v>
      </c>
      <c r="D682" s="1665">
        <v>724025792</v>
      </c>
      <c r="E682" s="1665">
        <v>724025792</v>
      </c>
      <c r="F682" s="1665">
        <v>706444975</v>
      </c>
      <c r="G682" s="1665">
        <v>724025792</v>
      </c>
      <c r="H682" s="1665">
        <v>706444975</v>
      </c>
    </row>
    <row r="683" spans="1:8">
      <c r="A683" t="s">
        <v>930</v>
      </c>
      <c r="B683" t="s">
        <v>7772</v>
      </c>
      <c r="C683" s="1665">
        <v>153411026</v>
      </c>
      <c r="D683" s="1665">
        <v>160216415</v>
      </c>
      <c r="E683" s="1665">
        <v>160216415</v>
      </c>
      <c r="F683" s="1665">
        <v>153411026</v>
      </c>
      <c r="G683" s="1665">
        <v>160216415</v>
      </c>
      <c r="H683" s="1665">
        <v>153411026</v>
      </c>
    </row>
    <row r="684" spans="1:8">
      <c r="A684" t="s">
        <v>375</v>
      </c>
      <c r="B684" t="s">
        <v>7773</v>
      </c>
      <c r="C684" s="1665">
        <v>33637030</v>
      </c>
      <c r="D684" s="1665">
        <v>34880565</v>
      </c>
      <c r="E684" s="1665">
        <v>34880565</v>
      </c>
      <c r="F684" s="1665">
        <v>33637030</v>
      </c>
      <c r="G684" s="1665">
        <v>34880565</v>
      </c>
      <c r="H684" s="1665">
        <v>33637030</v>
      </c>
    </row>
    <row r="685" spans="1:8">
      <c r="A685" t="s">
        <v>1264</v>
      </c>
      <c r="B685" t="s">
        <v>7774</v>
      </c>
      <c r="C685" s="1665">
        <v>231905598</v>
      </c>
      <c r="D685" s="1665">
        <v>240602613</v>
      </c>
      <c r="E685" s="1665">
        <v>240602613</v>
      </c>
      <c r="F685" s="1665">
        <v>231905598</v>
      </c>
      <c r="G685" s="1665">
        <v>388737753</v>
      </c>
      <c r="H685" s="1665">
        <v>380040738</v>
      </c>
    </row>
    <row r="686" spans="1:8">
      <c r="A686" t="s">
        <v>2671</v>
      </c>
      <c r="B686" t="s">
        <v>7775</v>
      </c>
      <c r="C686" s="1665">
        <v>84970133</v>
      </c>
      <c r="D686" s="1665">
        <v>87229603</v>
      </c>
      <c r="E686" s="1665">
        <v>87229603</v>
      </c>
      <c r="F686" s="1665">
        <v>84970133</v>
      </c>
      <c r="G686" s="1665">
        <v>101883333</v>
      </c>
      <c r="H686" s="1665">
        <v>99623863</v>
      </c>
    </row>
    <row r="687" spans="1:8">
      <c r="A687" t="s">
        <v>1990</v>
      </c>
      <c r="B687" t="s">
        <v>7776</v>
      </c>
      <c r="C687" s="1665">
        <v>21984212</v>
      </c>
      <c r="D687" s="1665">
        <v>22975060</v>
      </c>
      <c r="E687" s="1665">
        <v>22975060</v>
      </c>
      <c r="F687" s="1665">
        <v>21984212</v>
      </c>
      <c r="G687" s="1665">
        <v>22975060</v>
      </c>
      <c r="H687" s="1665">
        <v>21984212</v>
      </c>
    </row>
    <row r="688" spans="1:8">
      <c r="A688" t="s">
        <v>2673</v>
      </c>
      <c r="B688" t="s">
        <v>7777</v>
      </c>
      <c r="C688" s="1665">
        <v>425556843</v>
      </c>
      <c r="D688" s="1665">
        <v>435761837</v>
      </c>
      <c r="E688" s="1665">
        <v>435761837</v>
      </c>
      <c r="F688" s="1665">
        <v>425556843</v>
      </c>
      <c r="G688" s="1665">
        <v>435761837</v>
      </c>
      <c r="H688" s="1665">
        <v>425556843</v>
      </c>
    </row>
    <row r="689" spans="1:8">
      <c r="A689" t="s">
        <v>2674</v>
      </c>
      <c r="B689" t="s">
        <v>7778</v>
      </c>
      <c r="C689" s="1665">
        <v>94491936</v>
      </c>
      <c r="D689" s="1665">
        <v>96439033</v>
      </c>
      <c r="E689" s="1665">
        <v>96439033</v>
      </c>
      <c r="F689" s="1665">
        <v>94491936</v>
      </c>
      <c r="G689" s="1665">
        <v>204449893</v>
      </c>
      <c r="H689" s="1665">
        <v>202502796</v>
      </c>
    </row>
    <row r="690" spans="1:8">
      <c r="A690" t="s">
        <v>1486</v>
      </c>
      <c r="B690" t="s">
        <v>7779</v>
      </c>
      <c r="C690" s="1665">
        <v>265858362</v>
      </c>
      <c r="D690" s="1665">
        <v>267916895</v>
      </c>
      <c r="E690" s="1665">
        <v>267916895</v>
      </c>
      <c r="F690" s="1665">
        <v>265858362</v>
      </c>
      <c r="G690" s="1665">
        <v>267916895</v>
      </c>
      <c r="H690" s="1665">
        <v>265858362</v>
      </c>
    </row>
    <row r="691" spans="1:8">
      <c r="A691" t="s">
        <v>1318</v>
      </c>
      <c r="B691" t="s">
        <v>7780</v>
      </c>
      <c r="C691" s="1665">
        <v>905468379</v>
      </c>
      <c r="D691" s="1665">
        <v>929123208</v>
      </c>
      <c r="E691" s="1665">
        <v>929123208</v>
      </c>
      <c r="F691" s="1665">
        <v>905468379</v>
      </c>
      <c r="G691" s="1665">
        <v>929123208</v>
      </c>
      <c r="H691" s="1665">
        <v>905468379</v>
      </c>
    </row>
    <row r="692" spans="1:8">
      <c r="A692" t="s">
        <v>1432</v>
      </c>
      <c r="B692" t="s">
        <v>7781</v>
      </c>
      <c r="C692" s="1665">
        <v>230692553</v>
      </c>
      <c r="D692" s="1665">
        <v>240500400</v>
      </c>
      <c r="E692" s="1665">
        <v>240500400</v>
      </c>
      <c r="F692" s="1665">
        <v>230692553</v>
      </c>
      <c r="G692" s="1665">
        <v>240500400</v>
      </c>
      <c r="H692" s="1665">
        <v>230692553</v>
      </c>
    </row>
    <row r="693" spans="1:8">
      <c r="A693" t="s">
        <v>804</v>
      </c>
      <c r="B693" t="s">
        <v>7782</v>
      </c>
      <c r="C693" s="1665">
        <v>103382062</v>
      </c>
      <c r="D693" s="1665">
        <v>104928292</v>
      </c>
      <c r="E693" s="1665">
        <v>104928292</v>
      </c>
      <c r="F693" s="1665">
        <v>103382062</v>
      </c>
      <c r="G693" s="1665">
        <v>104928292</v>
      </c>
      <c r="H693" s="1665">
        <v>103382062</v>
      </c>
    </row>
    <row r="694" spans="1:8">
      <c r="A694" t="s">
        <v>1495</v>
      </c>
      <c r="B694" t="s">
        <v>7783</v>
      </c>
      <c r="C694" s="1665">
        <v>33164998</v>
      </c>
      <c r="D694" s="1665">
        <v>34575888</v>
      </c>
      <c r="E694" s="1665">
        <v>34575888</v>
      </c>
      <c r="F694" s="1665">
        <v>33164998</v>
      </c>
      <c r="G694" s="1665">
        <v>34575888</v>
      </c>
      <c r="H694" s="1665">
        <v>33164998</v>
      </c>
    </row>
    <row r="695" spans="1:8">
      <c r="A695" t="s">
        <v>1496</v>
      </c>
      <c r="B695" t="s">
        <v>7784</v>
      </c>
      <c r="C695" s="1665">
        <v>83695041</v>
      </c>
      <c r="D695" s="1665">
        <v>85265222</v>
      </c>
      <c r="E695" s="1665">
        <v>85265222</v>
      </c>
      <c r="F695" s="1665">
        <v>83695041</v>
      </c>
      <c r="G695" s="1665">
        <v>85265222</v>
      </c>
      <c r="H695" s="1665">
        <v>83695041</v>
      </c>
    </row>
    <row r="696" spans="1:8">
      <c r="A696" t="s">
        <v>1272</v>
      </c>
      <c r="B696" t="s">
        <v>7785</v>
      </c>
      <c r="C696" s="1665">
        <v>219645387</v>
      </c>
      <c r="D696" s="1665">
        <v>222350507</v>
      </c>
      <c r="E696" s="1665">
        <v>222350507</v>
      </c>
      <c r="F696" s="1665">
        <v>219645387</v>
      </c>
      <c r="G696" s="1665">
        <v>222350507</v>
      </c>
      <c r="H696" s="1665">
        <v>219645387</v>
      </c>
    </row>
    <row r="697" spans="1:8">
      <c r="A697" t="s">
        <v>1531</v>
      </c>
      <c r="B697" t="s">
        <v>7786</v>
      </c>
      <c r="C697" s="1665">
        <v>185266320</v>
      </c>
      <c r="D697" s="1665">
        <v>189095767</v>
      </c>
      <c r="E697" s="1665">
        <v>189095767</v>
      </c>
      <c r="F697" s="1665">
        <v>185266320</v>
      </c>
      <c r="G697" s="1665">
        <v>189095767</v>
      </c>
      <c r="H697" s="1665">
        <v>185266320</v>
      </c>
    </row>
    <row r="698" spans="1:8">
      <c r="A698" t="s">
        <v>2311</v>
      </c>
      <c r="B698" t="s">
        <v>7787</v>
      </c>
      <c r="C698" s="1665">
        <v>33605366665</v>
      </c>
      <c r="D698" s="1665">
        <v>34231454546</v>
      </c>
      <c r="E698" s="1665">
        <v>34231454546</v>
      </c>
      <c r="F698" s="1665">
        <v>33605366665</v>
      </c>
      <c r="G698" s="1665">
        <v>34231454546</v>
      </c>
      <c r="H698" s="1665">
        <v>33605366665</v>
      </c>
    </row>
    <row r="699" spans="1:8">
      <c r="A699" t="s">
        <v>1532</v>
      </c>
      <c r="B699" t="s">
        <v>7788</v>
      </c>
      <c r="C699" s="1665">
        <v>5537848300</v>
      </c>
      <c r="D699" s="1665">
        <v>5665208728</v>
      </c>
      <c r="E699" s="1665">
        <v>5665208728</v>
      </c>
      <c r="F699" s="1665">
        <v>5537848300</v>
      </c>
      <c r="G699" s="1665">
        <v>5665208728</v>
      </c>
      <c r="H699" s="1665">
        <v>5537848300</v>
      </c>
    </row>
    <row r="700" spans="1:8">
      <c r="A700" t="s">
        <v>1182</v>
      </c>
      <c r="B700" t="s">
        <v>7789</v>
      </c>
      <c r="C700" s="1665">
        <v>3328986540</v>
      </c>
      <c r="D700" s="1665">
        <v>3421731598</v>
      </c>
      <c r="E700" s="1665">
        <v>3421731598</v>
      </c>
      <c r="F700" s="1665">
        <v>3328986540</v>
      </c>
      <c r="G700" s="1665">
        <v>3421731598</v>
      </c>
      <c r="H700" s="1665">
        <v>3328986540</v>
      </c>
    </row>
    <row r="701" spans="1:8">
      <c r="A701" t="s">
        <v>346</v>
      </c>
      <c r="B701" t="s">
        <v>7790</v>
      </c>
      <c r="C701" s="1665">
        <v>5744300479</v>
      </c>
      <c r="D701" s="1665">
        <v>5883789348</v>
      </c>
      <c r="E701" s="1665">
        <v>5883789348</v>
      </c>
      <c r="F701" s="1665">
        <v>5744300479</v>
      </c>
      <c r="G701" s="1665">
        <v>5883789348</v>
      </c>
      <c r="H701" s="1665">
        <v>5744300479</v>
      </c>
    </row>
    <row r="702" spans="1:8">
      <c r="A702" t="s">
        <v>1508</v>
      </c>
      <c r="B702" t="s">
        <v>7791</v>
      </c>
      <c r="C702" s="1665">
        <v>715293305</v>
      </c>
      <c r="D702" s="1665">
        <v>742641518</v>
      </c>
      <c r="E702" s="1665">
        <v>742641518</v>
      </c>
      <c r="F702" s="1665">
        <v>715293305</v>
      </c>
      <c r="G702" s="1665">
        <v>742641518</v>
      </c>
      <c r="H702" s="1665">
        <v>715293305</v>
      </c>
    </row>
    <row r="703" spans="1:8">
      <c r="A703" t="s">
        <v>703</v>
      </c>
      <c r="B703" t="s">
        <v>7792</v>
      </c>
      <c r="C703" s="1665">
        <v>3828972380</v>
      </c>
      <c r="D703" s="1665">
        <v>3934379663</v>
      </c>
      <c r="E703" s="1665">
        <v>3934379663</v>
      </c>
      <c r="F703" s="1665">
        <v>3828972380</v>
      </c>
      <c r="G703" s="1665">
        <v>3934379663</v>
      </c>
      <c r="H703" s="1665">
        <v>3828972380</v>
      </c>
    </row>
    <row r="704" spans="1:8">
      <c r="A704" t="s">
        <v>1868</v>
      </c>
      <c r="B704" t="s">
        <v>7793</v>
      </c>
      <c r="C704" s="1665">
        <v>1823860097</v>
      </c>
      <c r="D704" s="1665">
        <v>1854503820</v>
      </c>
      <c r="E704" s="1665">
        <v>1843570975</v>
      </c>
      <c r="F704" s="1665">
        <v>1812927252</v>
      </c>
      <c r="G704" s="1665">
        <v>1843570975</v>
      </c>
      <c r="H704" s="1665">
        <v>1812927252</v>
      </c>
    </row>
    <row r="705" spans="1:8">
      <c r="A705" t="s">
        <v>1869</v>
      </c>
      <c r="B705" t="s">
        <v>7794</v>
      </c>
      <c r="C705" s="1665">
        <v>254576254</v>
      </c>
      <c r="D705" s="1665">
        <v>258528333</v>
      </c>
      <c r="E705" s="1665">
        <v>258528333</v>
      </c>
      <c r="F705" s="1665">
        <v>254576254</v>
      </c>
      <c r="G705" s="1665">
        <v>261193333</v>
      </c>
      <c r="H705" s="1665">
        <v>257241254</v>
      </c>
    </row>
    <row r="706" spans="1:8">
      <c r="A706" t="s">
        <v>1870</v>
      </c>
      <c r="B706" t="s">
        <v>7795</v>
      </c>
      <c r="C706" s="1665">
        <v>778761240</v>
      </c>
      <c r="D706" s="1665">
        <v>798410217</v>
      </c>
      <c r="E706" s="1665">
        <v>798410217</v>
      </c>
      <c r="F706" s="1665">
        <v>778761240</v>
      </c>
      <c r="G706" s="1665">
        <v>798410217</v>
      </c>
      <c r="H706" s="1665">
        <v>778761240</v>
      </c>
    </row>
    <row r="707" spans="1:8">
      <c r="A707" t="s">
        <v>1871</v>
      </c>
      <c r="B707" t="s">
        <v>7796</v>
      </c>
      <c r="C707" s="1665">
        <v>268022695</v>
      </c>
      <c r="D707" s="1665">
        <v>282458666</v>
      </c>
      <c r="E707" s="1665">
        <v>282458666</v>
      </c>
      <c r="F707" s="1665">
        <v>268022695</v>
      </c>
      <c r="G707" s="1665">
        <v>282458666</v>
      </c>
      <c r="H707" s="1665">
        <v>268022695</v>
      </c>
    </row>
    <row r="708" spans="1:8">
      <c r="A708" t="s">
        <v>2353</v>
      </c>
      <c r="B708" t="s">
        <v>7797</v>
      </c>
      <c r="C708" s="1665">
        <v>112656956</v>
      </c>
      <c r="D708" s="1665">
        <v>115116386</v>
      </c>
      <c r="E708" s="1665">
        <v>115116386</v>
      </c>
      <c r="F708" s="1665">
        <v>112656956</v>
      </c>
      <c r="G708" s="1665">
        <v>115116386</v>
      </c>
      <c r="H708" s="1665">
        <v>112656956</v>
      </c>
    </row>
    <row r="709" spans="1:8">
      <c r="A709" t="s">
        <v>704</v>
      </c>
      <c r="B709" t="s">
        <v>7798</v>
      </c>
      <c r="C709" s="1665">
        <v>114554540</v>
      </c>
      <c r="D709" s="1665">
        <v>118387020</v>
      </c>
      <c r="E709" s="1665">
        <v>115025340</v>
      </c>
      <c r="F709" s="1665">
        <v>111192860</v>
      </c>
      <c r="G709" s="1665">
        <v>115025340</v>
      </c>
      <c r="H709" s="1665">
        <v>111192860</v>
      </c>
    </row>
    <row r="710" spans="1:8">
      <c r="A710" t="s">
        <v>524</v>
      </c>
      <c r="B710" t="s">
        <v>7799</v>
      </c>
      <c r="C710" s="1665">
        <v>219444558</v>
      </c>
      <c r="D710" s="1665">
        <v>226468278</v>
      </c>
      <c r="E710" s="1665">
        <v>219943898</v>
      </c>
      <c r="F710" s="1665">
        <v>212920178</v>
      </c>
      <c r="G710" s="1665">
        <v>513534218</v>
      </c>
      <c r="H710" s="1665">
        <v>506510498</v>
      </c>
    </row>
    <row r="711" spans="1:8">
      <c r="A711" t="s">
        <v>705</v>
      </c>
      <c r="B711" t="s">
        <v>7800</v>
      </c>
      <c r="C711" s="1665">
        <v>150129700</v>
      </c>
      <c r="D711" s="1665">
        <v>156289150</v>
      </c>
      <c r="E711" s="1665">
        <v>149741750</v>
      </c>
      <c r="F711" s="1665">
        <v>143582300</v>
      </c>
      <c r="G711" s="1665">
        <v>149741750</v>
      </c>
      <c r="H711" s="1665">
        <v>143582300</v>
      </c>
    </row>
    <row r="712" spans="1:8">
      <c r="A712" t="s">
        <v>525</v>
      </c>
      <c r="B712" t="s">
        <v>7801</v>
      </c>
      <c r="C712" s="1665">
        <v>2049770517</v>
      </c>
      <c r="D712" s="1665">
        <v>2119979487</v>
      </c>
      <c r="E712" s="1665">
        <v>2018747102</v>
      </c>
      <c r="F712" s="1665">
        <v>1948538132</v>
      </c>
      <c r="G712" s="1665">
        <v>2018747102</v>
      </c>
      <c r="H712" s="1665">
        <v>1948538132</v>
      </c>
    </row>
    <row r="713" spans="1:8">
      <c r="A713" t="s">
        <v>376</v>
      </c>
      <c r="B713" t="s">
        <v>7802</v>
      </c>
      <c r="C713" s="1665">
        <v>142451966</v>
      </c>
      <c r="D713" s="1665">
        <v>148901716</v>
      </c>
      <c r="E713" s="1665">
        <v>142041916</v>
      </c>
      <c r="F713" s="1665">
        <v>135592166</v>
      </c>
      <c r="G713" s="1665">
        <v>142041916</v>
      </c>
      <c r="H713" s="1665">
        <v>135592166</v>
      </c>
    </row>
    <row r="714" spans="1:8">
      <c r="A714" t="s">
        <v>526</v>
      </c>
      <c r="B714" t="s">
        <v>7803</v>
      </c>
      <c r="C714" s="1665">
        <v>130221525</v>
      </c>
      <c r="D714" s="1665">
        <v>137902975</v>
      </c>
      <c r="E714" s="1665">
        <v>127743935</v>
      </c>
      <c r="F714" s="1665">
        <v>120062485</v>
      </c>
      <c r="G714" s="1665">
        <v>127743935</v>
      </c>
      <c r="H714" s="1665">
        <v>120062485</v>
      </c>
    </row>
    <row r="715" spans="1:8">
      <c r="A715" t="s">
        <v>527</v>
      </c>
      <c r="B715" t="s">
        <v>7804</v>
      </c>
      <c r="C715" s="1665">
        <v>76598817</v>
      </c>
      <c r="D715" s="1665">
        <v>79657597</v>
      </c>
      <c r="E715" s="1665">
        <v>76303382</v>
      </c>
      <c r="F715" s="1665">
        <v>73244602</v>
      </c>
      <c r="G715" s="1665">
        <v>76303382</v>
      </c>
      <c r="H715" s="1665">
        <v>73244602</v>
      </c>
    </row>
    <row r="716" spans="1:8">
      <c r="A716" t="s">
        <v>774</v>
      </c>
      <c r="B716" t="s">
        <v>7805</v>
      </c>
      <c r="C716" s="1665">
        <v>64779833</v>
      </c>
      <c r="D716" s="1665">
        <v>68487003</v>
      </c>
      <c r="E716" s="1665">
        <v>65009388</v>
      </c>
      <c r="F716" s="1665">
        <v>61302218</v>
      </c>
      <c r="G716" s="1665">
        <v>65009388</v>
      </c>
      <c r="H716" s="1665">
        <v>61302218</v>
      </c>
    </row>
    <row r="717" spans="1:8">
      <c r="A717" t="s">
        <v>528</v>
      </c>
      <c r="B717" t="s">
        <v>7806</v>
      </c>
      <c r="C717" s="1665">
        <v>155761270</v>
      </c>
      <c r="D717" s="1665">
        <v>161279980</v>
      </c>
      <c r="E717" s="1665">
        <v>152480280</v>
      </c>
      <c r="F717" s="1665">
        <v>146961570</v>
      </c>
      <c r="G717" s="1665">
        <v>152480280</v>
      </c>
      <c r="H717" s="1665">
        <v>146961570</v>
      </c>
    </row>
    <row r="718" spans="1:8">
      <c r="A718" t="s">
        <v>529</v>
      </c>
      <c r="B718" t="s">
        <v>7807</v>
      </c>
      <c r="C718" s="1665">
        <v>187271099</v>
      </c>
      <c r="D718" s="1665">
        <v>196778608</v>
      </c>
      <c r="E718" s="1665">
        <v>196778608</v>
      </c>
      <c r="F718" s="1665">
        <v>187271099</v>
      </c>
      <c r="G718" s="1665">
        <v>196778608</v>
      </c>
      <c r="H718" s="1665">
        <v>187271099</v>
      </c>
    </row>
    <row r="719" spans="1:8">
      <c r="A719" t="s">
        <v>2400</v>
      </c>
      <c r="B719" t="s">
        <v>7808</v>
      </c>
      <c r="C719" s="1665">
        <v>1542442927</v>
      </c>
      <c r="D719" s="1665">
        <v>1593633645</v>
      </c>
      <c r="E719" s="1665">
        <v>1593633645</v>
      </c>
      <c r="F719" s="1665">
        <v>1542442927</v>
      </c>
      <c r="G719" s="1665">
        <v>1593633645</v>
      </c>
      <c r="H719" s="1665">
        <v>1542442927</v>
      </c>
    </row>
    <row r="720" spans="1:8">
      <c r="A720" t="s">
        <v>2407</v>
      </c>
      <c r="B720" t="s">
        <v>7319</v>
      </c>
      <c r="C720" s="1665">
        <v>146449644</v>
      </c>
      <c r="D720" s="1665">
        <v>152675443</v>
      </c>
      <c r="E720" s="1665">
        <v>152675443</v>
      </c>
      <c r="F720" s="1665">
        <v>146449644</v>
      </c>
      <c r="G720" s="1665">
        <v>152675443</v>
      </c>
      <c r="H720" s="1665">
        <v>146449644</v>
      </c>
    </row>
    <row r="721" spans="1:8">
      <c r="A721" t="s">
        <v>19</v>
      </c>
      <c r="B721" t="s">
        <v>7809</v>
      </c>
      <c r="C721" s="1665">
        <v>117309135</v>
      </c>
      <c r="D721" s="1665">
        <v>120960888</v>
      </c>
      <c r="E721" s="1665">
        <v>120960888</v>
      </c>
      <c r="F721" s="1665">
        <v>117309135</v>
      </c>
      <c r="G721" s="1665">
        <v>120960888</v>
      </c>
      <c r="H721" s="1665">
        <v>117309135</v>
      </c>
    </row>
    <row r="722" spans="1:8">
      <c r="A722" t="s">
        <v>706</v>
      </c>
      <c r="B722" t="s">
        <v>7810</v>
      </c>
      <c r="C722" s="1665">
        <v>255573405</v>
      </c>
      <c r="D722" s="1665">
        <v>263377208</v>
      </c>
      <c r="E722" s="1665">
        <v>263377208</v>
      </c>
      <c r="F722" s="1665">
        <v>255573405</v>
      </c>
      <c r="G722" s="1665">
        <v>263377208</v>
      </c>
      <c r="H722" s="1665">
        <v>255573405</v>
      </c>
    </row>
    <row r="723" spans="1:8">
      <c r="A723" t="s">
        <v>20</v>
      </c>
      <c r="B723" t="s">
        <v>7811</v>
      </c>
      <c r="C723" s="1665">
        <v>409131524</v>
      </c>
      <c r="D723" s="1665">
        <v>417760015</v>
      </c>
      <c r="E723" s="1665">
        <v>417760015</v>
      </c>
      <c r="F723" s="1665">
        <v>409131524</v>
      </c>
      <c r="G723" s="1665">
        <v>417760015</v>
      </c>
      <c r="H723" s="1665">
        <v>409131524</v>
      </c>
    </row>
    <row r="724" spans="1:8">
      <c r="A724" t="s">
        <v>2085</v>
      </c>
      <c r="B724" t="s">
        <v>7812</v>
      </c>
      <c r="C724" s="1665">
        <v>127513811</v>
      </c>
      <c r="D724" s="1665">
        <v>132273362</v>
      </c>
      <c r="E724" s="1665">
        <v>132273362</v>
      </c>
      <c r="F724" s="1665">
        <v>127513811</v>
      </c>
      <c r="G724" s="1665">
        <v>132273362</v>
      </c>
      <c r="H724" s="1665">
        <v>127513811</v>
      </c>
    </row>
    <row r="725" spans="1:8">
      <c r="A725" t="s">
        <v>21</v>
      </c>
      <c r="B725" t="s">
        <v>7813</v>
      </c>
      <c r="C725" s="1665">
        <v>198202805</v>
      </c>
      <c r="D725" s="1665">
        <v>203814741</v>
      </c>
      <c r="E725" s="1665">
        <v>197938497</v>
      </c>
      <c r="F725" s="1665">
        <v>192326561</v>
      </c>
      <c r="G725" s="1665">
        <v>197938497</v>
      </c>
      <c r="H725" s="1665">
        <v>192326561</v>
      </c>
    </row>
    <row r="726" spans="1:8">
      <c r="A726" t="s">
        <v>1021</v>
      </c>
      <c r="B726" t="s">
        <v>7814</v>
      </c>
      <c r="C726" s="1665">
        <v>251613809</v>
      </c>
      <c r="D726" s="1665">
        <v>264841216</v>
      </c>
      <c r="E726" s="1665">
        <v>253169002</v>
      </c>
      <c r="F726" s="1665">
        <v>239941595</v>
      </c>
      <c r="G726" s="1665">
        <v>253169002</v>
      </c>
      <c r="H726" s="1665">
        <v>239941595</v>
      </c>
    </row>
    <row r="727" spans="1:8">
      <c r="A727" t="s">
        <v>1991</v>
      </c>
      <c r="B727" t="s">
        <v>7815</v>
      </c>
      <c r="C727" s="1665">
        <v>566032858</v>
      </c>
      <c r="D727" s="1665">
        <v>572626163</v>
      </c>
      <c r="E727" s="1665">
        <v>565687263</v>
      </c>
      <c r="F727" s="1665">
        <v>559093958</v>
      </c>
      <c r="G727" s="1665">
        <v>565687263</v>
      </c>
      <c r="H727" s="1665">
        <v>559093958</v>
      </c>
    </row>
    <row r="728" spans="1:8">
      <c r="A728" t="s">
        <v>1543</v>
      </c>
      <c r="B728" t="s">
        <v>7816</v>
      </c>
      <c r="C728" s="1665">
        <v>171292000</v>
      </c>
      <c r="D728" s="1665">
        <v>175168760</v>
      </c>
      <c r="E728" s="1665">
        <v>175168760</v>
      </c>
      <c r="F728" s="1665">
        <v>171292000</v>
      </c>
      <c r="G728" s="1665">
        <v>378984770</v>
      </c>
      <c r="H728" s="1665">
        <v>375108010</v>
      </c>
    </row>
    <row r="729" spans="1:8">
      <c r="A729" t="s">
        <v>1878</v>
      </c>
      <c r="B729" t="s">
        <v>7817</v>
      </c>
      <c r="C729" s="1665">
        <v>732375034</v>
      </c>
      <c r="D729" s="1665">
        <v>755955384</v>
      </c>
      <c r="E729" s="1665">
        <v>755955384</v>
      </c>
      <c r="F729" s="1665">
        <v>732375034</v>
      </c>
      <c r="G729" s="1665">
        <v>755955384</v>
      </c>
      <c r="H729" s="1665">
        <v>732375034</v>
      </c>
    </row>
    <row r="730" spans="1:8">
      <c r="A730" t="s">
        <v>2309</v>
      </c>
      <c r="B730" t="s">
        <v>7818</v>
      </c>
      <c r="C730" s="1665">
        <v>573175688</v>
      </c>
      <c r="D730" s="1665">
        <v>575340479</v>
      </c>
      <c r="E730" s="1665">
        <v>575340479</v>
      </c>
      <c r="F730" s="1665">
        <v>573175688</v>
      </c>
      <c r="G730" s="1665">
        <v>651652259</v>
      </c>
      <c r="H730" s="1665">
        <v>649487468</v>
      </c>
    </row>
    <row r="731" spans="1:8">
      <c r="A731" t="s">
        <v>424</v>
      </c>
      <c r="B731" t="s">
        <v>7819</v>
      </c>
      <c r="C731" s="1665">
        <v>261678232</v>
      </c>
      <c r="D731" s="1665">
        <v>262578222</v>
      </c>
      <c r="E731" s="1665">
        <v>262578222</v>
      </c>
      <c r="F731" s="1665">
        <v>261678232</v>
      </c>
      <c r="G731" s="1665">
        <v>512412032</v>
      </c>
      <c r="H731" s="1665">
        <v>511512042</v>
      </c>
    </row>
    <row r="732" spans="1:8">
      <c r="A732" t="s">
        <v>2498</v>
      </c>
      <c r="B732" t="s">
        <v>7820</v>
      </c>
      <c r="C732" s="1665">
        <v>132190817</v>
      </c>
      <c r="D732" s="1665">
        <v>134790565</v>
      </c>
      <c r="E732" s="1665">
        <v>134790565</v>
      </c>
      <c r="F732" s="1665">
        <v>132190817</v>
      </c>
      <c r="G732" s="1665">
        <v>134790565</v>
      </c>
      <c r="H732" s="1665">
        <v>132190817</v>
      </c>
    </row>
    <row r="733" spans="1:8">
      <c r="A733" t="s">
        <v>1172</v>
      </c>
      <c r="B733" t="s">
        <v>7821</v>
      </c>
      <c r="C733" s="1665">
        <v>545204440</v>
      </c>
      <c r="D733" s="1665">
        <v>557458637</v>
      </c>
      <c r="E733" s="1665">
        <v>544163602</v>
      </c>
      <c r="F733" s="1665">
        <v>531909405</v>
      </c>
      <c r="G733" s="1665">
        <v>544163602</v>
      </c>
      <c r="H733" s="1665">
        <v>531909405</v>
      </c>
    </row>
    <row r="734" spans="1:8">
      <c r="A734" t="s">
        <v>1173</v>
      </c>
      <c r="B734" t="s">
        <v>7822</v>
      </c>
      <c r="C734" s="1665">
        <v>1493093344</v>
      </c>
      <c r="D734" s="1665">
        <v>1539642240</v>
      </c>
      <c r="E734" s="1665">
        <v>1539642240</v>
      </c>
      <c r="F734" s="1665">
        <v>1493093344</v>
      </c>
      <c r="G734" s="1665">
        <v>2116094480</v>
      </c>
      <c r="H734" s="1665">
        <v>2069545584</v>
      </c>
    </row>
    <row r="735" spans="1:8">
      <c r="A735" t="s">
        <v>2399</v>
      </c>
      <c r="B735" t="s">
        <v>7823</v>
      </c>
      <c r="C735" s="1665">
        <v>15192017976</v>
      </c>
      <c r="D735" s="1665">
        <v>15636579707</v>
      </c>
      <c r="E735" s="1665">
        <v>15636579707</v>
      </c>
      <c r="F735" s="1665">
        <v>15192017976</v>
      </c>
      <c r="G735" s="1665">
        <v>15637239837</v>
      </c>
      <c r="H735" s="1665">
        <v>15192678106</v>
      </c>
    </row>
    <row r="736" spans="1:8">
      <c r="A736" t="s">
        <v>570</v>
      </c>
      <c r="B736" t="s">
        <v>7824</v>
      </c>
      <c r="C736" s="1665">
        <v>87290249</v>
      </c>
      <c r="D736" s="1665">
        <v>89394725</v>
      </c>
      <c r="E736" s="1665">
        <v>89394725</v>
      </c>
      <c r="F736" s="1665">
        <v>87290249</v>
      </c>
      <c r="G736" s="1665">
        <v>89394725</v>
      </c>
      <c r="H736" s="1665">
        <v>87290249</v>
      </c>
    </row>
    <row r="737" spans="1:8">
      <c r="A737" t="s">
        <v>579</v>
      </c>
      <c r="B737" t="s">
        <v>7825</v>
      </c>
      <c r="C737" s="1665">
        <v>380110716</v>
      </c>
      <c r="D737" s="1665">
        <v>386456222</v>
      </c>
      <c r="E737" s="1665">
        <v>386456222</v>
      </c>
      <c r="F737" s="1665">
        <v>380110716</v>
      </c>
      <c r="G737" s="1665">
        <v>386456222</v>
      </c>
      <c r="H737" s="1665">
        <v>380110716</v>
      </c>
    </row>
    <row r="738" spans="1:8">
      <c r="A738" t="s">
        <v>580</v>
      </c>
      <c r="B738" t="s">
        <v>7826</v>
      </c>
      <c r="C738" s="1665">
        <v>2594508053</v>
      </c>
      <c r="D738" s="1665">
        <v>2605143719</v>
      </c>
      <c r="E738" s="1665">
        <v>2605143719</v>
      </c>
      <c r="F738" s="1665">
        <v>2594508053</v>
      </c>
      <c r="G738" s="1665">
        <v>2605143719</v>
      </c>
      <c r="H738" s="1665">
        <v>2594508053</v>
      </c>
    </row>
    <row r="739" spans="1:8">
      <c r="A739" t="s">
        <v>165</v>
      </c>
      <c r="B739" t="s">
        <v>7827</v>
      </c>
      <c r="C739" s="1665">
        <v>540203608</v>
      </c>
      <c r="D739" s="1665">
        <v>565360225</v>
      </c>
      <c r="E739" s="1665">
        <v>565360225</v>
      </c>
      <c r="F739" s="1665">
        <v>540203608</v>
      </c>
      <c r="G739" s="1665">
        <v>565360225</v>
      </c>
      <c r="H739" s="1665">
        <v>540203608</v>
      </c>
    </row>
    <row r="740" spans="1:8">
      <c r="A740" t="s">
        <v>767</v>
      </c>
      <c r="B740" t="s">
        <v>7828</v>
      </c>
      <c r="C740" s="1665">
        <v>2703798156</v>
      </c>
      <c r="D740" s="1665">
        <v>2728430217</v>
      </c>
      <c r="E740" s="1665">
        <v>2692728221</v>
      </c>
      <c r="F740" s="1665">
        <v>2668096160</v>
      </c>
      <c r="G740" s="1665">
        <v>3159366414</v>
      </c>
      <c r="H740" s="1665">
        <v>3134734353</v>
      </c>
    </row>
    <row r="741" spans="1:8">
      <c r="A741" t="s">
        <v>964</v>
      </c>
      <c r="B741" t="s">
        <v>7829</v>
      </c>
      <c r="C741" s="1665">
        <v>356330601</v>
      </c>
      <c r="D741" s="1665">
        <v>364820005</v>
      </c>
      <c r="E741" s="1665">
        <v>364820005</v>
      </c>
      <c r="F741" s="1665">
        <v>356330601</v>
      </c>
      <c r="G741" s="1665">
        <v>364820005</v>
      </c>
      <c r="H741" s="1665">
        <v>356330601</v>
      </c>
    </row>
    <row r="742" spans="1:8">
      <c r="A742" t="s">
        <v>2138</v>
      </c>
      <c r="B742" t="s">
        <v>7830</v>
      </c>
      <c r="C742" s="1665">
        <v>2986359288</v>
      </c>
      <c r="D742" s="1665">
        <v>3052882059</v>
      </c>
      <c r="E742" s="1665">
        <v>3052882059</v>
      </c>
      <c r="F742" s="1665">
        <v>2986359288</v>
      </c>
      <c r="G742" s="1665">
        <v>3052882059</v>
      </c>
      <c r="H742" s="1665">
        <v>2986359288</v>
      </c>
    </row>
    <row r="743" spans="1:8">
      <c r="A743" t="s">
        <v>2139</v>
      </c>
      <c r="B743" t="s">
        <v>7831</v>
      </c>
      <c r="C743" s="1665">
        <v>759998461</v>
      </c>
      <c r="D743" s="1665">
        <v>774052634</v>
      </c>
      <c r="E743" s="1665">
        <v>774052634</v>
      </c>
      <c r="F743" s="1665">
        <v>759998461</v>
      </c>
      <c r="G743" s="1665">
        <v>774052634</v>
      </c>
      <c r="H743" s="1665">
        <v>759998461</v>
      </c>
    </row>
    <row r="744" spans="1:8">
      <c r="A744" t="s">
        <v>209</v>
      </c>
      <c r="B744" t="s">
        <v>7832</v>
      </c>
      <c r="C744" s="1665">
        <v>1137198287</v>
      </c>
      <c r="D744" s="1665">
        <v>1155699896</v>
      </c>
      <c r="E744" s="1665">
        <v>1155699896</v>
      </c>
      <c r="F744" s="1665">
        <v>1137198287</v>
      </c>
      <c r="G744" s="1665">
        <v>1341419896</v>
      </c>
      <c r="H744" s="1665">
        <v>1322918287</v>
      </c>
    </row>
    <row r="745" spans="1:8">
      <c r="A745" t="s">
        <v>971</v>
      </c>
      <c r="B745" t="s">
        <v>7833</v>
      </c>
      <c r="C745" s="1665">
        <v>163328959</v>
      </c>
      <c r="D745" s="1665">
        <v>166257167</v>
      </c>
      <c r="E745" s="1665">
        <v>166257167</v>
      </c>
      <c r="F745" s="1665">
        <v>163328959</v>
      </c>
      <c r="G745" s="1665">
        <v>431168437</v>
      </c>
      <c r="H745" s="1665">
        <v>428240229</v>
      </c>
    </row>
    <row r="746" spans="1:8">
      <c r="A746" t="s">
        <v>972</v>
      </c>
      <c r="B746" t="s">
        <v>7834</v>
      </c>
      <c r="C746" s="1665">
        <v>55448206</v>
      </c>
      <c r="D746" s="1665">
        <v>56003725</v>
      </c>
      <c r="E746" s="1665">
        <v>56003725</v>
      </c>
      <c r="F746" s="1665">
        <v>55448206</v>
      </c>
      <c r="G746" s="1665">
        <v>311633605</v>
      </c>
      <c r="H746" s="1665">
        <v>311078086</v>
      </c>
    </row>
    <row r="747" spans="1:8">
      <c r="A747" t="s">
        <v>973</v>
      </c>
      <c r="B747" t="s">
        <v>7835</v>
      </c>
      <c r="C747" s="1665">
        <v>119648582</v>
      </c>
      <c r="D747" s="1665">
        <v>120337239</v>
      </c>
      <c r="E747" s="1665">
        <v>120337239</v>
      </c>
      <c r="F747" s="1665">
        <v>119648582</v>
      </c>
      <c r="G747" s="1665">
        <v>168130999</v>
      </c>
      <c r="H747" s="1665">
        <v>167442342</v>
      </c>
    </row>
    <row r="748" spans="1:8">
      <c r="A748" t="s">
        <v>1951</v>
      </c>
      <c r="B748" t="s">
        <v>7836</v>
      </c>
      <c r="C748" s="1665">
        <v>1041965956</v>
      </c>
      <c r="D748" s="1665">
        <v>1076904879</v>
      </c>
      <c r="E748" s="1665">
        <v>1076904879</v>
      </c>
      <c r="F748" s="1665">
        <v>1041965956</v>
      </c>
      <c r="G748" s="1665">
        <v>1076904879</v>
      </c>
      <c r="H748" s="1665">
        <v>1041965956</v>
      </c>
    </row>
    <row r="749" spans="1:8">
      <c r="A749" t="s">
        <v>974</v>
      </c>
      <c r="B749" t="s">
        <v>7837</v>
      </c>
      <c r="C749" s="1665">
        <v>593914362</v>
      </c>
      <c r="D749" s="1665">
        <v>615080135</v>
      </c>
      <c r="E749" s="1665">
        <v>581921994</v>
      </c>
      <c r="F749" s="1665">
        <v>560756221</v>
      </c>
      <c r="G749" s="1665">
        <v>581921994</v>
      </c>
      <c r="H749" s="1665">
        <v>560756221</v>
      </c>
    </row>
    <row r="750" spans="1:8">
      <c r="A750" t="s">
        <v>975</v>
      </c>
      <c r="B750" t="s">
        <v>7838</v>
      </c>
      <c r="C750" s="1665">
        <v>1828090939</v>
      </c>
      <c r="D750" s="1665">
        <v>1862580740</v>
      </c>
      <c r="E750" s="1665">
        <v>1831375127</v>
      </c>
      <c r="F750" s="1665">
        <v>1796885326</v>
      </c>
      <c r="G750" s="1665">
        <v>1831375127</v>
      </c>
      <c r="H750" s="1665">
        <v>1796885326</v>
      </c>
    </row>
    <row r="751" spans="1:8">
      <c r="A751" t="s">
        <v>1466</v>
      </c>
      <c r="B751" t="s">
        <v>7839</v>
      </c>
      <c r="C751" s="1665">
        <v>1112039332</v>
      </c>
      <c r="D751" s="1665">
        <v>1165494255</v>
      </c>
      <c r="E751" s="1665">
        <v>1123800380</v>
      </c>
      <c r="F751" s="1665">
        <v>1070345457</v>
      </c>
      <c r="G751" s="1665">
        <v>1123800380</v>
      </c>
      <c r="H751" s="1665">
        <v>1070345457</v>
      </c>
    </row>
    <row r="752" spans="1:8">
      <c r="A752" t="s">
        <v>1092</v>
      </c>
      <c r="B752" t="s">
        <v>7840</v>
      </c>
      <c r="C752" s="1665">
        <v>996389523</v>
      </c>
      <c r="D752" s="1665">
        <v>1043116897</v>
      </c>
      <c r="E752" s="1665">
        <v>994850147</v>
      </c>
      <c r="F752" s="1665">
        <v>948122773</v>
      </c>
      <c r="G752" s="1665">
        <v>994850147</v>
      </c>
      <c r="H752" s="1665">
        <v>948122773</v>
      </c>
    </row>
    <row r="753" spans="1:8">
      <c r="A753" t="s">
        <v>1093</v>
      </c>
      <c r="B753" t="s">
        <v>7841</v>
      </c>
      <c r="C753" s="1665">
        <v>159505956</v>
      </c>
      <c r="D753" s="1665">
        <v>162768536</v>
      </c>
      <c r="E753" s="1665">
        <v>162768536</v>
      </c>
      <c r="F753" s="1665">
        <v>159505956</v>
      </c>
      <c r="G753" s="1665">
        <v>162768536</v>
      </c>
      <c r="H753" s="1665">
        <v>159505956</v>
      </c>
    </row>
    <row r="754" spans="1:8">
      <c r="A754" t="s">
        <v>1094</v>
      </c>
      <c r="B754" t="s">
        <v>7842</v>
      </c>
      <c r="C754" s="1665">
        <v>952396214</v>
      </c>
      <c r="D754" s="1665">
        <v>957808247</v>
      </c>
      <c r="E754" s="1665">
        <v>957808247</v>
      </c>
      <c r="F754" s="1665">
        <v>952396214</v>
      </c>
      <c r="G754" s="1665">
        <v>957808247</v>
      </c>
      <c r="H754" s="1665">
        <v>952396214</v>
      </c>
    </row>
    <row r="755" spans="1:8">
      <c r="A755" t="s">
        <v>2537</v>
      </c>
      <c r="B755" t="s">
        <v>7843</v>
      </c>
      <c r="C755" s="1665">
        <v>766009063</v>
      </c>
      <c r="D755" s="1665">
        <v>800649642</v>
      </c>
      <c r="E755" s="1665">
        <v>800649642</v>
      </c>
      <c r="F755" s="1665">
        <v>766009063</v>
      </c>
      <c r="G755" s="1665">
        <v>800649642</v>
      </c>
      <c r="H755" s="1665">
        <v>766009063</v>
      </c>
    </row>
    <row r="756" spans="1:8">
      <c r="A756" t="s">
        <v>1353</v>
      </c>
      <c r="B756" t="s">
        <v>7844</v>
      </c>
      <c r="C756" s="1665">
        <v>270914911</v>
      </c>
      <c r="D756" s="1665">
        <v>279015483</v>
      </c>
      <c r="E756" s="1665">
        <v>279015483</v>
      </c>
      <c r="F756" s="1665">
        <v>270914911</v>
      </c>
      <c r="G756" s="1665">
        <v>279015483</v>
      </c>
      <c r="H756" s="1665">
        <v>270914911</v>
      </c>
    </row>
    <row r="757" spans="1:8">
      <c r="A757" t="s">
        <v>1354</v>
      </c>
      <c r="B757" t="s">
        <v>7845</v>
      </c>
      <c r="C757" s="1665">
        <v>52732793</v>
      </c>
      <c r="D757" s="1665">
        <v>54227702</v>
      </c>
      <c r="E757" s="1665">
        <v>54227702</v>
      </c>
      <c r="F757" s="1665">
        <v>52732793</v>
      </c>
      <c r="G757" s="1665">
        <v>54227702</v>
      </c>
      <c r="H757" s="1665">
        <v>52732793</v>
      </c>
    </row>
    <row r="758" spans="1:8">
      <c r="A758" t="s">
        <v>1355</v>
      </c>
      <c r="B758" t="s">
        <v>7846</v>
      </c>
      <c r="C758" s="1665">
        <v>513722553</v>
      </c>
      <c r="D758" s="1665">
        <v>516412453</v>
      </c>
      <c r="E758" s="1665">
        <v>507249276</v>
      </c>
      <c r="F758" s="1665">
        <v>504559376</v>
      </c>
      <c r="G758" s="1665">
        <v>507249276</v>
      </c>
      <c r="H758" s="1665">
        <v>504559376</v>
      </c>
    </row>
    <row r="759" spans="1:8">
      <c r="A759" t="s">
        <v>1356</v>
      </c>
      <c r="B759" t="s">
        <v>7847</v>
      </c>
      <c r="C759" s="1665">
        <v>374663915</v>
      </c>
      <c r="D759" s="1665">
        <v>380331735</v>
      </c>
      <c r="E759" s="1665">
        <v>373543560</v>
      </c>
      <c r="F759" s="1665">
        <v>367875740</v>
      </c>
      <c r="G759" s="1665">
        <v>373543560</v>
      </c>
      <c r="H759" s="1665">
        <v>367875740</v>
      </c>
    </row>
    <row r="760" spans="1:8">
      <c r="A760" t="s">
        <v>1357</v>
      </c>
      <c r="B760" t="s">
        <v>7848</v>
      </c>
      <c r="C760" s="1665">
        <v>2534903387</v>
      </c>
      <c r="D760" s="1665">
        <v>2573065097</v>
      </c>
      <c r="E760" s="1665">
        <v>2529241977</v>
      </c>
      <c r="F760" s="1665">
        <v>2491080267</v>
      </c>
      <c r="G760" s="1665">
        <v>2529241977</v>
      </c>
      <c r="H760" s="1665">
        <v>2491080267</v>
      </c>
    </row>
    <row r="761" spans="1:8">
      <c r="A761" t="s">
        <v>2579</v>
      </c>
      <c r="B761" t="s">
        <v>7849</v>
      </c>
      <c r="C761" s="1665">
        <v>146771540</v>
      </c>
      <c r="D761" s="1665">
        <v>151393280</v>
      </c>
      <c r="E761" s="1665">
        <v>146747810</v>
      </c>
      <c r="F761" s="1665">
        <v>142126070</v>
      </c>
      <c r="G761" s="1665">
        <v>146747810</v>
      </c>
      <c r="H761" s="1665">
        <v>142126070</v>
      </c>
    </row>
    <row r="762" spans="1:8">
      <c r="A762" t="s">
        <v>707</v>
      </c>
      <c r="B762" t="s">
        <v>7850</v>
      </c>
      <c r="C762" s="1665">
        <v>188700782</v>
      </c>
      <c r="D762" s="1665">
        <v>195042342</v>
      </c>
      <c r="E762" s="1665">
        <v>195042342</v>
      </c>
      <c r="F762" s="1665">
        <v>188700782</v>
      </c>
      <c r="G762" s="1665">
        <v>195042342</v>
      </c>
      <c r="H762" s="1665">
        <v>188700782</v>
      </c>
    </row>
    <row r="763" spans="1:8">
      <c r="A763" t="s">
        <v>1510</v>
      </c>
      <c r="B763" t="s">
        <v>7851</v>
      </c>
      <c r="C763" s="1665">
        <v>1023675082</v>
      </c>
      <c r="D763" s="1665">
        <v>1068369159</v>
      </c>
      <c r="E763" s="1665">
        <v>1068369159</v>
      </c>
      <c r="F763" s="1665">
        <v>1023675082</v>
      </c>
      <c r="G763" s="1665">
        <v>1068369159</v>
      </c>
      <c r="H763" s="1665">
        <v>1023675082</v>
      </c>
    </row>
    <row r="764" spans="1:8">
      <c r="A764" t="s">
        <v>1467</v>
      </c>
      <c r="B764" t="s">
        <v>7852</v>
      </c>
      <c r="C764" s="1665">
        <v>4093428292</v>
      </c>
      <c r="D764" s="1665">
        <v>4209366054</v>
      </c>
      <c r="E764" s="1665">
        <v>4209366054</v>
      </c>
      <c r="F764" s="1665">
        <v>4093428292</v>
      </c>
      <c r="G764" s="1665">
        <v>4209366054</v>
      </c>
      <c r="H764" s="1665">
        <v>4093428292</v>
      </c>
    </row>
    <row r="765" spans="1:8">
      <c r="A765" t="s">
        <v>2536</v>
      </c>
      <c r="B765" t="s">
        <v>7853</v>
      </c>
      <c r="C765" s="1665">
        <v>336584133</v>
      </c>
      <c r="D765" s="1665">
        <v>346690503</v>
      </c>
      <c r="E765" s="1665">
        <v>346690503</v>
      </c>
      <c r="F765" s="1665">
        <v>336584133</v>
      </c>
      <c r="G765" s="1665">
        <v>346690503</v>
      </c>
      <c r="H765" s="1665">
        <v>336584133</v>
      </c>
    </row>
    <row r="766" spans="1:8">
      <c r="A766" t="s">
        <v>1383</v>
      </c>
      <c r="B766" t="s">
        <v>7854</v>
      </c>
      <c r="C766" s="1665">
        <v>3169950410</v>
      </c>
      <c r="D766" s="1665">
        <v>3233804397</v>
      </c>
      <c r="E766" s="1665">
        <v>3233804397</v>
      </c>
      <c r="F766" s="1665">
        <v>3169950410</v>
      </c>
      <c r="G766" s="1665">
        <v>3233804397</v>
      </c>
      <c r="H766" s="1665">
        <v>3169950410</v>
      </c>
    </row>
    <row r="767" spans="1:8">
      <c r="A767" t="s">
        <v>208</v>
      </c>
      <c r="B767" t="s">
        <v>7855</v>
      </c>
      <c r="C767" s="1665">
        <v>316877741</v>
      </c>
      <c r="D767" s="1665">
        <v>327940156</v>
      </c>
      <c r="E767" s="1665">
        <v>327940156</v>
      </c>
      <c r="F767" s="1665">
        <v>316877741</v>
      </c>
      <c r="G767" s="1665">
        <v>327940156</v>
      </c>
      <c r="H767" s="1665">
        <v>316877741</v>
      </c>
    </row>
    <row r="768" spans="1:8">
      <c r="A768" t="s">
        <v>1877</v>
      </c>
      <c r="B768" t="s">
        <v>7856</v>
      </c>
      <c r="C768" s="1665">
        <v>580146182</v>
      </c>
      <c r="D768" s="1665">
        <v>593793015</v>
      </c>
      <c r="E768" s="1665">
        <v>593793015</v>
      </c>
      <c r="F768" s="1665">
        <v>580146182</v>
      </c>
      <c r="G768" s="1665">
        <v>593793015</v>
      </c>
      <c r="H768" s="1665">
        <v>580146182</v>
      </c>
    </row>
    <row r="769" spans="1:8">
      <c r="A769" t="s">
        <v>1634</v>
      </c>
      <c r="B769" t="s">
        <v>7857</v>
      </c>
      <c r="C769" s="1665">
        <v>163884694</v>
      </c>
      <c r="D769" s="1665">
        <v>167942834</v>
      </c>
      <c r="E769" s="1665">
        <v>167942834</v>
      </c>
      <c r="F769" s="1665">
        <v>163884694</v>
      </c>
      <c r="G769" s="1665">
        <v>167942834</v>
      </c>
      <c r="H769" s="1665">
        <v>163884694</v>
      </c>
    </row>
    <row r="770" spans="1:8">
      <c r="A770" t="s">
        <v>1635</v>
      </c>
      <c r="B770" t="s">
        <v>7858</v>
      </c>
      <c r="C770" s="1665">
        <v>101414813</v>
      </c>
      <c r="D770" s="1665">
        <v>104510850</v>
      </c>
      <c r="E770" s="1665">
        <v>104510850</v>
      </c>
      <c r="F770" s="1665">
        <v>101414813</v>
      </c>
      <c r="G770" s="1665">
        <v>122562445</v>
      </c>
      <c r="H770" s="1665">
        <v>119466408</v>
      </c>
    </row>
    <row r="771" spans="1:8">
      <c r="A771" t="s">
        <v>1636</v>
      </c>
      <c r="B771" t="s">
        <v>7859</v>
      </c>
      <c r="C771" s="1665">
        <v>165156785</v>
      </c>
      <c r="D771" s="1665">
        <v>169333009</v>
      </c>
      <c r="E771" s="1665">
        <v>169333009</v>
      </c>
      <c r="F771" s="1665">
        <v>165156785</v>
      </c>
      <c r="G771" s="1665">
        <v>169333009</v>
      </c>
      <c r="H771" s="1665">
        <v>165156785</v>
      </c>
    </row>
    <row r="772" spans="1:8">
      <c r="A772" t="s">
        <v>1637</v>
      </c>
      <c r="B772" t="s">
        <v>7860</v>
      </c>
      <c r="C772" s="1665">
        <v>372369996</v>
      </c>
      <c r="D772" s="1665">
        <v>380508013</v>
      </c>
      <c r="E772" s="1665">
        <v>380508013</v>
      </c>
      <c r="F772" s="1665">
        <v>372369996</v>
      </c>
      <c r="G772" s="1665">
        <v>631997103</v>
      </c>
      <c r="H772" s="1665">
        <v>623859086</v>
      </c>
    </row>
    <row r="773" spans="1:8">
      <c r="A773" t="s">
        <v>1638</v>
      </c>
      <c r="B773" t="s">
        <v>7861</v>
      </c>
      <c r="C773" s="1665">
        <v>55102570</v>
      </c>
      <c r="D773" s="1665">
        <v>56216476</v>
      </c>
      <c r="E773" s="1665">
        <v>56216476</v>
      </c>
      <c r="F773" s="1665">
        <v>55102570</v>
      </c>
      <c r="G773" s="1665">
        <v>56216476</v>
      </c>
      <c r="H773" s="1665">
        <v>55102570</v>
      </c>
    </row>
    <row r="774" spans="1:8">
      <c r="A774" t="s">
        <v>1874</v>
      </c>
      <c r="B774" t="s">
        <v>7862</v>
      </c>
      <c r="C774" s="1665">
        <v>275749570</v>
      </c>
      <c r="D774" s="1665">
        <v>276320540</v>
      </c>
      <c r="E774" s="1665">
        <v>275952615</v>
      </c>
      <c r="F774" s="1665">
        <v>275381645</v>
      </c>
      <c r="G774" s="1665">
        <v>370892615</v>
      </c>
      <c r="H774" s="1665">
        <v>370321645</v>
      </c>
    </row>
    <row r="775" spans="1:8">
      <c r="A775" t="s">
        <v>2302</v>
      </c>
      <c r="B775" t="s">
        <v>7863</v>
      </c>
      <c r="C775" s="1665">
        <v>1315455532</v>
      </c>
      <c r="D775" s="1665">
        <v>1338083432</v>
      </c>
      <c r="E775" s="1665">
        <v>1320018937</v>
      </c>
      <c r="F775" s="1665">
        <v>1297391037</v>
      </c>
      <c r="G775" s="1665">
        <v>1722968317</v>
      </c>
      <c r="H775" s="1665">
        <v>1700340417</v>
      </c>
    </row>
    <row r="776" spans="1:8">
      <c r="A776" t="s">
        <v>2291</v>
      </c>
      <c r="B776" t="s">
        <v>7864</v>
      </c>
      <c r="C776" s="1665">
        <v>963465075</v>
      </c>
      <c r="D776" s="1665">
        <v>966588585</v>
      </c>
      <c r="E776" s="1665">
        <v>964557705</v>
      </c>
      <c r="F776" s="1665">
        <v>961434195</v>
      </c>
      <c r="G776" s="1665">
        <v>1314896205</v>
      </c>
      <c r="H776" s="1665">
        <v>1311772695</v>
      </c>
    </row>
    <row r="777" spans="1:8">
      <c r="A777" t="s">
        <v>1302</v>
      </c>
      <c r="B777" t="s">
        <v>7865</v>
      </c>
      <c r="C777" s="1665">
        <v>266952889</v>
      </c>
      <c r="D777" s="1665">
        <v>271464445</v>
      </c>
      <c r="E777" s="1665">
        <v>267513171</v>
      </c>
      <c r="F777" s="1665">
        <v>263001615</v>
      </c>
      <c r="G777" s="1665">
        <v>267513171</v>
      </c>
      <c r="H777" s="1665">
        <v>263001615</v>
      </c>
    </row>
    <row r="778" spans="1:8">
      <c r="A778" t="s">
        <v>692</v>
      </c>
      <c r="B778" t="s">
        <v>7866</v>
      </c>
      <c r="C778" s="1665">
        <v>107838033</v>
      </c>
      <c r="D778" s="1665">
        <v>112535579</v>
      </c>
      <c r="E778" s="1665">
        <v>112535579</v>
      </c>
      <c r="F778" s="1665">
        <v>107838033</v>
      </c>
      <c r="G778" s="1665">
        <v>112535579</v>
      </c>
      <c r="H778" s="1665">
        <v>107838033</v>
      </c>
    </row>
    <row r="779" spans="1:8">
      <c r="A779" t="s">
        <v>2548</v>
      </c>
      <c r="B779" t="s">
        <v>7867</v>
      </c>
      <c r="C779" s="1665">
        <v>381348394</v>
      </c>
      <c r="D779" s="1665">
        <v>390217653</v>
      </c>
      <c r="E779" s="1665">
        <v>382699627</v>
      </c>
      <c r="F779" s="1665">
        <v>373830368</v>
      </c>
      <c r="G779" s="1665">
        <v>444426647</v>
      </c>
      <c r="H779" s="1665">
        <v>435557388</v>
      </c>
    </row>
    <row r="780" spans="1:8">
      <c r="A780" t="s">
        <v>693</v>
      </c>
      <c r="B780" t="s">
        <v>7868</v>
      </c>
      <c r="C780" s="1665">
        <v>94954787</v>
      </c>
      <c r="D780" s="1665">
        <v>97380289</v>
      </c>
      <c r="E780" s="1665">
        <v>97380289</v>
      </c>
      <c r="F780" s="1665">
        <v>94954787</v>
      </c>
      <c r="G780" s="1665">
        <v>97380289</v>
      </c>
      <c r="H780" s="1665">
        <v>94954787</v>
      </c>
    </row>
    <row r="781" spans="1:8">
      <c r="A781" t="s">
        <v>1773</v>
      </c>
      <c r="B781" t="s">
        <v>7869</v>
      </c>
      <c r="C781" s="1665">
        <v>1548215732</v>
      </c>
      <c r="D781" s="1665">
        <v>1600971693</v>
      </c>
      <c r="E781" s="1665">
        <v>1600971693</v>
      </c>
      <c r="F781" s="1665">
        <v>1548215732</v>
      </c>
      <c r="G781" s="1665">
        <v>1600971693</v>
      </c>
      <c r="H781" s="1665">
        <v>1548215732</v>
      </c>
    </row>
    <row r="782" spans="1:8">
      <c r="A782" t="s">
        <v>1213</v>
      </c>
      <c r="B782" t="s">
        <v>7870</v>
      </c>
      <c r="C782" s="1665">
        <v>539718377</v>
      </c>
      <c r="D782" s="1665">
        <v>558171417</v>
      </c>
      <c r="E782" s="1665">
        <v>558171417</v>
      </c>
      <c r="F782" s="1665">
        <v>539718377</v>
      </c>
      <c r="G782" s="1665">
        <v>558171417</v>
      </c>
      <c r="H782" s="1665">
        <v>539718377</v>
      </c>
    </row>
    <row r="783" spans="1:8">
      <c r="A783" t="s">
        <v>1639</v>
      </c>
      <c r="B783" t="s">
        <v>7871</v>
      </c>
      <c r="C783" s="1665">
        <v>8591707707</v>
      </c>
      <c r="D783" s="1665">
        <v>8888957352</v>
      </c>
      <c r="E783" s="1665">
        <v>8888957352</v>
      </c>
      <c r="F783" s="1665">
        <v>8591707707</v>
      </c>
      <c r="G783" s="1665">
        <v>8888957352</v>
      </c>
      <c r="H783" s="1665">
        <v>8591707707</v>
      </c>
    </row>
    <row r="784" spans="1:8">
      <c r="A784" t="s">
        <v>199</v>
      </c>
      <c r="B784" t="s">
        <v>7872</v>
      </c>
      <c r="C784" s="1665">
        <v>253933971</v>
      </c>
      <c r="D784" s="1665">
        <v>266645661</v>
      </c>
      <c r="E784" s="1665">
        <v>266645661</v>
      </c>
      <c r="F784" s="1665">
        <v>253933971</v>
      </c>
      <c r="G784" s="1665">
        <v>266645661</v>
      </c>
      <c r="H784" s="1665">
        <v>253933971</v>
      </c>
    </row>
    <row r="785" spans="1:8">
      <c r="A785" t="s">
        <v>572</v>
      </c>
      <c r="B785" t="s">
        <v>7312</v>
      </c>
      <c r="C785" s="1665">
        <v>1182353980</v>
      </c>
      <c r="D785" s="1665">
        <v>1183807532</v>
      </c>
      <c r="E785" s="1665">
        <v>1183807532</v>
      </c>
      <c r="F785" s="1665">
        <v>1182353980</v>
      </c>
      <c r="G785" s="1665">
        <v>1183807532</v>
      </c>
      <c r="H785" s="1665">
        <v>1182353980</v>
      </c>
    </row>
    <row r="786" spans="1:8">
      <c r="A786" t="s">
        <v>2181</v>
      </c>
      <c r="B786" t="s">
        <v>7873</v>
      </c>
      <c r="C786" s="1665">
        <v>1267278967</v>
      </c>
      <c r="D786" s="1665">
        <v>1281316528</v>
      </c>
      <c r="E786" s="1665">
        <v>1281316528</v>
      </c>
      <c r="F786" s="1665">
        <v>1267278967</v>
      </c>
      <c r="G786" s="1665">
        <v>1281316528</v>
      </c>
      <c r="H786" s="1665">
        <v>1267278967</v>
      </c>
    </row>
    <row r="787" spans="1:8">
      <c r="A787" t="s">
        <v>1468</v>
      </c>
      <c r="B787" t="s">
        <v>7874</v>
      </c>
      <c r="C787" s="1665">
        <v>352462073</v>
      </c>
      <c r="D787" s="1665">
        <v>357694637</v>
      </c>
      <c r="E787" s="1665">
        <v>357694637</v>
      </c>
      <c r="F787" s="1665">
        <v>352462073</v>
      </c>
      <c r="G787" s="1665">
        <v>357694637</v>
      </c>
      <c r="H787" s="1665">
        <v>352462073</v>
      </c>
    </row>
    <row r="788" spans="1:8">
      <c r="A788" t="s">
        <v>217</v>
      </c>
      <c r="B788" t="s">
        <v>7875</v>
      </c>
      <c r="C788" s="1665">
        <v>167074347</v>
      </c>
      <c r="D788" s="1665">
        <v>174587362</v>
      </c>
      <c r="E788" s="1665">
        <v>174587362</v>
      </c>
      <c r="F788" s="1665">
        <v>167074347</v>
      </c>
      <c r="G788" s="1665">
        <v>174587362</v>
      </c>
      <c r="H788" s="1665">
        <v>167074347</v>
      </c>
    </row>
    <row r="789" spans="1:8">
      <c r="A789" t="s">
        <v>1289</v>
      </c>
      <c r="B789" t="s">
        <v>7876</v>
      </c>
      <c r="C789" s="1665">
        <v>544048303</v>
      </c>
      <c r="D789" s="1665">
        <v>567730818</v>
      </c>
      <c r="E789" s="1665">
        <v>567730818</v>
      </c>
      <c r="F789" s="1665">
        <v>544048303</v>
      </c>
      <c r="G789" s="1665">
        <v>567730818</v>
      </c>
      <c r="H789" s="1665">
        <v>544048303</v>
      </c>
    </row>
    <row r="790" spans="1:8">
      <c r="A790" t="s">
        <v>1290</v>
      </c>
      <c r="B790" t="s">
        <v>7877</v>
      </c>
      <c r="C790" s="1665">
        <v>4579158043</v>
      </c>
      <c r="D790" s="1665">
        <v>4699330004</v>
      </c>
      <c r="E790" s="1665">
        <v>4699330004</v>
      </c>
      <c r="F790" s="1665">
        <v>4579158043</v>
      </c>
      <c r="G790" s="1665">
        <v>4778121954</v>
      </c>
      <c r="H790" s="1665">
        <v>4657949993</v>
      </c>
    </row>
    <row r="791" spans="1:8">
      <c r="A791" t="s">
        <v>2522</v>
      </c>
      <c r="B791" t="s">
        <v>7878</v>
      </c>
      <c r="C791" s="1665">
        <v>2139227548</v>
      </c>
      <c r="D791" s="1665">
        <v>2144706196</v>
      </c>
      <c r="E791" s="1665">
        <v>2140551922</v>
      </c>
      <c r="F791" s="1665">
        <v>2135073274</v>
      </c>
      <c r="G791" s="1665">
        <v>2140551922</v>
      </c>
      <c r="H791" s="1665">
        <v>2135073274</v>
      </c>
    </row>
    <row r="792" spans="1:8">
      <c r="A792" t="s">
        <v>792</v>
      </c>
      <c r="B792" t="s">
        <v>7879</v>
      </c>
      <c r="C792" s="1665">
        <v>312200889</v>
      </c>
      <c r="D792" s="1665">
        <v>317643403</v>
      </c>
      <c r="E792" s="1665">
        <v>317643403</v>
      </c>
      <c r="F792" s="1665">
        <v>312200889</v>
      </c>
      <c r="G792" s="1665">
        <v>317643403</v>
      </c>
      <c r="H792" s="1665">
        <v>312200889</v>
      </c>
    </row>
    <row r="793" spans="1:8">
      <c r="A793" t="s">
        <v>114</v>
      </c>
      <c r="B793" t="s">
        <v>7880</v>
      </c>
      <c r="C793" s="1665">
        <v>49607698</v>
      </c>
      <c r="D793" s="1665">
        <v>53318636</v>
      </c>
      <c r="E793" s="1665">
        <v>53318636</v>
      </c>
      <c r="F793" s="1665">
        <v>49607698</v>
      </c>
      <c r="G793" s="1665">
        <v>53318636</v>
      </c>
      <c r="H793" s="1665">
        <v>49607698</v>
      </c>
    </row>
    <row r="794" spans="1:8">
      <c r="A794" t="s">
        <v>2654</v>
      </c>
      <c r="B794" t="s">
        <v>7881</v>
      </c>
      <c r="C794" s="1665">
        <v>187668129</v>
      </c>
      <c r="D794" s="1665">
        <v>196242900</v>
      </c>
      <c r="E794" s="1665">
        <v>196242900</v>
      </c>
      <c r="F794" s="1665">
        <v>187668129</v>
      </c>
      <c r="G794" s="1665">
        <v>196242900</v>
      </c>
      <c r="H794" s="1665">
        <v>187668129</v>
      </c>
    </row>
    <row r="795" spans="1:8">
      <c r="A795" t="s">
        <v>2274</v>
      </c>
      <c r="B795" t="s">
        <v>7882</v>
      </c>
      <c r="C795" s="1665">
        <v>208060712</v>
      </c>
      <c r="D795" s="1665">
        <v>220186821</v>
      </c>
      <c r="E795" s="1665">
        <v>220186821</v>
      </c>
      <c r="F795" s="1665">
        <v>208060712</v>
      </c>
      <c r="G795" s="1665">
        <v>220186821</v>
      </c>
      <c r="H795" s="1665">
        <v>208060712</v>
      </c>
    </row>
    <row r="796" spans="1:8">
      <c r="A796" t="s">
        <v>377</v>
      </c>
      <c r="B796" t="s">
        <v>7883</v>
      </c>
      <c r="C796" s="1665">
        <v>64151393</v>
      </c>
      <c r="D796" s="1665">
        <v>68720269</v>
      </c>
      <c r="E796" s="1665">
        <v>68720269</v>
      </c>
      <c r="F796" s="1665">
        <v>64151393</v>
      </c>
      <c r="G796" s="1665">
        <v>68720269</v>
      </c>
      <c r="H796" s="1665">
        <v>64151393</v>
      </c>
    </row>
    <row r="797" spans="1:8">
      <c r="A797" t="s">
        <v>986</v>
      </c>
      <c r="B797" t="s">
        <v>7884</v>
      </c>
      <c r="C797" s="1665">
        <v>5178512480</v>
      </c>
      <c r="D797" s="1665">
        <v>5198856395</v>
      </c>
      <c r="E797" s="1665">
        <v>5198856395</v>
      </c>
      <c r="F797" s="1665">
        <v>5178512480</v>
      </c>
      <c r="G797" s="1665">
        <v>5492161655</v>
      </c>
      <c r="H797" s="1665">
        <v>5471817740</v>
      </c>
    </row>
    <row r="798" spans="1:8">
      <c r="A798" t="s">
        <v>1716</v>
      </c>
      <c r="B798" t="s">
        <v>7885</v>
      </c>
      <c r="C798" s="1665">
        <v>45774488</v>
      </c>
      <c r="D798" s="1665">
        <v>46864169</v>
      </c>
      <c r="E798" s="1665">
        <v>46864169</v>
      </c>
      <c r="F798" s="1665">
        <v>45774488</v>
      </c>
      <c r="G798" s="1665">
        <v>46864169</v>
      </c>
      <c r="H798" s="1665">
        <v>45774488</v>
      </c>
    </row>
    <row r="799" spans="1:8">
      <c r="A799" t="s">
        <v>695</v>
      </c>
      <c r="B799" t="s">
        <v>7886</v>
      </c>
      <c r="C799" s="1665">
        <v>240233336</v>
      </c>
      <c r="D799" s="1665">
        <v>241983406</v>
      </c>
      <c r="E799" s="1665">
        <v>240749791</v>
      </c>
      <c r="F799" s="1665">
        <v>238999721</v>
      </c>
      <c r="G799" s="1665">
        <v>240749791</v>
      </c>
      <c r="H799" s="1665">
        <v>238999721</v>
      </c>
    </row>
    <row r="800" spans="1:8">
      <c r="A800" t="s">
        <v>696</v>
      </c>
      <c r="B800" t="s">
        <v>7887</v>
      </c>
      <c r="C800" s="1665">
        <v>278390323</v>
      </c>
      <c r="D800" s="1665">
        <v>284353073</v>
      </c>
      <c r="E800" s="1665">
        <v>284353073</v>
      </c>
      <c r="F800" s="1665">
        <v>278390323</v>
      </c>
      <c r="G800" s="1665">
        <v>284353073</v>
      </c>
      <c r="H800" s="1665">
        <v>278390323</v>
      </c>
    </row>
    <row r="801" spans="1:8">
      <c r="A801" t="s">
        <v>697</v>
      </c>
      <c r="B801" t="s">
        <v>7888</v>
      </c>
      <c r="C801" s="1665">
        <v>353531393</v>
      </c>
      <c r="D801" s="1665">
        <v>360829632</v>
      </c>
      <c r="E801" s="1665">
        <v>360829632</v>
      </c>
      <c r="F801" s="1665">
        <v>353531393</v>
      </c>
      <c r="G801" s="1665">
        <v>360829632</v>
      </c>
      <c r="H801" s="1665">
        <v>353531393</v>
      </c>
    </row>
    <row r="802" spans="1:8">
      <c r="A802" t="s">
        <v>1457</v>
      </c>
      <c r="B802" t="s">
        <v>7889</v>
      </c>
      <c r="C802" s="1665">
        <v>475497597</v>
      </c>
      <c r="D802" s="1665">
        <v>477549947</v>
      </c>
      <c r="E802" s="1665">
        <v>476547118</v>
      </c>
      <c r="F802" s="1665">
        <v>474494768</v>
      </c>
      <c r="G802" s="1665">
        <v>645161308</v>
      </c>
      <c r="H802" s="1665">
        <v>643108958</v>
      </c>
    </row>
    <row r="803" spans="1:8">
      <c r="A803" t="s">
        <v>1458</v>
      </c>
      <c r="B803" t="s">
        <v>7890</v>
      </c>
      <c r="C803" s="1665">
        <v>324420568</v>
      </c>
      <c r="D803" s="1665">
        <v>329279285</v>
      </c>
      <c r="E803" s="1665">
        <v>329279285</v>
      </c>
      <c r="F803" s="1665">
        <v>324420568</v>
      </c>
      <c r="G803" s="1665">
        <v>329279285</v>
      </c>
      <c r="H803" s="1665">
        <v>324420568</v>
      </c>
    </row>
    <row r="804" spans="1:8">
      <c r="A804" t="s">
        <v>1459</v>
      </c>
      <c r="B804" t="s">
        <v>7891</v>
      </c>
      <c r="C804" s="1665">
        <v>111013256</v>
      </c>
      <c r="D804" s="1665">
        <v>113628581</v>
      </c>
      <c r="E804" s="1665">
        <v>113628581</v>
      </c>
      <c r="F804" s="1665">
        <v>111013256</v>
      </c>
      <c r="G804" s="1665">
        <v>113628581</v>
      </c>
      <c r="H804" s="1665">
        <v>111013256</v>
      </c>
    </row>
    <row r="805" spans="1:8">
      <c r="A805" t="s">
        <v>1460</v>
      </c>
      <c r="B805" t="s">
        <v>7892</v>
      </c>
      <c r="C805" s="1665">
        <v>1691265832</v>
      </c>
      <c r="D805" s="1665">
        <v>1703725045</v>
      </c>
      <c r="E805" s="1665">
        <v>1703725045</v>
      </c>
      <c r="F805" s="1665">
        <v>1691265832</v>
      </c>
      <c r="G805" s="1665">
        <v>1703725045</v>
      </c>
      <c r="H805" s="1665">
        <v>1691265832</v>
      </c>
    </row>
    <row r="806" spans="1:8">
      <c r="A806" t="s">
        <v>1461</v>
      </c>
      <c r="B806" t="s">
        <v>7893</v>
      </c>
      <c r="C806" s="1665">
        <v>382108789</v>
      </c>
      <c r="D806" s="1665">
        <v>394550208</v>
      </c>
      <c r="E806" s="1665">
        <v>394550208</v>
      </c>
      <c r="F806" s="1665">
        <v>382108789</v>
      </c>
      <c r="G806" s="1665">
        <v>394550208</v>
      </c>
      <c r="H806" s="1665">
        <v>382108789</v>
      </c>
    </row>
    <row r="807" spans="1:8">
      <c r="A807" t="s">
        <v>1462</v>
      </c>
      <c r="B807" t="s">
        <v>7894</v>
      </c>
      <c r="C807" s="1665">
        <v>65580108</v>
      </c>
      <c r="D807" s="1665">
        <v>65849095</v>
      </c>
      <c r="E807" s="1665">
        <v>65849095</v>
      </c>
      <c r="F807" s="1665">
        <v>65580108</v>
      </c>
      <c r="G807" s="1665">
        <v>65849095</v>
      </c>
      <c r="H807" s="1665">
        <v>65580108</v>
      </c>
    </row>
    <row r="808" spans="1:8">
      <c r="A808" t="s">
        <v>1672</v>
      </c>
      <c r="B808" t="s">
        <v>7895</v>
      </c>
      <c r="C808" s="1665">
        <v>8552629033</v>
      </c>
      <c r="D808" s="1665">
        <v>8732911656</v>
      </c>
      <c r="E808" s="1665">
        <v>8732911656</v>
      </c>
      <c r="F808" s="1665">
        <v>8552629033</v>
      </c>
      <c r="G808" s="1665">
        <v>8732911656</v>
      </c>
      <c r="H808" s="1665">
        <v>8552629033</v>
      </c>
    </row>
    <row r="809" spans="1:8">
      <c r="A809" t="s">
        <v>1812</v>
      </c>
      <c r="B809" t="s">
        <v>7896</v>
      </c>
      <c r="C809" s="1665">
        <v>1663775422</v>
      </c>
      <c r="D809" s="1665">
        <v>1717072755</v>
      </c>
      <c r="E809" s="1665">
        <v>1717072755</v>
      </c>
      <c r="F809" s="1665">
        <v>1663775422</v>
      </c>
      <c r="G809" s="1665">
        <v>1717072755</v>
      </c>
      <c r="H809" s="1665">
        <v>1663775422</v>
      </c>
    </row>
    <row r="810" spans="1:8">
      <c r="A810" t="s">
        <v>1673</v>
      </c>
      <c r="B810" t="s">
        <v>7897</v>
      </c>
      <c r="C810" s="1665">
        <v>281972163</v>
      </c>
      <c r="D810" s="1665">
        <v>294775380</v>
      </c>
      <c r="E810" s="1665">
        <v>294775380</v>
      </c>
      <c r="F810" s="1665">
        <v>281972163</v>
      </c>
      <c r="G810" s="1665">
        <v>294775380</v>
      </c>
      <c r="H810" s="1665">
        <v>281972163</v>
      </c>
    </row>
    <row r="811" spans="1:8">
      <c r="A811" t="s">
        <v>378</v>
      </c>
      <c r="B811" t="s">
        <v>7898</v>
      </c>
      <c r="C811" s="1665">
        <v>83730375</v>
      </c>
      <c r="D811" s="1665">
        <v>88001205</v>
      </c>
      <c r="E811" s="1665">
        <v>88001205</v>
      </c>
      <c r="F811" s="1665">
        <v>83730375</v>
      </c>
      <c r="G811" s="1665">
        <v>88001205</v>
      </c>
      <c r="H811" s="1665">
        <v>83730375</v>
      </c>
    </row>
    <row r="812" spans="1:8">
      <c r="A812" t="s">
        <v>1183</v>
      </c>
      <c r="B812" t="s">
        <v>7899</v>
      </c>
      <c r="C812" s="1665">
        <v>174803446</v>
      </c>
      <c r="D812" s="1665">
        <v>182447701</v>
      </c>
      <c r="E812" s="1665">
        <v>182447701</v>
      </c>
      <c r="F812" s="1665">
        <v>174803446</v>
      </c>
      <c r="G812" s="1665">
        <v>182447701</v>
      </c>
      <c r="H812" s="1665">
        <v>174803446</v>
      </c>
    </row>
    <row r="813" spans="1:8">
      <c r="A813" t="s">
        <v>379</v>
      </c>
      <c r="B813" t="s">
        <v>7900</v>
      </c>
      <c r="C813" s="1665">
        <v>5996970</v>
      </c>
      <c r="D813" s="1665">
        <v>6300720</v>
      </c>
      <c r="E813" s="1665">
        <v>6300720</v>
      </c>
      <c r="F813" s="1665">
        <v>5996970</v>
      </c>
      <c r="G813" s="1665">
        <v>6300720</v>
      </c>
      <c r="H813" s="1665">
        <v>5996970</v>
      </c>
    </row>
    <row r="814" spans="1:8">
      <c r="A814" t="s">
        <v>1674</v>
      </c>
      <c r="B814" t="s">
        <v>7901</v>
      </c>
      <c r="C814" s="1665">
        <v>1487658264</v>
      </c>
      <c r="D814" s="1665">
        <v>1531843644</v>
      </c>
      <c r="E814" s="1665">
        <v>1474542364</v>
      </c>
      <c r="F814" s="1665">
        <v>1430356984</v>
      </c>
      <c r="G814" s="1665">
        <v>1474542364</v>
      </c>
      <c r="H814" s="1665">
        <v>1430356984</v>
      </c>
    </row>
    <row r="815" spans="1:8">
      <c r="A815" t="s">
        <v>1675</v>
      </c>
      <c r="B815" t="s">
        <v>7902</v>
      </c>
      <c r="C815" s="1665">
        <v>86161183</v>
      </c>
      <c r="D815" s="1665">
        <v>89730103</v>
      </c>
      <c r="E815" s="1665">
        <v>86093283</v>
      </c>
      <c r="F815" s="1665">
        <v>82524363</v>
      </c>
      <c r="G815" s="1665">
        <v>86093283</v>
      </c>
      <c r="H815" s="1665">
        <v>82524363</v>
      </c>
    </row>
    <row r="816" spans="1:8">
      <c r="A816" t="s">
        <v>1676</v>
      </c>
      <c r="B816" t="s">
        <v>7903</v>
      </c>
      <c r="C816" s="1665">
        <v>29142134</v>
      </c>
      <c r="D816" s="1665">
        <v>30463834</v>
      </c>
      <c r="E816" s="1665">
        <v>29195089</v>
      </c>
      <c r="F816" s="1665">
        <v>27873389</v>
      </c>
      <c r="G816" s="1665">
        <v>29195089</v>
      </c>
      <c r="H816" s="1665">
        <v>27873389</v>
      </c>
    </row>
    <row r="817" spans="1:8">
      <c r="A817" t="s">
        <v>2470</v>
      </c>
      <c r="B817" t="s">
        <v>7904</v>
      </c>
      <c r="C817" s="1665">
        <v>59718222</v>
      </c>
      <c r="D817" s="1665">
        <v>63538432</v>
      </c>
      <c r="E817" s="1665">
        <v>59461257</v>
      </c>
      <c r="F817" s="1665">
        <v>55641047</v>
      </c>
      <c r="G817" s="1665">
        <v>59461257</v>
      </c>
      <c r="H817" s="1665">
        <v>55641047</v>
      </c>
    </row>
    <row r="818" spans="1:8">
      <c r="A818" t="s">
        <v>2471</v>
      </c>
      <c r="B818" t="s">
        <v>7905</v>
      </c>
      <c r="C818" s="1665">
        <v>73844183</v>
      </c>
      <c r="D818" s="1665">
        <v>79167693</v>
      </c>
      <c r="E818" s="1665">
        <v>74330073</v>
      </c>
      <c r="F818" s="1665">
        <v>69006563</v>
      </c>
      <c r="G818" s="1665">
        <v>74330073</v>
      </c>
      <c r="H818" s="1665">
        <v>69006563</v>
      </c>
    </row>
    <row r="819" spans="1:8">
      <c r="A819" t="s">
        <v>1677</v>
      </c>
      <c r="B819" t="s">
        <v>7906</v>
      </c>
      <c r="C819" s="1665">
        <v>967851611</v>
      </c>
      <c r="D819" s="1665">
        <v>980680951</v>
      </c>
      <c r="E819" s="1665">
        <v>962945386</v>
      </c>
      <c r="F819" s="1665">
        <v>950116046</v>
      </c>
      <c r="G819" s="1665">
        <v>962945386</v>
      </c>
      <c r="H819" s="1665">
        <v>950116046</v>
      </c>
    </row>
    <row r="820" spans="1:8">
      <c r="A820" t="s">
        <v>190</v>
      </c>
      <c r="B820" t="s">
        <v>7907</v>
      </c>
      <c r="C820" s="1665">
        <v>126581019</v>
      </c>
      <c r="D820" s="1665">
        <v>130816746</v>
      </c>
      <c r="E820" s="1665">
        <v>126382179</v>
      </c>
      <c r="F820" s="1665">
        <v>122146452</v>
      </c>
      <c r="G820" s="1665">
        <v>126382179</v>
      </c>
      <c r="H820" s="1665">
        <v>122146452</v>
      </c>
    </row>
    <row r="821" spans="1:8">
      <c r="A821" t="s">
        <v>1678</v>
      </c>
      <c r="B821" t="s">
        <v>7908</v>
      </c>
      <c r="C821" s="1665">
        <v>349900481</v>
      </c>
      <c r="D821" s="1665">
        <v>360854481</v>
      </c>
      <c r="E821" s="1665">
        <v>350128696</v>
      </c>
      <c r="F821" s="1665">
        <v>339174696</v>
      </c>
      <c r="G821" s="1665">
        <v>350128696</v>
      </c>
      <c r="H821" s="1665">
        <v>339174696</v>
      </c>
    </row>
    <row r="822" spans="1:8">
      <c r="A822" t="s">
        <v>1395</v>
      </c>
      <c r="B822" t="s">
        <v>7909</v>
      </c>
      <c r="C822" s="1665">
        <v>451454828</v>
      </c>
      <c r="D822" s="1665">
        <v>472724374</v>
      </c>
      <c r="E822" s="1665">
        <v>472724374</v>
      </c>
      <c r="F822" s="1665">
        <v>451454828</v>
      </c>
      <c r="G822" s="1665">
        <v>472724374</v>
      </c>
      <c r="H822" s="1665">
        <v>451454828</v>
      </c>
    </row>
    <row r="823" spans="1:8">
      <c r="A823" t="s">
        <v>1396</v>
      </c>
      <c r="B823" t="s">
        <v>7910</v>
      </c>
      <c r="C823" s="1665">
        <v>80388450</v>
      </c>
      <c r="D823" s="1665">
        <v>86414476</v>
      </c>
      <c r="E823" s="1665">
        <v>82682639</v>
      </c>
      <c r="F823" s="1665">
        <v>76656613</v>
      </c>
      <c r="G823" s="1665">
        <v>82682639</v>
      </c>
      <c r="H823" s="1665">
        <v>76656613</v>
      </c>
    </row>
    <row r="824" spans="1:8">
      <c r="A824" t="s">
        <v>1397</v>
      </c>
      <c r="B824" t="s">
        <v>7911</v>
      </c>
      <c r="C824" s="1665">
        <v>406461450</v>
      </c>
      <c r="D824" s="1665">
        <v>414415790</v>
      </c>
      <c r="E824" s="1665">
        <v>414415790</v>
      </c>
      <c r="F824" s="1665">
        <v>406461450</v>
      </c>
      <c r="G824" s="1665">
        <v>414415790</v>
      </c>
      <c r="H824" s="1665">
        <v>406461450</v>
      </c>
    </row>
    <row r="825" spans="1:8">
      <c r="A825" t="s">
        <v>1632</v>
      </c>
      <c r="B825" t="s">
        <v>7912</v>
      </c>
      <c r="C825" s="1665">
        <v>229870708</v>
      </c>
      <c r="D825" s="1665">
        <v>235080858</v>
      </c>
      <c r="E825" s="1665">
        <v>235080858</v>
      </c>
      <c r="F825" s="1665">
        <v>229870708</v>
      </c>
      <c r="G825" s="1665">
        <v>235080858</v>
      </c>
      <c r="H825" s="1665">
        <v>229870708</v>
      </c>
    </row>
    <row r="826" spans="1:8">
      <c r="A826" t="s">
        <v>1633</v>
      </c>
      <c r="B826" t="s">
        <v>7913</v>
      </c>
      <c r="C826" s="1665">
        <v>1149216926</v>
      </c>
      <c r="D826" s="1665">
        <v>1183265737</v>
      </c>
      <c r="E826" s="1665">
        <v>1183265737</v>
      </c>
      <c r="F826" s="1665">
        <v>1149216926</v>
      </c>
      <c r="G826" s="1665">
        <v>1183265737</v>
      </c>
      <c r="H826" s="1665">
        <v>1149216926</v>
      </c>
    </row>
    <row r="827" spans="1:8">
      <c r="A827" t="s">
        <v>2433</v>
      </c>
      <c r="B827" t="s">
        <v>7914</v>
      </c>
      <c r="C827" s="1665">
        <v>350514521</v>
      </c>
      <c r="D827" s="1665">
        <v>364847467</v>
      </c>
      <c r="E827" s="1665">
        <v>364847467</v>
      </c>
      <c r="F827" s="1665">
        <v>350514521</v>
      </c>
      <c r="G827" s="1665">
        <v>364847467</v>
      </c>
      <c r="H827" s="1665">
        <v>350514521</v>
      </c>
    </row>
    <row r="828" spans="1:8">
      <c r="A828" t="s">
        <v>1215</v>
      </c>
      <c r="B828" t="s">
        <v>7915</v>
      </c>
      <c r="C828" s="1665">
        <v>730320872</v>
      </c>
      <c r="D828" s="1665">
        <v>749733063</v>
      </c>
      <c r="E828" s="1665">
        <v>749733063</v>
      </c>
      <c r="F828" s="1665">
        <v>730320872</v>
      </c>
      <c r="G828" s="1665">
        <v>749733063</v>
      </c>
      <c r="H828" s="1665">
        <v>730320872</v>
      </c>
    </row>
    <row r="829" spans="1:8">
      <c r="A829" t="s">
        <v>2434</v>
      </c>
      <c r="B829" t="s">
        <v>7916</v>
      </c>
      <c r="C829" s="1665">
        <v>2716426974</v>
      </c>
      <c r="D829" s="1665">
        <v>2757558451</v>
      </c>
      <c r="E829" s="1665">
        <v>2757558451</v>
      </c>
      <c r="F829" s="1665">
        <v>2716426974</v>
      </c>
      <c r="G829" s="1665">
        <v>3557976211</v>
      </c>
      <c r="H829" s="1665">
        <v>3516844734</v>
      </c>
    </row>
    <row r="830" spans="1:8">
      <c r="A830" t="s">
        <v>1454</v>
      </c>
      <c r="B830" t="s">
        <v>7917</v>
      </c>
      <c r="C830" s="1665">
        <v>1915927338</v>
      </c>
      <c r="D830" s="1665">
        <v>1935227491</v>
      </c>
      <c r="E830" s="1665">
        <v>1935227491</v>
      </c>
      <c r="F830" s="1665">
        <v>1915927338</v>
      </c>
      <c r="G830" s="1665">
        <v>2900058551</v>
      </c>
      <c r="H830" s="1665">
        <v>2880758398</v>
      </c>
    </row>
    <row r="831" spans="1:8">
      <c r="A831" t="s">
        <v>2527</v>
      </c>
      <c r="B831" t="s">
        <v>7918</v>
      </c>
      <c r="C831" s="1665">
        <v>349153199</v>
      </c>
      <c r="D831" s="1665">
        <v>364757561</v>
      </c>
      <c r="E831" s="1665">
        <v>364757561</v>
      </c>
      <c r="F831" s="1665">
        <v>349153199</v>
      </c>
      <c r="G831" s="1665">
        <v>364757561</v>
      </c>
      <c r="H831" s="1665">
        <v>349153199</v>
      </c>
    </row>
    <row r="832" spans="1:8">
      <c r="A832" t="s">
        <v>1411</v>
      </c>
      <c r="B832" t="s">
        <v>7919</v>
      </c>
      <c r="C832" s="1665">
        <v>282394873</v>
      </c>
      <c r="D832" s="1665">
        <v>292503670</v>
      </c>
      <c r="E832" s="1665">
        <v>292503670</v>
      </c>
      <c r="F832" s="1665">
        <v>282394873</v>
      </c>
      <c r="G832" s="1665">
        <v>334694770</v>
      </c>
      <c r="H832" s="1665">
        <v>324585973</v>
      </c>
    </row>
    <row r="833" spans="1:8">
      <c r="A833" t="s">
        <v>1317</v>
      </c>
      <c r="B833" t="s">
        <v>7920</v>
      </c>
      <c r="C833" s="1665">
        <v>417690925</v>
      </c>
      <c r="D833" s="1665">
        <v>434418389</v>
      </c>
      <c r="E833" s="1665">
        <v>434418389</v>
      </c>
      <c r="F833" s="1665">
        <v>417690925</v>
      </c>
      <c r="G833" s="1665">
        <v>488653589</v>
      </c>
      <c r="H833" s="1665">
        <v>471926125</v>
      </c>
    </row>
    <row r="834" spans="1:8">
      <c r="A834" t="s">
        <v>191</v>
      </c>
      <c r="B834" t="s">
        <v>7921</v>
      </c>
      <c r="C834" s="1665">
        <v>335744162</v>
      </c>
      <c r="D834" s="1665">
        <v>344977380</v>
      </c>
      <c r="E834" s="1665">
        <v>344977380</v>
      </c>
      <c r="F834" s="1665">
        <v>335744162</v>
      </c>
      <c r="G834" s="1665">
        <v>549671780</v>
      </c>
      <c r="H834" s="1665">
        <v>540438562</v>
      </c>
    </row>
    <row r="835" spans="1:8">
      <c r="A835" t="s">
        <v>489</v>
      </c>
      <c r="B835" t="s">
        <v>7922</v>
      </c>
      <c r="C835" s="1665">
        <v>240424056</v>
      </c>
      <c r="D835" s="1665">
        <v>249610886</v>
      </c>
      <c r="E835" s="1665">
        <v>249610886</v>
      </c>
      <c r="F835" s="1665">
        <v>240424056</v>
      </c>
      <c r="G835" s="1665">
        <v>249610886</v>
      </c>
      <c r="H835" s="1665">
        <v>240424056</v>
      </c>
    </row>
    <row r="836" spans="1:8">
      <c r="A836" t="s">
        <v>1455</v>
      </c>
      <c r="B836" t="s">
        <v>7923</v>
      </c>
      <c r="C836" s="1665">
        <v>65672520</v>
      </c>
      <c r="D836" s="1665">
        <v>67835720</v>
      </c>
      <c r="E836" s="1665">
        <v>67835720</v>
      </c>
      <c r="F836" s="1665">
        <v>65672520</v>
      </c>
      <c r="G836" s="1665">
        <v>67835720</v>
      </c>
      <c r="H836" s="1665">
        <v>65672520</v>
      </c>
    </row>
    <row r="837" spans="1:8">
      <c r="A837" t="s">
        <v>1456</v>
      </c>
      <c r="B837" t="s">
        <v>7924</v>
      </c>
      <c r="C837" s="1665">
        <v>52346523</v>
      </c>
      <c r="D837" s="1665">
        <v>53857273</v>
      </c>
      <c r="E837" s="1665">
        <v>53857273</v>
      </c>
      <c r="F837" s="1665">
        <v>52346523</v>
      </c>
      <c r="G837" s="1665">
        <v>53857273</v>
      </c>
      <c r="H837" s="1665">
        <v>52346523</v>
      </c>
    </row>
    <row r="838" spans="1:8">
      <c r="A838" t="s">
        <v>1377</v>
      </c>
      <c r="B838" t="s">
        <v>7925</v>
      </c>
      <c r="C838" s="1665">
        <v>280350323</v>
      </c>
      <c r="D838" s="1665">
        <v>285302780</v>
      </c>
      <c r="E838" s="1665">
        <v>281925184</v>
      </c>
      <c r="F838" s="1665">
        <v>276972727</v>
      </c>
      <c r="G838" s="1665">
        <v>285179094</v>
      </c>
      <c r="H838" s="1665">
        <v>280226637</v>
      </c>
    </row>
    <row r="839" spans="1:8">
      <c r="A839" t="s">
        <v>1378</v>
      </c>
      <c r="B839" t="s">
        <v>7926</v>
      </c>
      <c r="C839" s="1665">
        <v>156801625</v>
      </c>
      <c r="D839" s="1665">
        <v>158540948</v>
      </c>
      <c r="E839" s="1665">
        <v>158540948</v>
      </c>
      <c r="F839" s="1665">
        <v>156801625</v>
      </c>
      <c r="G839" s="1665">
        <v>338099898</v>
      </c>
      <c r="H839" s="1665">
        <v>336360575</v>
      </c>
    </row>
    <row r="840" spans="1:8">
      <c r="A840" t="s">
        <v>1379</v>
      </c>
      <c r="B840" t="s">
        <v>7927</v>
      </c>
      <c r="C840" s="1665">
        <v>2070395012</v>
      </c>
      <c r="D840" s="1665">
        <v>2101116103</v>
      </c>
      <c r="E840" s="1665">
        <v>2101116103</v>
      </c>
      <c r="F840" s="1665">
        <v>2070395012</v>
      </c>
      <c r="G840" s="1665">
        <v>2133146923</v>
      </c>
      <c r="H840" s="1665">
        <v>2102425832</v>
      </c>
    </row>
    <row r="841" spans="1:8">
      <c r="A841" t="s">
        <v>1473</v>
      </c>
      <c r="B841" t="s">
        <v>7928</v>
      </c>
      <c r="C841" s="1665">
        <v>138528268</v>
      </c>
      <c r="D841" s="1665">
        <v>140251997</v>
      </c>
      <c r="E841" s="1665">
        <v>140251997</v>
      </c>
      <c r="F841" s="1665">
        <v>138528268</v>
      </c>
      <c r="G841" s="1665">
        <v>140251997</v>
      </c>
      <c r="H841" s="1665">
        <v>138528268</v>
      </c>
    </row>
    <row r="842" spans="1:8">
      <c r="A842" t="s">
        <v>961</v>
      </c>
      <c r="B842" t="s">
        <v>7929</v>
      </c>
      <c r="C842" s="1665">
        <v>359395717</v>
      </c>
      <c r="D842" s="1665">
        <v>365443891</v>
      </c>
      <c r="E842" s="1665">
        <v>365443891</v>
      </c>
      <c r="F842" s="1665">
        <v>359395717</v>
      </c>
      <c r="G842" s="1665">
        <v>365443891</v>
      </c>
      <c r="H842" s="1665">
        <v>359395717</v>
      </c>
    </row>
    <row r="843" spans="1:8">
      <c r="A843" t="s">
        <v>962</v>
      </c>
      <c r="B843" t="s">
        <v>7930</v>
      </c>
      <c r="C843" s="1665">
        <v>61330023</v>
      </c>
      <c r="D843" s="1665">
        <v>62151039</v>
      </c>
      <c r="E843" s="1665">
        <v>62151039</v>
      </c>
      <c r="F843" s="1665">
        <v>61330023</v>
      </c>
      <c r="G843" s="1665">
        <v>62151039</v>
      </c>
      <c r="H843" s="1665">
        <v>61330023</v>
      </c>
    </row>
    <row r="844" spans="1:8">
      <c r="A844" t="s">
        <v>963</v>
      </c>
      <c r="B844" t="s">
        <v>7931</v>
      </c>
      <c r="C844" s="1665">
        <v>545174887</v>
      </c>
      <c r="D844" s="1665">
        <v>561702973</v>
      </c>
      <c r="E844" s="1665">
        <v>544789397</v>
      </c>
      <c r="F844" s="1665">
        <v>528261311</v>
      </c>
      <c r="G844" s="1665">
        <v>544789397</v>
      </c>
      <c r="H844" s="1665">
        <v>528261311</v>
      </c>
    </row>
    <row r="845" spans="1:8">
      <c r="A845" t="s">
        <v>1089</v>
      </c>
      <c r="B845" t="s">
        <v>7932</v>
      </c>
      <c r="C845" s="1665">
        <v>179724288</v>
      </c>
      <c r="D845" s="1665">
        <v>186128132</v>
      </c>
      <c r="E845" s="1665">
        <v>180143713</v>
      </c>
      <c r="F845" s="1665">
        <v>173739869</v>
      </c>
      <c r="G845" s="1665">
        <v>180143713</v>
      </c>
      <c r="H845" s="1665">
        <v>173739869</v>
      </c>
    </row>
    <row r="846" spans="1:8">
      <c r="A846" t="s">
        <v>192</v>
      </c>
      <c r="B846" t="s">
        <v>7933</v>
      </c>
      <c r="C846" s="1665">
        <v>227539021</v>
      </c>
      <c r="D846" s="1665">
        <v>233424150</v>
      </c>
      <c r="E846" s="1665">
        <v>233424150</v>
      </c>
      <c r="F846" s="1665">
        <v>227539021</v>
      </c>
      <c r="G846" s="1665">
        <v>233424150</v>
      </c>
      <c r="H846" s="1665">
        <v>227539021</v>
      </c>
    </row>
    <row r="847" spans="1:8">
      <c r="A847" t="s">
        <v>1090</v>
      </c>
      <c r="B847" t="s">
        <v>7934</v>
      </c>
      <c r="C847" s="1665">
        <v>99296942</v>
      </c>
      <c r="D847" s="1665">
        <v>102542415</v>
      </c>
      <c r="E847" s="1665">
        <v>102542415</v>
      </c>
      <c r="F847" s="1665">
        <v>99296942</v>
      </c>
      <c r="G847" s="1665">
        <v>102542415</v>
      </c>
      <c r="H847" s="1665">
        <v>99296942</v>
      </c>
    </row>
    <row r="848" spans="1:8">
      <c r="A848" t="s">
        <v>1091</v>
      </c>
      <c r="B848" t="s">
        <v>7935</v>
      </c>
      <c r="C848" s="1665">
        <v>134012842</v>
      </c>
      <c r="D848" s="1665">
        <v>139857989</v>
      </c>
      <c r="E848" s="1665">
        <v>134336150</v>
      </c>
      <c r="F848" s="1665">
        <v>128491003</v>
      </c>
      <c r="G848" s="1665">
        <v>134336150</v>
      </c>
      <c r="H848" s="1665">
        <v>128491003</v>
      </c>
    </row>
    <row r="849" spans="1:8">
      <c r="A849" t="s">
        <v>1238</v>
      </c>
      <c r="B849" t="s">
        <v>7936</v>
      </c>
      <c r="C849" s="1665">
        <v>41967254</v>
      </c>
      <c r="D849" s="1665">
        <v>42792017</v>
      </c>
      <c r="E849" s="1665">
        <v>42792017</v>
      </c>
      <c r="F849" s="1665">
        <v>41967254</v>
      </c>
      <c r="G849" s="1665">
        <v>42792017</v>
      </c>
      <c r="H849" s="1665">
        <v>41967254</v>
      </c>
    </row>
    <row r="850" spans="1:8">
      <c r="A850" t="s">
        <v>1239</v>
      </c>
      <c r="B850" t="s">
        <v>7937</v>
      </c>
      <c r="C850" s="1665">
        <v>91402557</v>
      </c>
      <c r="D850" s="1665">
        <v>92339087</v>
      </c>
      <c r="E850" s="1665">
        <v>92339087</v>
      </c>
      <c r="F850" s="1665">
        <v>91402557</v>
      </c>
      <c r="G850" s="1665">
        <v>92339087</v>
      </c>
      <c r="H850" s="1665">
        <v>91402557</v>
      </c>
    </row>
    <row r="851" spans="1:8">
      <c r="A851" t="s">
        <v>1801</v>
      </c>
      <c r="B851" t="s">
        <v>7938</v>
      </c>
      <c r="C851" s="1665">
        <v>409446546</v>
      </c>
      <c r="D851" s="1665">
        <v>414228152</v>
      </c>
      <c r="E851" s="1665">
        <v>414228152</v>
      </c>
      <c r="F851" s="1665">
        <v>409446546</v>
      </c>
      <c r="G851" s="1665">
        <v>414228152</v>
      </c>
      <c r="H851" s="1665">
        <v>409446546</v>
      </c>
    </row>
    <row r="852" spans="1:8">
      <c r="A852" t="s">
        <v>274</v>
      </c>
      <c r="B852" t="s">
        <v>7939</v>
      </c>
      <c r="C852" s="1665">
        <v>348916056</v>
      </c>
      <c r="D852" s="1665">
        <v>361911458</v>
      </c>
      <c r="E852" s="1665">
        <v>338037053</v>
      </c>
      <c r="F852" s="1665">
        <v>325041651</v>
      </c>
      <c r="G852" s="1665">
        <v>338037053</v>
      </c>
      <c r="H852" s="1665">
        <v>325041651</v>
      </c>
    </row>
    <row r="853" spans="1:8">
      <c r="A853" t="s">
        <v>1727</v>
      </c>
      <c r="B853" t="s">
        <v>7940</v>
      </c>
      <c r="C853" s="1665">
        <v>1000387423</v>
      </c>
      <c r="D853" s="1665">
        <v>1031654806</v>
      </c>
      <c r="E853" s="1665">
        <v>1031654806</v>
      </c>
      <c r="F853" s="1665">
        <v>1000387423</v>
      </c>
      <c r="G853" s="1665">
        <v>1031654806</v>
      </c>
      <c r="H853" s="1665">
        <v>1000387423</v>
      </c>
    </row>
    <row r="854" spans="1:8">
      <c r="A854" t="s">
        <v>1728</v>
      </c>
      <c r="B854" t="s">
        <v>7941</v>
      </c>
      <c r="C854" s="1665">
        <v>1356996544</v>
      </c>
      <c r="D854" s="1665">
        <v>1407836902</v>
      </c>
      <c r="E854" s="1665">
        <v>1407836902</v>
      </c>
      <c r="F854" s="1665">
        <v>1356996544</v>
      </c>
      <c r="G854" s="1665">
        <v>1407836902</v>
      </c>
      <c r="H854" s="1665">
        <v>1356996544</v>
      </c>
    </row>
    <row r="855" spans="1:8">
      <c r="A855" t="s">
        <v>1006</v>
      </c>
      <c r="B855" t="s">
        <v>7942</v>
      </c>
      <c r="C855" s="1665">
        <v>344003950</v>
      </c>
      <c r="D855" s="1665">
        <v>354663125</v>
      </c>
      <c r="E855" s="1665">
        <v>354663125</v>
      </c>
      <c r="F855" s="1665">
        <v>344003950</v>
      </c>
      <c r="G855" s="1665">
        <v>354663125</v>
      </c>
      <c r="H855" s="1665">
        <v>344003950</v>
      </c>
    </row>
    <row r="856" spans="1:8">
      <c r="A856" t="s">
        <v>189</v>
      </c>
      <c r="B856" t="s">
        <v>7943</v>
      </c>
      <c r="C856" s="1665">
        <v>8444680108</v>
      </c>
      <c r="D856" s="1665">
        <v>8669831442</v>
      </c>
      <c r="E856" s="1665">
        <v>8669831442</v>
      </c>
      <c r="F856" s="1665">
        <v>8444680108</v>
      </c>
      <c r="G856" s="1665">
        <v>8669831442</v>
      </c>
      <c r="H856" s="1665">
        <v>8444680108</v>
      </c>
    </row>
    <row r="857" spans="1:8">
      <c r="A857" t="s">
        <v>1181</v>
      </c>
      <c r="B857" t="s">
        <v>7944</v>
      </c>
      <c r="C857" s="1665">
        <v>1946511930</v>
      </c>
      <c r="D857" s="1665">
        <v>2003829491</v>
      </c>
      <c r="E857" s="1665">
        <v>2003829491</v>
      </c>
      <c r="F857" s="1665">
        <v>1946511930</v>
      </c>
      <c r="G857" s="1665">
        <v>2003829491</v>
      </c>
      <c r="H857" s="1665">
        <v>1946511930</v>
      </c>
    </row>
    <row r="858" spans="1:8">
      <c r="A858" t="s">
        <v>1340</v>
      </c>
      <c r="B858" t="s">
        <v>7945</v>
      </c>
      <c r="C858" s="1665">
        <v>1207245628</v>
      </c>
      <c r="D858" s="1665">
        <v>1247085198</v>
      </c>
      <c r="E858" s="1665">
        <v>1247085198</v>
      </c>
      <c r="F858" s="1665">
        <v>1207245628</v>
      </c>
      <c r="G858" s="1665">
        <v>1247085198</v>
      </c>
      <c r="H858" s="1665">
        <v>1207245628</v>
      </c>
    </row>
    <row r="859" spans="1:8">
      <c r="A859" t="s">
        <v>1341</v>
      </c>
      <c r="B859" t="s">
        <v>7946</v>
      </c>
      <c r="C859" s="1665">
        <v>431672545</v>
      </c>
      <c r="D859" s="1665">
        <v>444109138</v>
      </c>
      <c r="E859" s="1665">
        <v>444109138</v>
      </c>
      <c r="F859" s="1665">
        <v>431672545</v>
      </c>
      <c r="G859" s="1665">
        <v>444109138</v>
      </c>
      <c r="H859" s="1665">
        <v>431672545</v>
      </c>
    </row>
    <row r="860" spans="1:8">
      <c r="A860" t="s">
        <v>1342</v>
      </c>
      <c r="B860" t="s">
        <v>7947</v>
      </c>
      <c r="C860" s="1665">
        <v>2359201023</v>
      </c>
      <c r="D860" s="1665">
        <v>2378488687</v>
      </c>
      <c r="E860" s="1665">
        <v>2342752673</v>
      </c>
      <c r="F860" s="1665">
        <v>2323465009</v>
      </c>
      <c r="G860" s="1665">
        <v>2342752673</v>
      </c>
      <c r="H860" s="1665">
        <v>2323465009</v>
      </c>
    </row>
    <row r="861" spans="1:8">
      <c r="A861" t="s">
        <v>2653</v>
      </c>
      <c r="B861" t="s">
        <v>7948</v>
      </c>
      <c r="C861" s="1665">
        <v>1212086907</v>
      </c>
      <c r="D861" s="1665">
        <v>1265167807</v>
      </c>
      <c r="E861" s="1665">
        <v>1265167807</v>
      </c>
      <c r="F861" s="1665">
        <v>1212086907</v>
      </c>
      <c r="G861" s="1665">
        <v>1970977777</v>
      </c>
      <c r="H861" s="1665">
        <v>1917896877</v>
      </c>
    </row>
    <row r="862" spans="1:8">
      <c r="A862" t="s">
        <v>1729</v>
      </c>
      <c r="B862" t="s">
        <v>7949</v>
      </c>
      <c r="C862" s="1665">
        <v>169740216</v>
      </c>
      <c r="D862" s="1665">
        <v>170751066</v>
      </c>
      <c r="E862" s="1665">
        <v>170751066</v>
      </c>
      <c r="F862" s="1665">
        <v>169740216</v>
      </c>
      <c r="G862" s="1665">
        <v>170751066</v>
      </c>
      <c r="H862" s="1665">
        <v>169740216</v>
      </c>
    </row>
    <row r="863" spans="1:8">
      <c r="A863" t="s">
        <v>193</v>
      </c>
      <c r="B863" t="s">
        <v>7950</v>
      </c>
      <c r="C863" s="1665">
        <v>512227615</v>
      </c>
      <c r="D863" s="1665">
        <v>542479305</v>
      </c>
      <c r="E863" s="1665">
        <v>542479305</v>
      </c>
      <c r="F863" s="1665">
        <v>512227615</v>
      </c>
      <c r="G863" s="1665">
        <v>612585305</v>
      </c>
      <c r="H863" s="1665">
        <v>582333615</v>
      </c>
    </row>
    <row r="864" spans="1:8">
      <c r="A864" t="s">
        <v>1730</v>
      </c>
      <c r="B864" t="s">
        <v>7951</v>
      </c>
      <c r="C864" s="1665">
        <v>479669060</v>
      </c>
      <c r="D864" s="1665">
        <v>499574116</v>
      </c>
      <c r="E864" s="1665">
        <v>499574116</v>
      </c>
      <c r="F864" s="1665">
        <v>479669060</v>
      </c>
      <c r="G864" s="1665">
        <v>499574116</v>
      </c>
      <c r="H864" s="1665">
        <v>479669060</v>
      </c>
    </row>
    <row r="865" spans="1:8">
      <c r="A865" t="s">
        <v>2584</v>
      </c>
      <c r="B865" t="s">
        <v>7952</v>
      </c>
      <c r="C865" s="1665">
        <v>448404958</v>
      </c>
      <c r="D865" s="1665">
        <v>450582768</v>
      </c>
      <c r="E865" s="1665">
        <v>450582768</v>
      </c>
      <c r="F865" s="1665">
        <v>448404958</v>
      </c>
      <c r="G865" s="1665">
        <v>790847378</v>
      </c>
      <c r="H865" s="1665">
        <v>788669568</v>
      </c>
    </row>
    <row r="866" spans="1:8">
      <c r="A866" t="s">
        <v>750</v>
      </c>
      <c r="B866" t="s">
        <v>7953</v>
      </c>
      <c r="C866" s="1665">
        <v>152449457</v>
      </c>
      <c r="D866" s="1665">
        <v>155083277</v>
      </c>
      <c r="E866" s="1665">
        <v>155083277</v>
      </c>
      <c r="F866" s="1665">
        <v>152449457</v>
      </c>
      <c r="G866" s="1665">
        <v>155083277</v>
      </c>
      <c r="H866" s="1665">
        <v>152449457</v>
      </c>
    </row>
    <row r="867" spans="1:8">
      <c r="A867" t="s">
        <v>751</v>
      </c>
      <c r="B867" t="s">
        <v>7954</v>
      </c>
      <c r="C867" s="1665">
        <v>539987398</v>
      </c>
      <c r="D867" s="1665">
        <v>548353276</v>
      </c>
      <c r="E867" s="1665">
        <v>538647851</v>
      </c>
      <c r="F867" s="1665">
        <v>530281973</v>
      </c>
      <c r="G867" s="1665">
        <v>538647851</v>
      </c>
      <c r="H867" s="1665">
        <v>530281973</v>
      </c>
    </row>
    <row r="868" spans="1:8">
      <c r="A868" t="s">
        <v>802</v>
      </c>
      <c r="B868" t="s">
        <v>7955</v>
      </c>
      <c r="C868" s="1665">
        <v>78434798</v>
      </c>
      <c r="D868" s="1665">
        <v>80045704</v>
      </c>
      <c r="E868" s="1665">
        <v>80045704</v>
      </c>
      <c r="F868" s="1665">
        <v>78434798</v>
      </c>
      <c r="G868" s="1665">
        <v>80045704</v>
      </c>
      <c r="H868" s="1665">
        <v>78434798</v>
      </c>
    </row>
    <row r="869" spans="1:8">
      <c r="A869" t="s">
        <v>568</v>
      </c>
      <c r="B869" t="s">
        <v>7956</v>
      </c>
      <c r="C869" s="1665">
        <v>150223135</v>
      </c>
      <c r="D869" s="1665">
        <v>157932288</v>
      </c>
      <c r="E869" s="1665">
        <v>157932288</v>
      </c>
      <c r="F869" s="1665">
        <v>150223135</v>
      </c>
      <c r="G869" s="1665">
        <v>157932288</v>
      </c>
      <c r="H869" s="1665">
        <v>150223135</v>
      </c>
    </row>
    <row r="870" spans="1:8">
      <c r="A870" t="s">
        <v>569</v>
      </c>
      <c r="B870" t="s">
        <v>7957</v>
      </c>
      <c r="C870" s="1665">
        <v>86528333</v>
      </c>
      <c r="D870" s="1665">
        <v>88240709</v>
      </c>
      <c r="E870" s="1665">
        <v>88240709</v>
      </c>
      <c r="F870" s="1665">
        <v>86528333</v>
      </c>
      <c r="G870" s="1665">
        <v>88240709</v>
      </c>
      <c r="H870" s="1665">
        <v>86528333</v>
      </c>
    </row>
    <row r="871" spans="1:8">
      <c r="A871" t="s">
        <v>2298</v>
      </c>
      <c r="B871" t="s">
        <v>7958</v>
      </c>
      <c r="C871" s="1665">
        <v>25301288711</v>
      </c>
      <c r="D871" s="1665">
        <v>25860117566</v>
      </c>
      <c r="E871" s="1665">
        <v>25860117566</v>
      </c>
      <c r="F871" s="1665">
        <v>25301288711</v>
      </c>
      <c r="G871" s="1665">
        <v>25860117566</v>
      </c>
      <c r="H871" s="1665">
        <v>25301288711</v>
      </c>
    </row>
    <row r="872" spans="1:8">
      <c r="A872" t="s">
        <v>873</v>
      </c>
      <c r="B872" t="s">
        <v>7959</v>
      </c>
      <c r="C872" s="1665">
        <v>9111589224</v>
      </c>
      <c r="D872" s="1665">
        <v>9376091252</v>
      </c>
      <c r="E872" s="1665">
        <v>9376091252</v>
      </c>
      <c r="F872" s="1665">
        <v>9111589224</v>
      </c>
      <c r="G872" s="1665">
        <v>9376091252</v>
      </c>
      <c r="H872" s="1665">
        <v>9111589224</v>
      </c>
    </row>
    <row r="873" spans="1:8">
      <c r="A873" t="s">
        <v>1849</v>
      </c>
      <c r="B873" t="s">
        <v>7960</v>
      </c>
      <c r="C873" s="1665">
        <v>1219699564</v>
      </c>
      <c r="D873" s="1665">
        <v>1258708159</v>
      </c>
      <c r="E873" s="1665">
        <v>1258708159</v>
      </c>
      <c r="F873" s="1665">
        <v>1219699564</v>
      </c>
      <c r="G873" s="1665">
        <v>1258708159</v>
      </c>
      <c r="H873" s="1665">
        <v>1219699564</v>
      </c>
    </row>
    <row r="874" spans="1:8">
      <c r="A874" t="s">
        <v>2018</v>
      </c>
      <c r="B874" t="s">
        <v>7961</v>
      </c>
      <c r="C874" s="1665">
        <v>33528922568</v>
      </c>
      <c r="D874" s="1665">
        <v>34274605541</v>
      </c>
      <c r="E874" s="1665">
        <v>34274605541</v>
      </c>
      <c r="F874" s="1665">
        <v>33528922568</v>
      </c>
      <c r="G874" s="1665">
        <v>34274605541</v>
      </c>
      <c r="H874" s="1665">
        <v>33528922568</v>
      </c>
    </row>
    <row r="875" spans="1:8">
      <c r="A875" t="s">
        <v>2182</v>
      </c>
      <c r="B875" t="s">
        <v>7962</v>
      </c>
      <c r="C875" s="1665">
        <v>13587532855</v>
      </c>
      <c r="D875" s="1665">
        <v>13758990935</v>
      </c>
      <c r="E875" s="1665">
        <v>13758990935</v>
      </c>
      <c r="F875" s="1665">
        <v>13587532855</v>
      </c>
      <c r="G875" s="1665">
        <v>13758990935</v>
      </c>
      <c r="H875" s="1665">
        <v>13587532855</v>
      </c>
    </row>
    <row r="876" spans="1:8">
      <c r="A876" t="s">
        <v>50</v>
      </c>
      <c r="B876" t="s">
        <v>7963</v>
      </c>
      <c r="C876" s="1665">
        <v>16560884632</v>
      </c>
      <c r="D876" s="1665">
        <v>16947312374</v>
      </c>
      <c r="E876" s="1665">
        <v>16947312374</v>
      </c>
      <c r="F876" s="1665">
        <v>16560884632</v>
      </c>
      <c r="G876" s="1665">
        <v>16947312374</v>
      </c>
      <c r="H876" s="1665">
        <v>16560884632</v>
      </c>
    </row>
    <row r="877" spans="1:8">
      <c r="A877" t="s">
        <v>347</v>
      </c>
      <c r="B877" t="s">
        <v>7964</v>
      </c>
      <c r="C877" s="1665">
        <v>12708666321</v>
      </c>
      <c r="D877" s="1665">
        <v>13039797215</v>
      </c>
      <c r="E877" s="1665">
        <v>13039797215</v>
      </c>
      <c r="F877" s="1665">
        <v>12708666321</v>
      </c>
      <c r="G877" s="1665">
        <v>13039797215</v>
      </c>
      <c r="H877" s="1665">
        <v>12708666321</v>
      </c>
    </row>
    <row r="878" spans="1:8">
      <c r="A878" t="s">
        <v>1767</v>
      </c>
      <c r="B878" t="s">
        <v>7965</v>
      </c>
      <c r="C878" s="1665">
        <v>890513038</v>
      </c>
      <c r="D878" s="1665">
        <v>910926675</v>
      </c>
      <c r="E878" s="1665">
        <v>910926675</v>
      </c>
      <c r="F878" s="1665">
        <v>890513038</v>
      </c>
      <c r="G878" s="1665">
        <v>910926675</v>
      </c>
      <c r="H878" s="1665">
        <v>890513038</v>
      </c>
    </row>
    <row r="879" spans="1:8">
      <c r="A879" t="s">
        <v>2405</v>
      </c>
      <c r="B879" t="s">
        <v>7966</v>
      </c>
      <c r="C879" s="1665">
        <v>6114578825</v>
      </c>
      <c r="D879" s="1665">
        <v>6292033769</v>
      </c>
      <c r="E879" s="1665">
        <v>6129181399</v>
      </c>
      <c r="F879" s="1665">
        <v>5951726455</v>
      </c>
      <c r="G879" s="1665">
        <v>6129181399</v>
      </c>
      <c r="H879" s="1665">
        <v>5951726455</v>
      </c>
    </row>
    <row r="880" spans="1:8">
      <c r="A880" t="s">
        <v>52</v>
      </c>
      <c r="B880" t="s">
        <v>7967</v>
      </c>
      <c r="C880" s="1665">
        <v>1269974995</v>
      </c>
      <c r="D880" s="1665">
        <v>1314365492</v>
      </c>
      <c r="E880" s="1665">
        <v>1314365492</v>
      </c>
      <c r="F880" s="1665">
        <v>1269974995</v>
      </c>
      <c r="G880" s="1665">
        <v>1314365492</v>
      </c>
      <c r="H880" s="1665">
        <v>1269974995</v>
      </c>
    </row>
    <row r="881" spans="1:8">
      <c r="A881" t="s">
        <v>1681</v>
      </c>
      <c r="B881" t="s">
        <v>7968</v>
      </c>
      <c r="C881" s="1665">
        <v>2536036737</v>
      </c>
      <c r="D881" s="1665">
        <v>2625686995</v>
      </c>
      <c r="E881" s="1665">
        <v>2625686995</v>
      </c>
      <c r="F881" s="1665">
        <v>2536036737</v>
      </c>
      <c r="G881" s="1665">
        <v>2625686995</v>
      </c>
      <c r="H881" s="1665">
        <v>2536036737</v>
      </c>
    </row>
    <row r="882" spans="1:8">
      <c r="A882" t="s">
        <v>1119</v>
      </c>
      <c r="B882" t="s">
        <v>7969</v>
      </c>
      <c r="C882" s="1665">
        <v>12585313523</v>
      </c>
      <c r="D882" s="1665">
        <v>12863100691</v>
      </c>
      <c r="E882" s="1665">
        <v>12792782073</v>
      </c>
      <c r="F882" s="1665">
        <v>12514994905</v>
      </c>
      <c r="G882" s="1665">
        <v>12792782073</v>
      </c>
      <c r="H882" s="1665">
        <v>12514994905</v>
      </c>
    </row>
    <row r="883" spans="1:8">
      <c r="A883" t="s">
        <v>1847</v>
      </c>
      <c r="B883" t="s">
        <v>7970</v>
      </c>
      <c r="C883" s="1665">
        <v>615666463</v>
      </c>
      <c r="D883" s="1665">
        <v>647440557</v>
      </c>
      <c r="E883" s="1665">
        <v>647440557</v>
      </c>
      <c r="F883" s="1665">
        <v>615666463</v>
      </c>
      <c r="G883" s="1665">
        <v>647440557</v>
      </c>
      <c r="H883" s="1665">
        <v>615666463</v>
      </c>
    </row>
    <row r="884" spans="1:8">
      <c r="A884" t="s">
        <v>2223</v>
      </c>
      <c r="B884" t="s">
        <v>7971</v>
      </c>
      <c r="C884" s="1665">
        <v>8229503357</v>
      </c>
      <c r="D884" s="1665">
        <v>8424218427</v>
      </c>
      <c r="E884" s="1665">
        <v>8424218427</v>
      </c>
      <c r="F884" s="1665">
        <v>8229503357</v>
      </c>
      <c r="G884" s="1665">
        <v>8424218427</v>
      </c>
      <c r="H884" s="1665">
        <v>8229503357</v>
      </c>
    </row>
    <row r="885" spans="1:8">
      <c r="A885" t="s">
        <v>1846</v>
      </c>
      <c r="B885" t="s">
        <v>7972</v>
      </c>
      <c r="C885" s="1665">
        <v>7785796578</v>
      </c>
      <c r="D885" s="1665">
        <v>7866650025</v>
      </c>
      <c r="E885" s="1665">
        <v>7866650025</v>
      </c>
      <c r="F885" s="1665">
        <v>7785796578</v>
      </c>
      <c r="G885" s="1665">
        <v>7866650025</v>
      </c>
      <c r="H885" s="1665">
        <v>7785796578</v>
      </c>
    </row>
    <row r="886" spans="1:8">
      <c r="A886" t="s">
        <v>1180</v>
      </c>
      <c r="B886" t="s">
        <v>7973</v>
      </c>
      <c r="C886" s="1665">
        <v>1805429215</v>
      </c>
      <c r="D886" s="1665">
        <v>1871907208</v>
      </c>
      <c r="E886" s="1665">
        <v>1871907208</v>
      </c>
      <c r="F886" s="1665">
        <v>1805429215</v>
      </c>
      <c r="G886" s="1665">
        <v>1871907208</v>
      </c>
      <c r="H886" s="1665">
        <v>1805429215</v>
      </c>
    </row>
    <row r="887" spans="1:8">
      <c r="A887" t="s">
        <v>2224</v>
      </c>
      <c r="B887" t="s">
        <v>7974</v>
      </c>
      <c r="C887" s="1665">
        <v>4556493206</v>
      </c>
      <c r="D887" s="1665">
        <v>4727399371</v>
      </c>
      <c r="E887" s="1665">
        <v>4675264562</v>
      </c>
      <c r="F887" s="1665">
        <v>4504358397</v>
      </c>
      <c r="G887" s="1665">
        <v>4675264562</v>
      </c>
      <c r="H887" s="1665">
        <v>4504358397</v>
      </c>
    </row>
    <row r="888" spans="1:8">
      <c r="A888" t="s">
        <v>2225</v>
      </c>
      <c r="B888" t="s">
        <v>7975</v>
      </c>
      <c r="C888" s="1665">
        <v>401336749</v>
      </c>
      <c r="D888" s="1665">
        <v>412688479</v>
      </c>
      <c r="E888" s="1665">
        <v>412688479</v>
      </c>
      <c r="F888" s="1665">
        <v>401336749</v>
      </c>
      <c r="G888" s="1665">
        <v>412688479</v>
      </c>
      <c r="H888" s="1665">
        <v>401336749</v>
      </c>
    </row>
    <row r="889" spans="1:8">
      <c r="A889" t="s">
        <v>2655</v>
      </c>
      <c r="B889" t="s">
        <v>7976</v>
      </c>
      <c r="C889" s="1665">
        <v>145049178</v>
      </c>
      <c r="D889" s="1665">
        <v>146428719</v>
      </c>
      <c r="E889" s="1665">
        <v>146428719</v>
      </c>
      <c r="F889" s="1665">
        <v>145049178</v>
      </c>
      <c r="G889" s="1665">
        <v>171313159</v>
      </c>
      <c r="H889" s="1665">
        <v>169933618</v>
      </c>
    </row>
    <row r="890" spans="1:8">
      <c r="A890" t="s">
        <v>2656</v>
      </c>
      <c r="B890" t="s">
        <v>7977</v>
      </c>
      <c r="C890" s="1665">
        <v>484524087</v>
      </c>
      <c r="D890" s="1665">
        <v>499526781</v>
      </c>
      <c r="E890" s="1665">
        <v>474248242</v>
      </c>
      <c r="F890" s="1665">
        <v>459245548</v>
      </c>
      <c r="G890" s="1665">
        <v>474248242</v>
      </c>
      <c r="H890" s="1665">
        <v>459245548</v>
      </c>
    </row>
    <row r="891" spans="1:8">
      <c r="A891" t="s">
        <v>2657</v>
      </c>
      <c r="B891" t="s">
        <v>7267</v>
      </c>
      <c r="C891" s="1665">
        <v>1916322044</v>
      </c>
      <c r="D891" s="1665">
        <v>1974999008</v>
      </c>
      <c r="E891" s="1665">
        <v>1974999008</v>
      </c>
      <c r="F891" s="1665">
        <v>1916322044</v>
      </c>
      <c r="G891" s="1665">
        <v>1974999008</v>
      </c>
      <c r="H891" s="1665">
        <v>1916322044</v>
      </c>
    </row>
    <row r="892" spans="1:8">
      <c r="A892" t="s">
        <v>2658</v>
      </c>
      <c r="B892" t="s">
        <v>7978</v>
      </c>
      <c r="C892" s="1665">
        <v>243684567</v>
      </c>
      <c r="D892" s="1665">
        <v>245934935</v>
      </c>
      <c r="E892" s="1665">
        <v>244646751</v>
      </c>
      <c r="F892" s="1665">
        <v>242396383</v>
      </c>
      <c r="G892" s="1665">
        <v>244646751</v>
      </c>
      <c r="H892" s="1665">
        <v>242396383</v>
      </c>
    </row>
    <row r="893" spans="1:8">
      <c r="A893" t="s">
        <v>1170</v>
      </c>
      <c r="B893" t="s">
        <v>7979</v>
      </c>
      <c r="C893" s="1665">
        <v>573379228</v>
      </c>
      <c r="D893" s="1665">
        <v>582970642</v>
      </c>
      <c r="E893" s="1665">
        <v>582970642</v>
      </c>
      <c r="F893" s="1665">
        <v>573379228</v>
      </c>
      <c r="G893" s="1665">
        <v>582970642</v>
      </c>
      <c r="H893" s="1665">
        <v>573379228</v>
      </c>
    </row>
    <row r="894" spans="1:8">
      <c r="A894" t="s">
        <v>1845</v>
      </c>
      <c r="B894" t="s">
        <v>7980</v>
      </c>
      <c r="C894" s="1665">
        <v>48539409</v>
      </c>
      <c r="D894" s="1665">
        <v>49405972</v>
      </c>
      <c r="E894" s="1665">
        <v>49405972</v>
      </c>
      <c r="F894" s="1665">
        <v>48539409</v>
      </c>
      <c r="G894" s="1665">
        <v>49405972</v>
      </c>
      <c r="H894" s="1665">
        <v>48539409</v>
      </c>
    </row>
    <row r="895" spans="1:8">
      <c r="A895" t="s">
        <v>1171</v>
      </c>
      <c r="B895" t="s">
        <v>7981</v>
      </c>
      <c r="C895" s="1665">
        <v>181638707</v>
      </c>
      <c r="D895" s="1665">
        <v>182171687</v>
      </c>
      <c r="E895" s="1665">
        <v>182171687</v>
      </c>
      <c r="F895" s="1665">
        <v>181638707</v>
      </c>
      <c r="G895" s="1665">
        <v>182171687</v>
      </c>
      <c r="H895" s="1665">
        <v>181638707</v>
      </c>
    </row>
    <row r="896" spans="1:8">
      <c r="A896" t="s">
        <v>1586</v>
      </c>
      <c r="B896" t="s">
        <v>7982</v>
      </c>
      <c r="C896" s="1665">
        <v>122668139</v>
      </c>
      <c r="D896" s="1665">
        <v>125211589</v>
      </c>
      <c r="E896" s="1665">
        <v>125211589</v>
      </c>
      <c r="F896" s="1665">
        <v>122668139</v>
      </c>
      <c r="G896" s="1665">
        <v>125211589</v>
      </c>
      <c r="H896" s="1665">
        <v>122668139</v>
      </c>
    </row>
    <row r="897" spans="1:8">
      <c r="A897" t="s">
        <v>1587</v>
      </c>
      <c r="B897" t="s">
        <v>7983</v>
      </c>
      <c r="C897" s="1665">
        <v>32508951</v>
      </c>
      <c r="D897" s="1665">
        <v>33482941</v>
      </c>
      <c r="E897" s="1665">
        <v>33482941</v>
      </c>
      <c r="F897" s="1665">
        <v>32508951</v>
      </c>
      <c r="G897" s="1665">
        <v>33482941</v>
      </c>
      <c r="H897" s="1665">
        <v>32508951</v>
      </c>
    </row>
    <row r="898" spans="1:8">
      <c r="A898" t="s">
        <v>1588</v>
      </c>
      <c r="B898" t="s">
        <v>7984</v>
      </c>
      <c r="C898" s="1665">
        <v>1527888121</v>
      </c>
      <c r="D898" s="1665">
        <v>1567268262</v>
      </c>
      <c r="E898" s="1665">
        <v>1567268262</v>
      </c>
      <c r="F898" s="1665">
        <v>1527888121</v>
      </c>
      <c r="G898" s="1665">
        <v>1567268262</v>
      </c>
      <c r="H898" s="1665">
        <v>1527888121</v>
      </c>
    </row>
    <row r="899" spans="1:8">
      <c r="A899" t="s">
        <v>1817</v>
      </c>
      <c r="B899" t="s">
        <v>7985</v>
      </c>
      <c r="C899" s="1665">
        <v>47379770</v>
      </c>
      <c r="D899" s="1665">
        <v>48623583</v>
      </c>
      <c r="E899" s="1665">
        <v>48623583</v>
      </c>
      <c r="F899" s="1665">
        <v>47379770</v>
      </c>
      <c r="G899" s="1665">
        <v>48623583</v>
      </c>
      <c r="H899" s="1665">
        <v>47379770</v>
      </c>
    </row>
    <row r="900" spans="1:8">
      <c r="A900" t="s">
        <v>275</v>
      </c>
      <c r="B900" t="s">
        <v>7945</v>
      </c>
      <c r="C900" s="1665">
        <v>124527491</v>
      </c>
      <c r="D900" s="1665">
        <v>130326966</v>
      </c>
      <c r="E900" s="1665">
        <v>130326966</v>
      </c>
      <c r="F900" s="1665">
        <v>124527491</v>
      </c>
      <c r="G900" s="1665">
        <v>130326966</v>
      </c>
      <c r="H900" s="1665">
        <v>124527491</v>
      </c>
    </row>
    <row r="901" spans="1:8">
      <c r="A901" t="s">
        <v>1818</v>
      </c>
      <c r="B901" t="s">
        <v>7986</v>
      </c>
      <c r="C901" s="1665">
        <v>145266053</v>
      </c>
      <c r="D901" s="1665">
        <v>151694519</v>
      </c>
      <c r="E901" s="1665">
        <v>151694519</v>
      </c>
      <c r="F901" s="1665">
        <v>145266053</v>
      </c>
      <c r="G901" s="1665">
        <v>151694519</v>
      </c>
      <c r="H901" s="1665">
        <v>145266053</v>
      </c>
    </row>
    <row r="902" spans="1:8">
      <c r="A902" t="s">
        <v>2440</v>
      </c>
      <c r="B902" t="s">
        <v>7987</v>
      </c>
      <c r="C902" s="1665">
        <v>240049255</v>
      </c>
      <c r="D902" s="1665">
        <v>247860385</v>
      </c>
      <c r="E902" s="1665">
        <v>247860385</v>
      </c>
      <c r="F902" s="1665">
        <v>240049255</v>
      </c>
      <c r="G902" s="1665">
        <v>257117465</v>
      </c>
      <c r="H902" s="1665">
        <v>249306335</v>
      </c>
    </row>
    <row r="903" spans="1:8">
      <c r="A903" t="s">
        <v>1313</v>
      </c>
      <c r="B903" t="s">
        <v>7988</v>
      </c>
      <c r="C903" s="1665">
        <v>4950639042</v>
      </c>
      <c r="D903" s="1665">
        <v>5165306159</v>
      </c>
      <c r="E903" s="1665">
        <v>5165306159</v>
      </c>
      <c r="F903" s="1665">
        <v>4950639042</v>
      </c>
      <c r="G903" s="1665">
        <v>5165306159</v>
      </c>
      <c r="H903" s="1665">
        <v>4950639042</v>
      </c>
    </row>
    <row r="904" spans="1:8">
      <c r="A904" t="s">
        <v>2428</v>
      </c>
      <c r="B904" t="s">
        <v>7989</v>
      </c>
      <c r="C904" s="1665">
        <v>132363098</v>
      </c>
      <c r="D904" s="1665">
        <v>136560518</v>
      </c>
      <c r="E904" s="1665">
        <v>136560518</v>
      </c>
      <c r="F904" s="1665">
        <v>132363098</v>
      </c>
      <c r="G904" s="1665">
        <v>136560518</v>
      </c>
      <c r="H904" s="1665">
        <v>132363098</v>
      </c>
    </row>
    <row r="905" spans="1:8">
      <c r="A905" t="s">
        <v>342</v>
      </c>
      <c r="B905" t="s">
        <v>7990</v>
      </c>
      <c r="C905" s="1665">
        <v>429399201</v>
      </c>
      <c r="D905" s="1665">
        <v>442248341</v>
      </c>
      <c r="E905" s="1665">
        <v>442248341</v>
      </c>
      <c r="F905" s="1665">
        <v>429399201</v>
      </c>
      <c r="G905" s="1665">
        <v>442248341</v>
      </c>
      <c r="H905" s="1665">
        <v>429399201</v>
      </c>
    </row>
    <row r="906" spans="1:8">
      <c r="A906" t="s">
        <v>1307</v>
      </c>
      <c r="B906" t="s">
        <v>7991</v>
      </c>
      <c r="C906" s="1665">
        <v>274355950</v>
      </c>
      <c r="D906" s="1665">
        <v>290860630</v>
      </c>
      <c r="E906" s="1665">
        <v>290860630</v>
      </c>
      <c r="F906" s="1665">
        <v>274355950</v>
      </c>
      <c r="G906" s="1665">
        <v>290860630</v>
      </c>
      <c r="H906" s="1665">
        <v>274355950</v>
      </c>
    </row>
    <row r="907" spans="1:8">
      <c r="A907" t="s">
        <v>1253</v>
      </c>
      <c r="B907" t="s">
        <v>7992</v>
      </c>
      <c r="C907" s="1665">
        <v>121530013</v>
      </c>
      <c r="D907" s="1665">
        <v>124615813</v>
      </c>
      <c r="E907" s="1665">
        <v>124615813</v>
      </c>
      <c r="F907" s="1665">
        <v>121530013</v>
      </c>
      <c r="G907" s="1665">
        <v>124615813</v>
      </c>
      <c r="H907" s="1665">
        <v>121530013</v>
      </c>
    </row>
    <row r="908" spans="1:8">
      <c r="A908" t="s">
        <v>263</v>
      </c>
      <c r="B908" t="s">
        <v>7993</v>
      </c>
      <c r="C908" s="1665">
        <v>110302808080</v>
      </c>
      <c r="D908" s="1665">
        <v>111428530965</v>
      </c>
      <c r="E908" s="1665">
        <v>111428530965</v>
      </c>
      <c r="F908" s="1665">
        <v>110302808080</v>
      </c>
      <c r="G908" s="1665">
        <v>111428530965</v>
      </c>
      <c r="H908" s="1665">
        <v>110302808080</v>
      </c>
    </row>
    <row r="909" spans="1:8">
      <c r="A909" t="s">
        <v>210</v>
      </c>
      <c r="B909" t="s">
        <v>7994</v>
      </c>
      <c r="C909" s="1665">
        <v>12301343576</v>
      </c>
      <c r="D909" s="1665">
        <v>12567504998</v>
      </c>
      <c r="E909" s="1665">
        <v>12567504998</v>
      </c>
      <c r="F909" s="1665">
        <v>12301343576</v>
      </c>
      <c r="G909" s="1665">
        <v>12567504998</v>
      </c>
      <c r="H909" s="1665">
        <v>12301343576</v>
      </c>
    </row>
    <row r="910" spans="1:8">
      <c r="A910" t="s">
        <v>264</v>
      </c>
      <c r="B910" t="s">
        <v>7995</v>
      </c>
      <c r="C910" s="1665">
        <v>4471765803</v>
      </c>
      <c r="D910" s="1665">
        <v>4549397431</v>
      </c>
      <c r="E910" s="1665">
        <v>4549397431</v>
      </c>
      <c r="F910" s="1665">
        <v>4471765803</v>
      </c>
      <c r="G910" s="1665">
        <v>5883745399</v>
      </c>
      <c r="H910" s="1665">
        <v>5806113771</v>
      </c>
    </row>
    <row r="911" spans="1:8">
      <c r="A911" t="s">
        <v>265</v>
      </c>
      <c r="B911" t="s">
        <v>7996</v>
      </c>
      <c r="C911" s="1665">
        <v>14421031806</v>
      </c>
      <c r="D911" s="1665">
        <v>14516713011</v>
      </c>
      <c r="E911" s="1665">
        <v>14516713011</v>
      </c>
      <c r="F911" s="1665">
        <v>14421031806</v>
      </c>
      <c r="G911" s="1665">
        <v>14516713011</v>
      </c>
      <c r="H911" s="1665">
        <v>14421031806</v>
      </c>
    </row>
    <row r="912" spans="1:8">
      <c r="A912" t="s">
        <v>1133</v>
      </c>
      <c r="B912" t="s">
        <v>7997</v>
      </c>
      <c r="C912" s="1665">
        <v>5151400095</v>
      </c>
      <c r="D912" s="1665">
        <v>5225580537</v>
      </c>
      <c r="E912" s="1665">
        <v>5225580537</v>
      </c>
      <c r="F912" s="1665">
        <v>5151400095</v>
      </c>
      <c r="G912" s="1665">
        <v>5225580537</v>
      </c>
      <c r="H912" s="1665">
        <v>5151400095</v>
      </c>
    </row>
    <row r="913" spans="1:8">
      <c r="A913" t="s">
        <v>2446</v>
      </c>
      <c r="B913" t="s">
        <v>7998</v>
      </c>
      <c r="C913" s="1665">
        <v>1546789836</v>
      </c>
      <c r="D913" s="1665">
        <v>1576327568</v>
      </c>
      <c r="E913" s="1665">
        <v>1479131249</v>
      </c>
      <c r="F913" s="1665">
        <v>1449593517</v>
      </c>
      <c r="G913" s="1665">
        <v>1479131249</v>
      </c>
      <c r="H913" s="1665">
        <v>1449593517</v>
      </c>
    </row>
    <row r="914" spans="1:8">
      <c r="A914" t="s">
        <v>1320</v>
      </c>
      <c r="B914" t="s">
        <v>7999</v>
      </c>
      <c r="C914" s="1665">
        <v>11682708655</v>
      </c>
      <c r="D914" s="1665">
        <v>11820980163</v>
      </c>
      <c r="E914" s="1665">
        <v>11085597845</v>
      </c>
      <c r="F914" s="1665">
        <v>10947326337</v>
      </c>
      <c r="G914" s="1665">
        <v>11085597845</v>
      </c>
      <c r="H914" s="1665">
        <v>10947326337</v>
      </c>
    </row>
    <row r="915" spans="1:8">
      <c r="A915" t="s">
        <v>1321</v>
      </c>
      <c r="B915" t="s">
        <v>8000</v>
      </c>
      <c r="C915" s="1665">
        <v>303662500</v>
      </c>
      <c r="D915" s="1665">
        <v>313764546</v>
      </c>
      <c r="E915" s="1665">
        <v>313764546</v>
      </c>
      <c r="F915" s="1665">
        <v>303662500</v>
      </c>
      <c r="G915" s="1665">
        <v>313764546</v>
      </c>
      <c r="H915" s="1665">
        <v>303662500</v>
      </c>
    </row>
    <row r="916" spans="1:8">
      <c r="A916" t="s">
        <v>1322</v>
      </c>
      <c r="B916" t="s">
        <v>8001</v>
      </c>
      <c r="C916" s="1665">
        <v>387293774</v>
      </c>
      <c r="D916" s="1665">
        <v>402955008</v>
      </c>
      <c r="E916" s="1665">
        <v>402955008</v>
      </c>
      <c r="F916" s="1665">
        <v>387293774</v>
      </c>
      <c r="G916" s="1665">
        <v>402955008</v>
      </c>
      <c r="H916" s="1665">
        <v>387293774</v>
      </c>
    </row>
    <row r="917" spans="1:8">
      <c r="A917" t="s">
        <v>1323</v>
      </c>
      <c r="B917" t="s">
        <v>7694</v>
      </c>
      <c r="C917" s="1665">
        <v>29218619</v>
      </c>
      <c r="D917" s="1665">
        <v>31147728</v>
      </c>
      <c r="E917" s="1665">
        <v>31147728</v>
      </c>
      <c r="F917" s="1665">
        <v>29218619</v>
      </c>
      <c r="G917" s="1665">
        <v>31147728</v>
      </c>
      <c r="H917" s="1665">
        <v>29218619</v>
      </c>
    </row>
    <row r="918" spans="1:8">
      <c r="A918" t="s">
        <v>1324</v>
      </c>
      <c r="B918" t="s">
        <v>8002</v>
      </c>
      <c r="C918" s="1665">
        <v>43762289</v>
      </c>
      <c r="D918" s="1665">
        <v>46229094</v>
      </c>
      <c r="E918" s="1665">
        <v>46229094</v>
      </c>
      <c r="F918" s="1665">
        <v>43762289</v>
      </c>
      <c r="G918" s="1665">
        <v>46229094</v>
      </c>
      <c r="H918" s="1665">
        <v>43762289</v>
      </c>
    </row>
    <row r="919" spans="1:8">
      <c r="A919" t="s">
        <v>1434</v>
      </c>
      <c r="B919" t="s">
        <v>8003</v>
      </c>
      <c r="C919" s="1665">
        <v>137323393</v>
      </c>
      <c r="D919" s="1665">
        <v>143414503</v>
      </c>
      <c r="E919" s="1665">
        <v>143414503</v>
      </c>
      <c r="F919" s="1665">
        <v>137323393</v>
      </c>
      <c r="G919" s="1665">
        <v>143414503</v>
      </c>
      <c r="H919" s="1665">
        <v>137323393</v>
      </c>
    </row>
    <row r="920" spans="1:8">
      <c r="A920" t="s">
        <v>1807</v>
      </c>
      <c r="B920" t="s">
        <v>8004</v>
      </c>
      <c r="C920" s="1665">
        <v>557327949</v>
      </c>
      <c r="D920" s="1665">
        <v>576136374</v>
      </c>
      <c r="E920" s="1665">
        <v>576136374</v>
      </c>
      <c r="F920" s="1665">
        <v>557327949</v>
      </c>
      <c r="G920" s="1665">
        <v>649591769</v>
      </c>
      <c r="H920" s="1665">
        <v>630783344</v>
      </c>
    </row>
    <row r="921" spans="1:8">
      <c r="A921" t="s">
        <v>1808</v>
      </c>
      <c r="B921" t="s">
        <v>8005</v>
      </c>
      <c r="C921" s="1665">
        <v>269569242</v>
      </c>
      <c r="D921" s="1665">
        <v>285869276</v>
      </c>
      <c r="E921" s="1665">
        <v>285869276</v>
      </c>
      <c r="F921" s="1665">
        <v>269569242</v>
      </c>
      <c r="G921" s="1665">
        <v>285869276</v>
      </c>
      <c r="H921" s="1665">
        <v>269569242</v>
      </c>
    </row>
    <row r="922" spans="1:8">
      <c r="A922" t="s">
        <v>1254</v>
      </c>
      <c r="B922" t="s">
        <v>8006</v>
      </c>
      <c r="C922" s="1665">
        <v>87121032</v>
      </c>
      <c r="D922" s="1665">
        <v>91996651</v>
      </c>
      <c r="E922" s="1665">
        <v>91996651</v>
      </c>
      <c r="F922" s="1665">
        <v>87121032</v>
      </c>
      <c r="G922" s="1665">
        <v>91996651</v>
      </c>
      <c r="H922" s="1665">
        <v>87121032</v>
      </c>
    </row>
    <row r="923" spans="1:8">
      <c r="A923" t="s">
        <v>70</v>
      </c>
      <c r="B923" t="s">
        <v>8007</v>
      </c>
      <c r="C923" s="1665">
        <v>71926220</v>
      </c>
      <c r="D923" s="1665">
        <v>75016409</v>
      </c>
      <c r="E923" s="1665">
        <v>75016409</v>
      </c>
      <c r="F923" s="1665">
        <v>71926220</v>
      </c>
      <c r="G923" s="1665">
        <v>75016409</v>
      </c>
      <c r="H923" s="1665">
        <v>71926220</v>
      </c>
    </row>
    <row r="924" spans="1:8">
      <c r="A924" t="s">
        <v>1809</v>
      </c>
      <c r="B924" t="s">
        <v>7865</v>
      </c>
      <c r="C924" s="1665">
        <v>217649812</v>
      </c>
      <c r="D924" s="1665">
        <v>226012866</v>
      </c>
      <c r="E924" s="1665">
        <v>226012866</v>
      </c>
      <c r="F924" s="1665">
        <v>217649812</v>
      </c>
      <c r="G924" s="1665">
        <v>226012866</v>
      </c>
      <c r="H924" s="1665">
        <v>217649812</v>
      </c>
    </row>
    <row r="925" spans="1:8">
      <c r="A925" t="s">
        <v>1810</v>
      </c>
      <c r="B925" t="s">
        <v>8008</v>
      </c>
      <c r="C925" s="1665">
        <v>849141784</v>
      </c>
      <c r="D925" s="1665">
        <v>885256674</v>
      </c>
      <c r="E925" s="1665">
        <v>885256674</v>
      </c>
      <c r="F925" s="1665">
        <v>849141784</v>
      </c>
      <c r="G925" s="1665">
        <v>885256674</v>
      </c>
      <c r="H925" s="1665">
        <v>849141784</v>
      </c>
    </row>
    <row r="926" spans="1:8">
      <c r="A926" t="s">
        <v>1414</v>
      </c>
      <c r="B926" t="s">
        <v>8009</v>
      </c>
      <c r="C926" s="1665">
        <v>157865142</v>
      </c>
      <c r="D926" s="1665">
        <v>166768571</v>
      </c>
      <c r="E926" s="1665">
        <v>166768571</v>
      </c>
      <c r="F926" s="1665">
        <v>157865142</v>
      </c>
      <c r="G926" s="1665">
        <v>166768571</v>
      </c>
      <c r="H926" s="1665">
        <v>157865142</v>
      </c>
    </row>
    <row r="927" spans="1:8">
      <c r="A927" t="s">
        <v>1077</v>
      </c>
      <c r="B927" t="s">
        <v>8010</v>
      </c>
      <c r="C927" s="1665">
        <v>84306351</v>
      </c>
      <c r="D927" s="1665">
        <v>89193617</v>
      </c>
      <c r="E927" s="1665">
        <v>89193617</v>
      </c>
      <c r="F927" s="1665">
        <v>84306351</v>
      </c>
      <c r="G927" s="1665">
        <v>89193617</v>
      </c>
      <c r="H927" s="1665">
        <v>84306351</v>
      </c>
    </row>
    <row r="928" spans="1:8">
      <c r="A928" t="s">
        <v>1861</v>
      </c>
      <c r="B928" t="s">
        <v>8011</v>
      </c>
      <c r="C928" s="1665">
        <v>380764931</v>
      </c>
      <c r="D928" s="1665">
        <v>399643222</v>
      </c>
      <c r="E928" s="1665">
        <v>399643222</v>
      </c>
      <c r="F928" s="1665">
        <v>380764931</v>
      </c>
      <c r="G928" s="1665">
        <v>399643222</v>
      </c>
      <c r="H928" s="1665">
        <v>380764931</v>
      </c>
    </row>
    <row r="929" spans="1:8">
      <c r="A929" t="s">
        <v>1078</v>
      </c>
      <c r="B929" t="s">
        <v>8012</v>
      </c>
      <c r="C929" s="1665">
        <v>214550330</v>
      </c>
      <c r="D929" s="1665">
        <v>225734967</v>
      </c>
      <c r="E929" s="1665">
        <v>225734967</v>
      </c>
      <c r="F929" s="1665">
        <v>214550330</v>
      </c>
      <c r="G929" s="1665">
        <v>225734967</v>
      </c>
      <c r="H929" s="1665">
        <v>214550330</v>
      </c>
    </row>
    <row r="930" spans="1:8">
      <c r="A930" t="s">
        <v>1079</v>
      </c>
      <c r="B930" t="s">
        <v>8013</v>
      </c>
      <c r="C930" s="1665">
        <v>147559780</v>
      </c>
      <c r="D930" s="1665">
        <v>154835919</v>
      </c>
      <c r="E930" s="1665">
        <v>154835919</v>
      </c>
      <c r="F930" s="1665">
        <v>147559780</v>
      </c>
      <c r="G930" s="1665">
        <v>154835919</v>
      </c>
      <c r="H930" s="1665">
        <v>147559780</v>
      </c>
    </row>
    <row r="931" spans="1:8">
      <c r="A931" t="s">
        <v>1080</v>
      </c>
      <c r="B931" t="s">
        <v>8014</v>
      </c>
      <c r="C931" s="1665">
        <v>643360446</v>
      </c>
      <c r="D931" s="1665">
        <v>648044998</v>
      </c>
      <c r="E931" s="1665">
        <v>644650933</v>
      </c>
      <c r="F931" s="1665">
        <v>639966381</v>
      </c>
      <c r="G931" s="1665">
        <v>645946463</v>
      </c>
      <c r="H931" s="1665">
        <v>641261911</v>
      </c>
    </row>
    <row r="932" spans="1:8">
      <c r="A932" t="s">
        <v>1081</v>
      </c>
      <c r="B932" t="s">
        <v>8015</v>
      </c>
      <c r="C932" s="1665">
        <v>2467957131</v>
      </c>
      <c r="D932" s="1665">
        <v>2470022131</v>
      </c>
      <c r="E932" s="1665">
        <v>2470022131</v>
      </c>
      <c r="F932" s="1665">
        <v>2467957131</v>
      </c>
      <c r="G932" s="1665">
        <v>2625296101</v>
      </c>
      <c r="H932" s="1665">
        <v>2623231101</v>
      </c>
    </row>
    <row r="933" spans="1:8">
      <c r="A933" t="s">
        <v>56</v>
      </c>
      <c r="B933" t="s">
        <v>8016</v>
      </c>
      <c r="C933" s="1665">
        <v>81642349</v>
      </c>
      <c r="D933" s="1665">
        <v>83153293</v>
      </c>
      <c r="E933" s="1665">
        <v>83153293</v>
      </c>
      <c r="F933" s="1665">
        <v>81642349</v>
      </c>
      <c r="G933" s="1665">
        <v>140744293</v>
      </c>
      <c r="H933" s="1665">
        <v>139233349</v>
      </c>
    </row>
    <row r="934" spans="1:8">
      <c r="A934" t="s">
        <v>1544</v>
      </c>
      <c r="B934" t="s">
        <v>8017</v>
      </c>
      <c r="C934" s="1665">
        <v>324586082</v>
      </c>
      <c r="D934" s="1665">
        <v>329979517</v>
      </c>
      <c r="E934" s="1665">
        <v>329979517</v>
      </c>
      <c r="F934" s="1665">
        <v>324586082</v>
      </c>
      <c r="G934" s="1665">
        <v>329979517</v>
      </c>
      <c r="H934" s="1665">
        <v>324586082</v>
      </c>
    </row>
    <row r="935" spans="1:8">
      <c r="A935" t="s">
        <v>1521</v>
      </c>
      <c r="B935" t="s">
        <v>8018</v>
      </c>
      <c r="C935" s="1665">
        <v>1135296129</v>
      </c>
      <c r="D935" s="1665">
        <v>1175038072</v>
      </c>
      <c r="E935" s="1665">
        <v>1175038072</v>
      </c>
      <c r="F935" s="1665">
        <v>1135296129</v>
      </c>
      <c r="G935" s="1665">
        <v>1325672672</v>
      </c>
      <c r="H935" s="1665">
        <v>1285930729</v>
      </c>
    </row>
    <row r="936" spans="1:8">
      <c r="A936" t="s">
        <v>1319</v>
      </c>
      <c r="B936" t="s">
        <v>8019</v>
      </c>
      <c r="C936" s="1665">
        <v>208672964</v>
      </c>
      <c r="D936" s="1665">
        <v>212635710</v>
      </c>
      <c r="E936" s="1665">
        <v>212635710</v>
      </c>
      <c r="F936" s="1665">
        <v>208672964</v>
      </c>
      <c r="G936" s="1665">
        <v>212635710</v>
      </c>
      <c r="H936" s="1665">
        <v>208672964</v>
      </c>
    </row>
    <row r="937" spans="1:8">
      <c r="A937" t="s">
        <v>488</v>
      </c>
      <c r="B937" t="s">
        <v>8020</v>
      </c>
      <c r="C937" s="1665">
        <v>1815224372</v>
      </c>
      <c r="D937" s="1665">
        <v>1898857624</v>
      </c>
      <c r="E937" s="1665">
        <v>1807086565</v>
      </c>
      <c r="F937" s="1665">
        <v>1723453313</v>
      </c>
      <c r="G937" s="1665">
        <v>1807086565</v>
      </c>
      <c r="H937" s="1665">
        <v>1723453313</v>
      </c>
    </row>
    <row r="938" spans="1:8">
      <c r="A938" t="s">
        <v>831</v>
      </c>
      <c r="B938" t="s">
        <v>8021</v>
      </c>
      <c r="C938" s="1665">
        <v>205620187</v>
      </c>
      <c r="D938" s="1665">
        <v>206936197</v>
      </c>
      <c r="E938" s="1665">
        <v>206568199</v>
      </c>
      <c r="F938" s="1665">
        <v>205252189</v>
      </c>
      <c r="G938" s="1665">
        <v>206568199</v>
      </c>
      <c r="H938" s="1665">
        <v>205252189</v>
      </c>
    </row>
    <row r="939" spans="1:8">
      <c r="A939" t="s">
        <v>833</v>
      </c>
      <c r="B939" t="s">
        <v>8022</v>
      </c>
      <c r="C939" s="1665">
        <v>681670148</v>
      </c>
      <c r="D939" s="1665">
        <v>708417312</v>
      </c>
      <c r="E939" s="1665">
        <v>708417312</v>
      </c>
      <c r="F939" s="1665">
        <v>681670148</v>
      </c>
      <c r="G939" s="1665">
        <v>708417312</v>
      </c>
      <c r="H939" s="1665">
        <v>681670148</v>
      </c>
    </row>
    <row r="940" spans="1:8">
      <c r="A940" t="s">
        <v>834</v>
      </c>
      <c r="B940" t="s">
        <v>7144</v>
      </c>
      <c r="C940" s="1665">
        <v>219470254</v>
      </c>
      <c r="D940" s="1665">
        <v>230752813</v>
      </c>
      <c r="E940" s="1665">
        <v>230752813</v>
      </c>
      <c r="F940" s="1665">
        <v>219470254</v>
      </c>
      <c r="G940" s="1665">
        <v>230752813</v>
      </c>
      <c r="H940" s="1665">
        <v>219470254</v>
      </c>
    </row>
    <row r="941" spans="1:8">
      <c r="A941" t="s">
        <v>1533</v>
      </c>
      <c r="B941" t="s">
        <v>8023</v>
      </c>
      <c r="C941" s="1665">
        <v>251275816</v>
      </c>
      <c r="D941" s="1665">
        <v>264731266</v>
      </c>
      <c r="E941" s="1665">
        <v>250405676</v>
      </c>
      <c r="F941" s="1665">
        <v>236950226</v>
      </c>
      <c r="G941" s="1665">
        <v>250405676</v>
      </c>
      <c r="H941" s="1665">
        <v>236950226</v>
      </c>
    </row>
    <row r="942" spans="1:8">
      <c r="A942" t="s">
        <v>1836</v>
      </c>
      <c r="B942" t="s">
        <v>8024</v>
      </c>
      <c r="C942" s="1665">
        <v>104131893</v>
      </c>
      <c r="D942" s="1665">
        <v>108548410</v>
      </c>
      <c r="E942" s="1665">
        <v>108548410</v>
      </c>
      <c r="F942" s="1665">
        <v>104131893</v>
      </c>
      <c r="G942" s="1665">
        <v>108548410</v>
      </c>
      <c r="H942" s="1665">
        <v>104131893</v>
      </c>
    </row>
    <row r="943" spans="1:8">
      <c r="A943" t="s">
        <v>835</v>
      </c>
      <c r="B943" t="s">
        <v>8025</v>
      </c>
      <c r="C943" s="1665">
        <v>615621038</v>
      </c>
      <c r="D943" s="1665">
        <v>646565776</v>
      </c>
      <c r="E943" s="1665">
        <v>604090317</v>
      </c>
      <c r="F943" s="1665">
        <v>573145579</v>
      </c>
      <c r="G943" s="1665">
        <v>604090317</v>
      </c>
      <c r="H943" s="1665">
        <v>573145579</v>
      </c>
    </row>
    <row r="944" spans="1:8">
      <c r="A944" t="s">
        <v>836</v>
      </c>
      <c r="B944" t="s">
        <v>8026</v>
      </c>
      <c r="C944" s="1665">
        <v>601569698</v>
      </c>
      <c r="D944" s="1665">
        <v>628693311</v>
      </c>
      <c r="E944" s="1665">
        <v>628693311</v>
      </c>
      <c r="F944" s="1665">
        <v>601569698</v>
      </c>
      <c r="G944" s="1665">
        <v>628693311</v>
      </c>
      <c r="H944" s="1665">
        <v>601569698</v>
      </c>
    </row>
    <row r="945" spans="1:8">
      <c r="A945" t="s">
        <v>1426</v>
      </c>
      <c r="B945" t="s">
        <v>8027</v>
      </c>
      <c r="C945" s="1665">
        <v>47409004</v>
      </c>
      <c r="D945" s="1665">
        <v>50839279</v>
      </c>
      <c r="E945" s="1665">
        <v>47310513</v>
      </c>
      <c r="F945" s="1665">
        <v>43880238</v>
      </c>
      <c r="G945" s="1665">
        <v>47310513</v>
      </c>
      <c r="H945" s="1665">
        <v>43880238</v>
      </c>
    </row>
    <row r="946" spans="1:8">
      <c r="A946" t="s">
        <v>877</v>
      </c>
      <c r="B946" t="s">
        <v>8028</v>
      </c>
      <c r="C946" s="1665">
        <v>163836987</v>
      </c>
      <c r="D946" s="1665">
        <v>169083330</v>
      </c>
      <c r="E946" s="1665">
        <v>169083330</v>
      </c>
      <c r="F946" s="1665">
        <v>163836987</v>
      </c>
      <c r="G946" s="1665">
        <v>169083330</v>
      </c>
      <c r="H946" s="1665">
        <v>163836987</v>
      </c>
    </row>
    <row r="947" spans="1:8">
      <c r="A947" t="s">
        <v>340</v>
      </c>
      <c r="B947" t="s">
        <v>8029</v>
      </c>
      <c r="C947" s="1665">
        <v>5772404668</v>
      </c>
      <c r="D947" s="1665">
        <v>5931497443</v>
      </c>
      <c r="E947" s="1665">
        <v>5931497443</v>
      </c>
      <c r="F947" s="1665">
        <v>5772404668</v>
      </c>
      <c r="G947" s="1665">
        <v>5931497443</v>
      </c>
      <c r="H947" s="1665">
        <v>5772404668</v>
      </c>
    </row>
    <row r="948" spans="1:8">
      <c r="A948" t="s">
        <v>2597</v>
      </c>
      <c r="B948" t="s">
        <v>8030</v>
      </c>
      <c r="C948" s="1665">
        <v>232552953</v>
      </c>
      <c r="D948" s="1665">
        <v>236750180</v>
      </c>
      <c r="E948" s="1665">
        <v>236750180</v>
      </c>
      <c r="F948" s="1665">
        <v>232552953</v>
      </c>
      <c r="G948" s="1665">
        <v>236750180</v>
      </c>
      <c r="H948" s="1665">
        <v>232552953</v>
      </c>
    </row>
    <row r="949" spans="1:8">
      <c r="A949" t="s">
        <v>1022</v>
      </c>
      <c r="B949" t="s">
        <v>8031</v>
      </c>
      <c r="C949" s="1665">
        <v>328673280</v>
      </c>
      <c r="D949" s="1665">
        <v>337785177</v>
      </c>
      <c r="E949" s="1665">
        <v>337785177</v>
      </c>
      <c r="F949" s="1665">
        <v>328673280</v>
      </c>
      <c r="G949" s="1665">
        <v>337785177</v>
      </c>
      <c r="H949" s="1665">
        <v>328673280</v>
      </c>
    </row>
    <row r="950" spans="1:8">
      <c r="A950" t="s">
        <v>1156</v>
      </c>
      <c r="B950" t="s">
        <v>8032</v>
      </c>
      <c r="C950" s="1665">
        <v>2620506284</v>
      </c>
      <c r="D950" s="1665">
        <v>2686181320</v>
      </c>
      <c r="E950" s="1665">
        <v>2686181320</v>
      </c>
      <c r="F950" s="1665">
        <v>2620506284</v>
      </c>
      <c r="G950" s="1665">
        <v>2686181320</v>
      </c>
      <c r="H950" s="1665">
        <v>2620506284</v>
      </c>
    </row>
    <row r="951" spans="1:8">
      <c r="A951" t="s">
        <v>276</v>
      </c>
      <c r="B951" t="s">
        <v>8033</v>
      </c>
      <c r="C951" s="1665">
        <v>576374230</v>
      </c>
      <c r="D951" s="1665">
        <v>590259623</v>
      </c>
      <c r="E951" s="1665">
        <v>590259623</v>
      </c>
      <c r="F951" s="1665">
        <v>576374230</v>
      </c>
      <c r="G951" s="1665">
        <v>590259623</v>
      </c>
      <c r="H951" s="1665">
        <v>576374230</v>
      </c>
    </row>
    <row r="952" spans="1:8">
      <c r="A952" t="s">
        <v>277</v>
      </c>
      <c r="B952" t="s">
        <v>8034</v>
      </c>
      <c r="C952" s="1665">
        <v>3010074695</v>
      </c>
      <c r="D952" s="1665">
        <v>3071166612</v>
      </c>
      <c r="E952" s="1665">
        <v>3071166612</v>
      </c>
      <c r="F952" s="1665">
        <v>3010074695</v>
      </c>
      <c r="G952" s="1665">
        <v>3147672467</v>
      </c>
      <c r="H952" s="1665">
        <v>3086580550</v>
      </c>
    </row>
    <row r="953" spans="1:8">
      <c r="A953" t="s">
        <v>624</v>
      </c>
      <c r="B953" t="s">
        <v>8035</v>
      </c>
      <c r="C953" s="1665">
        <v>1125193800</v>
      </c>
      <c r="D953" s="1665">
        <v>1138624254</v>
      </c>
      <c r="E953" s="1665">
        <v>1135205124</v>
      </c>
      <c r="F953" s="1665">
        <v>1121774670</v>
      </c>
      <c r="G953" s="1665">
        <v>1150224614</v>
      </c>
      <c r="H953" s="1665">
        <v>1136794160</v>
      </c>
    </row>
    <row r="954" spans="1:8">
      <c r="A954" t="s">
        <v>625</v>
      </c>
      <c r="B954" t="s">
        <v>8036</v>
      </c>
      <c r="C954" s="1665">
        <v>1523521773</v>
      </c>
      <c r="D954" s="1665">
        <v>1541257603</v>
      </c>
      <c r="E954" s="1665">
        <v>1529919943</v>
      </c>
      <c r="F954" s="1665">
        <v>1512184113</v>
      </c>
      <c r="G954" s="1665">
        <v>1529919943</v>
      </c>
      <c r="H954" s="1665">
        <v>1512184113</v>
      </c>
    </row>
    <row r="955" spans="1:8">
      <c r="A955" t="s">
        <v>626</v>
      </c>
      <c r="B955" t="s">
        <v>8037</v>
      </c>
      <c r="C955" s="1665">
        <v>95018016</v>
      </c>
      <c r="D955" s="1665">
        <v>95427126</v>
      </c>
      <c r="E955" s="1665">
        <v>95190896</v>
      </c>
      <c r="F955" s="1665">
        <v>94781786</v>
      </c>
      <c r="G955" s="1665">
        <v>95190896</v>
      </c>
      <c r="H955" s="1665">
        <v>94781786</v>
      </c>
    </row>
    <row r="956" spans="1:8">
      <c r="A956" t="s">
        <v>2339</v>
      </c>
      <c r="B956" t="s">
        <v>8038</v>
      </c>
      <c r="C956" s="1665">
        <v>2638668043</v>
      </c>
      <c r="D956" s="1665">
        <v>2705086224</v>
      </c>
      <c r="E956" s="1665">
        <v>2705086224</v>
      </c>
      <c r="F956" s="1665">
        <v>2638668043</v>
      </c>
      <c r="G956" s="1665">
        <v>2705086224</v>
      </c>
      <c r="H956" s="1665">
        <v>2638668043</v>
      </c>
    </row>
    <row r="957" spans="1:8">
      <c r="A957" t="s">
        <v>2340</v>
      </c>
      <c r="B957" t="s">
        <v>8039</v>
      </c>
      <c r="C957" s="1665">
        <v>417864401</v>
      </c>
      <c r="D957" s="1665">
        <v>425899609</v>
      </c>
      <c r="E957" s="1665">
        <v>425899609</v>
      </c>
      <c r="F957" s="1665">
        <v>417864401</v>
      </c>
      <c r="G957" s="1665">
        <v>425899609</v>
      </c>
      <c r="H957" s="1665">
        <v>417864401</v>
      </c>
    </row>
    <row r="958" spans="1:8">
      <c r="A958" t="s">
        <v>1768</v>
      </c>
      <c r="B958" t="s">
        <v>8040</v>
      </c>
      <c r="C958" s="1665">
        <v>2249404758</v>
      </c>
      <c r="D958" s="1665">
        <v>2334553959</v>
      </c>
      <c r="E958" s="1665">
        <v>2297062363</v>
      </c>
      <c r="F958" s="1665">
        <v>2211913162</v>
      </c>
      <c r="G958" s="1665">
        <v>2297062363</v>
      </c>
      <c r="H958" s="1665">
        <v>2211913162</v>
      </c>
    </row>
    <row r="959" spans="1:8">
      <c r="A959" t="s">
        <v>1520</v>
      </c>
      <c r="B959" t="s">
        <v>8041</v>
      </c>
      <c r="C959" s="1665">
        <v>15889218667</v>
      </c>
      <c r="D959" s="1665">
        <v>16136554583</v>
      </c>
      <c r="E959" s="1665">
        <v>15822753342</v>
      </c>
      <c r="F959" s="1665">
        <v>15575417426</v>
      </c>
      <c r="G959" s="1665">
        <v>15822753342</v>
      </c>
      <c r="H959" s="1665">
        <v>15575417426</v>
      </c>
    </row>
    <row r="960" spans="1:8">
      <c r="A960" t="s">
        <v>927</v>
      </c>
      <c r="B960" t="s">
        <v>8042</v>
      </c>
      <c r="C960" s="1665">
        <v>579584054</v>
      </c>
      <c r="D960" s="1665">
        <v>580960359</v>
      </c>
      <c r="E960" s="1665">
        <v>580100226</v>
      </c>
      <c r="F960" s="1665">
        <v>578723921</v>
      </c>
      <c r="G960" s="1665">
        <v>1230678166</v>
      </c>
      <c r="H960" s="1665">
        <v>1229301861</v>
      </c>
    </row>
    <row r="961" spans="1:8">
      <c r="A961" t="s">
        <v>928</v>
      </c>
      <c r="B961" t="s">
        <v>8043</v>
      </c>
      <c r="C961" s="1665">
        <v>350891923</v>
      </c>
      <c r="D961" s="1665">
        <v>360421493</v>
      </c>
      <c r="E961" s="1665">
        <v>360421493</v>
      </c>
      <c r="F961" s="1665">
        <v>350891923</v>
      </c>
      <c r="G961" s="1665">
        <v>360421493</v>
      </c>
      <c r="H961" s="1665">
        <v>350891923</v>
      </c>
    </row>
    <row r="962" spans="1:8">
      <c r="A962" t="s">
        <v>929</v>
      </c>
      <c r="B962" t="s">
        <v>8044</v>
      </c>
      <c r="C962" s="1665">
        <v>350865416</v>
      </c>
      <c r="D962" s="1665">
        <v>360984028</v>
      </c>
      <c r="E962" s="1665">
        <v>360984028</v>
      </c>
      <c r="F962" s="1665">
        <v>350865416</v>
      </c>
      <c r="G962" s="1665">
        <v>360984028</v>
      </c>
      <c r="H962" s="1665">
        <v>350865416</v>
      </c>
    </row>
    <row r="963" spans="1:8">
      <c r="A963" t="s">
        <v>571</v>
      </c>
      <c r="B963" t="s">
        <v>8045</v>
      </c>
      <c r="C963" s="1665">
        <v>1232069101</v>
      </c>
      <c r="D963" s="1665">
        <v>1266817824</v>
      </c>
      <c r="E963" s="1665">
        <v>1266817824</v>
      </c>
      <c r="F963" s="1665">
        <v>1232069101</v>
      </c>
      <c r="G963" s="1665">
        <v>1266817824</v>
      </c>
      <c r="H963" s="1665">
        <v>1232069101</v>
      </c>
    </row>
    <row r="964" spans="1:8">
      <c r="A964" t="s">
        <v>902</v>
      </c>
      <c r="B964" t="s">
        <v>8046</v>
      </c>
      <c r="C964" s="1665">
        <v>1150254103</v>
      </c>
      <c r="D964" s="1665">
        <v>1173353210</v>
      </c>
      <c r="E964" s="1665">
        <v>1173353210</v>
      </c>
      <c r="F964" s="1665">
        <v>1150254103</v>
      </c>
      <c r="G964" s="1665">
        <v>1173353210</v>
      </c>
      <c r="H964" s="1665">
        <v>1150254103</v>
      </c>
    </row>
    <row r="965" spans="1:8">
      <c r="A965" t="s">
        <v>903</v>
      </c>
      <c r="B965" t="s">
        <v>8047</v>
      </c>
      <c r="C965" s="1665">
        <v>262007167</v>
      </c>
      <c r="D965" s="1665">
        <v>267666242</v>
      </c>
      <c r="E965" s="1665">
        <v>267666242</v>
      </c>
      <c r="F965" s="1665">
        <v>262007167</v>
      </c>
      <c r="G965" s="1665">
        <v>267666242</v>
      </c>
      <c r="H965" s="1665">
        <v>262007167</v>
      </c>
    </row>
    <row r="966" spans="1:8">
      <c r="A966" t="s">
        <v>904</v>
      </c>
      <c r="B966" t="s">
        <v>8048</v>
      </c>
      <c r="C966" s="1665">
        <v>128963580</v>
      </c>
      <c r="D966" s="1665">
        <v>133724000</v>
      </c>
      <c r="E966" s="1665">
        <v>133724000</v>
      </c>
      <c r="F966" s="1665">
        <v>128963580</v>
      </c>
      <c r="G966" s="1665">
        <v>133724000</v>
      </c>
      <c r="H966" s="1665">
        <v>128963580</v>
      </c>
    </row>
    <row r="967" spans="1:8">
      <c r="A967" t="s">
        <v>905</v>
      </c>
      <c r="B967" t="s">
        <v>8049</v>
      </c>
      <c r="C967" s="1665">
        <v>284135795</v>
      </c>
      <c r="D967" s="1665">
        <v>288027605</v>
      </c>
      <c r="E967" s="1665">
        <v>288027605</v>
      </c>
      <c r="F967" s="1665">
        <v>284135795</v>
      </c>
      <c r="G967" s="1665">
        <v>288027605</v>
      </c>
      <c r="H967" s="1665">
        <v>284135795</v>
      </c>
    </row>
    <row r="968" spans="1:8">
      <c r="A968" t="s">
        <v>1724</v>
      </c>
      <c r="B968" t="s">
        <v>8050</v>
      </c>
      <c r="C968" s="1665">
        <v>603983670</v>
      </c>
      <c r="D968" s="1665">
        <v>604326240</v>
      </c>
      <c r="E968" s="1665">
        <v>604326240</v>
      </c>
      <c r="F968" s="1665">
        <v>603983670</v>
      </c>
      <c r="G968" s="1665">
        <v>604326240</v>
      </c>
      <c r="H968" s="1665">
        <v>603983670</v>
      </c>
    </row>
    <row r="969" spans="1:8">
      <c r="A969" t="s">
        <v>2319</v>
      </c>
      <c r="B969" t="s">
        <v>8051</v>
      </c>
      <c r="C969" s="1665">
        <v>1107778260</v>
      </c>
      <c r="D969" s="1665">
        <v>1109555500</v>
      </c>
      <c r="E969" s="1665">
        <v>1109555500</v>
      </c>
      <c r="F969" s="1665">
        <v>1107778260</v>
      </c>
      <c r="G969" s="1665">
        <v>1166573470</v>
      </c>
      <c r="H969" s="1665">
        <v>1164796230</v>
      </c>
    </row>
    <row r="970" spans="1:8">
      <c r="A970" t="s">
        <v>884</v>
      </c>
      <c r="B970" t="s">
        <v>8052</v>
      </c>
      <c r="C970" s="1665">
        <v>773068583</v>
      </c>
      <c r="D970" s="1665">
        <v>804345674</v>
      </c>
      <c r="E970" s="1665">
        <v>804345674</v>
      </c>
      <c r="F970" s="1665">
        <v>773068583</v>
      </c>
      <c r="G970" s="1665">
        <v>804345674</v>
      </c>
      <c r="H970" s="1665">
        <v>773068583</v>
      </c>
    </row>
    <row r="971" spans="1:8">
      <c r="A971" t="s">
        <v>1255</v>
      </c>
      <c r="B971" t="s">
        <v>8053</v>
      </c>
      <c r="C971" s="1665">
        <v>162801050</v>
      </c>
      <c r="D971" s="1665">
        <v>167663712</v>
      </c>
      <c r="E971" s="1665">
        <v>167663712</v>
      </c>
      <c r="F971" s="1665">
        <v>162801050</v>
      </c>
      <c r="G971" s="1665">
        <v>167663712</v>
      </c>
      <c r="H971" s="1665">
        <v>162801050</v>
      </c>
    </row>
    <row r="972" spans="1:8">
      <c r="A972" t="s">
        <v>642</v>
      </c>
      <c r="B972" t="s">
        <v>8054</v>
      </c>
      <c r="C972" s="1665">
        <v>549056770</v>
      </c>
      <c r="D972" s="1665">
        <v>573146003</v>
      </c>
      <c r="E972" s="1665">
        <v>573146003</v>
      </c>
      <c r="F972" s="1665">
        <v>549056770</v>
      </c>
      <c r="G972" s="1665">
        <v>573146003</v>
      </c>
      <c r="H972" s="1665">
        <v>549056770</v>
      </c>
    </row>
    <row r="973" spans="1:8">
      <c r="A973" t="s">
        <v>1827</v>
      </c>
      <c r="B973" t="s">
        <v>8055</v>
      </c>
      <c r="C973" s="1665">
        <v>4265563939</v>
      </c>
      <c r="D973" s="1665">
        <v>4413045737</v>
      </c>
      <c r="E973" s="1665">
        <v>4413045737</v>
      </c>
      <c r="F973" s="1665">
        <v>4265563939</v>
      </c>
      <c r="G973" s="1665">
        <v>4413045737</v>
      </c>
      <c r="H973" s="1665">
        <v>4265563939</v>
      </c>
    </row>
    <row r="974" spans="1:8">
      <c r="A974" t="s">
        <v>573</v>
      </c>
      <c r="B974" t="s">
        <v>8056</v>
      </c>
      <c r="C974" s="1665">
        <v>180942446</v>
      </c>
      <c r="D974" s="1665">
        <v>189340455</v>
      </c>
      <c r="E974" s="1665">
        <v>189340455</v>
      </c>
      <c r="F974" s="1665">
        <v>180942446</v>
      </c>
      <c r="G974" s="1665">
        <v>189340455</v>
      </c>
      <c r="H974" s="1665">
        <v>180942446</v>
      </c>
    </row>
    <row r="975" spans="1:8">
      <c r="A975" t="s">
        <v>1358</v>
      </c>
      <c r="B975" t="s">
        <v>8057</v>
      </c>
      <c r="C975" s="1665">
        <v>72096109</v>
      </c>
      <c r="D975" s="1665">
        <v>72429799</v>
      </c>
      <c r="E975" s="1665">
        <v>72429799</v>
      </c>
      <c r="F975" s="1665">
        <v>72096109</v>
      </c>
      <c r="G975" s="1665">
        <v>164787659</v>
      </c>
      <c r="H975" s="1665">
        <v>164453969</v>
      </c>
    </row>
    <row r="976" spans="1:8">
      <c r="A976" t="s">
        <v>9</v>
      </c>
      <c r="B976" t="s">
        <v>8058</v>
      </c>
      <c r="C976" s="1665">
        <v>885364193</v>
      </c>
      <c r="D976" s="1665">
        <v>908370283</v>
      </c>
      <c r="E976" s="1665">
        <v>908370283</v>
      </c>
      <c r="F976" s="1665">
        <v>885364193</v>
      </c>
      <c r="G976" s="1665">
        <v>1038673283</v>
      </c>
      <c r="H976" s="1665">
        <v>1015667193</v>
      </c>
    </row>
    <row r="977" spans="1:8">
      <c r="A977" t="s">
        <v>10</v>
      </c>
      <c r="B977" t="s">
        <v>7151</v>
      </c>
      <c r="C977" s="1665">
        <v>29856903</v>
      </c>
      <c r="D977" s="1665">
        <v>30460733</v>
      </c>
      <c r="E977" s="1665">
        <v>30460733</v>
      </c>
      <c r="F977" s="1665">
        <v>29856903</v>
      </c>
      <c r="G977" s="1665">
        <v>67115723</v>
      </c>
      <c r="H977" s="1665">
        <v>66511893</v>
      </c>
    </row>
    <row r="978" spans="1:8">
      <c r="A978" t="s">
        <v>1503</v>
      </c>
      <c r="B978" t="s">
        <v>8059</v>
      </c>
      <c r="C978" s="1665">
        <v>34711107</v>
      </c>
      <c r="D978" s="1665">
        <v>36830902</v>
      </c>
      <c r="E978" s="1665">
        <v>36830902</v>
      </c>
      <c r="F978" s="1665">
        <v>34711107</v>
      </c>
      <c r="G978" s="1665">
        <v>36830902</v>
      </c>
      <c r="H978" s="1665">
        <v>34711107</v>
      </c>
    </row>
    <row r="979" spans="1:8">
      <c r="A979" t="s">
        <v>2089</v>
      </c>
      <c r="B979" t="s">
        <v>8060</v>
      </c>
      <c r="C979" s="1665">
        <v>211899192</v>
      </c>
      <c r="D979" s="1665">
        <v>222145451</v>
      </c>
      <c r="E979" s="1665">
        <v>222145451</v>
      </c>
      <c r="F979" s="1665">
        <v>211899192</v>
      </c>
      <c r="G979" s="1665">
        <v>595434031</v>
      </c>
      <c r="H979" s="1665">
        <v>585187772</v>
      </c>
    </row>
    <row r="980" spans="1:8">
      <c r="A980" t="s">
        <v>425</v>
      </c>
      <c r="B980" t="s">
        <v>8061</v>
      </c>
      <c r="C980" s="1665">
        <v>264945246</v>
      </c>
      <c r="D980" s="1665">
        <v>278984424</v>
      </c>
      <c r="E980" s="1665">
        <v>278984424</v>
      </c>
      <c r="F980" s="1665">
        <v>264945246</v>
      </c>
      <c r="G980" s="1665">
        <v>345570424</v>
      </c>
      <c r="H980" s="1665">
        <v>331531246</v>
      </c>
    </row>
    <row r="981" spans="1:8">
      <c r="A981" t="s">
        <v>278</v>
      </c>
      <c r="B981" t="s">
        <v>8062</v>
      </c>
      <c r="C981" s="1665">
        <v>93648274</v>
      </c>
      <c r="D981" s="1665">
        <v>95886007</v>
      </c>
      <c r="E981" s="1665">
        <v>95886007</v>
      </c>
      <c r="F981" s="1665">
        <v>93648274</v>
      </c>
      <c r="G981" s="1665">
        <v>120998427</v>
      </c>
      <c r="H981" s="1665">
        <v>118760694</v>
      </c>
    </row>
    <row r="982" spans="1:8">
      <c r="A982" t="s">
        <v>1338</v>
      </c>
      <c r="B982" t="s">
        <v>8063</v>
      </c>
      <c r="C982" s="1665">
        <v>352859962</v>
      </c>
      <c r="D982" s="1665">
        <v>363934498</v>
      </c>
      <c r="E982" s="1665">
        <v>363934498</v>
      </c>
      <c r="F982" s="1665">
        <v>352859962</v>
      </c>
      <c r="G982" s="1665">
        <v>363934498</v>
      </c>
      <c r="H982" s="1665">
        <v>352859962</v>
      </c>
    </row>
    <row r="983" spans="1:8">
      <c r="A983" t="s">
        <v>2580</v>
      </c>
      <c r="B983" t="s">
        <v>8064</v>
      </c>
      <c r="C983" s="1665">
        <v>8832639033</v>
      </c>
      <c r="D983" s="1665">
        <v>9037531553</v>
      </c>
      <c r="E983" s="1665">
        <v>9037531553</v>
      </c>
      <c r="F983" s="1665">
        <v>8832639033</v>
      </c>
      <c r="G983" s="1665">
        <v>9037531553</v>
      </c>
      <c r="H983" s="1665">
        <v>8832639033</v>
      </c>
    </row>
    <row r="984" spans="1:8">
      <c r="A984" t="s">
        <v>1799</v>
      </c>
      <c r="B984" t="s">
        <v>8065</v>
      </c>
      <c r="C984" s="1665">
        <v>144185038</v>
      </c>
      <c r="D984" s="1665">
        <v>150277282</v>
      </c>
      <c r="E984" s="1665">
        <v>150277282</v>
      </c>
      <c r="F984" s="1665">
        <v>144185038</v>
      </c>
      <c r="G984" s="1665">
        <v>150277282</v>
      </c>
      <c r="H984" s="1665">
        <v>144185038</v>
      </c>
    </row>
    <row r="985" spans="1:8">
      <c r="A985" t="s">
        <v>40</v>
      </c>
      <c r="B985" t="s">
        <v>8066</v>
      </c>
      <c r="C985" s="1665">
        <v>2728126134</v>
      </c>
      <c r="D985" s="1665">
        <v>2801674596</v>
      </c>
      <c r="E985" s="1665">
        <v>2801674596</v>
      </c>
      <c r="F985" s="1665">
        <v>2728126134</v>
      </c>
      <c r="G985" s="1665">
        <v>2801674596</v>
      </c>
      <c r="H985" s="1665">
        <v>2728126134</v>
      </c>
    </row>
    <row r="986" spans="1:8">
      <c r="A986" t="s">
        <v>11</v>
      </c>
      <c r="B986" t="s">
        <v>8067</v>
      </c>
      <c r="C986" s="1665">
        <v>1059209629</v>
      </c>
      <c r="D986" s="1665">
        <v>1093900659</v>
      </c>
      <c r="E986" s="1665">
        <v>1093900659</v>
      </c>
      <c r="F986" s="1665">
        <v>1059209629</v>
      </c>
      <c r="G986" s="1665">
        <v>1093900659</v>
      </c>
      <c r="H986" s="1665">
        <v>1059209629</v>
      </c>
    </row>
    <row r="987" spans="1:8">
      <c r="A987" t="s">
        <v>1771</v>
      </c>
      <c r="B987" t="s">
        <v>8068</v>
      </c>
      <c r="C987" s="1665">
        <v>1972348130</v>
      </c>
      <c r="D987" s="1665">
        <v>2013097268</v>
      </c>
      <c r="E987" s="1665">
        <v>2013097268</v>
      </c>
      <c r="F987" s="1665">
        <v>1972348130</v>
      </c>
      <c r="G987" s="1665">
        <v>2013097268</v>
      </c>
      <c r="H987" s="1665">
        <v>1972348130</v>
      </c>
    </row>
    <row r="988" spans="1:8">
      <c r="A988" t="s">
        <v>1310</v>
      </c>
      <c r="B988" t="s">
        <v>8069</v>
      </c>
      <c r="C988" s="1665">
        <v>33040316424</v>
      </c>
      <c r="D988" s="1665">
        <v>33556410331</v>
      </c>
      <c r="E988" s="1665">
        <v>33556410331</v>
      </c>
      <c r="F988" s="1665">
        <v>33040316424</v>
      </c>
      <c r="G988" s="1665">
        <v>33556410331</v>
      </c>
      <c r="H988" s="1665">
        <v>33040316424</v>
      </c>
    </row>
    <row r="989" spans="1:8">
      <c r="A989" t="s">
        <v>1545</v>
      </c>
      <c r="B989" t="s">
        <v>8070</v>
      </c>
      <c r="C989" s="1665">
        <v>1009778685</v>
      </c>
      <c r="D989" s="1665">
        <v>1044369055</v>
      </c>
      <c r="E989" s="1665">
        <v>1044369055</v>
      </c>
      <c r="F989" s="1665">
        <v>1009778685</v>
      </c>
      <c r="G989" s="1665">
        <v>1044369055</v>
      </c>
      <c r="H989" s="1665">
        <v>1009778685</v>
      </c>
    </row>
    <row r="990" spans="1:8">
      <c r="A990" t="s">
        <v>1515</v>
      </c>
      <c r="B990" t="s">
        <v>8071</v>
      </c>
      <c r="C990" s="1665">
        <v>225470545</v>
      </c>
      <c r="D990" s="1665">
        <v>233248518</v>
      </c>
      <c r="E990" s="1665">
        <v>233248518</v>
      </c>
      <c r="F990" s="1665">
        <v>225470545</v>
      </c>
      <c r="G990" s="1665">
        <v>233248518</v>
      </c>
      <c r="H990" s="1665">
        <v>225470545</v>
      </c>
    </row>
    <row r="991" spans="1:8">
      <c r="A991" t="s">
        <v>1769</v>
      </c>
      <c r="B991" t="s">
        <v>8072</v>
      </c>
      <c r="C991" s="1665">
        <v>22343652670</v>
      </c>
      <c r="D991" s="1665">
        <v>22757684395</v>
      </c>
      <c r="E991" s="1665">
        <v>22757684395</v>
      </c>
      <c r="F991" s="1665">
        <v>22343652670</v>
      </c>
      <c r="G991" s="1665">
        <v>22757684395</v>
      </c>
      <c r="H991" s="1665">
        <v>22343652670</v>
      </c>
    </row>
    <row r="992" spans="1:8">
      <c r="A992" t="s">
        <v>12</v>
      </c>
      <c r="B992" t="s">
        <v>8073</v>
      </c>
      <c r="C992" s="1665">
        <v>70059736</v>
      </c>
      <c r="D992" s="1665">
        <v>72449814</v>
      </c>
      <c r="E992" s="1665">
        <v>72449814</v>
      </c>
      <c r="F992" s="1665">
        <v>70059736</v>
      </c>
      <c r="G992" s="1665">
        <v>72449814</v>
      </c>
      <c r="H992" s="1665">
        <v>70059736</v>
      </c>
    </row>
    <row r="993" spans="1:8">
      <c r="A993" t="s">
        <v>2455</v>
      </c>
      <c r="B993" t="s">
        <v>8074</v>
      </c>
      <c r="C993" s="1665">
        <v>1253246994</v>
      </c>
      <c r="D993" s="1665">
        <v>1303283891</v>
      </c>
      <c r="E993" s="1665">
        <v>1303283891</v>
      </c>
      <c r="F993" s="1665">
        <v>1253246994</v>
      </c>
      <c r="G993" s="1665">
        <v>1303283891</v>
      </c>
      <c r="H993" s="1665">
        <v>1253246994</v>
      </c>
    </row>
    <row r="994" spans="1:8">
      <c r="A994" t="s">
        <v>59</v>
      </c>
      <c r="B994" t="s">
        <v>8075</v>
      </c>
      <c r="C994" s="1665">
        <v>1043607762</v>
      </c>
      <c r="D994" s="1665">
        <v>1082594233</v>
      </c>
      <c r="E994" s="1665">
        <v>1082594233</v>
      </c>
      <c r="F994" s="1665">
        <v>1043607762</v>
      </c>
      <c r="G994" s="1665">
        <v>1082594233</v>
      </c>
      <c r="H994" s="1665">
        <v>1043607762</v>
      </c>
    </row>
    <row r="995" spans="1:8">
      <c r="A995" t="s">
        <v>2456</v>
      </c>
      <c r="B995" t="s">
        <v>8076</v>
      </c>
      <c r="C995" s="1665">
        <v>316007570</v>
      </c>
      <c r="D995" s="1665">
        <v>324446116</v>
      </c>
      <c r="E995" s="1665">
        <v>324446116</v>
      </c>
      <c r="F995" s="1665">
        <v>316007570</v>
      </c>
      <c r="G995" s="1665">
        <v>324446116</v>
      </c>
      <c r="H995" s="1665">
        <v>316007570</v>
      </c>
    </row>
    <row r="996" spans="1:8">
      <c r="A996" t="s">
        <v>1512</v>
      </c>
      <c r="B996" t="s">
        <v>8077</v>
      </c>
      <c r="C996" s="1665">
        <v>200212391</v>
      </c>
      <c r="D996" s="1665">
        <v>208679075</v>
      </c>
      <c r="E996" s="1665">
        <v>208679075</v>
      </c>
      <c r="F996" s="1665">
        <v>200212391</v>
      </c>
      <c r="G996" s="1665">
        <v>208679075</v>
      </c>
      <c r="H996" s="1665">
        <v>200212391</v>
      </c>
    </row>
    <row r="997" spans="1:8">
      <c r="A997" t="s">
        <v>1174</v>
      </c>
      <c r="B997" t="s">
        <v>8078</v>
      </c>
      <c r="C997" s="1665">
        <v>584690369</v>
      </c>
      <c r="D997" s="1665">
        <v>596859525</v>
      </c>
      <c r="E997" s="1665">
        <v>589422811</v>
      </c>
      <c r="F997" s="1665">
        <v>577253655</v>
      </c>
      <c r="G997" s="1665">
        <v>664256921</v>
      </c>
      <c r="H997" s="1665">
        <v>652087765</v>
      </c>
    </row>
    <row r="998" spans="1:8">
      <c r="A998" t="s">
        <v>1175</v>
      </c>
      <c r="B998" t="s">
        <v>8079</v>
      </c>
      <c r="C998" s="1665">
        <v>2558033514</v>
      </c>
      <c r="D998" s="1665">
        <v>2559997440</v>
      </c>
      <c r="E998" s="1665">
        <v>2559049239</v>
      </c>
      <c r="F998" s="1665">
        <v>2557085313</v>
      </c>
      <c r="G998" s="1665">
        <v>2559049239</v>
      </c>
      <c r="H998" s="1665">
        <v>2557085313</v>
      </c>
    </row>
    <row r="999" spans="1:8">
      <c r="A999" t="s">
        <v>196</v>
      </c>
      <c r="B999" t="s">
        <v>8080</v>
      </c>
      <c r="C999" s="1665">
        <v>340717665</v>
      </c>
      <c r="D999" s="1665">
        <v>349068007</v>
      </c>
      <c r="E999" s="1665">
        <v>349068007</v>
      </c>
      <c r="F999" s="1665">
        <v>340717665</v>
      </c>
      <c r="G999" s="1665">
        <v>349068007</v>
      </c>
      <c r="H999" s="1665">
        <v>340717665</v>
      </c>
    </row>
    <row r="1000" spans="1:8">
      <c r="A1000" t="s">
        <v>800</v>
      </c>
      <c r="B1000" t="s">
        <v>8081</v>
      </c>
      <c r="C1000" s="1665">
        <v>564264598</v>
      </c>
      <c r="D1000" s="1665">
        <v>577064073</v>
      </c>
      <c r="E1000" s="1665">
        <v>577064073</v>
      </c>
      <c r="F1000" s="1665">
        <v>564264598</v>
      </c>
      <c r="G1000" s="1665">
        <v>577064073</v>
      </c>
      <c r="H1000" s="1665">
        <v>564264598</v>
      </c>
    </row>
    <row r="1001" spans="1:8">
      <c r="A1001" t="s">
        <v>2176</v>
      </c>
      <c r="B1001" t="s">
        <v>8082</v>
      </c>
      <c r="C1001" s="1665">
        <v>1276662476</v>
      </c>
      <c r="D1001" s="1665">
        <v>1299260535</v>
      </c>
      <c r="E1001" s="1665">
        <v>1293290738</v>
      </c>
      <c r="F1001" s="1665">
        <v>1270692679</v>
      </c>
      <c r="G1001" s="1665">
        <v>1293290738</v>
      </c>
      <c r="H1001" s="1665">
        <v>1270692679</v>
      </c>
    </row>
    <row r="1002" spans="1:8">
      <c r="A1002" t="s">
        <v>2424</v>
      </c>
      <c r="B1002" t="s">
        <v>8083</v>
      </c>
      <c r="C1002" s="1665">
        <v>548935428</v>
      </c>
      <c r="D1002" s="1665">
        <v>556084757</v>
      </c>
      <c r="E1002" s="1665">
        <v>556084757</v>
      </c>
      <c r="F1002" s="1665">
        <v>548935428</v>
      </c>
      <c r="G1002" s="1665">
        <v>556084757</v>
      </c>
      <c r="H1002" s="1665">
        <v>548935428</v>
      </c>
    </row>
    <row r="1003" spans="1:8">
      <c r="A1003" t="s">
        <v>2425</v>
      </c>
      <c r="B1003" t="s">
        <v>8084</v>
      </c>
      <c r="C1003" s="1665">
        <v>1918473226</v>
      </c>
      <c r="D1003" s="1665">
        <v>1951299121</v>
      </c>
      <c r="E1003" s="1665">
        <v>1951299121</v>
      </c>
      <c r="F1003" s="1665">
        <v>1918473226</v>
      </c>
      <c r="G1003" s="1665">
        <v>1951299121</v>
      </c>
      <c r="H1003" s="1665">
        <v>1918473226</v>
      </c>
    </row>
    <row r="1004" spans="1:8">
      <c r="A1004" t="s">
        <v>2022</v>
      </c>
      <c r="B1004" t="s">
        <v>8085</v>
      </c>
      <c r="C1004" s="1665">
        <v>388899058</v>
      </c>
      <c r="D1004" s="1665">
        <v>400133091</v>
      </c>
      <c r="E1004" s="1665">
        <v>400133091</v>
      </c>
      <c r="F1004" s="1665">
        <v>388899058</v>
      </c>
      <c r="G1004" s="1665">
        <v>400133091</v>
      </c>
      <c r="H1004" s="1665">
        <v>388899058</v>
      </c>
    </row>
    <row r="1005" spans="1:8">
      <c r="A1005" t="s">
        <v>1150</v>
      </c>
      <c r="B1005" t="s">
        <v>8086</v>
      </c>
      <c r="C1005" s="1665">
        <v>240439754</v>
      </c>
      <c r="D1005" s="1665">
        <v>244270429</v>
      </c>
      <c r="E1005" s="1665">
        <v>238410793</v>
      </c>
      <c r="F1005" s="1665">
        <v>234580118</v>
      </c>
      <c r="G1005" s="1665">
        <v>238410793</v>
      </c>
      <c r="H1005" s="1665">
        <v>234580118</v>
      </c>
    </row>
    <row r="1006" spans="1:8">
      <c r="A1006" t="s">
        <v>2229</v>
      </c>
      <c r="B1006" t="s">
        <v>8087</v>
      </c>
      <c r="C1006" s="1665">
        <v>593352843</v>
      </c>
      <c r="D1006" s="1665">
        <v>605572749</v>
      </c>
      <c r="E1006" s="1665">
        <v>605572749</v>
      </c>
      <c r="F1006" s="1665">
        <v>593352843</v>
      </c>
      <c r="G1006" s="1665">
        <v>605572749</v>
      </c>
      <c r="H1006" s="1665">
        <v>593352843</v>
      </c>
    </row>
    <row r="1007" spans="1:8">
      <c r="A1007" t="s">
        <v>2230</v>
      </c>
      <c r="B1007" t="s">
        <v>8088</v>
      </c>
      <c r="C1007" s="1665">
        <v>491448488</v>
      </c>
      <c r="D1007" s="1665">
        <v>512814970</v>
      </c>
      <c r="E1007" s="1665">
        <v>512814970</v>
      </c>
      <c r="F1007" s="1665">
        <v>491448488</v>
      </c>
      <c r="G1007" s="1665">
        <v>512814970</v>
      </c>
      <c r="H1007" s="1665">
        <v>491448488</v>
      </c>
    </row>
    <row r="1008" spans="1:8">
      <c r="A1008" t="s">
        <v>2575</v>
      </c>
      <c r="B1008" t="s">
        <v>8089</v>
      </c>
      <c r="C1008" s="1665">
        <v>393606979</v>
      </c>
      <c r="D1008" s="1665">
        <v>414865406</v>
      </c>
      <c r="E1008" s="1665">
        <v>414865406</v>
      </c>
      <c r="F1008" s="1665">
        <v>393606979</v>
      </c>
      <c r="G1008" s="1665">
        <v>414865406</v>
      </c>
      <c r="H1008" s="1665">
        <v>393606979</v>
      </c>
    </row>
    <row r="1009" spans="1:8">
      <c r="A1009" t="s">
        <v>2576</v>
      </c>
      <c r="B1009" t="s">
        <v>8090</v>
      </c>
      <c r="C1009" s="1665">
        <v>300699934</v>
      </c>
      <c r="D1009" s="1665">
        <v>310695626</v>
      </c>
      <c r="E1009" s="1665">
        <v>310695626</v>
      </c>
      <c r="F1009" s="1665">
        <v>300699934</v>
      </c>
      <c r="G1009" s="1665">
        <v>310695626</v>
      </c>
      <c r="H1009" s="1665">
        <v>300699934</v>
      </c>
    </row>
    <row r="1010" spans="1:8">
      <c r="A1010" t="s">
        <v>635</v>
      </c>
      <c r="B1010" t="s">
        <v>8091</v>
      </c>
      <c r="C1010" s="1665">
        <v>253087885</v>
      </c>
      <c r="D1010" s="1665">
        <v>267331578</v>
      </c>
      <c r="E1010" s="1665">
        <v>267331578</v>
      </c>
      <c r="F1010" s="1665">
        <v>253087885</v>
      </c>
      <c r="G1010" s="1665">
        <v>267331578</v>
      </c>
      <c r="H1010" s="1665">
        <v>253087885</v>
      </c>
    </row>
    <row r="1011" spans="1:8">
      <c r="A1011" t="s">
        <v>679</v>
      </c>
      <c r="B1011" t="s">
        <v>8092</v>
      </c>
      <c r="C1011" s="1665">
        <v>465953970</v>
      </c>
      <c r="D1011" s="1665">
        <v>486117571</v>
      </c>
      <c r="E1011" s="1665">
        <v>486117571</v>
      </c>
      <c r="F1011" s="1665">
        <v>465953970</v>
      </c>
      <c r="G1011" s="1665">
        <v>486117571</v>
      </c>
      <c r="H1011" s="1665">
        <v>465953970</v>
      </c>
    </row>
    <row r="1012" spans="1:8">
      <c r="A1012" t="s">
        <v>680</v>
      </c>
      <c r="B1012" t="s">
        <v>8093</v>
      </c>
      <c r="C1012" s="1665">
        <v>1350533594</v>
      </c>
      <c r="D1012" s="1665">
        <v>1361615901</v>
      </c>
      <c r="E1012" s="1665">
        <v>1356495532</v>
      </c>
      <c r="F1012" s="1665">
        <v>1345413225</v>
      </c>
      <c r="G1012" s="1665">
        <v>1356495532</v>
      </c>
      <c r="H1012" s="1665">
        <v>1345413225</v>
      </c>
    </row>
    <row r="1013" spans="1:8">
      <c r="A1013" t="s">
        <v>1471</v>
      </c>
      <c r="B1013" t="s">
        <v>8094</v>
      </c>
      <c r="C1013" s="1665">
        <v>667903012</v>
      </c>
      <c r="D1013" s="1665">
        <v>671739850</v>
      </c>
      <c r="E1013" s="1665">
        <v>667964744</v>
      </c>
      <c r="F1013" s="1665">
        <v>664127906</v>
      </c>
      <c r="G1013" s="1665">
        <v>667964744</v>
      </c>
      <c r="H1013" s="1665">
        <v>664127906</v>
      </c>
    </row>
    <row r="1014" spans="1:8">
      <c r="A1014" t="s">
        <v>907</v>
      </c>
      <c r="B1014" t="s">
        <v>8095</v>
      </c>
      <c r="C1014" s="1665">
        <v>679018342</v>
      </c>
      <c r="D1014" s="1665">
        <v>707770645</v>
      </c>
      <c r="E1014" s="1665">
        <v>707770645</v>
      </c>
      <c r="F1014" s="1665">
        <v>679018342</v>
      </c>
      <c r="G1014" s="1665">
        <v>719890317</v>
      </c>
      <c r="H1014" s="1665">
        <v>691138014</v>
      </c>
    </row>
    <row r="1015" spans="1:8">
      <c r="A1015" t="s">
        <v>1472</v>
      </c>
      <c r="B1015" t="s">
        <v>8096</v>
      </c>
      <c r="C1015" s="1665">
        <v>64813504</v>
      </c>
      <c r="D1015" s="1665">
        <v>66125994</v>
      </c>
      <c r="E1015" s="1665">
        <v>66125994</v>
      </c>
      <c r="F1015" s="1665">
        <v>64813504</v>
      </c>
      <c r="G1015" s="1665">
        <v>66125994</v>
      </c>
      <c r="H1015" s="1665">
        <v>64813504</v>
      </c>
    </row>
    <row r="1016" spans="1:8">
      <c r="A1016" t="s">
        <v>1504</v>
      </c>
      <c r="B1016" t="s">
        <v>8097</v>
      </c>
      <c r="C1016" s="1665">
        <v>232357698</v>
      </c>
      <c r="D1016" s="1665">
        <v>239346657</v>
      </c>
      <c r="E1016" s="1665">
        <v>239346657</v>
      </c>
      <c r="F1016" s="1665">
        <v>232357698</v>
      </c>
      <c r="G1016" s="1665">
        <v>410464647</v>
      </c>
      <c r="H1016" s="1665">
        <v>403475688</v>
      </c>
    </row>
    <row r="1017" spans="1:8">
      <c r="A1017" t="s">
        <v>514</v>
      </c>
      <c r="B1017" t="s">
        <v>8098</v>
      </c>
      <c r="C1017" s="1665">
        <v>1080317658</v>
      </c>
      <c r="D1017" s="1665">
        <v>1108198714</v>
      </c>
      <c r="E1017" s="1665">
        <v>1084606151</v>
      </c>
      <c r="F1017" s="1665">
        <v>1056725095</v>
      </c>
      <c r="G1017" s="1665">
        <v>1084606151</v>
      </c>
      <c r="H1017" s="1665">
        <v>1056725095</v>
      </c>
    </row>
    <row r="1018" spans="1:8">
      <c r="A1018" t="s">
        <v>2406</v>
      </c>
      <c r="B1018" t="s">
        <v>8099</v>
      </c>
      <c r="C1018" s="1665">
        <v>683048973</v>
      </c>
      <c r="D1018" s="1665">
        <v>694996054</v>
      </c>
      <c r="E1018" s="1665">
        <v>694996054</v>
      </c>
      <c r="F1018" s="1665">
        <v>683048973</v>
      </c>
      <c r="G1018" s="1665">
        <v>694996054</v>
      </c>
      <c r="H1018" s="1665">
        <v>683048973</v>
      </c>
    </row>
    <row r="1019" spans="1:8">
      <c r="A1019" t="s">
        <v>1688</v>
      </c>
      <c r="B1019" t="s">
        <v>8100</v>
      </c>
      <c r="C1019" s="1665">
        <v>100386616</v>
      </c>
      <c r="D1019" s="1665">
        <v>103272285</v>
      </c>
      <c r="E1019" s="1665">
        <v>103272285</v>
      </c>
      <c r="F1019" s="1665">
        <v>100386616</v>
      </c>
      <c r="G1019" s="1665">
        <v>103272285</v>
      </c>
      <c r="H1019" s="1665">
        <v>100386616</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8"/>
  <sheetViews>
    <sheetView workbookViewId="0">
      <selection activeCell="A2" sqref="A2"/>
    </sheetView>
  </sheetViews>
  <sheetFormatPr defaultRowHeight="12.75"/>
  <cols>
    <col min="1" max="1" width="7.5703125" bestFit="1" customWidth="1"/>
    <col min="2" max="2" width="26.140625" bestFit="1" customWidth="1"/>
    <col min="3" max="8" width="14.85546875" style="1417" bestFit="1" customWidth="1"/>
    <col min="9" max="10" width="14.85546875" bestFit="1" customWidth="1"/>
  </cols>
  <sheetData>
    <row r="1" spans="1:10">
      <c r="A1" s="2981" t="s">
        <v>7090</v>
      </c>
      <c r="B1" s="2981" t="s">
        <v>7091</v>
      </c>
      <c r="C1" s="2982" t="s">
        <v>7093</v>
      </c>
      <c r="D1" s="2982" t="s">
        <v>7092</v>
      </c>
      <c r="E1" s="2982" t="s">
        <v>6590</v>
      </c>
      <c r="F1" s="2982" t="s">
        <v>6591</v>
      </c>
      <c r="G1" s="2982" t="s">
        <v>6592</v>
      </c>
      <c r="H1" s="2982" t="s">
        <v>6593</v>
      </c>
      <c r="I1" s="4598" t="s">
        <v>9447</v>
      </c>
      <c r="J1" s="4598" t="s">
        <v>9449</v>
      </c>
    </row>
    <row r="2" spans="1:10">
      <c r="A2" t="s">
        <v>197</v>
      </c>
      <c r="B2" t="s">
        <v>7094</v>
      </c>
      <c r="C2" s="1665">
        <v>289163737</v>
      </c>
      <c r="D2" s="1665">
        <v>284102252</v>
      </c>
      <c r="E2" s="1665">
        <v>282832130</v>
      </c>
      <c r="F2" s="1665">
        <v>277770645</v>
      </c>
      <c r="G2" s="1665">
        <v>282832130</v>
      </c>
      <c r="H2" s="1665">
        <v>277770645</v>
      </c>
      <c r="I2" s="101">
        <v>289163737</v>
      </c>
      <c r="J2" s="101">
        <v>284102252</v>
      </c>
    </row>
    <row r="3" spans="1:10">
      <c r="A3" t="s">
        <v>1954</v>
      </c>
      <c r="B3" t="s">
        <v>7095</v>
      </c>
      <c r="C3" s="1665">
        <v>294068441</v>
      </c>
      <c r="D3" s="1665">
        <v>281043352</v>
      </c>
      <c r="E3" s="1665">
        <v>294068441</v>
      </c>
      <c r="F3" s="1665">
        <v>281043352</v>
      </c>
      <c r="G3" s="1665">
        <v>294068441</v>
      </c>
      <c r="H3" s="1665">
        <v>281043352</v>
      </c>
      <c r="I3" s="101">
        <v>294068441</v>
      </c>
      <c r="J3" s="101">
        <v>281043352</v>
      </c>
    </row>
    <row r="4" spans="1:10">
      <c r="A4" t="s">
        <v>14</v>
      </c>
      <c r="B4" t="s">
        <v>7096</v>
      </c>
      <c r="C4" s="1665">
        <v>260618278</v>
      </c>
      <c r="D4" s="1665">
        <v>250466055</v>
      </c>
      <c r="E4" s="1665">
        <v>245635630</v>
      </c>
      <c r="F4" s="1665">
        <v>235483407</v>
      </c>
      <c r="G4" s="1665">
        <v>245635630</v>
      </c>
      <c r="H4" s="1665">
        <v>235483407</v>
      </c>
      <c r="I4" s="101">
        <v>260618278</v>
      </c>
      <c r="J4" s="101">
        <v>250466055</v>
      </c>
    </row>
    <row r="5" spans="1:10">
      <c r="A5" t="s">
        <v>15</v>
      </c>
      <c r="B5" t="s">
        <v>7097</v>
      </c>
      <c r="C5" s="1665">
        <v>111295087</v>
      </c>
      <c r="D5" s="1665">
        <v>107962854</v>
      </c>
      <c r="E5" s="1665">
        <v>107187167</v>
      </c>
      <c r="F5" s="1665">
        <v>103854934</v>
      </c>
      <c r="G5" s="1665">
        <v>107187167</v>
      </c>
      <c r="H5" s="1665">
        <v>103854934</v>
      </c>
      <c r="I5" s="101">
        <v>111295087</v>
      </c>
      <c r="J5" s="101">
        <v>107962854</v>
      </c>
    </row>
    <row r="6" spans="1:10">
      <c r="A6" t="s">
        <v>16</v>
      </c>
      <c r="B6" t="s">
        <v>7098</v>
      </c>
      <c r="C6" s="1665">
        <v>1144291415</v>
      </c>
      <c r="D6" s="1665">
        <v>1103901342</v>
      </c>
      <c r="E6" s="1665">
        <v>1144291415</v>
      </c>
      <c r="F6" s="1665">
        <v>1103901342</v>
      </c>
      <c r="G6" s="1665">
        <v>1144291415</v>
      </c>
      <c r="H6" s="1665">
        <v>1103901342</v>
      </c>
      <c r="I6" s="101">
        <v>1144291415</v>
      </c>
      <c r="J6" s="101">
        <v>1103901342</v>
      </c>
    </row>
    <row r="7" spans="1:10">
      <c r="A7" t="s">
        <v>1098</v>
      </c>
      <c r="B7" t="s">
        <v>7099</v>
      </c>
      <c r="C7" s="1665">
        <v>503427017</v>
      </c>
      <c r="D7" s="1665">
        <v>486501185</v>
      </c>
      <c r="E7" s="1665">
        <v>503427017</v>
      </c>
      <c r="F7" s="1665">
        <v>486501185</v>
      </c>
      <c r="G7" s="1665">
        <v>503427017</v>
      </c>
      <c r="H7" s="1665">
        <v>486501185</v>
      </c>
      <c r="I7" s="101">
        <v>503427017</v>
      </c>
      <c r="J7" s="101">
        <v>486501185</v>
      </c>
    </row>
    <row r="8" spans="1:10">
      <c r="A8" t="s">
        <v>1099</v>
      </c>
      <c r="B8" t="s">
        <v>7100</v>
      </c>
      <c r="C8" s="1665">
        <v>122998801</v>
      </c>
      <c r="D8" s="1665">
        <v>117816648</v>
      </c>
      <c r="E8" s="1665">
        <v>122998801</v>
      </c>
      <c r="F8" s="1665">
        <v>117816648</v>
      </c>
      <c r="G8" s="1665">
        <v>122998801</v>
      </c>
      <c r="H8" s="1665">
        <v>117816648</v>
      </c>
      <c r="I8" s="101">
        <v>122998801</v>
      </c>
      <c r="J8" s="101">
        <v>117816648</v>
      </c>
    </row>
    <row r="9" spans="1:10">
      <c r="A9" t="s">
        <v>1841</v>
      </c>
      <c r="B9" t="s">
        <v>7101</v>
      </c>
      <c r="C9" s="1665">
        <v>4449511245</v>
      </c>
      <c r="D9" s="1665">
        <v>4414104747</v>
      </c>
      <c r="E9" s="1665">
        <v>4392529848</v>
      </c>
      <c r="F9" s="1665">
        <v>4357123350</v>
      </c>
      <c r="G9" s="1665">
        <v>4392529848</v>
      </c>
      <c r="H9" s="1665">
        <v>4357123350</v>
      </c>
      <c r="I9" s="101">
        <v>4449511245</v>
      </c>
      <c r="J9" s="101">
        <v>4414104747</v>
      </c>
    </row>
    <row r="10" spans="1:10">
      <c r="A10" t="s">
        <v>676</v>
      </c>
      <c r="B10" t="s">
        <v>7102</v>
      </c>
      <c r="C10" s="1665">
        <v>533970100</v>
      </c>
      <c r="D10" s="1665">
        <v>513341241</v>
      </c>
      <c r="E10" s="1665">
        <v>533970100</v>
      </c>
      <c r="F10" s="1665">
        <v>513341241</v>
      </c>
      <c r="G10" s="1665">
        <v>533970100</v>
      </c>
      <c r="H10" s="1665">
        <v>513341241</v>
      </c>
      <c r="I10" s="101">
        <v>533970100</v>
      </c>
      <c r="J10" s="101">
        <v>513341241</v>
      </c>
    </row>
    <row r="11" spans="1:10">
      <c r="A11" t="s">
        <v>1452</v>
      </c>
      <c r="B11" t="s">
        <v>7103</v>
      </c>
      <c r="C11" s="1665">
        <v>2401854796</v>
      </c>
      <c r="D11" s="1665">
        <v>2326141363</v>
      </c>
      <c r="E11" s="1665">
        <v>2401854796</v>
      </c>
      <c r="F11" s="1665">
        <v>2326141363</v>
      </c>
      <c r="G11" s="1665">
        <v>2401854796</v>
      </c>
      <c r="H11" s="1665">
        <v>2326141363</v>
      </c>
      <c r="I11" s="101">
        <v>2401854796</v>
      </c>
      <c r="J11" s="101">
        <v>2326141363</v>
      </c>
    </row>
    <row r="12" spans="1:10">
      <c r="A12" t="s">
        <v>1118</v>
      </c>
      <c r="B12" t="s">
        <v>7104</v>
      </c>
      <c r="C12" s="1665">
        <v>298941569</v>
      </c>
      <c r="D12" s="1665">
        <v>282949933</v>
      </c>
      <c r="E12" s="1665">
        <v>279954750</v>
      </c>
      <c r="F12" s="1665">
        <v>263963114</v>
      </c>
      <c r="G12" s="1665">
        <v>279954750</v>
      </c>
      <c r="H12" s="1665">
        <v>263963114</v>
      </c>
      <c r="I12" s="101">
        <v>298941569</v>
      </c>
      <c r="J12" s="101">
        <v>282949933</v>
      </c>
    </row>
    <row r="13" spans="1:10">
      <c r="A13" t="s">
        <v>337</v>
      </c>
      <c r="B13" t="s">
        <v>7105</v>
      </c>
      <c r="C13" s="1665">
        <v>313760452</v>
      </c>
      <c r="D13" s="1665">
        <v>299890512</v>
      </c>
      <c r="E13" s="1665">
        <v>300157588</v>
      </c>
      <c r="F13" s="1665">
        <v>286287648</v>
      </c>
      <c r="G13" s="1665">
        <v>300157588</v>
      </c>
      <c r="H13" s="1665">
        <v>286287648</v>
      </c>
      <c r="I13" s="101">
        <v>313760452</v>
      </c>
      <c r="J13" s="101">
        <v>299890512</v>
      </c>
    </row>
    <row r="14" spans="1:10">
      <c r="A14" t="s">
        <v>338</v>
      </c>
      <c r="B14" t="s">
        <v>7106</v>
      </c>
      <c r="C14" s="1665">
        <v>114667412</v>
      </c>
      <c r="D14" s="1665">
        <v>109446443</v>
      </c>
      <c r="E14" s="1665">
        <v>109272410</v>
      </c>
      <c r="F14" s="1665">
        <v>104051441</v>
      </c>
      <c r="G14" s="1665">
        <v>109272410</v>
      </c>
      <c r="H14" s="1665">
        <v>104051441</v>
      </c>
      <c r="I14" s="101">
        <v>114667412</v>
      </c>
      <c r="J14" s="101">
        <v>109446443</v>
      </c>
    </row>
    <row r="15" spans="1:10">
      <c r="A15" t="s">
        <v>339</v>
      </c>
      <c r="B15" t="s">
        <v>7107</v>
      </c>
      <c r="C15" s="1665">
        <v>288006518</v>
      </c>
      <c r="D15" s="1665">
        <v>271999722</v>
      </c>
      <c r="E15" s="1665">
        <v>288006518</v>
      </c>
      <c r="F15" s="1665">
        <v>271999722</v>
      </c>
      <c r="G15" s="1665">
        <v>288006518</v>
      </c>
      <c r="H15" s="1665">
        <v>271999722</v>
      </c>
      <c r="I15" s="101">
        <v>288006518</v>
      </c>
      <c r="J15" s="101">
        <v>271999722</v>
      </c>
    </row>
    <row r="16" spans="1:10">
      <c r="A16" t="s">
        <v>2479</v>
      </c>
      <c r="B16" t="s">
        <v>7108</v>
      </c>
      <c r="C16" s="1665">
        <v>2565152806</v>
      </c>
      <c r="D16" s="1665">
        <v>2516910031</v>
      </c>
      <c r="E16" s="1665">
        <v>2565152806</v>
      </c>
      <c r="F16" s="1665">
        <v>2516910031</v>
      </c>
      <c r="G16" s="1665">
        <v>2565152806</v>
      </c>
      <c r="H16" s="1665">
        <v>2516910031</v>
      </c>
      <c r="I16" s="101">
        <v>2565152806</v>
      </c>
      <c r="J16" s="101">
        <v>2516910031</v>
      </c>
    </row>
    <row r="17" spans="1:10">
      <c r="A17" t="s">
        <v>2480</v>
      </c>
      <c r="B17" t="s">
        <v>7109</v>
      </c>
      <c r="C17" s="1665">
        <v>213325975</v>
      </c>
      <c r="D17" s="1665">
        <v>213325975</v>
      </c>
      <c r="E17" s="1665">
        <v>213325975</v>
      </c>
      <c r="F17" s="1665">
        <v>213325975</v>
      </c>
      <c r="G17" s="1665">
        <v>367407365</v>
      </c>
      <c r="H17" s="1665">
        <v>367407365</v>
      </c>
      <c r="I17" s="101">
        <v>367407365</v>
      </c>
      <c r="J17" s="101">
        <v>367407365</v>
      </c>
    </row>
    <row r="18" spans="1:10">
      <c r="A18" t="s">
        <v>2481</v>
      </c>
      <c r="B18" t="s">
        <v>7110</v>
      </c>
      <c r="C18" s="1665">
        <v>298438583</v>
      </c>
      <c r="D18" s="1665">
        <v>297419301</v>
      </c>
      <c r="E18" s="1665">
        <v>298438583</v>
      </c>
      <c r="F18" s="1665">
        <v>297419301</v>
      </c>
      <c r="G18" s="1665">
        <v>298438583</v>
      </c>
      <c r="H18" s="1665">
        <v>297419301</v>
      </c>
      <c r="I18" s="101">
        <v>298438583</v>
      </c>
      <c r="J18" s="101">
        <v>297419301</v>
      </c>
    </row>
    <row r="19" spans="1:10">
      <c r="A19" t="s">
        <v>1945</v>
      </c>
      <c r="B19" t="s">
        <v>7111</v>
      </c>
      <c r="C19" s="1665">
        <v>90596215</v>
      </c>
      <c r="D19" s="1665">
        <v>89785745</v>
      </c>
      <c r="E19" s="1665">
        <v>90596215</v>
      </c>
      <c r="F19" s="1665">
        <v>89785745</v>
      </c>
      <c r="G19" s="1665">
        <v>90596215</v>
      </c>
      <c r="H19" s="1665">
        <v>89785745</v>
      </c>
      <c r="I19" s="101">
        <v>90596215</v>
      </c>
      <c r="J19" s="101">
        <v>89785745</v>
      </c>
    </row>
    <row r="20" spans="1:10">
      <c r="A20" t="s">
        <v>2483</v>
      </c>
      <c r="B20" t="s">
        <v>7112</v>
      </c>
      <c r="C20" s="1665">
        <v>171591670</v>
      </c>
      <c r="D20" s="1665">
        <v>166859490</v>
      </c>
      <c r="E20" s="1665">
        <v>171591670</v>
      </c>
      <c r="F20" s="1665">
        <v>166859490</v>
      </c>
      <c r="G20" s="1665">
        <v>217251030</v>
      </c>
      <c r="H20" s="1665">
        <v>212518850</v>
      </c>
      <c r="I20" s="101">
        <v>217251030</v>
      </c>
      <c r="J20" s="101">
        <v>212518850</v>
      </c>
    </row>
    <row r="21" spans="1:10">
      <c r="A21" t="s">
        <v>708</v>
      </c>
      <c r="B21" t="s">
        <v>7113</v>
      </c>
      <c r="C21" s="1665">
        <v>309203314</v>
      </c>
      <c r="D21" s="1665">
        <v>305268468</v>
      </c>
      <c r="E21" s="1665">
        <v>309203314</v>
      </c>
      <c r="F21" s="1665">
        <v>305268468</v>
      </c>
      <c r="G21" s="1665">
        <v>309203314</v>
      </c>
      <c r="H21" s="1665">
        <v>305268468</v>
      </c>
      <c r="I21" s="101">
        <v>309203314</v>
      </c>
      <c r="J21" s="101">
        <v>305268468</v>
      </c>
    </row>
    <row r="22" spans="1:10">
      <c r="A22" t="s">
        <v>2484</v>
      </c>
      <c r="B22" t="s">
        <v>7114</v>
      </c>
      <c r="C22" s="1665">
        <v>869507051</v>
      </c>
      <c r="D22" s="1665">
        <v>858192816</v>
      </c>
      <c r="E22" s="1665">
        <v>869507051</v>
      </c>
      <c r="F22" s="1665">
        <v>858192816</v>
      </c>
      <c r="G22" s="1665">
        <v>869507051</v>
      </c>
      <c r="H22" s="1665">
        <v>858192816</v>
      </c>
      <c r="I22" s="101">
        <v>869507051</v>
      </c>
      <c r="J22" s="101">
        <v>858192816</v>
      </c>
    </row>
    <row r="23" spans="1:10">
      <c r="A23" t="s">
        <v>2090</v>
      </c>
      <c r="B23" t="s">
        <v>7115</v>
      </c>
      <c r="C23" s="1665">
        <v>332363444</v>
      </c>
      <c r="D23" s="1665">
        <v>318794996</v>
      </c>
      <c r="E23" s="1665">
        <v>332363444</v>
      </c>
      <c r="F23" s="1665">
        <v>318794996</v>
      </c>
      <c r="G23" s="1665">
        <v>332363444</v>
      </c>
      <c r="H23" s="1665">
        <v>318794996</v>
      </c>
      <c r="I23" s="101">
        <v>332363444</v>
      </c>
      <c r="J23" s="101">
        <v>318794996</v>
      </c>
    </row>
    <row r="24" spans="1:10">
      <c r="A24" t="s">
        <v>213</v>
      </c>
      <c r="B24" t="s">
        <v>7116</v>
      </c>
      <c r="C24" s="1665">
        <v>1795237260</v>
      </c>
      <c r="D24" s="1665">
        <v>1762267833</v>
      </c>
      <c r="E24" s="1665">
        <v>1795237260</v>
      </c>
      <c r="F24" s="1665">
        <v>1762267833</v>
      </c>
      <c r="G24" s="1665">
        <v>1795237260</v>
      </c>
      <c r="H24" s="1665">
        <v>1762267833</v>
      </c>
      <c r="I24" s="101">
        <v>1795237260</v>
      </c>
      <c r="J24" s="101">
        <v>1762267833</v>
      </c>
    </row>
    <row r="25" spans="1:10">
      <c r="A25" t="s">
        <v>2133</v>
      </c>
      <c r="B25" t="s">
        <v>7117</v>
      </c>
      <c r="C25" s="1665">
        <v>335315755</v>
      </c>
      <c r="D25" s="1665">
        <v>320412929</v>
      </c>
      <c r="E25" s="1665">
        <v>335315755</v>
      </c>
      <c r="F25" s="1665">
        <v>320412929</v>
      </c>
      <c r="G25" s="1665">
        <v>335315755</v>
      </c>
      <c r="H25" s="1665">
        <v>320412929</v>
      </c>
      <c r="I25" s="101">
        <v>335315755</v>
      </c>
      <c r="J25" s="101">
        <v>320412929</v>
      </c>
    </row>
    <row r="26" spans="1:10">
      <c r="A26" t="s">
        <v>2485</v>
      </c>
      <c r="B26" t="s">
        <v>7118</v>
      </c>
      <c r="C26" s="1665">
        <v>1328309962</v>
      </c>
      <c r="D26" s="1665">
        <v>1297521482</v>
      </c>
      <c r="E26" s="1665">
        <v>1328309962</v>
      </c>
      <c r="F26" s="1665">
        <v>1297521482</v>
      </c>
      <c r="G26" s="1665">
        <v>1328309962</v>
      </c>
      <c r="H26" s="1665">
        <v>1297521482</v>
      </c>
      <c r="I26" s="101">
        <v>1328309962</v>
      </c>
      <c r="J26" s="101">
        <v>1297521482</v>
      </c>
    </row>
    <row r="27" spans="1:10">
      <c r="A27" t="s">
        <v>685</v>
      </c>
      <c r="B27" t="s">
        <v>7119</v>
      </c>
      <c r="C27" s="1665">
        <v>1450982561</v>
      </c>
      <c r="D27" s="1665">
        <v>1422896750</v>
      </c>
      <c r="E27" s="1665">
        <v>1387570577</v>
      </c>
      <c r="F27" s="1665">
        <v>1359484766</v>
      </c>
      <c r="G27" s="1665">
        <v>1387570577</v>
      </c>
      <c r="H27" s="1665">
        <v>1359484766</v>
      </c>
      <c r="I27" s="101">
        <v>1450982561</v>
      </c>
      <c r="J27" s="101">
        <v>1422896750</v>
      </c>
    </row>
    <row r="28" spans="1:10">
      <c r="A28" t="s">
        <v>686</v>
      </c>
      <c r="B28" t="s">
        <v>7120</v>
      </c>
      <c r="C28" s="1665">
        <v>314124438</v>
      </c>
      <c r="D28" s="1665">
        <v>305396810</v>
      </c>
      <c r="E28" s="1665">
        <v>310531314</v>
      </c>
      <c r="F28" s="1665">
        <v>301803686</v>
      </c>
      <c r="G28" s="1665">
        <v>310531314</v>
      </c>
      <c r="H28" s="1665">
        <v>301803686</v>
      </c>
      <c r="I28" s="101">
        <v>314124438</v>
      </c>
      <c r="J28" s="101">
        <v>305396810</v>
      </c>
    </row>
    <row r="29" spans="1:10">
      <c r="A29" t="s">
        <v>687</v>
      </c>
      <c r="B29" t="s">
        <v>7121</v>
      </c>
      <c r="C29" s="1665">
        <v>275001515</v>
      </c>
      <c r="D29" s="1665">
        <v>265804999</v>
      </c>
      <c r="E29" s="1665">
        <v>275001515</v>
      </c>
      <c r="F29" s="1665">
        <v>265804999</v>
      </c>
      <c r="G29" s="1665">
        <v>275001515</v>
      </c>
      <c r="H29" s="1665">
        <v>265804999</v>
      </c>
      <c r="I29" s="101">
        <v>275001515</v>
      </c>
      <c r="J29" s="101">
        <v>265804999</v>
      </c>
    </row>
    <row r="30" spans="1:10">
      <c r="A30" t="s">
        <v>188</v>
      </c>
      <c r="B30" t="s">
        <v>7122</v>
      </c>
      <c r="C30" s="1665">
        <v>252182072</v>
      </c>
      <c r="D30" s="1665">
        <v>247023803</v>
      </c>
      <c r="E30" s="1665">
        <v>252182072</v>
      </c>
      <c r="F30" s="1665">
        <v>247023803</v>
      </c>
      <c r="G30" s="1665">
        <v>252182072</v>
      </c>
      <c r="H30" s="1665">
        <v>247023803</v>
      </c>
      <c r="I30" s="101">
        <v>252182072</v>
      </c>
      <c r="J30" s="101">
        <v>247023803</v>
      </c>
    </row>
    <row r="31" spans="1:10">
      <c r="A31" t="s">
        <v>1946</v>
      </c>
      <c r="B31" t="s">
        <v>7123</v>
      </c>
      <c r="C31" s="1665">
        <v>1616941556</v>
      </c>
      <c r="D31" s="1665">
        <v>1569700461</v>
      </c>
      <c r="E31" s="1665">
        <v>1616941556</v>
      </c>
      <c r="F31" s="1665">
        <v>1569700461</v>
      </c>
      <c r="G31" s="1665">
        <v>1616941556</v>
      </c>
      <c r="H31" s="1665">
        <v>1569700461</v>
      </c>
      <c r="I31" s="101">
        <v>1616941556</v>
      </c>
      <c r="J31" s="101">
        <v>1569700461</v>
      </c>
    </row>
    <row r="32" spans="1:10">
      <c r="A32" t="s">
        <v>1683</v>
      </c>
      <c r="B32" t="s">
        <v>7124</v>
      </c>
      <c r="C32" s="1665">
        <v>3971573678</v>
      </c>
      <c r="D32" s="1665">
        <v>3885247413</v>
      </c>
      <c r="E32" s="1665">
        <v>3971573678</v>
      </c>
      <c r="F32" s="1665">
        <v>3885247413</v>
      </c>
      <c r="G32" s="1665">
        <v>3971573678</v>
      </c>
      <c r="H32" s="1665">
        <v>3885247413</v>
      </c>
      <c r="I32" s="101">
        <v>3971573678</v>
      </c>
      <c r="J32" s="101">
        <v>3885247413</v>
      </c>
    </row>
    <row r="33" spans="1:10">
      <c r="A33" t="s">
        <v>773</v>
      </c>
      <c r="B33" t="s">
        <v>7125</v>
      </c>
      <c r="C33" s="1665">
        <v>1364133292</v>
      </c>
      <c r="D33" s="1665">
        <v>1324569720</v>
      </c>
      <c r="E33" s="1665">
        <v>1364133292</v>
      </c>
      <c r="F33" s="1665">
        <v>1324569720</v>
      </c>
      <c r="G33" s="1665">
        <v>1364133292</v>
      </c>
      <c r="H33" s="1665">
        <v>1324569720</v>
      </c>
      <c r="I33" s="101">
        <v>1364133292</v>
      </c>
      <c r="J33" s="101">
        <v>1324569720</v>
      </c>
    </row>
    <row r="34" spans="1:10">
      <c r="A34" t="s">
        <v>2366</v>
      </c>
      <c r="B34" t="s">
        <v>7126</v>
      </c>
      <c r="C34" s="1665">
        <v>846470699</v>
      </c>
      <c r="D34" s="1665">
        <v>823613346</v>
      </c>
      <c r="E34" s="1665">
        <v>846470699</v>
      </c>
      <c r="F34" s="1665">
        <v>823613346</v>
      </c>
      <c r="G34" s="1665">
        <v>846470699</v>
      </c>
      <c r="H34" s="1665">
        <v>823613346</v>
      </c>
      <c r="I34" s="101">
        <v>846470699</v>
      </c>
      <c r="J34" s="101">
        <v>823613346</v>
      </c>
    </row>
    <row r="35" spans="1:10">
      <c r="A35" t="s">
        <v>2134</v>
      </c>
      <c r="B35" t="s">
        <v>7127</v>
      </c>
      <c r="C35" s="1665">
        <v>110543953</v>
      </c>
      <c r="D35" s="1665">
        <v>107491030</v>
      </c>
      <c r="E35" s="1665">
        <v>110543953</v>
      </c>
      <c r="F35" s="1665">
        <v>107491030</v>
      </c>
      <c r="G35" s="1665">
        <v>110543953</v>
      </c>
      <c r="H35" s="1665">
        <v>107491030</v>
      </c>
      <c r="I35" s="101">
        <v>110543953</v>
      </c>
      <c r="J35" s="101">
        <v>107491030</v>
      </c>
    </row>
    <row r="36" spans="1:10">
      <c r="A36" t="s">
        <v>452</v>
      </c>
      <c r="B36" t="s">
        <v>7128</v>
      </c>
      <c r="C36" s="1665">
        <v>204792593</v>
      </c>
      <c r="D36" s="1665">
        <v>197418863</v>
      </c>
      <c r="E36" s="1665">
        <v>204792593</v>
      </c>
      <c r="F36" s="1665">
        <v>197418863</v>
      </c>
      <c r="G36" s="1665">
        <v>452133123</v>
      </c>
      <c r="H36" s="1665">
        <v>444759393</v>
      </c>
      <c r="I36" s="101">
        <v>452133123</v>
      </c>
      <c r="J36" s="101">
        <v>444759393</v>
      </c>
    </row>
    <row r="37" spans="1:10">
      <c r="A37" t="s">
        <v>2367</v>
      </c>
      <c r="B37" t="s">
        <v>7129</v>
      </c>
      <c r="C37" s="1665">
        <v>810937567</v>
      </c>
      <c r="D37" s="1665">
        <v>778497627</v>
      </c>
      <c r="E37" s="1665">
        <v>810937567</v>
      </c>
      <c r="F37" s="1665">
        <v>778497627</v>
      </c>
      <c r="G37" s="1665">
        <v>810937567</v>
      </c>
      <c r="H37" s="1665">
        <v>778497627</v>
      </c>
      <c r="I37" s="101">
        <v>810937567</v>
      </c>
      <c r="J37" s="101">
        <v>778497627</v>
      </c>
    </row>
    <row r="38" spans="1:10">
      <c r="A38" t="s">
        <v>2651</v>
      </c>
      <c r="B38" t="s">
        <v>7130</v>
      </c>
      <c r="C38" s="1665">
        <v>364891637</v>
      </c>
      <c r="D38" s="1665">
        <v>363266835</v>
      </c>
      <c r="E38" s="1665">
        <v>364891637</v>
      </c>
      <c r="F38" s="1665">
        <v>363266835</v>
      </c>
      <c r="G38" s="1665">
        <v>364891637</v>
      </c>
      <c r="H38" s="1665">
        <v>363266835</v>
      </c>
      <c r="I38" s="101">
        <v>364891637</v>
      </c>
      <c r="J38" s="101">
        <v>363266835</v>
      </c>
    </row>
    <row r="39" spans="1:10">
      <c r="A39" t="s">
        <v>2652</v>
      </c>
      <c r="B39" t="s">
        <v>7131</v>
      </c>
      <c r="C39" s="1665">
        <v>544381690</v>
      </c>
      <c r="D39" s="1665">
        <v>541113972</v>
      </c>
      <c r="E39" s="1665">
        <v>544381690</v>
      </c>
      <c r="F39" s="1665">
        <v>541113972</v>
      </c>
      <c r="G39" s="1665">
        <v>616649790</v>
      </c>
      <c r="H39" s="1665">
        <v>613382072</v>
      </c>
      <c r="I39" s="101">
        <v>616649790</v>
      </c>
      <c r="J39" s="101">
        <v>613382072</v>
      </c>
    </row>
    <row r="40" spans="1:10">
      <c r="A40" t="s">
        <v>1149</v>
      </c>
      <c r="B40" t="s">
        <v>7132</v>
      </c>
      <c r="C40" s="1665">
        <v>158097616</v>
      </c>
      <c r="D40" s="1665">
        <v>153041656</v>
      </c>
      <c r="E40" s="1665">
        <v>158097616</v>
      </c>
      <c r="F40" s="1665">
        <v>153041656</v>
      </c>
      <c r="G40" s="1665">
        <v>158097616</v>
      </c>
      <c r="H40" s="1665">
        <v>153041656</v>
      </c>
      <c r="I40" s="101">
        <v>158097616</v>
      </c>
      <c r="J40" s="101">
        <v>153041656</v>
      </c>
    </row>
    <row r="41" spans="1:10">
      <c r="A41" t="s">
        <v>2135</v>
      </c>
      <c r="B41" t="s">
        <v>7133</v>
      </c>
      <c r="C41" s="1665">
        <v>445238725</v>
      </c>
      <c r="D41" s="1665">
        <v>427496214</v>
      </c>
      <c r="E41" s="1665">
        <v>445238725</v>
      </c>
      <c r="F41" s="1665">
        <v>427496214</v>
      </c>
      <c r="G41" s="1665">
        <v>445238725</v>
      </c>
      <c r="H41" s="1665">
        <v>427496214</v>
      </c>
      <c r="I41" s="101">
        <v>445238725</v>
      </c>
      <c r="J41" s="101">
        <v>427496214</v>
      </c>
    </row>
    <row r="42" spans="1:10">
      <c r="A42" t="s">
        <v>1682</v>
      </c>
      <c r="B42" t="s">
        <v>7134</v>
      </c>
      <c r="C42" s="1665">
        <v>122905737</v>
      </c>
      <c r="D42" s="1665">
        <v>117896740</v>
      </c>
      <c r="E42" s="1665">
        <v>122905737</v>
      </c>
      <c r="F42" s="1665">
        <v>117896740</v>
      </c>
      <c r="G42" s="1665">
        <v>122905737</v>
      </c>
      <c r="H42" s="1665">
        <v>117896740</v>
      </c>
      <c r="I42" s="101">
        <v>122905737</v>
      </c>
      <c r="J42" s="101">
        <v>117896740</v>
      </c>
    </row>
    <row r="43" spans="1:10">
      <c r="A43" t="s">
        <v>1685</v>
      </c>
      <c r="B43" t="s">
        <v>7135</v>
      </c>
      <c r="C43" s="1665">
        <v>3207853791</v>
      </c>
      <c r="D43" s="1665">
        <v>3095026104</v>
      </c>
      <c r="E43" s="1665">
        <v>3207853791</v>
      </c>
      <c r="F43" s="1665">
        <v>3095026104</v>
      </c>
      <c r="G43" s="1665">
        <v>3207853791</v>
      </c>
      <c r="H43" s="1665">
        <v>3095026104</v>
      </c>
      <c r="I43" s="101">
        <v>3207853791</v>
      </c>
      <c r="J43" s="101">
        <v>3095026104</v>
      </c>
    </row>
    <row r="44" spans="1:10">
      <c r="A44" t="s">
        <v>170</v>
      </c>
      <c r="B44" t="s">
        <v>7136</v>
      </c>
      <c r="C44" s="1665">
        <v>127150772</v>
      </c>
      <c r="D44" s="1665">
        <v>121712647</v>
      </c>
      <c r="E44" s="1665">
        <v>127150772</v>
      </c>
      <c r="F44" s="1665">
        <v>121712647</v>
      </c>
      <c r="G44" s="1665">
        <v>127150772</v>
      </c>
      <c r="H44" s="1665">
        <v>121712647</v>
      </c>
      <c r="I44" s="101">
        <v>127150772</v>
      </c>
      <c r="J44" s="101">
        <v>121712647</v>
      </c>
    </row>
    <row r="45" spans="1:10">
      <c r="A45" t="s">
        <v>53</v>
      </c>
      <c r="B45" t="s">
        <v>7137</v>
      </c>
      <c r="C45" s="1665">
        <v>7940071123</v>
      </c>
      <c r="D45" s="1665">
        <v>7654864511</v>
      </c>
      <c r="E45" s="1665">
        <v>7940071123</v>
      </c>
      <c r="F45" s="1665">
        <v>7654864511</v>
      </c>
      <c r="G45" s="1665">
        <v>7940071123</v>
      </c>
      <c r="H45" s="1665">
        <v>7654864511</v>
      </c>
      <c r="I45" s="101">
        <v>7940071123</v>
      </c>
      <c r="J45" s="101">
        <v>7654864511</v>
      </c>
    </row>
    <row r="46" spans="1:10">
      <c r="A46" t="s">
        <v>166</v>
      </c>
      <c r="B46" t="s">
        <v>7138</v>
      </c>
      <c r="C46" s="1665">
        <v>201042753</v>
      </c>
      <c r="D46" s="1665">
        <v>192342683</v>
      </c>
      <c r="E46" s="1665">
        <v>201042753</v>
      </c>
      <c r="F46" s="1665">
        <v>192342683</v>
      </c>
      <c r="G46" s="1665">
        <v>201042753</v>
      </c>
      <c r="H46" s="1665">
        <v>192342683</v>
      </c>
      <c r="I46" s="101">
        <v>201042753</v>
      </c>
      <c r="J46" s="101">
        <v>192342683</v>
      </c>
    </row>
    <row r="47" spans="1:10">
      <c r="A47" t="s">
        <v>1312</v>
      </c>
      <c r="B47" t="s">
        <v>7139</v>
      </c>
      <c r="C47" s="1665">
        <v>867251768</v>
      </c>
      <c r="D47" s="1665">
        <v>844346142</v>
      </c>
      <c r="E47" s="1665">
        <v>867251768</v>
      </c>
      <c r="F47" s="1665">
        <v>844346142</v>
      </c>
      <c r="G47" s="1665">
        <v>867251768</v>
      </c>
      <c r="H47" s="1665">
        <v>844346142</v>
      </c>
      <c r="I47" s="101">
        <v>867251768</v>
      </c>
      <c r="J47" s="101">
        <v>844346142</v>
      </c>
    </row>
    <row r="48" spans="1:10">
      <c r="A48" t="s">
        <v>1514</v>
      </c>
      <c r="B48" t="s">
        <v>7140</v>
      </c>
      <c r="C48" s="1665">
        <v>3229628418</v>
      </c>
      <c r="D48" s="1665">
        <v>3134813432</v>
      </c>
      <c r="E48" s="1665">
        <v>3229628418</v>
      </c>
      <c r="F48" s="1665">
        <v>3134813432</v>
      </c>
      <c r="G48" s="1665">
        <v>3229628418</v>
      </c>
      <c r="H48" s="1665">
        <v>3134813432</v>
      </c>
      <c r="I48" s="101">
        <v>3229628418</v>
      </c>
      <c r="J48" s="101">
        <v>3134813432</v>
      </c>
    </row>
    <row r="49" spans="1:10">
      <c r="A49" t="s">
        <v>1519</v>
      </c>
      <c r="B49" t="s">
        <v>7141</v>
      </c>
      <c r="C49" s="1665">
        <v>362706395</v>
      </c>
      <c r="D49" s="1665">
        <v>348807266</v>
      </c>
      <c r="E49" s="1665">
        <v>362706395</v>
      </c>
      <c r="F49" s="1665">
        <v>348807266</v>
      </c>
      <c r="G49" s="1665">
        <v>362706395</v>
      </c>
      <c r="H49" s="1665">
        <v>348807266</v>
      </c>
      <c r="I49" s="101">
        <v>362706395</v>
      </c>
      <c r="J49" s="101">
        <v>348807266</v>
      </c>
    </row>
    <row r="50" spans="1:10">
      <c r="A50" t="s">
        <v>423</v>
      </c>
      <c r="B50" t="s">
        <v>7142</v>
      </c>
      <c r="C50" s="1665">
        <v>6995190350</v>
      </c>
      <c r="D50" s="1665">
        <v>6925206099</v>
      </c>
      <c r="E50" s="1665">
        <v>6995190350</v>
      </c>
      <c r="F50" s="1665">
        <v>6925206099</v>
      </c>
      <c r="G50" s="1665">
        <v>6995190350</v>
      </c>
      <c r="H50" s="1665">
        <v>6925206099</v>
      </c>
      <c r="I50" s="101">
        <v>6995190350</v>
      </c>
      <c r="J50" s="101">
        <v>6925206099</v>
      </c>
    </row>
    <row r="51" spans="1:10">
      <c r="A51" t="s">
        <v>1859</v>
      </c>
      <c r="B51" t="s">
        <v>7143</v>
      </c>
      <c r="C51" s="1665">
        <v>1845934715</v>
      </c>
      <c r="D51" s="1665">
        <v>1745610735</v>
      </c>
      <c r="E51" s="1665">
        <v>1845934715</v>
      </c>
      <c r="F51" s="1665">
        <v>1745610735</v>
      </c>
      <c r="G51" s="1665">
        <v>1845934715</v>
      </c>
      <c r="H51" s="1665">
        <v>1745610735</v>
      </c>
      <c r="I51" s="101">
        <v>1845934715</v>
      </c>
      <c r="J51" s="101">
        <v>1745610735</v>
      </c>
    </row>
    <row r="52" spans="1:10">
      <c r="A52" t="s">
        <v>771</v>
      </c>
      <c r="B52" t="s">
        <v>7144</v>
      </c>
      <c r="C52" s="1665">
        <v>1502172594</v>
      </c>
      <c r="D52" s="1665">
        <v>1416686668</v>
      </c>
      <c r="E52" s="1665">
        <v>1502172594</v>
      </c>
      <c r="F52" s="1665">
        <v>1416686668</v>
      </c>
      <c r="G52" s="1665">
        <v>1502172594</v>
      </c>
      <c r="H52" s="1665">
        <v>1416686668</v>
      </c>
      <c r="I52" s="101">
        <v>1502172594</v>
      </c>
      <c r="J52" s="101">
        <v>1416686668</v>
      </c>
    </row>
    <row r="53" spans="1:10">
      <c r="A53" t="s">
        <v>1314</v>
      </c>
      <c r="B53" t="s">
        <v>7145</v>
      </c>
      <c r="C53" s="1665">
        <v>19106523067</v>
      </c>
      <c r="D53" s="1665">
        <v>18653745673</v>
      </c>
      <c r="E53" s="1665">
        <v>18998247400</v>
      </c>
      <c r="F53" s="1665">
        <v>18545470006</v>
      </c>
      <c r="G53" s="1665">
        <v>18998247400</v>
      </c>
      <c r="H53" s="1665">
        <v>18545470006</v>
      </c>
      <c r="I53" s="101">
        <v>19106523067</v>
      </c>
      <c r="J53" s="101">
        <v>18653745673</v>
      </c>
    </row>
    <row r="54" spans="1:10">
      <c r="A54" t="s">
        <v>1506</v>
      </c>
      <c r="B54" t="s">
        <v>7146</v>
      </c>
      <c r="C54" s="1665">
        <v>1820688747</v>
      </c>
      <c r="D54" s="1665">
        <v>1757299318</v>
      </c>
      <c r="E54" s="1665">
        <v>1820688747</v>
      </c>
      <c r="F54" s="1665">
        <v>1757299318</v>
      </c>
      <c r="G54" s="1665">
        <v>1820688747</v>
      </c>
      <c r="H54" s="1665">
        <v>1757299318</v>
      </c>
      <c r="I54" s="101">
        <v>1820688747</v>
      </c>
      <c r="J54" s="101">
        <v>1757299318</v>
      </c>
    </row>
    <row r="55" spans="1:10">
      <c r="A55" t="s">
        <v>1152</v>
      </c>
      <c r="B55" t="s">
        <v>7147</v>
      </c>
      <c r="C55" s="1665">
        <v>529958308</v>
      </c>
      <c r="D55" s="1665">
        <v>506734864</v>
      </c>
      <c r="E55" s="1665">
        <v>529958308</v>
      </c>
      <c r="F55" s="1665">
        <v>506734864</v>
      </c>
      <c r="G55" s="1665">
        <v>529958308</v>
      </c>
      <c r="H55" s="1665">
        <v>506734864</v>
      </c>
      <c r="I55" s="101">
        <v>529958308</v>
      </c>
      <c r="J55" s="101">
        <v>506734864</v>
      </c>
    </row>
    <row r="56" spans="1:10">
      <c r="A56" t="s">
        <v>1407</v>
      </c>
      <c r="B56" t="s">
        <v>7148</v>
      </c>
      <c r="C56" s="1665">
        <v>40815207175</v>
      </c>
      <c r="D56" s="1665">
        <v>39988264425</v>
      </c>
      <c r="E56" s="1665">
        <v>40815207175</v>
      </c>
      <c r="F56" s="1665">
        <v>39988264425</v>
      </c>
      <c r="G56" s="1665">
        <v>40815207175</v>
      </c>
      <c r="H56" s="1665">
        <v>39988264425</v>
      </c>
      <c r="I56" s="101">
        <v>40815207175</v>
      </c>
      <c r="J56" s="101">
        <v>39988264425</v>
      </c>
    </row>
    <row r="57" spans="1:10">
      <c r="A57" t="s">
        <v>768</v>
      </c>
      <c r="B57" t="s">
        <v>7149</v>
      </c>
      <c r="C57" s="1665">
        <v>3973128905</v>
      </c>
      <c r="D57" s="1665">
        <v>3864324572</v>
      </c>
      <c r="E57" s="1665">
        <v>3973128905</v>
      </c>
      <c r="F57" s="1665">
        <v>3864324572</v>
      </c>
      <c r="G57" s="1665">
        <v>3973128905</v>
      </c>
      <c r="H57" s="1665">
        <v>3864324572</v>
      </c>
      <c r="I57" s="101">
        <v>3973128905</v>
      </c>
      <c r="J57" s="101">
        <v>3864324572</v>
      </c>
    </row>
    <row r="58" spans="1:10">
      <c r="A58" t="s">
        <v>709</v>
      </c>
      <c r="B58" t="s">
        <v>7150</v>
      </c>
      <c r="C58" s="1665">
        <v>3922310008</v>
      </c>
      <c r="D58" s="1665">
        <v>3830958355</v>
      </c>
      <c r="E58" s="1665">
        <v>3922310008</v>
      </c>
      <c r="F58" s="1665">
        <v>3830958355</v>
      </c>
      <c r="G58" s="1665">
        <v>3922310008</v>
      </c>
      <c r="H58" s="1665">
        <v>3830958355</v>
      </c>
      <c r="I58" s="101">
        <v>3922310008</v>
      </c>
      <c r="J58" s="101">
        <v>3830958355</v>
      </c>
    </row>
    <row r="59" spans="1:10">
      <c r="A59" t="s">
        <v>1409</v>
      </c>
      <c r="B59" t="s">
        <v>7151</v>
      </c>
      <c r="C59" s="1665">
        <v>55741034670</v>
      </c>
      <c r="D59" s="1665">
        <v>54633116220</v>
      </c>
      <c r="E59" s="1665">
        <v>55741034670</v>
      </c>
      <c r="F59" s="1665">
        <v>54633116220</v>
      </c>
      <c r="G59" s="1665">
        <v>55741034670</v>
      </c>
      <c r="H59" s="1665">
        <v>54633116220</v>
      </c>
      <c r="I59" s="101">
        <v>55741034670</v>
      </c>
      <c r="J59" s="101">
        <v>54633116220</v>
      </c>
    </row>
    <row r="60" spans="1:10">
      <c r="A60" t="s">
        <v>46</v>
      </c>
      <c r="B60" t="s">
        <v>7152</v>
      </c>
      <c r="C60" s="1665">
        <v>9880395795</v>
      </c>
      <c r="D60" s="1665">
        <v>9632102520</v>
      </c>
      <c r="E60" s="1665">
        <v>9880395795</v>
      </c>
      <c r="F60" s="1665">
        <v>9632102520</v>
      </c>
      <c r="G60" s="1665">
        <v>9880395795</v>
      </c>
      <c r="H60" s="1665">
        <v>9632102520</v>
      </c>
      <c r="I60" s="101">
        <v>9880395795</v>
      </c>
      <c r="J60" s="101">
        <v>9632102520</v>
      </c>
    </row>
    <row r="61" spans="1:10">
      <c r="A61" t="s">
        <v>1507</v>
      </c>
      <c r="B61" t="s">
        <v>7153</v>
      </c>
      <c r="C61" s="1665">
        <v>1325548446</v>
      </c>
      <c r="D61" s="1665">
        <v>1288289546</v>
      </c>
      <c r="E61" s="1665">
        <v>1325548446</v>
      </c>
      <c r="F61" s="1665">
        <v>1288289546</v>
      </c>
      <c r="G61" s="1665">
        <v>1325548446</v>
      </c>
      <c r="H61" s="1665">
        <v>1288289546</v>
      </c>
      <c r="I61" s="101">
        <v>1325548446</v>
      </c>
      <c r="J61" s="101">
        <v>1288289546</v>
      </c>
    </row>
    <row r="62" spans="1:10">
      <c r="A62" t="s">
        <v>1210</v>
      </c>
      <c r="B62" t="s">
        <v>7154</v>
      </c>
      <c r="C62" s="1665">
        <v>857379116</v>
      </c>
      <c r="D62" s="1665">
        <v>841992435</v>
      </c>
      <c r="E62" s="1665">
        <v>857379116</v>
      </c>
      <c r="F62" s="1665">
        <v>841992435</v>
      </c>
      <c r="G62" s="1665">
        <v>857379116</v>
      </c>
      <c r="H62" s="1665">
        <v>841992435</v>
      </c>
      <c r="I62" s="101">
        <v>857379116</v>
      </c>
      <c r="J62" s="101">
        <v>841992435</v>
      </c>
    </row>
    <row r="63" spans="1:10">
      <c r="A63" t="s">
        <v>874</v>
      </c>
      <c r="B63" t="s">
        <v>7155</v>
      </c>
      <c r="C63" s="1665">
        <v>938868061</v>
      </c>
      <c r="D63" s="1665">
        <v>919444987</v>
      </c>
      <c r="E63" s="1665">
        <v>938868061</v>
      </c>
      <c r="F63" s="1665">
        <v>919444987</v>
      </c>
      <c r="G63" s="1665">
        <v>938868061</v>
      </c>
      <c r="H63" s="1665">
        <v>919444987</v>
      </c>
      <c r="I63" s="101">
        <v>938868061</v>
      </c>
      <c r="J63" s="101">
        <v>919444987</v>
      </c>
    </row>
    <row r="64" spans="1:10">
      <c r="A64" t="s">
        <v>1211</v>
      </c>
      <c r="B64" t="s">
        <v>7156</v>
      </c>
      <c r="C64" s="1665">
        <v>526716427</v>
      </c>
      <c r="D64" s="1665">
        <v>526309277</v>
      </c>
      <c r="E64" s="1665">
        <v>526449989</v>
      </c>
      <c r="F64" s="1665">
        <v>526042839</v>
      </c>
      <c r="G64" s="1665">
        <v>671574699</v>
      </c>
      <c r="H64" s="1665">
        <v>671167549</v>
      </c>
      <c r="I64" s="101">
        <v>671841137</v>
      </c>
      <c r="J64" s="101">
        <v>671433987</v>
      </c>
    </row>
    <row r="65" spans="1:10">
      <c r="A65" t="s">
        <v>575</v>
      </c>
      <c r="B65" t="s">
        <v>7157</v>
      </c>
      <c r="C65" s="1665">
        <v>580010453</v>
      </c>
      <c r="D65" s="1665">
        <v>563994491</v>
      </c>
      <c r="E65" s="1665">
        <v>580010453</v>
      </c>
      <c r="F65" s="1665">
        <v>563994491</v>
      </c>
      <c r="G65" s="1665">
        <v>580010453</v>
      </c>
      <c r="H65" s="1665">
        <v>563994491</v>
      </c>
      <c r="I65" s="101">
        <v>580010453</v>
      </c>
      <c r="J65" s="101">
        <v>563994491</v>
      </c>
    </row>
    <row r="66" spans="1:10">
      <c r="A66" t="s">
        <v>1212</v>
      </c>
      <c r="B66" t="s">
        <v>7158</v>
      </c>
      <c r="C66" s="1665">
        <v>186650200</v>
      </c>
      <c r="D66" s="1665">
        <v>180790561</v>
      </c>
      <c r="E66" s="1665">
        <v>186650200</v>
      </c>
      <c r="F66" s="1665">
        <v>180790561</v>
      </c>
      <c r="G66" s="1665">
        <v>186650200</v>
      </c>
      <c r="H66" s="1665">
        <v>180790561</v>
      </c>
      <c r="I66" s="101">
        <v>186650200</v>
      </c>
      <c r="J66" s="101">
        <v>180790561</v>
      </c>
    </row>
    <row r="67" spans="1:10">
      <c r="A67" t="s">
        <v>1113</v>
      </c>
      <c r="B67" t="s">
        <v>7159</v>
      </c>
      <c r="C67" s="1665">
        <v>64875455</v>
      </c>
      <c r="D67" s="1665">
        <v>62720111</v>
      </c>
      <c r="E67" s="1665">
        <v>64875455</v>
      </c>
      <c r="F67" s="1665">
        <v>62720111</v>
      </c>
      <c r="G67" s="1665">
        <v>64875455</v>
      </c>
      <c r="H67" s="1665">
        <v>62720111</v>
      </c>
      <c r="I67" s="101">
        <v>64875455</v>
      </c>
      <c r="J67" s="101">
        <v>62720111</v>
      </c>
    </row>
    <row r="68" spans="1:10">
      <c r="A68" t="s">
        <v>1114</v>
      </c>
      <c r="B68" t="s">
        <v>7160</v>
      </c>
      <c r="C68" s="1665">
        <v>234342756</v>
      </c>
      <c r="D68" s="1665">
        <v>226465240</v>
      </c>
      <c r="E68" s="1665">
        <v>234342756</v>
      </c>
      <c r="F68" s="1665">
        <v>226465240</v>
      </c>
      <c r="G68" s="1665">
        <v>234342756</v>
      </c>
      <c r="H68" s="1665">
        <v>226465240</v>
      </c>
      <c r="I68" s="101">
        <v>234342756</v>
      </c>
      <c r="J68" s="101">
        <v>226465240</v>
      </c>
    </row>
    <row r="69" spans="1:10">
      <c r="A69" t="s">
        <v>1901</v>
      </c>
      <c r="B69" t="s">
        <v>7161</v>
      </c>
      <c r="C69" s="1665">
        <v>106316597</v>
      </c>
      <c r="D69" s="1665">
        <v>104447190</v>
      </c>
      <c r="E69" s="1665">
        <v>106316597</v>
      </c>
      <c r="F69" s="1665">
        <v>104447190</v>
      </c>
      <c r="G69" s="1665">
        <v>106316597</v>
      </c>
      <c r="H69" s="1665">
        <v>104447190</v>
      </c>
      <c r="I69" s="101">
        <v>106316597</v>
      </c>
      <c r="J69" s="101">
        <v>104447190</v>
      </c>
    </row>
    <row r="70" spans="1:10">
      <c r="A70" t="s">
        <v>1645</v>
      </c>
      <c r="B70" t="s">
        <v>7162</v>
      </c>
      <c r="C70" s="1665">
        <v>134685318</v>
      </c>
      <c r="D70" s="1665">
        <v>132239467</v>
      </c>
      <c r="E70" s="1665">
        <v>134685318</v>
      </c>
      <c r="F70" s="1665">
        <v>132239467</v>
      </c>
      <c r="G70" s="1665">
        <v>134685318</v>
      </c>
      <c r="H70" s="1665">
        <v>132239467</v>
      </c>
      <c r="I70" s="101">
        <v>134685318</v>
      </c>
      <c r="J70" s="101">
        <v>132239467</v>
      </c>
    </row>
    <row r="71" spans="1:10">
      <c r="A71" t="s">
        <v>1646</v>
      </c>
      <c r="B71" t="s">
        <v>7163</v>
      </c>
      <c r="C71" s="1665">
        <v>165145795</v>
      </c>
      <c r="D71" s="1665">
        <v>160388505</v>
      </c>
      <c r="E71" s="1665">
        <v>165145795</v>
      </c>
      <c r="F71" s="1665">
        <v>160388505</v>
      </c>
      <c r="G71" s="1665">
        <v>165145795</v>
      </c>
      <c r="H71" s="1665">
        <v>160388505</v>
      </c>
      <c r="I71" s="101">
        <v>165145795</v>
      </c>
      <c r="J71" s="101">
        <v>160388505</v>
      </c>
    </row>
    <row r="72" spans="1:10">
      <c r="A72" t="s">
        <v>1647</v>
      </c>
      <c r="B72" t="s">
        <v>7164</v>
      </c>
      <c r="C72" s="1665">
        <v>86072340</v>
      </c>
      <c r="D72" s="1665">
        <v>83858816</v>
      </c>
      <c r="E72" s="1665">
        <v>86072340</v>
      </c>
      <c r="F72" s="1665">
        <v>83858816</v>
      </c>
      <c r="G72" s="1665">
        <v>86072340</v>
      </c>
      <c r="H72" s="1665">
        <v>83858816</v>
      </c>
      <c r="I72" s="101">
        <v>86072340</v>
      </c>
      <c r="J72" s="101">
        <v>83858816</v>
      </c>
    </row>
    <row r="73" spans="1:10">
      <c r="A73" t="s">
        <v>885</v>
      </c>
      <c r="B73" t="s">
        <v>7165</v>
      </c>
      <c r="C73" s="1665">
        <v>202528169</v>
      </c>
      <c r="D73" s="1665">
        <v>192921225</v>
      </c>
      <c r="E73" s="1665">
        <v>202528169</v>
      </c>
      <c r="F73" s="1665">
        <v>192921225</v>
      </c>
      <c r="G73" s="1665">
        <v>202528169</v>
      </c>
      <c r="H73" s="1665">
        <v>192921225</v>
      </c>
      <c r="I73" s="101">
        <v>202528169</v>
      </c>
      <c r="J73" s="101">
        <v>192921225</v>
      </c>
    </row>
    <row r="74" spans="1:10">
      <c r="A74" t="s">
        <v>710</v>
      </c>
      <c r="B74" t="s">
        <v>7166</v>
      </c>
      <c r="C74" s="1665">
        <v>172581364</v>
      </c>
      <c r="D74" s="1665">
        <v>164127304</v>
      </c>
      <c r="E74" s="1665">
        <v>172581364</v>
      </c>
      <c r="F74" s="1665">
        <v>164127304</v>
      </c>
      <c r="G74" s="1665">
        <v>172581364</v>
      </c>
      <c r="H74" s="1665">
        <v>164127304</v>
      </c>
      <c r="I74" s="101">
        <v>172581364</v>
      </c>
      <c r="J74" s="101">
        <v>164127304</v>
      </c>
    </row>
    <row r="75" spans="1:10">
      <c r="A75" t="s">
        <v>2136</v>
      </c>
      <c r="B75" t="s">
        <v>7167</v>
      </c>
      <c r="C75" s="1665">
        <v>65459899</v>
      </c>
      <c r="D75" s="1665">
        <v>60864991</v>
      </c>
      <c r="E75" s="1665">
        <v>65459899</v>
      </c>
      <c r="F75" s="1665">
        <v>60864991</v>
      </c>
      <c r="G75" s="1665">
        <v>65459899</v>
      </c>
      <c r="H75" s="1665">
        <v>60864991</v>
      </c>
      <c r="I75" s="101">
        <v>65459899</v>
      </c>
      <c r="J75" s="101">
        <v>60864991</v>
      </c>
    </row>
    <row r="76" spans="1:10">
      <c r="A76" t="s">
        <v>2638</v>
      </c>
      <c r="B76" t="s">
        <v>7168</v>
      </c>
      <c r="C76" s="1665">
        <v>402243064</v>
      </c>
      <c r="D76" s="1665">
        <v>386667283</v>
      </c>
      <c r="E76" s="1665">
        <v>402243064</v>
      </c>
      <c r="F76" s="1665">
        <v>386667283</v>
      </c>
      <c r="G76" s="1665">
        <v>402243064</v>
      </c>
      <c r="H76" s="1665">
        <v>386667283</v>
      </c>
      <c r="I76" s="101">
        <v>402243064</v>
      </c>
      <c r="J76" s="101">
        <v>386667283</v>
      </c>
    </row>
    <row r="77" spans="1:10">
      <c r="A77" t="s">
        <v>1096</v>
      </c>
      <c r="B77" t="s">
        <v>7169</v>
      </c>
      <c r="C77" s="1665">
        <v>257686530</v>
      </c>
      <c r="D77" s="1665">
        <v>245334120</v>
      </c>
      <c r="E77" s="1665">
        <v>257686530</v>
      </c>
      <c r="F77" s="1665">
        <v>245334120</v>
      </c>
      <c r="G77" s="1665">
        <v>257686530</v>
      </c>
      <c r="H77" s="1665">
        <v>245334120</v>
      </c>
      <c r="I77" s="101">
        <v>257686530</v>
      </c>
      <c r="J77" s="101">
        <v>245334120</v>
      </c>
    </row>
    <row r="78" spans="1:10">
      <c r="A78" t="s">
        <v>1097</v>
      </c>
      <c r="B78" t="s">
        <v>7170</v>
      </c>
      <c r="C78" s="1665">
        <v>2052383217</v>
      </c>
      <c r="D78" s="1665">
        <v>2007912293</v>
      </c>
      <c r="E78" s="1665">
        <v>2052383217</v>
      </c>
      <c r="F78" s="1665">
        <v>2007912293</v>
      </c>
      <c r="G78" s="1665">
        <v>2052383217</v>
      </c>
      <c r="H78" s="1665">
        <v>2007912293</v>
      </c>
      <c r="I78" s="101">
        <v>2052383217</v>
      </c>
      <c r="J78" s="101">
        <v>2007912293</v>
      </c>
    </row>
    <row r="79" spans="1:10">
      <c r="A79" t="s">
        <v>1124</v>
      </c>
      <c r="B79" t="s">
        <v>7171</v>
      </c>
      <c r="C79" s="1665">
        <v>567098940</v>
      </c>
      <c r="D79" s="1665">
        <v>544613385</v>
      </c>
      <c r="E79" s="1665">
        <v>567098940</v>
      </c>
      <c r="F79" s="1665">
        <v>544613385</v>
      </c>
      <c r="G79" s="1665">
        <v>567098940</v>
      </c>
      <c r="H79" s="1665">
        <v>544613385</v>
      </c>
      <c r="I79" s="101">
        <v>567098940</v>
      </c>
      <c r="J79" s="101">
        <v>544613385</v>
      </c>
    </row>
    <row r="80" spans="1:10">
      <c r="A80" t="s">
        <v>2137</v>
      </c>
      <c r="B80" t="s">
        <v>7172</v>
      </c>
      <c r="C80" s="1665">
        <v>119120084</v>
      </c>
      <c r="D80" s="1665">
        <v>112424750</v>
      </c>
      <c r="E80" s="1665">
        <v>119120084</v>
      </c>
      <c r="F80" s="1665">
        <v>112424750</v>
      </c>
      <c r="G80" s="1665">
        <v>119120084</v>
      </c>
      <c r="H80" s="1665">
        <v>112424750</v>
      </c>
      <c r="I80" s="101">
        <v>119120084</v>
      </c>
      <c r="J80" s="101">
        <v>112424750</v>
      </c>
    </row>
    <row r="81" spans="1:10">
      <c r="A81" t="s">
        <v>984</v>
      </c>
      <c r="B81" t="s">
        <v>7173</v>
      </c>
      <c r="C81" s="1665">
        <v>22637713</v>
      </c>
      <c r="D81" s="1665">
        <v>21039545</v>
      </c>
      <c r="E81" s="1665">
        <v>22637713</v>
      </c>
      <c r="F81" s="1665">
        <v>21039545</v>
      </c>
      <c r="G81" s="1665">
        <v>22637713</v>
      </c>
      <c r="H81" s="1665">
        <v>21039545</v>
      </c>
      <c r="I81" s="101">
        <v>22637713</v>
      </c>
      <c r="J81" s="101">
        <v>21039545</v>
      </c>
    </row>
    <row r="82" spans="1:10">
      <c r="A82" t="s">
        <v>842</v>
      </c>
      <c r="B82" t="s">
        <v>7174</v>
      </c>
      <c r="C82" s="1665">
        <v>229307985</v>
      </c>
      <c r="D82" s="1665">
        <v>222093537</v>
      </c>
      <c r="E82" s="1665">
        <v>229307985</v>
      </c>
      <c r="F82" s="1665">
        <v>222093537</v>
      </c>
      <c r="G82" s="1665">
        <v>229307985</v>
      </c>
      <c r="H82" s="1665">
        <v>222093537</v>
      </c>
      <c r="I82" s="101">
        <v>229307985</v>
      </c>
      <c r="J82" s="101">
        <v>222093537</v>
      </c>
    </row>
    <row r="83" spans="1:10">
      <c r="A83" t="s">
        <v>1125</v>
      </c>
      <c r="B83" t="s">
        <v>7175</v>
      </c>
      <c r="C83" s="1665">
        <v>943834028</v>
      </c>
      <c r="D83" s="1665">
        <v>918588728</v>
      </c>
      <c r="E83" s="1665">
        <v>943834028</v>
      </c>
      <c r="F83" s="1665">
        <v>918588728</v>
      </c>
      <c r="G83" s="1665">
        <v>943834028</v>
      </c>
      <c r="H83" s="1665">
        <v>918588728</v>
      </c>
      <c r="I83" s="101">
        <v>943834028</v>
      </c>
      <c r="J83" s="101">
        <v>918588728</v>
      </c>
    </row>
    <row r="84" spans="1:10">
      <c r="A84" t="s">
        <v>1126</v>
      </c>
      <c r="B84" t="s">
        <v>7176</v>
      </c>
      <c r="C84" s="1665">
        <v>22004210</v>
      </c>
      <c r="D84" s="1665">
        <v>20491891</v>
      </c>
      <c r="E84" s="1665">
        <v>22004210</v>
      </c>
      <c r="F84" s="1665">
        <v>20491891</v>
      </c>
      <c r="G84" s="1665">
        <v>22004210</v>
      </c>
      <c r="H84" s="1665">
        <v>20491891</v>
      </c>
      <c r="I84" s="101">
        <v>22004210</v>
      </c>
      <c r="J84" s="101">
        <v>20491891</v>
      </c>
    </row>
    <row r="85" spans="1:10">
      <c r="A85" t="s">
        <v>843</v>
      </c>
      <c r="B85" t="s">
        <v>7177</v>
      </c>
      <c r="C85" s="1665">
        <v>43633485</v>
      </c>
      <c r="D85" s="1665">
        <v>41857982</v>
      </c>
      <c r="E85" s="1665">
        <v>43633485</v>
      </c>
      <c r="F85" s="1665">
        <v>41857982</v>
      </c>
      <c r="G85" s="1665">
        <v>43633485</v>
      </c>
      <c r="H85" s="1665">
        <v>41857982</v>
      </c>
      <c r="I85" s="101">
        <v>43633485</v>
      </c>
      <c r="J85" s="101">
        <v>41857982</v>
      </c>
    </row>
    <row r="86" spans="1:10">
      <c r="A86" t="s">
        <v>179</v>
      </c>
      <c r="B86" t="s">
        <v>7178</v>
      </c>
      <c r="C86" s="1665">
        <v>7068672952</v>
      </c>
      <c r="D86" s="1665">
        <v>6839754662</v>
      </c>
      <c r="E86" s="1665">
        <v>7068672952</v>
      </c>
      <c r="F86" s="1665">
        <v>6839754662</v>
      </c>
      <c r="G86" s="1665">
        <v>7068672952</v>
      </c>
      <c r="H86" s="1665">
        <v>6839754662</v>
      </c>
      <c r="I86" s="101">
        <v>7068672952</v>
      </c>
      <c r="J86" s="101">
        <v>6839754662</v>
      </c>
    </row>
    <row r="87" spans="1:10">
      <c r="A87" t="s">
        <v>919</v>
      </c>
      <c r="B87" t="s">
        <v>7179</v>
      </c>
      <c r="C87" s="1665">
        <v>2850276734</v>
      </c>
      <c r="D87" s="1665">
        <v>2784547201</v>
      </c>
      <c r="E87" s="1665">
        <v>2850276734</v>
      </c>
      <c r="F87" s="1665">
        <v>2784547201</v>
      </c>
      <c r="G87" s="1665">
        <v>2850276734</v>
      </c>
      <c r="H87" s="1665">
        <v>2784547201</v>
      </c>
      <c r="I87" s="101">
        <v>2850276734</v>
      </c>
      <c r="J87" s="101">
        <v>2784547201</v>
      </c>
    </row>
    <row r="88" spans="1:10">
      <c r="A88" t="s">
        <v>711</v>
      </c>
      <c r="B88" t="s">
        <v>7180</v>
      </c>
      <c r="C88" s="1665">
        <v>264056297</v>
      </c>
      <c r="D88" s="1665">
        <v>254633412</v>
      </c>
      <c r="E88" s="1665">
        <v>264056297</v>
      </c>
      <c r="F88" s="1665">
        <v>254633412</v>
      </c>
      <c r="G88" s="1665">
        <v>264056297</v>
      </c>
      <c r="H88" s="1665">
        <v>254633412</v>
      </c>
      <c r="I88" s="101">
        <v>264056297</v>
      </c>
      <c r="J88" s="101">
        <v>254633412</v>
      </c>
    </row>
    <row r="89" spans="1:10">
      <c r="A89" t="s">
        <v>1157</v>
      </c>
      <c r="B89" t="s">
        <v>7181</v>
      </c>
      <c r="C89" s="1665">
        <v>13484208245</v>
      </c>
      <c r="D89" s="1665">
        <v>13360091025</v>
      </c>
      <c r="E89" s="1665">
        <v>13383087319</v>
      </c>
      <c r="F89" s="1665">
        <v>13258970099</v>
      </c>
      <c r="G89" s="1665">
        <v>15217217129</v>
      </c>
      <c r="H89" s="1665">
        <v>15093099909</v>
      </c>
      <c r="I89" s="101">
        <v>15318338055</v>
      </c>
      <c r="J89" s="101">
        <v>15194220835</v>
      </c>
    </row>
    <row r="90" spans="1:10">
      <c r="A90" t="s">
        <v>1158</v>
      </c>
      <c r="B90" t="s">
        <v>7182</v>
      </c>
      <c r="C90" s="1665">
        <v>1801471527</v>
      </c>
      <c r="D90" s="1665">
        <v>1777723758</v>
      </c>
      <c r="E90" s="1665">
        <v>1768784138</v>
      </c>
      <c r="F90" s="1665">
        <v>1745036369</v>
      </c>
      <c r="G90" s="1665">
        <v>3259411558</v>
      </c>
      <c r="H90" s="1665">
        <v>3235663789</v>
      </c>
      <c r="I90" s="101">
        <v>3292098947</v>
      </c>
      <c r="J90" s="101">
        <v>3268351178</v>
      </c>
    </row>
    <row r="91" spans="1:10">
      <c r="A91" t="s">
        <v>1435</v>
      </c>
      <c r="B91" t="s">
        <v>7183</v>
      </c>
      <c r="C91" s="1665">
        <v>1360299152</v>
      </c>
      <c r="D91" s="1665">
        <v>1314410513</v>
      </c>
      <c r="E91" s="1665">
        <v>1327231796</v>
      </c>
      <c r="F91" s="1665">
        <v>1281343157</v>
      </c>
      <c r="G91" s="1665">
        <v>1327231796</v>
      </c>
      <c r="H91" s="1665">
        <v>1281343157</v>
      </c>
      <c r="I91" s="101">
        <v>1360299152</v>
      </c>
      <c r="J91" s="101">
        <v>1314410513</v>
      </c>
    </row>
    <row r="92" spans="1:10">
      <c r="A92" t="s">
        <v>207</v>
      </c>
      <c r="B92" t="s">
        <v>7184</v>
      </c>
      <c r="C92" s="1665">
        <v>7895157111</v>
      </c>
      <c r="D92" s="1665">
        <v>7655692526</v>
      </c>
      <c r="E92" s="1665">
        <v>7895157111</v>
      </c>
      <c r="F92" s="1665">
        <v>7655692526</v>
      </c>
      <c r="G92" s="1665">
        <v>7895157111</v>
      </c>
      <c r="H92" s="1665">
        <v>7655692526</v>
      </c>
      <c r="I92" s="101">
        <v>7895157111</v>
      </c>
      <c r="J92" s="101">
        <v>7655692526</v>
      </c>
    </row>
    <row r="93" spans="1:10">
      <c r="A93" t="s">
        <v>1159</v>
      </c>
      <c r="B93" t="s">
        <v>7185</v>
      </c>
      <c r="C93" s="1665">
        <v>63764963</v>
      </c>
      <c r="D93" s="1665">
        <v>61594180</v>
      </c>
      <c r="E93" s="1665">
        <v>63764963</v>
      </c>
      <c r="F93" s="1665">
        <v>61594180</v>
      </c>
      <c r="G93" s="1665">
        <v>63764963</v>
      </c>
      <c r="H93" s="1665">
        <v>61594180</v>
      </c>
      <c r="I93" s="101">
        <v>63764963</v>
      </c>
      <c r="J93" s="101">
        <v>61594180</v>
      </c>
    </row>
    <row r="94" spans="1:10">
      <c r="A94" t="s">
        <v>578</v>
      </c>
      <c r="B94" t="s">
        <v>7186</v>
      </c>
      <c r="C94" s="1665">
        <v>10239324716</v>
      </c>
      <c r="D94" s="1665">
        <v>10117705439</v>
      </c>
      <c r="E94" s="1665">
        <v>10239324716</v>
      </c>
      <c r="F94" s="1665">
        <v>10117705439</v>
      </c>
      <c r="G94" s="1665">
        <v>10239324716</v>
      </c>
      <c r="H94" s="1665">
        <v>10117705439</v>
      </c>
      <c r="I94" s="101">
        <v>10239324716</v>
      </c>
      <c r="J94" s="101">
        <v>10117705439</v>
      </c>
    </row>
    <row r="95" spans="1:10">
      <c r="A95" t="s">
        <v>882</v>
      </c>
      <c r="B95" t="s">
        <v>7187</v>
      </c>
      <c r="C95" s="1665">
        <v>8008641898</v>
      </c>
      <c r="D95" s="1665">
        <v>7867683796</v>
      </c>
      <c r="E95" s="1665">
        <v>8008641898</v>
      </c>
      <c r="F95" s="1665">
        <v>7867683796</v>
      </c>
      <c r="G95" s="1665">
        <v>8193861908</v>
      </c>
      <c r="H95" s="1665">
        <v>8052903806</v>
      </c>
      <c r="I95" s="101">
        <v>8193861908</v>
      </c>
      <c r="J95" s="101">
        <v>8052903806</v>
      </c>
    </row>
    <row r="96" spans="1:10">
      <c r="A96" t="s">
        <v>2549</v>
      </c>
      <c r="B96" t="s">
        <v>7188</v>
      </c>
      <c r="C96" s="1665">
        <v>95110750</v>
      </c>
      <c r="D96" s="1665">
        <v>93620338</v>
      </c>
      <c r="E96" s="1665">
        <v>95110750</v>
      </c>
      <c r="F96" s="1665">
        <v>93620338</v>
      </c>
      <c r="G96" s="1665">
        <v>95110750</v>
      </c>
      <c r="H96" s="1665">
        <v>93620338</v>
      </c>
      <c r="I96" s="101">
        <v>95110750</v>
      </c>
      <c r="J96" s="101">
        <v>93620338</v>
      </c>
    </row>
    <row r="97" spans="1:10">
      <c r="A97" t="s">
        <v>400</v>
      </c>
      <c r="B97" t="s">
        <v>7189</v>
      </c>
      <c r="C97" s="1665">
        <v>596424617</v>
      </c>
      <c r="D97" s="1665">
        <v>577144876</v>
      </c>
      <c r="E97" s="1665">
        <v>581698869</v>
      </c>
      <c r="F97" s="1665">
        <v>562419128</v>
      </c>
      <c r="G97" s="1665">
        <v>640708869</v>
      </c>
      <c r="H97" s="1665">
        <v>621429128</v>
      </c>
      <c r="I97" s="101">
        <v>655434617</v>
      </c>
      <c r="J97" s="101">
        <v>636154876</v>
      </c>
    </row>
    <row r="98" spans="1:10">
      <c r="A98" t="s">
        <v>401</v>
      </c>
      <c r="B98" t="s">
        <v>7190</v>
      </c>
      <c r="C98" s="1665">
        <v>93621662</v>
      </c>
      <c r="D98" s="1665">
        <v>92119450</v>
      </c>
      <c r="E98" s="1665">
        <v>93621662</v>
      </c>
      <c r="F98" s="1665">
        <v>92119450</v>
      </c>
      <c r="G98" s="1665">
        <v>93621662</v>
      </c>
      <c r="H98" s="1665">
        <v>92119450</v>
      </c>
      <c r="I98" s="101">
        <v>93621662</v>
      </c>
      <c r="J98" s="101">
        <v>92119450</v>
      </c>
    </row>
    <row r="99" spans="1:10">
      <c r="A99" t="s">
        <v>402</v>
      </c>
      <c r="B99" t="s">
        <v>7191</v>
      </c>
      <c r="C99" s="1665">
        <v>8982385</v>
      </c>
      <c r="D99" s="1665">
        <v>8972385</v>
      </c>
      <c r="E99" s="1665">
        <v>8982385</v>
      </c>
      <c r="F99" s="1665">
        <v>8972385</v>
      </c>
      <c r="G99" s="1665">
        <v>8982385</v>
      </c>
      <c r="H99" s="1665">
        <v>8972385</v>
      </c>
      <c r="I99" s="101">
        <v>8982385</v>
      </c>
      <c r="J99" s="101">
        <v>8972385</v>
      </c>
    </row>
    <row r="100" spans="1:10">
      <c r="A100" t="s">
        <v>403</v>
      </c>
      <c r="B100" t="s">
        <v>7192</v>
      </c>
      <c r="C100" s="1665">
        <v>143351122</v>
      </c>
      <c r="D100" s="1665">
        <v>141502475</v>
      </c>
      <c r="E100" s="1665">
        <v>143351122</v>
      </c>
      <c r="F100" s="1665">
        <v>141502475</v>
      </c>
      <c r="G100" s="1665">
        <v>340339792</v>
      </c>
      <c r="H100" s="1665">
        <v>338491145</v>
      </c>
      <c r="I100" s="101">
        <v>340339792</v>
      </c>
      <c r="J100" s="101">
        <v>338491145</v>
      </c>
    </row>
    <row r="101" spans="1:10">
      <c r="A101" t="s">
        <v>669</v>
      </c>
      <c r="B101" t="s">
        <v>7193</v>
      </c>
      <c r="C101" s="1665">
        <v>558707783</v>
      </c>
      <c r="D101" s="1665">
        <v>548035378</v>
      </c>
      <c r="E101" s="1665">
        <v>558707783</v>
      </c>
      <c r="F101" s="1665">
        <v>548035378</v>
      </c>
      <c r="G101" s="1665">
        <v>558707783</v>
      </c>
      <c r="H101" s="1665">
        <v>548035378</v>
      </c>
      <c r="I101" s="101">
        <v>558707783</v>
      </c>
      <c r="J101" s="101">
        <v>548035378</v>
      </c>
    </row>
    <row r="102" spans="1:10">
      <c r="A102" t="s">
        <v>670</v>
      </c>
      <c r="B102" t="s">
        <v>7194</v>
      </c>
      <c r="C102" s="1665">
        <v>400159277</v>
      </c>
      <c r="D102" s="1665">
        <v>385611041</v>
      </c>
      <c r="E102" s="1665">
        <v>400159277</v>
      </c>
      <c r="F102" s="1665">
        <v>385611041</v>
      </c>
      <c r="G102" s="1665">
        <v>400159277</v>
      </c>
      <c r="H102" s="1665">
        <v>385611041</v>
      </c>
      <c r="I102" s="101">
        <v>400159277</v>
      </c>
      <c r="J102" s="101">
        <v>385611041</v>
      </c>
    </row>
    <row r="103" spans="1:10">
      <c r="A103" t="s">
        <v>671</v>
      </c>
      <c r="B103" t="s">
        <v>7195</v>
      </c>
      <c r="C103" s="1665">
        <v>1484112877</v>
      </c>
      <c r="D103" s="1665">
        <v>1446089518</v>
      </c>
      <c r="E103" s="1665">
        <v>1484112877</v>
      </c>
      <c r="F103" s="1665">
        <v>1446089518</v>
      </c>
      <c r="G103" s="1665">
        <v>1484112877</v>
      </c>
      <c r="H103" s="1665">
        <v>1446089518</v>
      </c>
      <c r="I103" s="101">
        <v>1484112877</v>
      </c>
      <c r="J103" s="101">
        <v>1446089518</v>
      </c>
    </row>
    <row r="104" spans="1:10">
      <c r="A104" t="s">
        <v>876</v>
      </c>
      <c r="B104" t="s">
        <v>7196</v>
      </c>
      <c r="C104" s="1665">
        <v>61482183</v>
      </c>
      <c r="D104" s="1665">
        <v>58661051</v>
      </c>
      <c r="E104" s="1665">
        <v>61482183</v>
      </c>
      <c r="F104" s="1665">
        <v>58661051</v>
      </c>
      <c r="G104" s="1665">
        <v>114142843</v>
      </c>
      <c r="H104" s="1665">
        <v>111321711</v>
      </c>
      <c r="I104" s="101">
        <v>114142843</v>
      </c>
      <c r="J104" s="101">
        <v>111321711</v>
      </c>
    </row>
    <row r="105" spans="1:10">
      <c r="A105" t="s">
        <v>2528</v>
      </c>
      <c r="B105" t="s">
        <v>7197</v>
      </c>
      <c r="C105" s="1665">
        <v>167853129</v>
      </c>
      <c r="D105" s="1665">
        <v>162587656</v>
      </c>
      <c r="E105" s="1665">
        <v>167853129</v>
      </c>
      <c r="F105" s="1665">
        <v>162587656</v>
      </c>
      <c r="G105" s="1665">
        <v>167853129</v>
      </c>
      <c r="H105" s="1665">
        <v>162587656</v>
      </c>
      <c r="I105" s="101">
        <v>167853129</v>
      </c>
      <c r="J105" s="101">
        <v>162587656</v>
      </c>
    </row>
    <row r="106" spans="1:10">
      <c r="A106" t="s">
        <v>1187</v>
      </c>
      <c r="B106" t="s">
        <v>7198</v>
      </c>
      <c r="C106" s="1665">
        <v>55173241</v>
      </c>
      <c r="D106" s="1665">
        <v>53095183</v>
      </c>
      <c r="E106" s="1665">
        <v>55173241</v>
      </c>
      <c r="F106" s="1665">
        <v>53095183</v>
      </c>
      <c r="G106" s="1665">
        <v>55173241</v>
      </c>
      <c r="H106" s="1665">
        <v>53095183</v>
      </c>
      <c r="I106" s="101">
        <v>55173241</v>
      </c>
      <c r="J106" s="101">
        <v>53095183</v>
      </c>
    </row>
    <row r="107" spans="1:10">
      <c r="A107" t="s">
        <v>712</v>
      </c>
      <c r="B107" t="s">
        <v>7199</v>
      </c>
      <c r="C107" s="1665">
        <v>111561258</v>
      </c>
      <c r="D107" s="1665">
        <v>109325508</v>
      </c>
      <c r="E107" s="1665">
        <v>111561258</v>
      </c>
      <c r="F107" s="1665">
        <v>109325508</v>
      </c>
      <c r="G107" s="1665">
        <v>111561258</v>
      </c>
      <c r="H107" s="1665">
        <v>109325508</v>
      </c>
      <c r="I107" s="101">
        <v>111561258</v>
      </c>
      <c r="J107" s="101">
        <v>109325508</v>
      </c>
    </row>
    <row r="108" spans="1:10">
      <c r="A108" t="s">
        <v>769</v>
      </c>
      <c r="B108" t="s">
        <v>7200</v>
      </c>
      <c r="C108" s="1665">
        <v>316180751</v>
      </c>
      <c r="D108" s="1665">
        <v>303662100</v>
      </c>
      <c r="E108" s="1665">
        <v>316180751</v>
      </c>
      <c r="F108" s="1665">
        <v>303662100</v>
      </c>
      <c r="G108" s="1665">
        <v>316180751</v>
      </c>
      <c r="H108" s="1665">
        <v>303662100</v>
      </c>
      <c r="I108" s="101">
        <v>316180751</v>
      </c>
      <c r="J108" s="101">
        <v>303662100</v>
      </c>
    </row>
    <row r="109" spans="1:10">
      <c r="A109" t="s">
        <v>672</v>
      </c>
      <c r="B109" t="s">
        <v>7201</v>
      </c>
      <c r="C109" s="1665">
        <v>952537238</v>
      </c>
      <c r="D109" s="1665">
        <v>930886819</v>
      </c>
      <c r="E109" s="1665">
        <v>952537238</v>
      </c>
      <c r="F109" s="1665">
        <v>930886819</v>
      </c>
      <c r="G109" s="1665">
        <v>952537238</v>
      </c>
      <c r="H109" s="1665">
        <v>930886819</v>
      </c>
      <c r="I109" s="101">
        <v>952537238</v>
      </c>
      <c r="J109" s="101">
        <v>930886819</v>
      </c>
    </row>
    <row r="110" spans="1:10">
      <c r="A110" t="s">
        <v>673</v>
      </c>
      <c r="B110" t="s">
        <v>7202</v>
      </c>
      <c r="C110" s="1665">
        <v>320783398</v>
      </c>
      <c r="D110" s="1665">
        <v>310816539</v>
      </c>
      <c r="E110" s="1665">
        <v>320783398</v>
      </c>
      <c r="F110" s="1665">
        <v>310816539</v>
      </c>
      <c r="G110" s="1665">
        <v>320783398</v>
      </c>
      <c r="H110" s="1665">
        <v>310816539</v>
      </c>
      <c r="I110" s="101">
        <v>320783398</v>
      </c>
      <c r="J110" s="101">
        <v>310816539</v>
      </c>
    </row>
    <row r="111" spans="1:10">
      <c r="A111" t="s">
        <v>674</v>
      </c>
      <c r="B111" t="s">
        <v>7203</v>
      </c>
      <c r="C111" s="1665">
        <v>252881754</v>
      </c>
      <c r="D111" s="1665">
        <v>247228507</v>
      </c>
      <c r="E111" s="1665">
        <v>252881754</v>
      </c>
      <c r="F111" s="1665">
        <v>247228507</v>
      </c>
      <c r="G111" s="1665">
        <v>252881754</v>
      </c>
      <c r="H111" s="1665">
        <v>247228507</v>
      </c>
      <c r="I111" s="101">
        <v>252881754</v>
      </c>
      <c r="J111" s="101">
        <v>247228507</v>
      </c>
    </row>
    <row r="112" spans="1:10">
      <c r="A112" t="s">
        <v>1885</v>
      </c>
      <c r="B112" t="s">
        <v>7204</v>
      </c>
      <c r="C112" s="1665">
        <v>2580461099</v>
      </c>
      <c r="D112" s="1665">
        <v>2521602716</v>
      </c>
      <c r="E112" s="1665">
        <v>2580461099</v>
      </c>
      <c r="F112" s="1665">
        <v>2521602716</v>
      </c>
      <c r="G112" s="1665">
        <v>2580461099</v>
      </c>
      <c r="H112" s="1665">
        <v>2521602716</v>
      </c>
      <c r="I112" s="101">
        <v>2580461099</v>
      </c>
      <c r="J112" s="101">
        <v>2521602716</v>
      </c>
    </row>
    <row r="113" spans="1:10">
      <c r="A113" t="s">
        <v>348</v>
      </c>
      <c r="B113" t="s">
        <v>7205</v>
      </c>
      <c r="C113" s="1665">
        <v>3984740206</v>
      </c>
      <c r="D113" s="1665">
        <v>3926035889</v>
      </c>
      <c r="E113" s="1665">
        <v>3984740206</v>
      </c>
      <c r="F113" s="1665">
        <v>3926035889</v>
      </c>
      <c r="G113" s="1665">
        <v>3984740206</v>
      </c>
      <c r="H113" s="1665">
        <v>3926035889</v>
      </c>
      <c r="I113" s="101">
        <v>3984740206</v>
      </c>
      <c r="J113" s="101">
        <v>3926035889</v>
      </c>
    </row>
    <row r="114" spans="1:10">
      <c r="A114" t="s">
        <v>456</v>
      </c>
      <c r="B114" t="s">
        <v>7206</v>
      </c>
      <c r="C114" s="1665">
        <v>1609288495</v>
      </c>
      <c r="D114" s="1665">
        <v>1567219917</v>
      </c>
      <c r="E114" s="1665">
        <v>1609288495</v>
      </c>
      <c r="F114" s="1665">
        <v>1567219917</v>
      </c>
      <c r="G114" s="1665">
        <v>1609288495</v>
      </c>
      <c r="H114" s="1665">
        <v>1567219917</v>
      </c>
      <c r="I114" s="101">
        <v>1609288495</v>
      </c>
      <c r="J114" s="101">
        <v>1567219917</v>
      </c>
    </row>
    <row r="115" spans="1:10">
      <c r="A115" t="s">
        <v>1154</v>
      </c>
      <c r="B115" t="s">
        <v>7207</v>
      </c>
      <c r="C115" s="1665">
        <v>515543593</v>
      </c>
      <c r="D115" s="1665">
        <v>503311756</v>
      </c>
      <c r="E115" s="1665">
        <v>515543593</v>
      </c>
      <c r="F115" s="1665">
        <v>503311756</v>
      </c>
      <c r="G115" s="1665">
        <v>515543593</v>
      </c>
      <c r="H115" s="1665">
        <v>503311756</v>
      </c>
      <c r="I115" s="101">
        <v>515543593</v>
      </c>
      <c r="J115" s="101">
        <v>503311756</v>
      </c>
    </row>
    <row r="116" spans="1:10">
      <c r="A116" t="s">
        <v>2306</v>
      </c>
      <c r="B116" t="s">
        <v>7208</v>
      </c>
      <c r="C116" s="1665">
        <v>153198396</v>
      </c>
      <c r="D116" s="1665">
        <v>151192312</v>
      </c>
      <c r="E116" s="1665">
        <v>153198396</v>
      </c>
      <c r="F116" s="1665">
        <v>151192312</v>
      </c>
      <c r="G116" s="1665">
        <v>153198396</v>
      </c>
      <c r="H116" s="1665">
        <v>151192312</v>
      </c>
      <c r="I116" s="101">
        <v>153198396</v>
      </c>
      <c r="J116" s="101">
        <v>151192312</v>
      </c>
    </row>
    <row r="117" spans="1:10">
      <c r="A117" t="s">
        <v>1359</v>
      </c>
      <c r="B117" t="s">
        <v>7209</v>
      </c>
      <c r="C117" s="1665">
        <v>3486259424</v>
      </c>
      <c r="D117" s="1665">
        <v>3444003106</v>
      </c>
      <c r="E117" s="1665">
        <v>3431335226</v>
      </c>
      <c r="F117" s="1665">
        <v>3389078908</v>
      </c>
      <c r="G117" s="1665">
        <v>3640669586</v>
      </c>
      <c r="H117" s="1665">
        <v>3598413268</v>
      </c>
      <c r="I117" s="101">
        <v>3695593784</v>
      </c>
      <c r="J117" s="101">
        <v>3653337466</v>
      </c>
    </row>
    <row r="118" spans="1:10">
      <c r="A118" t="s">
        <v>2341</v>
      </c>
      <c r="B118" t="s">
        <v>7210</v>
      </c>
      <c r="C118" s="1665">
        <v>154123496</v>
      </c>
      <c r="D118" s="1665">
        <v>147436311</v>
      </c>
      <c r="E118" s="1665">
        <v>154123496</v>
      </c>
      <c r="F118" s="1665">
        <v>147436311</v>
      </c>
      <c r="G118" s="1665">
        <v>154123496</v>
      </c>
      <c r="H118" s="1665">
        <v>147436311</v>
      </c>
      <c r="I118" s="101">
        <v>154123496</v>
      </c>
      <c r="J118" s="101">
        <v>147436311</v>
      </c>
    </row>
    <row r="119" spans="1:10">
      <c r="A119" t="s">
        <v>713</v>
      </c>
      <c r="B119" t="s">
        <v>7211</v>
      </c>
      <c r="C119" s="1665">
        <v>537379713</v>
      </c>
      <c r="D119" s="1665">
        <v>517398747</v>
      </c>
      <c r="E119" s="1665">
        <v>537379713</v>
      </c>
      <c r="F119" s="1665">
        <v>517398747</v>
      </c>
      <c r="G119" s="1665">
        <v>537379713</v>
      </c>
      <c r="H119" s="1665">
        <v>517398747</v>
      </c>
      <c r="I119" s="101">
        <v>537379713</v>
      </c>
      <c r="J119" s="101">
        <v>517398747</v>
      </c>
    </row>
    <row r="120" spans="1:10">
      <c r="A120" t="s">
        <v>148</v>
      </c>
      <c r="B120" t="s">
        <v>7212</v>
      </c>
      <c r="C120" s="1665">
        <v>227600424</v>
      </c>
      <c r="D120" s="1665">
        <v>221631914</v>
      </c>
      <c r="E120" s="1665">
        <v>227600424</v>
      </c>
      <c r="F120" s="1665">
        <v>221631914</v>
      </c>
      <c r="G120" s="1665">
        <v>227600424</v>
      </c>
      <c r="H120" s="1665">
        <v>221631914</v>
      </c>
      <c r="I120" s="101">
        <v>227600424</v>
      </c>
      <c r="J120" s="101">
        <v>221631914</v>
      </c>
    </row>
    <row r="121" spans="1:10">
      <c r="A121" t="s">
        <v>1829</v>
      </c>
      <c r="B121" t="s">
        <v>7213</v>
      </c>
      <c r="C121" s="1665">
        <v>267611369</v>
      </c>
      <c r="D121" s="1665">
        <v>261306747</v>
      </c>
      <c r="E121" s="1665">
        <v>267611369</v>
      </c>
      <c r="F121" s="1665">
        <v>261306747</v>
      </c>
      <c r="G121" s="1665">
        <v>267611369</v>
      </c>
      <c r="H121" s="1665">
        <v>261306747</v>
      </c>
      <c r="I121" s="101">
        <v>267611369</v>
      </c>
      <c r="J121" s="101">
        <v>261306747</v>
      </c>
    </row>
    <row r="122" spans="1:10">
      <c r="A122" t="s">
        <v>881</v>
      </c>
      <c r="B122" t="s">
        <v>7214</v>
      </c>
      <c r="C122" s="1665">
        <v>5973734661</v>
      </c>
      <c r="D122" s="1665">
        <v>5746114177</v>
      </c>
      <c r="E122" s="1665">
        <v>5973734661</v>
      </c>
      <c r="F122" s="1665">
        <v>5746114177</v>
      </c>
      <c r="G122" s="1665">
        <v>5973734661</v>
      </c>
      <c r="H122" s="1665">
        <v>5746114177</v>
      </c>
      <c r="I122" s="101">
        <v>5973734661</v>
      </c>
      <c r="J122" s="101">
        <v>5746114177</v>
      </c>
    </row>
    <row r="123" spans="1:10">
      <c r="A123" t="s">
        <v>1860</v>
      </c>
      <c r="B123" t="s">
        <v>7215</v>
      </c>
      <c r="C123" s="1665">
        <v>3701830187</v>
      </c>
      <c r="D123" s="1665">
        <v>3584167506</v>
      </c>
      <c r="E123" s="1665">
        <v>3701830187</v>
      </c>
      <c r="F123" s="1665">
        <v>3584167506</v>
      </c>
      <c r="G123" s="1665">
        <v>3701830187</v>
      </c>
      <c r="H123" s="1665">
        <v>3584167506</v>
      </c>
      <c r="I123" s="101">
        <v>3701830187</v>
      </c>
      <c r="J123" s="101">
        <v>3584167506</v>
      </c>
    </row>
    <row r="124" spans="1:10">
      <c r="A124" t="s">
        <v>57</v>
      </c>
      <c r="B124" t="s">
        <v>7216</v>
      </c>
      <c r="C124" s="1665">
        <v>433842478</v>
      </c>
      <c r="D124" s="1665">
        <v>415753823</v>
      </c>
      <c r="E124" s="1665">
        <v>433842478</v>
      </c>
      <c r="F124" s="1665">
        <v>415753823</v>
      </c>
      <c r="G124" s="1665">
        <v>433842478</v>
      </c>
      <c r="H124" s="1665">
        <v>415753823</v>
      </c>
      <c r="I124" s="101">
        <v>433842478</v>
      </c>
      <c r="J124" s="101">
        <v>415753823</v>
      </c>
    </row>
    <row r="125" spans="1:10">
      <c r="A125" t="s">
        <v>2283</v>
      </c>
      <c r="B125" t="s">
        <v>7217</v>
      </c>
      <c r="C125" s="1665">
        <v>1997329098</v>
      </c>
      <c r="D125" s="1665">
        <v>1936000609</v>
      </c>
      <c r="E125" s="1665">
        <v>1997329098</v>
      </c>
      <c r="F125" s="1665">
        <v>1936000609</v>
      </c>
      <c r="G125" s="1665">
        <v>2229577738</v>
      </c>
      <c r="H125" s="1665">
        <v>2168249249</v>
      </c>
      <c r="I125" s="101">
        <v>2229577738</v>
      </c>
      <c r="J125" s="101">
        <v>2168249249</v>
      </c>
    </row>
    <row r="126" spans="1:10">
      <c r="A126" t="s">
        <v>1679</v>
      </c>
      <c r="B126" t="s">
        <v>7218</v>
      </c>
      <c r="C126" s="1665">
        <v>3666311360</v>
      </c>
      <c r="D126" s="1665">
        <v>3644108515</v>
      </c>
      <c r="E126" s="1665">
        <v>3666311360</v>
      </c>
      <c r="F126" s="1665">
        <v>3644108515</v>
      </c>
      <c r="G126" s="1665">
        <v>3666311360</v>
      </c>
      <c r="H126" s="1665">
        <v>3644108515</v>
      </c>
      <c r="I126" s="101">
        <v>3666311360</v>
      </c>
      <c r="J126" s="101">
        <v>3644108515</v>
      </c>
    </row>
    <row r="127" spans="1:10">
      <c r="A127" t="s">
        <v>714</v>
      </c>
      <c r="B127" t="s">
        <v>7219</v>
      </c>
      <c r="C127" s="1665">
        <v>309620143</v>
      </c>
      <c r="D127" s="1665">
        <v>298057330</v>
      </c>
      <c r="E127" s="1665">
        <v>309620143</v>
      </c>
      <c r="F127" s="1665">
        <v>298057330</v>
      </c>
      <c r="G127" s="1665">
        <v>345002283</v>
      </c>
      <c r="H127" s="1665">
        <v>333439470</v>
      </c>
      <c r="I127" s="101">
        <v>345002283</v>
      </c>
      <c r="J127" s="101">
        <v>333439470</v>
      </c>
    </row>
    <row r="128" spans="1:10">
      <c r="A128" t="s">
        <v>1315</v>
      </c>
      <c r="B128" t="s">
        <v>7220</v>
      </c>
      <c r="C128" s="1665">
        <v>1125322333</v>
      </c>
      <c r="D128" s="1665">
        <v>1075119655</v>
      </c>
      <c r="E128" s="1665">
        <v>1125322333</v>
      </c>
      <c r="F128" s="1665">
        <v>1075119655</v>
      </c>
      <c r="G128" s="1665">
        <v>1125322333</v>
      </c>
      <c r="H128" s="1665">
        <v>1075119655</v>
      </c>
      <c r="I128" s="101">
        <v>1125322333</v>
      </c>
      <c r="J128" s="101">
        <v>1075119655</v>
      </c>
    </row>
    <row r="129" spans="1:10">
      <c r="A129" t="s">
        <v>715</v>
      </c>
      <c r="B129" t="s">
        <v>7221</v>
      </c>
      <c r="C129" s="1665">
        <v>59276313</v>
      </c>
      <c r="D129" s="1665">
        <v>56840573</v>
      </c>
      <c r="E129" s="1665">
        <v>59276313</v>
      </c>
      <c r="F129" s="1665">
        <v>56840573</v>
      </c>
      <c r="G129" s="1665">
        <v>59276313</v>
      </c>
      <c r="H129" s="1665">
        <v>56840573</v>
      </c>
      <c r="I129" s="101">
        <v>59276313</v>
      </c>
      <c r="J129" s="101">
        <v>56840573</v>
      </c>
    </row>
    <row r="130" spans="1:10">
      <c r="A130" t="s">
        <v>492</v>
      </c>
      <c r="B130" t="s">
        <v>7222</v>
      </c>
      <c r="C130" s="1665">
        <v>96809685</v>
      </c>
      <c r="D130" s="1665">
        <v>90998619</v>
      </c>
      <c r="E130" s="1665">
        <v>96809685</v>
      </c>
      <c r="F130" s="1665">
        <v>90998619</v>
      </c>
      <c r="G130" s="1665">
        <v>96809685</v>
      </c>
      <c r="H130" s="1665">
        <v>90998619</v>
      </c>
      <c r="I130" s="101">
        <v>96809685</v>
      </c>
      <c r="J130" s="101">
        <v>90998619</v>
      </c>
    </row>
    <row r="131" spans="1:10">
      <c r="A131" t="s">
        <v>933</v>
      </c>
      <c r="B131" t="s">
        <v>7223</v>
      </c>
      <c r="C131" s="1665">
        <v>828737125</v>
      </c>
      <c r="D131" s="1665">
        <v>802464904</v>
      </c>
      <c r="E131" s="1665">
        <v>828737125</v>
      </c>
      <c r="F131" s="1665">
        <v>802464904</v>
      </c>
      <c r="G131" s="1665">
        <v>828737125</v>
      </c>
      <c r="H131" s="1665">
        <v>802464904</v>
      </c>
      <c r="I131" s="101">
        <v>828737125</v>
      </c>
      <c r="J131" s="101">
        <v>802464904</v>
      </c>
    </row>
    <row r="132" spans="1:10">
      <c r="A132" t="s">
        <v>934</v>
      </c>
      <c r="B132" t="s">
        <v>7224</v>
      </c>
      <c r="C132" s="1665">
        <v>121245931</v>
      </c>
      <c r="D132" s="1665">
        <v>119426841</v>
      </c>
      <c r="E132" s="1665">
        <v>121245931</v>
      </c>
      <c r="F132" s="1665">
        <v>119426841</v>
      </c>
      <c r="G132" s="1665">
        <v>459116621</v>
      </c>
      <c r="H132" s="1665">
        <v>457297531</v>
      </c>
      <c r="I132" s="101">
        <v>459116621</v>
      </c>
      <c r="J132" s="101">
        <v>457297531</v>
      </c>
    </row>
    <row r="133" spans="1:10">
      <c r="A133" t="s">
        <v>776</v>
      </c>
      <c r="B133" t="s">
        <v>7225</v>
      </c>
      <c r="C133" s="1665">
        <v>439632825</v>
      </c>
      <c r="D133" s="1665">
        <v>431123975</v>
      </c>
      <c r="E133" s="1665">
        <v>429530190</v>
      </c>
      <c r="F133" s="1665">
        <v>421021340</v>
      </c>
      <c r="G133" s="1665">
        <v>749774740</v>
      </c>
      <c r="H133" s="1665">
        <v>741265890</v>
      </c>
      <c r="I133" s="101">
        <v>759877375</v>
      </c>
      <c r="J133" s="101">
        <v>751368525</v>
      </c>
    </row>
    <row r="134" spans="1:10">
      <c r="A134" t="s">
        <v>1806</v>
      </c>
      <c r="B134" t="s">
        <v>7226</v>
      </c>
      <c r="C134" s="1665">
        <v>253219263</v>
      </c>
      <c r="D134" s="1665">
        <v>249201233</v>
      </c>
      <c r="E134" s="1665">
        <v>251501708</v>
      </c>
      <c r="F134" s="1665">
        <v>247483678</v>
      </c>
      <c r="G134" s="1665">
        <v>382590068</v>
      </c>
      <c r="H134" s="1665">
        <v>378572038</v>
      </c>
      <c r="I134" s="101">
        <v>384307623</v>
      </c>
      <c r="J134" s="101">
        <v>380289593</v>
      </c>
    </row>
    <row r="135" spans="1:10">
      <c r="A135" t="s">
        <v>1725</v>
      </c>
      <c r="B135" t="s">
        <v>7227</v>
      </c>
      <c r="C135" s="1665">
        <v>548081057</v>
      </c>
      <c r="D135" s="1665">
        <v>523604993</v>
      </c>
      <c r="E135" s="1665">
        <v>548081057</v>
      </c>
      <c r="F135" s="1665">
        <v>523604993</v>
      </c>
      <c r="G135" s="1665">
        <v>548081057</v>
      </c>
      <c r="H135" s="1665">
        <v>523604993</v>
      </c>
      <c r="I135" s="101">
        <v>548081057</v>
      </c>
      <c r="J135" s="101">
        <v>523604993</v>
      </c>
    </row>
    <row r="136" spans="1:10">
      <c r="A136" t="s">
        <v>1726</v>
      </c>
      <c r="B136" t="s">
        <v>7228</v>
      </c>
      <c r="C136" s="1665">
        <v>66927243</v>
      </c>
      <c r="D136" s="1665">
        <v>63480710</v>
      </c>
      <c r="E136" s="1665">
        <v>66927243</v>
      </c>
      <c r="F136" s="1665">
        <v>63480710</v>
      </c>
      <c r="G136" s="1665">
        <v>66927243</v>
      </c>
      <c r="H136" s="1665">
        <v>63480710</v>
      </c>
      <c r="I136" s="101">
        <v>66927243</v>
      </c>
      <c r="J136" s="101">
        <v>63480710</v>
      </c>
    </row>
    <row r="137" spans="1:10">
      <c r="A137" t="s">
        <v>743</v>
      </c>
      <c r="B137" t="s">
        <v>7229</v>
      </c>
      <c r="C137" s="1665">
        <v>262856087</v>
      </c>
      <c r="D137" s="1665">
        <v>252003022</v>
      </c>
      <c r="E137" s="1665">
        <v>262856087</v>
      </c>
      <c r="F137" s="1665">
        <v>252003022</v>
      </c>
      <c r="G137" s="1665">
        <v>262856087</v>
      </c>
      <c r="H137" s="1665">
        <v>252003022</v>
      </c>
      <c r="I137" s="101">
        <v>262856087</v>
      </c>
      <c r="J137" s="101">
        <v>252003022</v>
      </c>
    </row>
    <row r="138" spans="1:10">
      <c r="A138" t="s">
        <v>744</v>
      </c>
      <c r="B138" t="s">
        <v>7230</v>
      </c>
      <c r="C138" s="1665">
        <v>255883933</v>
      </c>
      <c r="D138" s="1665">
        <v>242256938</v>
      </c>
      <c r="E138" s="1665">
        <v>255883933</v>
      </c>
      <c r="F138" s="1665">
        <v>242256938</v>
      </c>
      <c r="G138" s="1665">
        <v>255883933</v>
      </c>
      <c r="H138" s="1665">
        <v>242256938</v>
      </c>
      <c r="I138" s="101">
        <v>255883933</v>
      </c>
      <c r="J138" s="101">
        <v>242256938</v>
      </c>
    </row>
    <row r="139" spans="1:10">
      <c r="A139" t="s">
        <v>1875</v>
      </c>
      <c r="B139" t="s">
        <v>7231</v>
      </c>
      <c r="C139" s="1665">
        <v>38060400</v>
      </c>
      <c r="D139" s="1665">
        <v>36130199</v>
      </c>
      <c r="E139" s="1665">
        <v>38060400</v>
      </c>
      <c r="F139" s="1665">
        <v>36130199</v>
      </c>
      <c r="G139" s="1665">
        <v>38060400</v>
      </c>
      <c r="H139" s="1665">
        <v>36130199</v>
      </c>
      <c r="I139" s="101">
        <v>38060400</v>
      </c>
      <c r="J139" s="101">
        <v>36130199</v>
      </c>
    </row>
    <row r="140" spans="1:10">
      <c r="A140" t="s">
        <v>745</v>
      </c>
      <c r="B140" t="s">
        <v>7232</v>
      </c>
      <c r="C140" s="1665">
        <v>506603479</v>
      </c>
      <c r="D140" s="1665">
        <v>494499082</v>
      </c>
      <c r="E140" s="1665">
        <v>495450249</v>
      </c>
      <c r="F140" s="1665">
        <v>483345852</v>
      </c>
      <c r="G140" s="1665">
        <v>495450249</v>
      </c>
      <c r="H140" s="1665">
        <v>483345852</v>
      </c>
      <c r="I140" s="101">
        <v>506603479</v>
      </c>
      <c r="J140" s="101">
        <v>494499082</v>
      </c>
    </row>
    <row r="141" spans="1:10">
      <c r="A141" t="s">
        <v>1952</v>
      </c>
      <c r="B141" t="s">
        <v>7233</v>
      </c>
      <c r="C141" s="1665">
        <v>47449526</v>
      </c>
      <c r="D141" s="1665">
        <v>44531640</v>
      </c>
      <c r="E141" s="1665">
        <v>47449526</v>
      </c>
      <c r="F141" s="1665">
        <v>44531640</v>
      </c>
      <c r="G141" s="1665">
        <v>47449526</v>
      </c>
      <c r="H141" s="1665">
        <v>44531640</v>
      </c>
      <c r="I141" s="101">
        <v>47449526</v>
      </c>
      <c r="J141" s="101">
        <v>44531640</v>
      </c>
    </row>
    <row r="142" spans="1:10">
      <c r="A142" t="s">
        <v>1953</v>
      </c>
      <c r="B142" t="s">
        <v>7234</v>
      </c>
      <c r="C142" s="1665">
        <v>284476551</v>
      </c>
      <c r="D142" s="1665">
        <v>276897101</v>
      </c>
      <c r="E142" s="1665">
        <v>284476551</v>
      </c>
      <c r="F142" s="1665">
        <v>276897101</v>
      </c>
      <c r="G142" s="1665">
        <v>810724511</v>
      </c>
      <c r="H142" s="1665">
        <v>803145061</v>
      </c>
      <c r="I142" s="101">
        <v>810724511</v>
      </c>
      <c r="J142" s="101">
        <v>803145061</v>
      </c>
    </row>
    <row r="143" spans="1:10">
      <c r="A143" t="s">
        <v>2431</v>
      </c>
      <c r="B143" t="s">
        <v>7235</v>
      </c>
      <c r="C143" s="1665">
        <v>77542811</v>
      </c>
      <c r="D143" s="1665">
        <v>75861261</v>
      </c>
      <c r="E143" s="1665">
        <v>77542811</v>
      </c>
      <c r="F143" s="1665">
        <v>75861261</v>
      </c>
      <c r="G143" s="1665">
        <v>77542811</v>
      </c>
      <c r="H143" s="1665">
        <v>75861261</v>
      </c>
      <c r="I143" s="101">
        <v>77542811</v>
      </c>
      <c r="J143" s="101">
        <v>75861261</v>
      </c>
    </row>
    <row r="144" spans="1:10">
      <c r="A144" t="s">
        <v>2539</v>
      </c>
      <c r="B144" t="s">
        <v>7236</v>
      </c>
      <c r="C144" s="1665">
        <v>57838977</v>
      </c>
      <c r="D144" s="1665">
        <v>56054767</v>
      </c>
      <c r="E144" s="1665">
        <v>57838977</v>
      </c>
      <c r="F144" s="1665">
        <v>56054767</v>
      </c>
      <c r="G144" s="1665">
        <v>57838977</v>
      </c>
      <c r="H144" s="1665">
        <v>56054767</v>
      </c>
      <c r="I144" s="101">
        <v>57838977</v>
      </c>
      <c r="J144" s="101">
        <v>56054767</v>
      </c>
    </row>
    <row r="145" spans="1:10">
      <c r="A145" t="s">
        <v>1640</v>
      </c>
      <c r="B145" t="s">
        <v>7237</v>
      </c>
      <c r="C145" s="1665">
        <v>548537525</v>
      </c>
      <c r="D145" s="1665">
        <v>548537525</v>
      </c>
      <c r="E145" s="1665">
        <v>527121530</v>
      </c>
      <c r="F145" s="1665">
        <v>527121530</v>
      </c>
      <c r="G145" s="1665">
        <v>527121530</v>
      </c>
      <c r="H145" s="1665">
        <v>527121530</v>
      </c>
      <c r="I145" s="101">
        <v>548537525</v>
      </c>
      <c r="J145" s="101">
        <v>548537525</v>
      </c>
    </row>
    <row r="146" spans="1:10">
      <c r="A146" t="s">
        <v>2432</v>
      </c>
      <c r="B146" t="s">
        <v>7238</v>
      </c>
      <c r="C146" s="1665">
        <v>5004173829</v>
      </c>
      <c r="D146" s="1665">
        <v>4949165659</v>
      </c>
      <c r="E146" s="1665">
        <v>4865550749</v>
      </c>
      <c r="F146" s="1665">
        <v>4810542579</v>
      </c>
      <c r="G146" s="1665">
        <v>10076292087</v>
      </c>
      <c r="H146" s="1665">
        <v>10021283917</v>
      </c>
      <c r="I146" s="101">
        <v>10214915167</v>
      </c>
      <c r="J146" s="101">
        <v>10159906997</v>
      </c>
    </row>
    <row r="147" spans="1:10">
      <c r="A147" t="s">
        <v>285</v>
      </c>
      <c r="B147" t="s">
        <v>7239</v>
      </c>
      <c r="C147" s="1665">
        <v>345265220</v>
      </c>
      <c r="D147" s="1665">
        <v>333132540</v>
      </c>
      <c r="E147" s="1665">
        <v>330508400</v>
      </c>
      <c r="F147" s="1665">
        <v>318375720</v>
      </c>
      <c r="G147" s="1665">
        <v>330508400</v>
      </c>
      <c r="H147" s="1665">
        <v>318375720</v>
      </c>
      <c r="I147" s="101">
        <v>345265220</v>
      </c>
      <c r="J147" s="101">
        <v>333132540</v>
      </c>
    </row>
    <row r="148" spans="1:10">
      <c r="A148" t="s">
        <v>1469</v>
      </c>
      <c r="B148" t="s">
        <v>7240</v>
      </c>
      <c r="C148" s="1665">
        <v>148223198</v>
      </c>
      <c r="D148" s="1665">
        <v>142654570</v>
      </c>
      <c r="E148" s="1665">
        <v>148223198</v>
      </c>
      <c r="F148" s="1665">
        <v>142654570</v>
      </c>
      <c r="G148" s="1665">
        <v>148223198</v>
      </c>
      <c r="H148" s="1665">
        <v>142654570</v>
      </c>
      <c r="I148" s="101">
        <v>148223198</v>
      </c>
      <c r="J148" s="101">
        <v>142654570</v>
      </c>
    </row>
    <row r="149" spans="1:10">
      <c r="A149" t="s">
        <v>43</v>
      </c>
      <c r="B149" t="s">
        <v>7241</v>
      </c>
      <c r="C149" s="1665">
        <v>1146762848</v>
      </c>
      <c r="D149" s="1665">
        <v>1102714574</v>
      </c>
      <c r="E149" s="1665">
        <v>1146762848</v>
      </c>
      <c r="F149" s="1665">
        <v>1102714574</v>
      </c>
      <c r="G149" s="1665">
        <v>1146762848</v>
      </c>
      <c r="H149" s="1665">
        <v>1102714574</v>
      </c>
      <c r="I149" s="101">
        <v>1146762848</v>
      </c>
      <c r="J149" s="101">
        <v>1102714574</v>
      </c>
    </row>
    <row r="150" spans="1:10">
      <c r="A150" t="s">
        <v>1311</v>
      </c>
      <c r="B150" t="s">
        <v>7242</v>
      </c>
      <c r="C150" s="1665">
        <v>415740766</v>
      </c>
      <c r="D150" s="1665">
        <v>397095998</v>
      </c>
      <c r="E150" s="1665">
        <v>415740766</v>
      </c>
      <c r="F150" s="1665">
        <v>397095998</v>
      </c>
      <c r="G150" s="1665">
        <v>415740766</v>
      </c>
      <c r="H150" s="1665">
        <v>397095998</v>
      </c>
      <c r="I150" s="101">
        <v>415740766</v>
      </c>
      <c r="J150" s="101">
        <v>397095998</v>
      </c>
    </row>
    <row r="151" spans="1:10">
      <c r="A151" t="s">
        <v>2542</v>
      </c>
      <c r="B151" t="s">
        <v>7243</v>
      </c>
      <c r="C151" s="1665">
        <v>69769620</v>
      </c>
      <c r="D151" s="1665">
        <v>67340209</v>
      </c>
      <c r="E151" s="1665">
        <v>69769620</v>
      </c>
      <c r="F151" s="1665">
        <v>67340209</v>
      </c>
      <c r="G151" s="1665">
        <v>69769620</v>
      </c>
      <c r="H151" s="1665">
        <v>67340209</v>
      </c>
      <c r="I151" s="101">
        <v>69769620</v>
      </c>
      <c r="J151" s="101">
        <v>67340209</v>
      </c>
    </row>
    <row r="152" spans="1:10">
      <c r="A152" t="s">
        <v>1470</v>
      </c>
      <c r="B152" t="s">
        <v>7244</v>
      </c>
      <c r="C152" s="1665">
        <v>91002038</v>
      </c>
      <c r="D152" s="1665">
        <v>87814793</v>
      </c>
      <c r="E152" s="1665">
        <v>91002038</v>
      </c>
      <c r="F152" s="1665">
        <v>87814793</v>
      </c>
      <c r="G152" s="1665">
        <v>91002038</v>
      </c>
      <c r="H152" s="1665">
        <v>87814793</v>
      </c>
      <c r="I152" s="101">
        <v>91002038</v>
      </c>
      <c r="J152" s="101">
        <v>87814793</v>
      </c>
    </row>
    <row r="153" spans="1:10">
      <c r="A153" t="s">
        <v>71</v>
      </c>
      <c r="B153" t="s">
        <v>7245</v>
      </c>
      <c r="C153" s="1665">
        <v>431245944</v>
      </c>
      <c r="D153" s="1665">
        <v>418963644</v>
      </c>
      <c r="E153" s="1665">
        <v>431245944</v>
      </c>
      <c r="F153" s="1665">
        <v>418963644</v>
      </c>
      <c r="G153" s="1665">
        <v>431245944</v>
      </c>
      <c r="H153" s="1665">
        <v>418963644</v>
      </c>
      <c r="I153" s="101">
        <v>431245944</v>
      </c>
      <c r="J153" s="101">
        <v>418963644</v>
      </c>
    </row>
    <row r="154" spans="1:10">
      <c r="A154" t="s">
        <v>2167</v>
      </c>
      <c r="B154" t="s">
        <v>7246</v>
      </c>
      <c r="C154" s="1665">
        <v>356265316</v>
      </c>
      <c r="D154" s="1665">
        <v>344916396</v>
      </c>
      <c r="E154" s="1665">
        <v>356265316</v>
      </c>
      <c r="F154" s="1665">
        <v>344916396</v>
      </c>
      <c r="G154" s="1665">
        <v>356265316</v>
      </c>
      <c r="H154" s="1665">
        <v>344916396</v>
      </c>
      <c r="I154" s="101">
        <v>356265316</v>
      </c>
      <c r="J154" s="101">
        <v>344916396</v>
      </c>
    </row>
    <row r="155" spans="1:10">
      <c r="A155" t="s">
        <v>716</v>
      </c>
      <c r="B155" t="s">
        <v>7247</v>
      </c>
      <c r="C155" s="1665">
        <v>142409326</v>
      </c>
      <c r="D155" s="1665">
        <v>135631186</v>
      </c>
      <c r="E155" s="1665">
        <v>142409326</v>
      </c>
      <c r="F155" s="1665">
        <v>135631186</v>
      </c>
      <c r="G155" s="1665">
        <v>142409326</v>
      </c>
      <c r="H155" s="1665">
        <v>135631186</v>
      </c>
      <c r="I155" s="101">
        <v>142409326</v>
      </c>
      <c r="J155" s="101">
        <v>135631186</v>
      </c>
    </row>
    <row r="156" spans="1:10">
      <c r="A156" t="s">
        <v>2168</v>
      </c>
      <c r="B156" t="s">
        <v>7248</v>
      </c>
      <c r="C156" s="1665">
        <v>133815078</v>
      </c>
      <c r="D156" s="1665">
        <v>132428418</v>
      </c>
      <c r="E156" s="1665">
        <v>133815078</v>
      </c>
      <c r="F156" s="1665">
        <v>132428418</v>
      </c>
      <c r="G156" s="1665">
        <v>133815078</v>
      </c>
      <c r="H156" s="1665">
        <v>132428418</v>
      </c>
      <c r="I156" s="101">
        <v>133815078</v>
      </c>
      <c r="J156" s="101">
        <v>132428418</v>
      </c>
    </row>
    <row r="157" spans="1:10">
      <c r="A157" t="s">
        <v>1670</v>
      </c>
      <c r="B157" t="s">
        <v>7249</v>
      </c>
      <c r="C157" s="1665">
        <v>80609628</v>
      </c>
      <c r="D157" s="1665">
        <v>78391558</v>
      </c>
      <c r="E157" s="1665">
        <v>80609628</v>
      </c>
      <c r="F157" s="1665">
        <v>78391558</v>
      </c>
      <c r="G157" s="1665">
        <v>292762438</v>
      </c>
      <c r="H157" s="1665">
        <v>290544368</v>
      </c>
      <c r="I157" s="101">
        <v>292762438</v>
      </c>
      <c r="J157" s="101">
        <v>290544368</v>
      </c>
    </row>
    <row r="158" spans="1:10">
      <c r="A158" t="s">
        <v>1671</v>
      </c>
      <c r="B158" t="s">
        <v>7250</v>
      </c>
      <c r="C158" s="1665">
        <v>54198685</v>
      </c>
      <c r="D158" s="1665">
        <v>52440933</v>
      </c>
      <c r="E158" s="1665">
        <v>54198685</v>
      </c>
      <c r="F158" s="1665">
        <v>52440933</v>
      </c>
      <c r="G158" s="1665">
        <v>54198685</v>
      </c>
      <c r="H158" s="1665">
        <v>52440933</v>
      </c>
      <c r="I158" s="101">
        <v>54198685</v>
      </c>
      <c r="J158" s="101">
        <v>52440933</v>
      </c>
    </row>
    <row r="159" spans="1:10">
      <c r="A159" t="s">
        <v>795</v>
      </c>
      <c r="B159" t="s">
        <v>7251</v>
      </c>
      <c r="C159" s="1665">
        <v>387170883</v>
      </c>
      <c r="D159" s="1665">
        <v>386147457</v>
      </c>
      <c r="E159" s="1665">
        <v>387170883</v>
      </c>
      <c r="F159" s="1665">
        <v>386147457</v>
      </c>
      <c r="G159" s="1665">
        <v>387170883</v>
      </c>
      <c r="H159" s="1665">
        <v>386147457</v>
      </c>
      <c r="I159" s="101">
        <v>387170883</v>
      </c>
      <c r="J159" s="101">
        <v>386147457</v>
      </c>
    </row>
    <row r="160" spans="1:10">
      <c r="A160" t="s">
        <v>796</v>
      </c>
      <c r="B160" t="s">
        <v>7252</v>
      </c>
      <c r="C160" s="1665">
        <v>128492336</v>
      </c>
      <c r="D160" s="1665">
        <v>127991616</v>
      </c>
      <c r="E160" s="1665">
        <v>128492336</v>
      </c>
      <c r="F160" s="1665">
        <v>127991616</v>
      </c>
      <c r="G160" s="1665">
        <v>128492336</v>
      </c>
      <c r="H160" s="1665">
        <v>127991616</v>
      </c>
      <c r="I160" s="101">
        <v>128492336</v>
      </c>
      <c r="J160" s="101">
        <v>127991616</v>
      </c>
    </row>
    <row r="161" spans="1:10">
      <c r="A161" t="s">
        <v>815</v>
      </c>
      <c r="B161" t="s">
        <v>7253</v>
      </c>
      <c r="C161" s="1665">
        <v>255691917</v>
      </c>
      <c r="D161" s="1665">
        <v>255691917</v>
      </c>
      <c r="E161" s="1665">
        <v>252662887</v>
      </c>
      <c r="F161" s="1665">
        <v>252662887</v>
      </c>
      <c r="G161" s="1665">
        <v>252662887</v>
      </c>
      <c r="H161" s="1665">
        <v>252662887</v>
      </c>
      <c r="I161" s="101">
        <v>255691917</v>
      </c>
      <c r="J161" s="101">
        <v>255691917</v>
      </c>
    </row>
    <row r="162" spans="1:10">
      <c r="A162" t="s">
        <v>577</v>
      </c>
      <c r="B162" t="s">
        <v>7254</v>
      </c>
      <c r="C162" s="1665">
        <v>207463225</v>
      </c>
      <c r="D162" s="1665">
        <v>196167994</v>
      </c>
      <c r="E162" s="1665">
        <v>207463225</v>
      </c>
      <c r="F162" s="1665">
        <v>196167994</v>
      </c>
      <c r="G162" s="1665">
        <v>207463225</v>
      </c>
      <c r="H162" s="1665">
        <v>196167994</v>
      </c>
      <c r="I162" s="101">
        <v>207463225</v>
      </c>
      <c r="J162" s="101">
        <v>196167994</v>
      </c>
    </row>
    <row r="163" spans="1:10">
      <c r="A163" t="s">
        <v>2368</v>
      </c>
      <c r="B163" t="s">
        <v>7255</v>
      </c>
      <c r="C163" s="1665">
        <v>120666990</v>
      </c>
      <c r="D163" s="1665">
        <v>116892770</v>
      </c>
      <c r="E163" s="1665">
        <v>120666990</v>
      </c>
      <c r="F163" s="1665">
        <v>116892770</v>
      </c>
      <c r="G163" s="1665">
        <v>120666990</v>
      </c>
      <c r="H163" s="1665">
        <v>116892770</v>
      </c>
      <c r="I163" s="101">
        <v>120666990</v>
      </c>
      <c r="J163" s="101">
        <v>116892770</v>
      </c>
    </row>
    <row r="164" spans="1:10">
      <c r="A164" t="s">
        <v>816</v>
      </c>
      <c r="B164" t="s">
        <v>7256</v>
      </c>
      <c r="C164" s="1665">
        <v>153941626</v>
      </c>
      <c r="D164" s="1665">
        <v>151207036</v>
      </c>
      <c r="E164" s="1665">
        <v>153941626</v>
      </c>
      <c r="F164" s="1665">
        <v>151207036</v>
      </c>
      <c r="G164" s="1665">
        <v>153941626</v>
      </c>
      <c r="H164" s="1665">
        <v>151207036</v>
      </c>
      <c r="I164" s="101">
        <v>153941626</v>
      </c>
      <c r="J164" s="101">
        <v>151207036</v>
      </c>
    </row>
    <row r="165" spans="1:10">
      <c r="A165" t="s">
        <v>584</v>
      </c>
      <c r="B165" t="s">
        <v>7257</v>
      </c>
      <c r="C165" s="1665">
        <v>13977639127</v>
      </c>
      <c r="D165" s="1665">
        <v>13758402558</v>
      </c>
      <c r="E165" s="1665">
        <v>13977639127</v>
      </c>
      <c r="F165" s="1665">
        <v>13758402558</v>
      </c>
      <c r="G165" s="1665">
        <v>13977639127</v>
      </c>
      <c r="H165" s="1665">
        <v>13758402558</v>
      </c>
      <c r="I165" s="101">
        <v>13977639127</v>
      </c>
      <c r="J165" s="101">
        <v>13758402558</v>
      </c>
    </row>
    <row r="166" spans="1:10">
      <c r="A166" t="s">
        <v>1641</v>
      </c>
      <c r="B166" t="s">
        <v>7258</v>
      </c>
      <c r="C166" s="1665">
        <v>1321780158</v>
      </c>
      <c r="D166" s="1665">
        <v>1288124468</v>
      </c>
      <c r="E166" s="1665">
        <v>1321780158</v>
      </c>
      <c r="F166" s="1665">
        <v>1288124468</v>
      </c>
      <c r="G166" s="1665">
        <v>1321780158</v>
      </c>
      <c r="H166" s="1665">
        <v>1288124468</v>
      </c>
      <c r="I166" s="101">
        <v>1321780158</v>
      </c>
      <c r="J166" s="101">
        <v>1288124468</v>
      </c>
    </row>
    <row r="167" spans="1:10">
      <c r="A167" t="s">
        <v>2502</v>
      </c>
      <c r="B167" t="s">
        <v>7259</v>
      </c>
      <c r="C167" s="1665">
        <v>1377941175</v>
      </c>
      <c r="D167" s="1665">
        <v>1352212014</v>
      </c>
      <c r="E167" s="1665">
        <v>1377941175</v>
      </c>
      <c r="F167" s="1665">
        <v>1352212014</v>
      </c>
      <c r="G167" s="1665">
        <v>1377941175</v>
      </c>
      <c r="H167" s="1665">
        <v>1352212014</v>
      </c>
      <c r="I167" s="101">
        <v>1377941175</v>
      </c>
      <c r="J167" s="101">
        <v>1352212014</v>
      </c>
    </row>
    <row r="168" spans="1:10">
      <c r="A168" t="s">
        <v>1687</v>
      </c>
      <c r="B168" t="s">
        <v>7260</v>
      </c>
      <c r="C168" s="1665">
        <v>610090527</v>
      </c>
      <c r="D168" s="1665">
        <v>592513644</v>
      </c>
      <c r="E168" s="1665">
        <v>610090527</v>
      </c>
      <c r="F168" s="1665">
        <v>592513644</v>
      </c>
      <c r="G168" s="1665">
        <v>610090527</v>
      </c>
      <c r="H168" s="1665">
        <v>592513644</v>
      </c>
      <c r="I168" s="101">
        <v>610090527</v>
      </c>
      <c r="J168" s="101">
        <v>592513644</v>
      </c>
    </row>
    <row r="169" spans="1:10">
      <c r="A169" t="s">
        <v>1425</v>
      </c>
      <c r="B169" t="s">
        <v>7261</v>
      </c>
      <c r="C169" s="1665">
        <v>38585555444</v>
      </c>
      <c r="D169" s="1665">
        <v>38108031539</v>
      </c>
      <c r="E169" s="1665">
        <v>38585555444</v>
      </c>
      <c r="F169" s="1665">
        <v>38108031539</v>
      </c>
      <c r="G169" s="1665">
        <v>38585555444</v>
      </c>
      <c r="H169" s="1665">
        <v>38108031539</v>
      </c>
      <c r="I169" s="101">
        <v>38585555444</v>
      </c>
      <c r="J169" s="101">
        <v>38108031539</v>
      </c>
    </row>
    <row r="170" spans="1:10">
      <c r="A170" t="s">
        <v>2530</v>
      </c>
      <c r="B170" t="s">
        <v>7262</v>
      </c>
      <c r="C170" s="1665">
        <v>15463720269</v>
      </c>
      <c r="D170" s="1665">
        <v>15204874792</v>
      </c>
      <c r="E170" s="1665">
        <v>15463720269</v>
      </c>
      <c r="F170" s="1665">
        <v>15204874792</v>
      </c>
      <c r="G170" s="1665">
        <v>15463720269</v>
      </c>
      <c r="H170" s="1665">
        <v>15204874792</v>
      </c>
      <c r="I170" s="101">
        <v>15463720269</v>
      </c>
      <c r="J170" s="101">
        <v>15204874792</v>
      </c>
    </row>
    <row r="171" spans="1:10">
      <c r="A171" t="s">
        <v>649</v>
      </c>
      <c r="B171" t="s">
        <v>7263</v>
      </c>
      <c r="C171" s="1665">
        <v>1233850378</v>
      </c>
      <c r="D171" s="1665">
        <v>1206346869</v>
      </c>
      <c r="E171" s="1665">
        <v>1233850378</v>
      </c>
      <c r="F171" s="1665">
        <v>1206346869</v>
      </c>
      <c r="G171" s="1665">
        <v>1233850378</v>
      </c>
      <c r="H171" s="1665">
        <v>1206346869</v>
      </c>
      <c r="I171" s="101">
        <v>1233850378</v>
      </c>
      <c r="J171" s="101">
        <v>1206346869</v>
      </c>
    </row>
    <row r="172" spans="1:10">
      <c r="A172" t="s">
        <v>650</v>
      </c>
      <c r="B172" t="s">
        <v>7264</v>
      </c>
      <c r="C172" s="1665">
        <v>54063697670</v>
      </c>
      <c r="D172" s="1665">
        <v>53372544810</v>
      </c>
      <c r="E172" s="1665">
        <v>54063697670</v>
      </c>
      <c r="F172" s="1665">
        <v>53372544810</v>
      </c>
      <c r="G172" s="1665">
        <v>54063697670</v>
      </c>
      <c r="H172" s="1665">
        <v>53372544810</v>
      </c>
      <c r="I172" s="101">
        <v>54063697670</v>
      </c>
      <c r="J172" s="101">
        <v>53372544810</v>
      </c>
    </row>
    <row r="173" spans="1:10">
      <c r="A173" t="s">
        <v>218</v>
      </c>
      <c r="B173" t="s">
        <v>7265</v>
      </c>
      <c r="C173" s="1665">
        <v>1234933151</v>
      </c>
      <c r="D173" s="1665">
        <v>1199311019</v>
      </c>
      <c r="E173" s="1665">
        <v>1234933151</v>
      </c>
      <c r="F173" s="1665">
        <v>1199311019</v>
      </c>
      <c r="G173" s="1665">
        <v>1234933151</v>
      </c>
      <c r="H173" s="1665">
        <v>1199311019</v>
      </c>
      <c r="I173" s="101">
        <v>1234933151</v>
      </c>
      <c r="J173" s="101">
        <v>1199311019</v>
      </c>
    </row>
    <row r="174" spans="1:10">
      <c r="A174" t="s">
        <v>1583</v>
      </c>
      <c r="B174" t="s">
        <v>7266</v>
      </c>
      <c r="C174" s="1665">
        <v>8343020259</v>
      </c>
      <c r="D174" s="1665">
        <v>8225066727</v>
      </c>
      <c r="E174" s="1665">
        <v>8343020259</v>
      </c>
      <c r="F174" s="1665">
        <v>8225066727</v>
      </c>
      <c r="G174" s="1665">
        <v>8343020259</v>
      </c>
      <c r="H174" s="1665">
        <v>8225066727</v>
      </c>
      <c r="I174" s="101">
        <v>8343020259</v>
      </c>
      <c r="J174" s="101">
        <v>8225066727</v>
      </c>
    </row>
    <row r="175" spans="1:10">
      <c r="A175" t="s">
        <v>1184</v>
      </c>
      <c r="B175" t="s">
        <v>7267</v>
      </c>
      <c r="C175" s="1665">
        <v>6453929109</v>
      </c>
      <c r="D175" s="1665">
        <v>6298330179</v>
      </c>
      <c r="E175" s="1665">
        <v>6453929109</v>
      </c>
      <c r="F175" s="1665">
        <v>6298330179</v>
      </c>
      <c r="G175" s="1665">
        <v>6453929109</v>
      </c>
      <c r="H175" s="1665">
        <v>6298330179</v>
      </c>
      <c r="I175" s="101">
        <v>6453929109</v>
      </c>
      <c r="J175" s="101">
        <v>6298330179</v>
      </c>
    </row>
    <row r="176" spans="1:10">
      <c r="A176" t="s">
        <v>878</v>
      </c>
      <c r="B176" t="s">
        <v>7268</v>
      </c>
      <c r="C176" s="1665">
        <v>252688647</v>
      </c>
      <c r="D176" s="1665">
        <v>244671823</v>
      </c>
      <c r="E176" s="1665">
        <v>252688647</v>
      </c>
      <c r="F176" s="1665">
        <v>244671823</v>
      </c>
      <c r="G176" s="1665">
        <v>252688647</v>
      </c>
      <c r="H176" s="1665">
        <v>244671823</v>
      </c>
      <c r="I176" s="101">
        <v>252688647</v>
      </c>
      <c r="J176" s="101">
        <v>244671823</v>
      </c>
    </row>
    <row r="177" spans="1:10">
      <c r="A177" t="s">
        <v>1438</v>
      </c>
      <c r="B177" t="s">
        <v>7269</v>
      </c>
      <c r="C177" s="1665">
        <v>940268088</v>
      </c>
      <c r="D177" s="1665">
        <v>911324161</v>
      </c>
      <c r="E177" s="1665">
        <v>940268088</v>
      </c>
      <c r="F177" s="1665">
        <v>911324161</v>
      </c>
      <c r="G177" s="1665">
        <v>940268088</v>
      </c>
      <c r="H177" s="1665">
        <v>911324161</v>
      </c>
      <c r="I177" s="101">
        <v>940268088</v>
      </c>
      <c r="J177" s="101">
        <v>911324161</v>
      </c>
    </row>
    <row r="178" spans="1:10">
      <c r="A178" t="s">
        <v>253</v>
      </c>
      <c r="B178" t="s">
        <v>7270</v>
      </c>
      <c r="C178" s="1665">
        <v>2641010506</v>
      </c>
      <c r="D178" s="1665">
        <v>2596561373</v>
      </c>
      <c r="E178" s="1665">
        <v>2641010506</v>
      </c>
      <c r="F178" s="1665">
        <v>2596561373</v>
      </c>
      <c r="G178" s="1665">
        <v>2641010506</v>
      </c>
      <c r="H178" s="1665">
        <v>2596561373</v>
      </c>
      <c r="I178" s="101">
        <v>2641010506</v>
      </c>
      <c r="J178" s="101">
        <v>2596561373</v>
      </c>
    </row>
    <row r="179" spans="1:10">
      <c r="A179" t="s">
        <v>254</v>
      </c>
      <c r="B179" t="s">
        <v>7271</v>
      </c>
      <c r="C179" s="1665">
        <v>183523989</v>
      </c>
      <c r="D179" s="1665">
        <v>178222039</v>
      </c>
      <c r="E179" s="1665">
        <v>183523989</v>
      </c>
      <c r="F179" s="1665">
        <v>178222039</v>
      </c>
      <c r="G179" s="1665">
        <v>183523989</v>
      </c>
      <c r="H179" s="1665">
        <v>178222039</v>
      </c>
      <c r="I179" s="101">
        <v>183523989</v>
      </c>
      <c r="J179" s="101">
        <v>178222039</v>
      </c>
    </row>
    <row r="180" spans="1:10">
      <c r="A180" t="s">
        <v>1436</v>
      </c>
      <c r="B180" t="s">
        <v>7272</v>
      </c>
      <c r="C180" s="1665">
        <v>1138307937</v>
      </c>
      <c r="D180" s="1665">
        <v>1112645112</v>
      </c>
      <c r="E180" s="1665">
        <v>1138307937</v>
      </c>
      <c r="F180" s="1665">
        <v>1112645112</v>
      </c>
      <c r="G180" s="1665">
        <v>1138307937</v>
      </c>
      <c r="H180" s="1665">
        <v>1112645112</v>
      </c>
      <c r="I180" s="101">
        <v>1138307937</v>
      </c>
      <c r="J180" s="101">
        <v>1112645112</v>
      </c>
    </row>
    <row r="181" spans="1:10">
      <c r="A181" t="s">
        <v>589</v>
      </c>
      <c r="B181" t="s">
        <v>7273</v>
      </c>
      <c r="C181" s="1665">
        <v>829156020</v>
      </c>
      <c r="D181" s="1665">
        <v>815785530</v>
      </c>
      <c r="E181" s="1665">
        <v>829156020</v>
      </c>
      <c r="F181" s="1665">
        <v>815785530</v>
      </c>
      <c r="G181" s="1665">
        <v>829156020</v>
      </c>
      <c r="H181" s="1665">
        <v>815785530</v>
      </c>
      <c r="I181" s="101">
        <v>829156020</v>
      </c>
      <c r="J181" s="101">
        <v>815785530</v>
      </c>
    </row>
    <row r="182" spans="1:10">
      <c r="A182" t="s">
        <v>27</v>
      </c>
      <c r="B182" t="s">
        <v>7274</v>
      </c>
      <c r="C182" s="1665">
        <v>399463117</v>
      </c>
      <c r="D182" s="1665">
        <v>387492663</v>
      </c>
      <c r="E182" s="1665">
        <v>399463117</v>
      </c>
      <c r="F182" s="1665">
        <v>387492663</v>
      </c>
      <c r="G182" s="1665">
        <v>399463117</v>
      </c>
      <c r="H182" s="1665">
        <v>387492663</v>
      </c>
      <c r="I182" s="101">
        <v>399463117</v>
      </c>
      <c r="J182" s="101">
        <v>387492663</v>
      </c>
    </row>
    <row r="183" spans="1:10">
      <c r="A183" t="s">
        <v>28</v>
      </c>
      <c r="B183" t="s">
        <v>7275</v>
      </c>
      <c r="C183" s="1665">
        <v>5235668171</v>
      </c>
      <c r="D183" s="1665">
        <v>5111628516</v>
      </c>
      <c r="E183" s="1665">
        <v>5235668171</v>
      </c>
      <c r="F183" s="1665">
        <v>5111628516</v>
      </c>
      <c r="G183" s="1665">
        <v>5235668171</v>
      </c>
      <c r="H183" s="1665">
        <v>5111628516</v>
      </c>
      <c r="I183" s="101">
        <v>5235668171</v>
      </c>
      <c r="J183" s="101">
        <v>5111628516</v>
      </c>
    </row>
    <row r="184" spans="1:10">
      <c r="A184" t="s">
        <v>1265</v>
      </c>
      <c r="B184" t="s">
        <v>7276</v>
      </c>
      <c r="C184" s="1665">
        <v>17693064909</v>
      </c>
      <c r="D184" s="1665">
        <v>17354318241</v>
      </c>
      <c r="E184" s="1665">
        <v>16647108948</v>
      </c>
      <c r="F184" s="1665">
        <v>16308362280</v>
      </c>
      <c r="G184" s="1665">
        <v>16706354348</v>
      </c>
      <c r="H184" s="1665">
        <v>16367607680</v>
      </c>
      <c r="I184" s="101">
        <v>17752310309</v>
      </c>
      <c r="J184" s="101">
        <v>17413563641</v>
      </c>
    </row>
    <row r="185" spans="1:10">
      <c r="A185" t="s">
        <v>2315</v>
      </c>
      <c r="B185" t="s">
        <v>7277</v>
      </c>
      <c r="C185" s="1665">
        <v>401486587</v>
      </c>
      <c r="D185" s="1665">
        <v>386150500</v>
      </c>
      <c r="E185" s="1665">
        <v>401486587</v>
      </c>
      <c r="F185" s="1665">
        <v>386150500</v>
      </c>
      <c r="G185" s="1665">
        <v>523998477</v>
      </c>
      <c r="H185" s="1665">
        <v>508662390</v>
      </c>
      <c r="I185" s="101">
        <v>523998477</v>
      </c>
      <c r="J185" s="101">
        <v>508662390</v>
      </c>
    </row>
    <row r="186" spans="1:10">
      <c r="A186" t="s">
        <v>2409</v>
      </c>
      <c r="B186" t="s">
        <v>7278</v>
      </c>
      <c r="C186" s="1665">
        <v>219581775</v>
      </c>
      <c r="D186" s="1665">
        <v>210194639</v>
      </c>
      <c r="E186" s="1665">
        <v>219581775</v>
      </c>
      <c r="F186" s="1665">
        <v>210194639</v>
      </c>
      <c r="G186" s="1665">
        <v>219581775</v>
      </c>
      <c r="H186" s="1665">
        <v>210194639</v>
      </c>
      <c r="I186" s="101">
        <v>219581775</v>
      </c>
      <c r="J186" s="101">
        <v>210194639</v>
      </c>
    </row>
    <row r="187" spans="1:10">
      <c r="A187" t="s">
        <v>2342</v>
      </c>
      <c r="B187" t="s">
        <v>7279</v>
      </c>
      <c r="C187" s="1665">
        <v>73047062</v>
      </c>
      <c r="D187" s="1665">
        <v>70709066</v>
      </c>
      <c r="E187" s="1665">
        <v>73047062</v>
      </c>
      <c r="F187" s="1665">
        <v>70709066</v>
      </c>
      <c r="G187" s="1665">
        <v>73047062</v>
      </c>
      <c r="H187" s="1665">
        <v>70709066</v>
      </c>
      <c r="I187" s="101">
        <v>73047062</v>
      </c>
      <c r="J187" s="101">
        <v>70709066</v>
      </c>
    </row>
    <row r="188" spans="1:10">
      <c r="A188" t="s">
        <v>2316</v>
      </c>
      <c r="B188" t="s">
        <v>7280</v>
      </c>
      <c r="C188" s="1665">
        <v>34771608</v>
      </c>
      <c r="D188" s="1665">
        <v>33158449</v>
      </c>
      <c r="E188" s="1665">
        <v>34771608</v>
      </c>
      <c r="F188" s="1665">
        <v>33158449</v>
      </c>
      <c r="G188" s="1665">
        <v>34771608</v>
      </c>
      <c r="H188" s="1665">
        <v>33158449</v>
      </c>
      <c r="I188" s="101">
        <v>34771608</v>
      </c>
      <c r="J188" s="101">
        <v>33158449</v>
      </c>
    </row>
    <row r="189" spans="1:10">
      <c r="A189" t="s">
        <v>2317</v>
      </c>
      <c r="B189" t="s">
        <v>7281</v>
      </c>
      <c r="C189" s="1665">
        <v>137358093</v>
      </c>
      <c r="D189" s="1665">
        <v>133674744</v>
      </c>
      <c r="E189" s="1665">
        <v>137358093</v>
      </c>
      <c r="F189" s="1665">
        <v>133674744</v>
      </c>
      <c r="G189" s="1665">
        <v>137358093</v>
      </c>
      <c r="H189" s="1665">
        <v>133674744</v>
      </c>
      <c r="I189" s="101">
        <v>137358093</v>
      </c>
      <c r="J189" s="101">
        <v>133674744</v>
      </c>
    </row>
    <row r="190" spans="1:10">
      <c r="A190" t="s">
        <v>300</v>
      </c>
      <c r="B190" t="s">
        <v>7282</v>
      </c>
      <c r="C190" s="1665">
        <v>89115712</v>
      </c>
      <c r="D190" s="1665">
        <v>87299571</v>
      </c>
      <c r="E190" s="1665">
        <v>89115712</v>
      </c>
      <c r="F190" s="1665">
        <v>87299571</v>
      </c>
      <c r="G190" s="1665">
        <v>89115712</v>
      </c>
      <c r="H190" s="1665">
        <v>87299571</v>
      </c>
      <c r="I190" s="101">
        <v>89115712</v>
      </c>
      <c r="J190" s="101">
        <v>87299571</v>
      </c>
    </row>
    <row r="191" spans="1:10">
      <c r="A191" t="s">
        <v>1427</v>
      </c>
      <c r="B191" t="s">
        <v>7283</v>
      </c>
      <c r="C191" s="1665">
        <v>1160188982</v>
      </c>
      <c r="D191" s="1665">
        <v>1129276590</v>
      </c>
      <c r="E191" s="1665">
        <v>1160188982</v>
      </c>
      <c r="F191" s="1665">
        <v>1129276590</v>
      </c>
      <c r="G191" s="1665">
        <v>1160188982</v>
      </c>
      <c r="H191" s="1665">
        <v>1129276590</v>
      </c>
      <c r="I191" s="101">
        <v>1160188982</v>
      </c>
      <c r="J191" s="101">
        <v>1129276590</v>
      </c>
    </row>
    <row r="192" spans="1:10">
      <c r="A192" t="s">
        <v>301</v>
      </c>
      <c r="B192" t="s">
        <v>7284</v>
      </c>
      <c r="C192" s="1665">
        <v>371193895</v>
      </c>
      <c r="D192" s="1665">
        <v>363445568</v>
      </c>
      <c r="E192" s="1665">
        <v>371193895</v>
      </c>
      <c r="F192" s="1665">
        <v>363445568</v>
      </c>
      <c r="G192" s="1665">
        <v>475622205</v>
      </c>
      <c r="H192" s="1665">
        <v>467873878</v>
      </c>
      <c r="I192" s="101">
        <v>475622205</v>
      </c>
      <c r="J192" s="101">
        <v>467873878</v>
      </c>
    </row>
    <row r="193" spans="1:10">
      <c r="A193" t="s">
        <v>2503</v>
      </c>
      <c r="B193" t="s">
        <v>7285</v>
      </c>
      <c r="C193" s="1665">
        <v>292749702</v>
      </c>
      <c r="D193" s="1665">
        <v>284821188</v>
      </c>
      <c r="E193" s="1665">
        <v>292749702</v>
      </c>
      <c r="F193" s="1665">
        <v>284821188</v>
      </c>
      <c r="G193" s="1665">
        <v>292749702</v>
      </c>
      <c r="H193" s="1665">
        <v>284821188</v>
      </c>
      <c r="I193" s="101">
        <v>292749702</v>
      </c>
      <c r="J193" s="101">
        <v>284821188</v>
      </c>
    </row>
    <row r="194" spans="1:10">
      <c r="A194" t="s">
        <v>302</v>
      </c>
      <c r="B194" t="s">
        <v>7286</v>
      </c>
      <c r="C194" s="1665">
        <v>716228934</v>
      </c>
      <c r="D194" s="1665">
        <v>695663600</v>
      </c>
      <c r="E194" s="1665">
        <v>716228934</v>
      </c>
      <c r="F194" s="1665">
        <v>695663600</v>
      </c>
      <c r="G194" s="1665">
        <v>716228934</v>
      </c>
      <c r="H194" s="1665">
        <v>695663600</v>
      </c>
      <c r="I194" s="101">
        <v>716228934</v>
      </c>
      <c r="J194" s="101">
        <v>695663600</v>
      </c>
    </row>
    <row r="195" spans="1:10">
      <c r="A195" t="s">
        <v>303</v>
      </c>
      <c r="B195" t="s">
        <v>7287</v>
      </c>
      <c r="C195" s="1665">
        <v>175045506</v>
      </c>
      <c r="D195" s="1665">
        <v>170204971</v>
      </c>
      <c r="E195" s="1665">
        <v>175045506</v>
      </c>
      <c r="F195" s="1665">
        <v>170204971</v>
      </c>
      <c r="G195" s="1665">
        <v>175045506</v>
      </c>
      <c r="H195" s="1665">
        <v>170204971</v>
      </c>
      <c r="I195" s="101">
        <v>175045506</v>
      </c>
      <c r="J195" s="101">
        <v>170204971</v>
      </c>
    </row>
    <row r="196" spans="1:10">
      <c r="A196" t="s">
        <v>304</v>
      </c>
      <c r="B196" t="s">
        <v>7288</v>
      </c>
      <c r="C196" s="1665">
        <v>501090347</v>
      </c>
      <c r="D196" s="1665">
        <v>495564338</v>
      </c>
      <c r="E196" s="1665">
        <v>501090347</v>
      </c>
      <c r="F196" s="1665">
        <v>495564338</v>
      </c>
      <c r="G196" s="1665">
        <v>501090347</v>
      </c>
      <c r="H196" s="1665">
        <v>495564338</v>
      </c>
      <c r="I196" s="101">
        <v>501090347</v>
      </c>
      <c r="J196" s="101">
        <v>495564338</v>
      </c>
    </row>
    <row r="197" spans="1:10">
      <c r="A197" t="s">
        <v>1743</v>
      </c>
      <c r="B197" t="s">
        <v>7289</v>
      </c>
      <c r="C197" s="1665">
        <v>13544372</v>
      </c>
      <c r="D197" s="1665">
        <v>13253297</v>
      </c>
      <c r="E197" s="1665">
        <v>13544372</v>
      </c>
      <c r="F197" s="1665">
        <v>13253297</v>
      </c>
      <c r="G197" s="1665">
        <v>13544372</v>
      </c>
      <c r="H197" s="1665">
        <v>13253297</v>
      </c>
      <c r="I197" s="101">
        <v>13544372</v>
      </c>
      <c r="J197" s="101">
        <v>13253297</v>
      </c>
    </row>
    <row r="198" spans="1:10">
      <c r="A198" t="s">
        <v>1744</v>
      </c>
      <c r="B198" t="s">
        <v>7290</v>
      </c>
      <c r="C198" s="1665">
        <v>138874776</v>
      </c>
      <c r="D198" s="1665">
        <v>137549976</v>
      </c>
      <c r="E198" s="1665">
        <v>138874776</v>
      </c>
      <c r="F198" s="1665">
        <v>137549976</v>
      </c>
      <c r="G198" s="1665">
        <v>138874776</v>
      </c>
      <c r="H198" s="1665">
        <v>137549976</v>
      </c>
      <c r="I198" s="101">
        <v>138874776</v>
      </c>
      <c r="J198" s="101">
        <v>137549976</v>
      </c>
    </row>
    <row r="199" spans="1:10">
      <c r="A199" t="s">
        <v>1316</v>
      </c>
      <c r="B199" t="s">
        <v>7291</v>
      </c>
      <c r="C199" s="1665">
        <v>102738914</v>
      </c>
      <c r="D199" s="1665">
        <v>98946982</v>
      </c>
      <c r="E199" s="1665">
        <v>102738914</v>
      </c>
      <c r="F199" s="1665">
        <v>98946982</v>
      </c>
      <c r="G199" s="1665">
        <v>102738914</v>
      </c>
      <c r="H199" s="1665">
        <v>98946982</v>
      </c>
      <c r="I199" s="101">
        <v>102738914</v>
      </c>
      <c r="J199" s="101">
        <v>98946982</v>
      </c>
    </row>
    <row r="200" spans="1:10">
      <c r="A200" t="s">
        <v>1107</v>
      </c>
      <c r="B200" t="s">
        <v>7292</v>
      </c>
      <c r="C200" s="1665">
        <v>812067233</v>
      </c>
      <c r="D200" s="1665">
        <v>777048338</v>
      </c>
      <c r="E200" s="1665">
        <v>812067233</v>
      </c>
      <c r="F200" s="1665">
        <v>777048338</v>
      </c>
      <c r="G200" s="1665">
        <v>812067233</v>
      </c>
      <c r="H200" s="1665">
        <v>777048338</v>
      </c>
      <c r="I200" s="101">
        <v>812067233</v>
      </c>
      <c r="J200" s="101">
        <v>777048338</v>
      </c>
    </row>
    <row r="201" spans="1:10">
      <c r="A201" t="s">
        <v>2148</v>
      </c>
      <c r="B201" t="s">
        <v>7293</v>
      </c>
      <c r="C201" s="1665">
        <v>69209971</v>
      </c>
      <c r="D201" s="1665">
        <v>66312974</v>
      </c>
      <c r="E201" s="1665">
        <v>69209971</v>
      </c>
      <c r="F201" s="1665">
        <v>66312974</v>
      </c>
      <c r="G201" s="1665">
        <v>69209971</v>
      </c>
      <c r="H201" s="1665">
        <v>66312974</v>
      </c>
      <c r="I201" s="101">
        <v>69209971</v>
      </c>
      <c r="J201" s="101">
        <v>66312974</v>
      </c>
    </row>
    <row r="202" spans="1:10">
      <c r="A202" t="s">
        <v>1108</v>
      </c>
      <c r="B202" t="s">
        <v>7294</v>
      </c>
      <c r="C202" s="1665">
        <v>82934568</v>
      </c>
      <c r="D202" s="1665">
        <v>80010815</v>
      </c>
      <c r="E202" s="1665">
        <v>82934568</v>
      </c>
      <c r="F202" s="1665">
        <v>80010815</v>
      </c>
      <c r="G202" s="1665">
        <v>82934568</v>
      </c>
      <c r="H202" s="1665">
        <v>80010815</v>
      </c>
      <c r="I202" s="101">
        <v>82934568</v>
      </c>
      <c r="J202" s="101">
        <v>80010815</v>
      </c>
    </row>
    <row r="203" spans="1:10">
      <c r="A203" t="s">
        <v>2398</v>
      </c>
      <c r="B203" t="s">
        <v>7295</v>
      </c>
      <c r="C203" s="1665">
        <v>1455213789</v>
      </c>
      <c r="D203" s="1665">
        <v>1385512328</v>
      </c>
      <c r="E203" s="1665">
        <v>1455213789</v>
      </c>
      <c r="F203" s="1665">
        <v>1385512328</v>
      </c>
      <c r="G203" s="1665">
        <v>1455213789</v>
      </c>
      <c r="H203" s="1665">
        <v>1385512328</v>
      </c>
      <c r="I203" s="101">
        <v>1455213789</v>
      </c>
      <c r="J203" s="101">
        <v>1385512328</v>
      </c>
    </row>
    <row r="204" spans="1:10">
      <c r="A204" t="s">
        <v>1109</v>
      </c>
      <c r="B204" t="s">
        <v>7296</v>
      </c>
      <c r="C204" s="1665">
        <v>157231456</v>
      </c>
      <c r="D204" s="1665">
        <v>154282906</v>
      </c>
      <c r="E204" s="1665">
        <v>156184031</v>
      </c>
      <c r="F204" s="1665">
        <v>153235481</v>
      </c>
      <c r="G204" s="1665">
        <v>156184031</v>
      </c>
      <c r="H204" s="1665">
        <v>153235481</v>
      </c>
      <c r="I204" s="101">
        <v>157231456</v>
      </c>
      <c r="J204" s="101">
        <v>154282906</v>
      </c>
    </row>
    <row r="205" spans="1:10">
      <c r="A205" t="s">
        <v>681</v>
      </c>
      <c r="B205" t="s">
        <v>7297</v>
      </c>
      <c r="C205" s="1665">
        <v>934372417</v>
      </c>
      <c r="D205" s="1665">
        <v>926631297</v>
      </c>
      <c r="E205" s="1665">
        <v>934372417</v>
      </c>
      <c r="F205" s="1665">
        <v>926631297</v>
      </c>
      <c r="G205" s="1665">
        <v>934372417</v>
      </c>
      <c r="H205" s="1665">
        <v>926631297</v>
      </c>
      <c r="I205" s="101">
        <v>934372417</v>
      </c>
      <c r="J205" s="101">
        <v>926631297</v>
      </c>
    </row>
    <row r="206" spans="1:10">
      <c r="A206" t="s">
        <v>682</v>
      </c>
      <c r="B206" t="s">
        <v>7298</v>
      </c>
      <c r="C206" s="1665">
        <v>1270944212</v>
      </c>
      <c r="D206" s="1665">
        <v>1270944212</v>
      </c>
      <c r="E206" s="1665">
        <v>1267850567</v>
      </c>
      <c r="F206" s="1665">
        <v>1267850567</v>
      </c>
      <c r="G206" s="1665">
        <v>1267850567</v>
      </c>
      <c r="H206" s="1665">
        <v>1267850567</v>
      </c>
      <c r="I206" s="101">
        <v>1270944212</v>
      </c>
      <c r="J206" s="101">
        <v>1270944212</v>
      </c>
    </row>
    <row r="207" spans="1:10">
      <c r="A207" t="s">
        <v>683</v>
      </c>
      <c r="B207" t="s">
        <v>7299</v>
      </c>
      <c r="C207" s="1665">
        <v>104339555</v>
      </c>
      <c r="D207" s="1665">
        <v>100632834</v>
      </c>
      <c r="E207" s="1665">
        <v>104339555</v>
      </c>
      <c r="F207" s="1665">
        <v>100632834</v>
      </c>
      <c r="G207" s="1665">
        <v>231981502</v>
      </c>
      <c r="H207" s="1665">
        <v>228274781</v>
      </c>
      <c r="I207" s="101">
        <v>231981502</v>
      </c>
      <c r="J207" s="101">
        <v>228274781</v>
      </c>
    </row>
    <row r="208" spans="1:10">
      <c r="A208" t="s">
        <v>684</v>
      </c>
      <c r="B208" t="s">
        <v>7300</v>
      </c>
      <c r="C208" s="1665">
        <v>165979669</v>
      </c>
      <c r="D208" s="1665">
        <v>163540335</v>
      </c>
      <c r="E208" s="1665">
        <v>165979669</v>
      </c>
      <c r="F208" s="1665">
        <v>163540335</v>
      </c>
      <c r="G208" s="1665">
        <v>188231059</v>
      </c>
      <c r="H208" s="1665">
        <v>185791725</v>
      </c>
      <c r="I208" s="101">
        <v>188231059</v>
      </c>
      <c r="J208" s="101">
        <v>185791725</v>
      </c>
    </row>
    <row r="209" spans="1:10">
      <c r="A209" t="s">
        <v>392</v>
      </c>
      <c r="B209" t="s">
        <v>7301</v>
      </c>
      <c r="C209" s="1665">
        <v>130618540</v>
      </c>
      <c r="D209" s="1665">
        <v>127057161</v>
      </c>
      <c r="E209" s="1665">
        <v>130618540</v>
      </c>
      <c r="F209" s="1665">
        <v>127057161</v>
      </c>
      <c r="G209" s="1665">
        <v>130618540</v>
      </c>
      <c r="H209" s="1665">
        <v>127057161</v>
      </c>
      <c r="I209" s="101">
        <v>130618540</v>
      </c>
      <c r="J209" s="101">
        <v>127057161</v>
      </c>
    </row>
    <row r="210" spans="1:10">
      <c r="A210" t="s">
        <v>2559</v>
      </c>
      <c r="B210" t="s">
        <v>7302</v>
      </c>
      <c r="C210" s="1665">
        <v>1953952119</v>
      </c>
      <c r="D210" s="1665">
        <v>1950712961</v>
      </c>
      <c r="E210" s="1665">
        <v>1953952119</v>
      </c>
      <c r="F210" s="1665">
        <v>1950712961</v>
      </c>
      <c r="G210" s="1665">
        <v>1953952119</v>
      </c>
      <c r="H210" s="1665">
        <v>1950712961</v>
      </c>
      <c r="I210" s="101">
        <v>1953952119</v>
      </c>
      <c r="J210" s="101">
        <v>1950712961</v>
      </c>
    </row>
    <row r="211" spans="1:10">
      <c r="A211" t="s">
        <v>2560</v>
      </c>
      <c r="B211" t="s">
        <v>7303</v>
      </c>
      <c r="C211" s="1665">
        <v>1176648378</v>
      </c>
      <c r="D211" s="1665">
        <v>1161727911</v>
      </c>
      <c r="E211" s="1665">
        <v>1176648378</v>
      </c>
      <c r="F211" s="1665">
        <v>1161727911</v>
      </c>
      <c r="G211" s="1665">
        <v>1176648378</v>
      </c>
      <c r="H211" s="1665">
        <v>1161727911</v>
      </c>
      <c r="I211" s="101">
        <v>1176648378</v>
      </c>
      <c r="J211" s="101">
        <v>1161727911</v>
      </c>
    </row>
    <row r="212" spans="1:10">
      <c r="A212" t="s">
        <v>2561</v>
      </c>
      <c r="B212" t="s">
        <v>7304</v>
      </c>
      <c r="C212" s="1665">
        <v>178384242</v>
      </c>
      <c r="D212" s="1665">
        <v>177406122</v>
      </c>
      <c r="E212" s="1665">
        <v>178384242</v>
      </c>
      <c r="F212" s="1665">
        <v>177406122</v>
      </c>
      <c r="G212" s="1665">
        <v>178384242</v>
      </c>
      <c r="H212" s="1665">
        <v>177406122</v>
      </c>
      <c r="I212" s="101">
        <v>178384242</v>
      </c>
      <c r="J212" s="101">
        <v>177406122</v>
      </c>
    </row>
    <row r="213" spans="1:10">
      <c r="A213" t="s">
        <v>1642</v>
      </c>
      <c r="B213" t="s">
        <v>7305</v>
      </c>
      <c r="C213" s="1665">
        <v>19391661937</v>
      </c>
      <c r="D213" s="1665">
        <v>19138165293</v>
      </c>
      <c r="E213" s="1665">
        <v>19391661937</v>
      </c>
      <c r="F213" s="1665">
        <v>19138165293</v>
      </c>
      <c r="G213" s="1665">
        <v>19391661937</v>
      </c>
      <c r="H213" s="1665">
        <v>19138165293</v>
      </c>
      <c r="I213" s="101">
        <v>19391661937</v>
      </c>
      <c r="J213" s="101">
        <v>19138165293</v>
      </c>
    </row>
    <row r="214" spans="1:10">
      <c r="A214" t="s">
        <v>385</v>
      </c>
      <c r="B214" t="s">
        <v>7306</v>
      </c>
      <c r="C214" s="1665">
        <v>3593512489</v>
      </c>
      <c r="D214" s="1665">
        <v>3493292259</v>
      </c>
      <c r="E214" s="1665">
        <v>3593512489</v>
      </c>
      <c r="F214" s="1665">
        <v>3493292259</v>
      </c>
      <c r="G214" s="1665">
        <v>3593512489</v>
      </c>
      <c r="H214" s="1665">
        <v>3493292259</v>
      </c>
      <c r="I214" s="101">
        <v>3593512489</v>
      </c>
      <c r="J214" s="101">
        <v>3493292259</v>
      </c>
    </row>
    <row r="215" spans="1:10">
      <c r="A215" t="s">
        <v>386</v>
      </c>
      <c r="B215" t="s">
        <v>7307</v>
      </c>
      <c r="C215" s="1665">
        <v>120553552189</v>
      </c>
      <c r="D215" s="1665">
        <v>119079734179</v>
      </c>
      <c r="E215" s="1665">
        <v>118339514981</v>
      </c>
      <c r="F215" s="1665">
        <v>116865696971</v>
      </c>
      <c r="G215" s="1665">
        <v>118339514981</v>
      </c>
      <c r="H215" s="1665">
        <v>116865696971</v>
      </c>
      <c r="I215" s="101">
        <v>120553552189</v>
      </c>
      <c r="J215" s="101">
        <v>119079734179</v>
      </c>
    </row>
    <row r="216" spans="1:10">
      <c r="A216" t="s">
        <v>387</v>
      </c>
      <c r="B216" t="s">
        <v>7308</v>
      </c>
      <c r="C216" s="1665">
        <v>3158763512</v>
      </c>
      <c r="D216" s="1665">
        <v>3039153550</v>
      </c>
      <c r="E216" s="1665">
        <v>3158763512</v>
      </c>
      <c r="F216" s="1665">
        <v>3039153550</v>
      </c>
      <c r="G216" s="1665">
        <v>3158763512</v>
      </c>
      <c r="H216" s="1665">
        <v>3039153550</v>
      </c>
      <c r="I216" s="101">
        <v>3158763512</v>
      </c>
      <c r="J216" s="101">
        <v>3039153550</v>
      </c>
    </row>
    <row r="217" spans="1:10">
      <c r="A217" t="s">
        <v>388</v>
      </c>
      <c r="B217" t="s">
        <v>7309</v>
      </c>
      <c r="C217" s="1665">
        <v>4706368756</v>
      </c>
      <c r="D217" s="1665">
        <v>4575063971</v>
      </c>
      <c r="E217" s="1665">
        <v>4706368756</v>
      </c>
      <c r="F217" s="1665">
        <v>4575063971</v>
      </c>
      <c r="G217" s="1665">
        <v>4706368756</v>
      </c>
      <c r="H217" s="1665">
        <v>4575063971</v>
      </c>
      <c r="I217" s="101">
        <v>4706368756</v>
      </c>
      <c r="J217" s="101">
        <v>4575063971</v>
      </c>
    </row>
    <row r="218" spans="1:10">
      <c r="A218" t="s">
        <v>2578</v>
      </c>
      <c r="B218" t="s">
        <v>7310</v>
      </c>
      <c r="C218" s="1665">
        <v>19461765362</v>
      </c>
      <c r="D218" s="1665">
        <v>18915984621</v>
      </c>
      <c r="E218" s="1665">
        <v>19461765362</v>
      </c>
      <c r="F218" s="1665">
        <v>18915984621</v>
      </c>
      <c r="G218" s="1665">
        <v>19461765362</v>
      </c>
      <c r="H218" s="1665">
        <v>18915984621</v>
      </c>
      <c r="I218" s="101">
        <v>19461765362</v>
      </c>
      <c r="J218" s="101">
        <v>18915984621</v>
      </c>
    </row>
    <row r="219" spans="1:10">
      <c r="A219" t="s">
        <v>666</v>
      </c>
      <c r="B219" t="s">
        <v>7311</v>
      </c>
      <c r="C219" s="1665">
        <v>6978673957</v>
      </c>
      <c r="D219" s="1665">
        <v>6790449843</v>
      </c>
      <c r="E219" s="1665">
        <v>6978673957</v>
      </c>
      <c r="F219" s="1665">
        <v>6790449843</v>
      </c>
      <c r="G219" s="1665">
        <v>6978673957</v>
      </c>
      <c r="H219" s="1665">
        <v>6790449843</v>
      </c>
      <c r="I219" s="101">
        <v>6978673957</v>
      </c>
      <c r="J219" s="101">
        <v>6790449843</v>
      </c>
    </row>
    <row r="220" spans="1:10">
      <c r="A220" t="s">
        <v>533</v>
      </c>
      <c r="B220" t="s">
        <v>7312</v>
      </c>
      <c r="C220" s="1665">
        <v>17014069998</v>
      </c>
      <c r="D220" s="1665">
        <v>16931820788</v>
      </c>
      <c r="E220" s="1665">
        <v>15591276830</v>
      </c>
      <c r="F220" s="1665">
        <v>15509027620</v>
      </c>
      <c r="G220" s="1665">
        <v>15591276830</v>
      </c>
      <c r="H220" s="1665">
        <v>15509027620</v>
      </c>
      <c r="I220" s="101">
        <v>17014069998</v>
      </c>
      <c r="J220" s="101">
        <v>16931820788</v>
      </c>
    </row>
    <row r="221" spans="1:10">
      <c r="A221" t="s">
        <v>41</v>
      </c>
      <c r="B221" t="s">
        <v>7313</v>
      </c>
      <c r="C221" s="1665">
        <v>12193954247</v>
      </c>
      <c r="D221" s="1665">
        <v>11980042811</v>
      </c>
      <c r="E221" s="1665">
        <v>12193954247</v>
      </c>
      <c r="F221" s="1665">
        <v>11980042811</v>
      </c>
      <c r="G221" s="1665">
        <v>12193954247</v>
      </c>
      <c r="H221" s="1665">
        <v>11980042811</v>
      </c>
      <c r="I221" s="101">
        <v>12193954247</v>
      </c>
      <c r="J221" s="101">
        <v>11980042811</v>
      </c>
    </row>
    <row r="222" spans="1:10">
      <c r="A222" t="s">
        <v>1790</v>
      </c>
      <c r="B222" t="s">
        <v>7314</v>
      </c>
      <c r="C222" s="1665">
        <v>2655193720</v>
      </c>
      <c r="D222" s="1665">
        <v>2582072856</v>
      </c>
      <c r="E222" s="1665">
        <v>2655193720</v>
      </c>
      <c r="F222" s="1665">
        <v>2582072856</v>
      </c>
      <c r="G222" s="1665">
        <v>2655193720</v>
      </c>
      <c r="H222" s="1665">
        <v>2582072856</v>
      </c>
      <c r="I222" s="101">
        <v>2655193720</v>
      </c>
      <c r="J222" s="101">
        <v>2582072856</v>
      </c>
    </row>
    <row r="223" spans="1:10">
      <c r="A223" t="s">
        <v>2533</v>
      </c>
      <c r="B223" t="s">
        <v>7315</v>
      </c>
      <c r="C223" s="1665">
        <v>8358499365</v>
      </c>
      <c r="D223" s="1665">
        <v>8097277407</v>
      </c>
      <c r="E223" s="1665">
        <v>8358499365</v>
      </c>
      <c r="F223" s="1665">
        <v>8097277407</v>
      </c>
      <c r="G223" s="1665">
        <v>8358499365</v>
      </c>
      <c r="H223" s="1665">
        <v>8097277407</v>
      </c>
      <c r="I223" s="101">
        <v>8358499365</v>
      </c>
      <c r="J223" s="101">
        <v>8097277407</v>
      </c>
    </row>
    <row r="224" spans="1:10">
      <c r="A224" t="s">
        <v>1791</v>
      </c>
      <c r="B224" t="s">
        <v>7316</v>
      </c>
      <c r="C224" s="1665">
        <v>23803695202</v>
      </c>
      <c r="D224" s="1665">
        <v>23393855128</v>
      </c>
      <c r="E224" s="1665">
        <v>23193565966</v>
      </c>
      <c r="F224" s="1665">
        <v>22783725892</v>
      </c>
      <c r="G224" s="1665">
        <v>23193565966</v>
      </c>
      <c r="H224" s="1665">
        <v>22783725892</v>
      </c>
      <c r="I224" s="101">
        <v>23803695202</v>
      </c>
      <c r="J224" s="101">
        <v>23393855128</v>
      </c>
    </row>
    <row r="225" spans="1:10">
      <c r="A225" t="s">
        <v>2688</v>
      </c>
      <c r="B225" t="s">
        <v>7317</v>
      </c>
      <c r="C225" s="1665">
        <v>1210259929</v>
      </c>
      <c r="D225" s="1665">
        <v>1192690429</v>
      </c>
      <c r="E225" s="1665">
        <v>1210259929</v>
      </c>
      <c r="F225" s="1665">
        <v>1192690429</v>
      </c>
      <c r="G225" s="1665">
        <v>1210259929</v>
      </c>
      <c r="H225" s="1665">
        <v>1192690429</v>
      </c>
      <c r="I225" s="101">
        <v>1210259929</v>
      </c>
      <c r="J225" s="101">
        <v>1192690429</v>
      </c>
    </row>
    <row r="226" spans="1:10">
      <c r="A226" t="s">
        <v>249</v>
      </c>
      <c r="B226" t="s">
        <v>7318</v>
      </c>
      <c r="C226" s="1665">
        <v>12132415453</v>
      </c>
      <c r="D226" s="1665">
        <v>12015024938</v>
      </c>
      <c r="E226" s="1665">
        <v>12132415453</v>
      </c>
      <c r="F226" s="1665">
        <v>12015024938</v>
      </c>
      <c r="G226" s="1665">
        <v>12132415453</v>
      </c>
      <c r="H226" s="1665">
        <v>12015024938</v>
      </c>
      <c r="I226" s="101">
        <v>12132415453</v>
      </c>
      <c r="J226" s="101">
        <v>12015024938</v>
      </c>
    </row>
    <row r="227" spans="1:10">
      <c r="A227" t="s">
        <v>250</v>
      </c>
      <c r="B227" t="s">
        <v>7319</v>
      </c>
      <c r="C227" s="1665">
        <v>104466380</v>
      </c>
      <c r="D227" s="1665">
        <v>103872467</v>
      </c>
      <c r="E227" s="1665">
        <v>104466380</v>
      </c>
      <c r="F227" s="1665">
        <v>103872467</v>
      </c>
      <c r="G227" s="1665">
        <v>104466380</v>
      </c>
      <c r="H227" s="1665">
        <v>103872467</v>
      </c>
      <c r="I227" s="101">
        <v>104466380</v>
      </c>
      <c r="J227" s="101">
        <v>103872467</v>
      </c>
    </row>
    <row r="228" spans="1:10">
      <c r="A228" t="s">
        <v>251</v>
      </c>
      <c r="B228" t="s">
        <v>7320</v>
      </c>
      <c r="C228" s="1665">
        <v>981003241</v>
      </c>
      <c r="D228" s="1665">
        <v>979633951</v>
      </c>
      <c r="E228" s="1665">
        <v>979452261</v>
      </c>
      <c r="F228" s="1665">
        <v>978082971</v>
      </c>
      <c r="G228" s="1665">
        <v>979452261</v>
      </c>
      <c r="H228" s="1665">
        <v>978082971</v>
      </c>
      <c r="I228" s="101">
        <v>981003241</v>
      </c>
      <c r="J228" s="101">
        <v>979633951</v>
      </c>
    </row>
    <row r="229" spans="1:10">
      <c r="A229" t="s">
        <v>252</v>
      </c>
      <c r="B229" t="s">
        <v>7321</v>
      </c>
      <c r="C229" s="1665">
        <v>457202165</v>
      </c>
      <c r="D229" s="1665">
        <v>440351805</v>
      </c>
      <c r="E229" s="1665">
        <v>457202165</v>
      </c>
      <c r="F229" s="1665">
        <v>440351805</v>
      </c>
      <c r="G229" s="1665">
        <v>672162755</v>
      </c>
      <c r="H229" s="1665">
        <v>655312395</v>
      </c>
      <c r="I229" s="101">
        <v>672162755</v>
      </c>
      <c r="J229" s="101">
        <v>655312395</v>
      </c>
    </row>
    <row r="230" spans="1:10">
      <c r="A230" t="s">
        <v>374</v>
      </c>
      <c r="B230" t="s">
        <v>7322</v>
      </c>
      <c r="C230" s="1665">
        <v>981067244</v>
      </c>
      <c r="D230" s="1665">
        <v>979768505</v>
      </c>
      <c r="E230" s="1665">
        <v>979785473</v>
      </c>
      <c r="F230" s="1665">
        <v>978486734</v>
      </c>
      <c r="G230" s="1665">
        <v>979785473</v>
      </c>
      <c r="H230" s="1665">
        <v>978486734</v>
      </c>
      <c r="I230" s="101">
        <v>981067244</v>
      </c>
      <c r="J230" s="101">
        <v>979768505</v>
      </c>
    </row>
    <row r="231" spans="1:10">
      <c r="A231" t="s">
        <v>1864</v>
      </c>
      <c r="B231" t="s">
        <v>7323</v>
      </c>
      <c r="C231" s="1665">
        <v>1323622592</v>
      </c>
      <c r="D231" s="1665">
        <v>1294859131</v>
      </c>
      <c r="E231" s="1665">
        <v>1323622592</v>
      </c>
      <c r="F231" s="1665">
        <v>1294859131</v>
      </c>
      <c r="G231" s="1665">
        <v>1513118092</v>
      </c>
      <c r="H231" s="1665">
        <v>1484354631</v>
      </c>
      <c r="I231" s="101">
        <v>1513118092</v>
      </c>
      <c r="J231" s="101">
        <v>1484354631</v>
      </c>
    </row>
    <row r="232" spans="1:10">
      <c r="A232" t="s">
        <v>1068</v>
      </c>
      <c r="B232" t="s">
        <v>7324</v>
      </c>
      <c r="C232" s="1665">
        <v>64243036</v>
      </c>
      <c r="D232" s="1665">
        <v>63955236</v>
      </c>
      <c r="E232" s="1665">
        <v>64243036</v>
      </c>
      <c r="F232" s="1665">
        <v>63955236</v>
      </c>
      <c r="G232" s="1665">
        <v>135232036</v>
      </c>
      <c r="H232" s="1665">
        <v>134944236</v>
      </c>
      <c r="I232" s="101">
        <v>135232036</v>
      </c>
      <c r="J232" s="101">
        <v>134944236</v>
      </c>
    </row>
    <row r="233" spans="1:10">
      <c r="A233" t="s">
        <v>1069</v>
      </c>
      <c r="B233" t="s">
        <v>7325</v>
      </c>
      <c r="C233" s="1665">
        <v>215352245</v>
      </c>
      <c r="D233" s="1665">
        <v>204078400</v>
      </c>
      <c r="E233" s="1665">
        <v>215352245</v>
      </c>
      <c r="F233" s="1665">
        <v>204078400</v>
      </c>
      <c r="G233" s="1665">
        <v>215352245</v>
      </c>
      <c r="H233" s="1665">
        <v>204078400</v>
      </c>
      <c r="I233" s="101">
        <v>215352245</v>
      </c>
      <c r="J233" s="101">
        <v>204078400</v>
      </c>
    </row>
    <row r="234" spans="1:10">
      <c r="A234" t="s">
        <v>640</v>
      </c>
      <c r="B234" t="s">
        <v>7326</v>
      </c>
      <c r="C234" s="1665">
        <v>63855245</v>
      </c>
      <c r="D234" s="1665">
        <v>61079612</v>
      </c>
      <c r="E234" s="1665">
        <v>63855245</v>
      </c>
      <c r="F234" s="1665">
        <v>61079612</v>
      </c>
      <c r="G234" s="1665">
        <v>63855245</v>
      </c>
      <c r="H234" s="1665">
        <v>61079612</v>
      </c>
      <c r="I234" s="101">
        <v>63855245</v>
      </c>
      <c r="J234" s="101">
        <v>61079612</v>
      </c>
    </row>
    <row r="235" spans="1:10">
      <c r="A235" t="s">
        <v>1070</v>
      </c>
      <c r="B235" t="s">
        <v>7327</v>
      </c>
      <c r="C235" s="1665">
        <v>17980678133</v>
      </c>
      <c r="D235" s="1665">
        <v>17647244491</v>
      </c>
      <c r="E235" s="1665">
        <v>17980678133</v>
      </c>
      <c r="F235" s="1665">
        <v>17647244491</v>
      </c>
      <c r="G235" s="1665">
        <v>17980678133</v>
      </c>
      <c r="H235" s="1665">
        <v>17647244491</v>
      </c>
      <c r="I235" s="101">
        <v>17980678133</v>
      </c>
      <c r="J235" s="101">
        <v>17647244491</v>
      </c>
    </row>
    <row r="236" spans="1:10">
      <c r="A236" t="s">
        <v>1770</v>
      </c>
      <c r="B236" t="s">
        <v>7328</v>
      </c>
      <c r="C236" s="1665">
        <v>39081279891</v>
      </c>
      <c r="D236" s="1665">
        <v>38493694634</v>
      </c>
      <c r="E236" s="1665">
        <v>39081279891</v>
      </c>
      <c r="F236" s="1665">
        <v>38493694634</v>
      </c>
      <c r="G236" s="1665">
        <v>39081279891</v>
      </c>
      <c r="H236" s="1665">
        <v>38493694634</v>
      </c>
      <c r="I236" s="101">
        <v>39081279891</v>
      </c>
      <c r="J236" s="101">
        <v>38493694634</v>
      </c>
    </row>
    <row r="237" spans="1:10">
      <c r="A237" t="s">
        <v>212</v>
      </c>
      <c r="B237" t="s">
        <v>7329</v>
      </c>
      <c r="C237" s="1665">
        <v>775432569</v>
      </c>
      <c r="D237" s="1665">
        <v>758251434</v>
      </c>
      <c r="E237" s="1665">
        <v>775432569</v>
      </c>
      <c r="F237" s="1665">
        <v>758251434</v>
      </c>
      <c r="G237" s="1665">
        <v>775432569</v>
      </c>
      <c r="H237" s="1665">
        <v>758251434</v>
      </c>
      <c r="I237" s="101">
        <v>775432569</v>
      </c>
      <c r="J237" s="101">
        <v>758251434</v>
      </c>
    </row>
    <row r="238" spans="1:10">
      <c r="A238" t="s">
        <v>717</v>
      </c>
      <c r="B238" t="s">
        <v>7330</v>
      </c>
      <c r="C238" s="1665">
        <v>854353309</v>
      </c>
      <c r="D238" s="1665">
        <v>834395030</v>
      </c>
      <c r="E238" s="1665">
        <v>854353309</v>
      </c>
      <c r="F238" s="1665">
        <v>834395030</v>
      </c>
      <c r="G238" s="1665">
        <v>854353309</v>
      </c>
      <c r="H238" s="1665">
        <v>834395030</v>
      </c>
      <c r="I238" s="101">
        <v>854353309</v>
      </c>
      <c r="J238" s="101">
        <v>834395030</v>
      </c>
    </row>
    <row r="239" spans="1:10">
      <c r="A239" t="s">
        <v>214</v>
      </c>
      <c r="B239" t="s">
        <v>7331</v>
      </c>
      <c r="C239" s="1665">
        <v>740677400</v>
      </c>
      <c r="D239" s="1665">
        <v>726289530</v>
      </c>
      <c r="E239" s="1665">
        <v>740677400</v>
      </c>
      <c r="F239" s="1665">
        <v>726289530</v>
      </c>
      <c r="G239" s="1665">
        <v>740677400</v>
      </c>
      <c r="H239" s="1665">
        <v>726289530</v>
      </c>
      <c r="I239" s="101">
        <v>740677400</v>
      </c>
      <c r="J239" s="101">
        <v>726289530</v>
      </c>
    </row>
    <row r="240" spans="1:10">
      <c r="A240" t="s">
        <v>1680</v>
      </c>
      <c r="B240" t="s">
        <v>7332</v>
      </c>
      <c r="C240" s="1665">
        <v>1049436496</v>
      </c>
      <c r="D240" s="1665">
        <v>1022832283</v>
      </c>
      <c r="E240" s="1665">
        <v>1049436496</v>
      </c>
      <c r="F240" s="1665">
        <v>1022832283</v>
      </c>
      <c r="G240" s="1665">
        <v>1049436496</v>
      </c>
      <c r="H240" s="1665">
        <v>1022832283</v>
      </c>
      <c r="I240" s="101">
        <v>1049436496</v>
      </c>
      <c r="J240" s="101">
        <v>1022832283</v>
      </c>
    </row>
    <row r="241" spans="1:10">
      <c r="A241" t="s">
        <v>490</v>
      </c>
      <c r="B241" t="s">
        <v>7333</v>
      </c>
      <c r="C241" s="1665">
        <v>1136419582</v>
      </c>
      <c r="D241" s="1665">
        <v>1105830010</v>
      </c>
      <c r="E241" s="1665">
        <v>1136419582</v>
      </c>
      <c r="F241" s="1665">
        <v>1105830010</v>
      </c>
      <c r="G241" s="1665">
        <v>1136419582</v>
      </c>
      <c r="H241" s="1665">
        <v>1105830010</v>
      </c>
      <c r="I241" s="101">
        <v>1136419582</v>
      </c>
      <c r="J241" s="101">
        <v>1105830010</v>
      </c>
    </row>
    <row r="242" spans="1:10">
      <c r="A242" t="s">
        <v>1838</v>
      </c>
      <c r="B242" t="s">
        <v>7334</v>
      </c>
      <c r="C242" s="1665">
        <v>2117302043</v>
      </c>
      <c r="D242" s="1665">
        <v>2086714318</v>
      </c>
      <c r="E242" s="1665">
        <v>2117302043</v>
      </c>
      <c r="F242" s="1665">
        <v>2086714318</v>
      </c>
      <c r="G242" s="1665">
        <v>2117302043</v>
      </c>
      <c r="H242" s="1665">
        <v>2086714318</v>
      </c>
      <c r="I242" s="101">
        <v>2117302043</v>
      </c>
      <c r="J242" s="101">
        <v>2086714318</v>
      </c>
    </row>
    <row r="243" spans="1:10">
      <c r="A243" t="s">
        <v>1410</v>
      </c>
      <c r="B243" t="s">
        <v>7335</v>
      </c>
      <c r="C243" s="1665">
        <v>17666374437</v>
      </c>
      <c r="D243" s="1665">
        <v>17428574921</v>
      </c>
      <c r="E243" s="1665">
        <v>17666374437</v>
      </c>
      <c r="F243" s="1665">
        <v>17428574921</v>
      </c>
      <c r="G243" s="1665">
        <v>17666374437</v>
      </c>
      <c r="H243" s="1665">
        <v>17428574921</v>
      </c>
      <c r="I243" s="101">
        <v>17666374437</v>
      </c>
      <c r="J243" s="101">
        <v>17428574921</v>
      </c>
    </row>
    <row r="244" spans="1:10">
      <c r="A244" t="s">
        <v>61</v>
      </c>
      <c r="B244" t="s">
        <v>7336</v>
      </c>
      <c r="C244" s="1665">
        <v>1946135625</v>
      </c>
      <c r="D244" s="1665">
        <v>1897021686</v>
      </c>
      <c r="E244" s="1665">
        <v>1946135625</v>
      </c>
      <c r="F244" s="1665">
        <v>1897021686</v>
      </c>
      <c r="G244" s="1665">
        <v>1946135625</v>
      </c>
      <c r="H244" s="1665">
        <v>1897021686</v>
      </c>
      <c r="I244" s="101">
        <v>1946135625</v>
      </c>
      <c r="J244" s="101">
        <v>1897021686</v>
      </c>
    </row>
    <row r="245" spans="1:10">
      <c r="A245" t="s">
        <v>641</v>
      </c>
      <c r="B245" t="s">
        <v>7337</v>
      </c>
      <c r="C245" s="1665">
        <v>4596711407</v>
      </c>
      <c r="D245" s="1665">
        <v>4495551908</v>
      </c>
      <c r="E245" s="1665">
        <v>4596711407</v>
      </c>
      <c r="F245" s="1665">
        <v>4495551908</v>
      </c>
      <c r="G245" s="1665">
        <v>4596711407</v>
      </c>
      <c r="H245" s="1665">
        <v>4495551908</v>
      </c>
      <c r="I245" s="101">
        <v>4596711407</v>
      </c>
      <c r="J245" s="101">
        <v>4495551908</v>
      </c>
    </row>
    <row r="246" spans="1:10">
      <c r="A246" t="s">
        <v>2504</v>
      </c>
      <c r="B246" t="s">
        <v>7338</v>
      </c>
      <c r="C246" s="1665">
        <v>1058512546</v>
      </c>
      <c r="D246" s="1665">
        <v>1041451346</v>
      </c>
      <c r="E246" s="1665">
        <v>1058512546</v>
      </c>
      <c r="F246" s="1665">
        <v>1041451346</v>
      </c>
      <c r="G246" s="1665">
        <v>1058512546</v>
      </c>
      <c r="H246" s="1665">
        <v>1041451346</v>
      </c>
      <c r="I246" s="101">
        <v>1058512546</v>
      </c>
      <c r="J246" s="101">
        <v>1041451346</v>
      </c>
    </row>
    <row r="247" spans="1:10">
      <c r="A247" t="s">
        <v>1839</v>
      </c>
      <c r="B247" t="s">
        <v>7339</v>
      </c>
      <c r="C247" s="1665">
        <v>440797690</v>
      </c>
      <c r="D247" s="1665">
        <v>438740630</v>
      </c>
      <c r="E247" s="1665">
        <v>440797690</v>
      </c>
      <c r="F247" s="1665">
        <v>438740630</v>
      </c>
      <c r="G247" s="1665">
        <v>440797690</v>
      </c>
      <c r="H247" s="1665">
        <v>438740630</v>
      </c>
      <c r="I247" s="101">
        <v>440797690</v>
      </c>
      <c r="J247" s="101">
        <v>438740630</v>
      </c>
    </row>
    <row r="248" spans="1:10">
      <c r="A248" t="s">
        <v>1185</v>
      </c>
      <c r="B248" t="s">
        <v>7340</v>
      </c>
      <c r="C248" s="1665">
        <v>708186170</v>
      </c>
      <c r="D248" s="1665">
        <v>689073018</v>
      </c>
      <c r="E248" s="1665">
        <v>708186170</v>
      </c>
      <c r="F248" s="1665">
        <v>689073018</v>
      </c>
      <c r="G248" s="1665">
        <v>1176189570</v>
      </c>
      <c r="H248" s="1665">
        <v>1157076418</v>
      </c>
      <c r="I248" s="101">
        <v>1176189570</v>
      </c>
      <c r="J248" s="101">
        <v>1157076418</v>
      </c>
    </row>
    <row r="249" spans="1:10">
      <c r="A249" t="s">
        <v>1840</v>
      </c>
      <c r="B249" t="s">
        <v>7341</v>
      </c>
      <c r="C249" s="1665">
        <v>1901478864</v>
      </c>
      <c r="D249" s="1665">
        <v>1892442794</v>
      </c>
      <c r="E249" s="1665">
        <v>1901478864</v>
      </c>
      <c r="F249" s="1665">
        <v>1892442794</v>
      </c>
      <c r="G249" s="1665">
        <v>1901478864</v>
      </c>
      <c r="H249" s="1665">
        <v>1892442794</v>
      </c>
      <c r="I249" s="101">
        <v>1901478864</v>
      </c>
      <c r="J249" s="101">
        <v>1892442794</v>
      </c>
    </row>
    <row r="250" spans="1:10">
      <c r="A250" t="s">
        <v>698</v>
      </c>
      <c r="B250" t="s">
        <v>7342</v>
      </c>
      <c r="C250" s="1665">
        <v>851240556</v>
      </c>
      <c r="D250" s="1665">
        <v>849992706</v>
      </c>
      <c r="E250" s="1665">
        <v>851240556</v>
      </c>
      <c r="F250" s="1665">
        <v>849992706</v>
      </c>
      <c r="G250" s="1665">
        <v>851240556</v>
      </c>
      <c r="H250" s="1665">
        <v>849992706</v>
      </c>
      <c r="I250" s="101">
        <v>851240556</v>
      </c>
      <c r="J250" s="101">
        <v>849992706</v>
      </c>
    </row>
    <row r="251" spans="1:10">
      <c r="A251" t="s">
        <v>299</v>
      </c>
      <c r="B251" t="s">
        <v>7343</v>
      </c>
      <c r="C251" s="1665">
        <v>78795953</v>
      </c>
      <c r="D251" s="1665">
        <v>75482463</v>
      </c>
      <c r="E251" s="1665">
        <v>78795953</v>
      </c>
      <c r="F251" s="1665">
        <v>75482463</v>
      </c>
      <c r="G251" s="1665">
        <v>78795953</v>
      </c>
      <c r="H251" s="1665">
        <v>75482463</v>
      </c>
      <c r="I251" s="101">
        <v>78795953</v>
      </c>
      <c r="J251" s="101">
        <v>75482463</v>
      </c>
    </row>
    <row r="252" spans="1:10">
      <c r="A252" t="s">
        <v>175</v>
      </c>
      <c r="B252" t="s">
        <v>7344</v>
      </c>
      <c r="C252" s="1665">
        <v>183133918</v>
      </c>
      <c r="D252" s="1665">
        <v>180139428</v>
      </c>
      <c r="E252" s="1665">
        <v>183133918</v>
      </c>
      <c r="F252" s="1665">
        <v>180139428</v>
      </c>
      <c r="G252" s="1665">
        <v>183133918</v>
      </c>
      <c r="H252" s="1665">
        <v>180139428</v>
      </c>
      <c r="I252" s="101">
        <v>183133918</v>
      </c>
      <c r="J252" s="101">
        <v>180139428</v>
      </c>
    </row>
    <row r="253" spans="1:10">
      <c r="A253" t="s">
        <v>176</v>
      </c>
      <c r="B253" t="s">
        <v>7345</v>
      </c>
      <c r="C253" s="1665">
        <v>83780147</v>
      </c>
      <c r="D253" s="1665">
        <v>83237767</v>
      </c>
      <c r="E253" s="1665">
        <v>83780147</v>
      </c>
      <c r="F253" s="1665">
        <v>83237767</v>
      </c>
      <c r="G253" s="1665">
        <v>83780147</v>
      </c>
      <c r="H253" s="1665">
        <v>83237767</v>
      </c>
      <c r="I253" s="101">
        <v>83780147</v>
      </c>
      <c r="J253" s="101">
        <v>83237767</v>
      </c>
    </row>
    <row r="254" spans="1:10">
      <c r="A254" t="s">
        <v>718</v>
      </c>
      <c r="B254" t="s">
        <v>7346</v>
      </c>
      <c r="C254" s="1665">
        <v>5596095270</v>
      </c>
      <c r="D254" s="1665">
        <v>5579242196</v>
      </c>
      <c r="E254" s="1665">
        <v>5582452683</v>
      </c>
      <c r="F254" s="1665">
        <v>5565599609</v>
      </c>
      <c r="G254" s="1665">
        <v>5582452683</v>
      </c>
      <c r="H254" s="1665">
        <v>5565599609</v>
      </c>
      <c r="I254" s="101">
        <v>5596095270</v>
      </c>
      <c r="J254" s="101">
        <v>5579242196</v>
      </c>
    </row>
    <row r="255" spans="1:10">
      <c r="A255" t="s">
        <v>2629</v>
      </c>
      <c r="B255" t="s">
        <v>7347</v>
      </c>
      <c r="C255" s="1665">
        <v>162532220</v>
      </c>
      <c r="D255" s="1665">
        <v>156868681</v>
      </c>
      <c r="E255" s="1665">
        <v>162532220</v>
      </c>
      <c r="F255" s="1665">
        <v>156868681</v>
      </c>
      <c r="G255" s="1665">
        <v>291107640</v>
      </c>
      <c r="H255" s="1665">
        <v>285444101</v>
      </c>
      <c r="I255" s="101">
        <v>291107640</v>
      </c>
      <c r="J255" s="101">
        <v>285444101</v>
      </c>
    </row>
    <row r="256" spans="1:10">
      <c r="A256" t="s">
        <v>1556</v>
      </c>
      <c r="B256" t="s">
        <v>7348</v>
      </c>
      <c r="C256" s="1665">
        <v>59424502</v>
      </c>
      <c r="D256" s="1665">
        <v>58743750</v>
      </c>
      <c r="E256" s="1665">
        <v>59424502</v>
      </c>
      <c r="F256" s="1665">
        <v>58743750</v>
      </c>
      <c r="G256" s="1665">
        <v>59424502</v>
      </c>
      <c r="H256" s="1665">
        <v>58743750</v>
      </c>
      <c r="I256" s="101">
        <v>59424502</v>
      </c>
      <c r="J256" s="101">
        <v>58743750</v>
      </c>
    </row>
    <row r="257" spans="1:10">
      <c r="A257" t="s">
        <v>2630</v>
      </c>
      <c r="B257" t="s">
        <v>7349</v>
      </c>
      <c r="C257" s="1665">
        <v>28478102</v>
      </c>
      <c r="D257" s="1665">
        <v>28130163</v>
      </c>
      <c r="E257" s="1665">
        <v>28214808</v>
      </c>
      <c r="F257" s="1665">
        <v>27866869</v>
      </c>
      <c r="G257" s="1665">
        <v>28214808</v>
      </c>
      <c r="H257" s="1665">
        <v>27866869</v>
      </c>
      <c r="I257" s="101">
        <v>28478102</v>
      </c>
      <c r="J257" s="101">
        <v>28130163</v>
      </c>
    </row>
    <row r="258" spans="1:10">
      <c r="A258" t="s">
        <v>2631</v>
      </c>
      <c r="B258" t="s">
        <v>7350</v>
      </c>
      <c r="C258" s="1665">
        <v>222283622</v>
      </c>
      <c r="D258" s="1665">
        <v>218433379</v>
      </c>
      <c r="E258" s="1665">
        <v>222283622</v>
      </c>
      <c r="F258" s="1665">
        <v>218433379</v>
      </c>
      <c r="G258" s="1665">
        <v>222283622</v>
      </c>
      <c r="H258" s="1665">
        <v>218433379</v>
      </c>
      <c r="I258" s="101">
        <v>222283622</v>
      </c>
      <c r="J258" s="101">
        <v>218433379</v>
      </c>
    </row>
    <row r="259" spans="1:10">
      <c r="A259" t="s">
        <v>719</v>
      </c>
      <c r="B259" t="s">
        <v>7351</v>
      </c>
      <c r="C259" s="1665">
        <v>221017989</v>
      </c>
      <c r="D259" s="1665">
        <v>212052112</v>
      </c>
      <c r="E259" s="1665">
        <v>221017989</v>
      </c>
      <c r="F259" s="1665">
        <v>212052112</v>
      </c>
      <c r="G259" s="1665">
        <v>221017989</v>
      </c>
      <c r="H259" s="1665">
        <v>212052112</v>
      </c>
      <c r="I259" s="101">
        <v>221017989</v>
      </c>
      <c r="J259" s="101">
        <v>212052112</v>
      </c>
    </row>
    <row r="260" spans="1:10">
      <c r="A260" t="s">
        <v>678</v>
      </c>
      <c r="B260" t="s">
        <v>7352</v>
      </c>
      <c r="C260" s="1665">
        <v>276612268</v>
      </c>
      <c r="D260" s="1665">
        <v>270649773</v>
      </c>
      <c r="E260" s="1665">
        <v>272702386</v>
      </c>
      <c r="F260" s="1665">
        <v>266739891</v>
      </c>
      <c r="G260" s="1665">
        <v>272702386</v>
      </c>
      <c r="H260" s="1665">
        <v>266739891</v>
      </c>
      <c r="I260" s="101">
        <v>276612268</v>
      </c>
      <c r="J260" s="101">
        <v>270649773</v>
      </c>
    </row>
    <row r="261" spans="1:10">
      <c r="A261" t="s">
        <v>2149</v>
      </c>
      <c r="B261" t="s">
        <v>7353</v>
      </c>
      <c r="C261" s="1665">
        <v>551866013</v>
      </c>
      <c r="D261" s="1665">
        <v>541756243</v>
      </c>
      <c r="E261" s="1665">
        <v>551866013</v>
      </c>
      <c r="F261" s="1665">
        <v>541756243</v>
      </c>
      <c r="G261" s="1665">
        <v>551866013</v>
      </c>
      <c r="H261" s="1665">
        <v>541756243</v>
      </c>
      <c r="I261" s="101">
        <v>551866013</v>
      </c>
      <c r="J261" s="101">
        <v>541756243</v>
      </c>
    </row>
    <row r="262" spans="1:10">
      <c r="A262" t="s">
        <v>2297</v>
      </c>
      <c r="B262" t="s">
        <v>7354</v>
      </c>
      <c r="C262" s="1665">
        <v>520112854</v>
      </c>
      <c r="D262" s="1665">
        <v>506092544</v>
      </c>
      <c r="E262" s="1665">
        <v>520112854</v>
      </c>
      <c r="F262" s="1665">
        <v>506092544</v>
      </c>
      <c r="G262" s="1665">
        <v>520112854</v>
      </c>
      <c r="H262" s="1665">
        <v>506092544</v>
      </c>
      <c r="I262" s="101">
        <v>520112854</v>
      </c>
      <c r="J262" s="101">
        <v>506092544</v>
      </c>
    </row>
    <row r="263" spans="1:10">
      <c r="A263" t="s">
        <v>1788</v>
      </c>
      <c r="B263" t="s">
        <v>7355</v>
      </c>
      <c r="C263" s="1665">
        <v>120342044</v>
      </c>
      <c r="D263" s="1665">
        <v>116696051</v>
      </c>
      <c r="E263" s="1665">
        <v>120342044</v>
      </c>
      <c r="F263" s="1665">
        <v>116696051</v>
      </c>
      <c r="G263" s="1665">
        <v>120342044</v>
      </c>
      <c r="H263" s="1665">
        <v>116696051</v>
      </c>
      <c r="I263" s="101">
        <v>120342044</v>
      </c>
      <c r="J263" s="101">
        <v>116696051</v>
      </c>
    </row>
    <row r="264" spans="1:10">
      <c r="A264" t="s">
        <v>616</v>
      </c>
      <c r="B264" t="s">
        <v>7356</v>
      </c>
      <c r="C264" s="1665">
        <v>149331995</v>
      </c>
      <c r="D264" s="1665">
        <v>145432515</v>
      </c>
      <c r="E264" s="1665">
        <v>149331995</v>
      </c>
      <c r="F264" s="1665">
        <v>145432515</v>
      </c>
      <c r="G264" s="1665">
        <v>149331995</v>
      </c>
      <c r="H264" s="1665">
        <v>145432515</v>
      </c>
      <c r="I264" s="101">
        <v>149331995</v>
      </c>
      <c r="J264" s="101">
        <v>145432515</v>
      </c>
    </row>
    <row r="265" spans="1:10">
      <c r="A265" t="s">
        <v>918</v>
      </c>
      <c r="B265" t="s">
        <v>7357</v>
      </c>
      <c r="C265" s="1665">
        <v>55997213</v>
      </c>
      <c r="D265" s="1665">
        <v>53395143</v>
      </c>
      <c r="E265" s="1665">
        <v>55997213</v>
      </c>
      <c r="F265" s="1665">
        <v>53395143</v>
      </c>
      <c r="G265" s="1665">
        <v>55997213</v>
      </c>
      <c r="H265" s="1665">
        <v>53395143</v>
      </c>
      <c r="I265" s="101">
        <v>55997213</v>
      </c>
      <c r="J265" s="101">
        <v>53395143</v>
      </c>
    </row>
    <row r="266" spans="1:10">
      <c r="A266" t="s">
        <v>2132</v>
      </c>
      <c r="B266" t="s">
        <v>7358</v>
      </c>
      <c r="C266" s="1665">
        <v>13942492051</v>
      </c>
      <c r="D266" s="1665">
        <v>13678557758</v>
      </c>
      <c r="E266" s="1665">
        <v>13525323077</v>
      </c>
      <c r="F266" s="1665">
        <v>13261388784</v>
      </c>
      <c r="G266" s="1665">
        <v>13525323077</v>
      </c>
      <c r="H266" s="1665">
        <v>13261388784</v>
      </c>
      <c r="I266" s="101">
        <v>13942492051</v>
      </c>
      <c r="J266" s="101">
        <v>13678557758</v>
      </c>
    </row>
    <row r="267" spans="1:10">
      <c r="A267" t="s">
        <v>2581</v>
      </c>
      <c r="B267" t="s">
        <v>7359</v>
      </c>
      <c r="C267" s="1665">
        <v>313395399</v>
      </c>
      <c r="D267" s="1665">
        <v>310303056</v>
      </c>
      <c r="E267" s="1665">
        <v>313395399</v>
      </c>
      <c r="F267" s="1665">
        <v>310303056</v>
      </c>
      <c r="G267" s="1665">
        <v>313395399</v>
      </c>
      <c r="H267" s="1665">
        <v>310303056</v>
      </c>
      <c r="I267" s="101">
        <v>313395399</v>
      </c>
      <c r="J267" s="101">
        <v>310303056</v>
      </c>
    </row>
    <row r="268" spans="1:10">
      <c r="A268" t="s">
        <v>2393</v>
      </c>
      <c r="B268" t="s">
        <v>7360</v>
      </c>
      <c r="C268" s="1665">
        <v>250718771</v>
      </c>
      <c r="D268" s="1665">
        <v>246736846</v>
      </c>
      <c r="E268" s="1665">
        <v>250718771</v>
      </c>
      <c r="F268" s="1665">
        <v>246736846</v>
      </c>
      <c r="G268" s="1665">
        <v>250718771</v>
      </c>
      <c r="H268" s="1665">
        <v>246736846</v>
      </c>
      <c r="I268" s="101">
        <v>250718771</v>
      </c>
      <c r="J268" s="101">
        <v>246736846</v>
      </c>
    </row>
    <row r="269" spans="1:10">
      <c r="A269" t="s">
        <v>246</v>
      </c>
      <c r="B269" t="s">
        <v>7361</v>
      </c>
      <c r="C269" s="1665">
        <v>39258696</v>
      </c>
      <c r="D269" s="1665">
        <v>37957044</v>
      </c>
      <c r="E269" s="1665">
        <v>39258696</v>
      </c>
      <c r="F269" s="1665">
        <v>37957044</v>
      </c>
      <c r="G269" s="1665">
        <v>39258696</v>
      </c>
      <c r="H269" s="1665">
        <v>37957044</v>
      </c>
      <c r="I269" s="101">
        <v>39258696</v>
      </c>
      <c r="J269" s="101">
        <v>37957044</v>
      </c>
    </row>
    <row r="270" spans="1:10">
      <c r="A270" t="s">
        <v>1405</v>
      </c>
      <c r="B270" t="s">
        <v>7362</v>
      </c>
      <c r="C270" s="1665">
        <v>2086690935</v>
      </c>
      <c r="D270" s="1665">
        <v>2041229256</v>
      </c>
      <c r="E270" s="1665">
        <v>2086690935</v>
      </c>
      <c r="F270" s="1665">
        <v>2041229256</v>
      </c>
      <c r="G270" s="1665">
        <v>2086690935</v>
      </c>
      <c r="H270" s="1665">
        <v>2041229256</v>
      </c>
      <c r="I270" s="101">
        <v>2086690935</v>
      </c>
      <c r="J270" s="101">
        <v>2041229256</v>
      </c>
    </row>
    <row r="271" spans="1:10">
      <c r="A271" t="s">
        <v>1406</v>
      </c>
      <c r="B271" t="s">
        <v>7363</v>
      </c>
      <c r="C271" s="1665">
        <v>423383242</v>
      </c>
      <c r="D271" s="1665">
        <v>407049266</v>
      </c>
      <c r="E271" s="1665">
        <v>423383242</v>
      </c>
      <c r="F271" s="1665">
        <v>407049266</v>
      </c>
      <c r="G271" s="1665">
        <v>423383242</v>
      </c>
      <c r="H271" s="1665">
        <v>407049266</v>
      </c>
      <c r="I271" s="101">
        <v>423383242</v>
      </c>
      <c r="J271" s="101">
        <v>407049266</v>
      </c>
    </row>
    <row r="272" spans="1:10">
      <c r="A272" t="s">
        <v>720</v>
      </c>
      <c r="B272" t="s">
        <v>7364</v>
      </c>
      <c r="C272" s="1665">
        <v>129737031</v>
      </c>
      <c r="D272" s="1665">
        <v>124339724</v>
      </c>
      <c r="E272" s="1665">
        <v>129737031</v>
      </c>
      <c r="F272" s="1665">
        <v>124339724</v>
      </c>
      <c r="G272" s="1665">
        <v>129737031</v>
      </c>
      <c r="H272" s="1665">
        <v>124339724</v>
      </c>
      <c r="I272" s="101">
        <v>129737031</v>
      </c>
      <c r="J272" s="101">
        <v>124339724</v>
      </c>
    </row>
    <row r="273" spans="1:10">
      <c r="A273" t="s">
        <v>1401</v>
      </c>
      <c r="B273" t="s">
        <v>7365</v>
      </c>
      <c r="C273" s="1665">
        <v>4314990797</v>
      </c>
      <c r="D273" s="1665">
        <v>4213081691</v>
      </c>
      <c r="E273" s="1665">
        <v>4177857855</v>
      </c>
      <c r="F273" s="1665">
        <v>4075948749</v>
      </c>
      <c r="G273" s="1665">
        <v>4177857855</v>
      </c>
      <c r="H273" s="1665">
        <v>4075948749</v>
      </c>
      <c r="I273" s="101">
        <v>4314990797</v>
      </c>
      <c r="J273" s="101">
        <v>4213081691</v>
      </c>
    </row>
    <row r="274" spans="1:10">
      <c r="A274" t="s">
        <v>932</v>
      </c>
      <c r="B274" t="s">
        <v>7366</v>
      </c>
      <c r="C274" s="1665">
        <v>82973086</v>
      </c>
      <c r="D274" s="1665">
        <v>80788631</v>
      </c>
      <c r="E274" s="1665">
        <v>82973086</v>
      </c>
      <c r="F274" s="1665">
        <v>80788631</v>
      </c>
      <c r="G274" s="1665">
        <v>82973086</v>
      </c>
      <c r="H274" s="1665">
        <v>80788631</v>
      </c>
      <c r="I274" s="101">
        <v>82973086</v>
      </c>
      <c r="J274" s="101">
        <v>80788631</v>
      </c>
    </row>
    <row r="275" spans="1:10">
      <c r="A275" t="s">
        <v>247</v>
      </c>
      <c r="B275" t="s">
        <v>7367</v>
      </c>
      <c r="C275" s="1665">
        <v>296864436</v>
      </c>
      <c r="D275" s="1665">
        <v>285524334</v>
      </c>
      <c r="E275" s="1665">
        <v>296864436</v>
      </c>
      <c r="F275" s="1665">
        <v>285524334</v>
      </c>
      <c r="G275" s="1665">
        <v>296864436</v>
      </c>
      <c r="H275" s="1665">
        <v>285524334</v>
      </c>
      <c r="I275" s="101">
        <v>296864436</v>
      </c>
      <c r="J275" s="101">
        <v>285524334</v>
      </c>
    </row>
    <row r="276" spans="1:10">
      <c r="A276" t="s">
        <v>2084</v>
      </c>
      <c r="B276" t="s">
        <v>7368</v>
      </c>
      <c r="C276" s="1665">
        <v>1861589072</v>
      </c>
      <c r="D276" s="1665">
        <v>1797712862</v>
      </c>
      <c r="E276" s="1665">
        <v>1861589072</v>
      </c>
      <c r="F276" s="1665">
        <v>1797712862</v>
      </c>
      <c r="G276" s="1665">
        <v>1895575342</v>
      </c>
      <c r="H276" s="1665">
        <v>1831699132</v>
      </c>
      <c r="I276" s="101">
        <v>1895575342</v>
      </c>
      <c r="J276" s="101">
        <v>1831699132</v>
      </c>
    </row>
    <row r="277" spans="1:10">
      <c r="A277" t="s">
        <v>343</v>
      </c>
      <c r="B277" t="s">
        <v>7369</v>
      </c>
      <c r="C277" s="1665">
        <v>4063552252</v>
      </c>
      <c r="D277" s="1665">
        <v>3966081018</v>
      </c>
      <c r="E277" s="1665">
        <v>4063552252</v>
      </c>
      <c r="F277" s="1665">
        <v>3966081018</v>
      </c>
      <c r="G277" s="1665">
        <v>4063552252</v>
      </c>
      <c r="H277" s="1665">
        <v>3966081018</v>
      </c>
      <c r="I277" s="101">
        <v>4063552252</v>
      </c>
      <c r="J277" s="101">
        <v>3966081018</v>
      </c>
    </row>
    <row r="278" spans="1:10">
      <c r="A278" t="s">
        <v>721</v>
      </c>
      <c r="B278" t="s">
        <v>7370</v>
      </c>
      <c r="C278" s="1665">
        <v>359490674</v>
      </c>
      <c r="D278" s="1665">
        <v>348218511</v>
      </c>
      <c r="E278" s="1665">
        <v>359490674</v>
      </c>
      <c r="F278" s="1665">
        <v>348218511</v>
      </c>
      <c r="G278" s="1665">
        <v>359490674</v>
      </c>
      <c r="H278" s="1665">
        <v>348218511</v>
      </c>
      <c r="I278" s="101">
        <v>359490674</v>
      </c>
      <c r="J278" s="101">
        <v>348218511</v>
      </c>
    </row>
    <row r="279" spans="1:10">
      <c r="A279" t="s">
        <v>576</v>
      </c>
      <c r="B279" t="s">
        <v>7371</v>
      </c>
      <c r="C279" s="1665">
        <v>1395392830</v>
      </c>
      <c r="D279" s="1665">
        <v>1331726202</v>
      </c>
      <c r="E279" s="1665">
        <v>1395392830</v>
      </c>
      <c r="F279" s="1665">
        <v>1331726202</v>
      </c>
      <c r="G279" s="1665">
        <v>1395392830</v>
      </c>
      <c r="H279" s="1665">
        <v>1331726202</v>
      </c>
      <c r="I279" s="101">
        <v>1395392830</v>
      </c>
      <c r="J279" s="101">
        <v>1331726202</v>
      </c>
    </row>
    <row r="280" spans="1:10">
      <c r="A280" t="s">
        <v>2413</v>
      </c>
      <c r="B280" t="s">
        <v>7372</v>
      </c>
      <c r="C280" s="1665">
        <v>16894265542</v>
      </c>
      <c r="D280" s="1665">
        <v>16356818499</v>
      </c>
      <c r="E280" s="1665">
        <v>16894265542</v>
      </c>
      <c r="F280" s="1665">
        <v>16356818499</v>
      </c>
      <c r="G280" s="1665">
        <v>16894265542</v>
      </c>
      <c r="H280" s="1665">
        <v>16356818499</v>
      </c>
      <c r="I280" s="101">
        <v>16894265542</v>
      </c>
      <c r="J280" s="101">
        <v>16356818499</v>
      </c>
    </row>
    <row r="281" spans="1:10">
      <c r="A281" t="s">
        <v>775</v>
      </c>
      <c r="B281" t="s">
        <v>7373</v>
      </c>
      <c r="C281" s="1665">
        <v>205737991</v>
      </c>
      <c r="D281" s="1665">
        <v>197250140</v>
      </c>
      <c r="E281" s="1665">
        <v>205737991</v>
      </c>
      <c r="F281" s="1665">
        <v>197250140</v>
      </c>
      <c r="G281" s="1665">
        <v>205737991</v>
      </c>
      <c r="H281" s="1665">
        <v>197250140</v>
      </c>
      <c r="I281" s="101">
        <v>205737991</v>
      </c>
      <c r="J281" s="101">
        <v>197250140</v>
      </c>
    </row>
    <row r="282" spans="1:10">
      <c r="A282" t="s">
        <v>184</v>
      </c>
      <c r="B282" t="s">
        <v>7374</v>
      </c>
      <c r="C282" s="1665">
        <v>248997772</v>
      </c>
      <c r="D282" s="1665">
        <v>235051550</v>
      </c>
      <c r="E282" s="1665">
        <v>248997772</v>
      </c>
      <c r="F282" s="1665">
        <v>235051550</v>
      </c>
      <c r="G282" s="1665">
        <v>248997772</v>
      </c>
      <c r="H282" s="1665">
        <v>235051550</v>
      </c>
      <c r="I282" s="101">
        <v>248997772</v>
      </c>
      <c r="J282" s="101">
        <v>235051550</v>
      </c>
    </row>
    <row r="283" spans="1:10">
      <c r="A283" t="s">
        <v>1186</v>
      </c>
      <c r="B283" t="s">
        <v>7375</v>
      </c>
      <c r="C283" s="1665">
        <v>7612945638</v>
      </c>
      <c r="D283" s="1665">
        <v>7260415454</v>
      </c>
      <c r="E283" s="1665">
        <v>7219944857</v>
      </c>
      <c r="F283" s="1665">
        <v>6867414673</v>
      </c>
      <c r="G283" s="1665">
        <v>7219944857</v>
      </c>
      <c r="H283" s="1665">
        <v>6867414673</v>
      </c>
      <c r="I283" s="101">
        <v>7612945638</v>
      </c>
      <c r="J283" s="101">
        <v>7260415454</v>
      </c>
    </row>
    <row r="284" spans="1:10">
      <c r="A284" t="s">
        <v>2098</v>
      </c>
      <c r="B284" t="s">
        <v>7376</v>
      </c>
      <c r="C284" s="1665">
        <v>205645070</v>
      </c>
      <c r="D284" s="1665">
        <v>198501715</v>
      </c>
      <c r="E284" s="1665">
        <v>205645070</v>
      </c>
      <c r="F284" s="1665">
        <v>198501715</v>
      </c>
      <c r="G284" s="1665">
        <v>205645070</v>
      </c>
      <c r="H284" s="1665">
        <v>198501715</v>
      </c>
      <c r="I284" s="101">
        <v>205645070</v>
      </c>
      <c r="J284" s="101">
        <v>198501715</v>
      </c>
    </row>
    <row r="285" spans="1:10">
      <c r="A285" t="s">
        <v>1888</v>
      </c>
      <c r="B285" t="s">
        <v>7377</v>
      </c>
      <c r="C285" s="1665">
        <v>2309247659</v>
      </c>
      <c r="D285" s="1665">
        <v>2255141059</v>
      </c>
      <c r="E285" s="1665">
        <v>2309247659</v>
      </c>
      <c r="F285" s="1665">
        <v>2255141059</v>
      </c>
      <c r="G285" s="1665">
        <v>2309247659</v>
      </c>
      <c r="H285" s="1665">
        <v>2255141059</v>
      </c>
      <c r="I285" s="101">
        <v>2309247659</v>
      </c>
      <c r="J285" s="101">
        <v>2255141059</v>
      </c>
    </row>
    <row r="286" spans="1:10">
      <c r="A286" t="s">
        <v>1517</v>
      </c>
      <c r="B286" t="s">
        <v>7378</v>
      </c>
      <c r="C286" s="1665">
        <v>77910107</v>
      </c>
      <c r="D286" s="1665">
        <v>75444354</v>
      </c>
      <c r="E286" s="1665">
        <v>77910107</v>
      </c>
      <c r="F286" s="1665">
        <v>75444354</v>
      </c>
      <c r="G286" s="1665">
        <v>77910107</v>
      </c>
      <c r="H286" s="1665">
        <v>75444354</v>
      </c>
      <c r="I286" s="101">
        <v>77910107</v>
      </c>
      <c r="J286" s="101">
        <v>75444354</v>
      </c>
    </row>
    <row r="287" spans="1:10">
      <c r="A287" t="s">
        <v>1151</v>
      </c>
      <c r="B287" t="s">
        <v>7379</v>
      </c>
      <c r="C287" s="1665">
        <v>10705728010</v>
      </c>
      <c r="D287" s="1665">
        <v>10285492618</v>
      </c>
      <c r="E287" s="1665">
        <v>10705728010</v>
      </c>
      <c r="F287" s="1665">
        <v>10285492618</v>
      </c>
      <c r="G287" s="1665">
        <v>10705728010</v>
      </c>
      <c r="H287" s="1665">
        <v>10285492618</v>
      </c>
      <c r="I287" s="101">
        <v>10705728010</v>
      </c>
      <c r="J287" s="101">
        <v>10285492618</v>
      </c>
    </row>
    <row r="288" spans="1:10">
      <c r="A288" t="s">
        <v>2414</v>
      </c>
      <c r="B288" t="s">
        <v>7380</v>
      </c>
      <c r="C288" s="1665">
        <v>53459065</v>
      </c>
      <c r="D288" s="1665">
        <v>52138755</v>
      </c>
      <c r="E288" s="1665">
        <v>53459065</v>
      </c>
      <c r="F288" s="1665">
        <v>52138755</v>
      </c>
      <c r="G288" s="1665">
        <v>53459065</v>
      </c>
      <c r="H288" s="1665">
        <v>52138755</v>
      </c>
      <c r="I288" s="101">
        <v>53459065</v>
      </c>
      <c r="J288" s="101">
        <v>52138755</v>
      </c>
    </row>
    <row r="289" spans="1:10">
      <c r="A289" t="s">
        <v>2415</v>
      </c>
      <c r="B289" t="s">
        <v>7381</v>
      </c>
      <c r="C289" s="1665">
        <v>355456775</v>
      </c>
      <c r="D289" s="1665">
        <v>342478171</v>
      </c>
      <c r="E289" s="1665">
        <v>355456775</v>
      </c>
      <c r="F289" s="1665">
        <v>342478171</v>
      </c>
      <c r="G289" s="1665">
        <v>355456775</v>
      </c>
      <c r="H289" s="1665">
        <v>342478171</v>
      </c>
      <c r="I289" s="101">
        <v>355456775</v>
      </c>
      <c r="J289" s="101">
        <v>342478171</v>
      </c>
    </row>
    <row r="290" spans="1:10">
      <c r="A290" t="s">
        <v>1511</v>
      </c>
      <c r="B290" t="s">
        <v>7382</v>
      </c>
      <c r="C290" s="1665">
        <v>1801829583</v>
      </c>
      <c r="D290" s="1665">
        <v>1759550622</v>
      </c>
      <c r="E290" s="1665">
        <v>1801829583</v>
      </c>
      <c r="F290" s="1665">
        <v>1759550622</v>
      </c>
      <c r="G290" s="1665">
        <v>1801829583</v>
      </c>
      <c r="H290" s="1665">
        <v>1759550622</v>
      </c>
      <c r="I290" s="101">
        <v>1801829583</v>
      </c>
      <c r="J290" s="101">
        <v>1759550622</v>
      </c>
    </row>
    <row r="291" spans="1:10">
      <c r="A291" t="s">
        <v>1830</v>
      </c>
      <c r="B291" t="s">
        <v>7383</v>
      </c>
      <c r="C291" s="1665">
        <v>154959157</v>
      </c>
      <c r="D291" s="1665">
        <v>151870607</v>
      </c>
      <c r="E291" s="1665">
        <v>154959157</v>
      </c>
      <c r="F291" s="1665">
        <v>151870607</v>
      </c>
      <c r="G291" s="1665">
        <v>154959157</v>
      </c>
      <c r="H291" s="1665">
        <v>151870607</v>
      </c>
      <c r="I291" s="101">
        <v>154959157</v>
      </c>
      <c r="J291" s="101">
        <v>151870607</v>
      </c>
    </row>
    <row r="292" spans="1:10">
      <c r="A292" t="s">
        <v>1831</v>
      </c>
      <c r="B292" t="s">
        <v>7384</v>
      </c>
      <c r="C292" s="1665">
        <v>168393941</v>
      </c>
      <c r="D292" s="1665">
        <v>164979223</v>
      </c>
      <c r="E292" s="1665">
        <v>168393941</v>
      </c>
      <c r="F292" s="1665">
        <v>164979223</v>
      </c>
      <c r="G292" s="1665">
        <v>280103261</v>
      </c>
      <c r="H292" s="1665">
        <v>276688543</v>
      </c>
      <c r="I292" s="101">
        <v>280103261</v>
      </c>
      <c r="J292" s="101">
        <v>276688543</v>
      </c>
    </row>
    <row r="293" spans="1:10">
      <c r="A293" t="s">
        <v>1232</v>
      </c>
      <c r="B293" t="s">
        <v>7385</v>
      </c>
      <c r="C293" s="1665">
        <v>109813510</v>
      </c>
      <c r="D293" s="1665">
        <v>107456060</v>
      </c>
      <c r="E293" s="1665">
        <v>109813510</v>
      </c>
      <c r="F293" s="1665">
        <v>107456060</v>
      </c>
      <c r="G293" s="1665">
        <v>109813510</v>
      </c>
      <c r="H293" s="1665">
        <v>107456060</v>
      </c>
      <c r="I293" s="101">
        <v>109813510</v>
      </c>
      <c r="J293" s="101">
        <v>107456060</v>
      </c>
    </row>
    <row r="294" spans="1:10">
      <c r="A294" t="s">
        <v>1832</v>
      </c>
      <c r="B294" t="s">
        <v>7386</v>
      </c>
      <c r="C294" s="1665">
        <v>99138233</v>
      </c>
      <c r="D294" s="1665">
        <v>96572743</v>
      </c>
      <c r="E294" s="1665">
        <v>99138233</v>
      </c>
      <c r="F294" s="1665">
        <v>96572743</v>
      </c>
      <c r="G294" s="1665">
        <v>99138233</v>
      </c>
      <c r="H294" s="1665">
        <v>96572743</v>
      </c>
      <c r="I294" s="101">
        <v>99138233</v>
      </c>
      <c r="J294" s="101">
        <v>96572743</v>
      </c>
    </row>
    <row r="295" spans="1:10">
      <c r="A295" t="s">
        <v>201</v>
      </c>
      <c r="B295" t="s">
        <v>7387</v>
      </c>
      <c r="C295" s="1665">
        <v>76959466</v>
      </c>
      <c r="D295" s="1665">
        <v>73493088</v>
      </c>
      <c r="E295" s="1665">
        <v>76959466</v>
      </c>
      <c r="F295" s="1665">
        <v>73493088</v>
      </c>
      <c r="G295" s="1665">
        <v>76959466</v>
      </c>
      <c r="H295" s="1665">
        <v>73493088</v>
      </c>
      <c r="I295" s="101">
        <v>76959466</v>
      </c>
      <c r="J295" s="101">
        <v>73493088</v>
      </c>
    </row>
    <row r="296" spans="1:10">
      <c r="A296" t="s">
        <v>1834</v>
      </c>
      <c r="B296" t="s">
        <v>7388</v>
      </c>
      <c r="C296" s="1665">
        <v>296806904</v>
      </c>
      <c r="D296" s="1665">
        <v>285096713</v>
      </c>
      <c r="E296" s="1665">
        <v>296806904</v>
      </c>
      <c r="F296" s="1665">
        <v>285096713</v>
      </c>
      <c r="G296" s="1665">
        <v>296806904</v>
      </c>
      <c r="H296" s="1665">
        <v>285096713</v>
      </c>
      <c r="I296" s="101">
        <v>296806904</v>
      </c>
      <c r="J296" s="101">
        <v>285096713</v>
      </c>
    </row>
    <row r="297" spans="1:10">
      <c r="A297" t="s">
        <v>1842</v>
      </c>
      <c r="B297" t="s">
        <v>7389</v>
      </c>
      <c r="C297" s="1665">
        <v>19769008</v>
      </c>
      <c r="D297" s="1665">
        <v>18595310</v>
      </c>
      <c r="E297" s="1665">
        <v>19769008</v>
      </c>
      <c r="F297" s="1665">
        <v>18595310</v>
      </c>
      <c r="G297" s="1665">
        <v>19769008</v>
      </c>
      <c r="H297" s="1665">
        <v>18595310</v>
      </c>
      <c r="I297" s="101">
        <v>19769008</v>
      </c>
      <c r="J297" s="101">
        <v>18595310</v>
      </c>
    </row>
    <row r="298" spans="1:10">
      <c r="A298" t="s">
        <v>202</v>
      </c>
      <c r="B298" t="s">
        <v>7390</v>
      </c>
      <c r="C298" s="1665">
        <v>239261156</v>
      </c>
      <c r="D298" s="1665">
        <v>229915239</v>
      </c>
      <c r="E298" s="1665">
        <v>239261156</v>
      </c>
      <c r="F298" s="1665">
        <v>229915239</v>
      </c>
      <c r="G298" s="1665">
        <v>239261156</v>
      </c>
      <c r="H298" s="1665">
        <v>229915239</v>
      </c>
      <c r="I298" s="101">
        <v>239261156</v>
      </c>
      <c r="J298" s="101">
        <v>229915239</v>
      </c>
    </row>
    <row r="299" spans="1:10">
      <c r="A299" t="s">
        <v>203</v>
      </c>
      <c r="B299" t="s">
        <v>7391</v>
      </c>
      <c r="C299" s="1665">
        <v>719564650</v>
      </c>
      <c r="D299" s="1665">
        <v>689279571</v>
      </c>
      <c r="E299" s="1665">
        <v>719564650</v>
      </c>
      <c r="F299" s="1665">
        <v>689279571</v>
      </c>
      <c r="G299" s="1665">
        <v>719564650</v>
      </c>
      <c r="H299" s="1665">
        <v>689279571</v>
      </c>
      <c r="I299" s="101">
        <v>719564650</v>
      </c>
      <c r="J299" s="101">
        <v>689279571</v>
      </c>
    </row>
    <row r="300" spans="1:10">
      <c r="A300" t="s">
        <v>1233</v>
      </c>
      <c r="B300" t="s">
        <v>7392</v>
      </c>
      <c r="C300" s="1665">
        <v>66683694</v>
      </c>
      <c r="D300" s="1665">
        <v>63769757</v>
      </c>
      <c r="E300" s="1665">
        <v>66683694</v>
      </c>
      <c r="F300" s="1665">
        <v>63769757</v>
      </c>
      <c r="G300" s="1665">
        <v>66683694</v>
      </c>
      <c r="H300" s="1665">
        <v>63769757</v>
      </c>
      <c r="I300" s="101">
        <v>66683694</v>
      </c>
      <c r="J300" s="101">
        <v>63769757</v>
      </c>
    </row>
    <row r="301" spans="1:10">
      <c r="A301" t="s">
        <v>722</v>
      </c>
      <c r="B301" t="s">
        <v>7393</v>
      </c>
      <c r="C301" s="1665">
        <v>52375661</v>
      </c>
      <c r="D301" s="1665">
        <v>49963151</v>
      </c>
      <c r="E301" s="1665">
        <v>52375661</v>
      </c>
      <c r="F301" s="1665">
        <v>49963151</v>
      </c>
      <c r="G301" s="1665">
        <v>52375661</v>
      </c>
      <c r="H301" s="1665">
        <v>49963151</v>
      </c>
      <c r="I301" s="101">
        <v>52375661</v>
      </c>
      <c r="J301" s="101">
        <v>49963151</v>
      </c>
    </row>
    <row r="302" spans="1:10">
      <c r="A302" t="s">
        <v>204</v>
      </c>
      <c r="B302" t="s">
        <v>7394</v>
      </c>
      <c r="C302" s="1665">
        <v>198399744</v>
      </c>
      <c r="D302" s="1665">
        <v>190407115</v>
      </c>
      <c r="E302" s="1665">
        <v>198399744</v>
      </c>
      <c r="F302" s="1665">
        <v>190407115</v>
      </c>
      <c r="G302" s="1665">
        <v>198399744</v>
      </c>
      <c r="H302" s="1665">
        <v>190407115</v>
      </c>
      <c r="I302" s="101">
        <v>198399744</v>
      </c>
      <c r="J302" s="101">
        <v>190407115</v>
      </c>
    </row>
    <row r="303" spans="1:10">
      <c r="A303" t="s">
        <v>205</v>
      </c>
      <c r="B303" t="s">
        <v>7395</v>
      </c>
      <c r="C303" s="1665">
        <v>217877964</v>
      </c>
      <c r="D303" s="1665">
        <v>209104213</v>
      </c>
      <c r="E303" s="1665">
        <v>217877964</v>
      </c>
      <c r="F303" s="1665">
        <v>209104213</v>
      </c>
      <c r="G303" s="1665">
        <v>217877964</v>
      </c>
      <c r="H303" s="1665">
        <v>209104213</v>
      </c>
      <c r="I303" s="101">
        <v>217877964</v>
      </c>
      <c r="J303" s="101">
        <v>209104213</v>
      </c>
    </row>
    <row r="304" spans="1:10">
      <c r="A304" t="s">
        <v>1741</v>
      </c>
      <c r="B304" t="s">
        <v>7396</v>
      </c>
      <c r="C304" s="1665">
        <v>115487146</v>
      </c>
      <c r="D304" s="1665">
        <v>110703372</v>
      </c>
      <c r="E304" s="1665">
        <v>115487146</v>
      </c>
      <c r="F304" s="1665">
        <v>110703372</v>
      </c>
      <c r="G304" s="1665">
        <v>115487146</v>
      </c>
      <c r="H304" s="1665">
        <v>110703372</v>
      </c>
      <c r="I304" s="101">
        <v>115487146</v>
      </c>
      <c r="J304" s="101">
        <v>110703372</v>
      </c>
    </row>
    <row r="305" spans="1:10">
      <c r="A305" t="s">
        <v>1742</v>
      </c>
      <c r="B305" t="s">
        <v>7397</v>
      </c>
      <c r="C305" s="1665">
        <v>227936676</v>
      </c>
      <c r="D305" s="1665">
        <v>219543136</v>
      </c>
      <c r="E305" s="1665">
        <v>227936676</v>
      </c>
      <c r="F305" s="1665">
        <v>219543136</v>
      </c>
      <c r="G305" s="1665">
        <v>227936676</v>
      </c>
      <c r="H305" s="1665">
        <v>219543136</v>
      </c>
      <c r="I305" s="101">
        <v>227936676</v>
      </c>
      <c r="J305" s="101">
        <v>219543136</v>
      </c>
    </row>
    <row r="306" spans="1:10">
      <c r="A306" t="s">
        <v>1234</v>
      </c>
      <c r="B306" t="s">
        <v>7398</v>
      </c>
      <c r="C306" s="1665">
        <v>123415271</v>
      </c>
      <c r="D306" s="1665">
        <v>116596608</v>
      </c>
      <c r="E306" s="1665">
        <v>123415271</v>
      </c>
      <c r="F306" s="1665">
        <v>116596608</v>
      </c>
      <c r="G306" s="1665">
        <v>123415271</v>
      </c>
      <c r="H306" s="1665">
        <v>116596608</v>
      </c>
      <c r="I306" s="101">
        <v>123415271</v>
      </c>
      <c r="J306" s="101">
        <v>116596608</v>
      </c>
    </row>
    <row r="307" spans="1:10">
      <c r="A307" t="s">
        <v>2571</v>
      </c>
      <c r="B307" t="s">
        <v>7399</v>
      </c>
      <c r="C307" s="1665">
        <v>444588087</v>
      </c>
      <c r="D307" s="1665">
        <v>435375485</v>
      </c>
      <c r="E307" s="1665">
        <v>444588087</v>
      </c>
      <c r="F307" s="1665">
        <v>435375485</v>
      </c>
      <c r="G307" s="1665">
        <v>444588087</v>
      </c>
      <c r="H307" s="1665">
        <v>435375485</v>
      </c>
      <c r="I307" s="101">
        <v>444588087</v>
      </c>
      <c r="J307" s="101">
        <v>435375485</v>
      </c>
    </row>
    <row r="308" spans="1:10">
      <c r="A308" t="s">
        <v>1697</v>
      </c>
      <c r="B308" t="s">
        <v>7400</v>
      </c>
      <c r="C308" s="1665">
        <v>1179436540</v>
      </c>
      <c r="D308" s="1665">
        <v>1149438083</v>
      </c>
      <c r="E308" s="1665">
        <v>1179436540</v>
      </c>
      <c r="F308" s="1665">
        <v>1149438083</v>
      </c>
      <c r="G308" s="1665">
        <v>1179436540</v>
      </c>
      <c r="H308" s="1665">
        <v>1149438083</v>
      </c>
      <c r="I308" s="101">
        <v>1179436540</v>
      </c>
      <c r="J308" s="101">
        <v>1149438083</v>
      </c>
    </row>
    <row r="309" spans="1:10">
      <c r="A309" t="s">
        <v>1698</v>
      </c>
      <c r="B309" t="s">
        <v>7401</v>
      </c>
      <c r="C309" s="1665">
        <v>493594583</v>
      </c>
      <c r="D309" s="1665">
        <v>480853185</v>
      </c>
      <c r="E309" s="1665">
        <v>493594583</v>
      </c>
      <c r="F309" s="1665">
        <v>480853185</v>
      </c>
      <c r="G309" s="1665">
        <v>493594583</v>
      </c>
      <c r="H309" s="1665">
        <v>480853185</v>
      </c>
      <c r="I309" s="101">
        <v>493594583</v>
      </c>
      <c r="J309" s="101">
        <v>480853185</v>
      </c>
    </row>
    <row r="310" spans="1:10">
      <c r="A310" t="s">
        <v>921</v>
      </c>
      <c r="B310" t="s">
        <v>7402</v>
      </c>
      <c r="C310" s="1665">
        <v>216721376</v>
      </c>
      <c r="D310" s="1665">
        <v>211632029</v>
      </c>
      <c r="E310" s="1665">
        <v>216721376</v>
      </c>
      <c r="F310" s="1665">
        <v>211632029</v>
      </c>
      <c r="G310" s="1665">
        <v>216721376</v>
      </c>
      <c r="H310" s="1665">
        <v>211632029</v>
      </c>
      <c r="I310" s="101">
        <v>216721376</v>
      </c>
      <c r="J310" s="101">
        <v>211632029</v>
      </c>
    </row>
    <row r="311" spans="1:10">
      <c r="A311" t="s">
        <v>65</v>
      </c>
      <c r="B311" t="s">
        <v>7403</v>
      </c>
      <c r="C311" s="1665">
        <v>382568681</v>
      </c>
      <c r="D311" s="1665">
        <v>376448727</v>
      </c>
      <c r="E311" s="1665">
        <v>368668218</v>
      </c>
      <c r="F311" s="1665">
        <v>362548264</v>
      </c>
      <c r="G311" s="1665">
        <v>368668218</v>
      </c>
      <c r="H311" s="1665">
        <v>362548264</v>
      </c>
      <c r="I311" s="101">
        <v>382568681</v>
      </c>
      <c r="J311" s="101">
        <v>376448727</v>
      </c>
    </row>
    <row r="312" spans="1:10">
      <c r="A312" t="s">
        <v>754</v>
      </c>
      <c r="B312" t="s">
        <v>7404</v>
      </c>
      <c r="C312" s="1665">
        <v>126532034</v>
      </c>
      <c r="D312" s="1665">
        <v>123212384</v>
      </c>
      <c r="E312" s="1665">
        <v>126532034</v>
      </c>
      <c r="F312" s="1665">
        <v>123212384</v>
      </c>
      <c r="G312" s="1665">
        <v>126532034</v>
      </c>
      <c r="H312" s="1665">
        <v>123212384</v>
      </c>
      <c r="I312" s="101">
        <v>126532034</v>
      </c>
      <c r="J312" s="101">
        <v>123212384</v>
      </c>
    </row>
    <row r="313" spans="1:10">
      <c r="A313" t="s">
        <v>2505</v>
      </c>
      <c r="B313" t="s">
        <v>7405</v>
      </c>
      <c r="C313" s="1665">
        <v>135735980</v>
      </c>
      <c r="D313" s="1665">
        <v>132070470</v>
      </c>
      <c r="E313" s="1665">
        <v>135735980</v>
      </c>
      <c r="F313" s="1665">
        <v>132070470</v>
      </c>
      <c r="G313" s="1665">
        <v>152216980</v>
      </c>
      <c r="H313" s="1665">
        <v>148551470</v>
      </c>
      <c r="I313" s="101">
        <v>152216980</v>
      </c>
      <c r="J313" s="101">
        <v>148551470</v>
      </c>
    </row>
    <row r="314" spans="1:10">
      <c r="A314" t="s">
        <v>627</v>
      </c>
      <c r="B314" t="s">
        <v>7406</v>
      </c>
      <c r="C314" s="1665">
        <v>319222523</v>
      </c>
      <c r="D314" s="1665">
        <v>313118183</v>
      </c>
      <c r="E314" s="1665">
        <v>319222523</v>
      </c>
      <c r="F314" s="1665">
        <v>313118183</v>
      </c>
      <c r="G314" s="1665">
        <v>807198033</v>
      </c>
      <c r="H314" s="1665">
        <v>801093693</v>
      </c>
      <c r="I314" s="101">
        <v>807198033</v>
      </c>
      <c r="J314" s="101">
        <v>801093693</v>
      </c>
    </row>
    <row r="315" spans="1:10">
      <c r="A315" t="s">
        <v>628</v>
      </c>
      <c r="B315" t="s">
        <v>7407</v>
      </c>
      <c r="C315" s="1665">
        <v>132476618</v>
      </c>
      <c r="D315" s="1665">
        <v>128561489</v>
      </c>
      <c r="E315" s="1665">
        <v>132476618</v>
      </c>
      <c r="F315" s="1665">
        <v>128561489</v>
      </c>
      <c r="G315" s="1665">
        <v>444756618</v>
      </c>
      <c r="H315" s="1665">
        <v>440841489</v>
      </c>
      <c r="I315" s="101">
        <v>444756618</v>
      </c>
      <c r="J315" s="101">
        <v>440841489</v>
      </c>
    </row>
    <row r="316" spans="1:10">
      <c r="A316" t="s">
        <v>629</v>
      </c>
      <c r="B316" t="s">
        <v>7408</v>
      </c>
      <c r="C316" s="1665">
        <v>228027214</v>
      </c>
      <c r="D316" s="1665">
        <v>225730854</v>
      </c>
      <c r="E316" s="1665">
        <v>228027214</v>
      </c>
      <c r="F316" s="1665">
        <v>225730854</v>
      </c>
      <c r="G316" s="1665">
        <v>228027214</v>
      </c>
      <c r="H316" s="1665">
        <v>225730854</v>
      </c>
      <c r="I316" s="101">
        <v>228027214</v>
      </c>
      <c r="J316" s="101">
        <v>225730854</v>
      </c>
    </row>
    <row r="317" spans="1:10">
      <c r="A317" t="s">
        <v>630</v>
      </c>
      <c r="B317" t="s">
        <v>7409</v>
      </c>
      <c r="C317" s="1665">
        <v>16155923300</v>
      </c>
      <c r="D317" s="1665">
        <v>15804550340</v>
      </c>
      <c r="E317" s="1665">
        <v>16155923300</v>
      </c>
      <c r="F317" s="1665">
        <v>15804550340</v>
      </c>
      <c r="G317" s="1665">
        <v>16155923300</v>
      </c>
      <c r="H317" s="1665">
        <v>15804550340</v>
      </c>
      <c r="I317" s="101">
        <v>16155923300</v>
      </c>
      <c r="J317" s="101">
        <v>15804550340</v>
      </c>
    </row>
    <row r="318" spans="1:10">
      <c r="A318" t="s">
        <v>2541</v>
      </c>
      <c r="B318" t="s">
        <v>7410</v>
      </c>
      <c r="C318" s="1665">
        <v>988679076</v>
      </c>
      <c r="D318" s="1665">
        <v>956727563</v>
      </c>
      <c r="E318" s="1665">
        <v>988679076</v>
      </c>
      <c r="F318" s="1665">
        <v>956727563</v>
      </c>
      <c r="G318" s="1665">
        <v>988679076</v>
      </c>
      <c r="H318" s="1665">
        <v>956727563</v>
      </c>
      <c r="I318" s="101">
        <v>988679076</v>
      </c>
      <c r="J318" s="101">
        <v>956727563</v>
      </c>
    </row>
    <row r="319" spans="1:10">
      <c r="A319" t="s">
        <v>1422</v>
      </c>
      <c r="B319" t="s">
        <v>7411</v>
      </c>
      <c r="C319" s="1665">
        <v>39646552415</v>
      </c>
      <c r="D319" s="1665">
        <v>38766559992</v>
      </c>
      <c r="E319" s="1665">
        <v>39646552415</v>
      </c>
      <c r="F319" s="1665">
        <v>38766559992</v>
      </c>
      <c r="G319" s="1665">
        <v>39646552415</v>
      </c>
      <c r="H319" s="1665">
        <v>38766559992</v>
      </c>
      <c r="I319" s="101">
        <v>39646552415</v>
      </c>
      <c r="J319" s="101">
        <v>38766559992</v>
      </c>
    </row>
    <row r="320" spans="1:10">
      <c r="A320" t="s">
        <v>2318</v>
      </c>
      <c r="B320" t="s">
        <v>7412</v>
      </c>
      <c r="C320" s="1665">
        <v>2571059375</v>
      </c>
      <c r="D320" s="1665">
        <v>2547386459</v>
      </c>
      <c r="E320" s="1665">
        <v>2521163078</v>
      </c>
      <c r="F320" s="1665">
        <v>2497490162</v>
      </c>
      <c r="G320" s="1665">
        <v>2521163078</v>
      </c>
      <c r="H320" s="1665">
        <v>2497490162</v>
      </c>
      <c r="I320" s="101">
        <v>2571059375</v>
      </c>
      <c r="J320" s="101">
        <v>2547386459</v>
      </c>
    </row>
    <row r="321" spans="1:10">
      <c r="A321" t="s">
        <v>2013</v>
      </c>
      <c r="B321" t="s">
        <v>7413</v>
      </c>
      <c r="C321" s="1665">
        <v>1050599596</v>
      </c>
      <c r="D321" s="1665">
        <v>1029605756</v>
      </c>
      <c r="E321" s="1665">
        <v>1050599596</v>
      </c>
      <c r="F321" s="1665">
        <v>1029605756</v>
      </c>
      <c r="G321" s="1665">
        <v>1050599596</v>
      </c>
      <c r="H321" s="1665">
        <v>1029605756</v>
      </c>
      <c r="I321" s="101">
        <v>1050599596</v>
      </c>
      <c r="J321" s="101">
        <v>1029605756</v>
      </c>
    </row>
    <row r="322" spans="1:10">
      <c r="A322" t="s">
        <v>1303</v>
      </c>
      <c r="B322" t="s">
        <v>7414</v>
      </c>
      <c r="C322" s="1665">
        <v>1277271915</v>
      </c>
      <c r="D322" s="1665">
        <v>1257003296</v>
      </c>
      <c r="E322" s="1665">
        <v>1277271915</v>
      </c>
      <c r="F322" s="1665">
        <v>1257003296</v>
      </c>
      <c r="G322" s="1665">
        <v>1277271915</v>
      </c>
      <c r="H322" s="1665">
        <v>1257003296</v>
      </c>
      <c r="I322" s="101">
        <v>1277271915</v>
      </c>
      <c r="J322" s="101">
        <v>1257003296</v>
      </c>
    </row>
    <row r="323" spans="1:10">
      <c r="A323" t="s">
        <v>1919</v>
      </c>
      <c r="B323" t="s">
        <v>7415</v>
      </c>
      <c r="C323" s="1665">
        <v>746091365</v>
      </c>
      <c r="D323" s="1665">
        <v>734596971</v>
      </c>
      <c r="E323" s="1665">
        <v>746091365</v>
      </c>
      <c r="F323" s="1665">
        <v>734596971</v>
      </c>
      <c r="G323" s="1665">
        <v>746091365</v>
      </c>
      <c r="H323" s="1665">
        <v>734596971</v>
      </c>
      <c r="I323" s="101">
        <v>746091365</v>
      </c>
      <c r="J323" s="101">
        <v>734596971</v>
      </c>
    </row>
    <row r="324" spans="1:10">
      <c r="A324" t="s">
        <v>1924</v>
      </c>
      <c r="B324" t="s">
        <v>7416</v>
      </c>
      <c r="C324" s="1665">
        <v>156629326</v>
      </c>
      <c r="D324" s="1665">
        <v>152752344</v>
      </c>
      <c r="E324" s="1665">
        <v>156629326</v>
      </c>
      <c r="F324" s="1665">
        <v>152752344</v>
      </c>
      <c r="G324" s="1665">
        <v>156629326</v>
      </c>
      <c r="H324" s="1665">
        <v>152752344</v>
      </c>
      <c r="I324" s="101">
        <v>156629326</v>
      </c>
      <c r="J324" s="101">
        <v>152752344</v>
      </c>
    </row>
    <row r="325" spans="1:10">
      <c r="A325" t="s">
        <v>1925</v>
      </c>
      <c r="B325" t="s">
        <v>7417</v>
      </c>
      <c r="C325" s="1665">
        <v>159315795</v>
      </c>
      <c r="D325" s="1665">
        <v>157578911</v>
      </c>
      <c r="E325" s="1665">
        <v>159315795</v>
      </c>
      <c r="F325" s="1665">
        <v>157578911</v>
      </c>
      <c r="G325" s="1665">
        <v>159315795</v>
      </c>
      <c r="H325" s="1665">
        <v>157578911</v>
      </c>
      <c r="I325" s="101">
        <v>159315795</v>
      </c>
      <c r="J325" s="101">
        <v>157578911</v>
      </c>
    </row>
    <row r="326" spans="1:10">
      <c r="A326" t="s">
        <v>1235</v>
      </c>
      <c r="B326" t="s">
        <v>7418</v>
      </c>
      <c r="C326" s="1665">
        <v>1182172581</v>
      </c>
      <c r="D326" s="1665">
        <v>1178013301</v>
      </c>
      <c r="E326" s="1665">
        <v>1182172581</v>
      </c>
      <c r="F326" s="1665">
        <v>1178013301</v>
      </c>
      <c r="G326" s="1665">
        <v>1182172581</v>
      </c>
      <c r="H326" s="1665">
        <v>1178013301</v>
      </c>
      <c r="I326" s="101">
        <v>1182172581</v>
      </c>
      <c r="J326" s="101">
        <v>1178013301</v>
      </c>
    </row>
    <row r="327" spans="1:10">
      <c r="A327" t="s">
        <v>2506</v>
      </c>
      <c r="B327" t="s">
        <v>7419</v>
      </c>
      <c r="C327" s="1665">
        <v>1138089609</v>
      </c>
      <c r="D327" s="1665">
        <v>1124313269</v>
      </c>
      <c r="E327" s="1665">
        <v>1138089609</v>
      </c>
      <c r="F327" s="1665">
        <v>1124313269</v>
      </c>
      <c r="G327" s="1665">
        <v>1138089609</v>
      </c>
      <c r="H327" s="1665">
        <v>1124313269</v>
      </c>
      <c r="I327" s="101">
        <v>1138089609</v>
      </c>
      <c r="J327" s="101">
        <v>1124313269</v>
      </c>
    </row>
    <row r="328" spans="1:10">
      <c r="A328" t="s">
        <v>1926</v>
      </c>
      <c r="B328" t="s">
        <v>7420</v>
      </c>
      <c r="C328" s="1665">
        <v>189393365</v>
      </c>
      <c r="D328" s="1665">
        <v>185031639</v>
      </c>
      <c r="E328" s="1665">
        <v>189393365</v>
      </c>
      <c r="F328" s="1665">
        <v>185031639</v>
      </c>
      <c r="G328" s="1665">
        <v>189393365</v>
      </c>
      <c r="H328" s="1665">
        <v>185031639</v>
      </c>
      <c r="I328" s="101">
        <v>189393365</v>
      </c>
      <c r="J328" s="101">
        <v>185031639</v>
      </c>
    </row>
    <row r="329" spans="1:10">
      <c r="A329" t="s">
        <v>2110</v>
      </c>
      <c r="B329" t="s">
        <v>7421</v>
      </c>
      <c r="C329" s="1665">
        <v>209127520</v>
      </c>
      <c r="D329" s="1665">
        <v>208298896</v>
      </c>
      <c r="E329" s="1665">
        <v>208308297</v>
      </c>
      <c r="F329" s="1665">
        <v>207479673</v>
      </c>
      <c r="G329" s="1665">
        <v>208308297</v>
      </c>
      <c r="H329" s="1665">
        <v>207479673</v>
      </c>
      <c r="I329" s="101">
        <v>209127520</v>
      </c>
      <c r="J329" s="101">
        <v>208298896</v>
      </c>
    </row>
    <row r="330" spans="1:10">
      <c r="A330" t="s">
        <v>2175</v>
      </c>
      <c r="B330" t="s">
        <v>7422</v>
      </c>
      <c r="C330" s="1665">
        <v>2997252229</v>
      </c>
      <c r="D330" s="1665">
        <v>2971128974</v>
      </c>
      <c r="E330" s="1665">
        <v>2997252229</v>
      </c>
      <c r="F330" s="1665">
        <v>2971128974</v>
      </c>
      <c r="G330" s="1665">
        <v>2997252229</v>
      </c>
      <c r="H330" s="1665">
        <v>2971128974</v>
      </c>
      <c r="I330" s="101">
        <v>2997252229</v>
      </c>
      <c r="J330" s="101">
        <v>2971128974</v>
      </c>
    </row>
    <row r="331" spans="1:10">
      <c r="A331" t="s">
        <v>1993</v>
      </c>
      <c r="B331" t="s">
        <v>7423</v>
      </c>
      <c r="C331" s="1665">
        <v>3864964681</v>
      </c>
      <c r="D331" s="1665">
        <v>3743751826</v>
      </c>
      <c r="E331" s="1665">
        <v>3864964681</v>
      </c>
      <c r="F331" s="1665">
        <v>3743751826</v>
      </c>
      <c r="G331" s="1665">
        <v>3864964681</v>
      </c>
      <c r="H331" s="1665">
        <v>3743751826</v>
      </c>
      <c r="I331" s="101">
        <v>3864964681</v>
      </c>
      <c r="J331" s="101">
        <v>3743751826</v>
      </c>
    </row>
    <row r="332" spans="1:10">
      <c r="A332" t="s">
        <v>2231</v>
      </c>
      <c r="B332" t="s">
        <v>7424</v>
      </c>
      <c r="C332" s="1665">
        <v>7643332643</v>
      </c>
      <c r="D332" s="1665">
        <v>7537500851</v>
      </c>
      <c r="E332" s="1665">
        <v>7424156375</v>
      </c>
      <c r="F332" s="1665">
        <v>7318324583</v>
      </c>
      <c r="G332" s="1665">
        <v>7424156375</v>
      </c>
      <c r="H332" s="1665">
        <v>7318324583</v>
      </c>
      <c r="I332" s="101">
        <v>7643332643</v>
      </c>
      <c r="J332" s="101">
        <v>7537500851</v>
      </c>
    </row>
    <row r="333" spans="1:10">
      <c r="A333" t="s">
        <v>1866</v>
      </c>
      <c r="B333" t="s">
        <v>7425</v>
      </c>
      <c r="C333" s="1665">
        <v>124656713</v>
      </c>
      <c r="D333" s="1665">
        <v>123300393</v>
      </c>
      <c r="E333" s="1665">
        <v>124189101</v>
      </c>
      <c r="F333" s="1665">
        <v>122832781</v>
      </c>
      <c r="G333" s="1665">
        <v>124189101</v>
      </c>
      <c r="H333" s="1665">
        <v>122832781</v>
      </c>
      <c r="I333" s="101">
        <v>124656713</v>
      </c>
      <c r="J333" s="101">
        <v>123300393</v>
      </c>
    </row>
    <row r="334" spans="1:10">
      <c r="A334" t="s">
        <v>762</v>
      </c>
      <c r="B334" t="s">
        <v>7426</v>
      </c>
      <c r="C334" s="1665">
        <v>5249649002</v>
      </c>
      <c r="D334" s="1665">
        <v>5133331686</v>
      </c>
      <c r="E334" s="1665">
        <v>5111722747</v>
      </c>
      <c r="F334" s="1665">
        <v>4995405431</v>
      </c>
      <c r="G334" s="1665">
        <v>5111722747</v>
      </c>
      <c r="H334" s="1665">
        <v>4995405431</v>
      </c>
      <c r="I334" s="101">
        <v>5249649002</v>
      </c>
      <c r="J334" s="101">
        <v>5133331686</v>
      </c>
    </row>
    <row r="335" spans="1:10">
      <c r="A335" t="s">
        <v>2458</v>
      </c>
      <c r="B335" t="s">
        <v>7427</v>
      </c>
      <c r="C335" s="1665">
        <v>707517069</v>
      </c>
      <c r="D335" s="1665">
        <v>685147291</v>
      </c>
      <c r="E335" s="1665">
        <v>707517069</v>
      </c>
      <c r="F335" s="1665">
        <v>685147291</v>
      </c>
      <c r="G335" s="1665">
        <v>707517069</v>
      </c>
      <c r="H335" s="1665">
        <v>685147291</v>
      </c>
      <c r="I335" s="101">
        <v>707517069</v>
      </c>
      <c r="J335" s="101">
        <v>685147291</v>
      </c>
    </row>
    <row r="336" spans="1:10">
      <c r="A336" t="s">
        <v>491</v>
      </c>
      <c r="B336" t="s">
        <v>7428</v>
      </c>
      <c r="C336" s="1665">
        <v>1523093103</v>
      </c>
      <c r="D336" s="1665">
        <v>1453634757</v>
      </c>
      <c r="E336" s="1665">
        <v>1523093103</v>
      </c>
      <c r="F336" s="1665">
        <v>1453634757</v>
      </c>
      <c r="G336" s="1665">
        <v>1523093103</v>
      </c>
      <c r="H336" s="1665">
        <v>1453634757</v>
      </c>
      <c r="I336" s="101">
        <v>1523093103</v>
      </c>
      <c r="J336" s="101">
        <v>1453634757</v>
      </c>
    </row>
    <row r="337" spans="1:10">
      <c r="A337" t="s">
        <v>2459</v>
      </c>
      <c r="B337" t="s">
        <v>7429</v>
      </c>
      <c r="C337" s="1665">
        <v>23208963866</v>
      </c>
      <c r="D337" s="1665">
        <v>22669561917</v>
      </c>
      <c r="E337" s="1665">
        <v>22867367472</v>
      </c>
      <c r="F337" s="1665">
        <v>22327965523</v>
      </c>
      <c r="G337" s="1665">
        <v>22867367472</v>
      </c>
      <c r="H337" s="1665">
        <v>22327965523</v>
      </c>
      <c r="I337" s="101">
        <v>23208963866</v>
      </c>
      <c r="J337" s="101">
        <v>22669561917</v>
      </c>
    </row>
    <row r="338" spans="1:10">
      <c r="A338" t="s">
        <v>1424</v>
      </c>
      <c r="B338" t="s">
        <v>7430</v>
      </c>
      <c r="C338" s="1665">
        <v>3126779460</v>
      </c>
      <c r="D338" s="1665">
        <v>3044760664</v>
      </c>
      <c r="E338" s="1665">
        <v>3126779460</v>
      </c>
      <c r="F338" s="1665">
        <v>3044760664</v>
      </c>
      <c r="G338" s="1665">
        <v>3126779460</v>
      </c>
      <c r="H338" s="1665">
        <v>3044760664</v>
      </c>
      <c r="I338" s="101">
        <v>3126779460</v>
      </c>
      <c r="J338" s="101">
        <v>3044760664</v>
      </c>
    </row>
    <row r="339" spans="1:10">
      <c r="A339" t="s">
        <v>1668</v>
      </c>
      <c r="B339" t="s">
        <v>7431</v>
      </c>
      <c r="C339" s="1665">
        <v>437982794</v>
      </c>
      <c r="D339" s="1665">
        <v>430354917</v>
      </c>
      <c r="E339" s="1665">
        <v>437982794</v>
      </c>
      <c r="F339" s="1665">
        <v>430354917</v>
      </c>
      <c r="G339" s="1665">
        <v>437982794</v>
      </c>
      <c r="H339" s="1665">
        <v>430354917</v>
      </c>
      <c r="I339" s="101">
        <v>437982794</v>
      </c>
      <c r="J339" s="101">
        <v>430354917</v>
      </c>
    </row>
    <row r="340" spans="1:10">
      <c r="A340" t="s">
        <v>1669</v>
      </c>
      <c r="B340" t="s">
        <v>7432</v>
      </c>
      <c r="C340" s="1665">
        <v>52489797</v>
      </c>
      <c r="D340" s="1665">
        <v>51973400</v>
      </c>
      <c r="E340" s="1665">
        <v>52489797</v>
      </c>
      <c r="F340" s="1665">
        <v>51973400</v>
      </c>
      <c r="G340" s="1665">
        <v>52489797</v>
      </c>
      <c r="H340" s="1665">
        <v>51973400</v>
      </c>
      <c r="I340" s="101">
        <v>52489797</v>
      </c>
      <c r="J340" s="101">
        <v>51973400</v>
      </c>
    </row>
    <row r="341" spans="1:10">
      <c r="A341" t="s">
        <v>1873</v>
      </c>
      <c r="B341" t="s">
        <v>7433</v>
      </c>
      <c r="C341" s="1665">
        <v>50011718</v>
      </c>
      <c r="D341" s="1665">
        <v>49054218</v>
      </c>
      <c r="E341" s="1665">
        <v>50011718</v>
      </c>
      <c r="F341" s="1665">
        <v>49054218</v>
      </c>
      <c r="G341" s="1665">
        <v>50011718</v>
      </c>
      <c r="H341" s="1665">
        <v>49054218</v>
      </c>
      <c r="I341" s="101">
        <v>50011718</v>
      </c>
      <c r="J341" s="101">
        <v>49054218</v>
      </c>
    </row>
    <row r="342" spans="1:10">
      <c r="A342" t="s">
        <v>1451</v>
      </c>
      <c r="B342" t="s">
        <v>7434</v>
      </c>
      <c r="C342" s="1665">
        <v>3689033002</v>
      </c>
      <c r="D342" s="1665">
        <v>3627948068</v>
      </c>
      <c r="E342" s="1665">
        <v>3689033002</v>
      </c>
      <c r="F342" s="1665">
        <v>3627948068</v>
      </c>
      <c r="G342" s="1665">
        <v>3689033002</v>
      </c>
      <c r="H342" s="1665">
        <v>3627948068</v>
      </c>
      <c r="I342" s="101">
        <v>3689033002</v>
      </c>
      <c r="J342" s="101">
        <v>3627948068</v>
      </c>
    </row>
    <row r="343" spans="1:10">
      <c r="A343" t="s">
        <v>2160</v>
      </c>
      <c r="B343" t="s">
        <v>7435</v>
      </c>
      <c r="C343" s="1665">
        <v>454570960</v>
      </c>
      <c r="D343" s="1665">
        <v>442149686</v>
      </c>
      <c r="E343" s="1665">
        <v>454570960</v>
      </c>
      <c r="F343" s="1665">
        <v>442149686</v>
      </c>
      <c r="G343" s="1665">
        <v>454570960</v>
      </c>
      <c r="H343" s="1665">
        <v>442149686</v>
      </c>
      <c r="I343" s="101">
        <v>454570960</v>
      </c>
      <c r="J343" s="101">
        <v>442149686</v>
      </c>
    </row>
    <row r="344" spans="1:10">
      <c r="A344" t="s">
        <v>2161</v>
      </c>
      <c r="B344" t="s">
        <v>7436</v>
      </c>
      <c r="C344" s="1665">
        <v>2896603862</v>
      </c>
      <c r="D344" s="1665">
        <v>2894330042</v>
      </c>
      <c r="E344" s="1665">
        <v>2894035369</v>
      </c>
      <c r="F344" s="1665">
        <v>2891761549</v>
      </c>
      <c r="G344" s="1665">
        <v>3504214839</v>
      </c>
      <c r="H344" s="1665">
        <v>3501941019</v>
      </c>
      <c r="I344" s="101">
        <v>3506783332</v>
      </c>
      <c r="J344" s="101">
        <v>3504509512</v>
      </c>
    </row>
    <row r="345" spans="1:10">
      <c r="A345" t="s">
        <v>2437</v>
      </c>
      <c r="B345" t="s">
        <v>7437</v>
      </c>
      <c r="C345" s="1665">
        <v>789613274</v>
      </c>
      <c r="D345" s="1665">
        <v>771819085</v>
      </c>
      <c r="E345" s="1665">
        <v>766512524</v>
      </c>
      <c r="F345" s="1665">
        <v>748718335</v>
      </c>
      <c r="G345" s="1665">
        <v>834512524</v>
      </c>
      <c r="H345" s="1665">
        <v>816718335</v>
      </c>
      <c r="I345" s="101">
        <v>857613274</v>
      </c>
      <c r="J345" s="101">
        <v>839819085</v>
      </c>
    </row>
    <row r="346" spans="1:10">
      <c r="A346" t="s">
        <v>906</v>
      </c>
      <c r="B346" t="s">
        <v>7438</v>
      </c>
      <c r="C346" s="1665">
        <v>1450918004</v>
      </c>
      <c r="D346" s="1665">
        <v>1429186924</v>
      </c>
      <c r="E346" s="1665">
        <v>1450918004</v>
      </c>
      <c r="F346" s="1665">
        <v>1429186924</v>
      </c>
      <c r="G346" s="1665">
        <v>1450918004</v>
      </c>
      <c r="H346" s="1665">
        <v>1429186924</v>
      </c>
      <c r="I346" s="101">
        <v>1450918004</v>
      </c>
      <c r="J346" s="101">
        <v>1429186924</v>
      </c>
    </row>
    <row r="347" spans="1:10">
      <c r="A347" t="s">
        <v>2438</v>
      </c>
      <c r="B347" t="s">
        <v>7439</v>
      </c>
      <c r="C347" s="1665">
        <v>740502879</v>
      </c>
      <c r="D347" s="1665">
        <v>732962076</v>
      </c>
      <c r="E347" s="1665">
        <v>732771501</v>
      </c>
      <c r="F347" s="1665">
        <v>725230698</v>
      </c>
      <c r="G347" s="1665">
        <v>732771501</v>
      </c>
      <c r="H347" s="1665">
        <v>725230698</v>
      </c>
      <c r="I347" s="101">
        <v>740502879</v>
      </c>
      <c r="J347" s="101">
        <v>732962076</v>
      </c>
    </row>
    <row r="348" spans="1:10">
      <c r="A348" t="s">
        <v>2439</v>
      </c>
      <c r="B348" t="s">
        <v>7440</v>
      </c>
      <c r="C348" s="1665">
        <v>201431690</v>
      </c>
      <c r="D348" s="1665">
        <v>198683060</v>
      </c>
      <c r="E348" s="1665">
        <v>201431690</v>
      </c>
      <c r="F348" s="1665">
        <v>198683060</v>
      </c>
      <c r="G348" s="1665">
        <v>201431690</v>
      </c>
      <c r="H348" s="1665">
        <v>198683060</v>
      </c>
      <c r="I348" s="101">
        <v>201431690</v>
      </c>
      <c r="J348" s="101">
        <v>198683060</v>
      </c>
    </row>
    <row r="349" spans="1:10">
      <c r="A349" t="s">
        <v>1852</v>
      </c>
      <c r="B349" t="s">
        <v>7441</v>
      </c>
      <c r="C349" s="1665">
        <v>96550580</v>
      </c>
      <c r="D349" s="1665">
        <v>96550580</v>
      </c>
      <c r="E349" s="1665">
        <v>96550580</v>
      </c>
      <c r="F349" s="1665">
        <v>96550580</v>
      </c>
      <c r="G349" s="1665">
        <v>96550580</v>
      </c>
      <c r="H349" s="1665">
        <v>96550580</v>
      </c>
      <c r="I349" s="101">
        <v>96550580</v>
      </c>
      <c r="J349" s="101">
        <v>96550580</v>
      </c>
    </row>
    <row r="350" spans="1:10">
      <c r="A350" t="s">
        <v>1853</v>
      </c>
      <c r="B350" t="s">
        <v>7442</v>
      </c>
      <c r="C350" s="1665">
        <v>100244807</v>
      </c>
      <c r="D350" s="1665">
        <v>100033187</v>
      </c>
      <c r="E350" s="1665">
        <v>100244807</v>
      </c>
      <c r="F350" s="1665">
        <v>100033187</v>
      </c>
      <c r="G350" s="1665">
        <v>100244807</v>
      </c>
      <c r="H350" s="1665">
        <v>100033187</v>
      </c>
      <c r="I350" s="101">
        <v>100244807</v>
      </c>
      <c r="J350" s="101">
        <v>100033187</v>
      </c>
    </row>
    <row r="351" spans="1:10">
      <c r="A351" t="s">
        <v>2021</v>
      </c>
      <c r="B351" t="s">
        <v>7443</v>
      </c>
      <c r="C351" s="1665">
        <v>1088529424</v>
      </c>
      <c r="D351" s="1665">
        <v>1088171114</v>
      </c>
      <c r="E351" s="1665">
        <v>1088529424</v>
      </c>
      <c r="F351" s="1665">
        <v>1088171114</v>
      </c>
      <c r="G351" s="1665">
        <v>1088529424</v>
      </c>
      <c r="H351" s="1665">
        <v>1088171114</v>
      </c>
      <c r="I351" s="101">
        <v>1088529424</v>
      </c>
      <c r="J351" s="101">
        <v>1088171114</v>
      </c>
    </row>
    <row r="352" spans="1:10">
      <c r="A352" t="s">
        <v>2033</v>
      </c>
      <c r="B352" t="s">
        <v>7444</v>
      </c>
      <c r="C352" s="1665">
        <v>97499589</v>
      </c>
      <c r="D352" s="1665">
        <v>97499589</v>
      </c>
      <c r="E352" s="1665">
        <v>97499589</v>
      </c>
      <c r="F352" s="1665">
        <v>97499589</v>
      </c>
      <c r="G352" s="1665">
        <v>166686729</v>
      </c>
      <c r="H352" s="1665">
        <v>166686729</v>
      </c>
      <c r="I352" s="101">
        <v>166686729</v>
      </c>
      <c r="J352" s="101">
        <v>166686729</v>
      </c>
    </row>
    <row r="353" spans="1:10">
      <c r="A353" t="s">
        <v>1684</v>
      </c>
      <c r="B353" t="s">
        <v>7445</v>
      </c>
      <c r="C353" s="1665">
        <v>255761643</v>
      </c>
      <c r="D353" s="1665">
        <v>246457052</v>
      </c>
      <c r="E353" s="1665">
        <v>255761643</v>
      </c>
      <c r="F353" s="1665">
        <v>246457052</v>
      </c>
      <c r="G353" s="1665">
        <v>255761643</v>
      </c>
      <c r="H353" s="1665">
        <v>246457052</v>
      </c>
      <c r="I353" s="101">
        <v>255761643</v>
      </c>
      <c r="J353" s="101">
        <v>246457052</v>
      </c>
    </row>
    <row r="354" spans="1:10">
      <c r="A354" t="s">
        <v>981</v>
      </c>
      <c r="B354" t="s">
        <v>7446</v>
      </c>
      <c r="C354" s="1665">
        <v>195905234</v>
      </c>
      <c r="D354" s="1665">
        <v>189275433</v>
      </c>
      <c r="E354" s="1665">
        <v>195905234</v>
      </c>
      <c r="F354" s="1665">
        <v>189275433</v>
      </c>
      <c r="G354" s="1665">
        <v>195905234</v>
      </c>
      <c r="H354" s="1665">
        <v>189275433</v>
      </c>
      <c r="I354" s="101">
        <v>195905234</v>
      </c>
      <c r="J354" s="101">
        <v>189275433</v>
      </c>
    </row>
    <row r="355" spans="1:10">
      <c r="A355" t="s">
        <v>982</v>
      </c>
      <c r="B355" t="s">
        <v>7447</v>
      </c>
      <c r="C355" s="1665">
        <v>1868886965</v>
      </c>
      <c r="D355" s="1665">
        <v>1812734400</v>
      </c>
      <c r="E355" s="1665">
        <v>1868886965</v>
      </c>
      <c r="F355" s="1665">
        <v>1812734400</v>
      </c>
      <c r="G355" s="1665">
        <v>1868886965</v>
      </c>
      <c r="H355" s="1665">
        <v>1812734400</v>
      </c>
      <c r="I355" s="101">
        <v>1868886965</v>
      </c>
      <c r="J355" s="101">
        <v>1812734400</v>
      </c>
    </row>
    <row r="356" spans="1:10">
      <c r="A356" t="s">
        <v>1115</v>
      </c>
      <c r="B356" t="s">
        <v>7448</v>
      </c>
      <c r="C356" s="1665">
        <v>320037263</v>
      </c>
      <c r="D356" s="1665">
        <v>309422309</v>
      </c>
      <c r="E356" s="1665">
        <v>320037263</v>
      </c>
      <c r="F356" s="1665">
        <v>309422309</v>
      </c>
      <c r="G356" s="1665">
        <v>320037263</v>
      </c>
      <c r="H356" s="1665">
        <v>309422309</v>
      </c>
      <c r="I356" s="101">
        <v>320037263</v>
      </c>
      <c r="J356" s="101">
        <v>309422309</v>
      </c>
    </row>
    <row r="357" spans="1:10">
      <c r="A357" t="s">
        <v>793</v>
      </c>
      <c r="B357" t="s">
        <v>7449</v>
      </c>
      <c r="C357" s="1665">
        <v>3187216126</v>
      </c>
      <c r="D357" s="1665">
        <v>3119770527</v>
      </c>
      <c r="E357" s="1665">
        <v>3187216126</v>
      </c>
      <c r="F357" s="1665">
        <v>3119770527</v>
      </c>
      <c r="G357" s="1665">
        <v>3187216126</v>
      </c>
      <c r="H357" s="1665">
        <v>3119770527</v>
      </c>
      <c r="I357" s="101">
        <v>3187216126</v>
      </c>
      <c r="J357" s="101">
        <v>3119770527</v>
      </c>
    </row>
    <row r="358" spans="1:10">
      <c r="A358" t="s">
        <v>794</v>
      </c>
      <c r="B358" t="s">
        <v>7450</v>
      </c>
      <c r="C358" s="1665">
        <v>114461108</v>
      </c>
      <c r="D358" s="1665">
        <v>110850334</v>
      </c>
      <c r="E358" s="1665">
        <v>114461108</v>
      </c>
      <c r="F358" s="1665">
        <v>110850334</v>
      </c>
      <c r="G358" s="1665">
        <v>114461108</v>
      </c>
      <c r="H358" s="1665">
        <v>110850334</v>
      </c>
      <c r="I358" s="101">
        <v>114461108</v>
      </c>
      <c r="J358" s="101">
        <v>110850334</v>
      </c>
    </row>
    <row r="359" spans="1:10">
      <c r="A359" t="s">
        <v>1236</v>
      </c>
      <c r="B359" t="s">
        <v>7451</v>
      </c>
      <c r="C359" s="1665">
        <v>709035443</v>
      </c>
      <c r="D359" s="1665">
        <v>690257219</v>
      </c>
      <c r="E359" s="1665">
        <v>709035443</v>
      </c>
      <c r="F359" s="1665">
        <v>690257219</v>
      </c>
      <c r="G359" s="1665">
        <v>709035443</v>
      </c>
      <c r="H359" s="1665">
        <v>690257219</v>
      </c>
      <c r="I359" s="101">
        <v>709035443</v>
      </c>
      <c r="J359" s="101">
        <v>690257219</v>
      </c>
    </row>
    <row r="360" spans="1:10">
      <c r="A360" t="s">
        <v>1237</v>
      </c>
      <c r="B360" t="s">
        <v>7452</v>
      </c>
      <c r="C360" s="1665">
        <v>831861614</v>
      </c>
      <c r="D360" s="1665">
        <v>809921381</v>
      </c>
      <c r="E360" s="1665">
        <v>831861614</v>
      </c>
      <c r="F360" s="1665">
        <v>809921381</v>
      </c>
      <c r="G360" s="1665">
        <v>831861614</v>
      </c>
      <c r="H360" s="1665">
        <v>809921381</v>
      </c>
      <c r="I360" s="101">
        <v>831861614</v>
      </c>
      <c r="J360" s="101">
        <v>809921381</v>
      </c>
    </row>
    <row r="361" spans="1:10">
      <c r="A361" t="s">
        <v>1463</v>
      </c>
      <c r="B361" t="s">
        <v>7453</v>
      </c>
      <c r="C361" s="1665">
        <v>274286745</v>
      </c>
      <c r="D361" s="1665">
        <v>265703312</v>
      </c>
      <c r="E361" s="1665">
        <v>274286745</v>
      </c>
      <c r="F361" s="1665">
        <v>265703312</v>
      </c>
      <c r="G361" s="1665">
        <v>274286745</v>
      </c>
      <c r="H361" s="1665">
        <v>265703312</v>
      </c>
      <c r="I361" s="101">
        <v>274286745</v>
      </c>
      <c r="J361" s="101">
        <v>265703312</v>
      </c>
    </row>
    <row r="362" spans="1:10">
      <c r="A362" t="s">
        <v>215</v>
      </c>
      <c r="B362" t="s">
        <v>7454</v>
      </c>
      <c r="C362" s="1665">
        <v>930713142</v>
      </c>
      <c r="D362" s="1665">
        <v>908564668</v>
      </c>
      <c r="E362" s="1665">
        <v>930713142</v>
      </c>
      <c r="F362" s="1665">
        <v>908564668</v>
      </c>
      <c r="G362" s="1665">
        <v>930713142</v>
      </c>
      <c r="H362" s="1665">
        <v>908564668</v>
      </c>
      <c r="I362" s="101">
        <v>930713142</v>
      </c>
      <c r="J362" s="101">
        <v>908564668</v>
      </c>
    </row>
    <row r="363" spans="1:10">
      <c r="A363" t="s">
        <v>2582</v>
      </c>
      <c r="B363" t="s">
        <v>7455</v>
      </c>
      <c r="C363" s="1665">
        <v>425170606</v>
      </c>
      <c r="D363" s="1665">
        <v>412681143</v>
      </c>
      <c r="E363" s="1665">
        <v>425170606</v>
      </c>
      <c r="F363" s="1665">
        <v>412681143</v>
      </c>
      <c r="G363" s="1665">
        <v>425170606</v>
      </c>
      <c r="H363" s="1665">
        <v>412681143</v>
      </c>
      <c r="I363" s="101">
        <v>425170606</v>
      </c>
      <c r="J363" s="101">
        <v>412681143</v>
      </c>
    </row>
    <row r="364" spans="1:10">
      <c r="A364" t="s">
        <v>1308</v>
      </c>
      <c r="B364" t="s">
        <v>7456</v>
      </c>
      <c r="C364" s="1665">
        <v>346840177</v>
      </c>
      <c r="D364" s="1665">
        <v>339632992</v>
      </c>
      <c r="E364" s="1665">
        <v>346840177</v>
      </c>
      <c r="F364" s="1665">
        <v>339632992</v>
      </c>
      <c r="G364" s="1665">
        <v>346840177</v>
      </c>
      <c r="H364" s="1665">
        <v>339632992</v>
      </c>
      <c r="I364" s="101">
        <v>346840177</v>
      </c>
      <c r="J364" s="101">
        <v>339632992</v>
      </c>
    </row>
    <row r="365" spans="1:10">
      <c r="A365" t="s">
        <v>1286</v>
      </c>
      <c r="B365" t="s">
        <v>7457</v>
      </c>
      <c r="C365" s="1665">
        <v>243619853</v>
      </c>
      <c r="D365" s="1665">
        <v>233685977</v>
      </c>
      <c r="E365" s="1665">
        <v>243619853</v>
      </c>
      <c r="F365" s="1665">
        <v>233685977</v>
      </c>
      <c r="G365" s="1665">
        <v>243619853</v>
      </c>
      <c r="H365" s="1665">
        <v>233685977</v>
      </c>
      <c r="I365" s="101">
        <v>243619853</v>
      </c>
      <c r="J365" s="101">
        <v>233685977</v>
      </c>
    </row>
    <row r="366" spans="1:10">
      <c r="A366" t="s">
        <v>1287</v>
      </c>
      <c r="B366" t="s">
        <v>7458</v>
      </c>
      <c r="C366" s="1665">
        <v>542999290</v>
      </c>
      <c r="D366" s="1665">
        <v>520697830</v>
      </c>
      <c r="E366" s="1665">
        <v>516511457</v>
      </c>
      <c r="F366" s="1665">
        <v>494209997</v>
      </c>
      <c r="G366" s="1665">
        <v>516511457</v>
      </c>
      <c r="H366" s="1665">
        <v>494209997</v>
      </c>
      <c r="I366" s="101">
        <v>542999290</v>
      </c>
      <c r="J366" s="101">
        <v>520697830</v>
      </c>
    </row>
    <row r="367" spans="1:10">
      <c r="A367" t="s">
        <v>1288</v>
      </c>
      <c r="B367" t="s">
        <v>7459</v>
      </c>
      <c r="C367" s="1665">
        <v>1609883066</v>
      </c>
      <c r="D367" s="1665">
        <v>1589595411</v>
      </c>
      <c r="E367" s="1665">
        <v>1609883066</v>
      </c>
      <c r="F367" s="1665">
        <v>1589595411</v>
      </c>
      <c r="G367" s="1665">
        <v>1609883066</v>
      </c>
      <c r="H367" s="1665">
        <v>1589595411</v>
      </c>
      <c r="I367" s="101">
        <v>1609883066</v>
      </c>
      <c r="J367" s="101">
        <v>1589595411</v>
      </c>
    </row>
    <row r="368" spans="1:10">
      <c r="A368" t="s">
        <v>457</v>
      </c>
      <c r="B368" t="s">
        <v>7460</v>
      </c>
      <c r="C368" s="1665">
        <v>4302119822</v>
      </c>
      <c r="D368" s="1665">
        <v>4204113560</v>
      </c>
      <c r="E368" s="1665">
        <v>4302119822</v>
      </c>
      <c r="F368" s="1665">
        <v>4204113560</v>
      </c>
      <c r="G368" s="1665">
        <v>4302119822</v>
      </c>
      <c r="H368" s="1665">
        <v>4204113560</v>
      </c>
      <c r="I368" s="101">
        <v>4302119822</v>
      </c>
      <c r="J368" s="101">
        <v>4204113560</v>
      </c>
    </row>
    <row r="369" spans="1:10">
      <c r="A369" t="s">
        <v>2189</v>
      </c>
      <c r="B369" t="s">
        <v>7461</v>
      </c>
      <c r="C369" s="1665">
        <v>1660091436</v>
      </c>
      <c r="D369" s="1665">
        <v>1611525493</v>
      </c>
      <c r="E369" s="1665">
        <v>1583721023</v>
      </c>
      <c r="F369" s="1665">
        <v>1535155080</v>
      </c>
      <c r="G369" s="1665">
        <v>1583721023</v>
      </c>
      <c r="H369" s="1665">
        <v>1535155080</v>
      </c>
      <c r="I369" s="101">
        <v>1660091436</v>
      </c>
      <c r="J369" s="101">
        <v>1611525493</v>
      </c>
    </row>
    <row r="370" spans="1:10">
      <c r="A370" t="s">
        <v>2639</v>
      </c>
      <c r="B370" t="s">
        <v>7462</v>
      </c>
      <c r="C370" s="1665">
        <v>445341471</v>
      </c>
      <c r="D370" s="1665">
        <v>431491051</v>
      </c>
      <c r="E370" s="1665">
        <v>423392459</v>
      </c>
      <c r="F370" s="1665">
        <v>409542039</v>
      </c>
      <c r="G370" s="1665">
        <v>423392459</v>
      </c>
      <c r="H370" s="1665">
        <v>409542039</v>
      </c>
      <c r="I370" s="101">
        <v>445341471</v>
      </c>
      <c r="J370" s="101">
        <v>431491051</v>
      </c>
    </row>
    <row r="371" spans="1:10">
      <c r="A371" t="s">
        <v>1509</v>
      </c>
      <c r="B371" t="s">
        <v>7463</v>
      </c>
      <c r="C371" s="1665">
        <v>551138232</v>
      </c>
      <c r="D371" s="1665">
        <v>531883492</v>
      </c>
      <c r="E371" s="1665">
        <v>519730367</v>
      </c>
      <c r="F371" s="1665">
        <v>500475627</v>
      </c>
      <c r="G371" s="1665">
        <v>519730367</v>
      </c>
      <c r="H371" s="1665">
        <v>500475627</v>
      </c>
      <c r="I371" s="101">
        <v>551138232</v>
      </c>
      <c r="J371" s="101">
        <v>531883492</v>
      </c>
    </row>
    <row r="372" spans="1:10">
      <c r="A372" t="s">
        <v>2640</v>
      </c>
      <c r="B372" t="s">
        <v>7464</v>
      </c>
      <c r="C372" s="1665">
        <v>369319461</v>
      </c>
      <c r="D372" s="1665">
        <v>355137086</v>
      </c>
      <c r="E372" s="1665">
        <v>346470076</v>
      </c>
      <c r="F372" s="1665">
        <v>332287701</v>
      </c>
      <c r="G372" s="1665">
        <v>346470076</v>
      </c>
      <c r="H372" s="1665">
        <v>332287701</v>
      </c>
      <c r="I372" s="101">
        <v>369319461</v>
      </c>
      <c r="J372" s="101">
        <v>355137086</v>
      </c>
    </row>
    <row r="373" spans="1:10">
      <c r="A373" t="s">
        <v>2641</v>
      </c>
      <c r="B373" t="s">
        <v>7465</v>
      </c>
      <c r="C373" s="1665">
        <v>617936336</v>
      </c>
      <c r="D373" s="1665">
        <v>609383763</v>
      </c>
      <c r="E373" s="1665">
        <v>617936336</v>
      </c>
      <c r="F373" s="1665">
        <v>609383763</v>
      </c>
      <c r="G373" s="1665">
        <v>617936336</v>
      </c>
      <c r="H373" s="1665">
        <v>609383763</v>
      </c>
      <c r="I373" s="101">
        <v>617936336</v>
      </c>
      <c r="J373" s="101">
        <v>609383763</v>
      </c>
    </row>
    <row r="374" spans="1:10">
      <c r="A374" t="s">
        <v>2642</v>
      </c>
      <c r="B374" t="s">
        <v>7466</v>
      </c>
      <c r="C374" s="1665">
        <v>337649623</v>
      </c>
      <c r="D374" s="1665">
        <v>330537779</v>
      </c>
      <c r="E374" s="1665">
        <v>337649623</v>
      </c>
      <c r="F374" s="1665">
        <v>330537779</v>
      </c>
      <c r="G374" s="1665">
        <v>337649623</v>
      </c>
      <c r="H374" s="1665">
        <v>330537779</v>
      </c>
      <c r="I374" s="101">
        <v>337649623</v>
      </c>
      <c r="J374" s="101">
        <v>330537779</v>
      </c>
    </row>
    <row r="375" spans="1:10">
      <c r="A375" t="s">
        <v>2643</v>
      </c>
      <c r="B375" t="s">
        <v>7467</v>
      </c>
      <c r="C375" s="1665">
        <v>1759840408</v>
      </c>
      <c r="D375" s="1665">
        <v>1726487313</v>
      </c>
      <c r="E375" s="1665">
        <v>1701828137</v>
      </c>
      <c r="F375" s="1665">
        <v>1668475042</v>
      </c>
      <c r="G375" s="1665">
        <v>1701828137</v>
      </c>
      <c r="H375" s="1665">
        <v>1668475042</v>
      </c>
      <c r="I375" s="101">
        <v>1759840408</v>
      </c>
      <c r="J375" s="101">
        <v>1726487313</v>
      </c>
    </row>
    <row r="376" spans="1:10">
      <c r="A376" t="s">
        <v>2142</v>
      </c>
      <c r="B376" t="s">
        <v>7468</v>
      </c>
      <c r="C376" s="1665">
        <v>160234506</v>
      </c>
      <c r="D376" s="1665">
        <v>156275238</v>
      </c>
      <c r="E376" s="1665">
        <v>160234506</v>
      </c>
      <c r="F376" s="1665">
        <v>156275238</v>
      </c>
      <c r="G376" s="1665">
        <v>160234506</v>
      </c>
      <c r="H376" s="1665">
        <v>156275238</v>
      </c>
      <c r="I376" s="101">
        <v>160234506</v>
      </c>
      <c r="J376" s="101">
        <v>156275238</v>
      </c>
    </row>
    <row r="377" spans="1:10">
      <c r="A377" t="s">
        <v>495</v>
      </c>
      <c r="B377" t="s">
        <v>7469</v>
      </c>
      <c r="C377" s="1665">
        <v>3423428316</v>
      </c>
      <c r="D377" s="1665">
        <v>3340451272</v>
      </c>
      <c r="E377" s="1665">
        <v>3423428316</v>
      </c>
      <c r="F377" s="1665">
        <v>3340451272</v>
      </c>
      <c r="G377" s="1665">
        <v>3517202516</v>
      </c>
      <c r="H377" s="1665">
        <v>3434225472</v>
      </c>
      <c r="I377" s="101">
        <v>3517202516</v>
      </c>
      <c r="J377" s="101">
        <v>3434225472</v>
      </c>
    </row>
    <row r="378" spans="1:10">
      <c r="A378" t="s">
        <v>493</v>
      </c>
      <c r="B378" t="s">
        <v>7470</v>
      </c>
      <c r="C378" s="1665">
        <v>5775384688</v>
      </c>
      <c r="D378" s="1665">
        <v>5602172754</v>
      </c>
      <c r="E378" s="1665">
        <v>5775384688</v>
      </c>
      <c r="F378" s="1665">
        <v>5602172754</v>
      </c>
      <c r="G378" s="1665">
        <v>5775384688</v>
      </c>
      <c r="H378" s="1665">
        <v>5602172754</v>
      </c>
      <c r="I378" s="101">
        <v>5775384688</v>
      </c>
      <c r="J378" s="101">
        <v>5602172754</v>
      </c>
    </row>
    <row r="379" spans="1:10">
      <c r="A379" t="s">
        <v>2143</v>
      </c>
      <c r="B379" t="s">
        <v>7471</v>
      </c>
      <c r="C379" s="1665">
        <v>1004342328</v>
      </c>
      <c r="D379" s="1665">
        <v>984554081</v>
      </c>
      <c r="E379" s="1665">
        <v>1004342328</v>
      </c>
      <c r="F379" s="1665">
        <v>984554081</v>
      </c>
      <c r="G379" s="1665">
        <v>1004342328</v>
      </c>
      <c r="H379" s="1665">
        <v>984554081</v>
      </c>
      <c r="I379" s="101">
        <v>1004342328</v>
      </c>
      <c r="J379" s="101">
        <v>984554081</v>
      </c>
    </row>
    <row r="380" spans="1:10">
      <c r="A380" t="s">
        <v>349</v>
      </c>
      <c r="B380" t="s">
        <v>7472</v>
      </c>
      <c r="C380" s="1665">
        <v>689233473</v>
      </c>
      <c r="D380" s="1665">
        <v>671695068</v>
      </c>
      <c r="E380" s="1665">
        <v>689233473</v>
      </c>
      <c r="F380" s="1665">
        <v>671695068</v>
      </c>
      <c r="G380" s="1665">
        <v>689233473</v>
      </c>
      <c r="H380" s="1665">
        <v>671695068</v>
      </c>
      <c r="I380" s="101">
        <v>689233473</v>
      </c>
      <c r="J380" s="101">
        <v>671695068</v>
      </c>
    </row>
    <row r="381" spans="1:10">
      <c r="A381" t="s">
        <v>2144</v>
      </c>
      <c r="B381" t="s">
        <v>7473</v>
      </c>
      <c r="C381" s="1665">
        <v>597214316</v>
      </c>
      <c r="D381" s="1665">
        <v>590278458</v>
      </c>
      <c r="E381" s="1665">
        <v>597214316</v>
      </c>
      <c r="F381" s="1665">
        <v>590278458</v>
      </c>
      <c r="G381" s="1665">
        <v>597214316</v>
      </c>
      <c r="H381" s="1665">
        <v>590278458</v>
      </c>
      <c r="I381" s="101">
        <v>597214316</v>
      </c>
      <c r="J381" s="101">
        <v>590278458</v>
      </c>
    </row>
    <row r="382" spans="1:10">
      <c r="A382" t="s">
        <v>2145</v>
      </c>
      <c r="B382" t="s">
        <v>7474</v>
      </c>
      <c r="C382" s="1665">
        <v>37078541</v>
      </c>
      <c r="D382" s="1665">
        <v>36568005</v>
      </c>
      <c r="E382" s="1665">
        <v>37078541</v>
      </c>
      <c r="F382" s="1665">
        <v>36568005</v>
      </c>
      <c r="G382" s="1665">
        <v>37078541</v>
      </c>
      <c r="H382" s="1665">
        <v>36568005</v>
      </c>
      <c r="I382" s="101">
        <v>37078541</v>
      </c>
      <c r="J382" s="101">
        <v>36568005</v>
      </c>
    </row>
    <row r="383" spans="1:10">
      <c r="A383" t="s">
        <v>505</v>
      </c>
      <c r="B383" t="s">
        <v>7475</v>
      </c>
      <c r="C383" s="1665">
        <v>94521459</v>
      </c>
      <c r="D383" s="1665">
        <v>89970011</v>
      </c>
      <c r="E383" s="1665">
        <v>94521459</v>
      </c>
      <c r="F383" s="1665">
        <v>89970011</v>
      </c>
      <c r="G383" s="1665">
        <v>94521459</v>
      </c>
      <c r="H383" s="1665">
        <v>89970011</v>
      </c>
      <c r="I383" s="101">
        <v>94521459</v>
      </c>
      <c r="J383" s="101">
        <v>89970011</v>
      </c>
    </row>
    <row r="384" spans="1:10">
      <c r="A384" t="s">
        <v>1955</v>
      </c>
      <c r="B384" t="s">
        <v>7476</v>
      </c>
      <c r="C384" s="1665">
        <v>73199217</v>
      </c>
      <c r="D384" s="1665">
        <v>70628262</v>
      </c>
      <c r="E384" s="1665">
        <v>73199217</v>
      </c>
      <c r="F384" s="1665">
        <v>70628262</v>
      </c>
      <c r="G384" s="1665">
        <v>73199217</v>
      </c>
      <c r="H384" s="1665">
        <v>70628262</v>
      </c>
      <c r="I384" s="101">
        <v>73199217</v>
      </c>
      <c r="J384" s="101">
        <v>70628262</v>
      </c>
    </row>
    <row r="385" spans="1:10">
      <c r="A385" t="s">
        <v>2072</v>
      </c>
      <c r="B385" t="s">
        <v>7477</v>
      </c>
      <c r="C385" s="1665">
        <v>1364180276</v>
      </c>
      <c r="D385" s="1665">
        <v>1322105496</v>
      </c>
      <c r="E385" s="1665">
        <v>1364180276</v>
      </c>
      <c r="F385" s="1665">
        <v>1322105496</v>
      </c>
      <c r="G385" s="1665">
        <v>1364180276</v>
      </c>
      <c r="H385" s="1665">
        <v>1322105496</v>
      </c>
      <c r="I385" s="101">
        <v>1364180276</v>
      </c>
      <c r="J385" s="101">
        <v>1322105496</v>
      </c>
    </row>
    <row r="386" spans="1:10">
      <c r="A386" t="s">
        <v>2073</v>
      </c>
      <c r="B386" t="s">
        <v>7478</v>
      </c>
      <c r="C386" s="1665">
        <v>166688549</v>
      </c>
      <c r="D386" s="1665">
        <v>162505809</v>
      </c>
      <c r="E386" s="1665">
        <v>166688549</v>
      </c>
      <c r="F386" s="1665">
        <v>162505809</v>
      </c>
      <c r="G386" s="1665">
        <v>166688549</v>
      </c>
      <c r="H386" s="1665">
        <v>162505809</v>
      </c>
      <c r="I386" s="101">
        <v>166688549</v>
      </c>
      <c r="J386" s="101">
        <v>162505809</v>
      </c>
    </row>
    <row r="387" spans="1:10">
      <c r="A387" t="s">
        <v>146</v>
      </c>
      <c r="B387" t="s">
        <v>7479</v>
      </c>
      <c r="C387" s="1665">
        <v>80247294</v>
      </c>
      <c r="D387" s="1665">
        <v>78558934</v>
      </c>
      <c r="E387" s="1665">
        <v>80247294</v>
      </c>
      <c r="F387" s="1665">
        <v>78558934</v>
      </c>
      <c r="G387" s="1665">
        <v>80247294</v>
      </c>
      <c r="H387" s="1665">
        <v>78558934</v>
      </c>
      <c r="I387" s="101">
        <v>80247294</v>
      </c>
      <c r="J387" s="101">
        <v>78558934</v>
      </c>
    </row>
    <row r="388" spans="1:10">
      <c r="A388" t="s">
        <v>147</v>
      </c>
      <c r="B388" t="s">
        <v>7480</v>
      </c>
      <c r="C388" s="1665">
        <v>326502169</v>
      </c>
      <c r="D388" s="1665">
        <v>313491088</v>
      </c>
      <c r="E388" s="1665">
        <v>326502169</v>
      </c>
      <c r="F388" s="1665">
        <v>313491088</v>
      </c>
      <c r="G388" s="1665">
        <v>326502169</v>
      </c>
      <c r="H388" s="1665">
        <v>313491088</v>
      </c>
      <c r="I388" s="101">
        <v>326502169</v>
      </c>
      <c r="J388" s="101">
        <v>313491088</v>
      </c>
    </row>
    <row r="389" spans="1:10">
      <c r="A389" t="s">
        <v>2507</v>
      </c>
      <c r="B389" t="s">
        <v>7481</v>
      </c>
      <c r="C389" s="1665">
        <v>187812261</v>
      </c>
      <c r="D389" s="1665">
        <v>180880016</v>
      </c>
      <c r="E389" s="1665">
        <v>187812261</v>
      </c>
      <c r="F389" s="1665">
        <v>180880016</v>
      </c>
      <c r="G389" s="1665">
        <v>187812261</v>
      </c>
      <c r="H389" s="1665">
        <v>180880016</v>
      </c>
      <c r="I389" s="101">
        <v>187812261</v>
      </c>
      <c r="J389" s="101">
        <v>180880016</v>
      </c>
    </row>
    <row r="390" spans="1:10">
      <c r="A390" t="s">
        <v>2344</v>
      </c>
      <c r="B390" t="s">
        <v>7482</v>
      </c>
      <c r="C390" s="1665">
        <v>270809897</v>
      </c>
      <c r="D390" s="1665">
        <v>270739897</v>
      </c>
      <c r="E390" s="1665">
        <v>270809897</v>
      </c>
      <c r="F390" s="1665">
        <v>270739897</v>
      </c>
      <c r="G390" s="1665">
        <v>270809897</v>
      </c>
      <c r="H390" s="1665">
        <v>270739897</v>
      </c>
      <c r="I390" s="101">
        <v>270809897</v>
      </c>
      <c r="J390" s="101">
        <v>270739897</v>
      </c>
    </row>
    <row r="391" spans="1:10">
      <c r="A391" t="s">
        <v>1120</v>
      </c>
      <c r="B391" t="s">
        <v>7483</v>
      </c>
      <c r="C391" s="1665">
        <v>119084615</v>
      </c>
      <c r="D391" s="1665">
        <v>118782955</v>
      </c>
      <c r="E391" s="1665">
        <v>118575883</v>
      </c>
      <c r="F391" s="1665">
        <v>118274223</v>
      </c>
      <c r="G391" s="1665">
        <v>118575883</v>
      </c>
      <c r="H391" s="1665">
        <v>118274223</v>
      </c>
      <c r="I391" s="101">
        <v>119084615</v>
      </c>
      <c r="J391" s="101">
        <v>118782955</v>
      </c>
    </row>
    <row r="392" spans="1:10">
      <c r="A392" t="s">
        <v>1121</v>
      </c>
      <c r="B392" t="s">
        <v>7484</v>
      </c>
      <c r="C392" s="1665">
        <v>377152082</v>
      </c>
      <c r="D392" s="1665">
        <v>376829052</v>
      </c>
      <c r="E392" s="1665">
        <v>377152082</v>
      </c>
      <c r="F392" s="1665">
        <v>376829052</v>
      </c>
      <c r="G392" s="1665">
        <v>399191592</v>
      </c>
      <c r="H392" s="1665">
        <v>398868562</v>
      </c>
      <c r="I392" s="101">
        <v>399191592</v>
      </c>
      <c r="J392" s="101">
        <v>398868562</v>
      </c>
    </row>
    <row r="393" spans="1:10">
      <c r="A393" t="s">
        <v>2106</v>
      </c>
      <c r="B393" t="s">
        <v>7485</v>
      </c>
      <c r="C393" s="1665">
        <v>120093016</v>
      </c>
      <c r="D393" s="1665">
        <v>118364186</v>
      </c>
      <c r="E393" s="1665">
        <v>120093016</v>
      </c>
      <c r="F393" s="1665">
        <v>118364186</v>
      </c>
      <c r="G393" s="1665">
        <v>170120496</v>
      </c>
      <c r="H393" s="1665">
        <v>168391666</v>
      </c>
      <c r="I393" s="101">
        <v>170120496</v>
      </c>
      <c r="J393" s="101">
        <v>168391666</v>
      </c>
    </row>
    <row r="394" spans="1:10">
      <c r="A394" t="s">
        <v>2107</v>
      </c>
      <c r="B394" t="s">
        <v>7486</v>
      </c>
      <c r="C394" s="1665">
        <v>298320478</v>
      </c>
      <c r="D394" s="1665">
        <v>293231168</v>
      </c>
      <c r="E394" s="1665">
        <v>298320478</v>
      </c>
      <c r="F394" s="1665">
        <v>293231168</v>
      </c>
      <c r="G394" s="1665">
        <v>298320478</v>
      </c>
      <c r="H394" s="1665">
        <v>293231168</v>
      </c>
      <c r="I394" s="101">
        <v>298320478</v>
      </c>
      <c r="J394" s="101">
        <v>293231168</v>
      </c>
    </row>
    <row r="395" spans="1:10">
      <c r="A395" t="s">
        <v>1020</v>
      </c>
      <c r="B395" t="s">
        <v>7487</v>
      </c>
      <c r="C395" s="1665">
        <v>389609661</v>
      </c>
      <c r="D395" s="1665">
        <v>372540701</v>
      </c>
      <c r="E395" s="1665">
        <v>380943996</v>
      </c>
      <c r="F395" s="1665">
        <v>363875036</v>
      </c>
      <c r="G395" s="1665">
        <v>380943996</v>
      </c>
      <c r="H395" s="1665">
        <v>363875036</v>
      </c>
      <c r="I395" s="101">
        <v>389609661</v>
      </c>
      <c r="J395" s="101">
        <v>372540701</v>
      </c>
    </row>
    <row r="396" spans="1:10">
      <c r="A396" t="s">
        <v>1148</v>
      </c>
      <c r="B396" t="s">
        <v>7488</v>
      </c>
      <c r="C396" s="1665">
        <v>876967121</v>
      </c>
      <c r="D396" s="1665">
        <v>840013852</v>
      </c>
      <c r="E396" s="1665">
        <v>876967121</v>
      </c>
      <c r="F396" s="1665">
        <v>840013852</v>
      </c>
      <c r="G396" s="1665">
        <v>876967121</v>
      </c>
      <c r="H396" s="1665">
        <v>840013852</v>
      </c>
      <c r="I396" s="101">
        <v>876967121</v>
      </c>
      <c r="J396" s="101">
        <v>840013852</v>
      </c>
    </row>
    <row r="397" spans="1:10">
      <c r="A397" t="s">
        <v>381</v>
      </c>
      <c r="B397" t="s">
        <v>7489</v>
      </c>
      <c r="C397" s="1665">
        <v>898019271</v>
      </c>
      <c r="D397" s="1665">
        <v>867716719</v>
      </c>
      <c r="E397" s="1665">
        <v>867989325</v>
      </c>
      <c r="F397" s="1665">
        <v>837686773</v>
      </c>
      <c r="G397" s="1665">
        <v>867989325</v>
      </c>
      <c r="H397" s="1665">
        <v>837686773</v>
      </c>
      <c r="I397" s="101">
        <v>898019271</v>
      </c>
      <c r="J397" s="101">
        <v>867716719</v>
      </c>
    </row>
    <row r="398" spans="1:10">
      <c r="A398" t="s">
        <v>2285</v>
      </c>
      <c r="B398" t="s">
        <v>7490</v>
      </c>
      <c r="C398" s="1665">
        <v>1206360500</v>
      </c>
      <c r="D398" s="1665">
        <v>1153646667</v>
      </c>
      <c r="E398" s="1665">
        <v>1206360500</v>
      </c>
      <c r="F398" s="1665">
        <v>1153646667</v>
      </c>
      <c r="G398" s="1665">
        <v>1206360500</v>
      </c>
      <c r="H398" s="1665">
        <v>1153646667</v>
      </c>
      <c r="I398" s="101">
        <v>1206360500</v>
      </c>
      <c r="J398" s="101">
        <v>1153646667</v>
      </c>
    </row>
    <row r="399" spans="1:10">
      <c r="A399" t="s">
        <v>1179</v>
      </c>
      <c r="B399" t="s">
        <v>7491</v>
      </c>
      <c r="C399" s="1665">
        <v>219152002</v>
      </c>
      <c r="D399" s="1665">
        <v>212051162</v>
      </c>
      <c r="E399" s="1665">
        <v>219152002</v>
      </c>
      <c r="F399" s="1665">
        <v>212051162</v>
      </c>
      <c r="G399" s="1665">
        <v>219152002</v>
      </c>
      <c r="H399" s="1665">
        <v>212051162</v>
      </c>
      <c r="I399" s="101">
        <v>219152002</v>
      </c>
      <c r="J399" s="101">
        <v>212051162</v>
      </c>
    </row>
    <row r="400" spans="1:10">
      <c r="A400" t="s">
        <v>585</v>
      </c>
      <c r="B400" t="s">
        <v>7492</v>
      </c>
      <c r="C400" s="1665">
        <v>19791531009</v>
      </c>
      <c r="D400" s="1665">
        <v>19462012263</v>
      </c>
      <c r="E400" s="1665">
        <v>19791531009</v>
      </c>
      <c r="F400" s="1665">
        <v>19462012263</v>
      </c>
      <c r="G400" s="1665">
        <v>19791531009</v>
      </c>
      <c r="H400" s="1665">
        <v>19462012263</v>
      </c>
      <c r="I400" s="101">
        <v>19791531009</v>
      </c>
      <c r="J400" s="101">
        <v>19462012263</v>
      </c>
    </row>
    <row r="401" spans="1:10">
      <c r="A401" t="s">
        <v>194</v>
      </c>
      <c r="B401" t="s">
        <v>7493</v>
      </c>
      <c r="C401" s="1665">
        <v>15693401016</v>
      </c>
      <c r="D401" s="1665">
        <v>15427051999</v>
      </c>
      <c r="E401" s="1665">
        <v>15693401016</v>
      </c>
      <c r="F401" s="1665">
        <v>15427051999</v>
      </c>
      <c r="G401" s="1665">
        <v>15693401016</v>
      </c>
      <c r="H401" s="1665">
        <v>15427051999</v>
      </c>
      <c r="I401" s="101">
        <v>15693401016</v>
      </c>
      <c r="J401" s="101">
        <v>15427051999</v>
      </c>
    </row>
    <row r="402" spans="1:10">
      <c r="A402" t="s">
        <v>2313</v>
      </c>
      <c r="B402" t="s">
        <v>7494</v>
      </c>
      <c r="C402" s="1665">
        <v>3521576081</v>
      </c>
      <c r="D402" s="1665">
        <v>3461861389</v>
      </c>
      <c r="E402" s="1665">
        <v>3521576081</v>
      </c>
      <c r="F402" s="1665">
        <v>3461861389</v>
      </c>
      <c r="G402" s="1665">
        <v>3521576081</v>
      </c>
      <c r="H402" s="1665">
        <v>3461861389</v>
      </c>
      <c r="I402" s="101">
        <v>3521576081</v>
      </c>
      <c r="J402" s="101">
        <v>3461861389</v>
      </c>
    </row>
    <row r="403" spans="1:10">
      <c r="A403" t="s">
        <v>2404</v>
      </c>
      <c r="B403" t="s">
        <v>7495</v>
      </c>
      <c r="C403" s="1665">
        <v>1927711016</v>
      </c>
      <c r="D403" s="1665">
        <v>1866330806</v>
      </c>
      <c r="E403" s="1665">
        <v>1927711016</v>
      </c>
      <c r="F403" s="1665">
        <v>1866330806</v>
      </c>
      <c r="G403" s="1665">
        <v>1927711016</v>
      </c>
      <c r="H403" s="1665">
        <v>1866330806</v>
      </c>
      <c r="I403" s="101">
        <v>1927711016</v>
      </c>
      <c r="J403" s="101">
        <v>1866330806</v>
      </c>
    </row>
    <row r="404" spans="1:10">
      <c r="A404" t="s">
        <v>2314</v>
      </c>
      <c r="B404" t="s">
        <v>7496</v>
      </c>
      <c r="C404" s="1665">
        <v>56245303645</v>
      </c>
      <c r="D404" s="1665">
        <v>55053123998</v>
      </c>
      <c r="E404" s="1665">
        <v>53597344263</v>
      </c>
      <c r="F404" s="1665">
        <v>52405164616</v>
      </c>
      <c r="G404" s="1665">
        <v>53597344263</v>
      </c>
      <c r="H404" s="1665">
        <v>52405164616</v>
      </c>
      <c r="I404" s="101">
        <v>56245303645</v>
      </c>
      <c r="J404" s="101">
        <v>55053123998</v>
      </c>
    </row>
    <row r="405" spans="1:10">
      <c r="A405" t="s">
        <v>2166</v>
      </c>
      <c r="B405" t="s">
        <v>7497</v>
      </c>
      <c r="C405" s="1665">
        <v>8386398184</v>
      </c>
      <c r="D405" s="1665">
        <v>8273876142</v>
      </c>
      <c r="E405" s="1665">
        <v>8187881753</v>
      </c>
      <c r="F405" s="1665">
        <v>8075359711</v>
      </c>
      <c r="G405" s="1665">
        <v>8469002713</v>
      </c>
      <c r="H405" s="1665">
        <v>8356480671</v>
      </c>
      <c r="I405" s="101">
        <v>8667519144</v>
      </c>
      <c r="J405" s="101">
        <v>8554997102</v>
      </c>
    </row>
    <row r="406" spans="1:10">
      <c r="A406" t="s">
        <v>1428</v>
      </c>
      <c r="B406" t="s">
        <v>7498</v>
      </c>
      <c r="C406" s="1665">
        <v>8832055014</v>
      </c>
      <c r="D406" s="1665">
        <v>8709539255</v>
      </c>
      <c r="E406" s="1665">
        <v>8702234580</v>
      </c>
      <c r="F406" s="1665">
        <v>8579718821</v>
      </c>
      <c r="G406" s="1665">
        <v>8702234580</v>
      </c>
      <c r="H406" s="1665">
        <v>8579718821</v>
      </c>
      <c r="I406" s="101">
        <v>8832055014</v>
      </c>
      <c r="J406" s="101">
        <v>8709539255</v>
      </c>
    </row>
    <row r="407" spans="1:10">
      <c r="A407" t="s">
        <v>2020</v>
      </c>
      <c r="B407" t="s">
        <v>7499</v>
      </c>
      <c r="C407" s="1665">
        <v>11415950527</v>
      </c>
      <c r="D407" s="1665">
        <v>11228219732</v>
      </c>
      <c r="E407" s="1665">
        <v>11287112948</v>
      </c>
      <c r="F407" s="1665">
        <v>11099382153</v>
      </c>
      <c r="G407" s="1665">
        <v>14134298513</v>
      </c>
      <c r="H407" s="1665">
        <v>13946567718</v>
      </c>
      <c r="I407" s="101">
        <v>14263136092</v>
      </c>
      <c r="J407" s="101">
        <v>14075405297</v>
      </c>
    </row>
    <row r="408" spans="1:10">
      <c r="A408" t="s">
        <v>2552</v>
      </c>
      <c r="B408" t="s">
        <v>7500</v>
      </c>
      <c r="C408" s="1665">
        <v>178614494688</v>
      </c>
      <c r="D408" s="1665">
        <v>176465724564</v>
      </c>
      <c r="E408" s="1665">
        <v>171332096050</v>
      </c>
      <c r="F408" s="1665">
        <v>169183325926</v>
      </c>
      <c r="G408" s="1665">
        <v>171332096050</v>
      </c>
      <c r="H408" s="1665">
        <v>169183325926</v>
      </c>
      <c r="I408" s="101">
        <v>178614494688</v>
      </c>
      <c r="J408" s="101">
        <v>176465724564</v>
      </c>
    </row>
    <row r="409" spans="1:10">
      <c r="A409" t="s">
        <v>1117</v>
      </c>
      <c r="B409" t="s">
        <v>7501</v>
      </c>
      <c r="C409" s="1665">
        <v>15428265533</v>
      </c>
      <c r="D409" s="1665">
        <v>14979853435</v>
      </c>
      <c r="E409" s="1665">
        <v>15428265533</v>
      </c>
      <c r="F409" s="1665">
        <v>14979853435</v>
      </c>
      <c r="G409" s="1665">
        <v>15428265533</v>
      </c>
      <c r="H409" s="1665">
        <v>14979853435</v>
      </c>
      <c r="I409" s="101">
        <v>15428265533</v>
      </c>
      <c r="J409" s="101">
        <v>14979853435</v>
      </c>
    </row>
    <row r="410" spans="1:10">
      <c r="A410" t="s">
        <v>48</v>
      </c>
      <c r="B410" t="s">
        <v>7502</v>
      </c>
      <c r="C410" s="1665">
        <v>39452624553</v>
      </c>
      <c r="D410" s="1665">
        <v>38740885720</v>
      </c>
      <c r="E410" s="1665">
        <v>39452624553</v>
      </c>
      <c r="F410" s="1665">
        <v>38740885720</v>
      </c>
      <c r="G410" s="1665">
        <v>39452624553</v>
      </c>
      <c r="H410" s="1665">
        <v>38740885720</v>
      </c>
      <c r="I410" s="101">
        <v>39452624553</v>
      </c>
      <c r="J410" s="101">
        <v>38740885720</v>
      </c>
    </row>
    <row r="411" spans="1:10">
      <c r="A411" t="s">
        <v>55</v>
      </c>
      <c r="B411" t="s">
        <v>7503</v>
      </c>
      <c r="C411" s="1665">
        <v>21387213078</v>
      </c>
      <c r="D411" s="1665">
        <v>20834432150</v>
      </c>
      <c r="E411" s="1665">
        <v>21387213078</v>
      </c>
      <c r="F411" s="1665">
        <v>20834432150</v>
      </c>
      <c r="G411" s="1665">
        <v>21387213078</v>
      </c>
      <c r="H411" s="1665">
        <v>20834432150</v>
      </c>
      <c r="I411" s="101">
        <v>21387213078</v>
      </c>
      <c r="J411" s="101">
        <v>20834432150</v>
      </c>
    </row>
    <row r="412" spans="1:10">
      <c r="A412" t="s">
        <v>2553</v>
      </c>
      <c r="B412" t="s">
        <v>7504</v>
      </c>
      <c r="C412" s="1665">
        <v>9493855747</v>
      </c>
      <c r="D412" s="1665">
        <v>9391395309</v>
      </c>
      <c r="E412" s="1665">
        <v>9308433611</v>
      </c>
      <c r="F412" s="1665">
        <v>9205973173</v>
      </c>
      <c r="G412" s="1665">
        <v>10292849711</v>
      </c>
      <c r="H412" s="1665">
        <v>10190389273</v>
      </c>
      <c r="I412" s="101">
        <v>10478271847</v>
      </c>
      <c r="J412" s="101">
        <v>10375811409</v>
      </c>
    </row>
    <row r="413" spans="1:10">
      <c r="A413" t="s">
        <v>206</v>
      </c>
      <c r="B413" t="s">
        <v>7505</v>
      </c>
      <c r="C413" s="1665">
        <v>14562487122</v>
      </c>
      <c r="D413" s="1665">
        <v>14198647552</v>
      </c>
      <c r="E413" s="1665">
        <v>14313976347</v>
      </c>
      <c r="F413" s="1665">
        <v>13950136777</v>
      </c>
      <c r="G413" s="1665">
        <v>14313976347</v>
      </c>
      <c r="H413" s="1665">
        <v>13950136777</v>
      </c>
      <c r="I413" s="101">
        <v>14562487122</v>
      </c>
      <c r="J413" s="101">
        <v>14198647552</v>
      </c>
    </row>
    <row r="414" spans="1:10">
      <c r="A414" t="s">
        <v>668</v>
      </c>
      <c r="B414" t="s">
        <v>7506</v>
      </c>
      <c r="C414" s="1665">
        <v>13217469216</v>
      </c>
      <c r="D414" s="1665">
        <v>12946018517</v>
      </c>
      <c r="E414" s="1665">
        <v>13217469216</v>
      </c>
      <c r="F414" s="1665">
        <v>12946018517</v>
      </c>
      <c r="G414" s="1665">
        <v>13217469216</v>
      </c>
      <c r="H414" s="1665">
        <v>12946018517</v>
      </c>
      <c r="I414" s="101">
        <v>13217469216</v>
      </c>
      <c r="J414" s="101">
        <v>12946018517</v>
      </c>
    </row>
    <row r="415" spans="1:10">
      <c r="A415" t="s">
        <v>811</v>
      </c>
      <c r="B415" t="s">
        <v>7507</v>
      </c>
      <c r="C415" s="1665">
        <v>34207805919</v>
      </c>
      <c r="D415" s="1665">
        <v>33878659961</v>
      </c>
      <c r="E415" s="1665">
        <v>32073495449</v>
      </c>
      <c r="F415" s="1665">
        <v>31744349491</v>
      </c>
      <c r="G415" s="1665">
        <v>32073495449</v>
      </c>
      <c r="H415" s="1665">
        <v>31744349491</v>
      </c>
      <c r="I415" s="101">
        <v>34207805919</v>
      </c>
      <c r="J415" s="101">
        <v>33878659961</v>
      </c>
    </row>
    <row r="416" spans="1:10">
      <c r="A416" t="s">
        <v>1947</v>
      </c>
      <c r="B416" t="s">
        <v>7508</v>
      </c>
      <c r="C416" s="1665">
        <v>11010652602</v>
      </c>
      <c r="D416" s="1665">
        <v>10820577561</v>
      </c>
      <c r="E416" s="1665">
        <v>11010652602</v>
      </c>
      <c r="F416" s="1665">
        <v>10820577561</v>
      </c>
      <c r="G416" s="1665">
        <v>11010652602</v>
      </c>
      <c r="H416" s="1665">
        <v>10820577561</v>
      </c>
      <c r="I416" s="101">
        <v>11010652602</v>
      </c>
      <c r="J416" s="101">
        <v>10820577561</v>
      </c>
    </row>
    <row r="417" spans="1:10">
      <c r="A417" t="s">
        <v>1948</v>
      </c>
      <c r="B417" t="s">
        <v>7509</v>
      </c>
      <c r="C417" s="1665">
        <v>5331840625</v>
      </c>
      <c r="D417" s="1665">
        <v>5272778764</v>
      </c>
      <c r="E417" s="1665">
        <v>5257450248</v>
      </c>
      <c r="F417" s="1665">
        <v>5198388387</v>
      </c>
      <c r="G417" s="1665">
        <v>5600218748</v>
      </c>
      <c r="H417" s="1665">
        <v>5541156887</v>
      </c>
      <c r="I417" s="101">
        <v>5674609125</v>
      </c>
      <c r="J417" s="101">
        <v>5615547264</v>
      </c>
    </row>
    <row r="418" spans="1:10">
      <c r="A418" t="s">
        <v>867</v>
      </c>
      <c r="B418" t="s">
        <v>7510</v>
      </c>
      <c r="C418" s="1665">
        <v>1214704943</v>
      </c>
      <c r="D418" s="1665">
        <v>1177762506</v>
      </c>
      <c r="E418" s="1665">
        <v>1214704943</v>
      </c>
      <c r="F418" s="1665">
        <v>1177762506</v>
      </c>
      <c r="G418" s="1665">
        <v>1214704943</v>
      </c>
      <c r="H418" s="1665">
        <v>1177762506</v>
      </c>
      <c r="I418" s="101">
        <v>1214704943</v>
      </c>
      <c r="J418" s="101">
        <v>1177762506</v>
      </c>
    </row>
    <row r="419" spans="1:10">
      <c r="A419" t="s">
        <v>1949</v>
      </c>
      <c r="B419" t="s">
        <v>7511</v>
      </c>
      <c r="C419" s="1665">
        <v>218938998</v>
      </c>
      <c r="D419" s="1665">
        <v>214074421</v>
      </c>
      <c r="E419" s="1665">
        <v>211587899</v>
      </c>
      <c r="F419" s="1665">
        <v>206723322</v>
      </c>
      <c r="G419" s="1665">
        <v>211587899</v>
      </c>
      <c r="H419" s="1665">
        <v>206723322</v>
      </c>
      <c r="I419" s="101">
        <v>218938998</v>
      </c>
      <c r="J419" s="101">
        <v>214074421</v>
      </c>
    </row>
    <row r="420" spans="1:10">
      <c r="A420" t="s">
        <v>1500</v>
      </c>
      <c r="B420" t="s">
        <v>7512</v>
      </c>
      <c r="C420" s="1665">
        <v>2549654118</v>
      </c>
      <c r="D420" s="1665">
        <v>2492204253</v>
      </c>
      <c r="E420" s="1665">
        <v>2469571357</v>
      </c>
      <c r="F420" s="1665">
        <v>2412121492</v>
      </c>
      <c r="G420" s="1665">
        <v>2469571357</v>
      </c>
      <c r="H420" s="1665">
        <v>2412121492</v>
      </c>
      <c r="I420" s="101">
        <v>2549654118</v>
      </c>
      <c r="J420" s="101">
        <v>2492204253</v>
      </c>
    </row>
    <row r="421" spans="1:10">
      <c r="A421" t="s">
        <v>1501</v>
      </c>
      <c r="B421" t="s">
        <v>7513</v>
      </c>
      <c r="C421" s="1665">
        <v>416301005</v>
      </c>
      <c r="D421" s="1665">
        <v>409864258</v>
      </c>
      <c r="E421" s="1665">
        <v>407121948</v>
      </c>
      <c r="F421" s="1665">
        <v>400685201</v>
      </c>
      <c r="G421" s="1665">
        <v>407121948</v>
      </c>
      <c r="H421" s="1665">
        <v>400685201</v>
      </c>
      <c r="I421" s="101">
        <v>416301005</v>
      </c>
      <c r="J421" s="101">
        <v>409864258</v>
      </c>
    </row>
    <row r="422" spans="1:10">
      <c r="A422" t="s">
        <v>1502</v>
      </c>
      <c r="B422" t="s">
        <v>7514</v>
      </c>
      <c r="C422" s="1665">
        <v>2744567466</v>
      </c>
      <c r="D422" s="1665">
        <v>2698775322</v>
      </c>
      <c r="E422" s="1665">
        <v>2649762228</v>
      </c>
      <c r="F422" s="1665">
        <v>2603970084</v>
      </c>
      <c r="G422" s="1665">
        <v>2649762228</v>
      </c>
      <c r="H422" s="1665">
        <v>2603970084</v>
      </c>
      <c r="I422" s="101">
        <v>2744567466</v>
      </c>
      <c r="J422" s="101">
        <v>2698775322</v>
      </c>
    </row>
    <row r="423" spans="1:10">
      <c r="A423" t="s">
        <v>1568</v>
      </c>
      <c r="B423" t="s">
        <v>7515</v>
      </c>
      <c r="C423" s="1665">
        <v>176196187</v>
      </c>
      <c r="D423" s="1665">
        <v>170220757</v>
      </c>
      <c r="E423" s="1665">
        <v>165542519</v>
      </c>
      <c r="F423" s="1665">
        <v>159567089</v>
      </c>
      <c r="G423" s="1665">
        <v>165542519</v>
      </c>
      <c r="H423" s="1665">
        <v>159567089</v>
      </c>
      <c r="I423" s="101">
        <v>176196187</v>
      </c>
      <c r="J423" s="101">
        <v>170220757</v>
      </c>
    </row>
    <row r="424" spans="1:10">
      <c r="A424" t="s">
        <v>1569</v>
      </c>
      <c r="B424" t="s">
        <v>7516</v>
      </c>
      <c r="C424" s="1665">
        <v>341607704</v>
      </c>
      <c r="D424" s="1665">
        <v>331045295</v>
      </c>
      <c r="E424" s="1665">
        <v>327070917</v>
      </c>
      <c r="F424" s="1665">
        <v>316508508</v>
      </c>
      <c r="G424" s="1665">
        <v>327070917</v>
      </c>
      <c r="H424" s="1665">
        <v>316508508</v>
      </c>
      <c r="I424" s="101">
        <v>341607704</v>
      </c>
      <c r="J424" s="101">
        <v>331045295</v>
      </c>
    </row>
    <row r="425" spans="1:10">
      <c r="A425" t="s">
        <v>497</v>
      </c>
      <c r="B425" t="s">
        <v>7517</v>
      </c>
      <c r="C425" s="1665">
        <v>207689583</v>
      </c>
      <c r="D425" s="1665">
        <v>207041013</v>
      </c>
      <c r="E425" s="1665">
        <v>207689583</v>
      </c>
      <c r="F425" s="1665">
        <v>207041013</v>
      </c>
      <c r="G425" s="1665">
        <v>207689583</v>
      </c>
      <c r="H425" s="1665">
        <v>207041013</v>
      </c>
      <c r="I425" s="101">
        <v>207689583</v>
      </c>
      <c r="J425" s="101">
        <v>207041013</v>
      </c>
    </row>
    <row r="426" spans="1:10">
      <c r="A426" t="s">
        <v>465</v>
      </c>
      <c r="B426" t="s">
        <v>7518</v>
      </c>
      <c r="C426" s="1665">
        <v>178198657</v>
      </c>
      <c r="D426" s="1665">
        <v>177277907</v>
      </c>
      <c r="E426" s="1665">
        <v>178198657</v>
      </c>
      <c r="F426" s="1665">
        <v>177277907</v>
      </c>
      <c r="G426" s="1665">
        <v>178198657</v>
      </c>
      <c r="H426" s="1665">
        <v>177277907</v>
      </c>
      <c r="I426" s="101">
        <v>178198657</v>
      </c>
      <c r="J426" s="101">
        <v>177277907</v>
      </c>
    </row>
    <row r="427" spans="1:10">
      <c r="A427" t="s">
        <v>466</v>
      </c>
      <c r="B427" t="s">
        <v>7519</v>
      </c>
      <c r="C427" s="1665">
        <v>246892016</v>
      </c>
      <c r="D427" s="1665">
        <v>239816996</v>
      </c>
      <c r="E427" s="1665">
        <v>246892016</v>
      </c>
      <c r="F427" s="1665">
        <v>239816996</v>
      </c>
      <c r="G427" s="1665">
        <v>652502876</v>
      </c>
      <c r="H427" s="1665">
        <v>645427856</v>
      </c>
      <c r="I427" s="101">
        <v>652502876</v>
      </c>
      <c r="J427" s="101">
        <v>645427856</v>
      </c>
    </row>
    <row r="428" spans="1:10">
      <c r="A428" t="s">
        <v>467</v>
      </c>
      <c r="B428" t="s">
        <v>7520</v>
      </c>
      <c r="C428" s="1665">
        <v>46499526</v>
      </c>
      <c r="D428" s="1665">
        <v>45188856</v>
      </c>
      <c r="E428" s="1665">
        <v>45892276</v>
      </c>
      <c r="F428" s="1665">
        <v>44581606</v>
      </c>
      <c r="G428" s="1665">
        <v>45892276</v>
      </c>
      <c r="H428" s="1665">
        <v>44581606</v>
      </c>
      <c r="I428" s="101">
        <v>46499526</v>
      </c>
      <c r="J428" s="101">
        <v>45188856</v>
      </c>
    </row>
    <row r="429" spans="1:10">
      <c r="A429" t="s">
        <v>468</v>
      </c>
      <c r="B429" t="s">
        <v>7521</v>
      </c>
      <c r="C429" s="1665">
        <v>145010900</v>
      </c>
      <c r="D429" s="1665">
        <v>144403890</v>
      </c>
      <c r="E429" s="1665">
        <v>145010900</v>
      </c>
      <c r="F429" s="1665">
        <v>144403890</v>
      </c>
      <c r="G429" s="1665">
        <v>277861380</v>
      </c>
      <c r="H429" s="1665">
        <v>277254370</v>
      </c>
      <c r="I429" s="101">
        <v>277861380</v>
      </c>
      <c r="J429" s="101">
        <v>277254370</v>
      </c>
    </row>
    <row r="430" spans="1:10">
      <c r="A430" t="s">
        <v>1141</v>
      </c>
      <c r="B430" t="s">
        <v>7522</v>
      </c>
      <c r="C430" s="1665">
        <v>6380441795</v>
      </c>
      <c r="D430" s="1665">
        <v>6310845366</v>
      </c>
      <c r="E430" s="1665">
        <v>6380441795</v>
      </c>
      <c r="F430" s="1665">
        <v>6310845366</v>
      </c>
      <c r="G430" s="1665">
        <v>6380441795</v>
      </c>
      <c r="H430" s="1665">
        <v>6310845366</v>
      </c>
      <c r="I430" s="101">
        <v>6380441795</v>
      </c>
      <c r="J430" s="101">
        <v>6310845366</v>
      </c>
    </row>
    <row r="431" spans="1:10">
      <c r="A431" t="s">
        <v>1488</v>
      </c>
      <c r="B431" t="s">
        <v>7523</v>
      </c>
      <c r="C431" s="1665">
        <v>4950743815</v>
      </c>
      <c r="D431" s="1665">
        <v>4865585265</v>
      </c>
      <c r="E431" s="1665">
        <v>4950743815</v>
      </c>
      <c r="F431" s="1665">
        <v>4865585265</v>
      </c>
      <c r="G431" s="1665">
        <v>4950743815</v>
      </c>
      <c r="H431" s="1665">
        <v>4865585265</v>
      </c>
      <c r="I431" s="101">
        <v>4950743815</v>
      </c>
      <c r="J431" s="101">
        <v>4865585265</v>
      </c>
    </row>
    <row r="432" spans="1:10">
      <c r="A432" t="s">
        <v>1292</v>
      </c>
      <c r="B432" t="s">
        <v>7524</v>
      </c>
      <c r="C432" s="1665">
        <v>2085218333</v>
      </c>
      <c r="D432" s="1665">
        <v>2040893846</v>
      </c>
      <c r="E432" s="1665">
        <v>2085218333</v>
      </c>
      <c r="F432" s="1665">
        <v>2040893846</v>
      </c>
      <c r="G432" s="1665">
        <v>2085218333</v>
      </c>
      <c r="H432" s="1665">
        <v>2040893846</v>
      </c>
      <c r="I432" s="101">
        <v>2085218333</v>
      </c>
      <c r="J432" s="101">
        <v>2040893846</v>
      </c>
    </row>
    <row r="433" spans="1:10">
      <c r="A433" t="s">
        <v>1863</v>
      </c>
      <c r="B433" t="s">
        <v>7525</v>
      </c>
      <c r="C433" s="1665">
        <v>7768624196</v>
      </c>
      <c r="D433" s="1665">
        <v>7575371232</v>
      </c>
      <c r="E433" s="1665">
        <v>7768624196</v>
      </c>
      <c r="F433" s="1665">
        <v>7575371232</v>
      </c>
      <c r="G433" s="1665">
        <v>7768624196</v>
      </c>
      <c r="H433" s="1665">
        <v>7575371232</v>
      </c>
      <c r="I433" s="101">
        <v>7768624196</v>
      </c>
      <c r="J433" s="101">
        <v>7575371232</v>
      </c>
    </row>
    <row r="434" spans="1:10">
      <c r="A434" t="s">
        <v>1703</v>
      </c>
      <c r="B434" t="s">
        <v>7526</v>
      </c>
      <c r="C434" s="1665">
        <v>1187491206</v>
      </c>
      <c r="D434" s="1665">
        <v>1180341596</v>
      </c>
      <c r="E434" s="1665">
        <v>1177901671</v>
      </c>
      <c r="F434" s="1665">
        <v>1170752061</v>
      </c>
      <c r="G434" s="1665">
        <v>1184348801</v>
      </c>
      <c r="H434" s="1665">
        <v>1177199191</v>
      </c>
      <c r="I434" s="101">
        <v>1193938336</v>
      </c>
      <c r="J434" s="101">
        <v>1186788726</v>
      </c>
    </row>
    <row r="435" spans="1:10">
      <c r="A435" t="s">
        <v>1704</v>
      </c>
      <c r="B435" t="s">
        <v>7527</v>
      </c>
      <c r="C435" s="1665">
        <v>1374942664</v>
      </c>
      <c r="D435" s="1665">
        <v>1330988032</v>
      </c>
      <c r="E435" s="1665">
        <v>1374942664</v>
      </c>
      <c r="F435" s="1665">
        <v>1330988032</v>
      </c>
      <c r="G435" s="1665">
        <v>1374942664</v>
      </c>
      <c r="H435" s="1665">
        <v>1330988032</v>
      </c>
      <c r="I435" s="101">
        <v>1374942664</v>
      </c>
      <c r="J435" s="101">
        <v>1330988032</v>
      </c>
    </row>
    <row r="436" spans="1:10">
      <c r="A436" t="s">
        <v>2544</v>
      </c>
      <c r="B436" t="s">
        <v>7528</v>
      </c>
      <c r="C436" s="1665">
        <v>730335615</v>
      </c>
      <c r="D436" s="1665">
        <v>693019147</v>
      </c>
      <c r="E436" s="1665">
        <v>681541841</v>
      </c>
      <c r="F436" s="1665">
        <v>644225373</v>
      </c>
      <c r="G436" s="1665">
        <v>681541841</v>
      </c>
      <c r="H436" s="1665">
        <v>644225373</v>
      </c>
      <c r="I436" s="101">
        <v>730335615</v>
      </c>
      <c r="J436" s="101">
        <v>693019147</v>
      </c>
    </row>
    <row r="437" spans="1:10">
      <c r="A437" t="s">
        <v>2519</v>
      </c>
      <c r="B437" t="s">
        <v>7529</v>
      </c>
      <c r="C437" s="1665">
        <v>271733802</v>
      </c>
      <c r="D437" s="1665">
        <v>265678714</v>
      </c>
      <c r="E437" s="1665">
        <v>271733802</v>
      </c>
      <c r="F437" s="1665">
        <v>265678714</v>
      </c>
      <c r="G437" s="1665">
        <v>271733802</v>
      </c>
      <c r="H437" s="1665">
        <v>265678714</v>
      </c>
      <c r="I437" s="101">
        <v>271733802</v>
      </c>
      <c r="J437" s="101">
        <v>265678714</v>
      </c>
    </row>
    <row r="438" spans="1:10">
      <c r="A438" t="s">
        <v>2007</v>
      </c>
      <c r="B438" t="s">
        <v>7530</v>
      </c>
      <c r="C438" s="1665">
        <v>592021892</v>
      </c>
      <c r="D438" s="1665">
        <v>576408020</v>
      </c>
      <c r="E438" s="1665">
        <v>566649195</v>
      </c>
      <c r="F438" s="1665">
        <v>551035323</v>
      </c>
      <c r="G438" s="1665">
        <v>566649195</v>
      </c>
      <c r="H438" s="1665">
        <v>551035323</v>
      </c>
      <c r="I438" s="101">
        <v>592021892</v>
      </c>
      <c r="J438" s="101">
        <v>576408020</v>
      </c>
    </row>
    <row r="439" spans="1:10">
      <c r="A439" t="s">
        <v>63</v>
      </c>
      <c r="B439" t="s">
        <v>7531</v>
      </c>
      <c r="C439" s="1665">
        <v>1387329610</v>
      </c>
      <c r="D439" s="1665">
        <v>1364546426</v>
      </c>
      <c r="E439" s="1665">
        <v>1387329610</v>
      </c>
      <c r="F439" s="1665">
        <v>1364546426</v>
      </c>
      <c r="G439" s="1665">
        <v>1387329610</v>
      </c>
      <c r="H439" s="1665">
        <v>1364546426</v>
      </c>
      <c r="I439" s="101">
        <v>1387329610</v>
      </c>
      <c r="J439" s="101">
        <v>1364546426</v>
      </c>
    </row>
    <row r="440" spans="1:10">
      <c r="A440" t="s">
        <v>1518</v>
      </c>
      <c r="B440" t="s">
        <v>7532</v>
      </c>
      <c r="C440" s="1665">
        <v>50340690</v>
      </c>
      <c r="D440" s="1665">
        <v>48632011</v>
      </c>
      <c r="E440" s="1665">
        <v>49352825</v>
      </c>
      <c r="F440" s="1665">
        <v>47644146</v>
      </c>
      <c r="G440" s="1665">
        <v>49352825</v>
      </c>
      <c r="H440" s="1665">
        <v>47644146</v>
      </c>
      <c r="I440" s="101">
        <v>50340690</v>
      </c>
      <c r="J440" s="101">
        <v>48632011</v>
      </c>
    </row>
    <row r="441" spans="1:10">
      <c r="A441" t="s">
        <v>868</v>
      </c>
      <c r="B441" t="s">
        <v>7533</v>
      </c>
      <c r="C441" s="1665">
        <v>39398796</v>
      </c>
      <c r="D441" s="1665">
        <v>37589546</v>
      </c>
      <c r="E441" s="1665">
        <v>39398796</v>
      </c>
      <c r="F441" s="1665">
        <v>37589546</v>
      </c>
      <c r="G441" s="1665">
        <v>39398796</v>
      </c>
      <c r="H441" s="1665">
        <v>37589546</v>
      </c>
      <c r="I441" s="101">
        <v>39398796</v>
      </c>
      <c r="J441" s="101">
        <v>37589546</v>
      </c>
    </row>
    <row r="442" spans="1:10">
      <c r="A442" t="s">
        <v>64</v>
      </c>
      <c r="B442" t="s">
        <v>7534</v>
      </c>
      <c r="C442" s="1665">
        <v>192292719</v>
      </c>
      <c r="D442" s="1665">
        <v>186112864</v>
      </c>
      <c r="E442" s="1665">
        <v>183863606</v>
      </c>
      <c r="F442" s="1665">
        <v>177683751</v>
      </c>
      <c r="G442" s="1665">
        <v>183863606</v>
      </c>
      <c r="H442" s="1665">
        <v>177683751</v>
      </c>
      <c r="I442" s="101">
        <v>192292719</v>
      </c>
      <c r="J442" s="101">
        <v>186112864</v>
      </c>
    </row>
    <row r="443" spans="1:10">
      <c r="A443" t="s">
        <v>2127</v>
      </c>
      <c r="B443" t="s">
        <v>7535</v>
      </c>
      <c r="C443" s="1665">
        <v>1502737410</v>
      </c>
      <c r="D443" s="1665">
        <v>1419742971</v>
      </c>
      <c r="E443" s="1665">
        <v>1502737410</v>
      </c>
      <c r="F443" s="1665">
        <v>1419742971</v>
      </c>
      <c r="G443" s="1665">
        <v>1502737410</v>
      </c>
      <c r="H443" s="1665">
        <v>1419742971</v>
      </c>
      <c r="I443" s="101">
        <v>1502737410</v>
      </c>
      <c r="J443" s="101">
        <v>1419742971</v>
      </c>
    </row>
    <row r="444" spans="1:10">
      <c r="A444" t="s">
        <v>770</v>
      </c>
      <c r="B444" t="s">
        <v>7536</v>
      </c>
      <c r="C444" s="1665">
        <v>377082297</v>
      </c>
      <c r="D444" s="1665">
        <v>351403543</v>
      </c>
      <c r="E444" s="1665">
        <v>377082297</v>
      </c>
      <c r="F444" s="1665">
        <v>351403543</v>
      </c>
      <c r="G444" s="1665">
        <v>377082297</v>
      </c>
      <c r="H444" s="1665">
        <v>351403543</v>
      </c>
      <c r="I444" s="101">
        <v>377082297</v>
      </c>
      <c r="J444" s="101">
        <v>351403543</v>
      </c>
    </row>
    <row r="445" spans="1:10">
      <c r="A445" t="s">
        <v>772</v>
      </c>
      <c r="B445" t="s">
        <v>7537</v>
      </c>
      <c r="C445" s="1665">
        <v>6874262832</v>
      </c>
      <c r="D445" s="1665">
        <v>6655865768</v>
      </c>
      <c r="E445" s="1665">
        <v>6874262832</v>
      </c>
      <c r="F445" s="1665">
        <v>6655865768</v>
      </c>
      <c r="G445" s="1665">
        <v>7072578662</v>
      </c>
      <c r="H445" s="1665">
        <v>6854181598</v>
      </c>
      <c r="I445" s="101">
        <v>7072578662</v>
      </c>
      <c r="J445" s="101">
        <v>6854181598</v>
      </c>
    </row>
    <row r="446" spans="1:10">
      <c r="A446" t="s">
        <v>1865</v>
      </c>
      <c r="B446" t="s">
        <v>7538</v>
      </c>
      <c r="C446" s="1665">
        <v>529800998</v>
      </c>
      <c r="D446" s="1665">
        <v>518368965</v>
      </c>
      <c r="E446" s="1665">
        <v>529800998</v>
      </c>
      <c r="F446" s="1665">
        <v>518368965</v>
      </c>
      <c r="G446" s="1665">
        <v>529800998</v>
      </c>
      <c r="H446" s="1665">
        <v>518368965</v>
      </c>
      <c r="I446" s="101">
        <v>529800998</v>
      </c>
      <c r="J446" s="101">
        <v>518368965</v>
      </c>
    </row>
    <row r="447" spans="1:10">
      <c r="A447" t="s">
        <v>2529</v>
      </c>
      <c r="B447" t="s">
        <v>7539</v>
      </c>
      <c r="C447" s="1665">
        <v>7396750422</v>
      </c>
      <c r="D447" s="1665">
        <v>7204551926</v>
      </c>
      <c r="E447" s="1665">
        <v>7396750422</v>
      </c>
      <c r="F447" s="1665">
        <v>7204551926</v>
      </c>
      <c r="G447" s="1665">
        <v>7396750422</v>
      </c>
      <c r="H447" s="1665">
        <v>7204551926</v>
      </c>
      <c r="I447" s="101">
        <v>7396750422</v>
      </c>
      <c r="J447" s="101">
        <v>7204551926</v>
      </c>
    </row>
    <row r="448" spans="1:10">
      <c r="A448" t="s">
        <v>2532</v>
      </c>
      <c r="B448" t="s">
        <v>7540</v>
      </c>
      <c r="C448" s="1665">
        <v>567832497</v>
      </c>
      <c r="D448" s="1665">
        <v>538845094</v>
      </c>
      <c r="E448" s="1665">
        <v>567832497</v>
      </c>
      <c r="F448" s="1665">
        <v>538845094</v>
      </c>
      <c r="G448" s="1665">
        <v>567832497</v>
      </c>
      <c r="H448" s="1665">
        <v>538845094</v>
      </c>
      <c r="I448" s="101">
        <v>567832497</v>
      </c>
      <c r="J448" s="101">
        <v>538845094</v>
      </c>
    </row>
    <row r="449" spans="1:10">
      <c r="A449" t="s">
        <v>2538</v>
      </c>
      <c r="B449" t="s">
        <v>7541</v>
      </c>
      <c r="C449" s="1665">
        <v>2117632490</v>
      </c>
      <c r="D449" s="1665">
        <v>2015603567</v>
      </c>
      <c r="E449" s="1665">
        <v>2117632490</v>
      </c>
      <c r="F449" s="1665">
        <v>2015603567</v>
      </c>
      <c r="G449" s="1665">
        <v>2117632490</v>
      </c>
      <c r="H449" s="1665">
        <v>2015603567</v>
      </c>
      <c r="I449" s="101">
        <v>2117632490</v>
      </c>
      <c r="J449" s="101">
        <v>2015603567</v>
      </c>
    </row>
    <row r="450" spans="1:10">
      <c r="A450" t="s">
        <v>211</v>
      </c>
      <c r="B450" t="s">
        <v>7542</v>
      </c>
      <c r="C450" s="1665">
        <v>4665506943</v>
      </c>
      <c r="D450" s="1665">
        <v>4477457135</v>
      </c>
      <c r="E450" s="1665">
        <v>4665506943</v>
      </c>
      <c r="F450" s="1665">
        <v>4477457135</v>
      </c>
      <c r="G450" s="1665">
        <v>4665506943</v>
      </c>
      <c r="H450" s="1665">
        <v>4477457135</v>
      </c>
      <c r="I450" s="101">
        <v>4665506943</v>
      </c>
      <c r="J450" s="101">
        <v>4477457135</v>
      </c>
    </row>
    <row r="451" spans="1:10">
      <c r="A451" t="s">
        <v>1067</v>
      </c>
      <c r="B451" t="s">
        <v>7543</v>
      </c>
      <c r="C451" s="1665">
        <v>181621977</v>
      </c>
      <c r="D451" s="1665">
        <v>171251326</v>
      </c>
      <c r="E451" s="1665">
        <v>181621977</v>
      </c>
      <c r="F451" s="1665">
        <v>171251326</v>
      </c>
      <c r="G451" s="1665">
        <v>181621977</v>
      </c>
      <c r="H451" s="1665">
        <v>171251326</v>
      </c>
      <c r="I451" s="101">
        <v>181621977</v>
      </c>
      <c r="J451" s="101">
        <v>171251326</v>
      </c>
    </row>
    <row r="452" spans="1:10">
      <c r="A452" t="s">
        <v>1562</v>
      </c>
      <c r="B452" t="s">
        <v>7544</v>
      </c>
      <c r="C452" s="1665">
        <v>3264005601</v>
      </c>
      <c r="D452" s="1665">
        <v>3182146746</v>
      </c>
      <c r="E452" s="1665">
        <v>3264005601</v>
      </c>
      <c r="F452" s="1665">
        <v>3182146746</v>
      </c>
      <c r="G452" s="1665">
        <v>3264005601</v>
      </c>
      <c r="H452" s="1665">
        <v>3182146746</v>
      </c>
      <c r="I452" s="101">
        <v>3264005601</v>
      </c>
      <c r="J452" s="101">
        <v>3182146746</v>
      </c>
    </row>
    <row r="453" spans="1:10">
      <c r="A453" t="s">
        <v>58</v>
      </c>
      <c r="B453" t="s">
        <v>7545</v>
      </c>
      <c r="C453" s="1665">
        <v>2638089104</v>
      </c>
      <c r="D453" s="1665">
        <v>2499743174</v>
      </c>
      <c r="E453" s="1665">
        <v>2638089104</v>
      </c>
      <c r="F453" s="1665">
        <v>2499743174</v>
      </c>
      <c r="G453" s="1665">
        <v>2638089104</v>
      </c>
      <c r="H453" s="1665">
        <v>2499743174</v>
      </c>
      <c r="I453" s="101">
        <v>2638089104</v>
      </c>
      <c r="J453" s="101">
        <v>2499743174</v>
      </c>
    </row>
    <row r="454" spans="1:10">
      <c r="A454" t="s">
        <v>723</v>
      </c>
      <c r="B454" t="s">
        <v>7546</v>
      </c>
      <c r="C454" s="1665">
        <v>2375400726</v>
      </c>
      <c r="D454" s="1665">
        <v>2268002129</v>
      </c>
      <c r="E454" s="1665">
        <v>2375400726</v>
      </c>
      <c r="F454" s="1665">
        <v>2268002129</v>
      </c>
      <c r="G454" s="1665">
        <v>2375400726</v>
      </c>
      <c r="H454" s="1665">
        <v>2268002129</v>
      </c>
      <c r="I454" s="101">
        <v>2375400726</v>
      </c>
      <c r="J454" s="101">
        <v>2268002129</v>
      </c>
    </row>
    <row r="455" spans="1:10">
      <c r="A455" t="s">
        <v>60</v>
      </c>
      <c r="B455" t="s">
        <v>7547</v>
      </c>
      <c r="C455" s="1665">
        <v>105070725</v>
      </c>
      <c r="D455" s="1665">
        <v>101068018</v>
      </c>
      <c r="E455" s="1665">
        <v>105070725</v>
      </c>
      <c r="F455" s="1665">
        <v>101068018</v>
      </c>
      <c r="G455" s="1665">
        <v>105070725</v>
      </c>
      <c r="H455" s="1665">
        <v>101068018</v>
      </c>
      <c r="I455" s="101">
        <v>105070725</v>
      </c>
      <c r="J455" s="101">
        <v>101068018</v>
      </c>
    </row>
    <row r="456" spans="1:10">
      <c r="A456" t="s">
        <v>512</v>
      </c>
      <c r="B456" t="s">
        <v>7548</v>
      </c>
      <c r="C456" s="1665">
        <v>123385589</v>
      </c>
      <c r="D456" s="1665">
        <v>117824996</v>
      </c>
      <c r="E456" s="1665">
        <v>123385589</v>
      </c>
      <c r="F456" s="1665">
        <v>117824996</v>
      </c>
      <c r="G456" s="1665">
        <v>123385589</v>
      </c>
      <c r="H456" s="1665">
        <v>117824996</v>
      </c>
      <c r="I456" s="101">
        <v>123385589</v>
      </c>
      <c r="J456" s="101">
        <v>117824996</v>
      </c>
    </row>
    <row r="457" spans="1:10">
      <c r="A457" t="s">
        <v>1522</v>
      </c>
      <c r="B457" t="s">
        <v>7285</v>
      </c>
      <c r="C457" s="1665">
        <v>630152657</v>
      </c>
      <c r="D457" s="1665">
        <v>606943806</v>
      </c>
      <c r="E457" s="1665">
        <v>630152657</v>
      </c>
      <c r="F457" s="1665">
        <v>606943806</v>
      </c>
      <c r="G457" s="1665">
        <v>630152657</v>
      </c>
      <c r="H457" s="1665">
        <v>606943806</v>
      </c>
      <c r="I457" s="101">
        <v>630152657</v>
      </c>
      <c r="J457" s="101">
        <v>606943806</v>
      </c>
    </row>
    <row r="458" spans="1:10">
      <c r="A458" t="s">
        <v>149</v>
      </c>
      <c r="B458" t="s">
        <v>7549</v>
      </c>
      <c r="C458" s="1665">
        <v>98687406</v>
      </c>
      <c r="D458" s="1665">
        <v>95842678</v>
      </c>
      <c r="E458" s="1665">
        <v>98687406</v>
      </c>
      <c r="F458" s="1665">
        <v>95842678</v>
      </c>
      <c r="G458" s="1665">
        <v>98687406</v>
      </c>
      <c r="H458" s="1665">
        <v>95842678</v>
      </c>
      <c r="I458" s="101">
        <v>98687406</v>
      </c>
      <c r="J458" s="101">
        <v>95842678</v>
      </c>
    </row>
    <row r="459" spans="1:10">
      <c r="A459" t="s">
        <v>2509</v>
      </c>
      <c r="B459" t="s">
        <v>7550</v>
      </c>
      <c r="C459" s="1665">
        <v>90093583</v>
      </c>
      <c r="D459" s="1665">
        <v>87767778</v>
      </c>
      <c r="E459" s="1665">
        <v>90093583</v>
      </c>
      <c r="F459" s="1665">
        <v>87767778</v>
      </c>
      <c r="G459" s="1665">
        <v>90093583</v>
      </c>
      <c r="H459" s="1665">
        <v>87767778</v>
      </c>
      <c r="I459" s="101">
        <v>90093583</v>
      </c>
      <c r="J459" s="101">
        <v>87767778</v>
      </c>
    </row>
    <row r="460" spans="1:10">
      <c r="A460" t="s">
        <v>2402</v>
      </c>
      <c r="B460" t="s">
        <v>7551</v>
      </c>
      <c r="C460" s="1665">
        <v>95501916</v>
      </c>
      <c r="D460" s="1665">
        <v>91751855</v>
      </c>
      <c r="E460" s="1665">
        <v>95501916</v>
      </c>
      <c r="F460" s="1665">
        <v>91751855</v>
      </c>
      <c r="G460" s="1665">
        <v>95501916</v>
      </c>
      <c r="H460" s="1665">
        <v>91751855</v>
      </c>
      <c r="I460" s="101">
        <v>95501916</v>
      </c>
      <c r="J460" s="101">
        <v>91751855</v>
      </c>
    </row>
    <row r="461" spans="1:10">
      <c r="A461" t="s">
        <v>1867</v>
      </c>
      <c r="B461" t="s">
        <v>7552</v>
      </c>
      <c r="C461" s="1665">
        <v>714857810</v>
      </c>
      <c r="D461" s="1665">
        <v>697340806</v>
      </c>
      <c r="E461" s="1665">
        <v>714857810</v>
      </c>
      <c r="F461" s="1665">
        <v>697340806</v>
      </c>
      <c r="G461" s="1665">
        <v>789571450</v>
      </c>
      <c r="H461" s="1665">
        <v>772054446</v>
      </c>
      <c r="I461" s="101">
        <v>789571450</v>
      </c>
      <c r="J461" s="101">
        <v>772054446</v>
      </c>
    </row>
    <row r="462" spans="1:10">
      <c r="A462" t="s">
        <v>513</v>
      </c>
      <c r="B462" t="s">
        <v>7176</v>
      </c>
      <c r="C462" s="1665">
        <v>87271501</v>
      </c>
      <c r="D462" s="1665">
        <v>83120805</v>
      </c>
      <c r="E462" s="1665">
        <v>87271501</v>
      </c>
      <c r="F462" s="1665">
        <v>83120805</v>
      </c>
      <c r="G462" s="1665">
        <v>87271501</v>
      </c>
      <c r="H462" s="1665">
        <v>83120805</v>
      </c>
      <c r="I462" s="101">
        <v>87271501</v>
      </c>
      <c r="J462" s="101">
        <v>83120805</v>
      </c>
    </row>
    <row r="463" spans="1:10">
      <c r="A463" t="s">
        <v>42</v>
      </c>
      <c r="B463" t="s">
        <v>7553</v>
      </c>
      <c r="C463" s="1665">
        <v>216040539</v>
      </c>
      <c r="D463" s="1665">
        <v>209035379</v>
      </c>
      <c r="E463" s="1665">
        <v>216040539</v>
      </c>
      <c r="F463" s="1665">
        <v>209035379</v>
      </c>
      <c r="G463" s="1665">
        <v>216040539</v>
      </c>
      <c r="H463" s="1665">
        <v>209035379</v>
      </c>
      <c r="I463" s="101">
        <v>216040539</v>
      </c>
      <c r="J463" s="101">
        <v>209035379</v>
      </c>
    </row>
    <row r="464" spans="1:10">
      <c r="A464" t="s">
        <v>150</v>
      </c>
      <c r="B464" t="s">
        <v>7554</v>
      </c>
      <c r="C464" s="1665">
        <v>52290159</v>
      </c>
      <c r="D464" s="1665">
        <v>51108436</v>
      </c>
      <c r="E464" s="1665">
        <v>52290159</v>
      </c>
      <c r="F464" s="1665">
        <v>51108436</v>
      </c>
      <c r="G464" s="1665">
        <v>52290159</v>
      </c>
      <c r="H464" s="1665">
        <v>51108436</v>
      </c>
      <c r="I464" s="101">
        <v>52290159</v>
      </c>
      <c r="J464" s="101">
        <v>51108436</v>
      </c>
    </row>
    <row r="465" spans="1:10">
      <c r="A465" t="s">
        <v>521</v>
      </c>
      <c r="B465" t="s">
        <v>7555</v>
      </c>
      <c r="C465" s="1665">
        <v>34394646</v>
      </c>
      <c r="D465" s="1665">
        <v>32507414</v>
      </c>
      <c r="E465" s="1665">
        <v>34394646</v>
      </c>
      <c r="F465" s="1665">
        <v>32507414</v>
      </c>
      <c r="G465" s="1665">
        <v>34394646</v>
      </c>
      <c r="H465" s="1665">
        <v>32507414</v>
      </c>
      <c r="I465" s="101">
        <v>34394646</v>
      </c>
      <c r="J465" s="101">
        <v>32507414</v>
      </c>
    </row>
    <row r="466" spans="1:10">
      <c r="A466" t="s">
        <v>1563</v>
      </c>
      <c r="B466" t="s">
        <v>7556</v>
      </c>
      <c r="C466" s="1665">
        <v>641292198</v>
      </c>
      <c r="D466" s="1665">
        <v>616888876</v>
      </c>
      <c r="E466" s="1665">
        <v>641292198</v>
      </c>
      <c r="F466" s="1665">
        <v>616888876</v>
      </c>
      <c r="G466" s="1665">
        <v>641292198</v>
      </c>
      <c r="H466" s="1665">
        <v>616888876</v>
      </c>
      <c r="I466" s="101">
        <v>641292198</v>
      </c>
      <c r="J466" s="101">
        <v>616888876</v>
      </c>
    </row>
    <row r="467" spans="1:10">
      <c r="A467" t="s">
        <v>522</v>
      </c>
      <c r="B467" t="s">
        <v>7557</v>
      </c>
      <c r="C467" s="1665">
        <v>90257064</v>
      </c>
      <c r="D467" s="1665">
        <v>87168364</v>
      </c>
      <c r="E467" s="1665">
        <v>90257064</v>
      </c>
      <c r="F467" s="1665">
        <v>87168364</v>
      </c>
      <c r="G467" s="1665">
        <v>90257064</v>
      </c>
      <c r="H467" s="1665">
        <v>87168364</v>
      </c>
      <c r="I467" s="101">
        <v>90257064</v>
      </c>
      <c r="J467" s="101">
        <v>87168364</v>
      </c>
    </row>
    <row r="468" spans="1:10">
      <c r="A468" t="s">
        <v>1540</v>
      </c>
      <c r="B468" t="s">
        <v>7558</v>
      </c>
      <c r="C468" s="1665">
        <v>158038192</v>
      </c>
      <c r="D468" s="1665">
        <v>154305542</v>
      </c>
      <c r="E468" s="1665">
        <v>158038192</v>
      </c>
      <c r="F468" s="1665">
        <v>154305542</v>
      </c>
      <c r="G468" s="1665">
        <v>158038192</v>
      </c>
      <c r="H468" s="1665">
        <v>154305542</v>
      </c>
      <c r="I468" s="101">
        <v>158038192</v>
      </c>
      <c r="J468" s="101">
        <v>154305542</v>
      </c>
    </row>
    <row r="469" spans="1:10">
      <c r="A469" t="s">
        <v>523</v>
      </c>
      <c r="B469" t="s">
        <v>7559</v>
      </c>
      <c r="C469" s="1665">
        <v>32423034</v>
      </c>
      <c r="D469" s="1665">
        <v>31064977</v>
      </c>
      <c r="E469" s="1665">
        <v>32423034</v>
      </c>
      <c r="F469" s="1665">
        <v>31064977</v>
      </c>
      <c r="G469" s="1665">
        <v>32423034</v>
      </c>
      <c r="H469" s="1665">
        <v>31064977</v>
      </c>
      <c r="I469" s="101">
        <v>32423034</v>
      </c>
      <c r="J469" s="101">
        <v>31064977</v>
      </c>
    </row>
    <row r="470" spans="1:10">
      <c r="A470" t="s">
        <v>1564</v>
      </c>
      <c r="B470" t="s">
        <v>7560</v>
      </c>
      <c r="C470" s="1665">
        <v>71444206</v>
      </c>
      <c r="D470" s="1665">
        <v>69389369</v>
      </c>
      <c r="E470" s="1665">
        <v>71444206</v>
      </c>
      <c r="F470" s="1665">
        <v>69389369</v>
      </c>
      <c r="G470" s="1665">
        <v>71444206</v>
      </c>
      <c r="H470" s="1665">
        <v>69389369</v>
      </c>
      <c r="I470" s="101">
        <v>71444206</v>
      </c>
      <c r="J470" s="101">
        <v>69389369</v>
      </c>
    </row>
    <row r="471" spans="1:10">
      <c r="A471" t="s">
        <v>1565</v>
      </c>
      <c r="B471" t="s">
        <v>7561</v>
      </c>
      <c r="C471" s="1665">
        <v>1222773808</v>
      </c>
      <c r="D471" s="1665">
        <v>1192636540</v>
      </c>
      <c r="E471" s="1665">
        <v>1222773808</v>
      </c>
      <c r="F471" s="1665">
        <v>1192636540</v>
      </c>
      <c r="G471" s="1665">
        <v>1222773808</v>
      </c>
      <c r="H471" s="1665">
        <v>1192636540</v>
      </c>
      <c r="I471" s="101">
        <v>1222773808</v>
      </c>
      <c r="J471" s="101">
        <v>1192636540</v>
      </c>
    </row>
    <row r="472" spans="1:10">
      <c r="A472" t="s">
        <v>1241</v>
      </c>
      <c r="B472" t="s">
        <v>7562</v>
      </c>
      <c r="C472" s="1665">
        <v>110491896</v>
      </c>
      <c r="D472" s="1665">
        <v>107593171</v>
      </c>
      <c r="E472" s="1665">
        <v>110491896</v>
      </c>
      <c r="F472" s="1665">
        <v>107593171</v>
      </c>
      <c r="G472" s="1665">
        <v>110491896</v>
      </c>
      <c r="H472" s="1665">
        <v>107593171</v>
      </c>
      <c r="I472" s="101">
        <v>110491896</v>
      </c>
      <c r="J472" s="101">
        <v>107593171</v>
      </c>
    </row>
    <row r="473" spans="1:10">
      <c r="A473" t="s">
        <v>1843</v>
      </c>
      <c r="B473" t="s">
        <v>7563</v>
      </c>
      <c r="C473" s="1665">
        <v>114346311</v>
      </c>
      <c r="D473" s="1665">
        <v>110635077</v>
      </c>
      <c r="E473" s="1665">
        <v>114346311</v>
      </c>
      <c r="F473" s="1665">
        <v>110635077</v>
      </c>
      <c r="G473" s="1665">
        <v>114346311</v>
      </c>
      <c r="H473" s="1665">
        <v>110635077</v>
      </c>
      <c r="I473" s="101">
        <v>114346311</v>
      </c>
      <c r="J473" s="101">
        <v>110635077</v>
      </c>
    </row>
    <row r="474" spans="1:10">
      <c r="A474" t="s">
        <v>1242</v>
      </c>
      <c r="B474" t="s">
        <v>7564</v>
      </c>
      <c r="C474" s="1665">
        <v>828457408</v>
      </c>
      <c r="D474" s="1665">
        <v>825569218</v>
      </c>
      <c r="E474" s="1665">
        <v>825841020</v>
      </c>
      <c r="F474" s="1665">
        <v>822952830</v>
      </c>
      <c r="G474" s="1665">
        <v>825841020</v>
      </c>
      <c r="H474" s="1665">
        <v>822952830</v>
      </c>
      <c r="I474" s="101">
        <v>828457408</v>
      </c>
      <c r="J474" s="101">
        <v>825569218</v>
      </c>
    </row>
    <row r="475" spans="1:10">
      <c r="A475" t="s">
        <v>1243</v>
      </c>
      <c r="B475" t="s">
        <v>7565</v>
      </c>
      <c r="C475" s="1665">
        <v>54477872</v>
      </c>
      <c r="D475" s="1665">
        <v>53529942</v>
      </c>
      <c r="E475" s="1665">
        <v>54477872</v>
      </c>
      <c r="F475" s="1665">
        <v>53529942</v>
      </c>
      <c r="G475" s="1665">
        <v>54477872</v>
      </c>
      <c r="H475" s="1665">
        <v>53529942</v>
      </c>
      <c r="I475" s="101">
        <v>54477872</v>
      </c>
      <c r="J475" s="101">
        <v>53529942</v>
      </c>
    </row>
    <row r="476" spans="1:10">
      <c r="A476" t="s">
        <v>1244</v>
      </c>
      <c r="B476" t="s">
        <v>7566</v>
      </c>
      <c r="C476" s="1665">
        <v>5836303184</v>
      </c>
      <c r="D476" s="1665">
        <v>5713907551</v>
      </c>
      <c r="E476" s="1665">
        <v>5836303184</v>
      </c>
      <c r="F476" s="1665">
        <v>5713907551</v>
      </c>
      <c r="G476" s="1665">
        <v>5836303184</v>
      </c>
      <c r="H476" s="1665">
        <v>5713907551</v>
      </c>
      <c r="I476" s="101">
        <v>5836303184</v>
      </c>
      <c r="J476" s="101">
        <v>5713907551</v>
      </c>
    </row>
    <row r="477" spans="1:10">
      <c r="A477" t="s">
        <v>1772</v>
      </c>
      <c r="B477" t="s">
        <v>7567</v>
      </c>
      <c r="C477" s="1665">
        <v>177644191</v>
      </c>
      <c r="D477" s="1665">
        <v>173313021</v>
      </c>
      <c r="E477" s="1665">
        <v>177644191</v>
      </c>
      <c r="F477" s="1665">
        <v>173313021</v>
      </c>
      <c r="G477" s="1665">
        <v>177644191</v>
      </c>
      <c r="H477" s="1665">
        <v>173313021</v>
      </c>
      <c r="I477" s="101">
        <v>177644191</v>
      </c>
      <c r="J477" s="101">
        <v>173313021</v>
      </c>
    </row>
    <row r="478" spans="1:10">
      <c r="A478" t="s">
        <v>1516</v>
      </c>
      <c r="B478" t="s">
        <v>7568</v>
      </c>
      <c r="C478" s="1665">
        <v>269375901</v>
      </c>
      <c r="D478" s="1665">
        <v>263469430</v>
      </c>
      <c r="E478" s="1665">
        <v>269375901</v>
      </c>
      <c r="F478" s="1665">
        <v>263469430</v>
      </c>
      <c r="G478" s="1665">
        <v>269375901</v>
      </c>
      <c r="H478" s="1665">
        <v>263469430</v>
      </c>
      <c r="I478" s="101">
        <v>269375901</v>
      </c>
      <c r="J478" s="101">
        <v>263469430</v>
      </c>
    </row>
    <row r="479" spans="1:10">
      <c r="A479" t="s">
        <v>180</v>
      </c>
      <c r="B479" t="s">
        <v>7569</v>
      </c>
      <c r="C479" s="1665">
        <v>1540555819</v>
      </c>
      <c r="D479" s="1665">
        <v>1494585470</v>
      </c>
      <c r="E479" s="1665">
        <v>1540555819</v>
      </c>
      <c r="F479" s="1665">
        <v>1494585470</v>
      </c>
      <c r="G479" s="1665">
        <v>1540555819</v>
      </c>
      <c r="H479" s="1665">
        <v>1494585470</v>
      </c>
      <c r="I479" s="101">
        <v>1540555819</v>
      </c>
      <c r="J479" s="101">
        <v>1494585470</v>
      </c>
    </row>
    <row r="480" spans="1:10">
      <c r="A480" t="s">
        <v>1497</v>
      </c>
      <c r="B480" t="s">
        <v>7570</v>
      </c>
      <c r="C480" s="1665">
        <v>92393192</v>
      </c>
      <c r="D480" s="1665">
        <v>87741361</v>
      </c>
      <c r="E480" s="1665">
        <v>92393192</v>
      </c>
      <c r="F480" s="1665">
        <v>87741361</v>
      </c>
      <c r="G480" s="1665">
        <v>92393192</v>
      </c>
      <c r="H480" s="1665">
        <v>87741361</v>
      </c>
      <c r="I480" s="101">
        <v>92393192</v>
      </c>
      <c r="J480" s="101">
        <v>87741361</v>
      </c>
    </row>
    <row r="481" spans="1:10">
      <c r="A481" t="s">
        <v>181</v>
      </c>
      <c r="B481" t="s">
        <v>7571</v>
      </c>
      <c r="C481" s="1665">
        <v>90900747</v>
      </c>
      <c r="D481" s="1665">
        <v>86758578</v>
      </c>
      <c r="E481" s="1665">
        <v>90900747</v>
      </c>
      <c r="F481" s="1665">
        <v>86758578</v>
      </c>
      <c r="G481" s="1665">
        <v>90900747</v>
      </c>
      <c r="H481" s="1665">
        <v>86758578</v>
      </c>
      <c r="I481" s="101">
        <v>90900747</v>
      </c>
      <c r="J481" s="101">
        <v>86758578</v>
      </c>
    </row>
    <row r="482" spans="1:10">
      <c r="A482" t="s">
        <v>1943</v>
      </c>
      <c r="B482" t="s">
        <v>7572</v>
      </c>
      <c r="C482" s="1665">
        <v>68199118</v>
      </c>
      <c r="D482" s="1665">
        <v>64726352</v>
      </c>
      <c r="E482" s="1665">
        <v>68199118</v>
      </c>
      <c r="F482" s="1665">
        <v>64726352</v>
      </c>
      <c r="G482" s="1665">
        <v>68199118</v>
      </c>
      <c r="H482" s="1665">
        <v>64726352</v>
      </c>
      <c r="I482" s="101">
        <v>68199118</v>
      </c>
      <c r="J482" s="101">
        <v>64726352</v>
      </c>
    </row>
    <row r="483" spans="1:10">
      <c r="A483" t="s">
        <v>182</v>
      </c>
      <c r="B483" t="s">
        <v>7573</v>
      </c>
      <c r="C483" s="1665">
        <v>161540814</v>
      </c>
      <c r="D483" s="1665">
        <v>155170345</v>
      </c>
      <c r="E483" s="1665">
        <v>161540814</v>
      </c>
      <c r="F483" s="1665">
        <v>155170345</v>
      </c>
      <c r="G483" s="1665">
        <v>161540814</v>
      </c>
      <c r="H483" s="1665">
        <v>155170345</v>
      </c>
      <c r="I483" s="101">
        <v>161540814</v>
      </c>
      <c r="J483" s="101">
        <v>155170345</v>
      </c>
    </row>
    <row r="484" spans="1:10">
      <c r="A484" t="s">
        <v>183</v>
      </c>
      <c r="B484" t="s">
        <v>7574</v>
      </c>
      <c r="C484" s="1665">
        <v>75874572</v>
      </c>
      <c r="D484" s="1665">
        <v>73856720</v>
      </c>
      <c r="E484" s="1665">
        <v>75874572</v>
      </c>
      <c r="F484" s="1665">
        <v>73856720</v>
      </c>
      <c r="G484" s="1665">
        <v>75874572</v>
      </c>
      <c r="H484" s="1665">
        <v>73856720</v>
      </c>
      <c r="I484" s="101">
        <v>75874572</v>
      </c>
      <c r="J484" s="101">
        <v>73856720</v>
      </c>
    </row>
    <row r="485" spans="1:10">
      <c r="A485" t="s">
        <v>1498</v>
      </c>
      <c r="B485" t="s">
        <v>7575</v>
      </c>
      <c r="C485" s="1665">
        <v>110053173</v>
      </c>
      <c r="D485" s="1665">
        <v>107337422</v>
      </c>
      <c r="E485" s="1665">
        <v>110053173</v>
      </c>
      <c r="F485" s="1665">
        <v>107337422</v>
      </c>
      <c r="G485" s="1665">
        <v>110053173</v>
      </c>
      <c r="H485" s="1665">
        <v>107337422</v>
      </c>
      <c r="I485" s="101">
        <v>110053173</v>
      </c>
      <c r="J485" s="101">
        <v>107337422</v>
      </c>
    </row>
    <row r="486" spans="1:10">
      <c r="A486" t="s">
        <v>1421</v>
      </c>
      <c r="B486" t="s">
        <v>7576</v>
      </c>
      <c r="C486" s="1665">
        <v>535221710</v>
      </c>
      <c r="D486" s="1665">
        <v>518544930</v>
      </c>
      <c r="E486" s="1665">
        <v>535221710</v>
      </c>
      <c r="F486" s="1665">
        <v>518544930</v>
      </c>
      <c r="G486" s="1665">
        <v>597341780</v>
      </c>
      <c r="H486" s="1665">
        <v>580665000</v>
      </c>
      <c r="I486" s="101">
        <v>597341780</v>
      </c>
      <c r="J486" s="101">
        <v>580665000</v>
      </c>
    </row>
    <row r="487" spans="1:10">
      <c r="A487" t="s">
        <v>1261</v>
      </c>
      <c r="B487" t="s">
        <v>7577</v>
      </c>
      <c r="C487" s="1665">
        <v>333456573</v>
      </c>
      <c r="D487" s="1665">
        <v>323522573</v>
      </c>
      <c r="E487" s="1665">
        <v>333456573</v>
      </c>
      <c r="F487" s="1665">
        <v>323522573</v>
      </c>
      <c r="G487" s="1665">
        <v>333456573</v>
      </c>
      <c r="H487" s="1665">
        <v>323522573</v>
      </c>
      <c r="I487" s="101">
        <v>333456573</v>
      </c>
      <c r="J487" s="101">
        <v>323522573</v>
      </c>
    </row>
    <row r="488" spans="1:10">
      <c r="A488" t="s">
        <v>978</v>
      </c>
      <c r="B488" t="s">
        <v>7578</v>
      </c>
      <c r="C488" s="1665">
        <v>261732910</v>
      </c>
      <c r="D488" s="1665">
        <v>255133040</v>
      </c>
      <c r="E488" s="1665">
        <v>261732910</v>
      </c>
      <c r="F488" s="1665">
        <v>255133040</v>
      </c>
      <c r="G488" s="1665">
        <v>261732910</v>
      </c>
      <c r="H488" s="1665">
        <v>255133040</v>
      </c>
      <c r="I488" s="101">
        <v>261732910</v>
      </c>
      <c r="J488" s="101">
        <v>255133040</v>
      </c>
    </row>
    <row r="489" spans="1:10">
      <c r="A489" t="s">
        <v>979</v>
      </c>
      <c r="B489" t="s">
        <v>7579</v>
      </c>
      <c r="C489" s="1665">
        <v>179186583</v>
      </c>
      <c r="D489" s="1665">
        <v>173289023</v>
      </c>
      <c r="E489" s="1665">
        <v>179186583</v>
      </c>
      <c r="F489" s="1665">
        <v>173289023</v>
      </c>
      <c r="G489" s="1665">
        <v>179186583</v>
      </c>
      <c r="H489" s="1665">
        <v>173289023</v>
      </c>
      <c r="I489" s="101">
        <v>179186583</v>
      </c>
      <c r="J489" s="101">
        <v>173289023</v>
      </c>
    </row>
    <row r="490" spans="1:10">
      <c r="A490" t="s">
        <v>899</v>
      </c>
      <c r="B490" t="s">
        <v>7580</v>
      </c>
      <c r="C490" s="1665">
        <v>139437190</v>
      </c>
      <c r="D490" s="1665">
        <v>134133560</v>
      </c>
      <c r="E490" s="1665">
        <v>139437190</v>
      </c>
      <c r="F490" s="1665">
        <v>134133560</v>
      </c>
      <c r="G490" s="1665">
        <v>139437190</v>
      </c>
      <c r="H490" s="1665">
        <v>134133560</v>
      </c>
      <c r="I490" s="101">
        <v>139437190</v>
      </c>
      <c r="J490" s="101">
        <v>134133560</v>
      </c>
    </row>
    <row r="491" spans="1:10">
      <c r="A491" t="s">
        <v>1797</v>
      </c>
      <c r="B491" t="s">
        <v>7581</v>
      </c>
      <c r="C491" s="1665">
        <v>2478136312</v>
      </c>
      <c r="D491" s="1665">
        <v>2437415604</v>
      </c>
      <c r="E491" s="1665">
        <v>2435459776</v>
      </c>
      <c r="F491" s="1665">
        <v>2394739068</v>
      </c>
      <c r="G491" s="1665">
        <v>2533273776</v>
      </c>
      <c r="H491" s="1665">
        <v>2492553068</v>
      </c>
      <c r="I491" s="101">
        <v>2575950312</v>
      </c>
      <c r="J491" s="101">
        <v>2535229604</v>
      </c>
    </row>
    <row r="492" spans="1:10">
      <c r="A492" t="s">
        <v>2677</v>
      </c>
      <c r="B492" t="s">
        <v>7582</v>
      </c>
      <c r="C492" s="1665">
        <v>400471502</v>
      </c>
      <c r="D492" s="1665">
        <v>391392566</v>
      </c>
      <c r="E492" s="1665">
        <v>389401436</v>
      </c>
      <c r="F492" s="1665">
        <v>380322500</v>
      </c>
      <c r="G492" s="1665">
        <v>389401436</v>
      </c>
      <c r="H492" s="1665">
        <v>380322500</v>
      </c>
      <c r="I492" s="101">
        <v>400471502</v>
      </c>
      <c r="J492" s="101">
        <v>391392566</v>
      </c>
    </row>
    <row r="493" spans="1:10">
      <c r="A493" t="s">
        <v>2678</v>
      </c>
      <c r="B493" t="s">
        <v>7583</v>
      </c>
      <c r="C493" s="1665">
        <v>623986774</v>
      </c>
      <c r="D493" s="1665">
        <v>618360419</v>
      </c>
      <c r="E493" s="1665">
        <v>616259846</v>
      </c>
      <c r="F493" s="1665">
        <v>610633491</v>
      </c>
      <c r="G493" s="1665">
        <v>625989246</v>
      </c>
      <c r="H493" s="1665">
        <v>620362891</v>
      </c>
      <c r="I493" s="101">
        <v>633716174</v>
      </c>
      <c r="J493" s="101">
        <v>628089819</v>
      </c>
    </row>
    <row r="494" spans="1:10">
      <c r="A494" t="s">
        <v>1331</v>
      </c>
      <c r="B494" t="s">
        <v>7584</v>
      </c>
      <c r="C494" s="1665">
        <v>263711991</v>
      </c>
      <c r="D494" s="1665">
        <v>260950982</v>
      </c>
      <c r="E494" s="1665">
        <v>263711991</v>
      </c>
      <c r="F494" s="1665">
        <v>260950982</v>
      </c>
      <c r="G494" s="1665">
        <v>263711991</v>
      </c>
      <c r="H494" s="1665">
        <v>260950982</v>
      </c>
      <c r="I494" s="101">
        <v>263711991</v>
      </c>
      <c r="J494" s="101">
        <v>260950982</v>
      </c>
    </row>
    <row r="495" spans="1:10">
      <c r="A495" t="s">
        <v>2177</v>
      </c>
      <c r="B495" t="s">
        <v>7585</v>
      </c>
      <c r="C495" s="1665">
        <v>183443973</v>
      </c>
      <c r="D495" s="1665">
        <v>182661000</v>
      </c>
      <c r="E495" s="1665">
        <v>183443973</v>
      </c>
      <c r="F495" s="1665">
        <v>182661000</v>
      </c>
      <c r="G495" s="1665">
        <v>183443973</v>
      </c>
      <c r="H495" s="1665">
        <v>182661000</v>
      </c>
      <c r="I495" s="101">
        <v>183443973</v>
      </c>
      <c r="J495" s="101">
        <v>182661000</v>
      </c>
    </row>
    <row r="496" spans="1:10">
      <c r="A496" t="s">
        <v>1111</v>
      </c>
      <c r="B496" t="s">
        <v>7586</v>
      </c>
      <c r="C496" s="1665">
        <v>66862987</v>
      </c>
      <c r="D496" s="1665">
        <v>66214272</v>
      </c>
      <c r="E496" s="1665">
        <v>66583065</v>
      </c>
      <c r="F496" s="1665">
        <v>65934350</v>
      </c>
      <c r="G496" s="1665">
        <v>66583065</v>
      </c>
      <c r="H496" s="1665">
        <v>65934350</v>
      </c>
      <c r="I496" s="101">
        <v>66862987</v>
      </c>
      <c r="J496" s="101">
        <v>66214272</v>
      </c>
    </row>
    <row r="497" spans="1:10">
      <c r="A497" t="s">
        <v>1886</v>
      </c>
      <c r="B497" t="s">
        <v>7587</v>
      </c>
      <c r="C497" s="1665">
        <v>536287141</v>
      </c>
      <c r="D497" s="1665">
        <v>519729972</v>
      </c>
      <c r="E497" s="1665">
        <v>536287141</v>
      </c>
      <c r="F497" s="1665">
        <v>519729972</v>
      </c>
      <c r="G497" s="1665">
        <v>536287141</v>
      </c>
      <c r="H497" s="1665">
        <v>519729972</v>
      </c>
      <c r="I497" s="101">
        <v>536287141</v>
      </c>
      <c r="J497" s="101">
        <v>519729972</v>
      </c>
    </row>
    <row r="498" spans="1:10">
      <c r="A498" t="s">
        <v>1112</v>
      </c>
      <c r="B498" t="s">
        <v>7588</v>
      </c>
      <c r="C498" s="1665">
        <v>114987099</v>
      </c>
      <c r="D498" s="1665">
        <v>109694120</v>
      </c>
      <c r="E498" s="1665">
        <v>114987099</v>
      </c>
      <c r="F498" s="1665">
        <v>109694120</v>
      </c>
      <c r="G498" s="1665">
        <v>114987099</v>
      </c>
      <c r="H498" s="1665">
        <v>109694120</v>
      </c>
      <c r="I498" s="101">
        <v>114987099</v>
      </c>
      <c r="J498" s="101">
        <v>109694120</v>
      </c>
    </row>
    <row r="499" spans="1:10">
      <c r="A499" t="s">
        <v>1437</v>
      </c>
      <c r="B499" t="s">
        <v>7589</v>
      </c>
      <c r="C499" s="1665">
        <v>479166527</v>
      </c>
      <c r="D499" s="1665">
        <v>465322851</v>
      </c>
      <c r="E499" s="1665">
        <v>479166527</v>
      </c>
      <c r="F499" s="1665">
        <v>465322851</v>
      </c>
      <c r="G499" s="1665">
        <v>479166527</v>
      </c>
      <c r="H499" s="1665">
        <v>465322851</v>
      </c>
      <c r="I499" s="101">
        <v>479166527</v>
      </c>
      <c r="J499" s="101">
        <v>465322851</v>
      </c>
    </row>
    <row r="500" spans="1:10">
      <c r="A500" t="s">
        <v>1058</v>
      </c>
      <c r="B500" t="s">
        <v>7590</v>
      </c>
      <c r="C500" s="1665">
        <v>2290401126</v>
      </c>
      <c r="D500" s="1665">
        <v>2235392118</v>
      </c>
      <c r="E500" s="1665">
        <v>2290401126</v>
      </c>
      <c r="F500" s="1665">
        <v>2235392118</v>
      </c>
      <c r="G500" s="1665">
        <v>2290401126</v>
      </c>
      <c r="H500" s="1665">
        <v>2235392118</v>
      </c>
      <c r="I500" s="101">
        <v>2290401126</v>
      </c>
      <c r="J500" s="101">
        <v>2235392118</v>
      </c>
    </row>
    <row r="501" spans="1:10">
      <c r="A501" t="s">
        <v>1944</v>
      </c>
      <c r="B501" t="s">
        <v>7591</v>
      </c>
      <c r="C501" s="1665">
        <v>268776208</v>
      </c>
      <c r="D501" s="1665">
        <v>258273392</v>
      </c>
      <c r="E501" s="1665">
        <v>268776208</v>
      </c>
      <c r="F501" s="1665">
        <v>258273392</v>
      </c>
      <c r="G501" s="1665">
        <v>268776208</v>
      </c>
      <c r="H501" s="1665">
        <v>258273392</v>
      </c>
      <c r="I501" s="101">
        <v>268776208</v>
      </c>
      <c r="J501" s="101">
        <v>258273392</v>
      </c>
    </row>
    <row r="502" spans="1:10">
      <c r="A502" t="s">
        <v>1584</v>
      </c>
      <c r="B502" t="s">
        <v>7592</v>
      </c>
      <c r="C502" s="1665">
        <v>889142711</v>
      </c>
      <c r="D502" s="1665">
        <v>861167369</v>
      </c>
      <c r="E502" s="1665">
        <v>889142711</v>
      </c>
      <c r="F502" s="1665">
        <v>861167369</v>
      </c>
      <c r="G502" s="1665">
        <v>889142711</v>
      </c>
      <c r="H502" s="1665">
        <v>861167369</v>
      </c>
      <c r="I502" s="101">
        <v>889142711</v>
      </c>
      <c r="J502" s="101">
        <v>861167369</v>
      </c>
    </row>
    <row r="503" spans="1:10">
      <c r="A503" t="s">
        <v>245</v>
      </c>
      <c r="B503" t="s">
        <v>7593</v>
      </c>
      <c r="C503" s="1665">
        <v>130333658</v>
      </c>
      <c r="D503" s="1665">
        <v>123713582</v>
      </c>
      <c r="E503" s="1665">
        <v>130333658</v>
      </c>
      <c r="F503" s="1665">
        <v>123713582</v>
      </c>
      <c r="G503" s="1665">
        <v>130333658</v>
      </c>
      <c r="H503" s="1665">
        <v>123713582</v>
      </c>
      <c r="I503" s="101">
        <v>130333658</v>
      </c>
      <c r="J503" s="101">
        <v>123713582</v>
      </c>
    </row>
    <row r="504" spans="1:10">
      <c r="A504" t="s">
        <v>1059</v>
      </c>
      <c r="B504" t="s">
        <v>7594</v>
      </c>
      <c r="C504" s="1665">
        <v>103302841</v>
      </c>
      <c r="D504" s="1665">
        <v>98637689</v>
      </c>
      <c r="E504" s="1665">
        <v>103302841</v>
      </c>
      <c r="F504" s="1665">
        <v>98637689</v>
      </c>
      <c r="G504" s="1665">
        <v>103302841</v>
      </c>
      <c r="H504" s="1665">
        <v>98637689</v>
      </c>
      <c r="I504" s="101">
        <v>103302841</v>
      </c>
      <c r="J504" s="101">
        <v>98637689</v>
      </c>
    </row>
    <row r="505" spans="1:10">
      <c r="A505" t="s">
        <v>875</v>
      </c>
      <c r="B505" t="s">
        <v>7595</v>
      </c>
      <c r="C505" s="1665">
        <v>207127590</v>
      </c>
      <c r="D505" s="1665">
        <v>200365083</v>
      </c>
      <c r="E505" s="1665">
        <v>207127590</v>
      </c>
      <c r="F505" s="1665">
        <v>200365083</v>
      </c>
      <c r="G505" s="1665">
        <v>207127590</v>
      </c>
      <c r="H505" s="1665">
        <v>200365083</v>
      </c>
      <c r="I505" s="101">
        <v>207127590</v>
      </c>
      <c r="J505" s="101">
        <v>200365083</v>
      </c>
    </row>
    <row r="506" spans="1:10">
      <c r="A506" t="s">
        <v>1844</v>
      </c>
      <c r="B506" t="s">
        <v>7596</v>
      </c>
      <c r="C506" s="1665">
        <v>19110439</v>
      </c>
      <c r="D506" s="1665">
        <v>18060612</v>
      </c>
      <c r="E506" s="1665">
        <v>19110439</v>
      </c>
      <c r="F506" s="1665">
        <v>18060612</v>
      </c>
      <c r="G506" s="1665">
        <v>19110439</v>
      </c>
      <c r="H506" s="1665">
        <v>18060612</v>
      </c>
      <c r="I506" s="101">
        <v>19110439</v>
      </c>
      <c r="J506" s="101">
        <v>18060612</v>
      </c>
    </row>
    <row r="507" spans="1:10">
      <c r="A507" t="s">
        <v>1060</v>
      </c>
      <c r="B507" t="s">
        <v>7597</v>
      </c>
      <c r="C507" s="1665">
        <v>657920063</v>
      </c>
      <c r="D507" s="1665">
        <v>626091683</v>
      </c>
      <c r="E507" s="1665">
        <v>644548953</v>
      </c>
      <c r="F507" s="1665">
        <v>612720573</v>
      </c>
      <c r="G507" s="1665">
        <v>1057137863</v>
      </c>
      <c r="H507" s="1665">
        <v>1025309483</v>
      </c>
      <c r="I507" s="101">
        <v>1070508973</v>
      </c>
      <c r="J507" s="101">
        <v>1038680593</v>
      </c>
    </row>
    <row r="508" spans="1:10">
      <c r="A508" t="s">
        <v>2140</v>
      </c>
      <c r="B508" t="s">
        <v>7598</v>
      </c>
      <c r="C508" s="1665">
        <v>138689065</v>
      </c>
      <c r="D508" s="1665">
        <v>126829775</v>
      </c>
      <c r="E508" s="1665">
        <v>138322495</v>
      </c>
      <c r="F508" s="1665">
        <v>126463205</v>
      </c>
      <c r="G508" s="1665">
        <v>138322495</v>
      </c>
      <c r="H508" s="1665">
        <v>126463205</v>
      </c>
      <c r="I508" s="101">
        <v>138689065</v>
      </c>
      <c r="J508" s="101">
        <v>126829775</v>
      </c>
    </row>
    <row r="509" spans="1:10">
      <c r="A509" t="s">
        <v>2141</v>
      </c>
      <c r="B509" t="s">
        <v>7599</v>
      </c>
      <c r="C509" s="1665">
        <v>1208216252</v>
      </c>
      <c r="D509" s="1665">
        <v>1208216252</v>
      </c>
      <c r="E509" s="1665">
        <v>1204199742</v>
      </c>
      <c r="F509" s="1665">
        <v>1204199742</v>
      </c>
      <c r="G509" s="1665">
        <v>1204199742</v>
      </c>
      <c r="H509" s="1665">
        <v>1204199742</v>
      </c>
      <c r="I509" s="101">
        <v>1208216252</v>
      </c>
      <c r="J509" s="101">
        <v>1208216252</v>
      </c>
    </row>
    <row r="510" spans="1:10">
      <c r="A510" t="s">
        <v>1259</v>
      </c>
      <c r="B510" t="s">
        <v>7600</v>
      </c>
      <c r="C510" s="1665">
        <v>37184303</v>
      </c>
      <c r="D510" s="1665">
        <v>36998993</v>
      </c>
      <c r="E510" s="1665">
        <v>37059763</v>
      </c>
      <c r="F510" s="1665">
        <v>36874453</v>
      </c>
      <c r="G510" s="1665">
        <v>37059763</v>
      </c>
      <c r="H510" s="1665">
        <v>36874453</v>
      </c>
      <c r="I510" s="101">
        <v>37184303</v>
      </c>
      <c r="J510" s="101">
        <v>36998993</v>
      </c>
    </row>
    <row r="511" spans="1:10">
      <c r="A511" t="s">
        <v>1260</v>
      </c>
      <c r="B511" t="s">
        <v>7601</v>
      </c>
      <c r="C511" s="1665">
        <v>1167935435</v>
      </c>
      <c r="D511" s="1665">
        <v>1167935435</v>
      </c>
      <c r="E511" s="1665">
        <v>1167935435</v>
      </c>
      <c r="F511" s="1665">
        <v>1167935435</v>
      </c>
      <c r="G511" s="1665">
        <v>1167935435</v>
      </c>
      <c r="H511" s="1665">
        <v>1167935435</v>
      </c>
      <c r="I511" s="101">
        <v>1167935435</v>
      </c>
      <c r="J511" s="101">
        <v>1167935435</v>
      </c>
    </row>
    <row r="512" spans="1:10">
      <c r="A512" t="s">
        <v>923</v>
      </c>
      <c r="B512" t="s">
        <v>7602</v>
      </c>
      <c r="C512" s="1665">
        <v>175959074</v>
      </c>
      <c r="D512" s="1665">
        <v>173753505</v>
      </c>
      <c r="E512" s="1665">
        <v>175959074</v>
      </c>
      <c r="F512" s="1665">
        <v>173753505</v>
      </c>
      <c r="G512" s="1665">
        <v>255975390</v>
      </c>
      <c r="H512" s="1665">
        <v>253769821</v>
      </c>
      <c r="I512" s="101">
        <v>255975390</v>
      </c>
      <c r="J512" s="101">
        <v>253769821</v>
      </c>
    </row>
    <row r="513" spans="1:10">
      <c r="A513" t="s">
        <v>924</v>
      </c>
      <c r="B513" t="s">
        <v>7603</v>
      </c>
      <c r="C513" s="1665">
        <v>729443185</v>
      </c>
      <c r="D513" s="1665">
        <v>719327056</v>
      </c>
      <c r="E513" s="1665">
        <v>729443185</v>
      </c>
      <c r="F513" s="1665">
        <v>719327056</v>
      </c>
      <c r="G513" s="1665">
        <v>795503115</v>
      </c>
      <c r="H513" s="1665">
        <v>785386986</v>
      </c>
      <c r="I513" s="101">
        <v>795503115</v>
      </c>
      <c r="J513" s="101">
        <v>785386986</v>
      </c>
    </row>
    <row r="514" spans="1:10">
      <c r="A514" t="s">
        <v>925</v>
      </c>
      <c r="B514" t="s">
        <v>7604</v>
      </c>
      <c r="C514" s="1665">
        <v>285525727</v>
      </c>
      <c r="D514" s="1665">
        <v>281095925</v>
      </c>
      <c r="E514" s="1665">
        <v>285525727</v>
      </c>
      <c r="F514" s="1665">
        <v>281095925</v>
      </c>
      <c r="G514" s="1665">
        <v>291243307</v>
      </c>
      <c r="H514" s="1665">
        <v>286813505</v>
      </c>
      <c r="I514" s="101">
        <v>291243307</v>
      </c>
      <c r="J514" s="101">
        <v>286813505</v>
      </c>
    </row>
    <row r="515" spans="1:10">
      <c r="A515" t="s">
        <v>926</v>
      </c>
      <c r="B515" t="s">
        <v>7605</v>
      </c>
      <c r="C515" s="1665">
        <v>534218531</v>
      </c>
      <c r="D515" s="1665">
        <v>518143415</v>
      </c>
      <c r="E515" s="1665">
        <v>534218531</v>
      </c>
      <c r="F515" s="1665">
        <v>518143415</v>
      </c>
      <c r="G515" s="1665">
        <v>605548631</v>
      </c>
      <c r="H515" s="1665">
        <v>589473515</v>
      </c>
      <c r="I515" s="101">
        <v>605548631</v>
      </c>
      <c r="J515" s="101">
        <v>589473515</v>
      </c>
    </row>
    <row r="516" spans="1:10">
      <c r="A516" t="s">
        <v>2577</v>
      </c>
      <c r="B516" t="s">
        <v>7606</v>
      </c>
      <c r="C516" s="1665">
        <v>227976301</v>
      </c>
      <c r="D516" s="1665">
        <v>220962859</v>
      </c>
      <c r="E516" s="1665">
        <v>227976301</v>
      </c>
      <c r="F516" s="1665">
        <v>220962859</v>
      </c>
      <c r="G516" s="1665">
        <v>504963001</v>
      </c>
      <c r="H516" s="1665">
        <v>497949559</v>
      </c>
      <c r="I516" s="101">
        <v>504963001</v>
      </c>
      <c r="J516" s="101">
        <v>497949559</v>
      </c>
    </row>
    <row r="517" spans="1:10">
      <c r="A517" t="s">
        <v>502</v>
      </c>
      <c r="B517" t="s">
        <v>7607</v>
      </c>
      <c r="C517" s="1665">
        <v>964880027</v>
      </c>
      <c r="D517" s="1665">
        <v>954809358</v>
      </c>
      <c r="E517" s="1665">
        <v>948680242</v>
      </c>
      <c r="F517" s="1665">
        <v>938609573</v>
      </c>
      <c r="G517" s="1665">
        <v>948680242</v>
      </c>
      <c r="H517" s="1665">
        <v>938609573</v>
      </c>
      <c r="I517" s="101">
        <v>964880027</v>
      </c>
      <c r="J517" s="101">
        <v>954809358</v>
      </c>
    </row>
    <row r="518" spans="1:10">
      <c r="A518" t="s">
        <v>2646</v>
      </c>
      <c r="B518" t="s">
        <v>7608</v>
      </c>
      <c r="C518" s="1665">
        <v>297965544</v>
      </c>
      <c r="D518" s="1665">
        <v>291415435</v>
      </c>
      <c r="E518" s="1665">
        <v>288324525</v>
      </c>
      <c r="F518" s="1665">
        <v>281774416</v>
      </c>
      <c r="G518" s="1665">
        <v>288324525</v>
      </c>
      <c r="H518" s="1665">
        <v>281774416</v>
      </c>
      <c r="I518" s="101">
        <v>297965544</v>
      </c>
      <c r="J518" s="101">
        <v>291415435</v>
      </c>
    </row>
    <row r="519" spans="1:10">
      <c r="A519" t="s">
        <v>883</v>
      </c>
      <c r="B519" t="s">
        <v>7609</v>
      </c>
      <c r="C519" s="1665">
        <v>341285207</v>
      </c>
      <c r="D519" s="1665">
        <v>322113365</v>
      </c>
      <c r="E519" s="1665">
        <v>341285207</v>
      </c>
      <c r="F519" s="1665">
        <v>322113365</v>
      </c>
      <c r="G519" s="1665">
        <v>341285207</v>
      </c>
      <c r="H519" s="1665">
        <v>322113365</v>
      </c>
      <c r="I519" s="101">
        <v>341285207</v>
      </c>
      <c r="J519" s="101">
        <v>322113365</v>
      </c>
    </row>
    <row r="520" spans="1:10">
      <c r="A520" t="s">
        <v>44</v>
      </c>
      <c r="B520" t="s">
        <v>7610</v>
      </c>
      <c r="C520" s="1665">
        <v>900106033</v>
      </c>
      <c r="D520" s="1665">
        <v>867124714</v>
      </c>
      <c r="E520" s="1665">
        <v>900106033</v>
      </c>
      <c r="F520" s="1665">
        <v>867124714</v>
      </c>
      <c r="G520" s="1665">
        <v>900106033</v>
      </c>
      <c r="H520" s="1665">
        <v>867124714</v>
      </c>
      <c r="I520" s="101">
        <v>900106033</v>
      </c>
      <c r="J520" s="101">
        <v>867124714</v>
      </c>
    </row>
    <row r="521" spans="1:10">
      <c r="A521" t="s">
        <v>54</v>
      </c>
      <c r="B521" t="s">
        <v>7611</v>
      </c>
      <c r="C521" s="1665">
        <v>305871391</v>
      </c>
      <c r="D521" s="1665">
        <v>289931088</v>
      </c>
      <c r="E521" s="1665">
        <v>305871391</v>
      </c>
      <c r="F521" s="1665">
        <v>289931088</v>
      </c>
      <c r="G521" s="1665">
        <v>305871391</v>
      </c>
      <c r="H521" s="1665">
        <v>289931088</v>
      </c>
      <c r="I521" s="101">
        <v>305871391</v>
      </c>
      <c r="J521" s="101">
        <v>289931088</v>
      </c>
    </row>
    <row r="522" spans="1:10">
      <c r="A522" t="s">
        <v>2647</v>
      </c>
      <c r="B522" t="s">
        <v>7612</v>
      </c>
      <c r="C522" s="1665">
        <v>357310940</v>
      </c>
      <c r="D522" s="1665">
        <v>353495526</v>
      </c>
      <c r="E522" s="1665">
        <v>353648187</v>
      </c>
      <c r="F522" s="1665">
        <v>349832773</v>
      </c>
      <c r="G522" s="1665">
        <v>353648187</v>
      </c>
      <c r="H522" s="1665">
        <v>349832773</v>
      </c>
      <c r="I522" s="101">
        <v>357310940</v>
      </c>
      <c r="J522" s="101">
        <v>353495526</v>
      </c>
    </row>
    <row r="523" spans="1:10">
      <c r="A523" t="s">
        <v>2648</v>
      </c>
      <c r="B523" t="s">
        <v>7613</v>
      </c>
      <c r="C523" s="1665">
        <v>224389590</v>
      </c>
      <c r="D523" s="1665">
        <v>219204900</v>
      </c>
      <c r="E523" s="1665">
        <v>224389590</v>
      </c>
      <c r="F523" s="1665">
        <v>219204900</v>
      </c>
      <c r="G523" s="1665">
        <v>224389590</v>
      </c>
      <c r="H523" s="1665">
        <v>219204900</v>
      </c>
      <c r="I523" s="101">
        <v>224389590</v>
      </c>
      <c r="J523" s="101">
        <v>219204900</v>
      </c>
    </row>
    <row r="524" spans="1:10">
      <c r="A524" t="s">
        <v>2649</v>
      </c>
      <c r="B524" t="s">
        <v>7614</v>
      </c>
      <c r="C524" s="1665">
        <v>50110615</v>
      </c>
      <c r="D524" s="1665">
        <v>49763305</v>
      </c>
      <c r="E524" s="1665">
        <v>50110615</v>
      </c>
      <c r="F524" s="1665">
        <v>49763305</v>
      </c>
      <c r="G524" s="1665">
        <v>50110615</v>
      </c>
      <c r="H524" s="1665">
        <v>49763305</v>
      </c>
      <c r="I524" s="101">
        <v>50110615</v>
      </c>
      <c r="J524" s="101">
        <v>49763305</v>
      </c>
    </row>
    <row r="525" spans="1:10">
      <c r="A525" t="s">
        <v>2540</v>
      </c>
      <c r="B525" t="s">
        <v>7615</v>
      </c>
      <c r="C525" s="1665">
        <v>2450323441</v>
      </c>
      <c r="D525" s="1665">
        <v>2385790326</v>
      </c>
      <c r="E525" s="1665">
        <v>2450323441</v>
      </c>
      <c r="F525" s="1665">
        <v>2385790326</v>
      </c>
      <c r="G525" s="1665">
        <v>2629825441</v>
      </c>
      <c r="H525" s="1665">
        <v>2565292326</v>
      </c>
      <c r="I525" s="101">
        <v>2629825441</v>
      </c>
      <c r="J525" s="101">
        <v>2565292326</v>
      </c>
    </row>
    <row r="526" spans="1:10">
      <c r="A526" t="s">
        <v>2292</v>
      </c>
      <c r="B526" t="s">
        <v>7616</v>
      </c>
      <c r="C526" s="1665">
        <v>6231069427</v>
      </c>
      <c r="D526" s="1665">
        <v>6144477094</v>
      </c>
      <c r="E526" s="1665">
        <v>6231069427</v>
      </c>
      <c r="F526" s="1665">
        <v>6144477094</v>
      </c>
      <c r="G526" s="1665">
        <v>6678097927</v>
      </c>
      <c r="H526" s="1665">
        <v>6591505594</v>
      </c>
      <c r="I526" s="101">
        <v>6678097927</v>
      </c>
      <c r="J526" s="101">
        <v>6591505594</v>
      </c>
    </row>
    <row r="527" spans="1:10">
      <c r="A527" t="s">
        <v>2293</v>
      </c>
      <c r="B527" t="s">
        <v>7617</v>
      </c>
      <c r="C527" s="1665">
        <v>2492267467</v>
      </c>
      <c r="D527" s="1665">
        <v>2424099819</v>
      </c>
      <c r="E527" s="1665">
        <v>2396877943</v>
      </c>
      <c r="F527" s="1665">
        <v>2328710295</v>
      </c>
      <c r="G527" s="1665">
        <v>2849518743</v>
      </c>
      <c r="H527" s="1665">
        <v>2781351095</v>
      </c>
      <c r="I527" s="101">
        <v>2944908267</v>
      </c>
      <c r="J527" s="101">
        <v>2876740619</v>
      </c>
    </row>
    <row r="528" spans="1:10">
      <c r="A528" t="s">
        <v>1325</v>
      </c>
      <c r="B528" t="s">
        <v>7618</v>
      </c>
      <c r="C528" s="1665">
        <v>10403053321</v>
      </c>
      <c r="D528" s="1665">
        <v>10197619250</v>
      </c>
      <c r="E528" s="1665">
        <v>10403053321</v>
      </c>
      <c r="F528" s="1665">
        <v>10197619250</v>
      </c>
      <c r="G528" s="1665">
        <v>11559538021</v>
      </c>
      <c r="H528" s="1665">
        <v>11354103950</v>
      </c>
      <c r="I528" s="101">
        <v>11559538021</v>
      </c>
      <c r="J528" s="101">
        <v>11354103950</v>
      </c>
    </row>
    <row r="529" spans="1:10">
      <c r="A529" t="s">
        <v>1326</v>
      </c>
      <c r="B529" t="s">
        <v>7619</v>
      </c>
      <c r="C529" s="1665">
        <v>903134175</v>
      </c>
      <c r="D529" s="1665">
        <v>902246795</v>
      </c>
      <c r="E529" s="1665">
        <v>902213933</v>
      </c>
      <c r="F529" s="1665">
        <v>901326553</v>
      </c>
      <c r="G529" s="1665">
        <v>902213933</v>
      </c>
      <c r="H529" s="1665">
        <v>901326553</v>
      </c>
      <c r="I529" s="101">
        <v>903134175</v>
      </c>
      <c r="J529" s="101">
        <v>902246795</v>
      </c>
    </row>
    <row r="530" spans="1:10">
      <c r="A530" t="s">
        <v>1309</v>
      </c>
      <c r="B530" t="s">
        <v>7620</v>
      </c>
      <c r="C530" s="1665">
        <v>716803130</v>
      </c>
      <c r="D530" s="1665">
        <v>694347333</v>
      </c>
      <c r="E530" s="1665">
        <v>716803130</v>
      </c>
      <c r="F530" s="1665">
        <v>694347333</v>
      </c>
      <c r="G530" s="1665">
        <v>716803130</v>
      </c>
      <c r="H530" s="1665">
        <v>694347333</v>
      </c>
      <c r="I530" s="101">
        <v>716803130</v>
      </c>
      <c r="J530" s="101">
        <v>694347333</v>
      </c>
    </row>
    <row r="531" spans="1:10">
      <c r="A531" t="s">
        <v>1327</v>
      </c>
      <c r="B531" t="s">
        <v>7621</v>
      </c>
      <c r="C531" s="1665">
        <v>316504770</v>
      </c>
      <c r="D531" s="1665">
        <v>307647100</v>
      </c>
      <c r="E531" s="1665">
        <v>313017150</v>
      </c>
      <c r="F531" s="1665">
        <v>304159480</v>
      </c>
      <c r="G531" s="1665">
        <v>403453680</v>
      </c>
      <c r="H531" s="1665">
        <v>394596010</v>
      </c>
      <c r="I531" s="101">
        <v>406941300</v>
      </c>
      <c r="J531" s="101">
        <v>398083630</v>
      </c>
    </row>
    <row r="532" spans="1:10">
      <c r="A532" t="s">
        <v>2019</v>
      </c>
      <c r="B532" t="s">
        <v>7622</v>
      </c>
      <c r="C532" s="1665">
        <v>1091209071</v>
      </c>
      <c r="D532" s="1665">
        <v>1053917121</v>
      </c>
      <c r="E532" s="1665">
        <v>1091209071</v>
      </c>
      <c r="F532" s="1665">
        <v>1053917121</v>
      </c>
      <c r="G532" s="1665">
        <v>1091209071</v>
      </c>
      <c r="H532" s="1665">
        <v>1053917121</v>
      </c>
      <c r="I532" s="101">
        <v>1091209071</v>
      </c>
      <c r="J532" s="101">
        <v>1053917121</v>
      </c>
    </row>
    <row r="533" spans="1:10">
      <c r="A533" t="s">
        <v>2323</v>
      </c>
      <c r="B533" t="s">
        <v>7623</v>
      </c>
      <c r="C533" s="1665">
        <v>97923191</v>
      </c>
      <c r="D533" s="1665">
        <v>94064604</v>
      </c>
      <c r="E533" s="1665">
        <v>97923191</v>
      </c>
      <c r="F533" s="1665">
        <v>94064604</v>
      </c>
      <c r="G533" s="1665">
        <v>97923191</v>
      </c>
      <c r="H533" s="1665">
        <v>94064604</v>
      </c>
      <c r="I533" s="101">
        <v>97923191</v>
      </c>
      <c r="J533" s="101">
        <v>94064604</v>
      </c>
    </row>
    <row r="534" spans="1:10">
      <c r="A534" t="s">
        <v>1413</v>
      </c>
      <c r="B534" t="s">
        <v>7624</v>
      </c>
      <c r="C534" s="1665">
        <v>368295681</v>
      </c>
      <c r="D534" s="1665">
        <v>356848585</v>
      </c>
      <c r="E534" s="1665">
        <v>368295681</v>
      </c>
      <c r="F534" s="1665">
        <v>356848585</v>
      </c>
      <c r="G534" s="1665">
        <v>368295681</v>
      </c>
      <c r="H534" s="1665">
        <v>356848585</v>
      </c>
      <c r="I534" s="101">
        <v>368295681</v>
      </c>
      <c r="J534" s="101">
        <v>356848585</v>
      </c>
    </row>
    <row r="535" spans="1:10">
      <c r="A535" t="s">
        <v>216</v>
      </c>
      <c r="B535" t="s">
        <v>7625</v>
      </c>
      <c r="C535" s="1665">
        <v>151848438</v>
      </c>
      <c r="D535" s="1665">
        <v>146727384</v>
      </c>
      <c r="E535" s="1665">
        <v>151848438</v>
      </c>
      <c r="F535" s="1665">
        <v>146727384</v>
      </c>
      <c r="G535" s="1665">
        <v>151848438</v>
      </c>
      <c r="H535" s="1665">
        <v>146727384</v>
      </c>
      <c r="I535" s="101">
        <v>151848438</v>
      </c>
      <c r="J535" s="101">
        <v>146727384</v>
      </c>
    </row>
    <row r="536" spans="1:10">
      <c r="A536" t="s">
        <v>1328</v>
      </c>
      <c r="B536" t="s">
        <v>7626</v>
      </c>
      <c r="C536" s="1665">
        <v>53054201</v>
      </c>
      <c r="D536" s="1665">
        <v>52490559</v>
      </c>
      <c r="E536" s="1665">
        <v>52904209</v>
      </c>
      <c r="F536" s="1665">
        <v>52340567</v>
      </c>
      <c r="G536" s="1665">
        <v>52904209</v>
      </c>
      <c r="H536" s="1665">
        <v>52340567</v>
      </c>
      <c r="I536" s="101">
        <v>53054201</v>
      </c>
      <c r="J536" s="101">
        <v>52490559</v>
      </c>
    </row>
    <row r="537" spans="1:10">
      <c r="A537" t="s">
        <v>195</v>
      </c>
      <c r="B537" t="s">
        <v>7627</v>
      </c>
      <c r="C537" s="1665">
        <v>1373509307</v>
      </c>
      <c r="D537" s="1665">
        <v>1340819038</v>
      </c>
      <c r="E537" s="1665">
        <v>1373509307</v>
      </c>
      <c r="F537" s="1665">
        <v>1340819038</v>
      </c>
      <c r="G537" s="1665">
        <v>1373509307</v>
      </c>
      <c r="H537" s="1665">
        <v>1340819038</v>
      </c>
      <c r="I537" s="101">
        <v>1373509307</v>
      </c>
      <c r="J537" s="101">
        <v>1340819038</v>
      </c>
    </row>
    <row r="538" spans="1:10">
      <c r="A538" t="s">
        <v>1884</v>
      </c>
      <c r="B538" t="s">
        <v>7628</v>
      </c>
      <c r="C538" s="1665">
        <v>4717475055</v>
      </c>
      <c r="D538" s="1665">
        <v>4579692285</v>
      </c>
      <c r="E538" s="1665">
        <v>4717475055</v>
      </c>
      <c r="F538" s="1665">
        <v>4579692285</v>
      </c>
      <c r="G538" s="1665">
        <v>4717475055</v>
      </c>
      <c r="H538" s="1665">
        <v>4579692285</v>
      </c>
      <c r="I538" s="101">
        <v>4717475055</v>
      </c>
      <c r="J538" s="101">
        <v>4579692285</v>
      </c>
    </row>
    <row r="539" spans="1:10">
      <c r="A539" t="s">
        <v>574</v>
      </c>
      <c r="B539" t="s">
        <v>7629</v>
      </c>
      <c r="C539" s="1665">
        <v>2633986060</v>
      </c>
      <c r="D539" s="1665">
        <v>2562485553</v>
      </c>
      <c r="E539" s="1665">
        <v>2633986060</v>
      </c>
      <c r="F539" s="1665">
        <v>2562485553</v>
      </c>
      <c r="G539" s="1665">
        <v>2633986060</v>
      </c>
      <c r="H539" s="1665">
        <v>2562485553</v>
      </c>
      <c r="I539" s="101">
        <v>2633986060</v>
      </c>
      <c r="J539" s="101">
        <v>2562485553</v>
      </c>
    </row>
    <row r="540" spans="1:10">
      <c r="A540" t="s">
        <v>1798</v>
      </c>
      <c r="B540" t="s">
        <v>7630</v>
      </c>
      <c r="C540" s="1665">
        <v>316877341</v>
      </c>
      <c r="D540" s="1665">
        <v>305068774</v>
      </c>
      <c r="E540" s="1665">
        <v>316877341</v>
      </c>
      <c r="F540" s="1665">
        <v>305068774</v>
      </c>
      <c r="G540" s="1665">
        <v>316877341</v>
      </c>
      <c r="H540" s="1665">
        <v>305068774</v>
      </c>
      <c r="I540" s="101">
        <v>316877341</v>
      </c>
      <c r="J540" s="101">
        <v>305068774</v>
      </c>
    </row>
    <row r="541" spans="1:10">
      <c r="A541" t="s">
        <v>45</v>
      </c>
      <c r="B541" t="s">
        <v>7631</v>
      </c>
      <c r="C541" s="1665">
        <v>1605233366</v>
      </c>
      <c r="D541" s="1665">
        <v>1548987780</v>
      </c>
      <c r="E541" s="1665">
        <v>1605233366</v>
      </c>
      <c r="F541" s="1665">
        <v>1548987780</v>
      </c>
      <c r="G541" s="1665">
        <v>1605233366</v>
      </c>
      <c r="H541" s="1665">
        <v>1548987780</v>
      </c>
      <c r="I541" s="101">
        <v>1605233366</v>
      </c>
      <c r="J541" s="101">
        <v>1548987780</v>
      </c>
    </row>
    <row r="542" spans="1:10">
      <c r="A542" t="s">
        <v>1329</v>
      </c>
      <c r="B542" t="s">
        <v>7632</v>
      </c>
      <c r="C542" s="1665">
        <v>172668459</v>
      </c>
      <c r="D542" s="1665">
        <v>166747604</v>
      </c>
      <c r="E542" s="1665">
        <v>172668459</v>
      </c>
      <c r="F542" s="1665">
        <v>166747604</v>
      </c>
      <c r="G542" s="1665">
        <v>172668459</v>
      </c>
      <c r="H542" s="1665">
        <v>166747604</v>
      </c>
      <c r="I542" s="101">
        <v>172668459</v>
      </c>
      <c r="J542" s="101">
        <v>166747604</v>
      </c>
    </row>
    <row r="543" spans="1:10">
      <c r="A543" t="s">
        <v>2324</v>
      </c>
      <c r="B543" t="s">
        <v>7633</v>
      </c>
      <c r="C543" s="1665">
        <v>287978930</v>
      </c>
      <c r="D543" s="1665">
        <v>278312481</v>
      </c>
      <c r="E543" s="1665">
        <v>287978930</v>
      </c>
      <c r="F543" s="1665">
        <v>278312481</v>
      </c>
      <c r="G543" s="1665">
        <v>287978930</v>
      </c>
      <c r="H543" s="1665">
        <v>278312481</v>
      </c>
      <c r="I543" s="101">
        <v>287978930</v>
      </c>
      <c r="J543" s="101">
        <v>278312481</v>
      </c>
    </row>
    <row r="544" spans="1:10">
      <c r="A544" t="s">
        <v>255</v>
      </c>
      <c r="B544" t="s">
        <v>7634</v>
      </c>
      <c r="C544" s="1665">
        <v>325486995</v>
      </c>
      <c r="D544" s="1665">
        <v>311689133</v>
      </c>
      <c r="E544" s="1665">
        <v>325486995</v>
      </c>
      <c r="F544" s="1665">
        <v>311689133</v>
      </c>
      <c r="G544" s="1665">
        <v>325486995</v>
      </c>
      <c r="H544" s="1665">
        <v>311689133</v>
      </c>
      <c r="I544" s="101">
        <v>325486995</v>
      </c>
      <c r="J544" s="101">
        <v>311689133</v>
      </c>
    </row>
    <row r="545" spans="1:10">
      <c r="A545" t="s">
        <v>1263</v>
      </c>
      <c r="B545" t="s">
        <v>7635</v>
      </c>
      <c r="C545" s="1665">
        <v>896383793</v>
      </c>
      <c r="D545" s="1665">
        <v>882328591</v>
      </c>
      <c r="E545" s="1665">
        <v>896383793</v>
      </c>
      <c r="F545" s="1665">
        <v>882328591</v>
      </c>
      <c r="G545" s="1665">
        <v>896383793</v>
      </c>
      <c r="H545" s="1665">
        <v>882328591</v>
      </c>
      <c r="I545" s="101">
        <v>896383793</v>
      </c>
      <c r="J545" s="101">
        <v>882328591</v>
      </c>
    </row>
    <row r="546" spans="1:10">
      <c r="A546" t="s">
        <v>2097</v>
      </c>
      <c r="B546" t="s">
        <v>7636</v>
      </c>
      <c r="C546" s="1665">
        <v>139763620</v>
      </c>
      <c r="D546" s="1665">
        <v>131498090</v>
      </c>
      <c r="E546" s="1665">
        <v>139763620</v>
      </c>
      <c r="F546" s="1665">
        <v>131498090</v>
      </c>
      <c r="G546" s="1665">
        <v>139763620</v>
      </c>
      <c r="H546" s="1665">
        <v>131498090</v>
      </c>
      <c r="I546" s="101">
        <v>139763620</v>
      </c>
      <c r="J546" s="101">
        <v>131498090</v>
      </c>
    </row>
    <row r="547" spans="1:10">
      <c r="A547" t="s">
        <v>1330</v>
      </c>
      <c r="B547" t="s">
        <v>7637</v>
      </c>
      <c r="C547" s="1665">
        <v>123612100</v>
      </c>
      <c r="D547" s="1665">
        <v>118690660</v>
      </c>
      <c r="E547" s="1665">
        <v>123612100</v>
      </c>
      <c r="F547" s="1665">
        <v>118690660</v>
      </c>
      <c r="G547" s="1665">
        <v>123612100</v>
      </c>
      <c r="H547" s="1665">
        <v>118690660</v>
      </c>
      <c r="I547" s="101">
        <v>123612100</v>
      </c>
      <c r="J547" s="101">
        <v>118690660</v>
      </c>
    </row>
    <row r="548" spans="1:10">
      <c r="A548" t="s">
        <v>1862</v>
      </c>
      <c r="B548" t="s">
        <v>7638</v>
      </c>
      <c r="C548" s="1665">
        <v>157434513</v>
      </c>
      <c r="D548" s="1665">
        <v>148983853</v>
      </c>
      <c r="E548" s="1665">
        <v>157434513</v>
      </c>
      <c r="F548" s="1665">
        <v>148983853</v>
      </c>
      <c r="G548" s="1665">
        <v>157434513</v>
      </c>
      <c r="H548" s="1665">
        <v>148983853</v>
      </c>
      <c r="I548" s="101">
        <v>157434513</v>
      </c>
      <c r="J548" s="101">
        <v>148983853</v>
      </c>
    </row>
    <row r="549" spans="1:10">
      <c r="A549" t="s">
        <v>2510</v>
      </c>
      <c r="B549" t="s">
        <v>7639</v>
      </c>
      <c r="C549" s="1665">
        <v>77384913</v>
      </c>
      <c r="D549" s="1665">
        <v>75768813</v>
      </c>
      <c r="E549" s="1665">
        <v>77384913</v>
      </c>
      <c r="F549" s="1665">
        <v>75768813</v>
      </c>
      <c r="G549" s="1665">
        <v>77384913</v>
      </c>
      <c r="H549" s="1665">
        <v>75768813</v>
      </c>
      <c r="I549" s="101">
        <v>77384913</v>
      </c>
      <c r="J549" s="101">
        <v>75768813</v>
      </c>
    </row>
    <row r="550" spans="1:10">
      <c r="A550" t="s">
        <v>259</v>
      </c>
      <c r="B550" t="s">
        <v>7640</v>
      </c>
      <c r="C550" s="1665">
        <v>105506235</v>
      </c>
      <c r="D550" s="1665">
        <v>98860125</v>
      </c>
      <c r="E550" s="1665">
        <v>105506235</v>
      </c>
      <c r="F550" s="1665">
        <v>98860125</v>
      </c>
      <c r="G550" s="1665">
        <v>105506235</v>
      </c>
      <c r="H550" s="1665">
        <v>98860125</v>
      </c>
      <c r="I550" s="101">
        <v>105506235</v>
      </c>
      <c r="J550" s="101">
        <v>98860125</v>
      </c>
    </row>
    <row r="551" spans="1:10">
      <c r="A551" t="s">
        <v>47</v>
      </c>
      <c r="B551" t="s">
        <v>7641</v>
      </c>
      <c r="C551" s="1665">
        <v>4509875727</v>
      </c>
      <c r="D551" s="1665">
        <v>4501113474</v>
      </c>
      <c r="E551" s="1665">
        <v>4509875727</v>
      </c>
      <c r="F551" s="1665">
        <v>4501113474</v>
      </c>
      <c r="G551" s="1665">
        <v>4509875727</v>
      </c>
      <c r="H551" s="1665">
        <v>4501113474</v>
      </c>
      <c r="I551" s="101">
        <v>4509875727</v>
      </c>
      <c r="J551" s="101">
        <v>4501113474</v>
      </c>
    </row>
    <row r="552" spans="1:10">
      <c r="A552" t="s">
        <v>2511</v>
      </c>
      <c r="B552" t="s">
        <v>7642</v>
      </c>
      <c r="C552" s="1665">
        <v>1200431562</v>
      </c>
      <c r="D552" s="1665">
        <v>1193049748</v>
      </c>
      <c r="E552" s="1665">
        <v>1200431562</v>
      </c>
      <c r="F552" s="1665">
        <v>1193049748</v>
      </c>
      <c r="G552" s="1665">
        <v>1336878892</v>
      </c>
      <c r="H552" s="1665">
        <v>1329497078</v>
      </c>
      <c r="I552" s="101">
        <v>1336878892</v>
      </c>
      <c r="J552" s="101">
        <v>1329497078</v>
      </c>
    </row>
    <row r="553" spans="1:10">
      <c r="A553" t="s">
        <v>1153</v>
      </c>
      <c r="B553" t="s">
        <v>7643</v>
      </c>
      <c r="C553" s="1665">
        <v>430662285</v>
      </c>
      <c r="D553" s="1665">
        <v>428528806</v>
      </c>
      <c r="E553" s="1665">
        <v>430662285</v>
      </c>
      <c r="F553" s="1665">
        <v>428528806</v>
      </c>
      <c r="G553" s="1665">
        <v>430662285</v>
      </c>
      <c r="H553" s="1665">
        <v>428528806</v>
      </c>
      <c r="I553" s="101">
        <v>430662285</v>
      </c>
      <c r="J553" s="101">
        <v>428528806</v>
      </c>
    </row>
    <row r="554" spans="1:10">
      <c r="A554" t="s">
        <v>1686</v>
      </c>
      <c r="B554" t="s">
        <v>7644</v>
      </c>
      <c r="C554" s="1665">
        <v>600429246</v>
      </c>
      <c r="D554" s="1665">
        <v>595758394</v>
      </c>
      <c r="E554" s="1665">
        <v>600429246</v>
      </c>
      <c r="F554" s="1665">
        <v>595758394</v>
      </c>
      <c r="G554" s="1665">
        <v>600429246</v>
      </c>
      <c r="H554" s="1665">
        <v>595758394</v>
      </c>
      <c r="I554" s="101">
        <v>600429246</v>
      </c>
      <c r="J554" s="101">
        <v>595758394</v>
      </c>
    </row>
    <row r="555" spans="1:10">
      <c r="A555" t="s">
        <v>2403</v>
      </c>
      <c r="B555" t="s">
        <v>7645</v>
      </c>
      <c r="C555" s="1665">
        <v>939633608</v>
      </c>
      <c r="D555" s="1665">
        <v>903497028</v>
      </c>
      <c r="E555" s="1665">
        <v>939633608</v>
      </c>
      <c r="F555" s="1665">
        <v>903497028</v>
      </c>
      <c r="G555" s="1665">
        <v>939633608</v>
      </c>
      <c r="H555" s="1665">
        <v>903497028</v>
      </c>
      <c r="I555" s="101">
        <v>939633608</v>
      </c>
      <c r="J555" s="101">
        <v>903497028</v>
      </c>
    </row>
    <row r="556" spans="1:10">
      <c r="A556" t="s">
        <v>1339</v>
      </c>
      <c r="B556" t="s">
        <v>7646</v>
      </c>
      <c r="C556" s="1665">
        <v>4124302235</v>
      </c>
      <c r="D556" s="1665">
        <v>4027387490</v>
      </c>
      <c r="E556" s="1665">
        <v>4124302235</v>
      </c>
      <c r="F556" s="1665">
        <v>4027387490</v>
      </c>
      <c r="G556" s="1665">
        <v>4124302235</v>
      </c>
      <c r="H556" s="1665">
        <v>4027387490</v>
      </c>
      <c r="I556" s="101">
        <v>4124302235</v>
      </c>
      <c r="J556" s="101">
        <v>4027387490</v>
      </c>
    </row>
    <row r="557" spans="1:10">
      <c r="A557" t="s">
        <v>49</v>
      </c>
      <c r="B557" t="s">
        <v>7647</v>
      </c>
      <c r="C557" s="1665">
        <v>800520333</v>
      </c>
      <c r="D557" s="1665">
        <v>767335995</v>
      </c>
      <c r="E557" s="1665">
        <v>800520333</v>
      </c>
      <c r="F557" s="1665">
        <v>767335995</v>
      </c>
      <c r="G557" s="1665">
        <v>800520333</v>
      </c>
      <c r="H557" s="1665">
        <v>767335995</v>
      </c>
      <c r="I557" s="101">
        <v>800520333</v>
      </c>
      <c r="J557" s="101">
        <v>767335995</v>
      </c>
    </row>
    <row r="558" spans="1:10">
      <c r="A558" t="s">
        <v>51</v>
      </c>
      <c r="B558" t="s">
        <v>7648</v>
      </c>
      <c r="C558" s="1665">
        <v>445607937</v>
      </c>
      <c r="D558" s="1665">
        <v>427301193</v>
      </c>
      <c r="E558" s="1665">
        <v>445607937</v>
      </c>
      <c r="F558" s="1665">
        <v>427301193</v>
      </c>
      <c r="G558" s="1665">
        <v>445607937</v>
      </c>
      <c r="H558" s="1665">
        <v>427301193</v>
      </c>
      <c r="I558" s="101">
        <v>445607937</v>
      </c>
      <c r="J558" s="101">
        <v>427301193</v>
      </c>
    </row>
    <row r="559" spans="1:10">
      <c r="A559" t="s">
        <v>2554</v>
      </c>
      <c r="B559" t="s">
        <v>7649</v>
      </c>
      <c r="C559" s="1665">
        <v>1351673274</v>
      </c>
      <c r="D559" s="1665">
        <v>1313027972</v>
      </c>
      <c r="E559" s="1665">
        <v>1351673274</v>
      </c>
      <c r="F559" s="1665">
        <v>1313027972</v>
      </c>
      <c r="G559" s="1665">
        <v>1351673274</v>
      </c>
      <c r="H559" s="1665">
        <v>1313027972</v>
      </c>
      <c r="I559" s="101">
        <v>1351673274</v>
      </c>
      <c r="J559" s="101">
        <v>1313027972</v>
      </c>
    </row>
    <row r="560" spans="1:10">
      <c r="A560" t="s">
        <v>2555</v>
      </c>
      <c r="B560" t="s">
        <v>7650</v>
      </c>
      <c r="C560" s="1665">
        <v>1640844827</v>
      </c>
      <c r="D560" s="1665">
        <v>1595361826</v>
      </c>
      <c r="E560" s="1665">
        <v>1640844827</v>
      </c>
      <c r="F560" s="1665">
        <v>1595361826</v>
      </c>
      <c r="G560" s="1665">
        <v>1640844827</v>
      </c>
      <c r="H560" s="1665">
        <v>1595361826</v>
      </c>
      <c r="I560" s="101">
        <v>1640844827</v>
      </c>
      <c r="J560" s="101">
        <v>1595361826</v>
      </c>
    </row>
    <row r="561" spans="1:10">
      <c r="A561" t="s">
        <v>494</v>
      </c>
      <c r="B561" t="s">
        <v>7651</v>
      </c>
      <c r="C561" s="1665">
        <v>200223242</v>
      </c>
      <c r="D561" s="1665">
        <v>190535098</v>
      </c>
      <c r="E561" s="1665">
        <v>200223242</v>
      </c>
      <c r="F561" s="1665">
        <v>190535098</v>
      </c>
      <c r="G561" s="1665">
        <v>200223242</v>
      </c>
      <c r="H561" s="1665">
        <v>190535098</v>
      </c>
      <c r="I561" s="101">
        <v>200223242</v>
      </c>
      <c r="J561" s="101">
        <v>190535098</v>
      </c>
    </row>
    <row r="562" spans="1:10">
      <c r="A562" t="s">
        <v>2556</v>
      </c>
      <c r="B562" t="s">
        <v>7652</v>
      </c>
      <c r="C562" s="1665">
        <v>6967528799</v>
      </c>
      <c r="D562" s="1665">
        <v>6845873321</v>
      </c>
      <c r="E562" s="1665">
        <v>6967528799</v>
      </c>
      <c r="F562" s="1665">
        <v>6845873321</v>
      </c>
      <c r="G562" s="1665">
        <v>6967528799</v>
      </c>
      <c r="H562" s="1665">
        <v>6845873321</v>
      </c>
      <c r="I562" s="101">
        <v>6967528799</v>
      </c>
      <c r="J562" s="101">
        <v>6845873321</v>
      </c>
    </row>
    <row r="563" spans="1:10">
      <c r="A563" t="s">
        <v>1539</v>
      </c>
      <c r="B563" t="s">
        <v>7653</v>
      </c>
      <c r="C563" s="1665">
        <v>887701521</v>
      </c>
      <c r="D563" s="1665">
        <v>869162307</v>
      </c>
      <c r="E563" s="1665">
        <v>887701521</v>
      </c>
      <c r="F563" s="1665">
        <v>869162307</v>
      </c>
      <c r="G563" s="1665">
        <v>887701521</v>
      </c>
      <c r="H563" s="1665">
        <v>869162307</v>
      </c>
      <c r="I563" s="101">
        <v>887701521</v>
      </c>
      <c r="J563" s="101">
        <v>869162307</v>
      </c>
    </row>
    <row r="564" spans="1:10">
      <c r="A564" t="s">
        <v>2689</v>
      </c>
      <c r="B564" t="s">
        <v>7654</v>
      </c>
      <c r="C564" s="1665">
        <v>821340136</v>
      </c>
      <c r="D564" s="1665">
        <v>821082166</v>
      </c>
      <c r="E564" s="1665">
        <v>821084582</v>
      </c>
      <c r="F564" s="1665">
        <v>820826612</v>
      </c>
      <c r="G564" s="1665">
        <v>916084492</v>
      </c>
      <c r="H564" s="1665">
        <v>915826522</v>
      </c>
      <c r="I564" s="101">
        <v>916340046</v>
      </c>
      <c r="J564" s="101">
        <v>916082076</v>
      </c>
    </row>
    <row r="565" spans="1:10">
      <c r="A565" t="s">
        <v>2320</v>
      </c>
      <c r="B565" t="s">
        <v>7655</v>
      </c>
      <c r="C565" s="1665">
        <v>416820758</v>
      </c>
      <c r="D565" s="1665">
        <v>415365408</v>
      </c>
      <c r="E565" s="1665">
        <v>416072753</v>
      </c>
      <c r="F565" s="1665">
        <v>414617403</v>
      </c>
      <c r="G565" s="1665">
        <v>416072753</v>
      </c>
      <c r="H565" s="1665">
        <v>414617403</v>
      </c>
      <c r="I565" s="101">
        <v>416820758</v>
      </c>
      <c r="J565" s="101">
        <v>415365408</v>
      </c>
    </row>
    <row r="566" spans="1:10">
      <c r="A566" t="s">
        <v>1541</v>
      </c>
      <c r="B566" t="s">
        <v>7656</v>
      </c>
      <c r="C566" s="1665">
        <v>319245399</v>
      </c>
      <c r="D566" s="1665">
        <v>310956151</v>
      </c>
      <c r="E566" s="1665">
        <v>319245399</v>
      </c>
      <c r="F566" s="1665">
        <v>310956151</v>
      </c>
      <c r="G566" s="1665">
        <v>319245399</v>
      </c>
      <c r="H566" s="1665">
        <v>310956151</v>
      </c>
      <c r="I566" s="101">
        <v>319245399</v>
      </c>
      <c r="J566" s="101">
        <v>310956151</v>
      </c>
    </row>
    <row r="567" spans="1:10">
      <c r="A567" t="s">
        <v>2545</v>
      </c>
      <c r="B567" t="s">
        <v>7657</v>
      </c>
      <c r="C567" s="1665">
        <v>395165509</v>
      </c>
      <c r="D567" s="1665">
        <v>390539334</v>
      </c>
      <c r="E567" s="1665">
        <v>395165509</v>
      </c>
      <c r="F567" s="1665">
        <v>390539334</v>
      </c>
      <c r="G567" s="1665">
        <v>395165509</v>
      </c>
      <c r="H567" s="1665">
        <v>390539334</v>
      </c>
      <c r="I567" s="101">
        <v>395165509</v>
      </c>
      <c r="J567" s="101">
        <v>390539334</v>
      </c>
    </row>
    <row r="568" spans="1:10">
      <c r="A568" t="s">
        <v>2546</v>
      </c>
      <c r="B568" t="s">
        <v>7658</v>
      </c>
      <c r="C568" s="1665">
        <v>2732183084</v>
      </c>
      <c r="D568" s="1665">
        <v>2652147624</v>
      </c>
      <c r="E568" s="1665">
        <v>2732183084</v>
      </c>
      <c r="F568" s="1665">
        <v>2652147624</v>
      </c>
      <c r="G568" s="1665">
        <v>2732183084</v>
      </c>
      <c r="H568" s="1665">
        <v>2652147624</v>
      </c>
      <c r="I568" s="101">
        <v>2732183084</v>
      </c>
      <c r="J568" s="101">
        <v>2652147624</v>
      </c>
    </row>
    <row r="569" spans="1:10">
      <c r="A569" t="s">
        <v>487</v>
      </c>
      <c r="B569" t="s">
        <v>7659</v>
      </c>
      <c r="C569" s="1665">
        <v>571893379</v>
      </c>
      <c r="D569" s="1665">
        <v>552100852</v>
      </c>
      <c r="E569" s="1665">
        <v>571893379</v>
      </c>
      <c r="F569" s="1665">
        <v>552100852</v>
      </c>
      <c r="G569" s="1665">
        <v>571893379</v>
      </c>
      <c r="H569" s="1665">
        <v>552100852</v>
      </c>
      <c r="I569" s="101">
        <v>571893379</v>
      </c>
      <c r="J569" s="101">
        <v>552100852</v>
      </c>
    </row>
    <row r="570" spans="1:10">
      <c r="A570" t="s">
        <v>2278</v>
      </c>
      <c r="B570" t="s">
        <v>7660</v>
      </c>
      <c r="C570" s="1665">
        <v>66929757</v>
      </c>
      <c r="D570" s="1665">
        <v>66581032</v>
      </c>
      <c r="E570" s="1665">
        <v>66929757</v>
      </c>
      <c r="F570" s="1665">
        <v>66581032</v>
      </c>
      <c r="G570" s="1665">
        <v>66929757</v>
      </c>
      <c r="H570" s="1665">
        <v>66581032</v>
      </c>
      <c r="I570" s="101">
        <v>66929757</v>
      </c>
      <c r="J570" s="101">
        <v>66581032</v>
      </c>
    </row>
    <row r="571" spans="1:10">
      <c r="A571" t="s">
        <v>2279</v>
      </c>
      <c r="B571" t="s">
        <v>7661</v>
      </c>
      <c r="C571" s="1665">
        <v>436603431</v>
      </c>
      <c r="D571" s="1665">
        <v>427200363</v>
      </c>
      <c r="E571" s="1665">
        <v>436603431</v>
      </c>
      <c r="F571" s="1665">
        <v>427200363</v>
      </c>
      <c r="G571" s="1665">
        <v>436603431</v>
      </c>
      <c r="H571" s="1665">
        <v>427200363</v>
      </c>
      <c r="I571" s="101">
        <v>436603431</v>
      </c>
      <c r="J571" s="101">
        <v>427200363</v>
      </c>
    </row>
    <row r="572" spans="1:10">
      <c r="A572" t="s">
        <v>1534</v>
      </c>
      <c r="B572" t="s">
        <v>7662</v>
      </c>
      <c r="C572" s="1665">
        <v>169354248</v>
      </c>
      <c r="D572" s="1665">
        <v>169354248</v>
      </c>
      <c r="E572" s="1665">
        <v>169230398</v>
      </c>
      <c r="F572" s="1665">
        <v>169230398</v>
      </c>
      <c r="G572" s="1665">
        <v>169230398</v>
      </c>
      <c r="H572" s="1665">
        <v>169230398</v>
      </c>
      <c r="I572" s="101">
        <v>169354248</v>
      </c>
      <c r="J572" s="101">
        <v>169354248</v>
      </c>
    </row>
    <row r="573" spans="1:10">
      <c r="A573" t="s">
        <v>1535</v>
      </c>
      <c r="B573" t="s">
        <v>7663</v>
      </c>
      <c r="C573" s="1665">
        <v>323400418</v>
      </c>
      <c r="D573" s="1665">
        <v>315676875</v>
      </c>
      <c r="E573" s="1665">
        <v>323400418</v>
      </c>
      <c r="F573" s="1665">
        <v>315676875</v>
      </c>
      <c r="G573" s="1665">
        <v>439151458</v>
      </c>
      <c r="H573" s="1665">
        <v>431427915</v>
      </c>
      <c r="I573" s="101">
        <v>439151458</v>
      </c>
      <c r="J573" s="101">
        <v>431427915</v>
      </c>
    </row>
    <row r="574" spans="1:10">
      <c r="A574" t="s">
        <v>2512</v>
      </c>
      <c r="B574" t="s">
        <v>7664</v>
      </c>
      <c r="C574" s="1665">
        <v>991479893</v>
      </c>
      <c r="D574" s="1665">
        <v>957099657</v>
      </c>
      <c r="E574" s="1665">
        <v>991479893</v>
      </c>
      <c r="F574" s="1665">
        <v>957099657</v>
      </c>
      <c r="G574" s="1665">
        <v>991479893</v>
      </c>
      <c r="H574" s="1665">
        <v>957099657</v>
      </c>
      <c r="I574" s="101">
        <v>991479893</v>
      </c>
      <c r="J574" s="101">
        <v>957099657</v>
      </c>
    </row>
    <row r="575" spans="1:10">
      <c r="A575" t="s">
        <v>393</v>
      </c>
      <c r="B575" t="s">
        <v>7665</v>
      </c>
      <c r="C575" s="1665">
        <v>195520724</v>
      </c>
      <c r="D575" s="1665">
        <v>188184630</v>
      </c>
      <c r="E575" s="1665">
        <v>190654932</v>
      </c>
      <c r="F575" s="1665">
        <v>183318838</v>
      </c>
      <c r="G575" s="1665">
        <v>190654932</v>
      </c>
      <c r="H575" s="1665">
        <v>183318838</v>
      </c>
      <c r="I575" s="101">
        <v>195520724</v>
      </c>
      <c r="J575" s="101">
        <v>188184630</v>
      </c>
    </row>
    <row r="576" spans="1:10">
      <c r="A576" t="s">
        <v>394</v>
      </c>
      <c r="B576" t="s">
        <v>7666</v>
      </c>
      <c r="C576" s="1665">
        <v>276151114</v>
      </c>
      <c r="D576" s="1665">
        <v>272772204</v>
      </c>
      <c r="E576" s="1665">
        <v>276151114</v>
      </c>
      <c r="F576" s="1665">
        <v>272772204</v>
      </c>
      <c r="G576" s="1665">
        <v>276151114</v>
      </c>
      <c r="H576" s="1665">
        <v>272772204</v>
      </c>
      <c r="I576" s="101">
        <v>276151114</v>
      </c>
      <c r="J576" s="101">
        <v>272772204</v>
      </c>
    </row>
    <row r="577" spans="1:10">
      <c r="A577" t="s">
        <v>395</v>
      </c>
      <c r="B577" t="s">
        <v>7667</v>
      </c>
      <c r="C577" s="1665">
        <v>109841538</v>
      </c>
      <c r="D577" s="1665">
        <v>109841538</v>
      </c>
      <c r="E577" s="1665">
        <v>109841538</v>
      </c>
      <c r="F577" s="1665">
        <v>109841538</v>
      </c>
      <c r="G577" s="1665">
        <v>109841538</v>
      </c>
      <c r="H577" s="1665">
        <v>109841538</v>
      </c>
      <c r="I577" s="101">
        <v>109841538</v>
      </c>
      <c r="J577" s="101">
        <v>109841538</v>
      </c>
    </row>
    <row r="578" spans="1:10">
      <c r="A578" t="s">
        <v>2513</v>
      </c>
      <c r="B578" t="s">
        <v>7668</v>
      </c>
      <c r="C578" s="1665">
        <v>80040711</v>
      </c>
      <c r="D578" s="1665">
        <v>77077741</v>
      </c>
      <c r="E578" s="1665">
        <v>80040711</v>
      </c>
      <c r="F578" s="1665">
        <v>77077741</v>
      </c>
      <c r="G578" s="1665">
        <v>80040711</v>
      </c>
      <c r="H578" s="1665">
        <v>77077741</v>
      </c>
      <c r="I578" s="101">
        <v>80040711</v>
      </c>
      <c r="J578" s="101">
        <v>77077741</v>
      </c>
    </row>
    <row r="579" spans="1:10">
      <c r="A579" t="s">
        <v>242</v>
      </c>
      <c r="B579" t="s">
        <v>7669</v>
      </c>
      <c r="C579" s="1665">
        <v>103175931</v>
      </c>
      <c r="D579" s="1665">
        <v>99463611</v>
      </c>
      <c r="E579" s="1665">
        <v>103175931</v>
      </c>
      <c r="F579" s="1665">
        <v>99463611</v>
      </c>
      <c r="G579" s="1665">
        <v>162677631</v>
      </c>
      <c r="H579" s="1665">
        <v>158965311</v>
      </c>
      <c r="I579" s="101">
        <v>162677631</v>
      </c>
      <c r="J579" s="101">
        <v>158965311</v>
      </c>
    </row>
    <row r="580" spans="1:10">
      <c r="A580" t="s">
        <v>243</v>
      </c>
      <c r="B580" t="s">
        <v>7670</v>
      </c>
      <c r="C580" s="1665">
        <v>61710216</v>
      </c>
      <c r="D580" s="1665">
        <v>61117486</v>
      </c>
      <c r="E580" s="1665">
        <v>61710216</v>
      </c>
      <c r="F580" s="1665">
        <v>61117486</v>
      </c>
      <c r="G580" s="1665">
        <v>61710216</v>
      </c>
      <c r="H580" s="1665">
        <v>61117486</v>
      </c>
      <c r="I580" s="101">
        <v>61710216</v>
      </c>
      <c r="J580" s="101">
        <v>61117486</v>
      </c>
    </row>
    <row r="581" spans="1:10">
      <c r="A581" t="s">
        <v>244</v>
      </c>
      <c r="B581" t="s">
        <v>7671</v>
      </c>
      <c r="C581" s="1665">
        <v>1033939858</v>
      </c>
      <c r="D581" s="1665">
        <v>1024802551</v>
      </c>
      <c r="E581" s="1665">
        <v>1033939858</v>
      </c>
      <c r="F581" s="1665">
        <v>1024802551</v>
      </c>
      <c r="G581" s="1665">
        <v>1033939858</v>
      </c>
      <c r="H581" s="1665">
        <v>1024802551</v>
      </c>
      <c r="I581" s="101">
        <v>1033939858</v>
      </c>
      <c r="J581" s="101">
        <v>1024802551</v>
      </c>
    </row>
    <row r="582" spans="1:10">
      <c r="A582" t="s">
        <v>2325</v>
      </c>
      <c r="B582" t="s">
        <v>7672</v>
      </c>
      <c r="C582" s="1665">
        <v>120982957</v>
      </c>
      <c r="D582" s="1665">
        <v>118069333</v>
      </c>
      <c r="E582" s="1665">
        <v>120982957</v>
      </c>
      <c r="F582" s="1665">
        <v>118069333</v>
      </c>
      <c r="G582" s="1665">
        <v>120982957</v>
      </c>
      <c r="H582" s="1665">
        <v>118069333</v>
      </c>
      <c r="I582" s="101">
        <v>120982957</v>
      </c>
      <c r="J582" s="101">
        <v>118069333</v>
      </c>
    </row>
    <row r="583" spans="1:10">
      <c r="A583" t="s">
        <v>2023</v>
      </c>
      <c r="B583" t="s">
        <v>7673</v>
      </c>
      <c r="C583" s="1665">
        <v>826302224</v>
      </c>
      <c r="D583" s="1665">
        <v>791783296</v>
      </c>
      <c r="E583" s="1665">
        <v>826302224</v>
      </c>
      <c r="F583" s="1665">
        <v>791783296</v>
      </c>
      <c r="G583" s="1665">
        <v>826302224</v>
      </c>
      <c r="H583" s="1665">
        <v>791783296</v>
      </c>
      <c r="I583" s="101">
        <v>826302224</v>
      </c>
      <c r="J583" s="101">
        <v>791783296</v>
      </c>
    </row>
    <row r="584" spans="1:10">
      <c r="A584" t="s">
        <v>2076</v>
      </c>
      <c r="B584" t="s">
        <v>7674</v>
      </c>
      <c r="C584" s="1665">
        <v>1338574872</v>
      </c>
      <c r="D584" s="1665">
        <v>1295173227</v>
      </c>
      <c r="E584" s="1665">
        <v>1338574872</v>
      </c>
      <c r="F584" s="1665">
        <v>1295173227</v>
      </c>
      <c r="G584" s="1665">
        <v>1338574872</v>
      </c>
      <c r="H584" s="1665">
        <v>1295173227</v>
      </c>
      <c r="I584" s="101">
        <v>1338574872</v>
      </c>
      <c r="J584" s="101">
        <v>1295173227</v>
      </c>
    </row>
    <row r="585" spans="1:10">
      <c r="A585" t="s">
        <v>2514</v>
      </c>
      <c r="B585" t="s">
        <v>7675</v>
      </c>
      <c r="C585" s="1665">
        <v>281934559</v>
      </c>
      <c r="D585" s="1665">
        <v>267303635</v>
      </c>
      <c r="E585" s="1665">
        <v>281934559</v>
      </c>
      <c r="F585" s="1665">
        <v>267303635</v>
      </c>
      <c r="G585" s="1665">
        <v>281934559</v>
      </c>
      <c r="H585" s="1665">
        <v>267303635</v>
      </c>
      <c r="I585" s="101">
        <v>281934559</v>
      </c>
      <c r="J585" s="101">
        <v>267303635</v>
      </c>
    </row>
    <row r="586" spans="1:10">
      <c r="A586" t="s">
        <v>1557</v>
      </c>
      <c r="B586" t="s">
        <v>7676</v>
      </c>
      <c r="C586" s="1665">
        <v>47808711</v>
      </c>
      <c r="D586" s="1665">
        <v>46787498</v>
      </c>
      <c r="E586" s="1665">
        <v>47808711</v>
      </c>
      <c r="F586" s="1665">
        <v>46787498</v>
      </c>
      <c r="G586" s="1665">
        <v>47808711</v>
      </c>
      <c r="H586" s="1665">
        <v>46787498</v>
      </c>
      <c r="I586" s="101">
        <v>47808711</v>
      </c>
      <c r="J586" s="101">
        <v>46787498</v>
      </c>
    </row>
    <row r="587" spans="1:10">
      <c r="A587" t="s">
        <v>1558</v>
      </c>
      <c r="B587" t="s">
        <v>7677</v>
      </c>
      <c r="C587" s="1665">
        <v>278070029</v>
      </c>
      <c r="D587" s="1665">
        <v>269305644</v>
      </c>
      <c r="E587" s="1665">
        <v>278070029</v>
      </c>
      <c r="F587" s="1665">
        <v>269305644</v>
      </c>
      <c r="G587" s="1665">
        <v>278070029</v>
      </c>
      <c r="H587" s="1665">
        <v>269305644</v>
      </c>
      <c r="I587" s="101">
        <v>278070029</v>
      </c>
      <c r="J587" s="101">
        <v>269305644</v>
      </c>
    </row>
    <row r="588" spans="1:10">
      <c r="A588" t="s">
        <v>1412</v>
      </c>
      <c r="B588" t="s">
        <v>7678</v>
      </c>
      <c r="C588" s="1665">
        <v>141743744</v>
      </c>
      <c r="D588" s="1665">
        <v>138049028</v>
      </c>
      <c r="E588" s="1665">
        <v>141743744</v>
      </c>
      <c r="F588" s="1665">
        <v>138049028</v>
      </c>
      <c r="G588" s="1665">
        <v>141743744</v>
      </c>
      <c r="H588" s="1665">
        <v>138049028</v>
      </c>
      <c r="I588" s="101">
        <v>141743744</v>
      </c>
      <c r="J588" s="101">
        <v>138049028</v>
      </c>
    </row>
    <row r="589" spans="1:10">
      <c r="A589" t="s">
        <v>2261</v>
      </c>
      <c r="B589" t="s">
        <v>7679</v>
      </c>
      <c r="C589" s="1665">
        <v>83708241</v>
      </c>
      <c r="D589" s="1665">
        <v>81604675</v>
      </c>
      <c r="E589" s="1665">
        <v>83708241</v>
      </c>
      <c r="F589" s="1665">
        <v>81604675</v>
      </c>
      <c r="G589" s="1665">
        <v>83708241</v>
      </c>
      <c r="H589" s="1665">
        <v>81604675</v>
      </c>
      <c r="I589" s="101">
        <v>83708241</v>
      </c>
      <c r="J589" s="101">
        <v>81604675</v>
      </c>
    </row>
    <row r="590" spans="1:10">
      <c r="A590" t="s">
        <v>2262</v>
      </c>
      <c r="B590" t="s">
        <v>7680</v>
      </c>
      <c r="C590" s="1665">
        <v>459953184</v>
      </c>
      <c r="D590" s="1665">
        <v>457713754</v>
      </c>
      <c r="E590" s="1665">
        <v>459953184</v>
      </c>
      <c r="F590" s="1665">
        <v>457713754</v>
      </c>
      <c r="G590" s="1665">
        <v>459953184</v>
      </c>
      <c r="H590" s="1665">
        <v>457713754</v>
      </c>
      <c r="I590" s="101">
        <v>459953184</v>
      </c>
      <c r="J590" s="101">
        <v>457713754</v>
      </c>
    </row>
    <row r="591" spans="1:10">
      <c r="A591" t="s">
        <v>2263</v>
      </c>
      <c r="B591" t="s">
        <v>7681</v>
      </c>
      <c r="C591" s="1665">
        <v>1254715724</v>
      </c>
      <c r="D591" s="1665">
        <v>1205922305</v>
      </c>
      <c r="E591" s="1665">
        <v>1254715724</v>
      </c>
      <c r="F591" s="1665">
        <v>1205922305</v>
      </c>
      <c r="G591" s="1665">
        <v>1254715724</v>
      </c>
      <c r="H591" s="1665">
        <v>1205922305</v>
      </c>
      <c r="I591" s="101">
        <v>1254715724</v>
      </c>
      <c r="J591" s="101">
        <v>1205922305</v>
      </c>
    </row>
    <row r="592" spans="1:10">
      <c r="A592" t="s">
        <v>2264</v>
      </c>
      <c r="B592" t="s">
        <v>7682</v>
      </c>
      <c r="C592" s="1665">
        <v>136536610</v>
      </c>
      <c r="D592" s="1665">
        <v>133290905</v>
      </c>
      <c r="E592" s="1665">
        <v>136536610</v>
      </c>
      <c r="F592" s="1665">
        <v>133290905</v>
      </c>
      <c r="G592" s="1665">
        <v>136536610</v>
      </c>
      <c r="H592" s="1665">
        <v>133290905</v>
      </c>
      <c r="I592" s="101">
        <v>136536610</v>
      </c>
      <c r="J592" s="101">
        <v>133290905</v>
      </c>
    </row>
    <row r="593" spans="1:10">
      <c r="A593" t="s">
        <v>2401</v>
      </c>
      <c r="B593" t="s">
        <v>7683</v>
      </c>
      <c r="C593" s="1665">
        <v>5095500711</v>
      </c>
      <c r="D593" s="1665">
        <v>5088339726</v>
      </c>
      <c r="E593" s="1665">
        <v>5095500711</v>
      </c>
      <c r="F593" s="1665">
        <v>5088339726</v>
      </c>
      <c r="G593" s="1665">
        <v>5095500711</v>
      </c>
      <c r="H593" s="1665">
        <v>5088339726</v>
      </c>
      <c r="I593" s="101">
        <v>5095500711</v>
      </c>
      <c r="J593" s="101">
        <v>5088339726</v>
      </c>
    </row>
    <row r="594" spans="1:10">
      <c r="A594" t="s">
        <v>2265</v>
      </c>
      <c r="B594" t="s">
        <v>7684</v>
      </c>
      <c r="C594" s="1665">
        <v>772439894</v>
      </c>
      <c r="D594" s="1665">
        <v>754130998</v>
      </c>
      <c r="E594" s="1665">
        <v>772439894</v>
      </c>
      <c r="F594" s="1665">
        <v>754130998</v>
      </c>
      <c r="G594" s="1665">
        <v>772439894</v>
      </c>
      <c r="H594" s="1665">
        <v>754130998</v>
      </c>
      <c r="I594" s="101">
        <v>772439894</v>
      </c>
      <c r="J594" s="101">
        <v>754130998</v>
      </c>
    </row>
    <row r="595" spans="1:10">
      <c r="A595" t="s">
        <v>2266</v>
      </c>
      <c r="B595" t="s">
        <v>7685</v>
      </c>
      <c r="C595" s="1665">
        <v>332141708</v>
      </c>
      <c r="D595" s="1665">
        <v>326633266</v>
      </c>
      <c r="E595" s="1665">
        <v>325880359</v>
      </c>
      <c r="F595" s="1665">
        <v>320371917</v>
      </c>
      <c r="G595" s="1665">
        <v>325880359</v>
      </c>
      <c r="H595" s="1665">
        <v>320371917</v>
      </c>
      <c r="I595" s="101">
        <v>332141708</v>
      </c>
      <c r="J595" s="101">
        <v>326633266</v>
      </c>
    </row>
    <row r="596" spans="1:10">
      <c r="A596" t="s">
        <v>2267</v>
      </c>
      <c r="B596" t="s">
        <v>7686</v>
      </c>
      <c r="C596" s="1665">
        <v>637816432</v>
      </c>
      <c r="D596" s="1665">
        <v>626491682</v>
      </c>
      <c r="E596" s="1665">
        <v>637816432</v>
      </c>
      <c r="F596" s="1665">
        <v>626491682</v>
      </c>
      <c r="G596" s="1665">
        <v>637816432</v>
      </c>
      <c r="H596" s="1665">
        <v>626491682</v>
      </c>
      <c r="I596" s="101">
        <v>637816432</v>
      </c>
      <c r="J596" s="101">
        <v>626491682</v>
      </c>
    </row>
    <row r="597" spans="1:10">
      <c r="A597" t="s">
        <v>2268</v>
      </c>
      <c r="B597" t="s">
        <v>7687</v>
      </c>
      <c r="C597" s="1665">
        <v>60704905</v>
      </c>
      <c r="D597" s="1665">
        <v>58122805</v>
      </c>
      <c r="E597" s="1665">
        <v>57338595</v>
      </c>
      <c r="F597" s="1665">
        <v>54756495</v>
      </c>
      <c r="G597" s="1665">
        <v>57338595</v>
      </c>
      <c r="H597" s="1665">
        <v>54756495</v>
      </c>
      <c r="I597" s="101">
        <v>60704905</v>
      </c>
      <c r="J597" s="101">
        <v>58122805</v>
      </c>
    </row>
    <row r="598" spans="1:10">
      <c r="A598" t="s">
        <v>2269</v>
      </c>
      <c r="B598" t="s">
        <v>7688</v>
      </c>
      <c r="C598" s="1665">
        <v>75713700</v>
      </c>
      <c r="D598" s="1665">
        <v>73042850</v>
      </c>
      <c r="E598" s="1665">
        <v>75713700</v>
      </c>
      <c r="F598" s="1665">
        <v>73042850</v>
      </c>
      <c r="G598" s="1665">
        <v>75713700</v>
      </c>
      <c r="H598" s="1665">
        <v>73042850</v>
      </c>
      <c r="I598" s="101">
        <v>75713700</v>
      </c>
      <c r="J598" s="101">
        <v>73042850</v>
      </c>
    </row>
    <row r="599" spans="1:10">
      <c r="A599" t="s">
        <v>2586</v>
      </c>
      <c r="B599" t="s">
        <v>7689</v>
      </c>
      <c r="C599" s="1665">
        <v>84647106</v>
      </c>
      <c r="D599" s="1665">
        <v>82172731</v>
      </c>
      <c r="E599" s="1665">
        <v>81848489</v>
      </c>
      <c r="F599" s="1665">
        <v>79374114</v>
      </c>
      <c r="G599" s="1665">
        <v>81848489</v>
      </c>
      <c r="H599" s="1665">
        <v>79374114</v>
      </c>
      <c r="I599" s="101">
        <v>84647106</v>
      </c>
      <c r="J599" s="101">
        <v>82172731</v>
      </c>
    </row>
    <row r="600" spans="1:10">
      <c r="A600" t="s">
        <v>2587</v>
      </c>
      <c r="B600" t="s">
        <v>7690</v>
      </c>
      <c r="C600" s="1665">
        <v>801090017</v>
      </c>
      <c r="D600" s="1665">
        <v>780900231</v>
      </c>
      <c r="E600" s="1665">
        <v>785779936</v>
      </c>
      <c r="F600" s="1665">
        <v>765590150</v>
      </c>
      <c r="G600" s="1665">
        <v>785779936</v>
      </c>
      <c r="H600" s="1665">
        <v>765590150</v>
      </c>
      <c r="I600" s="101">
        <v>801090017</v>
      </c>
      <c r="J600" s="101">
        <v>780900231</v>
      </c>
    </row>
    <row r="601" spans="1:10">
      <c r="A601" t="s">
        <v>2588</v>
      </c>
      <c r="B601" t="s">
        <v>7691</v>
      </c>
      <c r="C601" s="1665">
        <v>421881717</v>
      </c>
      <c r="D601" s="1665">
        <v>408032754</v>
      </c>
      <c r="E601" s="1665">
        <v>421881717</v>
      </c>
      <c r="F601" s="1665">
        <v>408032754</v>
      </c>
      <c r="G601" s="1665">
        <v>421881717</v>
      </c>
      <c r="H601" s="1665">
        <v>408032754</v>
      </c>
      <c r="I601" s="101">
        <v>421881717</v>
      </c>
      <c r="J601" s="101">
        <v>408032754</v>
      </c>
    </row>
    <row r="602" spans="1:10">
      <c r="A602" t="s">
        <v>2589</v>
      </c>
      <c r="B602" t="s">
        <v>7692</v>
      </c>
      <c r="C602" s="1665">
        <v>127425926</v>
      </c>
      <c r="D602" s="1665">
        <v>124505470</v>
      </c>
      <c r="E602" s="1665">
        <v>126714122</v>
      </c>
      <c r="F602" s="1665">
        <v>123793666</v>
      </c>
      <c r="G602" s="1665">
        <v>126714122</v>
      </c>
      <c r="H602" s="1665">
        <v>123793666</v>
      </c>
      <c r="I602" s="101">
        <v>127425926</v>
      </c>
      <c r="J602" s="101">
        <v>124505470</v>
      </c>
    </row>
    <row r="603" spans="1:10">
      <c r="A603" t="s">
        <v>2590</v>
      </c>
      <c r="B603" t="s">
        <v>7693</v>
      </c>
      <c r="C603" s="1665">
        <v>461185100</v>
      </c>
      <c r="D603" s="1665">
        <v>461185100</v>
      </c>
      <c r="E603" s="1665">
        <v>458784814</v>
      </c>
      <c r="F603" s="1665">
        <v>458784814</v>
      </c>
      <c r="G603" s="1665">
        <v>458784814</v>
      </c>
      <c r="H603" s="1665">
        <v>458784814</v>
      </c>
      <c r="I603" s="101">
        <v>461185100</v>
      </c>
      <c r="J603" s="101">
        <v>461185100</v>
      </c>
    </row>
    <row r="604" spans="1:10">
      <c r="A604" t="s">
        <v>1381</v>
      </c>
      <c r="B604" t="s">
        <v>7694</v>
      </c>
      <c r="C604" s="1665">
        <v>356854334</v>
      </c>
      <c r="D604" s="1665">
        <v>356854334</v>
      </c>
      <c r="E604" s="1665">
        <v>350888429</v>
      </c>
      <c r="F604" s="1665">
        <v>350888429</v>
      </c>
      <c r="G604" s="1665">
        <v>350888429</v>
      </c>
      <c r="H604" s="1665">
        <v>350888429</v>
      </c>
      <c r="I604" s="101">
        <v>356854334</v>
      </c>
      <c r="J604" s="101">
        <v>356854334</v>
      </c>
    </row>
    <row r="605" spans="1:10">
      <c r="A605" t="s">
        <v>1382</v>
      </c>
      <c r="B605" t="s">
        <v>7695</v>
      </c>
      <c r="C605" s="1665">
        <v>362627831</v>
      </c>
      <c r="D605" s="1665">
        <v>361229262</v>
      </c>
      <c r="E605" s="1665">
        <v>348326725</v>
      </c>
      <c r="F605" s="1665">
        <v>346928156</v>
      </c>
      <c r="G605" s="1665">
        <v>348326725</v>
      </c>
      <c r="H605" s="1665">
        <v>346928156</v>
      </c>
      <c r="I605" s="101">
        <v>362627831</v>
      </c>
      <c r="J605" s="101">
        <v>361229262</v>
      </c>
    </row>
    <row r="606" spans="1:10">
      <c r="A606" t="s">
        <v>2426</v>
      </c>
      <c r="B606" t="s">
        <v>7696</v>
      </c>
      <c r="C606" s="1665">
        <v>148766635</v>
      </c>
      <c r="D606" s="1665">
        <v>148242931</v>
      </c>
      <c r="E606" s="1665">
        <v>148766635</v>
      </c>
      <c r="F606" s="1665">
        <v>148242931</v>
      </c>
      <c r="G606" s="1665">
        <v>148766635</v>
      </c>
      <c r="H606" s="1665">
        <v>148242931</v>
      </c>
      <c r="I606" s="101">
        <v>148766635</v>
      </c>
      <c r="J606" s="101">
        <v>148242931</v>
      </c>
    </row>
    <row r="607" spans="1:10">
      <c r="A607" t="s">
        <v>2111</v>
      </c>
      <c r="B607" t="s">
        <v>7697</v>
      </c>
      <c r="C607" s="1665">
        <v>783227896</v>
      </c>
      <c r="D607" s="1665">
        <v>782210146</v>
      </c>
      <c r="E607" s="1665">
        <v>783227896</v>
      </c>
      <c r="F607" s="1665">
        <v>782210146</v>
      </c>
      <c r="G607" s="1665">
        <v>783227896</v>
      </c>
      <c r="H607" s="1665">
        <v>782210146</v>
      </c>
      <c r="I607" s="101">
        <v>783227896</v>
      </c>
      <c r="J607" s="101">
        <v>782210146</v>
      </c>
    </row>
    <row r="608" spans="1:10">
      <c r="A608" t="s">
        <v>2633</v>
      </c>
      <c r="B608" t="s">
        <v>7698</v>
      </c>
      <c r="C608" s="1665">
        <v>1423870428</v>
      </c>
      <c r="D608" s="1665">
        <v>1392444696</v>
      </c>
      <c r="E608" s="1665">
        <v>1423870428</v>
      </c>
      <c r="F608" s="1665">
        <v>1392444696</v>
      </c>
      <c r="G608" s="1665">
        <v>1423870428</v>
      </c>
      <c r="H608" s="1665">
        <v>1392444696</v>
      </c>
      <c r="I608" s="101">
        <v>1423870428</v>
      </c>
      <c r="J608" s="101">
        <v>1392444696</v>
      </c>
    </row>
    <row r="609" spans="1:10">
      <c r="A609" t="s">
        <v>2408</v>
      </c>
      <c r="B609" t="s">
        <v>7699</v>
      </c>
      <c r="C609" s="1665">
        <v>1935364593</v>
      </c>
      <c r="D609" s="1665">
        <v>1889148620</v>
      </c>
      <c r="E609" s="1665">
        <v>1935364593</v>
      </c>
      <c r="F609" s="1665">
        <v>1889148620</v>
      </c>
      <c r="G609" s="1665">
        <v>1935364593</v>
      </c>
      <c r="H609" s="1665">
        <v>1889148620</v>
      </c>
      <c r="I609" s="101">
        <v>1935364593</v>
      </c>
      <c r="J609" s="101">
        <v>1889148620</v>
      </c>
    </row>
    <row r="610" spans="1:10">
      <c r="A610" t="s">
        <v>2112</v>
      </c>
      <c r="B610" t="s">
        <v>7700</v>
      </c>
      <c r="C610" s="1665">
        <v>168025254</v>
      </c>
      <c r="D610" s="1665">
        <v>166064675</v>
      </c>
      <c r="E610" s="1665">
        <v>168025254</v>
      </c>
      <c r="F610" s="1665">
        <v>166064675</v>
      </c>
      <c r="G610" s="1665">
        <v>168025254</v>
      </c>
      <c r="H610" s="1665">
        <v>166064675</v>
      </c>
      <c r="I610" s="101">
        <v>168025254</v>
      </c>
      <c r="J610" s="101">
        <v>166064675</v>
      </c>
    </row>
    <row r="611" spans="1:10">
      <c r="A611" t="s">
        <v>2515</v>
      </c>
      <c r="B611" t="s">
        <v>7701</v>
      </c>
      <c r="C611" s="1665">
        <v>469780047</v>
      </c>
      <c r="D611" s="1665">
        <v>455756290</v>
      </c>
      <c r="E611" s="1665">
        <v>469780047</v>
      </c>
      <c r="F611" s="1665">
        <v>455756290</v>
      </c>
      <c r="G611" s="1665">
        <v>469780047</v>
      </c>
      <c r="H611" s="1665">
        <v>455756290</v>
      </c>
      <c r="I611" s="101">
        <v>469780047</v>
      </c>
      <c r="J611" s="101">
        <v>455756290</v>
      </c>
    </row>
    <row r="612" spans="1:10">
      <c r="A612" t="s">
        <v>1116</v>
      </c>
      <c r="B612" t="s">
        <v>7702</v>
      </c>
      <c r="C612" s="1665">
        <v>272713599</v>
      </c>
      <c r="D612" s="1665">
        <v>266731988</v>
      </c>
      <c r="E612" s="1665">
        <v>272713599</v>
      </c>
      <c r="F612" s="1665">
        <v>266731988</v>
      </c>
      <c r="G612" s="1665">
        <v>272713599</v>
      </c>
      <c r="H612" s="1665">
        <v>266731988</v>
      </c>
      <c r="I612" s="101">
        <v>272713599</v>
      </c>
      <c r="J612" s="101">
        <v>266731988</v>
      </c>
    </row>
    <row r="613" spans="1:10">
      <c r="A613" t="s">
        <v>2113</v>
      </c>
      <c r="B613" t="s">
        <v>7703</v>
      </c>
      <c r="C613" s="1665">
        <v>927797532</v>
      </c>
      <c r="D613" s="1665">
        <v>907124351</v>
      </c>
      <c r="E613" s="1665">
        <v>927797532</v>
      </c>
      <c r="F613" s="1665">
        <v>907124351</v>
      </c>
      <c r="G613" s="1665">
        <v>986152932</v>
      </c>
      <c r="H613" s="1665">
        <v>965479751</v>
      </c>
      <c r="I613" s="101">
        <v>986152932</v>
      </c>
      <c r="J613" s="101">
        <v>965479751</v>
      </c>
    </row>
    <row r="614" spans="1:10">
      <c r="A614" t="s">
        <v>2114</v>
      </c>
      <c r="B614" t="s">
        <v>7704</v>
      </c>
      <c r="C614" s="1665">
        <v>585662216</v>
      </c>
      <c r="D614" s="1665">
        <v>566694382</v>
      </c>
      <c r="E614" s="1665">
        <v>585662216</v>
      </c>
      <c r="F614" s="1665">
        <v>566694382</v>
      </c>
      <c r="G614" s="1665">
        <v>585662216</v>
      </c>
      <c r="H614" s="1665">
        <v>566694382</v>
      </c>
      <c r="I614" s="101">
        <v>585662216</v>
      </c>
      <c r="J614" s="101">
        <v>566694382</v>
      </c>
    </row>
    <row r="615" spans="1:10">
      <c r="A615" t="s">
        <v>967</v>
      </c>
      <c r="B615" t="s">
        <v>7705</v>
      </c>
      <c r="C615" s="1665">
        <v>46260552</v>
      </c>
      <c r="D615" s="1665">
        <v>44358319</v>
      </c>
      <c r="E615" s="1665">
        <v>46260552</v>
      </c>
      <c r="F615" s="1665">
        <v>44358319</v>
      </c>
      <c r="G615" s="1665">
        <v>46260552</v>
      </c>
      <c r="H615" s="1665">
        <v>44358319</v>
      </c>
      <c r="I615" s="101">
        <v>46260552</v>
      </c>
      <c r="J615" s="101">
        <v>44358319</v>
      </c>
    </row>
    <row r="616" spans="1:10">
      <c r="A616" t="s">
        <v>1337</v>
      </c>
      <c r="B616" t="s">
        <v>7706</v>
      </c>
      <c r="C616" s="1665">
        <v>1257050449</v>
      </c>
      <c r="D616" s="1665">
        <v>1236982696</v>
      </c>
      <c r="E616" s="1665">
        <v>1257050449</v>
      </c>
      <c r="F616" s="1665">
        <v>1236982696</v>
      </c>
      <c r="G616" s="1665">
        <v>1257050449</v>
      </c>
      <c r="H616" s="1665">
        <v>1236982696</v>
      </c>
      <c r="I616" s="101">
        <v>1257050449</v>
      </c>
      <c r="J616" s="101">
        <v>1236982696</v>
      </c>
    </row>
    <row r="617" spans="1:10">
      <c r="A617" t="s">
        <v>1689</v>
      </c>
      <c r="B617" t="s">
        <v>7707</v>
      </c>
      <c r="C617" s="1665">
        <v>452802411</v>
      </c>
      <c r="D617" s="1665">
        <v>433285836</v>
      </c>
      <c r="E617" s="1665">
        <v>452802411</v>
      </c>
      <c r="F617" s="1665">
        <v>433285836</v>
      </c>
      <c r="G617" s="1665">
        <v>452802411</v>
      </c>
      <c r="H617" s="1665">
        <v>433285836</v>
      </c>
      <c r="I617" s="101">
        <v>452802411</v>
      </c>
      <c r="J617" s="101">
        <v>433285836</v>
      </c>
    </row>
    <row r="618" spans="1:10">
      <c r="A618" t="s">
        <v>1690</v>
      </c>
      <c r="B618" t="s">
        <v>7708</v>
      </c>
      <c r="C618" s="1665">
        <v>208250464</v>
      </c>
      <c r="D618" s="1665">
        <v>205539024</v>
      </c>
      <c r="E618" s="1665">
        <v>208250464</v>
      </c>
      <c r="F618" s="1665">
        <v>205539024</v>
      </c>
      <c r="G618" s="1665">
        <v>208250464</v>
      </c>
      <c r="H618" s="1665">
        <v>205539024</v>
      </c>
      <c r="I618" s="101">
        <v>208250464</v>
      </c>
      <c r="J618" s="101">
        <v>205539024</v>
      </c>
    </row>
    <row r="619" spans="1:10">
      <c r="A619" t="s">
        <v>2557</v>
      </c>
      <c r="B619" t="s">
        <v>7709</v>
      </c>
      <c r="C619" s="1665">
        <v>137930012</v>
      </c>
      <c r="D619" s="1665">
        <v>136671812</v>
      </c>
      <c r="E619" s="1665">
        <v>137930012</v>
      </c>
      <c r="F619" s="1665">
        <v>136671812</v>
      </c>
      <c r="G619" s="1665">
        <v>137930012</v>
      </c>
      <c r="H619" s="1665">
        <v>136671812</v>
      </c>
      <c r="I619" s="101">
        <v>137930012</v>
      </c>
      <c r="J619" s="101">
        <v>136671812</v>
      </c>
    </row>
    <row r="620" spans="1:10">
      <c r="A620" t="s">
        <v>2558</v>
      </c>
      <c r="B620" t="s">
        <v>7710</v>
      </c>
      <c r="C620" s="1665">
        <v>229746418</v>
      </c>
      <c r="D620" s="1665">
        <v>228893209</v>
      </c>
      <c r="E620" s="1665">
        <v>229746418</v>
      </c>
      <c r="F620" s="1665">
        <v>228893209</v>
      </c>
      <c r="G620" s="1665">
        <v>229746418</v>
      </c>
      <c r="H620" s="1665">
        <v>228893209</v>
      </c>
      <c r="I620" s="101">
        <v>229746418</v>
      </c>
      <c r="J620" s="101">
        <v>228893209</v>
      </c>
    </row>
    <row r="621" spans="1:10">
      <c r="A621" t="s">
        <v>2659</v>
      </c>
      <c r="B621" t="s">
        <v>7711</v>
      </c>
      <c r="C621" s="1665">
        <v>90831933</v>
      </c>
      <c r="D621" s="1665">
        <v>89811143</v>
      </c>
      <c r="E621" s="1665">
        <v>90831933</v>
      </c>
      <c r="F621" s="1665">
        <v>89811143</v>
      </c>
      <c r="G621" s="1665">
        <v>90831933</v>
      </c>
      <c r="H621" s="1665">
        <v>89811143</v>
      </c>
      <c r="I621" s="101">
        <v>90831933</v>
      </c>
      <c r="J621" s="101">
        <v>89811143</v>
      </c>
    </row>
    <row r="622" spans="1:10">
      <c r="A622" t="s">
        <v>837</v>
      </c>
      <c r="B622" t="s">
        <v>7712</v>
      </c>
      <c r="C622" s="1665">
        <v>755894210</v>
      </c>
      <c r="D622" s="1665">
        <v>740120499</v>
      </c>
      <c r="E622" s="1665">
        <v>736322508</v>
      </c>
      <c r="F622" s="1665">
        <v>720548797</v>
      </c>
      <c r="G622" s="1665">
        <v>736322508</v>
      </c>
      <c r="H622" s="1665">
        <v>720548797</v>
      </c>
      <c r="I622" s="101">
        <v>755894210</v>
      </c>
      <c r="J622" s="101">
        <v>740120499</v>
      </c>
    </row>
    <row r="623" spans="1:10">
      <c r="A623" t="s">
        <v>82</v>
      </c>
      <c r="B623" t="s">
        <v>7713</v>
      </c>
      <c r="C623" s="1665">
        <v>1522412141</v>
      </c>
      <c r="D623" s="1665">
        <v>1514978938</v>
      </c>
      <c r="E623" s="1665">
        <v>1514354270</v>
      </c>
      <c r="F623" s="1665">
        <v>1506921067</v>
      </c>
      <c r="G623" s="1665">
        <v>1514354270</v>
      </c>
      <c r="H623" s="1665">
        <v>1506921067</v>
      </c>
      <c r="I623" s="101">
        <v>1522412141</v>
      </c>
      <c r="J623" s="101">
        <v>1514978938</v>
      </c>
    </row>
    <row r="624" spans="1:10">
      <c r="A624" t="s">
        <v>83</v>
      </c>
      <c r="B624" t="s">
        <v>7714</v>
      </c>
      <c r="C624" s="1665">
        <v>3876344228</v>
      </c>
      <c r="D624" s="1665">
        <v>3828577969</v>
      </c>
      <c r="E624" s="1665">
        <v>3803090438</v>
      </c>
      <c r="F624" s="1665">
        <v>3755324179</v>
      </c>
      <c r="G624" s="1665">
        <v>3803090438</v>
      </c>
      <c r="H624" s="1665">
        <v>3755324179</v>
      </c>
      <c r="I624" s="101">
        <v>3876344228</v>
      </c>
      <c r="J624" s="101">
        <v>3828577969</v>
      </c>
    </row>
    <row r="625" spans="1:10">
      <c r="A625" t="s">
        <v>2284</v>
      </c>
      <c r="B625" t="s">
        <v>7715</v>
      </c>
      <c r="C625" s="1665">
        <v>11203853243</v>
      </c>
      <c r="D625" s="1665">
        <v>10914544408</v>
      </c>
      <c r="E625" s="1665">
        <v>11203853243</v>
      </c>
      <c r="F625" s="1665">
        <v>10914544408</v>
      </c>
      <c r="G625" s="1665">
        <v>11203853243</v>
      </c>
      <c r="H625" s="1665">
        <v>10914544408</v>
      </c>
      <c r="I625" s="101">
        <v>11203853243</v>
      </c>
      <c r="J625" s="101">
        <v>10914544408</v>
      </c>
    </row>
    <row r="626" spans="1:10">
      <c r="A626" t="s">
        <v>2410</v>
      </c>
      <c r="B626" t="s">
        <v>7716</v>
      </c>
      <c r="C626" s="1665">
        <v>269867996</v>
      </c>
      <c r="D626" s="1665">
        <v>264478290</v>
      </c>
      <c r="E626" s="1665">
        <v>269867996</v>
      </c>
      <c r="F626" s="1665">
        <v>264478290</v>
      </c>
      <c r="G626" s="1665">
        <v>269867996</v>
      </c>
      <c r="H626" s="1665">
        <v>264478290</v>
      </c>
      <c r="I626" s="101">
        <v>269867996</v>
      </c>
      <c r="J626" s="101">
        <v>264478290</v>
      </c>
    </row>
    <row r="627" spans="1:10">
      <c r="A627" t="s">
        <v>2411</v>
      </c>
      <c r="B627" t="s">
        <v>7717</v>
      </c>
      <c r="C627" s="1665">
        <v>421883822</v>
      </c>
      <c r="D627" s="1665">
        <v>406883805</v>
      </c>
      <c r="E627" s="1665">
        <v>421883822</v>
      </c>
      <c r="F627" s="1665">
        <v>406883805</v>
      </c>
      <c r="G627" s="1665">
        <v>421883822</v>
      </c>
      <c r="H627" s="1665">
        <v>406883805</v>
      </c>
      <c r="I627" s="101">
        <v>421883822</v>
      </c>
      <c r="J627" s="101">
        <v>406883805</v>
      </c>
    </row>
    <row r="628" spans="1:10">
      <c r="A628" t="s">
        <v>2104</v>
      </c>
      <c r="B628" t="s">
        <v>7718</v>
      </c>
      <c r="C628" s="1665">
        <v>3235890694</v>
      </c>
      <c r="D628" s="1665">
        <v>3167998840</v>
      </c>
      <c r="E628" s="1665">
        <v>3235890694</v>
      </c>
      <c r="F628" s="1665">
        <v>3167998840</v>
      </c>
      <c r="G628" s="1665">
        <v>3235890694</v>
      </c>
      <c r="H628" s="1665">
        <v>3167998840</v>
      </c>
      <c r="I628" s="101">
        <v>3235890694</v>
      </c>
      <c r="J628" s="101">
        <v>3167998840</v>
      </c>
    </row>
    <row r="629" spans="1:10">
      <c r="A629" t="s">
        <v>1423</v>
      </c>
      <c r="B629" t="s">
        <v>7719</v>
      </c>
      <c r="C629" s="1665">
        <v>4260744417</v>
      </c>
      <c r="D629" s="1665">
        <v>4170304423</v>
      </c>
      <c r="E629" s="1665">
        <v>4260744417</v>
      </c>
      <c r="F629" s="1665">
        <v>4170304423</v>
      </c>
      <c r="G629" s="1665">
        <v>4260744417</v>
      </c>
      <c r="H629" s="1665">
        <v>4170304423</v>
      </c>
      <c r="I629" s="101">
        <v>4260744417</v>
      </c>
      <c r="J629" s="101">
        <v>4170304423</v>
      </c>
    </row>
    <row r="630" spans="1:10">
      <c r="A630" t="s">
        <v>2412</v>
      </c>
      <c r="B630" t="s">
        <v>7720</v>
      </c>
      <c r="C630" s="1665">
        <v>247265953</v>
      </c>
      <c r="D630" s="1665">
        <v>239809764</v>
      </c>
      <c r="E630" s="1665">
        <v>247265953</v>
      </c>
      <c r="F630" s="1665">
        <v>239809764</v>
      </c>
      <c r="G630" s="1665">
        <v>247265953</v>
      </c>
      <c r="H630" s="1665">
        <v>239809764</v>
      </c>
      <c r="I630" s="101">
        <v>247265953</v>
      </c>
      <c r="J630" s="101">
        <v>239809764</v>
      </c>
    </row>
    <row r="631" spans="1:10">
      <c r="A631" t="s">
        <v>496</v>
      </c>
      <c r="B631" t="s">
        <v>7721</v>
      </c>
      <c r="C631" s="1665">
        <v>344426346</v>
      </c>
      <c r="D631" s="1665">
        <v>334399160</v>
      </c>
      <c r="E631" s="1665">
        <v>344426346</v>
      </c>
      <c r="F631" s="1665">
        <v>334399160</v>
      </c>
      <c r="G631" s="1665">
        <v>344426346</v>
      </c>
      <c r="H631" s="1665">
        <v>334399160</v>
      </c>
      <c r="I631" s="101">
        <v>344426346</v>
      </c>
      <c r="J631" s="101">
        <v>334399160</v>
      </c>
    </row>
    <row r="632" spans="1:10">
      <c r="A632" t="s">
        <v>677</v>
      </c>
      <c r="B632" t="s">
        <v>7722</v>
      </c>
      <c r="C632" s="1665">
        <v>277590875</v>
      </c>
      <c r="D632" s="1665">
        <v>269539449</v>
      </c>
      <c r="E632" s="1665">
        <v>277590875</v>
      </c>
      <c r="F632" s="1665">
        <v>269539449</v>
      </c>
      <c r="G632" s="1665">
        <v>277590875</v>
      </c>
      <c r="H632" s="1665">
        <v>269539449</v>
      </c>
      <c r="I632" s="101">
        <v>277590875</v>
      </c>
      <c r="J632" s="101">
        <v>269539449</v>
      </c>
    </row>
    <row r="633" spans="1:10">
      <c r="A633" t="s">
        <v>2347</v>
      </c>
      <c r="B633" t="s">
        <v>7723</v>
      </c>
      <c r="C633" s="1665">
        <v>115368446</v>
      </c>
      <c r="D633" s="1665">
        <v>113219486</v>
      </c>
      <c r="E633" s="1665">
        <v>115368446</v>
      </c>
      <c r="F633" s="1665">
        <v>113219486</v>
      </c>
      <c r="G633" s="1665">
        <v>311943836</v>
      </c>
      <c r="H633" s="1665">
        <v>309794876</v>
      </c>
      <c r="I633" s="101">
        <v>311943836</v>
      </c>
      <c r="J633" s="101">
        <v>309794876</v>
      </c>
    </row>
    <row r="634" spans="1:10">
      <c r="A634" t="s">
        <v>2348</v>
      </c>
      <c r="B634" t="s">
        <v>7724</v>
      </c>
      <c r="C634" s="1665">
        <v>147029327</v>
      </c>
      <c r="D634" s="1665">
        <v>141358747</v>
      </c>
      <c r="E634" s="1665">
        <v>147029327</v>
      </c>
      <c r="F634" s="1665">
        <v>141358747</v>
      </c>
      <c r="G634" s="1665">
        <v>147029327</v>
      </c>
      <c r="H634" s="1665">
        <v>141358747</v>
      </c>
      <c r="I634" s="101">
        <v>147029327</v>
      </c>
      <c r="J634" s="101">
        <v>141358747</v>
      </c>
    </row>
    <row r="635" spans="1:10">
      <c r="A635" t="s">
        <v>2349</v>
      </c>
      <c r="B635" t="s">
        <v>7725</v>
      </c>
      <c r="C635" s="1665">
        <v>100889812</v>
      </c>
      <c r="D635" s="1665">
        <v>98628402</v>
      </c>
      <c r="E635" s="1665">
        <v>100889812</v>
      </c>
      <c r="F635" s="1665">
        <v>98628402</v>
      </c>
      <c r="G635" s="1665">
        <v>100889812</v>
      </c>
      <c r="H635" s="1665">
        <v>98628402</v>
      </c>
      <c r="I635" s="101">
        <v>100889812</v>
      </c>
      <c r="J635" s="101">
        <v>98628402</v>
      </c>
    </row>
    <row r="636" spans="1:10">
      <c r="A636" t="s">
        <v>1464</v>
      </c>
      <c r="B636" t="s">
        <v>7726</v>
      </c>
      <c r="C636" s="1665">
        <v>51518782</v>
      </c>
      <c r="D636" s="1665">
        <v>50007832</v>
      </c>
      <c r="E636" s="1665">
        <v>51518782</v>
      </c>
      <c r="F636" s="1665">
        <v>50007832</v>
      </c>
      <c r="G636" s="1665">
        <v>51518782</v>
      </c>
      <c r="H636" s="1665">
        <v>50007832</v>
      </c>
      <c r="I636" s="101">
        <v>51518782</v>
      </c>
      <c r="J636" s="101">
        <v>50007832</v>
      </c>
    </row>
    <row r="637" spans="1:10">
      <c r="A637" t="s">
        <v>2091</v>
      </c>
      <c r="B637" t="s">
        <v>7727</v>
      </c>
      <c r="C637" s="1665">
        <v>814549971</v>
      </c>
      <c r="D637" s="1665">
        <v>794000379</v>
      </c>
      <c r="E637" s="1665">
        <v>814549971</v>
      </c>
      <c r="F637" s="1665">
        <v>794000379</v>
      </c>
      <c r="G637" s="1665">
        <v>814549971</v>
      </c>
      <c r="H637" s="1665">
        <v>794000379</v>
      </c>
      <c r="I637" s="101">
        <v>814549971</v>
      </c>
      <c r="J637" s="101">
        <v>794000379</v>
      </c>
    </row>
    <row r="638" spans="1:10">
      <c r="A638" t="s">
        <v>1465</v>
      </c>
      <c r="B638" t="s">
        <v>7728</v>
      </c>
      <c r="C638" s="1665">
        <v>220209914</v>
      </c>
      <c r="D638" s="1665">
        <v>216068708</v>
      </c>
      <c r="E638" s="1665">
        <v>220209914</v>
      </c>
      <c r="F638" s="1665">
        <v>216068708</v>
      </c>
      <c r="G638" s="1665">
        <v>220209914</v>
      </c>
      <c r="H638" s="1665">
        <v>216068708</v>
      </c>
      <c r="I638" s="101">
        <v>220209914</v>
      </c>
      <c r="J638" s="101">
        <v>216068708</v>
      </c>
    </row>
    <row r="639" spans="1:10">
      <c r="A639" t="s">
        <v>382</v>
      </c>
      <c r="B639" t="s">
        <v>7729</v>
      </c>
      <c r="C639" s="1665">
        <v>641160730</v>
      </c>
      <c r="D639" s="1665">
        <v>619053650</v>
      </c>
      <c r="E639" s="1665">
        <v>630866135</v>
      </c>
      <c r="F639" s="1665">
        <v>608759055</v>
      </c>
      <c r="G639" s="1665">
        <v>630866135</v>
      </c>
      <c r="H639" s="1665">
        <v>608759055</v>
      </c>
      <c r="I639" s="101">
        <v>641160730</v>
      </c>
      <c r="J639" s="101">
        <v>619053650</v>
      </c>
    </row>
    <row r="640" spans="1:10">
      <c r="A640" t="s">
        <v>383</v>
      </c>
      <c r="B640" t="s">
        <v>7730</v>
      </c>
      <c r="C640" s="1665">
        <v>2131881349</v>
      </c>
      <c r="D640" s="1665">
        <v>2123052581</v>
      </c>
      <c r="E640" s="1665">
        <v>2125858057</v>
      </c>
      <c r="F640" s="1665">
        <v>2117029289</v>
      </c>
      <c r="G640" s="1665">
        <v>2187290847</v>
      </c>
      <c r="H640" s="1665">
        <v>2178462079</v>
      </c>
      <c r="I640" s="101">
        <v>2193314139</v>
      </c>
      <c r="J640" s="101">
        <v>2184485371</v>
      </c>
    </row>
    <row r="641" spans="1:10">
      <c r="A641" t="s">
        <v>384</v>
      </c>
      <c r="B641" t="s">
        <v>7731</v>
      </c>
      <c r="C641" s="1665">
        <v>1495769557</v>
      </c>
      <c r="D641" s="1665">
        <v>1494582997</v>
      </c>
      <c r="E641" s="1665">
        <v>1494515432</v>
      </c>
      <c r="F641" s="1665">
        <v>1493328872</v>
      </c>
      <c r="G641" s="1665">
        <v>1494515432</v>
      </c>
      <c r="H641" s="1665">
        <v>1493328872</v>
      </c>
      <c r="I641" s="101">
        <v>1495769557</v>
      </c>
      <c r="J641" s="101">
        <v>1494582997</v>
      </c>
    </row>
    <row r="642" spans="1:10">
      <c r="A642" t="s">
        <v>1655</v>
      </c>
      <c r="B642" t="s">
        <v>7732</v>
      </c>
      <c r="C642" s="1665">
        <v>359660434</v>
      </c>
      <c r="D642" s="1665">
        <v>348179494</v>
      </c>
      <c r="E642" s="1665">
        <v>359660434</v>
      </c>
      <c r="F642" s="1665">
        <v>348179494</v>
      </c>
      <c r="G642" s="1665">
        <v>359660434</v>
      </c>
      <c r="H642" s="1665">
        <v>348179494</v>
      </c>
      <c r="I642" s="101">
        <v>359660434</v>
      </c>
      <c r="J642" s="101">
        <v>348179494</v>
      </c>
    </row>
    <row r="643" spans="1:10">
      <c r="A643" t="s">
        <v>1656</v>
      </c>
      <c r="B643" t="s">
        <v>7733</v>
      </c>
      <c r="C643" s="1665">
        <v>1334969915</v>
      </c>
      <c r="D643" s="1665">
        <v>1300140101</v>
      </c>
      <c r="E643" s="1665">
        <v>1334969915</v>
      </c>
      <c r="F643" s="1665">
        <v>1300140101</v>
      </c>
      <c r="G643" s="1665">
        <v>1334969915</v>
      </c>
      <c r="H643" s="1665">
        <v>1300140101</v>
      </c>
      <c r="I643" s="101">
        <v>1334969915</v>
      </c>
      <c r="J643" s="101">
        <v>1300140101</v>
      </c>
    </row>
    <row r="644" spans="1:10">
      <c r="A644" t="s">
        <v>173</v>
      </c>
      <c r="B644" t="s">
        <v>7734</v>
      </c>
      <c r="C644" s="1665">
        <v>1148021598</v>
      </c>
      <c r="D644" s="1665">
        <v>1139979859</v>
      </c>
      <c r="E644" s="1665">
        <v>1138882259</v>
      </c>
      <c r="F644" s="1665">
        <v>1130840520</v>
      </c>
      <c r="G644" s="1665">
        <v>1138882259</v>
      </c>
      <c r="H644" s="1665">
        <v>1130840520</v>
      </c>
      <c r="I644" s="101">
        <v>1148021598</v>
      </c>
      <c r="J644" s="101">
        <v>1139979859</v>
      </c>
    </row>
    <row r="645" spans="1:10">
      <c r="A645" t="s">
        <v>2128</v>
      </c>
      <c r="B645" t="s">
        <v>7735</v>
      </c>
      <c r="C645" s="1665">
        <v>297558124</v>
      </c>
      <c r="D645" s="1665">
        <v>294658979</v>
      </c>
      <c r="E645" s="1665">
        <v>291671806</v>
      </c>
      <c r="F645" s="1665">
        <v>288772661</v>
      </c>
      <c r="G645" s="1665">
        <v>291671806</v>
      </c>
      <c r="H645" s="1665">
        <v>288772661</v>
      </c>
      <c r="I645" s="101">
        <v>297558124</v>
      </c>
      <c r="J645" s="101">
        <v>294658979</v>
      </c>
    </row>
    <row r="646" spans="1:10">
      <c r="A646" t="s">
        <v>2129</v>
      </c>
      <c r="B646" t="s">
        <v>7736</v>
      </c>
      <c r="C646" s="1665">
        <v>1241763367</v>
      </c>
      <c r="D646" s="1665">
        <v>1228242907</v>
      </c>
      <c r="E646" s="1665">
        <v>1225275961</v>
      </c>
      <c r="F646" s="1665">
        <v>1211755501</v>
      </c>
      <c r="G646" s="1665">
        <v>1225275961</v>
      </c>
      <c r="H646" s="1665">
        <v>1211755501</v>
      </c>
      <c r="I646" s="101">
        <v>1241763367</v>
      </c>
      <c r="J646" s="101">
        <v>1228242907</v>
      </c>
    </row>
    <row r="647" spans="1:10">
      <c r="A647" t="s">
        <v>2130</v>
      </c>
      <c r="B647" t="s">
        <v>7737</v>
      </c>
      <c r="C647" s="1665">
        <v>618671900</v>
      </c>
      <c r="D647" s="1665">
        <v>605644143</v>
      </c>
      <c r="E647" s="1665">
        <v>600127088</v>
      </c>
      <c r="F647" s="1665">
        <v>587099331</v>
      </c>
      <c r="G647" s="1665">
        <v>2090127088</v>
      </c>
      <c r="H647" s="1665">
        <v>2077099331</v>
      </c>
      <c r="I647" s="101">
        <v>2108671900</v>
      </c>
      <c r="J647" s="101">
        <v>2095644143</v>
      </c>
    </row>
    <row r="648" spans="1:10">
      <c r="A648" t="s">
        <v>1813</v>
      </c>
      <c r="B648" t="s">
        <v>7738</v>
      </c>
      <c r="C648" s="1665">
        <v>2498166835</v>
      </c>
      <c r="D648" s="1665">
        <v>2414865225</v>
      </c>
      <c r="E648" s="1665">
        <v>2498166835</v>
      </c>
      <c r="F648" s="1665">
        <v>2414865225</v>
      </c>
      <c r="G648" s="1665">
        <v>2498166835</v>
      </c>
      <c r="H648" s="1665">
        <v>2414865225</v>
      </c>
      <c r="I648" s="101">
        <v>2498166835</v>
      </c>
      <c r="J648" s="101">
        <v>2414865225</v>
      </c>
    </row>
    <row r="649" spans="1:10">
      <c r="A649" t="s">
        <v>880</v>
      </c>
      <c r="B649" t="s">
        <v>7739</v>
      </c>
      <c r="C649" s="1665">
        <v>498221459</v>
      </c>
      <c r="D649" s="1665">
        <v>483771843</v>
      </c>
      <c r="E649" s="1665">
        <v>498221459</v>
      </c>
      <c r="F649" s="1665">
        <v>483771843</v>
      </c>
      <c r="G649" s="1665">
        <v>560964669</v>
      </c>
      <c r="H649" s="1665">
        <v>546515053</v>
      </c>
      <c r="I649" s="101">
        <v>560964669</v>
      </c>
      <c r="J649" s="101">
        <v>546515053</v>
      </c>
    </row>
    <row r="650" spans="1:10">
      <c r="A650" t="s">
        <v>1403</v>
      </c>
      <c r="B650" t="s">
        <v>7740</v>
      </c>
      <c r="C650" s="1665">
        <v>89191108</v>
      </c>
      <c r="D650" s="1665">
        <v>86703768</v>
      </c>
      <c r="E650" s="1665">
        <v>89191108</v>
      </c>
      <c r="F650" s="1665">
        <v>86703768</v>
      </c>
      <c r="G650" s="1665">
        <v>89191108</v>
      </c>
      <c r="H650" s="1665">
        <v>86703768</v>
      </c>
      <c r="I650" s="101">
        <v>89191108</v>
      </c>
      <c r="J650" s="101">
        <v>86703768</v>
      </c>
    </row>
    <row r="651" spans="1:10">
      <c r="A651" t="s">
        <v>1988</v>
      </c>
      <c r="B651" t="s">
        <v>7741</v>
      </c>
      <c r="C651" s="1665">
        <v>59132159</v>
      </c>
      <c r="D651" s="1665">
        <v>58557749</v>
      </c>
      <c r="E651" s="1665">
        <v>59132159</v>
      </c>
      <c r="F651" s="1665">
        <v>58557749</v>
      </c>
      <c r="G651" s="1665">
        <v>59132159</v>
      </c>
      <c r="H651" s="1665">
        <v>58557749</v>
      </c>
      <c r="I651" s="101">
        <v>59132159</v>
      </c>
      <c r="J651" s="101">
        <v>58557749</v>
      </c>
    </row>
    <row r="652" spans="1:10">
      <c r="A652" t="s">
        <v>968</v>
      </c>
      <c r="B652" t="s">
        <v>7742</v>
      </c>
      <c r="C652" s="1665">
        <v>207429396</v>
      </c>
      <c r="D652" s="1665">
        <v>200491337</v>
      </c>
      <c r="E652" s="1665">
        <v>207429396</v>
      </c>
      <c r="F652" s="1665">
        <v>200491337</v>
      </c>
      <c r="G652" s="1665">
        <v>207429396</v>
      </c>
      <c r="H652" s="1665">
        <v>200491337</v>
      </c>
      <c r="I652" s="101">
        <v>207429396</v>
      </c>
      <c r="J652" s="101">
        <v>200491337</v>
      </c>
    </row>
    <row r="653" spans="1:10">
      <c r="A653" t="s">
        <v>900</v>
      </c>
      <c r="B653" t="s">
        <v>7249</v>
      </c>
      <c r="C653" s="1665">
        <v>5339949726</v>
      </c>
      <c r="D653" s="1665">
        <v>5230286492</v>
      </c>
      <c r="E653" s="1665">
        <v>5339949726</v>
      </c>
      <c r="F653" s="1665">
        <v>5230286492</v>
      </c>
      <c r="G653" s="1665">
        <v>5339949726</v>
      </c>
      <c r="H653" s="1665">
        <v>5230286492</v>
      </c>
      <c r="I653" s="101">
        <v>5339949726</v>
      </c>
      <c r="J653" s="101">
        <v>5230286492</v>
      </c>
    </row>
    <row r="654" spans="1:10">
      <c r="A654" t="s">
        <v>702</v>
      </c>
      <c r="B654" t="s">
        <v>7743</v>
      </c>
      <c r="C654" s="1665">
        <v>923728191</v>
      </c>
      <c r="D654" s="1665">
        <v>903129622</v>
      </c>
      <c r="E654" s="1665">
        <v>923728191</v>
      </c>
      <c r="F654" s="1665">
        <v>903129622</v>
      </c>
      <c r="G654" s="1665">
        <v>923728191</v>
      </c>
      <c r="H654" s="1665">
        <v>903129622</v>
      </c>
      <c r="I654" s="101">
        <v>923728191</v>
      </c>
      <c r="J654" s="101">
        <v>903129622</v>
      </c>
    </row>
    <row r="655" spans="1:10">
      <c r="A655" t="s">
        <v>969</v>
      </c>
      <c r="B655" t="s">
        <v>7744</v>
      </c>
      <c r="C655" s="1665">
        <v>550683756</v>
      </c>
      <c r="D655" s="1665">
        <v>529834124</v>
      </c>
      <c r="E655" s="1665">
        <v>550683756</v>
      </c>
      <c r="F655" s="1665">
        <v>529834124</v>
      </c>
      <c r="G655" s="1665">
        <v>550683756</v>
      </c>
      <c r="H655" s="1665">
        <v>529834124</v>
      </c>
      <c r="I655" s="101">
        <v>550683756</v>
      </c>
      <c r="J655" s="101">
        <v>529834124</v>
      </c>
    </row>
    <row r="656" spans="1:10">
      <c r="A656" t="s">
        <v>1835</v>
      </c>
      <c r="B656" t="s">
        <v>7745</v>
      </c>
      <c r="C656" s="1665">
        <v>142376301</v>
      </c>
      <c r="D656" s="1665">
        <v>136285989</v>
      </c>
      <c r="E656" s="1665">
        <v>142376301</v>
      </c>
      <c r="F656" s="1665">
        <v>136285989</v>
      </c>
      <c r="G656" s="1665">
        <v>142376301</v>
      </c>
      <c r="H656" s="1665">
        <v>136285989</v>
      </c>
      <c r="I656" s="101">
        <v>142376301</v>
      </c>
      <c r="J656" s="101">
        <v>136285989</v>
      </c>
    </row>
    <row r="657" spans="1:10">
      <c r="A657" t="s">
        <v>1542</v>
      </c>
      <c r="B657" t="s">
        <v>7746</v>
      </c>
      <c r="C657" s="1665">
        <v>450723284</v>
      </c>
      <c r="D657" s="1665">
        <v>438280018</v>
      </c>
      <c r="E657" s="1665">
        <v>450723284</v>
      </c>
      <c r="F657" s="1665">
        <v>438280018</v>
      </c>
      <c r="G657" s="1665">
        <v>450723284</v>
      </c>
      <c r="H657" s="1665">
        <v>438280018</v>
      </c>
      <c r="I657" s="101">
        <v>450723284</v>
      </c>
      <c r="J657" s="101">
        <v>438280018</v>
      </c>
    </row>
    <row r="658" spans="1:10">
      <c r="A658" t="s">
        <v>113</v>
      </c>
      <c r="B658" t="s">
        <v>7747</v>
      </c>
      <c r="C658" s="1665">
        <v>204025126</v>
      </c>
      <c r="D658" s="1665">
        <v>194717754</v>
      </c>
      <c r="E658" s="1665">
        <v>204025126</v>
      </c>
      <c r="F658" s="1665">
        <v>194717754</v>
      </c>
      <c r="G658" s="1665">
        <v>204025126</v>
      </c>
      <c r="H658" s="1665">
        <v>194717754</v>
      </c>
      <c r="I658" s="101">
        <v>204025126</v>
      </c>
      <c r="J658" s="101">
        <v>194717754</v>
      </c>
    </row>
    <row r="659" spans="1:10">
      <c r="A659" t="s">
        <v>2086</v>
      </c>
      <c r="B659" t="s">
        <v>7748</v>
      </c>
      <c r="C659" s="1665">
        <v>467466731</v>
      </c>
      <c r="D659" s="1665">
        <v>462261727</v>
      </c>
      <c r="E659" s="1665">
        <v>464093281</v>
      </c>
      <c r="F659" s="1665">
        <v>458888277</v>
      </c>
      <c r="G659" s="1665">
        <v>464093281</v>
      </c>
      <c r="H659" s="1665">
        <v>458888277</v>
      </c>
      <c r="I659" s="101">
        <v>467466731</v>
      </c>
      <c r="J659" s="101">
        <v>462261727</v>
      </c>
    </row>
    <row r="660" spans="1:10">
      <c r="A660" t="s">
        <v>341</v>
      </c>
      <c r="B660" t="s">
        <v>7749</v>
      </c>
      <c r="C660" s="1665">
        <v>5756402587</v>
      </c>
      <c r="D660" s="1665">
        <v>5617871224</v>
      </c>
      <c r="E660" s="1665">
        <v>5756402587</v>
      </c>
      <c r="F660" s="1665">
        <v>5617871224</v>
      </c>
      <c r="G660" s="1665">
        <v>5756402587</v>
      </c>
      <c r="H660" s="1665">
        <v>5617871224</v>
      </c>
      <c r="I660" s="101">
        <v>5756402587</v>
      </c>
      <c r="J660" s="101">
        <v>5617871224</v>
      </c>
    </row>
    <row r="661" spans="1:10">
      <c r="A661" t="s">
        <v>344</v>
      </c>
      <c r="B661" t="s">
        <v>7750</v>
      </c>
      <c r="C661" s="1665">
        <v>483603184</v>
      </c>
      <c r="D661" s="1665">
        <v>464086063</v>
      </c>
      <c r="E661" s="1665">
        <v>483603184</v>
      </c>
      <c r="F661" s="1665">
        <v>464086063</v>
      </c>
      <c r="G661" s="1665">
        <v>483603184</v>
      </c>
      <c r="H661" s="1665">
        <v>464086063</v>
      </c>
      <c r="I661" s="101">
        <v>483603184</v>
      </c>
      <c r="J661" s="101">
        <v>464086063</v>
      </c>
    </row>
    <row r="662" spans="1:10">
      <c r="A662" t="s">
        <v>2460</v>
      </c>
      <c r="B662" t="s">
        <v>7751</v>
      </c>
      <c r="C662" s="1665">
        <v>153574643</v>
      </c>
      <c r="D662" s="1665">
        <v>145733196</v>
      </c>
      <c r="E662" s="1665">
        <v>153574643</v>
      </c>
      <c r="F662" s="1665">
        <v>145733196</v>
      </c>
      <c r="G662" s="1665">
        <v>153574643</v>
      </c>
      <c r="H662" s="1665">
        <v>145733196</v>
      </c>
      <c r="I662" s="101">
        <v>153574643</v>
      </c>
      <c r="J662" s="101">
        <v>145733196</v>
      </c>
    </row>
    <row r="663" spans="1:10">
      <c r="A663" t="s">
        <v>2461</v>
      </c>
      <c r="B663" t="s">
        <v>7752</v>
      </c>
      <c r="C663" s="1665">
        <v>204067846</v>
      </c>
      <c r="D663" s="1665">
        <v>195128649</v>
      </c>
      <c r="E663" s="1665">
        <v>204067846</v>
      </c>
      <c r="F663" s="1665">
        <v>195128649</v>
      </c>
      <c r="G663" s="1665">
        <v>204067846</v>
      </c>
      <c r="H663" s="1665">
        <v>195128649</v>
      </c>
      <c r="I663" s="101">
        <v>204067846</v>
      </c>
      <c r="J663" s="101">
        <v>195128649</v>
      </c>
    </row>
    <row r="664" spans="1:10">
      <c r="A664" t="s">
        <v>72</v>
      </c>
      <c r="B664" t="s">
        <v>7753</v>
      </c>
      <c r="C664" s="1665">
        <v>947038941</v>
      </c>
      <c r="D664" s="1665">
        <v>914373193</v>
      </c>
      <c r="E664" s="1665">
        <v>947038941</v>
      </c>
      <c r="F664" s="1665">
        <v>914373193</v>
      </c>
      <c r="G664" s="1665">
        <v>947038941</v>
      </c>
      <c r="H664" s="1665">
        <v>914373193</v>
      </c>
      <c r="I664" s="101">
        <v>947038941</v>
      </c>
      <c r="J664" s="101">
        <v>914373193</v>
      </c>
    </row>
    <row r="665" spans="1:10">
      <c r="A665" t="s">
        <v>2310</v>
      </c>
      <c r="B665" t="s">
        <v>7754</v>
      </c>
      <c r="C665" s="1665">
        <v>742696974</v>
      </c>
      <c r="D665" s="1665">
        <v>718375699</v>
      </c>
      <c r="E665" s="1665">
        <v>742696974</v>
      </c>
      <c r="F665" s="1665">
        <v>718375699</v>
      </c>
      <c r="G665" s="1665">
        <v>742696974</v>
      </c>
      <c r="H665" s="1665">
        <v>718375699</v>
      </c>
      <c r="I665" s="101">
        <v>742696974</v>
      </c>
      <c r="J665" s="101">
        <v>718375699</v>
      </c>
    </row>
    <row r="666" spans="1:10">
      <c r="A666" t="s">
        <v>164</v>
      </c>
      <c r="B666" t="s">
        <v>7755</v>
      </c>
      <c r="C666" s="1665">
        <v>727992479</v>
      </c>
      <c r="D666" s="1665">
        <v>697767899</v>
      </c>
      <c r="E666" s="1665">
        <v>727992479</v>
      </c>
      <c r="F666" s="1665">
        <v>697767899</v>
      </c>
      <c r="G666" s="1665">
        <v>727992479</v>
      </c>
      <c r="H666" s="1665">
        <v>697767899</v>
      </c>
      <c r="I666" s="101">
        <v>727992479</v>
      </c>
      <c r="J666" s="101">
        <v>697767899</v>
      </c>
    </row>
    <row r="667" spans="1:10">
      <c r="A667" t="s">
        <v>879</v>
      </c>
      <c r="B667" t="s">
        <v>7756</v>
      </c>
      <c r="C667" s="1665">
        <v>187164362</v>
      </c>
      <c r="D667" s="1665">
        <v>181655153</v>
      </c>
      <c r="E667" s="1665">
        <v>187164362</v>
      </c>
      <c r="F667" s="1665">
        <v>181655153</v>
      </c>
      <c r="G667" s="1665">
        <v>187164362</v>
      </c>
      <c r="H667" s="1665">
        <v>181655153</v>
      </c>
      <c r="I667" s="101">
        <v>187164362</v>
      </c>
      <c r="J667" s="101">
        <v>181655153</v>
      </c>
    </row>
    <row r="668" spans="1:10">
      <c r="A668" t="s">
        <v>1837</v>
      </c>
      <c r="B668" t="s">
        <v>7757</v>
      </c>
      <c r="C668" s="1665">
        <v>81856150</v>
      </c>
      <c r="D668" s="1665">
        <v>78768260</v>
      </c>
      <c r="E668" s="1665">
        <v>81856150</v>
      </c>
      <c r="F668" s="1665">
        <v>78768260</v>
      </c>
      <c r="G668" s="1665">
        <v>81856150</v>
      </c>
      <c r="H668" s="1665">
        <v>78768260</v>
      </c>
      <c r="I668" s="101">
        <v>81856150</v>
      </c>
      <c r="J668" s="101">
        <v>78768260</v>
      </c>
    </row>
    <row r="669" spans="1:10">
      <c r="A669" t="s">
        <v>258</v>
      </c>
      <c r="B669" t="s">
        <v>7758</v>
      </c>
      <c r="C669" s="1665">
        <v>56257179</v>
      </c>
      <c r="D669" s="1665">
        <v>53071159</v>
      </c>
      <c r="E669" s="1665">
        <v>56257179</v>
      </c>
      <c r="F669" s="1665">
        <v>53071159</v>
      </c>
      <c r="G669" s="1665">
        <v>56257179</v>
      </c>
      <c r="H669" s="1665">
        <v>53071159</v>
      </c>
      <c r="I669" s="101">
        <v>56257179</v>
      </c>
      <c r="J669" s="101">
        <v>53071159</v>
      </c>
    </row>
    <row r="670" spans="1:10">
      <c r="A670" t="s">
        <v>1585</v>
      </c>
      <c r="B670" t="s">
        <v>7759</v>
      </c>
      <c r="C670" s="1665">
        <v>2525881673</v>
      </c>
      <c r="D670" s="1665">
        <v>2524481662</v>
      </c>
      <c r="E670" s="1665">
        <v>2523994748</v>
      </c>
      <c r="F670" s="1665">
        <v>2522594737</v>
      </c>
      <c r="G670" s="1665">
        <v>2523994748</v>
      </c>
      <c r="H670" s="1665">
        <v>2522594737</v>
      </c>
      <c r="I670" s="101">
        <v>2525881673</v>
      </c>
      <c r="J670" s="101">
        <v>2524481662</v>
      </c>
    </row>
    <row r="671" spans="1:10">
      <c r="A671" t="s">
        <v>1134</v>
      </c>
      <c r="B671" t="s">
        <v>7760</v>
      </c>
      <c r="C671" s="1665">
        <v>469696478</v>
      </c>
      <c r="D671" s="1665">
        <v>450209050</v>
      </c>
      <c r="E671" s="1665">
        <v>469696478</v>
      </c>
      <c r="F671" s="1665">
        <v>450209050</v>
      </c>
      <c r="G671" s="1665">
        <v>469696478</v>
      </c>
      <c r="H671" s="1665">
        <v>450209050</v>
      </c>
      <c r="I671" s="101">
        <v>469696478</v>
      </c>
      <c r="J671" s="101">
        <v>450209050</v>
      </c>
    </row>
    <row r="672" spans="1:10">
      <c r="A672" t="s">
        <v>1989</v>
      </c>
      <c r="B672" t="s">
        <v>7761</v>
      </c>
      <c r="C672" s="1665">
        <v>204486163</v>
      </c>
      <c r="D672" s="1665">
        <v>201186732</v>
      </c>
      <c r="E672" s="1665">
        <v>204486163</v>
      </c>
      <c r="F672" s="1665">
        <v>201186732</v>
      </c>
      <c r="G672" s="1665">
        <v>204486163</v>
      </c>
      <c r="H672" s="1665">
        <v>201186732</v>
      </c>
      <c r="I672" s="101">
        <v>204486163</v>
      </c>
      <c r="J672" s="101">
        <v>201186732</v>
      </c>
    </row>
    <row r="673" spans="1:10">
      <c r="A673" t="s">
        <v>920</v>
      </c>
      <c r="B673" t="s">
        <v>7762</v>
      </c>
      <c r="C673" s="1665">
        <v>229083705</v>
      </c>
      <c r="D673" s="1665">
        <v>217947771</v>
      </c>
      <c r="E673" s="1665">
        <v>229083705</v>
      </c>
      <c r="F673" s="1665">
        <v>217947771</v>
      </c>
      <c r="G673" s="1665">
        <v>229083705</v>
      </c>
      <c r="H673" s="1665">
        <v>217947771</v>
      </c>
      <c r="I673" s="101">
        <v>229083705</v>
      </c>
      <c r="J673" s="101">
        <v>217947771</v>
      </c>
    </row>
    <row r="674" spans="1:10">
      <c r="A674" t="s">
        <v>171</v>
      </c>
      <c r="B674" t="s">
        <v>7763</v>
      </c>
      <c r="C674" s="1665">
        <v>730897734</v>
      </c>
      <c r="D674" s="1665">
        <v>708320355</v>
      </c>
      <c r="E674" s="1665">
        <v>730897734</v>
      </c>
      <c r="F674" s="1665">
        <v>708320355</v>
      </c>
      <c r="G674" s="1665">
        <v>730897734</v>
      </c>
      <c r="H674" s="1665">
        <v>708320355</v>
      </c>
      <c r="I674" s="101">
        <v>730897734</v>
      </c>
      <c r="J674" s="101">
        <v>708320355</v>
      </c>
    </row>
    <row r="675" spans="1:10">
      <c r="A675" t="s">
        <v>2531</v>
      </c>
      <c r="B675" t="s">
        <v>7764</v>
      </c>
      <c r="C675" s="1665">
        <v>2008034695</v>
      </c>
      <c r="D675" s="1665">
        <v>1949273631</v>
      </c>
      <c r="E675" s="1665">
        <v>2008034695</v>
      </c>
      <c r="F675" s="1665">
        <v>1949273631</v>
      </c>
      <c r="G675" s="1665">
        <v>2008034695</v>
      </c>
      <c r="H675" s="1665">
        <v>1949273631</v>
      </c>
      <c r="I675" s="101">
        <v>2008034695</v>
      </c>
      <c r="J675" s="101">
        <v>1949273631</v>
      </c>
    </row>
    <row r="676" spans="1:10">
      <c r="A676" t="s">
        <v>2583</v>
      </c>
      <c r="B676" t="s">
        <v>7765</v>
      </c>
      <c r="C676" s="1665">
        <v>186239727</v>
      </c>
      <c r="D676" s="1665">
        <v>181506687</v>
      </c>
      <c r="E676" s="1665">
        <v>186239727</v>
      </c>
      <c r="F676" s="1665">
        <v>181506687</v>
      </c>
      <c r="G676" s="1665">
        <v>186239727</v>
      </c>
      <c r="H676" s="1665">
        <v>181506687</v>
      </c>
      <c r="I676" s="101">
        <v>186239727</v>
      </c>
      <c r="J676" s="101">
        <v>181506687</v>
      </c>
    </row>
    <row r="677" spans="1:10">
      <c r="A677" t="s">
        <v>2534</v>
      </c>
      <c r="B677" t="s">
        <v>7766</v>
      </c>
      <c r="C677" s="1665">
        <v>25063223856</v>
      </c>
      <c r="D677" s="1665">
        <v>24777590496</v>
      </c>
      <c r="E677" s="1665">
        <v>24703621098</v>
      </c>
      <c r="F677" s="1665">
        <v>24417987738</v>
      </c>
      <c r="G677" s="1665">
        <v>24703621098</v>
      </c>
      <c r="H677" s="1665">
        <v>24417987738</v>
      </c>
      <c r="I677" s="101">
        <v>25063223856</v>
      </c>
      <c r="J677" s="101">
        <v>24777590496</v>
      </c>
    </row>
    <row r="678" spans="1:10">
      <c r="A678" t="s">
        <v>1300</v>
      </c>
      <c r="B678" t="s">
        <v>7767</v>
      </c>
      <c r="C678" s="1665">
        <v>1791605242</v>
      </c>
      <c r="D678" s="1665">
        <v>1775925762</v>
      </c>
      <c r="E678" s="1665">
        <v>1747269006</v>
      </c>
      <c r="F678" s="1665">
        <v>1731589526</v>
      </c>
      <c r="G678" s="1665">
        <v>1747269006</v>
      </c>
      <c r="H678" s="1665">
        <v>1731589526</v>
      </c>
      <c r="I678" s="101">
        <v>1791605242</v>
      </c>
      <c r="J678" s="101">
        <v>1775925762</v>
      </c>
    </row>
    <row r="679" spans="1:10">
      <c r="A679" t="s">
        <v>1887</v>
      </c>
      <c r="B679" t="s">
        <v>7768</v>
      </c>
      <c r="C679" s="1665">
        <v>414000035</v>
      </c>
      <c r="D679" s="1665">
        <v>398261987</v>
      </c>
      <c r="E679" s="1665">
        <v>414000035</v>
      </c>
      <c r="F679" s="1665">
        <v>398261987</v>
      </c>
      <c r="G679" s="1665">
        <v>414000035</v>
      </c>
      <c r="H679" s="1665">
        <v>398261987</v>
      </c>
      <c r="I679" s="101">
        <v>414000035</v>
      </c>
      <c r="J679" s="101">
        <v>398261987</v>
      </c>
    </row>
    <row r="680" spans="1:10">
      <c r="A680" t="s">
        <v>1360</v>
      </c>
      <c r="B680" t="s">
        <v>7769</v>
      </c>
      <c r="C680" s="1665">
        <v>85116898</v>
      </c>
      <c r="D680" s="1665">
        <v>82854067</v>
      </c>
      <c r="E680" s="1665">
        <v>85116898</v>
      </c>
      <c r="F680" s="1665">
        <v>82854067</v>
      </c>
      <c r="G680" s="1665">
        <v>85116898</v>
      </c>
      <c r="H680" s="1665">
        <v>82854067</v>
      </c>
      <c r="I680" s="101">
        <v>85116898</v>
      </c>
      <c r="J680" s="101">
        <v>82854067</v>
      </c>
    </row>
    <row r="681" spans="1:10">
      <c r="A681" t="s">
        <v>2535</v>
      </c>
      <c r="B681" t="s">
        <v>7770</v>
      </c>
      <c r="C681" s="1665">
        <v>111937015</v>
      </c>
      <c r="D681" s="1665">
        <v>108415921</v>
      </c>
      <c r="E681" s="1665">
        <v>111937015</v>
      </c>
      <c r="F681" s="1665">
        <v>108415921</v>
      </c>
      <c r="G681" s="1665">
        <v>111937015</v>
      </c>
      <c r="H681" s="1665">
        <v>108415921</v>
      </c>
      <c r="I681" s="101">
        <v>111937015</v>
      </c>
      <c r="J681" s="101">
        <v>108415921</v>
      </c>
    </row>
    <row r="682" spans="1:10">
      <c r="A682" t="s">
        <v>2197</v>
      </c>
      <c r="B682" t="s">
        <v>7771</v>
      </c>
      <c r="C682" s="1665">
        <v>491306653</v>
      </c>
      <c r="D682" s="1665">
        <v>473395541</v>
      </c>
      <c r="E682" s="1665">
        <v>491306653</v>
      </c>
      <c r="F682" s="1665">
        <v>473395541</v>
      </c>
      <c r="G682" s="1665">
        <v>491306653</v>
      </c>
      <c r="H682" s="1665">
        <v>473395541</v>
      </c>
      <c r="I682" s="101">
        <v>491306653</v>
      </c>
      <c r="J682" s="101">
        <v>473395541</v>
      </c>
    </row>
    <row r="683" spans="1:10">
      <c r="A683" t="s">
        <v>930</v>
      </c>
      <c r="B683" t="s">
        <v>7772</v>
      </c>
      <c r="C683" s="1665">
        <v>174367667</v>
      </c>
      <c r="D683" s="1665">
        <v>167441100</v>
      </c>
      <c r="E683" s="1665">
        <v>174367667</v>
      </c>
      <c r="F683" s="1665">
        <v>167441100</v>
      </c>
      <c r="G683" s="1665">
        <v>174367667</v>
      </c>
      <c r="H683" s="1665">
        <v>167441100</v>
      </c>
      <c r="I683" s="101">
        <v>174367667</v>
      </c>
      <c r="J683" s="101">
        <v>167441100</v>
      </c>
    </row>
    <row r="684" spans="1:10">
      <c r="A684" t="s">
        <v>375</v>
      </c>
      <c r="B684" t="s">
        <v>7773</v>
      </c>
      <c r="C684" s="1665">
        <v>36843844</v>
      </c>
      <c r="D684" s="1665">
        <v>35620916</v>
      </c>
      <c r="E684" s="1665">
        <v>36843844</v>
      </c>
      <c r="F684" s="1665">
        <v>35620916</v>
      </c>
      <c r="G684" s="1665">
        <v>36843844</v>
      </c>
      <c r="H684" s="1665">
        <v>35620916</v>
      </c>
      <c r="I684" s="101">
        <v>36843844</v>
      </c>
      <c r="J684" s="101">
        <v>35620916</v>
      </c>
    </row>
    <row r="685" spans="1:10">
      <c r="A685" t="s">
        <v>1264</v>
      </c>
      <c r="B685" t="s">
        <v>7774</v>
      </c>
      <c r="C685" s="1665">
        <v>287752954</v>
      </c>
      <c r="D685" s="1665">
        <v>278691572</v>
      </c>
      <c r="E685" s="1665">
        <v>287752954</v>
      </c>
      <c r="F685" s="1665">
        <v>278691572</v>
      </c>
      <c r="G685" s="1665">
        <v>402817884</v>
      </c>
      <c r="H685" s="1665">
        <v>393756502</v>
      </c>
      <c r="I685" s="101">
        <v>402817884</v>
      </c>
      <c r="J685" s="101">
        <v>393756502</v>
      </c>
    </row>
    <row r="686" spans="1:10">
      <c r="A686" t="s">
        <v>2671</v>
      </c>
      <c r="B686" t="s">
        <v>7775</v>
      </c>
      <c r="C686" s="1665">
        <v>114253877</v>
      </c>
      <c r="D686" s="1665">
        <v>112035111</v>
      </c>
      <c r="E686" s="1665">
        <v>114253877</v>
      </c>
      <c r="F686" s="1665">
        <v>112035111</v>
      </c>
      <c r="G686" s="1665">
        <v>127718867</v>
      </c>
      <c r="H686" s="1665">
        <v>125500101</v>
      </c>
      <c r="I686" s="101">
        <v>127718867</v>
      </c>
      <c r="J686" s="101">
        <v>125500101</v>
      </c>
    </row>
    <row r="687" spans="1:10">
      <c r="A687" t="s">
        <v>1990</v>
      </c>
      <c r="B687" t="s">
        <v>7776</v>
      </c>
      <c r="C687" s="1665">
        <v>131522213</v>
      </c>
      <c r="D687" s="1665">
        <v>130475198</v>
      </c>
      <c r="E687" s="1665">
        <v>131522213</v>
      </c>
      <c r="F687" s="1665">
        <v>130475198</v>
      </c>
      <c r="G687" s="1665">
        <v>131522213</v>
      </c>
      <c r="H687" s="1665">
        <v>130475198</v>
      </c>
      <c r="I687" s="101">
        <v>131522213</v>
      </c>
      <c r="J687" s="101">
        <v>130475198</v>
      </c>
    </row>
    <row r="688" spans="1:10">
      <c r="A688" t="s">
        <v>2673</v>
      </c>
      <c r="B688" t="s">
        <v>7777</v>
      </c>
      <c r="C688" s="1665">
        <v>439983709</v>
      </c>
      <c r="D688" s="1665">
        <v>429805828</v>
      </c>
      <c r="E688" s="1665">
        <v>439983709</v>
      </c>
      <c r="F688" s="1665">
        <v>429805828</v>
      </c>
      <c r="G688" s="1665">
        <v>439983709</v>
      </c>
      <c r="H688" s="1665">
        <v>429805828</v>
      </c>
      <c r="I688" s="101">
        <v>439983709</v>
      </c>
      <c r="J688" s="101">
        <v>429805828</v>
      </c>
    </row>
    <row r="689" spans="1:10">
      <c r="A689" t="s">
        <v>2674</v>
      </c>
      <c r="B689" t="s">
        <v>7778</v>
      </c>
      <c r="C689" s="1665">
        <v>181286762</v>
      </c>
      <c r="D689" s="1665">
        <v>179301108</v>
      </c>
      <c r="E689" s="1665">
        <v>181286762</v>
      </c>
      <c r="F689" s="1665">
        <v>179301108</v>
      </c>
      <c r="G689" s="1665">
        <v>181286762</v>
      </c>
      <c r="H689" s="1665">
        <v>179301108</v>
      </c>
      <c r="I689" s="101">
        <v>181286762</v>
      </c>
      <c r="J689" s="101">
        <v>179301108</v>
      </c>
    </row>
    <row r="690" spans="1:10">
      <c r="A690" t="s">
        <v>1486</v>
      </c>
      <c r="B690" t="s">
        <v>7779</v>
      </c>
      <c r="C690" s="1665">
        <v>283193580</v>
      </c>
      <c r="D690" s="1665">
        <v>281075381</v>
      </c>
      <c r="E690" s="1665">
        <v>283193580</v>
      </c>
      <c r="F690" s="1665">
        <v>281075381</v>
      </c>
      <c r="G690" s="1665">
        <v>283193580</v>
      </c>
      <c r="H690" s="1665">
        <v>281075381</v>
      </c>
      <c r="I690" s="101">
        <v>283193580</v>
      </c>
      <c r="J690" s="101">
        <v>281075381</v>
      </c>
    </row>
    <row r="691" spans="1:10">
      <c r="A691" t="s">
        <v>1318</v>
      </c>
      <c r="B691" t="s">
        <v>7780</v>
      </c>
      <c r="C691" s="1665">
        <v>952570206</v>
      </c>
      <c r="D691" s="1665">
        <v>928823398</v>
      </c>
      <c r="E691" s="1665">
        <v>952570206</v>
      </c>
      <c r="F691" s="1665">
        <v>928823398</v>
      </c>
      <c r="G691" s="1665">
        <v>952570206</v>
      </c>
      <c r="H691" s="1665">
        <v>928823398</v>
      </c>
      <c r="I691" s="101">
        <v>952570206</v>
      </c>
      <c r="J691" s="101">
        <v>928823398</v>
      </c>
    </row>
    <row r="692" spans="1:10">
      <c r="A692" t="s">
        <v>1432</v>
      </c>
      <c r="B692" t="s">
        <v>7781</v>
      </c>
      <c r="C692" s="1665">
        <v>258403334</v>
      </c>
      <c r="D692" s="1665">
        <v>248542428</v>
      </c>
      <c r="E692" s="1665">
        <v>258403334</v>
      </c>
      <c r="F692" s="1665">
        <v>248542428</v>
      </c>
      <c r="G692" s="1665">
        <v>258403334</v>
      </c>
      <c r="H692" s="1665">
        <v>248542428</v>
      </c>
      <c r="I692" s="101">
        <v>258403334</v>
      </c>
      <c r="J692" s="101">
        <v>248542428</v>
      </c>
    </row>
    <row r="693" spans="1:10">
      <c r="A693" t="s">
        <v>804</v>
      </c>
      <c r="B693" t="s">
        <v>7782</v>
      </c>
      <c r="C693" s="1665">
        <v>107126122</v>
      </c>
      <c r="D693" s="1665">
        <v>105512972</v>
      </c>
      <c r="E693" s="1665">
        <v>107126122</v>
      </c>
      <c r="F693" s="1665">
        <v>105512972</v>
      </c>
      <c r="G693" s="1665">
        <v>107126122</v>
      </c>
      <c r="H693" s="1665">
        <v>105512972</v>
      </c>
      <c r="I693" s="101">
        <v>107126122</v>
      </c>
      <c r="J693" s="101">
        <v>105512972</v>
      </c>
    </row>
    <row r="694" spans="1:10">
      <c r="A694" t="s">
        <v>1495</v>
      </c>
      <c r="B694" t="s">
        <v>7783</v>
      </c>
      <c r="C694" s="1665">
        <v>36460366</v>
      </c>
      <c r="D694" s="1665">
        <v>35055426</v>
      </c>
      <c r="E694" s="1665">
        <v>36460366</v>
      </c>
      <c r="F694" s="1665">
        <v>35055426</v>
      </c>
      <c r="G694" s="1665">
        <v>36460366</v>
      </c>
      <c r="H694" s="1665">
        <v>35055426</v>
      </c>
      <c r="I694" s="101">
        <v>36460366</v>
      </c>
      <c r="J694" s="101">
        <v>35055426</v>
      </c>
    </row>
    <row r="695" spans="1:10">
      <c r="A695" t="s">
        <v>1496</v>
      </c>
      <c r="B695" t="s">
        <v>7784</v>
      </c>
      <c r="C695" s="1665">
        <v>90810608</v>
      </c>
      <c r="D695" s="1665">
        <v>89200381</v>
      </c>
      <c r="E695" s="1665">
        <v>90810608</v>
      </c>
      <c r="F695" s="1665">
        <v>89200381</v>
      </c>
      <c r="G695" s="1665">
        <v>90810608</v>
      </c>
      <c r="H695" s="1665">
        <v>89200381</v>
      </c>
      <c r="I695" s="101">
        <v>90810608</v>
      </c>
      <c r="J695" s="101">
        <v>89200381</v>
      </c>
    </row>
    <row r="696" spans="1:10">
      <c r="A696" t="s">
        <v>1272</v>
      </c>
      <c r="B696" t="s">
        <v>7785</v>
      </c>
      <c r="C696" s="1665">
        <v>217623316</v>
      </c>
      <c r="D696" s="1665">
        <v>214979428</v>
      </c>
      <c r="E696" s="1665">
        <v>217623316</v>
      </c>
      <c r="F696" s="1665">
        <v>214979428</v>
      </c>
      <c r="G696" s="1665">
        <v>217623316</v>
      </c>
      <c r="H696" s="1665">
        <v>214979428</v>
      </c>
      <c r="I696" s="101">
        <v>217623316</v>
      </c>
      <c r="J696" s="101">
        <v>214979428</v>
      </c>
    </row>
    <row r="697" spans="1:10">
      <c r="A697" t="s">
        <v>1531</v>
      </c>
      <c r="B697" t="s">
        <v>7786</v>
      </c>
      <c r="C697" s="1665">
        <v>192438366</v>
      </c>
      <c r="D697" s="1665">
        <v>188766785</v>
      </c>
      <c r="E697" s="1665">
        <v>192438366</v>
      </c>
      <c r="F697" s="1665">
        <v>188766785</v>
      </c>
      <c r="G697" s="1665">
        <v>192438366</v>
      </c>
      <c r="H697" s="1665">
        <v>188766785</v>
      </c>
      <c r="I697" s="101">
        <v>192438366</v>
      </c>
      <c r="J697" s="101">
        <v>188766785</v>
      </c>
    </row>
    <row r="698" spans="1:10">
      <c r="A698" t="s">
        <v>2311</v>
      </c>
      <c r="B698" t="s">
        <v>7787</v>
      </c>
      <c r="C698" s="1665">
        <v>36454952377</v>
      </c>
      <c r="D698" s="1665">
        <v>35821425254</v>
      </c>
      <c r="E698" s="1665">
        <v>36454952377</v>
      </c>
      <c r="F698" s="1665">
        <v>35821425254</v>
      </c>
      <c r="G698" s="1665">
        <v>36454952377</v>
      </c>
      <c r="H698" s="1665">
        <v>35821425254</v>
      </c>
      <c r="I698" s="101">
        <v>36454952377</v>
      </c>
      <c r="J698" s="101">
        <v>35821425254</v>
      </c>
    </row>
    <row r="699" spans="1:10">
      <c r="A699" t="s">
        <v>1532</v>
      </c>
      <c r="B699" t="s">
        <v>7788</v>
      </c>
      <c r="C699" s="1665">
        <v>5920665535</v>
      </c>
      <c r="D699" s="1665">
        <v>5791470884</v>
      </c>
      <c r="E699" s="1665">
        <v>5920665535</v>
      </c>
      <c r="F699" s="1665">
        <v>5791470884</v>
      </c>
      <c r="G699" s="1665">
        <v>5920665535</v>
      </c>
      <c r="H699" s="1665">
        <v>5791470884</v>
      </c>
      <c r="I699" s="101">
        <v>5920665535</v>
      </c>
      <c r="J699" s="101">
        <v>5791470884</v>
      </c>
    </row>
    <row r="700" spans="1:10">
      <c r="A700" t="s">
        <v>1182</v>
      </c>
      <c r="B700" t="s">
        <v>7789</v>
      </c>
      <c r="C700" s="1665">
        <v>3663017930</v>
      </c>
      <c r="D700" s="1665">
        <v>3568351448</v>
      </c>
      <c r="E700" s="1665">
        <v>3663017930</v>
      </c>
      <c r="F700" s="1665">
        <v>3568351448</v>
      </c>
      <c r="G700" s="1665">
        <v>3663017930</v>
      </c>
      <c r="H700" s="1665">
        <v>3568351448</v>
      </c>
      <c r="I700" s="101">
        <v>3663017930</v>
      </c>
      <c r="J700" s="101">
        <v>3568351448</v>
      </c>
    </row>
    <row r="701" spans="1:10">
      <c r="A701" t="s">
        <v>346</v>
      </c>
      <c r="B701" t="s">
        <v>7790</v>
      </c>
      <c r="C701" s="1665">
        <v>6410972314</v>
      </c>
      <c r="D701" s="1665">
        <v>6269102042</v>
      </c>
      <c r="E701" s="1665">
        <v>6410972314</v>
      </c>
      <c r="F701" s="1665">
        <v>6269102042</v>
      </c>
      <c r="G701" s="1665">
        <v>6410972314</v>
      </c>
      <c r="H701" s="1665">
        <v>6269102042</v>
      </c>
      <c r="I701" s="101">
        <v>6410972314</v>
      </c>
      <c r="J701" s="101">
        <v>6269102042</v>
      </c>
    </row>
    <row r="702" spans="1:10">
      <c r="A702" t="s">
        <v>1508</v>
      </c>
      <c r="B702" t="s">
        <v>7791</v>
      </c>
      <c r="C702" s="1665">
        <v>787869639</v>
      </c>
      <c r="D702" s="1665">
        <v>759731579</v>
      </c>
      <c r="E702" s="1665">
        <v>787869639</v>
      </c>
      <c r="F702" s="1665">
        <v>759731579</v>
      </c>
      <c r="G702" s="1665">
        <v>787869639</v>
      </c>
      <c r="H702" s="1665">
        <v>759731579</v>
      </c>
      <c r="I702" s="101">
        <v>787869639</v>
      </c>
      <c r="J702" s="101">
        <v>759731579</v>
      </c>
    </row>
    <row r="703" spans="1:10">
      <c r="A703" t="s">
        <v>703</v>
      </c>
      <c r="B703" t="s">
        <v>7792</v>
      </c>
      <c r="C703" s="1665">
        <v>4429314007</v>
      </c>
      <c r="D703" s="1665">
        <v>4320604305</v>
      </c>
      <c r="E703" s="1665">
        <v>4429314007</v>
      </c>
      <c r="F703" s="1665">
        <v>4320604305</v>
      </c>
      <c r="G703" s="1665">
        <v>4429314007</v>
      </c>
      <c r="H703" s="1665">
        <v>4320604305</v>
      </c>
      <c r="I703" s="101">
        <v>4429314007</v>
      </c>
      <c r="J703" s="101">
        <v>4320604305</v>
      </c>
    </row>
    <row r="704" spans="1:10">
      <c r="A704" t="s">
        <v>1868</v>
      </c>
      <c r="B704" t="s">
        <v>7793</v>
      </c>
      <c r="C704" s="1665">
        <v>1905016753</v>
      </c>
      <c r="D704" s="1665">
        <v>1875417655</v>
      </c>
      <c r="E704" s="1665">
        <v>1893886705</v>
      </c>
      <c r="F704" s="1665">
        <v>1864287607</v>
      </c>
      <c r="G704" s="1665">
        <v>1893886705</v>
      </c>
      <c r="H704" s="1665">
        <v>1864287607</v>
      </c>
      <c r="I704" s="101">
        <v>1905016753</v>
      </c>
      <c r="J704" s="101">
        <v>1875417655</v>
      </c>
    </row>
    <row r="705" spans="1:10">
      <c r="A705" t="s">
        <v>1869</v>
      </c>
      <c r="B705" t="s">
        <v>7794</v>
      </c>
      <c r="C705" s="1665">
        <v>277883646</v>
      </c>
      <c r="D705" s="1665">
        <v>274068926</v>
      </c>
      <c r="E705" s="1665">
        <v>277883646</v>
      </c>
      <c r="F705" s="1665">
        <v>274068926</v>
      </c>
      <c r="G705" s="1665">
        <v>277883646</v>
      </c>
      <c r="H705" s="1665">
        <v>274068926</v>
      </c>
      <c r="I705" s="101">
        <v>277883646</v>
      </c>
      <c r="J705" s="101">
        <v>274068926</v>
      </c>
    </row>
    <row r="706" spans="1:10">
      <c r="A706" t="s">
        <v>1870</v>
      </c>
      <c r="B706" t="s">
        <v>7795</v>
      </c>
      <c r="C706" s="1665">
        <v>722871674</v>
      </c>
      <c r="D706" s="1665">
        <v>703368760</v>
      </c>
      <c r="E706" s="1665">
        <v>722871674</v>
      </c>
      <c r="F706" s="1665">
        <v>703368760</v>
      </c>
      <c r="G706" s="1665">
        <v>722871674</v>
      </c>
      <c r="H706" s="1665">
        <v>703368760</v>
      </c>
      <c r="I706" s="101">
        <v>722871674</v>
      </c>
      <c r="J706" s="101">
        <v>703368760</v>
      </c>
    </row>
    <row r="707" spans="1:10">
      <c r="A707" t="s">
        <v>1871</v>
      </c>
      <c r="B707" t="s">
        <v>7796</v>
      </c>
      <c r="C707" s="1665">
        <v>289823735</v>
      </c>
      <c r="D707" s="1665">
        <v>275672315</v>
      </c>
      <c r="E707" s="1665">
        <v>289823735</v>
      </c>
      <c r="F707" s="1665">
        <v>275672315</v>
      </c>
      <c r="G707" s="1665">
        <v>289823735</v>
      </c>
      <c r="H707" s="1665">
        <v>275672315</v>
      </c>
      <c r="I707" s="101">
        <v>289823735</v>
      </c>
      <c r="J707" s="101">
        <v>275672315</v>
      </c>
    </row>
    <row r="708" spans="1:10">
      <c r="A708" t="s">
        <v>2353</v>
      </c>
      <c r="B708" t="s">
        <v>7797</v>
      </c>
      <c r="C708" s="1665">
        <v>130630474</v>
      </c>
      <c r="D708" s="1665">
        <v>128099774</v>
      </c>
      <c r="E708" s="1665">
        <v>130630474</v>
      </c>
      <c r="F708" s="1665">
        <v>128099774</v>
      </c>
      <c r="G708" s="1665">
        <v>130630474</v>
      </c>
      <c r="H708" s="1665">
        <v>128099774</v>
      </c>
      <c r="I708" s="101">
        <v>130630474</v>
      </c>
      <c r="J708" s="101">
        <v>128099774</v>
      </c>
    </row>
    <row r="709" spans="1:10">
      <c r="A709" t="s">
        <v>704</v>
      </c>
      <c r="B709" t="s">
        <v>7798</v>
      </c>
      <c r="C709" s="1665">
        <v>170190082</v>
      </c>
      <c r="D709" s="1665">
        <v>166402292</v>
      </c>
      <c r="E709" s="1665">
        <v>166726062</v>
      </c>
      <c r="F709" s="1665">
        <v>162938272</v>
      </c>
      <c r="G709" s="1665">
        <v>166726062</v>
      </c>
      <c r="H709" s="1665">
        <v>162938272</v>
      </c>
      <c r="I709" s="101">
        <v>170190082</v>
      </c>
      <c r="J709" s="101">
        <v>166402292</v>
      </c>
    </row>
    <row r="710" spans="1:10">
      <c r="A710" t="s">
        <v>524</v>
      </c>
      <c r="B710" t="s">
        <v>7799</v>
      </c>
      <c r="C710" s="1665">
        <v>226848237</v>
      </c>
      <c r="D710" s="1665">
        <v>219686537</v>
      </c>
      <c r="E710" s="1665">
        <v>220152807</v>
      </c>
      <c r="F710" s="1665">
        <v>212991107</v>
      </c>
      <c r="G710" s="1665">
        <v>508781857</v>
      </c>
      <c r="H710" s="1665">
        <v>501620157</v>
      </c>
      <c r="I710" s="101">
        <v>515477287</v>
      </c>
      <c r="J710" s="101">
        <v>508315587</v>
      </c>
    </row>
    <row r="711" spans="1:10">
      <c r="A711" t="s">
        <v>705</v>
      </c>
      <c r="B711" t="s">
        <v>7800</v>
      </c>
      <c r="C711" s="1665">
        <v>152411691</v>
      </c>
      <c r="D711" s="1665">
        <v>146945951</v>
      </c>
      <c r="E711" s="1665">
        <v>145747666</v>
      </c>
      <c r="F711" s="1665">
        <v>140281926</v>
      </c>
      <c r="G711" s="1665">
        <v>145747666</v>
      </c>
      <c r="H711" s="1665">
        <v>140281926</v>
      </c>
      <c r="I711" s="101">
        <v>152411691</v>
      </c>
      <c r="J711" s="101">
        <v>146945951</v>
      </c>
    </row>
    <row r="712" spans="1:10">
      <c r="A712" t="s">
        <v>525</v>
      </c>
      <c r="B712" t="s">
        <v>7801</v>
      </c>
      <c r="C712" s="1665">
        <v>2321325357</v>
      </c>
      <c r="D712" s="1665">
        <v>2250321727</v>
      </c>
      <c r="E712" s="1665">
        <v>2218474252</v>
      </c>
      <c r="F712" s="1665">
        <v>2147470622</v>
      </c>
      <c r="G712" s="1665">
        <v>2218474252</v>
      </c>
      <c r="H712" s="1665">
        <v>2147470622</v>
      </c>
      <c r="I712" s="101">
        <v>2321325357</v>
      </c>
      <c r="J712" s="101">
        <v>2250321727</v>
      </c>
    </row>
    <row r="713" spans="1:10">
      <c r="A713" t="s">
        <v>376</v>
      </c>
      <c r="B713" t="s">
        <v>7802</v>
      </c>
      <c r="C713" s="1665">
        <v>196043636</v>
      </c>
      <c r="D713" s="1665">
        <v>189484846</v>
      </c>
      <c r="E713" s="1665">
        <v>189180471</v>
      </c>
      <c r="F713" s="1665">
        <v>182621681</v>
      </c>
      <c r="G713" s="1665">
        <v>189180471</v>
      </c>
      <c r="H713" s="1665">
        <v>182621681</v>
      </c>
      <c r="I713" s="101">
        <v>196043636</v>
      </c>
      <c r="J713" s="101">
        <v>189484846</v>
      </c>
    </row>
    <row r="714" spans="1:10">
      <c r="A714" t="s">
        <v>526</v>
      </c>
      <c r="B714" t="s">
        <v>7803</v>
      </c>
      <c r="C714" s="1665">
        <v>144089958</v>
      </c>
      <c r="D714" s="1665">
        <v>136290798</v>
      </c>
      <c r="E714" s="1665">
        <v>133496613</v>
      </c>
      <c r="F714" s="1665">
        <v>125697453</v>
      </c>
      <c r="G714" s="1665">
        <v>133496613</v>
      </c>
      <c r="H714" s="1665">
        <v>125697453</v>
      </c>
      <c r="I714" s="101">
        <v>144089958</v>
      </c>
      <c r="J714" s="101">
        <v>136290798</v>
      </c>
    </row>
    <row r="715" spans="1:10">
      <c r="A715" t="s">
        <v>527</v>
      </c>
      <c r="B715" t="s">
        <v>7804</v>
      </c>
      <c r="C715" s="1665">
        <v>77267506</v>
      </c>
      <c r="D715" s="1665">
        <v>74195086</v>
      </c>
      <c r="E715" s="1665">
        <v>73796906</v>
      </c>
      <c r="F715" s="1665">
        <v>70724486</v>
      </c>
      <c r="G715" s="1665">
        <v>73796906</v>
      </c>
      <c r="H715" s="1665">
        <v>70724486</v>
      </c>
      <c r="I715" s="101">
        <v>77267506</v>
      </c>
      <c r="J715" s="101">
        <v>74195086</v>
      </c>
    </row>
    <row r="716" spans="1:10">
      <c r="A716" t="s">
        <v>774</v>
      </c>
      <c r="B716" t="s">
        <v>7805</v>
      </c>
      <c r="C716" s="1665">
        <v>64730126</v>
      </c>
      <c r="D716" s="1665">
        <v>60905826</v>
      </c>
      <c r="E716" s="1665">
        <v>61076431</v>
      </c>
      <c r="F716" s="1665">
        <v>57252131</v>
      </c>
      <c r="G716" s="1665">
        <v>61076431</v>
      </c>
      <c r="H716" s="1665">
        <v>57252131</v>
      </c>
      <c r="I716" s="101">
        <v>64730126</v>
      </c>
      <c r="J716" s="101">
        <v>60905826</v>
      </c>
    </row>
    <row r="717" spans="1:10">
      <c r="A717" t="s">
        <v>528</v>
      </c>
      <c r="B717" t="s">
        <v>7806</v>
      </c>
      <c r="C717" s="1665">
        <v>167649089</v>
      </c>
      <c r="D717" s="1665">
        <v>162021099</v>
      </c>
      <c r="E717" s="1665">
        <v>158583519</v>
      </c>
      <c r="F717" s="1665">
        <v>152955529</v>
      </c>
      <c r="G717" s="1665">
        <v>158583519</v>
      </c>
      <c r="H717" s="1665">
        <v>152955529</v>
      </c>
      <c r="I717" s="101">
        <v>167649089</v>
      </c>
      <c r="J717" s="101">
        <v>162021099</v>
      </c>
    </row>
    <row r="718" spans="1:10">
      <c r="A718" t="s">
        <v>529</v>
      </c>
      <c r="B718" t="s">
        <v>7807</v>
      </c>
      <c r="C718" s="1665">
        <v>217426236</v>
      </c>
      <c r="D718" s="1665">
        <v>207631867</v>
      </c>
      <c r="E718" s="1665">
        <v>217426236</v>
      </c>
      <c r="F718" s="1665">
        <v>207631867</v>
      </c>
      <c r="G718" s="1665">
        <v>217426236</v>
      </c>
      <c r="H718" s="1665">
        <v>207631867</v>
      </c>
      <c r="I718" s="101">
        <v>217426236</v>
      </c>
      <c r="J718" s="101">
        <v>207631867</v>
      </c>
    </row>
    <row r="719" spans="1:10">
      <c r="A719" t="s">
        <v>2400</v>
      </c>
      <c r="B719" t="s">
        <v>7808</v>
      </c>
      <c r="C719" s="1665">
        <v>1717416279</v>
      </c>
      <c r="D719" s="1665">
        <v>1666113425</v>
      </c>
      <c r="E719" s="1665">
        <v>1717416279</v>
      </c>
      <c r="F719" s="1665">
        <v>1666113425</v>
      </c>
      <c r="G719" s="1665">
        <v>1717416279</v>
      </c>
      <c r="H719" s="1665">
        <v>1666113425</v>
      </c>
      <c r="I719" s="101">
        <v>1717416279</v>
      </c>
      <c r="J719" s="101">
        <v>1666113425</v>
      </c>
    </row>
    <row r="720" spans="1:10">
      <c r="A720" t="s">
        <v>2407</v>
      </c>
      <c r="B720" t="s">
        <v>7319</v>
      </c>
      <c r="C720" s="1665">
        <v>160762790</v>
      </c>
      <c r="D720" s="1665">
        <v>154484972</v>
      </c>
      <c r="E720" s="1665">
        <v>160762790</v>
      </c>
      <c r="F720" s="1665">
        <v>154484972</v>
      </c>
      <c r="G720" s="1665">
        <v>160762790</v>
      </c>
      <c r="H720" s="1665">
        <v>154484972</v>
      </c>
      <c r="I720" s="101">
        <v>160762790</v>
      </c>
      <c r="J720" s="101">
        <v>154484972</v>
      </c>
    </row>
    <row r="721" spans="1:10">
      <c r="A721" t="s">
        <v>19</v>
      </c>
      <c r="B721" t="s">
        <v>7809</v>
      </c>
      <c r="C721" s="1665">
        <v>133315711</v>
      </c>
      <c r="D721" s="1665">
        <v>129577112</v>
      </c>
      <c r="E721" s="1665">
        <v>133315711</v>
      </c>
      <c r="F721" s="1665">
        <v>129577112</v>
      </c>
      <c r="G721" s="1665">
        <v>133315711</v>
      </c>
      <c r="H721" s="1665">
        <v>129577112</v>
      </c>
      <c r="I721" s="101">
        <v>133315711</v>
      </c>
      <c r="J721" s="101">
        <v>129577112</v>
      </c>
    </row>
    <row r="722" spans="1:10">
      <c r="A722" t="s">
        <v>706</v>
      </c>
      <c r="B722" t="s">
        <v>7810</v>
      </c>
      <c r="C722" s="1665">
        <v>279279571</v>
      </c>
      <c r="D722" s="1665">
        <v>271279205</v>
      </c>
      <c r="E722" s="1665">
        <v>279279571</v>
      </c>
      <c r="F722" s="1665">
        <v>271279205</v>
      </c>
      <c r="G722" s="1665">
        <v>279279571</v>
      </c>
      <c r="H722" s="1665">
        <v>271279205</v>
      </c>
      <c r="I722" s="101">
        <v>279279571</v>
      </c>
      <c r="J722" s="101">
        <v>271279205</v>
      </c>
    </row>
    <row r="723" spans="1:10">
      <c r="A723" t="s">
        <v>20</v>
      </c>
      <c r="B723" t="s">
        <v>7811</v>
      </c>
      <c r="C723" s="1665">
        <v>440123971</v>
      </c>
      <c r="D723" s="1665">
        <v>431413075</v>
      </c>
      <c r="E723" s="1665">
        <v>440123971</v>
      </c>
      <c r="F723" s="1665">
        <v>431413075</v>
      </c>
      <c r="G723" s="1665">
        <v>440123971</v>
      </c>
      <c r="H723" s="1665">
        <v>431413075</v>
      </c>
      <c r="I723" s="101">
        <v>440123971</v>
      </c>
      <c r="J723" s="101">
        <v>431413075</v>
      </c>
    </row>
    <row r="724" spans="1:10">
      <c r="A724" t="s">
        <v>2085</v>
      </c>
      <c r="B724" t="s">
        <v>7812</v>
      </c>
      <c r="C724" s="1665">
        <v>142442538</v>
      </c>
      <c r="D724" s="1665">
        <v>137549706</v>
      </c>
      <c r="E724" s="1665">
        <v>142442538</v>
      </c>
      <c r="F724" s="1665">
        <v>137549706</v>
      </c>
      <c r="G724" s="1665">
        <v>142442538</v>
      </c>
      <c r="H724" s="1665">
        <v>137549706</v>
      </c>
      <c r="I724" s="101">
        <v>142442538</v>
      </c>
      <c r="J724" s="101">
        <v>137549706</v>
      </c>
    </row>
    <row r="725" spans="1:10">
      <c r="A725" t="s">
        <v>21</v>
      </c>
      <c r="B725" t="s">
        <v>7813</v>
      </c>
      <c r="C725" s="1665">
        <v>209161223</v>
      </c>
      <c r="D725" s="1665">
        <v>203630194</v>
      </c>
      <c r="E725" s="1665">
        <v>202882234</v>
      </c>
      <c r="F725" s="1665">
        <v>197351205</v>
      </c>
      <c r="G725" s="1665">
        <v>202882234</v>
      </c>
      <c r="H725" s="1665">
        <v>197351205</v>
      </c>
      <c r="I725" s="101">
        <v>209161223</v>
      </c>
      <c r="J725" s="101">
        <v>203630194</v>
      </c>
    </row>
    <row r="726" spans="1:10">
      <c r="A726" t="s">
        <v>1021</v>
      </c>
      <c r="B726" t="s">
        <v>7814</v>
      </c>
      <c r="C726" s="1665">
        <v>275283275</v>
      </c>
      <c r="D726" s="1665">
        <v>262465492</v>
      </c>
      <c r="E726" s="1665">
        <v>263589670</v>
      </c>
      <c r="F726" s="1665">
        <v>250771887</v>
      </c>
      <c r="G726" s="1665">
        <v>263589670</v>
      </c>
      <c r="H726" s="1665">
        <v>250771887</v>
      </c>
      <c r="I726" s="101">
        <v>275283275</v>
      </c>
      <c r="J726" s="101">
        <v>262465492</v>
      </c>
    </row>
    <row r="727" spans="1:10">
      <c r="A727" t="s">
        <v>1991</v>
      </c>
      <c r="B727" t="s">
        <v>7815</v>
      </c>
      <c r="C727" s="1665">
        <v>586905374</v>
      </c>
      <c r="D727" s="1665">
        <v>580608733</v>
      </c>
      <c r="E727" s="1665">
        <v>580193773</v>
      </c>
      <c r="F727" s="1665">
        <v>573897132</v>
      </c>
      <c r="G727" s="1665">
        <v>580193773</v>
      </c>
      <c r="H727" s="1665">
        <v>573897132</v>
      </c>
      <c r="I727" s="101">
        <v>586905374</v>
      </c>
      <c r="J727" s="101">
        <v>580608733</v>
      </c>
    </row>
    <row r="728" spans="1:10">
      <c r="A728" t="s">
        <v>1543</v>
      </c>
      <c r="B728" t="s">
        <v>7816</v>
      </c>
      <c r="C728" s="1665">
        <v>325047794</v>
      </c>
      <c r="D728" s="1665">
        <v>321206524</v>
      </c>
      <c r="E728" s="1665">
        <v>325047794</v>
      </c>
      <c r="F728" s="1665">
        <v>321206524</v>
      </c>
      <c r="G728" s="1665">
        <v>325047794</v>
      </c>
      <c r="H728" s="1665">
        <v>321206524</v>
      </c>
      <c r="I728" s="101">
        <v>325047794</v>
      </c>
      <c r="J728" s="101">
        <v>321206524</v>
      </c>
    </row>
    <row r="729" spans="1:10">
      <c r="A729" t="s">
        <v>1878</v>
      </c>
      <c r="B729" t="s">
        <v>7817</v>
      </c>
      <c r="C729" s="1665">
        <v>806821071</v>
      </c>
      <c r="D729" s="1665">
        <v>783058391</v>
      </c>
      <c r="E729" s="1665">
        <v>806821071</v>
      </c>
      <c r="F729" s="1665">
        <v>783058391</v>
      </c>
      <c r="G729" s="1665">
        <v>806821071</v>
      </c>
      <c r="H729" s="1665">
        <v>783058391</v>
      </c>
      <c r="I729" s="101">
        <v>806821071</v>
      </c>
      <c r="J729" s="101">
        <v>783058391</v>
      </c>
    </row>
    <row r="730" spans="1:10">
      <c r="A730" t="s">
        <v>2309</v>
      </c>
      <c r="B730" t="s">
        <v>7818</v>
      </c>
      <c r="C730" s="1665">
        <v>848055352</v>
      </c>
      <c r="D730" s="1665">
        <v>846540925</v>
      </c>
      <c r="E730" s="1665">
        <v>848055352</v>
      </c>
      <c r="F730" s="1665">
        <v>846540925</v>
      </c>
      <c r="G730" s="1665">
        <v>848055352</v>
      </c>
      <c r="H730" s="1665">
        <v>846540925</v>
      </c>
      <c r="I730" s="101">
        <v>848055352</v>
      </c>
      <c r="J730" s="101">
        <v>846540925</v>
      </c>
    </row>
    <row r="731" spans="1:10">
      <c r="A731" t="s">
        <v>424</v>
      </c>
      <c r="B731" t="s">
        <v>7819</v>
      </c>
      <c r="C731" s="1665">
        <v>267170517</v>
      </c>
      <c r="D731" s="1665">
        <v>266234177</v>
      </c>
      <c r="E731" s="1665">
        <v>267170517</v>
      </c>
      <c r="F731" s="1665">
        <v>266234177</v>
      </c>
      <c r="G731" s="1665">
        <v>552021297</v>
      </c>
      <c r="H731" s="1665">
        <v>551084957</v>
      </c>
      <c r="I731" s="101">
        <v>552021297</v>
      </c>
      <c r="J731" s="101">
        <v>551084957</v>
      </c>
    </row>
    <row r="732" spans="1:10">
      <c r="A732" t="s">
        <v>2498</v>
      </c>
      <c r="B732" t="s">
        <v>7820</v>
      </c>
      <c r="C732" s="1665">
        <v>133612251</v>
      </c>
      <c r="D732" s="1665">
        <v>131020652</v>
      </c>
      <c r="E732" s="1665">
        <v>133612251</v>
      </c>
      <c r="F732" s="1665">
        <v>131020652</v>
      </c>
      <c r="G732" s="1665">
        <v>133612251</v>
      </c>
      <c r="H732" s="1665">
        <v>131020652</v>
      </c>
      <c r="I732" s="101">
        <v>133612251</v>
      </c>
      <c r="J732" s="101">
        <v>131020652</v>
      </c>
    </row>
    <row r="733" spans="1:10">
      <c r="A733" t="s">
        <v>1172</v>
      </c>
      <c r="B733" t="s">
        <v>7821</v>
      </c>
      <c r="C733" s="1665">
        <v>604865541</v>
      </c>
      <c r="D733" s="1665">
        <v>592694192</v>
      </c>
      <c r="E733" s="1665">
        <v>590827986</v>
      </c>
      <c r="F733" s="1665">
        <v>578656637</v>
      </c>
      <c r="G733" s="1665">
        <v>590827986</v>
      </c>
      <c r="H733" s="1665">
        <v>578656637</v>
      </c>
      <c r="I733" s="101">
        <v>604865541</v>
      </c>
      <c r="J733" s="101">
        <v>592694192</v>
      </c>
    </row>
    <row r="734" spans="1:10">
      <c r="A734" t="s">
        <v>1173</v>
      </c>
      <c r="B734" t="s">
        <v>7822</v>
      </c>
      <c r="C734" s="1665">
        <v>1596297770</v>
      </c>
      <c r="D734" s="1665">
        <v>1550342493</v>
      </c>
      <c r="E734" s="1665">
        <v>1596297770</v>
      </c>
      <c r="F734" s="1665">
        <v>1550342493</v>
      </c>
      <c r="G734" s="1665">
        <v>2161984360</v>
      </c>
      <c r="H734" s="1665">
        <v>2116029083</v>
      </c>
      <c r="I734" s="101">
        <v>2161984360</v>
      </c>
      <c r="J734" s="101">
        <v>2116029083</v>
      </c>
    </row>
    <row r="735" spans="1:10">
      <c r="A735" t="s">
        <v>2399</v>
      </c>
      <c r="B735" t="s">
        <v>7823</v>
      </c>
      <c r="C735" s="1665">
        <v>16600065567</v>
      </c>
      <c r="D735" s="1665">
        <v>16157475741</v>
      </c>
      <c r="E735" s="1665">
        <v>16600065567</v>
      </c>
      <c r="F735" s="1665">
        <v>16157475741</v>
      </c>
      <c r="G735" s="1665">
        <v>16653109707</v>
      </c>
      <c r="H735" s="1665">
        <v>16210519881</v>
      </c>
      <c r="I735" s="101">
        <v>16653109707</v>
      </c>
      <c r="J735" s="101">
        <v>16210519881</v>
      </c>
    </row>
    <row r="736" spans="1:10">
      <c r="A736" t="s">
        <v>570</v>
      </c>
      <c r="B736" t="s">
        <v>7824</v>
      </c>
      <c r="C736" s="1665">
        <v>106360569</v>
      </c>
      <c r="D736" s="1665">
        <v>104317940</v>
      </c>
      <c r="E736" s="1665">
        <v>106360569</v>
      </c>
      <c r="F736" s="1665">
        <v>104317940</v>
      </c>
      <c r="G736" s="1665">
        <v>106360569</v>
      </c>
      <c r="H736" s="1665">
        <v>104317940</v>
      </c>
      <c r="I736" s="101">
        <v>106360569</v>
      </c>
      <c r="J736" s="101">
        <v>104317940</v>
      </c>
    </row>
    <row r="737" spans="1:10">
      <c r="A737" t="s">
        <v>579</v>
      </c>
      <c r="B737" t="s">
        <v>7825</v>
      </c>
      <c r="C737" s="1665">
        <v>712258446</v>
      </c>
      <c r="D737" s="1665">
        <v>705457389</v>
      </c>
      <c r="E737" s="1665">
        <v>712258446</v>
      </c>
      <c r="F737" s="1665">
        <v>705457389</v>
      </c>
      <c r="G737" s="1665">
        <v>712258446</v>
      </c>
      <c r="H737" s="1665">
        <v>705457389</v>
      </c>
      <c r="I737" s="101">
        <v>712258446</v>
      </c>
      <c r="J737" s="101">
        <v>705457389</v>
      </c>
    </row>
    <row r="738" spans="1:10">
      <c r="A738" t="s">
        <v>580</v>
      </c>
      <c r="B738" t="s">
        <v>7826</v>
      </c>
      <c r="C738" s="1665">
        <v>2255819082</v>
      </c>
      <c r="D738" s="1665">
        <v>2245734041</v>
      </c>
      <c r="E738" s="1665">
        <v>2255819082</v>
      </c>
      <c r="F738" s="1665">
        <v>2245734041</v>
      </c>
      <c r="G738" s="1665">
        <v>2255819082</v>
      </c>
      <c r="H738" s="1665">
        <v>2245734041</v>
      </c>
      <c r="I738" s="101">
        <v>2255819082</v>
      </c>
      <c r="J738" s="101">
        <v>2245734041</v>
      </c>
    </row>
    <row r="739" spans="1:10">
      <c r="A739" t="s">
        <v>165</v>
      </c>
      <c r="B739" t="s">
        <v>7827</v>
      </c>
      <c r="C739" s="1665">
        <v>613705168</v>
      </c>
      <c r="D739" s="1665">
        <v>589200105</v>
      </c>
      <c r="E739" s="1665">
        <v>613705168</v>
      </c>
      <c r="F739" s="1665">
        <v>589200105</v>
      </c>
      <c r="G739" s="1665">
        <v>613705168</v>
      </c>
      <c r="H739" s="1665">
        <v>589200105</v>
      </c>
      <c r="I739" s="101">
        <v>613705168</v>
      </c>
      <c r="J739" s="101">
        <v>589200105</v>
      </c>
    </row>
    <row r="740" spans="1:10">
      <c r="A740" t="s">
        <v>767</v>
      </c>
      <c r="B740" t="s">
        <v>7828</v>
      </c>
      <c r="C740" s="1665">
        <v>2848039054</v>
      </c>
      <c r="D740" s="1665">
        <v>2823113218</v>
      </c>
      <c r="E740" s="1665">
        <v>2811227374</v>
      </c>
      <c r="F740" s="1665">
        <v>2786301538</v>
      </c>
      <c r="G740" s="1665">
        <v>3313421367</v>
      </c>
      <c r="H740" s="1665">
        <v>3288495531</v>
      </c>
      <c r="I740" s="101">
        <v>3350233047</v>
      </c>
      <c r="J740" s="101">
        <v>3325307211</v>
      </c>
    </row>
    <row r="741" spans="1:10">
      <c r="A741" t="s">
        <v>964</v>
      </c>
      <c r="B741" t="s">
        <v>7829</v>
      </c>
      <c r="C741" s="1665">
        <v>425135266</v>
      </c>
      <c r="D741" s="1665">
        <v>416431994</v>
      </c>
      <c r="E741" s="1665">
        <v>425135266</v>
      </c>
      <c r="F741" s="1665">
        <v>416431994</v>
      </c>
      <c r="G741" s="1665">
        <v>425135266</v>
      </c>
      <c r="H741" s="1665">
        <v>416431994</v>
      </c>
      <c r="I741" s="101">
        <v>425135266</v>
      </c>
      <c r="J741" s="101">
        <v>416431994</v>
      </c>
    </row>
    <row r="742" spans="1:10">
      <c r="A742" t="s">
        <v>2138</v>
      </c>
      <c r="B742" t="s">
        <v>7830</v>
      </c>
      <c r="C742" s="1665">
        <v>3115342242</v>
      </c>
      <c r="D742" s="1665">
        <v>3048637780</v>
      </c>
      <c r="E742" s="1665">
        <v>3115342242</v>
      </c>
      <c r="F742" s="1665">
        <v>3048637780</v>
      </c>
      <c r="G742" s="1665">
        <v>3115342242</v>
      </c>
      <c r="H742" s="1665">
        <v>3048637780</v>
      </c>
      <c r="I742" s="101">
        <v>3115342242</v>
      </c>
      <c r="J742" s="101">
        <v>3048637780</v>
      </c>
    </row>
    <row r="743" spans="1:10">
      <c r="A743" t="s">
        <v>2139</v>
      </c>
      <c r="B743" t="s">
        <v>7831</v>
      </c>
      <c r="C743" s="1665">
        <v>809481342</v>
      </c>
      <c r="D743" s="1665">
        <v>795570291</v>
      </c>
      <c r="E743" s="1665">
        <v>809481342</v>
      </c>
      <c r="F743" s="1665">
        <v>795570291</v>
      </c>
      <c r="G743" s="1665">
        <v>809481342</v>
      </c>
      <c r="H743" s="1665">
        <v>795570291</v>
      </c>
      <c r="I743" s="101">
        <v>809481342</v>
      </c>
      <c r="J743" s="101">
        <v>795570291</v>
      </c>
    </row>
    <row r="744" spans="1:10">
      <c r="A744" t="s">
        <v>209</v>
      </c>
      <c r="B744" t="s">
        <v>7832</v>
      </c>
      <c r="C744" s="1665">
        <v>1219651072</v>
      </c>
      <c r="D744" s="1665">
        <v>1201856541</v>
      </c>
      <c r="E744" s="1665">
        <v>1219651072</v>
      </c>
      <c r="F744" s="1665">
        <v>1201856541</v>
      </c>
      <c r="G744" s="1665">
        <v>1377858502</v>
      </c>
      <c r="H744" s="1665">
        <v>1360063971</v>
      </c>
      <c r="I744" s="101">
        <v>1377858502</v>
      </c>
      <c r="J744" s="101">
        <v>1360063971</v>
      </c>
    </row>
    <row r="745" spans="1:10">
      <c r="A745" t="s">
        <v>971</v>
      </c>
      <c r="B745" t="s">
        <v>7833</v>
      </c>
      <c r="C745" s="1665">
        <v>164841924</v>
      </c>
      <c r="D745" s="1665">
        <v>161996452</v>
      </c>
      <c r="E745" s="1665">
        <v>164841924</v>
      </c>
      <c r="F745" s="1665">
        <v>161996452</v>
      </c>
      <c r="G745" s="1665">
        <v>403375304</v>
      </c>
      <c r="H745" s="1665">
        <v>400529832</v>
      </c>
      <c r="I745" s="101">
        <v>403375304</v>
      </c>
      <c r="J745" s="101">
        <v>400529832</v>
      </c>
    </row>
    <row r="746" spans="1:10">
      <c r="A746" t="s">
        <v>972</v>
      </c>
      <c r="B746" t="s">
        <v>7834</v>
      </c>
      <c r="C746" s="1665">
        <v>58797316</v>
      </c>
      <c r="D746" s="1665">
        <v>58255423</v>
      </c>
      <c r="E746" s="1665">
        <v>58797316</v>
      </c>
      <c r="F746" s="1665">
        <v>58255423</v>
      </c>
      <c r="G746" s="1665">
        <v>303107886</v>
      </c>
      <c r="H746" s="1665">
        <v>302565993</v>
      </c>
      <c r="I746" s="101">
        <v>303107886</v>
      </c>
      <c r="J746" s="101">
        <v>302565993</v>
      </c>
    </row>
    <row r="747" spans="1:10">
      <c r="A747" t="s">
        <v>973</v>
      </c>
      <c r="B747" t="s">
        <v>7835</v>
      </c>
      <c r="C747" s="1665">
        <v>108936645</v>
      </c>
      <c r="D747" s="1665">
        <v>108250345</v>
      </c>
      <c r="E747" s="1665">
        <v>108936645</v>
      </c>
      <c r="F747" s="1665">
        <v>108250345</v>
      </c>
      <c r="G747" s="1665">
        <v>146461085</v>
      </c>
      <c r="H747" s="1665">
        <v>145774785</v>
      </c>
      <c r="I747" s="101">
        <v>146461085</v>
      </c>
      <c r="J747" s="101">
        <v>145774785</v>
      </c>
    </row>
    <row r="748" spans="1:10">
      <c r="A748" t="s">
        <v>1951</v>
      </c>
      <c r="B748" t="s">
        <v>7836</v>
      </c>
      <c r="C748" s="1665">
        <v>1074128685</v>
      </c>
      <c r="D748" s="1665">
        <v>1038591819</v>
      </c>
      <c r="E748" s="1665">
        <v>1074128685</v>
      </c>
      <c r="F748" s="1665">
        <v>1038591819</v>
      </c>
      <c r="G748" s="1665">
        <v>1074128685</v>
      </c>
      <c r="H748" s="1665">
        <v>1038591819</v>
      </c>
      <c r="I748" s="101">
        <v>1074128685</v>
      </c>
      <c r="J748" s="101">
        <v>1038591819</v>
      </c>
    </row>
    <row r="749" spans="1:10">
      <c r="A749" t="s">
        <v>974</v>
      </c>
      <c r="B749" t="s">
        <v>7837</v>
      </c>
      <c r="C749" s="1665">
        <v>599468299</v>
      </c>
      <c r="D749" s="1665">
        <v>579110758</v>
      </c>
      <c r="E749" s="1665">
        <v>569431166</v>
      </c>
      <c r="F749" s="1665">
        <v>549073625</v>
      </c>
      <c r="G749" s="1665">
        <v>569431166</v>
      </c>
      <c r="H749" s="1665">
        <v>549073625</v>
      </c>
      <c r="I749" s="101">
        <v>599468299</v>
      </c>
      <c r="J749" s="101">
        <v>579110758</v>
      </c>
    </row>
    <row r="750" spans="1:10">
      <c r="A750" t="s">
        <v>975</v>
      </c>
      <c r="B750" t="s">
        <v>7838</v>
      </c>
      <c r="C750" s="1665">
        <v>1827527390</v>
      </c>
      <c r="D750" s="1665">
        <v>1794031560</v>
      </c>
      <c r="E750" s="1665">
        <v>1799980205</v>
      </c>
      <c r="F750" s="1665">
        <v>1766484375</v>
      </c>
      <c r="G750" s="1665">
        <v>1799980205</v>
      </c>
      <c r="H750" s="1665">
        <v>1766484375</v>
      </c>
      <c r="I750" s="101">
        <v>1827527390</v>
      </c>
      <c r="J750" s="101">
        <v>1794031560</v>
      </c>
    </row>
    <row r="751" spans="1:10">
      <c r="A751" t="s">
        <v>1466</v>
      </c>
      <c r="B751" t="s">
        <v>7839</v>
      </c>
      <c r="C751" s="1665">
        <v>1187580672</v>
      </c>
      <c r="D751" s="1665">
        <v>1137942696</v>
      </c>
      <c r="E751" s="1665">
        <v>1152828401</v>
      </c>
      <c r="F751" s="1665">
        <v>1103190425</v>
      </c>
      <c r="G751" s="1665">
        <v>1152828401</v>
      </c>
      <c r="H751" s="1665">
        <v>1103190425</v>
      </c>
      <c r="I751" s="101">
        <v>1187580672</v>
      </c>
      <c r="J751" s="101">
        <v>1137942696</v>
      </c>
    </row>
    <row r="752" spans="1:10">
      <c r="A752" t="s">
        <v>1092</v>
      </c>
      <c r="B752" t="s">
        <v>7840</v>
      </c>
      <c r="C752" s="1665">
        <v>1013763676</v>
      </c>
      <c r="D752" s="1665">
        <v>967873735</v>
      </c>
      <c r="E752" s="1665">
        <v>969889640</v>
      </c>
      <c r="F752" s="1665">
        <v>923999699</v>
      </c>
      <c r="G752" s="1665">
        <v>969889640</v>
      </c>
      <c r="H752" s="1665">
        <v>923999699</v>
      </c>
      <c r="I752" s="101">
        <v>1013763676</v>
      </c>
      <c r="J752" s="101">
        <v>967873735</v>
      </c>
    </row>
    <row r="753" spans="1:10">
      <c r="A753" t="s">
        <v>1093</v>
      </c>
      <c r="B753" t="s">
        <v>7841</v>
      </c>
      <c r="C753" s="1665">
        <v>165971273</v>
      </c>
      <c r="D753" s="1665">
        <v>162652073</v>
      </c>
      <c r="E753" s="1665">
        <v>165971273</v>
      </c>
      <c r="F753" s="1665">
        <v>162652073</v>
      </c>
      <c r="G753" s="1665">
        <v>165971273</v>
      </c>
      <c r="H753" s="1665">
        <v>162652073</v>
      </c>
      <c r="I753" s="101">
        <v>165971273</v>
      </c>
      <c r="J753" s="101">
        <v>162652073</v>
      </c>
    </row>
    <row r="754" spans="1:10">
      <c r="A754" t="s">
        <v>1094</v>
      </c>
      <c r="B754" t="s">
        <v>7842</v>
      </c>
      <c r="C754" s="1665">
        <v>987186064</v>
      </c>
      <c r="D754" s="1665">
        <v>981577381</v>
      </c>
      <c r="E754" s="1665">
        <v>987186064</v>
      </c>
      <c r="F754" s="1665">
        <v>981577381</v>
      </c>
      <c r="G754" s="1665">
        <v>987186064</v>
      </c>
      <c r="H754" s="1665">
        <v>981577381</v>
      </c>
      <c r="I754" s="101">
        <v>987186064</v>
      </c>
      <c r="J754" s="101">
        <v>981577381</v>
      </c>
    </row>
    <row r="755" spans="1:10">
      <c r="A755" t="s">
        <v>2537</v>
      </c>
      <c r="B755" t="s">
        <v>7843</v>
      </c>
      <c r="C755" s="1665">
        <v>827655305</v>
      </c>
      <c r="D755" s="1665">
        <v>792543230</v>
      </c>
      <c r="E755" s="1665">
        <v>827655305</v>
      </c>
      <c r="F755" s="1665">
        <v>792543230</v>
      </c>
      <c r="G755" s="1665">
        <v>827655305</v>
      </c>
      <c r="H755" s="1665">
        <v>792543230</v>
      </c>
      <c r="I755" s="101">
        <v>827655305</v>
      </c>
      <c r="J755" s="101">
        <v>792543230</v>
      </c>
    </row>
    <row r="756" spans="1:10">
      <c r="A756" t="s">
        <v>1353</v>
      </c>
      <c r="B756" t="s">
        <v>7844</v>
      </c>
      <c r="C756" s="1665">
        <v>294754282</v>
      </c>
      <c r="D756" s="1665">
        <v>286507235</v>
      </c>
      <c r="E756" s="1665">
        <v>294754282</v>
      </c>
      <c r="F756" s="1665">
        <v>286507235</v>
      </c>
      <c r="G756" s="1665">
        <v>294754282</v>
      </c>
      <c r="H756" s="1665">
        <v>286507235</v>
      </c>
      <c r="I756" s="101">
        <v>294754282</v>
      </c>
      <c r="J756" s="101">
        <v>286507235</v>
      </c>
    </row>
    <row r="757" spans="1:10">
      <c r="A757" t="s">
        <v>1354</v>
      </c>
      <c r="B757" t="s">
        <v>7845</v>
      </c>
      <c r="C757" s="1665">
        <v>54040012</v>
      </c>
      <c r="D757" s="1665">
        <v>52545706</v>
      </c>
      <c r="E757" s="1665">
        <v>54040012</v>
      </c>
      <c r="F757" s="1665">
        <v>52545706</v>
      </c>
      <c r="G757" s="1665">
        <v>54040012</v>
      </c>
      <c r="H757" s="1665">
        <v>52545706</v>
      </c>
      <c r="I757" s="101">
        <v>54040012</v>
      </c>
      <c r="J757" s="101">
        <v>52545706</v>
      </c>
    </row>
    <row r="758" spans="1:10">
      <c r="A758" t="s">
        <v>1355</v>
      </c>
      <c r="B758" t="s">
        <v>7846</v>
      </c>
      <c r="C758" s="1665">
        <v>538259414</v>
      </c>
      <c r="D758" s="1665">
        <v>535564814</v>
      </c>
      <c r="E758" s="1665">
        <v>529309198</v>
      </c>
      <c r="F758" s="1665">
        <v>526614598</v>
      </c>
      <c r="G758" s="1665">
        <v>529309198</v>
      </c>
      <c r="H758" s="1665">
        <v>526614598</v>
      </c>
      <c r="I758" s="101">
        <v>538259414</v>
      </c>
      <c r="J758" s="101">
        <v>535564814</v>
      </c>
    </row>
    <row r="759" spans="1:10">
      <c r="A759" t="s">
        <v>1356</v>
      </c>
      <c r="B759" t="s">
        <v>7847</v>
      </c>
      <c r="C759" s="1665">
        <v>371065349</v>
      </c>
      <c r="D759" s="1665">
        <v>365349099</v>
      </c>
      <c r="E759" s="1665">
        <v>363977639</v>
      </c>
      <c r="F759" s="1665">
        <v>358261389</v>
      </c>
      <c r="G759" s="1665">
        <v>363977639</v>
      </c>
      <c r="H759" s="1665">
        <v>358261389</v>
      </c>
      <c r="I759" s="101">
        <v>371065349</v>
      </c>
      <c r="J759" s="101">
        <v>365349099</v>
      </c>
    </row>
    <row r="760" spans="1:10">
      <c r="A760" t="s">
        <v>1357</v>
      </c>
      <c r="B760" t="s">
        <v>7848</v>
      </c>
      <c r="C760" s="1665">
        <v>2564312355</v>
      </c>
      <c r="D760" s="1665">
        <v>2525311625</v>
      </c>
      <c r="E760" s="1665">
        <v>2518388070</v>
      </c>
      <c r="F760" s="1665">
        <v>2479387340</v>
      </c>
      <c r="G760" s="1665">
        <v>2518388070</v>
      </c>
      <c r="H760" s="1665">
        <v>2479387340</v>
      </c>
      <c r="I760" s="101">
        <v>2564312355</v>
      </c>
      <c r="J760" s="101">
        <v>2525311625</v>
      </c>
    </row>
    <row r="761" spans="1:10">
      <c r="A761" t="s">
        <v>2579</v>
      </c>
      <c r="B761" t="s">
        <v>7849</v>
      </c>
      <c r="C761" s="1665">
        <v>163118807</v>
      </c>
      <c r="D761" s="1665">
        <v>158375967</v>
      </c>
      <c r="E761" s="1665">
        <v>158109667</v>
      </c>
      <c r="F761" s="1665">
        <v>153366827</v>
      </c>
      <c r="G761" s="1665">
        <v>158109667</v>
      </c>
      <c r="H761" s="1665">
        <v>153366827</v>
      </c>
      <c r="I761" s="101">
        <v>163118807</v>
      </c>
      <c r="J761" s="101">
        <v>158375967</v>
      </c>
    </row>
    <row r="762" spans="1:10">
      <c r="A762" t="s">
        <v>707</v>
      </c>
      <c r="B762" t="s">
        <v>7850</v>
      </c>
      <c r="C762" s="1665">
        <v>217988217</v>
      </c>
      <c r="D762" s="1665">
        <v>211537119</v>
      </c>
      <c r="E762" s="1665">
        <v>217988217</v>
      </c>
      <c r="F762" s="1665">
        <v>211537119</v>
      </c>
      <c r="G762" s="1665">
        <v>217988217</v>
      </c>
      <c r="H762" s="1665">
        <v>211537119</v>
      </c>
      <c r="I762" s="101">
        <v>217988217</v>
      </c>
      <c r="J762" s="101">
        <v>211537119</v>
      </c>
    </row>
    <row r="763" spans="1:10">
      <c r="A763" t="s">
        <v>1510</v>
      </c>
      <c r="B763" t="s">
        <v>7851</v>
      </c>
      <c r="C763" s="1665">
        <v>1166999131</v>
      </c>
      <c r="D763" s="1665">
        <v>1120272475</v>
      </c>
      <c r="E763" s="1665">
        <v>1166999131</v>
      </c>
      <c r="F763" s="1665">
        <v>1120272475</v>
      </c>
      <c r="G763" s="1665">
        <v>1166999131</v>
      </c>
      <c r="H763" s="1665">
        <v>1120272475</v>
      </c>
      <c r="I763" s="101">
        <v>1166999131</v>
      </c>
      <c r="J763" s="101">
        <v>1120272475</v>
      </c>
    </row>
    <row r="764" spans="1:10">
      <c r="A764" t="s">
        <v>1467</v>
      </c>
      <c r="B764" t="s">
        <v>7852</v>
      </c>
      <c r="C764" s="1665">
        <v>4406177766</v>
      </c>
      <c r="D764" s="1665">
        <v>4289046895</v>
      </c>
      <c r="E764" s="1665">
        <v>4406177766</v>
      </c>
      <c r="F764" s="1665">
        <v>4289046895</v>
      </c>
      <c r="G764" s="1665">
        <v>4406177766</v>
      </c>
      <c r="H764" s="1665">
        <v>4289046895</v>
      </c>
      <c r="I764" s="101">
        <v>4406177766</v>
      </c>
      <c r="J764" s="101">
        <v>4289046895</v>
      </c>
    </row>
    <row r="765" spans="1:10">
      <c r="A765" t="s">
        <v>2536</v>
      </c>
      <c r="B765" t="s">
        <v>7853</v>
      </c>
      <c r="C765" s="1665">
        <v>372768508</v>
      </c>
      <c r="D765" s="1665">
        <v>362431613</v>
      </c>
      <c r="E765" s="1665">
        <v>372768508</v>
      </c>
      <c r="F765" s="1665">
        <v>362431613</v>
      </c>
      <c r="G765" s="1665">
        <v>372768508</v>
      </c>
      <c r="H765" s="1665">
        <v>362431613</v>
      </c>
      <c r="I765" s="101">
        <v>372768508</v>
      </c>
      <c r="J765" s="101">
        <v>362431613</v>
      </c>
    </row>
    <row r="766" spans="1:10">
      <c r="A766" t="s">
        <v>1383</v>
      </c>
      <c r="B766" t="s">
        <v>7854</v>
      </c>
      <c r="C766" s="1665">
        <v>3512257081</v>
      </c>
      <c r="D766" s="1665">
        <v>3445114627</v>
      </c>
      <c r="E766" s="1665">
        <v>3512257081</v>
      </c>
      <c r="F766" s="1665">
        <v>3445114627</v>
      </c>
      <c r="G766" s="1665">
        <v>3512257081</v>
      </c>
      <c r="H766" s="1665">
        <v>3445114627</v>
      </c>
      <c r="I766" s="101">
        <v>3512257081</v>
      </c>
      <c r="J766" s="101">
        <v>3445114627</v>
      </c>
    </row>
    <row r="767" spans="1:10">
      <c r="A767" t="s">
        <v>208</v>
      </c>
      <c r="B767" t="s">
        <v>7855</v>
      </c>
      <c r="C767" s="1665">
        <v>352592189</v>
      </c>
      <c r="D767" s="1665">
        <v>341065423</v>
      </c>
      <c r="E767" s="1665">
        <v>352592189</v>
      </c>
      <c r="F767" s="1665">
        <v>341065423</v>
      </c>
      <c r="G767" s="1665">
        <v>352592189</v>
      </c>
      <c r="H767" s="1665">
        <v>341065423</v>
      </c>
      <c r="I767" s="101">
        <v>352592189</v>
      </c>
      <c r="J767" s="101">
        <v>341065423</v>
      </c>
    </row>
    <row r="768" spans="1:10">
      <c r="A768" t="s">
        <v>1877</v>
      </c>
      <c r="B768" t="s">
        <v>7856</v>
      </c>
      <c r="C768" s="1665">
        <v>657433954</v>
      </c>
      <c r="D768" s="1665">
        <v>642723474</v>
      </c>
      <c r="E768" s="1665">
        <v>657433954</v>
      </c>
      <c r="F768" s="1665">
        <v>642723474</v>
      </c>
      <c r="G768" s="1665">
        <v>657433954</v>
      </c>
      <c r="H768" s="1665">
        <v>642723474</v>
      </c>
      <c r="I768" s="101">
        <v>657433954</v>
      </c>
      <c r="J768" s="101">
        <v>642723474</v>
      </c>
    </row>
    <row r="769" spans="1:10">
      <c r="A769" t="s">
        <v>1634</v>
      </c>
      <c r="B769" t="s">
        <v>7857</v>
      </c>
      <c r="C769" s="1665">
        <v>177890408</v>
      </c>
      <c r="D769" s="1665">
        <v>173859728</v>
      </c>
      <c r="E769" s="1665">
        <v>177890408</v>
      </c>
      <c r="F769" s="1665">
        <v>173859728</v>
      </c>
      <c r="G769" s="1665">
        <v>177890408</v>
      </c>
      <c r="H769" s="1665">
        <v>173859728</v>
      </c>
      <c r="I769" s="101">
        <v>177890408</v>
      </c>
      <c r="J769" s="101">
        <v>173859728</v>
      </c>
    </row>
    <row r="770" spans="1:10">
      <c r="A770" t="s">
        <v>1635</v>
      </c>
      <c r="B770" t="s">
        <v>7858</v>
      </c>
      <c r="C770" s="1665">
        <v>112636463</v>
      </c>
      <c r="D770" s="1665">
        <v>109499531</v>
      </c>
      <c r="E770" s="1665">
        <v>112636463</v>
      </c>
      <c r="F770" s="1665">
        <v>109499531</v>
      </c>
      <c r="G770" s="1665">
        <v>126672674</v>
      </c>
      <c r="H770" s="1665">
        <v>123535742</v>
      </c>
      <c r="I770" s="101">
        <v>126672674</v>
      </c>
      <c r="J770" s="101">
        <v>123535742</v>
      </c>
    </row>
    <row r="771" spans="1:10">
      <c r="A771" t="s">
        <v>1636</v>
      </c>
      <c r="B771" t="s">
        <v>7859</v>
      </c>
      <c r="C771" s="1665">
        <v>178475560</v>
      </c>
      <c r="D771" s="1665">
        <v>174288555</v>
      </c>
      <c r="E771" s="1665">
        <v>178475560</v>
      </c>
      <c r="F771" s="1665">
        <v>174288555</v>
      </c>
      <c r="G771" s="1665">
        <v>178475560</v>
      </c>
      <c r="H771" s="1665">
        <v>174288555</v>
      </c>
      <c r="I771" s="101">
        <v>178475560</v>
      </c>
      <c r="J771" s="101">
        <v>174288555</v>
      </c>
    </row>
    <row r="772" spans="1:10">
      <c r="A772" t="s">
        <v>1637</v>
      </c>
      <c r="B772" t="s">
        <v>7860</v>
      </c>
      <c r="C772" s="1665">
        <v>395040354</v>
      </c>
      <c r="D772" s="1665">
        <v>386957342</v>
      </c>
      <c r="E772" s="1665">
        <v>395040354</v>
      </c>
      <c r="F772" s="1665">
        <v>386957342</v>
      </c>
      <c r="G772" s="1665">
        <v>572225234</v>
      </c>
      <c r="H772" s="1665">
        <v>564142222</v>
      </c>
      <c r="I772" s="101">
        <v>572225234</v>
      </c>
      <c r="J772" s="101">
        <v>564142222</v>
      </c>
    </row>
    <row r="773" spans="1:10">
      <c r="A773" t="s">
        <v>1638</v>
      </c>
      <c r="B773" t="s">
        <v>7861</v>
      </c>
      <c r="C773" s="1665">
        <v>65614391</v>
      </c>
      <c r="D773" s="1665">
        <v>64517423</v>
      </c>
      <c r="E773" s="1665">
        <v>65614391</v>
      </c>
      <c r="F773" s="1665">
        <v>64517423</v>
      </c>
      <c r="G773" s="1665">
        <v>65614391</v>
      </c>
      <c r="H773" s="1665">
        <v>64517423</v>
      </c>
      <c r="I773" s="101">
        <v>65614391</v>
      </c>
      <c r="J773" s="101">
        <v>64517423</v>
      </c>
    </row>
    <row r="774" spans="1:10">
      <c r="A774" t="s">
        <v>1874</v>
      </c>
      <c r="B774" t="s">
        <v>7862</v>
      </c>
      <c r="C774" s="1665">
        <v>365520839</v>
      </c>
      <c r="D774" s="1665">
        <v>364934239</v>
      </c>
      <c r="E774" s="1665">
        <v>365132289</v>
      </c>
      <c r="F774" s="1665">
        <v>364545689</v>
      </c>
      <c r="G774" s="1665">
        <v>422332289</v>
      </c>
      <c r="H774" s="1665">
        <v>421745689</v>
      </c>
      <c r="I774" s="101">
        <v>422720839</v>
      </c>
      <c r="J774" s="101">
        <v>422134239</v>
      </c>
    </row>
    <row r="775" spans="1:10">
      <c r="A775" t="s">
        <v>2302</v>
      </c>
      <c r="B775" t="s">
        <v>7863</v>
      </c>
      <c r="C775" s="1665">
        <v>1638643871</v>
      </c>
      <c r="D775" s="1665">
        <v>1615589991</v>
      </c>
      <c r="E775" s="1665">
        <v>1619117051</v>
      </c>
      <c r="F775" s="1665">
        <v>1596063171</v>
      </c>
      <c r="G775" s="1665">
        <v>2011656201</v>
      </c>
      <c r="H775" s="1665">
        <v>1988602321</v>
      </c>
      <c r="I775" s="101">
        <v>2031183021</v>
      </c>
      <c r="J775" s="101">
        <v>2008129141</v>
      </c>
    </row>
    <row r="776" spans="1:10">
      <c r="A776" t="s">
        <v>2291</v>
      </c>
      <c r="B776" t="s">
        <v>7864</v>
      </c>
      <c r="C776" s="1665">
        <v>970102861</v>
      </c>
      <c r="D776" s="1665">
        <v>967057731</v>
      </c>
      <c r="E776" s="1665">
        <v>968012096</v>
      </c>
      <c r="F776" s="1665">
        <v>964966966</v>
      </c>
      <c r="G776" s="1665">
        <v>1215012096</v>
      </c>
      <c r="H776" s="1665">
        <v>1211966966</v>
      </c>
      <c r="I776" s="101">
        <v>1217102861</v>
      </c>
      <c r="J776" s="101">
        <v>1214057731</v>
      </c>
    </row>
    <row r="777" spans="1:10">
      <c r="A777" t="s">
        <v>1302</v>
      </c>
      <c r="B777" t="s">
        <v>7865</v>
      </c>
      <c r="C777" s="1665">
        <v>272283994</v>
      </c>
      <c r="D777" s="1665">
        <v>267738833</v>
      </c>
      <c r="E777" s="1665">
        <v>268089008</v>
      </c>
      <c r="F777" s="1665">
        <v>263543847</v>
      </c>
      <c r="G777" s="1665">
        <v>268089008</v>
      </c>
      <c r="H777" s="1665">
        <v>263543847</v>
      </c>
      <c r="I777" s="101">
        <v>272283994</v>
      </c>
      <c r="J777" s="101">
        <v>267738833</v>
      </c>
    </row>
    <row r="778" spans="1:10">
      <c r="A778" t="s">
        <v>692</v>
      </c>
      <c r="B778" t="s">
        <v>7866</v>
      </c>
      <c r="C778" s="1665">
        <v>113205379</v>
      </c>
      <c r="D778" s="1665">
        <v>108370163</v>
      </c>
      <c r="E778" s="1665">
        <v>113205379</v>
      </c>
      <c r="F778" s="1665">
        <v>108370163</v>
      </c>
      <c r="G778" s="1665">
        <v>113205379</v>
      </c>
      <c r="H778" s="1665">
        <v>108370163</v>
      </c>
      <c r="I778" s="101">
        <v>113205379</v>
      </c>
      <c r="J778" s="101">
        <v>108370163</v>
      </c>
    </row>
    <row r="779" spans="1:10">
      <c r="A779" t="s">
        <v>2548</v>
      </c>
      <c r="B779" t="s">
        <v>7867</v>
      </c>
      <c r="C779" s="1665">
        <v>403876833</v>
      </c>
      <c r="D779" s="1665">
        <v>394871710</v>
      </c>
      <c r="E779" s="1665">
        <v>396125942</v>
      </c>
      <c r="F779" s="1665">
        <v>387120819</v>
      </c>
      <c r="G779" s="1665">
        <v>579268909</v>
      </c>
      <c r="H779" s="1665">
        <v>570263786</v>
      </c>
      <c r="I779" s="101">
        <v>587019800</v>
      </c>
      <c r="J779" s="101">
        <v>578014677</v>
      </c>
    </row>
    <row r="780" spans="1:10">
      <c r="A780" t="s">
        <v>693</v>
      </c>
      <c r="B780" t="s">
        <v>7868</v>
      </c>
      <c r="C780" s="1665">
        <v>96790332</v>
      </c>
      <c r="D780" s="1665">
        <v>94294211</v>
      </c>
      <c r="E780" s="1665">
        <v>96790332</v>
      </c>
      <c r="F780" s="1665">
        <v>94294211</v>
      </c>
      <c r="G780" s="1665">
        <v>96790332</v>
      </c>
      <c r="H780" s="1665">
        <v>94294211</v>
      </c>
      <c r="I780" s="101">
        <v>96790332</v>
      </c>
      <c r="J780" s="101">
        <v>94294211</v>
      </c>
    </row>
    <row r="781" spans="1:10">
      <c r="A781" t="s">
        <v>1773</v>
      </c>
      <c r="B781" t="s">
        <v>7869</v>
      </c>
      <c r="C781" s="1665">
        <v>1648516728</v>
      </c>
      <c r="D781" s="1665">
        <v>1595172458</v>
      </c>
      <c r="E781" s="1665">
        <v>1648516728</v>
      </c>
      <c r="F781" s="1665">
        <v>1595172458</v>
      </c>
      <c r="G781" s="1665">
        <v>1648516728</v>
      </c>
      <c r="H781" s="1665">
        <v>1595172458</v>
      </c>
      <c r="I781" s="101">
        <v>1648516728</v>
      </c>
      <c r="J781" s="101">
        <v>1595172458</v>
      </c>
    </row>
    <row r="782" spans="1:10">
      <c r="A782" t="s">
        <v>1213</v>
      </c>
      <c r="B782" t="s">
        <v>7870</v>
      </c>
      <c r="C782" s="1665">
        <v>571512028</v>
      </c>
      <c r="D782" s="1665">
        <v>552702098</v>
      </c>
      <c r="E782" s="1665">
        <v>571512028</v>
      </c>
      <c r="F782" s="1665">
        <v>552702098</v>
      </c>
      <c r="G782" s="1665">
        <v>571512028</v>
      </c>
      <c r="H782" s="1665">
        <v>552702098</v>
      </c>
      <c r="I782" s="101">
        <v>571512028</v>
      </c>
      <c r="J782" s="101">
        <v>552702098</v>
      </c>
    </row>
    <row r="783" spans="1:10">
      <c r="A783" t="s">
        <v>1639</v>
      </c>
      <c r="B783" t="s">
        <v>7871</v>
      </c>
      <c r="C783" s="1665">
        <v>9083141763</v>
      </c>
      <c r="D783" s="1665">
        <v>8791688411</v>
      </c>
      <c r="E783" s="1665">
        <v>9083141763</v>
      </c>
      <c r="F783" s="1665">
        <v>8791688411</v>
      </c>
      <c r="G783" s="1665">
        <v>9083141763</v>
      </c>
      <c r="H783" s="1665">
        <v>8791688411</v>
      </c>
      <c r="I783" s="101">
        <v>9083141763</v>
      </c>
      <c r="J783" s="101">
        <v>8791688411</v>
      </c>
    </row>
    <row r="784" spans="1:10">
      <c r="A784" t="s">
        <v>199</v>
      </c>
      <c r="B784" t="s">
        <v>7872</v>
      </c>
      <c r="C784" s="1665">
        <v>279876761</v>
      </c>
      <c r="D784" s="1665">
        <v>267298833</v>
      </c>
      <c r="E784" s="1665">
        <v>279876761</v>
      </c>
      <c r="F784" s="1665">
        <v>267298833</v>
      </c>
      <c r="G784" s="1665">
        <v>279876761</v>
      </c>
      <c r="H784" s="1665">
        <v>267298833</v>
      </c>
      <c r="I784" s="101">
        <v>279876761</v>
      </c>
      <c r="J784" s="101">
        <v>267298833</v>
      </c>
    </row>
    <row r="785" spans="1:10">
      <c r="A785" t="s">
        <v>572</v>
      </c>
      <c r="B785" t="s">
        <v>7312</v>
      </c>
      <c r="C785" s="1665">
        <v>1282225905</v>
      </c>
      <c r="D785" s="1665">
        <v>1280735012</v>
      </c>
      <c r="E785" s="1665">
        <v>1282225905</v>
      </c>
      <c r="F785" s="1665">
        <v>1280735012</v>
      </c>
      <c r="G785" s="1665">
        <v>1282225905</v>
      </c>
      <c r="H785" s="1665">
        <v>1280735012</v>
      </c>
      <c r="I785" s="101">
        <v>1282225905</v>
      </c>
      <c r="J785" s="101">
        <v>1280735012</v>
      </c>
    </row>
    <row r="786" spans="1:10">
      <c r="A786" t="s">
        <v>2181</v>
      </c>
      <c r="B786" t="s">
        <v>7873</v>
      </c>
      <c r="C786" s="1665">
        <v>1315658663</v>
      </c>
      <c r="D786" s="1665">
        <v>1301437554</v>
      </c>
      <c r="E786" s="1665">
        <v>1315658663</v>
      </c>
      <c r="F786" s="1665">
        <v>1301437554</v>
      </c>
      <c r="G786" s="1665">
        <v>1315658663</v>
      </c>
      <c r="H786" s="1665">
        <v>1301437554</v>
      </c>
      <c r="I786" s="101">
        <v>1315658663</v>
      </c>
      <c r="J786" s="101">
        <v>1301437554</v>
      </c>
    </row>
    <row r="787" spans="1:10">
      <c r="A787" t="s">
        <v>1468</v>
      </c>
      <c r="B787" t="s">
        <v>7874</v>
      </c>
      <c r="C787" s="1665">
        <v>400324931</v>
      </c>
      <c r="D787" s="1665">
        <v>394897162</v>
      </c>
      <c r="E787" s="1665">
        <v>400324931</v>
      </c>
      <c r="F787" s="1665">
        <v>394897162</v>
      </c>
      <c r="G787" s="1665">
        <v>400324931</v>
      </c>
      <c r="H787" s="1665">
        <v>394897162</v>
      </c>
      <c r="I787" s="101">
        <v>400324931</v>
      </c>
      <c r="J787" s="101">
        <v>394897162</v>
      </c>
    </row>
    <row r="788" spans="1:10">
      <c r="A788" t="s">
        <v>217</v>
      </c>
      <c r="B788" t="s">
        <v>7875</v>
      </c>
      <c r="C788" s="1665">
        <v>187709156</v>
      </c>
      <c r="D788" s="1665">
        <v>180039260</v>
      </c>
      <c r="E788" s="1665">
        <v>187709156</v>
      </c>
      <c r="F788" s="1665">
        <v>180039260</v>
      </c>
      <c r="G788" s="1665">
        <v>187709156</v>
      </c>
      <c r="H788" s="1665">
        <v>180039260</v>
      </c>
      <c r="I788" s="101">
        <v>187709156</v>
      </c>
      <c r="J788" s="101">
        <v>180039260</v>
      </c>
    </row>
    <row r="789" spans="1:10">
      <c r="A789" t="s">
        <v>1289</v>
      </c>
      <c r="B789" t="s">
        <v>7876</v>
      </c>
      <c r="C789" s="1665">
        <v>650273267</v>
      </c>
      <c r="D789" s="1665">
        <v>625684499</v>
      </c>
      <c r="E789" s="1665">
        <v>650273267</v>
      </c>
      <c r="F789" s="1665">
        <v>625684499</v>
      </c>
      <c r="G789" s="1665">
        <v>650273267</v>
      </c>
      <c r="H789" s="1665">
        <v>625684499</v>
      </c>
      <c r="I789" s="101">
        <v>650273267</v>
      </c>
      <c r="J789" s="101">
        <v>625684499</v>
      </c>
    </row>
    <row r="790" spans="1:10">
      <c r="A790" t="s">
        <v>1290</v>
      </c>
      <c r="B790" t="s">
        <v>7877</v>
      </c>
      <c r="C790" s="1665">
        <v>5026303011</v>
      </c>
      <c r="D790" s="1665">
        <v>4904011570</v>
      </c>
      <c r="E790" s="1665">
        <v>5026303011</v>
      </c>
      <c r="F790" s="1665">
        <v>4904011570</v>
      </c>
      <c r="G790" s="1665">
        <v>5146604471</v>
      </c>
      <c r="H790" s="1665">
        <v>5024313030</v>
      </c>
      <c r="I790" s="101">
        <v>5146604471</v>
      </c>
      <c r="J790" s="101">
        <v>5024313030</v>
      </c>
    </row>
    <row r="791" spans="1:10">
      <c r="A791" t="s">
        <v>2522</v>
      </c>
      <c r="B791" t="s">
        <v>7878</v>
      </c>
      <c r="C791" s="1665">
        <v>2958886195</v>
      </c>
      <c r="D791" s="1665">
        <v>2953324076</v>
      </c>
      <c r="E791" s="1665">
        <v>2954558563</v>
      </c>
      <c r="F791" s="1665">
        <v>2948996444</v>
      </c>
      <c r="G791" s="1665">
        <v>3192755563</v>
      </c>
      <c r="H791" s="1665">
        <v>3187193444</v>
      </c>
      <c r="I791" s="101">
        <v>3197083195</v>
      </c>
      <c r="J791" s="101">
        <v>3191521076</v>
      </c>
    </row>
    <row r="792" spans="1:10">
      <c r="A792" t="s">
        <v>792</v>
      </c>
      <c r="B792" t="s">
        <v>7879</v>
      </c>
      <c r="C792" s="1665">
        <v>427604907</v>
      </c>
      <c r="D792" s="1665">
        <v>422524772</v>
      </c>
      <c r="E792" s="1665">
        <v>427604907</v>
      </c>
      <c r="F792" s="1665">
        <v>422524772</v>
      </c>
      <c r="G792" s="1665">
        <v>427604907</v>
      </c>
      <c r="H792" s="1665">
        <v>422524772</v>
      </c>
      <c r="I792" s="101">
        <v>427604907</v>
      </c>
      <c r="J792" s="101">
        <v>422524772</v>
      </c>
    </row>
    <row r="793" spans="1:10">
      <c r="A793" t="s">
        <v>114</v>
      </c>
      <c r="B793" t="s">
        <v>7880</v>
      </c>
      <c r="C793" s="1665">
        <v>54168880</v>
      </c>
      <c r="D793" s="1665">
        <v>50393791</v>
      </c>
      <c r="E793" s="1665">
        <v>54168880</v>
      </c>
      <c r="F793" s="1665">
        <v>50393791</v>
      </c>
      <c r="G793" s="1665">
        <v>54168880</v>
      </c>
      <c r="H793" s="1665">
        <v>50393791</v>
      </c>
      <c r="I793" s="101">
        <v>54168880</v>
      </c>
      <c r="J793" s="101">
        <v>50393791</v>
      </c>
    </row>
    <row r="794" spans="1:10">
      <c r="A794" t="s">
        <v>2654</v>
      </c>
      <c r="B794" t="s">
        <v>7881</v>
      </c>
      <c r="C794" s="1665">
        <v>223844498</v>
      </c>
      <c r="D794" s="1665">
        <v>215464404</v>
      </c>
      <c r="E794" s="1665">
        <v>223844498</v>
      </c>
      <c r="F794" s="1665">
        <v>215464404</v>
      </c>
      <c r="G794" s="1665">
        <v>223844498</v>
      </c>
      <c r="H794" s="1665">
        <v>215464404</v>
      </c>
      <c r="I794" s="101">
        <v>223844498</v>
      </c>
      <c r="J794" s="101">
        <v>215464404</v>
      </c>
    </row>
    <row r="795" spans="1:10">
      <c r="A795" t="s">
        <v>2274</v>
      </c>
      <c r="B795" t="s">
        <v>7882</v>
      </c>
      <c r="C795" s="1665">
        <v>225487819</v>
      </c>
      <c r="D795" s="1665">
        <v>213470519</v>
      </c>
      <c r="E795" s="1665">
        <v>225487819</v>
      </c>
      <c r="F795" s="1665">
        <v>213470519</v>
      </c>
      <c r="G795" s="1665">
        <v>225487819</v>
      </c>
      <c r="H795" s="1665">
        <v>213470519</v>
      </c>
      <c r="I795" s="101">
        <v>225487819</v>
      </c>
      <c r="J795" s="101">
        <v>213470519</v>
      </c>
    </row>
    <row r="796" spans="1:10">
      <c r="A796" t="s">
        <v>377</v>
      </c>
      <c r="B796" t="s">
        <v>7883</v>
      </c>
      <c r="C796" s="1665">
        <v>72700228</v>
      </c>
      <c r="D796" s="1665">
        <v>68044796</v>
      </c>
      <c r="E796" s="1665">
        <v>72700228</v>
      </c>
      <c r="F796" s="1665">
        <v>68044796</v>
      </c>
      <c r="G796" s="1665">
        <v>72700228</v>
      </c>
      <c r="H796" s="1665">
        <v>68044796</v>
      </c>
      <c r="I796" s="101">
        <v>72700228</v>
      </c>
      <c r="J796" s="101">
        <v>68044796</v>
      </c>
    </row>
    <row r="797" spans="1:10">
      <c r="A797" t="s">
        <v>986</v>
      </c>
      <c r="B797" t="s">
        <v>7884</v>
      </c>
      <c r="C797" s="1665">
        <v>12167667747</v>
      </c>
      <c r="D797" s="1665">
        <v>12146877782</v>
      </c>
      <c r="E797" s="1665">
        <v>12167667747</v>
      </c>
      <c r="F797" s="1665">
        <v>12146877782</v>
      </c>
      <c r="G797" s="1665">
        <v>12853069220</v>
      </c>
      <c r="H797" s="1665">
        <v>12832279255</v>
      </c>
      <c r="I797" s="101">
        <v>12853069220</v>
      </c>
      <c r="J797" s="101">
        <v>12832279255</v>
      </c>
    </row>
    <row r="798" spans="1:10">
      <c r="A798" t="s">
        <v>1716</v>
      </c>
      <c r="B798" t="s">
        <v>7885</v>
      </c>
      <c r="C798" s="1665">
        <v>105526727</v>
      </c>
      <c r="D798" s="1665">
        <v>104440633</v>
      </c>
      <c r="E798" s="1665">
        <v>105526727</v>
      </c>
      <c r="F798" s="1665">
        <v>104440633</v>
      </c>
      <c r="G798" s="1665">
        <v>105526727</v>
      </c>
      <c r="H798" s="1665">
        <v>104440633</v>
      </c>
      <c r="I798" s="101">
        <v>105526727</v>
      </c>
      <c r="J798" s="101">
        <v>104440633</v>
      </c>
    </row>
    <row r="799" spans="1:10">
      <c r="A799" t="s">
        <v>695</v>
      </c>
      <c r="B799" t="s">
        <v>7886</v>
      </c>
      <c r="C799" s="1665">
        <v>212682332</v>
      </c>
      <c r="D799" s="1665">
        <v>211046242</v>
      </c>
      <c r="E799" s="1665">
        <v>211475732</v>
      </c>
      <c r="F799" s="1665">
        <v>209839642</v>
      </c>
      <c r="G799" s="1665">
        <v>211475732</v>
      </c>
      <c r="H799" s="1665">
        <v>209839642</v>
      </c>
      <c r="I799" s="101">
        <v>212682332</v>
      </c>
      <c r="J799" s="101">
        <v>211046242</v>
      </c>
    </row>
    <row r="800" spans="1:10">
      <c r="A800" t="s">
        <v>696</v>
      </c>
      <c r="B800" t="s">
        <v>7887</v>
      </c>
      <c r="C800" s="1665">
        <v>281281597</v>
      </c>
      <c r="D800" s="1665">
        <v>275605327</v>
      </c>
      <c r="E800" s="1665">
        <v>281281597</v>
      </c>
      <c r="F800" s="1665">
        <v>275605327</v>
      </c>
      <c r="G800" s="1665">
        <v>281281597</v>
      </c>
      <c r="H800" s="1665">
        <v>275605327</v>
      </c>
      <c r="I800" s="101">
        <v>281281597</v>
      </c>
      <c r="J800" s="101">
        <v>275605327</v>
      </c>
    </row>
    <row r="801" spans="1:10">
      <c r="A801" t="s">
        <v>697</v>
      </c>
      <c r="B801" t="s">
        <v>7888</v>
      </c>
      <c r="C801" s="1665">
        <v>353996703</v>
      </c>
      <c r="D801" s="1665">
        <v>347062254</v>
      </c>
      <c r="E801" s="1665">
        <v>353996703</v>
      </c>
      <c r="F801" s="1665">
        <v>347062254</v>
      </c>
      <c r="G801" s="1665">
        <v>353996703</v>
      </c>
      <c r="H801" s="1665">
        <v>347062254</v>
      </c>
      <c r="I801" s="101">
        <v>353996703</v>
      </c>
      <c r="J801" s="101">
        <v>347062254</v>
      </c>
    </row>
    <row r="802" spans="1:10">
      <c r="A802" t="s">
        <v>1457</v>
      </c>
      <c r="B802" t="s">
        <v>7889</v>
      </c>
      <c r="C802" s="1665">
        <v>507799696</v>
      </c>
      <c r="D802" s="1665">
        <v>505807476</v>
      </c>
      <c r="E802" s="1665">
        <v>506801518</v>
      </c>
      <c r="F802" s="1665">
        <v>504809298</v>
      </c>
      <c r="G802" s="1665">
        <v>660818968</v>
      </c>
      <c r="H802" s="1665">
        <v>658826748</v>
      </c>
      <c r="I802" s="101">
        <v>661817146</v>
      </c>
      <c r="J802" s="101">
        <v>659824926</v>
      </c>
    </row>
    <row r="803" spans="1:10">
      <c r="A803" t="s">
        <v>1458</v>
      </c>
      <c r="B803" t="s">
        <v>7890</v>
      </c>
      <c r="C803" s="1665">
        <v>279980546</v>
      </c>
      <c r="D803" s="1665">
        <v>275021112</v>
      </c>
      <c r="E803" s="1665">
        <v>279980546</v>
      </c>
      <c r="F803" s="1665">
        <v>275021112</v>
      </c>
      <c r="G803" s="1665">
        <v>279980546</v>
      </c>
      <c r="H803" s="1665">
        <v>275021112</v>
      </c>
      <c r="I803" s="101">
        <v>279980546</v>
      </c>
      <c r="J803" s="101">
        <v>275021112</v>
      </c>
    </row>
    <row r="804" spans="1:10">
      <c r="A804" t="s">
        <v>1459</v>
      </c>
      <c r="B804" t="s">
        <v>7891</v>
      </c>
      <c r="C804" s="1665">
        <v>119352487</v>
      </c>
      <c r="D804" s="1665">
        <v>116645985</v>
      </c>
      <c r="E804" s="1665">
        <v>119352487</v>
      </c>
      <c r="F804" s="1665">
        <v>116645985</v>
      </c>
      <c r="G804" s="1665">
        <v>119352487</v>
      </c>
      <c r="H804" s="1665">
        <v>116645985</v>
      </c>
      <c r="I804" s="101">
        <v>119352487</v>
      </c>
      <c r="J804" s="101">
        <v>116645985</v>
      </c>
    </row>
    <row r="805" spans="1:10">
      <c r="A805" t="s">
        <v>1460</v>
      </c>
      <c r="B805" t="s">
        <v>7892</v>
      </c>
      <c r="C805" s="1665">
        <v>1711774039</v>
      </c>
      <c r="D805" s="1665">
        <v>1698921274</v>
      </c>
      <c r="E805" s="1665">
        <v>1711774039</v>
      </c>
      <c r="F805" s="1665">
        <v>1698921274</v>
      </c>
      <c r="G805" s="1665">
        <v>1711774039</v>
      </c>
      <c r="H805" s="1665">
        <v>1698921274</v>
      </c>
      <c r="I805" s="101">
        <v>1711774039</v>
      </c>
      <c r="J805" s="101">
        <v>1698921274</v>
      </c>
    </row>
    <row r="806" spans="1:10">
      <c r="A806" t="s">
        <v>1461</v>
      </c>
      <c r="B806" t="s">
        <v>7893</v>
      </c>
      <c r="C806" s="1665">
        <v>414521127</v>
      </c>
      <c r="D806" s="1665">
        <v>401763325</v>
      </c>
      <c r="E806" s="1665">
        <v>414521127</v>
      </c>
      <c r="F806" s="1665">
        <v>401763325</v>
      </c>
      <c r="G806" s="1665">
        <v>414521127</v>
      </c>
      <c r="H806" s="1665">
        <v>401763325</v>
      </c>
      <c r="I806" s="101">
        <v>414521127</v>
      </c>
      <c r="J806" s="101">
        <v>401763325</v>
      </c>
    </row>
    <row r="807" spans="1:10">
      <c r="A807" t="s">
        <v>1462</v>
      </c>
      <c r="B807" t="s">
        <v>7894</v>
      </c>
      <c r="C807" s="1665">
        <v>55824661</v>
      </c>
      <c r="D807" s="1665">
        <v>55546246</v>
      </c>
      <c r="E807" s="1665">
        <v>55824661</v>
      </c>
      <c r="F807" s="1665">
        <v>55546246</v>
      </c>
      <c r="G807" s="1665">
        <v>55824661</v>
      </c>
      <c r="H807" s="1665">
        <v>55546246</v>
      </c>
      <c r="I807" s="101">
        <v>55824661</v>
      </c>
      <c r="J807" s="101">
        <v>55546246</v>
      </c>
    </row>
    <row r="808" spans="1:10">
      <c r="A808" t="s">
        <v>1672</v>
      </c>
      <c r="B808" t="s">
        <v>7895</v>
      </c>
      <c r="C808" s="1665">
        <v>9710060720</v>
      </c>
      <c r="D808" s="1665">
        <v>9522067829</v>
      </c>
      <c r="E808" s="1665">
        <v>9710060720</v>
      </c>
      <c r="F808" s="1665">
        <v>9522067829</v>
      </c>
      <c r="G808" s="1665">
        <v>9710060720</v>
      </c>
      <c r="H808" s="1665">
        <v>9522067829</v>
      </c>
      <c r="I808" s="101">
        <v>9710060720</v>
      </c>
      <c r="J808" s="101">
        <v>9522067829</v>
      </c>
    </row>
    <row r="809" spans="1:10">
      <c r="A809" t="s">
        <v>1812</v>
      </c>
      <c r="B809" t="s">
        <v>7896</v>
      </c>
      <c r="C809" s="1665">
        <v>1991748031</v>
      </c>
      <c r="D809" s="1665">
        <v>1935233592</v>
      </c>
      <c r="E809" s="1665">
        <v>1991748031</v>
      </c>
      <c r="F809" s="1665">
        <v>1935233592</v>
      </c>
      <c r="G809" s="1665">
        <v>1991748031</v>
      </c>
      <c r="H809" s="1665">
        <v>1935233592</v>
      </c>
      <c r="I809" s="101">
        <v>1991748031</v>
      </c>
      <c r="J809" s="101">
        <v>1935233592</v>
      </c>
    </row>
    <row r="810" spans="1:10">
      <c r="A810" t="s">
        <v>1673</v>
      </c>
      <c r="B810" t="s">
        <v>7897</v>
      </c>
      <c r="C810" s="1665">
        <v>326772572</v>
      </c>
      <c r="D810" s="1665">
        <v>313937481</v>
      </c>
      <c r="E810" s="1665">
        <v>326772572</v>
      </c>
      <c r="F810" s="1665">
        <v>313937481</v>
      </c>
      <c r="G810" s="1665">
        <v>326772572</v>
      </c>
      <c r="H810" s="1665">
        <v>313937481</v>
      </c>
      <c r="I810" s="101">
        <v>326772572</v>
      </c>
      <c r="J810" s="101">
        <v>313937481</v>
      </c>
    </row>
    <row r="811" spans="1:10">
      <c r="A811" t="s">
        <v>378</v>
      </c>
      <c r="B811" t="s">
        <v>7898</v>
      </c>
      <c r="C811" s="1665">
        <v>98734157</v>
      </c>
      <c r="D811" s="1665">
        <v>94523517</v>
      </c>
      <c r="E811" s="1665">
        <v>98734157</v>
      </c>
      <c r="F811" s="1665">
        <v>94523517</v>
      </c>
      <c r="G811" s="1665">
        <v>98734157</v>
      </c>
      <c r="H811" s="1665">
        <v>94523517</v>
      </c>
      <c r="I811" s="101">
        <v>98734157</v>
      </c>
      <c r="J811" s="101">
        <v>94523517</v>
      </c>
    </row>
    <row r="812" spans="1:10">
      <c r="A812" t="s">
        <v>1183</v>
      </c>
      <c r="B812" t="s">
        <v>7899</v>
      </c>
      <c r="C812" s="1665">
        <v>222600614</v>
      </c>
      <c r="D812" s="1665">
        <v>214973062</v>
      </c>
      <c r="E812" s="1665">
        <v>222600614</v>
      </c>
      <c r="F812" s="1665">
        <v>214973062</v>
      </c>
      <c r="G812" s="1665">
        <v>222600614</v>
      </c>
      <c r="H812" s="1665">
        <v>214973062</v>
      </c>
      <c r="I812" s="101">
        <v>222600614</v>
      </c>
      <c r="J812" s="101">
        <v>214973062</v>
      </c>
    </row>
    <row r="813" spans="1:10">
      <c r="A813" t="s">
        <v>379</v>
      </c>
      <c r="B813" t="s">
        <v>7900</v>
      </c>
      <c r="C813" s="1665">
        <v>10873912</v>
      </c>
      <c r="D813" s="1665">
        <v>10580162</v>
      </c>
      <c r="E813" s="1665">
        <v>10873912</v>
      </c>
      <c r="F813" s="1665">
        <v>10580162</v>
      </c>
      <c r="G813" s="1665">
        <v>10873912</v>
      </c>
      <c r="H813" s="1665">
        <v>10580162</v>
      </c>
      <c r="I813" s="101">
        <v>10873912</v>
      </c>
      <c r="J813" s="101">
        <v>10580162</v>
      </c>
    </row>
    <row r="814" spans="1:10">
      <c r="A814" t="s">
        <v>1674</v>
      </c>
      <c r="B814" t="s">
        <v>7901</v>
      </c>
      <c r="C814" s="1665">
        <v>1531994914</v>
      </c>
      <c r="D814" s="1665">
        <v>1531994914</v>
      </c>
      <c r="E814" s="1665">
        <v>1474717554</v>
      </c>
      <c r="F814" s="1665">
        <v>1474717554</v>
      </c>
      <c r="G814" s="1665">
        <v>1474717554</v>
      </c>
      <c r="H814" s="1665">
        <v>1474717554</v>
      </c>
      <c r="I814" s="101">
        <v>1531994914</v>
      </c>
      <c r="J814" s="101">
        <v>1531994914</v>
      </c>
    </row>
    <row r="815" spans="1:10">
      <c r="A815" t="s">
        <v>1675</v>
      </c>
      <c r="B815" t="s">
        <v>7902</v>
      </c>
      <c r="C815" s="1665">
        <v>90610270</v>
      </c>
      <c r="D815" s="1665">
        <v>90610270</v>
      </c>
      <c r="E815" s="1665">
        <v>86959110</v>
      </c>
      <c r="F815" s="1665">
        <v>86959110</v>
      </c>
      <c r="G815" s="1665">
        <v>86959110</v>
      </c>
      <c r="H815" s="1665">
        <v>86959110</v>
      </c>
      <c r="I815" s="101">
        <v>90610270</v>
      </c>
      <c r="J815" s="101">
        <v>90610270</v>
      </c>
    </row>
    <row r="816" spans="1:10">
      <c r="A816" t="s">
        <v>1676</v>
      </c>
      <c r="B816" t="s">
        <v>7903</v>
      </c>
      <c r="C816" s="1665">
        <v>30687149</v>
      </c>
      <c r="D816" s="1665">
        <v>30687149</v>
      </c>
      <c r="E816" s="1665">
        <v>29510164</v>
      </c>
      <c r="F816" s="1665">
        <v>29510164</v>
      </c>
      <c r="G816" s="1665">
        <v>29510164</v>
      </c>
      <c r="H816" s="1665">
        <v>29510164</v>
      </c>
      <c r="I816" s="101">
        <v>30687149</v>
      </c>
      <c r="J816" s="101">
        <v>30687149</v>
      </c>
    </row>
    <row r="817" spans="1:10">
      <c r="A817" t="s">
        <v>2470</v>
      </c>
      <c r="B817" t="s">
        <v>7904</v>
      </c>
      <c r="C817" s="1665">
        <v>61582433</v>
      </c>
      <c r="D817" s="1665">
        <v>61582433</v>
      </c>
      <c r="E817" s="1665">
        <v>57459623</v>
      </c>
      <c r="F817" s="1665">
        <v>57459623</v>
      </c>
      <c r="G817" s="1665">
        <v>57459623</v>
      </c>
      <c r="H817" s="1665">
        <v>57459623</v>
      </c>
      <c r="I817" s="101">
        <v>61582433</v>
      </c>
      <c r="J817" s="101">
        <v>61582433</v>
      </c>
    </row>
    <row r="818" spans="1:10">
      <c r="A818" t="s">
        <v>2471</v>
      </c>
      <c r="B818" t="s">
        <v>7905</v>
      </c>
      <c r="C818" s="1665">
        <v>75215511</v>
      </c>
      <c r="D818" s="1665">
        <v>75215511</v>
      </c>
      <c r="E818" s="1665">
        <v>70489801</v>
      </c>
      <c r="F818" s="1665">
        <v>70489801</v>
      </c>
      <c r="G818" s="1665">
        <v>70489801</v>
      </c>
      <c r="H818" s="1665">
        <v>70489801</v>
      </c>
      <c r="I818" s="101">
        <v>75215511</v>
      </c>
      <c r="J818" s="101">
        <v>75215511</v>
      </c>
    </row>
    <row r="819" spans="1:10">
      <c r="A819" t="s">
        <v>1677</v>
      </c>
      <c r="B819" t="s">
        <v>7906</v>
      </c>
      <c r="C819" s="1665">
        <v>820098059</v>
      </c>
      <c r="D819" s="1665">
        <v>819635289</v>
      </c>
      <c r="E819" s="1665">
        <v>802267419</v>
      </c>
      <c r="F819" s="1665">
        <v>801804649</v>
      </c>
      <c r="G819" s="1665">
        <v>802267419</v>
      </c>
      <c r="H819" s="1665">
        <v>801804649</v>
      </c>
      <c r="I819" s="101">
        <v>820098059</v>
      </c>
      <c r="J819" s="101">
        <v>819635289</v>
      </c>
    </row>
    <row r="820" spans="1:10">
      <c r="A820" t="s">
        <v>190</v>
      </c>
      <c r="B820" t="s">
        <v>7907</v>
      </c>
      <c r="C820" s="1665">
        <v>128337246</v>
      </c>
      <c r="D820" s="1665">
        <v>126963780</v>
      </c>
      <c r="E820" s="1665">
        <v>123797394</v>
      </c>
      <c r="F820" s="1665">
        <v>122423928</v>
      </c>
      <c r="G820" s="1665">
        <v>123797394</v>
      </c>
      <c r="H820" s="1665">
        <v>122423928</v>
      </c>
      <c r="I820" s="101">
        <v>128337246</v>
      </c>
      <c r="J820" s="101">
        <v>126963780</v>
      </c>
    </row>
    <row r="821" spans="1:10">
      <c r="A821" t="s">
        <v>1678</v>
      </c>
      <c r="B821" t="s">
        <v>7908</v>
      </c>
      <c r="C821" s="1665">
        <v>363511121</v>
      </c>
      <c r="D821" s="1665">
        <v>363511121</v>
      </c>
      <c r="E821" s="1665">
        <v>352668746</v>
      </c>
      <c r="F821" s="1665">
        <v>352668746</v>
      </c>
      <c r="G821" s="1665">
        <v>352668746</v>
      </c>
      <c r="H821" s="1665">
        <v>352668746</v>
      </c>
      <c r="I821" s="101">
        <v>363511121</v>
      </c>
      <c r="J821" s="101">
        <v>363511121</v>
      </c>
    </row>
    <row r="822" spans="1:10">
      <c r="A822" t="s">
        <v>1395</v>
      </c>
      <c r="B822" t="s">
        <v>7909</v>
      </c>
      <c r="C822" s="1665">
        <v>648166448</v>
      </c>
      <c r="D822" s="1665">
        <v>626867117</v>
      </c>
      <c r="E822" s="1665">
        <v>648166448</v>
      </c>
      <c r="F822" s="1665">
        <v>626867117</v>
      </c>
      <c r="G822" s="1665">
        <v>648166448</v>
      </c>
      <c r="H822" s="1665">
        <v>626867117</v>
      </c>
      <c r="I822" s="101">
        <v>648166448</v>
      </c>
      <c r="J822" s="101">
        <v>626867117</v>
      </c>
    </row>
    <row r="823" spans="1:10">
      <c r="A823" t="s">
        <v>1396</v>
      </c>
      <c r="B823" t="s">
        <v>7910</v>
      </c>
      <c r="C823" s="1665">
        <v>130458850</v>
      </c>
      <c r="D823" s="1665">
        <v>125274692</v>
      </c>
      <c r="E823" s="1665">
        <v>126700858</v>
      </c>
      <c r="F823" s="1665">
        <v>121516700</v>
      </c>
      <c r="G823" s="1665">
        <v>126700858</v>
      </c>
      <c r="H823" s="1665">
        <v>121516700</v>
      </c>
      <c r="I823" s="101">
        <v>130458850</v>
      </c>
      <c r="J823" s="101">
        <v>125274692</v>
      </c>
    </row>
    <row r="824" spans="1:10">
      <c r="A824" t="s">
        <v>1397</v>
      </c>
      <c r="B824" t="s">
        <v>7911</v>
      </c>
      <c r="C824" s="1665">
        <v>388478424</v>
      </c>
      <c r="D824" s="1665">
        <v>380359614</v>
      </c>
      <c r="E824" s="1665">
        <v>388478424</v>
      </c>
      <c r="F824" s="1665">
        <v>380359614</v>
      </c>
      <c r="G824" s="1665">
        <v>388478424</v>
      </c>
      <c r="H824" s="1665">
        <v>380359614</v>
      </c>
      <c r="I824" s="101">
        <v>388478424</v>
      </c>
      <c r="J824" s="101">
        <v>380359614</v>
      </c>
    </row>
    <row r="825" spans="1:10">
      <c r="A825" t="s">
        <v>1632</v>
      </c>
      <c r="B825" t="s">
        <v>7912</v>
      </c>
      <c r="C825" s="1665">
        <v>404033763</v>
      </c>
      <c r="D825" s="1665">
        <v>398483513</v>
      </c>
      <c r="E825" s="1665">
        <v>404033763</v>
      </c>
      <c r="F825" s="1665">
        <v>398483513</v>
      </c>
      <c r="G825" s="1665">
        <v>404033763</v>
      </c>
      <c r="H825" s="1665">
        <v>398483513</v>
      </c>
      <c r="I825" s="101">
        <v>404033763</v>
      </c>
      <c r="J825" s="101">
        <v>398483513</v>
      </c>
    </row>
    <row r="826" spans="1:10">
      <c r="A826" t="s">
        <v>1633</v>
      </c>
      <c r="B826" t="s">
        <v>7913</v>
      </c>
      <c r="C826" s="1665">
        <v>1271949220</v>
      </c>
      <c r="D826" s="1665">
        <v>1238050565</v>
      </c>
      <c r="E826" s="1665">
        <v>1271949220</v>
      </c>
      <c r="F826" s="1665">
        <v>1238050565</v>
      </c>
      <c r="G826" s="1665">
        <v>1271949220</v>
      </c>
      <c r="H826" s="1665">
        <v>1238050565</v>
      </c>
      <c r="I826" s="101">
        <v>1271949220</v>
      </c>
      <c r="J826" s="101">
        <v>1238050565</v>
      </c>
    </row>
    <row r="827" spans="1:10">
      <c r="A827" t="s">
        <v>2433</v>
      </c>
      <c r="B827" t="s">
        <v>7914</v>
      </c>
      <c r="C827" s="1665">
        <v>391607886</v>
      </c>
      <c r="D827" s="1665">
        <v>377280758</v>
      </c>
      <c r="E827" s="1665">
        <v>391607886</v>
      </c>
      <c r="F827" s="1665">
        <v>377280758</v>
      </c>
      <c r="G827" s="1665">
        <v>391607886</v>
      </c>
      <c r="H827" s="1665">
        <v>377280758</v>
      </c>
      <c r="I827" s="101">
        <v>391607886</v>
      </c>
      <c r="J827" s="101">
        <v>377280758</v>
      </c>
    </row>
    <row r="828" spans="1:10">
      <c r="A828" t="s">
        <v>1215</v>
      </c>
      <c r="B828" t="s">
        <v>7915</v>
      </c>
      <c r="C828" s="1665">
        <v>694668678</v>
      </c>
      <c r="D828" s="1665">
        <v>675348945</v>
      </c>
      <c r="E828" s="1665">
        <v>694668678</v>
      </c>
      <c r="F828" s="1665">
        <v>675348945</v>
      </c>
      <c r="G828" s="1665">
        <v>694668678</v>
      </c>
      <c r="H828" s="1665">
        <v>675348945</v>
      </c>
      <c r="I828" s="101">
        <v>694668678</v>
      </c>
      <c r="J828" s="101">
        <v>675348945</v>
      </c>
    </row>
    <row r="829" spans="1:10">
      <c r="A829" t="s">
        <v>2434</v>
      </c>
      <c r="B829" t="s">
        <v>7916</v>
      </c>
      <c r="C829" s="1665">
        <v>2062256331</v>
      </c>
      <c r="D829" s="1665">
        <v>2020538494</v>
      </c>
      <c r="E829" s="1665">
        <v>2062256331</v>
      </c>
      <c r="F829" s="1665">
        <v>2020538494</v>
      </c>
      <c r="G829" s="1665">
        <v>5162845501</v>
      </c>
      <c r="H829" s="1665">
        <v>5121127664</v>
      </c>
      <c r="I829" s="101">
        <v>5162845501</v>
      </c>
      <c r="J829" s="101">
        <v>5121127664</v>
      </c>
    </row>
    <row r="830" spans="1:10">
      <c r="A830" t="s">
        <v>1454</v>
      </c>
      <c r="B830" t="s">
        <v>7917</v>
      </c>
      <c r="C830" s="1665">
        <v>2032516404</v>
      </c>
      <c r="D830" s="1665">
        <v>2012575571</v>
      </c>
      <c r="E830" s="1665">
        <v>2032516404</v>
      </c>
      <c r="F830" s="1665">
        <v>2012575571</v>
      </c>
      <c r="G830" s="1665">
        <v>3019549224</v>
      </c>
      <c r="H830" s="1665">
        <v>2999608391</v>
      </c>
      <c r="I830" s="101">
        <v>3019549224</v>
      </c>
      <c r="J830" s="101">
        <v>2999608391</v>
      </c>
    </row>
    <row r="831" spans="1:10">
      <c r="A831" t="s">
        <v>2527</v>
      </c>
      <c r="B831" t="s">
        <v>7918</v>
      </c>
      <c r="C831" s="1665">
        <v>358644765</v>
      </c>
      <c r="D831" s="1665">
        <v>343034325</v>
      </c>
      <c r="E831" s="1665">
        <v>358644765</v>
      </c>
      <c r="F831" s="1665">
        <v>343034325</v>
      </c>
      <c r="G831" s="1665">
        <v>358644765</v>
      </c>
      <c r="H831" s="1665">
        <v>343034325</v>
      </c>
      <c r="I831" s="101">
        <v>358644765</v>
      </c>
      <c r="J831" s="101">
        <v>343034325</v>
      </c>
    </row>
    <row r="832" spans="1:10">
      <c r="A832" t="s">
        <v>1411</v>
      </c>
      <c r="B832" t="s">
        <v>7919</v>
      </c>
      <c r="C832" s="1665">
        <v>286009706</v>
      </c>
      <c r="D832" s="1665">
        <v>275640224</v>
      </c>
      <c r="E832" s="1665">
        <v>286009706</v>
      </c>
      <c r="F832" s="1665">
        <v>275640224</v>
      </c>
      <c r="G832" s="1665">
        <v>320149906</v>
      </c>
      <c r="H832" s="1665">
        <v>309780424</v>
      </c>
      <c r="I832" s="101">
        <v>320149906</v>
      </c>
      <c r="J832" s="101">
        <v>309780424</v>
      </c>
    </row>
    <row r="833" spans="1:10">
      <c r="A833" t="s">
        <v>1317</v>
      </c>
      <c r="B833" t="s">
        <v>7920</v>
      </c>
      <c r="C833" s="1665">
        <v>530803350</v>
      </c>
      <c r="D833" s="1665">
        <v>514046286</v>
      </c>
      <c r="E833" s="1665">
        <v>530803350</v>
      </c>
      <c r="F833" s="1665">
        <v>514046286</v>
      </c>
      <c r="G833" s="1665">
        <v>575129750</v>
      </c>
      <c r="H833" s="1665">
        <v>558372686</v>
      </c>
      <c r="I833" s="101">
        <v>575129750</v>
      </c>
      <c r="J833" s="101">
        <v>558372686</v>
      </c>
    </row>
    <row r="834" spans="1:10">
      <c r="A834" t="s">
        <v>191</v>
      </c>
      <c r="B834" t="s">
        <v>7921</v>
      </c>
      <c r="C834" s="1665">
        <v>353145946</v>
      </c>
      <c r="D834" s="1665">
        <v>343949350</v>
      </c>
      <c r="E834" s="1665">
        <v>353145946</v>
      </c>
      <c r="F834" s="1665">
        <v>343949350</v>
      </c>
      <c r="G834" s="1665">
        <v>524042846</v>
      </c>
      <c r="H834" s="1665">
        <v>514846250</v>
      </c>
      <c r="I834" s="101">
        <v>524042846</v>
      </c>
      <c r="J834" s="101">
        <v>514846250</v>
      </c>
    </row>
    <row r="835" spans="1:10">
      <c r="A835" t="s">
        <v>489</v>
      </c>
      <c r="B835" t="s">
        <v>7922</v>
      </c>
      <c r="C835" s="1665">
        <v>279916672</v>
      </c>
      <c r="D835" s="1665">
        <v>270431822</v>
      </c>
      <c r="E835" s="1665">
        <v>279916672</v>
      </c>
      <c r="F835" s="1665">
        <v>270431822</v>
      </c>
      <c r="G835" s="1665">
        <v>279916672</v>
      </c>
      <c r="H835" s="1665">
        <v>270431822</v>
      </c>
      <c r="I835" s="101">
        <v>279916672</v>
      </c>
      <c r="J835" s="101">
        <v>270431822</v>
      </c>
    </row>
    <row r="836" spans="1:10">
      <c r="A836" t="s">
        <v>1455</v>
      </c>
      <c r="B836" t="s">
        <v>7923</v>
      </c>
      <c r="C836" s="1665">
        <v>91014012</v>
      </c>
      <c r="D836" s="1665">
        <v>88764242</v>
      </c>
      <c r="E836" s="1665">
        <v>91014012</v>
      </c>
      <c r="F836" s="1665">
        <v>88764242</v>
      </c>
      <c r="G836" s="1665">
        <v>91014012</v>
      </c>
      <c r="H836" s="1665">
        <v>88764242</v>
      </c>
      <c r="I836" s="101">
        <v>91014012</v>
      </c>
      <c r="J836" s="101">
        <v>88764242</v>
      </c>
    </row>
    <row r="837" spans="1:10">
      <c r="A837" t="s">
        <v>1456</v>
      </c>
      <c r="B837" t="s">
        <v>7924</v>
      </c>
      <c r="C837" s="1665">
        <v>64027517</v>
      </c>
      <c r="D837" s="1665">
        <v>62458597</v>
      </c>
      <c r="E837" s="1665">
        <v>64027517</v>
      </c>
      <c r="F837" s="1665">
        <v>62458597</v>
      </c>
      <c r="G837" s="1665">
        <v>64027517</v>
      </c>
      <c r="H837" s="1665">
        <v>62458597</v>
      </c>
      <c r="I837" s="101">
        <v>64027517</v>
      </c>
      <c r="J837" s="101">
        <v>62458597</v>
      </c>
    </row>
    <row r="838" spans="1:10">
      <c r="A838" t="s">
        <v>1377</v>
      </c>
      <c r="B838" t="s">
        <v>7925</v>
      </c>
      <c r="C838" s="1665">
        <v>281802029</v>
      </c>
      <c r="D838" s="1665">
        <v>276720608</v>
      </c>
      <c r="E838" s="1665">
        <v>278178248</v>
      </c>
      <c r="F838" s="1665">
        <v>273096827</v>
      </c>
      <c r="G838" s="1665">
        <v>279118608</v>
      </c>
      <c r="H838" s="1665">
        <v>274037187</v>
      </c>
      <c r="I838" s="101">
        <v>282742389</v>
      </c>
      <c r="J838" s="101">
        <v>277660968</v>
      </c>
    </row>
    <row r="839" spans="1:10">
      <c r="A839" t="s">
        <v>1378</v>
      </c>
      <c r="B839" t="s">
        <v>7926</v>
      </c>
      <c r="C839" s="1665">
        <v>193243545</v>
      </c>
      <c r="D839" s="1665">
        <v>191542584</v>
      </c>
      <c r="E839" s="1665">
        <v>193243545</v>
      </c>
      <c r="F839" s="1665">
        <v>191542584</v>
      </c>
      <c r="G839" s="1665">
        <v>282019775</v>
      </c>
      <c r="H839" s="1665">
        <v>280318814</v>
      </c>
      <c r="I839" s="101">
        <v>282019775</v>
      </c>
      <c r="J839" s="101">
        <v>280318814</v>
      </c>
    </row>
    <row r="840" spans="1:10">
      <c r="A840" t="s">
        <v>1379</v>
      </c>
      <c r="B840" t="s">
        <v>7927</v>
      </c>
      <c r="C840" s="1665">
        <v>2233564879</v>
      </c>
      <c r="D840" s="1665">
        <v>2203029355</v>
      </c>
      <c r="E840" s="1665">
        <v>2233564879</v>
      </c>
      <c r="F840" s="1665">
        <v>2203029355</v>
      </c>
      <c r="G840" s="1665">
        <v>2637520879</v>
      </c>
      <c r="H840" s="1665">
        <v>2606985355</v>
      </c>
      <c r="I840" s="101">
        <v>2637520879</v>
      </c>
      <c r="J840" s="101">
        <v>2606985355</v>
      </c>
    </row>
    <row r="841" spans="1:10">
      <c r="A841" t="s">
        <v>1473</v>
      </c>
      <c r="B841" t="s">
        <v>7928</v>
      </c>
      <c r="C841" s="1665">
        <v>136944960</v>
      </c>
      <c r="D841" s="1665">
        <v>135139547</v>
      </c>
      <c r="E841" s="1665">
        <v>136944960</v>
      </c>
      <c r="F841" s="1665">
        <v>135139547</v>
      </c>
      <c r="G841" s="1665">
        <v>136944960</v>
      </c>
      <c r="H841" s="1665">
        <v>135139547</v>
      </c>
      <c r="I841" s="101">
        <v>136944960</v>
      </c>
      <c r="J841" s="101">
        <v>135139547</v>
      </c>
    </row>
    <row r="842" spans="1:10">
      <c r="A842" t="s">
        <v>961</v>
      </c>
      <c r="B842" t="s">
        <v>7929</v>
      </c>
      <c r="C842" s="1665">
        <v>367069613</v>
      </c>
      <c r="D842" s="1665">
        <v>360847877</v>
      </c>
      <c r="E842" s="1665">
        <v>367069613</v>
      </c>
      <c r="F842" s="1665">
        <v>360847877</v>
      </c>
      <c r="G842" s="1665">
        <v>367069613</v>
      </c>
      <c r="H842" s="1665">
        <v>360847877</v>
      </c>
      <c r="I842" s="101">
        <v>367069613</v>
      </c>
      <c r="J842" s="101">
        <v>360847877</v>
      </c>
    </row>
    <row r="843" spans="1:10">
      <c r="A843" t="s">
        <v>962</v>
      </c>
      <c r="B843" t="s">
        <v>7930</v>
      </c>
      <c r="C843" s="1665">
        <v>64439826</v>
      </c>
      <c r="D843" s="1665">
        <v>63562083</v>
      </c>
      <c r="E843" s="1665">
        <v>64439826</v>
      </c>
      <c r="F843" s="1665">
        <v>63562083</v>
      </c>
      <c r="G843" s="1665">
        <v>64439826</v>
      </c>
      <c r="H843" s="1665">
        <v>63562083</v>
      </c>
      <c r="I843" s="101">
        <v>64439826</v>
      </c>
      <c r="J843" s="101">
        <v>63562083</v>
      </c>
    </row>
    <row r="844" spans="1:10">
      <c r="A844" t="s">
        <v>963</v>
      </c>
      <c r="B844" t="s">
        <v>7931</v>
      </c>
      <c r="C844" s="1665">
        <v>572887426</v>
      </c>
      <c r="D844" s="1665">
        <v>556947384</v>
      </c>
      <c r="E844" s="1665">
        <v>555340798</v>
      </c>
      <c r="F844" s="1665">
        <v>539400756</v>
      </c>
      <c r="G844" s="1665">
        <v>555340798</v>
      </c>
      <c r="H844" s="1665">
        <v>539400756</v>
      </c>
      <c r="I844" s="101">
        <v>572887426</v>
      </c>
      <c r="J844" s="101">
        <v>556947384</v>
      </c>
    </row>
    <row r="845" spans="1:10">
      <c r="A845" t="s">
        <v>1089</v>
      </c>
      <c r="B845" t="s">
        <v>7932</v>
      </c>
      <c r="C845" s="1665">
        <v>188894098</v>
      </c>
      <c r="D845" s="1665">
        <v>182888227</v>
      </c>
      <c r="E845" s="1665">
        <v>182683549</v>
      </c>
      <c r="F845" s="1665">
        <v>176677678</v>
      </c>
      <c r="G845" s="1665">
        <v>182683549</v>
      </c>
      <c r="H845" s="1665">
        <v>176677678</v>
      </c>
      <c r="I845" s="101">
        <v>188894098</v>
      </c>
      <c r="J845" s="101">
        <v>182888227</v>
      </c>
    </row>
    <row r="846" spans="1:10">
      <c r="A846" t="s">
        <v>192</v>
      </c>
      <c r="B846" t="s">
        <v>7933</v>
      </c>
      <c r="C846" s="1665">
        <v>226513942</v>
      </c>
      <c r="D846" s="1665">
        <v>220805163</v>
      </c>
      <c r="E846" s="1665">
        <v>226513942</v>
      </c>
      <c r="F846" s="1665">
        <v>220805163</v>
      </c>
      <c r="G846" s="1665">
        <v>226513942</v>
      </c>
      <c r="H846" s="1665">
        <v>220805163</v>
      </c>
      <c r="I846" s="101">
        <v>226513942</v>
      </c>
      <c r="J846" s="101">
        <v>220805163</v>
      </c>
    </row>
    <row r="847" spans="1:10">
      <c r="A847" t="s">
        <v>1090</v>
      </c>
      <c r="B847" t="s">
        <v>7934</v>
      </c>
      <c r="C847" s="1665">
        <v>107186868</v>
      </c>
      <c r="D847" s="1665">
        <v>104172726</v>
      </c>
      <c r="E847" s="1665">
        <v>107186868</v>
      </c>
      <c r="F847" s="1665">
        <v>104172726</v>
      </c>
      <c r="G847" s="1665">
        <v>107186868</v>
      </c>
      <c r="H847" s="1665">
        <v>104172726</v>
      </c>
      <c r="I847" s="101">
        <v>107186868</v>
      </c>
      <c r="J847" s="101">
        <v>104172726</v>
      </c>
    </row>
    <row r="848" spans="1:10">
      <c r="A848" t="s">
        <v>1091</v>
      </c>
      <c r="B848" t="s">
        <v>7935</v>
      </c>
      <c r="C848" s="1665">
        <v>142315015</v>
      </c>
      <c r="D848" s="1665">
        <v>136577843</v>
      </c>
      <c r="E848" s="1665">
        <v>136480276</v>
      </c>
      <c r="F848" s="1665">
        <v>130743104</v>
      </c>
      <c r="G848" s="1665">
        <v>136480276</v>
      </c>
      <c r="H848" s="1665">
        <v>130743104</v>
      </c>
      <c r="I848" s="101">
        <v>142315015</v>
      </c>
      <c r="J848" s="101">
        <v>136577843</v>
      </c>
    </row>
    <row r="849" spans="1:10">
      <c r="A849" t="s">
        <v>1238</v>
      </c>
      <c r="B849" t="s">
        <v>7936</v>
      </c>
      <c r="C849" s="1665">
        <v>42433200</v>
      </c>
      <c r="D849" s="1665">
        <v>41669046</v>
      </c>
      <c r="E849" s="1665">
        <v>42433200</v>
      </c>
      <c r="F849" s="1665">
        <v>41669046</v>
      </c>
      <c r="G849" s="1665">
        <v>42433200</v>
      </c>
      <c r="H849" s="1665">
        <v>41669046</v>
      </c>
      <c r="I849" s="101">
        <v>42433200</v>
      </c>
      <c r="J849" s="101">
        <v>41669046</v>
      </c>
    </row>
    <row r="850" spans="1:10">
      <c r="A850" t="s">
        <v>1239</v>
      </c>
      <c r="B850" t="s">
        <v>7937</v>
      </c>
      <c r="C850" s="1665">
        <v>104783686</v>
      </c>
      <c r="D850" s="1665">
        <v>103810206</v>
      </c>
      <c r="E850" s="1665">
        <v>104783686</v>
      </c>
      <c r="F850" s="1665">
        <v>103810206</v>
      </c>
      <c r="G850" s="1665">
        <v>104783686</v>
      </c>
      <c r="H850" s="1665">
        <v>103810206</v>
      </c>
      <c r="I850" s="101">
        <v>104783686</v>
      </c>
      <c r="J850" s="101">
        <v>103810206</v>
      </c>
    </row>
    <row r="851" spans="1:10">
      <c r="A851" t="s">
        <v>1801</v>
      </c>
      <c r="B851" t="s">
        <v>7938</v>
      </c>
      <c r="C851" s="1665">
        <v>468814602</v>
      </c>
      <c r="D851" s="1665">
        <v>463990469</v>
      </c>
      <c r="E851" s="1665">
        <v>468814602</v>
      </c>
      <c r="F851" s="1665">
        <v>463990469</v>
      </c>
      <c r="G851" s="1665">
        <v>468814602</v>
      </c>
      <c r="H851" s="1665">
        <v>463990469</v>
      </c>
      <c r="I851" s="101">
        <v>468814602</v>
      </c>
      <c r="J851" s="101">
        <v>463990469</v>
      </c>
    </row>
    <row r="852" spans="1:10">
      <c r="A852" t="s">
        <v>274</v>
      </c>
      <c r="B852" t="s">
        <v>7939</v>
      </c>
      <c r="C852" s="1665">
        <v>371747148</v>
      </c>
      <c r="D852" s="1665">
        <v>358541649</v>
      </c>
      <c r="E852" s="1665">
        <v>347238752</v>
      </c>
      <c r="F852" s="1665">
        <v>334033253</v>
      </c>
      <c r="G852" s="1665">
        <v>347238752</v>
      </c>
      <c r="H852" s="1665">
        <v>334033253</v>
      </c>
      <c r="I852" s="101">
        <v>371747148</v>
      </c>
      <c r="J852" s="101">
        <v>358541649</v>
      </c>
    </row>
    <row r="853" spans="1:10">
      <c r="A853" t="s">
        <v>1727</v>
      </c>
      <c r="B853" t="s">
        <v>7940</v>
      </c>
      <c r="C853" s="1665">
        <v>1094572227</v>
      </c>
      <c r="D853" s="1665">
        <v>1062023458</v>
      </c>
      <c r="E853" s="1665">
        <v>1094572227</v>
      </c>
      <c r="F853" s="1665">
        <v>1062023458</v>
      </c>
      <c r="G853" s="1665">
        <v>1094572227</v>
      </c>
      <c r="H853" s="1665">
        <v>1062023458</v>
      </c>
      <c r="I853" s="101">
        <v>1094572227</v>
      </c>
      <c r="J853" s="101">
        <v>1062023458</v>
      </c>
    </row>
    <row r="854" spans="1:10">
      <c r="A854" t="s">
        <v>1728</v>
      </c>
      <c r="B854" t="s">
        <v>7941</v>
      </c>
      <c r="C854" s="1665">
        <v>1485661577</v>
      </c>
      <c r="D854" s="1665">
        <v>1433600988</v>
      </c>
      <c r="E854" s="1665">
        <v>1485661577</v>
      </c>
      <c r="F854" s="1665">
        <v>1433600988</v>
      </c>
      <c r="G854" s="1665">
        <v>1485661577</v>
      </c>
      <c r="H854" s="1665">
        <v>1433600988</v>
      </c>
      <c r="I854" s="101">
        <v>1485661577</v>
      </c>
      <c r="J854" s="101">
        <v>1433600988</v>
      </c>
    </row>
    <row r="855" spans="1:10">
      <c r="A855" t="s">
        <v>1006</v>
      </c>
      <c r="B855" t="s">
        <v>7942</v>
      </c>
      <c r="C855" s="1665">
        <v>369556870</v>
      </c>
      <c r="D855" s="1665">
        <v>358706951</v>
      </c>
      <c r="E855" s="1665">
        <v>369556870</v>
      </c>
      <c r="F855" s="1665">
        <v>358706951</v>
      </c>
      <c r="G855" s="1665">
        <v>369556870</v>
      </c>
      <c r="H855" s="1665">
        <v>358706951</v>
      </c>
      <c r="I855" s="101">
        <v>369556870</v>
      </c>
      <c r="J855" s="101">
        <v>358706951</v>
      </c>
    </row>
    <row r="856" spans="1:10">
      <c r="A856" t="s">
        <v>189</v>
      </c>
      <c r="B856" t="s">
        <v>7943</v>
      </c>
      <c r="C856" s="1665">
        <v>9304464312</v>
      </c>
      <c r="D856" s="1665">
        <v>9079226656</v>
      </c>
      <c r="E856" s="1665">
        <v>9304464312</v>
      </c>
      <c r="F856" s="1665">
        <v>9079226656</v>
      </c>
      <c r="G856" s="1665">
        <v>9304464312</v>
      </c>
      <c r="H856" s="1665">
        <v>9079226656</v>
      </c>
      <c r="I856" s="101">
        <v>9304464312</v>
      </c>
      <c r="J856" s="101">
        <v>9079226656</v>
      </c>
    </row>
    <row r="857" spans="1:10">
      <c r="A857" t="s">
        <v>1181</v>
      </c>
      <c r="B857" t="s">
        <v>7944</v>
      </c>
      <c r="C857" s="1665">
        <v>2116373253</v>
      </c>
      <c r="D857" s="1665">
        <v>2058948838</v>
      </c>
      <c r="E857" s="1665">
        <v>2116373253</v>
      </c>
      <c r="F857" s="1665">
        <v>2058948838</v>
      </c>
      <c r="G857" s="1665">
        <v>2116373253</v>
      </c>
      <c r="H857" s="1665">
        <v>2058948838</v>
      </c>
      <c r="I857" s="101">
        <v>2116373253</v>
      </c>
      <c r="J857" s="101">
        <v>2058948838</v>
      </c>
    </row>
    <row r="858" spans="1:10">
      <c r="A858" t="s">
        <v>1340</v>
      </c>
      <c r="B858" t="s">
        <v>7945</v>
      </c>
      <c r="C858" s="1665">
        <v>1331455167</v>
      </c>
      <c r="D858" s="1665">
        <v>1290974695</v>
      </c>
      <c r="E858" s="1665">
        <v>1331455167</v>
      </c>
      <c r="F858" s="1665">
        <v>1290974695</v>
      </c>
      <c r="G858" s="1665">
        <v>1331455167</v>
      </c>
      <c r="H858" s="1665">
        <v>1290974695</v>
      </c>
      <c r="I858" s="101">
        <v>1331455167</v>
      </c>
      <c r="J858" s="101">
        <v>1290974695</v>
      </c>
    </row>
    <row r="859" spans="1:10">
      <c r="A859" t="s">
        <v>1341</v>
      </c>
      <c r="B859" t="s">
        <v>7946</v>
      </c>
      <c r="C859" s="1665">
        <v>466450324</v>
      </c>
      <c r="D859" s="1665">
        <v>453988253</v>
      </c>
      <c r="E859" s="1665">
        <v>466450324</v>
      </c>
      <c r="F859" s="1665">
        <v>453988253</v>
      </c>
      <c r="G859" s="1665">
        <v>466450324</v>
      </c>
      <c r="H859" s="1665">
        <v>453988253</v>
      </c>
      <c r="I859" s="101">
        <v>466450324</v>
      </c>
      <c r="J859" s="101">
        <v>453988253</v>
      </c>
    </row>
    <row r="860" spans="1:10">
      <c r="A860" t="s">
        <v>1342</v>
      </c>
      <c r="B860" t="s">
        <v>7947</v>
      </c>
      <c r="C860" s="1665">
        <v>2349937815</v>
      </c>
      <c r="D860" s="1665">
        <v>2330005321</v>
      </c>
      <c r="E860" s="1665">
        <v>2311515612</v>
      </c>
      <c r="F860" s="1665">
        <v>2291583118</v>
      </c>
      <c r="G860" s="1665">
        <v>2311515612</v>
      </c>
      <c r="H860" s="1665">
        <v>2291583118</v>
      </c>
      <c r="I860" s="101">
        <v>2349937815</v>
      </c>
      <c r="J860" s="101">
        <v>2330005321</v>
      </c>
    </row>
    <row r="861" spans="1:10">
      <c r="A861" t="s">
        <v>2653</v>
      </c>
      <c r="B861" t="s">
        <v>7948</v>
      </c>
      <c r="C861" s="1665">
        <v>1326179166</v>
      </c>
      <c r="D861" s="1665">
        <v>1269192568</v>
      </c>
      <c r="E861" s="1665">
        <v>1326179166</v>
      </c>
      <c r="F861" s="1665">
        <v>1269192568</v>
      </c>
      <c r="G861" s="1665">
        <v>1999181543</v>
      </c>
      <c r="H861" s="1665">
        <v>1942194945</v>
      </c>
      <c r="I861" s="101">
        <v>1999181543</v>
      </c>
      <c r="J861" s="101">
        <v>1942194945</v>
      </c>
    </row>
    <row r="862" spans="1:10">
      <c r="A862" t="s">
        <v>1729</v>
      </c>
      <c r="B862" t="s">
        <v>7949</v>
      </c>
      <c r="C862" s="1665">
        <v>193996903</v>
      </c>
      <c r="D862" s="1665">
        <v>192891124</v>
      </c>
      <c r="E862" s="1665">
        <v>193996903</v>
      </c>
      <c r="F862" s="1665">
        <v>192891124</v>
      </c>
      <c r="G862" s="1665">
        <v>193996903</v>
      </c>
      <c r="H862" s="1665">
        <v>192891124</v>
      </c>
      <c r="I862" s="101">
        <v>193996903</v>
      </c>
      <c r="J862" s="101">
        <v>192891124</v>
      </c>
    </row>
    <row r="863" spans="1:10">
      <c r="A863" t="s">
        <v>193</v>
      </c>
      <c r="B863" t="s">
        <v>7950</v>
      </c>
      <c r="C863" s="1665">
        <v>610538748</v>
      </c>
      <c r="D863" s="1665">
        <v>577723289</v>
      </c>
      <c r="E863" s="1665">
        <v>610538748</v>
      </c>
      <c r="F863" s="1665">
        <v>577723289</v>
      </c>
      <c r="G863" s="1665">
        <v>675938748</v>
      </c>
      <c r="H863" s="1665">
        <v>643123289</v>
      </c>
      <c r="I863" s="101">
        <v>675938748</v>
      </c>
      <c r="J863" s="101">
        <v>643123289</v>
      </c>
    </row>
    <row r="864" spans="1:10">
      <c r="A864" t="s">
        <v>1730</v>
      </c>
      <c r="B864" t="s">
        <v>7951</v>
      </c>
      <c r="C864" s="1665">
        <v>511568305</v>
      </c>
      <c r="D864" s="1665">
        <v>491750548</v>
      </c>
      <c r="E864" s="1665">
        <v>511568305</v>
      </c>
      <c r="F864" s="1665">
        <v>491750548</v>
      </c>
      <c r="G864" s="1665">
        <v>511568305</v>
      </c>
      <c r="H864" s="1665">
        <v>491750548</v>
      </c>
      <c r="I864" s="101">
        <v>511568305</v>
      </c>
      <c r="J864" s="101">
        <v>491750548</v>
      </c>
    </row>
    <row r="865" spans="1:10">
      <c r="A865" t="s">
        <v>2584</v>
      </c>
      <c r="B865" t="s">
        <v>7952</v>
      </c>
      <c r="C865" s="1665">
        <v>884539908</v>
      </c>
      <c r="D865" s="1665">
        <v>882275258</v>
      </c>
      <c r="E865" s="1665">
        <v>884539908</v>
      </c>
      <c r="F865" s="1665">
        <v>882275258</v>
      </c>
      <c r="G865" s="1665">
        <v>960972908</v>
      </c>
      <c r="H865" s="1665">
        <v>958708258</v>
      </c>
      <c r="I865" s="101">
        <v>960972908</v>
      </c>
      <c r="J865" s="101">
        <v>958708258</v>
      </c>
    </row>
    <row r="866" spans="1:10">
      <c r="A866" t="s">
        <v>750</v>
      </c>
      <c r="B866" t="s">
        <v>7953</v>
      </c>
      <c r="C866" s="1665">
        <v>169754970</v>
      </c>
      <c r="D866" s="1665">
        <v>166900580</v>
      </c>
      <c r="E866" s="1665">
        <v>169754970</v>
      </c>
      <c r="F866" s="1665">
        <v>166900580</v>
      </c>
      <c r="G866" s="1665">
        <v>169754970</v>
      </c>
      <c r="H866" s="1665">
        <v>166900580</v>
      </c>
      <c r="I866" s="101">
        <v>169754970</v>
      </c>
      <c r="J866" s="101">
        <v>166900580</v>
      </c>
    </row>
    <row r="867" spans="1:10">
      <c r="A867" t="s">
        <v>751</v>
      </c>
      <c r="B867" t="s">
        <v>7954</v>
      </c>
      <c r="C867" s="1665">
        <v>539942115</v>
      </c>
      <c r="D867" s="1665">
        <v>531686866</v>
      </c>
      <c r="E867" s="1665">
        <v>530230278</v>
      </c>
      <c r="F867" s="1665">
        <v>521975029</v>
      </c>
      <c r="G867" s="1665">
        <v>530230278</v>
      </c>
      <c r="H867" s="1665">
        <v>521975029</v>
      </c>
      <c r="I867" s="101">
        <v>539942115</v>
      </c>
      <c r="J867" s="101">
        <v>531686866</v>
      </c>
    </row>
    <row r="868" spans="1:10">
      <c r="A868" t="s">
        <v>802</v>
      </c>
      <c r="B868" t="s">
        <v>7955</v>
      </c>
      <c r="C868" s="1665">
        <v>82584597</v>
      </c>
      <c r="D868" s="1665">
        <v>80960429</v>
      </c>
      <c r="E868" s="1665">
        <v>82584597</v>
      </c>
      <c r="F868" s="1665">
        <v>80960429</v>
      </c>
      <c r="G868" s="1665">
        <v>82584597</v>
      </c>
      <c r="H868" s="1665">
        <v>80960429</v>
      </c>
      <c r="I868" s="101">
        <v>82584597</v>
      </c>
      <c r="J868" s="101">
        <v>80960429</v>
      </c>
    </row>
    <row r="869" spans="1:10">
      <c r="A869" t="s">
        <v>568</v>
      </c>
      <c r="B869" t="s">
        <v>7956</v>
      </c>
      <c r="C869" s="1665">
        <v>159085754</v>
      </c>
      <c r="D869" s="1665">
        <v>151522236</v>
      </c>
      <c r="E869" s="1665">
        <v>159085754</v>
      </c>
      <c r="F869" s="1665">
        <v>151522236</v>
      </c>
      <c r="G869" s="1665">
        <v>159085754</v>
      </c>
      <c r="H869" s="1665">
        <v>151522236</v>
      </c>
      <c r="I869" s="101">
        <v>159085754</v>
      </c>
      <c r="J869" s="101">
        <v>151522236</v>
      </c>
    </row>
    <row r="870" spans="1:10">
      <c r="A870" t="s">
        <v>569</v>
      </c>
      <c r="B870" t="s">
        <v>7957</v>
      </c>
      <c r="C870" s="1665">
        <v>89445202</v>
      </c>
      <c r="D870" s="1665">
        <v>87780532</v>
      </c>
      <c r="E870" s="1665">
        <v>89445202</v>
      </c>
      <c r="F870" s="1665">
        <v>87780532</v>
      </c>
      <c r="G870" s="1665">
        <v>89445202</v>
      </c>
      <c r="H870" s="1665">
        <v>87780532</v>
      </c>
      <c r="I870" s="101">
        <v>89445202</v>
      </c>
      <c r="J870" s="101">
        <v>87780532</v>
      </c>
    </row>
    <row r="871" spans="1:10">
      <c r="A871" t="s">
        <v>2298</v>
      </c>
      <c r="B871" t="s">
        <v>7958</v>
      </c>
      <c r="C871" s="1665">
        <v>28638766865</v>
      </c>
      <c r="D871" s="1665">
        <v>28083061111</v>
      </c>
      <c r="E871" s="1665">
        <v>28638766865</v>
      </c>
      <c r="F871" s="1665">
        <v>28083061111</v>
      </c>
      <c r="G871" s="1665">
        <v>28638766865</v>
      </c>
      <c r="H871" s="1665">
        <v>28083061111</v>
      </c>
      <c r="I871" s="101">
        <v>28638766865</v>
      </c>
      <c r="J871" s="101">
        <v>28083061111</v>
      </c>
    </row>
    <row r="872" spans="1:10">
      <c r="A872" t="s">
        <v>873</v>
      </c>
      <c r="B872" t="s">
        <v>7959</v>
      </c>
      <c r="C872" s="1665">
        <v>10315773615</v>
      </c>
      <c r="D872" s="1665">
        <v>10049956321</v>
      </c>
      <c r="E872" s="1665">
        <v>10315773615</v>
      </c>
      <c r="F872" s="1665">
        <v>10049956321</v>
      </c>
      <c r="G872" s="1665">
        <v>10315773615</v>
      </c>
      <c r="H872" s="1665">
        <v>10049956321</v>
      </c>
      <c r="I872" s="101">
        <v>10315773615</v>
      </c>
      <c r="J872" s="101">
        <v>10049956321</v>
      </c>
    </row>
    <row r="873" spans="1:10">
      <c r="A873" t="s">
        <v>1849</v>
      </c>
      <c r="B873" t="s">
        <v>7960</v>
      </c>
      <c r="C873" s="1665">
        <v>1422646499</v>
      </c>
      <c r="D873" s="1665">
        <v>1383245551</v>
      </c>
      <c r="E873" s="1665">
        <v>1422646499</v>
      </c>
      <c r="F873" s="1665">
        <v>1383245551</v>
      </c>
      <c r="G873" s="1665">
        <v>1422646499</v>
      </c>
      <c r="H873" s="1665">
        <v>1383245551</v>
      </c>
      <c r="I873" s="101">
        <v>1422646499</v>
      </c>
      <c r="J873" s="101">
        <v>1383245551</v>
      </c>
    </row>
    <row r="874" spans="1:10">
      <c r="A874" t="s">
        <v>2018</v>
      </c>
      <c r="B874" t="s">
        <v>7961</v>
      </c>
      <c r="C874" s="1665">
        <v>36459430364</v>
      </c>
      <c r="D874" s="1665">
        <v>35701774595</v>
      </c>
      <c r="E874" s="1665">
        <v>36459430364</v>
      </c>
      <c r="F874" s="1665">
        <v>35701774595</v>
      </c>
      <c r="G874" s="1665">
        <v>36459430364</v>
      </c>
      <c r="H874" s="1665">
        <v>35701774595</v>
      </c>
      <c r="I874" s="101">
        <v>36459430364</v>
      </c>
      <c r="J874" s="101">
        <v>35701774595</v>
      </c>
    </row>
    <row r="875" spans="1:10">
      <c r="A875" t="s">
        <v>2182</v>
      </c>
      <c r="B875" t="s">
        <v>7962</v>
      </c>
      <c r="C875" s="1665">
        <v>14915956841</v>
      </c>
      <c r="D875" s="1665">
        <v>14743860390</v>
      </c>
      <c r="E875" s="1665">
        <v>14915956841</v>
      </c>
      <c r="F875" s="1665">
        <v>14743860390</v>
      </c>
      <c r="G875" s="1665">
        <v>14915956841</v>
      </c>
      <c r="H875" s="1665">
        <v>14743860390</v>
      </c>
      <c r="I875" s="101">
        <v>14915956841</v>
      </c>
      <c r="J875" s="101">
        <v>14743860390</v>
      </c>
    </row>
    <row r="876" spans="1:10">
      <c r="A876" t="s">
        <v>50</v>
      </c>
      <c r="B876" t="s">
        <v>7963</v>
      </c>
      <c r="C876" s="1665">
        <v>18309898312</v>
      </c>
      <c r="D876" s="1665">
        <v>17918827212</v>
      </c>
      <c r="E876" s="1665">
        <v>18309898312</v>
      </c>
      <c r="F876" s="1665">
        <v>17918827212</v>
      </c>
      <c r="G876" s="1665">
        <v>18309898312</v>
      </c>
      <c r="H876" s="1665">
        <v>17918827212</v>
      </c>
      <c r="I876" s="101">
        <v>18309898312</v>
      </c>
      <c r="J876" s="101">
        <v>17918827212</v>
      </c>
    </row>
    <row r="877" spans="1:10">
      <c r="A877" t="s">
        <v>347</v>
      </c>
      <c r="B877" t="s">
        <v>7964</v>
      </c>
      <c r="C877" s="1665">
        <v>14108062080</v>
      </c>
      <c r="D877" s="1665">
        <v>13772654145</v>
      </c>
      <c r="E877" s="1665">
        <v>14108062080</v>
      </c>
      <c r="F877" s="1665">
        <v>13772654145</v>
      </c>
      <c r="G877" s="1665">
        <v>14108062080</v>
      </c>
      <c r="H877" s="1665">
        <v>13772654145</v>
      </c>
      <c r="I877" s="101">
        <v>14108062080</v>
      </c>
      <c r="J877" s="101">
        <v>13772654145</v>
      </c>
    </row>
    <row r="878" spans="1:10">
      <c r="A878" t="s">
        <v>1767</v>
      </c>
      <c r="B878" t="s">
        <v>7965</v>
      </c>
      <c r="C878" s="1665">
        <v>1032236007</v>
      </c>
      <c r="D878" s="1665">
        <v>1012090996</v>
      </c>
      <c r="E878" s="1665">
        <v>1032236007</v>
      </c>
      <c r="F878" s="1665">
        <v>1012090996</v>
      </c>
      <c r="G878" s="1665">
        <v>1032236007</v>
      </c>
      <c r="H878" s="1665">
        <v>1012090996</v>
      </c>
      <c r="I878" s="101">
        <v>1032236007</v>
      </c>
      <c r="J878" s="101">
        <v>1012090996</v>
      </c>
    </row>
    <row r="879" spans="1:10">
      <c r="A879" t="s">
        <v>2405</v>
      </c>
      <c r="B879" t="s">
        <v>7966</v>
      </c>
      <c r="C879" s="1665">
        <v>6926776298</v>
      </c>
      <c r="D879" s="1665">
        <v>6747326684</v>
      </c>
      <c r="E879" s="1665">
        <v>6748498158</v>
      </c>
      <c r="F879" s="1665">
        <v>6569048544</v>
      </c>
      <c r="G879" s="1665">
        <v>6748498158</v>
      </c>
      <c r="H879" s="1665">
        <v>6569048544</v>
      </c>
      <c r="I879" s="101">
        <v>6926776298</v>
      </c>
      <c r="J879" s="101">
        <v>6747326684</v>
      </c>
    </row>
    <row r="880" spans="1:10">
      <c r="A880" t="s">
        <v>52</v>
      </c>
      <c r="B880" t="s">
        <v>7967</v>
      </c>
      <c r="C880" s="1665">
        <v>1465135059</v>
      </c>
      <c r="D880" s="1665">
        <v>1420300341</v>
      </c>
      <c r="E880" s="1665">
        <v>1465135059</v>
      </c>
      <c r="F880" s="1665">
        <v>1420300341</v>
      </c>
      <c r="G880" s="1665">
        <v>1465135059</v>
      </c>
      <c r="H880" s="1665">
        <v>1420300341</v>
      </c>
      <c r="I880" s="101">
        <v>1465135059</v>
      </c>
      <c r="J880" s="101">
        <v>1420300341</v>
      </c>
    </row>
    <row r="881" spans="1:10">
      <c r="A881" t="s">
        <v>1681</v>
      </c>
      <c r="B881" t="s">
        <v>7968</v>
      </c>
      <c r="C881" s="1665">
        <v>2872382042</v>
      </c>
      <c r="D881" s="1665">
        <v>2781114735</v>
      </c>
      <c r="E881" s="1665">
        <v>2872382042</v>
      </c>
      <c r="F881" s="1665">
        <v>2781114735</v>
      </c>
      <c r="G881" s="1665">
        <v>2872382042</v>
      </c>
      <c r="H881" s="1665">
        <v>2781114735</v>
      </c>
      <c r="I881" s="101">
        <v>2872382042</v>
      </c>
      <c r="J881" s="101">
        <v>2781114735</v>
      </c>
    </row>
    <row r="882" spans="1:10">
      <c r="A882" t="s">
        <v>1119</v>
      </c>
      <c r="B882" t="s">
        <v>7969</v>
      </c>
      <c r="C882" s="1665">
        <v>13890713697</v>
      </c>
      <c r="D882" s="1665">
        <v>13608344279</v>
      </c>
      <c r="E882" s="1665">
        <v>13819128834</v>
      </c>
      <c r="F882" s="1665">
        <v>13536759416</v>
      </c>
      <c r="G882" s="1665">
        <v>13819128834</v>
      </c>
      <c r="H882" s="1665">
        <v>13536759416</v>
      </c>
      <c r="I882" s="101">
        <v>13890713697</v>
      </c>
      <c r="J882" s="101">
        <v>13608344279</v>
      </c>
    </row>
    <row r="883" spans="1:10">
      <c r="A883" t="s">
        <v>1847</v>
      </c>
      <c r="B883" t="s">
        <v>7970</v>
      </c>
      <c r="C883" s="1665">
        <v>769553924</v>
      </c>
      <c r="D883" s="1665">
        <v>737804660</v>
      </c>
      <c r="E883" s="1665">
        <v>769553924</v>
      </c>
      <c r="F883" s="1665">
        <v>737804660</v>
      </c>
      <c r="G883" s="1665">
        <v>769553924</v>
      </c>
      <c r="H883" s="1665">
        <v>737804660</v>
      </c>
      <c r="I883" s="101">
        <v>769553924</v>
      </c>
      <c r="J883" s="101">
        <v>737804660</v>
      </c>
    </row>
    <row r="884" spans="1:10">
      <c r="A884" t="s">
        <v>2223</v>
      </c>
      <c r="B884" t="s">
        <v>7971</v>
      </c>
      <c r="C884" s="1665">
        <v>9633833557</v>
      </c>
      <c r="D884" s="1665">
        <v>9429307706</v>
      </c>
      <c r="E884" s="1665">
        <v>9633833557</v>
      </c>
      <c r="F884" s="1665">
        <v>9429307706</v>
      </c>
      <c r="G884" s="1665">
        <v>9633833557</v>
      </c>
      <c r="H884" s="1665">
        <v>9429307706</v>
      </c>
      <c r="I884" s="101">
        <v>9633833557</v>
      </c>
      <c r="J884" s="101">
        <v>9429307706</v>
      </c>
    </row>
    <row r="885" spans="1:10">
      <c r="A885" t="s">
        <v>1846</v>
      </c>
      <c r="B885" t="s">
        <v>7972</v>
      </c>
      <c r="C885" s="1665">
        <v>8488767084</v>
      </c>
      <c r="D885" s="1665">
        <v>8405579404</v>
      </c>
      <c r="E885" s="1665">
        <v>8488767084</v>
      </c>
      <c r="F885" s="1665">
        <v>8405579404</v>
      </c>
      <c r="G885" s="1665">
        <v>8488767084</v>
      </c>
      <c r="H885" s="1665">
        <v>8405579404</v>
      </c>
      <c r="I885" s="101">
        <v>8488767084</v>
      </c>
      <c r="J885" s="101">
        <v>8405579404</v>
      </c>
    </row>
    <row r="886" spans="1:10">
      <c r="A886" t="s">
        <v>1180</v>
      </c>
      <c r="B886" t="s">
        <v>7973</v>
      </c>
      <c r="C886" s="1665">
        <v>2095357100</v>
      </c>
      <c r="D886" s="1665">
        <v>2028910375</v>
      </c>
      <c r="E886" s="1665">
        <v>2095357100</v>
      </c>
      <c r="F886" s="1665">
        <v>2028910375</v>
      </c>
      <c r="G886" s="1665">
        <v>2095357100</v>
      </c>
      <c r="H886" s="1665">
        <v>2028910375</v>
      </c>
      <c r="I886" s="101">
        <v>2095357100</v>
      </c>
      <c r="J886" s="101">
        <v>2028910375</v>
      </c>
    </row>
    <row r="887" spans="1:10">
      <c r="A887" t="s">
        <v>2224</v>
      </c>
      <c r="B887" t="s">
        <v>7974</v>
      </c>
      <c r="C887" s="1665">
        <v>4907727395</v>
      </c>
      <c r="D887" s="1665">
        <v>4738776736</v>
      </c>
      <c r="E887" s="1665">
        <v>4855045271</v>
      </c>
      <c r="F887" s="1665">
        <v>4686094612</v>
      </c>
      <c r="G887" s="1665">
        <v>4855045271</v>
      </c>
      <c r="H887" s="1665">
        <v>4686094612</v>
      </c>
      <c r="I887" s="101">
        <v>4907727395</v>
      </c>
      <c r="J887" s="101">
        <v>4738776736</v>
      </c>
    </row>
    <row r="888" spans="1:10">
      <c r="A888" t="s">
        <v>2225</v>
      </c>
      <c r="B888" t="s">
        <v>7975</v>
      </c>
      <c r="C888" s="1665">
        <v>456487207</v>
      </c>
      <c r="D888" s="1665">
        <v>445345933</v>
      </c>
      <c r="E888" s="1665">
        <v>456487207</v>
      </c>
      <c r="F888" s="1665">
        <v>445345933</v>
      </c>
      <c r="G888" s="1665">
        <v>456487207</v>
      </c>
      <c r="H888" s="1665">
        <v>445345933</v>
      </c>
      <c r="I888" s="101">
        <v>456487207</v>
      </c>
      <c r="J888" s="101">
        <v>445345933</v>
      </c>
    </row>
    <row r="889" spans="1:10">
      <c r="A889" t="s">
        <v>2655</v>
      </c>
      <c r="B889" t="s">
        <v>7976</v>
      </c>
      <c r="C889" s="1665">
        <v>146976605</v>
      </c>
      <c r="D889" s="1665">
        <v>145649100</v>
      </c>
      <c r="E889" s="1665">
        <v>146976605</v>
      </c>
      <c r="F889" s="1665">
        <v>145649100</v>
      </c>
      <c r="G889" s="1665">
        <v>164957806</v>
      </c>
      <c r="H889" s="1665">
        <v>163630301</v>
      </c>
      <c r="I889" s="101">
        <v>164957806</v>
      </c>
      <c r="J889" s="101">
        <v>163630301</v>
      </c>
    </row>
    <row r="890" spans="1:10">
      <c r="A890" t="s">
        <v>2656</v>
      </c>
      <c r="B890" t="s">
        <v>7977</v>
      </c>
      <c r="C890" s="1665">
        <v>602458695</v>
      </c>
      <c r="D890" s="1665">
        <v>586726075</v>
      </c>
      <c r="E890" s="1665">
        <v>574331234</v>
      </c>
      <c r="F890" s="1665">
        <v>558598614</v>
      </c>
      <c r="G890" s="1665">
        <v>574331234</v>
      </c>
      <c r="H890" s="1665">
        <v>558598614</v>
      </c>
      <c r="I890" s="101">
        <v>602458695</v>
      </c>
      <c r="J890" s="101">
        <v>586726075</v>
      </c>
    </row>
    <row r="891" spans="1:10">
      <c r="A891" t="s">
        <v>2657</v>
      </c>
      <c r="B891" t="s">
        <v>7267</v>
      </c>
      <c r="C891" s="1665">
        <v>2099971555</v>
      </c>
      <c r="D891" s="1665">
        <v>2039446690</v>
      </c>
      <c r="E891" s="1665">
        <v>2099971555</v>
      </c>
      <c r="F891" s="1665">
        <v>2039446690</v>
      </c>
      <c r="G891" s="1665">
        <v>2099971555</v>
      </c>
      <c r="H891" s="1665">
        <v>2039446690</v>
      </c>
      <c r="I891" s="101">
        <v>2099971555</v>
      </c>
      <c r="J891" s="101">
        <v>2039446690</v>
      </c>
    </row>
    <row r="892" spans="1:10">
      <c r="A892" t="s">
        <v>2658</v>
      </c>
      <c r="B892" t="s">
        <v>7978</v>
      </c>
      <c r="C892" s="1665">
        <v>241319038</v>
      </c>
      <c r="D892" s="1665">
        <v>239066189</v>
      </c>
      <c r="E892" s="1665">
        <v>240043507</v>
      </c>
      <c r="F892" s="1665">
        <v>237790658</v>
      </c>
      <c r="G892" s="1665">
        <v>240043507</v>
      </c>
      <c r="H892" s="1665">
        <v>237790658</v>
      </c>
      <c r="I892" s="101">
        <v>241319038</v>
      </c>
      <c r="J892" s="101">
        <v>239066189</v>
      </c>
    </row>
    <row r="893" spans="1:10">
      <c r="A893" t="s">
        <v>1170</v>
      </c>
      <c r="B893" t="s">
        <v>7979</v>
      </c>
      <c r="C893" s="1665">
        <v>633261352</v>
      </c>
      <c r="D893" s="1665">
        <v>623220349</v>
      </c>
      <c r="E893" s="1665">
        <v>633261352</v>
      </c>
      <c r="F893" s="1665">
        <v>623220349</v>
      </c>
      <c r="G893" s="1665">
        <v>633261352</v>
      </c>
      <c r="H893" s="1665">
        <v>623220349</v>
      </c>
      <c r="I893" s="101">
        <v>633261352</v>
      </c>
      <c r="J893" s="101">
        <v>623220349</v>
      </c>
    </row>
    <row r="894" spans="1:10">
      <c r="A894" t="s">
        <v>1845</v>
      </c>
      <c r="B894" t="s">
        <v>7980</v>
      </c>
      <c r="C894" s="1665">
        <v>56283641</v>
      </c>
      <c r="D894" s="1665">
        <v>55362089</v>
      </c>
      <c r="E894" s="1665">
        <v>56283641</v>
      </c>
      <c r="F894" s="1665">
        <v>55362089</v>
      </c>
      <c r="G894" s="1665">
        <v>56283641</v>
      </c>
      <c r="H894" s="1665">
        <v>55362089</v>
      </c>
      <c r="I894" s="101">
        <v>56283641</v>
      </c>
      <c r="J894" s="101">
        <v>55362089</v>
      </c>
    </row>
    <row r="895" spans="1:10">
      <c r="A895" t="s">
        <v>1171</v>
      </c>
      <c r="B895" t="s">
        <v>7981</v>
      </c>
      <c r="C895" s="1665">
        <v>208743033</v>
      </c>
      <c r="D895" s="1665">
        <v>208210027</v>
      </c>
      <c r="E895" s="1665">
        <v>208743033</v>
      </c>
      <c r="F895" s="1665">
        <v>208210027</v>
      </c>
      <c r="G895" s="1665">
        <v>208743033</v>
      </c>
      <c r="H895" s="1665">
        <v>208210027</v>
      </c>
      <c r="I895" s="101">
        <v>208743033</v>
      </c>
      <c r="J895" s="101">
        <v>208210027</v>
      </c>
    </row>
    <row r="896" spans="1:10">
      <c r="A896" t="s">
        <v>1586</v>
      </c>
      <c r="B896" t="s">
        <v>7982</v>
      </c>
      <c r="C896" s="1665">
        <v>133676591</v>
      </c>
      <c r="D896" s="1665">
        <v>130932551</v>
      </c>
      <c r="E896" s="1665">
        <v>133676591</v>
      </c>
      <c r="F896" s="1665">
        <v>130932551</v>
      </c>
      <c r="G896" s="1665">
        <v>133676591</v>
      </c>
      <c r="H896" s="1665">
        <v>130932551</v>
      </c>
      <c r="I896" s="101">
        <v>133676591</v>
      </c>
      <c r="J896" s="101">
        <v>130932551</v>
      </c>
    </row>
    <row r="897" spans="1:10">
      <c r="A897" t="s">
        <v>1587</v>
      </c>
      <c r="B897" t="s">
        <v>7983</v>
      </c>
      <c r="C897" s="1665">
        <v>39849344</v>
      </c>
      <c r="D897" s="1665">
        <v>38836734</v>
      </c>
      <c r="E897" s="1665">
        <v>39849344</v>
      </c>
      <c r="F897" s="1665">
        <v>38836734</v>
      </c>
      <c r="G897" s="1665">
        <v>39849344</v>
      </c>
      <c r="H897" s="1665">
        <v>38836734</v>
      </c>
      <c r="I897" s="101">
        <v>39849344</v>
      </c>
      <c r="J897" s="101">
        <v>38836734</v>
      </c>
    </row>
    <row r="898" spans="1:10">
      <c r="A898" t="s">
        <v>1588</v>
      </c>
      <c r="B898" t="s">
        <v>7984</v>
      </c>
      <c r="C898" s="1665">
        <v>1417364054</v>
      </c>
      <c r="D898" s="1665">
        <v>1376691804</v>
      </c>
      <c r="E898" s="1665">
        <v>1417364054</v>
      </c>
      <c r="F898" s="1665">
        <v>1376691804</v>
      </c>
      <c r="G898" s="1665">
        <v>1417364054</v>
      </c>
      <c r="H898" s="1665">
        <v>1376691804</v>
      </c>
      <c r="I898" s="101">
        <v>1417364054</v>
      </c>
      <c r="J898" s="101">
        <v>1376691804</v>
      </c>
    </row>
    <row r="899" spans="1:10">
      <c r="A899" t="s">
        <v>275</v>
      </c>
      <c r="B899" t="s">
        <v>7945</v>
      </c>
      <c r="C899" s="1665">
        <v>139289083</v>
      </c>
      <c r="D899" s="1665">
        <v>133464819</v>
      </c>
      <c r="E899" s="1665">
        <v>139289083</v>
      </c>
      <c r="F899" s="1665">
        <v>133464819</v>
      </c>
      <c r="G899" s="1665">
        <v>139289083</v>
      </c>
      <c r="H899" s="1665">
        <v>133464819</v>
      </c>
      <c r="I899" s="101">
        <v>139289083</v>
      </c>
      <c r="J899" s="101">
        <v>133464819</v>
      </c>
    </row>
    <row r="900" spans="1:10">
      <c r="A900" t="s">
        <v>1818</v>
      </c>
      <c r="B900" t="s">
        <v>7986</v>
      </c>
      <c r="C900" s="1665">
        <v>160582302</v>
      </c>
      <c r="D900" s="1665">
        <v>153878138</v>
      </c>
      <c r="E900" s="1665">
        <v>160582302</v>
      </c>
      <c r="F900" s="1665">
        <v>153878138</v>
      </c>
      <c r="G900" s="1665">
        <v>160582302</v>
      </c>
      <c r="H900" s="1665">
        <v>153878138</v>
      </c>
      <c r="I900" s="101">
        <v>160582302</v>
      </c>
      <c r="J900" s="101">
        <v>153878138</v>
      </c>
    </row>
    <row r="901" spans="1:10">
      <c r="A901" t="s">
        <v>2440</v>
      </c>
      <c r="B901" t="s">
        <v>7987</v>
      </c>
      <c r="C901" s="1665">
        <v>259700817</v>
      </c>
      <c r="D901" s="1665">
        <v>251816287</v>
      </c>
      <c r="E901" s="1665">
        <v>259700817</v>
      </c>
      <c r="F901" s="1665">
        <v>251816287</v>
      </c>
      <c r="G901" s="1665">
        <v>260475147</v>
      </c>
      <c r="H901" s="1665">
        <v>252590617</v>
      </c>
      <c r="I901" s="101">
        <v>260475147</v>
      </c>
      <c r="J901" s="101">
        <v>252590617</v>
      </c>
    </row>
    <row r="902" spans="1:10">
      <c r="A902" t="s">
        <v>1313</v>
      </c>
      <c r="B902" t="s">
        <v>7988</v>
      </c>
      <c r="C902" s="1665">
        <v>5337196425</v>
      </c>
      <c r="D902" s="1665">
        <v>5124694027</v>
      </c>
      <c r="E902" s="1665">
        <v>5337196425</v>
      </c>
      <c r="F902" s="1665">
        <v>5124694027</v>
      </c>
      <c r="G902" s="1665">
        <v>5337196425</v>
      </c>
      <c r="H902" s="1665">
        <v>5124694027</v>
      </c>
      <c r="I902" s="101">
        <v>5337196425</v>
      </c>
      <c r="J902" s="101">
        <v>5124694027</v>
      </c>
    </row>
    <row r="903" spans="1:10">
      <c r="A903" t="s">
        <v>2428</v>
      </c>
      <c r="B903" t="s">
        <v>7989</v>
      </c>
      <c r="C903" s="1665">
        <v>162748378</v>
      </c>
      <c r="D903" s="1665">
        <v>158678278</v>
      </c>
      <c r="E903" s="1665">
        <v>162748378</v>
      </c>
      <c r="F903" s="1665">
        <v>158678278</v>
      </c>
      <c r="G903" s="1665">
        <v>162748378</v>
      </c>
      <c r="H903" s="1665">
        <v>158678278</v>
      </c>
      <c r="I903" s="101">
        <v>162748378</v>
      </c>
      <c r="J903" s="101">
        <v>158678278</v>
      </c>
    </row>
    <row r="904" spans="1:10">
      <c r="A904" t="s">
        <v>342</v>
      </c>
      <c r="B904" t="s">
        <v>7990</v>
      </c>
      <c r="C904" s="1665">
        <v>448331121</v>
      </c>
      <c r="D904" s="1665">
        <v>435385711</v>
      </c>
      <c r="E904" s="1665">
        <v>448331121</v>
      </c>
      <c r="F904" s="1665">
        <v>435385711</v>
      </c>
      <c r="G904" s="1665">
        <v>448331121</v>
      </c>
      <c r="H904" s="1665">
        <v>435385711</v>
      </c>
      <c r="I904" s="101">
        <v>448331121</v>
      </c>
      <c r="J904" s="101">
        <v>435385711</v>
      </c>
    </row>
    <row r="905" spans="1:10">
      <c r="A905" t="s">
        <v>1307</v>
      </c>
      <c r="B905" t="s">
        <v>7991</v>
      </c>
      <c r="C905" s="1665">
        <v>318153984</v>
      </c>
      <c r="D905" s="1665">
        <v>300893724</v>
      </c>
      <c r="E905" s="1665">
        <v>318153984</v>
      </c>
      <c r="F905" s="1665">
        <v>300893724</v>
      </c>
      <c r="G905" s="1665">
        <v>318153984</v>
      </c>
      <c r="H905" s="1665">
        <v>300893724</v>
      </c>
      <c r="I905" s="101">
        <v>318153984</v>
      </c>
      <c r="J905" s="101">
        <v>300893724</v>
      </c>
    </row>
    <row r="906" spans="1:10">
      <c r="A906" t="s">
        <v>1253</v>
      </c>
      <c r="B906" t="s">
        <v>7992</v>
      </c>
      <c r="C906" s="1665">
        <v>134473221</v>
      </c>
      <c r="D906" s="1665">
        <v>131354921</v>
      </c>
      <c r="E906" s="1665">
        <v>134473221</v>
      </c>
      <c r="F906" s="1665">
        <v>131354921</v>
      </c>
      <c r="G906" s="1665">
        <v>134473221</v>
      </c>
      <c r="H906" s="1665">
        <v>131354921</v>
      </c>
      <c r="I906" s="101">
        <v>134473221</v>
      </c>
      <c r="J906" s="101">
        <v>131354921</v>
      </c>
    </row>
    <row r="907" spans="1:10">
      <c r="A907" t="s">
        <v>263</v>
      </c>
      <c r="B907" t="s">
        <v>7993</v>
      </c>
      <c r="C907" s="1665">
        <v>122846131202</v>
      </c>
      <c r="D907" s="1665">
        <v>121722822653</v>
      </c>
      <c r="E907" s="1665">
        <v>122846131202</v>
      </c>
      <c r="F907" s="1665">
        <v>121722822653</v>
      </c>
      <c r="G907" s="1665">
        <v>122846131202</v>
      </c>
      <c r="H907" s="1665">
        <v>121722822653</v>
      </c>
      <c r="I907" s="101">
        <v>122846131202</v>
      </c>
      <c r="J907" s="101">
        <v>121722822653</v>
      </c>
    </row>
    <row r="908" spans="1:10">
      <c r="A908" t="s">
        <v>210</v>
      </c>
      <c r="B908" t="s">
        <v>7994</v>
      </c>
      <c r="C908" s="1665">
        <v>14473963210</v>
      </c>
      <c r="D908" s="1665">
        <v>14199165553</v>
      </c>
      <c r="E908" s="1665">
        <v>14473963210</v>
      </c>
      <c r="F908" s="1665">
        <v>14199165553</v>
      </c>
      <c r="G908" s="1665">
        <v>14473963210</v>
      </c>
      <c r="H908" s="1665">
        <v>14199165553</v>
      </c>
      <c r="I908" s="101">
        <v>14473963210</v>
      </c>
      <c r="J908" s="101">
        <v>14199165553</v>
      </c>
    </row>
    <row r="909" spans="1:10">
      <c r="A909" t="s">
        <v>264</v>
      </c>
      <c r="B909" t="s">
        <v>7995</v>
      </c>
      <c r="C909" s="1665">
        <v>5060722060</v>
      </c>
      <c r="D909" s="1665">
        <v>4977350305</v>
      </c>
      <c r="E909" s="1665">
        <v>5060722060</v>
      </c>
      <c r="F909" s="1665">
        <v>4977350305</v>
      </c>
      <c r="G909" s="1665">
        <v>6307075097</v>
      </c>
      <c r="H909" s="1665">
        <v>6223703342</v>
      </c>
      <c r="I909" s="101">
        <v>6307075097</v>
      </c>
      <c r="J909" s="101">
        <v>6223703342</v>
      </c>
    </row>
    <row r="910" spans="1:10">
      <c r="A910" t="s">
        <v>265</v>
      </c>
      <c r="B910" t="s">
        <v>7996</v>
      </c>
      <c r="C910" s="1665">
        <v>15451941398</v>
      </c>
      <c r="D910" s="1665">
        <v>15356372867</v>
      </c>
      <c r="E910" s="1665">
        <v>15451941398</v>
      </c>
      <c r="F910" s="1665">
        <v>15356372867</v>
      </c>
      <c r="G910" s="1665">
        <v>15451941398</v>
      </c>
      <c r="H910" s="1665">
        <v>15356372867</v>
      </c>
      <c r="I910" s="101">
        <v>15451941398</v>
      </c>
      <c r="J910" s="101">
        <v>15356372867</v>
      </c>
    </row>
    <row r="911" spans="1:10">
      <c r="A911" t="s">
        <v>1133</v>
      </c>
      <c r="B911" t="s">
        <v>7997</v>
      </c>
      <c r="C911" s="1665">
        <v>6282408829</v>
      </c>
      <c r="D911" s="1665">
        <v>6204672573</v>
      </c>
      <c r="E911" s="1665">
        <v>6282408829</v>
      </c>
      <c r="F911" s="1665">
        <v>6204672573</v>
      </c>
      <c r="G911" s="1665">
        <v>6282408829</v>
      </c>
      <c r="H911" s="1665">
        <v>6204672573</v>
      </c>
      <c r="I911" s="101">
        <v>6282408829</v>
      </c>
      <c r="J911" s="101">
        <v>6204672573</v>
      </c>
    </row>
    <row r="912" spans="1:10">
      <c r="A912" t="s">
        <v>2446</v>
      </c>
      <c r="B912" t="s">
        <v>7998</v>
      </c>
      <c r="C912" s="1665">
        <v>1782070747</v>
      </c>
      <c r="D912" s="1665">
        <v>1750811079</v>
      </c>
      <c r="E912" s="1665">
        <v>1671323863</v>
      </c>
      <c r="F912" s="1665">
        <v>1640064195</v>
      </c>
      <c r="G912" s="1665">
        <v>1671323863</v>
      </c>
      <c r="H912" s="1665">
        <v>1640064195</v>
      </c>
      <c r="I912" s="101">
        <v>1782070747</v>
      </c>
      <c r="J912" s="101">
        <v>1750811079</v>
      </c>
    </row>
    <row r="913" spans="1:10">
      <c r="A913" t="s">
        <v>1320</v>
      </c>
      <c r="B913" t="s">
        <v>7999</v>
      </c>
      <c r="C913" s="1665">
        <v>13209606565</v>
      </c>
      <c r="D913" s="1665">
        <v>13063372759</v>
      </c>
      <c r="E913" s="1665">
        <v>12385248197</v>
      </c>
      <c r="F913" s="1665">
        <v>12239014391</v>
      </c>
      <c r="G913" s="1665">
        <v>12385248197</v>
      </c>
      <c r="H913" s="1665">
        <v>12239014391</v>
      </c>
      <c r="I913" s="101">
        <v>13209606565</v>
      </c>
      <c r="J913" s="101">
        <v>13063372759</v>
      </c>
    </row>
    <row r="914" spans="1:10">
      <c r="A914" t="s">
        <v>1321</v>
      </c>
      <c r="B914" t="s">
        <v>8000</v>
      </c>
      <c r="C914" s="1665">
        <v>319416737</v>
      </c>
      <c r="D914" s="1665">
        <v>309231670</v>
      </c>
      <c r="E914" s="1665">
        <v>319416737</v>
      </c>
      <c r="F914" s="1665">
        <v>309231670</v>
      </c>
      <c r="G914" s="1665">
        <v>319416737</v>
      </c>
      <c r="H914" s="1665">
        <v>309231670</v>
      </c>
      <c r="I914" s="101">
        <v>319416737</v>
      </c>
      <c r="J914" s="101">
        <v>309231670</v>
      </c>
    </row>
    <row r="915" spans="1:10">
      <c r="A915" t="s">
        <v>1322</v>
      </c>
      <c r="B915" t="s">
        <v>8001</v>
      </c>
      <c r="C915" s="1665">
        <v>417700326</v>
      </c>
      <c r="D915" s="1665">
        <v>402281802</v>
      </c>
      <c r="E915" s="1665">
        <v>417700326</v>
      </c>
      <c r="F915" s="1665">
        <v>402281802</v>
      </c>
      <c r="G915" s="1665">
        <v>417700326</v>
      </c>
      <c r="H915" s="1665">
        <v>402281802</v>
      </c>
      <c r="I915" s="101">
        <v>417700326</v>
      </c>
      <c r="J915" s="101">
        <v>402281802</v>
      </c>
    </row>
    <row r="916" spans="1:10">
      <c r="A916" t="s">
        <v>1323</v>
      </c>
      <c r="B916" t="s">
        <v>7694</v>
      </c>
      <c r="C916" s="1665">
        <v>34812132</v>
      </c>
      <c r="D916" s="1665">
        <v>32969460</v>
      </c>
      <c r="E916" s="1665">
        <v>34812132</v>
      </c>
      <c r="F916" s="1665">
        <v>32969460</v>
      </c>
      <c r="G916" s="1665">
        <v>34812132</v>
      </c>
      <c r="H916" s="1665">
        <v>32969460</v>
      </c>
      <c r="I916" s="101">
        <v>34812132</v>
      </c>
      <c r="J916" s="101">
        <v>32969460</v>
      </c>
    </row>
    <row r="917" spans="1:10">
      <c r="A917" t="s">
        <v>1324</v>
      </c>
      <c r="B917" t="s">
        <v>8002</v>
      </c>
      <c r="C917" s="1665">
        <v>49664520</v>
      </c>
      <c r="D917" s="1665">
        <v>47224441</v>
      </c>
      <c r="E917" s="1665">
        <v>49664520</v>
      </c>
      <c r="F917" s="1665">
        <v>47224441</v>
      </c>
      <c r="G917" s="1665">
        <v>49664520</v>
      </c>
      <c r="H917" s="1665">
        <v>47224441</v>
      </c>
      <c r="I917" s="101">
        <v>49664520</v>
      </c>
      <c r="J917" s="101">
        <v>47224441</v>
      </c>
    </row>
    <row r="918" spans="1:10">
      <c r="A918" t="s">
        <v>1434</v>
      </c>
      <c r="B918" t="s">
        <v>8003</v>
      </c>
      <c r="C918" s="1665">
        <v>144806065</v>
      </c>
      <c r="D918" s="1665">
        <v>138821253</v>
      </c>
      <c r="E918" s="1665">
        <v>144806065</v>
      </c>
      <c r="F918" s="1665">
        <v>138821253</v>
      </c>
      <c r="G918" s="1665">
        <v>144806065</v>
      </c>
      <c r="H918" s="1665">
        <v>138821253</v>
      </c>
      <c r="I918" s="101">
        <v>144806065</v>
      </c>
      <c r="J918" s="101">
        <v>138821253</v>
      </c>
    </row>
    <row r="919" spans="1:10">
      <c r="A919" t="s">
        <v>1807</v>
      </c>
      <c r="B919" t="s">
        <v>8004</v>
      </c>
      <c r="C919" s="1665">
        <v>661982516</v>
      </c>
      <c r="D919" s="1665">
        <v>643428121</v>
      </c>
      <c r="E919" s="1665">
        <v>661982516</v>
      </c>
      <c r="F919" s="1665">
        <v>643428121</v>
      </c>
      <c r="G919" s="1665">
        <v>717819952</v>
      </c>
      <c r="H919" s="1665">
        <v>699265557</v>
      </c>
      <c r="I919" s="101">
        <v>717819952</v>
      </c>
      <c r="J919" s="101">
        <v>699265557</v>
      </c>
    </row>
    <row r="920" spans="1:10">
      <c r="A920" t="s">
        <v>1808</v>
      </c>
      <c r="B920" t="s">
        <v>8005</v>
      </c>
      <c r="C920" s="1665">
        <v>287992784</v>
      </c>
      <c r="D920" s="1665">
        <v>271950411</v>
      </c>
      <c r="E920" s="1665">
        <v>287992784</v>
      </c>
      <c r="F920" s="1665">
        <v>271950411</v>
      </c>
      <c r="G920" s="1665">
        <v>287992784</v>
      </c>
      <c r="H920" s="1665">
        <v>271950411</v>
      </c>
      <c r="I920" s="101">
        <v>287992784</v>
      </c>
      <c r="J920" s="101">
        <v>271950411</v>
      </c>
    </row>
    <row r="921" spans="1:10">
      <c r="A921" t="s">
        <v>1254</v>
      </c>
      <c r="B921" t="s">
        <v>8006</v>
      </c>
      <c r="C921" s="1665">
        <v>90694942</v>
      </c>
      <c r="D921" s="1665">
        <v>85919344</v>
      </c>
      <c r="E921" s="1665">
        <v>90694942</v>
      </c>
      <c r="F921" s="1665">
        <v>85919344</v>
      </c>
      <c r="G921" s="1665">
        <v>90694942</v>
      </c>
      <c r="H921" s="1665">
        <v>85919344</v>
      </c>
      <c r="I921" s="101">
        <v>90694942</v>
      </c>
      <c r="J921" s="101">
        <v>85919344</v>
      </c>
    </row>
    <row r="922" spans="1:10">
      <c r="A922" t="s">
        <v>70</v>
      </c>
      <c r="B922" t="s">
        <v>8007</v>
      </c>
      <c r="C922" s="1665">
        <v>81398048</v>
      </c>
      <c r="D922" s="1665">
        <v>78288502</v>
      </c>
      <c r="E922" s="1665">
        <v>81398048</v>
      </c>
      <c r="F922" s="1665">
        <v>78288502</v>
      </c>
      <c r="G922" s="1665">
        <v>81398048</v>
      </c>
      <c r="H922" s="1665">
        <v>78288502</v>
      </c>
      <c r="I922" s="101">
        <v>81398048</v>
      </c>
      <c r="J922" s="101">
        <v>78288502</v>
      </c>
    </row>
    <row r="923" spans="1:10">
      <c r="A923" t="s">
        <v>1809</v>
      </c>
      <c r="B923" t="s">
        <v>7865</v>
      </c>
      <c r="C923" s="1665">
        <v>231280206</v>
      </c>
      <c r="D923" s="1665">
        <v>223027574</v>
      </c>
      <c r="E923" s="1665">
        <v>231280206</v>
      </c>
      <c r="F923" s="1665">
        <v>223027574</v>
      </c>
      <c r="G923" s="1665">
        <v>231280206</v>
      </c>
      <c r="H923" s="1665">
        <v>223027574</v>
      </c>
      <c r="I923" s="101">
        <v>231280206</v>
      </c>
      <c r="J923" s="101">
        <v>223027574</v>
      </c>
    </row>
    <row r="924" spans="1:10">
      <c r="A924" t="s">
        <v>1810</v>
      </c>
      <c r="B924" t="s">
        <v>8008</v>
      </c>
      <c r="C924" s="1665">
        <v>892197792</v>
      </c>
      <c r="D924" s="1665">
        <v>855787954</v>
      </c>
      <c r="E924" s="1665">
        <v>892197792</v>
      </c>
      <c r="F924" s="1665">
        <v>855787954</v>
      </c>
      <c r="G924" s="1665">
        <v>892197792</v>
      </c>
      <c r="H924" s="1665">
        <v>855787954</v>
      </c>
      <c r="I924" s="101">
        <v>892197792</v>
      </c>
      <c r="J924" s="101">
        <v>855787954</v>
      </c>
    </row>
    <row r="925" spans="1:10">
      <c r="A925" t="s">
        <v>1414</v>
      </c>
      <c r="B925" t="s">
        <v>8009</v>
      </c>
      <c r="C925" s="1665">
        <v>162873713</v>
      </c>
      <c r="D925" s="1665">
        <v>154082952</v>
      </c>
      <c r="E925" s="1665">
        <v>162873713</v>
      </c>
      <c r="F925" s="1665">
        <v>154082952</v>
      </c>
      <c r="G925" s="1665">
        <v>162873713</v>
      </c>
      <c r="H925" s="1665">
        <v>154082952</v>
      </c>
      <c r="I925" s="101">
        <v>162873713</v>
      </c>
      <c r="J925" s="101">
        <v>154082952</v>
      </c>
    </row>
    <row r="926" spans="1:10">
      <c r="A926" t="s">
        <v>1077</v>
      </c>
      <c r="B926" t="s">
        <v>8010</v>
      </c>
      <c r="C926" s="1665">
        <v>89733651</v>
      </c>
      <c r="D926" s="1665">
        <v>84844120</v>
      </c>
      <c r="E926" s="1665">
        <v>89733651</v>
      </c>
      <c r="F926" s="1665">
        <v>84844120</v>
      </c>
      <c r="G926" s="1665">
        <v>89733651</v>
      </c>
      <c r="H926" s="1665">
        <v>84844120</v>
      </c>
      <c r="I926" s="101">
        <v>89733651</v>
      </c>
      <c r="J926" s="101">
        <v>84844120</v>
      </c>
    </row>
    <row r="927" spans="1:10">
      <c r="A927" t="s">
        <v>1861</v>
      </c>
      <c r="B927" t="s">
        <v>8011</v>
      </c>
      <c r="C927" s="1665">
        <v>415703549</v>
      </c>
      <c r="D927" s="1665">
        <v>396456352</v>
      </c>
      <c r="E927" s="1665">
        <v>415703549</v>
      </c>
      <c r="F927" s="1665">
        <v>396456352</v>
      </c>
      <c r="G927" s="1665">
        <v>415703549</v>
      </c>
      <c r="H927" s="1665">
        <v>396456352</v>
      </c>
      <c r="I927" s="101">
        <v>415703549</v>
      </c>
      <c r="J927" s="101">
        <v>396456352</v>
      </c>
    </row>
    <row r="928" spans="1:10">
      <c r="A928" t="s">
        <v>1078</v>
      </c>
      <c r="B928" t="s">
        <v>8012</v>
      </c>
      <c r="C928" s="1665">
        <v>231006317</v>
      </c>
      <c r="D928" s="1665">
        <v>219759904</v>
      </c>
      <c r="E928" s="1665">
        <v>231006317</v>
      </c>
      <c r="F928" s="1665">
        <v>219759904</v>
      </c>
      <c r="G928" s="1665">
        <v>231006317</v>
      </c>
      <c r="H928" s="1665">
        <v>219759904</v>
      </c>
      <c r="I928" s="101">
        <v>231006317</v>
      </c>
      <c r="J928" s="101">
        <v>219759904</v>
      </c>
    </row>
    <row r="929" spans="1:10">
      <c r="A929" t="s">
        <v>1079</v>
      </c>
      <c r="B929" t="s">
        <v>8013</v>
      </c>
      <c r="C929" s="1665">
        <v>154410776</v>
      </c>
      <c r="D929" s="1665">
        <v>147293836</v>
      </c>
      <c r="E929" s="1665">
        <v>154410776</v>
      </c>
      <c r="F929" s="1665">
        <v>147293836</v>
      </c>
      <c r="G929" s="1665">
        <v>154410776</v>
      </c>
      <c r="H929" s="1665">
        <v>147293836</v>
      </c>
      <c r="I929" s="101">
        <v>154410776</v>
      </c>
      <c r="J929" s="101">
        <v>147293836</v>
      </c>
    </row>
    <row r="930" spans="1:10">
      <c r="A930" t="s">
        <v>1080</v>
      </c>
      <c r="B930" t="s">
        <v>8014</v>
      </c>
      <c r="C930" s="1665">
        <v>747040082</v>
      </c>
      <c r="D930" s="1665">
        <v>742261018</v>
      </c>
      <c r="E930" s="1665">
        <v>743532675</v>
      </c>
      <c r="F930" s="1665">
        <v>738753611</v>
      </c>
      <c r="G930" s="1665">
        <v>866460935</v>
      </c>
      <c r="H930" s="1665">
        <v>861681871</v>
      </c>
      <c r="I930" s="101">
        <v>869968342</v>
      </c>
      <c r="J930" s="101">
        <v>865189278</v>
      </c>
    </row>
    <row r="931" spans="1:10">
      <c r="A931" t="s">
        <v>1081</v>
      </c>
      <c r="B931" t="s">
        <v>8015</v>
      </c>
      <c r="C931" s="1665">
        <v>3548594750</v>
      </c>
      <c r="D931" s="1665">
        <v>3546539199</v>
      </c>
      <c r="E931" s="1665">
        <v>3548594750</v>
      </c>
      <c r="F931" s="1665">
        <v>3546539199</v>
      </c>
      <c r="G931" s="1665">
        <v>3707681080</v>
      </c>
      <c r="H931" s="1665">
        <v>3705625529</v>
      </c>
      <c r="I931" s="101">
        <v>3707681080</v>
      </c>
      <c r="J931" s="101">
        <v>3705625529</v>
      </c>
    </row>
    <row r="932" spans="1:10">
      <c r="A932" t="s">
        <v>56</v>
      </c>
      <c r="B932" t="s">
        <v>8016</v>
      </c>
      <c r="C932" s="1665">
        <v>90277816</v>
      </c>
      <c r="D932" s="1665">
        <v>88734309</v>
      </c>
      <c r="E932" s="1665">
        <v>90277816</v>
      </c>
      <c r="F932" s="1665">
        <v>88734309</v>
      </c>
      <c r="G932" s="1665">
        <v>124764116</v>
      </c>
      <c r="H932" s="1665">
        <v>123220609</v>
      </c>
      <c r="I932" s="101">
        <v>124764116</v>
      </c>
      <c r="J932" s="101">
        <v>123220609</v>
      </c>
    </row>
    <row r="933" spans="1:10">
      <c r="A933" t="s">
        <v>1544</v>
      </c>
      <c r="B933" t="s">
        <v>8017</v>
      </c>
      <c r="C933" s="1665">
        <v>383431163</v>
      </c>
      <c r="D933" s="1665">
        <v>378143738</v>
      </c>
      <c r="E933" s="1665">
        <v>383431163</v>
      </c>
      <c r="F933" s="1665">
        <v>378143738</v>
      </c>
      <c r="G933" s="1665">
        <v>383431163</v>
      </c>
      <c r="H933" s="1665">
        <v>378143738</v>
      </c>
      <c r="I933" s="101">
        <v>383431163</v>
      </c>
      <c r="J933" s="101">
        <v>378143738</v>
      </c>
    </row>
    <row r="934" spans="1:10">
      <c r="A934" t="s">
        <v>1521</v>
      </c>
      <c r="B934" t="s">
        <v>8018</v>
      </c>
      <c r="C934" s="1665">
        <v>1211271859</v>
      </c>
      <c r="D934" s="1665">
        <v>1171855480</v>
      </c>
      <c r="E934" s="1665">
        <v>1211271859</v>
      </c>
      <c r="F934" s="1665">
        <v>1171855480</v>
      </c>
      <c r="G934" s="1665">
        <v>1306785559</v>
      </c>
      <c r="H934" s="1665">
        <v>1267369180</v>
      </c>
      <c r="I934" s="101">
        <v>1306785559</v>
      </c>
      <c r="J934" s="101">
        <v>1267369180</v>
      </c>
    </row>
    <row r="935" spans="1:10">
      <c r="A935" t="s">
        <v>1319</v>
      </c>
      <c r="B935" t="s">
        <v>8019</v>
      </c>
      <c r="C935" s="1665">
        <v>219414368</v>
      </c>
      <c r="D935" s="1665">
        <v>215451028</v>
      </c>
      <c r="E935" s="1665">
        <v>219414368</v>
      </c>
      <c r="F935" s="1665">
        <v>215451028</v>
      </c>
      <c r="G935" s="1665">
        <v>219414368</v>
      </c>
      <c r="H935" s="1665">
        <v>215451028</v>
      </c>
      <c r="I935" s="101">
        <v>219414368</v>
      </c>
      <c r="J935" s="101">
        <v>215451028</v>
      </c>
    </row>
    <row r="936" spans="1:10">
      <c r="A936" t="s">
        <v>488</v>
      </c>
      <c r="B936" t="s">
        <v>8020</v>
      </c>
      <c r="C936" s="1665">
        <v>2039507658</v>
      </c>
      <c r="D936" s="1665">
        <v>1954950064</v>
      </c>
      <c r="E936" s="1665">
        <v>1946374550</v>
      </c>
      <c r="F936" s="1665">
        <v>1861816956</v>
      </c>
      <c r="G936" s="1665">
        <v>1946374550</v>
      </c>
      <c r="H936" s="1665">
        <v>1861816956</v>
      </c>
      <c r="I936" s="101">
        <v>2039507658</v>
      </c>
      <c r="J936" s="101">
        <v>1954950064</v>
      </c>
    </row>
    <row r="937" spans="1:10">
      <c r="A937" t="s">
        <v>831</v>
      </c>
      <c r="B937" t="s">
        <v>8021</v>
      </c>
      <c r="C937" s="1665">
        <v>214550144</v>
      </c>
      <c r="D937" s="1665">
        <v>213233650</v>
      </c>
      <c r="E937" s="1665">
        <v>214188997</v>
      </c>
      <c r="F937" s="1665">
        <v>212872503</v>
      </c>
      <c r="G937" s="1665">
        <v>214188997</v>
      </c>
      <c r="H937" s="1665">
        <v>212872503</v>
      </c>
      <c r="I937" s="101">
        <v>214550144</v>
      </c>
      <c r="J937" s="101">
        <v>213233650</v>
      </c>
    </row>
    <row r="938" spans="1:10">
      <c r="A938" t="s">
        <v>833</v>
      </c>
      <c r="B938" t="s">
        <v>8022</v>
      </c>
      <c r="C938" s="1665">
        <v>752548176</v>
      </c>
      <c r="D938" s="1665">
        <v>725263902</v>
      </c>
      <c r="E938" s="1665">
        <v>752548176</v>
      </c>
      <c r="F938" s="1665">
        <v>725263902</v>
      </c>
      <c r="G938" s="1665">
        <v>752548176</v>
      </c>
      <c r="H938" s="1665">
        <v>725263902</v>
      </c>
      <c r="I938" s="101">
        <v>752548176</v>
      </c>
      <c r="J938" s="101">
        <v>725263902</v>
      </c>
    </row>
    <row r="939" spans="1:10">
      <c r="A939" t="s">
        <v>834</v>
      </c>
      <c r="B939" t="s">
        <v>7144</v>
      </c>
      <c r="C939" s="1665">
        <v>250377043</v>
      </c>
      <c r="D939" s="1665">
        <v>239082084</v>
      </c>
      <c r="E939" s="1665">
        <v>250377043</v>
      </c>
      <c r="F939" s="1665">
        <v>239082084</v>
      </c>
      <c r="G939" s="1665">
        <v>250377043</v>
      </c>
      <c r="H939" s="1665">
        <v>239082084</v>
      </c>
      <c r="I939" s="101">
        <v>250377043</v>
      </c>
      <c r="J939" s="101">
        <v>239082084</v>
      </c>
    </row>
    <row r="940" spans="1:10">
      <c r="A940" t="s">
        <v>1533</v>
      </c>
      <c r="B940" t="s">
        <v>8023</v>
      </c>
      <c r="C940" s="1665">
        <v>278942739</v>
      </c>
      <c r="D940" s="1665">
        <v>265489144</v>
      </c>
      <c r="E940" s="1665">
        <v>263285681</v>
      </c>
      <c r="F940" s="1665">
        <v>249832086</v>
      </c>
      <c r="G940" s="1665">
        <v>263285681</v>
      </c>
      <c r="H940" s="1665">
        <v>249832086</v>
      </c>
      <c r="I940" s="101">
        <v>278942739</v>
      </c>
      <c r="J940" s="101">
        <v>265489144</v>
      </c>
    </row>
    <row r="941" spans="1:10">
      <c r="A941" t="s">
        <v>1836</v>
      </c>
      <c r="B941" t="s">
        <v>8024</v>
      </c>
      <c r="C941" s="1665">
        <v>114193346</v>
      </c>
      <c r="D941" s="1665">
        <v>109772840</v>
      </c>
      <c r="E941" s="1665">
        <v>114193346</v>
      </c>
      <c r="F941" s="1665">
        <v>109772840</v>
      </c>
      <c r="G941" s="1665">
        <v>114193346</v>
      </c>
      <c r="H941" s="1665">
        <v>109772840</v>
      </c>
      <c r="I941" s="101">
        <v>114193346</v>
      </c>
      <c r="J941" s="101">
        <v>109772840</v>
      </c>
    </row>
    <row r="942" spans="1:10">
      <c r="A942" t="s">
        <v>835</v>
      </c>
      <c r="B942" t="s">
        <v>8025</v>
      </c>
      <c r="C942" s="1665">
        <v>673904112</v>
      </c>
      <c r="D942" s="1665">
        <v>642881374</v>
      </c>
      <c r="E942" s="1665">
        <v>629586124</v>
      </c>
      <c r="F942" s="1665">
        <v>598563386</v>
      </c>
      <c r="G942" s="1665">
        <v>629586124</v>
      </c>
      <c r="H942" s="1665">
        <v>598563386</v>
      </c>
      <c r="I942" s="101">
        <v>673904112</v>
      </c>
      <c r="J942" s="101">
        <v>642881374</v>
      </c>
    </row>
    <row r="943" spans="1:10">
      <c r="A943" t="s">
        <v>836</v>
      </c>
      <c r="B943" t="s">
        <v>8026</v>
      </c>
      <c r="C943" s="1665">
        <v>668022009</v>
      </c>
      <c r="D943" s="1665">
        <v>641136501</v>
      </c>
      <c r="E943" s="1665">
        <v>668022009</v>
      </c>
      <c r="F943" s="1665">
        <v>641136501</v>
      </c>
      <c r="G943" s="1665">
        <v>668022009</v>
      </c>
      <c r="H943" s="1665">
        <v>641136501</v>
      </c>
      <c r="I943" s="101">
        <v>668022009</v>
      </c>
      <c r="J943" s="101">
        <v>641136501</v>
      </c>
    </row>
    <row r="944" spans="1:10">
      <c r="A944" t="s">
        <v>1426</v>
      </c>
      <c r="B944" t="s">
        <v>8027</v>
      </c>
      <c r="C944" s="1665">
        <v>54821153</v>
      </c>
      <c r="D944" s="1665">
        <v>51323449</v>
      </c>
      <c r="E944" s="1665">
        <v>50937505</v>
      </c>
      <c r="F944" s="1665">
        <v>47439801</v>
      </c>
      <c r="G944" s="1665">
        <v>50937505</v>
      </c>
      <c r="H944" s="1665">
        <v>47439801</v>
      </c>
      <c r="I944" s="101">
        <v>54821153</v>
      </c>
      <c r="J944" s="101">
        <v>51323449</v>
      </c>
    </row>
    <row r="945" spans="1:10">
      <c r="A945" t="s">
        <v>877</v>
      </c>
      <c r="B945" t="s">
        <v>8028</v>
      </c>
      <c r="C945" s="1665">
        <v>184493454</v>
      </c>
      <c r="D945" s="1665">
        <v>179206624</v>
      </c>
      <c r="E945" s="1665">
        <v>184493454</v>
      </c>
      <c r="F945" s="1665">
        <v>179206624</v>
      </c>
      <c r="G945" s="1665">
        <v>184493454</v>
      </c>
      <c r="H945" s="1665">
        <v>179206624</v>
      </c>
      <c r="I945" s="101">
        <v>184493454</v>
      </c>
      <c r="J945" s="101">
        <v>179206624</v>
      </c>
    </row>
    <row r="946" spans="1:10">
      <c r="A946" t="s">
        <v>340</v>
      </c>
      <c r="B946" t="s">
        <v>8029</v>
      </c>
      <c r="C946" s="1665">
        <v>5725677979</v>
      </c>
      <c r="D946" s="1665">
        <v>5566716851</v>
      </c>
      <c r="E946" s="1665">
        <v>5725677979</v>
      </c>
      <c r="F946" s="1665">
        <v>5566716851</v>
      </c>
      <c r="G946" s="1665">
        <v>5725677979</v>
      </c>
      <c r="H946" s="1665">
        <v>5566716851</v>
      </c>
      <c r="I946" s="101">
        <v>5725677979</v>
      </c>
      <c r="J946" s="101">
        <v>5566716851</v>
      </c>
    </row>
    <row r="947" spans="1:10">
      <c r="A947" t="s">
        <v>2597</v>
      </c>
      <c r="B947" t="s">
        <v>8030</v>
      </c>
      <c r="C947" s="1665">
        <v>238896378</v>
      </c>
      <c r="D947" s="1665">
        <v>234704048</v>
      </c>
      <c r="E947" s="1665">
        <v>238896378</v>
      </c>
      <c r="F947" s="1665">
        <v>234704048</v>
      </c>
      <c r="G947" s="1665">
        <v>238896378</v>
      </c>
      <c r="H947" s="1665">
        <v>234704048</v>
      </c>
      <c r="I947" s="101">
        <v>238896378</v>
      </c>
      <c r="J947" s="101">
        <v>234704048</v>
      </c>
    </row>
    <row r="948" spans="1:10">
      <c r="A948" t="s">
        <v>1022</v>
      </c>
      <c r="B948" t="s">
        <v>8031</v>
      </c>
      <c r="C948" s="1665">
        <v>360968253</v>
      </c>
      <c r="D948" s="1665">
        <v>351929795</v>
      </c>
      <c r="E948" s="1665">
        <v>360968253</v>
      </c>
      <c r="F948" s="1665">
        <v>351929795</v>
      </c>
      <c r="G948" s="1665">
        <v>360968253</v>
      </c>
      <c r="H948" s="1665">
        <v>351929795</v>
      </c>
      <c r="I948" s="101">
        <v>360968253</v>
      </c>
      <c r="J948" s="101">
        <v>351929795</v>
      </c>
    </row>
    <row r="949" spans="1:10">
      <c r="A949" t="s">
        <v>1156</v>
      </c>
      <c r="B949" t="s">
        <v>8032</v>
      </c>
      <c r="C949" s="1665">
        <v>2952829454</v>
      </c>
      <c r="D949" s="1665">
        <v>2886719711</v>
      </c>
      <c r="E949" s="1665">
        <v>2952829454</v>
      </c>
      <c r="F949" s="1665">
        <v>2886719711</v>
      </c>
      <c r="G949" s="1665">
        <v>2952829454</v>
      </c>
      <c r="H949" s="1665">
        <v>2886719711</v>
      </c>
      <c r="I949" s="101">
        <v>2952829454</v>
      </c>
      <c r="J949" s="101">
        <v>2886719711</v>
      </c>
    </row>
    <row r="950" spans="1:10">
      <c r="A950" t="s">
        <v>276</v>
      </c>
      <c r="B950" t="s">
        <v>8033</v>
      </c>
      <c r="C950" s="1665">
        <v>599871680</v>
      </c>
      <c r="D950" s="1665">
        <v>586266432</v>
      </c>
      <c r="E950" s="1665">
        <v>599871680</v>
      </c>
      <c r="F950" s="1665">
        <v>586266432</v>
      </c>
      <c r="G950" s="1665">
        <v>599871680</v>
      </c>
      <c r="H950" s="1665">
        <v>586266432</v>
      </c>
      <c r="I950" s="101">
        <v>599871680</v>
      </c>
      <c r="J950" s="101">
        <v>586266432</v>
      </c>
    </row>
    <row r="951" spans="1:10">
      <c r="A951" t="s">
        <v>277</v>
      </c>
      <c r="B951" t="s">
        <v>8034</v>
      </c>
      <c r="C951" s="1665">
        <v>3495148795</v>
      </c>
      <c r="D951" s="1665">
        <v>3433349874</v>
      </c>
      <c r="E951" s="1665">
        <v>3495148795</v>
      </c>
      <c r="F951" s="1665">
        <v>3433349874</v>
      </c>
      <c r="G951" s="1665">
        <v>3573863543</v>
      </c>
      <c r="H951" s="1665">
        <v>3512064622</v>
      </c>
      <c r="I951" s="101">
        <v>3573863543</v>
      </c>
      <c r="J951" s="101">
        <v>3512064622</v>
      </c>
    </row>
    <row r="952" spans="1:10">
      <c r="A952" t="s">
        <v>624</v>
      </c>
      <c r="B952" t="s">
        <v>8035</v>
      </c>
      <c r="C952" s="1665">
        <v>1213079309</v>
      </c>
      <c r="D952" s="1665">
        <v>1200744470</v>
      </c>
      <c r="E952" s="1665">
        <v>1209837482</v>
      </c>
      <c r="F952" s="1665">
        <v>1197502643</v>
      </c>
      <c r="G952" s="1665">
        <v>1234235192</v>
      </c>
      <c r="H952" s="1665">
        <v>1221900353</v>
      </c>
      <c r="I952" s="101">
        <v>1237477019</v>
      </c>
      <c r="J952" s="101">
        <v>1225142180</v>
      </c>
    </row>
    <row r="953" spans="1:10">
      <c r="A953" t="s">
        <v>625</v>
      </c>
      <c r="B953" t="s">
        <v>8036</v>
      </c>
      <c r="C953" s="1665">
        <v>2039379816</v>
      </c>
      <c r="D953" s="1665">
        <v>2039379816</v>
      </c>
      <c r="E953" s="1665">
        <v>2026440061</v>
      </c>
      <c r="F953" s="1665">
        <v>2026440061</v>
      </c>
      <c r="G953" s="1665">
        <v>2026440061</v>
      </c>
      <c r="H953" s="1665">
        <v>2026440061</v>
      </c>
      <c r="I953" s="101">
        <v>2039379816</v>
      </c>
      <c r="J953" s="101">
        <v>2039379816</v>
      </c>
    </row>
    <row r="954" spans="1:10">
      <c r="A954" t="s">
        <v>626</v>
      </c>
      <c r="B954" t="s">
        <v>8037</v>
      </c>
      <c r="C954" s="1665">
        <v>111206270</v>
      </c>
      <c r="D954" s="1665">
        <v>111206270</v>
      </c>
      <c r="E954" s="1665">
        <v>110951930</v>
      </c>
      <c r="F954" s="1665">
        <v>110951930</v>
      </c>
      <c r="G954" s="1665">
        <v>110951930</v>
      </c>
      <c r="H954" s="1665">
        <v>110951930</v>
      </c>
      <c r="I954" s="101">
        <v>111206270</v>
      </c>
      <c r="J954" s="101">
        <v>111206270</v>
      </c>
    </row>
    <row r="955" spans="1:10">
      <c r="A955" t="s">
        <v>2339</v>
      </c>
      <c r="B955" t="s">
        <v>8038</v>
      </c>
      <c r="C955" s="1665">
        <v>2808534669</v>
      </c>
      <c r="D955" s="1665">
        <v>2741515047</v>
      </c>
      <c r="E955" s="1665">
        <v>2808534669</v>
      </c>
      <c r="F955" s="1665">
        <v>2741515047</v>
      </c>
      <c r="G955" s="1665">
        <v>2808534669</v>
      </c>
      <c r="H955" s="1665">
        <v>2741515047</v>
      </c>
      <c r="I955" s="101">
        <v>2808534669</v>
      </c>
      <c r="J955" s="101">
        <v>2741515047</v>
      </c>
    </row>
    <row r="956" spans="1:10">
      <c r="A956" t="s">
        <v>2340</v>
      </c>
      <c r="B956" t="s">
        <v>8039</v>
      </c>
      <c r="C956" s="1665">
        <v>438244566</v>
      </c>
      <c r="D956" s="1665">
        <v>430129943</v>
      </c>
      <c r="E956" s="1665">
        <v>438244566</v>
      </c>
      <c r="F956" s="1665">
        <v>430129943</v>
      </c>
      <c r="G956" s="1665">
        <v>438244566</v>
      </c>
      <c r="H956" s="1665">
        <v>430129943</v>
      </c>
      <c r="I956" s="101">
        <v>438244566</v>
      </c>
      <c r="J956" s="101">
        <v>430129943</v>
      </c>
    </row>
    <row r="957" spans="1:10">
      <c r="A957" t="s">
        <v>1768</v>
      </c>
      <c r="B957" t="s">
        <v>8040</v>
      </c>
      <c r="C957" s="1665">
        <v>2473514817</v>
      </c>
      <c r="D957" s="1665">
        <v>2389862689</v>
      </c>
      <c r="E957" s="1665">
        <v>2434228448</v>
      </c>
      <c r="F957" s="1665">
        <v>2350576320</v>
      </c>
      <c r="G957" s="1665">
        <v>2434228448</v>
      </c>
      <c r="H957" s="1665">
        <v>2350576320</v>
      </c>
      <c r="I957" s="101">
        <v>2473514817</v>
      </c>
      <c r="J957" s="101">
        <v>2389862689</v>
      </c>
    </row>
    <row r="958" spans="1:10">
      <c r="A958" t="s">
        <v>1520</v>
      </c>
      <c r="B958" t="s">
        <v>8041</v>
      </c>
      <c r="C958" s="1665">
        <v>17763367964</v>
      </c>
      <c r="D958" s="1665">
        <v>17508869464</v>
      </c>
      <c r="E958" s="1665">
        <v>17422479344</v>
      </c>
      <c r="F958" s="1665">
        <v>17167980844</v>
      </c>
      <c r="G958" s="1665">
        <v>17422479344</v>
      </c>
      <c r="H958" s="1665">
        <v>17167980844</v>
      </c>
      <c r="I958" s="101">
        <v>17763367964</v>
      </c>
      <c r="J958" s="101">
        <v>17508869464</v>
      </c>
    </row>
    <row r="959" spans="1:10">
      <c r="A959" t="s">
        <v>927</v>
      </c>
      <c r="B959" t="s">
        <v>8042</v>
      </c>
      <c r="C959" s="1665">
        <v>577838656</v>
      </c>
      <c r="D959" s="1665">
        <v>576348459</v>
      </c>
      <c r="E959" s="1665">
        <v>576814876</v>
      </c>
      <c r="F959" s="1665">
        <v>575324679</v>
      </c>
      <c r="G959" s="1665">
        <v>1174814866</v>
      </c>
      <c r="H959" s="1665">
        <v>1173324669</v>
      </c>
      <c r="I959" s="101">
        <v>1175838646</v>
      </c>
      <c r="J959" s="101">
        <v>1174348449</v>
      </c>
    </row>
    <row r="960" spans="1:10">
      <c r="A960" t="s">
        <v>928</v>
      </c>
      <c r="B960" t="s">
        <v>8043</v>
      </c>
      <c r="C960" s="1665">
        <v>399864126</v>
      </c>
      <c r="D960" s="1665">
        <v>390496337</v>
      </c>
      <c r="E960" s="1665">
        <v>399864126</v>
      </c>
      <c r="F960" s="1665">
        <v>390496337</v>
      </c>
      <c r="G960" s="1665">
        <v>399864126</v>
      </c>
      <c r="H960" s="1665">
        <v>390496337</v>
      </c>
      <c r="I960" s="101">
        <v>399864126</v>
      </c>
      <c r="J960" s="101">
        <v>390496337</v>
      </c>
    </row>
    <row r="961" spans="1:10">
      <c r="A961" t="s">
        <v>929</v>
      </c>
      <c r="B961" t="s">
        <v>8044</v>
      </c>
      <c r="C961" s="1665">
        <v>375609966</v>
      </c>
      <c r="D961" s="1665">
        <v>365677744</v>
      </c>
      <c r="E961" s="1665">
        <v>375609966</v>
      </c>
      <c r="F961" s="1665">
        <v>365677744</v>
      </c>
      <c r="G961" s="1665">
        <v>375609966</v>
      </c>
      <c r="H961" s="1665">
        <v>365677744</v>
      </c>
      <c r="I961" s="101">
        <v>375609966</v>
      </c>
      <c r="J961" s="101">
        <v>365677744</v>
      </c>
    </row>
    <row r="962" spans="1:10">
      <c r="A962" t="s">
        <v>571</v>
      </c>
      <c r="B962" t="s">
        <v>8045</v>
      </c>
      <c r="C962" s="1665">
        <v>1254377752</v>
      </c>
      <c r="D962" s="1665">
        <v>1219319077</v>
      </c>
      <c r="E962" s="1665">
        <v>1254377752</v>
      </c>
      <c r="F962" s="1665">
        <v>1219319077</v>
      </c>
      <c r="G962" s="1665">
        <v>1254377752</v>
      </c>
      <c r="H962" s="1665">
        <v>1219319077</v>
      </c>
      <c r="I962" s="101">
        <v>1254377752</v>
      </c>
      <c r="J962" s="101">
        <v>1219319077</v>
      </c>
    </row>
    <row r="963" spans="1:10">
      <c r="A963" t="s">
        <v>902</v>
      </c>
      <c r="B963" t="s">
        <v>8046</v>
      </c>
      <c r="C963" s="1665">
        <v>1375741347</v>
      </c>
      <c r="D963" s="1665">
        <v>1352810439</v>
      </c>
      <c r="E963" s="1665">
        <v>1375741347</v>
      </c>
      <c r="F963" s="1665">
        <v>1352810439</v>
      </c>
      <c r="G963" s="1665">
        <v>1375741347</v>
      </c>
      <c r="H963" s="1665">
        <v>1352810439</v>
      </c>
      <c r="I963" s="101">
        <v>1375741347</v>
      </c>
      <c r="J963" s="101">
        <v>1352810439</v>
      </c>
    </row>
    <row r="964" spans="1:10">
      <c r="A964" t="s">
        <v>903</v>
      </c>
      <c r="B964" t="s">
        <v>8047</v>
      </c>
      <c r="C964" s="1665">
        <v>273978807</v>
      </c>
      <c r="D964" s="1665">
        <v>268325251</v>
      </c>
      <c r="E964" s="1665">
        <v>273978807</v>
      </c>
      <c r="F964" s="1665">
        <v>268325251</v>
      </c>
      <c r="G964" s="1665">
        <v>273978807</v>
      </c>
      <c r="H964" s="1665">
        <v>268325251</v>
      </c>
      <c r="I964" s="101">
        <v>273978807</v>
      </c>
      <c r="J964" s="101">
        <v>268325251</v>
      </c>
    </row>
    <row r="965" spans="1:10">
      <c r="A965" t="s">
        <v>904</v>
      </c>
      <c r="B965" t="s">
        <v>8048</v>
      </c>
      <c r="C965" s="1665">
        <v>129729919</v>
      </c>
      <c r="D965" s="1665">
        <v>125060329</v>
      </c>
      <c r="E965" s="1665">
        <v>129729919</v>
      </c>
      <c r="F965" s="1665">
        <v>125060329</v>
      </c>
      <c r="G965" s="1665">
        <v>129729919</v>
      </c>
      <c r="H965" s="1665">
        <v>125060329</v>
      </c>
      <c r="I965" s="101">
        <v>129729919</v>
      </c>
      <c r="J965" s="101">
        <v>125060329</v>
      </c>
    </row>
    <row r="966" spans="1:10">
      <c r="A966" t="s">
        <v>905</v>
      </c>
      <c r="B966" t="s">
        <v>8049</v>
      </c>
      <c r="C966" s="1665">
        <v>281909724</v>
      </c>
      <c r="D966" s="1665">
        <v>278113714</v>
      </c>
      <c r="E966" s="1665">
        <v>281909724</v>
      </c>
      <c r="F966" s="1665">
        <v>278113714</v>
      </c>
      <c r="G966" s="1665">
        <v>281909724</v>
      </c>
      <c r="H966" s="1665">
        <v>278113714</v>
      </c>
      <c r="I966" s="101">
        <v>281909724</v>
      </c>
      <c r="J966" s="101">
        <v>278113714</v>
      </c>
    </row>
    <row r="967" spans="1:10">
      <c r="A967" t="s">
        <v>1724</v>
      </c>
      <c r="B967" t="s">
        <v>8050</v>
      </c>
      <c r="C967" s="1665">
        <v>610725337</v>
      </c>
      <c r="D967" s="1665">
        <v>610401167</v>
      </c>
      <c r="E967" s="1665">
        <v>610725337</v>
      </c>
      <c r="F967" s="1665">
        <v>610401167</v>
      </c>
      <c r="G967" s="1665">
        <v>610725337</v>
      </c>
      <c r="H967" s="1665">
        <v>610401167</v>
      </c>
      <c r="I967" s="101">
        <v>610725337</v>
      </c>
      <c r="J967" s="101">
        <v>610401167</v>
      </c>
    </row>
    <row r="968" spans="1:10">
      <c r="A968" t="s">
        <v>2319</v>
      </c>
      <c r="B968" t="s">
        <v>8051</v>
      </c>
      <c r="C968" s="1665">
        <v>1131798376</v>
      </c>
      <c r="D968" s="1665">
        <v>1130085876</v>
      </c>
      <c r="E968" s="1665">
        <v>1131798376</v>
      </c>
      <c r="F968" s="1665">
        <v>1130085876</v>
      </c>
      <c r="G968" s="1665">
        <v>1172526246</v>
      </c>
      <c r="H968" s="1665">
        <v>1170813746</v>
      </c>
      <c r="I968" s="101">
        <v>1172526246</v>
      </c>
      <c r="J968" s="101">
        <v>1170813746</v>
      </c>
    </row>
    <row r="969" spans="1:10">
      <c r="A969" t="s">
        <v>884</v>
      </c>
      <c r="B969" t="s">
        <v>8052</v>
      </c>
      <c r="C969" s="1665">
        <v>871181729</v>
      </c>
      <c r="D969" s="1665">
        <v>840418321</v>
      </c>
      <c r="E969" s="1665">
        <v>871181729</v>
      </c>
      <c r="F969" s="1665">
        <v>840418321</v>
      </c>
      <c r="G969" s="1665">
        <v>871181729</v>
      </c>
      <c r="H969" s="1665">
        <v>840418321</v>
      </c>
      <c r="I969" s="101">
        <v>871181729</v>
      </c>
      <c r="J969" s="101">
        <v>840418321</v>
      </c>
    </row>
    <row r="970" spans="1:10">
      <c r="A970" t="s">
        <v>1255</v>
      </c>
      <c r="B970" t="s">
        <v>8053</v>
      </c>
      <c r="C970" s="1665">
        <v>177556982</v>
      </c>
      <c r="D970" s="1665">
        <v>172636402</v>
      </c>
      <c r="E970" s="1665">
        <v>177556982</v>
      </c>
      <c r="F970" s="1665">
        <v>172636402</v>
      </c>
      <c r="G970" s="1665">
        <v>177556982</v>
      </c>
      <c r="H970" s="1665">
        <v>172636402</v>
      </c>
      <c r="I970" s="101">
        <v>177556982</v>
      </c>
      <c r="J970" s="101">
        <v>172636402</v>
      </c>
    </row>
    <row r="971" spans="1:10">
      <c r="A971" t="s">
        <v>642</v>
      </c>
      <c r="B971" t="s">
        <v>8054</v>
      </c>
      <c r="C971" s="1665">
        <v>579984867</v>
      </c>
      <c r="D971" s="1665">
        <v>556172279</v>
      </c>
      <c r="E971" s="1665">
        <v>579984867</v>
      </c>
      <c r="F971" s="1665">
        <v>556172279</v>
      </c>
      <c r="G971" s="1665">
        <v>579984867</v>
      </c>
      <c r="H971" s="1665">
        <v>556172279</v>
      </c>
      <c r="I971" s="101">
        <v>579984867</v>
      </c>
      <c r="J971" s="101">
        <v>556172279</v>
      </c>
    </row>
    <row r="972" spans="1:10">
      <c r="A972" t="s">
        <v>1827</v>
      </c>
      <c r="B972" t="s">
        <v>8055</v>
      </c>
      <c r="C972" s="1665">
        <v>4548141443</v>
      </c>
      <c r="D972" s="1665">
        <v>4402435540</v>
      </c>
      <c r="E972" s="1665">
        <v>4548141443</v>
      </c>
      <c r="F972" s="1665">
        <v>4402435540</v>
      </c>
      <c r="G972" s="1665">
        <v>4548141443</v>
      </c>
      <c r="H972" s="1665">
        <v>4402435540</v>
      </c>
      <c r="I972" s="101">
        <v>4548141443</v>
      </c>
      <c r="J972" s="101">
        <v>4402435540</v>
      </c>
    </row>
    <row r="973" spans="1:10">
      <c r="A973" t="s">
        <v>573</v>
      </c>
      <c r="B973" t="s">
        <v>8056</v>
      </c>
      <c r="C973" s="1665">
        <v>204260934</v>
      </c>
      <c r="D973" s="1665">
        <v>195963930</v>
      </c>
      <c r="E973" s="1665">
        <v>204260934</v>
      </c>
      <c r="F973" s="1665">
        <v>195963930</v>
      </c>
      <c r="G973" s="1665">
        <v>204260934</v>
      </c>
      <c r="H973" s="1665">
        <v>195963930</v>
      </c>
      <c r="I973" s="101">
        <v>204260934</v>
      </c>
      <c r="J973" s="101">
        <v>195963930</v>
      </c>
    </row>
    <row r="974" spans="1:10">
      <c r="A974" t="s">
        <v>1358</v>
      </c>
      <c r="B974" t="s">
        <v>8057</v>
      </c>
      <c r="C974" s="1665">
        <v>81307338</v>
      </c>
      <c r="D974" s="1665">
        <v>80997608</v>
      </c>
      <c r="E974" s="1665">
        <v>81307338</v>
      </c>
      <c r="F974" s="1665">
        <v>80997608</v>
      </c>
      <c r="G974" s="1665">
        <v>158085378</v>
      </c>
      <c r="H974" s="1665">
        <v>157775648</v>
      </c>
      <c r="I974" s="101">
        <v>158085378</v>
      </c>
      <c r="J974" s="101">
        <v>157775648</v>
      </c>
    </row>
    <row r="975" spans="1:10">
      <c r="A975" t="s">
        <v>9</v>
      </c>
      <c r="B975" t="s">
        <v>8058</v>
      </c>
      <c r="C975" s="1665">
        <v>901341334</v>
      </c>
      <c r="D975" s="1665">
        <v>878496604</v>
      </c>
      <c r="E975" s="1665">
        <v>901341334</v>
      </c>
      <c r="F975" s="1665">
        <v>878496604</v>
      </c>
      <c r="G975" s="1665">
        <v>1011556094</v>
      </c>
      <c r="H975" s="1665">
        <v>988711364</v>
      </c>
      <c r="I975" s="101">
        <v>1011556094</v>
      </c>
      <c r="J975" s="101">
        <v>988711364</v>
      </c>
    </row>
    <row r="976" spans="1:10">
      <c r="A976" t="s">
        <v>10</v>
      </c>
      <c r="B976" t="s">
        <v>7151</v>
      </c>
      <c r="C976" s="1665">
        <v>40374778</v>
      </c>
      <c r="D976" s="1665">
        <v>39786268</v>
      </c>
      <c r="E976" s="1665">
        <v>40374778</v>
      </c>
      <c r="F976" s="1665">
        <v>39786268</v>
      </c>
      <c r="G976" s="1665">
        <v>72658278</v>
      </c>
      <c r="H976" s="1665">
        <v>72069768</v>
      </c>
      <c r="I976" s="101">
        <v>72658278</v>
      </c>
      <c r="J976" s="101">
        <v>72069768</v>
      </c>
    </row>
    <row r="977" spans="1:10">
      <c r="A977" t="s">
        <v>1503</v>
      </c>
      <c r="B977" t="s">
        <v>8059</v>
      </c>
      <c r="C977" s="1665">
        <v>37692351</v>
      </c>
      <c r="D977" s="1665">
        <v>35534692</v>
      </c>
      <c r="E977" s="1665">
        <v>37692351</v>
      </c>
      <c r="F977" s="1665">
        <v>35534692</v>
      </c>
      <c r="G977" s="1665">
        <v>37692351</v>
      </c>
      <c r="H977" s="1665">
        <v>35534692</v>
      </c>
      <c r="I977" s="101">
        <v>37692351</v>
      </c>
      <c r="J977" s="101">
        <v>35534692</v>
      </c>
    </row>
    <row r="978" spans="1:10">
      <c r="A978" t="s">
        <v>2089</v>
      </c>
      <c r="B978" t="s">
        <v>8060</v>
      </c>
      <c r="C978" s="1665">
        <v>260578761</v>
      </c>
      <c r="D978" s="1665">
        <v>250135855</v>
      </c>
      <c r="E978" s="1665">
        <v>260578761</v>
      </c>
      <c r="F978" s="1665">
        <v>250135855</v>
      </c>
      <c r="G978" s="1665">
        <v>618483519</v>
      </c>
      <c r="H978" s="1665">
        <v>608040613</v>
      </c>
      <c r="I978" s="101">
        <v>618483519</v>
      </c>
      <c r="J978" s="101">
        <v>608040613</v>
      </c>
    </row>
    <row r="979" spans="1:10">
      <c r="A979" t="s">
        <v>425</v>
      </c>
      <c r="B979" t="s">
        <v>8061</v>
      </c>
      <c r="C979" s="1665">
        <v>333764286</v>
      </c>
      <c r="D979" s="1665">
        <v>319573890</v>
      </c>
      <c r="E979" s="1665">
        <v>333764286</v>
      </c>
      <c r="F979" s="1665">
        <v>319573890</v>
      </c>
      <c r="G979" s="1665">
        <v>389253094</v>
      </c>
      <c r="H979" s="1665">
        <v>375062698</v>
      </c>
      <c r="I979" s="101">
        <v>389253094</v>
      </c>
      <c r="J979" s="101">
        <v>375062698</v>
      </c>
    </row>
    <row r="980" spans="1:10">
      <c r="A980" t="s">
        <v>278</v>
      </c>
      <c r="B980" t="s">
        <v>8062</v>
      </c>
      <c r="C980" s="1665">
        <v>114295225</v>
      </c>
      <c r="D980" s="1665">
        <v>112001412</v>
      </c>
      <c r="E980" s="1665">
        <v>114295225</v>
      </c>
      <c r="F980" s="1665">
        <v>112001412</v>
      </c>
      <c r="G980" s="1665">
        <v>343667895</v>
      </c>
      <c r="H980" s="1665">
        <v>341374082</v>
      </c>
      <c r="I980" s="101">
        <v>343667895</v>
      </c>
      <c r="J980" s="101">
        <v>341374082</v>
      </c>
    </row>
    <row r="981" spans="1:10">
      <c r="A981" t="s">
        <v>1338</v>
      </c>
      <c r="B981" t="s">
        <v>8063</v>
      </c>
      <c r="C981" s="1665">
        <v>406175502</v>
      </c>
      <c r="D981" s="1665">
        <v>394949240</v>
      </c>
      <c r="E981" s="1665">
        <v>406175502</v>
      </c>
      <c r="F981" s="1665">
        <v>394949240</v>
      </c>
      <c r="G981" s="1665">
        <v>406175502</v>
      </c>
      <c r="H981" s="1665">
        <v>394949240</v>
      </c>
      <c r="I981" s="101">
        <v>406175502</v>
      </c>
      <c r="J981" s="101">
        <v>394949240</v>
      </c>
    </row>
    <row r="982" spans="1:10">
      <c r="A982" t="s">
        <v>2580</v>
      </c>
      <c r="B982" t="s">
        <v>8064</v>
      </c>
      <c r="C982" s="1665">
        <v>9976729494</v>
      </c>
      <c r="D982" s="1665">
        <v>9761278191</v>
      </c>
      <c r="E982" s="1665">
        <v>9976729494</v>
      </c>
      <c r="F982" s="1665">
        <v>9761278191</v>
      </c>
      <c r="G982" s="1665">
        <v>9976729494</v>
      </c>
      <c r="H982" s="1665">
        <v>9761278191</v>
      </c>
      <c r="I982" s="101">
        <v>9976729494</v>
      </c>
      <c r="J982" s="101">
        <v>9761278191</v>
      </c>
    </row>
    <row r="983" spans="1:10">
      <c r="A983" t="s">
        <v>1799</v>
      </c>
      <c r="B983" t="s">
        <v>8065</v>
      </c>
      <c r="C983" s="1665">
        <v>169659298</v>
      </c>
      <c r="D983" s="1665">
        <v>163441932</v>
      </c>
      <c r="E983" s="1665">
        <v>169659298</v>
      </c>
      <c r="F983" s="1665">
        <v>163441932</v>
      </c>
      <c r="G983" s="1665">
        <v>169659298</v>
      </c>
      <c r="H983" s="1665">
        <v>163441932</v>
      </c>
      <c r="I983" s="101">
        <v>169659298</v>
      </c>
      <c r="J983" s="101">
        <v>163441932</v>
      </c>
    </row>
    <row r="984" spans="1:10">
      <c r="A984" t="s">
        <v>40</v>
      </c>
      <c r="B984" t="s">
        <v>8066</v>
      </c>
      <c r="C984" s="1665">
        <v>3304298122</v>
      </c>
      <c r="D984" s="1665">
        <v>3222363330</v>
      </c>
      <c r="E984" s="1665">
        <v>3304298122</v>
      </c>
      <c r="F984" s="1665">
        <v>3222363330</v>
      </c>
      <c r="G984" s="1665">
        <v>3304298122</v>
      </c>
      <c r="H984" s="1665">
        <v>3222363330</v>
      </c>
      <c r="I984" s="101">
        <v>3304298122</v>
      </c>
      <c r="J984" s="101">
        <v>3222363330</v>
      </c>
    </row>
    <row r="985" spans="1:10">
      <c r="A985" t="s">
        <v>11</v>
      </c>
      <c r="B985" t="s">
        <v>8067</v>
      </c>
      <c r="C985" s="1665">
        <v>1274971652</v>
      </c>
      <c r="D985" s="1665">
        <v>1236586341</v>
      </c>
      <c r="E985" s="1665">
        <v>1274971652</v>
      </c>
      <c r="F985" s="1665">
        <v>1236586341</v>
      </c>
      <c r="G985" s="1665">
        <v>1274971652</v>
      </c>
      <c r="H985" s="1665">
        <v>1236586341</v>
      </c>
      <c r="I985" s="101">
        <v>1274971652</v>
      </c>
      <c r="J985" s="101">
        <v>1236586341</v>
      </c>
    </row>
    <row r="986" spans="1:10">
      <c r="A986" t="s">
        <v>1771</v>
      </c>
      <c r="B986" t="s">
        <v>8068</v>
      </c>
      <c r="C986" s="1665">
        <v>2473342593</v>
      </c>
      <c r="D986" s="1665">
        <v>2426828260</v>
      </c>
      <c r="E986" s="1665">
        <v>2473342593</v>
      </c>
      <c r="F986" s="1665">
        <v>2426828260</v>
      </c>
      <c r="G986" s="1665">
        <v>2473342593</v>
      </c>
      <c r="H986" s="1665">
        <v>2426828260</v>
      </c>
      <c r="I986" s="101">
        <v>2473342593</v>
      </c>
      <c r="J986" s="101">
        <v>2426828260</v>
      </c>
    </row>
    <row r="987" spans="1:10">
      <c r="A987" t="s">
        <v>1310</v>
      </c>
      <c r="B987" t="s">
        <v>8069</v>
      </c>
      <c r="C987" s="1665">
        <v>36281455977</v>
      </c>
      <c r="D987" s="1665">
        <v>35756673762</v>
      </c>
      <c r="E987" s="1665">
        <v>36281455977</v>
      </c>
      <c r="F987" s="1665">
        <v>35756673762</v>
      </c>
      <c r="G987" s="1665">
        <v>36281455977</v>
      </c>
      <c r="H987" s="1665">
        <v>35756673762</v>
      </c>
      <c r="I987" s="101">
        <v>36281455977</v>
      </c>
      <c r="J987" s="101">
        <v>35756673762</v>
      </c>
    </row>
    <row r="988" spans="1:10">
      <c r="A988" t="s">
        <v>1545</v>
      </c>
      <c r="B988" t="s">
        <v>8070</v>
      </c>
      <c r="C988" s="1665">
        <v>1131897808</v>
      </c>
      <c r="D988" s="1665">
        <v>1095957811</v>
      </c>
      <c r="E988" s="1665">
        <v>1131897808</v>
      </c>
      <c r="F988" s="1665">
        <v>1095957811</v>
      </c>
      <c r="G988" s="1665">
        <v>1131897808</v>
      </c>
      <c r="H988" s="1665">
        <v>1095957811</v>
      </c>
      <c r="I988" s="101">
        <v>1131897808</v>
      </c>
      <c r="J988" s="101">
        <v>1095957811</v>
      </c>
    </row>
    <row r="989" spans="1:10">
      <c r="A989" t="s">
        <v>1515</v>
      </c>
      <c r="B989" t="s">
        <v>8071</v>
      </c>
      <c r="C989" s="1665">
        <v>254601043</v>
      </c>
      <c r="D989" s="1665">
        <v>246550871</v>
      </c>
      <c r="E989" s="1665">
        <v>254601043</v>
      </c>
      <c r="F989" s="1665">
        <v>246550871</v>
      </c>
      <c r="G989" s="1665">
        <v>254601043</v>
      </c>
      <c r="H989" s="1665">
        <v>246550871</v>
      </c>
      <c r="I989" s="101">
        <v>254601043</v>
      </c>
      <c r="J989" s="101">
        <v>246550871</v>
      </c>
    </row>
    <row r="990" spans="1:10">
      <c r="A990" t="s">
        <v>1769</v>
      </c>
      <c r="B990" t="s">
        <v>8072</v>
      </c>
      <c r="C990" s="1665">
        <v>25115445387</v>
      </c>
      <c r="D990" s="1665">
        <v>24682941916</v>
      </c>
      <c r="E990" s="1665">
        <v>25115445387</v>
      </c>
      <c r="F990" s="1665">
        <v>24682941916</v>
      </c>
      <c r="G990" s="1665">
        <v>25115445387</v>
      </c>
      <c r="H990" s="1665">
        <v>24682941916</v>
      </c>
      <c r="I990" s="101">
        <v>25115445387</v>
      </c>
      <c r="J990" s="101">
        <v>24682941916</v>
      </c>
    </row>
    <row r="991" spans="1:10">
      <c r="A991" t="s">
        <v>12</v>
      </c>
      <c r="B991" t="s">
        <v>8073</v>
      </c>
      <c r="C991" s="1665">
        <v>86263786</v>
      </c>
      <c r="D991" s="1665">
        <v>83730545</v>
      </c>
      <c r="E991" s="1665">
        <v>86263786</v>
      </c>
      <c r="F991" s="1665">
        <v>83730545</v>
      </c>
      <c r="G991" s="1665">
        <v>86263786</v>
      </c>
      <c r="H991" s="1665">
        <v>83730545</v>
      </c>
      <c r="I991" s="101">
        <v>86263786</v>
      </c>
      <c r="J991" s="101">
        <v>83730545</v>
      </c>
    </row>
    <row r="992" spans="1:10">
      <c r="A992" t="s">
        <v>2455</v>
      </c>
      <c r="B992" t="s">
        <v>8074</v>
      </c>
      <c r="C992" s="1665">
        <v>1368526982</v>
      </c>
      <c r="D992" s="1665">
        <v>1317647510</v>
      </c>
      <c r="E992" s="1665">
        <v>1368526982</v>
      </c>
      <c r="F992" s="1665">
        <v>1317647510</v>
      </c>
      <c r="G992" s="1665">
        <v>1368526982</v>
      </c>
      <c r="H992" s="1665">
        <v>1317647510</v>
      </c>
      <c r="I992" s="101">
        <v>1368526982</v>
      </c>
      <c r="J992" s="101">
        <v>1317647510</v>
      </c>
    </row>
    <row r="993" spans="1:10">
      <c r="A993" t="s">
        <v>59</v>
      </c>
      <c r="B993" t="s">
        <v>8075</v>
      </c>
      <c r="C993" s="1665">
        <v>1153708148</v>
      </c>
      <c r="D993" s="1665">
        <v>1113076042</v>
      </c>
      <c r="E993" s="1665">
        <v>1153708148</v>
      </c>
      <c r="F993" s="1665">
        <v>1113076042</v>
      </c>
      <c r="G993" s="1665">
        <v>1153708148</v>
      </c>
      <c r="H993" s="1665">
        <v>1113076042</v>
      </c>
      <c r="I993" s="101">
        <v>1153708148</v>
      </c>
      <c r="J993" s="101">
        <v>1113076042</v>
      </c>
    </row>
    <row r="994" spans="1:10">
      <c r="A994" t="s">
        <v>2456</v>
      </c>
      <c r="B994" t="s">
        <v>8076</v>
      </c>
      <c r="C994" s="1665">
        <v>325478674</v>
      </c>
      <c r="D994" s="1665">
        <v>316724462</v>
      </c>
      <c r="E994" s="1665">
        <v>325478674</v>
      </c>
      <c r="F994" s="1665">
        <v>316724462</v>
      </c>
      <c r="G994" s="1665">
        <v>325478674</v>
      </c>
      <c r="H994" s="1665">
        <v>316724462</v>
      </c>
      <c r="I994" s="101">
        <v>325478674</v>
      </c>
      <c r="J994" s="101">
        <v>316724462</v>
      </c>
    </row>
    <row r="995" spans="1:10">
      <c r="A995" t="s">
        <v>1512</v>
      </c>
      <c r="B995" t="s">
        <v>8077</v>
      </c>
      <c r="C995" s="1665">
        <v>235249532</v>
      </c>
      <c r="D995" s="1665">
        <v>226465623</v>
      </c>
      <c r="E995" s="1665">
        <v>235249532</v>
      </c>
      <c r="F995" s="1665">
        <v>226465623</v>
      </c>
      <c r="G995" s="1665">
        <v>235249532</v>
      </c>
      <c r="H995" s="1665">
        <v>226465623</v>
      </c>
      <c r="I995" s="101">
        <v>235249532</v>
      </c>
      <c r="J995" s="101">
        <v>226465623</v>
      </c>
    </row>
    <row r="996" spans="1:10">
      <c r="A996" t="s">
        <v>1174</v>
      </c>
      <c r="B996" t="s">
        <v>8078</v>
      </c>
      <c r="C996" s="1665">
        <v>701226181</v>
      </c>
      <c r="D996" s="1665">
        <v>688843498</v>
      </c>
      <c r="E996" s="1665">
        <v>692267961</v>
      </c>
      <c r="F996" s="1665">
        <v>679885278</v>
      </c>
      <c r="G996" s="1665">
        <v>772494261</v>
      </c>
      <c r="H996" s="1665">
        <v>760111578</v>
      </c>
      <c r="I996" s="101">
        <v>781452481</v>
      </c>
      <c r="J996" s="101">
        <v>769069798</v>
      </c>
    </row>
    <row r="997" spans="1:10">
      <c r="A997" t="s">
        <v>1175</v>
      </c>
      <c r="B997" t="s">
        <v>8079</v>
      </c>
      <c r="C997" s="1665">
        <v>4444513803</v>
      </c>
      <c r="D997" s="1665">
        <v>4442518759</v>
      </c>
      <c r="E997" s="1665">
        <v>4443399704</v>
      </c>
      <c r="F997" s="1665">
        <v>4441404660</v>
      </c>
      <c r="G997" s="1665">
        <v>4443399704</v>
      </c>
      <c r="H997" s="1665">
        <v>4441404660</v>
      </c>
      <c r="I997" s="101">
        <v>4444513803</v>
      </c>
      <c r="J997" s="101">
        <v>4442518759</v>
      </c>
    </row>
    <row r="998" spans="1:10">
      <c r="A998" t="s">
        <v>196</v>
      </c>
      <c r="B998" t="s">
        <v>8080</v>
      </c>
      <c r="C998" s="1665">
        <v>385064531</v>
      </c>
      <c r="D998" s="1665">
        <v>376427885</v>
      </c>
      <c r="E998" s="1665">
        <v>385064531</v>
      </c>
      <c r="F998" s="1665">
        <v>376427885</v>
      </c>
      <c r="G998" s="1665">
        <v>385064531</v>
      </c>
      <c r="H998" s="1665">
        <v>376427885</v>
      </c>
      <c r="I998" s="101">
        <v>385064531</v>
      </c>
      <c r="J998" s="101">
        <v>376427885</v>
      </c>
    </row>
    <row r="999" spans="1:10">
      <c r="A999" t="s">
        <v>800</v>
      </c>
      <c r="B999" t="s">
        <v>8081</v>
      </c>
      <c r="C999" s="1665">
        <v>703339037</v>
      </c>
      <c r="D999" s="1665">
        <v>690444167</v>
      </c>
      <c r="E999" s="1665">
        <v>703339037</v>
      </c>
      <c r="F999" s="1665">
        <v>690444167</v>
      </c>
      <c r="G999" s="1665">
        <v>703339037</v>
      </c>
      <c r="H999" s="1665">
        <v>690444167</v>
      </c>
      <c r="I999" s="101">
        <v>703339037</v>
      </c>
      <c r="J999" s="101">
        <v>690444167</v>
      </c>
    </row>
    <row r="1000" spans="1:10">
      <c r="A1000" t="s">
        <v>2176</v>
      </c>
      <c r="B1000" t="s">
        <v>8082</v>
      </c>
      <c r="C1000" s="1665">
        <v>1365578090</v>
      </c>
      <c r="D1000" s="1665">
        <v>1343090632</v>
      </c>
      <c r="E1000" s="1665">
        <v>1359460008</v>
      </c>
      <c r="F1000" s="1665">
        <v>1336972550</v>
      </c>
      <c r="G1000" s="1665">
        <v>1359460008</v>
      </c>
      <c r="H1000" s="1665">
        <v>1336972550</v>
      </c>
      <c r="I1000" s="101">
        <v>1365578090</v>
      </c>
      <c r="J1000" s="101">
        <v>1343090632</v>
      </c>
    </row>
    <row r="1001" spans="1:10">
      <c r="A1001" t="s">
        <v>2424</v>
      </c>
      <c r="B1001" t="s">
        <v>8083</v>
      </c>
      <c r="C1001" s="1665">
        <v>592893082</v>
      </c>
      <c r="D1001" s="1665">
        <v>585836737</v>
      </c>
      <c r="E1001" s="1665">
        <v>592893082</v>
      </c>
      <c r="F1001" s="1665">
        <v>585836737</v>
      </c>
      <c r="G1001" s="1665">
        <v>592893082</v>
      </c>
      <c r="H1001" s="1665">
        <v>585836737</v>
      </c>
      <c r="I1001" s="101">
        <v>592893082</v>
      </c>
      <c r="J1001" s="101">
        <v>585836737</v>
      </c>
    </row>
    <row r="1002" spans="1:10">
      <c r="A1002" t="s">
        <v>2425</v>
      </c>
      <c r="B1002" t="s">
        <v>8084</v>
      </c>
      <c r="C1002" s="1665">
        <v>2270663079</v>
      </c>
      <c r="D1002" s="1665">
        <v>2236415492</v>
      </c>
      <c r="E1002" s="1665">
        <v>2270663079</v>
      </c>
      <c r="F1002" s="1665">
        <v>2236415492</v>
      </c>
      <c r="G1002" s="1665">
        <v>2270663079</v>
      </c>
      <c r="H1002" s="1665">
        <v>2236415492</v>
      </c>
      <c r="I1002" s="101">
        <v>2270663079</v>
      </c>
      <c r="J1002" s="101">
        <v>2236415492</v>
      </c>
    </row>
    <row r="1003" spans="1:10">
      <c r="A1003" t="s">
        <v>2022</v>
      </c>
      <c r="B1003" t="s">
        <v>8085</v>
      </c>
      <c r="C1003" s="1665">
        <v>462586569</v>
      </c>
      <c r="D1003" s="1665">
        <v>450817653</v>
      </c>
      <c r="E1003" s="1665">
        <v>462586569</v>
      </c>
      <c r="F1003" s="1665">
        <v>450817653</v>
      </c>
      <c r="G1003" s="1665">
        <v>462586569</v>
      </c>
      <c r="H1003" s="1665">
        <v>450817653</v>
      </c>
      <c r="I1003" s="101">
        <v>462586569</v>
      </c>
      <c r="J1003" s="101">
        <v>450817653</v>
      </c>
    </row>
    <row r="1004" spans="1:10">
      <c r="A1004" t="s">
        <v>1150</v>
      </c>
      <c r="B1004" t="s">
        <v>8086</v>
      </c>
      <c r="C1004" s="1665">
        <v>286654810</v>
      </c>
      <c r="D1004" s="1665">
        <v>282670265</v>
      </c>
      <c r="E1004" s="1665">
        <v>279587904</v>
      </c>
      <c r="F1004" s="1665">
        <v>275603359</v>
      </c>
      <c r="G1004" s="1665">
        <v>279587904</v>
      </c>
      <c r="H1004" s="1665">
        <v>275603359</v>
      </c>
      <c r="I1004" s="101">
        <v>286654810</v>
      </c>
      <c r="J1004" s="101">
        <v>282670265</v>
      </c>
    </row>
    <row r="1005" spans="1:10">
      <c r="A1005" t="s">
        <v>2229</v>
      </c>
      <c r="B1005" t="s">
        <v>8087</v>
      </c>
      <c r="C1005" s="1665">
        <v>614329966</v>
      </c>
      <c r="D1005" s="1665">
        <v>602076219</v>
      </c>
      <c r="E1005" s="1665">
        <v>614329966</v>
      </c>
      <c r="F1005" s="1665">
        <v>602076219</v>
      </c>
      <c r="G1005" s="1665">
        <v>614329966</v>
      </c>
      <c r="H1005" s="1665">
        <v>602076219</v>
      </c>
      <c r="I1005" s="101">
        <v>614329966</v>
      </c>
      <c r="J1005" s="101">
        <v>602076219</v>
      </c>
    </row>
    <row r="1006" spans="1:10">
      <c r="A1006" t="s">
        <v>2230</v>
      </c>
      <c r="B1006" t="s">
        <v>8088</v>
      </c>
      <c r="C1006" s="1665">
        <v>549189907</v>
      </c>
      <c r="D1006" s="1665">
        <v>527582979</v>
      </c>
      <c r="E1006" s="1665">
        <v>549189907</v>
      </c>
      <c r="F1006" s="1665">
        <v>527582979</v>
      </c>
      <c r="G1006" s="1665">
        <v>549189907</v>
      </c>
      <c r="H1006" s="1665">
        <v>527582979</v>
      </c>
      <c r="I1006" s="101">
        <v>549189907</v>
      </c>
      <c r="J1006" s="101">
        <v>527582979</v>
      </c>
    </row>
    <row r="1007" spans="1:10">
      <c r="A1007" t="s">
        <v>2575</v>
      </c>
      <c r="B1007" t="s">
        <v>8089</v>
      </c>
      <c r="C1007" s="1665">
        <v>458765445</v>
      </c>
      <c r="D1007" s="1665">
        <v>437730736</v>
      </c>
      <c r="E1007" s="1665">
        <v>458765445</v>
      </c>
      <c r="F1007" s="1665">
        <v>437730736</v>
      </c>
      <c r="G1007" s="1665">
        <v>458765445</v>
      </c>
      <c r="H1007" s="1665">
        <v>437730736</v>
      </c>
      <c r="I1007" s="101">
        <v>458765445</v>
      </c>
      <c r="J1007" s="101">
        <v>437730736</v>
      </c>
    </row>
    <row r="1008" spans="1:10">
      <c r="A1008" t="s">
        <v>2576</v>
      </c>
      <c r="B1008" t="s">
        <v>8090</v>
      </c>
      <c r="C1008" s="1665">
        <v>317116280</v>
      </c>
      <c r="D1008" s="1665">
        <v>307083836</v>
      </c>
      <c r="E1008" s="1665">
        <v>317116280</v>
      </c>
      <c r="F1008" s="1665">
        <v>307083836</v>
      </c>
      <c r="G1008" s="1665">
        <v>317116280</v>
      </c>
      <c r="H1008" s="1665">
        <v>307083836</v>
      </c>
      <c r="I1008" s="101">
        <v>317116280</v>
      </c>
      <c r="J1008" s="101">
        <v>307083836</v>
      </c>
    </row>
    <row r="1009" spans="1:10">
      <c r="A1009" t="s">
        <v>635</v>
      </c>
      <c r="B1009" t="s">
        <v>8091</v>
      </c>
      <c r="C1009" s="1665">
        <v>287133082</v>
      </c>
      <c r="D1009" s="1665">
        <v>273062100</v>
      </c>
      <c r="E1009" s="1665">
        <v>287133082</v>
      </c>
      <c r="F1009" s="1665">
        <v>273062100</v>
      </c>
      <c r="G1009" s="1665">
        <v>287133082</v>
      </c>
      <c r="H1009" s="1665">
        <v>273062100</v>
      </c>
      <c r="I1009" s="101">
        <v>287133082</v>
      </c>
      <c r="J1009" s="101">
        <v>273062100</v>
      </c>
    </row>
    <row r="1010" spans="1:10">
      <c r="A1010" t="s">
        <v>679</v>
      </c>
      <c r="B1010" t="s">
        <v>8092</v>
      </c>
      <c r="C1010" s="1665">
        <v>496697969</v>
      </c>
      <c r="D1010" s="1665">
        <v>476807875</v>
      </c>
      <c r="E1010" s="1665">
        <v>496697969</v>
      </c>
      <c r="F1010" s="1665">
        <v>476807875</v>
      </c>
      <c r="G1010" s="1665">
        <v>496697969</v>
      </c>
      <c r="H1010" s="1665">
        <v>476807875</v>
      </c>
      <c r="I1010" s="101">
        <v>496697969</v>
      </c>
      <c r="J1010" s="101">
        <v>476807875</v>
      </c>
    </row>
    <row r="1011" spans="1:10">
      <c r="A1011" t="s">
        <v>680</v>
      </c>
      <c r="B1011" t="s">
        <v>8093</v>
      </c>
      <c r="C1011" s="1665">
        <v>1362803137</v>
      </c>
      <c r="D1011" s="1665">
        <v>1351662965</v>
      </c>
      <c r="E1011" s="1665">
        <v>1357578897</v>
      </c>
      <c r="F1011" s="1665">
        <v>1346438725</v>
      </c>
      <c r="G1011" s="1665">
        <v>1357578897</v>
      </c>
      <c r="H1011" s="1665">
        <v>1346438725</v>
      </c>
      <c r="I1011" s="101">
        <v>1362803137</v>
      </c>
      <c r="J1011" s="101">
        <v>1351662965</v>
      </c>
    </row>
    <row r="1012" spans="1:10">
      <c r="A1012" t="s">
        <v>1471</v>
      </c>
      <c r="B1012" t="s">
        <v>8094</v>
      </c>
      <c r="C1012" s="1665">
        <v>786310201</v>
      </c>
      <c r="D1012" s="1665">
        <v>782447515</v>
      </c>
      <c r="E1012" s="1665">
        <v>782451393</v>
      </c>
      <c r="F1012" s="1665">
        <v>778588707</v>
      </c>
      <c r="G1012" s="1665">
        <v>782451393</v>
      </c>
      <c r="H1012" s="1665">
        <v>778588707</v>
      </c>
      <c r="I1012" s="101">
        <v>786310201</v>
      </c>
      <c r="J1012" s="101">
        <v>782447515</v>
      </c>
    </row>
    <row r="1013" spans="1:10">
      <c r="A1013" t="s">
        <v>907</v>
      </c>
      <c r="B1013" t="s">
        <v>8095</v>
      </c>
      <c r="C1013" s="1665">
        <v>714855454</v>
      </c>
      <c r="D1013" s="1665">
        <v>686312646</v>
      </c>
      <c r="E1013" s="1665">
        <v>714855454</v>
      </c>
      <c r="F1013" s="1665">
        <v>686312646</v>
      </c>
      <c r="G1013" s="1665">
        <v>723854166</v>
      </c>
      <c r="H1013" s="1665">
        <v>695311358</v>
      </c>
      <c r="I1013" s="101">
        <v>723854166</v>
      </c>
      <c r="J1013" s="101">
        <v>695311358</v>
      </c>
    </row>
    <row r="1014" spans="1:10">
      <c r="A1014" t="s">
        <v>1472</v>
      </c>
      <c r="B1014" t="s">
        <v>8096</v>
      </c>
      <c r="C1014" s="1665">
        <v>75064943</v>
      </c>
      <c r="D1014" s="1665">
        <v>73606721</v>
      </c>
      <c r="E1014" s="1665">
        <v>75064943</v>
      </c>
      <c r="F1014" s="1665">
        <v>73606721</v>
      </c>
      <c r="G1014" s="1665">
        <v>75064943</v>
      </c>
      <c r="H1014" s="1665">
        <v>73606721</v>
      </c>
      <c r="I1014" s="101">
        <v>75064943</v>
      </c>
      <c r="J1014" s="101">
        <v>73606721</v>
      </c>
    </row>
    <row r="1015" spans="1:10">
      <c r="A1015" t="s">
        <v>1504</v>
      </c>
      <c r="B1015" t="s">
        <v>8097</v>
      </c>
      <c r="C1015" s="1665">
        <v>257793423</v>
      </c>
      <c r="D1015" s="1665">
        <v>251377834</v>
      </c>
      <c r="E1015" s="1665">
        <v>257793423</v>
      </c>
      <c r="F1015" s="1665">
        <v>251377834</v>
      </c>
      <c r="G1015" s="1665">
        <v>395257393</v>
      </c>
      <c r="H1015" s="1665">
        <v>388841804</v>
      </c>
      <c r="I1015" s="101">
        <v>395257393</v>
      </c>
      <c r="J1015" s="101">
        <v>388841804</v>
      </c>
    </row>
    <row r="1016" spans="1:10">
      <c r="A1016" t="s">
        <v>514</v>
      </c>
      <c r="B1016" t="s">
        <v>8098</v>
      </c>
      <c r="C1016" s="1665">
        <v>1093612311</v>
      </c>
      <c r="D1016" s="1665">
        <v>1065506300</v>
      </c>
      <c r="E1016" s="1665">
        <v>1069686054</v>
      </c>
      <c r="F1016" s="1665">
        <v>1041580043</v>
      </c>
      <c r="G1016" s="1665">
        <v>1069686054</v>
      </c>
      <c r="H1016" s="1665">
        <v>1041580043</v>
      </c>
      <c r="I1016" s="101">
        <v>1093612311</v>
      </c>
      <c r="J1016" s="101">
        <v>1065506300</v>
      </c>
    </row>
    <row r="1017" spans="1:10">
      <c r="A1017" t="s">
        <v>2406</v>
      </c>
      <c r="B1017" t="s">
        <v>8099</v>
      </c>
      <c r="C1017" s="1665">
        <v>803947477</v>
      </c>
      <c r="D1017" s="1665">
        <v>791302181</v>
      </c>
      <c r="E1017" s="1665">
        <v>803947477</v>
      </c>
      <c r="F1017" s="1665">
        <v>791302181</v>
      </c>
      <c r="G1017" s="1665">
        <v>803947477</v>
      </c>
      <c r="H1017" s="1665">
        <v>791302181</v>
      </c>
      <c r="I1017" s="101">
        <v>803947477</v>
      </c>
      <c r="J1017" s="101">
        <v>791302181</v>
      </c>
    </row>
    <row r="1018" spans="1:10">
      <c r="A1018" t="s">
        <v>1688</v>
      </c>
      <c r="B1018" t="s">
        <v>8100</v>
      </c>
      <c r="C1018" s="1665">
        <v>121171929</v>
      </c>
      <c r="D1018" s="1665">
        <v>118035601</v>
      </c>
      <c r="E1018" s="1665">
        <v>121171929</v>
      </c>
      <c r="F1018" s="1665">
        <v>118035601</v>
      </c>
      <c r="G1018" s="1665">
        <v>121171929</v>
      </c>
      <c r="H1018" s="1665">
        <v>118035601</v>
      </c>
      <c r="I1018" s="101">
        <v>121171929</v>
      </c>
      <c r="J1018" s="101">
        <v>118035601</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018"/>
  <sheetViews>
    <sheetView workbookViewId="0">
      <selection activeCell="B3" sqref="B3"/>
    </sheetView>
  </sheetViews>
  <sheetFormatPr defaultRowHeight="12.75"/>
  <cols>
    <col min="2" max="2" width="8.7109375" style="1417"/>
    <col min="3" max="3" width="23" style="1417" customWidth="1"/>
    <col min="4" max="11" width="15.5703125" style="1417" customWidth="1"/>
  </cols>
  <sheetData>
    <row r="1" spans="1:11" s="54" customFormat="1">
      <c r="B1" s="4659"/>
      <c r="C1" s="4659"/>
      <c r="D1" s="4659" t="s">
        <v>6391</v>
      </c>
      <c r="E1" s="4659" t="s">
        <v>6390</v>
      </c>
      <c r="F1" s="4659" t="s">
        <v>8655</v>
      </c>
      <c r="G1" s="4659" t="s">
        <v>8653</v>
      </c>
      <c r="H1" s="4659" t="s">
        <v>6392</v>
      </c>
      <c r="I1" s="4659" t="s">
        <v>3223</v>
      </c>
      <c r="J1" s="4659" t="s">
        <v>8656</v>
      </c>
      <c r="K1" s="4659" t="s">
        <v>8654</v>
      </c>
    </row>
    <row r="2" spans="1:11">
      <c r="A2" t="s">
        <v>6667</v>
      </c>
      <c r="B2" s="1417" t="s">
        <v>197</v>
      </c>
      <c r="C2" s="1417" t="s">
        <v>7094</v>
      </c>
      <c r="D2" s="1665">
        <v>289163737</v>
      </c>
      <c r="E2" s="1665">
        <v>284102252</v>
      </c>
      <c r="F2" s="1665">
        <v>282832130</v>
      </c>
      <c r="G2" s="1665">
        <v>277770645</v>
      </c>
      <c r="H2" s="1665">
        <v>289163737</v>
      </c>
      <c r="I2" s="1665">
        <v>284102252</v>
      </c>
      <c r="J2" s="1665">
        <v>282832130</v>
      </c>
      <c r="K2" s="1665">
        <v>277770645</v>
      </c>
    </row>
    <row r="3" spans="1:11">
      <c r="A3" t="s">
        <v>3365</v>
      </c>
      <c r="B3" s="1417" t="s">
        <v>1954</v>
      </c>
      <c r="C3" s="1417" t="s">
        <v>7095</v>
      </c>
      <c r="D3" s="1665">
        <v>294068441</v>
      </c>
      <c r="E3" s="1665">
        <v>281043352</v>
      </c>
      <c r="F3" s="1665">
        <v>294068441</v>
      </c>
      <c r="G3" s="1665">
        <v>281043352</v>
      </c>
      <c r="H3" s="1665">
        <v>294068441</v>
      </c>
      <c r="I3" s="1665">
        <v>281043352</v>
      </c>
      <c r="J3" s="1665">
        <v>294068441</v>
      </c>
      <c r="K3" s="1665">
        <v>281043352</v>
      </c>
    </row>
    <row r="4" spans="1:11">
      <c r="A4" t="s">
        <v>5753</v>
      </c>
      <c r="B4" s="1417" t="s">
        <v>14</v>
      </c>
      <c r="C4" s="1417" t="s">
        <v>7096</v>
      </c>
      <c r="D4" s="1665">
        <v>260618278</v>
      </c>
      <c r="E4" s="1665">
        <v>250466055</v>
      </c>
      <c r="F4" s="1665">
        <v>245635630</v>
      </c>
      <c r="G4" s="1665">
        <v>235483407</v>
      </c>
      <c r="H4" s="1665">
        <v>260618278</v>
      </c>
      <c r="I4" s="1665">
        <v>250466055</v>
      </c>
      <c r="J4" s="1665">
        <v>245635630</v>
      </c>
      <c r="K4" s="1665">
        <v>235483407</v>
      </c>
    </row>
    <row r="5" spans="1:11">
      <c r="A5" t="s">
        <v>5754</v>
      </c>
      <c r="B5" s="1417" t="s">
        <v>15</v>
      </c>
      <c r="C5" s="1417" t="s">
        <v>7097</v>
      </c>
      <c r="D5" s="1665">
        <v>111295087</v>
      </c>
      <c r="E5" s="1665">
        <v>107962854</v>
      </c>
      <c r="F5" s="1665">
        <v>107187167</v>
      </c>
      <c r="G5" s="1665">
        <v>103854934</v>
      </c>
      <c r="H5" s="1665">
        <v>111295087</v>
      </c>
      <c r="I5" s="1665">
        <v>107962854</v>
      </c>
      <c r="J5" s="1665">
        <v>107187167</v>
      </c>
      <c r="K5" s="1665">
        <v>103854934</v>
      </c>
    </row>
    <row r="6" spans="1:11">
      <c r="A6" t="s">
        <v>3366</v>
      </c>
      <c r="B6" s="1417" t="s">
        <v>16</v>
      </c>
      <c r="C6" s="1417" t="s">
        <v>7098</v>
      </c>
      <c r="D6" s="1665">
        <v>1144291415</v>
      </c>
      <c r="E6" s="1665">
        <v>1103901342</v>
      </c>
      <c r="F6" s="1665">
        <v>1144291415</v>
      </c>
      <c r="G6" s="1665">
        <v>1103901342</v>
      </c>
      <c r="H6" s="1665">
        <v>1144291415</v>
      </c>
      <c r="I6" s="1665">
        <v>1103901342</v>
      </c>
      <c r="J6" s="1665">
        <v>1144291415</v>
      </c>
      <c r="K6" s="1665">
        <v>1103901342</v>
      </c>
    </row>
    <row r="7" spans="1:11">
      <c r="A7" t="s">
        <v>6668</v>
      </c>
      <c r="B7" s="1417" t="s">
        <v>1098</v>
      </c>
      <c r="C7" s="1417" t="s">
        <v>7099</v>
      </c>
      <c r="D7" s="1665">
        <v>503427017</v>
      </c>
      <c r="E7" s="1665">
        <v>486501185</v>
      </c>
      <c r="F7" s="1665">
        <v>503427017</v>
      </c>
      <c r="G7" s="1665">
        <v>486501185</v>
      </c>
      <c r="H7" s="1665">
        <v>503427017</v>
      </c>
      <c r="I7" s="1665">
        <v>486501185</v>
      </c>
      <c r="J7" s="1665">
        <v>503427017</v>
      </c>
      <c r="K7" s="1665">
        <v>486501185</v>
      </c>
    </row>
    <row r="8" spans="1:11">
      <c r="A8" t="s">
        <v>5755</v>
      </c>
      <c r="B8" s="1417" t="s">
        <v>1099</v>
      </c>
      <c r="C8" s="1417" t="s">
        <v>7100</v>
      </c>
      <c r="D8" s="1665">
        <v>122346330</v>
      </c>
      <c r="E8" s="1665">
        <v>117142665</v>
      </c>
      <c r="F8" s="1665">
        <v>122346330</v>
      </c>
      <c r="G8" s="1665">
        <v>117142665</v>
      </c>
      <c r="H8" s="1665">
        <v>122346330</v>
      </c>
      <c r="I8" s="1665">
        <v>117142665</v>
      </c>
      <c r="J8" s="1665">
        <v>122346330</v>
      </c>
      <c r="K8" s="1665">
        <v>117142665</v>
      </c>
    </row>
    <row r="9" spans="1:11">
      <c r="A9" t="s">
        <v>5756</v>
      </c>
      <c r="B9" s="1417" t="s">
        <v>1841</v>
      </c>
      <c r="C9" s="1417" t="s">
        <v>7101</v>
      </c>
      <c r="D9" s="1665">
        <v>4449511245</v>
      </c>
      <c r="E9" s="1665">
        <v>4414104747</v>
      </c>
      <c r="F9" s="1665">
        <v>4392529848</v>
      </c>
      <c r="G9" s="1665">
        <v>4357123350</v>
      </c>
      <c r="H9" s="1665">
        <v>4449511245</v>
      </c>
      <c r="I9" s="1665">
        <v>4414104747</v>
      </c>
      <c r="J9" s="1665">
        <v>4392529848</v>
      </c>
      <c r="K9" s="1665">
        <v>4357123350</v>
      </c>
    </row>
    <row r="10" spans="1:11">
      <c r="A10" t="s">
        <v>3367</v>
      </c>
      <c r="B10" s="1417" t="s">
        <v>676</v>
      </c>
      <c r="C10" s="1417" t="s">
        <v>7102</v>
      </c>
      <c r="D10" s="1665">
        <v>533970100</v>
      </c>
      <c r="E10" s="1665">
        <v>513341241</v>
      </c>
      <c r="F10" s="1665">
        <v>533970100</v>
      </c>
      <c r="G10" s="1665">
        <v>513341241</v>
      </c>
      <c r="H10" s="1665">
        <v>533970100</v>
      </c>
      <c r="I10" s="1665">
        <v>513341241</v>
      </c>
      <c r="J10" s="1665">
        <v>533970100</v>
      </c>
      <c r="K10" s="1665">
        <v>513341241</v>
      </c>
    </row>
    <row r="11" spans="1:11">
      <c r="A11" t="s">
        <v>5757</v>
      </c>
      <c r="B11" s="1417" t="s">
        <v>1452</v>
      </c>
      <c r="C11" s="1417" t="s">
        <v>7103</v>
      </c>
      <c r="D11" s="1665">
        <v>2401854796</v>
      </c>
      <c r="E11" s="1665">
        <v>2326141363</v>
      </c>
      <c r="F11" s="1665">
        <v>2401854796</v>
      </c>
      <c r="G11" s="1665">
        <v>2326141363</v>
      </c>
      <c r="H11" s="1665">
        <v>2401854796</v>
      </c>
      <c r="I11" s="1665">
        <v>2326141363</v>
      </c>
      <c r="J11" s="1665">
        <v>2401854796</v>
      </c>
      <c r="K11" s="1665">
        <v>2326141363</v>
      </c>
    </row>
    <row r="12" spans="1:11">
      <c r="A12" t="s">
        <v>3368</v>
      </c>
      <c r="B12" s="1417" t="s">
        <v>1118</v>
      </c>
      <c r="C12" s="1417" t="s">
        <v>7104</v>
      </c>
      <c r="D12" s="1665">
        <v>298941569</v>
      </c>
      <c r="E12" s="1665">
        <v>282949933</v>
      </c>
      <c r="F12" s="1665">
        <v>279954750</v>
      </c>
      <c r="G12" s="1665">
        <v>263963114</v>
      </c>
      <c r="H12" s="1665">
        <v>298941569</v>
      </c>
      <c r="I12" s="1665">
        <v>282949933</v>
      </c>
      <c r="J12" s="1665">
        <v>279954750</v>
      </c>
      <c r="K12" s="1665">
        <v>263963114</v>
      </c>
    </row>
    <row r="13" spans="1:11">
      <c r="A13" t="s">
        <v>3369</v>
      </c>
      <c r="B13" s="1417" t="s">
        <v>337</v>
      </c>
      <c r="C13" s="1417" t="s">
        <v>7105</v>
      </c>
      <c r="D13" s="1665">
        <v>313760452</v>
      </c>
      <c r="E13" s="1665">
        <v>299890512</v>
      </c>
      <c r="F13" s="1665">
        <v>300157588</v>
      </c>
      <c r="G13" s="1665">
        <v>286287648</v>
      </c>
      <c r="H13" s="1665">
        <v>313760452</v>
      </c>
      <c r="I13" s="1665">
        <v>299890512</v>
      </c>
      <c r="J13" s="1665">
        <v>300157588</v>
      </c>
      <c r="K13" s="1665">
        <v>286287648</v>
      </c>
    </row>
    <row r="14" spans="1:11">
      <c r="A14" t="s">
        <v>5758</v>
      </c>
      <c r="B14" s="1417" t="s">
        <v>338</v>
      </c>
      <c r="C14" s="1417" t="s">
        <v>7106</v>
      </c>
      <c r="D14" s="1665">
        <v>114667412</v>
      </c>
      <c r="E14" s="1665">
        <v>109446443</v>
      </c>
      <c r="F14" s="1665">
        <v>109272410</v>
      </c>
      <c r="G14" s="1665">
        <v>104051441</v>
      </c>
      <c r="H14" s="1665">
        <v>114667412</v>
      </c>
      <c r="I14" s="1665">
        <v>109446443</v>
      </c>
      <c r="J14" s="1665">
        <v>109272410</v>
      </c>
      <c r="K14" s="1665">
        <v>104051441</v>
      </c>
    </row>
    <row r="15" spans="1:11">
      <c r="A15" t="s">
        <v>3370</v>
      </c>
      <c r="B15" s="1417" t="s">
        <v>339</v>
      </c>
      <c r="C15" s="1417" t="s">
        <v>7107</v>
      </c>
      <c r="D15" s="1665">
        <v>288006518</v>
      </c>
      <c r="E15" s="1665">
        <v>271999722</v>
      </c>
      <c r="F15" s="1665">
        <v>288006518</v>
      </c>
      <c r="G15" s="1665">
        <v>271999722</v>
      </c>
      <c r="H15" s="1665">
        <v>288006518</v>
      </c>
      <c r="I15" s="1665">
        <v>271999722</v>
      </c>
      <c r="J15" s="1665">
        <v>288006518</v>
      </c>
      <c r="K15" s="1665">
        <v>271999722</v>
      </c>
    </row>
    <row r="16" spans="1:11">
      <c r="A16" t="s">
        <v>5759</v>
      </c>
      <c r="B16" s="1417" t="s">
        <v>2479</v>
      </c>
      <c r="C16" s="1417" t="s">
        <v>7108</v>
      </c>
      <c r="D16" s="1665">
        <v>2565152806</v>
      </c>
      <c r="E16" s="1665">
        <v>2516910031</v>
      </c>
      <c r="F16" s="1665">
        <v>2565152806</v>
      </c>
      <c r="G16" s="1665">
        <v>2516910031</v>
      </c>
      <c r="H16" s="1665">
        <v>2565152806</v>
      </c>
      <c r="I16" s="1665">
        <v>2516910031</v>
      </c>
      <c r="J16" s="1665">
        <v>2565152806</v>
      </c>
      <c r="K16" s="1665">
        <v>2516910031</v>
      </c>
    </row>
    <row r="17" spans="1:11">
      <c r="A17" t="s">
        <v>5760</v>
      </c>
      <c r="B17" s="1417" t="s">
        <v>2480</v>
      </c>
      <c r="C17" s="1417" t="s">
        <v>7109</v>
      </c>
      <c r="D17" s="1665">
        <v>213325975</v>
      </c>
      <c r="E17" s="1665">
        <v>213325975</v>
      </c>
      <c r="F17" s="1665">
        <v>213325975</v>
      </c>
      <c r="G17" s="1665">
        <v>213325975</v>
      </c>
      <c r="H17" s="1665">
        <v>367407365</v>
      </c>
      <c r="I17" s="1665">
        <v>367407365</v>
      </c>
      <c r="J17" s="1665">
        <v>367407365</v>
      </c>
      <c r="K17" s="1665">
        <v>367407365</v>
      </c>
    </row>
    <row r="18" spans="1:11">
      <c r="A18" t="s">
        <v>5761</v>
      </c>
      <c r="B18" s="1417" t="s">
        <v>2481</v>
      </c>
      <c r="C18" s="1417" t="s">
        <v>7110</v>
      </c>
      <c r="D18" s="1665">
        <v>298438583</v>
      </c>
      <c r="E18" s="1665">
        <v>297419301</v>
      </c>
      <c r="F18" s="1665">
        <v>298438583</v>
      </c>
      <c r="G18" s="1665">
        <v>297419301</v>
      </c>
      <c r="H18" s="1665">
        <v>298438583</v>
      </c>
      <c r="I18" s="1665">
        <v>297419301</v>
      </c>
      <c r="J18" s="1665">
        <v>298438583</v>
      </c>
      <c r="K18" s="1665">
        <v>297419301</v>
      </c>
    </row>
    <row r="19" spans="1:11">
      <c r="A19" t="s">
        <v>3371</v>
      </c>
      <c r="B19" s="1417" t="s">
        <v>1945</v>
      </c>
      <c r="C19" s="1417" t="s">
        <v>7111</v>
      </c>
      <c r="D19" s="1665">
        <v>90596215</v>
      </c>
      <c r="E19" s="1665">
        <v>89785745</v>
      </c>
      <c r="F19" s="1665">
        <v>90596215</v>
      </c>
      <c r="G19" s="1665">
        <v>89785745</v>
      </c>
      <c r="H19" s="1665">
        <v>90596215</v>
      </c>
      <c r="I19" s="1665">
        <v>89785745</v>
      </c>
      <c r="J19" s="1665">
        <v>90596215</v>
      </c>
      <c r="K19" s="1665">
        <v>89785745</v>
      </c>
    </row>
    <row r="20" spans="1:11">
      <c r="A20" t="s">
        <v>5762</v>
      </c>
      <c r="B20" s="1417" t="s">
        <v>2483</v>
      </c>
      <c r="C20" s="1417" t="s">
        <v>7112</v>
      </c>
      <c r="D20" s="1665">
        <v>171591670</v>
      </c>
      <c r="E20" s="1665">
        <v>166859490</v>
      </c>
      <c r="F20" s="1665">
        <v>171591670</v>
      </c>
      <c r="G20" s="1665">
        <v>166859490</v>
      </c>
      <c r="H20" s="1665">
        <v>217251030</v>
      </c>
      <c r="I20" s="1665">
        <v>212518850</v>
      </c>
      <c r="J20" s="1665">
        <v>217251030</v>
      </c>
      <c r="K20" s="1665">
        <v>212518850</v>
      </c>
    </row>
    <row r="21" spans="1:11">
      <c r="A21" t="s">
        <v>3372</v>
      </c>
      <c r="B21" s="1417" t="s">
        <v>708</v>
      </c>
      <c r="C21" s="1417" t="s">
        <v>7113</v>
      </c>
      <c r="D21" s="1665">
        <v>306623397</v>
      </c>
      <c r="E21" s="1665">
        <v>302658551</v>
      </c>
      <c r="F21" s="1665">
        <v>306623397</v>
      </c>
      <c r="G21" s="1665">
        <v>302658551</v>
      </c>
      <c r="H21" s="1665">
        <v>306623397</v>
      </c>
      <c r="I21" s="1665">
        <v>302658551</v>
      </c>
      <c r="J21" s="1665">
        <v>306623397</v>
      </c>
      <c r="K21" s="1665">
        <v>302658551</v>
      </c>
    </row>
    <row r="22" spans="1:11">
      <c r="A22" t="s">
        <v>6669</v>
      </c>
      <c r="B22" s="1417" t="s">
        <v>2484</v>
      </c>
      <c r="C22" s="1417" t="s">
        <v>7114</v>
      </c>
      <c r="D22" s="1665">
        <v>869507051</v>
      </c>
      <c r="E22" s="1665">
        <v>858192816</v>
      </c>
      <c r="F22" s="1665">
        <v>869507051</v>
      </c>
      <c r="G22" s="1665">
        <v>858192816</v>
      </c>
      <c r="H22" s="1665">
        <v>869507051</v>
      </c>
      <c r="I22" s="1665">
        <v>858192816</v>
      </c>
      <c r="J22" s="1665">
        <v>869507051</v>
      </c>
      <c r="K22" s="1665">
        <v>858192816</v>
      </c>
    </row>
    <row r="23" spans="1:11">
      <c r="A23" t="s">
        <v>3373</v>
      </c>
      <c r="B23" s="1417" t="s">
        <v>2090</v>
      </c>
      <c r="C23" s="1417" t="s">
        <v>7115</v>
      </c>
      <c r="D23" s="1665">
        <v>332363444</v>
      </c>
      <c r="E23" s="1665">
        <v>318794996</v>
      </c>
      <c r="F23" s="1665">
        <v>332363444</v>
      </c>
      <c r="G23" s="1665">
        <v>318794996</v>
      </c>
      <c r="H23" s="1665">
        <v>332363444</v>
      </c>
      <c r="I23" s="1665">
        <v>318794996</v>
      </c>
      <c r="J23" s="1665">
        <v>332363444</v>
      </c>
      <c r="K23" s="1665">
        <v>318794996</v>
      </c>
    </row>
    <row r="24" spans="1:11">
      <c r="A24" t="s">
        <v>3374</v>
      </c>
      <c r="B24" s="1417" t="s">
        <v>213</v>
      </c>
      <c r="C24" s="1417" t="s">
        <v>7116</v>
      </c>
      <c r="D24" s="1665">
        <v>1791014721</v>
      </c>
      <c r="E24" s="1665">
        <v>1757704068</v>
      </c>
      <c r="F24" s="1665">
        <v>1791014721</v>
      </c>
      <c r="G24" s="1665">
        <v>1757704068</v>
      </c>
      <c r="H24" s="1665">
        <v>1791014721</v>
      </c>
      <c r="I24" s="1665">
        <v>1757704068</v>
      </c>
      <c r="J24" s="1665">
        <v>1791014721</v>
      </c>
      <c r="K24" s="1665">
        <v>1757704068</v>
      </c>
    </row>
    <row r="25" spans="1:11">
      <c r="A25" t="s">
        <v>3375</v>
      </c>
      <c r="B25" s="1417" t="s">
        <v>2133</v>
      </c>
      <c r="C25" s="1417" t="s">
        <v>7117</v>
      </c>
      <c r="D25" s="1665">
        <v>335315755</v>
      </c>
      <c r="E25" s="1665">
        <v>320412929</v>
      </c>
      <c r="F25" s="1665">
        <v>335315755</v>
      </c>
      <c r="G25" s="1665">
        <v>320412929</v>
      </c>
      <c r="H25" s="1665">
        <v>335315755</v>
      </c>
      <c r="I25" s="1665">
        <v>320412929</v>
      </c>
      <c r="J25" s="1665">
        <v>335315755</v>
      </c>
      <c r="K25" s="1665">
        <v>320412929</v>
      </c>
    </row>
    <row r="26" spans="1:11">
      <c r="A26" t="s">
        <v>5763</v>
      </c>
      <c r="B26" s="1417" t="s">
        <v>2485</v>
      </c>
      <c r="C26" s="1417" t="s">
        <v>7118</v>
      </c>
      <c r="D26" s="1665">
        <v>1328309962</v>
      </c>
      <c r="E26" s="1665">
        <v>1297521482</v>
      </c>
      <c r="F26" s="1665">
        <v>1328309962</v>
      </c>
      <c r="G26" s="1665">
        <v>1297521482</v>
      </c>
      <c r="H26" s="1665">
        <v>1328309962</v>
      </c>
      <c r="I26" s="1665">
        <v>1297521482</v>
      </c>
      <c r="J26" s="1665">
        <v>1328309962</v>
      </c>
      <c r="K26" s="1665">
        <v>1297521482</v>
      </c>
    </row>
    <row r="27" spans="1:11">
      <c r="A27" t="s">
        <v>5764</v>
      </c>
      <c r="B27" s="1417" t="s">
        <v>685</v>
      </c>
      <c r="C27" s="1417" t="s">
        <v>7119</v>
      </c>
      <c r="D27" s="1665">
        <v>1450982561</v>
      </c>
      <c r="E27" s="1665">
        <v>1422896750</v>
      </c>
      <c r="F27" s="1665">
        <v>1387570577</v>
      </c>
      <c r="G27" s="1665">
        <v>1359484766</v>
      </c>
      <c r="H27" s="1665">
        <v>1450982561</v>
      </c>
      <c r="I27" s="1665">
        <v>1422896750</v>
      </c>
      <c r="J27" s="1665">
        <v>1387570577</v>
      </c>
      <c r="K27" s="1665">
        <v>1359484766</v>
      </c>
    </row>
    <row r="28" spans="1:11">
      <c r="A28" t="s">
        <v>5765</v>
      </c>
      <c r="B28" s="1417" t="s">
        <v>686</v>
      </c>
      <c r="C28" s="1417" t="s">
        <v>7120</v>
      </c>
      <c r="D28" s="1665">
        <v>314124438</v>
      </c>
      <c r="E28" s="1665">
        <v>305396810</v>
      </c>
      <c r="F28" s="1665">
        <v>310531314</v>
      </c>
      <c r="G28" s="1665">
        <v>301803686</v>
      </c>
      <c r="H28" s="1665">
        <v>314124438</v>
      </c>
      <c r="I28" s="1665">
        <v>305396810</v>
      </c>
      <c r="J28" s="1665">
        <v>310531314</v>
      </c>
      <c r="K28" s="1665">
        <v>301803686</v>
      </c>
    </row>
    <row r="29" spans="1:11">
      <c r="A29" t="s">
        <v>3376</v>
      </c>
      <c r="B29" s="1417" t="s">
        <v>687</v>
      </c>
      <c r="C29" s="1417" t="s">
        <v>7121</v>
      </c>
      <c r="D29" s="1665">
        <v>275001515</v>
      </c>
      <c r="E29" s="1665">
        <v>265804999</v>
      </c>
      <c r="F29" s="1665">
        <v>275001515</v>
      </c>
      <c r="G29" s="1665">
        <v>265804999</v>
      </c>
      <c r="H29" s="1665">
        <v>275001515</v>
      </c>
      <c r="I29" s="1665">
        <v>265804999</v>
      </c>
      <c r="J29" s="1665">
        <v>275001515</v>
      </c>
      <c r="K29" s="1665">
        <v>265804999</v>
      </c>
    </row>
    <row r="30" spans="1:11">
      <c r="A30" t="s">
        <v>6670</v>
      </c>
      <c r="B30" s="1417" t="s">
        <v>188</v>
      </c>
      <c r="C30" s="1417" t="s">
        <v>7122</v>
      </c>
      <c r="D30" s="1665">
        <v>252182072</v>
      </c>
      <c r="E30" s="1665">
        <v>247023803</v>
      </c>
      <c r="F30" s="1665">
        <v>252182072</v>
      </c>
      <c r="G30" s="1665">
        <v>247023803</v>
      </c>
      <c r="H30" s="1665">
        <v>252182072</v>
      </c>
      <c r="I30" s="1665">
        <v>247023803</v>
      </c>
      <c r="J30" s="1665">
        <v>252182072</v>
      </c>
      <c r="K30" s="1665">
        <v>247023803</v>
      </c>
    </row>
    <row r="31" spans="1:11">
      <c r="A31" t="s">
        <v>3377</v>
      </c>
      <c r="B31" s="1417" t="s">
        <v>1946</v>
      </c>
      <c r="C31" s="1417" t="s">
        <v>7123</v>
      </c>
      <c r="D31" s="1665">
        <v>1609514700</v>
      </c>
      <c r="E31" s="1665">
        <v>1561889316</v>
      </c>
      <c r="F31" s="1665">
        <v>1609514700</v>
      </c>
      <c r="G31" s="1665">
        <v>1561889316</v>
      </c>
      <c r="H31" s="1665">
        <v>1609514700</v>
      </c>
      <c r="I31" s="1665">
        <v>1561889316</v>
      </c>
      <c r="J31" s="1665">
        <v>1609514700</v>
      </c>
      <c r="K31" s="1665">
        <v>1561889316</v>
      </c>
    </row>
    <row r="32" spans="1:11">
      <c r="A32" t="s">
        <v>3378</v>
      </c>
      <c r="B32" s="1417" t="s">
        <v>1683</v>
      </c>
      <c r="C32" s="1417" t="s">
        <v>7124</v>
      </c>
      <c r="D32" s="1665">
        <v>3971573678</v>
      </c>
      <c r="E32" s="1665">
        <v>3885247413</v>
      </c>
      <c r="F32" s="1665">
        <v>3971573678</v>
      </c>
      <c r="G32" s="1665">
        <v>3885247413</v>
      </c>
      <c r="H32" s="1665">
        <v>3971573678</v>
      </c>
      <c r="I32" s="1665">
        <v>3885247413</v>
      </c>
      <c r="J32" s="1665">
        <v>3971573678</v>
      </c>
      <c r="K32" s="1665">
        <v>3885247413</v>
      </c>
    </row>
    <row r="33" spans="1:11">
      <c r="A33" t="s">
        <v>3379</v>
      </c>
      <c r="B33" s="1417" t="s">
        <v>773</v>
      </c>
      <c r="C33" s="1417" t="s">
        <v>7125</v>
      </c>
      <c r="D33" s="1665">
        <v>1364133292</v>
      </c>
      <c r="E33" s="1665">
        <v>1324569720</v>
      </c>
      <c r="F33" s="1665">
        <v>1364133292</v>
      </c>
      <c r="G33" s="1665">
        <v>1324569720</v>
      </c>
      <c r="H33" s="1665">
        <v>1364133292</v>
      </c>
      <c r="I33" s="1665">
        <v>1324569720</v>
      </c>
      <c r="J33" s="1665">
        <v>1364133292</v>
      </c>
      <c r="K33" s="1665">
        <v>1324569720</v>
      </c>
    </row>
    <row r="34" spans="1:11">
      <c r="A34" t="s">
        <v>3380</v>
      </c>
      <c r="B34" s="1417" t="s">
        <v>2366</v>
      </c>
      <c r="C34" s="1417" t="s">
        <v>7126</v>
      </c>
      <c r="D34" s="1665">
        <v>846470699</v>
      </c>
      <c r="E34" s="1665">
        <v>823613346</v>
      </c>
      <c r="F34" s="1665">
        <v>846470699</v>
      </c>
      <c r="G34" s="1665">
        <v>823613346</v>
      </c>
      <c r="H34" s="1665">
        <v>846470699</v>
      </c>
      <c r="I34" s="1665">
        <v>823613346</v>
      </c>
      <c r="J34" s="1665">
        <v>846470699</v>
      </c>
      <c r="K34" s="1665">
        <v>823613346</v>
      </c>
    </row>
    <row r="35" spans="1:11">
      <c r="A35" t="s">
        <v>3381</v>
      </c>
      <c r="B35" s="1417" t="s">
        <v>2134</v>
      </c>
      <c r="C35" s="1417" t="s">
        <v>7127</v>
      </c>
      <c r="D35" s="1665">
        <v>110543953</v>
      </c>
      <c r="E35" s="1665">
        <v>107491030</v>
      </c>
      <c r="F35" s="1665">
        <v>110543953</v>
      </c>
      <c r="G35" s="1665">
        <v>107491030</v>
      </c>
      <c r="H35" s="1665">
        <v>110543953</v>
      </c>
      <c r="I35" s="1665">
        <v>107491030</v>
      </c>
      <c r="J35" s="1665">
        <v>110543953</v>
      </c>
      <c r="K35" s="1665">
        <v>107491030</v>
      </c>
    </row>
    <row r="36" spans="1:11">
      <c r="A36" t="s">
        <v>6671</v>
      </c>
      <c r="B36" s="1417" t="s">
        <v>452</v>
      </c>
      <c r="C36" s="1417" t="s">
        <v>7128</v>
      </c>
      <c r="D36" s="1665">
        <v>204792593</v>
      </c>
      <c r="E36" s="1665">
        <v>197418863</v>
      </c>
      <c r="F36" s="1665">
        <v>204792593</v>
      </c>
      <c r="G36" s="1665">
        <v>197418863</v>
      </c>
      <c r="H36" s="1665">
        <v>452133123</v>
      </c>
      <c r="I36" s="1665">
        <v>444759393</v>
      </c>
      <c r="J36" s="1665">
        <v>452133123</v>
      </c>
      <c r="K36" s="1665">
        <v>444759393</v>
      </c>
    </row>
    <row r="37" spans="1:11">
      <c r="A37" t="s">
        <v>3382</v>
      </c>
      <c r="B37" s="1417" t="s">
        <v>2367</v>
      </c>
      <c r="C37" s="1417" t="s">
        <v>7129</v>
      </c>
      <c r="D37" s="1665">
        <v>810937567</v>
      </c>
      <c r="E37" s="1665">
        <v>778497627</v>
      </c>
      <c r="F37" s="1665">
        <v>810937567</v>
      </c>
      <c r="G37" s="1665">
        <v>778497627</v>
      </c>
      <c r="H37" s="1665">
        <v>810937567</v>
      </c>
      <c r="I37" s="1665">
        <v>778497627</v>
      </c>
      <c r="J37" s="1665">
        <v>810937567</v>
      </c>
      <c r="K37" s="1665">
        <v>778497627</v>
      </c>
    </row>
    <row r="38" spans="1:11">
      <c r="A38" t="s">
        <v>5766</v>
      </c>
      <c r="B38" s="1417" t="s">
        <v>2651</v>
      </c>
      <c r="C38" s="1417" t="s">
        <v>7130</v>
      </c>
      <c r="D38" s="1665">
        <v>364891637</v>
      </c>
      <c r="E38" s="1665">
        <v>363266835</v>
      </c>
      <c r="F38" s="1665">
        <v>364891637</v>
      </c>
      <c r="G38" s="1665">
        <v>363266835</v>
      </c>
      <c r="H38" s="1665">
        <v>364891637</v>
      </c>
      <c r="I38" s="1665">
        <v>363266835</v>
      </c>
      <c r="J38" s="1665">
        <v>364891637</v>
      </c>
      <c r="K38" s="1665">
        <v>363266835</v>
      </c>
    </row>
    <row r="39" spans="1:11">
      <c r="A39" t="s">
        <v>5767</v>
      </c>
      <c r="B39" s="1417" t="s">
        <v>2652</v>
      </c>
      <c r="C39" s="1417" t="s">
        <v>7131</v>
      </c>
      <c r="D39" s="1665">
        <v>544381690</v>
      </c>
      <c r="E39" s="1665">
        <v>541113972</v>
      </c>
      <c r="F39" s="1665">
        <v>544381690</v>
      </c>
      <c r="G39" s="1665">
        <v>541113972</v>
      </c>
      <c r="H39" s="1665">
        <v>616649790</v>
      </c>
      <c r="I39" s="1665">
        <v>613382072</v>
      </c>
      <c r="J39" s="1665">
        <v>616649790</v>
      </c>
      <c r="K39" s="1665">
        <v>613382072</v>
      </c>
    </row>
    <row r="40" spans="1:11">
      <c r="A40" t="s">
        <v>3383</v>
      </c>
      <c r="B40" s="1417" t="s">
        <v>1149</v>
      </c>
      <c r="C40" s="1417" t="s">
        <v>7132</v>
      </c>
      <c r="D40" s="1665">
        <v>158097616</v>
      </c>
      <c r="E40" s="1665">
        <v>153041656</v>
      </c>
      <c r="F40" s="1665">
        <v>158097616</v>
      </c>
      <c r="G40" s="1665">
        <v>153041656</v>
      </c>
      <c r="H40" s="1665">
        <v>158097616</v>
      </c>
      <c r="I40" s="1665">
        <v>153041656</v>
      </c>
      <c r="J40" s="1665">
        <v>158097616</v>
      </c>
      <c r="K40" s="1665">
        <v>153041656</v>
      </c>
    </row>
    <row r="41" spans="1:11">
      <c r="A41" t="s">
        <v>5768</v>
      </c>
      <c r="B41" s="1417" t="s">
        <v>2135</v>
      </c>
      <c r="C41" s="1417" t="s">
        <v>7133</v>
      </c>
      <c r="D41" s="1665">
        <v>445238725</v>
      </c>
      <c r="E41" s="1665">
        <v>427496214</v>
      </c>
      <c r="F41" s="1665">
        <v>445238725</v>
      </c>
      <c r="G41" s="1665">
        <v>427496214</v>
      </c>
      <c r="H41" s="1665">
        <v>445238725</v>
      </c>
      <c r="I41" s="1665">
        <v>427496214</v>
      </c>
      <c r="J41" s="1665">
        <v>445238725</v>
      </c>
      <c r="K41" s="1665">
        <v>427496214</v>
      </c>
    </row>
    <row r="42" spans="1:11">
      <c r="A42" t="s">
        <v>3384</v>
      </c>
      <c r="B42" s="1417" t="s">
        <v>1682</v>
      </c>
      <c r="C42" s="1417" t="s">
        <v>7134</v>
      </c>
      <c r="D42" s="1665">
        <v>122905737</v>
      </c>
      <c r="E42" s="1665">
        <v>117896740</v>
      </c>
      <c r="F42" s="1665">
        <v>122905737</v>
      </c>
      <c r="G42" s="1665">
        <v>117896740</v>
      </c>
      <c r="H42" s="1665">
        <v>122905737</v>
      </c>
      <c r="I42" s="1665">
        <v>117896740</v>
      </c>
      <c r="J42" s="1665">
        <v>122905737</v>
      </c>
      <c r="K42" s="1665">
        <v>117896740</v>
      </c>
    </row>
    <row r="43" spans="1:11">
      <c r="A43" t="s">
        <v>3385</v>
      </c>
      <c r="B43" s="1417" t="s">
        <v>1685</v>
      </c>
      <c r="C43" s="1417" t="s">
        <v>7135</v>
      </c>
      <c r="D43" s="1665">
        <v>3207853791</v>
      </c>
      <c r="E43" s="1665">
        <v>3095026104</v>
      </c>
      <c r="F43" s="1665">
        <v>3207853791</v>
      </c>
      <c r="G43" s="1665">
        <v>3095026104</v>
      </c>
      <c r="H43" s="1665">
        <v>3207853791</v>
      </c>
      <c r="I43" s="1665">
        <v>3095026104</v>
      </c>
      <c r="J43" s="1665">
        <v>3207853791</v>
      </c>
      <c r="K43" s="1665">
        <v>3095026104</v>
      </c>
    </row>
    <row r="44" spans="1:11">
      <c r="A44" t="s">
        <v>3386</v>
      </c>
      <c r="B44" s="1417" t="s">
        <v>170</v>
      </c>
      <c r="C44" s="1417" t="s">
        <v>7136</v>
      </c>
      <c r="D44" s="1665">
        <v>127150772</v>
      </c>
      <c r="E44" s="1665">
        <v>121712647</v>
      </c>
      <c r="F44" s="1665">
        <v>127150772</v>
      </c>
      <c r="G44" s="1665">
        <v>121712647</v>
      </c>
      <c r="H44" s="1665">
        <v>127150772</v>
      </c>
      <c r="I44" s="1665">
        <v>121712647</v>
      </c>
      <c r="J44" s="1665">
        <v>127150772</v>
      </c>
      <c r="K44" s="1665">
        <v>121712647</v>
      </c>
    </row>
    <row r="45" spans="1:11">
      <c r="A45" t="s">
        <v>3387</v>
      </c>
      <c r="B45" s="1417" t="s">
        <v>53</v>
      </c>
      <c r="C45" s="1417" t="s">
        <v>7137</v>
      </c>
      <c r="D45" s="1665">
        <v>7940071123</v>
      </c>
      <c r="E45" s="1665">
        <v>7654864511</v>
      </c>
      <c r="F45" s="1665">
        <v>7940071123</v>
      </c>
      <c r="G45" s="1665">
        <v>7654864511</v>
      </c>
      <c r="H45" s="1665">
        <v>7940071123</v>
      </c>
      <c r="I45" s="1665">
        <v>7654864511</v>
      </c>
      <c r="J45" s="1665">
        <v>7940071123</v>
      </c>
      <c r="K45" s="1665">
        <v>7654864511</v>
      </c>
    </row>
    <row r="46" spans="1:11">
      <c r="A46" t="s">
        <v>3388</v>
      </c>
      <c r="B46" s="1417" t="s">
        <v>166</v>
      </c>
      <c r="C46" s="1417" t="s">
        <v>7138</v>
      </c>
      <c r="D46" s="1665">
        <v>201042753</v>
      </c>
      <c r="E46" s="1665">
        <v>192342683</v>
      </c>
      <c r="F46" s="1665">
        <v>201042753</v>
      </c>
      <c r="G46" s="1665">
        <v>192342683</v>
      </c>
      <c r="H46" s="1665">
        <v>201042753</v>
      </c>
      <c r="I46" s="1665">
        <v>192342683</v>
      </c>
      <c r="J46" s="1665">
        <v>201042753</v>
      </c>
      <c r="K46" s="1665">
        <v>192342683</v>
      </c>
    </row>
    <row r="47" spans="1:11">
      <c r="A47" t="s">
        <v>3389</v>
      </c>
      <c r="B47" s="1417" t="s">
        <v>1312</v>
      </c>
      <c r="C47" s="1417" t="s">
        <v>7139</v>
      </c>
      <c r="D47" s="1665">
        <v>867251768</v>
      </c>
      <c r="E47" s="1665">
        <v>844346142</v>
      </c>
      <c r="F47" s="1665">
        <v>867251768</v>
      </c>
      <c r="G47" s="1665">
        <v>844346142</v>
      </c>
      <c r="H47" s="1665">
        <v>867251768</v>
      </c>
      <c r="I47" s="1665">
        <v>844346142</v>
      </c>
      <c r="J47" s="1665">
        <v>867251768</v>
      </c>
      <c r="K47" s="1665">
        <v>844346142</v>
      </c>
    </row>
    <row r="48" spans="1:11">
      <c r="A48" t="s">
        <v>3390</v>
      </c>
      <c r="B48" s="1417" t="s">
        <v>1514</v>
      </c>
      <c r="C48" s="1417" t="s">
        <v>7140</v>
      </c>
      <c r="D48" s="1665">
        <v>3229628418</v>
      </c>
      <c r="E48" s="1665">
        <v>3134813432</v>
      </c>
      <c r="F48" s="1665">
        <v>3229628418</v>
      </c>
      <c r="G48" s="1665">
        <v>3134813432</v>
      </c>
      <c r="H48" s="1665">
        <v>3229628418</v>
      </c>
      <c r="I48" s="1665">
        <v>3134813432</v>
      </c>
      <c r="J48" s="1665">
        <v>3229628418</v>
      </c>
      <c r="K48" s="1665">
        <v>3134813432</v>
      </c>
    </row>
    <row r="49" spans="1:11">
      <c r="A49" t="s">
        <v>3391</v>
      </c>
      <c r="B49" s="1417" t="s">
        <v>1519</v>
      </c>
      <c r="C49" s="1417" t="s">
        <v>7141</v>
      </c>
      <c r="D49" s="1665">
        <v>362706395</v>
      </c>
      <c r="E49" s="1665">
        <v>348807266</v>
      </c>
      <c r="F49" s="1665">
        <v>362706395</v>
      </c>
      <c r="G49" s="1665">
        <v>348807266</v>
      </c>
      <c r="H49" s="1665">
        <v>362706395</v>
      </c>
      <c r="I49" s="1665">
        <v>348807266</v>
      </c>
      <c r="J49" s="1665">
        <v>362706395</v>
      </c>
      <c r="K49" s="1665">
        <v>348807266</v>
      </c>
    </row>
    <row r="50" spans="1:11">
      <c r="A50" t="s">
        <v>5769</v>
      </c>
      <c r="B50" s="1417" t="s">
        <v>423</v>
      </c>
      <c r="C50" s="1417" t="s">
        <v>7142</v>
      </c>
      <c r="D50" s="1665">
        <v>6995190350</v>
      </c>
      <c r="E50" s="1665">
        <v>6925206099</v>
      </c>
      <c r="F50" s="1665">
        <v>6995190350</v>
      </c>
      <c r="G50" s="1665">
        <v>6925206099</v>
      </c>
      <c r="H50" s="1665">
        <v>6995190350</v>
      </c>
      <c r="I50" s="1665">
        <v>6925206099</v>
      </c>
      <c r="J50" s="1665">
        <v>6995190350</v>
      </c>
      <c r="K50" s="1665">
        <v>6925206099</v>
      </c>
    </row>
    <row r="51" spans="1:11">
      <c r="A51" t="s">
        <v>3392</v>
      </c>
      <c r="B51" s="1417" t="s">
        <v>1859</v>
      </c>
      <c r="C51" s="1417" t="s">
        <v>7143</v>
      </c>
      <c r="D51" s="1665">
        <v>1829861085</v>
      </c>
      <c r="E51" s="1665">
        <v>1728820654</v>
      </c>
      <c r="F51" s="1665">
        <v>1829861085</v>
      </c>
      <c r="G51" s="1665">
        <v>1728820654</v>
      </c>
      <c r="H51" s="1665">
        <v>1829861085</v>
      </c>
      <c r="I51" s="1665">
        <v>1728820654</v>
      </c>
      <c r="J51" s="1665">
        <v>1829861085</v>
      </c>
      <c r="K51" s="1665">
        <v>1728820654</v>
      </c>
    </row>
    <row r="52" spans="1:11">
      <c r="A52" t="s">
        <v>3393</v>
      </c>
      <c r="B52" s="1417" t="s">
        <v>771</v>
      </c>
      <c r="C52" s="1417" t="s">
        <v>7144</v>
      </c>
      <c r="D52" s="1665">
        <v>1494805958</v>
      </c>
      <c r="E52" s="1665">
        <v>1408762071</v>
      </c>
      <c r="F52" s="1665">
        <v>1494805958</v>
      </c>
      <c r="G52" s="1665">
        <v>1408762071</v>
      </c>
      <c r="H52" s="1665">
        <v>1494805958</v>
      </c>
      <c r="I52" s="1665">
        <v>1408762071</v>
      </c>
      <c r="J52" s="1665">
        <v>1494805958</v>
      </c>
      <c r="K52" s="1665">
        <v>1408762071</v>
      </c>
    </row>
    <row r="53" spans="1:11">
      <c r="A53" t="s">
        <v>3394</v>
      </c>
      <c r="B53" s="1417" t="s">
        <v>1314</v>
      </c>
      <c r="C53" s="1417" t="s">
        <v>7145</v>
      </c>
      <c r="D53" s="1665">
        <v>18894748240</v>
      </c>
      <c r="E53" s="1665">
        <v>18437833917</v>
      </c>
      <c r="F53" s="1665">
        <v>18785442751</v>
      </c>
      <c r="G53" s="1665">
        <v>18328528428</v>
      </c>
      <c r="H53" s="1665">
        <v>18894748240</v>
      </c>
      <c r="I53" s="1665">
        <v>18437833917</v>
      </c>
      <c r="J53" s="1665">
        <v>18785442751</v>
      </c>
      <c r="K53" s="1665">
        <v>18328528428</v>
      </c>
    </row>
    <row r="54" spans="1:11">
      <c r="A54" t="s">
        <v>3395</v>
      </c>
      <c r="B54" s="1417" t="s">
        <v>1506</v>
      </c>
      <c r="C54" s="1417" t="s">
        <v>7146</v>
      </c>
      <c r="D54" s="1665">
        <v>1820688747</v>
      </c>
      <c r="E54" s="1665">
        <v>1757299318</v>
      </c>
      <c r="F54" s="1665">
        <v>1820688747</v>
      </c>
      <c r="G54" s="1665">
        <v>1757299318</v>
      </c>
      <c r="H54" s="1665">
        <v>1820688747</v>
      </c>
      <c r="I54" s="1665">
        <v>1757299318</v>
      </c>
      <c r="J54" s="1665">
        <v>1820688747</v>
      </c>
      <c r="K54" s="1665">
        <v>1757299318</v>
      </c>
    </row>
    <row r="55" spans="1:11">
      <c r="A55" t="s">
        <v>3396</v>
      </c>
      <c r="B55" s="1417" t="s">
        <v>1152</v>
      </c>
      <c r="C55" s="1417" t="s">
        <v>7147</v>
      </c>
      <c r="D55" s="1665">
        <v>522536275</v>
      </c>
      <c r="E55" s="1665">
        <v>498916795</v>
      </c>
      <c r="F55" s="1665">
        <v>522536275</v>
      </c>
      <c r="G55" s="1665">
        <v>498916795</v>
      </c>
      <c r="H55" s="1665">
        <v>522536275</v>
      </c>
      <c r="I55" s="1665">
        <v>498916795</v>
      </c>
      <c r="J55" s="1665">
        <v>522536275</v>
      </c>
      <c r="K55" s="1665">
        <v>498916795</v>
      </c>
    </row>
    <row r="56" spans="1:11">
      <c r="A56" t="s">
        <v>3397</v>
      </c>
      <c r="B56" s="1417" t="s">
        <v>1407</v>
      </c>
      <c r="C56" s="1417" t="s">
        <v>7148</v>
      </c>
      <c r="D56" s="1665">
        <v>40597781524</v>
      </c>
      <c r="E56" s="1665">
        <v>39764862453</v>
      </c>
      <c r="F56" s="1665">
        <v>40597781524</v>
      </c>
      <c r="G56" s="1665">
        <v>39764862453</v>
      </c>
      <c r="H56" s="1665">
        <v>40597781524</v>
      </c>
      <c r="I56" s="1665">
        <v>39764862453</v>
      </c>
      <c r="J56" s="1665">
        <v>40597781524</v>
      </c>
      <c r="K56" s="1665">
        <v>39764862453</v>
      </c>
    </row>
    <row r="57" spans="1:11">
      <c r="A57" t="s">
        <v>3398</v>
      </c>
      <c r="B57" s="1417" t="s">
        <v>768</v>
      </c>
      <c r="C57" s="1417" t="s">
        <v>7149</v>
      </c>
      <c r="D57" s="1665">
        <v>3973128905</v>
      </c>
      <c r="E57" s="1665">
        <v>3864324572</v>
      </c>
      <c r="F57" s="1665">
        <v>3973128905</v>
      </c>
      <c r="G57" s="1665">
        <v>3864324572</v>
      </c>
      <c r="H57" s="1665">
        <v>3973128905</v>
      </c>
      <c r="I57" s="1665">
        <v>3864324572</v>
      </c>
      <c r="J57" s="1665">
        <v>3973128905</v>
      </c>
      <c r="K57" s="1665">
        <v>3864324572</v>
      </c>
    </row>
    <row r="58" spans="1:11">
      <c r="A58" t="s">
        <v>3399</v>
      </c>
      <c r="B58" s="1417" t="s">
        <v>709</v>
      </c>
      <c r="C58" s="1417" t="s">
        <v>7150</v>
      </c>
      <c r="D58" s="1665">
        <v>3922310008</v>
      </c>
      <c r="E58" s="1665">
        <v>3830958355</v>
      </c>
      <c r="F58" s="1665">
        <v>3922310008</v>
      </c>
      <c r="G58" s="1665">
        <v>3830958355</v>
      </c>
      <c r="H58" s="1665">
        <v>3922310008</v>
      </c>
      <c r="I58" s="1665">
        <v>3830958355</v>
      </c>
      <c r="J58" s="1665">
        <v>3922310008</v>
      </c>
      <c r="K58" s="1665">
        <v>3830958355</v>
      </c>
    </row>
    <row r="59" spans="1:11">
      <c r="A59" t="s">
        <v>3400</v>
      </c>
      <c r="B59" s="1417" t="s">
        <v>1409</v>
      </c>
      <c r="C59" s="1417" t="s">
        <v>7151</v>
      </c>
      <c r="D59" s="1665">
        <v>55741034670</v>
      </c>
      <c r="E59" s="1665">
        <v>54633116220</v>
      </c>
      <c r="F59" s="1665">
        <v>55741034670</v>
      </c>
      <c r="G59" s="1665">
        <v>54633116220</v>
      </c>
      <c r="H59" s="1665">
        <v>55741034670</v>
      </c>
      <c r="I59" s="1665">
        <v>54633116220</v>
      </c>
      <c r="J59" s="1665">
        <v>55741034670</v>
      </c>
      <c r="K59" s="1665">
        <v>54633116220</v>
      </c>
    </row>
    <row r="60" spans="1:11">
      <c r="A60" t="s">
        <v>3401</v>
      </c>
      <c r="B60" s="1417" t="s">
        <v>46</v>
      </c>
      <c r="C60" s="1417" t="s">
        <v>7152</v>
      </c>
      <c r="D60" s="1665">
        <v>9880395795</v>
      </c>
      <c r="E60" s="1665">
        <v>9632102520</v>
      </c>
      <c r="F60" s="1665">
        <v>9880395795</v>
      </c>
      <c r="G60" s="1665">
        <v>9632102520</v>
      </c>
      <c r="H60" s="1665">
        <v>9880395795</v>
      </c>
      <c r="I60" s="1665">
        <v>9632102520</v>
      </c>
      <c r="J60" s="1665">
        <v>9880395795</v>
      </c>
      <c r="K60" s="1665">
        <v>9632102520</v>
      </c>
    </row>
    <row r="61" spans="1:11">
      <c r="A61" t="s">
        <v>3402</v>
      </c>
      <c r="B61" s="1417" t="s">
        <v>1507</v>
      </c>
      <c r="C61" s="1417" t="s">
        <v>7153</v>
      </c>
      <c r="D61" s="1665">
        <v>1325548446</v>
      </c>
      <c r="E61" s="1665">
        <v>1288289546</v>
      </c>
      <c r="F61" s="1665">
        <v>1325548446</v>
      </c>
      <c r="G61" s="1665">
        <v>1288289546</v>
      </c>
      <c r="H61" s="1665">
        <v>1325548446</v>
      </c>
      <c r="I61" s="1665">
        <v>1288289546</v>
      </c>
      <c r="J61" s="1665">
        <v>1325548446</v>
      </c>
      <c r="K61" s="1665">
        <v>1288289546</v>
      </c>
    </row>
    <row r="62" spans="1:11">
      <c r="A62" t="s">
        <v>5770</v>
      </c>
      <c r="B62" s="1417" t="s">
        <v>1210</v>
      </c>
      <c r="C62" s="1417" t="s">
        <v>7154</v>
      </c>
      <c r="D62" s="1665">
        <v>857379116</v>
      </c>
      <c r="E62" s="1665">
        <v>841992435</v>
      </c>
      <c r="F62" s="1665">
        <v>857379116</v>
      </c>
      <c r="G62" s="1665">
        <v>841992435</v>
      </c>
      <c r="H62" s="1665">
        <v>857379116</v>
      </c>
      <c r="I62" s="1665">
        <v>841992435</v>
      </c>
      <c r="J62" s="1665">
        <v>857379116</v>
      </c>
      <c r="K62" s="1665">
        <v>841992435</v>
      </c>
    </row>
    <row r="63" spans="1:11">
      <c r="A63" t="s">
        <v>3403</v>
      </c>
      <c r="B63" s="1417" t="s">
        <v>874</v>
      </c>
      <c r="C63" s="1417" t="s">
        <v>7155</v>
      </c>
      <c r="D63" s="1665">
        <v>932801231</v>
      </c>
      <c r="E63" s="1665">
        <v>913138092</v>
      </c>
      <c r="F63" s="1665">
        <v>932801231</v>
      </c>
      <c r="G63" s="1665">
        <v>913138092</v>
      </c>
      <c r="H63" s="1665">
        <v>932801231</v>
      </c>
      <c r="I63" s="1665">
        <v>913138092</v>
      </c>
      <c r="J63" s="1665">
        <v>932801231</v>
      </c>
      <c r="K63" s="1665">
        <v>913138092</v>
      </c>
    </row>
    <row r="64" spans="1:11">
      <c r="A64" t="s">
        <v>5771</v>
      </c>
      <c r="B64" s="1417" t="s">
        <v>1211</v>
      </c>
      <c r="C64" s="1417" t="s">
        <v>7156</v>
      </c>
      <c r="D64" s="1665">
        <v>526716427</v>
      </c>
      <c r="E64" s="1665">
        <v>526309277</v>
      </c>
      <c r="F64" s="1665">
        <v>526449989</v>
      </c>
      <c r="G64" s="1665">
        <v>526042839</v>
      </c>
      <c r="H64" s="1665">
        <v>671841137</v>
      </c>
      <c r="I64" s="1665">
        <v>671433987</v>
      </c>
      <c r="J64" s="1665">
        <v>671574699</v>
      </c>
      <c r="K64" s="1665">
        <v>671167549</v>
      </c>
    </row>
    <row r="65" spans="1:11">
      <c r="A65" t="s">
        <v>3404</v>
      </c>
      <c r="B65" s="1417" t="s">
        <v>575</v>
      </c>
      <c r="C65" s="1417" t="s">
        <v>7157</v>
      </c>
      <c r="D65" s="1665">
        <v>580010453</v>
      </c>
      <c r="E65" s="1665">
        <v>563994491</v>
      </c>
      <c r="F65" s="1665">
        <v>580010453</v>
      </c>
      <c r="G65" s="1665">
        <v>563994491</v>
      </c>
      <c r="H65" s="1665">
        <v>580010453</v>
      </c>
      <c r="I65" s="1665">
        <v>563994491</v>
      </c>
      <c r="J65" s="1665">
        <v>580010453</v>
      </c>
      <c r="K65" s="1665">
        <v>563994491</v>
      </c>
    </row>
    <row r="66" spans="1:11">
      <c r="A66" t="s">
        <v>3405</v>
      </c>
      <c r="B66" s="1417" t="s">
        <v>1212</v>
      </c>
      <c r="C66" s="1417" t="s">
        <v>7158</v>
      </c>
      <c r="D66" s="1665">
        <v>186650200</v>
      </c>
      <c r="E66" s="1665">
        <v>180790561</v>
      </c>
      <c r="F66" s="1665">
        <v>186650200</v>
      </c>
      <c r="G66" s="1665">
        <v>180790561</v>
      </c>
      <c r="H66" s="1665">
        <v>186650200</v>
      </c>
      <c r="I66" s="1665">
        <v>180790561</v>
      </c>
      <c r="J66" s="1665">
        <v>186650200</v>
      </c>
      <c r="K66" s="1665">
        <v>180790561</v>
      </c>
    </row>
    <row r="67" spans="1:11">
      <c r="A67" t="s">
        <v>6672</v>
      </c>
      <c r="B67" s="1417" t="s">
        <v>1113</v>
      </c>
      <c r="C67" s="1417" t="s">
        <v>7159</v>
      </c>
      <c r="D67" s="1665">
        <v>64875455</v>
      </c>
      <c r="E67" s="1665">
        <v>62720111</v>
      </c>
      <c r="F67" s="1665">
        <v>64875455</v>
      </c>
      <c r="G67" s="1665">
        <v>62720111</v>
      </c>
      <c r="H67" s="1665">
        <v>64875455</v>
      </c>
      <c r="I67" s="1665">
        <v>62720111</v>
      </c>
      <c r="J67" s="1665">
        <v>64875455</v>
      </c>
      <c r="K67" s="1665">
        <v>62720111</v>
      </c>
    </row>
    <row r="68" spans="1:11">
      <c r="A68" t="s">
        <v>3406</v>
      </c>
      <c r="B68" s="1417" t="s">
        <v>1114</v>
      </c>
      <c r="C68" s="1417" t="s">
        <v>7160</v>
      </c>
      <c r="D68" s="1665">
        <v>234342756</v>
      </c>
      <c r="E68" s="1665">
        <v>226465240</v>
      </c>
      <c r="F68" s="1665">
        <v>234342756</v>
      </c>
      <c r="G68" s="1665">
        <v>226465240</v>
      </c>
      <c r="H68" s="1665">
        <v>234342756</v>
      </c>
      <c r="I68" s="1665">
        <v>226465240</v>
      </c>
      <c r="J68" s="1665">
        <v>234342756</v>
      </c>
      <c r="K68" s="1665">
        <v>226465240</v>
      </c>
    </row>
    <row r="69" spans="1:11">
      <c r="A69" t="s">
        <v>4235</v>
      </c>
      <c r="B69" s="1417" t="s">
        <v>1901</v>
      </c>
      <c r="C69" s="1417" t="s">
        <v>7161</v>
      </c>
      <c r="D69" s="1665">
        <v>106316597</v>
      </c>
      <c r="E69" s="1665">
        <v>104447190</v>
      </c>
      <c r="F69" s="1665">
        <v>106316597</v>
      </c>
      <c r="G69" s="1665">
        <v>104447190</v>
      </c>
      <c r="H69" s="1665">
        <v>106316597</v>
      </c>
      <c r="I69" s="1665">
        <v>104447190</v>
      </c>
      <c r="J69" s="1665">
        <v>106316597</v>
      </c>
      <c r="K69" s="1665">
        <v>104447190</v>
      </c>
    </row>
    <row r="70" spans="1:11">
      <c r="A70" t="s">
        <v>5772</v>
      </c>
      <c r="B70" s="1417" t="s">
        <v>1645</v>
      </c>
      <c r="C70" s="1417" t="s">
        <v>7162</v>
      </c>
      <c r="D70" s="1665">
        <v>134685318</v>
      </c>
      <c r="E70" s="1665">
        <v>132239467</v>
      </c>
      <c r="F70" s="1665">
        <v>134685318</v>
      </c>
      <c r="G70" s="1665">
        <v>132239467</v>
      </c>
      <c r="H70" s="1665">
        <v>134685318</v>
      </c>
      <c r="I70" s="1665">
        <v>132239467</v>
      </c>
      <c r="J70" s="1665">
        <v>134685318</v>
      </c>
      <c r="K70" s="1665">
        <v>132239467</v>
      </c>
    </row>
    <row r="71" spans="1:11">
      <c r="A71" t="s">
        <v>5773</v>
      </c>
      <c r="B71" s="1417" t="s">
        <v>1646</v>
      </c>
      <c r="C71" s="1417" t="s">
        <v>7163</v>
      </c>
      <c r="D71" s="1665">
        <v>165145795</v>
      </c>
      <c r="E71" s="1665">
        <v>160388505</v>
      </c>
      <c r="F71" s="1665">
        <v>165145795</v>
      </c>
      <c r="G71" s="1665">
        <v>160388505</v>
      </c>
      <c r="H71" s="1665">
        <v>165145795</v>
      </c>
      <c r="I71" s="1665">
        <v>160388505</v>
      </c>
      <c r="J71" s="1665">
        <v>165145795</v>
      </c>
      <c r="K71" s="1665">
        <v>160388505</v>
      </c>
    </row>
    <row r="72" spans="1:11">
      <c r="A72" t="s">
        <v>6673</v>
      </c>
      <c r="B72" s="1417" t="s">
        <v>1647</v>
      </c>
      <c r="C72" s="1417" t="s">
        <v>7164</v>
      </c>
      <c r="D72" s="1665">
        <v>86072340</v>
      </c>
      <c r="E72" s="1665">
        <v>83858816</v>
      </c>
      <c r="F72" s="1665">
        <v>86072340</v>
      </c>
      <c r="G72" s="1665">
        <v>83858816</v>
      </c>
      <c r="H72" s="1665">
        <v>86072340</v>
      </c>
      <c r="I72" s="1665">
        <v>83858816</v>
      </c>
      <c r="J72" s="1665">
        <v>86072340</v>
      </c>
      <c r="K72" s="1665">
        <v>83858816</v>
      </c>
    </row>
    <row r="73" spans="1:11">
      <c r="A73" t="s">
        <v>4237</v>
      </c>
      <c r="B73" s="1417" t="s">
        <v>885</v>
      </c>
      <c r="C73" s="1417" t="s">
        <v>7165</v>
      </c>
      <c r="D73" s="1665">
        <v>202528169</v>
      </c>
      <c r="E73" s="1665">
        <v>192921225</v>
      </c>
      <c r="F73" s="1665">
        <v>202528169</v>
      </c>
      <c r="G73" s="1665">
        <v>192921225</v>
      </c>
      <c r="H73" s="1665">
        <v>202528169</v>
      </c>
      <c r="I73" s="1665">
        <v>192921225</v>
      </c>
      <c r="J73" s="1665">
        <v>202528169</v>
      </c>
      <c r="K73" s="1665">
        <v>192921225</v>
      </c>
    </row>
    <row r="74" spans="1:11">
      <c r="A74" t="s">
        <v>3407</v>
      </c>
      <c r="B74" s="1417" t="s">
        <v>710</v>
      </c>
      <c r="C74" s="1417" t="s">
        <v>7166</v>
      </c>
      <c r="D74" s="1665">
        <v>172581364</v>
      </c>
      <c r="E74" s="1665">
        <v>164127304</v>
      </c>
      <c r="F74" s="1665">
        <v>172581364</v>
      </c>
      <c r="G74" s="1665">
        <v>164127304</v>
      </c>
      <c r="H74" s="1665">
        <v>172581364</v>
      </c>
      <c r="I74" s="1665">
        <v>164127304</v>
      </c>
      <c r="J74" s="1665">
        <v>172581364</v>
      </c>
      <c r="K74" s="1665">
        <v>164127304</v>
      </c>
    </row>
    <row r="75" spans="1:11">
      <c r="A75" t="s">
        <v>3408</v>
      </c>
      <c r="B75" s="1417" t="s">
        <v>2136</v>
      </c>
      <c r="C75" s="1417" t="s">
        <v>7167</v>
      </c>
      <c r="D75" s="1665">
        <v>65459899</v>
      </c>
      <c r="E75" s="1665">
        <v>60864991</v>
      </c>
      <c r="F75" s="1665">
        <v>65459899</v>
      </c>
      <c r="G75" s="1665">
        <v>60864991</v>
      </c>
      <c r="H75" s="1665">
        <v>65459899</v>
      </c>
      <c r="I75" s="1665">
        <v>60864991</v>
      </c>
      <c r="J75" s="1665">
        <v>65459899</v>
      </c>
      <c r="K75" s="1665">
        <v>60864991</v>
      </c>
    </row>
    <row r="76" spans="1:11">
      <c r="A76" t="s">
        <v>3409</v>
      </c>
      <c r="B76" s="1417" t="s">
        <v>2638</v>
      </c>
      <c r="C76" s="1417" t="s">
        <v>7168</v>
      </c>
      <c r="D76" s="1665">
        <v>402243064</v>
      </c>
      <c r="E76" s="1665">
        <v>386667283</v>
      </c>
      <c r="F76" s="1665">
        <v>402243064</v>
      </c>
      <c r="G76" s="1665">
        <v>386667283</v>
      </c>
      <c r="H76" s="1665">
        <v>402243064</v>
      </c>
      <c r="I76" s="1665">
        <v>386667283</v>
      </c>
      <c r="J76" s="1665">
        <v>402243064</v>
      </c>
      <c r="K76" s="1665">
        <v>386667283</v>
      </c>
    </row>
    <row r="77" spans="1:11">
      <c r="A77" t="s">
        <v>5774</v>
      </c>
      <c r="B77" s="1417" t="s">
        <v>1096</v>
      </c>
      <c r="C77" s="1417" t="s">
        <v>7169</v>
      </c>
      <c r="D77" s="1665">
        <v>257686530</v>
      </c>
      <c r="E77" s="1665">
        <v>245334120</v>
      </c>
      <c r="F77" s="1665">
        <v>257686530</v>
      </c>
      <c r="G77" s="1665">
        <v>245334120</v>
      </c>
      <c r="H77" s="1665">
        <v>257686530</v>
      </c>
      <c r="I77" s="1665">
        <v>245334120</v>
      </c>
      <c r="J77" s="1665">
        <v>257686530</v>
      </c>
      <c r="K77" s="1665">
        <v>245334120</v>
      </c>
    </row>
    <row r="78" spans="1:11">
      <c r="A78" t="s">
        <v>5775</v>
      </c>
      <c r="B78" s="1417" t="s">
        <v>1097</v>
      </c>
      <c r="C78" s="1417" t="s">
        <v>7170</v>
      </c>
      <c r="D78" s="1665">
        <v>2052383217</v>
      </c>
      <c r="E78" s="1665">
        <v>2007912293</v>
      </c>
      <c r="F78" s="1665">
        <v>2052383217</v>
      </c>
      <c r="G78" s="1665">
        <v>2007912293</v>
      </c>
      <c r="H78" s="1665">
        <v>2052383217</v>
      </c>
      <c r="I78" s="1665">
        <v>2007912293</v>
      </c>
      <c r="J78" s="1665">
        <v>2052383217</v>
      </c>
      <c r="K78" s="1665">
        <v>2007912293</v>
      </c>
    </row>
    <row r="79" spans="1:11">
      <c r="A79" t="s">
        <v>5776</v>
      </c>
      <c r="B79" s="1417" t="s">
        <v>1124</v>
      </c>
      <c r="C79" s="1417" t="s">
        <v>7171</v>
      </c>
      <c r="D79" s="1665">
        <v>567098940</v>
      </c>
      <c r="E79" s="1665">
        <v>544613385</v>
      </c>
      <c r="F79" s="1665">
        <v>567098940</v>
      </c>
      <c r="G79" s="1665">
        <v>544613385</v>
      </c>
      <c r="H79" s="1665">
        <v>567098940</v>
      </c>
      <c r="I79" s="1665">
        <v>544613385</v>
      </c>
      <c r="J79" s="1665">
        <v>567098940</v>
      </c>
      <c r="K79" s="1665">
        <v>544613385</v>
      </c>
    </row>
    <row r="80" spans="1:11">
      <c r="A80" t="s">
        <v>3410</v>
      </c>
      <c r="B80" s="1417" t="s">
        <v>2137</v>
      </c>
      <c r="C80" s="1417" t="s">
        <v>7172</v>
      </c>
      <c r="D80" s="1665">
        <v>119120084</v>
      </c>
      <c r="E80" s="1665">
        <v>112424750</v>
      </c>
      <c r="F80" s="1665">
        <v>119120084</v>
      </c>
      <c r="G80" s="1665">
        <v>112424750</v>
      </c>
      <c r="H80" s="1665">
        <v>119120084</v>
      </c>
      <c r="I80" s="1665">
        <v>112424750</v>
      </c>
      <c r="J80" s="1665">
        <v>119120084</v>
      </c>
      <c r="K80" s="1665">
        <v>112424750</v>
      </c>
    </row>
    <row r="81" spans="1:11">
      <c r="A81" t="s">
        <v>3411</v>
      </c>
      <c r="B81" s="1417" t="s">
        <v>984</v>
      </c>
      <c r="C81" s="1417" t="s">
        <v>7173</v>
      </c>
      <c r="D81" s="1665">
        <v>22637713</v>
      </c>
      <c r="E81" s="1665">
        <v>21039545</v>
      </c>
      <c r="F81" s="1665">
        <v>22637713</v>
      </c>
      <c r="G81" s="1665">
        <v>21039545</v>
      </c>
      <c r="H81" s="1665">
        <v>22637713</v>
      </c>
      <c r="I81" s="1665">
        <v>21039545</v>
      </c>
      <c r="J81" s="1665">
        <v>22637713</v>
      </c>
      <c r="K81" s="1665">
        <v>21039545</v>
      </c>
    </row>
    <row r="82" spans="1:11">
      <c r="A82" t="s">
        <v>5777</v>
      </c>
      <c r="B82" s="1417" t="s">
        <v>842</v>
      </c>
      <c r="C82" s="1417" t="s">
        <v>7174</v>
      </c>
      <c r="D82" s="1665">
        <v>229307985</v>
      </c>
      <c r="E82" s="1665">
        <v>222093537</v>
      </c>
      <c r="F82" s="1665">
        <v>229307985</v>
      </c>
      <c r="G82" s="1665">
        <v>222093537</v>
      </c>
      <c r="H82" s="1665">
        <v>229307985</v>
      </c>
      <c r="I82" s="1665">
        <v>222093537</v>
      </c>
      <c r="J82" s="1665">
        <v>229307985</v>
      </c>
      <c r="K82" s="1665">
        <v>222093537</v>
      </c>
    </row>
    <row r="83" spans="1:11">
      <c r="A83" t="s">
        <v>5778</v>
      </c>
      <c r="B83" s="1417" t="s">
        <v>1125</v>
      </c>
      <c r="C83" s="1417" t="s">
        <v>7175</v>
      </c>
      <c r="D83" s="1665">
        <v>943834028</v>
      </c>
      <c r="E83" s="1665">
        <v>918588728</v>
      </c>
      <c r="F83" s="1665">
        <v>943834028</v>
      </c>
      <c r="G83" s="1665">
        <v>918588728</v>
      </c>
      <c r="H83" s="1665">
        <v>943834028</v>
      </c>
      <c r="I83" s="1665">
        <v>918588728</v>
      </c>
      <c r="J83" s="1665">
        <v>943834028</v>
      </c>
      <c r="K83" s="1665">
        <v>918588728</v>
      </c>
    </row>
    <row r="84" spans="1:11">
      <c r="A84" t="s">
        <v>6674</v>
      </c>
      <c r="B84" s="1417" t="s">
        <v>1126</v>
      </c>
      <c r="C84" s="1417" t="s">
        <v>7176</v>
      </c>
      <c r="D84" s="1665">
        <v>22004210</v>
      </c>
      <c r="E84" s="1665">
        <v>20491891</v>
      </c>
      <c r="F84" s="1665">
        <v>22004210</v>
      </c>
      <c r="G84" s="1665">
        <v>20491891</v>
      </c>
      <c r="H84" s="1665">
        <v>22004210</v>
      </c>
      <c r="I84" s="1665">
        <v>20491891</v>
      </c>
      <c r="J84" s="1665">
        <v>22004210</v>
      </c>
      <c r="K84" s="1665">
        <v>20491891</v>
      </c>
    </row>
    <row r="85" spans="1:11">
      <c r="A85" t="s">
        <v>6675</v>
      </c>
      <c r="B85" s="1417" t="s">
        <v>843</v>
      </c>
      <c r="C85" s="1417" t="s">
        <v>7177</v>
      </c>
      <c r="D85" s="1665">
        <v>43633485</v>
      </c>
      <c r="E85" s="1665">
        <v>41857982</v>
      </c>
      <c r="F85" s="1665">
        <v>43633485</v>
      </c>
      <c r="G85" s="1665">
        <v>41857982</v>
      </c>
      <c r="H85" s="1665">
        <v>43633485</v>
      </c>
      <c r="I85" s="1665">
        <v>41857982</v>
      </c>
      <c r="J85" s="1665">
        <v>43633485</v>
      </c>
      <c r="K85" s="1665">
        <v>41857982</v>
      </c>
    </row>
    <row r="86" spans="1:11">
      <c r="A86" t="s">
        <v>3412</v>
      </c>
      <c r="B86" s="1417" t="s">
        <v>179</v>
      </c>
      <c r="C86" s="1417" t="s">
        <v>7178</v>
      </c>
      <c r="D86" s="1665">
        <v>7068672952</v>
      </c>
      <c r="E86" s="1665">
        <v>6839754662</v>
      </c>
      <c r="F86" s="1665">
        <v>7068672952</v>
      </c>
      <c r="G86" s="1665">
        <v>6839754662</v>
      </c>
      <c r="H86" s="1665">
        <v>7068672952</v>
      </c>
      <c r="I86" s="1665">
        <v>6839754662</v>
      </c>
      <c r="J86" s="1665">
        <v>7068672952</v>
      </c>
      <c r="K86" s="1665">
        <v>6839754662</v>
      </c>
    </row>
    <row r="87" spans="1:11">
      <c r="A87" t="s">
        <v>5779</v>
      </c>
      <c r="B87" s="1417" t="s">
        <v>919</v>
      </c>
      <c r="C87" s="1417" t="s">
        <v>7179</v>
      </c>
      <c r="D87" s="1665">
        <v>2850276734</v>
      </c>
      <c r="E87" s="1665">
        <v>2784547201</v>
      </c>
      <c r="F87" s="1665">
        <v>2850276734</v>
      </c>
      <c r="G87" s="1665">
        <v>2784547201</v>
      </c>
      <c r="H87" s="1665">
        <v>2850276734</v>
      </c>
      <c r="I87" s="1665">
        <v>2784547201</v>
      </c>
      <c r="J87" s="1665">
        <v>2850276734</v>
      </c>
      <c r="K87" s="1665">
        <v>2784547201</v>
      </c>
    </row>
    <row r="88" spans="1:11">
      <c r="A88" t="s">
        <v>3413</v>
      </c>
      <c r="B88" s="1417" t="s">
        <v>711</v>
      </c>
      <c r="C88" s="1417" t="s">
        <v>7180</v>
      </c>
      <c r="D88" s="1665">
        <v>264056297</v>
      </c>
      <c r="E88" s="1665">
        <v>254633412</v>
      </c>
      <c r="F88" s="1665">
        <v>264056297</v>
      </c>
      <c r="G88" s="1665">
        <v>254633412</v>
      </c>
      <c r="H88" s="1665">
        <v>264056297</v>
      </c>
      <c r="I88" s="1665">
        <v>254633412</v>
      </c>
      <c r="J88" s="1665">
        <v>264056297</v>
      </c>
      <c r="K88" s="1665">
        <v>254633412</v>
      </c>
    </row>
    <row r="89" spans="1:11">
      <c r="A89" t="s">
        <v>5780</v>
      </c>
      <c r="B89" s="1417" t="s">
        <v>1157</v>
      </c>
      <c r="C89" s="1417" t="s">
        <v>7181</v>
      </c>
      <c r="D89" s="1665">
        <v>13484208245</v>
      </c>
      <c r="E89" s="1665">
        <v>13360091025</v>
      </c>
      <c r="F89" s="1665">
        <v>13383087319</v>
      </c>
      <c r="G89" s="1665">
        <v>13258970099</v>
      </c>
      <c r="H89" s="1665">
        <v>15318338055</v>
      </c>
      <c r="I89" s="1665">
        <v>15194220835</v>
      </c>
      <c r="J89" s="1665">
        <v>15217217129</v>
      </c>
      <c r="K89" s="1665">
        <v>15093099909</v>
      </c>
    </row>
    <row r="90" spans="1:11">
      <c r="A90" t="s">
        <v>5781</v>
      </c>
      <c r="B90" s="1417" t="s">
        <v>1158</v>
      </c>
      <c r="C90" s="1417" t="s">
        <v>7182</v>
      </c>
      <c r="D90" s="1665">
        <v>1801471527</v>
      </c>
      <c r="E90" s="1665">
        <v>1777723758</v>
      </c>
      <c r="F90" s="1665">
        <v>1768784138</v>
      </c>
      <c r="G90" s="1665">
        <v>1745036369</v>
      </c>
      <c r="H90" s="1665">
        <v>3292098947</v>
      </c>
      <c r="I90" s="1665">
        <v>3268351178</v>
      </c>
      <c r="J90" s="1665">
        <v>3259411558</v>
      </c>
      <c r="K90" s="1665">
        <v>3235663789</v>
      </c>
    </row>
    <row r="91" spans="1:11">
      <c r="A91" t="s">
        <v>3414</v>
      </c>
      <c r="B91" s="1417" t="s">
        <v>1435</v>
      </c>
      <c r="C91" s="1417" t="s">
        <v>7183</v>
      </c>
      <c r="D91" s="1665">
        <v>1360299152</v>
      </c>
      <c r="E91" s="1665">
        <v>1314410513</v>
      </c>
      <c r="F91" s="1665">
        <v>1327231796</v>
      </c>
      <c r="G91" s="1665">
        <v>1281343157</v>
      </c>
      <c r="H91" s="1665">
        <v>1360299152</v>
      </c>
      <c r="I91" s="1665">
        <v>1314410513</v>
      </c>
      <c r="J91" s="1665">
        <v>1327231796</v>
      </c>
      <c r="K91" s="1665">
        <v>1281343157</v>
      </c>
    </row>
    <row r="92" spans="1:11">
      <c r="A92" t="s">
        <v>3415</v>
      </c>
      <c r="B92" s="1417" t="s">
        <v>207</v>
      </c>
      <c r="C92" s="1417" t="s">
        <v>7184</v>
      </c>
      <c r="D92" s="1665">
        <v>7895157111</v>
      </c>
      <c r="E92" s="1665">
        <v>7655692526</v>
      </c>
      <c r="F92" s="1665">
        <v>7895157111</v>
      </c>
      <c r="G92" s="1665">
        <v>7655692526</v>
      </c>
      <c r="H92" s="1665">
        <v>7895157111</v>
      </c>
      <c r="I92" s="1665">
        <v>7655692526</v>
      </c>
      <c r="J92" s="1665">
        <v>7895157111</v>
      </c>
      <c r="K92" s="1665">
        <v>7655692526</v>
      </c>
    </row>
    <row r="93" spans="1:11">
      <c r="A93" t="s">
        <v>3416</v>
      </c>
      <c r="B93" s="1417" t="s">
        <v>1159</v>
      </c>
      <c r="C93" s="1417" t="s">
        <v>7185</v>
      </c>
      <c r="D93" s="1665">
        <v>63764963</v>
      </c>
      <c r="E93" s="1665">
        <v>61594180</v>
      </c>
      <c r="F93" s="1665">
        <v>63764963</v>
      </c>
      <c r="G93" s="1665">
        <v>61594180</v>
      </c>
      <c r="H93" s="1665">
        <v>63764963</v>
      </c>
      <c r="I93" s="1665">
        <v>61594180</v>
      </c>
      <c r="J93" s="1665">
        <v>63764963</v>
      </c>
      <c r="K93" s="1665">
        <v>61594180</v>
      </c>
    </row>
    <row r="94" spans="1:11">
      <c r="A94" t="s">
        <v>3417</v>
      </c>
      <c r="B94" s="1417" t="s">
        <v>578</v>
      </c>
      <c r="C94" s="1417" t="s">
        <v>7186</v>
      </c>
      <c r="D94" s="1665">
        <v>10239324716</v>
      </c>
      <c r="E94" s="1665">
        <v>10117705439</v>
      </c>
      <c r="F94" s="1665">
        <v>10239324716</v>
      </c>
      <c r="G94" s="1665">
        <v>10117705439</v>
      </c>
      <c r="H94" s="1665">
        <v>10239324716</v>
      </c>
      <c r="I94" s="1665">
        <v>10117705439</v>
      </c>
      <c r="J94" s="1665">
        <v>10239324716</v>
      </c>
      <c r="K94" s="1665">
        <v>10117705439</v>
      </c>
    </row>
    <row r="95" spans="1:11">
      <c r="A95" t="s">
        <v>3418</v>
      </c>
      <c r="B95" s="1417" t="s">
        <v>882</v>
      </c>
      <c r="C95" s="1417" t="s">
        <v>7187</v>
      </c>
      <c r="D95" s="1665">
        <v>8008641898</v>
      </c>
      <c r="E95" s="1665">
        <v>7867683796</v>
      </c>
      <c r="F95" s="1665">
        <v>8008641898</v>
      </c>
      <c r="G95" s="1665">
        <v>7867683796</v>
      </c>
      <c r="H95" s="1665">
        <v>8193861908</v>
      </c>
      <c r="I95" s="1665">
        <v>8052903806</v>
      </c>
      <c r="J95" s="1665">
        <v>8193861908</v>
      </c>
      <c r="K95" s="1665">
        <v>8052903806</v>
      </c>
    </row>
    <row r="96" spans="1:11">
      <c r="A96" t="s">
        <v>6676</v>
      </c>
      <c r="B96" s="1417" t="s">
        <v>2549</v>
      </c>
      <c r="C96" s="1417" t="s">
        <v>7188</v>
      </c>
      <c r="D96" s="1665">
        <v>95110750</v>
      </c>
      <c r="E96" s="1665">
        <v>93620338</v>
      </c>
      <c r="F96" s="1665">
        <v>95110750</v>
      </c>
      <c r="G96" s="1665">
        <v>93620338</v>
      </c>
      <c r="H96" s="1665">
        <v>95110750</v>
      </c>
      <c r="I96" s="1665">
        <v>93620338</v>
      </c>
      <c r="J96" s="1665">
        <v>95110750</v>
      </c>
      <c r="K96" s="1665">
        <v>93620338</v>
      </c>
    </row>
    <row r="97" spans="1:11">
      <c r="A97" t="s">
        <v>5782</v>
      </c>
      <c r="B97" s="1417" t="s">
        <v>400</v>
      </c>
      <c r="C97" s="1417" t="s">
        <v>7189</v>
      </c>
      <c r="D97" s="1665">
        <v>596424617</v>
      </c>
      <c r="E97" s="1665">
        <v>577144876</v>
      </c>
      <c r="F97" s="1665">
        <v>581698869</v>
      </c>
      <c r="G97" s="1665">
        <v>562419128</v>
      </c>
      <c r="H97" s="1665">
        <v>655434617</v>
      </c>
      <c r="I97" s="1665">
        <v>636154876</v>
      </c>
      <c r="J97" s="1665">
        <v>640708869</v>
      </c>
      <c r="K97" s="1665">
        <v>621429128</v>
      </c>
    </row>
    <row r="98" spans="1:11">
      <c r="A98" t="s">
        <v>6677</v>
      </c>
      <c r="B98" s="1417" t="s">
        <v>401</v>
      </c>
      <c r="C98" s="1417" t="s">
        <v>7190</v>
      </c>
      <c r="D98" s="1665">
        <v>93621662</v>
      </c>
      <c r="E98" s="1665">
        <v>92119450</v>
      </c>
      <c r="F98" s="1665">
        <v>93621662</v>
      </c>
      <c r="G98" s="1665">
        <v>92119450</v>
      </c>
      <c r="H98" s="1665">
        <v>93621662</v>
      </c>
      <c r="I98" s="1665">
        <v>92119450</v>
      </c>
      <c r="J98" s="1665">
        <v>93621662</v>
      </c>
      <c r="K98" s="1665">
        <v>92119450</v>
      </c>
    </row>
    <row r="99" spans="1:11">
      <c r="A99" t="s">
        <v>6678</v>
      </c>
      <c r="B99" s="1417" t="s">
        <v>402</v>
      </c>
      <c r="C99" s="1417" t="s">
        <v>7191</v>
      </c>
      <c r="D99" s="1665">
        <v>8982385</v>
      </c>
      <c r="E99" s="1665">
        <v>8972385</v>
      </c>
      <c r="F99" s="1665">
        <v>8982385</v>
      </c>
      <c r="G99" s="1665">
        <v>8972385</v>
      </c>
      <c r="H99" s="1665">
        <v>8982385</v>
      </c>
      <c r="I99" s="1665">
        <v>8972385</v>
      </c>
      <c r="J99" s="1665">
        <v>8982385</v>
      </c>
      <c r="K99" s="1665">
        <v>8972385</v>
      </c>
    </row>
    <row r="100" spans="1:11">
      <c r="A100" t="s">
        <v>6679</v>
      </c>
      <c r="B100" s="1417" t="s">
        <v>403</v>
      </c>
      <c r="C100" s="1417" t="s">
        <v>7192</v>
      </c>
      <c r="D100" s="1665">
        <v>139904455</v>
      </c>
      <c r="E100" s="1665">
        <v>138055808</v>
      </c>
      <c r="F100" s="1665">
        <v>139904455</v>
      </c>
      <c r="G100" s="1665">
        <v>138055808</v>
      </c>
      <c r="H100" s="1665">
        <v>336893125</v>
      </c>
      <c r="I100" s="1665">
        <v>335044478</v>
      </c>
      <c r="J100" s="1665">
        <v>336893125</v>
      </c>
      <c r="K100" s="1665">
        <v>335044478</v>
      </c>
    </row>
    <row r="101" spans="1:11">
      <c r="A101" t="s">
        <v>5783</v>
      </c>
      <c r="B101" s="1417" t="s">
        <v>669</v>
      </c>
      <c r="C101" s="1417" t="s">
        <v>7193</v>
      </c>
      <c r="D101" s="1665">
        <v>558707783</v>
      </c>
      <c r="E101" s="1665">
        <v>548035378</v>
      </c>
      <c r="F101" s="1665">
        <v>558707783</v>
      </c>
      <c r="G101" s="1665">
        <v>548035378</v>
      </c>
      <c r="H101" s="1665">
        <v>558707783</v>
      </c>
      <c r="I101" s="1665">
        <v>548035378</v>
      </c>
      <c r="J101" s="1665">
        <v>558707783</v>
      </c>
      <c r="K101" s="1665">
        <v>548035378</v>
      </c>
    </row>
    <row r="102" spans="1:11">
      <c r="A102" t="s">
        <v>5784</v>
      </c>
      <c r="B102" s="1417" t="s">
        <v>670</v>
      </c>
      <c r="C102" s="1417" t="s">
        <v>7194</v>
      </c>
      <c r="D102" s="1665">
        <v>391649841</v>
      </c>
      <c r="E102" s="1665">
        <v>377101605</v>
      </c>
      <c r="F102" s="1665">
        <v>391649841</v>
      </c>
      <c r="G102" s="1665">
        <v>377101605</v>
      </c>
      <c r="H102" s="1665">
        <v>391649841</v>
      </c>
      <c r="I102" s="1665">
        <v>377101605</v>
      </c>
      <c r="J102" s="1665">
        <v>391649841</v>
      </c>
      <c r="K102" s="1665">
        <v>377101605</v>
      </c>
    </row>
    <row r="103" spans="1:11">
      <c r="A103" t="s">
        <v>5785</v>
      </c>
      <c r="B103" s="1417" t="s">
        <v>671</v>
      </c>
      <c r="C103" s="1417" t="s">
        <v>7195</v>
      </c>
      <c r="D103" s="1665">
        <v>1484112877</v>
      </c>
      <c r="E103" s="1665">
        <v>1446089518</v>
      </c>
      <c r="F103" s="1665">
        <v>1484112877</v>
      </c>
      <c r="G103" s="1665">
        <v>1446089518</v>
      </c>
      <c r="H103" s="1665">
        <v>1484112877</v>
      </c>
      <c r="I103" s="1665">
        <v>1446089518</v>
      </c>
      <c r="J103" s="1665">
        <v>1484112877</v>
      </c>
      <c r="K103" s="1665">
        <v>1446089518</v>
      </c>
    </row>
    <row r="104" spans="1:11">
      <c r="A104" t="s">
        <v>3419</v>
      </c>
      <c r="B104" s="1417" t="s">
        <v>876</v>
      </c>
      <c r="C104" s="1417" t="s">
        <v>7196</v>
      </c>
      <c r="D104" s="1665">
        <v>61482183</v>
      </c>
      <c r="E104" s="1665">
        <v>58661051</v>
      </c>
      <c r="F104" s="1665">
        <v>61482183</v>
      </c>
      <c r="G104" s="1665">
        <v>58661051</v>
      </c>
      <c r="H104" s="1665">
        <v>114142843</v>
      </c>
      <c r="I104" s="1665">
        <v>111321711</v>
      </c>
      <c r="J104" s="1665">
        <v>114142843</v>
      </c>
      <c r="K104" s="1665">
        <v>111321711</v>
      </c>
    </row>
    <row r="105" spans="1:11">
      <c r="A105" t="s">
        <v>3420</v>
      </c>
      <c r="B105" s="1417" t="s">
        <v>2528</v>
      </c>
      <c r="C105" s="1417" t="s">
        <v>7197</v>
      </c>
      <c r="D105" s="1665">
        <v>167853129</v>
      </c>
      <c r="E105" s="1665">
        <v>162587656</v>
      </c>
      <c r="F105" s="1665">
        <v>167853129</v>
      </c>
      <c r="G105" s="1665">
        <v>162587656</v>
      </c>
      <c r="H105" s="1665">
        <v>167853129</v>
      </c>
      <c r="I105" s="1665">
        <v>162587656</v>
      </c>
      <c r="J105" s="1665">
        <v>167853129</v>
      </c>
      <c r="K105" s="1665">
        <v>162587656</v>
      </c>
    </row>
    <row r="106" spans="1:11">
      <c r="A106" t="s">
        <v>3421</v>
      </c>
      <c r="B106" s="1417" t="s">
        <v>1187</v>
      </c>
      <c r="C106" s="1417" t="s">
        <v>7198</v>
      </c>
      <c r="D106" s="1665">
        <v>55173241</v>
      </c>
      <c r="E106" s="1665">
        <v>53095183</v>
      </c>
      <c r="F106" s="1665">
        <v>55173241</v>
      </c>
      <c r="G106" s="1665">
        <v>53095183</v>
      </c>
      <c r="H106" s="1665">
        <v>55173241</v>
      </c>
      <c r="I106" s="1665">
        <v>53095183</v>
      </c>
      <c r="J106" s="1665">
        <v>55173241</v>
      </c>
      <c r="K106" s="1665">
        <v>53095183</v>
      </c>
    </row>
    <row r="107" spans="1:11">
      <c r="A107" t="s">
        <v>3422</v>
      </c>
      <c r="B107" s="1417" t="s">
        <v>712</v>
      </c>
      <c r="C107" s="1417" t="s">
        <v>7199</v>
      </c>
      <c r="D107" s="1665">
        <v>111561258</v>
      </c>
      <c r="E107" s="1665">
        <v>109325508</v>
      </c>
      <c r="F107" s="1665">
        <v>111561258</v>
      </c>
      <c r="G107" s="1665">
        <v>109325508</v>
      </c>
      <c r="H107" s="1665">
        <v>111561258</v>
      </c>
      <c r="I107" s="1665">
        <v>109325508</v>
      </c>
      <c r="J107" s="1665">
        <v>111561258</v>
      </c>
      <c r="K107" s="1665">
        <v>109325508</v>
      </c>
    </row>
    <row r="108" spans="1:11">
      <c r="A108" t="s">
        <v>3423</v>
      </c>
      <c r="B108" s="1417" t="s">
        <v>769</v>
      </c>
      <c r="C108" s="1417" t="s">
        <v>7200</v>
      </c>
      <c r="D108" s="1665">
        <v>316180751</v>
      </c>
      <c r="E108" s="1665">
        <v>303662100</v>
      </c>
      <c r="F108" s="1665">
        <v>316180751</v>
      </c>
      <c r="G108" s="1665">
        <v>303662100</v>
      </c>
      <c r="H108" s="1665">
        <v>316180751</v>
      </c>
      <c r="I108" s="1665">
        <v>303662100</v>
      </c>
      <c r="J108" s="1665">
        <v>316180751</v>
      </c>
      <c r="K108" s="1665">
        <v>303662100</v>
      </c>
    </row>
    <row r="109" spans="1:11">
      <c r="A109" t="s">
        <v>5786</v>
      </c>
      <c r="B109" s="1417" t="s">
        <v>672</v>
      </c>
      <c r="C109" s="1417" t="s">
        <v>7201</v>
      </c>
      <c r="D109" s="1665">
        <v>952537238</v>
      </c>
      <c r="E109" s="1665">
        <v>930886819</v>
      </c>
      <c r="F109" s="1665">
        <v>952537238</v>
      </c>
      <c r="G109" s="1665">
        <v>930886819</v>
      </c>
      <c r="H109" s="1665">
        <v>952537238</v>
      </c>
      <c r="I109" s="1665">
        <v>930886819</v>
      </c>
      <c r="J109" s="1665">
        <v>952537238</v>
      </c>
      <c r="K109" s="1665">
        <v>930886819</v>
      </c>
    </row>
    <row r="110" spans="1:11">
      <c r="A110" t="s">
        <v>5787</v>
      </c>
      <c r="B110" s="1417" t="s">
        <v>673</v>
      </c>
      <c r="C110" s="1417" t="s">
        <v>7202</v>
      </c>
      <c r="D110" s="1665">
        <v>320783398</v>
      </c>
      <c r="E110" s="1665">
        <v>310816539</v>
      </c>
      <c r="F110" s="1665">
        <v>320783398</v>
      </c>
      <c r="G110" s="1665">
        <v>310816539</v>
      </c>
      <c r="H110" s="1665">
        <v>320783398</v>
      </c>
      <c r="I110" s="1665">
        <v>310816539</v>
      </c>
      <c r="J110" s="1665">
        <v>320783398</v>
      </c>
      <c r="K110" s="1665">
        <v>310816539</v>
      </c>
    </row>
    <row r="111" spans="1:11">
      <c r="A111" t="s">
        <v>3424</v>
      </c>
      <c r="B111" s="1417" t="s">
        <v>674</v>
      </c>
      <c r="C111" s="1417" t="s">
        <v>7203</v>
      </c>
      <c r="D111" s="1665">
        <v>252881754</v>
      </c>
      <c r="E111" s="1665">
        <v>247228507</v>
      </c>
      <c r="F111" s="1665">
        <v>252881754</v>
      </c>
      <c r="G111" s="1665">
        <v>247228507</v>
      </c>
      <c r="H111" s="1665">
        <v>252881754</v>
      </c>
      <c r="I111" s="1665">
        <v>247228507</v>
      </c>
      <c r="J111" s="1665">
        <v>252881754</v>
      </c>
      <c r="K111" s="1665">
        <v>247228507</v>
      </c>
    </row>
    <row r="112" spans="1:11">
      <c r="A112" t="s">
        <v>3425</v>
      </c>
      <c r="B112" s="1417" t="s">
        <v>1885</v>
      </c>
      <c r="C112" s="1417" t="s">
        <v>7204</v>
      </c>
      <c r="D112" s="1665">
        <v>2580461099</v>
      </c>
      <c r="E112" s="1665">
        <v>2521602716</v>
      </c>
      <c r="F112" s="1665">
        <v>2580461099</v>
      </c>
      <c r="G112" s="1665">
        <v>2521602716</v>
      </c>
      <c r="H112" s="1665">
        <v>2580461099</v>
      </c>
      <c r="I112" s="1665">
        <v>2521602716</v>
      </c>
      <c r="J112" s="1665">
        <v>2580461099</v>
      </c>
      <c r="K112" s="1665">
        <v>2521602716</v>
      </c>
    </row>
    <row r="113" spans="1:11">
      <c r="A113" t="s">
        <v>4299</v>
      </c>
      <c r="B113" s="1417" t="s">
        <v>348</v>
      </c>
      <c r="C113" s="1417" t="s">
        <v>7205</v>
      </c>
      <c r="D113" s="1665">
        <v>3984740206</v>
      </c>
      <c r="E113" s="1665">
        <v>3926035889</v>
      </c>
      <c r="F113" s="1665">
        <v>3984740206</v>
      </c>
      <c r="G113" s="1665">
        <v>3926035889</v>
      </c>
      <c r="H113" s="1665">
        <v>3984740206</v>
      </c>
      <c r="I113" s="1665">
        <v>3926035889</v>
      </c>
      <c r="J113" s="1665">
        <v>3984740206</v>
      </c>
      <c r="K113" s="1665">
        <v>3926035889</v>
      </c>
    </row>
    <row r="114" spans="1:11">
      <c r="A114" t="s">
        <v>3426</v>
      </c>
      <c r="B114" s="1417" t="s">
        <v>456</v>
      </c>
      <c r="C114" s="1417" t="s">
        <v>7206</v>
      </c>
      <c r="D114" s="1665">
        <v>1590365861</v>
      </c>
      <c r="E114" s="1665">
        <v>1547631506</v>
      </c>
      <c r="F114" s="1665">
        <v>1590365861</v>
      </c>
      <c r="G114" s="1665">
        <v>1547631506</v>
      </c>
      <c r="H114" s="1665">
        <v>1590365861</v>
      </c>
      <c r="I114" s="1665">
        <v>1547631506</v>
      </c>
      <c r="J114" s="1665">
        <v>1590365861</v>
      </c>
      <c r="K114" s="1665">
        <v>1547631506</v>
      </c>
    </row>
    <row r="115" spans="1:11">
      <c r="A115" t="s">
        <v>3427</v>
      </c>
      <c r="B115" s="1417" t="s">
        <v>1154</v>
      </c>
      <c r="C115" s="1417" t="s">
        <v>7207</v>
      </c>
      <c r="D115" s="1665">
        <v>511501337</v>
      </c>
      <c r="E115" s="1665">
        <v>499095617</v>
      </c>
      <c r="F115" s="1665">
        <v>511501337</v>
      </c>
      <c r="G115" s="1665">
        <v>499095617</v>
      </c>
      <c r="H115" s="1665">
        <v>511501337</v>
      </c>
      <c r="I115" s="1665">
        <v>499095617</v>
      </c>
      <c r="J115" s="1665">
        <v>511501337</v>
      </c>
      <c r="K115" s="1665">
        <v>499095617</v>
      </c>
    </row>
    <row r="116" spans="1:11">
      <c r="A116" t="s">
        <v>6680</v>
      </c>
      <c r="B116" s="1417" t="s">
        <v>2306</v>
      </c>
      <c r="C116" s="1417" t="s">
        <v>7208</v>
      </c>
      <c r="D116" s="1665">
        <v>153198396</v>
      </c>
      <c r="E116" s="1665">
        <v>151192312</v>
      </c>
      <c r="F116" s="1665">
        <v>153198396</v>
      </c>
      <c r="G116" s="1665">
        <v>151192312</v>
      </c>
      <c r="H116" s="1665">
        <v>153198396</v>
      </c>
      <c r="I116" s="1665">
        <v>151192312</v>
      </c>
      <c r="J116" s="1665">
        <v>153198396</v>
      </c>
      <c r="K116" s="1665">
        <v>151192312</v>
      </c>
    </row>
    <row r="117" spans="1:11">
      <c r="A117" t="s">
        <v>5788</v>
      </c>
      <c r="B117" s="1417" t="s">
        <v>1359</v>
      </c>
      <c r="C117" s="1417" t="s">
        <v>7209</v>
      </c>
      <c r="D117" s="1665">
        <v>3486259424</v>
      </c>
      <c r="E117" s="1665">
        <v>3444003106</v>
      </c>
      <c r="F117" s="1665">
        <v>3431335226</v>
      </c>
      <c r="G117" s="1665">
        <v>3389078908</v>
      </c>
      <c r="H117" s="1665">
        <v>3695593784</v>
      </c>
      <c r="I117" s="1665">
        <v>3653337466</v>
      </c>
      <c r="J117" s="1665">
        <v>3640669586</v>
      </c>
      <c r="K117" s="1665">
        <v>3598413268</v>
      </c>
    </row>
    <row r="118" spans="1:11">
      <c r="A118" t="s">
        <v>6681</v>
      </c>
      <c r="B118" s="1417" t="s">
        <v>2341</v>
      </c>
      <c r="C118" s="1417" t="s">
        <v>7210</v>
      </c>
      <c r="D118" s="1665">
        <v>154123496</v>
      </c>
      <c r="E118" s="1665">
        <v>147436311</v>
      </c>
      <c r="F118" s="1665">
        <v>154123496</v>
      </c>
      <c r="G118" s="1665">
        <v>147436311</v>
      </c>
      <c r="H118" s="1665">
        <v>154123496</v>
      </c>
      <c r="I118" s="1665">
        <v>147436311</v>
      </c>
      <c r="J118" s="1665">
        <v>154123496</v>
      </c>
      <c r="K118" s="1665">
        <v>147436311</v>
      </c>
    </row>
    <row r="119" spans="1:11">
      <c r="A119" t="s">
        <v>3428</v>
      </c>
      <c r="B119" s="1417" t="s">
        <v>713</v>
      </c>
      <c r="C119" s="1417" t="s">
        <v>7211</v>
      </c>
      <c r="D119" s="1665">
        <v>537379713</v>
      </c>
      <c r="E119" s="1665">
        <v>517398747</v>
      </c>
      <c r="F119" s="1665">
        <v>537379713</v>
      </c>
      <c r="G119" s="1665">
        <v>517398747</v>
      </c>
      <c r="H119" s="1665">
        <v>537379713</v>
      </c>
      <c r="I119" s="1665">
        <v>517398747</v>
      </c>
      <c r="J119" s="1665">
        <v>537379713</v>
      </c>
      <c r="K119" s="1665">
        <v>517398747</v>
      </c>
    </row>
    <row r="120" spans="1:11">
      <c r="A120" t="s">
        <v>3429</v>
      </c>
      <c r="B120" s="1417" t="s">
        <v>148</v>
      </c>
      <c r="C120" s="1417" t="s">
        <v>7212</v>
      </c>
      <c r="D120" s="1665">
        <v>227600424</v>
      </c>
      <c r="E120" s="1665">
        <v>221631914</v>
      </c>
      <c r="F120" s="1665">
        <v>227600424</v>
      </c>
      <c r="G120" s="1665">
        <v>221631914</v>
      </c>
      <c r="H120" s="1665">
        <v>227600424</v>
      </c>
      <c r="I120" s="1665">
        <v>221631914</v>
      </c>
      <c r="J120" s="1665">
        <v>227600424</v>
      </c>
      <c r="K120" s="1665">
        <v>221631914</v>
      </c>
    </row>
    <row r="121" spans="1:11">
      <c r="A121" t="s">
        <v>5789</v>
      </c>
      <c r="B121" s="1417" t="s">
        <v>1829</v>
      </c>
      <c r="C121" s="1417" t="s">
        <v>7213</v>
      </c>
      <c r="D121" s="1665">
        <v>267611369</v>
      </c>
      <c r="E121" s="1665">
        <v>261306747</v>
      </c>
      <c r="F121" s="1665">
        <v>267611369</v>
      </c>
      <c r="G121" s="1665">
        <v>261306747</v>
      </c>
      <c r="H121" s="1665">
        <v>267611369</v>
      </c>
      <c r="I121" s="1665">
        <v>261306747</v>
      </c>
      <c r="J121" s="1665">
        <v>267611369</v>
      </c>
      <c r="K121" s="1665">
        <v>261306747</v>
      </c>
    </row>
    <row r="122" spans="1:11">
      <c r="A122" t="s">
        <v>3430</v>
      </c>
      <c r="B122" s="1417" t="s">
        <v>881</v>
      </c>
      <c r="C122" s="1417" t="s">
        <v>7214</v>
      </c>
      <c r="D122" s="1665">
        <v>5973734661</v>
      </c>
      <c r="E122" s="1665">
        <v>5746114177</v>
      </c>
      <c r="F122" s="1665">
        <v>5973734661</v>
      </c>
      <c r="G122" s="1665">
        <v>5746114177</v>
      </c>
      <c r="H122" s="1665">
        <v>5973734661</v>
      </c>
      <c r="I122" s="1665">
        <v>5746114177</v>
      </c>
      <c r="J122" s="1665">
        <v>5973734661</v>
      </c>
      <c r="K122" s="1665">
        <v>5746114177</v>
      </c>
    </row>
    <row r="123" spans="1:11">
      <c r="A123" t="s">
        <v>3431</v>
      </c>
      <c r="B123" s="1417" t="s">
        <v>1860</v>
      </c>
      <c r="C123" s="1417" t="s">
        <v>7215</v>
      </c>
      <c r="D123" s="1665">
        <v>3701830187</v>
      </c>
      <c r="E123" s="1665">
        <v>3584167506</v>
      </c>
      <c r="F123" s="1665">
        <v>3701830187</v>
      </c>
      <c r="G123" s="1665">
        <v>3584167506</v>
      </c>
      <c r="H123" s="1665">
        <v>3701830187</v>
      </c>
      <c r="I123" s="1665">
        <v>3584167506</v>
      </c>
      <c r="J123" s="1665">
        <v>3701830187</v>
      </c>
      <c r="K123" s="1665">
        <v>3584167506</v>
      </c>
    </row>
    <row r="124" spans="1:11">
      <c r="A124" t="s">
        <v>3432</v>
      </c>
      <c r="B124" s="1417" t="s">
        <v>57</v>
      </c>
      <c r="C124" s="1417" t="s">
        <v>7216</v>
      </c>
      <c r="D124" s="1665">
        <v>433842478</v>
      </c>
      <c r="E124" s="1665">
        <v>415753823</v>
      </c>
      <c r="F124" s="1665">
        <v>433842478</v>
      </c>
      <c r="G124" s="1665">
        <v>415753823</v>
      </c>
      <c r="H124" s="1665">
        <v>433842478</v>
      </c>
      <c r="I124" s="1665">
        <v>415753823</v>
      </c>
      <c r="J124" s="1665">
        <v>433842478</v>
      </c>
      <c r="K124" s="1665">
        <v>415753823</v>
      </c>
    </row>
    <row r="125" spans="1:11">
      <c r="A125" t="s">
        <v>3433</v>
      </c>
      <c r="B125" s="1417" t="s">
        <v>2283</v>
      </c>
      <c r="C125" s="1417" t="s">
        <v>7217</v>
      </c>
      <c r="D125" s="1665">
        <v>1997329098</v>
      </c>
      <c r="E125" s="1665">
        <v>1936000609</v>
      </c>
      <c r="F125" s="1665">
        <v>1997329098</v>
      </c>
      <c r="G125" s="1665">
        <v>1936000609</v>
      </c>
      <c r="H125" s="1665">
        <v>2229577738</v>
      </c>
      <c r="I125" s="1665">
        <v>2168249249</v>
      </c>
      <c r="J125" s="1665">
        <v>2229577738</v>
      </c>
      <c r="K125" s="1665">
        <v>2168249249</v>
      </c>
    </row>
    <row r="126" spans="1:11">
      <c r="A126" t="s">
        <v>5790</v>
      </c>
      <c r="B126" s="1417" t="s">
        <v>1679</v>
      </c>
      <c r="C126" s="1417" t="s">
        <v>7218</v>
      </c>
      <c r="D126" s="1665">
        <v>3666311360</v>
      </c>
      <c r="E126" s="1665">
        <v>3644108515</v>
      </c>
      <c r="F126" s="1665">
        <v>3666311360</v>
      </c>
      <c r="G126" s="1665">
        <v>3644108515</v>
      </c>
      <c r="H126" s="1665">
        <v>3666311360</v>
      </c>
      <c r="I126" s="1665">
        <v>3644108515</v>
      </c>
      <c r="J126" s="1665">
        <v>3666311360</v>
      </c>
      <c r="K126" s="1665">
        <v>3644108515</v>
      </c>
    </row>
    <row r="127" spans="1:11">
      <c r="A127" t="s">
        <v>3434</v>
      </c>
      <c r="B127" s="1417" t="s">
        <v>714</v>
      </c>
      <c r="C127" s="1417" t="s">
        <v>7219</v>
      </c>
      <c r="D127" s="1665">
        <v>309620143</v>
      </c>
      <c r="E127" s="1665">
        <v>298057330</v>
      </c>
      <c r="F127" s="1665">
        <v>309620143</v>
      </c>
      <c r="G127" s="1665">
        <v>298057330</v>
      </c>
      <c r="H127" s="1665">
        <v>345002283</v>
      </c>
      <c r="I127" s="1665">
        <v>333439470</v>
      </c>
      <c r="J127" s="1665">
        <v>345002283</v>
      </c>
      <c r="K127" s="1665">
        <v>333439470</v>
      </c>
    </row>
    <row r="128" spans="1:11">
      <c r="A128" t="s">
        <v>3435</v>
      </c>
      <c r="B128" s="1417" t="s">
        <v>1315</v>
      </c>
      <c r="C128" s="1417" t="s">
        <v>7220</v>
      </c>
      <c r="D128" s="1665">
        <v>1120168151</v>
      </c>
      <c r="E128" s="1665">
        <v>1069528891</v>
      </c>
      <c r="F128" s="1665">
        <v>1120168151</v>
      </c>
      <c r="G128" s="1665">
        <v>1069528891</v>
      </c>
      <c r="H128" s="1665">
        <v>1120168151</v>
      </c>
      <c r="I128" s="1665">
        <v>1069528891</v>
      </c>
      <c r="J128" s="1665">
        <v>1120168151</v>
      </c>
      <c r="K128" s="1665">
        <v>1069528891</v>
      </c>
    </row>
    <row r="129" spans="1:11">
      <c r="A129" t="s">
        <v>3436</v>
      </c>
      <c r="B129" s="1417" t="s">
        <v>715</v>
      </c>
      <c r="C129" s="1417" t="s">
        <v>7221</v>
      </c>
      <c r="D129" s="1665">
        <v>59276313</v>
      </c>
      <c r="E129" s="1665">
        <v>56840573</v>
      </c>
      <c r="F129" s="1665">
        <v>59276313</v>
      </c>
      <c r="G129" s="1665">
        <v>56840573</v>
      </c>
      <c r="H129" s="1665">
        <v>59276313</v>
      </c>
      <c r="I129" s="1665">
        <v>56840573</v>
      </c>
      <c r="J129" s="1665">
        <v>59276313</v>
      </c>
      <c r="K129" s="1665">
        <v>56840573</v>
      </c>
    </row>
    <row r="130" spans="1:11">
      <c r="A130" t="s">
        <v>3437</v>
      </c>
      <c r="B130" s="1417" t="s">
        <v>492</v>
      </c>
      <c r="C130" s="1417" t="s">
        <v>7222</v>
      </c>
      <c r="D130" s="1665">
        <v>96809685</v>
      </c>
      <c r="E130" s="1665">
        <v>90998619</v>
      </c>
      <c r="F130" s="1665">
        <v>96809685</v>
      </c>
      <c r="G130" s="1665">
        <v>90998619</v>
      </c>
      <c r="H130" s="1665">
        <v>96809685</v>
      </c>
      <c r="I130" s="1665">
        <v>90998619</v>
      </c>
      <c r="J130" s="1665">
        <v>96809685</v>
      </c>
      <c r="K130" s="1665">
        <v>90998619</v>
      </c>
    </row>
    <row r="131" spans="1:11">
      <c r="A131" t="s">
        <v>5791</v>
      </c>
      <c r="B131" s="1417" t="s">
        <v>933</v>
      </c>
      <c r="C131" s="1417" t="s">
        <v>7223</v>
      </c>
      <c r="D131" s="1665">
        <v>824962167</v>
      </c>
      <c r="E131" s="1665">
        <v>798559779</v>
      </c>
      <c r="F131" s="1665">
        <v>824962167</v>
      </c>
      <c r="G131" s="1665">
        <v>798559779</v>
      </c>
      <c r="H131" s="1665">
        <v>824962167</v>
      </c>
      <c r="I131" s="1665">
        <v>798559779</v>
      </c>
      <c r="J131" s="1665">
        <v>824962167</v>
      </c>
      <c r="K131" s="1665">
        <v>798559779</v>
      </c>
    </row>
    <row r="132" spans="1:11">
      <c r="A132" t="s">
        <v>5792</v>
      </c>
      <c r="B132" s="1417" t="s">
        <v>934</v>
      </c>
      <c r="C132" s="1417" t="s">
        <v>7224</v>
      </c>
      <c r="D132" s="1665">
        <v>121245931</v>
      </c>
      <c r="E132" s="1665">
        <v>119426841</v>
      </c>
      <c r="F132" s="1665">
        <v>121245931</v>
      </c>
      <c r="G132" s="1665">
        <v>119426841</v>
      </c>
      <c r="H132" s="1665">
        <v>459116621</v>
      </c>
      <c r="I132" s="1665">
        <v>457297531</v>
      </c>
      <c r="J132" s="1665">
        <v>459116621</v>
      </c>
      <c r="K132" s="1665">
        <v>457297531</v>
      </c>
    </row>
    <row r="133" spans="1:11">
      <c r="A133" t="s">
        <v>5793</v>
      </c>
      <c r="B133" s="1417" t="s">
        <v>776</v>
      </c>
      <c r="C133" s="1417" t="s">
        <v>7225</v>
      </c>
      <c r="D133" s="1665">
        <v>439632825</v>
      </c>
      <c r="E133" s="1665">
        <v>431123975</v>
      </c>
      <c r="F133" s="1665">
        <v>429530190</v>
      </c>
      <c r="G133" s="1665">
        <v>421021340</v>
      </c>
      <c r="H133" s="1665">
        <v>759877375</v>
      </c>
      <c r="I133" s="1665">
        <v>751368525</v>
      </c>
      <c r="J133" s="1665">
        <v>749774740</v>
      </c>
      <c r="K133" s="1665">
        <v>741265890</v>
      </c>
    </row>
    <row r="134" spans="1:11">
      <c r="A134" t="s">
        <v>5794</v>
      </c>
      <c r="B134" s="1417" t="s">
        <v>1806</v>
      </c>
      <c r="C134" s="1417" t="s">
        <v>7226</v>
      </c>
      <c r="D134" s="1665">
        <v>253219263</v>
      </c>
      <c r="E134" s="1665">
        <v>249201233</v>
      </c>
      <c r="F134" s="1665">
        <v>251501708</v>
      </c>
      <c r="G134" s="1665">
        <v>247483678</v>
      </c>
      <c r="H134" s="1665">
        <v>384307623</v>
      </c>
      <c r="I134" s="1665">
        <v>380289593</v>
      </c>
      <c r="J134" s="1665">
        <v>382590068</v>
      </c>
      <c r="K134" s="1665">
        <v>378572038</v>
      </c>
    </row>
    <row r="135" spans="1:11">
      <c r="A135" t="s">
        <v>5795</v>
      </c>
      <c r="B135" s="1417" t="s">
        <v>1725</v>
      </c>
      <c r="C135" s="1417" t="s">
        <v>7227</v>
      </c>
      <c r="D135" s="1665">
        <v>548081057</v>
      </c>
      <c r="E135" s="1665">
        <v>523604993</v>
      </c>
      <c r="F135" s="1665">
        <v>548081057</v>
      </c>
      <c r="G135" s="1665">
        <v>523604993</v>
      </c>
      <c r="H135" s="1665">
        <v>548081057</v>
      </c>
      <c r="I135" s="1665">
        <v>523604993</v>
      </c>
      <c r="J135" s="1665">
        <v>548081057</v>
      </c>
      <c r="K135" s="1665">
        <v>523604993</v>
      </c>
    </row>
    <row r="136" spans="1:11">
      <c r="A136" t="s">
        <v>6682</v>
      </c>
      <c r="B136" s="1417" t="s">
        <v>1726</v>
      </c>
      <c r="C136" s="1417" t="s">
        <v>7228</v>
      </c>
      <c r="D136" s="1665">
        <v>66927243</v>
      </c>
      <c r="E136" s="1665">
        <v>63480710</v>
      </c>
      <c r="F136" s="1665">
        <v>66927243</v>
      </c>
      <c r="G136" s="1665">
        <v>63480710</v>
      </c>
      <c r="H136" s="1665">
        <v>66927243</v>
      </c>
      <c r="I136" s="1665">
        <v>63480710</v>
      </c>
      <c r="J136" s="1665">
        <v>66927243</v>
      </c>
      <c r="K136" s="1665">
        <v>63480710</v>
      </c>
    </row>
    <row r="137" spans="1:11">
      <c r="A137" t="s">
        <v>5796</v>
      </c>
      <c r="B137" s="1417" t="s">
        <v>743</v>
      </c>
      <c r="C137" s="1417" t="s">
        <v>7229</v>
      </c>
      <c r="D137" s="1665">
        <v>262856087</v>
      </c>
      <c r="E137" s="1665">
        <v>252003022</v>
      </c>
      <c r="F137" s="1665">
        <v>262856087</v>
      </c>
      <c r="G137" s="1665">
        <v>252003022</v>
      </c>
      <c r="H137" s="1665">
        <v>262856087</v>
      </c>
      <c r="I137" s="1665">
        <v>252003022</v>
      </c>
      <c r="J137" s="1665">
        <v>262856087</v>
      </c>
      <c r="K137" s="1665">
        <v>252003022</v>
      </c>
    </row>
    <row r="138" spans="1:11">
      <c r="A138" t="s">
        <v>6683</v>
      </c>
      <c r="B138" s="1417" t="s">
        <v>744</v>
      </c>
      <c r="C138" s="1417" t="s">
        <v>7230</v>
      </c>
      <c r="D138" s="1665">
        <v>254663483</v>
      </c>
      <c r="E138" s="1665">
        <v>241013317</v>
      </c>
      <c r="F138" s="1665">
        <v>254663483</v>
      </c>
      <c r="G138" s="1665">
        <v>241013317</v>
      </c>
      <c r="H138" s="1665">
        <v>254663483</v>
      </c>
      <c r="I138" s="1665">
        <v>241013317</v>
      </c>
      <c r="J138" s="1665">
        <v>254663483</v>
      </c>
      <c r="K138" s="1665">
        <v>241013317</v>
      </c>
    </row>
    <row r="139" spans="1:11">
      <c r="A139" t="s">
        <v>4368</v>
      </c>
      <c r="B139" s="1417" t="s">
        <v>1875</v>
      </c>
      <c r="C139" s="1417" t="s">
        <v>7231</v>
      </c>
      <c r="D139" s="1665">
        <v>38060400</v>
      </c>
      <c r="E139" s="1665">
        <v>36130199</v>
      </c>
      <c r="F139" s="1665">
        <v>38060400</v>
      </c>
      <c r="G139" s="1665">
        <v>36130199</v>
      </c>
      <c r="H139" s="1665">
        <v>38060400</v>
      </c>
      <c r="I139" s="1665">
        <v>36130199</v>
      </c>
      <c r="J139" s="1665">
        <v>38060400</v>
      </c>
      <c r="K139" s="1665">
        <v>36130199</v>
      </c>
    </row>
    <row r="140" spans="1:11">
      <c r="A140" t="s">
        <v>5797</v>
      </c>
      <c r="B140" s="1417" t="s">
        <v>745</v>
      </c>
      <c r="C140" s="1417" t="s">
        <v>7232</v>
      </c>
      <c r="D140" s="1665">
        <v>506603479</v>
      </c>
      <c r="E140" s="1665">
        <v>494499082</v>
      </c>
      <c r="F140" s="1665">
        <v>495450249</v>
      </c>
      <c r="G140" s="1665">
        <v>483345852</v>
      </c>
      <c r="H140" s="1665">
        <v>506603479</v>
      </c>
      <c r="I140" s="1665">
        <v>494499082</v>
      </c>
      <c r="J140" s="1665">
        <v>495450249</v>
      </c>
      <c r="K140" s="1665">
        <v>483345852</v>
      </c>
    </row>
    <row r="141" spans="1:11">
      <c r="A141" t="s">
        <v>5798</v>
      </c>
      <c r="B141" s="1417" t="s">
        <v>1952</v>
      </c>
      <c r="C141" s="1417" t="s">
        <v>7233</v>
      </c>
      <c r="D141" s="1665">
        <v>47449526</v>
      </c>
      <c r="E141" s="1665">
        <v>44531640</v>
      </c>
      <c r="F141" s="1665">
        <v>47449526</v>
      </c>
      <c r="G141" s="1665">
        <v>44531640</v>
      </c>
      <c r="H141" s="1665">
        <v>47449526</v>
      </c>
      <c r="I141" s="1665">
        <v>44531640</v>
      </c>
      <c r="J141" s="1665">
        <v>47449526</v>
      </c>
      <c r="K141" s="1665">
        <v>44531640</v>
      </c>
    </row>
    <row r="142" spans="1:11">
      <c r="A142" t="s">
        <v>5799</v>
      </c>
      <c r="B142" s="1417" t="s">
        <v>1953</v>
      </c>
      <c r="C142" s="1417" t="s">
        <v>7234</v>
      </c>
      <c r="D142" s="1665">
        <v>284476551</v>
      </c>
      <c r="E142" s="1665">
        <v>276897101</v>
      </c>
      <c r="F142" s="1665">
        <v>284476551</v>
      </c>
      <c r="G142" s="1665">
        <v>276897101</v>
      </c>
      <c r="H142" s="1665">
        <v>810724511</v>
      </c>
      <c r="I142" s="1665">
        <v>803145061</v>
      </c>
      <c r="J142" s="1665">
        <v>810724511</v>
      </c>
      <c r="K142" s="1665">
        <v>803145061</v>
      </c>
    </row>
    <row r="143" spans="1:11">
      <c r="A143" t="s">
        <v>6684</v>
      </c>
      <c r="B143" s="1417" t="s">
        <v>2431</v>
      </c>
      <c r="C143" s="1417" t="s">
        <v>7235</v>
      </c>
      <c r="D143" s="1665">
        <v>77542811</v>
      </c>
      <c r="E143" s="1665">
        <v>75861261</v>
      </c>
      <c r="F143" s="1665">
        <v>77542811</v>
      </c>
      <c r="G143" s="1665">
        <v>75861261</v>
      </c>
      <c r="H143" s="1665">
        <v>77542811</v>
      </c>
      <c r="I143" s="1665">
        <v>75861261</v>
      </c>
      <c r="J143" s="1665">
        <v>77542811</v>
      </c>
      <c r="K143" s="1665">
        <v>75861261</v>
      </c>
    </row>
    <row r="144" spans="1:11">
      <c r="A144" t="s">
        <v>3438</v>
      </c>
      <c r="B144" s="1417" t="s">
        <v>2539</v>
      </c>
      <c r="C144" s="1417" t="s">
        <v>7236</v>
      </c>
      <c r="D144" s="1665">
        <v>57838977</v>
      </c>
      <c r="E144" s="1665">
        <v>56054767</v>
      </c>
      <c r="F144" s="1665">
        <v>57838977</v>
      </c>
      <c r="G144" s="1665">
        <v>56054767</v>
      </c>
      <c r="H144" s="1665">
        <v>57838977</v>
      </c>
      <c r="I144" s="1665">
        <v>56054767</v>
      </c>
      <c r="J144" s="1665">
        <v>57838977</v>
      </c>
      <c r="K144" s="1665">
        <v>56054767</v>
      </c>
    </row>
    <row r="145" spans="1:11">
      <c r="A145" t="s">
        <v>3439</v>
      </c>
      <c r="B145" s="1417" t="s">
        <v>1640</v>
      </c>
      <c r="C145" s="1417" t="s">
        <v>7237</v>
      </c>
      <c r="D145" s="1665">
        <v>548537525</v>
      </c>
      <c r="E145" s="1665">
        <v>548537525</v>
      </c>
      <c r="F145" s="1665">
        <v>527121530</v>
      </c>
      <c r="G145" s="1665">
        <v>527121530</v>
      </c>
      <c r="H145" s="1665">
        <v>548537525</v>
      </c>
      <c r="I145" s="1665">
        <v>548537525</v>
      </c>
      <c r="J145" s="1665">
        <v>527121530</v>
      </c>
      <c r="K145" s="1665">
        <v>527121530</v>
      </c>
    </row>
    <row r="146" spans="1:11">
      <c r="A146" t="s">
        <v>5800</v>
      </c>
      <c r="B146" s="1417" t="s">
        <v>2432</v>
      </c>
      <c r="C146" s="1417" t="s">
        <v>7238</v>
      </c>
      <c r="D146" s="1665">
        <v>5004173829</v>
      </c>
      <c r="E146" s="1665">
        <v>4949165659</v>
      </c>
      <c r="F146" s="1665">
        <v>4865550749</v>
      </c>
      <c r="G146" s="1665">
        <v>4810542579</v>
      </c>
      <c r="H146" s="1665">
        <v>10214915167</v>
      </c>
      <c r="I146" s="1665">
        <v>10159906997</v>
      </c>
      <c r="J146" s="1665">
        <v>10076292087</v>
      </c>
      <c r="K146" s="1665">
        <v>10021283917</v>
      </c>
    </row>
    <row r="147" spans="1:11">
      <c r="A147" t="s">
        <v>3440</v>
      </c>
      <c r="B147" s="1417" t="s">
        <v>285</v>
      </c>
      <c r="C147" s="1417" t="s">
        <v>7239</v>
      </c>
      <c r="D147" s="1665">
        <v>345265220</v>
      </c>
      <c r="E147" s="1665">
        <v>333132540</v>
      </c>
      <c r="F147" s="1665">
        <v>330508400</v>
      </c>
      <c r="G147" s="1665">
        <v>318375720</v>
      </c>
      <c r="H147" s="1665">
        <v>345265220</v>
      </c>
      <c r="I147" s="1665">
        <v>333132540</v>
      </c>
      <c r="J147" s="1665">
        <v>330508400</v>
      </c>
      <c r="K147" s="1665">
        <v>318375720</v>
      </c>
    </row>
    <row r="148" spans="1:11">
      <c r="A148" t="s">
        <v>5801</v>
      </c>
      <c r="B148" s="1417" t="s">
        <v>1469</v>
      </c>
      <c r="C148" s="1417" t="s">
        <v>7240</v>
      </c>
      <c r="D148" s="1665">
        <v>148223198</v>
      </c>
      <c r="E148" s="1665">
        <v>142654570</v>
      </c>
      <c r="F148" s="1665">
        <v>148223198</v>
      </c>
      <c r="G148" s="1665">
        <v>142654570</v>
      </c>
      <c r="H148" s="1665">
        <v>148223198</v>
      </c>
      <c r="I148" s="1665">
        <v>142654570</v>
      </c>
      <c r="J148" s="1665">
        <v>148223198</v>
      </c>
      <c r="K148" s="1665">
        <v>142654570</v>
      </c>
    </row>
    <row r="149" spans="1:11">
      <c r="A149" t="s">
        <v>3441</v>
      </c>
      <c r="B149" s="1417" t="s">
        <v>43</v>
      </c>
      <c r="C149" s="1417" t="s">
        <v>7241</v>
      </c>
      <c r="D149" s="1665">
        <v>1146762848</v>
      </c>
      <c r="E149" s="1665">
        <v>1102714574</v>
      </c>
      <c r="F149" s="1665">
        <v>1146762848</v>
      </c>
      <c r="G149" s="1665">
        <v>1102714574</v>
      </c>
      <c r="H149" s="1665">
        <v>1146762848</v>
      </c>
      <c r="I149" s="1665">
        <v>1102714574</v>
      </c>
      <c r="J149" s="1665">
        <v>1146762848</v>
      </c>
      <c r="K149" s="1665">
        <v>1102714574</v>
      </c>
    </row>
    <row r="150" spans="1:11">
      <c r="A150" t="s">
        <v>3442</v>
      </c>
      <c r="B150" s="1417" t="s">
        <v>1311</v>
      </c>
      <c r="C150" s="1417" t="s">
        <v>7242</v>
      </c>
      <c r="D150" s="1665">
        <v>415740766</v>
      </c>
      <c r="E150" s="1665">
        <v>397095998</v>
      </c>
      <c r="F150" s="1665">
        <v>415740766</v>
      </c>
      <c r="G150" s="1665">
        <v>397095998</v>
      </c>
      <c r="H150" s="1665">
        <v>415740766</v>
      </c>
      <c r="I150" s="1665">
        <v>397095998</v>
      </c>
      <c r="J150" s="1665">
        <v>415740766</v>
      </c>
      <c r="K150" s="1665">
        <v>397095998</v>
      </c>
    </row>
    <row r="151" spans="1:11">
      <c r="A151" t="s">
        <v>4382</v>
      </c>
      <c r="B151" s="1417" t="s">
        <v>2542</v>
      </c>
      <c r="C151" s="1417" t="s">
        <v>7243</v>
      </c>
      <c r="D151" s="1665">
        <v>69769620</v>
      </c>
      <c r="E151" s="1665">
        <v>67340209</v>
      </c>
      <c r="F151" s="1665">
        <v>69769620</v>
      </c>
      <c r="G151" s="1665">
        <v>67340209</v>
      </c>
      <c r="H151" s="1665">
        <v>69769620</v>
      </c>
      <c r="I151" s="1665">
        <v>67340209</v>
      </c>
      <c r="J151" s="1665">
        <v>69769620</v>
      </c>
      <c r="K151" s="1665">
        <v>67340209</v>
      </c>
    </row>
    <row r="152" spans="1:11">
      <c r="A152" t="s">
        <v>5802</v>
      </c>
      <c r="B152" s="1417" t="s">
        <v>1470</v>
      </c>
      <c r="C152" s="1417" t="s">
        <v>7244</v>
      </c>
      <c r="D152" s="1665">
        <v>91002038</v>
      </c>
      <c r="E152" s="1665">
        <v>87814793</v>
      </c>
      <c r="F152" s="1665">
        <v>91002038</v>
      </c>
      <c r="G152" s="1665">
        <v>87814793</v>
      </c>
      <c r="H152" s="1665">
        <v>91002038</v>
      </c>
      <c r="I152" s="1665">
        <v>87814793</v>
      </c>
      <c r="J152" s="1665">
        <v>91002038</v>
      </c>
      <c r="K152" s="1665">
        <v>87814793</v>
      </c>
    </row>
    <row r="153" spans="1:11">
      <c r="A153" t="s">
        <v>3443</v>
      </c>
      <c r="B153" s="1417" t="s">
        <v>71</v>
      </c>
      <c r="C153" s="1417" t="s">
        <v>7245</v>
      </c>
      <c r="D153" s="1665">
        <v>431245944</v>
      </c>
      <c r="E153" s="1665">
        <v>418963644</v>
      </c>
      <c r="F153" s="1665">
        <v>431245944</v>
      </c>
      <c r="G153" s="1665">
        <v>418963644</v>
      </c>
      <c r="H153" s="1665">
        <v>431245944</v>
      </c>
      <c r="I153" s="1665">
        <v>418963644</v>
      </c>
      <c r="J153" s="1665">
        <v>431245944</v>
      </c>
      <c r="K153" s="1665">
        <v>418963644</v>
      </c>
    </row>
    <row r="154" spans="1:11">
      <c r="A154" t="s">
        <v>5803</v>
      </c>
      <c r="B154" s="1417" t="s">
        <v>2167</v>
      </c>
      <c r="C154" s="1417" t="s">
        <v>7246</v>
      </c>
      <c r="D154" s="1665">
        <v>356265316</v>
      </c>
      <c r="E154" s="1665">
        <v>344916396</v>
      </c>
      <c r="F154" s="1665">
        <v>356265316</v>
      </c>
      <c r="G154" s="1665">
        <v>344916396</v>
      </c>
      <c r="H154" s="1665">
        <v>356265316</v>
      </c>
      <c r="I154" s="1665">
        <v>344916396</v>
      </c>
      <c r="J154" s="1665">
        <v>356265316</v>
      </c>
      <c r="K154" s="1665">
        <v>344916396</v>
      </c>
    </row>
    <row r="155" spans="1:11">
      <c r="A155" t="s">
        <v>3444</v>
      </c>
      <c r="B155" s="1417" t="s">
        <v>716</v>
      </c>
      <c r="C155" s="1417" t="s">
        <v>7247</v>
      </c>
      <c r="D155" s="1665">
        <v>142409326</v>
      </c>
      <c r="E155" s="1665">
        <v>135631186</v>
      </c>
      <c r="F155" s="1665">
        <v>142409326</v>
      </c>
      <c r="G155" s="1665">
        <v>135631186</v>
      </c>
      <c r="H155" s="1665">
        <v>142409326</v>
      </c>
      <c r="I155" s="1665">
        <v>135631186</v>
      </c>
      <c r="J155" s="1665">
        <v>142409326</v>
      </c>
      <c r="K155" s="1665">
        <v>135631186</v>
      </c>
    </row>
    <row r="156" spans="1:11">
      <c r="A156" t="s">
        <v>6685</v>
      </c>
      <c r="B156" s="1417" t="s">
        <v>2168</v>
      </c>
      <c r="C156" s="1417" t="s">
        <v>7248</v>
      </c>
      <c r="D156" s="1665">
        <v>133815078</v>
      </c>
      <c r="E156" s="1665">
        <v>132428418</v>
      </c>
      <c r="F156" s="1665">
        <v>133815078</v>
      </c>
      <c r="G156" s="1665">
        <v>132428418</v>
      </c>
      <c r="H156" s="1665">
        <v>133815078</v>
      </c>
      <c r="I156" s="1665">
        <v>132428418</v>
      </c>
      <c r="J156" s="1665">
        <v>133815078</v>
      </c>
      <c r="K156" s="1665">
        <v>132428418</v>
      </c>
    </row>
    <row r="157" spans="1:11">
      <c r="A157" t="s">
        <v>6686</v>
      </c>
      <c r="B157" s="1417" t="s">
        <v>1670</v>
      </c>
      <c r="C157" s="1417" t="s">
        <v>7249</v>
      </c>
      <c r="D157" s="1665">
        <v>80609628</v>
      </c>
      <c r="E157" s="1665">
        <v>78391558</v>
      </c>
      <c r="F157" s="1665">
        <v>80609628</v>
      </c>
      <c r="G157" s="1665">
        <v>78391558</v>
      </c>
      <c r="H157" s="1665">
        <v>292762438</v>
      </c>
      <c r="I157" s="1665">
        <v>290544368</v>
      </c>
      <c r="J157" s="1665">
        <v>292762438</v>
      </c>
      <c r="K157" s="1665">
        <v>290544368</v>
      </c>
    </row>
    <row r="158" spans="1:11">
      <c r="A158" t="s">
        <v>6687</v>
      </c>
      <c r="B158" s="1417" t="s">
        <v>1671</v>
      </c>
      <c r="C158" s="1417" t="s">
        <v>7250</v>
      </c>
      <c r="D158" s="1665">
        <v>54198685</v>
      </c>
      <c r="E158" s="1665">
        <v>52440933</v>
      </c>
      <c r="F158" s="1665">
        <v>54198685</v>
      </c>
      <c r="G158" s="1665">
        <v>52440933</v>
      </c>
      <c r="H158" s="1665">
        <v>54198685</v>
      </c>
      <c r="I158" s="1665">
        <v>52440933</v>
      </c>
      <c r="J158" s="1665">
        <v>54198685</v>
      </c>
      <c r="K158" s="1665">
        <v>52440933</v>
      </c>
    </row>
    <row r="159" spans="1:11">
      <c r="A159" t="s">
        <v>5804</v>
      </c>
      <c r="B159" s="1417" t="s">
        <v>795</v>
      </c>
      <c r="C159" s="1417" t="s">
        <v>7251</v>
      </c>
      <c r="D159" s="1665">
        <v>387170883</v>
      </c>
      <c r="E159" s="1665">
        <v>386147457</v>
      </c>
      <c r="F159" s="1665">
        <v>387170883</v>
      </c>
      <c r="G159" s="1665">
        <v>386147457</v>
      </c>
      <c r="H159" s="1665">
        <v>387170883</v>
      </c>
      <c r="I159" s="1665">
        <v>386147457</v>
      </c>
      <c r="J159" s="1665">
        <v>387170883</v>
      </c>
      <c r="K159" s="1665">
        <v>386147457</v>
      </c>
    </row>
    <row r="160" spans="1:11">
      <c r="A160" t="s">
        <v>6688</v>
      </c>
      <c r="B160" s="1417" t="s">
        <v>796</v>
      </c>
      <c r="C160" s="1417" t="s">
        <v>7252</v>
      </c>
      <c r="D160" s="1665">
        <v>128492336</v>
      </c>
      <c r="E160" s="1665">
        <v>127991616</v>
      </c>
      <c r="F160" s="1665">
        <v>128492336</v>
      </c>
      <c r="G160" s="1665">
        <v>127991616</v>
      </c>
      <c r="H160" s="1665">
        <v>128492336</v>
      </c>
      <c r="I160" s="1665">
        <v>127991616</v>
      </c>
      <c r="J160" s="1665">
        <v>128492336</v>
      </c>
      <c r="K160" s="1665">
        <v>127991616</v>
      </c>
    </row>
    <row r="161" spans="1:11">
      <c r="A161" t="s">
        <v>5805</v>
      </c>
      <c r="B161" s="1417" t="s">
        <v>815</v>
      </c>
      <c r="C161" s="1417" t="s">
        <v>7253</v>
      </c>
      <c r="D161" s="1665">
        <v>255691917</v>
      </c>
      <c r="E161" s="1665">
        <v>255691917</v>
      </c>
      <c r="F161" s="1665">
        <v>252662887</v>
      </c>
      <c r="G161" s="1665">
        <v>252662887</v>
      </c>
      <c r="H161" s="1665">
        <v>255691917</v>
      </c>
      <c r="I161" s="1665">
        <v>255691917</v>
      </c>
      <c r="J161" s="1665">
        <v>252662887</v>
      </c>
      <c r="K161" s="1665">
        <v>252662887</v>
      </c>
    </row>
    <row r="162" spans="1:11">
      <c r="A162" t="s">
        <v>4389</v>
      </c>
      <c r="B162" s="1417" t="s">
        <v>577</v>
      </c>
      <c r="C162" s="1417" t="s">
        <v>7254</v>
      </c>
      <c r="D162" s="1665">
        <v>206966333</v>
      </c>
      <c r="E162" s="1665">
        <v>195637602</v>
      </c>
      <c r="F162" s="1665">
        <v>206966333</v>
      </c>
      <c r="G162" s="1665">
        <v>195637602</v>
      </c>
      <c r="H162" s="1665">
        <v>206966333</v>
      </c>
      <c r="I162" s="1665">
        <v>195637602</v>
      </c>
      <c r="J162" s="1665">
        <v>206966333</v>
      </c>
      <c r="K162" s="1665">
        <v>195637602</v>
      </c>
    </row>
    <row r="163" spans="1:11">
      <c r="A163" t="s">
        <v>3445</v>
      </c>
      <c r="B163" s="1417" t="s">
        <v>2368</v>
      </c>
      <c r="C163" s="1417" t="s">
        <v>7255</v>
      </c>
      <c r="D163" s="1665">
        <v>120666990</v>
      </c>
      <c r="E163" s="1665">
        <v>116892770</v>
      </c>
      <c r="F163" s="1665">
        <v>120666990</v>
      </c>
      <c r="G163" s="1665">
        <v>116892770</v>
      </c>
      <c r="H163" s="1665">
        <v>120666990</v>
      </c>
      <c r="I163" s="1665">
        <v>116892770</v>
      </c>
      <c r="J163" s="1665">
        <v>120666990</v>
      </c>
      <c r="K163" s="1665">
        <v>116892770</v>
      </c>
    </row>
    <row r="164" spans="1:11">
      <c r="A164" t="s">
        <v>5806</v>
      </c>
      <c r="B164" s="1417" t="s">
        <v>816</v>
      </c>
      <c r="C164" s="1417" t="s">
        <v>7256</v>
      </c>
      <c r="D164" s="1665">
        <v>153941626</v>
      </c>
      <c r="E164" s="1665">
        <v>151207036</v>
      </c>
      <c r="F164" s="1665">
        <v>153941626</v>
      </c>
      <c r="G164" s="1665">
        <v>151207036</v>
      </c>
      <c r="H164" s="1665">
        <v>153941626</v>
      </c>
      <c r="I164" s="1665">
        <v>151207036</v>
      </c>
      <c r="J164" s="1665">
        <v>153941626</v>
      </c>
      <c r="K164" s="1665">
        <v>151207036</v>
      </c>
    </row>
    <row r="165" spans="1:11">
      <c r="A165" t="s">
        <v>3446</v>
      </c>
      <c r="B165" s="1417" t="s">
        <v>584</v>
      </c>
      <c r="C165" s="1417" t="s">
        <v>7257</v>
      </c>
      <c r="D165" s="1665">
        <v>13977639127</v>
      </c>
      <c r="E165" s="1665">
        <v>13758402558</v>
      </c>
      <c r="F165" s="1665">
        <v>13977639127</v>
      </c>
      <c r="G165" s="1665">
        <v>13758402558</v>
      </c>
      <c r="H165" s="1665">
        <v>13977639127</v>
      </c>
      <c r="I165" s="1665">
        <v>13758402558</v>
      </c>
      <c r="J165" s="1665">
        <v>13977639127</v>
      </c>
      <c r="K165" s="1665">
        <v>13758402558</v>
      </c>
    </row>
    <row r="166" spans="1:11">
      <c r="A166" t="s">
        <v>3447</v>
      </c>
      <c r="B166" s="1417" t="s">
        <v>1641</v>
      </c>
      <c r="C166" s="1417" t="s">
        <v>7258</v>
      </c>
      <c r="D166" s="1665">
        <v>1321780158</v>
      </c>
      <c r="E166" s="1665">
        <v>1288124468</v>
      </c>
      <c r="F166" s="1665">
        <v>1321780158</v>
      </c>
      <c r="G166" s="1665">
        <v>1288124468</v>
      </c>
      <c r="H166" s="1665">
        <v>1321780158</v>
      </c>
      <c r="I166" s="1665">
        <v>1288124468</v>
      </c>
      <c r="J166" s="1665">
        <v>1321780158</v>
      </c>
      <c r="K166" s="1665">
        <v>1288124468</v>
      </c>
    </row>
    <row r="167" spans="1:11">
      <c r="A167" t="s">
        <v>3448</v>
      </c>
      <c r="B167" s="1417" t="s">
        <v>2502</v>
      </c>
      <c r="C167" s="1417" t="s">
        <v>7259</v>
      </c>
      <c r="D167" s="1665">
        <v>1377941175</v>
      </c>
      <c r="E167" s="1665">
        <v>1352212014</v>
      </c>
      <c r="F167" s="1665">
        <v>1377941175</v>
      </c>
      <c r="G167" s="1665">
        <v>1352212014</v>
      </c>
      <c r="H167" s="1665">
        <v>1377941175</v>
      </c>
      <c r="I167" s="1665">
        <v>1352212014</v>
      </c>
      <c r="J167" s="1665">
        <v>1377941175</v>
      </c>
      <c r="K167" s="1665">
        <v>1352212014</v>
      </c>
    </row>
    <row r="168" spans="1:11">
      <c r="A168" t="s">
        <v>3449</v>
      </c>
      <c r="B168" s="1417" t="s">
        <v>1687</v>
      </c>
      <c r="C168" s="1417" t="s">
        <v>7260</v>
      </c>
      <c r="D168" s="1665">
        <v>610090527</v>
      </c>
      <c r="E168" s="1665">
        <v>592513644</v>
      </c>
      <c r="F168" s="1665">
        <v>610090527</v>
      </c>
      <c r="G168" s="1665">
        <v>592513644</v>
      </c>
      <c r="H168" s="1665">
        <v>610090527</v>
      </c>
      <c r="I168" s="1665">
        <v>592513644</v>
      </c>
      <c r="J168" s="1665">
        <v>610090527</v>
      </c>
      <c r="K168" s="1665">
        <v>592513644</v>
      </c>
    </row>
    <row r="169" spans="1:11">
      <c r="A169" t="s">
        <v>3450</v>
      </c>
      <c r="B169" s="1417" t="s">
        <v>1425</v>
      </c>
      <c r="C169" s="1417" t="s">
        <v>7261</v>
      </c>
      <c r="D169" s="1665">
        <v>38585555444</v>
      </c>
      <c r="E169" s="1665">
        <v>38108031539</v>
      </c>
      <c r="F169" s="1665">
        <v>38585555444</v>
      </c>
      <c r="G169" s="1665">
        <v>38108031539</v>
      </c>
      <c r="H169" s="1665">
        <v>38585555444</v>
      </c>
      <c r="I169" s="1665">
        <v>38108031539</v>
      </c>
      <c r="J169" s="1665">
        <v>38585555444</v>
      </c>
      <c r="K169" s="1665">
        <v>38108031539</v>
      </c>
    </row>
    <row r="170" spans="1:11">
      <c r="A170" t="s">
        <v>3451</v>
      </c>
      <c r="B170" s="1417" t="s">
        <v>2530</v>
      </c>
      <c r="C170" s="1417" t="s">
        <v>7262</v>
      </c>
      <c r="D170" s="1665">
        <v>15463720269</v>
      </c>
      <c r="E170" s="1665">
        <v>15204874792</v>
      </c>
      <c r="F170" s="1665">
        <v>15463720269</v>
      </c>
      <c r="G170" s="1665">
        <v>15204874792</v>
      </c>
      <c r="H170" s="1665">
        <v>15463720269</v>
      </c>
      <c r="I170" s="1665">
        <v>15204874792</v>
      </c>
      <c r="J170" s="1665">
        <v>15463720269</v>
      </c>
      <c r="K170" s="1665">
        <v>15204874792</v>
      </c>
    </row>
    <row r="171" spans="1:11">
      <c r="A171" t="s">
        <v>3452</v>
      </c>
      <c r="B171" s="1417" t="s">
        <v>649</v>
      </c>
      <c r="C171" s="1417" t="s">
        <v>7263</v>
      </c>
      <c r="D171" s="1665">
        <v>1233850378</v>
      </c>
      <c r="E171" s="1665">
        <v>1206346869</v>
      </c>
      <c r="F171" s="1665">
        <v>1233850378</v>
      </c>
      <c r="G171" s="1665">
        <v>1206346869</v>
      </c>
      <c r="H171" s="1665">
        <v>1233850378</v>
      </c>
      <c r="I171" s="1665">
        <v>1206346869</v>
      </c>
      <c r="J171" s="1665">
        <v>1233850378</v>
      </c>
      <c r="K171" s="1665">
        <v>1206346869</v>
      </c>
    </row>
    <row r="172" spans="1:11">
      <c r="A172" t="s">
        <v>5807</v>
      </c>
      <c r="B172" s="1417" t="s">
        <v>650</v>
      </c>
      <c r="C172" s="1417" t="s">
        <v>7264</v>
      </c>
      <c r="D172" s="1665">
        <v>54063697670</v>
      </c>
      <c r="E172" s="1665">
        <v>53372544810</v>
      </c>
      <c r="F172" s="1665">
        <v>54063697670</v>
      </c>
      <c r="G172" s="1665">
        <v>53372544810</v>
      </c>
      <c r="H172" s="1665">
        <v>54063697670</v>
      </c>
      <c r="I172" s="1665">
        <v>53372544810</v>
      </c>
      <c r="J172" s="1665">
        <v>54063697670</v>
      </c>
      <c r="K172" s="1665">
        <v>53372544810</v>
      </c>
    </row>
    <row r="173" spans="1:11">
      <c r="A173" t="s">
        <v>3453</v>
      </c>
      <c r="B173" s="1417" t="s">
        <v>218</v>
      </c>
      <c r="C173" s="1417" t="s">
        <v>7265</v>
      </c>
      <c r="D173" s="1665">
        <v>1234933151</v>
      </c>
      <c r="E173" s="1665">
        <v>1199311019</v>
      </c>
      <c r="F173" s="1665">
        <v>1234933151</v>
      </c>
      <c r="G173" s="1665">
        <v>1199311019</v>
      </c>
      <c r="H173" s="1665">
        <v>1234933151</v>
      </c>
      <c r="I173" s="1665">
        <v>1199311019</v>
      </c>
      <c r="J173" s="1665">
        <v>1234933151</v>
      </c>
      <c r="K173" s="1665">
        <v>1199311019</v>
      </c>
    </row>
    <row r="174" spans="1:11">
      <c r="A174" t="s">
        <v>3454</v>
      </c>
      <c r="B174" s="1417" t="s">
        <v>1583</v>
      </c>
      <c r="C174" s="1417" t="s">
        <v>7266</v>
      </c>
      <c r="D174" s="1665">
        <v>8343020259</v>
      </c>
      <c r="E174" s="1665">
        <v>8225066727</v>
      </c>
      <c r="F174" s="1665">
        <v>8343020259</v>
      </c>
      <c r="G174" s="1665">
        <v>8225066727</v>
      </c>
      <c r="H174" s="1665">
        <v>8343020259</v>
      </c>
      <c r="I174" s="1665">
        <v>8225066727</v>
      </c>
      <c r="J174" s="1665">
        <v>8343020259</v>
      </c>
      <c r="K174" s="1665">
        <v>8225066727</v>
      </c>
    </row>
    <row r="175" spans="1:11">
      <c r="A175" t="s">
        <v>3455</v>
      </c>
      <c r="B175" s="1417" t="s">
        <v>1184</v>
      </c>
      <c r="C175" s="1417" t="s">
        <v>7267</v>
      </c>
      <c r="D175" s="1665">
        <v>6453929109</v>
      </c>
      <c r="E175" s="1665">
        <v>6298330179</v>
      </c>
      <c r="F175" s="1665">
        <v>6453929109</v>
      </c>
      <c r="G175" s="1665">
        <v>6298330179</v>
      </c>
      <c r="H175" s="1665">
        <v>6453929109</v>
      </c>
      <c r="I175" s="1665">
        <v>6298330179</v>
      </c>
      <c r="J175" s="1665">
        <v>6453929109</v>
      </c>
      <c r="K175" s="1665">
        <v>6298330179</v>
      </c>
    </row>
    <row r="176" spans="1:11">
      <c r="A176" t="s">
        <v>3456</v>
      </c>
      <c r="B176" s="1417" t="s">
        <v>878</v>
      </c>
      <c r="C176" s="1417" t="s">
        <v>7268</v>
      </c>
      <c r="D176" s="1665">
        <v>252688647</v>
      </c>
      <c r="E176" s="1665">
        <v>244671823</v>
      </c>
      <c r="F176" s="1665">
        <v>252688647</v>
      </c>
      <c r="G176" s="1665">
        <v>244671823</v>
      </c>
      <c r="H176" s="1665">
        <v>252688647</v>
      </c>
      <c r="I176" s="1665">
        <v>244671823</v>
      </c>
      <c r="J176" s="1665">
        <v>252688647</v>
      </c>
      <c r="K176" s="1665">
        <v>244671823</v>
      </c>
    </row>
    <row r="177" spans="1:11">
      <c r="A177" t="s">
        <v>3457</v>
      </c>
      <c r="B177" s="1417" t="s">
        <v>1438</v>
      </c>
      <c r="C177" s="1417" t="s">
        <v>7269</v>
      </c>
      <c r="D177" s="1665">
        <v>940268088</v>
      </c>
      <c r="E177" s="1665">
        <v>911324161</v>
      </c>
      <c r="F177" s="1665">
        <v>940268088</v>
      </c>
      <c r="G177" s="1665">
        <v>911324161</v>
      </c>
      <c r="H177" s="1665">
        <v>940268088</v>
      </c>
      <c r="I177" s="1665">
        <v>911324161</v>
      </c>
      <c r="J177" s="1665">
        <v>940268088</v>
      </c>
      <c r="K177" s="1665">
        <v>911324161</v>
      </c>
    </row>
    <row r="178" spans="1:11">
      <c r="A178" t="s">
        <v>5808</v>
      </c>
      <c r="B178" s="1417" t="s">
        <v>253</v>
      </c>
      <c r="C178" s="1417" t="s">
        <v>7270</v>
      </c>
      <c r="D178" s="1665">
        <v>2641010506</v>
      </c>
      <c r="E178" s="1665">
        <v>2596561373</v>
      </c>
      <c r="F178" s="1665">
        <v>2641010506</v>
      </c>
      <c r="G178" s="1665">
        <v>2596561373</v>
      </c>
      <c r="H178" s="1665">
        <v>2641010506</v>
      </c>
      <c r="I178" s="1665">
        <v>2596561373</v>
      </c>
      <c r="J178" s="1665">
        <v>2641010506</v>
      </c>
      <c r="K178" s="1665">
        <v>2596561373</v>
      </c>
    </row>
    <row r="179" spans="1:11">
      <c r="A179" t="s">
        <v>6689</v>
      </c>
      <c r="B179" s="1417" t="s">
        <v>254</v>
      </c>
      <c r="C179" s="1417" t="s">
        <v>7271</v>
      </c>
      <c r="D179" s="1665">
        <v>183523989</v>
      </c>
      <c r="E179" s="1665">
        <v>178222039</v>
      </c>
      <c r="F179" s="1665">
        <v>183523989</v>
      </c>
      <c r="G179" s="1665">
        <v>178222039</v>
      </c>
      <c r="H179" s="1665">
        <v>183523989</v>
      </c>
      <c r="I179" s="1665">
        <v>178222039</v>
      </c>
      <c r="J179" s="1665">
        <v>183523989</v>
      </c>
      <c r="K179" s="1665">
        <v>178222039</v>
      </c>
    </row>
    <row r="180" spans="1:11">
      <c r="A180" t="s">
        <v>3458</v>
      </c>
      <c r="B180" s="1417" t="s">
        <v>1436</v>
      </c>
      <c r="C180" s="1417" t="s">
        <v>7272</v>
      </c>
      <c r="D180" s="1665">
        <v>1138307937</v>
      </c>
      <c r="E180" s="1665">
        <v>1112645112</v>
      </c>
      <c r="F180" s="1665">
        <v>1138307937</v>
      </c>
      <c r="G180" s="1665">
        <v>1112645112</v>
      </c>
      <c r="H180" s="1665">
        <v>1138307937</v>
      </c>
      <c r="I180" s="1665">
        <v>1112645112</v>
      </c>
      <c r="J180" s="1665">
        <v>1138307937</v>
      </c>
      <c r="K180" s="1665">
        <v>1112645112</v>
      </c>
    </row>
    <row r="181" spans="1:11">
      <c r="A181" t="s">
        <v>5809</v>
      </c>
      <c r="B181" s="1417" t="s">
        <v>589</v>
      </c>
      <c r="C181" s="1417" t="s">
        <v>7273</v>
      </c>
      <c r="D181" s="1665">
        <v>829156020</v>
      </c>
      <c r="E181" s="1665">
        <v>815785530</v>
      </c>
      <c r="F181" s="1665">
        <v>829156020</v>
      </c>
      <c r="G181" s="1665">
        <v>815785530</v>
      </c>
      <c r="H181" s="1665">
        <v>829156020</v>
      </c>
      <c r="I181" s="1665">
        <v>815785530</v>
      </c>
      <c r="J181" s="1665">
        <v>829156020</v>
      </c>
      <c r="K181" s="1665">
        <v>815785530</v>
      </c>
    </row>
    <row r="182" spans="1:11">
      <c r="A182" t="s">
        <v>5810</v>
      </c>
      <c r="B182" s="1417" t="s">
        <v>27</v>
      </c>
      <c r="C182" s="1417" t="s">
        <v>7274</v>
      </c>
      <c r="D182" s="1665">
        <v>399463117</v>
      </c>
      <c r="E182" s="1665">
        <v>387492663</v>
      </c>
      <c r="F182" s="1665">
        <v>399463117</v>
      </c>
      <c r="G182" s="1665">
        <v>387492663</v>
      </c>
      <c r="H182" s="1665">
        <v>399463117</v>
      </c>
      <c r="I182" s="1665">
        <v>387492663</v>
      </c>
      <c r="J182" s="1665">
        <v>399463117</v>
      </c>
      <c r="K182" s="1665">
        <v>387492663</v>
      </c>
    </row>
    <row r="183" spans="1:11">
      <c r="A183" t="s">
        <v>3459</v>
      </c>
      <c r="B183" s="1417" t="s">
        <v>28</v>
      </c>
      <c r="C183" s="1417" t="s">
        <v>7275</v>
      </c>
      <c r="D183" s="1665">
        <v>5235668171</v>
      </c>
      <c r="E183" s="1665">
        <v>5111628516</v>
      </c>
      <c r="F183" s="1665">
        <v>5235668171</v>
      </c>
      <c r="G183" s="1665">
        <v>5111628516</v>
      </c>
      <c r="H183" s="1665">
        <v>5235668171</v>
      </c>
      <c r="I183" s="1665">
        <v>5111628516</v>
      </c>
      <c r="J183" s="1665">
        <v>5235668171</v>
      </c>
      <c r="K183" s="1665">
        <v>5111628516</v>
      </c>
    </row>
    <row r="184" spans="1:11">
      <c r="A184" t="s">
        <v>5811</v>
      </c>
      <c r="B184" s="1417" t="s">
        <v>1265</v>
      </c>
      <c r="C184" s="1417" t="s">
        <v>7276</v>
      </c>
      <c r="D184" s="1665">
        <v>17693064909</v>
      </c>
      <c r="E184" s="1665">
        <v>17354318241</v>
      </c>
      <c r="F184" s="1665">
        <v>16647108948</v>
      </c>
      <c r="G184" s="1665">
        <v>16308362280</v>
      </c>
      <c r="H184" s="1665">
        <v>17752310309</v>
      </c>
      <c r="I184" s="1665">
        <v>17413563641</v>
      </c>
      <c r="J184" s="1665">
        <v>16706354348</v>
      </c>
      <c r="K184" s="1665">
        <v>16367607680</v>
      </c>
    </row>
    <row r="185" spans="1:11">
      <c r="A185" t="s">
        <v>3460</v>
      </c>
      <c r="B185" s="1417" t="s">
        <v>2315</v>
      </c>
      <c r="C185" s="1417" t="s">
        <v>7277</v>
      </c>
      <c r="D185" s="1665">
        <v>401486587</v>
      </c>
      <c r="E185" s="1665">
        <v>386150500</v>
      </c>
      <c r="F185" s="1665">
        <v>401486587</v>
      </c>
      <c r="G185" s="1665">
        <v>386150500</v>
      </c>
      <c r="H185" s="1665">
        <v>523998477</v>
      </c>
      <c r="I185" s="1665">
        <v>508662390</v>
      </c>
      <c r="J185" s="1665">
        <v>523998477</v>
      </c>
      <c r="K185" s="1665">
        <v>508662390</v>
      </c>
    </row>
    <row r="186" spans="1:11">
      <c r="A186" t="s">
        <v>3461</v>
      </c>
      <c r="B186" s="1417" t="s">
        <v>2409</v>
      </c>
      <c r="C186" s="1417" t="s">
        <v>7278</v>
      </c>
      <c r="D186" s="1665">
        <v>219581775</v>
      </c>
      <c r="E186" s="1665">
        <v>210194639</v>
      </c>
      <c r="F186" s="1665">
        <v>219581775</v>
      </c>
      <c r="G186" s="1665">
        <v>210194639</v>
      </c>
      <c r="H186" s="1665">
        <v>219581775</v>
      </c>
      <c r="I186" s="1665">
        <v>210194639</v>
      </c>
      <c r="J186" s="1665">
        <v>219581775</v>
      </c>
      <c r="K186" s="1665">
        <v>210194639</v>
      </c>
    </row>
    <row r="187" spans="1:11">
      <c r="A187" t="s">
        <v>3462</v>
      </c>
      <c r="B187" s="1417" t="s">
        <v>2342</v>
      </c>
      <c r="C187" s="1417" t="s">
        <v>7279</v>
      </c>
      <c r="D187" s="1665">
        <v>73047062</v>
      </c>
      <c r="E187" s="1665">
        <v>70709066</v>
      </c>
      <c r="F187" s="1665">
        <v>73047062</v>
      </c>
      <c r="G187" s="1665">
        <v>70709066</v>
      </c>
      <c r="H187" s="1665">
        <v>73047062</v>
      </c>
      <c r="I187" s="1665">
        <v>70709066</v>
      </c>
      <c r="J187" s="1665">
        <v>73047062</v>
      </c>
      <c r="K187" s="1665">
        <v>70709066</v>
      </c>
    </row>
    <row r="188" spans="1:11">
      <c r="A188" t="s">
        <v>3463</v>
      </c>
      <c r="B188" s="1417" t="s">
        <v>2316</v>
      </c>
      <c r="C188" s="1417" t="s">
        <v>7280</v>
      </c>
      <c r="D188" s="1665">
        <v>34771608</v>
      </c>
      <c r="E188" s="1665">
        <v>33158449</v>
      </c>
      <c r="F188" s="1665">
        <v>34771608</v>
      </c>
      <c r="G188" s="1665">
        <v>33158449</v>
      </c>
      <c r="H188" s="1665">
        <v>34771608</v>
      </c>
      <c r="I188" s="1665">
        <v>33158449</v>
      </c>
      <c r="J188" s="1665">
        <v>34771608</v>
      </c>
      <c r="K188" s="1665">
        <v>33158449</v>
      </c>
    </row>
    <row r="189" spans="1:11">
      <c r="A189" t="s">
        <v>6690</v>
      </c>
      <c r="B189" s="1417" t="s">
        <v>2317</v>
      </c>
      <c r="C189" s="1417" t="s">
        <v>7281</v>
      </c>
      <c r="D189" s="1665">
        <v>137358093</v>
      </c>
      <c r="E189" s="1665">
        <v>133674744</v>
      </c>
      <c r="F189" s="1665">
        <v>137358093</v>
      </c>
      <c r="G189" s="1665">
        <v>133674744</v>
      </c>
      <c r="H189" s="1665">
        <v>137358093</v>
      </c>
      <c r="I189" s="1665">
        <v>133674744</v>
      </c>
      <c r="J189" s="1665">
        <v>137358093</v>
      </c>
      <c r="K189" s="1665">
        <v>133674744</v>
      </c>
    </row>
    <row r="190" spans="1:11">
      <c r="A190" t="s">
        <v>5812</v>
      </c>
      <c r="B190" s="1417" t="s">
        <v>300</v>
      </c>
      <c r="C190" s="1417" t="s">
        <v>7282</v>
      </c>
      <c r="D190" s="1665">
        <v>89115712</v>
      </c>
      <c r="E190" s="1665">
        <v>87299571</v>
      </c>
      <c r="F190" s="1665">
        <v>89115712</v>
      </c>
      <c r="G190" s="1665">
        <v>87299571</v>
      </c>
      <c r="H190" s="1665">
        <v>89115712</v>
      </c>
      <c r="I190" s="1665">
        <v>87299571</v>
      </c>
      <c r="J190" s="1665">
        <v>89115712</v>
      </c>
      <c r="K190" s="1665">
        <v>87299571</v>
      </c>
    </row>
    <row r="191" spans="1:11">
      <c r="A191" t="s">
        <v>3464</v>
      </c>
      <c r="B191" s="1417" t="s">
        <v>1427</v>
      </c>
      <c r="C191" s="1417" t="s">
        <v>7283</v>
      </c>
      <c r="D191" s="1665">
        <v>1156100001</v>
      </c>
      <c r="E191" s="1665">
        <v>1125055521</v>
      </c>
      <c r="F191" s="1665">
        <v>1156100001</v>
      </c>
      <c r="G191" s="1665">
        <v>1125055521</v>
      </c>
      <c r="H191" s="1665">
        <v>1156100001</v>
      </c>
      <c r="I191" s="1665">
        <v>1125055521</v>
      </c>
      <c r="J191" s="1665">
        <v>1156100001</v>
      </c>
      <c r="K191" s="1665">
        <v>1125055521</v>
      </c>
    </row>
    <row r="192" spans="1:11">
      <c r="A192" t="s">
        <v>5813</v>
      </c>
      <c r="B192" s="1417" t="s">
        <v>301</v>
      </c>
      <c r="C192" s="1417" t="s">
        <v>7284</v>
      </c>
      <c r="D192" s="1665">
        <v>371193895</v>
      </c>
      <c r="E192" s="1665">
        <v>363445568</v>
      </c>
      <c r="F192" s="1665">
        <v>371193895</v>
      </c>
      <c r="G192" s="1665">
        <v>363445568</v>
      </c>
      <c r="H192" s="1665">
        <v>475622205</v>
      </c>
      <c r="I192" s="1665">
        <v>467873878</v>
      </c>
      <c r="J192" s="1665">
        <v>475622205</v>
      </c>
      <c r="K192" s="1665">
        <v>467873878</v>
      </c>
    </row>
    <row r="193" spans="1:11">
      <c r="A193" t="s">
        <v>3465</v>
      </c>
      <c r="B193" s="1417" t="s">
        <v>2503</v>
      </c>
      <c r="C193" s="1417" t="s">
        <v>7285</v>
      </c>
      <c r="D193" s="1665">
        <v>292749702</v>
      </c>
      <c r="E193" s="1665">
        <v>284821188</v>
      </c>
      <c r="F193" s="1665">
        <v>292749702</v>
      </c>
      <c r="G193" s="1665">
        <v>284821188</v>
      </c>
      <c r="H193" s="1665">
        <v>292749702</v>
      </c>
      <c r="I193" s="1665">
        <v>284821188</v>
      </c>
      <c r="J193" s="1665">
        <v>292749702</v>
      </c>
      <c r="K193" s="1665">
        <v>284821188</v>
      </c>
    </row>
    <row r="194" spans="1:11">
      <c r="A194" t="s">
        <v>5814</v>
      </c>
      <c r="B194" s="1417" t="s">
        <v>302</v>
      </c>
      <c r="C194" s="1417" t="s">
        <v>7286</v>
      </c>
      <c r="D194" s="1665">
        <v>716228934</v>
      </c>
      <c r="E194" s="1665">
        <v>695663600</v>
      </c>
      <c r="F194" s="1665">
        <v>716228934</v>
      </c>
      <c r="G194" s="1665">
        <v>695663600</v>
      </c>
      <c r="H194" s="1665">
        <v>716228934</v>
      </c>
      <c r="I194" s="1665">
        <v>695663600</v>
      </c>
      <c r="J194" s="1665">
        <v>716228934</v>
      </c>
      <c r="K194" s="1665">
        <v>695663600</v>
      </c>
    </row>
    <row r="195" spans="1:11">
      <c r="A195" t="s">
        <v>3466</v>
      </c>
      <c r="B195" s="1417" t="s">
        <v>303</v>
      </c>
      <c r="C195" s="1417" t="s">
        <v>7287</v>
      </c>
      <c r="D195" s="1665">
        <v>175045506</v>
      </c>
      <c r="E195" s="1665">
        <v>170204971</v>
      </c>
      <c r="F195" s="1665">
        <v>175045506</v>
      </c>
      <c r="G195" s="1665">
        <v>170204971</v>
      </c>
      <c r="H195" s="1665">
        <v>175045506</v>
      </c>
      <c r="I195" s="1665">
        <v>170204971</v>
      </c>
      <c r="J195" s="1665">
        <v>175045506</v>
      </c>
      <c r="K195" s="1665">
        <v>170204971</v>
      </c>
    </row>
    <row r="196" spans="1:11">
      <c r="A196" t="s">
        <v>5815</v>
      </c>
      <c r="B196" s="1417" t="s">
        <v>304</v>
      </c>
      <c r="C196" s="1417" t="s">
        <v>7288</v>
      </c>
      <c r="D196" s="1665">
        <v>501090347</v>
      </c>
      <c r="E196" s="1665">
        <v>495564338</v>
      </c>
      <c r="F196" s="1665">
        <v>501090347</v>
      </c>
      <c r="G196" s="1665">
        <v>495564338</v>
      </c>
      <c r="H196" s="1665">
        <v>501090347</v>
      </c>
      <c r="I196" s="1665">
        <v>495564338</v>
      </c>
      <c r="J196" s="1665">
        <v>501090347</v>
      </c>
      <c r="K196" s="1665">
        <v>495564338</v>
      </c>
    </row>
    <row r="197" spans="1:11">
      <c r="A197" t="s">
        <v>6691</v>
      </c>
      <c r="B197" s="1417" t="s">
        <v>1743</v>
      </c>
      <c r="C197" s="1417" t="s">
        <v>7289</v>
      </c>
      <c r="D197" s="1665">
        <v>13544372</v>
      </c>
      <c r="E197" s="1665">
        <v>13253297</v>
      </c>
      <c r="F197" s="1665">
        <v>13544372</v>
      </c>
      <c r="G197" s="1665">
        <v>13253297</v>
      </c>
      <c r="H197" s="1665">
        <v>13544372</v>
      </c>
      <c r="I197" s="1665">
        <v>13253297</v>
      </c>
      <c r="J197" s="1665">
        <v>13544372</v>
      </c>
      <c r="K197" s="1665">
        <v>13253297</v>
      </c>
    </row>
    <row r="198" spans="1:11">
      <c r="A198" t="s">
        <v>6692</v>
      </c>
      <c r="B198" s="1417" t="s">
        <v>1744</v>
      </c>
      <c r="C198" s="1417" t="s">
        <v>7290</v>
      </c>
      <c r="D198" s="1665">
        <v>138874776</v>
      </c>
      <c r="E198" s="1665">
        <v>137549976</v>
      </c>
      <c r="F198" s="1665">
        <v>138874776</v>
      </c>
      <c r="G198" s="1665">
        <v>137549976</v>
      </c>
      <c r="H198" s="1665">
        <v>138874776</v>
      </c>
      <c r="I198" s="1665">
        <v>137549976</v>
      </c>
      <c r="J198" s="1665">
        <v>138874776</v>
      </c>
      <c r="K198" s="1665">
        <v>137549976</v>
      </c>
    </row>
    <row r="199" spans="1:11">
      <c r="A199" t="s">
        <v>6693</v>
      </c>
      <c r="B199" s="1417" t="s">
        <v>1316</v>
      </c>
      <c r="C199" s="1417" t="s">
        <v>7291</v>
      </c>
      <c r="D199" s="1665">
        <v>102738914</v>
      </c>
      <c r="E199" s="1665">
        <v>98946982</v>
      </c>
      <c r="F199" s="1665">
        <v>102738914</v>
      </c>
      <c r="G199" s="1665">
        <v>98946982</v>
      </c>
      <c r="H199" s="1665">
        <v>102738914</v>
      </c>
      <c r="I199" s="1665">
        <v>98946982</v>
      </c>
      <c r="J199" s="1665">
        <v>102738914</v>
      </c>
      <c r="K199" s="1665">
        <v>98946982</v>
      </c>
    </row>
    <row r="200" spans="1:11">
      <c r="A200" t="s">
        <v>5816</v>
      </c>
      <c r="B200" s="1417" t="s">
        <v>1107</v>
      </c>
      <c r="C200" s="1417" t="s">
        <v>7292</v>
      </c>
      <c r="D200" s="1665">
        <v>812067233</v>
      </c>
      <c r="E200" s="1665">
        <v>777048338</v>
      </c>
      <c r="F200" s="1665">
        <v>812067233</v>
      </c>
      <c r="G200" s="1665">
        <v>777048338</v>
      </c>
      <c r="H200" s="1665">
        <v>812067233</v>
      </c>
      <c r="I200" s="1665">
        <v>777048338</v>
      </c>
      <c r="J200" s="1665">
        <v>812067233</v>
      </c>
      <c r="K200" s="1665">
        <v>777048338</v>
      </c>
    </row>
    <row r="201" spans="1:11">
      <c r="A201" t="s">
        <v>3467</v>
      </c>
      <c r="B201" s="1417" t="s">
        <v>2148</v>
      </c>
      <c r="C201" s="1417" t="s">
        <v>7293</v>
      </c>
      <c r="D201" s="1665">
        <v>69209971</v>
      </c>
      <c r="E201" s="1665">
        <v>66312974</v>
      </c>
      <c r="F201" s="1665">
        <v>69209971</v>
      </c>
      <c r="G201" s="1665">
        <v>66312974</v>
      </c>
      <c r="H201" s="1665">
        <v>69209971</v>
      </c>
      <c r="I201" s="1665">
        <v>66312974</v>
      </c>
      <c r="J201" s="1665">
        <v>69209971</v>
      </c>
      <c r="K201" s="1665">
        <v>66312974</v>
      </c>
    </row>
    <row r="202" spans="1:11">
      <c r="A202" t="s">
        <v>5817</v>
      </c>
      <c r="B202" s="1417" t="s">
        <v>1108</v>
      </c>
      <c r="C202" s="1417" t="s">
        <v>7294</v>
      </c>
      <c r="D202" s="1665">
        <v>82934568</v>
      </c>
      <c r="E202" s="1665">
        <v>80010815</v>
      </c>
      <c r="F202" s="1665">
        <v>82934568</v>
      </c>
      <c r="G202" s="1665">
        <v>80010815</v>
      </c>
      <c r="H202" s="1665">
        <v>82934568</v>
      </c>
      <c r="I202" s="1665">
        <v>80010815</v>
      </c>
      <c r="J202" s="1665">
        <v>82934568</v>
      </c>
      <c r="K202" s="1665">
        <v>80010815</v>
      </c>
    </row>
    <row r="203" spans="1:11">
      <c r="A203" t="s">
        <v>3468</v>
      </c>
      <c r="B203" s="1417" t="s">
        <v>2398</v>
      </c>
      <c r="C203" s="1417" t="s">
        <v>7295</v>
      </c>
      <c r="D203" s="1665">
        <v>1455213789</v>
      </c>
      <c r="E203" s="1665">
        <v>1385512328</v>
      </c>
      <c r="F203" s="1665">
        <v>1455213789</v>
      </c>
      <c r="G203" s="1665">
        <v>1385512328</v>
      </c>
      <c r="H203" s="1665">
        <v>1455213789</v>
      </c>
      <c r="I203" s="1665">
        <v>1385512328</v>
      </c>
      <c r="J203" s="1665">
        <v>1455213789</v>
      </c>
      <c r="K203" s="1665">
        <v>1385512328</v>
      </c>
    </row>
    <row r="204" spans="1:11">
      <c r="A204" t="s">
        <v>6694</v>
      </c>
      <c r="B204" s="1417" t="s">
        <v>1109</v>
      </c>
      <c r="C204" s="1417" t="s">
        <v>7296</v>
      </c>
      <c r="D204" s="1665">
        <v>157231456</v>
      </c>
      <c r="E204" s="1665">
        <v>154282906</v>
      </c>
      <c r="F204" s="1665">
        <v>156184031</v>
      </c>
      <c r="G204" s="1665">
        <v>153235481</v>
      </c>
      <c r="H204" s="1665">
        <v>157231456</v>
      </c>
      <c r="I204" s="1665">
        <v>154282906</v>
      </c>
      <c r="J204" s="1665">
        <v>156184031</v>
      </c>
      <c r="K204" s="1665">
        <v>153235481</v>
      </c>
    </row>
    <row r="205" spans="1:11">
      <c r="A205" t="s">
        <v>5818</v>
      </c>
      <c r="B205" s="1417" t="s">
        <v>681</v>
      </c>
      <c r="C205" s="1417" t="s">
        <v>7297</v>
      </c>
      <c r="D205" s="1665">
        <v>934372417</v>
      </c>
      <c r="E205" s="1665">
        <v>926631297</v>
      </c>
      <c r="F205" s="1665">
        <v>934372417</v>
      </c>
      <c r="G205" s="1665">
        <v>926631297</v>
      </c>
      <c r="H205" s="1665">
        <v>934372417</v>
      </c>
      <c r="I205" s="1665">
        <v>926631297</v>
      </c>
      <c r="J205" s="1665">
        <v>934372417</v>
      </c>
      <c r="K205" s="1665">
        <v>926631297</v>
      </c>
    </row>
    <row r="206" spans="1:11">
      <c r="A206" t="s">
        <v>6695</v>
      </c>
      <c r="B206" s="1417" t="s">
        <v>682</v>
      </c>
      <c r="C206" s="1417" t="s">
        <v>7298</v>
      </c>
      <c r="D206" s="1665">
        <v>1270944212</v>
      </c>
      <c r="E206" s="1665">
        <v>1270944212</v>
      </c>
      <c r="F206" s="1665">
        <v>1267850567</v>
      </c>
      <c r="G206" s="1665">
        <v>1267850567</v>
      </c>
      <c r="H206" s="1665">
        <v>1270944212</v>
      </c>
      <c r="I206" s="1665">
        <v>1270944212</v>
      </c>
      <c r="J206" s="1665">
        <v>1267850567</v>
      </c>
      <c r="K206" s="1665">
        <v>1267850567</v>
      </c>
    </row>
    <row r="207" spans="1:11">
      <c r="A207" t="s">
        <v>6696</v>
      </c>
      <c r="B207" s="1417" t="s">
        <v>683</v>
      </c>
      <c r="C207" s="1417" t="s">
        <v>7299</v>
      </c>
      <c r="D207" s="1665">
        <v>104339555</v>
      </c>
      <c r="E207" s="1665">
        <v>100632834</v>
      </c>
      <c r="F207" s="1665">
        <v>104339555</v>
      </c>
      <c r="G207" s="1665">
        <v>100632834</v>
      </c>
      <c r="H207" s="1665">
        <v>231981502</v>
      </c>
      <c r="I207" s="1665">
        <v>228274781</v>
      </c>
      <c r="J207" s="1665">
        <v>231981502</v>
      </c>
      <c r="K207" s="1665">
        <v>228274781</v>
      </c>
    </row>
    <row r="208" spans="1:11">
      <c r="A208" t="s">
        <v>6697</v>
      </c>
      <c r="B208" s="1417" t="s">
        <v>684</v>
      </c>
      <c r="C208" s="1417" t="s">
        <v>7300</v>
      </c>
      <c r="D208" s="1665">
        <v>165979669</v>
      </c>
      <c r="E208" s="1665">
        <v>163540335</v>
      </c>
      <c r="F208" s="1665">
        <v>165979669</v>
      </c>
      <c r="G208" s="1665">
        <v>163540335</v>
      </c>
      <c r="H208" s="1665">
        <v>188231059</v>
      </c>
      <c r="I208" s="1665">
        <v>185791725</v>
      </c>
      <c r="J208" s="1665">
        <v>188231059</v>
      </c>
      <c r="K208" s="1665">
        <v>185791725</v>
      </c>
    </row>
    <row r="209" spans="1:11">
      <c r="A209" t="s">
        <v>6698</v>
      </c>
      <c r="B209" s="1417" t="s">
        <v>392</v>
      </c>
      <c r="C209" s="1417" t="s">
        <v>7301</v>
      </c>
      <c r="D209" s="1665">
        <v>130618540</v>
      </c>
      <c r="E209" s="1665">
        <v>127057161</v>
      </c>
      <c r="F209" s="1665">
        <v>130618540</v>
      </c>
      <c r="G209" s="1665">
        <v>127057161</v>
      </c>
      <c r="H209" s="1665">
        <v>130618540</v>
      </c>
      <c r="I209" s="1665">
        <v>127057161</v>
      </c>
      <c r="J209" s="1665">
        <v>130618540</v>
      </c>
      <c r="K209" s="1665">
        <v>127057161</v>
      </c>
    </row>
    <row r="210" spans="1:11">
      <c r="A210" t="s">
        <v>5819</v>
      </c>
      <c r="B210" s="1417" t="s">
        <v>2559</v>
      </c>
      <c r="C210" s="1417" t="s">
        <v>7302</v>
      </c>
      <c r="D210" s="1665">
        <v>1953952119</v>
      </c>
      <c r="E210" s="1665">
        <v>1950712961</v>
      </c>
      <c r="F210" s="1665">
        <v>1953952119</v>
      </c>
      <c r="G210" s="1665">
        <v>1950712961</v>
      </c>
      <c r="H210" s="1665">
        <v>1953952119</v>
      </c>
      <c r="I210" s="1665">
        <v>1950712961</v>
      </c>
      <c r="J210" s="1665">
        <v>1953952119</v>
      </c>
      <c r="K210" s="1665">
        <v>1950712961</v>
      </c>
    </row>
    <row r="211" spans="1:11">
      <c r="A211" t="s">
        <v>5820</v>
      </c>
      <c r="B211" s="1417" t="s">
        <v>2560</v>
      </c>
      <c r="C211" s="1417" t="s">
        <v>7303</v>
      </c>
      <c r="D211" s="1665">
        <v>1176648378</v>
      </c>
      <c r="E211" s="1665">
        <v>1161727911</v>
      </c>
      <c r="F211" s="1665">
        <v>1176648378</v>
      </c>
      <c r="G211" s="1665">
        <v>1161727911</v>
      </c>
      <c r="H211" s="1665">
        <v>1176648378</v>
      </c>
      <c r="I211" s="1665">
        <v>1161727911</v>
      </c>
      <c r="J211" s="1665">
        <v>1176648378</v>
      </c>
      <c r="K211" s="1665">
        <v>1161727911</v>
      </c>
    </row>
    <row r="212" spans="1:11">
      <c r="A212" t="s">
        <v>6699</v>
      </c>
      <c r="B212" s="1417" t="s">
        <v>2561</v>
      </c>
      <c r="C212" s="1417" t="s">
        <v>7304</v>
      </c>
      <c r="D212" s="1665">
        <v>178384242</v>
      </c>
      <c r="E212" s="1665">
        <v>177406122</v>
      </c>
      <c r="F212" s="1665">
        <v>178384242</v>
      </c>
      <c r="G212" s="1665">
        <v>177406122</v>
      </c>
      <c r="H212" s="1665">
        <v>178384242</v>
      </c>
      <c r="I212" s="1665">
        <v>177406122</v>
      </c>
      <c r="J212" s="1665">
        <v>178384242</v>
      </c>
      <c r="K212" s="1665">
        <v>177406122</v>
      </c>
    </row>
    <row r="213" spans="1:11">
      <c r="A213" t="s">
        <v>5821</v>
      </c>
      <c r="B213" s="1417" t="s">
        <v>1642</v>
      </c>
      <c r="C213" s="1417" t="s">
        <v>7305</v>
      </c>
      <c r="D213" s="1665">
        <v>19361103872</v>
      </c>
      <c r="E213" s="1665">
        <v>19107134478</v>
      </c>
      <c r="F213" s="1665">
        <v>19361103872</v>
      </c>
      <c r="G213" s="1665">
        <v>19107134478</v>
      </c>
      <c r="H213" s="1665">
        <v>19361103872</v>
      </c>
      <c r="I213" s="1665">
        <v>19107134478</v>
      </c>
      <c r="J213" s="1665">
        <v>19361103872</v>
      </c>
      <c r="K213" s="1665">
        <v>19107134478</v>
      </c>
    </row>
    <row r="214" spans="1:11">
      <c r="A214" t="s">
        <v>5822</v>
      </c>
      <c r="B214" s="1417" t="s">
        <v>385</v>
      </c>
      <c r="C214" s="1417" t="s">
        <v>7306</v>
      </c>
      <c r="D214" s="1665">
        <v>3586916858</v>
      </c>
      <c r="E214" s="1665">
        <v>3486080878</v>
      </c>
      <c r="F214" s="1665">
        <v>3586916858</v>
      </c>
      <c r="G214" s="1665">
        <v>3486080878</v>
      </c>
      <c r="H214" s="1665">
        <v>3586916858</v>
      </c>
      <c r="I214" s="1665">
        <v>3486080878</v>
      </c>
      <c r="J214" s="1665">
        <v>3586916858</v>
      </c>
      <c r="K214" s="1665">
        <v>3486080878</v>
      </c>
    </row>
    <row r="215" spans="1:11">
      <c r="A215" t="s">
        <v>5823</v>
      </c>
      <c r="B215" s="1417" t="s">
        <v>386</v>
      </c>
      <c r="C215" s="1417" t="s">
        <v>7307</v>
      </c>
      <c r="D215" s="1665">
        <v>120144006836</v>
      </c>
      <c r="E215" s="1665">
        <v>118663827083</v>
      </c>
      <c r="F215" s="1665">
        <v>117920581919</v>
      </c>
      <c r="G215" s="1665">
        <v>116440402166</v>
      </c>
      <c r="H215" s="1665">
        <v>120144006836</v>
      </c>
      <c r="I215" s="1665">
        <v>118663827083</v>
      </c>
      <c r="J215" s="1665">
        <v>117920581919</v>
      </c>
      <c r="K215" s="1665">
        <v>116440402166</v>
      </c>
    </row>
    <row r="216" spans="1:11">
      <c r="A216" t="s">
        <v>3469</v>
      </c>
      <c r="B216" s="1417" t="s">
        <v>387</v>
      </c>
      <c r="C216" s="1417" t="s">
        <v>7308</v>
      </c>
      <c r="D216" s="1665">
        <v>3148925422</v>
      </c>
      <c r="E216" s="1665">
        <v>3028229645</v>
      </c>
      <c r="F216" s="1665">
        <v>3148925422</v>
      </c>
      <c r="G216" s="1665">
        <v>3028229645</v>
      </c>
      <c r="H216" s="1665">
        <v>3148925422</v>
      </c>
      <c r="I216" s="1665">
        <v>3028229645</v>
      </c>
      <c r="J216" s="1665">
        <v>3148925422</v>
      </c>
      <c r="K216" s="1665">
        <v>3028229645</v>
      </c>
    </row>
    <row r="217" spans="1:11">
      <c r="A217" t="s">
        <v>5824</v>
      </c>
      <c r="B217" s="1417" t="s">
        <v>388</v>
      </c>
      <c r="C217" s="1417" t="s">
        <v>7309</v>
      </c>
      <c r="D217" s="1665">
        <v>4692390186</v>
      </c>
      <c r="E217" s="1665">
        <v>4559915901</v>
      </c>
      <c r="F217" s="1665">
        <v>4692390186</v>
      </c>
      <c r="G217" s="1665">
        <v>4559915901</v>
      </c>
      <c r="H217" s="1665">
        <v>4692390186</v>
      </c>
      <c r="I217" s="1665">
        <v>4559915901</v>
      </c>
      <c r="J217" s="1665">
        <v>4692390186</v>
      </c>
      <c r="K217" s="1665">
        <v>4559915901</v>
      </c>
    </row>
    <row r="218" spans="1:11">
      <c r="A218" t="s">
        <v>3470</v>
      </c>
      <c r="B218" s="1417" t="s">
        <v>2578</v>
      </c>
      <c r="C218" s="1417" t="s">
        <v>7310</v>
      </c>
      <c r="D218" s="1665">
        <v>19439035998</v>
      </c>
      <c r="E218" s="1665">
        <v>18890981997</v>
      </c>
      <c r="F218" s="1665">
        <v>19439035998</v>
      </c>
      <c r="G218" s="1665">
        <v>18890981997</v>
      </c>
      <c r="H218" s="1665">
        <v>19439035998</v>
      </c>
      <c r="I218" s="1665">
        <v>18890981997</v>
      </c>
      <c r="J218" s="1665">
        <v>19439035998</v>
      </c>
      <c r="K218" s="1665">
        <v>18890981997</v>
      </c>
    </row>
    <row r="219" spans="1:11">
      <c r="A219" t="s">
        <v>3471</v>
      </c>
      <c r="B219" s="1417" t="s">
        <v>666</v>
      </c>
      <c r="C219" s="1417" t="s">
        <v>7311</v>
      </c>
      <c r="D219" s="1665">
        <v>6978673957</v>
      </c>
      <c r="E219" s="1665">
        <v>6790449843</v>
      </c>
      <c r="F219" s="1665">
        <v>6978673957</v>
      </c>
      <c r="G219" s="1665">
        <v>6790449843</v>
      </c>
      <c r="H219" s="1665">
        <v>6978673957</v>
      </c>
      <c r="I219" s="1665">
        <v>6790449843</v>
      </c>
      <c r="J219" s="1665">
        <v>6978673957</v>
      </c>
      <c r="K219" s="1665">
        <v>6790449843</v>
      </c>
    </row>
    <row r="220" spans="1:11">
      <c r="A220" t="s">
        <v>5825</v>
      </c>
      <c r="B220" s="1417" t="s">
        <v>533</v>
      </c>
      <c r="C220" s="1417" t="s">
        <v>7312</v>
      </c>
      <c r="D220" s="1665">
        <v>16990459240</v>
      </c>
      <c r="E220" s="1665">
        <v>16907867095</v>
      </c>
      <c r="F220" s="1665">
        <v>15565399239</v>
      </c>
      <c r="G220" s="1665">
        <v>15482807094</v>
      </c>
      <c r="H220" s="1665">
        <v>16990459240</v>
      </c>
      <c r="I220" s="1665">
        <v>16907867095</v>
      </c>
      <c r="J220" s="1665">
        <v>15565399239</v>
      </c>
      <c r="K220" s="1665">
        <v>15482807094</v>
      </c>
    </row>
    <row r="221" spans="1:11">
      <c r="A221" t="s">
        <v>3472</v>
      </c>
      <c r="B221" s="1417" t="s">
        <v>41</v>
      </c>
      <c r="C221" s="1417" t="s">
        <v>7313</v>
      </c>
      <c r="D221" s="1665">
        <v>12159813982</v>
      </c>
      <c r="E221" s="1665">
        <v>11945156666</v>
      </c>
      <c r="F221" s="1665">
        <v>12159813982</v>
      </c>
      <c r="G221" s="1665">
        <v>11945156666</v>
      </c>
      <c r="H221" s="1665">
        <v>12159813982</v>
      </c>
      <c r="I221" s="1665">
        <v>11945156666</v>
      </c>
      <c r="J221" s="1665">
        <v>12159813982</v>
      </c>
      <c r="K221" s="1665">
        <v>11945156666</v>
      </c>
    </row>
    <row r="222" spans="1:11">
      <c r="A222" t="s">
        <v>5826</v>
      </c>
      <c r="B222" s="1417" t="s">
        <v>1790</v>
      </c>
      <c r="C222" s="1417" t="s">
        <v>7314</v>
      </c>
      <c r="D222" s="1665">
        <v>2654621965</v>
      </c>
      <c r="E222" s="1665">
        <v>2581163351</v>
      </c>
      <c r="F222" s="1665">
        <v>2654621965</v>
      </c>
      <c r="G222" s="1665">
        <v>2581163351</v>
      </c>
      <c r="H222" s="1665">
        <v>2654621965</v>
      </c>
      <c r="I222" s="1665">
        <v>2581163351</v>
      </c>
      <c r="J222" s="1665">
        <v>2654621965</v>
      </c>
      <c r="K222" s="1665">
        <v>2581163351</v>
      </c>
    </row>
    <row r="223" spans="1:11">
      <c r="A223" t="s">
        <v>3473</v>
      </c>
      <c r="B223" s="1417" t="s">
        <v>2533</v>
      </c>
      <c r="C223" s="1417" t="s">
        <v>7315</v>
      </c>
      <c r="D223" s="1665">
        <v>8341193550</v>
      </c>
      <c r="E223" s="1665">
        <v>8078461172</v>
      </c>
      <c r="F223" s="1665">
        <v>8341193550</v>
      </c>
      <c r="G223" s="1665">
        <v>8078461172</v>
      </c>
      <c r="H223" s="1665">
        <v>8341193550</v>
      </c>
      <c r="I223" s="1665">
        <v>8078461172</v>
      </c>
      <c r="J223" s="1665">
        <v>8341193550</v>
      </c>
      <c r="K223" s="1665">
        <v>8078461172</v>
      </c>
    </row>
    <row r="224" spans="1:11">
      <c r="A224" t="s">
        <v>5827</v>
      </c>
      <c r="B224" s="1417" t="s">
        <v>1791</v>
      </c>
      <c r="C224" s="1417" t="s">
        <v>7316</v>
      </c>
      <c r="D224" s="1665">
        <v>23755941099</v>
      </c>
      <c r="E224" s="1665">
        <v>23345103159</v>
      </c>
      <c r="F224" s="1665">
        <v>23144704054</v>
      </c>
      <c r="G224" s="1665">
        <v>22733866114</v>
      </c>
      <c r="H224" s="1665">
        <v>23755941099</v>
      </c>
      <c r="I224" s="1665">
        <v>23345103159</v>
      </c>
      <c r="J224" s="1665">
        <v>23144704054</v>
      </c>
      <c r="K224" s="1665">
        <v>22733866114</v>
      </c>
    </row>
    <row r="225" spans="1:11">
      <c r="A225" t="s">
        <v>5828</v>
      </c>
      <c r="B225" s="1417" t="s">
        <v>2688</v>
      </c>
      <c r="C225" s="1417" t="s">
        <v>7317</v>
      </c>
      <c r="D225" s="1665">
        <v>1204484605</v>
      </c>
      <c r="E225" s="1665">
        <v>1186815105</v>
      </c>
      <c r="F225" s="1665">
        <v>1204484605</v>
      </c>
      <c r="G225" s="1665">
        <v>1186815105</v>
      </c>
      <c r="H225" s="1665">
        <v>1204484605</v>
      </c>
      <c r="I225" s="1665">
        <v>1186815105</v>
      </c>
      <c r="J225" s="1665">
        <v>1204484605</v>
      </c>
      <c r="K225" s="1665">
        <v>1186815105</v>
      </c>
    </row>
    <row r="226" spans="1:11">
      <c r="A226" t="s">
        <v>5829</v>
      </c>
      <c r="B226" s="1417" t="s">
        <v>249</v>
      </c>
      <c r="C226" s="1417" t="s">
        <v>7318</v>
      </c>
      <c r="D226" s="1665">
        <v>12120887448</v>
      </c>
      <c r="E226" s="1665">
        <v>12003131933</v>
      </c>
      <c r="F226" s="1665">
        <v>12120887448</v>
      </c>
      <c r="G226" s="1665">
        <v>12003131933</v>
      </c>
      <c r="H226" s="1665">
        <v>12120887448</v>
      </c>
      <c r="I226" s="1665">
        <v>12003131933</v>
      </c>
      <c r="J226" s="1665">
        <v>12120887448</v>
      </c>
      <c r="K226" s="1665">
        <v>12003131933</v>
      </c>
    </row>
    <row r="227" spans="1:11">
      <c r="A227" t="s">
        <v>6700</v>
      </c>
      <c r="B227" s="1417" t="s">
        <v>250</v>
      </c>
      <c r="C227" s="1417" t="s">
        <v>7319</v>
      </c>
      <c r="D227" s="1665">
        <v>104466380</v>
      </c>
      <c r="E227" s="1665">
        <v>103872467</v>
      </c>
      <c r="F227" s="1665">
        <v>104466380</v>
      </c>
      <c r="G227" s="1665">
        <v>103872467</v>
      </c>
      <c r="H227" s="1665">
        <v>104466380</v>
      </c>
      <c r="I227" s="1665">
        <v>103872467</v>
      </c>
      <c r="J227" s="1665">
        <v>104466380</v>
      </c>
      <c r="K227" s="1665">
        <v>103872467</v>
      </c>
    </row>
    <row r="228" spans="1:11">
      <c r="A228" t="s">
        <v>5830</v>
      </c>
      <c r="B228" s="1417" t="s">
        <v>251</v>
      </c>
      <c r="C228" s="1417" t="s">
        <v>7320</v>
      </c>
      <c r="D228" s="1665">
        <v>981003241</v>
      </c>
      <c r="E228" s="1665">
        <v>979633951</v>
      </c>
      <c r="F228" s="1665">
        <v>979452261</v>
      </c>
      <c r="G228" s="1665">
        <v>978082971</v>
      </c>
      <c r="H228" s="1665">
        <v>981003241</v>
      </c>
      <c r="I228" s="1665">
        <v>979633951</v>
      </c>
      <c r="J228" s="1665">
        <v>979452261</v>
      </c>
      <c r="K228" s="1665">
        <v>978082971</v>
      </c>
    </row>
    <row r="229" spans="1:11">
      <c r="A229" t="s">
        <v>6701</v>
      </c>
      <c r="B229" s="1417" t="s">
        <v>252</v>
      </c>
      <c r="C229" s="1417" t="s">
        <v>7321</v>
      </c>
      <c r="D229" s="1665">
        <v>457202165</v>
      </c>
      <c r="E229" s="1665">
        <v>440351805</v>
      </c>
      <c r="F229" s="1665">
        <v>457202165</v>
      </c>
      <c r="G229" s="1665">
        <v>440351805</v>
      </c>
      <c r="H229" s="1665">
        <v>672162755</v>
      </c>
      <c r="I229" s="1665">
        <v>655312395</v>
      </c>
      <c r="J229" s="1665">
        <v>672162755</v>
      </c>
      <c r="K229" s="1665">
        <v>655312395</v>
      </c>
    </row>
    <row r="230" spans="1:11">
      <c r="A230" t="s">
        <v>5831</v>
      </c>
      <c r="B230" s="1417" t="s">
        <v>374</v>
      </c>
      <c r="C230" s="1417" t="s">
        <v>7322</v>
      </c>
      <c r="D230" s="1665">
        <v>981067244</v>
      </c>
      <c r="E230" s="1665">
        <v>979768505</v>
      </c>
      <c r="F230" s="1665">
        <v>979785473</v>
      </c>
      <c r="G230" s="1665">
        <v>978486734</v>
      </c>
      <c r="H230" s="1665">
        <v>981067244</v>
      </c>
      <c r="I230" s="1665">
        <v>979768505</v>
      </c>
      <c r="J230" s="1665">
        <v>979785473</v>
      </c>
      <c r="K230" s="1665">
        <v>978486734</v>
      </c>
    </row>
    <row r="231" spans="1:11">
      <c r="A231" t="s">
        <v>4508</v>
      </c>
      <c r="B231" s="1417" t="s">
        <v>1864</v>
      </c>
      <c r="C231" s="1417" t="s">
        <v>7323</v>
      </c>
      <c r="D231" s="1665">
        <v>1323622592</v>
      </c>
      <c r="E231" s="1665">
        <v>1294859131</v>
      </c>
      <c r="F231" s="1665">
        <v>1323622592</v>
      </c>
      <c r="G231" s="1665">
        <v>1294859131</v>
      </c>
      <c r="H231" s="1665">
        <v>1513118092</v>
      </c>
      <c r="I231" s="1665">
        <v>1484354631</v>
      </c>
      <c r="J231" s="1665">
        <v>1513118092</v>
      </c>
      <c r="K231" s="1665">
        <v>1484354631</v>
      </c>
    </row>
    <row r="232" spans="1:11">
      <c r="A232" t="s">
        <v>6702</v>
      </c>
      <c r="B232" s="1417" t="s">
        <v>1068</v>
      </c>
      <c r="C232" s="1417" t="s">
        <v>7324</v>
      </c>
      <c r="D232" s="1665">
        <v>64243036</v>
      </c>
      <c r="E232" s="1665">
        <v>63955236</v>
      </c>
      <c r="F232" s="1665">
        <v>64243036</v>
      </c>
      <c r="G232" s="1665">
        <v>63955236</v>
      </c>
      <c r="H232" s="1665">
        <v>135232036</v>
      </c>
      <c r="I232" s="1665">
        <v>134944236</v>
      </c>
      <c r="J232" s="1665">
        <v>135232036</v>
      </c>
      <c r="K232" s="1665">
        <v>134944236</v>
      </c>
    </row>
    <row r="233" spans="1:11">
      <c r="A233" t="s">
        <v>3474</v>
      </c>
      <c r="B233" s="1417" t="s">
        <v>1069</v>
      </c>
      <c r="C233" s="1417" t="s">
        <v>7325</v>
      </c>
      <c r="D233" s="1665">
        <v>215352245</v>
      </c>
      <c r="E233" s="1665">
        <v>204078400</v>
      </c>
      <c r="F233" s="1665">
        <v>215352245</v>
      </c>
      <c r="G233" s="1665">
        <v>204078400</v>
      </c>
      <c r="H233" s="1665">
        <v>215352245</v>
      </c>
      <c r="I233" s="1665">
        <v>204078400</v>
      </c>
      <c r="J233" s="1665">
        <v>215352245</v>
      </c>
      <c r="K233" s="1665">
        <v>204078400</v>
      </c>
    </row>
    <row r="234" spans="1:11">
      <c r="A234" t="s">
        <v>3475</v>
      </c>
      <c r="B234" s="1417" t="s">
        <v>640</v>
      </c>
      <c r="C234" s="1417" t="s">
        <v>7326</v>
      </c>
      <c r="D234" s="1665">
        <v>63855245</v>
      </c>
      <c r="E234" s="1665">
        <v>61079612</v>
      </c>
      <c r="F234" s="1665">
        <v>63855245</v>
      </c>
      <c r="G234" s="1665">
        <v>61079612</v>
      </c>
      <c r="H234" s="1665">
        <v>63855245</v>
      </c>
      <c r="I234" s="1665">
        <v>61079612</v>
      </c>
      <c r="J234" s="1665">
        <v>63855245</v>
      </c>
      <c r="K234" s="1665">
        <v>61079612</v>
      </c>
    </row>
    <row r="235" spans="1:11">
      <c r="A235" t="s">
        <v>5832</v>
      </c>
      <c r="B235" s="1417" t="s">
        <v>1070</v>
      </c>
      <c r="C235" s="1417" t="s">
        <v>7327</v>
      </c>
      <c r="D235" s="1665">
        <v>17980678133</v>
      </c>
      <c r="E235" s="1665">
        <v>17647244491</v>
      </c>
      <c r="F235" s="1665">
        <v>17980678133</v>
      </c>
      <c r="G235" s="1665">
        <v>17647244491</v>
      </c>
      <c r="H235" s="1665">
        <v>17980678133</v>
      </c>
      <c r="I235" s="1665">
        <v>17647244491</v>
      </c>
      <c r="J235" s="1665">
        <v>17980678133</v>
      </c>
      <c r="K235" s="1665">
        <v>17647244491</v>
      </c>
    </row>
    <row r="236" spans="1:11">
      <c r="A236" t="s">
        <v>3476</v>
      </c>
      <c r="B236" s="1417" t="s">
        <v>1770</v>
      </c>
      <c r="C236" s="1417" t="s">
        <v>7328</v>
      </c>
      <c r="D236" s="1665">
        <v>39078281975</v>
      </c>
      <c r="E236" s="1665">
        <v>38490696718</v>
      </c>
      <c r="F236" s="1665">
        <v>39078281975</v>
      </c>
      <c r="G236" s="1665">
        <v>38490696718</v>
      </c>
      <c r="H236" s="1665">
        <v>39078281975</v>
      </c>
      <c r="I236" s="1665">
        <v>38490696718</v>
      </c>
      <c r="J236" s="1665">
        <v>39078281975</v>
      </c>
      <c r="K236" s="1665">
        <v>38490696718</v>
      </c>
    </row>
    <row r="237" spans="1:11">
      <c r="A237" t="s">
        <v>4518</v>
      </c>
      <c r="B237" s="1417" t="s">
        <v>212</v>
      </c>
      <c r="C237" s="1417" t="s">
        <v>7329</v>
      </c>
      <c r="D237" s="1665">
        <v>775432569</v>
      </c>
      <c r="E237" s="1665">
        <v>758251434</v>
      </c>
      <c r="F237" s="1665">
        <v>775432569</v>
      </c>
      <c r="G237" s="1665">
        <v>758251434</v>
      </c>
      <c r="H237" s="1665">
        <v>775432569</v>
      </c>
      <c r="I237" s="1665">
        <v>758251434</v>
      </c>
      <c r="J237" s="1665">
        <v>775432569</v>
      </c>
      <c r="K237" s="1665">
        <v>758251434</v>
      </c>
    </row>
    <row r="238" spans="1:11">
      <c r="A238" t="s">
        <v>3477</v>
      </c>
      <c r="B238" s="1417" t="s">
        <v>717</v>
      </c>
      <c r="C238" s="1417" t="s">
        <v>7330</v>
      </c>
      <c r="D238" s="1665">
        <v>854353309</v>
      </c>
      <c r="E238" s="1665">
        <v>834395030</v>
      </c>
      <c r="F238" s="1665">
        <v>854353309</v>
      </c>
      <c r="G238" s="1665">
        <v>834395030</v>
      </c>
      <c r="H238" s="1665">
        <v>854353309</v>
      </c>
      <c r="I238" s="1665">
        <v>834395030</v>
      </c>
      <c r="J238" s="1665">
        <v>854353309</v>
      </c>
      <c r="K238" s="1665">
        <v>834395030</v>
      </c>
    </row>
    <row r="239" spans="1:11">
      <c r="A239" t="s">
        <v>3478</v>
      </c>
      <c r="B239" s="1417" t="s">
        <v>214</v>
      </c>
      <c r="C239" s="1417" t="s">
        <v>7331</v>
      </c>
      <c r="D239" s="1665">
        <v>740677400</v>
      </c>
      <c r="E239" s="1665">
        <v>726289530</v>
      </c>
      <c r="F239" s="1665">
        <v>740677400</v>
      </c>
      <c r="G239" s="1665">
        <v>726289530</v>
      </c>
      <c r="H239" s="1665">
        <v>740677400</v>
      </c>
      <c r="I239" s="1665">
        <v>726289530</v>
      </c>
      <c r="J239" s="1665">
        <v>740677400</v>
      </c>
      <c r="K239" s="1665">
        <v>726289530</v>
      </c>
    </row>
    <row r="240" spans="1:11">
      <c r="A240" t="s">
        <v>3479</v>
      </c>
      <c r="B240" s="1417" t="s">
        <v>1680</v>
      </c>
      <c r="C240" s="1417" t="s">
        <v>7332</v>
      </c>
      <c r="D240" s="1665">
        <v>1049436496</v>
      </c>
      <c r="E240" s="1665">
        <v>1022832283</v>
      </c>
      <c r="F240" s="1665">
        <v>1049436496</v>
      </c>
      <c r="G240" s="1665">
        <v>1022832283</v>
      </c>
      <c r="H240" s="1665">
        <v>1049436496</v>
      </c>
      <c r="I240" s="1665">
        <v>1022832283</v>
      </c>
      <c r="J240" s="1665">
        <v>1049436496</v>
      </c>
      <c r="K240" s="1665">
        <v>1022832283</v>
      </c>
    </row>
    <row r="241" spans="1:11">
      <c r="A241" t="s">
        <v>3480</v>
      </c>
      <c r="B241" s="1417" t="s">
        <v>490</v>
      </c>
      <c r="C241" s="1417" t="s">
        <v>7333</v>
      </c>
      <c r="D241" s="1665">
        <v>1136419582</v>
      </c>
      <c r="E241" s="1665">
        <v>1105830010</v>
      </c>
      <c r="F241" s="1665">
        <v>1136419582</v>
      </c>
      <c r="G241" s="1665">
        <v>1105830010</v>
      </c>
      <c r="H241" s="1665">
        <v>1136419582</v>
      </c>
      <c r="I241" s="1665">
        <v>1105830010</v>
      </c>
      <c r="J241" s="1665">
        <v>1136419582</v>
      </c>
      <c r="K241" s="1665">
        <v>1105830010</v>
      </c>
    </row>
    <row r="242" spans="1:11">
      <c r="A242" t="s">
        <v>5833</v>
      </c>
      <c r="B242" s="1417" t="s">
        <v>1838</v>
      </c>
      <c r="C242" s="1417" t="s">
        <v>7334</v>
      </c>
      <c r="D242" s="1665">
        <v>2117302043</v>
      </c>
      <c r="E242" s="1665">
        <v>2086714318</v>
      </c>
      <c r="F242" s="1665">
        <v>2117302043</v>
      </c>
      <c r="G242" s="1665">
        <v>2086714318</v>
      </c>
      <c r="H242" s="1665">
        <v>2117302043</v>
      </c>
      <c r="I242" s="1665">
        <v>2086714318</v>
      </c>
      <c r="J242" s="1665">
        <v>2117302043</v>
      </c>
      <c r="K242" s="1665">
        <v>2086714318</v>
      </c>
    </row>
    <row r="243" spans="1:11">
      <c r="A243" t="s">
        <v>3481</v>
      </c>
      <c r="B243" s="1417" t="s">
        <v>1410</v>
      </c>
      <c r="C243" s="1417" t="s">
        <v>7335</v>
      </c>
      <c r="D243" s="1665">
        <v>17561692186</v>
      </c>
      <c r="E243" s="1665">
        <v>17322266727</v>
      </c>
      <c r="F243" s="1665">
        <v>17561692186</v>
      </c>
      <c r="G243" s="1665">
        <v>17322266727</v>
      </c>
      <c r="H243" s="1665">
        <v>17561692186</v>
      </c>
      <c r="I243" s="1665">
        <v>17322266727</v>
      </c>
      <c r="J243" s="1665">
        <v>17561692186</v>
      </c>
      <c r="K243" s="1665">
        <v>17322266727</v>
      </c>
    </row>
    <row r="244" spans="1:11">
      <c r="A244" t="s">
        <v>3482</v>
      </c>
      <c r="B244" s="1417" t="s">
        <v>61</v>
      </c>
      <c r="C244" s="1417" t="s">
        <v>7336</v>
      </c>
      <c r="D244" s="1665">
        <v>1946135625</v>
      </c>
      <c r="E244" s="1665">
        <v>1897021686</v>
      </c>
      <c r="F244" s="1665">
        <v>1946135625</v>
      </c>
      <c r="G244" s="1665">
        <v>1897021686</v>
      </c>
      <c r="H244" s="1665">
        <v>1946135625</v>
      </c>
      <c r="I244" s="1665">
        <v>1897021686</v>
      </c>
      <c r="J244" s="1665">
        <v>1946135625</v>
      </c>
      <c r="K244" s="1665">
        <v>1897021686</v>
      </c>
    </row>
    <row r="245" spans="1:11">
      <c r="A245" t="s">
        <v>3483</v>
      </c>
      <c r="B245" s="1417" t="s">
        <v>641</v>
      </c>
      <c r="C245" s="1417" t="s">
        <v>7337</v>
      </c>
      <c r="D245" s="1665">
        <v>4596711407</v>
      </c>
      <c r="E245" s="1665">
        <v>4495551908</v>
      </c>
      <c r="F245" s="1665">
        <v>4596711407</v>
      </c>
      <c r="G245" s="1665">
        <v>4495551908</v>
      </c>
      <c r="H245" s="1665">
        <v>4596711407</v>
      </c>
      <c r="I245" s="1665">
        <v>4495551908</v>
      </c>
      <c r="J245" s="1665">
        <v>4596711407</v>
      </c>
      <c r="K245" s="1665">
        <v>4495551908</v>
      </c>
    </row>
    <row r="246" spans="1:11">
      <c r="A246" t="s">
        <v>3484</v>
      </c>
      <c r="B246" s="1417" t="s">
        <v>2504</v>
      </c>
      <c r="C246" s="1417" t="s">
        <v>7338</v>
      </c>
      <c r="D246" s="1665">
        <v>1058512546</v>
      </c>
      <c r="E246" s="1665">
        <v>1041451346</v>
      </c>
      <c r="F246" s="1665">
        <v>1058512546</v>
      </c>
      <c r="G246" s="1665">
        <v>1041451346</v>
      </c>
      <c r="H246" s="1665">
        <v>1058512546</v>
      </c>
      <c r="I246" s="1665">
        <v>1041451346</v>
      </c>
      <c r="J246" s="1665">
        <v>1058512546</v>
      </c>
      <c r="K246" s="1665">
        <v>1041451346</v>
      </c>
    </row>
    <row r="247" spans="1:11">
      <c r="A247" t="s">
        <v>5834</v>
      </c>
      <c r="B247" s="1417" t="s">
        <v>1839</v>
      </c>
      <c r="C247" s="1417" t="s">
        <v>7339</v>
      </c>
      <c r="D247" s="1665">
        <v>440797690</v>
      </c>
      <c r="E247" s="1665">
        <v>438740630</v>
      </c>
      <c r="F247" s="1665">
        <v>440797690</v>
      </c>
      <c r="G247" s="1665">
        <v>438740630</v>
      </c>
      <c r="H247" s="1665">
        <v>440797690</v>
      </c>
      <c r="I247" s="1665">
        <v>438740630</v>
      </c>
      <c r="J247" s="1665">
        <v>440797690</v>
      </c>
      <c r="K247" s="1665">
        <v>438740630</v>
      </c>
    </row>
    <row r="248" spans="1:11">
      <c r="A248" t="s">
        <v>3485</v>
      </c>
      <c r="B248" s="1417" t="s">
        <v>1185</v>
      </c>
      <c r="C248" s="1417" t="s">
        <v>7340</v>
      </c>
      <c r="D248" s="1665">
        <v>708186170</v>
      </c>
      <c r="E248" s="1665">
        <v>689073018</v>
      </c>
      <c r="F248" s="1665">
        <v>708186170</v>
      </c>
      <c r="G248" s="1665">
        <v>689073018</v>
      </c>
      <c r="H248" s="1665">
        <v>1176189570</v>
      </c>
      <c r="I248" s="1665">
        <v>1157076418</v>
      </c>
      <c r="J248" s="1665">
        <v>1176189570</v>
      </c>
      <c r="K248" s="1665">
        <v>1157076418</v>
      </c>
    </row>
    <row r="249" spans="1:11">
      <c r="A249" t="s">
        <v>5835</v>
      </c>
      <c r="B249" s="1417" t="s">
        <v>1840</v>
      </c>
      <c r="C249" s="1417" t="s">
        <v>7341</v>
      </c>
      <c r="D249" s="1665">
        <v>1901478864</v>
      </c>
      <c r="E249" s="1665">
        <v>1892442794</v>
      </c>
      <c r="F249" s="1665">
        <v>1901478864</v>
      </c>
      <c r="G249" s="1665">
        <v>1892442794</v>
      </c>
      <c r="H249" s="1665">
        <v>1901478864</v>
      </c>
      <c r="I249" s="1665">
        <v>1892442794</v>
      </c>
      <c r="J249" s="1665">
        <v>1901478864</v>
      </c>
      <c r="K249" s="1665">
        <v>1892442794</v>
      </c>
    </row>
    <row r="250" spans="1:11">
      <c r="A250" t="s">
        <v>6703</v>
      </c>
      <c r="B250" s="1417" t="s">
        <v>698</v>
      </c>
      <c r="C250" s="1417" t="s">
        <v>7342</v>
      </c>
      <c r="D250" s="1665">
        <v>851240556</v>
      </c>
      <c r="E250" s="1665">
        <v>849992706</v>
      </c>
      <c r="F250" s="1665">
        <v>851240556</v>
      </c>
      <c r="G250" s="1665">
        <v>849992706</v>
      </c>
      <c r="H250" s="1665">
        <v>851240556</v>
      </c>
      <c r="I250" s="1665">
        <v>849992706</v>
      </c>
      <c r="J250" s="1665">
        <v>851240556</v>
      </c>
      <c r="K250" s="1665">
        <v>849992706</v>
      </c>
    </row>
    <row r="251" spans="1:11">
      <c r="A251" t="s">
        <v>6704</v>
      </c>
      <c r="B251" s="1417" t="s">
        <v>299</v>
      </c>
      <c r="C251" s="1417" t="s">
        <v>7343</v>
      </c>
      <c r="D251" s="1665">
        <v>78795953</v>
      </c>
      <c r="E251" s="1665">
        <v>75482463</v>
      </c>
      <c r="F251" s="1665">
        <v>78795953</v>
      </c>
      <c r="G251" s="1665">
        <v>75482463</v>
      </c>
      <c r="H251" s="1665">
        <v>78795953</v>
      </c>
      <c r="I251" s="1665">
        <v>75482463</v>
      </c>
      <c r="J251" s="1665">
        <v>78795953</v>
      </c>
      <c r="K251" s="1665">
        <v>75482463</v>
      </c>
    </row>
    <row r="252" spans="1:11">
      <c r="A252" t="s">
        <v>5836</v>
      </c>
      <c r="B252" s="1417" t="s">
        <v>175</v>
      </c>
      <c r="C252" s="1417" t="s">
        <v>7344</v>
      </c>
      <c r="D252" s="1665">
        <v>183133918</v>
      </c>
      <c r="E252" s="1665">
        <v>180139428</v>
      </c>
      <c r="F252" s="1665">
        <v>183133918</v>
      </c>
      <c r="G252" s="1665">
        <v>180139428</v>
      </c>
      <c r="H252" s="1665">
        <v>183133918</v>
      </c>
      <c r="I252" s="1665">
        <v>180139428</v>
      </c>
      <c r="J252" s="1665">
        <v>183133918</v>
      </c>
      <c r="K252" s="1665">
        <v>180139428</v>
      </c>
    </row>
    <row r="253" spans="1:11">
      <c r="A253" t="s">
        <v>6705</v>
      </c>
      <c r="B253" s="1417" t="s">
        <v>176</v>
      </c>
      <c r="C253" s="1417" t="s">
        <v>7345</v>
      </c>
      <c r="D253" s="1665">
        <v>83780147</v>
      </c>
      <c r="E253" s="1665">
        <v>83237767</v>
      </c>
      <c r="F253" s="1665">
        <v>83780147</v>
      </c>
      <c r="G253" s="1665">
        <v>83237767</v>
      </c>
      <c r="H253" s="1665">
        <v>83780147</v>
      </c>
      <c r="I253" s="1665">
        <v>83237767</v>
      </c>
      <c r="J253" s="1665">
        <v>83780147</v>
      </c>
      <c r="K253" s="1665">
        <v>83237767</v>
      </c>
    </row>
    <row r="254" spans="1:11">
      <c r="A254" t="s">
        <v>3486</v>
      </c>
      <c r="B254" s="1417" t="s">
        <v>718</v>
      </c>
      <c r="C254" s="1417" t="s">
        <v>7346</v>
      </c>
      <c r="D254" s="1665">
        <v>5596095270</v>
      </c>
      <c r="E254" s="1665">
        <v>5579242196</v>
      </c>
      <c r="F254" s="1665">
        <v>5582452683</v>
      </c>
      <c r="G254" s="1665">
        <v>5565599609</v>
      </c>
      <c r="H254" s="1665">
        <v>5596095270</v>
      </c>
      <c r="I254" s="1665">
        <v>5579242196</v>
      </c>
      <c r="J254" s="1665">
        <v>5582452683</v>
      </c>
      <c r="K254" s="1665">
        <v>5565599609</v>
      </c>
    </row>
    <row r="255" spans="1:11">
      <c r="A255" t="s">
        <v>6706</v>
      </c>
      <c r="B255" s="1417" t="s">
        <v>2629</v>
      </c>
      <c r="C255" s="1417" t="s">
        <v>7347</v>
      </c>
      <c r="D255" s="1665">
        <v>162532220</v>
      </c>
      <c r="E255" s="1665">
        <v>156868681</v>
      </c>
      <c r="F255" s="1665">
        <v>162532220</v>
      </c>
      <c r="G255" s="1665">
        <v>156868681</v>
      </c>
      <c r="H255" s="1665">
        <v>291107640</v>
      </c>
      <c r="I255" s="1665">
        <v>285444101</v>
      </c>
      <c r="J255" s="1665">
        <v>291107640</v>
      </c>
      <c r="K255" s="1665">
        <v>285444101</v>
      </c>
    </row>
    <row r="256" spans="1:11">
      <c r="A256" t="s">
        <v>3487</v>
      </c>
      <c r="B256" s="1417" t="s">
        <v>1556</v>
      </c>
      <c r="C256" s="1417" t="s">
        <v>7348</v>
      </c>
      <c r="D256" s="1665">
        <v>59424502</v>
      </c>
      <c r="E256" s="1665">
        <v>58743750</v>
      </c>
      <c r="F256" s="1665">
        <v>59424502</v>
      </c>
      <c r="G256" s="1665">
        <v>58743750</v>
      </c>
      <c r="H256" s="1665">
        <v>59424502</v>
      </c>
      <c r="I256" s="1665">
        <v>58743750</v>
      </c>
      <c r="J256" s="1665">
        <v>59424502</v>
      </c>
      <c r="K256" s="1665">
        <v>58743750</v>
      </c>
    </row>
    <row r="257" spans="1:11">
      <c r="A257" t="s">
        <v>6707</v>
      </c>
      <c r="B257" s="1417" t="s">
        <v>2630</v>
      </c>
      <c r="C257" s="1417" t="s">
        <v>7349</v>
      </c>
      <c r="D257" s="1665">
        <v>27408082</v>
      </c>
      <c r="E257" s="1665">
        <v>27060143</v>
      </c>
      <c r="F257" s="1665">
        <v>27144788</v>
      </c>
      <c r="G257" s="1665">
        <v>26796849</v>
      </c>
      <c r="H257" s="1665">
        <v>27408082</v>
      </c>
      <c r="I257" s="1665">
        <v>27060143</v>
      </c>
      <c r="J257" s="1665">
        <v>27144788</v>
      </c>
      <c r="K257" s="1665">
        <v>26796849</v>
      </c>
    </row>
    <row r="258" spans="1:11">
      <c r="A258" t="s">
        <v>5837</v>
      </c>
      <c r="B258" s="1417" t="s">
        <v>2631</v>
      </c>
      <c r="C258" s="1417" t="s">
        <v>7350</v>
      </c>
      <c r="D258" s="1665">
        <v>222283622</v>
      </c>
      <c r="E258" s="1665">
        <v>218433379</v>
      </c>
      <c r="F258" s="1665">
        <v>222283622</v>
      </c>
      <c r="G258" s="1665">
        <v>218433379</v>
      </c>
      <c r="H258" s="1665">
        <v>222283622</v>
      </c>
      <c r="I258" s="1665">
        <v>218433379</v>
      </c>
      <c r="J258" s="1665">
        <v>222283622</v>
      </c>
      <c r="K258" s="1665">
        <v>218433379</v>
      </c>
    </row>
    <row r="259" spans="1:11">
      <c r="A259" t="s">
        <v>3488</v>
      </c>
      <c r="B259" s="1417" t="s">
        <v>719</v>
      </c>
      <c r="C259" s="1417" t="s">
        <v>7351</v>
      </c>
      <c r="D259" s="1665">
        <v>218307396</v>
      </c>
      <c r="E259" s="1665">
        <v>209230805</v>
      </c>
      <c r="F259" s="1665">
        <v>218307396</v>
      </c>
      <c r="G259" s="1665">
        <v>209230805</v>
      </c>
      <c r="H259" s="1665">
        <v>218307396</v>
      </c>
      <c r="I259" s="1665">
        <v>209230805</v>
      </c>
      <c r="J259" s="1665">
        <v>218307396</v>
      </c>
      <c r="K259" s="1665">
        <v>209230805</v>
      </c>
    </row>
    <row r="260" spans="1:11">
      <c r="A260" t="s">
        <v>5838</v>
      </c>
      <c r="B260" s="1417" t="s">
        <v>678</v>
      </c>
      <c r="C260" s="1417" t="s">
        <v>7352</v>
      </c>
      <c r="D260" s="1665">
        <v>271671783</v>
      </c>
      <c r="E260" s="1665">
        <v>265619605</v>
      </c>
      <c r="F260" s="1665">
        <v>267653307</v>
      </c>
      <c r="G260" s="1665">
        <v>261601129</v>
      </c>
      <c r="H260" s="1665">
        <v>271671783</v>
      </c>
      <c r="I260" s="1665">
        <v>265619605</v>
      </c>
      <c r="J260" s="1665">
        <v>267653307</v>
      </c>
      <c r="K260" s="1665">
        <v>261601129</v>
      </c>
    </row>
    <row r="261" spans="1:11">
      <c r="A261" t="s">
        <v>4572</v>
      </c>
      <c r="B261" s="1417" t="s">
        <v>2149</v>
      </c>
      <c r="C261" s="1417" t="s">
        <v>7353</v>
      </c>
      <c r="D261" s="1665">
        <v>551866013</v>
      </c>
      <c r="E261" s="1665">
        <v>541756243</v>
      </c>
      <c r="F261" s="1665">
        <v>551866013</v>
      </c>
      <c r="G261" s="1665">
        <v>541756243</v>
      </c>
      <c r="H261" s="1665">
        <v>551866013</v>
      </c>
      <c r="I261" s="1665">
        <v>541756243</v>
      </c>
      <c r="J261" s="1665">
        <v>551866013</v>
      </c>
      <c r="K261" s="1665">
        <v>541756243</v>
      </c>
    </row>
    <row r="262" spans="1:11">
      <c r="A262" t="s">
        <v>6708</v>
      </c>
      <c r="B262" s="1417" t="s">
        <v>2297</v>
      </c>
      <c r="C262" s="1417" t="s">
        <v>7354</v>
      </c>
      <c r="D262" s="1665">
        <v>520112854</v>
      </c>
      <c r="E262" s="1665">
        <v>506092544</v>
      </c>
      <c r="F262" s="1665">
        <v>520112854</v>
      </c>
      <c r="G262" s="1665">
        <v>506092544</v>
      </c>
      <c r="H262" s="1665">
        <v>520112854</v>
      </c>
      <c r="I262" s="1665">
        <v>506092544</v>
      </c>
      <c r="J262" s="1665">
        <v>520112854</v>
      </c>
      <c r="K262" s="1665">
        <v>506092544</v>
      </c>
    </row>
    <row r="263" spans="1:11">
      <c r="A263" t="s">
        <v>5839</v>
      </c>
      <c r="B263" s="1417" t="s">
        <v>1788</v>
      </c>
      <c r="C263" s="1417" t="s">
        <v>7355</v>
      </c>
      <c r="D263" s="1665">
        <v>120342044</v>
      </c>
      <c r="E263" s="1665">
        <v>116696051</v>
      </c>
      <c r="F263" s="1665">
        <v>120342044</v>
      </c>
      <c r="G263" s="1665">
        <v>116696051</v>
      </c>
      <c r="H263" s="1665">
        <v>120342044</v>
      </c>
      <c r="I263" s="1665">
        <v>116696051</v>
      </c>
      <c r="J263" s="1665">
        <v>120342044</v>
      </c>
      <c r="K263" s="1665">
        <v>116696051</v>
      </c>
    </row>
    <row r="264" spans="1:11">
      <c r="A264" t="s">
        <v>6709</v>
      </c>
      <c r="B264" s="1417" t="s">
        <v>616</v>
      </c>
      <c r="C264" s="1417" t="s">
        <v>7356</v>
      </c>
      <c r="D264" s="1665">
        <v>149331995</v>
      </c>
      <c r="E264" s="1665">
        <v>145432515</v>
      </c>
      <c r="F264" s="1665">
        <v>149331995</v>
      </c>
      <c r="G264" s="1665">
        <v>145432515</v>
      </c>
      <c r="H264" s="1665">
        <v>149331995</v>
      </c>
      <c r="I264" s="1665">
        <v>145432515</v>
      </c>
      <c r="J264" s="1665">
        <v>149331995</v>
      </c>
      <c r="K264" s="1665">
        <v>145432515</v>
      </c>
    </row>
    <row r="265" spans="1:11">
      <c r="A265" t="s">
        <v>6710</v>
      </c>
      <c r="B265" s="1417" t="s">
        <v>918</v>
      </c>
      <c r="C265" s="1417" t="s">
        <v>7357</v>
      </c>
      <c r="D265" s="1665">
        <v>55997213</v>
      </c>
      <c r="E265" s="1665">
        <v>53395143</v>
      </c>
      <c r="F265" s="1665">
        <v>55997213</v>
      </c>
      <c r="G265" s="1665">
        <v>53395143</v>
      </c>
      <c r="H265" s="1665">
        <v>55997213</v>
      </c>
      <c r="I265" s="1665">
        <v>53395143</v>
      </c>
      <c r="J265" s="1665">
        <v>55997213</v>
      </c>
      <c r="K265" s="1665">
        <v>53395143</v>
      </c>
    </row>
    <row r="266" spans="1:11">
      <c r="A266" t="s">
        <v>5840</v>
      </c>
      <c r="B266" s="1417" t="s">
        <v>2132</v>
      </c>
      <c r="C266" s="1417" t="s">
        <v>7358</v>
      </c>
      <c r="D266" s="1665">
        <v>13942492051</v>
      </c>
      <c r="E266" s="1665">
        <v>13678557758</v>
      </c>
      <c r="F266" s="1665">
        <v>13525323077</v>
      </c>
      <c r="G266" s="1665">
        <v>13261388784</v>
      </c>
      <c r="H266" s="1665">
        <v>13942492051</v>
      </c>
      <c r="I266" s="1665">
        <v>13678557758</v>
      </c>
      <c r="J266" s="1665">
        <v>13525323077</v>
      </c>
      <c r="K266" s="1665">
        <v>13261388784</v>
      </c>
    </row>
    <row r="267" spans="1:11">
      <c r="A267" t="s">
        <v>5841</v>
      </c>
      <c r="B267" s="1417" t="s">
        <v>2581</v>
      </c>
      <c r="C267" s="1417" t="s">
        <v>7359</v>
      </c>
      <c r="D267" s="1665">
        <v>313395399</v>
      </c>
      <c r="E267" s="1665">
        <v>310303056</v>
      </c>
      <c r="F267" s="1665">
        <v>313395399</v>
      </c>
      <c r="G267" s="1665">
        <v>310303056</v>
      </c>
      <c r="H267" s="1665">
        <v>313395399</v>
      </c>
      <c r="I267" s="1665">
        <v>310303056</v>
      </c>
      <c r="J267" s="1665">
        <v>313395399</v>
      </c>
      <c r="K267" s="1665">
        <v>310303056</v>
      </c>
    </row>
    <row r="268" spans="1:11">
      <c r="A268" t="s">
        <v>6711</v>
      </c>
      <c r="B268" s="1417" t="s">
        <v>2393</v>
      </c>
      <c r="C268" s="1417" t="s">
        <v>7360</v>
      </c>
      <c r="D268" s="1665">
        <v>240865811</v>
      </c>
      <c r="E268" s="1665">
        <v>236855561</v>
      </c>
      <c r="F268" s="1665">
        <v>240865811</v>
      </c>
      <c r="G268" s="1665">
        <v>236855561</v>
      </c>
      <c r="H268" s="1665">
        <v>240865811</v>
      </c>
      <c r="I268" s="1665">
        <v>236855561</v>
      </c>
      <c r="J268" s="1665">
        <v>240865811</v>
      </c>
      <c r="K268" s="1665">
        <v>236855561</v>
      </c>
    </row>
    <row r="269" spans="1:11">
      <c r="A269" t="s">
        <v>3489</v>
      </c>
      <c r="B269" s="1417" t="s">
        <v>246</v>
      </c>
      <c r="C269" s="1417" t="s">
        <v>7361</v>
      </c>
      <c r="D269" s="1665">
        <v>39008823</v>
      </c>
      <c r="E269" s="1665">
        <v>37704631</v>
      </c>
      <c r="F269" s="1665">
        <v>39008823</v>
      </c>
      <c r="G269" s="1665">
        <v>37704631</v>
      </c>
      <c r="H269" s="1665">
        <v>39008823</v>
      </c>
      <c r="I269" s="1665">
        <v>37704631</v>
      </c>
      <c r="J269" s="1665">
        <v>39008823</v>
      </c>
      <c r="K269" s="1665">
        <v>37704631</v>
      </c>
    </row>
    <row r="270" spans="1:11">
      <c r="A270" t="s">
        <v>5842</v>
      </c>
      <c r="B270" s="1417" t="s">
        <v>1405</v>
      </c>
      <c r="C270" s="1417" t="s">
        <v>7362</v>
      </c>
      <c r="D270" s="1665">
        <v>2082100731</v>
      </c>
      <c r="E270" s="1665">
        <v>2036043801</v>
      </c>
      <c r="F270" s="1665">
        <v>2082100731</v>
      </c>
      <c r="G270" s="1665">
        <v>2036043801</v>
      </c>
      <c r="H270" s="1665">
        <v>2082100731</v>
      </c>
      <c r="I270" s="1665">
        <v>2036043801</v>
      </c>
      <c r="J270" s="1665">
        <v>2082100731</v>
      </c>
      <c r="K270" s="1665">
        <v>2036043801</v>
      </c>
    </row>
    <row r="271" spans="1:11">
      <c r="A271" t="s">
        <v>3490</v>
      </c>
      <c r="B271" s="1417" t="s">
        <v>1406</v>
      </c>
      <c r="C271" s="1417" t="s">
        <v>7363</v>
      </c>
      <c r="D271" s="1665">
        <v>420994212</v>
      </c>
      <c r="E271" s="1665">
        <v>404519632</v>
      </c>
      <c r="F271" s="1665">
        <v>420994212</v>
      </c>
      <c r="G271" s="1665">
        <v>404519632</v>
      </c>
      <c r="H271" s="1665">
        <v>420994212</v>
      </c>
      <c r="I271" s="1665">
        <v>404519632</v>
      </c>
      <c r="J271" s="1665">
        <v>420994212</v>
      </c>
      <c r="K271" s="1665">
        <v>404519632</v>
      </c>
    </row>
    <row r="272" spans="1:11">
      <c r="A272" t="s">
        <v>3491</v>
      </c>
      <c r="B272" s="1417" t="s">
        <v>720</v>
      </c>
      <c r="C272" s="1417" t="s">
        <v>7364</v>
      </c>
      <c r="D272" s="1665">
        <v>129735041</v>
      </c>
      <c r="E272" s="1665">
        <v>124278568</v>
      </c>
      <c r="F272" s="1665">
        <v>129735041</v>
      </c>
      <c r="G272" s="1665">
        <v>124278568</v>
      </c>
      <c r="H272" s="1665">
        <v>129735041</v>
      </c>
      <c r="I272" s="1665">
        <v>124278568</v>
      </c>
      <c r="J272" s="1665">
        <v>129735041</v>
      </c>
      <c r="K272" s="1665">
        <v>124278568</v>
      </c>
    </row>
    <row r="273" spans="1:11">
      <c r="A273" t="s">
        <v>5843</v>
      </c>
      <c r="B273" s="1417" t="s">
        <v>1401</v>
      </c>
      <c r="C273" s="1417" t="s">
        <v>7365</v>
      </c>
      <c r="D273" s="1665">
        <v>4304247764</v>
      </c>
      <c r="E273" s="1665">
        <v>4201159640</v>
      </c>
      <c r="F273" s="1665">
        <v>4165362216</v>
      </c>
      <c r="G273" s="1665">
        <v>4062274092</v>
      </c>
      <c r="H273" s="1665">
        <v>4304247764</v>
      </c>
      <c r="I273" s="1665">
        <v>4201159640</v>
      </c>
      <c r="J273" s="1665">
        <v>4165362216</v>
      </c>
      <c r="K273" s="1665">
        <v>4062274092</v>
      </c>
    </row>
    <row r="274" spans="1:11">
      <c r="A274" t="s">
        <v>6712</v>
      </c>
      <c r="B274" s="1417" t="s">
        <v>932</v>
      </c>
      <c r="C274" s="1417" t="s">
        <v>7366</v>
      </c>
      <c r="D274" s="1665">
        <v>82973086</v>
      </c>
      <c r="E274" s="1665">
        <v>80788631</v>
      </c>
      <c r="F274" s="1665">
        <v>82973086</v>
      </c>
      <c r="G274" s="1665">
        <v>80788631</v>
      </c>
      <c r="H274" s="1665">
        <v>82973086</v>
      </c>
      <c r="I274" s="1665">
        <v>80788631</v>
      </c>
      <c r="J274" s="1665">
        <v>82973086</v>
      </c>
      <c r="K274" s="1665">
        <v>80788631</v>
      </c>
    </row>
    <row r="275" spans="1:11">
      <c r="A275" t="s">
        <v>3492</v>
      </c>
      <c r="B275" s="1417" t="s">
        <v>247</v>
      </c>
      <c r="C275" s="1417" t="s">
        <v>7367</v>
      </c>
      <c r="D275" s="1665">
        <v>295652518</v>
      </c>
      <c r="E275" s="1665">
        <v>284092936</v>
      </c>
      <c r="F275" s="1665">
        <v>295652518</v>
      </c>
      <c r="G275" s="1665">
        <v>284092936</v>
      </c>
      <c r="H275" s="1665">
        <v>295652518</v>
      </c>
      <c r="I275" s="1665">
        <v>284092936</v>
      </c>
      <c r="J275" s="1665">
        <v>295652518</v>
      </c>
      <c r="K275" s="1665">
        <v>284092936</v>
      </c>
    </row>
    <row r="276" spans="1:11">
      <c r="A276" t="s">
        <v>3493</v>
      </c>
      <c r="B276" s="1417" t="s">
        <v>2084</v>
      </c>
      <c r="C276" s="1417" t="s">
        <v>7368</v>
      </c>
      <c r="D276" s="1665">
        <v>1854474788</v>
      </c>
      <c r="E276" s="1665">
        <v>1789990818</v>
      </c>
      <c r="F276" s="1665">
        <v>1854474788</v>
      </c>
      <c r="G276" s="1665">
        <v>1789990818</v>
      </c>
      <c r="H276" s="1665">
        <v>1888461058</v>
      </c>
      <c r="I276" s="1665">
        <v>1823977088</v>
      </c>
      <c r="J276" s="1665">
        <v>1888461058</v>
      </c>
      <c r="K276" s="1665">
        <v>1823977088</v>
      </c>
    </row>
    <row r="277" spans="1:11">
      <c r="A277" t="s">
        <v>3494</v>
      </c>
      <c r="B277" s="1417" t="s">
        <v>343</v>
      </c>
      <c r="C277" s="1417" t="s">
        <v>7369</v>
      </c>
      <c r="D277" s="1665">
        <v>4048718537</v>
      </c>
      <c r="E277" s="1665">
        <v>3950161538</v>
      </c>
      <c r="F277" s="1665">
        <v>4048718537</v>
      </c>
      <c r="G277" s="1665">
        <v>3950161538</v>
      </c>
      <c r="H277" s="1665">
        <v>4048718537</v>
      </c>
      <c r="I277" s="1665">
        <v>3950161538</v>
      </c>
      <c r="J277" s="1665">
        <v>4048718537</v>
      </c>
      <c r="K277" s="1665">
        <v>3950161538</v>
      </c>
    </row>
    <row r="278" spans="1:11">
      <c r="A278" t="s">
        <v>3495</v>
      </c>
      <c r="B278" s="1417" t="s">
        <v>721</v>
      </c>
      <c r="C278" s="1417" t="s">
        <v>7370</v>
      </c>
      <c r="D278" s="1665">
        <v>357476316</v>
      </c>
      <c r="E278" s="1665">
        <v>346144663</v>
      </c>
      <c r="F278" s="1665">
        <v>357476316</v>
      </c>
      <c r="G278" s="1665">
        <v>346144663</v>
      </c>
      <c r="H278" s="1665">
        <v>357476316</v>
      </c>
      <c r="I278" s="1665">
        <v>346144663</v>
      </c>
      <c r="J278" s="1665">
        <v>357476316</v>
      </c>
      <c r="K278" s="1665">
        <v>346144663</v>
      </c>
    </row>
    <row r="279" spans="1:11">
      <c r="A279" t="s">
        <v>3496</v>
      </c>
      <c r="B279" s="1417" t="s">
        <v>576</v>
      </c>
      <c r="C279" s="1417" t="s">
        <v>7371</v>
      </c>
      <c r="D279" s="1665">
        <v>1388840415</v>
      </c>
      <c r="E279" s="1665">
        <v>1324818386</v>
      </c>
      <c r="F279" s="1665">
        <v>1388840415</v>
      </c>
      <c r="G279" s="1665">
        <v>1324818386</v>
      </c>
      <c r="H279" s="1665">
        <v>1388840415</v>
      </c>
      <c r="I279" s="1665">
        <v>1324818386</v>
      </c>
      <c r="J279" s="1665">
        <v>1388840415</v>
      </c>
      <c r="K279" s="1665">
        <v>1324818386</v>
      </c>
    </row>
    <row r="280" spans="1:11">
      <c r="A280" t="s">
        <v>3497</v>
      </c>
      <c r="B280" s="1417" t="s">
        <v>2413</v>
      </c>
      <c r="C280" s="1417" t="s">
        <v>7372</v>
      </c>
      <c r="D280" s="1665">
        <v>16808025460</v>
      </c>
      <c r="E280" s="1665">
        <v>16269765492</v>
      </c>
      <c r="F280" s="1665">
        <v>16808025460</v>
      </c>
      <c r="G280" s="1665">
        <v>16269765492</v>
      </c>
      <c r="H280" s="1665">
        <v>16808025460</v>
      </c>
      <c r="I280" s="1665">
        <v>16269765492</v>
      </c>
      <c r="J280" s="1665">
        <v>16808025460</v>
      </c>
      <c r="K280" s="1665">
        <v>16269765492</v>
      </c>
    </row>
    <row r="281" spans="1:11">
      <c r="A281" t="s">
        <v>3498</v>
      </c>
      <c r="B281" s="1417" t="s">
        <v>775</v>
      </c>
      <c r="C281" s="1417" t="s">
        <v>7373</v>
      </c>
      <c r="D281" s="1665">
        <v>204172044</v>
      </c>
      <c r="E281" s="1665">
        <v>195628783</v>
      </c>
      <c r="F281" s="1665">
        <v>204172044</v>
      </c>
      <c r="G281" s="1665">
        <v>195628783</v>
      </c>
      <c r="H281" s="1665">
        <v>204172044</v>
      </c>
      <c r="I281" s="1665">
        <v>195628783</v>
      </c>
      <c r="J281" s="1665">
        <v>204172044</v>
      </c>
      <c r="K281" s="1665">
        <v>195628783</v>
      </c>
    </row>
    <row r="282" spans="1:11">
      <c r="A282" t="s">
        <v>4611</v>
      </c>
      <c r="B282" s="1417" t="s">
        <v>184</v>
      </c>
      <c r="C282" s="1417" t="s">
        <v>7374</v>
      </c>
      <c r="D282" s="1665">
        <v>248997772</v>
      </c>
      <c r="E282" s="1665">
        <v>235051550</v>
      </c>
      <c r="F282" s="1665">
        <v>248997772</v>
      </c>
      <c r="G282" s="1665">
        <v>235051550</v>
      </c>
      <c r="H282" s="1665">
        <v>248997772</v>
      </c>
      <c r="I282" s="1665">
        <v>235051550</v>
      </c>
      <c r="J282" s="1665">
        <v>248997772</v>
      </c>
      <c r="K282" s="1665">
        <v>235051550</v>
      </c>
    </row>
    <row r="283" spans="1:11">
      <c r="A283" t="s">
        <v>4617</v>
      </c>
      <c r="B283" s="1417" t="s">
        <v>1186</v>
      </c>
      <c r="C283" s="1417" t="s">
        <v>7375</v>
      </c>
      <c r="D283" s="1665">
        <v>7574771236</v>
      </c>
      <c r="E283" s="1665">
        <v>7222136156</v>
      </c>
      <c r="F283" s="1665">
        <v>7181665868</v>
      </c>
      <c r="G283" s="1665">
        <v>6829030788</v>
      </c>
      <c r="H283" s="1665">
        <v>7574771236</v>
      </c>
      <c r="I283" s="1665">
        <v>7222136156</v>
      </c>
      <c r="J283" s="1665">
        <v>7181665868</v>
      </c>
      <c r="K283" s="1665">
        <v>6829030788</v>
      </c>
    </row>
    <row r="284" spans="1:11">
      <c r="A284" t="s">
        <v>3499</v>
      </c>
      <c r="B284" s="1417" t="s">
        <v>2098</v>
      </c>
      <c r="C284" s="1417" t="s">
        <v>7376</v>
      </c>
      <c r="D284" s="1665">
        <v>204550706</v>
      </c>
      <c r="E284" s="1665">
        <v>197374338</v>
      </c>
      <c r="F284" s="1665">
        <v>204550706</v>
      </c>
      <c r="G284" s="1665">
        <v>197374338</v>
      </c>
      <c r="H284" s="1665">
        <v>204550706</v>
      </c>
      <c r="I284" s="1665">
        <v>197374338</v>
      </c>
      <c r="J284" s="1665">
        <v>204550706</v>
      </c>
      <c r="K284" s="1665">
        <v>197374338</v>
      </c>
    </row>
    <row r="285" spans="1:11">
      <c r="A285" t="s">
        <v>3500</v>
      </c>
      <c r="B285" s="1417" t="s">
        <v>1888</v>
      </c>
      <c r="C285" s="1417" t="s">
        <v>7377</v>
      </c>
      <c r="D285" s="1665">
        <v>2305679034</v>
      </c>
      <c r="E285" s="1665">
        <v>2251400368</v>
      </c>
      <c r="F285" s="1665">
        <v>2305679034</v>
      </c>
      <c r="G285" s="1665">
        <v>2251400368</v>
      </c>
      <c r="H285" s="1665">
        <v>2305679034</v>
      </c>
      <c r="I285" s="1665">
        <v>2251400368</v>
      </c>
      <c r="J285" s="1665">
        <v>2305679034</v>
      </c>
      <c r="K285" s="1665">
        <v>2251400368</v>
      </c>
    </row>
    <row r="286" spans="1:11">
      <c r="A286" t="s">
        <v>3501</v>
      </c>
      <c r="B286" s="1417" t="s">
        <v>1517</v>
      </c>
      <c r="C286" s="1417" t="s">
        <v>7378</v>
      </c>
      <c r="D286" s="1665">
        <v>77910107</v>
      </c>
      <c r="E286" s="1665">
        <v>75444354</v>
      </c>
      <c r="F286" s="1665">
        <v>77910107</v>
      </c>
      <c r="G286" s="1665">
        <v>75444354</v>
      </c>
      <c r="H286" s="1665">
        <v>77910107</v>
      </c>
      <c r="I286" s="1665">
        <v>75444354</v>
      </c>
      <c r="J286" s="1665">
        <v>77910107</v>
      </c>
      <c r="K286" s="1665">
        <v>75444354</v>
      </c>
    </row>
    <row r="287" spans="1:11">
      <c r="A287" t="s">
        <v>3502</v>
      </c>
      <c r="B287" s="1417" t="s">
        <v>1151</v>
      </c>
      <c r="C287" s="1417" t="s">
        <v>7379</v>
      </c>
      <c r="D287" s="1665">
        <v>10663692541</v>
      </c>
      <c r="E287" s="1665">
        <v>10242328592</v>
      </c>
      <c r="F287" s="1665">
        <v>10663692541</v>
      </c>
      <c r="G287" s="1665">
        <v>10242328592</v>
      </c>
      <c r="H287" s="1665">
        <v>10663692541</v>
      </c>
      <c r="I287" s="1665">
        <v>10242328592</v>
      </c>
      <c r="J287" s="1665">
        <v>10663692541</v>
      </c>
      <c r="K287" s="1665">
        <v>10242328592</v>
      </c>
    </row>
    <row r="288" spans="1:11">
      <c r="A288" t="s">
        <v>6713</v>
      </c>
      <c r="B288" s="1417" t="s">
        <v>2414</v>
      </c>
      <c r="C288" s="1417" t="s">
        <v>7380</v>
      </c>
      <c r="D288" s="1665">
        <v>53459065</v>
      </c>
      <c r="E288" s="1665">
        <v>52138755</v>
      </c>
      <c r="F288" s="1665">
        <v>53459065</v>
      </c>
      <c r="G288" s="1665">
        <v>52138755</v>
      </c>
      <c r="H288" s="1665">
        <v>53459065</v>
      </c>
      <c r="I288" s="1665">
        <v>52138755</v>
      </c>
      <c r="J288" s="1665">
        <v>53459065</v>
      </c>
      <c r="K288" s="1665">
        <v>52138755</v>
      </c>
    </row>
    <row r="289" spans="1:11">
      <c r="A289" t="s">
        <v>5844</v>
      </c>
      <c r="B289" s="1417" t="s">
        <v>2415</v>
      </c>
      <c r="C289" s="1417" t="s">
        <v>7381</v>
      </c>
      <c r="D289" s="1665">
        <v>355456775</v>
      </c>
      <c r="E289" s="1665">
        <v>342478171</v>
      </c>
      <c r="F289" s="1665">
        <v>355456775</v>
      </c>
      <c r="G289" s="1665">
        <v>342478171</v>
      </c>
      <c r="H289" s="1665">
        <v>355456775</v>
      </c>
      <c r="I289" s="1665">
        <v>342478171</v>
      </c>
      <c r="J289" s="1665">
        <v>355456775</v>
      </c>
      <c r="K289" s="1665">
        <v>342478171</v>
      </c>
    </row>
    <row r="290" spans="1:11">
      <c r="A290" t="s">
        <v>3503</v>
      </c>
      <c r="B290" s="1417" t="s">
        <v>1511</v>
      </c>
      <c r="C290" s="1417" t="s">
        <v>7382</v>
      </c>
      <c r="D290" s="1665">
        <v>1801829583</v>
      </c>
      <c r="E290" s="1665">
        <v>1759550622</v>
      </c>
      <c r="F290" s="1665">
        <v>1801829583</v>
      </c>
      <c r="G290" s="1665">
        <v>1759550622</v>
      </c>
      <c r="H290" s="1665">
        <v>1801829583</v>
      </c>
      <c r="I290" s="1665">
        <v>1759550622</v>
      </c>
      <c r="J290" s="1665">
        <v>1801829583</v>
      </c>
      <c r="K290" s="1665">
        <v>1759550622</v>
      </c>
    </row>
    <row r="291" spans="1:11">
      <c r="A291" t="s">
        <v>5845</v>
      </c>
      <c r="B291" s="1417" t="s">
        <v>1830</v>
      </c>
      <c r="C291" s="1417" t="s">
        <v>7383</v>
      </c>
      <c r="D291" s="1665">
        <v>154959157</v>
      </c>
      <c r="E291" s="1665">
        <v>151870607</v>
      </c>
      <c r="F291" s="1665">
        <v>154959157</v>
      </c>
      <c r="G291" s="1665">
        <v>151870607</v>
      </c>
      <c r="H291" s="1665">
        <v>154959157</v>
      </c>
      <c r="I291" s="1665">
        <v>151870607</v>
      </c>
      <c r="J291" s="1665">
        <v>154959157</v>
      </c>
      <c r="K291" s="1665">
        <v>151870607</v>
      </c>
    </row>
    <row r="292" spans="1:11">
      <c r="A292" t="s">
        <v>6714</v>
      </c>
      <c r="B292" s="1417" t="s">
        <v>1831</v>
      </c>
      <c r="C292" s="1417" t="s">
        <v>7384</v>
      </c>
      <c r="D292" s="1665">
        <v>168393941</v>
      </c>
      <c r="E292" s="1665">
        <v>164979223</v>
      </c>
      <c r="F292" s="1665">
        <v>168393941</v>
      </c>
      <c r="G292" s="1665">
        <v>164979223</v>
      </c>
      <c r="H292" s="1665">
        <v>280103261</v>
      </c>
      <c r="I292" s="1665">
        <v>276688543</v>
      </c>
      <c r="J292" s="1665">
        <v>280103261</v>
      </c>
      <c r="K292" s="1665">
        <v>276688543</v>
      </c>
    </row>
    <row r="293" spans="1:11">
      <c r="A293" t="s">
        <v>3504</v>
      </c>
      <c r="B293" s="1417" t="s">
        <v>1232</v>
      </c>
      <c r="C293" s="1417" t="s">
        <v>7385</v>
      </c>
      <c r="D293" s="1665">
        <v>109813510</v>
      </c>
      <c r="E293" s="1665">
        <v>107456060</v>
      </c>
      <c r="F293" s="1665">
        <v>109813510</v>
      </c>
      <c r="G293" s="1665">
        <v>107456060</v>
      </c>
      <c r="H293" s="1665">
        <v>109813510</v>
      </c>
      <c r="I293" s="1665">
        <v>107456060</v>
      </c>
      <c r="J293" s="1665">
        <v>109813510</v>
      </c>
      <c r="K293" s="1665">
        <v>107456060</v>
      </c>
    </row>
    <row r="294" spans="1:11">
      <c r="A294" t="s">
        <v>6715</v>
      </c>
      <c r="B294" s="1417" t="s">
        <v>1832</v>
      </c>
      <c r="C294" s="1417" t="s">
        <v>7386</v>
      </c>
      <c r="D294" s="1665">
        <v>99138233</v>
      </c>
      <c r="E294" s="1665">
        <v>96572743</v>
      </c>
      <c r="F294" s="1665">
        <v>99138233</v>
      </c>
      <c r="G294" s="1665">
        <v>96572743</v>
      </c>
      <c r="H294" s="1665">
        <v>99138233</v>
      </c>
      <c r="I294" s="1665">
        <v>96572743</v>
      </c>
      <c r="J294" s="1665">
        <v>99138233</v>
      </c>
      <c r="K294" s="1665">
        <v>96572743</v>
      </c>
    </row>
    <row r="295" spans="1:11">
      <c r="A295" t="s">
        <v>5846</v>
      </c>
      <c r="B295" s="1417" t="s">
        <v>201</v>
      </c>
      <c r="C295" s="1417" t="s">
        <v>7387</v>
      </c>
      <c r="D295" s="1665">
        <v>72674271</v>
      </c>
      <c r="E295" s="1665">
        <v>69207893</v>
      </c>
      <c r="F295" s="1665">
        <v>72674271</v>
      </c>
      <c r="G295" s="1665">
        <v>69207893</v>
      </c>
      <c r="H295" s="1665">
        <v>72674271</v>
      </c>
      <c r="I295" s="1665">
        <v>69207893</v>
      </c>
      <c r="J295" s="1665">
        <v>72674271</v>
      </c>
      <c r="K295" s="1665">
        <v>69207893</v>
      </c>
    </row>
    <row r="296" spans="1:11">
      <c r="A296" t="s">
        <v>4653</v>
      </c>
      <c r="B296" s="1417" t="s">
        <v>1834</v>
      </c>
      <c r="C296" s="1417" t="s">
        <v>7388</v>
      </c>
      <c r="D296" s="1665">
        <v>287363505</v>
      </c>
      <c r="E296" s="1665">
        <v>275653314</v>
      </c>
      <c r="F296" s="1665">
        <v>287363505</v>
      </c>
      <c r="G296" s="1665">
        <v>275653314</v>
      </c>
      <c r="H296" s="1665">
        <v>287363505</v>
      </c>
      <c r="I296" s="1665">
        <v>275653314</v>
      </c>
      <c r="J296" s="1665">
        <v>287363505</v>
      </c>
      <c r="K296" s="1665">
        <v>275653314</v>
      </c>
    </row>
    <row r="297" spans="1:11">
      <c r="A297" t="s">
        <v>4655</v>
      </c>
      <c r="B297" s="1417" t="s">
        <v>1842</v>
      </c>
      <c r="C297" s="1417" t="s">
        <v>7389</v>
      </c>
      <c r="D297" s="1665">
        <v>19769008</v>
      </c>
      <c r="E297" s="1665">
        <v>18595310</v>
      </c>
      <c r="F297" s="1665">
        <v>19769008</v>
      </c>
      <c r="G297" s="1665">
        <v>18595310</v>
      </c>
      <c r="H297" s="1665">
        <v>19769008</v>
      </c>
      <c r="I297" s="1665">
        <v>18595310</v>
      </c>
      <c r="J297" s="1665">
        <v>19769008</v>
      </c>
      <c r="K297" s="1665">
        <v>18595310</v>
      </c>
    </row>
    <row r="298" spans="1:11">
      <c r="A298" t="s">
        <v>6716</v>
      </c>
      <c r="B298" s="1417" t="s">
        <v>202</v>
      </c>
      <c r="C298" s="1417" t="s">
        <v>7390</v>
      </c>
      <c r="D298" s="1665">
        <v>217643842</v>
      </c>
      <c r="E298" s="1665">
        <v>208042301</v>
      </c>
      <c r="F298" s="1665">
        <v>217643842</v>
      </c>
      <c r="G298" s="1665">
        <v>208042301</v>
      </c>
      <c r="H298" s="1665">
        <v>217643842</v>
      </c>
      <c r="I298" s="1665">
        <v>208042301</v>
      </c>
      <c r="J298" s="1665">
        <v>217643842</v>
      </c>
      <c r="K298" s="1665">
        <v>208042301</v>
      </c>
    </row>
    <row r="299" spans="1:11">
      <c r="A299" t="s">
        <v>5847</v>
      </c>
      <c r="B299" s="1417" t="s">
        <v>203</v>
      </c>
      <c r="C299" s="1417" t="s">
        <v>7391</v>
      </c>
      <c r="D299" s="1665">
        <v>717594938</v>
      </c>
      <c r="E299" s="1665">
        <v>687200638</v>
      </c>
      <c r="F299" s="1665">
        <v>717594938</v>
      </c>
      <c r="G299" s="1665">
        <v>687200638</v>
      </c>
      <c r="H299" s="1665">
        <v>717594938</v>
      </c>
      <c r="I299" s="1665">
        <v>687200638</v>
      </c>
      <c r="J299" s="1665">
        <v>717594938</v>
      </c>
      <c r="K299" s="1665">
        <v>687200638</v>
      </c>
    </row>
    <row r="300" spans="1:11">
      <c r="A300" t="s">
        <v>3505</v>
      </c>
      <c r="B300" s="1417" t="s">
        <v>1233</v>
      </c>
      <c r="C300" s="1417" t="s">
        <v>7392</v>
      </c>
      <c r="D300" s="1665">
        <v>66056997</v>
      </c>
      <c r="E300" s="1665">
        <v>63158060</v>
      </c>
      <c r="F300" s="1665">
        <v>66056997</v>
      </c>
      <c r="G300" s="1665">
        <v>63158060</v>
      </c>
      <c r="H300" s="1665">
        <v>66056997</v>
      </c>
      <c r="I300" s="1665">
        <v>63158060</v>
      </c>
      <c r="J300" s="1665">
        <v>66056997</v>
      </c>
      <c r="K300" s="1665">
        <v>63158060</v>
      </c>
    </row>
    <row r="301" spans="1:11">
      <c r="A301" t="s">
        <v>3506</v>
      </c>
      <c r="B301" s="1417" t="s">
        <v>722</v>
      </c>
      <c r="C301" s="1417" t="s">
        <v>7393</v>
      </c>
      <c r="D301" s="1665">
        <v>52375661</v>
      </c>
      <c r="E301" s="1665">
        <v>49963151</v>
      </c>
      <c r="F301" s="1665">
        <v>52375661</v>
      </c>
      <c r="G301" s="1665">
        <v>49963151</v>
      </c>
      <c r="H301" s="1665">
        <v>52375661</v>
      </c>
      <c r="I301" s="1665">
        <v>49963151</v>
      </c>
      <c r="J301" s="1665">
        <v>52375661</v>
      </c>
      <c r="K301" s="1665">
        <v>49963151</v>
      </c>
    </row>
    <row r="302" spans="1:11">
      <c r="A302" t="s">
        <v>3507</v>
      </c>
      <c r="B302" s="1417" t="s">
        <v>204</v>
      </c>
      <c r="C302" s="1417" t="s">
        <v>7394</v>
      </c>
      <c r="D302" s="1665">
        <v>197027175</v>
      </c>
      <c r="E302" s="1665">
        <v>188994179</v>
      </c>
      <c r="F302" s="1665">
        <v>197027175</v>
      </c>
      <c r="G302" s="1665">
        <v>188994179</v>
      </c>
      <c r="H302" s="1665">
        <v>197027175</v>
      </c>
      <c r="I302" s="1665">
        <v>188994179</v>
      </c>
      <c r="J302" s="1665">
        <v>197027175</v>
      </c>
      <c r="K302" s="1665">
        <v>188994179</v>
      </c>
    </row>
    <row r="303" spans="1:11">
      <c r="A303" t="s">
        <v>5848</v>
      </c>
      <c r="B303" s="1417" t="s">
        <v>205</v>
      </c>
      <c r="C303" s="1417" t="s">
        <v>7395</v>
      </c>
      <c r="D303" s="1665">
        <v>217877964</v>
      </c>
      <c r="E303" s="1665">
        <v>209104213</v>
      </c>
      <c r="F303" s="1665">
        <v>217877964</v>
      </c>
      <c r="G303" s="1665">
        <v>209104213</v>
      </c>
      <c r="H303" s="1665">
        <v>217877964</v>
      </c>
      <c r="I303" s="1665">
        <v>209104213</v>
      </c>
      <c r="J303" s="1665">
        <v>217877964</v>
      </c>
      <c r="K303" s="1665">
        <v>209104213</v>
      </c>
    </row>
    <row r="304" spans="1:11">
      <c r="A304" t="s">
        <v>5849</v>
      </c>
      <c r="B304" s="1417" t="s">
        <v>1741</v>
      </c>
      <c r="C304" s="1417" t="s">
        <v>7396</v>
      </c>
      <c r="D304" s="1665">
        <v>115487146</v>
      </c>
      <c r="E304" s="1665">
        <v>110703372</v>
      </c>
      <c r="F304" s="1665">
        <v>115487146</v>
      </c>
      <c r="G304" s="1665">
        <v>110703372</v>
      </c>
      <c r="H304" s="1665">
        <v>115487146</v>
      </c>
      <c r="I304" s="1665">
        <v>110703372</v>
      </c>
      <c r="J304" s="1665">
        <v>115487146</v>
      </c>
      <c r="K304" s="1665">
        <v>110703372</v>
      </c>
    </row>
    <row r="305" spans="1:11">
      <c r="A305" t="s">
        <v>3508</v>
      </c>
      <c r="B305" s="1417" t="s">
        <v>1742</v>
      </c>
      <c r="C305" s="1417" t="s">
        <v>7397</v>
      </c>
      <c r="D305" s="1665">
        <v>226975532</v>
      </c>
      <c r="E305" s="1665">
        <v>218401992</v>
      </c>
      <c r="F305" s="1665">
        <v>226975532</v>
      </c>
      <c r="G305" s="1665">
        <v>218401992</v>
      </c>
      <c r="H305" s="1665">
        <v>226975532</v>
      </c>
      <c r="I305" s="1665">
        <v>218401992</v>
      </c>
      <c r="J305" s="1665">
        <v>226975532</v>
      </c>
      <c r="K305" s="1665">
        <v>218401992</v>
      </c>
    </row>
    <row r="306" spans="1:11">
      <c r="A306" t="s">
        <v>3509</v>
      </c>
      <c r="B306" s="1417" t="s">
        <v>1234</v>
      </c>
      <c r="C306" s="1417" t="s">
        <v>7398</v>
      </c>
      <c r="D306" s="1665">
        <v>122460947</v>
      </c>
      <c r="E306" s="1665">
        <v>115657953</v>
      </c>
      <c r="F306" s="1665">
        <v>122460947</v>
      </c>
      <c r="G306" s="1665">
        <v>115657953</v>
      </c>
      <c r="H306" s="1665">
        <v>122460947</v>
      </c>
      <c r="I306" s="1665">
        <v>115657953</v>
      </c>
      <c r="J306" s="1665">
        <v>122460947</v>
      </c>
      <c r="K306" s="1665">
        <v>115657953</v>
      </c>
    </row>
    <row r="307" spans="1:11">
      <c r="A307" t="s">
        <v>5850</v>
      </c>
      <c r="B307" s="1417" t="s">
        <v>2571</v>
      </c>
      <c r="C307" s="1417" t="s">
        <v>7399</v>
      </c>
      <c r="D307" s="1665">
        <v>444588087</v>
      </c>
      <c r="E307" s="1665">
        <v>435375485</v>
      </c>
      <c r="F307" s="1665">
        <v>444588087</v>
      </c>
      <c r="G307" s="1665">
        <v>435375485</v>
      </c>
      <c r="H307" s="1665">
        <v>444588087</v>
      </c>
      <c r="I307" s="1665">
        <v>435375485</v>
      </c>
      <c r="J307" s="1665">
        <v>444588087</v>
      </c>
      <c r="K307" s="1665">
        <v>435375485</v>
      </c>
    </row>
    <row r="308" spans="1:11">
      <c r="A308" t="s">
        <v>6717</v>
      </c>
      <c r="B308" s="1417" t="s">
        <v>1697</v>
      </c>
      <c r="C308" s="1417" t="s">
        <v>7400</v>
      </c>
      <c r="D308" s="1665">
        <v>1179436540</v>
      </c>
      <c r="E308" s="1665">
        <v>1149438083</v>
      </c>
      <c r="F308" s="1665">
        <v>1179436540</v>
      </c>
      <c r="G308" s="1665">
        <v>1149438083</v>
      </c>
      <c r="H308" s="1665">
        <v>1179436540</v>
      </c>
      <c r="I308" s="1665">
        <v>1149438083</v>
      </c>
      <c r="J308" s="1665">
        <v>1179436540</v>
      </c>
      <c r="K308" s="1665">
        <v>1149438083</v>
      </c>
    </row>
    <row r="309" spans="1:11">
      <c r="A309" t="s">
        <v>5851</v>
      </c>
      <c r="B309" s="1417" t="s">
        <v>1698</v>
      </c>
      <c r="C309" s="1417" t="s">
        <v>7401</v>
      </c>
      <c r="D309" s="1665">
        <v>493594583</v>
      </c>
      <c r="E309" s="1665">
        <v>480853185</v>
      </c>
      <c r="F309" s="1665">
        <v>493594583</v>
      </c>
      <c r="G309" s="1665">
        <v>480853185</v>
      </c>
      <c r="H309" s="1665">
        <v>493594583</v>
      </c>
      <c r="I309" s="1665">
        <v>480853185</v>
      </c>
      <c r="J309" s="1665">
        <v>493594583</v>
      </c>
      <c r="K309" s="1665">
        <v>480853185</v>
      </c>
    </row>
    <row r="310" spans="1:11">
      <c r="A310" t="s">
        <v>6718</v>
      </c>
      <c r="B310" s="1417" t="s">
        <v>921</v>
      </c>
      <c r="C310" s="1417" t="s">
        <v>7402</v>
      </c>
      <c r="D310" s="1665">
        <v>216721376</v>
      </c>
      <c r="E310" s="1665">
        <v>211632029</v>
      </c>
      <c r="F310" s="1665">
        <v>216721376</v>
      </c>
      <c r="G310" s="1665">
        <v>211632029</v>
      </c>
      <c r="H310" s="1665">
        <v>216721376</v>
      </c>
      <c r="I310" s="1665">
        <v>211632029</v>
      </c>
      <c r="J310" s="1665">
        <v>216721376</v>
      </c>
      <c r="K310" s="1665">
        <v>211632029</v>
      </c>
    </row>
    <row r="311" spans="1:11">
      <c r="A311" t="s">
        <v>5852</v>
      </c>
      <c r="B311" s="1417" t="s">
        <v>65</v>
      </c>
      <c r="C311" s="1417" t="s">
        <v>7403</v>
      </c>
      <c r="D311" s="1665">
        <v>382568681</v>
      </c>
      <c r="E311" s="1665">
        <v>376448727</v>
      </c>
      <c r="F311" s="1665">
        <v>368668218</v>
      </c>
      <c r="G311" s="1665">
        <v>362548264</v>
      </c>
      <c r="H311" s="1665">
        <v>382568681</v>
      </c>
      <c r="I311" s="1665">
        <v>376448727</v>
      </c>
      <c r="J311" s="1665">
        <v>368668218</v>
      </c>
      <c r="K311" s="1665">
        <v>362548264</v>
      </c>
    </row>
    <row r="312" spans="1:11">
      <c r="A312" t="s">
        <v>6719</v>
      </c>
      <c r="B312" s="1417" t="s">
        <v>754</v>
      </c>
      <c r="C312" s="1417" t="s">
        <v>7404</v>
      </c>
      <c r="D312" s="1665">
        <v>126532034</v>
      </c>
      <c r="E312" s="1665">
        <v>123212384</v>
      </c>
      <c r="F312" s="1665">
        <v>126532034</v>
      </c>
      <c r="G312" s="1665">
        <v>123212384</v>
      </c>
      <c r="H312" s="1665">
        <v>126532034</v>
      </c>
      <c r="I312" s="1665">
        <v>123212384</v>
      </c>
      <c r="J312" s="1665">
        <v>126532034</v>
      </c>
      <c r="K312" s="1665">
        <v>123212384</v>
      </c>
    </row>
    <row r="313" spans="1:11">
      <c r="A313" t="s">
        <v>3510</v>
      </c>
      <c r="B313" s="1417" t="s">
        <v>2505</v>
      </c>
      <c r="C313" s="1417" t="s">
        <v>7405</v>
      </c>
      <c r="D313" s="1665">
        <v>135735980</v>
      </c>
      <c r="E313" s="1665">
        <v>132070470</v>
      </c>
      <c r="F313" s="1665">
        <v>135735980</v>
      </c>
      <c r="G313" s="1665">
        <v>132070470</v>
      </c>
      <c r="H313" s="1665">
        <v>152216980</v>
      </c>
      <c r="I313" s="1665">
        <v>148551470</v>
      </c>
      <c r="J313" s="1665">
        <v>152216980</v>
      </c>
      <c r="K313" s="1665">
        <v>148551470</v>
      </c>
    </row>
    <row r="314" spans="1:11">
      <c r="A314" t="s">
        <v>5853</v>
      </c>
      <c r="B314" s="1417" t="s">
        <v>627</v>
      </c>
      <c r="C314" s="1417" t="s">
        <v>7406</v>
      </c>
      <c r="D314" s="1665">
        <v>319222523</v>
      </c>
      <c r="E314" s="1665">
        <v>313118183</v>
      </c>
      <c r="F314" s="1665">
        <v>319222523</v>
      </c>
      <c r="G314" s="1665">
        <v>313118183</v>
      </c>
      <c r="H314" s="1665">
        <v>807198033</v>
      </c>
      <c r="I314" s="1665">
        <v>801093693</v>
      </c>
      <c r="J314" s="1665">
        <v>807198033</v>
      </c>
      <c r="K314" s="1665">
        <v>801093693</v>
      </c>
    </row>
    <row r="315" spans="1:11">
      <c r="A315" t="s">
        <v>6720</v>
      </c>
      <c r="B315" s="1417" t="s">
        <v>628</v>
      </c>
      <c r="C315" s="1417" t="s">
        <v>7407</v>
      </c>
      <c r="D315" s="1665">
        <v>132476618</v>
      </c>
      <c r="E315" s="1665">
        <v>128561489</v>
      </c>
      <c r="F315" s="1665">
        <v>132476618</v>
      </c>
      <c r="G315" s="1665">
        <v>128561489</v>
      </c>
      <c r="H315" s="1665">
        <v>444756618</v>
      </c>
      <c r="I315" s="1665">
        <v>440841489</v>
      </c>
      <c r="J315" s="1665">
        <v>444756618</v>
      </c>
      <c r="K315" s="1665">
        <v>440841489</v>
      </c>
    </row>
    <row r="316" spans="1:11">
      <c r="A316" t="s">
        <v>6721</v>
      </c>
      <c r="B316" s="1417" t="s">
        <v>629</v>
      </c>
      <c r="C316" s="1417" t="s">
        <v>7408</v>
      </c>
      <c r="D316" s="1665">
        <v>228027214</v>
      </c>
      <c r="E316" s="1665">
        <v>225730854</v>
      </c>
      <c r="F316" s="1665">
        <v>228027214</v>
      </c>
      <c r="G316" s="1665">
        <v>225730854</v>
      </c>
      <c r="H316" s="1665">
        <v>228027214</v>
      </c>
      <c r="I316" s="1665">
        <v>225730854</v>
      </c>
      <c r="J316" s="1665">
        <v>228027214</v>
      </c>
      <c r="K316" s="1665">
        <v>225730854</v>
      </c>
    </row>
    <row r="317" spans="1:11">
      <c r="A317" t="s">
        <v>5854</v>
      </c>
      <c r="B317" s="1417" t="s">
        <v>630</v>
      </c>
      <c r="C317" s="1417" t="s">
        <v>7409</v>
      </c>
      <c r="D317" s="1665">
        <v>16155923300</v>
      </c>
      <c r="E317" s="1665">
        <v>15804550340</v>
      </c>
      <c r="F317" s="1665">
        <v>16155923300</v>
      </c>
      <c r="G317" s="1665">
        <v>15804550340</v>
      </c>
      <c r="H317" s="1665">
        <v>16155923300</v>
      </c>
      <c r="I317" s="1665">
        <v>15804550340</v>
      </c>
      <c r="J317" s="1665">
        <v>16155923300</v>
      </c>
      <c r="K317" s="1665">
        <v>15804550340</v>
      </c>
    </row>
    <row r="318" spans="1:11">
      <c r="A318" t="s">
        <v>3511</v>
      </c>
      <c r="B318" s="1417" t="s">
        <v>2541</v>
      </c>
      <c r="C318" s="1417" t="s">
        <v>7410</v>
      </c>
      <c r="D318" s="1665">
        <v>988679076</v>
      </c>
      <c r="E318" s="1665">
        <v>956727563</v>
      </c>
      <c r="F318" s="1665">
        <v>988679076</v>
      </c>
      <c r="G318" s="1665">
        <v>956727563</v>
      </c>
      <c r="H318" s="1665">
        <v>988679076</v>
      </c>
      <c r="I318" s="1665">
        <v>956727563</v>
      </c>
      <c r="J318" s="1665">
        <v>988679076</v>
      </c>
      <c r="K318" s="1665">
        <v>956727563</v>
      </c>
    </row>
    <row r="319" spans="1:11">
      <c r="A319" t="s">
        <v>3512</v>
      </c>
      <c r="B319" s="1417" t="s">
        <v>1422</v>
      </c>
      <c r="C319" s="1417" t="s">
        <v>7411</v>
      </c>
      <c r="D319" s="1665">
        <v>39646552415</v>
      </c>
      <c r="E319" s="1665">
        <v>38766559992</v>
      </c>
      <c r="F319" s="1665">
        <v>39646552415</v>
      </c>
      <c r="G319" s="1665">
        <v>38766559992</v>
      </c>
      <c r="H319" s="1665">
        <v>39646552415</v>
      </c>
      <c r="I319" s="1665">
        <v>38766559992</v>
      </c>
      <c r="J319" s="1665">
        <v>39646552415</v>
      </c>
      <c r="K319" s="1665">
        <v>38766559992</v>
      </c>
    </row>
    <row r="320" spans="1:11">
      <c r="A320" t="s">
        <v>5855</v>
      </c>
      <c r="B320" s="1417" t="s">
        <v>2318</v>
      </c>
      <c r="C320" s="1417" t="s">
        <v>7412</v>
      </c>
      <c r="D320" s="1665">
        <v>2571059375</v>
      </c>
      <c r="E320" s="1665">
        <v>2547386459</v>
      </c>
      <c r="F320" s="1665">
        <v>2521163078</v>
      </c>
      <c r="G320" s="1665">
        <v>2497490162</v>
      </c>
      <c r="H320" s="1665">
        <v>2571059375</v>
      </c>
      <c r="I320" s="1665">
        <v>2547386459</v>
      </c>
      <c r="J320" s="1665">
        <v>2521163078</v>
      </c>
      <c r="K320" s="1665">
        <v>2497490162</v>
      </c>
    </row>
    <row r="321" spans="1:11">
      <c r="A321" t="s">
        <v>5856</v>
      </c>
      <c r="B321" s="1417" t="s">
        <v>2013</v>
      </c>
      <c r="C321" s="1417" t="s">
        <v>7413</v>
      </c>
      <c r="D321" s="1665">
        <v>1050599596</v>
      </c>
      <c r="E321" s="1665">
        <v>1029605756</v>
      </c>
      <c r="F321" s="1665">
        <v>1050599596</v>
      </c>
      <c r="G321" s="1665">
        <v>1029605756</v>
      </c>
      <c r="H321" s="1665">
        <v>1050599596</v>
      </c>
      <c r="I321" s="1665">
        <v>1029605756</v>
      </c>
      <c r="J321" s="1665">
        <v>1050599596</v>
      </c>
      <c r="K321" s="1665">
        <v>1029605756</v>
      </c>
    </row>
    <row r="322" spans="1:11">
      <c r="A322" t="s">
        <v>5857</v>
      </c>
      <c r="B322" s="1417" t="s">
        <v>1303</v>
      </c>
      <c r="C322" s="1417" t="s">
        <v>7414</v>
      </c>
      <c r="D322" s="1665">
        <v>1277271915</v>
      </c>
      <c r="E322" s="1665">
        <v>1257003296</v>
      </c>
      <c r="F322" s="1665">
        <v>1277271915</v>
      </c>
      <c r="G322" s="1665">
        <v>1257003296</v>
      </c>
      <c r="H322" s="1665">
        <v>1277271915</v>
      </c>
      <c r="I322" s="1665">
        <v>1257003296</v>
      </c>
      <c r="J322" s="1665">
        <v>1277271915</v>
      </c>
      <c r="K322" s="1665">
        <v>1257003296</v>
      </c>
    </row>
    <row r="323" spans="1:11">
      <c r="A323" t="s">
        <v>5858</v>
      </c>
      <c r="B323" s="1417" t="s">
        <v>1919</v>
      </c>
      <c r="C323" s="1417" t="s">
        <v>7415</v>
      </c>
      <c r="D323" s="1665">
        <v>746091365</v>
      </c>
      <c r="E323" s="1665">
        <v>734596971</v>
      </c>
      <c r="F323" s="1665">
        <v>746091365</v>
      </c>
      <c r="G323" s="1665">
        <v>734596971</v>
      </c>
      <c r="H323" s="1665">
        <v>746091365</v>
      </c>
      <c r="I323" s="1665">
        <v>734596971</v>
      </c>
      <c r="J323" s="1665">
        <v>746091365</v>
      </c>
      <c r="K323" s="1665">
        <v>734596971</v>
      </c>
    </row>
    <row r="324" spans="1:11">
      <c r="A324" t="s">
        <v>5859</v>
      </c>
      <c r="B324" s="1417" t="s">
        <v>1924</v>
      </c>
      <c r="C324" s="1417" t="s">
        <v>7416</v>
      </c>
      <c r="D324" s="1665">
        <v>156629326</v>
      </c>
      <c r="E324" s="1665">
        <v>152752344</v>
      </c>
      <c r="F324" s="1665">
        <v>156629326</v>
      </c>
      <c r="G324" s="1665">
        <v>152752344</v>
      </c>
      <c r="H324" s="1665">
        <v>156629326</v>
      </c>
      <c r="I324" s="1665">
        <v>152752344</v>
      </c>
      <c r="J324" s="1665">
        <v>156629326</v>
      </c>
      <c r="K324" s="1665">
        <v>152752344</v>
      </c>
    </row>
    <row r="325" spans="1:11">
      <c r="A325" t="s">
        <v>5860</v>
      </c>
      <c r="B325" s="1417" t="s">
        <v>1925</v>
      </c>
      <c r="C325" s="1417" t="s">
        <v>7417</v>
      </c>
      <c r="D325" s="1665">
        <v>159315795</v>
      </c>
      <c r="E325" s="1665">
        <v>157578911</v>
      </c>
      <c r="F325" s="1665">
        <v>159315795</v>
      </c>
      <c r="G325" s="1665">
        <v>157578911</v>
      </c>
      <c r="H325" s="1665">
        <v>159315795</v>
      </c>
      <c r="I325" s="1665">
        <v>157578911</v>
      </c>
      <c r="J325" s="1665">
        <v>159315795</v>
      </c>
      <c r="K325" s="1665">
        <v>157578911</v>
      </c>
    </row>
    <row r="326" spans="1:11">
      <c r="A326" t="s">
        <v>3513</v>
      </c>
      <c r="B326" s="1417" t="s">
        <v>1235</v>
      </c>
      <c r="C326" s="1417" t="s">
        <v>7418</v>
      </c>
      <c r="D326" s="1665">
        <v>1182172581</v>
      </c>
      <c r="E326" s="1665">
        <v>1178013301</v>
      </c>
      <c r="F326" s="1665">
        <v>1182172581</v>
      </c>
      <c r="G326" s="1665">
        <v>1178013301</v>
      </c>
      <c r="H326" s="1665">
        <v>1182172581</v>
      </c>
      <c r="I326" s="1665">
        <v>1178013301</v>
      </c>
      <c r="J326" s="1665">
        <v>1182172581</v>
      </c>
      <c r="K326" s="1665">
        <v>1178013301</v>
      </c>
    </row>
    <row r="327" spans="1:11">
      <c r="A327" t="s">
        <v>3514</v>
      </c>
      <c r="B327" s="1417" t="s">
        <v>2506</v>
      </c>
      <c r="C327" s="1417" t="s">
        <v>7419</v>
      </c>
      <c r="D327" s="1665">
        <v>1138089609</v>
      </c>
      <c r="E327" s="1665">
        <v>1124313269</v>
      </c>
      <c r="F327" s="1665">
        <v>1138089609</v>
      </c>
      <c r="G327" s="1665">
        <v>1124313269</v>
      </c>
      <c r="H327" s="1665">
        <v>1138089609</v>
      </c>
      <c r="I327" s="1665">
        <v>1124313269</v>
      </c>
      <c r="J327" s="1665">
        <v>1138089609</v>
      </c>
      <c r="K327" s="1665">
        <v>1124313269</v>
      </c>
    </row>
    <row r="328" spans="1:11">
      <c r="A328" t="s">
        <v>5861</v>
      </c>
      <c r="B328" s="1417" t="s">
        <v>1926</v>
      </c>
      <c r="C328" s="1417" t="s">
        <v>7420</v>
      </c>
      <c r="D328" s="1665">
        <v>189393365</v>
      </c>
      <c r="E328" s="1665">
        <v>185031639</v>
      </c>
      <c r="F328" s="1665">
        <v>189393365</v>
      </c>
      <c r="G328" s="1665">
        <v>185031639</v>
      </c>
      <c r="H328" s="1665">
        <v>189393365</v>
      </c>
      <c r="I328" s="1665">
        <v>185031639</v>
      </c>
      <c r="J328" s="1665">
        <v>189393365</v>
      </c>
      <c r="K328" s="1665">
        <v>185031639</v>
      </c>
    </row>
    <row r="329" spans="1:11">
      <c r="A329" t="s">
        <v>5862</v>
      </c>
      <c r="B329" s="1417" t="s">
        <v>2110</v>
      </c>
      <c r="C329" s="1417" t="s">
        <v>7421</v>
      </c>
      <c r="D329" s="1665">
        <v>209127520</v>
      </c>
      <c r="E329" s="1665">
        <v>208298896</v>
      </c>
      <c r="F329" s="1665">
        <v>208308297</v>
      </c>
      <c r="G329" s="1665">
        <v>207479673</v>
      </c>
      <c r="H329" s="1665">
        <v>209127520</v>
      </c>
      <c r="I329" s="1665">
        <v>208298896</v>
      </c>
      <c r="J329" s="1665">
        <v>208308297</v>
      </c>
      <c r="K329" s="1665">
        <v>207479673</v>
      </c>
    </row>
    <row r="330" spans="1:11">
      <c r="A330" t="s">
        <v>5863</v>
      </c>
      <c r="B330" s="1417" t="s">
        <v>2175</v>
      </c>
      <c r="C330" s="1417" t="s">
        <v>7422</v>
      </c>
      <c r="D330" s="1665">
        <v>2997252229</v>
      </c>
      <c r="E330" s="1665">
        <v>2971128974</v>
      </c>
      <c r="F330" s="1665">
        <v>2997252229</v>
      </c>
      <c r="G330" s="1665">
        <v>2971128974</v>
      </c>
      <c r="H330" s="1665">
        <v>2997252229</v>
      </c>
      <c r="I330" s="1665">
        <v>2971128974</v>
      </c>
      <c r="J330" s="1665">
        <v>2997252229</v>
      </c>
      <c r="K330" s="1665">
        <v>2971128974</v>
      </c>
    </row>
    <row r="331" spans="1:11">
      <c r="A331" t="s">
        <v>5864</v>
      </c>
      <c r="B331" s="1417" t="s">
        <v>1993</v>
      </c>
      <c r="C331" s="1417" t="s">
        <v>7423</v>
      </c>
      <c r="D331" s="1665">
        <v>3864964681</v>
      </c>
      <c r="E331" s="1665">
        <v>3743751826</v>
      </c>
      <c r="F331" s="1665">
        <v>3864964681</v>
      </c>
      <c r="G331" s="1665">
        <v>3743751826</v>
      </c>
      <c r="H331" s="1665">
        <v>3864964681</v>
      </c>
      <c r="I331" s="1665">
        <v>3743751826</v>
      </c>
      <c r="J331" s="1665">
        <v>3864964681</v>
      </c>
      <c r="K331" s="1665">
        <v>3743751826</v>
      </c>
    </row>
    <row r="332" spans="1:11">
      <c r="A332" t="s">
        <v>5865</v>
      </c>
      <c r="B332" s="1417" t="s">
        <v>2231</v>
      </c>
      <c r="C332" s="1417" t="s">
        <v>7424</v>
      </c>
      <c r="D332" s="1665">
        <v>7643332643</v>
      </c>
      <c r="E332" s="1665">
        <v>7537500851</v>
      </c>
      <c r="F332" s="1665">
        <v>7424156375</v>
      </c>
      <c r="G332" s="1665">
        <v>7318324583</v>
      </c>
      <c r="H332" s="1665">
        <v>7643332643</v>
      </c>
      <c r="I332" s="1665">
        <v>7537500851</v>
      </c>
      <c r="J332" s="1665">
        <v>7424156375</v>
      </c>
      <c r="K332" s="1665">
        <v>7318324583</v>
      </c>
    </row>
    <row r="333" spans="1:11">
      <c r="A333" t="s">
        <v>5866</v>
      </c>
      <c r="B333" s="1417" t="s">
        <v>1866</v>
      </c>
      <c r="C333" s="1417" t="s">
        <v>7425</v>
      </c>
      <c r="D333" s="1665">
        <v>124656713</v>
      </c>
      <c r="E333" s="1665">
        <v>123300393</v>
      </c>
      <c r="F333" s="1665">
        <v>124189101</v>
      </c>
      <c r="G333" s="1665">
        <v>122832781</v>
      </c>
      <c r="H333" s="1665">
        <v>124656713</v>
      </c>
      <c r="I333" s="1665">
        <v>123300393</v>
      </c>
      <c r="J333" s="1665">
        <v>124189101</v>
      </c>
      <c r="K333" s="1665">
        <v>122832781</v>
      </c>
    </row>
    <row r="334" spans="1:11">
      <c r="A334" t="s">
        <v>5867</v>
      </c>
      <c r="B334" s="1417" t="s">
        <v>762</v>
      </c>
      <c r="C334" s="1417" t="s">
        <v>7426</v>
      </c>
      <c r="D334" s="1665">
        <v>5249649002</v>
      </c>
      <c r="E334" s="1665">
        <v>5133331686</v>
      </c>
      <c r="F334" s="1665">
        <v>5111722747</v>
      </c>
      <c r="G334" s="1665">
        <v>4995405431</v>
      </c>
      <c r="H334" s="1665">
        <v>5249649002</v>
      </c>
      <c r="I334" s="1665">
        <v>5133331686</v>
      </c>
      <c r="J334" s="1665">
        <v>5111722747</v>
      </c>
      <c r="K334" s="1665">
        <v>4995405431</v>
      </c>
    </row>
    <row r="335" spans="1:11">
      <c r="A335" t="s">
        <v>5868</v>
      </c>
      <c r="B335" s="1417" t="s">
        <v>2458</v>
      </c>
      <c r="C335" s="1417" t="s">
        <v>7427</v>
      </c>
      <c r="D335" s="1665">
        <v>707517069</v>
      </c>
      <c r="E335" s="1665">
        <v>685147291</v>
      </c>
      <c r="F335" s="1665">
        <v>707517069</v>
      </c>
      <c r="G335" s="1665">
        <v>685147291</v>
      </c>
      <c r="H335" s="1665">
        <v>707517069</v>
      </c>
      <c r="I335" s="1665">
        <v>685147291</v>
      </c>
      <c r="J335" s="1665">
        <v>707517069</v>
      </c>
      <c r="K335" s="1665">
        <v>685147291</v>
      </c>
    </row>
    <row r="336" spans="1:11">
      <c r="A336" t="s">
        <v>3515</v>
      </c>
      <c r="B336" s="1417" t="s">
        <v>491</v>
      </c>
      <c r="C336" s="1417" t="s">
        <v>7428</v>
      </c>
      <c r="D336" s="1665">
        <v>1523093103</v>
      </c>
      <c r="E336" s="1665">
        <v>1453634757</v>
      </c>
      <c r="F336" s="1665">
        <v>1523093103</v>
      </c>
      <c r="G336" s="1665">
        <v>1453634757</v>
      </c>
      <c r="H336" s="1665">
        <v>1523093103</v>
      </c>
      <c r="I336" s="1665">
        <v>1453634757</v>
      </c>
      <c r="J336" s="1665">
        <v>1523093103</v>
      </c>
      <c r="K336" s="1665">
        <v>1453634757</v>
      </c>
    </row>
    <row r="337" spans="1:11">
      <c r="A337" t="s">
        <v>5869</v>
      </c>
      <c r="B337" s="1417" t="s">
        <v>2459</v>
      </c>
      <c r="C337" s="1417" t="s">
        <v>7429</v>
      </c>
      <c r="D337" s="1665">
        <v>23208963866</v>
      </c>
      <c r="E337" s="1665">
        <v>22669561917</v>
      </c>
      <c r="F337" s="1665">
        <v>22867367472</v>
      </c>
      <c r="G337" s="1665">
        <v>22327965523</v>
      </c>
      <c r="H337" s="1665">
        <v>23208963866</v>
      </c>
      <c r="I337" s="1665">
        <v>22669561917</v>
      </c>
      <c r="J337" s="1665">
        <v>22867367472</v>
      </c>
      <c r="K337" s="1665">
        <v>22327965523</v>
      </c>
    </row>
    <row r="338" spans="1:11">
      <c r="A338" t="s">
        <v>3516</v>
      </c>
      <c r="B338" s="1417" t="s">
        <v>1424</v>
      </c>
      <c r="C338" s="1417" t="s">
        <v>7430</v>
      </c>
      <c r="D338" s="1665">
        <v>3126779460</v>
      </c>
      <c r="E338" s="1665">
        <v>3044760664</v>
      </c>
      <c r="F338" s="1665">
        <v>3126779460</v>
      </c>
      <c r="G338" s="1665">
        <v>3044760664</v>
      </c>
      <c r="H338" s="1665">
        <v>3126779460</v>
      </c>
      <c r="I338" s="1665">
        <v>3044760664</v>
      </c>
      <c r="J338" s="1665">
        <v>3126779460</v>
      </c>
      <c r="K338" s="1665">
        <v>3044760664</v>
      </c>
    </row>
    <row r="339" spans="1:11">
      <c r="A339" t="s">
        <v>5870</v>
      </c>
      <c r="B339" s="1417" t="s">
        <v>1668</v>
      </c>
      <c r="C339" s="1417" t="s">
        <v>7431</v>
      </c>
      <c r="D339" s="1665">
        <v>437982794</v>
      </c>
      <c r="E339" s="1665">
        <v>430354917</v>
      </c>
      <c r="F339" s="1665">
        <v>437982794</v>
      </c>
      <c r="G339" s="1665">
        <v>430354917</v>
      </c>
      <c r="H339" s="1665">
        <v>437982794</v>
      </c>
      <c r="I339" s="1665">
        <v>430354917</v>
      </c>
      <c r="J339" s="1665">
        <v>437982794</v>
      </c>
      <c r="K339" s="1665">
        <v>430354917</v>
      </c>
    </row>
    <row r="340" spans="1:11">
      <c r="A340" t="s">
        <v>6722</v>
      </c>
      <c r="B340" s="1417" t="s">
        <v>1669</v>
      </c>
      <c r="C340" s="1417" t="s">
        <v>7432</v>
      </c>
      <c r="D340" s="1665">
        <v>52489797</v>
      </c>
      <c r="E340" s="1665">
        <v>51973400</v>
      </c>
      <c r="F340" s="1665">
        <v>52489797</v>
      </c>
      <c r="G340" s="1665">
        <v>51973400</v>
      </c>
      <c r="H340" s="1665">
        <v>52489797</v>
      </c>
      <c r="I340" s="1665">
        <v>51973400</v>
      </c>
      <c r="J340" s="1665">
        <v>52489797</v>
      </c>
      <c r="K340" s="1665">
        <v>51973400</v>
      </c>
    </row>
    <row r="341" spans="1:11">
      <c r="A341" t="s">
        <v>6723</v>
      </c>
      <c r="B341" s="1417" t="s">
        <v>1873</v>
      </c>
      <c r="C341" s="1417" t="s">
        <v>7433</v>
      </c>
      <c r="D341" s="1665">
        <v>51868634</v>
      </c>
      <c r="E341" s="1665">
        <v>50911134</v>
      </c>
      <c r="F341" s="1665">
        <v>51868634</v>
      </c>
      <c r="G341" s="1665">
        <v>50911134</v>
      </c>
      <c r="H341" s="1665">
        <v>51868634</v>
      </c>
      <c r="I341" s="1665">
        <v>50911134</v>
      </c>
      <c r="J341" s="1665">
        <v>51868634</v>
      </c>
      <c r="K341" s="1665">
        <v>50911134</v>
      </c>
    </row>
    <row r="342" spans="1:11">
      <c r="A342" t="s">
        <v>5871</v>
      </c>
      <c r="B342" s="1417" t="s">
        <v>1451</v>
      </c>
      <c r="C342" s="1417" t="s">
        <v>7434</v>
      </c>
      <c r="D342" s="1665">
        <v>3689033002</v>
      </c>
      <c r="E342" s="1665">
        <v>3627948068</v>
      </c>
      <c r="F342" s="1665">
        <v>3689033002</v>
      </c>
      <c r="G342" s="1665">
        <v>3627948068</v>
      </c>
      <c r="H342" s="1665">
        <v>3689033002</v>
      </c>
      <c r="I342" s="1665">
        <v>3627948068</v>
      </c>
      <c r="J342" s="1665">
        <v>3689033002</v>
      </c>
      <c r="K342" s="1665">
        <v>3627948068</v>
      </c>
    </row>
    <row r="343" spans="1:11">
      <c r="A343" t="s">
        <v>6724</v>
      </c>
      <c r="B343" s="1417" t="s">
        <v>2160</v>
      </c>
      <c r="C343" s="1417" t="s">
        <v>7435</v>
      </c>
      <c r="D343" s="1665">
        <v>454570960</v>
      </c>
      <c r="E343" s="1665">
        <v>442149686</v>
      </c>
      <c r="F343" s="1665">
        <v>454570960</v>
      </c>
      <c r="G343" s="1665">
        <v>442149686</v>
      </c>
      <c r="H343" s="1665">
        <v>454570960</v>
      </c>
      <c r="I343" s="1665">
        <v>442149686</v>
      </c>
      <c r="J343" s="1665">
        <v>454570960</v>
      </c>
      <c r="K343" s="1665">
        <v>442149686</v>
      </c>
    </row>
    <row r="344" spans="1:11">
      <c r="A344" t="s">
        <v>5872</v>
      </c>
      <c r="B344" s="1417" t="s">
        <v>2161</v>
      </c>
      <c r="C344" s="1417" t="s">
        <v>7436</v>
      </c>
      <c r="D344" s="1665">
        <v>2926176362</v>
      </c>
      <c r="E344" s="1665">
        <v>2923902542</v>
      </c>
      <c r="F344" s="1665">
        <v>2923607869</v>
      </c>
      <c r="G344" s="1665">
        <v>2921334049</v>
      </c>
      <c r="H344" s="1665">
        <v>3506783332</v>
      </c>
      <c r="I344" s="1665">
        <v>3504509512</v>
      </c>
      <c r="J344" s="1665">
        <v>3504214839</v>
      </c>
      <c r="K344" s="1665">
        <v>3501941019</v>
      </c>
    </row>
    <row r="345" spans="1:11">
      <c r="A345" t="s">
        <v>5873</v>
      </c>
      <c r="B345" s="1417" t="s">
        <v>2437</v>
      </c>
      <c r="C345" s="1417" t="s">
        <v>7437</v>
      </c>
      <c r="D345" s="1665">
        <v>789613274</v>
      </c>
      <c r="E345" s="1665">
        <v>771819085</v>
      </c>
      <c r="F345" s="1665">
        <v>766512524</v>
      </c>
      <c r="G345" s="1665">
        <v>748718335</v>
      </c>
      <c r="H345" s="1665">
        <v>857613274</v>
      </c>
      <c r="I345" s="1665">
        <v>839819085</v>
      </c>
      <c r="J345" s="1665">
        <v>834512524</v>
      </c>
      <c r="K345" s="1665">
        <v>816718335</v>
      </c>
    </row>
    <row r="346" spans="1:11">
      <c r="A346" t="s">
        <v>3517</v>
      </c>
      <c r="B346" s="1417" t="s">
        <v>906</v>
      </c>
      <c r="C346" s="1417" t="s">
        <v>7438</v>
      </c>
      <c r="D346" s="1665">
        <v>1450918004</v>
      </c>
      <c r="E346" s="1665">
        <v>1429186924</v>
      </c>
      <c r="F346" s="1665">
        <v>1450918004</v>
      </c>
      <c r="G346" s="1665">
        <v>1429186924</v>
      </c>
      <c r="H346" s="1665">
        <v>1450918004</v>
      </c>
      <c r="I346" s="1665">
        <v>1429186924</v>
      </c>
      <c r="J346" s="1665">
        <v>1450918004</v>
      </c>
      <c r="K346" s="1665">
        <v>1429186924</v>
      </c>
    </row>
    <row r="347" spans="1:11">
      <c r="A347" t="s">
        <v>5874</v>
      </c>
      <c r="B347" s="1417" t="s">
        <v>2438</v>
      </c>
      <c r="C347" s="1417" t="s">
        <v>7439</v>
      </c>
      <c r="D347" s="1665">
        <v>740502879</v>
      </c>
      <c r="E347" s="1665">
        <v>732962076</v>
      </c>
      <c r="F347" s="1665">
        <v>732771501</v>
      </c>
      <c r="G347" s="1665">
        <v>725230698</v>
      </c>
      <c r="H347" s="1665">
        <v>740502879</v>
      </c>
      <c r="I347" s="1665">
        <v>732962076</v>
      </c>
      <c r="J347" s="1665">
        <v>732771501</v>
      </c>
      <c r="K347" s="1665">
        <v>725230698</v>
      </c>
    </row>
    <row r="348" spans="1:11">
      <c r="A348" t="s">
        <v>5875</v>
      </c>
      <c r="B348" s="1417" t="s">
        <v>2439</v>
      </c>
      <c r="C348" s="1417" t="s">
        <v>7440</v>
      </c>
      <c r="D348" s="1665">
        <v>201431690</v>
      </c>
      <c r="E348" s="1665">
        <v>198683060</v>
      </c>
      <c r="F348" s="1665">
        <v>201431690</v>
      </c>
      <c r="G348" s="1665">
        <v>198683060</v>
      </c>
      <c r="H348" s="1665">
        <v>201431690</v>
      </c>
      <c r="I348" s="1665">
        <v>198683060</v>
      </c>
      <c r="J348" s="1665">
        <v>201431690</v>
      </c>
      <c r="K348" s="1665">
        <v>198683060</v>
      </c>
    </row>
    <row r="349" spans="1:11">
      <c r="A349" t="s">
        <v>5876</v>
      </c>
      <c r="B349" s="1417" t="s">
        <v>1852</v>
      </c>
      <c r="C349" s="1417" t="s">
        <v>7441</v>
      </c>
      <c r="D349" s="1665">
        <v>96550580</v>
      </c>
      <c r="E349" s="1665">
        <v>96550580</v>
      </c>
      <c r="F349" s="1665">
        <v>96550580</v>
      </c>
      <c r="G349" s="1665">
        <v>96550580</v>
      </c>
      <c r="H349" s="1665">
        <v>96550580</v>
      </c>
      <c r="I349" s="1665">
        <v>96550580</v>
      </c>
      <c r="J349" s="1665">
        <v>96550580</v>
      </c>
      <c r="K349" s="1665">
        <v>96550580</v>
      </c>
    </row>
    <row r="350" spans="1:11">
      <c r="A350" t="s">
        <v>5877</v>
      </c>
      <c r="B350" s="1417" t="s">
        <v>1853</v>
      </c>
      <c r="C350" s="1417" t="s">
        <v>7442</v>
      </c>
      <c r="D350" s="1665">
        <v>100244807</v>
      </c>
      <c r="E350" s="1665">
        <v>100033187</v>
      </c>
      <c r="F350" s="1665">
        <v>100244807</v>
      </c>
      <c r="G350" s="1665">
        <v>100033187</v>
      </c>
      <c r="H350" s="1665">
        <v>100244807</v>
      </c>
      <c r="I350" s="1665">
        <v>100033187</v>
      </c>
      <c r="J350" s="1665">
        <v>100244807</v>
      </c>
      <c r="K350" s="1665">
        <v>100033187</v>
      </c>
    </row>
    <row r="351" spans="1:11">
      <c r="A351" t="s">
        <v>3518</v>
      </c>
      <c r="B351" s="1417" t="s">
        <v>2021</v>
      </c>
      <c r="C351" s="1417" t="s">
        <v>7443</v>
      </c>
      <c r="D351" s="1665">
        <v>1088529424</v>
      </c>
      <c r="E351" s="1665">
        <v>1088171114</v>
      </c>
      <c r="F351" s="1665">
        <v>1088529424</v>
      </c>
      <c r="G351" s="1665">
        <v>1088171114</v>
      </c>
      <c r="H351" s="1665">
        <v>1088529424</v>
      </c>
      <c r="I351" s="1665">
        <v>1088171114</v>
      </c>
      <c r="J351" s="1665">
        <v>1088529424</v>
      </c>
      <c r="K351" s="1665">
        <v>1088171114</v>
      </c>
    </row>
    <row r="352" spans="1:11">
      <c r="A352" t="s">
        <v>5878</v>
      </c>
      <c r="B352" s="1417" t="s">
        <v>2033</v>
      </c>
      <c r="C352" s="1417" t="s">
        <v>7444</v>
      </c>
      <c r="D352" s="1665">
        <v>97499589</v>
      </c>
      <c r="E352" s="1665">
        <v>97499589</v>
      </c>
      <c r="F352" s="1665">
        <v>97499589</v>
      </c>
      <c r="G352" s="1665">
        <v>97499589</v>
      </c>
      <c r="H352" s="1665">
        <v>166686729</v>
      </c>
      <c r="I352" s="1665">
        <v>166686729</v>
      </c>
      <c r="J352" s="1665">
        <v>166686729</v>
      </c>
      <c r="K352" s="1665">
        <v>166686729</v>
      </c>
    </row>
    <row r="353" spans="1:11">
      <c r="A353" t="s">
        <v>3519</v>
      </c>
      <c r="B353" s="1417" t="s">
        <v>1684</v>
      </c>
      <c r="C353" s="1417" t="s">
        <v>7445</v>
      </c>
      <c r="D353" s="1665">
        <v>255761643</v>
      </c>
      <c r="E353" s="1665">
        <v>246457052</v>
      </c>
      <c r="F353" s="1665">
        <v>255761643</v>
      </c>
      <c r="G353" s="1665">
        <v>246457052</v>
      </c>
      <c r="H353" s="1665">
        <v>255761643</v>
      </c>
      <c r="I353" s="1665">
        <v>246457052</v>
      </c>
      <c r="J353" s="1665">
        <v>255761643</v>
      </c>
      <c r="K353" s="1665">
        <v>246457052</v>
      </c>
    </row>
    <row r="354" spans="1:11">
      <c r="A354" t="s">
        <v>4707</v>
      </c>
      <c r="B354" s="1417" t="s">
        <v>981</v>
      </c>
      <c r="C354" s="1417" t="s">
        <v>7446</v>
      </c>
      <c r="D354" s="1665">
        <v>195905234</v>
      </c>
      <c r="E354" s="1665">
        <v>189275433</v>
      </c>
      <c r="F354" s="1665">
        <v>195905234</v>
      </c>
      <c r="G354" s="1665">
        <v>189275433</v>
      </c>
      <c r="H354" s="1665">
        <v>195905234</v>
      </c>
      <c r="I354" s="1665">
        <v>189275433</v>
      </c>
      <c r="J354" s="1665">
        <v>195905234</v>
      </c>
      <c r="K354" s="1665">
        <v>189275433</v>
      </c>
    </row>
    <row r="355" spans="1:11">
      <c r="A355" t="s">
        <v>5879</v>
      </c>
      <c r="B355" s="1417" t="s">
        <v>982</v>
      </c>
      <c r="C355" s="1417" t="s">
        <v>7447</v>
      </c>
      <c r="D355" s="1665">
        <v>1868886965</v>
      </c>
      <c r="E355" s="1665">
        <v>1812734400</v>
      </c>
      <c r="F355" s="1665">
        <v>1868886965</v>
      </c>
      <c r="G355" s="1665">
        <v>1812734400</v>
      </c>
      <c r="H355" s="1665">
        <v>1868886965</v>
      </c>
      <c r="I355" s="1665">
        <v>1812734400</v>
      </c>
      <c r="J355" s="1665">
        <v>1868886965</v>
      </c>
      <c r="K355" s="1665">
        <v>1812734400</v>
      </c>
    </row>
    <row r="356" spans="1:11">
      <c r="A356" t="s">
        <v>3520</v>
      </c>
      <c r="B356" s="1417" t="s">
        <v>1115</v>
      </c>
      <c r="C356" s="1417" t="s">
        <v>7448</v>
      </c>
      <c r="D356" s="1665">
        <v>320037263</v>
      </c>
      <c r="E356" s="1665">
        <v>309422309</v>
      </c>
      <c r="F356" s="1665">
        <v>320037263</v>
      </c>
      <c r="G356" s="1665">
        <v>309422309</v>
      </c>
      <c r="H356" s="1665">
        <v>320037263</v>
      </c>
      <c r="I356" s="1665">
        <v>309422309</v>
      </c>
      <c r="J356" s="1665">
        <v>320037263</v>
      </c>
      <c r="K356" s="1665">
        <v>309422309</v>
      </c>
    </row>
    <row r="357" spans="1:11">
      <c r="A357" t="s">
        <v>3521</v>
      </c>
      <c r="B357" s="1417" t="s">
        <v>793</v>
      </c>
      <c r="C357" s="1417" t="s">
        <v>7449</v>
      </c>
      <c r="D357" s="1665">
        <v>3187216126</v>
      </c>
      <c r="E357" s="1665">
        <v>3119770527</v>
      </c>
      <c r="F357" s="1665">
        <v>3187216126</v>
      </c>
      <c r="G357" s="1665">
        <v>3119770527</v>
      </c>
      <c r="H357" s="1665">
        <v>3187216126</v>
      </c>
      <c r="I357" s="1665">
        <v>3119770527</v>
      </c>
      <c r="J357" s="1665">
        <v>3187216126</v>
      </c>
      <c r="K357" s="1665">
        <v>3119770527</v>
      </c>
    </row>
    <row r="358" spans="1:11">
      <c r="A358" t="s">
        <v>5880</v>
      </c>
      <c r="B358" s="1417" t="s">
        <v>794</v>
      </c>
      <c r="C358" s="1417" t="s">
        <v>7450</v>
      </c>
      <c r="D358" s="1665">
        <v>114461108</v>
      </c>
      <c r="E358" s="1665">
        <v>110850334</v>
      </c>
      <c r="F358" s="1665">
        <v>114461108</v>
      </c>
      <c r="G358" s="1665">
        <v>110850334</v>
      </c>
      <c r="H358" s="1665">
        <v>114461108</v>
      </c>
      <c r="I358" s="1665">
        <v>110850334</v>
      </c>
      <c r="J358" s="1665">
        <v>114461108</v>
      </c>
      <c r="K358" s="1665">
        <v>110850334</v>
      </c>
    </row>
    <row r="359" spans="1:11">
      <c r="A359" t="s">
        <v>3522</v>
      </c>
      <c r="B359" s="1417" t="s">
        <v>1236</v>
      </c>
      <c r="C359" s="1417" t="s">
        <v>7451</v>
      </c>
      <c r="D359" s="1665">
        <v>709035443</v>
      </c>
      <c r="E359" s="1665">
        <v>690257219</v>
      </c>
      <c r="F359" s="1665">
        <v>709035443</v>
      </c>
      <c r="G359" s="1665">
        <v>690257219</v>
      </c>
      <c r="H359" s="1665">
        <v>709035443</v>
      </c>
      <c r="I359" s="1665">
        <v>690257219</v>
      </c>
      <c r="J359" s="1665">
        <v>709035443</v>
      </c>
      <c r="K359" s="1665">
        <v>690257219</v>
      </c>
    </row>
    <row r="360" spans="1:11">
      <c r="A360" t="s">
        <v>3523</v>
      </c>
      <c r="B360" s="1417" t="s">
        <v>1237</v>
      </c>
      <c r="C360" s="1417" t="s">
        <v>7452</v>
      </c>
      <c r="D360" s="1665">
        <v>831861614</v>
      </c>
      <c r="E360" s="1665">
        <v>809921381</v>
      </c>
      <c r="F360" s="1665">
        <v>831861614</v>
      </c>
      <c r="G360" s="1665">
        <v>809921381</v>
      </c>
      <c r="H360" s="1665">
        <v>831861614</v>
      </c>
      <c r="I360" s="1665">
        <v>809921381</v>
      </c>
      <c r="J360" s="1665">
        <v>831861614</v>
      </c>
      <c r="K360" s="1665">
        <v>809921381</v>
      </c>
    </row>
    <row r="361" spans="1:11">
      <c r="A361" t="s">
        <v>5881</v>
      </c>
      <c r="B361" s="1417" t="s">
        <v>1463</v>
      </c>
      <c r="C361" s="1417" t="s">
        <v>7453</v>
      </c>
      <c r="D361" s="1665">
        <v>274286745</v>
      </c>
      <c r="E361" s="1665">
        <v>265703312</v>
      </c>
      <c r="F361" s="1665">
        <v>274286745</v>
      </c>
      <c r="G361" s="1665">
        <v>265703312</v>
      </c>
      <c r="H361" s="1665">
        <v>274286745</v>
      </c>
      <c r="I361" s="1665">
        <v>265703312</v>
      </c>
      <c r="J361" s="1665">
        <v>274286745</v>
      </c>
      <c r="K361" s="1665">
        <v>265703312</v>
      </c>
    </row>
    <row r="362" spans="1:11">
      <c r="A362" t="s">
        <v>3524</v>
      </c>
      <c r="B362" s="1417" t="s">
        <v>215</v>
      </c>
      <c r="C362" s="1417" t="s">
        <v>7454</v>
      </c>
      <c r="D362" s="1665">
        <v>930713142</v>
      </c>
      <c r="E362" s="1665">
        <v>908564668</v>
      </c>
      <c r="F362" s="1665">
        <v>930713142</v>
      </c>
      <c r="G362" s="1665">
        <v>908564668</v>
      </c>
      <c r="H362" s="1665">
        <v>930713142</v>
      </c>
      <c r="I362" s="1665">
        <v>908564668</v>
      </c>
      <c r="J362" s="1665">
        <v>930713142</v>
      </c>
      <c r="K362" s="1665">
        <v>908564668</v>
      </c>
    </row>
    <row r="363" spans="1:11">
      <c r="A363" t="s">
        <v>5882</v>
      </c>
      <c r="B363" s="1417" t="s">
        <v>2582</v>
      </c>
      <c r="C363" s="1417" t="s">
        <v>7455</v>
      </c>
      <c r="D363" s="1665">
        <v>425170606</v>
      </c>
      <c r="E363" s="1665">
        <v>412681143</v>
      </c>
      <c r="F363" s="1665">
        <v>425170606</v>
      </c>
      <c r="G363" s="1665">
        <v>412681143</v>
      </c>
      <c r="H363" s="1665">
        <v>425170606</v>
      </c>
      <c r="I363" s="1665">
        <v>412681143</v>
      </c>
      <c r="J363" s="1665">
        <v>425170606</v>
      </c>
      <c r="K363" s="1665">
        <v>412681143</v>
      </c>
    </row>
    <row r="364" spans="1:11">
      <c r="A364" t="s">
        <v>3525</v>
      </c>
      <c r="B364" s="1417" t="s">
        <v>1308</v>
      </c>
      <c r="C364" s="1417" t="s">
        <v>7456</v>
      </c>
      <c r="D364" s="1665">
        <v>346840177</v>
      </c>
      <c r="E364" s="1665">
        <v>339632992</v>
      </c>
      <c r="F364" s="1665">
        <v>346840177</v>
      </c>
      <c r="G364" s="1665">
        <v>339632992</v>
      </c>
      <c r="H364" s="1665">
        <v>346840177</v>
      </c>
      <c r="I364" s="1665">
        <v>339632992</v>
      </c>
      <c r="J364" s="1665">
        <v>346840177</v>
      </c>
      <c r="K364" s="1665">
        <v>339632992</v>
      </c>
    </row>
    <row r="365" spans="1:11">
      <c r="A365" t="s">
        <v>5883</v>
      </c>
      <c r="B365" s="1417" t="s">
        <v>1286</v>
      </c>
      <c r="C365" s="1417" t="s">
        <v>7457</v>
      </c>
      <c r="D365" s="1665">
        <v>243619853</v>
      </c>
      <c r="E365" s="1665">
        <v>233685977</v>
      </c>
      <c r="F365" s="1665">
        <v>243619853</v>
      </c>
      <c r="G365" s="1665">
        <v>233685977</v>
      </c>
      <c r="H365" s="1665">
        <v>243619853</v>
      </c>
      <c r="I365" s="1665">
        <v>233685977</v>
      </c>
      <c r="J365" s="1665">
        <v>243619853</v>
      </c>
      <c r="K365" s="1665">
        <v>233685977</v>
      </c>
    </row>
    <row r="366" spans="1:11">
      <c r="A366" t="s">
        <v>5884</v>
      </c>
      <c r="B366" s="1417" t="s">
        <v>1287</v>
      </c>
      <c r="C366" s="1417" t="s">
        <v>7458</v>
      </c>
      <c r="D366" s="1665">
        <v>542999290</v>
      </c>
      <c r="E366" s="1665">
        <v>520697830</v>
      </c>
      <c r="F366" s="1665">
        <v>516511457</v>
      </c>
      <c r="G366" s="1665">
        <v>494209997</v>
      </c>
      <c r="H366" s="1665">
        <v>542999290</v>
      </c>
      <c r="I366" s="1665">
        <v>520697830</v>
      </c>
      <c r="J366" s="1665">
        <v>516511457</v>
      </c>
      <c r="K366" s="1665">
        <v>494209997</v>
      </c>
    </row>
    <row r="367" spans="1:11">
      <c r="A367" t="s">
        <v>5885</v>
      </c>
      <c r="B367" s="1417" t="s">
        <v>1288</v>
      </c>
      <c r="C367" s="1417" t="s">
        <v>7459</v>
      </c>
      <c r="D367" s="1665">
        <v>1609883066</v>
      </c>
      <c r="E367" s="1665">
        <v>1589595411</v>
      </c>
      <c r="F367" s="1665">
        <v>1609883066</v>
      </c>
      <c r="G367" s="1665">
        <v>1589595411</v>
      </c>
      <c r="H367" s="1665">
        <v>1609883066</v>
      </c>
      <c r="I367" s="1665">
        <v>1589595411</v>
      </c>
      <c r="J367" s="1665">
        <v>1609883066</v>
      </c>
      <c r="K367" s="1665">
        <v>1589595411</v>
      </c>
    </row>
    <row r="368" spans="1:11">
      <c r="A368" t="s">
        <v>4728</v>
      </c>
      <c r="B368" s="1417" t="s">
        <v>457</v>
      </c>
      <c r="C368" s="1417" t="s">
        <v>7460</v>
      </c>
      <c r="D368" s="1665">
        <v>4302119822</v>
      </c>
      <c r="E368" s="1665">
        <v>4204113560</v>
      </c>
      <c r="F368" s="1665">
        <v>4302119822</v>
      </c>
      <c r="G368" s="1665">
        <v>4204113560</v>
      </c>
      <c r="H368" s="1665">
        <v>4302119822</v>
      </c>
      <c r="I368" s="1665">
        <v>4204113560</v>
      </c>
      <c r="J368" s="1665">
        <v>4302119822</v>
      </c>
      <c r="K368" s="1665">
        <v>4204113560</v>
      </c>
    </row>
    <row r="369" spans="1:11">
      <c r="A369" t="s">
        <v>5886</v>
      </c>
      <c r="B369" s="1417" t="s">
        <v>2189</v>
      </c>
      <c r="C369" s="1417" t="s">
        <v>7461</v>
      </c>
      <c r="D369" s="1665">
        <v>1660091436</v>
      </c>
      <c r="E369" s="1665">
        <v>1611525493</v>
      </c>
      <c r="F369" s="1665">
        <v>1583721023</v>
      </c>
      <c r="G369" s="1665">
        <v>1535155080</v>
      </c>
      <c r="H369" s="1665">
        <v>1660091436</v>
      </c>
      <c r="I369" s="1665">
        <v>1611525493</v>
      </c>
      <c r="J369" s="1665">
        <v>1583721023</v>
      </c>
      <c r="K369" s="1665">
        <v>1535155080</v>
      </c>
    </row>
    <row r="370" spans="1:11">
      <c r="A370" t="s">
        <v>5887</v>
      </c>
      <c r="B370" s="1417" t="s">
        <v>2639</v>
      </c>
      <c r="C370" s="1417" t="s">
        <v>7462</v>
      </c>
      <c r="D370" s="1665">
        <v>445341471</v>
      </c>
      <c r="E370" s="1665">
        <v>431491051</v>
      </c>
      <c r="F370" s="1665">
        <v>423392459</v>
      </c>
      <c r="G370" s="1665">
        <v>409542039</v>
      </c>
      <c r="H370" s="1665">
        <v>445341471</v>
      </c>
      <c r="I370" s="1665">
        <v>431491051</v>
      </c>
      <c r="J370" s="1665">
        <v>423392459</v>
      </c>
      <c r="K370" s="1665">
        <v>409542039</v>
      </c>
    </row>
    <row r="371" spans="1:11">
      <c r="A371" t="s">
        <v>3526</v>
      </c>
      <c r="B371" s="1417" t="s">
        <v>1509</v>
      </c>
      <c r="C371" s="1417" t="s">
        <v>7463</v>
      </c>
      <c r="D371" s="1665">
        <v>548437582</v>
      </c>
      <c r="E371" s="1665">
        <v>529060342</v>
      </c>
      <c r="F371" s="1665">
        <v>516865035</v>
      </c>
      <c r="G371" s="1665">
        <v>497487795</v>
      </c>
      <c r="H371" s="1665">
        <v>548437582</v>
      </c>
      <c r="I371" s="1665">
        <v>529060342</v>
      </c>
      <c r="J371" s="1665">
        <v>516865035</v>
      </c>
      <c r="K371" s="1665">
        <v>497487795</v>
      </c>
    </row>
    <row r="372" spans="1:11">
      <c r="A372" t="s">
        <v>5888</v>
      </c>
      <c r="B372" s="1417" t="s">
        <v>2640</v>
      </c>
      <c r="C372" s="1417" t="s">
        <v>7464</v>
      </c>
      <c r="D372" s="1665">
        <v>369319461</v>
      </c>
      <c r="E372" s="1665">
        <v>355137086</v>
      </c>
      <c r="F372" s="1665">
        <v>346470076</v>
      </c>
      <c r="G372" s="1665">
        <v>332287701</v>
      </c>
      <c r="H372" s="1665">
        <v>369319461</v>
      </c>
      <c r="I372" s="1665">
        <v>355137086</v>
      </c>
      <c r="J372" s="1665">
        <v>346470076</v>
      </c>
      <c r="K372" s="1665">
        <v>332287701</v>
      </c>
    </row>
    <row r="373" spans="1:11">
      <c r="A373" t="s">
        <v>5889</v>
      </c>
      <c r="B373" s="1417" t="s">
        <v>2641</v>
      </c>
      <c r="C373" s="1417" t="s">
        <v>7465</v>
      </c>
      <c r="D373" s="1665">
        <v>617936336</v>
      </c>
      <c r="E373" s="1665">
        <v>609383763</v>
      </c>
      <c r="F373" s="1665">
        <v>617936336</v>
      </c>
      <c r="G373" s="1665">
        <v>609383763</v>
      </c>
      <c r="H373" s="1665">
        <v>617936336</v>
      </c>
      <c r="I373" s="1665">
        <v>609383763</v>
      </c>
      <c r="J373" s="1665">
        <v>617936336</v>
      </c>
      <c r="K373" s="1665">
        <v>609383763</v>
      </c>
    </row>
    <row r="374" spans="1:11">
      <c r="A374" t="s">
        <v>3527</v>
      </c>
      <c r="B374" s="1417" t="s">
        <v>2642</v>
      </c>
      <c r="C374" s="1417" t="s">
        <v>7466</v>
      </c>
      <c r="D374" s="1665">
        <v>337649623</v>
      </c>
      <c r="E374" s="1665">
        <v>330537779</v>
      </c>
      <c r="F374" s="1665">
        <v>337649623</v>
      </c>
      <c r="G374" s="1665">
        <v>330537779</v>
      </c>
      <c r="H374" s="1665">
        <v>337649623</v>
      </c>
      <c r="I374" s="1665">
        <v>330537779</v>
      </c>
      <c r="J374" s="1665">
        <v>337649623</v>
      </c>
      <c r="K374" s="1665">
        <v>330537779</v>
      </c>
    </row>
    <row r="375" spans="1:11">
      <c r="A375" t="s">
        <v>5890</v>
      </c>
      <c r="B375" s="1417" t="s">
        <v>2643</v>
      </c>
      <c r="C375" s="1417" t="s">
        <v>7467</v>
      </c>
      <c r="D375" s="1665">
        <v>1759840408</v>
      </c>
      <c r="E375" s="1665">
        <v>1726487313</v>
      </c>
      <c r="F375" s="1665">
        <v>1701828137</v>
      </c>
      <c r="G375" s="1665">
        <v>1668475042</v>
      </c>
      <c r="H375" s="1665">
        <v>1759840408</v>
      </c>
      <c r="I375" s="1665">
        <v>1726487313</v>
      </c>
      <c r="J375" s="1665">
        <v>1701828137</v>
      </c>
      <c r="K375" s="1665">
        <v>1668475042</v>
      </c>
    </row>
    <row r="376" spans="1:11">
      <c r="A376" t="s">
        <v>6725</v>
      </c>
      <c r="B376" s="1417" t="s">
        <v>2142</v>
      </c>
      <c r="C376" s="1417" t="s">
        <v>7468</v>
      </c>
      <c r="D376" s="1665">
        <v>160234506</v>
      </c>
      <c r="E376" s="1665">
        <v>156275238</v>
      </c>
      <c r="F376" s="1665">
        <v>160234506</v>
      </c>
      <c r="G376" s="1665">
        <v>156275238</v>
      </c>
      <c r="H376" s="1665">
        <v>160234506</v>
      </c>
      <c r="I376" s="1665">
        <v>156275238</v>
      </c>
      <c r="J376" s="1665">
        <v>160234506</v>
      </c>
      <c r="K376" s="1665">
        <v>156275238</v>
      </c>
    </row>
    <row r="377" spans="1:11">
      <c r="A377" t="s">
        <v>3528</v>
      </c>
      <c r="B377" s="1417" t="s">
        <v>495</v>
      </c>
      <c r="C377" s="1417" t="s">
        <v>7469</v>
      </c>
      <c r="D377" s="1665">
        <v>3423428316</v>
      </c>
      <c r="E377" s="1665">
        <v>3340451272</v>
      </c>
      <c r="F377" s="1665">
        <v>3423428316</v>
      </c>
      <c r="G377" s="1665">
        <v>3340451272</v>
      </c>
      <c r="H377" s="1665">
        <v>3517202516</v>
      </c>
      <c r="I377" s="1665">
        <v>3434225472</v>
      </c>
      <c r="J377" s="1665">
        <v>3517202516</v>
      </c>
      <c r="K377" s="1665">
        <v>3434225472</v>
      </c>
    </row>
    <row r="378" spans="1:11">
      <c r="A378" t="s">
        <v>3529</v>
      </c>
      <c r="B378" s="1417" t="s">
        <v>493</v>
      </c>
      <c r="C378" s="1417" t="s">
        <v>7470</v>
      </c>
      <c r="D378" s="1665">
        <v>5728312938</v>
      </c>
      <c r="E378" s="1665">
        <v>5552487869</v>
      </c>
      <c r="F378" s="1665">
        <v>5728312938</v>
      </c>
      <c r="G378" s="1665">
        <v>5552487869</v>
      </c>
      <c r="H378" s="1665">
        <v>5728312938</v>
      </c>
      <c r="I378" s="1665">
        <v>5552487869</v>
      </c>
      <c r="J378" s="1665">
        <v>5728312938</v>
      </c>
      <c r="K378" s="1665">
        <v>5552487869</v>
      </c>
    </row>
    <row r="379" spans="1:11">
      <c r="A379" t="s">
        <v>3530</v>
      </c>
      <c r="B379" s="1417" t="s">
        <v>2143</v>
      </c>
      <c r="C379" s="1417" t="s">
        <v>7471</v>
      </c>
      <c r="D379" s="1665">
        <v>1004342328</v>
      </c>
      <c r="E379" s="1665">
        <v>984554081</v>
      </c>
      <c r="F379" s="1665">
        <v>1004342328</v>
      </c>
      <c r="G379" s="1665">
        <v>984554081</v>
      </c>
      <c r="H379" s="1665">
        <v>1004342328</v>
      </c>
      <c r="I379" s="1665">
        <v>984554081</v>
      </c>
      <c r="J379" s="1665">
        <v>1004342328</v>
      </c>
      <c r="K379" s="1665">
        <v>984554081</v>
      </c>
    </row>
    <row r="380" spans="1:11">
      <c r="A380" t="s">
        <v>4755</v>
      </c>
      <c r="B380" s="1417" t="s">
        <v>349</v>
      </c>
      <c r="C380" s="1417" t="s">
        <v>7472</v>
      </c>
      <c r="D380" s="1665">
        <v>689233473</v>
      </c>
      <c r="E380" s="1665">
        <v>671695068</v>
      </c>
      <c r="F380" s="1665">
        <v>689233473</v>
      </c>
      <c r="G380" s="1665">
        <v>671695068</v>
      </c>
      <c r="H380" s="1665">
        <v>689233473</v>
      </c>
      <c r="I380" s="1665">
        <v>671695068</v>
      </c>
      <c r="J380" s="1665">
        <v>689233473</v>
      </c>
      <c r="K380" s="1665">
        <v>671695068</v>
      </c>
    </row>
    <row r="381" spans="1:11">
      <c r="A381" t="s">
        <v>5891</v>
      </c>
      <c r="B381" s="1417" t="s">
        <v>2144</v>
      </c>
      <c r="C381" s="1417" t="s">
        <v>7473</v>
      </c>
      <c r="D381" s="1665">
        <v>595923986</v>
      </c>
      <c r="E381" s="1665">
        <v>588986117</v>
      </c>
      <c r="F381" s="1665">
        <v>595923986</v>
      </c>
      <c r="G381" s="1665">
        <v>588986117</v>
      </c>
      <c r="H381" s="1665">
        <v>595923986</v>
      </c>
      <c r="I381" s="1665">
        <v>588986117</v>
      </c>
      <c r="J381" s="1665">
        <v>595923986</v>
      </c>
      <c r="K381" s="1665">
        <v>588986117</v>
      </c>
    </row>
    <row r="382" spans="1:11">
      <c r="A382" t="s">
        <v>6726</v>
      </c>
      <c r="B382" s="1417" t="s">
        <v>2145</v>
      </c>
      <c r="C382" s="1417" t="s">
        <v>7474</v>
      </c>
      <c r="D382" s="1665">
        <v>37078541</v>
      </c>
      <c r="E382" s="1665">
        <v>36568005</v>
      </c>
      <c r="F382" s="1665">
        <v>37078541</v>
      </c>
      <c r="G382" s="1665">
        <v>36568005</v>
      </c>
      <c r="H382" s="1665">
        <v>37078541</v>
      </c>
      <c r="I382" s="1665">
        <v>36568005</v>
      </c>
      <c r="J382" s="1665">
        <v>37078541</v>
      </c>
      <c r="K382" s="1665">
        <v>36568005</v>
      </c>
    </row>
    <row r="383" spans="1:11">
      <c r="A383" t="s">
        <v>5892</v>
      </c>
      <c r="B383" s="1417" t="s">
        <v>505</v>
      </c>
      <c r="C383" s="1417" t="s">
        <v>7475</v>
      </c>
      <c r="D383" s="1665">
        <v>94521459</v>
      </c>
      <c r="E383" s="1665">
        <v>89970011</v>
      </c>
      <c r="F383" s="1665">
        <v>94521459</v>
      </c>
      <c r="G383" s="1665">
        <v>89970011</v>
      </c>
      <c r="H383" s="1665">
        <v>94521459</v>
      </c>
      <c r="I383" s="1665">
        <v>89970011</v>
      </c>
      <c r="J383" s="1665">
        <v>94521459</v>
      </c>
      <c r="K383" s="1665">
        <v>89970011</v>
      </c>
    </row>
    <row r="384" spans="1:11">
      <c r="A384" t="s">
        <v>6727</v>
      </c>
      <c r="B384" s="1417" t="s">
        <v>1955</v>
      </c>
      <c r="C384" s="1417" t="s">
        <v>7476</v>
      </c>
      <c r="D384" s="1665">
        <v>73199217</v>
      </c>
      <c r="E384" s="1665">
        <v>70628262</v>
      </c>
      <c r="F384" s="1665">
        <v>73199217</v>
      </c>
      <c r="G384" s="1665">
        <v>70628262</v>
      </c>
      <c r="H384" s="1665">
        <v>73199217</v>
      </c>
      <c r="I384" s="1665">
        <v>70628262</v>
      </c>
      <c r="J384" s="1665">
        <v>73199217</v>
      </c>
      <c r="K384" s="1665">
        <v>70628262</v>
      </c>
    </row>
    <row r="385" spans="1:11">
      <c r="A385" t="s">
        <v>6728</v>
      </c>
      <c r="B385" s="1417" t="s">
        <v>2072</v>
      </c>
      <c r="C385" s="1417" t="s">
        <v>7477</v>
      </c>
      <c r="D385" s="1665">
        <v>1364180276</v>
      </c>
      <c r="E385" s="1665">
        <v>1322105496</v>
      </c>
      <c r="F385" s="1665">
        <v>1364180276</v>
      </c>
      <c r="G385" s="1665">
        <v>1322105496</v>
      </c>
      <c r="H385" s="1665">
        <v>1364180276</v>
      </c>
      <c r="I385" s="1665">
        <v>1322105496</v>
      </c>
      <c r="J385" s="1665">
        <v>1364180276</v>
      </c>
      <c r="K385" s="1665">
        <v>1322105496</v>
      </c>
    </row>
    <row r="386" spans="1:11">
      <c r="A386" t="s">
        <v>6729</v>
      </c>
      <c r="B386" s="1417" t="s">
        <v>2073</v>
      </c>
      <c r="C386" s="1417" t="s">
        <v>7478</v>
      </c>
      <c r="D386" s="1665">
        <v>166688549</v>
      </c>
      <c r="E386" s="1665">
        <v>162505809</v>
      </c>
      <c r="F386" s="1665">
        <v>166688549</v>
      </c>
      <c r="G386" s="1665">
        <v>162505809</v>
      </c>
      <c r="H386" s="1665">
        <v>166688549</v>
      </c>
      <c r="I386" s="1665">
        <v>162505809</v>
      </c>
      <c r="J386" s="1665">
        <v>166688549</v>
      </c>
      <c r="K386" s="1665">
        <v>162505809</v>
      </c>
    </row>
    <row r="387" spans="1:11">
      <c r="A387" t="s">
        <v>5893</v>
      </c>
      <c r="B387" s="1417" t="s">
        <v>146</v>
      </c>
      <c r="C387" s="1417" t="s">
        <v>7479</v>
      </c>
      <c r="D387" s="1665">
        <v>80247294</v>
      </c>
      <c r="E387" s="1665">
        <v>78558934</v>
      </c>
      <c r="F387" s="1665">
        <v>80247294</v>
      </c>
      <c r="G387" s="1665">
        <v>78558934</v>
      </c>
      <c r="H387" s="1665">
        <v>80247294</v>
      </c>
      <c r="I387" s="1665">
        <v>78558934</v>
      </c>
      <c r="J387" s="1665">
        <v>80247294</v>
      </c>
      <c r="K387" s="1665">
        <v>78558934</v>
      </c>
    </row>
    <row r="388" spans="1:11">
      <c r="A388" t="s">
        <v>5894</v>
      </c>
      <c r="B388" s="1417" t="s">
        <v>147</v>
      </c>
      <c r="C388" s="1417" t="s">
        <v>7480</v>
      </c>
      <c r="D388" s="1665">
        <v>326502169</v>
      </c>
      <c r="E388" s="1665">
        <v>313491088</v>
      </c>
      <c r="F388" s="1665">
        <v>326502169</v>
      </c>
      <c r="G388" s="1665">
        <v>313491088</v>
      </c>
      <c r="H388" s="1665">
        <v>326502169</v>
      </c>
      <c r="I388" s="1665">
        <v>313491088</v>
      </c>
      <c r="J388" s="1665">
        <v>326502169</v>
      </c>
      <c r="K388" s="1665">
        <v>313491088</v>
      </c>
    </row>
    <row r="389" spans="1:11">
      <c r="A389" t="s">
        <v>3531</v>
      </c>
      <c r="B389" s="1417" t="s">
        <v>2507</v>
      </c>
      <c r="C389" s="1417" t="s">
        <v>7481</v>
      </c>
      <c r="D389" s="1665">
        <v>187812261</v>
      </c>
      <c r="E389" s="1665">
        <v>180880016</v>
      </c>
      <c r="F389" s="1665">
        <v>187812261</v>
      </c>
      <c r="G389" s="1665">
        <v>180880016</v>
      </c>
      <c r="H389" s="1665">
        <v>187812261</v>
      </c>
      <c r="I389" s="1665">
        <v>180880016</v>
      </c>
      <c r="J389" s="1665">
        <v>187812261</v>
      </c>
      <c r="K389" s="1665">
        <v>180880016</v>
      </c>
    </row>
    <row r="390" spans="1:11">
      <c r="A390" t="s">
        <v>5895</v>
      </c>
      <c r="B390" s="1417" t="s">
        <v>2344</v>
      </c>
      <c r="C390" s="1417" t="s">
        <v>7482</v>
      </c>
      <c r="D390" s="1665">
        <v>270809897</v>
      </c>
      <c r="E390" s="1665">
        <v>270739897</v>
      </c>
      <c r="F390" s="1665">
        <v>270809897</v>
      </c>
      <c r="G390" s="1665">
        <v>270739897</v>
      </c>
      <c r="H390" s="1665">
        <v>270809897</v>
      </c>
      <c r="I390" s="1665">
        <v>270739897</v>
      </c>
      <c r="J390" s="1665">
        <v>270809897</v>
      </c>
      <c r="K390" s="1665">
        <v>270739897</v>
      </c>
    </row>
    <row r="391" spans="1:11">
      <c r="A391" t="s">
        <v>5896</v>
      </c>
      <c r="B391" s="1417" t="s">
        <v>1120</v>
      </c>
      <c r="C391" s="1417" t="s">
        <v>7483</v>
      </c>
      <c r="D391" s="1665">
        <v>119084615</v>
      </c>
      <c r="E391" s="1665">
        <v>118782955</v>
      </c>
      <c r="F391" s="1665">
        <v>118575883</v>
      </c>
      <c r="G391" s="1665">
        <v>118274223</v>
      </c>
      <c r="H391" s="1665">
        <v>119084615</v>
      </c>
      <c r="I391" s="1665">
        <v>118782955</v>
      </c>
      <c r="J391" s="1665">
        <v>118575883</v>
      </c>
      <c r="K391" s="1665">
        <v>118274223</v>
      </c>
    </row>
    <row r="392" spans="1:11">
      <c r="A392" t="s">
        <v>5897</v>
      </c>
      <c r="B392" s="1417" t="s">
        <v>1121</v>
      </c>
      <c r="C392" s="1417" t="s">
        <v>7484</v>
      </c>
      <c r="D392" s="1665">
        <v>377152082</v>
      </c>
      <c r="E392" s="1665">
        <v>376829052</v>
      </c>
      <c r="F392" s="1665">
        <v>377152082</v>
      </c>
      <c r="G392" s="1665">
        <v>376829052</v>
      </c>
      <c r="H392" s="1665">
        <v>399191592</v>
      </c>
      <c r="I392" s="1665">
        <v>398868562</v>
      </c>
      <c r="J392" s="1665">
        <v>399191592</v>
      </c>
      <c r="K392" s="1665">
        <v>398868562</v>
      </c>
    </row>
    <row r="393" spans="1:11">
      <c r="A393" t="s">
        <v>5898</v>
      </c>
      <c r="B393" s="1417" t="s">
        <v>2106</v>
      </c>
      <c r="C393" s="1417" t="s">
        <v>7485</v>
      </c>
      <c r="D393" s="1665">
        <v>120093016</v>
      </c>
      <c r="E393" s="1665">
        <v>118364186</v>
      </c>
      <c r="F393" s="1665">
        <v>120093016</v>
      </c>
      <c r="G393" s="1665">
        <v>118364186</v>
      </c>
      <c r="H393" s="1665">
        <v>170120496</v>
      </c>
      <c r="I393" s="1665">
        <v>168391666</v>
      </c>
      <c r="J393" s="1665">
        <v>170120496</v>
      </c>
      <c r="K393" s="1665">
        <v>168391666</v>
      </c>
    </row>
    <row r="394" spans="1:11">
      <c r="A394" t="s">
        <v>6730</v>
      </c>
      <c r="B394" s="1417" t="s">
        <v>2107</v>
      </c>
      <c r="C394" s="1417" t="s">
        <v>7486</v>
      </c>
      <c r="D394" s="1665">
        <v>298320478</v>
      </c>
      <c r="E394" s="1665">
        <v>293231168</v>
      </c>
      <c r="F394" s="1665">
        <v>298320478</v>
      </c>
      <c r="G394" s="1665">
        <v>293231168</v>
      </c>
      <c r="H394" s="1665">
        <v>298320478</v>
      </c>
      <c r="I394" s="1665">
        <v>293231168</v>
      </c>
      <c r="J394" s="1665">
        <v>298320478</v>
      </c>
      <c r="K394" s="1665">
        <v>293231168</v>
      </c>
    </row>
    <row r="395" spans="1:11">
      <c r="A395" t="s">
        <v>5899</v>
      </c>
      <c r="B395" s="1417" t="s">
        <v>1020</v>
      </c>
      <c r="C395" s="1417" t="s">
        <v>7487</v>
      </c>
      <c r="D395" s="1665">
        <v>389609661</v>
      </c>
      <c r="E395" s="1665">
        <v>372540701</v>
      </c>
      <c r="F395" s="1665">
        <v>380943996</v>
      </c>
      <c r="G395" s="1665">
        <v>363875036</v>
      </c>
      <c r="H395" s="1665">
        <v>389609661</v>
      </c>
      <c r="I395" s="1665">
        <v>372540701</v>
      </c>
      <c r="J395" s="1665">
        <v>380943996</v>
      </c>
      <c r="K395" s="1665">
        <v>363875036</v>
      </c>
    </row>
    <row r="396" spans="1:11">
      <c r="A396" t="s">
        <v>3532</v>
      </c>
      <c r="B396" s="1417" t="s">
        <v>1148</v>
      </c>
      <c r="C396" s="1417" t="s">
        <v>7488</v>
      </c>
      <c r="D396" s="1665">
        <v>876967121</v>
      </c>
      <c r="E396" s="1665">
        <v>840013852</v>
      </c>
      <c r="F396" s="1665">
        <v>876967121</v>
      </c>
      <c r="G396" s="1665">
        <v>840013852</v>
      </c>
      <c r="H396" s="1665">
        <v>876967121</v>
      </c>
      <c r="I396" s="1665">
        <v>840013852</v>
      </c>
      <c r="J396" s="1665">
        <v>876967121</v>
      </c>
      <c r="K396" s="1665">
        <v>840013852</v>
      </c>
    </row>
    <row r="397" spans="1:11">
      <c r="A397" t="s">
        <v>5900</v>
      </c>
      <c r="B397" s="1417" t="s">
        <v>381</v>
      </c>
      <c r="C397" s="1417" t="s">
        <v>7489</v>
      </c>
      <c r="D397" s="1665">
        <v>898019271</v>
      </c>
      <c r="E397" s="1665">
        <v>867716719</v>
      </c>
      <c r="F397" s="1665">
        <v>867989325</v>
      </c>
      <c r="G397" s="1665">
        <v>837686773</v>
      </c>
      <c r="H397" s="1665">
        <v>898019271</v>
      </c>
      <c r="I397" s="1665">
        <v>867716719</v>
      </c>
      <c r="J397" s="1665">
        <v>867989325</v>
      </c>
      <c r="K397" s="1665">
        <v>837686773</v>
      </c>
    </row>
    <row r="398" spans="1:11">
      <c r="A398" t="s">
        <v>3533</v>
      </c>
      <c r="B398" s="1417" t="s">
        <v>2285</v>
      </c>
      <c r="C398" s="1417" t="s">
        <v>7490</v>
      </c>
      <c r="D398" s="1665">
        <v>1206360500</v>
      </c>
      <c r="E398" s="1665">
        <v>1153646667</v>
      </c>
      <c r="F398" s="1665">
        <v>1206360500</v>
      </c>
      <c r="G398" s="1665">
        <v>1153646667</v>
      </c>
      <c r="H398" s="1665">
        <v>1206360500</v>
      </c>
      <c r="I398" s="1665">
        <v>1153646667</v>
      </c>
      <c r="J398" s="1665">
        <v>1206360500</v>
      </c>
      <c r="K398" s="1665">
        <v>1153646667</v>
      </c>
    </row>
    <row r="399" spans="1:11">
      <c r="A399" t="s">
        <v>3534</v>
      </c>
      <c r="B399" s="1417" t="s">
        <v>1179</v>
      </c>
      <c r="C399" s="1417" t="s">
        <v>7491</v>
      </c>
      <c r="D399" s="1665">
        <v>219152002</v>
      </c>
      <c r="E399" s="1665">
        <v>212051162</v>
      </c>
      <c r="F399" s="1665">
        <v>219152002</v>
      </c>
      <c r="G399" s="1665">
        <v>212051162</v>
      </c>
      <c r="H399" s="1665">
        <v>219152002</v>
      </c>
      <c r="I399" s="1665">
        <v>212051162</v>
      </c>
      <c r="J399" s="1665">
        <v>219152002</v>
      </c>
      <c r="K399" s="1665">
        <v>212051162</v>
      </c>
    </row>
    <row r="400" spans="1:11">
      <c r="A400" t="s">
        <v>3535</v>
      </c>
      <c r="B400" s="1417" t="s">
        <v>585</v>
      </c>
      <c r="C400" s="1417" t="s">
        <v>7492</v>
      </c>
      <c r="D400" s="1665">
        <v>19791531009</v>
      </c>
      <c r="E400" s="1665">
        <v>19462012263</v>
      </c>
      <c r="F400" s="1665">
        <v>19791531009</v>
      </c>
      <c r="G400" s="1665">
        <v>19462012263</v>
      </c>
      <c r="H400" s="1665">
        <v>19791531009</v>
      </c>
      <c r="I400" s="1665">
        <v>19462012263</v>
      </c>
      <c r="J400" s="1665">
        <v>19791531009</v>
      </c>
      <c r="K400" s="1665">
        <v>19462012263</v>
      </c>
    </row>
    <row r="401" spans="1:11">
      <c r="A401" t="s">
        <v>3536</v>
      </c>
      <c r="B401" s="1417" t="s">
        <v>194</v>
      </c>
      <c r="C401" s="1417" t="s">
        <v>7493</v>
      </c>
      <c r="D401" s="1665">
        <v>15693401016</v>
      </c>
      <c r="E401" s="1665">
        <v>15427051999</v>
      </c>
      <c r="F401" s="1665">
        <v>15693401016</v>
      </c>
      <c r="G401" s="1665">
        <v>15427051999</v>
      </c>
      <c r="H401" s="1665">
        <v>15693401016</v>
      </c>
      <c r="I401" s="1665">
        <v>15427051999</v>
      </c>
      <c r="J401" s="1665">
        <v>15693401016</v>
      </c>
      <c r="K401" s="1665">
        <v>15427051999</v>
      </c>
    </row>
    <row r="402" spans="1:11">
      <c r="A402" t="s">
        <v>3537</v>
      </c>
      <c r="B402" s="1417" t="s">
        <v>2313</v>
      </c>
      <c r="C402" s="1417" t="s">
        <v>7494</v>
      </c>
      <c r="D402" s="1665">
        <v>3521576081</v>
      </c>
      <c r="E402" s="1665">
        <v>3461861389</v>
      </c>
      <c r="F402" s="1665">
        <v>3521576081</v>
      </c>
      <c r="G402" s="1665">
        <v>3461861389</v>
      </c>
      <c r="H402" s="1665">
        <v>3521576081</v>
      </c>
      <c r="I402" s="1665">
        <v>3461861389</v>
      </c>
      <c r="J402" s="1665">
        <v>3521576081</v>
      </c>
      <c r="K402" s="1665">
        <v>3461861389</v>
      </c>
    </row>
    <row r="403" spans="1:11">
      <c r="A403" t="s">
        <v>3538</v>
      </c>
      <c r="B403" s="1417" t="s">
        <v>2404</v>
      </c>
      <c r="C403" s="1417" t="s">
        <v>7495</v>
      </c>
      <c r="D403" s="1665">
        <v>1927711016</v>
      </c>
      <c r="E403" s="1665">
        <v>1866330806</v>
      </c>
      <c r="F403" s="1665">
        <v>1927711016</v>
      </c>
      <c r="G403" s="1665">
        <v>1866330806</v>
      </c>
      <c r="H403" s="1665">
        <v>1927711016</v>
      </c>
      <c r="I403" s="1665">
        <v>1866330806</v>
      </c>
      <c r="J403" s="1665">
        <v>1927711016</v>
      </c>
      <c r="K403" s="1665">
        <v>1866330806</v>
      </c>
    </row>
    <row r="404" spans="1:11">
      <c r="A404" t="s">
        <v>5901</v>
      </c>
      <c r="B404" s="1417" t="s">
        <v>2314</v>
      </c>
      <c r="C404" s="1417" t="s">
        <v>7496</v>
      </c>
      <c r="D404" s="1665">
        <v>56245303645</v>
      </c>
      <c r="E404" s="1665">
        <v>55053123998</v>
      </c>
      <c r="F404" s="1665">
        <v>53597344263</v>
      </c>
      <c r="G404" s="1665">
        <v>52405164616</v>
      </c>
      <c r="H404" s="1665">
        <v>56245303645</v>
      </c>
      <c r="I404" s="1665">
        <v>55053123998</v>
      </c>
      <c r="J404" s="1665">
        <v>53597344263</v>
      </c>
      <c r="K404" s="1665">
        <v>52405164616</v>
      </c>
    </row>
    <row r="405" spans="1:11">
      <c r="A405" t="s">
        <v>5902</v>
      </c>
      <c r="B405" s="1417" t="s">
        <v>2166</v>
      </c>
      <c r="C405" s="1417" t="s">
        <v>7497</v>
      </c>
      <c r="D405" s="1665">
        <v>8386398184</v>
      </c>
      <c r="E405" s="1665">
        <v>8273876142</v>
      </c>
      <c r="F405" s="1665">
        <v>8187881753</v>
      </c>
      <c r="G405" s="1665">
        <v>8075359711</v>
      </c>
      <c r="H405" s="1665">
        <v>8667519144</v>
      </c>
      <c r="I405" s="1665">
        <v>8554997102</v>
      </c>
      <c r="J405" s="1665">
        <v>8469002713</v>
      </c>
      <c r="K405" s="1665">
        <v>8356480671</v>
      </c>
    </row>
    <row r="406" spans="1:11">
      <c r="A406" t="s">
        <v>3539</v>
      </c>
      <c r="B406" s="1417" t="s">
        <v>1428</v>
      </c>
      <c r="C406" s="1417" t="s">
        <v>7498</v>
      </c>
      <c r="D406" s="1665">
        <v>8832055014</v>
      </c>
      <c r="E406" s="1665">
        <v>8709539255</v>
      </c>
      <c r="F406" s="1665">
        <v>8702234580</v>
      </c>
      <c r="G406" s="1665">
        <v>8579718821</v>
      </c>
      <c r="H406" s="1665">
        <v>8832055014</v>
      </c>
      <c r="I406" s="1665">
        <v>8709539255</v>
      </c>
      <c r="J406" s="1665">
        <v>8702234580</v>
      </c>
      <c r="K406" s="1665">
        <v>8579718821</v>
      </c>
    </row>
    <row r="407" spans="1:11">
      <c r="A407" t="s">
        <v>5903</v>
      </c>
      <c r="B407" s="1417" t="s">
        <v>2020</v>
      </c>
      <c r="C407" s="1417" t="s">
        <v>7499</v>
      </c>
      <c r="D407" s="1665">
        <v>11415950527</v>
      </c>
      <c r="E407" s="1665">
        <v>11228219732</v>
      </c>
      <c r="F407" s="1665">
        <v>11287112948</v>
      </c>
      <c r="G407" s="1665">
        <v>11099382153</v>
      </c>
      <c r="H407" s="1665">
        <v>14263136092</v>
      </c>
      <c r="I407" s="1665">
        <v>14075405297</v>
      </c>
      <c r="J407" s="1665">
        <v>14134298513</v>
      </c>
      <c r="K407" s="1665">
        <v>13946567718</v>
      </c>
    </row>
    <row r="408" spans="1:11">
      <c r="A408" t="s">
        <v>5904</v>
      </c>
      <c r="B408" s="1417" t="s">
        <v>2552</v>
      </c>
      <c r="C408" s="1417" t="s">
        <v>7500</v>
      </c>
      <c r="D408" s="1665">
        <v>178614494688</v>
      </c>
      <c r="E408" s="1665">
        <v>176465724564</v>
      </c>
      <c r="F408" s="1665">
        <v>171332096050</v>
      </c>
      <c r="G408" s="1665">
        <v>169183325926</v>
      </c>
      <c r="H408" s="1665">
        <v>178614494688</v>
      </c>
      <c r="I408" s="1665">
        <v>176465724564</v>
      </c>
      <c r="J408" s="1665">
        <v>171332096050</v>
      </c>
      <c r="K408" s="1665">
        <v>169183325926</v>
      </c>
    </row>
    <row r="409" spans="1:11">
      <c r="A409" t="s">
        <v>3540</v>
      </c>
      <c r="B409" s="1417" t="s">
        <v>1117</v>
      </c>
      <c r="C409" s="1417" t="s">
        <v>7501</v>
      </c>
      <c r="D409" s="1665">
        <v>15428265533</v>
      </c>
      <c r="E409" s="1665">
        <v>14979853435</v>
      </c>
      <c r="F409" s="1665">
        <v>15428265533</v>
      </c>
      <c r="G409" s="1665">
        <v>14979853435</v>
      </c>
      <c r="H409" s="1665">
        <v>15428265533</v>
      </c>
      <c r="I409" s="1665">
        <v>14979853435</v>
      </c>
      <c r="J409" s="1665">
        <v>15428265533</v>
      </c>
      <c r="K409" s="1665">
        <v>14979853435</v>
      </c>
    </row>
    <row r="410" spans="1:11">
      <c r="A410" t="s">
        <v>3541</v>
      </c>
      <c r="B410" s="1417" t="s">
        <v>48</v>
      </c>
      <c r="C410" s="1417" t="s">
        <v>7502</v>
      </c>
      <c r="D410" s="1665">
        <v>39452624553</v>
      </c>
      <c r="E410" s="1665">
        <v>38740885720</v>
      </c>
      <c r="F410" s="1665">
        <v>39452624553</v>
      </c>
      <c r="G410" s="1665">
        <v>38740885720</v>
      </c>
      <c r="H410" s="1665">
        <v>39452624553</v>
      </c>
      <c r="I410" s="1665">
        <v>38740885720</v>
      </c>
      <c r="J410" s="1665">
        <v>39452624553</v>
      </c>
      <c r="K410" s="1665">
        <v>38740885720</v>
      </c>
    </row>
    <row r="411" spans="1:11">
      <c r="A411" t="s">
        <v>3542</v>
      </c>
      <c r="B411" s="1417" t="s">
        <v>55</v>
      </c>
      <c r="C411" s="1417" t="s">
        <v>7503</v>
      </c>
      <c r="D411" s="1665">
        <v>21387213078</v>
      </c>
      <c r="E411" s="1665">
        <v>20834432150</v>
      </c>
      <c r="F411" s="1665">
        <v>21387213078</v>
      </c>
      <c r="G411" s="1665">
        <v>20834432150</v>
      </c>
      <c r="H411" s="1665">
        <v>21387213078</v>
      </c>
      <c r="I411" s="1665">
        <v>20834432150</v>
      </c>
      <c r="J411" s="1665">
        <v>21387213078</v>
      </c>
      <c r="K411" s="1665">
        <v>20834432150</v>
      </c>
    </row>
    <row r="412" spans="1:11">
      <c r="A412" t="s">
        <v>5905</v>
      </c>
      <c r="B412" s="1417" t="s">
        <v>2553</v>
      </c>
      <c r="C412" s="1417" t="s">
        <v>7504</v>
      </c>
      <c r="D412" s="1665">
        <v>9493855747</v>
      </c>
      <c r="E412" s="1665">
        <v>9391395309</v>
      </c>
      <c r="F412" s="1665">
        <v>9308433611</v>
      </c>
      <c r="G412" s="1665">
        <v>9205973173</v>
      </c>
      <c r="H412" s="1665">
        <v>10478271847</v>
      </c>
      <c r="I412" s="1665">
        <v>10375811409</v>
      </c>
      <c r="J412" s="1665">
        <v>10292849711</v>
      </c>
      <c r="K412" s="1665">
        <v>10190389273</v>
      </c>
    </row>
    <row r="413" spans="1:11">
      <c r="A413" t="s">
        <v>3543</v>
      </c>
      <c r="B413" s="1417" t="s">
        <v>206</v>
      </c>
      <c r="C413" s="1417" t="s">
        <v>7505</v>
      </c>
      <c r="D413" s="1665">
        <v>14562487122</v>
      </c>
      <c r="E413" s="1665">
        <v>14198647552</v>
      </c>
      <c r="F413" s="1665">
        <v>14313976347</v>
      </c>
      <c r="G413" s="1665">
        <v>13950136777</v>
      </c>
      <c r="H413" s="1665">
        <v>14562487122</v>
      </c>
      <c r="I413" s="1665">
        <v>14198647552</v>
      </c>
      <c r="J413" s="1665">
        <v>14313976347</v>
      </c>
      <c r="K413" s="1665">
        <v>13950136777</v>
      </c>
    </row>
    <row r="414" spans="1:11">
      <c r="A414" t="s">
        <v>5906</v>
      </c>
      <c r="B414" s="1417" t="s">
        <v>668</v>
      </c>
      <c r="C414" s="1417" t="s">
        <v>7506</v>
      </c>
      <c r="D414" s="1665">
        <v>13217469216</v>
      </c>
      <c r="E414" s="1665">
        <v>12946018517</v>
      </c>
      <c r="F414" s="1665">
        <v>13217469216</v>
      </c>
      <c r="G414" s="1665">
        <v>12946018517</v>
      </c>
      <c r="H414" s="1665">
        <v>13217469216</v>
      </c>
      <c r="I414" s="1665">
        <v>12946018517</v>
      </c>
      <c r="J414" s="1665">
        <v>13217469216</v>
      </c>
      <c r="K414" s="1665">
        <v>12946018517</v>
      </c>
    </row>
    <row r="415" spans="1:11">
      <c r="A415" t="s">
        <v>5907</v>
      </c>
      <c r="B415" s="1417" t="s">
        <v>811</v>
      </c>
      <c r="C415" s="1417" t="s">
        <v>7507</v>
      </c>
      <c r="D415" s="1665">
        <v>34207805919</v>
      </c>
      <c r="E415" s="1665">
        <v>33878659961</v>
      </c>
      <c r="F415" s="1665">
        <v>32073495449</v>
      </c>
      <c r="G415" s="1665">
        <v>31744349491</v>
      </c>
      <c r="H415" s="1665">
        <v>34207805919</v>
      </c>
      <c r="I415" s="1665">
        <v>33878659961</v>
      </c>
      <c r="J415" s="1665">
        <v>32073495449</v>
      </c>
      <c r="K415" s="1665">
        <v>31744349491</v>
      </c>
    </row>
    <row r="416" spans="1:11">
      <c r="A416" t="s">
        <v>5908</v>
      </c>
      <c r="B416" s="1417" t="s">
        <v>1947</v>
      </c>
      <c r="C416" s="1417" t="s">
        <v>7508</v>
      </c>
      <c r="D416" s="1665">
        <v>11010652602</v>
      </c>
      <c r="E416" s="1665">
        <v>10820577561</v>
      </c>
      <c r="F416" s="1665">
        <v>11010652602</v>
      </c>
      <c r="G416" s="1665">
        <v>10820577561</v>
      </c>
      <c r="H416" s="1665">
        <v>11010652602</v>
      </c>
      <c r="I416" s="1665">
        <v>10820577561</v>
      </c>
      <c r="J416" s="1665">
        <v>11010652602</v>
      </c>
      <c r="K416" s="1665">
        <v>10820577561</v>
      </c>
    </row>
    <row r="417" spans="1:11">
      <c r="A417" t="s">
        <v>5909</v>
      </c>
      <c r="B417" s="1417" t="s">
        <v>1948</v>
      </c>
      <c r="C417" s="1417" t="s">
        <v>7509</v>
      </c>
      <c r="D417" s="1665">
        <v>5331840625</v>
      </c>
      <c r="E417" s="1665">
        <v>5272778764</v>
      </c>
      <c r="F417" s="1665">
        <v>5257450248</v>
      </c>
      <c r="G417" s="1665">
        <v>5198388387</v>
      </c>
      <c r="H417" s="1665">
        <v>5674609125</v>
      </c>
      <c r="I417" s="1665">
        <v>5615547264</v>
      </c>
      <c r="J417" s="1665">
        <v>5600218748</v>
      </c>
      <c r="K417" s="1665">
        <v>5541156887</v>
      </c>
    </row>
    <row r="418" spans="1:11">
      <c r="A418" t="s">
        <v>3544</v>
      </c>
      <c r="B418" s="1417" t="s">
        <v>867</v>
      </c>
      <c r="C418" s="1417" t="s">
        <v>7510</v>
      </c>
      <c r="D418" s="1665">
        <v>1214704943</v>
      </c>
      <c r="E418" s="1665">
        <v>1177762506</v>
      </c>
      <c r="F418" s="1665">
        <v>1214704943</v>
      </c>
      <c r="G418" s="1665">
        <v>1177762506</v>
      </c>
      <c r="H418" s="1665">
        <v>1214704943</v>
      </c>
      <c r="I418" s="1665">
        <v>1177762506</v>
      </c>
      <c r="J418" s="1665">
        <v>1214704943</v>
      </c>
      <c r="K418" s="1665">
        <v>1177762506</v>
      </c>
    </row>
    <row r="419" spans="1:11">
      <c r="A419" t="s">
        <v>6731</v>
      </c>
      <c r="B419" s="1417" t="s">
        <v>1949</v>
      </c>
      <c r="C419" s="1417" t="s">
        <v>7511</v>
      </c>
      <c r="D419" s="1665">
        <v>218938998</v>
      </c>
      <c r="E419" s="1665">
        <v>214074421</v>
      </c>
      <c r="F419" s="1665">
        <v>211587899</v>
      </c>
      <c r="G419" s="1665">
        <v>206723322</v>
      </c>
      <c r="H419" s="1665">
        <v>218938998</v>
      </c>
      <c r="I419" s="1665">
        <v>214074421</v>
      </c>
      <c r="J419" s="1665">
        <v>211587899</v>
      </c>
      <c r="K419" s="1665">
        <v>206723322</v>
      </c>
    </row>
    <row r="420" spans="1:11">
      <c r="A420" t="s">
        <v>5910</v>
      </c>
      <c r="B420" s="1417" t="s">
        <v>1500</v>
      </c>
      <c r="C420" s="1417" t="s">
        <v>7512</v>
      </c>
      <c r="D420" s="1665">
        <v>2549654118</v>
      </c>
      <c r="E420" s="1665">
        <v>2492204253</v>
      </c>
      <c r="F420" s="1665">
        <v>2469571357</v>
      </c>
      <c r="G420" s="1665">
        <v>2412121492</v>
      </c>
      <c r="H420" s="1665">
        <v>2549654118</v>
      </c>
      <c r="I420" s="1665">
        <v>2492204253</v>
      </c>
      <c r="J420" s="1665">
        <v>2469571357</v>
      </c>
      <c r="K420" s="1665">
        <v>2412121492</v>
      </c>
    </row>
    <row r="421" spans="1:11">
      <c r="A421" t="s">
        <v>5911</v>
      </c>
      <c r="B421" s="1417" t="s">
        <v>1501</v>
      </c>
      <c r="C421" s="1417" t="s">
        <v>7513</v>
      </c>
      <c r="D421" s="1665">
        <v>416301005</v>
      </c>
      <c r="E421" s="1665">
        <v>409864258</v>
      </c>
      <c r="F421" s="1665">
        <v>407121948</v>
      </c>
      <c r="G421" s="1665">
        <v>400685201</v>
      </c>
      <c r="H421" s="1665">
        <v>416301005</v>
      </c>
      <c r="I421" s="1665">
        <v>409864258</v>
      </c>
      <c r="J421" s="1665">
        <v>407121948</v>
      </c>
      <c r="K421" s="1665">
        <v>400685201</v>
      </c>
    </row>
    <row r="422" spans="1:11">
      <c r="A422" t="s">
        <v>5912</v>
      </c>
      <c r="B422" s="1417" t="s">
        <v>1502</v>
      </c>
      <c r="C422" s="1417" t="s">
        <v>7514</v>
      </c>
      <c r="D422" s="1665">
        <v>2744567466</v>
      </c>
      <c r="E422" s="1665">
        <v>2698775322</v>
      </c>
      <c r="F422" s="1665">
        <v>2649762228</v>
      </c>
      <c r="G422" s="1665">
        <v>2603970084</v>
      </c>
      <c r="H422" s="1665">
        <v>2744567466</v>
      </c>
      <c r="I422" s="1665">
        <v>2698775322</v>
      </c>
      <c r="J422" s="1665">
        <v>2649762228</v>
      </c>
      <c r="K422" s="1665">
        <v>2603970084</v>
      </c>
    </row>
    <row r="423" spans="1:11">
      <c r="A423" t="s">
        <v>5913</v>
      </c>
      <c r="B423" s="1417" t="s">
        <v>1568</v>
      </c>
      <c r="C423" s="1417" t="s">
        <v>7515</v>
      </c>
      <c r="D423" s="1665">
        <v>176196187</v>
      </c>
      <c r="E423" s="1665">
        <v>170220757</v>
      </c>
      <c r="F423" s="1665">
        <v>165542519</v>
      </c>
      <c r="G423" s="1665">
        <v>159567089</v>
      </c>
      <c r="H423" s="1665">
        <v>176196187</v>
      </c>
      <c r="I423" s="1665">
        <v>170220757</v>
      </c>
      <c r="J423" s="1665">
        <v>165542519</v>
      </c>
      <c r="K423" s="1665">
        <v>159567089</v>
      </c>
    </row>
    <row r="424" spans="1:11">
      <c r="A424" t="s">
        <v>5914</v>
      </c>
      <c r="B424" s="1417" t="s">
        <v>1569</v>
      </c>
      <c r="C424" s="1417" t="s">
        <v>7516</v>
      </c>
      <c r="D424" s="1665">
        <v>341607704</v>
      </c>
      <c r="E424" s="1665">
        <v>331045295</v>
      </c>
      <c r="F424" s="1665">
        <v>327070917</v>
      </c>
      <c r="G424" s="1665">
        <v>316508508</v>
      </c>
      <c r="H424" s="1665">
        <v>341607704</v>
      </c>
      <c r="I424" s="1665">
        <v>331045295</v>
      </c>
      <c r="J424" s="1665">
        <v>327070917</v>
      </c>
      <c r="K424" s="1665">
        <v>316508508</v>
      </c>
    </row>
    <row r="425" spans="1:11">
      <c r="A425" t="s">
        <v>5915</v>
      </c>
      <c r="B425" s="1417" t="s">
        <v>497</v>
      </c>
      <c r="C425" s="1417" t="s">
        <v>7517</v>
      </c>
      <c r="D425" s="1665">
        <v>207689583</v>
      </c>
      <c r="E425" s="1665">
        <v>207041013</v>
      </c>
      <c r="F425" s="1665">
        <v>207689583</v>
      </c>
      <c r="G425" s="1665">
        <v>207041013</v>
      </c>
      <c r="H425" s="1665">
        <v>207689583</v>
      </c>
      <c r="I425" s="1665">
        <v>207041013</v>
      </c>
      <c r="J425" s="1665">
        <v>207689583</v>
      </c>
      <c r="K425" s="1665">
        <v>207041013</v>
      </c>
    </row>
    <row r="426" spans="1:11">
      <c r="A426" t="s">
        <v>5916</v>
      </c>
      <c r="B426" s="1417" t="s">
        <v>465</v>
      </c>
      <c r="C426" s="1417" t="s">
        <v>7518</v>
      </c>
      <c r="D426" s="1665">
        <v>178198657</v>
      </c>
      <c r="E426" s="1665">
        <v>177277907</v>
      </c>
      <c r="F426" s="1665">
        <v>178198657</v>
      </c>
      <c r="G426" s="1665">
        <v>177277907</v>
      </c>
      <c r="H426" s="1665">
        <v>178198657</v>
      </c>
      <c r="I426" s="1665">
        <v>177277907</v>
      </c>
      <c r="J426" s="1665">
        <v>178198657</v>
      </c>
      <c r="K426" s="1665">
        <v>177277907</v>
      </c>
    </row>
    <row r="427" spans="1:11">
      <c r="A427" t="s">
        <v>3545</v>
      </c>
      <c r="B427" s="1417" t="s">
        <v>466</v>
      </c>
      <c r="C427" s="1417" t="s">
        <v>7519</v>
      </c>
      <c r="D427" s="1665">
        <v>246892016</v>
      </c>
      <c r="E427" s="1665">
        <v>239816996</v>
      </c>
      <c r="F427" s="1665">
        <v>246892016</v>
      </c>
      <c r="G427" s="1665">
        <v>239816996</v>
      </c>
      <c r="H427" s="1665">
        <v>652502876</v>
      </c>
      <c r="I427" s="1665">
        <v>645427856</v>
      </c>
      <c r="J427" s="1665">
        <v>652502876</v>
      </c>
      <c r="K427" s="1665">
        <v>645427856</v>
      </c>
    </row>
    <row r="428" spans="1:11">
      <c r="A428" t="s">
        <v>6732</v>
      </c>
      <c r="B428" s="1417" t="s">
        <v>467</v>
      </c>
      <c r="C428" s="1417" t="s">
        <v>7520</v>
      </c>
      <c r="D428" s="1665">
        <v>45446072</v>
      </c>
      <c r="E428" s="1665">
        <v>44135402</v>
      </c>
      <c r="F428" s="1665">
        <v>44838822</v>
      </c>
      <c r="G428" s="1665">
        <v>43528152</v>
      </c>
      <c r="H428" s="1665">
        <v>45446072</v>
      </c>
      <c r="I428" s="1665">
        <v>44135402</v>
      </c>
      <c r="J428" s="1665">
        <v>44838822</v>
      </c>
      <c r="K428" s="1665">
        <v>43528152</v>
      </c>
    </row>
    <row r="429" spans="1:11">
      <c r="A429" t="s">
        <v>5917</v>
      </c>
      <c r="B429" s="1417" t="s">
        <v>468</v>
      </c>
      <c r="C429" s="1417" t="s">
        <v>7521</v>
      </c>
      <c r="D429" s="1665">
        <v>145010900</v>
      </c>
      <c r="E429" s="1665">
        <v>144403890</v>
      </c>
      <c r="F429" s="1665">
        <v>145010900</v>
      </c>
      <c r="G429" s="1665">
        <v>144403890</v>
      </c>
      <c r="H429" s="1665">
        <v>277861380</v>
      </c>
      <c r="I429" s="1665">
        <v>277254370</v>
      </c>
      <c r="J429" s="1665">
        <v>277861380</v>
      </c>
      <c r="K429" s="1665">
        <v>277254370</v>
      </c>
    </row>
    <row r="430" spans="1:11">
      <c r="A430" t="s">
        <v>5918</v>
      </c>
      <c r="B430" s="1417" t="s">
        <v>1141</v>
      </c>
      <c r="C430" s="1417" t="s">
        <v>7522</v>
      </c>
      <c r="D430" s="1665">
        <v>5663143489</v>
      </c>
      <c r="E430" s="1665">
        <v>5593315335</v>
      </c>
      <c r="F430" s="1665">
        <v>5663143489</v>
      </c>
      <c r="G430" s="1665">
        <v>5593315335</v>
      </c>
      <c r="H430" s="1665">
        <v>5663143489</v>
      </c>
      <c r="I430" s="1665">
        <v>5593315335</v>
      </c>
      <c r="J430" s="1665">
        <v>5663143489</v>
      </c>
      <c r="K430" s="1665">
        <v>5593315335</v>
      </c>
    </row>
    <row r="431" spans="1:11">
      <c r="A431" t="s">
        <v>3546</v>
      </c>
      <c r="B431" s="1417" t="s">
        <v>1488</v>
      </c>
      <c r="C431" s="1417" t="s">
        <v>7523</v>
      </c>
      <c r="D431" s="1665">
        <v>4950743815</v>
      </c>
      <c r="E431" s="1665">
        <v>4865585265</v>
      </c>
      <c r="F431" s="1665">
        <v>4950743815</v>
      </c>
      <c r="G431" s="1665">
        <v>4865585265</v>
      </c>
      <c r="H431" s="1665">
        <v>4950743815</v>
      </c>
      <c r="I431" s="1665">
        <v>4865585265</v>
      </c>
      <c r="J431" s="1665">
        <v>4950743815</v>
      </c>
      <c r="K431" s="1665">
        <v>4865585265</v>
      </c>
    </row>
    <row r="432" spans="1:11">
      <c r="A432" t="s">
        <v>5919</v>
      </c>
      <c r="B432" s="1417" t="s">
        <v>1292</v>
      </c>
      <c r="C432" s="1417" t="s">
        <v>7524</v>
      </c>
      <c r="D432" s="1665">
        <v>2085218333</v>
      </c>
      <c r="E432" s="1665">
        <v>2040893846</v>
      </c>
      <c r="F432" s="1665">
        <v>2085218333</v>
      </c>
      <c r="G432" s="1665">
        <v>2040893846</v>
      </c>
      <c r="H432" s="1665">
        <v>2085218333</v>
      </c>
      <c r="I432" s="1665">
        <v>2040893846</v>
      </c>
      <c r="J432" s="1665">
        <v>2085218333</v>
      </c>
      <c r="K432" s="1665">
        <v>2040893846</v>
      </c>
    </row>
    <row r="433" spans="1:11">
      <c r="A433" t="s">
        <v>3547</v>
      </c>
      <c r="B433" s="1417" t="s">
        <v>1863</v>
      </c>
      <c r="C433" s="1417" t="s">
        <v>7525</v>
      </c>
      <c r="D433" s="1665">
        <v>7768624196</v>
      </c>
      <c r="E433" s="1665">
        <v>7575371232</v>
      </c>
      <c r="F433" s="1665">
        <v>7768624196</v>
      </c>
      <c r="G433" s="1665">
        <v>7575371232</v>
      </c>
      <c r="H433" s="1665">
        <v>7768624196</v>
      </c>
      <c r="I433" s="1665">
        <v>7575371232</v>
      </c>
      <c r="J433" s="1665">
        <v>7768624196</v>
      </c>
      <c r="K433" s="1665">
        <v>7575371232</v>
      </c>
    </row>
    <row r="434" spans="1:11">
      <c r="A434" t="s">
        <v>5920</v>
      </c>
      <c r="B434" s="1417" t="s">
        <v>1703</v>
      </c>
      <c r="C434" s="1417" t="s">
        <v>7526</v>
      </c>
      <c r="D434" s="1665">
        <v>1187491206</v>
      </c>
      <c r="E434" s="1665">
        <v>1180341596</v>
      </c>
      <c r="F434" s="1665">
        <v>1177901671</v>
      </c>
      <c r="G434" s="1665">
        <v>1170752061</v>
      </c>
      <c r="H434" s="1665">
        <v>1193938336</v>
      </c>
      <c r="I434" s="1665">
        <v>1186788726</v>
      </c>
      <c r="J434" s="1665">
        <v>1184348801</v>
      </c>
      <c r="K434" s="1665">
        <v>1177199191</v>
      </c>
    </row>
    <row r="435" spans="1:11">
      <c r="A435" t="s">
        <v>5921</v>
      </c>
      <c r="B435" s="1417" t="s">
        <v>1704</v>
      </c>
      <c r="C435" s="1417" t="s">
        <v>7527</v>
      </c>
      <c r="D435" s="1665">
        <v>1374942664</v>
      </c>
      <c r="E435" s="1665">
        <v>1330988032</v>
      </c>
      <c r="F435" s="1665">
        <v>1374942664</v>
      </c>
      <c r="G435" s="1665">
        <v>1330988032</v>
      </c>
      <c r="H435" s="1665">
        <v>1374942664</v>
      </c>
      <c r="I435" s="1665">
        <v>1330988032</v>
      </c>
      <c r="J435" s="1665">
        <v>1374942664</v>
      </c>
      <c r="K435" s="1665">
        <v>1330988032</v>
      </c>
    </row>
    <row r="436" spans="1:11">
      <c r="A436" t="s">
        <v>5922</v>
      </c>
      <c r="B436" s="1417" t="s">
        <v>2544</v>
      </c>
      <c r="C436" s="1417" t="s">
        <v>7528</v>
      </c>
      <c r="D436" s="1665">
        <v>730335615</v>
      </c>
      <c r="E436" s="1665">
        <v>693019147</v>
      </c>
      <c r="F436" s="1665">
        <v>681541841</v>
      </c>
      <c r="G436" s="1665">
        <v>644225373</v>
      </c>
      <c r="H436" s="1665">
        <v>730335615</v>
      </c>
      <c r="I436" s="1665">
        <v>693019147</v>
      </c>
      <c r="J436" s="1665">
        <v>681541841</v>
      </c>
      <c r="K436" s="1665">
        <v>644225373</v>
      </c>
    </row>
    <row r="437" spans="1:11">
      <c r="A437" t="s">
        <v>5923</v>
      </c>
      <c r="B437" s="1417" t="s">
        <v>2519</v>
      </c>
      <c r="C437" s="1417" t="s">
        <v>7529</v>
      </c>
      <c r="D437" s="1665">
        <v>271733802</v>
      </c>
      <c r="E437" s="1665">
        <v>265678714</v>
      </c>
      <c r="F437" s="1665">
        <v>271733802</v>
      </c>
      <c r="G437" s="1665">
        <v>265678714</v>
      </c>
      <c r="H437" s="1665">
        <v>271733802</v>
      </c>
      <c r="I437" s="1665">
        <v>265678714</v>
      </c>
      <c r="J437" s="1665">
        <v>271733802</v>
      </c>
      <c r="K437" s="1665">
        <v>265678714</v>
      </c>
    </row>
    <row r="438" spans="1:11">
      <c r="A438" t="s">
        <v>5924</v>
      </c>
      <c r="B438" s="1417" t="s">
        <v>2007</v>
      </c>
      <c r="C438" s="1417" t="s">
        <v>7530</v>
      </c>
      <c r="D438" s="1665">
        <v>592021892</v>
      </c>
      <c r="E438" s="1665">
        <v>576408020</v>
      </c>
      <c r="F438" s="1665">
        <v>566649195</v>
      </c>
      <c r="G438" s="1665">
        <v>551035323</v>
      </c>
      <c r="H438" s="1665">
        <v>592021892</v>
      </c>
      <c r="I438" s="1665">
        <v>576408020</v>
      </c>
      <c r="J438" s="1665">
        <v>566649195</v>
      </c>
      <c r="K438" s="1665">
        <v>551035323</v>
      </c>
    </row>
    <row r="439" spans="1:11">
      <c r="A439" t="s">
        <v>5925</v>
      </c>
      <c r="B439" s="1417" t="s">
        <v>63</v>
      </c>
      <c r="C439" s="1417" t="s">
        <v>7531</v>
      </c>
      <c r="D439" s="1665">
        <v>1387329610</v>
      </c>
      <c r="E439" s="1665">
        <v>1364546426</v>
      </c>
      <c r="F439" s="1665">
        <v>1387329610</v>
      </c>
      <c r="G439" s="1665">
        <v>1364546426</v>
      </c>
      <c r="H439" s="1665">
        <v>1387329610</v>
      </c>
      <c r="I439" s="1665">
        <v>1364546426</v>
      </c>
      <c r="J439" s="1665">
        <v>1387329610</v>
      </c>
      <c r="K439" s="1665">
        <v>1364546426</v>
      </c>
    </row>
    <row r="440" spans="1:11">
      <c r="A440" t="s">
        <v>3548</v>
      </c>
      <c r="B440" s="1417" t="s">
        <v>1518</v>
      </c>
      <c r="C440" s="1417" t="s">
        <v>7532</v>
      </c>
      <c r="D440" s="1665">
        <v>46322143</v>
      </c>
      <c r="E440" s="1665">
        <v>44613464</v>
      </c>
      <c r="F440" s="1665">
        <v>45334278</v>
      </c>
      <c r="G440" s="1665">
        <v>43625599</v>
      </c>
      <c r="H440" s="1665">
        <v>46322143</v>
      </c>
      <c r="I440" s="1665">
        <v>44613464</v>
      </c>
      <c r="J440" s="1665">
        <v>45334278</v>
      </c>
      <c r="K440" s="1665">
        <v>43625599</v>
      </c>
    </row>
    <row r="441" spans="1:11">
      <c r="A441" t="s">
        <v>4861</v>
      </c>
      <c r="B441" s="1417" t="s">
        <v>868</v>
      </c>
      <c r="C441" s="1417" t="s">
        <v>7533</v>
      </c>
      <c r="D441" s="1665">
        <v>39398796</v>
      </c>
      <c r="E441" s="1665">
        <v>37589546</v>
      </c>
      <c r="F441" s="1665">
        <v>39398796</v>
      </c>
      <c r="G441" s="1665">
        <v>37589546</v>
      </c>
      <c r="H441" s="1665">
        <v>39398796</v>
      </c>
      <c r="I441" s="1665">
        <v>37589546</v>
      </c>
      <c r="J441" s="1665">
        <v>39398796</v>
      </c>
      <c r="K441" s="1665">
        <v>37589546</v>
      </c>
    </row>
    <row r="442" spans="1:11">
      <c r="A442" t="s">
        <v>5926</v>
      </c>
      <c r="B442" s="1417" t="s">
        <v>64</v>
      </c>
      <c r="C442" s="1417" t="s">
        <v>7534</v>
      </c>
      <c r="D442" s="1665">
        <v>192292719</v>
      </c>
      <c r="E442" s="1665">
        <v>186112864</v>
      </c>
      <c r="F442" s="1665">
        <v>183863606</v>
      </c>
      <c r="G442" s="1665">
        <v>177683751</v>
      </c>
      <c r="H442" s="1665">
        <v>192292719</v>
      </c>
      <c r="I442" s="1665">
        <v>186112864</v>
      </c>
      <c r="J442" s="1665">
        <v>183863606</v>
      </c>
      <c r="K442" s="1665">
        <v>177683751</v>
      </c>
    </row>
    <row r="443" spans="1:11">
      <c r="A443" t="s">
        <v>3549</v>
      </c>
      <c r="B443" s="1417" t="s">
        <v>2127</v>
      </c>
      <c r="C443" s="1417" t="s">
        <v>7535</v>
      </c>
      <c r="D443" s="1665">
        <v>1502737410</v>
      </c>
      <c r="E443" s="1665">
        <v>1419742971</v>
      </c>
      <c r="F443" s="1665">
        <v>1502737410</v>
      </c>
      <c r="G443" s="1665">
        <v>1419742971</v>
      </c>
      <c r="H443" s="1665">
        <v>1502737410</v>
      </c>
      <c r="I443" s="1665">
        <v>1419742971</v>
      </c>
      <c r="J443" s="1665">
        <v>1502737410</v>
      </c>
      <c r="K443" s="1665">
        <v>1419742971</v>
      </c>
    </row>
    <row r="444" spans="1:11">
      <c r="A444" t="s">
        <v>3550</v>
      </c>
      <c r="B444" s="1417" t="s">
        <v>770</v>
      </c>
      <c r="C444" s="1417" t="s">
        <v>7536</v>
      </c>
      <c r="D444" s="1665">
        <v>377082297</v>
      </c>
      <c r="E444" s="1665">
        <v>351403543</v>
      </c>
      <c r="F444" s="1665">
        <v>377082297</v>
      </c>
      <c r="G444" s="1665">
        <v>351403543</v>
      </c>
      <c r="H444" s="1665">
        <v>377082297</v>
      </c>
      <c r="I444" s="1665">
        <v>351403543</v>
      </c>
      <c r="J444" s="1665">
        <v>377082297</v>
      </c>
      <c r="K444" s="1665">
        <v>351403543</v>
      </c>
    </row>
    <row r="445" spans="1:11">
      <c r="A445" t="s">
        <v>3551</v>
      </c>
      <c r="B445" s="1417" t="s">
        <v>772</v>
      </c>
      <c r="C445" s="1417" t="s">
        <v>7537</v>
      </c>
      <c r="D445" s="1665">
        <v>6795474352</v>
      </c>
      <c r="E445" s="1665">
        <v>6574530030</v>
      </c>
      <c r="F445" s="1665">
        <v>6795474352</v>
      </c>
      <c r="G445" s="1665">
        <v>6574530030</v>
      </c>
      <c r="H445" s="1665">
        <v>6993790182</v>
      </c>
      <c r="I445" s="1665">
        <v>6772845860</v>
      </c>
      <c r="J445" s="1665">
        <v>6993790182</v>
      </c>
      <c r="K445" s="1665">
        <v>6772845860</v>
      </c>
    </row>
    <row r="446" spans="1:11">
      <c r="A446" t="s">
        <v>3552</v>
      </c>
      <c r="B446" s="1417" t="s">
        <v>1865</v>
      </c>
      <c r="C446" s="1417" t="s">
        <v>7538</v>
      </c>
      <c r="D446" s="1665">
        <v>529800998</v>
      </c>
      <c r="E446" s="1665">
        <v>518368965</v>
      </c>
      <c r="F446" s="1665">
        <v>529800998</v>
      </c>
      <c r="G446" s="1665">
        <v>518368965</v>
      </c>
      <c r="H446" s="1665">
        <v>529800998</v>
      </c>
      <c r="I446" s="1665">
        <v>518368965</v>
      </c>
      <c r="J446" s="1665">
        <v>529800998</v>
      </c>
      <c r="K446" s="1665">
        <v>518368965</v>
      </c>
    </row>
    <row r="447" spans="1:11">
      <c r="A447" t="s">
        <v>3553</v>
      </c>
      <c r="B447" s="1417" t="s">
        <v>2529</v>
      </c>
      <c r="C447" s="1417" t="s">
        <v>7539</v>
      </c>
      <c r="D447" s="1665">
        <v>7384909078</v>
      </c>
      <c r="E447" s="1665">
        <v>7191336317</v>
      </c>
      <c r="F447" s="1665">
        <v>7384909078</v>
      </c>
      <c r="G447" s="1665">
        <v>7191336317</v>
      </c>
      <c r="H447" s="1665">
        <v>7384909078</v>
      </c>
      <c r="I447" s="1665">
        <v>7191336317</v>
      </c>
      <c r="J447" s="1665">
        <v>7384909078</v>
      </c>
      <c r="K447" s="1665">
        <v>7191336317</v>
      </c>
    </row>
    <row r="448" spans="1:11">
      <c r="A448" t="s">
        <v>3554</v>
      </c>
      <c r="B448" s="1417" t="s">
        <v>2532</v>
      </c>
      <c r="C448" s="1417" t="s">
        <v>7540</v>
      </c>
      <c r="D448" s="1665">
        <v>567832497</v>
      </c>
      <c r="E448" s="1665">
        <v>538845094</v>
      </c>
      <c r="F448" s="1665">
        <v>567832497</v>
      </c>
      <c r="G448" s="1665">
        <v>538845094</v>
      </c>
      <c r="H448" s="1665">
        <v>567832497</v>
      </c>
      <c r="I448" s="1665">
        <v>538845094</v>
      </c>
      <c r="J448" s="1665">
        <v>567832497</v>
      </c>
      <c r="K448" s="1665">
        <v>538845094</v>
      </c>
    </row>
    <row r="449" spans="1:11">
      <c r="A449" t="s">
        <v>3555</v>
      </c>
      <c r="B449" s="1417" t="s">
        <v>2538</v>
      </c>
      <c r="C449" s="1417" t="s">
        <v>7541</v>
      </c>
      <c r="D449" s="1665">
        <v>2106611083</v>
      </c>
      <c r="E449" s="1665">
        <v>2004060698</v>
      </c>
      <c r="F449" s="1665">
        <v>2106611083</v>
      </c>
      <c r="G449" s="1665">
        <v>2004060698</v>
      </c>
      <c r="H449" s="1665">
        <v>2106611083</v>
      </c>
      <c r="I449" s="1665">
        <v>2004060698</v>
      </c>
      <c r="J449" s="1665">
        <v>2106611083</v>
      </c>
      <c r="K449" s="1665">
        <v>2004060698</v>
      </c>
    </row>
    <row r="450" spans="1:11">
      <c r="A450" t="s">
        <v>3556</v>
      </c>
      <c r="B450" s="1417" t="s">
        <v>211</v>
      </c>
      <c r="C450" s="1417" t="s">
        <v>7542</v>
      </c>
      <c r="D450" s="1665">
        <v>4665506943</v>
      </c>
      <c r="E450" s="1665">
        <v>4477457135</v>
      </c>
      <c r="F450" s="1665">
        <v>4665506943</v>
      </c>
      <c r="G450" s="1665">
        <v>4477457135</v>
      </c>
      <c r="H450" s="1665">
        <v>4665506943</v>
      </c>
      <c r="I450" s="1665">
        <v>4477457135</v>
      </c>
      <c r="J450" s="1665">
        <v>4665506943</v>
      </c>
      <c r="K450" s="1665">
        <v>4477457135</v>
      </c>
    </row>
    <row r="451" spans="1:11">
      <c r="A451" t="s">
        <v>3557</v>
      </c>
      <c r="B451" s="1417" t="s">
        <v>1067</v>
      </c>
      <c r="C451" s="1417" t="s">
        <v>7543</v>
      </c>
      <c r="D451" s="1665">
        <v>181621977</v>
      </c>
      <c r="E451" s="1665">
        <v>171251326</v>
      </c>
      <c r="F451" s="1665">
        <v>181621977</v>
      </c>
      <c r="G451" s="1665">
        <v>171251326</v>
      </c>
      <c r="H451" s="1665">
        <v>181621977</v>
      </c>
      <c r="I451" s="1665">
        <v>171251326</v>
      </c>
      <c r="J451" s="1665">
        <v>181621977</v>
      </c>
      <c r="K451" s="1665">
        <v>171251326</v>
      </c>
    </row>
    <row r="452" spans="1:11">
      <c r="A452" t="s">
        <v>3558</v>
      </c>
      <c r="B452" s="1417" t="s">
        <v>1562</v>
      </c>
      <c r="C452" s="1417" t="s">
        <v>7544</v>
      </c>
      <c r="D452" s="1665">
        <v>3264005601</v>
      </c>
      <c r="E452" s="1665">
        <v>3182146746</v>
      </c>
      <c r="F452" s="1665">
        <v>3264005601</v>
      </c>
      <c r="G452" s="1665">
        <v>3182146746</v>
      </c>
      <c r="H452" s="1665">
        <v>3264005601</v>
      </c>
      <c r="I452" s="1665">
        <v>3182146746</v>
      </c>
      <c r="J452" s="1665">
        <v>3264005601</v>
      </c>
      <c r="K452" s="1665">
        <v>3182146746</v>
      </c>
    </row>
    <row r="453" spans="1:11">
      <c r="A453" t="s">
        <v>3559</v>
      </c>
      <c r="B453" s="1417" t="s">
        <v>58</v>
      </c>
      <c r="C453" s="1417" t="s">
        <v>7545</v>
      </c>
      <c r="D453" s="1665">
        <v>2638089104</v>
      </c>
      <c r="E453" s="1665">
        <v>2499743174</v>
      </c>
      <c r="F453" s="1665">
        <v>2638089104</v>
      </c>
      <c r="G453" s="1665">
        <v>2499743174</v>
      </c>
      <c r="H453" s="1665">
        <v>2638089104</v>
      </c>
      <c r="I453" s="1665">
        <v>2499743174</v>
      </c>
      <c r="J453" s="1665">
        <v>2638089104</v>
      </c>
      <c r="K453" s="1665">
        <v>2499743174</v>
      </c>
    </row>
    <row r="454" spans="1:11">
      <c r="A454" t="s">
        <v>3560</v>
      </c>
      <c r="B454" s="1417" t="s">
        <v>723</v>
      </c>
      <c r="C454" s="1417" t="s">
        <v>7546</v>
      </c>
      <c r="D454" s="1665">
        <v>2375400726</v>
      </c>
      <c r="E454" s="1665">
        <v>2268002129</v>
      </c>
      <c r="F454" s="1665">
        <v>2375400726</v>
      </c>
      <c r="G454" s="1665">
        <v>2268002129</v>
      </c>
      <c r="H454" s="1665">
        <v>2375400726</v>
      </c>
      <c r="I454" s="1665">
        <v>2268002129</v>
      </c>
      <c r="J454" s="1665">
        <v>2375400726</v>
      </c>
      <c r="K454" s="1665">
        <v>2268002129</v>
      </c>
    </row>
    <row r="455" spans="1:11">
      <c r="A455" t="s">
        <v>3561</v>
      </c>
      <c r="B455" s="1417" t="s">
        <v>60</v>
      </c>
      <c r="C455" s="1417" t="s">
        <v>7547</v>
      </c>
      <c r="D455" s="1665">
        <v>105070725</v>
      </c>
      <c r="E455" s="1665">
        <v>101068018</v>
      </c>
      <c r="F455" s="1665">
        <v>105070725</v>
      </c>
      <c r="G455" s="1665">
        <v>101068018</v>
      </c>
      <c r="H455" s="1665">
        <v>105070725</v>
      </c>
      <c r="I455" s="1665">
        <v>101068018</v>
      </c>
      <c r="J455" s="1665">
        <v>105070725</v>
      </c>
      <c r="K455" s="1665">
        <v>101068018</v>
      </c>
    </row>
    <row r="456" spans="1:11">
      <c r="A456" t="s">
        <v>3562</v>
      </c>
      <c r="B456" s="1417" t="s">
        <v>512</v>
      </c>
      <c r="C456" s="1417" t="s">
        <v>7548</v>
      </c>
      <c r="D456" s="1665">
        <v>122756536</v>
      </c>
      <c r="E456" s="1665">
        <v>117130943</v>
      </c>
      <c r="F456" s="1665">
        <v>122756536</v>
      </c>
      <c r="G456" s="1665">
        <v>117130943</v>
      </c>
      <c r="H456" s="1665">
        <v>122756536</v>
      </c>
      <c r="I456" s="1665">
        <v>117130943</v>
      </c>
      <c r="J456" s="1665">
        <v>122756536</v>
      </c>
      <c r="K456" s="1665">
        <v>117130943</v>
      </c>
    </row>
    <row r="457" spans="1:11">
      <c r="A457" t="s">
        <v>3563</v>
      </c>
      <c r="B457" s="1417" t="s">
        <v>1522</v>
      </c>
      <c r="C457" s="1417" t="s">
        <v>7285</v>
      </c>
      <c r="D457" s="1665">
        <v>628092740</v>
      </c>
      <c r="E457" s="1665">
        <v>604613889</v>
      </c>
      <c r="F457" s="1665">
        <v>628092740</v>
      </c>
      <c r="G457" s="1665">
        <v>604613889</v>
      </c>
      <c r="H457" s="1665">
        <v>628092740</v>
      </c>
      <c r="I457" s="1665">
        <v>604613889</v>
      </c>
      <c r="J457" s="1665">
        <v>628092740</v>
      </c>
      <c r="K457" s="1665">
        <v>604613889</v>
      </c>
    </row>
    <row r="458" spans="1:11">
      <c r="A458" t="s">
        <v>3564</v>
      </c>
      <c r="B458" s="1417" t="s">
        <v>149</v>
      </c>
      <c r="C458" s="1417" t="s">
        <v>7549</v>
      </c>
      <c r="D458" s="1665">
        <v>98687406</v>
      </c>
      <c r="E458" s="1665">
        <v>95842678</v>
      </c>
      <c r="F458" s="1665">
        <v>98687406</v>
      </c>
      <c r="G458" s="1665">
        <v>95842678</v>
      </c>
      <c r="H458" s="1665">
        <v>98687406</v>
      </c>
      <c r="I458" s="1665">
        <v>95842678</v>
      </c>
      <c r="J458" s="1665">
        <v>98687406</v>
      </c>
      <c r="K458" s="1665">
        <v>95842678</v>
      </c>
    </row>
    <row r="459" spans="1:11">
      <c r="A459" t="s">
        <v>3565</v>
      </c>
      <c r="B459" s="1417" t="s">
        <v>2509</v>
      </c>
      <c r="C459" s="1417" t="s">
        <v>7550</v>
      </c>
      <c r="D459" s="1665">
        <v>90093583</v>
      </c>
      <c r="E459" s="1665">
        <v>87767778</v>
      </c>
      <c r="F459" s="1665">
        <v>90093583</v>
      </c>
      <c r="G459" s="1665">
        <v>87767778</v>
      </c>
      <c r="H459" s="1665">
        <v>90093583</v>
      </c>
      <c r="I459" s="1665">
        <v>87767778</v>
      </c>
      <c r="J459" s="1665">
        <v>90093583</v>
      </c>
      <c r="K459" s="1665">
        <v>87767778</v>
      </c>
    </row>
    <row r="460" spans="1:11">
      <c r="A460" t="s">
        <v>4964</v>
      </c>
      <c r="B460" s="1417" t="s">
        <v>2402</v>
      </c>
      <c r="C460" s="1417" t="s">
        <v>7551</v>
      </c>
      <c r="D460" s="1665">
        <v>95501916</v>
      </c>
      <c r="E460" s="1665">
        <v>91751855</v>
      </c>
      <c r="F460" s="1665">
        <v>95501916</v>
      </c>
      <c r="G460" s="1665">
        <v>91751855</v>
      </c>
      <c r="H460" s="1665">
        <v>95501916</v>
      </c>
      <c r="I460" s="1665">
        <v>91751855</v>
      </c>
      <c r="J460" s="1665">
        <v>95501916</v>
      </c>
      <c r="K460" s="1665">
        <v>91751855</v>
      </c>
    </row>
    <row r="461" spans="1:11">
      <c r="A461" t="s">
        <v>3566</v>
      </c>
      <c r="B461" s="1417" t="s">
        <v>1867</v>
      </c>
      <c r="C461" s="1417" t="s">
        <v>7552</v>
      </c>
      <c r="D461" s="1665">
        <v>714857810</v>
      </c>
      <c r="E461" s="1665">
        <v>697340806</v>
      </c>
      <c r="F461" s="1665">
        <v>714857810</v>
      </c>
      <c r="G461" s="1665">
        <v>697340806</v>
      </c>
      <c r="H461" s="1665">
        <v>789571450</v>
      </c>
      <c r="I461" s="1665">
        <v>772054446</v>
      </c>
      <c r="J461" s="1665">
        <v>789571450</v>
      </c>
      <c r="K461" s="1665">
        <v>772054446</v>
      </c>
    </row>
    <row r="462" spans="1:11">
      <c r="A462" t="s">
        <v>3567</v>
      </c>
      <c r="B462" s="1417" t="s">
        <v>513</v>
      </c>
      <c r="C462" s="1417" t="s">
        <v>7176</v>
      </c>
      <c r="D462" s="1665">
        <v>87271501</v>
      </c>
      <c r="E462" s="1665">
        <v>83120805</v>
      </c>
      <c r="F462" s="1665">
        <v>87271501</v>
      </c>
      <c r="G462" s="1665">
        <v>83120805</v>
      </c>
      <c r="H462" s="1665">
        <v>87271501</v>
      </c>
      <c r="I462" s="1665">
        <v>83120805</v>
      </c>
      <c r="J462" s="1665">
        <v>87271501</v>
      </c>
      <c r="K462" s="1665">
        <v>83120805</v>
      </c>
    </row>
    <row r="463" spans="1:11">
      <c r="A463" t="s">
        <v>3568</v>
      </c>
      <c r="B463" s="1417" t="s">
        <v>42</v>
      </c>
      <c r="C463" s="1417" t="s">
        <v>7553</v>
      </c>
      <c r="D463" s="1665">
        <v>216040539</v>
      </c>
      <c r="E463" s="1665">
        <v>209035379</v>
      </c>
      <c r="F463" s="1665">
        <v>216040539</v>
      </c>
      <c r="G463" s="1665">
        <v>209035379</v>
      </c>
      <c r="H463" s="1665">
        <v>216040539</v>
      </c>
      <c r="I463" s="1665">
        <v>209035379</v>
      </c>
      <c r="J463" s="1665">
        <v>216040539</v>
      </c>
      <c r="K463" s="1665">
        <v>209035379</v>
      </c>
    </row>
    <row r="464" spans="1:11">
      <c r="A464" t="s">
        <v>3569</v>
      </c>
      <c r="B464" s="1417" t="s">
        <v>150</v>
      </c>
      <c r="C464" s="1417" t="s">
        <v>7554</v>
      </c>
      <c r="D464" s="1665">
        <v>52290159</v>
      </c>
      <c r="E464" s="1665">
        <v>51108436</v>
      </c>
      <c r="F464" s="1665">
        <v>52290159</v>
      </c>
      <c r="G464" s="1665">
        <v>51108436</v>
      </c>
      <c r="H464" s="1665">
        <v>52290159</v>
      </c>
      <c r="I464" s="1665">
        <v>51108436</v>
      </c>
      <c r="J464" s="1665">
        <v>52290159</v>
      </c>
      <c r="K464" s="1665">
        <v>51108436</v>
      </c>
    </row>
    <row r="465" spans="1:11">
      <c r="A465" t="s">
        <v>3570</v>
      </c>
      <c r="B465" s="1417" t="s">
        <v>521</v>
      </c>
      <c r="C465" s="1417" t="s">
        <v>7555</v>
      </c>
      <c r="D465" s="1665">
        <v>34394646</v>
      </c>
      <c r="E465" s="1665">
        <v>32507414</v>
      </c>
      <c r="F465" s="1665">
        <v>34394646</v>
      </c>
      <c r="G465" s="1665">
        <v>32507414</v>
      </c>
      <c r="H465" s="1665">
        <v>34394646</v>
      </c>
      <c r="I465" s="1665">
        <v>32507414</v>
      </c>
      <c r="J465" s="1665">
        <v>34394646</v>
      </c>
      <c r="K465" s="1665">
        <v>32507414</v>
      </c>
    </row>
    <row r="466" spans="1:11">
      <c r="A466" t="s">
        <v>5927</v>
      </c>
      <c r="B466" s="1417" t="s">
        <v>1563</v>
      </c>
      <c r="C466" s="1417" t="s">
        <v>7556</v>
      </c>
      <c r="D466" s="1665">
        <v>641292198</v>
      </c>
      <c r="E466" s="1665">
        <v>616888876</v>
      </c>
      <c r="F466" s="1665">
        <v>641292198</v>
      </c>
      <c r="G466" s="1665">
        <v>616888876</v>
      </c>
      <c r="H466" s="1665">
        <v>641292198</v>
      </c>
      <c r="I466" s="1665">
        <v>616888876</v>
      </c>
      <c r="J466" s="1665">
        <v>641292198</v>
      </c>
      <c r="K466" s="1665">
        <v>616888876</v>
      </c>
    </row>
    <row r="467" spans="1:11">
      <c r="A467" t="s">
        <v>3571</v>
      </c>
      <c r="B467" s="1417" t="s">
        <v>522</v>
      </c>
      <c r="C467" s="1417" t="s">
        <v>7557</v>
      </c>
      <c r="D467" s="1665">
        <v>90257064</v>
      </c>
      <c r="E467" s="1665">
        <v>87168364</v>
      </c>
      <c r="F467" s="1665">
        <v>90257064</v>
      </c>
      <c r="G467" s="1665">
        <v>87168364</v>
      </c>
      <c r="H467" s="1665">
        <v>90257064</v>
      </c>
      <c r="I467" s="1665">
        <v>87168364</v>
      </c>
      <c r="J467" s="1665">
        <v>90257064</v>
      </c>
      <c r="K467" s="1665">
        <v>87168364</v>
      </c>
    </row>
    <row r="468" spans="1:11">
      <c r="A468" t="s">
        <v>4982</v>
      </c>
      <c r="B468" s="1417" t="s">
        <v>1540</v>
      </c>
      <c r="C468" s="1417" t="s">
        <v>7558</v>
      </c>
      <c r="D468" s="1665">
        <v>158038192</v>
      </c>
      <c r="E468" s="1665">
        <v>154305542</v>
      </c>
      <c r="F468" s="1665">
        <v>158038192</v>
      </c>
      <c r="G468" s="1665">
        <v>154305542</v>
      </c>
      <c r="H468" s="1665">
        <v>158038192</v>
      </c>
      <c r="I468" s="1665">
        <v>154305542</v>
      </c>
      <c r="J468" s="1665">
        <v>158038192</v>
      </c>
      <c r="K468" s="1665">
        <v>154305542</v>
      </c>
    </row>
    <row r="469" spans="1:11">
      <c r="A469" t="s">
        <v>4985</v>
      </c>
      <c r="B469" s="1417" t="s">
        <v>523</v>
      </c>
      <c r="C469" s="1417" t="s">
        <v>7559</v>
      </c>
      <c r="D469" s="1665">
        <v>32423034</v>
      </c>
      <c r="E469" s="1665">
        <v>31064977</v>
      </c>
      <c r="F469" s="1665">
        <v>32423034</v>
      </c>
      <c r="G469" s="1665">
        <v>31064977</v>
      </c>
      <c r="H469" s="1665">
        <v>32423034</v>
      </c>
      <c r="I469" s="1665">
        <v>31064977</v>
      </c>
      <c r="J469" s="1665">
        <v>32423034</v>
      </c>
      <c r="K469" s="1665">
        <v>31064977</v>
      </c>
    </row>
    <row r="470" spans="1:11">
      <c r="A470" t="s">
        <v>6733</v>
      </c>
      <c r="B470" s="1417" t="s">
        <v>1564</v>
      </c>
      <c r="C470" s="1417" t="s">
        <v>7560</v>
      </c>
      <c r="D470" s="1665">
        <v>71444206</v>
      </c>
      <c r="E470" s="1665">
        <v>69389369</v>
      </c>
      <c r="F470" s="1665">
        <v>71444206</v>
      </c>
      <c r="G470" s="1665">
        <v>69389369</v>
      </c>
      <c r="H470" s="1665">
        <v>71444206</v>
      </c>
      <c r="I470" s="1665">
        <v>69389369</v>
      </c>
      <c r="J470" s="1665">
        <v>71444206</v>
      </c>
      <c r="K470" s="1665">
        <v>69389369</v>
      </c>
    </row>
    <row r="471" spans="1:11">
      <c r="A471" t="s">
        <v>5928</v>
      </c>
      <c r="B471" s="1417" t="s">
        <v>1565</v>
      </c>
      <c r="C471" s="1417" t="s">
        <v>7561</v>
      </c>
      <c r="D471" s="1665">
        <v>1222773808</v>
      </c>
      <c r="E471" s="1665">
        <v>1192636540</v>
      </c>
      <c r="F471" s="1665">
        <v>1222773808</v>
      </c>
      <c r="G471" s="1665">
        <v>1192636540</v>
      </c>
      <c r="H471" s="1665">
        <v>1222773808</v>
      </c>
      <c r="I471" s="1665">
        <v>1192636540</v>
      </c>
      <c r="J471" s="1665">
        <v>1222773808</v>
      </c>
      <c r="K471" s="1665">
        <v>1192636540</v>
      </c>
    </row>
    <row r="472" spans="1:11">
      <c r="A472" t="s">
        <v>5929</v>
      </c>
      <c r="B472" s="1417" t="s">
        <v>1241</v>
      </c>
      <c r="C472" s="1417" t="s">
        <v>7562</v>
      </c>
      <c r="D472" s="1665">
        <v>110491896</v>
      </c>
      <c r="E472" s="1665">
        <v>107593171</v>
      </c>
      <c r="F472" s="1665">
        <v>110491896</v>
      </c>
      <c r="G472" s="1665">
        <v>107593171</v>
      </c>
      <c r="H472" s="1665">
        <v>110491896</v>
      </c>
      <c r="I472" s="1665">
        <v>107593171</v>
      </c>
      <c r="J472" s="1665">
        <v>110491896</v>
      </c>
      <c r="K472" s="1665">
        <v>107593171</v>
      </c>
    </row>
    <row r="473" spans="1:11">
      <c r="A473" t="s">
        <v>3572</v>
      </c>
      <c r="B473" s="1417" t="s">
        <v>1843</v>
      </c>
      <c r="C473" s="1417" t="s">
        <v>7563</v>
      </c>
      <c r="D473" s="1665">
        <v>114346311</v>
      </c>
      <c r="E473" s="1665">
        <v>110635077</v>
      </c>
      <c r="F473" s="1665">
        <v>114346311</v>
      </c>
      <c r="G473" s="1665">
        <v>110635077</v>
      </c>
      <c r="H473" s="1665">
        <v>114346311</v>
      </c>
      <c r="I473" s="1665">
        <v>110635077</v>
      </c>
      <c r="J473" s="1665">
        <v>114346311</v>
      </c>
      <c r="K473" s="1665">
        <v>110635077</v>
      </c>
    </row>
    <row r="474" spans="1:11">
      <c r="A474" t="s">
        <v>6734</v>
      </c>
      <c r="B474" s="1417" t="s">
        <v>1242</v>
      </c>
      <c r="C474" s="1417" t="s">
        <v>7564</v>
      </c>
      <c r="D474" s="1665">
        <v>828457408</v>
      </c>
      <c r="E474" s="1665">
        <v>825569218</v>
      </c>
      <c r="F474" s="1665">
        <v>825841020</v>
      </c>
      <c r="G474" s="1665">
        <v>822952830</v>
      </c>
      <c r="H474" s="1665">
        <v>828457408</v>
      </c>
      <c r="I474" s="1665">
        <v>825569218</v>
      </c>
      <c r="J474" s="1665">
        <v>825841020</v>
      </c>
      <c r="K474" s="1665">
        <v>822952830</v>
      </c>
    </row>
    <row r="475" spans="1:11">
      <c r="A475" t="s">
        <v>6735</v>
      </c>
      <c r="B475" s="1417" t="s">
        <v>1243</v>
      </c>
      <c r="C475" s="1417" t="s">
        <v>7565</v>
      </c>
      <c r="D475" s="1665">
        <v>54477872</v>
      </c>
      <c r="E475" s="1665">
        <v>53529942</v>
      </c>
      <c r="F475" s="1665">
        <v>54477872</v>
      </c>
      <c r="G475" s="1665">
        <v>53529942</v>
      </c>
      <c r="H475" s="1665">
        <v>54477872</v>
      </c>
      <c r="I475" s="1665">
        <v>53529942</v>
      </c>
      <c r="J475" s="1665">
        <v>54477872</v>
      </c>
      <c r="K475" s="1665">
        <v>53529942</v>
      </c>
    </row>
    <row r="476" spans="1:11">
      <c r="A476" t="s">
        <v>5930</v>
      </c>
      <c r="B476" s="1417" t="s">
        <v>1244</v>
      </c>
      <c r="C476" s="1417" t="s">
        <v>7566</v>
      </c>
      <c r="D476" s="1665">
        <v>5836303184</v>
      </c>
      <c r="E476" s="1665">
        <v>5713907551</v>
      </c>
      <c r="F476" s="1665">
        <v>5836303184</v>
      </c>
      <c r="G476" s="1665">
        <v>5713907551</v>
      </c>
      <c r="H476" s="1665">
        <v>5836303184</v>
      </c>
      <c r="I476" s="1665">
        <v>5713907551</v>
      </c>
      <c r="J476" s="1665">
        <v>5836303184</v>
      </c>
      <c r="K476" s="1665">
        <v>5713907551</v>
      </c>
    </row>
    <row r="477" spans="1:11">
      <c r="A477" t="s">
        <v>3573</v>
      </c>
      <c r="B477" s="1417" t="s">
        <v>1772</v>
      </c>
      <c r="C477" s="1417" t="s">
        <v>7567</v>
      </c>
      <c r="D477" s="1665">
        <v>177644191</v>
      </c>
      <c r="E477" s="1665">
        <v>173313021</v>
      </c>
      <c r="F477" s="1665">
        <v>177644191</v>
      </c>
      <c r="G477" s="1665">
        <v>173313021</v>
      </c>
      <c r="H477" s="1665">
        <v>177644191</v>
      </c>
      <c r="I477" s="1665">
        <v>173313021</v>
      </c>
      <c r="J477" s="1665">
        <v>177644191</v>
      </c>
      <c r="K477" s="1665">
        <v>173313021</v>
      </c>
    </row>
    <row r="478" spans="1:11">
      <c r="A478" t="s">
        <v>3574</v>
      </c>
      <c r="B478" s="1417" t="s">
        <v>1516</v>
      </c>
      <c r="C478" s="1417" t="s">
        <v>7568</v>
      </c>
      <c r="D478" s="1665">
        <v>269375901</v>
      </c>
      <c r="E478" s="1665">
        <v>263469430</v>
      </c>
      <c r="F478" s="1665">
        <v>269375901</v>
      </c>
      <c r="G478" s="1665">
        <v>263469430</v>
      </c>
      <c r="H478" s="1665">
        <v>269375901</v>
      </c>
      <c r="I478" s="1665">
        <v>263469430</v>
      </c>
      <c r="J478" s="1665">
        <v>269375901</v>
      </c>
      <c r="K478" s="1665">
        <v>263469430</v>
      </c>
    </row>
    <row r="479" spans="1:11">
      <c r="A479" t="s">
        <v>3575</v>
      </c>
      <c r="B479" s="1417" t="s">
        <v>180</v>
      </c>
      <c r="C479" s="1417" t="s">
        <v>7569</v>
      </c>
      <c r="D479" s="1665">
        <v>1511467257</v>
      </c>
      <c r="E479" s="1665">
        <v>1465180361</v>
      </c>
      <c r="F479" s="1665">
        <v>1511467257</v>
      </c>
      <c r="G479" s="1665">
        <v>1465180361</v>
      </c>
      <c r="H479" s="1665">
        <v>1511467257</v>
      </c>
      <c r="I479" s="1665">
        <v>1465180361</v>
      </c>
      <c r="J479" s="1665">
        <v>1511467257</v>
      </c>
      <c r="K479" s="1665">
        <v>1465180361</v>
      </c>
    </row>
    <row r="480" spans="1:11">
      <c r="A480" t="s">
        <v>3576</v>
      </c>
      <c r="B480" s="1417" t="s">
        <v>1497</v>
      </c>
      <c r="C480" s="1417" t="s">
        <v>7570</v>
      </c>
      <c r="D480" s="1665">
        <v>90336722</v>
      </c>
      <c r="E480" s="1665">
        <v>85684891</v>
      </c>
      <c r="F480" s="1665">
        <v>90336722</v>
      </c>
      <c r="G480" s="1665">
        <v>85684891</v>
      </c>
      <c r="H480" s="1665">
        <v>90336722</v>
      </c>
      <c r="I480" s="1665">
        <v>85684891</v>
      </c>
      <c r="J480" s="1665">
        <v>90336722</v>
      </c>
      <c r="K480" s="1665">
        <v>85684891</v>
      </c>
    </row>
    <row r="481" spans="1:11">
      <c r="A481" t="s">
        <v>5931</v>
      </c>
      <c r="B481" s="1417" t="s">
        <v>181</v>
      </c>
      <c r="C481" s="1417" t="s">
        <v>7571</v>
      </c>
      <c r="D481" s="1665">
        <v>90900747</v>
      </c>
      <c r="E481" s="1665">
        <v>86758578</v>
      </c>
      <c r="F481" s="1665">
        <v>90900747</v>
      </c>
      <c r="G481" s="1665">
        <v>86758578</v>
      </c>
      <c r="H481" s="1665">
        <v>90900747</v>
      </c>
      <c r="I481" s="1665">
        <v>86758578</v>
      </c>
      <c r="J481" s="1665">
        <v>90900747</v>
      </c>
      <c r="K481" s="1665">
        <v>86758578</v>
      </c>
    </row>
    <row r="482" spans="1:11">
      <c r="A482" t="s">
        <v>3577</v>
      </c>
      <c r="B482" s="1417" t="s">
        <v>1943</v>
      </c>
      <c r="C482" s="1417" t="s">
        <v>7572</v>
      </c>
      <c r="D482" s="1665">
        <v>64089463</v>
      </c>
      <c r="E482" s="1665">
        <v>60616697</v>
      </c>
      <c r="F482" s="1665">
        <v>64089463</v>
      </c>
      <c r="G482" s="1665">
        <v>60616697</v>
      </c>
      <c r="H482" s="1665">
        <v>64089463</v>
      </c>
      <c r="I482" s="1665">
        <v>60616697</v>
      </c>
      <c r="J482" s="1665">
        <v>64089463</v>
      </c>
      <c r="K482" s="1665">
        <v>60616697</v>
      </c>
    </row>
    <row r="483" spans="1:11">
      <c r="A483" t="s">
        <v>6736</v>
      </c>
      <c r="B483" s="1417" t="s">
        <v>182</v>
      </c>
      <c r="C483" s="1417" t="s">
        <v>7573</v>
      </c>
      <c r="D483" s="1665">
        <v>161416413</v>
      </c>
      <c r="E483" s="1665">
        <v>155045944</v>
      </c>
      <c r="F483" s="1665">
        <v>161416413</v>
      </c>
      <c r="G483" s="1665">
        <v>155045944</v>
      </c>
      <c r="H483" s="1665">
        <v>161416413</v>
      </c>
      <c r="I483" s="1665">
        <v>155045944</v>
      </c>
      <c r="J483" s="1665">
        <v>161416413</v>
      </c>
      <c r="K483" s="1665">
        <v>155045944</v>
      </c>
    </row>
    <row r="484" spans="1:11">
      <c r="A484" t="s">
        <v>6737</v>
      </c>
      <c r="B484" s="1417" t="s">
        <v>183</v>
      </c>
      <c r="C484" s="1417" t="s">
        <v>7574</v>
      </c>
      <c r="D484" s="1665">
        <v>75321399</v>
      </c>
      <c r="E484" s="1665">
        <v>73303547</v>
      </c>
      <c r="F484" s="1665">
        <v>75321399</v>
      </c>
      <c r="G484" s="1665">
        <v>73303547</v>
      </c>
      <c r="H484" s="1665">
        <v>75321399</v>
      </c>
      <c r="I484" s="1665">
        <v>73303547</v>
      </c>
      <c r="J484" s="1665">
        <v>75321399</v>
      </c>
      <c r="K484" s="1665">
        <v>73303547</v>
      </c>
    </row>
    <row r="485" spans="1:11">
      <c r="A485" t="s">
        <v>3578</v>
      </c>
      <c r="B485" s="1417" t="s">
        <v>1498</v>
      </c>
      <c r="C485" s="1417" t="s">
        <v>7575</v>
      </c>
      <c r="D485" s="1665">
        <v>104678585</v>
      </c>
      <c r="E485" s="1665">
        <v>101962834</v>
      </c>
      <c r="F485" s="1665">
        <v>104678585</v>
      </c>
      <c r="G485" s="1665">
        <v>101962834</v>
      </c>
      <c r="H485" s="1665">
        <v>104678585</v>
      </c>
      <c r="I485" s="1665">
        <v>101962834</v>
      </c>
      <c r="J485" s="1665">
        <v>104678585</v>
      </c>
      <c r="K485" s="1665">
        <v>101962834</v>
      </c>
    </row>
    <row r="486" spans="1:11">
      <c r="A486" t="s">
        <v>5932</v>
      </c>
      <c r="B486" s="1417" t="s">
        <v>1421</v>
      </c>
      <c r="C486" s="1417" t="s">
        <v>7576</v>
      </c>
      <c r="D486" s="1665">
        <v>470377450</v>
      </c>
      <c r="E486" s="1665">
        <v>453700670</v>
      </c>
      <c r="F486" s="1665">
        <v>470377450</v>
      </c>
      <c r="G486" s="1665">
        <v>453700670</v>
      </c>
      <c r="H486" s="1665">
        <v>532497520</v>
      </c>
      <c r="I486" s="1665">
        <v>515820740</v>
      </c>
      <c r="J486" s="1665">
        <v>532497520</v>
      </c>
      <c r="K486" s="1665">
        <v>515820740</v>
      </c>
    </row>
    <row r="487" spans="1:11">
      <c r="A487" t="s">
        <v>5933</v>
      </c>
      <c r="B487" s="1417" t="s">
        <v>1261</v>
      </c>
      <c r="C487" s="1417" t="s">
        <v>7577</v>
      </c>
      <c r="D487" s="1665">
        <v>330670971</v>
      </c>
      <c r="E487" s="1665">
        <v>320736971</v>
      </c>
      <c r="F487" s="1665">
        <v>330670971</v>
      </c>
      <c r="G487" s="1665">
        <v>320736971</v>
      </c>
      <c r="H487" s="1665">
        <v>330670971</v>
      </c>
      <c r="I487" s="1665">
        <v>320736971</v>
      </c>
      <c r="J487" s="1665">
        <v>330670971</v>
      </c>
      <c r="K487" s="1665">
        <v>320736971</v>
      </c>
    </row>
    <row r="488" spans="1:11">
      <c r="A488" t="s">
        <v>6738</v>
      </c>
      <c r="B488" s="1417" t="s">
        <v>978</v>
      </c>
      <c r="C488" s="1417" t="s">
        <v>7578</v>
      </c>
      <c r="D488" s="1665">
        <v>261732910</v>
      </c>
      <c r="E488" s="1665">
        <v>255133040</v>
      </c>
      <c r="F488" s="1665">
        <v>261732910</v>
      </c>
      <c r="G488" s="1665">
        <v>255133040</v>
      </c>
      <c r="H488" s="1665">
        <v>261732910</v>
      </c>
      <c r="I488" s="1665">
        <v>255133040</v>
      </c>
      <c r="J488" s="1665">
        <v>261732910</v>
      </c>
      <c r="K488" s="1665">
        <v>255133040</v>
      </c>
    </row>
    <row r="489" spans="1:11">
      <c r="A489" t="s">
        <v>5934</v>
      </c>
      <c r="B489" s="1417" t="s">
        <v>979</v>
      </c>
      <c r="C489" s="1417" t="s">
        <v>7579</v>
      </c>
      <c r="D489" s="1665">
        <v>157763027</v>
      </c>
      <c r="E489" s="1665">
        <v>151865467</v>
      </c>
      <c r="F489" s="1665">
        <v>157763027</v>
      </c>
      <c r="G489" s="1665">
        <v>151865467</v>
      </c>
      <c r="H489" s="1665">
        <v>157763027</v>
      </c>
      <c r="I489" s="1665">
        <v>151865467</v>
      </c>
      <c r="J489" s="1665">
        <v>157763027</v>
      </c>
      <c r="K489" s="1665">
        <v>151865467</v>
      </c>
    </row>
    <row r="490" spans="1:11">
      <c r="A490" t="s">
        <v>6739</v>
      </c>
      <c r="B490" s="1417" t="s">
        <v>899</v>
      </c>
      <c r="C490" s="1417" t="s">
        <v>7580</v>
      </c>
      <c r="D490" s="1665">
        <v>137726043</v>
      </c>
      <c r="E490" s="1665">
        <v>132422413</v>
      </c>
      <c r="F490" s="1665">
        <v>137726043</v>
      </c>
      <c r="G490" s="1665">
        <v>132422413</v>
      </c>
      <c r="H490" s="1665">
        <v>137726043</v>
      </c>
      <c r="I490" s="1665">
        <v>132422413</v>
      </c>
      <c r="J490" s="1665">
        <v>137726043</v>
      </c>
      <c r="K490" s="1665">
        <v>132422413</v>
      </c>
    </row>
    <row r="491" spans="1:11">
      <c r="A491" t="s">
        <v>3579</v>
      </c>
      <c r="B491" s="1417" t="s">
        <v>1797</v>
      </c>
      <c r="C491" s="1417" t="s">
        <v>7581</v>
      </c>
      <c r="D491" s="1665">
        <v>2478136312</v>
      </c>
      <c r="E491" s="1665">
        <v>2437415604</v>
      </c>
      <c r="F491" s="1665">
        <v>2435459776</v>
      </c>
      <c r="G491" s="1665">
        <v>2394739068</v>
      </c>
      <c r="H491" s="1665">
        <v>2575950312</v>
      </c>
      <c r="I491" s="1665">
        <v>2535229604</v>
      </c>
      <c r="J491" s="1665">
        <v>2533273776</v>
      </c>
      <c r="K491" s="1665">
        <v>2492553068</v>
      </c>
    </row>
    <row r="492" spans="1:11">
      <c r="A492" t="s">
        <v>5935</v>
      </c>
      <c r="B492" s="1417" t="s">
        <v>2677</v>
      </c>
      <c r="C492" s="1417" t="s">
        <v>7582</v>
      </c>
      <c r="D492" s="1665">
        <v>400471502</v>
      </c>
      <c r="E492" s="1665">
        <v>391392566</v>
      </c>
      <c r="F492" s="1665">
        <v>389401436</v>
      </c>
      <c r="G492" s="1665">
        <v>380322500</v>
      </c>
      <c r="H492" s="1665">
        <v>400471502</v>
      </c>
      <c r="I492" s="1665">
        <v>391392566</v>
      </c>
      <c r="J492" s="1665">
        <v>389401436</v>
      </c>
      <c r="K492" s="1665">
        <v>380322500</v>
      </c>
    </row>
    <row r="493" spans="1:11">
      <c r="A493" t="s">
        <v>5936</v>
      </c>
      <c r="B493" s="1417" t="s">
        <v>2678</v>
      </c>
      <c r="C493" s="1417" t="s">
        <v>7583</v>
      </c>
      <c r="D493" s="1665">
        <v>623986774</v>
      </c>
      <c r="E493" s="1665">
        <v>618360419</v>
      </c>
      <c r="F493" s="1665">
        <v>616259846</v>
      </c>
      <c r="G493" s="1665">
        <v>610633491</v>
      </c>
      <c r="H493" s="1665">
        <v>633716174</v>
      </c>
      <c r="I493" s="1665">
        <v>628089819</v>
      </c>
      <c r="J493" s="1665">
        <v>625989246</v>
      </c>
      <c r="K493" s="1665">
        <v>620362891</v>
      </c>
    </row>
    <row r="494" spans="1:11">
      <c r="A494" t="s">
        <v>5937</v>
      </c>
      <c r="B494" s="1417" t="s">
        <v>1331</v>
      </c>
      <c r="C494" s="1417" t="s">
        <v>7584</v>
      </c>
      <c r="D494" s="1665">
        <v>263711991</v>
      </c>
      <c r="E494" s="1665">
        <v>260950982</v>
      </c>
      <c r="F494" s="1665">
        <v>263711991</v>
      </c>
      <c r="G494" s="1665">
        <v>260950982</v>
      </c>
      <c r="H494" s="1665">
        <v>263711991</v>
      </c>
      <c r="I494" s="1665">
        <v>260950982</v>
      </c>
      <c r="J494" s="1665">
        <v>263711991</v>
      </c>
      <c r="K494" s="1665">
        <v>260950982</v>
      </c>
    </row>
    <row r="495" spans="1:11">
      <c r="A495" t="s">
        <v>6740</v>
      </c>
      <c r="B495" s="1417" t="s">
        <v>2177</v>
      </c>
      <c r="C495" s="1417" t="s">
        <v>7585</v>
      </c>
      <c r="D495" s="1665">
        <v>183443973</v>
      </c>
      <c r="E495" s="1665">
        <v>182661000</v>
      </c>
      <c r="F495" s="1665">
        <v>183443973</v>
      </c>
      <c r="G495" s="1665">
        <v>182661000</v>
      </c>
      <c r="H495" s="1665">
        <v>183443973</v>
      </c>
      <c r="I495" s="1665">
        <v>182661000</v>
      </c>
      <c r="J495" s="1665">
        <v>183443973</v>
      </c>
      <c r="K495" s="1665">
        <v>182661000</v>
      </c>
    </row>
    <row r="496" spans="1:11">
      <c r="A496" t="s">
        <v>6741</v>
      </c>
      <c r="B496" s="1417" t="s">
        <v>1111</v>
      </c>
      <c r="C496" s="1417" t="s">
        <v>7586</v>
      </c>
      <c r="D496" s="1665">
        <v>66862987</v>
      </c>
      <c r="E496" s="1665">
        <v>66214272</v>
      </c>
      <c r="F496" s="1665">
        <v>66583065</v>
      </c>
      <c r="G496" s="1665">
        <v>65934350</v>
      </c>
      <c r="H496" s="1665">
        <v>66862987</v>
      </c>
      <c r="I496" s="1665">
        <v>66214272</v>
      </c>
      <c r="J496" s="1665">
        <v>66583065</v>
      </c>
      <c r="K496" s="1665">
        <v>65934350</v>
      </c>
    </row>
    <row r="497" spans="1:11">
      <c r="A497" t="s">
        <v>3580</v>
      </c>
      <c r="B497" s="1417" t="s">
        <v>1886</v>
      </c>
      <c r="C497" s="1417" t="s">
        <v>7587</v>
      </c>
      <c r="D497" s="1665">
        <v>533034705</v>
      </c>
      <c r="E497" s="1665">
        <v>516307536</v>
      </c>
      <c r="F497" s="1665">
        <v>533034705</v>
      </c>
      <c r="G497" s="1665">
        <v>516307536</v>
      </c>
      <c r="H497" s="1665">
        <v>533034705</v>
      </c>
      <c r="I497" s="1665">
        <v>516307536</v>
      </c>
      <c r="J497" s="1665">
        <v>533034705</v>
      </c>
      <c r="K497" s="1665">
        <v>516307536</v>
      </c>
    </row>
    <row r="498" spans="1:11">
      <c r="A498" t="s">
        <v>3581</v>
      </c>
      <c r="B498" s="1417" t="s">
        <v>1112</v>
      </c>
      <c r="C498" s="1417" t="s">
        <v>7588</v>
      </c>
      <c r="D498" s="1665">
        <v>114987099</v>
      </c>
      <c r="E498" s="1665">
        <v>109694120</v>
      </c>
      <c r="F498" s="1665">
        <v>114987099</v>
      </c>
      <c r="G498" s="1665">
        <v>109694120</v>
      </c>
      <c r="H498" s="1665">
        <v>114987099</v>
      </c>
      <c r="I498" s="1665">
        <v>109694120</v>
      </c>
      <c r="J498" s="1665">
        <v>114987099</v>
      </c>
      <c r="K498" s="1665">
        <v>109694120</v>
      </c>
    </row>
    <row r="499" spans="1:11">
      <c r="A499" t="s">
        <v>3582</v>
      </c>
      <c r="B499" s="1417" t="s">
        <v>1437</v>
      </c>
      <c r="C499" s="1417" t="s">
        <v>7589</v>
      </c>
      <c r="D499" s="1665">
        <v>479166527</v>
      </c>
      <c r="E499" s="1665">
        <v>465322851</v>
      </c>
      <c r="F499" s="1665">
        <v>479166527</v>
      </c>
      <c r="G499" s="1665">
        <v>465322851</v>
      </c>
      <c r="H499" s="1665">
        <v>479166527</v>
      </c>
      <c r="I499" s="1665">
        <v>465322851</v>
      </c>
      <c r="J499" s="1665">
        <v>479166527</v>
      </c>
      <c r="K499" s="1665">
        <v>465322851</v>
      </c>
    </row>
    <row r="500" spans="1:11">
      <c r="A500" t="s">
        <v>5938</v>
      </c>
      <c r="B500" s="1417" t="s">
        <v>1058</v>
      </c>
      <c r="C500" s="1417" t="s">
        <v>7590</v>
      </c>
      <c r="D500" s="1665">
        <v>2290401126</v>
      </c>
      <c r="E500" s="1665">
        <v>2235392118</v>
      </c>
      <c r="F500" s="1665">
        <v>2290401126</v>
      </c>
      <c r="G500" s="1665">
        <v>2235392118</v>
      </c>
      <c r="H500" s="1665">
        <v>2290401126</v>
      </c>
      <c r="I500" s="1665">
        <v>2235392118</v>
      </c>
      <c r="J500" s="1665">
        <v>2290401126</v>
      </c>
      <c r="K500" s="1665">
        <v>2235392118</v>
      </c>
    </row>
    <row r="501" spans="1:11">
      <c r="A501" t="s">
        <v>3583</v>
      </c>
      <c r="B501" s="1417" t="s">
        <v>1944</v>
      </c>
      <c r="C501" s="1417" t="s">
        <v>7591</v>
      </c>
      <c r="D501" s="1665">
        <v>268150794</v>
      </c>
      <c r="E501" s="1665">
        <v>257554333</v>
      </c>
      <c r="F501" s="1665">
        <v>268150794</v>
      </c>
      <c r="G501" s="1665">
        <v>257554333</v>
      </c>
      <c r="H501" s="1665">
        <v>268150794</v>
      </c>
      <c r="I501" s="1665">
        <v>257554333</v>
      </c>
      <c r="J501" s="1665">
        <v>268150794</v>
      </c>
      <c r="K501" s="1665">
        <v>257554333</v>
      </c>
    </row>
    <row r="502" spans="1:11">
      <c r="A502" t="s">
        <v>3584</v>
      </c>
      <c r="B502" s="1417" t="s">
        <v>1584</v>
      </c>
      <c r="C502" s="1417" t="s">
        <v>7592</v>
      </c>
      <c r="D502" s="1665">
        <v>889142711</v>
      </c>
      <c r="E502" s="1665">
        <v>861167369</v>
      </c>
      <c r="F502" s="1665">
        <v>889142711</v>
      </c>
      <c r="G502" s="1665">
        <v>861167369</v>
      </c>
      <c r="H502" s="1665">
        <v>889142711</v>
      </c>
      <c r="I502" s="1665">
        <v>861167369</v>
      </c>
      <c r="J502" s="1665">
        <v>889142711</v>
      </c>
      <c r="K502" s="1665">
        <v>861167369</v>
      </c>
    </row>
    <row r="503" spans="1:11">
      <c r="A503" t="s">
        <v>3585</v>
      </c>
      <c r="B503" s="1417" t="s">
        <v>245</v>
      </c>
      <c r="C503" s="1417" t="s">
        <v>7593</v>
      </c>
      <c r="D503" s="1665">
        <v>129860991</v>
      </c>
      <c r="E503" s="1665">
        <v>123180915</v>
      </c>
      <c r="F503" s="1665">
        <v>129860991</v>
      </c>
      <c r="G503" s="1665">
        <v>123180915</v>
      </c>
      <c r="H503" s="1665">
        <v>129860991</v>
      </c>
      <c r="I503" s="1665">
        <v>123180915</v>
      </c>
      <c r="J503" s="1665">
        <v>129860991</v>
      </c>
      <c r="K503" s="1665">
        <v>123180915</v>
      </c>
    </row>
    <row r="504" spans="1:11">
      <c r="A504" t="s">
        <v>5939</v>
      </c>
      <c r="B504" s="1417" t="s">
        <v>1059</v>
      </c>
      <c r="C504" s="1417" t="s">
        <v>7594</v>
      </c>
      <c r="D504" s="1665">
        <v>103302841</v>
      </c>
      <c r="E504" s="1665">
        <v>98637689</v>
      </c>
      <c r="F504" s="1665">
        <v>103302841</v>
      </c>
      <c r="G504" s="1665">
        <v>98637689</v>
      </c>
      <c r="H504" s="1665">
        <v>103302841</v>
      </c>
      <c r="I504" s="1665">
        <v>98637689</v>
      </c>
      <c r="J504" s="1665">
        <v>103302841</v>
      </c>
      <c r="K504" s="1665">
        <v>98637689</v>
      </c>
    </row>
    <row r="505" spans="1:11">
      <c r="A505" t="s">
        <v>3586</v>
      </c>
      <c r="B505" s="1417" t="s">
        <v>875</v>
      </c>
      <c r="C505" s="1417" t="s">
        <v>7595</v>
      </c>
      <c r="D505" s="1665">
        <v>207127590</v>
      </c>
      <c r="E505" s="1665">
        <v>200365083</v>
      </c>
      <c r="F505" s="1665">
        <v>207127590</v>
      </c>
      <c r="G505" s="1665">
        <v>200365083</v>
      </c>
      <c r="H505" s="1665">
        <v>207127590</v>
      </c>
      <c r="I505" s="1665">
        <v>200365083</v>
      </c>
      <c r="J505" s="1665">
        <v>207127590</v>
      </c>
      <c r="K505" s="1665">
        <v>200365083</v>
      </c>
    </row>
    <row r="506" spans="1:11">
      <c r="A506" t="s">
        <v>3587</v>
      </c>
      <c r="B506" s="1417" t="s">
        <v>1844</v>
      </c>
      <c r="C506" s="1417" t="s">
        <v>7596</v>
      </c>
      <c r="D506" s="1665">
        <v>19110439</v>
      </c>
      <c r="E506" s="1665">
        <v>18060612</v>
      </c>
      <c r="F506" s="1665">
        <v>19110439</v>
      </c>
      <c r="G506" s="1665">
        <v>18060612</v>
      </c>
      <c r="H506" s="1665">
        <v>19110439</v>
      </c>
      <c r="I506" s="1665">
        <v>18060612</v>
      </c>
      <c r="J506" s="1665">
        <v>19110439</v>
      </c>
      <c r="K506" s="1665">
        <v>18060612</v>
      </c>
    </row>
    <row r="507" spans="1:11">
      <c r="A507" t="s">
        <v>5940</v>
      </c>
      <c r="B507" s="1417" t="s">
        <v>1060</v>
      </c>
      <c r="C507" s="1417" t="s">
        <v>7597</v>
      </c>
      <c r="D507" s="1665">
        <v>657920063</v>
      </c>
      <c r="E507" s="1665">
        <v>626091683</v>
      </c>
      <c r="F507" s="1665">
        <v>644548953</v>
      </c>
      <c r="G507" s="1665">
        <v>612720573</v>
      </c>
      <c r="H507" s="1665">
        <v>1070508973</v>
      </c>
      <c r="I507" s="1665">
        <v>1038680593</v>
      </c>
      <c r="J507" s="1665">
        <v>1057137863</v>
      </c>
      <c r="K507" s="1665">
        <v>1025309483</v>
      </c>
    </row>
    <row r="508" spans="1:11">
      <c r="A508" t="s">
        <v>5941</v>
      </c>
      <c r="B508" s="1417" t="s">
        <v>2140</v>
      </c>
      <c r="C508" s="1417" t="s">
        <v>7598</v>
      </c>
      <c r="D508" s="1665">
        <v>138689065</v>
      </c>
      <c r="E508" s="1665">
        <v>126829775</v>
      </c>
      <c r="F508" s="1665">
        <v>138322495</v>
      </c>
      <c r="G508" s="1665">
        <v>126463205</v>
      </c>
      <c r="H508" s="1665">
        <v>138689065</v>
      </c>
      <c r="I508" s="1665">
        <v>126829775</v>
      </c>
      <c r="J508" s="1665">
        <v>138322495</v>
      </c>
      <c r="K508" s="1665">
        <v>126463205</v>
      </c>
    </row>
    <row r="509" spans="1:11">
      <c r="A509" t="s">
        <v>5942</v>
      </c>
      <c r="B509" s="1417" t="s">
        <v>2141</v>
      </c>
      <c r="C509" s="1417" t="s">
        <v>7599</v>
      </c>
      <c r="D509" s="1665">
        <v>1208216252</v>
      </c>
      <c r="E509" s="1665">
        <v>1208216252</v>
      </c>
      <c r="F509" s="1665">
        <v>1204199742</v>
      </c>
      <c r="G509" s="1665">
        <v>1204199742</v>
      </c>
      <c r="H509" s="1665">
        <v>1208216252</v>
      </c>
      <c r="I509" s="1665">
        <v>1208216252</v>
      </c>
      <c r="J509" s="1665">
        <v>1204199742</v>
      </c>
      <c r="K509" s="1665">
        <v>1204199742</v>
      </c>
    </row>
    <row r="510" spans="1:11">
      <c r="A510" t="s">
        <v>6742</v>
      </c>
      <c r="B510" s="1417" t="s">
        <v>1259</v>
      </c>
      <c r="C510" s="1417" t="s">
        <v>7600</v>
      </c>
      <c r="D510" s="1665">
        <v>37184303</v>
      </c>
      <c r="E510" s="1665">
        <v>36998993</v>
      </c>
      <c r="F510" s="1665">
        <v>37059763</v>
      </c>
      <c r="G510" s="1665">
        <v>36874453</v>
      </c>
      <c r="H510" s="1665">
        <v>37184303</v>
      </c>
      <c r="I510" s="1665">
        <v>36998993</v>
      </c>
      <c r="J510" s="1665">
        <v>37059763</v>
      </c>
      <c r="K510" s="1665">
        <v>36874453</v>
      </c>
    </row>
    <row r="511" spans="1:11">
      <c r="A511" t="s">
        <v>5943</v>
      </c>
      <c r="B511" s="1417" t="s">
        <v>1260</v>
      </c>
      <c r="C511" s="1417" t="s">
        <v>7601</v>
      </c>
      <c r="D511" s="1665">
        <v>1167935435</v>
      </c>
      <c r="E511" s="1665">
        <v>1167935435</v>
      </c>
      <c r="F511" s="1665">
        <v>1167935435</v>
      </c>
      <c r="G511" s="1665">
        <v>1167935435</v>
      </c>
      <c r="H511" s="1665">
        <v>1167935435</v>
      </c>
      <c r="I511" s="1665">
        <v>1167935435</v>
      </c>
      <c r="J511" s="1665">
        <v>1167935435</v>
      </c>
      <c r="K511" s="1665">
        <v>1167935435</v>
      </c>
    </row>
    <row r="512" spans="1:11">
      <c r="A512" t="s">
        <v>5944</v>
      </c>
      <c r="B512" s="1417" t="s">
        <v>923</v>
      </c>
      <c r="C512" s="1417" t="s">
        <v>7602</v>
      </c>
      <c r="D512" s="1665">
        <v>174210601</v>
      </c>
      <c r="E512" s="1665">
        <v>172005032</v>
      </c>
      <c r="F512" s="1665">
        <v>174210601</v>
      </c>
      <c r="G512" s="1665">
        <v>172005032</v>
      </c>
      <c r="H512" s="1665">
        <v>254226917</v>
      </c>
      <c r="I512" s="1665">
        <v>252021348</v>
      </c>
      <c r="J512" s="1665">
        <v>254226917</v>
      </c>
      <c r="K512" s="1665">
        <v>252021348</v>
      </c>
    </row>
    <row r="513" spans="1:11">
      <c r="A513" t="s">
        <v>5945</v>
      </c>
      <c r="B513" s="1417" t="s">
        <v>924</v>
      </c>
      <c r="C513" s="1417" t="s">
        <v>7603</v>
      </c>
      <c r="D513" s="1665">
        <v>729443185</v>
      </c>
      <c r="E513" s="1665">
        <v>719327056</v>
      </c>
      <c r="F513" s="1665">
        <v>729443185</v>
      </c>
      <c r="G513" s="1665">
        <v>719327056</v>
      </c>
      <c r="H513" s="1665">
        <v>795503115</v>
      </c>
      <c r="I513" s="1665">
        <v>785386986</v>
      </c>
      <c r="J513" s="1665">
        <v>795503115</v>
      </c>
      <c r="K513" s="1665">
        <v>785386986</v>
      </c>
    </row>
    <row r="514" spans="1:11">
      <c r="A514" t="s">
        <v>5946</v>
      </c>
      <c r="B514" s="1417" t="s">
        <v>925</v>
      </c>
      <c r="C514" s="1417" t="s">
        <v>7604</v>
      </c>
      <c r="D514" s="1665">
        <v>282799430</v>
      </c>
      <c r="E514" s="1665">
        <v>278369628</v>
      </c>
      <c r="F514" s="1665">
        <v>282799430</v>
      </c>
      <c r="G514" s="1665">
        <v>278369628</v>
      </c>
      <c r="H514" s="1665">
        <v>288517010</v>
      </c>
      <c r="I514" s="1665">
        <v>284087208</v>
      </c>
      <c r="J514" s="1665">
        <v>288517010</v>
      </c>
      <c r="K514" s="1665">
        <v>284087208</v>
      </c>
    </row>
    <row r="515" spans="1:11">
      <c r="A515" t="s">
        <v>5947</v>
      </c>
      <c r="B515" s="1417" t="s">
        <v>926</v>
      </c>
      <c r="C515" s="1417" t="s">
        <v>7605</v>
      </c>
      <c r="D515" s="1665">
        <v>534218531</v>
      </c>
      <c r="E515" s="1665">
        <v>518143415</v>
      </c>
      <c r="F515" s="1665">
        <v>534218531</v>
      </c>
      <c r="G515" s="1665">
        <v>518143415</v>
      </c>
      <c r="H515" s="1665">
        <v>605548631</v>
      </c>
      <c r="I515" s="1665">
        <v>589473515</v>
      </c>
      <c r="J515" s="1665">
        <v>605548631</v>
      </c>
      <c r="K515" s="1665">
        <v>589473515</v>
      </c>
    </row>
    <row r="516" spans="1:11">
      <c r="A516" t="s">
        <v>3588</v>
      </c>
      <c r="B516" s="1417" t="s">
        <v>2577</v>
      </c>
      <c r="C516" s="1417" t="s">
        <v>7606</v>
      </c>
      <c r="D516" s="1665">
        <v>227976301</v>
      </c>
      <c r="E516" s="1665">
        <v>220962859</v>
      </c>
      <c r="F516" s="1665">
        <v>227976301</v>
      </c>
      <c r="G516" s="1665">
        <v>220962859</v>
      </c>
      <c r="H516" s="1665">
        <v>504963001</v>
      </c>
      <c r="I516" s="1665">
        <v>497949559</v>
      </c>
      <c r="J516" s="1665">
        <v>504963001</v>
      </c>
      <c r="K516" s="1665">
        <v>497949559</v>
      </c>
    </row>
    <row r="517" spans="1:11">
      <c r="A517" t="s">
        <v>5948</v>
      </c>
      <c r="B517" s="1417" t="s">
        <v>502</v>
      </c>
      <c r="C517" s="1417" t="s">
        <v>7607</v>
      </c>
      <c r="D517" s="1665">
        <v>964880027</v>
      </c>
      <c r="E517" s="1665">
        <v>954809358</v>
      </c>
      <c r="F517" s="1665">
        <v>948680242</v>
      </c>
      <c r="G517" s="1665">
        <v>938609573</v>
      </c>
      <c r="H517" s="1665">
        <v>964880027</v>
      </c>
      <c r="I517" s="1665">
        <v>954809358</v>
      </c>
      <c r="J517" s="1665">
        <v>948680242</v>
      </c>
      <c r="K517" s="1665">
        <v>938609573</v>
      </c>
    </row>
    <row r="518" spans="1:11">
      <c r="A518" t="s">
        <v>6743</v>
      </c>
      <c r="B518" s="1417" t="s">
        <v>2646</v>
      </c>
      <c r="C518" s="1417" t="s">
        <v>7608</v>
      </c>
      <c r="D518" s="1665">
        <v>296568082</v>
      </c>
      <c r="E518" s="1665">
        <v>290017973</v>
      </c>
      <c r="F518" s="1665">
        <v>286927063</v>
      </c>
      <c r="G518" s="1665">
        <v>280376954</v>
      </c>
      <c r="H518" s="1665">
        <v>296568082</v>
      </c>
      <c r="I518" s="1665">
        <v>290017973</v>
      </c>
      <c r="J518" s="1665">
        <v>286927063</v>
      </c>
      <c r="K518" s="1665">
        <v>280376954</v>
      </c>
    </row>
    <row r="519" spans="1:11">
      <c r="A519" t="s">
        <v>3589</v>
      </c>
      <c r="B519" s="1417" t="s">
        <v>883</v>
      </c>
      <c r="C519" s="1417" t="s">
        <v>7609</v>
      </c>
      <c r="D519" s="1665">
        <v>341285207</v>
      </c>
      <c r="E519" s="1665">
        <v>322113365</v>
      </c>
      <c r="F519" s="1665">
        <v>341285207</v>
      </c>
      <c r="G519" s="1665">
        <v>322113365</v>
      </c>
      <c r="H519" s="1665">
        <v>341285207</v>
      </c>
      <c r="I519" s="1665">
        <v>322113365</v>
      </c>
      <c r="J519" s="1665">
        <v>341285207</v>
      </c>
      <c r="K519" s="1665">
        <v>322113365</v>
      </c>
    </row>
    <row r="520" spans="1:11">
      <c r="A520" t="s">
        <v>3590</v>
      </c>
      <c r="B520" s="1417" t="s">
        <v>44</v>
      </c>
      <c r="C520" s="1417" t="s">
        <v>7610</v>
      </c>
      <c r="D520" s="1665">
        <v>900106033</v>
      </c>
      <c r="E520" s="1665">
        <v>867124714</v>
      </c>
      <c r="F520" s="1665">
        <v>900106033</v>
      </c>
      <c r="G520" s="1665">
        <v>867124714</v>
      </c>
      <c r="H520" s="1665">
        <v>900106033</v>
      </c>
      <c r="I520" s="1665">
        <v>867124714</v>
      </c>
      <c r="J520" s="1665">
        <v>900106033</v>
      </c>
      <c r="K520" s="1665">
        <v>867124714</v>
      </c>
    </row>
    <row r="521" spans="1:11">
      <c r="A521" t="s">
        <v>3591</v>
      </c>
      <c r="B521" s="1417" t="s">
        <v>54</v>
      </c>
      <c r="C521" s="1417" t="s">
        <v>7611</v>
      </c>
      <c r="D521" s="1665">
        <v>305871391</v>
      </c>
      <c r="E521" s="1665">
        <v>289931088</v>
      </c>
      <c r="F521" s="1665">
        <v>305871391</v>
      </c>
      <c r="G521" s="1665">
        <v>289931088</v>
      </c>
      <c r="H521" s="1665">
        <v>305871391</v>
      </c>
      <c r="I521" s="1665">
        <v>289931088</v>
      </c>
      <c r="J521" s="1665">
        <v>305871391</v>
      </c>
      <c r="K521" s="1665">
        <v>289931088</v>
      </c>
    </row>
    <row r="522" spans="1:11">
      <c r="A522" t="s">
        <v>5949</v>
      </c>
      <c r="B522" s="1417" t="s">
        <v>2647</v>
      </c>
      <c r="C522" s="1417" t="s">
        <v>7612</v>
      </c>
      <c r="D522" s="1665">
        <v>357310940</v>
      </c>
      <c r="E522" s="1665">
        <v>353495526</v>
      </c>
      <c r="F522" s="1665">
        <v>353648187</v>
      </c>
      <c r="G522" s="1665">
        <v>349832773</v>
      </c>
      <c r="H522" s="1665">
        <v>357310940</v>
      </c>
      <c r="I522" s="1665">
        <v>353495526</v>
      </c>
      <c r="J522" s="1665">
        <v>353648187</v>
      </c>
      <c r="K522" s="1665">
        <v>349832773</v>
      </c>
    </row>
    <row r="523" spans="1:11">
      <c r="A523" t="s">
        <v>6744</v>
      </c>
      <c r="B523" s="1417" t="s">
        <v>2648</v>
      </c>
      <c r="C523" s="1417" t="s">
        <v>7613</v>
      </c>
      <c r="D523" s="1665">
        <v>220695309</v>
      </c>
      <c r="E523" s="1665">
        <v>215510619</v>
      </c>
      <c r="F523" s="1665">
        <v>220695309</v>
      </c>
      <c r="G523" s="1665">
        <v>215510619</v>
      </c>
      <c r="H523" s="1665">
        <v>220695309</v>
      </c>
      <c r="I523" s="1665">
        <v>215510619</v>
      </c>
      <c r="J523" s="1665">
        <v>220695309</v>
      </c>
      <c r="K523" s="1665">
        <v>215510619</v>
      </c>
    </row>
    <row r="524" spans="1:11">
      <c r="A524" t="s">
        <v>6745</v>
      </c>
      <c r="B524" s="1417" t="s">
        <v>2649</v>
      </c>
      <c r="C524" s="1417" t="s">
        <v>7614</v>
      </c>
      <c r="D524" s="1665">
        <v>50110615</v>
      </c>
      <c r="E524" s="1665">
        <v>49763305</v>
      </c>
      <c r="F524" s="1665">
        <v>50110615</v>
      </c>
      <c r="G524" s="1665">
        <v>49763305</v>
      </c>
      <c r="H524" s="1665">
        <v>50110615</v>
      </c>
      <c r="I524" s="1665">
        <v>49763305</v>
      </c>
      <c r="J524" s="1665">
        <v>50110615</v>
      </c>
      <c r="K524" s="1665">
        <v>49763305</v>
      </c>
    </row>
    <row r="525" spans="1:11">
      <c r="A525" t="s">
        <v>3592</v>
      </c>
      <c r="B525" s="1417" t="s">
        <v>2540</v>
      </c>
      <c r="C525" s="1417" t="s">
        <v>7615</v>
      </c>
      <c r="D525" s="1665">
        <v>2450323441</v>
      </c>
      <c r="E525" s="1665">
        <v>2385790326</v>
      </c>
      <c r="F525" s="1665">
        <v>2450323441</v>
      </c>
      <c r="G525" s="1665">
        <v>2385790326</v>
      </c>
      <c r="H525" s="1665">
        <v>2629825441</v>
      </c>
      <c r="I525" s="1665">
        <v>2565292326</v>
      </c>
      <c r="J525" s="1665">
        <v>2629825441</v>
      </c>
      <c r="K525" s="1665">
        <v>2565292326</v>
      </c>
    </row>
    <row r="526" spans="1:11">
      <c r="A526" t="s">
        <v>5950</v>
      </c>
      <c r="B526" s="1417" t="s">
        <v>2292</v>
      </c>
      <c r="C526" s="1417" t="s">
        <v>7616</v>
      </c>
      <c r="D526" s="1665">
        <v>6231069427</v>
      </c>
      <c r="E526" s="1665">
        <v>6144477094</v>
      </c>
      <c r="F526" s="1665">
        <v>6231069427</v>
      </c>
      <c r="G526" s="1665">
        <v>6144477094</v>
      </c>
      <c r="H526" s="1665">
        <v>6678097927</v>
      </c>
      <c r="I526" s="1665">
        <v>6591505594</v>
      </c>
      <c r="J526" s="1665">
        <v>6678097927</v>
      </c>
      <c r="K526" s="1665">
        <v>6591505594</v>
      </c>
    </row>
    <row r="527" spans="1:11">
      <c r="A527" t="s">
        <v>5951</v>
      </c>
      <c r="B527" s="1417" t="s">
        <v>2293</v>
      </c>
      <c r="C527" s="1417" t="s">
        <v>7617</v>
      </c>
      <c r="D527" s="1665">
        <v>2492267467</v>
      </c>
      <c r="E527" s="1665">
        <v>2424099819</v>
      </c>
      <c r="F527" s="1665">
        <v>2396877943</v>
      </c>
      <c r="G527" s="1665">
        <v>2328710295</v>
      </c>
      <c r="H527" s="1665">
        <v>2944908267</v>
      </c>
      <c r="I527" s="1665">
        <v>2876740619</v>
      </c>
      <c r="J527" s="1665">
        <v>2849518743</v>
      </c>
      <c r="K527" s="1665">
        <v>2781351095</v>
      </c>
    </row>
    <row r="528" spans="1:11">
      <c r="A528" t="s">
        <v>5952</v>
      </c>
      <c r="B528" s="1417" t="s">
        <v>1325</v>
      </c>
      <c r="C528" s="1417" t="s">
        <v>7618</v>
      </c>
      <c r="D528" s="1665">
        <v>10403053321</v>
      </c>
      <c r="E528" s="1665">
        <v>10197619250</v>
      </c>
      <c r="F528" s="1665">
        <v>10403053321</v>
      </c>
      <c r="G528" s="1665">
        <v>10197619250</v>
      </c>
      <c r="H528" s="1665">
        <v>11559538021</v>
      </c>
      <c r="I528" s="1665">
        <v>11354103950</v>
      </c>
      <c r="J528" s="1665">
        <v>11559538021</v>
      </c>
      <c r="K528" s="1665">
        <v>11354103950</v>
      </c>
    </row>
    <row r="529" spans="1:11">
      <c r="A529" t="s">
        <v>5953</v>
      </c>
      <c r="B529" s="1417" t="s">
        <v>1326</v>
      </c>
      <c r="C529" s="1417" t="s">
        <v>7619</v>
      </c>
      <c r="D529" s="1665">
        <v>903134175</v>
      </c>
      <c r="E529" s="1665">
        <v>902246795</v>
      </c>
      <c r="F529" s="1665">
        <v>902213933</v>
      </c>
      <c r="G529" s="1665">
        <v>901326553</v>
      </c>
      <c r="H529" s="1665">
        <v>903134175</v>
      </c>
      <c r="I529" s="1665">
        <v>902246795</v>
      </c>
      <c r="J529" s="1665">
        <v>902213933</v>
      </c>
      <c r="K529" s="1665">
        <v>901326553</v>
      </c>
    </row>
    <row r="530" spans="1:11">
      <c r="A530" t="s">
        <v>3593</v>
      </c>
      <c r="B530" s="1417" t="s">
        <v>1309</v>
      </c>
      <c r="C530" s="1417" t="s">
        <v>7620</v>
      </c>
      <c r="D530" s="1665">
        <v>716803130</v>
      </c>
      <c r="E530" s="1665">
        <v>694347333</v>
      </c>
      <c r="F530" s="1665">
        <v>716803130</v>
      </c>
      <c r="G530" s="1665">
        <v>694347333</v>
      </c>
      <c r="H530" s="1665">
        <v>716803130</v>
      </c>
      <c r="I530" s="1665">
        <v>694347333</v>
      </c>
      <c r="J530" s="1665">
        <v>716803130</v>
      </c>
      <c r="K530" s="1665">
        <v>694347333</v>
      </c>
    </row>
    <row r="531" spans="1:11">
      <c r="A531" t="s">
        <v>5954</v>
      </c>
      <c r="B531" s="1417" t="s">
        <v>1327</v>
      </c>
      <c r="C531" s="1417" t="s">
        <v>7621</v>
      </c>
      <c r="D531" s="1665">
        <v>316504770</v>
      </c>
      <c r="E531" s="1665">
        <v>307647100</v>
      </c>
      <c r="F531" s="1665">
        <v>313017150</v>
      </c>
      <c r="G531" s="1665">
        <v>304159480</v>
      </c>
      <c r="H531" s="1665">
        <v>406941300</v>
      </c>
      <c r="I531" s="1665">
        <v>398083630</v>
      </c>
      <c r="J531" s="1665">
        <v>403453680</v>
      </c>
      <c r="K531" s="1665">
        <v>394596010</v>
      </c>
    </row>
    <row r="532" spans="1:11">
      <c r="A532" t="s">
        <v>3594</v>
      </c>
      <c r="B532" s="1417" t="s">
        <v>2019</v>
      </c>
      <c r="C532" s="1417" t="s">
        <v>7622</v>
      </c>
      <c r="D532" s="1665">
        <v>1091209071</v>
      </c>
      <c r="E532" s="1665">
        <v>1053917121</v>
      </c>
      <c r="F532" s="1665">
        <v>1091209071</v>
      </c>
      <c r="G532" s="1665">
        <v>1053917121</v>
      </c>
      <c r="H532" s="1665">
        <v>1091209071</v>
      </c>
      <c r="I532" s="1665">
        <v>1053917121</v>
      </c>
      <c r="J532" s="1665">
        <v>1091209071</v>
      </c>
      <c r="K532" s="1665">
        <v>1053917121</v>
      </c>
    </row>
    <row r="533" spans="1:11">
      <c r="A533" t="s">
        <v>3595</v>
      </c>
      <c r="B533" s="1417" t="s">
        <v>2323</v>
      </c>
      <c r="C533" s="1417" t="s">
        <v>7623</v>
      </c>
      <c r="D533" s="1665">
        <v>95733386</v>
      </c>
      <c r="E533" s="1665">
        <v>91833363</v>
      </c>
      <c r="F533" s="1665">
        <v>95733386</v>
      </c>
      <c r="G533" s="1665">
        <v>91833363</v>
      </c>
      <c r="H533" s="1665">
        <v>95733386</v>
      </c>
      <c r="I533" s="1665">
        <v>91833363</v>
      </c>
      <c r="J533" s="1665">
        <v>95733386</v>
      </c>
      <c r="K533" s="1665">
        <v>91833363</v>
      </c>
    </row>
    <row r="534" spans="1:11">
      <c r="A534" t="s">
        <v>3596</v>
      </c>
      <c r="B534" s="1417" t="s">
        <v>1413</v>
      </c>
      <c r="C534" s="1417" t="s">
        <v>7624</v>
      </c>
      <c r="D534" s="1665">
        <v>366513618</v>
      </c>
      <c r="E534" s="1665">
        <v>354988678</v>
      </c>
      <c r="F534" s="1665">
        <v>366513618</v>
      </c>
      <c r="G534" s="1665">
        <v>354988678</v>
      </c>
      <c r="H534" s="1665">
        <v>366513618</v>
      </c>
      <c r="I534" s="1665">
        <v>354988678</v>
      </c>
      <c r="J534" s="1665">
        <v>366513618</v>
      </c>
      <c r="K534" s="1665">
        <v>354988678</v>
      </c>
    </row>
    <row r="535" spans="1:11">
      <c r="A535" t="s">
        <v>3597</v>
      </c>
      <c r="B535" s="1417" t="s">
        <v>216</v>
      </c>
      <c r="C535" s="1417" t="s">
        <v>7625</v>
      </c>
      <c r="D535" s="1665">
        <v>148655512</v>
      </c>
      <c r="E535" s="1665">
        <v>143534458</v>
      </c>
      <c r="F535" s="1665">
        <v>148655512</v>
      </c>
      <c r="G535" s="1665">
        <v>143534458</v>
      </c>
      <c r="H535" s="1665">
        <v>148655512</v>
      </c>
      <c r="I535" s="1665">
        <v>143534458</v>
      </c>
      <c r="J535" s="1665">
        <v>148655512</v>
      </c>
      <c r="K535" s="1665">
        <v>143534458</v>
      </c>
    </row>
    <row r="536" spans="1:11">
      <c r="A536" t="s">
        <v>6746</v>
      </c>
      <c r="B536" s="1417" t="s">
        <v>1328</v>
      </c>
      <c r="C536" s="1417" t="s">
        <v>7626</v>
      </c>
      <c r="D536" s="1665">
        <v>53054201</v>
      </c>
      <c r="E536" s="1665">
        <v>52490559</v>
      </c>
      <c r="F536" s="1665">
        <v>52904209</v>
      </c>
      <c r="G536" s="1665">
        <v>52340567</v>
      </c>
      <c r="H536" s="1665">
        <v>53054201</v>
      </c>
      <c r="I536" s="1665">
        <v>52490559</v>
      </c>
      <c r="J536" s="1665">
        <v>52904209</v>
      </c>
      <c r="K536" s="1665">
        <v>52340567</v>
      </c>
    </row>
    <row r="537" spans="1:11">
      <c r="A537" t="s">
        <v>3598</v>
      </c>
      <c r="B537" s="1417" t="s">
        <v>195</v>
      </c>
      <c r="C537" s="1417" t="s">
        <v>7627</v>
      </c>
      <c r="D537" s="1665">
        <v>1373509307</v>
      </c>
      <c r="E537" s="1665">
        <v>1340819038</v>
      </c>
      <c r="F537" s="1665">
        <v>1373509307</v>
      </c>
      <c r="G537" s="1665">
        <v>1340819038</v>
      </c>
      <c r="H537" s="1665">
        <v>1373509307</v>
      </c>
      <c r="I537" s="1665">
        <v>1340819038</v>
      </c>
      <c r="J537" s="1665">
        <v>1373509307</v>
      </c>
      <c r="K537" s="1665">
        <v>1340819038</v>
      </c>
    </row>
    <row r="538" spans="1:11">
      <c r="A538" t="s">
        <v>3599</v>
      </c>
      <c r="B538" s="1417" t="s">
        <v>1884</v>
      </c>
      <c r="C538" s="1417" t="s">
        <v>7628</v>
      </c>
      <c r="D538" s="1665">
        <v>4713537132</v>
      </c>
      <c r="E538" s="1665">
        <v>4575067939</v>
      </c>
      <c r="F538" s="1665">
        <v>4713537132</v>
      </c>
      <c r="G538" s="1665">
        <v>4575067939</v>
      </c>
      <c r="H538" s="1665">
        <v>4713537132</v>
      </c>
      <c r="I538" s="1665">
        <v>4575067939</v>
      </c>
      <c r="J538" s="1665">
        <v>4713537132</v>
      </c>
      <c r="K538" s="1665">
        <v>4575067939</v>
      </c>
    </row>
    <row r="539" spans="1:11">
      <c r="A539" t="s">
        <v>5955</v>
      </c>
      <c r="B539" s="1417" t="s">
        <v>574</v>
      </c>
      <c r="C539" s="1417" t="s">
        <v>7629</v>
      </c>
      <c r="D539" s="1665">
        <v>2633986060</v>
      </c>
      <c r="E539" s="1665">
        <v>2562485553</v>
      </c>
      <c r="F539" s="1665">
        <v>2633986060</v>
      </c>
      <c r="G539" s="1665">
        <v>2562485553</v>
      </c>
      <c r="H539" s="1665">
        <v>2633986060</v>
      </c>
      <c r="I539" s="1665">
        <v>2562485553</v>
      </c>
      <c r="J539" s="1665">
        <v>2633986060</v>
      </c>
      <c r="K539" s="1665">
        <v>2562485553</v>
      </c>
    </row>
    <row r="540" spans="1:11">
      <c r="A540" t="s">
        <v>5069</v>
      </c>
      <c r="B540" s="1417" t="s">
        <v>1798</v>
      </c>
      <c r="C540" s="1417" t="s">
        <v>7630</v>
      </c>
      <c r="D540" s="1665">
        <v>316877341</v>
      </c>
      <c r="E540" s="1665">
        <v>305068774</v>
      </c>
      <c r="F540" s="1665">
        <v>316877341</v>
      </c>
      <c r="G540" s="1665">
        <v>305068774</v>
      </c>
      <c r="H540" s="1665">
        <v>316877341</v>
      </c>
      <c r="I540" s="1665">
        <v>305068774</v>
      </c>
      <c r="J540" s="1665">
        <v>316877341</v>
      </c>
      <c r="K540" s="1665">
        <v>305068774</v>
      </c>
    </row>
    <row r="541" spans="1:11">
      <c r="A541" t="s">
        <v>3600</v>
      </c>
      <c r="B541" s="1417" t="s">
        <v>45</v>
      </c>
      <c r="C541" s="1417" t="s">
        <v>7631</v>
      </c>
      <c r="D541" s="1665">
        <v>1605233366</v>
      </c>
      <c r="E541" s="1665">
        <v>1548987780</v>
      </c>
      <c r="F541" s="1665">
        <v>1605233366</v>
      </c>
      <c r="G541" s="1665">
        <v>1548987780</v>
      </c>
      <c r="H541" s="1665">
        <v>1605233366</v>
      </c>
      <c r="I541" s="1665">
        <v>1548987780</v>
      </c>
      <c r="J541" s="1665">
        <v>1605233366</v>
      </c>
      <c r="K541" s="1665">
        <v>1548987780</v>
      </c>
    </row>
    <row r="542" spans="1:11">
      <c r="A542" t="s">
        <v>3601</v>
      </c>
      <c r="B542" s="1417" t="s">
        <v>1329</v>
      </c>
      <c r="C542" s="1417" t="s">
        <v>7632</v>
      </c>
      <c r="D542" s="1665">
        <v>172668459</v>
      </c>
      <c r="E542" s="1665">
        <v>166747604</v>
      </c>
      <c r="F542" s="1665">
        <v>172668459</v>
      </c>
      <c r="G542" s="1665">
        <v>166747604</v>
      </c>
      <c r="H542" s="1665">
        <v>172668459</v>
      </c>
      <c r="I542" s="1665">
        <v>166747604</v>
      </c>
      <c r="J542" s="1665">
        <v>172668459</v>
      </c>
      <c r="K542" s="1665">
        <v>166747604</v>
      </c>
    </row>
    <row r="543" spans="1:11">
      <c r="A543" t="s">
        <v>3602</v>
      </c>
      <c r="B543" s="1417" t="s">
        <v>2324</v>
      </c>
      <c r="C543" s="1417" t="s">
        <v>7633</v>
      </c>
      <c r="D543" s="1665">
        <v>287978930</v>
      </c>
      <c r="E543" s="1665">
        <v>278312481</v>
      </c>
      <c r="F543" s="1665">
        <v>287978930</v>
      </c>
      <c r="G543" s="1665">
        <v>278312481</v>
      </c>
      <c r="H543" s="1665">
        <v>287978930</v>
      </c>
      <c r="I543" s="1665">
        <v>278312481</v>
      </c>
      <c r="J543" s="1665">
        <v>287978930</v>
      </c>
      <c r="K543" s="1665">
        <v>278312481</v>
      </c>
    </row>
    <row r="544" spans="1:11">
      <c r="A544" t="s">
        <v>3603</v>
      </c>
      <c r="B544" s="1417" t="s">
        <v>255</v>
      </c>
      <c r="C544" s="1417" t="s">
        <v>7634</v>
      </c>
      <c r="D544" s="1665">
        <v>325486995</v>
      </c>
      <c r="E544" s="1665">
        <v>311689133</v>
      </c>
      <c r="F544" s="1665">
        <v>325486995</v>
      </c>
      <c r="G544" s="1665">
        <v>311689133</v>
      </c>
      <c r="H544" s="1665">
        <v>325486995</v>
      </c>
      <c r="I544" s="1665">
        <v>311689133</v>
      </c>
      <c r="J544" s="1665">
        <v>325486995</v>
      </c>
      <c r="K544" s="1665">
        <v>311689133</v>
      </c>
    </row>
    <row r="545" spans="1:11">
      <c r="A545" t="s">
        <v>3604</v>
      </c>
      <c r="B545" s="1417" t="s">
        <v>1263</v>
      </c>
      <c r="C545" s="1417" t="s">
        <v>7635</v>
      </c>
      <c r="D545" s="1665">
        <v>896063402</v>
      </c>
      <c r="E545" s="1665">
        <v>882008200</v>
      </c>
      <c r="F545" s="1665">
        <v>896063402</v>
      </c>
      <c r="G545" s="1665">
        <v>882008200</v>
      </c>
      <c r="H545" s="1665">
        <v>896063402</v>
      </c>
      <c r="I545" s="1665">
        <v>882008200</v>
      </c>
      <c r="J545" s="1665">
        <v>896063402</v>
      </c>
      <c r="K545" s="1665">
        <v>882008200</v>
      </c>
    </row>
    <row r="546" spans="1:11">
      <c r="A546" t="s">
        <v>5956</v>
      </c>
      <c r="B546" s="1417" t="s">
        <v>2097</v>
      </c>
      <c r="C546" s="1417" t="s">
        <v>7636</v>
      </c>
      <c r="D546" s="1665">
        <v>139763620</v>
      </c>
      <c r="E546" s="1665">
        <v>131498090</v>
      </c>
      <c r="F546" s="1665">
        <v>139763620</v>
      </c>
      <c r="G546" s="1665">
        <v>131498090</v>
      </c>
      <c r="H546" s="1665">
        <v>139763620</v>
      </c>
      <c r="I546" s="1665">
        <v>131498090</v>
      </c>
      <c r="J546" s="1665">
        <v>139763620</v>
      </c>
      <c r="K546" s="1665">
        <v>131498090</v>
      </c>
    </row>
    <row r="547" spans="1:11">
      <c r="A547" t="s">
        <v>5957</v>
      </c>
      <c r="B547" s="1417" t="s">
        <v>1330</v>
      </c>
      <c r="C547" s="1417" t="s">
        <v>7637</v>
      </c>
      <c r="D547" s="1665">
        <v>123612100</v>
      </c>
      <c r="E547" s="1665">
        <v>118690660</v>
      </c>
      <c r="F547" s="1665">
        <v>123612100</v>
      </c>
      <c r="G547" s="1665">
        <v>118690660</v>
      </c>
      <c r="H547" s="1665">
        <v>123612100</v>
      </c>
      <c r="I547" s="1665">
        <v>118690660</v>
      </c>
      <c r="J547" s="1665">
        <v>123612100</v>
      </c>
      <c r="K547" s="1665">
        <v>118690660</v>
      </c>
    </row>
    <row r="548" spans="1:11">
      <c r="A548" t="s">
        <v>5958</v>
      </c>
      <c r="B548" s="1417" t="s">
        <v>1862</v>
      </c>
      <c r="C548" s="1417" t="s">
        <v>7638</v>
      </c>
      <c r="D548" s="1665">
        <v>157434513</v>
      </c>
      <c r="E548" s="1665">
        <v>148983853</v>
      </c>
      <c r="F548" s="1665">
        <v>157434513</v>
      </c>
      <c r="G548" s="1665">
        <v>148983853</v>
      </c>
      <c r="H548" s="1665">
        <v>157434513</v>
      </c>
      <c r="I548" s="1665">
        <v>148983853</v>
      </c>
      <c r="J548" s="1665">
        <v>157434513</v>
      </c>
      <c r="K548" s="1665">
        <v>148983853</v>
      </c>
    </row>
    <row r="549" spans="1:11">
      <c r="A549" t="s">
        <v>3605</v>
      </c>
      <c r="B549" s="1417" t="s">
        <v>2510</v>
      </c>
      <c r="C549" s="1417" t="s">
        <v>7639</v>
      </c>
      <c r="D549" s="1665">
        <v>77384913</v>
      </c>
      <c r="E549" s="1665">
        <v>75768813</v>
      </c>
      <c r="F549" s="1665">
        <v>77384913</v>
      </c>
      <c r="G549" s="1665">
        <v>75768813</v>
      </c>
      <c r="H549" s="1665">
        <v>77384913</v>
      </c>
      <c r="I549" s="1665">
        <v>75768813</v>
      </c>
      <c r="J549" s="1665">
        <v>77384913</v>
      </c>
      <c r="K549" s="1665">
        <v>75768813</v>
      </c>
    </row>
    <row r="550" spans="1:11">
      <c r="A550" t="s">
        <v>3606</v>
      </c>
      <c r="B550" s="1417" t="s">
        <v>259</v>
      </c>
      <c r="C550" s="1417" t="s">
        <v>7640</v>
      </c>
      <c r="D550" s="1665">
        <v>105506235</v>
      </c>
      <c r="E550" s="1665">
        <v>98860125</v>
      </c>
      <c r="F550" s="1665">
        <v>105506235</v>
      </c>
      <c r="G550" s="1665">
        <v>98860125</v>
      </c>
      <c r="H550" s="1665">
        <v>105506235</v>
      </c>
      <c r="I550" s="1665">
        <v>98860125</v>
      </c>
      <c r="J550" s="1665">
        <v>105506235</v>
      </c>
      <c r="K550" s="1665">
        <v>98860125</v>
      </c>
    </row>
    <row r="551" spans="1:11">
      <c r="A551" t="s">
        <v>5090</v>
      </c>
      <c r="B551" s="1417" t="s">
        <v>47</v>
      </c>
      <c r="C551" s="1417" t="s">
        <v>7641</v>
      </c>
      <c r="D551" s="1665">
        <v>4509875727</v>
      </c>
      <c r="E551" s="1665">
        <v>4501113474</v>
      </c>
      <c r="F551" s="1665">
        <v>4509875727</v>
      </c>
      <c r="G551" s="1665">
        <v>4501113474</v>
      </c>
      <c r="H551" s="1665">
        <v>4509875727</v>
      </c>
      <c r="I551" s="1665">
        <v>4501113474</v>
      </c>
      <c r="J551" s="1665">
        <v>4509875727</v>
      </c>
      <c r="K551" s="1665">
        <v>4501113474</v>
      </c>
    </row>
    <row r="552" spans="1:11">
      <c r="A552" t="s">
        <v>3607</v>
      </c>
      <c r="B552" s="1417" t="s">
        <v>2511</v>
      </c>
      <c r="C552" s="1417" t="s">
        <v>7642</v>
      </c>
      <c r="D552" s="1665">
        <v>1200431562</v>
      </c>
      <c r="E552" s="1665">
        <v>1193049748</v>
      </c>
      <c r="F552" s="1665">
        <v>1200431562</v>
      </c>
      <c r="G552" s="1665">
        <v>1193049748</v>
      </c>
      <c r="H552" s="1665">
        <v>1336878892</v>
      </c>
      <c r="I552" s="1665">
        <v>1329497078</v>
      </c>
      <c r="J552" s="1665">
        <v>1336878892</v>
      </c>
      <c r="K552" s="1665">
        <v>1329497078</v>
      </c>
    </row>
    <row r="553" spans="1:11">
      <c r="A553" t="s">
        <v>5959</v>
      </c>
      <c r="B553" s="1417" t="s">
        <v>1153</v>
      </c>
      <c r="C553" s="1417" t="s">
        <v>7643</v>
      </c>
      <c r="D553" s="1665">
        <v>430662285</v>
      </c>
      <c r="E553" s="1665">
        <v>428528806</v>
      </c>
      <c r="F553" s="1665">
        <v>430662285</v>
      </c>
      <c r="G553" s="1665">
        <v>428528806</v>
      </c>
      <c r="H553" s="1665">
        <v>430662285</v>
      </c>
      <c r="I553" s="1665">
        <v>428528806</v>
      </c>
      <c r="J553" s="1665">
        <v>430662285</v>
      </c>
      <c r="K553" s="1665">
        <v>428528806</v>
      </c>
    </row>
    <row r="554" spans="1:11">
      <c r="A554" t="s">
        <v>3608</v>
      </c>
      <c r="B554" s="1417" t="s">
        <v>1686</v>
      </c>
      <c r="C554" s="1417" t="s">
        <v>7644</v>
      </c>
      <c r="D554" s="1665">
        <v>600429246</v>
      </c>
      <c r="E554" s="1665">
        <v>595758394</v>
      </c>
      <c r="F554" s="1665">
        <v>600429246</v>
      </c>
      <c r="G554" s="1665">
        <v>595758394</v>
      </c>
      <c r="H554" s="1665">
        <v>600429246</v>
      </c>
      <c r="I554" s="1665">
        <v>595758394</v>
      </c>
      <c r="J554" s="1665">
        <v>600429246</v>
      </c>
      <c r="K554" s="1665">
        <v>595758394</v>
      </c>
    </row>
    <row r="555" spans="1:11">
      <c r="A555" t="s">
        <v>3609</v>
      </c>
      <c r="B555" s="1417" t="s">
        <v>2403</v>
      </c>
      <c r="C555" s="1417" t="s">
        <v>7645</v>
      </c>
      <c r="D555" s="1665">
        <v>939633608</v>
      </c>
      <c r="E555" s="1665">
        <v>903497028</v>
      </c>
      <c r="F555" s="1665">
        <v>939633608</v>
      </c>
      <c r="G555" s="1665">
        <v>903497028</v>
      </c>
      <c r="H555" s="1665">
        <v>939633608</v>
      </c>
      <c r="I555" s="1665">
        <v>903497028</v>
      </c>
      <c r="J555" s="1665">
        <v>939633608</v>
      </c>
      <c r="K555" s="1665">
        <v>903497028</v>
      </c>
    </row>
    <row r="556" spans="1:11">
      <c r="A556" t="s">
        <v>3610</v>
      </c>
      <c r="B556" s="1417" t="s">
        <v>1339</v>
      </c>
      <c r="C556" s="1417" t="s">
        <v>7646</v>
      </c>
      <c r="D556" s="1665">
        <v>4124302235</v>
      </c>
      <c r="E556" s="1665">
        <v>4027387490</v>
      </c>
      <c r="F556" s="1665">
        <v>4124302235</v>
      </c>
      <c r="G556" s="1665">
        <v>4027387490</v>
      </c>
      <c r="H556" s="1665">
        <v>4124302235</v>
      </c>
      <c r="I556" s="1665">
        <v>4027387490</v>
      </c>
      <c r="J556" s="1665">
        <v>4124302235</v>
      </c>
      <c r="K556" s="1665">
        <v>4027387490</v>
      </c>
    </row>
    <row r="557" spans="1:11">
      <c r="A557" t="s">
        <v>3611</v>
      </c>
      <c r="B557" s="1417" t="s">
        <v>49</v>
      </c>
      <c r="C557" s="1417" t="s">
        <v>7647</v>
      </c>
      <c r="D557" s="1665">
        <v>800520333</v>
      </c>
      <c r="E557" s="1665">
        <v>767335995</v>
      </c>
      <c r="F557" s="1665">
        <v>800520333</v>
      </c>
      <c r="G557" s="1665">
        <v>767335995</v>
      </c>
      <c r="H557" s="1665">
        <v>800520333</v>
      </c>
      <c r="I557" s="1665">
        <v>767335995</v>
      </c>
      <c r="J557" s="1665">
        <v>800520333</v>
      </c>
      <c r="K557" s="1665">
        <v>767335995</v>
      </c>
    </row>
    <row r="558" spans="1:11">
      <c r="A558" t="s">
        <v>3612</v>
      </c>
      <c r="B558" s="1417" t="s">
        <v>51</v>
      </c>
      <c r="C558" s="1417" t="s">
        <v>7648</v>
      </c>
      <c r="D558" s="1665">
        <v>440010256</v>
      </c>
      <c r="E558" s="1665">
        <v>421535737</v>
      </c>
      <c r="F558" s="1665">
        <v>440010256</v>
      </c>
      <c r="G558" s="1665">
        <v>421535737</v>
      </c>
      <c r="H558" s="1665">
        <v>440010256</v>
      </c>
      <c r="I558" s="1665">
        <v>421535737</v>
      </c>
      <c r="J558" s="1665">
        <v>440010256</v>
      </c>
      <c r="K558" s="1665">
        <v>421535737</v>
      </c>
    </row>
    <row r="559" spans="1:11">
      <c r="A559" t="s">
        <v>5960</v>
      </c>
      <c r="B559" s="1417" t="s">
        <v>2554</v>
      </c>
      <c r="C559" s="1417" t="s">
        <v>7649</v>
      </c>
      <c r="D559" s="1665">
        <v>1345494526</v>
      </c>
      <c r="E559" s="1665">
        <v>1306849224</v>
      </c>
      <c r="F559" s="1665">
        <v>1345494526</v>
      </c>
      <c r="G559" s="1665">
        <v>1306849224</v>
      </c>
      <c r="H559" s="1665">
        <v>1345494526</v>
      </c>
      <c r="I559" s="1665">
        <v>1306849224</v>
      </c>
      <c r="J559" s="1665">
        <v>1345494526</v>
      </c>
      <c r="K559" s="1665">
        <v>1306849224</v>
      </c>
    </row>
    <row r="560" spans="1:11">
      <c r="A560" t="s">
        <v>5961</v>
      </c>
      <c r="B560" s="1417" t="s">
        <v>2555</v>
      </c>
      <c r="C560" s="1417" t="s">
        <v>7650</v>
      </c>
      <c r="D560" s="1665">
        <v>1640844827</v>
      </c>
      <c r="E560" s="1665">
        <v>1595361826</v>
      </c>
      <c r="F560" s="1665">
        <v>1640844827</v>
      </c>
      <c r="G560" s="1665">
        <v>1595361826</v>
      </c>
      <c r="H560" s="1665">
        <v>1640844827</v>
      </c>
      <c r="I560" s="1665">
        <v>1595361826</v>
      </c>
      <c r="J560" s="1665">
        <v>1640844827</v>
      </c>
      <c r="K560" s="1665">
        <v>1595361826</v>
      </c>
    </row>
    <row r="561" spans="1:11">
      <c r="A561" t="s">
        <v>3613</v>
      </c>
      <c r="B561" s="1417" t="s">
        <v>494</v>
      </c>
      <c r="C561" s="1417" t="s">
        <v>7651</v>
      </c>
      <c r="D561" s="1665">
        <v>200223242</v>
      </c>
      <c r="E561" s="1665">
        <v>190535098</v>
      </c>
      <c r="F561" s="1665">
        <v>200223242</v>
      </c>
      <c r="G561" s="1665">
        <v>190535098</v>
      </c>
      <c r="H561" s="1665">
        <v>200223242</v>
      </c>
      <c r="I561" s="1665">
        <v>190535098</v>
      </c>
      <c r="J561" s="1665">
        <v>200223242</v>
      </c>
      <c r="K561" s="1665">
        <v>190535098</v>
      </c>
    </row>
    <row r="562" spans="1:11">
      <c r="A562" t="s">
        <v>5962</v>
      </c>
      <c r="B562" s="1417" t="s">
        <v>2556</v>
      </c>
      <c r="C562" s="1417" t="s">
        <v>7652</v>
      </c>
      <c r="D562" s="1665">
        <v>6967528799</v>
      </c>
      <c r="E562" s="1665">
        <v>6845873321</v>
      </c>
      <c r="F562" s="1665">
        <v>6967528799</v>
      </c>
      <c r="G562" s="1665">
        <v>6845873321</v>
      </c>
      <c r="H562" s="1665">
        <v>6967528799</v>
      </c>
      <c r="I562" s="1665">
        <v>6845873321</v>
      </c>
      <c r="J562" s="1665">
        <v>6967528799</v>
      </c>
      <c r="K562" s="1665">
        <v>6845873321</v>
      </c>
    </row>
    <row r="563" spans="1:11">
      <c r="A563" t="s">
        <v>5963</v>
      </c>
      <c r="B563" s="1417" t="s">
        <v>1539</v>
      </c>
      <c r="C563" s="1417" t="s">
        <v>7653</v>
      </c>
      <c r="D563" s="1665">
        <v>887701521</v>
      </c>
      <c r="E563" s="1665">
        <v>869162307</v>
      </c>
      <c r="F563" s="1665">
        <v>887701521</v>
      </c>
      <c r="G563" s="1665">
        <v>869162307</v>
      </c>
      <c r="H563" s="1665">
        <v>887701521</v>
      </c>
      <c r="I563" s="1665">
        <v>869162307</v>
      </c>
      <c r="J563" s="1665">
        <v>887701521</v>
      </c>
      <c r="K563" s="1665">
        <v>869162307</v>
      </c>
    </row>
    <row r="564" spans="1:11">
      <c r="A564" t="s">
        <v>5964</v>
      </c>
      <c r="B564" s="1417" t="s">
        <v>2689</v>
      </c>
      <c r="C564" s="1417" t="s">
        <v>7654</v>
      </c>
      <c r="D564" s="1665">
        <v>821340136</v>
      </c>
      <c r="E564" s="1665">
        <v>821082166</v>
      </c>
      <c r="F564" s="1665">
        <v>821084582</v>
      </c>
      <c r="G564" s="1665">
        <v>820826612</v>
      </c>
      <c r="H564" s="1665">
        <v>916340046</v>
      </c>
      <c r="I564" s="1665">
        <v>916082076</v>
      </c>
      <c r="J564" s="1665">
        <v>916084492</v>
      </c>
      <c r="K564" s="1665">
        <v>915826522</v>
      </c>
    </row>
    <row r="565" spans="1:11">
      <c r="A565" t="s">
        <v>6747</v>
      </c>
      <c r="B565" s="1417" t="s">
        <v>2320</v>
      </c>
      <c r="C565" s="1417" t="s">
        <v>7655</v>
      </c>
      <c r="D565" s="1665">
        <v>416820758</v>
      </c>
      <c r="E565" s="1665">
        <v>415365408</v>
      </c>
      <c r="F565" s="1665">
        <v>416072753</v>
      </c>
      <c r="G565" s="1665">
        <v>414617403</v>
      </c>
      <c r="H565" s="1665">
        <v>416820758</v>
      </c>
      <c r="I565" s="1665">
        <v>415365408</v>
      </c>
      <c r="J565" s="1665">
        <v>416072753</v>
      </c>
      <c r="K565" s="1665">
        <v>414617403</v>
      </c>
    </row>
    <row r="566" spans="1:11">
      <c r="A566" t="s">
        <v>3614</v>
      </c>
      <c r="B566" s="1417" t="s">
        <v>1541</v>
      </c>
      <c r="C566" s="1417" t="s">
        <v>7656</v>
      </c>
      <c r="D566" s="1665">
        <v>319245399</v>
      </c>
      <c r="E566" s="1665">
        <v>310956151</v>
      </c>
      <c r="F566" s="1665">
        <v>319245399</v>
      </c>
      <c r="G566" s="1665">
        <v>310956151</v>
      </c>
      <c r="H566" s="1665">
        <v>319245399</v>
      </c>
      <c r="I566" s="1665">
        <v>310956151</v>
      </c>
      <c r="J566" s="1665">
        <v>319245399</v>
      </c>
      <c r="K566" s="1665">
        <v>310956151</v>
      </c>
    </row>
    <row r="567" spans="1:11">
      <c r="A567" t="s">
        <v>5965</v>
      </c>
      <c r="B567" s="1417" t="s">
        <v>2545</v>
      </c>
      <c r="C567" s="1417" t="s">
        <v>7657</v>
      </c>
      <c r="D567" s="1665">
        <v>395165509</v>
      </c>
      <c r="E567" s="1665">
        <v>390539334</v>
      </c>
      <c r="F567" s="1665">
        <v>395165509</v>
      </c>
      <c r="G567" s="1665">
        <v>390539334</v>
      </c>
      <c r="H567" s="1665">
        <v>395165509</v>
      </c>
      <c r="I567" s="1665">
        <v>390539334</v>
      </c>
      <c r="J567" s="1665">
        <v>395165509</v>
      </c>
      <c r="K567" s="1665">
        <v>390539334</v>
      </c>
    </row>
    <row r="568" spans="1:11">
      <c r="A568" t="s">
        <v>5966</v>
      </c>
      <c r="B568" s="1417" t="s">
        <v>2546</v>
      </c>
      <c r="C568" s="1417" t="s">
        <v>7658</v>
      </c>
      <c r="D568" s="1665">
        <v>2732183084</v>
      </c>
      <c r="E568" s="1665">
        <v>2652147624</v>
      </c>
      <c r="F568" s="1665">
        <v>2732183084</v>
      </c>
      <c r="G568" s="1665">
        <v>2652147624</v>
      </c>
      <c r="H568" s="1665">
        <v>2732183084</v>
      </c>
      <c r="I568" s="1665">
        <v>2652147624</v>
      </c>
      <c r="J568" s="1665">
        <v>2732183084</v>
      </c>
      <c r="K568" s="1665">
        <v>2652147624</v>
      </c>
    </row>
    <row r="569" spans="1:11">
      <c r="A569" t="s">
        <v>5967</v>
      </c>
      <c r="B569" s="1417" t="s">
        <v>487</v>
      </c>
      <c r="C569" s="1417" t="s">
        <v>7659</v>
      </c>
      <c r="D569" s="1665">
        <v>571893379</v>
      </c>
      <c r="E569" s="1665">
        <v>552100852</v>
      </c>
      <c r="F569" s="1665">
        <v>571893379</v>
      </c>
      <c r="G569" s="1665">
        <v>552100852</v>
      </c>
      <c r="H569" s="1665">
        <v>571893379</v>
      </c>
      <c r="I569" s="1665">
        <v>552100852</v>
      </c>
      <c r="J569" s="1665">
        <v>571893379</v>
      </c>
      <c r="K569" s="1665">
        <v>552100852</v>
      </c>
    </row>
    <row r="570" spans="1:11">
      <c r="A570" t="s">
        <v>6748</v>
      </c>
      <c r="B570" s="1417" t="s">
        <v>2278</v>
      </c>
      <c r="C570" s="1417" t="s">
        <v>7660</v>
      </c>
      <c r="D570" s="1665">
        <v>66929757</v>
      </c>
      <c r="E570" s="1665">
        <v>66581032</v>
      </c>
      <c r="F570" s="1665">
        <v>66929757</v>
      </c>
      <c r="G570" s="1665">
        <v>66581032</v>
      </c>
      <c r="H570" s="1665">
        <v>66929757</v>
      </c>
      <c r="I570" s="1665">
        <v>66581032</v>
      </c>
      <c r="J570" s="1665">
        <v>66929757</v>
      </c>
      <c r="K570" s="1665">
        <v>66581032</v>
      </c>
    </row>
    <row r="571" spans="1:11">
      <c r="A571" t="s">
        <v>6749</v>
      </c>
      <c r="B571" s="1417" t="s">
        <v>2279</v>
      </c>
      <c r="C571" s="1417" t="s">
        <v>7661</v>
      </c>
      <c r="D571" s="1665">
        <v>436603431</v>
      </c>
      <c r="E571" s="1665">
        <v>427200363</v>
      </c>
      <c r="F571" s="1665">
        <v>436603431</v>
      </c>
      <c r="G571" s="1665">
        <v>427200363</v>
      </c>
      <c r="H571" s="1665">
        <v>436603431</v>
      </c>
      <c r="I571" s="1665">
        <v>427200363</v>
      </c>
      <c r="J571" s="1665">
        <v>436603431</v>
      </c>
      <c r="K571" s="1665">
        <v>427200363</v>
      </c>
    </row>
    <row r="572" spans="1:11">
      <c r="A572" t="s">
        <v>5968</v>
      </c>
      <c r="B572" s="1417" t="s">
        <v>1534</v>
      </c>
      <c r="C572" s="1417" t="s">
        <v>7662</v>
      </c>
      <c r="D572" s="1665">
        <v>169354248</v>
      </c>
      <c r="E572" s="1665">
        <v>169354248</v>
      </c>
      <c r="F572" s="1665">
        <v>169230398</v>
      </c>
      <c r="G572" s="1665">
        <v>169230398</v>
      </c>
      <c r="H572" s="1665">
        <v>169354248</v>
      </c>
      <c r="I572" s="1665">
        <v>169354248</v>
      </c>
      <c r="J572" s="1665">
        <v>169230398</v>
      </c>
      <c r="K572" s="1665">
        <v>169230398</v>
      </c>
    </row>
    <row r="573" spans="1:11">
      <c r="A573" t="s">
        <v>6750</v>
      </c>
      <c r="B573" s="1417" t="s">
        <v>1535</v>
      </c>
      <c r="C573" s="1417" t="s">
        <v>7663</v>
      </c>
      <c r="D573" s="1665">
        <v>323400418</v>
      </c>
      <c r="E573" s="1665">
        <v>315676875</v>
      </c>
      <c r="F573" s="1665">
        <v>323400418</v>
      </c>
      <c r="G573" s="1665">
        <v>315676875</v>
      </c>
      <c r="H573" s="1665">
        <v>439151458</v>
      </c>
      <c r="I573" s="1665">
        <v>431427915</v>
      </c>
      <c r="J573" s="1665">
        <v>439151458</v>
      </c>
      <c r="K573" s="1665">
        <v>431427915</v>
      </c>
    </row>
    <row r="574" spans="1:11">
      <c r="A574" t="s">
        <v>3615</v>
      </c>
      <c r="B574" s="1417" t="s">
        <v>2512</v>
      </c>
      <c r="C574" s="1417" t="s">
        <v>7664</v>
      </c>
      <c r="D574" s="1665">
        <v>960172038</v>
      </c>
      <c r="E574" s="1665">
        <v>925420723</v>
      </c>
      <c r="F574" s="1665">
        <v>960172038</v>
      </c>
      <c r="G574" s="1665">
        <v>925420723</v>
      </c>
      <c r="H574" s="1665">
        <v>960172038</v>
      </c>
      <c r="I574" s="1665">
        <v>925420723</v>
      </c>
      <c r="J574" s="1665">
        <v>960172038</v>
      </c>
      <c r="K574" s="1665">
        <v>925420723</v>
      </c>
    </row>
    <row r="575" spans="1:11">
      <c r="A575" t="s">
        <v>6751</v>
      </c>
      <c r="B575" s="1417" t="s">
        <v>393</v>
      </c>
      <c r="C575" s="1417" t="s">
        <v>7665</v>
      </c>
      <c r="D575" s="1665">
        <v>193349139</v>
      </c>
      <c r="E575" s="1665">
        <v>185919549</v>
      </c>
      <c r="F575" s="1665">
        <v>188422064</v>
      </c>
      <c r="G575" s="1665">
        <v>180992474</v>
      </c>
      <c r="H575" s="1665">
        <v>193349139</v>
      </c>
      <c r="I575" s="1665">
        <v>185919549</v>
      </c>
      <c r="J575" s="1665">
        <v>188422064</v>
      </c>
      <c r="K575" s="1665">
        <v>180992474</v>
      </c>
    </row>
    <row r="576" spans="1:11">
      <c r="A576" t="s">
        <v>6752</v>
      </c>
      <c r="B576" s="1417" t="s">
        <v>394</v>
      </c>
      <c r="C576" s="1417" t="s">
        <v>7666</v>
      </c>
      <c r="D576" s="1665">
        <v>271141243</v>
      </c>
      <c r="E576" s="1665">
        <v>267795043</v>
      </c>
      <c r="F576" s="1665">
        <v>271141243</v>
      </c>
      <c r="G576" s="1665">
        <v>267795043</v>
      </c>
      <c r="H576" s="1665">
        <v>271141243</v>
      </c>
      <c r="I576" s="1665">
        <v>267795043</v>
      </c>
      <c r="J576" s="1665">
        <v>271141243</v>
      </c>
      <c r="K576" s="1665">
        <v>267795043</v>
      </c>
    </row>
    <row r="577" spans="1:11">
      <c r="A577" t="s">
        <v>5969</v>
      </c>
      <c r="B577" s="1417" t="s">
        <v>395</v>
      </c>
      <c r="C577" s="1417" t="s">
        <v>7667</v>
      </c>
      <c r="D577" s="1665">
        <v>109841538</v>
      </c>
      <c r="E577" s="1665">
        <v>109841538</v>
      </c>
      <c r="F577" s="1665">
        <v>109841538</v>
      </c>
      <c r="G577" s="1665">
        <v>109841538</v>
      </c>
      <c r="H577" s="1665">
        <v>109841538</v>
      </c>
      <c r="I577" s="1665">
        <v>109841538</v>
      </c>
      <c r="J577" s="1665">
        <v>109841538</v>
      </c>
      <c r="K577" s="1665">
        <v>109841538</v>
      </c>
    </row>
    <row r="578" spans="1:11">
      <c r="A578" t="s">
        <v>3616</v>
      </c>
      <c r="B578" s="1417" t="s">
        <v>2513</v>
      </c>
      <c r="C578" s="1417" t="s">
        <v>7668</v>
      </c>
      <c r="D578" s="1665">
        <v>80040711</v>
      </c>
      <c r="E578" s="1665">
        <v>77077741</v>
      </c>
      <c r="F578" s="1665">
        <v>80040711</v>
      </c>
      <c r="G578" s="1665">
        <v>77077741</v>
      </c>
      <c r="H578" s="1665">
        <v>80040711</v>
      </c>
      <c r="I578" s="1665">
        <v>77077741</v>
      </c>
      <c r="J578" s="1665">
        <v>80040711</v>
      </c>
      <c r="K578" s="1665">
        <v>77077741</v>
      </c>
    </row>
    <row r="579" spans="1:11">
      <c r="A579" t="s">
        <v>6753</v>
      </c>
      <c r="B579" s="1417" t="s">
        <v>242</v>
      </c>
      <c r="C579" s="1417" t="s">
        <v>7669</v>
      </c>
      <c r="D579" s="1665">
        <v>103175931</v>
      </c>
      <c r="E579" s="1665">
        <v>99463611</v>
      </c>
      <c r="F579" s="1665">
        <v>103175931</v>
      </c>
      <c r="G579" s="1665">
        <v>99463611</v>
      </c>
      <c r="H579" s="1665">
        <v>162677631</v>
      </c>
      <c r="I579" s="1665">
        <v>158965311</v>
      </c>
      <c r="J579" s="1665">
        <v>162677631</v>
      </c>
      <c r="K579" s="1665">
        <v>158965311</v>
      </c>
    </row>
    <row r="580" spans="1:11">
      <c r="A580" t="s">
        <v>6754</v>
      </c>
      <c r="B580" s="1417" t="s">
        <v>243</v>
      </c>
      <c r="C580" s="1417" t="s">
        <v>7670</v>
      </c>
      <c r="D580" s="1665">
        <v>61710216</v>
      </c>
      <c r="E580" s="1665">
        <v>61117486</v>
      </c>
      <c r="F580" s="1665">
        <v>61710216</v>
      </c>
      <c r="G580" s="1665">
        <v>61117486</v>
      </c>
      <c r="H580" s="1665">
        <v>61710216</v>
      </c>
      <c r="I580" s="1665">
        <v>61117486</v>
      </c>
      <c r="J580" s="1665">
        <v>61710216</v>
      </c>
      <c r="K580" s="1665">
        <v>61117486</v>
      </c>
    </row>
    <row r="581" spans="1:11">
      <c r="A581" t="s">
        <v>5970</v>
      </c>
      <c r="B581" s="1417" t="s">
        <v>244</v>
      </c>
      <c r="C581" s="1417" t="s">
        <v>7671</v>
      </c>
      <c r="D581" s="1665">
        <v>1027727235</v>
      </c>
      <c r="E581" s="1665">
        <v>1018589928</v>
      </c>
      <c r="F581" s="1665">
        <v>1027727235</v>
      </c>
      <c r="G581" s="1665">
        <v>1018589928</v>
      </c>
      <c r="H581" s="1665">
        <v>1027727235</v>
      </c>
      <c r="I581" s="1665">
        <v>1018589928</v>
      </c>
      <c r="J581" s="1665">
        <v>1027727235</v>
      </c>
      <c r="K581" s="1665">
        <v>1018589928</v>
      </c>
    </row>
    <row r="582" spans="1:11">
      <c r="A582" t="s">
        <v>3617</v>
      </c>
      <c r="B582" s="1417" t="s">
        <v>2325</v>
      </c>
      <c r="C582" s="1417" t="s">
        <v>7672</v>
      </c>
      <c r="D582" s="1665">
        <v>120982957</v>
      </c>
      <c r="E582" s="1665">
        <v>118069333</v>
      </c>
      <c r="F582" s="1665">
        <v>120982957</v>
      </c>
      <c r="G582" s="1665">
        <v>118069333</v>
      </c>
      <c r="H582" s="1665">
        <v>120982957</v>
      </c>
      <c r="I582" s="1665">
        <v>118069333</v>
      </c>
      <c r="J582" s="1665">
        <v>120982957</v>
      </c>
      <c r="K582" s="1665">
        <v>118069333</v>
      </c>
    </row>
    <row r="583" spans="1:11">
      <c r="A583" t="s">
        <v>3618</v>
      </c>
      <c r="B583" s="1417" t="s">
        <v>2023</v>
      </c>
      <c r="C583" s="1417" t="s">
        <v>7673</v>
      </c>
      <c r="D583" s="1665">
        <v>818949567</v>
      </c>
      <c r="E583" s="1665">
        <v>784051533</v>
      </c>
      <c r="F583" s="1665">
        <v>818949567</v>
      </c>
      <c r="G583" s="1665">
        <v>784051533</v>
      </c>
      <c r="H583" s="1665">
        <v>818949567</v>
      </c>
      <c r="I583" s="1665">
        <v>784051533</v>
      </c>
      <c r="J583" s="1665">
        <v>818949567</v>
      </c>
      <c r="K583" s="1665">
        <v>784051533</v>
      </c>
    </row>
    <row r="584" spans="1:11">
      <c r="A584" t="s">
        <v>5971</v>
      </c>
      <c r="B584" s="1417" t="s">
        <v>2076</v>
      </c>
      <c r="C584" s="1417" t="s">
        <v>7674</v>
      </c>
      <c r="D584" s="1665">
        <v>1325831066</v>
      </c>
      <c r="E584" s="1665">
        <v>1281885661</v>
      </c>
      <c r="F584" s="1665">
        <v>1325831066</v>
      </c>
      <c r="G584" s="1665">
        <v>1281885661</v>
      </c>
      <c r="H584" s="1665">
        <v>1325831066</v>
      </c>
      <c r="I584" s="1665">
        <v>1281885661</v>
      </c>
      <c r="J584" s="1665">
        <v>1325831066</v>
      </c>
      <c r="K584" s="1665">
        <v>1281885661</v>
      </c>
    </row>
    <row r="585" spans="1:11">
      <c r="A585" t="s">
        <v>3619</v>
      </c>
      <c r="B585" s="1417" t="s">
        <v>2514</v>
      </c>
      <c r="C585" s="1417" t="s">
        <v>7675</v>
      </c>
      <c r="D585" s="1665">
        <v>281668564</v>
      </c>
      <c r="E585" s="1665">
        <v>267037640</v>
      </c>
      <c r="F585" s="1665">
        <v>281668564</v>
      </c>
      <c r="G585" s="1665">
        <v>267037640</v>
      </c>
      <c r="H585" s="1665">
        <v>281668564</v>
      </c>
      <c r="I585" s="1665">
        <v>267037640</v>
      </c>
      <c r="J585" s="1665">
        <v>281668564</v>
      </c>
      <c r="K585" s="1665">
        <v>267037640</v>
      </c>
    </row>
    <row r="586" spans="1:11">
      <c r="A586" t="s">
        <v>6755</v>
      </c>
      <c r="B586" s="1417" t="s">
        <v>1557</v>
      </c>
      <c r="C586" s="1417" t="s">
        <v>7676</v>
      </c>
      <c r="D586" s="1665">
        <v>47808711</v>
      </c>
      <c r="E586" s="1665">
        <v>46787498</v>
      </c>
      <c r="F586" s="1665">
        <v>47808711</v>
      </c>
      <c r="G586" s="1665">
        <v>46787498</v>
      </c>
      <c r="H586" s="1665">
        <v>47808711</v>
      </c>
      <c r="I586" s="1665">
        <v>46787498</v>
      </c>
      <c r="J586" s="1665">
        <v>47808711</v>
      </c>
      <c r="K586" s="1665">
        <v>46787498</v>
      </c>
    </row>
    <row r="587" spans="1:11">
      <c r="A587" t="s">
        <v>6756</v>
      </c>
      <c r="B587" s="1417" t="s">
        <v>1558</v>
      </c>
      <c r="C587" s="1417" t="s">
        <v>7677</v>
      </c>
      <c r="D587" s="1665">
        <v>277663008</v>
      </c>
      <c r="E587" s="1665">
        <v>268898623</v>
      </c>
      <c r="F587" s="1665">
        <v>277663008</v>
      </c>
      <c r="G587" s="1665">
        <v>268898623</v>
      </c>
      <c r="H587" s="1665">
        <v>277663008</v>
      </c>
      <c r="I587" s="1665">
        <v>268898623</v>
      </c>
      <c r="J587" s="1665">
        <v>277663008</v>
      </c>
      <c r="K587" s="1665">
        <v>268898623</v>
      </c>
    </row>
    <row r="588" spans="1:11">
      <c r="A588" t="s">
        <v>5142</v>
      </c>
      <c r="B588" s="1417" t="s">
        <v>1412</v>
      </c>
      <c r="C588" s="1417" t="s">
        <v>7678</v>
      </c>
      <c r="D588" s="1665">
        <v>141743744</v>
      </c>
      <c r="E588" s="1665">
        <v>138049028</v>
      </c>
      <c r="F588" s="1665">
        <v>141743744</v>
      </c>
      <c r="G588" s="1665">
        <v>138049028</v>
      </c>
      <c r="H588" s="1665">
        <v>141743744</v>
      </c>
      <c r="I588" s="1665">
        <v>138049028</v>
      </c>
      <c r="J588" s="1665">
        <v>141743744</v>
      </c>
      <c r="K588" s="1665">
        <v>138049028</v>
      </c>
    </row>
    <row r="589" spans="1:11">
      <c r="A589" t="s">
        <v>6757</v>
      </c>
      <c r="B589" s="1417" t="s">
        <v>2261</v>
      </c>
      <c r="C589" s="1417" t="s">
        <v>7679</v>
      </c>
      <c r="D589" s="1665">
        <v>83708241</v>
      </c>
      <c r="E589" s="1665">
        <v>81604675</v>
      </c>
      <c r="F589" s="1665">
        <v>83708241</v>
      </c>
      <c r="G589" s="1665">
        <v>81604675</v>
      </c>
      <c r="H589" s="1665">
        <v>83708241</v>
      </c>
      <c r="I589" s="1665">
        <v>81604675</v>
      </c>
      <c r="J589" s="1665">
        <v>83708241</v>
      </c>
      <c r="K589" s="1665">
        <v>81604675</v>
      </c>
    </row>
    <row r="590" spans="1:11">
      <c r="A590" t="s">
        <v>5972</v>
      </c>
      <c r="B590" s="1417" t="s">
        <v>2262</v>
      </c>
      <c r="C590" s="1417" t="s">
        <v>7680</v>
      </c>
      <c r="D590" s="1665">
        <v>459953184</v>
      </c>
      <c r="E590" s="1665">
        <v>457713754</v>
      </c>
      <c r="F590" s="1665">
        <v>459953184</v>
      </c>
      <c r="G590" s="1665">
        <v>457713754</v>
      </c>
      <c r="H590" s="1665">
        <v>459953184</v>
      </c>
      <c r="I590" s="1665">
        <v>457713754</v>
      </c>
      <c r="J590" s="1665">
        <v>459953184</v>
      </c>
      <c r="K590" s="1665">
        <v>457713754</v>
      </c>
    </row>
    <row r="591" spans="1:11">
      <c r="A591" t="s">
        <v>3620</v>
      </c>
      <c r="B591" s="1417" t="s">
        <v>2263</v>
      </c>
      <c r="C591" s="1417" t="s">
        <v>7681</v>
      </c>
      <c r="D591" s="1665">
        <v>1254715724</v>
      </c>
      <c r="E591" s="1665">
        <v>1205922305</v>
      </c>
      <c r="F591" s="1665">
        <v>1254715724</v>
      </c>
      <c r="G591" s="1665">
        <v>1205922305</v>
      </c>
      <c r="H591" s="1665">
        <v>1254715724</v>
      </c>
      <c r="I591" s="1665">
        <v>1205922305</v>
      </c>
      <c r="J591" s="1665">
        <v>1254715724</v>
      </c>
      <c r="K591" s="1665">
        <v>1205922305</v>
      </c>
    </row>
    <row r="592" spans="1:11">
      <c r="A592" t="s">
        <v>5973</v>
      </c>
      <c r="B592" s="1417" t="s">
        <v>2264</v>
      </c>
      <c r="C592" s="1417" t="s">
        <v>7682</v>
      </c>
      <c r="D592" s="1665">
        <v>136536610</v>
      </c>
      <c r="E592" s="1665">
        <v>133290905</v>
      </c>
      <c r="F592" s="1665">
        <v>136536610</v>
      </c>
      <c r="G592" s="1665">
        <v>133290905</v>
      </c>
      <c r="H592" s="1665">
        <v>136536610</v>
      </c>
      <c r="I592" s="1665">
        <v>133290905</v>
      </c>
      <c r="J592" s="1665">
        <v>136536610</v>
      </c>
      <c r="K592" s="1665">
        <v>133290905</v>
      </c>
    </row>
    <row r="593" spans="1:11">
      <c r="A593" t="s">
        <v>3621</v>
      </c>
      <c r="B593" s="1417" t="s">
        <v>2401</v>
      </c>
      <c r="C593" s="1417" t="s">
        <v>7683</v>
      </c>
      <c r="D593" s="1665">
        <v>5095500711</v>
      </c>
      <c r="E593" s="1665">
        <v>5088339726</v>
      </c>
      <c r="F593" s="1665">
        <v>5095500711</v>
      </c>
      <c r="G593" s="1665">
        <v>5088339726</v>
      </c>
      <c r="H593" s="1665">
        <v>5095500711</v>
      </c>
      <c r="I593" s="1665">
        <v>5088339726</v>
      </c>
      <c r="J593" s="1665">
        <v>5095500711</v>
      </c>
      <c r="K593" s="1665">
        <v>5088339726</v>
      </c>
    </row>
    <row r="594" spans="1:11">
      <c r="A594" t="s">
        <v>5974</v>
      </c>
      <c r="B594" s="1417" t="s">
        <v>2265</v>
      </c>
      <c r="C594" s="1417" t="s">
        <v>7684</v>
      </c>
      <c r="D594" s="1665">
        <v>772439894</v>
      </c>
      <c r="E594" s="1665">
        <v>754130998</v>
      </c>
      <c r="F594" s="1665">
        <v>772439894</v>
      </c>
      <c r="G594" s="1665">
        <v>754130998</v>
      </c>
      <c r="H594" s="1665">
        <v>772439894</v>
      </c>
      <c r="I594" s="1665">
        <v>754130998</v>
      </c>
      <c r="J594" s="1665">
        <v>772439894</v>
      </c>
      <c r="K594" s="1665">
        <v>754130998</v>
      </c>
    </row>
    <row r="595" spans="1:11">
      <c r="A595" t="s">
        <v>6758</v>
      </c>
      <c r="B595" s="1417" t="s">
        <v>2266</v>
      </c>
      <c r="C595" s="1417" t="s">
        <v>7685</v>
      </c>
      <c r="D595" s="1665">
        <v>332141708</v>
      </c>
      <c r="E595" s="1665">
        <v>326633266</v>
      </c>
      <c r="F595" s="1665">
        <v>325880359</v>
      </c>
      <c r="G595" s="1665">
        <v>320371917</v>
      </c>
      <c r="H595" s="1665">
        <v>332141708</v>
      </c>
      <c r="I595" s="1665">
        <v>326633266</v>
      </c>
      <c r="J595" s="1665">
        <v>325880359</v>
      </c>
      <c r="K595" s="1665">
        <v>320371917</v>
      </c>
    </row>
    <row r="596" spans="1:11">
      <c r="A596" t="s">
        <v>6759</v>
      </c>
      <c r="B596" s="1417" t="s">
        <v>2267</v>
      </c>
      <c r="C596" s="1417" t="s">
        <v>7686</v>
      </c>
      <c r="D596" s="1665">
        <v>637816432</v>
      </c>
      <c r="E596" s="1665">
        <v>626491682</v>
      </c>
      <c r="F596" s="1665">
        <v>637816432</v>
      </c>
      <c r="G596" s="1665">
        <v>626491682</v>
      </c>
      <c r="H596" s="1665">
        <v>637816432</v>
      </c>
      <c r="I596" s="1665">
        <v>626491682</v>
      </c>
      <c r="J596" s="1665">
        <v>637816432</v>
      </c>
      <c r="K596" s="1665">
        <v>626491682</v>
      </c>
    </row>
    <row r="597" spans="1:11">
      <c r="A597" t="s">
        <v>6760</v>
      </c>
      <c r="B597" s="1417" t="s">
        <v>2268</v>
      </c>
      <c r="C597" s="1417" t="s">
        <v>7687</v>
      </c>
      <c r="D597" s="1665">
        <v>60704905</v>
      </c>
      <c r="E597" s="1665">
        <v>58122805</v>
      </c>
      <c r="F597" s="1665">
        <v>57338595</v>
      </c>
      <c r="G597" s="1665">
        <v>54756495</v>
      </c>
      <c r="H597" s="1665">
        <v>60704905</v>
      </c>
      <c r="I597" s="1665">
        <v>58122805</v>
      </c>
      <c r="J597" s="1665">
        <v>57338595</v>
      </c>
      <c r="K597" s="1665">
        <v>54756495</v>
      </c>
    </row>
    <row r="598" spans="1:11">
      <c r="A598" t="s">
        <v>6761</v>
      </c>
      <c r="B598" s="1417" t="s">
        <v>2269</v>
      </c>
      <c r="C598" s="1417" t="s">
        <v>7688</v>
      </c>
      <c r="D598" s="1665">
        <v>75713700</v>
      </c>
      <c r="E598" s="1665">
        <v>73042850</v>
      </c>
      <c r="F598" s="1665">
        <v>75713700</v>
      </c>
      <c r="G598" s="1665">
        <v>73042850</v>
      </c>
      <c r="H598" s="1665">
        <v>75713700</v>
      </c>
      <c r="I598" s="1665">
        <v>73042850</v>
      </c>
      <c r="J598" s="1665">
        <v>75713700</v>
      </c>
      <c r="K598" s="1665">
        <v>73042850</v>
      </c>
    </row>
    <row r="599" spans="1:11">
      <c r="A599" t="s">
        <v>5975</v>
      </c>
      <c r="B599" s="1417" t="s">
        <v>2586</v>
      </c>
      <c r="C599" s="1417" t="s">
        <v>7689</v>
      </c>
      <c r="D599" s="1665">
        <v>84647106</v>
      </c>
      <c r="E599" s="1665">
        <v>82172731</v>
      </c>
      <c r="F599" s="1665">
        <v>81848489</v>
      </c>
      <c r="G599" s="1665">
        <v>79374114</v>
      </c>
      <c r="H599" s="1665">
        <v>84647106</v>
      </c>
      <c r="I599" s="1665">
        <v>82172731</v>
      </c>
      <c r="J599" s="1665">
        <v>81848489</v>
      </c>
      <c r="K599" s="1665">
        <v>79374114</v>
      </c>
    </row>
    <row r="600" spans="1:11">
      <c r="A600" t="s">
        <v>5976</v>
      </c>
      <c r="B600" s="1417" t="s">
        <v>2587</v>
      </c>
      <c r="C600" s="1417" t="s">
        <v>7690</v>
      </c>
      <c r="D600" s="1665">
        <v>801090017</v>
      </c>
      <c r="E600" s="1665">
        <v>780900231</v>
      </c>
      <c r="F600" s="1665">
        <v>785779936</v>
      </c>
      <c r="G600" s="1665">
        <v>765590150</v>
      </c>
      <c r="H600" s="1665">
        <v>801090017</v>
      </c>
      <c r="I600" s="1665">
        <v>780900231</v>
      </c>
      <c r="J600" s="1665">
        <v>785779936</v>
      </c>
      <c r="K600" s="1665">
        <v>765590150</v>
      </c>
    </row>
    <row r="601" spans="1:11">
      <c r="A601" t="s">
        <v>5977</v>
      </c>
      <c r="B601" s="1417" t="s">
        <v>2588</v>
      </c>
      <c r="C601" s="1417" t="s">
        <v>7691</v>
      </c>
      <c r="D601" s="1665">
        <v>421881717</v>
      </c>
      <c r="E601" s="1665">
        <v>408032754</v>
      </c>
      <c r="F601" s="1665">
        <v>421881717</v>
      </c>
      <c r="G601" s="1665">
        <v>408032754</v>
      </c>
      <c r="H601" s="1665">
        <v>421881717</v>
      </c>
      <c r="I601" s="1665">
        <v>408032754</v>
      </c>
      <c r="J601" s="1665">
        <v>421881717</v>
      </c>
      <c r="K601" s="1665">
        <v>408032754</v>
      </c>
    </row>
    <row r="602" spans="1:11">
      <c r="A602" t="s">
        <v>6762</v>
      </c>
      <c r="B602" s="1417" t="s">
        <v>2589</v>
      </c>
      <c r="C602" s="1417" t="s">
        <v>7692</v>
      </c>
      <c r="D602" s="1665">
        <v>127425926</v>
      </c>
      <c r="E602" s="1665">
        <v>124505470</v>
      </c>
      <c r="F602" s="1665">
        <v>126714122</v>
      </c>
      <c r="G602" s="1665">
        <v>123793666</v>
      </c>
      <c r="H602" s="1665">
        <v>127425926</v>
      </c>
      <c r="I602" s="1665">
        <v>124505470</v>
      </c>
      <c r="J602" s="1665">
        <v>126714122</v>
      </c>
      <c r="K602" s="1665">
        <v>123793666</v>
      </c>
    </row>
    <row r="603" spans="1:11">
      <c r="A603" t="s">
        <v>5978</v>
      </c>
      <c r="B603" s="1417" t="s">
        <v>2590</v>
      </c>
      <c r="C603" s="1417" t="s">
        <v>7693</v>
      </c>
      <c r="D603" s="1665">
        <v>452284563</v>
      </c>
      <c r="E603" s="1665">
        <v>452284563</v>
      </c>
      <c r="F603" s="1665">
        <v>449884277</v>
      </c>
      <c r="G603" s="1665">
        <v>449884277</v>
      </c>
      <c r="H603" s="1665">
        <v>452284563</v>
      </c>
      <c r="I603" s="1665">
        <v>452284563</v>
      </c>
      <c r="J603" s="1665">
        <v>449884277</v>
      </c>
      <c r="K603" s="1665">
        <v>449884277</v>
      </c>
    </row>
    <row r="604" spans="1:11">
      <c r="A604" t="s">
        <v>5979</v>
      </c>
      <c r="B604" s="1417" t="s">
        <v>1381</v>
      </c>
      <c r="C604" s="1417" t="s">
        <v>7694</v>
      </c>
      <c r="D604" s="1665">
        <v>351980127</v>
      </c>
      <c r="E604" s="1665">
        <v>351980127</v>
      </c>
      <c r="F604" s="1665">
        <v>346014222</v>
      </c>
      <c r="G604" s="1665">
        <v>346014222</v>
      </c>
      <c r="H604" s="1665">
        <v>351980127</v>
      </c>
      <c r="I604" s="1665">
        <v>351980127</v>
      </c>
      <c r="J604" s="1665">
        <v>346014222</v>
      </c>
      <c r="K604" s="1665">
        <v>346014222</v>
      </c>
    </row>
    <row r="605" spans="1:11">
      <c r="A605" t="s">
        <v>5980</v>
      </c>
      <c r="B605" s="1417" t="s">
        <v>1382</v>
      </c>
      <c r="C605" s="1417" t="s">
        <v>7695</v>
      </c>
      <c r="D605" s="1665">
        <v>353940620</v>
      </c>
      <c r="E605" s="1665">
        <v>352542051</v>
      </c>
      <c r="F605" s="1665">
        <v>339639514</v>
      </c>
      <c r="G605" s="1665">
        <v>338240945</v>
      </c>
      <c r="H605" s="1665">
        <v>353940620</v>
      </c>
      <c r="I605" s="1665">
        <v>352542051</v>
      </c>
      <c r="J605" s="1665">
        <v>339639514</v>
      </c>
      <c r="K605" s="1665">
        <v>338240945</v>
      </c>
    </row>
    <row r="606" spans="1:11">
      <c r="A606" t="s">
        <v>5981</v>
      </c>
      <c r="B606" s="1417" t="s">
        <v>2426</v>
      </c>
      <c r="C606" s="1417" t="s">
        <v>7696</v>
      </c>
      <c r="D606" s="1665">
        <v>148766635</v>
      </c>
      <c r="E606" s="1665">
        <v>148242931</v>
      </c>
      <c r="F606" s="1665">
        <v>148766635</v>
      </c>
      <c r="G606" s="1665">
        <v>148242931</v>
      </c>
      <c r="H606" s="1665">
        <v>148766635</v>
      </c>
      <c r="I606" s="1665">
        <v>148242931</v>
      </c>
      <c r="J606" s="1665">
        <v>148766635</v>
      </c>
      <c r="K606" s="1665">
        <v>148242931</v>
      </c>
    </row>
    <row r="607" spans="1:11">
      <c r="A607" t="s">
        <v>5982</v>
      </c>
      <c r="B607" s="1417" t="s">
        <v>2111</v>
      </c>
      <c r="C607" s="1417" t="s">
        <v>7697</v>
      </c>
      <c r="D607" s="1665">
        <v>770617558</v>
      </c>
      <c r="E607" s="1665">
        <v>769599808</v>
      </c>
      <c r="F607" s="1665">
        <v>770617558</v>
      </c>
      <c r="G607" s="1665">
        <v>769599808</v>
      </c>
      <c r="H607" s="1665">
        <v>770617558</v>
      </c>
      <c r="I607" s="1665">
        <v>769599808</v>
      </c>
      <c r="J607" s="1665">
        <v>770617558</v>
      </c>
      <c r="K607" s="1665">
        <v>769599808</v>
      </c>
    </row>
    <row r="608" spans="1:11">
      <c r="A608" t="s">
        <v>3622</v>
      </c>
      <c r="B608" s="1417" t="s">
        <v>2633</v>
      </c>
      <c r="C608" s="1417" t="s">
        <v>7698</v>
      </c>
      <c r="D608" s="1665">
        <v>1422935382</v>
      </c>
      <c r="E608" s="1665">
        <v>1391208692</v>
      </c>
      <c r="F608" s="1665">
        <v>1422935382</v>
      </c>
      <c r="G608" s="1665">
        <v>1391208692</v>
      </c>
      <c r="H608" s="1665">
        <v>1422935382</v>
      </c>
      <c r="I608" s="1665">
        <v>1391208692</v>
      </c>
      <c r="J608" s="1665">
        <v>1422935382</v>
      </c>
      <c r="K608" s="1665">
        <v>1391208692</v>
      </c>
    </row>
    <row r="609" spans="1:11">
      <c r="A609" t="s">
        <v>3623</v>
      </c>
      <c r="B609" s="1417" t="s">
        <v>2408</v>
      </c>
      <c r="C609" s="1417" t="s">
        <v>7699</v>
      </c>
      <c r="D609" s="1665">
        <v>1929990767</v>
      </c>
      <c r="E609" s="1665">
        <v>1883562214</v>
      </c>
      <c r="F609" s="1665">
        <v>1929990767</v>
      </c>
      <c r="G609" s="1665">
        <v>1883562214</v>
      </c>
      <c r="H609" s="1665">
        <v>1929990767</v>
      </c>
      <c r="I609" s="1665">
        <v>1883562214</v>
      </c>
      <c r="J609" s="1665">
        <v>1929990767</v>
      </c>
      <c r="K609" s="1665">
        <v>1883562214</v>
      </c>
    </row>
    <row r="610" spans="1:11">
      <c r="A610" t="s">
        <v>5983</v>
      </c>
      <c r="B610" s="1417" t="s">
        <v>2112</v>
      </c>
      <c r="C610" s="1417" t="s">
        <v>7700</v>
      </c>
      <c r="D610" s="1665">
        <v>168025254</v>
      </c>
      <c r="E610" s="1665">
        <v>166064675</v>
      </c>
      <c r="F610" s="1665">
        <v>168025254</v>
      </c>
      <c r="G610" s="1665">
        <v>166064675</v>
      </c>
      <c r="H610" s="1665">
        <v>168025254</v>
      </c>
      <c r="I610" s="1665">
        <v>166064675</v>
      </c>
      <c r="J610" s="1665">
        <v>168025254</v>
      </c>
      <c r="K610" s="1665">
        <v>166064675</v>
      </c>
    </row>
    <row r="611" spans="1:11">
      <c r="A611" t="s">
        <v>3624</v>
      </c>
      <c r="B611" s="1417" t="s">
        <v>2515</v>
      </c>
      <c r="C611" s="1417" t="s">
        <v>7701</v>
      </c>
      <c r="D611" s="1665">
        <v>459307294</v>
      </c>
      <c r="E611" s="1665">
        <v>445266187</v>
      </c>
      <c r="F611" s="1665">
        <v>459307294</v>
      </c>
      <c r="G611" s="1665">
        <v>445266187</v>
      </c>
      <c r="H611" s="1665">
        <v>459307294</v>
      </c>
      <c r="I611" s="1665">
        <v>445266187</v>
      </c>
      <c r="J611" s="1665">
        <v>459307294</v>
      </c>
      <c r="K611" s="1665">
        <v>445266187</v>
      </c>
    </row>
    <row r="612" spans="1:11">
      <c r="A612" t="s">
        <v>3625</v>
      </c>
      <c r="B612" s="1417" t="s">
        <v>1116</v>
      </c>
      <c r="C612" s="1417" t="s">
        <v>7702</v>
      </c>
      <c r="D612" s="1665">
        <v>272713599</v>
      </c>
      <c r="E612" s="1665">
        <v>266731988</v>
      </c>
      <c r="F612" s="1665">
        <v>272713599</v>
      </c>
      <c r="G612" s="1665">
        <v>266731988</v>
      </c>
      <c r="H612" s="1665">
        <v>272713599</v>
      </c>
      <c r="I612" s="1665">
        <v>266731988</v>
      </c>
      <c r="J612" s="1665">
        <v>272713599</v>
      </c>
      <c r="K612" s="1665">
        <v>266731988</v>
      </c>
    </row>
    <row r="613" spans="1:11">
      <c r="A613" t="s">
        <v>5984</v>
      </c>
      <c r="B613" s="1417" t="s">
        <v>2113</v>
      </c>
      <c r="C613" s="1417" t="s">
        <v>7703</v>
      </c>
      <c r="D613" s="1665">
        <v>927797532</v>
      </c>
      <c r="E613" s="1665">
        <v>907124351</v>
      </c>
      <c r="F613" s="1665">
        <v>927797532</v>
      </c>
      <c r="G613" s="1665">
        <v>907124351</v>
      </c>
      <c r="H613" s="1665">
        <v>986152932</v>
      </c>
      <c r="I613" s="1665">
        <v>965479751</v>
      </c>
      <c r="J613" s="1665">
        <v>986152932</v>
      </c>
      <c r="K613" s="1665">
        <v>965479751</v>
      </c>
    </row>
    <row r="614" spans="1:11">
      <c r="A614" t="s">
        <v>5985</v>
      </c>
      <c r="B614" s="1417" t="s">
        <v>2114</v>
      </c>
      <c r="C614" s="1417" t="s">
        <v>7704</v>
      </c>
      <c r="D614" s="1665">
        <v>585662216</v>
      </c>
      <c r="E614" s="1665">
        <v>566694382</v>
      </c>
      <c r="F614" s="1665">
        <v>585662216</v>
      </c>
      <c r="G614" s="1665">
        <v>566694382</v>
      </c>
      <c r="H614" s="1665">
        <v>585662216</v>
      </c>
      <c r="I614" s="1665">
        <v>566694382</v>
      </c>
      <c r="J614" s="1665">
        <v>585662216</v>
      </c>
      <c r="K614" s="1665">
        <v>566694382</v>
      </c>
    </row>
    <row r="615" spans="1:11">
      <c r="A615" t="s">
        <v>3626</v>
      </c>
      <c r="B615" s="1417" t="s">
        <v>967</v>
      </c>
      <c r="C615" s="1417" t="s">
        <v>7705</v>
      </c>
      <c r="D615" s="1665">
        <v>46260552</v>
      </c>
      <c r="E615" s="1665">
        <v>44358319</v>
      </c>
      <c r="F615" s="1665">
        <v>46260552</v>
      </c>
      <c r="G615" s="1665">
        <v>44358319</v>
      </c>
      <c r="H615" s="1665">
        <v>46260552</v>
      </c>
      <c r="I615" s="1665">
        <v>44358319</v>
      </c>
      <c r="J615" s="1665">
        <v>46260552</v>
      </c>
      <c r="K615" s="1665">
        <v>44358319</v>
      </c>
    </row>
    <row r="616" spans="1:11">
      <c r="A616" t="s">
        <v>5986</v>
      </c>
      <c r="B616" s="1417" t="s">
        <v>1337</v>
      </c>
      <c r="C616" s="1417" t="s">
        <v>7706</v>
      </c>
      <c r="D616" s="1665">
        <v>1257050449</v>
      </c>
      <c r="E616" s="1665">
        <v>1236982696</v>
      </c>
      <c r="F616" s="1665">
        <v>1257050449</v>
      </c>
      <c r="G616" s="1665">
        <v>1236982696</v>
      </c>
      <c r="H616" s="1665">
        <v>1257050449</v>
      </c>
      <c r="I616" s="1665">
        <v>1236982696</v>
      </c>
      <c r="J616" s="1665">
        <v>1257050449</v>
      </c>
      <c r="K616" s="1665">
        <v>1236982696</v>
      </c>
    </row>
    <row r="617" spans="1:11">
      <c r="A617" t="s">
        <v>5987</v>
      </c>
      <c r="B617" s="1417" t="s">
        <v>1689</v>
      </c>
      <c r="C617" s="1417" t="s">
        <v>7707</v>
      </c>
      <c r="D617" s="1665">
        <v>452802411</v>
      </c>
      <c r="E617" s="1665">
        <v>433285836</v>
      </c>
      <c r="F617" s="1665">
        <v>452802411</v>
      </c>
      <c r="G617" s="1665">
        <v>433285836</v>
      </c>
      <c r="H617" s="1665">
        <v>452802411</v>
      </c>
      <c r="I617" s="1665">
        <v>433285836</v>
      </c>
      <c r="J617" s="1665">
        <v>452802411</v>
      </c>
      <c r="K617" s="1665">
        <v>433285836</v>
      </c>
    </row>
    <row r="618" spans="1:11">
      <c r="A618" t="s">
        <v>5988</v>
      </c>
      <c r="B618" s="1417" t="s">
        <v>1690</v>
      </c>
      <c r="C618" s="1417" t="s">
        <v>7708</v>
      </c>
      <c r="D618" s="1665">
        <v>208250464</v>
      </c>
      <c r="E618" s="1665">
        <v>205539024</v>
      </c>
      <c r="F618" s="1665">
        <v>208250464</v>
      </c>
      <c r="G618" s="1665">
        <v>205539024</v>
      </c>
      <c r="H618" s="1665">
        <v>208250464</v>
      </c>
      <c r="I618" s="1665">
        <v>205539024</v>
      </c>
      <c r="J618" s="1665">
        <v>208250464</v>
      </c>
      <c r="K618" s="1665">
        <v>205539024</v>
      </c>
    </row>
    <row r="619" spans="1:11">
      <c r="A619" t="s">
        <v>5989</v>
      </c>
      <c r="B619" s="1417" t="s">
        <v>2557</v>
      </c>
      <c r="C619" s="1417" t="s">
        <v>7709</v>
      </c>
      <c r="D619" s="1665">
        <v>137930012</v>
      </c>
      <c r="E619" s="1665">
        <v>136671812</v>
      </c>
      <c r="F619" s="1665">
        <v>137930012</v>
      </c>
      <c r="G619" s="1665">
        <v>136671812</v>
      </c>
      <c r="H619" s="1665">
        <v>137930012</v>
      </c>
      <c r="I619" s="1665">
        <v>136671812</v>
      </c>
      <c r="J619" s="1665">
        <v>137930012</v>
      </c>
      <c r="K619" s="1665">
        <v>136671812</v>
      </c>
    </row>
    <row r="620" spans="1:11">
      <c r="A620" t="s">
        <v>5990</v>
      </c>
      <c r="B620" s="1417" t="s">
        <v>2558</v>
      </c>
      <c r="C620" s="1417" t="s">
        <v>7710</v>
      </c>
      <c r="D620" s="1665">
        <v>229746418</v>
      </c>
      <c r="E620" s="1665">
        <v>228893209</v>
      </c>
      <c r="F620" s="1665">
        <v>229746418</v>
      </c>
      <c r="G620" s="1665">
        <v>228893209</v>
      </c>
      <c r="H620" s="1665">
        <v>229746418</v>
      </c>
      <c r="I620" s="1665">
        <v>228893209</v>
      </c>
      <c r="J620" s="1665">
        <v>229746418</v>
      </c>
      <c r="K620" s="1665">
        <v>228893209</v>
      </c>
    </row>
    <row r="621" spans="1:11">
      <c r="A621" t="s">
        <v>5991</v>
      </c>
      <c r="B621" s="1417" t="s">
        <v>2659</v>
      </c>
      <c r="C621" s="1417" t="s">
        <v>7711</v>
      </c>
      <c r="D621" s="1665">
        <v>90831933</v>
      </c>
      <c r="E621" s="1665">
        <v>89811143</v>
      </c>
      <c r="F621" s="1665">
        <v>90831933</v>
      </c>
      <c r="G621" s="1665">
        <v>89811143</v>
      </c>
      <c r="H621" s="1665">
        <v>90831933</v>
      </c>
      <c r="I621" s="1665">
        <v>89811143</v>
      </c>
      <c r="J621" s="1665">
        <v>90831933</v>
      </c>
      <c r="K621" s="1665">
        <v>89811143</v>
      </c>
    </row>
    <row r="622" spans="1:11">
      <c r="A622" t="s">
        <v>5992</v>
      </c>
      <c r="B622" s="1417" t="s">
        <v>837</v>
      </c>
      <c r="C622" s="1417" t="s">
        <v>7712</v>
      </c>
      <c r="D622" s="1665">
        <v>755894210</v>
      </c>
      <c r="E622" s="1665">
        <v>740120499</v>
      </c>
      <c r="F622" s="1665">
        <v>736322508</v>
      </c>
      <c r="G622" s="1665">
        <v>720548797</v>
      </c>
      <c r="H622" s="1665">
        <v>755894210</v>
      </c>
      <c r="I622" s="1665">
        <v>740120499</v>
      </c>
      <c r="J622" s="1665">
        <v>736322508</v>
      </c>
      <c r="K622" s="1665">
        <v>720548797</v>
      </c>
    </row>
    <row r="623" spans="1:11">
      <c r="A623" t="s">
        <v>5993</v>
      </c>
      <c r="B623" s="1417" t="s">
        <v>82</v>
      </c>
      <c r="C623" s="1417" t="s">
        <v>7713</v>
      </c>
      <c r="D623" s="1665">
        <v>1522412141</v>
      </c>
      <c r="E623" s="1665">
        <v>1514978938</v>
      </c>
      <c r="F623" s="1665">
        <v>1514354270</v>
      </c>
      <c r="G623" s="1665">
        <v>1506921067</v>
      </c>
      <c r="H623" s="1665">
        <v>1522412141</v>
      </c>
      <c r="I623" s="1665">
        <v>1514978938</v>
      </c>
      <c r="J623" s="1665">
        <v>1514354270</v>
      </c>
      <c r="K623" s="1665">
        <v>1506921067</v>
      </c>
    </row>
    <row r="624" spans="1:11">
      <c r="A624" t="s">
        <v>5994</v>
      </c>
      <c r="B624" s="1417" t="s">
        <v>83</v>
      </c>
      <c r="C624" s="1417" t="s">
        <v>7714</v>
      </c>
      <c r="D624" s="1665">
        <v>3876344228</v>
      </c>
      <c r="E624" s="1665">
        <v>3828577969</v>
      </c>
      <c r="F624" s="1665">
        <v>3803090438</v>
      </c>
      <c r="G624" s="1665">
        <v>3755324179</v>
      </c>
      <c r="H624" s="1665">
        <v>3876344228</v>
      </c>
      <c r="I624" s="1665">
        <v>3828577969</v>
      </c>
      <c r="J624" s="1665">
        <v>3803090438</v>
      </c>
      <c r="K624" s="1665">
        <v>3755324179</v>
      </c>
    </row>
    <row r="625" spans="1:11">
      <c r="A625" t="s">
        <v>5163</v>
      </c>
      <c r="B625" s="1417" t="s">
        <v>2284</v>
      </c>
      <c r="C625" s="1417" t="s">
        <v>7715</v>
      </c>
      <c r="D625" s="1665">
        <v>11141503703</v>
      </c>
      <c r="E625" s="1665">
        <v>10851614664</v>
      </c>
      <c r="F625" s="1665">
        <v>11141503703</v>
      </c>
      <c r="G625" s="1665">
        <v>10851614664</v>
      </c>
      <c r="H625" s="1665">
        <v>11141503703</v>
      </c>
      <c r="I625" s="1665">
        <v>10851614664</v>
      </c>
      <c r="J625" s="1665">
        <v>11141503703</v>
      </c>
      <c r="K625" s="1665">
        <v>10851614664</v>
      </c>
    </row>
    <row r="626" spans="1:11">
      <c r="A626" t="s">
        <v>6763</v>
      </c>
      <c r="B626" s="1417" t="s">
        <v>2410</v>
      </c>
      <c r="C626" s="1417" t="s">
        <v>7716</v>
      </c>
      <c r="D626" s="1665">
        <v>269867996</v>
      </c>
      <c r="E626" s="1665">
        <v>264478290</v>
      </c>
      <c r="F626" s="1665">
        <v>269867996</v>
      </c>
      <c r="G626" s="1665">
        <v>264478290</v>
      </c>
      <c r="H626" s="1665">
        <v>269867996</v>
      </c>
      <c r="I626" s="1665">
        <v>264478290</v>
      </c>
      <c r="J626" s="1665">
        <v>269867996</v>
      </c>
      <c r="K626" s="1665">
        <v>264478290</v>
      </c>
    </row>
    <row r="627" spans="1:11">
      <c r="A627" t="s">
        <v>5995</v>
      </c>
      <c r="B627" s="1417" t="s">
        <v>2411</v>
      </c>
      <c r="C627" s="1417" t="s">
        <v>7717</v>
      </c>
      <c r="D627" s="1665">
        <v>420129625</v>
      </c>
      <c r="E627" s="1665">
        <v>405116259</v>
      </c>
      <c r="F627" s="1665">
        <v>420129625</v>
      </c>
      <c r="G627" s="1665">
        <v>405116259</v>
      </c>
      <c r="H627" s="1665">
        <v>420129625</v>
      </c>
      <c r="I627" s="1665">
        <v>405116259</v>
      </c>
      <c r="J627" s="1665">
        <v>420129625</v>
      </c>
      <c r="K627" s="1665">
        <v>405116259</v>
      </c>
    </row>
    <row r="628" spans="1:11">
      <c r="A628" t="s">
        <v>3627</v>
      </c>
      <c r="B628" s="1417" t="s">
        <v>2104</v>
      </c>
      <c r="C628" s="1417" t="s">
        <v>7718</v>
      </c>
      <c r="D628" s="1665">
        <v>3216841241</v>
      </c>
      <c r="E628" s="1665">
        <v>3148229587</v>
      </c>
      <c r="F628" s="1665">
        <v>3216841241</v>
      </c>
      <c r="G628" s="1665">
        <v>3148229587</v>
      </c>
      <c r="H628" s="1665">
        <v>3216841241</v>
      </c>
      <c r="I628" s="1665">
        <v>3148229587</v>
      </c>
      <c r="J628" s="1665">
        <v>3216841241</v>
      </c>
      <c r="K628" s="1665">
        <v>3148229587</v>
      </c>
    </row>
    <row r="629" spans="1:11">
      <c r="A629" t="s">
        <v>3628</v>
      </c>
      <c r="B629" s="1417" t="s">
        <v>1423</v>
      </c>
      <c r="C629" s="1417" t="s">
        <v>7719</v>
      </c>
      <c r="D629" s="1665">
        <v>4234790503</v>
      </c>
      <c r="E629" s="1665">
        <v>4144011847</v>
      </c>
      <c r="F629" s="1665">
        <v>4234790503</v>
      </c>
      <c r="G629" s="1665">
        <v>4144011847</v>
      </c>
      <c r="H629" s="1665">
        <v>4234790503</v>
      </c>
      <c r="I629" s="1665">
        <v>4144011847</v>
      </c>
      <c r="J629" s="1665">
        <v>4234790503</v>
      </c>
      <c r="K629" s="1665">
        <v>4144011847</v>
      </c>
    </row>
    <row r="630" spans="1:11">
      <c r="A630" t="s">
        <v>5996</v>
      </c>
      <c r="B630" s="1417" t="s">
        <v>2412</v>
      </c>
      <c r="C630" s="1417" t="s">
        <v>7720</v>
      </c>
      <c r="D630" s="1665">
        <v>243707420</v>
      </c>
      <c r="E630" s="1665">
        <v>236209061</v>
      </c>
      <c r="F630" s="1665">
        <v>243707420</v>
      </c>
      <c r="G630" s="1665">
        <v>236209061</v>
      </c>
      <c r="H630" s="1665">
        <v>243707420</v>
      </c>
      <c r="I630" s="1665">
        <v>236209061</v>
      </c>
      <c r="J630" s="1665">
        <v>243707420</v>
      </c>
      <c r="K630" s="1665">
        <v>236209061</v>
      </c>
    </row>
    <row r="631" spans="1:11">
      <c r="A631" t="s">
        <v>3629</v>
      </c>
      <c r="B631" s="1417" t="s">
        <v>496</v>
      </c>
      <c r="C631" s="1417" t="s">
        <v>7721</v>
      </c>
      <c r="D631" s="1665">
        <v>338989927</v>
      </c>
      <c r="E631" s="1665">
        <v>328821506</v>
      </c>
      <c r="F631" s="1665">
        <v>338989927</v>
      </c>
      <c r="G631" s="1665">
        <v>328821506</v>
      </c>
      <c r="H631" s="1665">
        <v>338989927</v>
      </c>
      <c r="I631" s="1665">
        <v>328821506</v>
      </c>
      <c r="J631" s="1665">
        <v>338989927</v>
      </c>
      <c r="K631" s="1665">
        <v>328821506</v>
      </c>
    </row>
    <row r="632" spans="1:11">
      <c r="A632" t="s">
        <v>3630</v>
      </c>
      <c r="B632" s="1417" t="s">
        <v>677</v>
      </c>
      <c r="C632" s="1417" t="s">
        <v>7722</v>
      </c>
      <c r="D632" s="1665">
        <v>269547363</v>
      </c>
      <c r="E632" s="1665">
        <v>261402587</v>
      </c>
      <c r="F632" s="1665">
        <v>269547363</v>
      </c>
      <c r="G632" s="1665">
        <v>261402587</v>
      </c>
      <c r="H632" s="1665">
        <v>269547363</v>
      </c>
      <c r="I632" s="1665">
        <v>261402587</v>
      </c>
      <c r="J632" s="1665">
        <v>269547363</v>
      </c>
      <c r="K632" s="1665">
        <v>261402587</v>
      </c>
    </row>
    <row r="633" spans="1:11">
      <c r="A633" t="s">
        <v>5997</v>
      </c>
      <c r="B633" s="1417" t="s">
        <v>2347</v>
      </c>
      <c r="C633" s="1417" t="s">
        <v>7723</v>
      </c>
      <c r="D633" s="1665">
        <v>115368446</v>
      </c>
      <c r="E633" s="1665">
        <v>113219486</v>
      </c>
      <c r="F633" s="1665">
        <v>115368446</v>
      </c>
      <c r="G633" s="1665">
        <v>113219486</v>
      </c>
      <c r="H633" s="1665">
        <v>311943836</v>
      </c>
      <c r="I633" s="1665">
        <v>309794876</v>
      </c>
      <c r="J633" s="1665">
        <v>311943836</v>
      </c>
      <c r="K633" s="1665">
        <v>309794876</v>
      </c>
    </row>
    <row r="634" spans="1:11">
      <c r="A634" t="s">
        <v>6764</v>
      </c>
      <c r="B634" s="1417" t="s">
        <v>2348</v>
      </c>
      <c r="C634" s="1417" t="s">
        <v>7724</v>
      </c>
      <c r="D634" s="1665">
        <v>147029327</v>
      </c>
      <c r="E634" s="1665">
        <v>141358747</v>
      </c>
      <c r="F634" s="1665">
        <v>147029327</v>
      </c>
      <c r="G634" s="1665">
        <v>141358747</v>
      </c>
      <c r="H634" s="1665">
        <v>147029327</v>
      </c>
      <c r="I634" s="1665">
        <v>141358747</v>
      </c>
      <c r="J634" s="1665">
        <v>147029327</v>
      </c>
      <c r="K634" s="1665">
        <v>141358747</v>
      </c>
    </row>
    <row r="635" spans="1:11">
      <c r="A635" t="s">
        <v>5998</v>
      </c>
      <c r="B635" s="1417" t="s">
        <v>2349</v>
      </c>
      <c r="C635" s="1417" t="s">
        <v>7725</v>
      </c>
      <c r="D635" s="1665">
        <v>100889812</v>
      </c>
      <c r="E635" s="1665">
        <v>98628402</v>
      </c>
      <c r="F635" s="1665">
        <v>100889812</v>
      </c>
      <c r="G635" s="1665">
        <v>98628402</v>
      </c>
      <c r="H635" s="1665">
        <v>100889812</v>
      </c>
      <c r="I635" s="1665">
        <v>98628402</v>
      </c>
      <c r="J635" s="1665">
        <v>100889812</v>
      </c>
      <c r="K635" s="1665">
        <v>98628402</v>
      </c>
    </row>
    <row r="636" spans="1:11">
      <c r="A636" t="s">
        <v>6765</v>
      </c>
      <c r="B636" s="1417" t="s">
        <v>1464</v>
      </c>
      <c r="C636" s="1417" t="s">
        <v>7726</v>
      </c>
      <c r="D636" s="1665">
        <v>51518782</v>
      </c>
      <c r="E636" s="1665">
        <v>50007832</v>
      </c>
      <c r="F636" s="1665">
        <v>51518782</v>
      </c>
      <c r="G636" s="1665">
        <v>50007832</v>
      </c>
      <c r="H636" s="1665">
        <v>51518782</v>
      </c>
      <c r="I636" s="1665">
        <v>50007832</v>
      </c>
      <c r="J636" s="1665">
        <v>51518782</v>
      </c>
      <c r="K636" s="1665">
        <v>50007832</v>
      </c>
    </row>
    <row r="637" spans="1:11">
      <c r="A637" t="s">
        <v>3631</v>
      </c>
      <c r="B637" s="1417" t="s">
        <v>2091</v>
      </c>
      <c r="C637" s="1417" t="s">
        <v>7727</v>
      </c>
      <c r="D637" s="1665">
        <v>812224446</v>
      </c>
      <c r="E637" s="1665">
        <v>791438665</v>
      </c>
      <c r="F637" s="1665">
        <v>812224446</v>
      </c>
      <c r="G637" s="1665">
        <v>791438665</v>
      </c>
      <c r="H637" s="1665">
        <v>812224446</v>
      </c>
      <c r="I637" s="1665">
        <v>791438665</v>
      </c>
      <c r="J637" s="1665">
        <v>812224446</v>
      </c>
      <c r="K637" s="1665">
        <v>791438665</v>
      </c>
    </row>
    <row r="638" spans="1:11">
      <c r="A638" t="s">
        <v>3632</v>
      </c>
      <c r="B638" s="1417" t="s">
        <v>1465</v>
      </c>
      <c r="C638" s="1417" t="s">
        <v>7728</v>
      </c>
      <c r="D638" s="1665">
        <v>220209914</v>
      </c>
      <c r="E638" s="1665">
        <v>216068708</v>
      </c>
      <c r="F638" s="1665">
        <v>220209914</v>
      </c>
      <c r="G638" s="1665">
        <v>216068708</v>
      </c>
      <c r="H638" s="1665">
        <v>220209914</v>
      </c>
      <c r="I638" s="1665">
        <v>216068708</v>
      </c>
      <c r="J638" s="1665">
        <v>220209914</v>
      </c>
      <c r="K638" s="1665">
        <v>216068708</v>
      </c>
    </row>
    <row r="639" spans="1:11">
      <c r="A639" t="s">
        <v>5999</v>
      </c>
      <c r="B639" s="1417" t="s">
        <v>382</v>
      </c>
      <c r="C639" s="1417" t="s">
        <v>7729</v>
      </c>
      <c r="D639" s="1665">
        <v>641160730</v>
      </c>
      <c r="E639" s="1665">
        <v>619053650</v>
      </c>
      <c r="F639" s="1665">
        <v>630866135</v>
      </c>
      <c r="G639" s="1665">
        <v>608759055</v>
      </c>
      <c r="H639" s="1665">
        <v>641160730</v>
      </c>
      <c r="I639" s="1665">
        <v>619053650</v>
      </c>
      <c r="J639" s="1665">
        <v>630866135</v>
      </c>
      <c r="K639" s="1665">
        <v>608759055</v>
      </c>
    </row>
    <row r="640" spans="1:11">
      <c r="A640" t="s">
        <v>6000</v>
      </c>
      <c r="B640" s="1417" t="s">
        <v>383</v>
      </c>
      <c r="C640" s="1417" t="s">
        <v>7730</v>
      </c>
      <c r="D640" s="1665">
        <v>2131881349</v>
      </c>
      <c r="E640" s="1665">
        <v>2123052581</v>
      </c>
      <c r="F640" s="1665">
        <v>2125858057</v>
      </c>
      <c r="G640" s="1665">
        <v>2117029289</v>
      </c>
      <c r="H640" s="1665">
        <v>2193314139</v>
      </c>
      <c r="I640" s="1665">
        <v>2184485371</v>
      </c>
      <c r="J640" s="1665">
        <v>2187290847</v>
      </c>
      <c r="K640" s="1665">
        <v>2178462079</v>
      </c>
    </row>
    <row r="641" spans="1:11">
      <c r="A641" t="s">
        <v>6001</v>
      </c>
      <c r="B641" s="1417" t="s">
        <v>384</v>
      </c>
      <c r="C641" s="1417" t="s">
        <v>7731</v>
      </c>
      <c r="D641" s="1665">
        <v>1495769557</v>
      </c>
      <c r="E641" s="1665">
        <v>1494582997</v>
      </c>
      <c r="F641" s="1665">
        <v>1494515432</v>
      </c>
      <c r="G641" s="1665">
        <v>1493328872</v>
      </c>
      <c r="H641" s="1665">
        <v>1495769557</v>
      </c>
      <c r="I641" s="1665">
        <v>1494582997</v>
      </c>
      <c r="J641" s="1665">
        <v>1494515432</v>
      </c>
      <c r="K641" s="1665">
        <v>1493328872</v>
      </c>
    </row>
    <row r="642" spans="1:11">
      <c r="A642" t="s">
        <v>6002</v>
      </c>
      <c r="B642" s="1417" t="s">
        <v>1655</v>
      </c>
      <c r="C642" s="1417" t="s">
        <v>7732</v>
      </c>
      <c r="D642" s="1665">
        <v>359660434</v>
      </c>
      <c r="E642" s="1665">
        <v>348179494</v>
      </c>
      <c r="F642" s="1665">
        <v>359660434</v>
      </c>
      <c r="G642" s="1665">
        <v>348179494</v>
      </c>
      <c r="H642" s="1665">
        <v>359660434</v>
      </c>
      <c r="I642" s="1665">
        <v>348179494</v>
      </c>
      <c r="J642" s="1665">
        <v>359660434</v>
      </c>
      <c r="K642" s="1665">
        <v>348179494</v>
      </c>
    </row>
    <row r="643" spans="1:11">
      <c r="A643" t="s">
        <v>6003</v>
      </c>
      <c r="B643" s="1417" t="s">
        <v>1656</v>
      </c>
      <c r="C643" s="1417" t="s">
        <v>7733</v>
      </c>
      <c r="D643" s="1665">
        <v>1334969915</v>
      </c>
      <c r="E643" s="1665">
        <v>1300140101</v>
      </c>
      <c r="F643" s="1665">
        <v>1334969915</v>
      </c>
      <c r="G643" s="1665">
        <v>1300140101</v>
      </c>
      <c r="H643" s="1665">
        <v>1334969915</v>
      </c>
      <c r="I643" s="1665">
        <v>1300140101</v>
      </c>
      <c r="J643" s="1665">
        <v>1334969915</v>
      </c>
      <c r="K643" s="1665">
        <v>1300140101</v>
      </c>
    </row>
    <row r="644" spans="1:11">
      <c r="A644" t="s">
        <v>6004</v>
      </c>
      <c r="B644" s="1417" t="s">
        <v>173</v>
      </c>
      <c r="C644" s="1417" t="s">
        <v>7734</v>
      </c>
      <c r="D644" s="1665">
        <v>1148021598</v>
      </c>
      <c r="E644" s="1665">
        <v>1139979859</v>
      </c>
      <c r="F644" s="1665">
        <v>1138882259</v>
      </c>
      <c r="G644" s="1665">
        <v>1130840520</v>
      </c>
      <c r="H644" s="1665">
        <v>1148021598</v>
      </c>
      <c r="I644" s="1665">
        <v>1139979859</v>
      </c>
      <c r="J644" s="1665">
        <v>1138882259</v>
      </c>
      <c r="K644" s="1665">
        <v>1130840520</v>
      </c>
    </row>
    <row r="645" spans="1:11">
      <c r="A645" t="s">
        <v>6005</v>
      </c>
      <c r="B645" s="1417" t="s">
        <v>2128</v>
      </c>
      <c r="C645" s="1417" t="s">
        <v>7735</v>
      </c>
      <c r="D645" s="1665">
        <v>297558124</v>
      </c>
      <c r="E645" s="1665">
        <v>294658979</v>
      </c>
      <c r="F645" s="1665">
        <v>291671806</v>
      </c>
      <c r="G645" s="1665">
        <v>288772661</v>
      </c>
      <c r="H645" s="1665">
        <v>297558124</v>
      </c>
      <c r="I645" s="1665">
        <v>294658979</v>
      </c>
      <c r="J645" s="1665">
        <v>291671806</v>
      </c>
      <c r="K645" s="1665">
        <v>288772661</v>
      </c>
    </row>
    <row r="646" spans="1:11">
      <c r="A646" t="s">
        <v>6006</v>
      </c>
      <c r="B646" s="1417" t="s">
        <v>2129</v>
      </c>
      <c r="C646" s="1417" t="s">
        <v>7736</v>
      </c>
      <c r="D646" s="1665">
        <v>1239750016</v>
      </c>
      <c r="E646" s="1665">
        <v>1225976856</v>
      </c>
      <c r="F646" s="1665">
        <v>1222945980</v>
      </c>
      <c r="G646" s="1665">
        <v>1209172820</v>
      </c>
      <c r="H646" s="1665">
        <v>1239750016</v>
      </c>
      <c r="I646" s="1665">
        <v>1225976856</v>
      </c>
      <c r="J646" s="1665">
        <v>1222945980</v>
      </c>
      <c r="K646" s="1665">
        <v>1209172820</v>
      </c>
    </row>
    <row r="647" spans="1:11">
      <c r="A647" t="s">
        <v>6766</v>
      </c>
      <c r="B647" s="1417" t="s">
        <v>2130</v>
      </c>
      <c r="C647" s="1417" t="s">
        <v>7737</v>
      </c>
      <c r="D647" s="1665">
        <v>614079466</v>
      </c>
      <c r="E647" s="1665">
        <v>600961089</v>
      </c>
      <c r="F647" s="1665">
        <v>595373501</v>
      </c>
      <c r="G647" s="1665">
        <v>582255124</v>
      </c>
      <c r="H647" s="1665">
        <v>2104079466</v>
      </c>
      <c r="I647" s="1665">
        <v>2090961089</v>
      </c>
      <c r="J647" s="1665">
        <v>2085373501</v>
      </c>
      <c r="K647" s="1665">
        <v>2072255124</v>
      </c>
    </row>
    <row r="648" spans="1:11">
      <c r="A648" t="s">
        <v>3633</v>
      </c>
      <c r="B648" s="1417" t="s">
        <v>1813</v>
      </c>
      <c r="C648" s="1417" t="s">
        <v>7738</v>
      </c>
      <c r="D648" s="1665">
        <v>2498166835</v>
      </c>
      <c r="E648" s="1665">
        <v>2414865225</v>
      </c>
      <c r="F648" s="1665">
        <v>2498166835</v>
      </c>
      <c r="G648" s="1665">
        <v>2414865225</v>
      </c>
      <c r="H648" s="1665">
        <v>2498166835</v>
      </c>
      <c r="I648" s="1665">
        <v>2414865225</v>
      </c>
      <c r="J648" s="1665">
        <v>2498166835</v>
      </c>
      <c r="K648" s="1665">
        <v>2414865225</v>
      </c>
    </row>
    <row r="649" spans="1:11">
      <c r="A649" t="s">
        <v>3634</v>
      </c>
      <c r="B649" s="1417" t="s">
        <v>880</v>
      </c>
      <c r="C649" s="1417" t="s">
        <v>7739</v>
      </c>
      <c r="D649" s="1665">
        <v>498221459</v>
      </c>
      <c r="E649" s="1665">
        <v>483771843</v>
      </c>
      <c r="F649" s="1665">
        <v>498221459</v>
      </c>
      <c r="G649" s="1665">
        <v>483771843</v>
      </c>
      <c r="H649" s="1665">
        <v>560964669</v>
      </c>
      <c r="I649" s="1665">
        <v>546515053</v>
      </c>
      <c r="J649" s="1665">
        <v>560964669</v>
      </c>
      <c r="K649" s="1665">
        <v>546515053</v>
      </c>
    </row>
    <row r="650" spans="1:11">
      <c r="A650" t="s">
        <v>6767</v>
      </c>
      <c r="B650" s="1417" t="s">
        <v>1403</v>
      </c>
      <c r="C650" s="1417" t="s">
        <v>7740</v>
      </c>
      <c r="D650" s="1665">
        <v>89191108</v>
      </c>
      <c r="E650" s="1665">
        <v>86703768</v>
      </c>
      <c r="F650" s="1665">
        <v>89191108</v>
      </c>
      <c r="G650" s="1665">
        <v>86703768</v>
      </c>
      <c r="H650" s="1665">
        <v>89191108</v>
      </c>
      <c r="I650" s="1665">
        <v>86703768</v>
      </c>
      <c r="J650" s="1665">
        <v>89191108</v>
      </c>
      <c r="K650" s="1665">
        <v>86703768</v>
      </c>
    </row>
    <row r="651" spans="1:11">
      <c r="A651" t="s">
        <v>3635</v>
      </c>
      <c r="B651" s="1417" t="s">
        <v>1988</v>
      </c>
      <c r="C651" s="1417" t="s">
        <v>7741</v>
      </c>
      <c r="D651" s="1665">
        <v>59132159</v>
      </c>
      <c r="E651" s="1665">
        <v>58557749</v>
      </c>
      <c r="F651" s="1665">
        <v>59132159</v>
      </c>
      <c r="G651" s="1665">
        <v>58557749</v>
      </c>
      <c r="H651" s="1665">
        <v>59132159</v>
      </c>
      <c r="I651" s="1665">
        <v>58557749</v>
      </c>
      <c r="J651" s="1665">
        <v>59132159</v>
      </c>
      <c r="K651" s="1665">
        <v>58557749</v>
      </c>
    </row>
    <row r="652" spans="1:11">
      <c r="A652" t="s">
        <v>3636</v>
      </c>
      <c r="B652" s="1417" t="s">
        <v>968</v>
      </c>
      <c r="C652" s="1417" t="s">
        <v>7742</v>
      </c>
      <c r="D652" s="1665">
        <v>207429396</v>
      </c>
      <c r="E652" s="1665">
        <v>200491337</v>
      </c>
      <c r="F652" s="1665">
        <v>207429396</v>
      </c>
      <c r="G652" s="1665">
        <v>200491337</v>
      </c>
      <c r="H652" s="1665">
        <v>207429396</v>
      </c>
      <c r="I652" s="1665">
        <v>200491337</v>
      </c>
      <c r="J652" s="1665">
        <v>207429396</v>
      </c>
      <c r="K652" s="1665">
        <v>200491337</v>
      </c>
    </row>
    <row r="653" spans="1:11">
      <c r="A653" t="s">
        <v>6007</v>
      </c>
      <c r="B653" s="1417" t="s">
        <v>900</v>
      </c>
      <c r="C653" s="1417" t="s">
        <v>7249</v>
      </c>
      <c r="D653" s="1665">
        <v>5339949726</v>
      </c>
      <c r="E653" s="1665">
        <v>5230286492</v>
      </c>
      <c r="F653" s="1665">
        <v>5339949726</v>
      </c>
      <c r="G653" s="1665">
        <v>5230286492</v>
      </c>
      <c r="H653" s="1665">
        <v>5339949726</v>
      </c>
      <c r="I653" s="1665">
        <v>5230286492</v>
      </c>
      <c r="J653" s="1665">
        <v>5339949726</v>
      </c>
      <c r="K653" s="1665">
        <v>5230286492</v>
      </c>
    </row>
    <row r="654" spans="1:11">
      <c r="A654" t="s">
        <v>3637</v>
      </c>
      <c r="B654" s="1417" t="s">
        <v>702</v>
      </c>
      <c r="C654" s="1417" t="s">
        <v>7743</v>
      </c>
      <c r="D654" s="1665">
        <v>923728191</v>
      </c>
      <c r="E654" s="1665">
        <v>903129622</v>
      </c>
      <c r="F654" s="1665">
        <v>923728191</v>
      </c>
      <c r="G654" s="1665">
        <v>903129622</v>
      </c>
      <c r="H654" s="1665">
        <v>923728191</v>
      </c>
      <c r="I654" s="1665">
        <v>903129622</v>
      </c>
      <c r="J654" s="1665">
        <v>923728191</v>
      </c>
      <c r="K654" s="1665">
        <v>903129622</v>
      </c>
    </row>
    <row r="655" spans="1:11">
      <c r="A655" t="s">
        <v>3638</v>
      </c>
      <c r="B655" s="1417" t="s">
        <v>969</v>
      </c>
      <c r="C655" s="1417" t="s">
        <v>7744</v>
      </c>
      <c r="D655" s="1665">
        <v>549324367</v>
      </c>
      <c r="E655" s="1665">
        <v>528300204</v>
      </c>
      <c r="F655" s="1665">
        <v>549324367</v>
      </c>
      <c r="G655" s="1665">
        <v>528300204</v>
      </c>
      <c r="H655" s="1665">
        <v>549324367</v>
      </c>
      <c r="I655" s="1665">
        <v>528300204</v>
      </c>
      <c r="J655" s="1665">
        <v>549324367</v>
      </c>
      <c r="K655" s="1665">
        <v>528300204</v>
      </c>
    </row>
    <row r="656" spans="1:11">
      <c r="A656" t="s">
        <v>3639</v>
      </c>
      <c r="B656" s="1417" t="s">
        <v>1835</v>
      </c>
      <c r="C656" s="1417" t="s">
        <v>7745</v>
      </c>
      <c r="D656" s="1665">
        <v>142376301</v>
      </c>
      <c r="E656" s="1665">
        <v>136285989</v>
      </c>
      <c r="F656" s="1665">
        <v>142376301</v>
      </c>
      <c r="G656" s="1665">
        <v>136285989</v>
      </c>
      <c r="H656" s="1665">
        <v>142376301</v>
      </c>
      <c r="I656" s="1665">
        <v>136285989</v>
      </c>
      <c r="J656" s="1665">
        <v>142376301</v>
      </c>
      <c r="K656" s="1665">
        <v>136285989</v>
      </c>
    </row>
    <row r="657" spans="1:11">
      <c r="A657" t="s">
        <v>3640</v>
      </c>
      <c r="B657" s="1417" t="s">
        <v>1542</v>
      </c>
      <c r="C657" s="1417" t="s">
        <v>7746</v>
      </c>
      <c r="D657" s="1665">
        <v>450723284</v>
      </c>
      <c r="E657" s="1665">
        <v>438280018</v>
      </c>
      <c r="F657" s="1665">
        <v>450723284</v>
      </c>
      <c r="G657" s="1665">
        <v>438280018</v>
      </c>
      <c r="H657" s="1665">
        <v>450723284</v>
      </c>
      <c r="I657" s="1665">
        <v>438280018</v>
      </c>
      <c r="J657" s="1665">
        <v>450723284</v>
      </c>
      <c r="K657" s="1665">
        <v>438280018</v>
      </c>
    </row>
    <row r="658" spans="1:11">
      <c r="A658" t="s">
        <v>3641</v>
      </c>
      <c r="B658" s="1417" t="s">
        <v>113</v>
      </c>
      <c r="C658" s="1417" t="s">
        <v>7747</v>
      </c>
      <c r="D658" s="1665">
        <v>204025126</v>
      </c>
      <c r="E658" s="1665">
        <v>194717754</v>
      </c>
      <c r="F658" s="1665">
        <v>204025126</v>
      </c>
      <c r="G658" s="1665">
        <v>194717754</v>
      </c>
      <c r="H658" s="1665">
        <v>204025126</v>
      </c>
      <c r="I658" s="1665">
        <v>194717754</v>
      </c>
      <c r="J658" s="1665">
        <v>204025126</v>
      </c>
      <c r="K658" s="1665">
        <v>194717754</v>
      </c>
    </row>
    <row r="659" spans="1:11">
      <c r="A659" t="s">
        <v>3642</v>
      </c>
      <c r="B659" s="1417" t="s">
        <v>2086</v>
      </c>
      <c r="C659" s="1417" t="s">
        <v>7748</v>
      </c>
      <c r="D659" s="1665">
        <v>467466731</v>
      </c>
      <c r="E659" s="1665">
        <v>462261727</v>
      </c>
      <c r="F659" s="1665">
        <v>464093281</v>
      </c>
      <c r="G659" s="1665">
        <v>458888277</v>
      </c>
      <c r="H659" s="1665">
        <v>467466731</v>
      </c>
      <c r="I659" s="1665">
        <v>462261727</v>
      </c>
      <c r="J659" s="1665">
        <v>464093281</v>
      </c>
      <c r="K659" s="1665">
        <v>458888277</v>
      </c>
    </row>
    <row r="660" spans="1:11">
      <c r="A660" t="s">
        <v>3643</v>
      </c>
      <c r="B660" s="1417" t="s">
        <v>341</v>
      </c>
      <c r="C660" s="1417" t="s">
        <v>7749</v>
      </c>
      <c r="D660" s="1665">
        <v>5756402587</v>
      </c>
      <c r="E660" s="1665">
        <v>5617871224</v>
      </c>
      <c r="F660" s="1665">
        <v>5756402587</v>
      </c>
      <c r="G660" s="1665">
        <v>5617871224</v>
      </c>
      <c r="H660" s="1665">
        <v>5756402587</v>
      </c>
      <c r="I660" s="1665">
        <v>5617871224</v>
      </c>
      <c r="J660" s="1665">
        <v>5756402587</v>
      </c>
      <c r="K660" s="1665">
        <v>5617871224</v>
      </c>
    </row>
    <row r="661" spans="1:11">
      <c r="A661" t="s">
        <v>3644</v>
      </c>
      <c r="B661" s="1417" t="s">
        <v>344</v>
      </c>
      <c r="C661" s="1417" t="s">
        <v>7750</v>
      </c>
      <c r="D661" s="1665">
        <v>483603184</v>
      </c>
      <c r="E661" s="1665">
        <v>464086063</v>
      </c>
      <c r="F661" s="1665">
        <v>483603184</v>
      </c>
      <c r="G661" s="1665">
        <v>464086063</v>
      </c>
      <c r="H661" s="1665">
        <v>483603184</v>
      </c>
      <c r="I661" s="1665">
        <v>464086063</v>
      </c>
      <c r="J661" s="1665">
        <v>483603184</v>
      </c>
      <c r="K661" s="1665">
        <v>464086063</v>
      </c>
    </row>
    <row r="662" spans="1:11">
      <c r="A662" t="s">
        <v>6768</v>
      </c>
      <c r="B662" s="1417" t="s">
        <v>2460</v>
      </c>
      <c r="C662" s="1417" t="s">
        <v>7751</v>
      </c>
      <c r="D662" s="1665">
        <v>153574643</v>
      </c>
      <c r="E662" s="1665">
        <v>145733196</v>
      </c>
      <c r="F662" s="1665">
        <v>153574643</v>
      </c>
      <c r="G662" s="1665">
        <v>145733196</v>
      </c>
      <c r="H662" s="1665">
        <v>153574643</v>
      </c>
      <c r="I662" s="1665">
        <v>145733196</v>
      </c>
      <c r="J662" s="1665">
        <v>153574643</v>
      </c>
      <c r="K662" s="1665">
        <v>145733196</v>
      </c>
    </row>
    <row r="663" spans="1:11">
      <c r="A663" t="s">
        <v>3645</v>
      </c>
      <c r="B663" s="1417" t="s">
        <v>2461</v>
      </c>
      <c r="C663" s="1417" t="s">
        <v>7752</v>
      </c>
      <c r="D663" s="1665">
        <v>203851733</v>
      </c>
      <c r="E663" s="1665">
        <v>194912536</v>
      </c>
      <c r="F663" s="1665">
        <v>203851733</v>
      </c>
      <c r="G663" s="1665">
        <v>194912536</v>
      </c>
      <c r="H663" s="1665">
        <v>203851733</v>
      </c>
      <c r="I663" s="1665">
        <v>194912536</v>
      </c>
      <c r="J663" s="1665">
        <v>203851733</v>
      </c>
      <c r="K663" s="1665">
        <v>194912536</v>
      </c>
    </row>
    <row r="664" spans="1:11">
      <c r="A664" t="s">
        <v>3646</v>
      </c>
      <c r="B664" s="1417" t="s">
        <v>72</v>
      </c>
      <c r="C664" s="1417" t="s">
        <v>7753</v>
      </c>
      <c r="D664" s="1665">
        <v>945249722</v>
      </c>
      <c r="E664" s="1665">
        <v>912172997</v>
      </c>
      <c r="F664" s="1665">
        <v>945249722</v>
      </c>
      <c r="G664" s="1665">
        <v>912172997</v>
      </c>
      <c r="H664" s="1665">
        <v>945249722</v>
      </c>
      <c r="I664" s="1665">
        <v>912172997</v>
      </c>
      <c r="J664" s="1665">
        <v>945249722</v>
      </c>
      <c r="K664" s="1665">
        <v>912172997</v>
      </c>
    </row>
    <row r="665" spans="1:11">
      <c r="A665" t="s">
        <v>3647</v>
      </c>
      <c r="B665" s="1417" t="s">
        <v>2310</v>
      </c>
      <c r="C665" s="1417" t="s">
        <v>7754</v>
      </c>
      <c r="D665" s="1665">
        <v>742696974</v>
      </c>
      <c r="E665" s="1665">
        <v>718375699</v>
      </c>
      <c r="F665" s="1665">
        <v>742696974</v>
      </c>
      <c r="G665" s="1665">
        <v>718375699</v>
      </c>
      <c r="H665" s="1665">
        <v>742696974</v>
      </c>
      <c r="I665" s="1665">
        <v>718375699</v>
      </c>
      <c r="J665" s="1665">
        <v>742696974</v>
      </c>
      <c r="K665" s="1665">
        <v>718375699</v>
      </c>
    </row>
    <row r="666" spans="1:11">
      <c r="A666" t="s">
        <v>3648</v>
      </c>
      <c r="B666" s="1417" t="s">
        <v>164</v>
      </c>
      <c r="C666" s="1417" t="s">
        <v>7755</v>
      </c>
      <c r="D666" s="1665">
        <v>727992479</v>
      </c>
      <c r="E666" s="1665">
        <v>697767899</v>
      </c>
      <c r="F666" s="1665">
        <v>727992479</v>
      </c>
      <c r="G666" s="1665">
        <v>697767899</v>
      </c>
      <c r="H666" s="1665">
        <v>727992479</v>
      </c>
      <c r="I666" s="1665">
        <v>697767899</v>
      </c>
      <c r="J666" s="1665">
        <v>727992479</v>
      </c>
      <c r="K666" s="1665">
        <v>697767899</v>
      </c>
    </row>
    <row r="667" spans="1:11">
      <c r="A667" t="s">
        <v>3649</v>
      </c>
      <c r="B667" s="1417" t="s">
        <v>879</v>
      </c>
      <c r="C667" s="1417" t="s">
        <v>7756</v>
      </c>
      <c r="D667" s="1665">
        <v>187164362</v>
      </c>
      <c r="E667" s="1665">
        <v>181655153</v>
      </c>
      <c r="F667" s="1665">
        <v>187164362</v>
      </c>
      <c r="G667" s="1665">
        <v>181655153</v>
      </c>
      <c r="H667" s="1665">
        <v>187164362</v>
      </c>
      <c r="I667" s="1665">
        <v>181655153</v>
      </c>
      <c r="J667" s="1665">
        <v>187164362</v>
      </c>
      <c r="K667" s="1665">
        <v>181655153</v>
      </c>
    </row>
    <row r="668" spans="1:11">
      <c r="A668" t="s">
        <v>6008</v>
      </c>
      <c r="B668" s="1417" t="s">
        <v>1837</v>
      </c>
      <c r="C668" s="1417" t="s">
        <v>7757</v>
      </c>
      <c r="D668" s="1665">
        <v>81856150</v>
      </c>
      <c r="E668" s="1665">
        <v>78768260</v>
      </c>
      <c r="F668" s="1665">
        <v>81856150</v>
      </c>
      <c r="G668" s="1665">
        <v>78768260</v>
      </c>
      <c r="H668" s="1665">
        <v>81856150</v>
      </c>
      <c r="I668" s="1665">
        <v>78768260</v>
      </c>
      <c r="J668" s="1665">
        <v>81856150</v>
      </c>
      <c r="K668" s="1665">
        <v>78768260</v>
      </c>
    </row>
    <row r="669" spans="1:11">
      <c r="A669" t="s">
        <v>6769</v>
      </c>
      <c r="B669" s="1417" t="s">
        <v>258</v>
      </c>
      <c r="C669" s="1417" t="s">
        <v>7758</v>
      </c>
      <c r="D669" s="1665">
        <v>56257179</v>
      </c>
      <c r="E669" s="1665">
        <v>53071159</v>
      </c>
      <c r="F669" s="1665">
        <v>56257179</v>
      </c>
      <c r="G669" s="1665">
        <v>53071159</v>
      </c>
      <c r="H669" s="1665">
        <v>56257179</v>
      </c>
      <c r="I669" s="1665">
        <v>53071159</v>
      </c>
      <c r="J669" s="1665">
        <v>56257179</v>
      </c>
      <c r="K669" s="1665">
        <v>53071159</v>
      </c>
    </row>
    <row r="670" spans="1:11">
      <c r="A670" t="s">
        <v>6009</v>
      </c>
      <c r="B670" s="1417" t="s">
        <v>1585</v>
      </c>
      <c r="C670" s="1417" t="s">
        <v>7759</v>
      </c>
      <c r="D670" s="1665">
        <v>2525881673</v>
      </c>
      <c r="E670" s="1665">
        <v>2524481662</v>
      </c>
      <c r="F670" s="1665">
        <v>2523994748</v>
      </c>
      <c r="G670" s="1665">
        <v>2522594737</v>
      </c>
      <c r="H670" s="1665">
        <v>2525881673</v>
      </c>
      <c r="I670" s="1665">
        <v>2524481662</v>
      </c>
      <c r="J670" s="1665">
        <v>2523994748</v>
      </c>
      <c r="K670" s="1665">
        <v>2522594737</v>
      </c>
    </row>
    <row r="671" spans="1:11">
      <c r="A671" t="s">
        <v>3650</v>
      </c>
      <c r="B671" s="1417" t="s">
        <v>1134</v>
      </c>
      <c r="C671" s="1417" t="s">
        <v>7760</v>
      </c>
      <c r="D671" s="1665">
        <v>469696478</v>
      </c>
      <c r="E671" s="1665">
        <v>450209050</v>
      </c>
      <c r="F671" s="1665">
        <v>469696478</v>
      </c>
      <c r="G671" s="1665">
        <v>450209050</v>
      </c>
      <c r="H671" s="1665">
        <v>469696478</v>
      </c>
      <c r="I671" s="1665">
        <v>450209050</v>
      </c>
      <c r="J671" s="1665">
        <v>469696478</v>
      </c>
      <c r="K671" s="1665">
        <v>450209050</v>
      </c>
    </row>
    <row r="672" spans="1:11">
      <c r="A672" t="s">
        <v>3651</v>
      </c>
      <c r="B672" s="1417" t="s">
        <v>1989</v>
      </c>
      <c r="C672" s="1417" t="s">
        <v>7761</v>
      </c>
      <c r="D672" s="1665">
        <v>204486163</v>
      </c>
      <c r="E672" s="1665">
        <v>201186732</v>
      </c>
      <c r="F672" s="1665">
        <v>204486163</v>
      </c>
      <c r="G672" s="1665">
        <v>201186732</v>
      </c>
      <c r="H672" s="1665">
        <v>204486163</v>
      </c>
      <c r="I672" s="1665">
        <v>201186732</v>
      </c>
      <c r="J672" s="1665">
        <v>204486163</v>
      </c>
      <c r="K672" s="1665">
        <v>201186732</v>
      </c>
    </row>
    <row r="673" spans="1:11">
      <c r="A673" t="s">
        <v>3652</v>
      </c>
      <c r="B673" s="1417" t="s">
        <v>920</v>
      </c>
      <c r="C673" s="1417" t="s">
        <v>7762</v>
      </c>
      <c r="D673" s="1665">
        <v>229083705</v>
      </c>
      <c r="E673" s="1665">
        <v>217947771</v>
      </c>
      <c r="F673" s="1665">
        <v>229083705</v>
      </c>
      <c r="G673" s="1665">
        <v>217947771</v>
      </c>
      <c r="H673" s="1665">
        <v>229083705</v>
      </c>
      <c r="I673" s="1665">
        <v>217947771</v>
      </c>
      <c r="J673" s="1665">
        <v>229083705</v>
      </c>
      <c r="K673" s="1665">
        <v>217947771</v>
      </c>
    </row>
    <row r="674" spans="1:11">
      <c r="A674" t="s">
        <v>3653</v>
      </c>
      <c r="B674" s="1417" t="s">
        <v>171</v>
      </c>
      <c r="C674" s="1417" t="s">
        <v>7763</v>
      </c>
      <c r="D674" s="1665">
        <v>730897734</v>
      </c>
      <c r="E674" s="1665">
        <v>708320355</v>
      </c>
      <c r="F674" s="1665">
        <v>730897734</v>
      </c>
      <c r="G674" s="1665">
        <v>708320355</v>
      </c>
      <c r="H674" s="1665">
        <v>730897734</v>
      </c>
      <c r="I674" s="1665">
        <v>708320355</v>
      </c>
      <c r="J674" s="1665">
        <v>730897734</v>
      </c>
      <c r="K674" s="1665">
        <v>708320355</v>
      </c>
    </row>
    <row r="675" spans="1:11">
      <c r="A675" t="s">
        <v>3654</v>
      </c>
      <c r="B675" s="1417" t="s">
        <v>2531</v>
      </c>
      <c r="C675" s="1417" t="s">
        <v>7764</v>
      </c>
      <c r="D675" s="1665">
        <v>2008034695</v>
      </c>
      <c r="E675" s="1665">
        <v>1949273631</v>
      </c>
      <c r="F675" s="1665">
        <v>2008034695</v>
      </c>
      <c r="G675" s="1665">
        <v>1949273631</v>
      </c>
      <c r="H675" s="1665">
        <v>2008034695</v>
      </c>
      <c r="I675" s="1665">
        <v>1949273631</v>
      </c>
      <c r="J675" s="1665">
        <v>2008034695</v>
      </c>
      <c r="K675" s="1665">
        <v>1949273631</v>
      </c>
    </row>
    <row r="676" spans="1:11">
      <c r="A676" t="s">
        <v>6770</v>
      </c>
      <c r="B676" s="1417" t="s">
        <v>2583</v>
      </c>
      <c r="C676" s="1417" t="s">
        <v>7765</v>
      </c>
      <c r="D676" s="1665">
        <v>186239727</v>
      </c>
      <c r="E676" s="1665">
        <v>181506687</v>
      </c>
      <c r="F676" s="1665">
        <v>186239727</v>
      </c>
      <c r="G676" s="1665">
        <v>181506687</v>
      </c>
      <c r="H676" s="1665">
        <v>186239727</v>
      </c>
      <c r="I676" s="1665">
        <v>181506687</v>
      </c>
      <c r="J676" s="1665">
        <v>186239727</v>
      </c>
      <c r="K676" s="1665">
        <v>181506687</v>
      </c>
    </row>
    <row r="677" spans="1:11">
      <c r="A677" t="s">
        <v>3655</v>
      </c>
      <c r="B677" s="1417" t="s">
        <v>2534</v>
      </c>
      <c r="C677" s="1417" t="s">
        <v>7766</v>
      </c>
      <c r="D677" s="1665">
        <v>25063223856</v>
      </c>
      <c r="E677" s="1665">
        <v>24777590496</v>
      </c>
      <c r="F677" s="1665">
        <v>24703621098</v>
      </c>
      <c r="G677" s="1665">
        <v>24417987738</v>
      </c>
      <c r="H677" s="1665">
        <v>25063223856</v>
      </c>
      <c r="I677" s="1665">
        <v>24777590496</v>
      </c>
      <c r="J677" s="1665">
        <v>24703621098</v>
      </c>
      <c r="K677" s="1665">
        <v>24417987738</v>
      </c>
    </row>
    <row r="678" spans="1:11">
      <c r="A678" t="s">
        <v>6010</v>
      </c>
      <c r="B678" s="1417" t="s">
        <v>1300</v>
      </c>
      <c r="C678" s="1417" t="s">
        <v>7767</v>
      </c>
      <c r="D678" s="1665">
        <v>1791605242</v>
      </c>
      <c r="E678" s="1665">
        <v>1775925762</v>
      </c>
      <c r="F678" s="1665">
        <v>1747269006</v>
      </c>
      <c r="G678" s="1665">
        <v>1731589526</v>
      </c>
      <c r="H678" s="1665">
        <v>1791605242</v>
      </c>
      <c r="I678" s="1665">
        <v>1775925762</v>
      </c>
      <c r="J678" s="1665">
        <v>1747269006</v>
      </c>
      <c r="K678" s="1665">
        <v>1731589526</v>
      </c>
    </row>
    <row r="679" spans="1:11">
      <c r="A679" t="s">
        <v>3656</v>
      </c>
      <c r="B679" s="1417" t="s">
        <v>1887</v>
      </c>
      <c r="C679" s="1417" t="s">
        <v>7768</v>
      </c>
      <c r="D679" s="1665">
        <v>414000035</v>
      </c>
      <c r="E679" s="1665">
        <v>398261987</v>
      </c>
      <c r="F679" s="1665">
        <v>414000035</v>
      </c>
      <c r="G679" s="1665">
        <v>398261987</v>
      </c>
      <c r="H679" s="1665">
        <v>414000035</v>
      </c>
      <c r="I679" s="1665">
        <v>398261987</v>
      </c>
      <c r="J679" s="1665">
        <v>414000035</v>
      </c>
      <c r="K679" s="1665">
        <v>398261987</v>
      </c>
    </row>
    <row r="680" spans="1:11">
      <c r="A680" t="s">
        <v>6771</v>
      </c>
      <c r="B680" s="1417" t="s">
        <v>1360</v>
      </c>
      <c r="C680" s="1417" t="s">
        <v>7769</v>
      </c>
      <c r="D680" s="1665">
        <v>85116898</v>
      </c>
      <c r="E680" s="1665">
        <v>82854067</v>
      </c>
      <c r="F680" s="1665">
        <v>85116898</v>
      </c>
      <c r="G680" s="1665">
        <v>82854067</v>
      </c>
      <c r="H680" s="1665">
        <v>85116898</v>
      </c>
      <c r="I680" s="1665">
        <v>82854067</v>
      </c>
      <c r="J680" s="1665">
        <v>85116898</v>
      </c>
      <c r="K680" s="1665">
        <v>82854067</v>
      </c>
    </row>
    <row r="681" spans="1:11">
      <c r="A681" t="s">
        <v>6011</v>
      </c>
      <c r="B681" s="1417" t="s">
        <v>2535</v>
      </c>
      <c r="C681" s="1417" t="s">
        <v>7770</v>
      </c>
      <c r="D681" s="1665">
        <v>111937015</v>
      </c>
      <c r="E681" s="1665">
        <v>108415921</v>
      </c>
      <c r="F681" s="1665">
        <v>111937015</v>
      </c>
      <c r="G681" s="1665">
        <v>108415921</v>
      </c>
      <c r="H681" s="1665">
        <v>111937015</v>
      </c>
      <c r="I681" s="1665">
        <v>108415921</v>
      </c>
      <c r="J681" s="1665">
        <v>111937015</v>
      </c>
      <c r="K681" s="1665">
        <v>108415921</v>
      </c>
    </row>
    <row r="682" spans="1:11">
      <c r="A682" t="s">
        <v>6012</v>
      </c>
      <c r="B682" s="1417" t="s">
        <v>2197</v>
      </c>
      <c r="C682" s="1417" t="s">
        <v>7771</v>
      </c>
      <c r="D682" s="1665">
        <v>491306653</v>
      </c>
      <c r="E682" s="1665">
        <v>473395541</v>
      </c>
      <c r="F682" s="1665">
        <v>491306653</v>
      </c>
      <c r="G682" s="1665">
        <v>473395541</v>
      </c>
      <c r="H682" s="1665">
        <v>491306653</v>
      </c>
      <c r="I682" s="1665">
        <v>473395541</v>
      </c>
      <c r="J682" s="1665">
        <v>491306653</v>
      </c>
      <c r="K682" s="1665">
        <v>473395541</v>
      </c>
    </row>
    <row r="683" spans="1:11">
      <c r="A683" t="s">
        <v>6013</v>
      </c>
      <c r="B683" s="1417" t="s">
        <v>930</v>
      </c>
      <c r="C683" s="1417" t="s">
        <v>7772</v>
      </c>
      <c r="D683" s="1665">
        <v>174367667</v>
      </c>
      <c r="E683" s="1665">
        <v>167441100</v>
      </c>
      <c r="F683" s="1665">
        <v>174367667</v>
      </c>
      <c r="G683" s="1665">
        <v>167441100</v>
      </c>
      <c r="H683" s="1665">
        <v>174367667</v>
      </c>
      <c r="I683" s="1665">
        <v>167441100</v>
      </c>
      <c r="J683" s="1665">
        <v>174367667</v>
      </c>
      <c r="K683" s="1665">
        <v>167441100</v>
      </c>
    </row>
    <row r="684" spans="1:11">
      <c r="A684" t="s">
        <v>3657</v>
      </c>
      <c r="B684" s="1417" t="s">
        <v>375</v>
      </c>
      <c r="C684" s="1417" t="s">
        <v>7773</v>
      </c>
      <c r="D684" s="1665">
        <v>36843844</v>
      </c>
      <c r="E684" s="1665">
        <v>35620916</v>
      </c>
      <c r="F684" s="1665">
        <v>36843844</v>
      </c>
      <c r="G684" s="1665">
        <v>35620916</v>
      </c>
      <c r="H684" s="1665">
        <v>36843844</v>
      </c>
      <c r="I684" s="1665">
        <v>35620916</v>
      </c>
      <c r="J684" s="1665">
        <v>36843844</v>
      </c>
      <c r="K684" s="1665">
        <v>35620916</v>
      </c>
    </row>
    <row r="685" spans="1:11">
      <c r="A685" t="s">
        <v>3658</v>
      </c>
      <c r="B685" s="1417" t="s">
        <v>1264</v>
      </c>
      <c r="C685" s="1417" t="s">
        <v>7774</v>
      </c>
      <c r="D685" s="1665">
        <v>287752954</v>
      </c>
      <c r="E685" s="1665">
        <v>278691572</v>
      </c>
      <c r="F685" s="1665">
        <v>287752954</v>
      </c>
      <c r="G685" s="1665">
        <v>278691572</v>
      </c>
      <c r="H685" s="1665">
        <v>402817884</v>
      </c>
      <c r="I685" s="1665">
        <v>393756502</v>
      </c>
      <c r="J685" s="1665">
        <v>402817884</v>
      </c>
      <c r="K685" s="1665">
        <v>393756502</v>
      </c>
    </row>
    <row r="686" spans="1:11">
      <c r="A686" t="s">
        <v>6772</v>
      </c>
      <c r="B686" s="1417" t="s">
        <v>2671</v>
      </c>
      <c r="C686" s="1417" t="s">
        <v>7775</v>
      </c>
      <c r="D686" s="1665">
        <v>114253877</v>
      </c>
      <c r="E686" s="1665">
        <v>112035111</v>
      </c>
      <c r="F686" s="1665">
        <v>114253877</v>
      </c>
      <c r="G686" s="1665">
        <v>112035111</v>
      </c>
      <c r="H686" s="1665">
        <v>127718867</v>
      </c>
      <c r="I686" s="1665">
        <v>125500101</v>
      </c>
      <c r="J686" s="1665">
        <v>127718867</v>
      </c>
      <c r="K686" s="1665">
        <v>125500101</v>
      </c>
    </row>
    <row r="687" spans="1:11">
      <c r="A687" t="s">
        <v>3659</v>
      </c>
      <c r="B687" s="1417" t="s">
        <v>1990</v>
      </c>
      <c r="C687" s="1417" t="s">
        <v>7776</v>
      </c>
      <c r="D687" s="1665">
        <v>131522213</v>
      </c>
      <c r="E687" s="1665">
        <v>130475198</v>
      </c>
      <c r="F687" s="1665">
        <v>131522213</v>
      </c>
      <c r="G687" s="1665">
        <v>130475198</v>
      </c>
      <c r="H687" s="1665">
        <v>131522213</v>
      </c>
      <c r="I687" s="1665">
        <v>130475198</v>
      </c>
      <c r="J687" s="1665">
        <v>131522213</v>
      </c>
      <c r="K687" s="1665">
        <v>130475198</v>
      </c>
    </row>
    <row r="688" spans="1:11">
      <c r="A688" t="s">
        <v>6014</v>
      </c>
      <c r="B688" s="1417" t="s">
        <v>2673</v>
      </c>
      <c r="C688" s="1417" t="s">
        <v>7777</v>
      </c>
      <c r="D688" s="1665">
        <v>439983709</v>
      </c>
      <c r="E688" s="1665">
        <v>429805828</v>
      </c>
      <c r="F688" s="1665">
        <v>439983709</v>
      </c>
      <c r="G688" s="1665">
        <v>429805828</v>
      </c>
      <c r="H688" s="1665">
        <v>439983709</v>
      </c>
      <c r="I688" s="1665">
        <v>429805828</v>
      </c>
      <c r="J688" s="1665">
        <v>439983709</v>
      </c>
      <c r="K688" s="1665">
        <v>429805828</v>
      </c>
    </row>
    <row r="689" spans="1:11">
      <c r="A689" t="s">
        <v>6015</v>
      </c>
      <c r="B689" s="1417" t="s">
        <v>2674</v>
      </c>
      <c r="C689" s="1417" t="s">
        <v>7778</v>
      </c>
      <c r="D689" s="1665">
        <v>181286762</v>
      </c>
      <c r="E689" s="1665">
        <v>179301108</v>
      </c>
      <c r="F689" s="1665">
        <v>181286762</v>
      </c>
      <c r="G689" s="1665">
        <v>179301108</v>
      </c>
      <c r="H689" s="1665">
        <v>181286762</v>
      </c>
      <c r="I689" s="1665">
        <v>179301108</v>
      </c>
      <c r="J689" s="1665">
        <v>181286762</v>
      </c>
      <c r="K689" s="1665">
        <v>179301108</v>
      </c>
    </row>
    <row r="690" spans="1:11">
      <c r="A690" t="s">
        <v>6773</v>
      </c>
      <c r="B690" s="1417" t="s">
        <v>1486</v>
      </c>
      <c r="C690" s="1417" t="s">
        <v>7779</v>
      </c>
      <c r="D690" s="1665">
        <v>283193580</v>
      </c>
      <c r="E690" s="1665">
        <v>281075381</v>
      </c>
      <c r="F690" s="1665">
        <v>283193580</v>
      </c>
      <c r="G690" s="1665">
        <v>281075381</v>
      </c>
      <c r="H690" s="1665">
        <v>283193580</v>
      </c>
      <c r="I690" s="1665">
        <v>281075381</v>
      </c>
      <c r="J690" s="1665">
        <v>283193580</v>
      </c>
      <c r="K690" s="1665">
        <v>281075381</v>
      </c>
    </row>
    <row r="691" spans="1:11">
      <c r="A691" t="s">
        <v>3660</v>
      </c>
      <c r="B691" s="1417" t="s">
        <v>1318</v>
      </c>
      <c r="C691" s="1417" t="s">
        <v>7780</v>
      </c>
      <c r="D691" s="1665">
        <v>952570206</v>
      </c>
      <c r="E691" s="1665">
        <v>928823398</v>
      </c>
      <c r="F691" s="1665">
        <v>952570206</v>
      </c>
      <c r="G691" s="1665">
        <v>928823398</v>
      </c>
      <c r="H691" s="1665">
        <v>952570206</v>
      </c>
      <c r="I691" s="1665">
        <v>928823398</v>
      </c>
      <c r="J691" s="1665">
        <v>952570206</v>
      </c>
      <c r="K691" s="1665">
        <v>928823398</v>
      </c>
    </row>
    <row r="692" spans="1:11">
      <c r="A692" t="s">
        <v>6774</v>
      </c>
      <c r="B692" s="1417" t="s">
        <v>1432</v>
      </c>
      <c r="C692" s="1417" t="s">
        <v>7781</v>
      </c>
      <c r="D692" s="1665">
        <v>258403334</v>
      </c>
      <c r="E692" s="1665">
        <v>248542428</v>
      </c>
      <c r="F692" s="1665">
        <v>258403334</v>
      </c>
      <c r="G692" s="1665">
        <v>248542428</v>
      </c>
      <c r="H692" s="1665">
        <v>258403334</v>
      </c>
      <c r="I692" s="1665">
        <v>248542428</v>
      </c>
      <c r="J692" s="1665">
        <v>258403334</v>
      </c>
      <c r="K692" s="1665">
        <v>248542428</v>
      </c>
    </row>
    <row r="693" spans="1:11">
      <c r="A693" t="s">
        <v>6016</v>
      </c>
      <c r="B693" s="1417" t="s">
        <v>804</v>
      </c>
      <c r="C693" s="1417" t="s">
        <v>7782</v>
      </c>
      <c r="D693" s="1665">
        <v>107126122</v>
      </c>
      <c r="E693" s="1665">
        <v>105512972</v>
      </c>
      <c r="F693" s="1665">
        <v>107126122</v>
      </c>
      <c r="G693" s="1665">
        <v>105512972</v>
      </c>
      <c r="H693" s="1665">
        <v>107126122</v>
      </c>
      <c r="I693" s="1665">
        <v>105512972</v>
      </c>
      <c r="J693" s="1665">
        <v>107126122</v>
      </c>
      <c r="K693" s="1665">
        <v>105512972</v>
      </c>
    </row>
    <row r="694" spans="1:11">
      <c r="A694" t="s">
        <v>6775</v>
      </c>
      <c r="B694" s="1417" t="s">
        <v>1495</v>
      </c>
      <c r="C694" s="1417" t="s">
        <v>7783</v>
      </c>
      <c r="D694" s="1665">
        <v>36460366</v>
      </c>
      <c r="E694" s="1665">
        <v>35055426</v>
      </c>
      <c r="F694" s="1665">
        <v>36460366</v>
      </c>
      <c r="G694" s="1665">
        <v>35055426</v>
      </c>
      <c r="H694" s="1665">
        <v>36460366</v>
      </c>
      <c r="I694" s="1665">
        <v>35055426</v>
      </c>
      <c r="J694" s="1665">
        <v>36460366</v>
      </c>
      <c r="K694" s="1665">
        <v>35055426</v>
      </c>
    </row>
    <row r="695" spans="1:11">
      <c r="A695" t="s">
        <v>6776</v>
      </c>
      <c r="B695" s="1417" t="s">
        <v>1496</v>
      </c>
      <c r="C695" s="1417" t="s">
        <v>7784</v>
      </c>
      <c r="D695" s="1665">
        <v>90810608</v>
      </c>
      <c r="E695" s="1665">
        <v>89200381</v>
      </c>
      <c r="F695" s="1665">
        <v>90810608</v>
      </c>
      <c r="G695" s="1665">
        <v>89200381</v>
      </c>
      <c r="H695" s="1665">
        <v>90810608</v>
      </c>
      <c r="I695" s="1665">
        <v>89200381</v>
      </c>
      <c r="J695" s="1665">
        <v>90810608</v>
      </c>
      <c r="K695" s="1665">
        <v>89200381</v>
      </c>
    </row>
    <row r="696" spans="1:11">
      <c r="A696" t="s">
        <v>6017</v>
      </c>
      <c r="B696" s="1417" t="s">
        <v>1272</v>
      </c>
      <c r="C696" s="1417" t="s">
        <v>7785</v>
      </c>
      <c r="D696" s="1665">
        <v>217623316</v>
      </c>
      <c r="E696" s="1665">
        <v>214979428</v>
      </c>
      <c r="F696" s="1665">
        <v>217623316</v>
      </c>
      <c r="G696" s="1665">
        <v>214979428</v>
      </c>
      <c r="H696" s="1665">
        <v>217623316</v>
      </c>
      <c r="I696" s="1665">
        <v>214979428</v>
      </c>
      <c r="J696" s="1665">
        <v>217623316</v>
      </c>
      <c r="K696" s="1665">
        <v>214979428</v>
      </c>
    </row>
    <row r="697" spans="1:11">
      <c r="A697" t="s">
        <v>6018</v>
      </c>
      <c r="B697" s="1417" t="s">
        <v>1531</v>
      </c>
      <c r="C697" s="1417" t="s">
        <v>7786</v>
      </c>
      <c r="D697" s="1665">
        <v>192438366</v>
      </c>
      <c r="E697" s="1665">
        <v>188766785</v>
      </c>
      <c r="F697" s="1665">
        <v>192438366</v>
      </c>
      <c r="G697" s="1665">
        <v>188766785</v>
      </c>
      <c r="H697" s="1665">
        <v>192438366</v>
      </c>
      <c r="I697" s="1665">
        <v>188766785</v>
      </c>
      <c r="J697" s="1665">
        <v>192438366</v>
      </c>
      <c r="K697" s="1665">
        <v>188766785</v>
      </c>
    </row>
    <row r="698" spans="1:11">
      <c r="A698" t="s">
        <v>3661</v>
      </c>
      <c r="B698" s="1417" t="s">
        <v>2311</v>
      </c>
      <c r="C698" s="1417" t="s">
        <v>7787</v>
      </c>
      <c r="D698" s="1665">
        <v>36101955598</v>
      </c>
      <c r="E698" s="1665">
        <v>35464617672</v>
      </c>
      <c r="F698" s="1665">
        <v>36101955598</v>
      </c>
      <c r="G698" s="1665">
        <v>35464617672</v>
      </c>
      <c r="H698" s="1665">
        <v>36101955598</v>
      </c>
      <c r="I698" s="1665">
        <v>35464617672</v>
      </c>
      <c r="J698" s="1665">
        <v>36101955598</v>
      </c>
      <c r="K698" s="1665">
        <v>35464617672</v>
      </c>
    </row>
    <row r="699" spans="1:11">
      <c r="A699" t="s">
        <v>6019</v>
      </c>
      <c r="B699" s="1417" t="s">
        <v>1532</v>
      </c>
      <c r="C699" s="1417" t="s">
        <v>7788</v>
      </c>
      <c r="D699" s="1665">
        <v>5920665535</v>
      </c>
      <c r="E699" s="1665">
        <v>5791470884</v>
      </c>
      <c r="F699" s="1665">
        <v>5920665535</v>
      </c>
      <c r="G699" s="1665">
        <v>5791470884</v>
      </c>
      <c r="H699" s="1665">
        <v>5920665535</v>
      </c>
      <c r="I699" s="1665">
        <v>5791470884</v>
      </c>
      <c r="J699" s="1665">
        <v>5920665535</v>
      </c>
      <c r="K699" s="1665">
        <v>5791470884</v>
      </c>
    </row>
    <row r="700" spans="1:11">
      <c r="A700" t="s">
        <v>3662</v>
      </c>
      <c r="B700" s="1417" t="s">
        <v>1182</v>
      </c>
      <c r="C700" s="1417" t="s">
        <v>7789</v>
      </c>
      <c r="D700" s="1665">
        <v>3663017930</v>
      </c>
      <c r="E700" s="1665">
        <v>3568351448</v>
      </c>
      <c r="F700" s="1665">
        <v>3663017930</v>
      </c>
      <c r="G700" s="1665">
        <v>3568351448</v>
      </c>
      <c r="H700" s="1665">
        <v>3663017930</v>
      </c>
      <c r="I700" s="1665">
        <v>3568351448</v>
      </c>
      <c r="J700" s="1665">
        <v>3663017930</v>
      </c>
      <c r="K700" s="1665">
        <v>3568351448</v>
      </c>
    </row>
    <row r="701" spans="1:11">
      <c r="A701" t="s">
        <v>3663</v>
      </c>
      <c r="B701" s="1417" t="s">
        <v>346</v>
      </c>
      <c r="C701" s="1417" t="s">
        <v>7790</v>
      </c>
      <c r="D701" s="1665">
        <v>6410972314</v>
      </c>
      <c r="E701" s="1665">
        <v>6269102042</v>
      </c>
      <c r="F701" s="1665">
        <v>6410972314</v>
      </c>
      <c r="G701" s="1665">
        <v>6269102042</v>
      </c>
      <c r="H701" s="1665">
        <v>6410972314</v>
      </c>
      <c r="I701" s="1665">
        <v>6269102042</v>
      </c>
      <c r="J701" s="1665">
        <v>6410972314</v>
      </c>
      <c r="K701" s="1665">
        <v>6269102042</v>
      </c>
    </row>
    <row r="702" spans="1:11">
      <c r="A702" t="s">
        <v>3664</v>
      </c>
      <c r="B702" s="1417" t="s">
        <v>1508</v>
      </c>
      <c r="C702" s="1417" t="s">
        <v>7791</v>
      </c>
      <c r="D702" s="1665">
        <v>787869639</v>
      </c>
      <c r="E702" s="1665">
        <v>759731579</v>
      </c>
      <c r="F702" s="1665">
        <v>787869639</v>
      </c>
      <c r="G702" s="1665">
        <v>759731579</v>
      </c>
      <c r="H702" s="1665">
        <v>787869639</v>
      </c>
      <c r="I702" s="1665">
        <v>759731579</v>
      </c>
      <c r="J702" s="1665">
        <v>787869639</v>
      </c>
      <c r="K702" s="1665">
        <v>759731579</v>
      </c>
    </row>
    <row r="703" spans="1:11">
      <c r="A703" t="s">
        <v>3665</v>
      </c>
      <c r="B703" s="1417" t="s">
        <v>703</v>
      </c>
      <c r="C703" s="1417" t="s">
        <v>7792</v>
      </c>
      <c r="D703" s="1665">
        <v>4384114724</v>
      </c>
      <c r="E703" s="1665">
        <v>4274592018</v>
      </c>
      <c r="F703" s="1665">
        <v>4384114724</v>
      </c>
      <c r="G703" s="1665">
        <v>4274592018</v>
      </c>
      <c r="H703" s="1665">
        <v>4384114724</v>
      </c>
      <c r="I703" s="1665">
        <v>4274592018</v>
      </c>
      <c r="J703" s="1665">
        <v>4384114724</v>
      </c>
      <c r="K703" s="1665">
        <v>4274592018</v>
      </c>
    </row>
    <row r="704" spans="1:11">
      <c r="A704" t="s">
        <v>6020</v>
      </c>
      <c r="B704" s="1417" t="s">
        <v>1868</v>
      </c>
      <c r="C704" s="1417" t="s">
        <v>7793</v>
      </c>
      <c r="D704" s="1665">
        <v>1905016753</v>
      </c>
      <c r="E704" s="1665">
        <v>1875417655</v>
      </c>
      <c r="F704" s="1665">
        <v>1893886705</v>
      </c>
      <c r="G704" s="1665">
        <v>1864287607</v>
      </c>
      <c r="H704" s="1665">
        <v>1905016753</v>
      </c>
      <c r="I704" s="1665">
        <v>1875417655</v>
      </c>
      <c r="J704" s="1665">
        <v>1893886705</v>
      </c>
      <c r="K704" s="1665">
        <v>1864287607</v>
      </c>
    </row>
    <row r="705" spans="1:11">
      <c r="A705" t="s">
        <v>6021</v>
      </c>
      <c r="B705" s="1417" t="s">
        <v>1869</v>
      </c>
      <c r="C705" s="1417" t="s">
        <v>7794</v>
      </c>
      <c r="D705" s="1665">
        <v>270783624</v>
      </c>
      <c r="E705" s="1665">
        <v>266968904</v>
      </c>
      <c r="F705" s="1665">
        <v>270783624</v>
      </c>
      <c r="G705" s="1665">
        <v>266968904</v>
      </c>
      <c r="H705" s="1665">
        <v>270783624</v>
      </c>
      <c r="I705" s="1665">
        <v>266968904</v>
      </c>
      <c r="J705" s="1665">
        <v>270783624</v>
      </c>
      <c r="K705" s="1665">
        <v>266968904</v>
      </c>
    </row>
    <row r="706" spans="1:11">
      <c r="A706" t="s">
        <v>6022</v>
      </c>
      <c r="B706" s="1417" t="s">
        <v>1870</v>
      </c>
      <c r="C706" s="1417" t="s">
        <v>7795</v>
      </c>
      <c r="D706" s="1665">
        <v>722871674</v>
      </c>
      <c r="E706" s="1665">
        <v>703368760</v>
      </c>
      <c r="F706" s="1665">
        <v>722871674</v>
      </c>
      <c r="G706" s="1665">
        <v>703368760</v>
      </c>
      <c r="H706" s="1665">
        <v>722871674</v>
      </c>
      <c r="I706" s="1665">
        <v>703368760</v>
      </c>
      <c r="J706" s="1665">
        <v>722871674</v>
      </c>
      <c r="K706" s="1665">
        <v>703368760</v>
      </c>
    </row>
    <row r="707" spans="1:11">
      <c r="A707" t="s">
        <v>6023</v>
      </c>
      <c r="B707" s="1417" t="s">
        <v>1871</v>
      </c>
      <c r="C707" s="1417" t="s">
        <v>7796</v>
      </c>
      <c r="D707" s="1665">
        <v>289823735</v>
      </c>
      <c r="E707" s="1665">
        <v>275672315</v>
      </c>
      <c r="F707" s="1665">
        <v>289823735</v>
      </c>
      <c r="G707" s="1665">
        <v>275672315</v>
      </c>
      <c r="H707" s="1665">
        <v>289823735</v>
      </c>
      <c r="I707" s="1665">
        <v>275672315</v>
      </c>
      <c r="J707" s="1665">
        <v>289823735</v>
      </c>
      <c r="K707" s="1665">
        <v>275672315</v>
      </c>
    </row>
    <row r="708" spans="1:11">
      <c r="A708" t="s">
        <v>6777</v>
      </c>
      <c r="B708" s="1417" t="s">
        <v>2353</v>
      </c>
      <c r="C708" s="1417" t="s">
        <v>7797</v>
      </c>
      <c r="D708" s="1665">
        <v>115320004</v>
      </c>
      <c r="E708" s="1665">
        <v>112789304</v>
      </c>
      <c r="F708" s="1665">
        <v>115320004</v>
      </c>
      <c r="G708" s="1665">
        <v>112789304</v>
      </c>
      <c r="H708" s="1665">
        <v>115320004</v>
      </c>
      <c r="I708" s="1665">
        <v>112789304</v>
      </c>
      <c r="J708" s="1665">
        <v>115320004</v>
      </c>
      <c r="K708" s="1665">
        <v>112789304</v>
      </c>
    </row>
    <row r="709" spans="1:11">
      <c r="A709" t="s">
        <v>3666</v>
      </c>
      <c r="B709" s="1417" t="s">
        <v>704</v>
      </c>
      <c r="C709" s="1417" t="s">
        <v>7798</v>
      </c>
      <c r="D709" s="1665">
        <v>170190082</v>
      </c>
      <c r="E709" s="1665">
        <v>166402292</v>
      </c>
      <c r="F709" s="1665">
        <v>166726062</v>
      </c>
      <c r="G709" s="1665">
        <v>162938272</v>
      </c>
      <c r="H709" s="1665">
        <v>170190082</v>
      </c>
      <c r="I709" s="1665">
        <v>166402292</v>
      </c>
      <c r="J709" s="1665">
        <v>166726062</v>
      </c>
      <c r="K709" s="1665">
        <v>162938272</v>
      </c>
    </row>
    <row r="710" spans="1:11">
      <c r="A710" t="s">
        <v>6024</v>
      </c>
      <c r="B710" s="1417" t="s">
        <v>524</v>
      </c>
      <c r="C710" s="1417" t="s">
        <v>7799</v>
      </c>
      <c r="D710" s="1665">
        <v>226848237</v>
      </c>
      <c r="E710" s="1665">
        <v>219686537</v>
      </c>
      <c r="F710" s="1665">
        <v>220152807</v>
      </c>
      <c r="G710" s="1665">
        <v>212991107</v>
      </c>
      <c r="H710" s="1665">
        <v>515477287</v>
      </c>
      <c r="I710" s="1665">
        <v>508315587</v>
      </c>
      <c r="J710" s="1665">
        <v>508781857</v>
      </c>
      <c r="K710" s="1665">
        <v>501620157</v>
      </c>
    </row>
    <row r="711" spans="1:11">
      <c r="A711" t="s">
        <v>3667</v>
      </c>
      <c r="B711" s="1417" t="s">
        <v>705</v>
      </c>
      <c r="C711" s="1417" t="s">
        <v>7800</v>
      </c>
      <c r="D711" s="1665">
        <v>152411691</v>
      </c>
      <c r="E711" s="1665">
        <v>146945951</v>
      </c>
      <c r="F711" s="1665">
        <v>145747666</v>
      </c>
      <c r="G711" s="1665">
        <v>140281926</v>
      </c>
      <c r="H711" s="1665">
        <v>152411691</v>
      </c>
      <c r="I711" s="1665">
        <v>146945951</v>
      </c>
      <c r="J711" s="1665">
        <v>145747666</v>
      </c>
      <c r="K711" s="1665">
        <v>140281926</v>
      </c>
    </row>
    <row r="712" spans="1:11">
      <c r="A712" t="s">
        <v>6025</v>
      </c>
      <c r="B712" s="1417" t="s">
        <v>525</v>
      </c>
      <c r="C712" s="1417" t="s">
        <v>7801</v>
      </c>
      <c r="D712" s="1665">
        <v>2273133043</v>
      </c>
      <c r="E712" s="1665">
        <v>2202129413</v>
      </c>
      <c r="F712" s="1665">
        <v>2170281938</v>
      </c>
      <c r="G712" s="1665">
        <v>2099278308</v>
      </c>
      <c r="H712" s="1665">
        <v>2273133043</v>
      </c>
      <c r="I712" s="1665">
        <v>2202129413</v>
      </c>
      <c r="J712" s="1665">
        <v>2170281938</v>
      </c>
      <c r="K712" s="1665">
        <v>2099278308</v>
      </c>
    </row>
    <row r="713" spans="1:11">
      <c r="A713" t="s">
        <v>3668</v>
      </c>
      <c r="B713" s="1417" t="s">
        <v>376</v>
      </c>
      <c r="C713" s="1417" t="s">
        <v>7802</v>
      </c>
      <c r="D713" s="1665">
        <v>196043636</v>
      </c>
      <c r="E713" s="1665">
        <v>189484846</v>
      </c>
      <c r="F713" s="1665">
        <v>189180471</v>
      </c>
      <c r="G713" s="1665">
        <v>182621681</v>
      </c>
      <c r="H713" s="1665">
        <v>196043636</v>
      </c>
      <c r="I713" s="1665">
        <v>189484846</v>
      </c>
      <c r="J713" s="1665">
        <v>189180471</v>
      </c>
      <c r="K713" s="1665">
        <v>182621681</v>
      </c>
    </row>
    <row r="714" spans="1:11">
      <c r="A714" t="s">
        <v>3669</v>
      </c>
      <c r="B714" s="1417" t="s">
        <v>526</v>
      </c>
      <c r="C714" s="1417" t="s">
        <v>7803</v>
      </c>
      <c r="D714" s="1665">
        <v>144089958</v>
      </c>
      <c r="E714" s="1665">
        <v>136290798</v>
      </c>
      <c r="F714" s="1665">
        <v>133496613</v>
      </c>
      <c r="G714" s="1665">
        <v>125697453</v>
      </c>
      <c r="H714" s="1665">
        <v>144089958</v>
      </c>
      <c r="I714" s="1665">
        <v>136290798</v>
      </c>
      <c r="J714" s="1665">
        <v>133496613</v>
      </c>
      <c r="K714" s="1665">
        <v>125697453</v>
      </c>
    </row>
    <row r="715" spans="1:11">
      <c r="A715" t="s">
        <v>5307</v>
      </c>
      <c r="B715" s="1417" t="s">
        <v>527</v>
      </c>
      <c r="C715" s="1417" t="s">
        <v>7804</v>
      </c>
      <c r="D715" s="1665">
        <v>77267506</v>
      </c>
      <c r="E715" s="1665">
        <v>74195086</v>
      </c>
      <c r="F715" s="1665">
        <v>73796906</v>
      </c>
      <c r="G715" s="1665">
        <v>70724486</v>
      </c>
      <c r="H715" s="1665">
        <v>77267506</v>
      </c>
      <c r="I715" s="1665">
        <v>74195086</v>
      </c>
      <c r="J715" s="1665">
        <v>73796906</v>
      </c>
      <c r="K715" s="1665">
        <v>70724486</v>
      </c>
    </row>
    <row r="716" spans="1:11">
      <c r="A716" t="s">
        <v>6026</v>
      </c>
      <c r="B716" s="1417" t="s">
        <v>774</v>
      </c>
      <c r="C716" s="1417" t="s">
        <v>7805</v>
      </c>
      <c r="D716" s="1665">
        <v>64730126</v>
      </c>
      <c r="E716" s="1665">
        <v>60905826</v>
      </c>
      <c r="F716" s="1665">
        <v>61076431</v>
      </c>
      <c r="G716" s="1665">
        <v>57252131</v>
      </c>
      <c r="H716" s="1665">
        <v>64730126</v>
      </c>
      <c r="I716" s="1665">
        <v>60905826</v>
      </c>
      <c r="J716" s="1665">
        <v>61076431</v>
      </c>
      <c r="K716" s="1665">
        <v>57252131</v>
      </c>
    </row>
    <row r="717" spans="1:11">
      <c r="A717" t="s">
        <v>6778</v>
      </c>
      <c r="B717" s="1417" t="s">
        <v>528</v>
      </c>
      <c r="C717" s="1417" t="s">
        <v>7806</v>
      </c>
      <c r="D717" s="1665">
        <v>167649089</v>
      </c>
      <c r="E717" s="1665">
        <v>162021099</v>
      </c>
      <c r="F717" s="1665">
        <v>158583519</v>
      </c>
      <c r="G717" s="1665">
        <v>152955529</v>
      </c>
      <c r="H717" s="1665">
        <v>167649089</v>
      </c>
      <c r="I717" s="1665">
        <v>162021099</v>
      </c>
      <c r="J717" s="1665">
        <v>158583519</v>
      </c>
      <c r="K717" s="1665">
        <v>152955529</v>
      </c>
    </row>
    <row r="718" spans="1:11">
      <c r="A718" t="s">
        <v>6027</v>
      </c>
      <c r="B718" s="1417" t="s">
        <v>529</v>
      </c>
      <c r="C718" s="1417" t="s">
        <v>7807</v>
      </c>
      <c r="D718" s="1665">
        <v>217426236</v>
      </c>
      <c r="E718" s="1665">
        <v>207631867</v>
      </c>
      <c r="F718" s="1665">
        <v>217426236</v>
      </c>
      <c r="G718" s="1665">
        <v>207631867</v>
      </c>
      <c r="H718" s="1665">
        <v>217426236</v>
      </c>
      <c r="I718" s="1665">
        <v>207631867</v>
      </c>
      <c r="J718" s="1665">
        <v>217426236</v>
      </c>
      <c r="K718" s="1665">
        <v>207631867</v>
      </c>
    </row>
    <row r="719" spans="1:11">
      <c r="A719" t="s">
        <v>3670</v>
      </c>
      <c r="B719" s="1417" t="s">
        <v>2400</v>
      </c>
      <c r="C719" s="1417" t="s">
        <v>7808</v>
      </c>
      <c r="D719" s="1665">
        <v>1716129347</v>
      </c>
      <c r="E719" s="1665">
        <v>1664395316</v>
      </c>
      <c r="F719" s="1665">
        <v>1716129347</v>
      </c>
      <c r="G719" s="1665">
        <v>1664395316</v>
      </c>
      <c r="H719" s="1665">
        <v>1716129347</v>
      </c>
      <c r="I719" s="1665">
        <v>1664395316</v>
      </c>
      <c r="J719" s="1665">
        <v>1716129347</v>
      </c>
      <c r="K719" s="1665">
        <v>1664395316</v>
      </c>
    </row>
    <row r="720" spans="1:11">
      <c r="A720" t="s">
        <v>3671</v>
      </c>
      <c r="B720" s="1417" t="s">
        <v>2407</v>
      </c>
      <c r="C720" s="1417" t="s">
        <v>7319</v>
      </c>
      <c r="D720" s="1665">
        <v>160762790</v>
      </c>
      <c r="E720" s="1665">
        <v>154484972</v>
      </c>
      <c r="F720" s="1665">
        <v>160762790</v>
      </c>
      <c r="G720" s="1665">
        <v>154484972</v>
      </c>
      <c r="H720" s="1665">
        <v>160762790</v>
      </c>
      <c r="I720" s="1665">
        <v>154484972</v>
      </c>
      <c r="J720" s="1665">
        <v>160762790</v>
      </c>
      <c r="K720" s="1665">
        <v>154484972</v>
      </c>
    </row>
    <row r="721" spans="1:11">
      <c r="A721" t="s">
        <v>6028</v>
      </c>
      <c r="B721" s="1417" t="s">
        <v>19</v>
      </c>
      <c r="C721" s="1417" t="s">
        <v>7809</v>
      </c>
      <c r="D721" s="1665">
        <v>133315711</v>
      </c>
      <c r="E721" s="1665">
        <v>129577112</v>
      </c>
      <c r="F721" s="1665">
        <v>133315711</v>
      </c>
      <c r="G721" s="1665">
        <v>129577112</v>
      </c>
      <c r="H721" s="1665">
        <v>133315711</v>
      </c>
      <c r="I721" s="1665">
        <v>129577112</v>
      </c>
      <c r="J721" s="1665">
        <v>133315711</v>
      </c>
      <c r="K721" s="1665">
        <v>129577112</v>
      </c>
    </row>
    <row r="722" spans="1:11">
      <c r="A722" t="s">
        <v>3672</v>
      </c>
      <c r="B722" s="1417" t="s">
        <v>706</v>
      </c>
      <c r="C722" s="1417" t="s">
        <v>7810</v>
      </c>
      <c r="D722" s="1665">
        <v>278657145</v>
      </c>
      <c r="E722" s="1665">
        <v>270540509</v>
      </c>
      <c r="F722" s="1665">
        <v>278657145</v>
      </c>
      <c r="G722" s="1665">
        <v>270540509</v>
      </c>
      <c r="H722" s="1665">
        <v>278657145</v>
      </c>
      <c r="I722" s="1665">
        <v>270540509</v>
      </c>
      <c r="J722" s="1665">
        <v>278657145</v>
      </c>
      <c r="K722" s="1665">
        <v>270540509</v>
      </c>
    </row>
    <row r="723" spans="1:11">
      <c r="A723" t="s">
        <v>6029</v>
      </c>
      <c r="B723" s="1417" t="s">
        <v>20</v>
      </c>
      <c r="C723" s="1417" t="s">
        <v>7811</v>
      </c>
      <c r="D723" s="1665">
        <v>438864998</v>
      </c>
      <c r="E723" s="1665">
        <v>430001682</v>
      </c>
      <c r="F723" s="1665">
        <v>438864998</v>
      </c>
      <c r="G723" s="1665">
        <v>430001682</v>
      </c>
      <c r="H723" s="1665">
        <v>438864998</v>
      </c>
      <c r="I723" s="1665">
        <v>430001682</v>
      </c>
      <c r="J723" s="1665">
        <v>438864998</v>
      </c>
      <c r="K723" s="1665">
        <v>430001682</v>
      </c>
    </row>
    <row r="724" spans="1:11">
      <c r="A724" t="s">
        <v>3673</v>
      </c>
      <c r="B724" s="1417" t="s">
        <v>2085</v>
      </c>
      <c r="C724" s="1417" t="s">
        <v>7812</v>
      </c>
      <c r="D724" s="1665">
        <v>142442538</v>
      </c>
      <c r="E724" s="1665">
        <v>137549706</v>
      </c>
      <c r="F724" s="1665">
        <v>142442538</v>
      </c>
      <c r="G724" s="1665">
        <v>137549706</v>
      </c>
      <c r="H724" s="1665">
        <v>142442538</v>
      </c>
      <c r="I724" s="1665">
        <v>137549706</v>
      </c>
      <c r="J724" s="1665">
        <v>142442538</v>
      </c>
      <c r="K724" s="1665">
        <v>137549706</v>
      </c>
    </row>
    <row r="725" spans="1:11">
      <c r="A725" t="s">
        <v>6030</v>
      </c>
      <c r="B725" s="1417" t="s">
        <v>21</v>
      </c>
      <c r="C725" s="1417" t="s">
        <v>7813</v>
      </c>
      <c r="D725" s="1665">
        <v>209161223</v>
      </c>
      <c r="E725" s="1665">
        <v>203630194</v>
      </c>
      <c r="F725" s="1665">
        <v>202882234</v>
      </c>
      <c r="G725" s="1665">
        <v>197351205</v>
      </c>
      <c r="H725" s="1665">
        <v>209161223</v>
      </c>
      <c r="I725" s="1665">
        <v>203630194</v>
      </c>
      <c r="J725" s="1665">
        <v>202882234</v>
      </c>
      <c r="K725" s="1665">
        <v>197351205</v>
      </c>
    </row>
    <row r="726" spans="1:11">
      <c r="A726" t="s">
        <v>3674</v>
      </c>
      <c r="B726" s="1417" t="s">
        <v>1021</v>
      </c>
      <c r="C726" s="1417" t="s">
        <v>7814</v>
      </c>
      <c r="D726" s="1665">
        <v>275283275</v>
      </c>
      <c r="E726" s="1665">
        <v>262465492</v>
      </c>
      <c r="F726" s="1665">
        <v>263589670</v>
      </c>
      <c r="G726" s="1665">
        <v>250771887</v>
      </c>
      <c r="H726" s="1665">
        <v>275283275</v>
      </c>
      <c r="I726" s="1665">
        <v>262465492</v>
      </c>
      <c r="J726" s="1665">
        <v>263589670</v>
      </c>
      <c r="K726" s="1665">
        <v>250771887</v>
      </c>
    </row>
    <row r="727" spans="1:11">
      <c r="A727" t="s">
        <v>3675</v>
      </c>
      <c r="B727" s="1417" t="s">
        <v>1991</v>
      </c>
      <c r="C727" s="1417" t="s">
        <v>7815</v>
      </c>
      <c r="D727" s="1665">
        <v>586905374</v>
      </c>
      <c r="E727" s="1665">
        <v>580608733</v>
      </c>
      <c r="F727" s="1665">
        <v>580193773</v>
      </c>
      <c r="G727" s="1665">
        <v>573897132</v>
      </c>
      <c r="H727" s="1665">
        <v>586905374</v>
      </c>
      <c r="I727" s="1665">
        <v>580608733</v>
      </c>
      <c r="J727" s="1665">
        <v>580193773</v>
      </c>
      <c r="K727" s="1665">
        <v>573897132</v>
      </c>
    </row>
    <row r="728" spans="1:11">
      <c r="A728" t="s">
        <v>3676</v>
      </c>
      <c r="B728" s="1417" t="s">
        <v>1543</v>
      </c>
      <c r="C728" s="1417" t="s">
        <v>7816</v>
      </c>
      <c r="D728" s="1665">
        <v>325047794</v>
      </c>
      <c r="E728" s="1665">
        <v>321206524</v>
      </c>
      <c r="F728" s="1665">
        <v>325047794</v>
      </c>
      <c r="G728" s="1665">
        <v>321206524</v>
      </c>
      <c r="H728" s="1665">
        <v>325047794</v>
      </c>
      <c r="I728" s="1665">
        <v>321206524</v>
      </c>
      <c r="J728" s="1665">
        <v>325047794</v>
      </c>
      <c r="K728" s="1665">
        <v>321206524</v>
      </c>
    </row>
    <row r="729" spans="1:11">
      <c r="A729" t="s">
        <v>6031</v>
      </c>
      <c r="B729" s="1417" t="s">
        <v>1878</v>
      </c>
      <c r="C729" s="1417" t="s">
        <v>7817</v>
      </c>
      <c r="D729" s="1665">
        <v>806821071</v>
      </c>
      <c r="E729" s="1665">
        <v>783058391</v>
      </c>
      <c r="F729" s="1665">
        <v>806821071</v>
      </c>
      <c r="G729" s="1665">
        <v>783058391</v>
      </c>
      <c r="H729" s="1665">
        <v>806821071</v>
      </c>
      <c r="I729" s="1665">
        <v>783058391</v>
      </c>
      <c r="J729" s="1665">
        <v>806821071</v>
      </c>
      <c r="K729" s="1665">
        <v>783058391</v>
      </c>
    </row>
    <row r="730" spans="1:11">
      <c r="A730" t="s">
        <v>6032</v>
      </c>
      <c r="B730" s="1417" t="s">
        <v>2309</v>
      </c>
      <c r="C730" s="1417" t="s">
        <v>7818</v>
      </c>
      <c r="D730" s="1665">
        <v>848055352</v>
      </c>
      <c r="E730" s="1665">
        <v>846540925</v>
      </c>
      <c r="F730" s="1665">
        <v>848055352</v>
      </c>
      <c r="G730" s="1665">
        <v>846540925</v>
      </c>
      <c r="H730" s="1665">
        <v>848055352</v>
      </c>
      <c r="I730" s="1665">
        <v>846540925</v>
      </c>
      <c r="J730" s="1665">
        <v>848055352</v>
      </c>
      <c r="K730" s="1665">
        <v>846540925</v>
      </c>
    </row>
    <row r="731" spans="1:11">
      <c r="A731" t="s">
        <v>6033</v>
      </c>
      <c r="B731" s="1417" t="s">
        <v>424</v>
      </c>
      <c r="C731" s="1417" t="s">
        <v>7819</v>
      </c>
      <c r="D731" s="1665">
        <v>267170517</v>
      </c>
      <c r="E731" s="1665">
        <v>266234177</v>
      </c>
      <c r="F731" s="1665">
        <v>267170517</v>
      </c>
      <c r="G731" s="1665">
        <v>266234177</v>
      </c>
      <c r="H731" s="1665">
        <v>552021297</v>
      </c>
      <c r="I731" s="1665">
        <v>551084957</v>
      </c>
      <c r="J731" s="1665">
        <v>552021297</v>
      </c>
      <c r="K731" s="1665">
        <v>551084957</v>
      </c>
    </row>
    <row r="732" spans="1:11">
      <c r="A732" t="s">
        <v>6034</v>
      </c>
      <c r="B732" s="1417" t="s">
        <v>2498</v>
      </c>
      <c r="C732" s="1417" t="s">
        <v>7820</v>
      </c>
      <c r="D732" s="1665">
        <v>133612251</v>
      </c>
      <c r="E732" s="1665">
        <v>131020652</v>
      </c>
      <c r="F732" s="1665">
        <v>133612251</v>
      </c>
      <c r="G732" s="1665">
        <v>131020652</v>
      </c>
      <c r="H732" s="1665">
        <v>133612251</v>
      </c>
      <c r="I732" s="1665">
        <v>131020652</v>
      </c>
      <c r="J732" s="1665">
        <v>133612251</v>
      </c>
      <c r="K732" s="1665">
        <v>131020652</v>
      </c>
    </row>
    <row r="733" spans="1:11">
      <c r="A733" t="s">
        <v>6035</v>
      </c>
      <c r="B733" s="1417" t="s">
        <v>1172</v>
      </c>
      <c r="C733" s="1417" t="s">
        <v>7821</v>
      </c>
      <c r="D733" s="1665">
        <v>604865541</v>
      </c>
      <c r="E733" s="1665">
        <v>592694192</v>
      </c>
      <c r="F733" s="1665">
        <v>590827986</v>
      </c>
      <c r="G733" s="1665">
        <v>578656637</v>
      </c>
      <c r="H733" s="1665">
        <v>604865541</v>
      </c>
      <c r="I733" s="1665">
        <v>592694192</v>
      </c>
      <c r="J733" s="1665">
        <v>590827986</v>
      </c>
      <c r="K733" s="1665">
        <v>578656637</v>
      </c>
    </row>
    <row r="734" spans="1:11">
      <c r="A734" t="s">
        <v>6036</v>
      </c>
      <c r="B734" s="1417" t="s">
        <v>1173</v>
      </c>
      <c r="C734" s="1417" t="s">
        <v>7822</v>
      </c>
      <c r="D734" s="1665">
        <v>1588492339</v>
      </c>
      <c r="E734" s="1665">
        <v>1542070233</v>
      </c>
      <c r="F734" s="1665">
        <v>1588492339</v>
      </c>
      <c r="G734" s="1665">
        <v>1542070233</v>
      </c>
      <c r="H734" s="1665">
        <v>2154178929</v>
      </c>
      <c r="I734" s="1665">
        <v>2107756823</v>
      </c>
      <c r="J734" s="1665">
        <v>2154178929</v>
      </c>
      <c r="K734" s="1665">
        <v>2107756823</v>
      </c>
    </row>
    <row r="735" spans="1:11">
      <c r="A735" t="s">
        <v>3677</v>
      </c>
      <c r="B735" s="1417" t="s">
        <v>2399</v>
      </c>
      <c r="C735" s="1417" t="s">
        <v>7823</v>
      </c>
      <c r="D735" s="1665">
        <v>16600065567</v>
      </c>
      <c r="E735" s="1665">
        <v>16157475741</v>
      </c>
      <c r="F735" s="1665">
        <v>16600065567</v>
      </c>
      <c r="G735" s="1665">
        <v>16157475741</v>
      </c>
      <c r="H735" s="1665">
        <v>16653109707</v>
      </c>
      <c r="I735" s="1665">
        <v>16210519881</v>
      </c>
      <c r="J735" s="1665">
        <v>16653109707</v>
      </c>
      <c r="K735" s="1665">
        <v>16210519881</v>
      </c>
    </row>
    <row r="736" spans="1:11">
      <c r="A736" t="s">
        <v>6037</v>
      </c>
      <c r="B736" s="1417" t="s">
        <v>570</v>
      </c>
      <c r="C736" s="1417" t="s">
        <v>7824</v>
      </c>
      <c r="D736" s="1665">
        <v>106360569</v>
      </c>
      <c r="E736" s="1665">
        <v>104317940</v>
      </c>
      <c r="F736" s="1665">
        <v>106360569</v>
      </c>
      <c r="G736" s="1665">
        <v>104317940</v>
      </c>
      <c r="H736" s="1665">
        <v>106360569</v>
      </c>
      <c r="I736" s="1665">
        <v>104317940</v>
      </c>
      <c r="J736" s="1665">
        <v>106360569</v>
      </c>
      <c r="K736" s="1665">
        <v>104317940</v>
      </c>
    </row>
    <row r="737" spans="1:11">
      <c r="A737" t="s">
        <v>6038</v>
      </c>
      <c r="B737" s="1417" t="s">
        <v>579</v>
      </c>
      <c r="C737" s="1417" t="s">
        <v>7825</v>
      </c>
      <c r="D737" s="1665">
        <v>712258446</v>
      </c>
      <c r="E737" s="1665">
        <v>705457389</v>
      </c>
      <c r="F737" s="1665">
        <v>712258446</v>
      </c>
      <c r="G737" s="1665">
        <v>705457389</v>
      </c>
      <c r="H737" s="1665">
        <v>712258446</v>
      </c>
      <c r="I737" s="1665">
        <v>705457389</v>
      </c>
      <c r="J737" s="1665">
        <v>712258446</v>
      </c>
      <c r="K737" s="1665">
        <v>705457389</v>
      </c>
    </row>
    <row r="738" spans="1:11">
      <c r="A738" t="s">
        <v>6039</v>
      </c>
      <c r="B738" s="1417" t="s">
        <v>580</v>
      </c>
      <c r="C738" s="1417" t="s">
        <v>7826</v>
      </c>
      <c r="D738" s="1665">
        <v>2248858488</v>
      </c>
      <c r="E738" s="1665">
        <v>2238705007</v>
      </c>
      <c r="F738" s="1665">
        <v>2248858488</v>
      </c>
      <c r="G738" s="1665">
        <v>2238705007</v>
      </c>
      <c r="H738" s="1665">
        <v>2248858488</v>
      </c>
      <c r="I738" s="1665">
        <v>2238705007</v>
      </c>
      <c r="J738" s="1665">
        <v>2248858488</v>
      </c>
      <c r="K738" s="1665">
        <v>2238705007</v>
      </c>
    </row>
    <row r="739" spans="1:11">
      <c r="A739" t="s">
        <v>3678</v>
      </c>
      <c r="B739" s="1417" t="s">
        <v>165</v>
      </c>
      <c r="C739" s="1417" t="s">
        <v>7827</v>
      </c>
      <c r="D739" s="1665">
        <v>613705168</v>
      </c>
      <c r="E739" s="1665">
        <v>589200105</v>
      </c>
      <c r="F739" s="1665">
        <v>613705168</v>
      </c>
      <c r="G739" s="1665">
        <v>589200105</v>
      </c>
      <c r="H739" s="1665">
        <v>613705168</v>
      </c>
      <c r="I739" s="1665">
        <v>589200105</v>
      </c>
      <c r="J739" s="1665">
        <v>613705168</v>
      </c>
      <c r="K739" s="1665">
        <v>589200105</v>
      </c>
    </row>
    <row r="740" spans="1:11">
      <c r="A740" t="s">
        <v>6040</v>
      </c>
      <c r="B740" s="1417" t="s">
        <v>767</v>
      </c>
      <c r="C740" s="1417" t="s">
        <v>7828</v>
      </c>
      <c r="D740" s="1665">
        <v>2848039054</v>
      </c>
      <c r="E740" s="1665">
        <v>2823113218</v>
      </c>
      <c r="F740" s="1665">
        <v>2811227374</v>
      </c>
      <c r="G740" s="1665">
        <v>2786301538</v>
      </c>
      <c r="H740" s="1665">
        <v>3350233047</v>
      </c>
      <c r="I740" s="1665">
        <v>3325307211</v>
      </c>
      <c r="J740" s="1665">
        <v>3313421367</v>
      </c>
      <c r="K740" s="1665">
        <v>3288495531</v>
      </c>
    </row>
    <row r="741" spans="1:11">
      <c r="A741" t="s">
        <v>3679</v>
      </c>
      <c r="B741" s="1417" t="s">
        <v>964</v>
      </c>
      <c r="C741" s="1417" t="s">
        <v>7829</v>
      </c>
      <c r="D741" s="1665">
        <v>425135266</v>
      </c>
      <c r="E741" s="1665">
        <v>416431994</v>
      </c>
      <c r="F741" s="1665">
        <v>425135266</v>
      </c>
      <c r="G741" s="1665">
        <v>416431994</v>
      </c>
      <c r="H741" s="1665">
        <v>425135266</v>
      </c>
      <c r="I741" s="1665">
        <v>416431994</v>
      </c>
      <c r="J741" s="1665">
        <v>425135266</v>
      </c>
      <c r="K741" s="1665">
        <v>416431994</v>
      </c>
    </row>
    <row r="742" spans="1:11">
      <c r="A742" t="s">
        <v>6041</v>
      </c>
      <c r="B742" s="1417" t="s">
        <v>2138</v>
      </c>
      <c r="C742" s="1417" t="s">
        <v>7830</v>
      </c>
      <c r="D742" s="1665">
        <v>3115342242</v>
      </c>
      <c r="E742" s="1665">
        <v>3048637780</v>
      </c>
      <c r="F742" s="1665">
        <v>3115342242</v>
      </c>
      <c r="G742" s="1665">
        <v>3048637780</v>
      </c>
      <c r="H742" s="1665">
        <v>3115342242</v>
      </c>
      <c r="I742" s="1665">
        <v>3048637780</v>
      </c>
      <c r="J742" s="1665">
        <v>3115342242</v>
      </c>
      <c r="K742" s="1665">
        <v>3048637780</v>
      </c>
    </row>
    <row r="743" spans="1:11">
      <c r="A743" t="s">
        <v>3680</v>
      </c>
      <c r="B743" s="1417" t="s">
        <v>2139</v>
      </c>
      <c r="C743" s="1417" t="s">
        <v>7831</v>
      </c>
      <c r="D743" s="1665">
        <v>809481342</v>
      </c>
      <c r="E743" s="1665">
        <v>795570291</v>
      </c>
      <c r="F743" s="1665">
        <v>809481342</v>
      </c>
      <c r="G743" s="1665">
        <v>795570291</v>
      </c>
      <c r="H743" s="1665">
        <v>809481342</v>
      </c>
      <c r="I743" s="1665">
        <v>795570291</v>
      </c>
      <c r="J743" s="1665">
        <v>809481342</v>
      </c>
      <c r="K743" s="1665">
        <v>795570291</v>
      </c>
    </row>
    <row r="744" spans="1:11">
      <c r="A744" t="s">
        <v>3681</v>
      </c>
      <c r="B744" s="1417" t="s">
        <v>209</v>
      </c>
      <c r="C744" s="1417" t="s">
        <v>7832</v>
      </c>
      <c r="D744" s="1665">
        <v>1219651072</v>
      </c>
      <c r="E744" s="1665">
        <v>1201856541</v>
      </c>
      <c r="F744" s="1665">
        <v>1219651072</v>
      </c>
      <c r="G744" s="1665">
        <v>1201856541</v>
      </c>
      <c r="H744" s="1665">
        <v>1377858502</v>
      </c>
      <c r="I744" s="1665">
        <v>1360063971</v>
      </c>
      <c r="J744" s="1665">
        <v>1377858502</v>
      </c>
      <c r="K744" s="1665">
        <v>1360063971</v>
      </c>
    </row>
    <row r="745" spans="1:11">
      <c r="A745" t="s">
        <v>6042</v>
      </c>
      <c r="B745" s="1417" t="s">
        <v>971</v>
      </c>
      <c r="C745" s="1417" t="s">
        <v>7833</v>
      </c>
      <c r="D745" s="1665">
        <v>164841924</v>
      </c>
      <c r="E745" s="1665">
        <v>161996452</v>
      </c>
      <c r="F745" s="1665">
        <v>164841924</v>
      </c>
      <c r="G745" s="1665">
        <v>161996452</v>
      </c>
      <c r="H745" s="1665">
        <v>403375304</v>
      </c>
      <c r="I745" s="1665">
        <v>400529832</v>
      </c>
      <c r="J745" s="1665">
        <v>403375304</v>
      </c>
      <c r="K745" s="1665">
        <v>400529832</v>
      </c>
    </row>
    <row r="746" spans="1:11">
      <c r="A746" t="s">
        <v>6779</v>
      </c>
      <c r="B746" s="1417" t="s">
        <v>972</v>
      </c>
      <c r="C746" s="1417" t="s">
        <v>7834</v>
      </c>
      <c r="D746" s="1665">
        <v>58797316</v>
      </c>
      <c r="E746" s="1665">
        <v>58255423</v>
      </c>
      <c r="F746" s="1665">
        <v>58797316</v>
      </c>
      <c r="G746" s="1665">
        <v>58255423</v>
      </c>
      <c r="H746" s="1665">
        <v>303107886</v>
      </c>
      <c r="I746" s="1665">
        <v>302565993</v>
      </c>
      <c r="J746" s="1665">
        <v>303107886</v>
      </c>
      <c r="K746" s="1665">
        <v>302565993</v>
      </c>
    </row>
    <row r="747" spans="1:11">
      <c r="A747" t="s">
        <v>6043</v>
      </c>
      <c r="B747" s="1417" t="s">
        <v>973</v>
      </c>
      <c r="C747" s="1417" t="s">
        <v>7835</v>
      </c>
      <c r="D747" s="1665">
        <v>108936645</v>
      </c>
      <c r="E747" s="1665">
        <v>108250345</v>
      </c>
      <c r="F747" s="1665">
        <v>108936645</v>
      </c>
      <c r="G747" s="1665">
        <v>108250345</v>
      </c>
      <c r="H747" s="1665">
        <v>146461085</v>
      </c>
      <c r="I747" s="1665">
        <v>145774785</v>
      </c>
      <c r="J747" s="1665">
        <v>146461085</v>
      </c>
      <c r="K747" s="1665">
        <v>145774785</v>
      </c>
    </row>
    <row r="748" spans="1:11">
      <c r="A748" t="s">
        <v>3682</v>
      </c>
      <c r="B748" s="1417" t="s">
        <v>1951</v>
      </c>
      <c r="C748" s="1417" t="s">
        <v>7836</v>
      </c>
      <c r="D748" s="1665">
        <v>1074128685</v>
      </c>
      <c r="E748" s="1665">
        <v>1038591819</v>
      </c>
      <c r="F748" s="1665">
        <v>1074128685</v>
      </c>
      <c r="G748" s="1665">
        <v>1038591819</v>
      </c>
      <c r="H748" s="1665">
        <v>1074128685</v>
      </c>
      <c r="I748" s="1665">
        <v>1038591819</v>
      </c>
      <c r="J748" s="1665">
        <v>1074128685</v>
      </c>
      <c r="K748" s="1665">
        <v>1038591819</v>
      </c>
    </row>
    <row r="749" spans="1:11">
      <c r="A749" t="s">
        <v>6044</v>
      </c>
      <c r="B749" s="1417" t="s">
        <v>974</v>
      </c>
      <c r="C749" s="1417" t="s">
        <v>7837</v>
      </c>
      <c r="D749" s="1665">
        <v>598322192</v>
      </c>
      <c r="E749" s="1665">
        <v>577873580</v>
      </c>
      <c r="F749" s="1665">
        <v>568048702</v>
      </c>
      <c r="G749" s="1665">
        <v>547600090</v>
      </c>
      <c r="H749" s="1665">
        <v>598322192</v>
      </c>
      <c r="I749" s="1665">
        <v>577873580</v>
      </c>
      <c r="J749" s="1665">
        <v>568048702</v>
      </c>
      <c r="K749" s="1665">
        <v>547600090</v>
      </c>
    </row>
    <row r="750" spans="1:11">
      <c r="A750" t="s">
        <v>6045</v>
      </c>
      <c r="B750" s="1417" t="s">
        <v>975</v>
      </c>
      <c r="C750" s="1417" t="s">
        <v>7838</v>
      </c>
      <c r="D750" s="1665">
        <v>1827527390</v>
      </c>
      <c r="E750" s="1665">
        <v>1794031560</v>
      </c>
      <c r="F750" s="1665">
        <v>1799980205</v>
      </c>
      <c r="G750" s="1665">
        <v>1766484375</v>
      </c>
      <c r="H750" s="1665">
        <v>1827527390</v>
      </c>
      <c r="I750" s="1665">
        <v>1794031560</v>
      </c>
      <c r="J750" s="1665">
        <v>1799980205</v>
      </c>
      <c r="K750" s="1665">
        <v>1766484375</v>
      </c>
    </row>
    <row r="751" spans="1:11">
      <c r="A751" t="s">
        <v>3683</v>
      </c>
      <c r="B751" s="1417" t="s">
        <v>1466</v>
      </c>
      <c r="C751" s="1417" t="s">
        <v>7839</v>
      </c>
      <c r="D751" s="1665">
        <v>1180397119</v>
      </c>
      <c r="E751" s="1665">
        <v>1130976927</v>
      </c>
      <c r="F751" s="1665">
        <v>1145771955</v>
      </c>
      <c r="G751" s="1665">
        <v>1096351763</v>
      </c>
      <c r="H751" s="1665">
        <v>1180397119</v>
      </c>
      <c r="I751" s="1665">
        <v>1130976927</v>
      </c>
      <c r="J751" s="1665">
        <v>1145771955</v>
      </c>
      <c r="K751" s="1665">
        <v>1096351763</v>
      </c>
    </row>
    <row r="752" spans="1:11">
      <c r="A752" t="s">
        <v>6046</v>
      </c>
      <c r="B752" s="1417" t="s">
        <v>1092</v>
      </c>
      <c r="C752" s="1417" t="s">
        <v>7840</v>
      </c>
      <c r="D752" s="1665">
        <v>1010618855</v>
      </c>
      <c r="E752" s="1665">
        <v>964667261</v>
      </c>
      <c r="F752" s="1665">
        <v>966547190</v>
      </c>
      <c r="G752" s="1665">
        <v>920595596</v>
      </c>
      <c r="H752" s="1665">
        <v>1010618855</v>
      </c>
      <c r="I752" s="1665">
        <v>964667261</v>
      </c>
      <c r="J752" s="1665">
        <v>966547190</v>
      </c>
      <c r="K752" s="1665">
        <v>920595596</v>
      </c>
    </row>
    <row r="753" spans="1:11">
      <c r="A753" t="s">
        <v>6047</v>
      </c>
      <c r="B753" s="1417" t="s">
        <v>1093</v>
      </c>
      <c r="C753" s="1417" t="s">
        <v>7841</v>
      </c>
      <c r="D753" s="1665">
        <v>165971273</v>
      </c>
      <c r="E753" s="1665">
        <v>162652073</v>
      </c>
      <c r="F753" s="1665">
        <v>165971273</v>
      </c>
      <c r="G753" s="1665">
        <v>162652073</v>
      </c>
      <c r="H753" s="1665">
        <v>165971273</v>
      </c>
      <c r="I753" s="1665">
        <v>162652073</v>
      </c>
      <c r="J753" s="1665">
        <v>165971273</v>
      </c>
      <c r="K753" s="1665">
        <v>162652073</v>
      </c>
    </row>
    <row r="754" spans="1:11">
      <c r="A754" t="s">
        <v>6048</v>
      </c>
      <c r="B754" s="1417" t="s">
        <v>1094</v>
      </c>
      <c r="C754" s="1417" t="s">
        <v>7842</v>
      </c>
      <c r="D754" s="1665">
        <v>987186064</v>
      </c>
      <c r="E754" s="1665">
        <v>981577381</v>
      </c>
      <c r="F754" s="1665">
        <v>987186064</v>
      </c>
      <c r="G754" s="1665">
        <v>981577381</v>
      </c>
      <c r="H754" s="1665">
        <v>987186064</v>
      </c>
      <c r="I754" s="1665">
        <v>981577381</v>
      </c>
      <c r="J754" s="1665">
        <v>987186064</v>
      </c>
      <c r="K754" s="1665">
        <v>981577381</v>
      </c>
    </row>
    <row r="755" spans="1:11">
      <c r="A755" t="s">
        <v>3684</v>
      </c>
      <c r="B755" s="1417" t="s">
        <v>2537</v>
      </c>
      <c r="C755" s="1417" t="s">
        <v>7843</v>
      </c>
      <c r="D755" s="1665">
        <v>827655305</v>
      </c>
      <c r="E755" s="1665">
        <v>792543230</v>
      </c>
      <c r="F755" s="1665">
        <v>827655305</v>
      </c>
      <c r="G755" s="1665">
        <v>792543230</v>
      </c>
      <c r="H755" s="1665">
        <v>827655305</v>
      </c>
      <c r="I755" s="1665">
        <v>792543230</v>
      </c>
      <c r="J755" s="1665">
        <v>827655305</v>
      </c>
      <c r="K755" s="1665">
        <v>792543230</v>
      </c>
    </row>
    <row r="756" spans="1:11">
      <c r="A756" t="s">
        <v>6049</v>
      </c>
      <c r="B756" s="1417" t="s">
        <v>1353</v>
      </c>
      <c r="C756" s="1417" t="s">
        <v>7844</v>
      </c>
      <c r="D756" s="1665">
        <v>294754282</v>
      </c>
      <c r="E756" s="1665">
        <v>286507235</v>
      </c>
      <c r="F756" s="1665">
        <v>294754282</v>
      </c>
      <c r="G756" s="1665">
        <v>286507235</v>
      </c>
      <c r="H756" s="1665">
        <v>294754282</v>
      </c>
      <c r="I756" s="1665">
        <v>286507235</v>
      </c>
      <c r="J756" s="1665">
        <v>294754282</v>
      </c>
      <c r="K756" s="1665">
        <v>286507235</v>
      </c>
    </row>
    <row r="757" spans="1:11">
      <c r="A757" t="s">
        <v>6780</v>
      </c>
      <c r="B757" s="1417" t="s">
        <v>1354</v>
      </c>
      <c r="C757" s="1417" t="s">
        <v>7845</v>
      </c>
      <c r="D757" s="1665">
        <v>54040012</v>
      </c>
      <c r="E757" s="1665">
        <v>52545706</v>
      </c>
      <c r="F757" s="1665">
        <v>54040012</v>
      </c>
      <c r="G757" s="1665">
        <v>52545706</v>
      </c>
      <c r="H757" s="1665">
        <v>54040012</v>
      </c>
      <c r="I757" s="1665">
        <v>52545706</v>
      </c>
      <c r="J757" s="1665">
        <v>54040012</v>
      </c>
      <c r="K757" s="1665">
        <v>52545706</v>
      </c>
    </row>
    <row r="758" spans="1:11">
      <c r="A758" t="s">
        <v>6050</v>
      </c>
      <c r="B758" s="1417" t="s">
        <v>1355</v>
      </c>
      <c r="C758" s="1417" t="s">
        <v>7846</v>
      </c>
      <c r="D758" s="1665">
        <v>538259414</v>
      </c>
      <c r="E758" s="1665">
        <v>535564814</v>
      </c>
      <c r="F758" s="1665">
        <v>529309198</v>
      </c>
      <c r="G758" s="1665">
        <v>526614598</v>
      </c>
      <c r="H758" s="1665">
        <v>538259414</v>
      </c>
      <c r="I758" s="1665">
        <v>535564814</v>
      </c>
      <c r="J758" s="1665">
        <v>529309198</v>
      </c>
      <c r="K758" s="1665">
        <v>526614598</v>
      </c>
    </row>
    <row r="759" spans="1:11">
      <c r="A759" t="s">
        <v>6051</v>
      </c>
      <c r="B759" s="1417" t="s">
        <v>1356</v>
      </c>
      <c r="C759" s="1417" t="s">
        <v>7847</v>
      </c>
      <c r="D759" s="1665">
        <v>371065349</v>
      </c>
      <c r="E759" s="1665">
        <v>365349099</v>
      </c>
      <c r="F759" s="1665">
        <v>363977639</v>
      </c>
      <c r="G759" s="1665">
        <v>358261389</v>
      </c>
      <c r="H759" s="1665">
        <v>371065349</v>
      </c>
      <c r="I759" s="1665">
        <v>365349099</v>
      </c>
      <c r="J759" s="1665">
        <v>363977639</v>
      </c>
      <c r="K759" s="1665">
        <v>358261389</v>
      </c>
    </row>
    <row r="760" spans="1:11">
      <c r="A760" t="s">
        <v>6052</v>
      </c>
      <c r="B760" s="1417" t="s">
        <v>1357</v>
      </c>
      <c r="C760" s="1417" t="s">
        <v>7848</v>
      </c>
      <c r="D760" s="1665">
        <v>2564312355</v>
      </c>
      <c r="E760" s="1665">
        <v>2525311625</v>
      </c>
      <c r="F760" s="1665">
        <v>2518388070</v>
      </c>
      <c r="G760" s="1665">
        <v>2479387340</v>
      </c>
      <c r="H760" s="1665">
        <v>2564312355</v>
      </c>
      <c r="I760" s="1665">
        <v>2525311625</v>
      </c>
      <c r="J760" s="1665">
        <v>2518388070</v>
      </c>
      <c r="K760" s="1665">
        <v>2479387340</v>
      </c>
    </row>
    <row r="761" spans="1:11">
      <c r="A761" t="s">
        <v>3685</v>
      </c>
      <c r="B761" s="1417" t="s">
        <v>2579</v>
      </c>
      <c r="C761" s="1417" t="s">
        <v>7849</v>
      </c>
      <c r="D761" s="1665">
        <v>163118807</v>
      </c>
      <c r="E761" s="1665">
        <v>158375967</v>
      </c>
      <c r="F761" s="1665">
        <v>158109667</v>
      </c>
      <c r="G761" s="1665">
        <v>153366827</v>
      </c>
      <c r="H761" s="1665">
        <v>163118807</v>
      </c>
      <c r="I761" s="1665">
        <v>158375967</v>
      </c>
      <c r="J761" s="1665">
        <v>158109667</v>
      </c>
      <c r="K761" s="1665">
        <v>153366827</v>
      </c>
    </row>
    <row r="762" spans="1:11">
      <c r="A762" t="s">
        <v>3686</v>
      </c>
      <c r="B762" s="1417" t="s">
        <v>707</v>
      </c>
      <c r="C762" s="1417" t="s">
        <v>7850</v>
      </c>
      <c r="D762" s="1665">
        <v>217988217</v>
      </c>
      <c r="E762" s="1665">
        <v>211537119</v>
      </c>
      <c r="F762" s="1665">
        <v>217988217</v>
      </c>
      <c r="G762" s="1665">
        <v>211537119</v>
      </c>
      <c r="H762" s="1665">
        <v>217988217</v>
      </c>
      <c r="I762" s="1665">
        <v>211537119</v>
      </c>
      <c r="J762" s="1665">
        <v>217988217</v>
      </c>
      <c r="K762" s="1665">
        <v>211537119</v>
      </c>
    </row>
    <row r="763" spans="1:11">
      <c r="A763" t="s">
        <v>3687</v>
      </c>
      <c r="B763" s="1417" t="s">
        <v>1510</v>
      </c>
      <c r="C763" s="1417" t="s">
        <v>7851</v>
      </c>
      <c r="D763" s="1665">
        <v>1166999131</v>
      </c>
      <c r="E763" s="1665">
        <v>1120272475</v>
      </c>
      <c r="F763" s="1665">
        <v>1166999131</v>
      </c>
      <c r="G763" s="1665">
        <v>1120272475</v>
      </c>
      <c r="H763" s="1665">
        <v>1166999131</v>
      </c>
      <c r="I763" s="1665">
        <v>1120272475</v>
      </c>
      <c r="J763" s="1665">
        <v>1166999131</v>
      </c>
      <c r="K763" s="1665">
        <v>1120272475</v>
      </c>
    </row>
    <row r="764" spans="1:11">
      <c r="A764" t="s">
        <v>3688</v>
      </c>
      <c r="B764" s="1417" t="s">
        <v>1467</v>
      </c>
      <c r="C764" s="1417" t="s">
        <v>7852</v>
      </c>
      <c r="D764" s="1665">
        <v>4406177766</v>
      </c>
      <c r="E764" s="1665">
        <v>4289046895</v>
      </c>
      <c r="F764" s="1665">
        <v>4406177766</v>
      </c>
      <c r="G764" s="1665">
        <v>4289046895</v>
      </c>
      <c r="H764" s="1665">
        <v>4406177766</v>
      </c>
      <c r="I764" s="1665">
        <v>4289046895</v>
      </c>
      <c r="J764" s="1665">
        <v>4406177766</v>
      </c>
      <c r="K764" s="1665">
        <v>4289046895</v>
      </c>
    </row>
    <row r="765" spans="1:11">
      <c r="A765" t="s">
        <v>3689</v>
      </c>
      <c r="B765" s="1417" t="s">
        <v>2536</v>
      </c>
      <c r="C765" s="1417" t="s">
        <v>7853</v>
      </c>
      <c r="D765" s="1665">
        <v>372768508</v>
      </c>
      <c r="E765" s="1665">
        <v>362431613</v>
      </c>
      <c r="F765" s="1665">
        <v>372768508</v>
      </c>
      <c r="G765" s="1665">
        <v>362431613</v>
      </c>
      <c r="H765" s="1665">
        <v>372768508</v>
      </c>
      <c r="I765" s="1665">
        <v>362431613</v>
      </c>
      <c r="J765" s="1665">
        <v>372768508</v>
      </c>
      <c r="K765" s="1665">
        <v>362431613</v>
      </c>
    </row>
    <row r="766" spans="1:11">
      <c r="A766" t="s">
        <v>6053</v>
      </c>
      <c r="B766" s="1417" t="s">
        <v>1383</v>
      </c>
      <c r="C766" s="1417" t="s">
        <v>7854</v>
      </c>
      <c r="D766" s="1665">
        <v>3511183539</v>
      </c>
      <c r="E766" s="1665">
        <v>3443915762</v>
      </c>
      <c r="F766" s="1665">
        <v>3511183539</v>
      </c>
      <c r="G766" s="1665">
        <v>3443915762</v>
      </c>
      <c r="H766" s="1665">
        <v>3511183539</v>
      </c>
      <c r="I766" s="1665">
        <v>3443915762</v>
      </c>
      <c r="J766" s="1665">
        <v>3511183539</v>
      </c>
      <c r="K766" s="1665">
        <v>3443915762</v>
      </c>
    </row>
    <row r="767" spans="1:11">
      <c r="A767" t="s">
        <v>3690</v>
      </c>
      <c r="B767" s="1417" t="s">
        <v>208</v>
      </c>
      <c r="C767" s="1417" t="s">
        <v>7855</v>
      </c>
      <c r="D767" s="1665">
        <v>352592189</v>
      </c>
      <c r="E767" s="1665">
        <v>341065423</v>
      </c>
      <c r="F767" s="1665">
        <v>352592189</v>
      </c>
      <c r="G767" s="1665">
        <v>341065423</v>
      </c>
      <c r="H767" s="1665">
        <v>352592189</v>
      </c>
      <c r="I767" s="1665">
        <v>341065423</v>
      </c>
      <c r="J767" s="1665">
        <v>352592189</v>
      </c>
      <c r="K767" s="1665">
        <v>341065423</v>
      </c>
    </row>
    <row r="768" spans="1:11">
      <c r="A768" t="s">
        <v>3691</v>
      </c>
      <c r="B768" s="1417" t="s">
        <v>1877</v>
      </c>
      <c r="C768" s="1417" t="s">
        <v>7856</v>
      </c>
      <c r="D768" s="1665">
        <v>657433954</v>
      </c>
      <c r="E768" s="1665">
        <v>642723474</v>
      </c>
      <c r="F768" s="1665">
        <v>657433954</v>
      </c>
      <c r="G768" s="1665">
        <v>642723474</v>
      </c>
      <c r="H768" s="1665">
        <v>657433954</v>
      </c>
      <c r="I768" s="1665">
        <v>642723474</v>
      </c>
      <c r="J768" s="1665">
        <v>657433954</v>
      </c>
      <c r="K768" s="1665">
        <v>642723474</v>
      </c>
    </row>
    <row r="769" spans="1:11">
      <c r="A769" t="s">
        <v>6054</v>
      </c>
      <c r="B769" s="1417" t="s">
        <v>1634</v>
      </c>
      <c r="C769" s="1417" t="s">
        <v>7857</v>
      </c>
      <c r="D769" s="1665">
        <v>177890408</v>
      </c>
      <c r="E769" s="1665">
        <v>173859728</v>
      </c>
      <c r="F769" s="1665">
        <v>177890408</v>
      </c>
      <c r="G769" s="1665">
        <v>173859728</v>
      </c>
      <c r="H769" s="1665">
        <v>177890408</v>
      </c>
      <c r="I769" s="1665">
        <v>173859728</v>
      </c>
      <c r="J769" s="1665">
        <v>177890408</v>
      </c>
      <c r="K769" s="1665">
        <v>173859728</v>
      </c>
    </row>
    <row r="770" spans="1:11">
      <c r="A770" t="s">
        <v>6781</v>
      </c>
      <c r="B770" s="1417" t="s">
        <v>1635</v>
      </c>
      <c r="C770" s="1417" t="s">
        <v>7858</v>
      </c>
      <c r="D770" s="1665">
        <v>112636463</v>
      </c>
      <c r="E770" s="1665">
        <v>109499531</v>
      </c>
      <c r="F770" s="1665">
        <v>112636463</v>
      </c>
      <c r="G770" s="1665">
        <v>109499531</v>
      </c>
      <c r="H770" s="1665">
        <v>126672674</v>
      </c>
      <c r="I770" s="1665">
        <v>123535742</v>
      </c>
      <c r="J770" s="1665">
        <v>126672674</v>
      </c>
      <c r="K770" s="1665">
        <v>123535742</v>
      </c>
    </row>
    <row r="771" spans="1:11">
      <c r="A771" t="s">
        <v>6782</v>
      </c>
      <c r="B771" s="1417" t="s">
        <v>1636</v>
      </c>
      <c r="C771" s="1417" t="s">
        <v>7859</v>
      </c>
      <c r="D771" s="1665">
        <v>178475560</v>
      </c>
      <c r="E771" s="1665">
        <v>174288555</v>
      </c>
      <c r="F771" s="1665">
        <v>178475560</v>
      </c>
      <c r="G771" s="1665">
        <v>174288555</v>
      </c>
      <c r="H771" s="1665">
        <v>178475560</v>
      </c>
      <c r="I771" s="1665">
        <v>174288555</v>
      </c>
      <c r="J771" s="1665">
        <v>178475560</v>
      </c>
      <c r="K771" s="1665">
        <v>174288555</v>
      </c>
    </row>
    <row r="772" spans="1:11">
      <c r="A772" t="s">
        <v>6055</v>
      </c>
      <c r="B772" s="1417" t="s">
        <v>1637</v>
      </c>
      <c r="C772" s="1417" t="s">
        <v>7860</v>
      </c>
      <c r="D772" s="1665">
        <v>395040354</v>
      </c>
      <c r="E772" s="1665">
        <v>386957342</v>
      </c>
      <c r="F772" s="1665">
        <v>395040354</v>
      </c>
      <c r="G772" s="1665">
        <v>386957342</v>
      </c>
      <c r="H772" s="1665">
        <v>572225234</v>
      </c>
      <c r="I772" s="1665">
        <v>564142222</v>
      </c>
      <c r="J772" s="1665">
        <v>572225234</v>
      </c>
      <c r="K772" s="1665">
        <v>564142222</v>
      </c>
    </row>
    <row r="773" spans="1:11">
      <c r="A773" t="s">
        <v>6783</v>
      </c>
      <c r="B773" s="1417" t="s">
        <v>1638</v>
      </c>
      <c r="C773" s="1417" t="s">
        <v>7861</v>
      </c>
      <c r="D773" s="1665">
        <v>65614391</v>
      </c>
      <c r="E773" s="1665">
        <v>64517423</v>
      </c>
      <c r="F773" s="1665">
        <v>65614391</v>
      </c>
      <c r="G773" s="1665">
        <v>64517423</v>
      </c>
      <c r="H773" s="1665">
        <v>65614391</v>
      </c>
      <c r="I773" s="1665">
        <v>64517423</v>
      </c>
      <c r="J773" s="1665">
        <v>65614391</v>
      </c>
      <c r="K773" s="1665">
        <v>64517423</v>
      </c>
    </row>
    <row r="774" spans="1:11">
      <c r="A774" t="s">
        <v>6056</v>
      </c>
      <c r="B774" s="1417" t="s">
        <v>1874</v>
      </c>
      <c r="C774" s="1417" t="s">
        <v>7862</v>
      </c>
      <c r="D774" s="1665">
        <v>365520839</v>
      </c>
      <c r="E774" s="1665">
        <v>364934239</v>
      </c>
      <c r="F774" s="1665">
        <v>365132289</v>
      </c>
      <c r="G774" s="1665">
        <v>364545689</v>
      </c>
      <c r="H774" s="1665">
        <v>422720839</v>
      </c>
      <c r="I774" s="1665">
        <v>422134239</v>
      </c>
      <c r="J774" s="1665">
        <v>422332289</v>
      </c>
      <c r="K774" s="1665">
        <v>421745689</v>
      </c>
    </row>
    <row r="775" spans="1:11">
      <c r="A775" t="s">
        <v>6057</v>
      </c>
      <c r="B775" s="1417" t="s">
        <v>2302</v>
      </c>
      <c r="C775" s="1417" t="s">
        <v>7863</v>
      </c>
      <c r="D775" s="1665">
        <v>1638643871</v>
      </c>
      <c r="E775" s="1665">
        <v>1615589991</v>
      </c>
      <c r="F775" s="1665">
        <v>1619117051</v>
      </c>
      <c r="G775" s="1665">
        <v>1596063171</v>
      </c>
      <c r="H775" s="1665">
        <v>2031183021</v>
      </c>
      <c r="I775" s="1665">
        <v>2008129141</v>
      </c>
      <c r="J775" s="1665">
        <v>2011656201</v>
      </c>
      <c r="K775" s="1665">
        <v>1988602321</v>
      </c>
    </row>
    <row r="776" spans="1:11">
      <c r="A776" t="s">
        <v>6058</v>
      </c>
      <c r="B776" s="1417" t="s">
        <v>2291</v>
      </c>
      <c r="C776" s="1417" t="s">
        <v>7864</v>
      </c>
      <c r="D776" s="1665">
        <v>970102861</v>
      </c>
      <c r="E776" s="1665">
        <v>967057731</v>
      </c>
      <c r="F776" s="1665">
        <v>968012096</v>
      </c>
      <c r="G776" s="1665">
        <v>964966966</v>
      </c>
      <c r="H776" s="1665">
        <v>1217102861</v>
      </c>
      <c r="I776" s="1665">
        <v>1214057731</v>
      </c>
      <c r="J776" s="1665">
        <v>1215012096</v>
      </c>
      <c r="K776" s="1665">
        <v>1211966966</v>
      </c>
    </row>
    <row r="777" spans="1:11">
      <c r="A777" t="s">
        <v>6059</v>
      </c>
      <c r="B777" s="1417" t="s">
        <v>1302</v>
      </c>
      <c r="C777" s="1417" t="s">
        <v>7865</v>
      </c>
      <c r="D777" s="1665">
        <v>272283994</v>
      </c>
      <c r="E777" s="1665">
        <v>267738833</v>
      </c>
      <c r="F777" s="1665">
        <v>268089008</v>
      </c>
      <c r="G777" s="1665">
        <v>263543847</v>
      </c>
      <c r="H777" s="1665">
        <v>272283994</v>
      </c>
      <c r="I777" s="1665">
        <v>267738833</v>
      </c>
      <c r="J777" s="1665">
        <v>268089008</v>
      </c>
      <c r="K777" s="1665">
        <v>263543847</v>
      </c>
    </row>
    <row r="778" spans="1:11">
      <c r="A778" t="s">
        <v>6784</v>
      </c>
      <c r="B778" s="1417" t="s">
        <v>692</v>
      </c>
      <c r="C778" s="1417" t="s">
        <v>7866</v>
      </c>
      <c r="D778" s="1665">
        <v>113205379</v>
      </c>
      <c r="E778" s="1665">
        <v>108370163</v>
      </c>
      <c r="F778" s="1665">
        <v>113205379</v>
      </c>
      <c r="G778" s="1665">
        <v>108370163</v>
      </c>
      <c r="H778" s="1665">
        <v>113205379</v>
      </c>
      <c r="I778" s="1665">
        <v>108370163</v>
      </c>
      <c r="J778" s="1665">
        <v>113205379</v>
      </c>
      <c r="K778" s="1665">
        <v>108370163</v>
      </c>
    </row>
    <row r="779" spans="1:11">
      <c r="A779" t="s">
        <v>6060</v>
      </c>
      <c r="B779" s="1417" t="s">
        <v>2548</v>
      </c>
      <c r="C779" s="1417" t="s">
        <v>7867</v>
      </c>
      <c r="D779" s="1665">
        <v>403224205</v>
      </c>
      <c r="E779" s="1665">
        <v>394164614</v>
      </c>
      <c r="F779" s="1665">
        <v>395417098</v>
      </c>
      <c r="G779" s="1665">
        <v>386357507</v>
      </c>
      <c r="H779" s="1665">
        <v>586367172</v>
      </c>
      <c r="I779" s="1665">
        <v>577307581</v>
      </c>
      <c r="J779" s="1665">
        <v>578560065</v>
      </c>
      <c r="K779" s="1665">
        <v>569500474</v>
      </c>
    </row>
    <row r="780" spans="1:11">
      <c r="A780" t="s">
        <v>6061</v>
      </c>
      <c r="B780" s="1417" t="s">
        <v>693</v>
      </c>
      <c r="C780" s="1417" t="s">
        <v>7868</v>
      </c>
      <c r="D780" s="1665">
        <v>96790332</v>
      </c>
      <c r="E780" s="1665">
        <v>94294211</v>
      </c>
      <c r="F780" s="1665">
        <v>96790332</v>
      </c>
      <c r="G780" s="1665">
        <v>94294211</v>
      </c>
      <c r="H780" s="1665">
        <v>96790332</v>
      </c>
      <c r="I780" s="1665">
        <v>94294211</v>
      </c>
      <c r="J780" s="1665">
        <v>96790332</v>
      </c>
      <c r="K780" s="1665">
        <v>94294211</v>
      </c>
    </row>
    <row r="781" spans="1:11">
      <c r="A781" t="s">
        <v>3692</v>
      </c>
      <c r="B781" s="1417" t="s">
        <v>1773</v>
      </c>
      <c r="C781" s="1417" t="s">
        <v>7869</v>
      </c>
      <c r="D781" s="1665">
        <v>1648516728</v>
      </c>
      <c r="E781" s="1665">
        <v>1595172458</v>
      </c>
      <c r="F781" s="1665">
        <v>1648516728</v>
      </c>
      <c r="G781" s="1665">
        <v>1595172458</v>
      </c>
      <c r="H781" s="1665">
        <v>1648516728</v>
      </c>
      <c r="I781" s="1665">
        <v>1595172458</v>
      </c>
      <c r="J781" s="1665">
        <v>1648516728</v>
      </c>
      <c r="K781" s="1665">
        <v>1595172458</v>
      </c>
    </row>
    <row r="782" spans="1:11">
      <c r="A782" t="s">
        <v>6062</v>
      </c>
      <c r="B782" s="1417" t="s">
        <v>1213</v>
      </c>
      <c r="C782" s="1417" t="s">
        <v>7870</v>
      </c>
      <c r="D782" s="1665">
        <v>571512028</v>
      </c>
      <c r="E782" s="1665">
        <v>552702098</v>
      </c>
      <c r="F782" s="1665">
        <v>571512028</v>
      </c>
      <c r="G782" s="1665">
        <v>552702098</v>
      </c>
      <c r="H782" s="1665">
        <v>571512028</v>
      </c>
      <c r="I782" s="1665">
        <v>552702098</v>
      </c>
      <c r="J782" s="1665">
        <v>571512028</v>
      </c>
      <c r="K782" s="1665">
        <v>552702098</v>
      </c>
    </row>
    <row r="783" spans="1:11">
      <c r="A783" t="s">
        <v>3693</v>
      </c>
      <c r="B783" s="1417" t="s">
        <v>1639</v>
      </c>
      <c r="C783" s="1417" t="s">
        <v>7871</v>
      </c>
      <c r="D783" s="1665">
        <v>9068322850</v>
      </c>
      <c r="E783" s="1665">
        <v>8774129797</v>
      </c>
      <c r="F783" s="1665">
        <v>9068322850</v>
      </c>
      <c r="G783" s="1665">
        <v>8774129797</v>
      </c>
      <c r="H783" s="1665">
        <v>9068322850</v>
      </c>
      <c r="I783" s="1665">
        <v>8774129797</v>
      </c>
      <c r="J783" s="1665">
        <v>9068322850</v>
      </c>
      <c r="K783" s="1665">
        <v>8774129797</v>
      </c>
    </row>
    <row r="784" spans="1:11">
      <c r="A784" t="s">
        <v>3694</v>
      </c>
      <c r="B784" s="1417" t="s">
        <v>199</v>
      </c>
      <c r="C784" s="1417" t="s">
        <v>7872</v>
      </c>
      <c r="D784" s="1665">
        <v>279096130</v>
      </c>
      <c r="E784" s="1665">
        <v>266342808</v>
      </c>
      <c r="F784" s="1665">
        <v>279096130</v>
      </c>
      <c r="G784" s="1665">
        <v>266342808</v>
      </c>
      <c r="H784" s="1665">
        <v>279096130</v>
      </c>
      <c r="I784" s="1665">
        <v>266342808</v>
      </c>
      <c r="J784" s="1665">
        <v>279096130</v>
      </c>
      <c r="K784" s="1665">
        <v>266342808</v>
      </c>
    </row>
    <row r="785" spans="1:11">
      <c r="A785" t="s">
        <v>6063</v>
      </c>
      <c r="B785" s="1417" t="s">
        <v>572</v>
      </c>
      <c r="C785" s="1417" t="s">
        <v>7312</v>
      </c>
      <c r="D785" s="1665">
        <v>1282225905</v>
      </c>
      <c r="E785" s="1665">
        <v>1280735012</v>
      </c>
      <c r="F785" s="1665">
        <v>1282225905</v>
      </c>
      <c r="G785" s="1665">
        <v>1280735012</v>
      </c>
      <c r="H785" s="1665">
        <v>1282225905</v>
      </c>
      <c r="I785" s="1665">
        <v>1280735012</v>
      </c>
      <c r="J785" s="1665">
        <v>1282225905</v>
      </c>
      <c r="K785" s="1665">
        <v>1280735012</v>
      </c>
    </row>
    <row r="786" spans="1:11">
      <c r="A786" t="s">
        <v>6064</v>
      </c>
      <c r="B786" s="1417" t="s">
        <v>2181</v>
      </c>
      <c r="C786" s="1417" t="s">
        <v>7873</v>
      </c>
      <c r="D786" s="1665">
        <v>1313406012</v>
      </c>
      <c r="E786" s="1665">
        <v>1299059903</v>
      </c>
      <c r="F786" s="1665">
        <v>1313406012</v>
      </c>
      <c r="G786" s="1665">
        <v>1299059903</v>
      </c>
      <c r="H786" s="1665">
        <v>1313406012</v>
      </c>
      <c r="I786" s="1665">
        <v>1299059903</v>
      </c>
      <c r="J786" s="1665">
        <v>1313406012</v>
      </c>
      <c r="K786" s="1665">
        <v>1299059903</v>
      </c>
    </row>
    <row r="787" spans="1:11">
      <c r="A787" t="s">
        <v>3695</v>
      </c>
      <c r="B787" s="1417" t="s">
        <v>1468</v>
      </c>
      <c r="C787" s="1417" t="s">
        <v>7874</v>
      </c>
      <c r="D787" s="1665">
        <v>400324931</v>
      </c>
      <c r="E787" s="1665">
        <v>394897162</v>
      </c>
      <c r="F787" s="1665">
        <v>400324931</v>
      </c>
      <c r="G787" s="1665">
        <v>394897162</v>
      </c>
      <c r="H787" s="1665">
        <v>400324931</v>
      </c>
      <c r="I787" s="1665">
        <v>394897162</v>
      </c>
      <c r="J787" s="1665">
        <v>400324931</v>
      </c>
      <c r="K787" s="1665">
        <v>394897162</v>
      </c>
    </row>
    <row r="788" spans="1:11">
      <c r="A788" t="s">
        <v>3696</v>
      </c>
      <c r="B788" s="1417" t="s">
        <v>217</v>
      </c>
      <c r="C788" s="1417" t="s">
        <v>7875</v>
      </c>
      <c r="D788" s="1665">
        <v>187709156</v>
      </c>
      <c r="E788" s="1665">
        <v>180039260</v>
      </c>
      <c r="F788" s="1665">
        <v>187709156</v>
      </c>
      <c r="G788" s="1665">
        <v>180039260</v>
      </c>
      <c r="H788" s="1665">
        <v>187709156</v>
      </c>
      <c r="I788" s="1665">
        <v>180039260</v>
      </c>
      <c r="J788" s="1665">
        <v>187709156</v>
      </c>
      <c r="K788" s="1665">
        <v>180039260</v>
      </c>
    </row>
    <row r="789" spans="1:11">
      <c r="A789" t="s">
        <v>6065</v>
      </c>
      <c r="B789" s="1417" t="s">
        <v>1289</v>
      </c>
      <c r="C789" s="1417" t="s">
        <v>7876</v>
      </c>
      <c r="D789" s="1665">
        <v>633897582</v>
      </c>
      <c r="E789" s="1665">
        <v>608922494</v>
      </c>
      <c r="F789" s="1665">
        <v>633897582</v>
      </c>
      <c r="G789" s="1665">
        <v>608922494</v>
      </c>
      <c r="H789" s="1665">
        <v>633897582</v>
      </c>
      <c r="I789" s="1665">
        <v>608922494</v>
      </c>
      <c r="J789" s="1665">
        <v>633897582</v>
      </c>
      <c r="K789" s="1665">
        <v>608922494</v>
      </c>
    </row>
    <row r="790" spans="1:11">
      <c r="A790" t="s">
        <v>6066</v>
      </c>
      <c r="B790" s="1417" t="s">
        <v>1290</v>
      </c>
      <c r="C790" s="1417" t="s">
        <v>7877</v>
      </c>
      <c r="D790" s="1665">
        <v>5016155531</v>
      </c>
      <c r="E790" s="1665">
        <v>4892238234</v>
      </c>
      <c r="F790" s="1665">
        <v>5016155531</v>
      </c>
      <c r="G790" s="1665">
        <v>4892238234</v>
      </c>
      <c r="H790" s="1665">
        <v>5136456991</v>
      </c>
      <c r="I790" s="1665">
        <v>5012539694</v>
      </c>
      <c r="J790" s="1665">
        <v>5136456991</v>
      </c>
      <c r="K790" s="1665">
        <v>5012539694</v>
      </c>
    </row>
    <row r="791" spans="1:11">
      <c r="A791" t="s">
        <v>6067</v>
      </c>
      <c r="B791" s="1417" t="s">
        <v>2522</v>
      </c>
      <c r="C791" s="1417" t="s">
        <v>7878</v>
      </c>
      <c r="D791" s="1665">
        <v>2958886195</v>
      </c>
      <c r="E791" s="1665">
        <v>2953324076</v>
      </c>
      <c r="F791" s="1665">
        <v>2954558563</v>
      </c>
      <c r="G791" s="1665">
        <v>2948996444</v>
      </c>
      <c r="H791" s="1665">
        <v>3197083195</v>
      </c>
      <c r="I791" s="1665">
        <v>3191521076</v>
      </c>
      <c r="J791" s="1665">
        <v>3192755563</v>
      </c>
      <c r="K791" s="1665">
        <v>3187193444</v>
      </c>
    </row>
    <row r="792" spans="1:11">
      <c r="A792" t="s">
        <v>6068</v>
      </c>
      <c r="B792" s="1417" t="s">
        <v>792</v>
      </c>
      <c r="C792" s="1417" t="s">
        <v>7879</v>
      </c>
      <c r="D792" s="1665">
        <v>414530056</v>
      </c>
      <c r="E792" s="1665">
        <v>409421473</v>
      </c>
      <c r="F792" s="1665">
        <v>414530056</v>
      </c>
      <c r="G792" s="1665">
        <v>409421473</v>
      </c>
      <c r="H792" s="1665">
        <v>414530056</v>
      </c>
      <c r="I792" s="1665">
        <v>409421473</v>
      </c>
      <c r="J792" s="1665">
        <v>414530056</v>
      </c>
      <c r="K792" s="1665">
        <v>409421473</v>
      </c>
    </row>
    <row r="793" spans="1:11">
      <c r="A793" t="s">
        <v>6785</v>
      </c>
      <c r="B793" s="1417" t="s">
        <v>114</v>
      </c>
      <c r="C793" s="1417" t="s">
        <v>7880</v>
      </c>
      <c r="D793" s="1665">
        <v>54168880</v>
      </c>
      <c r="E793" s="1665">
        <v>50393791</v>
      </c>
      <c r="F793" s="1665">
        <v>54168880</v>
      </c>
      <c r="G793" s="1665">
        <v>50393791</v>
      </c>
      <c r="H793" s="1665">
        <v>54168880</v>
      </c>
      <c r="I793" s="1665">
        <v>50393791</v>
      </c>
      <c r="J793" s="1665">
        <v>54168880</v>
      </c>
      <c r="K793" s="1665">
        <v>50393791</v>
      </c>
    </row>
    <row r="794" spans="1:11">
      <c r="A794" t="s">
        <v>3697</v>
      </c>
      <c r="B794" s="1417" t="s">
        <v>2654</v>
      </c>
      <c r="C794" s="1417" t="s">
        <v>7881</v>
      </c>
      <c r="D794" s="1665">
        <v>223844498</v>
      </c>
      <c r="E794" s="1665">
        <v>215464404</v>
      </c>
      <c r="F794" s="1665">
        <v>223844498</v>
      </c>
      <c r="G794" s="1665">
        <v>215464404</v>
      </c>
      <c r="H794" s="1665">
        <v>223844498</v>
      </c>
      <c r="I794" s="1665">
        <v>215464404</v>
      </c>
      <c r="J794" s="1665">
        <v>223844498</v>
      </c>
      <c r="K794" s="1665">
        <v>215464404</v>
      </c>
    </row>
    <row r="795" spans="1:11">
      <c r="A795" t="s">
        <v>6786</v>
      </c>
      <c r="B795" s="1417" t="s">
        <v>2274</v>
      </c>
      <c r="C795" s="1417" t="s">
        <v>7882</v>
      </c>
      <c r="D795" s="1665">
        <v>225487819</v>
      </c>
      <c r="E795" s="1665">
        <v>213470519</v>
      </c>
      <c r="F795" s="1665">
        <v>225487819</v>
      </c>
      <c r="G795" s="1665">
        <v>213470519</v>
      </c>
      <c r="H795" s="1665">
        <v>225487819</v>
      </c>
      <c r="I795" s="1665">
        <v>213470519</v>
      </c>
      <c r="J795" s="1665">
        <v>225487819</v>
      </c>
      <c r="K795" s="1665">
        <v>213470519</v>
      </c>
    </row>
    <row r="796" spans="1:11">
      <c r="A796" t="s">
        <v>3698</v>
      </c>
      <c r="B796" s="1417" t="s">
        <v>377</v>
      </c>
      <c r="C796" s="1417" t="s">
        <v>7883</v>
      </c>
      <c r="D796" s="1665">
        <v>72700228</v>
      </c>
      <c r="E796" s="1665">
        <v>68044796</v>
      </c>
      <c r="F796" s="1665">
        <v>72700228</v>
      </c>
      <c r="G796" s="1665">
        <v>68044796</v>
      </c>
      <c r="H796" s="1665">
        <v>72700228</v>
      </c>
      <c r="I796" s="1665">
        <v>68044796</v>
      </c>
      <c r="J796" s="1665">
        <v>72700228</v>
      </c>
      <c r="K796" s="1665">
        <v>68044796</v>
      </c>
    </row>
    <row r="797" spans="1:11">
      <c r="A797" t="s">
        <v>6069</v>
      </c>
      <c r="B797" s="1417" t="s">
        <v>986</v>
      </c>
      <c r="C797" s="1417" t="s">
        <v>7884</v>
      </c>
      <c r="D797" s="1665">
        <v>12167667747</v>
      </c>
      <c r="E797" s="1665">
        <v>12146877782</v>
      </c>
      <c r="F797" s="1665">
        <v>12167667747</v>
      </c>
      <c r="G797" s="1665">
        <v>12146877782</v>
      </c>
      <c r="H797" s="1665">
        <v>12853069220</v>
      </c>
      <c r="I797" s="1665">
        <v>12832279255</v>
      </c>
      <c r="J797" s="1665">
        <v>12853069220</v>
      </c>
      <c r="K797" s="1665">
        <v>12832279255</v>
      </c>
    </row>
    <row r="798" spans="1:11">
      <c r="A798" t="s">
        <v>3699</v>
      </c>
      <c r="B798" s="1417" t="s">
        <v>1716</v>
      </c>
      <c r="C798" s="1417" t="s">
        <v>7885</v>
      </c>
      <c r="D798" s="1665">
        <v>105526727</v>
      </c>
      <c r="E798" s="1665">
        <v>104440633</v>
      </c>
      <c r="F798" s="1665">
        <v>105526727</v>
      </c>
      <c r="G798" s="1665">
        <v>104440633</v>
      </c>
      <c r="H798" s="1665">
        <v>105526727</v>
      </c>
      <c r="I798" s="1665">
        <v>104440633</v>
      </c>
      <c r="J798" s="1665">
        <v>105526727</v>
      </c>
      <c r="K798" s="1665">
        <v>104440633</v>
      </c>
    </row>
    <row r="799" spans="1:11">
      <c r="A799" t="s">
        <v>6070</v>
      </c>
      <c r="B799" s="1417" t="s">
        <v>695</v>
      </c>
      <c r="C799" s="1417" t="s">
        <v>7886</v>
      </c>
      <c r="D799" s="1665">
        <v>212682332</v>
      </c>
      <c r="E799" s="1665">
        <v>211046242</v>
      </c>
      <c r="F799" s="1665">
        <v>211475732</v>
      </c>
      <c r="G799" s="1665">
        <v>209839642</v>
      </c>
      <c r="H799" s="1665">
        <v>212682332</v>
      </c>
      <c r="I799" s="1665">
        <v>211046242</v>
      </c>
      <c r="J799" s="1665">
        <v>211475732</v>
      </c>
      <c r="K799" s="1665">
        <v>209839642</v>
      </c>
    </row>
    <row r="800" spans="1:11">
      <c r="A800" t="s">
        <v>6071</v>
      </c>
      <c r="B800" s="1417" t="s">
        <v>696</v>
      </c>
      <c r="C800" s="1417" t="s">
        <v>7887</v>
      </c>
      <c r="D800" s="1665">
        <v>281281597</v>
      </c>
      <c r="E800" s="1665">
        <v>275605327</v>
      </c>
      <c r="F800" s="1665">
        <v>281281597</v>
      </c>
      <c r="G800" s="1665">
        <v>275605327</v>
      </c>
      <c r="H800" s="1665">
        <v>281281597</v>
      </c>
      <c r="I800" s="1665">
        <v>275605327</v>
      </c>
      <c r="J800" s="1665">
        <v>281281597</v>
      </c>
      <c r="K800" s="1665">
        <v>275605327</v>
      </c>
    </row>
    <row r="801" spans="1:11">
      <c r="A801" t="s">
        <v>6072</v>
      </c>
      <c r="B801" s="1417" t="s">
        <v>697</v>
      </c>
      <c r="C801" s="1417" t="s">
        <v>7888</v>
      </c>
      <c r="D801" s="1665">
        <v>353996703</v>
      </c>
      <c r="E801" s="1665">
        <v>347062254</v>
      </c>
      <c r="F801" s="1665">
        <v>353996703</v>
      </c>
      <c r="G801" s="1665">
        <v>347062254</v>
      </c>
      <c r="H801" s="1665">
        <v>353996703</v>
      </c>
      <c r="I801" s="1665">
        <v>347062254</v>
      </c>
      <c r="J801" s="1665">
        <v>353996703</v>
      </c>
      <c r="K801" s="1665">
        <v>347062254</v>
      </c>
    </row>
    <row r="802" spans="1:11">
      <c r="A802" t="s">
        <v>6073</v>
      </c>
      <c r="B802" s="1417" t="s">
        <v>1457</v>
      </c>
      <c r="C802" s="1417" t="s">
        <v>7889</v>
      </c>
      <c r="D802" s="1665">
        <v>507799696</v>
      </c>
      <c r="E802" s="1665">
        <v>505807476</v>
      </c>
      <c r="F802" s="1665">
        <v>506801518</v>
      </c>
      <c r="G802" s="1665">
        <v>504809298</v>
      </c>
      <c r="H802" s="1665">
        <v>661817146</v>
      </c>
      <c r="I802" s="1665">
        <v>659824926</v>
      </c>
      <c r="J802" s="1665">
        <v>660818968</v>
      </c>
      <c r="K802" s="1665">
        <v>658826748</v>
      </c>
    </row>
    <row r="803" spans="1:11">
      <c r="A803" t="s">
        <v>6074</v>
      </c>
      <c r="B803" s="1417" t="s">
        <v>1458</v>
      </c>
      <c r="C803" s="1417" t="s">
        <v>7890</v>
      </c>
      <c r="D803" s="1665">
        <v>279160416</v>
      </c>
      <c r="E803" s="1665">
        <v>274200982</v>
      </c>
      <c r="F803" s="1665">
        <v>279160416</v>
      </c>
      <c r="G803" s="1665">
        <v>274200982</v>
      </c>
      <c r="H803" s="1665">
        <v>279160416</v>
      </c>
      <c r="I803" s="1665">
        <v>274200982</v>
      </c>
      <c r="J803" s="1665">
        <v>279160416</v>
      </c>
      <c r="K803" s="1665">
        <v>274200982</v>
      </c>
    </row>
    <row r="804" spans="1:11">
      <c r="A804" t="s">
        <v>6787</v>
      </c>
      <c r="B804" s="1417" t="s">
        <v>1459</v>
      </c>
      <c r="C804" s="1417" t="s">
        <v>7891</v>
      </c>
      <c r="D804" s="1665">
        <v>119352487</v>
      </c>
      <c r="E804" s="1665">
        <v>116645985</v>
      </c>
      <c r="F804" s="1665">
        <v>119352487</v>
      </c>
      <c r="G804" s="1665">
        <v>116645985</v>
      </c>
      <c r="H804" s="1665">
        <v>119352487</v>
      </c>
      <c r="I804" s="1665">
        <v>116645985</v>
      </c>
      <c r="J804" s="1665">
        <v>119352487</v>
      </c>
      <c r="K804" s="1665">
        <v>116645985</v>
      </c>
    </row>
    <row r="805" spans="1:11">
      <c r="A805" t="s">
        <v>6075</v>
      </c>
      <c r="B805" s="1417" t="s">
        <v>1460</v>
      </c>
      <c r="C805" s="1417" t="s">
        <v>7892</v>
      </c>
      <c r="D805" s="1665">
        <v>1711774039</v>
      </c>
      <c r="E805" s="1665">
        <v>1698921274</v>
      </c>
      <c r="F805" s="1665">
        <v>1711774039</v>
      </c>
      <c r="G805" s="1665">
        <v>1698921274</v>
      </c>
      <c r="H805" s="1665">
        <v>1711774039</v>
      </c>
      <c r="I805" s="1665">
        <v>1698921274</v>
      </c>
      <c r="J805" s="1665">
        <v>1711774039</v>
      </c>
      <c r="K805" s="1665">
        <v>1698921274</v>
      </c>
    </row>
    <row r="806" spans="1:11">
      <c r="A806" t="s">
        <v>6076</v>
      </c>
      <c r="B806" s="1417" t="s">
        <v>1461</v>
      </c>
      <c r="C806" s="1417" t="s">
        <v>7893</v>
      </c>
      <c r="D806" s="1665">
        <v>414521127</v>
      </c>
      <c r="E806" s="1665">
        <v>401763325</v>
      </c>
      <c r="F806" s="1665">
        <v>414521127</v>
      </c>
      <c r="G806" s="1665">
        <v>401763325</v>
      </c>
      <c r="H806" s="1665">
        <v>414521127</v>
      </c>
      <c r="I806" s="1665">
        <v>401763325</v>
      </c>
      <c r="J806" s="1665">
        <v>414521127</v>
      </c>
      <c r="K806" s="1665">
        <v>401763325</v>
      </c>
    </row>
    <row r="807" spans="1:11">
      <c r="A807" t="s">
        <v>6788</v>
      </c>
      <c r="B807" s="1417" t="s">
        <v>1462</v>
      </c>
      <c r="C807" s="1417" t="s">
        <v>7894</v>
      </c>
      <c r="D807" s="1665">
        <v>55824661</v>
      </c>
      <c r="E807" s="1665">
        <v>55546246</v>
      </c>
      <c r="F807" s="1665">
        <v>55824661</v>
      </c>
      <c r="G807" s="1665">
        <v>55546246</v>
      </c>
      <c r="H807" s="1665">
        <v>55824661</v>
      </c>
      <c r="I807" s="1665">
        <v>55546246</v>
      </c>
      <c r="J807" s="1665">
        <v>55824661</v>
      </c>
      <c r="K807" s="1665">
        <v>55546246</v>
      </c>
    </row>
    <row r="808" spans="1:11">
      <c r="A808" t="s">
        <v>6077</v>
      </c>
      <c r="B808" s="1417" t="s">
        <v>1672</v>
      </c>
      <c r="C808" s="1417" t="s">
        <v>7895</v>
      </c>
      <c r="D808" s="1665">
        <v>9710060720</v>
      </c>
      <c r="E808" s="1665">
        <v>9522067829</v>
      </c>
      <c r="F808" s="1665">
        <v>9710060720</v>
      </c>
      <c r="G808" s="1665">
        <v>9522067829</v>
      </c>
      <c r="H808" s="1665">
        <v>9710060720</v>
      </c>
      <c r="I808" s="1665">
        <v>9522067829</v>
      </c>
      <c r="J808" s="1665">
        <v>9710060720</v>
      </c>
      <c r="K808" s="1665">
        <v>9522067829</v>
      </c>
    </row>
    <row r="809" spans="1:11">
      <c r="A809" t="s">
        <v>3700</v>
      </c>
      <c r="B809" s="1417" t="s">
        <v>1812</v>
      </c>
      <c r="C809" s="1417" t="s">
        <v>7896</v>
      </c>
      <c r="D809" s="1665">
        <v>1991748031</v>
      </c>
      <c r="E809" s="1665">
        <v>1935233592</v>
      </c>
      <c r="F809" s="1665">
        <v>1991748031</v>
      </c>
      <c r="G809" s="1665">
        <v>1935233592</v>
      </c>
      <c r="H809" s="1665">
        <v>1991748031</v>
      </c>
      <c r="I809" s="1665">
        <v>1935233592</v>
      </c>
      <c r="J809" s="1665">
        <v>1991748031</v>
      </c>
      <c r="K809" s="1665">
        <v>1935233592</v>
      </c>
    </row>
    <row r="810" spans="1:11">
      <c r="A810" t="s">
        <v>6789</v>
      </c>
      <c r="B810" s="1417" t="s">
        <v>1673</v>
      </c>
      <c r="C810" s="1417" t="s">
        <v>7897</v>
      </c>
      <c r="D810" s="1665">
        <v>326772572</v>
      </c>
      <c r="E810" s="1665">
        <v>313937481</v>
      </c>
      <c r="F810" s="1665">
        <v>326772572</v>
      </c>
      <c r="G810" s="1665">
        <v>313937481</v>
      </c>
      <c r="H810" s="1665">
        <v>326772572</v>
      </c>
      <c r="I810" s="1665">
        <v>313937481</v>
      </c>
      <c r="J810" s="1665">
        <v>326772572</v>
      </c>
      <c r="K810" s="1665">
        <v>313937481</v>
      </c>
    </row>
    <row r="811" spans="1:11">
      <c r="A811" t="s">
        <v>3701</v>
      </c>
      <c r="B811" s="1417" t="s">
        <v>378</v>
      </c>
      <c r="C811" s="1417" t="s">
        <v>7898</v>
      </c>
      <c r="D811" s="1665">
        <v>98734157</v>
      </c>
      <c r="E811" s="1665">
        <v>94523517</v>
      </c>
      <c r="F811" s="1665">
        <v>98734157</v>
      </c>
      <c r="G811" s="1665">
        <v>94523517</v>
      </c>
      <c r="H811" s="1665">
        <v>98734157</v>
      </c>
      <c r="I811" s="1665">
        <v>94523517</v>
      </c>
      <c r="J811" s="1665">
        <v>98734157</v>
      </c>
      <c r="K811" s="1665">
        <v>94523517</v>
      </c>
    </row>
    <row r="812" spans="1:11">
      <c r="A812" t="s">
        <v>5403</v>
      </c>
      <c r="B812" s="1417" t="s">
        <v>1183</v>
      </c>
      <c r="C812" s="1417" t="s">
        <v>7899</v>
      </c>
      <c r="D812" s="1665">
        <v>215622356</v>
      </c>
      <c r="E812" s="1665">
        <v>207994804</v>
      </c>
      <c r="F812" s="1665">
        <v>215622356</v>
      </c>
      <c r="G812" s="1665">
        <v>207994804</v>
      </c>
      <c r="H812" s="1665">
        <v>215622356</v>
      </c>
      <c r="I812" s="1665">
        <v>207994804</v>
      </c>
      <c r="J812" s="1665">
        <v>215622356</v>
      </c>
      <c r="K812" s="1665">
        <v>207994804</v>
      </c>
    </row>
    <row r="813" spans="1:11">
      <c r="A813" t="s">
        <v>3702</v>
      </c>
      <c r="B813" s="1417" t="s">
        <v>379</v>
      </c>
      <c r="C813" s="1417" t="s">
        <v>7900</v>
      </c>
      <c r="D813" s="1665">
        <v>10873912</v>
      </c>
      <c r="E813" s="1665">
        <v>10580162</v>
      </c>
      <c r="F813" s="1665">
        <v>10873912</v>
      </c>
      <c r="G813" s="1665">
        <v>10580162</v>
      </c>
      <c r="H813" s="1665">
        <v>10873912</v>
      </c>
      <c r="I813" s="1665">
        <v>10580162</v>
      </c>
      <c r="J813" s="1665">
        <v>10873912</v>
      </c>
      <c r="K813" s="1665">
        <v>10580162</v>
      </c>
    </row>
    <row r="814" spans="1:11">
      <c r="A814" t="s">
        <v>6078</v>
      </c>
      <c r="B814" s="1417" t="s">
        <v>1674</v>
      </c>
      <c r="C814" s="1417" t="s">
        <v>7901</v>
      </c>
      <c r="D814" s="1665">
        <v>1531994914</v>
      </c>
      <c r="E814" s="1665">
        <v>1531994914</v>
      </c>
      <c r="F814" s="1665">
        <v>1474717554</v>
      </c>
      <c r="G814" s="1665">
        <v>1474717554</v>
      </c>
      <c r="H814" s="1665">
        <v>1531994914</v>
      </c>
      <c r="I814" s="1665">
        <v>1531994914</v>
      </c>
      <c r="J814" s="1665">
        <v>1474717554</v>
      </c>
      <c r="K814" s="1665">
        <v>1474717554</v>
      </c>
    </row>
    <row r="815" spans="1:11">
      <c r="A815" t="s">
        <v>6790</v>
      </c>
      <c r="B815" s="1417" t="s">
        <v>1675</v>
      </c>
      <c r="C815" s="1417" t="s">
        <v>7902</v>
      </c>
      <c r="D815" s="1665">
        <v>90610270</v>
      </c>
      <c r="E815" s="1665">
        <v>90610270</v>
      </c>
      <c r="F815" s="1665">
        <v>86959110</v>
      </c>
      <c r="G815" s="1665">
        <v>86959110</v>
      </c>
      <c r="H815" s="1665">
        <v>90610270</v>
      </c>
      <c r="I815" s="1665">
        <v>90610270</v>
      </c>
      <c r="J815" s="1665">
        <v>86959110</v>
      </c>
      <c r="K815" s="1665">
        <v>86959110</v>
      </c>
    </row>
    <row r="816" spans="1:11">
      <c r="A816" t="s">
        <v>6791</v>
      </c>
      <c r="B816" s="1417" t="s">
        <v>1676</v>
      </c>
      <c r="C816" s="1417" t="s">
        <v>7903</v>
      </c>
      <c r="D816" s="1665">
        <v>30687149</v>
      </c>
      <c r="E816" s="1665">
        <v>30687149</v>
      </c>
      <c r="F816" s="1665">
        <v>29510164</v>
      </c>
      <c r="G816" s="1665">
        <v>29510164</v>
      </c>
      <c r="H816" s="1665">
        <v>30687149</v>
      </c>
      <c r="I816" s="1665">
        <v>30687149</v>
      </c>
      <c r="J816" s="1665">
        <v>29510164</v>
      </c>
      <c r="K816" s="1665">
        <v>29510164</v>
      </c>
    </row>
    <row r="817" spans="1:11">
      <c r="A817" t="s">
        <v>5407</v>
      </c>
      <c r="B817" s="1417" t="s">
        <v>2470</v>
      </c>
      <c r="C817" s="1417" t="s">
        <v>7904</v>
      </c>
      <c r="D817" s="1665">
        <v>61582433</v>
      </c>
      <c r="E817" s="1665">
        <v>61582433</v>
      </c>
      <c r="F817" s="1665">
        <v>57459623</v>
      </c>
      <c r="G817" s="1665">
        <v>57459623</v>
      </c>
      <c r="H817" s="1665">
        <v>61582433</v>
      </c>
      <c r="I817" s="1665">
        <v>61582433</v>
      </c>
      <c r="J817" s="1665">
        <v>57459623</v>
      </c>
      <c r="K817" s="1665">
        <v>57459623</v>
      </c>
    </row>
    <row r="818" spans="1:11">
      <c r="A818" t="s">
        <v>3703</v>
      </c>
      <c r="B818" s="1417" t="s">
        <v>2471</v>
      </c>
      <c r="C818" s="1417" t="s">
        <v>7905</v>
      </c>
      <c r="D818" s="1665">
        <v>75215511</v>
      </c>
      <c r="E818" s="1665">
        <v>75215511</v>
      </c>
      <c r="F818" s="1665">
        <v>70489801</v>
      </c>
      <c r="G818" s="1665">
        <v>70489801</v>
      </c>
      <c r="H818" s="1665">
        <v>75215511</v>
      </c>
      <c r="I818" s="1665">
        <v>75215511</v>
      </c>
      <c r="J818" s="1665">
        <v>70489801</v>
      </c>
      <c r="K818" s="1665">
        <v>70489801</v>
      </c>
    </row>
    <row r="819" spans="1:11">
      <c r="A819" t="s">
        <v>6079</v>
      </c>
      <c r="B819" s="1417" t="s">
        <v>1677</v>
      </c>
      <c r="C819" s="1417" t="s">
        <v>7906</v>
      </c>
      <c r="D819" s="1665">
        <v>820098059</v>
      </c>
      <c r="E819" s="1665">
        <v>819635289</v>
      </c>
      <c r="F819" s="1665">
        <v>802267419</v>
      </c>
      <c r="G819" s="1665">
        <v>801804649</v>
      </c>
      <c r="H819" s="1665">
        <v>820098059</v>
      </c>
      <c r="I819" s="1665">
        <v>819635289</v>
      </c>
      <c r="J819" s="1665">
        <v>802267419</v>
      </c>
      <c r="K819" s="1665">
        <v>801804649</v>
      </c>
    </row>
    <row r="820" spans="1:11">
      <c r="A820" t="s">
        <v>3704</v>
      </c>
      <c r="B820" s="1417" t="s">
        <v>190</v>
      </c>
      <c r="C820" s="1417" t="s">
        <v>7907</v>
      </c>
      <c r="D820" s="1665">
        <v>128337246</v>
      </c>
      <c r="E820" s="1665">
        <v>126963780</v>
      </c>
      <c r="F820" s="1665">
        <v>123797394</v>
      </c>
      <c r="G820" s="1665">
        <v>122423928</v>
      </c>
      <c r="H820" s="1665">
        <v>128337246</v>
      </c>
      <c r="I820" s="1665">
        <v>126963780</v>
      </c>
      <c r="J820" s="1665">
        <v>123797394</v>
      </c>
      <c r="K820" s="1665">
        <v>122423928</v>
      </c>
    </row>
    <row r="821" spans="1:11">
      <c r="A821" t="s">
        <v>6080</v>
      </c>
      <c r="B821" s="1417" t="s">
        <v>1678</v>
      </c>
      <c r="C821" s="1417" t="s">
        <v>7908</v>
      </c>
      <c r="D821" s="1665">
        <v>363511121</v>
      </c>
      <c r="E821" s="1665">
        <v>363511121</v>
      </c>
      <c r="F821" s="1665">
        <v>352668746</v>
      </c>
      <c r="G821" s="1665">
        <v>352668746</v>
      </c>
      <c r="H821" s="1665">
        <v>363511121</v>
      </c>
      <c r="I821" s="1665">
        <v>363511121</v>
      </c>
      <c r="J821" s="1665">
        <v>352668746</v>
      </c>
      <c r="K821" s="1665">
        <v>352668746</v>
      </c>
    </row>
    <row r="822" spans="1:11">
      <c r="A822" t="s">
        <v>6792</v>
      </c>
      <c r="B822" s="1417" t="s">
        <v>1395</v>
      </c>
      <c r="C822" s="1417" t="s">
        <v>7909</v>
      </c>
      <c r="D822" s="1665">
        <v>629955475</v>
      </c>
      <c r="E822" s="1665">
        <v>608656144</v>
      </c>
      <c r="F822" s="1665">
        <v>629955475</v>
      </c>
      <c r="G822" s="1665">
        <v>608656144</v>
      </c>
      <c r="H822" s="1665">
        <v>629955475</v>
      </c>
      <c r="I822" s="1665">
        <v>608656144</v>
      </c>
      <c r="J822" s="1665">
        <v>629955475</v>
      </c>
      <c r="K822" s="1665">
        <v>608656144</v>
      </c>
    </row>
    <row r="823" spans="1:11">
      <c r="A823" t="s">
        <v>3705</v>
      </c>
      <c r="B823" s="1417" t="s">
        <v>1396</v>
      </c>
      <c r="C823" s="1417" t="s">
        <v>7910</v>
      </c>
      <c r="D823" s="1665">
        <v>130458850</v>
      </c>
      <c r="E823" s="1665">
        <v>125274692</v>
      </c>
      <c r="F823" s="1665">
        <v>126700858</v>
      </c>
      <c r="G823" s="1665">
        <v>121516700</v>
      </c>
      <c r="H823" s="1665">
        <v>130458850</v>
      </c>
      <c r="I823" s="1665">
        <v>125274692</v>
      </c>
      <c r="J823" s="1665">
        <v>126700858</v>
      </c>
      <c r="K823" s="1665">
        <v>121516700</v>
      </c>
    </row>
    <row r="824" spans="1:11">
      <c r="A824" t="s">
        <v>3706</v>
      </c>
      <c r="B824" s="1417" t="s">
        <v>1397</v>
      </c>
      <c r="C824" s="1417" t="s">
        <v>7911</v>
      </c>
      <c r="D824" s="1665">
        <v>379895256</v>
      </c>
      <c r="E824" s="1665">
        <v>371776446</v>
      </c>
      <c r="F824" s="1665">
        <v>379895256</v>
      </c>
      <c r="G824" s="1665">
        <v>371776446</v>
      </c>
      <c r="H824" s="1665">
        <v>379895256</v>
      </c>
      <c r="I824" s="1665">
        <v>371776446</v>
      </c>
      <c r="J824" s="1665">
        <v>379895256</v>
      </c>
      <c r="K824" s="1665">
        <v>371776446</v>
      </c>
    </row>
    <row r="825" spans="1:11">
      <c r="A825" t="s">
        <v>6793</v>
      </c>
      <c r="B825" s="1417" t="s">
        <v>1632</v>
      </c>
      <c r="C825" s="1417" t="s">
        <v>7912</v>
      </c>
      <c r="D825" s="1665">
        <v>397686125</v>
      </c>
      <c r="E825" s="1665">
        <v>392135875</v>
      </c>
      <c r="F825" s="1665">
        <v>397686125</v>
      </c>
      <c r="G825" s="1665">
        <v>392135875</v>
      </c>
      <c r="H825" s="1665">
        <v>397686125</v>
      </c>
      <c r="I825" s="1665">
        <v>392135875</v>
      </c>
      <c r="J825" s="1665">
        <v>397686125</v>
      </c>
      <c r="K825" s="1665">
        <v>392135875</v>
      </c>
    </row>
    <row r="826" spans="1:11">
      <c r="A826" t="s">
        <v>6081</v>
      </c>
      <c r="B826" s="1417" t="s">
        <v>1633</v>
      </c>
      <c r="C826" s="1417" t="s">
        <v>7913</v>
      </c>
      <c r="D826" s="1665">
        <v>1271949220</v>
      </c>
      <c r="E826" s="1665">
        <v>1238050565</v>
      </c>
      <c r="F826" s="1665">
        <v>1271949220</v>
      </c>
      <c r="G826" s="1665">
        <v>1238050565</v>
      </c>
      <c r="H826" s="1665">
        <v>1271949220</v>
      </c>
      <c r="I826" s="1665">
        <v>1238050565</v>
      </c>
      <c r="J826" s="1665">
        <v>1271949220</v>
      </c>
      <c r="K826" s="1665">
        <v>1238050565</v>
      </c>
    </row>
    <row r="827" spans="1:11">
      <c r="A827" t="s">
        <v>3707</v>
      </c>
      <c r="B827" s="1417" t="s">
        <v>2433</v>
      </c>
      <c r="C827" s="1417" t="s">
        <v>7914</v>
      </c>
      <c r="D827" s="1665">
        <v>391607886</v>
      </c>
      <c r="E827" s="1665">
        <v>377280758</v>
      </c>
      <c r="F827" s="1665">
        <v>391607886</v>
      </c>
      <c r="G827" s="1665">
        <v>377280758</v>
      </c>
      <c r="H827" s="1665">
        <v>391607886</v>
      </c>
      <c r="I827" s="1665">
        <v>377280758</v>
      </c>
      <c r="J827" s="1665">
        <v>391607886</v>
      </c>
      <c r="K827" s="1665">
        <v>377280758</v>
      </c>
    </row>
    <row r="828" spans="1:11">
      <c r="A828" t="s">
        <v>3708</v>
      </c>
      <c r="B828" s="1417" t="s">
        <v>1215</v>
      </c>
      <c r="C828" s="1417" t="s">
        <v>7915</v>
      </c>
      <c r="D828" s="1665">
        <v>694668678</v>
      </c>
      <c r="E828" s="1665">
        <v>675348945</v>
      </c>
      <c r="F828" s="1665">
        <v>694668678</v>
      </c>
      <c r="G828" s="1665">
        <v>675348945</v>
      </c>
      <c r="H828" s="1665">
        <v>694668678</v>
      </c>
      <c r="I828" s="1665">
        <v>675348945</v>
      </c>
      <c r="J828" s="1665">
        <v>694668678</v>
      </c>
      <c r="K828" s="1665">
        <v>675348945</v>
      </c>
    </row>
    <row r="829" spans="1:11">
      <c r="A829" t="s">
        <v>6082</v>
      </c>
      <c r="B829" s="1417" t="s">
        <v>2434</v>
      </c>
      <c r="C829" s="1417" t="s">
        <v>7916</v>
      </c>
      <c r="D829" s="1665">
        <v>2062256331</v>
      </c>
      <c r="E829" s="1665">
        <v>2020538494</v>
      </c>
      <c r="F829" s="1665">
        <v>2062256331</v>
      </c>
      <c r="G829" s="1665">
        <v>2020538494</v>
      </c>
      <c r="H829" s="1665">
        <v>5162845501</v>
      </c>
      <c r="I829" s="1665">
        <v>5121127664</v>
      </c>
      <c r="J829" s="1665">
        <v>5162845501</v>
      </c>
      <c r="K829" s="1665">
        <v>5121127664</v>
      </c>
    </row>
    <row r="830" spans="1:11">
      <c r="A830" t="s">
        <v>6083</v>
      </c>
      <c r="B830" s="1417" t="s">
        <v>1454</v>
      </c>
      <c r="C830" s="1417" t="s">
        <v>7917</v>
      </c>
      <c r="D830" s="1665">
        <v>2032516404</v>
      </c>
      <c r="E830" s="1665">
        <v>2012575571</v>
      </c>
      <c r="F830" s="1665">
        <v>2032516404</v>
      </c>
      <c r="G830" s="1665">
        <v>2012575571</v>
      </c>
      <c r="H830" s="1665">
        <v>3019549224</v>
      </c>
      <c r="I830" s="1665">
        <v>2999608391</v>
      </c>
      <c r="J830" s="1665">
        <v>3019549224</v>
      </c>
      <c r="K830" s="1665">
        <v>2999608391</v>
      </c>
    </row>
    <row r="831" spans="1:11">
      <c r="A831" t="s">
        <v>3709</v>
      </c>
      <c r="B831" s="1417" t="s">
        <v>2527</v>
      </c>
      <c r="C831" s="1417" t="s">
        <v>7918</v>
      </c>
      <c r="D831" s="1665">
        <v>358644765</v>
      </c>
      <c r="E831" s="1665">
        <v>343034325</v>
      </c>
      <c r="F831" s="1665">
        <v>358644765</v>
      </c>
      <c r="G831" s="1665">
        <v>343034325</v>
      </c>
      <c r="H831" s="1665">
        <v>358644765</v>
      </c>
      <c r="I831" s="1665">
        <v>343034325</v>
      </c>
      <c r="J831" s="1665">
        <v>358644765</v>
      </c>
      <c r="K831" s="1665">
        <v>343034325</v>
      </c>
    </row>
    <row r="832" spans="1:11">
      <c r="A832" t="s">
        <v>3710</v>
      </c>
      <c r="B832" s="1417" t="s">
        <v>1411</v>
      </c>
      <c r="C832" s="1417" t="s">
        <v>7919</v>
      </c>
      <c r="D832" s="1665">
        <v>286009706</v>
      </c>
      <c r="E832" s="1665">
        <v>275640224</v>
      </c>
      <c r="F832" s="1665">
        <v>286009706</v>
      </c>
      <c r="G832" s="1665">
        <v>275640224</v>
      </c>
      <c r="H832" s="1665">
        <v>320149906</v>
      </c>
      <c r="I832" s="1665">
        <v>309780424</v>
      </c>
      <c r="J832" s="1665">
        <v>320149906</v>
      </c>
      <c r="K832" s="1665">
        <v>309780424</v>
      </c>
    </row>
    <row r="833" spans="1:11">
      <c r="A833" t="s">
        <v>3711</v>
      </c>
      <c r="B833" s="1417" t="s">
        <v>1317</v>
      </c>
      <c r="C833" s="1417" t="s">
        <v>7920</v>
      </c>
      <c r="D833" s="1665">
        <v>530803350</v>
      </c>
      <c r="E833" s="1665">
        <v>514046286</v>
      </c>
      <c r="F833" s="1665">
        <v>530803350</v>
      </c>
      <c r="G833" s="1665">
        <v>514046286</v>
      </c>
      <c r="H833" s="1665">
        <v>575129750</v>
      </c>
      <c r="I833" s="1665">
        <v>558372686</v>
      </c>
      <c r="J833" s="1665">
        <v>575129750</v>
      </c>
      <c r="K833" s="1665">
        <v>558372686</v>
      </c>
    </row>
    <row r="834" spans="1:11">
      <c r="A834" t="s">
        <v>3712</v>
      </c>
      <c r="B834" s="1417" t="s">
        <v>191</v>
      </c>
      <c r="C834" s="1417" t="s">
        <v>7921</v>
      </c>
      <c r="D834" s="1665">
        <v>353145946</v>
      </c>
      <c r="E834" s="1665">
        <v>343949350</v>
      </c>
      <c r="F834" s="1665">
        <v>353145946</v>
      </c>
      <c r="G834" s="1665">
        <v>343949350</v>
      </c>
      <c r="H834" s="1665">
        <v>524042846</v>
      </c>
      <c r="I834" s="1665">
        <v>514846250</v>
      </c>
      <c r="J834" s="1665">
        <v>524042846</v>
      </c>
      <c r="K834" s="1665">
        <v>514846250</v>
      </c>
    </row>
    <row r="835" spans="1:11">
      <c r="A835" t="s">
        <v>3713</v>
      </c>
      <c r="B835" s="1417" t="s">
        <v>489</v>
      </c>
      <c r="C835" s="1417" t="s">
        <v>7922</v>
      </c>
      <c r="D835" s="1665">
        <v>279916672</v>
      </c>
      <c r="E835" s="1665">
        <v>270431822</v>
      </c>
      <c r="F835" s="1665">
        <v>279916672</v>
      </c>
      <c r="G835" s="1665">
        <v>270431822</v>
      </c>
      <c r="H835" s="1665">
        <v>279916672</v>
      </c>
      <c r="I835" s="1665">
        <v>270431822</v>
      </c>
      <c r="J835" s="1665">
        <v>279916672</v>
      </c>
      <c r="K835" s="1665">
        <v>270431822</v>
      </c>
    </row>
    <row r="836" spans="1:11">
      <c r="A836" t="s">
        <v>6794</v>
      </c>
      <c r="B836" s="1417" t="s">
        <v>1455</v>
      </c>
      <c r="C836" s="1417" t="s">
        <v>7923</v>
      </c>
      <c r="D836" s="1665">
        <v>91014012</v>
      </c>
      <c r="E836" s="1665">
        <v>88764242</v>
      </c>
      <c r="F836" s="1665">
        <v>91014012</v>
      </c>
      <c r="G836" s="1665">
        <v>88764242</v>
      </c>
      <c r="H836" s="1665">
        <v>91014012</v>
      </c>
      <c r="I836" s="1665">
        <v>88764242</v>
      </c>
      <c r="J836" s="1665">
        <v>91014012</v>
      </c>
      <c r="K836" s="1665">
        <v>88764242</v>
      </c>
    </row>
    <row r="837" spans="1:11">
      <c r="A837" t="s">
        <v>6795</v>
      </c>
      <c r="B837" s="1417" t="s">
        <v>1456</v>
      </c>
      <c r="C837" s="1417" t="s">
        <v>7924</v>
      </c>
      <c r="D837" s="1665">
        <v>64027517</v>
      </c>
      <c r="E837" s="1665">
        <v>62458597</v>
      </c>
      <c r="F837" s="1665">
        <v>64027517</v>
      </c>
      <c r="G837" s="1665">
        <v>62458597</v>
      </c>
      <c r="H837" s="1665">
        <v>64027517</v>
      </c>
      <c r="I837" s="1665">
        <v>62458597</v>
      </c>
      <c r="J837" s="1665">
        <v>64027517</v>
      </c>
      <c r="K837" s="1665">
        <v>62458597</v>
      </c>
    </row>
    <row r="838" spans="1:11">
      <c r="A838" t="s">
        <v>6796</v>
      </c>
      <c r="B838" s="1417" t="s">
        <v>1377</v>
      </c>
      <c r="C838" s="1417" t="s">
        <v>7925</v>
      </c>
      <c r="D838" s="1665">
        <v>277016000</v>
      </c>
      <c r="E838" s="1665">
        <v>271925959</v>
      </c>
      <c r="F838" s="1665">
        <v>273386783</v>
      </c>
      <c r="G838" s="1665">
        <v>268296742</v>
      </c>
      <c r="H838" s="1665">
        <v>277956360</v>
      </c>
      <c r="I838" s="1665">
        <v>272866319</v>
      </c>
      <c r="J838" s="1665">
        <v>274327143</v>
      </c>
      <c r="K838" s="1665">
        <v>269237102</v>
      </c>
    </row>
    <row r="839" spans="1:11">
      <c r="A839" t="s">
        <v>6084</v>
      </c>
      <c r="B839" s="1417" t="s">
        <v>1378</v>
      </c>
      <c r="C839" s="1417" t="s">
        <v>7926</v>
      </c>
      <c r="D839" s="1665">
        <v>193243545</v>
      </c>
      <c r="E839" s="1665">
        <v>191542584</v>
      </c>
      <c r="F839" s="1665">
        <v>193243545</v>
      </c>
      <c r="G839" s="1665">
        <v>191542584</v>
      </c>
      <c r="H839" s="1665">
        <v>282019775</v>
      </c>
      <c r="I839" s="1665">
        <v>280318814</v>
      </c>
      <c r="J839" s="1665">
        <v>282019775</v>
      </c>
      <c r="K839" s="1665">
        <v>280318814</v>
      </c>
    </row>
    <row r="840" spans="1:11">
      <c r="A840" t="s">
        <v>6085</v>
      </c>
      <c r="B840" s="1417" t="s">
        <v>1379</v>
      </c>
      <c r="C840" s="1417" t="s">
        <v>7927</v>
      </c>
      <c r="D840" s="1665">
        <v>2233564879</v>
      </c>
      <c r="E840" s="1665">
        <v>2203029355</v>
      </c>
      <c r="F840" s="1665">
        <v>2233564879</v>
      </c>
      <c r="G840" s="1665">
        <v>2203029355</v>
      </c>
      <c r="H840" s="1665">
        <v>2637520879</v>
      </c>
      <c r="I840" s="1665">
        <v>2606985355</v>
      </c>
      <c r="J840" s="1665">
        <v>2637520879</v>
      </c>
      <c r="K840" s="1665">
        <v>2606985355</v>
      </c>
    </row>
    <row r="841" spans="1:11">
      <c r="A841" t="s">
        <v>6086</v>
      </c>
      <c r="B841" s="1417" t="s">
        <v>1473</v>
      </c>
      <c r="C841" s="1417" t="s">
        <v>7928</v>
      </c>
      <c r="D841" s="1665">
        <v>136944960</v>
      </c>
      <c r="E841" s="1665">
        <v>135139547</v>
      </c>
      <c r="F841" s="1665">
        <v>136944960</v>
      </c>
      <c r="G841" s="1665">
        <v>135139547</v>
      </c>
      <c r="H841" s="1665">
        <v>136944960</v>
      </c>
      <c r="I841" s="1665">
        <v>135139547</v>
      </c>
      <c r="J841" s="1665">
        <v>136944960</v>
      </c>
      <c r="K841" s="1665">
        <v>135139547</v>
      </c>
    </row>
    <row r="842" spans="1:11">
      <c r="A842" t="s">
        <v>6797</v>
      </c>
      <c r="B842" s="1417" t="s">
        <v>961</v>
      </c>
      <c r="C842" s="1417" t="s">
        <v>7929</v>
      </c>
      <c r="D842" s="1665">
        <v>367069613</v>
      </c>
      <c r="E842" s="1665">
        <v>360847877</v>
      </c>
      <c r="F842" s="1665">
        <v>367069613</v>
      </c>
      <c r="G842" s="1665">
        <v>360847877</v>
      </c>
      <c r="H842" s="1665">
        <v>367069613</v>
      </c>
      <c r="I842" s="1665">
        <v>360847877</v>
      </c>
      <c r="J842" s="1665">
        <v>367069613</v>
      </c>
      <c r="K842" s="1665">
        <v>360847877</v>
      </c>
    </row>
    <row r="843" spans="1:11">
      <c r="A843" t="s">
        <v>6798</v>
      </c>
      <c r="B843" s="1417" t="s">
        <v>962</v>
      </c>
      <c r="C843" s="1417" t="s">
        <v>7930</v>
      </c>
      <c r="D843" s="1665">
        <v>64439826</v>
      </c>
      <c r="E843" s="1665">
        <v>63562083</v>
      </c>
      <c r="F843" s="1665">
        <v>64439826</v>
      </c>
      <c r="G843" s="1665">
        <v>63562083</v>
      </c>
      <c r="H843" s="1665">
        <v>64439826</v>
      </c>
      <c r="I843" s="1665">
        <v>63562083</v>
      </c>
      <c r="J843" s="1665">
        <v>64439826</v>
      </c>
      <c r="K843" s="1665">
        <v>63562083</v>
      </c>
    </row>
    <row r="844" spans="1:11">
      <c r="A844" t="s">
        <v>3714</v>
      </c>
      <c r="B844" s="1417" t="s">
        <v>963</v>
      </c>
      <c r="C844" s="1417" t="s">
        <v>7931</v>
      </c>
      <c r="D844" s="1665">
        <v>572887426</v>
      </c>
      <c r="E844" s="1665">
        <v>556947384</v>
      </c>
      <c r="F844" s="1665">
        <v>555340798</v>
      </c>
      <c r="G844" s="1665">
        <v>539400756</v>
      </c>
      <c r="H844" s="1665">
        <v>572887426</v>
      </c>
      <c r="I844" s="1665">
        <v>556947384</v>
      </c>
      <c r="J844" s="1665">
        <v>555340798</v>
      </c>
      <c r="K844" s="1665">
        <v>539400756</v>
      </c>
    </row>
    <row r="845" spans="1:11">
      <c r="A845" t="s">
        <v>6087</v>
      </c>
      <c r="B845" s="1417" t="s">
        <v>1089</v>
      </c>
      <c r="C845" s="1417" t="s">
        <v>7932</v>
      </c>
      <c r="D845" s="1665">
        <v>188894098</v>
      </c>
      <c r="E845" s="1665">
        <v>182888227</v>
      </c>
      <c r="F845" s="1665">
        <v>182683549</v>
      </c>
      <c r="G845" s="1665">
        <v>176677678</v>
      </c>
      <c r="H845" s="1665">
        <v>188894098</v>
      </c>
      <c r="I845" s="1665">
        <v>182888227</v>
      </c>
      <c r="J845" s="1665">
        <v>182683549</v>
      </c>
      <c r="K845" s="1665">
        <v>176677678</v>
      </c>
    </row>
    <row r="846" spans="1:11">
      <c r="A846" t="s">
        <v>3715</v>
      </c>
      <c r="B846" s="1417" t="s">
        <v>192</v>
      </c>
      <c r="C846" s="1417" t="s">
        <v>7933</v>
      </c>
      <c r="D846" s="1665">
        <v>226513942</v>
      </c>
      <c r="E846" s="1665">
        <v>220805163</v>
      </c>
      <c r="F846" s="1665">
        <v>226513942</v>
      </c>
      <c r="G846" s="1665">
        <v>220805163</v>
      </c>
      <c r="H846" s="1665">
        <v>226513942</v>
      </c>
      <c r="I846" s="1665">
        <v>220805163</v>
      </c>
      <c r="J846" s="1665">
        <v>226513942</v>
      </c>
      <c r="K846" s="1665">
        <v>220805163</v>
      </c>
    </row>
    <row r="847" spans="1:11">
      <c r="A847" t="s">
        <v>6088</v>
      </c>
      <c r="B847" s="1417" t="s">
        <v>1090</v>
      </c>
      <c r="C847" s="1417" t="s">
        <v>7934</v>
      </c>
      <c r="D847" s="1665">
        <v>107186868</v>
      </c>
      <c r="E847" s="1665">
        <v>104172726</v>
      </c>
      <c r="F847" s="1665">
        <v>107186868</v>
      </c>
      <c r="G847" s="1665">
        <v>104172726</v>
      </c>
      <c r="H847" s="1665">
        <v>107186868</v>
      </c>
      <c r="I847" s="1665">
        <v>104172726</v>
      </c>
      <c r="J847" s="1665">
        <v>107186868</v>
      </c>
      <c r="K847" s="1665">
        <v>104172726</v>
      </c>
    </row>
    <row r="848" spans="1:11">
      <c r="A848" t="s">
        <v>6799</v>
      </c>
      <c r="B848" s="1417" t="s">
        <v>1091</v>
      </c>
      <c r="C848" s="1417" t="s">
        <v>7935</v>
      </c>
      <c r="D848" s="1665">
        <v>142315015</v>
      </c>
      <c r="E848" s="1665">
        <v>136577843</v>
      </c>
      <c r="F848" s="1665">
        <v>136480276</v>
      </c>
      <c r="G848" s="1665">
        <v>130743104</v>
      </c>
      <c r="H848" s="1665">
        <v>142315015</v>
      </c>
      <c r="I848" s="1665">
        <v>136577843</v>
      </c>
      <c r="J848" s="1665">
        <v>136480276</v>
      </c>
      <c r="K848" s="1665">
        <v>130743104</v>
      </c>
    </row>
    <row r="849" spans="1:11">
      <c r="A849" t="s">
        <v>6800</v>
      </c>
      <c r="B849" s="1417" t="s">
        <v>1238</v>
      </c>
      <c r="C849" s="1417" t="s">
        <v>7936</v>
      </c>
      <c r="D849" s="1665">
        <v>42433200</v>
      </c>
      <c r="E849" s="1665">
        <v>41669046</v>
      </c>
      <c r="F849" s="1665">
        <v>42433200</v>
      </c>
      <c r="G849" s="1665">
        <v>41669046</v>
      </c>
      <c r="H849" s="1665">
        <v>42433200</v>
      </c>
      <c r="I849" s="1665">
        <v>41669046</v>
      </c>
      <c r="J849" s="1665">
        <v>42433200</v>
      </c>
      <c r="K849" s="1665">
        <v>41669046</v>
      </c>
    </row>
    <row r="850" spans="1:11">
      <c r="A850" t="s">
        <v>6089</v>
      </c>
      <c r="B850" s="1417" t="s">
        <v>1239</v>
      </c>
      <c r="C850" s="1417" t="s">
        <v>7937</v>
      </c>
      <c r="D850" s="1665">
        <v>93338379</v>
      </c>
      <c r="E850" s="1665">
        <v>92364899</v>
      </c>
      <c r="F850" s="1665">
        <v>93338379</v>
      </c>
      <c r="G850" s="1665">
        <v>92364899</v>
      </c>
      <c r="H850" s="1665">
        <v>93338379</v>
      </c>
      <c r="I850" s="1665">
        <v>92364899</v>
      </c>
      <c r="J850" s="1665">
        <v>93338379</v>
      </c>
      <c r="K850" s="1665">
        <v>92364899</v>
      </c>
    </row>
    <row r="851" spans="1:11">
      <c r="A851" t="s">
        <v>6801</v>
      </c>
      <c r="B851" s="1417" t="s">
        <v>1801</v>
      </c>
      <c r="C851" s="1417" t="s">
        <v>7938</v>
      </c>
      <c r="D851" s="1665">
        <v>421793791</v>
      </c>
      <c r="E851" s="1665">
        <v>416969658</v>
      </c>
      <c r="F851" s="1665">
        <v>421793791</v>
      </c>
      <c r="G851" s="1665">
        <v>416969658</v>
      </c>
      <c r="H851" s="1665">
        <v>421793791</v>
      </c>
      <c r="I851" s="1665">
        <v>416969658</v>
      </c>
      <c r="J851" s="1665">
        <v>421793791</v>
      </c>
      <c r="K851" s="1665">
        <v>416969658</v>
      </c>
    </row>
    <row r="852" spans="1:11">
      <c r="A852" t="s">
        <v>3716</v>
      </c>
      <c r="B852" s="1417" t="s">
        <v>274</v>
      </c>
      <c r="C852" s="1417" t="s">
        <v>7939</v>
      </c>
      <c r="D852" s="1665">
        <v>371747148</v>
      </c>
      <c r="E852" s="1665">
        <v>358541649</v>
      </c>
      <c r="F852" s="1665">
        <v>347238752</v>
      </c>
      <c r="G852" s="1665">
        <v>334033253</v>
      </c>
      <c r="H852" s="1665">
        <v>371747148</v>
      </c>
      <c r="I852" s="1665">
        <v>358541649</v>
      </c>
      <c r="J852" s="1665">
        <v>347238752</v>
      </c>
      <c r="K852" s="1665">
        <v>334033253</v>
      </c>
    </row>
    <row r="853" spans="1:11">
      <c r="A853" t="s">
        <v>6090</v>
      </c>
      <c r="B853" s="1417" t="s">
        <v>1727</v>
      </c>
      <c r="C853" s="1417" t="s">
        <v>7940</v>
      </c>
      <c r="D853" s="1665">
        <v>1094572227</v>
      </c>
      <c r="E853" s="1665">
        <v>1062023458</v>
      </c>
      <c r="F853" s="1665">
        <v>1094572227</v>
      </c>
      <c r="G853" s="1665">
        <v>1062023458</v>
      </c>
      <c r="H853" s="1665">
        <v>1094572227</v>
      </c>
      <c r="I853" s="1665">
        <v>1062023458</v>
      </c>
      <c r="J853" s="1665">
        <v>1094572227</v>
      </c>
      <c r="K853" s="1665">
        <v>1062023458</v>
      </c>
    </row>
    <row r="854" spans="1:11">
      <c r="A854" t="s">
        <v>3717</v>
      </c>
      <c r="B854" s="1417" t="s">
        <v>1728</v>
      </c>
      <c r="C854" s="1417" t="s">
        <v>7941</v>
      </c>
      <c r="D854" s="1665">
        <v>1485661577</v>
      </c>
      <c r="E854" s="1665">
        <v>1433600988</v>
      </c>
      <c r="F854" s="1665">
        <v>1485661577</v>
      </c>
      <c r="G854" s="1665">
        <v>1433600988</v>
      </c>
      <c r="H854" s="1665">
        <v>1485661577</v>
      </c>
      <c r="I854" s="1665">
        <v>1433600988</v>
      </c>
      <c r="J854" s="1665">
        <v>1485661577</v>
      </c>
      <c r="K854" s="1665">
        <v>1433600988</v>
      </c>
    </row>
    <row r="855" spans="1:11">
      <c r="A855" t="s">
        <v>6091</v>
      </c>
      <c r="B855" s="1417" t="s">
        <v>1006</v>
      </c>
      <c r="C855" s="1417" t="s">
        <v>7942</v>
      </c>
      <c r="D855" s="1665">
        <v>369556870</v>
      </c>
      <c r="E855" s="1665">
        <v>358706951</v>
      </c>
      <c r="F855" s="1665">
        <v>369556870</v>
      </c>
      <c r="G855" s="1665">
        <v>358706951</v>
      </c>
      <c r="H855" s="1665">
        <v>369556870</v>
      </c>
      <c r="I855" s="1665">
        <v>358706951</v>
      </c>
      <c r="J855" s="1665">
        <v>369556870</v>
      </c>
      <c r="K855" s="1665">
        <v>358706951</v>
      </c>
    </row>
    <row r="856" spans="1:11">
      <c r="A856" t="s">
        <v>6092</v>
      </c>
      <c r="B856" s="1417" t="s">
        <v>189</v>
      </c>
      <c r="C856" s="1417" t="s">
        <v>7943</v>
      </c>
      <c r="D856" s="1665">
        <v>9304464312</v>
      </c>
      <c r="E856" s="1665">
        <v>9079226656</v>
      </c>
      <c r="F856" s="1665">
        <v>9304464312</v>
      </c>
      <c r="G856" s="1665">
        <v>9079226656</v>
      </c>
      <c r="H856" s="1665">
        <v>9304464312</v>
      </c>
      <c r="I856" s="1665">
        <v>9079226656</v>
      </c>
      <c r="J856" s="1665">
        <v>9304464312</v>
      </c>
      <c r="K856" s="1665">
        <v>9079226656</v>
      </c>
    </row>
    <row r="857" spans="1:11">
      <c r="A857" t="s">
        <v>3718</v>
      </c>
      <c r="B857" s="1417" t="s">
        <v>1181</v>
      </c>
      <c r="C857" s="1417" t="s">
        <v>7944</v>
      </c>
      <c r="D857" s="1665">
        <v>2116373253</v>
      </c>
      <c r="E857" s="1665">
        <v>2058948838</v>
      </c>
      <c r="F857" s="1665">
        <v>2116373253</v>
      </c>
      <c r="G857" s="1665">
        <v>2058948838</v>
      </c>
      <c r="H857" s="1665">
        <v>2116373253</v>
      </c>
      <c r="I857" s="1665">
        <v>2058948838</v>
      </c>
      <c r="J857" s="1665">
        <v>2116373253</v>
      </c>
      <c r="K857" s="1665">
        <v>2058948838</v>
      </c>
    </row>
    <row r="858" spans="1:11">
      <c r="A858" t="s">
        <v>3719</v>
      </c>
      <c r="B858" s="1417" t="s">
        <v>1340</v>
      </c>
      <c r="C858" s="1417" t="s">
        <v>7945</v>
      </c>
      <c r="D858" s="1665">
        <v>1331455167</v>
      </c>
      <c r="E858" s="1665">
        <v>1290974695</v>
      </c>
      <c r="F858" s="1665">
        <v>1331455167</v>
      </c>
      <c r="G858" s="1665">
        <v>1290974695</v>
      </c>
      <c r="H858" s="1665">
        <v>1331455167</v>
      </c>
      <c r="I858" s="1665">
        <v>1290974695</v>
      </c>
      <c r="J858" s="1665">
        <v>1331455167</v>
      </c>
      <c r="K858" s="1665">
        <v>1290974695</v>
      </c>
    </row>
    <row r="859" spans="1:11">
      <c r="A859" t="s">
        <v>6093</v>
      </c>
      <c r="B859" s="1417" t="s">
        <v>1341</v>
      </c>
      <c r="C859" s="1417" t="s">
        <v>7946</v>
      </c>
      <c r="D859" s="1665">
        <v>466450324</v>
      </c>
      <c r="E859" s="1665">
        <v>453988253</v>
      </c>
      <c r="F859" s="1665">
        <v>466450324</v>
      </c>
      <c r="G859" s="1665">
        <v>453988253</v>
      </c>
      <c r="H859" s="1665">
        <v>466450324</v>
      </c>
      <c r="I859" s="1665">
        <v>453988253</v>
      </c>
      <c r="J859" s="1665">
        <v>466450324</v>
      </c>
      <c r="K859" s="1665">
        <v>453988253</v>
      </c>
    </row>
    <row r="860" spans="1:11">
      <c r="A860" t="s">
        <v>6094</v>
      </c>
      <c r="B860" s="1417" t="s">
        <v>1342</v>
      </c>
      <c r="C860" s="1417" t="s">
        <v>7947</v>
      </c>
      <c r="D860" s="1665">
        <v>2349937815</v>
      </c>
      <c r="E860" s="1665">
        <v>2330005321</v>
      </c>
      <c r="F860" s="1665">
        <v>2311515612</v>
      </c>
      <c r="G860" s="1665">
        <v>2291583118</v>
      </c>
      <c r="H860" s="1665">
        <v>2349937815</v>
      </c>
      <c r="I860" s="1665">
        <v>2330005321</v>
      </c>
      <c r="J860" s="1665">
        <v>2311515612</v>
      </c>
      <c r="K860" s="1665">
        <v>2291583118</v>
      </c>
    </row>
    <row r="861" spans="1:11">
      <c r="A861" t="s">
        <v>3720</v>
      </c>
      <c r="B861" s="1417" t="s">
        <v>2653</v>
      </c>
      <c r="C861" s="1417" t="s">
        <v>7948</v>
      </c>
      <c r="D861" s="1665">
        <v>1290339673</v>
      </c>
      <c r="E861" s="1665">
        <v>1232713330</v>
      </c>
      <c r="F861" s="1665">
        <v>1290339673</v>
      </c>
      <c r="G861" s="1665">
        <v>1232713330</v>
      </c>
      <c r="H861" s="1665">
        <v>1963342050</v>
      </c>
      <c r="I861" s="1665">
        <v>1905715707</v>
      </c>
      <c r="J861" s="1665">
        <v>1963342050</v>
      </c>
      <c r="K861" s="1665">
        <v>1905715707</v>
      </c>
    </row>
    <row r="862" spans="1:11">
      <c r="A862" t="s">
        <v>6095</v>
      </c>
      <c r="B862" s="1417" t="s">
        <v>1729</v>
      </c>
      <c r="C862" s="1417" t="s">
        <v>7949</v>
      </c>
      <c r="D862" s="1665">
        <v>192823116</v>
      </c>
      <c r="E862" s="1665">
        <v>191715843</v>
      </c>
      <c r="F862" s="1665">
        <v>192823116</v>
      </c>
      <c r="G862" s="1665">
        <v>191715843</v>
      </c>
      <c r="H862" s="1665">
        <v>192823116</v>
      </c>
      <c r="I862" s="1665">
        <v>191715843</v>
      </c>
      <c r="J862" s="1665">
        <v>192823116</v>
      </c>
      <c r="K862" s="1665">
        <v>191715843</v>
      </c>
    </row>
    <row r="863" spans="1:11">
      <c r="A863" t="s">
        <v>3721</v>
      </c>
      <c r="B863" s="1417" t="s">
        <v>193</v>
      </c>
      <c r="C863" s="1417" t="s">
        <v>7950</v>
      </c>
      <c r="D863" s="1665">
        <v>594974699</v>
      </c>
      <c r="E863" s="1665">
        <v>561987261</v>
      </c>
      <c r="F863" s="1665">
        <v>594974699</v>
      </c>
      <c r="G863" s="1665">
        <v>561987261</v>
      </c>
      <c r="H863" s="1665">
        <v>660374699</v>
      </c>
      <c r="I863" s="1665">
        <v>627387261</v>
      </c>
      <c r="J863" s="1665">
        <v>660374699</v>
      </c>
      <c r="K863" s="1665">
        <v>627387261</v>
      </c>
    </row>
    <row r="864" spans="1:11">
      <c r="A864" t="s">
        <v>6096</v>
      </c>
      <c r="B864" s="1417" t="s">
        <v>1730</v>
      </c>
      <c r="C864" s="1417" t="s">
        <v>7951</v>
      </c>
      <c r="D864" s="1665">
        <v>511568305</v>
      </c>
      <c r="E864" s="1665">
        <v>491750548</v>
      </c>
      <c r="F864" s="1665">
        <v>511568305</v>
      </c>
      <c r="G864" s="1665">
        <v>491750548</v>
      </c>
      <c r="H864" s="1665">
        <v>511568305</v>
      </c>
      <c r="I864" s="1665">
        <v>491750548</v>
      </c>
      <c r="J864" s="1665">
        <v>511568305</v>
      </c>
      <c r="K864" s="1665">
        <v>491750548</v>
      </c>
    </row>
    <row r="865" spans="1:11">
      <c r="A865" t="s">
        <v>6097</v>
      </c>
      <c r="B865" s="1417" t="s">
        <v>2584</v>
      </c>
      <c r="C865" s="1417" t="s">
        <v>7952</v>
      </c>
      <c r="D865" s="1665">
        <v>869427511</v>
      </c>
      <c r="E865" s="1665">
        <v>867146331</v>
      </c>
      <c r="F865" s="1665">
        <v>869427511</v>
      </c>
      <c r="G865" s="1665">
        <v>867146331</v>
      </c>
      <c r="H865" s="1665">
        <v>945860511</v>
      </c>
      <c r="I865" s="1665">
        <v>943579331</v>
      </c>
      <c r="J865" s="1665">
        <v>945860511</v>
      </c>
      <c r="K865" s="1665">
        <v>943579331</v>
      </c>
    </row>
    <row r="866" spans="1:11">
      <c r="A866" t="s">
        <v>6098</v>
      </c>
      <c r="B866" s="1417" t="s">
        <v>750</v>
      </c>
      <c r="C866" s="1417" t="s">
        <v>7953</v>
      </c>
      <c r="D866" s="1665">
        <v>169754970</v>
      </c>
      <c r="E866" s="1665">
        <v>166900580</v>
      </c>
      <c r="F866" s="1665">
        <v>169754970</v>
      </c>
      <c r="G866" s="1665">
        <v>166900580</v>
      </c>
      <c r="H866" s="1665">
        <v>169754970</v>
      </c>
      <c r="I866" s="1665">
        <v>166900580</v>
      </c>
      <c r="J866" s="1665">
        <v>169754970</v>
      </c>
      <c r="K866" s="1665">
        <v>166900580</v>
      </c>
    </row>
    <row r="867" spans="1:11">
      <c r="A867" t="s">
        <v>6099</v>
      </c>
      <c r="B867" s="1417" t="s">
        <v>751</v>
      </c>
      <c r="C867" s="1417" t="s">
        <v>7954</v>
      </c>
      <c r="D867" s="1665">
        <v>539942115</v>
      </c>
      <c r="E867" s="1665">
        <v>531686866</v>
      </c>
      <c r="F867" s="1665">
        <v>530230278</v>
      </c>
      <c r="G867" s="1665">
        <v>521975029</v>
      </c>
      <c r="H867" s="1665">
        <v>539942115</v>
      </c>
      <c r="I867" s="1665">
        <v>531686866</v>
      </c>
      <c r="J867" s="1665">
        <v>530230278</v>
      </c>
      <c r="K867" s="1665">
        <v>521975029</v>
      </c>
    </row>
    <row r="868" spans="1:11">
      <c r="A868" t="s">
        <v>6802</v>
      </c>
      <c r="B868" s="1417" t="s">
        <v>802</v>
      </c>
      <c r="C868" s="1417" t="s">
        <v>7955</v>
      </c>
      <c r="D868" s="1665">
        <v>82584597</v>
      </c>
      <c r="E868" s="1665">
        <v>80960429</v>
      </c>
      <c r="F868" s="1665">
        <v>82584597</v>
      </c>
      <c r="G868" s="1665">
        <v>80960429</v>
      </c>
      <c r="H868" s="1665">
        <v>82584597</v>
      </c>
      <c r="I868" s="1665">
        <v>80960429</v>
      </c>
      <c r="J868" s="1665">
        <v>82584597</v>
      </c>
      <c r="K868" s="1665">
        <v>80960429</v>
      </c>
    </row>
    <row r="869" spans="1:11">
      <c r="A869" t="s">
        <v>6803</v>
      </c>
      <c r="B869" s="1417" t="s">
        <v>568</v>
      </c>
      <c r="C869" s="1417" t="s">
        <v>7956</v>
      </c>
      <c r="D869" s="1665">
        <v>159085754</v>
      </c>
      <c r="E869" s="1665">
        <v>151522236</v>
      </c>
      <c r="F869" s="1665">
        <v>159085754</v>
      </c>
      <c r="G869" s="1665">
        <v>151522236</v>
      </c>
      <c r="H869" s="1665">
        <v>159085754</v>
      </c>
      <c r="I869" s="1665">
        <v>151522236</v>
      </c>
      <c r="J869" s="1665">
        <v>159085754</v>
      </c>
      <c r="K869" s="1665">
        <v>151522236</v>
      </c>
    </row>
    <row r="870" spans="1:11">
      <c r="A870" t="s">
        <v>6100</v>
      </c>
      <c r="B870" s="1417" t="s">
        <v>569</v>
      </c>
      <c r="C870" s="1417" t="s">
        <v>7957</v>
      </c>
      <c r="D870" s="1665">
        <v>89445202</v>
      </c>
      <c r="E870" s="1665">
        <v>87780532</v>
      </c>
      <c r="F870" s="1665">
        <v>89445202</v>
      </c>
      <c r="G870" s="1665">
        <v>87780532</v>
      </c>
      <c r="H870" s="1665">
        <v>89445202</v>
      </c>
      <c r="I870" s="1665">
        <v>87780532</v>
      </c>
      <c r="J870" s="1665">
        <v>89445202</v>
      </c>
      <c r="K870" s="1665">
        <v>87780532</v>
      </c>
    </row>
    <row r="871" spans="1:11">
      <c r="A871" t="s">
        <v>3722</v>
      </c>
      <c r="B871" s="1417" t="s">
        <v>2298</v>
      </c>
      <c r="C871" s="1417" t="s">
        <v>7958</v>
      </c>
      <c r="D871" s="1665">
        <v>28394035776</v>
      </c>
      <c r="E871" s="1665">
        <v>27833867910</v>
      </c>
      <c r="F871" s="1665">
        <v>28394035776</v>
      </c>
      <c r="G871" s="1665">
        <v>27833867910</v>
      </c>
      <c r="H871" s="1665">
        <v>28394035776</v>
      </c>
      <c r="I871" s="1665">
        <v>27833867910</v>
      </c>
      <c r="J871" s="1665">
        <v>28394035776</v>
      </c>
      <c r="K871" s="1665">
        <v>27833867910</v>
      </c>
    </row>
    <row r="872" spans="1:11">
      <c r="A872" t="s">
        <v>3723</v>
      </c>
      <c r="B872" s="1417" t="s">
        <v>873</v>
      </c>
      <c r="C872" s="1417" t="s">
        <v>7959</v>
      </c>
      <c r="D872" s="1665">
        <v>10191382861</v>
      </c>
      <c r="E872" s="1665">
        <v>9923014222</v>
      </c>
      <c r="F872" s="1665">
        <v>10191382861</v>
      </c>
      <c r="G872" s="1665">
        <v>9923014222</v>
      </c>
      <c r="H872" s="1665">
        <v>10191382861</v>
      </c>
      <c r="I872" s="1665">
        <v>9923014222</v>
      </c>
      <c r="J872" s="1665">
        <v>10191382861</v>
      </c>
      <c r="K872" s="1665">
        <v>9923014222</v>
      </c>
    </row>
    <row r="873" spans="1:11">
      <c r="A873" t="s">
        <v>3724</v>
      </c>
      <c r="B873" s="1417" t="s">
        <v>1849</v>
      </c>
      <c r="C873" s="1417" t="s">
        <v>7960</v>
      </c>
      <c r="D873" s="1665">
        <v>1393034324</v>
      </c>
      <c r="E873" s="1665">
        <v>1353129233</v>
      </c>
      <c r="F873" s="1665">
        <v>1393034324</v>
      </c>
      <c r="G873" s="1665">
        <v>1353129233</v>
      </c>
      <c r="H873" s="1665">
        <v>1393034324</v>
      </c>
      <c r="I873" s="1665">
        <v>1353129233</v>
      </c>
      <c r="J873" s="1665">
        <v>1393034324</v>
      </c>
      <c r="K873" s="1665">
        <v>1353129233</v>
      </c>
    </row>
    <row r="874" spans="1:11">
      <c r="A874" t="s">
        <v>6101</v>
      </c>
      <c r="B874" s="1417" t="s">
        <v>2018</v>
      </c>
      <c r="C874" s="1417" t="s">
        <v>7961</v>
      </c>
      <c r="D874" s="1665">
        <v>36459430364</v>
      </c>
      <c r="E874" s="1665">
        <v>35701774595</v>
      </c>
      <c r="F874" s="1665">
        <v>36459430364</v>
      </c>
      <c r="G874" s="1665">
        <v>35701774595</v>
      </c>
      <c r="H874" s="1665">
        <v>36459430364</v>
      </c>
      <c r="I874" s="1665">
        <v>35701774595</v>
      </c>
      <c r="J874" s="1665">
        <v>36459430364</v>
      </c>
      <c r="K874" s="1665">
        <v>35701774595</v>
      </c>
    </row>
    <row r="875" spans="1:11">
      <c r="A875" t="s">
        <v>6102</v>
      </c>
      <c r="B875" s="1417" t="s">
        <v>2182</v>
      </c>
      <c r="C875" s="1417" t="s">
        <v>7962</v>
      </c>
      <c r="D875" s="1665">
        <v>14742263025</v>
      </c>
      <c r="E875" s="1665">
        <v>14569148908</v>
      </c>
      <c r="F875" s="1665">
        <v>14742263025</v>
      </c>
      <c r="G875" s="1665">
        <v>14569148908</v>
      </c>
      <c r="H875" s="1665">
        <v>14742263025</v>
      </c>
      <c r="I875" s="1665">
        <v>14569148908</v>
      </c>
      <c r="J875" s="1665">
        <v>14742263025</v>
      </c>
      <c r="K875" s="1665">
        <v>14569148908</v>
      </c>
    </row>
    <row r="876" spans="1:11">
      <c r="A876" t="s">
        <v>3725</v>
      </c>
      <c r="B876" s="1417" t="s">
        <v>50</v>
      </c>
      <c r="C876" s="1417" t="s">
        <v>7963</v>
      </c>
      <c r="D876" s="1665">
        <v>18237460038</v>
      </c>
      <c r="E876" s="1665">
        <v>17842717138</v>
      </c>
      <c r="F876" s="1665">
        <v>18237460038</v>
      </c>
      <c r="G876" s="1665">
        <v>17842717138</v>
      </c>
      <c r="H876" s="1665">
        <v>18237460038</v>
      </c>
      <c r="I876" s="1665">
        <v>17842717138</v>
      </c>
      <c r="J876" s="1665">
        <v>18237460038</v>
      </c>
      <c r="K876" s="1665">
        <v>17842717138</v>
      </c>
    </row>
    <row r="877" spans="1:11">
      <c r="A877" t="s">
        <v>3726</v>
      </c>
      <c r="B877" s="1417" t="s">
        <v>347</v>
      </c>
      <c r="C877" s="1417" t="s">
        <v>7964</v>
      </c>
      <c r="D877" s="1665">
        <v>14108062080</v>
      </c>
      <c r="E877" s="1665">
        <v>13772654145</v>
      </c>
      <c r="F877" s="1665">
        <v>14108062080</v>
      </c>
      <c r="G877" s="1665">
        <v>13772654145</v>
      </c>
      <c r="H877" s="1665">
        <v>14108062080</v>
      </c>
      <c r="I877" s="1665">
        <v>13772654145</v>
      </c>
      <c r="J877" s="1665">
        <v>14108062080</v>
      </c>
      <c r="K877" s="1665">
        <v>13772654145</v>
      </c>
    </row>
    <row r="878" spans="1:11">
      <c r="A878" t="s">
        <v>3727</v>
      </c>
      <c r="B878" s="1417" t="s">
        <v>1767</v>
      </c>
      <c r="C878" s="1417" t="s">
        <v>7965</v>
      </c>
      <c r="D878" s="1665">
        <v>1032236007</v>
      </c>
      <c r="E878" s="1665">
        <v>1012090996</v>
      </c>
      <c r="F878" s="1665">
        <v>1032236007</v>
      </c>
      <c r="G878" s="1665">
        <v>1012090996</v>
      </c>
      <c r="H878" s="1665">
        <v>1032236007</v>
      </c>
      <c r="I878" s="1665">
        <v>1012090996</v>
      </c>
      <c r="J878" s="1665">
        <v>1032236007</v>
      </c>
      <c r="K878" s="1665">
        <v>1012090996</v>
      </c>
    </row>
    <row r="879" spans="1:11">
      <c r="A879" t="s">
        <v>3728</v>
      </c>
      <c r="B879" s="1417" t="s">
        <v>2405</v>
      </c>
      <c r="C879" s="1417" t="s">
        <v>7966</v>
      </c>
      <c r="D879" s="1665">
        <v>6835557170</v>
      </c>
      <c r="E879" s="1665">
        <v>6653460231</v>
      </c>
      <c r="F879" s="1665">
        <v>6654610537</v>
      </c>
      <c r="G879" s="1665">
        <v>6472513598</v>
      </c>
      <c r="H879" s="1665">
        <v>6835557170</v>
      </c>
      <c r="I879" s="1665">
        <v>6653460231</v>
      </c>
      <c r="J879" s="1665">
        <v>6654610537</v>
      </c>
      <c r="K879" s="1665">
        <v>6472513598</v>
      </c>
    </row>
    <row r="880" spans="1:11">
      <c r="A880" t="s">
        <v>3729</v>
      </c>
      <c r="B880" s="1417" t="s">
        <v>52</v>
      </c>
      <c r="C880" s="1417" t="s">
        <v>7967</v>
      </c>
      <c r="D880" s="1665">
        <v>1456973181</v>
      </c>
      <c r="E880" s="1665">
        <v>1411718463</v>
      </c>
      <c r="F880" s="1665">
        <v>1456973181</v>
      </c>
      <c r="G880" s="1665">
        <v>1411718463</v>
      </c>
      <c r="H880" s="1665">
        <v>1456973181</v>
      </c>
      <c r="I880" s="1665">
        <v>1411718463</v>
      </c>
      <c r="J880" s="1665">
        <v>1456973181</v>
      </c>
      <c r="K880" s="1665">
        <v>1411718463</v>
      </c>
    </row>
    <row r="881" spans="1:11">
      <c r="A881" t="s">
        <v>3730</v>
      </c>
      <c r="B881" s="1417" t="s">
        <v>1681</v>
      </c>
      <c r="C881" s="1417" t="s">
        <v>7968</v>
      </c>
      <c r="D881" s="1665">
        <v>2863135064</v>
      </c>
      <c r="E881" s="1665">
        <v>2771066346</v>
      </c>
      <c r="F881" s="1665">
        <v>2863135064</v>
      </c>
      <c r="G881" s="1665">
        <v>2771066346</v>
      </c>
      <c r="H881" s="1665">
        <v>2863135064</v>
      </c>
      <c r="I881" s="1665">
        <v>2771066346</v>
      </c>
      <c r="J881" s="1665">
        <v>2863135064</v>
      </c>
      <c r="K881" s="1665">
        <v>2771066346</v>
      </c>
    </row>
    <row r="882" spans="1:11">
      <c r="A882" t="s">
        <v>3731</v>
      </c>
      <c r="B882" s="1417" t="s">
        <v>1119</v>
      </c>
      <c r="C882" s="1417" t="s">
        <v>7969</v>
      </c>
      <c r="D882" s="1665">
        <v>13815372860</v>
      </c>
      <c r="E882" s="1665">
        <v>13530605053</v>
      </c>
      <c r="F882" s="1665">
        <v>13743179383</v>
      </c>
      <c r="G882" s="1665">
        <v>13458411576</v>
      </c>
      <c r="H882" s="1665">
        <v>13815372860</v>
      </c>
      <c r="I882" s="1665">
        <v>13530605053</v>
      </c>
      <c r="J882" s="1665">
        <v>13743179383</v>
      </c>
      <c r="K882" s="1665">
        <v>13458411576</v>
      </c>
    </row>
    <row r="883" spans="1:11">
      <c r="A883" t="s">
        <v>3732</v>
      </c>
      <c r="B883" s="1417" t="s">
        <v>1847</v>
      </c>
      <c r="C883" s="1417" t="s">
        <v>7970</v>
      </c>
      <c r="D883" s="1665">
        <v>769553924</v>
      </c>
      <c r="E883" s="1665">
        <v>737804660</v>
      </c>
      <c r="F883" s="1665">
        <v>769553924</v>
      </c>
      <c r="G883" s="1665">
        <v>737804660</v>
      </c>
      <c r="H883" s="1665">
        <v>769553924</v>
      </c>
      <c r="I883" s="1665">
        <v>737804660</v>
      </c>
      <c r="J883" s="1665">
        <v>769553924</v>
      </c>
      <c r="K883" s="1665">
        <v>737804660</v>
      </c>
    </row>
    <row r="884" spans="1:11">
      <c r="A884" t="s">
        <v>3733</v>
      </c>
      <c r="B884" s="1417" t="s">
        <v>2223</v>
      </c>
      <c r="C884" s="1417" t="s">
        <v>7971</v>
      </c>
      <c r="D884" s="1665">
        <v>9637448608</v>
      </c>
      <c r="E884" s="1665">
        <v>9432922757</v>
      </c>
      <c r="F884" s="1665">
        <v>9637448608</v>
      </c>
      <c r="G884" s="1665">
        <v>9432922757</v>
      </c>
      <c r="H884" s="1665">
        <v>9637448608</v>
      </c>
      <c r="I884" s="1665">
        <v>9432922757</v>
      </c>
      <c r="J884" s="1665">
        <v>9637448608</v>
      </c>
      <c r="K884" s="1665">
        <v>9432922757</v>
      </c>
    </row>
    <row r="885" spans="1:11">
      <c r="A885" t="s">
        <v>5533</v>
      </c>
      <c r="B885" s="1417" t="s">
        <v>1846</v>
      </c>
      <c r="C885" s="1417" t="s">
        <v>7972</v>
      </c>
      <c r="D885" s="1665">
        <v>8488767084</v>
      </c>
      <c r="E885" s="1665">
        <v>8405579404</v>
      </c>
      <c r="F885" s="1665">
        <v>8488767084</v>
      </c>
      <c r="G885" s="1665">
        <v>8405579404</v>
      </c>
      <c r="H885" s="1665">
        <v>8488767084</v>
      </c>
      <c r="I885" s="1665">
        <v>8405579404</v>
      </c>
      <c r="J885" s="1665">
        <v>8488767084</v>
      </c>
      <c r="K885" s="1665">
        <v>8405579404</v>
      </c>
    </row>
    <row r="886" spans="1:11">
      <c r="A886" t="s">
        <v>3734</v>
      </c>
      <c r="B886" s="1417" t="s">
        <v>1180</v>
      </c>
      <c r="C886" s="1417" t="s">
        <v>7973</v>
      </c>
      <c r="D886" s="1665">
        <v>2095357100</v>
      </c>
      <c r="E886" s="1665">
        <v>2028910375</v>
      </c>
      <c r="F886" s="1665">
        <v>2095357100</v>
      </c>
      <c r="G886" s="1665">
        <v>2028910375</v>
      </c>
      <c r="H886" s="1665">
        <v>2095357100</v>
      </c>
      <c r="I886" s="1665">
        <v>2028910375</v>
      </c>
      <c r="J886" s="1665">
        <v>2095357100</v>
      </c>
      <c r="K886" s="1665">
        <v>2028910375</v>
      </c>
    </row>
    <row r="887" spans="1:11">
      <c r="A887" t="s">
        <v>6103</v>
      </c>
      <c r="B887" s="1417" t="s">
        <v>2224</v>
      </c>
      <c r="C887" s="1417" t="s">
        <v>7974</v>
      </c>
      <c r="D887" s="1665">
        <v>4907727395</v>
      </c>
      <c r="E887" s="1665">
        <v>4738776736</v>
      </c>
      <c r="F887" s="1665">
        <v>4855045271</v>
      </c>
      <c r="G887" s="1665">
        <v>4686094612</v>
      </c>
      <c r="H887" s="1665">
        <v>4907727395</v>
      </c>
      <c r="I887" s="1665">
        <v>4738776736</v>
      </c>
      <c r="J887" s="1665">
        <v>4855045271</v>
      </c>
      <c r="K887" s="1665">
        <v>4686094612</v>
      </c>
    </row>
    <row r="888" spans="1:11">
      <c r="A888" t="s">
        <v>6104</v>
      </c>
      <c r="B888" s="1417" t="s">
        <v>2225</v>
      </c>
      <c r="C888" s="1417" t="s">
        <v>7975</v>
      </c>
      <c r="D888" s="1665">
        <v>456487207</v>
      </c>
      <c r="E888" s="1665">
        <v>445345933</v>
      </c>
      <c r="F888" s="1665">
        <v>456487207</v>
      </c>
      <c r="G888" s="1665">
        <v>445345933</v>
      </c>
      <c r="H888" s="1665">
        <v>456487207</v>
      </c>
      <c r="I888" s="1665">
        <v>445345933</v>
      </c>
      <c r="J888" s="1665">
        <v>456487207</v>
      </c>
      <c r="K888" s="1665">
        <v>445345933</v>
      </c>
    </row>
    <row r="889" spans="1:11">
      <c r="A889" t="s">
        <v>6105</v>
      </c>
      <c r="B889" s="1417" t="s">
        <v>2655</v>
      </c>
      <c r="C889" s="1417" t="s">
        <v>7976</v>
      </c>
      <c r="D889" s="1665">
        <v>146976605</v>
      </c>
      <c r="E889" s="1665">
        <v>145649100</v>
      </c>
      <c r="F889" s="1665">
        <v>146976605</v>
      </c>
      <c r="G889" s="1665">
        <v>145649100</v>
      </c>
      <c r="H889" s="1665">
        <v>164957806</v>
      </c>
      <c r="I889" s="1665">
        <v>163630301</v>
      </c>
      <c r="J889" s="1665">
        <v>164957806</v>
      </c>
      <c r="K889" s="1665">
        <v>163630301</v>
      </c>
    </row>
    <row r="890" spans="1:11">
      <c r="A890" t="s">
        <v>6106</v>
      </c>
      <c r="B890" s="1417" t="s">
        <v>2656</v>
      </c>
      <c r="C890" s="1417" t="s">
        <v>7977</v>
      </c>
      <c r="D890" s="1665">
        <v>602458695</v>
      </c>
      <c r="E890" s="1665">
        <v>586726075</v>
      </c>
      <c r="F890" s="1665">
        <v>574331234</v>
      </c>
      <c r="G890" s="1665">
        <v>558598614</v>
      </c>
      <c r="H890" s="1665">
        <v>602458695</v>
      </c>
      <c r="I890" s="1665">
        <v>586726075</v>
      </c>
      <c r="J890" s="1665">
        <v>574331234</v>
      </c>
      <c r="K890" s="1665">
        <v>558598614</v>
      </c>
    </row>
    <row r="891" spans="1:11">
      <c r="A891" t="s">
        <v>6107</v>
      </c>
      <c r="B891" s="1417" t="s">
        <v>2657</v>
      </c>
      <c r="C891" s="1417" t="s">
        <v>7267</v>
      </c>
      <c r="D891" s="1665">
        <v>2099971555</v>
      </c>
      <c r="E891" s="1665">
        <v>2039446690</v>
      </c>
      <c r="F891" s="1665">
        <v>2099971555</v>
      </c>
      <c r="G891" s="1665">
        <v>2039446690</v>
      </c>
      <c r="H891" s="1665">
        <v>2099971555</v>
      </c>
      <c r="I891" s="1665">
        <v>2039446690</v>
      </c>
      <c r="J891" s="1665">
        <v>2099971555</v>
      </c>
      <c r="K891" s="1665">
        <v>2039446690</v>
      </c>
    </row>
    <row r="892" spans="1:11">
      <c r="A892" t="s">
        <v>6108</v>
      </c>
      <c r="B892" s="1417" t="s">
        <v>2658</v>
      </c>
      <c r="C892" s="1417" t="s">
        <v>7978</v>
      </c>
      <c r="D892" s="1665">
        <v>241319038</v>
      </c>
      <c r="E892" s="1665">
        <v>239066189</v>
      </c>
      <c r="F892" s="1665">
        <v>240043507</v>
      </c>
      <c r="G892" s="1665">
        <v>237790658</v>
      </c>
      <c r="H892" s="1665">
        <v>241319038</v>
      </c>
      <c r="I892" s="1665">
        <v>239066189</v>
      </c>
      <c r="J892" s="1665">
        <v>240043507</v>
      </c>
      <c r="K892" s="1665">
        <v>237790658</v>
      </c>
    </row>
    <row r="893" spans="1:11">
      <c r="A893" t="s">
        <v>6109</v>
      </c>
      <c r="B893" s="1417" t="s">
        <v>1170</v>
      </c>
      <c r="C893" s="1417" t="s">
        <v>7979</v>
      </c>
      <c r="D893" s="1665">
        <v>633261352</v>
      </c>
      <c r="E893" s="1665">
        <v>623220349</v>
      </c>
      <c r="F893" s="1665">
        <v>633261352</v>
      </c>
      <c r="G893" s="1665">
        <v>623220349</v>
      </c>
      <c r="H893" s="1665">
        <v>633261352</v>
      </c>
      <c r="I893" s="1665">
        <v>623220349</v>
      </c>
      <c r="J893" s="1665">
        <v>633261352</v>
      </c>
      <c r="K893" s="1665">
        <v>623220349</v>
      </c>
    </row>
    <row r="894" spans="1:11">
      <c r="A894" t="s">
        <v>3735</v>
      </c>
      <c r="B894" s="1417" t="s">
        <v>1845</v>
      </c>
      <c r="C894" s="1417" t="s">
        <v>7980</v>
      </c>
      <c r="D894" s="1665">
        <v>56283641</v>
      </c>
      <c r="E894" s="1665">
        <v>55362089</v>
      </c>
      <c r="F894" s="1665">
        <v>56283641</v>
      </c>
      <c r="G894" s="1665">
        <v>55362089</v>
      </c>
      <c r="H894" s="1665">
        <v>56283641</v>
      </c>
      <c r="I894" s="1665">
        <v>55362089</v>
      </c>
      <c r="J894" s="1665">
        <v>56283641</v>
      </c>
      <c r="K894" s="1665">
        <v>55362089</v>
      </c>
    </row>
    <row r="895" spans="1:11">
      <c r="A895" t="s">
        <v>6110</v>
      </c>
      <c r="B895" s="1417" t="s">
        <v>1171</v>
      </c>
      <c r="C895" s="1417" t="s">
        <v>7981</v>
      </c>
      <c r="D895" s="1665">
        <v>208743033</v>
      </c>
      <c r="E895" s="1665">
        <v>208210027</v>
      </c>
      <c r="F895" s="1665">
        <v>208743033</v>
      </c>
      <c r="G895" s="1665">
        <v>208210027</v>
      </c>
      <c r="H895" s="1665">
        <v>208743033</v>
      </c>
      <c r="I895" s="1665">
        <v>208210027</v>
      </c>
      <c r="J895" s="1665">
        <v>208743033</v>
      </c>
      <c r="K895" s="1665">
        <v>208210027</v>
      </c>
    </row>
    <row r="896" spans="1:11">
      <c r="A896" t="s">
        <v>6804</v>
      </c>
      <c r="B896" s="1417" t="s">
        <v>1586</v>
      </c>
      <c r="C896" s="1417" t="s">
        <v>7982</v>
      </c>
      <c r="D896" s="1665">
        <v>133676591</v>
      </c>
      <c r="E896" s="1665">
        <v>130932551</v>
      </c>
      <c r="F896" s="1665">
        <v>133676591</v>
      </c>
      <c r="G896" s="1665">
        <v>130932551</v>
      </c>
      <c r="H896" s="1665">
        <v>133676591</v>
      </c>
      <c r="I896" s="1665">
        <v>130932551</v>
      </c>
      <c r="J896" s="1665">
        <v>133676591</v>
      </c>
      <c r="K896" s="1665">
        <v>130932551</v>
      </c>
    </row>
    <row r="897" spans="1:11">
      <c r="A897" t="s">
        <v>6805</v>
      </c>
      <c r="B897" s="1417" t="s">
        <v>1587</v>
      </c>
      <c r="C897" s="1417" t="s">
        <v>7983</v>
      </c>
      <c r="D897" s="1665">
        <v>39849344</v>
      </c>
      <c r="E897" s="1665">
        <v>38836734</v>
      </c>
      <c r="F897" s="1665">
        <v>39849344</v>
      </c>
      <c r="G897" s="1665">
        <v>38836734</v>
      </c>
      <c r="H897" s="1665">
        <v>39849344</v>
      </c>
      <c r="I897" s="1665">
        <v>38836734</v>
      </c>
      <c r="J897" s="1665">
        <v>39849344</v>
      </c>
      <c r="K897" s="1665">
        <v>38836734</v>
      </c>
    </row>
    <row r="898" spans="1:11">
      <c r="A898" t="s">
        <v>6111</v>
      </c>
      <c r="B898" s="1417" t="s">
        <v>1588</v>
      </c>
      <c r="C898" s="1417" t="s">
        <v>7984</v>
      </c>
      <c r="D898" s="1665">
        <v>1414400312</v>
      </c>
      <c r="E898" s="1665">
        <v>1373503760</v>
      </c>
      <c r="F898" s="1665">
        <v>1414400312</v>
      </c>
      <c r="G898" s="1665">
        <v>1373503760</v>
      </c>
      <c r="H898" s="1665">
        <v>1414400312</v>
      </c>
      <c r="I898" s="1665">
        <v>1373503760</v>
      </c>
      <c r="J898" s="1665">
        <v>1414400312</v>
      </c>
      <c r="K898" s="1665">
        <v>1373503760</v>
      </c>
    </row>
    <row r="899" spans="1:11">
      <c r="A899" t="s">
        <v>3736</v>
      </c>
      <c r="B899" s="1417" t="s">
        <v>275</v>
      </c>
      <c r="C899" s="1417" t="s">
        <v>7945</v>
      </c>
      <c r="D899" s="1665">
        <v>139289083</v>
      </c>
      <c r="E899" s="1665">
        <v>133464819</v>
      </c>
      <c r="F899" s="1665">
        <v>139289083</v>
      </c>
      <c r="G899" s="1665">
        <v>133464819</v>
      </c>
      <c r="H899" s="1665">
        <v>139289083</v>
      </c>
      <c r="I899" s="1665">
        <v>133464819</v>
      </c>
      <c r="J899" s="1665">
        <v>139289083</v>
      </c>
      <c r="K899" s="1665">
        <v>133464819</v>
      </c>
    </row>
    <row r="900" spans="1:11">
      <c r="A900" t="s">
        <v>6807</v>
      </c>
      <c r="B900" s="1417" t="s">
        <v>1818</v>
      </c>
      <c r="C900" s="1417" t="s">
        <v>7986</v>
      </c>
      <c r="D900" s="1665">
        <v>160582302</v>
      </c>
      <c r="E900" s="1665">
        <v>153878138</v>
      </c>
      <c r="F900" s="1665">
        <v>160582302</v>
      </c>
      <c r="G900" s="1665">
        <v>153878138</v>
      </c>
      <c r="H900" s="1665">
        <v>160582302</v>
      </c>
      <c r="I900" s="1665">
        <v>153878138</v>
      </c>
      <c r="J900" s="1665">
        <v>160582302</v>
      </c>
      <c r="K900" s="1665">
        <v>153878138</v>
      </c>
    </row>
    <row r="901" spans="1:11">
      <c r="A901" t="s">
        <v>6112</v>
      </c>
      <c r="B901" s="1417" t="s">
        <v>2440</v>
      </c>
      <c r="C901" s="1417" t="s">
        <v>7987</v>
      </c>
      <c r="D901" s="1665">
        <v>259700817</v>
      </c>
      <c r="E901" s="1665">
        <v>251816287</v>
      </c>
      <c r="F901" s="1665">
        <v>259700817</v>
      </c>
      <c r="G901" s="1665">
        <v>251816287</v>
      </c>
      <c r="H901" s="1665">
        <v>260475147</v>
      </c>
      <c r="I901" s="1665">
        <v>252590617</v>
      </c>
      <c r="J901" s="1665">
        <v>260475147</v>
      </c>
      <c r="K901" s="1665">
        <v>252590617</v>
      </c>
    </row>
    <row r="902" spans="1:11">
      <c r="A902" t="s">
        <v>3737</v>
      </c>
      <c r="B902" s="1417" t="s">
        <v>1313</v>
      </c>
      <c r="C902" s="1417" t="s">
        <v>7988</v>
      </c>
      <c r="D902" s="1665">
        <v>5276475317</v>
      </c>
      <c r="E902" s="1665">
        <v>5062549909</v>
      </c>
      <c r="F902" s="1665">
        <v>5276475317</v>
      </c>
      <c r="G902" s="1665">
        <v>5062549909</v>
      </c>
      <c r="H902" s="1665">
        <v>5276475317</v>
      </c>
      <c r="I902" s="1665">
        <v>5062549909</v>
      </c>
      <c r="J902" s="1665">
        <v>5276475317</v>
      </c>
      <c r="K902" s="1665">
        <v>5062549909</v>
      </c>
    </row>
    <row r="903" spans="1:11">
      <c r="A903" t="s">
        <v>6113</v>
      </c>
      <c r="B903" s="1417" t="s">
        <v>2428</v>
      </c>
      <c r="C903" s="1417" t="s">
        <v>7989</v>
      </c>
      <c r="D903" s="1665">
        <v>162748378</v>
      </c>
      <c r="E903" s="1665">
        <v>158678278</v>
      </c>
      <c r="F903" s="1665">
        <v>162748378</v>
      </c>
      <c r="G903" s="1665">
        <v>158678278</v>
      </c>
      <c r="H903" s="1665">
        <v>162748378</v>
      </c>
      <c r="I903" s="1665">
        <v>158678278</v>
      </c>
      <c r="J903" s="1665">
        <v>162748378</v>
      </c>
      <c r="K903" s="1665">
        <v>158678278</v>
      </c>
    </row>
    <row r="904" spans="1:11">
      <c r="A904" t="s">
        <v>3738</v>
      </c>
      <c r="B904" s="1417" t="s">
        <v>342</v>
      </c>
      <c r="C904" s="1417" t="s">
        <v>7990</v>
      </c>
      <c r="D904" s="1665">
        <v>446672661</v>
      </c>
      <c r="E904" s="1665">
        <v>433617251</v>
      </c>
      <c r="F904" s="1665">
        <v>446672661</v>
      </c>
      <c r="G904" s="1665">
        <v>433617251</v>
      </c>
      <c r="H904" s="1665">
        <v>446672661</v>
      </c>
      <c r="I904" s="1665">
        <v>433617251</v>
      </c>
      <c r="J904" s="1665">
        <v>446672661</v>
      </c>
      <c r="K904" s="1665">
        <v>433617251</v>
      </c>
    </row>
    <row r="905" spans="1:11">
      <c r="A905" t="s">
        <v>3739</v>
      </c>
      <c r="B905" s="1417" t="s">
        <v>1307</v>
      </c>
      <c r="C905" s="1417" t="s">
        <v>7991</v>
      </c>
      <c r="D905" s="1665">
        <v>318153984</v>
      </c>
      <c r="E905" s="1665">
        <v>300893724</v>
      </c>
      <c r="F905" s="1665">
        <v>318153984</v>
      </c>
      <c r="G905" s="1665">
        <v>300893724</v>
      </c>
      <c r="H905" s="1665">
        <v>318153984</v>
      </c>
      <c r="I905" s="1665">
        <v>300893724</v>
      </c>
      <c r="J905" s="1665">
        <v>318153984</v>
      </c>
      <c r="K905" s="1665">
        <v>300893724</v>
      </c>
    </row>
    <row r="906" spans="1:11">
      <c r="A906" t="s">
        <v>3740</v>
      </c>
      <c r="B906" s="1417" t="s">
        <v>1253</v>
      </c>
      <c r="C906" s="1417" t="s">
        <v>7992</v>
      </c>
      <c r="D906" s="1665">
        <v>134473221</v>
      </c>
      <c r="E906" s="1665">
        <v>131354921</v>
      </c>
      <c r="F906" s="1665">
        <v>134473221</v>
      </c>
      <c r="G906" s="1665">
        <v>131354921</v>
      </c>
      <c r="H906" s="1665">
        <v>134473221</v>
      </c>
      <c r="I906" s="1665">
        <v>131354921</v>
      </c>
      <c r="J906" s="1665">
        <v>134473221</v>
      </c>
      <c r="K906" s="1665">
        <v>131354921</v>
      </c>
    </row>
    <row r="907" spans="1:11">
      <c r="A907" t="s">
        <v>6114</v>
      </c>
      <c r="B907" s="1417" t="s">
        <v>263</v>
      </c>
      <c r="C907" s="1417" t="s">
        <v>7993</v>
      </c>
      <c r="D907" s="1665">
        <v>122846131202</v>
      </c>
      <c r="E907" s="1665">
        <v>121722822653</v>
      </c>
      <c r="F907" s="1665">
        <v>122846131202</v>
      </c>
      <c r="G907" s="1665">
        <v>121722822653</v>
      </c>
      <c r="H907" s="1665">
        <v>122846131202</v>
      </c>
      <c r="I907" s="1665">
        <v>121722822653</v>
      </c>
      <c r="J907" s="1665">
        <v>122846131202</v>
      </c>
      <c r="K907" s="1665">
        <v>121722822653</v>
      </c>
    </row>
    <row r="908" spans="1:11">
      <c r="A908" t="s">
        <v>3741</v>
      </c>
      <c r="B908" s="1417" t="s">
        <v>210</v>
      </c>
      <c r="C908" s="1417" t="s">
        <v>7994</v>
      </c>
      <c r="D908" s="1665">
        <v>14473963210</v>
      </c>
      <c r="E908" s="1665">
        <v>14199165553</v>
      </c>
      <c r="F908" s="1665">
        <v>14473963210</v>
      </c>
      <c r="G908" s="1665">
        <v>14199165553</v>
      </c>
      <c r="H908" s="1665">
        <v>14473963210</v>
      </c>
      <c r="I908" s="1665">
        <v>14199165553</v>
      </c>
      <c r="J908" s="1665">
        <v>14473963210</v>
      </c>
      <c r="K908" s="1665">
        <v>14199165553</v>
      </c>
    </row>
    <row r="909" spans="1:11">
      <c r="A909" t="s">
        <v>6115</v>
      </c>
      <c r="B909" s="1417" t="s">
        <v>264</v>
      </c>
      <c r="C909" s="1417" t="s">
        <v>7995</v>
      </c>
      <c r="D909" s="1665">
        <v>5060722060</v>
      </c>
      <c r="E909" s="1665">
        <v>4977350305</v>
      </c>
      <c r="F909" s="1665">
        <v>5060722060</v>
      </c>
      <c r="G909" s="1665">
        <v>4977350305</v>
      </c>
      <c r="H909" s="1665">
        <v>6307075097</v>
      </c>
      <c r="I909" s="1665">
        <v>6223703342</v>
      </c>
      <c r="J909" s="1665">
        <v>6307075097</v>
      </c>
      <c r="K909" s="1665">
        <v>6223703342</v>
      </c>
    </row>
    <row r="910" spans="1:11">
      <c r="A910" t="s">
        <v>6116</v>
      </c>
      <c r="B910" s="1417" t="s">
        <v>265</v>
      </c>
      <c r="C910" s="1417" t="s">
        <v>7996</v>
      </c>
      <c r="D910" s="1665">
        <v>15451941398</v>
      </c>
      <c r="E910" s="1665">
        <v>15356372867</v>
      </c>
      <c r="F910" s="1665">
        <v>15451941398</v>
      </c>
      <c r="G910" s="1665">
        <v>15356372867</v>
      </c>
      <c r="H910" s="1665">
        <v>15451941398</v>
      </c>
      <c r="I910" s="1665">
        <v>15356372867</v>
      </c>
      <c r="J910" s="1665">
        <v>15451941398</v>
      </c>
      <c r="K910" s="1665">
        <v>15356372867</v>
      </c>
    </row>
    <row r="911" spans="1:11">
      <c r="A911" t="s">
        <v>3742</v>
      </c>
      <c r="B911" s="1417" t="s">
        <v>1133</v>
      </c>
      <c r="C911" s="1417" t="s">
        <v>7997</v>
      </c>
      <c r="D911" s="1665">
        <v>6282408829</v>
      </c>
      <c r="E911" s="1665">
        <v>6204672573</v>
      </c>
      <c r="F911" s="1665">
        <v>6282408829</v>
      </c>
      <c r="G911" s="1665">
        <v>6204672573</v>
      </c>
      <c r="H911" s="1665">
        <v>6282408829</v>
      </c>
      <c r="I911" s="1665">
        <v>6204672573</v>
      </c>
      <c r="J911" s="1665">
        <v>6282408829</v>
      </c>
      <c r="K911" s="1665">
        <v>6204672573</v>
      </c>
    </row>
    <row r="912" spans="1:11">
      <c r="A912" t="s">
        <v>6117</v>
      </c>
      <c r="B912" s="1417" t="s">
        <v>2446</v>
      </c>
      <c r="C912" s="1417" t="s">
        <v>7998</v>
      </c>
      <c r="D912" s="1665">
        <v>1782070747</v>
      </c>
      <c r="E912" s="1665">
        <v>1750811079</v>
      </c>
      <c r="F912" s="1665">
        <v>1671323863</v>
      </c>
      <c r="G912" s="1665">
        <v>1640064195</v>
      </c>
      <c r="H912" s="1665">
        <v>1782070747</v>
      </c>
      <c r="I912" s="1665">
        <v>1750811079</v>
      </c>
      <c r="J912" s="1665">
        <v>1671323863</v>
      </c>
      <c r="K912" s="1665">
        <v>1640064195</v>
      </c>
    </row>
    <row r="913" spans="1:11">
      <c r="A913" t="s">
        <v>6118</v>
      </c>
      <c r="B913" s="1417" t="s">
        <v>1320</v>
      </c>
      <c r="C913" s="1417" t="s">
        <v>7999</v>
      </c>
      <c r="D913" s="1665">
        <v>13209606565</v>
      </c>
      <c r="E913" s="1665">
        <v>13063372759</v>
      </c>
      <c r="F913" s="1665">
        <v>12385248197</v>
      </c>
      <c r="G913" s="1665">
        <v>12239014391</v>
      </c>
      <c r="H913" s="1665">
        <v>13209606565</v>
      </c>
      <c r="I913" s="1665">
        <v>13063372759</v>
      </c>
      <c r="J913" s="1665">
        <v>12385248197</v>
      </c>
      <c r="K913" s="1665">
        <v>12239014391</v>
      </c>
    </row>
    <row r="914" spans="1:11">
      <c r="A914" t="s">
        <v>6808</v>
      </c>
      <c r="B914" s="1417" t="s">
        <v>1321</v>
      </c>
      <c r="C914" s="1417" t="s">
        <v>8000</v>
      </c>
      <c r="D914" s="1665">
        <v>319416737</v>
      </c>
      <c r="E914" s="1665">
        <v>309231670</v>
      </c>
      <c r="F914" s="1665">
        <v>319416737</v>
      </c>
      <c r="G914" s="1665">
        <v>309231670</v>
      </c>
      <c r="H914" s="1665">
        <v>319416737</v>
      </c>
      <c r="I914" s="1665">
        <v>309231670</v>
      </c>
      <c r="J914" s="1665">
        <v>319416737</v>
      </c>
      <c r="K914" s="1665">
        <v>309231670</v>
      </c>
    </row>
    <row r="915" spans="1:11">
      <c r="A915" t="s">
        <v>6119</v>
      </c>
      <c r="B915" s="1417" t="s">
        <v>1322</v>
      </c>
      <c r="C915" s="1417" t="s">
        <v>8001</v>
      </c>
      <c r="D915" s="1665">
        <v>417700326</v>
      </c>
      <c r="E915" s="1665">
        <v>402281802</v>
      </c>
      <c r="F915" s="1665">
        <v>417700326</v>
      </c>
      <c r="G915" s="1665">
        <v>402281802</v>
      </c>
      <c r="H915" s="1665">
        <v>417700326</v>
      </c>
      <c r="I915" s="1665">
        <v>402281802</v>
      </c>
      <c r="J915" s="1665">
        <v>417700326</v>
      </c>
      <c r="K915" s="1665">
        <v>402281802</v>
      </c>
    </row>
    <row r="916" spans="1:11">
      <c r="A916" t="s">
        <v>6809</v>
      </c>
      <c r="B916" s="1417" t="s">
        <v>1323</v>
      </c>
      <c r="C916" s="1417" t="s">
        <v>7694</v>
      </c>
      <c r="D916" s="1665">
        <v>34812132</v>
      </c>
      <c r="E916" s="1665">
        <v>32969460</v>
      </c>
      <c r="F916" s="1665">
        <v>34812132</v>
      </c>
      <c r="G916" s="1665">
        <v>32969460</v>
      </c>
      <c r="H916" s="1665">
        <v>34812132</v>
      </c>
      <c r="I916" s="1665">
        <v>32969460</v>
      </c>
      <c r="J916" s="1665">
        <v>34812132</v>
      </c>
      <c r="K916" s="1665">
        <v>32969460</v>
      </c>
    </row>
    <row r="917" spans="1:11">
      <c r="A917" t="s">
        <v>6810</v>
      </c>
      <c r="B917" s="1417" t="s">
        <v>1324</v>
      </c>
      <c r="C917" s="1417" t="s">
        <v>8002</v>
      </c>
      <c r="D917" s="1665">
        <v>49664520</v>
      </c>
      <c r="E917" s="1665">
        <v>47224441</v>
      </c>
      <c r="F917" s="1665">
        <v>49664520</v>
      </c>
      <c r="G917" s="1665">
        <v>47224441</v>
      </c>
      <c r="H917" s="1665">
        <v>49664520</v>
      </c>
      <c r="I917" s="1665">
        <v>47224441</v>
      </c>
      <c r="J917" s="1665">
        <v>49664520</v>
      </c>
      <c r="K917" s="1665">
        <v>47224441</v>
      </c>
    </row>
    <row r="918" spans="1:11">
      <c r="A918" t="s">
        <v>5567</v>
      </c>
      <c r="B918" s="1417" t="s">
        <v>1434</v>
      </c>
      <c r="C918" s="1417" t="s">
        <v>8003</v>
      </c>
      <c r="D918" s="1665">
        <v>143957970</v>
      </c>
      <c r="E918" s="1665">
        <v>137973158</v>
      </c>
      <c r="F918" s="1665">
        <v>143957970</v>
      </c>
      <c r="G918" s="1665">
        <v>137973158</v>
      </c>
      <c r="H918" s="1665">
        <v>143957970</v>
      </c>
      <c r="I918" s="1665">
        <v>137973158</v>
      </c>
      <c r="J918" s="1665">
        <v>143957970</v>
      </c>
      <c r="K918" s="1665">
        <v>137973158</v>
      </c>
    </row>
    <row r="919" spans="1:11">
      <c r="A919" t="s">
        <v>6120</v>
      </c>
      <c r="B919" s="1417" t="s">
        <v>1807</v>
      </c>
      <c r="C919" s="1417" t="s">
        <v>8004</v>
      </c>
      <c r="D919" s="1665">
        <v>653304902</v>
      </c>
      <c r="E919" s="1665">
        <v>634602921</v>
      </c>
      <c r="F919" s="1665">
        <v>653304902</v>
      </c>
      <c r="G919" s="1665">
        <v>634602921</v>
      </c>
      <c r="H919" s="1665">
        <v>709142338</v>
      </c>
      <c r="I919" s="1665">
        <v>690440357</v>
      </c>
      <c r="J919" s="1665">
        <v>709142338</v>
      </c>
      <c r="K919" s="1665">
        <v>690440357</v>
      </c>
    </row>
    <row r="920" spans="1:11">
      <c r="A920" t="s">
        <v>3743</v>
      </c>
      <c r="B920" s="1417" t="s">
        <v>1808</v>
      </c>
      <c r="C920" s="1417" t="s">
        <v>8005</v>
      </c>
      <c r="D920" s="1665">
        <v>287992784</v>
      </c>
      <c r="E920" s="1665">
        <v>271950411</v>
      </c>
      <c r="F920" s="1665">
        <v>287992784</v>
      </c>
      <c r="G920" s="1665">
        <v>271950411</v>
      </c>
      <c r="H920" s="1665">
        <v>287992784</v>
      </c>
      <c r="I920" s="1665">
        <v>271950411</v>
      </c>
      <c r="J920" s="1665">
        <v>287992784</v>
      </c>
      <c r="K920" s="1665">
        <v>271950411</v>
      </c>
    </row>
    <row r="921" spans="1:11">
      <c r="A921" t="s">
        <v>3744</v>
      </c>
      <c r="B921" s="1417" t="s">
        <v>1254</v>
      </c>
      <c r="C921" s="1417" t="s">
        <v>8006</v>
      </c>
      <c r="D921" s="1665">
        <v>90694942</v>
      </c>
      <c r="E921" s="1665">
        <v>85919344</v>
      </c>
      <c r="F921" s="1665">
        <v>90694942</v>
      </c>
      <c r="G921" s="1665">
        <v>85919344</v>
      </c>
      <c r="H921" s="1665">
        <v>90694942</v>
      </c>
      <c r="I921" s="1665">
        <v>85919344</v>
      </c>
      <c r="J921" s="1665">
        <v>90694942</v>
      </c>
      <c r="K921" s="1665">
        <v>85919344</v>
      </c>
    </row>
    <row r="922" spans="1:11">
      <c r="A922" t="s">
        <v>3745</v>
      </c>
      <c r="B922" s="1417" t="s">
        <v>70</v>
      </c>
      <c r="C922" s="1417" t="s">
        <v>8007</v>
      </c>
      <c r="D922" s="1665">
        <v>78865674</v>
      </c>
      <c r="E922" s="1665">
        <v>75756128</v>
      </c>
      <c r="F922" s="1665">
        <v>78865674</v>
      </c>
      <c r="G922" s="1665">
        <v>75756128</v>
      </c>
      <c r="H922" s="1665">
        <v>78865674</v>
      </c>
      <c r="I922" s="1665">
        <v>75756128</v>
      </c>
      <c r="J922" s="1665">
        <v>78865674</v>
      </c>
      <c r="K922" s="1665">
        <v>75756128</v>
      </c>
    </row>
    <row r="923" spans="1:11">
      <c r="A923" t="s">
        <v>6121</v>
      </c>
      <c r="B923" s="1417" t="s">
        <v>1809</v>
      </c>
      <c r="C923" s="1417" t="s">
        <v>7865</v>
      </c>
      <c r="D923" s="1665">
        <v>231280206</v>
      </c>
      <c r="E923" s="1665">
        <v>223027574</v>
      </c>
      <c r="F923" s="1665">
        <v>231280206</v>
      </c>
      <c r="G923" s="1665">
        <v>223027574</v>
      </c>
      <c r="H923" s="1665">
        <v>231280206</v>
      </c>
      <c r="I923" s="1665">
        <v>223027574</v>
      </c>
      <c r="J923" s="1665">
        <v>231280206</v>
      </c>
      <c r="K923" s="1665">
        <v>223027574</v>
      </c>
    </row>
    <row r="924" spans="1:11">
      <c r="A924" t="s">
        <v>6122</v>
      </c>
      <c r="B924" s="1417" t="s">
        <v>1810</v>
      </c>
      <c r="C924" s="1417" t="s">
        <v>8008</v>
      </c>
      <c r="D924" s="1665">
        <v>892197792</v>
      </c>
      <c r="E924" s="1665">
        <v>855787954</v>
      </c>
      <c r="F924" s="1665">
        <v>892197792</v>
      </c>
      <c r="G924" s="1665">
        <v>855787954</v>
      </c>
      <c r="H924" s="1665">
        <v>892197792</v>
      </c>
      <c r="I924" s="1665">
        <v>855787954</v>
      </c>
      <c r="J924" s="1665">
        <v>892197792</v>
      </c>
      <c r="K924" s="1665">
        <v>855787954</v>
      </c>
    </row>
    <row r="925" spans="1:11">
      <c r="A925" t="s">
        <v>3746</v>
      </c>
      <c r="B925" s="1417" t="s">
        <v>1414</v>
      </c>
      <c r="C925" s="1417" t="s">
        <v>8009</v>
      </c>
      <c r="D925" s="1665">
        <v>162873713</v>
      </c>
      <c r="E925" s="1665">
        <v>154082952</v>
      </c>
      <c r="F925" s="1665">
        <v>162873713</v>
      </c>
      <c r="G925" s="1665">
        <v>154082952</v>
      </c>
      <c r="H925" s="1665">
        <v>162873713</v>
      </c>
      <c r="I925" s="1665">
        <v>154082952</v>
      </c>
      <c r="J925" s="1665">
        <v>162873713</v>
      </c>
      <c r="K925" s="1665">
        <v>154082952</v>
      </c>
    </row>
    <row r="926" spans="1:11">
      <c r="A926" t="s">
        <v>6811</v>
      </c>
      <c r="B926" s="1417" t="s">
        <v>1077</v>
      </c>
      <c r="C926" s="1417" t="s">
        <v>8010</v>
      </c>
      <c r="D926" s="1665">
        <v>89733651</v>
      </c>
      <c r="E926" s="1665">
        <v>84844120</v>
      </c>
      <c r="F926" s="1665">
        <v>89733651</v>
      </c>
      <c r="G926" s="1665">
        <v>84844120</v>
      </c>
      <c r="H926" s="1665">
        <v>89733651</v>
      </c>
      <c r="I926" s="1665">
        <v>84844120</v>
      </c>
      <c r="J926" s="1665">
        <v>89733651</v>
      </c>
      <c r="K926" s="1665">
        <v>84844120</v>
      </c>
    </row>
    <row r="927" spans="1:11">
      <c r="A927" t="s">
        <v>3747</v>
      </c>
      <c r="B927" s="1417" t="s">
        <v>1861</v>
      </c>
      <c r="C927" s="1417" t="s">
        <v>8011</v>
      </c>
      <c r="D927" s="1665">
        <v>415703549</v>
      </c>
      <c r="E927" s="1665">
        <v>396456352</v>
      </c>
      <c r="F927" s="1665">
        <v>415703549</v>
      </c>
      <c r="G927" s="1665">
        <v>396456352</v>
      </c>
      <c r="H927" s="1665">
        <v>415703549</v>
      </c>
      <c r="I927" s="1665">
        <v>396456352</v>
      </c>
      <c r="J927" s="1665">
        <v>415703549</v>
      </c>
      <c r="K927" s="1665">
        <v>396456352</v>
      </c>
    </row>
    <row r="928" spans="1:11">
      <c r="A928" t="s">
        <v>3748</v>
      </c>
      <c r="B928" s="1417" t="s">
        <v>1078</v>
      </c>
      <c r="C928" s="1417" t="s">
        <v>8012</v>
      </c>
      <c r="D928" s="1665">
        <v>231006317</v>
      </c>
      <c r="E928" s="1665">
        <v>219759904</v>
      </c>
      <c r="F928" s="1665">
        <v>231006317</v>
      </c>
      <c r="G928" s="1665">
        <v>219759904</v>
      </c>
      <c r="H928" s="1665">
        <v>231006317</v>
      </c>
      <c r="I928" s="1665">
        <v>219759904</v>
      </c>
      <c r="J928" s="1665">
        <v>231006317</v>
      </c>
      <c r="K928" s="1665">
        <v>219759904</v>
      </c>
    </row>
    <row r="929" spans="1:11">
      <c r="A929" t="s">
        <v>6123</v>
      </c>
      <c r="B929" s="1417" t="s">
        <v>1079</v>
      </c>
      <c r="C929" s="1417" t="s">
        <v>8013</v>
      </c>
      <c r="D929" s="1665">
        <v>154410776</v>
      </c>
      <c r="E929" s="1665">
        <v>147293836</v>
      </c>
      <c r="F929" s="1665">
        <v>154410776</v>
      </c>
      <c r="G929" s="1665">
        <v>147293836</v>
      </c>
      <c r="H929" s="1665">
        <v>154410776</v>
      </c>
      <c r="I929" s="1665">
        <v>147293836</v>
      </c>
      <c r="J929" s="1665">
        <v>154410776</v>
      </c>
      <c r="K929" s="1665">
        <v>147293836</v>
      </c>
    </row>
    <row r="930" spans="1:11">
      <c r="A930" t="s">
        <v>6812</v>
      </c>
      <c r="B930" s="1417" t="s">
        <v>1080</v>
      </c>
      <c r="C930" s="1417" t="s">
        <v>8014</v>
      </c>
      <c r="D930" s="1665">
        <v>747040082</v>
      </c>
      <c r="E930" s="1665">
        <v>742261018</v>
      </c>
      <c r="F930" s="1665">
        <v>743532675</v>
      </c>
      <c r="G930" s="1665">
        <v>738753611</v>
      </c>
      <c r="H930" s="1665">
        <v>869968342</v>
      </c>
      <c r="I930" s="1665">
        <v>865189278</v>
      </c>
      <c r="J930" s="1665">
        <v>866460935</v>
      </c>
      <c r="K930" s="1665">
        <v>861681871</v>
      </c>
    </row>
    <row r="931" spans="1:11">
      <c r="A931" t="s">
        <v>6124</v>
      </c>
      <c r="B931" s="1417" t="s">
        <v>1081</v>
      </c>
      <c r="C931" s="1417" t="s">
        <v>8015</v>
      </c>
      <c r="D931" s="1665">
        <v>3548594750</v>
      </c>
      <c r="E931" s="1665">
        <v>3546539199</v>
      </c>
      <c r="F931" s="1665">
        <v>3548594750</v>
      </c>
      <c r="G931" s="1665">
        <v>3546539199</v>
      </c>
      <c r="H931" s="1665">
        <v>3707681080</v>
      </c>
      <c r="I931" s="1665">
        <v>3705625529</v>
      </c>
      <c r="J931" s="1665">
        <v>3707681080</v>
      </c>
      <c r="K931" s="1665">
        <v>3705625529</v>
      </c>
    </row>
    <row r="932" spans="1:11">
      <c r="A932" t="s">
        <v>3749</v>
      </c>
      <c r="B932" s="1417" t="s">
        <v>56</v>
      </c>
      <c r="C932" s="1417" t="s">
        <v>8016</v>
      </c>
      <c r="D932" s="1665">
        <v>88764081</v>
      </c>
      <c r="E932" s="1665">
        <v>87220574</v>
      </c>
      <c r="F932" s="1665">
        <v>88764081</v>
      </c>
      <c r="G932" s="1665">
        <v>87220574</v>
      </c>
      <c r="H932" s="1665">
        <v>123250381</v>
      </c>
      <c r="I932" s="1665">
        <v>121706874</v>
      </c>
      <c r="J932" s="1665">
        <v>123250381</v>
      </c>
      <c r="K932" s="1665">
        <v>121706874</v>
      </c>
    </row>
    <row r="933" spans="1:11">
      <c r="A933" t="s">
        <v>3750</v>
      </c>
      <c r="B933" s="1417" t="s">
        <v>1544</v>
      </c>
      <c r="C933" s="1417" t="s">
        <v>8017</v>
      </c>
      <c r="D933" s="1665">
        <v>374131269</v>
      </c>
      <c r="E933" s="1665">
        <v>368775159</v>
      </c>
      <c r="F933" s="1665">
        <v>374131269</v>
      </c>
      <c r="G933" s="1665">
        <v>368775159</v>
      </c>
      <c r="H933" s="1665">
        <v>374131269</v>
      </c>
      <c r="I933" s="1665">
        <v>368775159</v>
      </c>
      <c r="J933" s="1665">
        <v>374131269</v>
      </c>
      <c r="K933" s="1665">
        <v>368775159</v>
      </c>
    </row>
    <row r="934" spans="1:11">
      <c r="A934" t="s">
        <v>3751</v>
      </c>
      <c r="B934" s="1417" t="s">
        <v>1521</v>
      </c>
      <c r="C934" s="1417" t="s">
        <v>8018</v>
      </c>
      <c r="D934" s="1665">
        <v>1211271859</v>
      </c>
      <c r="E934" s="1665">
        <v>1171855480</v>
      </c>
      <c r="F934" s="1665">
        <v>1211271859</v>
      </c>
      <c r="G934" s="1665">
        <v>1171855480</v>
      </c>
      <c r="H934" s="1665">
        <v>1306785559</v>
      </c>
      <c r="I934" s="1665">
        <v>1267369180</v>
      </c>
      <c r="J934" s="1665">
        <v>1306785559</v>
      </c>
      <c r="K934" s="1665">
        <v>1267369180</v>
      </c>
    </row>
    <row r="935" spans="1:11">
      <c r="A935" t="s">
        <v>6813</v>
      </c>
      <c r="B935" s="1417" t="s">
        <v>1319</v>
      </c>
      <c r="C935" s="1417" t="s">
        <v>8019</v>
      </c>
      <c r="D935" s="1665">
        <v>219414368</v>
      </c>
      <c r="E935" s="1665">
        <v>215451028</v>
      </c>
      <c r="F935" s="1665">
        <v>219414368</v>
      </c>
      <c r="G935" s="1665">
        <v>215451028</v>
      </c>
      <c r="H935" s="1665">
        <v>219414368</v>
      </c>
      <c r="I935" s="1665">
        <v>215451028</v>
      </c>
      <c r="J935" s="1665">
        <v>219414368</v>
      </c>
      <c r="K935" s="1665">
        <v>215451028</v>
      </c>
    </row>
    <row r="936" spans="1:11">
      <c r="A936" t="s">
        <v>3752</v>
      </c>
      <c r="B936" s="1417" t="s">
        <v>488</v>
      </c>
      <c r="C936" s="1417" t="s">
        <v>8020</v>
      </c>
      <c r="D936" s="1665">
        <v>2039507658</v>
      </c>
      <c r="E936" s="1665">
        <v>1954950064</v>
      </c>
      <c r="F936" s="1665">
        <v>1946374550</v>
      </c>
      <c r="G936" s="1665">
        <v>1861816956</v>
      </c>
      <c r="H936" s="1665">
        <v>2039507658</v>
      </c>
      <c r="I936" s="1665">
        <v>1954950064</v>
      </c>
      <c r="J936" s="1665">
        <v>1946374550</v>
      </c>
      <c r="K936" s="1665">
        <v>1861816956</v>
      </c>
    </row>
    <row r="937" spans="1:11">
      <c r="A937" t="s">
        <v>6125</v>
      </c>
      <c r="B937" s="1417" t="s">
        <v>831</v>
      </c>
      <c r="C937" s="1417" t="s">
        <v>8021</v>
      </c>
      <c r="D937" s="1665">
        <v>214550144</v>
      </c>
      <c r="E937" s="1665">
        <v>213233650</v>
      </c>
      <c r="F937" s="1665">
        <v>214188997</v>
      </c>
      <c r="G937" s="1665">
        <v>212872503</v>
      </c>
      <c r="H937" s="1665">
        <v>214550144</v>
      </c>
      <c r="I937" s="1665">
        <v>213233650</v>
      </c>
      <c r="J937" s="1665">
        <v>214188997</v>
      </c>
      <c r="K937" s="1665">
        <v>212872503</v>
      </c>
    </row>
    <row r="938" spans="1:11">
      <c r="A938" t="s">
        <v>3753</v>
      </c>
      <c r="B938" s="1417" t="s">
        <v>833</v>
      </c>
      <c r="C938" s="1417" t="s">
        <v>8022</v>
      </c>
      <c r="D938" s="1665">
        <v>750049639</v>
      </c>
      <c r="E938" s="1665">
        <v>722462431</v>
      </c>
      <c r="F938" s="1665">
        <v>750049639</v>
      </c>
      <c r="G938" s="1665">
        <v>722462431</v>
      </c>
      <c r="H938" s="1665">
        <v>750049639</v>
      </c>
      <c r="I938" s="1665">
        <v>722462431</v>
      </c>
      <c r="J938" s="1665">
        <v>750049639</v>
      </c>
      <c r="K938" s="1665">
        <v>722462431</v>
      </c>
    </row>
    <row r="939" spans="1:11">
      <c r="A939" t="s">
        <v>6126</v>
      </c>
      <c r="B939" s="1417" t="s">
        <v>834</v>
      </c>
      <c r="C939" s="1417" t="s">
        <v>7144</v>
      </c>
      <c r="D939" s="1665">
        <v>250377043</v>
      </c>
      <c r="E939" s="1665">
        <v>239082084</v>
      </c>
      <c r="F939" s="1665">
        <v>250377043</v>
      </c>
      <c r="G939" s="1665">
        <v>239082084</v>
      </c>
      <c r="H939" s="1665">
        <v>250377043</v>
      </c>
      <c r="I939" s="1665">
        <v>239082084</v>
      </c>
      <c r="J939" s="1665">
        <v>250377043</v>
      </c>
      <c r="K939" s="1665">
        <v>239082084</v>
      </c>
    </row>
    <row r="940" spans="1:11">
      <c r="A940" t="s">
        <v>3754</v>
      </c>
      <c r="B940" s="1417" t="s">
        <v>1533</v>
      </c>
      <c r="C940" s="1417" t="s">
        <v>8023</v>
      </c>
      <c r="D940" s="1665">
        <v>278942739</v>
      </c>
      <c r="E940" s="1665">
        <v>265489144</v>
      </c>
      <c r="F940" s="1665">
        <v>263285681</v>
      </c>
      <c r="G940" s="1665">
        <v>249832086</v>
      </c>
      <c r="H940" s="1665">
        <v>278942739</v>
      </c>
      <c r="I940" s="1665">
        <v>265489144</v>
      </c>
      <c r="J940" s="1665">
        <v>263285681</v>
      </c>
      <c r="K940" s="1665">
        <v>249832086</v>
      </c>
    </row>
    <row r="941" spans="1:11">
      <c r="A941" t="s">
        <v>3755</v>
      </c>
      <c r="B941" s="1417" t="s">
        <v>1836</v>
      </c>
      <c r="C941" s="1417" t="s">
        <v>8024</v>
      </c>
      <c r="D941" s="1665">
        <v>114193346</v>
      </c>
      <c r="E941" s="1665">
        <v>109772840</v>
      </c>
      <c r="F941" s="1665">
        <v>114193346</v>
      </c>
      <c r="G941" s="1665">
        <v>109772840</v>
      </c>
      <c r="H941" s="1665">
        <v>114193346</v>
      </c>
      <c r="I941" s="1665">
        <v>109772840</v>
      </c>
      <c r="J941" s="1665">
        <v>114193346</v>
      </c>
      <c r="K941" s="1665">
        <v>109772840</v>
      </c>
    </row>
    <row r="942" spans="1:11">
      <c r="A942" t="s">
        <v>3756</v>
      </c>
      <c r="B942" s="1417" t="s">
        <v>835</v>
      </c>
      <c r="C942" s="1417" t="s">
        <v>8025</v>
      </c>
      <c r="D942" s="1665">
        <v>672698106</v>
      </c>
      <c r="E942" s="1665">
        <v>641567169</v>
      </c>
      <c r="F942" s="1665">
        <v>627942669</v>
      </c>
      <c r="G942" s="1665">
        <v>596811732</v>
      </c>
      <c r="H942" s="1665">
        <v>672698106</v>
      </c>
      <c r="I942" s="1665">
        <v>641567169</v>
      </c>
      <c r="J942" s="1665">
        <v>627942669</v>
      </c>
      <c r="K942" s="1665">
        <v>596811732</v>
      </c>
    </row>
    <row r="943" spans="1:11">
      <c r="A943" t="s">
        <v>6127</v>
      </c>
      <c r="B943" s="1417" t="s">
        <v>836</v>
      </c>
      <c r="C943" s="1417" t="s">
        <v>8026</v>
      </c>
      <c r="D943" s="1665">
        <v>666368742</v>
      </c>
      <c r="E943" s="1665">
        <v>639342417</v>
      </c>
      <c r="F943" s="1665">
        <v>666368742</v>
      </c>
      <c r="G943" s="1665">
        <v>639342417</v>
      </c>
      <c r="H943" s="1665">
        <v>666368742</v>
      </c>
      <c r="I943" s="1665">
        <v>639342417</v>
      </c>
      <c r="J943" s="1665">
        <v>666368742</v>
      </c>
      <c r="K943" s="1665">
        <v>639342417</v>
      </c>
    </row>
    <row r="944" spans="1:11">
      <c r="A944" t="s">
        <v>3757</v>
      </c>
      <c r="B944" s="1417" t="s">
        <v>1426</v>
      </c>
      <c r="C944" s="1417" t="s">
        <v>8027</v>
      </c>
      <c r="D944" s="1665">
        <v>54821153</v>
      </c>
      <c r="E944" s="1665">
        <v>51323449</v>
      </c>
      <c r="F944" s="1665">
        <v>50937505</v>
      </c>
      <c r="G944" s="1665">
        <v>47439801</v>
      </c>
      <c r="H944" s="1665">
        <v>54821153</v>
      </c>
      <c r="I944" s="1665">
        <v>51323449</v>
      </c>
      <c r="J944" s="1665">
        <v>50937505</v>
      </c>
      <c r="K944" s="1665">
        <v>47439801</v>
      </c>
    </row>
    <row r="945" spans="1:11">
      <c r="A945" t="s">
        <v>3758</v>
      </c>
      <c r="B945" s="1417" t="s">
        <v>877</v>
      </c>
      <c r="C945" s="1417" t="s">
        <v>8028</v>
      </c>
      <c r="D945" s="1665">
        <v>184493454</v>
      </c>
      <c r="E945" s="1665">
        <v>179206624</v>
      </c>
      <c r="F945" s="1665">
        <v>184493454</v>
      </c>
      <c r="G945" s="1665">
        <v>179206624</v>
      </c>
      <c r="H945" s="1665">
        <v>184493454</v>
      </c>
      <c r="I945" s="1665">
        <v>179206624</v>
      </c>
      <c r="J945" s="1665">
        <v>184493454</v>
      </c>
      <c r="K945" s="1665">
        <v>179206624</v>
      </c>
    </row>
    <row r="946" spans="1:11">
      <c r="A946" t="s">
        <v>3759</v>
      </c>
      <c r="B946" s="1417" t="s">
        <v>340</v>
      </c>
      <c r="C946" s="1417" t="s">
        <v>8029</v>
      </c>
      <c r="D946" s="1665">
        <v>5725677979</v>
      </c>
      <c r="E946" s="1665">
        <v>5566716851</v>
      </c>
      <c r="F946" s="1665">
        <v>5725677979</v>
      </c>
      <c r="G946" s="1665">
        <v>5566716851</v>
      </c>
      <c r="H946" s="1665">
        <v>5725677979</v>
      </c>
      <c r="I946" s="1665">
        <v>5566716851</v>
      </c>
      <c r="J946" s="1665">
        <v>5725677979</v>
      </c>
      <c r="K946" s="1665">
        <v>5566716851</v>
      </c>
    </row>
    <row r="947" spans="1:11">
      <c r="A947" t="s">
        <v>6128</v>
      </c>
      <c r="B947" s="1417" t="s">
        <v>2597</v>
      </c>
      <c r="C947" s="1417" t="s">
        <v>8030</v>
      </c>
      <c r="D947" s="1665">
        <v>238896378</v>
      </c>
      <c r="E947" s="1665">
        <v>234704048</v>
      </c>
      <c r="F947" s="1665">
        <v>238896378</v>
      </c>
      <c r="G947" s="1665">
        <v>234704048</v>
      </c>
      <c r="H947" s="1665">
        <v>238896378</v>
      </c>
      <c r="I947" s="1665">
        <v>234704048</v>
      </c>
      <c r="J947" s="1665">
        <v>238896378</v>
      </c>
      <c r="K947" s="1665">
        <v>234704048</v>
      </c>
    </row>
    <row r="948" spans="1:11">
      <c r="A948" t="s">
        <v>3760</v>
      </c>
      <c r="B948" s="1417" t="s">
        <v>1022</v>
      </c>
      <c r="C948" s="1417" t="s">
        <v>8031</v>
      </c>
      <c r="D948" s="1665">
        <v>360968253</v>
      </c>
      <c r="E948" s="1665">
        <v>351929795</v>
      </c>
      <c r="F948" s="1665">
        <v>360968253</v>
      </c>
      <c r="G948" s="1665">
        <v>351929795</v>
      </c>
      <c r="H948" s="1665">
        <v>360968253</v>
      </c>
      <c r="I948" s="1665">
        <v>351929795</v>
      </c>
      <c r="J948" s="1665">
        <v>360968253</v>
      </c>
      <c r="K948" s="1665">
        <v>351929795</v>
      </c>
    </row>
    <row r="949" spans="1:11">
      <c r="A949" t="s">
        <v>3761</v>
      </c>
      <c r="B949" s="1417" t="s">
        <v>1156</v>
      </c>
      <c r="C949" s="1417" t="s">
        <v>8032</v>
      </c>
      <c r="D949" s="1665">
        <v>2952829454</v>
      </c>
      <c r="E949" s="1665">
        <v>2886719711</v>
      </c>
      <c r="F949" s="1665">
        <v>2952829454</v>
      </c>
      <c r="G949" s="1665">
        <v>2886719711</v>
      </c>
      <c r="H949" s="1665">
        <v>2952829454</v>
      </c>
      <c r="I949" s="1665">
        <v>2886719711</v>
      </c>
      <c r="J949" s="1665">
        <v>2952829454</v>
      </c>
      <c r="K949" s="1665">
        <v>2886719711</v>
      </c>
    </row>
    <row r="950" spans="1:11">
      <c r="A950" t="s">
        <v>3762</v>
      </c>
      <c r="B950" s="1417" t="s">
        <v>276</v>
      </c>
      <c r="C950" s="1417" t="s">
        <v>8033</v>
      </c>
      <c r="D950" s="1665">
        <v>599871680</v>
      </c>
      <c r="E950" s="1665">
        <v>586266432</v>
      </c>
      <c r="F950" s="1665">
        <v>599871680</v>
      </c>
      <c r="G950" s="1665">
        <v>586266432</v>
      </c>
      <c r="H950" s="1665">
        <v>599871680</v>
      </c>
      <c r="I950" s="1665">
        <v>586266432</v>
      </c>
      <c r="J950" s="1665">
        <v>599871680</v>
      </c>
      <c r="K950" s="1665">
        <v>586266432</v>
      </c>
    </row>
    <row r="951" spans="1:11">
      <c r="A951" t="s">
        <v>3763</v>
      </c>
      <c r="B951" s="1417" t="s">
        <v>277</v>
      </c>
      <c r="C951" s="1417" t="s">
        <v>8034</v>
      </c>
      <c r="D951" s="1665">
        <v>3495148795</v>
      </c>
      <c r="E951" s="1665">
        <v>3433349874</v>
      </c>
      <c r="F951" s="1665">
        <v>3495148795</v>
      </c>
      <c r="G951" s="1665">
        <v>3433349874</v>
      </c>
      <c r="H951" s="1665">
        <v>3573863543</v>
      </c>
      <c r="I951" s="1665">
        <v>3512064622</v>
      </c>
      <c r="J951" s="1665">
        <v>3573863543</v>
      </c>
      <c r="K951" s="1665">
        <v>3512064622</v>
      </c>
    </row>
    <row r="952" spans="1:11">
      <c r="A952" t="s">
        <v>3764</v>
      </c>
      <c r="B952" s="1417" t="s">
        <v>624</v>
      </c>
      <c r="C952" s="1417" t="s">
        <v>8035</v>
      </c>
      <c r="D952" s="1665">
        <v>1213079309</v>
      </c>
      <c r="E952" s="1665">
        <v>1200744470</v>
      </c>
      <c r="F952" s="1665">
        <v>1209837482</v>
      </c>
      <c r="G952" s="1665">
        <v>1197502643</v>
      </c>
      <c r="H952" s="1665">
        <v>1237477019</v>
      </c>
      <c r="I952" s="1665">
        <v>1225142180</v>
      </c>
      <c r="J952" s="1665">
        <v>1234235192</v>
      </c>
      <c r="K952" s="1665">
        <v>1221900353</v>
      </c>
    </row>
    <row r="953" spans="1:11">
      <c r="A953" t="s">
        <v>6129</v>
      </c>
      <c r="B953" s="1417" t="s">
        <v>625</v>
      </c>
      <c r="C953" s="1417" t="s">
        <v>8036</v>
      </c>
      <c r="D953" s="1665">
        <v>2015559493</v>
      </c>
      <c r="E953" s="1665">
        <v>2015559493</v>
      </c>
      <c r="F953" s="1665">
        <v>2002619738</v>
      </c>
      <c r="G953" s="1665">
        <v>2002619738</v>
      </c>
      <c r="H953" s="1665">
        <v>2015559493</v>
      </c>
      <c r="I953" s="1665">
        <v>2015559493</v>
      </c>
      <c r="J953" s="1665">
        <v>2002619738</v>
      </c>
      <c r="K953" s="1665">
        <v>2002619738</v>
      </c>
    </row>
    <row r="954" spans="1:11">
      <c r="A954" t="s">
        <v>6814</v>
      </c>
      <c r="B954" s="1417" t="s">
        <v>626</v>
      </c>
      <c r="C954" s="1417" t="s">
        <v>8037</v>
      </c>
      <c r="D954" s="1665">
        <v>111206270</v>
      </c>
      <c r="E954" s="1665">
        <v>111206270</v>
      </c>
      <c r="F954" s="1665">
        <v>110951930</v>
      </c>
      <c r="G954" s="1665">
        <v>110951930</v>
      </c>
      <c r="H954" s="1665">
        <v>111206270</v>
      </c>
      <c r="I954" s="1665">
        <v>111206270</v>
      </c>
      <c r="J954" s="1665">
        <v>110951930</v>
      </c>
      <c r="K954" s="1665">
        <v>110951930</v>
      </c>
    </row>
    <row r="955" spans="1:11">
      <c r="A955" t="s">
        <v>6130</v>
      </c>
      <c r="B955" s="1417" t="s">
        <v>2339</v>
      </c>
      <c r="C955" s="1417" t="s">
        <v>8038</v>
      </c>
      <c r="D955" s="1665">
        <v>2808534669</v>
      </c>
      <c r="E955" s="1665">
        <v>2741515047</v>
      </c>
      <c r="F955" s="1665">
        <v>2808534669</v>
      </c>
      <c r="G955" s="1665">
        <v>2741515047</v>
      </c>
      <c r="H955" s="1665">
        <v>2808534669</v>
      </c>
      <c r="I955" s="1665">
        <v>2741515047</v>
      </c>
      <c r="J955" s="1665">
        <v>2808534669</v>
      </c>
      <c r="K955" s="1665">
        <v>2741515047</v>
      </c>
    </row>
    <row r="956" spans="1:11">
      <c r="A956" t="s">
        <v>6131</v>
      </c>
      <c r="B956" s="1417" t="s">
        <v>2340</v>
      </c>
      <c r="C956" s="1417" t="s">
        <v>8039</v>
      </c>
      <c r="D956" s="1665">
        <v>438244566</v>
      </c>
      <c r="E956" s="1665">
        <v>430129943</v>
      </c>
      <c r="F956" s="1665">
        <v>438244566</v>
      </c>
      <c r="G956" s="1665">
        <v>430129943</v>
      </c>
      <c r="H956" s="1665">
        <v>438244566</v>
      </c>
      <c r="I956" s="1665">
        <v>430129943</v>
      </c>
      <c r="J956" s="1665">
        <v>438244566</v>
      </c>
      <c r="K956" s="1665">
        <v>430129943</v>
      </c>
    </row>
    <row r="957" spans="1:11">
      <c r="A957" t="s">
        <v>3765</v>
      </c>
      <c r="B957" s="1417" t="s">
        <v>1768</v>
      </c>
      <c r="C957" s="1417" t="s">
        <v>8040</v>
      </c>
      <c r="D957" s="1665">
        <v>2473514817</v>
      </c>
      <c r="E957" s="1665">
        <v>2389862689</v>
      </c>
      <c r="F957" s="1665">
        <v>2434228448</v>
      </c>
      <c r="G957" s="1665">
        <v>2350576320</v>
      </c>
      <c r="H957" s="1665">
        <v>2473514817</v>
      </c>
      <c r="I957" s="1665">
        <v>2389862689</v>
      </c>
      <c r="J957" s="1665">
        <v>2434228448</v>
      </c>
      <c r="K957" s="1665">
        <v>2350576320</v>
      </c>
    </row>
    <row r="958" spans="1:11">
      <c r="A958" t="s">
        <v>3766</v>
      </c>
      <c r="B958" s="1417" t="s">
        <v>1520</v>
      </c>
      <c r="C958" s="1417" t="s">
        <v>8041</v>
      </c>
      <c r="D958" s="1665">
        <v>17763367964</v>
      </c>
      <c r="E958" s="1665">
        <v>17508869464</v>
      </c>
      <c r="F958" s="1665">
        <v>17422479344</v>
      </c>
      <c r="G958" s="1665">
        <v>17167980844</v>
      </c>
      <c r="H958" s="1665">
        <v>17763367964</v>
      </c>
      <c r="I958" s="1665">
        <v>17508869464</v>
      </c>
      <c r="J958" s="1665">
        <v>17422479344</v>
      </c>
      <c r="K958" s="1665">
        <v>17167980844</v>
      </c>
    </row>
    <row r="959" spans="1:11">
      <c r="A959" t="s">
        <v>6132</v>
      </c>
      <c r="B959" s="1417" t="s">
        <v>927</v>
      </c>
      <c r="C959" s="1417" t="s">
        <v>8042</v>
      </c>
      <c r="D959" s="1665">
        <v>577838656</v>
      </c>
      <c r="E959" s="1665">
        <v>576348459</v>
      </c>
      <c r="F959" s="1665">
        <v>576814876</v>
      </c>
      <c r="G959" s="1665">
        <v>575324679</v>
      </c>
      <c r="H959" s="1665">
        <v>1175838646</v>
      </c>
      <c r="I959" s="1665">
        <v>1174348449</v>
      </c>
      <c r="J959" s="1665">
        <v>1174814866</v>
      </c>
      <c r="K959" s="1665">
        <v>1173324669</v>
      </c>
    </row>
    <row r="960" spans="1:11">
      <c r="A960" t="s">
        <v>6815</v>
      </c>
      <c r="B960" s="1417" t="s">
        <v>928</v>
      </c>
      <c r="C960" s="1417" t="s">
        <v>8043</v>
      </c>
      <c r="D960" s="1665">
        <v>399864126</v>
      </c>
      <c r="E960" s="1665">
        <v>390496337</v>
      </c>
      <c r="F960" s="1665">
        <v>399864126</v>
      </c>
      <c r="G960" s="1665">
        <v>390496337</v>
      </c>
      <c r="H960" s="1665">
        <v>399864126</v>
      </c>
      <c r="I960" s="1665">
        <v>390496337</v>
      </c>
      <c r="J960" s="1665">
        <v>399864126</v>
      </c>
      <c r="K960" s="1665">
        <v>390496337</v>
      </c>
    </row>
    <row r="961" spans="1:11">
      <c r="A961" t="s">
        <v>6133</v>
      </c>
      <c r="B961" s="1417" t="s">
        <v>929</v>
      </c>
      <c r="C961" s="1417" t="s">
        <v>8044</v>
      </c>
      <c r="D961" s="1665">
        <v>375609966</v>
      </c>
      <c r="E961" s="1665">
        <v>365677744</v>
      </c>
      <c r="F961" s="1665">
        <v>375609966</v>
      </c>
      <c r="G961" s="1665">
        <v>365677744</v>
      </c>
      <c r="H961" s="1665">
        <v>375609966</v>
      </c>
      <c r="I961" s="1665">
        <v>365677744</v>
      </c>
      <c r="J961" s="1665">
        <v>375609966</v>
      </c>
      <c r="K961" s="1665">
        <v>365677744</v>
      </c>
    </row>
    <row r="962" spans="1:11">
      <c r="A962" t="s">
        <v>6134</v>
      </c>
      <c r="B962" s="1417" t="s">
        <v>571</v>
      </c>
      <c r="C962" s="1417" t="s">
        <v>8045</v>
      </c>
      <c r="D962" s="1665">
        <v>1254377752</v>
      </c>
      <c r="E962" s="1665">
        <v>1219319077</v>
      </c>
      <c r="F962" s="1665">
        <v>1254377752</v>
      </c>
      <c r="G962" s="1665">
        <v>1219319077</v>
      </c>
      <c r="H962" s="1665">
        <v>1254377752</v>
      </c>
      <c r="I962" s="1665">
        <v>1219319077</v>
      </c>
      <c r="J962" s="1665">
        <v>1254377752</v>
      </c>
      <c r="K962" s="1665">
        <v>1219319077</v>
      </c>
    </row>
    <row r="963" spans="1:11">
      <c r="A963" t="s">
        <v>6135</v>
      </c>
      <c r="B963" s="1417" t="s">
        <v>902</v>
      </c>
      <c r="C963" s="1417" t="s">
        <v>8046</v>
      </c>
      <c r="D963" s="1665">
        <v>1375741347</v>
      </c>
      <c r="E963" s="1665">
        <v>1352810439</v>
      </c>
      <c r="F963" s="1665">
        <v>1375741347</v>
      </c>
      <c r="G963" s="1665">
        <v>1352810439</v>
      </c>
      <c r="H963" s="1665">
        <v>1375741347</v>
      </c>
      <c r="I963" s="1665">
        <v>1352810439</v>
      </c>
      <c r="J963" s="1665">
        <v>1375741347</v>
      </c>
      <c r="K963" s="1665">
        <v>1352810439</v>
      </c>
    </row>
    <row r="964" spans="1:11">
      <c r="A964" t="s">
        <v>6136</v>
      </c>
      <c r="B964" s="1417" t="s">
        <v>903</v>
      </c>
      <c r="C964" s="1417" t="s">
        <v>8047</v>
      </c>
      <c r="D964" s="1665">
        <v>272430263</v>
      </c>
      <c r="E964" s="1665">
        <v>266704207</v>
      </c>
      <c r="F964" s="1665">
        <v>272430263</v>
      </c>
      <c r="G964" s="1665">
        <v>266704207</v>
      </c>
      <c r="H964" s="1665">
        <v>272430263</v>
      </c>
      <c r="I964" s="1665">
        <v>266704207</v>
      </c>
      <c r="J964" s="1665">
        <v>272430263</v>
      </c>
      <c r="K964" s="1665">
        <v>266704207</v>
      </c>
    </row>
    <row r="965" spans="1:11">
      <c r="A965" t="s">
        <v>6816</v>
      </c>
      <c r="B965" s="1417" t="s">
        <v>904</v>
      </c>
      <c r="C965" s="1417" t="s">
        <v>8048</v>
      </c>
      <c r="D965" s="1665">
        <v>129729919</v>
      </c>
      <c r="E965" s="1665">
        <v>125060329</v>
      </c>
      <c r="F965" s="1665">
        <v>129729919</v>
      </c>
      <c r="G965" s="1665">
        <v>125060329</v>
      </c>
      <c r="H965" s="1665">
        <v>129729919</v>
      </c>
      <c r="I965" s="1665">
        <v>125060329</v>
      </c>
      <c r="J965" s="1665">
        <v>129729919</v>
      </c>
      <c r="K965" s="1665">
        <v>125060329</v>
      </c>
    </row>
    <row r="966" spans="1:11">
      <c r="A966" t="s">
        <v>6137</v>
      </c>
      <c r="B966" s="1417" t="s">
        <v>905</v>
      </c>
      <c r="C966" s="1417" t="s">
        <v>8049</v>
      </c>
      <c r="D966" s="1665">
        <v>281909724</v>
      </c>
      <c r="E966" s="1665">
        <v>278113714</v>
      </c>
      <c r="F966" s="1665">
        <v>281909724</v>
      </c>
      <c r="G966" s="1665">
        <v>278113714</v>
      </c>
      <c r="H966" s="1665">
        <v>281909724</v>
      </c>
      <c r="I966" s="1665">
        <v>278113714</v>
      </c>
      <c r="J966" s="1665">
        <v>281909724</v>
      </c>
      <c r="K966" s="1665">
        <v>278113714</v>
      </c>
    </row>
    <row r="967" spans="1:11">
      <c r="A967" t="s">
        <v>6817</v>
      </c>
      <c r="B967" s="1417" t="s">
        <v>1724</v>
      </c>
      <c r="C967" s="1417" t="s">
        <v>8050</v>
      </c>
      <c r="D967" s="1665">
        <v>610725337</v>
      </c>
      <c r="E967" s="1665">
        <v>610401167</v>
      </c>
      <c r="F967" s="1665">
        <v>610725337</v>
      </c>
      <c r="G967" s="1665">
        <v>610401167</v>
      </c>
      <c r="H967" s="1665">
        <v>610725337</v>
      </c>
      <c r="I967" s="1665">
        <v>610401167</v>
      </c>
      <c r="J967" s="1665">
        <v>610725337</v>
      </c>
      <c r="K967" s="1665">
        <v>610401167</v>
      </c>
    </row>
    <row r="968" spans="1:11">
      <c r="A968" t="s">
        <v>6138</v>
      </c>
      <c r="B968" s="1417" t="s">
        <v>2319</v>
      </c>
      <c r="C968" s="1417" t="s">
        <v>8051</v>
      </c>
      <c r="D968" s="1665">
        <v>1131798376</v>
      </c>
      <c r="E968" s="1665">
        <v>1130085876</v>
      </c>
      <c r="F968" s="1665">
        <v>1131798376</v>
      </c>
      <c r="G968" s="1665">
        <v>1130085876</v>
      </c>
      <c r="H968" s="1665">
        <v>1172526246</v>
      </c>
      <c r="I968" s="1665">
        <v>1170813746</v>
      </c>
      <c r="J968" s="1665">
        <v>1172526246</v>
      </c>
      <c r="K968" s="1665">
        <v>1170813746</v>
      </c>
    </row>
    <row r="969" spans="1:11">
      <c r="A969" t="s">
        <v>3767</v>
      </c>
      <c r="B969" s="1417" t="s">
        <v>884</v>
      </c>
      <c r="C969" s="1417" t="s">
        <v>8052</v>
      </c>
      <c r="D969" s="1665">
        <v>866322727</v>
      </c>
      <c r="E969" s="1665">
        <v>835215213</v>
      </c>
      <c r="F969" s="1665">
        <v>866322727</v>
      </c>
      <c r="G969" s="1665">
        <v>835215213</v>
      </c>
      <c r="H969" s="1665">
        <v>866322727</v>
      </c>
      <c r="I969" s="1665">
        <v>835215213</v>
      </c>
      <c r="J969" s="1665">
        <v>866322727</v>
      </c>
      <c r="K969" s="1665">
        <v>835215213</v>
      </c>
    </row>
    <row r="970" spans="1:11">
      <c r="A970" t="s">
        <v>6139</v>
      </c>
      <c r="B970" s="1417" t="s">
        <v>1255</v>
      </c>
      <c r="C970" s="1417" t="s">
        <v>8053</v>
      </c>
      <c r="D970" s="1665">
        <v>176771610</v>
      </c>
      <c r="E970" s="1665">
        <v>171774430</v>
      </c>
      <c r="F970" s="1665">
        <v>176771610</v>
      </c>
      <c r="G970" s="1665">
        <v>171774430</v>
      </c>
      <c r="H970" s="1665">
        <v>176771610</v>
      </c>
      <c r="I970" s="1665">
        <v>171774430</v>
      </c>
      <c r="J970" s="1665">
        <v>176771610</v>
      </c>
      <c r="K970" s="1665">
        <v>171774430</v>
      </c>
    </row>
    <row r="971" spans="1:11">
      <c r="A971" t="s">
        <v>6140</v>
      </c>
      <c r="B971" s="1417" t="s">
        <v>642</v>
      </c>
      <c r="C971" s="1417" t="s">
        <v>8054</v>
      </c>
      <c r="D971" s="1665">
        <v>577917014</v>
      </c>
      <c r="E971" s="1665">
        <v>553784908</v>
      </c>
      <c r="F971" s="1665">
        <v>577917014</v>
      </c>
      <c r="G971" s="1665">
        <v>553784908</v>
      </c>
      <c r="H971" s="1665">
        <v>577917014</v>
      </c>
      <c r="I971" s="1665">
        <v>553784908</v>
      </c>
      <c r="J971" s="1665">
        <v>577917014</v>
      </c>
      <c r="K971" s="1665">
        <v>553784908</v>
      </c>
    </row>
    <row r="972" spans="1:11">
      <c r="A972" t="s">
        <v>3768</v>
      </c>
      <c r="B972" s="1417" t="s">
        <v>1827</v>
      </c>
      <c r="C972" s="1417" t="s">
        <v>8055</v>
      </c>
      <c r="D972" s="1665">
        <v>4539577194</v>
      </c>
      <c r="E972" s="1665">
        <v>4391997242</v>
      </c>
      <c r="F972" s="1665">
        <v>4539577194</v>
      </c>
      <c r="G972" s="1665">
        <v>4391997242</v>
      </c>
      <c r="H972" s="1665">
        <v>4539577194</v>
      </c>
      <c r="I972" s="1665">
        <v>4391997242</v>
      </c>
      <c r="J972" s="1665">
        <v>4539577194</v>
      </c>
      <c r="K972" s="1665">
        <v>4391997242</v>
      </c>
    </row>
    <row r="973" spans="1:11">
      <c r="A973" t="s">
        <v>3769</v>
      </c>
      <c r="B973" s="1417" t="s">
        <v>573</v>
      </c>
      <c r="C973" s="1417" t="s">
        <v>8056</v>
      </c>
      <c r="D973" s="1665">
        <v>204172222</v>
      </c>
      <c r="E973" s="1665">
        <v>195828498</v>
      </c>
      <c r="F973" s="1665">
        <v>204172222</v>
      </c>
      <c r="G973" s="1665">
        <v>195828498</v>
      </c>
      <c r="H973" s="1665">
        <v>204172222</v>
      </c>
      <c r="I973" s="1665">
        <v>195828498</v>
      </c>
      <c r="J973" s="1665">
        <v>204172222</v>
      </c>
      <c r="K973" s="1665">
        <v>195828498</v>
      </c>
    </row>
    <row r="974" spans="1:11">
      <c r="A974" t="s">
        <v>6818</v>
      </c>
      <c r="B974" s="1417" t="s">
        <v>1358</v>
      </c>
      <c r="C974" s="1417" t="s">
        <v>8057</v>
      </c>
      <c r="D974" s="1665">
        <v>81307338</v>
      </c>
      <c r="E974" s="1665">
        <v>80997608</v>
      </c>
      <c r="F974" s="1665">
        <v>81307338</v>
      </c>
      <c r="G974" s="1665">
        <v>80997608</v>
      </c>
      <c r="H974" s="1665">
        <v>158085378</v>
      </c>
      <c r="I974" s="1665">
        <v>157775648</v>
      </c>
      <c r="J974" s="1665">
        <v>158085378</v>
      </c>
      <c r="K974" s="1665">
        <v>157775648</v>
      </c>
    </row>
    <row r="975" spans="1:11">
      <c r="A975" t="s">
        <v>6141</v>
      </c>
      <c r="B975" s="1417" t="s">
        <v>9</v>
      </c>
      <c r="C975" s="1417" t="s">
        <v>8058</v>
      </c>
      <c r="D975" s="1665">
        <v>901341334</v>
      </c>
      <c r="E975" s="1665">
        <v>878496604</v>
      </c>
      <c r="F975" s="1665">
        <v>901341334</v>
      </c>
      <c r="G975" s="1665">
        <v>878496604</v>
      </c>
      <c r="H975" s="1665">
        <v>1011556094</v>
      </c>
      <c r="I975" s="1665">
        <v>988711364</v>
      </c>
      <c r="J975" s="1665">
        <v>1011556094</v>
      </c>
      <c r="K975" s="1665">
        <v>988711364</v>
      </c>
    </row>
    <row r="976" spans="1:11">
      <c r="A976" t="s">
        <v>3770</v>
      </c>
      <c r="B976" s="1417" t="s">
        <v>10</v>
      </c>
      <c r="C976" s="1417" t="s">
        <v>7151</v>
      </c>
      <c r="D976" s="1665">
        <v>40374778</v>
      </c>
      <c r="E976" s="1665">
        <v>39786268</v>
      </c>
      <c r="F976" s="1665">
        <v>40374778</v>
      </c>
      <c r="G976" s="1665">
        <v>39786268</v>
      </c>
      <c r="H976" s="1665">
        <v>72658278</v>
      </c>
      <c r="I976" s="1665">
        <v>72069768</v>
      </c>
      <c r="J976" s="1665">
        <v>72658278</v>
      </c>
      <c r="K976" s="1665">
        <v>72069768</v>
      </c>
    </row>
    <row r="977" spans="1:11">
      <c r="A977" t="s">
        <v>3771</v>
      </c>
      <c r="B977" s="1417" t="s">
        <v>1503</v>
      </c>
      <c r="C977" s="1417" t="s">
        <v>8059</v>
      </c>
      <c r="D977" s="1665">
        <v>37692351</v>
      </c>
      <c r="E977" s="1665">
        <v>35534692</v>
      </c>
      <c r="F977" s="1665">
        <v>37692351</v>
      </c>
      <c r="G977" s="1665">
        <v>35534692</v>
      </c>
      <c r="H977" s="1665">
        <v>37692351</v>
      </c>
      <c r="I977" s="1665">
        <v>35534692</v>
      </c>
      <c r="J977" s="1665">
        <v>37692351</v>
      </c>
      <c r="K977" s="1665">
        <v>35534692</v>
      </c>
    </row>
    <row r="978" spans="1:11">
      <c r="A978" t="s">
        <v>3772</v>
      </c>
      <c r="B978" s="1417" t="s">
        <v>2089</v>
      </c>
      <c r="C978" s="1417" t="s">
        <v>8060</v>
      </c>
      <c r="D978" s="1665">
        <v>258856572</v>
      </c>
      <c r="E978" s="1665">
        <v>248270607</v>
      </c>
      <c r="F978" s="1665">
        <v>258856572</v>
      </c>
      <c r="G978" s="1665">
        <v>248270607</v>
      </c>
      <c r="H978" s="1665">
        <v>616761330</v>
      </c>
      <c r="I978" s="1665">
        <v>606175365</v>
      </c>
      <c r="J978" s="1665">
        <v>616761330</v>
      </c>
      <c r="K978" s="1665">
        <v>606175365</v>
      </c>
    </row>
    <row r="979" spans="1:11">
      <c r="A979" t="s">
        <v>3773</v>
      </c>
      <c r="B979" s="1417" t="s">
        <v>425</v>
      </c>
      <c r="C979" s="1417" t="s">
        <v>8061</v>
      </c>
      <c r="D979" s="1665">
        <v>330168268</v>
      </c>
      <c r="E979" s="1665">
        <v>315799482</v>
      </c>
      <c r="F979" s="1665">
        <v>330168268</v>
      </c>
      <c r="G979" s="1665">
        <v>315799482</v>
      </c>
      <c r="H979" s="1665">
        <v>385657076</v>
      </c>
      <c r="I979" s="1665">
        <v>371288290</v>
      </c>
      <c r="J979" s="1665">
        <v>385657076</v>
      </c>
      <c r="K979" s="1665">
        <v>371288290</v>
      </c>
    </row>
    <row r="980" spans="1:11">
      <c r="A980" t="s">
        <v>3774</v>
      </c>
      <c r="B980" s="1417" t="s">
        <v>278</v>
      </c>
      <c r="C980" s="1417" t="s">
        <v>8062</v>
      </c>
      <c r="D980" s="1665">
        <v>114295225</v>
      </c>
      <c r="E980" s="1665">
        <v>112001412</v>
      </c>
      <c r="F980" s="1665">
        <v>114295225</v>
      </c>
      <c r="G980" s="1665">
        <v>112001412</v>
      </c>
      <c r="H980" s="1665">
        <v>343667895</v>
      </c>
      <c r="I980" s="1665">
        <v>341374082</v>
      </c>
      <c r="J980" s="1665">
        <v>343667895</v>
      </c>
      <c r="K980" s="1665">
        <v>341374082</v>
      </c>
    </row>
    <row r="981" spans="1:11">
      <c r="A981" t="s">
        <v>3775</v>
      </c>
      <c r="B981" s="1417" t="s">
        <v>1338</v>
      </c>
      <c r="C981" s="1417" t="s">
        <v>8063</v>
      </c>
      <c r="D981" s="1665">
        <v>406175502</v>
      </c>
      <c r="E981" s="1665">
        <v>394949240</v>
      </c>
      <c r="F981" s="1665">
        <v>406175502</v>
      </c>
      <c r="G981" s="1665">
        <v>394949240</v>
      </c>
      <c r="H981" s="1665">
        <v>406175502</v>
      </c>
      <c r="I981" s="1665">
        <v>394949240</v>
      </c>
      <c r="J981" s="1665">
        <v>406175502</v>
      </c>
      <c r="K981" s="1665">
        <v>394949240</v>
      </c>
    </row>
    <row r="982" spans="1:11">
      <c r="A982" t="s">
        <v>3776</v>
      </c>
      <c r="B982" s="1417" t="s">
        <v>2580</v>
      </c>
      <c r="C982" s="1417" t="s">
        <v>8064</v>
      </c>
      <c r="D982" s="1665">
        <v>9976729494</v>
      </c>
      <c r="E982" s="1665">
        <v>9761278191</v>
      </c>
      <c r="F982" s="1665">
        <v>9976729494</v>
      </c>
      <c r="G982" s="1665">
        <v>9761278191</v>
      </c>
      <c r="H982" s="1665">
        <v>9976729494</v>
      </c>
      <c r="I982" s="1665">
        <v>9761278191</v>
      </c>
      <c r="J982" s="1665">
        <v>9976729494</v>
      </c>
      <c r="K982" s="1665">
        <v>9761278191</v>
      </c>
    </row>
    <row r="983" spans="1:11">
      <c r="A983" t="s">
        <v>3777</v>
      </c>
      <c r="B983" s="1417" t="s">
        <v>1799</v>
      </c>
      <c r="C983" s="1417" t="s">
        <v>8065</v>
      </c>
      <c r="D983" s="1665">
        <v>169659298</v>
      </c>
      <c r="E983" s="1665">
        <v>163441932</v>
      </c>
      <c r="F983" s="1665">
        <v>169659298</v>
      </c>
      <c r="G983" s="1665">
        <v>163441932</v>
      </c>
      <c r="H983" s="1665">
        <v>169659298</v>
      </c>
      <c r="I983" s="1665">
        <v>163441932</v>
      </c>
      <c r="J983" s="1665">
        <v>169659298</v>
      </c>
      <c r="K983" s="1665">
        <v>163441932</v>
      </c>
    </row>
    <row r="984" spans="1:11">
      <c r="A984" t="s">
        <v>3778</v>
      </c>
      <c r="B984" s="1417" t="s">
        <v>40</v>
      </c>
      <c r="C984" s="1417" t="s">
        <v>8066</v>
      </c>
      <c r="D984" s="1665">
        <v>3304298122</v>
      </c>
      <c r="E984" s="1665">
        <v>3222363330</v>
      </c>
      <c r="F984" s="1665">
        <v>3304298122</v>
      </c>
      <c r="G984" s="1665">
        <v>3222363330</v>
      </c>
      <c r="H984" s="1665">
        <v>3304298122</v>
      </c>
      <c r="I984" s="1665">
        <v>3222363330</v>
      </c>
      <c r="J984" s="1665">
        <v>3304298122</v>
      </c>
      <c r="K984" s="1665">
        <v>3222363330</v>
      </c>
    </row>
    <row r="985" spans="1:11">
      <c r="A985" t="s">
        <v>6142</v>
      </c>
      <c r="B985" s="1417" t="s">
        <v>11</v>
      </c>
      <c r="C985" s="1417" t="s">
        <v>8067</v>
      </c>
      <c r="D985" s="1665">
        <v>1274971652</v>
      </c>
      <c r="E985" s="1665">
        <v>1236586341</v>
      </c>
      <c r="F985" s="1665">
        <v>1274971652</v>
      </c>
      <c r="G985" s="1665">
        <v>1236586341</v>
      </c>
      <c r="H985" s="1665">
        <v>1274971652</v>
      </c>
      <c r="I985" s="1665">
        <v>1236586341</v>
      </c>
      <c r="J985" s="1665">
        <v>1274971652</v>
      </c>
      <c r="K985" s="1665">
        <v>1236586341</v>
      </c>
    </row>
    <row r="986" spans="1:11">
      <c r="A986" t="s">
        <v>3779</v>
      </c>
      <c r="B986" s="1417" t="s">
        <v>1771</v>
      </c>
      <c r="C986" s="1417" t="s">
        <v>8068</v>
      </c>
      <c r="D986" s="1665">
        <v>2473342593</v>
      </c>
      <c r="E986" s="1665">
        <v>2426828260</v>
      </c>
      <c r="F986" s="1665">
        <v>2473342593</v>
      </c>
      <c r="G986" s="1665">
        <v>2426828260</v>
      </c>
      <c r="H986" s="1665">
        <v>2473342593</v>
      </c>
      <c r="I986" s="1665">
        <v>2426828260</v>
      </c>
      <c r="J986" s="1665">
        <v>2473342593</v>
      </c>
      <c r="K986" s="1665">
        <v>2426828260</v>
      </c>
    </row>
    <row r="987" spans="1:11">
      <c r="A987" t="s">
        <v>5691</v>
      </c>
      <c r="B987" s="1417" t="s">
        <v>1310</v>
      </c>
      <c r="C987" s="1417" t="s">
        <v>8069</v>
      </c>
      <c r="D987" s="1665">
        <v>36281455977</v>
      </c>
      <c r="E987" s="1665">
        <v>35756673762</v>
      </c>
      <c r="F987" s="1665">
        <v>36281455977</v>
      </c>
      <c r="G987" s="1665">
        <v>35756673762</v>
      </c>
      <c r="H987" s="1665">
        <v>36281455977</v>
      </c>
      <c r="I987" s="1665">
        <v>35756673762</v>
      </c>
      <c r="J987" s="1665">
        <v>36281455977</v>
      </c>
      <c r="K987" s="1665">
        <v>35756673762</v>
      </c>
    </row>
    <row r="988" spans="1:11">
      <c r="A988" t="s">
        <v>3780</v>
      </c>
      <c r="B988" s="1417" t="s">
        <v>1545</v>
      </c>
      <c r="C988" s="1417" t="s">
        <v>8070</v>
      </c>
      <c r="D988" s="1665">
        <v>1131897808</v>
      </c>
      <c r="E988" s="1665">
        <v>1095957811</v>
      </c>
      <c r="F988" s="1665">
        <v>1131897808</v>
      </c>
      <c r="G988" s="1665">
        <v>1095957811</v>
      </c>
      <c r="H988" s="1665">
        <v>1131897808</v>
      </c>
      <c r="I988" s="1665">
        <v>1095957811</v>
      </c>
      <c r="J988" s="1665">
        <v>1131897808</v>
      </c>
      <c r="K988" s="1665">
        <v>1095957811</v>
      </c>
    </row>
    <row r="989" spans="1:11">
      <c r="A989" t="s">
        <v>3781</v>
      </c>
      <c r="B989" s="1417" t="s">
        <v>1515</v>
      </c>
      <c r="C989" s="1417" t="s">
        <v>8071</v>
      </c>
      <c r="D989" s="1665">
        <v>254601043</v>
      </c>
      <c r="E989" s="1665">
        <v>246550871</v>
      </c>
      <c r="F989" s="1665">
        <v>254601043</v>
      </c>
      <c r="G989" s="1665">
        <v>246550871</v>
      </c>
      <c r="H989" s="1665">
        <v>254601043</v>
      </c>
      <c r="I989" s="1665">
        <v>246550871</v>
      </c>
      <c r="J989" s="1665">
        <v>254601043</v>
      </c>
      <c r="K989" s="1665">
        <v>246550871</v>
      </c>
    </row>
    <row r="990" spans="1:11">
      <c r="A990" t="s">
        <v>3782</v>
      </c>
      <c r="B990" s="1417" t="s">
        <v>1769</v>
      </c>
      <c r="C990" s="1417" t="s">
        <v>8072</v>
      </c>
      <c r="D990" s="1665">
        <v>25115445387</v>
      </c>
      <c r="E990" s="1665">
        <v>24682941916</v>
      </c>
      <c r="F990" s="1665">
        <v>25115445387</v>
      </c>
      <c r="G990" s="1665">
        <v>24682941916</v>
      </c>
      <c r="H990" s="1665">
        <v>25115445387</v>
      </c>
      <c r="I990" s="1665">
        <v>24682941916</v>
      </c>
      <c r="J990" s="1665">
        <v>25115445387</v>
      </c>
      <c r="K990" s="1665">
        <v>24682941916</v>
      </c>
    </row>
    <row r="991" spans="1:11">
      <c r="A991" t="s">
        <v>6819</v>
      </c>
      <c r="B991" s="1417" t="s">
        <v>12</v>
      </c>
      <c r="C991" s="1417" t="s">
        <v>8073</v>
      </c>
      <c r="D991" s="1665">
        <v>86263786</v>
      </c>
      <c r="E991" s="1665">
        <v>83730545</v>
      </c>
      <c r="F991" s="1665">
        <v>86263786</v>
      </c>
      <c r="G991" s="1665">
        <v>83730545</v>
      </c>
      <c r="H991" s="1665">
        <v>86263786</v>
      </c>
      <c r="I991" s="1665">
        <v>83730545</v>
      </c>
      <c r="J991" s="1665">
        <v>86263786</v>
      </c>
      <c r="K991" s="1665">
        <v>83730545</v>
      </c>
    </row>
    <row r="992" spans="1:11">
      <c r="A992" t="s">
        <v>3783</v>
      </c>
      <c r="B992" s="1417" t="s">
        <v>2455</v>
      </c>
      <c r="C992" s="1417" t="s">
        <v>8074</v>
      </c>
      <c r="D992" s="1665">
        <v>1362462139</v>
      </c>
      <c r="E992" s="1665">
        <v>1310725118</v>
      </c>
      <c r="F992" s="1665">
        <v>1362462139</v>
      </c>
      <c r="G992" s="1665">
        <v>1310725118</v>
      </c>
      <c r="H992" s="1665">
        <v>1362462139</v>
      </c>
      <c r="I992" s="1665">
        <v>1310725118</v>
      </c>
      <c r="J992" s="1665">
        <v>1362462139</v>
      </c>
      <c r="K992" s="1665">
        <v>1310725118</v>
      </c>
    </row>
    <row r="993" spans="1:11">
      <c r="A993" t="s">
        <v>3784</v>
      </c>
      <c r="B993" s="1417" t="s">
        <v>59</v>
      </c>
      <c r="C993" s="1417" t="s">
        <v>8075</v>
      </c>
      <c r="D993" s="1665">
        <v>1153708148</v>
      </c>
      <c r="E993" s="1665">
        <v>1113076042</v>
      </c>
      <c r="F993" s="1665">
        <v>1153708148</v>
      </c>
      <c r="G993" s="1665">
        <v>1113076042</v>
      </c>
      <c r="H993" s="1665">
        <v>1153708148</v>
      </c>
      <c r="I993" s="1665">
        <v>1113076042</v>
      </c>
      <c r="J993" s="1665">
        <v>1153708148</v>
      </c>
      <c r="K993" s="1665">
        <v>1113076042</v>
      </c>
    </row>
    <row r="994" spans="1:11">
      <c r="A994" t="s">
        <v>3785</v>
      </c>
      <c r="B994" s="1417" t="s">
        <v>2456</v>
      </c>
      <c r="C994" s="1417" t="s">
        <v>8076</v>
      </c>
      <c r="D994" s="1665">
        <v>325478674</v>
      </c>
      <c r="E994" s="1665">
        <v>316724462</v>
      </c>
      <c r="F994" s="1665">
        <v>325478674</v>
      </c>
      <c r="G994" s="1665">
        <v>316724462</v>
      </c>
      <c r="H994" s="1665">
        <v>325478674</v>
      </c>
      <c r="I994" s="1665">
        <v>316724462</v>
      </c>
      <c r="J994" s="1665">
        <v>325478674</v>
      </c>
      <c r="K994" s="1665">
        <v>316724462</v>
      </c>
    </row>
    <row r="995" spans="1:11">
      <c r="A995" t="s">
        <v>3786</v>
      </c>
      <c r="B995" s="1417" t="s">
        <v>1512</v>
      </c>
      <c r="C995" s="1417" t="s">
        <v>8077</v>
      </c>
      <c r="D995" s="1665">
        <v>235249532</v>
      </c>
      <c r="E995" s="1665">
        <v>226465623</v>
      </c>
      <c r="F995" s="1665">
        <v>235249532</v>
      </c>
      <c r="G995" s="1665">
        <v>226465623</v>
      </c>
      <c r="H995" s="1665">
        <v>235249532</v>
      </c>
      <c r="I995" s="1665">
        <v>226465623</v>
      </c>
      <c r="J995" s="1665">
        <v>235249532</v>
      </c>
      <c r="K995" s="1665">
        <v>226465623</v>
      </c>
    </row>
    <row r="996" spans="1:11">
      <c r="A996" t="s">
        <v>6143</v>
      </c>
      <c r="B996" s="1417" t="s">
        <v>1174</v>
      </c>
      <c r="C996" s="1417" t="s">
        <v>8078</v>
      </c>
      <c r="D996" s="1665">
        <v>701226181</v>
      </c>
      <c r="E996" s="1665">
        <v>688843498</v>
      </c>
      <c r="F996" s="1665">
        <v>692267961</v>
      </c>
      <c r="G996" s="1665">
        <v>679885278</v>
      </c>
      <c r="H996" s="1665">
        <v>781452481</v>
      </c>
      <c r="I996" s="1665">
        <v>769069798</v>
      </c>
      <c r="J996" s="1665">
        <v>772494261</v>
      </c>
      <c r="K996" s="1665">
        <v>760111578</v>
      </c>
    </row>
    <row r="997" spans="1:11">
      <c r="A997" t="s">
        <v>6144</v>
      </c>
      <c r="B997" s="1417" t="s">
        <v>1175</v>
      </c>
      <c r="C997" s="1417" t="s">
        <v>8079</v>
      </c>
      <c r="D997" s="1665">
        <v>4444513803</v>
      </c>
      <c r="E997" s="1665">
        <v>4442518759</v>
      </c>
      <c r="F997" s="1665">
        <v>4443399704</v>
      </c>
      <c r="G997" s="1665">
        <v>4441404660</v>
      </c>
      <c r="H997" s="1665">
        <v>4444513803</v>
      </c>
      <c r="I997" s="1665">
        <v>4442518759</v>
      </c>
      <c r="J997" s="1665">
        <v>4443399704</v>
      </c>
      <c r="K997" s="1665">
        <v>4441404660</v>
      </c>
    </row>
    <row r="998" spans="1:11">
      <c r="A998" t="s">
        <v>3787</v>
      </c>
      <c r="B998" s="1417" t="s">
        <v>196</v>
      </c>
      <c r="C998" s="1417" t="s">
        <v>8080</v>
      </c>
      <c r="D998" s="1665">
        <v>385064531</v>
      </c>
      <c r="E998" s="1665">
        <v>376427885</v>
      </c>
      <c r="F998" s="1665">
        <v>385064531</v>
      </c>
      <c r="G998" s="1665">
        <v>376427885</v>
      </c>
      <c r="H998" s="1665">
        <v>385064531</v>
      </c>
      <c r="I998" s="1665">
        <v>376427885</v>
      </c>
      <c r="J998" s="1665">
        <v>385064531</v>
      </c>
      <c r="K998" s="1665">
        <v>376427885</v>
      </c>
    </row>
    <row r="999" spans="1:11">
      <c r="A999" t="s">
        <v>6145</v>
      </c>
      <c r="B999" s="1417" t="s">
        <v>800</v>
      </c>
      <c r="C999" s="1417" t="s">
        <v>8081</v>
      </c>
      <c r="D999" s="1665">
        <v>703339037</v>
      </c>
      <c r="E999" s="1665">
        <v>690444167</v>
      </c>
      <c r="F999" s="1665">
        <v>703339037</v>
      </c>
      <c r="G999" s="1665">
        <v>690444167</v>
      </c>
      <c r="H999" s="1665">
        <v>703339037</v>
      </c>
      <c r="I999" s="1665">
        <v>690444167</v>
      </c>
      <c r="J999" s="1665">
        <v>703339037</v>
      </c>
      <c r="K999" s="1665">
        <v>690444167</v>
      </c>
    </row>
    <row r="1000" spans="1:11">
      <c r="A1000" t="s">
        <v>6146</v>
      </c>
      <c r="B1000" s="1417" t="s">
        <v>2176</v>
      </c>
      <c r="C1000" s="1417" t="s">
        <v>8082</v>
      </c>
      <c r="D1000" s="1665">
        <v>1365578090</v>
      </c>
      <c r="E1000" s="1665">
        <v>1343090632</v>
      </c>
      <c r="F1000" s="1665">
        <v>1359460008</v>
      </c>
      <c r="G1000" s="1665">
        <v>1336972550</v>
      </c>
      <c r="H1000" s="1665">
        <v>1365578090</v>
      </c>
      <c r="I1000" s="1665">
        <v>1343090632</v>
      </c>
      <c r="J1000" s="1665">
        <v>1359460008</v>
      </c>
      <c r="K1000" s="1665">
        <v>1336972550</v>
      </c>
    </row>
    <row r="1001" spans="1:11">
      <c r="A1001" t="s">
        <v>6147</v>
      </c>
      <c r="B1001" s="1417" t="s">
        <v>2424</v>
      </c>
      <c r="C1001" s="1417" t="s">
        <v>8083</v>
      </c>
      <c r="D1001" s="1665">
        <v>592893082</v>
      </c>
      <c r="E1001" s="1665">
        <v>585836737</v>
      </c>
      <c r="F1001" s="1665">
        <v>592893082</v>
      </c>
      <c r="G1001" s="1665">
        <v>585836737</v>
      </c>
      <c r="H1001" s="1665">
        <v>592893082</v>
      </c>
      <c r="I1001" s="1665">
        <v>585836737</v>
      </c>
      <c r="J1001" s="1665">
        <v>592893082</v>
      </c>
      <c r="K1001" s="1665">
        <v>585836737</v>
      </c>
    </row>
    <row r="1002" spans="1:11">
      <c r="A1002" t="s">
        <v>6148</v>
      </c>
      <c r="B1002" s="1417" t="s">
        <v>2425</v>
      </c>
      <c r="C1002" s="1417" t="s">
        <v>8084</v>
      </c>
      <c r="D1002" s="1665">
        <v>2270663079</v>
      </c>
      <c r="E1002" s="1665">
        <v>2236415492</v>
      </c>
      <c r="F1002" s="1665">
        <v>2270663079</v>
      </c>
      <c r="G1002" s="1665">
        <v>2236415492</v>
      </c>
      <c r="H1002" s="1665">
        <v>2270663079</v>
      </c>
      <c r="I1002" s="1665">
        <v>2236415492</v>
      </c>
      <c r="J1002" s="1665">
        <v>2270663079</v>
      </c>
      <c r="K1002" s="1665">
        <v>2236415492</v>
      </c>
    </row>
    <row r="1003" spans="1:11">
      <c r="A1003" t="s">
        <v>3788</v>
      </c>
      <c r="B1003" s="1417" t="s">
        <v>2022</v>
      </c>
      <c r="C1003" s="1417" t="s">
        <v>8085</v>
      </c>
      <c r="D1003" s="1665">
        <v>462586569</v>
      </c>
      <c r="E1003" s="1665">
        <v>450817653</v>
      </c>
      <c r="F1003" s="1665">
        <v>462586569</v>
      </c>
      <c r="G1003" s="1665">
        <v>450817653</v>
      </c>
      <c r="H1003" s="1665">
        <v>462586569</v>
      </c>
      <c r="I1003" s="1665">
        <v>450817653</v>
      </c>
      <c r="J1003" s="1665">
        <v>462586569</v>
      </c>
      <c r="K1003" s="1665">
        <v>450817653</v>
      </c>
    </row>
    <row r="1004" spans="1:11">
      <c r="A1004" t="s">
        <v>3789</v>
      </c>
      <c r="B1004" s="1417" t="s">
        <v>1150</v>
      </c>
      <c r="C1004" s="1417" t="s">
        <v>8086</v>
      </c>
      <c r="D1004" s="1665">
        <v>286654810</v>
      </c>
      <c r="E1004" s="1665">
        <v>282670265</v>
      </c>
      <c r="F1004" s="1665">
        <v>279587904</v>
      </c>
      <c r="G1004" s="1665">
        <v>275603359</v>
      </c>
      <c r="H1004" s="1665">
        <v>286654810</v>
      </c>
      <c r="I1004" s="1665">
        <v>282670265</v>
      </c>
      <c r="J1004" s="1665">
        <v>279587904</v>
      </c>
      <c r="K1004" s="1665">
        <v>275603359</v>
      </c>
    </row>
    <row r="1005" spans="1:11">
      <c r="A1005" t="s">
        <v>6149</v>
      </c>
      <c r="B1005" s="1417" t="s">
        <v>2229</v>
      </c>
      <c r="C1005" s="1417" t="s">
        <v>8087</v>
      </c>
      <c r="D1005" s="1665">
        <v>614329966</v>
      </c>
      <c r="E1005" s="1665">
        <v>602076219</v>
      </c>
      <c r="F1005" s="1665">
        <v>614329966</v>
      </c>
      <c r="G1005" s="1665">
        <v>602076219</v>
      </c>
      <c r="H1005" s="1665">
        <v>614329966</v>
      </c>
      <c r="I1005" s="1665">
        <v>602076219</v>
      </c>
      <c r="J1005" s="1665">
        <v>614329966</v>
      </c>
      <c r="K1005" s="1665">
        <v>602076219</v>
      </c>
    </row>
    <row r="1006" spans="1:11">
      <c r="A1006" t="s">
        <v>6820</v>
      </c>
      <c r="B1006" s="1417" t="s">
        <v>2230</v>
      </c>
      <c r="C1006" s="1417" t="s">
        <v>8088</v>
      </c>
      <c r="D1006" s="1665">
        <v>549189907</v>
      </c>
      <c r="E1006" s="1665">
        <v>527582979</v>
      </c>
      <c r="F1006" s="1665">
        <v>549189907</v>
      </c>
      <c r="G1006" s="1665">
        <v>527582979</v>
      </c>
      <c r="H1006" s="1665">
        <v>549189907</v>
      </c>
      <c r="I1006" s="1665">
        <v>527582979</v>
      </c>
      <c r="J1006" s="1665">
        <v>549189907</v>
      </c>
      <c r="K1006" s="1665">
        <v>527582979</v>
      </c>
    </row>
    <row r="1007" spans="1:11">
      <c r="A1007" t="s">
        <v>6150</v>
      </c>
      <c r="B1007" s="1417" t="s">
        <v>2575</v>
      </c>
      <c r="C1007" s="1417" t="s">
        <v>8089</v>
      </c>
      <c r="D1007" s="1665">
        <v>458765445</v>
      </c>
      <c r="E1007" s="1665">
        <v>437730736</v>
      </c>
      <c r="F1007" s="1665">
        <v>458765445</v>
      </c>
      <c r="G1007" s="1665">
        <v>437730736</v>
      </c>
      <c r="H1007" s="1665">
        <v>458765445</v>
      </c>
      <c r="I1007" s="1665">
        <v>437730736</v>
      </c>
      <c r="J1007" s="1665">
        <v>458765445</v>
      </c>
      <c r="K1007" s="1665">
        <v>437730736</v>
      </c>
    </row>
    <row r="1008" spans="1:11">
      <c r="A1008" t="s">
        <v>6151</v>
      </c>
      <c r="B1008" s="1417" t="s">
        <v>2576</v>
      </c>
      <c r="C1008" s="1417" t="s">
        <v>8090</v>
      </c>
      <c r="D1008" s="1665">
        <v>317116280</v>
      </c>
      <c r="E1008" s="1665">
        <v>307083836</v>
      </c>
      <c r="F1008" s="1665">
        <v>317116280</v>
      </c>
      <c r="G1008" s="1665">
        <v>307083836</v>
      </c>
      <c r="H1008" s="1665">
        <v>317116280</v>
      </c>
      <c r="I1008" s="1665">
        <v>307083836</v>
      </c>
      <c r="J1008" s="1665">
        <v>317116280</v>
      </c>
      <c r="K1008" s="1665">
        <v>307083836</v>
      </c>
    </row>
    <row r="1009" spans="1:11">
      <c r="A1009" t="s">
        <v>6152</v>
      </c>
      <c r="B1009" s="1417" t="s">
        <v>635</v>
      </c>
      <c r="C1009" s="1417" t="s">
        <v>8091</v>
      </c>
      <c r="D1009" s="1665">
        <v>286509586</v>
      </c>
      <c r="E1009" s="1665">
        <v>272378605</v>
      </c>
      <c r="F1009" s="1665">
        <v>286509586</v>
      </c>
      <c r="G1009" s="1665">
        <v>272378605</v>
      </c>
      <c r="H1009" s="1665">
        <v>286509586</v>
      </c>
      <c r="I1009" s="1665">
        <v>272378605</v>
      </c>
      <c r="J1009" s="1665">
        <v>286509586</v>
      </c>
      <c r="K1009" s="1665">
        <v>272378605</v>
      </c>
    </row>
    <row r="1010" spans="1:11">
      <c r="A1010" t="s">
        <v>6821</v>
      </c>
      <c r="B1010" s="1417" t="s">
        <v>679</v>
      </c>
      <c r="C1010" s="1417" t="s">
        <v>8092</v>
      </c>
      <c r="D1010" s="1665">
        <v>496697969</v>
      </c>
      <c r="E1010" s="1665">
        <v>476807875</v>
      </c>
      <c r="F1010" s="1665">
        <v>496697969</v>
      </c>
      <c r="G1010" s="1665">
        <v>476807875</v>
      </c>
      <c r="H1010" s="1665">
        <v>496697969</v>
      </c>
      <c r="I1010" s="1665">
        <v>476807875</v>
      </c>
      <c r="J1010" s="1665">
        <v>496697969</v>
      </c>
      <c r="K1010" s="1665">
        <v>476807875</v>
      </c>
    </row>
    <row r="1011" spans="1:11">
      <c r="A1011" t="s">
        <v>6153</v>
      </c>
      <c r="B1011" s="1417" t="s">
        <v>680</v>
      </c>
      <c r="C1011" s="1417" t="s">
        <v>8093</v>
      </c>
      <c r="D1011" s="1665">
        <v>1362803137</v>
      </c>
      <c r="E1011" s="1665">
        <v>1351662965</v>
      </c>
      <c r="F1011" s="1665">
        <v>1357578897</v>
      </c>
      <c r="G1011" s="1665">
        <v>1346438725</v>
      </c>
      <c r="H1011" s="1665">
        <v>1362803137</v>
      </c>
      <c r="I1011" s="1665">
        <v>1351662965</v>
      </c>
      <c r="J1011" s="1665">
        <v>1357578897</v>
      </c>
      <c r="K1011" s="1665">
        <v>1346438725</v>
      </c>
    </row>
    <row r="1012" spans="1:11">
      <c r="A1012" t="s">
        <v>6154</v>
      </c>
      <c r="B1012" s="1417" t="s">
        <v>1471</v>
      </c>
      <c r="C1012" s="1417" t="s">
        <v>8094</v>
      </c>
      <c r="D1012" s="1665">
        <v>786310201</v>
      </c>
      <c r="E1012" s="1665">
        <v>782447515</v>
      </c>
      <c r="F1012" s="1665">
        <v>782451393</v>
      </c>
      <c r="G1012" s="1665">
        <v>778588707</v>
      </c>
      <c r="H1012" s="1665">
        <v>786310201</v>
      </c>
      <c r="I1012" s="1665">
        <v>782447515</v>
      </c>
      <c r="J1012" s="1665">
        <v>782451393</v>
      </c>
      <c r="K1012" s="1665">
        <v>778588707</v>
      </c>
    </row>
    <row r="1013" spans="1:11">
      <c r="A1013" t="s">
        <v>3790</v>
      </c>
      <c r="B1013" s="1417" t="s">
        <v>907</v>
      </c>
      <c r="C1013" s="1417" t="s">
        <v>8095</v>
      </c>
      <c r="D1013" s="1665">
        <v>714855454</v>
      </c>
      <c r="E1013" s="1665">
        <v>686312646</v>
      </c>
      <c r="F1013" s="1665">
        <v>714855454</v>
      </c>
      <c r="G1013" s="1665">
        <v>686312646</v>
      </c>
      <c r="H1013" s="1665">
        <v>723854166</v>
      </c>
      <c r="I1013" s="1665">
        <v>695311358</v>
      </c>
      <c r="J1013" s="1665">
        <v>723854166</v>
      </c>
      <c r="K1013" s="1665">
        <v>695311358</v>
      </c>
    </row>
    <row r="1014" spans="1:11">
      <c r="A1014" t="s">
        <v>6155</v>
      </c>
      <c r="B1014" s="1417" t="s">
        <v>1472</v>
      </c>
      <c r="C1014" s="1417" t="s">
        <v>8096</v>
      </c>
      <c r="D1014" s="1665">
        <v>75064943</v>
      </c>
      <c r="E1014" s="1665">
        <v>73606721</v>
      </c>
      <c r="F1014" s="1665">
        <v>75064943</v>
      </c>
      <c r="G1014" s="1665">
        <v>73606721</v>
      </c>
      <c r="H1014" s="1665">
        <v>75064943</v>
      </c>
      <c r="I1014" s="1665">
        <v>73606721</v>
      </c>
      <c r="J1014" s="1665">
        <v>75064943</v>
      </c>
      <c r="K1014" s="1665">
        <v>73606721</v>
      </c>
    </row>
    <row r="1015" spans="1:11">
      <c r="A1015" t="s">
        <v>3791</v>
      </c>
      <c r="B1015" s="1417" t="s">
        <v>1504</v>
      </c>
      <c r="C1015" s="1417" t="s">
        <v>8097</v>
      </c>
      <c r="D1015" s="1665">
        <v>257793423</v>
      </c>
      <c r="E1015" s="1665">
        <v>251377834</v>
      </c>
      <c r="F1015" s="1665">
        <v>257793423</v>
      </c>
      <c r="G1015" s="1665">
        <v>251377834</v>
      </c>
      <c r="H1015" s="1665">
        <v>395257393</v>
      </c>
      <c r="I1015" s="1665">
        <v>388841804</v>
      </c>
      <c r="J1015" s="1665">
        <v>395257393</v>
      </c>
      <c r="K1015" s="1665">
        <v>388841804</v>
      </c>
    </row>
    <row r="1016" spans="1:11">
      <c r="A1016" t="s">
        <v>6822</v>
      </c>
      <c r="B1016" s="1417" t="s">
        <v>514</v>
      </c>
      <c r="C1016" s="1417" t="s">
        <v>8098</v>
      </c>
      <c r="D1016" s="1665">
        <v>1093612311</v>
      </c>
      <c r="E1016" s="1665">
        <v>1065506300</v>
      </c>
      <c r="F1016" s="1665">
        <v>1069686054</v>
      </c>
      <c r="G1016" s="1665">
        <v>1041580043</v>
      </c>
      <c r="H1016" s="1665">
        <v>1093612311</v>
      </c>
      <c r="I1016" s="1665">
        <v>1065506300</v>
      </c>
      <c r="J1016" s="1665">
        <v>1069686054</v>
      </c>
      <c r="K1016" s="1665">
        <v>1041580043</v>
      </c>
    </row>
    <row r="1017" spans="1:11">
      <c r="A1017" t="s">
        <v>3792</v>
      </c>
      <c r="B1017" s="1417" t="s">
        <v>2406</v>
      </c>
      <c r="C1017" s="1417" t="s">
        <v>8099</v>
      </c>
      <c r="D1017" s="1665">
        <v>803947477</v>
      </c>
      <c r="E1017" s="1665">
        <v>791302181</v>
      </c>
      <c r="F1017" s="1665">
        <v>803947477</v>
      </c>
      <c r="G1017" s="1665">
        <v>791302181</v>
      </c>
      <c r="H1017" s="1665">
        <v>803947477</v>
      </c>
      <c r="I1017" s="1665">
        <v>791302181</v>
      </c>
      <c r="J1017" s="1665">
        <v>803947477</v>
      </c>
      <c r="K1017" s="1665">
        <v>791302181</v>
      </c>
    </row>
    <row r="1018" spans="1:11">
      <c r="A1018" t="s">
        <v>3793</v>
      </c>
      <c r="B1018" s="1417" t="s">
        <v>1688</v>
      </c>
      <c r="C1018" s="1417" t="s">
        <v>8100</v>
      </c>
      <c r="D1018" s="1665">
        <v>121171929</v>
      </c>
      <c r="E1018" s="1665">
        <v>118035601</v>
      </c>
      <c r="F1018" s="1665">
        <v>121171929</v>
      </c>
      <c r="G1018" s="1665">
        <v>118035601</v>
      </c>
      <c r="H1018" s="1665">
        <v>121171929</v>
      </c>
      <c r="I1018" s="1665">
        <v>118035601</v>
      </c>
      <c r="J1018" s="1665">
        <v>121171929</v>
      </c>
      <c r="K1018" s="1665">
        <v>118035601</v>
      </c>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346"/>
  <sheetViews>
    <sheetView topLeftCell="A142" workbookViewId="0">
      <selection activeCell="B1" sqref="B1"/>
    </sheetView>
  </sheetViews>
  <sheetFormatPr defaultRowHeight="12.75"/>
  <cols>
    <col min="2" max="2" width="8.7109375" style="1417"/>
    <col min="3" max="3" width="43.140625" style="1417" customWidth="1"/>
    <col min="4" max="4" width="12.5703125" style="1993" customWidth="1"/>
  </cols>
  <sheetData>
    <row r="1" spans="1:4" ht="15">
      <c r="A1" t="s">
        <v>6667</v>
      </c>
      <c r="B1" s="4662" t="str">
        <f>CONCATENATE(LEFT(RIGHT(CONCATENATE("000",A1),6),3),"-",(RIGHT(RIGHT(CONCATENATE("000",A1),6),3)))</f>
        <v>001-902</v>
      </c>
      <c r="C1" s="1417" t="s">
        <v>279</v>
      </c>
      <c r="D1" s="1993" t="s">
        <v>1782</v>
      </c>
    </row>
    <row r="2" spans="1:4" ht="15">
      <c r="A2" t="s">
        <v>3365</v>
      </c>
      <c r="B2" s="4662" t="str">
        <f t="shared" ref="B2:B65" si="0">CONCATENATE(LEFT(RIGHT(CONCATENATE("000",A2),6),3),"-",(RIGHT(RIGHT(CONCATENATE("000",A2),6),3)))</f>
        <v>001-903</v>
      </c>
      <c r="C2" s="1417" t="s">
        <v>280</v>
      </c>
      <c r="D2" s="1993" t="s">
        <v>1782</v>
      </c>
    </row>
    <row r="3" spans="1:4" ht="15">
      <c r="A3" t="s">
        <v>5753</v>
      </c>
      <c r="B3" s="4662" t="str">
        <f t="shared" si="0"/>
        <v>001-904</v>
      </c>
      <c r="C3" s="1417" t="s">
        <v>281</v>
      </c>
      <c r="D3" s="1993" t="s">
        <v>1782</v>
      </c>
    </row>
    <row r="4" spans="1:4" ht="15">
      <c r="A4" t="s">
        <v>5754</v>
      </c>
      <c r="B4" s="4662" t="str">
        <f t="shared" si="0"/>
        <v>001-906</v>
      </c>
      <c r="C4" s="1417" t="s">
        <v>282</v>
      </c>
      <c r="D4" s="1993" t="s">
        <v>1782</v>
      </c>
    </row>
    <row r="5" spans="1:4" ht="15">
      <c r="A5" t="s">
        <v>3366</v>
      </c>
      <c r="B5" s="4662" t="str">
        <f t="shared" si="0"/>
        <v>001-907</v>
      </c>
      <c r="C5" s="1417" t="s">
        <v>283</v>
      </c>
      <c r="D5" s="1993" t="s">
        <v>1782</v>
      </c>
    </row>
    <row r="6" spans="1:4" ht="15">
      <c r="A6" t="s">
        <v>6668</v>
      </c>
      <c r="B6" s="4662" t="str">
        <f t="shared" si="0"/>
        <v>001-908</v>
      </c>
      <c r="C6" s="1417" t="s">
        <v>1188</v>
      </c>
      <c r="D6" s="1993" t="s">
        <v>1782</v>
      </c>
    </row>
    <row r="7" spans="1:4" ht="15">
      <c r="A7" t="s">
        <v>5755</v>
      </c>
      <c r="B7" s="4662" t="str">
        <f t="shared" si="0"/>
        <v>001-909</v>
      </c>
      <c r="C7" s="1417" t="s">
        <v>1189</v>
      </c>
      <c r="D7" s="1993" t="s">
        <v>1782</v>
      </c>
    </row>
    <row r="8" spans="1:4" ht="15">
      <c r="A8" t="s">
        <v>9520</v>
      </c>
      <c r="B8" s="4662" t="str">
        <f t="shared" si="0"/>
        <v>003-801</v>
      </c>
      <c r="C8" s="1417" t="s">
        <v>9521</v>
      </c>
      <c r="D8" s="1993" t="s">
        <v>1782</v>
      </c>
    </row>
    <row r="9" spans="1:4" ht="15">
      <c r="A9" t="s">
        <v>3367</v>
      </c>
      <c r="B9" s="4662" t="str">
        <f t="shared" si="0"/>
        <v>003-902</v>
      </c>
      <c r="C9" s="1417" t="s">
        <v>2382</v>
      </c>
      <c r="D9" s="1993" t="s">
        <v>1782</v>
      </c>
    </row>
    <row r="10" spans="1:4" ht="15">
      <c r="A10" t="s">
        <v>5757</v>
      </c>
      <c r="B10" s="4662" t="str">
        <f t="shared" si="0"/>
        <v>003-903</v>
      </c>
      <c r="C10" s="1417" t="s">
        <v>1191</v>
      </c>
      <c r="D10" s="1993" t="s">
        <v>1782</v>
      </c>
    </row>
    <row r="11" spans="1:4" ht="15">
      <c r="A11" t="s">
        <v>3368</v>
      </c>
      <c r="B11" s="4662" t="str">
        <f t="shared" si="0"/>
        <v>003-904</v>
      </c>
      <c r="C11" s="1417" t="s">
        <v>1266</v>
      </c>
      <c r="D11" s="1993" t="s">
        <v>1782</v>
      </c>
    </row>
    <row r="12" spans="1:4" ht="15">
      <c r="A12" t="s">
        <v>3369</v>
      </c>
      <c r="B12" s="4662" t="str">
        <f t="shared" si="0"/>
        <v>003-905</v>
      </c>
      <c r="C12" s="1417" t="s">
        <v>1192</v>
      </c>
      <c r="D12" s="1993" t="s">
        <v>1782</v>
      </c>
    </row>
    <row r="13" spans="1:4" ht="15">
      <c r="A13" t="s">
        <v>5758</v>
      </c>
      <c r="B13" s="4662" t="str">
        <f t="shared" si="0"/>
        <v>003-906</v>
      </c>
      <c r="C13" s="1417" t="s">
        <v>1193</v>
      </c>
      <c r="D13" s="1993" t="s">
        <v>1782</v>
      </c>
    </row>
    <row r="14" spans="1:4" ht="15">
      <c r="A14" t="s">
        <v>3370</v>
      </c>
      <c r="B14" s="4662" t="str">
        <f t="shared" si="0"/>
        <v>003-907</v>
      </c>
      <c r="C14" s="1417" t="s">
        <v>1194</v>
      </c>
      <c r="D14" s="1993" t="s">
        <v>1782</v>
      </c>
    </row>
    <row r="15" spans="1:4" ht="15">
      <c r="A15" t="s">
        <v>5760</v>
      </c>
      <c r="B15" s="4662" t="str">
        <f t="shared" si="0"/>
        <v>005-901</v>
      </c>
      <c r="C15" s="1417" t="s">
        <v>1196</v>
      </c>
      <c r="D15" s="1993" t="s">
        <v>1782</v>
      </c>
    </row>
    <row r="16" spans="1:4" ht="15">
      <c r="A16" t="s">
        <v>5761</v>
      </c>
      <c r="B16" s="4662" t="str">
        <f t="shared" si="0"/>
        <v>005-902</v>
      </c>
      <c r="C16" s="1417" t="s">
        <v>1197</v>
      </c>
      <c r="D16" s="1993" t="s">
        <v>1782</v>
      </c>
    </row>
    <row r="17" spans="1:4" ht="15">
      <c r="A17" t="s">
        <v>3371</v>
      </c>
      <c r="B17" s="4662" t="str">
        <f t="shared" si="0"/>
        <v>005-904</v>
      </c>
      <c r="C17" s="1417" t="s">
        <v>1128</v>
      </c>
      <c r="D17" s="1993" t="s">
        <v>1782</v>
      </c>
    </row>
    <row r="18" spans="1:4" ht="15">
      <c r="A18" t="s">
        <v>5762</v>
      </c>
      <c r="B18" s="4662" t="str">
        <f t="shared" si="0"/>
        <v>006-902</v>
      </c>
      <c r="C18" s="1417" t="s">
        <v>1198</v>
      </c>
      <c r="D18" s="1993" t="s">
        <v>1782</v>
      </c>
    </row>
    <row r="19" spans="1:4" ht="15">
      <c r="A19" t="s">
        <v>3372</v>
      </c>
      <c r="B19" s="4662" t="str">
        <f t="shared" si="0"/>
        <v>007-901</v>
      </c>
      <c r="C19" s="1417" t="s">
        <v>661</v>
      </c>
      <c r="D19" s="1993" t="s">
        <v>1782</v>
      </c>
    </row>
    <row r="20" spans="1:4" ht="15">
      <c r="A20" t="s">
        <v>6669</v>
      </c>
      <c r="B20" s="4662" t="str">
        <f t="shared" si="0"/>
        <v>007-902</v>
      </c>
      <c r="C20" s="1417" t="s">
        <v>1199</v>
      </c>
      <c r="D20" s="1993" t="s">
        <v>1782</v>
      </c>
    </row>
    <row r="21" spans="1:4" ht="15">
      <c r="A21" t="s">
        <v>3373</v>
      </c>
      <c r="B21" s="4662" t="str">
        <f t="shared" si="0"/>
        <v>007-904</v>
      </c>
      <c r="C21" s="1417" t="s">
        <v>1200</v>
      </c>
      <c r="D21" s="1993" t="s">
        <v>1782</v>
      </c>
    </row>
    <row r="22" spans="1:4" ht="15">
      <c r="A22" t="s">
        <v>3374</v>
      </c>
      <c r="B22" s="4662" t="str">
        <f t="shared" si="0"/>
        <v>007-905</v>
      </c>
      <c r="C22" s="1417" t="s">
        <v>1001</v>
      </c>
      <c r="D22" s="1993" t="s">
        <v>1782</v>
      </c>
    </row>
    <row r="23" spans="1:4" ht="15">
      <c r="A23" t="s">
        <v>3375</v>
      </c>
      <c r="B23" s="4662" t="str">
        <f t="shared" si="0"/>
        <v>007-906</v>
      </c>
      <c r="C23" s="1417" t="s">
        <v>1004</v>
      </c>
      <c r="D23" s="1993" t="s">
        <v>1782</v>
      </c>
    </row>
    <row r="24" spans="1:4" ht="15">
      <c r="A24" t="s">
        <v>5763</v>
      </c>
      <c r="B24" s="4662" t="str">
        <f t="shared" si="0"/>
        <v>008-901</v>
      </c>
      <c r="C24" s="1417" t="s">
        <v>1201</v>
      </c>
      <c r="D24" s="1993" t="s">
        <v>1782</v>
      </c>
    </row>
    <row r="25" spans="1:4" ht="15">
      <c r="A25" t="s">
        <v>5764</v>
      </c>
      <c r="B25" s="4662" t="str">
        <f t="shared" si="0"/>
        <v>008-902</v>
      </c>
      <c r="C25" s="1417" t="s">
        <v>1202</v>
      </c>
      <c r="D25" s="1993" t="s">
        <v>1782</v>
      </c>
    </row>
    <row r="26" spans="1:4" ht="15">
      <c r="A26" t="s">
        <v>5765</v>
      </c>
      <c r="B26" s="4662" t="str">
        <f t="shared" si="0"/>
        <v>008-903</v>
      </c>
      <c r="C26" s="1417" t="s">
        <v>1203</v>
      </c>
      <c r="D26" s="1993" t="s">
        <v>1782</v>
      </c>
    </row>
    <row r="27" spans="1:4" ht="15">
      <c r="A27" t="s">
        <v>3376</v>
      </c>
      <c r="B27" s="4662" t="str">
        <f t="shared" si="0"/>
        <v>009-901</v>
      </c>
      <c r="C27" s="1417" t="s">
        <v>1204</v>
      </c>
      <c r="D27" s="1993" t="s">
        <v>1782</v>
      </c>
    </row>
    <row r="28" spans="1:4" ht="15">
      <c r="A28" t="s">
        <v>9522</v>
      </c>
      <c r="B28" s="4662" t="str">
        <f t="shared" si="0"/>
        <v>009-903</v>
      </c>
      <c r="C28" s="1417" t="s">
        <v>9523</v>
      </c>
      <c r="D28" s="1993" t="s">
        <v>1782</v>
      </c>
    </row>
    <row r="29" spans="1:4" ht="15">
      <c r="A29" t="s">
        <v>6670</v>
      </c>
      <c r="B29" s="4662" t="str">
        <f t="shared" si="0"/>
        <v>010-901</v>
      </c>
      <c r="C29" s="1417" t="s">
        <v>1205</v>
      </c>
      <c r="D29" s="1993" t="s">
        <v>1782</v>
      </c>
    </row>
    <row r="30" spans="1:4" ht="15">
      <c r="A30" t="s">
        <v>3378</v>
      </c>
      <c r="B30" s="4662" t="str">
        <f t="shared" si="0"/>
        <v>011-901</v>
      </c>
      <c r="C30" s="1417" t="s">
        <v>2123</v>
      </c>
      <c r="D30" s="1993" t="s">
        <v>1782</v>
      </c>
    </row>
    <row r="31" spans="1:4" ht="15">
      <c r="A31" t="s">
        <v>3379</v>
      </c>
      <c r="B31" s="4662" t="str">
        <f t="shared" si="0"/>
        <v>011-902</v>
      </c>
      <c r="C31" s="1417" t="s">
        <v>890</v>
      </c>
      <c r="D31" s="1993" t="s">
        <v>1782</v>
      </c>
    </row>
    <row r="32" spans="1:4" ht="15">
      <c r="A32" t="s">
        <v>3380</v>
      </c>
      <c r="B32" s="4662" t="str">
        <f t="shared" si="0"/>
        <v>011-904</v>
      </c>
      <c r="C32" s="1417" t="s">
        <v>1928</v>
      </c>
      <c r="D32" s="1993" t="s">
        <v>1782</v>
      </c>
    </row>
    <row r="33" spans="1:4" ht="15">
      <c r="A33" t="s">
        <v>3381</v>
      </c>
      <c r="B33" s="4662" t="str">
        <f t="shared" si="0"/>
        <v>011-905</v>
      </c>
      <c r="C33" s="1417" t="s">
        <v>818</v>
      </c>
      <c r="D33" s="1993" t="s">
        <v>1782</v>
      </c>
    </row>
    <row r="34" spans="1:4" ht="15">
      <c r="A34" t="s">
        <v>6671</v>
      </c>
      <c r="B34" s="4662" t="str">
        <f t="shared" si="0"/>
        <v>012-901</v>
      </c>
      <c r="C34" s="1417" t="s">
        <v>1206</v>
      </c>
      <c r="D34" s="1993" t="s">
        <v>1782</v>
      </c>
    </row>
    <row r="35" spans="1:4" ht="15">
      <c r="A35" t="s">
        <v>9524</v>
      </c>
      <c r="B35" s="4662" t="str">
        <f t="shared" si="0"/>
        <v>013-801</v>
      </c>
      <c r="C35" s="1417" t="s">
        <v>9525</v>
      </c>
      <c r="D35" s="1993" t="s">
        <v>1782</v>
      </c>
    </row>
    <row r="36" spans="1:4" ht="15">
      <c r="A36" t="s">
        <v>3382</v>
      </c>
      <c r="B36" s="4662" t="str">
        <f t="shared" si="0"/>
        <v>013-901</v>
      </c>
      <c r="C36" s="1417" t="s">
        <v>2124</v>
      </c>
      <c r="D36" s="1993" t="s">
        <v>1782</v>
      </c>
    </row>
    <row r="37" spans="1:4" ht="15">
      <c r="A37" t="s">
        <v>3383</v>
      </c>
      <c r="B37" s="4662" t="str">
        <f t="shared" si="0"/>
        <v>013-905</v>
      </c>
      <c r="C37" s="1417" t="s">
        <v>1828</v>
      </c>
      <c r="D37" s="1993" t="s">
        <v>1782</v>
      </c>
    </row>
    <row r="38" spans="1:4" ht="15">
      <c r="A38" t="s">
        <v>9526</v>
      </c>
      <c r="B38" s="4662" t="str">
        <f t="shared" si="0"/>
        <v>014-801</v>
      </c>
      <c r="C38" s="1417" t="s">
        <v>9527</v>
      </c>
      <c r="D38" s="1993" t="s">
        <v>1782</v>
      </c>
    </row>
    <row r="39" spans="1:4" ht="15">
      <c r="A39" t="s">
        <v>9528</v>
      </c>
      <c r="B39" s="4662" t="str">
        <f t="shared" si="0"/>
        <v>014-802</v>
      </c>
      <c r="C39" s="1417" t="s">
        <v>9529</v>
      </c>
      <c r="D39" s="1993" t="s">
        <v>1782</v>
      </c>
    </row>
    <row r="40" spans="1:4" ht="15">
      <c r="A40" t="s">
        <v>9530</v>
      </c>
      <c r="B40" s="4662" t="str">
        <f t="shared" si="0"/>
        <v>014-803</v>
      </c>
      <c r="C40" s="1417" t="s">
        <v>9531</v>
      </c>
      <c r="D40" s="1993" t="s">
        <v>1782</v>
      </c>
    </row>
    <row r="41" spans="1:4" ht="15">
      <c r="A41" t="s">
        <v>9532</v>
      </c>
      <c r="B41" s="4662" t="str">
        <f t="shared" si="0"/>
        <v>014-804</v>
      </c>
      <c r="C41" s="1417" t="s">
        <v>9533</v>
      </c>
      <c r="D41" s="1993" t="s">
        <v>1782</v>
      </c>
    </row>
    <row r="42" spans="1:4" ht="15">
      <c r="A42" t="s">
        <v>5768</v>
      </c>
      <c r="B42" s="4662" t="str">
        <f t="shared" si="0"/>
        <v>014-901</v>
      </c>
      <c r="C42" s="1417" t="s">
        <v>1209</v>
      </c>
      <c r="D42" s="1993" t="s">
        <v>1782</v>
      </c>
    </row>
    <row r="43" spans="1:4" ht="15">
      <c r="A43" t="s">
        <v>3384</v>
      </c>
      <c r="B43" s="4662" t="str">
        <f t="shared" si="0"/>
        <v>014-902</v>
      </c>
      <c r="C43" s="1417" t="s">
        <v>2122</v>
      </c>
      <c r="D43" s="1993" t="s">
        <v>1782</v>
      </c>
    </row>
    <row r="44" spans="1:4" ht="15">
      <c r="A44" t="s">
        <v>3385</v>
      </c>
      <c r="B44" s="4662" t="str">
        <f t="shared" si="0"/>
        <v>014-903</v>
      </c>
      <c r="C44" s="1417" t="s">
        <v>2680</v>
      </c>
      <c r="D44" s="1993" t="s">
        <v>1782</v>
      </c>
    </row>
    <row r="45" spans="1:4" ht="15">
      <c r="A45" t="s">
        <v>3386</v>
      </c>
      <c r="B45" s="4662" t="str">
        <f t="shared" si="0"/>
        <v>014-905</v>
      </c>
      <c r="C45" s="1417" t="s">
        <v>2377</v>
      </c>
      <c r="D45" s="1993" t="s">
        <v>1782</v>
      </c>
    </row>
    <row r="46" spans="1:4" ht="15">
      <c r="A46" t="s">
        <v>3387</v>
      </c>
      <c r="B46" s="4662" t="str">
        <f t="shared" si="0"/>
        <v>014-906</v>
      </c>
      <c r="C46" s="1417" t="s">
        <v>2518</v>
      </c>
      <c r="D46" s="1993" t="s">
        <v>1782</v>
      </c>
    </row>
    <row r="47" spans="1:4" ht="15">
      <c r="A47" t="s">
        <v>3388</v>
      </c>
      <c r="B47" s="4662" t="str">
        <f t="shared" si="0"/>
        <v>014-907</v>
      </c>
      <c r="C47" s="1417" t="s">
        <v>1402</v>
      </c>
      <c r="D47" s="1993" t="s">
        <v>1782</v>
      </c>
    </row>
    <row r="48" spans="1:4" ht="15">
      <c r="A48" t="s">
        <v>3389</v>
      </c>
      <c r="B48" s="4662" t="str">
        <f t="shared" si="0"/>
        <v>014-908</v>
      </c>
      <c r="C48" s="1417" t="s">
        <v>2025</v>
      </c>
      <c r="D48" s="1993" t="s">
        <v>1782</v>
      </c>
    </row>
    <row r="49" spans="1:4" ht="15">
      <c r="A49" t="s">
        <v>3390</v>
      </c>
      <c r="B49" s="4662" t="str">
        <f t="shared" si="0"/>
        <v>014-909</v>
      </c>
      <c r="C49" s="1417" t="s">
        <v>603</v>
      </c>
      <c r="D49" s="1993" t="s">
        <v>1782</v>
      </c>
    </row>
    <row r="50" spans="1:4" ht="15">
      <c r="A50" t="s">
        <v>3391</v>
      </c>
      <c r="B50" s="4662" t="str">
        <f t="shared" si="0"/>
        <v>014-910</v>
      </c>
      <c r="C50" s="1417" t="s">
        <v>2312</v>
      </c>
      <c r="D50" s="1993" t="s">
        <v>1782</v>
      </c>
    </row>
    <row r="51" spans="1:4" ht="15">
      <c r="A51" t="s">
        <v>9534</v>
      </c>
      <c r="B51" s="4662" t="str">
        <f t="shared" si="0"/>
        <v>015-801</v>
      </c>
      <c r="C51" s="1417" t="s">
        <v>9535</v>
      </c>
      <c r="D51" s="1993" t="s">
        <v>1782</v>
      </c>
    </row>
    <row r="52" spans="1:4" ht="15">
      <c r="A52" t="s">
        <v>9536</v>
      </c>
      <c r="B52" s="4662" t="str">
        <f t="shared" si="0"/>
        <v>015-802</v>
      </c>
      <c r="C52" s="1417" t="s">
        <v>9537</v>
      </c>
      <c r="D52" s="1993" t="s">
        <v>1782</v>
      </c>
    </row>
    <row r="53" spans="1:4" ht="15">
      <c r="A53" t="s">
        <v>9538</v>
      </c>
      <c r="B53" s="4662" t="str">
        <f t="shared" si="0"/>
        <v>015-803</v>
      </c>
      <c r="C53" s="1417" t="s">
        <v>9539</v>
      </c>
      <c r="D53" s="1993" t="s">
        <v>1782</v>
      </c>
    </row>
    <row r="54" spans="1:4" ht="15">
      <c r="A54" t="s">
        <v>9540</v>
      </c>
      <c r="B54" s="4662" t="str">
        <f t="shared" si="0"/>
        <v>015-805</v>
      </c>
      <c r="C54" s="1417" t="s">
        <v>9541</v>
      </c>
      <c r="D54" s="1993" t="s">
        <v>1782</v>
      </c>
    </row>
    <row r="55" spans="1:4" ht="15">
      <c r="A55" t="s">
        <v>9542</v>
      </c>
      <c r="B55" s="4662" t="str">
        <f t="shared" si="0"/>
        <v>015-806</v>
      </c>
      <c r="C55" s="1417" t="s">
        <v>9543</v>
      </c>
      <c r="D55" s="1993" t="s">
        <v>1782</v>
      </c>
    </row>
    <row r="56" spans="1:4" ht="15">
      <c r="A56" t="s">
        <v>9544</v>
      </c>
      <c r="B56" s="4662" t="str">
        <f t="shared" si="0"/>
        <v>015-807</v>
      </c>
      <c r="C56" s="1417" t="s">
        <v>9545</v>
      </c>
      <c r="D56" s="1993" t="s">
        <v>1782</v>
      </c>
    </row>
    <row r="57" spans="1:4" ht="15">
      <c r="A57" t="s">
        <v>9546</v>
      </c>
      <c r="B57" s="4662" t="str">
        <f t="shared" si="0"/>
        <v>015-808</v>
      </c>
      <c r="C57" s="1417" t="s">
        <v>9547</v>
      </c>
      <c r="D57" s="1993" t="s">
        <v>1782</v>
      </c>
    </row>
    <row r="58" spans="1:4" ht="15">
      <c r="A58" t="s">
        <v>9548</v>
      </c>
      <c r="B58" s="4662" t="str">
        <f t="shared" si="0"/>
        <v>015-809</v>
      </c>
      <c r="C58" s="1417" t="s">
        <v>9549</v>
      </c>
      <c r="D58" s="1993" t="s">
        <v>1782</v>
      </c>
    </row>
    <row r="59" spans="1:4" ht="15">
      <c r="A59" t="s">
        <v>9550</v>
      </c>
      <c r="B59" s="4662" t="str">
        <f t="shared" si="0"/>
        <v>015-810</v>
      </c>
      <c r="C59" s="1417" t="s">
        <v>9551</v>
      </c>
      <c r="D59" s="1993" t="s">
        <v>1782</v>
      </c>
    </row>
    <row r="60" spans="1:4" ht="15">
      <c r="A60" t="s">
        <v>9552</v>
      </c>
      <c r="B60" s="4662" t="str">
        <f t="shared" si="0"/>
        <v>015-811</v>
      </c>
      <c r="C60" s="1417" t="s">
        <v>9553</v>
      </c>
      <c r="D60" s="1993" t="s">
        <v>1782</v>
      </c>
    </row>
    <row r="61" spans="1:4" ht="15">
      <c r="A61" t="s">
        <v>9554</v>
      </c>
      <c r="B61" s="4662" t="str">
        <f t="shared" si="0"/>
        <v>015-812</v>
      </c>
      <c r="C61" s="1417" t="s">
        <v>9555</v>
      </c>
      <c r="D61" s="1993" t="s">
        <v>1782</v>
      </c>
    </row>
    <row r="62" spans="1:4" ht="15">
      <c r="A62" t="s">
        <v>9556</v>
      </c>
      <c r="B62" s="4662" t="str">
        <f t="shared" si="0"/>
        <v>015-813</v>
      </c>
      <c r="C62" s="1417" t="s">
        <v>9557</v>
      </c>
      <c r="D62" s="1993" t="s">
        <v>1782</v>
      </c>
    </row>
    <row r="63" spans="1:4" ht="15">
      <c r="A63" t="s">
        <v>9558</v>
      </c>
      <c r="B63" s="4662" t="str">
        <f t="shared" si="0"/>
        <v>015-814</v>
      </c>
      <c r="C63" s="1417" t="s">
        <v>9559</v>
      </c>
      <c r="D63" s="1993" t="s">
        <v>1782</v>
      </c>
    </row>
    <row r="64" spans="1:4" ht="15">
      <c r="A64" t="s">
        <v>9560</v>
      </c>
      <c r="B64" s="4662" t="str">
        <f t="shared" si="0"/>
        <v>015-815</v>
      </c>
      <c r="C64" s="1417" t="s">
        <v>9561</v>
      </c>
      <c r="D64" s="1993" t="s">
        <v>1782</v>
      </c>
    </row>
    <row r="65" spans="1:4" ht="15">
      <c r="A65" t="s">
        <v>9562</v>
      </c>
      <c r="B65" s="4662" t="str">
        <f t="shared" si="0"/>
        <v>015-816</v>
      </c>
      <c r="C65" s="1417" t="s">
        <v>9563</v>
      </c>
      <c r="D65" s="1993" t="s">
        <v>1782</v>
      </c>
    </row>
    <row r="66" spans="1:4" ht="15">
      <c r="A66" t="s">
        <v>9564</v>
      </c>
      <c r="B66" s="4662" t="str">
        <f t="shared" ref="B66:B129" si="1">CONCATENATE(LEFT(RIGHT(CONCATENATE("000",A66),6),3),"-",(RIGHT(RIGHT(CONCATENATE("000",A66),6),3)))</f>
        <v>015-817</v>
      </c>
      <c r="C66" s="1417" t="s">
        <v>9565</v>
      </c>
      <c r="D66" s="1993" t="s">
        <v>1782</v>
      </c>
    </row>
    <row r="67" spans="1:4" ht="15">
      <c r="A67" t="s">
        <v>9566</v>
      </c>
      <c r="B67" s="4662" t="str">
        <f t="shared" si="1"/>
        <v>015-819</v>
      </c>
      <c r="C67" s="1417" t="s">
        <v>9567</v>
      </c>
      <c r="D67" s="1993" t="s">
        <v>1782</v>
      </c>
    </row>
    <row r="68" spans="1:4" ht="15">
      <c r="A68" t="s">
        <v>9568</v>
      </c>
      <c r="B68" s="4662" t="str">
        <f t="shared" si="1"/>
        <v>015-820</v>
      </c>
      <c r="C68" s="1417" t="s">
        <v>9569</v>
      </c>
      <c r="D68" s="1993" t="s">
        <v>1782</v>
      </c>
    </row>
    <row r="69" spans="1:4" ht="15">
      <c r="A69" t="s">
        <v>9570</v>
      </c>
      <c r="B69" s="4662" t="str">
        <f t="shared" si="1"/>
        <v>015-822</v>
      </c>
      <c r="C69" s="1417" t="s">
        <v>9571</v>
      </c>
      <c r="D69" s="1993" t="s">
        <v>1782</v>
      </c>
    </row>
    <row r="70" spans="1:4" ht="15">
      <c r="A70" t="s">
        <v>9572</v>
      </c>
      <c r="B70" s="4662" t="str">
        <f t="shared" si="1"/>
        <v>015-823</v>
      </c>
      <c r="C70" s="1417" t="s">
        <v>9573</v>
      </c>
      <c r="D70" s="1993" t="s">
        <v>1782</v>
      </c>
    </row>
    <row r="71" spans="1:4" ht="15">
      <c r="A71" t="s">
        <v>9574</v>
      </c>
      <c r="B71" s="4662" t="str">
        <f t="shared" si="1"/>
        <v>015-824</v>
      </c>
      <c r="C71" s="1417" t="s">
        <v>9575</v>
      </c>
      <c r="D71" s="1993" t="s">
        <v>1782</v>
      </c>
    </row>
    <row r="72" spans="1:4" ht="15">
      <c r="A72" t="s">
        <v>9576</v>
      </c>
      <c r="B72" s="4662" t="str">
        <f t="shared" si="1"/>
        <v>015-825</v>
      </c>
      <c r="C72" s="1417" t="s">
        <v>9577</v>
      </c>
      <c r="D72" s="1993" t="s">
        <v>1782</v>
      </c>
    </row>
    <row r="73" spans="1:4" ht="15">
      <c r="A73" t="s">
        <v>9578</v>
      </c>
      <c r="B73" s="4662" t="str">
        <f t="shared" si="1"/>
        <v>015-826</v>
      </c>
      <c r="C73" s="1417" t="s">
        <v>9579</v>
      </c>
      <c r="D73" s="1993" t="s">
        <v>1782</v>
      </c>
    </row>
    <row r="74" spans="1:4" ht="15">
      <c r="A74" t="s">
        <v>9580</v>
      </c>
      <c r="B74" s="4662" t="str">
        <f t="shared" si="1"/>
        <v>015-827</v>
      </c>
      <c r="C74" s="1417" t="s">
        <v>9581</v>
      </c>
      <c r="D74" s="1993" t="s">
        <v>1782</v>
      </c>
    </row>
    <row r="75" spans="1:4" ht="15">
      <c r="A75" t="s">
        <v>9582</v>
      </c>
      <c r="B75" s="4662" t="str">
        <f t="shared" si="1"/>
        <v>015-828</v>
      </c>
      <c r="C75" s="1417" t="s">
        <v>9583</v>
      </c>
      <c r="D75" s="1993" t="s">
        <v>1782</v>
      </c>
    </row>
    <row r="76" spans="1:4" ht="15">
      <c r="A76" t="s">
        <v>9584</v>
      </c>
      <c r="B76" s="4662" t="str">
        <f t="shared" si="1"/>
        <v>015-829</v>
      </c>
      <c r="C76" s="1417" t="s">
        <v>9585</v>
      </c>
      <c r="D76" s="1993" t="s">
        <v>1782</v>
      </c>
    </row>
    <row r="77" spans="1:4" ht="15">
      <c r="A77" t="s">
        <v>9586</v>
      </c>
      <c r="B77" s="4662" t="str">
        <f t="shared" si="1"/>
        <v>015-830</v>
      </c>
      <c r="C77" s="1417" t="s">
        <v>9587</v>
      </c>
      <c r="D77" s="1993" t="s">
        <v>1782</v>
      </c>
    </row>
    <row r="78" spans="1:4" ht="15">
      <c r="A78" t="s">
        <v>9588</v>
      </c>
      <c r="B78" s="4662" t="str">
        <f t="shared" si="1"/>
        <v>015-831</v>
      </c>
      <c r="C78" s="1417" t="s">
        <v>9589</v>
      </c>
      <c r="D78" s="1993" t="s">
        <v>1782</v>
      </c>
    </row>
    <row r="79" spans="1:4" ht="15">
      <c r="A79" t="s">
        <v>9590</v>
      </c>
      <c r="B79" s="4662" t="str">
        <f t="shared" si="1"/>
        <v>015-832</v>
      </c>
      <c r="C79" s="1417" t="s">
        <v>9591</v>
      </c>
      <c r="D79" s="1993" t="s">
        <v>1782</v>
      </c>
    </row>
    <row r="80" spans="1:4" ht="15">
      <c r="A80" t="s">
        <v>9592</v>
      </c>
      <c r="B80" s="4662" t="str">
        <f t="shared" si="1"/>
        <v>015-833</v>
      </c>
      <c r="C80" s="1417" t="s">
        <v>9593</v>
      </c>
      <c r="D80" s="1993" t="s">
        <v>1782</v>
      </c>
    </row>
    <row r="81" spans="1:4" ht="15">
      <c r="A81" t="s">
        <v>9594</v>
      </c>
      <c r="B81" s="4662" t="str">
        <f t="shared" si="1"/>
        <v>015-834</v>
      </c>
      <c r="C81" s="1417" t="s">
        <v>9595</v>
      </c>
      <c r="D81" s="1993" t="s">
        <v>1782</v>
      </c>
    </row>
    <row r="82" spans="1:4" ht="15">
      <c r="A82" t="s">
        <v>9596</v>
      </c>
      <c r="B82" s="4662" t="str">
        <f t="shared" si="1"/>
        <v>015-835</v>
      </c>
      <c r="C82" s="1417" t="s">
        <v>9597</v>
      </c>
      <c r="D82" s="1993" t="s">
        <v>1782</v>
      </c>
    </row>
    <row r="83" spans="1:4" ht="15">
      <c r="A83" t="s">
        <v>9598</v>
      </c>
      <c r="B83" s="4662" t="str">
        <f t="shared" si="1"/>
        <v>015-836</v>
      </c>
      <c r="C83" s="1417" t="s">
        <v>9599</v>
      </c>
      <c r="D83" s="1993" t="s">
        <v>1782</v>
      </c>
    </row>
    <row r="84" spans="1:4" ht="15">
      <c r="A84" t="s">
        <v>9600</v>
      </c>
      <c r="B84" s="4662" t="str">
        <f t="shared" si="1"/>
        <v>015-837</v>
      </c>
      <c r="C84" s="1417" t="s">
        <v>9601</v>
      </c>
      <c r="D84" s="1993" t="s">
        <v>1782</v>
      </c>
    </row>
    <row r="85" spans="1:4" ht="15">
      <c r="A85" t="s">
        <v>9602</v>
      </c>
      <c r="B85" s="4662" t="str">
        <f t="shared" si="1"/>
        <v>015-838</v>
      </c>
      <c r="C85" s="1417" t="s">
        <v>9603</v>
      </c>
      <c r="D85" s="1993" t="s">
        <v>1782</v>
      </c>
    </row>
    <row r="86" spans="1:4" ht="15">
      <c r="A86" t="s">
        <v>9604</v>
      </c>
      <c r="B86" s="4662" t="str">
        <f t="shared" si="1"/>
        <v>015-839</v>
      </c>
      <c r="C86" s="1417" t="s">
        <v>9605</v>
      </c>
      <c r="D86" s="1993" t="s">
        <v>1782</v>
      </c>
    </row>
    <row r="87" spans="1:4" ht="15">
      <c r="A87" t="s">
        <v>3392</v>
      </c>
      <c r="B87" s="4662" t="str">
        <f t="shared" si="1"/>
        <v>015-904</v>
      </c>
      <c r="C87" s="1417" t="s">
        <v>724</v>
      </c>
      <c r="D87" s="1993" t="s">
        <v>1782</v>
      </c>
    </row>
    <row r="88" spans="1:4" ht="15">
      <c r="A88" t="s">
        <v>3393</v>
      </c>
      <c r="B88" s="4662" t="str">
        <f t="shared" si="1"/>
        <v>015-905</v>
      </c>
      <c r="C88" s="1417" t="s">
        <v>888</v>
      </c>
      <c r="D88" s="1993" t="s">
        <v>1782</v>
      </c>
    </row>
    <row r="89" spans="1:4" ht="15">
      <c r="A89" t="s">
        <v>8671</v>
      </c>
      <c r="B89" s="4662" t="str">
        <f t="shared" si="1"/>
        <v>015-906</v>
      </c>
      <c r="C89" s="1417" t="s">
        <v>1024</v>
      </c>
      <c r="D89" s="1993" t="s">
        <v>1782</v>
      </c>
    </row>
    <row r="90" spans="1:4" ht="15">
      <c r="A90" t="s">
        <v>3394</v>
      </c>
      <c r="B90" s="4662" t="str">
        <f t="shared" si="1"/>
        <v>015-907</v>
      </c>
      <c r="C90" s="1417" t="s">
        <v>2028</v>
      </c>
      <c r="D90" s="1993" t="s">
        <v>1782</v>
      </c>
    </row>
    <row r="91" spans="1:4" ht="15">
      <c r="A91" t="s">
        <v>3395</v>
      </c>
      <c r="B91" s="4662" t="str">
        <f t="shared" si="1"/>
        <v>015-908</v>
      </c>
      <c r="C91" s="1417" t="s">
        <v>1932</v>
      </c>
      <c r="D91" s="1993" t="s">
        <v>1782</v>
      </c>
    </row>
    <row r="92" spans="1:4" ht="15">
      <c r="A92" t="s">
        <v>3396</v>
      </c>
      <c r="B92" s="4662" t="str">
        <f t="shared" si="1"/>
        <v>015-909</v>
      </c>
      <c r="C92" s="1417" t="s">
        <v>1931</v>
      </c>
      <c r="D92" s="1993" t="s">
        <v>1782</v>
      </c>
    </row>
    <row r="93" spans="1:4" ht="15">
      <c r="A93" t="s">
        <v>3398</v>
      </c>
      <c r="B93" s="4662" t="str">
        <f t="shared" si="1"/>
        <v>015-911</v>
      </c>
      <c r="C93" s="1417" t="s">
        <v>1064</v>
      </c>
      <c r="D93" s="1993" t="s">
        <v>1782</v>
      </c>
    </row>
    <row r="94" spans="1:4" ht="15">
      <c r="A94" t="s">
        <v>3399</v>
      </c>
      <c r="B94" s="4662" t="str">
        <f t="shared" si="1"/>
        <v>015-912</v>
      </c>
      <c r="C94" s="1417" t="s">
        <v>1934</v>
      </c>
      <c r="D94" s="1993" t="s">
        <v>1782</v>
      </c>
    </row>
    <row r="95" spans="1:4" ht="15">
      <c r="A95" t="s">
        <v>8672</v>
      </c>
      <c r="B95" s="4662" t="str">
        <f t="shared" si="1"/>
        <v>015-913</v>
      </c>
      <c r="C95" s="1417" t="s">
        <v>1025</v>
      </c>
      <c r="D95" s="1993" t="s">
        <v>1782</v>
      </c>
    </row>
    <row r="96" spans="1:4" ht="15">
      <c r="A96" t="s">
        <v>8673</v>
      </c>
      <c r="B96" s="4662" t="str">
        <f t="shared" si="1"/>
        <v>015-914</v>
      </c>
      <c r="C96" s="1417" t="s">
        <v>1026</v>
      </c>
      <c r="D96" s="1993" t="s">
        <v>1782</v>
      </c>
    </row>
    <row r="97" spans="1:4" ht="15">
      <c r="A97" t="s">
        <v>3400</v>
      </c>
      <c r="B97" s="4662" t="str">
        <f t="shared" si="1"/>
        <v>015-915</v>
      </c>
      <c r="C97" s="1417" t="s">
        <v>2289</v>
      </c>
      <c r="D97" s="1993" t="s">
        <v>1782</v>
      </c>
    </row>
    <row r="98" spans="1:4" ht="15">
      <c r="A98" t="s">
        <v>3401</v>
      </c>
      <c r="B98" s="4662" t="str">
        <f t="shared" si="1"/>
        <v>015-916</v>
      </c>
      <c r="C98" s="1417" t="s">
        <v>408</v>
      </c>
      <c r="D98" s="1993" t="s">
        <v>1782</v>
      </c>
    </row>
    <row r="99" spans="1:4" ht="15">
      <c r="A99" t="s">
        <v>3402</v>
      </c>
      <c r="B99" s="4662" t="str">
        <f t="shared" si="1"/>
        <v>015-917</v>
      </c>
      <c r="C99" s="1417" t="s">
        <v>1933</v>
      </c>
      <c r="D99" s="1993" t="s">
        <v>1782</v>
      </c>
    </row>
    <row r="100" spans="1:4" ht="15">
      <c r="A100" t="s">
        <v>3404</v>
      </c>
      <c r="B100" s="4662" t="str">
        <f t="shared" si="1"/>
        <v>018-901</v>
      </c>
      <c r="C100" s="1417" t="s">
        <v>1165</v>
      </c>
      <c r="D100" s="1993" t="s">
        <v>1782</v>
      </c>
    </row>
    <row r="101" spans="1:4" ht="15">
      <c r="A101" t="s">
        <v>3405</v>
      </c>
      <c r="B101" s="4662" t="str">
        <f t="shared" si="1"/>
        <v>018-902</v>
      </c>
      <c r="C101" s="1417" t="s">
        <v>2682</v>
      </c>
      <c r="D101" s="1993" t="s">
        <v>1782</v>
      </c>
    </row>
    <row r="102" spans="1:4" ht="15">
      <c r="A102" t="s">
        <v>6672</v>
      </c>
      <c r="B102" s="4662" t="str">
        <f t="shared" si="1"/>
        <v>018-903</v>
      </c>
      <c r="C102" s="1417" t="s">
        <v>2683</v>
      </c>
      <c r="D102" s="1993" t="s">
        <v>1782</v>
      </c>
    </row>
    <row r="103" spans="1:4" ht="15">
      <c r="A103" t="s">
        <v>3406</v>
      </c>
      <c r="B103" s="4662" t="str">
        <f t="shared" si="1"/>
        <v>018-904</v>
      </c>
      <c r="C103" s="1417" t="s">
        <v>2684</v>
      </c>
      <c r="D103" s="1993" t="s">
        <v>1782</v>
      </c>
    </row>
    <row r="104" spans="1:4" ht="15">
      <c r="A104" t="s">
        <v>4235</v>
      </c>
      <c r="B104" s="4662" t="str">
        <f t="shared" si="1"/>
        <v>018-905</v>
      </c>
      <c r="C104" s="1417" t="s">
        <v>2024</v>
      </c>
      <c r="D104" s="1993" t="s">
        <v>1782</v>
      </c>
    </row>
    <row r="105" spans="1:4" ht="15">
      <c r="A105" t="s">
        <v>5773</v>
      </c>
      <c r="B105" s="4662" t="str">
        <f t="shared" si="1"/>
        <v>018-907</v>
      </c>
      <c r="C105" s="1417" t="s">
        <v>2686</v>
      </c>
      <c r="D105" s="1993" t="s">
        <v>1782</v>
      </c>
    </row>
    <row r="106" spans="1:4" ht="15">
      <c r="A106" t="s">
        <v>6673</v>
      </c>
      <c r="B106" s="4662" t="str">
        <f t="shared" si="1"/>
        <v>018-908</v>
      </c>
      <c r="C106" s="1417" t="s">
        <v>2687</v>
      </c>
      <c r="D106" s="1993" t="s">
        <v>1782</v>
      </c>
    </row>
    <row r="107" spans="1:4" ht="15">
      <c r="A107" t="s">
        <v>4237</v>
      </c>
      <c r="B107" s="4662" t="str">
        <f t="shared" si="1"/>
        <v>019-901</v>
      </c>
      <c r="C107" s="1417" t="s">
        <v>2666</v>
      </c>
      <c r="D107" s="1993" t="s">
        <v>1782</v>
      </c>
    </row>
    <row r="108" spans="1:4" ht="15">
      <c r="A108" t="s">
        <v>3407</v>
      </c>
      <c r="B108" s="4662" t="str">
        <f t="shared" si="1"/>
        <v>019-902</v>
      </c>
      <c r="C108" s="1417" t="s">
        <v>2379</v>
      </c>
      <c r="D108" s="1993" t="s">
        <v>1782</v>
      </c>
    </row>
    <row r="109" spans="1:4" ht="15">
      <c r="A109" t="s">
        <v>3408</v>
      </c>
      <c r="B109" s="4662" t="str">
        <f t="shared" si="1"/>
        <v>019-903</v>
      </c>
      <c r="C109" s="1417" t="s">
        <v>2067</v>
      </c>
      <c r="D109" s="1993" t="s">
        <v>1782</v>
      </c>
    </row>
    <row r="110" spans="1:4" ht="15">
      <c r="A110" t="s">
        <v>3409</v>
      </c>
      <c r="B110" s="4662" t="str">
        <f t="shared" si="1"/>
        <v>019-905</v>
      </c>
      <c r="C110" s="1417" t="s">
        <v>1398</v>
      </c>
      <c r="D110" s="1993" t="s">
        <v>1782</v>
      </c>
    </row>
    <row r="111" spans="1:4" ht="15">
      <c r="A111" t="s">
        <v>5774</v>
      </c>
      <c r="B111" s="4662" t="str">
        <f t="shared" si="1"/>
        <v>019-906</v>
      </c>
      <c r="C111" s="1417" t="s">
        <v>1399</v>
      </c>
      <c r="D111" s="1993" t="s">
        <v>1782</v>
      </c>
    </row>
    <row r="112" spans="1:4" ht="15">
      <c r="A112" t="s">
        <v>5775</v>
      </c>
      <c r="B112" s="4662" t="str">
        <f t="shared" si="1"/>
        <v>019-907</v>
      </c>
      <c r="C112" s="1417" t="s">
        <v>1400</v>
      </c>
      <c r="D112" s="1993" t="s">
        <v>1782</v>
      </c>
    </row>
    <row r="113" spans="1:4" ht="15">
      <c r="A113" t="s">
        <v>5776</v>
      </c>
      <c r="B113" s="4662" t="str">
        <f t="shared" si="1"/>
        <v>019-908</v>
      </c>
      <c r="C113" s="1417" t="s">
        <v>2486</v>
      </c>
      <c r="D113" s="1993" t="s">
        <v>1782</v>
      </c>
    </row>
    <row r="114" spans="1:4" ht="15">
      <c r="A114" t="s">
        <v>3410</v>
      </c>
      <c r="B114" s="4662" t="str">
        <f t="shared" si="1"/>
        <v>019-909</v>
      </c>
      <c r="C114" s="1417" t="s">
        <v>266</v>
      </c>
      <c r="D114" s="1993" t="s">
        <v>1782</v>
      </c>
    </row>
    <row r="115" spans="1:4" ht="15">
      <c r="A115" t="s">
        <v>3411</v>
      </c>
      <c r="B115" s="4662" t="str">
        <f t="shared" si="1"/>
        <v>019-910</v>
      </c>
      <c r="C115" s="1417" t="s">
        <v>289</v>
      </c>
      <c r="D115" s="1993" t="s">
        <v>1782</v>
      </c>
    </row>
    <row r="116" spans="1:4" ht="15">
      <c r="A116" t="s">
        <v>5777</v>
      </c>
      <c r="B116" s="4662" t="str">
        <f t="shared" si="1"/>
        <v>019-911</v>
      </c>
      <c r="C116" s="1417" t="s">
        <v>2487</v>
      </c>
      <c r="D116" s="1993" t="s">
        <v>1782</v>
      </c>
    </row>
    <row r="117" spans="1:4" ht="15">
      <c r="A117" t="s">
        <v>5778</v>
      </c>
      <c r="B117" s="4662" t="str">
        <f t="shared" si="1"/>
        <v>019-912</v>
      </c>
      <c r="C117" s="1417" t="s">
        <v>2488</v>
      </c>
      <c r="D117" s="1993" t="s">
        <v>1782</v>
      </c>
    </row>
    <row r="118" spans="1:4" ht="15">
      <c r="A118" t="s">
        <v>6674</v>
      </c>
      <c r="B118" s="4662" t="str">
        <f t="shared" si="1"/>
        <v>019-913</v>
      </c>
      <c r="C118" s="1417" t="s">
        <v>2381</v>
      </c>
      <c r="D118" s="1993" t="s">
        <v>1782</v>
      </c>
    </row>
    <row r="119" spans="1:4" ht="15">
      <c r="A119" t="s">
        <v>6675</v>
      </c>
      <c r="B119" s="4662" t="str">
        <f t="shared" si="1"/>
        <v>019-914</v>
      </c>
      <c r="C119" s="1417" t="s">
        <v>2489</v>
      </c>
      <c r="D119" s="1993" t="s">
        <v>1782</v>
      </c>
    </row>
    <row r="120" spans="1:4" ht="15">
      <c r="A120" t="s">
        <v>3412</v>
      </c>
      <c r="B120" s="4662" t="str">
        <f t="shared" si="1"/>
        <v>020-901</v>
      </c>
      <c r="C120" s="1417" t="s">
        <v>1052</v>
      </c>
      <c r="D120" s="1993" t="s">
        <v>1782</v>
      </c>
    </row>
    <row r="121" spans="1:4" ht="15">
      <c r="A121" t="s">
        <v>5779</v>
      </c>
      <c r="B121" s="4662" t="str">
        <f t="shared" si="1"/>
        <v>020-902</v>
      </c>
      <c r="C121" s="1417" t="s">
        <v>2490</v>
      </c>
      <c r="D121" s="1993" t="s">
        <v>1782</v>
      </c>
    </row>
    <row r="122" spans="1:4" ht="15">
      <c r="A122" t="s">
        <v>3413</v>
      </c>
      <c r="B122" s="4662" t="str">
        <f t="shared" si="1"/>
        <v>020-904</v>
      </c>
      <c r="C122" s="1417" t="s">
        <v>2662</v>
      </c>
      <c r="D122" s="1993" t="s">
        <v>1782</v>
      </c>
    </row>
    <row r="123" spans="1:4" ht="15">
      <c r="A123" t="s">
        <v>3414</v>
      </c>
      <c r="B123" s="4662" t="str">
        <f t="shared" si="1"/>
        <v>020-907</v>
      </c>
      <c r="C123" s="1417" t="s">
        <v>1548</v>
      </c>
      <c r="D123" s="1993" t="s">
        <v>1782</v>
      </c>
    </row>
    <row r="124" spans="1:4" ht="15">
      <c r="A124" t="s">
        <v>3415</v>
      </c>
      <c r="B124" s="4662" t="str">
        <f t="shared" si="1"/>
        <v>020-908</v>
      </c>
      <c r="C124" s="1417" t="s">
        <v>273</v>
      </c>
      <c r="D124" s="1993" t="s">
        <v>1782</v>
      </c>
    </row>
    <row r="125" spans="1:4" ht="15">
      <c r="A125" t="s">
        <v>3416</v>
      </c>
      <c r="B125" s="4662" t="str">
        <f t="shared" si="1"/>
        <v>020-910</v>
      </c>
      <c r="C125" s="1417" t="s">
        <v>2493</v>
      </c>
      <c r="D125" s="1993" t="s">
        <v>1782</v>
      </c>
    </row>
    <row r="126" spans="1:4" ht="15">
      <c r="A126" t="s">
        <v>9606</v>
      </c>
      <c r="B126" s="4662" t="str">
        <f t="shared" si="1"/>
        <v>021-803</v>
      </c>
      <c r="C126" s="1417" t="s">
        <v>9607</v>
      </c>
      <c r="D126" s="1993" t="s">
        <v>1782</v>
      </c>
    </row>
    <row r="127" spans="1:4" ht="15">
      <c r="A127" t="s">
        <v>9608</v>
      </c>
      <c r="B127" s="4662" t="str">
        <f t="shared" si="1"/>
        <v>021-804</v>
      </c>
      <c r="C127" s="1417" t="s">
        <v>9609</v>
      </c>
      <c r="D127" s="1993" t="s">
        <v>1782</v>
      </c>
    </row>
    <row r="128" spans="1:4" ht="15">
      <c r="A128" t="s">
        <v>9610</v>
      </c>
      <c r="B128" s="4662" t="str">
        <f t="shared" si="1"/>
        <v>021-805</v>
      </c>
      <c r="C128" s="1417" t="s">
        <v>9611</v>
      </c>
      <c r="D128" s="1993" t="s">
        <v>1782</v>
      </c>
    </row>
    <row r="129" spans="1:4" ht="15">
      <c r="A129" t="s">
        <v>3418</v>
      </c>
      <c r="B129" s="4662" t="str">
        <f t="shared" si="1"/>
        <v>021-902</v>
      </c>
      <c r="C129" s="1417" t="s">
        <v>2636</v>
      </c>
      <c r="D129" s="1993" t="s">
        <v>1782</v>
      </c>
    </row>
    <row r="130" spans="1:4" ht="15">
      <c r="A130" t="s">
        <v>9612</v>
      </c>
      <c r="B130" s="4662" t="str">
        <f t="shared" ref="B130:B193" si="2">CONCATENATE(LEFT(RIGHT(CONCATENATE("000",A130),6),3),"-",(RIGHT(RIGHT(CONCATENATE("000",A130),6),3)))</f>
        <v>021-903</v>
      </c>
      <c r="C130" s="1417" t="s">
        <v>9613</v>
      </c>
      <c r="D130" s="1993" t="s">
        <v>1782</v>
      </c>
    </row>
    <row r="131" spans="1:4" ht="15">
      <c r="A131" t="s">
        <v>6676</v>
      </c>
      <c r="B131" s="4662" t="str">
        <f t="shared" si="2"/>
        <v>022-004</v>
      </c>
      <c r="C131" s="1417" t="s">
        <v>2494</v>
      </c>
      <c r="D131" s="1993" t="s">
        <v>1782</v>
      </c>
    </row>
    <row r="132" spans="1:4" ht="15">
      <c r="A132" t="s">
        <v>5782</v>
      </c>
      <c r="B132" s="4662" t="str">
        <f t="shared" si="2"/>
        <v>022-901</v>
      </c>
      <c r="C132" s="1417" t="s">
        <v>2495</v>
      </c>
      <c r="D132" s="1993" t="s">
        <v>1782</v>
      </c>
    </row>
    <row r="133" spans="1:4" ht="15">
      <c r="A133" t="s">
        <v>6677</v>
      </c>
      <c r="B133" s="4662" t="str">
        <f t="shared" si="2"/>
        <v>022-902</v>
      </c>
      <c r="C133" s="1417" t="s">
        <v>1589</v>
      </c>
      <c r="D133" s="1993" t="s">
        <v>1782</v>
      </c>
    </row>
    <row r="134" spans="1:4" ht="15">
      <c r="A134" t="s">
        <v>6678</v>
      </c>
      <c r="B134" s="4662" t="str">
        <f t="shared" si="2"/>
        <v>022-903</v>
      </c>
      <c r="C134" s="1417" t="s">
        <v>1590</v>
      </c>
      <c r="D134" s="1993" t="s">
        <v>1782</v>
      </c>
    </row>
    <row r="135" spans="1:4" ht="15">
      <c r="A135" t="s">
        <v>6679</v>
      </c>
      <c r="B135" s="4662" t="str">
        <f t="shared" si="2"/>
        <v>023-902</v>
      </c>
      <c r="C135" s="1417" t="s">
        <v>1591</v>
      </c>
      <c r="D135" s="1993" t="s">
        <v>1782</v>
      </c>
    </row>
    <row r="136" spans="1:4" ht="15">
      <c r="A136" t="s">
        <v>9614</v>
      </c>
      <c r="B136" s="4662" t="str">
        <f t="shared" si="2"/>
        <v>024-801</v>
      </c>
      <c r="C136" s="1417" t="s">
        <v>9615</v>
      </c>
      <c r="D136" s="1993" t="s">
        <v>1782</v>
      </c>
    </row>
    <row r="137" spans="1:4" ht="15">
      <c r="A137" t="s">
        <v>5783</v>
      </c>
      <c r="B137" s="4662" t="str">
        <f t="shared" si="2"/>
        <v>024-901</v>
      </c>
      <c r="C137" s="1417" t="s">
        <v>1592</v>
      </c>
      <c r="D137" s="1993" t="s">
        <v>1782</v>
      </c>
    </row>
    <row r="138" spans="1:4" ht="15">
      <c r="A138" t="s">
        <v>5784</v>
      </c>
      <c r="B138" s="4662" t="str">
        <f t="shared" si="2"/>
        <v>025-901</v>
      </c>
      <c r="C138" s="1417" t="s">
        <v>1593</v>
      </c>
      <c r="D138" s="1993" t="s">
        <v>1782</v>
      </c>
    </row>
    <row r="139" spans="1:4" ht="15">
      <c r="A139" t="s">
        <v>5785</v>
      </c>
      <c r="B139" s="4662" t="str">
        <f t="shared" si="2"/>
        <v>025-902</v>
      </c>
      <c r="C139" s="1417" t="s">
        <v>1594</v>
      </c>
      <c r="D139" s="1993" t="s">
        <v>1782</v>
      </c>
    </row>
    <row r="140" spans="1:4" ht="15">
      <c r="A140" t="s">
        <v>3419</v>
      </c>
      <c r="B140" s="4662" t="str">
        <f t="shared" si="2"/>
        <v>025-904</v>
      </c>
      <c r="C140" s="1417" t="s">
        <v>1343</v>
      </c>
      <c r="D140" s="1993" t="s">
        <v>1782</v>
      </c>
    </row>
    <row r="141" spans="1:4" ht="15">
      <c r="A141" t="s">
        <v>3420</v>
      </c>
      <c r="B141" s="4662" t="str">
        <f t="shared" si="2"/>
        <v>025-905</v>
      </c>
      <c r="C141" s="1417" t="s">
        <v>2068</v>
      </c>
      <c r="D141" s="1993" t="s">
        <v>1782</v>
      </c>
    </row>
    <row r="142" spans="1:4" ht="15">
      <c r="A142" t="s">
        <v>3421</v>
      </c>
      <c r="B142" s="4662" t="str">
        <f t="shared" si="2"/>
        <v>025-906</v>
      </c>
      <c r="C142" s="1417" t="s">
        <v>2675</v>
      </c>
      <c r="D142" s="1993" t="s">
        <v>1782</v>
      </c>
    </row>
    <row r="143" spans="1:4" ht="15">
      <c r="A143" t="s">
        <v>3422</v>
      </c>
      <c r="B143" s="4662" t="str">
        <f t="shared" si="2"/>
        <v>025-908</v>
      </c>
      <c r="C143" s="1417" t="s">
        <v>2416</v>
      </c>
      <c r="D143" s="1993" t="s">
        <v>1782</v>
      </c>
    </row>
    <row r="144" spans="1:4" ht="15">
      <c r="A144" t="s">
        <v>3423</v>
      </c>
      <c r="B144" s="4662" t="str">
        <f t="shared" si="2"/>
        <v>025-909</v>
      </c>
      <c r="C144" s="1417" t="s">
        <v>1063</v>
      </c>
      <c r="D144" s="1993" t="s">
        <v>1782</v>
      </c>
    </row>
    <row r="145" spans="1:4" ht="15">
      <c r="A145" t="s">
        <v>9616</v>
      </c>
      <c r="B145" s="4662" t="str">
        <f t="shared" si="2"/>
        <v>025-910</v>
      </c>
      <c r="C145" s="1417" t="s">
        <v>9617</v>
      </c>
      <c r="D145" s="1993" t="s">
        <v>1782</v>
      </c>
    </row>
    <row r="146" spans="1:4" ht="15">
      <c r="A146" t="s">
        <v>9618</v>
      </c>
      <c r="B146" s="4662" t="str">
        <f t="shared" si="2"/>
        <v>025-911</v>
      </c>
      <c r="C146" s="1417" t="s">
        <v>9619</v>
      </c>
      <c r="D146" s="1993" t="s">
        <v>1782</v>
      </c>
    </row>
    <row r="147" spans="1:4" ht="15">
      <c r="A147" t="s">
        <v>5786</v>
      </c>
      <c r="B147" s="4662" t="str">
        <f t="shared" si="2"/>
        <v>026-901</v>
      </c>
      <c r="C147" s="1417" t="s">
        <v>1595</v>
      </c>
      <c r="D147" s="1993" t="s">
        <v>1782</v>
      </c>
    </row>
    <row r="148" spans="1:4" ht="15">
      <c r="A148" t="s">
        <v>5787</v>
      </c>
      <c r="B148" s="4662" t="str">
        <f t="shared" si="2"/>
        <v>026-902</v>
      </c>
      <c r="C148" s="1417" t="s">
        <v>1596</v>
      </c>
      <c r="D148" s="1993" t="s">
        <v>1782</v>
      </c>
    </row>
    <row r="149" spans="1:4" ht="15">
      <c r="A149" t="s">
        <v>3424</v>
      </c>
      <c r="B149" s="4662" t="str">
        <f t="shared" si="2"/>
        <v>026-903</v>
      </c>
      <c r="C149" s="1417" t="s">
        <v>1597</v>
      </c>
      <c r="D149" s="1993" t="s">
        <v>1782</v>
      </c>
    </row>
    <row r="150" spans="1:4" ht="15">
      <c r="A150" t="s">
        <v>3426</v>
      </c>
      <c r="B150" s="4662" t="str">
        <f t="shared" si="2"/>
        <v>028-902</v>
      </c>
      <c r="C150" s="1417" t="s">
        <v>2227</v>
      </c>
      <c r="D150" s="1993" t="s">
        <v>1782</v>
      </c>
    </row>
    <row r="151" spans="1:4" ht="15">
      <c r="A151" t="s">
        <v>3427</v>
      </c>
      <c r="B151" s="4662" t="str">
        <f t="shared" si="2"/>
        <v>028-903</v>
      </c>
      <c r="C151" s="1417" t="s">
        <v>838</v>
      </c>
      <c r="D151" s="1993" t="s">
        <v>1782</v>
      </c>
    </row>
    <row r="152" spans="1:4" ht="15">
      <c r="A152" t="s">
        <v>6680</v>
      </c>
      <c r="B152" s="4662" t="str">
        <f t="shared" si="2"/>
        <v>028-906</v>
      </c>
      <c r="C152" s="1417" t="s">
        <v>1598</v>
      </c>
      <c r="D152" s="1993" t="s">
        <v>1782</v>
      </c>
    </row>
    <row r="153" spans="1:4" ht="15">
      <c r="A153" t="s">
        <v>6681</v>
      </c>
      <c r="B153" s="4662" t="str">
        <f t="shared" si="2"/>
        <v>030-901</v>
      </c>
      <c r="C153" s="1417" t="s">
        <v>1600</v>
      </c>
      <c r="D153" s="1993" t="s">
        <v>1782</v>
      </c>
    </row>
    <row r="154" spans="1:4" ht="15">
      <c r="A154" t="s">
        <v>3428</v>
      </c>
      <c r="B154" s="4662" t="str">
        <f t="shared" si="2"/>
        <v>030-902</v>
      </c>
      <c r="C154" s="1417" t="s">
        <v>31</v>
      </c>
      <c r="D154" s="1993" t="s">
        <v>1782</v>
      </c>
    </row>
    <row r="155" spans="1:4" ht="15">
      <c r="A155" t="s">
        <v>3429</v>
      </c>
      <c r="B155" s="4662" t="str">
        <f t="shared" si="2"/>
        <v>030-903</v>
      </c>
      <c r="C155" s="1417" t="s">
        <v>1601</v>
      </c>
      <c r="D155" s="1993" t="s">
        <v>1782</v>
      </c>
    </row>
    <row r="156" spans="1:4" ht="15">
      <c r="A156" t="s">
        <v>5789</v>
      </c>
      <c r="B156" s="4662" t="str">
        <f t="shared" si="2"/>
        <v>030-906</v>
      </c>
      <c r="C156" s="1417" t="s">
        <v>1602</v>
      </c>
      <c r="D156" s="1993" t="s">
        <v>1782</v>
      </c>
    </row>
    <row r="157" spans="1:4" ht="15">
      <c r="A157" t="s">
        <v>9620</v>
      </c>
      <c r="B157" s="4662" t="str">
        <f t="shared" si="2"/>
        <v>031-504</v>
      </c>
      <c r="C157" s="1417" t="s">
        <v>9621</v>
      </c>
      <c r="D157" s="1993" t="s">
        <v>1782</v>
      </c>
    </row>
    <row r="158" spans="1:4" ht="15">
      <c r="A158" t="s">
        <v>9622</v>
      </c>
      <c r="B158" s="4662" t="str">
        <f t="shared" si="2"/>
        <v>031-505</v>
      </c>
      <c r="C158" s="1417" t="s">
        <v>9623</v>
      </c>
      <c r="D158" s="1993" t="s">
        <v>1782</v>
      </c>
    </row>
    <row r="159" spans="1:4" ht="15">
      <c r="A159" t="s">
        <v>9624</v>
      </c>
      <c r="B159" s="4662" t="str">
        <f t="shared" si="2"/>
        <v>031-801</v>
      </c>
      <c r="C159" s="1417" t="s">
        <v>9625</v>
      </c>
      <c r="D159" s="1993" t="s">
        <v>1782</v>
      </c>
    </row>
    <row r="160" spans="1:4" ht="15">
      <c r="A160" t="s">
        <v>9626</v>
      </c>
      <c r="B160" s="4662" t="str">
        <f t="shared" si="2"/>
        <v>031-803</v>
      </c>
      <c r="C160" s="1417" t="s">
        <v>9627</v>
      </c>
      <c r="D160" s="1993" t="s">
        <v>1782</v>
      </c>
    </row>
    <row r="161" spans="1:4" ht="15">
      <c r="A161" t="s">
        <v>3430</v>
      </c>
      <c r="B161" s="4662" t="str">
        <f t="shared" si="2"/>
        <v>031-901</v>
      </c>
      <c r="C161" s="1417" t="s">
        <v>2635</v>
      </c>
      <c r="D161" s="1993" t="s">
        <v>1782</v>
      </c>
    </row>
    <row r="162" spans="1:4" ht="15">
      <c r="A162" t="s">
        <v>3431</v>
      </c>
      <c r="B162" s="4662" t="str">
        <f t="shared" si="2"/>
        <v>031-903</v>
      </c>
      <c r="C162" s="1417" t="s">
        <v>34</v>
      </c>
      <c r="D162" s="1993" t="s">
        <v>1782</v>
      </c>
    </row>
    <row r="163" spans="1:4" ht="15">
      <c r="A163" t="s">
        <v>3432</v>
      </c>
      <c r="B163" s="4662" t="str">
        <f t="shared" si="2"/>
        <v>031-905</v>
      </c>
      <c r="C163" s="1417" t="s">
        <v>1881</v>
      </c>
      <c r="D163" s="1993" t="s">
        <v>1782</v>
      </c>
    </row>
    <row r="164" spans="1:4" ht="15">
      <c r="A164" t="s">
        <v>3433</v>
      </c>
      <c r="B164" s="4662" t="str">
        <f t="shared" si="2"/>
        <v>031-906</v>
      </c>
      <c r="C164" s="1417" t="s">
        <v>36</v>
      </c>
      <c r="D164" s="1993" t="s">
        <v>1782</v>
      </c>
    </row>
    <row r="165" spans="1:4" ht="15">
      <c r="A165" t="s">
        <v>3434</v>
      </c>
      <c r="B165" s="4662" t="str">
        <f t="shared" si="2"/>
        <v>031-911</v>
      </c>
      <c r="C165" s="1417" t="s">
        <v>2694</v>
      </c>
      <c r="D165" s="1993" t="s">
        <v>1782</v>
      </c>
    </row>
    <row r="166" spans="1:4" ht="15">
      <c r="A166" t="s">
        <v>3435</v>
      </c>
      <c r="B166" s="4662" t="str">
        <f t="shared" si="2"/>
        <v>031-912</v>
      </c>
      <c r="C166" s="1417" t="s">
        <v>39</v>
      </c>
      <c r="D166" s="1993" t="s">
        <v>1782</v>
      </c>
    </row>
    <row r="167" spans="1:4" ht="15">
      <c r="A167" t="s">
        <v>3436</v>
      </c>
      <c r="B167" s="4662" t="str">
        <f t="shared" si="2"/>
        <v>031-913</v>
      </c>
      <c r="C167" s="1417" t="s">
        <v>86</v>
      </c>
      <c r="D167" s="1993" t="s">
        <v>1782</v>
      </c>
    </row>
    <row r="168" spans="1:4" ht="15">
      <c r="A168" t="s">
        <v>3437</v>
      </c>
      <c r="B168" s="4662" t="str">
        <f t="shared" si="2"/>
        <v>031-914</v>
      </c>
      <c r="C168" s="1417" t="s">
        <v>87</v>
      </c>
      <c r="D168" s="1993" t="s">
        <v>1782</v>
      </c>
    </row>
    <row r="169" spans="1:4" ht="15">
      <c r="A169" t="s">
        <v>8674</v>
      </c>
      <c r="B169" s="4662" t="str">
        <f t="shared" si="2"/>
        <v>031-916</v>
      </c>
      <c r="C169" s="1417" t="s">
        <v>8675</v>
      </c>
      <c r="D169" s="1993" t="s">
        <v>1782</v>
      </c>
    </row>
    <row r="170" spans="1:4" ht="15">
      <c r="A170" t="s">
        <v>5791</v>
      </c>
      <c r="B170" s="4662" t="str">
        <f t="shared" si="2"/>
        <v>032-902</v>
      </c>
      <c r="C170" s="1417" t="s">
        <v>1604</v>
      </c>
      <c r="D170" s="1993" t="s">
        <v>1782</v>
      </c>
    </row>
    <row r="171" spans="1:4" ht="15">
      <c r="A171" t="s">
        <v>5792</v>
      </c>
      <c r="B171" s="4662" t="str">
        <f t="shared" si="2"/>
        <v>033-901</v>
      </c>
      <c r="C171" s="1417" t="s">
        <v>1605</v>
      </c>
      <c r="D171" s="1993" t="s">
        <v>1782</v>
      </c>
    </row>
    <row r="172" spans="1:4" ht="15">
      <c r="A172" t="s">
        <v>5793</v>
      </c>
      <c r="B172" s="4662" t="str">
        <f t="shared" si="2"/>
        <v>033-902</v>
      </c>
      <c r="C172" s="1417" t="s">
        <v>2169</v>
      </c>
      <c r="D172" s="1993" t="s">
        <v>1782</v>
      </c>
    </row>
    <row r="173" spans="1:4" ht="15">
      <c r="A173" t="s">
        <v>5794</v>
      </c>
      <c r="B173" s="4662" t="str">
        <f t="shared" si="2"/>
        <v>033-904</v>
      </c>
      <c r="C173" s="1417" t="s">
        <v>2170</v>
      </c>
      <c r="D173" s="1993" t="s">
        <v>1782</v>
      </c>
    </row>
    <row r="174" spans="1:4" ht="15">
      <c r="A174" t="s">
        <v>5795</v>
      </c>
      <c r="B174" s="4662" t="str">
        <f t="shared" si="2"/>
        <v>034-901</v>
      </c>
      <c r="C174" s="1417" t="s">
        <v>2171</v>
      </c>
      <c r="D174" s="1993" t="s">
        <v>1782</v>
      </c>
    </row>
    <row r="175" spans="1:4" ht="15">
      <c r="A175" t="s">
        <v>6682</v>
      </c>
      <c r="B175" s="4662" t="str">
        <f t="shared" si="2"/>
        <v>034-902</v>
      </c>
      <c r="C175" s="1417" t="s">
        <v>2172</v>
      </c>
      <c r="D175" s="1993" t="s">
        <v>1782</v>
      </c>
    </row>
    <row r="176" spans="1:4" ht="15">
      <c r="A176" t="s">
        <v>5796</v>
      </c>
      <c r="B176" s="4662" t="str">
        <f t="shared" si="2"/>
        <v>034-903</v>
      </c>
      <c r="C176" s="1417" t="s">
        <v>2173</v>
      </c>
      <c r="D176" s="1993" t="s">
        <v>1782</v>
      </c>
    </row>
    <row r="177" spans="1:4" ht="15">
      <c r="A177" t="s">
        <v>6683</v>
      </c>
      <c r="B177" s="4662" t="str">
        <f t="shared" si="2"/>
        <v>034-905</v>
      </c>
      <c r="C177" s="1417" t="s">
        <v>1028</v>
      </c>
      <c r="D177" s="1993" t="s">
        <v>1782</v>
      </c>
    </row>
    <row r="178" spans="1:4" ht="15">
      <c r="A178" t="s">
        <v>4368</v>
      </c>
      <c r="B178" s="4662" t="str">
        <f t="shared" si="2"/>
        <v>034-906</v>
      </c>
      <c r="C178" s="1417" t="s">
        <v>821</v>
      </c>
      <c r="D178" s="1993" t="s">
        <v>1782</v>
      </c>
    </row>
    <row r="179" spans="1:4" ht="15">
      <c r="A179" t="s">
        <v>5797</v>
      </c>
      <c r="B179" s="4662" t="str">
        <f t="shared" si="2"/>
        <v>034-907</v>
      </c>
      <c r="C179" s="1417" t="s">
        <v>1706</v>
      </c>
      <c r="D179" s="1993" t="s">
        <v>1782</v>
      </c>
    </row>
    <row r="180" spans="1:4" ht="15">
      <c r="A180" t="s">
        <v>9628</v>
      </c>
      <c r="B180" s="4662" t="str">
        <f t="shared" si="2"/>
        <v>034-908</v>
      </c>
      <c r="C180" s="1417" t="s">
        <v>1707</v>
      </c>
      <c r="D180" s="1993" t="s">
        <v>1782</v>
      </c>
    </row>
    <row r="181" spans="1:4" ht="15">
      <c r="A181" t="s">
        <v>5798</v>
      </c>
      <c r="B181" s="4662" t="str">
        <f t="shared" si="2"/>
        <v>034-909</v>
      </c>
      <c r="C181" s="1417" t="s">
        <v>1708</v>
      </c>
      <c r="D181" s="1993" t="s">
        <v>1782</v>
      </c>
    </row>
    <row r="182" spans="1:4" ht="15">
      <c r="A182" t="s">
        <v>5799</v>
      </c>
      <c r="B182" s="4662" t="str">
        <f t="shared" si="2"/>
        <v>035-901</v>
      </c>
      <c r="C182" s="1417" t="s">
        <v>1709</v>
      </c>
      <c r="D182" s="1993" t="s">
        <v>1782</v>
      </c>
    </row>
    <row r="183" spans="1:4" ht="15">
      <c r="A183" t="s">
        <v>6684</v>
      </c>
      <c r="B183" s="4662" t="str">
        <f t="shared" si="2"/>
        <v>035-902</v>
      </c>
      <c r="C183" s="1417" t="s">
        <v>1710</v>
      </c>
      <c r="D183" s="1993" t="s">
        <v>1782</v>
      </c>
    </row>
    <row r="184" spans="1:4" ht="15">
      <c r="A184" t="s">
        <v>3438</v>
      </c>
      <c r="B184" s="4662" t="str">
        <f t="shared" si="2"/>
        <v>035-903</v>
      </c>
      <c r="C184" s="1417" t="s">
        <v>389</v>
      </c>
      <c r="D184" s="1993" t="s">
        <v>1782</v>
      </c>
    </row>
    <row r="185" spans="1:4" ht="15">
      <c r="A185" t="s">
        <v>3439</v>
      </c>
      <c r="B185" s="4662" t="str">
        <f t="shared" si="2"/>
        <v>036-901</v>
      </c>
      <c r="C185" s="1417" t="s">
        <v>1055</v>
      </c>
      <c r="D185" s="1993" t="s">
        <v>1782</v>
      </c>
    </row>
    <row r="186" spans="1:4" ht="15">
      <c r="A186" t="s">
        <v>3440</v>
      </c>
      <c r="B186" s="4662" t="str">
        <f t="shared" si="2"/>
        <v>036-903</v>
      </c>
      <c r="C186" s="1417" t="s">
        <v>2369</v>
      </c>
      <c r="D186" s="1993" t="s">
        <v>1782</v>
      </c>
    </row>
    <row r="187" spans="1:4" ht="15">
      <c r="A187" t="s">
        <v>5801</v>
      </c>
      <c r="B187" s="4662" t="str">
        <f t="shared" si="2"/>
        <v>037-901</v>
      </c>
      <c r="C187" s="1417" t="s">
        <v>1499</v>
      </c>
      <c r="D187" s="1993" t="s">
        <v>1782</v>
      </c>
    </row>
    <row r="188" spans="1:4" ht="15">
      <c r="A188" t="s">
        <v>3441</v>
      </c>
      <c r="B188" s="4662" t="str">
        <f t="shared" si="2"/>
        <v>037-904</v>
      </c>
      <c r="C188" s="1417" t="s">
        <v>405</v>
      </c>
      <c r="D188" s="1993" t="s">
        <v>1782</v>
      </c>
    </row>
    <row r="189" spans="1:4" ht="15">
      <c r="A189" t="s">
        <v>3442</v>
      </c>
      <c r="B189" s="4662" t="str">
        <f t="shared" si="2"/>
        <v>037-907</v>
      </c>
      <c r="C189" s="1417" t="s">
        <v>614</v>
      </c>
      <c r="D189" s="1993" t="s">
        <v>1782</v>
      </c>
    </row>
    <row r="190" spans="1:4" ht="15">
      <c r="A190" t="s">
        <v>4382</v>
      </c>
      <c r="B190" s="4662" t="str">
        <f t="shared" si="2"/>
        <v>037-908</v>
      </c>
      <c r="C190" s="1417" t="s">
        <v>1143</v>
      </c>
      <c r="D190" s="1993" t="s">
        <v>1782</v>
      </c>
    </row>
    <row r="191" spans="1:4" ht="15">
      <c r="A191" t="s">
        <v>5802</v>
      </c>
      <c r="B191" s="4662" t="str">
        <f t="shared" si="2"/>
        <v>037-909</v>
      </c>
      <c r="C191" s="1417" t="s">
        <v>25</v>
      </c>
      <c r="D191" s="1993" t="s">
        <v>1782</v>
      </c>
    </row>
    <row r="192" spans="1:4" ht="15">
      <c r="A192" t="s">
        <v>3443</v>
      </c>
      <c r="B192" s="4662" t="str">
        <f t="shared" si="2"/>
        <v>038-901</v>
      </c>
      <c r="C192" s="1417" t="s">
        <v>2185</v>
      </c>
      <c r="D192" s="1993" t="s">
        <v>1782</v>
      </c>
    </row>
    <row r="193" spans="1:4" ht="15">
      <c r="A193" t="s">
        <v>9629</v>
      </c>
      <c r="B193" s="4662" t="str">
        <f t="shared" si="2"/>
        <v>039-901</v>
      </c>
      <c r="C193" s="1417" t="s">
        <v>26</v>
      </c>
      <c r="D193" s="1993" t="s">
        <v>1782</v>
      </c>
    </row>
    <row r="194" spans="1:4" ht="15">
      <c r="A194" t="s">
        <v>5803</v>
      </c>
      <c r="B194" s="4662" t="str">
        <f t="shared" ref="B194:B257" si="3">CONCATENATE(LEFT(RIGHT(CONCATENATE("000",A194),6),3),"-",(RIGHT(RIGHT(CONCATENATE("000",A194),6),3)))</f>
        <v>039-902</v>
      </c>
      <c r="C194" s="1417" t="s">
        <v>1920</v>
      </c>
      <c r="D194" s="1993" t="s">
        <v>1782</v>
      </c>
    </row>
    <row r="195" spans="1:4" ht="15">
      <c r="A195" t="s">
        <v>3444</v>
      </c>
      <c r="B195" s="4662" t="str">
        <f t="shared" si="3"/>
        <v>039-903</v>
      </c>
      <c r="C195" s="1417" t="s">
        <v>3912</v>
      </c>
      <c r="D195" s="1993" t="s">
        <v>1782</v>
      </c>
    </row>
    <row r="196" spans="1:4" ht="15">
      <c r="A196" t="s">
        <v>6686</v>
      </c>
      <c r="B196" s="4662" t="str">
        <f t="shared" si="3"/>
        <v>039-905</v>
      </c>
      <c r="C196" s="1417" t="s">
        <v>1922</v>
      </c>
      <c r="D196" s="1993" t="s">
        <v>1782</v>
      </c>
    </row>
    <row r="197" spans="1:4" ht="15">
      <c r="A197" t="s">
        <v>6687</v>
      </c>
      <c r="B197" s="4662" t="str">
        <f t="shared" si="3"/>
        <v>040-901</v>
      </c>
      <c r="C197" s="1417" t="s">
        <v>2154</v>
      </c>
      <c r="D197" s="1993" t="s">
        <v>1782</v>
      </c>
    </row>
    <row r="198" spans="1:4" ht="15">
      <c r="A198" t="s">
        <v>6688</v>
      </c>
      <c r="B198" s="4662" t="str">
        <f t="shared" si="3"/>
        <v>041-901</v>
      </c>
      <c r="C198" s="1417" t="s">
        <v>2156</v>
      </c>
      <c r="D198" s="1993" t="s">
        <v>1782</v>
      </c>
    </row>
    <row r="199" spans="1:4" ht="15">
      <c r="A199" t="s">
        <v>4389</v>
      </c>
      <c r="B199" s="4662" t="str">
        <f t="shared" si="3"/>
        <v>042-901</v>
      </c>
      <c r="C199" s="1417" t="s">
        <v>1168</v>
      </c>
      <c r="D199" s="1993" t="s">
        <v>1782</v>
      </c>
    </row>
    <row r="200" spans="1:4" ht="15">
      <c r="A200" t="s">
        <v>3445</v>
      </c>
      <c r="B200" s="4662" t="str">
        <f t="shared" si="3"/>
        <v>042-903</v>
      </c>
      <c r="C200" s="1417" t="s">
        <v>84</v>
      </c>
      <c r="D200" s="1993" t="s">
        <v>1782</v>
      </c>
    </row>
    <row r="201" spans="1:4" ht="15">
      <c r="A201" t="s">
        <v>9630</v>
      </c>
      <c r="B201" s="4662" t="str">
        <f t="shared" si="3"/>
        <v>042-906</v>
      </c>
      <c r="C201" s="1417" t="s">
        <v>2159</v>
      </c>
      <c r="D201" s="1993" t="s">
        <v>1782</v>
      </c>
    </row>
    <row r="202" spans="1:4" ht="15">
      <c r="A202" t="s">
        <v>9631</v>
      </c>
      <c r="B202" s="4662" t="str">
        <f t="shared" si="3"/>
        <v>043-801</v>
      </c>
      <c r="C202" s="1417" t="s">
        <v>9632</v>
      </c>
      <c r="D202" s="1993" t="s">
        <v>1782</v>
      </c>
    </row>
    <row r="203" spans="1:4" ht="15">
      <c r="A203" t="s">
        <v>9633</v>
      </c>
      <c r="B203" s="4662" t="str">
        <f t="shared" si="3"/>
        <v>043-802</v>
      </c>
      <c r="C203" s="1417" t="s">
        <v>9634</v>
      </c>
      <c r="D203" s="1993" t="s">
        <v>1782</v>
      </c>
    </row>
    <row r="204" spans="1:4" ht="15">
      <c r="A204" t="s">
        <v>3447</v>
      </c>
      <c r="B204" s="4662" t="str">
        <f t="shared" si="3"/>
        <v>043-902</v>
      </c>
      <c r="C204" s="1417" t="s">
        <v>1056</v>
      </c>
      <c r="D204" s="1993" t="s">
        <v>1782</v>
      </c>
    </row>
    <row r="205" spans="1:4" ht="15">
      <c r="A205" t="s">
        <v>3448</v>
      </c>
      <c r="B205" s="4662" t="str">
        <f t="shared" si="3"/>
        <v>043-903</v>
      </c>
      <c r="C205" s="1417" t="s">
        <v>658</v>
      </c>
      <c r="D205" s="1993" t="s">
        <v>1782</v>
      </c>
    </row>
    <row r="206" spans="1:4" ht="15">
      <c r="A206" t="s">
        <v>3449</v>
      </c>
      <c r="B206" s="4662" t="str">
        <f t="shared" si="3"/>
        <v>043-904</v>
      </c>
      <c r="C206" s="1417" t="s">
        <v>108</v>
      </c>
      <c r="D206" s="1993" t="s">
        <v>1782</v>
      </c>
    </row>
    <row r="207" spans="1:4" ht="15">
      <c r="A207" t="s">
        <v>3452</v>
      </c>
      <c r="B207" s="4662" t="str">
        <f t="shared" si="3"/>
        <v>043-908</v>
      </c>
      <c r="C207" s="1417" t="s">
        <v>2199</v>
      </c>
      <c r="D207" s="1993" t="s">
        <v>1782</v>
      </c>
    </row>
    <row r="208" spans="1:4" ht="15">
      <c r="A208" t="s">
        <v>3453</v>
      </c>
      <c r="B208" s="4662" t="str">
        <f t="shared" si="3"/>
        <v>043-911</v>
      </c>
      <c r="C208" s="1417" t="s">
        <v>74</v>
      </c>
      <c r="D208" s="1993" t="s">
        <v>1782</v>
      </c>
    </row>
    <row r="209" spans="1:4" ht="15">
      <c r="A209" t="s">
        <v>3454</v>
      </c>
      <c r="B209" s="4662" t="str">
        <f t="shared" si="3"/>
        <v>043-912</v>
      </c>
      <c r="C209" s="1417" t="s">
        <v>76</v>
      </c>
      <c r="D209" s="1993" t="s">
        <v>1782</v>
      </c>
    </row>
    <row r="210" spans="1:4" ht="15">
      <c r="A210" t="s">
        <v>3455</v>
      </c>
      <c r="B210" s="4662" t="str">
        <f t="shared" si="3"/>
        <v>043-914</v>
      </c>
      <c r="C210" s="1417" t="s">
        <v>1132</v>
      </c>
      <c r="D210" s="1993" t="s">
        <v>1782</v>
      </c>
    </row>
    <row r="211" spans="1:4" ht="15">
      <c r="A211" t="s">
        <v>3456</v>
      </c>
      <c r="B211" s="4662" t="str">
        <f t="shared" si="3"/>
        <v>043-917</v>
      </c>
      <c r="C211" s="1417" t="s">
        <v>1345</v>
      </c>
      <c r="D211" s="1993" t="s">
        <v>1782</v>
      </c>
    </row>
    <row r="212" spans="1:4" ht="15">
      <c r="A212" t="s">
        <v>3457</v>
      </c>
      <c r="B212" s="4662" t="str">
        <f t="shared" si="3"/>
        <v>043-918</v>
      </c>
      <c r="C212" s="1417" t="s">
        <v>1551</v>
      </c>
      <c r="D212" s="1993" t="s">
        <v>1782</v>
      </c>
    </row>
    <row r="213" spans="1:4" ht="15">
      <c r="A213" t="s">
        <v>6689</v>
      </c>
      <c r="B213" s="4662" t="str">
        <f t="shared" si="3"/>
        <v>044-902</v>
      </c>
      <c r="C213" s="1417" t="s">
        <v>2202</v>
      </c>
      <c r="D213" s="1993" t="s">
        <v>1782</v>
      </c>
    </row>
    <row r="214" spans="1:4" ht="15">
      <c r="A214" t="s">
        <v>9635</v>
      </c>
      <c r="B214" s="4662" t="str">
        <f t="shared" si="3"/>
        <v>044-904</v>
      </c>
      <c r="C214" s="1417" t="s">
        <v>2203</v>
      </c>
      <c r="D214" s="1993" t="s">
        <v>1782</v>
      </c>
    </row>
    <row r="215" spans="1:4" ht="15">
      <c r="A215" t="s">
        <v>5809</v>
      </c>
      <c r="B215" s="4662" t="str">
        <f t="shared" si="3"/>
        <v>045-903</v>
      </c>
      <c r="C215" s="1417" t="s">
        <v>1031</v>
      </c>
      <c r="D215" s="1993" t="s">
        <v>1782</v>
      </c>
    </row>
    <row r="216" spans="1:4" ht="15">
      <c r="A216" t="s">
        <v>5810</v>
      </c>
      <c r="B216" s="4662" t="str">
        <f t="shared" si="3"/>
        <v>045-905</v>
      </c>
      <c r="C216" s="1417" t="s">
        <v>2205</v>
      </c>
      <c r="D216" s="1993" t="s">
        <v>1782</v>
      </c>
    </row>
    <row r="217" spans="1:4" ht="15">
      <c r="A217" t="s">
        <v>9636</v>
      </c>
      <c r="B217" s="4662" t="str">
        <f t="shared" si="3"/>
        <v>046-801</v>
      </c>
      <c r="C217" s="1417" t="s">
        <v>9637</v>
      </c>
      <c r="D217" s="1993" t="s">
        <v>1782</v>
      </c>
    </row>
    <row r="218" spans="1:4" ht="15">
      <c r="A218" t="s">
        <v>9638</v>
      </c>
      <c r="B218" s="4662" t="str">
        <f t="shared" si="3"/>
        <v>046-802</v>
      </c>
      <c r="C218" s="1417" t="s">
        <v>9639</v>
      </c>
      <c r="D218" s="1993" t="s">
        <v>1782</v>
      </c>
    </row>
    <row r="219" spans="1:4" ht="15">
      <c r="A219" t="s">
        <v>3459</v>
      </c>
      <c r="B219" s="4662" t="str">
        <f t="shared" si="3"/>
        <v>046-901</v>
      </c>
      <c r="C219" s="1417" t="s">
        <v>2206</v>
      </c>
      <c r="D219" s="1993" t="s">
        <v>1782</v>
      </c>
    </row>
    <row r="220" spans="1:4" ht="15">
      <c r="A220" t="s">
        <v>3460</v>
      </c>
      <c r="B220" s="4662" t="str">
        <f t="shared" si="3"/>
        <v>047-901</v>
      </c>
      <c r="C220" s="1417" t="s">
        <v>2208</v>
      </c>
      <c r="D220" s="1993" t="s">
        <v>1782</v>
      </c>
    </row>
    <row r="221" spans="1:4" ht="15">
      <c r="A221" t="s">
        <v>3461</v>
      </c>
      <c r="B221" s="4662" t="str">
        <f t="shared" si="3"/>
        <v>047-902</v>
      </c>
      <c r="C221" s="1417" t="s">
        <v>2665</v>
      </c>
      <c r="D221" s="1993" t="s">
        <v>1782</v>
      </c>
    </row>
    <row r="222" spans="1:4" ht="15">
      <c r="A222" t="s">
        <v>3462</v>
      </c>
      <c r="B222" s="4662" t="str">
        <f t="shared" si="3"/>
        <v>047-903</v>
      </c>
      <c r="C222" s="1417" t="s">
        <v>1733</v>
      </c>
      <c r="D222" s="1993" t="s">
        <v>1782</v>
      </c>
    </row>
    <row r="223" spans="1:4" ht="15">
      <c r="A223" t="s">
        <v>3463</v>
      </c>
      <c r="B223" s="4662" t="str">
        <f t="shared" si="3"/>
        <v>047-905</v>
      </c>
      <c r="C223" s="1417" t="s">
        <v>2209</v>
      </c>
      <c r="D223" s="1993" t="s">
        <v>1782</v>
      </c>
    </row>
    <row r="224" spans="1:4" ht="15">
      <c r="A224" t="s">
        <v>6690</v>
      </c>
      <c r="B224" s="4662" t="str">
        <f t="shared" si="3"/>
        <v>048-901</v>
      </c>
      <c r="C224" s="1417" t="s">
        <v>1032</v>
      </c>
      <c r="D224" s="1993" t="s">
        <v>1782</v>
      </c>
    </row>
    <row r="225" spans="1:4" ht="15">
      <c r="A225" t="s">
        <v>5812</v>
      </c>
      <c r="B225" s="4662" t="str">
        <f t="shared" si="3"/>
        <v>048-903</v>
      </c>
      <c r="C225" s="1417" t="s">
        <v>2211</v>
      </c>
      <c r="D225" s="1993" t="s">
        <v>1782</v>
      </c>
    </row>
    <row r="226" spans="1:4" ht="15">
      <c r="A226" t="s">
        <v>3464</v>
      </c>
      <c r="B226" s="4662" t="str">
        <f t="shared" si="3"/>
        <v>049-901</v>
      </c>
      <c r="C226" s="1417" t="s">
        <v>1479</v>
      </c>
      <c r="D226" s="1993" t="s">
        <v>1782</v>
      </c>
    </row>
    <row r="227" spans="1:4" ht="15">
      <c r="A227" t="s">
        <v>5813</v>
      </c>
      <c r="B227" s="4662" t="str">
        <f t="shared" si="3"/>
        <v>049-902</v>
      </c>
      <c r="C227" s="1417" t="s">
        <v>2212</v>
      </c>
      <c r="D227" s="1993" t="s">
        <v>1782</v>
      </c>
    </row>
    <row r="228" spans="1:4" ht="15">
      <c r="A228" t="s">
        <v>3465</v>
      </c>
      <c r="B228" s="4662" t="str">
        <f t="shared" si="3"/>
        <v>049-903</v>
      </c>
      <c r="C228" s="1417" t="s">
        <v>2364</v>
      </c>
      <c r="D228" s="1993" t="s">
        <v>1782</v>
      </c>
    </row>
    <row r="229" spans="1:4" ht="15">
      <c r="A229" t="s">
        <v>9640</v>
      </c>
      <c r="B229" s="4662" t="str">
        <f t="shared" si="3"/>
        <v>049-904</v>
      </c>
      <c r="C229" s="1417" t="s">
        <v>9641</v>
      </c>
      <c r="D229" s="1993" t="s">
        <v>1782</v>
      </c>
    </row>
    <row r="230" spans="1:4" ht="15">
      <c r="A230" t="s">
        <v>5814</v>
      </c>
      <c r="B230" s="4662" t="str">
        <f t="shared" si="3"/>
        <v>049-905</v>
      </c>
      <c r="C230" s="1417" t="s">
        <v>2213</v>
      </c>
      <c r="D230" s="1993" t="s">
        <v>1782</v>
      </c>
    </row>
    <row r="231" spans="1:4" ht="15">
      <c r="A231" t="s">
        <v>3466</v>
      </c>
      <c r="B231" s="4662" t="str">
        <f t="shared" si="3"/>
        <v>049-906</v>
      </c>
      <c r="C231" s="1417" t="s">
        <v>2214</v>
      </c>
      <c r="D231" s="1993" t="s">
        <v>1782</v>
      </c>
    </row>
    <row r="232" spans="1:4" ht="15">
      <c r="A232" t="s">
        <v>6691</v>
      </c>
      <c r="B232" s="4662" t="str">
        <f t="shared" si="3"/>
        <v>049-908</v>
      </c>
      <c r="C232" s="1417" t="s">
        <v>2216</v>
      </c>
      <c r="D232" s="1993" t="s">
        <v>1782</v>
      </c>
    </row>
    <row r="233" spans="1:4" ht="15">
      <c r="A233" t="s">
        <v>6693</v>
      </c>
      <c r="B233" s="4662" t="str">
        <f t="shared" si="3"/>
        <v>050-901</v>
      </c>
      <c r="C233" s="1417" t="s">
        <v>2218</v>
      </c>
      <c r="D233" s="1993" t="s">
        <v>1782</v>
      </c>
    </row>
    <row r="234" spans="1:4" ht="15">
      <c r="A234" t="s">
        <v>5816</v>
      </c>
      <c r="B234" s="4662" t="str">
        <f t="shared" si="3"/>
        <v>050-902</v>
      </c>
      <c r="C234" s="1417" t="s">
        <v>2219</v>
      </c>
      <c r="D234" s="1993" t="s">
        <v>1782</v>
      </c>
    </row>
    <row r="235" spans="1:4" ht="15">
      <c r="A235" t="s">
        <v>3467</v>
      </c>
      <c r="B235" s="4662" t="str">
        <f t="shared" si="3"/>
        <v>050-904</v>
      </c>
      <c r="C235" s="1417" t="s">
        <v>261</v>
      </c>
      <c r="D235" s="1993" t="s">
        <v>1782</v>
      </c>
    </row>
    <row r="236" spans="1:4" ht="15">
      <c r="A236" t="s">
        <v>5817</v>
      </c>
      <c r="B236" s="4662" t="str">
        <f t="shared" si="3"/>
        <v>050-909</v>
      </c>
      <c r="C236" s="1417" t="s">
        <v>2220</v>
      </c>
      <c r="D236" s="1993" t="s">
        <v>1782</v>
      </c>
    </row>
    <row r="237" spans="1:4" ht="15">
      <c r="A237" t="s">
        <v>3468</v>
      </c>
      <c r="B237" s="4662" t="str">
        <f t="shared" si="3"/>
        <v>050-910</v>
      </c>
      <c r="C237" s="1417" t="s">
        <v>2573</v>
      </c>
      <c r="D237" s="1993" t="s">
        <v>1782</v>
      </c>
    </row>
    <row r="238" spans="1:4" ht="15">
      <c r="A238" t="s">
        <v>6694</v>
      </c>
      <c r="B238" s="4662" t="str">
        <f t="shared" si="3"/>
        <v>051-901</v>
      </c>
      <c r="C238" s="1417" t="s">
        <v>2221</v>
      </c>
      <c r="D238" s="1993" t="s">
        <v>1782</v>
      </c>
    </row>
    <row r="239" spans="1:4" ht="15">
      <c r="A239" t="s">
        <v>6696</v>
      </c>
      <c r="B239" s="4662" t="str">
        <f t="shared" si="3"/>
        <v>054-901</v>
      </c>
      <c r="C239" s="1417" t="s">
        <v>1034</v>
      </c>
      <c r="D239" s="1993" t="s">
        <v>1782</v>
      </c>
    </row>
    <row r="240" spans="1:4" ht="15">
      <c r="A240" t="s">
        <v>6697</v>
      </c>
      <c r="B240" s="4662" t="str">
        <f t="shared" si="3"/>
        <v>054-902</v>
      </c>
      <c r="C240" s="1417" t="s">
        <v>664</v>
      </c>
      <c r="D240" s="1993" t="s">
        <v>1782</v>
      </c>
    </row>
    <row r="241" spans="1:4" ht="15">
      <c r="A241" t="s">
        <v>6698</v>
      </c>
      <c r="B241" s="4662" t="str">
        <f t="shared" si="3"/>
        <v>054-903</v>
      </c>
      <c r="C241" s="1417" t="s">
        <v>665</v>
      </c>
      <c r="D241" s="1993" t="s">
        <v>1782</v>
      </c>
    </row>
    <row r="242" spans="1:4" ht="15">
      <c r="A242" t="s">
        <v>9642</v>
      </c>
      <c r="B242" s="4662" t="str">
        <f t="shared" si="3"/>
        <v>057-802</v>
      </c>
      <c r="C242" s="1417" t="s">
        <v>9643</v>
      </c>
      <c r="D242" s="1993" t="s">
        <v>1782</v>
      </c>
    </row>
    <row r="243" spans="1:4" ht="15">
      <c r="A243" t="s">
        <v>9644</v>
      </c>
      <c r="B243" s="4662" t="str">
        <f t="shared" si="3"/>
        <v>057-803</v>
      </c>
      <c r="C243" s="1417" t="s">
        <v>9645</v>
      </c>
      <c r="D243" s="1993" t="s">
        <v>1782</v>
      </c>
    </row>
    <row r="244" spans="1:4" ht="15">
      <c r="A244" t="s">
        <v>9646</v>
      </c>
      <c r="B244" s="4662" t="str">
        <f t="shared" si="3"/>
        <v>057-804</v>
      </c>
      <c r="C244" s="1417" t="s">
        <v>9647</v>
      </c>
      <c r="D244" s="1993" t="s">
        <v>1782</v>
      </c>
    </row>
    <row r="245" spans="1:4" ht="15">
      <c r="A245" t="s">
        <v>9648</v>
      </c>
      <c r="B245" s="4662" t="str">
        <f t="shared" si="3"/>
        <v>057-805</v>
      </c>
      <c r="C245" s="1417" t="s">
        <v>9649</v>
      </c>
      <c r="D245" s="1993" t="s">
        <v>1782</v>
      </c>
    </row>
    <row r="246" spans="1:4" ht="15">
      <c r="A246" t="s">
        <v>9650</v>
      </c>
      <c r="B246" s="4662" t="str">
        <f t="shared" si="3"/>
        <v>057-806</v>
      </c>
      <c r="C246" s="1417" t="s">
        <v>9651</v>
      </c>
      <c r="D246" s="1993" t="s">
        <v>1782</v>
      </c>
    </row>
    <row r="247" spans="1:4" ht="15">
      <c r="A247" t="s">
        <v>9652</v>
      </c>
      <c r="B247" s="4662" t="str">
        <f t="shared" si="3"/>
        <v>057-807</v>
      </c>
      <c r="C247" s="1417" t="s">
        <v>9653</v>
      </c>
      <c r="D247" s="1993" t="s">
        <v>1782</v>
      </c>
    </row>
    <row r="248" spans="1:4" ht="15">
      <c r="A248" t="s">
        <v>9654</v>
      </c>
      <c r="B248" s="4662" t="str">
        <f t="shared" si="3"/>
        <v>057-808</v>
      </c>
      <c r="C248" s="1417" t="s">
        <v>9655</v>
      </c>
      <c r="D248" s="1993" t="s">
        <v>1782</v>
      </c>
    </row>
    <row r="249" spans="1:4" ht="15">
      <c r="A249" t="s">
        <v>9656</v>
      </c>
      <c r="B249" s="4662" t="str">
        <f t="shared" si="3"/>
        <v>057-809</v>
      </c>
      <c r="C249" s="1417" t="s">
        <v>9657</v>
      </c>
      <c r="D249" s="1993" t="s">
        <v>1782</v>
      </c>
    </row>
    <row r="250" spans="1:4" ht="15">
      <c r="A250" t="s">
        <v>9658</v>
      </c>
      <c r="B250" s="4662" t="str">
        <f t="shared" si="3"/>
        <v>057-810</v>
      </c>
      <c r="C250" s="1417" t="s">
        <v>9659</v>
      </c>
      <c r="D250" s="1993" t="s">
        <v>1782</v>
      </c>
    </row>
    <row r="251" spans="1:4" ht="15">
      <c r="A251" t="s">
        <v>9660</v>
      </c>
      <c r="B251" s="4662" t="str">
        <f t="shared" si="3"/>
        <v>057-811</v>
      </c>
      <c r="C251" s="1417" t="s">
        <v>9661</v>
      </c>
      <c r="D251" s="1993" t="s">
        <v>1782</v>
      </c>
    </row>
    <row r="252" spans="1:4" ht="15">
      <c r="A252" t="s">
        <v>9662</v>
      </c>
      <c r="B252" s="4662" t="str">
        <f t="shared" si="3"/>
        <v>057-813</v>
      </c>
      <c r="C252" s="1417" t="s">
        <v>9663</v>
      </c>
      <c r="D252" s="1993" t="s">
        <v>1782</v>
      </c>
    </row>
    <row r="253" spans="1:4" ht="15">
      <c r="A253" t="s">
        <v>9664</v>
      </c>
      <c r="B253" s="4662" t="str">
        <f t="shared" si="3"/>
        <v>057-814</v>
      </c>
      <c r="C253" s="1417" t="s">
        <v>9665</v>
      </c>
      <c r="D253" s="1993" t="s">
        <v>1782</v>
      </c>
    </row>
    <row r="254" spans="1:4" ht="15">
      <c r="A254" t="s">
        <v>9666</v>
      </c>
      <c r="B254" s="4662" t="str">
        <f t="shared" si="3"/>
        <v>057-815</v>
      </c>
      <c r="C254" s="1417" t="s">
        <v>9667</v>
      </c>
      <c r="D254" s="1993" t="s">
        <v>1782</v>
      </c>
    </row>
    <row r="255" spans="1:4" ht="15">
      <c r="A255" t="s">
        <v>9668</v>
      </c>
      <c r="B255" s="4662" t="str">
        <f t="shared" si="3"/>
        <v>057-816</v>
      </c>
      <c r="C255" s="1417" t="s">
        <v>9669</v>
      </c>
      <c r="D255" s="1993" t="s">
        <v>1782</v>
      </c>
    </row>
    <row r="256" spans="1:4" ht="15">
      <c r="A256" t="s">
        <v>9670</v>
      </c>
      <c r="B256" s="4662" t="str">
        <f t="shared" si="3"/>
        <v>057-817</v>
      </c>
      <c r="C256" s="1417" t="s">
        <v>9671</v>
      </c>
      <c r="D256" s="1993" t="s">
        <v>1782</v>
      </c>
    </row>
    <row r="257" spans="1:4" ht="15">
      <c r="A257" t="s">
        <v>9672</v>
      </c>
      <c r="B257" s="4662" t="str">
        <f t="shared" si="3"/>
        <v>057-818</v>
      </c>
      <c r="C257" s="1417" t="s">
        <v>9673</v>
      </c>
      <c r="D257" s="1993" t="s">
        <v>1782</v>
      </c>
    </row>
    <row r="258" spans="1:4" ht="15">
      <c r="A258" t="s">
        <v>9674</v>
      </c>
      <c r="B258" s="4662" t="str">
        <f t="shared" ref="B258:B321" si="4">CONCATENATE(LEFT(RIGHT(CONCATENATE("000",A258),6),3),"-",(RIGHT(RIGHT(CONCATENATE("000",A258),6),3)))</f>
        <v>057-819</v>
      </c>
      <c r="C258" s="1417" t="s">
        <v>9675</v>
      </c>
      <c r="D258" s="1993" t="s">
        <v>1782</v>
      </c>
    </row>
    <row r="259" spans="1:4" ht="15">
      <c r="A259" t="s">
        <v>9676</v>
      </c>
      <c r="B259" s="4662" t="str">
        <f t="shared" si="4"/>
        <v>057-820</v>
      </c>
      <c r="C259" s="1417" t="s">
        <v>9677</v>
      </c>
      <c r="D259" s="1993" t="s">
        <v>1782</v>
      </c>
    </row>
    <row r="260" spans="1:4" ht="15">
      <c r="A260" t="s">
        <v>9678</v>
      </c>
      <c r="B260" s="4662" t="str">
        <f t="shared" si="4"/>
        <v>057-821</v>
      </c>
      <c r="C260" s="1417" t="s">
        <v>9679</v>
      </c>
      <c r="D260" s="1993" t="s">
        <v>1782</v>
      </c>
    </row>
    <row r="261" spans="1:4" ht="15">
      <c r="A261" t="s">
        <v>9680</v>
      </c>
      <c r="B261" s="4662" t="str">
        <f t="shared" si="4"/>
        <v>057-825</v>
      </c>
      <c r="C261" s="1417" t="s">
        <v>9681</v>
      </c>
      <c r="D261" s="1993" t="s">
        <v>1782</v>
      </c>
    </row>
    <row r="262" spans="1:4" ht="15">
      <c r="A262" t="s">
        <v>9682</v>
      </c>
      <c r="B262" s="4662" t="str">
        <f t="shared" si="4"/>
        <v>057-827</v>
      </c>
      <c r="C262" s="1417" t="s">
        <v>9683</v>
      </c>
      <c r="D262" s="1993" t="s">
        <v>1782</v>
      </c>
    </row>
    <row r="263" spans="1:4" ht="15">
      <c r="A263" t="s">
        <v>9684</v>
      </c>
      <c r="B263" s="4662" t="str">
        <f t="shared" si="4"/>
        <v>057-828</v>
      </c>
      <c r="C263" s="1417" t="s">
        <v>9685</v>
      </c>
      <c r="D263" s="1993" t="s">
        <v>1782</v>
      </c>
    </row>
    <row r="264" spans="1:4" ht="15">
      <c r="A264" t="s">
        <v>9686</v>
      </c>
      <c r="B264" s="4662" t="str">
        <f t="shared" si="4"/>
        <v>057-829</v>
      </c>
      <c r="C264" s="1417" t="s">
        <v>9687</v>
      </c>
      <c r="D264" s="1993" t="s">
        <v>1782</v>
      </c>
    </row>
    <row r="265" spans="1:4" ht="15">
      <c r="A265" t="s">
        <v>9688</v>
      </c>
      <c r="B265" s="4662" t="str">
        <f t="shared" si="4"/>
        <v>057-830</v>
      </c>
      <c r="C265" s="1417" t="s">
        <v>9689</v>
      </c>
      <c r="D265" s="1993" t="s">
        <v>1782</v>
      </c>
    </row>
    <row r="266" spans="1:4" ht="15">
      <c r="A266" t="s">
        <v>9690</v>
      </c>
      <c r="B266" s="4662" t="str">
        <f t="shared" si="4"/>
        <v>057-831</v>
      </c>
      <c r="C266" s="1417" t="s">
        <v>9691</v>
      </c>
      <c r="D266" s="1993" t="s">
        <v>1782</v>
      </c>
    </row>
    <row r="267" spans="1:4" ht="15">
      <c r="A267" t="s">
        <v>9692</v>
      </c>
      <c r="B267" s="4662" t="str">
        <f t="shared" si="4"/>
        <v>057-832</v>
      </c>
      <c r="C267" s="1417" t="s">
        <v>9693</v>
      </c>
      <c r="D267" s="1993" t="s">
        <v>1782</v>
      </c>
    </row>
    <row r="268" spans="1:4" ht="15">
      <c r="A268" t="s">
        <v>9694</v>
      </c>
      <c r="B268" s="4662" t="str">
        <f t="shared" si="4"/>
        <v>057-833</v>
      </c>
      <c r="C268" s="1417" t="s">
        <v>9695</v>
      </c>
      <c r="D268" s="1993" t="s">
        <v>1782</v>
      </c>
    </row>
    <row r="269" spans="1:4" ht="15">
      <c r="A269" t="s">
        <v>9696</v>
      </c>
      <c r="B269" s="4662" t="str">
        <f t="shared" si="4"/>
        <v>057-834</v>
      </c>
      <c r="C269" s="1417" t="s">
        <v>9697</v>
      </c>
      <c r="D269" s="1993" t="s">
        <v>1782</v>
      </c>
    </row>
    <row r="270" spans="1:4" ht="15">
      <c r="A270" t="s">
        <v>9698</v>
      </c>
      <c r="B270" s="4662" t="str">
        <f t="shared" si="4"/>
        <v>057-835</v>
      </c>
      <c r="C270" s="1417" t="s">
        <v>9699</v>
      </c>
      <c r="D270" s="1993" t="s">
        <v>1782</v>
      </c>
    </row>
    <row r="271" spans="1:4" ht="15">
      <c r="A271" t="s">
        <v>9700</v>
      </c>
      <c r="B271" s="4662" t="str">
        <f t="shared" si="4"/>
        <v>057-836</v>
      </c>
      <c r="C271" s="1417" t="s">
        <v>9701</v>
      </c>
      <c r="D271" s="1993" t="s">
        <v>1782</v>
      </c>
    </row>
    <row r="272" spans="1:4" ht="15">
      <c r="A272" t="s">
        <v>9702</v>
      </c>
      <c r="B272" s="4662" t="str">
        <f t="shared" si="4"/>
        <v>057-837</v>
      </c>
      <c r="C272" s="1417" t="s">
        <v>9703</v>
      </c>
      <c r="D272" s="1993" t="s">
        <v>1782</v>
      </c>
    </row>
    <row r="273" spans="1:4" ht="15">
      <c r="A273" t="s">
        <v>9704</v>
      </c>
      <c r="B273" s="4662" t="str">
        <f t="shared" si="4"/>
        <v>057-838</v>
      </c>
      <c r="C273" s="1417" t="s">
        <v>9705</v>
      </c>
      <c r="D273" s="1993" t="s">
        <v>1782</v>
      </c>
    </row>
    <row r="274" spans="1:4" ht="15">
      <c r="A274" t="s">
        <v>9706</v>
      </c>
      <c r="B274" s="4662" t="str">
        <f t="shared" si="4"/>
        <v>057-839</v>
      </c>
      <c r="C274" s="1417" t="s">
        <v>9707</v>
      </c>
      <c r="D274" s="1993" t="s">
        <v>1782</v>
      </c>
    </row>
    <row r="275" spans="1:4" ht="15">
      <c r="A275" t="s">
        <v>9708</v>
      </c>
      <c r="B275" s="4662" t="str">
        <f t="shared" si="4"/>
        <v>057-840</v>
      </c>
      <c r="C275" s="1417" t="s">
        <v>9709</v>
      </c>
      <c r="D275" s="1993" t="s">
        <v>1782</v>
      </c>
    </row>
    <row r="276" spans="1:4" ht="15">
      <c r="A276" t="s">
        <v>9710</v>
      </c>
      <c r="B276" s="4662" t="str">
        <f t="shared" si="4"/>
        <v>057-841</v>
      </c>
      <c r="C276" s="1417" t="s">
        <v>9711</v>
      </c>
      <c r="D276" s="1993" t="s">
        <v>1782</v>
      </c>
    </row>
    <row r="277" spans="1:4" ht="15">
      <c r="A277" t="s">
        <v>9712</v>
      </c>
      <c r="B277" s="4662" t="str">
        <f t="shared" si="4"/>
        <v>057-842</v>
      </c>
      <c r="C277" s="1417" t="s">
        <v>9713</v>
      </c>
      <c r="D277" s="1993" t="s">
        <v>1782</v>
      </c>
    </row>
    <row r="278" spans="1:4" ht="15">
      <c r="A278" t="s">
        <v>9714</v>
      </c>
      <c r="B278" s="4662" t="str">
        <f t="shared" si="4"/>
        <v>057-843</v>
      </c>
      <c r="C278" s="1417" t="s">
        <v>9715</v>
      </c>
      <c r="D278" s="1993" t="s">
        <v>1782</v>
      </c>
    </row>
    <row r="279" spans="1:4" ht="15">
      <c r="A279" t="s">
        <v>9716</v>
      </c>
      <c r="B279" s="4662" t="str">
        <f t="shared" si="4"/>
        <v>057-844</v>
      </c>
      <c r="C279" s="1417" t="s">
        <v>9717</v>
      </c>
      <c r="D279" s="1993" t="s">
        <v>1782</v>
      </c>
    </row>
    <row r="280" spans="1:4" ht="15">
      <c r="A280" t="s">
        <v>9718</v>
      </c>
      <c r="B280" s="4662" t="str">
        <f t="shared" si="4"/>
        <v>057-845</v>
      </c>
      <c r="C280" s="1417" t="s">
        <v>9719</v>
      </c>
      <c r="D280" s="1993" t="s">
        <v>1782</v>
      </c>
    </row>
    <row r="281" spans="1:4" ht="15">
      <c r="A281" t="s">
        <v>9720</v>
      </c>
      <c r="B281" s="4662" t="str">
        <f t="shared" si="4"/>
        <v>057-846</v>
      </c>
      <c r="C281" s="1417" t="s">
        <v>9721</v>
      </c>
      <c r="D281" s="1993" t="s">
        <v>1782</v>
      </c>
    </row>
    <row r="282" spans="1:4" ht="15">
      <c r="A282" t="s">
        <v>9722</v>
      </c>
      <c r="B282" s="4662" t="str">
        <f t="shared" si="4"/>
        <v>057-847</v>
      </c>
      <c r="C282" s="1417" t="s">
        <v>9723</v>
      </c>
      <c r="D282" s="1993" t="s">
        <v>1782</v>
      </c>
    </row>
    <row r="283" spans="1:4" ht="15">
      <c r="A283" t="s">
        <v>9724</v>
      </c>
      <c r="B283" s="4662" t="str">
        <f t="shared" si="4"/>
        <v>057-848</v>
      </c>
      <c r="C283" s="1417" t="s">
        <v>9725</v>
      </c>
      <c r="D283" s="1993" t="s">
        <v>1782</v>
      </c>
    </row>
    <row r="284" spans="1:4" ht="15">
      <c r="A284" t="s">
        <v>9726</v>
      </c>
      <c r="B284" s="4662" t="str">
        <f t="shared" si="4"/>
        <v>057-849</v>
      </c>
      <c r="C284" s="1417" t="s">
        <v>9727</v>
      </c>
      <c r="D284" s="1993" t="s">
        <v>1782</v>
      </c>
    </row>
    <row r="285" spans="1:4" ht="15">
      <c r="A285" t="s">
        <v>9728</v>
      </c>
      <c r="B285" s="4662" t="str">
        <f t="shared" si="4"/>
        <v>057-850</v>
      </c>
      <c r="C285" s="1417" t="s">
        <v>9729</v>
      </c>
      <c r="D285" s="1993" t="s">
        <v>1782</v>
      </c>
    </row>
    <row r="286" spans="1:4" ht="15">
      <c r="A286" t="s">
        <v>9730</v>
      </c>
      <c r="B286" s="4662" t="str">
        <f t="shared" si="4"/>
        <v>057-851</v>
      </c>
      <c r="C286" s="1417" t="s">
        <v>9731</v>
      </c>
      <c r="D286" s="1993" t="s">
        <v>1782</v>
      </c>
    </row>
    <row r="287" spans="1:4" ht="15">
      <c r="A287" t="s">
        <v>5822</v>
      </c>
      <c r="B287" s="4662" t="str">
        <f t="shared" si="4"/>
        <v>057-904</v>
      </c>
      <c r="C287" s="1417" t="s">
        <v>126</v>
      </c>
      <c r="D287" s="1993" t="s">
        <v>1782</v>
      </c>
    </row>
    <row r="288" spans="1:4" ht="15">
      <c r="A288" t="s">
        <v>3469</v>
      </c>
      <c r="B288" s="4662" t="str">
        <f t="shared" si="4"/>
        <v>057-906</v>
      </c>
      <c r="C288" s="1417" t="s">
        <v>128</v>
      </c>
      <c r="D288" s="1993" t="s">
        <v>1782</v>
      </c>
    </row>
    <row r="289" spans="1:4" ht="15">
      <c r="A289" t="s">
        <v>5824</v>
      </c>
      <c r="B289" s="4662" t="str">
        <f t="shared" si="4"/>
        <v>057-907</v>
      </c>
      <c r="C289" s="1417" t="s">
        <v>129</v>
      </c>
      <c r="D289" s="1993" t="s">
        <v>1782</v>
      </c>
    </row>
    <row r="290" spans="1:4" ht="15">
      <c r="A290" t="s">
        <v>3470</v>
      </c>
      <c r="B290" s="4662" t="str">
        <f t="shared" si="4"/>
        <v>057-909</v>
      </c>
      <c r="C290" s="1417" t="s">
        <v>1482</v>
      </c>
      <c r="D290" s="1993" t="s">
        <v>1782</v>
      </c>
    </row>
    <row r="291" spans="1:4" ht="15">
      <c r="A291" t="s">
        <v>3471</v>
      </c>
      <c r="B291" s="4662" t="str">
        <f t="shared" si="4"/>
        <v>057-910</v>
      </c>
      <c r="C291" s="1417" t="s">
        <v>863</v>
      </c>
      <c r="D291" s="1993" t="s">
        <v>1782</v>
      </c>
    </row>
    <row r="292" spans="1:4" ht="15">
      <c r="A292" t="s">
        <v>3472</v>
      </c>
      <c r="B292" s="4662" t="str">
        <f t="shared" si="4"/>
        <v>057-912</v>
      </c>
      <c r="C292" s="1417" t="s">
        <v>1269</v>
      </c>
      <c r="D292" s="1993" t="s">
        <v>1782</v>
      </c>
    </row>
    <row r="293" spans="1:4" ht="15">
      <c r="A293" t="s">
        <v>5826</v>
      </c>
      <c r="B293" s="4662" t="str">
        <f t="shared" si="4"/>
        <v>057-913</v>
      </c>
      <c r="C293" s="1417" t="s">
        <v>131</v>
      </c>
      <c r="D293" s="1993" t="s">
        <v>1782</v>
      </c>
    </row>
    <row r="294" spans="1:4" ht="15">
      <c r="A294" t="s">
        <v>3473</v>
      </c>
      <c r="B294" s="4662" t="str">
        <f t="shared" si="4"/>
        <v>057-914</v>
      </c>
      <c r="C294" s="1417" t="s">
        <v>2235</v>
      </c>
      <c r="D294" s="1993" t="s">
        <v>1782</v>
      </c>
    </row>
    <row r="295" spans="1:4" ht="15">
      <c r="A295" t="s">
        <v>9732</v>
      </c>
      <c r="B295" s="4662" t="str">
        <f t="shared" si="4"/>
        <v>057-920</v>
      </c>
      <c r="C295" s="1417" t="s">
        <v>9733</v>
      </c>
      <c r="D295" s="1993" t="s">
        <v>1782</v>
      </c>
    </row>
    <row r="296" spans="1:4" ht="15">
      <c r="A296" t="s">
        <v>6700</v>
      </c>
      <c r="B296" s="4662" t="str">
        <f t="shared" si="4"/>
        <v>058-902</v>
      </c>
      <c r="C296" s="1417" t="s">
        <v>2663</v>
      </c>
      <c r="D296" s="1993" t="s">
        <v>1782</v>
      </c>
    </row>
    <row r="297" spans="1:4" ht="15">
      <c r="A297" t="s">
        <v>6701</v>
      </c>
      <c r="B297" s="4662" t="str">
        <f t="shared" si="4"/>
        <v>058-906</v>
      </c>
      <c r="C297" s="1417" t="s">
        <v>2614</v>
      </c>
      <c r="D297" s="1993" t="s">
        <v>1782</v>
      </c>
    </row>
    <row r="298" spans="1:4" ht="15">
      <c r="A298" t="s">
        <v>4508</v>
      </c>
      <c r="B298" s="4662" t="str">
        <f t="shared" si="4"/>
        <v>059-901</v>
      </c>
      <c r="C298" s="1417" t="s">
        <v>2372</v>
      </c>
      <c r="D298" s="1993" t="s">
        <v>1782</v>
      </c>
    </row>
    <row r="299" spans="1:4" ht="15">
      <c r="A299" t="s">
        <v>6702</v>
      </c>
      <c r="B299" s="4662" t="str">
        <f t="shared" si="4"/>
        <v>059-902</v>
      </c>
      <c r="C299" s="1417" t="s">
        <v>2616</v>
      </c>
      <c r="D299" s="1993" t="s">
        <v>1782</v>
      </c>
    </row>
    <row r="300" spans="1:4" ht="15">
      <c r="A300" t="s">
        <v>3474</v>
      </c>
      <c r="B300" s="4662" t="str">
        <f t="shared" si="4"/>
        <v>060-902</v>
      </c>
      <c r="C300" s="1417" t="s">
        <v>2617</v>
      </c>
      <c r="D300" s="1993" t="s">
        <v>1782</v>
      </c>
    </row>
    <row r="301" spans="1:4" ht="15">
      <c r="A301" t="s">
        <v>3475</v>
      </c>
      <c r="B301" s="4662" t="str">
        <f t="shared" si="4"/>
        <v>060-914</v>
      </c>
      <c r="C301" s="1417" t="s">
        <v>107</v>
      </c>
      <c r="D301" s="1993" t="s">
        <v>1782</v>
      </c>
    </row>
    <row r="302" spans="1:4" ht="15">
      <c r="A302" t="s">
        <v>9734</v>
      </c>
      <c r="B302" s="4662" t="str">
        <f t="shared" si="4"/>
        <v>061-501</v>
      </c>
      <c r="C302" s="1417" t="s">
        <v>9735</v>
      </c>
      <c r="D302" s="1993" t="s">
        <v>1782</v>
      </c>
    </row>
    <row r="303" spans="1:4" ht="15">
      <c r="A303" t="s">
        <v>9736</v>
      </c>
      <c r="B303" s="4662" t="str">
        <f t="shared" si="4"/>
        <v>061-802</v>
      </c>
      <c r="C303" s="1417" t="s">
        <v>9737</v>
      </c>
      <c r="D303" s="1993" t="s">
        <v>1782</v>
      </c>
    </row>
    <row r="304" spans="1:4" ht="15">
      <c r="A304" t="s">
        <v>9738</v>
      </c>
      <c r="B304" s="4662" t="str">
        <f t="shared" si="4"/>
        <v>061-803</v>
      </c>
      <c r="C304" s="1417" t="s">
        <v>9739</v>
      </c>
      <c r="D304" s="1993" t="s">
        <v>1782</v>
      </c>
    </row>
    <row r="305" spans="1:4" ht="15">
      <c r="A305" t="s">
        <v>9740</v>
      </c>
      <c r="B305" s="4662" t="str">
        <f t="shared" si="4"/>
        <v>061-804</v>
      </c>
      <c r="C305" s="1417" t="s">
        <v>9741</v>
      </c>
      <c r="D305" s="1993" t="s">
        <v>1782</v>
      </c>
    </row>
    <row r="306" spans="1:4" ht="15">
      <c r="A306" t="s">
        <v>9742</v>
      </c>
      <c r="B306" s="4662" t="str">
        <f t="shared" si="4"/>
        <v>061-805</v>
      </c>
      <c r="C306" s="1417" t="s">
        <v>9743</v>
      </c>
      <c r="D306" s="1993" t="s">
        <v>1782</v>
      </c>
    </row>
    <row r="307" spans="1:4" ht="15">
      <c r="A307" t="s">
        <v>5832</v>
      </c>
      <c r="B307" s="4662" t="str">
        <f t="shared" si="4"/>
        <v>061-901</v>
      </c>
      <c r="C307" s="1417" t="s">
        <v>2618</v>
      </c>
      <c r="D307" s="1993" t="s">
        <v>1782</v>
      </c>
    </row>
    <row r="308" spans="1:4" ht="15">
      <c r="A308" t="s">
        <v>4518</v>
      </c>
      <c r="B308" s="4662" t="str">
        <f t="shared" si="4"/>
        <v>061-903</v>
      </c>
      <c r="C308" s="1417" t="s">
        <v>1000</v>
      </c>
      <c r="D308" s="1993" t="s">
        <v>1782</v>
      </c>
    </row>
    <row r="309" spans="1:4" ht="15">
      <c r="A309" t="s">
        <v>3477</v>
      </c>
      <c r="B309" s="4662" t="str">
        <f t="shared" si="4"/>
        <v>061-905</v>
      </c>
      <c r="C309" s="1417" t="s">
        <v>1692</v>
      </c>
      <c r="D309" s="1993" t="s">
        <v>1782</v>
      </c>
    </row>
    <row r="310" spans="1:4" ht="15">
      <c r="A310" t="s">
        <v>3478</v>
      </c>
      <c r="B310" s="4662" t="str">
        <f t="shared" si="4"/>
        <v>061-906</v>
      </c>
      <c r="C310" s="1417" t="s">
        <v>1002</v>
      </c>
      <c r="D310" s="1993" t="s">
        <v>1782</v>
      </c>
    </row>
    <row r="311" spans="1:4" ht="15">
      <c r="A311" t="s">
        <v>3479</v>
      </c>
      <c r="B311" s="4662" t="str">
        <f t="shared" si="4"/>
        <v>061-907</v>
      </c>
      <c r="C311" s="1417" t="s">
        <v>2116</v>
      </c>
      <c r="D311" s="1993" t="s">
        <v>1782</v>
      </c>
    </row>
    <row r="312" spans="1:4" ht="15">
      <c r="A312" t="s">
        <v>3480</v>
      </c>
      <c r="B312" s="4662" t="str">
        <f t="shared" si="4"/>
        <v>061-908</v>
      </c>
      <c r="C312" s="1417" t="s">
        <v>2060</v>
      </c>
      <c r="D312" s="1993" t="s">
        <v>1782</v>
      </c>
    </row>
    <row r="313" spans="1:4" ht="15">
      <c r="A313" t="s">
        <v>3482</v>
      </c>
      <c r="B313" s="4662" t="str">
        <f t="shared" si="4"/>
        <v>061-912</v>
      </c>
      <c r="C313" s="1417" t="s">
        <v>2300</v>
      </c>
      <c r="D313" s="1993" t="s">
        <v>1782</v>
      </c>
    </row>
    <row r="314" spans="1:4" ht="15">
      <c r="A314" t="s">
        <v>3483</v>
      </c>
      <c r="B314" s="4662" t="str">
        <f t="shared" si="4"/>
        <v>061-914</v>
      </c>
      <c r="C314" s="1417" t="s">
        <v>1567</v>
      </c>
      <c r="D314" s="1993" t="s">
        <v>1782</v>
      </c>
    </row>
    <row r="315" spans="1:4" ht="15">
      <c r="A315" t="s">
        <v>3484</v>
      </c>
      <c r="B315" s="4662" t="str">
        <f t="shared" si="4"/>
        <v>062-901</v>
      </c>
      <c r="C315" s="1417" t="s">
        <v>421</v>
      </c>
      <c r="D315" s="1993" t="s">
        <v>1782</v>
      </c>
    </row>
    <row r="316" spans="1:4" ht="15">
      <c r="A316" t="s">
        <v>3485</v>
      </c>
      <c r="B316" s="4662" t="str">
        <f t="shared" si="4"/>
        <v>062-903</v>
      </c>
      <c r="C316" s="1417" t="s">
        <v>2196</v>
      </c>
      <c r="D316" s="1993" t="s">
        <v>1782</v>
      </c>
    </row>
    <row r="317" spans="1:4" ht="15">
      <c r="A317" t="s">
        <v>6704</v>
      </c>
      <c r="B317" s="4662" t="str">
        <f t="shared" si="4"/>
        <v>062-906</v>
      </c>
      <c r="C317" s="1417" t="s">
        <v>2623</v>
      </c>
      <c r="D317" s="1993" t="s">
        <v>1782</v>
      </c>
    </row>
    <row r="318" spans="1:4" ht="15">
      <c r="A318" t="s">
        <v>5836</v>
      </c>
      <c r="B318" s="4662" t="str">
        <f t="shared" si="4"/>
        <v>063-903</v>
      </c>
      <c r="C318" s="1417" t="s">
        <v>2624</v>
      </c>
      <c r="D318" s="1993" t="s">
        <v>1782</v>
      </c>
    </row>
    <row r="319" spans="1:4" ht="15">
      <c r="A319" t="s">
        <v>6705</v>
      </c>
      <c r="B319" s="4662" t="str">
        <f t="shared" si="4"/>
        <v>063-906</v>
      </c>
      <c r="C319" s="1417" t="s">
        <v>2625</v>
      </c>
      <c r="D319" s="1993" t="s">
        <v>1782</v>
      </c>
    </row>
    <row r="320" spans="1:4" ht="15">
      <c r="A320" t="s">
        <v>6706</v>
      </c>
      <c r="B320" s="4662" t="str">
        <f t="shared" si="4"/>
        <v>065-901</v>
      </c>
      <c r="C320" s="1417" t="s">
        <v>1958</v>
      </c>
      <c r="D320" s="1993" t="s">
        <v>1782</v>
      </c>
    </row>
    <row r="321" spans="1:4" ht="15">
      <c r="A321" t="s">
        <v>3487</v>
      </c>
      <c r="B321" s="4662" t="str">
        <f t="shared" si="4"/>
        <v>065-902</v>
      </c>
      <c r="C321" s="1417" t="s">
        <v>2370</v>
      </c>
      <c r="D321" s="1993" t="s">
        <v>1782</v>
      </c>
    </row>
    <row r="322" spans="1:4" ht="15">
      <c r="A322" t="s">
        <v>6707</v>
      </c>
      <c r="B322" s="4662" t="str">
        <f t="shared" ref="B322:B385" si="5">CONCATENATE(LEFT(RIGHT(CONCATENATE("000",A322),6),3),"-",(RIGHT(RIGHT(CONCATENATE("000",A322),6),3)))</f>
        <v>066-005</v>
      </c>
      <c r="C322" s="1417" t="s">
        <v>1959</v>
      </c>
      <c r="D322" s="1993" t="s">
        <v>1782</v>
      </c>
    </row>
    <row r="323" spans="1:4" ht="15">
      <c r="A323" t="s">
        <v>5837</v>
      </c>
      <c r="B323" s="4662" t="str">
        <f t="shared" si="5"/>
        <v>066-901</v>
      </c>
      <c r="C323" s="1417" t="s">
        <v>1960</v>
      </c>
      <c r="D323" s="1993" t="s">
        <v>1782</v>
      </c>
    </row>
    <row r="324" spans="1:4" ht="15">
      <c r="A324" t="s">
        <v>3488</v>
      </c>
      <c r="B324" s="4662" t="str">
        <f t="shared" si="5"/>
        <v>066-902</v>
      </c>
      <c r="C324" s="1417" t="s">
        <v>2030</v>
      </c>
      <c r="D324" s="1993" t="s">
        <v>1782</v>
      </c>
    </row>
    <row r="325" spans="1:4" ht="15">
      <c r="A325" t="s">
        <v>5838</v>
      </c>
      <c r="B325" s="4662" t="str">
        <f t="shared" si="5"/>
        <v>066-903</v>
      </c>
      <c r="C325" s="1417" t="s">
        <v>1961</v>
      </c>
      <c r="D325" s="1993" t="s">
        <v>1782</v>
      </c>
    </row>
    <row r="326" spans="1:4" ht="15">
      <c r="A326" t="s">
        <v>4572</v>
      </c>
      <c r="B326" s="4662" t="str">
        <f t="shared" si="5"/>
        <v>067-902</v>
      </c>
      <c r="C326" s="1417" t="s">
        <v>2151</v>
      </c>
      <c r="D326" s="1993" t="s">
        <v>1782</v>
      </c>
    </row>
    <row r="327" spans="1:4" ht="15">
      <c r="A327" t="s">
        <v>6708</v>
      </c>
      <c r="B327" s="4662" t="str">
        <f t="shared" si="5"/>
        <v>067-903</v>
      </c>
      <c r="C327" s="1417" t="s">
        <v>1962</v>
      </c>
      <c r="D327" s="1993" t="s">
        <v>1782</v>
      </c>
    </row>
    <row r="328" spans="1:4" ht="15">
      <c r="A328" t="s">
        <v>5839</v>
      </c>
      <c r="B328" s="4662" t="str">
        <f t="shared" si="5"/>
        <v>067-904</v>
      </c>
      <c r="C328" s="1417" t="s">
        <v>1963</v>
      </c>
      <c r="D328" s="1993" t="s">
        <v>1782</v>
      </c>
    </row>
    <row r="329" spans="1:4" ht="15">
      <c r="A329" t="s">
        <v>6709</v>
      </c>
      <c r="B329" s="4662" t="str">
        <f t="shared" si="5"/>
        <v>067-907</v>
      </c>
      <c r="C329" s="1417" t="s">
        <v>1964</v>
      </c>
      <c r="D329" s="1993" t="s">
        <v>1782</v>
      </c>
    </row>
    <row r="330" spans="1:4" ht="15">
      <c r="A330" t="s">
        <v>6710</v>
      </c>
      <c r="B330" s="4662" t="str">
        <f t="shared" si="5"/>
        <v>067-908</v>
      </c>
      <c r="C330" s="1417" t="s">
        <v>1965</v>
      </c>
      <c r="D330" s="1993" t="s">
        <v>1782</v>
      </c>
    </row>
    <row r="331" spans="1:4" ht="15">
      <c r="A331" t="s">
        <v>9744</v>
      </c>
      <c r="B331" s="4662" t="str">
        <f t="shared" si="5"/>
        <v>068-801</v>
      </c>
      <c r="C331" s="1417" t="s">
        <v>9745</v>
      </c>
      <c r="D331" s="1993" t="s">
        <v>1782</v>
      </c>
    </row>
    <row r="332" spans="1:4" ht="15">
      <c r="A332" t="s">
        <v>9746</v>
      </c>
      <c r="B332" s="4662" t="str">
        <f t="shared" si="5"/>
        <v>068-802</v>
      </c>
      <c r="C332" s="1417" t="s">
        <v>9747</v>
      </c>
      <c r="D332" s="1993" t="s">
        <v>1782</v>
      </c>
    </row>
    <row r="333" spans="1:4" ht="15">
      <c r="A333" t="s">
        <v>9748</v>
      </c>
      <c r="B333" s="4662" t="str">
        <f t="shared" si="5"/>
        <v>068-803</v>
      </c>
      <c r="C333" s="1417" t="s">
        <v>9749</v>
      </c>
      <c r="D333" s="1993" t="s">
        <v>1782</v>
      </c>
    </row>
    <row r="334" spans="1:4" ht="15">
      <c r="A334" t="s">
        <v>5840</v>
      </c>
      <c r="B334" s="4662" t="str">
        <f t="shared" si="5"/>
        <v>068-901</v>
      </c>
      <c r="C334" s="1417" t="s">
        <v>1966</v>
      </c>
      <c r="D334" s="1993" t="s">
        <v>1782</v>
      </c>
    </row>
    <row r="335" spans="1:4" ht="15">
      <c r="A335" t="s">
        <v>9750</v>
      </c>
      <c r="B335" s="4662" t="str">
        <f t="shared" si="5"/>
        <v>070-801</v>
      </c>
      <c r="C335" s="1417" t="s">
        <v>9751</v>
      </c>
      <c r="D335" s="1993" t="s">
        <v>1782</v>
      </c>
    </row>
    <row r="336" spans="1:4" ht="15">
      <c r="A336" t="s">
        <v>3489</v>
      </c>
      <c r="B336" s="4662" t="str">
        <f t="shared" si="5"/>
        <v>070-901</v>
      </c>
      <c r="C336" s="1417" t="s">
        <v>2117</v>
      </c>
      <c r="D336" s="1993" t="s">
        <v>1782</v>
      </c>
    </row>
    <row r="337" spans="1:4" ht="15">
      <c r="A337" t="s">
        <v>5842</v>
      </c>
      <c r="B337" s="4662" t="str">
        <f t="shared" si="5"/>
        <v>070-903</v>
      </c>
      <c r="C337" s="1417" t="s">
        <v>1969</v>
      </c>
      <c r="D337" s="1993" t="s">
        <v>1782</v>
      </c>
    </row>
    <row r="338" spans="1:4" ht="15">
      <c r="A338" t="s">
        <v>3490</v>
      </c>
      <c r="B338" s="4662" t="str">
        <f t="shared" si="5"/>
        <v>070-905</v>
      </c>
      <c r="C338" s="1417" t="s">
        <v>1970</v>
      </c>
      <c r="D338" s="1993" t="s">
        <v>1782</v>
      </c>
    </row>
    <row r="339" spans="1:4" ht="15">
      <c r="A339" t="s">
        <v>3491</v>
      </c>
      <c r="B339" s="4662" t="str">
        <f t="shared" si="5"/>
        <v>070-907</v>
      </c>
      <c r="C339" s="1417" t="s">
        <v>1270</v>
      </c>
      <c r="D339" s="1993" t="s">
        <v>1782</v>
      </c>
    </row>
    <row r="340" spans="1:4" ht="15">
      <c r="A340" t="s">
        <v>5843</v>
      </c>
      <c r="B340" s="4662" t="str">
        <f t="shared" si="5"/>
        <v>070-908</v>
      </c>
      <c r="C340" s="1417" t="s">
        <v>1971</v>
      </c>
      <c r="D340" s="1993" t="s">
        <v>1782</v>
      </c>
    </row>
    <row r="341" spans="1:4" ht="15">
      <c r="A341" t="s">
        <v>6712</v>
      </c>
      <c r="B341" s="4662" t="str">
        <f t="shared" si="5"/>
        <v>070-909</v>
      </c>
      <c r="C341" s="1417" t="s">
        <v>1972</v>
      </c>
      <c r="D341" s="1993" t="s">
        <v>1782</v>
      </c>
    </row>
    <row r="342" spans="1:4" ht="15">
      <c r="A342" t="s">
        <v>3492</v>
      </c>
      <c r="B342" s="4662" t="str">
        <f t="shared" si="5"/>
        <v>070-910</v>
      </c>
      <c r="C342" s="1417" t="s">
        <v>1363</v>
      </c>
      <c r="D342" s="1993" t="s">
        <v>1782</v>
      </c>
    </row>
    <row r="343" spans="1:4" ht="15">
      <c r="A343" t="s">
        <v>3493</v>
      </c>
      <c r="B343" s="4662" t="str">
        <f t="shared" si="5"/>
        <v>070-911</v>
      </c>
      <c r="C343" s="1417" t="s">
        <v>79</v>
      </c>
      <c r="D343" s="1993" t="s">
        <v>1782</v>
      </c>
    </row>
    <row r="344" spans="1:4" ht="15">
      <c r="A344" t="s">
        <v>3494</v>
      </c>
      <c r="B344" s="4662" t="str">
        <f t="shared" si="5"/>
        <v>070-912</v>
      </c>
      <c r="C344" s="1417" t="s">
        <v>139</v>
      </c>
      <c r="D344" s="1993" t="s">
        <v>1782</v>
      </c>
    </row>
    <row r="345" spans="1:4" ht="15">
      <c r="A345" t="s">
        <v>3495</v>
      </c>
      <c r="B345" s="4662" t="str">
        <f t="shared" si="5"/>
        <v>070-915</v>
      </c>
      <c r="C345" s="1417" t="s">
        <v>1992</v>
      </c>
      <c r="D345" s="1993" t="s">
        <v>1782</v>
      </c>
    </row>
    <row r="346" spans="1:4" ht="15">
      <c r="A346" t="s">
        <v>9752</v>
      </c>
      <c r="B346" s="4662" t="str">
        <f t="shared" si="5"/>
        <v>071-801</v>
      </c>
      <c r="C346" s="1417" t="s">
        <v>9753</v>
      </c>
      <c r="D346" s="1993" t="s">
        <v>1782</v>
      </c>
    </row>
    <row r="347" spans="1:4" ht="15">
      <c r="A347" t="s">
        <v>9754</v>
      </c>
      <c r="B347" s="4662" t="str">
        <f t="shared" si="5"/>
        <v>071-803</v>
      </c>
      <c r="C347" s="1417" t="s">
        <v>9755</v>
      </c>
      <c r="D347" s="1993" t="s">
        <v>1782</v>
      </c>
    </row>
    <row r="348" spans="1:4" ht="15">
      <c r="A348" t="s">
        <v>9756</v>
      </c>
      <c r="B348" s="4662" t="str">
        <f t="shared" si="5"/>
        <v>071-804</v>
      </c>
      <c r="C348" s="1417" t="s">
        <v>9757</v>
      </c>
      <c r="D348" s="1993" t="s">
        <v>1782</v>
      </c>
    </row>
    <row r="349" spans="1:4" ht="15">
      <c r="A349" t="s">
        <v>9758</v>
      </c>
      <c r="B349" s="4662" t="str">
        <f t="shared" si="5"/>
        <v>071-805</v>
      </c>
      <c r="C349" s="1417" t="s">
        <v>9759</v>
      </c>
      <c r="D349" s="1993" t="s">
        <v>1782</v>
      </c>
    </row>
    <row r="350" spans="1:4" ht="15">
      <c r="A350" t="s">
        <v>9760</v>
      </c>
      <c r="B350" s="4662" t="str">
        <f t="shared" si="5"/>
        <v>071-806</v>
      </c>
      <c r="C350" s="1417" t="s">
        <v>9761</v>
      </c>
      <c r="D350" s="1993" t="s">
        <v>1782</v>
      </c>
    </row>
    <row r="351" spans="1:4" ht="15">
      <c r="A351" t="s">
        <v>9762</v>
      </c>
      <c r="B351" s="4662" t="str">
        <f t="shared" si="5"/>
        <v>071-807</v>
      </c>
      <c r="C351" s="1417" t="s">
        <v>9763</v>
      </c>
      <c r="D351" s="1993" t="s">
        <v>1782</v>
      </c>
    </row>
    <row r="352" spans="1:4" ht="15">
      <c r="A352" t="s">
        <v>9764</v>
      </c>
      <c r="B352" s="4662" t="str">
        <f t="shared" si="5"/>
        <v>071-808</v>
      </c>
      <c r="C352" s="1417" t="s">
        <v>9765</v>
      </c>
      <c r="D352" s="1993" t="s">
        <v>1782</v>
      </c>
    </row>
    <row r="353" spans="1:4" ht="15">
      <c r="A353" t="s">
        <v>9766</v>
      </c>
      <c r="B353" s="4662" t="str">
        <f t="shared" si="5"/>
        <v>071-809</v>
      </c>
      <c r="C353" s="1417" t="s">
        <v>9767</v>
      </c>
      <c r="D353" s="1993" t="s">
        <v>1782</v>
      </c>
    </row>
    <row r="354" spans="1:4" ht="15">
      <c r="A354" t="s">
        <v>9768</v>
      </c>
      <c r="B354" s="4662" t="str">
        <f t="shared" si="5"/>
        <v>071-810</v>
      </c>
      <c r="C354" s="1417" t="s">
        <v>9769</v>
      </c>
      <c r="D354" s="1993" t="s">
        <v>1782</v>
      </c>
    </row>
    <row r="355" spans="1:4" ht="15">
      <c r="A355" t="s">
        <v>3496</v>
      </c>
      <c r="B355" s="4662" t="str">
        <f t="shared" si="5"/>
        <v>071-901</v>
      </c>
      <c r="C355" s="1417" t="s">
        <v>1166</v>
      </c>
      <c r="D355" s="1993" t="s">
        <v>1782</v>
      </c>
    </row>
    <row r="356" spans="1:4" ht="15">
      <c r="A356" t="s">
        <v>3497</v>
      </c>
      <c r="B356" s="4662" t="str">
        <f t="shared" si="5"/>
        <v>071-902</v>
      </c>
      <c r="C356" s="1417" t="s">
        <v>1973</v>
      </c>
      <c r="D356" s="1993" t="s">
        <v>1782</v>
      </c>
    </row>
    <row r="357" spans="1:4" ht="15">
      <c r="A357" t="s">
        <v>3498</v>
      </c>
      <c r="B357" s="4662" t="str">
        <f t="shared" si="5"/>
        <v>071-903</v>
      </c>
      <c r="C357" s="1417" t="s">
        <v>892</v>
      </c>
      <c r="D357" s="1993" t="s">
        <v>1782</v>
      </c>
    </row>
    <row r="358" spans="1:4" ht="15">
      <c r="A358" t="s">
        <v>4611</v>
      </c>
      <c r="B358" s="4662" t="str">
        <f t="shared" si="5"/>
        <v>071-904</v>
      </c>
      <c r="C358" s="1417" t="s">
        <v>2031</v>
      </c>
      <c r="D358" s="1993" t="s">
        <v>1782</v>
      </c>
    </row>
    <row r="359" spans="1:4" ht="15">
      <c r="A359" t="s">
        <v>4617</v>
      </c>
      <c r="B359" s="4662" t="str">
        <f t="shared" si="5"/>
        <v>071-905</v>
      </c>
      <c r="C359" s="1417" t="s">
        <v>760</v>
      </c>
      <c r="D359" s="1993" t="s">
        <v>1782</v>
      </c>
    </row>
    <row r="360" spans="1:4" ht="15">
      <c r="A360" t="s">
        <v>3499</v>
      </c>
      <c r="B360" s="4662" t="str">
        <f t="shared" si="5"/>
        <v>071-906</v>
      </c>
      <c r="C360" s="1417" t="s">
        <v>132</v>
      </c>
      <c r="D360" s="1993" t="s">
        <v>1782</v>
      </c>
    </row>
    <row r="361" spans="1:4" ht="15">
      <c r="A361" t="s">
        <v>3500</v>
      </c>
      <c r="B361" s="4662" t="str">
        <f t="shared" si="5"/>
        <v>071-907</v>
      </c>
      <c r="C361" s="1417" t="s">
        <v>653</v>
      </c>
      <c r="D361" s="1993" t="s">
        <v>1782</v>
      </c>
    </row>
    <row r="362" spans="1:4" ht="15">
      <c r="A362" t="s">
        <v>3501</v>
      </c>
      <c r="B362" s="4662" t="str">
        <f t="shared" si="5"/>
        <v>071-908</v>
      </c>
      <c r="C362" s="1417" t="s">
        <v>606</v>
      </c>
      <c r="D362" s="1993" t="s">
        <v>1782</v>
      </c>
    </row>
    <row r="363" spans="1:4" ht="15">
      <c r="A363" t="s">
        <v>3502</v>
      </c>
      <c r="B363" s="4662" t="str">
        <f t="shared" si="5"/>
        <v>071-909</v>
      </c>
      <c r="C363" s="1417" t="s">
        <v>1930</v>
      </c>
      <c r="D363" s="1993" t="s">
        <v>1782</v>
      </c>
    </row>
    <row r="364" spans="1:4" ht="15">
      <c r="A364" t="s">
        <v>9770</v>
      </c>
      <c r="B364" s="4662" t="str">
        <f t="shared" si="5"/>
        <v>072-801</v>
      </c>
      <c r="C364" s="1417" t="s">
        <v>9771</v>
      </c>
      <c r="D364" s="1993" t="s">
        <v>1782</v>
      </c>
    </row>
    <row r="365" spans="1:4" ht="15">
      <c r="A365" t="s">
        <v>9772</v>
      </c>
      <c r="B365" s="4662" t="str">
        <f t="shared" si="5"/>
        <v>072-802</v>
      </c>
      <c r="C365" s="1417" t="s">
        <v>9773</v>
      </c>
      <c r="D365" s="1993" t="s">
        <v>1782</v>
      </c>
    </row>
    <row r="366" spans="1:4" ht="15">
      <c r="A366" t="s">
        <v>6713</v>
      </c>
      <c r="B366" s="4662" t="str">
        <f t="shared" si="5"/>
        <v>072-901</v>
      </c>
      <c r="C366" s="1417" t="s">
        <v>1974</v>
      </c>
      <c r="D366" s="1993" t="s">
        <v>1782</v>
      </c>
    </row>
    <row r="367" spans="1:4" ht="15">
      <c r="A367" t="s">
        <v>5844</v>
      </c>
      <c r="B367" s="4662" t="str">
        <f t="shared" si="5"/>
        <v>072-902</v>
      </c>
      <c r="C367" s="1417" t="s">
        <v>1975</v>
      </c>
      <c r="D367" s="1993" t="s">
        <v>1782</v>
      </c>
    </row>
    <row r="368" spans="1:4" ht="15">
      <c r="A368" t="s">
        <v>3503</v>
      </c>
      <c r="B368" s="4662" t="str">
        <f t="shared" si="5"/>
        <v>072-903</v>
      </c>
      <c r="C368" s="1417" t="s">
        <v>2099</v>
      </c>
      <c r="D368" s="1993" t="s">
        <v>1782</v>
      </c>
    </row>
    <row r="369" spans="1:4" ht="15">
      <c r="A369" t="s">
        <v>5845</v>
      </c>
      <c r="B369" s="4662" t="str">
        <f t="shared" si="5"/>
        <v>072-904</v>
      </c>
      <c r="C369" s="1417" t="s">
        <v>1976</v>
      </c>
      <c r="D369" s="1993" t="s">
        <v>1782</v>
      </c>
    </row>
    <row r="370" spans="1:4" ht="15">
      <c r="A370" t="s">
        <v>6714</v>
      </c>
      <c r="B370" s="4662" t="str">
        <f t="shared" si="5"/>
        <v>072-908</v>
      </c>
      <c r="C370" s="1417" t="s">
        <v>1977</v>
      </c>
      <c r="D370" s="1993" t="s">
        <v>1782</v>
      </c>
    </row>
    <row r="371" spans="1:4" ht="15">
      <c r="A371" t="s">
        <v>3504</v>
      </c>
      <c r="B371" s="4662" t="str">
        <f t="shared" si="5"/>
        <v>072-909</v>
      </c>
      <c r="C371" s="1417" t="s">
        <v>2468</v>
      </c>
      <c r="D371" s="1993" t="s">
        <v>1782</v>
      </c>
    </row>
    <row r="372" spans="1:4" ht="15">
      <c r="A372" t="s">
        <v>6715</v>
      </c>
      <c r="B372" s="4662" t="str">
        <f t="shared" si="5"/>
        <v>072-910</v>
      </c>
      <c r="C372" s="1417" t="s">
        <v>1978</v>
      </c>
      <c r="D372" s="1993" t="s">
        <v>1782</v>
      </c>
    </row>
    <row r="373" spans="1:4" ht="15">
      <c r="A373" t="s">
        <v>5846</v>
      </c>
      <c r="B373" s="4662" t="str">
        <f t="shared" si="5"/>
        <v>073-901</v>
      </c>
      <c r="C373" s="1417" t="s">
        <v>1035</v>
      </c>
      <c r="D373" s="1993" t="s">
        <v>1782</v>
      </c>
    </row>
    <row r="374" spans="1:4" ht="15">
      <c r="A374" t="s">
        <v>4653</v>
      </c>
      <c r="B374" s="4662" t="str">
        <f t="shared" si="5"/>
        <v>073-903</v>
      </c>
      <c r="C374" s="1417" t="s">
        <v>2063</v>
      </c>
      <c r="D374" s="1993" t="s">
        <v>1782</v>
      </c>
    </row>
    <row r="375" spans="1:4" ht="15">
      <c r="A375" t="s">
        <v>4655</v>
      </c>
      <c r="B375" s="4662" t="str">
        <f t="shared" si="5"/>
        <v>073-904</v>
      </c>
      <c r="C375" s="1417" t="s">
        <v>1332</v>
      </c>
      <c r="D375" s="1993" t="s">
        <v>1782</v>
      </c>
    </row>
    <row r="376" spans="1:4" ht="15">
      <c r="A376" t="s">
        <v>6716</v>
      </c>
      <c r="B376" s="4662" t="str">
        <f t="shared" si="5"/>
        <v>073-905</v>
      </c>
      <c r="C376" s="1417" t="s">
        <v>1980</v>
      </c>
      <c r="D376" s="1993" t="s">
        <v>1782</v>
      </c>
    </row>
    <row r="377" spans="1:4" ht="15">
      <c r="A377" t="s">
        <v>5847</v>
      </c>
      <c r="B377" s="4662" t="str">
        <f t="shared" si="5"/>
        <v>074-903</v>
      </c>
      <c r="C377" s="1417" t="s">
        <v>1</v>
      </c>
      <c r="D377" s="1993" t="s">
        <v>1782</v>
      </c>
    </row>
    <row r="378" spans="1:4" ht="15">
      <c r="A378" t="s">
        <v>3505</v>
      </c>
      <c r="B378" s="4662" t="str">
        <f t="shared" si="5"/>
        <v>074-904</v>
      </c>
      <c r="C378" s="1417" t="s">
        <v>2180</v>
      </c>
      <c r="D378" s="1993" t="s">
        <v>1782</v>
      </c>
    </row>
    <row r="379" spans="1:4" ht="15">
      <c r="A379" t="s">
        <v>3506</v>
      </c>
      <c r="B379" s="4662" t="str">
        <f t="shared" si="5"/>
        <v>074-905</v>
      </c>
      <c r="C379" s="1417" t="s">
        <v>1065</v>
      </c>
      <c r="D379" s="1993" t="s">
        <v>1782</v>
      </c>
    </row>
    <row r="380" spans="1:4" ht="15">
      <c r="A380" t="s">
        <v>3507</v>
      </c>
      <c r="B380" s="4662" t="str">
        <f t="shared" si="5"/>
        <v>074-907</v>
      </c>
      <c r="C380" s="1417" t="s">
        <v>2</v>
      </c>
      <c r="D380" s="1993" t="s">
        <v>1782</v>
      </c>
    </row>
    <row r="381" spans="1:4" ht="15">
      <c r="A381" t="s">
        <v>5848</v>
      </c>
      <c r="B381" s="4662" t="str">
        <f t="shared" si="5"/>
        <v>074-909</v>
      </c>
      <c r="C381" s="1417" t="s">
        <v>3</v>
      </c>
      <c r="D381" s="1993" t="s">
        <v>1782</v>
      </c>
    </row>
    <row r="382" spans="1:4" ht="15">
      <c r="A382" t="s">
        <v>5849</v>
      </c>
      <c r="B382" s="4662" t="str">
        <f t="shared" si="5"/>
        <v>074-911</v>
      </c>
      <c r="C382" s="1417" t="s">
        <v>4</v>
      </c>
      <c r="D382" s="1993" t="s">
        <v>1782</v>
      </c>
    </row>
    <row r="383" spans="1:4" ht="15">
      <c r="A383" t="s">
        <v>3508</v>
      </c>
      <c r="B383" s="4662" t="str">
        <f t="shared" si="5"/>
        <v>074-912</v>
      </c>
      <c r="C383" s="1417" t="s">
        <v>5</v>
      </c>
      <c r="D383" s="1993" t="s">
        <v>1782</v>
      </c>
    </row>
    <row r="384" spans="1:4" ht="15">
      <c r="A384" t="s">
        <v>3509</v>
      </c>
      <c r="B384" s="4662" t="str">
        <f t="shared" si="5"/>
        <v>074-917</v>
      </c>
      <c r="C384" s="1417" t="s">
        <v>2026</v>
      </c>
      <c r="D384" s="1993" t="s">
        <v>1782</v>
      </c>
    </row>
    <row r="385" spans="1:4" ht="15">
      <c r="A385" t="s">
        <v>5850</v>
      </c>
      <c r="B385" s="4662" t="str">
        <f t="shared" si="5"/>
        <v>075-901</v>
      </c>
      <c r="C385" s="1417" t="s">
        <v>461</v>
      </c>
      <c r="D385" s="1993" t="s">
        <v>1782</v>
      </c>
    </row>
    <row r="386" spans="1:4" ht="15">
      <c r="A386" t="s">
        <v>6717</v>
      </c>
      <c r="B386" s="4662" t="str">
        <f t="shared" ref="B386:B449" si="6">CONCATENATE(LEFT(RIGHT(CONCATENATE("000",A386),6),3),"-",(RIGHT(RIGHT(CONCATENATE("000",A386),6),3)))</f>
        <v>075-902</v>
      </c>
      <c r="C386" s="1417" t="s">
        <v>462</v>
      </c>
      <c r="D386" s="1993" t="s">
        <v>1782</v>
      </c>
    </row>
    <row r="387" spans="1:4" ht="15">
      <c r="A387" t="s">
        <v>5851</v>
      </c>
      <c r="B387" s="4662" t="str">
        <f t="shared" si="6"/>
        <v>075-903</v>
      </c>
      <c r="C387" s="1417" t="s">
        <v>463</v>
      </c>
      <c r="D387" s="1993" t="s">
        <v>1782</v>
      </c>
    </row>
    <row r="388" spans="1:4" ht="15">
      <c r="A388" t="s">
        <v>6719</v>
      </c>
      <c r="B388" s="4662" t="str">
        <f t="shared" si="6"/>
        <v>076-903</v>
      </c>
      <c r="C388" s="1417" t="s">
        <v>1036</v>
      </c>
      <c r="D388" s="1993" t="s">
        <v>1782</v>
      </c>
    </row>
    <row r="389" spans="1:4" ht="15">
      <c r="A389" t="s">
        <v>3510</v>
      </c>
      <c r="B389" s="4662" t="str">
        <f t="shared" si="6"/>
        <v>076-904</v>
      </c>
      <c r="C389" s="1417" t="s">
        <v>610</v>
      </c>
      <c r="D389" s="1993" t="s">
        <v>1782</v>
      </c>
    </row>
    <row r="390" spans="1:4" ht="15">
      <c r="A390" t="s">
        <v>5853</v>
      </c>
      <c r="B390" s="4662" t="str">
        <f t="shared" si="6"/>
        <v>077-901</v>
      </c>
      <c r="C390" s="1417" t="s">
        <v>847</v>
      </c>
      <c r="D390" s="1993" t="s">
        <v>1782</v>
      </c>
    </row>
    <row r="391" spans="1:4" ht="15">
      <c r="A391" t="s">
        <v>6720</v>
      </c>
      <c r="B391" s="4662" t="str">
        <f t="shared" si="6"/>
        <v>077-902</v>
      </c>
      <c r="C391" s="1417" t="s">
        <v>848</v>
      </c>
      <c r="D391" s="1993" t="s">
        <v>1782</v>
      </c>
    </row>
    <row r="392" spans="1:4" ht="15">
      <c r="A392" t="s">
        <v>5854</v>
      </c>
      <c r="B392" s="4662" t="str">
        <f t="shared" si="6"/>
        <v>079-901</v>
      </c>
      <c r="C392" s="1417" t="s">
        <v>1037</v>
      </c>
      <c r="D392" s="1993" t="s">
        <v>1782</v>
      </c>
    </row>
    <row r="393" spans="1:4" ht="15">
      <c r="A393" t="s">
        <v>3511</v>
      </c>
      <c r="B393" s="4662" t="str">
        <f t="shared" si="6"/>
        <v>079-906</v>
      </c>
      <c r="C393" s="1417" t="s">
        <v>894</v>
      </c>
      <c r="D393" s="1993" t="s">
        <v>1782</v>
      </c>
    </row>
    <row r="394" spans="1:4" ht="15">
      <c r="A394" t="s">
        <v>9774</v>
      </c>
      <c r="B394" s="4662" t="str">
        <f t="shared" si="6"/>
        <v>079-908</v>
      </c>
      <c r="C394" s="1417" t="s">
        <v>851</v>
      </c>
      <c r="D394" s="1993" t="s">
        <v>1782</v>
      </c>
    </row>
    <row r="395" spans="1:4" ht="15">
      <c r="A395" t="s">
        <v>5856</v>
      </c>
      <c r="B395" s="4662" t="str">
        <f t="shared" si="6"/>
        <v>080-901</v>
      </c>
      <c r="C395" s="1417" t="s">
        <v>853</v>
      </c>
      <c r="D395" s="1993" t="s">
        <v>1782</v>
      </c>
    </row>
    <row r="396" spans="1:4" ht="15">
      <c r="A396" t="s">
        <v>5858</v>
      </c>
      <c r="B396" s="4662" t="str">
        <f t="shared" si="6"/>
        <v>081-904</v>
      </c>
      <c r="C396" s="1417" t="s">
        <v>855</v>
      </c>
      <c r="D396" s="1993" t="s">
        <v>1782</v>
      </c>
    </row>
    <row r="397" spans="1:4" ht="15">
      <c r="A397" t="s">
        <v>5859</v>
      </c>
      <c r="B397" s="4662" t="str">
        <f t="shared" si="6"/>
        <v>081-905</v>
      </c>
      <c r="C397" s="1417" t="s">
        <v>856</v>
      </c>
      <c r="D397" s="1993" t="s">
        <v>1782</v>
      </c>
    </row>
    <row r="398" spans="1:4" ht="15">
      <c r="A398" t="s">
        <v>3514</v>
      </c>
      <c r="B398" s="4662" t="str">
        <f t="shared" si="6"/>
        <v>082-903</v>
      </c>
      <c r="C398" s="1417" t="s">
        <v>2592</v>
      </c>
      <c r="D398" s="1993" t="s">
        <v>1782</v>
      </c>
    </row>
    <row r="399" spans="1:4" ht="15">
      <c r="A399" t="s">
        <v>5861</v>
      </c>
      <c r="B399" s="4662" t="str">
        <f t="shared" si="6"/>
        <v>083-901</v>
      </c>
      <c r="C399" s="1417" t="s">
        <v>858</v>
      </c>
      <c r="D399" s="1993" t="s">
        <v>1782</v>
      </c>
    </row>
    <row r="400" spans="1:4" ht="15">
      <c r="A400" t="s">
        <v>9775</v>
      </c>
      <c r="B400" s="4662" t="str">
        <f t="shared" si="6"/>
        <v>084-505</v>
      </c>
      <c r="C400" s="1417" t="s">
        <v>9776</v>
      </c>
      <c r="D400" s="1993" t="s">
        <v>1782</v>
      </c>
    </row>
    <row r="401" spans="1:4" ht="15">
      <c r="A401" t="s">
        <v>9777</v>
      </c>
      <c r="B401" s="4662" t="str">
        <f t="shared" si="6"/>
        <v>084-801</v>
      </c>
      <c r="C401" s="1417" t="s">
        <v>9778</v>
      </c>
      <c r="D401" s="1993" t="s">
        <v>1782</v>
      </c>
    </row>
    <row r="402" spans="1:4" ht="15">
      <c r="A402" t="s">
        <v>9779</v>
      </c>
      <c r="B402" s="4662" t="str">
        <f t="shared" si="6"/>
        <v>084-802</v>
      </c>
      <c r="C402" s="1417" t="s">
        <v>9780</v>
      </c>
      <c r="D402" s="1993" t="s">
        <v>1782</v>
      </c>
    </row>
    <row r="403" spans="1:4" ht="15">
      <c r="A403" t="s">
        <v>9781</v>
      </c>
      <c r="B403" s="4662" t="str">
        <f t="shared" si="6"/>
        <v>084-804</v>
      </c>
      <c r="C403" s="1417" t="s">
        <v>9782</v>
      </c>
      <c r="D403" s="1993" t="s">
        <v>1782</v>
      </c>
    </row>
    <row r="404" spans="1:4" ht="15">
      <c r="A404" t="s">
        <v>9783</v>
      </c>
      <c r="B404" s="4662" t="str">
        <f t="shared" si="6"/>
        <v>084-805</v>
      </c>
      <c r="C404" s="1417" t="s">
        <v>9784</v>
      </c>
      <c r="D404" s="1993" t="s">
        <v>1782</v>
      </c>
    </row>
    <row r="405" spans="1:4" ht="15">
      <c r="A405" t="s">
        <v>5864</v>
      </c>
      <c r="B405" s="4662" t="str">
        <f t="shared" si="6"/>
        <v>084-901</v>
      </c>
      <c r="C405" s="1417" t="s">
        <v>364</v>
      </c>
      <c r="D405" s="1993" t="s">
        <v>1782</v>
      </c>
    </row>
    <row r="406" spans="1:4" ht="15">
      <c r="A406" t="s">
        <v>5866</v>
      </c>
      <c r="B406" s="4662" t="str">
        <f t="shared" si="6"/>
        <v>084-903</v>
      </c>
      <c r="C406" s="1417" t="s">
        <v>2375</v>
      </c>
      <c r="D406" s="1993" t="s">
        <v>1782</v>
      </c>
    </row>
    <row r="407" spans="1:4" ht="15">
      <c r="A407" t="s">
        <v>9785</v>
      </c>
      <c r="B407" s="4662" t="str">
        <f t="shared" si="6"/>
        <v>084-904</v>
      </c>
      <c r="C407" s="1417" t="s">
        <v>366</v>
      </c>
      <c r="D407" s="1993" t="s">
        <v>1782</v>
      </c>
    </row>
    <row r="408" spans="1:4" ht="15">
      <c r="A408" t="s">
        <v>5868</v>
      </c>
      <c r="B408" s="4662" t="str">
        <f t="shared" si="6"/>
        <v>084-908</v>
      </c>
      <c r="C408" s="1417" t="s">
        <v>368</v>
      </c>
      <c r="D408" s="1993" t="s">
        <v>1782</v>
      </c>
    </row>
    <row r="409" spans="1:4" ht="15">
      <c r="A409" t="s">
        <v>3515</v>
      </c>
      <c r="B409" s="4662" t="str">
        <f t="shared" si="6"/>
        <v>084-909</v>
      </c>
      <c r="C409" s="1417" t="s">
        <v>85</v>
      </c>
      <c r="D409" s="1993" t="s">
        <v>1782</v>
      </c>
    </row>
    <row r="410" spans="1:4" ht="15">
      <c r="A410" t="s">
        <v>5869</v>
      </c>
      <c r="B410" s="4662" t="str">
        <f t="shared" si="6"/>
        <v>084-910</v>
      </c>
      <c r="C410" s="1417" t="s">
        <v>369</v>
      </c>
      <c r="D410" s="1993" t="s">
        <v>1782</v>
      </c>
    </row>
    <row r="411" spans="1:4" ht="15">
      <c r="A411" t="s">
        <v>3516</v>
      </c>
      <c r="B411" s="4662" t="str">
        <f t="shared" si="6"/>
        <v>084-911</v>
      </c>
      <c r="C411" s="1417" t="s">
        <v>1476</v>
      </c>
      <c r="D411" s="1993" t="s">
        <v>1782</v>
      </c>
    </row>
    <row r="412" spans="1:4" ht="15">
      <c r="A412" t="s">
        <v>5870</v>
      </c>
      <c r="B412" s="4662" t="str">
        <f t="shared" si="6"/>
        <v>085-902</v>
      </c>
      <c r="C412" s="1417" t="s">
        <v>370</v>
      </c>
      <c r="D412" s="1993" t="s">
        <v>1782</v>
      </c>
    </row>
    <row r="413" spans="1:4" ht="15">
      <c r="A413" t="s">
        <v>6723</v>
      </c>
      <c r="B413" s="4662" t="str">
        <f t="shared" si="6"/>
        <v>086-024</v>
      </c>
      <c r="C413" s="1417" t="s">
        <v>1039</v>
      </c>
      <c r="D413" s="1993" t="s">
        <v>1782</v>
      </c>
    </row>
    <row r="414" spans="1:4" ht="15">
      <c r="A414" t="s">
        <v>5873</v>
      </c>
      <c r="B414" s="4662" t="str">
        <f t="shared" si="6"/>
        <v>088-902</v>
      </c>
      <c r="C414" s="1417" t="s">
        <v>1787</v>
      </c>
      <c r="D414" s="1993" t="s">
        <v>1782</v>
      </c>
    </row>
    <row r="415" spans="1:4" ht="15">
      <c r="A415" t="s">
        <v>3517</v>
      </c>
      <c r="B415" s="4662" t="str">
        <f t="shared" si="6"/>
        <v>089-901</v>
      </c>
      <c r="C415" s="1417" t="s">
        <v>861</v>
      </c>
      <c r="D415" s="1993" t="s">
        <v>1782</v>
      </c>
    </row>
    <row r="416" spans="1:4" ht="15">
      <c r="A416" t="s">
        <v>5874</v>
      </c>
      <c r="B416" s="4662" t="str">
        <f t="shared" si="6"/>
        <v>089-903</v>
      </c>
      <c r="C416" s="1417" t="s">
        <v>1040</v>
      </c>
      <c r="D416" s="1993" t="s">
        <v>1782</v>
      </c>
    </row>
    <row r="417" spans="1:4" ht="15">
      <c r="A417" t="s">
        <v>5875</v>
      </c>
      <c r="B417" s="4662" t="str">
        <f t="shared" si="6"/>
        <v>089-905</v>
      </c>
      <c r="C417" s="1417" t="s">
        <v>1441</v>
      </c>
      <c r="D417" s="1993" t="s">
        <v>1782</v>
      </c>
    </row>
    <row r="418" spans="1:4" ht="15">
      <c r="A418" t="s">
        <v>5876</v>
      </c>
      <c r="B418" s="4662" t="str">
        <f t="shared" si="6"/>
        <v>090-902</v>
      </c>
      <c r="C418" s="1417" t="s">
        <v>1442</v>
      </c>
      <c r="D418" s="1993" t="s">
        <v>1782</v>
      </c>
    </row>
    <row r="419" spans="1:4" ht="15">
      <c r="A419" t="s">
        <v>5877</v>
      </c>
      <c r="B419" s="4662" t="str">
        <f t="shared" si="6"/>
        <v>090-903</v>
      </c>
      <c r="C419" s="1417" t="s">
        <v>1443</v>
      </c>
      <c r="D419" s="1993" t="s">
        <v>1782</v>
      </c>
    </row>
    <row r="420" spans="1:4" ht="15">
      <c r="A420" t="s">
        <v>3518</v>
      </c>
      <c r="B420" s="4662" t="str">
        <f t="shared" si="6"/>
        <v>090-904</v>
      </c>
      <c r="C420" s="1417" t="s">
        <v>1364</v>
      </c>
      <c r="D420" s="1993" t="s">
        <v>1782</v>
      </c>
    </row>
    <row r="421" spans="1:4" ht="15">
      <c r="A421" t="s">
        <v>3519</v>
      </c>
      <c r="B421" s="4662" t="str">
        <f t="shared" si="6"/>
        <v>091-901</v>
      </c>
      <c r="C421" s="1417" t="s">
        <v>1560</v>
      </c>
      <c r="D421" s="1993" t="s">
        <v>1782</v>
      </c>
    </row>
    <row r="422" spans="1:4" ht="15">
      <c r="A422" t="s">
        <v>4707</v>
      </c>
      <c r="B422" s="4662" t="str">
        <f t="shared" si="6"/>
        <v>091-902</v>
      </c>
      <c r="C422" s="1417" t="s">
        <v>1445</v>
      </c>
      <c r="D422" s="1993" t="s">
        <v>1782</v>
      </c>
    </row>
    <row r="423" spans="1:4" ht="15">
      <c r="A423" t="s">
        <v>5879</v>
      </c>
      <c r="B423" s="4662" t="str">
        <f t="shared" si="6"/>
        <v>091-903</v>
      </c>
      <c r="C423" s="1417" t="s">
        <v>1446</v>
      </c>
      <c r="D423" s="1993" t="s">
        <v>1782</v>
      </c>
    </row>
    <row r="424" spans="1:4" ht="15">
      <c r="A424" t="s">
        <v>3520</v>
      </c>
      <c r="B424" s="4662" t="str">
        <f t="shared" si="6"/>
        <v>091-905</v>
      </c>
      <c r="C424" s="1417" t="s">
        <v>2380</v>
      </c>
      <c r="D424" s="1993" t="s">
        <v>1782</v>
      </c>
    </row>
    <row r="425" spans="1:4" ht="15">
      <c r="A425" t="s">
        <v>3521</v>
      </c>
      <c r="B425" s="4662" t="str">
        <f t="shared" si="6"/>
        <v>091-906</v>
      </c>
      <c r="C425" s="1417" t="s">
        <v>1648</v>
      </c>
      <c r="D425" s="1993" t="s">
        <v>1782</v>
      </c>
    </row>
    <row r="426" spans="1:4" ht="15">
      <c r="A426" t="s">
        <v>5880</v>
      </c>
      <c r="B426" s="4662" t="str">
        <f t="shared" si="6"/>
        <v>091-907</v>
      </c>
      <c r="C426" s="1417" t="s">
        <v>1649</v>
      </c>
      <c r="D426" s="1993" t="s">
        <v>1782</v>
      </c>
    </row>
    <row r="427" spans="1:4" ht="15">
      <c r="A427" t="s">
        <v>3522</v>
      </c>
      <c r="B427" s="4662" t="str">
        <f t="shared" si="6"/>
        <v>091-908</v>
      </c>
      <c r="C427" s="1417" t="s">
        <v>2365</v>
      </c>
      <c r="D427" s="1993" t="s">
        <v>1782</v>
      </c>
    </row>
    <row r="428" spans="1:4" ht="15">
      <c r="A428" t="s">
        <v>3523</v>
      </c>
      <c r="B428" s="4662" t="str">
        <f t="shared" si="6"/>
        <v>091-909</v>
      </c>
      <c r="C428" s="1417" t="s">
        <v>1335</v>
      </c>
      <c r="D428" s="1993" t="s">
        <v>1782</v>
      </c>
    </row>
    <row r="429" spans="1:4" ht="15">
      <c r="A429" t="s">
        <v>5881</v>
      </c>
      <c r="B429" s="4662" t="str">
        <f t="shared" si="6"/>
        <v>091-910</v>
      </c>
      <c r="C429" s="1417" t="s">
        <v>1650</v>
      </c>
      <c r="D429" s="1993" t="s">
        <v>1782</v>
      </c>
    </row>
    <row r="430" spans="1:4" ht="15">
      <c r="A430" t="s">
        <v>3525</v>
      </c>
      <c r="B430" s="4662" t="str">
        <f t="shared" si="6"/>
        <v>091-917</v>
      </c>
      <c r="C430" s="1417" t="s">
        <v>1732</v>
      </c>
      <c r="D430" s="1993" t="s">
        <v>1782</v>
      </c>
    </row>
    <row r="431" spans="1:4" ht="15">
      <c r="A431" t="s">
        <v>5883</v>
      </c>
      <c r="B431" s="4662" t="str">
        <f t="shared" si="6"/>
        <v>091-918</v>
      </c>
      <c r="C431" s="1417" t="s">
        <v>222</v>
      </c>
      <c r="D431" s="1993" t="s">
        <v>1782</v>
      </c>
    </row>
    <row r="432" spans="1:4" ht="15">
      <c r="A432" t="s">
        <v>9786</v>
      </c>
      <c r="B432" s="4662" t="str">
        <f t="shared" si="6"/>
        <v>092-801</v>
      </c>
      <c r="C432" s="1417" t="s">
        <v>9787</v>
      </c>
      <c r="D432" s="1993" t="s">
        <v>1782</v>
      </c>
    </row>
    <row r="433" spans="1:4" ht="15">
      <c r="A433" t="s">
        <v>5884</v>
      </c>
      <c r="B433" s="4662" t="str">
        <f t="shared" si="6"/>
        <v>092-901</v>
      </c>
      <c r="C433" s="1417" t="s">
        <v>223</v>
      </c>
      <c r="D433" s="1993" t="s">
        <v>1782</v>
      </c>
    </row>
    <row r="434" spans="1:4" ht="15">
      <c r="A434" t="s">
        <v>4728</v>
      </c>
      <c r="B434" s="4662" t="str">
        <f t="shared" si="6"/>
        <v>092-903</v>
      </c>
      <c r="C434" s="1417" t="s">
        <v>2126</v>
      </c>
      <c r="D434" s="1993" t="s">
        <v>1782</v>
      </c>
    </row>
    <row r="435" spans="1:4" ht="15">
      <c r="A435" t="s">
        <v>5886</v>
      </c>
      <c r="B435" s="4662" t="str">
        <f t="shared" si="6"/>
        <v>092-904</v>
      </c>
      <c r="C435" s="1417" t="s">
        <v>225</v>
      </c>
      <c r="D435" s="1993" t="s">
        <v>1782</v>
      </c>
    </row>
    <row r="436" spans="1:4" ht="15">
      <c r="A436" t="s">
        <v>5887</v>
      </c>
      <c r="B436" s="4662" t="str">
        <f t="shared" si="6"/>
        <v>092-906</v>
      </c>
      <c r="C436" s="1417" t="s">
        <v>226</v>
      </c>
      <c r="D436" s="1993" t="s">
        <v>1782</v>
      </c>
    </row>
    <row r="437" spans="1:4" ht="15">
      <c r="A437" t="s">
        <v>3526</v>
      </c>
      <c r="B437" s="4662" t="str">
        <f t="shared" si="6"/>
        <v>092-907</v>
      </c>
      <c r="C437" s="1417" t="s">
        <v>1936</v>
      </c>
      <c r="D437" s="1993" t="s">
        <v>1782</v>
      </c>
    </row>
    <row r="438" spans="1:4" ht="15">
      <c r="A438" t="s">
        <v>5888</v>
      </c>
      <c r="B438" s="4662" t="str">
        <f t="shared" si="6"/>
        <v>092-908</v>
      </c>
      <c r="C438" s="1417" t="s">
        <v>227</v>
      </c>
      <c r="D438" s="1993" t="s">
        <v>1782</v>
      </c>
    </row>
    <row r="439" spans="1:4" ht="15">
      <c r="A439" t="s">
        <v>5889</v>
      </c>
      <c r="B439" s="4662" t="str">
        <f t="shared" si="6"/>
        <v>093-901</v>
      </c>
      <c r="C439" s="1417" t="s">
        <v>1042</v>
      </c>
      <c r="D439" s="1993" t="s">
        <v>1782</v>
      </c>
    </row>
    <row r="440" spans="1:4" ht="15">
      <c r="A440" t="s">
        <v>3527</v>
      </c>
      <c r="B440" s="4662" t="str">
        <f t="shared" si="6"/>
        <v>093-903</v>
      </c>
      <c r="C440" s="1417" t="s">
        <v>229</v>
      </c>
      <c r="D440" s="1993" t="s">
        <v>1782</v>
      </c>
    </row>
    <row r="441" spans="1:4" ht="15">
      <c r="A441" t="s">
        <v>5890</v>
      </c>
      <c r="B441" s="4662" t="str">
        <f t="shared" si="6"/>
        <v>093-904</v>
      </c>
      <c r="C441" s="1417" t="s">
        <v>230</v>
      </c>
      <c r="D441" s="1993" t="s">
        <v>1782</v>
      </c>
    </row>
    <row r="442" spans="1:4" ht="15">
      <c r="A442" t="s">
        <v>3528</v>
      </c>
      <c r="B442" s="4662" t="str">
        <f t="shared" si="6"/>
        <v>094-901</v>
      </c>
      <c r="C442" s="1417" t="s">
        <v>1247</v>
      </c>
      <c r="D442" s="1993" t="s">
        <v>1782</v>
      </c>
    </row>
    <row r="443" spans="1:4" ht="15">
      <c r="A443" t="s">
        <v>3529</v>
      </c>
      <c r="B443" s="4662" t="str">
        <f t="shared" si="6"/>
        <v>094-902</v>
      </c>
      <c r="C443" s="1417" t="s">
        <v>1245</v>
      </c>
      <c r="D443" s="1993" t="s">
        <v>1782</v>
      </c>
    </row>
    <row r="444" spans="1:4" ht="15">
      <c r="A444" t="s">
        <v>3530</v>
      </c>
      <c r="B444" s="4662" t="str">
        <f t="shared" si="6"/>
        <v>094-903</v>
      </c>
      <c r="C444" s="1417" t="s">
        <v>232</v>
      </c>
      <c r="D444" s="1993" t="s">
        <v>1782</v>
      </c>
    </row>
    <row r="445" spans="1:4" ht="15">
      <c r="A445" t="s">
        <v>4755</v>
      </c>
      <c r="B445" s="4662" t="str">
        <f t="shared" si="6"/>
        <v>094-904</v>
      </c>
      <c r="C445" s="1417" t="s">
        <v>293</v>
      </c>
      <c r="D445" s="1993" t="s">
        <v>1782</v>
      </c>
    </row>
    <row r="446" spans="1:4" ht="15">
      <c r="A446" t="s">
        <v>6726</v>
      </c>
      <c r="B446" s="4662" t="str">
        <f t="shared" si="6"/>
        <v>095-902</v>
      </c>
      <c r="C446" s="1417" t="s">
        <v>234</v>
      </c>
      <c r="D446" s="1993" t="s">
        <v>1782</v>
      </c>
    </row>
    <row r="447" spans="1:4" ht="15">
      <c r="A447" t="s">
        <v>5892</v>
      </c>
      <c r="B447" s="4662" t="str">
        <f t="shared" si="6"/>
        <v>095-903</v>
      </c>
      <c r="C447" s="1417" t="s">
        <v>235</v>
      </c>
      <c r="D447" s="1993" t="s">
        <v>1782</v>
      </c>
    </row>
    <row r="448" spans="1:4" ht="15">
      <c r="A448" t="s">
        <v>6727</v>
      </c>
      <c r="B448" s="4662" t="str">
        <f t="shared" si="6"/>
        <v>095-904</v>
      </c>
      <c r="C448" s="1417" t="s">
        <v>236</v>
      </c>
      <c r="D448" s="1993" t="s">
        <v>1782</v>
      </c>
    </row>
    <row r="449" spans="1:4" ht="15">
      <c r="A449" t="s">
        <v>6728</v>
      </c>
      <c r="B449" s="4662" t="str">
        <f t="shared" si="6"/>
        <v>095-905</v>
      </c>
      <c r="C449" s="1417" t="s">
        <v>237</v>
      </c>
      <c r="D449" s="1993" t="s">
        <v>1782</v>
      </c>
    </row>
    <row r="450" spans="1:4" ht="15">
      <c r="A450" t="s">
        <v>6729</v>
      </c>
      <c r="B450" s="4662" t="str">
        <f t="shared" ref="B450:B513" si="7">CONCATENATE(LEFT(RIGHT(CONCATENATE("000",A450),6),3),"-",(RIGHT(RIGHT(CONCATENATE("000",A450),6),3)))</f>
        <v>096-904</v>
      </c>
      <c r="C450" s="1417" t="s">
        <v>238</v>
      </c>
      <c r="D450" s="1993" t="s">
        <v>1782</v>
      </c>
    </row>
    <row r="451" spans="1:4" ht="15">
      <c r="A451" t="s">
        <v>5893</v>
      </c>
      <c r="B451" s="4662" t="str">
        <f t="shared" si="7"/>
        <v>096-905</v>
      </c>
      <c r="C451" s="1417" t="s">
        <v>239</v>
      </c>
      <c r="D451" s="1993" t="s">
        <v>1782</v>
      </c>
    </row>
    <row r="452" spans="1:4" ht="15">
      <c r="A452" t="s">
        <v>5894</v>
      </c>
      <c r="B452" s="4662" t="str">
        <f t="shared" si="7"/>
        <v>097-902</v>
      </c>
      <c r="C452" s="1417" t="s">
        <v>1043</v>
      </c>
      <c r="D452" s="1993" t="s">
        <v>1782</v>
      </c>
    </row>
    <row r="453" spans="1:4" ht="15">
      <c r="A453" t="s">
        <v>3531</v>
      </c>
      <c r="B453" s="4662" t="str">
        <f t="shared" si="7"/>
        <v>097-903</v>
      </c>
      <c r="C453" s="1417" t="s">
        <v>2373</v>
      </c>
      <c r="D453" s="1993" t="s">
        <v>1782</v>
      </c>
    </row>
    <row r="454" spans="1:4" ht="15">
      <c r="A454" t="s">
        <v>5895</v>
      </c>
      <c r="B454" s="4662" t="str">
        <f t="shared" si="7"/>
        <v>098-901</v>
      </c>
      <c r="C454" s="1417" t="s">
        <v>241</v>
      </c>
      <c r="D454" s="1993" t="s">
        <v>1782</v>
      </c>
    </row>
    <row r="455" spans="1:4" ht="15">
      <c r="A455" t="s">
        <v>5897</v>
      </c>
      <c r="B455" s="4662" t="str">
        <f t="shared" si="7"/>
        <v>098-904</v>
      </c>
      <c r="C455" s="1417" t="s">
        <v>2596</v>
      </c>
      <c r="D455" s="1993" t="s">
        <v>1782</v>
      </c>
    </row>
    <row r="456" spans="1:4" ht="15">
      <c r="A456" t="s">
        <v>6730</v>
      </c>
      <c r="B456" s="4662" t="str">
        <f t="shared" si="7"/>
        <v>099-903</v>
      </c>
      <c r="C456" s="1417" t="s">
        <v>477</v>
      </c>
      <c r="D456" s="1993" t="s">
        <v>1782</v>
      </c>
    </row>
    <row r="457" spans="1:4" ht="15">
      <c r="A457" t="s">
        <v>5899</v>
      </c>
      <c r="B457" s="4662" t="str">
        <f t="shared" si="7"/>
        <v>100-903</v>
      </c>
      <c r="C457" s="1417" t="s">
        <v>478</v>
      </c>
      <c r="D457" s="1993" t="s">
        <v>1782</v>
      </c>
    </row>
    <row r="458" spans="1:4" ht="15">
      <c r="A458" t="s">
        <v>3532</v>
      </c>
      <c r="B458" s="4662" t="str">
        <f t="shared" si="7"/>
        <v>100-904</v>
      </c>
      <c r="C458" s="1417" t="s">
        <v>1494</v>
      </c>
      <c r="D458" s="1993" t="s">
        <v>1782</v>
      </c>
    </row>
    <row r="459" spans="1:4" ht="15">
      <c r="A459" t="s">
        <v>5900</v>
      </c>
      <c r="B459" s="4662" t="str">
        <f t="shared" si="7"/>
        <v>100-905</v>
      </c>
      <c r="C459" s="1417" t="s">
        <v>479</v>
      </c>
      <c r="D459" s="1993" t="s">
        <v>1782</v>
      </c>
    </row>
    <row r="460" spans="1:4" ht="15">
      <c r="A460" t="s">
        <v>3533</v>
      </c>
      <c r="B460" s="4662" t="str">
        <f t="shared" si="7"/>
        <v>100-907</v>
      </c>
      <c r="C460" s="1417" t="s">
        <v>839</v>
      </c>
      <c r="D460" s="1993" t="s">
        <v>1782</v>
      </c>
    </row>
    <row r="461" spans="1:4" ht="15">
      <c r="A461" t="s">
        <v>3534</v>
      </c>
      <c r="B461" s="4662" t="str">
        <f t="shared" si="7"/>
        <v>100-908</v>
      </c>
      <c r="C461" s="1417" t="s">
        <v>297</v>
      </c>
      <c r="D461" s="1993" t="s">
        <v>1782</v>
      </c>
    </row>
    <row r="462" spans="1:4" ht="15">
      <c r="A462" t="s">
        <v>9788</v>
      </c>
      <c r="B462" s="4662" t="str">
        <f t="shared" si="7"/>
        <v>101-801</v>
      </c>
      <c r="C462" s="1417" t="s">
        <v>9789</v>
      </c>
      <c r="D462" s="1993" t="s">
        <v>1782</v>
      </c>
    </row>
    <row r="463" spans="1:4" ht="15">
      <c r="A463" t="s">
        <v>9790</v>
      </c>
      <c r="B463" s="4662" t="str">
        <f t="shared" si="7"/>
        <v>101-802</v>
      </c>
      <c r="C463" s="1417" t="s">
        <v>9791</v>
      </c>
      <c r="D463" s="1993" t="s">
        <v>1782</v>
      </c>
    </row>
    <row r="464" spans="1:4" ht="15">
      <c r="A464" t="s">
        <v>9792</v>
      </c>
      <c r="B464" s="4662" t="str">
        <f t="shared" si="7"/>
        <v>101-803</v>
      </c>
      <c r="C464" s="1417" t="s">
        <v>9793</v>
      </c>
      <c r="D464" s="1993" t="s">
        <v>1782</v>
      </c>
    </row>
    <row r="465" spans="1:4" ht="15">
      <c r="A465" t="s">
        <v>9794</v>
      </c>
      <c r="B465" s="4662" t="str">
        <f t="shared" si="7"/>
        <v>101-804</v>
      </c>
      <c r="C465" s="1417" t="s">
        <v>9795</v>
      </c>
      <c r="D465" s="1993" t="s">
        <v>1782</v>
      </c>
    </row>
    <row r="466" spans="1:4" ht="15">
      <c r="A466" t="s">
        <v>9796</v>
      </c>
      <c r="B466" s="4662" t="str">
        <f t="shared" si="7"/>
        <v>101-805</v>
      </c>
      <c r="C466" s="1417" t="s">
        <v>9797</v>
      </c>
      <c r="D466" s="1993" t="s">
        <v>1782</v>
      </c>
    </row>
    <row r="467" spans="1:4" ht="15">
      <c r="A467" t="s">
        <v>9798</v>
      </c>
      <c r="B467" s="4662" t="str">
        <f t="shared" si="7"/>
        <v>101-806</v>
      </c>
      <c r="C467" s="1417" t="s">
        <v>9799</v>
      </c>
      <c r="D467" s="1993" t="s">
        <v>1782</v>
      </c>
    </row>
    <row r="468" spans="1:4" ht="15">
      <c r="A468" t="s">
        <v>9800</v>
      </c>
      <c r="B468" s="4662" t="str">
        <f t="shared" si="7"/>
        <v>101-807</v>
      </c>
      <c r="C468" s="1417" t="s">
        <v>9801</v>
      </c>
      <c r="D468" s="1993" t="s">
        <v>1782</v>
      </c>
    </row>
    <row r="469" spans="1:4" ht="15">
      <c r="A469" t="s">
        <v>9802</v>
      </c>
      <c r="B469" s="4662" t="str">
        <f t="shared" si="7"/>
        <v>101-809</v>
      </c>
      <c r="C469" s="1417" t="s">
        <v>9803</v>
      </c>
      <c r="D469" s="1993" t="s">
        <v>1782</v>
      </c>
    </row>
    <row r="470" spans="1:4" ht="15">
      <c r="A470" t="s">
        <v>9804</v>
      </c>
      <c r="B470" s="4662" t="str">
        <f t="shared" si="7"/>
        <v>101-810</v>
      </c>
      <c r="C470" s="1417" t="s">
        <v>9805</v>
      </c>
      <c r="D470" s="1993" t="s">
        <v>1782</v>
      </c>
    </row>
    <row r="471" spans="1:4" ht="15">
      <c r="A471" t="s">
        <v>9806</v>
      </c>
      <c r="B471" s="4662" t="str">
        <f t="shared" si="7"/>
        <v>101-811</v>
      </c>
      <c r="C471" s="1417" t="s">
        <v>9807</v>
      </c>
      <c r="D471" s="1993" t="s">
        <v>1782</v>
      </c>
    </row>
    <row r="472" spans="1:4" ht="15">
      <c r="A472" t="s">
        <v>9808</v>
      </c>
      <c r="B472" s="4662" t="str">
        <f t="shared" si="7"/>
        <v>101-812</v>
      </c>
      <c r="C472" s="1417" t="s">
        <v>9809</v>
      </c>
      <c r="D472" s="1993" t="s">
        <v>1782</v>
      </c>
    </row>
    <row r="473" spans="1:4" ht="15">
      <c r="A473" t="s">
        <v>9810</v>
      </c>
      <c r="B473" s="4662" t="str">
        <f t="shared" si="7"/>
        <v>101-813</v>
      </c>
      <c r="C473" s="1417" t="s">
        <v>9811</v>
      </c>
      <c r="D473" s="1993" t="s">
        <v>1782</v>
      </c>
    </row>
    <row r="474" spans="1:4" ht="15">
      <c r="A474" t="s">
        <v>9812</v>
      </c>
      <c r="B474" s="4662" t="str">
        <f t="shared" si="7"/>
        <v>101-814</v>
      </c>
      <c r="C474" s="1417" t="s">
        <v>9813</v>
      </c>
      <c r="D474" s="1993" t="s">
        <v>1782</v>
      </c>
    </row>
    <row r="475" spans="1:4" ht="15">
      <c r="A475" t="s">
        <v>9814</v>
      </c>
      <c r="B475" s="4662" t="str">
        <f t="shared" si="7"/>
        <v>101-815</v>
      </c>
      <c r="C475" s="1417" t="s">
        <v>9815</v>
      </c>
      <c r="D475" s="1993" t="s">
        <v>1782</v>
      </c>
    </row>
    <row r="476" spans="1:4" ht="15">
      <c r="A476" t="s">
        <v>9816</v>
      </c>
      <c r="B476" s="4662" t="str">
        <f t="shared" si="7"/>
        <v>101-817</v>
      </c>
      <c r="C476" s="1417" t="s">
        <v>9817</v>
      </c>
      <c r="D476" s="1993" t="s">
        <v>1782</v>
      </c>
    </row>
    <row r="477" spans="1:4" ht="15">
      <c r="A477" t="s">
        <v>9818</v>
      </c>
      <c r="B477" s="4662" t="str">
        <f t="shared" si="7"/>
        <v>101-818</v>
      </c>
      <c r="C477" s="1417" t="s">
        <v>9819</v>
      </c>
      <c r="D477" s="1993" t="s">
        <v>1782</v>
      </c>
    </row>
    <row r="478" spans="1:4" ht="15">
      <c r="A478" t="s">
        <v>9820</v>
      </c>
      <c r="B478" s="4662" t="str">
        <f t="shared" si="7"/>
        <v>101-819</v>
      </c>
      <c r="C478" s="1417" t="s">
        <v>9821</v>
      </c>
      <c r="D478" s="1993" t="s">
        <v>1782</v>
      </c>
    </row>
    <row r="479" spans="1:4" ht="15">
      <c r="A479" t="s">
        <v>9822</v>
      </c>
      <c r="B479" s="4662" t="str">
        <f t="shared" si="7"/>
        <v>101-820</v>
      </c>
      <c r="C479" s="1417" t="s">
        <v>9823</v>
      </c>
      <c r="D479" s="1993" t="s">
        <v>1782</v>
      </c>
    </row>
    <row r="480" spans="1:4" ht="15">
      <c r="A480" t="s">
        <v>9824</v>
      </c>
      <c r="B480" s="4662" t="str">
        <f t="shared" si="7"/>
        <v>101-821</v>
      </c>
      <c r="C480" s="1417" t="s">
        <v>9825</v>
      </c>
      <c r="D480" s="1993" t="s">
        <v>1782</v>
      </c>
    </row>
    <row r="481" spans="1:4" ht="15">
      <c r="A481" t="s">
        <v>9826</v>
      </c>
      <c r="B481" s="4662" t="str">
        <f t="shared" si="7"/>
        <v>101-822</v>
      </c>
      <c r="C481" s="1417" t="s">
        <v>9827</v>
      </c>
      <c r="D481" s="1993" t="s">
        <v>1782</v>
      </c>
    </row>
    <row r="482" spans="1:4" ht="15">
      <c r="A482" t="s">
        <v>9828</v>
      </c>
      <c r="B482" s="4662" t="str">
        <f t="shared" si="7"/>
        <v>101-823</v>
      </c>
      <c r="C482" s="1417" t="s">
        <v>9829</v>
      </c>
      <c r="D482" s="1993" t="s">
        <v>1782</v>
      </c>
    </row>
    <row r="483" spans="1:4" ht="15">
      <c r="A483" t="s">
        <v>9830</v>
      </c>
      <c r="B483" s="4662" t="str">
        <f t="shared" si="7"/>
        <v>101-827</v>
      </c>
      <c r="C483" s="1417" t="s">
        <v>9831</v>
      </c>
      <c r="D483" s="1993" t="s">
        <v>1782</v>
      </c>
    </row>
    <row r="484" spans="1:4" ht="15">
      <c r="A484" t="s">
        <v>9832</v>
      </c>
      <c r="B484" s="4662" t="str">
        <f t="shared" si="7"/>
        <v>101-828</v>
      </c>
      <c r="C484" s="1417" t="s">
        <v>9833</v>
      </c>
      <c r="D484" s="1993" t="s">
        <v>1782</v>
      </c>
    </row>
    <row r="485" spans="1:4" ht="15">
      <c r="A485" t="s">
        <v>9834</v>
      </c>
      <c r="B485" s="4662" t="str">
        <f t="shared" si="7"/>
        <v>101-829</v>
      </c>
      <c r="C485" s="1417" t="s">
        <v>9835</v>
      </c>
      <c r="D485" s="1993" t="s">
        <v>1782</v>
      </c>
    </row>
    <row r="486" spans="1:4" ht="15">
      <c r="A486" t="s">
        <v>9836</v>
      </c>
      <c r="B486" s="4662" t="str">
        <f t="shared" si="7"/>
        <v>101-830</v>
      </c>
      <c r="C486" s="1417" t="s">
        <v>9837</v>
      </c>
      <c r="D486" s="1993" t="s">
        <v>1782</v>
      </c>
    </row>
    <row r="487" spans="1:4" ht="15">
      <c r="A487" t="s">
        <v>9838</v>
      </c>
      <c r="B487" s="4662" t="str">
        <f t="shared" si="7"/>
        <v>101-831</v>
      </c>
      <c r="C487" s="1417" t="s">
        <v>9839</v>
      </c>
      <c r="D487" s="1993" t="s">
        <v>1782</v>
      </c>
    </row>
    <row r="488" spans="1:4" ht="15">
      <c r="A488" t="s">
        <v>9840</v>
      </c>
      <c r="B488" s="4662" t="str">
        <f t="shared" si="7"/>
        <v>101-833</v>
      </c>
      <c r="C488" s="1417" t="s">
        <v>9841</v>
      </c>
      <c r="D488" s="1993" t="s">
        <v>1782</v>
      </c>
    </row>
    <row r="489" spans="1:4" ht="15">
      <c r="A489" t="s">
        <v>9842</v>
      </c>
      <c r="B489" s="4662" t="str">
        <f t="shared" si="7"/>
        <v>101-834</v>
      </c>
      <c r="C489" s="1417" t="s">
        <v>9843</v>
      </c>
      <c r="D489" s="1993" t="s">
        <v>1782</v>
      </c>
    </row>
    <row r="490" spans="1:4" ht="15">
      <c r="A490" t="s">
        <v>9844</v>
      </c>
      <c r="B490" s="4662" t="str">
        <f t="shared" si="7"/>
        <v>101-837</v>
      </c>
      <c r="C490" s="1417" t="s">
        <v>9845</v>
      </c>
      <c r="D490" s="1993" t="s">
        <v>1782</v>
      </c>
    </row>
    <row r="491" spans="1:4" ht="15">
      <c r="A491" t="s">
        <v>9846</v>
      </c>
      <c r="B491" s="4662" t="str">
        <f t="shared" si="7"/>
        <v>101-838</v>
      </c>
      <c r="C491" s="1417" t="s">
        <v>9847</v>
      </c>
      <c r="D491" s="1993" t="s">
        <v>1782</v>
      </c>
    </row>
    <row r="492" spans="1:4" ht="15">
      <c r="A492" t="s">
        <v>9848</v>
      </c>
      <c r="B492" s="4662" t="str">
        <f t="shared" si="7"/>
        <v>101-840</v>
      </c>
      <c r="C492" s="1417" t="s">
        <v>9849</v>
      </c>
      <c r="D492" s="1993" t="s">
        <v>1782</v>
      </c>
    </row>
    <row r="493" spans="1:4" ht="15">
      <c r="A493" t="s">
        <v>9850</v>
      </c>
      <c r="B493" s="4662" t="str">
        <f t="shared" si="7"/>
        <v>101-842</v>
      </c>
      <c r="C493" s="1417" t="s">
        <v>9851</v>
      </c>
      <c r="D493" s="1993" t="s">
        <v>1782</v>
      </c>
    </row>
    <row r="494" spans="1:4" ht="15">
      <c r="A494" t="s">
        <v>9852</v>
      </c>
      <c r="B494" s="4662" t="str">
        <f t="shared" si="7"/>
        <v>101-843</v>
      </c>
      <c r="C494" s="1417" t="s">
        <v>9853</v>
      </c>
      <c r="D494" s="1993" t="s">
        <v>1782</v>
      </c>
    </row>
    <row r="495" spans="1:4" ht="15">
      <c r="A495" t="s">
        <v>9854</v>
      </c>
      <c r="B495" s="4662" t="str">
        <f t="shared" si="7"/>
        <v>101-845</v>
      </c>
      <c r="C495" s="1417" t="s">
        <v>9855</v>
      </c>
      <c r="D495" s="1993" t="s">
        <v>1782</v>
      </c>
    </row>
    <row r="496" spans="1:4" ht="15">
      <c r="A496" t="s">
        <v>9856</v>
      </c>
      <c r="B496" s="4662" t="str">
        <f t="shared" si="7"/>
        <v>101-846</v>
      </c>
      <c r="C496" s="1417" t="s">
        <v>9857</v>
      </c>
      <c r="D496" s="1993" t="s">
        <v>1782</v>
      </c>
    </row>
    <row r="497" spans="1:4" ht="15">
      <c r="A497" t="s">
        <v>9858</v>
      </c>
      <c r="B497" s="4662" t="str">
        <f t="shared" si="7"/>
        <v>101-847</v>
      </c>
      <c r="C497" s="1417" t="s">
        <v>9859</v>
      </c>
      <c r="D497" s="1993" t="s">
        <v>1782</v>
      </c>
    </row>
    <row r="498" spans="1:4" ht="15">
      <c r="A498" t="s">
        <v>9860</v>
      </c>
      <c r="B498" s="4662" t="str">
        <f t="shared" si="7"/>
        <v>101-848</v>
      </c>
      <c r="C498" s="1417" t="s">
        <v>9861</v>
      </c>
      <c r="D498" s="1993" t="s">
        <v>1782</v>
      </c>
    </row>
    <row r="499" spans="1:4" ht="15">
      <c r="A499" t="s">
        <v>9862</v>
      </c>
      <c r="B499" s="4662" t="str">
        <f t="shared" si="7"/>
        <v>101-849</v>
      </c>
      <c r="C499" s="1417" t="s">
        <v>9863</v>
      </c>
      <c r="D499" s="1993" t="s">
        <v>1782</v>
      </c>
    </row>
    <row r="500" spans="1:4" ht="15">
      <c r="A500" t="s">
        <v>9864</v>
      </c>
      <c r="B500" s="4662" t="str">
        <f t="shared" si="7"/>
        <v>101-850</v>
      </c>
      <c r="C500" s="1417" t="s">
        <v>9865</v>
      </c>
      <c r="D500" s="1993" t="s">
        <v>1782</v>
      </c>
    </row>
    <row r="501" spans="1:4" ht="15">
      <c r="A501" t="s">
        <v>9866</v>
      </c>
      <c r="B501" s="4662" t="str">
        <f t="shared" si="7"/>
        <v>101-851</v>
      </c>
      <c r="C501" s="1417" t="s">
        <v>9867</v>
      </c>
      <c r="D501" s="1993" t="s">
        <v>1782</v>
      </c>
    </row>
    <row r="502" spans="1:4" ht="15">
      <c r="A502" t="s">
        <v>9868</v>
      </c>
      <c r="B502" s="4662" t="str">
        <f t="shared" si="7"/>
        <v>101-852</v>
      </c>
      <c r="C502" s="1417" t="s">
        <v>9869</v>
      </c>
      <c r="D502" s="1993" t="s">
        <v>1782</v>
      </c>
    </row>
    <row r="503" spans="1:4" ht="15">
      <c r="A503" t="s">
        <v>9870</v>
      </c>
      <c r="B503" s="4662" t="str">
        <f t="shared" si="7"/>
        <v>101-853</v>
      </c>
      <c r="C503" s="1417" t="s">
        <v>9871</v>
      </c>
      <c r="D503" s="1993" t="s">
        <v>1782</v>
      </c>
    </row>
    <row r="504" spans="1:4" ht="15">
      <c r="A504" t="s">
        <v>9872</v>
      </c>
      <c r="B504" s="4662" t="str">
        <f t="shared" si="7"/>
        <v>101-854</v>
      </c>
      <c r="C504" s="1417" t="s">
        <v>9873</v>
      </c>
      <c r="D504" s="1993" t="s">
        <v>1782</v>
      </c>
    </row>
    <row r="505" spans="1:4" ht="15">
      <c r="A505" t="s">
        <v>9874</v>
      </c>
      <c r="B505" s="4662" t="str">
        <f t="shared" si="7"/>
        <v>101-855</v>
      </c>
      <c r="C505" s="1417" t="s">
        <v>9875</v>
      </c>
      <c r="D505" s="1993" t="s">
        <v>1782</v>
      </c>
    </row>
    <row r="506" spans="1:4" ht="15">
      <c r="A506" t="s">
        <v>9876</v>
      </c>
      <c r="B506" s="4662" t="str">
        <f t="shared" si="7"/>
        <v>101-856</v>
      </c>
      <c r="C506" s="1417" t="s">
        <v>9877</v>
      </c>
      <c r="D506" s="1993" t="s">
        <v>1782</v>
      </c>
    </row>
    <row r="507" spans="1:4" ht="15">
      <c r="A507" t="s">
        <v>9878</v>
      </c>
      <c r="B507" s="4662" t="str">
        <f t="shared" si="7"/>
        <v>101-857</v>
      </c>
      <c r="C507" s="1417" t="s">
        <v>9879</v>
      </c>
      <c r="D507" s="1993" t="s">
        <v>1782</v>
      </c>
    </row>
    <row r="508" spans="1:4" ht="15">
      <c r="A508" t="s">
        <v>9880</v>
      </c>
      <c r="B508" s="4662" t="str">
        <f t="shared" si="7"/>
        <v>101-858</v>
      </c>
      <c r="C508" s="1417" t="s">
        <v>9881</v>
      </c>
      <c r="D508" s="1993" t="s">
        <v>1782</v>
      </c>
    </row>
    <row r="509" spans="1:4" ht="15">
      <c r="A509" t="s">
        <v>9882</v>
      </c>
      <c r="B509" s="4662" t="str">
        <f t="shared" si="7"/>
        <v>101-859</v>
      </c>
      <c r="C509" s="1417" t="s">
        <v>9883</v>
      </c>
      <c r="D509" s="1993" t="s">
        <v>1782</v>
      </c>
    </row>
    <row r="510" spans="1:4" ht="15">
      <c r="A510" t="s">
        <v>9884</v>
      </c>
      <c r="B510" s="4662" t="str">
        <f t="shared" si="7"/>
        <v>101-860</v>
      </c>
      <c r="C510" s="1417" t="s">
        <v>9885</v>
      </c>
      <c r="D510" s="1993" t="s">
        <v>1782</v>
      </c>
    </row>
    <row r="511" spans="1:4" ht="15">
      <c r="A511" t="s">
        <v>9886</v>
      </c>
      <c r="B511" s="4662" t="str">
        <f t="shared" si="7"/>
        <v>101-861</v>
      </c>
      <c r="C511" s="1417" t="s">
        <v>9887</v>
      </c>
      <c r="D511" s="1993" t="s">
        <v>1782</v>
      </c>
    </row>
    <row r="512" spans="1:4" ht="15">
      <c r="A512" t="s">
        <v>9888</v>
      </c>
      <c r="B512" s="4662" t="str">
        <f t="shared" si="7"/>
        <v>101-862</v>
      </c>
      <c r="C512" s="1417" t="s">
        <v>9889</v>
      </c>
      <c r="D512" s="1993" t="s">
        <v>1782</v>
      </c>
    </row>
    <row r="513" spans="1:4" ht="15">
      <c r="A513" t="s">
        <v>9890</v>
      </c>
      <c r="B513" s="4662" t="str">
        <f t="shared" si="7"/>
        <v>101-863</v>
      </c>
      <c r="C513" s="1417" t="s">
        <v>9891</v>
      </c>
      <c r="D513" s="1993" t="s">
        <v>1782</v>
      </c>
    </row>
    <row r="514" spans="1:4" ht="15">
      <c r="A514" t="s">
        <v>9892</v>
      </c>
      <c r="B514" s="4662" t="str">
        <f t="shared" ref="B514:B577" si="8">CONCATENATE(LEFT(RIGHT(CONCATENATE("000",A514),6),3),"-",(RIGHT(RIGHT(CONCATENATE("000",A514),6),3)))</f>
        <v>101-864</v>
      </c>
      <c r="C514" s="1417" t="s">
        <v>9893</v>
      </c>
      <c r="D514" s="1993" t="s">
        <v>1782</v>
      </c>
    </row>
    <row r="515" spans="1:4" ht="15">
      <c r="A515" t="s">
        <v>9894</v>
      </c>
      <c r="B515" s="4662" t="str">
        <f t="shared" si="8"/>
        <v>101-865</v>
      </c>
      <c r="C515" s="1417" t="s">
        <v>9895</v>
      </c>
      <c r="D515" s="1993" t="s">
        <v>1782</v>
      </c>
    </row>
    <row r="516" spans="1:4" ht="15">
      <c r="A516" t="s">
        <v>9896</v>
      </c>
      <c r="B516" s="4662" t="str">
        <f t="shared" si="8"/>
        <v>101-866</v>
      </c>
      <c r="C516" s="1417" t="s">
        <v>9897</v>
      </c>
      <c r="D516" s="1993" t="s">
        <v>1782</v>
      </c>
    </row>
    <row r="517" spans="1:4" ht="15">
      <c r="A517" t="s">
        <v>9898</v>
      </c>
      <c r="B517" s="4662" t="str">
        <f t="shared" si="8"/>
        <v>101-867</v>
      </c>
      <c r="C517" s="1417" t="s">
        <v>9899</v>
      </c>
      <c r="D517" s="1993" t="s">
        <v>1782</v>
      </c>
    </row>
    <row r="518" spans="1:4" ht="15">
      <c r="A518" t="s">
        <v>9900</v>
      </c>
      <c r="B518" s="4662" t="str">
        <f t="shared" si="8"/>
        <v>101-868</v>
      </c>
      <c r="C518" s="1417" t="s">
        <v>9901</v>
      </c>
      <c r="D518" s="1993" t="s">
        <v>1782</v>
      </c>
    </row>
    <row r="519" spans="1:4" ht="15">
      <c r="A519" t="s">
        <v>9902</v>
      </c>
      <c r="B519" s="4662" t="str">
        <f t="shared" si="8"/>
        <v>101-869</v>
      </c>
      <c r="C519" s="1417" t="s">
        <v>9903</v>
      </c>
      <c r="D519" s="1993" t="s">
        <v>1782</v>
      </c>
    </row>
    <row r="520" spans="1:4" ht="15">
      <c r="A520" t="s">
        <v>9904</v>
      </c>
      <c r="B520" s="4662" t="str">
        <f t="shared" si="8"/>
        <v>101-870</v>
      </c>
      <c r="C520" s="1417" t="s">
        <v>9905</v>
      </c>
      <c r="D520" s="1993" t="s">
        <v>1782</v>
      </c>
    </row>
    <row r="521" spans="1:4" ht="15">
      <c r="A521" t="s">
        <v>9906</v>
      </c>
      <c r="B521" s="4662" t="str">
        <f t="shared" si="8"/>
        <v>101-871</v>
      </c>
      <c r="C521" s="1417" t="s">
        <v>9907</v>
      </c>
      <c r="D521" s="1993" t="s">
        <v>1782</v>
      </c>
    </row>
    <row r="522" spans="1:4" ht="15">
      <c r="A522" t="s">
        <v>9908</v>
      </c>
      <c r="B522" s="4662" t="str">
        <f t="shared" si="8"/>
        <v>101-872</v>
      </c>
      <c r="C522" s="1417" t="s">
        <v>9909</v>
      </c>
      <c r="D522" s="1993" t="s">
        <v>1782</v>
      </c>
    </row>
    <row r="523" spans="1:4" ht="15">
      <c r="A523" t="s">
        <v>9910</v>
      </c>
      <c r="B523" s="4662" t="str">
        <f t="shared" si="8"/>
        <v>101-873</v>
      </c>
      <c r="C523" s="1417" t="s">
        <v>9911</v>
      </c>
      <c r="D523" s="1993" t="s">
        <v>1782</v>
      </c>
    </row>
    <row r="524" spans="1:4" ht="15">
      <c r="A524" t="s">
        <v>9912</v>
      </c>
      <c r="B524" s="4662" t="str">
        <f t="shared" si="8"/>
        <v>101-874</v>
      </c>
      <c r="C524" s="1417" t="s">
        <v>9913</v>
      </c>
      <c r="D524" s="1993" t="s">
        <v>1782</v>
      </c>
    </row>
    <row r="525" spans="1:4" ht="15">
      <c r="A525" t="s">
        <v>9914</v>
      </c>
      <c r="B525" s="4662" t="str">
        <f t="shared" si="8"/>
        <v>101-875</v>
      </c>
      <c r="C525" s="1417" t="s">
        <v>9915</v>
      </c>
      <c r="D525" s="1993" t="s">
        <v>1782</v>
      </c>
    </row>
    <row r="526" spans="1:4" ht="15">
      <c r="A526" t="s">
        <v>9916</v>
      </c>
      <c r="B526" s="4662" t="str">
        <f t="shared" si="8"/>
        <v>101-876</v>
      </c>
      <c r="C526" s="1417" t="s">
        <v>9917</v>
      </c>
      <c r="D526" s="1993" t="s">
        <v>1782</v>
      </c>
    </row>
    <row r="527" spans="1:4" ht="15">
      <c r="A527" t="s">
        <v>3535</v>
      </c>
      <c r="B527" s="4662" t="str">
        <f t="shared" si="8"/>
        <v>101-902</v>
      </c>
      <c r="C527" s="1417" t="s">
        <v>699</v>
      </c>
      <c r="D527" s="1993" t="s">
        <v>1782</v>
      </c>
    </row>
    <row r="528" spans="1:4" ht="15">
      <c r="A528" t="s">
        <v>3536</v>
      </c>
      <c r="B528" s="4662" t="str">
        <f t="shared" si="8"/>
        <v>101-903</v>
      </c>
      <c r="C528" s="1417" t="s">
        <v>1987</v>
      </c>
      <c r="D528" s="1993" t="s">
        <v>1782</v>
      </c>
    </row>
    <row r="529" spans="1:4" ht="15">
      <c r="A529" t="s">
        <v>3537</v>
      </c>
      <c r="B529" s="4662" t="str">
        <f t="shared" si="8"/>
        <v>101-905</v>
      </c>
      <c r="C529" s="1417" t="s">
        <v>480</v>
      </c>
      <c r="D529" s="1993" t="s">
        <v>1782</v>
      </c>
    </row>
    <row r="530" spans="1:4" ht="15">
      <c r="A530" t="s">
        <v>3538</v>
      </c>
      <c r="B530" s="4662" t="str">
        <f t="shared" si="8"/>
        <v>101-906</v>
      </c>
      <c r="C530" s="1417" t="s">
        <v>418</v>
      </c>
      <c r="D530" s="1993" t="s">
        <v>1782</v>
      </c>
    </row>
    <row r="531" spans="1:4" ht="15">
      <c r="A531" t="s">
        <v>5901</v>
      </c>
      <c r="B531" s="4662" t="str">
        <f t="shared" si="8"/>
        <v>101-907</v>
      </c>
      <c r="C531" s="1417" t="s">
        <v>481</v>
      </c>
      <c r="D531" s="1993" t="s">
        <v>1782</v>
      </c>
    </row>
    <row r="532" spans="1:4" ht="15">
      <c r="A532" t="s">
        <v>9918</v>
      </c>
      <c r="B532" s="4662" t="str">
        <f t="shared" si="8"/>
        <v>101-909</v>
      </c>
      <c r="C532" s="1417" t="s">
        <v>2288</v>
      </c>
      <c r="D532" s="1993" t="s">
        <v>1782</v>
      </c>
    </row>
    <row r="533" spans="1:4" ht="15">
      <c r="A533" t="s">
        <v>3539</v>
      </c>
      <c r="B533" s="4662" t="str">
        <f t="shared" si="8"/>
        <v>101-910</v>
      </c>
      <c r="C533" s="1417" t="s">
        <v>1480</v>
      </c>
      <c r="D533" s="1993" t="s">
        <v>1782</v>
      </c>
    </row>
    <row r="534" spans="1:4" ht="15">
      <c r="A534" t="s">
        <v>5903</v>
      </c>
      <c r="B534" s="4662" t="str">
        <f t="shared" si="8"/>
        <v>101-911</v>
      </c>
      <c r="C534" s="1417" t="s">
        <v>483</v>
      </c>
      <c r="D534" s="1993" t="s">
        <v>1782</v>
      </c>
    </row>
    <row r="535" spans="1:4" ht="15">
      <c r="A535" t="s">
        <v>3540</v>
      </c>
      <c r="B535" s="4662" t="str">
        <f t="shared" si="8"/>
        <v>101-913</v>
      </c>
      <c r="C535" s="1417" t="s">
        <v>2385</v>
      </c>
      <c r="D535" s="1993" t="s">
        <v>1782</v>
      </c>
    </row>
    <row r="536" spans="1:4" ht="15">
      <c r="A536" t="s">
        <v>3541</v>
      </c>
      <c r="B536" s="4662" t="str">
        <f t="shared" si="8"/>
        <v>101-914</v>
      </c>
      <c r="C536" s="1417" t="s">
        <v>410</v>
      </c>
      <c r="D536" s="1993" t="s">
        <v>1782</v>
      </c>
    </row>
    <row r="537" spans="1:4" ht="15">
      <c r="A537" t="s">
        <v>3542</v>
      </c>
      <c r="B537" s="4662" t="str">
        <f t="shared" si="8"/>
        <v>101-915</v>
      </c>
      <c r="C537" s="1417" t="s">
        <v>2585</v>
      </c>
      <c r="D537" s="1993" t="s">
        <v>1782</v>
      </c>
    </row>
    <row r="538" spans="1:4" ht="15">
      <c r="A538" t="s">
        <v>3543</v>
      </c>
      <c r="B538" s="4662" t="str">
        <f t="shared" si="8"/>
        <v>101-917</v>
      </c>
      <c r="C538" s="1417" t="s">
        <v>272</v>
      </c>
      <c r="D538" s="1993" t="s">
        <v>1782</v>
      </c>
    </row>
    <row r="539" spans="1:4" ht="15">
      <c r="A539" t="s">
        <v>5906</v>
      </c>
      <c r="B539" s="4662" t="str">
        <f t="shared" si="8"/>
        <v>101-919</v>
      </c>
      <c r="C539" s="1417" t="s">
        <v>486</v>
      </c>
      <c r="D539" s="1993" t="s">
        <v>1782</v>
      </c>
    </row>
    <row r="540" spans="1:4" ht="15">
      <c r="A540" t="s">
        <v>5909</v>
      </c>
      <c r="B540" s="4662" t="str">
        <f t="shared" si="8"/>
        <v>101-924</v>
      </c>
      <c r="C540" s="1417" t="s">
        <v>2192</v>
      </c>
      <c r="D540" s="1993" t="s">
        <v>1782</v>
      </c>
    </row>
    <row r="541" spans="1:4" ht="15">
      <c r="A541" t="s">
        <v>3544</v>
      </c>
      <c r="B541" s="4662" t="str">
        <f t="shared" si="8"/>
        <v>101-925</v>
      </c>
      <c r="C541" s="1417" t="s">
        <v>2383</v>
      </c>
      <c r="D541" s="1993" t="s">
        <v>1782</v>
      </c>
    </row>
    <row r="542" spans="1:4" ht="15">
      <c r="A542" t="s">
        <v>5910</v>
      </c>
      <c r="B542" s="4662" t="str">
        <f t="shared" si="8"/>
        <v>102-902</v>
      </c>
      <c r="C542" s="1417" t="s">
        <v>2194</v>
      </c>
      <c r="D542" s="1993" t="s">
        <v>1782</v>
      </c>
    </row>
    <row r="543" spans="1:4" ht="15">
      <c r="A543" t="s">
        <v>5911</v>
      </c>
      <c r="B543" s="4662" t="str">
        <f t="shared" si="8"/>
        <v>102-903</v>
      </c>
      <c r="C543" s="1417" t="s">
        <v>2195</v>
      </c>
      <c r="D543" s="1993" t="s">
        <v>1782</v>
      </c>
    </row>
    <row r="544" spans="1:4" ht="15">
      <c r="A544" t="s">
        <v>5912</v>
      </c>
      <c r="B544" s="4662" t="str">
        <f t="shared" si="8"/>
        <v>102-904</v>
      </c>
      <c r="C544" s="1417" t="s">
        <v>2074</v>
      </c>
      <c r="D544" s="1993" t="s">
        <v>1782</v>
      </c>
    </row>
    <row r="545" spans="1:4" ht="15">
      <c r="A545" t="s">
        <v>5913</v>
      </c>
      <c r="B545" s="4662" t="str">
        <f t="shared" si="8"/>
        <v>102-905</v>
      </c>
      <c r="C545" s="1417" t="s">
        <v>2075</v>
      </c>
      <c r="D545" s="1993" t="s">
        <v>1782</v>
      </c>
    </row>
    <row r="546" spans="1:4" ht="15">
      <c r="A546" t="s">
        <v>5914</v>
      </c>
      <c r="B546" s="4662" t="str">
        <f t="shared" si="8"/>
        <v>102-906</v>
      </c>
      <c r="C546" s="1417" t="s">
        <v>156</v>
      </c>
      <c r="D546" s="1993" t="s">
        <v>1782</v>
      </c>
    </row>
    <row r="547" spans="1:4" ht="15">
      <c r="A547" t="s">
        <v>5916</v>
      </c>
      <c r="B547" s="4662" t="str">
        <f t="shared" si="8"/>
        <v>103-902</v>
      </c>
      <c r="C547" s="1417" t="s">
        <v>158</v>
      </c>
      <c r="D547" s="1993" t="s">
        <v>1782</v>
      </c>
    </row>
    <row r="548" spans="1:4" ht="15">
      <c r="A548" t="s">
        <v>3545</v>
      </c>
      <c r="B548" s="4662" t="str">
        <f t="shared" si="8"/>
        <v>104-901</v>
      </c>
      <c r="C548" s="1417" t="s">
        <v>828</v>
      </c>
      <c r="D548" s="1993" t="s">
        <v>1782</v>
      </c>
    </row>
    <row r="549" spans="1:4" ht="15">
      <c r="A549" t="s">
        <v>6732</v>
      </c>
      <c r="B549" s="4662" t="str">
        <f t="shared" si="8"/>
        <v>104-903</v>
      </c>
      <c r="C549" s="1417" t="s">
        <v>159</v>
      </c>
      <c r="D549" s="1993" t="s">
        <v>1782</v>
      </c>
    </row>
    <row r="550" spans="1:4" ht="15">
      <c r="A550" t="s">
        <v>9919</v>
      </c>
      <c r="B550" s="4662" t="str">
        <f t="shared" si="8"/>
        <v>105-801</v>
      </c>
      <c r="C550" s="1417" t="s">
        <v>9920</v>
      </c>
      <c r="D550" s="1993" t="s">
        <v>1782</v>
      </c>
    </row>
    <row r="551" spans="1:4" ht="15">
      <c r="A551" t="s">
        <v>9921</v>
      </c>
      <c r="B551" s="4662" t="str">
        <f t="shared" si="8"/>
        <v>105-802</v>
      </c>
      <c r="C551" s="1417" t="s">
        <v>9922</v>
      </c>
      <c r="D551" s="1993" t="s">
        <v>1782</v>
      </c>
    </row>
    <row r="552" spans="1:4" ht="15">
      <c r="A552" t="s">
        <v>9923</v>
      </c>
      <c r="B552" s="4662" t="str">
        <f t="shared" si="8"/>
        <v>105-803</v>
      </c>
      <c r="C552" s="1417" t="s">
        <v>9924</v>
      </c>
      <c r="D552" s="1993" t="s">
        <v>1782</v>
      </c>
    </row>
    <row r="553" spans="1:4" ht="15">
      <c r="A553" t="s">
        <v>3547</v>
      </c>
      <c r="B553" s="4662" t="str">
        <f t="shared" si="8"/>
        <v>105-906</v>
      </c>
      <c r="C553" s="1417" t="s">
        <v>35</v>
      </c>
      <c r="D553" s="1993" t="s">
        <v>1782</v>
      </c>
    </row>
    <row r="554" spans="1:4" ht="15">
      <c r="A554" t="s">
        <v>5921</v>
      </c>
      <c r="B554" s="4662" t="str">
        <f t="shared" si="8"/>
        <v>107-901</v>
      </c>
      <c r="C554" s="1417" t="s">
        <v>1349</v>
      </c>
      <c r="D554" s="1993" t="s">
        <v>1782</v>
      </c>
    </row>
    <row r="555" spans="1:4" ht="15">
      <c r="A555" t="s">
        <v>5922</v>
      </c>
      <c r="B555" s="4662" t="str">
        <f t="shared" si="8"/>
        <v>107-902</v>
      </c>
      <c r="C555" s="1417" t="s">
        <v>1350</v>
      </c>
      <c r="D555" s="1993" t="s">
        <v>1782</v>
      </c>
    </row>
    <row r="556" spans="1:4" ht="15">
      <c r="A556" t="s">
        <v>5923</v>
      </c>
      <c r="B556" s="4662" t="str">
        <f t="shared" si="8"/>
        <v>107-904</v>
      </c>
      <c r="C556" s="1417" t="s">
        <v>1351</v>
      </c>
      <c r="D556" s="1993" t="s">
        <v>1782</v>
      </c>
    </row>
    <row r="557" spans="1:4" ht="15">
      <c r="A557" t="s">
        <v>5924</v>
      </c>
      <c r="B557" s="4662" t="str">
        <f t="shared" si="8"/>
        <v>107-905</v>
      </c>
      <c r="C557" s="1417" t="s">
        <v>1352</v>
      </c>
      <c r="D557" s="1993" t="s">
        <v>1782</v>
      </c>
    </row>
    <row r="558" spans="1:4" ht="15">
      <c r="A558" t="s">
        <v>3548</v>
      </c>
      <c r="B558" s="4662" t="str">
        <f t="shared" si="8"/>
        <v>107-907</v>
      </c>
      <c r="C558" s="1417" t="s">
        <v>607</v>
      </c>
      <c r="D558" s="1993" t="s">
        <v>1782</v>
      </c>
    </row>
    <row r="559" spans="1:4" ht="15">
      <c r="A559" t="s">
        <v>4861</v>
      </c>
      <c r="B559" s="4662" t="str">
        <f t="shared" si="8"/>
        <v>107-908</v>
      </c>
      <c r="C559" s="1417" t="s">
        <v>2105</v>
      </c>
      <c r="D559" s="1993" t="s">
        <v>1782</v>
      </c>
    </row>
    <row r="560" spans="1:4" ht="15">
      <c r="A560" t="s">
        <v>5926</v>
      </c>
      <c r="B560" s="4662" t="str">
        <f t="shared" si="8"/>
        <v>107-910</v>
      </c>
      <c r="C560" s="1417" t="s">
        <v>2600</v>
      </c>
      <c r="D560" s="1993" t="s">
        <v>1782</v>
      </c>
    </row>
    <row r="561" spans="1:4" ht="15">
      <c r="A561" t="s">
        <v>9925</v>
      </c>
      <c r="B561" s="4662" t="str">
        <f t="shared" si="8"/>
        <v>108-801</v>
      </c>
      <c r="C561" s="1417" t="s">
        <v>9926</v>
      </c>
      <c r="D561" s="1993" t="s">
        <v>1782</v>
      </c>
    </row>
    <row r="562" spans="1:4" ht="15">
      <c r="A562" t="s">
        <v>9927</v>
      </c>
      <c r="B562" s="4662" t="str">
        <f t="shared" si="8"/>
        <v>108-802</v>
      </c>
      <c r="C562" s="1417" t="s">
        <v>9928</v>
      </c>
      <c r="D562" s="1993" t="s">
        <v>1782</v>
      </c>
    </row>
    <row r="563" spans="1:4" ht="15">
      <c r="A563" t="s">
        <v>9929</v>
      </c>
      <c r="B563" s="4662" t="str">
        <f t="shared" si="8"/>
        <v>108-804</v>
      </c>
      <c r="C563" s="1417" t="s">
        <v>9930</v>
      </c>
      <c r="D563" s="1993" t="s">
        <v>1782</v>
      </c>
    </row>
    <row r="564" spans="1:4" ht="15">
      <c r="A564" t="s">
        <v>9931</v>
      </c>
      <c r="B564" s="4662" t="str">
        <f t="shared" si="8"/>
        <v>108-807</v>
      </c>
      <c r="C564" s="1417" t="s">
        <v>9932</v>
      </c>
      <c r="D564" s="1993" t="s">
        <v>1782</v>
      </c>
    </row>
    <row r="565" spans="1:4" ht="15">
      <c r="A565" t="s">
        <v>9933</v>
      </c>
      <c r="B565" s="4662" t="str">
        <f t="shared" si="8"/>
        <v>108-808</v>
      </c>
      <c r="C565" s="1417" t="s">
        <v>9934</v>
      </c>
      <c r="D565" s="1993" t="s">
        <v>1782</v>
      </c>
    </row>
    <row r="566" spans="1:4" ht="15">
      <c r="A566" t="s">
        <v>9935</v>
      </c>
      <c r="B566" s="4662" t="str">
        <f t="shared" si="8"/>
        <v>108-809</v>
      </c>
      <c r="C566" s="1417" t="s">
        <v>9936</v>
      </c>
      <c r="D566" s="1993" t="s">
        <v>1782</v>
      </c>
    </row>
    <row r="567" spans="1:4" ht="15">
      <c r="A567" t="s">
        <v>3549</v>
      </c>
      <c r="B567" s="4662" t="str">
        <f t="shared" si="8"/>
        <v>108-902</v>
      </c>
      <c r="C567" s="1417" t="s">
        <v>32</v>
      </c>
      <c r="D567" s="1993" t="s">
        <v>1782</v>
      </c>
    </row>
    <row r="568" spans="1:4" ht="15">
      <c r="A568" t="s">
        <v>3550</v>
      </c>
      <c r="B568" s="4662" t="str">
        <f t="shared" si="8"/>
        <v>108-903</v>
      </c>
      <c r="C568" s="1417" t="s">
        <v>1066</v>
      </c>
      <c r="D568" s="1993" t="s">
        <v>1782</v>
      </c>
    </row>
    <row r="569" spans="1:4" ht="15">
      <c r="A569" t="s">
        <v>3551</v>
      </c>
      <c r="B569" s="4662" t="str">
        <f t="shared" si="8"/>
        <v>108-904</v>
      </c>
      <c r="C569" s="1417" t="s">
        <v>33</v>
      </c>
      <c r="D569" s="1993" t="s">
        <v>1782</v>
      </c>
    </row>
    <row r="570" spans="1:4" ht="15">
      <c r="A570" t="s">
        <v>3552</v>
      </c>
      <c r="B570" s="4662" t="str">
        <f t="shared" si="8"/>
        <v>108-905</v>
      </c>
      <c r="C570" s="1417" t="s">
        <v>2374</v>
      </c>
      <c r="D570" s="1993" t="s">
        <v>1782</v>
      </c>
    </row>
    <row r="571" spans="1:4" ht="15">
      <c r="A571" t="s">
        <v>3553</v>
      </c>
      <c r="B571" s="4662" t="str">
        <f t="shared" si="8"/>
        <v>108-906</v>
      </c>
      <c r="C571" s="1417" t="s">
        <v>817</v>
      </c>
      <c r="D571" s="1993" t="s">
        <v>1782</v>
      </c>
    </row>
    <row r="572" spans="1:4" ht="15">
      <c r="A572" t="s">
        <v>3554</v>
      </c>
      <c r="B572" s="4662" t="str">
        <f t="shared" si="8"/>
        <v>108-907</v>
      </c>
      <c r="C572" s="1417" t="s">
        <v>2234</v>
      </c>
      <c r="D572" s="1993" t="s">
        <v>1782</v>
      </c>
    </row>
    <row r="573" spans="1:4" ht="15">
      <c r="A573" t="s">
        <v>3555</v>
      </c>
      <c r="B573" s="4662" t="str">
        <f t="shared" si="8"/>
        <v>108-908</v>
      </c>
      <c r="C573" s="1417" t="s">
        <v>38</v>
      </c>
      <c r="D573" s="1993" t="s">
        <v>1782</v>
      </c>
    </row>
    <row r="574" spans="1:4" ht="15">
      <c r="A574" t="s">
        <v>3556</v>
      </c>
      <c r="B574" s="4662" t="str">
        <f t="shared" si="8"/>
        <v>108-909</v>
      </c>
      <c r="C574" s="1417" t="s">
        <v>999</v>
      </c>
      <c r="D574" s="1993" t="s">
        <v>1782</v>
      </c>
    </row>
    <row r="575" spans="1:4" ht="15">
      <c r="A575" t="s">
        <v>3557</v>
      </c>
      <c r="B575" s="4662" t="str">
        <f t="shared" si="8"/>
        <v>108-910</v>
      </c>
      <c r="C575" s="1417" t="s">
        <v>75</v>
      </c>
      <c r="D575" s="1993" t="s">
        <v>1782</v>
      </c>
    </row>
    <row r="576" spans="1:4" ht="15">
      <c r="A576" t="s">
        <v>3558</v>
      </c>
      <c r="B576" s="4662" t="str">
        <f t="shared" si="8"/>
        <v>108-911</v>
      </c>
      <c r="C576" s="1417" t="s">
        <v>2602</v>
      </c>
      <c r="D576" s="1993" t="s">
        <v>1782</v>
      </c>
    </row>
    <row r="577" spans="1:4" ht="15">
      <c r="A577" t="s">
        <v>3559</v>
      </c>
      <c r="B577" s="4662" t="str">
        <f t="shared" si="8"/>
        <v>108-912</v>
      </c>
      <c r="C577" s="1417" t="s">
        <v>1897</v>
      </c>
      <c r="D577" s="1993" t="s">
        <v>1782</v>
      </c>
    </row>
    <row r="578" spans="1:4" ht="15">
      <c r="A578" t="s">
        <v>3560</v>
      </c>
      <c r="B578" s="4662" t="str">
        <f t="shared" ref="B578:B641" si="9">CONCATENATE(LEFT(RIGHT(CONCATENATE("000",A578),6),3),"-",(RIGHT(RIGHT(CONCATENATE("000",A578),6),3)))</f>
        <v>108-913</v>
      </c>
      <c r="C578" s="1417" t="s">
        <v>141</v>
      </c>
      <c r="D578" s="1993" t="s">
        <v>1782</v>
      </c>
    </row>
    <row r="579" spans="1:4" ht="15">
      <c r="A579" t="s">
        <v>3561</v>
      </c>
      <c r="B579" s="4662" t="str">
        <f t="shared" si="9"/>
        <v>108-914</v>
      </c>
      <c r="C579" s="1417" t="s">
        <v>2299</v>
      </c>
      <c r="D579" s="1993" t="s">
        <v>1782</v>
      </c>
    </row>
    <row r="580" spans="1:4" ht="15">
      <c r="A580" t="s">
        <v>3562</v>
      </c>
      <c r="B580" s="4662" t="str">
        <f t="shared" si="9"/>
        <v>108-915</v>
      </c>
      <c r="C580" s="1417" t="s">
        <v>2242</v>
      </c>
      <c r="D580" s="1993" t="s">
        <v>1782</v>
      </c>
    </row>
    <row r="581" spans="1:4" ht="15">
      <c r="A581" t="s">
        <v>3563</v>
      </c>
      <c r="B581" s="4662" t="str">
        <f t="shared" si="9"/>
        <v>108-916</v>
      </c>
      <c r="C581" s="1417" t="s">
        <v>2364</v>
      </c>
      <c r="D581" s="1993" t="s">
        <v>1782</v>
      </c>
    </row>
    <row r="582" spans="1:4" ht="15">
      <c r="A582" t="s">
        <v>9937</v>
      </c>
      <c r="B582" s="4662" t="str">
        <f t="shared" si="9"/>
        <v>108-917</v>
      </c>
      <c r="C582" s="1417" t="s">
        <v>9938</v>
      </c>
      <c r="D582" s="1993" t="s">
        <v>1782</v>
      </c>
    </row>
    <row r="583" spans="1:4" ht="15">
      <c r="A583" t="s">
        <v>3564</v>
      </c>
      <c r="B583" s="4662" t="str">
        <f t="shared" si="9"/>
        <v>109-901</v>
      </c>
      <c r="C583" s="1417" t="s">
        <v>2150</v>
      </c>
      <c r="D583" s="1993" t="s">
        <v>1782</v>
      </c>
    </row>
    <row r="584" spans="1:4" ht="15">
      <c r="A584" t="s">
        <v>3565</v>
      </c>
      <c r="B584" s="4662" t="str">
        <f t="shared" si="9"/>
        <v>109-902</v>
      </c>
      <c r="C584" s="1417" t="s">
        <v>898</v>
      </c>
      <c r="D584" s="1993" t="s">
        <v>1782</v>
      </c>
    </row>
    <row r="585" spans="1:4" ht="15">
      <c r="A585" t="s">
        <v>4964</v>
      </c>
      <c r="B585" s="4662" t="str">
        <f t="shared" si="9"/>
        <v>109-903</v>
      </c>
      <c r="C585" s="1417" t="s">
        <v>667</v>
      </c>
      <c r="D585" s="1993" t="s">
        <v>1782</v>
      </c>
    </row>
    <row r="586" spans="1:4" ht="15">
      <c r="A586" t="s">
        <v>3566</v>
      </c>
      <c r="B586" s="4662" t="str">
        <f t="shared" si="9"/>
        <v>109-904</v>
      </c>
      <c r="C586" s="1417" t="s">
        <v>2376</v>
      </c>
      <c r="D586" s="1993" t="s">
        <v>1782</v>
      </c>
    </row>
    <row r="587" spans="1:4" ht="15">
      <c r="A587" t="s">
        <v>3567</v>
      </c>
      <c r="B587" s="4662" t="str">
        <f t="shared" si="9"/>
        <v>109-905</v>
      </c>
      <c r="C587" s="1417" t="s">
        <v>2381</v>
      </c>
      <c r="D587" s="1993" t="s">
        <v>1782</v>
      </c>
    </row>
    <row r="588" spans="1:4" ht="15">
      <c r="A588" t="s">
        <v>3568</v>
      </c>
      <c r="B588" s="4662" t="str">
        <f t="shared" si="9"/>
        <v>109-907</v>
      </c>
      <c r="C588" s="1417" t="s">
        <v>404</v>
      </c>
      <c r="D588" s="1993" t="s">
        <v>1782</v>
      </c>
    </row>
    <row r="589" spans="1:4" ht="15">
      <c r="A589" t="s">
        <v>3569</v>
      </c>
      <c r="B589" s="4662" t="str">
        <f t="shared" si="9"/>
        <v>109-908</v>
      </c>
      <c r="C589" s="1417" t="s">
        <v>2152</v>
      </c>
      <c r="D589" s="1993" t="s">
        <v>1782</v>
      </c>
    </row>
    <row r="590" spans="1:4" ht="15">
      <c r="A590" t="s">
        <v>3570</v>
      </c>
      <c r="B590" s="4662" t="str">
        <f t="shared" si="9"/>
        <v>109-910</v>
      </c>
      <c r="C590" s="1417" t="s">
        <v>2243</v>
      </c>
      <c r="D590" s="1993" t="s">
        <v>1782</v>
      </c>
    </row>
    <row r="591" spans="1:4" ht="15">
      <c r="A591" t="s">
        <v>5927</v>
      </c>
      <c r="B591" s="4662" t="str">
        <f t="shared" si="9"/>
        <v>109-911</v>
      </c>
      <c r="C591" s="1417" t="s">
        <v>2603</v>
      </c>
      <c r="D591" s="1993" t="s">
        <v>1782</v>
      </c>
    </row>
    <row r="592" spans="1:4" ht="15">
      <c r="A592" t="s">
        <v>3571</v>
      </c>
      <c r="B592" s="4662" t="str">
        <f t="shared" si="9"/>
        <v>109-912</v>
      </c>
      <c r="C592" s="1417" t="s">
        <v>2419</v>
      </c>
      <c r="D592" s="1993" t="s">
        <v>1782</v>
      </c>
    </row>
    <row r="593" spans="1:4" ht="15">
      <c r="A593" t="s">
        <v>4982</v>
      </c>
      <c r="B593" s="4662" t="str">
        <f t="shared" si="9"/>
        <v>109-913</v>
      </c>
      <c r="C593" s="1417" t="s">
        <v>1346</v>
      </c>
      <c r="D593" s="1993" t="s">
        <v>1782</v>
      </c>
    </row>
    <row r="594" spans="1:4" ht="15">
      <c r="A594" t="s">
        <v>4985</v>
      </c>
      <c r="B594" s="4662" t="str">
        <f t="shared" si="9"/>
        <v>109-914</v>
      </c>
      <c r="C594" s="1417" t="s">
        <v>2594</v>
      </c>
      <c r="D594" s="1993" t="s">
        <v>1782</v>
      </c>
    </row>
    <row r="595" spans="1:4" ht="15">
      <c r="A595" t="s">
        <v>6733</v>
      </c>
      <c r="B595" s="4662" t="str">
        <f t="shared" si="9"/>
        <v>110-901</v>
      </c>
      <c r="C595" s="1417" t="s">
        <v>2604</v>
      </c>
      <c r="D595" s="1993" t="s">
        <v>1782</v>
      </c>
    </row>
    <row r="596" spans="1:4" ht="15">
      <c r="A596" t="s">
        <v>5928</v>
      </c>
      <c r="B596" s="4662" t="str">
        <f t="shared" si="9"/>
        <v>110-902</v>
      </c>
      <c r="C596" s="1417" t="s">
        <v>2605</v>
      </c>
      <c r="D596" s="1993" t="s">
        <v>1782</v>
      </c>
    </row>
    <row r="597" spans="1:4" ht="15">
      <c r="A597" t="s">
        <v>5929</v>
      </c>
      <c r="B597" s="4662" t="str">
        <f t="shared" si="9"/>
        <v>110-905</v>
      </c>
      <c r="C597" s="1417" t="s">
        <v>2606</v>
      </c>
      <c r="D597" s="1993" t="s">
        <v>1782</v>
      </c>
    </row>
    <row r="598" spans="1:4" ht="15">
      <c r="A598" t="s">
        <v>3572</v>
      </c>
      <c r="B598" s="4662" t="str">
        <f t="shared" si="9"/>
        <v>110-906</v>
      </c>
      <c r="C598" s="1417" t="s">
        <v>1929</v>
      </c>
      <c r="D598" s="1993" t="s">
        <v>1782</v>
      </c>
    </row>
    <row r="599" spans="1:4" ht="15">
      <c r="A599" t="s">
        <v>6735</v>
      </c>
      <c r="B599" s="4662" t="str">
        <f t="shared" si="9"/>
        <v>110-908</v>
      </c>
      <c r="C599" s="1417" t="s">
        <v>2608</v>
      </c>
      <c r="D599" s="1993" t="s">
        <v>1782</v>
      </c>
    </row>
    <row r="600" spans="1:4" ht="15">
      <c r="A600" t="s">
        <v>9939</v>
      </c>
      <c r="B600" s="4662" t="str">
        <f t="shared" si="9"/>
        <v>111-801</v>
      </c>
      <c r="C600" s="1417" t="s">
        <v>9940</v>
      </c>
      <c r="D600" s="1993" t="s">
        <v>1782</v>
      </c>
    </row>
    <row r="601" spans="1:4" ht="15">
      <c r="A601" t="s">
        <v>3573</v>
      </c>
      <c r="B601" s="4662" t="str">
        <f t="shared" si="9"/>
        <v>111-902</v>
      </c>
      <c r="C601" s="1417" t="s">
        <v>1566</v>
      </c>
      <c r="D601" s="1993" t="s">
        <v>1782</v>
      </c>
    </row>
    <row r="602" spans="1:4" ht="15">
      <c r="A602" t="s">
        <v>3574</v>
      </c>
      <c r="B602" s="4662" t="str">
        <f t="shared" si="9"/>
        <v>111-903</v>
      </c>
      <c r="C602" s="1417" t="s">
        <v>605</v>
      </c>
      <c r="D602" s="1993" t="s">
        <v>1782</v>
      </c>
    </row>
    <row r="603" spans="1:4" ht="15">
      <c r="A603" t="s">
        <v>3575</v>
      </c>
      <c r="B603" s="4662" t="str">
        <f t="shared" si="9"/>
        <v>112-901</v>
      </c>
      <c r="C603" s="1417" t="s">
        <v>220</v>
      </c>
      <c r="D603" s="1993" t="s">
        <v>1782</v>
      </c>
    </row>
    <row r="604" spans="1:4" ht="15">
      <c r="A604" t="s">
        <v>3576</v>
      </c>
      <c r="B604" s="4662" t="str">
        <f t="shared" si="9"/>
        <v>112-905</v>
      </c>
      <c r="C604" s="1417" t="s">
        <v>422</v>
      </c>
      <c r="D604" s="1993" t="s">
        <v>1782</v>
      </c>
    </row>
    <row r="605" spans="1:4" ht="15">
      <c r="A605" t="s">
        <v>5931</v>
      </c>
      <c r="B605" s="4662" t="str">
        <f t="shared" si="9"/>
        <v>112-906</v>
      </c>
      <c r="C605" s="1417" t="s">
        <v>221</v>
      </c>
      <c r="D605" s="1993" t="s">
        <v>1782</v>
      </c>
    </row>
    <row r="606" spans="1:4" ht="15">
      <c r="A606" t="s">
        <v>3577</v>
      </c>
      <c r="B606" s="4662" t="str">
        <f t="shared" si="9"/>
        <v>112-907</v>
      </c>
      <c r="C606" s="1417" t="s">
        <v>2238</v>
      </c>
      <c r="D606" s="1993" t="s">
        <v>1782</v>
      </c>
    </row>
    <row r="607" spans="1:4" ht="15">
      <c r="A607" t="s">
        <v>6736</v>
      </c>
      <c r="B607" s="4662" t="str">
        <f t="shared" si="9"/>
        <v>112-908</v>
      </c>
      <c r="C607" s="1417" t="s">
        <v>632</v>
      </c>
      <c r="D607" s="1993" t="s">
        <v>1782</v>
      </c>
    </row>
    <row r="608" spans="1:4" ht="15">
      <c r="A608" t="s">
        <v>6737</v>
      </c>
      <c r="B608" s="4662" t="str">
        <f t="shared" si="9"/>
        <v>112-909</v>
      </c>
      <c r="C608" s="1417" t="s">
        <v>633</v>
      </c>
      <c r="D608" s="1993" t="s">
        <v>1782</v>
      </c>
    </row>
    <row r="609" spans="1:4" ht="15">
      <c r="A609" t="s">
        <v>3578</v>
      </c>
      <c r="B609" s="4662" t="str">
        <f t="shared" si="9"/>
        <v>112-910</v>
      </c>
      <c r="C609" s="1417" t="s">
        <v>1942</v>
      </c>
      <c r="D609" s="1993" t="s">
        <v>1782</v>
      </c>
    </row>
    <row r="610" spans="1:4" ht="15">
      <c r="A610" t="s">
        <v>5932</v>
      </c>
      <c r="B610" s="4662" t="str">
        <f t="shared" si="9"/>
        <v>113-901</v>
      </c>
      <c r="C610" s="1417" t="s">
        <v>634</v>
      </c>
      <c r="D610" s="1993" t="s">
        <v>1782</v>
      </c>
    </row>
    <row r="611" spans="1:4" ht="15">
      <c r="A611" t="s">
        <v>5933</v>
      </c>
      <c r="B611" s="4662" t="str">
        <f t="shared" si="9"/>
        <v>113-902</v>
      </c>
      <c r="C611" s="1417" t="s">
        <v>2165</v>
      </c>
      <c r="D611" s="1993" t="s">
        <v>1782</v>
      </c>
    </row>
    <row r="612" spans="1:4" ht="15">
      <c r="A612" t="s">
        <v>6738</v>
      </c>
      <c r="B612" s="4662" t="str">
        <f t="shared" si="9"/>
        <v>113-903</v>
      </c>
      <c r="C612" s="1417" t="s">
        <v>2520</v>
      </c>
      <c r="D612" s="1993" t="s">
        <v>1782</v>
      </c>
    </row>
    <row r="613" spans="1:4" ht="15">
      <c r="A613" t="s">
        <v>9941</v>
      </c>
      <c r="B613" s="4662" t="str">
        <f t="shared" si="9"/>
        <v>113-904</v>
      </c>
      <c r="C613" s="1417" t="s">
        <v>9942</v>
      </c>
      <c r="D613" s="1993" t="s">
        <v>1782</v>
      </c>
    </row>
    <row r="614" spans="1:4" ht="15">
      <c r="A614" t="s">
        <v>5934</v>
      </c>
      <c r="B614" s="4662" t="str">
        <f t="shared" si="9"/>
        <v>113-905</v>
      </c>
      <c r="C614" s="1417" t="s">
        <v>1570</v>
      </c>
      <c r="D614" s="1993" t="s">
        <v>1782</v>
      </c>
    </row>
    <row r="615" spans="1:4" ht="15">
      <c r="A615" t="s">
        <v>6739</v>
      </c>
      <c r="B615" s="4662" t="str">
        <f t="shared" si="9"/>
        <v>113-906</v>
      </c>
      <c r="C615" s="1417" t="s">
        <v>1571</v>
      </c>
      <c r="D615" s="1993" t="s">
        <v>1782</v>
      </c>
    </row>
    <row r="616" spans="1:4" ht="15">
      <c r="A616" t="s">
        <v>3579</v>
      </c>
      <c r="B616" s="4662" t="str">
        <f t="shared" si="9"/>
        <v>114-901</v>
      </c>
      <c r="C616" s="1417" t="s">
        <v>1572</v>
      </c>
      <c r="D616" s="1993" t="s">
        <v>1782</v>
      </c>
    </row>
    <row r="617" spans="1:4" ht="15">
      <c r="A617" t="s">
        <v>5935</v>
      </c>
      <c r="B617" s="4662" t="str">
        <f t="shared" si="9"/>
        <v>114-902</v>
      </c>
      <c r="C617" s="1417" t="s">
        <v>1573</v>
      </c>
      <c r="D617" s="1993" t="s">
        <v>1782</v>
      </c>
    </row>
    <row r="618" spans="1:4" ht="15">
      <c r="A618" t="s">
        <v>5937</v>
      </c>
      <c r="B618" s="4662" t="str">
        <f t="shared" si="9"/>
        <v>115-901</v>
      </c>
      <c r="C618" s="1417" t="s">
        <v>1575</v>
      </c>
      <c r="D618" s="1993" t="s">
        <v>1782</v>
      </c>
    </row>
    <row r="619" spans="1:4" ht="15">
      <c r="A619" t="s">
        <v>6741</v>
      </c>
      <c r="B619" s="4662" t="str">
        <f t="shared" si="9"/>
        <v>115-903</v>
      </c>
      <c r="C619" s="1417" t="s">
        <v>1577</v>
      </c>
      <c r="D619" s="1993" t="s">
        <v>1782</v>
      </c>
    </row>
    <row r="620" spans="1:4" ht="15">
      <c r="A620" t="s">
        <v>9943</v>
      </c>
      <c r="B620" s="4662" t="str">
        <f t="shared" si="9"/>
        <v>116-801</v>
      </c>
      <c r="C620" s="1417" t="s">
        <v>9944</v>
      </c>
      <c r="D620" s="1993" t="s">
        <v>1782</v>
      </c>
    </row>
    <row r="621" spans="1:4" ht="15">
      <c r="A621" t="s">
        <v>3580</v>
      </c>
      <c r="B621" s="4662" t="str">
        <f t="shared" si="9"/>
        <v>116-901</v>
      </c>
      <c r="C621" s="1417" t="s">
        <v>651</v>
      </c>
      <c r="D621" s="1993" t="s">
        <v>1782</v>
      </c>
    </row>
    <row r="622" spans="1:4" ht="15">
      <c r="A622" t="s">
        <v>3581</v>
      </c>
      <c r="B622" s="4662" t="str">
        <f t="shared" si="9"/>
        <v>116-902</v>
      </c>
      <c r="C622" s="1417" t="s">
        <v>1578</v>
      </c>
      <c r="D622" s="1993" t="s">
        <v>1782</v>
      </c>
    </row>
    <row r="623" spans="1:4" ht="15">
      <c r="A623" t="s">
        <v>3582</v>
      </c>
      <c r="B623" s="4662" t="str">
        <f t="shared" si="9"/>
        <v>116-903</v>
      </c>
      <c r="C623" s="1417" t="s">
        <v>1550</v>
      </c>
      <c r="D623" s="1993" t="s">
        <v>1782</v>
      </c>
    </row>
    <row r="624" spans="1:4" ht="15">
      <c r="A624" t="s">
        <v>5938</v>
      </c>
      <c r="B624" s="4662" t="str">
        <f t="shared" si="9"/>
        <v>116-905</v>
      </c>
      <c r="C624" s="1417" t="s">
        <v>1579</v>
      </c>
      <c r="D624" s="1993" t="s">
        <v>1782</v>
      </c>
    </row>
    <row r="625" spans="1:4" ht="15">
      <c r="A625" t="s">
        <v>3583</v>
      </c>
      <c r="B625" s="4662" t="str">
        <f t="shared" si="9"/>
        <v>116-906</v>
      </c>
      <c r="C625" s="1417" t="s">
        <v>2125</v>
      </c>
      <c r="D625" s="1993" t="s">
        <v>1782</v>
      </c>
    </row>
    <row r="626" spans="1:4" ht="15">
      <c r="A626" t="s">
        <v>3584</v>
      </c>
      <c r="B626" s="4662" t="str">
        <f t="shared" si="9"/>
        <v>116-908</v>
      </c>
      <c r="C626" s="1417" t="s">
        <v>77</v>
      </c>
      <c r="D626" s="1993" t="s">
        <v>1782</v>
      </c>
    </row>
    <row r="627" spans="1:4" ht="15">
      <c r="A627" t="s">
        <v>3585</v>
      </c>
      <c r="B627" s="4662" t="str">
        <f t="shared" si="9"/>
        <v>116-909</v>
      </c>
      <c r="C627" s="1417" t="s">
        <v>1131</v>
      </c>
      <c r="D627" s="1993" t="s">
        <v>1782</v>
      </c>
    </row>
    <row r="628" spans="1:4" ht="15">
      <c r="A628" t="s">
        <v>5939</v>
      </c>
      <c r="B628" s="4662" t="str">
        <f t="shared" si="9"/>
        <v>116-910</v>
      </c>
      <c r="C628" s="1417" t="s">
        <v>1580</v>
      </c>
      <c r="D628" s="1993" t="s">
        <v>1782</v>
      </c>
    </row>
    <row r="629" spans="1:4" ht="15">
      <c r="A629" t="s">
        <v>3586</v>
      </c>
      <c r="B629" s="4662" t="str">
        <f t="shared" si="9"/>
        <v>116-915</v>
      </c>
      <c r="C629" s="1417" t="s">
        <v>799</v>
      </c>
      <c r="D629" s="1993" t="s">
        <v>1782</v>
      </c>
    </row>
    <row r="630" spans="1:4" ht="15">
      <c r="A630" t="s">
        <v>3587</v>
      </c>
      <c r="B630" s="4662" t="str">
        <f t="shared" si="9"/>
        <v>116-916</v>
      </c>
      <c r="C630" s="1417" t="s">
        <v>1347</v>
      </c>
      <c r="D630" s="1993" t="s">
        <v>1782</v>
      </c>
    </row>
    <row r="631" spans="1:4" ht="15">
      <c r="A631" t="s">
        <v>5940</v>
      </c>
      <c r="B631" s="4662" t="str">
        <f t="shared" si="9"/>
        <v>117-901</v>
      </c>
      <c r="C631" s="1417" t="s">
        <v>1581</v>
      </c>
      <c r="D631" s="1993" t="s">
        <v>1782</v>
      </c>
    </row>
    <row r="632" spans="1:4" ht="15">
      <c r="A632" t="s">
        <v>5941</v>
      </c>
      <c r="B632" s="4662" t="str">
        <f t="shared" si="9"/>
        <v>117-903</v>
      </c>
      <c r="C632" s="1417" t="s">
        <v>1046</v>
      </c>
      <c r="D632" s="1993" t="s">
        <v>1782</v>
      </c>
    </row>
    <row r="633" spans="1:4" ht="15">
      <c r="A633" t="s">
        <v>6742</v>
      </c>
      <c r="B633" s="4662" t="str">
        <f t="shared" si="9"/>
        <v>117-907</v>
      </c>
      <c r="C633" s="1417" t="s">
        <v>2525</v>
      </c>
      <c r="D633" s="1993" t="s">
        <v>1782</v>
      </c>
    </row>
    <row r="634" spans="1:4" ht="15">
      <c r="A634" t="s">
        <v>5944</v>
      </c>
      <c r="B634" s="4662" t="str">
        <f t="shared" si="9"/>
        <v>119-901</v>
      </c>
      <c r="C634" s="1417" t="s">
        <v>2462</v>
      </c>
      <c r="D634" s="1993" t="s">
        <v>1782</v>
      </c>
    </row>
    <row r="635" spans="1:4" ht="15">
      <c r="A635" t="s">
        <v>5945</v>
      </c>
      <c r="B635" s="4662" t="str">
        <f t="shared" si="9"/>
        <v>119-902</v>
      </c>
      <c r="C635" s="1417" t="s">
        <v>2463</v>
      </c>
      <c r="D635" s="1993" t="s">
        <v>1782</v>
      </c>
    </row>
    <row r="636" spans="1:4" ht="15">
      <c r="A636" t="s">
        <v>5947</v>
      </c>
      <c r="B636" s="4662" t="str">
        <f t="shared" si="9"/>
        <v>120-901</v>
      </c>
      <c r="C636" s="1417" t="s">
        <v>620</v>
      </c>
      <c r="D636" s="1993" t="s">
        <v>1782</v>
      </c>
    </row>
    <row r="637" spans="1:4" ht="15">
      <c r="A637" t="s">
        <v>3588</v>
      </c>
      <c r="B637" s="4662" t="str">
        <f t="shared" si="9"/>
        <v>120-902</v>
      </c>
      <c r="C637" s="1417" t="s">
        <v>1481</v>
      </c>
      <c r="D637" s="1993" t="s">
        <v>1782</v>
      </c>
    </row>
    <row r="638" spans="1:4" ht="15">
      <c r="A638" t="s">
        <v>6743</v>
      </c>
      <c r="B638" s="4662" t="str">
        <f t="shared" si="9"/>
        <v>121-902</v>
      </c>
      <c r="C638" s="1417" t="s">
        <v>2499</v>
      </c>
      <c r="D638" s="1993" t="s">
        <v>1782</v>
      </c>
    </row>
    <row r="639" spans="1:4" ht="15">
      <c r="A639" t="s">
        <v>3589</v>
      </c>
      <c r="B639" s="4662" t="str">
        <f t="shared" si="9"/>
        <v>121-903</v>
      </c>
      <c r="C639" s="1417" t="s">
        <v>1447</v>
      </c>
      <c r="D639" s="1993" t="s">
        <v>1782</v>
      </c>
    </row>
    <row r="640" spans="1:4" ht="15">
      <c r="A640" t="s">
        <v>3590</v>
      </c>
      <c r="B640" s="4662" t="str">
        <f t="shared" si="9"/>
        <v>121-904</v>
      </c>
      <c r="C640" s="1417" t="s">
        <v>406</v>
      </c>
      <c r="D640" s="1993" t="s">
        <v>1782</v>
      </c>
    </row>
    <row r="641" spans="1:4" ht="15">
      <c r="A641" t="s">
        <v>3591</v>
      </c>
      <c r="B641" s="4662" t="str">
        <f t="shared" si="9"/>
        <v>121-905</v>
      </c>
      <c r="C641" s="1417" t="s">
        <v>2017</v>
      </c>
      <c r="D641" s="1993" t="s">
        <v>1782</v>
      </c>
    </row>
    <row r="642" spans="1:4" ht="15">
      <c r="A642" t="s">
        <v>6745</v>
      </c>
      <c r="B642" s="4662" t="str">
        <f t="shared" ref="B642:B705" si="10">CONCATENATE(LEFT(RIGHT(CONCATENATE("000",A642),6),3),"-",(RIGHT(RIGHT(CONCATENATE("000",A642),6),3)))</f>
        <v>122-902</v>
      </c>
      <c r="C642" s="1417" t="s">
        <v>2295</v>
      </c>
      <c r="D642" s="1993" t="s">
        <v>1782</v>
      </c>
    </row>
    <row r="643" spans="1:4" ht="15">
      <c r="A643" t="s">
        <v>9945</v>
      </c>
      <c r="B643" s="4662" t="str">
        <f t="shared" si="10"/>
        <v>123-503</v>
      </c>
      <c r="C643" s="1417" t="s">
        <v>9946</v>
      </c>
      <c r="D643" s="1993" t="s">
        <v>1782</v>
      </c>
    </row>
    <row r="644" spans="1:4" ht="15">
      <c r="A644" t="s">
        <v>9947</v>
      </c>
      <c r="B644" s="4662" t="str">
        <f t="shared" si="10"/>
        <v>123-801</v>
      </c>
      <c r="C644" s="1417" t="s">
        <v>9948</v>
      </c>
      <c r="D644" s="1993" t="s">
        <v>1782</v>
      </c>
    </row>
    <row r="645" spans="1:4" ht="15">
      <c r="A645" t="s">
        <v>9949</v>
      </c>
      <c r="B645" s="4662" t="str">
        <f t="shared" si="10"/>
        <v>123-803</v>
      </c>
      <c r="C645" s="1417" t="s">
        <v>9950</v>
      </c>
      <c r="D645" s="1993" t="s">
        <v>1782</v>
      </c>
    </row>
    <row r="646" spans="1:4" ht="15">
      <c r="A646" t="s">
        <v>9951</v>
      </c>
      <c r="B646" s="4662" t="str">
        <f t="shared" si="10"/>
        <v>123-804</v>
      </c>
      <c r="C646" s="1417" t="s">
        <v>9952</v>
      </c>
      <c r="D646" s="1993" t="s">
        <v>1782</v>
      </c>
    </row>
    <row r="647" spans="1:4" ht="15">
      <c r="A647" t="s">
        <v>9953</v>
      </c>
      <c r="B647" s="4662" t="str">
        <f t="shared" si="10"/>
        <v>123-805</v>
      </c>
      <c r="C647" s="1417" t="s">
        <v>9954</v>
      </c>
      <c r="D647" s="1993" t="s">
        <v>1782</v>
      </c>
    </row>
    <row r="648" spans="1:4" ht="15">
      <c r="A648" t="s">
        <v>9955</v>
      </c>
      <c r="B648" s="4662" t="str">
        <f t="shared" si="10"/>
        <v>123-806</v>
      </c>
      <c r="C648" s="1417" t="s">
        <v>9956</v>
      </c>
      <c r="D648" s="1993" t="s">
        <v>1782</v>
      </c>
    </row>
    <row r="649" spans="1:4" ht="15">
      <c r="A649" t="s">
        <v>9957</v>
      </c>
      <c r="B649" s="4662" t="str">
        <f t="shared" si="10"/>
        <v>123-807</v>
      </c>
      <c r="C649" s="1417" t="s">
        <v>9958</v>
      </c>
      <c r="D649" s="1993" t="s">
        <v>1782</v>
      </c>
    </row>
    <row r="650" spans="1:4" ht="15">
      <c r="A650" t="s">
        <v>3592</v>
      </c>
      <c r="B650" s="4662" t="str">
        <f t="shared" si="10"/>
        <v>123-905</v>
      </c>
      <c r="C650" s="1417" t="s">
        <v>390</v>
      </c>
      <c r="D650" s="1993" t="s">
        <v>1782</v>
      </c>
    </row>
    <row r="651" spans="1:4" ht="15">
      <c r="A651" t="s">
        <v>5951</v>
      </c>
      <c r="B651" s="4662" t="str">
        <f t="shared" si="10"/>
        <v>123-908</v>
      </c>
      <c r="C651" s="1417" t="s">
        <v>2690</v>
      </c>
      <c r="D651" s="1993" t="s">
        <v>1782</v>
      </c>
    </row>
    <row r="652" spans="1:4" ht="15">
      <c r="A652" t="s">
        <v>5952</v>
      </c>
      <c r="B652" s="4662" t="str">
        <f t="shared" si="10"/>
        <v>123-910</v>
      </c>
      <c r="C652" s="1417" t="s">
        <v>2691</v>
      </c>
      <c r="D652" s="1993" t="s">
        <v>1782</v>
      </c>
    </row>
    <row r="653" spans="1:4" ht="15">
      <c r="A653" t="s">
        <v>3593</v>
      </c>
      <c r="B653" s="4662" t="str">
        <f t="shared" si="10"/>
        <v>123-914</v>
      </c>
      <c r="C653" s="1417" t="s">
        <v>1734</v>
      </c>
      <c r="D653" s="1993" t="s">
        <v>1782</v>
      </c>
    </row>
    <row r="654" spans="1:4" ht="15">
      <c r="A654" t="s">
        <v>9959</v>
      </c>
      <c r="B654" s="4662" t="str">
        <f t="shared" si="10"/>
        <v>123-915</v>
      </c>
      <c r="C654" s="1417" t="s">
        <v>9960</v>
      </c>
      <c r="D654" s="1993" t="s">
        <v>1782</v>
      </c>
    </row>
    <row r="655" spans="1:4" ht="15">
      <c r="A655" t="s">
        <v>5954</v>
      </c>
      <c r="B655" s="4662" t="str">
        <f t="shared" si="10"/>
        <v>124-901</v>
      </c>
      <c r="C655" s="1417" t="s">
        <v>1738</v>
      </c>
      <c r="D655" s="1993" t="s">
        <v>1782</v>
      </c>
    </row>
    <row r="656" spans="1:4" ht="15">
      <c r="A656" t="s">
        <v>3594</v>
      </c>
      <c r="B656" s="4662" t="str">
        <f t="shared" si="10"/>
        <v>125-901</v>
      </c>
      <c r="C656" s="1417" t="s">
        <v>701</v>
      </c>
      <c r="D656" s="1993" t="s">
        <v>1782</v>
      </c>
    </row>
    <row r="657" spans="1:4" ht="15">
      <c r="A657" t="s">
        <v>3595</v>
      </c>
      <c r="B657" s="4662" t="str">
        <f t="shared" si="10"/>
        <v>125-902</v>
      </c>
      <c r="C657" s="1417" t="s">
        <v>2681</v>
      </c>
      <c r="D657" s="1993" t="s">
        <v>1782</v>
      </c>
    </row>
    <row r="658" spans="1:4" ht="15">
      <c r="A658" t="s">
        <v>3596</v>
      </c>
      <c r="B658" s="4662" t="str">
        <f t="shared" si="10"/>
        <v>125-903</v>
      </c>
      <c r="C658" s="1417" t="s">
        <v>1016</v>
      </c>
      <c r="D658" s="1993" t="s">
        <v>1782</v>
      </c>
    </row>
    <row r="659" spans="1:4" ht="15">
      <c r="A659" t="s">
        <v>3597</v>
      </c>
      <c r="B659" s="4662" t="str">
        <f t="shared" si="10"/>
        <v>125-905</v>
      </c>
      <c r="C659" s="1417" t="s">
        <v>2102</v>
      </c>
      <c r="D659" s="1993" t="s">
        <v>1782</v>
      </c>
    </row>
    <row r="660" spans="1:4" ht="15">
      <c r="A660" t="s">
        <v>6746</v>
      </c>
      <c r="B660" s="4662" t="str">
        <f t="shared" si="10"/>
        <v>125-906</v>
      </c>
      <c r="C660" s="1417" t="s">
        <v>1739</v>
      </c>
      <c r="D660" s="1993" t="s">
        <v>1782</v>
      </c>
    </row>
    <row r="661" spans="1:4" ht="15">
      <c r="A661" t="s">
        <v>9961</v>
      </c>
      <c r="B661" s="4662" t="str">
        <f t="shared" si="10"/>
        <v>126-801</v>
      </c>
      <c r="C661" s="1417" t="s">
        <v>9962</v>
      </c>
      <c r="D661" s="1993" t="s">
        <v>1782</v>
      </c>
    </row>
    <row r="662" spans="1:4" ht="15">
      <c r="A662" t="s">
        <v>3598</v>
      </c>
      <c r="B662" s="4662" t="str">
        <f t="shared" si="10"/>
        <v>126-901</v>
      </c>
      <c r="C662" s="1417" t="s">
        <v>1051</v>
      </c>
      <c r="D662" s="1993" t="s">
        <v>1782</v>
      </c>
    </row>
    <row r="663" spans="1:4" ht="15">
      <c r="A663" t="s">
        <v>3599</v>
      </c>
      <c r="B663" s="4662" t="str">
        <f t="shared" si="10"/>
        <v>126-902</v>
      </c>
      <c r="C663" s="1417" t="s">
        <v>1449</v>
      </c>
      <c r="D663" s="1993" t="s">
        <v>1782</v>
      </c>
    </row>
    <row r="664" spans="1:4" ht="15">
      <c r="A664" t="s">
        <v>5955</v>
      </c>
      <c r="B664" s="4662" t="str">
        <f t="shared" si="10"/>
        <v>126-903</v>
      </c>
      <c r="C664" s="1417" t="s">
        <v>1163</v>
      </c>
      <c r="D664" s="1993" t="s">
        <v>1782</v>
      </c>
    </row>
    <row r="665" spans="1:4" ht="15">
      <c r="A665" t="s">
        <v>5069</v>
      </c>
      <c r="B665" s="4662" t="str">
        <f t="shared" si="10"/>
        <v>126-904</v>
      </c>
      <c r="C665" s="1417" t="s">
        <v>865</v>
      </c>
      <c r="D665" s="1993" t="s">
        <v>1782</v>
      </c>
    </row>
    <row r="666" spans="1:4" ht="15">
      <c r="A666" t="s">
        <v>3600</v>
      </c>
      <c r="B666" s="4662" t="str">
        <f t="shared" si="10"/>
        <v>126-905</v>
      </c>
      <c r="C666" s="1417" t="s">
        <v>407</v>
      </c>
      <c r="D666" s="1993" t="s">
        <v>1782</v>
      </c>
    </row>
    <row r="667" spans="1:4" ht="15">
      <c r="A667" t="s">
        <v>3601</v>
      </c>
      <c r="B667" s="4662" t="str">
        <f t="shared" si="10"/>
        <v>126-906</v>
      </c>
      <c r="C667" s="1417" t="s">
        <v>2034</v>
      </c>
      <c r="D667" s="1993" t="s">
        <v>1782</v>
      </c>
    </row>
    <row r="668" spans="1:4" ht="15">
      <c r="A668" t="s">
        <v>3602</v>
      </c>
      <c r="B668" s="4662" t="str">
        <f t="shared" si="10"/>
        <v>126-907</v>
      </c>
      <c r="C668" s="1417" t="s">
        <v>2695</v>
      </c>
      <c r="D668" s="1993" t="s">
        <v>1782</v>
      </c>
    </row>
    <row r="669" spans="1:4" ht="15">
      <c r="A669" t="s">
        <v>3603</v>
      </c>
      <c r="B669" s="4662" t="str">
        <f t="shared" si="10"/>
        <v>126-908</v>
      </c>
      <c r="C669" s="1417" t="s">
        <v>2644</v>
      </c>
      <c r="D669" s="1993" t="s">
        <v>1782</v>
      </c>
    </row>
    <row r="670" spans="1:4" ht="15">
      <c r="A670" t="s">
        <v>3604</v>
      </c>
      <c r="B670" s="4662" t="str">
        <f t="shared" si="10"/>
        <v>126-911</v>
      </c>
      <c r="C670" s="1417" t="s">
        <v>2322</v>
      </c>
      <c r="D670" s="1993" t="s">
        <v>1782</v>
      </c>
    </row>
    <row r="671" spans="1:4" ht="15">
      <c r="A671" t="s">
        <v>5956</v>
      </c>
      <c r="B671" s="4662" t="str">
        <f t="shared" si="10"/>
        <v>127-901</v>
      </c>
      <c r="C671" s="1417" t="s">
        <v>2417</v>
      </c>
      <c r="D671" s="1993" t="s">
        <v>1782</v>
      </c>
    </row>
    <row r="672" spans="1:4" ht="15">
      <c r="A672" t="s">
        <v>5957</v>
      </c>
      <c r="B672" s="4662" t="str">
        <f t="shared" si="10"/>
        <v>127-903</v>
      </c>
      <c r="C672" s="1417" t="s">
        <v>2035</v>
      </c>
      <c r="D672" s="1993" t="s">
        <v>1782</v>
      </c>
    </row>
    <row r="673" spans="1:4" ht="15">
      <c r="A673" t="s">
        <v>5958</v>
      </c>
      <c r="B673" s="4662" t="str">
        <f t="shared" si="10"/>
        <v>127-904</v>
      </c>
      <c r="C673" s="1417" t="s">
        <v>829</v>
      </c>
      <c r="D673" s="1993" t="s">
        <v>1782</v>
      </c>
    </row>
    <row r="674" spans="1:4" ht="15">
      <c r="A674" t="s">
        <v>3605</v>
      </c>
      <c r="B674" s="4662" t="str">
        <f t="shared" si="10"/>
        <v>127-905</v>
      </c>
      <c r="C674" s="1417" t="s">
        <v>144</v>
      </c>
      <c r="D674" s="1993" t="s">
        <v>1782</v>
      </c>
    </row>
    <row r="675" spans="1:4" ht="15">
      <c r="A675" t="s">
        <v>3606</v>
      </c>
      <c r="B675" s="4662" t="str">
        <f t="shared" si="10"/>
        <v>127-906</v>
      </c>
      <c r="C675" s="1417" t="s">
        <v>1939</v>
      </c>
      <c r="D675" s="1993" t="s">
        <v>1782</v>
      </c>
    </row>
    <row r="676" spans="1:4" ht="15">
      <c r="A676" t="s">
        <v>3609</v>
      </c>
      <c r="B676" s="4662" t="str">
        <f t="shared" si="10"/>
        <v>129-901</v>
      </c>
      <c r="C676" s="1417" t="s">
        <v>416</v>
      </c>
      <c r="D676" s="1993" t="s">
        <v>1782</v>
      </c>
    </row>
    <row r="677" spans="1:4" ht="15">
      <c r="A677" t="s">
        <v>3610</v>
      </c>
      <c r="B677" s="4662" t="str">
        <f t="shared" si="10"/>
        <v>129-902</v>
      </c>
      <c r="C677" s="1417" t="s">
        <v>111</v>
      </c>
      <c r="D677" s="1993" t="s">
        <v>1782</v>
      </c>
    </row>
    <row r="678" spans="1:4" ht="15">
      <c r="A678" t="s">
        <v>3611</v>
      </c>
      <c r="B678" s="4662" t="str">
        <f t="shared" si="10"/>
        <v>129-903</v>
      </c>
      <c r="C678" s="1417" t="s">
        <v>411</v>
      </c>
      <c r="D678" s="1993" t="s">
        <v>1782</v>
      </c>
    </row>
    <row r="679" spans="1:4" ht="15">
      <c r="A679" t="s">
        <v>3612</v>
      </c>
      <c r="B679" s="4662" t="str">
        <f t="shared" si="10"/>
        <v>129-904</v>
      </c>
      <c r="C679" s="1417" t="s">
        <v>413</v>
      </c>
      <c r="D679" s="1993" t="s">
        <v>1782</v>
      </c>
    </row>
    <row r="680" spans="1:4" ht="15">
      <c r="A680" t="s">
        <v>5960</v>
      </c>
      <c r="B680" s="4662" t="str">
        <f t="shared" si="10"/>
        <v>129-905</v>
      </c>
      <c r="C680" s="1417" t="s">
        <v>2037</v>
      </c>
      <c r="D680" s="1993" t="s">
        <v>1782</v>
      </c>
    </row>
    <row r="681" spans="1:4" ht="15">
      <c r="A681" t="s">
        <v>5961</v>
      </c>
      <c r="B681" s="4662" t="str">
        <f t="shared" si="10"/>
        <v>129-906</v>
      </c>
      <c r="C681" s="1417" t="s">
        <v>2038</v>
      </c>
      <c r="D681" s="1993" t="s">
        <v>1782</v>
      </c>
    </row>
    <row r="682" spans="1:4" ht="15">
      <c r="A682" t="s">
        <v>3613</v>
      </c>
      <c r="B682" s="4662" t="str">
        <f t="shared" si="10"/>
        <v>129-910</v>
      </c>
      <c r="C682" s="1417" t="s">
        <v>1246</v>
      </c>
      <c r="D682" s="1993" t="s">
        <v>1782</v>
      </c>
    </row>
    <row r="683" spans="1:4" ht="15">
      <c r="A683" t="s">
        <v>9963</v>
      </c>
      <c r="B683" s="4662" t="str">
        <f t="shared" si="10"/>
        <v>130-801</v>
      </c>
      <c r="C683" s="1417" t="s">
        <v>9964</v>
      </c>
      <c r="D683" s="1993" t="s">
        <v>1782</v>
      </c>
    </row>
    <row r="684" spans="1:4" ht="15">
      <c r="A684" t="s">
        <v>3614</v>
      </c>
      <c r="B684" s="4662" t="str">
        <f t="shared" si="10"/>
        <v>133-901</v>
      </c>
      <c r="C684" s="1417" t="s">
        <v>659</v>
      </c>
      <c r="D684" s="1993" t="s">
        <v>1782</v>
      </c>
    </row>
    <row r="685" spans="1:4" ht="15">
      <c r="A685" t="s">
        <v>5966</v>
      </c>
      <c r="B685" s="4662" t="str">
        <f t="shared" si="10"/>
        <v>133-903</v>
      </c>
      <c r="C685" s="1417" t="s">
        <v>2044</v>
      </c>
      <c r="D685" s="1993" t="s">
        <v>1782</v>
      </c>
    </row>
    <row r="686" spans="1:4" ht="15">
      <c r="A686" t="s">
        <v>5967</v>
      </c>
      <c r="B686" s="4662" t="str">
        <f t="shared" si="10"/>
        <v>133-904</v>
      </c>
      <c r="C686" s="1417" t="s">
        <v>2045</v>
      </c>
      <c r="D686" s="1993" t="s">
        <v>1782</v>
      </c>
    </row>
    <row r="687" spans="1:4" ht="15">
      <c r="A687" t="s">
        <v>6749</v>
      </c>
      <c r="B687" s="4662" t="str">
        <f t="shared" si="10"/>
        <v>134-901</v>
      </c>
      <c r="C687" s="1417" t="s">
        <v>2047</v>
      </c>
      <c r="D687" s="1993" t="s">
        <v>1782</v>
      </c>
    </row>
    <row r="688" spans="1:4" ht="15">
      <c r="A688" t="s">
        <v>6750</v>
      </c>
      <c r="B688" s="4662" t="str">
        <f t="shared" si="10"/>
        <v>136-901</v>
      </c>
      <c r="C688" s="1417" t="s">
        <v>2049</v>
      </c>
      <c r="D688" s="1993" t="s">
        <v>1782</v>
      </c>
    </row>
    <row r="689" spans="1:4" ht="15">
      <c r="A689" t="s">
        <v>3615</v>
      </c>
      <c r="B689" s="4662" t="str">
        <f t="shared" si="10"/>
        <v>137-901</v>
      </c>
      <c r="C689" s="1417" t="s">
        <v>2016</v>
      </c>
      <c r="D689" s="1993" t="s">
        <v>1782</v>
      </c>
    </row>
    <row r="690" spans="1:4" ht="15">
      <c r="A690" t="s">
        <v>6751</v>
      </c>
      <c r="B690" s="4662" t="str">
        <f t="shared" si="10"/>
        <v>137-902</v>
      </c>
      <c r="C690" s="1417" t="s">
        <v>2050</v>
      </c>
      <c r="D690" s="1993" t="s">
        <v>1782</v>
      </c>
    </row>
    <row r="691" spans="1:4" ht="15">
      <c r="A691" t="s">
        <v>6752</v>
      </c>
      <c r="B691" s="4662" t="str">
        <f t="shared" si="10"/>
        <v>137-903</v>
      </c>
      <c r="C691" s="1417" t="s">
        <v>2051</v>
      </c>
      <c r="D691" s="1993" t="s">
        <v>1782</v>
      </c>
    </row>
    <row r="692" spans="1:4" ht="15">
      <c r="A692" t="s">
        <v>5969</v>
      </c>
      <c r="B692" s="4662" t="str">
        <f t="shared" si="10"/>
        <v>137-904</v>
      </c>
      <c r="C692" s="1417" t="s">
        <v>2052</v>
      </c>
      <c r="D692" s="1993" t="s">
        <v>1782</v>
      </c>
    </row>
    <row r="693" spans="1:4" ht="15">
      <c r="A693" t="s">
        <v>3616</v>
      </c>
      <c r="B693" s="4662" t="str">
        <f t="shared" si="10"/>
        <v>138-902</v>
      </c>
      <c r="C693" s="1417" t="s">
        <v>1691</v>
      </c>
      <c r="D693" s="1993" t="s">
        <v>1782</v>
      </c>
    </row>
    <row r="694" spans="1:4" ht="15">
      <c r="A694" t="s">
        <v>6753</v>
      </c>
      <c r="B694" s="4662" t="str">
        <f t="shared" si="10"/>
        <v>138-903</v>
      </c>
      <c r="C694" s="1417" t="s">
        <v>2053</v>
      </c>
      <c r="D694" s="1993" t="s">
        <v>1782</v>
      </c>
    </row>
    <row r="695" spans="1:4" ht="15">
      <c r="A695" t="s">
        <v>6754</v>
      </c>
      <c r="B695" s="4662" t="str">
        <f t="shared" si="10"/>
        <v>138-904</v>
      </c>
      <c r="C695" s="1417" t="s">
        <v>2054</v>
      </c>
      <c r="D695" s="1993" t="s">
        <v>1782</v>
      </c>
    </row>
    <row r="696" spans="1:4" ht="15">
      <c r="A696" t="s">
        <v>3617</v>
      </c>
      <c r="B696" s="4662" t="str">
        <f t="shared" si="10"/>
        <v>139-908</v>
      </c>
      <c r="C696" s="1417" t="s">
        <v>612</v>
      </c>
      <c r="D696" s="1993" t="s">
        <v>1782</v>
      </c>
    </row>
    <row r="697" spans="1:4" ht="15">
      <c r="A697" t="s">
        <v>3618</v>
      </c>
      <c r="B697" s="4662" t="str">
        <f t="shared" si="10"/>
        <v>139-909</v>
      </c>
      <c r="C697" s="1417" t="s">
        <v>198</v>
      </c>
      <c r="D697" s="1993" t="s">
        <v>1782</v>
      </c>
    </row>
    <row r="698" spans="1:4" ht="15">
      <c r="A698" t="s">
        <v>5971</v>
      </c>
      <c r="B698" s="4662" t="str">
        <f t="shared" si="10"/>
        <v>139-911</v>
      </c>
      <c r="C698" s="1417" t="s">
        <v>2429</v>
      </c>
      <c r="D698" s="1993" t="s">
        <v>1782</v>
      </c>
    </row>
    <row r="699" spans="1:4" ht="15">
      <c r="A699" t="s">
        <v>3619</v>
      </c>
      <c r="B699" s="4662" t="str">
        <f t="shared" si="10"/>
        <v>139-912</v>
      </c>
      <c r="C699" s="1417" t="s">
        <v>2101</v>
      </c>
      <c r="D699" s="1993" t="s">
        <v>1782</v>
      </c>
    </row>
    <row r="700" spans="1:4" ht="15">
      <c r="A700" t="s">
        <v>6755</v>
      </c>
      <c r="B700" s="4662" t="str">
        <f t="shared" si="10"/>
        <v>140-901</v>
      </c>
      <c r="C700" s="1417" t="s">
        <v>2430</v>
      </c>
      <c r="D700" s="1993" t="s">
        <v>1782</v>
      </c>
    </row>
    <row r="701" spans="1:4" ht="15">
      <c r="A701" t="s">
        <v>6756</v>
      </c>
      <c r="B701" s="4662" t="str">
        <f t="shared" si="10"/>
        <v>140-904</v>
      </c>
      <c r="C701" s="1417" t="s">
        <v>943</v>
      </c>
      <c r="D701" s="1993" t="s">
        <v>1782</v>
      </c>
    </row>
    <row r="702" spans="1:4" ht="15">
      <c r="A702" t="s">
        <v>5142</v>
      </c>
      <c r="B702" s="4662" t="str">
        <f t="shared" si="10"/>
        <v>140-905</v>
      </c>
      <c r="C702" s="1417" t="s">
        <v>826</v>
      </c>
      <c r="D702" s="1993" t="s">
        <v>1782</v>
      </c>
    </row>
    <row r="703" spans="1:4" ht="15">
      <c r="A703" t="s">
        <v>9965</v>
      </c>
      <c r="B703" s="4662" t="str">
        <f t="shared" si="10"/>
        <v>140-906</v>
      </c>
      <c r="C703" s="1417" t="s">
        <v>944</v>
      </c>
      <c r="D703" s="1993" t="s">
        <v>1782</v>
      </c>
    </row>
    <row r="704" spans="1:4" ht="15">
      <c r="A704" t="s">
        <v>6757</v>
      </c>
      <c r="B704" s="4662" t="str">
        <f t="shared" si="10"/>
        <v>140-907</v>
      </c>
      <c r="C704" s="1417" t="s">
        <v>945</v>
      </c>
      <c r="D704" s="1993" t="s">
        <v>1782</v>
      </c>
    </row>
    <row r="705" spans="1:4" ht="15">
      <c r="A705" t="s">
        <v>9966</v>
      </c>
      <c r="B705" s="4662" t="str">
        <f t="shared" si="10"/>
        <v>141-801</v>
      </c>
      <c r="C705" s="1417" t="s">
        <v>9967</v>
      </c>
      <c r="D705" s="1993" t="s">
        <v>1782</v>
      </c>
    </row>
    <row r="706" spans="1:4" ht="15">
      <c r="A706" t="s">
        <v>3620</v>
      </c>
      <c r="B706" s="4662" t="str">
        <f t="shared" ref="B706:B769" si="11">CONCATENATE(LEFT(RIGHT(CONCATENATE("000",A706),6),3),"-",(RIGHT(RIGHT(CONCATENATE("000",A706),6),3)))</f>
        <v>141-901</v>
      </c>
      <c r="C706" s="1417" t="s">
        <v>947</v>
      </c>
      <c r="D706" s="1993" t="s">
        <v>1782</v>
      </c>
    </row>
    <row r="707" spans="1:4" ht="15">
      <c r="A707" t="s">
        <v>5973</v>
      </c>
      <c r="B707" s="4662" t="str">
        <f t="shared" si="11"/>
        <v>141-902</v>
      </c>
      <c r="C707" s="1417" t="s">
        <v>948</v>
      </c>
      <c r="D707" s="1993" t="s">
        <v>1782</v>
      </c>
    </row>
    <row r="708" spans="1:4" ht="15">
      <c r="A708" t="s">
        <v>5974</v>
      </c>
      <c r="B708" s="4662" t="str">
        <f t="shared" si="11"/>
        <v>143-901</v>
      </c>
      <c r="C708" s="1417" t="s">
        <v>949</v>
      </c>
      <c r="D708" s="1993" t="s">
        <v>1782</v>
      </c>
    </row>
    <row r="709" spans="1:4" ht="15">
      <c r="A709" t="s">
        <v>6760</v>
      </c>
      <c r="B709" s="4662" t="str">
        <f t="shared" si="11"/>
        <v>143-904</v>
      </c>
      <c r="C709" s="1417" t="s">
        <v>952</v>
      </c>
      <c r="D709" s="1993" t="s">
        <v>1782</v>
      </c>
    </row>
    <row r="710" spans="1:4" ht="15">
      <c r="A710" t="s">
        <v>6761</v>
      </c>
      <c r="B710" s="4662" t="str">
        <f t="shared" si="11"/>
        <v>143-905</v>
      </c>
      <c r="C710" s="1417" t="s">
        <v>953</v>
      </c>
      <c r="D710" s="1993" t="s">
        <v>1782</v>
      </c>
    </row>
    <row r="711" spans="1:4" ht="15">
      <c r="A711" t="s">
        <v>5976</v>
      </c>
      <c r="B711" s="4662" t="str">
        <f t="shared" si="11"/>
        <v>144-901</v>
      </c>
      <c r="C711" s="1417" t="s">
        <v>955</v>
      </c>
      <c r="D711" s="1993" t="s">
        <v>1782</v>
      </c>
    </row>
    <row r="712" spans="1:4" ht="15">
      <c r="A712" t="s">
        <v>5977</v>
      </c>
      <c r="B712" s="4662" t="str">
        <f t="shared" si="11"/>
        <v>144-902</v>
      </c>
      <c r="C712" s="1417" t="s">
        <v>956</v>
      </c>
      <c r="D712" s="1993" t="s">
        <v>1782</v>
      </c>
    </row>
    <row r="713" spans="1:4" ht="15">
      <c r="A713" t="s">
        <v>6762</v>
      </c>
      <c r="B713" s="4662" t="str">
        <f t="shared" si="11"/>
        <v>144-903</v>
      </c>
      <c r="C713" s="1417" t="s">
        <v>957</v>
      </c>
      <c r="D713" s="1993" t="s">
        <v>1782</v>
      </c>
    </row>
    <row r="714" spans="1:4" ht="15">
      <c r="A714" t="s">
        <v>9968</v>
      </c>
      <c r="B714" s="4662" t="str">
        <f t="shared" si="11"/>
        <v>144-905</v>
      </c>
      <c r="C714" s="1417" t="s">
        <v>9969</v>
      </c>
      <c r="D714" s="1993" t="s">
        <v>1782</v>
      </c>
    </row>
    <row r="715" spans="1:4" ht="15">
      <c r="A715" t="s">
        <v>5978</v>
      </c>
      <c r="B715" s="4662" t="str">
        <f t="shared" si="11"/>
        <v>145-901</v>
      </c>
      <c r="C715" s="1417" t="s">
        <v>958</v>
      </c>
      <c r="D715" s="1993" t="s">
        <v>1782</v>
      </c>
    </row>
    <row r="716" spans="1:4" ht="15">
      <c r="A716" t="s">
        <v>5979</v>
      </c>
      <c r="B716" s="4662" t="str">
        <f t="shared" si="11"/>
        <v>145-902</v>
      </c>
      <c r="C716" s="1417" t="s">
        <v>1824</v>
      </c>
      <c r="D716" s="1993" t="s">
        <v>1782</v>
      </c>
    </row>
    <row r="717" spans="1:4" ht="15">
      <c r="A717" t="s">
        <v>5980</v>
      </c>
      <c r="B717" s="4662" t="str">
        <f t="shared" si="11"/>
        <v>145-906</v>
      </c>
      <c r="C717" s="1417" t="s">
        <v>1825</v>
      </c>
      <c r="D717" s="1993" t="s">
        <v>1782</v>
      </c>
    </row>
    <row r="718" spans="1:4" ht="15">
      <c r="A718" t="s">
        <v>5981</v>
      </c>
      <c r="B718" s="4662" t="str">
        <f t="shared" si="11"/>
        <v>145-907</v>
      </c>
      <c r="C718" s="1417" t="s">
        <v>1826</v>
      </c>
      <c r="D718" s="1993" t="s">
        <v>1782</v>
      </c>
    </row>
    <row r="719" spans="1:4" ht="15">
      <c r="A719" t="s">
        <v>3622</v>
      </c>
      <c r="B719" s="4662" t="str">
        <f t="shared" si="11"/>
        <v>146-901</v>
      </c>
      <c r="C719" s="1417" t="s">
        <v>1164</v>
      </c>
      <c r="D719" s="1993" t="s">
        <v>1782</v>
      </c>
    </row>
    <row r="720" spans="1:4" ht="15">
      <c r="A720" t="s">
        <v>3623</v>
      </c>
      <c r="B720" s="4662" t="str">
        <f t="shared" si="11"/>
        <v>146-902</v>
      </c>
      <c r="C720" s="1417" t="s">
        <v>2664</v>
      </c>
      <c r="D720" s="1993" t="s">
        <v>1782</v>
      </c>
    </row>
    <row r="721" spans="1:4" ht="15">
      <c r="A721" t="s">
        <v>3624</v>
      </c>
      <c r="B721" s="4662" t="str">
        <f t="shared" si="11"/>
        <v>146-904</v>
      </c>
      <c r="C721" s="1417" t="s">
        <v>1735</v>
      </c>
      <c r="D721" s="1993" t="s">
        <v>1782</v>
      </c>
    </row>
    <row r="722" spans="1:4" ht="15">
      <c r="A722" t="s">
        <v>3625</v>
      </c>
      <c r="B722" s="4662" t="str">
        <f t="shared" si="11"/>
        <v>146-905</v>
      </c>
      <c r="C722" s="1417" t="s">
        <v>2384</v>
      </c>
      <c r="D722" s="1993" t="s">
        <v>1782</v>
      </c>
    </row>
    <row r="723" spans="1:4" ht="15">
      <c r="A723" t="s">
        <v>5984</v>
      </c>
      <c r="B723" s="4662" t="str">
        <f t="shared" si="11"/>
        <v>146-906</v>
      </c>
      <c r="C723" s="1417" t="s">
        <v>543</v>
      </c>
      <c r="D723" s="1993" t="s">
        <v>1782</v>
      </c>
    </row>
    <row r="724" spans="1:4" ht="15">
      <c r="A724" t="s">
        <v>5985</v>
      </c>
      <c r="B724" s="4662" t="str">
        <f t="shared" si="11"/>
        <v>146-907</v>
      </c>
      <c r="C724" s="1417" t="s">
        <v>544</v>
      </c>
      <c r="D724" s="1993" t="s">
        <v>1782</v>
      </c>
    </row>
    <row r="725" spans="1:4" ht="15">
      <c r="A725" t="s">
        <v>3626</v>
      </c>
      <c r="B725" s="4662" t="str">
        <f t="shared" si="11"/>
        <v>147-901</v>
      </c>
      <c r="C725" s="1417" t="s">
        <v>1554</v>
      </c>
      <c r="D725" s="1993" t="s">
        <v>1782</v>
      </c>
    </row>
    <row r="726" spans="1:4" ht="15">
      <c r="A726" t="s">
        <v>5987</v>
      </c>
      <c r="B726" s="4662" t="str">
        <f t="shared" si="11"/>
        <v>147-903</v>
      </c>
      <c r="C726" s="1417" t="s">
        <v>546</v>
      </c>
      <c r="D726" s="1993" t="s">
        <v>1782</v>
      </c>
    </row>
    <row r="727" spans="1:4" ht="15">
      <c r="A727" t="s">
        <v>5988</v>
      </c>
      <c r="B727" s="4662" t="str">
        <f t="shared" si="11"/>
        <v>148-901</v>
      </c>
      <c r="C727" s="1417" t="s">
        <v>547</v>
      </c>
      <c r="D727" s="1993" t="s">
        <v>1782</v>
      </c>
    </row>
    <row r="728" spans="1:4" ht="15">
      <c r="A728" t="s">
        <v>5991</v>
      </c>
      <c r="B728" s="4662" t="str">
        <f t="shared" si="11"/>
        <v>148-905</v>
      </c>
      <c r="C728" s="1417" t="s">
        <v>550</v>
      </c>
      <c r="D728" s="1993" t="s">
        <v>1782</v>
      </c>
    </row>
    <row r="729" spans="1:4" ht="15">
      <c r="A729" t="s">
        <v>5992</v>
      </c>
      <c r="B729" s="4662" t="str">
        <f t="shared" si="11"/>
        <v>149-901</v>
      </c>
      <c r="C729" s="1417" t="s">
        <v>551</v>
      </c>
      <c r="D729" s="1993" t="s">
        <v>1782</v>
      </c>
    </row>
    <row r="730" spans="1:4" ht="15">
      <c r="A730" t="s">
        <v>9970</v>
      </c>
      <c r="B730" s="4662" t="str">
        <f t="shared" si="11"/>
        <v>152-801</v>
      </c>
      <c r="C730" s="1417" t="s">
        <v>9971</v>
      </c>
      <c r="D730" s="1993" t="s">
        <v>1782</v>
      </c>
    </row>
    <row r="731" spans="1:4" ht="15">
      <c r="A731" t="s">
        <v>9972</v>
      </c>
      <c r="B731" s="4662" t="str">
        <f t="shared" si="11"/>
        <v>152-802</v>
      </c>
      <c r="C731" s="1417" t="s">
        <v>9973</v>
      </c>
      <c r="D731" s="1993" t="s">
        <v>1782</v>
      </c>
    </row>
    <row r="732" spans="1:4" ht="15">
      <c r="A732" t="s">
        <v>9974</v>
      </c>
      <c r="B732" s="4662" t="str">
        <f t="shared" si="11"/>
        <v>152-803</v>
      </c>
      <c r="C732" s="1417" t="s">
        <v>9975</v>
      </c>
      <c r="D732" s="1993" t="s">
        <v>1782</v>
      </c>
    </row>
    <row r="733" spans="1:4" ht="15">
      <c r="A733" t="s">
        <v>9976</v>
      </c>
      <c r="B733" s="4662" t="str">
        <f t="shared" si="11"/>
        <v>152-805</v>
      </c>
      <c r="C733" s="1417" t="s">
        <v>9977</v>
      </c>
      <c r="D733" s="1993" t="s">
        <v>1782</v>
      </c>
    </row>
    <row r="734" spans="1:4" ht="15">
      <c r="A734" t="s">
        <v>9978</v>
      </c>
      <c r="B734" s="4662" t="str">
        <f t="shared" si="11"/>
        <v>152-806</v>
      </c>
      <c r="C734" s="1417" t="s">
        <v>9979</v>
      </c>
      <c r="D734" s="1993" t="s">
        <v>1782</v>
      </c>
    </row>
    <row r="735" spans="1:4" ht="15">
      <c r="A735" t="s">
        <v>5163</v>
      </c>
      <c r="B735" s="4662" t="str">
        <f t="shared" si="11"/>
        <v>152-901</v>
      </c>
      <c r="C735" s="1417" t="s">
        <v>586</v>
      </c>
      <c r="D735" s="1993" t="s">
        <v>1782</v>
      </c>
    </row>
    <row r="736" spans="1:4" ht="15">
      <c r="A736" t="s">
        <v>6763</v>
      </c>
      <c r="B736" s="4662" t="str">
        <f t="shared" si="11"/>
        <v>152-902</v>
      </c>
      <c r="C736" s="1417" t="s">
        <v>554</v>
      </c>
      <c r="D736" s="1993" t="s">
        <v>1782</v>
      </c>
    </row>
    <row r="737" spans="1:4" ht="15">
      <c r="A737" t="s">
        <v>5995</v>
      </c>
      <c r="B737" s="4662" t="str">
        <f t="shared" si="11"/>
        <v>152-903</v>
      </c>
      <c r="C737" s="1417" t="s">
        <v>555</v>
      </c>
      <c r="D737" s="1993" t="s">
        <v>1782</v>
      </c>
    </row>
    <row r="738" spans="1:4" ht="15">
      <c r="A738" t="s">
        <v>3627</v>
      </c>
      <c r="B738" s="4662" t="str">
        <f t="shared" si="11"/>
        <v>152-906</v>
      </c>
      <c r="C738" s="1417" t="s">
        <v>587</v>
      </c>
      <c r="D738" s="1993" t="s">
        <v>1782</v>
      </c>
    </row>
    <row r="739" spans="1:4" ht="15">
      <c r="A739" t="s">
        <v>3628</v>
      </c>
      <c r="B739" s="4662" t="str">
        <f t="shared" si="11"/>
        <v>152-907</v>
      </c>
      <c r="C739" s="1417" t="s">
        <v>2303</v>
      </c>
      <c r="D739" s="1993" t="s">
        <v>1782</v>
      </c>
    </row>
    <row r="740" spans="1:4" ht="15">
      <c r="A740" t="s">
        <v>5996</v>
      </c>
      <c r="B740" s="4662" t="str">
        <f t="shared" si="11"/>
        <v>152-908</v>
      </c>
      <c r="C740" s="1417" t="s">
        <v>556</v>
      </c>
      <c r="D740" s="1993" t="s">
        <v>1782</v>
      </c>
    </row>
    <row r="741" spans="1:4" ht="15">
      <c r="A741" t="s">
        <v>3629</v>
      </c>
      <c r="B741" s="4662" t="str">
        <f t="shared" si="11"/>
        <v>152-909</v>
      </c>
      <c r="C741" s="1417" t="s">
        <v>1248</v>
      </c>
      <c r="D741" s="1993" t="s">
        <v>1782</v>
      </c>
    </row>
    <row r="742" spans="1:4" ht="15">
      <c r="A742" t="s">
        <v>3630</v>
      </c>
      <c r="B742" s="4662" t="str">
        <f t="shared" si="11"/>
        <v>152-910</v>
      </c>
      <c r="C742" s="1417" t="s">
        <v>557</v>
      </c>
      <c r="D742" s="1993" t="s">
        <v>1782</v>
      </c>
    </row>
    <row r="743" spans="1:4" ht="15">
      <c r="A743" t="s">
        <v>5997</v>
      </c>
      <c r="B743" s="4662" t="str">
        <f t="shared" si="11"/>
        <v>153-903</v>
      </c>
      <c r="C743" s="1417" t="s">
        <v>558</v>
      </c>
      <c r="D743" s="1993" t="s">
        <v>1782</v>
      </c>
    </row>
    <row r="744" spans="1:4" ht="15">
      <c r="A744" t="s">
        <v>6764</v>
      </c>
      <c r="B744" s="4662" t="str">
        <f t="shared" si="11"/>
        <v>153-904</v>
      </c>
      <c r="C744" s="1417" t="s">
        <v>559</v>
      </c>
      <c r="D744" s="1993" t="s">
        <v>1782</v>
      </c>
    </row>
    <row r="745" spans="1:4" ht="15">
      <c r="A745" t="s">
        <v>5998</v>
      </c>
      <c r="B745" s="4662" t="str">
        <f t="shared" si="11"/>
        <v>153-905</v>
      </c>
      <c r="C745" s="1417" t="s">
        <v>560</v>
      </c>
      <c r="D745" s="1993" t="s">
        <v>1782</v>
      </c>
    </row>
    <row r="746" spans="1:4" ht="15">
      <c r="A746" t="s">
        <v>6765</v>
      </c>
      <c r="B746" s="4662" t="str">
        <f t="shared" si="11"/>
        <v>153-907</v>
      </c>
      <c r="C746" s="1417" t="s">
        <v>561</v>
      </c>
      <c r="D746" s="1993" t="s">
        <v>1782</v>
      </c>
    </row>
    <row r="747" spans="1:4" ht="15">
      <c r="A747" t="s">
        <v>3631</v>
      </c>
      <c r="B747" s="4662" t="str">
        <f t="shared" si="11"/>
        <v>154-901</v>
      </c>
      <c r="C747" s="1417" t="s">
        <v>37</v>
      </c>
      <c r="D747" s="1993" t="s">
        <v>1782</v>
      </c>
    </row>
    <row r="748" spans="1:4" ht="15">
      <c r="A748" t="s">
        <v>3632</v>
      </c>
      <c r="B748" s="4662" t="str">
        <f t="shared" si="11"/>
        <v>154-903</v>
      </c>
      <c r="C748" s="1417" t="s">
        <v>562</v>
      </c>
      <c r="D748" s="1993" t="s">
        <v>1782</v>
      </c>
    </row>
    <row r="749" spans="1:4" ht="15">
      <c r="A749" t="s">
        <v>5999</v>
      </c>
      <c r="B749" s="4662" t="str">
        <f t="shared" si="11"/>
        <v>155-901</v>
      </c>
      <c r="C749" s="1417" t="s">
        <v>563</v>
      </c>
      <c r="D749" s="1993" t="s">
        <v>1782</v>
      </c>
    </row>
    <row r="750" spans="1:4" ht="15">
      <c r="A750" t="s">
        <v>6002</v>
      </c>
      <c r="B750" s="4662" t="str">
        <f t="shared" si="11"/>
        <v>157-901</v>
      </c>
      <c r="C750" s="1417" t="s">
        <v>566</v>
      </c>
      <c r="D750" s="1993" t="s">
        <v>1782</v>
      </c>
    </row>
    <row r="751" spans="1:4" ht="15">
      <c r="A751" t="s">
        <v>6003</v>
      </c>
      <c r="B751" s="4662" t="str">
        <f t="shared" si="11"/>
        <v>158-901</v>
      </c>
      <c r="C751" s="1417" t="s">
        <v>567</v>
      </c>
      <c r="D751" s="1993" t="s">
        <v>1782</v>
      </c>
    </row>
    <row r="752" spans="1:4" ht="15">
      <c r="A752" t="s">
        <v>6766</v>
      </c>
      <c r="B752" s="4662" t="str">
        <f t="shared" si="11"/>
        <v>158-906</v>
      </c>
      <c r="C752" s="1417" t="s">
        <v>1748</v>
      </c>
      <c r="D752" s="1993" t="s">
        <v>1782</v>
      </c>
    </row>
    <row r="753" spans="1:4" ht="15">
      <c r="A753" t="s">
        <v>3633</v>
      </c>
      <c r="B753" s="4662" t="str">
        <f t="shared" si="11"/>
        <v>159-901</v>
      </c>
      <c r="C753" s="1417" t="s">
        <v>1062</v>
      </c>
      <c r="D753" s="1993" t="s">
        <v>1782</v>
      </c>
    </row>
    <row r="754" spans="1:4" ht="15">
      <c r="A754" t="s">
        <v>3634</v>
      </c>
      <c r="B754" s="4662" t="str">
        <f t="shared" si="11"/>
        <v>160-901</v>
      </c>
      <c r="C754" s="1417" t="s">
        <v>1854</v>
      </c>
      <c r="D754" s="1993" t="s">
        <v>1782</v>
      </c>
    </row>
    <row r="755" spans="1:4" ht="15">
      <c r="A755" t="s">
        <v>6767</v>
      </c>
      <c r="B755" s="4662" t="str">
        <f t="shared" si="11"/>
        <v>160-904</v>
      </c>
      <c r="C755" s="1417" t="s">
        <v>1749</v>
      </c>
      <c r="D755" s="1993" t="s">
        <v>1782</v>
      </c>
    </row>
    <row r="756" spans="1:4" ht="15">
      <c r="A756" t="s">
        <v>3635</v>
      </c>
      <c r="B756" s="4662" t="str">
        <f t="shared" si="11"/>
        <v>160-905</v>
      </c>
      <c r="C756" s="1417" t="s">
        <v>2228</v>
      </c>
      <c r="D756" s="1993" t="s">
        <v>1782</v>
      </c>
    </row>
    <row r="757" spans="1:4" ht="15">
      <c r="A757" t="s">
        <v>9980</v>
      </c>
      <c r="B757" s="4662" t="str">
        <f t="shared" si="11"/>
        <v>161-801</v>
      </c>
      <c r="C757" s="1417" t="s">
        <v>9981</v>
      </c>
      <c r="D757" s="1993" t="s">
        <v>1782</v>
      </c>
    </row>
    <row r="758" spans="1:4" ht="15">
      <c r="A758" t="s">
        <v>9982</v>
      </c>
      <c r="B758" s="4662" t="str">
        <f t="shared" si="11"/>
        <v>161-802</v>
      </c>
      <c r="C758" s="1417" t="s">
        <v>9983</v>
      </c>
      <c r="D758" s="1993" t="s">
        <v>1782</v>
      </c>
    </row>
    <row r="759" spans="1:4" ht="15">
      <c r="A759" t="s">
        <v>9984</v>
      </c>
      <c r="B759" s="4662" t="str">
        <f t="shared" si="11"/>
        <v>161-805</v>
      </c>
      <c r="C759" s="1417" t="s">
        <v>9985</v>
      </c>
      <c r="D759" s="1993" t="s">
        <v>1782</v>
      </c>
    </row>
    <row r="760" spans="1:4" ht="15">
      <c r="A760" t="s">
        <v>9986</v>
      </c>
      <c r="B760" s="4662" t="str">
        <f t="shared" si="11"/>
        <v>161-807</v>
      </c>
      <c r="C760" s="1417" t="s">
        <v>9987</v>
      </c>
      <c r="D760" s="1993" t="s">
        <v>1782</v>
      </c>
    </row>
    <row r="761" spans="1:4" ht="15">
      <c r="A761" t="s">
        <v>3636</v>
      </c>
      <c r="B761" s="4662" t="str">
        <f t="shared" si="11"/>
        <v>161-901</v>
      </c>
      <c r="C761" s="1417" t="s">
        <v>417</v>
      </c>
      <c r="D761" s="1993" t="s">
        <v>1782</v>
      </c>
    </row>
    <row r="762" spans="1:4" ht="15">
      <c r="A762" t="s">
        <v>3637</v>
      </c>
      <c r="B762" s="4662" t="str">
        <f t="shared" si="11"/>
        <v>161-906</v>
      </c>
      <c r="C762" s="1417" t="s">
        <v>1899</v>
      </c>
      <c r="D762" s="1993" t="s">
        <v>1782</v>
      </c>
    </row>
    <row r="763" spans="1:4" ht="15">
      <c r="A763" t="s">
        <v>3638</v>
      </c>
      <c r="B763" s="4662" t="str">
        <f t="shared" si="11"/>
        <v>161-907</v>
      </c>
      <c r="C763" s="1417" t="s">
        <v>1257</v>
      </c>
      <c r="D763" s="1993" t="s">
        <v>1782</v>
      </c>
    </row>
    <row r="764" spans="1:4" ht="15">
      <c r="A764" t="s">
        <v>3639</v>
      </c>
      <c r="B764" s="4662" t="str">
        <f t="shared" si="11"/>
        <v>161-908</v>
      </c>
      <c r="C764" s="1417" t="s">
        <v>2064</v>
      </c>
      <c r="D764" s="1993" t="s">
        <v>1782</v>
      </c>
    </row>
    <row r="765" spans="1:4" ht="15">
      <c r="A765" t="s">
        <v>3640</v>
      </c>
      <c r="B765" s="4662" t="str">
        <f t="shared" si="11"/>
        <v>161-909</v>
      </c>
      <c r="C765" s="1417" t="s">
        <v>819</v>
      </c>
      <c r="D765" s="1993" t="s">
        <v>1782</v>
      </c>
    </row>
    <row r="766" spans="1:4" ht="15">
      <c r="A766" t="s">
        <v>3641</v>
      </c>
      <c r="B766" s="4662" t="str">
        <f t="shared" si="11"/>
        <v>161-910</v>
      </c>
      <c r="C766" s="1417" t="s">
        <v>1750</v>
      </c>
      <c r="D766" s="1993" t="s">
        <v>1782</v>
      </c>
    </row>
    <row r="767" spans="1:4" ht="15">
      <c r="A767" t="s">
        <v>3642</v>
      </c>
      <c r="B767" s="4662" t="str">
        <f t="shared" si="11"/>
        <v>161-912</v>
      </c>
      <c r="C767" s="1417" t="s">
        <v>1740</v>
      </c>
      <c r="D767" s="1993" t="s">
        <v>1782</v>
      </c>
    </row>
    <row r="768" spans="1:4" ht="15">
      <c r="A768" t="s">
        <v>3643</v>
      </c>
      <c r="B768" s="4662" t="str">
        <f t="shared" si="11"/>
        <v>161-914</v>
      </c>
      <c r="C768" s="1417" t="s">
        <v>136</v>
      </c>
      <c r="D768" s="1993" t="s">
        <v>1782</v>
      </c>
    </row>
    <row r="769" spans="1:4" ht="15">
      <c r="A769" t="s">
        <v>3644</v>
      </c>
      <c r="B769" s="4662" t="str">
        <f t="shared" si="11"/>
        <v>161-916</v>
      </c>
      <c r="C769" s="1417" t="s">
        <v>1430</v>
      </c>
      <c r="D769" s="1993" t="s">
        <v>1782</v>
      </c>
    </row>
    <row r="770" spans="1:4" ht="15">
      <c r="A770" t="s">
        <v>6768</v>
      </c>
      <c r="B770" s="4662" t="str">
        <f t="shared" ref="B770:B833" si="12">CONCATENATE(LEFT(RIGHT(CONCATENATE("000",A770),6),3),"-",(RIGHT(RIGHT(CONCATENATE("000",A770),6),3)))</f>
        <v>161-918</v>
      </c>
      <c r="C770" s="1417" t="s">
        <v>1751</v>
      </c>
      <c r="D770" s="1993" t="s">
        <v>1782</v>
      </c>
    </row>
    <row r="771" spans="1:4" ht="15">
      <c r="A771" t="s">
        <v>3645</v>
      </c>
      <c r="B771" s="4662" t="str">
        <f t="shared" si="12"/>
        <v>161-919</v>
      </c>
      <c r="C771" s="1417" t="s">
        <v>1752</v>
      </c>
      <c r="D771" s="1993" t="s">
        <v>1782</v>
      </c>
    </row>
    <row r="772" spans="1:4" ht="15">
      <c r="A772" t="s">
        <v>3646</v>
      </c>
      <c r="B772" s="4662" t="str">
        <f t="shared" si="12"/>
        <v>161-920</v>
      </c>
      <c r="C772" s="1417" t="s">
        <v>1160</v>
      </c>
      <c r="D772" s="1993" t="s">
        <v>1782</v>
      </c>
    </row>
    <row r="773" spans="1:4" ht="15">
      <c r="A773" t="s">
        <v>3647</v>
      </c>
      <c r="B773" s="4662" t="str">
        <f t="shared" si="12"/>
        <v>161-921</v>
      </c>
      <c r="C773" s="1417" t="s">
        <v>1552</v>
      </c>
      <c r="D773" s="1993" t="s">
        <v>1782</v>
      </c>
    </row>
    <row r="774" spans="1:4" ht="15">
      <c r="A774" t="s">
        <v>3648</v>
      </c>
      <c r="B774" s="4662" t="str">
        <f t="shared" si="12"/>
        <v>161-922</v>
      </c>
      <c r="C774" s="1417" t="s">
        <v>2698</v>
      </c>
      <c r="D774" s="1993" t="s">
        <v>1782</v>
      </c>
    </row>
    <row r="775" spans="1:4" ht="15">
      <c r="A775" t="s">
        <v>3649</v>
      </c>
      <c r="B775" s="4662" t="str">
        <f t="shared" si="12"/>
        <v>161-923</v>
      </c>
      <c r="C775" s="1417" t="s">
        <v>1348</v>
      </c>
      <c r="D775" s="1993" t="s">
        <v>1782</v>
      </c>
    </row>
    <row r="776" spans="1:4" ht="15">
      <c r="A776" t="s">
        <v>6008</v>
      </c>
      <c r="B776" s="4662" t="str">
        <f t="shared" si="12"/>
        <v>161-924</v>
      </c>
      <c r="C776" s="1417" t="s">
        <v>1753</v>
      </c>
      <c r="D776" s="1993" t="s">
        <v>1782</v>
      </c>
    </row>
    <row r="777" spans="1:4" ht="15">
      <c r="A777" t="s">
        <v>6769</v>
      </c>
      <c r="B777" s="4662" t="str">
        <f t="shared" si="12"/>
        <v>161-925</v>
      </c>
      <c r="C777" s="1417" t="s">
        <v>1754</v>
      </c>
      <c r="D777" s="1993" t="s">
        <v>1782</v>
      </c>
    </row>
    <row r="778" spans="1:4" ht="15">
      <c r="A778" t="s">
        <v>9988</v>
      </c>
      <c r="B778" s="4662" t="str">
        <f t="shared" si="12"/>
        <v>161-926</v>
      </c>
      <c r="C778" s="1417" t="s">
        <v>9989</v>
      </c>
      <c r="D778" s="1993" t="s">
        <v>1782</v>
      </c>
    </row>
    <row r="779" spans="1:4" ht="15">
      <c r="A779" t="s">
        <v>9990</v>
      </c>
      <c r="B779" s="4662" t="str">
        <f t="shared" si="12"/>
        <v>161-927</v>
      </c>
      <c r="C779" s="1417" t="s">
        <v>9991</v>
      </c>
      <c r="D779" s="1993" t="s">
        <v>1782</v>
      </c>
    </row>
    <row r="780" spans="1:4" ht="15">
      <c r="A780" t="s">
        <v>3650</v>
      </c>
      <c r="B780" s="4662" t="str">
        <f t="shared" si="12"/>
        <v>163-901</v>
      </c>
      <c r="C780" s="1417" t="s">
        <v>2669</v>
      </c>
      <c r="D780" s="1993" t="s">
        <v>1782</v>
      </c>
    </row>
    <row r="781" spans="1:4" ht="15">
      <c r="A781" t="s">
        <v>3651</v>
      </c>
      <c r="B781" s="4662" t="str">
        <f t="shared" si="12"/>
        <v>163-902</v>
      </c>
      <c r="C781" s="1417" t="s">
        <v>2178</v>
      </c>
      <c r="D781" s="1993" t="s">
        <v>1782</v>
      </c>
    </row>
    <row r="782" spans="1:4" ht="15">
      <c r="A782" t="s">
        <v>3652</v>
      </c>
      <c r="B782" s="4662" t="str">
        <f t="shared" si="12"/>
        <v>163-903</v>
      </c>
      <c r="C782" s="1417" t="s">
        <v>2244</v>
      </c>
      <c r="D782" s="1993" t="s">
        <v>1782</v>
      </c>
    </row>
    <row r="783" spans="1:4" ht="15">
      <c r="A783" t="s">
        <v>3653</v>
      </c>
      <c r="B783" s="4662" t="str">
        <f t="shared" si="12"/>
        <v>163-904</v>
      </c>
      <c r="C783" s="1417" t="s">
        <v>2378</v>
      </c>
      <c r="D783" s="1993" t="s">
        <v>1782</v>
      </c>
    </row>
    <row r="784" spans="1:4" ht="15">
      <c r="A784" t="s">
        <v>3654</v>
      </c>
      <c r="B784" s="4662" t="str">
        <f t="shared" si="12"/>
        <v>163-908</v>
      </c>
      <c r="C784" s="1417" t="s">
        <v>823</v>
      </c>
      <c r="D784" s="1993" t="s">
        <v>1782</v>
      </c>
    </row>
    <row r="785" spans="1:4" ht="15">
      <c r="A785" t="s">
        <v>6770</v>
      </c>
      <c r="B785" s="4662" t="str">
        <f t="shared" si="12"/>
        <v>164-901</v>
      </c>
      <c r="C785" s="1417" t="s">
        <v>1756</v>
      </c>
      <c r="D785" s="1993" t="s">
        <v>1782</v>
      </c>
    </row>
    <row r="786" spans="1:4" ht="15">
      <c r="A786" t="s">
        <v>9992</v>
      </c>
      <c r="B786" s="4662" t="str">
        <f t="shared" si="12"/>
        <v>165-801</v>
      </c>
      <c r="C786" s="1417" t="s">
        <v>9993</v>
      </c>
      <c r="D786" s="1993" t="s">
        <v>1782</v>
      </c>
    </row>
    <row r="787" spans="1:4" ht="15">
      <c r="A787" t="s">
        <v>9994</v>
      </c>
      <c r="B787" s="4662" t="str">
        <f t="shared" si="12"/>
        <v>165-802</v>
      </c>
      <c r="C787" s="1417" t="s">
        <v>9995</v>
      </c>
      <c r="D787" s="1993" t="s">
        <v>1782</v>
      </c>
    </row>
    <row r="788" spans="1:4" ht="15">
      <c r="A788" t="s">
        <v>3656</v>
      </c>
      <c r="B788" s="4662" t="str">
        <f t="shared" si="12"/>
        <v>166-901</v>
      </c>
      <c r="C788" s="1417" t="s">
        <v>652</v>
      </c>
      <c r="D788" s="1993" t="s">
        <v>1782</v>
      </c>
    </row>
    <row r="789" spans="1:4" ht="15">
      <c r="A789" t="s">
        <v>6771</v>
      </c>
      <c r="B789" s="4662" t="str">
        <f t="shared" si="12"/>
        <v>166-902</v>
      </c>
      <c r="C789" s="1417" t="s">
        <v>1758</v>
      </c>
      <c r="D789" s="1993" t="s">
        <v>1782</v>
      </c>
    </row>
    <row r="790" spans="1:4" ht="15">
      <c r="A790" t="s">
        <v>6011</v>
      </c>
      <c r="B790" s="4662" t="str">
        <f t="shared" si="12"/>
        <v>166-903</v>
      </c>
      <c r="C790" s="1417" t="s">
        <v>1759</v>
      </c>
      <c r="D790" s="1993" t="s">
        <v>1782</v>
      </c>
    </row>
    <row r="791" spans="1:4" ht="15">
      <c r="A791" t="s">
        <v>6012</v>
      </c>
      <c r="B791" s="4662" t="str">
        <f t="shared" si="12"/>
        <v>166-904</v>
      </c>
      <c r="C791" s="1417" t="s">
        <v>1760</v>
      </c>
      <c r="D791" s="1993" t="s">
        <v>1782</v>
      </c>
    </row>
    <row r="792" spans="1:4" ht="15">
      <c r="A792" t="s">
        <v>6013</v>
      </c>
      <c r="B792" s="4662" t="str">
        <f t="shared" si="12"/>
        <v>166-905</v>
      </c>
      <c r="C792" s="1417" t="s">
        <v>1761</v>
      </c>
      <c r="D792" s="1993" t="s">
        <v>1782</v>
      </c>
    </row>
    <row r="793" spans="1:4" ht="15">
      <c r="A793" t="s">
        <v>3657</v>
      </c>
      <c r="B793" s="4662" t="str">
        <f t="shared" si="12"/>
        <v>166-907</v>
      </c>
      <c r="C793" s="1417" t="s">
        <v>2637</v>
      </c>
      <c r="D793" s="1993" t="s">
        <v>1782</v>
      </c>
    </row>
    <row r="794" spans="1:4" ht="15">
      <c r="A794" t="s">
        <v>3658</v>
      </c>
      <c r="B794" s="4662" t="str">
        <f t="shared" si="12"/>
        <v>167-901</v>
      </c>
      <c r="C794" s="1417" t="s">
        <v>860</v>
      </c>
      <c r="D794" s="1993" t="s">
        <v>1782</v>
      </c>
    </row>
    <row r="795" spans="1:4" ht="15">
      <c r="A795" t="s">
        <v>6772</v>
      </c>
      <c r="B795" s="4662" t="str">
        <f t="shared" si="12"/>
        <v>167-902</v>
      </c>
      <c r="C795" s="1417" t="s">
        <v>1762</v>
      </c>
      <c r="D795" s="1993" t="s">
        <v>1782</v>
      </c>
    </row>
    <row r="796" spans="1:4" ht="15">
      <c r="A796" t="s">
        <v>9996</v>
      </c>
      <c r="B796" s="4662" t="str">
        <f t="shared" si="12"/>
        <v>167-903</v>
      </c>
      <c r="C796" s="1417" t="s">
        <v>1763</v>
      </c>
      <c r="D796" s="1993" t="s">
        <v>1782</v>
      </c>
    </row>
    <row r="797" spans="1:4" ht="15">
      <c r="A797" t="s">
        <v>6014</v>
      </c>
      <c r="B797" s="4662" t="str">
        <f t="shared" si="12"/>
        <v>168-901</v>
      </c>
      <c r="C797" s="1417" t="s">
        <v>1764</v>
      </c>
      <c r="D797" s="1993" t="s">
        <v>1782</v>
      </c>
    </row>
    <row r="798" spans="1:4" ht="15">
      <c r="A798" t="s">
        <v>3660</v>
      </c>
      <c r="B798" s="4662" t="str">
        <f t="shared" si="12"/>
        <v>169-901</v>
      </c>
      <c r="C798" s="1417" t="s">
        <v>1366</v>
      </c>
      <c r="D798" s="1993" t="s">
        <v>1782</v>
      </c>
    </row>
    <row r="799" spans="1:4" ht="15">
      <c r="A799" t="s">
        <v>6774</v>
      </c>
      <c r="B799" s="4662" t="str">
        <f t="shared" si="12"/>
        <v>169-902</v>
      </c>
      <c r="C799" s="1417" t="s">
        <v>1367</v>
      </c>
      <c r="D799" s="1993" t="s">
        <v>1782</v>
      </c>
    </row>
    <row r="800" spans="1:4" ht="15">
      <c r="A800" t="s">
        <v>6016</v>
      </c>
      <c r="B800" s="4662" t="str">
        <f t="shared" si="12"/>
        <v>169-906</v>
      </c>
      <c r="C800" s="1417" t="s">
        <v>1368</v>
      </c>
      <c r="D800" s="1993" t="s">
        <v>1782</v>
      </c>
    </row>
    <row r="801" spans="1:4" ht="15">
      <c r="A801" t="s">
        <v>6775</v>
      </c>
      <c r="B801" s="4662" t="str">
        <f t="shared" si="12"/>
        <v>169-908</v>
      </c>
      <c r="C801" s="1417" t="s">
        <v>2245</v>
      </c>
      <c r="D801" s="1993" t="s">
        <v>1782</v>
      </c>
    </row>
    <row r="802" spans="1:4" ht="15">
      <c r="A802" t="s">
        <v>6776</v>
      </c>
      <c r="B802" s="4662" t="str">
        <f t="shared" si="12"/>
        <v>169-909</v>
      </c>
      <c r="C802" s="1417" t="s">
        <v>2246</v>
      </c>
      <c r="D802" s="1993" t="s">
        <v>1782</v>
      </c>
    </row>
    <row r="803" spans="1:4" ht="15">
      <c r="A803" t="s">
        <v>6018</v>
      </c>
      <c r="B803" s="4662" t="str">
        <f t="shared" si="12"/>
        <v>169-911</v>
      </c>
      <c r="C803" s="1417" t="s">
        <v>2248</v>
      </c>
      <c r="D803" s="1993" t="s">
        <v>1782</v>
      </c>
    </row>
    <row r="804" spans="1:4" ht="15">
      <c r="A804" t="s">
        <v>9997</v>
      </c>
      <c r="B804" s="4662" t="str">
        <f t="shared" si="12"/>
        <v>170-801</v>
      </c>
      <c r="C804" s="1417" t="s">
        <v>9998</v>
      </c>
      <c r="D804" s="1993" t="s">
        <v>1782</v>
      </c>
    </row>
    <row r="805" spans="1:4" ht="15">
      <c r="A805" t="s">
        <v>3661</v>
      </c>
      <c r="B805" s="4662" t="str">
        <f t="shared" si="12"/>
        <v>170-902</v>
      </c>
      <c r="C805" s="1417" t="s">
        <v>1553</v>
      </c>
      <c r="D805" s="1993" t="s">
        <v>1782</v>
      </c>
    </row>
    <row r="806" spans="1:4" ht="15">
      <c r="A806" t="s">
        <v>3662</v>
      </c>
      <c r="B806" s="4662" t="str">
        <f t="shared" si="12"/>
        <v>170-904</v>
      </c>
      <c r="C806" s="1417" t="s">
        <v>1127</v>
      </c>
      <c r="D806" s="1993" t="s">
        <v>1782</v>
      </c>
    </row>
    <row r="807" spans="1:4" ht="15">
      <c r="A807" t="s">
        <v>3663</v>
      </c>
      <c r="B807" s="4662" t="str">
        <f t="shared" si="12"/>
        <v>170-906</v>
      </c>
      <c r="C807" s="1417" t="s">
        <v>288</v>
      </c>
      <c r="D807" s="1993" t="s">
        <v>1782</v>
      </c>
    </row>
    <row r="808" spans="1:4" ht="15">
      <c r="A808" t="s">
        <v>3664</v>
      </c>
      <c r="B808" s="4662" t="str">
        <f t="shared" si="12"/>
        <v>170-907</v>
      </c>
      <c r="C808" s="1417" t="s">
        <v>1935</v>
      </c>
      <c r="D808" s="1993" t="s">
        <v>1782</v>
      </c>
    </row>
    <row r="809" spans="1:4" ht="15">
      <c r="A809" t="s">
        <v>3665</v>
      </c>
      <c r="B809" s="4662" t="str">
        <f t="shared" si="12"/>
        <v>170-908</v>
      </c>
      <c r="C809" s="1417" t="s">
        <v>1142</v>
      </c>
      <c r="D809" s="1993" t="s">
        <v>1782</v>
      </c>
    </row>
    <row r="810" spans="1:4" ht="15">
      <c r="A810" t="s">
        <v>6020</v>
      </c>
      <c r="B810" s="4662" t="str">
        <f t="shared" si="12"/>
        <v>171-901</v>
      </c>
      <c r="C810" s="1417" t="s">
        <v>2250</v>
      </c>
      <c r="D810" s="1993" t="s">
        <v>1782</v>
      </c>
    </row>
    <row r="811" spans="1:4" ht="15">
      <c r="A811" t="s">
        <v>6021</v>
      </c>
      <c r="B811" s="4662" t="str">
        <f t="shared" si="12"/>
        <v>171-902</v>
      </c>
      <c r="C811" s="1417" t="s">
        <v>2251</v>
      </c>
      <c r="D811" s="1993" t="s">
        <v>1782</v>
      </c>
    </row>
    <row r="812" spans="1:4" ht="15">
      <c r="A812" t="s">
        <v>6022</v>
      </c>
      <c r="B812" s="4662" t="str">
        <f t="shared" si="12"/>
        <v>172-902</v>
      </c>
      <c r="C812" s="1417" t="s">
        <v>2252</v>
      </c>
      <c r="D812" s="1993" t="s">
        <v>1782</v>
      </c>
    </row>
    <row r="813" spans="1:4" ht="15">
      <c r="A813" t="s">
        <v>6023</v>
      </c>
      <c r="B813" s="4662" t="str">
        <f t="shared" si="12"/>
        <v>172-905</v>
      </c>
      <c r="C813" s="1417" t="s">
        <v>2628</v>
      </c>
      <c r="D813" s="1993" t="s">
        <v>1782</v>
      </c>
    </row>
    <row r="814" spans="1:4" ht="15">
      <c r="A814" t="s">
        <v>6777</v>
      </c>
      <c r="B814" s="4662" t="str">
        <f t="shared" si="12"/>
        <v>173-901</v>
      </c>
      <c r="C814" s="1417" t="s">
        <v>2254</v>
      </c>
      <c r="D814" s="1993" t="s">
        <v>1782</v>
      </c>
    </row>
    <row r="815" spans="1:4" ht="15">
      <c r="A815" t="s">
        <v>9999</v>
      </c>
      <c r="B815" s="4662" t="str">
        <f t="shared" si="12"/>
        <v>174-801</v>
      </c>
      <c r="C815" s="1417" t="s">
        <v>10000</v>
      </c>
      <c r="D815" s="1993" t="s">
        <v>1782</v>
      </c>
    </row>
    <row r="816" spans="1:4" ht="15">
      <c r="A816" t="s">
        <v>3666</v>
      </c>
      <c r="B816" s="4662" t="str">
        <f t="shared" si="12"/>
        <v>174-901</v>
      </c>
      <c r="C816" s="1417" t="s">
        <v>1161</v>
      </c>
      <c r="D816" s="1993" t="s">
        <v>1782</v>
      </c>
    </row>
    <row r="817" spans="1:4" ht="15">
      <c r="A817" t="s">
        <v>6024</v>
      </c>
      <c r="B817" s="4662" t="str">
        <f t="shared" si="12"/>
        <v>174-902</v>
      </c>
      <c r="C817" s="1417" t="s">
        <v>2255</v>
      </c>
      <c r="D817" s="1993" t="s">
        <v>1782</v>
      </c>
    </row>
    <row r="818" spans="1:4" ht="15">
      <c r="A818" t="s">
        <v>3667</v>
      </c>
      <c r="B818" s="4662" t="str">
        <f t="shared" si="12"/>
        <v>174-903</v>
      </c>
      <c r="C818" s="1417" t="s">
        <v>453</v>
      </c>
      <c r="D818" s="1993" t="s">
        <v>1782</v>
      </c>
    </row>
    <row r="819" spans="1:4" ht="15">
      <c r="A819" t="s">
        <v>6025</v>
      </c>
      <c r="B819" s="4662" t="str">
        <f t="shared" si="12"/>
        <v>174-904</v>
      </c>
      <c r="C819" s="1417" t="s">
        <v>2256</v>
      </c>
      <c r="D819" s="1993" t="s">
        <v>1782</v>
      </c>
    </row>
    <row r="820" spans="1:4" ht="15">
      <c r="A820" t="s">
        <v>3668</v>
      </c>
      <c r="B820" s="4662" t="str">
        <f t="shared" si="12"/>
        <v>174-906</v>
      </c>
      <c r="C820" s="1417" t="s">
        <v>1130</v>
      </c>
      <c r="D820" s="1993" t="s">
        <v>1782</v>
      </c>
    </row>
    <row r="821" spans="1:4" ht="15">
      <c r="A821" t="s">
        <v>3669</v>
      </c>
      <c r="B821" s="4662" t="str">
        <f t="shared" si="12"/>
        <v>174-908</v>
      </c>
      <c r="C821" s="1417" t="s">
        <v>2257</v>
      </c>
      <c r="D821" s="1993" t="s">
        <v>1782</v>
      </c>
    </row>
    <row r="822" spans="1:4" ht="15">
      <c r="A822" t="s">
        <v>5307</v>
      </c>
      <c r="B822" s="4662" t="str">
        <f t="shared" si="12"/>
        <v>174-909</v>
      </c>
      <c r="C822" s="1417" t="s">
        <v>2258</v>
      </c>
      <c r="D822" s="1993" t="s">
        <v>1782</v>
      </c>
    </row>
    <row r="823" spans="1:4" ht="15">
      <c r="A823" t="s">
        <v>6026</v>
      </c>
      <c r="B823" s="4662" t="str">
        <f t="shared" si="12"/>
        <v>174-910</v>
      </c>
      <c r="C823" s="1417" t="s">
        <v>891</v>
      </c>
      <c r="D823" s="1993" t="s">
        <v>1782</v>
      </c>
    </row>
    <row r="824" spans="1:4" ht="15">
      <c r="A824" t="s">
        <v>6778</v>
      </c>
      <c r="B824" s="4662" t="str">
        <f t="shared" si="12"/>
        <v>174-911</v>
      </c>
      <c r="C824" s="1417" t="s">
        <v>2259</v>
      </c>
      <c r="D824" s="1993" t="s">
        <v>1782</v>
      </c>
    </row>
    <row r="825" spans="1:4" ht="15">
      <c r="A825" t="s">
        <v>6027</v>
      </c>
      <c r="B825" s="4662" t="str">
        <f t="shared" si="12"/>
        <v>175-902</v>
      </c>
      <c r="C825" s="1417" t="s">
        <v>307</v>
      </c>
      <c r="D825" s="1993" t="s">
        <v>1782</v>
      </c>
    </row>
    <row r="826" spans="1:4" ht="15">
      <c r="A826" t="s">
        <v>3670</v>
      </c>
      <c r="B826" s="4662" t="str">
        <f t="shared" si="12"/>
        <v>175-903</v>
      </c>
      <c r="C826" s="1417" t="s">
        <v>1101</v>
      </c>
      <c r="D826" s="1993" t="s">
        <v>1782</v>
      </c>
    </row>
    <row r="827" spans="1:4" ht="15">
      <c r="A827" t="s">
        <v>3671</v>
      </c>
      <c r="B827" s="4662" t="str">
        <f t="shared" si="12"/>
        <v>175-904</v>
      </c>
      <c r="C827" s="1417" t="s">
        <v>2663</v>
      </c>
      <c r="D827" s="1993" t="s">
        <v>1782</v>
      </c>
    </row>
    <row r="828" spans="1:4" ht="15">
      <c r="A828" t="s">
        <v>6028</v>
      </c>
      <c r="B828" s="4662" t="str">
        <f t="shared" si="12"/>
        <v>175-905</v>
      </c>
      <c r="C828" s="1417" t="s">
        <v>308</v>
      </c>
      <c r="D828" s="1993" t="s">
        <v>1782</v>
      </c>
    </row>
    <row r="829" spans="1:4" ht="15">
      <c r="A829" t="s">
        <v>3672</v>
      </c>
      <c r="B829" s="4662" t="str">
        <f t="shared" si="12"/>
        <v>175-907</v>
      </c>
      <c r="C829" s="1417" t="s">
        <v>2517</v>
      </c>
      <c r="D829" s="1993" t="s">
        <v>1782</v>
      </c>
    </row>
    <row r="830" spans="1:4" ht="15">
      <c r="A830" t="s">
        <v>10001</v>
      </c>
      <c r="B830" s="4662" t="str">
        <f t="shared" si="12"/>
        <v>175-909</v>
      </c>
      <c r="C830" s="1417" t="s">
        <v>10002</v>
      </c>
      <c r="D830" s="1993" t="s">
        <v>1782</v>
      </c>
    </row>
    <row r="831" spans="1:4" ht="15">
      <c r="A831" t="s">
        <v>6029</v>
      </c>
      <c r="B831" s="4662" t="str">
        <f t="shared" si="12"/>
        <v>175-910</v>
      </c>
      <c r="C831" s="1417" t="s">
        <v>309</v>
      </c>
      <c r="D831" s="1993" t="s">
        <v>1782</v>
      </c>
    </row>
    <row r="832" spans="1:4" ht="15">
      <c r="A832" t="s">
        <v>3673</v>
      </c>
      <c r="B832" s="4662" t="str">
        <f t="shared" si="12"/>
        <v>175-911</v>
      </c>
      <c r="C832" s="1417" t="s">
        <v>80</v>
      </c>
      <c r="D832" s="1993" t="s">
        <v>1782</v>
      </c>
    </row>
    <row r="833" spans="1:4" ht="15">
      <c r="A833" t="s">
        <v>6030</v>
      </c>
      <c r="B833" s="4662" t="str">
        <f t="shared" si="12"/>
        <v>176-901</v>
      </c>
      <c r="C833" s="1417" t="s">
        <v>310</v>
      </c>
      <c r="D833" s="1993" t="s">
        <v>1782</v>
      </c>
    </row>
    <row r="834" spans="1:4" ht="15">
      <c r="A834" t="s">
        <v>3674</v>
      </c>
      <c r="B834" s="4662" t="str">
        <f t="shared" ref="B834:B897" si="13">CONCATENATE(LEFT(RIGHT(CONCATENATE("000",A834),6),3),"-",(RIGHT(RIGHT(CONCATENATE("000",A834),6),3)))</f>
        <v>176-902</v>
      </c>
      <c r="C834" s="1417" t="s">
        <v>2286</v>
      </c>
      <c r="D834" s="1993" t="s">
        <v>1782</v>
      </c>
    </row>
    <row r="835" spans="1:4" ht="15">
      <c r="A835" t="s">
        <v>3676</v>
      </c>
      <c r="B835" s="4662" t="str">
        <f t="shared" si="13"/>
        <v>177-901</v>
      </c>
      <c r="C835" s="1417" t="s">
        <v>3914</v>
      </c>
      <c r="D835" s="1993" t="s">
        <v>1782</v>
      </c>
    </row>
    <row r="836" spans="1:4" ht="15">
      <c r="A836" t="s">
        <v>6031</v>
      </c>
      <c r="B836" s="4662" t="str">
        <f t="shared" si="13"/>
        <v>177-902</v>
      </c>
      <c r="C836" s="1417" t="s">
        <v>311</v>
      </c>
      <c r="D836" s="1993" t="s">
        <v>1782</v>
      </c>
    </row>
    <row r="837" spans="1:4" ht="15">
      <c r="A837" t="s">
        <v>10003</v>
      </c>
      <c r="B837" s="4662" t="str">
        <f t="shared" si="13"/>
        <v>178-801</v>
      </c>
      <c r="C837" s="1417" t="s">
        <v>10004</v>
      </c>
      <c r="D837" s="1993" t="s">
        <v>1782</v>
      </c>
    </row>
    <row r="838" spans="1:4" ht="15">
      <c r="A838" t="s">
        <v>10005</v>
      </c>
      <c r="B838" s="4662" t="str">
        <f t="shared" si="13"/>
        <v>178-802</v>
      </c>
      <c r="C838" s="1417" t="s">
        <v>10006</v>
      </c>
      <c r="D838" s="1993" t="s">
        <v>1782</v>
      </c>
    </row>
    <row r="839" spans="1:4" ht="15">
      <c r="A839" t="s">
        <v>10007</v>
      </c>
      <c r="B839" s="4662" t="str">
        <f t="shared" si="13"/>
        <v>178-804</v>
      </c>
      <c r="C839" s="1417" t="s">
        <v>10008</v>
      </c>
      <c r="D839" s="1993" t="s">
        <v>1782</v>
      </c>
    </row>
    <row r="840" spans="1:4" ht="15">
      <c r="A840" t="s">
        <v>10009</v>
      </c>
      <c r="B840" s="4662" t="str">
        <f t="shared" si="13"/>
        <v>178-807</v>
      </c>
      <c r="C840" s="1417" t="s">
        <v>10010</v>
      </c>
      <c r="D840" s="1993" t="s">
        <v>1782</v>
      </c>
    </row>
    <row r="841" spans="1:4" ht="15">
      <c r="A841" t="s">
        <v>10011</v>
      </c>
      <c r="B841" s="4662" t="str">
        <f t="shared" si="13"/>
        <v>178-808</v>
      </c>
      <c r="C841" s="1417" t="s">
        <v>10012</v>
      </c>
      <c r="D841" s="1993" t="s">
        <v>1782</v>
      </c>
    </row>
    <row r="842" spans="1:4" ht="15">
      <c r="A842" t="s">
        <v>10013</v>
      </c>
      <c r="B842" s="4662" t="str">
        <f t="shared" si="13"/>
        <v>178-809</v>
      </c>
      <c r="C842" s="1417" t="s">
        <v>10014</v>
      </c>
      <c r="D842" s="1993" t="s">
        <v>1782</v>
      </c>
    </row>
    <row r="843" spans="1:4" ht="15">
      <c r="A843" t="s">
        <v>6034</v>
      </c>
      <c r="B843" s="4662" t="str">
        <f t="shared" si="13"/>
        <v>178-901</v>
      </c>
      <c r="C843" s="1417" t="s">
        <v>314</v>
      </c>
      <c r="D843" s="1993" t="s">
        <v>1782</v>
      </c>
    </row>
    <row r="844" spans="1:4" ht="15">
      <c r="A844" t="s">
        <v>6035</v>
      </c>
      <c r="B844" s="4662" t="str">
        <f t="shared" si="13"/>
        <v>178-902</v>
      </c>
      <c r="C844" s="1417" t="s">
        <v>2329</v>
      </c>
      <c r="D844" s="1993" t="s">
        <v>1782</v>
      </c>
    </row>
    <row r="845" spans="1:4" ht="15">
      <c r="A845" t="s">
        <v>6036</v>
      </c>
      <c r="B845" s="4662" t="str">
        <f t="shared" si="13"/>
        <v>178-903</v>
      </c>
      <c r="C845" s="1417" t="s">
        <v>316</v>
      </c>
      <c r="D845" s="1993" t="s">
        <v>1782</v>
      </c>
    </row>
    <row r="846" spans="1:4" ht="15">
      <c r="A846" t="s">
        <v>3677</v>
      </c>
      <c r="B846" s="4662" t="str">
        <f t="shared" si="13"/>
        <v>178-904</v>
      </c>
      <c r="C846" s="1417" t="s">
        <v>1100</v>
      </c>
      <c r="D846" s="1993" t="s">
        <v>1782</v>
      </c>
    </row>
    <row r="847" spans="1:4" ht="15">
      <c r="A847" t="s">
        <v>6037</v>
      </c>
      <c r="B847" s="4662" t="str">
        <f t="shared" si="13"/>
        <v>178-905</v>
      </c>
      <c r="C847" s="1417" t="s">
        <v>317</v>
      </c>
      <c r="D847" s="1993" t="s">
        <v>1782</v>
      </c>
    </row>
    <row r="848" spans="1:4" ht="15">
      <c r="A848" t="s">
        <v>6038</v>
      </c>
      <c r="B848" s="4662" t="str">
        <f t="shared" si="13"/>
        <v>178-906</v>
      </c>
      <c r="C848" s="1417" t="s">
        <v>318</v>
      </c>
      <c r="D848" s="1993" t="s">
        <v>1782</v>
      </c>
    </row>
    <row r="849" spans="1:4" ht="15">
      <c r="A849" t="s">
        <v>3678</v>
      </c>
      <c r="B849" s="4662" t="str">
        <f t="shared" si="13"/>
        <v>178-909</v>
      </c>
      <c r="C849" s="1417" t="s">
        <v>2699</v>
      </c>
      <c r="D849" s="1993" t="s">
        <v>1782</v>
      </c>
    </row>
    <row r="850" spans="1:4" ht="15">
      <c r="A850" t="s">
        <v>3679</v>
      </c>
      <c r="B850" s="4662" t="str">
        <f t="shared" si="13"/>
        <v>178-913</v>
      </c>
      <c r="C850" s="1417" t="s">
        <v>321</v>
      </c>
      <c r="D850" s="1993" t="s">
        <v>1782</v>
      </c>
    </row>
    <row r="851" spans="1:4" ht="15">
      <c r="A851" t="s">
        <v>6041</v>
      </c>
      <c r="B851" s="4662" t="str">
        <f t="shared" si="13"/>
        <v>178-914</v>
      </c>
      <c r="C851" s="1417" t="s">
        <v>322</v>
      </c>
      <c r="D851" s="1993" t="s">
        <v>1782</v>
      </c>
    </row>
    <row r="852" spans="1:4" ht="15">
      <c r="A852" t="s">
        <v>3680</v>
      </c>
      <c r="B852" s="4662" t="str">
        <f t="shared" si="13"/>
        <v>178-915</v>
      </c>
      <c r="C852" s="1417" t="s">
        <v>323</v>
      </c>
      <c r="D852" s="1993" t="s">
        <v>1782</v>
      </c>
    </row>
    <row r="853" spans="1:4" ht="15">
      <c r="A853" t="s">
        <v>3681</v>
      </c>
      <c r="B853" s="4662" t="str">
        <f t="shared" si="13"/>
        <v>179-901</v>
      </c>
      <c r="C853" s="1417" t="s">
        <v>996</v>
      </c>
      <c r="D853" s="1993" t="s">
        <v>1782</v>
      </c>
    </row>
    <row r="854" spans="1:4" ht="15">
      <c r="A854" t="s">
        <v>8676</v>
      </c>
      <c r="B854" s="4662" t="str">
        <f t="shared" si="13"/>
        <v>180-901</v>
      </c>
      <c r="C854" s="1417" t="s">
        <v>8677</v>
      </c>
      <c r="D854" s="1993" t="s">
        <v>1782</v>
      </c>
    </row>
    <row r="855" spans="1:4" ht="15">
      <c r="A855" t="s">
        <v>6042</v>
      </c>
      <c r="B855" s="4662" t="str">
        <f t="shared" si="13"/>
        <v>180-902</v>
      </c>
      <c r="C855" s="1417" t="s">
        <v>324</v>
      </c>
      <c r="D855" s="1993" t="s">
        <v>1782</v>
      </c>
    </row>
    <row r="856" spans="1:4" ht="15">
      <c r="A856" t="s">
        <v>6779</v>
      </c>
      <c r="B856" s="4662" t="str">
        <f t="shared" si="13"/>
        <v>180-903</v>
      </c>
      <c r="C856" s="1417" t="s">
        <v>325</v>
      </c>
      <c r="D856" s="1993" t="s">
        <v>1782</v>
      </c>
    </row>
    <row r="857" spans="1:4" ht="15">
      <c r="A857" t="s">
        <v>6043</v>
      </c>
      <c r="B857" s="4662" t="str">
        <f t="shared" si="13"/>
        <v>180-904</v>
      </c>
      <c r="C857" s="1417" t="s">
        <v>326</v>
      </c>
      <c r="D857" s="1993" t="s">
        <v>1782</v>
      </c>
    </row>
    <row r="858" spans="1:4" ht="15">
      <c r="A858" t="s">
        <v>3682</v>
      </c>
      <c r="B858" s="4662" t="str">
        <f t="shared" si="13"/>
        <v>181-901</v>
      </c>
      <c r="C858" s="1417" t="s">
        <v>1855</v>
      </c>
      <c r="D858" s="1993" t="s">
        <v>1782</v>
      </c>
    </row>
    <row r="859" spans="1:4" ht="15">
      <c r="A859" t="s">
        <v>6044</v>
      </c>
      <c r="B859" s="4662" t="str">
        <f t="shared" si="13"/>
        <v>181-905</v>
      </c>
      <c r="C859" s="1417" t="s">
        <v>327</v>
      </c>
      <c r="D859" s="1993" t="s">
        <v>1782</v>
      </c>
    </row>
    <row r="860" spans="1:4" ht="15">
      <c r="A860" t="s">
        <v>3683</v>
      </c>
      <c r="B860" s="4662" t="str">
        <f t="shared" si="13"/>
        <v>181-907</v>
      </c>
      <c r="C860" s="1417" t="s">
        <v>135</v>
      </c>
      <c r="D860" s="1993" t="s">
        <v>1782</v>
      </c>
    </row>
    <row r="861" spans="1:4" ht="15">
      <c r="A861" t="s">
        <v>6046</v>
      </c>
      <c r="B861" s="4662" t="str">
        <f t="shared" si="13"/>
        <v>181-908</v>
      </c>
      <c r="C861" s="1417" t="s">
        <v>3915</v>
      </c>
      <c r="D861" s="1993" t="s">
        <v>1782</v>
      </c>
    </row>
    <row r="862" spans="1:4" ht="15">
      <c r="A862" t="s">
        <v>3684</v>
      </c>
      <c r="B862" s="4662" t="str">
        <f t="shared" si="13"/>
        <v>182-903</v>
      </c>
      <c r="C862" s="1417" t="s">
        <v>2240</v>
      </c>
      <c r="D862" s="1993" t="s">
        <v>1782</v>
      </c>
    </row>
    <row r="863" spans="1:4" ht="15">
      <c r="A863" t="s">
        <v>6049</v>
      </c>
      <c r="B863" s="4662" t="str">
        <f t="shared" si="13"/>
        <v>182-904</v>
      </c>
      <c r="C863" s="1417" t="s">
        <v>332</v>
      </c>
      <c r="D863" s="1993" t="s">
        <v>1782</v>
      </c>
    </row>
    <row r="864" spans="1:4" ht="15">
      <c r="A864" t="s">
        <v>6780</v>
      </c>
      <c r="B864" s="4662" t="str">
        <f t="shared" si="13"/>
        <v>182-905</v>
      </c>
      <c r="C864" s="1417" t="s">
        <v>333</v>
      </c>
      <c r="D864" s="1993" t="s">
        <v>1782</v>
      </c>
    </row>
    <row r="865" spans="1:4" ht="15">
      <c r="A865" t="s">
        <v>10015</v>
      </c>
      <c r="B865" s="4662" t="str">
        <f t="shared" si="13"/>
        <v>183-801</v>
      </c>
      <c r="C865" s="1417" t="s">
        <v>10016</v>
      </c>
      <c r="D865" s="1993" t="s">
        <v>1782</v>
      </c>
    </row>
    <row r="866" spans="1:4" ht="15">
      <c r="A866" t="s">
        <v>6051</v>
      </c>
      <c r="B866" s="4662" t="str">
        <f t="shared" si="13"/>
        <v>183-901</v>
      </c>
      <c r="C866" s="1417" t="s">
        <v>432</v>
      </c>
      <c r="D866" s="1993" t="s">
        <v>1782</v>
      </c>
    </row>
    <row r="867" spans="1:4" ht="15">
      <c r="A867" t="s">
        <v>3685</v>
      </c>
      <c r="B867" s="4662" t="str">
        <f t="shared" si="13"/>
        <v>183-904</v>
      </c>
      <c r="C867" s="1417" t="s">
        <v>454</v>
      </c>
      <c r="D867" s="1993" t="s">
        <v>1782</v>
      </c>
    </row>
    <row r="868" spans="1:4" ht="15">
      <c r="A868" t="s">
        <v>10017</v>
      </c>
      <c r="B868" s="4662" t="str">
        <f t="shared" si="13"/>
        <v>184-801</v>
      </c>
      <c r="C868" s="1417" t="s">
        <v>10018</v>
      </c>
      <c r="D868" s="1993" t="s">
        <v>1782</v>
      </c>
    </row>
    <row r="869" spans="1:4" ht="15">
      <c r="A869" t="s">
        <v>3686</v>
      </c>
      <c r="B869" s="4662" t="str">
        <f t="shared" si="13"/>
        <v>184-901</v>
      </c>
      <c r="C869" s="1417" t="s">
        <v>1003</v>
      </c>
      <c r="D869" s="1993" t="s">
        <v>1782</v>
      </c>
    </row>
    <row r="870" spans="1:4" ht="15">
      <c r="A870" t="s">
        <v>3687</v>
      </c>
      <c r="B870" s="4662" t="str">
        <f t="shared" si="13"/>
        <v>184-902</v>
      </c>
      <c r="C870" s="1417" t="s">
        <v>1937</v>
      </c>
      <c r="D870" s="1993" t="s">
        <v>1782</v>
      </c>
    </row>
    <row r="871" spans="1:4" ht="15">
      <c r="A871" t="s">
        <v>3688</v>
      </c>
      <c r="B871" s="4662" t="str">
        <f t="shared" si="13"/>
        <v>184-903</v>
      </c>
      <c r="C871" s="1417" t="s">
        <v>140</v>
      </c>
      <c r="D871" s="1993" t="s">
        <v>1782</v>
      </c>
    </row>
    <row r="872" spans="1:4" ht="15">
      <c r="A872" t="s">
        <v>3689</v>
      </c>
      <c r="B872" s="4662" t="str">
        <f t="shared" si="13"/>
        <v>184-904</v>
      </c>
      <c r="C872" s="1417" t="s">
        <v>2239</v>
      </c>
      <c r="D872" s="1993" t="s">
        <v>1782</v>
      </c>
    </row>
    <row r="873" spans="1:4" ht="15">
      <c r="A873" t="s">
        <v>3690</v>
      </c>
      <c r="B873" s="4662" t="str">
        <f t="shared" si="13"/>
        <v>184-908</v>
      </c>
      <c r="C873" s="1417" t="s">
        <v>2593</v>
      </c>
      <c r="D873" s="1993" t="s">
        <v>1782</v>
      </c>
    </row>
    <row r="874" spans="1:4" ht="15">
      <c r="A874" t="s">
        <v>3691</v>
      </c>
      <c r="B874" s="4662" t="str">
        <f t="shared" si="13"/>
        <v>184-909</v>
      </c>
      <c r="C874" s="1417" t="s">
        <v>1856</v>
      </c>
      <c r="D874" s="1993" t="s">
        <v>1782</v>
      </c>
    </row>
    <row r="875" spans="1:4" ht="15">
      <c r="A875" t="s">
        <v>6781</v>
      </c>
      <c r="B875" s="4662" t="str">
        <f t="shared" si="13"/>
        <v>185-901</v>
      </c>
      <c r="C875" s="1417" t="s">
        <v>436</v>
      </c>
      <c r="D875" s="1993" t="s">
        <v>1782</v>
      </c>
    </row>
    <row r="876" spans="1:4" ht="15">
      <c r="A876" t="s">
        <v>6782</v>
      </c>
      <c r="B876" s="4662" t="str">
        <f t="shared" si="13"/>
        <v>185-902</v>
      </c>
      <c r="C876" s="1417" t="s">
        <v>437</v>
      </c>
      <c r="D876" s="1993" t="s">
        <v>1782</v>
      </c>
    </row>
    <row r="877" spans="1:4" ht="15">
      <c r="A877" t="s">
        <v>6055</v>
      </c>
      <c r="B877" s="4662" t="str">
        <f t="shared" si="13"/>
        <v>185-903</v>
      </c>
      <c r="C877" s="1417" t="s">
        <v>438</v>
      </c>
      <c r="D877" s="1993" t="s">
        <v>1782</v>
      </c>
    </row>
    <row r="878" spans="1:4" ht="15">
      <c r="A878" t="s">
        <v>6783</v>
      </c>
      <c r="B878" s="4662" t="str">
        <f t="shared" si="13"/>
        <v>185-904</v>
      </c>
      <c r="C878" s="1417" t="s">
        <v>439</v>
      </c>
      <c r="D878" s="1993" t="s">
        <v>1782</v>
      </c>
    </row>
    <row r="879" spans="1:4" ht="15">
      <c r="A879" t="s">
        <v>6059</v>
      </c>
      <c r="B879" s="4662" t="str">
        <f t="shared" si="13"/>
        <v>187-901</v>
      </c>
      <c r="C879" s="1417" t="s">
        <v>443</v>
      </c>
      <c r="D879" s="1993" t="s">
        <v>1782</v>
      </c>
    </row>
    <row r="880" spans="1:4" ht="15">
      <c r="A880" t="s">
        <v>6784</v>
      </c>
      <c r="B880" s="4662" t="str">
        <f t="shared" si="13"/>
        <v>187-903</v>
      </c>
      <c r="C880" s="1417" t="s">
        <v>444</v>
      </c>
      <c r="D880" s="1993" t="s">
        <v>1782</v>
      </c>
    </row>
    <row r="881" spans="1:4" ht="15">
      <c r="A881" t="s">
        <v>6060</v>
      </c>
      <c r="B881" s="4662" t="str">
        <f t="shared" si="13"/>
        <v>187-904</v>
      </c>
      <c r="C881" s="1417" t="s">
        <v>445</v>
      </c>
      <c r="D881" s="1993" t="s">
        <v>1782</v>
      </c>
    </row>
    <row r="882" spans="1:4" ht="15">
      <c r="A882" t="s">
        <v>6061</v>
      </c>
      <c r="B882" s="4662" t="str">
        <f t="shared" si="13"/>
        <v>187-906</v>
      </c>
      <c r="C882" s="1417" t="s">
        <v>446</v>
      </c>
      <c r="D882" s="1993" t="s">
        <v>1782</v>
      </c>
    </row>
    <row r="883" spans="1:4" ht="15">
      <c r="A883" t="s">
        <v>3692</v>
      </c>
      <c r="B883" s="4662" t="str">
        <f t="shared" si="13"/>
        <v>187-907</v>
      </c>
      <c r="C883" s="1417" t="s">
        <v>2226</v>
      </c>
      <c r="D883" s="1993" t="s">
        <v>1782</v>
      </c>
    </row>
    <row r="884" spans="1:4" ht="15">
      <c r="A884" t="s">
        <v>6062</v>
      </c>
      <c r="B884" s="4662" t="str">
        <f t="shared" si="13"/>
        <v>187-910</v>
      </c>
      <c r="C884" s="1417" t="s">
        <v>447</v>
      </c>
      <c r="D884" s="1993" t="s">
        <v>1782</v>
      </c>
    </row>
    <row r="885" spans="1:4" ht="15">
      <c r="A885" t="s">
        <v>10019</v>
      </c>
      <c r="B885" s="4662" t="str">
        <f t="shared" si="13"/>
        <v>188-801</v>
      </c>
      <c r="C885" s="1417" t="s">
        <v>10020</v>
      </c>
      <c r="D885" s="1993" t="s">
        <v>1782</v>
      </c>
    </row>
    <row r="886" spans="1:4" ht="15">
      <c r="A886" t="s">
        <v>3693</v>
      </c>
      <c r="B886" s="4662" t="str">
        <f t="shared" si="13"/>
        <v>188-901</v>
      </c>
      <c r="C886" s="1417" t="s">
        <v>1054</v>
      </c>
      <c r="D886" s="1993" t="s">
        <v>1782</v>
      </c>
    </row>
    <row r="887" spans="1:4" ht="15">
      <c r="A887" t="s">
        <v>3694</v>
      </c>
      <c r="B887" s="4662" t="str">
        <f t="shared" si="13"/>
        <v>188-902</v>
      </c>
      <c r="C887" s="1417" t="s">
        <v>2696</v>
      </c>
      <c r="D887" s="1993" t="s">
        <v>1782</v>
      </c>
    </row>
    <row r="888" spans="1:4" ht="15">
      <c r="A888" t="s">
        <v>3696</v>
      </c>
      <c r="B888" s="4662" t="str">
        <f t="shared" si="13"/>
        <v>189-902</v>
      </c>
      <c r="C888" s="1417" t="s">
        <v>2103</v>
      </c>
      <c r="D888" s="1993" t="s">
        <v>1782</v>
      </c>
    </row>
    <row r="889" spans="1:4" ht="15">
      <c r="A889" t="s">
        <v>6065</v>
      </c>
      <c r="B889" s="4662" t="str">
        <f t="shared" si="13"/>
        <v>190-903</v>
      </c>
      <c r="C889" s="1417" t="s">
        <v>449</v>
      </c>
      <c r="D889" s="1993" t="s">
        <v>1782</v>
      </c>
    </row>
    <row r="890" spans="1:4" ht="15">
      <c r="A890" t="s">
        <v>6066</v>
      </c>
      <c r="B890" s="4662" t="str">
        <f t="shared" si="13"/>
        <v>191-901</v>
      </c>
      <c r="C890" s="1417" t="s">
        <v>2332</v>
      </c>
      <c r="D890" s="1993" t="s">
        <v>1782</v>
      </c>
    </row>
    <row r="891" spans="1:4" ht="15">
      <c r="A891" t="s">
        <v>10021</v>
      </c>
      <c r="B891" s="4662" t="str">
        <f t="shared" si="13"/>
        <v>193-801</v>
      </c>
      <c r="C891" s="1417" t="s">
        <v>10022</v>
      </c>
      <c r="D891" s="1993" t="s">
        <v>1782</v>
      </c>
    </row>
    <row r="892" spans="1:4" ht="15">
      <c r="A892" t="s">
        <v>6785</v>
      </c>
      <c r="B892" s="4662" t="str">
        <f t="shared" si="13"/>
        <v>194-902</v>
      </c>
      <c r="C892" s="1417" t="s">
        <v>2118</v>
      </c>
      <c r="D892" s="1993" t="s">
        <v>1782</v>
      </c>
    </row>
    <row r="893" spans="1:4" ht="15">
      <c r="A893" t="s">
        <v>3697</v>
      </c>
      <c r="B893" s="4662" t="str">
        <f t="shared" si="13"/>
        <v>194-903</v>
      </c>
      <c r="C893" s="1417" t="s">
        <v>2697</v>
      </c>
      <c r="D893" s="1993" t="s">
        <v>1782</v>
      </c>
    </row>
    <row r="894" spans="1:4" ht="15">
      <c r="A894" t="s">
        <v>6786</v>
      </c>
      <c r="B894" s="4662" t="str">
        <f t="shared" si="13"/>
        <v>194-904</v>
      </c>
      <c r="C894" s="1417" t="s">
        <v>1622</v>
      </c>
      <c r="D894" s="1993" t="s">
        <v>1782</v>
      </c>
    </row>
    <row r="895" spans="1:4" ht="15">
      <c r="A895" t="s">
        <v>3698</v>
      </c>
      <c r="B895" s="4662" t="str">
        <f t="shared" si="13"/>
        <v>194-905</v>
      </c>
      <c r="C895" s="1417" t="s">
        <v>2668</v>
      </c>
      <c r="D895" s="1993" t="s">
        <v>1782</v>
      </c>
    </row>
    <row r="896" spans="1:4" ht="15">
      <c r="A896" t="s">
        <v>3699</v>
      </c>
      <c r="B896" s="4662" t="str">
        <f t="shared" si="13"/>
        <v>195-902</v>
      </c>
      <c r="C896" s="1417" t="s">
        <v>2120</v>
      </c>
      <c r="D896" s="1993" t="s">
        <v>1782</v>
      </c>
    </row>
    <row r="897" spans="1:4" ht="15">
      <c r="A897" t="s">
        <v>6071</v>
      </c>
      <c r="B897" s="4662" t="str">
        <f t="shared" si="13"/>
        <v>196-902</v>
      </c>
      <c r="C897" s="1417" t="s">
        <v>1625</v>
      </c>
      <c r="D897" s="1993" t="s">
        <v>1782</v>
      </c>
    </row>
    <row r="898" spans="1:4" ht="15">
      <c r="A898" t="s">
        <v>6072</v>
      </c>
      <c r="B898" s="4662" t="str">
        <f t="shared" ref="B898:B961" si="14">CONCATENATE(LEFT(RIGHT(CONCATENATE("000",A898),6),3),"-",(RIGHT(RIGHT(CONCATENATE("000",A898),6),3)))</f>
        <v>196-903</v>
      </c>
      <c r="C898" s="1417" t="s">
        <v>1626</v>
      </c>
      <c r="D898" s="1993" t="s">
        <v>1782</v>
      </c>
    </row>
    <row r="899" spans="1:4" ht="15">
      <c r="A899" t="s">
        <v>6074</v>
      </c>
      <c r="B899" s="4662" t="str">
        <f t="shared" si="14"/>
        <v>198-901</v>
      </c>
      <c r="C899" s="1417" t="s">
        <v>1628</v>
      </c>
      <c r="D899" s="1993" t="s">
        <v>1782</v>
      </c>
    </row>
    <row r="900" spans="1:4" ht="15">
      <c r="A900" t="s">
        <v>6787</v>
      </c>
      <c r="B900" s="4662" t="str">
        <f t="shared" si="14"/>
        <v>198-902</v>
      </c>
      <c r="C900" s="1417" t="s">
        <v>1629</v>
      </c>
      <c r="D900" s="1993" t="s">
        <v>1782</v>
      </c>
    </row>
    <row r="901" spans="1:4" ht="15">
      <c r="A901" t="s">
        <v>6076</v>
      </c>
      <c r="B901" s="4662" t="str">
        <f t="shared" si="14"/>
        <v>198-905</v>
      </c>
      <c r="C901" s="1417" t="s">
        <v>1631</v>
      </c>
      <c r="D901" s="1993" t="s">
        <v>1782</v>
      </c>
    </row>
    <row r="902" spans="1:4" ht="15">
      <c r="A902" t="s">
        <v>6788</v>
      </c>
      <c r="B902" s="4662" t="str">
        <f t="shared" si="14"/>
        <v>198-906</v>
      </c>
      <c r="C902" s="1417" t="s">
        <v>976</v>
      </c>
      <c r="D902" s="1993" t="s">
        <v>1782</v>
      </c>
    </row>
    <row r="903" spans="1:4" ht="15">
      <c r="A903" t="s">
        <v>3700</v>
      </c>
      <c r="B903" s="4662" t="str">
        <f t="shared" si="14"/>
        <v>199-902</v>
      </c>
      <c r="C903" s="1417" t="s">
        <v>613</v>
      </c>
      <c r="D903" s="1993" t="s">
        <v>1782</v>
      </c>
    </row>
    <row r="904" spans="1:4" ht="15">
      <c r="A904" t="s">
        <v>6789</v>
      </c>
      <c r="B904" s="4662" t="str">
        <f t="shared" si="14"/>
        <v>200-901</v>
      </c>
      <c r="C904" s="1417" t="s">
        <v>1894</v>
      </c>
      <c r="D904" s="1993" t="s">
        <v>1782</v>
      </c>
    </row>
    <row r="905" spans="1:4" ht="15">
      <c r="A905" t="s">
        <v>3701</v>
      </c>
      <c r="B905" s="4662" t="str">
        <f t="shared" si="14"/>
        <v>200-902</v>
      </c>
      <c r="C905" s="1417" t="s">
        <v>2237</v>
      </c>
      <c r="D905" s="1993" t="s">
        <v>1782</v>
      </c>
    </row>
    <row r="906" spans="1:4" ht="15">
      <c r="A906" t="s">
        <v>5403</v>
      </c>
      <c r="B906" s="4662" t="str">
        <f t="shared" si="14"/>
        <v>200-904</v>
      </c>
      <c r="C906" s="1417" t="s">
        <v>1129</v>
      </c>
      <c r="D906" s="1993" t="s">
        <v>1782</v>
      </c>
    </row>
    <row r="907" spans="1:4" ht="15">
      <c r="A907" t="s">
        <v>3702</v>
      </c>
      <c r="B907" s="4662" t="str">
        <f t="shared" si="14"/>
        <v>200-906</v>
      </c>
      <c r="C907" s="1417" t="s">
        <v>262</v>
      </c>
      <c r="D907" s="1993" t="s">
        <v>1782</v>
      </c>
    </row>
    <row r="908" spans="1:4" ht="15">
      <c r="A908" t="s">
        <v>6078</v>
      </c>
      <c r="B908" s="4662" t="str">
        <f t="shared" si="14"/>
        <v>201-902</v>
      </c>
      <c r="C908" s="1417" t="s">
        <v>1895</v>
      </c>
      <c r="D908" s="1993" t="s">
        <v>1782</v>
      </c>
    </row>
    <row r="909" spans="1:4" ht="15">
      <c r="A909" t="s">
        <v>6790</v>
      </c>
      <c r="B909" s="4662" t="str">
        <f t="shared" si="14"/>
        <v>201-903</v>
      </c>
      <c r="C909" s="1417" t="s">
        <v>1525</v>
      </c>
      <c r="D909" s="1993" t="s">
        <v>1782</v>
      </c>
    </row>
    <row r="910" spans="1:4" ht="15">
      <c r="A910" t="s">
        <v>6791</v>
      </c>
      <c r="B910" s="4662" t="str">
        <f t="shared" si="14"/>
        <v>201-904</v>
      </c>
      <c r="C910" s="1417" t="s">
        <v>1526</v>
      </c>
      <c r="D910" s="1993" t="s">
        <v>1782</v>
      </c>
    </row>
    <row r="911" spans="1:4" ht="15">
      <c r="A911" t="s">
        <v>5407</v>
      </c>
      <c r="B911" s="4662" t="str">
        <f t="shared" si="14"/>
        <v>201-907</v>
      </c>
      <c r="C911" s="1417" t="s">
        <v>2153</v>
      </c>
      <c r="D911" s="1993" t="s">
        <v>1782</v>
      </c>
    </row>
    <row r="912" spans="1:4" ht="15">
      <c r="A912" t="s">
        <v>3703</v>
      </c>
      <c r="B912" s="4662" t="str">
        <f t="shared" si="14"/>
        <v>201-908</v>
      </c>
      <c r="C912" s="1417" t="s">
        <v>1362</v>
      </c>
      <c r="D912" s="1993" t="s">
        <v>1782</v>
      </c>
    </row>
    <row r="913" spans="1:4" ht="15">
      <c r="A913" t="s">
        <v>6079</v>
      </c>
      <c r="B913" s="4662" t="str">
        <f t="shared" si="14"/>
        <v>201-910</v>
      </c>
      <c r="C913" s="1417" t="s">
        <v>1527</v>
      </c>
      <c r="D913" s="1993" t="s">
        <v>1782</v>
      </c>
    </row>
    <row r="914" spans="1:4" ht="15">
      <c r="A914" t="s">
        <v>3704</v>
      </c>
      <c r="B914" s="4662" t="str">
        <f t="shared" si="14"/>
        <v>201-913</v>
      </c>
      <c r="C914" s="1417" t="s">
        <v>654</v>
      </c>
      <c r="D914" s="1993" t="s">
        <v>1782</v>
      </c>
    </row>
    <row r="915" spans="1:4" ht="15">
      <c r="A915" t="s">
        <v>6080</v>
      </c>
      <c r="B915" s="4662" t="str">
        <f t="shared" si="14"/>
        <v>201-914</v>
      </c>
      <c r="C915" s="1417" t="s">
        <v>3916</v>
      </c>
      <c r="D915" s="1993" t="s">
        <v>1782</v>
      </c>
    </row>
    <row r="916" spans="1:4" ht="15">
      <c r="A916" t="s">
        <v>6792</v>
      </c>
      <c r="B916" s="4662" t="str">
        <f t="shared" si="14"/>
        <v>202-903</v>
      </c>
      <c r="C916" s="1417" t="s">
        <v>1529</v>
      </c>
      <c r="D916" s="1993" t="s">
        <v>1782</v>
      </c>
    </row>
    <row r="917" spans="1:4" ht="15">
      <c r="A917" t="s">
        <v>3705</v>
      </c>
      <c r="B917" s="4662" t="str">
        <f t="shared" si="14"/>
        <v>202-905</v>
      </c>
      <c r="C917" s="1417" t="s">
        <v>1530</v>
      </c>
      <c r="D917" s="1993" t="s">
        <v>1782</v>
      </c>
    </row>
    <row r="918" spans="1:4" ht="15">
      <c r="A918" t="s">
        <v>3706</v>
      </c>
      <c r="B918" s="4662" t="str">
        <f t="shared" si="14"/>
        <v>203-901</v>
      </c>
      <c r="C918" s="1417" t="s">
        <v>2070</v>
      </c>
      <c r="D918" s="1993" t="s">
        <v>1782</v>
      </c>
    </row>
    <row r="919" spans="1:4" ht="15">
      <c r="A919" t="s">
        <v>3707</v>
      </c>
      <c r="B919" s="4662" t="str">
        <f t="shared" si="14"/>
        <v>204-904</v>
      </c>
      <c r="C919" s="1417" t="s">
        <v>351</v>
      </c>
      <c r="D919" s="1993" t="s">
        <v>1782</v>
      </c>
    </row>
    <row r="920" spans="1:4" ht="15">
      <c r="A920" t="s">
        <v>3708</v>
      </c>
      <c r="B920" s="4662" t="str">
        <f t="shared" si="14"/>
        <v>205-901</v>
      </c>
      <c r="C920" s="1417" t="s">
        <v>2420</v>
      </c>
      <c r="D920" s="1993" t="s">
        <v>1782</v>
      </c>
    </row>
    <row r="921" spans="1:4" ht="15">
      <c r="A921" t="s">
        <v>6082</v>
      </c>
      <c r="B921" s="4662" t="str">
        <f t="shared" si="14"/>
        <v>205-902</v>
      </c>
      <c r="C921" s="1417" t="s">
        <v>352</v>
      </c>
      <c r="D921" s="1993" t="s">
        <v>1782</v>
      </c>
    </row>
    <row r="922" spans="1:4" ht="15">
      <c r="A922" t="s">
        <v>3709</v>
      </c>
      <c r="B922" s="4662" t="str">
        <f t="shared" si="14"/>
        <v>205-904</v>
      </c>
      <c r="C922" s="1417" t="s">
        <v>2066</v>
      </c>
      <c r="D922" s="1993" t="s">
        <v>1782</v>
      </c>
    </row>
    <row r="923" spans="1:4" ht="15">
      <c r="A923" t="s">
        <v>3710</v>
      </c>
      <c r="B923" s="4662" t="str">
        <f t="shared" si="14"/>
        <v>205-905</v>
      </c>
      <c r="C923" s="1417" t="s">
        <v>260</v>
      </c>
      <c r="D923" s="1993" t="s">
        <v>1782</v>
      </c>
    </row>
    <row r="924" spans="1:4" ht="15">
      <c r="A924" t="s">
        <v>3711</v>
      </c>
      <c r="B924" s="4662" t="str">
        <f t="shared" si="14"/>
        <v>205-906</v>
      </c>
      <c r="C924" s="1417" t="s">
        <v>267</v>
      </c>
      <c r="D924" s="1993" t="s">
        <v>1782</v>
      </c>
    </row>
    <row r="925" spans="1:4" ht="15">
      <c r="A925" t="s">
        <v>3712</v>
      </c>
      <c r="B925" s="4662" t="str">
        <f t="shared" si="14"/>
        <v>205-907</v>
      </c>
      <c r="C925" s="1417" t="s">
        <v>601</v>
      </c>
      <c r="D925" s="1993" t="s">
        <v>1782</v>
      </c>
    </row>
    <row r="926" spans="1:4" ht="15">
      <c r="A926" t="s">
        <v>3713</v>
      </c>
      <c r="B926" s="4662" t="str">
        <f t="shared" si="14"/>
        <v>206-901</v>
      </c>
      <c r="C926" s="1417" t="s">
        <v>1404</v>
      </c>
      <c r="D926" s="1993" t="s">
        <v>1782</v>
      </c>
    </row>
    <row r="927" spans="1:4" ht="15">
      <c r="A927" t="s">
        <v>6794</v>
      </c>
      <c r="B927" s="4662" t="str">
        <f t="shared" si="14"/>
        <v>206-902</v>
      </c>
      <c r="C927" s="1417" t="s">
        <v>354</v>
      </c>
      <c r="D927" s="1993" t="s">
        <v>1782</v>
      </c>
    </row>
    <row r="928" spans="1:4" ht="15">
      <c r="A928" t="s">
        <v>6795</v>
      </c>
      <c r="B928" s="4662" t="str">
        <f t="shared" si="14"/>
        <v>206-903</v>
      </c>
      <c r="C928" s="1417" t="s">
        <v>355</v>
      </c>
      <c r="D928" s="1993" t="s">
        <v>1782</v>
      </c>
    </row>
    <row r="929" spans="1:4" ht="15">
      <c r="A929" t="s">
        <v>6796</v>
      </c>
      <c r="B929" s="4662" t="str">
        <f t="shared" si="14"/>
        <v>207-901</v>
      </c>
      <c r="C929" s="1417" t="s">
        <v>356</v>
      </c>
      <c r="D929" s="1993" t="s">
        <v>1782</v>
      </c>
    </row>
    <row r="930" spans="1:4" ht="15">
      <c r="A930" t="s">
        <v>6084</v>
      </c>
      <c r="B930" s="4662" t="str">
        <f t="shared" si="14"/>
        <v>208-901</v>
      </c>
      <c r="C930" s="1417" t="s">
        <v>357</v>
      </c>
      <c r="D930" s="1993" t="s">
        <v>1782</v>
      </c>
    </row>
    <row r="931" spans="1:4" ht="15">
      <c r="A931" t="s">
        <v>6086</v>
      </c>
      <c r="B931" s="4662" t="str">
        <f t="shared" si="14"/>
        <v>208-903</v>
      </c>
      <c r="C931" s="1417" t="s">
        <v>359</v>
      </c>
      <c r="D931" s="1993" t="s">
        <v>1782</v>
      </c>
    </row>
    <row r="932" spans="1:4" ht="15">
      <c r="A932" t="s">
        <v>6797</v>
      </c>
      <c r="B932" s="4662" t="str">
        <f t="shared" si="14"/>
        <v>209-901</v>
      </c>
      <c r="C932" s="1417" t="s">
        <v>360</v>
      </c>
      <c r="D932" s="1993" t="s">
        <v>1782</v>
      </c>
    </row>
    <row r="933" spans="1:4" ht="15">
      <c r="A933" t="s">
        <v>6798</v>
      </c>
      <c r="B933" s="4662" t="str">
        <f t="shared" si="14"/>
        <v>209-902</v>
      </c>
      <c r="C933" s="1417" t="s">
        <v>361</v>
      </c>
      <c r="D933" s="1993" t="s">
        <v>1782</v>
      </c>
    </row>
    <row r="934" spans="1:4" ht="15">
      <c r="A934" t="s">
        <v>3714</v>
      </c>
      <c r="B934" s="4662" t="str">
        <f t="shared" si="14"/>
        <v>210-901</v>
      </c>
      <c r="C934" s="1417" t="s">
        <v>1776</v>
      </c>
      <c r="D934" s="1993" t="s">
        <v>1782</v>
      </c>
    </row>
    <row r="935" spans="1:4" ht="15">
      <c r="A935" t="s">
        <v>6087</v>
      </c>
      <c r="B935" s="4662" t="str">
        <f t="shared" si="14"/>
        <v>210-902</v>
      </c>
      <c r="C935" s="1417" t="s">
        <v>1777</v>
      </c>
      <c r="D935" s="1993" t="s">
        <v>1782</v>
      </c>
    </row>
    <row r="936" spans="1:4" ht="15">
      <c r="A936" t="s">
        <v>3715</v>
      </c>
      <c r="B936" s="4662" t="str">
        <f t="shared" si="14"/>
        <v>210-903</v>
      </c>
      <c r="C936" s="1417" t="s">
        <v>1249</v>
      </c>
      <c r="D936" s="1993" t="s">
        <v>1782</v>
      </c>
    </row>
    <row r="937" spans="1:4" ht="15">
      <c r="A937" t="s">
        <v>6088</v>
      </c>
      <c r="B937" s="4662" t="str">
        <f t="shared" si="14"/>
        <v>210-904</v>
      </c>
      <c r="C937" s="1417" t="s">
        <v>1778</v>
      </c>
      <c r="D937" s="1993" t="s">
        <v>1782</v>
      </c>
    </row>
    <row r="938" spans="1:4" ht="15">
      <c r="A938" t="s">
        <v>6799</v>
      </c>
      <c r="B938" s="4662" t="str">
        <f t="shared" si="14"/>
        <v>210-905</v>
      </c>
      <c r="C938" s="1417" t="s">
        <v>1779</v>
      </c>
      <c r="D938" s="1993" t="s">
        <v>1782</v>
      </c>
    </row>
    <row r="939" spans="1:4" ht="15">
      <c r="A939" t="s">
        <v>6800</v>
      </c>
      <c r="B939" s="4662" t="str">
        <f t="shared" si="14"/>
        <v>210-906</v>
      </c>
      <c r="C939" s="1417" t="s">
        <v>1780</v>
      </c>
      <c r="D939" s="1993" t="s">
        <v>1782</v>
      </c>
    </row>
    <row r="940" spans="1:4" ht="15">
      <c r="A940" t="s">
        <v>6089</v>
      </c>
      <c r="B940" s="4662" t="str">
        <f t="shared" si="14"/>
        <v>211-901</v>
      </c>
      <c r="C940" s="1417" t="s">
        <v>1781</v>
      </c>
      <c r="D940" s="1993" t="s">
        <v>1782</v>
      </c>
    </row>
    <row r="941" spans="1:4" ht="15">
      <c r="A941" t="s">
        <v>10023</v>
      </c>
      <c r="B941" s="4662" t="str">
        <f t="shared" si="14"/>
        <v>212-801</v>
      </c>
      <c r="C941" s="1417" t="s">
        <v>10024</v>
      </c>
      <c r="D941" s="1993" t="s">
        <v>1782</v>
      </c>
    </row>
    <row r="942" spans="1:4" ht="15">
      <c r="A942" t="s">
        <v>10025</v>
      </c>
      <c r="B942" s="4662" t="str">
        <f t="shared" si="14"/>
        <v>212-803</v>
      </c>
      <c r="C942" s="1417" t="s">
        <v>10026</v>
      </c>
      <c r="D942" s="1993" t="s">
        <v>1782</v>
      </c>
    </row>
    <row r="943" spans="1:4" ht="15">
      <c r="A943" t="s">
        <v>10027</v>
      </c>
      <c r="B943" s="4662" t="str">
        <f t="shared" si="14"/>
        <v>212-804</v>
      </c>
      <c r="C943" s="1417" t="s">
        <v>10028</v>
      </c>
      <c r="D943" s="1993" t="s">
        <v>1782</v>
      </c>
    </row>
    <row r="944" spans="1:4" ht="15">
      <c r="A944" t="s">
        <v>3716</v>
      </c>
      <c r="B944" s="4662" t="str">
        <f t="shared" si="14"/>
        <v>212-901</v>
      </c>
      <c r="C944" s="1417" t="s">
        <v>2115</v>
      </c>
      <c r="D944" s="1993" t="s">
        <v>1782</v>
      </c>
    </row>
    <row r="945" spans="1:4" ht="15">
      <c r="A945" t="s">
        <v>6090</v>
      </c>
      <c r="B945" s="4662" t="str">
        <f t="shared" si="14"/>
        <v>212-902</v>
      </c>
      <c r="C945" s="1417" t="s">
        <v>1995</v>
      </c>
      <c r="D945" s="1993" t="s">
        <v>1782</v>
      </c>
    </row>
    <row r="946" spans="1:4" ht="15">
      <c r="A946" t="s">
        <v>3717</v>
      </c>
      <c r="B946" s="4662" t="str">
        <f t="shared" si="14"/>
        <v>212-903</v>
      </c>
      <c r="C946" s="1417" t="s">
        <v>1996</v>
      </c>
      <c r="D946" s="1993" t="s">
        <v>1782</v>
      </c>
    </row>
    <row r="947" spans="1:4" ht="15">
      <c r="A947" t="s">
        <v>6091</v>
      </c>
      <c r="B947" s="4662" t="str">
        <f t="shared" si="14"/>
        <v>212-904</v>
      </c>
      <c r="C947" s="1417" t="s">
        <v>1997</v>
      </c>
      <c r="D947" s="1993" t="s">
        <v>1782</v>
      </c>
    </row>
    <row r="948" spans="1:4" ht="15">
      <c r="A948" t="s">
        <v>6092</v>
      </c>
      <c r="B948" s="4662" t="str">
        <f t="shared" si="14"/>
        <v>212-905</v>
      </c>
      <c r="C948" s="1417" t="s">
        <v>1998</v>
      </c>
      <c r="D948" s="1993" t="s">
        <v>1782</v>
      </c>
    </row>
    <row r="949" spans="1:4" ht="15">
      <c r="A949" t="s">
        <v>3718</v>
      </c>
      <c r="B949" s="4662" t="str">
        <f t="shared" si="14"/>
        <v>212-906</v>
      </c>
      <c r="C949" s="1417" t="s">
        <v>1334</v>
      </c>
      <c r="D949" s="1993" t="s">
        <v>1782</v>
      </c>
    </row>
    <row r="950" spans="1:4" ht="15">
      <c r="A950" t="s">
        <v>3719</v>
      </c>
      <c r="B950" s="4662" t="str">
        <f t="shared" si="14"/>
        <v>212-909</v>
      </c>
      <c r="C950" s="1417" t="s">
        <v>660</v>
      </c>
      <c r="D950" s="1993" t="s">
        <v>1782</v>
      </c>
    </row>
    <row r="951" spans="1:4" ht="15">
      <c r="A951" t="s">
        <v>6093</v>
      </c>
      <c r="B951" s="4662" t="str">
        <f t="shared" si="14"/>
        <v>212-910</v>
      </c>
      <c r="C951" s="1417" t="s">
        <v>1999</v>
      </c>
      <c r="D951" s="1993" t="s">
        <v>1782</v>
      </c>
    </row>
    <row r="952" spans="1:4" ht="15">
      <c r="A952" t="s">
        <v>10029</v>
      </c>
      <c r="B952" s="4662" t="str">
        <f t="shared" si="14"/>
        <v>213-801</v>
      </c>
      <c r="C952" s="1417" t="s">
        <v>10030</v>
      </c>
      <c r="D952" s="1993" t="s">
        <v>1782</v>
      </c>
    </row>
    <row r="953" spans="1:4" ht="15">
      <c r="A953" t="s">
        <v>3720</v>
      </c>
      <c r="B953" s="4662" t="str">
        <f t="shared" si="14"/>
        <v>214-901</v>
      </c>
      <c r="C953" s="1417" t="s">
        <v>2693</v>
      </c>
      <c r="D953" s="1993" t="s">
        <v>1782</v>
      </c>
    </row>
    <row r="954" spans="1:4" ht="15">
      <c r="A954" t="s">
        <v>6095</v>
      </c>
      <c r="B954" s="4662" t="str">
        <f t="shared" si="14"/>
        <v>214-902</v>
      </c>
      <c r="C954" s="1417" t="s">
        <v>2001</v>
      </c>
      <c r="D954" s="1993" t="s">
        <v>1782</v>
      </c>
    </row>
    <row r="955" spans="1:4" ht="15">
      <c r="A955" t="s">
        <v>3721</v>
      </c>
      <c r="B955" s="4662" t="str">
        <f t="shared" si="14"/>
        <v>214-903</v>
      </c>
      <c r="C955" s="1417" t="s">
        <v>608</v>
      </c>
      <c r="D955" s="1993" t="s">
        <v>1782</v>
      </c>
    </row>
    <row r="956" spans="1:4" ht="15">
      <c r="A956" t="s">
        <v>6096</v>
      </c>
      <c r="B956" s="4662" t="str">
        <f t="shared" si="14"/>
        <v>215-901</v>
      </c>
      <c r="C956" s="1417" t="s">
        <v>2002</v>
      </c>
      <c r="D956" s="1993" t="s">
        <v>1782</v>
      </c>
    </row>
    <row r="957" spans="1:4" ht="15">
      <c r="A957" t="s">
        <v>6098</v>
      </c>
      <c r="B957" s="4662" t="str">
        <f t="shared" si="14"/>
        <v>217-901</v>
      </c>
      <c r="C957" s="1417" t="s">
        <v>2563</v>
      </c>
      <c r="D957" s="1993" t="s">
        <v>1782</v>
      </c>
    </row>
    <row r="958" spans="1:4" ht="15">
      <c r="A958" t="s">
        <v>6099</v>
      </c>
      <c r="B958" s="4662" t="str">
        <f t="shared" si="14"/>
        <v>218-901</v>
      </c>
      <c r="C958" s="1417" t="s">
        <v>2564</v>
      </c>
      <c r="D958" s="1993" t="s">
        <v>1782</v>
      </c>
    </row>
    <row r="959" spans="1:4" ht="15">
      <c r="A959" t="s">
        <v>6802</v>
      </c>
      <c r="B959" s="4662" t="str">
        <f t="shared" si="14"/>
        <v>219-901</v>
      </c>
      <c r="C959" s="1417" t="s">
        <v>2565</v>
      </c>
      <c r="D959" s="1993" t="s">
        <v>1782</v>
      </c>
    </row>
    <row r="960" spans="1:4" ht="15">
      <c r="A960" t="s">
        <v>6803</v>
      </c>
      <c r="B960" s="4662" t="str">
        <f t="shared" si="14"/>
        <v>219-903</v>
      </c>
      <c r="C960" s="1417" t="s">
        <v>2566</v>
      </c>
      <c r="D960" s="1993" t="s">
        <v>1782</v>
      </c>
    </row>
    <row r="961" spans="1:4" ht="15">
      <c r="A961" t="s">
        <v>6100</v>
      </c>
      <c r="B961" s="4662" t="str">
        <f t="shared" si="14"/>
        <v>219-905</v>
      </c>
      <c r="C961" s="1417" t="s">
        <v>2567</v>
      </c>
      <c r="D961" s="1993" t="s">
        <v>1782</v>
      </c>
    </row>
    <row r="962" spans="1:4" ht="15">
      <c r="A962" t="s">
        <v>10031</v>
      </c>
      <c r="B962" s="4662" t="str">
        <f t="shared" ref="B962:B1025" si="15">CONCATENATE(LEFT(RIGHT(CONCATENATE("000",A962),6),3),"-",(RIGHT(RIGHT(CONCATENATE("000",A962),6),3)))</f>
        <v>220-801</v>
      </c>
      <c r="C962" s="1417" t="s">
        <v>10032</v>
      </c>
      <c r="D962" s="1993" t="s">
        <v>1782</v>
      </c>
    </row>
    <row r="963" spans="1:4" ht="15">
      <c r="A963" t="s">
        <v>10033</v>
      </c>
      <c r="B963" s="4662" t="str">
        <f t="shared" si="15"/>
        <v>220-802</v>
      </c>
      <c r="C963" s="1417" t="s">
        <v>10034</v>
      </c>
      <c r="D963" s="1993" t="s">
        <v>1782</v>
      </c>
    </row>
    <row r="964" spans="1:4" ht="15">
      <c r="A964" t="s">
        <v>10035</v>
      </c>
      <c r="B964" s="4662" t="str">
        <f t="shared" si="15"/>
        <v>220-803</v>
      </c>
      <c r="C964" s="1417" t="s">
        <v>9773</v>
      </c>
      <c r="D964" s="1993" t="s">
        <v>1782</v>
      </c>
    </row>
    <row r="965" spans="1:4" ht="15">
      <c r="A965" t="s">
        <v>10036</v>
      </c>
      <c r="B965" s="4662" t="str">
        <f t="shared" si="15"/>
        <v>220-804</v>
      </c>
      <c r="C965" s="1417" t="s">
        <v>10037</v>
      </c>
      <c r="D965" s="1993" t="s">
        <v>1782</v>
      </c>
    </row>
    <row r="966" spans="1:4" ht="15">
      <c r="A966" t="s">
        <v>10038</v>
      </c>
      <c r="B966" s="4662" t="str">
        <f t="shared" si="15"/>
        <v>220-806</v>
      </c>
      <c r="C966" s="1417" t="s">
        <v>10039</v>
      </c>
      <c r="D966" s="1993" t="s">
        <v>1782</v>
      </c>
    </row>
    <row r="967" spans="1:4" ht="15">
      <c r="A967" t="s">
        <v>10040</v>
      </c>
      <c r="B967" s="4662" t="str">
        <f t="shared" si="15"/>
        <v>220-808</v>
      </c>
      <c r="C967" s="1417" t="s">
        <v>10041</v>
      </c>
      <c r="D967" s="1993" t="s">
        <v>1782</v>
      </c>
    </row>
    <row r="968" spans="1:4" ht="15">
      <c r="A968" t="s">
        <v>10042</v>
      </c>
      <c r="B968" s="4662" t="str">
        <f t="shared" si="15"/>
        <v>220-809</v>
      </c>
      <c r="C968" s="1417" t="s">
        <v>10043</v>
      </c>
      <c r="D968" s="1993" t="s">
        <v>1782</v>
      </c>
    </row>
    <row r="969" spans="1:4" ht="15">
      <c r="A969" t="s">
        <v>10044</v>
      </c>
      <c r="B969" s="4662" t="str">
        <f t="shared" si="15"/>
        <v>220-810</v>
      </c>
      <c r="C969" s="1417" t="s">
        <v>10045</v>
      </c>
      <c r="D969" s="1993" t="s">
        <v>1782</v>
      </c>
    </row>
    <row r="970" spans="1:4" ht="15">
      <c r="A970" t="s">
        <v>10046</v>
      </c>
      <c r="B970" s="4662" t="str">
        <f t="shared" si="15"/>
        <v>220-811</v>
      </c>
      <c r="C970" s="1417" t="s">
        <v>10047</v>
      </c>
      <c r="D970" s="1993" t="s">
        <v>1782</v>
      </c>
    </row>
    <row r="971" spans="1:4" ht="15">
      <c r="A971" t="s">
        <v>10048</v>
      </c>
      <c r="B971" s="4662" t="str">
        <f t="shared" si="15"/>
        <v>220-812</v>
      </c>
      <c r="C971" s="1417" t="s">
        <v>10049</v>
      </c>
      <c r="D971" s="1993" t="s">
        <v>1782</v>
      </c>
    </row>
    <row r="972" spans="1:4" ht="15">
      <c r="A972" t="s">
        <v>10050</v>
      </c>
      <c r="B972" s="4662" t="str">
        <f t="shared" si="15"/>
        <v>220-813</v>
      </c>
      <c r="C972" s="1417" t="s">
        <v>10051</v>
      </c>
      <c r="D972" s="1993" t="s">
        <v>1782</v>
      </c>
    </row>
    <row r="973" spans="1:4" ht="15">
      <c r="A973" t="s">
        <v>10052</v>
      </c>
      <c r="B973" s="4662" t="str">
        <f t="shared" si="15"/>
        <v>220-814</v>
      </c>
      <c r="C973" s="1417" t="s">
        <v>10053</v>
      </c>
      <c r="D973" s="1993" t="s">
        <v>1782</v>
      </c>
    </row>
    <row r="974" spans="1:4" ht="15">
      <c r="A974" t="s">
        <v>10054</v>
      </c>
      <c r="B974" s="4662" t="str">
        <f t="shared" si="15"/>
        <v>220-815</v>
      </c>
      <c r="C974" s="1417" t="s">
        <v>10055</v>
      </c>
      <c r="D974" s="1993" t="s">
        <v>1782</v>
      </c>
    </row>
    <row r="975" spans="1:4" ht="15">
      <c r="A975" t="s">
        <v>10056</v>
      </c>
      <c r="B975" s="4662" t="str">
        <f t="shared" si="15"/>
        <v>220-816</v>
      </c>
      <c r="C975" s="1417" t="s">
        <v>10057</v>
      </c>
      <c r="D975" s="1993" t="s">
        <v>1782</v>
      </c>
    </row>
    <row r="976" spans="1:4" ht="15">
      <c r="A976" t="s">
        <v>10058</v>
      </c>
      <c r="B976" s="4662" t="str">
        <f t="shared" si="15"/>
        <v>220-817</v>
      </c>
      <c r="C976" s="1417" t="s">
        <v>10059</v>
      </c>
      <c r="D976" s="1993" t="s">
        <v>1782</v>
      </c>
    </row>
    <row r="977" spans="1:4" ht="15">
      <c r="A977" t="s">
        <v>10060</v>
      </c>
      <c r="B977" s="4662" t="str">
        <f t="shared" si="15"/>
        <v>220-818</v>
      </c>
      <c r="C977" s="1417" t="s">
        <v>10061</v>
      </c>
      <c r="D977" s="1993" t="s">
        <v>1782</v>
      </c>
    </row>
    <row r="978" spans="1:4" ht="15">
      <c r="A978" t="s">
        <v>10062</v>
      </c>
      <c r="B978" s="4662" t="str">
        <f t="shared" si="15"/>
        <v>220-819</v>
      </c>
      <c r="C978" s="1417" t="s">
        <v>10063</v>
      </c>
      <c r="D978" s="1993" t="s">
        <v>1782</v>
      </c>
    </row>
    <row r="979" spans="1:4" ht="15">
      <c r="A979" t="s">
        <v>10064</v>
      </c>
      <c r="B979" s="4662" t="str">
        <f t="shared" si="15"/>
        <v>220-825</v>
      </c>
      <c r="C979" s="1417" t="s">
        <v>10065</v>
      </c>
      <c r="D979" s="1993" t="s">
        <v>1782</v>
      </c>
    </row>
    <row r="980" spans="1:4" ht="15">
      <c r="A980" t="s">
        <v>3722</v>
      </c>
      <c r="B980" s="4662" t="str">
        <f t="shared" si="15"/>
        <v>220-901</v>
      </c>
      <c r="C980" s="1417" t="s">
        <v>2421</v>
      </c>
      <c r="D980" s="1993" t="s">
        <v>1782</v>
      </c>
    </row>
    <row r="981" spans="1:4" ht="15">
      <c r="A981" t="s">
        <v>3723</v>
      </c>
      <c r="B981" s="4662" t="str">
        <f t="shared" si="15"/>
        <v>220-902</v>
      </c>
      <c r="C981" s="1417" t="s">
        <v>797</v>
      </c>
      <c r="D981" s="1993" t="s">
        <v>1782</v>
      </c>
    </row>
    <row r="982" spans="1:4" ht="15">
      <c r="A982" t="s">
        <v>3724</v>
      </c>
      <c r="B982" s="4662" t="str">
        <f t="shared" si="15"/>
        <v>220-904</v>
      </c>
      <c r="C982" s="1417" t="s">
        <v>2568</v>
      </c>
      <c r="D982" s="1993" t="s">
        <v>1782</v>
      </c>
    </row>
    <row r="983" spans="1:4" ht="15">
      <c r="A983" t="s">
        <v>6101</v>
      </c>
      <c r="B983" s="4662" t="str">
        <f t="shared" si="15"/>
        <v>220-905</v>
      </c>
      <c r="C983" s="1417" t="s">
        <v>1278</v>
      </c>
      <c r="D983" s="1993" t="s">
        <v>1782</v>
      </c>
    </row>
    <row r="984" spans="1:4" ht="15">
      <c r="A984" t="s">
        <v>3725</v>
      </c>
      <c r="B984" s="4662" t="str">
        <f t="shared" si="15"/>
        <v>220-907</v>
      </c>
      <c r="C984" s="1417" t="s">
        <v>412</v>
      </c>
      <c r="D984" s="1993" t="s">
        <v>1782</v>
      </c>
    </row>
    <row r="985" spans="1:4" ht="15">
      <c r="A985" t="s">
        <v>3726</v>
      </c>
      <c r="B985" s="4662" t="str">
        <f t="shared" si="15"/>
        <v>220-908</v>
      </c>
      <c r="C985" s="1417" t="s">
        <v>290</v>
      </c>
      <c r="D985" s="1993" t="s">
        <v>1782</v>
      </c>
    </row>
    <row r="986" spans="1:4" ht="15">
      <c r="A986" t="s">
        <v>10066</v>
      </c>
      <c r="B986" s="4662" t="str">
        <f t="shared" si="15"/>
        <v>220-909</v>
      </c>
      <c r="C986" s="1417" t="s">
        <v>10067</v>
      </c>
      <c r="D986" s="1993" t="s">
        <v>1782</v>
      </c>
    </row>
    <row r="987" spans="1:4" ht="15">
      <c r="A987" t="s">
        <v>3727</v>
      </c>
      <c r="B987" s="4662" t="str">
        <f t="shared" si="15"/>
        <v>220-910</v>
      </c>
      <c r="C987" s="1417" t="s">
        <v>2301</v>
      </c>
      <c r="D987" s="1993" t="s">
        <v>1782</v>
      </c>
    </row>
    <row r="988" spans="1:4" ht="15">
      <c r="A988" t="s">
        <v>3728</v>
      </c>
      <c r="B988" s="4662" t="str">
        <f t="shared" si="15"/>
        <v>220-912</v>
      </c>
      <c r="C988" s="1417" t="s">
        <v>419</v>
      </c>
      <c r="D988" s="1993" t="s">
        <v>1782</v>
      </c>
    </row>
    <row r="989" spans="1:4" ht="15">
      <c r="A989" t="s">
        <v>3729</v>
      </c>
      <c r="B989" s="4662" t="str">
        <f t="shared" si="15"/>
        <v>220-914</v>
      </c>
      <c r="C989" s="1417" t="s">
        <v>2516</v>
      </c>
      <c r="D989" s="1993" t="s">
        <v>1782</v>
      </c>
    </row>
    <row r="990" spans="1:4" ht="15">
      <c r="A990" t="s">
        <v>3730</v>
      </c>
      <c r="B990" s="4662" t="str">
        <f t="shared" si="15"/>
        <v>220-915</v>
      </c>
      <c r="C990" s="1417" t="s">
        <v>2119</v>
      </c>
      <c r="D990" s="1993" t="s">
        <v>1782</v>
      </c>
    </row>
    <row r="991" spans="1:4" ht="15">
      <c r="A991" t="s">
        <v>3731</v>
      </c>
      <c r="B991" s="4662" t="str">
        <f t="shared" si="15"/>
        <v>220-916</v>
      </c>
      <c r="C991" s="1417" t="s">
        <v>1267</v>
      </c>
      <c r="D991" s="1993" t="s">
        <v>1782</v>
      </c>
    </row>
    <row r="992" spans="1:4" ht="15">
      <c r="A992" t="s">
        <v>3732</v>
      </c>
      <c r="B992" s="4662" t="str">
        <f t="shared" si="15"/>
        <v>220-917</v>
      </c>
      <c r="C992" s="1417" t="s">
        <v>657</v>
      </c>
      <c r="D992" s="1993" t="s">
        <v>1782</v>
      </c>
    </row>
    <row r="993" spans="1:4" ht="15">
      <c r="A993" t="s">
        <v>3733</v>
      </c>
      <c r="B993" s="4662" t="str">
        <f t="shared" si="15"/>
        <v>220-918</v>
      </c>
      <c r="C993" s="1417" t="s">
        <v>1280</v>
      </c>
      <c r="D993" s="1993" t="s">
        <v>1782</v>
      </c>
    </row>
    <row r="994" spans="1:4" ht="15">
      <c r="A994" t="s">
        <v>3734</v>
      </c>
      <c r="B994" s="4662" t="str">
        <f t="shared" si="15"/>
        <v>220-920</v>
      </c>
      <c r="C994" s="1417" t="s">
        <v>1333</v>
      </c>
      <c r="D994" s="1993" t="s">
        <v>1782</v>
      </c>
    </row>
    <row r="995" spans="1:4" ht="15">
      <c r="A995" t="s">
        <v>10068</v>
      </c>
      <c r="B995" s="4662" t="str">
        <f t="shared" si="15"/>
        <v>221-801</v>
      </c>
      <c r="C995" s="1417" t="s">
        <v>10069</v>
      </c>
      <c r="D995" s="1993" t="s">
        <v>1782</v>
      </c>
    </row>
    <row r="996" spans="1:4" ht="15">
      <c r="A996" t="s">
        <v>6103</v>
      </c>
      <c r="B996" s="4662" t="str">
        <f t="shared" si="15"/>
        <v>221-901</v>
      </c>
      <c r="C996" s="1417" t="s">
        <v>1281</v>
      </c>
      <c r="D996" s="1993" t="s">
        <v>1782</v>
      </c>
    </row>
    <row r="997" spans="1:4" ht="15">
      <c r="A997" t="s">
        <v>6104</v>
      </c>
      <c r="B997" s="4662" t="str">
        <f t="shared" si="15"/>
        <v>221-904</v>
      </c>
      <c r="C997" s="1417" t="s">
        <v>1282</v>
      </c>
      <c r="D997" s="1993" t="s">
        <v>1782</v>
      </c>
    </row>
    <row r="998" spans="1:4" ht="15">
      <c r="A998" t="s">
        <v>6105</v>
      </c>
      <c r="B998" s="4662" t="str">
        <f t="shared" si="15"/>
        <v>221-905</v>
      </c>
      <c r="C998" s="1417" t="s">
        <v>1283</v>
      </c>
      <c r="D998" s="1993" t="s">
        <v>1782</v>
      </c>
    </row>
    <row r="999" spans="1:4" ht="15">
      <c r="A999" t="s">
        <v>6106</v>
      </c>
      <c r="B999" s="4662" t="str">
        <f t="shared" si="15"/>
        <v>221-911</v>
      </c>
      <c r="C999" s="1417" t="s">
        <v>2335</v>
      </c>
      <c r="D999" s="1993" t="s">
        <v>1782</v>
      </c>
    </row>
    <row r="1000" spans="1:4" ht="15">
      <c r="A1000" t="s">
        <v>6107</v>
      </c>
      <c r="B1000" s="4662" t="str">
        <f t="shared" si="15"/>
        <v>221-912</v>
      </c>
      <c r="C1000" s="1417" t="s">
        <v>1132</v>
      </c>
      <c r="D1000" s="1993" t="s">
        <v>1782</v>
      </c>
    </row>
    <row r="1001" spans="1:4" ht="15">
      <c r="A1001" t="s">
        <v>6109</v>
      </c>
      <c r="B1001" s="4662" t="str">
        <f t="shared" si="15"/>
        <v>223-901</v>
      </c>
      <c r="C1001" s="1417" t="s">
        <v>305</v>
      </c>
      <c r="D1001" s="1993" t="s">
        <v>1782</v>
      </c>
    </row>
    <row r="1002" spans="1:4" ht="15">
      <c r="A1002" t="s">
        <v>3735</v>
      </c>
      <c r="B1002" s="4662" t="str">
        <f t="shared" si="15"/>
        <v>223-902</v>
      </c>
      <c r="C1002" s="1417" t="s">
        <v>822</v>
      </c>
      <c r="D1002" s="1993" t="s">
        <v>1782</v>
      </c>
    </row>
    <row r="1003" spans="1:4" ht="15">
      <c r="A1003" t="s">
        <v>6110</v>
      </c>
      <c r="B1003" s="4662" t="str">
        <f t="shared" si="15"/>
        <v>223-904</v>
      </c>
      <c r="C1003" s="1417" t="s">
        <v>2336</v>
      </c>
      <c r="D1003" s="1993" t="s">
        <v>1782</v>
      </c>
    </row>
    <row r="1004" spans="1:4" ht="15">
      <c r="A1004" t="s">
        <v>6805</v>
      </c>
      <c r="B1004" s="4662" t="str">
        <f t="shared" si="15"/>
        <v>224-902</v>
      </c>
      <c r="C1004" s="1417" t="s">
        <v>637</v>
      </c>
      <c r="D1004" s="1993" t="s">
        <v>1782</v>
      </c>
    </row>
    <row r="1005" spans="1:4" ht="15">
      <c r="A1005" t="s">
        <v>6111</v>
      </c>
      <c r="B1005" s="4662" t="str">
        <f t="shared" si="15"/>
        <v>225-902</v>
      </c>
      <c r="C1005" s="1417" t="s">
        <v>638</v>
      </c>
      <c r="D1005" s="1993" t="s">
        <v>1782</v>
      </c>
    </row>
    <row r="1006" spans="1:4" ht="15">
      <c r="A1006" t="s">
        <v>6806</v>
      </c>
      <c r="B1006" s="4662" t="str">
        <f t="shared" si="15"/>
        <v>225-905</v>
      </c>
      <c r="C1006" s="1417" t="s">
        <v>1665</v>
      </c>
      <c r="D1006" s="1993" t="s">
        <v>1782</v>
      </c>
    </row>
    <row r="1007" spans="1:4" ht="15">
      <c r="A1007" t="s">
        <v>3736</v>
      </c>
      <c r="B1007" s="4662" t="str">
        <f t="shared" si="15"/>
        <v>225-906</v>
      </c>
      <c r="C1007" s="1417" t="s">
        <v>660</v>
      </c>
      <c r="D1007" s="1993" t="s">
        <v>1782</v>
      </c>
    </row>
    <row r="1008" spans="1:4" ht="15">
      <c r="A1008" t="s">
        <v>6807</v>
      </c>
      <c r="B1008" s="4662" t="str">
        <f t="shared" si="15"/>
        <v>225-907</v>
      </c>
      <c r="C1008" s="1417" t="s">
        <v>1666</v>
      </c>
      <c r="D1008" s="1993" t="s">
        <v>1782</v>
      </c>
    </row>
    <row r="1009" spans="1:4" ht="15">
      <c r="A1009" t="s">
        <v>10070</v>
      </c>
      <c r="B1009" s="4662" t="str">
        <f t="shared" si="15"/>
        <v>226-801</v>
      </c>
      <c r="C1009" s="1417" t="s">
        <v>10071</v>
      </c>
      <c r="D1009" s="1993" t="s">
        <v>1782</v>
      </c>
    </row>
    <row r="1010" spans="1:4" ht="15">
      <c r="A1010" t="s">
        <v>6112</v>
      </c>
      <c r="B1010" s="4662" t="str">
        <f t="shared" si="15"/>
        <v>226-901</v>
      </c>
      <c r="C1010" s="1417" t="s">
        <v>1906</v>
      </c>
      <c r="D1010" s="1993" t="s">
        <v>1782</v>
      </c>
    </row>
    <row r="1011" spans="1:4" ht="15">
      <c r="A1011" t="s">
        <v>3737</v>
      </c>
      <c r="B1011" s="4662" t="str">
        <f t="shared" si="15"/>
        <v>226-903</v>
      </c>
      <c r="C1011" s="1417" t="s">
        <v>2027</v>
      </c>
      <c r="D1011" s="1993" t="s">
        <v>1782</v>
      </c>
    </row>
    <row r="1012" spans="1:4" ht="15">
      <c r="A1012" t="s">
        <v>6113</v>
      </c>
      <c r="B1012" s="4662" t="str">
        <f t="shared" si="15"/>
        <v>226-905</v>
      </c>
      <c r="C1012" s="1417" t="s">
        <v>1907</v>
      </c>
      <c r="D1012" s="1993" t="s">
        <v>1782</v>
      </c>
    </row>
    <row r="1013" spans="1:4" ht="15">
      <c r="A1013" t="s">
        <v>3738</v>
      </c>
      <c r="B1013" s="4662" t="str">
        <f t="shared" si="15"/>
        <v>226-906</v>
      </c>
      <c r="C1013" s="1417" t="s">
        <v>137</v>
      </c>
      <c r="D1013" s="1993" t="s">
        <v>1782</v>
      </c>
    </row>
    <row r="1014" spans="1:4" ht="15">
      <c r="A1014" t="s">
        <v>3739</v>
      </c>
      <c r="B1014" s="4662" t="str">
        <f t="shared" si="15"/>
        <v>226-907</v>
      </c>
      <c r="C1014" s="1417" t="s">
        <v>1731</v>
      </c>
      <c r="D1014" s="1993" t="s">
        <v>1782</v>
      </c>
    </row>
    <row r="1015" spans="1:4" ht="15">
      <c r="A1015" t="s">
        <v>3740</v>
      </c>
      <c r="B1015" s="4662" t="str">
        <f t="shared" si="15"/>
        <v>226-908</v>
      </c>
      <c r="C1015" s="1417" t="s">
        <v>2645</v>
      </c>
      <c r="D1015" s="1993" t="s">
        <v>1782</v>
      </c>
    </row>
    <row r="1016" spans="1:4" ht="15">
      <c r="A1016" t="s">
        <v>10072</v>
      </c>
      <c r="B1016" s="4662" t="str">
        <f t="shared" si="15"/>
        <v>227-622</v>
      </c>
      <c r="C1016" s="1417" t="s">
        <v>10073</v>
      </c>
      <c r="D1016" s="1993" t="s">
        <v>1782</v>
      </c>
    </row>
    <row r="1017" spans="1:4" ht="15">
      <c r="A1017" t="s">
        <v>10074</v>
      </c>
      <c r="B1017" s="4662" t="str">
        <f t="shared" si="15"/>
        <v>227-801</v>
      </c>
      <c r="C1017" s="1417" t="s">
        <v>10075</v>
      </c>
      <c r="D1017" s="1993" t="s">
        <v>1782</v>
      </c>
    </row>
    <row r="1018" spans="1:4" ht="15">
      <c r="A1018" t="s">
        <v>10076</v>
      </c>
      <c r="B1018" s="4662" t="str">
        <f t="shared" si="15"/>
        <v>227-803</v>
      </c>
      <c r="C1018" s="1417" t="s">
        <v>10077</v>
      </c>
      <c r="D1018" s="1993" t="s">
        <v>1782</v>
      </c>
    </row>
    <row r="1019" spans="1:4" ht="15">
      <c r="A1019" t="s">
        <v>10078</v>
      </c>
      <c r="B1019" s="4662" t="str">
        <f t="shared" si="15"/>
        <v>227-804</v>
      </c>
      <c r="C1019" s="1417" t="s">
        <v>10079</v>
      </c>
      <c r="D1019" s="1993" t="s">
        <v>1782</v>
      </c>
    </row>
    <row r="1020" spans="1:4" ht="15">
      <c r="A1020" t="s">
        <v>10080</v>
      </c>
      <c r="B1020" s="4662" t="str">
        <f t="shared" si="15"/>
        <v>227-805</v>
      </c>
      <c r="C1020" s="1417" t="s">
        <v>10081</v>
      </c>
      <c r="D1020" s="1993" t="s">
        <v>1782</v>
      </c>
    </row>
    <row r="1021" spans="1:4" ht="15">
      <c r="A1021" t="s">
        <v>10082</v>
      </c>
      <c r="B1021" s="4662" t="str">
        <f t="shared" si="15"/>
        <v>227-806</v>
      </c>
      <c r="C1021" s="1417" t="s">
        <v>10083</v>
      </c>
      <c r="D1021" s="1993" t="s">
        <v>1782</v>
      </c>
    </row>
    <row r="1022" spans="1:4" ht="15">
      <c r="A1022" t="s">
        <v>10084</v>
      </c>
      <c r="B1022" s="4662" t="str">
        <f t="shared" si="15"/>
        <v>227-811</v>
      </c>
      <c r="C1022" s="1417" t="s">
        <v>10085</v>
      </c>
      <c r="D1022" s="1993" t="s">
        <v>1782</v>
      </c>
    </row>
    <row r="1023" spans="1:4" ht="15">
      <c r="A1023" t="s">
        <v>10086</v>
      </c>
      <c r="B1023" s="4662" t="str">
        <f t="shared" si="15"/>
        <v>227-812</v>
      </c>
      <c r="C1023" s="1417" t="s">
        <v>10087</v>
      </c>
      <c r="D1023" s="1993" t="s">
        <v>1782</v>
      </c>
    </row>
    <row r="1024" spans="1:4" ht="15">
      <c r="A1024" t="s">
        <v>10088</v>
      </c>
      <c r="B1024" s="4662" t="str">
        <f t="shared" si="15"/>
        <v>227-814</v>
      </c>
      <c r="C1024" s="1417" t="s">
        <v>10089</v>
      </c>
      <c r="D1024" s="1993" t="s">
        <v>1782</v>
      </c>
    </row>
    <row r="1025" spans="1:4" ht="15">
      <c r="A1025" t="s">
        <v>10090</v>
      </c>
      <c r="B1025" s="4662" t="str">
        <f t="shared" si="15"/>
        <v>227-816</v>
      </c>
      <c r="C1025" s="1417" t="s">
        <v>10091</v>
      </c>
      <c r="D1025" s="1993" t="s">
        <v>1782</v>
      </c>
    </row>
    <row r="1026" spans="1:4" ht="15">
      <c r="A1026" t="s">
        <v>10092</v>
      </c>
      <c r="B1026" s="4662" t="str">
        <f t="shared" ref="B1026:B1089" si="16">CONCATENATE(LEFT(RIGHT(CONCATENATE("000",A1026),6),3),"-",(RIGHT(RIGHT(CONCATENATE("000",A1026),6),3)))</f>
        <v>227-817</v>
      </c>
      <c r="C1026" s="1417" t="s">
        <v>10093</v>
      </c>
      <c r="D1026" s="1993" t="s">
        <v>1782</v>
      </c>
    </row>
    <row r="1027" spans="1:4" ht="15">
      <c r="A1027" t="s">
        <v>10094</v>
      </c>
      <c r="B1027" s="4662" t="str">
        <f t="shared" si="16"/>
        <v>227-818</v>
      </c>
      <c r="C1027" s="1417" t="s">
        <v>10095</v>
      </c>
      <c r="D1027" s="1993" t="s">
        <v>1782</v>
      </c>
    </row>
    <row r="1028" spans="1:4" ht="15">
      <c r="A1028" t="s">
        <v>10096</v>
      </c>
      <c r="B1028" s="4662" t="str">
        <f t="shared" si="16"/>
        <v>227-819</v>
      </c>
      <c r="C1028" s="1417" t="s">
        <v>10097</v>
      </c>
      <c r="D1028" s="1993" t="s">
        <v>1782</v>
      </c>
    </row>
    <row r="1029" spans="1:4" ht="15">
      <c r="A1029" t="s">
        <v>10098</v>
      </c>
      <c r="B1029" s="4662" t="str">
        <f t="shared" si="16"/>
        <v>227-820</v>
      </c>
      <c r="C1029" s="1417" t="s">
        <v>10099</v>
      </c>
      <c r="D1029" s="1993" t="s">
        <v>1782</v>
      </c>
    </row>
    <row r="1030" spans="1:4" ht="15">
      <c r="A1030" t="s">
        <v>10100</v>
      </c>
      <c r="B1030" s="4662" t="str">
        <f t="shared" si="16"/>
        <v>227-821</v>
      </c>
      <c r="C1030" s="1417" t="s">
        <v>10101</v>
      </c>
      <c r="D1030" s="1993" t="s">
        <v>1782</v>
      </c>
    </row>
    <row r="1031" spans="1:4" ht="15">
      <c r="A1031" t="s">
        <v>10102</v>
      </c>
      <c r="B1031" s="4662" t="str">
        <f t="shared" si="16"/>
        <v>227-822</v>
      </c>
      <c r="C1031" s="1417" t="s">
        <v>10103</v>
      </c>
      <c r="D1031" s="1993" t="s">
        <v>1782</v>
      </c>
    </row>
    <row r="1032" spans="1:4" ht="15">
      <c r="A1032" t="s">
        <v>10104</v>
      </c>
      <c r="B1032" s="4662" t="str">
        <f t="shared" si="16"/>
        <v>227-823</v>
      </c>
      <c r="C1032" s="1417" t="s">
        <v>10105</v>
      </c>
      <c r="D1032" s="1993" t="s">
        <v>1782</v>
      </c>
    </row>
    <row r="1033" spans="1:4" ht="15">
      <c r="A1033" t="s">
        <v>10106</v>
      </c>
      <c r="B1033" s="4662" t="str">
        <f t="shared" si="16"/>
        <v>227-824</v>
      </c>
      <c r="C1033" s="1417" t="s">
        <v>10107</v>
      </c>
      <c r="D1033" s="1993" t="s">
        <v>1782</v>
      </c>
    </row>
    <row r="1034" spans="1:4" ht="15">
      <c r="A1034" t="s">
        <v>10108</v>
      </c>
      <c r="B1034" s="4662" t="str">
        <f t="shared" si="16"/>
        <v>227-825</v>
      </c>
      <c r="C1034" s="1417" t="s">
        <v>10065</v>
      </c>
      <c r="D1034" s="1993" t="s">
        <v>1782</v>
      </c>
    </row>
    <row r="1035" spans="1:4" ht="15">
      <c r="A1035" t="s">
        <v>10109</v>
      </c>
      <c r="B1035" s="4662" t="str">
        <f t="shared" si="16"/>
        <v>227-826</v>
      </c>
      <c r="C1035" s="1417" t="s">
        <v>10110</v>
      </c>
      <c r="D1035" s="1993" t="s">
        <v>1782</v>
      </c>
    </row>
    <row r="1036" spans="1:4" ht="15">
      <c r="A1036" t="s">
        <v>10111</v>
      </c>
      <c r="B1036" s="4662" t="str">
        <f t="shared" si="16"/>
        <v>227-827</v>
      </c>
      <c r="C1036" s="1417" t="s">
        <v>10112</v>
      </c>
      <c r="D1036" s="1993" t="s">
        <v>1782</v>
      </c>
    </row>
    <row r="1037" spans="1:4" ht="15">
      <c r="A1037" t="s">
        <v>10113</v>
      </c>
      <c r="B1037" s="4662" t="str">
        <f t="shared" si="16"/>
        <v>227-828</v>
      </c>
      <c r="C1037" s="1417" t="s">
        <v>10114</v>
      </c>
      <c r="D1037" s="1993" t="s">
        <v>1782</v>
      </c>
    </row>
    <row r="1038" spans="1:4" ht="15">
      <c r="A1038" t="s">
        <v>10115</v>
      </c>
      <c r="B1038" s="4662" t="str">
        <f t="shared" si="16"/>
        <v>227-829</v>
      </c>
      <c r="C1038" s="1417" t="s">
        <v>10116</v>
      </c>
      <c r="D1038" s="1993" t="s">
        <v>1782</v>
      </c>
    </row>
    <row r="1039" spans="1:4" ht="15">
      <c r="A1039" t="s">
        <v>3741</v>
      </c>
      <c r="B1039" s="4662" t="str">
        <f t="shared" si="16"/>
        <v>227-904</v>
      </c>
      <c r="C1039" s="1417" t="s">
        <v>998</v>
      </c>
      <c r="D1039" s="1993" t="s">
        <v>1782</v>
      </c>
    </row>
    <row r="1040" spans="1:4" ht="15">
      <c r="A1040" t="s">
        <v>10117</v>
      </c>
      <c r="B1040" s="4662" t="str">
        <f t="shared" si="16"/>
        <v>227-905</v>
      </c>
      <c r="C1040" s="1417" t="s">
        <v>10118</v>
      </c>
      <c r="D1040" s="1993" t="s">
        <v>1782</v>
      </c>
    </row>
    <row r="1041" spans="1:4" ht="15">
      <c r="A1041" t="s">
        <v>10119</v>
      </c>
      <c r="B1041" s="4662" t="str">
        <f t="shared" si="16"/>
        <v>227-906</v>
      </c>
      <c r="C1041" s="1417" t="s">
        <v>10120</v>
      </c>
      <c r="D1041" s="1993" t="s">
        <v>1782</v>
      </c>
    </row>
    <row r="1042" spans="1:4" ht="15">
      <c r="A1042" t="s">
        <v>6115</v>
      </c>
      <c r="B1042" s="4662" t="str">
        <f t="shared" si="16"/>
        <v>227-907</v>
      </c>
      <c r="C1042" s="1417" t="s">
        <v>1909</v>
      </c>
      <c r="D1042" s="1993" t="s">
        <v>1782</v>
      </c>
    </row>
    <row r="1043" spans="1:4" ht="15">
      <c r="A1043" t="s">
        <v>3742</v>
      </c>
      <c r="B1043" s="4662" t="str">
        <f t="shared" si="16"/>
        <v>227-910</v>
      </c>
      <c r="C1043" s="1417" t="s">
        <v>2667</v>
      </c>
      <c r="D1043" s="1993" t="s">
        <v>1782</v>
      </c>
    </row>
    <row r="1044" spans="1:4" ht="15">
      <c r="A1044" t="s">
        <v>6808</v>
      </c>
      <c r="B1044" s="4662" t="str">
        <f t="shared" si="16"/>
        <v>228-901</v>
      </c>
      <c r="C1044" s="1417" t="s">
        <v>1913</v>
      </c>
      <c r="D1044" s="1993" t="s">
        <v>1782</v>
      </c>
    </row>
    <row r="1045" spans="1:4" ht="15">
      <c r="A1045" t="s">
        <v>6119</v>
      </c>
      <c r="B1045" s="4662" t="str">
        <f t="shared" si="16"/>
        <v>228-903</v>
      </c>
      <c r="C1045" s="1417" t="s">
        <v>1914</v>
      </c>
      <c r="D1045" s="1993" t="s">
        <v>1782</v>
      </c>
    </row>
    <row r="1046" spans="1:4" ht="15">
      <c r="A1046" t="s">
        <v>6809</v>
      </c>
      <c r="B1046" s="4662" t="str">
        <f t="shared" si="16"/>
        <v>228-904</v>
      </c>
      <c r="C1046" s="1417" t="s">
        <v>1824</v>
      </c>
      <c r="D1046" s="1993" t="s">
        <v>1782</v>
      </c>
    </row>
    <row r="1047" spans="1:4" ht="15">
      <c r="A1047" t="s">
        <v>6810</v>
      </c>
      <c r="B1047" s="4662" t="str">
        <f t="shared" si="16"/>
        <v>228-905</v>
      </c>
      <c r="C1047" s="1417" t="s">
        <v>1915</v>
      </c>
      <c r="D1047" s="1993" t="s">
        <v>1782</v>
      </c>
    </row>
    <row r="1048" spans="1:4" ht="15">
      <c r="A1048" t="s">
        <v>5567</v>
      </c>
      <c r="B1048" s="4662" t="str">
        <f t="shared" si="16"/>
        <v>229-901</v>
      </c>
      <c r="C1048" s="1417" t="s">
        <v>1547</v>
      </c>
      <c r="D1048" s="1993" t="s">
        <v>1782</v>
      </c>
    </row>
    <row r="1049" spans="1:4" ht="15">
      <c r="A1049" t="s">
        <v>6120</v>
      </c>
      <c r="B1049" s="4662" t="str">
        <f t="shared" si="16"/>
        <v>229-903</v>
      </c>
      <c r="C1049" s="1417" t="s">
        <v>1916</v>
      </c>
      <c r="D1049" s="1993" t="s">
        <v>1782</v>
      </c>
    </row>
    <row r="1050" spans="1:4" ht="15">
      <c r="A1050" t="s">
        <v>3743</v>
      </c>
      <c r="B1050" s="4662" t="str">
        <f t="shared" si="16"/>
        <v>229-904</v>
      </c>
      <c r="C1050" s="1417" t="s">
        <v>1917</v>
      </c>
      <c r="D1050" s="1993" t="s">
        <v>1782</v>
      </c>
    </row>
    <row r="1051" spans="1:4" ht="15">
      <c r="A1051" t="s">
        <v>3744</v>
      </c>
      <c r="B1051" s="4662" t="str">
        <f t="shared" si="16"/>
        <v>229-905</v>
      </c>
      <c r="C1051" s="1417" t="s">
        <v>1938</v>
      </c>
      <c r="D1051" s="1993" t="s">
        <v>1782</v>
      </c>
    </row>
    <row r="1052" spans="1:4" ht="15">
      <c r="A1052" t="s">
        <v>3745</v>
      </c>
      <c r="B1052" s="4662" t="str">
        <f t="shared" si="16"/>
        <v>229-906</v>
      </c>
      <c r="C1052" s="1417" t="s">
        <v>2184</v>
      </c>
      <c r="D1052" s="1993" t="s">
        <v>1782</v>
      </c>
    </row>
    <row r="1053" spans="1:4" ht="15">
      <c r="A1053" t="s">
        <v>6121</v>
      </c>
      <c r="B1053" s="4662" t="str">
        <f t="shared" si="16"/>
        <v>230-901</v>
      </c>
      <c r="C1053" s="1417" t="s">
        <v>443</v>
      </c>
      <c r="D1053" s="1993" t="s">
        <v>1782</v>
      </c>
    </row>
    <row r="1054" spans="1:4" ht="15">
      <c r="A1054" t="s">
        <v>6122</v>
      </c>
      <c r="B1054" s="4662" t="str">
        <f t="shared" si="16"/>
        <v>230-902</v>
      </c>
      <c r="C1054" s="1417" t="s">
        <v>1918</v>
      </c>
      <c r="D1054" s="1993" t="s">
        <v>1782</v>
      </c>
    </row>
    <row r="1055" spans="1:4" ht="15">
      <c r="A1055" t="s">
        <v>3746</v>
      </c>
      <c r="B1055" s="4662" t="str">
        <f t="shared" si="16"/>
        <v>230-903</v>
      </c>
      <c r="C1055" s="1417" t="s">
        <v>1017</v>
      </c>
      <c r="D1055" s="1993" t="s">
        <v>1782</v>
      </c>
    </row>
    <row r="1056" spans="1:4" ht="15">
      <c r="A1056" t="s">
        <v>6811</v>
      </c>
      <c r="B1056" s="4662" t="str">
        <f t="shared" si="16"/>
        <v>230-904</v>
      </c>
      <c r="C1056" s="1417" t="s">
        <v>777</v>
      </c>
      <c r="D1056" s="1993" t="s">
        <v>1782</v>
      </c>
    </row>
    <row r="1057" spans="1:4" ht="15">
      <c r="A1057" t="s">
        <v>3747</v>
      </c>
      <c r="B1057" s="4662" t="str">
        <f t="shared" si="16"/>
        <v>230-905</v>
      </c>
      <c r="C1057" s="1417" t="s">
        <v>827</v>
      </c>
      <c r="D1057" s="1993" t="s">
        <v>1782</v>
      </c>
    </row>
    <row r="1058" spans="1:4" ht="15">
      <c r="A1058" t="s">
        <v>3748</v>
      </c>
      <c r="B1058" s="4662" t="str">
        <f t="shared" si="16"/>
        <v>230-906</v>
      </c>
      <c r="C1058" s="1417" t="s">
        <v>1536</v>
      </c>
      <c r="D1058" s="1993" t="s">
        <v>1782</v>
      </c>
    </row>
    <row r="1059" spans="1:4" ht="15">
      <c r="A1059" t="s">
        <v>6123</v>
      </c>
      <c r="B1059" s="4662" t="str">
        <f t="shared" si="16"/>
        <v>230-908</v>
      </c>
      <c r="C1059" s="1417" t="s">
        <v>778</v>
      </c>
      <c r="D1059" s="1993" t="s">
        <v>1782</v>
      </c>
    </row>
    <row r="1060" spans="1:4" ht="15">
      <c r="A1060" t="s">
        <v>10121</v>
      </c>
      <c r="B1060" s="4662" t="str">
        <f t="shared" si="16"/>
        <v>232-801</v>
      </c>
      <c r="C1060" s="1417" t="s">
        <v>10122</v>
      </c>
      <c r="D1060" s="1993" t="s">
        <v>1782</v>
      </c>
    </row>
    <row r="1061" spans="1:4" ht="15">
      <c r="A1061" t="s">
        <v>3749</v>
      </c>
      <c r="B1061" s="4662" t="str">
        <f t="shared" si="16"/>
        <v>232-901</v>
      </c>
      <c r="C1061" s="1417" t="s">
        <v>2472</v>
      </c>
      <c r="D1061" s="1993" t="s">
        <v>1782</v>
      </c>
    </row>
    <row r="1062" spans="1:4" ht="15">
      <c r="A1062" t="s">
        <v>3751</v>
      </c>
      <c r="B1062" s="4662" t="str">
        <f t="shared" si="16"/>
        <v>232-903</v>
      </c>
      <c r="C1062" s="1417" t="s">
        <v>296</v>
      </c>
      <c r="D1062" s="1993" t="s">
        <v>1782</v>
      </c>
    </row>
    <row r="1063" spans="1:4" ht="15">
      <c r="A1063" t="s">
        <v>3752</v>
      </c>
      <c r="B1063" s="4662" t="str">
        <f t="shared" si="16"/>
        <v>233-901</v>
      </c>
      <c r="C1063" s="1417" t="s">
        <v>2146</v>
      </c>
      <c r="D1063" s="1993" t="s">
        <v>1782</v>
      </c>
    </row>
    <row r="1064" spans="1:4" ht="15">
      <c r="A1064" t="s">
        <v>10123</v>
      </c>
      <c r="B1064" s="4662" t="str">
        <f t="shared" si="16"/>
        <v>234-801</v>
      </c>
      <c r="C1064" s="1417" t="s">
        <v>10124</v>
      </c>
      <c r="D1064" s="1993" t="s">
        <v>1782</v>
      </c>
    </row>
    <row r="1065" spans="1:4" ht="15">
      <c r="A1065" t="s">
        <v>3753</v>
      </c>
      <c r="B1065" s="4662" t="str">
        <f t="shared" si="16"/>
        <v>234-902</v>
      </c>
      <c r="C1065" s="1417" t="s">
        <v>1146</v>
      </c>
      <c r="D1065" s="1993" t="s">
        <v>1782</v>
      </c>
    </row>
    <row r="1066" spans="1:4" ht="15">
      <c r="A1066" t="s">
        <v>6126</v>
      </c>
      <c r="B1066" s="4662" t="str">
        <f t="shared" si="16"/>
        <v>234-903</v>
      </c>
      <c r="C1066" s="1417" t="s">
        <v>888</v>
      </c>
      <c r="D1066" s="1993" t="s">
        <v>1782</v>
      </c>
    </row>
    <row r="1067" spans="1:4" ht="15">
      <c r="A1067" t="s">
        <v>3754</v>
      </c>
      <c r="B1067" s="4662" t="str">
        <f t="shared" si="16"/>
        <v>234-904</v>
      </c>
      <c r="C1067" s="1417" t="s">
        <v>864</v>
      </c>
      <c r="D1067" s="1993" t="s">
        <v>1782</v>
      </c>
    </row>
    <row r="1068" spans="1:4" ht="15">
      <c r="A1068" t="s">
        <v>3755</v>
      </c>
      <c r="B1068" s="4662" t="str">
        <f t="shared" si="16"/>
        <v>234-905</v>
      </c>
      <c r="C1068" s="1417" t="s">
        <v>2065</v>
      </c>
      <c r="D1068" s="1993" t="s">
        <v>1782</v>
      </c>
    </row>
    <row r="1069" spans="1:4" ht="15">
      <c r="A1069" t="s">
        <v>3756</v>
      </c>
      <c r="B1069" s="4662" t="str">
        <f t="shared" si="16"/>
        <v>234-906</v>
      </c>
      <c r="C1069" s="1417" t="s">
        <v>1147</v>
      </c>
      <c r="D1069" s="1993" t="s">
        <v>1782</v>
      </c>
    </row>
    <row r="1070" spans="1:4" ht="15">
      <c r="A1070" t="s">
        <v>6127</v>
      </c>
      <c r="B1070" s="4662" t="str">
        <f t="shared" si="16"/>
        <v>234-907</v>
      </c>
      <c r="C1070" s="1417" t="s">
        <v>2081</v>
      </c>
      <c r="D1070" s="1993" t="s">
        <v>1782</v>
      </c>
    </row>
    <row r="1071" spans="1:4" ht="15">
      <c r="A1071" t="s">
        <v>3757</v>
      </c>
      <c r="B1071" s="4662" t="str">
        <f t="shared" si="16"/>
        <v>234-909</v>
      </c>
      <c r="C1071" s="1417" t="s">
        <v>1478</v>
      </c>
      <c r="D1071" s="1993" t="s">
        <v>1782</v>
      </c>
    </row>
    <row r="1072" spans="1:4" ht="15">
      <c r="A1072" t="s">
        <v>10125</v>
      </c>
      <c r="B1072" s="4662" t="str">
        <f t="shared" si="16"/>
        <v>235-801</v>
      </c>
      <c r="C1072" s="1417" t="s">
        <v>10126</v>
      </c>
      <c r="D1072" s="1993" t="s">
        <v>1782</v>
      </c>
    </row>
    <row r="1073" spans="1:4" ht="15">
      <c r="A1073" t="s">
        <v>3758</v>
      </c>
      <c r="B1073" s="4662" t="str">
        <f t="shared" si="16"/>
        <v>235-901</v>
      </c>
      <c r="C1073" s="1417" t="s">
        <v>1344</v>
      </c>
      <c r="D1073" s="1993" t="s">
        <v>1782</v>
      </c>
    </row>
    <row r="1074" spans="1:4" ht="15">
      <c r="A1074" t="s">
        <v>3759</v>
      </c>
      <c r="B1074" s="4662" t="str">
        <f t="shared" si="16"/>
        <v>235-902</v>
      </c>
      <c r="C1074" s="1417" t="s">
        <v>134</v>
      </c>
      <c r="D1074" s="1993" t="s">
        <v>1782</v>
      </c>
    </row>
    <row r="1075" spans="1:4" ht="15">
      <c r="A1075" t="s">
        <v>10127</v>
      </c>
      <c r="B1075" s="4662" t="str">
        <f t="shared" si="16"/>
        <v>236-801</v>
      </c>
      <c r="C1075" s="1417" t="s">
        <v>10128</v>
      </c>
      <c r="D1075" s="1993" t="s">
        <v>1782</v>
      </c>
    </row>
    <row r="1076" spans="1:4" ht="15">
      <c r="A1076" t="s">
        <v>10129</v>
      </c>
      <c r="B1076" s="4662" t="str">
        <f t="shared" si="16"/>
        <v>236-802</v>
      </c>
      <c r="C1076" s="1417" t="s">
        <v>10130</v>
      </c>
      <c r="D1076" s="1993" t="s">
        <v>1782</v>
      </c>
    </row>
    <row r="1077" spans="1:4" ht="15">
      <c r="A1077" t="s">
        <v>3760</v>
      </c>
      <c r="B1077" s="4662" t="str">
        <f t="shared" si="16"/>
        <v>236-901</v>
      </c>
      <c r="C1077" s="1417" t="s">
        <v>1144</v>
      </c>
      <c r="D1077" s="1993" t="s">
        <v>1782</v>
      </c>
    </row>
    <row r="1078" spans="1:4" ht="15">
      <c r="A1078" t="s">
        <v>3761</v>
      </c>
      <c r="B1078" s="4662" t="str">
        <f t="shared" si="16"/>
        <v>236-902</v>
      </c>
      <c r="C1078" s="1417" t="s">
        <v>93</v>
      </c>
      <c r="D1078" s="1993" t="s">
        <v>1782</v>
      </c>
    </row>
    <row r="1079" spans="1:4" ht="15">
      <c r="A1079" t="s">
        <v>10131</v>
      </c>
      <c r="B1079" s="4662" t="str">
        <f t="shared" si="16"/>
        <v>236-903</v>
      </c>
      <c r="C1079" s="1417" t="s">
        <v>10132</v>
      </c>
      <c r="D1079" s="1993" t="s">
        <v>1782</v>
      </c>
    </row>
    <row r="1080" spans="1:4" ht="15">
      <c r="A1080" t="s">
        <v>3762</v>
      </c>
      <c r="B1080" s="4662" t="str">
        <f t="shared" si="16"/>
        <v>237-902</v>
      </c>
      <c r="C1080" s="1417" t="s">
        <v>2371</v>
      </c>
      <c r="D1080" s="1993" t="s">
        <v>1782</v>
      </c>
    </row>
    <row r="1081" spans="1:4" ht="15">
      <c r="A1081" t="s">
        <v>3763</v>
      </c>
      <c r="B1081" s="4662" t="str">
        <f t="shared" si="16"/>
        <v>237-904</v>
      </c>
      <c r="C1081" s="1417" t="s">
        <v>138</v>
      </c>
      <c r="D1081" s="1993" t="s">
        <v>1782</v>
      </c>
    </row>
    <row r="1082" spans="1:4" ht="15">
      <c r="A1082" t="s">
        <v>3764</v>
      </c>
      <c r="B1082" s="4662" t="str">
        <f t="shared" si="16"/>
        <v>237-905</v>
      </c>
      <c r="C1082" s="1417" t="s">
        <v>94</v>
      </c>
      <c r="D1082" s="1993" t="s">
        <v>1782</v>
      </c>
    </row>
    <row r="1083" spans="1:4" ht="15">
      <c r="A1083" t="s">
        <v>6814</v>
      </c>
      <c r="B1083" s="4662" t="str">
        <f t="shared" si="16"/>
        <v>238-904</v>
      </c>
      <c r="C1083" s="1417" t="s">
        <v>1216</v>
      </c>
      <c r="D1083" s="1993" t="s">
        <v>1782</v>
      </c>
    </row>
    <row r="1084" spans="1:4" ht="15">
      <c r="A1084" t="s">
        <v>10133</v>
      </c>
      <c r="B1084" s="4662" t="str">
        <f t="shared" si="16"/>
        <v>238-905</v>
      </c>
      <c r="C1084" s="1417" t="s">
        <v>10134</v>
      </c>
      <c r="D1084" s="1993" t="s">
        <v>1782</v>
      </c>
    </row>
    <row r="1085" spans="1:4" ht="15">
      <c r="A1085" t="s">
        <v>6130</v>
      </c>
      <c r="B1085" s="4662" t="str">
        <f t="shared" si="16"/>
        <v>239-901</v>
      </c>
      <c r="C1085" s="1417" t="s">
        <v>1217</v>
      </c>
      <c r="D1085" s="1993" t="s">
        <v>1782</v>
      </c>
    </row>
    <row r="1086" spans="1:4" ht="15">
      <c r="A1086" t="s">
        <v>10135</v>
      </c>
      <c r="B1086" s="4662" t="str">
        <f t="shared" si="16"/>
        <v>240-503</v>
      </c>
      <c r="C1086" s="1417" t="s">
        <v>10136</v>
      </c>
      <c r="D1086" s="1993" t="s">
        <v>1782</v>
      </c>
    </row>
    <row r="1087" spans="1:4" ht="15">
      <c r="A1087" t="s">
        <v>10137</v>
      </c>
      <c r="B1087" s="4662" t="str">
        <f t="shared" si="16"/>
        <v>240-801</v>
      </c>
      <c r="C1087" s="1417" t="s">
        <v>10138</v>
      </c>
      <c r="D1087" s="1993" t="s">
        <v>1782</v>
      </c>
    </row>
    <row r="1088" spans="1:4" ht="15">
      <c r="A1088" t="s">
        <v>10139</v>
      </c>
      <c r="B1088" s="4662" t="str">
        <f t="shared" si="16"/>
        <v>240-804</v>
      </c>
      <c r="C1088" s="1417" t="s">
        <v>10140</v>
      </c>
      <c r="D1088" s="1993" t="s">
        <v>1782</v>
      </c>
    </row>
    <row r="1089" spans="1:4" ht="15">
      <c r="A1089" t="s">
        <v>3765</v>
      </c>
      <c r="B1089" s="4662" t="str">
        <f t="shared" si="16"/>
        <v>240-901</v>
      </c>
      <c r="C1089" s="1417" t="s">
        <v>2345</v>
      </c>
      <c r="D1089" s="1993" t="s">
        <v>1782</v>
      </c>
    </row>
    <row r="1090" spans="1:4" ht="15">
      <c r="A1090" t="s">
        <v>10141</v>
      </c>
      <c r="B1090" s="4662" t="str">
        <f t="shared" ref="B1090:B1153" si="17">CONCATENATE(LEFT(RIGHT(CONCATENATE("000",A1090),6),3),"-",(RIGHT(RIGHT(CONCATENATE("000",A1090),6),3)))</f>
        <v>240-902</v>
      </c>
      <c r="C1090" s="1417" t="s">
        <v>10142</v>
      </c>
      <c r="D1090" s="1993" t="s">
        <v>1782</v>
      </c>
    </row>
    <row r="1091" spans="1:4" ht="15">
      <c r="A1091" t="s">
        <v>3766</v>
      </c>
      <c r="B1091" s="4662" t="str">
        <f t="shared" si="17"/>
        <v>240-903</v>
      </c>
      <c r="C1091" s="1417" t="s">
        <v>2362</v>
      </c>
      <c r="D1091" s="1993" t="s">
        <v>1782</v>
      </c>
    </row>
    <row r="1092" spans="1:4" ht="15">
      <c r="A1092" t="s">
        <v>6815</v>
      </c>
      <c r="B1092" s="4662" t="str">
        <f t="shared" si="17"/>
        <v>241-901</v>
      </c>
      <c r="C1092" s="1417" t="s">
        <v>1220</v>
      </c>
      <c r="D1092" s="1993" t="s">
        <v>1782</v>
      </c>
    </row>
    <row r="1093" spans="1:4" ht="15">
      <c r="A1093" t="s">
        <v>6133</v>
      </c>
      <c r="B1093" s="4662" t="str">
        <f t="shared" si="17"/>
        <v>241-902</v>
      </c>
      <c r="C1093" s="1417" t="s">
        <v>1221</v>
      </c>
      <c r="D1093" s="1993" t="s">
        <v>1782</v>
      </c>
    </row>
    <row r="1094" spans="1:4" ht="15">
      <c r="A1094" t="s">
        <v>6134</v>
      </c>
      <c r="B1094" s="4662" t="str">
        <f t="shared" si="17"/>
        <v>241-903</v>
      </c>
      <c r="C1094" s="1417" t="s">
        <v>1222</v>
      </c>
      <c r="D1094" s="1993" t="s">
        <v>1782</v>
      </c>
    </row>
    <row r="1095" spans="1:4" ht="15">
      <c r="A1095" t="s">
        <v>6136</v>
      </c>
      <c r="B1095" s="4662" t="str">
        <f t="shared" si="17"/>
        <v>241-906</v>
      </c>
      <c r="C1095" s="1417" t="s">
        <v>1224</v>
      </c>
      <c r="D1095" s="1993" t="s">
        <v>1782</v>
      </c>
    </row>
    <row r="1096" spans="1:4" ht="15">
      <c r="A1096" t="s">
        <v>6816</v>
      </c>
      <c r="B1096" s="4662" t="str">
        <f t="shared" si="17"/>
        <v>242-902</v>
      </c>
      <c r="C1096" s="1417" t="s">
        <v>1225</v>
      </c>
      <c r="D1096" s="1993" t="s">
        <v>1782</v>
      </c>
    </row>
    <row r="1097" spans="1:4" ht="15">
      <c r="A1097" t="s">
        <v>6137</v>
      </c>
      <c r="B1097" s="4662" t="str">
        <f t="shared" si="17"/>
        <v>242-903</v>
      </c>
      <c r="C1097" s="1417" t="s">
        <v>1226</v>
      </c>
      <c r="D1097" s="1993" t="s">
        <v>1782</v>
      </c>
    </row>
    <row r="1098" spans="1:4" ht="15">
      <c r="A1098" t="s">
        <v>10143</v>
      </c>
      <c r="B1098" s="4662" t="str">
        <f t="shared" si="17"/>
        <v>242-904</v>
      </c>
      <c r="C1098" s="1417" t="s">
        <v>10144</v>
      </c>
      <c r="D1098" s="1993" t="s">
        <v>1782</v>
      </c>
    </row>
    <row r="1099" spans="1:4" ht="15">
      <c r="A1099" t="s">
        <v>10145</v>
      </c>
      <c r="B1099" s="4662" t="str">
        <f t="shared" si="17"/>
        <v>243-801</v>
      </c>
      <c r="C1099" s="1417" t="s">
        <v>10146</v>
      </c>
      <c r="D1099" s="1993" t="s">
        <v>1782</v>
      </c>
    </row>
    <row r="1100" spans="1:4" ht="15">
      <c r="A1100" t="s">
        <v>3767</v>
      </c>
      <c r="B1100" s="4662" t="str">
        <f t="shared" si="17"/>
        <v>243-901</v>
      </c>
      <c r="C1100" s="1417" t="s">
        <v>1448</v>
      </c>
      <c r="D1100" s="1993" t="s">
        <v>1782</v>
      </c>
    </row>
    <row r="1101" spans="1:4" ht="15">
      <c r="A1101" t="s">
        <v>6139</v>
      </c>
      <c r="B1101" s="4662" t="str">
        <f t="shared" si="17"/>
        <v>243-902</v>
      </c>
      <c r="C1101" s="1417" t="s">
        <v>1607</v>
      </c>
      <c r="D1101" s="1993" t="s">
        <v>1782</v>
      </c>
    </row>
    <row r="1102" spans="1:4" ht="15">
      <c r="A1102" t="s">
        <v>6140</v>
      </c>
      <c r="B1102" s="4662" t="str">
        <f t="shared" si="17"/>
        <v>243-903</v>
      </c>
      <c r="C1102" s="1417" t="s">
        <v>2338</v>
      </c>
      <c r="D1102" s="1993" t="s">
        <v>1782</v>
      </c>
    </row>
    <row r="1103" spans="1:4" ht="15">
      <c r="A1103" t="s">
        <v>3768</v>
      </c>
      <c r="B1103" s="4662" t="str">
        <f t="shared" si="17"/>
        <v>243-905</v>
      </c>
      <c r="C1103" s="1417" t="s">
        <v>1609</v>
      </c>
      <c r="D1103" s="1993" t="s">
        <v>1782</v>
      </c>
    </row>
    <row r="1104" spans="1:4" ht="15">
      <c r="A1104" t="s">
        <v>3769</v>
      </c>
      <c r="B1104" s="4662" t="str">
        <f t="shared" si="17"/>
        <v>243-906</v>
      </c>
      <c r="C1104" s="1417" t="s">
        <v>1162</v>
      </c>
      <c r="D1104" s="1993" t="s">
        <v>1782</v>
      </c>
    </row>
    <row r="1105" spans="1:4" ht="15">
      <c r="A1105" t="s">
        <v>6818</v>
      </c>
      <c r="B1105" s="4662" t="str">
        <f t="shared" si="17"/>
        <v>244-901</v>
      </c>
      <c r="C1105" s="1417" t="s">
        <v>1610</v>
      </c>
      <c r="D1105" s="1993" t="s">
        <v>1782</v>
      </c>
    </row>
    <row r="1106" spans="1:4" ht="15">
      <c r="A1106" t="s">
        <v>6141</v>
      </c>
      <c r="B1106" s="4662" t="str">
        <f t="shared" si="17"/>
        <v>244-903</v>
      </c>
      <c r="C1106" s="1417" t="s">
        <v>1611</v>
      </c>
      <c r="D1106" s="1993" t="s">
        <v>1782</v>
      </c>
    </row>
    <row r="1107" spans="1:4" ht="15">
      <c r="A1107" t="s">
        <v>3770</v>
      </c>
      <c r="B1107" s="4662" t="str">
        <f t="shared" si="17"/>
        <v>244-905</v>
      </c>
      <c r="C1107" s="1417" t="s">
        <v>2289</v>
      </c>
      <c r="D1107" s="1993" t="s">
        <v>1782</v>
      </c>
    </row>
    <row r="1108" spans="1:4" ht="15">
      <c r="A1108" t="s">
        <v>10147</v>
      </c>
      <c r="B1108" s="4662" t="str">
        <f t="shared" si="17"/>
        <v>244-906</v>
      </c>
      <c r="C1108" s="1417" t="s">
        <v>10148</v>
      </c>
      <c r="D1108" s="1993" t="s">
        <v>1782</v>
      </c>
    </row>
    <row r="1109" spans="1:4" ht="15">
      <c r="A1109" t="s">
        <v>3771</v>
      </c>
      <c r="B1109" s="4662" t="str">
        <f t="shared" si="17"/>
        <v>245-901</v>
      </c>
      <c r="C1109" s="1417" t="s">
        <v>2346</v>
      </c>
      <c r="D1109" s="1993" t="s">
        <v>1782</v>
      </c>
    </row>
    <row r="1110" spans="1:4" ht="15">
      <c r="A1110" t="s">
        <v>3772</v>
      </c>
      <c r="B1110" s="4662" t="str">
        <f t="shared" si="17"/>
        <v>245-902</v>
      </c>
      <c r="C1110" s="1417" t="s">
        <v>840</v>
      </c>
      <c r="D1110" s="1993" t="s">
        <v>1782</v>
      </c>
    </row>
    <row r="1111" spans="1:4" ht="15">
      <c r="A1111" t="s">
        <v>3773</v>
      </c>
      <c r="B1111" s="4662" t="str">
        <f t="shared" si="17"/>
        <v>245-903</v>
      </c>
      <c r="C1111" s="1417" t="s">
        <v>78</v>
      </c>
      <c r="D1111" s="1993" t="s">
        <v>1782</v>
      </c>
    </row>
    <row r="1112" spans="1:4" ht="15">
      <c r="A1112" t="s">
        <v>3774</v>
      </c>
      <c r="B1112" s="4662" t="str">
        <f t="shared" si="17"/>
        <v>245-904</v>
      </c>
      <c r="C1112" s="1417" t="s">
        <v>534</v>
      </c>
      <c r="D1112" s="1993" t="s">
        <v>1782</v>
      </c>
    </row>
    <row r="1113" spans="1:4" ht="15">
      <c r="A1113" t="s">
        <v>10149</v>
      </c>
      <c r="B1113" s="4662" t="str">
        <f t="shared" si="17"/>
        <v>246-801</v>
      </c>
      <c r="C1113" s="1417" t="s">
        <v>10150</v>
      </c>
      <c r="D1113" s="1993" t="s">
        <v>1782</v>
      </c>
    </row>
    <row r="1114" spans="1:4" ht="15">
      <c r="A1114" t="s">
        <v>10151</v>
      </c>
      <c r="B1114" s="4662" t="str">
        <f t="shared" si="17"/>
        <v>246-802</v>
      </c>
      <c r="C1114" s="1417" t="s">
        <v>10152</v>
      </c>
      <c r="D1114" s="1993" t="s">
        <v>1782</v>
      </c>
    </row>
    <row r="1115" spans="1:4" ht="15">
      <c r="A1115" t="s">
        <v>3775</v>
      </c>
      <c r="B1115" s="4662" t="str">
        <f t="shared" si="17"/>
        <v>246-902</v>
      </c>
      <c r="C1115" s="1417" t="s">
        <v>109</v>
      </c>
      <c r="D1115" s="1993" t="s">
        <v>1782</v>
      </c>
    </row>
    <row r="1116" spans="1:4" ht="15">
      <c r="A1116" t="s">
        <v>3777</v>
      </c>
      <c r="B1116" s="4662" t="str">
        <f t="shared" si="17"/>
        <v>246-905</v>
      </c>
      <c r="C1116" s="1417" t="s">
        <v>1018</v>
      </c>
      <c r="D1116" s="1993" t="s">
        <v>1782</v>
      </c>
    </row>
    <row r="1117" spans="1:4" ht="15">
      <c r="A1117" t="s">
        <v>3778</v>
      </c>
      <c r="B1117" s="4662" t="str">
        <f t="shared" si="17"/>
        <v>246-906</v>
      </c>
      <c r="C1117" s="1417" t="s">
        <v>1268</v>
      </c>
      <c r="D1117" s="1993" t="s">
        <v>1782</v>
      </c>
    </row>
    <row r="1118" spans="1:4" ht="15">
      <c r="A1118" t="s">
        <v>6142</v>
      </c>
      <c r="B1118" s="4662" t="str">
        <f t="shared" si="17"/>
        <v>246-907</v>
      </c>
      <c r="C1118" s="1417" t="s">
        <v>1612</v>
      </c>
      <c r="D1118" s="1993" t="s">
        <v>1782</v>
      </c>
    </row>
    <row r="1119" spans="1:4" ht="15">
      <c r="A1119" t="s">
        <v>3779</v>
      </c>
      <c r="B1119" s="4662" t="str">
        <f t="shared" si="17"/>
        <v>246-908</v>
      </c>
      <c r="C1119" s="1417" t="s">
        <v>2467</v>
      </c>
      <c r="D1119" s="1993" t="s">
        <v>1782</v>
      </c>
    </row>
    <row r="1120" spans="1:4" ht="15">
      <c r="A1120" t="s">
        <v>3780</v>
      </c>
      <c r="B1120" s="4662" t="str">
        <f t="shared" si="17"/>
        <v>246-911</v>
      </c>
      <c r="C1120" s="1417" t="s">
        <v>602</v>
      </c>
      <c r="D1120" s="1993" t="s">
        <v>1782</v>
      </c>
    </row>
    <row r="1121" spans="1:4" ht="15">
      <c r="A1121" t="s">
        <v>3781</v>
      </c>
      <c r="B1121" s="4662" t="str">
        <f t="shared" si="17"/>
        <v>246-912</v>
      </c>
      <c r="C1121" s="1417" t="s">
        <v>604</v>
      </c>
      <c r="D1121" s="1993" t="s">
        <v>1782</v>
      </c>
    </row>
    <row r="1122" spans="1:4" ht="15">
      <c r="A1122" t="s">
        <v>6819</v>
      </c>
      <c r="B1122" s="4662" t="str">
        <f t="shared" si="17"/>
        <v>246-914</v>
      </c>
      <c r="C1122" s="1417" t="s">
        <v>1613</v>
      </c>
      <c r="D1122" s="1993" t="s">
        <v>1782</v>
      </c>
    </row>
    <row r="1123" spans="1:4" ht="15">
      <c r="A1123" t="s">
        <v>3783</v>
      </c>
      <c r="B1123" s="4662" t="str">
        <f t="shared" si="17"/>
        <v>247-901</v>
      </c>
      <c r="C1123" s="1417" t="s">
        <v>110</v>
      </c>
      <c r="D1123" s="1993" t="s">
        <v>1782</v>
      </c>
    </row>
    <row r="1124" spans="1:4" ht="15">
      <c r="A1124" t="s">
        <v>3784</v>
      </c>
      <c r="B1124" s="4662" t="str">
        <f t="shared" si="17"/>
        <v>247-903</v>
      </c>
      <c r="C1124" s="1417" t="s">
        <v>1900</v>
      </c>
      <c r="D1124" s="1993" t="s">
        <v>1782</v>
      </c>
    </row>
    <row r="1125" spans="1:4" ht="15">
      <c r="A1125" t="s">
        <v>3785</v>
      </c>
      <c r="B1125" s="4662" t="str">
        <f t="shared" si="17"/>
        <v>247-904</v>
      </c>
      <c r="C1125" s="1417" t="s">
        <v>1005</v>
      </c>
      <c r="D1125" s="1993" t="s">
        <v>1782</v>
      </c>
    </row>
    <row r="1126" spans="1:4" ht="15">
      <c r="A1126" t="s">
        <v>3786</v>
      </c>
      <c r="B1126" s="4662" t="str">
        <f t="shared" si="17"/>
        <v>247-906</v>
      </c>
      <c r="C1126" s="1417" t="s">
        <v>1941</v>
      </c>
      <c r="D1126" s="1993" t="s">
        <v>1782</v>
      </c>
    </row>
    <row r="1127" spans="1:4" ht="15">
      <c r="A1127" t="s">
        <v>6143</v>
      </c>
      <c r="B1127" s="4662" t="str">
        <f t="shared" si="17"/>
        <v>248-901</v>
      </c>
      <c r="C1127" s="1417" t="s">
        <v>1614</v>
      </c>
      <c r="D1127" s="1993" t="s">
        <v>1782</v>
      </c>
    </row>
    <row r="1128" spans="1:4" ht="15">
      <c r="A1128" t="s">
        <v>3787</v>
      </c>
      <c r="B1128" s="4662" t="str">
        <f t="shared" si="17"/>
        <v>249-901</v>
      </c>
      <c r="C1128" s="1417" t="s">
        <v>1053</v>
      </c>
      <c r="D1128" s="1993" t="s">
        <v>1782</v>
      </c>
    </row>
    <row r="1129" spans="1:4" ht="15">
      <c r="A1129" t="s">
        <v>6145</v>
      </c>
      <c r="B1129" s="4662" t="str">
        <f t="shared" si="17"/>
        <v>249-902</v>
      </c>
      <c r="C1129" s="1417" t="s">
        <v>1616</v>
      </c>
      <c r="D1129" s="1993" t="s">
        <v>1782</v>
      </c>
    </row>
    <row r="1130" spans="1:4" ht="15">
      <c r="A1130" t="s">
        <v>3788</v>
      </c>
      <c r="B1130" s="4662" t="str">
        <f t="shared" si="17"/>
        <v>249-906</v>
      </c>
      <c r="C1130" s="1417" t="s">
        <v>1365</v>
      </c>
      <c r="D1130" s="1993" t="s">
        <v>1782</v>
      </c>
    </row>
    <row r="1131" spans="1:4" ht="15">
      <c r="A1131" t="s">
        <v>6820</v>
      </c>
      <c r="B1131" s="4662" t="str">
        <f t="shared" si="17"/>
        <v>250-903</v>
      </c>
      <c r="C1131" s="1417" t="s">
        <v>1621</v>
      </c>
      <c r="D1131" s="1993" t="s">
        <v>1782</v>
      </c>
    </row>
    <row r="1132" spans="1:4" ht="15">
      <c r="A1132" t="s">
        <v>6150</v>
      </c>
      <c r="B1132" s="4662" t="str">
        <f t="shared" si="17"/>
        <v>250-904</v>
      </c>
      <c r="C1132" s="1417" t="s">
        <v>24</v>
      </c>
      <c r="D1132" s="1993" t="s">
        <v>1782</v>
      </c>
    </row>
    <row r="1133" spans="1:4" ht="15">
      <c r="A1133" t="s">
        <v>6151</v>
      </c>
      <c r="B1133" s="4662" t="str">
        <f t="shared" si="17"/>
        <v>250-905</v>
      </c>
      <c r="C1133" s="1417" t="s">
        <v>1370</v>
      </c>
      <c r="D1133" s="1993" t="s">
        <v>1782</v>
      </c>
    </row>
    <row r="1134" spans="1:4" ht="15">
      <c r="A1134" t="s">
        <v>6152</v>
      </c>
      <c r="B1134" s="4662" t="str">
        <f t="shared" si="17"/>
        <v>250-906</v>
      </c>
      <c r="C1134" s="1417" t="s">
        <v>1371</v>
      </c>
      <c r="D1134" s="1993" t="s">
        <v>1782</v>
      </c>
    </row>
    <row r="1135" spans="1:4" ht="15">
      <c r="A1135" t="s">
        <v>6821</v>
      </c>
      <c r="B1135" s="4662" t="str">
        <f t="shared" si="17"/>
        <v>250-907</v>
      </c>
      <c r="C1135" s="1417" t="s">
        <v>1372</v>
      </c>
      <c r="D1135" s="1993" t="s">
        <v>1782</v>
      </c>
    </row>
    <row r="1136" spans="1:4" ht="15">
      <c r="A1136" t="s">
        <v>3790</v>
      </c>
      <c r="B1136" s="4662" t="str">
        <f t="shared" si="17"/>
        <v>252-901</v>
      </c>
      <c r="C1136" s="1417" t="s">
        <v>862</v>
      </c>
      <c r="D1136" s="1993" t="s">
        <v>1782</v>
      </c>
    </row>
    <row r="1137" spans="1:4" ht="15">
      <c r="A1137" t="s">
        <v>6155</v>
      </c>
      <c r="B1137" s="4662" t="str">
        <f t="shared" si="17"/>
        <v>252-902</v>
      </c>
      <c r="C1137" s="1417" t="s">
        <v>1375</v>
      </c>
      <c r="D1137" s="1993" t="s">
        <v>1782</v>
      </c>
    </row>
    <row r="1138" spans="1:4" ht="15">
      <c r="A1138" t="s">
        <v>3791</v>
      </c>
      <c r="B1138" s="4662" t="str">
        <f t="shared" si="17"/>
        <v>252-903</v>
      </c>
      <c r="C1138" s="1417" t="s">
        <v>825</v>
      </c>
      <c r="D1138" s="1993" t="s">
        <v>1782</v>
      </c>
    </row>
    <row r="1139" spans="1:4" ht="15">
      <c r="A1139" t="s">
        <v>6822</v>
      </c>
      <c r="B1139" s="4662" t="str">
        <f t="shared" si="17"/>
        <v>253-901</v>
      </c>
      <c r="C1139" s="1417" t="s">
        <v>1376</v>
      </c>
      <c r="D1139" s="1993" t="s">
        <v>1782</v>
      </c>
    </row>
    <row r="1140" spans="1:4" ht="15">
      <c r="A1140" t="s">
        <v>3792</v>
      </c>
      <c r="B1140" s="4662" t="str">
        <f t="shared" si="17"/>
        <v>254-901</v>
      </c>
      <c r="C1140" s="1417" t="s">
        <v>420</v>
      </c>
      <c r="D1140" s="1993" t="s">
        <v>1782</v>
      </c>
    </row>
    <row r="1141" spans="1:4" ht="15">
      <c r="A1141" t="s">
        <v>3793</v>
      </c>
      <c r="B1141" s="4662" t="str">
        <f t="shared" si="17"/>
        <v>254-902</v>
      </c>
      <c r="C1141" s="1417" t="s">
        <v>1898</v>
      </c>
      <c r="D1141" s="1993" t="s">
        <v>1782</v>
      </c>
    </row>
    <row r="1142" spans="1:4" ht="15">
      <c r="A1142" t="s">
        <v>10153</v>
      </c>
      <c r="B1142" s="4662" t="str">
        <f t="shared" si="17"/>
        <v>254-903</v>
      </c>
      <c r="C1142" s="1417" t="s">
        <v>10154</v>
      </c>
      <c r="D1142" s="1993" t="s">
        <v>1782</v>
      </c>
    </row>
    <row r="1143" spans="1:4" ht="15">
      <c r="A1143" t="s">
        <v>5756</v>
      </c>
      <c r="B1143" s="4662" t="str">
        <f t="shared" si="17"/>
        <v>002-901</v>
      </c>
      <c r="C1143" s="1417" t="s">
        <v>1190</v>
      </c>
      <c r="D1143" s="1993" t="s">
        <v>700</v>
      </c>
    </row>
    <row r="1144" spans="1:4" ht="15">
      <c r="A1144" t="s">
        <v>5759</v>
      </c>
      <c r="B1144" s="4662" t="str">
        <f t="shared" si="17"/>
        <v>004-901</v>
      </c>
      <c r="C1144" s="1417" t="s">
        <v>1195</v>
      </c>
      <c r="D1144" s="1993" t="s">
        <v>700</v>
      </c>
    </row>
    <row r="1145" spans="1:4" ht="15">
      <c r="A1145" t="s">
        <v>3377</v>
      </c>
      <c r="B1145" s="4662" t="str">
        <f t="shared" si="17"/>
        <v>010-902</v>
      </c>
      <c r="C1145" s="1417" t="s">
        <v>2121</v>
      </c>
      <c r="D1145" s="1993" t="s">
        <v>700</v>
      </c>
    </row>
    <row r="1146" spans="1:4" ht="15">
      <c r="A1146" t="s">
        <v>5766</v>
      </c>
      <c r="B1146" s="4662" t="str">
        <f t="shared" si="17"/>
        <v>013-902</v>
      </c>
      <c r="C1146" s="1417" t="s">
        <v>1207</v>
      </c>
      <c r="D1146" s="1993" t="s">
        <v>700</v>
      </c>
    </row>
    <row r="1147" spans="1:4" ht="15">
      <c r="A1147" t="s">
        <v>5767</v>
      </c>
      <c r="B1147" s="4662" t="str">
        <f t="shared" si="17"/>
        <v>013-903</v>
      </c>
      <c r="C1147" s="1417" t="s">
        <v>1208</v>
      </c>
      <c r="D1147" s="1993" t="s">
        <v>700</v>
      </c>
    </row>
    <row r="1148" spans="1:4" ht="15">
      <c r="A1148" t="s">
        <v>5769</v>
      </c>
      <c r="B1148" s="4662" t="str">
        <f t="shared" si="17"/>
        <v>015-901</v>
      </c>
      <c r="C1148" s="1417" t="s">
        <v>2280</v>
      </c>
      <c r="D1148" s="1993" t="s">
        <v>700</v>
      </c>
    </row>
    <row r="1149" spans="1:4" ht="15">
      <c r="A1149" t="s">
        <v>3397</v>
      </c>
      <c r="B1149" s="4662" t="str">
        <f t="shared" si="17"/>
        <v>015-910</v>
      </c>
      <c r="C1149" s="1417" t="s">
        <v>2287</v>
      </c>
      <c r="D1149" s="1993" t="s">
        <v>700</v>
      </c>
    </row>
    <row r="1150" spans="1:4" ht="15">
      <c r="A1150" t="s">
        <v>5770</v>
      </c>
      <c r="B1150" s="4662" t="str">
        <f t="shared" si="17"/>
        <v>016-901</v>
      </c>
      <c r="C1150" s="1417" t="s">
        <v>2281</v>
      </c>
      <c r="D1150" s="1993" t="s">
        <v>700</v>
      </c>
    </row>
    <row r="1151" spans="1:4" ht="15">
      <c r="A1151" t="s">
        <v>3403</v>
      </c>
      <c r="B1151" s="4662" t="str">
        <f t="shared" si="17"/>
        <v>016-902</v>
      </c>
      <c r="C1151" s="1417" t="s">
        <v>798</v>
      </c>
      <c r="D1151" s="1993" t="s">
        <v>700</v>
      </c>
    </row>
    <row r="1152" spans="1:4" ht="15">
      <c r="A1152" t="s">
        <v>5771</v>
      </c>
      <c r="B1152" s="4662" t="str">
        <f t="shared" si="17"/>
        <v>017-901</v>
      </c>
      <c r="C1152" s="1417" t="s">
        <v>2282</v>
      </c>
      <c r="D1152" s="1993" t="s">
        <v>700</v>
      </c>
    </row>
    <row r="1153" spans="1:4" ht="15">
      <c r="A1153" t="s">
        <v>5772</v>
      </c>
      <c r="B1153" s="4662" t="str">
        <f t="shared" si="17"/>
        <v>018-906</v>
      </c>
      <c r="C1153" s="1417" t="s">
        <v>2685</v>
      </c>
      <c r="D1153" s="1993" t="s">
        <v>700</v>
      </c>
    </row>
    <row r="1154" spans="1:4" ht="15">
      <c r="A1154" t="s">
        <v>5780</v>
      </c>
      <c r="B1154" s="4662" t="str">
        <f t="shared" ref="B1154:B1217" si="18">CONCATENATE(LEFT(RIGHT(CONCATENATE("000",A1154),6),3),"-",(RIGHT(RIGHT(CONCATENATE("000",A1154),6),3)))</f>
        <v>020-905</v>
      </c>
      <c r="C1154" s="1417" t="s">
        <v>2491</v>
      </c>
      <c r="D1154" s="1993" t="s">
        <v>700</v>
      </c>
    </row>
    <row r="1155" spans="1:4" ht="15">
      <c r="A1155" t="s">
        <v>5781</v>
      </c>
      <c r="B1155" s="4662" t="str">
        <f t="shared" si="18"/>
        <v>020-906</v>
      </c>
      <c r="C1155" s="1417" t="s">
        <v>2492</v>
      </c>
      <c r="D1155" s="1993" t="s">
        <v>700</v>
      </c>
    </row>
    <row r="1156" spans="1:4" ht="15">
      <c r="A1156" t="s">
        <v>3417</v>
      </c>
      <c r="B1156" s="4662" t="str">
        <f t="shared" si="18"/>
        <v>021-901</v>
      </c>
      <c r="C1156" s="1417" t="s">
        <v>1169</v>
      </c>
      <c r="D1156" s="1993" t="s">
        <v>700</v>
      </c>
    </row>
    <row r="1157" spans="1:4" ht="15">
      <c r="A1157" t="s">
        <v>3425</v>
      </c>
      <c r="B1157" s="4662" t="str">
        <f t="shared" si="18"/>
        <v>027-903</v>
      </c>
      <c r="C1157" s="1417" t="s">
        <v>133</v>
      </c>
      <c r="D1157" s="1993" t="s">
        <v>700</v>
      </c>
    </row>
    <row r="1158" spans="1:4" ht="15">
      <c r="A1158" t="s">
        <v>4299</v>
      </c>
      <c r="B1158" s="4662" t="str">
        <f t="shared" si="18"/>
        <v>027-904</v>
      </c>
      <c r="C1158" s="1417" t="s">
        <v>291</v>
      </c>
      <c r="D1158" s="1993" t="s">
        <v>700</v>
      </c>
    </row>
    <row r="1159" spans="1:4" ht="15">
      <c r="A1159" t="s">
        <v>5788</v>
      </c>
      <c r="B1159" s="4662" t="str">
        <f t="shared" si="18"/>
        <v>029-901</v>
      </c>
      <c r="C1159" s="1417" t="s">
        <v>1027</v>
      </c>
      <c r="D1159" s="1993" t="s">
        <v>700</v>
      </c>
    </row>
    <row r="1160" spans="1:4" ht="15">
      <c r="A1160" t="s">
        <v>5790</v>
      </c>
      <c r="B1160" s="4662" t="str">
        <f t="shared" si="18"/>
        <v>031-909</v>
      </c>
      <c r="C1160" s="1417" t="s">
        <v>1603</v>
      </c>
      <c r="D1160" s="1993" t="s">
        <v>700</v>
      </c>
    </row>
    <row r="1161" spans="1:4" ht="15">
      <c r="A1161" t="s">
        <v>5800</v>
      </c>
      <c r="B1161" s="4662" t="str">
        <f t="shared" si="18"/>
        <v>036-902</v>
      </c>
      <c r="C1161" s="1417" t="s">
        <v>1711</v>
      </c>
      <c r="D1161" s="1993" t="s">
        <v>700</v>
      </c>
    </row>
    <row r="1162" spans="1:4" ht="15">
      <c r="A1162" t="s">
        <v>6685</v>
      </c>
      <c r="B1162" s="4662" t="str">
        <f t="shared" si="18"/>
        <v>039-904</v>
      </c>
      <c r="C1162" s="1417" t="s">
        <v>1921</v>
      </c>
      <c r="D1162" s="1993" t="s">
        <v>700</v>
      </c>
    </row>
    <row r="1163" spans="1:4" ht="15">
      <c r="A1163" t="s">
        <v>5804</v>
      </c>
      <c r="B1163" s="4662" t="str">
        <f t="shared" si="18"/>
        <v>040-902</v>
      </c>
      <c r="C1163" s="1417" t="s">
        <v>1029</v>
      </c>
      <c r="D1163" s="1993" t="s">
        <v>700</v>
      </c>
    </row>
    <row r="1164" spans="1:4" ht="15">
      <c r="A1164" t="s">
        <v>5805</v>
      </c>
      <c r="B1164" s="4662" t="str">
        <f t="shared" si="18"/>
        <v>041-902</v>
      </c>
      <c r="C1164" s="1417" t="s">
        <v>2157</v>
      </c>
      <c r="D1164" s="1993" t="s">
        <v>700</v>
      </c>
    </row>
    <row r="1165" spans="1:4" ht="15">
      <c r="A1165" t="s">
        <v>5806</v>
      </c>
      <c r="B1165" s="4662" t="str">
        <f t="shared" si="18"/>
        <v>042-905</v>
      </c>
      <c r="C1165" s="1417" t="s">
        <v>1030</v>
      </c>
      <c r="D1165" s="1993" t="s">
        <v>700</v>
      </c>
    </row>
    <row r="1166" spans="1:4" ht="15">
      <c r="A1166" t="s">
        <v>3446</v>
      </c>
      <c r="B1166" s="4662" t="str">
        <f t="shared" si="18"/>
        <v>043-901</v>
      </c>
      <c r="C1166" s="1417" t="s">
        <v>1957</v>
      </c>
      <c r="D1166" s="1993" t="s">
        <v>700</v>
      </c>
    </row>
    <row r="1167" spans="1:4" ht="15">
      <c r="A1167" t="s">
        <v>3450</v>
      </c>
      <c r="B1167" s="4662" t="str">
        <f t="shared" si="18"/>
        <v>043-905</v>
      </c>
      <c r="C1167" s="1417" t="s">
        <v>1477</v>
      </c>
      <c r="D1167" s="1993" t="s">
        <v>700</v>
      </c>
    </row>
    <row r="1168" spans="1:4" ht="15">
      <c r="A1168" t="s">
        <v>3451</v>
      </c>
      <c r="B1168" s="4662" t="str">
        <f t="shared" si="18"/>
        <v>043-907</v>
      </c>
      <c r="C1168" s="1417" t="s">
        <v>820</v>
      </c>
      <c r="D1168" s="1993" t="s">
        <v>700</v>
      </c>
    </row>
    <row r="1169" spans="1:4" ht="15">
      <c r="A1169" t="s">
        <v>5807</v>
      </c>
      <c r="B1169" s="4662" t="str">
        <f t="shared" si="18"/>
        <v>043-910</v>
      </c>
      <c r="C1169" s="1417" t="s">
        <v>2200</v>
      </c>
      <c r="D1169" s="1993" t="s">
        <v>700</v>
      </c>
    </row>
    <row r="1170" spans="1:4" ht="15">
      <c r="A1170" t="s">
        <v>5808</v>
      </c>
      <c r="B1170" s="4662" t="str">
        <f t="shared" si="18"/>
        <v>043-919</v>
      </c>
      <c r="C1170" s="1417" t="s">
        <v>2201</v>
      </c>
      <c r="D1170" s="1993" t="s">
        <v>700</v>
      </c>
    </row>
    <row r="1171" spans="1:4" ht="15">
      <c r="A1171" t="s">
        <v>3458</v>
      </c>
      <c r="B1171" s="4662" t="str">
        <f t="shared" si="18"/>
        <v>045-902</v>
      </c>
      <c r="C1171" s="1417" t="s">
        <v>1549</v>
      </c>
      <c r="D1171" s="1993" t="s">
        <v>700</v>
      </c>
    </row>
    <row r="1172" spans="1:4" ht="15">
      <c r="A1172" t="s">
        <v>5811</v>
      </c>
      <c r="B1172" s="4662" t="str">
        <f t="shared" si="18"/>
        <v>046-902</v>
      </c>
      <c r="C1172" s="1417" t="s">
        <v>2207</v>
      </c>
      <c r="D1172" s="1993" t="s">
        <v>700</v>
      </c>
    </row>
    <row r="1173" spans="1:4" ht="15">
      <c r="A1173" t="s">
        <v>5815</v>
      </c>
      <c r="B1173" s="4662" t="str">
        <f t="shared" si="18"/>
        <v>049-907</v>
      </c>
      <c r="C1173" s="1417" t="s">
        <v>2215</v>
      </c>
      <c r="D1173" s="1993" t="s">
        <v>700</v>
      </c>
    </row>
    <row r="1174" spans="1:4" ht="15">
      <c r="A1174" t="s">
        <v>6692</v>
      </c>
      <c r="B1174" s="4662" t="str">
        <f t="shared" si="18"/>
        <v>049-909</v>
      </c>
      <c r="C1174" s="1417" t="s">
        <v>2217</v>
      </c>
      <c r="D1174" s="1993" t="s">
        <v>700</v>
      </c>
    </row>
    <row r="1175" spans="1:4" ht="15">
      <c r="A1175" t="s">
        <v>5818</v>
      </c>
      <c r="B1175" s="4662" t="str">
        <f t="shared" si="18"/>
        <v>052-901</v>
      </c>
      <c r="C1175" s="1417" t="s">
        <v>2222</v>
      </c>
      <c r="D1175" s="1993" t="s">
        <v>700</v>
      </c>
    </row>
    <row r="1176" spans="1:4" ht="15">
      <c r="A1176" t="s">
        <v>6695</v>
      </c>
      <c r="B1176" s="4662" t="str">
        <f t="shared" si="18"/>
        <v>053-001</v>
      </c>
      <c r="C1176" s="1417" t="s">
        <v>3913</v>
      </c>
      <c r="D1176" s="1993" t="s">
        <v>700</v>
      </c>
    </row>
    <row r="1177" spans="1:4" ht="15">
      <c r="A1177" t="s">
        <v>5819</v>
      </c>
      <c r="B1177" s="4662" t="str">
        <f t="shared" si="18"/>
        <v>055-901</v>
      </c>
      <c r="C1177" s="1417" t="s">
        <v>122</v>
      </c>
      <c r="D1177" s="1993" t="s">
        <v>700</v>
      </c>
    </row>
    <row r="1178" spans="1:4" ht="15">
      <c r="A1178" t="s">
        <v>5820</v>
      </c>
      <c r="B1178" s="4662" t="str">
        <f t="shared" si="18"/>
        <v>056-901</v>
      </c>
      <c r="C1178" s="1417" t="s">
        <v>123</v>
      </c>
      <c r="D1178" s="1993" t="s">
        <v>700</v>
      </c>
    </row>
    <row r="1179" spans="1:4" ht="15">
      <c r="A1179" t="s">
        <v>6699</v>
      </c>
      <c r="B1179" s="4662" t="str">
        <f t="shared" si="18"/>
        <v>056-902</v>
      </c>
      <c r="C1179" s="1417" t="s">
        <v>124</v>
      </c>
      <c r="D1179" s="1993" t="s">
        <v>700</v>
      </c>
    </row>
    <row r="1180" spans="1:4" ht="15">
      <c r="A1180" t="s">
        <v>5821</v>
      </c>
      <c r="B1180" s="4662" t="str">
        <f t="shared" si="18"/>
        <v>057-903</v>
      </c>
      <c r="C1180" s="1417" t="s">
        <v>125</v>
      </c>
      <c r="D1180" s="1993" t="s">
        <v>700</v>
      </c>
    </row>
    <row r="1181" spans="1:4" ht="15">
      <c r="A1181" t="s">
        <v>5823</v>
      </c>
      <c r="B1181" s="4662" t="str">
        <f t="shared" si="18"/>
        <v>057-905</v>
      </c>
      <c r="C1181" s="1417" t="s">
        <v>127</v>
      </c>
      <c r="D1181" s="1993" t="s">
        <v>700</v>
      </c>
    </row>
    <row r="1182" spans="1:4" ht="15">
      <c r="A1182" t="s">
        <v>5825</v>
      </c>
      <c r="B1182" s="4662" t="str">
        <f t="shared" si="18"/>
        <v>057-911</v>
      </c>
      <c r="C1182" s="1417" t="s">
        <v>130</v>
      </c>
      <c r="D1182" s="1993" t="s">
        <v>700</v>
      </c>
    </row>
    <row r="1183" spans="1:4" ht="15">
      <c r="A1183" t="s">
        <v>5827</v>
      </c>
      <c r="B1183" s="4662" t="str">
        <f t="shared" si="18"/>
        <v>057-916</v>
      </c>
      <c r="C1183" s="1417" t="s">
        <v>2610</v>
      </c>
      <c r="D1183" s="1993" t="s">
        <v>700</v>
      </c>
    </row>
    <row r="1184" spans="1:4" ht="15">
      <c r="A1184" t="s">
        <v>5828</v>
      </c>
      <c r="B1184" s="4662" t="str">
        <f t="shared" si="18"/>
        <v>057-919</v>
      </c>
      <c r="C1184" s="1417" t="s">
        <v>2611</v>
      </c>
      <c r="D1184" s="1993" t="s">
        <v>700</v>
      </c>
    </row>
    <row r="1185" spans="1:4" ht="15">
      <c r="A1185" t="s">
        <v>5829</v>
      </c>
      <c r="B1185" s="4662" t="str">
        <f t="shared" si="18"/>
        <v>057-922</v>
      </c>
      <c r="C1185" s="1417" t="s">
        <v>2612</v>
      </c>
      <c r="D1185" s="1993" t="s">
        <v>700</v>
      </c>
    </row>
    <row r="1186" spans="1:4" ht="15">
      <c r="A1186" t="s">
        <v>5830</v>
      </c>
      <c r="B1186" s="4662" t="str">
        <f t="shared" si="18"/>
        <v>058-905</v>
      </c>
      <c r="C1186" s="1417" t="s">
        <v>2613</v>
      </c>
      <c r="D1186" s="1993" t="s">
        <v>700</v>
      </c>
    </row>
    <row r="1187" spans="1:4" ht="15">
      <c r="A1187" t="s">
        <v>5831</v>
      </c>
      <c r="B1187" s="4662" t="str">
        <f t="shared" si="18"/>
        <v>058-909</v>
      </c>
      <c r="C1187" s="1417" t="s">
        <v>2615</v>
      </c>
      <c r="D1187" s="1993" t="s">
        <v>700</v>
      </c>
    </row>
    <row r="1188" spans="1:4" ht="15">
      <c r="A1188" t="s">
        <v>3476</v>
      </c>
      <c r="B1188" s="4662" t="str">
        <f t="shared" si="18"/>
        <v>061-902</v>
      </c>
      <c r="C1188" s="1417" t="s">
        <v>2466</v>
      </c>
      <c r="D1188" s="1993" t="s">
        <v>700</v>
      </c>
    </row>
    <row r="1189" spans="1:4" ht="15">
      <c r="A1189" t="s">
        <v>5833</v>
      </c>
      <c r="B1189" s="4662" t="str">
        <f t="shared" si="18"/>
        <v>061-910</v>
      </c>
      <c r="C1189" s="1417" t="s">
        <v>2619</v>
      </c>
      <c r="D1189" s="1993" t="s">
        <v>700</v>
      </c>
    </row>
    <row r="1190" spans="1:4" ht="15">
      <c r="A1190" t="s">
        <v>3481</v>
      </c>
      <c r="B1190" s="4662" t="str">
        <f t="shared" si="18"/>
        <v>061-911</v>
      </c>
      <c r="C1190" s="1417" t="s">
        <v>1256</v>
      </c>
      <c r="D1190" s="1993" t="s">
        <v>700</v>
      </c>
    </row>
    <row r="1191" spans="1:4" ht="15">
      <c r="A1191" t="s">
        <v>5834</v>
      </c>
      <c r="B1191" s="4662" t="str">
        <f t="shared" si="18"/>
        <v>062-902</v>
      </c>
      <c r="C1191" s="1417" t="s">
        <v>2620</v>
      </c>
      <c r="D1191" s="1993" t="s">
        <v>700</v>
      </c>
    </row>
    <row r="1192" spans="1:4" ht="15">
      <c r="A1192" t="s">
        <v>5835</v>
      </c>
      <c r="B1192" s="4662" t="str">
        <f t="shared" si="18"/>
        <v>062-904</v>
      </c>
      <c r="C1192" s="1417" t="s">
        <v>2621</v>
      </c>
      <c r="D1192" s="1993" t="s">
        <v>700</v>
      </c>
    </row>
    <row r="1193" spans="1:4" ht="15">
      <c r="A1193" t="s">
        <v>6703</v>
      </c>
      <c r="B1193" s="4662" t="str">
        <f t="shared" si="18"/>
        <v>062-905</v>
      </c>
      <c r="C1193" s="1417" t="s">
        <v>2622</v>
      </c>
      <c r="D1193" s="1993" t="s">
        <v>700</v>
      </c>
    </row>
    <row r="1194" spans="1:4" ht="15">
      <c r="A1194" t="s">
        <v>3486</v>
      </c>
      <c r="B1194" s="4662" t="str">
        <f t="shared" si="18"/>
        <v>064-903</v>
      </c>
      <c r="C1194" s="1417" t="s">
        <v>30</v>
      </c>
      <c r="D1194" s="1993" t="s">
        <v>700</v>
      </c>
    </row>
    <row r="1195" spans="1:4" ht="15">
      <c r="A1195" t="s">
        <v>5841</v>
      </c>
      <c r="B1195" s="4662" t="str">
        <f t="shared" si="18"/>
        <v>069-901</v>
      </c>
      <c r="C1195" s="1417" t="s">
        <v>1967</v>
      </c>
      <c r="D1195" s="1993" t="s">
        <v>700</v>
      </c>
    </row>
    <row r="1196" spans="1:4" ht="15">
      <c r="A1196" t="s">
        <v>6711</v>
      </c>
      <c r="B1196" s="4662" t="str">
        <f t="shared" si="18"/>
        <v>069-902</v>
      </c>
      <c r="C1196" s="1417" t="s">
        <v>1968</v>
      </c>
      <c r="D1196" s="1993" t="s">
        <v>700</v>
      </c>
    </row>
    <row r="1197" spans="1:4" ht="15">
      <c r="A1197" t="s">
        <v>6718</v>
      </c>
      <c r="B1197" s="4662" t="str">
        <f t="shared" si="18"/>
        <v>075-906</v>
      </c>
      <c r="C1197" s="1417" t="s">
        <v>464</v>
      </c>
      <c r="D1197" s="1993" t="s">
        <v>700</v>
      </c>
    </row>
    <row r="1198" spans="1:4" ht="15">
      <c r="A1198" t="s">
        <v>5852</v>
      </c>
      <c r="B1198" s="4662" t="str">
        <f t="shared" si="18"/>
        <v>075-908</v>
      </c>
      <c r="C1198" s="1417" t="s">
        <v>177</v>
      </c>
      <c r="D1198" s="1993" t="s">
        <v>700</v>
      </c>
    </row>
    <row r="1199" spans="1:4" ht="15">
      <c r="A1199" t="s">
        <v>6721</v>
      </c>
      <c r="B1199" s="4662" t="str">
        <f t="shared" si="18"/>
        <v>078-901</v>
      </c>
      <c r="C1199" s="1417" t="s">
        <v>849</v>
      </c>
      <c r="D1199" s="1993" t="s">
        <v>700</v>
      </c>
    </row>
    <row r="1200" spans="1:4" ht="15">
      <c r="A1200" t="s">
        <v>3512</v>
      </c>
      <c r="B1200" s="4662" t="str">
        <f t="shared" si="18"/>
        <v>079-907</v>
      </c>
      <c r="C1200" s="1417" t="s">
        <v>112</v>
      </c>
      <c r="D1200" s="1993" t="s">
        <v>700</v>
      </c>
    </row>
    <row r="1201" spans="1:4" ht="15">
      <c r="A1201" t="s">
        <v>5855</v>
      </c>
      <c r="B1201" s="4662" t="str">
        <f t="shared" si="18"/>
        <v>079-910</v>
      </c>
      <c r="C1201" s="1417" t="s">
        <v>1038</v>
      </c>
      <c r="D1201" s="1993" t="s">
        <v>700</v>
      </c>
    </row>
    <row r="1202" spans="1:4" ht="15">
      <c r="A1202" t="s">
        <v>5857</v>
      </c>
      <c r="B1202" s="4662" t="str">
        <f t="shared" si="18"/>
        <v>081-902</v>
      </c>
      <c r="C1202" s="1417" t="s">
        <v>854</v>
      </c>
      <c r="D1202" s="1993" t="s">
        <v>700</v>
      </c>
    </row>
    <row r="1203" spans="1:4" ht="15">
      <c r="A1203" t="s">
        <v>5860</v>
      </c>
      <c r="B1203" s="4662" t="str">
        <f t="shared" si="18"/>
        <v>081-906</v>
      </c>
      <c r="C1203" s="1417" t="s">
        <v>857</v>
      </c>
      <c r="D1203" s="1993" t="s">
        <v>700</v>
      </c>
    </row>
    <row r="1204" spans="1:4" ht="15">
      <c r="A1204" t="s">
        <v>3513</v>
      </c>
      <c r="B1204" s="4662" t="str">
        <f t="shared" si="18"/>
        <v>082-902</v>
      </c>
      <c r="C1204" s="1417" t="s">
        <v>2179</v>
      </c>
      <c r="D1204" s="1993" t="s">
        <v>700</v>
      </c>
    </row>
    <row r="1205" spans="1:4" ht="15">
      <c r="A1205" t="s">
        <v>5862</v>
      </c>
      <c r="B1205" s="4662" t="str">
        <f t="shared" si="18"/>
        <v>083-902</v>
      </c>
      <c r="C1205" s="1417" t="s">
        <v>531</v>
      </c>
      <c r="D1205" s="1993" t="s">
        <v>700</v>
      </c>
    </row>
    <row r="1206" spans="1:4" ht="15">
      <c r="A1206" t="s">
        <v>5863</v>
      </c>
      <c r="B1206" s="4662" t="str">
        <f t="shared" si="18"/>
        <v>083-903</v>
      </c>
      <c r="C1206" s="1417" t="s">
        <v>532</v>
      </c>
      <c r="D1206" s="1993" t="s">
        <v>700</v>
      </c>
    </row>
    <row r="1207" spans="1:4" ht="15">
      <c r="A1207" t="s">
        <v>5865</v>
      </c>
      <c r="B1207" s="4662" t="str">
        <f t="shared" si="18"/>
        <v>084-902</v>
      </c>
      <c r="C1207" s="1417" t="s">
        <v>365</v>
      </c>
      <c r="D1207" s="1993" t="s">
        <v>700</v>
      </c>
    </row>
    <row r="1208" spans="1:4" ht="15">
      <c r="A1208" t="s">
        <v>5867</v>
      </c>
      <c r="B1208" s="4662" t="str">
        <f t="shared" si="18"/>
        <v>084-906</v>
      </c>
      <c r="C1208" s="1417" t="s">
        <v>367</v>
      </c>
      <c r="D1208" s="1993" t="s">
        <v>700</v>
      </c>
    </row>
    <row r="1209" spans="1:4" ht="15">
      <c r="A1209" t="s">
        <v>6722</v>
      </c>
      <c r="B1209" s="4662" t="str">
        <f t="shared" si="18"/>
        <v>085-903</v>
      </c>
      <c r="C1209" s="1417" t="s">
        <v>371</v>
      </c>
      <c r="D1209" s="1993" t="s">
        <v>700</v>
      </c>
    </row>
    <row r="1210" spans="1:4" ht="15">
      <c r="A1210" t="s">
        <v>5871</v>
      </c>
      <c r="B1210" s="4662" t="str">
        <f t="shared" si="18"/>
        <v>086-901</v>
      </c>
      <c r="C1210" s="1417" t="s">
        <v>373</v>
      </c>
      <c r="D1210" s="1993" t="s">
        <v>700</v>
      </c>
    </row>
    <row r="1211" spans="1:4" ht="15">
      <c r="A1211" t="s">
        <v>6724</v>
      </c>
      <c r="B1211" s="4662" t="str">
        <f t="shared" si="18"/>
        <v>086-902</v>
      </c>
      <c r="C1211" s="1417" t="s">
        <v>1785</v>
      </c>
      <c r="D1211" s="1993" t="s">
        <v>700</v>
      </c>
    </row>
    <row r="1212" spans="1:4" ht="15">
      <c r="A1212" t="s">
        <v>5872</v>
      </c>
      <c r="B1212" s="4662" t="str">
        <f t="shared" si="18"/>
        <v>087-901</v>
      </c>
      <c r="C1212" s="1417" t="s">
        <v>1786</v>
      </c>
      <c r="D1212" s="1993" t="s">
        <v>700</v>
      </c>
    </row>
    <row r="1213" spans="1:4" ht="15">
      <c r="A1213" t="s">
        <v>5878</v>
      </c>
      <c r="B1213" s="4662" t="str">
        <f t="shared" si="18"/>
        <v>090-905</v>
      </c>
      <c r="C1213" s="1417" t="s">
        <v>1444</v>
      </c>
      <c r="D1213" s="1993" t="s">
        <v>700</v>
      </c>
    </row>
    <row r="1214" spans="1:4" ht="15">
      <c r="A1214" t="s">
        <v>3524</v>
      </c>
      <c r="B1214" s="4662" t="str">
        <f t="shared" si="18"/>
        <v>091-913</v>
      </c>
      <c r="C1214" s="1417" t="s">
        <v>2100</v>
      </c>
      <c r="D1214" s="1993" t="s">
        <v>700</v>
      </c>
    </row>
    <row r="1215" spans="1:4" ht="15">
      <c r="A1215" t="s">
        <v>5882</v>
      </c>
      <c r="B1215" s="4662" t="str">
        <f t="shared" si="18"/>
        <v>091-914</v>
      </c>
      <c r="C1215" s="1417" t="s">
        <v>1041</v>
      </c>
      <c r="D1215" s="1993" t="s">
        <v>700</v>
      </c>
    </row>
    <row r="1216" spans="1:4" ht="15">
      <c r="A1216" t="s">
        <v>5885</v>
      </c>
      <c r="B1216" s="4662" t="str">
        <f t="shared" si="18"/>
        <v>092-902</v>
      </c>
      <c r="C1216" s="1417" t="s">
        <v>224</v>
      </c>
      <c r="D1216" s="1993" t="s">
        <v>700</v>
      </c>
    </row>
    <row r="1217" spans="1:4" ht="15">
      <c r="A1217" t="s">
        <v>6725</v>
      </c>
      <c r="B1217" s="4662" t="str">
        <f t="shared" si="18"/>
        <v>093-905</v>
      </c>
      <c r="C1217" s="1417" t="s">
        <v>231</v>
      </c>
      <c r="D1217" s="1993" t="s">
        <v>700</v>
      </c>
    </row>
    <row r="1218" spans="1:4" ht="15">
      <c r="A1218" t="s">
        <v>5891</v>
      </c>
      <c r="B1218" s="4662" t="str">
        <f t="shared" ref="B1218:B1281" si="19">CONCATENATE(LEFT(RIGHT(CONCATENATE("000",A1218),6),3),"-",(RIGHT(RIGHT(CONCATENATE("000",A1218),6),3)))</f>
        <v>095-901</v>
      </c>
      <c r="C1218" s="1417" t="s">
        <v>233</v>
      </c>
      <c r="D1218" s="1993" t="s">
        <v>700</v>
      </c>
    </row>
    <row r="1219" spans="1:4" ht="15">
      <c r="A1219" t="s">
        <v>5896</v>
      </c>
      <c r="B1219" s="4662" t="str">
        <f t="shared" si="19"/>
        <v>098-903</v>
      </c>
      <c r="C1219" s="1417" t="s">
        <v>1044</v>
      </c>
      <c r="D1219" s="1993" t="s">
        <v>700</v>
      </c>
    </row>
    <row r="1220" spans="1:4" ht="15">
      <c r="A1220" t="s">
        <v>5898</v>
      </c>
      <c r="B1220" s="4662" t="str">
        <f t="shared" si="19"/>
        <v>099-902</v>
      </c>
      <c r="C1220" s="1417" t="s">
        <v>476</v>
      </c>
      <c r="D1220" s="1993" t="s">
        <v>700</v>
      </c>
    </row>
    <row r="1221" spans="1:4" ht="15">
      <c r="A1221" t="s">
        <v>5902</v>
      </c>
      <c r="B1221" s="4662" t="str">
        <f t="shared" si="19"/>
        <v>101-908</v>
      </c>
      <c r="C1221" s="1417" t="s">
        <v>482</v>
      </c>
      <c r="D1221" s="1993" t="s">
        <v>700</v>
      </c>
    </row>
    <row r="1222" spans="1:4" ht="15">
      <c r="A1222" t="s">
        <v>5904</v>
      </c>
      <c r="B1222" s="4662" t="str">
        <f t="shared" si="19"/>
        <v>101-912</v>
      </c>
      <c r="C1222" s="1417" t="s">
        <v>484</v>
      </c>
      <c r="D1222" s="1993" t="s">
        <v>700</v>
      </c>
    </row>
    <row r="1223" spans="1:4" ht="15">
      <c r="A1223" t="s">
        <v>5905</v>
      </c>
      <c r="B1223" s="4662" t="str">
        <f t="shared" si="19"/>
        <v>101-916</v>
      </c>
      <c r="C1223" s="1417" t="s">
        <v>485</v>
      </c>
      <c r="D1223" s="1993" t="s">
        <v>700</v>
      </c>
    </row>
    <row r="1224" spans="1:4" ht="15">
      <c r="A1224" t="s">
        <v>5907</v>
      </c>
      <c r="B1224" s="4662" t="str">
        <f t="shared" si="19"/>
        <v>101-920</v>
      </c>
      <c r="C1224" s="1417" t="s">
        <v>2190</v>
      </c>
      <c r="D1224" s="1993" t="s">
        <v>700</v>
      </c>
    </row>
    <row r="1225" spans="1:4" ht="15">
      <c r="A1225" t="s">
        <v>5908</v>
      </c>
      <c r="B1225" s="4662" t="str">
        <f t="shared" si="19"/>
        <v>101-921</v>
      </c>
      <c r="C1225" s="1417" t="s">
        <v>2191</v>
      </c>
      <c r="D1225" s="1993" t="s">
        <v>700</v>
      </c>
    </row>
    <row r="1226" spans="1:4" ht="15">
      <c r="A1226" t="s">
        <v>6731</v>
      </c>
      <c r="B1226" s="4662" t="str">
        <f t="shared" si="19"/>
        <v>102-901</v>
      </c>
      <c r="C1226" s="1417" t="s">
        <v>2193</v>
      </c>
      <c r="D1226" s="1993" t="s">
        <v>700</v>
      </c>
    </row>
    <row r="1227" spans="1:4" ht="15">
      <c r="A1227" t="s">
        <v>5915</v>
      </c>
      <c r="B1227" s="4662" t="str">
        <f t="shared" si="19"/>
        <v>103-901</v>
      </c>
      <c r="C1227" s="1417" t="s">
        <v>157</v>
      </c>
      <c r="D1227" s="1993" t="s">
        <v>700</v>
      </c>
    </row>
    <row r="1228" spans="1:4" ht="15">
      <c r="A1228" t="s">
        <v>5917</v>
      </c>
      <c r="B1228" s="4662" t="str">
        <f t="shared" si="19"/>
        <v>104-907</v>
      </c>
      <c r="C1228" s="1417" t="s">
        <v>160</v>
      </c>
      <c r="D1228" s="1993" t="s">
        <v>700</v>
      </c>
    </row>
    <row r="1229" spans="1:4" ht="15">
      <c r="A1229" t="s">
        <v>5918</v>
      </c>
      <c r="B1229" s="4662" t="str">
        <f t="shared" si="19"/>
        <v>105-902</v>
      </c>
      <c r="C1229" s="1417" t="s">
        <v>1045</v>
      </c>
      <c r="D1229" s="1993" t="s">
        <v>700</v>
      </c>
    </row>
    <row r="1230" spans="1:4" ht="15">
      <c r="A1230" t="s">
        <v>3546</v>
      </c>
      <c r="B1230" s="4662" t="str">
        <f t="shared" si="19"/>
        <v>105-904</v>
      </c>
      <c r="C1230" s="1417" t="s">
        <v>1061</v>
      </c>
      <c r="D1230" s="1993" t="s">
        <v>700</v>
      </c>
    </row>
    <row r="1231" spans="1:4" ht="15">
      <c r="A1231" t="s">
        <v>5919</v>
      </c>
      <c r="B1231" s="4662" t="str">
        <f t="shared" si="19"/>
        <v>105-905</v>
      </c>
      <c r="C1231" s="1417" t="s">
        <v>162</v>
      </c>
      <c r="D1231" s="1993" t="s">
        <v>700</v>
      </c>
    </row>
    <row r="1232" spans="1:4" ht="15">
      <c r="A1232" t="s">
        <v>5920</v>
      </c>
      <c r="B1232" s="4662" t="str">
        <f t="shared" si="19"/>
        <v>106-901</v>
      </c>
      <c r="C1232" s="1417" t="s">
        <v>163</v>
      </c>
      <c r="D1232" s="1993" t="s">
        <v>700</v>
      </c>
    </row>
    <row r="1233" spans="1:4" ht="15">
      <c r="A1233" t="s">
        <v>5925</v>
      </c>
      <c r="B1233" s="4662" t="str">
        <f t="shared" si="19"/>
        <v>107-906</v>
      </c>
      <c r="C1233" s="1417" t="s">
        <v>2599</v>
      </c>
      <c r="D1233" s="1993" t="s">
        <v>700</v>
      </c>
    </row>
    <row r="1234" spans="1:4" ht="15">
      <c r="A1234" t="s">
        <v>6734</v>
      </c>
      <c r="B1234" s="4662" t="str">
        <f t="shared" si="19"/>
        <v>110-907</v>
      </c>
      <c r="C1234" s="1417" t="s">
        <v>2607</v>
      </c>
      <c r="D1234" s="1993" t="s">
        <v>700</v>
      </c>
    </row>
    <row r="1235" spans="1:4" ht="15">
      <c r="A1235" t="s">
        <v>5930</v>
      </c>
      <c r="B1235" s="4662" t="str">
        <f t="shared" si="19"/>
        <v>111-901</v>
      </c>
      <c r="C1235" s="1417" t="s">
        <v>219</v>
      </c>
      <c r="D1235" s="1993" t="s">
        <v>700</v>
      </c>
    </row>
    <row r="1236" spans="1:4" ht="15">
      <c r="A1236" t="s">
        <v>5936</v>
      </c>
      <c r="B1236" s="4662" t="str">
        <f t="shared" si="19"/>
        <v>114-904</v>
      </c>
      <c r="C1236" s="1417" t="s">
        <v>1574</v>
      </c>
      <c r="D1236" s="1993" t="s">
        <v>700</v>
      </c>
    </row>
    <row r="1237" spans="1:4" ht="15">
      <c r="A1237" t="s">
        <v>6740</v>
      </c>
      <c r="B1237" s="4662" t="str">
        <f t="shared" si="19"/>
        <v>115-902</v>
      </c>
      <c r="C1237" s="1417" t="s">
        <v>1576</v>
      </c>
      <c r="D1237" s="1993" t="s">
        <v>700</v>
      </c>
    </row>
    <row r="1238" spans="1:4" ht="15">
      <c r="A1238" t="s">
        <v>5942</v>
      </c>
      <c r="B1238" s="4662" t="str">
        <f t="shared" si="19"/>
        <v>117-904</v>
      </c>
      <c r="C1238" s="1417" t="s">
        <v>1047</v>
      </c>
      <c r="D1238" s="1993" t="s">
        <v>700</v>
      </c>
    </row>
    <row r="1239" spans="1:4" ht="15">
      <c r="A1239" t="s">
        <v>5943</v>
      </c>
      <c r="B1239" s="4662" t="str">
        <f t="shared" si="19"/>
        <v>118-902</v>
      </c>
      <c r="C1239" s="1417" t="s">
        <v>1048</v>
      </c>
      <c r="D1239" s="1993" t="s">
        <v>700</v>
      </c>
    </row>
    <row r="1240" spans="1:4" ht="15">
      <c r="A1240" t="s">
        <v>5946</v>
      </c>
      <c r="B1240" s="4662" t="str">
        <f t="shared" si="19"/>
        <v>119-903</v>
      </c>
      <c r="C1240" s="1417" t="s">
        <v>1049</v>
      </c>
      <c r="D1240" s="1993" t="s">
        <v>700</v>
      </c>
    </row>
    <row r="1241" spans="1:4" ht="15">
      <c r="A1241" t="s">
        <v>5948</v>
      </c>
      <c r="B1241" s="4662" t="str">
        <f t="shared" si="19"/>
        <v>120-905</v>
      </c>
      <c r="C1241" s="1417" t="s">
        <v>621</v>
      </c>
      <c r="D1241" s="1993" t="s">
        <v>700</v>
      </c>
    </row>
    <row r="1242" spans="1:4" ht="15">
      <c r="A1242" t="s">
        <v>5949</v>
      </c>
      <c r="B1242" s="4662" t="str">
        <f t="shared" si="19"/>
        <v>121-906</v>
      </c>
      <c r="C1242" s="1417" t="s">
        <v>2500</v>
      </c>
      <c r="D1242" s="1993" t="s">
        <v>700</v>
      </c>
    </row>
    <row r="1243" spans="1:4" ht="15">
      <c r="A1243" t="s">
        <v>6744</v>
      </c>
      <c r="B1243" s="4662" t="str">
        <f t="shared" si="19"/>
        <v>122-901</v>
      </c>
      <c r="C1243" s="1417" t="s">
        <v>2501</v>
      </c>
      <c r="D1243" s="1993" t="s">
        <v>700</v>
      </c>
    </row>
    <row r="1244" spans="1:4" ht="15">
      <c r="A1244" t="s">
        <v>5950</v>
      </c>
      <c r="B1244" s="4662" t="str">
        <f t="shared" si="19"/>
        <v>123-907</v>
      </c>
      <c r="C1244" s="1417" t="s">
        <v>2296</v>
      </c>
      <c r="D1244" s="1993" t="s">
        <v>700</v>
      </c>
    </row>
    <row r="1245" spans="1:4" ht="15">
      <c r="A1245" t="s">
        <v>5953</v>
      </c>
      <c r="B1245" s="4662" t="str">
        <f t="shared" si="19"/>
        <v>123-913</v>
      </c>
      <c r="C1245" s="1417" t="s">
        <v>2692</v>
      </c>
      <c r="D1245" s="1993" t="s">
        <v>700</v>
      </c>
    </row>
    <row r="1246" spans="1:4" ht="15">
      <c r="A1246" t="s">
        <v>5090</v>
      </c>
      <c r="B1246" s="4662" t="str">
        <f t="shared" si="19"/>
        <v>128-901</v>
      </c>
      <c r="C1246" s="1417" t="s">
        <v>409</v>
      </c>
      <c r="D1246" s="1993" t="s">
        <v>700</v>
      </c>
    </row>
    <row r="1247" spans="1:4" ht="15">
      <c r="A1247" t="s">
        <v>3607</v>
      </c>
      <c r="B1247" s="4662" t="str">
        <f t="shared" si="19"/>
        <v>128-902</v>
      </c>
      <c r="C1247" s="1417" t="s">
        <v>414</v>
      </c>
      <c r="D1247" s="1993" t="s">
        <v>700</v>
      </c>
    </row>
    <row r="1248" spans="1:4" ht="15">
      <c r="A1248" t="s">
        <v>5959</v>
      </c>
      <c r="B1248" s="4662" t="str">
        <f t="shared" si="19"/>
        <v>128-903</v>
      </c>
      <c r="C1248" s="1417" t="s">
        <v>2036</v>
      </c>
      <c r="D1248" s="1993" t="s">
        <v>700</v>
      </c>
    </row>
    <row r="1249" spans="1:4" ht="15">
      <c r="A1249" t="s">
        <v>3608</v>
      </c>
      <c r="B1249" s="4662" t="str">
        <f t="shared" si="19"/>
        <v>128-904</v>
      </c>
      <c r="C1249" s="1417" t="s">
        <v>893</v>
      </c>
      <c r="D1249" s="1993" t="s">
        <v>700</v>
      </c>
    </row>
    <row r="1250" spans="1:4" ht="15">
      <c r="A1250" t="s">
        <v>5962</v>
      </c>
      <c r="B1250" s="4662" t="str">
        <f t="shared" si="19"/>
        <v>130-901</v>
      </c>
      <c r="C1250" s="1417" t="s">
        <v>2039</v>
      </c>
      <c r="D1250" s="1993" t="s">
        <v>700</v>
      </c>
    </row>
    <row r="1251" spans="1:4" ht="15">
      <c r="A1251" t="s">
        <v>5963</v>
      </c>
      <c r="B1251" s="4662" t="str">
        <f t="shared" si="19"/>
        <v>130-902</v>
      </c>
      <c r="C1251" s="1417" t="s">
        <v>2040</v>
      </c>
      <c r="D1251" s="1993" t="s">
        <v>700</v>
      </c>
    </row>
    <row r="1252" spans="1:4" ht="15">
      <c r="A1252" t="s">
        <v>5964</v>
      </c>
      <c r="B1252" s="4662" t="str">
        <f t="shared" si="19"/>
        <v>131-001</v>
      </c>
      <c r="C1252" s="1417" t="s">
        <v>2041</v>
      </c>
      <c r="D1252" s="1993" t="s">
        <v>700</v>
      </c>
    </row>
    <row r="1253" spans="1:4" ht="15">
      <c r="A1253" t="s">
        <v>6747</v>
      </c>
      <c r="B1253" s="4662" t="str">
        <f t="shared" si="19"/>
        <v>132-902</v>
      </c>
      <c r="C1253" s="1417" t="s">
        <v>2042</v>
      </c>
      <c r="D1253" s="1993" t="s">
        <v>700</v>
      </c>
    </row>
    <row r="1254" spans="1:4" ht="15">
      <c r="A1254" t="s">
        <v>5965</v>
      </c>
      <c r="B1254" s="4662" t="str">
        <f t="shared" si="19"/>
        <v>133-902</v>
      </c>
      <c r="C1254" s="1417" t="s">
        <v>2043</v>
      </c>
      <c r="D1254" s="1993" t="s">
        <v>700</v>
      </c>
    </row>
    <row r="1255" spans="1:4" ht="15">
      <c r="A1255" t="s">
        <v>6748</v>
      </c>
      <c r="B1255" s="4662" t="str">
        <f t="shared" si="19"/>
        <v>133-905</v>
      </c>
      <c r="C1255" s="1417" t="s">
        <v>2046</v>
      </c>
      <c r="D1255" s="1993" t="s">
        <v>700</v>
      </c>
    </row>
    <row r="1256" spans="1:4" ht="15">
      <c r="A1256" t="s">
        <v>5968</v>
      </c>
      <c r="B1256" s="4662" t="str">
        <f t="shared" si="19"/>
        <v>135-001</v>
      </c>
      <c r="C1256" s="1417" t="s">
        <v>2048</v>
      </c>
      <c r="D1256" s="1993" t="s">
        <v>700</v>
      </c>
    </row>
    <row r="1257" spans="1:4" ht="15">
      <c r="A1257" t="s">
        <v>5970</v>
      </c>
      <c r="B1257" s="4662" t="str">
        <f t="shared" si="19"/>
        <v>139-905</v>
      </c>
      <c r="C1257" s="1417" t="s">
        <v>2055</v>
      </c>
      <c r="D1257" s="1993" t="s">
        <v>700</v>
      </c>
    </row>
    <row r="1258" spans="1:4" ht="15">
      <c r="A1258" t="s">
        <v>5972</v>
      </c>
      <c r="B1258" s="4662" t="str">
        <f t="shared" si="19"/>
        <v>140-908</v>
      </c>
      <c r="C1258" s="1417" t="s">
        <v>946</v>
      </c>
      <c r="D1258" s="1993" t="s">
        <v>700</v>
      </c>
    </row>
    <row r="1259" spans="1:4" ht="15">
      <c r="A1259" t="s">
        <v>3621</v>
      </c>
      <c r="B1259" s="4662" t="str">
        <f t="shared" si="19"/>
        <v>142-901</v>
      </c>
      <c r="C1259" s="1417" t="s">
        <v>1102</v>
      </c>
      <c r="D1259" s="1993" t="s">
        <v>700</v>
      </c>
    </row>
    <row r="1260" spans="1:4" ht="15">
      <c r="A1260" t="s">
        <v>6758</v>
      </c>
      <c r="B1260" s="4662" t="str">
        <f t="shared" si="19"/>
        <v>143-902</v>
      </c>
      <c r="C1260" s="1417" t="s">
        <v>950</v>
      </c>
      <c r="D1260" s="1993" t="s">
        <v>700</v>
      </c>
    </row>
    <row r="1261" spans="1:4" ht="15">
      <c r="A1261" t="s">
        <v>6759</v>
      </c>
      <c r="B1261" s="4662" t="str">
        <f t="shared" si="19"/>
        <v>143-903</v>
      </c>
      <c r="C1261" s="1417" t="s">
        <v>951</v>
      </c>
      <c r="D1261" s="1993" t="s">
        <v>700</v>
      </c>
    </row>
    <row r="1262" spans="1:4" ht="15">
      <c r="A1262" t="s">
        <v>5975</v>
      </c>
      <c r="B1262" s="4662" t="str">
        <f t="shared" si="19"/>
        <v>143-906</v>
      </c>
      <c r="C1262" s="1417" t="s">
        <v>954</v>
      </c>
      <c r="D1262" s="1993" t="s">
        <v>700</v>
      </c>
    </row>
    <row r="1263" spans="1:4" ht="15">
      <c r="A1263" t="s">
        <v>5982</v>
      </c>
      <c r="B1263" s="4662" t="str">
        <f t="shared" si="19"/>
        <v>145-911</v>
      </c>
      <c r="C1263" s="1417" t="s">
        <v>2005</v>
      </c>
      <c r="D1263" s="1993" t="s">
        <v>700</v>
      </c>
    </row>
    <row r="1264" spans="1:4" ht="15">
      <c r="A1264" t="s">
        <v>5983</v>
      </c>
      <c r="B1264" s="4662" t="str">
        <f t="shared" si="19"/>
        <v>146-903</v>
      </c>
      <c r="C1264" s="1417" t="s">
        <v>2006</v>
      </c>
      <c r="D1264" s="1993" t="s">
        <v>700</v>
      </c>
    </row>
    <row r="1265" spans="1:4" ht="15">
      <c r="A1265" t="s">
        <v>5986</v>
      </c>
      <c r="B1265" s="4662" t="str">
        <f t="shared" si="19"/>
        <v>147-902</v>
      </c>
      <c r="C1265" s="1417" t="s">
        <v>545</v>
      </c>
      <c r="D1265" s="1993" t="s">
        <v>700</v>
      </c>
    </row>
    <row r="1266" spans="1:4" ht="15">
      <c r="A1266" t="s">
        <v>5989</v>
      </c>
      <c r="B1266" s="4662" t="str">
        <f t="shared" si="19"/>
        <v>148-902</v>
      </c>
      <c r="C1266" s="1417" t="s">
        <v>548</v>
      </c>
      <c r="D1266" s="1993" t="s">
        <v>700</v>
      </c>
    </row>
    <row r="1267" spans="1:4" ht="15">
      <c r="A1267" t="s">
        <v>5990</v>
      </c>
      <c r="B1267" s="4662" t="str">
        <f t="shared" si="19"/>
        <v>148-903</v>
      </c>
      <c r="C1267" s="1417" t="s">
        <v>549</v>
      </c>
      <c r="D1267" s="1993" t="s">
        <v>700</v>
      </c>
    </row>
    <row r="1268" spans="1:4" ht="15">
      <c r="A1268" t="s">
        <v>5993</v>
      </c>
      <c r="B1268" s="4662" t="str">
        <f t="shared" si="19"/>
        <v>149-902</v>
      </c>
      <c r="C1268" s="1417" t="s">
        <v>552</v>
      </c>
      <c r="D1268" s="1993" t="s">
        <v>700</v>
      </c>
    </row>
    <row r="1269" spans="1:4" ht="15">
      <c r="A1269" t="s">
        <v>5994</v>
      </c>
      <c r="B1269" s="4662" t="str">
        <f t="shared" si="19"/>
        <v>150-901</v>
      </c>
      <c r="C1269" s="1417" t="s">
        <v>553</v>
      </c>
      <c r="D1269" s="1993" t="s">
        <v>700</v>
      </c>
    </row>
    <row r="1270" spans="1:4" ht="15">
      <c r="A1270" t="s">
        <v>6000</v>
      </c>
      <c r="B1270" s="4662" t="str">
        <f t="shared" si="19"/>
        <v>156-902</v>
      </c>
      <c r="C1270" s="1417" t="s">
        <v>564</v>
      </c>
      <c r="D1270" s="1993" t="s">
        <v>700</v>
      </c>
    </row>
    <row r="1271" spans="1:4" ht="15">
      <c r="A1271" t="s">
        <v>6001</v>
      </c>
      <c r="B1271" s="4662" t="str">
        <f t="shared" si="19"/>
        <v>156-905</v>
      </c>
      <c r="C1271" s="1417" t="s">
        <v>565</v>
      </c>
      <c r="D1271" s="1993" t="s">
        <v>700</v>
      </c>
    </row>
    <row r="1272" spans="1:4" ht="15">
      <c r="A1272" t="s">
        <v>6004</v>
      </c>
      <c r="B1272" s="4662" t="str">
        <f t="shared" si="19"/>
        <v>158-902</v>
      </c>
      <c r="C1272" s="1417" t="s">
        <v>1745</v>
      </c>
      <c r="D1272" s="1993" t="s">
        <v>700</v>
      </c>
    </row>
    <row r="1273" spans="1:4" ht="15">
      <c r="A1273" t="s">
        <v>6005</v>
      </c>
      <c r="B1273" s="4662" t="str">
        <f t="shared" si="19"/>
        <v>158-904</v>
      </c>
      <c r="C1273" s="1417" t="s">
        <v>1746</v>
      </c>
      <c r="D1273" s="1993" t="s">
        <v>700</v>
      </c>
    </row>
    <row r="1274" spans="1:4" ht="15">
      <c r="A1274" t="s">
        <v>6006</v>
      </c>
      <c r="B1274" s="4662" t="str">
        <f t="shared" si="19"/>
        <v>158-905</v>
      </c>
      <c r="C1274" s="1417" t="s">
        <v>1747</v>
      </c>
      <c r="D1274" s="1993" t="s">
        <v>700</v>
      </c>
    </row>
    <row r="1275" spans="1:4" ht="15">
      <c r="A1275" t="s">
        <v>6007</v>
      </c>
      <c r="B1275" s="4662" t="str">
        <f t="shared" si="19"/>
        <v>161-903</v>
      </c>
      <c r="C1275" s="1417" t="s">
        <v>1922</v>
      </c>
      <c r="D1275" s="1993" t="s">
        <v>700</v>
      </c>
    </row>
    <row r="1276" spans="1:4" ht="15">
      <c r="A1276" t="s">
        <v>6009</v>
      </c>
      <c r="B1276" s="4662" t="str">
        <f t="shared" si="19"/>
        <v>162-904</v>
      </c>
      <c r="C1276" s="1417" t="s">
        <v>1755</v>
      </c>
      <c r="D1276" s="1993" t="s">
        <v>700</v>
      </c>
    </row>
    <row r="1277" spans="1:4" ht="15">
      <c r="A1277" t="s">
        <v>3655</v>
      </c>
      <c r="B1277" s="4662" t="str">
        <f t="shared" si="19"/>
        <v>165-901</v>
      </c>
      <c r="C1277" s="1417" t="s">
        <v>2236</v>
      </c>
      <c r="D1277" s="1993" t="s">
        <v>700</v>
      </c>
    </row>
    <row r="1278" spans="1:4" ht="15">
      <c r="A1278" t="s">
        <v>6010</v>
      </c>
      <c r="B1278" s="4662" t="str">
        <f t="shared" si="19"/>
        <v>165-902</v>
      </c>
      <c r="C1278" s="1417" t="s">
        <v>1757</v>
      </c>
      <c r="D1278" s="1993" t="s">
        <v>700</v>
      </c>
    </row>
    <row r="1279" spans="1:4" ht="15">
      <c r="A1279" t="s">
        <v>3659</v>
      </c>
      <c r="B1279" s="4662" t="str">
        <f t="shared" si="19"/>
        <v>167-904</v>
      </c>
      <c r="C1279" s="1417" t="s">
        <v>73</v>
      </c>
      <c r="D1279" s="1993" t="s">
        <v>700</v>
      </c>
    </row>
    <row r="1280" spans="1:4" ht="15">
      <c r="A1280" t="s">
        <v>6015</v>
      </c>
      <c r="B1280" s="4662" t="str">
        <f t="shared" si="19"/>
        <v>168-902</v>
      </c>
      <c r="C1280" s="1417" t="s">
        <v>1765</v>
      </c>
      <c r="D1280" s="1993" t="s">
        <v>700</v>
      </c>
    </row>
    <row r="1281" spans="1:4" ht="15">
      <c r="A1281" t="s">
        <v>6773</v>
      </c>
      <c r="B1281" s="4662" t="str">
        <f t="shared" si="19"/>
        <v>168-903</v>
      </c>
      <c r="C1281" s="1417" t="s">
        <v>1766</v>
      </c>
      <c r="D1281" s="1993" t="s">
        <v>700</v>
      </c>
    </row>
    <row r="1282" spans="1:4" ht="15">
      <c r="A1282" t="s">
        <v>6017</v>
      </c>
      <c r="B1282" s="4662" t="str">
        <f t="shared" ref="B1282:B1345" si="20">CONCATENATE(LEFT(RIGHT(CONCATENATE("000",A1282),6),3),"-",(RIGHT(RIGHT(CONCATENATE("000",A1282),6),3)))</f>
        <v>169-910</v>
      </c>
      <c r="C1282" s="1417" t="s">
        <v>2247</v>
      </c>
      <c r="D1282" s="1993" t="s">
        <v>700</v>
      </c>
    </row>
    <row r="1283" spans="1:4" ht="15">
      <c r="A1283" t="s">
        <v>6019</v>
      </c>
      <c r="B1283" s="4662" t="str">
        <f t="shared" si="20"/>
        <v>170-903</v>
      </c>
      <c r="C1283" s="1417" t="s">
        <v>2249</v>
      </c>
      <c r="D1283" s="1993" t="s">
        <v>700</v>
      </c>
    </row>
    <row r="1284" spans="1:4" ht="15">
      <c r="A1284" t="s">
        <v>3675</v>
      </c>
      <c r="B1284" s="4662" t="str">
        <f t="shared" si="20"/>
        <v>176-903</v>
      </c>
      <c r="C1284" s="1417" t="s">
        <v>2670</v>
      </c>
      <c r="D1284" s="1993" t="s">
        <v>700</v>
      </c>
    </row>
    <row r="1285" spans="1:4" ht="15">
      <c r="A1285" t="s">
        <v>6032</v>
      </c>
      <c r="B1285" s="4662" t="str">
        <f t="shared" si="20"/>
        <v>177-903</v>
      </c>
      <c r="C1285" s="1417" t="s">
        <v>2328</v>
      </c>
      <c r="D1285" s="1993" t="s">
        <v>700</v>
      </c>
    </row>
    <row r="1286" spans="1:4" ht="15">
      <c r="A1286" t="s">
        <v>6033</v>
      </c>
      <c r="B1286" s="4662" t="str">
        <f t="shared" si="20"/>
        <v>177-905</v>
      </c>
      <c r="C1286" s="1417" t="s">
        <v>313</v>
      </c>
      <c r="D1286" s="1993" t="s">
        <v>700</v>
      </c>
    </row>
    <row r="1287" spans="1:4" ht="15">
      <c r="A1287" t="s">
        <v>6039</v>
      </c>
      <c r="B1287" s="4662" t="str">
        <f t="shared" si="20"/>
        <v>178-908</v>
      </c>
      <c r="C1287" s="1417" t="s">
        <v>319</v>
      </c>
      <c r="D1287" s="1993" t="s">
        <v>700</v>
      </c>
    </row>
    <row r="1288" spans="1:4" ht="15">
      <c r="A1288" t="s">
        <v>6040</v>
      </c>
      <c r="B1288" s="4662" t="str">
        <f t="shared" si="20"/>
        <v>178-912</v>
      </c>
      <c r="C1288" s="1417" t="s">
        <v>320</v>
      </c>
      <c r="D1288" s="1993" t="s">
        <v>700</v>
      </c>
    </row>
    <row r="1289" spans="1:4" ht="15">
      <c r="A1289" t="s">
        <v>6045</v>
      </c>
      <c r="B1289" s="4662" t="str">
        <f t="shared" si="20"/>
        <v>181-906</v>
      </c>
      <c r="C1289" s="1417" t="s">
        <v>2330</v>
      </c>
      <c r="D1289" s="1993" t="s">
        <v>700</v>
      </c>
    </row>
    <row r="1290" spans="1:4" ht="15">
      <c r="A1290" t="s">
        <v>6047</v>
      </c>
      <c r="B1290" s="4662" t="str">
        <f t="shared" si="20"/>
        <v>182-901</v>
      </c>
      <c r="C1290" s="1417" t="s">
        <v>330</v>
      </c>
      <c r="D1290" s="1993" t="s">
        <v>700</v>
      </c>
    </row>
    <row r="1291" spans="1:4" ht="15">
      <c r="A1291" t="s">
        <v>6048</v>
      </c>
      <c r="B1291" s="4662" t="str">
        <f t="shared" si="20"/>
        <v>182-902</v>
      </c>
      <c r="C1291" s="1417" t="s">
        <v>331</v>
      </c>
      <c r="D1291" s="1993" t="s">
        <v>700</v>
      </c>
    </row>
    <row r="1292" spans="1:4" ht="15">
      <c r="A1292" t="s">
        <v>6050</v>
      </c>
      <c r="B1292" s="4662" t="str">
        <f t="shared" si="20"/>
        <v>182-906</v>
      </c>
      <c r="C1292" s="1417" t="s">
        <v>431</v>
      </c>
      <c r="D1292" s="1993" t="s">
        <v>700</v>
      </c>
    </row>
    <row r="1293" spans="1:4" ht="15">
      <c r="A1293" t="s">
        <v>6052</v>
      </c>
      <c r="B1293" s="4662" t="str">
        <f t="shared" si="20"/>
        <v>183-902</v>
      </c>
      <c r="C1293" s="1417" t="s">
        <v>433</v>
      </c>
      <c r="D1293" s="1993" t="s">
        <v>700</v>
      </c>
    </row>
    <row r="1294" spans="1:4" ht="15">
      <c r="A1294" t="s">
        <v>6053</v>
      </c>
      <c r="B1294" s="4662" t="str">
        <f t="shared" si="20"/>
        <v>184-907</v>
      </c>
      <c r="C1294" s="1417" t="s">
        <v>434</v>
      </c>
      <c r="D1294" s="1993" t="s">
        <v>700</v>
      </c>
    </row>
    <row r="1295" spans="1:4" ht="15">
      <c r="A1295" t="s">
        <v>6054</v>
      </c>
      <c r="B1295" s="4662" t="str">
        <f t="shared" si="20"/>
        <v>184-911</v>
      </c>
      <c r="C1295" s="1417" t="s">
        <v>435</v>
      </c>
      <c r="D1295" s="1993" t="s">
        <v>700</v>
      </c>
    </row>
    <row r="1296" spans="1:4" ht="15">
      <c r="A1296" t="s">
        <v>6056</v>
      </c>
      <c r="B1296" s="4662" t="str">
        <f t="shared" si="20"/>
        <v>186-901</v>
      </c>
      <c r="C1296" s="1417" t="s">
        <v>440</v>
      </c>
      <c r="D1296" s="1993" t="s">
        <v>700</v>
      </c>
    </row>
    <row r="1297" spans="1:4" ht="15">
      <c r="A1297" t="s">
        <v>6057</v>
      </c>
      <c r="B1297" s="4662" t="str">
        <f t="shared" si="20"/>
        <v>186-902</v>
      </c>
      <c r="C1297" s="1417" t="s">
        <v>2331</v>
      </c>
      <c r="D1297" s="1993" t="s">
        <v>700</v>
      </c>
    </row>
    <row r="1298" spans="1:4" ht="15">
      <c r="A1298" t="s">
        <v>6058</v>
      </c>
      <c r="B1298" s="4662" t="str">
        <f t="shared" si="20"/>
        <v>186-903</v>
      </c>
      <c r="C1298" s="1417" t="s">
        <v>442</v>
      </c>
      <c r="D1298" s="1993" t="s">
        <v>700</v>
      </c>
    </row>
    <row r="1299" spans="1:4" ht="15">
      <c r="A1299" t="s">
        <v>6063</v>
      </c>
      <c r="B1299" s="4662" t="str">
        <f t="shared" si="20"/>
        <v>188-903</v>
      </c>
      <c r="C1299" s="1417" t="s">
        <v>130</v>
      </c>
      <c r="D1299" s="1993" t="s">
        <v>700</v>
      </c>
    </row>
    <row r="1300" spans="1:4" ht="15">
      <c r="A1300" t="s">
        <v>6064</v>
      </c>
      <c r="B1300" s="4662" t="str">
        <f t="shared" si="20"/>
        <v>188-904</v>
      </c>
      <c r="C1300" s="1417" t="s">
        <v>448</v>
      </c>
      <c r="D1300" s="1993" t="s">
        <v>700</v>
      </c>
    </row>
    <row r="1301" spans="1:4" ht="15">
      <c r="A1301" t="s">
        <v>3695</v>
      </c>
      <c r="B1301" s="4662" t="str">
        <f t="shared" si="20"/>
        <v>189-901</v>
      </c>
      <c r="C1301" s="1417" t="s">
        <v>292</v>
      </c>
      <c r="D1301" s="1993" t="s">
        <v>700</v>
      </c>
    </row>
    <row r="1302" spans="1:4" ht="15">
      <c r="A1302" t="s">
        <v>6067</v>
      </c>
      <c r="B1302" s="4662" t="str">
        <f t="shared" si="20"/>
        <v>192-901</v>
      </c>
      <c r="C1302" s="1417" t="s">
        <v>154</v>
      </c>
      <c r="D1302" s="1993" t="s">
        <v>700</v>
      </c>
    </row>
    <row r="1303" spans="1:4" ht="15">
      <c r="A1303" t="s">
        <v>6068</v>
      </c>
      <c r="B1303" s="4662" t="str">
        <f t="shared" si="20"/>
        <v>193-902</v>
      </c>
      <c r="C1303" s="1417" t="s">
        <v>155</v>
      </c>
      <c r="D1303" s="1993" t="s">
        <v>700</v>
      </c>
    </row>
    <row r="1304" spans="1:4" ht="15">
      <c r="A1304" t="s">
        <v>6069</v>
      </c>
      <c r="B1304" s="4662" t="str">
        <f t="shared" si="20"/>
        <v>195-901</v>
      </c>
      <c r="C1304" s="1417" t="s">
        <v>1623</v>
      </c>
      <c r="D1304" s="1993" t="s">
        <v>700</v>
      </c>
    </row>
    <row r="1305" spans="1:4" ht="15">
      <c r="A1305" t="s">
        <v>6070</v>
      </c>
      <c r="B1305" s="4662" t="str">
        <f t="shared" si="20"/>
        <v>196-901</v>
      </c>
      <c r="C1305" s="1417" t="s">
        <v>1624</v>
      </c>
      <c r="D1305" s="1993" t="s">
        <v>700</v>
      </c>
    </row>
    <row r="1306" spans="1:4" ht="15">
      <c r="A1306" t="s">
        <v>6073</v>
      </c>
      <c r="B1306" s="4662" t="str">
        <f t="shared" si="20"/>
        <v>197-902</v>
      </c>
      <c r="C1306" s="1417" t="s">
        <v>1627</v>
      </c>
      <c r="D1306" s="1993" t="s">
        <v>700</v>
      </c>
    </row>
    <row r="1307" spans="1:4" ht="15">
      <c r="A1307" t="s">
        <v>6075</v>
      </c>
      <c r="B1307" s="4662" t="str">
        <f t="shared" si="20"/>
        <v>198-903</v>
      </c>
      <c r="C1307" s="1417" t="s">
        <v>1630</v>
      </c>
      <c r="D1307" s="1993" t="s">
        <v>700</v>
      </c>
    </row>
    <row r="1308" spans="1:4" ht="15">
      <c r="A1308" t="s">
        <v>6077</v>
      </c>
      <c r="B1308" s="4662" t="str">
        <f t="shared" si="20"/>
        <v>199-901</v>
      </c>
      <c r="C1308" s="1417" t="s">
        <v>977</v>
      </c>
      <c r="D1308" s="1993" t="s">
        <v>700</v>
      </c>
    </row>
    <row r="1309" spans="1:4" ht="15">
      <c r="A1309" t="s">
        <v>6793</v>
      </c>
      <c r="B1309" s="4662" t="str">
        <f t="shared" si="20"/>
        <v>203-902</v>
      </c>
      <c r="C1309" s="1417" t="s">
        <v>2071</v>
      </c>
      <c r="D1309" s="1993" t="s">
        <v>700</v>
      </c>
    </row>
    <row r="1310" spans="1:4" ht="15">
      <c r="A1310" t="s">
        <v>6081</v>
      </c>
      <c r="B1310" s="4662" t="str">
        <f t="shared" si="20"/>
        <v>204-901</v>
      </c>
      <c r="C1310" s="1417" t="s">
        <v>2334</v>
      </c>
      <c r="D1310" s="1993" t="s">
        <v>700</v>
      </c>
    </row>
    <row r="1311" spans="1:4" ht="15">
      <c r="A1311" t="s">
        <v>6083</v>
      </c>
      <c r="B1311" s="4662" t="str">
        <f t="shared" si="20"/>
        <v>205-903</v>
      </c>
      <c r="C1311" s="1417" t="s">
        <v>353</v>
      </c>
      <c r="D1311" s="1993" t="s">
        <v>700</v>
      </c>
    </row>
    <row r="1312" spans="1:4" ht="15">
      <c r="A1312" t="s">
        <v>6085</v>
      </c>
      <c r="B1312" s="4662" t="str">
        <f t="shared" si="20"/>
        <v>208-902</v>
      </c>
      <c r="C1312" s="1417" t="s">
        <v>358</v>
      </c>
      <c r="D1312" s="1993" t="s">
        <v>700</v>
      </c>
    </row>
    <row r="1313" spans="1:4" ht="15">
      <c r="A1313" t="s">
        <v>6801</v>
      </c>
      <c r="B1313" s="4662" t="str">
        <f t="shared" si="20"/>
        <v>211-902</v>
      </c>
      <c r="C1313" s="1417" t="s">
        <v>1994</v>
      </c>
      <c r="D1313" s="1993" t="s">
        <v>700</v>
      </c>
    </row>
    <row r="1314" spans="1:4" ht="15">
      <c r="A1314" t="s">
        <v>6094</v>
      </c>
      <c r="B1314" s="4662" t="str">
        <f t="shared" si="20"/>
        <v>213-901</v>
      </c>
      <c r="C1314" s="1417" t="s">
        <v>2000</v>
      </c>
      <c r="D1314" s="1993" t="s">
        <v>700</v>
      </c>
    </row>
    <row r="1315" spans="1:4" ht="15">
      <c r="A1315" t="s">
        <v>6097</v>
      </c>
      <c r="B1315" s="4662" t="str">
        <f t="shared" si="20"/>
        <v>216-901</v>
      </c>
      <c r="C1315" s="1417" t="s">
        <v>2562</v>
      </c>
      <c r="D1315" s="1993" t="s">
        <v>700</v>
      </c>
    </row>
    <row r="1316" spans="1:4" ht="15">
      <c r="A1316" t="s">
        <v>6102</v>
      </c>
      <c r="B1316" s="4662" t="str">
        <f t="shared" si="20"/>
        <v>220-906</v>
      </c>
      <c r="C1316" s="1417" t="s">
        <v>1279</v>
      </c>
      <c r="D1316" s="1993" t="s">
        <v>700</v>
      </c>
    </row>
    <row r="1317" spans="1:4" ht="15">
      <c r="A1317" t="s">
        <v>5533</v>
      </c>
      <c r="B1317" s="4662" t="str">
        <f t="shared" si="20"/>
        <v>220-919</v>
      </c>
      <c r="C1317" s="1417" t="s">
        <v>656</v>
      </c>
      <c r="D1317" s="1993" t="s">
        <v>700</v>
      </c>
    </row>
    <row r="1318" spans="1:4" ht="15">
      <c r="A1318" t="s">
        <v>6108</v>
      </c>
      <c r="B1318" s="4662" t="str">
        <f t="shared" si="20"/>
        <v>222-901</v>
      </c>
      <c r="C1318" s="1417" t="s">
        <v>1285</v>
      </c>
      <c r="D1318" s="1993" t="s">
        <v>700</v>
      </c>
    </row>
    <row r="1319" spans="1:4" ht="15">
      <c r="A1319" t="s">
        <v>6804</v>
      </c>
      <c r="B1319" s="4662" t="str">
        <f t="shared" si="20"/>
        <v>224-901</v>
      </c>
      <c r="C1319" s="1417" t="s">
        <v>636</v>
      </c>
      <c r="D1319" s="1993" t="s">
        <v>700</v>
      </c>
    </row>
    <row r="1320" spans="1:4" ht="15">
      <c r="A1320" t="s">
        <v>6114</v>
      </c>
      <c r="B1320" s="4662" t="str">
        <f t="shared" si="20"/>
        <v>227-901</v>
      </c>
      <c r="C1320" s="1417" t="s">
        <v>1908</v>
      </c>
      <c r="D1320" s="1993" t="s">
        <v>700</v>
      </c>
    </row>
    <row r="1321" spans="1:4" ht="15">
      <c r="A1321" t="s">
        <v>6116</v>
      </c>
      <c r="B1321" s="4662" t="str">
        <f t="shared" si="20"/>
        <v>227-909</v>
      </c>
      <c r="C1321" s="1417" t="s">
        <v>1910</v>
      </c>
      <c r="D1321" s="1993" t="s">
        <v>700</v>
      </c>
    </row>
    <row r="1322" spans="1:4" ht="15">
      <c r="A1322" t="s">
        <v>6117</v>
      </c>
      <c r="B1322" s="4662" t="str">
        <f t="shared" si="20"/>
        <v>227-912</v>
      </c>
      <c r="C1322" s="1417" t="s">
        <v>1911</v>
      </c>
      <c r="D1322" s="1993" t="s">
        <v>700</v>
      </c>
    </row>
    <row r="1323" spans="1:4" ht="15">
      <c r="A1323" t="s">
        <v>6118</v>
      </c>
      <c r="B1323" s="4662" t="str">
        <f t="shared" si="20"/>
        <v>227-913</v>
      </c>
      <c r="C1323" s="1417" t="s">
        <v>1912</v>
      </c>
      <c r="D1323" s="1993" t="s">
        <v>700</v>
      </c>
    </row>
    <row r="1324" spans="1:4" ht="15">
      <c r="A1324" t="s">
        <v>6812</v>
      </c>
      <c r="B1324" s="4662" t="str">
        <f t="shared" si="20"/>
        <v>231-901</v>
      </c>
      <c r="C1324" s="1417" t="s">
        <v>779</v>
      </c>
      <c r="D1324" s="1993" t="s">
        <v>700</v>
      </c>
    </row>
    <row r="1325" spans="1:4" ht="15">
      <c r="A1325" t="s">
        <v>6124</v>
      </c>
      <c r="B1325" s="4662" t="str">
        <f t="shared" si="20"/>
        <v>231-902</v>
      </c>
      <c r="C1325" s="1417" t="s">
        <v>780</v>
      </c>
      <c r="D1325" s="1993" t="s">
        <v>700</v>
      </c>
    </row>
    <row r="1326" spans="1:4" ht="15">
      <c r="A1326" t="s">
        <v>3750</v>
      </c>
      <c r="B1326" s="4662" t="str">
        <f t="shared" si="20"/>
        <v>232-902</v>
      </c>
      <c r="C1326" s="1417" t="s">
        <v>615</v>
      </c>
      <c r="D1326" s="1993" t="s">
        <v>700</v>
      </c>
    </row>
    <row r="1327" spans="1:4" ht="15">
      <c r="A1327" t="s">
        <v>6813</v>
      </c>
      <c r="B1327" s="4662" t="str">
        <f t="shared" si="20"/>
        <v>232-904</v>
      </c>
      <c r="C1327" s="1417" t="s">
        <v>622</v>
      </c>
      <c r="D1327" s="1993" t="s">
        <v>700</v>
      </c>
    </row>
    <row r="1328" spans="1:4" ht="15">
      <c r="A1328" t="s">
        <v>6125</v>
      </c>
      <c r="B1328" s="4662" t="str">
        <f t="shared" si="20"/>
        <v>233-903</v>
      </c>
      <c r="C1328" s="1417" t="s">
        <v>623</v>
      </c>
      <c r="D1328" s="1993" t="s">
        <v>700</v>
      </c>
    </row>
    <row r="1329" spans="1:4" ht="15">
      <c r="A1329" t="s">
        <v>6128</v>
      </c>
      <c r="B1329" s="4662" t="str">
        <f t="shared" si="20"/>
        <v>235-904</v>
      </c>
      <c r="C1329" s="1417" t="s">
        <v>2082</v>
      </c>
      <c r="D1329" s="1993" t="s">
        <v>700</v>
      </c>
    </row>
    <row r="1330" spans="1:4" ht="15">
      <c r="A1330" t="s">
        <v>6129</v>
      </c>
      <c r="B1330" s="4662" t="str">
        <f t="shared" si="20"/>
        <v>238-902</v>
      </c>
      <c r="C1330" s="1417" t="s">
        <v>887</v>
      </c>
      <c r="D1330" s="1993" t="s">
        <v>700</v>
      </c>
    </row>
    <row r="1331" spans="1:4" ht="15">
      <c r="A1331" t="s">
        <v>6131</v>
      </c>
      <c r="B1331" s="4662" t="str">
        <f t="shared" si="20"/>
        <v>239-903</v>
      </c>
      <c r="C1331" s="1417" t="s">
        <v>1218</v>
      </c>
      <c r="D1331" s="1993" t="s">
        <v>700</v>
      </c>
    </row>
    <row r="1332" spans="1:4" ht="15">
      <c r="A1332" t="s">
        <v>6132</v>
      </c>
      <c r="B1332" s="4662" t="str">
        <f t="shared" si="20"/>
        <v>240-904</v>
      </c>
      <c r="C1332" s="1417" t="s">
        <v>2337</v>
      </c>
      <c r="D1332" s="1993" t="s">
        <v>700</v>
      </c>
    </row>
    <row r="1333" spans="1:4" ht="15">
      <c r="A1333" t="s">
        <v>6135</v>
      </c>
      <c r="B1333" s="4662" t="str">
        <f t="shared" si="20"/>
        <v>241-904</v>
      </c>
      <c r="C1333" s="1417" t="s">
        <v>1223</v>
      </c>
      <c r="D1333" s="1993" t="s">
        <v>700</v>
      </c>
    </row>
    <row r="1334" spans="1:4" ht="15">
      <c r="A1334" t="s">
        <v>6817</v>
      </c>
      <c r="B1334" s="4662" t="str">
        <f t="shared" si="20"/>
        <v>242-905</v>
      </c>
      <c r="C1334" s="1417" t="s">
        <v>1227</v>
      </c>
      <c r="D1334" s="1993" t="s">
        <v>700</v>
      </c>
    </row>
    <row r="1335" spans="1:4" ht="15">
      <c r="A1335" t="s">
        <v>6138</v>
      </c>
      <c r="B1335" s="4662" t="str">
        <f t="shared" si="20"/>
        <v>242-906</v>
      </c>
      <c r="C1335" s="1417" t="s">
        <v>1228</v>
      </c>
      <c r="D1335" s="1993" t="s">
        <v>700</v>
      </c>
    </row>
    <row r="1336" spans="1:4" ht="15">
      <c r="A1336" t="s">
        <v>3776</v>
      </c>
      <c r="B1336" s="4662" t="str">
        <f t="shared" si="20"/>
        <v>246-904</v>
      </c>
      <c r="C1336" s="1417" t="s">
        <v>2321</v>
      </c>
      <c r="D1336" s="1993" t="s">
        <v>700</v>
      </c>
    </row>
    <row r="1337" spans="1:4" ht="15">
      <c r="A1337" t="s">
        <v>5691</v>
      </c>
      <c r="B1337" s="4662" t="str">
        <f t="shared" si="20"/>
        <v>246-909</v>
      </c>
      <c r="C1337" s="1417" t="s">
        <v>611</v>
      </c>
      <c r="D1337" s="1993" t="s">
        <v>700</v>
      </c>
    </row>
    <row r="1338" spans="1:4" ht="15">
      <c r="A1338" t="s">
        <v>3782</v>
      </c>
      <c r="B1338" s="4662" t="str">
        <f t="shared" si="20"/>
        <v>246-913</v>
      </c>
      <c r="C1338" s="1417" t="s">
        <v>2465</v>
      </c>
      <c r="D1338" s="1993" t="s">
        <v>700</v>
      </c>
    </row>
    <row r="1339" spans="1:4" ht="15">
      <c r="A1339" t="s">
        <v>6144</v>
      </c>
      <c r="B1339" s="4662" t="str">
        <f t="shared" si="20"/>
        <v>248-902</v>
      </c>
      <c r="C1339" s="1417" t="s">
        <v>1615</v>
      </c>
      <c r="D1339" s="1993" t="s">
        <v>700</v>
      </c>
    </row>
    <row r="1340" spans="1:4" ht="15">
      <c r="A1340" t="s">
        <v>6146</v>
      </c>
      <c r="B1340" s="4662" t="str">
        <f t="shared" si="20"/>
        <v>249-903</v>
      </c>
      <c r="C1340" s="1417" t="s">
        <v>1617</v>
      </c>
      <c r="D1340" s="1993" t="s">
        <v>700</v>
      </c>
    </row>
    <row r="1341" spans="1:4" ht="15">
      <c r="A1341" t="s">
        <v>6147</v>
      </c>
      <c r="B1341" s="4662" t="str">
        <f t="shared" si="20"/>
        <v>249-904</v>
      </c>
      <c r="C1341" s="1417" t="s">
        <v>1618</v>
      </c>
      <c r="D1341" s="1993" t="s">
        <v>700</v>
      </c>
    </row>
    <row r="1342" spans="1:4" ht="15">
      <c r="A1342" t="s">
        <v>6148</v>
      </c>
      <c r="B1342" s="4662" t="str">
        <f t="shared" si="20"/>
        <v>249-905</v>
      </c>
      <c r="C1342" s="1417" t="s">
        <v>1619</v>
      </c>
      <c r="D1342" s="1993" t="s">
        <v>700</v>
      </c>
    </row>
    <row r="1343" spans="1:4" ht="15">
      <c r="A1343" t="s">
        <v>3789</v>
      </c>
      <c r="B1343" s="4662" t="str">
        <f t="shared" si="20"/>
        <v>249-908</v>
      </c>
      <c r="C1343" s="1417" t="s">
        <v>1927</v>
      </c>
      <c r="D1343" s="1993" t="s">
        <v>700</v>
      </c>
    </row>
    <row r="1344" spans="1:4" ht="15">
      <c r="A1344" t="s">
        <v>6149</v>
      </c>
      <c r="B1344" s="4662" t="str">
        <f t="shared" si="20"/>
        <v>250-902</v>
      </c>
      <c r="C1344" s="1417" t="s">
        <v>1620</v>
      </c>
      <c r="D1344" s="1993" t="s">
        <v>700</v>
      </c>
    </row>
    <row r="1345" spans="1:4" ht="15">
      <c r="A1345" t="s">
        <v>6153</v>
      </c>
      <c r="B1345" s="4662" t="str">
        <f t="shared" si="20"/>
        <v>251-901</v>
      </c>
      <c r="C1345" s="1417" t="s">
        <v>1373</v>
      </c>
      <c r="D1345" s="1993" t="s">
        <v>700</v>
      </c>
    </row>
    <row r="1346" spans="1:4" ht="15">
      <c r="A1346" t="s">
        <v>6154</v>
      </c>
      <c r="B1346" s="4662" t="str">
        <f t="shared" ref="B1346" si="21">CONCATENATE(LEFT(RIGHT(CONCATENATE("000",A1346),6),3),"-",(RIGHT(RIGHT(CONCATENATE("000",A1346),6),3)))</f>
        <v>251-902</v>
      </c>
      <c r="C1346" s="1417" t="s">
        <v>1374</v>
      </c>
      <c r="D1346" s="1993" t="s">
        <v>700</v>
      </c>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D1" sqref="D1"/>
    </sheetView>
  </sheetViews>
  <sheetFormatPr defaultRowHeight="12.75"/>
  <cols>
    <col min="3" max="3" width="14.42578125" customWidth="1"/>
    <col min="4" max="4" width="15.5703125" customWidth="1"/>
  </cols>
  <sheetData>
    <row r="1" spans="1:4" ht="15">
      <c r="A1" s="641" t="e">
        <f>CONCATENATE(LEFT(RIGHT(CONCATENATE("000",#REF!),6),3),"-",(RIGHT(RIGHT(CONCATENATE("000",#REF!),6),3)))</f>
        <v>#REF!</v>
      </c>
      <c r="B1" s="641" t="e">
        <f>CONCATENATE(LEFT(RIGHT(CONCATENATE("000",#REF!),6),3),"-",(RIGHT(RIGHT(CONCATENATE("000",#REF!),6),3)))</f>
        <v>#REF!</v>
      </c>
      <c r="C1" s="641">
        <v>240901</v>
      </c>
      <c r="D1" s="641" t="e">
        <f ca="1">CONCAT(LEFT(RIGHT(CONCAT("000",C1),6),3),"-",(RIGHT(RIGHT(CONCAT("000",C1),6),3)))</f>
        <v>#NAME?</v>
      </c>
    </row>
    <row r="2" spans="1:4" ht="15">
      <c r="A2" s="641" t="e">
        <f>CONCATENATE(LEFT(RIGHT(CONCATENATE("000",#REF!),6),3),"-",(RIGHT(RIGHT(CONCATENATE("000",#REF!),6),3)))</f>
        <v>#REF!</v>
      </c>
      <c r="B2" s="641" t="e">
        <f>CONCATENATE(LEFT(RIGHT(CONCATENATE("000",#REF!),6),3),"-",(RIGHT(RIGHT(CONCATENATE("000",#REF!),6),3)))</f>
        <v>#REF!</v>
      </c>
    </row>
    <row r="3" spans="1:4" ht="15">
      <c r="A3" s="641" t="e">
        <f>CONCATENATE(LEFT(RIGHT(CONCATENATE("000",#REF!),6),3),"-",(RIGHT(RIGHT(CONCATENATE("000",#REF!),6),3)))</f>
        <v>#REF!</v>
      </c>
      <c r="B3" s="641" t="e">
        <f>CONCATENATE(LEFT(RIGHT(CONCATENATE("000",#REF!),6),3),"-",(RIGHT(RIGHT(CONCATENATE("000",#REF!),6),3)))</f>
        <v>#REF!</v>
      </c>
    </row>
    <row r="4" spans="1:4" ht="15">
      <c r="A4" s="641" t="e">
        <f>CONCATENATE(LEFT(RIGHT(CONCATENATE("000",#REF!),6),3),"-",(RIGHT(RIGHT(CONCATENATE("000",#REF!),6),3)))</f>
        <v>#REF!</v>
      </c>
      <c r="B4" s="641" t="e">
        <f>CONCATENATE(LEFT(RIGHT(CONCATENATE("000",#REF!),6),3),"-",(RIGHT(RIGHT(CONCATENATE("000",#REF!),6),3)))</f>
        <v>#REF!</v>
      </c>
    </row>
    <row r="5" spans="1:4" ht="15">
      <c r="A5" s="641" t="e">
        <f>CONCATENATE(LEFT(RIGHT(CONCATENATE("000",#REF!),6),3),"-",(RIGHT(RIGHT(CONCATENATE("000",#REF!),6),3)))</f>
        <v>#REF!</v>
      </c>
      <c r="B5" s="641" t="e">
        <f>CONCATENATE(LEFT(RIGHT(CONCATENATE("000",#REF!),6),3),"-",(RIGHT(RIGHT(CONCATENATE("000",#REF!),6),3)))</f>
        <v>#REF!</v>
      </c>
    </row>
    <row r="6" spans="1:4" ht="15">
      <c r="A6" s="641" t="e">
        <f>CONCATENATE(LEFT(RIGHT(CONCATENATE("000",#REF!),6),3),"-",(RIGHT(RIGHT(CONCATENATE("000",#REF!),6),3)))</f>
        <v>#REF!</v>
      </c>
      <c r="B6" s="641" t="e">
        <f>CONCATENATE(LEFT(RIGHT(CONCATENATE("000",#REF!),6),3),"-",(RIGHT(RIGHT(CONCATENATE("000",#REF!),6),3)))</f>
        <v>#REF!</v>
      </c>
    </row>
    <row r="7" spans="1:4" ht="15">
      <c r="A7" s="641" t="e">
        <f>CONCATENATE(LEFT(RIGHT(CONCATENATE("000",#REF!),6),3),"-",(RIGHT(RIGHT(CONCATENATE("000",#REF!),6),3)))</f>
        <v>#REF!</v>
      </c>
      <c r="B7" s="641" t="e">
        <f>CONCATENATE(LEFT(RIGHT(CONCATENATE("000",#REF!),6),3),"-",(RIGHT(RIGHT(CONCATENATE("000",#REF!),6),3)))</f>
        <v>#REF!</v>
      </c>
    </row>
    <row r="8" spans="1:4" ht="15">
      <c r="A8" s="641" t="e">
        <f>CONCATENATE(LEFT(RIGHT(CONCATENATE("000",#REF!),6),3),"-",(RIGHT(RIGHT(CONCATENATE("000",#REF!),6),3)))</f>
        <v>#REF!</v>
      </c>
      <c r="B8" s="641" t="e">
        <f>CONCATENATE(LEFT(RIGHT(CONCATENATE("000",#REF!),6),3),"-",(RIGHT(RIGHT(CONCATENATE("000",#REF!),6),3)))</f>
        <v>#REF!</v>
      </c>
    </row>
    <row r="9" spans="1:4" ht="15">
      <c r="A9" s="641" t="e">
        <f>CONCATENATE(LEFT(RIGHT(CONCATENATE("000",#REF!),6),3),"-",(RIGHT(RIGHT(CONCATENATE("000",#REF!),6),3)))</f>
        <v>#REF!</v>
      </c>
      <c r="B9" s="641" t="e">
        <f>CONCATENATE(LEFT(RIGHT(CONCATENATE("000",#REF!),6),3),"-",(RIGHT(RIGHT(CONCATENATE("000",#REF!),6),3)))</f>
        <v>#REF!</v>
      </c>
    </row>
    <row r="10" spans="1:4" ht="15">
      <c r="A10" s="641" t="e">
        <f>CONCATENATE(LEFT(RIGHT(CONCATENATE("000",#REF!),6),3),"-",(RIGHT(RIGHT(CONCATENATE("000",#REF!),6),3)))</f>
        <v>#REF!</v>
      </c>
      <c r="B10" s="641" t="e">
        <f>CONCATENATE(LEFT(RIGHT(CONCATENATE("000",#REF!),6),3),"-",(RIGHT(RIGHT(CONCATENATE("000",#REF!),6),3)))</f>
        <v>#REF!</v>
      </c>
    </row>
    <row r="11" spans="1:4" ht="15">
      <c r="A11" s="641" t="e">
        <f>CONCATENATE(LEFT(RIGHT(CONCATENATE("000",#REF!),6),3),"-",(RIGHT(RIGHT(CONCATENATE("000",#REF!),6),3)))</f>
        <v>#REF!</v>
      </c>
      <c r="B11" s="641" t="e">
        <f>CONCATENATE(LEFT(RIGHT(CONCATENATE("000",#REF!),6),3),"-",(RIGHT(RIGHT(CONCATENATE("000",#REF!),6),3)))</f>
        <v>#REF!</v>
      </c>
    </row>
    <row r="12" spans="1:4" ht="15">
      <c r="A12" s="641" t="e">
        <f>CONCATENATE(LEFT(RIGHT(CONCATENATE("000",#REF!),6),3),"-",(RIGHT(RIGHT(CONCATENATE("000",#REF!),6),3)))</f>
        <v>#REF!</v>
      </c>
      <c r="B12" s="641" t="e">
        <f>CONCATENATE(LEFT(RIGHT(CONCATENATE("000",#REF!),6),3),"-",(RIGHT(RIGHT(CONCATENATE("000",#REF!),6),3)))</f>
        <v>#REF!</v>
      </c>
    </row>
    <row r="13" spans="1:4" ht="15">
      <c r="A13" s="641" t="e">
        <f>CONCATENATE(LEFT(RIGHT(CONCATENATE("000",#REF!),6),3),"-",(RIGHT(RIGHT(CONCATENATE("000",#REF!),6),3)))</f>
        <v>#REF!</v>
      </c>
      <c r="B13" s="641" t="e">
        <f>CONCATENATE(LEFT(RIGHT(CONCATENATE("000",#REF!),6),3),"-",(RIGHT(RIGHT(CONCATENATE("000",#REF!),6),3)))</f>
        <v>#REF!</v>
      </c>
    </row>
    <row r="14" spans="1:4" ht="15">
      <c r="A14" s="641" t="e">
        <f>CONCATENATE(LEFT(RIGHT(CONCATENATE("000",#REF!),6),3),"-",(RIGHT(RIGHT(CONCATENATE("000",#REF!),6),3)))</f>
        <v>#REF!</v>
      </c>
      <c r="B14" s="641" t="e">
        <f>CONCATENATE(LEFT(RIGHT(CONCATENATE("000",#REF!),6),3),"-",(RIGHT(RIGHT(CONCATENATE("000",#REF!),6),3)))</f>
        <v>#REF!</v>
      </c>
    </row>
    <row r="15" spans="1:4" ht="15">
      <c r="A15" s="641" t="e">
        <f>CONCATENATE(LEFT(RIGHT(CONCATENATE("000",#REF!),6),3),"-",(RIGHT(RIGHT(CONCATENATE("000",#REF!),6),3)))</f>
        <v>#REF!</v>
      </c>
      <c r="B15" s="641" t="e">
        <f>CONCATENATE(LEFT(RIGHT(CONCATENATE("000",#REF!),6),3),"-",(RIGHT(RIGHT(CONCATENATE("000",#REF!),6),3)))</f>
        <v>#REF!</v>
      </c>
    </row>
    <row r="16" spans="1:4" ht="15">
      <c r="A16" s="641" t="e">
        <f>CONCATENATE(LEFT(RIGHT(CONCATENATE("000",#REF!),6),3),"-",(RIGHT(RIGHT(CONCATENATE("000",#REF!),6),3)))</f>
        <v>#REF!</v>
      </c>
      <c r="B16" s="641" t="e">
        <f>CONCATENATE(LEFT(RIGHT(CONCATENATE("000",#REF!),6),3),"-",(RIGHT(RIGHT(CONCATENATE("000",#REF!),6),3)))</f>
        <v>#REF!</v>
      </c>
    </row>
    <row r="17" spans="1:2" ht="15">
      <c r="A17" s="641" t="e">
        <f>CONCATENATE(LEFT(RIGHT(CONCATENATE("000",#REF!),6),3),"-",(RIGHT(RIGHT(CONCATENATE("000",#REF!),6),3)))</f>
        <v>#REF!</v>
      </c>
      <c r="B17" s="641" t="e">
        <f>CONCATENATE(LEFT(RIGHT(CONCATENATE("000",#REF!),6),3),"-",(RIGHT(RIGHT(CONCATENATE("000",#REF!),6),3)))</f>
        <v>#REF!</v>
      </c>
    </row>
    <row r="18" spans="1:2" ht="15">
      <c r="A18" s="641" t="e">
        <f>CONCATENATE(LEFT(RIGHT(CONCATENATE("000",#REF!),6),3),"-",(RIGHT(RIGHT(CONCATENATE("000",#REF!),6),3)))</f>
        <v>#REF!</v>
      </c>
      <c r="B18" s="641" t="e">
        <f>CONCATENATE(LEFT(RIGHT(CONCATENATE("000",#REF!),6),3),"-",(RIGHT(RIGHT(CONCATENATE("000",#REF!),6),3)))</f>
        <v>#REF!</v>
      </c>
    </row>
    <row r="19" spans="1:2" ht="15">
      <c r="A19" s="641" t="e">
        <f>CONCATENATE(LEFT(RIGHT(CONCATENATE("000",#REF!),6),3),"-",(RIGHT(RIGHT(CONCATENATE("000",#REF!),6),3)))</f>
        <v>#REF!</v>
      </c>
      <c r="B19" s="641" t="e">
        <f>CONCATENATE(LEFT(RIGHT(CONCATENATE("000",#REF!),6),3),"-",(RIGHT(RIGHT(CONCATENATE("000",#REF!),6),3)))</f>
        <v>#REF!</v>
      </c>
    </row>
    <row r="20" spans="1:2" ht="15">
      <c r="A20" s="641" t="e">
        <f>CONCATENATE(LEFT(RIGHT(CONCATENATE("000",#REF!),6),3),"-",(RIGHT(RIGHT(CONCATENATE("000",#REF!),6),3)))</f>
        <v>#REF!</v>
      </c>
      <c r="B20" s="641" t="e">
        <f>CONCATENATE(LEFT(RIGHT(CONCATENATE("000",#REF!),6),3),"-",(RIGHT(RIGHT(CONCATENATE("000",#REF!),6),3)))</f>
        <v>#REF!</v>
      </c>
    </row>
    <row r="21" spans="1:2" ht="15">
      <c r="A21" s="641" t="e">
        <f>CONCATENATE(LEFT(RIGHT(CONCATENATE("000",#REF!),6),3),"-",(RIGHT(RIGHT(CONCATENATE("000",#REF!),6),3)))</f>
        <v>#REF!</v>
      </c>
      <c r="B21" s="641" t="e">
        <f>CONCATENATE(LEFT(RIGHT(CONCATENATE("000",#REF!),6),3),"-",(RIGHT(RIGHT(CONCATENATE("000",#REF!),6),3)))</f>
        <v>#REF!</v>
      </c>
    </row>
    <row r="22" spans="1:2" ht="15">
      <c r="A22" s="641" t="e">
        <f>CONCATENATE(LEFT(RIGHT(CONCATENATE("000",#REF!),6),3),"-",(RIGHT(RIGHT(CONCATENATE("000",#REF!),6),3)))</f>
        <v>#REF!</v>
      </c>
      <c r="B22" s="641" t="e">
        <f>CONCATENATE(LEFT(RIGHT(CONCATENATE("000",#REF!),6),3),"-",(RIGHT(RIGHT(CONCATENATE("000",#REF!),6),3)))</f>
        <v>#REF!</v>
      </c>
    </row>
    <row r="23" spans="1:2" ht="15">
      <c r="A23" s="641" t="e">
        <f>CONCATENATE(LEFT(RIGHT(CONCATENATE("000",#REF!),6),3),"-",(RIGHT(RIGHT(CONCATENATE("000",#REF!),6),3)))</f>
        <v>#REF!</v>
      </c>
      <c r="B23" s="641" t="e">
        <f>CONCATENATE(LEFT(RIGHT(CONCATENATE("000",#REF!),6),3),"-",(RIGHT(RIGHT(CONCATENATE("000",#REF!),6),3)))</f>
        <v>#REF!</v>
      </c>
    </row>
    <row r="24" spans="1:2" ht="15">
      <c r="A24" s="641" t="e">
        <f>CONCATENATE(LEFT(RIGHT(CONCATENATE("000",#REF!),6),3),"-",(RIGHT(RIGHT(CONCATENATE("000",#REF!),6),3)))</f>
        <v>#REF!</v>
      </c>
      <c r="B24" s="641" t="e">
        <f>CONCATENATE(LEFT(RIGHT(CONCATENATE("000",#REF!),6),3),"-",(RIGHT(RIGHT(CONCATENATE("000",#REF!),6),3)))</f>
        <v>#REF!</v>
      </c>
    </row>
    <row r="25" spans="1:2" ht="15">
      <c r="A25" s="641" t="e">
        <f>CONCATENATE(LEFT(RIGHT(CONCATENATE("000",#REF!),6),3),"-",(RIGHT(RIGHT(CONCATENATE("000",#REF!),6),3)))</f>
        <v>#REF!</v>
      </c>
      <c r="B25" s="641" t="e">
        <f>CONCATENATE(LEFT(RIGHT(CONCATENATE("000",#REF!),6),3),"-",(RIGHT(RIGHT(CONCATENATE("000",#REF!),6),3)))</f>
        <v>#REF!</v>
      </c>
    </row>
    <row r="26" spans="1:2" ht="15">
      <c r="A26" s="641" t="e">
        <f>CONCATENATE(LEFT(RIGHT(CONCATENATE("000",#REF!),6),3),"-",(RIGHT(RIGHT(CONCATENATE("000",#REF!),6),3)))</f>
        <v>#REF!</v>
      </c>
      <c r="B26" s="641" t="e">
        <f>CONCATENATE(LEFT(RIGHT(CONCATENATE("000",#REF!),6),3),"-",(RIGHT(RIGHT(CONCATENATE("000",#REF!),6),3)))</f>
        <v>#REF!</v>
      </c>
    </row>
    <row r="27" spans="1:2" ht="15">
      <c r="A27" s="641" t="e">
        <f>CONCATENATE(LEFT(RIGHT(CONCATENATE("000",#REF!),6),3),"-",(RIGHT(RIGHT(CONCATENATE("000",#REF!),6),3)))</f>
        <v>#REF!</v>
      </c>
      <c r="B27" s="641" t="e">
        <f>CONCATENATE(LEFT(RIGHT(CONCATENATE("000",#REF!),6),3),"-",(RIGHT(RIGHT(CONCATENATE("000",#REF!),6),3)))</f>
        <v>#REF!</v>
      </c>
    </row>
    <row r="28" spans="1:2" ht="15">
      <c r="A28" s="641" t="e">
        <f>CONCATENATE(LEFT(RIGHT(CONCATENATE("000",#REF!),6),3),"-",(RIGHT(RIGHT(CONCATENATE("000",#REF!),6),3)))</f>
        <v>#REF!</v>
      </c>
      <c r="B28" s="641" t="e">
        <f>CONCATENATE(LEFT(RIGHT(CONCATENATE("000",#REF!),6),3),"-",(RIGHT(RIGHT(CONCATENATE("000",#REF!),6),3)))</f>
        <v>#REF!</v>
      </c>
    </row>
    <row r="29" spans="1:2" ht="15">
      <c r="A29" s="641" t="e">
        <f>CONCATENATE(LEFT(RIGHT(CONCATENATE("000",#REF!),6),3),"-",(RIGHT(RIGHT(CONCATENATE("000",#REF!),6),3)))</f>
        <v>#REF!</v>
      </c>
      <c r="B29" s="641" t="e">
        <f>CONCATENATE(LEFT(RIGHT(CONCATENATE("000",#REF!),6),3),"-",(RIGHT(RIGHT(CONCATENATE("000",#REF!),6),3)))</f>
        <v>#REF!</v>
      </c>
    </row>
    <row r="30" spans="1:2" ht="15">
      <c r="A30" s="641" t="e">
        <f>CONCATENATE(LEFT(RIGHT(CONCATENATE("000",#REF!),6),3),"-",(RIGHT(RIGHT(CONCATENATE("000",#REF!),6),3)))</f>
        <v>#REF!</v>
      </c>
      <c r="B30" s="641" t="e">
        <f>CONCATENATE(LEFT(RIGHT(CONCATENATE("000",#REF!),6),3),"-",(RIGHT(RIGHT(CONCATENATE("000",#REF!),6),3)))</f>
        <v>#REF!</v>
      </c>
    </row>
    <row r="31" spans="1:2" ht="15">
      <c r="A31" s="641" t="e">
        <f>CONCATENATE(LEFT(RIGHT(CONCATENATE("000",#REF!),6),3),"-",(RIGHT(RIGHT(CONCATENATE("000",#REF!),6),3)))</f>
        <v>#REF!</v>
      </c>
      <c r="B31" s="641" t="e">
        <f>CONCATENATE(LEFT(RIGHT(CONCATENATE("000",#REF!),6),3),"-",(RIGHT(RIGHT(CONCATENATE("000",#REF!),6),3)))</f>
        <v>#REF!</v>
      </c>
    </row>
    <row r="32" spans="1:2" ht="15">
      <c r="A32" s="641" t="e">
        <f>CONCATENATE(LEFT(RIGHT(CONCATENATE("000",#REF!),6),3),"-",(RIGHT(RIGHT(CONCATENATE("000",#REF!),6),3)))</f>
        <v>#REF!</v>
      </c>
      <c r="B32" s="641" t="e">
        <f>CONCATENATE(LEFT(RIGHT(CONCATENATE("000",#REF!),6),3),"-",(RIGHT(RIGHT(CONCATENATE("000",#REF!),6),3)))</f>
        <v>#REF!</v>
      </c>
    </row>
    <row r="33" spans="1:2" ht="15">
      <c r="A33" s="641" t="e">
        <f>CONCATENATE(LEFT(RIGHT(CONCATENATE("000",#REF!),6),3),"-",(RIGHT(RIGHT(CONCATENATE("000",#REF!),6),3)))</f>
        <v>#REF!</v>
      </c>
      <c r="B33" s="641" t="e">
        <f>CONCATENATE(LEFT(RIGHT(CONCATENATE("000",#REF!),6),3),"-",(RIGHT(RIGHT(CONCATENATE("000",#REF!),6),3)))</f>
        <v>#REF!</v>
      </c>
    </row>
    <row r="34" spans="1:2" ht="15">
      <c r="A34" s="641" t="e">
        <f>CONCATENATE(LEFT(RIGHT(CONCATENATE("000",#REF!),6),3),"-",(RIGHT(RIGHT(CONCATENATE("000",#REF!),6),3)))</f>
        <v>#REF!</v>
      </c>
      <c r="B34" s="641" t="e">
        <f>CONCATENATE(LEFT(RIGHT(CONCATENATE("000",#REF!),6),3),"-",(RIGHT(RIGHT(CONCATENATE("000",#REF!),6),3)))</f>
        <v>#REF!</v>
      </c>
    </row>
    <row r="35" spans="1:2" ht="15">
      <c r="A35" s="641" t="e">
        <f>CONCATENATE(LEFT(RIGHT(CONCATENATE("000",#REF!),6),3),"-",(RIGHT(RIGHT(CONCATENATE("000",#REF!),6),3)))</f>
        <v>#REF!</v>
      </c>
      <c r="B35" s="641" t="e">
        <f>CONCATENATE(LEFT(RIGHT(CONCATENATE("000",#REF!),6),3),"-",(RIGHT(RIGHT(CONCATENATE("000",#REF!),6),3)))</f>
        <v>#REF!</v>
      </c>
    </row>
    <row r="36" spans="1:2" ht="15">
      <c r="A36" s="641" t="e">
        <f>CONCATENATE(LEFT(RIGHT(CONCATENATE("000",#REF!),6),3),"-",(RIGHT(RIGHT(CONCATENATE("000",#REF!),6),3)))</f>
        <v>#REF!</v>
      </c>
      <c r="B36" s="641" t="e">
        <f>CONCATENATE(LEFT(RIGHT(CONCATENATE("000",#REF!),6),3),"-",(RIGHT(RIGHT(CONCATENATE("000",#REF!),6),3)))</f>
        <v>#REF!</v>
      </c>
    </row>
    <row r="37" spans="1:2" ht="15">
      <c r="A37" s="641" t="e">
        <f>CONCATENATE(LEFT(RIGHT(CONCATENATE("000",#REF!),6),3),"-",(RIGHT(RIGHT(CONCATENATE("000",#REF!),6),3)))</f>
        <v>#REF!</v>
      </c>
      <c r="B37" s="641" t="e">
        <f>CONCATENATE(LEFT(RIGHT(CONCATENATE("000",#REF!),6),3),"-",(RIGHT(RIGHT(CONCATENATE("000",#REF!),6),3)))</f>
        <v>#REF!</v>
      </c>
    </row>
    <row r="38" spans="1:2" ht="15">
      <c r="A38" s="641" t="e">
        <f>CONCATENATE(LEFT(RIGHT(CONCATENATE("000",#REF!),6),3),"-",(RIGHT(RIGHT(CONCATENATE("000",#REF!),6),3)))</f>
        <v>#REF!</v>
      </c>
      <c r="B38" s="641" t="e">
        <f>CONCATENATE(LEFT(RIGHT(CONCATENATE("000",#REF!),6),3),"-",(RIGHT(RIGHT(CONCATENATE("000",#REF!),6),3)))</f>
        <v>#REF!</v>
      </c>
    </row>
    <row r="39" spans="1:2" ht="15">
      <c r="A39" s="641" t="e">
        <f>CONCATENATE(LEFT(RIGHT(CONCATENATE("000",#REF!),6),3),"-",(RIGHT(RIGHT(CONCATENATE("000",#REF!),6),3)))</f>
        <v>#REF!</v>
      </c>
      <c r="B39" s="641" t="e">
        <f>CONCATENATE(LEFT(RIGHT(CONCATENATE("000",#REF!),6),3),"-",(RIGHT(RIGHT(CONCATENATE("000",#REF!),6),3)))</f>
        <v>#REF!</v>
      </c>
    </row>
    <row r="40" spans="1:2" ht="15">
      <c r="A40" s="641" t="e">
        <f>CONCATENATE(LEFT(RIGHT(CONCATENATE("000",#REF!),6),3),"-",(RIGHT(RIGHT(CONCATENATE("000",#REF!),6),3)))</f>
        <v>#REF!</v>
      </c>
      <c r="B40" s="641" t="e">
        <f>CONCATENATE(LEFT(RIGHT(CONCATENATE("000",#REF!),6),3),"-",(RIGHT(RIGHT(CONCATENATE("000",#REF!),6),3)))</f>
        <v>#REF!</v>
      </c>
    </row>
    <row r="41" spans="1:2" ht="15">
      <c r="A41" s="641" t="e">
        <f>CONCATENATE(LEFT(RIGHT(CONCATENATE("000",#REF!),6),3),"-",(RIGHT(RIGHT(CONCATENATE("000",#REF!),6),3)))</f>
        <v>#REF!</v>
      </c>
      <c r="B41" s="641" t="e">
        <f>CONCATENATE(LEFT(RIGHT(CONCATENATE("000",#REF!),6),3),"-",(RIGHT(RIGHT(CONCATENATE("000",#REF!),6),3)))</f>
        <v>#REF!</v>
      </c>
    </row>
    <row r="42" spans="1:2" ht="15">
      <c r="A42" s="641" t="e">
        <f>CONCATENATE(LEFT(RIGHT(CONCATENATE("000",#REF!),6),3),"-",(RIGHT(RIGHT(CONCATENATE("000",#REF!),6),3)))</f>
        <v>#REF!</v>
      </c>
      <c r="B42" s="641" t="e">
        <f>CONCATENATE(LEFT(RIGHT(CONCATENATE("000",#REF!),6),3),"-",(RIGHT(RIGHT(CONCATENATE("000",#REF!),6),3)))</f>
        <v>#REF!</v>
      </c>
    </row>
    <row r="43" spans="1:2" ht="15">
      <c r="A43" s="641" t="e">
        <f>CONCATENATE(LEFT(RIGHT(CONCATENATE("000",#REF!),6),3),"-",(RIGHT(RIGHT(CONCATENATE("000",#REF!),6),3)))</f>
        <v>#REF!</v>
      </c>
      <c r="B43" s="641" t="e">
        <f>CONCATENATE(LEFT(RIGHT(CONCATENATE("000",#REF!),6),3),"-",(RIGHT(RIGHT(CONCATENATE("000",#REF!),6),3)))</f>
        <v>#REF!</v>
      </c>
    </row>
    <row r="44" spans="1:2" ht="15">
      <c r="A44" s="641" t="e">
        <f>CONCATENATE(LEFT(RIGHT(CONCATENATE("000",#REF!),6),3),"-",(RIGHT(RIGHT(CONCATENATE("000",#REF!),6),3)))</f>
        <v>#REF!</v>
      </c>
      <c r="B44" s="641" t="e">
        <f>CONCATENATE(LEFT(RIGHT(CONCATENATE("000",#REF!),6),3),"-",(RIGHT(RIGHT(CONCATENATE("000",#REF!),6),3)))</f>
        <v>#REF!</v>
      </c>
    </row>
    <row r="45" spans="1:2" ht="15">
      <c r="A45" s="641" t="e">
        <f>CONCATENATE(LEFT(RIGHT(CONCATENATE("000",#REF!),6),3),"-",(RIGHT(RIGHT(CONCATENATE("000",#REF!),6),3)))</f>
        <v>#REF!</v>
      </c>
      <c r="B45" s="641" t="e">
        <f>CONCATENATE(LEFT(RIGHT(CONCATENATE("000",#REF!),6),3),"-",(RIGHT(RIGHT(CONCATENATE("000",#REF!),6),3)))</f>
        <v>#REF!</v>
      </c>
    </row>
    <row r="46" spans="1:2" ht="15">
      <c r="A46" s="641" t="e">
        <f>CONCATENATE(LEFT(RIGHT(CONCATENATE("000",#REF!),6),3),"-",(RIGHT(RIGHT(CONCATENATE("000",#REF!),6),3)))</f>
        <v>#REF!</v>
      </c>
      <c r="B46" s="641" t="e">
        <f>CONCATENATE(LEFT(RIGHT(CONCATENATE("000",#REF!),6),3),"-",(RIGHT(RIGHT(CONCATENATE("000",#REF!),6),3)))</f>
        <v>#REF!</v>
      </c>
    </row>
    <row r="47" spans="1:2" ht="15">
      <c r="A47" s="641" t="e">
        <f>CONCATENATE(LEFT(RIGHT(CONCATENATE("000",#REF!),6),3),"-",(RIGHT(RIGHT(CONCATENATE("000",#REF!),6),3)))</f>
        <v>#REF!</v>
      </c>
      <c r="B47" s="641" t="e">
        <f>CONCATENATE(LEFT(RIGHT(CONCATENATE("000",#REF!),6),3),"-",(RIGHT(RIGHT(CONCATENATE("000",#REF!),6),3)))</f>
        <v>#REF!</v>
      </c>
    </row>
    <row r="48" spans="1:2" ht="15">
      <c r="A48" s="641" t="e">
        <f>CONCATENATE(LEFT(RIGHT(CONCATENATE("000",#REF!),6),3),"-",(RIGHT(RIGHT(CONCATENATE("000",#REF!),6),3)))</f>
        <v>#REF!</v>
      </c>
      <c r="B48" s="641" t="e">
        <f>CONCATENATE(LEFT(RIGHT(CONCATENATE("000",#REF!),6),3),"-",(RIGHT(RIGHT(CONCATENATE("000",#REF!),6),3)))</f>
        <v>#REF!</v>
      </c>
    </row>
    <row r="49" spans="1:2" ht="15">
      <c r="A49" s="641" t="e">
        <f>CONCATENATE(LEFT(RIGHT(CONCATENATE("000",#REF!),6),3),"-",(RIGHT(RIGHT(CONCATENATE("000",#REF!),6),3)))</f>
        <v>#REF!</v>
      </c>
      <c r="B49" s="641" t="e">
        <f>CONCATENATE(LEFT(RIGHT(CONCATENATE("000",#REF!),6),3),"-",(RIGHT(RIGHT(CONCATENATE("000",#REF!),6),3)))</f>
        <v>#REF!</v>
      </c>
    </row>
    <row r="50" spans="1:2" ht="15">
      <c r="A50" s="641" t="e">
        <f>CONCATENATE(LEFT(RIGHT(CONCATENATE("000",#REF!),6),3),"-",(RIGHT(RIGHT(CONCATENATE("000",#REF!),6),3)))</f>
        <v>#REF!</v>
      </c>
      <c r="B50" s="641" t="e">
        <f>CONCATENATE(LEFT(RIGHT(CONCATENATE("000",#REF!),6),3),"-",(RIGHT(RIGHT(CONCATENATE("000",#REF!),6),3)))</f>
        <v>#REF!</v>
      </c>
    </row>
    <row r="51" spans="1:2" ht="15">
      <c r="A51" s="641" t="e">
        <f>CONCATENATE(LEFT(RIGHT(CONCATENATE("000",#REF!),6),3),"-",(RIGHT(RIGHT(CONCATENATE("000",#REF!),6),3)))</f>
        <v>#REF!</v>
      </c>
      <c r="B51" s="641" t="e">
        <f>CONCATENATE(LEFT(RIGHT(CONCATENATE("000",#REF!),6),3),"-",(RIGHT(RIGHT(CONCATENATE("000",#REF!),6),3)))</f>
        <v>#REF!</v>
      </c>
    </row>
    <row r="52" spans="1:2" ht="15">
      <c r="A52" s="641" t="e">
        <f>CONCATENATE(LEFT(RIGHT(CONCATENATE("000",#REF!),6),3),"-",(RIGHT(RIGHT(CONCATENATE("000",#REF!),6),3)))</f>
        <v>#REF!</v>
      </c>
      <c r="B52" s="641" t="e">
        <f>CONCATENATE(LEFT(RIGHT(CONCATENATE("000",#REF!),6),3),"-",(RIGHT(RIGHT(CONCATENATE("000",#REF!),6),3)))</f>
        <v>#REF!</v>
      </c>
    </row>
    <row r="53" spans="1:2" ht="15">
      <c r="A53" s="641" t="e">
        <f>CONCATENATE(LEFT(RIGHT(CONCATENATE("000",#REF!),6),3),"-",(RIGHT(RIGHT(CONCATENATE("000",#REF!),6),3)))</f>
        <v>#REF!</v>
      </c>
      <c r="B53" s="641" t="e">
        <f>CONCATENATE(LEFT(RIGHT(CONCATENATE("000",#REF!),6),3),"-",(RIGHT(RIGHT(CONCATENATE("000",#REF!),6),3)))</f>
        <v>#REF!</v>
      </c>
    </row>
    <row r="54" spans="1:2" ht="15">
      <c r="A54" s="641" t="e">
        <f>CONCATENATE(LEFT(RIGHT(CONCATENATE("000",#REF!),6),3),"-",(RIGHT(RIGHT(CONCATENATE("000",#REF!),6),3)))</f>
        <v>#REF!</v>
      </c>
      <c r="B54" s="641" t="e">
        <f>CONCATENATE(LEFT(RIGHT(CONCATENATE("000",#REF!),6),3),"-",(RIGHT(RIGHT(CONCATENATE("000",#REF!),6),3)))</f>
        <v>#REF!</v>
      </c>
    </row>
    <row r="55" spans="1:2" ht="15">
      <c r="A55" s="641" t="e">
        <f>CONCATENATE(LEFT(RIGHT(CONCATENATE("000",#REF!),6),3),"-",(RIGHT(RIGHT(CONCATENATE("000",#REF!),6),3)))</f>
        <v>#REF!</v>
      </c>
      <c r="B55" s="641" t="e">
        <f>CONCATENATE(LEFT(RIGHT(CONCATENATE("000",#REF!),6),3),"-",(RIGHT(RIGHT(CONCATENATE("000",#REF!),6),3)))</f>
        <v>#REF!</v>
      </c>
    </row>
    <row r="56" spans="1:2" ht="15">
      <c r="A56" s="641" t="e">
        <f>CONCATENATE(LEFT(RIGHT(CONCATENATE("000",#REF!),6),3),"-",(RIGHT(RIGHT(CONCATENATE("000",#REF!),6),3)))</f>
        <v>#REF!</v>
      </c>
      <c r="B56" s="641" t="e">
        <f>CONCATENATE(LEFT(RIGHT(CONCATENATE("000",#REF!),6),3),"-",(RIGHT(RIGHT(CONCATENATE("000",#REF!),6),3)))</f>
        <v>#REF!</v>
      </c>
    </row>
    <row r="57" spans="1:2" ht="15">
      <c r="A57" s="641" t="e">
        <f>CONCATENATE(LEFT(RIGHT(CONCATENATE("000",#REF!),6),3),"-",(RIGHT(RIGHT(CONCATENATE("000",#REF!),6),3)))</f>
        <v>#REF!</v>
      </c>
      <c r="B57" s="641" t="e">
        <f>CONCATENATE(LEFT(RIGHT(CONCATENATE("000",#REF!),6),3),"-",(RIGHT(RIGHT(CONCATENATE("000",#REF!),6),3)))</f>
        <v>#REF!</v>
      </c>
    </row>
    <row r="58" spans="1:2" ht="15">
      <c r="A58" s="641" t="e">
        <f>CONCATENATE(LEFT(RIGHT(CONCATENATE("000",#REF!),6),3),"-",(RIGHT(RIGHT(CONCATENATE("000",#REF!),6),3)))</f>
        <v>#REF!</v>
      </c>
      <c r="B58" s="641" t="e">
        <f>CONCATENATE(LEFT(RIGHT(CONCATENATE("000",#REF!),6),3),"-",(RIGHT(RIGHT(CONCATENATE("000",#REF!),6),3)))</f>
        <v>#REF!</v>
      </c>
    </row>
    <row r="59" spans="1:2" ht="15">
      <c r="A59" s="641" t="e">
        <f>CONCATENATE(LEFT(RIGHT(CONCATENATE("000",#REF!),6),3),"-",(RIGHT(RIGHT(CONCATENATE("000",#REF!),6),3)))</f>
        <v>#REF!</v>
      </c>
      <c r="B59" s="641" t="e">
        <f>CONCATENATE(LEFT(RIGHT(CONCATENATE("000",#REF!),6),3),"-",(RIGHT(RIGHT(CONCATENATE("000",#REF!),6),3)))</f>
        <v>#REF!</v>
      </c>
    </row>
    <row r="60" spans="1:2" ht="15">
      <c r="A60" s="641" t="e">
        <f>CONCATENATE(LEFT(RIGHT(CONCATENATE("000",#REF!),6),3),"-",(RIGHT(RIGHT(CONCATENATE("000",#REF!),6),3)))</f>
        <v>#REF!</v>
      </c>
      <c r="B60" s="641" t="e">
        <f>CONCATENATE(LEFT(RIGHT(CONCATENATE("000",#REF!),6),3),"-",(RIGHT(RIGHT(CONCATENATE("000",#REF!),6),3)))</f>
        <v>#REF!</v>
      </c>
    </row>
    <row r="61" spans="1:2" ht="15">
      <c r="A61" s="641" t="e">
        <f>CONCATENATE(LEFT(RIGHT(CONCATENATE("000",#REF!),6),3),"-",(RIGHT(RIGHT(CONCATENATE("000",#REF!),6),3)))</f>
        <v>#REF!</v>
      </c>
      <c r="B61" s="641" t="e">
        <f>CONCATENATE(LEFT(RIGHT(CONCATENATE("000",#REF!),6),3),"-",(RIGHT(RIGHT(CONCATENATE("000",#REF!),6),3)))</f>
        <v>#REF!</v>
      </c>
    </row>
    <row r="62" spans="1:2" ht="15">
      <c r="A62" s="641" t="e">
        <f>CONCATENATE(LEFT(RIGHT(CONCATENATE("000",#REF!),6),3),"-",(RIGHT(RIGHT(CONCATENATE("000",#REF!),6),3)))</f>
        <v>#REF!</v>
      </c>
      <c r="B62" s="641" t="e">
        <f>CONCATENATE(LEFT(RIGHT(CONCATENATE("000",#REF!),6),3),"-",(RIGHT(RIGHT(CONCATENATE("000",#REF!),6),3)))</f>
        <v>#REF!</v>
      </c>
    </row>
    <row r="63" spans="1:2" ht="15">
      <c r="A63" s="641" t="e">
        <f>CONCATENATE(LEFT(RIGHT(CONCATENATE("000",#REF!),6),3),"-",(RIGHT(RIGHT(CONCATENATE("000",#REF!),6),3)))</f>
        <v>#REF!</v>
      </c>
      <c r="B63" s="641" t="e">
        <f>CONCATENATE(LEFT(RIGHT(CONCATENATE("000",#REF!),6),3),"-",(RIGHT(RIGHT(CONCATENATE("000",#REF!),6),3)))</f>
        <v>#REF!</v>
      </c>
    </row>
    <row r="64" spans="1:2" ht="15">
      <c r="A64" s="641" t="e">
        <f>CONCATENATE(LEFT(RIGHT(CONCATENATE("000",#REF!),6),3),"-",(RIGHT(RIGHT(CONCATENATE("000",#REF!),6),3)))</f>
        <v>#REF!</v>
      </c>
      <c r="B64" s="641" t="e">
        <f>CONCATENATE(LEFT(RIGHT(CONCATENATE("000",#REF!),6),3),"-",(RIGHT(RIGHT(CONCATENATE("000",#REF!),6),3)))</f>
        <v>#REF!</v>
      </c>
    </row>
    <row r="65" spans="1:2" ht="15">
      <c r="A65" s="641" t="e">
        <f>CONCATENATE(LEFT(RIGHT(CONCATENATE("000",#REF!),6),3),"-",(RIGHT(RIGHT(CONCATENATE("000",#REF!),6),3)))</f>
        <v>#REF!</v>
      </c>
      <c r="B65" s="641" t="e">
        <f>CONCATENATE(LEFT(RIGHT(CONCATENATE("000",#REF!),6),3),"-",(RIGHT(RIGHT(CONCATENATE("000",#REF!),6),3)))</f>
        <v>#REF!</v>
      </c>
    </row>
    <row r="66" spans="1:2" ht="15">
      <c r="A66" s="641" t="e">
        <f>CONCATENATE(LEFT(RIGHT(CONCATENATE("000",#REF!),6),3),"-",(RIGHT(RIGHT(CONCATENATE("000",#REF!),6),3)))</f>
        <v>#REF!</v>
      </c>
      <c r="B66" s="641" t="e">
        <f>CONCATENATE(LEFT(RIGHT(CONCATENATE("000",#REF!),6),3),"-",(RIGHT(RIGHT(CONCATENATE("000",#REF!),6),3)))</f>
        <v>#REF!</v>
      </c>
    </row>
    <row r="67" spans="1:2" ht="15">
      <c r="A67" s="641" t="e">
        <f>CONCATENATE(LEFT(RIGHT(CONCATENATE("000",#REF!),6),3),"-",(RIGHT(RIGHT(CONCATENATE("000",#REF!),6),3)))</f>
        <v>#REF!</v>
      </c>
      <c r="B67" s="641" t="e">
        <f>CONCATENATE(LEFT(RIGHT(CONCATENATE("000",#REF!),6),3),"-",(RIGHT(RIGHT(CONCATENATE("000",#REF!),6),3)))</f>
        <v>#REF!</v>
      </c>
    </row>
    <row r="68" spans="1:2" ht="15">
      <c r="A68" s="641" t="e">
        <f>CONCATENATE(LEFT(RIGHT(CONCATENATE("000",#REF!),6),3),"-",(RIGHT(RIGHT(CONCATENATE("000",#REF!),6),3)))</f>
        <v>#REF!</v>
      </c>
      <c r="B68" s="641" t="e">
        <f>CONCATENATE(LEFT(RIGHT(CONCATENATE("000",#REF!),6),3),"-",(RIGHT(RIGHT(CONCATENATE("000",#REF!),6),3)))</f>
        <v>#REF!</v>
      </c>
    </row>
    <row r="69" spans="1:2" ht="15">
      <c r="A69" s="641" t="e">
        <f>CONCATENATE(LEFT(RIGHT(CONCATENATE("000",#REF!),6),3),"-",(RIGHT(RIGHT(CONCATENATE("000",#REF!),6),3)))</f>
        <v>#REF!</v>
      </c>
      <c r="B69" s="641" t="e">
        <f>CONCATENATE(LEFT(RIGHT(CONCATENATE("000",#REF!),6),3),"-",(RIGHT(RIGHT(CONCATENATE("000",#REF!),6),3)))</f>
        <v>#REF!</v>
      </c>
    </row>
    <row r="70" spans="1:2" ht="15">
      <c r="A70" s="641" t="e">
        <f>CONCATENATE(LEFT(RIGHT(CONCATENATE("000",#REF!),6),3),"-",(RIGHT(RIGHT(CONCATENATE("000",#REF!),6),3)))</f>
        <v>#REF!</v>
      </c>
      <c r="B70" s="641" t="e">
        <f>CONCATENATE(LEFT(RIGHT(CONCATENATE("000",#REF!),6),3),"-",(RIGHT(RIGHT(CONCATENATE("000",#REF!),6),3)))</f>
        <v>#REF!</v>
      </c>
    </row>
    <row r="71" spans="1:2" ht="15">
      <c r="A71" s="641" t="e">
        <f>CONCATENATE(LEFT(RIGHT(CONCATENATE("000",#REF!),6),3),"-",(RIGHT(RIGHT(CONCATENATE("000",#REF!),6),3)))</f>
        <v>#REF!</v>
      </c>
      <c r="B71" s="641" t="e">
        <f>CONCATENATE(LEFT(RIGHT(CONCATENATE("000",#REF!),6),3),"-",(RIGHT(RIGHT(CONCATENATE("000",#REF!),6),3)))</f>
        <v>#REF!</v>
      </c>
    </row>
    <row r="72" spans="1:2" ht="15">
      <c r="A72" s="641" t="e">
        <f>CONCATENATE(LEFT(RIGHT(CONCATENATE("000",#REF!),6),3),"-",(RIGHT(RIGHT(CONCATENATE("000",#REF!),6),3)))</f>
        <v>#REF!</v>
      </c>
      <c r="B72" s="641" t="e">
        <f>CONCATENATE(LEFT(RIGHT(CONCATENATE("000",#REF!),6),3),"-",(RIGHT(RIGHT(CONCATENATE("000",#REF!),6),3)))</f>
        <v>#REF!</v>
      </c>
    </row>
    <row r="73" spans="1:2" ht="15">
      <c r="A73" s="641" t="e">
        <f>CONCATENATE(LEFT(RIGHT(CONCATENATE("000",#REF!),6),3),"-",(RIGHT(RIGHT(CONCATENATE("000",#REF!),6),3)))</f>
        <v>#REF!</v>
      </c>
      <c r="B73" s="641" t="e">
        <f>CONCATENATE(LEFT(RIGHT(CONCATENATE("000",#REF!),6),3),"-",(RIGHT(RIGHT(CONCATENATE("000",#REF!),6),3)))</f>
        <v>#REF!</v>
      </c>
    </row>
    <row r="74" spans="1:2" ht="15">
      <c r="A74" s="641" t="e">
        <f>CONCATENATE(LEFT(RIGHT(CONCATENATE("000",#REF!),6),3),"-",(RIGHT(RIGHT(CONCATENATE("000",#REF!),6),3)))</f>
        <v>#REF!</v>
      </c>
      <c r="B74" s="641" t="e">
        <f>CONCATENATE(LEFT(RIGHT(CONCATENATE("000",#REF!),6),3),"-",(RIGHT(RIGHT(CONCATENATE("000",#REF!),6),3)))</f>
        <v>#REF!</v>
      </c>
    </row>
    <row r="75" spans="1:2" ht="15">
      <c r="A75" s="641" t="e">
        <f>CONCATENATE(LEFT(RIGHT(CONCATENATE("000",#REF!),6),3),"-",(RIGHT(RIGHT(CONCATENATE("000",#REF!),6),3)))</f>
        <v>#REF!</v>
      </c>
      <c r="B75" s="641" t="e">
        <f>CONCATENATE(LEFT(RIGHT(CONCATENATE("000",#REF!),6),3),"-",(RIGHT(RIGHT(CONCATENATE("000",#REF!),6),3)))</f>
        <v>#REF!</v>
      </c>
    </row>
    <row r="76" spans="1:2" ht="15">
      <c r="A76" s="641" t="e">
        <f>CONCATENATE(LEFT(RIGHT(CONCATENATE("000",#REF!),6),3),"-",(RIGHT(RIGHT(CONCATENATE("000",#REF!),6),3)))</f>
        <v>#REF!</v>
      </c>
      <c r="B76" s="641" t="e">
        <f>CONCATENATE(LEFT(RIGHT(CONCATENATE("000",#REF!),6),3),"-",(RIGHT(RIGHT(CONCATENATE("000",#REF!),6),3)))</f>
        <v>#REF!</v>
      </c>
    </row>
    <row r="77" spans="1:2" ht="15">
      <c r="A77" s="641" t="e">
        <f>CONCATENATE(LEFT(RIGHT(CONCATENATE("000",#REF!),6),3),"-",(RIGHT(RIGHT(CONCATENATE("000",#REF!),6),3)))</f>
        <v>#REF!</v>
      </c>
      <c r="B77" s="641" t="e">
        <f>CONCATENATE(LEFT(RIGHT(CONCATENATE("000",#REF!),6),3),"-",(RIGHT(RIGHT(CONCATENATE("000",#REF!),6),3)))</f>
        <v>#REF!</v>
      </c>
    </row>
    <row r="78" spans="1:2" ht="15">
      <c r="A78" s="641" t="e">
        <f>CONCATENATE(LEFT(RIGHT(CONCATENATE("000",#REF!),6),3),"-",(RIGHT(RIGHT(CONCATENATE("000",#REF!),6),3)))</f>
        <v>#REF!</v>
      </c>
      <c r="B78" s="641" t="e">
        <f>CONCATENATE(LEFT(RIGHT(CONCATENATE("000",#REF!),6),3),"-",(RIGHT(RIGHT(CONCATENATE("000",#REF!),6),3)))</f>
        <v>#REF!</v>
      </c>
    </row>
    <row r="79" spans="1:2" ht="15">
      <c r="A79" s="641" t="e">
        <f>CONCATENATE(LEFT(RIGHT(CONCATENATE("000",#REF!),6),3),"-",(RIGHT(RIGHT(CONCATENATE("000",#REF!),6),3)))</f>
        <v>#REF!</v>
      </c>
      <c r="B79" s="641" t="e">
        <f>CONCATENATE(LEFT(RIGHT(CONCATENATE("000",#REF!),6),3),"-",(RIGHT(RIGHT(CONCATENATE("000",#REF!),6),3)))</f>
        <v>#REF!</v>
      </c>
    </row>
    <row r="80" spans="1:2" ht="15">
      <c r="A80" s="641" t="e">
        <f>CONCATENATE(LEFT(RIGHT(CONCATENATE("000",#REF!),6),3),"-",(RIGHT(RIGHT(CONCATENATE("000",#REF!),6),3)))</f>
        <v>#REF!</v>
      </c>
      <c r="B80" s="641" t="e">
        <f>CONCATENATE(LEFT(RIGHT(CONCATENATE("000",#REF!),6),3),"-",(RIGHT(RIGHT(CONCATENATE("000",#REF!),6),3)))</f>
        <v>#REF!</v>
      </c>
    </row>
    <row r="81" spans="1:2" ht="15">
      <c r="A81" s="641" t="e">
        <f>CONCATENATE(LEFT(RIGHT(CONCATENATE("000",#REF!),6),3),"-",(RIGHT(RIGHT(CONCATENATE("000",#REF!),6),3)))</f>
        <v>#REF!</v>
      </c>
      <c r="B81" s="641" t="e">
        <f>CONCATENATE(LEFT(RIGHT(CONCATENATE("000",#REF!),6),3),"-",(RIGHT(RIGHT(CONCATENATE("000",#REF!),6),3)))</f>
        <v>#REF!</v>
      </c>
    </row>
    <row r="82" spans="1:2" ht="15">
      <c r="A82" s="641" t="e">
        <f>CONCATENATE(LEFT(RIGHT(CONCATENATE("000",#REF!),6),3),"-",(RIGHT(RIGHT(CONCATENATE("000",#REF!),6),3)))</f>
        <v>#REF!</v>
      </c>
      <c r="B82" s="641" t="e">
        <f>CONCATENATE(LEFT(RIGHT(CONCATENATE("000",#REF!),6),3),"-",(RIGHT(RIGHT(CONCATENATE("000",#REF!),6),3)))</f>
        <v>#REF!</v>
      </c>
    </row>
    <row r="83" spans="1:2" ht="15">
      <c r="A83" s="641" t="e">
        <f>CONCATENATE(LEFT(RIGHT(CONCATENATE("000",#REF!),6),3),"-",(RIGHT(RIGHT(CONCATENATE("000",#REF!),6),3)))</f>
        <v>#REF!</v>
      </c>
      <c r="B83" s="641" t="e">
        <f>CONCATENATE(LEFT(RIGHT(CONCATENATE("000",#REF!),6),3),"-",(RIGHT(RIGHT(CONCATENATE("000",#REF!),6),3)))</f>
        <v>#REF!</v>
      </c>
    </row>
    <row r="84" spans="1:2" ht="15">
      <c r="A84" s="641" t="e">
        <f>CONCATENATE(LEFT(RIGHT(CONCATENATE("000",#REF!),6),3),"-",(RIGHT(RIGHT(CONCATENATE("000",#REF!),6),3)))</f>
        <v>#REF!</v>
      </c>
      <c r="B84" s="641" t="e">
        <f>CONCATENATE(LEFT(RIGHT(CONCATENATE("000",#REF!),6),3),"-",(RIGHT(RIGHT(CONCATENATE("000",#REF!),6),3)))</f>
        <v>#REF!</v>
      </c>
    </row>
    <row r="85" spans="1:2" ht="15">
      <c r="B85" s="641" t="e">
        <f>CONCATENATE(LEFT(RIGHT(CONCATENATE("000",#REF!),6),3),"-",(RIGHT(RIGHT(CONCATENATE("000",#REF!),6),3)))</f>
        <v>#REF!</v>
      </c>
    </row>
    <row r="86" spans="1:2" ht="15">
      <c r="B86" s="641" t="e">
        <f>CONCATENATE(LEFT(RIGHT(CONCATENATE("000",#REF!),6),3),"-",(RIGHT(RIGHT(CONCATENATE("000",#REF!),6),3)))</f>
        <v>#REF!</v>
      </c>
    </row>
    <row r="87" spans="1:2" ht="15">
      <c r="B87" s="641" t="e">
        <f>CONCATENATE(LEFT(RIGHT(CONCATENATE("000",#REF!),6),3),"-",(RIGHT(RIGHT(CONCATENATE("000",#REF!),6),3)))</f>
        <v>#REF!</v>
      </c>
    </row>
    <row r="88" spans="1:2" ht="15">
      <c r="B88" s="641" t="e">
        <f>CONCATENATE(LEFT(RIGHT(CONCATENATE("000",#REF!),6),3),"-",(RIGHT(RIGHT(CONCATENATE("000",#REF!),6),3)))</f>
        <v>#REF!</v>
      </c>
    </row>
    <row r="89" spans="1:2" ht="15">
      <c r="B89" s="641" t="e">
        <f>CONCATENATE(LEFT(RIGHT(CONCATENATE("000",#REF!),6),3),"-",(RIGHT(RIGHT(CONCATENATE("000",#REF!),6),3)))</f>
        <v>#REF!</v>
      </c>
    </row>
    <row r="90" spans="1:2" ht="15">
      <c r="B90" s="641" t="e">
        <f>CONCATENATE(LEFT(RIGHT(CONCATENATE("000",#REF!),6),3),"-",(RIGHT(RIGHT(CONCATENATE("000",#REF!),6),3)))</f>
        <v>#REF!</v>
      </c>
    </row>
    <row r="91" spans="1:2" ht="15">
      <c r="B91" s="641" t="e">
        <f>CONCATENATE(LEFT(RIGHT(CONCATENATE("000",#REF!),6),3),"-",(RIGHT(RIGHT(CONCATENATE("000",#REF!),6),3)))</f>
        <v>#REF!</v>
      </c>
    </row>
    <row r="92" spans="1:2" ht="15">
      <c r="B92" s="641" t="e">
        <f>CONCATENATE(LEFT(RIGHT(CONCATENATE("000",#REF!),6),3),"-",(RIGHT(RIGHT(CONCATENATE("000",#REF!),6),3)))</f>
        <v>#REF!</v>
      </c>
    </row>
    <row r="93" spans="1:2" ht="15">
      <c r="B93" s="641" t="e">
        <f>CONCATENATE(LEFT(RIGHT(CONCATENATE("000",#REF!),6),3),"-",(RIGHT(RIGHT(CONCATENATE("000",#REF!),6),3)))</f>
        <v>#REF!</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B1024"/>
    </sheetView>
  </sheetViews>
  <sheetFormatPr defaultRowHeight="12.75"/>
  <cols>
    <col min="2" max="2" width="9.140625" style="1417"/>
    <col min="3" max="3" width="26" customWidth="1"/>
    <col min="4" max="7" width="20.5703125" customWidth="1"/>
  </cols>
  <sheetData>
    <row r="1" spans="1:7" ht="30">
      <c r="D1" s="2887" t="s">
        <v>3141</v>
      </c>
      <c r="E1" s="2888" t="s">
        <v>8678</v>
      </c>
      <c r="F1" s="2889" t="s">
        <v>8679</v>
      </c>
      <c r="G1" s="2889" t="s">
        <v>8680</v>
      </c>
    </row>
    <row r="2" spans="1:7">
      <c r="A2" t="s">
        <v>6667</v>
      </c>
      <c r="B2" s="1417" t="s">
        <v>197</v>
      </c>
      <c r="C2" t="s">
        <v>279</v>
      </c>
      <c r="D2" s="2885">
        <v>554.81400000000008</v>
      </c>
      <c r="E2" s="2886">
        <v>0</v>
      </c>
      <c r="F2" s="2886">
        <v>0</v>
      </c>
      <c r="G2" s="2886">
        <v>0</v>
      </c>
    </row>
    <row r="3" spans="1:7">
      <c r="A3" t="s">
        <v>3365</v>
      </c>
      <c r="B3" s="1417" t="s">
        <v>1954</v>
      </c>
      <c r="C3" t="s">
        <v>280</v>
      </c>
      <c r="D3" s="2885">
        <v>1166.6690000000001</v>
      </c>
      <c r="E3" s="2886">
        <v>474862</v>
      </c>
      <c r="F3" s="2886">
        <v>205511</v>
      </c>
      <c r="G3" s="2886">
        <v>339009</v>
      </c>
    </row>
    <row r="4" spans="1:7">
      <c r="A4" t="s">
        <v>5753</v>
      </c>
      <c r="B4" s="1417" t="s">
        <v>14</v>
      </c>
      <c r="C4" t="s">
        <v>281</v>
      </c>
      <c r="D4" s="2885">
        <v>797.27200000000005</v>
      </c>
      <c r="E4" s="2886">
        <v>890177</v>
      </c>
      <c r="F4" s="2886">
        <v>163688</v>
      </c>
      <c r="G4" s="2886">
        <v>607475</v>
      </c>
    </row>
    <row r="5" spans="1:7">
      <c r="A5" t="s">
        <v>5754</v>
      </c>
      <c r="B5" s="1417" t="s">
        <v>15</v>
      </c>
      <c r="C5" t="s">
        <v>282</v>
      </c>
      <c r="D5" s="2885">
        <v>350.90600000000001</v>
      </c>
      <c r="E5" s="2886">
        <v>270769</v>
      </c>
      <c r="F5" s="2886">
        <v>0</v>
      </c>
      <c r="G5" s="2886">
        <v>263845</v>
      </c>
    </row>
    <row r="6" spans="1:7">
      <c r="A6" t="s">
        <v>3366</v>
      </c>
      <c r="B6" s="1417" t="s">
        <v>16</v>
      </c>
      <c r="C6" t="s">
        <v>283</v>
      </c>
      <c r="D6" s="2885">
        <v>3185.31</v>
      </c>
      <c r="E6" s="2886">
        <v>3868555</v>
      </c>
      <c r="F6" s="2886">
        <v>691364</v>
      </c>
      <c r="G6" s="2886">
        <v>2974100</v>
      </c>
    </row>
    <row r="7" spans="1:7">
      <c r="A7" t="s">
        <v>6668</v>
      </c>
      <c r="B7" s="1417" t="s">
        <v>1098</v>
      </c>
      <c r="C7" t="s">
        <v>1188</v>
      </c>
      <c r="D7" s="2885">
        <v>1489.3630000000001</v>
      </c>
      <c r="E7" s="2886">
        <v>0</v>
      </c>
      <c r="F7" s="2886">
        <v>0</v>
      </c>
      <c r="G7" s="2886">
        <v>0</v>
      </c>
    </row>
    <row r="8" spans="1:7">
      <c r="A8" t="s">
        <v>5755</v>
      </c>
      <c r="B8" s="1417" t="s">
        <v>1099</v>
      </c>
      <c r="C8" t="s">
        <v>1189</v>
      </c>
      <c r="D8" s="2885">
        <v>379.87100000000009</v>
      </c>
      <c r="E8" s="2886">
        <v>22000</v>
      </c>
      <c r="F8" s="2886">
        <v>74106</v>
      </c>
      <c r="G8" s="2886">
        <v>80432</v>
      </c>
    </row>
    <row r="9" spans="1:7">
      <c r="A9" t="s">
        <v>5756</v>
      </c>
      <c r="B9" s="1417" t="s">
        <v>1841</v>
      </c>
      <c r="C9" t="s">
        <v>1190</v>
      </c>
      <c r="D9" s="2885">
        <v>3757.6950000000002</v>
      </c>
      <c r="E9" s="2886">
        <v>4618828</v>
      </c>
      <c r="F9" s="2886">
        <v>0</v>
      </c>
      <c r="G9" s="2886">
        <v>1751500</v>
      </c>
    </row>
    <row r="10" spans="1:7">
      <c r="A10" t="s">
        <v>3367</v>
      </c>
      <c r="B10" s="1417" t="s">
        <v>676</v>
      </c>
      <c r="C10" t="s">
        <v>2382</v>
      </c>
      <c r="D10" s="2885">
        <v>2678.3110000000001</v>
      </c>
      <c r="E10" s="2886">
        <v>487289</v>
      </c>
      <c r="F10" s="2886">
        <v>485485</v>
      </c>
      <c r="G10" s="2886">
        <v>41632</v>
      </c>
    </row>
    <row r="11" spans="1:7">
      <c r="A11" t="s">
        <v>5757</v>
      </c>
      <c r="B11" s="1417" t="s">
        <v>1452</v>
      </c>
      <c r="C11" t="s">
        <v>1191</v>
      </c>
      <c r="D11" s="2885">
        <v>7462.4549999999999</v>
      </c>
      <c r="E11" s="2886">
        <v>966669</v>
      </c>
      <c r="F11" s="2886">
        <v>0</v>
      </c>
      <c r="G11" s="2886">
        <v>3914178</v>
      </c>
    </row>
    <row r="12" spans="1:7">
      <c r="A12" t="s">
        <v>3368</v>
      </c>
      <c r="B12" s="1417" t="s">
        <v>1118</v>
      </c>
      <c r="C12" t="s">
        <v>1266</v>
      </c>
      <c r="D12" s="2885">
        <v>1615.7760000000001</v>
      </c>
      <c r="E12" s="2886">
        <v>625437</v>
      </c>
      <c r="F12" s="2886">
        <v>281386</v>
      </c>
      <c r="G12" s="2886">
        <v>289866</v>
      </c>
    </row>
    <row r="13" spans="1:7">
      <c r="A13" t="s">
        <v>3369</v>
      </c>
      <c r="B13" s="1417" t="s">
        <v>337</v>
      </c>
      <c r="C13" t="s">
        <v>1192</v>
      </c>
      <c r="D13" s="2885">
        <v>1711.5989999999999</v>
      </c>
      <c r="E13" s="2886">
        <v>291650</v>
      </c>
      <c r="F13" s="2886">
        <v>203792</v>
      </c>
      <c r="G13" s="2886">
        <v>298941</v>
      </c>
    </row>
    <row r="14" spans="1:7">
      <c r="A14" t="s">
        <v>5758</v>
      </c>
      <c r="B14" s="1417" t="s">
        <v>338</v>
      </c>
      <c r="C14" t="s">
        <v>1193</v>
      </c>
      <c r="D14" s="2885">
        <v>345.286</v>
      </c>
      <c r="E14" s="2886">
        <v>309218</v>
      </c>
      <c r="F14" s="2886">
        <v>0</v>
      </c>
      <c r="G14" s="2886">
        <v>279988</v>
      </c>
    </row>
    <row r="15" spans="1:7">
      <c r="A15" t="s">
        <v>3370</v>
      </c>
      <c r="B15" s="1417" t="s">
        <v>339</v>
      </c>
      <c r="C15" t="s">
        <v>1194</v>
      </c>
      <c r="D15" s="2885">
        <v>1429.066</v>
      </c>
      <c r="E15" s="2886">
        <v>402703</v>
      </c>
      <c r="F15" s="2886">
        <v>200900</v>
      </c>
      <c r="G15" s="2886">
        <v>170149</v>
      </c>
    </row>
    <row r="16" spans="1:7">
      <c r="A16" t="s">
        <v>5759</v>
      </c>
      <c r="B16" s="1417" t="s">
        <v>2479</v>
      </c>
      <c r="C16" t="s">
        <v>1195</v>
      </c>
      <c r="D16" s="2885">
        <v>3148.9570000000008</v>
      </c>
      <c r="E16" s="2886">
        <v>3001316</v>
      </c>
      <c r="F16" s="2886">
        <v>0</v>
      </c>
      <c r="G16" s="2886">
        <v>1333614</v>
      </c>
    </row>
    <row r="17" spans="1:7">
      <c r="A17" t="s">
        <v>5760</v>
      </c>
      <c r="B17" s="1417" t="s">
        <v>2480</v>
      </c>
      <c r="C17" t="s">
        <v>1196</v>
      </c>
      <c r="D17" s="2885">
        <v>452.8370000000001</v>
      </c>
      <c r="E17" s="2886">
        <v>972102</v>
      </c>
      <c r="F17" s="2886">
        <v>0</v>
      </c>
      <c r="G17" s="2886">
        <v>99542</v>
      </c>
    </row>
    <row r="18" spans="1:7">
      <c r="A18" t="s">
        <v>5761</v>
      </c>
      <c r="B18" s="1417" t="s">
        <v>2481</v>
      </c>
      <c r="C18" t="s">
        <v>1197</v>
      </c>
      <c r="D18" s="2885">
        <v>922.07500000000005</v>
      </c>
      <c r="E18" s="2886">
        <v>1270037</v>
      </c>
      <c r="F18" s="2886">
        <v>218870</v>
      </c>
      <c r="G18" s="2886">
        <v>763009</v>
      </c>
    </row>
    <row r="19" spans="1:7">
      <c r="A19" t="s">
        <v>3371</v>
      </c>
      <c r="B19" s="1417" t="s">
        <v>1945</v>
      </c>
      <c r="C19" t="s">
        <v>1128</v>
      </c>
      <c r="D19" s="2885">
        <v>413.238</v>
      </c>
      <c r="E19" s="2886">
        <v>106463</v>
      </c>
      <c r="F19" s="2886">
        <v>67974</v>
      </c>
      <c r="G19" s="2886">
        <v>40851</v>
      </c>
    </row>
    <row r="20" spans="1:7">
      <c r="A20" t="s">
        <v>5762</v>
      </c>
      <c r="B20" s="1417" t="s">
        <v>2483</v>
      </c>
      <c r="C20" t="s">
        <v>1198</v>
      </c>
      <c r="D20" s="2885">
        <v>309.70600000000002</v>
      </c>
      <c r="E20" s="2886">
        <v>204366</v>
      </c>
      <c r="F20" s="2886">
        <v>0</v>
      </c>
      <c r="G20" s="2886">
        <v>133400</v>
      </c>
    </row>
    <row r="21" spans="1:7">
      <c r="A21" t="s">
        <v>3372</v>
      </c>
      <c r="B21" s="1417" t="s">
        <v>708</v>
      </c>
      <c r="C21" t="s">
        <v>661</v>
      </c>
      <c r="D21" s="2885">
        <v>460.803</v>
      </c>
      <c r="E21" s="2886">
        <v>268642</v>
      </c>
      <c r="F21" s="2886">
        <v>247305</v>
      </c>
      <c r="G21" s="2886">
        <v>99487</v>
      </c>
    </row>
    <row r="22" spans="1:7">
      <c r="A22" t="s">
        <v>6669</v>
      </c>
      <c r="B22" s="1417" t="s">
        <v>2484</v>
      </c>
      <c r="C22" t="s">
        <v>1199</v>
      </c>
      <c r="D22" s="2885">
        <v>1491.904</v>
      </c>
      <c r="E22" s="2886">
        <v>1498905</v>
      </c>
      <c r="F22" s="2886">
        <v>0</v>
      </c>
      <c r="G22" s="2886">
        <v>0</v>
      </c>
    </row>
    <row r="23" spans="1:7">
      <c r="A23" t="s">
        <v>3373</v>
      </c>
      <c r="B23" s="1417" t="s">
        <v>2090</v>
      </c>
      <c r="C23" t="s">
        <v>1200</v>
      </c>
      <c r="D23" s="2885">
        <v>1486.412</v>
      </c>
      <c r="E23" s="2886">
        <v>601248</v>
      </c>
      <c r="F23" s="2886">
        <v>199602</v>
      </c>
      <c r="G23" s="2886">
        <v>327629</v>
      </c>
    </row>
    <row r="24" spans="1:7">
      <c r="A24" t="s">
        <v>3374</v>
      </c>
      <c r="B24" s="1417" t="s">
        <v>213</v>
      </c>
      <c r="C24" t="s">
        <v>1001</v>
      </c>
      <c r="D24" s="2885">
        <v>3230.598</v>
      </c>
      <c r="E24" s="2886">
        <v>7238395</v>
      </c>
      <c r="F24" s="2886">
        <v>1068256</v>
      </c>
      <c r="G24" s="2886">
        <v>671957</v>
      </c>
    </row>
    <row r="25" spans="1:7">
      <c r="A25" t="s">
        <v>3375</v>
      </c>
      <c r="B25" s="1417" t="s">
        <v>2133</v>
      </c>
      <c r="C25" t="s">
        <v>1004</v>
      </c>
      <c r="D25" s="2885">
        <v>1598.1560000000004</v>
      </c>
      <c r="E25" s="2886">
        <v>763470</v>
      </c>
      <c r="F25" s="2886">
        <v>431510</v>
      </c>
      <c r="G25" s="2886">
        <v>391964</v>
      </c>
    </row>
    <row r="26" spans="1:7">
      <c r="A26" t="s">
        <v>5763</v>
      </c>
      <c r="B26" s="1417" t="s">
        <v>2485</v>
      </c>
      <c r="C26" t="s">
        <v>1201</v>
      </c>
      <c r="D26" s="2885">
        <v>2133.5520000000001</v>
      </c>
      <c r="E26" s="2886">
        <v>1586997</v>
      </c>
      <c r="F26" s="2886">
        <v>0</v>
      </c>
      <c r="G26" s="2886">
        <v>1407146</v>
      </c>
    </row>
    <row r="27" spans="1:7">
      <c r="A27" t="s">
        <v>5764</v>
      </c>
      <c r="B27" s="1417" t="s">
        <v>685</v>
      </c>
      <c r="C27" t="s">
        <v>1202</v>
      </c>
      <c r="D27" s="2885">
        <v>2636.0250000000001</v>
      </c>
      <c r="E27" s="2886">
        <v>3348603</v>
      </c>
      <c r="F27" s="2886">
        <v>0</v>
      </c>
      <c r="G27" s="2886">
        <v>2025795</v>
      </c>
    </row>
    <row r="28" spans="1:7">
      <c r="A28" t="s">
        <v>5765</v>
      </c>
      <c r="B28" s="1417" t="s">
        <v>686</v>
      </c>
      <c r="C28" t="s">
        <v>1203</v>
      </c>
      <c r="D28" s="2885">
        <v>751.67600000000004</v>
      </c>
      <c r="E28" s="2886">
        <v>1173933</v>
      </c>
      <c r="F28" s="2886">
        <v>0</v>
      </c>
      <c r="G28" s="2886">
        <v>762951</v>
      </c>
    </row>
    <row r="29" spans="1:7">
      <c r="A29" t="s">
        <v>3376</v>
      </c>
      <c r="B29" s="1417" t="s">
        <v>687</v>
      </c>
      <c r="C29" t="s">
        <v>1204</v>
      </c>
      <c r="D29" s="2885">
        <v>1356.527</v>
      </c>
      <c r="E29" s="2886">
        <v>511212</v>
      </c>
      <c r="F29" s="2886">
        <v>141634</v>
      </c>
      <c r="G29" s="2886">
        <v>667275</v>
      </c>
    </row>
    <row r="30" spans="1:7">
      <c r="A30" t="s">
        <v>6670</v>
      </c>
      <c r="B30" s="1417" t="s">
        <v>188</v>
      </c>
      <c r="C30" t="s">
        <v>1205</v>
      </c>
      <c r="D30" s="2885">
        <v>263.87700000000001</v>
      </c>
      <c r="E30" s="2886">
        <v>0</v>
      </c>
      <c r="F30" s="2886">
        <v>0</v>
      </c>
      <c r="G30" s="2886">
        <v>0</v>
      </c>
    </row>
    <row r="31" spans="1:7">
      <c r="A31" t="s">
        <v>3377</v>
      </c>
      <c r="B31" s="1417" t="s">
        <v>1946</v>
      </c>
      <c r="C31" t="s">
        <v>2121</v>
      </c>
      <c r="D31" s="2885">
        <v>2079.0080000000003</v>
      </c>
      <c r="E31" s="2886">
        <v>1878096</v>
      </c>
      <c r="F31" s="2886">
        <v>691574</v>
      </c>
      <c r="G31" s="2886">
        <v>603028</v>
      </c>
    </row>
    <row r="32" spans="1:7">
      <c r="A32" t="s">
        <v>3378</v>
      </c>
      <c r="B32" s="1417" t="s">
        <v>1683</v>
      </c>
      <c r="C32" t="s">
        <v>2123</v>
      </c>
      <c r="D32" s="2885">
        <v>9784.1229999999996</v>
      </c>
      <c r="E32" s="2886">
        <v>13317279</v>
      </c>
      <c r="F32" s="2886">
        <v>4973504</v>
      </c>
      <c r="G32" s="2886">
        <v>6034228</v>
      </c>
    </row>
    <row r="33" spans="1:7">
      <c r="A33" t="s">
        <v>3379</v>
      </c>
      <c r="B33" s="1417" t="s">
        <v>773</v>
      </c>
      <c r="C33" t="s">
        <v>890</v>
      </c>
      <c r="D33" s="2885">
        <v>3949.7130000000002</v>
      </c>
      <c r="E33" s="2886">
        <v>3921412</v>
      </c>
      <c r="F33" s="2886">
        <v>1052386</v>
      </c>
      <c r="G33" s="2886">
        <v>2735638</v>
      </c>
    </row>
    <row r="34" spans="1:7">
      <c r="A34" t="s">
        <v>3380</v>
      </c>
      <c r="B34" s="1417" t="s">
        <v>2366</v>
      </c>
      <c r="C34" t="s">
        <v>1928</v>
      </c>
      <c r="D34" s="2885">
        <v>1630.251</v>
      </c>
      <c r="E34" s="2886">
        <v>843988</v>
      </c>
      <c r="F34" s="2886">
        <v>449656</v>
      </c>
      <c r="G34" s="2886">
        <v>516194</v>
      </c>
    </row>
    <row r="35" spans="1:7">
      <c r="A35" t="s">
        <v>3381</v>
      </c>
      <c r="B35" s="1417" t="s">
        <v>2134</v>
      </c>
      <c r="C35" t="s">
        <v>818</v>
      </c>
      <c r="D35" s="2885">
        <v>291.14100000000002</v>
      </c>
      <c r="E35" s="2886">
        <v>48080</v>
      </c>
      <c r="F35" s="2886">
        <v>45171</v>
      </c>
      <c r="G35" s="2886">
        <v>0</v>
      </c>
    </row>
    <row r="36" spans="1:7">
      <c r="A36" t="s">
        <v>6671</v>
      </c>
      <c r="B36" s="1417" t="s">
        <v>452</v>
      </c>
      <c r="C36" t="s">
        <v>1206</v>
      </c>
      <c r="D36" s="2885">
        <v>554.06299999999999</v>
      </c>
      <c r="E36" s="2886">
        <v>414373</v>
      </c>
      <c r="F36" s="2886">
        <v>0</v>
      </c>
      <c r="G36" s="2886">
        <v>0</v>
      </c>
    </row>
    <row r="37" spans="1:7">
      <c r="A37" t="s">
        <v>3382</v>
      </c>
      <c r="B37" s="1417" t="s">
        <v>2367</v>
      </c>
      <c r="C37" t="s">
        <v>2124</v>
      </c>
      <c r="D37" s="2885">
        <v>3022.4170000000008</v>
      </c>
      <c r="E37" s="2886">
        <v>291447</v>
      </c>
      <c r="F37" s="2886">
        <v>1033942</v>
      </c>
      <c r="G37" s="2886">
        <v>112435</v>
      </c>
    </row>
    <row r="38" spans="1:7">
      <c r="A38" t="s">
        <v>5766</v>
      </c>
      <c r="B38" s="1417" t="s">
        <v>2651</v>
      </c>
      <c r="C38" t="s">
        <v>1207</v>
      </c>
      <c r="D38" s="2885">
        <v>186.01499999999999</v>
      </c>
      <c r="E38" s="2886">
        <v>859257</v>
      </c>
      <c r="F38" s="2886">
        <v>0</v>
      </c>
      <c r="G38" s="2886">
        <v>174424</v>
      </c>
    </row>
    <row r="39" spans="1:7">
      <c r="A39" t="s">
        <v>5767</v>
      </c>
      <c r="B39" s="1417" t="s">
        <v>2652</v>
      </c>
      <c r="C39" t="s">
        <v>1208</v>
      </c>
      <c r="D39" s="2885">
        <v>377.334</v>
      </c>
      <c r="E39" s="2886">
        <v>1223092</v>
      </c>
      <c r="F39" s="2886">
        <v>0</v>
      </c>
      <c r="G39" s="2886">
        <v>0</v>
      </c>
    </row>
    <row r="40" spans="1:7">
      <c r="A40" t="s">
        <v>3383</v>
      </c>
      <c r="B40" s="1417" t="s">
        <v>1149</v>
      </c>
      <c r="C40" t="s">
        <v>1828</v>
      </c>
      <c r="D40" s="2885">
        <v>781.31799999999998</v>
      </c>
      <c r="E40" s="2886">
        <v>449145</v>
      </c>
      <c r="F40" s="2886">
        <v>312264</v>
      </c>
      <c r="G40" s="2886">
        <v>126630</v>
      </c>
    </row>
    <row r="41" spans="1:7">
      <c r="A41" t="s">
        <v>5768</v>
      </c>
      <c r="B41" s="1417" t="s">
        <v>2135</v>
      </c>
      <c r="C41" t="s">
        <v>1209</v>
      </c>
      <c r="D41" s="2885">
        <v>1433.818</v>
      </c>
      <c r="E41" s="2886">
        <v>1082471</v>
      </c>
      <c r="F41" s="2886">
        <v>0</v>
      </c>
      <c r="G41" s="2886">
        <v>897690</v>
      </c>
    </row>
    <row r="42" spans="1:7">
      <c r="A42" t="s">
        <v>3384</v>
      </c>
      <c r="B42" s="1417" t="s">
        <v>1682</v>
      </c>
      <c r="C42" t="s">
        <v>2122</v>
      </c>
      <c r="D42" s="2885">
        <v>343.51300000000009</v>
      </c>
      <c r="E42" s="2886">
        <v>121595</v>
      </c>
      <c r="F42" s="2886">
        <v>83761</v>
      </c>
      <c r="G42" s="2886">
        <v>43667</v>
      </c>
    </row>
    <row r="43" spans="1:7">
      <c r="A43" t="s">
        <v>3385</v>
      </c>
      <c r="B43" s="1417" t="s">
        <v>1685</v>
      </c>
      <c r="C43" t="s">
        <v>2680</v>
      </c>
      <c r="D43" s="2885">
        <v>10361.69</v>
      </c>
      <c r="E43" s="2886">
        <v>7127045</v>
      </c>
      <c r="F43" s="2886">
        <v>635710</v>
      </c>
      <c r="G43" s="2886">
        <v>5634446</v>
      </c>
    </row>
    <row r="44" spans="1:7">
      <c r="A44" t="s">
        <v>3386</v>
      </c>
      <c r="B44" s="1417" t="s">
        <v>170</v>
      </c>
      <c r="C44" t="s">
        <v>2377</v>
      </c>
      <c r="D44" s="2885">
        <v>653.56100000000004</v>
      </c>
      <c r="E44" s="2886">
        <v>222675</v>
      </c>
      <c r="F44" s="2886">
        <v>211556</v>
      </c>
      <c r="G44" s="2886">
        <v>49528</v>
      </c>
    </row>
    <row r="45" spans="1:7">
      <c r="A45" t="s">
        <v>3387</v>
      </c>
      <c r="B45" s="1417" t="s">
        <v>53</v>
      </c>
      <c r="C45" t="s">
        <v>2518</v>
      </c>
      <c r="D45" s="2885">
        <v>39574.039000000012</v>
      </c>
      <c r="E45" s="2886">
        <v>6137134</v>
      </c>
      <c r="F45" s="2886">
        <v>6009911</v>
      </c>
      <c r="G45" s="2886">
        <v>0</v>
      </c>
    </row>
    <row r="46" spans="1:7">
      <c r="A46" t="s">
        <v>3388</v>
      </c>
      <c r="B46" s="1417" t="s">
        <v>166</v>
      </c>
      <c r="C46" t="s">
        <v>1402</v>
      </c>
      <c r="D46" s="2885">
        <v>821.83900000000006</v>
      </c>
      <c r="E46" s="2886">
        <v>613767</v>
      </c>
      <c r="F46" s="2886">
        <v>416107</v>
      </c>
      <c r="G46" s="2886">
        <v>0</v>
      </c>
    </row>
    <row r="47" spans="1:7">
      <c r="A47" t="s">
        <v>3389</v>
      </c>
      <c r="B47" s="1417" t="s">
        <v>1312</v>
      </c>
      <c r="C47" t="s">
        <v>2025</v>
      </c>
      <c r="D47" s="2885">
        <v>1673.1130000000001</v>
      </c>
      <c r="E47" s="2886">
        <v>1339167</v>
      </c>
      <c r="F47" s="2886">
        <v>211190</v>
      </c>
      <c r="G47" s="2886">
        <v>1100866</v>
      </c>
    </row>
    <row r="48" spans="1:7">
      <c r="A48" t="s">
        <v>3390</v>
      </c>
      <c r="B48" s="1417" t="s">
        <v>1514</v>
      </c>
      <c r="C48" t="s">
        <v>603</v>
      </c>
      <c r="D48" s="2885">
        <v>7790.3560000000016</v>
      </c>
      <c r="E48" s="2886">
        <v>10395212</v>
      </c>
      <c r="F48" s="2886">
        <v>2150683</v>
      </c>
      <c r="G48" s="2886">
        <v>4884403</v>
      </c>
    </row>
    <row r="49" spans="1:7">
      <c r="A49" t="s">
        <v>3391</v>
      </c>
      <c r="B49" s="1417" t="s">
        <v>1519</v>
      </c>
      <c r="C49" t="s">
        <v>2312</v>
      </c>
      <c r="D49" s="2885">
        <v>1403.306</v>
      </c>
      <c r="E49" s="2886">
        <v>828532</v>
      </c>
      <c r="F49" s="2886">
        <v>336800</v>
      </c>
      <c r="G49" s="2886">
        <v>441439</v>
      </c>
    </row>
    <row r="50" spans="1:7">
      <c r="A50" t="s">
        <v>5769</v>
      </c>
      <c r="B50" s="1417" t="s">
        <v>423</v>
      </c>
      <c r="C50" t="s">
        <v>2280</v>
      </c>
      <c r="D50" s="2885">
        <v>4616.5830000000005</v>
      </c>
      <c r="E50" s="2886">
        <v>8678400</v>
      </c>
      <c r="F50" s="2886">
        <v>0</v>
      </c>
      <c r="G50" s="2886">
        <v>2477650</v>
      </c>
    </row>
    <row r="51" spans="1:7">
      <c r="A51" t="s">
        <v>3392</v>
      </c>
      <c r="B51" s="1417" t="s">
        <v>1859</v>
      </c>
      <c r="C51" t="s">
        <v>724</v>
      </c>
      <c r="D51" s="2885">
        <v>13367.16</v>
      </c>
      <c r="E51" s="2886">
        <v>4963568</v>
      </c>
      <c r="F51" s="2886">
        <v>3233588</v>
      </c>
      <c r="G51" s="2886">
        <v>1638897</v>
      </c>
    </row>
    <row r="52" spans="1:7">
      <c r="A52" t="s">
        <v>3393</v>
      </c>
      <c r="B52" s="1417" t="s">
        <v>771</v>
      </c>
      <c r="C52" t="s">
        <v>888</v>
      </c>
      <c r="D52" s="2885">
        <v>9482.4290000000001</v>
      </c>
      <c r="E52" s="2886">
        <v>2152279</v>
      </c>
      <c r="F52" s="2886">
        <v>2075477</v>
      </c>
      <c r="G52" s="2886">
        <v>244828</v>
      </c>
    </row>
    <row r="53" spans="1:7">
      <c r="A53" t="s">
        <v>8671</v>
      </c>
      <c r="B53" s="1417" t="s">
        <v>2350</v>
      </c>
      <c r="C53" t="s">
        <v>1024</v>
      </c>
      <c r="D53" s="2885">
        <v>1368.0510000000002</v>
      </c>
      <c r="E53" s="2886">
        <v>0</v>
      </c>
      <c r="F53" s="2886">
        <v>0</v>
      </c>
      <c r="G53" s="2886">
        <v>0</v>
      </c>
    </row>
    <row r="54" spans="1:7">
      <c r="A54" t="s">
        <v>3394</v>
      </c>
      <c r="B54" s="1417" t="s">
        <v>1314</v>
      </c>
      <c r="C54" t="s">
        <v>2028</v>
      </c>
      <c r="D54" s="2885">
        <v>46436.731</v>
      </c>
      <c r="E54" s="2886">
        <v>53357063</v>
      </c>
      <c r="F54" s="2886">
        <v>37315946</v>
      </c>
      <c r="G54" s="2886">
        <v>17263658</v>
      </c>
    </row>
    <row r="55" spans="1:7">
      <c r="A55" t="s">
        <v>3395</v>
      </c>
      <c r="B55" s="1417" t="s">
        <v>1506</v>
      </c>
      <c r="C55" t="s">
        <v>1932</v>
      </c>
      <c r="D55" s="2885">
        <v>8758.02</v>
      </c>
      <c r="E55" s="2886">
        <v>6345359</v>
      </c>
      <c r="F55" s="2886">
        <v>2900508</v>
      </c>
      <c r="G55" s="2886">
        <v>2801323</v>
      </c>
    </row>
    <row r="56" spans="1:7">
      <c r="A56" t="s">
        <v>3396</v>
      </c>
      <c r="B56" s="1417" t="s">
        <v>1152</v>
      </c>
      <c r="C56" t="s">
        <v>1931</v>
      </c>
      <c r="D56" s="2885">
        <v>3703.4280000000008</v>
      </c>
      <c r="E56" s="2886">
        <v>465522</v>
      </c>
      <c r="F56" s="2886">
        <v>670440</v>
      </c>
      <c r="G56" s="2886">
        <v>88773</v>
      </c>
    </row>
    <row r="57" spans="1:7">
      <c r="A57" t="s">
        <v>3397</v>
      </c>
      <c r="B57" s="1417" t="s">
        <v>1407</v>
      </c>
      <c r="C57" t="s">
        <v>2287</v>
      </c>
      <c r="D57" s="2885">
        <v>63166.485999999997</v>
      </c>
      <c r="E57" s="2886">
        <v>123016438</v>
      </c>
      <c r="F57" s="2886">
        <v>6051325</v>
      </c>
      <c r="G57" s="2886">
        <v>64113983</v>
      </c>
    </row>
    <row r="58" spans="1:7">
      <c r="A58" t="s">
        <v>3398</v>
      </c>
      <c r="B58" s="1417" t="s">
        <v>768</v>
      </c>
      <c r="C58" t="s">
        <v>1064</v>
      </c>
      <c r="D58" s="2885">
        <v>9375.357</v>
      </c>
      <c r="E58" s="2886">
        <v>8357274</v>
      </c>
      <c r="F58" s="2886">
        <v>7246957</v>
      </c>
      <c r="G58" s="2886">
        <v>1037598</v>
      </c>
    </row>
    <row r="59" spans="1:7">
      <c r="A59" t="s">
        <v>3399</v>
      </c>
      <c r="B59" s="1417" t="s">
        <v>709</v>
      </c>
      <c r="C59" t="s">
        <v>1934</v>
      </c>
      <c r="D59" s="2885">
        <v>12749.536</v>
      </c>
      <c r="E59" s="2886">
        <v>9051948</v>
      </c>
      <c r="F59" s="2886">
        <v>6181142</v>
      </c>
      <c r="G59" s="2886">
        <v>4599669</v>
      </c>
    </row>
    <row r="60" spans="1:7">
      <c r="A60" t="s">
        <v>8672</v>
      </c>
      <c r="B60" s="1417" t="s">
        <v>2351</v>
      </c>
      <c r="C60" t="s">
        <v>1025</v>
      </c>
      <c r="D60" s="2885">
        <v>970.24400000000003</v>
      </c>
      <c r="E60" s="2886">
        <v>0</v>
      </c>
      <c r="F60" s="2886">
        <v>0</v>
      </c>
      <c r="G60" s="2886">
        <v>0</v>
      </c>
    </row>
    <row r="61" spans="1:7">
      <c r="A61" t="s">
        <v>8673</v>
      </c>
      <c r="B61" s="1417" t="s">
        <v>2352</v>
      </c>
      <c r="C61" t="s">
        <v>1026</v>
      </c>
      <c r="D61" s="2885">
        <v>1452.7070000000001</v>
      </c>
      <c r="E61" s="2886">
        <v>0</v>
      </c>
      <c r="F61" s="2886">
        <v>0</v>
      </c>
      <c r="G61" s="2886">
        <v>0</v>
      </c>
    </row>
    <row r="62" spans="1:7">
      <c r="A62" t="s">
        <v>3400</v>
      </c>
      <c r="B62" s="1417" t="s">
        <v>1409</v>
      </c>
      <c r="C62" t="s">
        <v>2289</v>
      </c>
      <c r="D62" s="2885">
        <v>98688.429000000004</v>
      </c>
      <c r="E62" s="2886">
        <v>156030602</v>
      </c>
      <c r="F62" s="2886">
        <v>2103761</v>
      </c>
      <c r="G62" s="2886">
        <v>100168755</v>
      </c>
    </row>
    <row r="63" spans="1:7">
      <c r="A63" t="s">
        <v>3401</v>
      </c>
      <c r="B63" s="1417" t="s">
        <v>46</v>
      </c>
      <c r="C63" t="s">
        <v>408</v>
      </c>
      <c r="D63" s="2885">
        <v>21315.134999999998</v>
      </c>
      <c r="E63" s="2886">
        <v>34619258</v>
      </c>
      <c r="F63" s="2886">
        <v>13752866</v>
      </c>
      <c r="G63" s="2886">
        <v>18230554</v>
      </c>
    </row>
    <row r="64" spans="1:7">
      <c r="A64" t="s">
        <v>3402</v>
      </c>
      <c r="B64" s="1417" t="s">
        <v>1507</v>
      </c>
      <c r="C64" t="s">
        <v>1933</v>
      </c>
      <c r="D64" s="2885">
        <v>5126.7780000000002</v>
      </c>
      <c r="E64" s="2886">
        <v>2735085</v>
      </c>
      <c r="F64" s="2886">
        <v>3213572</v>
      </c>
      <c r="G64" s="2886">
        <v>63315</v>
      </c>
    </row>
    <row r="65" spans="1:7">
      <c r="A65" t="s">
        <v>5770</v>
      </c>
      <c r="B65" s="1417" t="s">
        <v>1210</v>
      </c>
      <c r="C65" t="s">
        <v>2281</v>
      </c>
      <c r="D65" s="2885">
        <v>661.61</v>
      </c>
      <c r="E65" s="2886">
        <v>717502</v>
      </c>
      <c r="F65" s="2886">
        <v>0</v>
      </c>
      <c r="G65" s="2886">
        <v>267203</v>
      </c>
    </row>
    <row r="66" spans="1:7">
      <c r="A66" t="s">
        <v>3403</v>
      </c>
      <c r="B66" s="1417" t="s">
        <v>874</v>
      </c>
      <c r="C66" t="s">
        <v>798</v>
      </c>
      <c r="D66" s="2885">
        <v>979.61</v>
      </c>
      <c r="E66" s="2886">
        <v>1242976</v>
      </c>
      <c r="F66" s="2886">
        <v>248495</v>
      </c>
      <c r="G66" s="2886">
        <v>435868</v>
      </c>
    </row>
    <row r="67" spans="1:7">
      <c r="A67" t="s">
        <v>5771</v>
      </c>
      <c r="B67" s="1417" t="s">
        <v>1211</v>
      </c>
      <c r="C67" t="s">
        <v>2282</v>
      </c>
      <c r="D67" s="2885">
        <v>239.726</v>
      </c>
      <c r="E67" s="2886">
        <v>1651370</v>
      </c>
      <c r="F67" s="2886">
        <v>0</v>
      </c>
      <c r="G67" s="2886">
        <v>243322</v>
      </c>
    </row>
    <row r="68" spans="1:7">
      <c r="A68" t="s">
        <v>3404</v>
      </c>
      <c r="B68" s="1417" t="s">
        <v>575</v>
      </c>
      <c r="C68" t="s">
        <v>1165</v>
      </c>
      <c r="D68" s="2885">
        <v>954.601</v>
      </c>
      <c r="E68" s="2886">
        <v>1784912</v>
      </c>
      <c r="F68" s="2886">
        <v>314735</v>
      </c>
      <c r="G68" s="2886">
        <v>143599</v>
      </c>
    </row>
    <row r="69" spans="1:7">
      <c r="A69" t="s">
        <v>3405</v>
      </c>
      <c r="B69" s="1417" t="s">
        <v>1212</v>
      </c>
      <c r="C69" t="s">
        <v>2682</v>
      </c>
      <c r="D69" s="2885">
        <v>454.0560000000001</v>
      </c>
      <c r="E69" s="2886">
        <v>556003</v>
      </c>
      <c r="F69" s="2886">
        <v>125707</v>
      </c>
      <c r="G69" s="2886">
        <v>365440</v>
      </c>
    </row>
    <row r="70" spans="1:7">
      <c r="A70" t="s">
        <v>6672</v>
      </c>
      <c r="B70" s="1417" t="s">
        <v>1113</v>
      </c>
      <c r="C70" t="s">
        <v>2683</v>
      </c>
      <c r="D70" s="2885">
        <v>114.34700000000002</v>
      </c>
      <c r="E70" s="2886">
        <v>0</v>
      </c>
      <c r="F70" s="2886">
        <v>0</v>
      </c>
      <c r="G70" s="2886">
        <v>0</v>
      </c>
    </row>
    <row r="71" spans="1:7">
      <c r="A71" t="s">
        <v>3406</v>
      </c>
      <c r="B71" s="1417" t="s">
        <v>1114</v>
      </c>
      <c r="C71" t="s">
        <v>2684</v>
      </c>
      <c r="D71" s="2885">
        <v>586.27100000000019</v>
      </c>
      <c r="E71" s="2886">
        <v>563743</v>
      </c>
      <c r="F71" s="2886">
        <v>157852</v>
      </c>
      <c r="G71" s="2886">
        <v>297507</v>
      </c>
    </row>
    <row r="72" spans="1:7">
      <c r="A72" t="s">
        <v>4235</v>
      </c>
      <c r="B72" s="1417" t="s">
        <v>1901</v>
      </c>
      <c r="C72" t="s">
        <v>2024</v>
      </c>
      <c r="D72" s="2885">
        <v>170.40799999999999</v>
      </c>
      <c r="E72" s="2886">
        <v>0</v>
      </c>
      <c r="F72" s="2886">
        <v>0</v>
      </c>
      <c r="G72" s="2886">
        <v>0</v>
      </c>
    </row>
    <row r="73" spans="1:7">
      <c r="A73" t="s">
        <v>5772</v>
      </c>
      <c r="B73" s="1417" t="s">
        <v>1645</v>
      </c>
      <c r="C73" t="s">
        <v>2685</v>
      </c>
      <c r="D73" s="2885">
        <v>132.40900000000002</v>
      </c>
      <c r="E73" s="2886">
        <v>65995</v>
      </c>
      <c r="F73" s="2886">
        <v>0</v>
      </c>
      <c r="G73" s="2886">
        <v>33682</v>
      </c>
    </row>
    <row r="74" spans="1:7">
      <c r="A74" t="s">
        <v>5773</v>
      </c>
      <c r="B74" s="1417" t="s">
        <v>1646</v>
      </c>
      <c r="C74" t="s">
        <v>2686</v>
      </c>
      <c r="D74" s="2885">
        <v>194.434</v>
      </c>
      <c r="E74" s="2886">
        <v>15476</v>
      </c>
      <c r="F74" s="2886">
        <v>0</v>
      </c>
      <c r="G74" s="2886">
        <v>15206</v>
      </c>
    </row>
    <row r="75" spans="1:7">
      <c r="A75" t="s">
        <v>6673</v>
      </c>
      <c r="B75" s="1417" t="s">
        <v>1647</v>
      </c>
      <c r="C75" t="s">
        <v>2687</v>
      </c>
      <c r="D75" s="2885">
        <v>124.13800000000001</v>
      </c>
      <c r="E75" s="2886">
        <v>0</v>
      </c>
      <c r="F75" s="2886">
        <v>0</v>
      </c>
      <c r="G75" s="2886">
        <v>0</v>
      </c>
    </row>
    <row r="76" spans="1:7">
      <c r="A76" t="s">
        <v>4237</v>
      </c>
      <c r="B76" s="1417" t="s">
        <v>885</v>
      </c>
      <c r="C76" t="s">
        <v>2666</v>
      </c>
      <c r="D76" s="2885">
        <v>741.6310000000002</v>
      </c>
      <c r="E76" s="2886">
        <v>0</v>
      </c>
      <c r="F76" s="2886">
        <v>0</v>
      </c>
      <c r="G76" s="2886">
        <v>0</v>
      </c>
    </row>
    <row r="77" spans="1:7">
      <c r="A77" t="s">
        <v>3407</v>
      </c>
      <c r="B77" s="1417" t="s">
        <v>710</v>
      </c>
      <c r="C77" t="s">
        <v>2379</v>
      </c>
      <c r="D77" s="2885">
        <v>863.40300000000002</v>
      </c>
      <c r="E77" s="2886">
        <v>329237</v>
      </c>
      <c r="F77" s="2886">
        <v>304213</v>
      </c>
      <c r="G77" s="2886">
        <v>0</v>
      </c>
    </row>
    <row r="78" spans="1:7">
      <c r="A78" t="s">
        <v>3408</v>
      </c>
      <c r="B78" s="1417" t="s">
        <v>2136</v>
      </c>
      <c r="C78" t="s">
        <v>2067</v>
      </c>
      <c r="D78" s="2885">
        <v>442.154</v>
      </c>
      <c r="E78" s="2886">
        <v>23426</v>
      </c>
      <c r="F78" s="2886">
        <v>23879</v>
      </c>
      <c r="G78" s="2886">
        <v>0</v>
      </c>
    </row>
    <row r="79" spans="1:7">
      <c r="A79" t="s">
        <v>3409</v>
      </c>
      <c r="B79" s="1417" t="s">
        <v>2638</v>
      </c>
      <c r="C79" t="s">
        <v>1398</v>
      </c>
      <c r="D79" s="2885">
        <v>1238.3579999999999</v>
      </c>
      <c r="E79" s="2886">
        <v>873585</v>
      </c>
      <c r="F79" s="2886">
        <v>272505</v>
      </c>
      <c r="G79" s="2886">
        <v>507814</v>
      </c>
    </row>
    <row r="80" spans="1:7">
      <c r="A80" t="s">
        <v>5774</v>
      </c>
      <c r="B80" s="1417" t="s">
        <v>1096</v>
      </c>
      <c r="C80" t="s">
        <v>1399</v>
      </c>
      <c r="D80" s="2885">
        <v>1043.721</v>
      </c>
      <c r="E80" s="2886">
        <v>224558</v>
      </c>
      <c r="F80" s="2886">
        <v>0</v>
      </c>
      <c r="G80" s="2886">
        <v>218746</v>
      </c>
    </row>
    <row r="81" spans="1:7">
      <c r="A81" t="s">
        <v>5775</v>
      </c>
      <c r="B81" s="1417" t="s">
        <v>1097</v>
      </c>
      <c r="C81" t="s">
        <v>1400</v>
      </c>
      <c r="D81" s="2885">
        <v>6423.5370000000003</v>
      </c>
      <c r="E81" s="2886">
        <v>4845323</v>
      </c>
      <c r="F81" s="2886">
        <v>735819</v>
      </c>
      <c r="G81" s="2886">
        <v>3120973</v>
      </c>
    </row>
    <row r="82" spans="1:7">
      <c r="A82" t="s">
        <v>5776</v>
      </c>
      <c r="B82" s="1417" t="s">
        <v>1124</v>
      </c>
      <c r="C82" t="s">
        <v>2486</v>
      </c>
      <c r="D82" s="2885">
        <v>2285.232</v>
      </c>
      <c r="E82" s="2886">
        <v>1009505</v>
      </c>
      <c r="F82" s="2886">
        <v>381493</v>
      </c>
      <c r="G82" s="2886">
        <v>269908</v>
      </c>
    </row>
    <row r="83" spans="1:7">
      <c r="A83" t="s">
        <v>3410</v>
      </c>
      <c r="B83" s="1417" t="s">
        <v>2137</v>
      </c>
      <c r="C83" t="s">
        <v>266</v>
      </c>
      <c r="D83" s="2885">
        <v>457.6110000000001</v>
      </c>
      <c r="E83" s="2886">
        <v>78883</v>
      </c>
      <c r="F83" s="2886">
        <v>76273</v>
      </c>
      <c r="G83" s="2886">
        <v>0</v>
      </c>
    </row>
    <row r="84" spans="1:7">
      <c r="A84" t="s">
        <v>3411</v>
      </c>
      <c r="B84" s="1417" t="s">
        <v>984</v>
      </c>
      <c r="C84" t="s">
        <v>289</v>
      </c>
      <c r="D84" s="2885">
        <v>127.756</v>
      </c>
      <c r="E84" s="2886">
        <v>11112</v>
      </c>
      <c r="F84" s="2886">
        <v>9405</v>
      </c>
      <c r="G84" s="2886">
        <v>0</v>
      </c>
    </row>
    <row r="85" spans="1:7">
      <c r="A85" t="s">
        <v>5777</v>
      </c>
      <c r="B85" s="1417" t="s">
        <v>842</v>
      </c>
      <c r="C85" t="s">
        <v>2487</v>
      </c>
      <c r="D85" s="2885">
        <v>492.17700000000002</v>
      </c>
      <c r="E85" s="2886">
        <v>287179</v>
      </c>
      <c r="F85" s="2886">
        <v>0</v>
      </c>
      <c r="G85" s="2886">
        <v>329162</v>
      </c>
    </row>
    <row r="86" spans="1:7">
      <c r="A86" t="s">
        <v>5778</v>
      </c>
      <c r="B86" s="1417" t="s">
        <v>1125</v>
      </c>
      <c r="C86" t="s">
        <v>2488</v>
      </c>
      <c r="D86" s="2885">
        <v>1994.7339999999999</v>
      </c>
      <c r="E86" s="2886">
        <v>3030356</v>
      </c>
      <c r="F86" s="2886">
        <v>0</v>
      </c>
      <c r="G86" s="2886">
        <v>2024655</v>
      </c>
    </row>
    <row r="87" spans="1:7">
      <c r="A87" t="s">
        <v>6674</v>
      </c>
      <c r="B87" s="1417" t="s">
        <v>1126</v>
      </c>
      <c r="C87" t="s">
        <v>2381</v>
      </c>
      <c r="D87" s="2885">
        <v>74.555999999999997</v>
      </c>
      <c r="E87" s="2886">
        <v>0</v>
      </c>
      <c r="F87" s="2886">
        <v>0</v>
      </c>
      <c r="G87" s="2886">
        <v>0</v>
      </c>
    </row>
    <row r="88" spans="1:7">
      <c r="A88" t="s">
        <v>6675</v>
      </c>
      <c r="B88" s="1417" t="s">
        <v>843</v>
      </c>
      <c r="C88" t="s">
        <v>2489</v>
      </c>
      <c r="D88" s="2885">
        <v>94.918000000000006</v>
      </c>
      <c r="E88" s="2886">
        <v>0</v>
      </c>
      <c r="F88" s="2886">
        <v>0</v>
      </c>
      <c r="G88" s="2886">
        <v>0</v>
      </c>
    </row>
    <row r="89" spans="1:7">
      <c r="A89" t="s">
        <v>3412</v>
      </c>
      <c r="B89" s="1417" t="s">
        <v>179</v>
      </c>
      <c r="C89" t="s">
        <v>1052</v>
      </c>
      <c r="D89" s="2885">
        <v>22189.092000000001</v>
      </c>
      <c r="E89" s="2886">
        <v>29844535</v>
      </c>
      <c r="F89" s="2886">
        <v>4594308</v>
      </c>
      <c r="G89" s="2886">
        <v>14647726</v>
      </c>
    </row>
    <row r="90" spans="1:7">
      <c r="A90" t="s">
        <v>5779</v>
      </c>
      <c r="B90" s="1417" t="s">
        <v>919</v>
      </c>
      <c r="C90" t="s">
        <v>2490</v>
      </c>
      <c r="D90" s="2885">
        <v>6349.6319999999996</v>
      </c>
      <c r="E90" s="2886">
        <v>10055868</v>
      </c>
      <c r="F90" s="2886">
        <v>0</v>
      </c>
      <c r="G90" s="2886">
        <v>6444876</v>
      </c>
    </row>
    <row r="91" spans="1:7">
      <c r="A91" t="s">
        <v>3413</v>
      </c>
      <c r="B91" s="1417" t="s">
        <v>711</v>
      </c>
      <c r="C91" t="s">
        <v>2662</v>
      </c>
      <c r="D91" s="2885">
        <v>742.26100000000019</v>
      </c>
      <c r="E91" s="2886">
        <v>206350</v>
      </c>
      <c r="F91" s="2886">
        <v>164948</v>
      </c>
      <c r="G91" s="2886">
        <v>32665</v>
      </c>
    </row>
    <row r="92" spans="1:7">
      <c r="A92" t="s">
        <v>5780</v>
      </c>
      <c r="B92" s="1417" t="s">
        <v>1157</v>
      </c>
      <c r="C92" t="s">
        <v>2491</v>
      </c>
      <c r="D92" s="2885">
        <v>11460.462</v>
      </c>
      <c r="E92" s="2886">
        <v>17842850</v>
      </c>
      <c r="F92" s="2886">
        <v>0</v>
      </c>
      <c r="G92" s="2886">
        <v>8511887</v>
      </c>
    </row>
    <row r="93" spans="1:7">
      <c r="A93" t="s">
        <v>5781</v>
      </c>
      <c r="B93" s="1417" t="s">
        <v>1158</v>
      </c>
      <c r="C93" t="s">
        <v>2492</v>
      </c>
      <c r="D93" s="2885">
        <v>1915.9849999999999</v>
      </c>
      <c r="E93" s="2886">
        <v>3577575</v>
      </c>
      <c r="F93" s="2886">
        <v>0</v>
      </c>
      <c r="G93" s="2886">
        <v>1104023</v>
      </c>
    </row>
    <row r="94" spans="1:7">
      <c r="A94" t="s">
        <v>3414</v>
      </c>
      <c r="B94" s="1417" t="s">
        <v>1435</v>
      </c>
      <c r="C94" t="s">
        <v>1548</v>
      </c>
      <c r="D94" s="2885">
        <v>2918.2160000000008</v>
      </c>
      <c r="E94" s="2886">
        <v>2612984</v>
      </c>
      <c r="F94" s="2886">
        <v>315848</v>
      </c>
      <c r="G94" s="2886">
        <v>2013166</v>
      </c>
    </row>
    <row r="95" spans="1:7">
      <c r="A95" t="s">
        <v>3415</v>
      </c>
      <c r="B95" s="1417" t="s">
        <v>207</v>
      </c>
      <c r="C95" t="s">
        <v>273</v>
      </c>
      <c r="D95" s="2885">
        <v>20596.228999999999</v>
      </c>
      <c r="E95" s="2886">
        <v>26146661</v>
      </c>
      <c r="F95" s="2886">
        <v>658707</v>
      </c>
      <c r="G95" s="2886">
        <v>18371068</v>
      </c>
    </row>
    <row r="96" spans="1:7">
      <c r="A96" t="s">
        <v>3416</v>
      </c>
      <c r="B96" s="1417" t="s">
        <v>1159</v>
      </c>
      <c r="C96" t="s">
        <v>2493</v>
      </c>
      <c r="D96" s="2885">
        <v>164.17700000000005</v>
      </c>
      <c r="E96" s="2886">
        <v>0</v>
      </c>
      <c r="F96" s="2886">
        <v>0</v>
      </c>
      <c r="G96" s="2886">
        <v>0</v>
      </c>
    </row>
    <row r="97" spans="1:7">
      <c r="A97" t="s">
        <v>3417</v>
      </c>
      <c r="B97" s="1417" t="s">
        <v>578</v>
      </c>
      <c r="C97" t="s">
        <v>1169</v>
      </c>
      <c r="D97" s="2885">
        <v>12419.339</v>
      </c>
      <c r="E97" s="2886">
        <v>30049606</v>
      </c>
      <c r="F97" s="2886">
        <v>1632000</v>
      </c>
      <c r="G97" s="2886">
        <v>12605629</v>
      </c>
    </row>
    <row r="98" spans="1:7">
      <c r="A98" t="s">
        <v>3418</v>
      </c>
      <c r="B98" s="1417" t="s">
        <v>882</v>
      </c>
      <c r="C98" t="s">
        <v>2636</v>
      </c>
      <c r="D98" s="2885">
        <v>15150.022999999999</v>
      </c>
      <c r="E98" s="2886">
        <v>21044435</v>
      </c>
      <c r="F98" s="2886">
        <v>1494738</v>
      </c>
      <c r="G98" s="2886">
        <v>11113157</v>
      </c>
    </row>
    <row r="99" spans="1:7">
      <c r="A99" t="s">
        <v>6676</v>
      </c>
      <c r="B99" s="1417" t="s">
        <v>2549</v>
      </c>
      <c r="C99" t="s">
        <v>2494</v>
      </c>
      <c r="D99" s="2885">
        <v>94.957000000000022</v>
      </c>
      <c r="E99" s="2886">
        <v>0</v>
      </c>
      <c r="F99" s="2886">
        <v>0</v>
      </c>
      <c r="G99" s="2886">
        <v>0</v>
      </c>
    </row>
    <row r="100" spans="1:7">
      <c r="A100" t="s">
        <v>5782</v>
      </c>
      <c r="B100" s="1417" t="s">
        <v>400</v>
      </c>
      <c r="C100" t="s">
        <v>2495</v>
      </c>
      <c r="D100" s="2885">
        <v>1040.893</v>
      </c>
      <c r="E100" s="2886">
        <v>351946</v>
      </c>
      <c r="F100" s="2886">
        <v>0</v>
      </c>
      <c r="G100" s="2886">
        <v>323675</v>
      </c>
    </row>
    <row r="101" spans="1:7">
      <c r="A101" t="s">
        <v>6677</v>
      </c>
      <c r="B101" s="1417" t="s">
        <v>401</v>
      </c>
      <c r="C101" t="s">
        <v>1589</v>
      </c>
      <c r="D101" s="2885">
        <v>59.712000000000003</v>
      </c>
      <c r="E101" s="2886">
        <v>0</v>
      </c>
      <c r="F101" s="2886">
        <v>0</v>
      </c>
      <c r="G101" s="2886">
        <v>0</v>
      </c>
    </row>
    <row r="102" spans="1:7">
      <c r="A102" t="s">
        <v>6678</v>
      </c>
      <c r="B102" s="1417" t="s">
        <v>402</v>
      </c>
      <c r="C102" t="s">
        <v>1590</v>
      </c>
      <c r="D102" s="2885">
        <v>16.692</v>
      </c>
      <c r="E102" s="2886">
        <v>0</v>
      </c>
      <c r="F102" s="2886">
        <v>0</v>
      </c>
      <c r="G102" s="2886">
        <v>0</v>
      </c>
    </row>
    <row r="103" spans="1:7">
      <c r="A103" t="s">
        <v>6679</v>
      </c>
      <c r="B103" s="1417" t="s">
        <v>403</v>
      </c>
      <c r="C103" t="s">
        <v>1591</v>
      </c>
      <c r="D103" s="2885">
        <v>184.63800000000001</v>
      </c>
      <c r="E103" s="2886">
        <v>1093584</v>
      </c>
      <c r="F103" s="2886">
        <v>0</v>
      </c>
      <c r="G103" s="2886">
        <v>0</v>
      </c>
    </row>
    <row r="104" spans="1:7">
      <c r="A104" t="s">
        <v>5783</v>
      </c>
      <c r="B104" s="1417" t="s">
        <v>669</v>
      </c>
      <c r="C104" t="s">
        <v>1592</v>
      </c>
      <c r="D104" s="2885">
        <v>1428.6960000000001</v>
      </c>
      <c r="E104" s="2886">
        <v>2371012</v>
      </c>
      <c r="F104" s="2886">
        <v>0</v>
      </c>
      <c r="G104" s="2886">
        <v>1450126</v>
      </c>
    </row>
    <row r="105" spans="1:7">
      <c r="A105" t="s">
        <v>5784</v>
      </c>
      <c r="B105" s="1417" t="s">
        <v>670</v>
      </c>
      <c r="C105" t="s">
        <v>1593</v>
      </c>
      <c r="D105" s="2885">
        <v>901.476</v>
      </c>
      <c r="E105" s="2886">
        <v>565902</v>
      </c>
      <c r="F105" s="2886">
        <v>0</v>
      </c>
      <c r="G105" s="2886">
        <v>524098</v>
      </c>
    </row>
    <row r="106" spans="1:7">
      <c r="A106" t="s">
        <v>5785</v>
      </c>
      <c r="B106" s="1417" t="s">
        <v>671</v>
      </c>
      <c r="C106" t="s">
        <v>1594</v>
      </c>
      <c r="D106" s="2885">
        <v>3389.288</v>
      </c>
      <c r="E106" s="2886">
        <v>2285760</v>
      </c>
      <c r="F106" s="2886">
        <v>0</v>
      </c>
      <c r="G106" s="2886">
        <v>2304775</v>
      </c>
    </row>
    <row r="107" spans="1:7">
      <c r="A107" t="s">
        <v>3419</v>
      </c>
      <c r="B107" s="1417" t="s">
        <v>876</v>
      </c>
      <c r="C107" t="s">
        <v>1343</v>
      </c>
      <c r="D107" s="2885">
        <v>168.72800000000001</v>
      </c>
      <c r="E107" s="2886">
        <v>15281</v>
      </c>
      <c r="F107" s="2886">
        <v>30436</v>
      </c>
      <c r="G107" s="2886">
        <v>0</v>
      </c>
    </row>
    <row r="108" spans="1:7">
      <c r="A108" t="s">
        <v>3420</v>
      </c>
      <c r="B108" s="1417" t="s">
        <v>2528</v>
      </c>
      <c r="C108" t="s">
        <v>2068</v>
      </c>
      <c r="D108" s="2885">
        <v>274.74400000000003</v>
      </c>
      <c r="E108" s="2886">
        <v>415863</v>
      </c>
      <c r="F108" s="2886">
        <v>92069</v>
      </c>
      <c r="G108" s="2886">
        <v>215059</v>
      </c>
    </row>
    <row r="109" spans="1:7">
      <c r="A109" t="s">
        <v>3421</v>
      </c>
      <c r="B109" s="1417" t="s">
        <v>1187</v>
      </c>
      <c r="C109" t="s">
        <v>2675</v>
      </c>
      <c r="D109" s="2885">
        <v>199.47500000000005</v>
      </c>
      <c r="E109" s="2886">
        <v>130870</v>
      </c>
      <c r="F109" s="2886">
        <v>72989</v>
      </c>
      <c r="G109" s="2886">
        <v>43541</v>
      </c>
    </row>
    <row r="110" spans="1:7">
      <c r="A110" t="s">
        <v>3422</v>
      </c>
      <c r="B110" s="1417" t="s">
        <v>712</v>
      </c>
      <c r="C110" t="s">
        <v>2416</v>
      </c>
      <c r="D110" s="2885">
        <v>132.684</v>
      </c>
      <c r="E110" s="2886">
        <v>73852</v>
      </c>
      <c r="F110" s="2886">
        <v>69009</v>
      </c>
      <c r="G110" s="2886">
        <v>0</v>
      </c>
    </row>
    <row r="111" spans="1:7">
      <c r="A111" t="s">
        <v>3423</v>
      </c>
      <c r="B111" s="1417" t="s">
        <v>769</v>
      </c>
      <c r="C111" t="s">
        <v>1063</v>
      </c>
      <c r="D111" s="2885">
        <v>1117.6500000000001</v>
      </c>
      <c r="E111" s="2886">
        <v>642627</v>
      </c>
      <c r="F111" s="2886">
        <v>449921</v>
      </c>
      <c r="G111" s="2886">
        <v>530579</v>
      </c>
    </row>
    <row r="112" spans="1:7">
      <c r="A112" t="s">
        <v>5786</v>
      </c>
      <c r="B112" s="1417" t="s">
        <v>672</v>
      </c>
      <c r="C112" t="s">
        <v>1595</v>
      </c>
      <c r="D112" s="2885">
        <v>1651.912</v>
      </c>
      <c r="E112" s="2886">
        <v>674321</v>
      </c>
      <c r="F112" s="2886">
        <v>0</v>
      </c>
      <c r="G112" s="2886">
        <v>436107</v>
      </c>
    </row>
    <row r="113" spans="1:7">
      <c r="A113" t="s">
        <v>5787</v>
      </c>
      <c r="B113" s="1417" t="s">
        <v>673</v>
      </c>
      <c r="C113" t="s">
        <v>1596</v>
      </c>
      <c r="D113" s="2885">
        <v>416.9860000000001</v>
      </c>
      <c r="E113" s="2886">
        <v>765048</v>
      </c>
      <c r="F113" s="2886">
        <v>0</v>
      </c>
      <c r="G113" s="2886">
        <v>144821</v>
      </c>
    </row>
    <row r="114" spans="1:7">
      <c r="A114" t="s">
        <v>3424</v>
      </c>
      <c r="B114" s="1417" t="s">
        <v>674</v>
      </c>
      <c r="C114" t="s">
        <v>1597</v>
      </c>
      <c r="D114" s="2885">
        <v>455.2240000000001</v>
      </c>
      <c r="E114" s="2886">
        <v>440854</v>
      </c>
      <c r="F114" s="2886">
        <v>110365</v>
      </c>
      <c r="G114" s="2886">
        <v>421360</v>
      </c>
    </row>
    <row r="115" spans="1:7">
      <c r="A115" t="s">
        <v>3425</v>
      </c>
      <c r="B115" s="1417" t="s">
        <v>1885</v>
      </c>
      <c r="C115" t="s">
        <v>133</v>
      </c>
      <c r="D115" s="2885">
        <v>2897.2469999999998</v>
      </c>
      <c r="E115" s="2886">
        <v>5512252</v>
      </c>
      <c r="F115" s="2886">
        <v>487418</v>
      </c>
      <c r="G115" s="2886">
        <v>2015047</v>
      </c>
    </row>
    <row r="116" spans="1:7">
      <c r="A116" t="s">
        <v>4299</v>
      </c>
      <c r="B116" s="1417" t="s">
        <v>348</v>
      </c>
      <c r="C116" t="s">
        <v>291</v>
      </c>
      <c r="D116" s="2885">
        <v>3926.9389999999999</v>
      </c>
      <c r="E116" s="2886">
        <v>7415572</v>
      </c>
      <c r="F116" s="2886">
        <v>0</v>
      </c>
      <c r="G116" s="2886">
        <v>3214597</v>
      </c>
    </row>
    <row r="117" spans="1:7">
      <c r="A117" t="s">
        <v>3426</v>
      </c>
      <c r="B117" s="1417" t="s">
        <v>456</v>
      </c>
      <c r="C117" t="s">
        <v>2227</v>
      </c>
      <c r="D117" s="2885">
        <v>5238.59</v>
      </c>
      <c r="E117" s="2886">
        <v>3221405</v>
      </c>
      <c r="F117" s="2886">
        <v>1074169</v>
      </c>
      <c r="G117" s="2886">
        <v>1889845</v>
      </c>
    </row>
    <row r="118" spans="1:7">
      <c r="A118" t="s">
        <v>3427</v>
      </c>
      <c r="B118" s="1417" t="s">
        <v>1154</v>
      </c>
      <c r="C118" t="s">
        <v>838</v>
      </c>
      <c r="D118" s="2885">
        <v>1324.4100000000003</v>
      </c>
      <c r="E118" s="2886">
        <v>339519</v>
      </c>
      <c r="F118" s="2886">
        <v>333250</v>
      </c>
      <c r="G118" s="2886">
        <v>0</v>
      </c>
    </row>
    <row r="119" spans="1:7">
      <c r="A119" t="s">
        <v>6680</v>
      </c>
      <c r="B119" s="1417" t="s">
        <v>2306</v>
      </c>
      <c r="C119" t="s">
        <v>1598</v>
      </c>
      <c r="D119" s="2885">
        <v>180.36600000000001</v>
      </c>
      <c r="E119" s="2886">
        <v>0</v>
      </c>
      <c r="F119" s="2886">
        <v>0</v>
      </c>
      <c r="G119" s="2886">
        <v>0</v>
      </c>
    </row>
    <row r="120" spans="1:7">
      <c r="A120" t="s">
        <v>5788</v>
      </c>
      <c r="B120" s="1417" t="s">
        <v>1359</v>
      </c>
      <c r="C120" t="s">
        <v>1027</v>
      </c>
      <c r="D120" s="2885">
        <v>3676.3850000000002</v>
      </c>
      <c r="E120" s="2886">
        <v>8364593</v>
      </c>
      <c r="F120" s="2886">
        <v>0</v>
      </c>
      <c r="G120" s="2886">
        <v>3020733</v>
      </c>
    </row>
    <row r="121" spans="1:7">
      <c r="A121" t="s">
        <v>6681</v>
      </c>
      <c r="B121" s="1417" t="s">
        <v>2341</v>
      </c>
      <c r="C121" t="s">
        <v>1600</v>
      </c>
      <c r="D121" s="2885">
        <v>314.62200000000001</v>
      </c>
      <c r="E121" s="2886">
        <v>0</v>
      </c>
      <c r="F121" s="2886">
        <v>0</v>
      </c>
      <c r="G121" s="2886">
        <v>86764</v>
      </c>
    </row>
    <row r="122" spans="1:7">
      <c r="A122" t="s">
        <v>3428</v>
      </c>
      <c r="B122" s="1417" t="s">
        <v>713</v>
      </c>
      <c r="C122" t="s">
        <v>31</v>
      </c>
      <c r="D122" s="2885">
        <v>1364.1420000000001</v>
      </c>
      <c r="E122" s="2886">
        <v>1820893</v>
      </c>
      <c r="F122" s="2886">
        <v>717277</v>
      </c>
      <c r="G122" s="2886">
        <v>667048</v>
      </c>
    </row>
    <row r="123" spans="1:7">
      <c r="A123" t="s">
        <v>3429</v>
      </c>
      <c r="B123" s="1417" t="s">
        <v>148</v>
      </c>
      <c r="C123" t="s">
        <v>1601</v>
      </c>
      <c r="D123" s="2885">
        <v>281.07400000000001</v>
      </c>
      <c r="E123" s="2886">
        <v>425796</v>
      </c>
      <c r="F123" s="2886">
        <v>94320</v>
      </c>
      <c r="G123" s="2886">
        <v>0</v>
      </c>
    </row>
    <row r="124" spans="1:7">
      <c r="A124" t="s">
        <v>5789</v>
      </c>
      <c r="B124" s="1417" t="s">
        <v>1829</v>
      </c>
      <c r="C124" t="s">
        <v>1602</v>
      </c>
      <c r="D124" s="2885">
        <v>378.58300000000003</v>
      </c>
      <c r="E124" s="2886">
        <v>635050</v>
      </c>
      <c r="F124" s="2886">
        <v>0</v>
      </c>
      <c r="G124" s="2886">
        <v>359512</v>
      </c>
    </row>
    <row r="125" spans="1:7">
      <c r="A125" t="s">
        <v>3430</v>
      </c>
      <c r="B125" s="1417" t="s">
        <v>881</v>
      </c>
      <c r="C125" t="s">
        <v>2635</v>
      </c>
      <c r="D125" s="2885">
        <v>43128.671999999999</v>
      </c>
      <c r="E125" s="2886">
        <v>107373</v>
      </c>
      <c r="F125" s="2886">
        <v>4930613</v>
      </c>
      <c r="G125" s="2886">
        <v>892156</v>
      </c>
    </row>
    <row r="126" spans="1:7">
      <c r="A126" t="s">
        <v>3431</v>
      </c>
      <c r="B126" s="1417" t="s">
        <v>1860</v>
      </c>
      <c r="C126" t="s">
        <v>34</v>
      </c>
      <c r="D126" s="2885">
        <v>17250.363000000001</v>
      </c>
      <c r="E126" s="2886">
        <v>4906577</v>
      </c>
      <c r="F126" s="2886">
        <v>3997959</v>
      </c>
      <c r="G126" s="2886">
        <v>1368003</v>
      </c>
    </row>
    <row r="127" spans="1:7">
      <c r="A127" t="s">
        <v>3432</v>
      </c>
      <c r="B127" s="1417" t="s">
        <v>57</v>
      </c>
      <c r="C127" t="s">
        <v>1881</v>
      </c>
      <c r="D127" s="2885">
        <v>3275.7650000000008</v>
      </c>
      <c r="E127" s="2886">
        <v>510147</v>
      </c>
      <c r="F127" s="2886">
        <v>674061</v>
      </c>
      <c r="G127" s="2886">
        <v>34895</v>
      </c>
    </row>
    <row r="128" spans="1:7">
      <c r="A128" t="s">
        <v>3433</v>
      </c>
      <c r="B128" s="1417" t="s">
        <v>2283</v>
      </c>
      <c r="C128" t="s">
        <v>36</v>
      </c>
      <c r="D128" s="2885">
        <v>10002.002</v>
      </c>
      <c r="E128" s="2886">
        <v>327925</v>
      </c>
      <c r="F128" s="2886">
        <v>1698224</v>
      </c>
      <c r="G128" s="2886">
        <v>0</v>
      </c>
    </row>
    <row r="129" spans="1:7">
      <c r="A129" t="s">
        <v>5790</v>
      </c>
      <c r="B129" s="1417" t="s">
        <v>1679</v>
      </c>
      <c r="C129" t="s">
        <v>1603</v>
      </c>
      <c r="D129" s="2885">
        <v>2295.1089999999999</v>
      </c>
      <c r="E129" s="2886">
        <v>2754181</v>
      </c>
      <c r="F129" s="2886">
        <v>0</v>
      </c>
      <c r="G129" s="2886">
        <v>799164</v>
      </c>
    </row>
    <row r="130" spans="1:7">
      <c r="A130" t="s">
        <v>3434</v>
      </c>
      <c r="B130" s="1417" t="s">
        <v>714</v>
      </c>
      <c r="C130" t="s">
        <v>2694</v>
      </c>
      <c r="D130" s="2885">
        <v>1832.3979999999999</v>
      </c>
      <c r="E130" s="2886">
        <v>774935</v>
      </c>
      <c r="F130" s="2886">
        <v>728266</v>
      </c>
      <c r="G130" s="2886">
        <v>232551</v>
      </c>
    </row>
    <row r="131" spans="1:7">
      <c r="A131" t="s">
        <v>3435</v>
      </c>
      <c r="B131" s="1417" t="s">
        <v>1315</v>
      </c>
      <c r="C131" t="s">
        <v>39</v>
      </c>
      <c r="D131" s="2885">
        <v>9742.6570000000011</v>
      </c>
      <c r="E131" s="2886">
        <v>1250737</v>
      </c>
      <c r="F131" s="2886">
        <v>1410377</v>
      </c>
      <c r="G131" s="2886">
        <v>245552</v>
      </c>
    </row>
    <row r="132" spans="1:7">
      <c r="A132" t="s">
        <v>3436</v>
      </c>
      <c r="B132" s="1417" t="s">
        <v>715</v>
      </c>
      <c r="C132" t="s">
        <v>86</v>
      </c>
      <c r="D132" s="2885">
        <v>634.65800000000002</v>
      </c>
      <c r="E132" s="2886">
        <v>152969</v>
      </c>
      <c r="F132" s="2886">
        <v>75672</v>
      </c>
      <c r="G132" s="2886">
        <v>0</v>
      </c>
    </row>
    <row r="133" spans="1:7">
      <c r="A133" t="s">
        <v>3437</v>
      </c>
      <c r="B133" s="1417" t="s">
        <v>492</v>
      </c>
      <c r="C133" t="s">
        <v>87</v>
      </c>
      <c r="D133" s="2885">
        <v>1038.749</v>
      </c>
      <c r="E133" s="2886">
        <v>217315</v>
      </c>
      <c r="F133" s="2886">
        <v>231666</v>
      </c>
      <c r="G133" s="2886">
        <v>0</v>
      </c>
    </row>
    <row r="134" spans="1:7">
      <c r="A134" t="s">
        <v>8674</v>
      </c>
      <c r="B134" s="1417" t="s">
        <v>2343</v>
      </c>
      <c r="C134" t="s">
        <v>8675</v>
      </c>
      <c r="D134" s="2885">
        <v>3702.1290000000008</v>
      </c>
      <c r="E134" s="2886">
        <v>0</v>
      </c>
      <c r="F134" s="2886">
        <v>0</v>
      </c>
      <c r="G134" s="2886">
        <v>0</v>
      </c>
    </row>
    <row r="135" spans="1:7">
      <c r="A135" t="s">
        <v>5791</v>
      </c>
      <c r="B135" s="1417" t="s">
        <v>933</v>
      </c>
      <c r="C135" t="s">
        <v>1604</v>
      </c>
      <c r="D135" s="2885">
        <v>2272.4010000000003</v>
      </c>
      <c r="E135" s="2886">
        <v>1363238</v>
      </c>
      <c r="F135" s="2886">
        <v>250881</v>
      </c>
      <c r="G135" s="2886">
        <v>525608</v>
      </c>
    </row>
    <row r="136" spans="1:7">
      <c r="A136" t="s">
        <v>5792</v>
      </c>
      <c r="B136" s="1417" t="s">
        <v>934</v>
      </c>
      <c r="C136" t="s">
        <v>1605</v>
      </c>
      <c r="D136" s="2885">
        <v>135.011</v>
      </c>
      <c r="E136" s="2886">
        <v>889401</v>
      </c>
      <c r="F136" s="2886">
        <v>0</v>
      </c>
      <c r="G136" s="2886">
        <v>104634</v>
      </c>
    </row>
    <row r="137" spans="1:7">
      <c r="A137" t="s">
        <v>5793</v>
      </c>
      <c r="B137" s="1417" t="s">
        <v>776</v>
      </c>
      <c r="C137" t="s">
        <v>2169</v>
      </c>
      <c r="D137" s="2885">
        <v>647.19500000000005</v>
      </c>
      <c r="E137" s="2886">
        <v>3511426</v>
      </c>
      <c r="F137" s="2886">
        <v>0</v>
      </c>
      <c r="G137" s="2886">
        <v>656903</v>
      </c>
    </row>
    <row r="138" spans="1:7">
      <c r="A138" t="s">
        <v>5794</v>
      </c>
      <c r="B138" s="1417" t="s">
        <v>1806</v>
      </c>
      <c r="C138" t="s">
        <v>2170</v>
      </c>
      <c r="D138" s="2885">
        <v>341.32600000000002</v>
      </c>
      <c r="E138" s="2886">
        <v>1044924</v>
      </c>
      <c r="F138" s="2886">
        <v>0</v>
      </c>
      <c r="G138" s="2886">
        <v>148566</v>
      </c>
    </row>
    <row r="139" spans="1:7">
      <c r="A139" t="s">
        <v>5795</v>
      </c>
      <c r="B139" s="1417" t="s">
        <v>1725</v>
      </c>
      <c r="C139" t="s">
        <v>2171</v>
      </c>
      <c r="D139" s="2885">
        <v>1561.924</v>
      </c>
      <c r="E139" s="2886">
        <v>513816</v>
      </c>
      <c r="F139" s="2886">
        <v>0</v>
      </c>
      <c r="G139" s="2886">
        <v>868034</v>
      </c>
    </row>
    <row r="140" spans="1:7">
      <c r="A140" t="s">
        <v>6682</v>
      </c>
      <c r="B140" s="1417" t="s">
        <v>1726</v>
      </c>
      <c r="C140" t="s">
        <v>2172</v>
      </c>
      <c r="D140" s="2885">
        <v>124.372</v>
      </c>
      <c r="E140" s="2886">
        <v>0</v>
      </c>
      <c r="F140" s="2886">
        <v>0</v>
      </c>
      <c r="G140" s="2886">
        <v>0</v>
      </c>
    </row>
    <row r="141" spans="1:7">
      <c r="A141" t="s">
        <v>5796</v>
      </c>
      <c r="B141" s="1417" t="s">
        <v>743</v>
      </c>
      <c r="C141" t="s">
        <v>2173</v>
      </c>
      <c r="D141" s="2885">
        <v>1162.0710000000001</v>
      </c>
      <c r="E141" s="2886">
        <v>12</v>
      </c>
      <c r="F141" s="2886">
        <v>0</v>
      </c>
      <c r="G141" s="2886">
        <v>80</v>
      </c>
    </row>
    <row r="142" spans="1:7">
      <c r="A142" t="s">
        <v>6683</v>
      </c>
      <c r="B142" s="1417" t="s">
        <v>744</v>
      </c>
      <c r="C142" t="s">
        <v>1028</v>
      </c>
      <c r="D142" s="2885">
        <v>646.42500000000018</v>
      </c>
      <c r="E142" s="2886">
        <v>0</v>
      </c>
      <c r="F142" s="2886">
        <v>0</v>
      </c>
      <c r="G142" s="2886">
        <v>0</v>
      </c>
    </row>
    <row r="143" spans="1:7">
      <c r="A143" t="s">
        <v>4368</v>
      </c>
      <c r="B143" s="1417" t="s">
        <v>1875</v>
      </c>
      <c r="C143" t="s">
        <v>821</v>
      </c>
      <c r="D143" s="2885">
        <v>350.524</v>
      </c>
      <c r="E143" s="2886">
        <v>0</v>
      </c>
      <c r="F143" s="2886">
        <v>0</v>
      </c>
      <c r="G143" s="2886">
        <v>0</v>
      </c>
    </row>
    <row r="144" spans="1:7">
      <c r="A144" t="s">
        <v>5797</v>
      </c>
      <c r="B144" s="1417" t="s">
        <v>745</v>
      </c>
      <c r="C144" t="s">
        <v>1706</v>
      </c>
      <c r="D144" s="2885">
        <v>959.02</v>
      </c>
      <c r="E144" s="2886">
        <v>284137</v>
      </c>
      <c r="F144" s="2886">
        <v>0</v>
      </c>
      <c r="G144" s="2886">
        <v>232466</v>
      </c>
    </row>
    <row r="145" spans="1:7">
      <c r="A145" t="s">
        <v>5798</v>
      </c>
      <c r="B145" s="1417" t="s">
        <v>1952</v>
      </c>
      <c r="C145" t="s">
        <v>1708</v>
      </c>
      <c r="D145" s="2885">
        <v>257.74400000000003</v>
      </c>
      <c r="E145" s="2886">
        <v>41352</v>
      </c>
      <c r="F145" s="2886">
        <v>6371</v>
      </c>
      <c r="G145" s="2886">
        <v>0</v>
      </c>
    </row>
    <row r="146" spans="1:7">
      <c r="A146" t="s">
        <v>5799</v>
      </c>
      <c r="B146" s="1417" t="s">
        <v>1953</v>
      </c>
      <c r="C146" t="s">
        <v>1709</v>
      </c>
      <c r="D146" s="2885">
        <v>1118.201</v>
      </c>
      <c r="E146" s="2886">
        <v>1867794</v>
      </c>
      <c r="F146" s="2886">
        <v>0</v>
      </c>
      <c r="G146" s="2886">
        <v>990740</v>
      </c>
    </row>
    <row r="147" spans="1:7">
      <c r="A147" t="s">
        <v>6684</v>
      </c>
      <c r="B147" s="1417" t="s">
        <v>2431</v>
      </c>
      <c r="C147" t="s">
        <v>1710</v>
      </c>
      <c r="D147" s="2885">
        <v>218.09200000000001</v>
      </c>
      <c r="E147" s="2886">
        <v>0</v>
      </c>
      <c r="F147" s="2886">
        <v>0</v>
      </c>
      <c r="G147" s="2886">
        <v>0</v>
      </c>
    </row>
    <row r="148" spans="1:7">
      <c r="A148" t="s">
        <v>3438</v>
      </c>
      <c r="B148" s="1417" t="s">
        <v>2539</v>
      </c>
      <c r="C148" t="s">
        <v>389</v>
      </c>
      <c r="D148" s="2885">
        <v>220.71600000000001</v>
      </c>
      <c r="E148" s="2886">
        <v>75948</v>
      </c>
      <c r="F148" s="2886">
        <v>0</v>
      </c>
      <c r="G148" s="2886">
        <v>53575</v>
      </c>
    </row>
    <row r="149" spans="1:7">
      <c r="A149" t="s">
        <v>3439</v>
      </c>
      <c r="B149" s="1417" t="s">
        <v>1640</v>
      </c>
      <c r="C149" t="s">
        <v>1055</v>
      </c>
      <c r="D149" s="2885">
        <v>1230.5070000000001</v>
      </c>
      <c r="E149" s="2886">
        <v>1897587</v>
      </c>
      <c r="F149" s="2886">
        <v>664000</v>
      </c>
      <c r="G149" s="2886">
        <v>540055</v>
      </c>
    </row>
    <row r="150" spans="1:7">
      <c r="A150" t="s">
        <v>5800</v>
      </c>
      <c r="B150" s="1417" t="s">
        <v>2432</v>
      </c>
      <c r="C150" t="s">
        <v>1711</v>
      </c>
      <c r="D150" s="2885">
        <v>5007.0039999999999</v>
      </c>
      <c r="E150" s="2886">
        <v>19888862</v>
      </c>
      <c r="F150" s="2886">
        <v>0</v>
      </c>
      <c r="G150" s="2886">
        <v>5082109</v>
      </c>
    </row>
    <row r="151" spans="1:7">
      <c r="A151" t="s">
        <v>3440</v>
      </c>
      <c r="B151" s="1417" t="s">
        <v>285</v>
      </c>
      <c r="C151" t="s">
        <v>2369</v>
      </c>
      <c r="D151" s="2885">
        <v>1388.65</v>
      </c>
      <c r="E151" s="2886">
        <v>349691</v>
      </c>
      <c r="F151" s="2886">
        <v>346819</v>
      </c>
      <c r="G151" s="2886">
        <v>233668</v>
      </c>
    </row>
    <row r="152" spans="1:7">
      <c r="A152" t="s">
        <v>5801</v>
      </c>
      <c r="B152" s="1417" t="s">
        <v>1469</v>
      </c>
      <c r="C152" t="s">
        <v>1499</v>
      </c>
      <c r="D152" s="2885">
        <v>594.68100000000004</v>
      </c>
      <c r="E152" s="2886">
        <v>349000</v>
      </c>
      <c r="F152" s="2886">
        <v>0</v>
      </c>
      <c r="G152" s="2886">
        <v>340261</v>
      </c>
    </row>
    <row r="153" spans="1:7">
      <c r="A153" t="s">
        <v>3441</v>
      </c>
      <c r="B153" s="1417" t="s">
        <v>43</v>
      </c>
      <c r="C153" t="s">
        <v>405</v>
      </c>
      <c r="D153" s="2885">
        <v>4571.1360000000004</v>
      </c>
      <c r="E153" s="2886">
        <v>3499171</v>
      </c>
      <c r="F153" s="2886">
        <v>1205082</v>
      </c>
      <c r="G153" s="2886">
        <v>2185921</v>
      </c>
    </row>
    <row r="154" spans="1:7">
      <c r="A154" t="s">
        <v>3442</v>
      </c>
      <c r="B154" s="1417" t="s">
        <v>1311</v>
      </c>
      <c r="C154" t="s">
        <v>614</v>
      </c>
      <c r="D154" s="2885">
        <v>1986.201</v>
      </c>
      <c r="E154" s="2886">
        <v>405830</v>
      </c>
      <c r="F154" s="2886">
        <v>196135</v>
      </c>
      <c r="G154" s="2886">
        <v>0</v>
      </c>
    </row>
    <row r="155" spans="1:7">
      <c r="A155" t="s">
        <v>4382</v>
      </c>
      <c r="B155" s="1417" t="s">
        <v>2542</v>
      </c>
      <c r="C155" t="s">
        <v>1143</v>
      </c>
      <c r="D155" s="2885">
        <v>504.24900000000002</v>
      </c>
      <c r="E155" s="2886">
        <v>181134</v>
      </c>
      <c r="F155" s="2886">
        <v>42977</v>
      </c>
      <c r="G155" s="2886">
        <v>0</v>
      </c>
    </row>
    <row r="156" spans="1:7">
      <c r="A156" t="s">
        <v>5802</v>
      </c>
      <c r="B156" s="1417" t="s">
        <v>1470</v>
      </c>
      <c r="C156" t="s">
        <v>25</v>
      </c>
      <c r="D156" s="2885">
        <v>262.06100000000004</v>
      </c>
      <c r="E156" s="2886">
        <v>198482</v>
      </c>
      <c r="F156" s="2886">
        <v>0</v>
      </c>
      <c r="G156" s="2886">
        <v>12839</v>
      </c>
    </row>
    <row r="157" spans="1:7">
      <c r="A157" t="s">
        <v>3443</v>
      </c>
      <c r="B157" s="1417" t="s">
        <v>71</v>
      </c>
      <c r="C157" t="s">
        <v>2185</v>
      </c>
      <c r="D157" s="2885">
        <v>1069.366</v>
      </c>
      <c r="E157" s="2886">
        <v>347283</v>
      </c>
      <c r="F157" s="2886">
        <v>273843</v>
      </c>
      <c r="G157" s="2886">
        <v>34257</v>
      </c>
    </row>
    <row r="158" spans="1:7">
      <c r="A158" t="s">
        <v>5803</v>
      </c>
      <c r="B158" s="1417" t="s">
        <v>2167</v>
      </c>
      <c r="C158" t="s">
        <v>1920</v>
      </c>
      <c r="D158" s="2885">
        <v>880.94200000000001</v>
      </c>
      <c r="E158" s="2886">
        <v>816232</v>
      </c>
      <c r="F158" s="2886">
        <v>0</v>
      </c>
      <c r="G158" s="2886">
        <v>823362</v>
      </c>
    </row>
    <row r="159" spans="1:7">
      <c r="A159" t="s">
        <v>3444</v>
      </c>
      <c r="B159" s="1417" t="s">
        <v>716</v>
      </c>
      <c r="C159" t="s">
        <v>3912</v>
      </c>
      <c r="D159" s="2885">
        <v>478.45100000000002</v>
      </c>
      <c r="E159" s="2886">
        <v>271432</v>
      </c>
      <c r="F159" s="2886">
        <v>155235</v>
      </c>
      <c r="G159" s="2886">
        <v>73051</v>
      </c>
    </row>
    <row r="160" spans="1:7">
      <c r="A160" t="s">
        <v>6685</v>
      </c>
      <c r="B160" s="1417" t="s">
        <v>2168</v>
      </c>
      <c r="C160" t="s">
        <v>1921</v>
      </c>
      <c r="D160" s="2885">
        <v>133.899</v>
      </c>
      <c r="E160" s="2886">
        <v>0</v>
      </c>
      <c r="F160" s="2886">
        <v>0</v>
      </c>
      <c r="G160" s="2886">
        <v>0</v>
      </c>
    </row>
    <row r="161" spans="1:7">
      <c r="A161" t="s">
        <v>6686</v>
      </c>
      <c r="B161" s="1417" t="s">
        <v>1670</v>
      </c>
      <c r="C161" t="s">
        <v>1922</v>
      </c>
      <c r="D161" s="2885">
        <v>126.30900000000003</v>
      </c>
      <c r="E161" s="2886">
        <v>773532</v>
      </c>
      <c r="F161" s="2886">
        <v>0</v>
      </c>
      <c r="G161" s="2886">
        <v>0</v>
      </c>
    </row>
    <row r="162" spans="1:7">
      <c r="A162" t="s">
        <v>6687</v>
      </c>
      <c r="B162" s="1417" t="s">
        <v>1671</v>
      </c>
      <c r="C162" t="s">
        <v>2154</v>
      </c>
      <c r="D162" s="2885">
        <v>379.9620000000001</v>
      </c>
      <c r="E162" s="2886">
        <v>0</v>
      </c>
      <c r="F162" s="2886">
        <v>0</v>
      </c>
      <c r="G162" s="2886">
        <v>0</v>
      </c>
    </row>
    <row r="163" spans="1:7">
      <c r="A163" t="s">
        <v>5804</v>
      </c>
      <c r="B163" s="1417" t="s">
        <v>795</v>
      </c>
      <c r="C163" t="s">
        <v>1029</v>
      </c>
      <c r="D163" s="2885">
        <v>306.44800000000009</v>
      </c>
      <c r="E163" s="2886">
        <v>1232073</v>
      </c>
      <c r="F163" s="2886">
        <v>0</v>
      </c>
      <c r="G163" s="2886">
        <v>114557</v>
      </c>
    </row>
    <row r="164" spans="1:7">
      <c r="A164" t="s">
        <v>6688</v>
      </c>
      <c r="B164" s="1417" t="s">
        <v>796</v>
      </c>
      <c r="C164" t="s">
        <v>2156</v>
      </c>
      <c r="D164" s="2885">
        <v>240.43800000000005</v>
      </c>
      <c r="E164" s="2886">
        <v>0</v>
      </c>
      <c r="F164" s="2886">
        <v>0</v>
      </c>
      <c r="G164" s="2886">
        <v>0</v>
      </c>
    </row>
    <row r="165" spans="1:7">
      <c r="A165" t="s">
        <v>5805</v>
      </c>
      <c r="B165" s="1417" t="s">
        <v>815</v>
      </c>
      <c r="C165" t="s">
        <v>2157</v>
      </c>
      <c r="D165" s="2885">
        <v>266.32600000000002</v>
      </c>
      <c r="E165" s="2886">
        <v>921497</v>
      </c>
      <c r="F165" s="2886">
        <v>0</v>
      </c>
      <c r="G165" s="2886">
        <v>270321</v>
      </c>
    </row>
    <row r="166" spans="1:7">
      <c r="A166" t="s">
        <v>4389</v>
      </c>
      <c r="B166" s="1417" t="s">
        <v>577</v>
      </c>
      <c r="C166" t="s">
        <v>1168</v>
      </c>
      <c r="D166" s="2885">
        <v>813.19900000000018</v>
      </c>
      <c r="E166" s="2886">
        <v>0</v>
      </c>
      <c r="F166" s="2886">
        <v>0</v>
      </c>
      <c r="G166" s="2886">
        <v>0</v>
      </c>
    </row>
    <row r="167" spans="1:7">
      <c r="A167" t="s">
        <v>3445</v>
      </c>
      <c r="B167" s="1417" t="s">
        <v>2368</v>
      </c>
      <c r="C167" t="s">
        <v>84</v>
      </c>
      <c r="D167" s="2885">
        <v>257.27800000000002</v>
      </c>
      <c r="E167" s="2886">
        <v>58951</v>
      </c>
      <c r="F167" s="2886">
        <v>58172</v>
      </c>
      <c r="G167" s="2886">
        <v>0</v>
      </c>
    </row>
    <row r="168" spans="1:7">
      <c r="A168" t="s">
        <v>5806</v>
      </c>
      <c r="B168" s="1417" t="s">
        <v>816</v>
      </c>
      <c r="C168" t="s">
        <v>1030</v>
      </c>
      <c r="D168" s="2885">
        <v>149.059</v>
      </c>
      <c r="E168" s="2886">
        <v>77227</v>
      </c>
      <c r="F168" s="2886">
        <v>47601</v>
      </c>
      <c r="G168" s="2886">
        <v>19591</v>
      </c>
    </row>
    <row r="169" spans="1:7">
      <c r="A169" t="s">
        <v>3446</v>
      </c>
      <c r="B169" s="1417" t="s">
        <v>584</v>
      </c>
      <c r="C169" t="s">
        <v>1957</v>
      </c>
      <c r="D169" s="2885">
        <v>20134.129000000001</v>
      </c>
      <c r="E169" s="2886">
        <v>50356794</v>
      </c>
      <c r="F169" s="2886">
        <v>1385015</v>
      </c>
      <c r="G169" s="2886">
        <v>20436141</v>
      </c>
    </row>
    <row r="170" spans="1:7">
      <c r="A170" t="s">
        <v>3447</v>
      </c>
      <c r="B170" s="1417" t="s">
        <v>1641</v>
      </c>
      <c r="C170" t="s">
        <v>1056</v>
      </c>
      <c r="D170" s="2885">
        <v>3080.931</v>
      </c>
      <c r="E170" s="2886">
        <v>4242235</v>
      </c>
      <c r="F170" s="2886">
        <v>1522035</v>
      </c>
      <c r="G170" s="2886">
        <v>2076567</v>
      </c>
    </row>
    <row r="171" spans="1:7">
      <c r="A171" t="s">
        <v>3448</v>
      </c>
      <c r="B171" s="1417" t="s">
        <v>2502</v>
      </c>
      <c r="C171" t="s">
        <v>658</v>
      </c>
      <c r="D171" s="2885">
        <v>2319.8820000000001</v>
      </c>
      <c r="E171" s="2886">
        <v>5012058</v>
      </c>
      <c r="F171" s="2886">
        <v>238303</v>
      </c>
      <c r="G171" s="2886">
        <v>2354680</v>
      </c>
    </row>
    <row r="172" spans="1:7">
      <c r="A172" t="s">
        <v>3449</v>
      </c>
      <c r="B172" s="1417" t="s">
        <v>1687</v>
      </c>
      <c r="C172" t="s">
        <v>108</v>
      </c>
      <c r="D172" s="2885">
        <v>1511.8019999999999</v>
      </c>
      <c r="E172" s="2886">
        <v>983371</v>
      </c>
      <c r="F172" s="2886">
        <v>127367</v>
      </c>
      <c r="G172" s="2886">
        <v>820295</v>
      </c>
    </row>
    <row r="173" spans="1:7">
      <c r="A173" t="s">
        <v>3450</v>
      </c>
      <c r="B173" s="1417" t="s">
        <v>1425</v>
      </c>
      <c r="C173" t="s">
        <v>1477</v>
      </c>
      <c r="D173" s="2885">
        <v>53852.877999999997</v>
      </c>
      <c r="E173" s="2886">
        <v>128955813</v>
      </c>
      <c r="F173" s="2886">
        <v>701779</v>
      </c>
      <c r="G173" s="2886">
        <v>54660671</v>
      </c>
    </row>
    <row r="174" spans="1:7">
      <c r="A174" t="s">
        <v>3451</v>
      </c>
      <c r="B174" s="1417" t="s">
        <v>2530</v>
      </c>
      <c r="C174" t="s">
        <v>820</v>
      </c>
      <c r="D174" s="2885">
        <v>23486.582999999999</v>
      </c>
      <c r="E174" s="2886">
        <v>56103983</v>
      </c>
      <c r="F174" s="2886">
        <v>635003</v>
      </c>
      <c r="G174" s="2886">
        <v>23838882</v>
      </c>
    </row>
    <row r="175" spans="1:7">
      <c r="A175" t="s">
        <v>3452</v>
      </c>
      <c r="B175" s="1417" t="s">
        <v>649</v>
      </c>
      <c r="C175" t="s">
        <v>2199</v>
      </c>
      <c r="D175" s="2885">
        <v>2495.288</v>
      </c>
      <c r="E175" s="2886">
        <v>4034980</v>
      </c>
      <c r="F175" s="2886">
        <v>770889</v>
      </c>
      <c r="G175" s="2886">
        <v>1367121</v>
      </c>
    </row>
    <row r="176" spans="1:7">
      <c r="A176" t="s">
        <v>5807</v>
      </c>
      <c r="B176" s="1417" t="s">
        <v>650</v>
      </c>
      <c r="C176" t="s">
        <v>2200</v>
      </c>
      <c r="D176" s="2885">
        <v>51306.285000000011</v>
      </c>
      <c r="E176" s="2886">
        <v>119346107</v>
      </c>
      <c r="F176" s="2886">
        <v>0</v>
      </c>
      <c r="G176" s="2886">
        <v>52075879</v>
      </c>
    </row>
    <row r="177" spans="1:7">
      <c r="A177" t="s">
        <v>3453</v>
      </c>
      <c r="B177" s="1417" t="s">
        <v>218</v>
      </c>
      <c r="C177" t="s">
        <v>74</v>
      </c>
      <c r="D177" s="2885">
        <v>3870.7440000000001</v>
      </c>
      <c r="E177" s="2886">
        <v>3406869</v>
      </c>
      <c r="F177" s="2886">
        <v>1370072</v>
      </c>
      <c r="G177" s="2886">
        <v>1851727</v>
      </c>
    </row>
    <row r="178" spans="1:7">
      <c r="A178" t="s">
        <v>3454</v>
      </c>
      <c r="B178" s="1417" t="s">
        <v>1583</v>
      </c>
      <c r="C178" t="s">
        <v>76</v>
      </c>
      <c r="D178" s="2885">
        <v>9703.4580000000005</v>
      </c>
      <c r="E178" s="2886">
        <v>26149953</v>
      </c>
      <c r="F178" s="2886">
        <v>210750</v>
      </c>
      <c r="G178" s="2886">
        <v>9849010</v>
      </c>
    </row>
    <row r="179" spans="1:7">
      <c r="A179" t="s">
        <v>3455</v>
      </c>
      <c r="B179" s="1417" t="s">
        <v>1184</v>
      </c>
      <c r="C179" t="s">
        <v>1132</v>
      </c>
      <c r="D179" s="2885">
        <v>14435.630999999999</v>
      </c>
      <c r="E179" s="2886">
        <v>22860154</v>
      </c>
      <c r="F179" s="2886">
        <v>1829520</v>
      </c>
      <c r="G179" s="2886">
        <v>12173922</v>
      </c>
    </row>
    <row r="180" spans="1:7">
      <c r="A180" t="s">
        <v>3456</v>
      </c>
      <c r="B180" s="1417" t="s">
        <v>878</v>
      </c>
      <c r="C180" t="s">
        <v>1345</v>
      </c>
      <c r="D180" s="2885">
        <v>710.44500000000005</v>
      </c>
      <c r="E180" s="2886">
        <v>676402</v>
      </c>
      <c r="F180" s="2886">
        <v>299434</v>
      </c>
      <c r="G180" s="2886">
        <v>229360</v>
      </c>
    </row>
    <row r="181" spans="1:7">
      <c r="A181" t="s">
        <v>3457</v>
      </c>
      <c r="B181" s="1417" t="s">
        <v>1438</v>
      </c>
      <c r="C181" t="s">
        <v>1551</v>
      </c>
      <c r="D181" s="2885">
        <v>1973.9050000000004</v>
      </c>
      <c r="E181" s="2886">
        <v>3014343</v>
      </c>
      <c r="F181" s="2886">
        <v>536190</v>
      </c>
      <c r="G181" s="2886">
        <v>1385216</v>
      </c>
    </row>
    <row r="182" spans="1:7">
      <c r="A182" t="s">
        <v>5808</v>
      </c>
      <c r="B182" s="1417" t="s">
        <v>253</v>
      </c>
      <c r="C182" t="s">
        <v>2201</v>
      </c>
      <c r="D182" s="2885">
        <v>3938.1110000000008</v>
      </c>
      <c r="E182" s="2886">
        <v>10812424</v>
      </c>
      <c r="F182" s="2886">
        <v>0</v>
      </c>
      <c r="G182" s="2886">
        <v>3997183</v>
      </c>
    </row>
    <row r="183" spans="1:7">
      <c r="A183" t="s">
        <v>6689</v>
      </c>
      <c r="B183" s="1417" t="s">
        <v>254</v>
      </c>
      <c r="C183" t="s">
        <v>2202</v>
      </c>
      <c r="D183" s="2885">
        <v>545.71699999999998</v>
      </c>
      <c r="E183" s="2886">
        <v>0</v>
      </c>
      <c r="F183" s="2886">
        <v>0</v>
      </c>
      <c r="G183" s="2886">
        <v>0</v>
      </c>
    </row>
    <row r="184" spans="1:7">
      <c r="A184" t="s">
        <v>3458</v>
      </c>
      <c r="B184" s="1417" t="s">
        <v>1436</v>
      </c>
      <c r="C184" t="s">
        <v>1549</v>
      </c>
      <c r="D184" s="2885">
        <v>1461.864</v>
      </c>
      <c r="E184" s="2886">
        <v>1187532</v>
      </c>
      <c r="F184" s="2886">
        <v>289660</v>
      </c>
      <c r="G184" s="2886">
        <v>572228</v>
      </c>
    </row>
    <row r="185" spans="1:7">
      <c r="A185" t="s">
        <v>5809</v>
      </c>
      <c r="B185" s="1417" t="s">
        <v>589</v>
      </c>
      <c r="C185" t="s">
        <v>1031</v>
      </c>
      <c r="D185" s="2885">
        <v>1251.8870000000002</v>
      </c>
      <c r="E185" s="2886">
        <v>1440478</v>
      </c>
      <c r="F185" s="2886">
        <v>0</v>
      </c>
      <c r="G185" s="2886">
        <v>834578</v>
      </c>
    </row>
    <row r="186" spans="1:7">
      <c r="A186" t="s">
        <v>5810</v>
      </c>
      <c r="B186" s="1417" t="s">
        <v>27</v>
      </c>
      <c r="C186" t="s">
        <v>2205</v>
      </c>
      <c r="D186" s="2885">
        <v>607.32299999999998</v>
      </c>
      <c r="E186" s="2886">
        <v>810621</v>
      </c>
      <c r="F186" s="2886">
        <v>0</v>
      </c>
      <c r="G186" s="2886">
        <v>530460</v>
      </c>
    </row>
    <row r="187" spans="1:7">
      <c r="A187" t="s">
        <v>3459</v>
      </c>
      <c r="B187" s="1417" t="s">
        <v>28</v>
      </c>
      <c r="C187" t="s">
        <v>2206</v>
      </c>
      <c r="D187" s="2885">
        <v>8068.3650000000016</v>
      </c>
      <c r="E187" s="2886">
        <v>13728278</v>
      </c>
      <c r="F187" s="2886">
        <v>929138</v>
      </c>
      <c r="G187" s="2886">
        <v>8189390</v>
      </c>
    </row>
    <row r="188" spans="1:7">
      <c r="A188" t="s">
        <v>5811</v>
      </c>
      <c r="B188" s="1417" t="s">
        <v>1265</v>
      </c>
      <c r="C188" t="s">
        <v>2207</v>
      </c>
      <c r="D188" s="2885">
        <v>21034.714</v>
      </c>
      <c r="E188" s="2886">
        <v>46681650</v>
      </c>
      <c r="F188" s="2886">
        <v>0</v>
      </c>
      <c r="G188" s="2886">
        <v>21350235</v>
      </c>
    </row>
    <row r="189" spans="1:7">
      <c r="A189" t="s">
        <v>3460</v>
      </c>
      <c r="B189" s="1417" t="s">
        <v>2315</v>
      </c>
      <c r="C189" t="s">
        <v>2208</v>
      </c>
      <c r="D189" s="2885">
        <v>1221.5250000000001</v>
      </c>
      <c r="E189" s="2886">
        <v>236341</v>
      </c>
      <c r="F189" s="2886">
        <v>312761</v>
      </c>
      <c r="G189" s="2886">
        <v>286258</v>
      </c>
    </row>
    <row r="190" spans="1:7">
      <c r="A190" t="s">
        <v>3461</v>
      </c>
      <c r="B190" s="1417" t="s">
        <v>2409</v>
      </c>
      <c r="C190" t="s">
        <v>2665</v>
      </c>
      <c r="D190" s="2885">
        <v>659.62800000000004</v>
      </c>
      <c r="E190" s="2886">
        <v>152934</v>
      </c>
      <c r="F190" s="2886">
        <v>144194</v>
      </c>
      <c r="G190" s="2886">
        <v>171174</v>
      </c>
    </row>
    <row r="191" spans="1:7">
      <c r="A191" t="s">
        <v>3462</v>
      </c>
      <c r="B191" s="1417" t="s">
        <v>2342</v>
      </c>
      <c r="C191" t="s">
        <v>1733</v>
      </c>
      <c r="D191" s="2885">
        <v>145.49200000000005</v>
      </c>
      <c r="E191" s="2886">
        <v>39579</v>
      </c>
      <c r="F191" s="2886">
        <v>30817</v>
      </c>
      <c r="G191" s="2886">
        <v>0</v>
      </c>
    </row>
    <row r="192" spans="1:7">
      <c r="A192" t="s">
        <v>3463</v>
      </c>
      <c r="B192" s="1417" t="s">
        <v>2316</v>
      </c>
      <c r="C192" t="s">
        <v>2209</v>
      </c>
      <c r="D192" s="2885">
        <v>121.354</v>
      </c>
      <c r="E192" s="2886">
        <v>22963</v>
      </c>
      <c r="F192" s="2886">
        <v>17901</v>
      </c>
      <c r="G192" s="2886">
        <v>0</v>
      </c>
    </row>
    <row r="193" spans="1:7">
      <c r="A193" t="s">
        <v>6690</v>
      </c>
      <c r="B193" s="1417" t="s">
        <v>2317</v>
      </c>
      <c r="C193" t="s">
        <v>1032</v>
      </c>
      <c r="D193" s="2885">
        <v>234.85300000000001</v>
      </c>
      <c r="E193" s="2886">
        <v>0</v>
      </c>
      <c r="F193" s="2886">
        <v>0</v>
      </c>
      <c r="G193" s="2886">
        <v>0</v>
      </c>
    </row>
    <row r="194" spans="1:7">
      <c r="A194" t="s">
        <v>5812</v>
      </c>
      <c r="B194" s="1417" t="s">
        <v>300</v>
      </c>
      <c r="C194" t="s">
        <v>2211</v>
      </c>
      <c r="D194" s="2885">
        <v>218.31200000000001</v>
      </c>
      <c r="E194" s="2886">
        <v>192717</v>
      </c>
      <c r="F194" s="2886">
        <v>0</v>
      </c>
      <c r="G194" s="2886">
        <v>144876</v>
      </c>
    </row>
    <row r="195" spans="1:7">
      <c r="A195" t="s">
        <v>3464</v>
      </c>
      <c r="B195" s="1417" t="s">
        <v>1427</v>
      </c>
      <c r="C195" t="s">
        <v>1479</v>
      </c>
      <c r="D195" s="2885">
        <v>2753.1089999999999</v>
      </c>
      <c r="E195" s="2886">
        <v>1076677</v>
      </c>
      <c r="F195" s="2886">
        <v>150972</v>
      </c>
      <c r="G195" s="2886">
        <v>2131183</v>
      </c>
    </row>
    <row r="196" spans="1:7">
      <c r="A196" t="s">
        <v>5813</v>
      </c>
      <c r="B196" s="1417" t="s">
        <v>301</v>
      </c>
      <c r="C196" t="s">
        <v>2212</v>
      </c>
      <c r="D196" s="2885">
        <v>469.6570000000001</v>
      </c>
      <c r="E196" s="2886">
        <v>1260003</v>
      </c>
      <c r="F196" s="2886">
        <v>0</v>
      </c>
      <c r="G196" s="2886">
        <v>465326</v>
      </c>
    </row>
    <row r="197" spans="1:7">
      <c r="A197" t="s">
        <v>3465</v>
      </c>
      <c r="B197" s="1417" t="s">
        <v>2503</v>
      </c>
      <c r="C197" t="s">
        <v>2364</v>
      </c>
      <c r="D197" s="2885">
        <v>734.029</v>
      </c>
      <c r="E197" s="2886">
        <v>603047</v>
      </c>
      <c r="F197" s="2886">
        <v>134147</v>
      </c>
      <c r="G197" s="2886">
        <v>435991</v>
      </c>
    </row>
    <row r="198" spans="1:7">
      <c r="A198" t="s">
        <v>5814</v>
      </c>
      <c r="B198" s="1417" t="s">
        <v>302</v>
      </c>
      <c r="C198" t="s">
        <v>2213</v>
      </c>
      <c r="D198" s="2885">
        <v>1065.3790000000001</v>
      </c>
      <c r="E198" s="2886">
        <v>1202916</v>
      </c>
      <c r="F198" s="2886">
        <v>0</v>
      </c>
      <c r="G198" s="2886">
        <v>744364</v>
      </c>
    </row>
    <row r="199" spans="1:7">
      <c r="A199" t="s">
        <v>3466</v>
      </c>
      <c r="B199" s="1417" t="s">
        <v>303</v>
      </c>
      <c r="C199" t="s">
        <v>2214</v>
      </c>
      <c r="D199" s="2885">
        <v>454.38600000000002</v>
      </c>
      <c r="E199" s="2886">
        <v>362684</v>
      </c>
      <c r="F199" s="2886">
        <v>43739</v>
      </c>
      <c r="G199" s="2886">
        <v>154245</v>
      </c>
    </row>
    <row r="200" spans="1:7">
      <c r="A200" t="s">
        <v>5815</v>
      </c>
      <c r="B200" s="1417" t="s">
        <v>304</v>
      </c>
      <c r="C200" t="s">
        <v>2215</v>
      </c>
      <c r="D200" s="2885">
        <v>478.1810000000001</v>
      </c>
      <c r="E200" s="2886">
        <v>118136</v>
      </c>
      <c r="F200" s="2886">
        <v>0</v>
      </c>
      <c r="G200" s="2886">
        <v>53708</v>
      </c>
    </row>
    <row r="201" spans="1:7">
      <c r="A201" t="s">
        <v>6691</v>
      </c>
      <c r="B201" s="1417" t="s">
        <v>1743</v>
      </c>
      <c r="C201" t="s">
        <v>2216</v>
      </c>
      <c r="D201" s="2885">
        <v>67.641000000000005</v>
      </c>
      <c r="E201" s="2886">
        <v>0</v>
      </c>
      <c r="F201" s="2886">
        <v>0</v>
      </c>
      <c r="G201" s="2886">
        <v>0</v>
      </c>
    </row>
    <row r="202" spans="1:7">
      <c r="A202" t="s">
        <v>6692</v>
      </c>
      <c r="B202" s="1417" t="s">
        <v>1744</v>
      </c>
      <c r="C202" t="s">
        <v>2217</v>
      </c>
      <c r="D202" s="2885">
        <v>71.457999999999998</v>
      </c>
      <c r="E202" s="2886">
        <v>0</v>
      </c>
      <c r="F202" s="2886">
        <v>0</v>
      </c>
      <c r="G202" s="2886">
        <v>0</v>
      </c>
    </row>
    <row r="203" spans="1:7">
      <c r="A203" t="s">
        <v>6693</v>
      </c>
      <c r="B203" s="1417" t="s">
        <v>1316</v>
      </c>
      <c r="C203" t="s">
        <v>2218</v>
      </c>
      <c r="D203" s="2885">
        <v>223.512</v>
      </c>
      <c r="E203" s="2886">
        <v>0</v>
      </c>
      <c r="F203" s="2886">
        <v>0</v>
      </c>
      <c r="G203" s="2886">
        <v>0</v>
      </c>
    </row>
    <row r="204" spans="1:7">
      <c r="A204" t="s">
        <v>5816</v>
      </c>
      <c r="B204" s="1417" t="s">
        <v>1107</v>
      </c>
      <c r="C204" t="s">
        <v>2219</v>
      </c>
      <c r="D204" s="2885">
        <v>2624.3009999999999</v>
      </c>
      <c r="E204" s="2886">
        <v>1003038</v>
      </c>
      <c r="F204" s="2886">
        <v>481299</v>
      </c>
      <c r="G204" s="2886">
        <v>446452</v>
      </c>
    </row>
    <row r="205" spans="1:7">
      <c r="A205" t="s">
        <v>3467</v>
      </c>
      <c r="B205" s="1417" t="s">
        <v>2148</v>
      </c>
      <c r="C205" t="s">
        <v>261</v>
      </c>
      <c r="D205" s="2885">
        <v>147.465</v>
      </c>
      <c r="E205" s="2886">
        <v>35448</v>
      </c>
      <c r="F205" s="2886">
        <v>35229</v>
      </c>
      <c r="G205" s="2886">
        <v>0</v>
      </c>
    </row>
    <row r="206" spans="1:7">
      <c r="A206" t="s">
        <v>5817</v>
      </c>
      <c r="B206" s="1417" t="s">
        <v>1108</v>
      </c>
      <c r="C206" t="s">
        <v>2220</v>
      </c>
      <c r="D206" s="2885">
        <v>261.47000000000003</v>
      </c>
      <c r="E206" s="2886">
        <v>58767</v>
      </c>
      <c r="F206" s="2886">
        <v>0</v>
      </c>
      <c r="G206" s="2886">
        <v>39627</v>
      </c>
    </row>
    <row r="207" spans="1:7">
      <c r="A207" t="s">
        <v>3468</v>
      </c>
      <c r="B207" s="1417" t="s">
        <v>2398</v>
      </c>
      <c r="C207" t="s">
        <v>2573</v>
      </c>
      <c r="D207" s="2885">
        <v>7456.0570000000016</v>
      </c>
      <c r="E207" s="2886">
        <v>2384610</v>
      </c>
      <c r="F207" s="2886">
        <v>376201</v>
      </c>
      <c r="G207" s="2886">
        <v>1899395</v>
      </c>
    </row>
    <row r="208" spans="1:7">
      <c r="A208" t="s">
        <v>6694</v>
      </c>
      <c r="B208" s="1417" t="s">
        <v>1109</v>
      </c>
      <c r="C208" t="s">
        <v>2221</v>
      </c>
      <c r="D208" s="2885">
        <v>194.28700000000001</v>
      </c>
      <c r="E208" s="2886">
        <v>0</v>
      </c>
      <c r="F208" s="2886">
        <v>0</v>
      </c>
      <c r="G208" s="2886">
        <v>0</v>
      </c>
    </row>
    <row r="209" spans="1:7">
      <c r="A209" t="s">
        <v>5818</v>
      </c>
      <c r="B209" s="1417" t="s">
        <v>681</v>
      </c>
      <c r="C209" t="s">
        <v>2222</v>
      </c>
      <c r="D209" s="2885">
        <v>1004.404</v>
      </c>
      <c r="E209" s="2886">
        <v>570310</v>
      </c>
      <c r="F209" s="2886">
        <v>0</v>
      </c>
      <c r="G209" s="2886">
        <v>0</v>
      </c>
    </row>
    <row r="210" spans="1:7">
      <c r="A210" t="s">
        <v>6695</v>
      </c>
      <c r="B210" s="1417" t="s">
        <v>682</v>
      </c>
      <c r="C210" t="s">
        <v>3913</v>
      </c>
      <c r="D210" s="2885">
        <v>719.55700000000002</v>
      </c>
      <c r="E210" s="2886">
        <v>635821</v>
      </c>
      <c r="F210" s="2886">
        <v>0</v>
      </c>
      <c r="G210" s="2886">
        <v>0</v>
      </c>
    </row>
    <row r="211" spans="1:7">
      <c r="A211" t="s">
        <v>6696</v>
      </c>
      <c r="B211" s="1417" t="s">
        <v>683</v>
      </c>
      <c r="C211" t="s">
        <v>1034</v>
      </c>
      <c r="D211" s="2885">
        <v>350.48200000000003</v>
      </c>
      <c r="E211" s="2886">
        <v>306134</v>
      </c>
      <c r="F211" s="2886">
        <v>0</v>
      </c>
      <c r="G211" s="2886">
        <v>0</v>
      </c>
    </row>
    <row r="212" spans="1:7">
      <c r="A212" t="s">
        <v>6697</v>
      </c>
      <c r="B212" s="1417" t="s">
        <v>684</v>
      </c>
      <c r="C212" t="s">
        <v>664</v>
      </c>
      <c r="D212" s="2885">
        <v>251.38300000000001</v>
      </c>
      <c r="E212" s="2886">
        <v>0</v>
      </c>
      <c r="F212" s="2886">
        <v>0</v>
      </c>
      <c r="G212" s="2886">
        <v>0</v>
      </c>
    </row>
    <row r="213" spans="1:7">
      <c r="A213" t="s">
        <v>6698</v>
      </c>
      <c r="B213" s="1417" t="s">
        <v>392</v>
      </c>
      <c r="C213" t="s">
        <v>665</v>
      </c>
      <c r="D213" s="2885">
        <v>487.84400000000011</v>
      </c>
      <c r="E213" s="2886">
        <v>0</v>
      </c>
      <c r="F213" s="2886">
        <v>0</v>
      </c>
      <c r="G213" s="2886">
        <v>0</v>
      </c>
    </row>
    <row r="214" spans="1:7">
      <c r="A214" t="s">
        <v>5819</v>
      </c>
      <c r="B214" s="1417" t="s">
        <v>2559</v>
      </c>
      <c r="C214" t="s">
        <v>122</v>
      </c>
      <c r="D214" s="2885">
        <v>373.041</v>
      </c>
      <c r="E214" s="2886">
        <v>3883700</v>
      </c>
      <c r="F214" s="2886">
        <v>0</v>
      </c>
      <c r="G214" s="2886">
        <v>0</v>
      </c>
    </row>
    <row r="215" spans="1:7">
      <c r="A215" t="s">
        <v>5820</v>
      </c>
      <c r="B215" s="1417" t="s">
        <v>2560</v>
      </c>
      <c r="C215" t="s">
        <v>123</v>
      </c>
      <c r="D215" s="2885">
        <v>1609.8320000000001</v>
      </c>
      <c r="E215" s="2886">
        <v>1001582</v>
      </c>
      <c r="F215" s="2886">
        <v>0</v>
      </c>
      <c r="G215" s="2886">
        <v>882491</v>
      </c>
    </row>
    <row r="216" spans="1:7">
      <c r="A216" t="s">
        <v>6699</v>
      </c>
      <c r="B216" s="1417" t="s">
        <v>2561</v>
      </c>
      <c r="C216" t="s">
        <v>124</v>
      </c>
      <c r="D216" s="2885">
        <v>163.98600000000005</v>
      </c>
      <c r="E216" s="2886">
        <v>141426</v>
      </c>
      <c r="F216" s="2886">
        <v>0</v>
      </c>
      <c r="G216" s="2886">
        <v>0</v>
      </c>
    </row>
    <row r="217" spans="1:7">
      <c r="A217" t="s">
        <v>5821</v>
      </c>
      <c r="B217" s="1417" t="s">
        <v>1642</v>
      </c>
      <c r="C217" t="s">
        <v>125</v>
      </c>
      <c r="D217" s="2885">
        <v>23672.625</v>
      </c>
      <c r="E217" s="2886">
        <v>39246567</v>
      </c>
      <c r="F217" s="2886">
        <v>0</v>
      </c>
      <c r="G217" s="2886">
        <v>24027714</v>
      </c>
    </row>
    <row r="218" spans="1:7">
      <c r="A218" t="s">
        <v>5822</v>
      </c>
      <c r="B218" s="1417" t="s">
        <v>385</v>
      </c>
      <c r="C218" t="s">
        <v>126</v>
      </c>
      <c r="D218" s="2885">
        <v>7414.4320000000016</v>
      </c>
      <c r="E218" s="2886">
        <v>13863579</v>
      </c>
      <c r="F218" s="2886">
        <v>0</v>
      </c>
      <c r="G218" s="2886">
        <v>7525648</v>
      </c>
    </row>
    <row r="219" spans="1:7">
      <c r="A219" t="s">
        <v>5823</v>
      </c>
      <c r="B219" s="1417" t="s">
        <v>386</v>
      </c>
      <c r="C219" t="s">
        <v>127</v>
      </c>
      <c r="D219" s="2885">
        <v>144697.614</v>
      </c>
      <c r="E219" s="2886">
        <v>234357610</v>
      </c>
      <c r="F219" s="2886">
        <v>0</v>
      </c>
      <c r="G219" s="2886">
        <v>130704820</v>
      </c>
    </row>
    <row r="220" spans="1:7">
      <c r="A220" t="s">
        <v>3469</v>
      </c>
      <c r="B220" s="1417" t="s">
        <v>387</v>
      </c>
      <c r="C220" t="s">
        <v>128</v>
      </c>
      <c r="D220" s="2885">
        <v>9136.5510000000013</v>
      </c>
      <c r="E220" s="2886">
        <v>7161959</v>
      </c>
      <c r="F220" s="2886">
        <v>2783767</v>
      </c>
      <c r="G220" s="2886">
        <v>6468691</v>
      </c>
    </row>
    <row r="221" spans="1:7">
      <c r="A221" t="s">
        <v>5824</v>
      </c>
      <c r="B221" s="1417" t="s">
        <v>388</v>
      </c>
      <c r="C221" t="s">
        <v>129</v>
      </c>
      <c r="D221" s="2885">
        <v>11864.207</v>
      </c>
      <c r="E221" s="2886">
        <v>18276259</v>
      </c>
      <c r="F221" s="2886">
        <v>0</v>
      </c>
      <c r="G221" s="2886">
        <v>10117809</v>
      </c>
    </row>
    <row r="222" spans="1:7">
      <c r="A222" t="s">
        <v>3470</v>
      </c>
      <c r="B222" s="1417" t="s">
        <v>2578</v>
      </c>
      <c r="C222" t="s">
        <v>1482</v>
      </c>
      <c r="D222" s="2885">
        <v>53555.408000000003</v>
      </c>
      <c r="E222" s="2886">
        <v>64225428</v>
      </c>
      <c r="F222" s="2886">
        <v>12069999</v>
      </c>
      <c r="G222" s="2886">
        <v>29452705</v>
      </c>
    </row>
    <row r="223" spans="1:7">
      <c r="A223" t="s">
        <v>3471</v>
      </c>
      <c r="B223" s="1417" t="s">
        <v>666</v>
      </c>
      <c r="C223" t="s">
        <v>863</v>
      </c>
      <c r="D223" s="2885">
        <v>26954.53</v>
      </c>
      <c r="E223" s="2886">
        <v>24333200</v>
      </c>
      <c r="F223" s="2886">
        <v>8253206</v>
      </c>
      <c r="G223" s="2886">
        <v>13113598</v>
      </c>
    </row>
    <row r="224" spans="1:7">
      <c r="A224" t="s">
        <v>5825</v>
      </c>
      <c r="B224" s="1417" t="s">
        <v>533</v>
      </c>
      <c r="C224" t="s">
        <v>130</v>
      </c>
      <c r="D224" s="2885">
        <v>6791.5390000000016</v>
      </c>
      <c r="E224" s="2886">
        <v>17253803</v>
      </c>
      <c r="F224" s="2886">
        <v>0</v>
      </c>
      <c r="G224" s="2886">
        <v>2234714</v>
      </c>
    </row>
    <row r="225" spans="1:7">
      <c r="A225" t="s">
        <v>3472</v>
      </c>
      <c r="B225" s="1417" t="s">
        <v>41</v>
      </c>
      <c r="C225" t="s">
        <v>1269</v>
      </c>
      <c r="D225" s="2885">
        <v>32275.385999999999</v>
      </c>
      <c r="E225" s="2886">
        <v>30696556</v>
      </c>
      <c r="F225" s="2886">
        <v>13907523</v>
      </c>
      <c r="G225" s="2886">
        <v>24768046</v>
      </c>
    </row>
    <row r="226" spans="1:7">
      <c r="A226" t="s">
        <v>5826</v>
      </c>
      <c r="B226" s="1417" t="s">
        <v>1790</v>
      </c>
      <c r="C226" t="s">
        <v>131</v>
      </c>
      <c r="D226" s="2885">
        <v>6986.5720000000001</v>
      </c>
      <c r="E226" s="2886">
        <v>10082976</v>
      </c>
      <c r="F226" s="2886">
        <v>1176166</v>
      </c>
      <c r="G226" s="2886">
        <v>4983125</v>
      </c>
    </row>
    <row r="227" spans="1:7">
      <c r="A227" t="s">
        <v>3473</v>
      </c>
      <c r="B227" s="1417" t="s">
        <v>2533</v>
      </c>
      <c r="C227" t="s">
        <v>2235</v>
      </c>
      <c r="D227" s="2885">
        <v>38786.324000000001</v>
      </c>
      <c r="E227" s="2886">
        <v>28817545</v>
      </c>
      <c r="F227" s="2886">
        <v>11801234</v>
      </c>
      <c r="G227" s="2886">
        <v>11787075</v>
      </c>
    </row>
    <row r="228" spans="1:7">
      <c r="A228" t="s">
        <v>5827</v>
      </c>
      <c r="B228" s="1417" t="s">
        <v>1791</v>
      </c>
      <c r="C228" t="s">
        <v>2610</v>
      </c>
      <c r="D228" s="2885">
        <v>36587.646999999997</v>
      </c>
      <c r="E228" s="2886">
        <v>66976352</v>
      </c>
      <c r="F228" s="2886">
        <v>0</v>
      </c>
      <c r="G228" s="2886">
        <v>37136462</v>
      </c>
    </row>
    <row r="229" spans="1:7">
      <c r="A229" t="s">
        <v>5828</v>
      </c>
      <c r="B229" s="1417" t="s">
        <v>2688</v>
      </c>
      <c r="C229" t="s">
        <v>2611</v>
      </c>
      <c r="D229" s="2885">
        <v>1682.7910000000004</v>
      </c>
      <c r="E229" s="2886">
        <v>3851522</v>
      </c>
      <c r="F229" s="2886">
        <v>0</v>
      </c>
      <c r="G229" s="2886">
        <v>1708033</v>
      </c>
    </row>
    <row r="230" spans="1:7">
      <c r="A230" t="s">
        <v>5829</v>
      </c>
      <c r="B230" s="1417" t="s">
        <v>249</v>
      </c>
      <c r="C230" t="s">
        <v>2612</v>
      </c>
      <c r="D230" s="2885">
        <v>11884.759</v>
      </c>
      <c r="E230" s="2886">
        <v>32963032</v>
      </c>
      <c r="F230" s="2886">
        <v>0</v>
      </c>
      <c r="G230" s="2886">
        <v>12063030</v>
      </c>
    </row>
    <row r="231" spans="1:7">
      <c r="A231" t="s">
        <v>6700</v>
      </c>
      <c r="B231" s="1417" t="s">
        <v>250</v>
      </c>
      <c r="C231" t="s">
        <v>2663</v>
      </c>
      <c r="D231" s="2885">
        <v>156.16300000000001</v>
      </c>
      <c r="E231" s="2886">
        <v>0</v>
      </c>
      <c r="F231" s="2886">
        <v>0</v>
      </c>
      <c r="G231" s="2886">
        <v>0</v>
      </c>
    </row>
    <row r="232" spans="1:7">
      <c r="A232" t="s">
        <v>5830</v>
      </c>
      <c r="B232" s="1417" t="s">
        <v>251</v>
      </c>
      <c r="C232" t="s">
        <v>2613</v>
      </c>
      <c r="D232" s="2885">
        <v>234.12799999999999</v>
      </c>
      <c r="E232" s="2886">
        <v>1043875</v>
      </c>
      <c r="F232" s="2886">
        <v>0</v>
      </c>
      <c r="G232" s="2886">
        <v>68133</v>
      </c>
    </row>
    <row r="233" spans="1:7">
      <c r="A233" t="s">
        <v>6701</v>
      </c>
      <c r="B233" s="1417" t="s">
        <v>252</v>
      </c>
      <c r="C233" t="s">
        <v>2614</v>
      </c>
      <c r="D233" s="2885">
        <v>1777.6030000000001</v>
      </c>
      <c r="E233" s="2886">
        <v>0</v>
      </c>
      <c r="F233" s="2886">
        <v>0</v>
      </c>
      <c r="G233" s="2886">
        <v>0</v>
      </c>
    </row>
    <row r="234" spans="1:7">
      <c r="A234" t="s">
        <v>5831</v>
      </c>
      <c r="B234" s="1417" t="s">
        <v>374</v>
      </c>
      <c r="C234" t="s">
        <v>2615</v>
      </c>
      <c r="D234" s="2885">
        <v>216.286</v>
      </c>
      <c r="E234" s="2886">
        <v>805788</v>
      </c>
      <c r="F234" s="2886">
        <v>0</v>
      </c>
      <c r="G234" s="2886">
        <v>79249</v>
      </c>
    </row>
    <row r="235" spans="1:7">
      <c r="A235" t="s">
        <v>4508</v>
      </c>
      <c r="B235" s="1417" t="s">
        <v>1864</v>
      </c>
      <c r="C235" t="s">
        <v>2372</v>
      </c>
      <c r="D235" s="2885">
        <v>3855.9940000000001</v>
      </c>
      <c r="E235" s="2886">
        <v>0</v>
      </c>
      <c r="F235" s="2886">
        <v>0</v>
      </c>
      <c r="G235" s="2886">
        <v>0</v>
      </c>
    </row>
    <row r="236" spans="1:7">
      <c r="A236" t="s">
        <v>6702</v>
      </c>
      <c r="B236" s="1417" t="s">
        <v>1068</v>
      </c>
      <c r="C236" t="s">
        <v>2616</v>
      </c>
      <c r="D236" s="2885">
        <v>122.363</v>
      </c>
      <c r="E236" s="2886">
        <v>0</v>
      </c>
      <c r="F236" s="2886">
        <v>0</v>
      </c>
      <c r="G236" s="2886">
        <v>0</v>
      </c>
    </row>
    <row r="237" spans="1:7">
      <c r="A237" t="s">
        <v>3474</v>
      </c>
      <c r="B237" s="1417" t="s">
        <v>1069</v>
      </c>
      <c r="C237" t="s">
        <v>2617</v>
      </c>
      <c r="D237" s="2885">
        <v>751.49599999999998</v>
      </c>
      <c r="E237" s="2886">
        <v>559661</v>
      </c>
      <c r="F237" s="2886">
        <v>172316</v>
      </c>
      <c r="G237" s="2886">
        <v>366801</v>
      </c>
    </row>
    <row r="238" spans="1:7">
      <c r="A238" t="s">
        <v>3475</v>
      </c>
      <c r="B238" s="1417" t="s">
        <v>640</v>
      </c>
      <c r="C238" t="s">
        <v>107</v>
      </c>
      <c r="D238" s="2885">
        <v>155.22999999999999</v>
      </c>
      <c r="E238" s="2886">
        <v>47083</v>
      </c>
      <c r="F238" s="2886">
        <v>35248</v>
      </c>
      <c r="G238" s="2886">
        <v>2725</v>
      </c>
    </row>
    <row r="239" spans="1:7">
      <c r="A239" t="s">
        <v>5832</v>
      </c>
      <c r="B239" s="1417" t="s">
        <v>1070</v>
      </c>
      <c r="C239" t="s">
        <v>2618</v>
      </c>
      <c r="D239" s="2885">
        <v>26773.019</v>
      </c>
      <c r="E239" s="2886">
        <v>71471025</v>
      </c>
      <c r="F239" s="2886">
        <v>0</v>
      </c>
      <c r="G239" s="2886">
        <v>27174614</v>
      </c>
    </row>
    <row r="240" spans="1:7">
      <c r="A240" t="s">
        <v>3476</v>
      </c>
      <c r="B240" s="1417" t="s">
        <v>1770</v>
      </c>
      <c r="C240" t="s">
        <v>2466</v>
      </c>
      <c r="D240" s="2885">
        <v>50143.915999999997</v>
      </c>
      <c r="E240" s="2886">
        <v>124092755</v>
      </c>
      <c r="F240" s="2886">
        <v>4760182</v>
      </c>
      <c r="G240" s="2886">
        <v>50896075</v>
      </c>
    </row>
    <row r="241" spans="1:7">
      <c r="A241" t="s">
        <v>4518</v>
      </c>
      <c r="B241" s="1417" t="s">
        <v>212</v>
      </c>
      <c r="C241" t="s">
        <v>1000</v>
      </c>
      <c r="D241" s="2885">
        <v>1280.6990000000001</v>
      </c>
      <c r="E241" s="2886">
        <v>1275868</v>
      </c>
      <c r="F241" s="2886">
        <v>0</v>
      </c>
      <c r="G241" s="2886">
        <v>955854</v>
      </c>
    </row>
    <row r="242" spans="1:7">
      <c r="A242" t="s">
        <v>3477</v>
      </c>
      <c r="B242" s="1417" t="s">
        <v>717</v>
      </c>
      <c r="C242" t="s">
        <v>1692</v>
      </c>
      <c r="D242" s="2885">
        <v>1991.4839999999999</v>
      </c>
      <c r="E242" s="2886">
        <v>2454771</v>
      </c>
      <c r="F242" s="2886">
        <v>298659</v>
      </c>
      <c r="G242" s="2886">
        <v>2021356</v>
      </c>
    </row>
    <row r="243" spans="1:7">
      <c r="A243" t="s">
        <v>3478</v>
      </c>
      <c r="B243" s="1417" t="s">
        <v>214</v>
      </c>
      <c r="C243" t="s">
        <v>1002</v>
      </c>
      <c r="D243" s="2885">
        <v>1269.174</v>
      </c>
      <c r="E243" s="2886">
        <v>2618199</v>
      </c>
      <c r="F243" s="2886">
        <v>139761</v>
      </c>
      <c r="G243" s="2886">
        <v>1288212</v>
      </c>
    </row>
    <row r="244" spans="1:7">
      <c r="A244" t="s">
        <v>3479</v>
      </c>
      <c r="B244" s="1417" t="s">
        <v>1680</v>
      </c>
      <c r="C244" t="s">
        <v>2116</v>
      </c>
      <c r="D244" s="2885">
        <v>2249.288</v>
      </c>
      <c r="E244" s="2886">
        <v>2819314</v>
      </c>
      <c r="F244" s="2886">
        <v>428156</v>
      </c>
      <c r="G244" s="2886">
        <v>2079448</v>
      </c>
    </row>
    <row r="245" spans="1:7">
      <c r="A245" t="s">
        <v>3480</v>
      </c>
      <c r="B245" s="1417" t="s">
        <v>490</v>
      </c>
      <c r="C245" t="s">
        <v>2060</v>
      </c>
      <c r="D245" s="2885">
        <v>2547.5640000000003</v>
      </c>
      <c r="E245" s="2886">
        <v>1854951</v>
      </c>
      <c r="F245" s="2886">
        <v>1098398</v>
      </c>
      <c r="G245" s="2886">
        <v>1556184</v>
      </c>
    </row>
    <row r="246" spans="1:7">
      <c r="A246" t="s">
        <v>5833</v>
      </c>
      <c r="B246" s="1417" t="s">
        <v>1838</v>
      </c>
      <c r="C246" t="s">
        <v>2619</v>
      </c>
      <c r="D246" s="2885">
        <v>2327.1240000000003</v>
      </c>
      <c r="E246" s="2886">
        <v>7349006</v>
      </c>
      <c r="F246" s="2886">
        <v>0</v>
      </c>
      <c r="G246" s="2886">
        <v>2362031</v>
      </c>
    </row>
    <row r="247" spans="1:7">
      <c r="A247" t="s">
        <v>3481</v>
      </c>
      <c r="B247" s="1417" t="s">
        <v>1410</v>
      </c>
      <c r="C247" t="s">
        <v>1256</v>
      </c>
      <c r="D247" s="2885">
        <v>21010.105</v>
      </c>
      <c r="E247" s="2886">
        <v>54815022</v>
      </c>
      <c r="F247" s="2886">
        <v>740900</v>
      </c>
      <c r="G247" s="2886">
        <v>21325257</v>
      </c>
    </row>
    <row r="248" spans="1:7">
      <c r="A248" t="s">
        <v>3482</v>
      </c>
      <c r="B248" s="1417" t="s">
        <v>61</v>
      </c>
      <c r="C248" t="s">
        <v>2300</v>
      </c>
      <c r="D248" s="2885">
        <v>3750.2759999999998</v>
      </c>
      <c r="E248" s="2886">
        <v>7791887</v>
      </c>
      <c r="F248" s="2886">
        <v>1038374</v>
      </c>
      <c r="G248" s="2886">
        <v>3806530</v>
      </c>
    </row>
    <row r="249" spans="1:7">
      <c r="A249" t="s">
        <v>3483</v>
      </c>
      <c r="B249" s="1417" t="s">
        <v>641</v>
      </c>
      <c r="C249" t="s">
        <v>1567</v>
      </c>
      <c r="D249" s="2885">
        <v>6956.4539999999997</v>
      </c>
      <c r="E249" s="2886">
        <v>11847064</v>
      </c>
      <c r="F249" s="2886">
        <v>1472308</v>
      </c>
      <c r="G249" s="2886">
        <v>7060801</v>
      </c>
    </row>
    <row r="250" spans="1:7">
      <c r="A250" t="s">
        <v>3484</v>
      </c>
      <c r="B250" s="1417" t="s">
        <v>2504</v>
      </c>
      <c r="C250" t="s">
        <v>421</v>
      </c>
      <c r="D250" s="2885">
        <v>1888.9060000000004</v>
      </c>
      <c r="E250" s="2886">
        <v>5713018</v>
      </c>
      <c r="F250" s="2886">
        <v>354166</v>
      </c>
      <c r="G250" s="2886">
        <v>1917240</v>
      </c>
    </row>
    <row r="251" spans="1:7">
      <c r="A251" t="s">
        <v>5834</v>
      </c>
      <c r="B251" s="1417" t="s">
        <v>1839</v>
      </c>
      <c r="C251" t="s">
        <v>2620</v>
      </c>
      <c r="D251" s="2885">
        <v>136.095</v>
      </c>
      <c r="E251" s="2886">
        <v>264493</v>
      </c>
      <c r="F251" s="2886">
        <v>0</v>
      </c>
      <c r="G251" s="2886">
        <v>126434</v>
      </c>
    </row>
    <row r="252" spans="1:7">
      <c r="A252" t="s">
        <v>3485</v>
      </c>
      <c r="B252" s="1417" t="s">
        <v>1185</v>
      </c>
      <c r="C252" t="s">
        <v>2196</v>
      </c>
      <c r="D252" s="2885">
        <v>1471.8320000000001</v>
      </c>
      <c r="E252" s="2886">
        <v>4078818</v>
      </c>
      <c r="F252" s="2886">
        <v>368750</v>
      </c>
      <c r="G252" s="2886">
        <v>1493909</v>
      </c>
    </row>
    <row r="253" spans="1:7">
      <c r="A253" t="s">
        <v>5835</v>
      </c>
      <c r="B253" s="1417" t="s">
        <v>1840</v>
      </c>
      <c r="C253" t="s">
        <v>2621</v>
      </c>
      <c r="D253" s="2885">
        <v>476.21600000000001</v>
      </c>
      <c r="E253" s="2886">
        <v>371178</v>
      </c>
      <c r="F253" s="2886">
        <v>0</v>
      </c>
      <c r="G253" s="2886">
        <v>26307</v>
      </c>
    </row>
    <row r="254" spans="1:7">
      <c r="A254" t="s">
        <v>6703</v>
      </c>
      <c r="B254" s="1417" t="s">
        <v>698</v>
      </c>
      <c r="C254" t="s">
        <v>2622</v>
      </c>
      <c r="D254" s="2885">
        <v>61.012999999999998</v>
      </c>
      <c r="E254" s="2886">
        <v>0</v>
      </c>
      <c r="F254" s="2886">
        <v>0</v>
      </c>
      <c r="G254" s="2886">
        <v>0</v>
      </c>
    </row>
    <row r="255" spans="1:7">
      <c r="A255" t="s">
        <v>6704</v>
      </c>
      <c r="B255" s="1417" t="s">
        <v>299</v>
      </c>
      <c r="C255" t="s">
        <v>2623</v>
      </c>
      <c r="D255" s="2885">
        <v>104.70099999999999</v>
      </c>
      <c r="E255" s="2886">
        <v>0</v>
      </c>
      <c r="F255" s="2886">
        <v>0</v>
      </c>
      <c r="G255" s="2886">
        <v>0</v>
      </c>
    </row>
    <row r="256" spans="1:7">
      <c r="A256" t="s">
        <v>5836</v>
      </c>
      <c r="B256" s="1417" t="s">
        <v>175</v>
      </c>
      <c r="C256" t="s">
        <v>2624</v>
      </c>
      <c r="D256" s="2885">
        <v>255.83100000000005</v>
      </c>
      <c r="E256" s="2886">
        <v>421549</v>
      </c>
      <c r="F256" s="2886">
        <v>0</v>
      </c>
      <c r="G256" s="2886">
        <v>169736</v>
      </c>
    </row>
    <row r="257" spans="1:7">
      <c r="A257" t="s">
        <v>6705</v>
      </c>
      <c r="B257" s="1417" t="s">
        <v>176</v>
      </c>
      <c r="C257" t="s">
        <v>2625</v>
      </c>
      <c r="D257" s="2885">
        <v>95.27300000000001</v>
      </c>
      <c r="E257" s="2886">
        <v>0</v>
      </c>
      <c r="F257" s="2886">
        <v>0</v>
      </c>
      <c r="G257" s="2886">
        <v>0</v>
      </c>
    </row>
    <row r="258" spans="1:7">
      <c r="A258" t="s">
        <v>3486</v>
      </c>
      <c r="B258" s="1417" t="s">
        <v>718</v>
      </c>
      <c r="C258" t="s">
        <v>30</v>
      </c>
      <c r="D258" s="2885">
        <v>2026.191</v>
      </c>
      <c r="E258" s="2886">
        <v>3336524</v>
      </c>
      <c r="F258" s="2886">
        <v>464000</v>
      </c>
      <c r="G258" s="2886">
        <v>358318</v>
      </c>
    </row>
    <row r="259" spans="1:7">
      <c r="A259" t="s">
        <v>6706</v>
      </c>
      <c r="B259" s="1417" t="s">
        <v>2629</v>
      </c>
      <c r="C259" t="s">
        <v>1958</v>
      </c>
      <c r="D259" s="2885">
        <v>439.23099999999999</v>
      </c>
      <c r="E259" s="2886">
        <v>0</v>
      </c>
      <c r="F259" s="2886">
        <v>0</v>
      </c>
      <c r="G259" s="2886">
        <v>0</v>
      </c>
    </row>
    <row r="260" spans="1:7">
      <c r="A260" t="s">
        <v>3487</v>
      </c>
      <c r="B260" s="1417" t="s">
        <v>1556</v>
      </c>
      <c r="C260" t="s">
        <v>2370</v>
      </c>
      <c r="D260" s="2885">
        <v>108.63</v>
      </c>
      <c r="E260" s="2886">
        <v>278</v>
      </c>
      <c r="F260" s="2886">
        <v>0</v>
      </c>
      <c r="G260" s="2886">
        <v>0</v>
      </c>
    </row>
    <row r="261" spans="1:7">
      <c r="A261" t="s">
        <v>6707</v>
      </c>
      <c r="B261" s="1417" t="s">
        <v>2630</v>
      </c>
      <c r="C261" t="s">
        <v>1959</v>
      </c>
      <c r="D261" s="2885">
        <v>24.318000000000001</v>
      </c>
      <c r="E261" s="2886">
        <v>0</v>
      </c>
      <c r="F261" s="2886">
        <v>0</v>
      </c>
      <c r="G261" s="2886">
        <v>0</v>
      </c>
    </row>
    <row r="262" spans="1:7">
      <c r="A262" t="s">
        <v>5837</v>
      </c>
      <c r="B262" s="1417" t="s">
        <v>2631</v>
      </c>
      <c r="C262" t="s">
        <v>1960</v>
      </c>
      <c r="D262" s="2885">
        <v>333.66200000000009</v>
      </c>
      <c r="E262" s="2886">
        <v>520812</v>
      </c>
      <c r="F262" s="2886">
        <v>0</v>
      </c>
      <c r="G262" s="2886">
        <v>264046</v>
      </c>
    </row>
    <row r="263" spans="1:7">
      <c r="A263" t="s">
        <v>3488</v>
      </c>
      <c r="B263" s="1417" t="s">
        <v>719</v>
      </c>
      <c r="C263" t="s">
        <v>2030</v>
      </c>
      <c r="D263" s="2885">
        <v>1244.4490000000001</v>
      </c>
      <c r="E263" s="2886">
        <v>685578</v>
      </c>
      <c r="F263" s="2886">
        <v>468934</v>
      </c>
      <c r="G263" s="2886">
        <v>215667</v>
      </c>
    </row>
    <row r="264" spans="1:7">
      <c r="A264" t="s">
        <v>5838</v>
      </c>
      <c r="B264" s="1417" t="s">
        <v>678</v>
      </c>
      <c r="C264" t="s">
        <v>1961</v>
      </c>
      <c r="D264" s="2885">
        <v>731.57600000000002</v>
      </c>
      <c r="E264" s="2886">
        <v>1261725</v>
      </c>
      <c r="F264" s="2886">
        <v>0</v>
      </c>
      <c r="G264" s="2886">
        <v>742550</v>
      </c>
    </row>
    <row r="265" spans="1:7">
      <c r="A265" t="s">
        <v>4572</v>
      </c>
      <c r="B265" s="1417" t="s">
        <v>2149</v>
      </c>
      <c r="C265" t="s">
        <v>2151</v>
      </c>
      <c r="D265" s="2885">
        <v>838.85799999999995</v>
      </c>
      <c r="E265" s="2886">
        <v>0</v>
      </c>
      <c r="F265" s="2886">
        <v>0</v>
      </c>
      <c r="G265" s="2886">
        <v>0</v>
      </c>
    </row>
    <row r="266" spans="1:7">
      <c r="A266" t="s">
        <v>6708</v>
      </c>
      <c r="B266" s="1417" t="s">
        <v>2297</v>
      </c>
      <c r="C266" t="s">
        <v>1962</v>
      </c>
      <c r="D266" s="2885">
        <v>1037.8120000000001</v>
      </c>
      <c r="E266" s="2886">
        <v>0</v>
      </c>
      <c r="F266" s="2886">
        <v>0</v>
      </c>
      <c r="G266" s="2886">
        <v>0</v>
      </c>
    </row>
    <row r="267" spans="1:7">
      <c r="A267" t="s">
        <v>5839</v>
      </c>
      <c r="B267" s="1417" t="s">
        <v>1788</v>
      </c>
      <c r="C267" t="s">
        <v>1963</v>
      </c>
      <c r="D267" s="2885">
        <v>312.44400000000002</v>
      </c>
      <c r="E267" s="2886">
        <v>335646</v>
      </c>
      <c r="F267" s="2886">
        <v>0</v>
      </c>
      <c r="G267" s="2886">
        <v>312126</v>
      </c>
    </row>
    <row r="268" spans="1:7">
      <c r="A268" t="s">
        <v>6709</v>
      </c>
      <c r="B268" s="1417" t="s">
        <v>616</v>
      </c>
      <c r="C268" t="s">
        <v>1964</v>
      </c>
      <c r="D268" s="2885">
        <v>338.27</v>
      </c>
      <c r="E268" s="2886">
        <v>0</v>
      </c>
      <c r="F268" s="2886">
        <v>0</v>
      </c>
      <c r="G268" s="2886">
        <v>0</v>
      </c>
    </row>
    <row r="269" spans="1:7">
      <c r="A269" t="s">
        <v>6710</v>
      </c>
      <c r="B269" s="1417" t="s">
        <v>918</v>
      </c>
      <c r="C269" t="s">
        <v>1965</v>
      </c>
      <c r="D269" s="2885">
        <v>135.37100000000001</v>
      </c>
      <c r="E269" s="2886">
        <v>0</v>
      </c>
      <c r="F269" s="2886">
        <v>0</v>
      </c>
      <c r="G269" s="2886">
        <v>0</v>
      </c>
    </row>
    <row r="270" spans="1:7">
      <c r="A270" t="s">
        <v>5840</v>
      </c>
      <c r="B270" s="1417" t="s">
        <v>2132</v>
      </c>
      <c r="C270" t="s">
        <v>1966</v>
      </c>
      <c r="D270" s="2885">
        <v>28757.874</v>
      </c>
      <c r="E270" s="2886">
        <v>13993290</v>
      </c>
      <c r="F270" s="2886">
        <v>0</v>
      </c>
      <c r="G270" s="2886">
        <v>12761636</v>
      </c>
    </row>
    <row r="271" spans="1:7">
      <c r="A271" t="s">
        <v>5841</v>
      </c>
      <c r="B271" s="1417" t="s">
        <v>2581</v>
      </c>
      <c r="C271" t="s">
        <v>1967</v>
      </c>
      <c r="D271" s="2885">
        <v>269.82300000000004</v>
      </c>
      <c r="E271" s="2886">
        <v>316836</v>
      </c>
      <c r="F271" s="2886">
        <v>0</v>
      </c>
      <c r="G271" s="2886">
        <v>107190</v>
      </c>
    </row>
    <row r="272" spans="1:7">
      <c r="A272" t="s">
        <v>6711</v>
      </c>
      <c r="B272" s="1417" t="s">
        <v>2393</v>
      </c>
      <c r="C272" t="s">
        <v>1968</v>
      </c>
      <c r="D272" s="2885">
        <v>254.26300000000001</v>
      </c>
      <c r="E272" s="2886">
        <v>0</v>
      </c>
      <c r="F272" s="2886">
        <v>0</v>
      </c>
      <c r="G272" s="2886">
        <v>0</v>
      </c>
    </row>
    <row r="273" spans="1:7">
      <c r="A273" t="s">
        <v>3489</v>
      </c>
      <c r="B273" s="1417" t="s">
        <v>246</v>
      </c>
      <c r="C273" t="s">
        <v>2117</v>
      </c>
      <c r="D273" s="2885">
        <v>354.815</v>
      </c>
      <c r="E273" s="2886">
        <v>22814</v>
      </c>
      <c r="F273" s="2886">
        <v>21550</v>
      </c>
      <c r="G273" s="2886">
        <v>0</v>
      </c>
    </row>
    <row r="274" spans="1:7">
      <c r="A274" t="s">
        <v>5842</v>
      </c>
      <c r="B274" s="1417" t="s">
        <v>1405</v>
      </c>
      <c r="C274" t="s">
        <v>1969</v>
      </c>
      <c r="D274" s="2885">
        <v>5382.893</v>
      </c>
      <c r="E274" s="2886">
        <v>9401347</v>
      </c>
      <c r="F274" s="2886">
        <v>0</v>
      </c>
      <c r="G274" s="2886">
        <v>5203553</v>
      </c>
    </row>
    <row r="275" spans="1:7">
      <c r="A275" t="s">
        <v>3490</v>
      </c>
      <c r="B275" s="1417" t="s">
        <v>1406</v>
      </c>
      <c r="C275" t="s">
        <v>1970</v>
      </c>
      <c r="D275" s="2885">
        <v>2368.3670000000002</v>
      </c>
      <c r="E275" s="2886">
        <v>602439</v>
      </c>
      <c r="F275" s="2886">
        <v>179667</v>
      </c>
      <c r="G275" s="2886">
        <v>639954</v>
      </c>
    </row>
    <row r="276" spans="1:7">
      <c r="A276" t="s">
        <v>3491</v>
      </c>
      <c r="B276" s="1417" t="s">
        <v>720</v>
      </c>
      <c r="C276" t="s">
        <v>1270</v>
      </c>
      <c r="D276" s="2885">
        <v>521.64700000000005</v>
      </c>
      <c r="E276" s="2886">
        <v>450688</v>
      </c>
      <c r="F276" s="2886">
        <v>137934</v>
      </c>
      <c r="G276" s="2886">
        <v>5144</v>
      </c>
    </row>
    <row r="277" spans="1:7">
      <c r="A277" t="s">
        <v>5843</v>
      </c>
      <c r="B277" s="1417" t="s">
        <v>1401</v>
      </c>
      <c r="C277" t="s">
        <v>1971</v>
      </c>
      <c r="D277" s="2885">
        <v>8098.357</v>
      </c>
      <c r="E277" s="2886">
        <v>18741422</v>
      </c>
      <c r="F277" s="2886">
        <v>0</v>
      </c>
      <c r="G277" s="2886">
        <v>8219832</v>
      </c>
    </row>
    <row r="278" spans="1:7">
      <c r="A278" t="s">
        <v>6712</v>
      </c>
      <c r="B278" s="1417" t="s">
        <v>932</v>
      </c>
      <c r="C278" t="s">
        <v>1972</v>
      </c>
      <c r="D278" s="2885">
        <v>243.93800000000005</v>
      </c>
      <c r="E278" s="2886">
        <v>83</v>
      </c>
      <c r="F278" s="2886">
        <v>0</v>
      </c>
      <c r="G278" s="2886">
        <v>4387</v>
      </c>
    </row>
    <row r="279" spans="1:7">
      <c r="A279" t="s">
        <v>3492</v>
      </c>
      <c r="B279" s="1417" t="s">
        <v>247</v>
      </c>
      <c r="C279" t="s">
        <v>1363</v>
      </c>
      <c r="D279" s="2885">
        <v>1122.442</v>
      </c>
      <c r="E279" s="2886">
        <v>698458</v>
      </c>
      <c r="F279" s="2886">
        <v>126893</v>
      </c>
      <c r="G279" s="2886">
        <v>556990</v>
      </c>
    </row>
    <row r="280" spans="1:7">
      <c r="A280" t="s">
        <v>3493</v>
      </c>
      <c r="B280" s="1417" t="s">
        <v>2084</v>
      </c>
      <c r="C280" t="s">
        <v>79</v>
      </c>
      <c r="D280" s="2885">
        <v>5478.9160000000002</v>
      </c>
      <c r="E280" s="2886">
        <v>5496017</v>
      </c>
      <c r="F280" s="2886">
        <v>2161550</v>
      </c>
      <c r="G280" s="2886">
        <v>3593007</v>
      </c>
    </row>
    <row r="281" spans="1:7">
      <c r="A281" t="s">
        <v>3494</v>
      </c>
      <c r="B281" s="1417" t="s">
        <v>343</v>
      </c>
      <c r="C281" t="s">
        <v>139</v>
      </c>
      <c r="D281" s="2885">
        <v>7977.2439999999997</v>
      </c>
      <c r="E281" s="2886">
        <v>12798272</v>
      </c>
      <c r="F281" s="2886">
        <v>0</v>
      </c>
      <c r="G281" s="2886">
        <v>7687231</v>
      </c>
    </row>
    <row r="282" spans="1:7">
      <c r="A282" t="s">
        <v>3495</v>
      </c>
      <c r="B282" s="1417" t="s">
        <v>721</v>
      </c>
      <c r="C282" t="s">
        <v>1992</v>
      </c>
      <c r="D282" s="2885">
        <v>1062.0060000000003</v>
      </c>
      <c r="E282" s="2886">
        <v>813290</v>
      </c>
      <c r="F282" s="2886">
        <v>160109</v>
      </c>
      <c r="G282" s="2886">
        <v>538456</v>
      </c>
    </row>
    <row r="283" spans="1:7">
      <c r="A283" t="s">
        <v>3496</v>
      </c>
      <c r="B283" s="1417" t="s">
        <v>576</v>
      </c>
      <c r="C283" t="s">
        <v>1166</v>
      </c>
      <c r="D283" s="2885">
        <v>10709.334000000001</v>
      </c>
      <c r="E283" s="2886">
        <v>3848984</v>
      </c>
      <c r="F283" s="2886">
        <v>2674012</v>
      </c>
      <c r="G283" s="2886">
        <v>1222811</v>
      </c>
    </row>
    <row r="284" spans="1:7">
      <c r="A284" t="s">
        <v>3497</v>
      </c>
      <c r="B284" s="1417" t="s">
        <v>2413</v>
      </c>
      <c r="C284" t="s">
        <v>1973</v>
      </c>
      <c r="D284" s="2885">
        <v>54324.826000000001</v>
      </c>
      <c r="E284" s="2886">
        <v>25708999</v>
      </c>
      <c r="F284" s="2886">
        <v>4839989</v>
      </c>
      <c r="G284" s="2886">
        <v>21582093</v>
      </c>
    </row>
    <row r="285" spans="1:7">
      <c r="A285" t="s">
        <v>3498</v>
      </c>
      <c r="B285" s="1417" t="s">
        <v>775</v>
      </c>
      <c r="C285" t="s">
        <v>892</v>
      </c>
      <c r="D285" s="2885">
        <v>2172.6579999999999</v>
      </c>
      <c r="E285" s="2886">
        <v>473470</v>
      </c>
      <c r="F285" s="2886">
        <v>285189</v>
      </c>
      <c r="G285" s="2886">
        <v>29782</v>
      </c>
    </row>
    <row r="286" spans="1:7">
      <c r="A286" t="s">
        <v>4611</v>
      </c>
      <c r="B286" s="1417" t="s">
        <v>184</v>
      </c>
      <c r="C286" t="s">
        <v>2031</v>
      </c>
      <c r="D286" s="2885">
        <v>3540.3049999999998</v>
      </c>
      <c r="E286" s="2886">
        <v>276081</v>
      </c>
      <c r="F286" s="2886">
        <v>0</v>
      </c>
      <c r="G286" s="2886">
        <v>105199</v>
      </c>
    </row>
    <row r="287" spans="1:7">
      <c r="A287" t="s">
        <v>4617</v>
      </c>
      <c r="B287" s="1417" t="s">
        <v>1186</v>
      </c>
      <c r="C287" t="s">
        <v>760</v>
      </c>
      <c r="D287" s="2885">
        <v>38467.176999999989</v>
      </c>
      <c r="E287" s="2886">
        <v>19213047</v>
      </c>
      <c r="F287" s="2886">
        <v>4619629</v>
      </c>
      <c r="G287" s="2886">
        <v>7416902</v>
      </c>
    </row>
    <row r="288" spans="1:7">
      <c r="A288" t="s">
        <v>3499</v>
      </c>
      <c r="B288" s="1417" t="s">
        <v>2098</v>
      </c>
      <c r="C288" t="s">
        <v>132</v>
      </c>
      <c r="D288" s="2885">
        <v>813.226</v>
      </c>
      <c r="E288" s="2886">
        <v>321314</v>
      </c>
      <c r="F288" s="2886">
        <v>123464</v>
      </c>
      <c r="G288" s="2886">
        <v>168812</v>
      </c>
    </row>
    <row r="289" spans="1:7">
      <c r="A289" t="s">
        <v>3500</v>
      </c>
      <c r="B289" s="1417" t="s">
        <v>1888</v>
      </c>
      <c r="C289" t="s">
        <v>653</v>
      </c>
      <c r="D289" s="2885">
        <v>5577</v>
      </c>
      <c r="E289" s="2886">
        <v>6662111</v>
      </c>
      <c r="F289" s="2886">
        <v>2045229</v>
      </c>
      <c r="G289" s="2886">
        <v>4081568</v>
      </c>
    </row>
    <row r="290" spans="1:7">
      <c r="A290" t="s">
        <v>3501</v>
      </c>
      <c r="B290" s="1417" t="s">
        <v>1517</v>
      </c>
      <c r="C290" t="s">
        <v>606</v>
      </c>
      <c r="D290" s="2885">
        <v>1060.3220000000001</v>
      </c>
      <c r="E290" s="2886">
        <v>202233</v>
      </c>
      <c r="F290" s="2886">
        <v>146576</v>
      </c>
      <c r="G290" s="2886">
        <v>33679</v>
      </c>
    </row>
    <row r="291" spans="1:7">
      <c r="A291" t="s">
        <v>3502</v>
      </c>
      <c r="B291" s="1417" t="s">
        <v>1151</v>
      </c>
      <c r="C291" t="s">
        <v>1930</v>
      </c>
      <c r="D291" s="2885">
        <v>42887.584999999999</v>
      </c>
      <c r="E291" s="2886">
        <v>26503055</v>
      </c>
      <c r="F291" s="2886">
        <v>14722843</v>
      </c>
      <c r="G291" s="2886">
        <v>12922590</v>
      </c>
    </row>
    <row r="292" spans="1:7">
      <c r="A292" t="s">
        <v>6713</v>
      </c>
      <c r="B292" s="1417" t="s">
        <v>2414</v>
      </c>
      <c r="C292" t="s">
        <v>1974</v>
      </c>
      <c r="D292" s="2885">
        <v>102.47200000000002</v>
      </c>
      <c r="E292" s="2886">
        <v>0</v>
      </c>
      <c r="F292" s="2886">
        <v>0</v>
      </c>
      <c r="G292" s="2886">
        <v>0</v>
      </c>
    </row>
    <row r="293" spans="1:7">
      <c r="A293" t="s">
        <v>5844</v>
      </c>
      <c r="B293" s="1417" t="s">
        <v>2415</v>
      </c>
      <c r="C293" t="s">
        <v>1975</v>
      </c>
      <c r="D293" s="2885">
        <v>1086.259</v>
      </c>
      <c r="E293" s="2886">
        <v>209549</v>
      </c>
      <c r="F293" s="2886">
        <v>0</v>
      </c>
      <c r="G293" s="2886">
        <v>615983</v>
      </c>
    </row>
    <row r="294" spans="1:7">
      <c r="A294" t="s">
        <v>3503</v>
      </c>
      <c r="B294" s="1417" t="s">
        <v>1511</v>
      </c>
      <c r="C294" t="s">
        <v>2099</v>
      </c>
      <c r="D294" s="2885">
        <v>3456.7570000000001</v>
      </c>
      <c r="E294" s="2886">
        <v>969382</v>
      </c>
      <c r="F294" s="2886">
        <v>583662</v>
      </c>
      <c r="G294" s="2886">
        <v>1865247</v>
      </c>
    </row>
    <row r="295" spans="1:7">
      <c r="A295" t="s">
        <v>5845</v>
      </c>
      <c r="B295" s="1417" t="s">
        <v>1830</v>
      </c>
      <c r="C295" t="s">
        <v>1976</v>
      </c>
      <c r="D295" s="2885">
        <v>94.397000000000006</v>
      </c>
      <c r="E295" s="2886">
        <v>64385</v>
      </c>
      <c r="F295" s="2886">
        <v>0</v>
      </c>
      <c r="G295" s="2886">
        <v>20616</v>
      </c>
    </row>
    <row r="296" spans="1:7">
      <c r="A296" t="s">
        <v>6714</v>
      </c>
      <c r="B296" s="1417" t="s">
        <v>1831</v>
      </c>
      <c r="C296" t="s">
        <v>1977</v>
      </c>
      <c r="D296" s="2885">
        <v>199.477</v>
      </c>
      <c r="E296" s="2886">
        <v>0</v>
      </c>
      <c r="F296" s="2886">
        <v>0</v>
      </c>
      <c r="G296" s="2886">
        <v>0</v>
      </c>
    </row>
    <row r="297" spans="1:7">
      <c r="A297" t="s">
        <v>3504</v>
      </c>
      <c r="B297" s="1417" t="s">
        <v>1232</v>
      </c>
      <c r="C297" t="s">
        <v>2468</v>
      </c>
      <c r="D297" s="2885">
        <v>250.08700000000005</v>
      </c>
      <c r="E297" s="2886">
        <v>64213</v>
      </c>
      <c r="F297" s="2886">
        <v>76628</v>
      </c>
      <c r="G297" s="2886">
        <v>0</v>
      </c>
    </row>
    <row r="298" spans="1:7">
      <c r="A298" t="s">
        <v>6715</v>
      </c>
      <c r="B298" s="1417" t="s">
        <v>1832</v>
      </c>
      <c r="C298" t="s">
        <v>1978</v>
      </c>
      <c r="D298" s="2885">
        <v>111.813</v>
      </c>
      <c r="E298" s="2886">
        <v>0</v>
      </c>
      <c r="F298" s="2886">
        <v>0</v>
      </c>
      <c r="G298" s="2886">
        <v>0</v>
      </c>
    </row>
    <row r="299" spans="1:7">
      <c r="A299" t="s">
        <v>5846</v>
      </c>
      <c r="B299" s="1417" t="s">
        <v>201</v>
      </c>
      <c r="C299" t="s">
        <v>1035</v>
      </c>
      <c r="D299" s="2885">
        <v>466.34800000000001</v>
      </c>
      <c r="E299" s="2886">
        <v>148808</v>
      </c>
      <c r="F299" s="2886">
        <v>0</v>
      </c>
      <c r="G299" s="2886">
        <v>118856</v>
      </c>
    </row>
    <row r="300" spans="1:7">
      <c r="A300" t="s">
        <v>4653</v>
      </c>
      <c r="B300" s="1417" t="s">
        <v>1834</v>
      </c>
      <c r="C300" t="s">
        <v>2063</v>
      </c>
      <c r="D300" s="2885">
        <v>790.678</v>
      </c>
      <c r="E300" s="2886">
        <v>10934</v>
      </c>
      <c r="F300" s="2886">
        <v>0</v>
      </c>
      <c r="G300" s="2886">
        <v>275203</v>
      </c>
    </row>
    <row r="301" spans="1:7">
      <c r="A301" t="s">
        <v>4655</v>
      </c>
      <c r="B301" s="1417" t="s">
        <v>1842</v>
      </c>
      <c r="C301" t="s">
        <v>1332</v>
      </c>
      <c r="D301" s="2885">
        <v>152.959</v>
      </c>
      <c r="E301" s="2886">
        <v>0</v>
      </c>
      <c r="F301" s="2886">
        <v>0</v>
      </c>
      <c r="G301" s="2886">
        <v>0</v>
      </c>
    </row>
    <row r="302" spans="1:7">
      <c r="A302" t="s">
        <v>6716</v>
      </c>
      <c r="B302" s="1417" t="s">
        <v>202</v>
      </c>
      <c r="C302" t="s">
        <v>1980</v>
      </c>
      <c r="D302" s="2885">
        <v>585.68700000000001</v>
      </c>
      <c r="E302" s="2886">
        <v>0</v>
      </c>
      <c r="F302" s="2886">
        <v>0</v>
      </c>
      <c r="G302" s="2886">
        <v>0</v>
      </c>
    </row>
    <row r="303" spans="1:7">
      <c r="A303" t="s">
        <v>5847</v>
      </c>
      <c r="B303" s="1417" t="s">
        <v>203</v>
      </c>
      <c r="C303" t="s">
        <v>1</v>
      </c>
      <c r="D303" s="2885">
        <v>1675.808</v>
      </c>
      <c r="E303" s="2886">
        <v>1550121</v>
      </c>
      <c r="F303" s="2886">
        <v>339410</v>
      </c>
      <c r="G303" s="2886">
        <v>512210</v>
      </c>
    </row>
    <row r="304" spans="1:7">
      <c r="A304" t="s">
        <v>3505</v>
      </c>
      <c r="B304" s="1417" t="s">
        <v>1233</v>
      </c>
      <c r="C304" t="s">
        <v>2180</v>
      </c>
      <c r="D304" s="2885">
        <v>360.23200000000003</v>
      </c>
      <c r="E304" s="2886">
        <v>105857</v>
      </c>
      <c r="F304" s="2886">
        <v>56560</v>
      </c>
      <c r="G304" s="2886">
        <v>30649</v>
      </c>
    </row>
    <row r="305" spans="1:7">
      <c r="A305" t="s">
        <v>3506</v>
      </c>
      <c r="B305" s="1417" t="s">
        <v>722</v>
      </c>
      <c r="C305" t="s">
        <v>1065</v>
      </c>
      <c r="D305" s="2885">
        <v>234.16900000000001</v>
      </c>
      <c r="E305" s="2886">
        <v>52265</v>
      </c>
      <c r="F305" s="2886">
        <v>41865</v>
      </c>
      <c r="G305" s="2886">
        <v>2477</v>
      </c>
    </row>
    <row r="306" spans="1:7">
      <c r="A306" t="s">
        <v>3507</v>
      </c>
      <c r="B306" s="1417" t="s">
        <v>204</v>
      </c>
      <c r="C306" t="s">
        <v>2</v>
      </c>
      <c r="D306" s="2885">
        <v>566.70900000000006</v>
      </c>
      <c r="E306" s="2886">
        <v>631808</v>
      </c>
      <c r="F306" s="2886">
        <v>142790</v>
      </c>
      <c r="G306" s="2886">
        <v>444186</v>
      </c>
    </row>
    <row r="307" spans="1:7">
      <c r="A307" t="s">
        <v>5848</v>
      </c>
      <c r="B307" s="1417" t="s">
        <v>205</v>
      </c>
      <c r="C307" t="s">
        <v>3</v>
      </c>
      <c r="D307" s="2885">
        <v>848.48500000000001</v>
      </c>
      <c r="E307" s="2886">
        <v>152733</v>
      </c>
      <c r="F307" s="2886">
        <v>0</v>
      </c>
      <c r="G307" s="2886">
        <v>133664</v>
      </c>
    </row>
    <row r="308" spans="1:7">
      <c r="A308" t="s">
        <v>5849</v>
      </c>
      <c r="B308" s="1417" t="s">
        <v>1741</v>
      </c>
      <c r="C308" t="s">
        <v>4</v>
      </c>
      <c r="D308" s="2885">
        <v>266.55799999999999</v>
      </c>
      <c r="E308" s="2886">
        <v>240846</v>
      </c>
      <c r="F308" s="2886">
        <v>0</v>
      </c>
      <c r="G308" s="2886">
        <v>214032</v>
      </c>
    </row>
    <row r="309" spans="1:7">
      <c r="A309" t="s">
        <v>3508</v>
      </c>
      <c r="B309" s="1417" t="s">
        <v>1742</v>
      </c>
      <c r="C309" t="s">
        <v>5</v>
      </c>
      <c r="D309" s="2885">
        <v>511.24600000000009</v>
      </c>
      <c r="E309" s="2886">
        <v>491215</v>
      </c>
      <c r="F309" s="2886">
        <v>22036</v>
      </c>
      <c r="G309" s="2886">
        <v>383850</v>
      </c>
    </row>
    <row r="310" spans="1:7">
      <c r="A310" t="s">
        <v>3509</v>
      </c>
      <c r="B310" s="1417" t="s">
        <v>1234</v>
      </c>
      <c r="C310" t="s">
        <v>2026</v>
      </c>
      <c r="D310" s="2885">
        <v>491.625</v>
      </c>
      <c r="E310" s="2886">
        <v>159787</v>
      </c>
      <c r="F310" s="2886">
        <v>61952</v>
      </c>
      <c r="G310" s="2886">
        <v>5866</v>
      </c>
    </row>
    <row r="311" spans="1:7">
      <c r="A311" t="s">
        <v>5850</v>
      </c>
      <c r="B311" s="1417" t="s">
        <v>2571</v>
      </c>
      <c r="C311" t="s">
        <v>461</v>
      </c>
      <c r="D311" s="2885">
        <v>541.68799999999999</v>
      </c>
      <c r="E311" s="2886">
        <v>534122</v>
      </c>
      <c r="F311" s="2886">
        <v>0</v>
      </c>
      <c r="G311" s="2886">
        <v>329820</v>
      </c>
    </row>
    <row r="312" spans="1:7">
      <c r="A312" t="s">
        <v>6717</v>
      </c>
      <c r="B312" s="1417" t="s">
        <v>1697</v>
      </c>
      <c r="C312" t="s">
        <v>462</v>
      </c>
      <c r="D312" s="2885">
        <v>1876.55</v>
      </c>
      <c r="E312" s="2886">
        <v>0</v>
      </c>
      <c r="F312" s="2886">
        <v>0</v>
      </c>
      <c r="G312" s="2886">
        <v>0</v>
      </c>
    </row>
    <row r="313" spans="1:7">
      <c r="A313" t="s">
        <v>5851</v>
      </c>
      <c r="B313" s="1417" t="s">
        <v>1698</v>
      </c>
      <c r="C313" t="s">
        <v>463</v>
      </c>
      <c r="D313" s="2885">
        <v>705.952</v>
      </c>
      <c r="E313" s="2886">
        <v>992156</v>
      </c>
      <c r="F313" s="2886">
        <v>0</v>
      </c>
      <c r="G313" s="2886">
        <v>304271</v>
      </c>
    </row>
    <row r="314" spans="1:7">
      <c r="A314" t="s">
        <v>6718</v>
      </c>
      <c r="B314" s="1417" t="s">
        <v>921</v>
      </c>
      <c r="C314" t="s">
        <v>464</v>
      </c>
      <c r="D314" s="2885">
        <v>225.77300000000005</v>
      </c>
      <c r="E314" s="2886">
        <v>0</v>
      </c>
      <c r="F314" s="2886">
        <v>0</v>
      </c>
      <c r="G314" s="2886">
        <v>0</v>
      </c>
    </row>
    <row r="315" spans="1:7">
      <c r="A315" t="s">
        <v>5852</v>
      </c>
      <c r="B315" s="1417" t="s">
        <v>65</v>
      </c>
      <c r="C315" t="s">
        <v>177</v>
      </c>
      <c r="D315" s="2885">
        <v>265.64500000000004</v>
      </c>
      <c r="E315" s="2886">
        <v>256828</v>
      </c>
      <c r="F315" s="2886">
        <v>0</v>
      </c>
      <c r="G315" s="2886">
        <v>74128</v>
      </c>
    </row>
    <row r="316" spans="1:7">
      <c r="A316" t="s">
        <v>6719</v>
      </c>
      <c r="B316" s="1417" t="s">
        <v>754</v>
      </c>
      <c r="C316" t="s">
        <v>1036</v>
      </c>
      <c r="D316" s="2885">
        <v>268.57900000000001</v>
      </c>
      <c r="E316" s="2886">
        <v>0</v>
      </c>
      <c r="F316" s="2886">
        <v>0</v>
      </c>
      <c r="G316" s="2886">
        <v>0</v>
      </c>
    </row>
    <row r="317" spans="1:7">
      <c r="A317" t="s">
        <v>3510</v>
      </c>
      <c r="B317" s="1417" t="s">
        <v>2505</v>
      </c>
      <c r="C317" t="s">
        <v>610</v>
      </c>
      <c r="D317" s="2885">
        <v>218.60400000000001</v>
      </c>
      <c r="E317" s="2886">
        <v>541</v>
      </c>
      <c r="F317" s="2886">
        <v>41289</v>
      </c>
      <c r="G317" s="2886">
        <v>15993</v>
      </c>
    </row>
    <row r="318" spans="1:7">
      <c r="A318" t="s">
        <v>5853</v>
      </c>
      <c r="B318" s="1417" t="s">
        <v>627</v>
      </c>
      <c r="C318" t="s">
        <v>847</v>
      </c>
      <c r="D318" s="2885">
        <v>739.18299999999999</v>
      </c>
      <c r="E318" s="2886">
        <v>953409</v>
      </c>
      <c r="F318" s="2886">
        <v>0</v>
      </c>
      <c r="G318" s="2886">
        <v>254419</v>
      </c>
    </row>
    <row r="319" spans="1:7">
      <c r="A319" t="s">
        <v>6720</v>
      </c>
      <c r="B319" s="1417" t="s">
        <v>628</v>
      </c>
      <c r="C319" t="s">
        <v>848</v>
      </c>
      <c r="D319" s="2885">
        <v>433.18400000000003</v>
      </c>
      <c r="E319" s="2886">
        <v>0</v>
      </c>
      <c r="F319" s="2886">
        <v>0</v>
      </c>
      <c r="G319" s="2886">
        <v>0</v>
      </c>
    </row>
    <row r="320" spans="1:7">
      <c r="A320" t="s">
        <v>6721</v>
      </c>
      <c r="B320" s="1417" t="s">
        <v>629</v>
      </c>
      <c r="C320" t="s">
        <v>849</v>
      </c>
      <c r="D320" s="2885">
        <v>195.77500000000001</v>
      </c>
      <c r="E320" s="2886">
        <v>0</v>
      </c>
      <c r="F320" s="2886">
        <v>0</v>
      </c>
      <c r="G320" s="2886">
        <v>0</v>
      </c>
    </row>
    <row r="321" spans="1:7">
      <c r="A321" t="s">
        <v>5854</v>
      </c>
      <c r="B321" s="1417" t="s">
        <v>630</v>
      </c>
      <c r="C321" t="s">
        <v>1037</v>
      </c>
      <c r="D321" s="2885">
        <v>28952.151999999998</v>
      </c>
      <c r="E321" s="2886">
        <v>49702316</v>
      </c>
      <c r="F321" s="2886">
        <v>0</v>
      </c>
      <c r="G321" s="2886">
        <v>29386434</v>
      </c>
    </row>
    <row r="322" spans="1:7">
      <c r="A322" t="s">
        <v>3511</v>
      </c>
      <c r="B322" s="1417" t="s">
        <v>2541</v>
      </c>
      <c r="C322" t="s">
        <v>894</v>
      </c>
      <c r="D322" s="2885">
        <v>3040.578</v>
      </c>
      <c r="E322" s="2886">
        <v>3009400</v>
      </c>
      <c r="F322" s="2886">
        <v>1702648</v>
      </c>
      <c r="G322" s="2886">
        <v>1955602</v>
      </c>
    </row>
    <row r="323" spans="1:7">
      <c r="A323" t="s">
        <v>3512</v>
      </c>
      <c r="B323" s="1417" t="s">
        <v>1422</v>
      </c>
      <c r="C323" t="s">
        <v>112</v>
      </c>
      <c r="D323" s="2885">
        <v>70874.562999999995</v>
      </c>
      <c r="E323" s="2886">
        <v>102952969</v>
      </c>
      <c r="F323" s="2886">
        <v>21292934</v>
      </c>
      <c r="G323" s="2886">
        <v>53852455</v>
      </c>
    </row>
    <row r="324" spans="1:7">
      <c r="A324" t="s">
        <v>5855</v>
      </c>
      <c r="B324" s="1417" t="s">
        <v>2318</v>
      </c>
      <c r="C324" t="s">
        <v>1038</v>
      </c>
      <c r="D324" s="2885">
        <v>3316.04</v>
      </c>
      <c r="E324" s="2886">
        <v>4354524</v>
      </c>
      <c r="F324" s="2886">
        <v>0</v>
      </c>
      <c r="G324" s="2886">
        <v>2365701</v>
      </c>
    </row>
    <row r="325" spans="1:7">
      <c r="A325" t="s">
        <v>5856</v>
      </c>
      <c r="B325" s="1417" t="s">
        <v>2013</v>
      </c>
      <c r="C325" t="s">
        <v>853</v>
      </c>
      <c r="D325" s="2885">
        <v>1529.7639999999999</v>
      </c>
      <c r="E325" s="2886">
        <v>2205741</v>
      </c>
      <c r="F325" s="2886">
        <v>0</v>
      </c>
      <c r="G325" s="2886">
        <v>1421397</v>
      </c>
    </row>
    <row r="326" spans="1:7">
      <c r="A326" t="s">
        <v>5857</v>
      </c>
      <c r="B326" s="1417" t="s">
        <v>1303</v>
      </c>
      <c r="C326" t="s">
        <v>854</v>
      </c>
      <c r="D326" s="2885">
        <v>1752.3910000000001</v>
      </c>
      <c r="E326" s="2886">
        <v>4269789</v>
      </c>
      <c r="F326" s="2886">
        <v>0</v>
      </c>
      <c r="G326" s="2886">
        <v>1601353</v>
      </c>
    </row>
    <row r="327" spans="1:7">
      <c r="A327" t="s">
        <v>5858</v>
      </c>
      <c r="B327" s="1417" t="s">
        <v>1919</v>
      </c>
      <c r="C327" t="s">
        <v>855</v>
      </c>
      <c r="D327" s="2885">
        <v>1165.912</v>
      </c>
      <c r="E327" s="2886">
        <v>3680966</v>
      </c>
      <c r="F327" s="2886">
        <v>0</v>
      </c>
      <c r="G327" s="2886">
        <v>1183401</v>
      </c>
    </row>
    <row r="328" spans="1:7">
      <c r="A328" t="s">
        <v>5859</v>
      </c>
      <c r="B328" s="1417" t="s">
        <v>1924</v>
      </c>
      <c r="C328" t="s">
        <v>856</v>
      </c>
      <c r="D328" s="2885">
        <v>474.01100000000002</v>
      </c>
      <c r="E328" s="2886">
        <v>405347</v>
      </c>
      <c r="F328" s="2886">
        <v>0</v>
      </c>
      <c r="G328" s="2886">
        <v>387756</v>
      </c>
    </row>
    <row r="329" spans="1:7">
      <c r="A329" t="s">
        <v>5860</v>
      </c>
      <c r="B329" s="1417" t="s">
        <v>1925</v>
      </c>
      <c r="C329" t="s">
        <v>857</v>
      </c>
      <c r="D329" s="2885">
        <v>150.678</v>
      </c>
      <c r="E329" s="2886">
        <v>333017</v>
      </c>
      <c r="F329" s="2886">
        <v>0</v>
      </c>
      <c r="G329" s="2886">
        <v>149547</v>
      </c>
    </row>
    <row r="330" spans="1:7">
      <c r="A330" t="s">
        <v>3513</v>
      </c>
      <c r="B330" s="1417" t="s">
        <v>1235</v>
      </c>
      <c r="C330" t="s">
        <v>2179</v>
      </c>
      <c r="D330" s="2885">
        <v>884.447</v>
      </c>
      <c r="E330" s="2886">
        <v>2971358</v>
      </c>
      <c r="F330" s="2886">
        <v>374372</v>
      </c>
      <c r="G330" s="2886">
        <v>897714</v>
      </c>
    </row>
    <row r="331" spans="1:7">
      <c r="A331" t="s">
        <v>3514</v>
      </c>
      <c r="B331" s="1417" t="s">
        <v>2506</v>
      </c>
      <c r="C331" t="s">
        <v>2592</v>
      </c>
      <c r="D331" s="2885">
        <v>2053.0460000000003</v>
      </c>
      <c r="E331" s="2886">
        <v>1654981</v>
      </c>
      <c r="F331" s="2886">
        <v>781512</v>
      </c>
      <c r="G331" s="2886">
        <v>604498</v>
      </c>
    </row>
    <row r="332" spans="1:7">
      <c r="A332" t="s">
        <v>5861</v>
      </c>
      <c r="B332" s="1417" t="s">
        <v>1926</v>
      </c>
      <c r="C332" t="s">
        <v>858</v>
      </c>
      <c r="D332" s="2885">
        <v>521.60699999999997</v>
      </c>
      <c r="E332" s="2886">
        <v>580912</v>
      </c>
      <c r="F332" s="2886">
        <v>0</v>
      </c>
      <c r="G332" s="2886">
        <v>529431</v>
      </c>
    </row>
    <row r="333" spans="1:7">
      <c r="A333" t="s">
        <v>5862</v>
      </c>
      <c r="B333" s="1417" t="s">
        <v>2110</v>
      </c>
      <c r="C333" t="s">
        <v>531</v>
      </c>
      <c r="D333" s="2885">
        <v>120.09</v>
      </c>
      <c r="E333" s="2886">
        <v>258011</v>
      </c>
      <c r="F333" s="2886">
        <v>0</v>
      </c>
      <c r="G333" s="2886">
        <v>35582</v>
      </c>
    </row>
    <row r="334" spans="1:7">
      <c r="A334" t="s">
        <v>5863</v>
      </c>
      <c r="B334" s="1417" t="s">
        <v>2175</v>
      </c>
      <c r="C334" t="s">
        <v>532</v>
      </c>
      <c r="D334" s="2885">
        <v>2625.4860000000003</v>
      </c>
      <c r="E334" s="2886">
        <v>6530019</v>
      </c>
      <c r="F334" s="2886">
        <v>0</v>
      </c>
      <c r="G334" s="2886">
        <v>2409648</v>
      </c>
    </row>
    <row r="335" spans="1:7">
      <c r="A335" t="s">
        <v>5864</v>
      </c>
      <c r="B335" s="1417" t="s">
        <v>1993</v>
      </c>
      <c r="C335" t="s">
        <v>364</v>
      </c>
      <c r="D335" s="2885">
        <v>10201.458000000001</v>
      </c>
      <c r="E335" s="2886">
        <v>16829563</v>
      </c>
      <c r="F335" s="2886">
        <v>1786230</v>
      </c>
      <c r="G335" s="2886">
        <v>8887297</v>
      </c>
    </row>
    <row r="336" spans="1:7">
      <c r="A336" t="s">
        <v>5865</v>
      </c>
      <c r="B336" s="1417" t="s">
        <v>2231</v>
      </c>
      <c r="C336" t="s">
        <v>365</v>
      </c>
      <c r="D336" s="2885">
        <v>6227.3650000000016</v>
      </c>
      <c r="E336" s="2886">
        <v>6363011</v>
      </c>
      <c r="F336" s="2886">
        <v>0</v>
      </c>
      <c r="G336" s="2886">
        <v>2157491</v>
      </c>
    </row>
    <row r="337" spans="1:7">
      <c r="A337" t="s">
        <v>5866</v>
      </c>
      <c r="B337" s="1417" t="s">
        <v>1866</v>
      </c>
      <c r="C337" t="s">
        <v>2375</v>
      </c>
      <c r="D337" s="2885">
        <v>137.36799999999999</v>
      </c>
      <c r="E337" s="2886">
        <v>119593</v>
      </c>
      <c r="F337" s="2886">
        <v>0</v>
      </c>
      <c r="G337" s="2886">
        <v>80272</v>
      </c>
    </row>
    <row r="338" spans="1:7">
      <c r="A338" t="s">
        <v>5867</v>
      </c>
      <c r="B338" s="1417" t="s">
        <v>762</v>
      </c>
      <c r="C338" t="s">
        <v>367</v>
      </c>
      <c r="D338" s="2885">
        <v>7978.6319999999996</v>
      </c>
      <c r="E338" s="2886">
        <v>11018955</v>
      </c>
      <c r="F338" s="2886">
        <v>0</v>
      </c>
      <c r="G338" s="2886">
        <v>6381156</v>
      </c>
    </row>
    <row r="339" spans="1:7">
      <c r="A339" t="s">
        <v>5868</v>
      </c>
      <c r="B339" s="1417" t="s">
        <v>2458</v>
      </c>
      <c r="C339" t="s">
        <v>368</v>
      </c>
      <c r="D339" s="2885">
        <v>1416.93</v>
      </c>
      <c r="E339" s="2886">
        <v>2979102</v>
      </c>
      <c r="F339" s="2886">
        <v>0</v>
      </c>
      <c r="G339" s="2886">
        <v>1438184</v>
      </c>
    </row>
    <row r="340" spans="1:7">
      <c r="A340" t="s">
        <v>3515</v>
      </c>
      <c r="B340" s="1417" t="s">
        <v>491</v>
      </c>
      <c r="C340" t="s">
        <v>85</v>
      </c>
      <c r="D340" s="2885">
        <v>4436.2930000000006</v>
      </c>
      <c r="E340" s="2886">
        <v>4639942</v>
      </c>
      <c r="F340" s="2886">
        <v>1325028</v>
      </c>
      <c r="G340" s="2886">
        <v>2659975</v>
      </c>
    </row>
    <row r="341" spans="1:7">
      <c r="A341" t="s">
        <v>5869</v>
      </c>
      <c r="B341" s="1417" t="s">
        <v>2459</v>
      </c>
      <c r="C341" t="s">
        <v>369</v>
      </c>
      <c r="D341" s="2885">
        <v>39189.502999999997</v>
      </c>
      <c r="E341" s="2886">
        <v>71306725</v>
      </c>
      <c r="F341" s="2886">
        <v>0</v>
      </c>
      <c r="G341" s="2886">
        <v>39777346</v>
      </c>
    </row>
    <row r="342" spans="1:7">
      <c r="A342" t="s">
        <v>3516</v>
      </c>
      <c r="B342" s="1417" t="s">
        <v>1424</v>
      </c>
      <c r="C342" t="s">
        <v>1476</v>
      </c>
      <c r="D342" s="2885">
        <v>5806.6459999999997</v>
      </c>
      <c r="E342" s="2886">
        <v>7033576</v>
      </c>
      <c r="F342" s="2886">
        <v>1100400</v>
      </c>
      <c r="G342" s="2886">
        <v>5889033</v>
      </c>
    </row>
    <row r="343" spans="1:7">
      <c r="A343" t="s">
        <v>5870</v>
      </c>
      <c r="B343" s="1417" t="s">
        <v>1668</v>
      </c>
      <c r="C343" t="s">
        <v>370</v>
      </c>
      <c r="D343" s="2885">
        <v>800.58</v>
      </c>
      <c r="E343" s="2886">
        <v>2056372</v>
      </c>
      <c r="F343" s="2886">
        <v>0</v>
      </c>
      <c r="G343" s="2886">
        <v>651036</v>
      </c>
    </row>
    <row r="344" spans="1:7">
      <c r="A344" t="s">
        <v>6722</v>
      </c>
      <c r="B344" s="1417" t="s">
        <v>1669</v>
      </c>
      <c r="C344" t="s">
        <v>371</v>
      </c>
      <c r="D344" s="2885">
        <v>153.60400000000001</v>
      </c>
      <c r="E344" s="2886">
        <v>0</v>
      </c>
      <c r="F344" s="2886">
        <v>0</v>
      </c>
      <c r="G344" s="2886">
        <v>0</v>
      </c>
    </row>
    <row r="345" spans="1:7">
      <c r="A345" t="s">
        <v>6723</v>
      </c>
      <c r="B345" s="1417" t="s">
        <v>1873</v>
      </c>
      <c r="C345" t="s">
        <v>1039</v>
      </c>
      <c r="D345" s="2885">
        <v>5.7110000000000003</v>
      </c>
      <c r="E345" s="2886">
        <v>0</v>
      </c>
      <c r="F345" s="2886">
        <v>0</v>
      </c>
      <c r="G345" s="2886">
        <v>0</v>
      </c>
    </row>
    <row r="346" spans="1:7">
      <c r="A346" t="s">
        <v>5871</v>
      </c>
      <c r="B346" s="1417" t="s">
        <v>1451</v>
      </c>
      <c r="C346" t="s">
        <v>373</v>
      </c>
      <c r="D346" s="2885">
        <v>2987.18</v>
      </c>
      <c r="E346" s="2886">
        <v>3138994</v>
      </c>
      <c r="F346" s="2886">
        <v>0</v>
      </c>
      <c r="G346" s="2886">
        <v>1173172</v>
      </c>
    </row>
    <row r="347" spans="1:7">
      <c r="A347" t="s">
        <v>6724</v>
      </c>
      <c r="B347" s="1417" t="s">
        <v>2160</v>
      </c>
      <c r="C347" t="s">
        <v>1785</v>
      </c>
      <c r="D347" s="2885">
        <v>561.29899999999998</v>
      </c>
      <c r="E347" s="2886">
        <v>0</v>
      </c>
      <c r="F347" s="2886">
        <v>0</v>
      </c>
      <c r="G347" s="2886">
        <v>0</v>
      </c>
    </row>
    <row r="348" spans="1:7">
      <c r="A348" t="s">
        <v>5872</v>
      </c>
      <c r="B348" s="1417" t="s">
        <v>2161</v>
      </c>
      <c r="C348" t="s">
        <v>1786</v>
      </c>
      <c r="D348" s="2885">
        <v>284.34399999999999</v>
      </c>
      <c r="E348" s="2886">
        <v>2202598</v>
      </c>
      <c r="F348" s="2886">
        <v>0</v>
      </c>
      <c r="G348" s="2886">
        <v>87654</v>
      </c>
    </row>
    <row r="349" spans="1:7">
      <c r="A349" t="s">
        <v>5873</v>
      </c>
      <c r="B349" s="1417" t="s">
        <v>2437</v>
      </c>
      <c r="C349" t="s">
        <v>1787</v>
      </c>
      <c r="D349" s="2885">
        <v>1236.473</v>
      </c>
      <c r="E349" s="2886">
        <v>1055131</v>
      </c>
      <c r="F349" s="2886">
        <v>0</v>
      </c>
      <c r="G349" s="2886">
        <v>682655</v>
      </c>
    </row>
    <row r="350" spans="1:7">
      <c r="A350" t="s">
        <v>3517</v>
      </c>
      <c r="B350" s="1417" t="s">
        <v>906</v>
      </c>
      <c r="C350" t="s">
        <v>861</v>
      </c>
      <c r="D350" s="2885">
        <v>2677.6469999999999</v>
      </c>
      <c r="E350" s="2886">
        <v>1785861</v>
      </c>
      <c r="F350" s="2886">
        <v>566258</v>
      </c>
      <c r="G350" s="2886">
        <v>719444</v>
      </c>
    </row>
    <row r="351" spans="1:7">
      <c r="A351" t="s">
        <v>5874</v>
      </c>
      <c r="B351" s="1417" t="s">
        <v>2438</v>
      </c>
      <c r="C351" t="s">
        <v>1040</v>
      </c>
      <c r="D351" s="2885">
        <v>981.72</v>
      </c>
      <c r="E351" s="2886">
        <v>1353479</v>
      </c>
      <c r="F351" s="2886">
        <v>0</v>
      </c>
      <c r="G351" s="2886">
        <v>996446</v>
      </c>
    </row>
    <row r="352" spans="1:7">
      <c r="A352" t="s">
        <v>5875</v>
      </c>
      <c r="B352" s="1417" t="s">
        <v>2439</v>
      </c>
      <c r="C352" t="s">
        <v>1441</v>
      </c>
      <c r="D352" s="2885">
        <v>285.68299999999999</v>
      </c>
      <c r="E352" s="2886">
        <v>196767</v>
      </c>
      <c r="F352" s="2886">
        <v>0</v>
      </c>
      <c r="G352" s="2886">
        <v>93508</v>
      </c>
    </row>
    <row r="353" spans="1:7">
      <c r="A353" t="s">
        <v>5876</v>
      </c>
      <c r="B353" s="1417" t="s">
        <v>1852</v>
      </c>
      <c r="C353" t="s">
        <v>1442</v>
      </c>
      <c r="D353" s="2885">
        <v>150.70400000000001</v>
      </c>
      <c r="E353" s="2886">
        <v>364674</v>
      </c>
      <c r="F353" s="2886">
        <v>0</v>
      </c>
      <c r="G353" s="2886">
        <v>145138</v>
      </c>
    </row>
    <row r="354" spans="1:7">
      <c r="A354" t="s">
        <v>5877</v>
      </c>
      <c r="B354" s="1417" t="s">
        <v>1853</v>
      </c>
      <c r="C354" t="s">
        <v>1443</v>
      </c>
      <c r="D354" s="2885">
        <v>216.82400000000001</v>
      </c>
      <c r="E354" s="2886">
        <v>169701</v>
      </c>
      <c r="F354" s="2886">
        <v>0</v>
      </c>
      <c r="G354" s="2886">
        <v>138728</v>
      </c>
    </row>
    <row r="355" spans="1:7">
      <c r="A355" t="s">
        <v>3518</v>
      </c>
      <c r="B355" s="1417" t="s">
        <v>2021</v>
      </c>
      <c r="C355" t="s">
        <v>1364</v>
      </c>
      <c r="D355" s="2885">
        <v>3355.665</v>
      </c>
      <c r="E355" s="2886">
        <v>2833513</v>
      </c>
      <c r="F355" s="2886">
        <v>529250</v>
      </c>
      <c r="G355" s="2886">
        <v>2403351</v>
      </c>
    </row>
    <row r="356" spans="1:7">
      <c r="A356" t="s">
        <v>5878</v>
      </c>
      <c r="B356" s="1417" t="s">
        <v>2033</v>
      </c>
      <c r="C356" t="s">
        <v>1444</v>
      </c>
      <c r="D356" s="2885">
        <v>43.137</v>
      </c>
      <c r="E356" s="2886">
        <v>113765</v>
      </c>
      <c r="F356" s="2886">
        <v>0</v>
      </c>
      <c r="G356" s="2886">
        <v>11516</v>
      </c>
    </row>
    <row r="357" spans="1:7">
      <c r="A357" t="s">
        <v>3519</v>
      </c>
      <c r="B357" s="1417" t="s">
        <v>1684</v>
      </c>
      <c r="C357" t="s">
        <v>1560</v>
      </c>
      <c r="D357" s="2885">
        <v>737.0830000000002</v>
      </c>
      <c r="E357" s="2886">
        <v>648235</v>
      </c>
      <c r="F357" s="2886">
        <v>235232</v>
      </c>
      <c r="G357" s="2886">
        <v>308425</v>
      </c>
    </row>
    <row r="358" spans="1:7">
      <c r="A358" t="s">
        <v>4707</v>
      </c>
      <c r="B358" s="1417" t="s">
        <v>981</v>
      </c>
      <c r="C358" t="s">
        <v>1445</v>
      </c>
      <c r="D358" s="2885">
        <v>485.661</v>
      </c>
      <c r="E358" s="2886">
        <v>412093</v>
      </c>
      <c r="F358" s="2886">
        <v>106429</v>
      </c>
      <c r="G358" s="2886">
        <v>111332</v>
      </c>
    </row>
    <row r="359" spans="1:7">
      <c r="A359" t="s">
        <v>5879</v>
      </c>
      <c r="B359" s="1417" t="s">
        <v>982</v>
      </c>
      <c r="C359" t="s">
        <v>1446</v>
      </c>
      <c r="D359" s="2885">
        <v>4186.0370000000003</v>
      </c>
      <c r="E359" s="2886">
        <v>4909110</v>
      </c>
      <c r="F359" s="2886">
        <v>0</v>
      </c>
      <c r="G359" s="2886">
        <v>4040736</v>
      </c>
    </row>
    <row r="360" spans="1:7">
      <c r="A360" t="s">
        <v>3520</v>
      </c>
      <c r="B360" s="1417" t="s">
        <v>1115</v>
      </c>
      <c r="C360" t="s">
        <v>2380</v>
      </c>
      <c r="D360" s="2885">
        <v>1009.271</v>
      </c>
      <c r="E360" s="2886">
        <v>538293</v>
      </c>
      <c r="F360" s="2886">
        <v>269126</v>
      </c>
      <c r="G360" s="2886">
        <v>256985</v>
      </c>
    </row>
    <row r="361" spans="1:7">
      <c r="A361" t="s">
        <v>3521</v>
      </c>
      <c r="B361" s="1417" t="s">
        <v>793</v>
      </c>
      <c r="C361" t="s">
        <v>1648</v>
      </c>
      <c r="D361" s="2885">
        <v>6801.2110000000002</v>
      </c>
      <c r="E361" s="2886">
        <v>7673594</v>
      </c>
      <c r="F361" s="2886">
        <v>1512500</v>
      </c>
      <c r="G361" s="2886">
        <v>6199975</v>
      </c>
    </row>
    <row r="362" spans="1:7">
      <c r="A362" t="s">
        <v>5880</v>
      </c>
      <c r="B362" s="1417" t="s">
        <v>794</v>
      </c>
      <c r="C362" t="s">
        <v>1649</v>
      </c>
      <c r="D362" s="2885">
        <v>474.858</v>
      </c>
      <c r="E362" s="2886">
        <v>429137</v>
      </c>
      <c r="F362" s="2886">
        <v>43087</v>
      </c>
      <c r="G362" s="2886">
        <v>123717</v>
      </c>
    </row>
    <row r="363" spans="1:7">
      <c r="A363" t="s">
        <v>3522</v>
      </c>
      <c r="B363" s="1417" t="s">
        <v>1236</v>
      </c>
      <c r="C363" t="s">
        <v>2365</v>
      </c>
      <c r="D363" s="2885">
        <v>1515.0060000000001</v>
      </c>
      <c r="E363" s="2886">
        <v>2206596</v>
      </c>
      <c r="F363" s="2886">
        <v>596588</v>
      </c>
      <c r="G363" s="2886">
        <v>1497919</v>
      </c>
    </row>
    <row r="364" spans="1:7">
      <c r="A364" t="s">
        <v>3523</v>
      </c>
      <c r="B364" s="1417" t="s">
        <v>1237</v>
      </c>
      <c r="C364" t="s">
        <v>1335</v>
      </c>
      <c r="D364" s="2885">
        <v>1508.9079999999999</v>
      </c>
      <c r="E364" s="2886">
        <v>1598688</v>
      </c>
      <c r="F364" s="2886">
        <v>323783</v>
      </c>
      <c r="G364" s="2886">
        <v>854359</v>
      </c>
    </row>
    <row r="365" spans="1:7">
      <c r="A365" t="s">
        <v>5881</v>
      </c>
      <c r="B365" s="1417" t="s">
        <v>1463</v>
      </c>
      <c r="C365" t="s">
        <v>1650</v>
      </c>
      <c r="D365" s="2885">
        <v>765.02100000000019</v>
      </c>
      <c r="E365" s="2886">
        <v>359339</v>
      </c>
      <c r="F365" s="2886">
        <v>0</v>
      </c>
      <c r="G365" s="2886">
        <v>358012</v>
      </c>
    </row>
    <row r="366" spans="1:7">
      <c r="A366" t="s">
        <v>3524</v>
      </c>
      <c r="B366" s="1417" t="s">
        <v>215</v>
      </c>
      <c r="C366" t="s">
        <v>2100</v>
      </c>
      <c r="D366" s="2885">
        <v>1340.789</v>
      </c>
      <c r="E366" s="2886">
        <v>976194</v>
      </c>
      <c r="F366" s="2886">
        <v>315852</v>
      </c>
      <c r="G366" s="2886">
        <v>526134</v>
      </c>
    </row>
    <row r="367" spans="1:7">
      <c r="A367" t="s">
        <v>5882</v>
      </c>
      <c r="B367" s="1417" t="s">
        <v>2582</v>
      </c>
      <c r="C367" t="s">
        <v>1041</v>
      </c>
      <c r="D367" s="2885">
        <v>833.43900000000019</v>
      </c>
      <c r="E367" s="2886">
        <v>425644</v>
      </c>
      <c r="F367" s="2886">
        <v>0</v>
      </c>
      <c r="G367" s="2886">
        <v>540192</v>
      </c>
    </row>
    <row r="368" spans="1:7">
      <c r="A368" t="s">
        <v>3525</v>
      </c>
      <c r="B368" s="1417" t="s">
        <v>1308</v>
      </c>
      <c r="C368" t="s">
        <v>1732</v>
      </c>
      <c r="D368" s="2885">
        <v>751.82900000000018</v>
      </c>
      <c r="E368" s="2886">
        <v>1127222</v>
      </c>
      <c r="F368" s="2886">
        <v>329088</v>
      </c>
      <c r="G368" s="2886">
        <v>607197</v>
      </c>
    </row>
    <row r="369" spans="1:7">
      <c r="A369" t="s">
        <v>5883</v>
      </c>
      <c r="B369" s="1417" t="s">
        <v>1286</v>
      </c>
      <c r="C369" t="s">
        <v>222</v>
      </c>
      <c r="D369" s="2885">
        <v>628.95400000000018</v>
      </c>
      <c r="E369" s="2886">
        <v>221318</v>
      </c>
      <c r="F369" s="2886">
        <v>0</v>
      </c>
      <c r="G369" s="2886">
        <v>383226</v>
      </c>
    </row>
    <row r="370" spans="1:7">
      <c r="A370" t="s">
        <v>5884</v>
      </c>
      <c r="B370" s="1417" t="s">
        <v>1287</v>
      </c>
      <c r="C370" t="s">
        <v>223</v>
      </c>
      <c r="D370" s="2885">
        <v>1659.4730000000004</v>
      </c>
      <c r="E370" s="2886">
        <v>1646852</v>
      </c>
      <c r="F370" s="2886">
        <v>0</v>
      </c>
      <c r="G370" s="2886">
        <v>1399533</v>
      </c>
    </row>
    <row r="371" spans="1:7">
      <c r="A371" t="s">
        <v>5885</v>
      </c>
      <c r="B371" s="1417" t="s">
        <v>1288</v>
      </c>
      <c r="C371" t="s">
        <v>224</v>
      </c>
      <c r="D371" s="2885">
        <v>3807.6410000000001</v>
      </c>
      <c r="E371" s="2886">
        <v>4136049</v>
      </c>
      <c r="F371" s="2886">
        <v>0</v>
      </c>
      <c r="G371" s="2886">
        <v>3440738</v>
      </c>
    </row>
    <row r="372" spans="1:7">
      <c r="A372" t="s">
        <v>4728</v>
      </c>
      <c r="B372" s="1417" t="s">
        <v>457</v>
      </c>
      <c r="C372" t="s">
        <v>2126</v>
      </c>
      <c r="D372" s="2885">
        <v>7989.4790000000003</v>
      </c>
      <c r="E372" s="2886">
        <v>18777326</v>
      </c>
      <c r="F372" s="2886">
        <v>0</v>
      </c>
      <c r="G372" s="2886">
        <v>8109321</v>
      </c>
    </row>
    <row r="373" spans="1:7">
      <c r="A373" t="s">
        <v>5886</v>
      </c>
      <c r="B373" s="1417" t="s">
        <v>2189</v>
      </c>
      <c r="C373" t="s">
        <v>225</v>
      </c>
      <c r="D373" s="2885">
        <v>4345.0290000000005</v>
      </c>
      <c r="E373" s="2886">
        <v>5702044</v>
      </c>
      <c r="F373" s="2886">
        <v>0</v>
      </c>
      <c r="G373" s="2886">
        <v>4410204</v>
      </c>
    </row>
    <row r="374" spans="1:7">
      <c r="A374" t="s">
        <v>5887</v>
      </c>
      <c r="B374" s="1417" t="s">
        <v>2639</v>
      </c>
      <c r="C374" t="s">
        <v>226</v>
      </c>
      <c r="D374" s="2885">
        <v>1372.605</v>
      </c>
      <c r="E374" s="2886">
        <v>1092238</v>
      </c>
      <c r="F374" s="2886">
        <v>0</v>
      </c>
      <c r="G374" s="2886">
        <v>866561</v>
      </c>
    </row>
    <row r="375" spans="1:7">
      <c r="A375" t="s">
        <v>3526</v>
      </c>
      <c r="B375" s="1417" t="s">
        <v>1509</v>
      </c>
      <c r="C375" t="s">
        <v>1936</v>
      </c>
      <c r="D375" s="2885">
        <v>1831.2420000000004</v>
      </c>
      <c r="E375" s="2886">
        <v>2231673</v>
      </c>
      <c r="F375" s="2886">
        <v>933901</v>
      </c>
      <c r="G375" s="2886">
        <v>1063435</v>
      </c>
    </row>
    <row r="376" spans="1:7">
      <c r="A376" t="s">
        <v>5888</v>
      </c>
      <c r="B376" s="1417" t="s">
        <v>2640</v>
      </c>
      <c r="C376" t="s">
        <v>227</v>
      </c>
      <c r="D376" s="2885">
        <v>1424.181</v>
      </c>
      <c r="E376" s="2886">
        <v>231365</v>
      </c>
      <c r="F376" s="2886">
        <v>0</v>
      </c>
      <c r="G376" s="2886">
        <v>218204</v>
      </c>
    </row>
    <row r="377" spans="1:7">
      <c r="A377" t="s">
        <v>5889</v>
      </c>
      <c r="B377" s="1417" t="s">
        <v>2641</v>
      </c>
      <c r="C377" t="s">
        <v>1042</v>
      </c>
      <c r="D377" s="2885">
        <v>808.39</v>
      </c>
      <c r="E377" s="2886">
        <v>2244966</v>
      </c>
      <c r="F377" s="2886">
        <v>0</v>
      </c>
      <c r="G377" s="2886">
        <v>820516</v>
      </c>
    </row>
    <row r="378" spans="1:7">
      <c r="A378" t="s">
        <v>3527</v>
      </c>
      <c r="B378" s="1417" t="s">
        <v>2642</v>
      </c>
      <c r="C378" t="s">
        <v>229</v>
      </c>
      <c r="D378" s="2885">
        <v>433.178</v>
      </c>
      <c r="E378" s="2886">
        <v>768898</v>
      </c>
      <c r="F378" s="2886">
        <v>119954</v>
      </c>
      <c r="G378" s="2886">
        <v>180146</v>
      </c>
    </row>
    <row r="379" spans="1:7">
      <c r="A379" t="s">
        <v>5890</v>
      </c>
      <c r="B379" s="1417" t="s">
        <v>2643</v>
      </c>
      <c r="C379" t="s">
        <v>230</v>
      </c>
      <c r="D379" s="2885">
        <v>2823.2530000000002</v>
      </c>
      <c r="E379" s="2886">
        <v>2006024</v>
      </c>
      <c r="F379" s="2886">
        <v>0</v>
      </c>
      <c r="G379" s="2886">
        <v>1401371</v>
      </c>
    </row>
    <row r="380" spans="1:7">
      <c r="A380" t="s">
        <v>6725</v>
      </c>
      <c r="B380" s="1417" t="s">
        <v>2142</v>
      </c>
      <c r="C380" t="s">
        <v>231</v>
      </c>
      <c r="D380" s="2885">
        <v>141.58500000000001</v>
      </c>
      <c r="E380" s="2886">
        <v>0</v>
      </c>
      <c r="F380" s="2886">
        <v>0</v>
      </c>
      <c r="G380" s="2886">
        <v>0</v>
      </c>
    </row>
    <row r="381" spans="1:7">
      <c r="A381" t="s">
        <v>3528</v>
      </c>
      <c r="B381" s="1417" t="s">
        <v>495</v>
      </c>
      <c r="C381" t="s">
        <v>1247</v>
      </c>
      <c r="D381" s="2885">
        <v>6608.5119999999997</v>
      </c>
      <c r="E381" s="2886">
        <v>10744410</v>
      </c>
      <c r="F381" s="2886">
        <v>2353871</v>
      </c>
      <c r="G381" s="2886">
        <v>4533209</v>
      </c>
    </row>
    <row r="382" spans="1:7">
      <c r="A382" t="s">
        <v>3529</v>
      </c>
      <c r="B382" s="1417" t="s">
        <v>493</v>
      </c>
      <c r="C382" t="s">
        <v>1245</v>
      </c>
      <c r="D382" s="2885">
        <v>14612.235000000001</v>
      </c>
      <c r="E382" s="2886">
        <v>21170321</v>
      </c>
      <c r="F382" s="2886">
        <v>4565837</v>
      </c>
      <c r="G382" s="2886">
        <v>13203723</v>
      </c>
    </row>
    <row r="383" spans="1:7">
      <c r="A383" t="s">
        <v>3530</v>
      </c>
      <c r="B383" s="1417" t="s">
        <v>2143</v>
      </c>
      <c r="C383" t="s">
        <v>232</v>
      </c>
      <c r="D383" s="2885">
        <v>1732.6379999999999</v>
      </c>
      <c r="E383" s="2886">
        <v>2252755</v>
      </c>
      <c r="F383" s="2886">
        <v>388765</v>
      </c>
      <c r="G383" s="2886">
        <v>1108677</v>
      </c>
    </row>
    <row r="384" spans="1:7">
      <c r="A384" t="s">
        <v>4755</v>
      </c>
      <c r="B384" s="1417" t="s">
        <v>349</v>
      </c>
      <c r="C384" t="s">
        <v>293</v>
      </c>
      <c r="D384" s="2885">
        <v>1333.8120000000001</v>
      </c>
      <c r="E384" s="2886">
        <v>1135993</v>
      </c>
      <c r="F384" s="2886">
        <v>0</v>
      </c>
      <c r="G384" s="2886">
        <v>562020</v>
      </c>
    </row>
    <row r="385" spans="1:7">
      <c r="A385" t="s">
        <v>5891</v>
      </c>
      <c r="B385" s="1417" t="s">
        <v>2144</v>
      </c>
      <c r="C385" t="s">
        <v>233</v>
      </c>
      <c r="D385" s="2885">
        <v>748.36900000000003</v>
      </c>
      <c r="E385" s="2886">
        <v>1769923</v>
      </c>
      <c r="F385" s="2886">
        <v>0</v>
      </c>
      <c r="G385" s="2886">
        <v>759595</v>
      </c>
    </row>
    <row r="386" spans="1:7">
      <c r="A386" t="s">
        <v>6726</v>
      </c>
      <c r="B386" s="1417" t="s">
        <v>2145</v>
      </c>
      <c r="C386" t="s">
        <v>234</v>
      </c>
      <c r="D386" s="2885">
        <v>86.125</v>
      </c>
      <c r="E386" s="2886">
        <v>0</v>
      </c>
      <c r="F386" s="2886">
        <v>0</v>
      </c>
      <c r="G386" s="2886">
        <v>0</v>
      </c>
    </row>
    <row r="387" spans="1:7">
      <c r="A387" t="s">
        <v>5892</v>
      </c>
      <c r="B387" s="1417" t="s">
        <v>505</v>
      </c>
      <c r="C387" t="s">
        <v>235</v>
      </c>
      <c r="D387" s="2885">
        <v>561.697</v>
      </c>
      <c r="E387" s="2886">
        <v>253649</v>
      </c>
      <c r="F387" s="2886">
        <v>0</v>
      </c>
      <c r="G387" s="2886">
        <v>242539</v>
      </c>
    </row>
    <row r="388" spans="1:7">
      <c r="A388" t="s">
        <v>6727</v>
      </c>
      <c r="B388" s="1417" t="s">
        <v>1955</v>
      </c>
      <c r="C388" t="s">
        <v>236</v>
      </c>
      <c r="D388" s="2885">
        <v>230.94200000000001</v>
      </c>
      <c r="E388" s="2886">
        <v>42</v>
      </c>
      <c r="F388" s="2886">
        <v>0</v>
      </c>
      <c r="G388" s="2886">
        <v>0</v>
      </c>
    </row>
    <row r="389" spans="1:7">
      <c r="A389" t="s">
        <v>6728</v>
      </c>
      <c r="B389" s="1417" t="s">
        <v>2072</v>
      </c>
      <c r="C389" t="s">
        <v>237</v>
      </c>
      <c r="D389" s="2885">
        <v>5154.1450000000004</v>
      </c>
      <c r="E389" s="2886">
        <v>0</v>
      </c>
      <c r="F389" s="2886">
        <v>0</v>
      </c>
      <c r="G389" s="2886">
        <v>0</v>
      </c>
    </row>
    <row r="390" spans="1:7">
      <c r="A390" t="s">
        <v>6729</v>
      </c>
      <c r="B390" s="1417" t="s">
        <v>2073</v>
      </c>
      <c r="C390" t="s">
        <v>238</v>
      </c>
      <c r="D390" s="2885">
        <v>468.315</v>
      </c>
      <c r="E390" s="2886">
        <v>0</v>
      </c>
      <c r="F390" s="2886">
        <v>0</v>
      </c>
      <c r="G390" s="2886">
        <v>0</v>
      </c>
    </row>
    <row r="391" spans="1:7">
      <c r="A391" t="s">
        <v>5893</v>
      </c>
      <c r="B391" s="1417" t="s">
        <v>146</v>
      </c>
      <c r="C391" t="s">
        <v>239</v>
      </c>
      <c r="D391" s="2885">
        <v>187.511</v>
      </c>
      <c r="E391" s="2886">
        <v>169822</v>
      </c>
      <c r="F391" s="2886">
        <v>0</v>
      </c>
      <c r="G391" s="2886">
        <v>166262</v>
      </c>
    </row>
    <row r="392" spans="1:7">
      <c r="A392" t="s">
        <v>5894</v>
      </c>
      <c r="B392" s="1417" t="s">
        <v>147</v>
      </c>
      <c r="C392" t="s">
        <v>1043</v>
      </c>
      <c r="D392" s="2885">
        <v>757.20500000000004</v>
      </c>
      <c r="E392" s="2886">
        <v>422664</v>
      </c>
      <c r="F392" s="2886">
        <v>0</v>
      </c>
      <c r="G392" s="2886">
        <v>368239</v>
      </c>
    </row>
    <row r="393" spans="1:7">
      <c r="A393" t="s">
        <v>3531</v>
      </c>
      <c r="B393" s="1417" t="s">
        <v>2507</v>
      </c>
      <c r="C393" t="s">
        <v>2373</v>
      </c>
      <c r="D393" s="2885">
        <v>537.46800000000007</v>
      </c>
      <c r="E393" s="2886">
        <v>308976</v>
      </c>
      <c r="F393" s="2886">
        <v>152158</v>
      </c>
      <c r="G393" s="2886">
        <v>134894</v>
      </c>
    </row>
    <row r="394" spans="1:7">
      <c r="A394" t="s">
        <v>5895</v>
      </c>
      <c r="B394" s="1417" t="s">
        <v>2344</v>
      </c>
      <c r="C394" t="s">
        <v>241</v>
      </c>
      <c r="D394" s="2885">
        <v>410.75900000000001</v>
      </c>
      <c r="E394" s="2886">
        <v>922759</v>
      </c>
      <c r="F394" s="2886">
        <v>0</v>
      </c>
      <c r="G394" s="2886">
        <v>105708</v>
      </c>
    </row>
    <row r="395" spans="1:7">
      <c r="A395" t="s">
        <v>5896</v>
      </c>
      <c r="B395" s="1417" t="s">
        <v>1120</v>
      </c>
      <c r="C395" t="s">
        <v>1044</v>
      </c>
      <c r="D395" s="2885">
        <v>116.26700000000002</v>
      </c>
      <c r="E395" s="2886">
        <v>473482</v>
      </c>
      <c r="F395" s="2886">
        <v>0</v>
      </c>
      <c r="G395" s="2886">
        <v>35887</v>
      </c>
    </row>
    <row r="396" spans="1:7">
      <c r="A396" t="s">
        <v>5897</v>
      </c>
      <c r="B396" s="1417" t="s">
        <v>1121</v>
      </c>
      <c r="C396" t="s">
        <v>2596</v>
      </c>
      <c r="D396" s="2885">
        <v>792.44800000000021</v>
      </c>
      <c r="E396" s="2886">
        <v>858782</v>
      </c>
      <c r="F396" s="2886">
        <v>0</v>
      </c>
      <c r="G396" s="2886">
        <v>641981</v>
      </c>
    </row>
    <row r="397" spans="1:7">
      <c r="A397" t="s">
        <v>5898</v>
      </c>
      <c r="B397" s="1417" t="s">
        <v>2106</v>
      </c>
      <c r="C397" t="s">
        <v>476</v>
      </c>
      <c r="D397" s="2885">
        <v>171.53</v>
      </c>
      <c r="E397" s="2886">
        <v>253150</v>
      </c>
      <c r="F397" s="2886">
        <v>0</v>
      </c>
      <c r="G397" s="2886">
        <v>0</v>
      </c>
    </row>
    <row r="398" spans="1:7">
      <c r="A398" t="s">
        <v>6730</v>
      </c>
      <c r="B398" s="1417" t="s">
        <v>2107</v>
      </c>
      <c r="C398" t="s">
        <v>477</v>
      </c>
      <c r="D398" s="2885">
        <v>536.54600000000005</v>
      </c>
      <c r="E398" s="2886">
        <v>0</v>
      </c>
      <c r="F398" s="2886">
        <v>0</v>
      </c>
      <c r="G398" s="2886">
        <v>0</v>
      </c>
    </row>
    <row r="399" spans="1:7">
      <c r="A399" t="s">
        <v>5899</v>
      </c>
      <c r="B399" s="1417" t="s">
        <v>1020</v>
      </c>
      <c r="C399" t="s">
        <v>478</v>
      </c>
      <c r="D399" s="2885">
        <v>1070.213</v>
      </c>
      <c r="E399" s="2886">
        <v>677558</v>
      </c>
      <c r="F399" s="2886">
        <v>0</v>
      </c>
      <c r="G399" s="2886">
        <v>632941</v>
      </c>
    </row>
    <row r="400" spans="1:7">
      <c r="A400" t="s">
        <v>3532</v>
      </c>
      <c r="B400" s="1417" t="s">
        <v>1148</v>
      </c>
      <c r="C400" t="s">
        <v>1494</v>
      </c>
      <c r="D400" s="2885">
        <v>2676.3070000000002</v>
      </c>
      <c r="E400" s="2886">
        <v>2724225</v>
      </c>
      <c r="F400" s="2886">
        <v>1233741</v>
      </c>
      <c r="G400" s="2886">
        <v>1117173</v>
      </c>
    </row>
    <row r="401" spans="1:7">
      <c r="A401" t="s">
        <v>5900</v>
      </c>
      <c r="B401" s="1417" t="s">
        <v>381</v>
      </c>
      <c r="C401" t="s">
        <v>479</v>
      </c>
      <c r="D401" s="2885">
        <v>2097.6210000000001</v>
      </c>
      <c r="E401" s="2886">
        <v>2401867</v>
      </c>
      <c r="F401" s="2886">
        <v>0</v>
      </c>
      <c r="G401" s="2886">
        <v>2003436</v>
      </c>
    </row>
    <row r="402" spans="1:7">
      <c r="A402" t="s">
        <v>3533</v>
      </c>
      <c r="B402" s="1417" t="s">
        <v>2285</v>
      </c>
      <c r="C402" t="s">
        <v>839</v>
      </c>
      <c r="D402" s="2885">
        <v>3698.723</v>
      </c>
      <c r="E402" s="2886">
        <v>1279775</v>
      </c>
      <c r="F402" s="2886">
        <v>1139137</v>
      </c>
      <c r="G402" s="2886">
        <v>72775</v>
      </c>
    </row>
    <row r="403" spans="1:7">
      <c r="A403" t="s">
        <v>3534</v>
      </c>
      <c r="B403" s="1417" t="s">
        <v>1179</v>
      </c>
      <c r="C403" t="s">
        <v>297</v>
      </c>
      <c r="D403" s="2885">
        <v>510.8850000000001</v>
      </c>
      <c r="E403" s="2886">
        <v>225733</v>
      </c>
      <c r="F403" s="2886">
        <v>1101</v>
      </c>
      <c r="G403" s="2886">
        <v>230999</v>
      </c>
    </row>
    <row r="404" spans="1:7">
      <c r="A404" t="s">
        <v>3535</v>
      </c>
      <c r="B404" s="1417" t="s">
        <v>585</v>
      </c>
      <c r="C404" t="s">
        <v>699</v>
      </c>
      <c r="D404" s="2885">
        <v>63320.623</v>
      </c>
      <c r="E404" s="2886">
        <v>34862701</v>
      </c>
      <c r="F404" s="2886">
        <v>18448693</v>
      </c>
      <c r="G404" s="2886">
        <v>11268258</v>
      </c>
    </row>
    <row r="405" spans="1:7">
      <c r="A405" t="s">
        <v>3536</v>
      </c>
      <c r="B405" s="1417" t="s">
        <v>194</v>
      </c>
      <c r="C405" t="s">
        <v>1987</v>
      </c>
      <c r="D405" s="2885">
        <v>43073.720999999998</v>
      </c>
      <c r="E405" s="2886">
        <v>25875566</v>
      </c>
      <c r="F405" s="2886">
        <v>6139206</v>
      </c>
      <c r="G405" s="2886">
        <v>13694618</v>
      </c>
    </row>
    <row r="406" spans="1:7">
      <c r="A406" t="s">
        <v>3537</v>
      </c>
      <c r="B406" s="1417" t="s">
        <v>2313</v>
      </c>
      <c r="C406" t="s">
        <v>480</v>
      </c>
      <c r="D406" s="2885">
        <v>8931.5850000000009</v>
      </c>
      <c r="E406" s="2886">
        <v>9558695</v>
      </c>
      <c r="F406" s="2886">
        <v>1873526</v>
      </c>
      <c r="G406" s="2886">
        <v>6933555</v>
      </c>
    </row>
    <row r="407" spans="1:7">
      <c r="A407" t="s">
        <v>3538</v>
      </c>
      <c r="B407" s="1417" t="s">
        <v>2404</v>
      </c>
      <c r="C407" t="s">
        <v>418</v>
      </c>
      <c r="D407" s="2885">
        <v>5570.616</v>
      </c>
      <c r="E407" s="2886">
        <v>8383189</v>
      </c>
      <c r="F407" s="2886">
        <v>1870643</v>
      </c>
      <c r="G407" s="2886">
        <v>4681029</v>
      </c>
    </row>
    <row r="408" spans="1:7">
      <c r="A408" t="s">
        <v>5901</v>
      </c>
      <c r="B408" s="1417" t="s">
        <v>2314</v>
      </c>
      <c r="C408" t="s">
        <v>481</v>
      </c>
      <c r="D408" s="2885">
        <v>107934.49099999999</v>
      </c>
      <c r="E408" s="2886">
        <v>184307907</v>
      </c>
      <c r="F408" s="2886">
        <v>0</v>
      </c>
      <c r="G408" s="2886">
        <v>109553508</v>
      </c>
    </row>
    <row r="409" spans="1:7">
      <c r="A409" t="s">
        <v>5902</v>
      </c>
      <c r="B409" s="1417" t="s">
        <v>2166</v>
      </c>
      <c r="C409" t="s">
        <v>482</v>
      </c>
      <c r="D409" s="2885">
        <v>12357.224</v>
      </c>
      <c r="E409" s="2886">
        <v>24325085</v>
      </c>
      <c r="F409" s="2886">
        <v>0</v>
      </c>
      <c r="G409" s="2886">
        <v>12542582</v>
      </c>
    </row>
    <row r="410" spans="1:7">
      <c r="A410" t="s">
        <v>3539</v>
      </c>
      <c r="B410" s="1417" t="s">
        <v>1428</v>
      </c>
      <c r="C410" t="s">
        <v>1480</v>
      </c>
      <c r="D410" s="2885">
        <v>21195.330999999995</v>
      </c>
      <c r="E410" s="2886">
        <v>25567081</v>
      </c>
      <c r="F410" s="2886">
        <v>5221052</v>
      </c>
      <c r="G410" s="2886">
        <v>14347823</v>
      </c>
    </row>
    <row r="411" spans="1:7">
      <c r="A411" t="s">
        <v>5903</v>
      </c>
      <c r="B411" s="1417" t="s">
        <v>2020</v>
      </c>
      <c r="C411" t="s">
        <v>483</v>
      </c>
      <c r="D411" s="2885">
        <v>22014.190999999999</v>
      </c>
      <c r="E411" s="2886">
        <v>28464587</v>
      </c>
      <c r="F411" s="2886">
        <v>0</v>
      </c>
      <c r="G411" s="2886">
        <v>22344404</v>
      </c>
    </row>
    <row r="412" spans="1:7">
      <c r="A412" t="s">
        <v>5904</v>
      </c>
      <c r="B412" s="1417" t="s">
        <v>2552</v>
      </c>
      <c r="C412" t="s">
        <v>484</v>
      </c>
      <c r="D412" s="2885">
        <v>192363.49100000001</v>
      </c>
      <c r="E412" s="2886">
        <v>286348310</v>
      </c>
      <c r="F412" s="2886">
        <v>4790587</v>
      </c>
      <c r="G412" s="2886">
        <v>129464800</v>
      </c>
    </row>
    <row r="413" spans="1:7">
      <c r="A413" t="s">
        <v>3540</v>
      </c>
      <c r="B413" s="1417" t="s">
        <v>1117</v>
      </c>
      <c r="C413" t="s">
        <v>2385</v>
      </c>
      <c r="D413" s="2885">
        <v>39101.635000000002</v>
      </c>
      <c r="E413" s="2886">
        <v>50419853</v>
      </c>
      <c r="F413" s="2886">
        <v>4663696</v>
      </c>
      <c r="G413" s="2886">
        <v>37519685</v>
      </c>
    </row>
    <row r="414" spans="1:7">
      <c r="A414" t="s">
        <v>3541</v>
      </c>
      <c r="B414" s="1417" t="s">
        <v>48</v>
      </c>
      <c r="C414" t="s">
        <v>410</v>
      </c>
      <c r="D414" s="2885">
        <v>72012.748999999996</v>
      </c>
      <c r="E414" s="2886">
        <v>137890803</v>
      </c>
      <c r="F414" s="2886">
        <v>10938331</v>
      </c>
      <c r="G414" s="2886">
        <v>73092940</v>
      </c>
    </row>
    <row r="415" spans="1:7">
      <c r="A415" t="s">
        <v>3542</v>
      </c>
      <c r="B415" s="1417" t="s">
        <v>55</v>
      </c>
      <c r="C415" t="s">
        <v>2585</v>
      </c>
      <c r="D415" s="2885">
        <v>48806.851999999999</v>
      </c>
      <c r="E415" s="2886">
        <v>73111713</v>
      </c>
      <c r="F415" s="2886">
        <v>15655092</v>
      </c>
      <c r="G415" s="2886">
        <v>49538955</v>
      </c>
    </row>
    <row r="416" spans="1:7">
      <c r="A416" t="s">
        <v>5905</v>
      </c>
      <c r="B416" s="1417" t="s">
        <v>2553</v>
      </c>
      <c r="C416" t="s">
        <v>485</v>
      </c>
      <c r="D416" s="2885">
        <v>7182.8610000000017</v>
      </c>
      <c r="E416" s="2886">
        <v>35177784</v>
      </c>
      <c r="F416" s="2886">
        <v>0</v>
      </c>
      <c r="G416" s="2886">
        <v>7290604</v>
      </c>
    </row>
    <row r="417" spans="1:7">
      <c r="A417" t="s">
        <v>3543</v>
      </c>
      <c r="B417" s="1417" t="s">
        <v>206</v>
      </c>
      <c r="C417" t="s">
        <v>272</v>
      </c>
      <c r="D417" s="2885">
        <v>51730.097999999998</v>
      </c>
      <c r="E417" s="2886">
        <v>34373713</v>
      </c>
      <c r="F417" s="2886">
        <v>6582699</v>
      </c>
      <c r="G417" s="2886">
        <v>23606272</v>
      </c>
    </row>
    <row r="418" spans="1:7">
      <c r="A418" t="s">
        <v>5906</v>
      </c>
      <c r="B418" s="1417" t="s">
        <v>668</v>
      </c>
      <c r="C418" t="s">
        <v>486</v>
      </c>
      <c r="D418" s="2885">
        <v>33432.480000000003</v>
      </c>
      <c r="E418" s="2886">
        <v>50424340</v>
      </c>
      <c r="F418" s="2886">
        <v>0</v>
      </c>
      <c r="G418" s="2886">
        <v>30746970</v>
      </c>
    </row>
    <row r="419" spans="1:7">
      <c r="A419" t="s">
        <v>5907</v>
      </c>
      <c r="B419" s="1417" t="s">
        <v>811</v>
      </c>
      <c r="C419" t="s">
        <v>2190</v>
      </c>
      <c r="D419" s="2885">
        <v>32554.277999999998</v>
      </c>
      <c r="E419" s="2886">
        <v>90884580</v>
      </c>
      <c r="F419" s="2886">
        <v>0</v>
      </c>
      <c r="G419" s="2886">
        <v>33042592</v>
      </c>
    </row>
    <row r="420" spans="1:7">
      <c r="A420" t="s">
        <v>5908</v>
      </c>
      <c r="B420" s="1417" t="s">
        <v>1947</v>
      </c>
      <c r="C420" t="s">
        <v>2191</v>
      </c>
      <c r="D420" s="2885">
        <v>14280.99</v>
      </c>
      <c r="E420" s="2886">
        <v>29258195</v>
      </c>
      <c r="F420" s="2886">
        <v>0</v>
      </c>
      <c r="G420" s="2886">
        <v>14495205</v>
      </c>
    </row>
    <row r="421" spans="1:7">
      <c r="A421" t="s">
        <v>5909</v>
      </c>
      <c r="B421" s="1417" t="s">
        <v>1948</v>
      </c>
      <c r="C421" t="s">
        <v>2192</v>
      </c>
      <c r="D421" s="2885">
        <v>8151.3770000000004</v>
      </c>
      <c r="E421" s="2886">
        <v>12501145</v>
      </c>
      <c r="F421" s="2886">
        <v>0</v>
      </c>
      <c r="G421" s="2886">
        <v>7673671</v>
      </c>
    </row>
    <row r="422" spans="1:7">
      <c r="A422" t="s">
        <v>3544</v>
      </c>
      <c r="B422" s="1417" t="s">
        <v>867</v>
      </c>
      <c r="C422" t="s">
        <v>2383</v>
      </c>
      <c r="D422" s="2885">
        <v>3216.9229999999998</v>
      </c>
      <c r="E422" s="2886">
        <v>3704372</v>
      </c>
      <c r="F422" s="2886">
        <v>701238</v>
      </c>
      <c r="G422" s="2886">
        <v>2359009</v>
      </c>
    </row>
    <row r="423" spans="1:7">
      <c r="A423" t="s">
        <v>6731</v>
      </c>
      <c r="B423" s="1417" t="s">
        <v>1949</v>
      </c>
      <c r="C423" t="s">
        <v>2193</v>
      </c>
      <c r="D423" s="2885">
        <v>123.58</v>
      </c>
      <c r="E423" s="2886">
        <v>0</v>
      </c>
      <c r="F423" s="2886">
        <v>0</v>
      </c>
      <c r="G423" s="2886">
        <v>0</v>
      </c>
    </row>
    <row r="424" spans="1:7">
      <c r="A424" t="s">
        <v>5910</v>
      </c>
      <c r="B424" s="1417" t="s">
        <v>1500</v>
      </c>
      <c r="C424" t="s">
        <v>2194</v>
      </c>
      <c r="D424" s="2885">
        <v>4960.5219999999999</v>
      </c>
      <c r="E424" s="2886">
        <v>6497633</v>
      </c>
      <c r="F424" s="2886">
        <v>0</v>
      </c>
      <c r="G424" s="2886">
        <v>0</v>
      </c>
    </row>
    <row r="425" spans="1:7">
      <c r="A425" t="s">
        <v>5911</v>
      </c>
      <c r="B425" s="1417" t="s">
        <v>1501</v>
      </c>
      <c r="C425" t="s">
        <v>2195</v>
      </c>
      <c r="D425" s="2885">
        <v>871.84</v>
      </c>
      <c r="E425" s="2886">
        <v>1285335</v>
      </c>
      <c r="F425" s="2886">
        <v>0</v>
      </c>
      <c r="G425" s="2886">
        <v>298842</v>
      </c>
    </row>
    <row r="426" spans="1:7">
      <c r="A426" t="s">
        <v>5912</v>
      </c>
      <c r="B426" s="1417" t="s">
        <v>1502</v>
      </c>
      <c r="C426" t="s">
        <v>2074</v>
      </c>
      <c r="D426" s="2885">
        <v>4725.3280000000004</v>
      </c>
      <c r="E426" s="2886">
        <v>7830894</v>
      </c>
      <c r="F426" s="2886">
        <v>0</v>
      </c>
      <c r="G426" s="2886">
        <v>4796208</v>
      </c>
    </row>
    <row r="427" spans="1:7">
      <c r="A427" t="s">
        <v>5913</v>
      </c>
      <c r="B427" s="1417" t="s">
        <v>1568</v>
      </c>
      <c r="C427" t="s">
        <v>2075</v>
      </c>
      <c r="D427" s="2885">
        <v>730.84500000000003</v>
      </c>
      <c r="E427" s="2886">
        <v>108746</v>
      </c>
      <c r="F427" s="2886">
        <v>0</v>
      </c>
      <c r="G427" s="2886">
        <v>91311</v>
      </c>
    </row>
    <row r="428" spans="1:7">
      <c r="A428" t="s">
        <v>5914</v>
      </c>
      <c r="B428" s="1417" t="s">
        <v>1569</v>
      </c>
      <c r="C428" t="s">
        <v>156</v>
      </c>
      <c r="D428" s="2885">
        <v>844.428</v>
      </c>
      <c r="E428" s="2886">
        <v>898801</v>
      </c>
      <c r="F428" s="2886">
        <v>0</v>
      </c>
      <c r="G428" s="2886">
        <v>632898</v>
      </c>
    </row>
    <row r="429" spans="1:7">
      <c r="A429" t="s">
        <v>5915</v>
      </c>
      <c r="B429" s="1417" t="s">
        <v>497</v>
      </c>
      <c r="C429" t="s">
        <v>157</v>
      </c>
      <c r="D429" s="2885">
        <v>173.44900000000001</v>
      </c>
      <c r="E429" s="2886">
        <v>285371</v>
      </c>
      <c r="F429" s="2886">
        <v>0</v>
      </c>
      <c r="G429" s="2886">
        <v>65687</v>
      </c>
    </row>
    <row r="430" spans="1:7">
      <c r="A430" t="s">
        <v>5916</v>
      </c>
      <c r="B430" s="1417" t="s">
        <v>465</v>
      </c>
      <c r="C430" t="s">
        <v>158</v>
      </c>
      <c r="D430" s="2885">
        <v>215.20700000000005</v>
      </c>
      <c r="E430" s="2886">
        <v>431144</v>
      </c>
      <c r="F430" s="2886">
        <v>0</v>
      </c>
      <c r="G430" s="2886">
        <v>197727</v>
      </c>
    </row>
    <row r="431" spans="1:7">
      <c r="A431" t="s">
        <v>3545</v>
      </c>
      <c r="B431" s="1417" t="s">
        <v>466</v>
      </c>
      <c r="C431" t="s">
        <v>828</v>
      </c>
      <c r="D431" s="2885">
        <v>544.61200000000008</v>
      </c>
      <c r="E431" s="2886">
        <v>80894</v>
      </c>
      <c r="F431" s="2886">
        <v>76853</v>
      </c>
      <c r="G431" s="2886">
        <v>0</v>
      </c>
    </row>
    <row r="432" spans="1:7">
      <c r="A432" t="s">
        <v>6732</v>
      </c>
      <c r="B432" s="1417" t="s">
        <v>467</v>
      </c>
      <c r="C432" t="s">
        <v>159</v>
      </c>
      <c r="D432" s="2885">
        <v>129.00900000000001</v>
      </c>
      <c r="E432" s="2886">
        <v>0</v>
      </c>
      <c r="F432" s="2886">
        <v>0</v>
      </c>
      <c r="G432" s="2886">
        <v>0</v>
      </c>
    </row>
    <row r="433" spans="1:7">
      <c r="A433" t="s">
        <v>5917</v>
      </c>
      <c r="B433" s="1417" t="s">
        <v>468</v>
      </c>
      <c r="C433" t="s">
        <v>160</v>
      </c>
      <c r="D433" s="2885">
        <v>129.75300000000001</v>
      </c>
      <c r="E433" s="2886">
        <v>0</v>
      </c>
      <c r="F433" s="2886">
        <v>0</v>
      </c>
      <c r="G433" s="2886">
        <v>0</v>
      </c>
    </row>
    <row r="434" spans="1:7">
      <c r="A434" t="s">
        <v>5918</v>
      </c>
      <c r="B434" s="1417" t="s">
        <v>1141</v>
      </c>
      <c r="C434" t="s">
        <v>1045</v>
      </c>
      <c r="D434" s="2885">
        <v>7397.5829999999996</v>
      </c>
      <c r="E434" s="2886">
        <v>16416981</v>
      </c>
      <c r="F434" s="2886">
        <v>0</v>
      </c>
      <c r="G434" s="2886">
        <v>7508547</v>
      </c>
    </row>
    <row r="435" spans="1:7">
      <c r="A435" t="s">
        <v>3546</v>
      </c>
      <c r="B435" s="1417" t="s">
        <v>1488</v>
      </c>
      <c r="C435" t="s">
        <v>1061</v>
      </c>
      <c r="D435" s="2885">
        <v>5633.4530000000004</v>
      </c>
      <c r="E435" s="2886">
        <v>13771547</v>
      </c>
      <c r="F435" s="2886">
        <v>238708</v>
      </c>
      <c r="G435" s="2886">
        <v>5717955</v>
      </c>
    </row>
    <row r="436" spans="1:7">
      <c r="A436" t="s">
        <v>5919</v>
      </c>
      <c r="B436" s="1417" t="s">
        <v>1292</v>
      </c>
      <c r="C436" t="s">
        <v>162</v>
      </c>
      <c r="D436" s="2885">
        <v>2171.962</v>
      </c>
      <c r="E436" s="2886">
        <v>3600976</v>
      </c>
      <c r="F436" s="2886">
        <v>0</v>
      </c>
      <c r="G436" s="2886">
        <v>1635426</v>
      </c>
    </row>
    <row r="437" spans="1:7">
      <c r="A437" t="s">
        <v>3547</v>
      </c>
      <c r="B437" s="1417" t="s">
        <v>1863</v>
      </c>
      <c r="C437" t="s">
        <v>35</v>
      </c>
      <c r="D437" s="2885">
        <v>17816.580000000005</v>
      </c>
      <c r="E437" s="2886">
        <v>29876004</v>
      </c>
      <c r="F437" s="2886">
        <v>4686380</v>
      </c>
      <c r="G437" s="2886">
        <v>15242144</v>
      </c>
    </row>
    <row r="438" spans="1:7">
      <c r="A438" t="s">
        <v>5920</v>
      </c>
      <c r="B438" s="1417" t="s">
        <v>1703</v>
      </c>
      <c r="C438" t="s">
        <v>163</v>
      </c>
      <c r="D438" s="2885">
        <v>917.10500000000002</v>
      </c>
      <c r="E438" s="2886">
        <v>3276638</v>
      </c>
      <c r="F438" s="2886">
        <v>0</v>
      </c>
      <c r="G438" s="2886">
        <v>90900</v>
      </c>
    </row>
    <row r="439" spans="1:7">
      <c r="A439" t="s">
        <v>5921</v>
      </c>
      <c r="B439" s="1417" t="s">
        <v>1704</v>
      </c>
      <c r="C439" t="s">
        <v>1349</v>
      </c>
      <c r="D439" s="2885">
        <v>2926.54</v>
      </c>
      <c r="E439" s="2886">
        <v>4799347</v>
      </c>
      <c r="F439" s="2886">
        <v>0</v>
      </c>
      <c r="G439" s="2886">
        <v>1687586</v>
      </c>
    </row>
    <row r="440" spans="1:7">
      <c r="A440" t="s">
        <v>5922</v>
      </c>
      <c r="B440" s="1417" t="s">
        <v>2544</v>
      </c>
      <c r="C440" t="s">
        <v>1350</v>
      </c>
      <c r="D440" s="2885">
        <v>2551.9749999999999</v>
      </c>
      <c r="E440" s="2886">
        <v>1919237</v>
      </c>
      <c r="F440" s="2886">
        <v>439881</v>
      </c>
      <c r="G440" s="2886">
        <v>1328644</v>
      </c>
    </row>
    <row r="441" spans="1:7">
      <c r="A441" t="s">
        <v>5923</v>
      </c>
      <c r="B441" s="1417" t="s">
        <v>2519</v>
      </c>
      <c r="C441" t="s">
        <v>1351</v>
      </c>
      <c r="D441" s="2885">
        <v>512.78100000000006</v>
      </c>
      <c r="E441" s="2886">
        <v>462411</v>
      </c>
      <c r="F441" s="2886">
        <v>0</v>
      </c>
      <c r="G441" s="2886">
        <v>269042</v>
      </c>
    </row>
    <row r="442" spans="1:7">
      <c r="A442" t="s">
        <v>5924</v>
      </c>
      <c r="B442" s="1417" t="s">
        <v>2007</v>
      </c>
      <c r="C442" t="s">
        <v>1352</v>
      </c>
      <c r="D442" s="2885">
        <v>1457.383</v>
      </c>
      <c r="E442" s="2886">
        <v>982737</v>
      </c>
      <c r="F442" s="2886">
        <v>0</v>
      </c>
      <c r="G442" s="2886">
        <v>901825</v>
      </c>
    </row>
    <row r="443" spans="1:7">
      <c r="A443" t="s">
        <v>5925</v>
      </c>
      <c r="B443" s="1417" t="s">
        <v>63</v>
      </c>
      <c r="C443" t="s">
        <v>2599</v>
      </c>
      <c r="D443" s="2885">
        <v>1246.7450000000001</v>
      </c>
      <c r="E443" s="2886">
        <v>2211486</v>
      </c>
      <c r="F443" s="2886">
        <v>0</v>
      </c>
      <c r="G443" s="2886">
        <v>846116</v>
      </c>
    </row>
    <row r="444" spans="1:7">
      <c r="A444" t="s">
        <v>3548</v>
      </c>
      <c r="B444" s="1417" t="s">
        <v>1518</v>
      </c>
      <c r="C444" t="s">
        <v>607</v>
      </c>
      <c r="D444" s="2885">
        <v>152.89599999999999</v>
      </c>
      <c r="E444" s="2886">
        <v>107848</v>
      </c>
      <c r="F444" s="2886">
        <v>11948</v>
      </c>
      <c r="G444" s="2886">
        <v>83590</v>
      </c>
    </row>
    <row r="445" spans="1:7">
      <c r="A445" t="s">
        <v>4861</v>
      </c>
      <c r="B445" s="1417" t="s">
        <v>868</v>
      </c>
      <c r="C445" t="s">
        <v>2105</v>
      </c>
      <c r="D445" s="2885">
        <v>157.40100000000001</v>
      </c>
      <c r="E445" s="2886">
        <v>0</v>
      </c>
      <c r="F445" s="2886">
        <v>0</v>
      </c>
      <c r="G445" s="2886">
        <v>0</v>
      </c>
    </row>
    <row r="446" spans="1:7">
      <c r="A446" t="s">
        <v>5926</v>
      </c>
      <c r="B446" s="1417" t="s">
        <v>64</v>
      </c>
      <c r="C446" t="s">
        <v>2600</v>
      </c>
      <c r="D446" s="2885">
        <v>414.56100000000009</v>
      </c>
      <c r="E446" s="2886">
        <v>510880</v>
      </c>
      <c r="F446" s="2886">
        <v>0</v>
      </c>
      <c r="G446" s="2886">
        <v>0</v>
      </c>
    </row>
    <row r="447" spans="1:7">
      <c r="A447" t="s">
        <v>3549</v>
      </c>
      <c r="B447" s="1417" t="s">
        <v>2127</v>
      </c>
      <c r="C447" t="s">
        <v>32</v>
      </c>
      <c r="D447" s="2885">
        <v>13997.647000000003</v>
      </c>
      <c r="E447" s="2886">
        <v>1045302</v>
      </c>
      <c r="F447" s="2886">
        <v>1834582</v>
      </c>
      <c r="G447" s="2886">
        <v>0</v>
      </c>
    </row>
    <row r="448" spans="1:7">
      <c r="A448" t="s">
        <v>3550</v>
      </c>
      <c r="B448" s="1417" t="s">
        <v>770</v>
      </c>
      <c r="C448" t="s">
        <v>1066</v>
      </c>
      <c r="D448" s="2885">
        <v>4868.3320000000012</v>
      </c>
      <c r="E448" s="2886">
        <v>276447</v>
      </c>
      <c r="F448" s="2886">
        <v>597217</v>
      </c>
      <c r="G448" s="2886">
        <v>62163</v>
      </c>
    </row>
    <row r="449" spans="1:7">
      <c r="A449" t="s">
        <v>3551</v>
      </c>
      <c r="B449" s="1417" t="s">
        <v>772</v>
      </c>
      <c r="C449" t="s">
        <v>33</v>
      </c>
      <c r="D449" s="2885">
        <v>32050.044999999998</v>
      </c>
      <c r="E449" s="2886">
        <v>3920423</v>
      </c>
      <c r="F449" s="2886">
        <v>6618141</v>
      </c>
      <c r="G449" s="2886">
        <v>2397124</v>
      </c>
    </row>
    <row r="450" spans="1:7">
      <c r="A450" t="s">
        <v>3552</v>
      </c>
      <c r="B450" s="1417" t="s">
        <v>1865</v>
      </c>
      <c r="C450" t="s">
        <v>2374</v>
      </c>
      <c r="D450" s="2885">
        <v>2910.2950000000001</v>
      </c>
      <c r="E450" s="2886">
        <v>1481000</v>
      </c>
      <c r="F450" s="2886">
        <v>1076528</v>
      </c>
      <c r="G450" s="2886">
        <v>425804</v>
      </c>
    </row>
    <row r="451" spans="1:7">
      <c r="A451" t="s">
        <v>3553</v>
      </c>
      <c r="B451" s="1417" t="s">
        <v>2529</v>
      </c>
      <c r="C451" t="s">
        <v>817</v>
      </c>
      <c r="D451" s="2885">
        <v>22176.644</v>
      </c>
      <c r="E451" s="2886">
        <v>231151</v>
      </c>
      <c r="F451" s="2886">
        <v>1270790</v>
      </c>
      <c r="G451" s="2886">
        <v>6657174</v>
      </c>
    </row>
    <row r="452" spans="1:7">
      <c r="A452" t="s">
        <v>3554</v>
      </c>
      <c r="B452" s="1417" t="s">
        <v>2532</v>
      </c>
      <c r="C452" t="s">
        <v>2234</v>
      </c>
      <c r="D452" s="2885">
        <v>5057.7710000000006</v>
      </c>
      <c r="E452" s="2886">
        <v>1605871</v>
      </c>
      <c r="F452" s="2886">
        <v>1167603</v>
      </c>
      <c r="G452" s="2886">
        <v>324361</v>
      </c>
    </row>
    <row r="453" spans="1:7">
      <c r="A453" t="s">
        <v>3555</v>
      </c>
      <c r="B453" s="1417" t="s">
        <v>2538</v>
      </c>
      <c r="C453" t="s">
        <v>38</v>
      </c>
      <c r="D453" s="2885">
        <v>14359.32</v>
      </c>
      <c r="E453" s="2886">
        <v>3510182</v>
      </c>
      <c r="F453" s="2886">
        <v>3265928</v>
      </c>
      <c r="G453" s="2886">
        <v>0</v>
      </c>
    </row>
    <row r="454" spans="1:7">
      <c r="A454" t="s">
        <v>3556</v>
      </c>
      <c r="B454" s="1417" t="s">
        <v>211</v>
      </c>
      <c r="C454" t="s">
        <v>999</v>
      </c>
      <c r="D454" s="2885">
        <v>30627.74</v>
      </c>
      <c r="E454" s="2886">
        <v>9130947</v>
      </c>
      <c r="F454" s="2886">
        <v>9070598</v>
      </c>
      <c r="G454" s="2886">
        <v>798200</v>
      </c>
    </row>
    <row r="455" spans="1:7">
      <c r="A455" t="s">
        <v>3557</v>
      </c>
      <c r="B455" s="1417" t="s">
        <v>1067</v>
      </c>
      <c r="C455" t="s">
        <v>75</v>
      </c>
      <c r="D455" s="2885">
        <v>1732.66</v>
      </c>
      <c r="E455" s="2886">
        <v>530771</v>
      </c>
      <c r="F455" s="2886">
        <v>442645</v>
      </c>
      <c r="G455" s="2886">
        <v>52682</v>
      </c>
    </row>
    <row r="456" spans="1:7">
      <c r="A456" t="s">
        <v>3558</v>
      </c>
      <c r="B456" s="1417" t="s">
        <v>1562</v>
      </c>
      <c r="C456" t="s">
        <v>2602</v>
      </c>
      <c r="D456" s="2885">
        <v>9541.9680000000008</v>
      </c>
      <c r="E456" s="2886">
        <v>6122868</v>
      </c>
      <c r="F456" s="2886">
        <v>487801</v>
      </c>
      <c r="G456" s="2886">
        <v>4840373</v>
      </c>
    </row>
    <row r="457" spans="1:7">
      <c r="A457" t="s">
        <v>3559</v>
      </c>
      <c r="B457" s="1417" t="s">
        <v>58</v>
      </c>
      <c r="C457" t="s">
        <v>1897</v>
      </c>
      <c r="D457" s="2885">
        <v>26610.128000000001</v>
      </c>
      <c r="E457" s="2886">
        <v>3102989</v>
      </c>
      <c r="F457" s="2886">
        <v>4975780</v>
      </c>
      <c r="G457" s="2886">
        <v>423252</v>
      </c>
    </row>
    <row r="458" spans="1:7">
      <c r="A458" t="s">
        <v>3560</v>
      </c>
      <c r="B458" s="1417" t="s">
        <v>723</v>
      </c>
      <c r="C458" t="s">
        <v>141</v>
      </c>
      <c r="D458" s="2885">
        <v>16096.385</v>
      </c>
      <c r="E458" s="2886">
        <v>15792</v>
      </c>
      <c r="F458" s="2886">
        <v>1702955</v>
      </c>
      <c r="G458" s="2886">
        <v>39872</v>
      </c>
    </row>
    <row r="459" spans="1:7">
      <c r="A459" t="s">
        <v>3561</v>
      </c>
      <c r="B459" s="1417" t="s">
        <v>60</v>
      </c>
      <c r="C459" t="s">
        <v>2299</v>
      </c>
      <c r="D459" s="2885">
        <v>557.40100000000007</v>
      </c>
      <c r="E459" s="2886">
        <v>135660</v>
      </c>
      <c r="F459" s="2886">
        <v>171967</v>
      </c>
      <c r="G459" s="2886">
        <v>87972</v>
      </c>
    </row>
    <row r="460" spans="1:7">
      <c r="A460" t="s">
        <v>3562</v>
      </c>
      <c r="B460" s="1417" t="s">
        <v>512</v>
      </c>
      <c r="C460" t="s">
        <v>2242</v>
      </c>
      <c r="D460" s="2885">
        <v>985.29400000000021</v>
      </c>
      <c r="E460" s="2886">
        <v>177162</v>
      </c>
      <c r="F460" s="2886">
        <v>134176</v>
      </c>
      <c r="G460" s="2886">
        <v>122413</v>
      </c>
    </row>
    <row r="461" spans="1:7">
      <c r="A461" t="s">
        <v>3563</v>
      </c>
      <c r="B461" s="1417" t="s">
        <v>1522</v>
      </c>
      <c r="C461" t="s">
        <v>2364</v>
      </c>
      <c r="D461" s="2885">
        <v>4169.192</v>
      </c>
      <c r="E461" s="2886">
        <v>587221</v>
      </c>
      <c r="F461" s="2886">
        <v>1516820</v>
      </c>
      <c r="G461" s="2886">
        <v>53477</v>
      </c>
    </row>
    <row r="462" spans="1:7">
      <c r="A462" t="s">
        <v>3564</v>
      </c>
      <c r="B462" s="1417" t="s">
        <v>149</v>
      </c>
      <c r="C462" t="s">
        <v>2150</v>
      </c>
      <c r="D462" s="2885">
        <v>269.67400000000004</v>
      </c>
      <c r="E462" s="2886">
        <v>262173</v>
      </c>
      <c r="F462" s="2886">
        <v>64081</v>
      </c>
      <c r="G462" s="2886">
        <v>130314</v>
      </c>
    </row>
    <row r="463" spans="1:7">
      <c r="A463" t="s">
        <v>3565</v>
      </c>
      <c r="B463" s="1417" t="s">
        <v>2509</v>
      </c>
      <c r="C463" t="s">
        <v>898</v>
      </c>
      <c r="D463" s="2885">
        <v>170.23099999999999</v>
      </c>
      <c r="E463" s="2886">
        <v>131932</v>
      </c>
      <c r="F463" s="2886">
        <v>44397</v>
      </c>
      <c r="G463" s="2886">
        <v>75762</v>
      </c>
    </row>
    <row r="464" spans="1:7">
      <c r="A464" t="s">
        <v>4964</v>
      </c>
      <c r="B464" s="1417" t="s">
        <v>2402</v>
      </c>
      <c r="C464" t="s">
        <v>667</v>
      </c>
      <c r="D464" s="2885">
        <v>269.16000000000003</v>
      </c>
      <c r="E464" s="2886">
        <v>106794</v>
      </c>
      <c r="F464" s="2886">
        <v>0</v>
      </c>
      <c r="G464" s="2886">
        <v>102520</v>
      </c>
    </row>
    <row r="465" spans="1:7">
      <c r="A465" t="s">
        <v>3566</v>
      </c>
      <c r="B465" s="1417" t="s">
        <v>1867</v>
      </c>
      <c r="C465" t="s">
        <v>2376</v>
      </c>
      <c r="D465" s="2885">
        <v>1888.1260000000004</v>
      </c>
      <c r="E465" s="2886">
        <v>1549737</v>
      </c>
      <c r="F465" s="2886">
        <v>788636</v>
      </c>
      <c r="G465" s="2886">
        <v>0</v>
      </c>
    </row>
    <row r="466" spans="1:7">
      <c r="A466" t="s">
        <v>3567</v>
      </c>
      <c r="B466" s="1417" t="s">
        <v>513</v>
      </c>
      <c r="C466" t="s">
        <v>2381</v>
      </c>
      <c r="D466" s="2885">
        <v>343.78300000000002</v>
      </c>
      <c r="E466" s="2886">
        <v>348443</v>
      </c>
      <c r="F466" s="2886">
        <v>141768</v>
      </c>
      <c r="G466" s="2886">
        <v>190343</v>
      </c>
    </row>
    <row r="467" spans="1:7">
      <c r="A467" t="s">
        <v>3568</v>
      </c>
      <c r="B467" s="1417" t="s">
        <v>42</v>
      </c>
      <c r="C467" t="s">
        <v>404</v>
      </c>
      <c r="D467" s="2885">
        <v>633.22900000000004</v>
      </c>
      <c r="E467" s="2886">
        <v>524431</v>
      </c>
      <c r="F467" s="2886">
        <v>208206</v>
      </c>
      <c r="G467" s="2886">
        <v>222534</v>
      </c>
    </row>
    <row r="468" spans="1:7">
      <c r="A468" t="s">
        <v>3569</v>
      </c>
      <c r="B468" s="1417" t="s">
        <v>150</v>
      </c>
      <c r="C468" t="s">
        <v>2152</v>
      </c>
      <c r="D468" s="2885">
        <v>111.03400000000001</v>
      </c>
      <c r="E468" s="2886">
        <v>25395</v>
      </c>
      <c r="F468" s="2886">
        <v>24203</v>
      </c>
      <c r="G468" s="2886">
        <v>0</v>
      </c>
    </row>
    <row r="469" spans="1:7">
      <c r="A469" t="s">
        <v>3570</v>
      </c>
      <c r="B469" s="1417" t="s">
        <v>521</v>
      </c>
      <c r="C469" t="s">
        <v>2243</v>
      </c>
      <c r="D469" s="2885">
        <v>158.93</v>
      </c>
      <c r="E469" s="2886">
        <v>23171</v>
      </c>
      <c r="F469" s="2886">
        <v>16103</v>
      </c>
      <c r="G469" s="2886">
        <v>1764</v>
      </c>
    </row>
    <row r="470" spans="1:7">
      <c r="A470" t="s">
        <v>5927</v>
      </c>
      <c r="B470" s="1417" t="s">
        <v>1563</v>
      </c>
      <c r="C470" t="s">
        <v>2603</v>
      </c>
      <c r="D470" s="2885">
        <v>1394.134</v>
      </c>
      <c r="E470" s="2886">
        <v>2424664</v>
      </c>
      <c r="F470" s="2886">
        <v>0</v>
      </c>
      <c r="G470" s="2886">
        <v>640548</v>
      </c>
    </row>
    <row r="471" spans="1:7">
      <c r="A471" t="s">
        <v>3571</v>
      </c>
      <c r="B471" s="1417" t="s">
        <v>522</v>
      </c>
      <c r="C471" t="s">
        <v>2419</v>
      </c>
      <c r="D471" s="2885">
        <v>272.70100000000002</v>
      </c>
      <c r="E471" s="2886">
        <v>145585</v>
      </c>
      <c r="F471" s="2886">
        <v>45196</v>
      </c>
      <c r="G471" s="2886">
        <v>90090</v>
      </c>
    </row>
    <row r="472" spans="1:7">
      <c r="A472" t="s">
        <v>4982</v>
      </c>
      <c r="B472" s="1417" t="s">
        <v>1540</v>
      </c>
      <c r="C472" t="s">
        <v>1346</v>
      </c>
      <c r="D472" s="2885">
        <v>362.63499999999999</v>
      </c>
      <c r="E472" s="2886">
        <v>263036</v>
      </c>
      <c r="F472" s="2886">
        <v>0</v>
      </c>
      <c r="G472" s="2886">
        <v>229166</v>
      </c>
    </row>
    <row r="473" spans="1:7">
      <c r="A473" t="s">
        <v>4985</v>
      </c>
      <c r="B473" s="1417" t="s">
        <v>523</v>
      </c>
      <c r="C473" t="s">
        <v>2594</v>
      </c>
      <c r="D473" s="2885">
        <v>198.20500000000001</v>
      </c>
      <c r="E473" s="2886">
        <v>0</v>
      </c>
      <c r="F473" s="2886">
        <v>0</v>
      </c>
      <c r="G473" s="2886">
        <v>0</v>
      </c>
    </row>
    <row r="474" spans="1:7">
      <c r="A474" t="s">
        <v>6733</v>
      </c>
      <c r="B474" s="1417" t="s">
        <v>1564</v>
      </c>
      <c r="C474" t="s">
        <v>2604</v>
      </c>
      <c r="D474" s="2885">
        <v>229.27600000000001</v>
      </c>
      <c r="E474" s="2886">
        <v>0</v>
      </c>
      <c r="F474" s="2886">
        <v>0</v>
      </c>
      <c r="G474" s="2886">
        <v>0</v>
      </c>
    </row>
    <row r="475" spans="1:7">
      <c r="A475" t="s">
        <v>5928</v>
      </c>
      <c r="B475" s="1417" t="s">
        <v>1565</v>
      </c>
      <c r="C475" t="s">
        <v>2605</v>
      </c>
      <c r="D475" s="2885">
        <v>2732.241</v>
      </c>
      <c r="E475" s="2886">
        <v>3756735</v>
      </c>
      <c r="F475" s="2886">
        <v>0</v>
      </c>
      <c r="G475" s="2886">
        <v>2092937</v>
      </c>
    </row>
    <row r="476" spans="1:7">
      <c r="A476" t="s">
        <v>5929</v>
      </c>
      <c r="B476" s="1417" t="s">
        <v>1241</v>
      </c>
      <c r="C476" t="s">
        <v>2606</v>
      </c>
      <c r="D476" s="2885">
        <v>352.298</v>
      </c>
      <c r="E476" s="2886">
        <v>271444</v>
      </c>
      <c r="F476" s="2886">
        <v>0</v>
      </c>
      <c r="G476" s="2886">
        <v>221681</v>
      </c>
    </row>
    <row r="477" spans="1:7">
      <c r="A477" t="s">
        <v>3572</v>
      </c>
      <c r="B477" s="1417" t="s">
        <v>1843</v>
      </c>
      <c r="C477" t="s">
        <v>1929</v>
      </c>
      <c r="D477" s="2885">
        <v>405.67700000000002</v>
      </c>
      <c r="E477" s="2886">
        <v>129388</v>
      </c>
      <c r="F477" s="2886">
        <v>37652</v>
      </c>
      <c r="G477" s="2886">
        <v>46946</v>
      </c>
    </row>
    <row r="478" spans="1:7">
      <c r="A478" t="s">
        <v>6734</v>
      </c>
      <c r="B478" s="1417" t="s">
        <v>1242</v>
      </c>
      <c r="C478" t="s">
        <v>2607</v>
      </c>
      <c r="D478" s="2885">
        <v>594.62800000000004</v>
      </c>
      <c r="E478" s="2886">
        <v>0</v>
      </c>
      <c r="F478" s="2886">
        <v>0</v>
      </c>
      <c r="G478" s="2886">
        <v>0</v>
      </c>
    </row>
    <row r="479" spans="1:7">
      <c r="A479" t="s">
        <v>6735</v>
      </c>
      <c r="B479" s="1417" t="s">
        <v>1243</v>
      </c>
      <c r="C479" t="s">
        <v>2608</v>
      </c>
      <c r="D479" s="2885">
        <v>170.71800000000005</v>
      </c>
      <c r="E479" s="2886">
        <v>0</v>
      </c>
      <c r="F479" s="2886">
        <v>0</v>
      </c>
      <c r="G479" s="2886">
        <v>0</v>
      </c>
    </row>
    <row r="480" spans="1:7">
      <c r="A480" t="s">
        <v>5930</v>
      </c>
      <c r="B480" s="1417" t="s">
        <v>1244</v>
      </c>
      <c r="C480" t="s">
        <v>219</v>
      </c>
      <c r="D480" s="2885">
        <v>6576.5480000000016</v>
      </c>
      <c r="E480" s="2886">
        <v>10058669</v>
      </c>
      <c r="F480" s="2886">
        <v>0</v>
      </c>
      <c r="G480" s="2886">
        <v>5153641</v>
      </c>
    </row>
    <row r="481" spans="1:7">
      <c r="A481" t="s">
        <v>3573</v>
      </c>
      <c r="B481" s="1417" t="s">
        <v>1772</v>
      </c>
      <c r="C481" t="s">
        <v>1566</v>
      </c>
      <c r="D481" s="2885">
        <v>352.714</v>
      </c>
      <c r="E481" s="2886">
        <v>561955</v>
      </c>
      <c r="F481" s="2886">
        <v>190080</v>
      </c>
      <c r="G481" s="2886">
        <v>144886</v>
      </c>
    </row>
    <row r="482" spans="1:7">
      <c r="A482" t="s">
        <v>3574</v>
      </c>
      <c r="B482" s="1417" t="s">
        <v>1516</v>
      </c>
      <c r="C482" t="s">
        <v>605</v>
      </c>
      <c r="D482" s="2885">
        <v>741.71800000000019</v>
      </c>
      <c r="E482" s="2886">
        <v>824930</v>
      </c>
      <c r="F482" s="2886">
        <v>111132</v>
      </c>
      <c r="G482" s="2886">
        <v>569684</v>
      </c>
    </row>
    <row r="483" spans="1:7">
      <c r="A483" t="s">
        <v>3575</v>
      </c>
      <c r="B483" s="1417" t="s">
        <v>180</v>
      </c>
      <c r="C483" t="s">
        <v>220</v>
      </c>
      <c r="D483" s="2885">
        <v>4087.107</v>
      </c>
      <c r="E483" s="2886">
        <v>3742317</v>
      </c>
      <c r="F483" s="2886">
        <v>758006</v>
      </c>
      <c r="G483" s="2886">
        <v>2701982</v>
      </c>
    </row>
    <row r="484" spans="1:7">
      <c r="A484" t="s">
        <v>3576</v>
      </c>
      <c r="B484" s="1417" t="s">
        <v>1497</v>
      </c>
      <c r="C484" t="s">
        <v>422</v>
      </c>
      <c r="D484" s="2885">
        <v>336.51100000000002</v>
      </c>
      <c r="E484" s="2886">
        <v>91067</v>
      </c>
      <c r="F484" s="2886">
        <v>44185</v>
      </c>
      <c r="G484" s="2886">
        <v>32652</v>
      </c>
    </row>
    <row r="485" spans="1:7">
      <c r="A485" t="s">
        <v>5931</v>
      </c>
      <c r="B485" s="1417" t="s">
        <v>181</v>
      </c>
      <c r="C485" t="s">
        <v>221</v>
      </c>
      <c r="D485" s="2885">
        <v>478.2820000000001</v>
      </c>
      <c r="E485" s="2886">
        <v>166248</v>
      </c>
      <c r="F485" s="2886">
        <v>0</v>
      </c>
      <c r="G485" s="2886">
        <v>154705</v>
      </c>
    </row>
    <row r="486" spans="1:7">
      <c r="A486" t="s">
        <v>3577</v>
      </c>
      <c r="B486" s="1417" t="s">
        <v>1943</v>
      </c>
      <c r="C486" t="s">
        <v>2238</v>
      </c>
      <c r="D486" s="2885">
        <v>270.45500000000004</v>
      </c>
      <c r="E486" s="2886">
        <v>76442</v>
      </c>
      <c r="F486" s="2886">
        <v>61720</v>
      </c>
      <c r="G486" s="2886">
        <v>3632</v>
      </c>
    </row>
    <row r="487" spans="1:7">
      <c r="A487" t="s">
        <v>6736</v>
      </c>
      <c r="B487" s="1417" t="s">
        <v>182</v>
      </c>
      <c r="C487" t="s">
        <v>632</v>
      </c>
      <c r="D487" s="2885">
        <v>699.19600000000003</v>
      </c>
      <c r="E487" s="2886">
        <v>0</v>
      </c>
      <c r="F487" s="2886">
        <v>0</v>
      </c>
      <c r="G487" s="2886">
        <v>0</v>
      </c>
    </row>
    <row r="488" spans="1:7">
      <c r="A488" t="s">
        <v>6737</v>
      </c>
      <c r="B488" s="1417" t="s">
        <v>183</v>
      </c>
      <c r="C488" t="s">
        <v>633</v>
      </c>
      <c r="D488" s="2885">
        <v>231.506</v>
      </c>
      <c r="E488" s="2886">
        <v>0</v>
      </c>
      <c r="F488" s="2886">
        <v>0</v>
      </c>
      <c r="G488" s="2886">
        <v>0</v>
      </c>
    </row>
    <row r="489" spans="1:7">
      <c r="A489" t="s">
        <v>3578</v>
      </c>
      <c r="B489" s="1417" t="s">
        <v>1498</v>
      </c>
      <c r="C489" t="s">
        <v>1942</v>
      </c>
      <c r="D489" s="2885">
        <v>201.446</v>
      </c>
      <c r="E489" s="2886">
        <v>60925</v>
      </c>
      <c r="F489" s="2886">
        <v>58401</v>
      </c>
      <c r="G489" s="2886">
        <v>0</v>
      </c>
    </row>
    <row r="490" spans="1:7">
      <c r="A490" t="s">
        <v>5932</v>
      </c>
      <c r="B490" s="1417" t="s">
        <v>1421</v>
      </c>
      <c r="C490" t="s">
        <v>634</v>
      </c>
      <c r="D490" s="2885">
        <v>1255.6980000000001</v>
      </c>
      <c r="E490" s="2886">
        <v>1077153</v>
      </c>
      <c r="F490" s="2886">
        <v>0</v>
      </c>
      <c r="G490" s="2886">
        <v>798021</v>
      </c>
    </row>
    <row r="491" spans="1:7">
      <c r="A491" t="s">
        <v>5933</v>
      </c>
      <c r="B491" s="1417" t="s">
        <v>1261</v>
      </c>
      <c r="C491" t="s">
        <v>2165</v>
      </c>
      <c r="D491" s="2885">
        <v>454.78400000000011</v>
      </c>
      <c r="E491" s="2886">
        <v>280666</v>
      </c>
      <c r="F491" s="2886">
        <v>0</v>
      </c>
      <c r="G491" s="2886">
        <v>170247</v>
      </c>
    </row>
    <row r="492" spans="1:7">
      <c r="A492" t="s">
        <v>6738</v>
      </c>
      <c r="B492" s="1417" t="s">
        <v>978</v>
      </c>
      <c r="C492" t="s">
        <v>2520</v>
      </c>
      <c r="D492" s="2885">
        <v>495.74400000000003</v>
      </c>
      <c r="E492" s="2886">
        <v>0</v>
      </c>
      <c r="F492" s="2886">
        <v>0</v>
      </c>
      <c r="G492" s="2886">
        <v>0</v>
      </c>
    </row>
    <row r="493" spans="1:7">
      <c r="A493" t="s">
        <v>5934</v>
      </c>
      <c r="B493" s="1417" t="s">
        <v>979</v>
      </c>
      <c r="C493" t="s">
        <v>1570</v>
      </c>
      <c r="D493" s="2885">
        <v>453.19200000000001</v>
      </c>
      <c r="E493" s="2886">
        <v>244356</v>
      </c>
      <c r="F493" s="2886">
        <v>0</v>
      </c>
      <c r="G493" s="2886">
        <v>222355</v>
      </c>
    </row>
    <row r="494" spans="1:7">
      <c r="A494" t="s">
        <v>6739</v>
      </c>
      <c r="B494" s="1417" t="s">
        <v>899</v>
      </c>
      <c r="C494" t="s">
        <v>1571</v>
      </c>
      <c r="D494" s="2885">
        <v>243.239</v>
      </c>
      <c r="E494" s="2886">
        <v>21</v>
      </c>
      <c r="F494" s="2886">
        <v>0</v>
      </c>
      <c r="G494" s="2886">
        <v>0</v>
      </c>
    </row>
    <row r="495" spans="1:7">
      <c r="A495" t="s">
        <v>3579</v>
      </c>
      <c r="B495" s="1417" t="s">
        <v>1797</v>
      </c>
      <c r="C495" t="s">
        <v>1572</v>
      </c>
      <c r="D495" s="2885">
        <v>3640.95</v>
      </c>
      <c r="E495" s="2886">
        <v>4622077</v>
      </c>
      <c r="F495" s="2886">
        <v>889573</v>
      </c>
      <c r="G495" s="2886">
        <v>3058640</v>
      </c>
    </row>
    <row r="496" spans="1:7">
      <c r="A496" t="s">
        <v>5935</v>
      </c>
      <c r="B496" s="1417" t="s">
        <v>2677</v>
      </c>
      <c r="C496" t="s">
        <v>1573</v>
      </c>
      <c r="D496" s="2885">
        <v>870.83100000000002</v>
      </c>
      <c r="E496" s="2886">
        <v>670711</v>
      </c>
      <c r="F496" s="2886">
        <v>0</v>
      </c>
      <c r="G496" s="2886">
        <v>816083</v>
      </c>
    </row>
    <row r="497" spans="1:7">
      <c r="A497" t="s">
        <v>5936</v>
      </c>
      <c r="B497" s="1417" t="s">
        <v>2678</v>
      </c>
      <c r="C497" t="s">
        <v>1574</v>
      </c>
      <c r="D497" s="2885">
        <v>718.66200000000003</v>
      </c>
      <c r="E497" s="2886">
        <v>1602591</v>
      </c>
      <c r="F497" s="2886">
        <v>0</v>
      </c>
      <c r="G497" s="2886">
        <v>729442</v>
      </c>
    </row>
    <row r="498" spans="1:7">
      <c r="A498" t="s">
        <v>5937</v>
      </c>
      <c r="B498" s="1417" t="s">
        <v>1331</v>
      </c>
      <c r="C498" t="s">
        <v>1575</v>
      </c>
      <c r="D498" s="2885">
        <v>384.8370000000001</v>
      </c>
      <c r="E498" s="2886">
        <v>100015</v>
      </c>
      <c r="F498" s="2886">
        <v>0</v>
      </c>
      <c r="G498" s="2886">
        <v>2334</v>
      </c>
    </row>
    <row r="499" spans="1:7">
      <c r="A499" t="s">
        <v>6740</v>
      </c>
      <c r="B499" s="1417" t="s">
        <v>2177</v>
      </c>
      <c r="C499" t="s">
        <v>1576</v>
      </c>
      <c r="D499" s="2885">
        <v>112.423</v>
      </c>
      <c r="E499" s="2886">
        <v>0</v>
      </c>
      <c r="F499" s="2886">
        <v>0</v>
      </c>
      <c r="G499" s="2886">
        <v>0</v>
      </c>
    </row>
    <row r="500" spans="1:7">
      <c r="A500" t="s">
        <v>6741</v>
      </c>
      <c r="B500" s="1417" t="s">
        <v>1111</v>
      </c>
      <c r="C500" t="s">
        <v>1577</v>
      </c>
      <c r="D500" s="2885">
        <v>61.640999999999998</v>
      </c>
      <c r="E500" s="2886">
        <v>0</v>
      </c>
      <c r="F500" s="2886">
        <v>0</v>
      </c>
      <c r="G500" s="2886">
        <v>0</v>
      </c>
    </row>
    <row r="501" spans="1:7">
      <c r="A501" t="s">
        <v>3580</v>
      </c>
      <c r="B501" s="1417" t="s">
        <v>1886</v>
      </c>
      <c r="C501" t="s">
        <v>651</v>
      </c>
      <c r="D501" s="2885">
        <v>1620.029</v>
      </c>
      <c r="E501" s="2886">
        <v>1612789</v>
      </c>
      <c r="F501" s="2886">
        <v>681120</v>
      </c>
      <c r="G501" s="2886">
        <v>817899</v>
      </c>
    </row>
    <row r="502" spans="1:7">
      <c r="A502" t="s">
        <v>3581</v>
      </c>
      <c r="B502" s="1417" t="s">
        <v>1112</v>
      </c>
      <c r="C502" t="s">
        <v>1578</v>
      </c>
      <c r="D502" s="2885">
        <v>473.76900000000001</v>
      </c>
      <c r="E502" s="2886">
        <v>286365</v>
      </c>
      <c r="F502" s="2886">
        <v>60716</v>
      </c>
      <c r="G502" s="2886">
        <v>191206</v>
      </c>
    </row>
    <row r="503" spans="1:7">
      <c r="A503" t="s">
        <v>3582</v>
      </c>
      <c r="B503" s="1417" t="s">
        <v>1437</v>
      </c>
      <c r="C503" t="s">
        <v>1550</v>
      </c>
      <c r="D503" s="2885">
        <v>1477.33</v>
      </c>
      <c r="E503" s="2886">
        <v>1488770</v>
      </c>
      <c r="F503" s="2886">
        <v>418215</v>
      </c>
      <c r="G503" s="2886">
        <v>1073331</v>
      </c>
    </row>
    <row r="504" spans="1:7">
      <c r="A504" t="s">
        <v>5938</v>
      </c>
      <c r="B504" s="1417" t="s">
        <v>1058</v>
      </c>
      <c r="C504" t="s">
        <v>1579</v>
      </c>
      <c r="D504" s="2885">
        <v>4894.4760000000006</v>
      </c>
      <c r="E504" s="2886">
        <v>5120235</v>
      </c>
      <c r="F504" s="2886">
        <v>0</v>
      </c>
      <c r="G504" s="2886">
        <v>4967893</v>
      </c>
    </row>
    <row r="505" spans="1:7">
      <c r="A505" t="s">
        <v>3583</v>
      </c>
      <c r="B505" s="1417" t="s">
        <v>1944</v>
      </c>
      <c r="C505" t="s">
        <v>2125</v>
      </c>
      <c r="D505" s="2885">
        <v>964.44100000000003</v>
      </c>
      <c r="E505" s="2886">
        <v>603422</v>
      </c>
      <c r="F505" s="2886">
        <v>106761</v>
      </c>
      <c r="G505" s="2886">
        <v>339197</v>
      </c>
    </row>
    <row r="506" spans="1:7">
      <c r="A506" t="s">
        <v>3584</v>
      </c>
      <c r="B506" s="1417" t="s">
        <v>1584</v>
      </c>
      <c r="C506" t="s">
        <v>77</v>
      </c>
      <c r="D506" s="2885">
        <v>2382.1710000000003</v>
      </c>
      <c r="E506" s="2886">
        <v>1364381</v>
      </c>
      <c r="F506" s="2886">
        <v>1001477</v>
      </c>
      <c r="G506" s="2886">
        <v>290233</v>
      </c>
    </row>
    <row r="507" spans="1:7">
      <c r="A507" t="s">
        <v>3585</v>
      </c>
      <c r="B507" s="1417" t="s">
        <v>245</v>
      </c>
      <c r="C507" t="s">
        <v>1131</v>
      </c>
      <c r="D507" s="2885">
        <v>622.94799999999998</v>
      </c>
      <c r="E507" s="2886">
        <v>233829</v>
      </c>
      <c r="F507" s="2886">
        <v>57488</v>
      </c>
      <c r="G507" s="2886">
        <v>53574</v>
      </c>
    </row>
    <row r="508" spans="1:7">
      <c r="A508" t="s">
        <v>5939</v>
      </c>
      <c r="B508" s="1417" t="s">
        <v>1059</v>
      </c>
      <c r="C508" t="s">
        <v>1580</v>
      </c>
      <c r="D508" s="2885">
        <v>317.983</v>
      </c>
      <c r="E508" s="2886">
        <v>1650</v>
      </c>
      <c r="F508" s="2886">
        <v>0</v>
      </c>
      <c r="G508" s="2886">
        <v>40270</v>
      </c>
    </row>
    <row r="509" spans="1:7">
      <c r="A509" t="s">
        <v>3586</v>
      </c>
      <c r="B509" s="1417" t="s">
        <v>875</v>
      </c>
      <c r="C509" t="s">
        <v>799</v>
      </c>
      <c r="D509" s="2885">
        <v>623.48</v>
      </c>
      <c r="E509" s="2886">
        <v>635200</v>
      </c>
      <c r="F509" s="2886">
        <v>223170</v>
      </c>
      <c r="G509" s="2886">
        <v>315289</v>
      </c>
    </row>
    <row r="510" spans="1:7">
      <c r="A510" t="s">
        <v>3587</v>
      </c>
      <c r="B510" s="1417" t="s">
        <v>1844</v>
      </c>
      <c r="C510" t="s">
        <v>1347</v>
      </c>
      <c r="D510" s="2885">
        <v>490.524</v>
      </c>
      <c r="E510" s="2886">
        <v>54625</v>
      </c>
      <c r="F510" s="2886">
        <v>10336</v>
      </c>
      <c r="G510" s="2886">
        <v>36283</v>
      </c>
    </row>
    <row r="511" spans="1:7">
      <c r="A511" t="s">
        <v>5940</v>
      </c>
      <c r="B511" s="1417" t="s">
        <v>1060</v>
      </c>
      <c r="C511" t="s">
        <v>1581</v>
      </c>
      <c r="D511" s="2885">
        <v>2487.1880000000001</v>
      </c>
      <c r="E511" s="2886">
        <v>2450196</v>
      </c>
      <c r="F511" s="2886">
        <v>0</v>
      </c>
      <c r="G511" s="2886">
        <v>1851982</v>
      </c>
    </row>
    <row r="512" spans="1:7">
      <c r="A512" t="s">
        <v>5941</v>
      </c>
      <c r="B512" s="1417" t="s">
        <v>2140</v>
      </c>
      <c r="C512" t="s">
        <v>1046</v>
      </c>
      <c r="D512" s="2885">
        <v>668.75099999999998</v>
      </c>
      <c r="E512" s="2886">
        <v>370048</v>
      </c>
      <c r="F512" s="2886">
        <v>99460</v>
      </c>
      <c r="G512" s="2886">
        <v>259614</v>
      </c>
    </row>
    <row r="513" spans="1:7">
      <c r="A513" t="s">
        <v>5942</v>
      </c>
      <c r="B513" s="1417" t="s">
        <v>2141</v>
      </c>
      <c r="C513" t="s">
        <v>1047</v>
      </c>
      <c r="D513" s="2885">
        <v>628.72500000000002</v>
      </c>
      <c r="E513" s="2886">
        <v>3423798</v>
      </c>
      <c r="F513" s="2886">
        <v>0</v>
      </c>
      <c r="G513" s="2886">
        <v>554575</v>
      </c>
    </row>
    <row r="514" spans="1:7">
      <c r="A514" t="s">
        <v>6742</v>
      </c>
      <c r="B514" s="1417" t="s">
        <v>1259</v>
      </c>
      <c r="C514" t="s">
        <v>2525</v>
      </c>
      <c r="D514" s="2885">
        <v>98.553000000000011</v>
      </c>
      <c r="E514" s="2886">
        <v>0</v>
      </c>
      <c r="F514" s="2886">
        <v>0</v>
      </c>
      <c r="G514" s="2886">
        <v>0</v>
      </c>
    </row>
    <row r="515" spans="1:7">
      <c r="A515" t="s">
        <v>5943</v>
      </c>
      <c r="B515" s="1417" t="s">
        <v>1260</v>
      </c>
      <c r="C515" t="s">
        <v>1048</v>
      </c>
      <c r="D515" s="2885">
        <v>249.71</v>
      </c>
      <c r="E515" s="2886">
        <v>612644</v>
      </c>
      <c r="F515" s="2886">
        <v>0</v>
      </c>
      <c r="G515" s="2886">
        <v>253456</v>
      </c>
    </row>
    <row r="516" spans="1:7">
      <c r="A516" t="s">
        <v>5944</v>
      </c>
      <c r="B516" s="1417" t="s">
        <v>923</v>
      </c>
      <c r="C516" t="s">
        <v>2462</v>
      </c>
      <c r="D516" s="2885">
        <v>242.01900000000001</v>
      </c>
      <c r="E516" s="2886">
        <v>954459</v>
      </c>
      <c r="F516" s="2886">
        <v>0</v>
      </c>
      <c r="G516" s="2886">
        <v>236454</v>
      </c>
    </row>
    <row r="517" spans="1:7">
      <c r="A517" t="s">
        <v>5945</v>
      </c>
      <c r="B517" s="1417" t="s">
        <v>924</v>
      </c>
      <c r="C517" t="s">
        <v>2463</v>
      </c>
      <c r="D517" s="2885">
        <v>954.00900000000001</v>
      </c>
      <c r="E517" s="2886">
        <v>4225487</v>
      </c>
      <c r="F517" s="2886">
        <v>0</v>
      </c>
      <c r="G517" s="2886">
        <v>968319</v>
      </c>
    </row>
    <row r="518" spans="1:7">
      <c r="A518" t="s">
        <v>5946</v>
      </c>
      <c r="B518" s="1417" t="s">
        <v>925</v>
      </c>
      <c r="C518" t="s">
        <v>1049</v>
      </c>
      <c r="D518" s="2885">
        <v>329.54</v>
      </c>
      <c r="E518" s="2886">
        <v>537348</v>
      </c>
      <c r="F518" s="2886">
        <v>0</v>
      </c>
      <c r="G518" s="2886">
        <v>213666</v>
      </c>
    </row>
    <row r="519" spans="1:7">
      <c r="A519" t="s">
        <v>5947</v>
      </c>
      <c r="B519" s="1417" t="s">
        <v>926</v>
      </c>
      <c r="C519" t="s">
        <v>620</v>
      </c>
      <c r="D519" s="2885">
        <v>1414.2650000000001</v>
      </c>
      <c r="E519" s="2886">
        <v>1332234</v>
      </c>
      <c r="F519" s="2886">
        <v>0</v>
      </c>
      <c r="G519" s="2886">
        <v>1435479</v>
      </c>
    </row>
    <row r="520" spans="1:7">
      <c r="A520" t="s">
        <v>3588</v>
      </c>
      <c r="B520" s="1417" t="s">
        <v>2577</v>
      </c>
      <c r="C520" t="s">
        <v>1481</v>
      </c>
      <c r="D520" s="2885">
        <v>738.99</v>
      </c>
      <c r="E520" s="2886">
        <v>751959</v>
      </c>
      <c r="F520" s="2886">
        <v>152500</v>
      </c>
      <c r="G520" s="2886">
        <v>117467</v>
      </c>
    </row>
    <row r="521" spans="1:7">
      <c r="A521" t="s">
        <v>5948</v>
      </c>
      <c r="B521" s="1417" t="s">
        <v>502</v>
      </c>
      <c r="C521" t="s">
        <v>621</v>
      </c>
      <c r="D521" s="2885">
        <v>1142.221</v>
      </c>
      <c r="E521" s="2886">
        <v>772720</v>
      </c>
      <c r="F521" s="2886">
        <v>0</v>
      </c>
      <c r="G521" s="2886">
        <v>0</v>
      </c>
    </row>
    <row r="522" spans="1:7">
      <c r="A522" t="s">
        <v>6743</v>
      </c>
      <c r="B522" s="1417" t="s">
        <v>2646</v>
      </c>
      <c r="C522" t="s">
        <v>2499</v>
      </c>
      <c r="D522" s="2885">
        <v>396.76799999999997</v>
      </c>
      <c r="E522" s="2886">
        <v>0</v>
      </c>
      <c r="F522" s="2886">
        <v>0</v>
      </c>
      <c r="G522" s="2886">
        <v>0</v>
      </c>
    </row>
    <row r="523" spans="1:7">
      <c r="A523" t="s">
        <v>3589</v>
      </c>
      <c r="B523" s="1417" t="s">
        <v>883</v>
      </c>
      <c r="C523" t="s">
        <v>1447</v>
      </c>
      <c r="D523" s="2885">
        <v>1366.463</v>
      </c>
      <c r="E523" s="2886">
        <v>1008089</v>
      </c>
      <c r="F523" s="2886">
        <v>377716</v>
      </c>
      <c r="G523" s="2886">
        <v>646028</v>
      </c>
    </row>
    <row r="524" spans="1:7">
      <c r="A524" t="s">
        <v>3590</v>
      </c>
      <c r="B524" s="1417" t="s">
        <v>44</v>
      </c>
      <c r="C524" t="s">
        <v>406</v>
      </c>
      <c r="D524" s="2885">
        <v>2254.3440000000001</v>
      </c>
      <c r="E524" s="2886">
        <v>1466652</v>
      </c>
      <c r="F524" s="2886">
        <v>1185637</v>
      </c>
      <c r="G524" s="2886">
        <v>355739</v>
      </c>
    </row>
    <row r="525" spans="1:7">
      <c r="A525" t="s">
        <v>3591</v>
      </c>
      <c r="B525" s="1417" t="s">
        <v>54</v>
      </c>
      <c r="C525" t="s">
        <v>2017</v>
      </c>
      <c r="D525" s="2885">
        <v>1433.4640000000002</v>
      </c>
      <c r="E525" s="2886">
        <v>868823</v>
      </c>
      <c r="F525" s="2886">
        <v>290572</v>
      </c>
      <c r="G525" s="2886">
        <v>524627</v>
      </c>
    </row>
    <row r="526" spans="1:7">
      <c r="A526" t="s">
        <v>5949</v>
      </c>
      <c r="B526" s="1417" t="s">
        <v>2647</v>
      </c>
      <c r="C526" t="s">
        <v>2500</v>
      </c>
      <c r="D526" s="2885">
        <v>445.99299999999999</v>
      </c>
      <c r="E526" s="2886">
        <v>847506</v>
      </c>
      <c r="F526" s="2886">
        <v>0</v>
      </c>
      <c r="G526" s="2886">
        <v>359747</v>
      </c>
    </row>
    <row r="527" spans="1:7">
      <c r="A527" t="s">
        <v>6744</v>
      </c>
      <c r="B527" s="1417" t="s">
        <v>2648</v>
      </c>
      <c r="C527" t="s">
        <v>2501</v>
      </c>
      <c r="D527" s="2885">
        <v>212.803</v>
      </c>
      <c r="E527" s="2886">
        <v>0</v>
      </c>
      <c r="F527" s="2886">
        <v>0</v>
      </c>
      <c r="G527" s="2886">
        <v>0</v>
      </c>
    </row>
    <row r="528" spans="1:7">
      <c r="A528" t="s">
        <v>6745</v>
      </c>
      <c r="B528" s="1417" t="s">
        <v>2649</v>
      </c>
      <c r="C528" t="s">
        <v>2295</v>
      </c>
      <c r="D528" s="2885">
        <v>38.639000000000003</v>
      </c>
      <c r="E528" s="2886">
        <v>0</v>
      </c>
      <c r="F528" s="2886">
        <v>0</v>
      </c>
      <c r="G528" s="2886">
        <v>0</v>
      </c>
    </row>
    <row r="529" spans="1:7">
      <c r="A529" t="s">
        <v>3592</v>
      </c>
      <c r="B529" s="1417" t="s">
        <v>2540</v>
      </c>
      <c r="C529" t="s">
        <v>390</v>
      </c>
      <c r="D529" s="2885">
        <v>4961.6779999999999</v>
      </c>
      <c r="E529" s="2886">
        <v>2788368</v>
      </c>
      <c r="F529" s="2886">
        <v>820765</v>
      </c>
      <c r="G529" s="2886">
        <v>1096560</v>
      </c>
    </row>
    <row r="530" spans="1:7">
      <c r="A530" t="s">
        <v>5950</v>
      </c>
      <c r="B530" s="1417" t="s">
        <v>2292</v>
      </c>
      <c r="C530" t="s">
        <v>2296</v>
      </c>
      <c r="D530" s="2885">
        <v>7830.6040000000003</v>
      </c>
      <c r="E530" s="2886">
        <v>23805078</v>
      </c>
      <c r="F530" s="2886">
        <v>0</v>
      </c>
      <c r="G530" s="2886">
        <v>7948063</v>
      </c>
    </row>
    <row r="531" spans="1:7">
      <c r="A531" t="s">
        <v>5951</v>
      </c>
      <c r="B531" s="1417" t="s">
        <v>2293</v>
      </c>
      <c r="C531" t="s">
        <v>2690</v>
      </c>
      <c r="D531" s="2885">
        <v>4781.3150000000005</v>
      </c>
      <c r="E531" s="2886">
        <v>10392681</v>
      </c>
      <c r="F531" s="2886">
        <v>0</v>
      </c>
      <c r="G531" s="2886">
        <v>4853035</v>
      </c>
    </row>
    <row r="532" spans="1:7">
      <c r="A532" t="s">
        <v>5952</v>
      </c>
      <c r="B532" s="1417" t="s">
        <v>1325</v>
      </c>
      <c r="C532" t="s">
        <v>2691</v>
      </c>
      <c r="D532" s="2885">
        <v>17387.569</v>
      </c>
      <c r="E532" s="2886">
        <v>27183380</v>
      </c>
      <c r="F532" s="2886">
        <v>0</v>
      </c>
      <c r="G532" s="2886">
        <v>16689148</v>
      </c>
    </row>
    <row r="533" spans="1:7">
      <c r="A533" t="s">
        <v>5953</v>
      </c>
      <c r="B533" s="1417" t="s">
        <v>1326</v>
      </c>
      <c r="C533" t="s">
        <v>2692</v>
      </c>
      <c r="D533" s="2885">
        <v>345.4260000000001</v>
      </c>
      <c r="E533" s="2886">
        <v>1601222</v>
      </c>
      <c r="F533" s="2886">
        <v>0</v>
      </c>
      <c r="G533" s="2886">
        <v>161989</v>
      </c>
    </row>
    <row r="534" spans="1:7">
      <c r="A534" t="s">
        <v>3593</v>
      </c>
      <c r="B534" s="1417" t="s">
        <v>1309</v>
      </c>
      <c r="C534" t="s">
        <v>1734</v>
      </c>
      <c r="D534" s="2885">
        <v>1732.702</v>
      </c>
      <c r="E534" s="2886">
        <v>1676224</v>
      </c>
      <c r="F534" s="2886">
        <v>0</v>
      </c>
      <c r="G534" s="2886">
        <v>697966</v>
      </c>
    </row>
    <row r="535" spans="1:7">
      <c r="A535" t="s">
        <v>5954</v>
      </c>
      <c r="B535" s="1417" t="s">
        <v>1327</v>
      </c>
      <c r="C535" t="s">
        <v>1738</v>
      </c>
      <c r="D535" s="2885">
        <v>1060.152</v>
      </c>
      <c r="E535" s="2886">
        <v>958258</v>
      </c>
      <c r="F535" s="2886">
        <v>0</v>
      </c>
      <c r="G535" s="2886">
        <v>329183</v>
      </c>
    </row>
    <row r="536" spans="1:7">
      <c r="A536" t="s">
        <v>3594</v>
      </c>
      <c r="B536" s="1417" t="s">
        <v>2019</v>
      </c>
      <c r="C536" t="s">
        <v>701</v>
      </c>
      <c r="D536" s="2885">
        <v>4681.942</v>
      </c>
      <c r="E536" s="2886">
        <v>3140019</v>
      </c>
      <c r="F536" s="2886">
        <v>3362382</v>
      </c>
      <c r="G536" s="2886">
        <v>0</v>
      </c>
    </row>
    <row r="537" spans="1:7">
      <c r="A537" t="s">
        <v>3595</v>
      </c>
      <c r="B537" s="1417" t="s">
        <v>2323</v>
      </c>
      <c r="C537" t="s">
        <v>2681</v>
      </c>
      <c r="D537" s="2885">
        <v>489.20100000000002</v>
      </c>
      <c r="E537" s="2886">
        <v>98517</v>
      </c>
      <c r="F537" s="2886">
        <v>184973</v>
      </c>
      <c r="G537" s="2886">
        <v>7780</v>
      </c>
    </row>
    <row r="538" spans="1:7">
      <c r="A538" t="s">
        <v>3596</v>
      </c>
      <c r="B538" s="1417" t="s">
        <v>1413</v>
      </c>
      <c r="C538" t="s">
        <v>1016</v>
      </c>
      <c r="D538" s="2885">
        <v>1781.1610000000001</v>
      </c>
      <c r="E538" s="2886">
        <v>501021</v>
      </c>
      <c r="F538" s="2886">
        <v>485209</v>
      </c>
      <c r="G538" s="2886">
        <v>90475</v>
      </c>
    </row>
    <row r="539" spans="1:7">
      <c r="A539" t="s">
        <v>3597</v>
      </c>
      <c r="B539" s="1417" t="s">
        <v>216</v>
      </c>
      <c r="C539" t="s">
        <v>2102</v>
      </c>
      <c r="D539" s="2885">
        <v>442.1930000000001</v>
      </c>
      <c r="E539" s="2886">
        <v>196519</v>
      </c>
      <c r="F539" s="2886">
        <v>183890</v>
      </c>
      <c r="G539" s="2886">
        <v>0</v>
      </c>
    </row>
    <row r="540" spans="1:7">
      <c r="A540" t="s">
        <v>6746</v>
      </c>
      <c r="B540" s="1417" t="s">
        <v>1328</v>
      </c>
      <c r="C540" t="s">
        <v>1739</v>
      </c>
      <c r="D540" s="2885">
        <v>116.65400000000002</v>
      </c>
      <c r="E540" s="2886">
        <v>0</v>
      </c>
      <c r="F540" s="2886">
        <v>0</v>
      </c>
      <c r="G540" s="2886">
        <v>0</v>
      </c>
    </row>
    <row r="541" spans="1:7">
      <c r="A541" t="s">
        <v>3598</v>
      </c>
      <c r="B541" s="1417" t="s">
        <v>195</v>
      </c>
      <c r="C541" t="s">
        <v>1051</v>
      </c>
      <c r="D541" s="2885">
        <v>3480.4969999999998</v>
      </c>
      <c r="E541" s="2886">
        <v>5329349</v>
      </c>
      <c r="F541" s="2886">
        <v>2074507</v>
      </c>
      <c r="G541" s="2886">
        <v>3532704</v>
      </c>
    </row>
    <row r="542" spans="1:7">
      <c r="A542" t="s">
        <v>3599</v>
      </c>
      <c r="B542" s="1417" t="s">
        <v>1884</v>
      </c>
      <c r="C542" t="s">
        <v>1449</v>
      </c>
      <c r="D542" s="2885">
        <v>11239.052</v>
      </c>
      <c r="E542" s="2886">
        <v>18697391</v>
      </c>
      <c r="F542" s="2886">
        <v>2261727</v>
      </c>
      <c r="G542" s="2886">
        <v>10450099</v>
      </c>
    </row>
    <row r="543" spans="1:7">
      <c r="A543" t="s">
        <v>5955</v>
      </c>
      <c r="B543" s="1417" t="s">
        <v>574</v>
      </c>
      <c r="C543" t="s">
        <v>1163</v>
      </c>
      <c r="D543" s="2885">
        <v>6245.24</v>
      </c>
      <c r="E543" s="2886">
        <v>10812135</v>
      </c>
      <c r="F543" s="2886">
        <v>0</v>
      </c>
      <c r="G543" s="2886">
        <v>4198665</v>
      </c>
    </row>
    <row r="544" spans="1:7">
      <c r="A544" t="s">
        <v>5069</v>
      </c>
      <c r="B544" s="1417" t="s">
        <v>1798</v>
      </c>
      <c r="C544" t="s">
        <v>865</v>
      </c>
      <c r="D544" s="2885">
        <v>1124.8910000000001</v>
      </c>
      <c r="E544" s="2886">
        <v>968760</v>
      </c>
      <c r="F544" s="2886">
        <v>0</v>
      </c>
      <c r="G544" s="2886">
        <v>795976</v>
      </c>
    </row>
    <row r="545" spans="1:7">
      <c r="A545" t="s">
        <v>3600</v>
      </c>
      <c r="B545" s="1417" t="s">
        <v>45</v>
      </c>
      <c r="C545" t="s">
        <v>407</v>
      </c>
      <c r="D545" s="2885">
        <v>4983.2550000000001</v>
      </c>
      <c r="E545" s="2886">
        <v>5650746</v>
      </c>
      <c r="F545" s="2886">
        <v>592836</v>
      </c>
      <c r="G545" s="2886">
        <v>3924566</v>
      </c>
    </row>
    <row r="546" spans="1:7">
      <c r="A546" t="s">
        <v>3601</v>
      </c>
      <c r="B546" s="1417" t="s">
        <v>1329</v>
      </c>
      <c r="C546" t="s">
        <v>2034</v>
      </c>
      <c r="D546" s="2885">
        <v>989.28300000000002</v>
      </c>
      <c r="E546" s="2886">
        <v>385217</v>
      </c>
      <c r="F546" s="2886">
        <v>87126</v>
      </c>
      <c r="G546" s="2886">
        <v>305890</v>
      </c>
    </row>
    <row r="547" spans="1:7">
      <c r="A547" t="s">
        <v>3602</v>
      </c>
      <c r="B547" s="1417" t="s">
        <v>2324</v>
      </c>
      <c r="C547" t="s">
        <v>2695</v>
      </c>
      <c r="D547" s="2885">
        <v>674.52800000000002</v>
      </c>
      <c r="E547" s="2886">
        <v>1115786</v>
      </c>
      <c r="F547" s="2886">
        <v>140320</v>
      </c>
      <c r="G547" s="2886">
        <v>684646</v>
      </c>
    </row>
    <row r="548" spans="1:7">
      <c r="A548" t="s">
        <v>3603</v>
      </c>
      <c r="B548" s="1417" t="s">
        <v>255</v>
      </c>
      <c r="C548" t="s">
        <v>2644</v>
      </c>
      <c r="D548" s="2885">
        <v>1963.9450000000004</v>
      </c>
      <c r="E548" s="2886">
        <v>1048493</v>
      </c>
      <c r="F548" s="2886">
        <v>698580</v>
      </c>
      <c r="G548" s="2886">
        <v>112468</v>
      </c>
    </row>
    <row r="549" spans="1:7">
      <c r="A549" t="s">
        <v>3604</v>
      </c>
      <c r="B549" s="1417" t="s">
        <v>1263</v>
      </c>
      <c r="C549" t="s">
        <v>2322</v>
      </c>
      <c r="D549" s="2885">
        <v>1767.895</v>
      </c>
      <c r="E549" s="2886">
        <v>3777793</v>
      </c>
      <c r="F549" s="2886">
        <v>458112</v>
      </c>
      <c r="G549" s="2886">
        <v>1253407</v>
      </c>
    </row>
    <row r="550" spans="1:7">
      <c r="A550" t="s">
        <v>5956</v>
      </c>
      <c r="B550" s="1417" t="s">
        <v>2097</v>
      </c>
      <c r="C550" t="s">
        <v>2417</v>
      </c>
      <c r="D550" s="2885">
        <v>693.89200000000005</v>
      </c>
      <c r="E550" s="2886">
        <v>308583</v>
      </c>
      <c r="F550" s="2886">
        <v>0</v>
      </c>
      <c r="G550" s="2886">
        <v>280069</v>
      </c>
    </row>
    <row r="551" spans="1:7">
      <c r="A551" t="s">
        <v>5957</v>
      </c>
      <c r="B551" s="1417" t="s">
        <v>1330</v>
      </c>
      <c r="C551" t="s">
        <v>2035</v>
      </c>
      <c r="D551" s="2885">
        <v>378.5270000000001</v>
      </c>
      <c r="E551" s="2886">
        <v>278800</v>
      </c>
      <c r="F551" s="2886">
        <v>0</v>
      </c>
      <c r="G551" s="2886">
        <v>297269</v>
      </c>
    </row>
    <row r="552" spans="1:7">
      <c r="A552" t="s">
        <v>5958</v>
      </c>
      <c r="B552" s="1417" t="s">
        <v>1862</v>
      </c>
      <c r="C552" t="s">
        <v>829</v>
      </c>
      <c r="D552" s="2885">
        <v>691.39800000000002</v>
      </c>
      <c r="E552" s="2886">
        <v>176019</v>
      </c>
      <c r="F552" s="2886">
        <v>0</v>
      </c>
      <c r="G552" s="2886">
        <v>178926</v>
      </c>
    </row>
    <row r="553" spans="1:7">
      <c r="A553" t="s">
        <v>3605</v>
      </c>
      <c r="B553" s="1417" t="s">
        <v>2510</v>
      </c>
      <c r="C553" t="s">
        <v>144</v>
      </c>
      <c r="D553" s="2885">
        <v>97.64500000000001</v>
      </c>
      <c r="E553" s="2886">
        <v>40924</v>
      </c>
      <c r="F553" s="2886">
        <v>54604</v>
      </c>
      <c r="G553" s="2886">
        <v>0</v>
      </c>
    </row>
    <row r="554" spans="1:7">
      <c r="A554" t="s">
        <v>3606</v>
      </c>
      <c r="B554" s="1417" t="s">
        <v>259</v>
      </c>
      <c r="C554" t="s">
        <v>1939</v>
      </c>
      <c r="D554" s="2885">
        <v>617.08199999999999</v>
      </c>
      <c r="E554" s="2886">
        <v>299436</v>
      </c>
      <c r="F554" s="2886">
        <v>141573</v>
      </c>
      <c r="G554" s="2886">
        <v>137392</v>
      </c>
    </row>
    <row r="555" spans="1:7">
      <c r="A555" t="s">
        <v>5090</v>
      </c>
      <c r="B555" s="1417" t="s">
        <v>47</v>
      </c>
      <c r="C555" t="s">
        <v>409</v>
      </c>
      <c r="D555" s="2885">
        <v>998.35799999999995</v>
      </c>
      <c r="E555" s="2886">
        <v>4155305</v>
      </c>
      <c r="F555" s="2886">
        <v>0</v>
      </c>
      <c r="G555" s="2886">
        <v>701789</v>
      </c>
    </row>
    <row r="556" spans="1:7">
      <c r="A556" t="s">
        <v>3607</v>
      </c>
      <c r="B556" s="1417" t="s">
        <v>2511</v>
      </c>
      <c r="C556" t="s">
        <v>414</v>
      </c>
      <c r="D556" s="2885">
        <v>715.01100000000019</v>
      </c>
      <c r="E556" s="2886">
        <v>1550472</v>
      </c>
      <c r="F556" s="2886">
        <v>195337</v>
      </c>
      <c r="G556" s="2886">
        <v>261159</v>
      </c>
    </row>
    <row r="557" spans="1:7">
      <c r="A557" t="s">
        <v>5959</v>
      </c>
      <c r="B557" s="1417" t="s">
        <v>1153</v>
      </c>
      <c r="C557" t="s">
        <v>2036</v>
      </c>
      <c r="D557" s="2885">
        <v>268.315</v>
      </c>
      <c r="E557" s="2886">
        <v>1421190</v>
      </c>
      <c r="F557" s="2886">
        <v>0</v>
      </c>
      <c r="G557" s="2886">
        <v>272340</v>
      </c>
    </row>
    <row r="558" spans="1:7">
      <c r="A558" t="s">
        <v>3608</v>
      </c>
      <c r="B558" s="1417" t="s">
        <v>1686</v>
      </c>
      <c r="C558" t="s">
        <v>893</v>
      </c>
      <c r="D558" s="2885">
        <v>352.83699999999999</v>
      </c>
      <c r="E558" s="2886">
        <v>2198748</v>
      </c>
      <c r="F558" s="2886">
        <v>44568</v>
      </c>
      <c r="G558" s="2886">
        <v>358130</v>
      </c>
    </row>
    <row r="559" spans="1:7">
      <c r="A559" t="s">
        <v>3609</v>
      </c>
      <c r="B559" s="1417" t="s">
        <v>2403</v>
      </c>
      <c r="C559" t="s">
        <v>416</v>
      </c>
      <c r="D559" s="2885">
        <v>3566.453</v>
      </c>
      <c r="E559" s="2886">
        <v>3083684</v>
      </c>
      <c r="F559" s="2886">
        <v>847404</v>
      </c>
      <c r="G559" s="2886">
        <v>1460493</v>
      </c>
    </row>
    <row r="560" spans="1:7">
      <c r="A560" t="s">
        <v>3610</v>
      </c>
      <c r="B560" s="1417" t="s">
        <v>1339</v>
      </c>
      <c r="C560" t="s">
        <v>111</v>
      </c>
      <c r="D560" s="2885">
        <v>9290.2920000000013</v>
      </c>
      <c r="E560" s="2886">
        <v>15455744</v>
      </c>
      <c r="F560" s="2886">
        <v>4342651</v>
      </c>
      <c r="G560" s="2886">
        <v>7543092</v>
      </c>
    </row>
    <row r="561" spans="1:7">
      <c r="A561" t="s">
        <v>3611</v>
      </c>
      <c r="B561" s="1417" t="s">
        <v>49</v>
      </c>
      <c r="C561" t="s">
        <v>411</v>
      </c>
      <c r="D561" s="2885">
        <v>3603.34</v>
      </c>
      <c r="E561" s="2886">
        <v>2145397</v>
      </c>
      <c r="F561" s="2886">
        <v>1138397</v>
      </c>
      <c r="G561" s="2886">
        <v>220217</v>
      </c>
    </row>
    <row r="562" spans="1:7">
      <c r="A562" t="s">
        <v>3612</v>
      </c>
      <c r="B562" s="1417" t="s">
        <v>51</v>
      </c>
      <c r="C562" t="s">
        <v>413</v>
      </c>
      <c r="D562" s="2885">
        <v>1407.481</v>
      </c>
      <c r="E562" s="2886">
        <v>1254172</v>
      </c>
      <c r="F562" s="2886">
        <v>520038</v>
      </c>
      <c r="G562" s="2886">
        <v>688362</v>
      </c>
    </row>
    <row r="563" spans="1:7">
      <c r="A563" t="s">
        <v>5960</v>
      </c>
      <c r="B563" s="1417" t="s">
        <v>2554</v>
      </c>
      <c r="C563" t="s">
        <v>2037</v>
      </c>
      <c r="D563" s="2885">
        <v>3232.2340000000008</v>
      </c>
      <c r="E563" s="2886">
        <v>3467740</v>
      </c>
      <c r="F563" s="2886">
        <v>0</v>
      </c>
      <c r="G563" s="2886">
        <v>2958397</v>
      </c>
    </row>
    <row r="564" spans="1:7">
      <c r="A564" t="s">
        <v>5961</v>
      </c>
      <c r="B564" s="1417" t="s">
        <v>2555</v>
      </c>
      <c r="C564" t="s">
        <v>2038</v>
      </c>
      <c r="D564" s="2885">
        <v>4004.8270000000002</v>
      </c>
      <c r="E564" s="2886">
        <v>5950007</v>
      </c>
      <c r="F564" s="2886">
        <v>0</v>
      </c>
      <c r="G564" s="2886">
        <v>3820088</v>
      </c>
    </row>
    <row r="565" spans="1:7">
      <c r="A565" t="s">
        <v>3613</v>
      </c>
      <c r="B565" s="1417" t="s">
        <v>494</v>
      </c>
      <c r="C565" t="s">
        <v>1246</v>
      </c>
      <c r="D565" s="2885">
        <v>974.06</v>
      </c>
      <c r="E565" s="2886">
        <v>252635</v>
      </c>
      <c r="F565" s="2886">
        <v>82612</v>
      </c>
      <c r="G565" s="2886">
        <v>101405</v>
      </c>
    </row>
    <row r="566" spans="1:7">
      <c r="A566" t="s">
        <v>5962</v>
      </c>
      <c r="B566" s="1417" t="s">
        <v>2556</v>
      </c>
      <c r="C566" t="s">
        <v>2039</v>
      </c>
      <c r="D566" s="2885">
        <v>7934.884</v>
      </c>
      <c r="E566" s="2886">
        <v>16177653</v>
      </c>
      <c r="F566" s="2886">
        <v>0</v>
      </c>
      <c r="G566" s="2886">
        <v>7361629</v>
      </c>
    </row>
    <row r="567" spans="1:7">
      <c r="A567" t="s">
        <v>5963</v>
      </c>
      <c r="B567" s="1417" t="s">
        <v>1539</v>
      </c>
      <c r="C567" t="s">
        <v>2040</v>
      </c>
      <c r="D567" s="2885">
        <v>1040.6380000000001</v>
      </c>
      <c r="E567" s="2886">
        <v>1273267</v>
      </c>
      <c r="F567" s="2886">
        <v>0</v>
      </c>
      <c r="G567" s="2886">
        <v>729321</v>
      </c>
    </row>
    <row r="568" spans="1:7">
      <c r="A568" t="s">
        <v>5964</v>
      </c>
      <c r="B568" s="1417" t="s">
        <v>2689</v>
      </c>
      <c r="C568" t="s">
        <v>2041</v>
      </c>
      <c r="D568" s="2885">
        <v>62.256</v>
      </c>
      <c r="E568" s="2886">
        <v>311622</v>
      </c>
      <c r="F568" s="2886">
        <v>0</v>
      </c>
      <c r="G568" s="2886">
        <v>6849</v>
      </c>
    </row>
    <row r="569" spans="1:7">
      <c r="A569" t="s">
        <v>6747</v>
      </c>
      <c r="B569" s="1417" t="s">
        <v>2320</v>
      </c>
      <c r="C569" t="s">
        <v>2042</v>
      </c>
      <c r="D569" s="2885">
        <v>118.358</v>
      </c>
      <c r="E569" s="2886">
        <v>0</v>
      </c>
      <c r="F569" s="2886">
        <v>0</v>
      </c>
      <c r="G569" s="2886">
        <v>0</v>
      </c>
    </row>
    <row r="570" spans="1:7">
      <c r="A570" t="s">
        <v>3614</v>
      </c>
      <c r="B570" s="1417" t="s">
        <v>1541</v>
      </c>
      <c r="C570" t="s">
        <v>659</v>
      </c>
      <c r="D570" s="2885">
        <v>549.20600000000002</v>
      </c>
      <c r="E570" s="2886">
        <v>134822</v>
      </c>
      <c r="F570" s="2886">
        <v>136375</v>
      </c>
      <c r="G570" s="2886">
        <v>0</v>
      </c>
    </row>
    <row r="571" spans="1:7">
      <c r="A571" t="s">
        <v>5965</v>
      </c>
      <c r="B571" s="1417" t="s">
        <v>2545</v>
      </c>
      <c r="C571" t="s">
        <v>2043</v>
      </c>
      <c r="D571" s="2885">
        <v>151.17400000000001</v>
      </c>
      <c r="E571" s="2886">
        <v>372883</v>
      </c>
      <c r="F571" s="2886">
        <v>0</v>
      </c>
      <c r="G571" s="2886">
        <v>57856</v>
      </c>
    </row>
    <row r="572" spans="1:7">
      <c r="A572" t="s">
        <v>5966</v>
      </c>
      <c r="B572" s="1417" t="s">
        <v>2546</v>
      </c>
      <c r="C572" t="s">
        <v>2044</v>
      </c>
      <c r="D572" s="2885">
        <v>4642.8460000000005</v>
      </c>
      <c r="E572" s="2886">
        <v>3422850</v>
      </c>
      <c r="F572" s="2886">
        <v>0</v>
      </c>
      <c r="G572" s="2886">
        <v>2356394</v>
      </c>
    </row>
    <row r="573" spans="1:7">
      <c r="A573" t="s">
        <v>5967</v>
      </c>
      <c r="B573" s="1417" t="s">
        <v>487</v>
      </c>
      <c r="C573" t="s">
        <v>2045</v>
      </c>
      <c r="D573" s="2885">
        <v>1007.022</v>
      </c>
      <c r="E573" s="2886">
        <v>1042459</v>
      </c>
      <c r="F573" s="2886">
        <v>0</v>
      </c>
      <c r="G573" s="2886">
        <v>800036</v>
      </c>
    </row>
    <row r="574" spans="1:7">
      <c r="A574" t="s">
        <v>6748</v>
      </c>
      <c r="B574" s="1417" t="s">
        <v>2278</v>
      </c>
      <c r="C574" t="s">
        <v>2046</v>
      </c>
      <c r="D574" s="2885">
        <v>13.706000000000001</v>
      </c>
      <c r="E574" s="2886">
        <v>0</v>
      </c>
      <c r="F574" s="2886">
        <v>0</v>
      </c>
      <c r="G574" s="2886">
        <v>0</v>
      </c>
    </row>
    <row r="575" spans="1:7">
      <c r="A575" t="s">
        <v>6749</v>
      </c>
      <c r="B575" s="1417" t="s">
        <v>2279</v>
      </c>
      <c r="C575" t="s">
        <v>2047</v>
      </c>
      <c r="D575" s="2885">
        <v>575.94900000000007</v>
      </c>
      <c r="E575" s="2886">
        <v>0</v>
      </c>
      <c r="F575" s="2886">
        <v>0</v>
      </c>
      <c r="G575" s="2886">
        <v>0</v>
      </c>
    </row>
    <row r="576" spans="1:7">
      <c r="A576" t="s">
        <v>5968</v>
      </c>
      <c r="B576" s="1417" t="s">
        <v>1534</v>
      </c>
      <c r="C576" t="s">
        <v>2048</v>
      </c>
      <c r="D576" s="2885">
        <v>102.43</v>
      </c>
      <c r="E576" s="2886">
        <v>472900</v>
      </c>
      <c r="F576" s="2886">
        <v>0</v>
      </c>
      <c r="G576" s="2886">
        <v>103966</v>
      </c>
    </row>
    <row r="577" spans="1:7">
      <c r="A577" t="s">
        <v>6750</v>
      </c>
      <c r="B577" s="1417" t="s">
        <v>1535</v>
      </c>
      <c r="C577" t="s">
        <v>2049</v>
      </c>
      <c r="D577" s="2885">
        <v>568.23900000000003</v>
      </c>
      <c r="E577" s="2886">
        <v>0</v>
      </c>
      <c r="F577" s="2886">
        <v>0</v>
      </c>
      <c r="G577" s="2886">
        <v>0</v>
      </c>
    </row>
    <row r="578" spans="1:7">
      <c r="A578" t="s">
        <v>3615</v>
      </c>
      <c r="B578" s="1417" t="s">
        <v>2512</v>
      </c>
      <c r="C578" t="s">
        <v>2016</v>
      </c>
      <c r="D578" s="2885">
        <v>3104.6170000000002</v>
      </c>
      <c r="E578" s="2886">
        <v>2729305</v>
      </c>
      <c r="F578" s="2886">
        <v>2274810</v>
      </c>
      <c r="G578" s="2886">
        <v>1198593</v>
      </c>
    </row>
    <row r="579" spans="1:7">
      <c r="A579" t="s">
        <v>6751</v>
      </c>
      <c r="B579" s="1417" t="s">
        <v>393</v>
      </c>
      <c r="C579" t="s">
        <v>2050</v>
      </c>
      <c r="D579" s="2885">
        <v>613.44100000000003</v>
      </c>
      <c r="E579" s="2886">
        <v>0</v>
      </c>
      <c r="F579" s="2886">
        <v>0</v>
      </c>
      <c r="G579" s="2886">
        <v>0</v>
      </c>
    </row>
    <row r="580" spans="1:7">
      <c r="A580" t="s">
        <v>6752</v>
      </c>
      <c r="B580" s="1417" t="s">
        <v>394</v>
      </c>
      <c r="C580" t="s">
        <v>2051</v>
      </c>
      <c r="D580" s="2885">
        <v>367.9020000000001</v>
      </c>
      <c r="E580" s="2886">
        <v>0</v>
      </c>
      <c r="F580" s="2886">
        <v>0</v>
      </c>
      <c r="G580" s="2886">
        <v>0</v>
      </c>
    </row>
    <row r="581" spans="1:7">
      <c r="A581" t="s">
        <v>5969</v>
      </c>
      <c r="B581" s="1417" t="s">
        <v>395</v>
      </c>
      <c r="C581" t="s">
        <v>2052</v>
      </c>
      <c r="D581" s="2885">
        <v>672.39200000000005</v>
      </c>
      <c r="E581" s="2886">
        <v>484212</v>
      </c>
      <c r="F581" s="2886">
        <v>0</v>
      </c>
      <c r="G581" s="2886">
        <v>421396</v>
      </c>
    </row>
    <row r="582" spans="1:7">
      <c r="A582" t="s">
        <v>3616</v>
      </c>
      <c r="B582" s="1417" t="s">
        <v>2513</v>
      </c>
      <c r="C582" t="s">
        <v>1691</v>
      </c>
      <c r="D582" s="2885">
        <v>281.90800000000002</v>
      </c>
      <c r="E582" s="2886">
        <v>46697</v>
      </c>
      <c r="F582" s="2886">
        <v>57239</v>
      </c>
      <c r="G582" s="2886">
        <v>3114</v>
      </c>
    </row>
    <row r="583" spans="1:7">
      <c r="A583" t="s">
        <v>6753</v>
      </c>
      <c r="B583" s="1417" t="s">
        <v>242</v>
      </c>
      <c r="C583" t="s">
        <v>2053</v>
      </c>
      <c r="D583" s="2885">
        <v>345.38800000000009</v>
      </c>
      <c r="E583" s="2886">
        <v>339259</v>
      </c>
      <c r="F583" s="2886">
        <v>0</v>
      </c>
      <c r="G583" s="2886">
        <v>0</v>
      </c>
    </row>
    <row r="584" spans="1:7">
      <c r="A584" t="s">
        <v>6754</v>
      </c>
      <c r="B584" s="1417" t="s">
        <v>243</v>
      </c>
      <c r="C584" t="s">
        <v>2054</v>
      </c>
      <c r="D584" s="2885">
        <v>92</v>
      </c>
      <c r="E584" s="2886">
        <v>0</v>
      </c>
      <c r="F584" s="2886">
        <v>0</v>
      </c>
      <c r="G584" s="2886">
        <v>0</v>
      </c>
    </row>
    <row r="585" spans="1:7">
      <c r="A585" t="s">
        <v>5970</v>
      </c>
      <c r="B585" s="1417" t="s">
        <v>244</v>
      </c>
      <c r="C585" t="s">
        <v>2055</v>
      </c>
      <c r="D585" s="2885">
        <v>869.88900000000001</v>
      </c>
      <c r="E585" s="2886">
        <v>1971978</v>
      </c>
      <c r="F585" s="2886">
        <v>0</v>
      </c>
      <c r="G585" s="2886">
        <v>405329</v>
      </c>
    </row>
    <row r="586" spans="1:7">
      <c r="A586" t="s">
        <v>3617</v>
      </c>
      <c r="B586" s="1417" t="s">
        <v>2325</v>
      </c>
      <c r="C586" t="s">
        <v>612</v>
      </c>
      <c r="D586" s="2885">
        <v>161.84100000000001</v>
      </c>
      <c r="E586" s="2886">
        <v>64851</v>
      </c>
      <c r="F586" s="2886">
        <v>62026</v>
      </c>
      <c r="G586" s="2886">
        <v>0</v>
      </c>
    </row>
    <row r="587" spans="1:7">
      <c r="A587" t="s">
        <v>3618</v>
      </c>
      <c r="B587" s="1417" t="s">
        <v>2023</v>
      </c>
      <c r="C587" t="s">
        <v>198</v>
      </c>
      <c r="D587" s="2885">
        <v>3327.0150000000008</v>
      </c>
      <c r="E587" s="2886">
        <v>2074298</v>
      </c>
      <c r="F587" s="2886">
        <v>373085</v>
      </c>
      <c r="G587" s="2886">
        <v>1379305</v>
      </c>
    </row>
    <row r="588" spans="1:7">
      <c r="A588" t="s">
        <v>5971</v>
      </c>
      <c r="B588" s="1417" t="s">
        <v>2076</v>
      </c>
      <c r="C588" t="s">
        <v>2429</v>
      </c>
      <c r="D588" s="2885">
        <v>2558.1880000000001</v>
      </c>
      <c r="E588" s="2886">
        <v>713712</v>
      </c>
      <c r="F588" s="2886">
        <v>0</v>
      </c>
      <c r="G588" s="2886">
        <v>671700</v>
      </c>
    </row>
    <row r="589" spans="1:7">
      <c r="A589" t="s">
        <v>3619</v>
      </c>
      <c r="B589" s="1417" t="s">
        <v>2514</v>
      </c>
      <c r="C589" t="s">
        <v>2101</v>
      </c>
      <c r="D589" s="2885">
        <v>1053.183</v>
      </c>
      <c r="E589" s="2886">
        <v>268884</v>
      </c>
      <c r="F589" s="2886">
        <v>132667</v>
      </c>
      <c r="G589" s="2886">
        <v>173310</v>
      </c>
    </row>
    <row r="590" spans="1:7">
      <c r="A590" t="s">
        <v>6755</v>
      </c>
      <c r="B590" s="1417" t="s">
        <v>1557</v>
      </c>
      <c r="C590" t="s">
        <v>2430</v>
      </c>
      <c r="D590" s="2885">
        <v>146.69800000000001</v>
      </c>
      <c r="E590" s="2886">
        <v>0</v>
      </c>
      <c r="F590" s="2886">
        <v>0</v>
      </c>
      <c r="G590" s="2886">
        <v>0</v>
      </c>
    </row>
    <row r="591" spans="1:7">
      <c r="A591" t="s">
        <v>6756</v>
      </c>
      <c r="B591" s="1417" t="s">
        <v>1558</v>
      </c>
      <c r="C591" t="s">
        <v>943</v>
      </c>
      <c r="D591" s="2885">
        <v>1275.614</v>
      </c>
      <c r="E591" s="2886">
        <v>0</v>
      </c>
      <c r="F591" s="2886">
        <v>0</v>
      </c>
      <c r="G591" s="2886">
        <v>0</v>
      </c>
    </row>
    <row r="592" spans="1:7">
      <c r="A592" t="s">
        <v>5142</v>
      </c>
      <c r="B592" s="1417" t="s">
        <v>1412</v>
      </c>
      <c r="C592" t="s">
        <v>826</v>
      </c>
      <c r="D592" s="2885">
        <v>575.72199999999998</v>
      </c>
      <c r="E592" s="2886">
        <v>125828</v>
      </c>
      <c r="F592" s="2886">
        <v>121501</v>
      </c>
      <c r="G592" s="2886">
        <v>0</v>
      </c>
    </row>
    <row r="593" spans="1:7">
      <c r="A593" t="s">
        <v>6757</v>
      </c>
      <c r="B593" s="1417" t="s">
        <v>2261</v>
      </c>
      <c r="C593" t="s">
        <v>945</v>
      </c>
      <c r="D593" s="2885">
        <v>343.05700000000002</v>
      </c>
      <c r="E593" s="2886">
        <v>0</v>
      </c>
      <c r="F593" s="2886">
        <v>0</v>
      </c>
      <c r="G593" s="2886">
        <v>0</v>
      </c>
    </row>
    <row r="594" spans="1:7">
      <c r="A594" t="s">
        <v>5972</v>
      </c>
      <c r="B594" s="1417" t="s">
        <v>2262</v>
      </c>
      <c r="C594" t="s">
        <v>946</v>
      </c>
      <c r="D594" s="2885">
        <v>432.988</v>
      </c>
      <c r="E594" s="2886">
        <v>703537</v>
      </c>
      <c r="F594" s="2886">
        <v>0</v>
      </c>
      <c r="G594" s="2886">
        <v>207543</v>
      </c>
    </row>
    <row r="595" spans="1:7">
      <c r="A595" t="s">
        <v>3620</v>
      </c>
      <c r="B595" s="1417" t="s">
        <v>2263</v>
      </c>
      <c r="C595" t="s">
        <v>947</v>
      </c>
      <c r="D595" s="2885">
        <v>3139.777</v>
      </c>
      <c r="E595" s="2886">
        <v>2947429</v>
      </c>
      <c r="F595" s="2886">
        <v>766720</v>
      </c>
      <c r="G595" s="2886">
        <v>2262063</v>
      </c>
    </row>
    <row r="596" spans="1:7">
      <c r="A596" t="s">
        <v>5973</v>
      </c>
      <c r="B596" s="1417" t="s">
        <v>2264</v>
      </c>
      <c r="C596" t="s">
        <v>948</v>
      </c>
      <c r="D596" s="2885">
        <v>251.39700000000005</v>
      </c>
      <c r="E596" s="2886">
        <v>400586</v>
      </c>
      <c r="F596" s="2886">
        <v>0</v>
      </c>
      <c r="G596" s="2886">
        <v>255168</v>
      </c>
    </row>
    <row r="597" spans="1:7">
      <c r="A597" t="s">
        <v>3621</v>
      </c>
      <c r="B597" s="1417" t="s">
        <v>2401</v>
      </c>
      <c r="C597" t="s">
        <v>1102</v>
      </c>
      <c r="D597" s="2885">
        <v>1247.7160000000001</v>
      </c>
      <c r="E597" s="2886">
        <v>9196436</v>
      </c>
      <c r="F597" s="2886">
        <v>235800</v>
      </c>
      <c r="G597" s="2886">
        <v>527792</v>
      </c>
    </row>
    <row r="598" spans="1:7">
      <c r="A598" t="s">
        <v>5974</v>
      </c>
      <c r="B598" s="1417" t="s">
        <v>2265</v>
      </c>
      <c r="C598" t="s">
        <v>949</v>
      </c>
      <c r="D598" s="2885">
        <v>1037.905</v>
      </c>
      <c r="E598" s="2886">
        <v>1778517</v>
      </c>
      <c r="F598" s="2886">
        <v>0</v>
      </c>
      <c r="G598" s="2886">
        <v>980892</v>
      </c>
    </row>
    <row r="599" spans="1:7">
      <c r="A599" t="s">
        <v>6758</v>
      </c>
      <c r="B599" s="1417" t="s">
        <v>2266</v>
      </c>
      <c r="C599" t="s">
        <v>950</v>
      </c>
      <c r="D599" s="2885">
        <v>279.82800000000003</v>
      </c>
      <c r="E599" s="2886">
        <v>230</v>
      </c>
      <c r="F599" s="2886">
        <v>0</v>
      </c>
      <c r="G599" s="2886">
        <v>46350</v>
      </c>
    </row>
    <row r="600" spans="1:7">
      <c r="A600" t="s">
        <v>6759</v>
      </c>
      <c r="B600" s="1417" t="s">
        <v>2267</v>
      </c>
      <c r="C600" t="s">
        <v>951</v>
      </c>
      <c r="D600" s="2885">
        <v>590.85799999999995</v>
      </c>
      <c r="E600" s="2886">
        <v>0</v>
      </c>
      <c r="F600" s="2886">
        <v>0</v>
      </c>
      <c r="G600" s="2886">
        <v>0</v>
      </c>
    </row>
    <row r="601" spans="1:7">
      <c r="A601" t="s">
        <v>6760</v>
      </c>
      <c r="B601" s="1417" t="s">
        <v>2268</v>
      </c>
      <c r="C601" t="s">
        <v>952</v>
      </c>
      <c r="D601" s="2885">
        <v>105.25200000000002</v>
      </c>
      <c r="E601" s="2886">
        <v>0</v>
      </c>
      <c r="F601" s="2886">
        <v>0</v>
      </c>
      <c r="G601" s="2886">
        <v>0</v>
      </c>
    </row>
    <row r="602" spans="1:7">
      <c r="A602" t="s">
        <v>6761</v>
      </c>
      <c r="B602" s="1417" t="s">
        <v>2269</v>
      </c>
      <c r="C602" t="s">
        <v>953</v>
      </c>
      <c r="D602" s="2885">
        <v>140.114</v>
      </c>
      <c r="E602" s="2886">
        <v>0</v>
      </c>
      <c r="F602" s="2886">
        <v>0</v>
      </c>
      <c r="G602" s="2886">
        <v>0</v>
      </c>
    </row>
    <row r="603" spans="1:7">
      <c r="A603" t="s">
        <v>5975</v>
      </c>
      <c r="B603" s="1417" t="s">
        <v>2586</v>
      </c>
      <c r="C603" t="s">
        <v>954</v>
      </c>
      <c r="D603" s="2885">
        <v>93.347999999999999</v>
      </c>
      <c r="E603" s="2886">
        <v>227514</v>
      </c>
      <c r="F603" s="2886">
        <v>0</v>
      </c>
      <c r="G603" s="2886">
        <v>86256</v>
      </c>
    </row>
    <row r="604" spans="1:7">
      <c r="A604" t="s">
        <v>5976</v>
      </c>
      <c r="B604" s="1417" t="s">
        <v>2587</v>
      </c>
      <c r="C604" t="s">
        <v>955</v>
      </c>
      <c r="D604" s="2885">
        <v>1793.624</v>
      </c>
      <c r="E604" s="2886">
        <v>2183551</v>
      </c>
      <c r="F604" s="2886">
        <v>0</v>
      </c>
      <c r="G604" s="2886">
        <v>1820528</v>
      </c>
    </row>
    <row r="605" spans="1:7">
      <c r="A605" t="s">
        <v>5977</v>
      </c>
      <c r="B605" s="1417" t="s">
        <v>2588</v>
      </c>
      <c r="C605" t="s">
        <v>956</v>
      </c>
      <c r="D605" s="2885">
        <v>937.22900000000004</v>
      </c>
      <c r="E605" s="2886">
        <v>693067</v>
      </c>
      <c r="F605" s="2886">
        <v>0</v>
      </c>
      <c r="G605" s="2886">
        <v>129799</v>
      </c>
    </row>
    <row r="606" spans="1:7">
      <c r="A606" t="s">
        <v>6762</v>
      </c>
      <c r="B606" s="1417" t="s">
        <v>2589</v>
      </c>
      <c r="C606" t="s">
        <v>957</v>
      </c>
      <c r="D606" s="2885">
        <v>162.75899999999999</v>
      </c>
      <c r="E606" s="2886">
        <v>0</v>
      </c>
      <c r="F606" s="2886">
        <v>0</v>
      </c>
      <c r="G606" s="2886">
        <v>0</v>
      </c>
    </row>
    <row r="607" spans="1:7">
      <c r="A607" t="s">
        <v>5978</v>
      </c>
      <c r="B607" s="1417" t="s">
        <v>2590</v>
      </c>
      <c r="C607" t="s">
        <v>958</v>
      </c>
      <c r="D607" s="2885">
        <v>875.01199999999994</v>
      </c>
      <c r="E607" s="2886">
        <v>937297</v>
      </c>
      <c r="F607" s="2886">
        <v>0</v>
      </c>
      <c r="G607" s="2886">
        <v>854330</v>
      </c>
    </row>
    <row r="608" spans="1:7">
      <c r="A608" t="s">
        <v>5979</v>
      </c>
      <c r="B608" s="1417" t="s">
        <v>1381</v>
      </c>
      <c r="C608" t="s">
        <v>1824</v>
      </c>
      <c r="D608" s="2885">
        <v>619.40200000000004</v>
      </c>
      <c r="E608" s="2886">
        <v>864231</v>
      </c>
      <c r="F608" s="2886">
        <v>0</v>
      </c>
      <c r="G608" s="2886">
        <v>628693</v>
      </c>
    </row>
    <row r="609" spans="1:7">
      <c r="A609" t="s">
        <v>5980</v>
      </c>
      <c r="B609" s="1417" t="s">
        <v>1382</v>
      </c>
      <c r="C609" t="s">
        <v>1825</v>
      </c>
      <c r="D609" s="2885">
        <v>522.08199999999999</v>
      </c>
      <c r="E609" s="2886">
        <v>1150983</v>
      </c>
      <c r="F609" s="2886">
        <v>0</v>
      </c>
      <c r="G609" s="2886">
        <v>468160</v>
      </c>
    </row>
    <row r="610" spans="1:7">
      <c r="A610" t="s">
        <v>5981</v>
      </c>
      <c r="B610" s="1417" t="s">
        <v>2426</v>
      </c>
      <c r="C610" t="s">
        <v>1826</v>
      </c>
      <c r="D610" s="2885">
        <v>170.946</v>
      </c>
      <c r="E610" s="2886">
        <v>236212</v>
      </c>
      <c r="F610" s="2886">
        <v>0</v>
      </c>
      <c r="G610" s="2886">
        <v>107276</v>
      </c>
    </row>
    <row r="611" spans="1:7">
      <c r="A611" t="s">
        <v>5982</v>
      </c>
      <c r="B611" s="1417" t="s">
        <v>2111</v>
      </c>
      <c r="C611" t="s">
        <v>2005</v>
      </c>
      <c r="D611" s="2885">
        <v>711.48299999999995</v>
      </c>
      <c r="E611" s="2886">
        <v>1285586</v>
      </c>
      <c r="F611" s="2886">
        <v>0</v>
      </c>
      <c r="G611" s="2886">
        <v>464953</v>
      </c>
    </row>
    <row r="612" spans="1:7">
      <c r="A612" t="s">
        <v>3622</v>
      </c>
      <c r="B612" s="1417" t="s">
        <v>2633</v>
      </c>
      <c r="C612" t="s">
        <v>1164</v>
      </c>
      <c r="D612" s="2885">
        <v>4474.5960000000005</v>
      </c>
      <c r="E612" s="2886">
        <v>3377932</v>
      </c>
      <c r="F612" s="2886">
        <v>1083323</v>
      </c>
      <c r="G612" s="2886">
        <v>1227366</v>
      </c>
    </row>
    <row r="613" spans="1:7">
      <c r="A613" t="s">
        <v>3623</v>
      </c>
      <c r="B613" s="1417" t="s">
        <v>2408</v>
      </c>
      <c r="C613" t="s">
        <v>2664</v>
      </c>
      <c r="D613" s="2885">
        <v>4998.7470000000003</v>
      </c>
      <c r="E613" s="2886">
        <v>5891566</v>
      </c>
      <c r="F613" s="2886">
        <v>2028700</v>
      </c>
      <c r="G613" s="2886">
        <v>1788583</v>
      </c>
    </row>
    <row r="614" spans="1:7">
      <c r="A614" t="s">
        <v>5983</v>
      </c>
      <c r="B614" s="1417" t="s">
        <v>2112</v>
      </c>
      <c r="C614" t="s">
        <v>2006</v>
      </c>
      <c r="D614" s="2885">
        <v>161.774</v>
      </c>
      <c r="E614" s="2886">
        <v>139131</v>
      </c>
      <c r="F614" s="2886">
        <v>0</v>
      </c>
      <c r="G614" s="2886">
        <v>29259</v>
      </c>
    </row>
    <row r="615" spans="1:7">
      <c r="A615" t="s">
        <v>3624</v>
      </c>
      <c r="B615" s="1417" t="s">
        <v>2515</v>
      </c>
      <c r="C615" t="s">
        <v>1735</v>
      </c>
      <c r="D615" s="2885">
        <v>1349.578</v>
      </c>
      <c r="E615" s="2886">
        <v>1049026</v>
      </c>
      <c r="F615" s="2886">
        <v>61188</v>
      </c>
      <c r="G615" s="2886">
        <v>766473</v>
      </c>
    </row>
    <row r="616" spans="1:7">
      <c r="A616" t="s">
        <v>3625</v>
      </c>
      <c r="B616" s="1417" t="s">
        <v>1116</v>
      </c>
      <c r="C616" t="s">
        <v>2384</v>
      </c>
      <c r="D616" s="2885">
        <v>435.11400000000009</v>
      </c>
      <c r="E616" s="2886">
        <v>300426</v>
      </c>
      <c r="F616" s="2886">
        <v>0</v>
      </c>
      <c r="G616" s="2886">
        <v>117794</v>
      </c>
    </row>
    <row r="617" spans="1:7">
      <c r="A617" t="s">
        <v>5984</v>
      </c>
      <c r="B617" s="1417" t="s">
        <v>2113</v>
      </c>
      <c r="C617" t="s">
        <v>543</v>
      </c>
      <c r="D617" s="2885">
        <v>1984.962</v>
      </c>
      <c r="E617" s="2886">
        <v>3009499</v>
      </c>
      <c r="F617" s="2886">
        <v>0</v>
      </c>
      <c r="G617" s="2886">
        <v>643866</v>
      </c>
    </row>
    <row r="618" spans="1:7">
      <c r="A618" t="s">
        <v>5985</v>
      </c>
      <c r="B618" s="1417" t="s">
        <v>2114</v>
      </c>
      <c r="C618" t="s">
        <v>544</v>
      </c>
      <c r="D618" s="2885">
        <v>1740.9680000000001</v>
      </c>
      <c r="E618" s="2886">
        <v>540167</v>
      </c>
      <c r="F618" s="2886">
        <v>0</v>
      </c>
      <c r="G618" s="2886">
        <v>559309</v>
      </c>
    </row>
    <row r="619" spans="1:7">
      <c r="A619" t="s">
        <v>3626</v>
      </c>
      <c r="B619" s="1417" t="s">
        <v>967</v>
      </c>
      <c r="C619" t="s">
        <v>1554</v>
      </c>
      <c r="D619" s="2885">
        <v>291.25599999999997</v>
      </c>
      <c r="E619" s="2886">
        <v>82409</v>
      </c>
      <c r="F619" s="2886">
        <v>24084</v>
      </c>
      <c r="G619" s="2886">
        <v>37187</v>
      </c>
    </row>
    <row r="620" spans="1:7">
      <c r="A620" t="s">
        <v>5986</v>
      </c>
      <c r="B620" s="1417" t="s">
        <v>1337</v>
      </c>
      <c r="C620" t="s">
        <v>545</v>
      </c>
      <c r="D620" s="2885">
        <v>1686.2339999999999</v>
      </c>
      <c r="E620" s="2886">
        <v>2691257</v>
      </c>
      <c r="F620" s="2886">
        <v>0</v>
      </c>
      <c r="G620" s="2886">
        <v>1711528</v>
      </c>
    </row>
    <row r="621" spans="1:7">
      <c r="A621" t="s">
        <v>5987</v>
      </c>
      <c r="B621" s="1417" t="s">
        <v>1689</v>
      </c>
      <c r="C621" t="s">
        <v>546</v>
      </c>
      <c r="D621" s="2885">
        <v>1702.268</v>
      </c>
      <c r="E621" s="2886">
        <v>652817</v>
      </c>
      <c r="F621" s="2886">
        <v>231117</v>
      </c>
      <c r="G621" s="2886">
        <v>295658</v>
      </c>
    </row>
    <row r="622" spans="1:7">
      <c r="A622" t="s">
        <v>5988</v>
      </c>
      <c r="B622" s="1417" t="s">
        <v>1690</v>
      </c>
      <c r="C622" t="s">
        <v>547</v>
      </c>
      <c r="D622" s="2885">
        <v>366.4260000000001</v>
      </c>
      <c r="E622" s="2886">
        <v>850</v>
      </c>
      <c r="F622" s="2886">
        <v>0</v>
      </c>
      <c r="G622" s="2886">
        <v>0</v>
      </c>
    </row>
    <row r="623" spans="1:7">
      <c r="A623" t="s">
        <v>5989</v>
      </c>
      <c r="B623" s="1417" t="s">
        <v>2557</v>
      </c>
      <c r="C623" t="s">
        <v>548</v>
      </c>
      <c r="D623" s="2885">
        <v>138.58500000000001</v>
      </c>
      <c r="E623" s="2886">
        <v>281418</v>
      </c>
      <c r="F623" s="2886">
        <v>0</v>
      </c>
      <c r="G623" s="2886">
        <v>46018</v>
      </c>
    </row>
    <row r="624" spans="1:7">
      <c r="A624" t="s">
        <v>5990</v>
      </c>
      <c r="B624" s="1417" t="s">
        <v>2558</v>
      </c>
      <c r="C624" t="s">
        <v>549</v>
      </c>
      <c r="D624" s="2885">
        <v>120.67800000000003</v>
      </c>
      <c r="E624" s="2886">
        <v>634646</v>
      </c>
      <c r="F624" s="2886">
        <v>0</v>
      </c>
      <c r="G624" s="2886">
        <v>43686</v>
      </c>
    </row>
    <row r="625" spans="1:7">
      <c r="A625" t="s">
        <v>5991</v>
      </c>
      <c r="B625" s="1417" t="s">
        <v>2659</v>
      </c>
      <c r="C625" t="s">
        <v>550</v>
      </c>
      <c r="D625" s="2885">
        <v>118.95800000000003</v>
      </c>
      <c r="E625" s="2886">
        <v>626557</v>
      </c>
      <c r="F625" s="2886">
        <v>0</v>
      </c>
      <c r="G625" s="2886">
        <v>120742</v>
      </c>
    </row>
    <row r="626" spans="1:7">
      <c r="A626" t="s">
        <v>5992</v>
      </c>
      <c r="B626" s="1417" t="s">
        <v>837</v>
      </c>
      <c r="C626" t="s">
        <v>551</v>
      </c>
      <c r="D626" s="2885">
        <v>991.35400000000004</v>
      </c>
      <c r="E626" s="2886">
        <v>2019940</v>
      </c>
      <c r="F626" s="2886">
        <v>0</v>
      </c>
      <c r="G626" s="2886">
        <v>597127</v>
      </c>
    </row>
    <row r="627" spans="1:7">
      <c r="A627" t="s">
        <v>5993</v>
      </c>
      <c r="B627" s="1417" t="s">
        <v>82</v>
      </c>
      <c r="C627" t="s">
        <v>552</v>
      </c>
      <c r="D627" s="2885">
        <v>637.7560000000002</v>
      </c>
      <c r="E627" s="2886">
        <v>2651322</v>
      </c>
      <c r="F627" s="2886">
        <v>0</v>
      </c>
      <c r="G627" s="2886">
        <v>324811</v>
      </c>
    </row>
    <row r="628" spans="1:7">
      <c r="A628" t="s">
        <v>5994</v>
      </c>
      <c r="B628" s="1417" t="s">
        <v>83</v>
      </c>
      <c r="C628" t="s">
        <v>553</v>
      </c>
      <c r="D628" s="2885">
        <v>1722.7230000000004</v>
      </c>
      <c r="E628" s="2886">
        <v>4230239</v>
      </c>
      <c r="F628" s="2886">
        <v>0</v>
      </c>
      <c r="G628" s="2886">
        <v>797727</v>
      </c>
    </row>
    <row r="629" spans="1:7">
      <c r="A629" t="s">
        <v>5163</v>
      </c>
      <c r="B629" s="1417" t="s">
        <v>2284</v>
      </c>
      <c r="C629" t="s">
        <v>586</v>
      </c>
      <c r="D629" s="2885">
        <v>26192.782999999999</v>
      </c>
      <c r="E629" s="2886">
        <v>17504599</v>
      </c>
      <c r="F629" s="2886">
        <v>0</v>
      </c>
      <c r="G629" s="2886">
        <v>18071046</v>
      </c>
    </row>
    <row r="630" spans="1:7">
      <c r="A630" t="s">
        <v>6763</v>
      </c>
      <c r="B630" s="1417" t="s">
        <v>2410</v>
      </c>
      <c r="C630" t="s">
        <v>554</v>
      </c>
      <c r="D630" s="2885">
        <v>741.76499999999999</v>
      </c>
      <c r="E630" s="2886">
        <v>0</v>
      </c>
      <c r="F630" s="2886">
        <v>0</v>
      </c>
      <c r="G630" s="2886">
        <v>0</v>
      </c>
    </row>
    <row r="631" spans="1:7">
      <c r="A631" t="s">
        <v>5995</v>
      </c>
      <c r="B631" s="1417" t="s">
        <v>2411</v>
      </c>
      <c r="C631" t="s">
        <v>555</v>
      </c>
      <c r="D631" s="2885">
        <v>1156.9780000000001</v>
      </c>
      <c r="E631" s="2886">
        <v>1072264</v>
      </c>
      <c r="F631" s="2886">
        <v>261217</v>
      </c>
      <c r="G631" s="2886">
        <v>417046</v>
      </c>
    </row>
    <row r="632" spans="1:7">
      <c r="A632" t="s">
        <v>3627</v>
      </c>
      <c r="B632" s="1417" t="s">
        <v>2104</v>
      </c>
      <c r="C632" t="s">
        <v>587</v>
      </c>
      <c r="D632" s="2885">
        <v>5648.9090000000006</v>
      </c>
      <c r="E632" s="2886">
        <v>12763140</v>
      </c>
      <c r="F632" s="2886">
        <v>445840</v>
      </c>
      <c r="G632" s="2886">
        <v>5733643</v>
      </c>
    </row>
    <row r="633" spans="1:7">
      <c r="A633" t="s">
        <v>3628</v>
      </c>
      <c r="B633" s="1417" t="s">
        <v>1423</v>
      </c>
      <c r="C633" t="s">
        <v>2303</v>
      </c>
      <c r="D633" s="2885">
        <v>8953.5330000000013</v>
      </c>
      <c r="E633" s="2886">
        <v>15778781</v>
      </c>
      <c r="F633" s="2886">
        <v>2586409</v>
      </c>
      <c r="G633" s="2886">
        <v>9087836</v>
      </c>
    </row>
    <row r="634" spans="1:7">
      <c r="A634" t="s">
        <v>5996</v>
      </c>
      <c r="B634" s="1417" t="s">
        <v>2412</v>
      </c>
      <c r="C634" t="s">
        <v>556</v>
      </c>
      <c r="D634" s="2885">
        <v>1010.0970000000002</v>
      </c>
      <c r="E634" s="2886">
        <v>484607</v>
      </c>
      <c r="F634" s="2886">
        <v>0</v>
      </c>
      <c r="G634" s="2886">
        <v>451025</v>
      </c>
    </row>
    <row r="635" spans="1:7">
      <c r="A635" t="s">
        <v>3629</v>
      </c>
      <c r="B635" s="1417" t="s">
        <v>496</v>
      </c>
      <c r="C635" t="s">
        <v>1248</v>
      </c>
      <c r="D635" s="2885">
        <v>1554.6940000000004</v>
      </c>
      <c r="E635" s="2886">
        <v>1004984</v>
      </c>
      <c r="F635" s="2886">
        <v>307457</v>
      </c>
      <c r="G635" s="2886">
        <v>674185</v>
      </c>
    </row>
    <row r="636" spans="1:7">
      <c r="A636" t="s">
        <v>3630</v>
      </c>
      <c r="B636" s="1417" t="s">
        <v>677</v>
      </c>
      <c r="C636" t="s">
        <v>557</v>
      </c>
      <c r="D636" s="2885">
        <v>967.20100000000002</v>
      </c>
      <c r="E636" s="2886">
        <v>638777</v>
      </c>
      <c r="F636" s="2886">
        <v>145557</v>
      </c>
      <c r="G636" s="2886">
        <v>431182</v>
      </c>
    </row>
    <row r="637" spans="1:7">
      <c r="A637" t="s">
        <v>5997</v>
      </c>
      <c r="B637" s="1417" t="s">
        <v>2347</v>
      </c>
      <c r="C637" t="s">
        <v>558</v>
      </c>
      <c r="D637" s="2885">
        <v>277.84300000000002</v>
      </c>
      <c r="E637" s="2886">
        <v>1127032</v>
      </c>
      <c r="F637" s="2886">
        <v>0</v>
      </c>
      <c r="G637" s="2886">
        <v>282011</v>
      </c>
    </row>
    <row r="638" spans="1:7">
      <c r="A638" t="s">
        <v>6764</v>
      </c>
      <c r="B638" s="1417" t="s">
        <v>2348</v>
      </c>
      <c r="C638" t="s">
        <v>559</v>
      </c>
      <c r="D638" s="2885">
        <v>524.97</v>
      </c>
      <c r="E638" s="2886">
        <v>338364</v>
      </c>
      <c r="F638" s="2886">
        <v>0</v>
      </c>
      <c r="G638" s="2886">
        <v>0</v>
      </c>
    </row>
    <row r="639" spans="1:7">
      <c r="A639" t="s">
        <v>5998</v>
      </c>
      <c r="B639" s="1417" t="s">
        <v>2349</v>
      </c>
      <c r="C639" t="s">
        <v>560</v>
      </c>
      <c r="D639" s="2885">
        <v>379.726</v>
      </c>
      <c r="E639" s="2886">
        <v>165711</v>
      </c>
      <c r="F639" s="2886">
        <v>0</v>
      </c>
      <c r="G639" s="2886">
        <v>137685</v>
      </c>
    </row>
    <row r="640" spans="1:7">
      <c r="A640" t="s">
        <v>6765</v>
      </c>
      <c r="B640" s="1417" t="s">
        <v>1464</v>
      </c>
      <c r="C640" t="s">
        <v>561</v>
      </c>
      <c r="D640" s="2885">
        <v>109.827</v>
      </c>
      <c r="E640" s="2886">
        <v>0</v>
      </c>
      <c r="F640" s="2886">
        <v>0</v>
      </c>
      <c r="G640" s="2886">
        <v>0</v>
      </c>
    </row>
    <row r="641" spans="1:7">
      <c r="A641" t="s">
        <v>3631</v>
      </c>
      <c r="B641" s="1417" t="s">
        <v>2091</v>
      </c>
      <c r="C641" t="s">
        <v>37</v>
      </c>
      <c r="D641" s="2885">
        <v>2165.654</v>
      </c>
      <c r="E641" s="2886">
        <v>1361220</v>
      </c>
      <c r="F641" s="2886">
        <v>902222</v>
      </c>
      <c r="G641" s="2886">
        <v>563334</v>
      </c>
    </row>
    <row r="642" spans="1:7">
      <c r="A642" t="s">
        <v>3632</v>
      </c>
      <c r="B642" s="1417" t="s">
        <v>1465</v>
      </c>
      <c r="C642" t="s">
        <v>562</v>
      </c>
      <c r="D642" s="2885">
        <v>336.19200000000001</v>
      </c>
      <c r="E642" s="2886">
        <v>721811</v>
      </c>
      <c r="F642" s="2886">
        <v>100000</v>
      </c>
      <c r="G642" s="2886">
        <v>237051</v>
      </c>
    </row>
    <row r="643" spans="1:7">
      <c r="A643" t="s">
        <v>5999</v>
      </c>
      <c r="B643" s="1417" t="s">
        <v>382</v>
      </c>
      <c r="C643" t="s">
        <v>563</v>
      </c>
      <c r="D643" s="2885">
        <v>1145.1130000000001</v>
      </c>
      <c r="E643" s="2886">
        <v>453499</v>
      </c>
      <c r="F643" s="2886">
        <v>0</v>
      </c>
      <c r="G643" s="2886">
        <v>278009</v>
      </c>
    </row>
    <row r="644" spans="1:7">
      <c r="A644" t="s">
        <v>6000</v>
      </c>
      <c r="B644" s="1417" t="s">
        <v>383</v>
      </c>
      <c r="C644" t="s">
        <v>564</v>
      </c>
      <c r="D644" s="2885">
        <v>914.00900000000001</v>
      </c>
      <c r="E644" s="2886">
        <v>5736080</v>
      </c>
      <c r="F644" s="2886">
        <v>0</v>
      </c>
      <c r="G644" s="2886">
        <v>904387</v>
      </c>
    </row>
    <row r="645" spans="1:7">
      <c r="A645" t="s">
        <v>6001</v>
      </c>
      <c r="B645" s="1417" t="s">
        <v>384</v>
      </c>
      <c r="C645" t="s">
        <v>565</v>
      </c>
      <c r="D645" s="2885">
        <v>235.46100000000001</v>
      </c>
      <c r="E645" s="2886">
        <v>813014</v>
      </c>
      <c r="F645" s="2886">
        <v>0</v>
      </c>
      <c r="G645" s="2886">
        <v>36296</v>
      </c>
    </row>
    <row r="646" spans="1:7">
      <c r="A646" t="s">
        <v>6002</v>
      </c>
      <c r="B646" s="1417" t="s">
        <v>1655</v>
      </c>
      <c r="C646" t="s">
        <v>566</v>
      </c>
      <c r="D646" s="2885">
        <v>656.86099999999999</v>
      </c>
      <c r="E646" s="2886">
        <v>429422</v>
      </c>
      <c r="F646" s="2886">
        <v>0</v>
      </c>
      <c r="G646" s="2886">
        <v>0</v>
      </c>
    </row>
    <row r="647" spans="1:7">
      <c r="A647" t="s">
        <v>6003</v>
      </c>
      <c r="B647" s="1417" t="s">
        <v>1656</v>
      </c>
      <c r="C647" t="s">
        <v>567</v>
      </c>
      <c r="D647" s="2885">
        <v>3370.605</v>
      </c>
      <c r="E647" s="2886">
        <v>2083783</v>
      </c>
      <c r="F647" s="2886">
        <v>0</v>
      </c>
      <c r="G647" s="2886">
        <v>1870938</v>
      </c>
    </row>
    <row r="648" spans="1:7">
      <c r="A648" t="s">
        <v>6004</v>
      </c>
      <c r="B648" s="1417" t="s">
        <v>173</v>
      </c>
      <c r="C648" t="s">
        <v>1745</v>
      </c>
      <c r="D648" s="2885">
        <v>843.88400000000001</v>
      </c>
      <c r="E648" s="2886">
        <v>2857218</v>
      </c>
      <c r="F648" s="2886">
        <v>0</v>
      </c>
      <c r="G648" s="2886">
        <v>676146</v>
      </c>
    </row>
    <row r="649" spans="1:7">
      <c r="A649" t="s">
        <v>6005</v>
      </c>
      <c r="B649" s="1417" t="s">
        <v>2128</v>
      </c>
      <c r="C649" t="s">
        <v>1746</v>
      </c>
      <c r="D649" s="2885">
        <v>149.874</v>
      </c>
      <c r="E649" s="2886">
        <v>338086</v>
      </c>
      <c r="F649" s="2886">
        <v>0</v>
      </c>
      <c r="G649" s="2886">
        <v>70435</v>
      </c>
    </row>
    <row r="650" spans="1:7">
      <c r="A650" t="s">
        <v>6006</v>
      </c>
      <c r="B650" s="1417" t="s">
        <v>2129</v>
      </c>
      <c r="C650" t="s">
        <v>1747</v>
      </c>
      <c r="D650" s="2885">
        <v>1350.845</v>
      </c>
      <c r="E650" s="2886">
        <v>1195462</v>
      </c>
      <c r="F650" s="2886">
        <v>0</v>
      </c>
      <c r="G650" s="2886">
        <v>466083</v>
      </c>
    </row>
    <row r="651" spans="1:7">
      <c r="A651" t="s">
        <v>6766</v>
      </c>
      <c r="B651" s="1417" t="s">
        <v>2130</v>
      </c>
      <c r="C651" t="s">
        <v>1748</v>
      </c>
      <c r="D651" s="2885">
        <v>986.64800000000002</v>
      </c>
      <c r="E651" s="2886">
        <v>0</v>
      </c>
      <c r="F651" s="2886">
        <v>0</v>
      </c>
      <c r="G651" s="2886">
        <v>0</v>
      </c>
    </row>
    <row r="652" spans="1:7">
      <c r="A652" t="s">
        <v>3633</v>
      </c>
      <c r="B652" s="1417" t="s">
        <v>1813</v>
      </c>
      <c r="C652" t="s">
        <v>1062</v>
      </c>
      <c r="D652" s="2885">
        <v>13629.106</v>
      </c>
      <c r="E652" s="2886">
        <v>2552075</v>
      </c>
      <c r="F652" s="2886">
        <v>1976883</v>
      </c>
      <c r="G652" s="2886">
        <v>565506</v>
      </c>
    </row>
    <row r="653" spans="1:7">
      <c r="A653" t="s">
        <v>3634</v>
      </c>
      <c r="B653" s="1417" t="s">
        <v>880</v>
      </c>
      <c r="C653" t="s">
        <v>1854</v>
      </c>
      <c r="D653" s="2885">
        <v>1115.7</v>
      </c>
      <c r="E653" s="2886">
        <v>1416171</v>
      </c>
      <c r="F653" s="2886">
        <v>657732</v>
      </c>
      <c r="G653" s="2886">
        <v>772911</v>
      </c>
    </row>
    <row r="654" spans="1:7">
      <c r="A654" t="s">
        <v>6767</v>
      </c>
      <c r="B654" s="1417" t="s">
        <v>1403</v>
      </c>
      <c r="C654" t="s">
        <v>1749</v>
      </c>
      <c r="D654" s="2885">
        <v>169.03</v>
      </c>
      <c r="E654" s="2886">
        <v>0</v>
      </c>
      <c r="F654" s="2886">
        <v>0</v>
      </c>
      <c r="G654" s="2886">
        <v>0</v>
      </c>
    </row>
    <row r="655" spans="1:7">
      <c r="A655" t="s">
        <v>3635</v>
      </c>
      <c r="B655" s="1417" t="s">
        <v>1988</v>
      </c>
      <c r="C655" t="s">
        <v>2228</v>
      </c>
      <c r="D655" s="2885">
        <v>85.421999999999997</v>
      </c>
      <c r="E655" s="2886">
        <v>18273</v>
      </c>
      <c r="F655" s="2886">
        <v>18432</v>
      </c>
      <c r="G655" s="2886">
        <v>0</v>
      </c>
    </row>
    <row r="656" spans="1:7">
      <c r="A656" t="s">
        <v>3636</v>
      </c>
      <c r="B656" s="1417" t="s">
        <v>968</v>
      </c>
      <c r="C656" t="s">
        <v>417</v>
      </c>
      <c r="D656" s="2885">
        <v>530.51700000000005</v>
      </c>
      <c r="E656" s="2886">
        <v>105500</v>
      </c>
      <c r="F656" s="2886">
        <v>188880</v>
      </c>
      <c r="G656" s="2886">
        <v>127166</v>
      </c>
    </row>
    <row r="657" spans="1:7">
      <c r="A657" t="s">
        <v>6007</v>
      </c>
      <c r="B657" s="1417" t="s">
        <v>900</v>
      </c>
      <c r="C657" t="s">
        <v>1922</v>
      </c>
      <c r="D657" s="2885">
        <v>7534.23</v>
      </c>
      <c r="E657" s="2886">
        <v>12721049</v>
      </c>
      <c r="F657" s="2886">
        <v>0</v>
      </c>
      <c r="G657" s="2886">
        <v>7647243</v>
      </c>
    </row>
    <row r="658" spans="1:7">
      <c r="A658" t="s">
        <v>3637</v>
      </c>
      <c r="B658" s="1417" t="s">
        <v>702</v>
      </c>
      <c r="C658" t="s">
        <v>1899</v>
      </c>
      <c r="D658" s="2885">
        <v>2893.7570000000001</v>
      </c>
      <c r="E658" s="2886">
        <v>1860813</v>
      </c>
      <c r="F658" s="2886">
        <v>755183</v>
      </c>
      <c r="G658" s="2886">
        <v>1012258</v>
      </c>
    </row>
    <row r="659" spans="1:7">
      <c r="A659" t="s">
        <v>3638</v>
      </c>
      <c r="B659" s="1417" t="s">
        <v>969</v>
      </c>
      <c r="C659" t="s">
        <v>1257</v>
      </c>
      <c r="D659" s="2885">
        <v>1612.748</v>
      </c>
      <c r="E659" s="2886">
        <v>1816960</v>
      </c>
      <c r="F659" s="2886">
        <v>515145</v>
      </c>
      <c r="G659" s="2886">
        <v>1148308</v>
      </c>
    </row>
    <row r="660" spans="1:7">
      <c r="A660" t="s">
        <v>3639</v>
      </c>
      <c r="B660" s="1417" t="s">
        <v>1835</v>
      </c>
      <c r="C660" t="s">
        <v>2064</v>
      </c>
      <c r="D660" s="2885">
        <v>488.28300000000002</v>
      </c>
      <c r="E660" s="2886">
        <v>213847</v>
      </c>
      <c r="F660" s="2886">
        <v>116307</v>
      </c>
      <c r="G660" s="2886">
        <v>86255</v>
      </c>
    </row>
    <row r="661" spans="1:7">
      <c r="A661" t="s">
        <v>3640</v>
      </c>
      <c r="B661" s="1417" t="s">
        <v>1542</v>
      </c>
      <c r="C661" t="s">
        <v>819</v>
      </c>
      <c r="D661" s="2885">
        <v>1368.8140000000001</v>
      </c>
      <c r="E661" s="2886">
        <v>1113055</v>
      </c>
      <c r="F661" s="2886">
        <v>416482</v>
      </c>
      <c r="G661" s="2886">
        <v>657648</v>
      </c>
    </row>
    <row r="662" spans="1:7">
      <c r="A662" t="s">
        <v>3641</v>
      </c>
      <c r="B662" s="1417" t="s">
        <v>113</v>
      </c>
      <c r="C662" t="s">
        <v>1750</v>
      </c>
      <c r="D662" s="2885">
        <v>625.87099999999998</v>
      </c>
      <c r="E662" s="2886">
        <v>577084</v>
      </c>
      <c r="F662" s="2886">
        <v>131795</v>
      </c>
      <c r="G662" s="2886">
        <v>362143</v>
      </c>
    </row>
    <row r="663" spans="1:7">
      <c r="A663" t="s">
        <v>3642</v>
      </c>
      <c r="B663" s="1417" t="s">
        <v>2086</v>
      </c>
      <c r="C663" t="s">
        <v>1740</v>
      </c>
      <c r="D663" s="2885">
        <v>586.82100000000003</v>
      </c>
      <c r="E663" s="2886">
        <v>1799536</v>
      </c>
      <c r="F663" s="2886">
        <v>270050</v>
      </c>
      <c r="G663" s="2886">
        <v>250130</v>
      </c>
    </row>
    <row r="664" spans="1:7">
      <c r="A664" t="s">
        <v>3643</v>
      </c>
      <c r="B664" s="1417" t="s">
        <v>341</v>
      </c>
      <c r="C664" t="s">
        <v>136</v>
      </c>
      <c r="D664" s="2885">
        <v>13648.735000000001</v>
      </c>
      <c r="E664" s="2886">
        <v>11473508</v>
      </c>
      <c r="F664" s="2886">
        <v>2709200</v>
      </c>
      <c r="G664" s="2886">
        <v>9455655</v>
      </c>
    </row>
    <row r="665" spans="1:7">
      <c r="A665" t="s">
        <v>3644</v>
      </c>
      <c r="B665" s="1417" t="s">
        <v>344</v>
      </c>
      <c r="C665" t="s">
        <v>1430</v>
      </c>
      <c r="D665" s="2885">
        <v>1245.068</v>
      </c>
      <c r="E665" s="2886">
        <v>1105983</v>
      </c>
      <c r="F665" s="2886">
        <v>433427</v>
      </c>
      <c r="G665" s="2886">
        <v>455377</v>
      </c>
    </row>
    <row r="666" spans="1:7">
      <c r="A666" t="s">
        <v>6768</v>
      </c>
      <c r="B666" s="1417" t="s">
        <v>2460</v>
      </c>
      <c r="C666" t="s">
        <v>1751</v>
      </c>
      <c r="D666" s="2885">
        <v>732.31200000000001</v>
      </c>
      <c r="E666" s="2886">
        <v>0</v>
      </c>
      <c r="F666" s="2886">
        <v>0</v>
      </c>
      <c r="G666" s="2886">
        <v>0</v>
      </c>
    </row>
    <row r="667" spans="1:7">
      <c r="A667" t="s">
        <v>3645</v>
      </c>
      <c r="B667" s="1417" t="s">
        <v>2461</v>
      </c>
      <c r="C667" t="s">
        <v>1752</v>
      </c>
      <c r="D667" s="2885">
        <v>694.14400000000001</v>
      </c>
      <c r="E667" s="2886">
        <v>252837</v>
      </c>
      <c r="F667" s="2886">
        <v>128649</v>
      </c>
      <c r="G667" s="2886">
        <v>135000</v>
      </c>
    </row>
    <row r="668" spans="1:7">
      <c r="A668" t="s">
        <v>3646</v>
      </c>
      <c r="B668" s="1417" t="s">
        <v>72</v>
      </c>
      <c r="C668" t="s">
        <v>1160</v>
      </c>
      <c r="D668" s="2885">
        <v>2569.2629999999999</v>
      </c>
      <c r="E668" s="2886">
        <v>2758227</v>
      </c>
      <c r="F668" s="2886">
        <v>807777</v>
      </c>
      <c r="G668" s="2886">
        <v>1439205</v>
      </c>
    </row>
    <row r="669" spans="1:7">
      <c r="A669" t="s">
        <v>3647</v>
      </c>
      <c r="B669" s="1417" t="s">
        <v>2310</v>
      </c>
      <c r="C669" t="s">
        <v>1552</v>
      </c>
      <c r="D669" s="2885">
        <v>2192.4760000000001</v>
      </c>
      <c r="E669" s="2886">
        <v>1288436</v>
      </c>
      <c r="F669" s="2886">
        <v>444012</v>
      </c>
      <c r="G669" s="2886">
        <v>726377</v>
      </c>
    </row>
    <row r="670" spans="1:7">
      <c r="A670" t="s">
        <v>3648</v>
      </c>
      <c r="B670" s="1417" t="s">
        <v>164</v>
      </c>
      <c r="C670" t="s">
        <v>2698</v>
      </c>
      <c r="D670" s="2885">
        <v>2200.4860000000003</v>
      </c>
      <c r="E670" s="2886">
        <v>1801033</v>
      </c>
      <c r="F670" s="2886">
        <v>340375</v>
      </c>
      <c r="G670" s="2886">
        <v>1202325</v>
      </c>
    </row>
    <row r="671" spans="1:7">
      <c r="A671" t="s">
        <v>3649</v>
      </c>
      <c r="B671" s="1417" t="s">
        <v>879</v>
      </c>
      <c r="C671" t="s">
        <v>1348</v>
      </c>
      <c r="D671" s="2885">
        <v>632.39300000000003</v>
      </c>
      <c r="E671" s="2886">
        <v>411282</v>
      </c>
      <c r="F671" s="2886">
        <v>116843</v>
      </c>
      <c r="G671" s="2886">
        <v>251231</v>
      </c>
    </row>
    <row r="672" spans="1:7">
      <c r="A672" t="s">
        <v>6008</v>
      </c>
      <c r="B672" s="1417" t="s">
        <v>1837</v>
      </c>
      <c r="C672" t="s">
        <v>1753</v>
      </c>
      <c r="D672" s="2885">
        <v>158.62300000000005</v>
      </c>
      <c r="E672" s="2886">
        <v>160002</v>
      </c>
      <c r="F672" s="2886">
        <v>0</v>
      </c>
      <c r="G672" s="2886">
        <v>135378</v>
      </c>
    </row>
    <row r="673" spans="1:7">
      <c r="A673" t="s">
        <v>6769</v>
      </c>
      <c r="B673" s="1417" t="s">
        <v>258</v>
      </c>
      <c r="C673" t="s">
        <v>1754</v>
      </c>
      <c r="D673" s="2885">
        <v>239.36800000000005</v>
      </c>
      <c r="E673" s="2886">
        <v>0</v>
      </c>
      <c r="F673" s="2886">
        <v>0</v>
      </c>
      <c r="G673" s="2886">
        <v>0</v>
      </c>
    </row>
    <row r="674" spans="1:7">
      <c r="A674" t="s">
        <v>6009</v>
      </c>
      <c r="B674" s="1417" t="s">
        <v>1585</v>
      </c>
      <c r="C674" t="s">
        <v>1755</v>
      </c>
      <c r="D674" s="2885">
        <v>241.22800000000001</v>
      </c>
      <c r="E674" s="2886">
        <v>2720024</v>
      </c>
      <c r="F674" s="2886">
        <v>0</v>
      </c>
      <c r="G674" s="2886">
        <v>67905</v>
      </c>
    </row>
    <row r="675" spans="1:7">
      <c r="A675" t="s">
        <v>3650</v>
      </c>
      <c r="B675" s="1417" t="s">
        <v>1134</v>
      </c>
      <c r="C675" t="s">
        <v>2669</v>
      </c>
      <c r="D675" s="2885">
        <v>1852.289</v>
      </c>
      <c r="E675" s="2886">
        <v>819689</v>
      </c>
      <c r="F675" s="2886">
        <v>721049</v>
      </c>
      <c r="G675" s="2886">
        <v>119082</v>
      </c>
    </row>
    <row r="676" spans="1:7">
      <c r="A676" t="s">
        <v>3651</v>
      </c>
      <c r="B676" s="1417" t="s">
        <v>1989</v>
      </c>
      <c r="C676" t="s">
        <v>2178</v>
      </c>
      <c r="D676" s="2885">
        <v>350.1810000000001</v>
      </c>
      <c r="E676" s="2886">
        <v>268424</v>
      </c>
      <c r="F676" s="2886">
        <v>158125</v>
      </c>
      <c r="G676" s="2886">
        <v>118785</v>
      </c>
    </row>
    <row r="677" spans="1:7">
      <c r="A677" t="s">
        <v>3652</v>
      </c>
      <c r="B677" s="1417" t="s">
        <v>920</v>
      </c>
      <c r="C677" t="s">
        <v>2244</v>
      </c>
      <c r="D677" s="2885">
        <v>980.21200000000022</v>
      </c>
      <c r="E677" s="2886">
        <v>210074</v>
      </c>
      <c r="F677" s="2886">
        <v>126338</v>
      </c>
      <c r="G677" s="2886">
        <v>61284</v>
      </c>
    </row>
    <row r="678" spans="1:7">
      <c r="A678" t="s">
        <v>3653</v>
      </c>
      <c r="B678" s="1417" t="s">
        <v>171</v>
      </c>
      <c r="C678" t="s">
        <v>2378</v>
      </c>
      <c r="D678" s="2885">
        <v>1882.3530000000001</v>
      </c>
      <c r="E678" s="2886">
        <v>2099501</v>
      </c>
      <c r="F678" s="2886">
        <v>643813</v>
      </c>
      <c r="G678" s="2886">
        <v>10219</v>
      </c>
    </row>
    <row r="679" spans="1:7">
      <c r="A679" t="s">
        <v>3654</v>
      </c>
      <c r="B679" s="1417" t="s">
        <v>2531</v>
      </c>
      <c r="C679" t="s">
        <v>823</v>
      </c>
      <c r="D679" s="2885">
        <v>4452.2179999999998</v>
      </c>
      <c r="E679" s="2886">
        <v>5915433</v>
      </c>
      <c r="F679" s="2886">
        <v>2755321</v>
      </c>
      <c r="G679" s="2886">
        <v>2054447</v>
      </c>
    </row>
    <row r="680" spans="1:7">
      <c r="A680" t="s">
        <v>6770</v>
      </c>
      <c r="B680" s="1417" t="s">
        <v>2583</v>
      </c>
      <c r="C680" t="s">
        <v>1756</v>
      </c>
      <c r="D680" s="2885">
        <v>275.214</v>
      </c>
      <c r="E680" s="2886">
        <v>0</v>
      </c>
      <c r="F680" s="2886">
        <v>0</v>
      </c>
      <c r="G680" s="2886">
        <v>0</v>
      </c>
    </row>
    <row r="681" spans="1:7">
      <c r="A681" t="s">
        <v>3655</v>
      </c>
      <c r="B681" s="1417" t="s">
        <v>2534</v>
      </c>
      <c r="C681" t="s">
        <v>2236</v>
      </c>
      <c r="D681" s="2885">
        <v>22927.063999999998</v>
      </c>
      <c r="E681" s="2886">
        <v>14668036</v>
      </c>
      <c r="F681" s="2886">
        <v>182879</v>
      </c>
      <c r="G681" s="2886">
        <v>8950418</v>
      </c>
    </row>
    <row r="682" spans="1:7">
      <c r="A682" t="s">
        <v>6010</v>
      </c>
      <c r="B682" s="1417" t="s">
        <v>1300</v>
      </c>
      <c r="C682" t="s">
        <v>1757</v>
      </c>
      <c r="D682" s="2885">
        <v>2348.192</v>
      </c>
      <c r="E682" s="2886">
        <v>3891699</v>
      </c>
      <c r="F682" s="2886">
        <v>0</v>
      </c>
      <c r="G682" s="2886">
        <v>2383415</v>
      </c>
    </row>
    <row r="683" spans="1:7">
      <c r="A683" t="s">
        <v>3656</v>
      </c>
      <c r="B683" s="1417" t="s">
        <v>1887</v>
      </c>
      <c r="C683" t="s">
        <v>652</v>
      </c>
      <c r="D683" s="2885">
        <v>1703.0609999999999</v>
      </c>
      <c r="E683" s="2886">
        <v>1153952</v>
      </c>
      <c r="F683" s="2886">
        <v>417132</v>
      </c>
      <c r="G683" s="2886">
        <v>488987</v>
      </c>
    </row>
    <row r="684" spans="1:7">
      <c r="A684" t="s">
        <v>6771</v>
      </c>
      <c r="B684" s="1417" t="s">
        <v>1360</v>
      </c>
      <c r="C684" t="s">
        <v>1758</v>
      </c>
      <c r="D684" s="2885">
        <v>159.85400000000001</v>
      </c>
      <c r="E684" s="2886">
        <v>0</v>
      </c>
      <c r="F684" s="2886">
        <v>0</v>
      </c>
      <c r="G684" s="2886">
        <v>0</v>
      </c>
    </row>
    <row r="685" spans="1:7">
      <c r="A685" t="s">
        <v>6011</v>
      </c>
      <c r="B685" s="1417" t="s">
        <v>2535</v>
      </c>
      <c r="C685" t="s">
        <v>1759</v>
      </c>
      <c r="D685" s="2885">
        <v>381.44900000000001</v>
      </c>
      <c r="E685" s="2886">
        <v>278534</v>
      </c>
      <c r="F685" s="2886">
        <v>0</v>
      </c>
      <c r="G685" s="2886">
        <v>165489</v>
      </c>
    </row>
    <row r="686" spans="1:7">
      <c r="A686" t="s">
        <v>6012</v>
      </c>
      <c r="B686" s="1417" t="s">
        <v>2197</v>
      </c>
      <c r="C686" t="s">
        <v>1760</v>
      </c>
      <c r="D686" s="2885">
        <v>1442.6869999999999</v>
      </c>
      <c r="E686" s="2886">
        <v>2883012</v>
      </c>
      <c r="F686" s="2886">
        <v>0</v>
      </c>
      <c r="G686" s="2886">
        <v>1067100</v>
      </c>
    </row>
    <row r="687" spans="1:7">
      <c r="A687" t="s">
        <v>6013</v>
      </c>
      <c r="B687" s="1417" t="s">
        <v>930</v>
      </c>
      <c r="C687" t="s">
        <v>1761</v>
      </c>
      <c r="D687" s="2885">
        <v>540.52200000000005</v>
      </c>
      <c r="E687" s="2886">
        <v>2910</v>
      </c>
      <c r="F687" s="2886">
        <v>0</v>
      </c>
      <c r="G687" s="2886">
        <v>0</v>
      </c>
    </row>
    <row r="688" spans="1:7">
      <c r="A688" t="s">
        <v>3657</v>
      </c>
      <c r="B688" s="1417" t="s">
        <v>375</v>
      </c>
      <c r="C688" t="s">
        <v>2637</v>
      </c>
      <c r="D688" s="2885">
        <v>134.69800000000001</v>
      </c>
      <c r="E688" s="2886">
        <v>20372</v>
      </c>
      <c r="F688" s="2886">
        <v>17739</v>
      </c>
      <c r="G688" s="2886">
        <v>0</v>
      </c>
    </row>
    <row r="689" spans="1:7">
      <c r="A689" t="s">
        <v>3658</v>
      </c>
      <c r="B689" s="1417" t="s">
        <v>1264</v>
      </c>
      <c r="C689" t="s">
        <v>860</v>
      </c>
      <c r="D689" s="2885">
        <v>531.93399999999997</v>
      </c>
      <c r="E689" s="2886">
        <v>356857</v>
      </c>
      <c r="F689" s="2886">
        <v>145955</v>
      </c>
      <c r="G689" s="2886">
        <v>343816</v>
      </c>
    </row>
    <row r="690" spans="1:7">
      <c r="A690" t="s">
        <v>6772</v>
      </c>
      <c r="B690" s="1417" t="s">
        <v>2671</v>
      </c>
      <c r="C690" t="s">
        <v>1762</v>
      </c>
      <c r="D690" s="2885">
        <v>319.98599999999999</v>
      </c>
      <c r="E690" s="2886">
        <v>0</v>
      </c>
      <c r="F690" s="2886">
        <v>0</v>
      </c>
      <c r="G690" s="2886">
        <v>0</v>
      </c>
    </row>
    <row r="691" spans="1:7">
      <c r="A691" t="s">
        <v>3659</v>
      </c>
      <c r="B691" s="1417" t="s">
        <v>1990</v>
      </c>
      <c r="C691" t="s">
        <v>73</v>
      </c>
      <c r="D691" s="2885">
        <v>102.289</v>
      </c>
      <c r="E691" s="2886">
        <v>11697</v>
      </c>
      <c r="F691" s="2886">
        <v>11161</v>
      </c>
      <c r="G691" s="2886">
        <v>0</v>
      </c>
    </row>
    <row r="692" spans="1:7">
      <c r="A692" t="s">
        <v>6014</v>
      </c>
      <c r="B692" s="1417" t="s">
        <v>2673</v>
      </c>
      <c r="C692" t="s">
        <v>1764</v>
      </c>
      <c r="D692" s="2885">
        <v>881.42000000000019</v>
      </c>
      <c r="E692" s="2886">
        <v>1750995</v>
      </c>
      <c r="F692" s="2886">
        <v>0</v>
      </c>
      <c r="G692" s="2886">
        <v>894641</v>
      </c>
    </row>
    <row r="693" spans="1:7">
      <c r="A693" t="s">
        <v>6015</v>
      </c>
      <c r="B693" s="1417" t="s">
        <v>2674</v>
      </c>
      <c r="C693" t="s">
        <v>1765</v>
      </c>
      <c r="D693" s="2885">
        <v>150.12700000000001</v>
      </c>
      <c r="E693" s="2886">
        <v>715337</v>
      </c>
      <c r="F693" s="2886">
        <v>0</v>
      </c>
      <c r="G693" s="2886">
        <v>143275</v>
      </c>
    </row>
    <row r="694" spans="1:7">
      <c r="A694" t="s">
        <v>6773</v>
      </c>
      <c r="B694" s="1417" t="s">
        <v>1486</v>
      </c>
      <c r="C694" t="s">
        <v>1766</v>
      </c>
      <c r="D694" s="2885">
        <v>239.54700000000005</v>
      </c>
      <c r="E694" s="2886">
        <v>0</v>
      </c>
      <c r="F694" s="2886">
        <v>0</v>
      </c>
      <c r="G694" s="2886">
        <v>0</v>
      </c>
    </row>
    <row r="695" spans="1:7">
      <c r="A695" t="s">
        <v>3660</v>
      </c>
      <c r="B695" s="1417" t="s">
        <v>1318</v>
      </c>
      <c r="C695" t="s">
        <v>1366</v>
      </c>
      <c r="D695" s="2885">
        <v>1582.942</v>
      </c>
      <c r="E695" s="2886">
        <v>1598341</v>
      </c>
      <c r="F695" s="2886">
        <v>357946</v>
      </c>
      <c r="G695" s="2886">
        <v>898426</v>
      </c>
    </row>
    <row r="696" spans="1:7">
      <c r="A696" t="s">
        <v>6774</v>
      </c>
      <c r="B696" s="1417" t="s">
        <v>1432</v>
      </c>
      <c r="C696" t="s">
        <v>1367</v>
      </c>
      <c r="D696" s="2885">
        <v>727.43700000000001</v>
      </c>
      <c r="E696" s="2886">
        <v>0</v>
      </c>
      <c r="F696" s="2886">
        <v>0</v>
      </c>
      <c r="G696" s="2886">
        <v>0</v>
      </c>
    </row>
    <row r="697" spans="1:7">
      <c r="A697" t="s">
        <v>6016</v>
      </c>
      <c r="B697" s="1417" t="s">
        <v>804</v>
      </c>
      <c r="C697" t="s">
        <v>1368</v>
      </c>
      <c r="D697" s="2885">
        <v>112.613</v>
      </c>
      <c r="E697" s="2886">
        <v>85548</v>
      </c>
      <c r="F697" s="2886">
        <v>0</v>
      </c>
      <c r="G697" s="2886">
        <v>47044</v>
      </c>
    </row>
    <row r="698" spans="1:7">
      <c r="A698" t="s">
        <v>6775</v>
      </c>
      <c r="B698" s="1417" t="s">
        <v>1495</v>
      </c>
      <c r="C698" t="s">
        <v>2245</v>
      </c>
      <c r="D698" s="2885">
        <v>129.142</v>
      </c>
      <c r="E698" s="2886">
        <v>0</v>
      </c>
      <c r="F698" s="2886">
        <v>0</v>
      </c>
      <c r="G698" s="2886">
        <v>0</v>
      </c>
    </row>
    <row r="699" spans="1:7">
      <c r="A699" t="s">
        <v>6776</v>
      </c>
      <c r="B699" s="1417" t="s">
        <v>1496</v>
      </c>
      <c r="C699" t="s">
        <v>2246</v>
      </c>
      <c r="D699" s="2885">
        <v>136.69800000000001</v>
      </c>
      <c r="E699" s="2886">
        <v>0</v>
      </c>
      <c r="F699" s="2886">
        <v>0</v>
      </c>
      <c r="G699" s="2886">
        <v>0</v>
      </c>
    </row>
    <row r="700" spans="1:7">
      <c r="A700" t="s">
        <v>6017</v>
      </c>
      <c r="B700" s="1417" t="s">
        <v>1272</v>
      </c>
      <c r="C700" t="s">
        <v>2247</v>
      </c>
      <c r="D700" s="2885">
        <v>141.886</v>
      </c>
      <c r="E700" s="2886">
        <v>0</v>
      </c>
      <c r="F700" s="2886">
        <v>0</v>
      </c>
      <c r="G700" s="2886">
        <v>0</v>
      </c>
    </row>
    <row r="701" spans="1:7">
      <c r="A701" t="s">
        <v>6018</v>
      </c>
      <c r="B701" s="1417" t="s">
        <v>1531</v>
      </c>
      <c r="C701" t="s">
        <v>2248</v>
      </c>
      <c r="D701" s="2885">
        <v>249.887</v>
      </c>
      <c r="E701" s="2886">
        <v>1191</v>
      </c>
      <c r="F701" s="2886">
        <v>0</v>
      </c>
      <c r="G701" s="2886">
        <v>0</v>
      </c>
    </row>
    <row r="702" spans="1:7">
      <c r="A702" t="s">
        <v>3661</v>
      </c>
      <c r="B702" s="1417" t="s">
        <v>2311</v>
      </c>
      <c r="C702" t="s">
        <v>1553</v>
      </c>
      <c r="D702" s="2885">
        <v>56653.097999999998</v>
      </c>
      <c r="E702" s="2886">
        <v>77154718</v>
      </c>
      <c r="F702" s="2886">
        <v>387575</v>
      </c>
      <c r="G702" s="2886">
        <v>52675080</v>
      </c>
    </row>
    <row r="703" spans="1:7">
      <c r="A703" t="s">
        <v>6019</v>
      </c>
      <c r="B703" s="1417" t="s">
        <v>1532</v>
      </c>
      <c r="C703" t="s">
        <v>2249</v>
      </c>
      <c r="D703" s="2885">
        <v>7813.1490000000003</v>
      </c>
      <c r="E703" s="2886">
        <v>17265754</v>
      </c>
      <c r="F703" s="2886">
        <v>0</v>
      </c>
      <c r="G703" s="2886">
        <v>7930346</v>
      </c>
    </row>
    <row r="704" spans="1:7">
      <c r="A704" t="s">
        <v>3662</v>
      </c>
      <c r="B704" s="1417" t="s">
        <v>1182</v>
      </c>
      <c r="C704" t="s">
        <v>1127</v>
      </c>
      <c r="D704" s="2885">
        <v>6809.3590000000004</v>
      </c>
      <c r="E704" s="2886">
        <v>10586321</v>
      </c>
      <c r="F704" s="2886">
        <v>2396819</v>
      </c>
      <c r="G704" s="2886">
        <v>5558410</v>
      </c>
    </row>
    <row r="705" spans="1:7">
      <c r="A705" t="s">
        <v>3663</v>
      </c>
      <c r="B705" s="1417" t="s">
        <v>346</v>
      </c>
      <c r="C705" t="s">
        <v>288</v>
      </c>
      <c r="D705" s="2885">
        <v>12002.288</v>
      </c>
      <c r="E705" s="2886">
        <v>17279160</v>
      </c>
      <c r="F705" s="2886">
        <v>1727947</v>
      </c>
      <c r="G705" s="2886">
        <v>12132891</v>
      </c>
    </row>
    <row r="706" spans="1:7">
      <c r="A706" t="s">
        <v>3664</v>
      </c>
      <c r="B706" s="1417" t="s">
        <v>1508</v>
      </c>
      <c r="C706" t="s">
        <v>1935</v>
      </c>
      <c r="D706" s="2885">
        <v>3589.768</v>
      </c>
      <c r="E706" s="2886">
        <v>2609601</v>
      </c>
      <c r="F706" s="2886">
        <v>953421</v>
      </c>
      <c r="G706" s="2886">
        <v>752991</v>
      </c>
    </row>
    <row r="707" spans="1:7">
      <c r="A707" t="s">
        <v>3665</v>
      </c>
      <c r="B707" s="1417" t="s">
        <v>703</v>
      </c>
      <c r="C707" t="s">
        <v>1142</v>
      </c>
      <c r="D707" s="2885">
        <v>13588.184999999999</v>
      </c>
      <c r="E707" s="2886">
        <v>17517996</v>
      </c>
      <c r="F707" s="2886">
        <v>5218473</v>
      </c>
      <c r="G707" s="2886">
        <v>9044824</v>
      </c>
    </row>
    <row r="708" spans="1:7">
      <c r="A708" t="s">
        <v>6020</v>
      </c>
      <c r="B708" s="1417" t="s">
        <v>1868</v>
      </c>
      <c r="C708" t="s">
        <v>2250</v>
      </c>
      <c r="D708" s="2885">
        <v>4224.6289999999999</v>
      </c>
      <c r="E708" s="2886">
        <v>1952085</v>
      </c>
      <c r="F708" s="2886">
        <v>0</v>
      </c>
      <c r="G708" s="2886">
        <v>1497307</v>
      </c>
    </row>
    <row r="709" spans="1:7">
      <c r="A709" t="s">
        <v>6021</v>
      </c>
      <c r="B709" s="1417" t="s">
        <v>1869</v>
      </c>
      <c r="C709" t="s">
        <v>2251</v>
      </c>
      <c r="D709" s="2885">
        <v>515.01400000000001</v>
      </c>
      <c r="E709" s="2886">
        <v>999827</v>
      </c>
      <c r="F709" s="2886">
        <v>0</v>
      </c>
      <c r="G709" s="2886">
        <v>369152</v>
      </c>
    </row>
    <row r="710" spans="1:7">
      <c r="A710" t="s">
        <v>6022</v>
      </c>
      <c r="B710" s="1417" t="s">
        <v>1870</v>
      </c>
      <c r="C710" t="s">
        <v>2252</v>
      </c>
      <c r="D710" s="2885">
        <v>953.92200000000003</v>
      </c>
      <c r="E710" s="2886">
        <v>827353</v>
      </c>
      <c r="F710" s="2886">
        <v>0</v>
      </c>
      <c r="G710" s="2886">
        <v>417385</v>
      </c>
    </row>
    <row r="711" spans="1:7">
      <c r="A711" t="s">
        <v>6023</v>
      </c>
      <c r="B711" s="1417" t="s">
        <v>1871</v>
      </c>
      <c r="C711" t="s">
        <v>2628</v>
      </c>
      <c r="D711" s="2885">
        <v>857.423</v>
      </c>
      <c r="E711" s="2886">
        <v>161113</v>
      </c>
      <c r="F711" s="2886">
        <v>0</v>
      </c>
      <c r="G711" s="2886">
        <v>160702</v>
      </c>
    </row>
    <row r="712" spans="1:7">
      <c r="A712" t="s">
        <v>6777</v>
      </c>
      <c r="B712" s="1417" t="s">
        <v>2353</v>
      </c>
      <c r="C712" t="s">
        <v>2254</v>
      </c>
      <c r="D712" s="2885">
        <v>151.49800000000005</v>
      </c>
      <c r="E712" s="2886">
        <v>0</v>
      </c>
      <c r="F712" s="2886">
        <v>0</v>
      </c>
      <c r="G712" s="2886">
        <v>0</v>
      </c>
    </row>
    <row r="713" spans="1:7">
      <c r="A713" t="s">
        <v>3666</v>
      </c>
      <c r="B713" s="1417" t="s">
        <v>704</v>
      </c>
      <c r="C713" t="s">
        <v>1161</v>
      </c>
      <c r="D713" s="2885">
        <v>366.91</v>
      </c>
      <c r="E713" s="2886">
        <v>12</v>
      </c>
      <c r="F713" s="2886">
        <v>76856</v>
      </c>
      <c r="G713" s="2886">
        <v>0</v>
      </c>
    </row>
    <row r="714" spans="1:7">
      <c r="A714" t="s">
        <v>6024</v>
      </c>
      <c r="B714" s="1417" t="s">
        <v>524</v>
      </c>
      <c r="C714" t="s">
        <v>2255</v>
      </c>
      <c r="D714" s="2885">
        <v>510.57300000000009</v>
      </c>
      <c r="E714" s="2886">
        <v>1287961</v>
      </c>
      <c r="F714" s="2886">
        <v>0</v>
      </c>
      <c r="G714" s="2886">
        <v>469412</v>
      </c>
    </row>
    <row r="715" spans="1:7">
      <c r="A715" t="s">
        <v>3667</v>
      </c>
      <c r="B715" s="1417" t="s">
        <v>705</v>
      </c>
      <c r="C715" t="s">
        <v>453</v>
      </c>
      <c r="D715" s="2885">
        <v>645.14100000000019</v>
      </c>
      <c r="E715" s="2886">
        <v>88612</v>
      </c>
      <c r="F715" s="2886">
        <v>89205</v>
      </c>
      <c r="G715" s="2886">
        <v>0</v>
      </c>
    </row>
    <row r="716" spans="1:7">
      <c r="A716" t="s">
        <v>6025</v>
      </c>
      <c r="B716" s="1417" t="s">
        <v>525</v>
      </c>
      <c r="C716" t="s">
        <v>2256</v>
      </c>
      <c r="D716" s="2885">
        <v>5927.4750000000004</v>
      </c>
      <c r="E716" s="2886">
        <v>3371082</v>
      </c>
      <c r="F716" s="2886">
        <v>0</v>
      </c>
      <c r="G716" s="2886">
        <v>2869512</v>
      </c>
    </row>
    <row r="717" spans="1:7">
      <c r="A717" t="s">
        <v>3668</v>
      </c>
      <c r="B717" s="1417" t="s">
        <v>376</v>
      </c>
      <c r="C717" t="s">
        <v>1130</v>
      </c>
      <c r="D717" s="2885">
        <v>720.7850000000002</v>
      </c>
      <c r="E717" s="2886">
        <v>245</v>
      </c>
      <c r="F717" s="2886">
        <v>120328</v>
      </c>
      <c r="G717" s="2886">
        <v>0</v>
      </c>
    </row>
    <row r="718" spans="1:7">
      <c r="A718" t="s">
        <v>3669</v>
      </c>
      <c r="B718" s="1417" t="s">
        <v>526</v>
      </c>
      <c r="C718" t="s">
        <v>2257</v>
      </c>
      <c r="D718" s="2885">
        <v>1094.7260000000001</v>
      </c>
      <c r="E718" s="2886">
        <v>350417</v>
      </c>
      <c r="F718" s="2886">
        <v>51334</v>
      </c>
      <c r="G718" s="2886">
        <v>224081</v>
      </c>
    </row>
    <row r="719" spans="1:7">
      <c r="A719" t="s">
        <v>5307</v>
      </c>
      <c r="B719" s="1417" t="s">
        <v>527</v>
      </c>
      <c r="C719" t="s">
        <v>2258</v>
      </c>
      <c r="D719" s="2885">
        <v>354.5440000000001</v>
      </c>
      <c r="E719" s="2886">
        <v>151700</v>
      </c>
      <c r="F719" s="2886">
        <v>49802</v>
      </c>
      <c r="G719" s="2886">
        <v>69793</v>
      </c>
    </row>
    <row r="720" spans="1:7">
      <c r="A720" t="s">
        <v>6026</v>
      </c>
      <c r="B720" s="1417" t="s">
        <v>774</v>
      </c>
      <c r="C720" t="s">
        <v>891</v>
      </c>
      <c r="D720" s="2885">
        <v>119.599</v>
      </c>
      <c r="E720" s="2886">
        <v>95816</v>
      </c>
      <c r="F720" s="2886">
        <v>0</v>
      </c>
      <c r="G720" s="2886">
        <v>61894</v>
      </c>
    </row>
    <row r="721" spans="1:7">
      <c r="A721" t="s">
        <v>6778</v>
      </c>
      <c r="B721" s="1417" t="s">
        <v>528</v>
      </c>
      <c r="C721" t="s">
        <v>2259</v>
      </c>
      <c r="D721" s="2885">
        <v>453.42899999999997</v>
      </c>
      <c r="E721" s="2886">
        <v>0</v>
      </c>
      <c r="F721" s="2886">
        <v>0</v>
      </c>
      <c r="G721" s="2886">
        <v>0</v>
      </c>
    </row>
    <row r="722" spans="1:7">
      <c r="A722" t="s">
        <v>6027</v>
      </c>
      <c r="B722" s="1417" t="s">
        <v>529</v>
      </c>
      <c r="C722" t="s">
        <v>307</v>
      </c>
      <c r="D722" s="2885">
        <v>866.56400000000019</v>
      </c>
      <c r="E722" s="2886">
        <v>150028</v>
      </c>
      <c r="F722" s="2886">
        <v>0</v>
      </c>
      <c r="G722" s="2886">
        <v>94443</v>
      </c>
    </row>
    <row r="723" spans="1:7">
      <c r="A723" t="s">
        <v>3670</v>
      </c>
      <c r="B723" s="1417" t="s">
        <v>2400</v>
      </c>
      <c r="C723" t="s">
        <v>1101</v>
      </c>
      <c r="D723" s="2885">
        <v>5435.2260000000006</v>
      </c>
      <c r="E723" s="2886">
        <v>4756926</v>
      </c>
      <c r="F723" s="2886">
        <v>1914237</v>
      </c>
      <c r="G723" s="2886">
        <v>2618535</v>
      </c>
    </row>
    <row r="724" spans="1:7">
      <c r="A724" t="s">
        <v>3671</v>
      </c>
      <c r="B724" s="1417" t="s">
        <v>2407</v>
      </c>
      <c r="C724" t="s">
        <v>2663</v>
      </c>
      <c r="D724" s="2885">
        <v>439.005</v>
      </c>
      <c r="E724" s="2886">
        <v>342559</v>
      </c>
      <c r="F724" s="2886">
        <v>43026</v>
      </c>
      <c r="G724" s="2886">
        <v>237339</v>
      </c>
    </row>
    <row r="725" spans="1:7">
      <c r="A725" t="s">
        <v>6028</v>
      </c>
      <c r="B725" s="1417" t="s">
        <v>19</v>
      </c>
      <c r="C725" t="s">
        <v>308</v>
      </c>
      <c r="D725" s="2885">
        <v>420.7480000000001</v>
      </c>
      <c r="E725" s="2886">
        <v>47405</v>
      </c>
      <c r="F725" s="2886">
        <v>0</v>
      </c>
      <c r="G725" s="2886">
        <v>63155</v>
      </c>
    </row>
    <row r="726" spans="1:7">
      <c r="A726" t="s">
        <v>3672</v>
      </c>
      <c r="B726" s="1417" t="s">
        <v>706</v>
      </c>
      <c r="C726" t="s">
        <v>2517</v>
      </c>
      <c r="D726" s="2885">
        <v>561.78300000000002</v>
      </c>
      <c r="E726" s="2886">
        <v>181005</v>
      </c>
      <c r="F726" s="2886">
        <v>153000</v>
      </c>
      <c r="G726" s="2886">
        <v>0</v>
      </c>
    </row>
    <row r="727" spans="1:7">
      <c r="A727" t="s">
        <v>6029</v>
      </c>
      <c r="B727" s="1417" t="s">
        <v>20</v>
      </c>
      <c r="C727" t="s">
        <v>309</v>
      </c>
      <c r="D727" s="2885">
        <v>687.7270000000002</v>
      </c>
      <c r="E727" s="2886">
        <v>955287</v>
      </c>
      <c r="F727" s="2886">
        <v>0</v>
      </c>
      <c r="G727" s="2886">
        <v>612783</v>
      </c>
    </row>
    <row r="728" spans="1:7">
      <c r="A728" t="s">
        <v>3673</v>
      </c>
      <c r="B728" s="1417" t="s">
        <v>2085</v>
      </c>
      <c r="C728" t="s">
        <v>80</v>
      </c>
      <c r="D728" s="2885">
        <v>856.69300000000021</v>
      </c>
      <c r="E728" s="2886">
        <v>336647</v>
      </c>
      <c r="F728" s="2886">
        <v>103619</v>
      </c>
      <c r="G728" s="2886">
        <v>193359</v>
      </c>
    </row>
    <row r="729" spans="1:7">
      <c r="A729" t="s">
        <v>6030</v>
      </c>
      <c r="B729" s="1417" t="s">
        <v>21</v>
      </c>
      <c r="C729" t="s">
        <v>310</v>
      </c>
      <c r="D729" s="2885">
        <v>258.44300000000004</v>
      </c>
      <c r="E729" s="2886">
        <v>244941</v>
      </c>
      <c r="F729" s="2886">
        <v>0</v>
      </c>
      <c r="G729" s="2886">
        <v>35137</v>
      </c>
    </row>
    <row r="730" spans="1:7">
      <c r="A730" t="s">
        <v>3674</v>
      </c>
      <c r="B730" s="1417" t="s">
        <v>1021</v>
      </c>
      <c r="C730" t="s">
        <v>2286</v>
      </c>
      <c r="D730" s="2885">
        <v>933.81900000000019</v>
      </c>
      <c r="E730" s="2886">
        <v>338648</v>
      </c>
      <c r="F730" s="2886">
        <v>270004</v>
      </c>
      <c r="G730" s="2886">
        <v>202745</v>
      </c>
    </row>
    <row r="731" spans="1:7">
      <c r="A731" t="s">
        <v>3675</v>
      </c>
      <c r="B731" s="1417" t="s">
        <v>1991</v>
      </c>
      <c r="C731" t="s">
        <v>2670</v>
      </c>
      <c r="D731" s="2885">
        <v>532.505</v>
      </c>
      <c r="E731" s="2886">
        <v>881361</v>
      </c>
      <c r="F731" s="2886">
        <v>173765</v>
      </c>
      <c r="G731" s="2886">
        <v>318893</v>
      </c>
    </row>
    <row r="732" spans="1:7">
      <c r="A732" t="s">
        <v>3676</v>
      </c>
      <c r="B732" s="1417" t="s">
        <v>1543</v>
      </c>
      <c r="C732" t="s">
        <v>3914</v>
      </c>
      <c r="D732" s="2885">
        <v>520.58600000000001</v>
      </c>
      <c r="E732" s="2886">
        <v>615025</v>
      </c>
      <c r="F732" s="2886">
        <v>77650</v>
      </c>
      <c r="G732" s="2886">
        <v>368251</v>
      </c>
    </row>
    <row r="733" spans="1:7">
      <c r="A733" t="s">
        <v>6031</v>
      </c>
      <c r="B733" s="1417" t="s">
        <v>1878</v>
      </c>
      <c r="C733" t="s">
        <v>311</v>
      </c>
      <c r="D733" s="2885">
        <v>2003.336</v>
      </c>
      <c r="E733" s="2886">
        <v>808727</v>
      </c>
      <c r="F733" s="2886">
        <v>0</v>
      </c>
      <c r="G733" s="2886">
        <v>896903</v>
      </c>
    </row>
    <row r="734" spans="1:7">
      <c r="A734" t="s">
        <v>6032</v>
      </c>
      <c r="B734" s="1417" t="s">
        <v>2309</v>
      </c>
      <c r="C734" t="s">
        <v>2328</v>
      </c>
      <c r="D734" s="2885">
        <v>135.304</v>
      </c>
      <c r="E734" s="2886">
        <v>673062</v>
      </c>
      <c r="F734" s="2886">
        <v>0</v>
      </c>
      <c r="G734" s="2886">
        <v>40324</v>
      </c>
    </row>
    <row r="735" spans="1:7">
      <c r="A735" t="s">
        <v>6033</v>
      </c>
      <c r="B735" s="1417" t="s">
        <v>424</v>
      </c>
      <c r="C735" t="s">
        <v>313</v>
      </c>
      <c r="D735" s="2885">
        <v>206.33800000000005</v>
      </c>
      <c r="E735" s="2886">
        <v>760077</v>
      </c>
      <c r="F735" s="2886">
        <v>0</v>
      </c>
      <c r="G735" s="2886">
        <v>83119</v>
      </c>
    </row>
    <row r="736" spans="1:7">
      <c r="A736" t="s">
        <v>6034</v>
      </c>
      <c r="B736" s="1417" t="s">
        <v>2498</v>
      </c>
      <c r="C736" t="s">
        <v>314</v>
      </c>
      <c r="D736" s="2885">
        <v>330.51799999999997</v>
      </c>
      <c r="E736" s="2886">
        <v>436486</v>
      </c>
      <c r="F736" s="2886">
        <v>0</v>
      </c>
      <c r="G736" s="2886">
        <v>263366</v>
      </c>
    </row>
    <row r="737" spans="1:7">
      <c r="A737" t="s">
        <v>6035</v>
      </c>
      <c r="B737" s="1417" t="s">
        <v>1172</v>
      </c>
      <c r="C737" t="s">
        <v>2329</v>
      </c>
      <c r="D737" s="2885">
        <v>1313.2150000000001</v>
      </c>
      <c r="E737" s="2886">
        <v>1742637</v>
      </c>
      <c r="F737" s="2886">
        <v>0</v>
      </c>
      <c r="G737" s="2886">
        <v>1332913</v>
      </c>
    </row>
    <row r="738" spans="1:7">
      <c r="A738" t="s">
        <v>6036</v>
      </c>
      <c r="B738" s="1417" t="s">
        <v>1173</v>
      </c>
      <c r="C738" t="s">
        <v>316</v>
      </c>
      <c r="D738" s="2885">
        <v>3830.7280000000001</v>
      </c>
      <c r="E738" s="2886">
        <v>3370650</v>
      </c>
      <c r="F738" s="2886">
        <v>0</v>
      </c>
      <c r="G738" s="2886">
        <v>2802313</v>
      </c>
    </row>
    <row r="739" spans="1:7">
      <c r="A739" t="s">
        <v>3677</v>
      </c>
      <c r="B739" s="1417" t="s">
        <v>2399</v>
      </c>
      <c r="C739" t="s">
        <v>1100</v>
      </c>
      <c r="D739" s="2885">
        <v>35353.059000000001</v>
      </c>
      <c r="E739" s="2886">
        <v>25917317</v>
      </c>
      <c r="F739" s="2886">
        <v>1174265</v>
      </c>
      <c r="G739" s="2886">
        <v>23224488</v>
      </c>
    </row>
    <row r="740" spans="1:7">
      <c r="A740" t="s">
        <v>6037</v>
      </c>
      <c r="B740" s="1417" t="s">
        <v>570</v>
      </c>
      <c r="C740" t="s">
        <v>317</v>
      </c>
      <c r="D740" s="2885">
        <v>276.86799999999999</v>
      </c>
      <c r="E740" s="2886">
        <v>549749</v>
      </c>
      <c r="F740" s="2886">
        <v>0</v>
      </c>
      <c r="G740" s="2886">
        <v>270859</v>
      </c>
    </row>
    <row r="741" spans="1:7">
      <c r="A741" t="s">
        <v>6038</v>
      </c>
      <c r="B741" s="1417" t="s">
        <v>579</v>
      </c>
      <c r="C741" t="s">
        <v>318</v>
      </c>
      <c r="D741" s="2885">
        <v>908.1840000000002</v>
      </c>
      <c r="E741" s="2886">
        <v>1271627</v>
      </c>
      <c r="F741" s="2886">
        <v>0</v>
      </c>
      <c r="G741" s="2886">
        <v>921807</v>
      </c>
    </row>
    <row r="742" spans="1:7">
      <c r="A742" t="s">
        <v>6039</v>
      </c>
      <c r="B742" s="1417" t="s">
        <v>580</v>
      </c>
      <c r="C742" t="s">
        <v>319</v>
      </c>
      <c r="D742" s="2885">
        <v>505.87100000000009</v>
      </c>
      <c r="E742" s="2886">
        <v>1977775</v>
      </c>
      <c r="F742" s="2886">
        <v>0</v>
      </c>
      <c r="G742" s="2886">
        <v>182302</v>
      </c>
    </row>
    <row r="743" spans="1:7">
      <c r="A743" t="s">
        <v>3678</v>
      </c>
      <c r="B743" s="1417" t="s">
        <v>165</v>
      </c>
      <c r="C743" t="s">
        <v>2699</v>
      </c>
      <c r="D743" s="2885">
        <v>2445.645</v>
      </c>
      <c r="E743" s="2886">
        <v>2379643</v>
      </c>
      <c r="F743" s="2886">
        <v>1628365</v>
      </c>
      <c r="G743" s="2886">
        <v>1105652</v>
      </c>
    </row>
    <row r="744" spans="1:7">
      <c r="A744" t="s">
        <v>6040</v>
      </c>
      <c r="B744" s="1417" t="s">
        <v>767</v>
      </c>
      <c r="C744" t="s">
        <v>320</v>
      </c>
      <c r="D744" s="2885">
        <v>3607.884</v>
      </c>
      <c r="E744" s="2886">
        <v>6304351</v>
      </c>
      <c r="F744" s="2886">
        <v>0</v>
      </c>
      <c r="G744" s="2886">
        <v>3662002</v>
      </c>
    </row>
    <row r="745" spans="1:7">
      <c r="A745" t="s">
        <v>3679</v>
      </c>
      <c r="B745" s="1417" t="s">
        <v>964</v>
      </c>
      <c r="C745" t="s">
        <v>321</v>
      </c>
      <c r="D745" s="2885">
        <v>881.93799999999999</v>
      </c>
      <c r="E745" s="2886">
        <v>1135264</v>
      </c>
      <c r="F745" s="2886">
        <v>147258</v>
      </c>
      <c r="G745" s="2886">
        <v>895167</v>
      </c>
    </row>
    <row r="746" spans="1:7">
      <c r="A746" t="s">
        <v>6041</v>
      </c>
      <c r="B746" s="1417" t="s">
        <v>2138</v>
      </c>
      <c r="C746" t="s">
        <v>322</v>
      </c>
      <c r="D746" s="2885">
        <v>5387.8630000000003</v>
      </c>
      <c r="E746" s="2886">
        <v>3075487</v>
      </c>
      <c r="F746" s="2886">
        <v>0</v>
      </c>
      <c r="G746" s="2886">
        <v>2664423</v>
      </c>
    </row>
    <row r="747" spans="1:7">
      <c r="A747" t="s">
        <v>3680</v>
      </c>
      <c r="B747" s="1417" t="s">
        <v>2139</v>
      </c>
      <c r="C747" t="s">
        <v>323</v>
      </c>
      <c r="D747" s="2885">
        <v>1909.0110000000004</v>
      </c>
      <c r="E747" s="2886">
        <v>2128102</v>
      </c>
      <c r="F747" s="2886">
        <v>243416</v>
      </c>
      <c r="G747" s="2886">
        <v>1843801</v>
      </c>
    </row>
    <row r="748" spans="1:7">
      <c r="A748" t="s">
        <v>3681</v>
      </c>
      <c r="B748" s="1417" t="s">
        <v>209</v>
      </c>
      <c r="C748" t="s">
        <v>996</v>
      </c>
      <c r="D748" s="2885">
        <v>2145.3810000000003</v>
      </c>
      <c r="E748" s="2886">
        <v>1208236</v>
      </c>
      <c r="F748" s="2886">
        <v>0</v>
      </c>
      <c r="G748" s="2886">
        <v>1051735</v>
      </c>
    </row>
    <row r="749" spans="1:7">
      <c r="A749" t="s">
        <v>8676</v>
      </c>
      <c r="B749" s="1417" t="s">
        <v>936</v>
      </c>
      <c r="C749" t="s">
        <v>8677</v>
      </c>
      <c r="D749" s="2885">
        <v>270.68</v>
      </c>
      <c r="E749" s="2886">
        <v>0</v>
      </c>
      <c r="F749" s="2886">
        <v>0</v>
      </c>
      <c r="G749" s="2886">
        <v>0</v>
      </c>
    </row>
    <row r="750" spans="1:7">
      <c r="A750" t="s">
        <v>6042</v>
      </c>
      <c r="B750" s="1417" t="s">
        <v>971</v>
      </c>
      <c r="C750" t="s">
        <v>324</v>
      </c>
      <c r="D750" s="2885">
        <v>355.14299999999997</v>
      </c>
      <c r="E750" s="2886">
        <v>1673972</v>
      </c>
      <c r="F750" s="2886">
        <v>0</v>
      </c>
      <c r="G750" s="2886">
        <v>73605</v>
      </c>
    </row>
    <row r="751" spans="1:7">
      <c r="A751" t="s">
        <v>6779</v>
      </c>
      <c r="B751" s="1417" t="s">
        <v>972</v>
      </c>
      <c r="C751" t="s">
        <v>325</v>
      </c>
      <c r="D751" s="2885">
        <v>128.51500000000001</v>
      </c>
      <c r="E751" s="2886">
        <v>951538</v>
      </c>
      <c r="F751" s="2886">
        <v>0</v>
      </c>
      <c r="G751" s="2886">
        <v>0</v>
      </c>
    </row>
    <row r="752" spans="1:7">
      <c r="A752" t="s">
        <v>6043</v>
      </c>
      <c r="B752" s="1417" t="s">
        <v>973</v>
      </c>
      <c r="C752" t="s">
        <v>326</v>
      </c>
      <c r="D752" s="2885">
        <v>106.961</v>
      </c>
      <c r="E752" s="2886">
        <v>885252</v>
      </c>
      <c r="F752" s="2886">
        <v>0</v>
      </c>
      <c r="G752" s="2886">
        <v>0</v>
      </c>
    </row>
    <row r="753" spans="1:7">
      <c r="A753" t="s">
        <v>3682</v>
      </c>
      <c r="B753" s="1417" t="s">
        <v>1951</v>
      </c>
      <c r="C753" t="s">
        <v>1855</v>
      </c>
      <c r="D753" s="2885">
        <v>2770.3580000000002</v>
      </c>
      <c r="E753" s="2886">
        <v>1384686</v>
      </c>
      <c r="F753" s="2886">
        <v>629366</v>
      </c>
      <c r="G753" s="2886">
        <v>767186</v>
      </c>
    </row>
    <row r="754" spans="1:7">
      <c r="A754" t="s">
        <v>6044</v>
      </c>
      <c r="B754" s="1417" t="s">
        <v>974</v>
      </c>
      <c r="C754" t="s">
        <v>327</v>
      </c>
      <c r="D754" s="2885">
        <v>1680.999</v>
      </c>
      <c r="E754" s="2886">
        <v>598319</v>
      </c>
      <c r="F754" s="2886">
        <v>0</v>
      </c>
      <c r="G754" s="2886">
        <v>379617</v>
      </c>
    </row>
    <row r="755" spans="1:7">
      <c r="A755" t="s">
        <v>6045</v>
      </c>
      <c r="B755" s="1417" t="s">
        <v>975</v>
      </c>
      <c r="C755" t="s">
        <v>2330</v>
      </c>
      <c r="D755" s="2885">
        <v>2195.7429999999999</v>
      </c>
      <c r="E755" s="2886">
        <v>4509399</v>
      </c>
      <c r="F755" s="2886">
        <v>0</v>
      </c>
      <c r="G755" s="2886">
        <v>2027591</v>
      </c>
    </row>
    <row r="756" spans="1:7">
      <c r="A756" t="s">
        <v>3683</v>
      </c>
      <c r="B756" s="1417" t="s">
        <v>1466</v>
      </c>
      <c r="C756" t="s">
        <v>135</v>
      </c>
      <c r="D756" s="2885">
        <v>4471.6109999999999</v>
      </c>
      <c r="E756" s="2886">
        <v>938024</v>
      </c>
      <c r="F756" s="2886">
        <v>676810</v>
      </c>
      <c r="G756" s="2886">
        <v>154990</v>
      </c>
    </row>
    <row r="757" spans="1:7">
      <c r="A757" t="s">
        <v>6046</v>
      </c>
      <c r="B757" s="1417" t="s">
        <v>1092</v>
      </c>
      <c r="C757" t="s">
        <v>3915</v>
      </c>
      <c r="D757" s="2885">
        <v>3153.42</v>
      </c>
      <c r="E757" s="2886">
        <v>3447550</v>
      </c>
      <c r="F757" s="2886">
        <v>344830</v>
      </c>
      <c r="G757" s="2886">
        <v>2612371</v>
      </c>
    </row>
    <row r="758" spans="1:7">
      <c r="A758" t="s">
        <v>6047</v>
      </c>
      <c r="B758" s="1417" t="s">
        <v>1093</v>
      </c>
      <c r="C758" t="s">
        <v>330</v>
      </c>
      <c r="D758" s="2885">
        <v>179.80100000000004</v>
      </c>
      <c r="E758" s="2886">
        <v>77190</v>
      </c>
      <c r="F758" s="2886">
        <v>0</v>
      </c>
      <c r="G758" s="2886">
        <v>34463</v>
      </c>
    </row>
    <row r="759" spans="1:7">
      <c r="A759" t="s">
        <v>6048</v>
      </c>
      <c r="B759" s="1417" t="s">
        <v>1094</v>
      </c>
      <c r="C759" t="s">
        <v>331</v>
      </c>
      <c r="D759" s="2885">
        <v>336.35</v>
      </c>
      <c r="E759" s="2886">
        <v>749048</v>
      </c>
      <c r="F759" s="2886">
        <v>0</v>
      </c>
      <c r="G759" s="2886">
        <v>102887</v>
      </c>
    </row>
    <row r="760" spans="1:7">
      <c r="A760" t="s">
        <v>3684</v>
      </c>
      <c r="B760" s="1417" t="s">
        <v>2537</v>
      </c>
      <c r="C760" t="s">
        <v>2240</v>
      </c>
      <c r="D760" s="2885">
        <v>2950.2979999999998</v>
      </c>
      <c r="E760" s="2886">
        <v>1895896</v>
      </c>
      <c r="F760" s="2886">
        <v>1086922</v>
      </c>
      <c r="G760" s="2886">
        <v>1673903</v>
      </c>
    </row>
    <row r="761" spans="1:7">
      <c r="A761" t="s">
        <v>6049</v>
      </c>
      <c r="B761" s="1417" t="s">
        <v>1353</v>
      </c>
      <c r="C761" t="s">
        <v>332</v>
      </c>
      <c r="D761" s="2885">
        <v>437.67</v>
      </c>
      <c r="E761" s="2886">
        <v>367639</v>
      </c>
      <c r="F761" s="2886">
        <v>0</v>
      </c>
      <c r="G761" s="2886">
        <v>190425</v>
      </c>
    </row>
    <row r="762" spans="1:7">
      <c r="A762" t="s">
        <v>6780</v>
      </c>
      <c r="B762" s="1417" t="s">
        <v>1354</v>
      </c>
      <c r="C762" t="s">
        <v>333</v>
      </c>
      <c r="D762" s="2885">
        <v>159.82600000000005</v>
      </c>
      <c r="E762" s="2886">
        <v>0</v>
      </c>
      <c r="F762" s="2886">
        <v>0</v>
      </c>
      <c r="G762" s="2886">
        <v>0</v>
      </c>
    </row>
    <row r="763" spans="1:7">
      <c r="A763" t="s">
        <v>6050</v>
      </c>
      <c r="B763" s="1417" t="s">
        <v>1355</v>
      </c>
      <c r="C763" t="s">
        <v>431</v>
      </c>
      <c r="D763" s="2885">
        <v>97.87700000000001</v>
      </c>
      <c r="E763" s="2886">
        <v>257014</v>
      </c>
      <c r="F763" s="2886">
        <v>0</v>
      </c>
      <c r="G763" s="2886">
        <v>18050</v>
      </c>
    </row>
    <row r="764" spans="1:7">
      <c r="A764" t="s">
        <v>6051</v>
      </c>
      <c r="B764" s="1417" t="s">
        <v>1356</v>
      </c>
      <c r="C764" t="s">
        <v>432</v>
      </c>
      <c r="D764" s="2885">
        <v>612.17200000000003</v>
      </c>
      <c r="E764" s="2886">
        <v>1131757</v>
      </c>
      <c r="F764" s="2886">
        <v>0</v>
      </c>
      <c r="G764" s="2886">
        <v>225484</v>
      </c>
    </row>
    <row r="765" spans="1:7">
      <c r="A765" t="s">
        <v>6052</v>
      </c>
      <c r="B765" s="1417" t="s">
        <v>1357</v>
      </c>
      <c r="C765" t="s">
        <v>433</v>
      </c>
      <c r="D765" s="2885">
        <v>2515.8820000000001</v>
      </c>
      <c r="E765" s="2886">
        <v>6302200</v>
      </c>
      <c r="F765" s="2886">
        <v>0</v>
      </c>
      <c r="G765" s="2886">
        <v>2237457</v>
      </c>
    </row>
    <row r="766" spans="1:7">
      <c r="A766" t="s">
        <v>3685</v>
      </c>
      <c r="B766" s="1417" t="s">
        <v>2579</v>
      </c>
      <c r="C766" t="s">
        <v>454</v>
      </c>
      <c r="D766" s="2885">
        <v>448.3</v>
      </c>
      <c r="E766" s="2886">
        <v>630756</v>
      </c>
      <c r="F766" s="2886">
        <v>95440</v>
      </c>
      <c r="G766" s="2886">
        <v>455025</v>
      </c>
    </row>
    <row r="767" spans="1:7">
      <c r="A767" t="s">
        <v>3686</v>
      </c>
      <c r="B767" s="1417" t="s">
        <v>707</v>
      </c>
      <c r="C767" t="s">
        <v>1003</v>
      </c>
      <c r="D767" s="2885">
        <v>496.44099999999997</v>
      </c>
      <c r="E767" s="2886">
        <v>371385</v>
      </c>
      <c r="F767" s="2886">
        <v>107925</v>
      </c>
      <c r="G767" s="2886">
        <v>240544</v>
      </c>
    </row>
    <row r="768" spans="1:7">
      <c r="A768" t="s">
        <v>3687</v>
      </c>
      <c r="B768" s="1417" t="s">
        <v>1510</v>
      </c>
      <c r="C768" t="s">
        <v>1937</v>
      </c>
      <c r="D768" s="2885">
        <v>3229.3380000000002</v>
      </c>
      <c r="E768" s="2886">
        <v>3488957</v>
      </c>
      <c r="F768" s="2886">
        <v>1271149</v>
      </c>
      <c r="G768" s="2886">
        <v>2087695</v>
      </c>
    </row>
    <row r="769" spans="1:7">
      <c r="A769" t="s">
        <v>3688</v>
      </c>
      <c r="B769" s="1417" t="s">
        <v>1467</v>
      </c>
      <c r="C769" t="s">
        <v>140</v>
      </c>
      <c r="D769" s="2885">
        <v>7549.4720000000016</v>
      </c>
      <c r="E769" s="2886">
        <v>11107643</v>
      </c>
      <c r="F769" s="2886">
        <v>240001</v>
      </c>
      <c r="G769" s="2886">
        <v>5623700</v>
      </c>
    </row>
    <row r="770" spans="1:7">
      <c r="A770" t="s">
        <v>3689</v>
      </c>
      <c r="B770" s="1417" t="s">
        <v>2536</v>
      </c>
      <c r="C770" t="s">
        <v>2239</v>
      </c>
      <c r="D770" s="2885">
        <v>910.71800000000019</v>
      </c>
      <c r="E770" s="2886">
        <v>1523111</v>
      </c>
      <c r="F770" s="2886">
        <v>336317</v>
      </c>
      <c r="G770" s="2886">
        <v>862201</v>
      </c>
    </row>
    <row r="771" spans="1:7">
      <c r="A771" t="s">
        <v>6053</v>
      </c>
      <c r="B771" s="1417" t="s">
        <v>1383</v>
      </c>
      <c r="C771" t="s">
        <v>434</v>
      </c>
      <c r="D771" s="2885">
        <v>5243.82</v>
      </c>
      <c r="E771" s="2886">
        <v>11578135</v>
      </c>
      <c r="F771" s="2886">
        <v>0</v>
      </c>
      <c r="G771" s="2886">
        <v>4898485</v>
      </c>
    </row>
    <row r="772" spans="1:7">
      <c r="A772" t="s">
        <v>3690</v>
      </c>
      <c r="B772" s="1417" t="s">
        <v>208</v>
      </c>
      <c r="C772" t="s">
        <v>2593</v>
      </c>
      <c r="D772" s="2885">
        <v>1058.883</v>
      </c>
      <c r="E772" s="2886">
        <v>1020753</v>
      </c>
      <c r="F772" s="2886">
        <v>476772</v>
      </c>
      <c r="G772" s="2886">
        <v>659086</v>
      </c>
    </row>
    <row r="773" spans="1:7">
      <c r="A773" t="s">
        <v>3691</v>
      </c>
      <c r="B773" s="1417" t="s">
        <v>1877</v>
      </c>
      <c r="C773" t="s">
        <v>1856</v>
      </c>
      <c r="D773" s="2885">
        <v>1276.402</v>
      </c>
      <c r="E773" s="2886">
        <v>1956609</v>
      </c>
      <c r="F773" s="2886">
        <v>167169</v>
      </c>
      <c r="G773" s="2886">
        <v>1295548</v>
      </c>
    </row>
    <row r="774" spans="1:7">
      <c r="A774" t="s">
        <v>6054</v>
      </c>
      <c r="B774" s="1417" t="s">
        <v>1634</v>
      </c>
      <c r="C774" t="s">
        <v>435</v>
      </c>
      <c r="D774" s="2885">
        <v>180.50700000000001</v>
      </c>
      <c r="E774" s="2886">
        <v>179208</v>
      </c>
      <c r="F774" s="2886">
        <v>0</v>
      </c>
      <c r="G774" s="2886">
        <v>77285</v>
      </c>
    </row>
    <row r="775" spans="1:7">
      <c r="A775" t="s">
        <v>6781</v>
      </c>
      <c r="B775" s="1417" t="s">
        <v>1635</v>
      </c>
      <c r="C775" t="s">
        <v>436</v>
      </c>
      <c r="D775" s="2885">
        <v>453.88600000000002</v>
      </c>
      <c r="E775" s="2886">
        <v>0</v>
      </c>
      <c r="F775" s="2886">
        <v>0</v>
      </c>
      <c r="G775" s="2886">
        <v>0</v>
      </c>
    </row>
    <row r="776" spans="1:7">
      <c r="A776" t="s">
        <v>6782</v>
      </c>
      <c r="B776" s="1417" t="s">
        <v>1636</v>
      </c>
      <c r="C776" t="s">
        <v>437</v>
      </c>
      <c r="D776" s="2885">
        <v>510.803</v>
      </c>
      <c r="E776" s="2886">
        <v>0</v>
      </c>
      <c r="F776" s="2886">
        <v>0</v>
      </c>
      <c r="G776" s="2886">
        <v>0</v>
      </c>
    </row>
    <row r="777" spans="1:7">
      <c r="A777" t="s">
        <v>6055</v>
      </c>
      <c r="B777" s="1417" t="s">
        <v>1637</v>
      </c>
      <c r="C777" t="s">
        <v>438</v>
      </c>
      <c r="D777" s="2885">
        <v>1033.9380000000001</v>
      </c>
      <c r="E777" s="2886">
        <v>283239</v>
      </c>
      <c r="F777" s="2886">
        <v>0</v>
      </c>
      <c r="G777" s="2886">
        <v>276281</v>
      </c>
    </row>
    <row r="778" spans="1:7">
      <c r="A778" t="s">
        <v>6783</v>
      </c>
      <c r="B778" s="1417" t="s">
        <v>1638</v>
      </c>
      <c r="C778" t="s">
        <v>439</v>
      </c>
      <c r="D778" s="2885">
        <v>171.05200000000005</v>
      </c>
      <c r="E778" s="2886">
        <v>67900</v>
      </c>
      <c r="F778" s="2886">
        <v>0</v>
      </c>
      <c r="G778" s="2886">
        <v>0</v>
      </c>
    </row>
    <row r="779" spans="1:7">
      <c r="A779" t="s">
        <v>6056</v>
      </c>
      <c r="B779" s="1417" t="s">
        <v>1874</v>
      </c>
      <c r="C779" t="s">
        <v>440</v>
      </c>
      <c r="D779" s="2885">
        <v>184.08</v>
      </c>
      <c r="E779" s="2886">
        <v>66858</v>
      </c>
      <c r="F779" s="2886">
        <v>0</v>
      </c>
      <c r="G779" s="2886">
        <v>12210</v>
      </c>
    </row>
    <row r="780" spans="1:7">
      <c r="A780" t="s">
        <v>6057</v>
      </c>
      <c r="B780" s="1417" t="s">
        <v>2302</v>
      </c>
      <c r="C780" t="s">
        <v>2331</v>
      </c>
      <c r="D780" s="2885">
        <v>2237.8440000000001</v>
      </c>
      <c r="E780" s="2886">
        <v>2914059</v>
      </c>
      <c r="F780" s="2886">
        <v>0</v>
      </c>
      <c r="G780" s="2886">
        <v>1474031</v>
      </c>
    </row>
    <row r="781" spans="1:7">
      <c r="A781" t="s">
        <v>6058</v>
      </c>
      <c r="B781" s="1417" t="s">
        <v>2291</v>
      </c>
      <c r="C781" t="s">
        <v>442</v>
      </c>
      <c r="D781" s="2885">
        <v>471.0560000000001</v>
      </c>
      <c r="E781" s="2886">
        <v>976455</v>
      </c>
      <c r="F781" s="2886">
        <v>0</v>
      </c>
      <c r="G781" s="2886">
        <v>177818</v>
      </c>
    </row>
    <row r="782" spans="1:7">
      <c r="A782" t="s">
        <v>6059</v>
      </c>
      <c r="B782" s="1417" t="s">
        <v>1302</v>
      </c>
      <c r="C782" t="s">
        <v>443</v>
      </c>
      <c r="D782" s="2885">
        <v>485.3780000000001</v>
      </c>
      <c r="E782" s="2886">
        <v>412029</v>
      </c>
      <c r="F782" s="2886">
        <v>0</v>
      </c>
      <c r="G782" s="2886">
        <v>225136</v>
      </c>
    </row>
    <row r="783" spans="1:7">
      <c r="A783" t="s">
        <v>6784</v>
      </c>
      <c r="B783" s="1417" t="s">
        <v>692</v>
      </c>
      <c r="C783" t="s">
        <v>444</v>
      </c>
      <c r="D783" s="2885">
        <v>213.94</v>
      </c>
      <c r="E783" s="2886">
        <v>154673</v>
      </c>
      <c r="F783" s="2886">
        <v>31342</v>
      </c>
      <c r="G783" s="2886">
        <v>0</v>
      </c>
    </row>
    <row r="784" spans="1:7">
      <c r="A784" t="s">
        <v>6060</v>
      </c>
      <c r="B784" s="1417" t="s">
        <v>2548</v>
      </c>
      <c r="C784" t="s">
        <v>445</v>
      </c>
      <c r="D784" s="2885">
        <v>848.61400000000003</v>
      </c>
      <c r="E784" s="2886">
        <v>504071</v>
      </c>
      <c r="F784" s="2886">
        <v>0</v>
      </c>
      <c r="G784" s="2886">
        <v>470630</v>
      </c>
    </row>
    <row r="785" spans="1:7">
      <c r="A785" t="s">
        <v>6061</v>
      </c>
      <c r="B785" s="1417" t="s">
        <v>693</v>
      </c>
      <c r="C785" t="s">
        <v>446</v>
      </c>
      <c r="D785" s="2885">
        <v>149.24299999999999</v>
      </c>
      <c r="E785" s="2886">
        <v>134410</v>
      </c>
      <c r="F785" s="2886">
        <v>0</v>
      </c>
      <c r="G785" s="2886">
        <v>52037</v>
      </c>
    </row>
    <row r="786" spans="1:7">
      <c r="A786" t="s">
        <v>3692</v>
      </c>
      <c r="B786" s="1417" t="s">
        <v>1773</v>
      </c>
      <c r="C786" t="s">
        <v>2226</v>
      </c>
      <c r="D786" s="2885">
        <v>3802.9340000000002</v>
      </c>
      <c r="E786" s="2886">
        <v>3183353</v>
      </c>
      <c r="F786" s="2886">
        <v>1814550</v>
      </c>
      <c r="G786" s="2886">
        <v>2883037</v>
      </c>
    </row>
    <row r="787" spans="1:7">
      <c r="A787" t="s">
        <v>6062</v>
      </c>
      <c r="B787" s="1417" t="s">
        <v>1213</v>
      </c>
      <c r="C787" t="s">
        <v>447</v>
      </c>
      <c r="D787" s="2885">
        <v>959.82100000000003</v>
      </c>
      <c r="E787" s="2886">
        <v>980428</v>
      </c>
      <c r="F787" s="2886">
        <v>0</v>
      </c>
      <c r="G787" s="2886">
        <v>889614</v>
      </c>
    </row>
    <row r="788" spans="1:7">
      <c r="A788" t="s">
        <v>3693</v>
      </c>
      <c r="B788" s="1417" t="s">
        <v>1639</v>
      </c>
      <c r="C788" t="s">
        <v>1054</v>
      </c>
      <c r="D788" s="2885">
        <v>30333.806</v>
      </c>
      <c r="E788" s="2886">
        <v>8940327</v>
      </c>
      <c r="F788" s="2886">
        <v>2834126</v>
      </c>
      <c r="G788" s="2886">
        <v>5544454</v>
      </c>
    </row>
    <row r="789" spans="1:7">
      <c r="A789" t="s">
        <v>3694</v>
      </c>
      <c r="B789" s="1417" t="s">
        <v>199</v>
      </c>
      <c r="C789" t="s">
        <v>2696</v>
      </c>
      <c r="D789" s="2885">
        <v>1184.355</v>
      </c>
      <c r="E789" s="2886">
        <v>627792</v>
      </c>
      <c r="F789" s="2886">
        <v>190861</v>
      </c>
      <c r="G789" s="2886">
        <v>525991</v>
      </c>
    </row>
    <row r="790" spans="1:7">
      <c r="A790" t="s">
        <v>6063</v>
      </c>
      <c r="B790" s="1417" t="s">
        <v>572</v>
      </c>
      <c r="C790" t="s">
        <v>130</v>
      </c>
      <c r="D790" s="2885">
        <v>846.65</v>
      </c>
      <c r="E790" s="2886">
        <v>1324491</v>
      </c>
      <c r="F790" s="2886">
        <v>0</v>
      </c>
      <c r="G790" s="2886">
        <v>374122</v>
      </c>
    </row>
    <row r="791" spans="1:7">
      <c r="A791" t="s">
        <v>6064</v>
      </c>
      <c r="B791" s="1417" t="s">
        <v>2181</v>
      </c>
      <c r="C791" t="s">
        <v>448</v>
      </c>
      <c r="D791" s="2885">
        <v>1430.48</v>
      </c>
      <c r="E791" s="2886">
        <v>2492843</v>
      </c>
      <c r="F791" s="2886">
        <v>0</v>
      </c>
      <c r="G791" s="2886">
        <v>1390035</v>
      </c>
    </row>
    <row r="792" spans="1:7">
      <c r="A792" t="s">
        <v>3695</v>
      </c>
      <c r="B792" s="1417" t="s">
        <v>1468</v>
      </c>
      <c r="C792" t="s">
        <v>292</v>
      </c>
      <c r="D792" s="2885">
        <v>306.33600000000001</v>
      </c>
      <c r="E792" s="2886">
        <v>398783</v>
      </c>
      <c r="F792" s="2886">
        <v>241412</v>
      </c>
      <c r="G792" s="2886">
        <v>128678</v>
      </c>
    </row>
    <row r="793" spans="1:7">
      <c r="A793" t="s">
        <v>3696</v>
      </c>
      <c r="B793" s="1417" t="s">
        <v>217</v>
      </c>
      <c r="C793" t="s">
        <v>2103</v>
      </c>
      <c r="D793" s="2885">
        <v>1239.425</v>
      </c>
      <c r="E793" s="2886">
        <v>393257</v>
      </c>
      <c r="F793" s="2886">
        <v>239979</v>
      </c>
      <c r="G793" s="2886">
        <v>90517</v>
      </c>
    </row>
    <row r="794" spans="1:7">
      <c r="A794" t="s">
        <v>6065</v>
      </c>
      <c r="B794" s="1417" t="s">
        <v>1289</v>
      </c>
      <c r="C794" t="s">
        <v>449</v>
      </c>
      <c r="D794" s="2885">
        <v>1566.229</v>
      </c>
      <c r="E794" s="2886">
        <v>940376</v>
      </c>
      <c r="F794" s="2886">
        <v>0</v>
      </c>
      <c r="G794" s="2886">
        <v>917811</v>
      </c>
    </row>
    <row r="795" spans="1:7">
      <c r="A795" t="s">
        <v>6066</v>
      </c>
      <c r="B795" s="1417" t="s">
        <v>1290</v>
      </c>
      <c r="C795" t="s">
        <v>2332</v>
      </c>
      <c r="D795" s="2885">
        <v>9311.7540000000008</v>
      </c>
      <c r="E795" s="2886">
        <v>8993879</v>
      </c>
      <c r="F795" s="2886">
        <v>0</v>
      </c>
      <c r="G795" s="2886">
        <v>5249557</v>
      </c>
    </row>
    <row r="796" spans="1:7">
      <c r="A796" t="s">
        <v>6067</v>
      </c>
      <c r="B796" s="1417" t="s">
        <v>2522</v>
      </c>
      <c r="C796" t="s">
        <v>154</v>
      </c>
      <c r="D796" s="2885">
        <v>765.26499999999999</v>
      </c>
      <c r="E796" s="2886">
        <v>2647025</v>
      </c>
      <c r="F796" s="2886">
        <v>0</v>
      </c>
      <c r="G796" s="2886">
        <v>332650</v>
      </c>
    </row>
    <row r="797" spans="1:7">
      <c r="A797" t="s">
        <v>6068</v>
      </c>
      <c r="B797" s="1417" t="s">
        <v>792</v>
      </c>
      <c r="C797" t="s">
        <v>155</v>
      </c>
      <c r="D797" s="2885">
        <v>273.07400000000001</v>
      </c>
      <c r="E797" s="2886">
        <v>494080</v>
      </c>
      <c r="F797" s="2886">
        <v>0</v>
      </c>
      <c r="G797" s="2886">
        <v>161341</v>
      </c>
    </row>
    <row r="798" spans="1:7">
      <c r="A798" t="s">
        <v>6785</v>
      </c>
      <c r="B798" s="1417" t="s">
        <v>114</v>
      </c>
      <c r="C798" t="s">
        <v>2118</v>
      </c>
      <c r="D798" s="2885">
        <v>327.46300000000002</v>
      </c>
      <c r="E798" s="2886">
        <v>0</v>
      </c>
      <c r="F798" s="2886">
        <v>0</v>
      </c>
      <c r="G798" s="2886">
        <v>0</v>
      </c>
    </row>
    <row r="799" spans="1:7">
      <c r="A799" t="s">
        <v>3697</v>
      </c>
      <c r="B799" s="1417" t="s">
        <v>2654</v>
      </c>
      <c r="C799" t="s">
        <v>2697</v>
      </c>
      <c r="D799" s="2885">
        <v>633.755</v>
      </c>
      <c r="E799" s="2886">
        <v>467937</v>
      </c>
      <c r="F799" s="2886">
        <v>294518</v>
      </c>
      <c r="G799" s="2886">
        <v>150356</v>
      </c>
    </row>
    <row r="800" spans="1:7">
      <c r="A800" t="s">
        <v>6786</v>
      </c>
      <c r="B800" s="1417" t="s">
        <v>2274</v>
      </c>
      <c r="C800" t="s">
        <v>1622</v>
      </c>
      <c r="D800" s="2885">
        <v>456.40100000000001</v>
      </c>
      <c r="E800" s="2886">
        <v>0</v>
      </c>
      <c r="F800" s="2886">
        <v>0</v>
      </c>
      <c r="G800" s="2886">
        <v>0</v>
      </c>
    </row>
    <row r="801" spans="1:7">
      <c r="A801" t="s">
        <v>3698</v>
      </c>
      <c r="B801" s="1417" t="s">
        <v>377</v>
      </c>
      <c r="C801" t="s">
        <v>2668</v>
      </c>
      <c r="D801" s="2885">
        <v>491.94500000000011</v>
      </c>
      <c r="E801" s="2886">
        <v>126624</v>
      </c>
      <c r="F801" s="2886">
        <v>107357</v>
      </c>
      <c r="G801" s="2886">
        <v>18423</v>
      </c>
    </row>
    <row r="802" spans="1:7">
      <c r="A802" t="s">
        <v>6069</v>
      </c>
      <c r="B802" s="1417" t="s">
        <v>986</v>
      </c>
      <c r="C802" t="s">
        <v>1623</v>
      </c>
      <c r="D802" s="2885">
        <v>2312.8389999999999</v>
      </c>
      <c r="E802" s="2886">
        <v>1994023</v>
      </c>
      <c r="F802" s="2886">
        <v>0</v>
      </c>
      <c r="G802" s="2886">
        <v>652750</v>
      </c>
    </row>
    <row r="803" spans="1:7">
      <c r="A803" t="s">
        <v>3699</v>
      </c>
      <c r="B803" s="1417" t="s">
        <v>1716</v>
      </c>
      <c r="C803" t="s">
        <v>2120</v>
      </c>
      <c r="D803" s="2885">
        <v>148.25899999999999</v>
      </c>
      <c r="E803" s="2886">
        <v>37404</v>
      </c>
      <c r="F803" s="2886">
        <v>26377</v>
      </c>
      <c r="G803" s="2886">
        <v>0</v>
      </c>
    </row>
    <row r="804" spans="1:7">
      <c r="A804" t="s">
        <v>6070</v>
      </c>
      <c r="B804" s="1417" t="s">
        <v>695</v>
      </c>
      <c r="C804" t="s">
        <v>1624</v>
      </c>
      <c r="D804" s="2885">
        <v>138.72999999999999</v>
      </c>
      <c r="E804" s="2886">
        <v>929115</v>
      </c>
      <c r="F804" s="2886">
        <v>0</v>
      </c>
      <c r="G804" s="2886">
        <v>9949</v>
      </c>
    </row>
    <row r="805" spans="1:7">
      <c r="A805" t="s">
        <v>6071</v>
      </c>
      <c r="B805" s="1417" t="s">
        <v>696</v>
      </c>
      <c r="C805" t="s">
        <v>1625</v>
      </c>
      <c r="D805" s="2885">
        <v>472.40900000000011</v>
      </c>
      <c r="E805" s="2886">
        <v>893655</v>
      </c>
      <c r="F805" s="2886">
        <v>0</v>
      </c>
      <c r="G805" s="2886">
        <v>479495</v>
      </c>
    </row>
    <row r="806" spans="1:7">
      <c r="A806" t="s">
        <v>6072</v>
      </c>
      <c r="B806" s="1417" t="s">
        <v>697</v>
      </c>
      <c r="C806" t="s">
        <v>1626</v>
      </c>
      <c r="D806" s="2885">
        <v>684.16200000000003</v>
      </c>
      <c r="E806" s="2886">
        <v>1113863</v>
      </c>
      <c r="F806" s="2886">
        <v>0</v>
      </c>
      <c r="G806" s="2886">
        <v>241186</v>
      </c>
    </row>
    <row r="807" spans="1:7">
      <c r="A807" t="s">
        <v>6073</v>
      </c>
      <c r="B807" s="1417" t="s">
        <v>1457</v>
      </c>
      <c r="C807" t="s">
        <v>1627</v>
      </c>
      <c r="D807" s="2885">
        <v>189.57900000000001</v>
      </c>
      <c r="E807" s="2886">
        <v>2810323</v>
      </c>
      <c r="F807" s="2886">
        <v>0</v>
      </c>
      <c r="G807" s="2886">
        <v>169868</v>
      </c>
    </row>
    <row r="808" spans="1:7">
      <c r="A808" t="s">
        <v>6074</v>
      </c>
      <c r="B808" s="1417" t="s">
        <v>1458</v>
      </c>
      <c r="C808" t="s">
        <v>1628</v>
      </c>
      <c r="D808" s="2885">
        <v>436.57</v>
      </c>
      <c r="E808" s="2886">
        <v>944567</v>
      </c>
      <c r="F808" s="2886">
        <v>0</v>
      </c>
      <c r="G808" s="2886">
        <v>443119</v>
      </c>
    </row>
    <row r="809" spans="1:7">
      <c r="A809" t="s">
        <v>6787</v>
      </c>
      <c r="B809" s="1417" t="s">
        <v>1459</v>
      </c>
      <c r="C809" t="s">
        <v>1629</v>
      </c>
      <c r="D809" s="2885">
        <v>151.53100000000001</v>
      </c>
      <c r="E809" s="2886">
        <v>0</v>
      </c>
      <c r="F809" s="2886">
        <v>0</v>
      </c>
      <c r="G809" s="2886">
        <v>0</v>
      </c>
    </row>
    <row r="810" spans="1:7">
      <c r="A810" t="s">
        <v>6075</v>
      </c>
      <c r="B810" s="1417" t="s">
        <v>1460</v>
      </c>
      <c r="C810" t="s">
        <v>1630</v>
      </c>
      <c r="D810" s="2885">
        <v>1116.1510000000001</v>
      </c>
      <c r="E810" s="2886">
        <v>5869900</v>
      </c>
      <c r="F810" s="2886">
        <v>0</v>
      </c>
      <c r="G810" s="2886">
        <v>778075</v>
      </c>
    </row>
    <row r="811" spans="1:7">
      <c r="A811" t="s">
        <v>6076</v>
      </c>
      <c r="B811" s="1417" t="s">
        <v>1461</v>
      </c>
      <c r="C811" t="s">
        <v>1631</v>
      </c>
      <c r="D811" s="2885">
        <v>803.17700000000002</v>
      </c>
      <c r="E811" s="2886">
        <v>850497</v>
      </c>
      <c r="F811" s="2886">
        <v>0</v>
      </c>
      <c r="G811" s="2886">
        <v>640467</v>
      </c>
    </row>
    <row r="812" spans="1:7">
      <c r="A812" t="s">
        <v>6788</v>
      </c>
      <c r="B812" s="1417" t="s">
        <v>1462</v>
      </c>
      <c r="C812" t="s">
        <v>976</v>
      </c>
      <c r="D812" s="2885">
        <v>562.00599999999997</v>
      </c>
      <c r="E812" s="2886">
        <v>0</v>
      </c>
      <c r="F812" s="2886">
        <v>0</v>
      </c>
      <c r="G812" s="2886">
        <v>0</v>
      </c>
    </row>
    <row r="813" spans="1:7">
      <c r="A813" t="s">
        <v>6077</v>
      </c>
      <c r="B813" s="1417" t="s">
        <v>1672</v>
      </c>
      <c r="C813" t="s">
        <v>977</v>
      </c>
      <c r="D813" s="2885">
        <v>15037.661</v>
      </c>
      <c r="E813" s="2886">
        <v>32682695</v>
      </c>
      <c r="F813" s="2886">
        <v>0</v>
      </c>
      <c r="G813" s="2886">
        <v>15263226</v>
      </c>
    </row>
    <row r="814" spans="1:7">
      <c r="A814" t="s">
        <v>3700</v>
      </c>
      <c r="B814" s="1417" t="s">
        <v>1812</v>
      </c>
      <c r="C814" t="s">
        <v>613</v>
      </c>
      <c r="D814" s="2885">
        <v>5164.9670000000006</v>
      </c>
      <c r="E814" s="2886">
        <v>7181285</v>
      </c>
      <c r="F814" s="2886">
        <v>708245</v>
      </c>
      <c r="G814" s="2886">
        <v>3658548</v>
      </c>
    </row>
    <row r="815" spans="1:7">
      <c r="A815" t="s">
        <v>6789</v>
      </c>
      <c r="B815" s="1417" t="s">
        <v>1673</v>
      </c>
      <c r="C815" t="s">
        <v>1894</v>
      </c>
      <c r="D815" s="2885">
        <v>861.9530000000002</v>
      </c>
      <c r="E815" s="2886">
        <v>0</v>
      </c>
      <c r="F815" s="2886">
        <v>0</v>
      </c>
      <c r="G815" s="2886">
        <v>0</v>
      </c>
    </row>
    <row r="816" spans="1:7">
      <c r="A816" t="s">
        <v>3701</v>
      </c>
      <c r="B816" s="1417" t="s">
        <v>378</v>
      </c>
      <c r="C816" t="s">
        <v>2237</v>
      </c>
      <c r="D816" s="2885">
        <v>430.85300000000001</v>
      </c>
      <c r="E816" s="2886">
        <v>261008</v>
      </c>
      <c r="F816" s="2886">
        <v>99019</v>
      </c>
      <c r="G816" s="2886">
        <v>780</v>
      </c>
    </row>
    <row r="817" spans="1:7">
      <c r="A817" t="s">
        <v>5403</v>
      </c>
      <c r="B817" s="1417" t="s">
        <v>1183</v>
      </c>
      <c r="C817" t="s">
        <v>1129</v>
      </c>
      <c r="D817" s="2885">
        <v>524.16500000000008</v>
      </c>
      <c r="E817" s="2886">
        <v>0</v>
      </c>
      <c r="F817" s="2886">
        <v>0</v>
      </c>
      <c r="G817" s="2886">
        <v>0</v>
      </c>
    </row>
    <row r="818" spans="1:7">
      <c r="A818" t="s">
        <v>3702</v>
      </c>
      <c r="B818" s="1417" t="s">
        <v>379</v>
      </c>
      <c r="C818" t="s">
        <v>262</v>
      </c>
      <c r="D818" s="2885">
        <v>73.772000000000006</v>
      </c>
      <c r="E818" s="2886">
        <v>3481</v>
      </c>
      <c r="F818" s="2886">
        <v>3305</v>
      </c>
      <c r="G818" s="2886">
        <v>0</v>
      </c>
    </row>
    <row r="819" spans="1:7">
      <c r="A819" t="s">
        <v>6078</v>
      </c>
      <c r="B819" s="1417" t="s">
        <v>1674</v>
      </c>
      <c r="C819" t="s">
        <v>1895</v>
      </c>
      <c r="D819" s="2885">
        <v>3232.48</v>
      </c>
      <c r="E819" s="2886">
        <v>3494324</v>
      </c>
      <c r="F819" s="2886">
        <v>0</v>
      </c>
      <c r="G819" s="2886">
        <v>2760797</v>
      </c>
    </row>
    <row r="820" spans="1:7">
      <c r="A820" t="s">
        <v>6790</v>
      </c>
      <c r="B820" s="1417" t="s">
        <v>1675</v>
      </c>
      <c r="C820" t="s">
        <v>1525</v>
      </c>
      <c r="D820" s="2885">
        <v>170.571</v>
      </c>
      <c r="E820" s="2886">
        <v>0</v>
      </c>
      <c r="F820" s="2886">
        <v>0</v>
      </c>
      <c r="G820" s="2886">
        <v>0</v>
      </c>
    </row>
    <row r="821" spans="1:7">
      <c r="A821" t="s">
        <v>6791</v>
      </c>
      <c r="B821" s="1417" t="s">
        <v>1676</v>
      </c>
      <c r="C821" t="s">
        <v>1526</v>
      </c>
      <c r="D821" s="2885">
        <v>240.20700000000005</v>
      </c>
      <c r="E821" s="2886">
        <v>0</v>
      </c>
      <c r="F821" s="2886">
        <v>0</v>
      </c>
      <c r="G821" s="2886">
        <v>0</v>
      </c>
    </row>
    <row r="822" spans="1:7">
      <c r="A822" t="s">
        <v>5407</v>
      </c>
      <c r="B822" s="1417" t="s">
        <v>2470</v>
      </c>
      <c r="C822" t="s">
        <v>2153</v>
      </c>
      <c r="D822" s="2885">
        <v>388.66</v>
      </c>
      <c r="E822" s="2886">
        <v>36157</v>
      </c>
      <c r="F822" s="2886">
        <v>0</v>
      </c>
      <c r="G822" s="2886">
        <v>36797</v>
      </c>
    </row>
    <row r="823" spans="1:7">
      <c r="A823" t="s">
        <v>3703</v>
      </c>
      <c r="B823" s="1417" t="s">
        <v>2471</v>
      </c>
      <c r="C823" t="s">
        <v>1362</v>
      </c>
      <c r="D823" s="2885">
        <v>469.11700000000002</v>
      </c>
      <c r="E823" s="2886">
        <v>214467</v>
      </c>
      <c r="F823" s="2886">
        <v>196617</v>
      </c>
      <c r="G823" s="2886">
        <v>126123</v>
      </c>
    </row>
    <row r="824" spans="1:7">
      <c r="A824" t="s">
        <v>6079</v>
      </c>
      <c r="B824" s="1417" t="s">
        <v>1677</v>
      </c>
      <c r="C824" t="s">
        <v>1527</v>
      </c>
      <c r="D824" s="2885">
        <v>1550.6</v>
      </c>
      <c r="E824" s="2886">
        <v>1007065</v>
      </c>
      <c r="F824" s="2886">
        <v>0</v>
      </c>
      <c r="G824" s="2886">
        <v>1164874</v>
      </c>
    </row>
    <row r="825" spans="1:7">
      <c r="A825" t="s">
        <v>3704</v>
      </c>
      <c r="B825" s="1417" t="s">
        <v>190</v>
      </c>
      <c r="C825" t="s">
        <v>654</v>
      </c>
      <c r="D825" s="2885">
        <v>586.80000000000018</v>
      </c>
      <c r="E825" s="2886">
        <v>447064</v>
      </c>
      <c r="F825" s="2886">
        <v>197686</v>
      </c>
      <c r="G825" s="2886">
        <v>191676</v>
      </c>
    </row>
    <row r="826" spans="1:7">
      <c r="A826" t="s">
        <v>6080</v>
      </c>
      <c r="B826" s="1417" t="s">
        <v>1678</v>
      </c>
      <c r="C826" t="s">
        <v>3916</v>
      </c>
      <c r="D826" s="2885">
        <v>1014.677</v>
      </c>
      <c r="E826" s="2886">
        <v>1086776</v>
      </c>
      <c r="F826" s="2886">
        <v>0</v>
      </c>
      <c r="G826" s="2886">
        <v>1029897</v>
      </c>
    </row>
    <row r="827" spans="1:7">
      <c r="A827" t="s">
        <v>6792</v>
      </c>
      <c r="B827" s="1417" t="s">
        <v>1395</v>
      </c>
      <c r="C827" t="s">
        <v>1529</v>
      </c>
      <c r="D827" s="2885">
        <v>831.94600000000003</v>
      </c>
      <c r="E827" s="2886">
        <v>0</v>
      </c>
      <c r="F827" s="2886">
        <v>0</v>
      </c>
      <c r="G827" s="2886">
        <v>0</v>
      </c>
    </row>
    <row r="828" spans="1:7">
      <c r="A828" t="s">
        <v>3705</v>
      </c>
      <c r="B828" s="1417" t="s">
        <v>1396</v>
      </c>
      <c r="C828" t="s">
        <v>1530</v>
      </c>
      <c r="D828" s="2885">
        <v>620.56700000000001</v>
      </c>
      <c r="E828" s="2886">
        <v>253506</v>
      </c>
      <c r="F828" s="2886">
        <v>60150</v>
      </c>
      <c r="G828" s="2886">
        <v>174718</v>
      </c>
    </row>
    <row r="829" spans="1:7">
      <c r="A829" t="s">
        <v>3706</v>
      </c>
      <c r="B829" s="1417" t="s">
        <v>1397</v>
      </c>
      <c r="C829" t="s">
        <v>2070</v>
      </c>
      <c r="D829" s="2885">
        <v>683.63199999999995</v>
      </c>
      <c r="E829" s="2886">
        <v>880683</v>
      </c>
      <c r="F829" s="2886">
        <v>0</v>
      </c>
      <c r="G829" s="2886">
        <v>445628</v>
      </c>
    </row>
    <row r="830" spans="1:7">
      <c r="A830" t="s">
        <v>6793</v>
      </c>
      <c r="B830" s="1417" t="s">
        <v>1632</v>
      </c>
      <c r="C830" t="s">
        <v>2071</v>
      </c>
      <c r="D830" s="2885">
        <v>375.63499999999999</v>
      </c>
      <c r="E830" s="2886">
        <v>0</v>
      </c>
      <c r="F830" s="2886">
        <v>0</v>
      </c>
      <c r="G830" s="2886">
        <v>0</v>
      </c>
    </row>
    <row r="831" spans="1:7">
      <c r="A831" t="s">
        <v>6081</v>
      </c>
      <c r="B831" s="1417" t="s">
        <v>1633</v>
      </c>
      <c r="C831" t="s">
        <v>2334</v>
      </c>
      <c r="D831" s="2885">
        <v>1388.925</v>
      </c>
      <c r="E831" s="2886">
        <v>586487</v>
      </c>
      <c r="F831" s="2886">
        <v>0</v>
      </c>
      <c r="G831" s="2886">
        <v>274569</v>
      </c>
    </row>
    <row r="832" spans="1:7">
      <c r="A832" t="s">
        <v>3707</v>
      </c>
      <c r="B832" s="1417" t="s">
        <v>2433</v>
      </c>
      <c r="C832" t="s">
        <v>351</v>
      </c>
      <c r="D832" s="2885">
        <v>1847.989</v>
      </c>
      <c r="E832" s="2886">
        <v>594183</v>
      </c>
      <c r="F832" s="2886">
        <v>323180</v>
      </c>
      <c r="G832" s="2886">
        <v>409198</v>
      </c>
    </row>
    <row r="833" spans="1:7">
      <c r="A833" t="s">
        <v>3708</v>
      </c>
      <c r="B833" s="1417" t="s">
        <v>1215</v>
      </c>
      <c r="C833" t="s">
        <v>2420</v>
      </c>
      <c r="D833" s="2885">
        <v>1633.7</v>
      </c>
      <c r="E833" s="2886">
        <v>1283625</v>
      </c>
      <c r="F833" s="2886">
        <v>154237</v>
      </c>
      <c r="G833" s="2886">
        <v>10154</v>
      </c>
    </row>
    <row r="834" spans="1:7">
      <c r="A834" t="s">
        <v>6082</v>
      </c>
      <c r="B834" s="1417" t="s">
        <v>2434</v>
      </c>
      <c r="C834" t="s">
        <v>352</v>
      </c>
      <c r="D834" s="2885">
        <v>4259.759</v>
      </c>
      <c r="E834" s="2886">
        <v>3879796</v>
      </c>
      <c r="F834" s="2886">
        <v>0</v>
      </c>
      <c r="G834" s="2886">
        <v>2826924</v>
      </c>
    </row>
    <row r="835" spans="1:7">
      <c r="A835" t="s">
        <v>6083</v>
      </c>
      <c r="B835" s="1417" t="s">
        <v>1454</v>
      </c>
      <c r="C835" t="s">
        <v>353</v>
      </c>
      <c r="D835" s="2885">
        <v>2051.5720000000001</v>
      </c>
      <c r="E835" s="2886">
        <v>1348599</v>
      </c>
      <c r="F835" s="2886">
        <v>0</v>
      </c>
      <c r="G835" s="2886">
        <v>290249</v>
      </c>
    </row>
    <row r="836" spans="1:7">
      <c r="A836" t="s">
        <v>3709</v>
      </c>
      <c r="B836" s="1417" t="s">
        <v>2527</v>
      </c>
      <c r="C836" t="s">
        <v>2066</v>
      </c>
      <c r="D836" s="2885">
        <v>1548.893</v>
      </c>
      <c r="E836" s="2886">
        <v>874834</v>
      </c>
      <c r="F836" s="2886">
        <v>864122</v>
      </c>
      <c r="G836" s="2886">
        <v>0</v>
      </c>
    </row>
    <row r="837" spans="1:7">
      <c r="A837" t="s">
        <v>3710</v>
      </c>
      <c r="B837" s="1417" t="s">
        <v>1411</v>
      </c>
      <c r="C837" t="s">
        <v>260</v>
      </c>
      <c r="D837" s="2885">
        <v>904.00900000000001</v>
      </c>
      <c r="E837" s="2886">
        <v>1529765</v>
      </c>
      <c r="F837" s="2886">
        <v>628457</v>
      </c>
      <c r="G837" s="2886">
        <v>23221</v>
      </c>
    </row>
    <row r="838" spans="1:7">
      <c r="A838" t="s">
        <v>3711</v>
      </c>
      <c r="B838" s="1417" t="s">
        <v>1317</v>
      </c>
      <c r="C838" t="s">
        <v>267</v>
      </c>
      <c r="D838" s="2885">
        <v>2005.3140000000001</v>
      </c>
      <c r="E838" s="2886">
        <v>1499592</v>
      </c>
      <c r="F838" s="2886">
        <v>288320</v>
      </c>
      <c r="G838" s="2886">
        <v>1043874</v>
      </c>
    </row>
    <row r="839" spans="1:7">
      <c r="A839" t="s">
        <v>3712</v>
      </c>
      <c r="B839" s="1417" t="s">
        <v>191</v>
      </c>
      <c r="C839" t="s">
        <v>601</v>
      </c>
      <c r="D839" s="2885">
        <v>1011.2890000000002</v>
      </c>
      <c r="E839" s="2886">
        <v>980738</v>
      </c>
      <c r="F839" s="2886">
        <v>579038</v>
      </c>
      <c r="G839" s="2886">
        <v>898349</v>
      </c>
    </row>
    <row r="840" spans="1:7">
      <c r="A840" t="s">
        <v>3713</v>
      </c>
      <c r="B840" s="1417" t="s">
        <v>489</v>
      </c>
      <c r="C840" t="s">
        <v>1404</v>
      </c>
      <c r="D840" s="2885">
        <v>668.91700000000003</v>
      </c>
      <c r="E840" s="2886">
        <v>601505</v>
      </c>
      <c r="F840" s="2886">
        <v>146590</v>
      </c>
      <c r="G840" s="2886">
        <v>280182</v>
      </c>
    </row>
    <row r="841" spans="1:7">
      <c r="A841" t="s">
        <v>6794</v>
      </c>
      <c r="B841" s="1417" t="s">
        <v>1455</v>
      </c>
      <c r="C841" t="s">
        <v>354</v>
      </c>
      <c r="D841" s="2885">
        <v>103.14200000000002</v>
      </c>
      <c r="E841" s="2886">
        <v>203657</v>
      </c>
      <c r="F841" s="2886">
        <v>42250</v>
      </c>
      <c r="G841" s="2886">
        <v>0</v>
      </c>
    </row>
    <row r="842" spans="1:7">
      <c r="A842" t="s">
        <v>6795</v>
      </c>
      <c r="B842" s="1417" t="s">
        <v>1456</v>
      </c>
      <c r="C842" t="s">
        <v>355</v>
      </c>
      <c r="D842" s="2885">
        <v>119.71100000000003</v>
      </c>
      <c r="E842" s="2886">
        <v>0</v>
      </c>
      <c r="F842" s="2886">
        <v>0</v>
      </c>
      <c r="G842" s="2886">
        <v>0</v>
      </c>
    </row>
    <row r="843" spans="1:7">
      <c r="A843" t="s">
        <v>6796</v>
      </c>
      <c r="B843" s="1417" t="s">
        <v>1377</v>
      </c>
      <c r="C843" t="s">
        <v>356</v>
      </c>
      <c r="D843" s="2885">
        <v>527.15100000000007</v>
      </c>
      <c r="E843" s="2886">
        <v>0</v>
      </c>
      <c r="F843" s="2886">
        <v>0</v>
      </c>
      <c r="G843" s="2886">
        <v>0</v>
      </c>
    </row>
    <row r="844" spans="1:7">
      <c r="A844" t="s">
        <v>6084</v>
      </c>
      <c r="B844" s="1417" t="s">
        <v>1378</v>
      </c>
      <c r="C844" t="s">
        <v>357</v>
      </c>
      <c r="D844" s="2885">
        <v>222.73000000000005</v>
      </c>
      <c r="E844" s="2886">
        <v>599146</v>
      </c>
      <c r="F844" s="2886">
        <v>0</v>
      </c>
      <c r="G844" s="2886">
        <v>193921</v>
      </c>
    </row>
    <row r="845" spans="1:7">
      <c r="A845" t="s">
        <v>6085</v>
      </c>
      <c r="B845" s="1417" t="s">
        <v>1379</v>
      </c>
      <c r="C845" t="s">
        <v>358</v>
      </c>
      <c r="D845" s="2885">
        <v>2534.8150000000001</v>
      </c>
      <c r="E845" s="2886">
        <v>2549476</v>
      </c>
      <c r="F845" s="2886">
        <v>0</v>
      </c>
      <c r="G845" s="2886">
        <v>1220428</v>
      </c>
    </row>
    <row r="846" spans="1:7">
      <c r="A846" t="s">
        <v>6086</v>
      </c>
      <c r="B846" s="1417" t="s">
        <v>1473</v>
      </c>
      <c r="C846" t="s">
        <v>359</v>
      </c>
      <c r="D846" s="2885">
        <v>258.71300000000002</v>
      </c>
      <c r="E846" s="2886">
        <v>794606</v>
      </c>
      <c r="F846" s="2886">
        <v>0</v>
      </c>
      <c r="G846" s="2886">
        <v>262594</v>
      </c>
    </row>
    <row r="847" spans="1:7">
      <c r="A847" t="s">
        <v>6797</v>
      </c>
      <c r="B847" s="1417" t="s">
        <v>961</v>
      </c>
      <c r="C847" t="s">
        <v>360</v>
      </c>
      <c r="D847" s="2885">
        <v>477.11400000000009</v>
      </c>
      <c r="E847" s="2886">
        <v>0</v>
      </c>
      <c r="F847" s="2886">
        <v>0</v>
      </c>
      <c r="G847" s="2886">
        <v>0</v>
      </c>
    </row>
    <row r="848" spans="1:7">
      <c r="A848" t="s">
        <v>6798</v>
      </c>
      <c r="B848" s="1417" t="s">
        <v>962</v>
      </c>
      <c r="C848" t="s">
        <v>361</v>
      </c>
      <c r="D848" s="2885">
        <v>109.488</v>
      </c>
      <c r="E848" s="2886">
        <v>0</v>
      </c>
      <c r="F848" s="2886">
        <v>0</v>
      </c>
      <c r="G848" s="2886">
        <v>0</v>
      </c>
    </row>
    <row r="849" spans="1:7">
      <c r="A849" t="s">
        <v>3714</v>
      </c>
      <c r="B849" s="1417" t="s">
        <v>963</v>
      </c>
      <c r="C849" t="s">
        <v>1776</v>
      </c>
      <c r="D849" s="2885">
        <v>2512.3240000000001</v>
      </c>
      <c r="E849" s="2886">
        <v>862033</v>
      </c>
      <c r="F849" s="2886">
        <v>157410</v>
      </c>
      <c r="G849" s="2886">
        <v>628870</v>
      </c>
    </row>
    <row r="850" spans="1:7">
      <c r="A850" t="s">
        <v>6087</v>
      </c>
      <c r="B850" s="1417" t="s">
        <v>1089</v>
      </c>
      <c r="C850" t="s">
        <v>1777</v>
      </c>
      <c r="D850" s="2885">
        <v>640.029</v>
      </c>
      <c r="E850" s="2886">
        <v>698081</v>
      </c>
      <c r="F850" s="2886">
        <v>0</v>
      </c>
      <c r="G850" s="2886">
        <v>546026</v>
      </c>
    </row>
    <row r="851" spans="1:7">
      <c r="A851" t="s">
        <v>3715</v>
      </c>
      <c r="B851" s="1417" t="s">
        <v>192</v>
      </c>
      <c r="C851" t="s">
        <v>1249</v>
      </c>
      <c r="D851" s="2885">
        <v>721.92</v>
      </c>
      <c r="E851" s="2886">
        <v>162554</v>
      </c>
      <c r="F851" s="2886">
        <v>154575</v>
      </c>
      <c r="G851" s="2886">
        <v>0</v>
      </c>
    </row>
    <row r="852" spans="1:7">
      <c r="A852" t="s">
        <v>6088</v>
      </c>
      <c r="B852" s="1417" t="s">
        <v>1090</v>
      </c>
      <c r="C852" t="s">
        <v>1778</v>
      </c>
      <c r="D852" s="2885">
        <v>538.67500000000007</v>
      </c>
      <c r="E852" s="2886">
        <v>130889</v>
      </c>
      <c r="F852" s="2886">
        <v>0</v>
      </c>
      <c r="G852" s="2886">
        <v>121339</v>
      </c>
    </row>
    <row r="853" spans="1:7">
      <c r="A853" t="s">
        <v>6799</v>
      </c>
      <c r="B853" s="1417" t="s">
        <v>1091</v>
      </c>
      <c r="C853" t="s">
        <v>1779</v>
      </c>
      <c r="D853" s="2885">
        <v>589.226</v>
      </c>
      <c r="E853" s="2886">
        <v>296175</v>
      </c>
      <c r="F853" s="2886">
        <v>0</v>
      </c>
      <c r="G853" s="2886">
        <v>0</v>
      </c>
    </row>
    <row r="854" spans="1:7">
      <c r="A854" t="s">
        <v>6800</v>
      </c>
      <c r="B854" s="1417" t="s">
        <v>1238</v>
      </c>
      <c r="C854" t="s">
        <v>1780</v>
      </c>
      <c r="D854" s="2885">
        <v>83.641000000000005</v>
      </c>
      <c r="E854" s="2886">
        <v>0</v>
      </c>
      <c r="F854" s="2886">
        <v>0</v>
      </c>
      <c r="G854" s="2886">
        <v>0</v>
      </c>
    </row>
    <row r="855" spans="1:7">
      <c r="A855" t="s">
        <v>6089</v>
      </c>
      <c r="B855" s="1417" t="s">
        <v>1239</v>
      </c>
      <c r="C855" t="s">
        <v>1781</v>
      </c>
      <c r="D855" s="2885">
        <v>90.680999999999997</v>
      </c>
      <c r="E855" s="2886">
        <v>409</v>
      </c>
      <c r="F855" s="2886">
        <v>0</v>
      </c>
      <c r="G855" s="2886">
        <v>0</v>
      </c>
    </row>
    <row r="856" spans="1:7">
      <c r="A856" t="s">
        <v>6801</v>
      </c>
      <c r="B856" s="1417" t="s">
        <v>1801</v>
      </c>
      <c r="C856" t="s">
        <v>1994</v>
      </c>
      <c r="D856" s="2885">
        <v>527.721</v>
      </c>
      <c r="E856" s="2886">
        <v>0</v>
      </c>
      <c r="F856" s="2886">
        <v>0</v>
      </c>
      <c r="G856" s="2886">
        <v>92725</v>
      </c>
    </row>
    <row r="857" spans="1:7">
      <c r="A857" t="s">
        <v>3716</v>
      </c>
      <c r="B857" s="1417" t="s">
        <v>274</v>
      </c>
      <c r="C857" t="s">
        <v>2115</v>
      </c>
      <c r="D857" s="2885">
        <v>803.88300000000004</v>
      </c>
      <c r="E857" s="2886">
        <v>906558</v>
      </c>
      <c r="F857" s="2886">
        <v>219259</v>
      </c>
      <c r="G857" s="2886">
        <v>440384</v>
      </c>
    </row>
    <row r="858" spans="1:7">
      <c r="A858" t="s">
        <v>6090</v>
      </c>
      <c r="B858" s="1417" t="s">
        <v>1727</v>
      </c>
      <c r="C858" t="s">
        <v>1995</v>
      </c>
      <c r="D858" s="2885">
        <v>2409.306</v>
      </c>
      <c r="E858" s="2886">
        <v>4616784</v>
      </c>
      <c r="F858" s="2886">
        <v>0</v>
      </c>
      <c r="G858" s="2886">
        <v>2445446</v>
      </c>
    </row>
    <row r="859" spans="1:7">
      <c r="A859" t="s">
        <v>3717</v>
      </c>
      <c r="B859" s="1417" t="s">
        <v>1728</v>
      </c>
      <c r="C859" t="s">
        <v>1996</v>
      </c>
      <c r="D859" s="2885">
        <v>3797.9609999999998</v>
      </c>
      <c r="E859" s="2886">
        <v>4121972</v>
      </c>
      <c r="F859" s="2886">
        <v>794439</v>
      </c>
      <c r="G859" s="2886">
        <v>3266176</v>
      </c>
    </row>
    <row r="860" spans="1:7">
      <c r="A860" t="s">
        <v>6091</v>
      </c>
      <c r="B860" s="1417" t="s">
        <v>1006</v>
      </c>
      <c r="C860" t="s">
        <v>1997</v>
      </c>
      <c r="D860" s="2885">
        <v>1009.163</v>
      </c>
      <c r="E860" s="2886">
        <v>440244</v>
      </c>
      <c r="F860" s="2886">
        <v>0</v>
      </c>
      <c r="G860" s="2886">
        <v>413306</v>
      </c>
    </row>
    <row r="861" spans="1:7">
      <c r="A861" t="s">
        <v>6092</v>
      </c>
      <c r="B861" s="1417" t="s">
        <v>189</v>
      </c>
      <c r="C861" t="s">
        <v>1998</v>
      </c>
      <c r="D861" s="2885">
        <v>16913.629000000001</v>
      </c>
      <c r="E861" s="2886">
        <v>27108842</v>
      </c>
      <c r="F861" s="2886">
        <v>0</v>
      </c>
      <c r="G861" s="2886">
        <v>17167333</v>
      </c>
    </row>
    <row r="862" spans="1:7">
      <c r="A862" t="s">
        <v>3718</v>
      </c>
      <c r="B862" s="1417" t="s">
        <v>1181</v>
      </c>
      <c r="C862" t="s">
        <v>1334</v>
      </c>
      <c r="D862" s="2885">
        <v>4469.4750000000004</v>
      </c>
      <c r="E862" s="2886">
        <v>2898976</v>
      </c>
      <c r="F862" s="2886">
        <v>962500</v>
      </c>
      <c r="G862" s="2886">
        <v>1566885</v>
      </c>
    </row>
    <row r="863" spans="1:7">
      <c r="A863" t="s">
        <v>3719</v>
      </c>
      <c r="B863" s="1417" t="s">
        <v>1340</v>
      </c>
      <c r="C863" t="s">
        <v>660</v>
      </c>
      <c r="D863" s="2885">
        <v>3391.9960000000001</v>
      </c>
      <c r="E863" s="2886">
        <v>1812683</v>
      </c>
      <c r="F863" s="2886">
        <v>689579</v>
      </c>
      <c r="G863" s="2886">
        <v>1163233</v>
      </c>
    </row>
    <row r="864" spans="1:7">
      <c r="A864" t="s">
        <v>6093</v>
      </c>
      <c r="B864" s="1417" t="s">
        <v>1341</v>
      </c>
      <c r="C864" t="s">
        <v>1999</v>
      </c>
      <c r="D864" s="2885">
        <v>955.32600000000002</v>
      </c>
      <c r="E864" s="2886">
        <v>1856191</v>
      </c>
      <c r="F864" s="2886">
        <v>0</v>
      </c>
      <c r="G864" s="2886">
        <v>969656</v>
      </c>
    </row>
    <row r="865" spans="1:7">
      <c r="A865" t="s">
        <v>6094</v>
      </c>
      <c r="B865" s="1417" t="s">
        <v>1342</v>
      </c>
      <c r="C865" t="s">
        <v>2000</v>
      </c>
      <c r="D865" s="2885">
        <v>1650.9469999999999</v>
      </c>
      <c r="E865" s="2886">
        <v>3394388</v>
      </c>
      <c r="F865" s="2886">
        <v>0</v>
      </c>
      <c r="G865" s="2886">
        <v>357658</v>
      </c>
    </row>
    <row r="866" spans="1:7">
      <c r="A866" t="s">
        <v>3720</v>
      </c>
      <c r="B866" s="1417" t="s">
        <v>2653</v>
      </c>
      <c r="C866" t="s">
        <v>2693</v>
      </c>
      <c r="D866" s="2885">
        <v>10040.223</v>
      </c>
      <c r="E866" s="2886">
        <v>4043116</v>
      </c>
      <c r="F866" s="2886">
        <v>3359803</v>
      </c>
      <c r="G866" s="2886">
        <v>0</v>
      </c>
    </row>
    <row r="867" spans="1:7">
      <c r="A867" t="s">
        <v>6095</v>
      </c>
      <c r="B867" s="1417" t="s">
        <v>1729</v>
      </c>
      <c r="C867" t="s">
        <v>2001</v>
      </c>
      <c r="D867" s="2885">
        <v>226.25700000000001</v>
      </c>
      <c r="E867" s="2886">
        <v>183590</v>
      </c>
      <c r="F867" s="2886">
        <v>0</v>
      </c>
      <c r="G867" s="2886">
        <v>65619</v>
      </c>
    </row>
    <row r="868" spans="1:7">
      <c r="A868" t="s">
        <v>3721</v>
      </c>
      <c r="B868" s="1417" t="s">
        <v>193</v>
      </c>
      <c r="C868" t="s">
        <v>608</v>
      </c>
      <c r="D868" s="2885">
        <v>5989.7179999999998</v>
      </c>
      <c r="E868" s="2886">
        <v>1359308</v>
      </c>
      <c r="F868" s="2886">
        <v>1386211</v>
      </c>
      <c r="G868" s="2886">
        <v>0</v>
      </c>
    </row>
    <row r="869" spans="1:7">
      <c r="A869" t="s">
        <v>6096</v>
      </c>
      <c r="B869" s="1417" t="s">
        <v>1730</v>
      </c>
      <c r="C869" t="s">
        <v>2002</v>
      </c>
      <c r="D869" s="2885">
        <v>1359.0910000000001</v>
      </c>
      <c r="E869" s="2886">
        <v>609987</v>
      </c>
      <c r="F869" s="2886">
        <v>0</v>
      </c>
      <c r="G869" s="2886">
        <v>416187</v>
      </c>
    </row>
    <row r="870" spans="1:7">
      <c r="A870" t="s">
        <v>6097</v>
      </c>
      <c r="B870" s="1417" t="s">
        <v>2584</v>
      </c>
      <c r="C870" t="s">
        <v>2562</v>
      </c>
      <c r="D870" s="2885">
        <v>285.81</v>
      </c>
      <c r="E870" s="2886">
        <v>1199133</v>
      </c>
      <c r="F870" s="2886">
        <v>0</v>
      </c>
      <c r="G870" s="2886">
        <v>204868</v>
      </c>
    </row>
    <row r="871" spans="1:7">
      <c r="A871" t="s">
        <v>6098</v>
      </c>
      <c r="B871" s="1417" t="s">
        <v>750</v>
      </c>
      <c r="C871" t="s">
        <v>2563</v>
      </c>
      <c r="D871" s="2885">
        <v>229.03400000000005</v>
      </c>
      <c r="E871" s="2886">
        <v>582617</v>
      </c>
      <c r="F871" s="2886">
        <v>0</v>
      </c>
      <c r="G871" s="2886">
        <v>151940</v>
      </c>
    </row>
    <row r="872" spans="1:7">
      <c r="A872" t="s">
        <v>6099</v>
      </c>
      <c r="B872" s="1417" t="s">
        <v>751</v>
      </c>
      <c r="C872" t="s">
        <v>2564</v>
      </c>
      <c r="D872" s="2885">
        <v>779.0780000000002</v>
      </c>
      <c r="E872" s="2886">
        <v>181096</v>
      </c>
      <c r="F872" s="2886">
        <v>0</v>
      </c>
      <c r="G872" s="2886">
        <v>130904</v>
      </c>
    </row>
    <row r="873" spans="1:7">
      <c r="A873" t="s">
        <v>6802</v>
      </c>
      <c r="B873" s="1417" t="s">
        <v>802</v>
      </c>
      <c r="C873" t="s">
        <v>2565</v>
      </c>
      <c r="D873" s="2885">
        <v>236.59800000000001</v>
      </c>
      <c r="E873" s="2886">
        <v>0</v>
      </c>
      <c r="F873" s="2886">
        <v>0</v>
      </c>
      <c r="G873" s="2886">
        <v>0</v>
      </c>
    </row>
    <row r="874" spans="1:7">
      <c r="A874" t="s">
        <v>6803</v>
      </c>
      <c r="B874" s="1417" t="s">
        <v>568</v>
      </c>
      <c r="C874" t="s">
        <v>2566</v>
      </c>
      <c r="D874" s="2885">
        <v>1048.809</v>
      </c>
      <c r="E874" s="2886">
        <v>0</v>
      </c>
      <c r="F874" s="2886">
        <v>0</v>
      </c>
      <c r="G874" s="2886">
        <v>0</v>
      </c>
    </row>
    <row r="875" spans="1:7">
      <c r="A875" t="s">
        <v>6100</v>
      </c>
      <c r="B875" s="1417" t="s">
        <v>569</v>
      </c>
      <c r="C875" t="s">
        <v>2567</v>
      </c>
      <c r="D875" s="2885">
        <v>240.40600000000001</v>
      </c>
      <c r="E875" s="2886">
        <v>209683</v>
      </c>
      <c r="F875" s="2886">
        <v>0</v>
      </c>
      <c r="G875" s="2886">
        <v>0</v>
      </c>
    </row>
    <row r="876" spans="1:7">
      <c r="A876" t="s">
        <v>3722</v>
      </c>
      <c r="B876" s="1417" t="s">
        <v>2298</v>
      </c>
      <c r="C876" t="s">
        <v>2421</v>
      </c>
      <c r="D876" s="2885">
        <v>56965.929000000011</v>
      </c>
      <c r="E876" s="2886">
        <v>80170402</v>
      </c>
      <c r="F876" s="2886">
        <v>334362</v>
      </c>
      <c r="G876" s="2886">
        <v>57820418</v>
      </c>
    </row>
    <row r="877" spans="1:7">
      <c r="A877" t="s">
        <v>3723</v>
      </c>
      <c r="B877" s="1417" t="s">
        <v>873</v>
      </c>
      <c r="C877" t="s">
        <v>797</v>
      </c>
      <c r="D877" s="2885">
        <v>22180.114000000001</v>
      </c>
      <c r="E877" s="2886">
        <v>33628453</v>
      </c>
      <c r="F877" s="2886">
        <v>4937736</v>
      </c>
      <c r="G877" s="2886">
        <v>21763376</v>
      </c>
    </row>
    <row r="878" spans="1:7">
      <c r="A878" t="s">
        <v>3724</v>
      </c>
      <c r="B878" s="1417" t="s">
        <v>1849</v>
      </c>
      <c r="C878" t="s">
        <v>2568</v>
      </c>
      <c r="D878" s="2885">
        <v>5421.9270000000006</v>
      </c>
      <c r="E878" s="2886">
        <v>4076172</v>
      </c>
      <c r="F878" s="2886">
        <v>1351899</v>
      </c>
      <c r="G878" s="2886">
        <v>2109066</v>
      </c>
    </row>
    <row r="879" spans="1:7">
      <c r="A879" t="s">
        <v>6101</v>
      </c>
      <c r="B879" s="1417" t="s">
        <v>2018</v>
      </c>
      <c r="C879" t="s">
        <v>1278</v>
      </c>
      <c r="D879" s="2885">
        <v>79420.032999999996</v>
      </c>
      <c r="E879" s="2886">
        <v>94380270</v>
      </c>
      <c r="F879" s="2886">
        <v>0</v>
      </c>
      <c r="G879" s="2886">
        <v>70840665</v>
      </c>
    </row>
    <row r="880" spans="1:7">
      <c r="A880" t="s">
        <v>6102</v>
      </c>
      <c r="B880" s="1417" t="s">
        <v>2182</v>
      </c>
      <c r="C880" t="s">
        <v>1279</v>
      </c>
      <c r="D880" s="2885">
        <v>13196.558000000003</v>
      </c>
      <c r="E880" s="2886">
        <v>45586052</v>
      </c>
      <c r="F880" s="2886">
        <v>0</v>
      </c>
      <c r="G880" s="2886">
        <v>13394506</v>
      </c>
    </row>
    <row r="881" spans="1:7">
      <c r="A881" t="s">
        <v>3725</v>
      </c>
      <c r="B881" s="1417" t="s">
        <v>50</v>
      </c>
      <c r="C881" t="s">
        <v>412</v>
      </c>
      <c r="D881" s="2885">
        <v>32886.027999999998</v>
      </c>
      <c r="E881" s="2886">
        <v>72122210</v>
      </c>
      <c r="F881" s="2886">
        <v>8082238</v>
      </c>
      <c r="G881" s="2886">
        <v>33379318</v>
      </c>
    </row>
    <row r="882" spans="1:7">
      <c r="A882" t="s">
        <v>3726</v>
      </c>
      <c r="B882" s="1417" t="s">
        <v>347</v>
      </c>
      <c r="C882" t="s">
        <v>290</v>
      </c>
      <c r="D882" s="2885">
        <v>32632.307000000001</v>
      </c>
      <c r="E882" s="2886">
        <v>53491902</v>
      </c>
      <c r="F882" s="2886">
        <v>17757373</v>
      </c>
      <c r="G882" s="2886">
        <v>30476786</v>
      </c>
    </row>
    <row r="883" spans="1:7">
      <c r="A883" t="s">
        <v>3727</v>
      </c>
      <c r="B883" s="1417" t="s">
        <v>1767</v>
      </c>
      <c r="C883" t="s">
        <v>2301</v>
      </c>
      <c r="D883" s="2885">
        <v>3204.98</v>
      </c>
      <c r="E883" s="2886">
        <v>3950144</v>
      </c>
      <c r="F883" s="2886">
        <v>884752</v>
      </c>
      <c r="G883" s="2886">
        <v>2155730</v>
      </c>
    </row>
    <row r="884" spans="1:7">
      <c r="A884" t="s">
        <v>3728</v>
      </c>
      <c r="B884" s="1417" t="s">
        <v>2405</v>
      </c>
      <c r="C884" t="s">
        <v>419</v>
      </c>
      <c r="D884" s="2885">
        <v>14187.967000000001</v>
      </c>
      <c r="E884" s="2886">
        <v>25120047</v>
      </c>
      <c r="F884" s="2886">
        <v>9023289</v>
      </c>
      <c r="G884" s="2886">
        <v>13624155</v>
      </c>
    </row>
    <row r="885" spans="1:7">
      <c r="A885" t="s">
        <v>3729</v>
      </c>
      <c r="B885" s="1417" t="s">
        <v>52</v>
      </c>
      <c r="C885" t="s">
        <v>2516</v>
      </c>
      <c r="D885" s="2885">
        <v>2985.5929999999998</v>
      </c>
      <c r="E885" s="2886">
        <v>3647321</v>
      </c>
      <c r="F885" s="2886">
        <v>485980</v>
      </c>
      <c r="G885" s="2886">
        <v>3022595</v>
      </c>
    </row>
    <row r="886" spans="1:7">
      <c r="A886" t="s">
        <v>3730</v>
      </c>
      <c r="B886" s="1417" t="s">
        <v>1681</v>
      </c>
      <c r="C886" t="s">
        <v>2119</v>
      </c>
      <c r="D886" s="2885">
        <v>5952.4530000000004</v>
      </c>
      <c r="E886" s="2886">
        <v>3829512</v>
      </c>
      <c r="F886" s="2886">
        <v>1377910</v>
      </c>
      <c r="G886" s="2886">
        <v>2197943</v>
      </c>
    </row>
    <row r="887" spans="1:7">
      <c r="A887" t="s">
        <v>3731</v>
      </c>
      <c r="B887" s="1417" t="s">
        <v>1119</v>
      </c>
      <c r="C887" t="s">
        <v>1267</v>
      </c>
      <c r="D887" s="2885">
        <v>21770.738000000001</v>
      </c>
      <c r="E887" s="2886">
        <v>29533811</v>
      </c>
      <c r="F887" s="2886">
        <v>4462566</v>
      </c>
      <c r="G887" s="2886">
        <v>22097299</v>
      </c>
    </row>
    <row r="888" spans="1:7">
      <c r="A888" t="s">
        <v>3732</v>
      </c>
      <c r="B888" s="1417" t="s">
        <v>1847</v>
      </c>
      <c r="C888" t="s">
        <v>657</v>
      </c>
      <c r="D888" s="2885">
        <v>3698.6880000000001</v>
      </c>
      <c r="E888" s="2886">
        <v>1104159</v>
      </c>
      <c r="F888" s="2886">
        <v>479422</v>
      </c>
      <c r="G888" s="2886">
        <v>590363</v>
      </c>
    </row>
    <row r="889" spans="1:7">
      <c r="A889" t="s">
        <v>3733</v>
      </c>
      <c r="B889" s="1417" t="s">
        <v>2223</v>
      </c>
      <c r="C889" t="s">
        <v>1280</v>
      </c>
      <c r="D889" s="2885">
        <v>18484.565999999999</v>
      </c>
      <c r="E889" s="2886">
        <v>27088368</v>
      </c>
      <c r="F889" s="2886">
        <v>4072151</v>
      </c>
      <c r="G889" s="2886">
        <v>18761834</v>
      </c>
    </row>
    <row r="890" spans="1:7">
      <c r="A890" t="s">
        <v>5533</v>
      </c>
      <c r="B890" s="1417" t="s">
        <v>1846</v>
      </c>
      <c r="C890" t="s">
        <v>656</v>
      </c>
      <c r="D890" s="2885">
        <v>7825.5530000000017</v>
      </c>
      <c r="E890" s="2886">
        <v>25950340</v>
      </c>
      <c r="F890" s="2886">
        <v>197593</v>
      </c>
      <c r="G890" s="2886">
        <v>7942936</v>
      </c>
    </row>
    <row r="891" spans="1:7">
      <c r="A891" t="s">
        <v>3734</v>
      </c>
      <c r="B891" s="1417" t="s">
        <v>1180</v>
      </c>
      <c r="C891" t="s">
        <v>1333</v>
      </c>
      <c r="D891" s="2885">
        <v>6282.8239999999996</v>
      </c>
      <c r="E891" s="2886">
        <v>8192832</v>
      </c>
      <c r="F891" s="2886">
        <v>1069743</v>
      </c>
      <c r="G891" s="2886">
        <v>4584153</v>
      </c>
    </row>
    <row r="892" spans="1:7">
      <c r="A892" t="s">
        <v>6103</v>
      </c>
      <c r="B892" s="1417" t="s">
        <v>2224</v>
      </c>
      <c r="C892" t="s">
        <v>1281</v>
      </c>
      <c r="D892" s="2885">
        <v>15478.06</v>
      </c>
      <c r="E892" s="2886">
        <v>7036618</v>
      </c>
      <c r="F892" s="2886">
        <v>2216033</v>
      </c>
      <c r="G892" s="2886">
        <v>5092740</v>
      </c>
    </row>
    <row r="893" spans="1:7">
      <c r="A893" t="s">
        <v>6104</v>
      </c>
      <c r="B893" s="1417" t="s">
        <v>2225</v>
      </c>
      <c r="C893" t="s">
        <v>1282</v>
      </c>
      <c r="D893" s="2885">
        <v>1021.016</v>
      </c>
      <c r="E893" s="2886">
        <v>941818</v>
      </c>
      <c r="F893" s="2886">
        <v>0</v>
      </c>
      <c r="G893" s="2886">
        <v>948656</v>
      </c>
    </row>
    <row r="894" spans="1:7">
      <c r="A894" t="s">
        <v>6105</v>
      </c>
      <c r="B894" s="1417" t="s">
        <v>2655</v>
      </c>
      <c r="C894" t="s">
        <v>1283</v>
      </c>
      <c r="D894" s="2885">
        <v>172.054</v>
      </c>
      <c r="E894" s="2886">
        <v>462167</v>
      </c>
      <c r="F894" s="2886">
        <v>0</v>
      </c>
      <c r="G894" s="2886">
        <v>174635</v>
      </c>
    </row>
    <row r="895" spans="1:7">
      <c r="A895" t="s">
        <v>6106</v>
      </c>
      <c r="B895" s="1417" t="s">
        <v>2656</v>
      </c>
      <c r="C895" t="s">
        <v>2335</v>
      </c>
      <c r="D895" s="2885">
        <v>1104.04</v>
      </c>
      <c r="E895" s="2886">
        <v>874763</v>
      </c>
      <c r="F895" s="2886">
        <v>0</v>
      </c>
      <c r="G895" s="2886">
        <v>268272</v>
      </c>
    </row>
    <row r="896" spans="1:7">
      <c r="A896" t="s">
        <v>6107</v>
      </c>
      <c r="B896" s="1417" t="s">
        <v>2657</v>
      </c>
      <c r="C896" t="s">
        <v>1132</v>
      </c>
      <c r="D896" s="2885">
        <v>4042.9070000000002</v>
      </c>
      <c r="E896" s="2886">
        <v>1513810</v>
      </c>
      <c r="F896" s="2886">
        <v>0</v>
      </c>
      <c r="G896" s="2886">
        <v>1003</v>
      </c>
    </row>
    <row r="897" spans="1:7">
      <c r="A897" t="s">
        <v>6108</v>
      </c>
      <c r="B897" s="1417" t="s">
        <v>2658</v>
      </c>
      <c r="C897" t="s">
        <v>1285</v>
      </c>
      <c r="D897" s="2885">
        <v>132.54599999999999</v>
      </c>
      <c r="E897" s="2886">
        <v>1061074</v>
      </c>
      <c r="F897" s="2886">
        <v>0</v>
      </c>
      <c r="G897" s="2886">
        <v>134534</v>
      </c>
    </row>
    <row r="898" spans="1:7">
      <c r="A898" t="s">
        <v>6109</v>
      </c>
      <c r="B898" s="1417" t="s">
        <v>1170</v>
      </c>
      <c r="C898" t="s">
        <v>305</v>
      </c>
      <c r="D898" s="2885">
        <v>1650.191</v>
      </c>
      <c r="E898" s="2886">
        <v>425565</v>
      </c>
      <c r="F898" s="2886">
        <v>0</v>
      </c>
      <c r="G898" s="2886">
        <v>512437</v>
      </c>
    </row>
    <row r="899" spans="1:7">
      <c r="A899" t="s">
        <v>3735</v>
      </c>
      <c r="B899" s="1417" t="s">
        <v>1845</v>
      </c>
      <c r="C899" t="s">
        <v>822</v>
      </c>
      <c r="D899" s="2885">
        <v>293.38499999999999</v>
      </c>
      <c r="E899" s="2886">
        <v>40115</v>
      </c>
      <c r="F899" s="2886">
        <v>36167</v>
      </c>
      <c r="G899" s="2886">
        <v>0</v>
      </c>
    </row>
    <row r="900" spans="1:7">
      <c r="A900" t="s">
        <v>6110</v>
      </c>
      <c r="B900" s="1417" t="s">
        <v>1171</v>
      </c>
      <c r="C900" t="s">
        <v>2336</v>
      </c>
      <c r="D900" s="2885">
        <v>250.69800000000001</v>
      </c>
      <c r="E900" s="2886">
        <v>870907</v>
      </c>
      <c r="F900" s="2886">
        <v>0</v>
      </c>
      <c r="G900" s="2886">
        <v>254458</v>
      </c>
    </row>
    <row r="901" spans="1:7">
      <c r="A901" t="s">
        <v>6804</v>
      </c>
      <c r="B901" s="1417" t="s">
        <v>1586</v>
      </c>
      <c r="C901" t="s">
        <v>636</v>
      </c>
      <c r="D901" s="2885">
        <v>143.505</v>
      </c>
      <c r="E901" s="2886">
        <v>0</v>
      </c>
      <c r="F901" s="2886">
        <v>0</v>
      </c>
      <c r="G901" s="2886">
        <v>0</v>
      </c>
    </row>
    <row r="902" spans="1:7">
      <c r="A902" t="s">
        <v>6805</v>
      </c>
      <c r="B902" s="1417" t="s">
        <v>1587</v>
      </c>
      <c r="C902" t="s">
        <v>637</v>
      </c>
      <c r="D902" s="2885">
        <v>138.91200000000001</v>
      </c>
      <c r="E902" s="2886">
        <v>0</v>
      </c>
      <c r="F902" s="2886">
        <v>0</v>
      </c>
      <c r="G902" s="2886">
        <v>0</v>
      </c>
    </row>
    <row r="903" spans="1:7">
      <c r="A903" t="s">
        <v>6111</v>
      </c>
      <c r="B903" s="1417" t="s">
        <v>1588</v>
      </c>
      <c r="C903" t="s">
        <v>638</v>
      </c>
      <c r="D903" s="2885">
        <v>4812.6080000000002</v>
      </c>
      <c r="E903" s="2886">
        <v>2156408</v>
      </c>
      <c r="F903" s="2886">
        <v>0</v>
      </c>
      <c r="G903" s="2886">
        <v>2448096</v>
      </c>
    </row>
    <row r="904" spans="1:7">
      <c r="A904" t="s">
        <v>6806</v>
      </c>
      <c r="B904" s="1417" t="s">
        <v>1817</v>
      </c>
      <c r="C904" t="s">
        <v>1665</v>
      </c>
      <c r="D904" s="2885">
        <v>157.03899999999999</v>
      </c>
      <c r="E904" s="2886">
        <v>0</v>
      </c>
      <c r="F904" s="2886">
        <v>0</v>
      </c>
      <c r="G904" s="2886">
        <v>0</v>
      </c>
    </row>
    <row r="905" spans="1:7">
      <c r="A905" t="s">
        <v>3736</v>
      </c>
      <c r="B905" s="1417" t="s">
        <v>275</v>
      </c>
      <c r="C905" t="s">
        <v>660</v>
      </c>
      <c r="D905" s="2885">
        <v>980.59500000000003</v>
      </c>
      <c r="E905" s="2886">
        <v>0</v>
      </c>
      <c r="F905" s="2886">
        <v>91397</v>
      </c>
      <c r="G905" s="2886">
        <v>19045</v>
      </c>
    </row>
    <row r="906" spans="1:7">
      <c r="A906" t="s">
        <v>6807</v>
      </c>
      <c r="B906" s="1417" t="s">
        <v>1818</v>
      </c>
      <c r="C906" t="s">
        <v>1666</v>
      </c>
      <c r="D906" s="2885">
        <v>549.64200000000005</v>
      </c>
      <c r="E906" s="2886">
        <v>0</v>
      </c>
      <c r="F906" s="2886">
        <v>0</v>
      </c>
      <c r="G906" s="2886">
        <v>0</v>
      </c>
    </row>
    <row r="907" spans="1:7">
      <c r="A907" t="s">
        <v>6112</v>
      </c>
      <c r="B907" s="1417" t="s">
        <v>2440</v>
      </c>
      <c r="C907" t="s">
        <v>1906</v>
      </c>
      <c r="D907" s="2885">
        <v>462.88900000000001</v>
      </c>
      <c r="E907" s="2886">
        <v>100842</v>
      </c>
      <c r="F907" s="2886">
        <v>0</v>
      </c>
      <c r="G907" s="2886">
        <v>98775</v>
      </c>
    </row>
    <row r="908" spans="1:7">
      <c r="A908" t="s">
        <v>3737</v>
      </c>
      <c r="B908" s="1417" t="s">
        <v>1313</v>
      </c>
      <c r="C908" t="s">
        <v>2027</v>
      </c>
      <c r="D908" s="2885">
        <v>13612.738000000001</v>
      </c>
      <c r="E908" s="2886">
        <v>8446192</v>
      </c>
      <c r="F908" s="2886">
        <v>4520241</v>
      </c>
      <c r="G908" s="2886">
        <v>966851</v>
      </c>
    </row>
    <row r="909" spans="1:7">
      <c r="A909" t="s">
        <v>6113</v>
      </c>
      <c r="B909" s="1417" t="s">
        <v>2428</v>
      </c>
      <c r="C909" t="s">
        <v>1907</v>
      </c>
      <c r="D909" s="2885">
        <v>317.584</v>
      </c>
      <c r="E909" s="2886">
        <v>225781</v>
      </c>
      <c r="F909" s="2886">
        <v>0</v>
      </c>
      <c r="G909" s="2886">
        <v>218918</v>
      </c>
    </row>
    <row r="910" spans="1:7">
      <c r="A910" t="s">
        <v>3738</v>
      </c>
      <c r="B910" s="1417" t="s">
        <v>342</v>
      </c>
      <c r="C910" t="s">
        <v>137</v>
      </c>
      <c r="D910" s="2885">
        <v>1074.2530000000002</v>
      </c>
      <c r="E910" s="2886">
        <v>1146051</v>
      </c>
      <c r="F910" s="2886">
        <v>198225</v>
      </c>
      <c r="G910" s="2886">
        <v>0</v>
      </c>
    </row>
    <row r="911" spans="1:7">
      <c r="A911" t="s">
        <v>3739</v>
      </c>
      <c r="B911" s="1417" t="s">
        <v>1307</v>
      </c>
      <c r="C911" t="s">
        <v>1731</v>
      </c>
      <c r="D911" s="2885">
        <v>1040.5220000000002</v>
      </c>
      <c r="E911" s="2886">
        <v>495612</v>
      </c>
      <c r="F911" s="2886">
        <v>331694</v>
      </c>
      <c r="G911" s="2886">
        <v>104664</v>
      </c>
    </row>
    <row r="912" spans="1:7">
      <c r="A912" t="s">
        <v>3740</v>
      </c>
      <c r="B912" s="1417" t="s">
        <v>1253</v>
      </c>
      <c r="C912" t="s">
        <v>2645</v>
      </c>
      <c r="D912" s="2885">
        <v>252.22300000000001</v>
      </c>
      <c r="E912" s="2886">
        <v>136205</v>
      </c>
      <c r="F912" s="2886">
        <v>81021</v>
      </c>
      <c r="G912" s="2886">
        <v>7969</v>
      </c>
    </row>
    <row r="913" spans="1:7">
      <c r="A913" t="s">
        <v>6114</v>
      </c>
      <c r="B913" s="1417" t="s">
        <v>263</v>
      </c>
      <c r="C913" t="s">
        <v>1908</v>
      </c>
      <c r="D913" s="2885">
        <v>75397.221000000005</v>
      </c>
      <c r="E913" s="2886">
        <v>110599651</v>
      </c>
      <c r="F913" s="2886">
        <v>0</v>
      </c>
      <c r="G913" s="2886">
        <v>42174084</v>
      </c>
    </row>
    <row r="914" spans="1:7">
      <c r="A914" t="s">
        <v>3741</v>
      </c>
      <c r="B914" s="1417" t="s">
        <v>210</v>
      </c>
      <c r="C914" t="s">
        <v>998</v>
      </c>
      <c r="D914" s="2885">
        <v>23180.221000000001</v>
      </c>
      <c r="E914" s="2886">
        <v>53880383</v>
      </c>
      <c r="F914" s="2886">
        <v>6801184</v>
      </c>
      <c r="G914" s="2886">
        <v>23527924</v>
      </c>
    </row>
    <row r="915" spans="1:7">
      <c r="A915" t="s">
        <v>6115</v>
      </c>
      <c r="B915" s="1417" t="s">
        <v>264</v>
      </c>
      <c r="C915" t="s">
        <v>1909</v>
      </c>
      <c r="D915" s="2885">
        <v>8073.509</v>
      </c>
      <c r="E915" s="2886">
        <v>26543633</v>
      </c>
      <c r="F915" s="2886">
        <v>0</v>
      </c>
      <c r="G915" s="2886">
        <v>8194612</v>
      </c>
    </row>
    <row r="916" spans="1:7">
      <c r="A916" t="s">
        <v>6116</v>
      </c>
      <c r="B916" s="1417" t="s">
        <v>265</v>
      </c>
      <c r="C916" t="s">
        <v>1910</v>
      </c>
      <c r="D916" s="2885">
        <v>7810.1620000000003</v>
      </c>
      <c r="E916" s="2886">
        <v>23391133</v>
      </c>
      <c r="F916" s="2886">
        <v>0</v>
      </c>
      <c r="G916" s="2886">
        <v>5167475</v>
      </c>
    </row>
    <row r="917" spans="1:7">
      <c r="A917" t="s">
        <v>3742</v>
      </c>
      <c r="B917" s="1417" t="s">
        <v>1133</v>
      </c>
      <c r="C917" t="s">
        <v>2667</v>
      </c>
      <c r="D917" s="2885">
        <v>10394.567999999999</v>
      </c>
      <c r="E917" s="2886">
        <v>21180496</v>
      </c>
      <c r="F917" s="2886">
        <v>1138000</v>
      </c>
      <c r="G917" s="2886">
        <v>10550487</v>
      </c>
    </row>
    <row r="918" spans="1:7">
      <c r="A918" t="s">
        <v>6117</v>
      </c>
      <c r="B918" s="1417" t="s">
        <v>2446</v>
      </c>
      <c r="C918" t="s">
        <v>1911</v>
      </c>
      <c r="D918" s="2885">
        <v>1362.6870000000001</v>
      </c>
      <c r="E918" s="2886">
        <v>3513218</v>
      </c>
      <c r="F918" s="2886">
        <v>0</v>
      </c>
      <c r="G918" s="2886">
        <v>1352531</v>
      </c>
    </row>
    <row r="919" spans="1:7">
      <c r="A919" t="s">
        <v>6118</v>
      </c>
      <c r="B919" s="1417" t="s">
        <v>1320</v>
      </c>
      <c r="C919" t="s">
        <v>1912</v>
      </c>
      <c r="D919" s="2885">
        <v>9312.737000000001</v>
      </c>
      <c r="E919" s="2886">
        <v>35482644</v>
      </c>
      <c r="F919" s="2886">
        <v>0</v>
      </c>
      <c r="G919" s="2886">
        <v>9452428</v>
      </c>
    </row>
    <row r="920" spans="1:7">
      <c r="A920" t="s">
        <v>6808</v>
      </c>
      <c r="B920" s="1417" t="s">
        <v>1321</v>
      </c>
      <c r="C920" t="s">
        <v>1913</v>
      </c>
      <c r="D920" s="2885">
        <v>706.61500000000001</v>
      </c>
      <c r="E920" s="2886">
        <v>0</v>
      </c>
      <c r="F920" s="2886">
        <v>0</v>
      </c>
      <c r="G920" s="2886">
        <v>0</v>
      </c>
    </row>
    <row r="921" spans="1:7">
      <c r="A921" t="s">
        <v>6119</v>
      </c>
      <c r="B921" s="1417" t="s">
        <v>1322</v>
      </c>
      <c r="C921" t="s">
        <v>1914</v>
      </c>
      <c r="D921" s="2885">
        <v>1158.3490000000002</v>
      </c>
      <c r="E921" s="2886">
        <v>319235</v>
      </c>
      <c r="F921" s="2886">
        <v>0</v>
      </c>
      <c r="G921" s="2886">
        <v>302043</v>
      </c>
    </row>
    <row r="922" spans="1:7">
      <c r="A922" t="s">
        <v>6809</v>
      </c>
      <c r="B922" s="1417" t="s">
        <v>1323</v>
      </c>
      <c r="C922" t="s">
        <v>1824</v>
      </c>
      <c r="D922" s="2885">
        <v>104.23700000000002</v>
      </c>
      <c r="E922" s="2886">
        <v>0</v>
      </c>
      <c r="F922" s="2886">
        <v>0</v>
      </c>
      <c r="G922" s="2886">
        <v>0</v>
      </c>
    </row>
    <row r="923" spans="1:7">
      <c r="A923" t="s">
        <v>6810</v>
      </c>
      <c r="B923" s="1417" t="s">
        <v>1324</v>
      </c>
      <c r="C923" t="s">
        <v>1915</v>
      </c>
      <c r="D923" s="2885">
        <v>158.346</v>
      </c>
      <c r="E923" s="2886">
        <v>0</v>
      </c>
      <c r="F923" s="2886">
        <v>0</v>
      </c>
      <c r="G923" s="2886">
        <v>0</v>
      </c>
    </row>
    <row r="924" spans="1:7">
      <c r="A924" t="s">
        <v>5567</v>
      </c>
      <c r="B924" s="1417" t="s">
        <v>1434</v>
      </c>
      <c r="C924" t="s">
        <v>1547</v>
      </c>
      <c r="D924" s="2885">
        <v>421.649</v>
      </c>
      <c r="E924" s="2886">
        <v>91063</v>
      </c>
      <c r="F924" s="2886">
        <v>0</v>
      </c>
      <c r="G924" s="2886">
        <v>75725</v>
      </c>
    </row>
    <row r="925" spans="1:7">
      <c r="A925" t="s">
        <v>6120</v>
      </c>
      <c r="B925" s="1417" t="s">
        <v>1807</v>
      </c>
      <c r="C925" t="s">
        <v>1916</v>
      </c>
      <c r="D925" s="2885">
        <v>1231.914</v>
      </c>
      <c r="E925" s="2886">
        <v>627571</v>
      </c>
      <c r="F925" s="2886">
        <v>0</v>
      </c>
      <c r="G925" s="2886">
        <v>359756</v>
      </c>
    </row>
    <row r="926" spans="1:7">
      <c r="A926" t="s">
        <v>3743</v>
      </c>
      <c r="B926" s="1417" t="s">
        <v>1808</v>
      </c>
      <c r="C926" t="s">
        <v>1917</v>
      </c>
      <c r="D926" s="2885">
        <v>1175.527</v>
      </c>
      <c r="E926" s="2886">
        <v>732234</v>
      </c>
      <c r="F926" s="2886">
        <v>417004</v>
      </c>
      <c r="G926" s="2886">
        <v>625484</v>
      </c>
    </row>
    <row r="927" spans="1:7">
      <c r="A927" t="s">
        <v>3744</v>
      </c>
      <c r="B927" s="1417" t="s">
        <v>1254</v>
      </c>
      <c r="C927" t="s">
        <v>1938</v>
      </c>
      <c r="D927" s="2885">
        <v>362.166</v>
      </c>
      <c r="E927" s="2886">
        <v>11816</v>
      </c>
      <c r="F927" s="2886">
        <v>49791</v>
      </c>
      <c r="G927" s="2886">
        <v>49187</v>
      </c>
    </row>
    <row r="928" spans="1:7">
      <c r="A928" t="s">
        <v>3745</v>
      </c>
      <c r="B928" s="1417" t="s">
        <v>70</v>
      </c>
      <c r="C928" t="s">
        <v>2184</v>
      </c>
      <c r="D928" s="2885">
        <v>174.99100000000001</v>
      </c>
      <c r="E928" s="2886">
        <v>33939</v>
      </c>
      <c r="F928" s="2886">
        <v>29273</v>
      </c>
      <c r="G928" s="2886">
        <v>0</v>
      </c>
    </row>
    <row r="929" spans="1:7">
      <c r="A929" t="s">
        <v>6121</v>
      </c>
      <c r="B929" s="1417" t="s">
        <v>1809</v>
      </c>
      <c r="C929" t="s">
        <v>443</v>
      </c>
      <c r="D929" s="2885">
        <v>670.56600000000003</v>
      </c>
      <c r="E929" s="2886">
        <v>506898</v>
      </c>
      <c r="F929" s="2886">
        <v>0</v>
      </c>
      <c r="G929" s="2886">
        <v>461188</v>
      </c>
    </row>
    <row r="930" spans="1:7">
      <c r="A930" t="s">
        <v>6122</v>
      </c>
      <c r="B930" s="1417" t="s">
        <v>1810</v>
      </c>
      <c r="C930" t="s">
        <v>1918</v>
      </c>
      <c r="D930" s="2885">
        <v>2243.3130000000001</v>
      </c>
      <c r="E930" s="2886">
        <v>399512</v>
      </c>
      <c r="F930" s="2886">
        <v>0</v>
      </c>
      <c r="G930" s="2886">
        <v>127669</v>
      </c>
    </row>
    <row r="931" spans="1:7">
      <c r="A931" t="s">
        <v>3746</v>
      </c>
      <c r="B931" s="1417" t="s">
        <v>1414</v>
      </c>
      <c r="C931" t="s">
        <v>1017</v>
      </c>
      <c r="D931" s="2885">
        <v>822.64600000000019</v>
      </c>
      <c r="E931" s="2886">
        <v>250601</v>
      </c>
      <c r="F931" s="2886">
        <v>275424</v>
      </c>
      <c r="G931" s="2886">
        <v>104418</v>
      </c>
    </row>
    <row r="932" spans="1:7">
      <c r="A932" t="s">
        <v>6811</v>
      </c>
      <c r="B932" s="1417" t="s">
        <v>1077</v>
      </c>
      <c r="C932" t="s">
        <v>777</v>
      </c>
      <c r="D932" s="2885">
        <v>345.40800000000002</v>
      </c>
      <c r="E932" s="2886">
        <v>0</v>
      </c>
      <c r="F932" s="2886">
        <v>0</v>
      </c>
      <c r="G932" s="2886">
        <v>0</v>
      </c>
    </row>
    <row r="933" spans="1:7">
      <c r="A933" t="s">
        <v>3747</v>
      </c>
      <c r="B933" s="1417" t="s">
        <v>1861</v>
      </c>
      <c r="C933" t="s">
        <v>827</v>
      </c>
      <c r="D933" s="2885">
        <v>1040.9680000000001</v>
      </c>
      <c r="E933" s="2886">
        <v>267922</v>
      </c>
      <c r="F933" s="2886">
        <v>206798</v>
      </c>
      <c r="G933" s="2886">
        <v>37780</v>
      </c>
    </row>
    <row r="934" spans="1:7">
      <c r="A934" t="s">
        <v>3748</v>
      </c>
      <c r="B934" s="1417" t="s">
        <v>1078</v>
      </c>
      <c r="C934" t="s">
        <v>1536</v>
      </c>
      <c r="D934" s="2885">
        <v>1005.8390000000001</v>
      </c>
      <c r="E934" s="2886">
        <v>163940</v>
      </c>
      <c r="F934" s="2886">
        <v>112843</v>
      </c>
      <c r="G934" s="2886">
        <v>31553</v>
      </c>
    </row>
    <row r="935" spans="1:7">
      <c r="A935" t="s">
        <v>6123</v>
      </c>
      <c r="B935" s="1417" t="s">
        <v>1079</v>
      </c>
      <c r="C935" t="s">
        <v>778</v>
      </c>
      <c r="D935" s="2885">
        <v>722.54399999999998</v>
      </c>
      <c r="E935" s="2886">
        <v>489904</v>
      </c>
      <c r="F935" s="2886">
        <v>0</v>
      </c>
      <c r="G935" s="2886">
        <v>182306</v>
      </c>
    </row>
    <row r="936" spans="1:7">
      <c r="A936" t="s">
        <v>6812</v>
      </c>
      <c r="B936" s="1417" t="s">
        <v>1080</v>
      </c>
      <c r="C936" t="s">
        <v>779</v>
      </c>
      <c r="D936" s="2885">
        <v>485.99600000000009</v>
      </c>
      <c r="E936" s="2886">
        <v>2944359</v>
      </c>
      <c r="F936" s="2886">
        <v>0</v>
      </c>
      <c r="G936" s="2886">
        <v>0</v>
      </c>
    </row>
    <row r="937" spans="1:7">
      <c r="A937" t="s">
        <v>6124</v>
      </c>
      <c r="B937" s="1417" t="s">
        <v>1081</v>
      </c>
      <c r="C937" t="s">
        <v>780</v>
      </c>
      <c r="D937" s="2885">
        <v>247.33500000000001</v>
      </c>
      <c r="E937" s="2886">
        <v>2120966</v>
      </c>
      <c r="F937" s="2886">
        <v>0</v>
      </c>
      <c r="G937" s="2886">
        <v>39555</v>
      </c>
    </row>
    <row r="938" spans="1:7">
      <c r="A938" t="s">
        <v>3749</v>
      </c>
      <c r="B938" s="1417" t="s">
        <v>56</v>
      </c>
      <c r="C938" t="s">
        <v>2472</v>
      </c>
      <c r="D938" s="2885">
        <v>399.96800000000002</v>
      </c>
      <c r="E938" s="2886">
        <v>209457</v>
      </c>
      <c r="F938" s="2886">
        <v>60797</v>
      </c>
      <c r="G938" s="2886">
        <v>101520</v>
      </c>
    </row>
    <row r="939" spans="1:7">
      <c r="A939" t="s">
        <v>3750</v>
      </c>
      <c r="B939" s="1417" t="s">
        <v>1544</v>
      </c>
      <c r="C939" t="s">
        <v>615</v>
      </c>
      <c r="D939" s="2885">
        <v>462.94800000000009</v>
      </c>
      <c r="E939" s="2886">
        <v>147399</v>
      </c>
      <c r="F939" s="2886">
        <v>121330</v>
      </c>
      <c r="G939" s="2886">
        <v>0</v>
      </c>
    </row>
    <row r="940" spans="1:7">
      <c r="A940" t="s">
        <v>3751</v>
      </c>
      <c r="B940" s="1417" t="s">
        <v>1521</v>
      </c>
      <c r="C940" t="s">
        <v>296</v>
      </c>
      <c r="D940" s="2885">
        <v>4159.8130000000001</v>
      </c>
      <c r="E940" s="2886">
        <v>1746608</v>
      </c>
      <c r="F940" s="2886">
        <v>1721653</v>
      </c>
      <c r="G940" s="2886">
        <v>297567</v>
      </c>
    </row>
    <row r="941" spans="1:7">
      <c r="A941" t="s">
        <v>6813</v>
      </c>
      <c r="B941" s="1417" t="s">
        <v>1319</v>
      </c>
      <c r="C941" t="s">
        <v>622</v>
      </c>
      <c r="D941" s="2885">
        <v>203.5</v>
      </c>
      <c r="E941" s="2886">
        <v>0</v>
      </c>
      <c r="F941" s="2886">
        <v>0</v>
      </c>
      <c r="G941" s="2886">
        <v>0</v>
      </c>
    </row>
    <row r="942" spans="1:7">
      <c r="A942" t="s">
        <v>3752</v>
      </c>
      <c r="B942" s="1417" t="s">
        <v>488</v>
      </c>
      <c r="C942" t="s">
        <v>2146</v>
      </c>
      <c r="D942" s="2885">
        <v>9700.4260000000013</v>
      </c>
      <c r="E942" s="2886">
        <v>1957712</v>
      </c>
      <c r="F942" s="2886">
        <v>1927888</v>
      </c>
      <c r="G942" s="2886">
        <v>0</v>
      </c>
    </row>
    <row r="943" spans="1:7">
      <c r="A943" t="s">
        <v>6125</v>
      </c>
      <c r="B943" s="1417" t="s">
        <v>831</v>
      </c>
      <c r="C943" t="s">
        <v>623</v>
      </c>
      <c r="D943" s="2885">
        <v>187.92</v>
      </c>
      <c r="E943" s="2886">
        <v>354852</v>
      </c>
      <c r="F943" s="2886">
        <v>0</v>
      </c>
      <c r="G943" s="2886">
        <v>124106</v>
      </c>
    </row>
    <row r="944" spans="1:7">
      <c r="A944" t="s">
        <v>3753</v>
      </c>
      <c r="B944" s="1417" t="s">
        <v>833</v>
      </c>
      <c r="C944" t="s">
        <v>1146</v>
      </c>
      <c r="D944" s="2885">
        <v>2059.9680000000003</v>
      </c>
      <c r="E944" s="2886">
        <v>2807666</v>
      </c>
      <c r="F944" s="2886">
        <v>802799</v>
      </c>
      <c r="G944" s="2886">
        <v>1418499</v>
      </c>
    </row>
    <row r="945" spans="1:7">
      <c r="A945" t="s">
        <v>6126</v>
      </c>
      <c r="B945" s="1417" t="s">
        <v>834</v>
      </c>
      <c r="C945" t="s">
        <v>888</v>
      </c>
      <c r="D945" s="2885">
        <v>900.51900000000001</v>
      </c>
      <c r="E945" s="2886">
        <v>300819</v>
      </c>
      <c r="F945" s="2886">
        <v>0</v>
      </c>
      <c r="G945" s="2886">
        <v>215511</v>
      </c>
    </row>
    <row r="946" spans="1:7">
      <c r="A946" t="s">
        <v>3754</v>
      </c>
      <c r="B946" s="1417" t="s">
        <v>1533</v>
      </c>
      <c r="C946" t="s">
        <v>864</v>
      </c>
      <c r="D946" s="2885">
        <v>1005.6260000000002</v>
      </c>
      <c r="E946" s="2886">
        <v>473151</v>
      </c>
      <c r="F946" s="2886">
        <v>179541</v>
      </c>
      <c r="G946" s="2886">
        <v>338113</v>
      </c>
    </row>
    <row r="947" spans="1:7">
      <c r="A947" t="s">
        <v>3755</v>
      </c>
      <c r="B947" s="1417" t="s">
        <v>1836</v>
      </c>
      <c r="C947" t="s">
        <v>2065</v>
      </c>
      <c r="D947" s="2885">
        <v>486.03300000000002</v>
      </c>
      <c r="E947" s="2886">
        <v>140834</v>
      </c>
      <c r="F947" s="2886">
        <v>118577</v>
      </c>
      <c r="G947" s="2886">
        <v>19542</v>
      </c>
    </row>
    <row r="948" spans="1:7">
      <c r="A948" t="s">
        <v>3756</v>
      </c>
      <c r="B948" s="1417" t="s">
        <v>835</v>
      </c>
      <c r="C948" t="s">
        <v>1147</v>
      </c>
      <c r="D948" s="2885">
        <v>2208.0419999999999</v>
      </c>
      <c r="E948" s="2886">
        <v>2057270</v>
      </c>
      <c r="F948" s="2886">
        <v>448210</v>
      </c>
      <c r="G948" s="2886">
        <v>1183492</v>
      </c>
    </row>
    <row r="949" spans="1:7">
      <c r="A949" t="s">
        <v>6127</v>
      </c>
      <c r="B949" s="1417" t="s">
        <v>836</v>
      </c>
      <c r="C949" t="s">
        <v>2081</v>
      </c>
      <c r="D949" s="2885">
        <v>2215.8980000000001</v>
      </c>
      <c r="E949" s="2886">
        <v>20355</v>
      </c>
      <c r="F949" s="2886">
        <v>0</v>
      </c>
      <c r="G949" s="2886">
        <v>484612</v>
      </c>
    </row>
    <row r="950" spans="1:7">
      <c r="A950" t="s">
        <v>3757</v>
      </c>
      <c r="B950" s="1417" t="s">
        <v>1426</v>
      </c>
      <c r="C950" t="s">
        <v>1478</v>
      </c>
      <c r="D950" s="2885">
        <v>373.85599999999999</v>
      </c>
      <c r="E950" s="2886">
        <v>26</v>
      </c>
      <c r="F950" s="2886">
        <v>55852</v>
      </c>
      <c r="G950" s="2886">
        <v>0</v>
      </c>
    </row>
    <row r="951" spans="1:7">
      <c r="A951" t="s">
        <v>3758</v>
      </c>
      <c r="B951" s="1417" t="s">
        <v>877</v>
      </c>
      <c r="C951" t="s">
        <v>1344</v>
      </c>
      <c r="D951" s="2885">
        <v>801.52800000000002</v>
      </c>
      <c r="E951" s="2886">
        <v>585993</v>
      </c>
      <c r="F951" s="2886">
        <v>399637</v>
      </c>
      <c r="G951" s="2886">
        <v>243471</v>
      </c>
    </row>
    <row r="952" spans="1:7">
      <c r="A952" t="s">
        <v>3759</v>
      </c>
      <c r="B952" s="1417" t="s">
        <v>340</v>
      </c>
      <c r="C952" t="s">
        <v>134</v>
      </c>
      <c r="D952" s="2885">
        <v>13235.784</v>
      </c>
      <c r="E952" s="2886">
        <v>12793004</v>
      </c>
      <c r="F952" s="2886">
        <v>4776972</v>
      </c>
      <c r="G952" s="2886">
        <v>7236788</v>
      </c>
    </row>
    <row r="953" spans="1:7">
      <c r="A953" t="s">
        <v>6128</v>
      </c>
      <c r="B953" s="1417" t="s">
        <v>2597</v>
      </c>
      <c r="C953" t="s">
        <v>2082</v>
      </c>
      <c r="D953" s="2885">
        <v>100.089</v>
      </c>
      <c r="E953" s="2886">
        <v>211308</v>
      </c>
      <c r="F953" s="2886">
        <v>0</v>
      </c>
      <c r="G953" s="2886">
        <v>40193</v>
      </c>
    </row>
    <row r="954" spans="1:7">
      <c r="A954" t="s">
        <v>3760</v>
      </c>
      <c r="B954" s="1417" t="s">
        <v>1022</v>
      </c>
      <c r="C954" t="s">
        <v>1144</v>
      </c>
      <c r="D954" s="2885">
        <v>963.78700000000003</v>
      </c>
      <c r="E954" s="2886">
        <v>564552</v>
      </c>
      <c r="F954" s="2886">
        <v>373983</v>
      </c>
      <c r="G954" s="2886">
        <v>156534</v>
      </c>
    </row>
    <row r="955" spans="1:7">
      <c r="A955" t="s">
        <v>3761</v>
      </c>
      <c r="B955" s="1417" t="s">
        <v>1156</v>
      </c>
      <c r="C955" t="s">
        <v>93</v>
      </c>
      <c r="D955" s="2885">
        <v>6598.375</v>
      </c>
      <c r="E955" s="2886">
        <v>3324967</v>
      </c>
      <c r="F955" s="2886">
        <v>0</v>
      </c>
      <c r="G955" s="2886">
        <v>2006406</v>
      </c>
    </row>
    <row r="956" spans="1:7">
      <c r="A956" t="s">
        <v>3762</v>
      </c>
      <c r="B956" s="1417" t="s">
        <v>276</v>
      </c>
      <c r="C956" t="s">
        <v>2371</v>
      </c>
      <c r="D956" s="2885">
        <v>1447.2</v>
      </c>
      <c r="E956" s="2886">
        <v>1077669</v>
      </c>
      <c r="F956" s="2886">
        <v>616971</v>
      </c>
      <c r="G956" s="2886">
        <v>744226</v>
      </c>
    </row>
    <row r="957" spans="1:7">
      <c r="A957" t="s">
        <v>3763</v>
      </c>
      <c r="B957" s="1417" t="s">
        <v>277</v>
      </c>
      <c r="C957" t="s">
        <v>138</v>
      </c>
      <c r="D957" s="2885">
        <v>6455.4010000000017</v>
      </c>
      <c r="E957" s="2886">
        <v>10553331</v>
      </c>
      <c r="F957" s="2886">
        <v>2189247</v>
      </c>
      <c r="G957" s="2886">
        <v>3065285</v>
      </c>
    </row>
    <row r="958" spans="1:7">
      <c r="A958" t="s">
        <v>3764</v>
      </c>
      <c r="B958" s="1417" t="s">
        <v>624</v>
      </c>
      <c r="C958" t="s">
        <v>94</v>
      </c>
      <c r="D958" s="2885">
        <v>2164.9690000000001</v>
      </c>
      <c r="E958" s="2886">
        <v>5101159</v>
      </c>
      <c r="F958" s="2886">
        <v>472482</v>
      </c>
      <c r="G958" s="2886">
        <v>2197444</v>
      </c>
    </row>
    <row r="959" spans="1:7">
      <c r="A959" t="s">
        <v>6129</v>
      </c>
      <c r="B959" s="1417" t="s">
        <v>625</v>
      </c>
      <c r="C959" t="s">
        <v>887</v>
      </c>
      <c r="D959" s="2885">
        <v>2161.8310000000001</v>
      </c>
      <c r="E959" s="2886">
        <v>2085092</v>
      </c>
      <c r="F959" s="2886">
        <v>0</v>
      </c>
      <c r="G959" s="2886">
        <v>1354659</v>
      </c>
    </row>
    <row r="960" spans="1:7">
      <c r="A960" t="s">
        <v>6814</v>
      </c>
      <c r="B960" s="1417" t="s">
        <v>626</v>
      </c>
      <c r="C960" t="s">
        <v>1216</v>
      </c>
      <c r="D960" s="2885">
        <v>130.77000000000001</v>
      </c>
      <c r="E960" s="2886">
        <v>727339</v>
      </c>
      <c r="F960" s="2886">
        <v>0</v>
      </c>
      <c r="G960" s="2886">
        <v>0</v>
      </c>
    </row>
    <row r="961" spans="1:7">
      <c r="A961" t="s">
        <v>6130</v>
      </c>
      <c r="B961" s="1417" t="s">
        <v>2339</v>
      </c>
      <c r="C961" t="s">
        <v>1217</v>
      </c>
      <c r="D961" s="2885">
        <v>4597.1930000000002</v>
      </c>
      <c r="E961" s="2886">
        <v>2336575</v>
      </c>
      <c r="F961" s="2886">
        <v>0</v>
      </c>
      <c r="G961" s="2886">
        <v>1716658</v>
      </c>
    </row>
    <row r="962" spans="1:7">
      <c r="A962" t="s">
        <v>6131</v>
      </c>
      <c r="B962" s="1417" t="s">
        <v>2340</v>
      </c>
      <c r="C962" t="s">
        <v>1218</v>
      </c>
      <c r="D962" s="2885">
        <v>421.90800000000002</v>
      </c>
      <c r="E962" s="2886">
        <v>489031</v>
      </c>
      <c r="F962" s="2886">
        <v>0</v>
      </c>
      <c r="G962" s="2886">
        <v>200794</v>
      </c>
    </row>
    <row r="963" spans="1:7">
      <c r="A963" t="s">
        <v>3765</v>
      </c>
      <c r="B963" s="1417" t="s">
        <v>1768</v>
      </c>
      <c r="C963" t="s">
        <v>2345</v>
      </c>
      <c r="D963" s="2885">
        <v>21961.957999999999</v>
      </c>
      <c r="E963" s="2886">
        <v>7214771</v>
      </c>
      <c r="F963" s="2886">
        <v>4545876</v>
      </c>
      <c r="G963" s="2886">
        <v>2576022</v>
      </c>
    </row>
    <row r="964" spans="1:7">
      <c r="A964" t="s">
        <v>3766</v>
      </c>
      <c r="B964" s="1417" t="s">
        <v>1520</v>
      </c>
      <c r="C964" t="s">
        <v>2362</v>
      </c>
      <c r="D964" s="2885">
        <v>40587.752999999997</v>
      </c>
      <c r="E964" s="2886">
        <v>25617931</v>
      </c>
      <c r="F964" s="2886">
        <v>3960617</v>
      </c>
      <c r="G964" s="2886">
        <v>24082457</v>
      </c>
    </row>
    <row r="965" spans="1:7">
      <c r="A965" t="s">
        <v>6132</v>
      </c>
      <c r="B965" s="1417" t="s">
        <v>927</v>
      </c>
      <c r="C965" t="s">
        <v>2337</v>
      </c>
      <c r="D965" s="2885">
        <v>275.43900000000002</v>
      </c>
      <c r="E965" s="2886">
        <v>1001673</v>
      </c>
      <c r="F965" s="2886">
        <v>0</v>
      </c>
      <c r="G965" s="2886">
        <v>0</v>
      </c>
    </row>
    <row r="966" spans="1:7">
      <c r="A966" t="s">
        <v>6815</v>
      </c>
      <c r="B966" s="1417" t="s">
        <v>928</v>
      </c>
      <c r="C966" t="s">
        <v>1220</v>
      </c>
      <c r="D966" s="2885">
        <v>1068.0840000000001</v>
      </c>
      <c r="E966" s="2886">
        <v>0</v>
      </c>
      <c r="F966" s="2886">
        <v>0</v>
      </c>
      <c r="G966" s="2886">
        <v>0</v>
      </c>
    </row>
    <row r="967" spans="1:7">
      <c r="A967" t="s">
        <v>6133</v>
      </c>
      <c r="B967" s="1417" t="s">
        <v>929</v>
      </c>
      <c r="C967" t="s">
        <v>1221</v>
      </c>
      <c r="D967" s="2885">
        <v>956.09300000000019</v>
      </c>
      <c r="E967" s="2886">
        <v>221345</v>
      </c>
      <c r="F967" s="2886">
        <v>0</v>
      </c>
      <c r="G967" s="2886">
        <v>205574</v>
      </c>
    </row>
    <row r="968" spans="1:7">
      <c r="A968" t="s">
        <v>6134</v>
      </c>
      <c r="B968" s="1417" t="s">
        <v>571</v>
      </c>
      <c r="C968" t="s">
        <v>1222</v>
      </c>
      <c r="D968" s="2885">
        <v>3387.6729999999998</v>
      </c>
      <c r="E968" s="2886">
        <v>333176</v>
      </c>
      <c r="F968" s="2886">
        <v>0</v>
      </c>
      <c r="G968" s="2886">
        <v>1646885</v>
      </c>
    </row>
    <row r="969" spans="1:7">
      <c r="A969" t="s">
        <v>6135</v>
      </c>
      <c r="B969" s="1417" t="s">
        <v>902</v>
      </c>
      <c r="C969" t="s">
        <v>1223</v>
      </c>
      <c r="D969" s="2885">
        <v>2029.8789999999999</v>
      </c>
      <c r="E969" s="2886">
        <v>287405</v>
      </c>
      <c r="F969" s="2886">
        <v>0</v>
      </c>
      <c r="G969" s="2886">
        <v>1410150</v>
      </c>
    </row>
    <row r="970" spans="1:7">
      <c r="A970" t="s">
        <v>6136</v>
      </c>
      <c r="B970" s="1417" t="s">
        <v>903</v>
      </c>
      <c r="C970" t="s">
        <v>1224</v>
      </c>
      <c r="D970" s="2885">
        <v>450.45800000000003</v>
      </c>
      <c r="E970" s="2886">
        <v>1676</v>
      </c>
      <c r="F970" s="2886">
        <v>0</v>
      </c>
      <c r="G970" s="2886">
        <v>0</v>
      </c>
    </row>
    <row r="971" spans="1:7">
      <c r="A971" t="s">
        <v>6816</v>
      </c>
      <c r="B971" s="1417" t="s">
        <v>904</v>
      </c>
      <c r="C971" t="s">
        <v>1225</v>
      </c>
      <c r="D971" s="2885">
        <v>370.226</v>
      </c>
      <c r="E971" s="2886">
        <v>0</v>
      </c>
      <c r="F971" s="2886">
        <v>0</v>
      </c>
      <c r="G971" s="2886">
        <v>0</v>
      </c>
    </row>
    <row r="972" spans="1:7">
      <c r="A972" t="s">
        <v>6137</v>
      </c>
      <c r="B972" s="1417" t="s">
        <v>905</v>
      </c>
      <c r="C972" t="s">
        <v>1226</v>
      </c>
      <c r="D972" s="2885">
        <v>411.41</v>
      </c>
      <c r="E972" s="2886">
        <v>398864</v>
      </c>
      <c r="F972" s="2886">
        <v>0</v>
      </c>
      <c r="G972" s="2886">
        <v>188332</v>
      </c>
    </row>
    <row r="973" spans="1:7">
      <c r="A973" t="s">
        <v>6817</v>
      </c>
      <c r="B973" s="1417" t="s">
        <v>1724</v>
      </c>
      <c r="C973" t="s">
        <v>1227</v>
      </c>
      <c r="D973" s="2885">
        <v>97.275000000000006</v>
      </c>
      <c r="E973" s="2886">
        <v>0</v>
      </c>
      <c r="F973" s="2886">
        <v>0</v>
      </c>
      <c r="G973" s="2886">
        <v>0</v>
      </c>
    </row>
    <row r="974" spans="1:7">
      <c r="A974" t="s">
        <v>6138</v>
      </c>
      <c r="B974" s="1417" t="s">
        <v>2319</v>
      </c>
      <c r="C974" t="s">
        <v>1228</v>
      </c>
      <c r="D974" s="2885">
        <v>143.77600000000001</v>
      </c>
      <c r="E974" s="2886">
        <v>729540</v>
      </c>
      <c r="F974" s="2886">
        <v>0</v>
      </c>
      <c r="G974" s="2886">
        <v>0</v>
      </c>
    </row>
    <row r="975" spans="1:7">
      <c r="A975" t="s">
        <v>3767</v>
      </c>
      <c r="B975" s="1417" t="s">
        <v>884</v>
      </c>
      <c r="C975" t="s">
        <v>1448</v>
      </c>
      <c r="D975" s="2885">
        <v>3030.364</v>
      </c>
      <c r="E975" s="2886">
        <v>2766517</v>
      </c>
      <c r="F975" s="2886">
        <v>1186379</v>
      </c>
      <c r="G975" s="2886">
        <v>480117</v>
      </c>
    </row>
    <row r="976" spans="1:7">
      <c r="A976" t="s">
        <v>6139</v>
      </c>
      <c r="B976" s="1417" t="s">
        <v>1255</v>
      </c>
      <c r="C976" t="s">
        <v>1607</v>
      </c>
      <c r="D976" s="2885">
        <v>378.911</v>
      </c>
      <c r="E976" s="2886">
        <v>859878</v>
      </c>
      <c r="F976" s="2886">
        <v>0</v>
      </c>
      <c r="G976" s="2886">
        <v>350424</v>
      </c>
    </row>
    <row r="977" spans="1:7">
      <c r="A977" t="s">
        <v>6140</v>
      </c>
      <c r="B977" s="1417" t="s">
        <v>642</v>
      </c>
      <c r="C977" t="s">
        <v>2338</v>
      </c>
      <c r="D977" s="2885">
        <v>1724.8</v>
      </c>
      <c r="E977" s="2886">
        <v>845010</v>
      </c>
      <c r="F977" s="2886">
        <v>194395</v>
      </c>
      <c r="G977" s="2886">
        <v>1120724</v>
      </c>
    </row>
    <row r="978" spans="1:7">
      <c r="A978" t="s">
        <v>3768</v>
      </c>
      <c r="B978" s="1417" t="s">
        <v>1827</v>
      </c>
      <c r="C978" t="s">
        <v>1609</v>
      </c>
      <c r="D978" s="2885">
        <v>13035.539000000001</v>
      </c>
      <c r="E978" s="2886">
        <v>7889451</v>
      </c>
      <c r="F978" s="2886">
        <v>3133987</v>
      </c>
      <c r="G978" s="2886">
        <v>945530</v>
      </c>
    </row>
    <row r="979" spans="1:7">
      <c r="A979" t="s">
        <v>3769</v>
      </c>
      <c r="B979" s="1417" t="s">
        <v>573</v>
      </c>
      <c r="C979" t="s">
        <v>1162</v>
      </c>
      <c r="D979" s="2885">
        <v>945.80100000000004</v>
      </c>
      <c r="E979" s="2886">
        <v>442503</v>
      </c>
      <c r="F979" s="2886">
        <v>181401</v>
      </c>
      <c r="G979" s="2886">
        <v>194304</v>
      </c>
    </row>
    <row r="980" spans="1:7">
      <c r="A980" t="s">
        <v>6818</v>
      </c>
      <c r="B980" s="1417" t="s">
        <v>1358</v>
      </c>
      <c r="C980" t="s">
        <v>1610</v>
      </c>
      <c r="D980" s="2885">
        <v>113.86200000000002</v>
      </c>
      <c r="E980" s="2886">
        <v>0</v>
      </c>
      <c r="F980" s="2886">
        <v>0</v>
      </c>
      <c r="G980" s="2886">
        <v>0</v>
      </c>
    </row>
    <row r="981" spans="1:7">
      <c r="A981" t="s">
        <v>6141</v>
      </c>
      <c r="B981" s="1417" t="s">
        <v>9</v>
      </c>
      <c r="C981" t="s">
        <v>1611</v>
      </c>
      <c r="D981" s="2885">
        <v>1886.402</v>
      </c>
      <c r="E981" s="2886">
        <v>616461</v>
      </c>
      <c r="F981" s="2886">
        <v>0</v>
      </c>
      <c r="G981" s="2886">
        <v>578900</v>
      </c>
    </row>
    <row r="982" spans="1:7">
      <c r="A982" t="s">
        <v>3770</v>
      </c>
      <c r="B982" s="1417" t="s">
        <v>10</v>
      </c>
      <c r="C982" t="s">
        <v>2289</v>
      </c>
      <c r="D982" s="2885">
        <v>204.55800000000005</v>
      </c>
      <c r="E982" s="2886">
        <v>61083</v>
      </c>
      <c r="F982" s="2886">
        <v>64244</v>
      </c>
      <c r="G982" s="2886">
        <v>31903</v>
      </c>
    </row>
    <row r="983" spans="1:7">
      <c r="A983" t="s">
        <v>3771</v>
      </c>
      <c r="B983" s="1417" t="s">
        <v>1503</v>
      </c>
      <c r="C983" t="s">
        <v>2346</v>
      </c>
      <c r="D983" s="2885">
        <v>414.202</v>
      </c>
      <c r="E983" s="2886">
        <v>74119</v>
      </c>
      <c r="F983" s="2886">
        <v>109789</v>
      </c>
      <c r="G983" s="2886">
        <v>9363</v>
      </c>
    </row>
    <row r="984" spans="1:7">
      <c r="A984" t="s">
        <v>3772</v>
      </c>
      <c r="B984" s="1417" t="s">
        <v>2089</v>
      </c>
      <c r="C984" t="s">
        <v>840</v>
      </c>
      <c r="D984" s="2885">
        <v>1442.5020000000004</v>
      </c>
      <c r="E984" s="2886">
        <v>567062</v>
      </c>
      <c r="F984" s="2886">
        <v>718973</v>
      </c>
      <c r="G984" s="2886">
        <v>71554</v>
      </c>
    </row>
    <row r="985" spans="1:7">
      <c r="A985" t="s">
        <v>3773</v>
      </c>
      <c r="B985" s="1417" t="s">
        <v>425</v>
      </c>
      <c r="C985" t="s">
        <v>78</v>
      </c>
      <c r="D985" s="2885">
        <v>1840.837</v>
      </c>
      <c r="E985" s="2886">
        <v>717451</v>
      </c>
      <c r="F985" s="2886">
        <v>1003189</v>
      </c>
      <c r="G985" s="2886">
        <v>37608</v>
      </c>
    </row>
    <row r="986" spans="1:7">
      <c r="A986" t="s">
        <v>3774</v>
      </c>
      <c r="B986" s="1417" t="s">
        <v>278</v>
      </c>
      <c r="C986" t="s">
        <v>534</v>
      </c>
      <c r="D986" s="2885">
        <v>249.75800000000001</v>
      </c>
      <c r="E986" s="2886">
        <v>289753</v>
      </c>
      <c r="F986" s="2886">
        <v>232440</v>
      </c>
      <c r="G986" s="2886">
        <v>56600</v>
      </c>
    </row>
    <row r="987" spans="1:7">
      <c r="A987" t="s">
        <v>3775</v>
      </c>
      <c r="B987" s="1417" t="s">
        <v>1338</v>
      </c>
      <c r="C987" t="s">
        <v>109</v>
      </c>
      <c r="D987" s="2885">
        <v>952.57100000000003</v>
      </c>
      <c r="E987" s="2886">
        <v>641216</v>
      </c>
      <c r="F987" s="2886">
        <v>207835</v>
      </c>
      <c r="G987" s="2886">
        <v>439242</v>
      </c>
    </row>
    <row r="988" spans="1:7">
      <c r="A988" t="s">
        <v>3776</v>
      </c>
      <c r="B988" s="1417" t="s">
        <v>2580</v>
      </c>
      <c r="C988" t="s">
        <v>2321</v>
      </c>
      <c r="D988" s="2885">
        <v>10695.031000000003</v>
      </c>
      <c r="E988" s="2886">
        <v>26011351</v>
      </c>
      <c r="F988" s="2886">
        <v>1703750</v>
      </c>
      <c r="G988" s="2886">
        <v>10855456</v>
      </c>
    </row>
    <row r="989" spans="1:7">
      <c r="A989" t="s">
        <v>3777</v>
      </c>
      <c r="B989" s="1417" t="s">
        <v>1799</v>
      </c>
      <c r="C989" t="s">
        <v>1018</v>
      </c>
      <c r="D989" s="2885">
        <v>401.83300000000003</v>
      </c>
      <c r="E989" s="2886">
        <v>91242</v>
      </c>
      <c r="F989" s="2886">
        <v>59930</v>
      </c>
      <c r="G989" s="2886">
        <v>0</v>
      </c>
    </row>
    <row r="990" spans="1:7">
      <c r="A990" t="s">
        <v>3778</v>
      </c>
      <c r="B990" s="1417" t="s">
        <v>40</v>
      </c>
      <c r="C990" t="s">
        <v>1268</v>
      </c>
      <c r="D990" s="2885">
        <v>6588.1629999999996</v>
      </c>
      <c r="E990" s="2886">
        <v>11547546</v>
      </c>
      <c r="F990" s="2886">
        <v>1707650</v>
      </c>
      <c r="G990" s="2886">
        <v>5787455</v>
      </c>
    </row>
    <row r="991" spans="1:7">
      <c r="A991" t="s">
        <v>6142</v>
      </c>
      <c r="B991" s="1417" t="s">
        <v>11</v>
      </c>
      <c r="C991" t="s">
        <v>1612</v>
      </c>
      <c r="D991" s="2885">
        <v>1414.489</v>
      </c>
      <c r="E991" s="2886">
        <v>3150196</v>
      </c>
      <c r="F991" s="2886">
        <v>0</v>
      </c>
      <c r="G991" s="2886">
        <v>1435706</v>
      </c>
    </row>
    <row r="992" spans="1:7">
      <c r="A992" t="s">
        <v>3779</v>
      </c>
      <c r="B992" s="1417" t="s">
        <v>1771</v>
      </c>
      <c r="C992" t="s">
        <v>2467</v>
      </c>
      <c r="D992" s="2885">
        <v>3506.1480000000001</v>
      </c>
      <c r="E992" s="2886">
        <v>8484376</v>
      </c>
      <c r="F992" s="2886">
        <v>293067</v>
      </c>
      <c r="G992" s="2886">
        <v>3558740</v>
      </c>
    </row>
    <row r="993" spans="1:7">
      <c r="A993" t="s">
        <v>5691</v>
      </c>
      <c r="B993" s="1417" t="s">
        <v>1310</v>
      </c>
      <c r="C993" t="s">
        <v>611</v>
      </c>
      <c r="D993" s="2885">
        <v>45922.608</v>
      </c>
      <c r="E993" s="2886">
        <v>87880848</v>
      </c>
      <c r="F993" s="2886">
        <v>0</v>
      </c>
      <c r="G993" s="2886">
        <v>46611447</v>
      </c>
    </row>
    <row r="994" spans="1:7">
      <c r="A994" t="s">
        <v>3780</v>
      </c>
      <c r="B994" s="1417" t="s">
        <v>1545</v>
      </c>
      <c r="C994" t="s">
        <v>602</v>
      </c>
      <c r="D994" s="2885">
        <v>2951.462</v>
      </c>
      <c r="E994" s="2886">
        <v>3669498</v>
      </c>
      <c r="F994" s="2886">
        <v>406078</v>
      </c>
      <c r="G994" s="2886">
        <v>2546135</v>
      </c>
    </row>
    <row r="995" spans="1:7">
      <c r="A995" t="s">
        <v>3781</v>
      </c>
      <c r="B995" s="1417" t="s">
        <v>1515</v>
      </c>
      <c r="C995" t="s">
        <v>604</v>
      </c>
      <c r="D995" s="2885">
        <v>630.18499999999995</v>
      </c>
      <c r="E995" s="2886">
        <v>462785</v>
      </c>
      <c r="F995" s="2886">
        <v>225352</v>
      </c>
      <c r="G995" s="2886">
        <v>180677</v>
      </c>
    </row>
    <row r="996" spans="1:7">
      <c r="A996" t="s">
        <v>3782</v>
      </c>
      <c r="B996" s="1417" t="s">
        <v>1769</v>
      </c>
      <c r="C996" t="s">
        <v>2465</v>
      </c>
      <c r="D996" s="2885">
        <v>36529.302000000011</v>
      </c>
      <c r="E996" s="2886">
        <v>95836402</v>
      </c>
      <c r="F996" s="2886">
        <v>109160</v>
      </c>
      <c r="G996" s="2886">
        <v>37077242</v>
      </c>
    </row>
    <row r="997" spans="1:7">
      <c r="A997" t="s">
        <v>6819</v>
      </c>
      <c r="B997" s="1417" t="s">
        <v>12</v>
      </c>
      <c r="C997" t="s">
        <v>1613</v>
      </c>
      <c r="D997" s="2885">
        <v>157.70000000000005</v>
      </c>
      <c r="E997" s="2886">
        <v>0</v>
      </c>
      <c r="F997" s="2886">
        <v>0</v>
      </c>
      <c r="G997" s="2886">
        <v>0</v>
      </c>
    </row>
    <row r="998" spans="1:7">
      <c r="A998" t="s">
        <v>3783</v>
      </c>
      <c r="B998" s="1417" t="s">
        <v>2455</v>
      </c>
      <c r="C998" t="s">
        <v>110</v>
      </c>
      <c r="D998" s="2885">
        <v>3677.2940000000008</v>
      </c>
      <c r="E998" s="2886">
        <v>4885676</v>
      </c>
      <c r="F998" s="2886">
        <v>1533489</v>
      </c>
      <c r="G998" s="2886">
        <v>3183540</v>
      </c>
    </row>
    <row r="999" spans="1:7">
      <c r="A999" t="s">
        <v>3784</v>
      </c>
      <c r="B999" s="1417" t="s">
        <v>59</v>
      </c>
      <c r="C999" t="s">
        <v>1900</v>
      </c>
      <c r="D999" s="2885">
        <v>3088.4290000000001</v>
      </c>
      <c r="E999" s="2886">
        <v>3352681</v>
      </c>
      <c r="F999" s="2886">
        <v>1203727</v>
      </c>
      <c r="G999" s="2886">
        <v>1602563</v>
      </c>
    </row>
    <row r="1000" spans="1:7">
      <c r="A1000" t="s">
        <v>3785</v>
      </c>
      <c r="B1000" s="1417" t="s">
        <v>2456</v>
      </c>
      <c r="C1000" t="s">
        <v>1005</v>
      </c>
      <c r="D1000" s="2885">
        <v>789.90300000000002</v>
      </c>
      <c r="E1000" s="2886">
        <v>445447</v>
      </c>
      <c r="F1000" s="2886">
        <v>143900</v>
      </c>
      <c r="G1000" s="2886">
        <v>162100</v>
      </c>
    </row>
    <row r="1001" spans="1:7">
      <c r="A1001" t="s">
        <v>3786</v>
      </c>
      <c r="B1001" s="1417" t="s">
        <v>1512</v>
      </c>
      <c r="C1001" t="s">
        <v>1941</v>
      </c>
      <c r="D1001" s="2885">
        <v>748.101</v>
      </c>
      <c r="E1001" s="2886">
        <v>603033</v>
      </c>
      <c r="F1001" s="2886">
        <v>417922</v>
      </c>
      <c r="G1001" s="2886">
        <v>178427</v>
      </c>
    </row>
    <row r="1002" spans="1:7">
      <c r="A1002" t="s">
        <v>6143</v>
      </c>
      <c r="B1002" s="1417" t="s">
        <v>1174</v>
      </c>
      <c r="C1002" t="s">
        <v>1614</v>
      </c>
      <c r="D1002" s="2885">
        <v>1263.97</v>
      </c>
      <c r="E1002" s="2886">
        <v>1933486</v>
      </c>
      <c r="F1002" s="2886">
        <v>0</v>
      </c>
      <c r="G1002" s="2886">
        <v>1121600</v>
      </c>
    </row>
    <row r="1003" spans="1:7">
      <c r="A1003" t="s">
        <v>6144</v>
      </c>
      <c r="B1003" s="1417" t="s">
        <v>1175</v>
      </c>
      <c r="C1003" t="s">
        <v>1615</v>
      </c>
      <c r="D1003" s="2885">
        <v>389.96800000000002</v>
      </c>
      <c r="E1003" s="2886">
        <v>4735292</v>
      </c>
      <c r="F1003" s="2886">
        <v>0</v>
      </c>
      <c r="G1003" s="2886">
        <v>395818</v>
      </c>
    </row>
    <row r="1004" spans="1:7">
      <c r="A1004" t="s">
        <v>3787</v>
      </c>
      <c r="B1004" s="1417" t="s">
        <v>196</v>
      </c>
      <c r="C1004" t="s">
        <v>1053</v>
      </c>
      <c r="D1004" s="2885">
        <v>674.54</v>
      </c>
      <c r="E1004" s="2886">
        <v>625959</v>
      </c>
      <c r="F1004" s="2886">
        <v>415127</v>
      </c>
      <c r="G1004" s="2886">
        <v>194821</v>
      </c>
    </row>
    <row r="1005" spans="1:7">
      <c r="A1005" t="s">
        <v>6145</v>
      </c>
      <c r="B1005" s="1417" t="s">
        <v>800</v>
      </c>
      <c r="C1005" t="s">
        <v>1616</v>
      </c>
      <c r="D1005" s="2885">
        <v>1151.3340000000001</v>
      </c>
      <c r="E1005" s="2886">
        <v>1462077</v>
      </c>
      <c r="F1005" s="2886">
        <v>0</v>
      </c>
      <c r="G1005" s="2886">
        <v>806619</v>
      </c>
    </row>
    <row r="1006" spans="1:7">
      <c r="A1006" t="s">
        <v>6146</v>
      </c>
      <c r="B1006" s="1417" t="s">
        <v>2176</v>
      </c>
      <c r="C1006" t="s">
        <v>1617</v>
      </c>
      <c r="D1006" s="2885">
        <v>1959.0930000000001</v>
      </c>
      <c r="E1006" s="2886">
        <v>2550955</v>
      </c>
      <c r="F1006" s="2886">
        <v>0</v>
      </c>
      <c r="G1006" s="2886">
        <v>1414077</v>
      </c>
    </row>
    <row r="1007" spans="1:7">
      <c r="A1007" t="s">
        <v>6147</v>
      </c>
      <c r="B1007" s="1417" t="s">
        <v>2424</v>
      </c>
      <c r="C1007" t="s">
        <v>1618</v>
      </c>
      <c r="D1007" s="2885">
        <v>559.26600000000008</v>
      </c>
      <c r="E1007" s="2886">
        <v>1086628</v>
      </c>
      <c r="F1007" s="2886">
        <v>0</v>
      </c>
      <c r="G1007" s="2886">
        <v>374364</v>
      </c>
    </row>
    <row r="1008" spans="1:7">
      <c r="A1008" t="s">
        <v>6148</v>
      </c>
      <c r="B1008" s="1417" t="s">
        <v>2425</v>
      </c>
      <c r="C1008" t="s">
        <v>1619</v>
      </c>
      <c r="D1008" s="2885">
        <v>3007.2530000000002</v>
      </c>
      <c r="E1008" s="2886">
        <v>5536644</v>
      </c>
      <c r="F1008" s="2886">
        <v>0</v>
      </c>
      <c r="G1008" s="2886">
        <v>2660196</v>
      </c>
    </row>
    <row r="1009" spans="1:7">
      <c r="A1009" t="s">
        <v>3788</v>
      </c>
      <c r="B1009" s="1417" t="s">
        <v>2022</v>
      </c>
      <c r="C1009" t="s">
        <v>1365</v>
      </c>
      <c r="D1009" s="2885">
        <v>1108.2280000000001</v>
      </c>
      <c r="E1009" s="2886">
        <v>1058220</v>
      </c>
      <c r="F1009" s="2886">
        <v>404385</v>
      </c>
      <c r="G1009" s="2886">
        <v>735365</v>
      </c>
    </row>
    <row r="1010" spans="1:7">
      <c r="A1010" t="s">
        <v>3789</v>
      </c>
      <c r="B1010" s="1417" t="s">
        <v>1150</v>
      </c>
      <c r="C1010" t="s">
        <v>1927</v>
      </c>
      <c r="D1010" s="2885">
        <v>234.55</v>
      </c>
      <c r="E1010" s="2886">
        <v>193045</v>
      </c>
      <c r="F1010" s="2886">
        <v>174593</v>
      </c>
      <c r="G1010" s="2886">
        <v>6743</v>
      </c>
    </row>
    <row r="1011" spans="1:7">
      <c r="A1011" t="s">
        <v>6149</v>
      </c>
      <c r="B1011" s="1417" t="s">
        <v>2229</v>
      </c>
      <c r="C1011" t="s">
        <v>1620</v>
      </c>
      <c r="D1011" s="2885">
        <v>662.25400000000002</v>
      </c>
      <c r="E1011" s="2886">
        <v>1710049</v>
      </c>
      <c r="F1011" s="2886">
        <v>0</v>
      </c>
      <c r="G1011" s="2886">
        <v>543969</v>
      </c>
    </row>
    <row r="1012" spans="1:7">
      <c r="A1012" t="s">
        <v>6820</v>
      </c>
      <c r="B1012" s="1417" t="s">
        <v>2230</v>
      </c>
      <c r="C1012" t="s">
        <v>1621</v>
      </c>
      <c r="D1012" s="2885">
        <v>1506.796</v>
      </c>
      <c r="E1012" s="2886">
        <v>0</v>
      </c>
      <c r="F1012" s="2886">
        <v>0</v>
      </c>
      <c r="G1012" s="2886">
        <v>0</v>
      </c>
    </row>
    <row r="1013" spans="1:7">
      <c r="A1013" t="s">
        <v>6150</v>
      </c>
      <c r="B1013" s="1417" t="s">
        <v>2575</v>
      </c>
      <c r="C1013" t="s">
        <v>24</v>
      </c>
      <c r="D1013" s="2885">
        <v>1038.0140000000001</v>
      </c>
      <c r="E1013" s="2886">
        <v>126132</v>
      </c>
      <c r="F1013" s="2886">
        <v>0</v>
      </c>
      <c r="G1013" s="2886">
        <v>259928</v>
      </c>
    </row>
    <row r="1014" spans="1:7">
      <c r="A1014" t="s">
        <v>6151</v>
      </c>
      <c r="B1014" s="1417" t="s">
        <v>2576</v>
      </c>
      <c r="C1014" t="s">
        <v>1370</v>
      </c>
      <c r="D1014" s="2885">
        <v>344.03700000000009</v>
      </c>
      <c r="E1014" s="2886">
        <v>2892</v>
      </c>
      <c r="F1014" s="2886">
        <v>0</v>
      </c>
      <c r="G1014" s="2886">
        <v>110461</v>
      </c>
    </row>
    <row r="1015" spans="1:7">
      <c r="A1015" t="s">
        <v>6152</v>
      </c>
      <c r="B1015" s="1417" t="s">
        <v>635</v>
      </c>
      <c r="C1015" t="s">
        <v>1371</v>
      </c>
      <c r="D1015" s="2885">
        <v>811.053</v>
      </c>
      <c r="E1015" s="2886">
        <v>145126</v>
      </c>
      <c r="F1015" s="2886">
        <v>0</v>
      </c>
      <c r="G1015" s="2886">
        <v>116525</v>
      </c>
    </row>
    <row r="1016" spans="1:7">
      <c r="A1016" t="s">
        <v>6821</v>
      </c>
      <c r="B1016" s="1417" t="s">
        <v>679</v>
      </c>
      <c r="C1016" t="s">
        <v>1372</v>
      </c>
      <c r="D1016" s="2885">
        <v>1404.5510000000002</v>
      </c>
      <c r="E1016" s="2886">
        <v>0</v>
      </c>
      <c r="F1016" s="2886">
        <v>0</v>
      </c>
      <c r="G1016" s="2886">
        <v>0</v>
      </c>
    </row>
    <row r="1017" spans="1:7">
      <c r="A1017" t="s">
        <v>6153</v>
      </c>
      <c r="B1017" s="1417" t="s">
        <v>680</v>
      </c>
      <c r="C1017" t="s">
        <v>1373</v>
      </c>
      <c r="D1017" s="2885">
        <v>1628.3810000000001</v>
      </c>
      <c r="E1017" s="2886">
        <v>2629212</v>
      </c>
      <c r="F1017" s="2886">
        <v>0</v>
      </c>
      <c r="G1017" s="2886">
        <v>1249613</v>
      </c>
    </row>
    <row r="1018" spans="1:7">
      <c r="A1018" t="s">
        <v>6154</v>
      </c>
      <c r="B1018" s="1417" t="s">
        <v>1471</v>
      </c>
      <c r="C1018" t="s">
        <v>1374</v>
      </c>
      <c r="D1018" s="2885">
        <v>424.03400000000011</v>
      </c>
      <c r="E1018" s="2886">
        <v>3889962</v>
      </c>
      <c r="F1018" s="2886">
        <v>0</v>
      </c>
      <c r="G1018" s="2886">
        <v>430395</v>
      </c>
    </row>
    <row r="1019" spans="1:7">
      <c r="A1019" t="s">
        <v>3790</v>
      </c>
      <c r="B1019" s="1417" t="s">
        <v>907</v>
      </c>
      <c r="C1019" t="s">
        <v>862</v>
      </c>
      <c r="D1019" s="2885">
        <v>2301.0610000000001</v>
      </c>
      <c r="E1019" s="2886">
        <v>2157188</v>
      </c>
      <c r="F1019" s="2886">
        <v>942214</v>
      </c>
      <c r="G1019" s="2886">
        <v>1385763</v>
      </c>
    </row>
    <row r="1020" spans="1:7">
      <c r="A1020" t="s">
        <v>6155</v>
      </c>
      <c r="B1020" s="1417" t="s">
        <v>1472</v>
      </c>
      <c r="C1020" t="s">
        <v>1375</v>
      </c>
      <c r="D1020" s="2885">
        <v>211.91900000000001</v>
      </c>
      <c r="E1020" s="2886">
        <v>287785</v>
      </c>
      <c r="F1020" s="2886">
        <v>0</v>
      </c>
      <c r="G1020" s="2886">
        <v>215098</v>
      </c>
    </row>
    <row r="1021" spans="1:7">
      <c r="A1021" t="s">
        <v>3791</v>
      </c>
      <c r="B1021" s="1417" t="s">
        <v>1504</v>
      </c>
      <c r="C1021" t="s">
        <v>825</v>
      </c>
      <c r="D1021" s="2885">
        <v>644.13800000000003</v>
      </c>
      <c r="E1021" s="2886">
        <v>623481</v>
      </c>
      <c r="F1021" s="2886">
        <v>183000</v>
      </c>
      <c r="G1021" s="2886">
        <v>0</v>
      </c>
    </row>
    <row r="1022" spans="1:7">
      <c r="A1022" t="s">
        <v>6822</v>
      </c>
      <c r="B1022" s="1417" t="s">
        <v>514</v>
      </c>
      <c r="C1022" t="s">
        <v>1376</v>
      </c>
      <c r="D1022" s="2885">
        <v>3177.2759999999998</v>
      </c>
      <c r="E1022" s="2886">
        <v>0</v>
      </c>
      <c r="F1022" s="2886">
        <v>0</v>
      </c>
      <c r="G1022" s="2886">
        <v>0</v>
      </c>
    </row>
    <row r="1023" spans="1:7">
      <c r="A1023" t="s">
        <v>3792</v>
      </c>
      <c r="B1023" s="1417" t="s">
        <v>2406</v>
      </c>
      <c r="C1023" t="s">
        <v>420</v>
      </c>
      <c r="D1023" s="2885">
        <v>1763.1120000000001</v>
      </c>
      <c r="E1023" s="2886">
        <v>3628626</v>
      </c>
      <c r="F1023" s="2886">
        <v>1363147</v>
      </c>
      <c r="G1023" s="2886">
        <v>420113</v>
      </c>
    </row>
    <row r="1024" spans="1:7">
      <c r="A1024" t="s">
        <v>3793</v>
      </c>
      <c r="B1024" s="1417" t="s">
        <v>1688</v>
      </c>
      <c r="C1024" t="s">
        <v>1898</v>
      </c>
      <c r="D1024" s="2885">
        <v>444.017</v>
      </c>
      <c r="E1024" s="2886">
        <v>117889</v>
      </c>
      <c r="F1024" s="2886">
        <v>96032</v>
      </c>
      <c r="G1024" s="2886">
        <v>0</v>
      </c>
    </row>
  </sheetData>
  <sortState ref="A2:F1025">
    <sortCondition ref="A2:A1025"/>
  </sortState>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3"/>
  <sheetViews>
    <sheetView topLeftCell="A1000" workbookViewId="0">
      <selection activeCell="B2" sqref="B2"/>
    </sheetView>
  </sheetViews>
  <sheetFormatPr defaultRowHeight="12.75"/>
  <cols>
    <col min="1" max="1" width="11.5703125" bestFit="1" customWidth="1"/>
    <col min="2" max="2" width="11.5703125" customWidth="1"/>
    <col min="3" max="3" width="55.85546875" bestFit="1" customWidth="1"/>
    <col min="4" max="4" width="19.42578125" style="3279" bestFit="1" customWidth="1"/>
  </cols>
  <sheetData>
    <row r="1" spans="1:4">
      <c r="A1" t="s">
        <v>6667</v>
      </c>
      <c r="B1" s="3280" t="s">
        <v>197</v>
      </c>
      <c r="C1" s="3272" t="s">
        <v>279</v>
      </c>
      <c r="D1" s="3281">
        <v>548.22799999999995</v>
      </c>
    </row>
    <row r="2" spans="1:4">
      <c r="A2" t="s">
        <v>3365</v>
      </c>
      <c r="B2" s="3280" t="s">
        <v>1954</v>
      </c>
      <c r="C2" s="3272" t="s">
        <v>280</v>
      </c>
      <c r="D2" s="3281">
        <v>1132.9780000000001</v>
      </c>
    </row>
    <row r="3" spans="1:4">
      <c r="A3" t="s">
        <v>5753</v>
      </c>
      <c r="B3" s="3280" t="s">
        <v>14</v>
      </c>
      <c r="C3" s="3272" t="s">
        <v>281</v>
      </c>
      <c r="D3" s="3281">
        <v>797.57500000000005</v>
      </c>
    </row>
    <row r="4" spans="1:4">
      <c r="A4" t="s">
        <v>5754</v>
      </c>
      <c r="B4" s="3280" t="s">
        <v>15</v>
      </c>
      <c r="C4" s="3272" t="s">
        <v>282</v>
      </c>
      <c r="D4" s="3281">
        <v>327.036</v>
      </c>
    </row>
    <row r="5" spans="1:4">
      <c r="A5" t="s">
        <v>3366</v>
      </c>
      <c r="B5" s="3280" t="s">
        <v>16</v>
      </c>
      <c r="C5" s="3272" t="s">
        <v>283</v>
      </c>
      <c r="D5" s="3281">
        <v>3138.39</v>
      </c>
    </row>
    <row r="6" spans="1:4">
      <c r="A6" t="s">
        <v>6668</v>
      </c>
      <c r="B6" s="3280" t="s">
        <v>1098</v>
      </c>
      <c r="C6" s="3272" t="s">
        <v>1188</v>
      </c>
      <c r="D6" s="3281">
        <v>1451.229</v>
      </c>
    </row>
    <row r="7" spans="1:4">
      <c r="A7" t="s">
        <v>5755</v>
      </c>
      <c r="B7" s="3280" t="s">
        <v>1099</v>
      </c>
      <c r="C7" s="3272" t="s">
        <v>1189</v>
      </c>
      <c r="D7" s="3281">
        <v>391.536</v>
      </c>
    </row>
    <row r="8" spans="1:4">
      <c r="A8" t="s">
        <v>5756</v>
      </c>
      <c r="B8" s="3280" t="s">
        <v>1841</v>
      </c>
      <c r="C8" s="3272" t="s">
        <v>1190</v>
      </c>
      <c r="D8" s="3281">
        <v>3840.2330000000002</v>
      </c>
    </row>
    <row r="9" spans="1:4">
      <c r="A9" t="s">
        <v>3367</v>
      </c>
      <c r="B9" s="3280" t="s">
        <v>676</v>
      </c>
      <c r="C9" s="3272" t="s">
        <v>2382</v>
      </c>
      <c r="D9" s="3281">
        <v>2731.192</v>
      </c>
    </row>
    <row r="10" spans="1:4">
      <c r="A10" t="s">
        <v>5757</v>
      </c>
      <c r="B10" s="3280" t="s">
        <v>1452</v>
      </c>
      <c r="C10" s="3272" t="s">
        <v>1191</v>
      </c>
      <c r="D10" s="3281">
        <v>7283.0159999999996</v>
      </c>
    </row>
    <row r="11" spans="1:4">
      <c r="A11" t="s">
        <v>3368</v>
      </c>
      <c r="B11" s="3280" t="s">
        <v>1118</v>
      </c>
      <c r="C11" s="3272" t="s">
        <v>1266</v>
      </c>
      <c r="D11" s="3281">
        <v>1581.0809999999999</v>
      </c>
    </row>
    <row r="12" spans="1:4">
      <c r="A12" t="s">
        <v>3369</v>
      </c>
      <c r="B12" s="3280" t="s">
        <v>337</v>
      </c>
      <c r="C12" s="3272" t="s">
        <v>1192</v>
      </c>
      <c r="D12" s="3281">
        <v>1689.2</v>
      </c>
    </row>
    <row r="13" spans="1:4">
      <c r="A13" t="s">
        <v>5758</v>
      </c>
      <c r="B13" s="3280" t="s">
        <v>338</v>
      </c>
      <c r="C13" s="3272" t="s">
        <v>1193</v>
      </c>
      <c r="D13" s="3281">
        <v>332.952</v>
      </c>
    </row>
    <row r="14" spans="1:4">
      <c r="A14" t="s">
        <v>3370</v>
      </c>
      <c r="B14" s="3280" t="s">
        <v>339</v>
      </c>
      <c r="C14" s="3272" t="s">
        <v>1194</v>
      </c>
      <c r="D14" s="3281">
        <v>1397.357</v>
      </c>
    </row>
    <row r="15" spans="1:4">
      <c r="A15" t="s">
        <v>5759</v>
      </c>
      <c r="B15" s="3280" t="s">
        <v>2479</v>
      </c>
      <c r="C15" s="3272" t="s">
        <v>1195</v>
      </c>
      <c r="D15" s="3281">
        <v>3192.1770000000001</v>
      </c>
    </row>
    <row r="16" spans="1:4">
      <c r="A16" t="s">
        <v>5760</v>
      </c>
      <c r="B16" s="3280" t="s">
        <v>2480</v>
      </c>
      <c r="C16" s="3272" t="s">
        <v>1196</v>
      </c>
      <c r="D16" s="3281">
        <v>440.18</v>
      </c>
    </row>
    <row r="17" spans="1:4">
      <c r="A17" t="s">
        <v>5761</v>
      </c>
      <c r="B17" s="3280" t="s">
        <v>2481</v>
      </c>
      <c r="C17" s="3272" t="s">
        <v>1197</v>
      </c>
      <c r="D17" s="3281">
        <v>965.577</v>
      </c>
    </row>
    <row r="18" spans="1:4">
      <c r="A18" t="s">
        <v>3371</v>
      </c>
      <c r="B18" s="3280" t="s">
        <v>1945</v>
      </c>
      <c r="C18" s="3272" t="s">
        <v>1128</v>
      </c>
      <c r="D18" s="3281">
        <v>400.726</v>
      </c>
    </row>
    <row r="19" spans="1:4">
      <c r="A19" t="s">
        <v>5762</v>
      </c>
      <c r="B19" s="3280" t="s">
        <v>2483</v>
      </c>
      <c r="C19" s="3272" t="s">
        <v>1198</v>
      </c>
      <c r="D19" s="3281">
        <v>337.65100000000001</v>
      </c>
    </row>
    <row r="20" spans="1:4">
      <c r="A20" t="s">
        <v>3372</v>
      </c>
      <c r="B20" s="3280" t="s">
        <v>708</v>
      </c>
      <c r="C20" s="3272" t="s">
        <v>661</v>
      </c>
      <c r="D20" s="3281">
        <v>448.46100000000001</v>
      </c>
    </row>
    <row r="21" spans="1:4">
      <c r="A21" t="s">
        <v>6669</v>
      </c>
      <c r="B21" s="3280" t="s">
        <v>2484</v>
      </c>
      <c r="C21" s="3272" t="s">
        <v>1199</v>
      </c>
      <c r="D21" s="3281">
        <v>1509.5329999999999</v>
      </c>
    </row>
    <row r="22" spans="1:4">
      <c r="A22" t="s">
        <v>3373</v>
      </c>
      <c r="B22" s="3280" t="s">
        <v>2090</v>
      </c>
      <c r="C22" s="3272" t="s">
        <v>1200</v>
      </c>
      <c r="D22" s="3281">
        <v>1552.075</v>
      </c>
    </row>
    <row r="23" spans="1:4">
      <c r="A23" t="s">
        <v>3374</v>
      </c>
      <c r="B23" s="3280" t="s">
        <v>213</v>
      </c>
      <c r="C23" s="3272" t="s">
        <v>1001</v>
      </c>
      <c r="D23" s="3281">
        <v>3267.2710000000002</v>
      </c>
    </row>
    <row r="24" spans="1:4">
      <c r="A24" t="s">
        <v>3375</v>
      </c>
      <c r="B24" s="3280" t="s">
        <v>2133</v>
      </c>
      <c r="C24" s="3272" t="s">
        <v>1004</v>
      </c>
      <c r="D24" s="3281">
        <v>1565.8710000000001</v>
      </c>
    </row>
    <row r="25" spans="1:4">
      <c r="A25" t="s">
        <v>5763</v>
      </c>
      <c r="B25" s="3280" t="s">
        <v>2485</v>
      </c>
      <c r="C25" s="3272" t="s">
        <v>1201</v>
      </c>
      <c r="D25" s="3281">
        <v>2140.9009999999998</v>
      </c>
    </row>
    <row r="26" spans="1:4">
      <c r="A26" t="s">
        <v>5764</v>
      </c>
      <c r="B26" s="3280" t="s">
        <v>685</v>
      </c>
      <c r="C26" s="3272" t="s">
        <v>1202</v>
      </c>
      <c r="D26" s="3281">
        <v>2629.683</v>
      </c>
    </row>
    <row r="27" spans="1:4">
      <c r="A27" t="s">
        <v>5765</v>
      </c>
      <c r="B27" s="3280" t="s">
        <v>686</v>
      </c>
      <c r="C27" s="3272" t="s">
        <v>1203</v>
      </c>
      <c r="D27" s="3281">
        <v>760.8</v>
      </c>
    </row>
    <row r="28" spans="1:4">
      <c r="A28" t="s">
        <v>3376</v>
      </c>
      <c r="B28" s="3280" t="s">
        <v>687</v>
      </c>
      <c r="C28" s="3272" t="s">
        <v>1204</v>
      </c>
      <c r="D28" s="3281">
        <v>1341.46</v>
      </c>
    </row>
    <row r="29" spans="1:4">
      <c r="A29" t="s">
        <v>6670</v>
      </c>
      <c r="B29" s="3280" t="s">
        <v>188</v>
      </c>
      <c r="C29" s="3272" t="s">
        <v>1205</v>
      </c>
      <c r="D29" s="3281">
        <v>277.42200000000003</v>
      </c>
    </row>
    <row r="30" spans="1:4">
      <c r="A30" t="s">
        <v>3377</v>
      </c>
      <c r="B30" s="3280" t="s">
        <v>1946</v>
      </c>
      <c r="C30" s="3272" t="s">
        <v>2121</v>
      </c>
      <c r="D30" s="3281">
        <v>2073.7280000000001</v>
      </c>
    </row>
    <row r="31" spans="1:4">
      <c r="A31" t="s">
        <v>3378</v>
      </c>
      <c r="B31" s="3280" t="s">
        <v>1683</v>
      </c>
      <c r="C31" s="3272" t="s">
        <v>2123</v>
      </c>
      <c r="D31" s="3281">
        <v>10052.338</v>
      </c>
    </row>
    <row r="32" spans="1:4">
      <c r="A32" t="s">
        <v>3379</v>
      </c>
      <c r="B32" s="3280" t="s">
        <v>773</v>
      </c>
      <c r="C32" s="3272" t="s">
        <v>890</v>
      </c>
      <c r="D32" s="3281">
        <v>3977.375</v>
      </c>
    </row>
    <row r="33" spans="1:4">
      <c r="A33" t="s">
        <v>3380</v>
      </c>
      <c r="B33" s="3280" t="s">
        <v>2366</v>
      </c>
      <c r="C33" s="3272" t="s">
        <v>1928</v>
      </c>
      <c r="D33" s="3281">
        <v>1661.5519999999999</v>
      </c>
    </row>
    <row r="34" spans="1:4">
      <c r="A34" t="s">
        <v>3381</v>
      </c>
      <c r="B34" s="3280" t="s">
        <v>2134</v>
      </c>
      <c r="C34" s="3272" t="s">
        <v>818</v>
      </c>
      <c r="D34" s="3281">
        <v>290.96800000000002</v>
      </c>
    </row>
    <row r="35" spans="1:4">
      <c r="A35" t="s">
        <v>6671</v>
      </c>
      <c r="B35" s="3280" t="s">
        <v>452</v>
      </c>
      <c r="C35" s="3272" t="s">
        <v>1206</v>
      </c>
      <c r="D35" s="3281">
        <v>544.19600000000003</v>
      </c>
    </row>
    <row r="36" spans="1:4">
      <c r="A36" t="s">
        <v>3382</v>
      </c>
      <c r="B36" s="3280" t="s">
        <v>2367</v>
      </c>
      <c r="C36" s="3272" t="s">
        <v>2124</v>
      </c>
      <c r="D36" s="3281">
        <v>2978.357</v>
      </c>
    </row>
    <row r="37" spans="1:4">
      <c r="A37" t="s">
        <v>5766</v>
      </c>
      <c r="B37" s="3280" t="s">
        <v>2651</v>
      </c>
      <c r="C37" s="3272" t="s">
        <v>1207</v>
      </c>
      <c r="D37" s="3281">
        <v>187.49199999999999</v>
      </c>
    </row>
    <row r="38" spans="1:4">
      <c r="A38" t="s">
        <v>5767</v>
      </c>
      <c r="B38" s="3280" t="s">
        <v>2652</v>
      </c>
      <c r="C38" s="3272" t="s">
        <v>1208</v>
      </c>
      <c r="D38" s="3281">
        <v>390.32299999999998</v>
      </c>
    </row>
    <row r="39" spans="1:4">
      <c r="A39" t="s">
        <v>3383</v>
      </c>
      <c r="B39" s="3280" t="s">
        <v>1149</v>
      </c>
      <c r="C39" s="3272" t="s">
        <v>1828</v>
      </c>
      <c r="D39" s="3281">
        <v>784.56500000000005</v>
      </c>
    </row>
    <row r="40" spans="1:4">
      <c r="A40" t="s">
        <v>5768</v>
      </c>
      <c r="B40" s="3280" t="s">
        <v>2135</v>
      </c>
      <c r="C40" s="3272" t="s">
        <v>1209</v>
      </c>
      <c r="D40" s="3281">
        <v>1468.9649999999999</v>
      </c>
    </row>
    <row r="41" spans="1:4">
      <c r="A41" t="s">
        <v>3384</v>
      </c>
      <c r="B41" s="3280" t="s">
        <v>1682</v>
      </c>
      <c r="C41" s="3272" t="s">
        <v>2122</v>
      </c>
      <c r="D41" s="3281">
        <v>316.14</v>
      </c>
    </row>
    <row r="42" spans="1:4">
      <c r="A42" t="s">
        <v>3385</v>
      </c>
      <c r="B42" s="3280" t="s">
        <v>1685</v>
      </c>
      <c r="C42" s="3272" t="s">
        <v>2680</v>
      </c>
      <c r="D42" s="3281">
        <v>10762.234</v>
      </c>
    </row>
    <row r="43" spans="1:4">
      <c r="A43" t="s">
        <v>3386</v>
      </c>
      <c r="B43" s="3280" t="s">
        <v>170</v>
      </c>
      <c r="C43" s="3272" t="s">
        <v>2377</v>
      </c>
      <c r="D43" s="3281">
        <v>626.40499999999997</v>
      </c>
    </row>
    <row r="44" spans="1:4">
      <c r="A44" t="s">
        <v>3387</v>
      </c>
      <c r="B44" s="3280" t="s">
        <v>53</v>
      </c>
      <c r="C44" s="3272" t="s">
        <v>2518</v>
      </c>
      <c r="D44" s="3281">
        <v>39892.017</v>
      </c>
    </row>
    <row r="45" spans="1:4">
      <c r="A45" t="s">
        <v>3388</v>
      </c>
      <c r="B45" s="3280" t="s">
        <v>166</v>
      </c>
      <c r="C45" s="3272" t="s">
        <v>1402</v>
      </c>
      <c r="D45" s="3281">
        <v>839.76</v>
      </c>
    </row>
    <row r="46" spans="1:4">
      <c r="A46" t="s">
        <v>3389</v>
      </c>
      <c r="B46" s="3280" t="s">
        <v>1312</v>
      </c>
      <c r="C46" s="3272" t="s">
        <v>2025</v>
      </c>
      <c r="D46" s="3281">
        <v>1749.4480000000001</v>
      </c>
    </row>
    <row r="47" spans="1:4">
      <c r="A47" t="s">
        <v>3390</v>
      </c>
      <c r="B47" s="3280" t="s">
        <v>1514</v>
      </c>
      <c r="C47" s="3272" t="s">
        <v>603</v>
      </c>
      <c r="D47" s="3281">
        <v>7790.4750000000004</v>
      </c>
    </row>
    <row r="48" spans="1:4">
      <c r="A48" t="s">
        <v>3391</v>
      </c>
      <c r="B48" s="3280" t="s">
        <v>1519</v>
      </c>
      <c r="C48" s="3272" t="s">
        <v>2312</v>
      </c>
      <c r="D48" s="3281">
        <v>1419.9770000000001</v>
      </c>
    </row>
    <row r="49" spans="1:4">
      <c r="A49" t="s">
        <v>5769</v>
      </c>
      <c r="B49" s="3280" t="s">
        <v>423</v>
      </c>
      <c r="C49" s="3272" t="s">
        <v>2280</v>
      </c>
      <c r="D49" s="3281">
        <v>4556.2430000000004</v>
      </c>
    </row>
    <row r="50" spans="1:4">
      <c r="A50" t="s">
        <v>3392</v>
      </c>
      <c r="B50" s="3280" t="s">
        <v>1859</v>
      </c>
      <c r="C50" s="3272" t="s">
        <v>724</v>
      </c>
      <c r="D50" s="3281">
        <v>12883.754000000001</v>
      </c>
    </row>
    <row r="51" spans="1:4">
      <c r="A51" t="s">
        <v>3393</v>
      </c>
      <c r="B51" s="3280" t="s">
        <v>771</v>
      </c>
      <c r="C51" s="3272" t="s">
        <v>888</v>
      </c>
      <c r="D51" s="3281">
        <v>8956.2829999999994</v>
      </c>
    </row>
    <row r="52" spans="1:4">
      <c r="A52" t="s">
        <v>8671</v>
      </c>
      <c r="B52" s="3280" t="s">
        <v>2350</v>
      </c>
      <c r="C52" s="3272" t="s">
        <v>1024</v>
      </c>
      <c r="D52" s="3281">
        <v>1388.6769999999999</v>
      </c>
    </row>
    <row r="53" spans="1:4">
      <c r="A53" t="s">
        <v>3394</v>
      </c>
      <c r="B53" s="3280" t="s">
        <v>1314</v>
      </c>
      <c r="C53" s="3272" t="s">
        <v>2028</v>
      </c>
      <c r="D53" s="3281">
        <v>44380.29</v>
      </c>
    </row>
    <row r="54" spans="1:4">
      <c r="A54" t="s">
        <v>3395</v>
      </c>
      <c r="B54" s="3280" t="s">
        <v>1506</v>
      </c>
      <c r="C54" s="3272" t="s">
        <v>1932</v>
      </c>
      <c r="D54" s="3281">
        <v>8197.2579999999998</v>
      </c>
    </row>
    <row r="55" spans="1:4">
      <c r="A55" t="s">
        <v>3396</v>
      </c>
      <c r="B55" s="3280" t="s">
        <v>1152</v>
      </c>
      <c r="C55" s="3272" t="s">
        <v>1931</v>
      </c>
      <c r="D55" s="3281">
        <v>3754.931</v>
      </c>
    </row>
    <row r="56" spans="1:4">
      <c r="A56" t="s">
        <v>3397</v>
      </c>
      <c r="B56" s="3280" t="s">
        <v>1407</v>
      </c>
      <c r="C56" s="3272" t="s">
        <v>2287</v>
      </c>
      <c r="D56" s="3281">
        <v>61665.029000000002</v>
      </c>
    </row>
    <row r="57" spans="1:4">
      <c r="A57" t="s">
        <v>3398</v>
      </c>
      <c r="B57" s="3280" t="s">
        <v>768</v>
      </c>
      <c r="C57" s="3272" t="s">
        <v>1064</v>
      </c>
      <c r="D57" s="3281">
        <v>9363.5769999999993</v>
      </c>
    </row>
    <row r="58" spans="1:4">
      <c r="A58" t="s">
        <v>3399</v>
      </c>
      <c r="B58" s="3280" t="s">
        <v>709</v>
      </c>
      <c r="C58" s="3272" t="s">
        <v>1934</v>
      </c>
      <c r="D58" s="3281">
        <v>12651.371999999999</v>
      </c>
    </row>
    <row r="59" spans="1:4">
      <c r="A59" t="s">
        <v>8672</v>
      </c>
      <c r="B59" s="3280" t="s">
        <v>2351</v>
      </c>
      <c r="C59" s="3272" t="s">
        <v>1025</v>
      </c>
      <c r="D59" s="3281">
        <v>970.24199999999996</v>
      </c>
    </row>
    <row r="60" spans="1:4">
      <c r="A60" t="s">
        <v>8673</v>
      </c>
      <c r="B60" s="3280" t="s">
        <v>2352</v>
      </c>
      <c r="C60" s="3272" t="s">
        <v>1026</v>
      </c>
      <c r="D60" s="3281">
        <v>1484.277</v>
      </c>
    </row>
    <row r="61" spans="1:4">
      <c r="A61" t="s">
        <v>3400</v>
      </c>
      <c r="B61" s="3280" t="s">
        <v>1409</v>
      </c>
      <c r="C61" s="3272" t="s">
        <v>2289</v>
      </c>
      <c r="D61" s="3281">
        <v>98628.293000000005</v>
      </c>
    </row>
    <row r="62" spans="1:4">
      <c r="A62" t="s">
        <v>3401</v>
      </c>
      <c r="B62" s="3280" t="s">
        <v>46</v>
      </c>
      <c r="C62" s="3272" t="s">
        <v>408</v>
      </c>
      <c r="D62" s="3281">
        <v>21390.522000000001</v>
      </c>
    </row>
    <row r="63" spans="1:4">
      <c r="A63" t="s">
        <v>3402</v>
      </c>
      <c r="B63" s="3280" t="s">
        <v>1507</v>
      </c>
      <c r="C63" s="3272" t="s">
        <v>1933</v>
      </c>
      <c r="D63" s="3281">
        <v>5134.9390000000003</v>
      </c>
    </row>
    <row r="64" spans="1:4">
      <c r="A64" t="s">
        <v>5770</v>
      </c>
      <c r="B64" s="3280" t="s">
        <v>1210</v>
      </c>
      <c r="C64" s="3272" t="s">
        <v>2281</v>
      </c>
      <c r="D64" s="3281">
        <v>631.45000000000005</v>
      </c>
    </row>
    <row r="65" spans="1:4">
      <c r="A65" t="s">
        <v>3403</v>
      </c>
      <c r="B65" s="3280" t="s">
        <v>874</v>
      </c>
      <c r="C65" s="3272" t="s">
        <v>798</v>
      </c>
      <c r="D65" s="3281">
        <v>970.94299999999998</v>
      </c>
    </row>
    <row r="66" spans="1:4">
      <c r="A66" t="s">
        <v>5771</v>
      </c>
      <c r="B66" s="3280" t="s">
        <v>1211</v>
      </c>
      <c r="C66" s="3272" t="s">
        <v>2282</v>
      </c>
      <c r="D66" s="3281">
        <v>221.089</v>
      </c>
    </row>
    <row r="67" spans="1:4">
      <c r="A67" t="s">
        <v>3404</v>
      </c>
      <c r="B67" s="3280" t="s">
        <v>575</v>
      </c>
      <c r="C67" s="3272" t="s">
        <v>1165</v>
      </c>
      <c r="D67" s="3281">
        <v>939.86699999999996</v>
      </c>
    </row>
    <row r="68" spans="1:4">
      <c r="A68" t="s">
        <v>3405</v>
      </c>
      <c r="B68" s="3280" t="s">
        <v>1212</v>
      </c>
      <c r="C68" s="3272" t="s">
        <v>2682</v>
      </c>
      <c r="D68" s="3281">
        <v>453.56599999999997</v>
      </c>
    </row>
    <row r="69" spans="1:4">
      <c r="A69" t="s">
        <v>6672</v>
      </c>
      <c r="B69" s="3280" t="s">
        <v>1113</v>
      </c>
      <c r="C69" s="3272" t="s">
        <v>2683</v>
      </c>
      <c r="D69" s="3281">
        <v>118.71899999999999</v>
      </c>
    </row>
    <row r="70" spans="1:4">
      <c r="A70" t="s">
        <v>3406</v>
      </c>
      <c r="B70" s="3280" t="s">
        <v>1114</v>
      </c>
      <c r="C70" s="3272" t="s">
        <v>2684</v>
      </c>
      <c r="D70" s="3281">
        <v>599.99099999999999</v>
      </c>
    </row>
    <row r="71" spans="1:4">
      <c r="A71" t="s">
        <v>4235</v>
      </c>
      <c r="B71" s="3280" t="s">
        <v>1901</v>
      </c>
      <c r="C71" s="3272" t="s">
        <v>2024</v>
      </c>
      <c r="D71" s="3281">
        <v>162.495</v>
      </c>
    </row>
    <row r="72" spans="1:4">
      <c r="A72" t="s">
        <v>5772</v>
      </c>
      <c r="B72" s="3280" t="s">
        <v>1645</v>
      </c>
      <c r="C72" s="3272" t="s">
        <v>2685</v>
      </c>
      <c r="D72" s="3281">
        <v>128.11799999999999</v>
      </c>
    </row>
    <row r="73" spans="1:4">
      <c r="A73" t="s">
        <v>5773</v>
      </c>
      <c r="B73" s="3280" t="s">
        <v>1646</v>
      </c>
      <c r="C73" s="3272" t="s">
        <v>2686</v>
      </c>
      <c r="D73" s="3281">
        <v>200.137</v>
      </c>
    </row>
    <row r="74" spans="1:4">
      <c r="A74" t="s">
        <v>6673</v>
      </c>
      <c r="B74" s="3280" t="s">
        <v>1647</v>
      </c>
      <c r="C74" s="3272" t="s">
        <v>2687</v>
      </c>
      <c r="D74" s="3281">
        <v>121.96</v>
      </c>
    </row>
    <row r="75" spans="1:4">
      <c r="A75" t="s">
        <v>4237</v>
      </c>
      <c r="B75" s="3280" t="s">
        <v>885</v>
      </c>
      <c r="C75" s="3272" t="s">
        <v>2666</v>
      </c>
      <c r="D75" s="3281">
        <v>734.47299999999996</v>
      </c>
    </row>
    <row r="76" spans="1:4">
      <c r="A76" t="s">
        <v>3407</v>
      </c>
      <c r="B76" s="3280" t="s">
        <v>710</v>
      </c>
      <c r="C76" s="3272" t="s">
        <v>2379</v>
      </c>
      <c r="D76" s="3281">
        <v>889.41200000000003</v>
      </c>
    </row>
    <row r="77" spans="1:4">
      <c r="A77" t="s">
        <v>3408</v>
      </c>
      <c r="B77" s="3280" t="s">
        <v>2136</v>
      </c>
      <c r="C77" s="3272" t="s">
        <v>2067</v>
      </c>
      <c r="D77" s="3281">
        <v>438.49799999999999</v>
      </c>
    </row>
    <row r="78" spans="1:4">
      <c r="A78" t="s">
        <v>3409</v>
      </c>
      <c r="B78" s="3280" t="s">
        <v>2638</v>
      </c>
      <c r="C78" s="3272" t="s">
        <v>1398</v>
      </c>
      <c r="D78" s="3281">
        <v>1202.2650000000001</v>
      </c>
    </row>
    <row r="79" spans="1:4">
      <c r="A79" t="s">
        <v>5774</v>
      </c>
      <c r="B79" s="3280" t="s">
        <v>1096</v>
      </c>
      <c r="C79" s="3272" t="s">
        <v>1399</v>
      </c>
      <c r="D79" s="3281">
        <v>1026.8979999999999</v>
      </c>
    </row>
    <row r="80" spans="1:4">
      <c r="A80" t="s">
        <v>5775</v>
      </c>
      <c r="B80" s="3280" t="s">
        <v>1097</v>
      </c>
      <c r="C80" s="3272" t="s">
        <v>1400</v>
      </c>
      <c r="D80" s="3281">
        <v>6445.451</v>
      </c>
    </row>
    <row r="81" spans="1:4">
      <c r="A81" t="s">
        <v>5776</v>
      </c>
      <c r="B81" s="3280" t="s">
        <v>1124</v>
      </c>
      <c r="C81" s="3272" t="s">
        <v>2486</v>
      </c>
      <c r="D81" s="3281">
        <v>2247.1190000000001</v>
      </c>
    </row>
    <row r="82" spans="1:4">
      <c r="A82" t="s">
        <v>3410</v>
      </c>
      <c r="B82" s="3280" t="s">
        <v>2137</v>
      </c>
      <c r="C82" s="3272" t="s">
        <v>266</v>
      </c>
      <c r="D82" s="3281">
        <v>457.33800000000002</v>
      </c>
    </row>
    <row r="83" spans="1:4">
      <c r="A83" t="s">
        <v>3411</v>
      </c>
      <c r="B83" s="3280" t="s">
        <v>984</v>
      </c>
      <c r="C83" s="3272" t="s">
        <v>289</v>
      </c>
      <c r="D83" s="3281">
        <v>141.304</v>
      </c>
    </row>
    <row r="84" spans="1:4">
      <c r="A84" t="s">
        <v>5777</v>
      </c>
      <c r="B84" s="3280" t="s">
        <v>842</v>
      </c>
      <c r="C84" s="3272" t="s">
        <v>2487</v>
      </c>
      <c r="D84" s="3281">
        <v>500.19200000000001</v>
      </c>
    </row>
    <row r="85" spans="1:4">
      <c r="A85" t="s">
        <v>5778</v>
      </c>
      <c r="B85" s="3280" t="s">
        <v>1125</v>
      </c>
      <c r="C85" s="3272" t="s">
        <v>2488</v>
      </c>
      <c r="D85" s="3281">
        <v>1991.396</v>
      </c>
    </row>
    <row r="86" spans="1:4">
      <c r="A86" t="s">
        <v>6674</v>
      </c>
      <c r="B86" s="3280" t="s">
        <v>1126</v>
      </c>
      <c r="C86" s="3272" t="s">
        <v>2381</v>
      </c>
      <c r="D86" s="3281">
        <v>78.887</v>
      </c>
    </row>
    <row r="87" spans="1:4">
      <c r="A87" t="s">
        <v>6675</v>
      </c>
      <c r="B87" s="3280" t="s">
        <v>843</v>
      </c>
      <c r="C87" s="3272" t="s">
        <v>2489</v>
      </c>
      <c r="D87" s="3281">
        <v>86.195999999999998</v>
      </c>
    </row>
    <row r="88" spans="1:4">
      <c r="A88" t="s">
        <v>3412</v>
      </c>
      <c r="B88" s="3280" t="s">
        <v>179</v>
      </c>
      <c r="C88" s="3272" t="s">
        <v>1052</v>
      </c>
      <c r="D88" s="3281">
        <v>23194.06</v>
      </c>
    </row>
    <row r="89" spans="1:4">
      <c r="A89" t="s">
        <v>5779</v>
      </c>
      <c r="B89" s="3280" t="s">
        <v>919</v>
      </c>
      <c r="C89" s="3272" t="s">
        <v>2490</v>
      </c>
      <c r="D89" s="3281">
        <v>6320.4870000000001</v>
      </c>
    </row>
    <row r="90" spans="1:4">
      <c r="A90" t="s">
        <v>3413</v>
      </c>
      <c r="B90" s="3280" t="s">
        <v>711</v>
      </c>
      <c r="C90" s="3272" t="s">
        <v>2662</v>
      </c>
      <c r="D90" s="3281">
        <v>724.02499999999998</v>
      </c>
    </row>
    <row r="91" spans="1:4">
      <c r="A91" t="s">
        <v>5780</v>
      </c>
      <c r="B91" s="3280" t="s">
        <v>1157</v>
      </c>
      <c r="C91" s="3272" t="s">
        <v>2491</v>
      </c>
      <c r="D91" s="3281">
        <v>11450.478999999999</v>
      </c>
    </row>
    <row r="92" spans="1:4">
      <c r="A92" t="s">
        <v>5781</v>
      </c>
      <c r="B92" s="3280" t="s">
        <v>1158</v>
      </c>
      <c r="C92" s="3272" t="s">
        <v>2492</v>
      </c>
      <c r="D92" s="3281">
        <v>1971.0250000000001</v>
      </c>
    </row>
    <row r="93" spans="1:4">
      <c r="A93" t="s">
        <v>3414</v>
      </c>
      <c r="B93" s="3280" t="s">
        <v>1435</v>
      </c>
      <c r="C93" s="3272" t="s">
        <v>1548</v>
      </c>
      <c r="D93" s="3281">
        <v>2955.2240000000002</v>
      </c>
    </row>
    <row r="94" spans="1:4">
      <c r="A94" t="s">
        <v>3415</v>
      </c>
      <c r="B94" s="3280" t="s">
        <v>207</v>
      </c>
      <c r="C94" s="3272" t="s">
        <v>273</v>
      </c>
      <c r="D94" s="3281">
        <v>20660.618999999999</v>
      </c>
    </row>
    <row r="95" spans="1:4">
      <c r="A95" t="s">
        <v>3416</v>
      </c>
      <c r="B95" s="3280" t="s">
        <v>1159</v>
      </c>
      <c r="C95" s="3272" t="s">
        <v>2493</v>
      </c>
      <c r="D95" s="3281">
        <v>168.73500000000001</v>
      </c>
    </row>
    <row r="96" spans="1:4">
      <c r="A96" t="s">
        <v>3417</v>
      </c>
      <c r="B96" s="3280" t="s">
        <v>578</v>
      </c>
      <c r="C96" s="3272" t="s">
        <v>1169</v>
      </c>
      <c r="D96" s="3281">
        <v>12764.438</v>
      </c>
    </row>
    <row r="97" spans="1:4">
      <c r="A97" t="s">
        <v>3418</v>
      </c>
      <c r="B97" s="3280" t="s">
        <v>882</v>
      </c>
      <c r="C97" s="3272" t="s">
        <v>2636</v>
      </c>
      <c r="D97" s="3281">
        <v>15086.785</v>
      </c>
    </row>
    <row r="98" spans="1:4">
      <c r="A98" t="s">
        <v>6676</v>
      </c>
      <c r="B98" s="3280" t="s">
        <v>2549</v>
      </c>
      <c r="C98" s="3272" t="s">
        <v>2494</v>
      </c>
      <c r="D98" s="3281">
        <v>99.295000000000002</v>
      </c>
    </row>
    <row r="99" spans="1:4">
      <c r="A99" t="s">
        <v>5782</v>
      </c>
      <c r="B99" s="3280" t="s">
        <v>400</v>
      </c>
      <c r="C99" s="3272" t="s">
        <v>2495</v>
      </c>
      <c r="D99" s="3281">
        <v>997.28099999999995</v>
      </c>
    </row>
    <row r="100" spans="1:4">
      <c r="A100" t="s">
        <v>6677</v>
      </c>
      <c r="B100" s="3280" t="s">
        <v>401</v>
      </c>
      <c r="C100" s="3272" t="s">
        <v>1589</v>
      </c>
      <c r="D100" s="3281">
        <v>57.072000000000003</v>
      </c>
    </row>
    <row r="101" spans="1:4">
      <c r="A101" t="s">
        <v>6678</v>
      </c>
      <c r="B101" s="3280" t="s">
        <v>402</v>
      </c>
      <c r="C101" s="3272" t="s">
        <v>1590</v>
      </c>
      <c r="D101" s="3281">
        <v>12.096</v>
      </c>
    </row>
    <row r="102" spans="1:4">
      <c r="A102" t="s">
        <v>6679</v>
      </c>
      <c r="B102" s="3280" t="s">
        <v>403</v>
      </c>
      <c r="C102" s="3272" t="s">
        <v>1591</v>
      </c>
      <c r="D102" s="3281">
        <v>192.65700000000001</v>
      </c>
    </row>
    <row r="103" spans="1:4">
      <c r="A103" t="s">
        <v>5783</v>
      </c>
      <c r="B103" s="3280" t="s">
        <v>669</v>
      </c>
      <c r="C103" s="3272" t="s">
        <v>1592</v>
      </c>
      <c r="D103" s="3281">
        <v>1440.826</v>
      </c>
    </row>
    <row r="104" spans="1:4">
      <c r="A104" t="s">
        <v>5784</v>
      </c>
      <c r="B104" s="3280" t="s">
        <v>670</v>
      </c>
      <c r="C104" s="3272" t="s">
        <v>1593</v>
      </c>
      <c r="D104" s="3281">
        <v>872.61400000000003</v>
      </c>
    </row>
    <row r="105" spans="1:4">
      <c r="A105" t="s">
        <v>5785</v>
      </c>
      <c r="B105" s="3280" t="s">
        <v>671</v>
      </c>
      <c r="C105" s="3272" t="s">
        <v>1594</v>
      </c>
      <c r="D105" s="3281">
        <v>3368.6860000000001</v>
      </c>
    </row>
    <row r="106" spans="1:4">
      <c r="A106" t="s">
        <v>3419</v>
      </c>
      <c r="B106" s="3280" t="s">
        <v>876</v>
      </c>
      <c r="C106" s="3272" t="s">
        <v>1343</v>
      </c>
      <c r="D106" s="3281">
        <v>171.46600000000001</v>
      </c>
    </row>
    <row r="107" spans="1:4">
      <c r="A107" t="s">
        <v>3420</v>
      </c>
      <c r="B107" s="3280" t="s">
        <v>2528</v>
      </c>
      <c r="C107" s="3272" t="s">
        <v>2068</v>
      </c>
      <c r="D107" s="3281">
        <v>273.03699999999998</v>
      </c>
    </row>
    <row r="108" spans="1:4">
      <c r="A108" t="s">
        <v>3421</v>
      </c>
      <c r="B108" s="3280" t="s">
        <v>1187</v>
      </c>
      <c r="C108" s="3272" t="s">
        <v>2675</v>
      </c>
      <c r="D108" s="3281">
        <v>201.446</v>
      </c>
    </row>
    <row r="109" spans="1:4">
      <c r="A109" t="s">
        <v>3422</v>
      </c>
      <c r="B109" s="3280" t="s">
        <v>712</v>
      </c>
      <c r="C109" s="3272" t="s">
        <v>2416</v>
      </c>
      <c r="D109" s="3281">
        <v>123.169</v>
      </c>
    </row>
    <row r="110" spans="1:4">
      <c r="A110" t="s">
        <v>3423</v>
      </c>
      <c r="B110" s="3280" t="s">
        <v>769</v>
      </c>
      <c r="C110" s="3272" t="s">
        <v>1063</v>
      </c>
      <c r="D110" s="3281">
        <v>1131.7639999999999</v>
      </c>
    </row>
    <row r="111" spans="1:4">
      <c r="A111" t="s">
        <v>5786</v>
      </c>
      <c r="B111" s="3280" t="s">
        <v>672</v>
      </c>
      <c r="C111" s="3272" t="s">
        <v>1595</v>
      </c>
      <c r="D111" s="3281">
        <v>1669.6210000000001</v>
      </c>
    </row>
    <row r="112" spans="1:4">
      <c r="A112" t="s">
        <v>5787</v>
      </c>
      <c r="B112" s="3280" t="s">
        <v>673</v>
      </c>
      <c r="C112" s="3272" t="s">
        <v>1596</v>
      </c>
      <c r="D112" s="3281">
        <v>452.23399999999998</v>
      </c>
    </row>
    <row r="113" spans="1:4">
      <c r="A113" t="s">
        <v>3424</v>
      </c>
      <c r="B113" s="3280" t="s">
        <v>674</v>
      </c>
      <c r="C113" s="3272" t="s">
        <v>1597</v>
      </c>
      <c r="D113" s="3281">
        <v>466.322</v>
      </c>
    </row>
    <row r="114" spans="1:4">
      <c r="A114" t="s">
        <v>3425</v>
      </c>
      <c r="B114" s="3280" t="s">
        <v>1885</v>
      </c>
      <c r="C114" s="3272" t="s">
        <v>133</v>
      </c>
      <c r="D114" s="3281">
        <v>2952.16</v>
      </c>
    </row>
    <row r="115" spans="1:4">
      <c r="A115" t="s">
        <v>4299</v>
      </c>
      <c r="B115" s="3280" t="s">
        <v>348</v>
      </c>
      <c r="C115" s="3272" t="s">
        <v>291</v>
      </c>
      <c r="D115" s="3281">
        <v>3895.127</v>
      </c>
    </row>
    <row r="116" spans="1:4">
      <c r="A116" t="s">
        <v>3426</v>
      </c>
      <c r="B116" s="3280" t="s">
        <v>456</v>
      </c>
      <c r="C116" s="3272" t="s">
        <v>2227</v>
      </c>
      <c r="D116" s="3281">
        <v>5391.2969999999996</v>
      </c>
    </row>
    <row r="117" spans="1:4">
      <c r="A117" t="s">
        <v>3427</v>
      </c>
      <c r="B117" s="3280" t="s">
        <v>1154</v>
      </c>
      <c r="C117" s="3272" t="s">
        <v>838</v>
      </c>
      <c r="D117" s="3281">
        <v>1294.8910000000001</v>
      </c>
    </row>
    <row r="118" spans="1:4">
      <c r="A118" t="s">
        <v>6680</v>
      </c>
      <c r="B118" s="3280" t="s">
        <v>2306</v>
      </c>
      <c r="C118" s="3272" t="s">
        <v>1598</v>
      </c>
      <c r="D118" s="3281">
        <v>172.78399999999999</v>
      </c>
    </row>
    <row r="119" spans="1:4">
      <c r="A119" t="s">
        <v>5788</v>
      </c>
      <c r="B119" s="3280" t="s">
        <v>1359</v>
      </c>
      <c r="C119" s="3272" t="s">
        <v>1027</v>
      </c>
      <c r="D119" s="3281">
        <v>3593.3339999999998</v>
      </c>
    </row>
    <row r="120" spans="1:4">
      <c r="A120" t="s">
        <v>6681</v>
      </c>
      <c r="B120" s="3280" t="s">
        <v>2341</v>
      </c>
      <c r="C120" s="3272" t="s">
        <v>1600</v>
      </c>
      <c r="D120" s="3281">
        <v>338.11099999999999</v>
      </c>
    </row>
    <row r="121" spans="1:4">
      <c r="A121" t="s">
        <v>3428</v>
      </c>
      <c r="B121" s="3280" t="s">
        <v>713</v>
      </c>
      <c r="C121" s="3272" t="s">
        <v>31</v>
      </c>
      <c r="D121" s="3281">
        <v>1338.02</v>
      </c>
    </row>
    <row r="122" spans="1:4">
      <c r="A122" t="s">
        <v>3429</v>
      </c>
      <c r="B122" s="3280" t="s">
        <v>148</v>
      </c>
      <c r="C122" s="3272" t="s">
        <v>1601</v>
      </c>
      <c r="D122" s="3281">
        <v>272.44400000000002</v>
      </c>
    </row>
    <row r="123" spans="1:4">
      <c r="A123" t="s">
        <v>5789</v>
      </c>
      <c r="B123" s="3280" t="s">
        <v>1829</v>
      </c>
      <c r="C123" s="3272" t="s">
        <v>1602</v>
      </c>
      <c r="D123" s="3281">
        <v>377.92899999999997</v>
      </c>
    </row>
    <row r="124" spans="1:4">
      <c r="A124" t="s">
        <v>3430</v>
      </c>
      <c r="B124" s="3280" t="s">
        <v>881</v>
      </c>
      <c r="C124" s="3272" t="s">
        <v>2635</v>
      </c>
      <c r="D124" s="3281">
        <v>41601.987999999998</v>
      </c>
    </row>
    <row r="125" spans="1:4">
      <c r="A125" t="s">
        <v>3431</v>
      </c>
      <c r="B125" s="3280" t="s">
        <v>1860</v>
      </c>
      <c r="C125" s="3272" t="s">
        <v>34</v>
      </c>
      <c r="D125" s="3281">
        <v>16953.93</v>
      </c>
    </row>
    <row r="126" spans="1:4">
      <c r="A126" t="s">
        <v>3432</v>
      </c>
      <c r="B126" s="3280" t="s">
        <v>57</v>
      </c>
      <c r="C126" s="3272" t="s">
        <v>1881</v>
      </c>
      <c r="D126" s="3281">
        <v>3144.7</v>
      </c>
    </row>
    <row r="127" spans="1:4">
      <c r="A127" t="s">
        <v>3433</v>
      </c>
      <c r="B127" s="3280" t="s">
        <v>2283</v>
      </c>
      <c r="C127" s="3272" t="s">
        <v>36</v>
      </c>
      <c r="D127" s="3281">
        <v>9911.9500000000007</v>
      </c>
    </row>
    <row r="128" spans="1:4">
      <c r="A128" t="s">
        <v>5790</v>
      </c>
      <c r="B128" s="3280" t="s">
        <v>1679</v>
      </c>
      <c r="C128" s="3272" t="s">
        <v>1603</v>
      </c>
      <c r="D128" s="3281">
        <v>2244.5439999999999</v>
      </c>
    </row>
    <row r="129" spans="1:4">
      <c r="A129" t="s">
        <v>3434</v>
      </c>
      <c r="B129" s="3280" t="s">
        <v>714</v>
      </c>
      <c r="C129" s="3272" t="s">
        <v>2694</v>
      </c>
      <c r="D129" s="3281">
        <v>1766.5170000000001</v>
      </c>
    </row>
    <row r="130" spans="1:4">
      <c r="A130" t="s">
        <v>3435</v>
      </c>
      <c r="B130" s="3280" t="s">
        <v>1315</v>
      </c>
      <c r="C130" s="3272" t="s">
        <v>39</v>
      </c>
      <c r="D130" s="3281">
        <v>9521.4050000000007</v>
      </c>
    </row>
    <row r="131" spans="1:4">
      <c r="A131" t="s">
        <v>3436</v>
      </c>
      <c r="B131" s="3280" t="s">
        <v>715</v>
      </c>
      <c r="C131" s="3272" t="s">
        <v>86</v>
      </c>
      <c r="D131" s="3281">
        <v>624.38800000000003</v>
      </c>
    </row>
    <row r="132" spans="1:4">
      <c r="A132" t="s">
        <v>3437</v>
      </c>
      <c r="B132" s="3280" t="s">
        <v>492</v>
      </c>
      <c r="C132" s="3272" t="s">
        <v>87</v>
      </c>
      <c r="D132" s="3281">
        <v>1033.2049999999999</v>
      </c>
    </row>
    <row r="133" spans="1:4">
      <c r="A133" t="s">
        <v>8674</v>
      </c>
      <c r="B133" s="3280" t="s">
        <v>2343</v>
      </c>
      <c r="C133" s="3272" t="s">
        <v>8675</v>
      </c>
      <c r="D133" s="3281">
        <v>4047.57</v>
      </c>
    </row>
    <row r="134" spans="1:4">
      <c r="A134" t="s">
        <v>5791</v>
      </c>
      <c r="B134" s="3280" t="s">
        <v>933</v>
      </c>
      <c r="C134" s="3272" t="s">
        <v>1604</v>
      </c>
      <c r="D134" s="3281">
        <v>2186.1289999999999</v>
      </c>
    </row>
    <row r="135" spans="1:4">
      <c r="A135" t="s">
        <v>5792</v>
      </c>
      <c r="B135" s="3280" t="s">
        <v>934</v>
      </c>
      <c r="C135" s="3272" t="s">
        <v>1605</v>
      </c>
      <c r="D135" s="3281">
        <v>143.03</v>
      </c>
    </row>
    <row r="136" spans="1:4">
      <c r="A136" t="s">
        <v>5793</v>
      </c>
      <c r="B136" s="3280" t="s">
        <v>776</v>
      </c>
      <c r="C136" s="3272" t="s">
        <v>2169</v>
      </c>
      <c r="D136" s="3281">
        <v>655.01499999999999</v>
      </c>
    </row>
    <row r="137" spans="1:4">
      <c r="A137" t="s">
        <v>5794</v>
      </c>
      <c r="B137" s="3280" t="s">
        <v>1806</v>
      </c>
      <c r="C137" s="3272" t="s">
        <v>2170</v>
      </c>
      <c r="D137" s="3281">
        <v>338.22199999999998</v>
      </c>
    </row>
    <row r="138" spans="1:4">
      <c r="A138" t="s">
        <v>5795</v>
      </c>
      <c r="B138" s="3280" t="s">
        <v>1725</v>
      </c>
      <c r="C138" s="3272" t="s">
        <v>2171</v>
      </c>
      <c r="D138" s="3281">
        <v>1547.7380000000001</v>
      </c>
    </row>
    <row r="139" spans="1:4">
      <c r="A139" t="s">
        <v>6682</v>
      </c>
      <c r="B139" s="3280" t="s">
        <v>1726</v>
      </c>
      <c r="C139" s="3272" t="s">
        <v>2172</v>
      </c>
      <c r="D139" s="3281">
        <v>122.07299999999999</v>
      </c>
    </row>
    <row r="140" spans="1:4">
      <c r="A140" t="s">
        <v>5796</v>
      </c>
      <c r="B140" s="3280" t="s">
        <v>743</v>
      </c>
      <c r="C140" s="3272" t="s">
        <v>2173</v>
      </c>
      <c r="D140" s="3281">
        <v>1175.71</v>
      </c>
    </row>
    <row r="141" spans="1:4">
      <c r="A141" t="s">
        <v>6683</v>
      </c>
      <c r="B141" s="3280" t="s">
        <v>744</v>
      </c>
      <c r="C141" s="3272" t="s">
        <v>1028</v>
      </c>
      <c r="D141" s="3281">
        <v>636.59699999999998</v>
      </c>
    </row>
    <row r="142" spans="1:4">
      <c r="A142" t="s">
        <v>4368</v>
      </c>
      <c r="B142" s="3280" t="s">
        <v>1875</v>
      </c>
      <c r="C142" s="3272" t="s">
        <v>821</v>
      </c>
      <c r="D142" s="3281">
        <v>355.41399999999999</v>
      </c>
    </row>
    <row r="143" spans="1:4">
      <c r="A143" t="s">
        <v>5797</v>
      </c>
      <c r="B143" s="3280" t="s">
        <v>745</v>
      </c>
      <c r="C143" s="3272" t="s">
        <v>1706</v>
      </c>
      <c r="D143" s="3281">
        <v>957.65099999999995</v>
      </c>
    </row>
    <row r="144" spans="1:4">
      <c r="A144" t="s">
        <v>5798</v>
      </c>
      <c r="B144" s="3280" t="s">
        <v>1952</v>
      </c>
      <c r="C144" s="3272" t="s">
        <v>1708</v>
      </c>
      <c r="D144" s="3281">
        <v>254.137</v>
      </c>
    </row>
    <row r="145" spans="1:4">
      <c r="A145" t="s">
        <v>5799</v>
      </c>
      <c r="B145" s="3280" t="s">
        <v>1953</v>
      </c>
      <c r="C145" s="3272" t="s">
        <v>1709</v>
      </c>
      <c r="D145" s="3281">
        <v>1113.3009999999999</v>
      </c>
    </row>
    <row r="146" spans="1:4">
      <c r="A146" t="s">
        <v>6684</v>
      </c>
      <c r="B146" s="3280" t="s">
        <v>2431</v>
      </c>
      <c r="C146" s="3272" t="s">
        <v>1710</v>
      </c>
      <c r="D146" s="3281">
        <v>211.07300000000001</v>
      </c>
    </row>
    <row r="147" spans="1:4">
      <c r="A147" t="s">
        <v>3438</v>
      </c>
      <c r="B147" s="3280" t="s">
        <v>2539</v>
      </c>
      <c r="C147" s="3272" t="s">
        <v>389</v>
      </c>
      <c r="D147" s="3281">
        <v>229.37200000000001</v>
      </c>
    </row>
    <row r="148" spans="1:4">
      <c r="A148" t="s">
        <v>3439</v>
      </c>
      <c r="B148" s="3280" t="s">
        <v>1640</v>
      </c>
      <c r="C148" s="3272" t="s">
        <v>1055</v>
      </c>
      <c r="D148" s="3281">
        <v>1234.6469999999999</v>
      </c>
    </row>
    <row r="149" spans="1:4">
      <c r="A149" t="s">
        <v>5800</v>
      </c>
      <c r="B149" s="3280" t="s">
        <v>2432</v>
      </c>
      <c r="C149" s="3272" t="s">
        <v>1711</v>
      </c>
      <c r="D149" s="3281">
        <v>5117.3500000000004</v>
      </c>
    </row>
    <row r="150" spans="1:4">
      <c r="A150" t="s">
        <v>3440</v>
      </c>
      <c r="B150" s="3280" t="s">
        <v>285</v>
      </c>
      <c r="C150" s="3272" t="s">
        <v>2369</v>
      </c>
      <c r="D150" s="3281">
        <v>1427.4469999999999</v>
      </c>
    </row>
    <row r="151" spans="1:4">
      <c r="A151" t="s">
        <v>5801</v>
      </c>
      <c r="B151" s="3280" t="s">
        <v>1469</v>
      </c>
      <c r="C151" s="3272" t="s">
        <v>1499</v>
      </c>
      <c r="D151" s="3281">
        <v>621.25900000000001</v>
      </c>
    </row>
    <row r="152" spans="1:4">
      <c r="A152" t="s">
        <v>3441</v>
      </c>
      <c r="B152" s="3280" t="s">
        <v>43</v>
      </c>
      <c r="C152" s="3272" t="s">
        <v>405</v>
      </c>
      <c r="D152" s="3281">
        <v>4567.0259999999998</v>
      </c>
    </row>
    <row r="153" spans="1:4">
      <c r="A153" t="s">
        <v>3442</v>
      </c>
      <c r="B153" s="3280" t="s">
        <v>1311</v>
      </c>
      <c r="C153" s="3272" t="s">
        <v>614</v>
      </c>
      <c r="D153" s="3281">
        <v>1927.877</v>
      </c>
    </row>
    <row r="154" spans="1:4">
      <c r="A154" t="s">
        <v>4382</v>
      </c>
      <c r="B154" s="3280" t="s">
        <v>2542</v>
      </c>
      <c r="C154" s="3272" t="s">
        <v>1143</v>
      </c>
      <c r="D154" s="3281">
        <v>505.13499999999999</v>
      </c>
    </row>
    <row r="155" spans="1:4">
      <c r="A155" t="s">
        <v>5802</v>
      </c>
      <c r="B155" s="3280" t="s">
        <v>1470</v>
      </c>
      <c r="C155" s="3272" t="s">
        <v>25</v>
      </c>
      <c r="D155" s="3281">
        <v>269.20699999999999</v>
      </c>
    </row>
    <row r="156" spans="1:4">
      <c r="A156" t="s">
        <v>3443</v>
      </c>
      <c r="B156" s="3280" t="s">
        <v>71</v>
      </c>
      <c r="C156" s="3272" t="s">
        <v>2185</v>
      </c>
      <c r="D156" s="3281">
        <v>1042.769</v>
      </c>
    </row>
    <row r="157" spans="1:4">
      <c r="A157" t="s">
        <v>5803</v>
      </c>
      <c r="B157" s="3280" t="s">
        <v>2167</v>
      </c>
      <c r="C157" s="3272" t="s">
        <v>1920</v>
      </c>
      <c r="D157" s="3281">
        <v>888.37800000000004</v>
      </c>
    </row>
    <row r="158" spans="1:4">
      <c r="A158" t="s">
        <v>3444</v>
      </c>
      <c r="B158" s="3280" t="s">
        <v>716</v>
      </c>
      <c r="C158" s="3272" t="s">
        <v>3912</v>
      </c>
      <c r="D158" s="3281">
        <v>451.98200000000003</v>
      </c>
    </row>
    <row r="159" spans="1:4">
      <c r="A159" t="s">
        <v>6685</v>
      </c>
      <c r="B159" s="3280" t="s">
        <v>2168</v>
      </c>
      <c r="C159" s="3272" t="s">
        <v>1921</v>
      </c>
      <c r="D159" s="3281">
        <v>118.63500000000001</v>
      </c>
    </row>
    <row r="160" spans="1:4">
      <c r="A160" t="s">
        <v>6686</v>
      </c>
      <c r="B160" s="3280" t="s">
        <v>1670</v>
      </c>
      <c r="C160" s="3272" t="s">
        <v>1922</v>
      </c>
      <c r="D160" s="3281">
        <v>132.476</v>
      </c>
    </row>
    <row r="161" spans="1:4">
      <c r="A161" t="s">
        <v>6687</v>
      </c>
      <c r="B161" s="3280" t="s">
        <v>1671</v>
      </c>
      <c r="C161" s="3272" t="s">
        <v>2154</v>
      </c>
      <c r="D161" s="3281">
        <v>357.03399999999999</v>
      </c>
    </row>
    <row r="162" spans="1:4">
      <c r="A162" t="s">
        <v>5804</v>
      </c>
      <c r="B162" s="3280" t="s">
        <v>795</v>
      </c>
      <c r="C162" s="3272" t="s">
        <v>1029</v>
      </c>
      <c r="D162" s="3281">
        <v>292.59100000000001</v>
      </c>
    </row>
    <row r="163" spans="1:4">
      <c r="A163" t="s">
        <v>6688</v>
      </c>
      <c r="B163" s="3280" t="s">
        <v>796</v>
      </c>
      <c r="C163" s="3272" t="s">
        <v>2156</v>
      </c>
      <c r="D163" s="3281">
        <v>215.31399999999999</v>
      </c>
    </row>
    <row r="164" spans="1:4">
      <c r="A164" t="s">
        <v>5805</v>
      </c>
      <c r="B164" s="3280" t="s">
        <v>815</v>
      </c>
      <c r="C164" s="3272" t="s">
        <v>2157</v>
      </c>
      <c r="D164" s="3281">
        <v>252.93899999999999</v>
      </c>
    </row>
    <row r="165" spans="1:4">
      <c r="A165" t="s">
        <v>4389</v>
      </c>
      <c r="B165" s="3280" t="s">
        <v>577</v>
      </c>
      <c r="C165" s="3272" t="s">
        <v>1168</v>
      </c>
      <c r="D165" s="3281">
        <v>798.60400000000004</v>
      </c>
    </row>
    <row r="166" spans="1:4">
      <c r="A166" t="s">
        <v>3445</v>
      </c>
      <c r="B166" s="3280" t="s">
        <v>2368</v>
      </c>
      <c r="C166" s="3272" t="s">
        <v>84</v>
      </c>
      <c r="D166" s="3281">
        <v>249.67400000000001</v>
      </c>
    </row>
    <row r="167" spans="1:4">
      <c r="A167" t="s">
        <v>5806</v>
      </c>
      <c r="B167" s="3280" t="s">
        <v>816</v>
      </c>
      <c r="C167" s="3272" t="s">
        <v>1030</v>
      </c>
      <c r="D167" s="3281">
        <v>156.749</v>
      </c>
    </row>
    <row r="168" spans="1:4">
      <c r="A168" t="s">
        <v>3446</v>
      </c>
      <c r="B168" s="3280" t="s">
        <v>584</v>
      </c>
      <c r="C168" s="3272" t="s">
        <v>1957</v>
      </c>
      <c r="D168" s="3281">
        <v>20353.194</v>
      </c>
    </row>
    <row r="169" spans="1:4">
      <c r="A169" t="s">
        <v>3447</v>
      </c>
      <c r="B169" s="3280" t="s">
        <v>1641</v>
      </c>
      <c r="C169" s="3272" t="s">
        <v>1056</v>
      </c>
      <c r="D169" s="3281">
        <v>3259.3890000000001</v>
      </c>
    </row>
    <row r="170" spans="1:4">
      <c r="A170" t="s">
        <v>3448</v>
      </c>
      <c r="B170" s="3280" t="s">
        <v>2502</v>
      </c>
      <c r="C170" s="3272" t="s">
        <v>658</v>
      </c>
      <c r="D170" s="3281">
        <v>2440.5700000000002</v>
      </c>
    </row>
    <row r="171" spans="1:4">
      <c r="A171" t="s">
        <v>3449</v>
      </c>
      <c r="B171" s="3280" t="s">
        <v>1687</v>
      </c>
      <c r="C171" s="3272" t="s">
        <v>108</v>
      </c>
      <c r="D171" s="3281">
        <v>1558.886</v>
      </c>
    </row>
    <row r="172" spans="1:4">
      <c r="A172" t="s">
        <v>3450</v>
      </c>
      <c r="B172" s="3280" t="s">
        <v>1425</v>
      </c>
      <c r="C172" s="3272" t="s">
        <v>1477</v>
      </c>
      <c r="D172" s="3281">
        <v>55863.158000000003</v>
      </c>
    </row>
    <row r="173" spans="1:4">
      <c r="A173" t="s">
        <v>3451</v>
      </c>
      <c r="B173" s="3280" t="s">
        <v>2530</v>
      </c>
      <c r="C173" s="3272" t="s">
        <v>820</v>
      </c>
      <c r="D173" s="3281">
        <v>23500.948</v>
      </c>
    </row>
    <row r="174" spans="1:4">
      <c r="A174" t="s">
        <v>3452</v>
      </c>
      <c r="B174" s="3280" t="s">
        <v>649</v>
      </c>
      <c r="C174" s="3272" t="s">
        <v>2199</v>
      </c>
      <c r="D174" s="3281">
        <v>2669.3679999999999</v>
      </c>
    </row>
    <row r="175" spans="1:4">
      <c r="A175" t="s">
        <v>5807</v>
      </c>
      <c r="B175" s="3280" t="s">
        <v>650</v>
      </c>
      <c r="C175" s="3272" t="s">
        <v>2200</v>
      </c>
      <c r="D175" s="3281">
        <v>50704.12</v>
      </c>
    </row>
    <row r="176" spans="1:4">
      <c r="A176" t="s">
        <v>3453</v>
      </c>
      <c r="B176" s="3280" t="s">
        <v>218</v>
      </c>
      <c r="C176" s="3272" t="s">
        <v>74</v>
      </c>
      <c r="D176" s="3281">
        <v>4101.3419999999996</v>
      </c>
    </row>
    <row r="177" spans="1:4">
      <c r="A177" t="s">
        <v>3454</v>
      </c>
      <c r="B177" s="3280" t="s">
        <v>1583</v>
      </c>
      <c r="C177" s="3272" t="s">
        <v>76</v>
      </c>
      <c r="D177" s="3281">
        <v>11656.091</v>
      </c>
    </row>
    <row r="178" spans="1:4">
      <c r="A178" t="s">
        <v>3455</v>
      </c>
      <c r="B178" s="3280" t="s">
        <v>1184</v>
      </c>
      <c r="C178" s="3272" t="s">
        <v>1132</v>
      </c>
      <c r="D178" s="3281">
        <v>15030.846</v>
      </c>
    </row>
    <row r="179" spans="1:4">
      <c r="A179" t="s">
        <v>3456</v>
      </c>
      <c r="B179" s="3280" t="s">
        <v>878</v>
      </c>
      <c r="C179" s="3272" t="s">
        <v>1345</v>
      </c>
      <c r="D179" s="3281">
        <v>762.87800000000004</v>
      </c>
    </row>
    <row r="180" spans="1:4">
      <c r="A180" t="s">
        <v>3457</v>
      </c>
      <c r="B180" s="3280" t="s">
        <v>1438</v>
      </c>
      <c r="C180" s="3272" t="s">
        <v>1551</v>
      </c>
      <c r="D180" s="3281">
        <v>2133.386</v>
      </c>
    </row>
    <row r="181" spans="1:4">
      <c r="A181" t="s">
        <v>5808</v>
      </c>
      <c r="B181" s="3280" t="s">
        <v>253</v>
      </c>
      <c r="C181" s="3272" t="s">
        <v>2201</v>
      </c>
      <c r="D181" s="3281">
        <v>4070.7359999999999</v>
      </c>
    </row>
    <row r="182" spans="1:4">
      <c r="A182" t="s">
        <v>6689</v>
      </c>
      <c r="B182" s="3280" t="s">
        <v>254</v>
      </c>
      <c r="C182" s="3272" t="s">
        <v>2202</v>
      </c>
      <c r="D182" s="3281">
        <v>548.60299999999995</v>
      </c>
    </row>
    <row r="183" spans="1:4">
      <c r="A183" t="s">
        <v>3458</v>
      </c>
      <c r="B183" s="3280" t="s">
        <v>1436</v>
      </c>
      <c r="C183" s="3272" t="s">
        <v>1549</v>
      </c>
      <c r="D183" s="3281">
        <v>1418.893</v>
      </c>
    </row>
    <row r="184" spans="1:4">
      <c r="A184" t="s">
        <v>5809</v>
      </c>
      <c r="B184" s="3280" t="s">
        <v>589</v>
      </c>
      <c r="C184" s="3272" t="s">
        <v>1031</v>
      </c>
      <c r="D184" s="3281">
        <v>1254.2639999999999</v>
      </c>
    </row>
    <row r="185" spans="1:4">
      <c r="A185" t="s">
        <v>5810</v>
      </c>
      <c r="B185" s="3280" t="s">
        <v>27</v>
      </c>
      <c r="C185" s="3272" t="s">
        <v>2205</v>
      </c>
      <c r="D185" s="3281">
        <v>605.38499999999999</v>
      </c>
    </row>
    <row r="186" spans="1:4">
      <c r="A186" t="s">
        <v>3459</v>
      </c>
      <c r="B186" s="3280" t="s">
        <v>28</v>
      </c>
      <c r="C186" s="3272" t="s">
        <v>2206</v>
      </c>
      <c r="D186" s="3281">
        <v>8341.9069999999992</v>
      </c>
    </row>
    <row r="187" spans="1:4">
      <c r="A187" t="s">
        <v>5811</v>
      </c>
      <c r="B187" s="3280" t="s">
        <v>1265</v>
      </c>
      <c r="C187" s="3272" t="s">
        <v>2207</v>
      </c>
      <c r="D187" s="3281">
        <v>21734.588</v>
      </c>
    </row>
    <row r="188" spans="1:4">
      <c r="A188" t="s">
        <v>3460</v>
      </c>
      <c r="B188" s="3280" t="s">
        <v>2315</v>
      </c>
      <c r="C188" s="3272" t="s">
        <v>2208</v>
      </c>
      <c r="D188" s="3281">
        <v>1191.636</v>
      </c>
    </row>
    <row r="189" spans="1:4">
      <c r="A189" t="s">
        <v>3461</v>
      </c>
      <c r="B189" s="3280" t="s">
        <v>2409</v>
      </c>
      <c r="C189" s="3272" t="s">
        <v>2665</v>
      </c>
      <c r="D189" s="3281">
        <v>681.53099999999995</v>
      </c>
    </row>
    <row r="190" spans="1:4">
      <c r="A190" t="s">
        <v>3462</v>
      </c>
      <c r="B190" s="3280" t="s">
        <v>2342</v>
      </c>
      <c r="C190" s="3272" t="s">
        <v>1733</v>
      </c>
      <c r="D190" s="3281">
        <v>131.07599999999999</v>
      </c>
    </row>
    <row r="191" spans="1:4">
      <c r="A191" t="s">
        <v>3463</v>
      </c>
      <c r="B191" s="3280" t="s">
        <v>2316</v>
      </c>
      <c r="C191" s="3272" t="s">
        <v>2209</v>
      </c>
      <c r="D191" s="3281">
        <v>118.854</v>
      </c>
    </row>
    <row r="192" spans="1:4">
      <c r="A192" t="s">
        <v>6690</v>
      </c>
      <c r="B192" s="3280" t="s">
        <v>2317</v>
      </c>
      <c r="C192" s="3272" t="s">
        <v>1032</v>
      </c>
      <c r="D192" s="3281">
        <v>214.98599999999999</v>
      </c>
    </row>
    <row r="193" spans="1:4">
      <c r="A193" t="s">
        <v>5812</v>
      </c>
      <c r="B193" s="3280" t="s">
        <v>300</v>
      </c>
      <c r="C193" s="3272" t="s">
        <v>2211</v>
      </c>
      <c r="D193" s="3281">
        <v>222.14099999999999</v>
      </c>
    </row>
    <row r="194" spans="1:4">
      <c r="A194" t="s">
        <v>3464</v>
      </c>
      <c r="B194" s="3280" t="s">
        <v>1427</v>
      </c>
      <c r="C194" s="3272" t="s">
        <v>1479</v>
      </c>
      <c r="D194" s="3281">
        <v>2811.7020000000002</v>
      </c>
    </row>
    <row r="195" spans="1:4">
      <c r="A195" t="s">
        <v>5813</v>
      </c>
      <c r="B195" s="3280" t="s">
        <v>301</v>
      </c>
      <c r="C195" s="3272" t="s">
        <v>2212</v>
      </c>
      <c r="D195" s="3281">
        <v>464.79700000000003</v>
      </c>
    </row>
    <row r="196" spans="1:4">
      <c r="A196" t="s">
        <v>3465</v>
      </c>
      <c r="B196" s="3280" t="s">
        <v>2503</v>
      </c>
      <c r="C196" s="3272" t="s">
        <v>2364</v>
      </c>
      <c r="D196" s="3281">
        <v>757.45699999999999</v>
      </c>
    </row>
    <row r="197" spans="1:4">
      <c r="A197" t="s">
        <v>5814</v>
      </c>
      <c r="B197" s="3280" t="s">
        <v>302</v>
      </c>
      <c r="C197" s="3272" t="s">
        <v>2213</v>
      </c>
      <c r="D197" s="3281">
        <v>1085.806</v>
      </c>
    </row>
    <row r="198" spans="1:4">
      <c r="A198" t="s">
        <v>3466</v>
      </c>
      <c r="B198" s="3280" t="s">
        <v>303</v>
      </c>
      <c r="C198" s="3272" t="s">
        <v>2214</v>
      </c>
      <c r="D198" s="3281">
        <v>460.73200000000003</v>
      </c>
    </row>
    <row r="199" spans="1:4">
      <c r="A199" t="s">
        <v>5815</v>
      </c>
      <c r="B199" s="3280" t="s">
        <v>304</v>
      </c>
      <c r="C199" s="3272" t="s">
        <v>2215</v>
      </c>
      <c r="D199" s="3281">
        <v>483.92</v>
      </c>
    </row>
    <row r="200" spans="1:4">
      <c r="A200" t="s">
        <v>6691</v>
      </c>
      <c r="B200" s="3280" t="s">
        <v>1743</v>
      </c>
      <c r="C200" s="3272" t="s">
        <v>2216</v>
      </c>
      <c r="D200" s="3281">
        <v>69.766000000000005</v>
      </c>
    </row>
    <row r="201" spans="1:4">
      <c r="A201" t="s">
        <v>6692</v>
      </c>
      <c r="B201" s="3280" t="s">
        <v>1744</v>
      </c>
      <c r="C201" s="3272" t="s">
        <v>2217</v>
      </c>
      <c r="D201" s="3281">
        <v>61.219000000000001</v>
      </c>
    </row>
    <row r="202" spans="1:4">
      <c r="A202" t="s">
        <v>6693</v>
      </c>
      <c r="B202" s="3280" t="s">
        <v>1316</v>
      </c>
      <c r="C202" s="3272" t="s">
        <v>2218</v>
      </c>
      <c r="D202" s="3281">
        <v>229.011</v>
      </c>
    </row>
    <row r="203" spans="1:4">
      <c r="A203" t="s">
        <v>5816</v>
      </c>
      <c r="B203" s="3280" t="s">
        <v>1107</v>
      </c>
      <c r="C203" s="3272" t="s">
        <v>2219</v>
      </c>
      <c r="D203" s="3281">
        <v>2584.6410000000001</v>
      </c>
    </row>
    <row r="204" spans="1:4">
      <c r="A204" t="s">
        <v>3467</v>
      </c>
      <c r="B204" s="3280" t="s">
        <v>2148</v>
      </c>
      <c r="C204" s="3272" t="s">
        <v>261</v>
      </c>
      <c r="D204" s="3281">
        <v>154.70599999999999</v>
      </c>
    </row>
    <row r="205" spans="1:4">
      <c r="A205" t="s">
        <v>5817</v>
      </c>
      <c r="B205" s="3280" t="s">
        <v>1108</v>
      </c>
      <c r="C205" s="3272" t="s">
        <v>2220</v>
      </c>
      <c r="D205" s="3281">
        <v>292.601</v>
      </c>
    </row>
    <row r="206" spans="1:4">
      <c r="A206" t="s">
        <v>3468</v>
      </c>
      <c r="B206" s="3280" t="s">
        <v>2398</v>
      </c>
      <c r="C206" s="3272" t="s">
        <v>2573</v>
      </c>
      <c r="D206" s="3281">
        <v>7416.4070000000002</v>
      </c>
    </row>
    <row r="207" spans="1:4">
      <c r="A207" t="s">
        <v>6694</v>
      </c>
      <c r="B207" s="3280" t="s">
        <v>1109</v>
      </c>
      <c r="C207" s="3272" t="s">
        <v>2221</v>
      </c>
      <c r="D207" s="3281">
        <v>194.54400000000001</v>
      </c>
    </row>
    <row r="208" spans="1:4">
      <c r="A208" t="s">
        <v>5818</v>
      </c>
      <c r="B208" s="3280" t="s">
        <v>681</v>
      </c>
      <c r="C208" s="3272" t="s">
        <v>2222</v>
      </c>
      <c r="D208" s="3281">
        <v>1040.27</v>
      </c>
    </row>
    <row r="209" spans="1:4">
      <c r="A209" t="s">
        <v>6695</v>
      </c>
      <c r="B209" s="3280" t="s">
        <v>682</v>
      </c>
      <c r="C209" s="3272" t="s">
        <v>3913</v>
      </c>
      <c r="D209" s="3281">
        <v>692.53800000000001</v>
      </c>
    </row>
    <row r="210" spans="1:4">
      <c r="A210" t="s">
        <v>6696</v>
      </c>
      <c r="B210" s="3280" t="s">
        <v>683</v>
      </c>
      <c r="C210" s="3272" t="s">
        <v>1034</v>
      </c>
      <c r="D210" s="3281">
        <v>334.62400000000002</v>
      </c>
    </row>
    <row r="211" spans="1:4">
      <c r="A211" t="s">
        <v>6697</v>
      </c>
      <c r="B211" s="3280" t="s">
        <v>684</v>
      </c>
      <c r="C211" s="3272" t="s">
        <v>664</v>
      </c>
      <c r="D211" s="3281">
        <v>240.339</v>
      </c>
    </row>
    <row r="212" spans="1:4">
      <c r="A212" t="s">
        <v>6698</v>
      </c>
      <c r="B212" s="3280" t="s">
        <v>392</v>
      </c>
      <c r="C212" s="3272" t="s">
        <v>665</v>
      </c>
      <c r="D212" s="3281">
        <v>473.553</v>
      </c>
    </row>
    <row r="213" spans="1:4">
      <c r="A213" t="s">
        <v>5819</v>
      </c>
      <c r="B213" s="3280" t="s">
        <v>2559</v>
      </c>
      <c r="C213" s="3272" t="s">
        <v>122</v>
      </c>
      <c r="D213" s="3281">
        <v>338.81</v>
      </c>
    </row>
    <row r="214" spans="1:4">
      <c r="A214" t="s">
        <v>5820</v>
      </c>
      <c r="B214" s="3280" t="s">
        <v>2560</v>
      </c>
      <c r="C214" s="3272" t="s">
        <v>123</v>
      </c>
      <c r="D214" s="3281">
        <v>1613.77</v>
      </c>
    </row>
    <row r="215" spans="1:4">
      <c r="A215" t="s">
        <v>6699</v>
      </c>
      <c r="B215" s="3280" t="s">
        <v>2561</v>
      </c>
      <c r="C215" s="3272" t="s">
        <v>124</v>
      </c>
      <c r="D215" s="3281">
        <v>161.065</v>
      </c>
    </row>
    <row r="216" spans="1:4">
      <c r="A216" t="s">
        <v>5821</v>
      </c>
      <c r="B216" s="3280" t="s">
        <v>1642</v>
      </c>
      <c r="C216" s="3272" t="s">
        <v>125</v>
      </c>
      <c r="D216" s="3281">
        <v>23425.800999999999</v>
      </c>
    </row>
    <row r="217" spans="1:4">
      <c r="A217" t="s">
        <v>5822</v>
      </c>
      <c r="B217" s="3280" t="s">
        <v>385</v>
      </c>
      <c r="C217" s="3272" t="s">
        <v>126</v>
      </c>
      <c r="D217" s="3281">
        <v>7385.6090000000004</v>
      </c>
    </row>
    <row r="218" spans="1:4">
      <c r="A218" t="s">
        <v>5823</v>
      </c>
      <c r="B218" s="3280" t="s">
        <v>386</v>
      </c>
      <c r="C218" s="3272" t="s">
        <v>127</v>
      </c>
      <c r="D218" s="3281">
        <v>142447.905</v>
      </c>
    </row>
    <row r="219" spans="1:4">
      <c r="A219" t="s">
        <v>3469</v>
      </c>
      <c r="B219" s="3280" t="s">
        <v>387</v>
      </c>
      <c r="C219" s="3272" t="s">
        <v>128</v>
      </c>
      <c r="D219" s="3281">
        <v>8971.1020000000008</v>
      </c>
    </row>
    <row r="220" spans="1:4">
      <c r="A220" t="s">
        <v>5824</v>
      </c>
      <c r="B220" s="3280" t="s">
        <v>388</v>
      </c>
      <c r="C220" s="3272" t="s">
        <v>129</v>
      </c>
      <c r="D220" s="3281">
        <v>11859.154</v>
      </c>
    </row>
    <row r="221" spans="1:4">
      <c r="A221" t="s">
        <v>3470</v>
      </c>
      <c r="B221" s="3280" t="s">
        <v>2578</v>
      </c>
      <c r="C221" s="3272" t="s">
        <v>1482</v>
      </c>
      <c r="D221" s="3281">
        <v>52863.942999999999</v>
      </c>
    </row>
    <row r="222" spans="1:4">
      <c r="A222" t="s">
        <v>3471</v>
      </c>
      <c r="B222" s="3280" t="s">
        <v>666</v>
      </c>
      <c r="C222" s="3272" t="s">
        <v>863</v>
      </c>
      <c r="D222" s="3281">
        <v>26813.036</v>
      </c>
    </row>
    <row r="223" spans="1:4">
      <c r="A223" t="s">
        <v>5825</v>
      </c>
      <c r="B223" s="3280" t="s">
        <v>533</v>
      </c>
      <c r="C223" s="3272" t="s">
        <v>130</v>
      </c>
      <c r="D223" s="3281">
        <v>6685.8490000000002</v>
      </c>
    </row>
    <row r="224" spans="1:4">
      <c r="A224" t="s">
        <v>3472</v>
      </c>
      <c r="B224" s="3280" t="s">
        <v>41</v>
      </c>
      <c r="C224" s="3272" t="s">
        <v>1269</v>
      </c>
      <c r="D224" s="3281">
        <v>31581.862000000001</v>
      </c>
    </row>
    <row r="225" spans="1:4">
      <c r="A225" t="s">
        <v>5826</v>
      </c>
      <c r="B225" s="3280" t="s">
        <v>1790</v>
      </c>
      <c r="C225" s="3272" t="s">
        <v>131</v>
      </c>
      <c r="D225" s="3281">
        <v>6657.6509999999998</v>
      </c>
    </row>
    <row r="226" spans="1:4">
      <c r="A226" t="s">
        <v>3473</v>
      </c>
      <c r="B226" s="3280" t="s">
        <v>2533</v>
      </c>
      <c r="C226" s="3272" t="s">
        <v>2235</v>
      </c>
      <c r="D226" s="3281">
        <v>38362.942999999999</v>
      </c>
    </row>
    <row r="227" spans="1:4">
      <c r="A227" t="s">
        <v>5827</v>
      </c>
      <c r="B227" s="3280" t="s">
        <v>1791</v>
      </c>
      <c r="C227" s="3272" t="s">
        <v>2610</v>
      </c>
      <c r="D227" s="3281">
        <v>36522.082000000002</v>
      </c>
    </row>
    <row r="228" spans="1:4">
      <c r="A228" t="s">
        <v>5828</v>
      </c>
      <c r="B228" s="3280" t="s">
        <v>2688</v>
      </c>
      <c r="C228" s="3272" t="s">
        <v>2611</v>
      </c>
      <c r="D228" s="3281">
        <v>1726.77</v>
      </c>
    </row>
    <row r="229" spans="1:4">
      <c r="A229" t="s">
        <v>5829</v>
      </c>
      <c r="B229" s="3280" t="s">
        <v>249</v>
      </c>
      <c r="C229" s="3272" t="s">
        <v>2612</v>
      </c>
      <c r="D229" s="3281">
        <v>12049.288</v>
      </c>
    </row>
    <row r="230" spans="1:4">
      <c r="A230" t="s">
        <v>6700</v>
      </c>
      <c r="B230" s="3280" t="s">
        <v>250</v>
      </c>
      <c r="C230" s="3272" t="s">
        <v>2663</v>
      </c>
      <c r="D230" s="3281">
        <v>122.32</v>
      </c>
    </row>
    <row r="231" spans="1:4">
      <c r="A231" t="s">
        <v>5830</v>
      </c>
      <c r="B231" s="3280" t="s">
        <v>251</v>
      </c>
      <c r="C231" s="3272" t="s">
        <v>2613</v>
      </c>
      <c r="D231" s="3281">
        <v>231.964</v>
      </c>
    </row>
    <row r="232" spans="1:4">
      <c r="A232" t="s">
        <v>6701</v>
      </c>
      <c r="B232" s="3280" t="s">
        <v>252</v>
      </c>
      <c r="C232" s="3272" t="s">
        <v>2614</v>
      </c>
      <c r="D232" s="3281">
        <v>1725.748</v>
      </c>
    </row>
    <row r="233" spans="1:4">
      <c r="A233" t="s">
        <v>5831</v>
      </c>
      <c r="B233" s="3280" t="s">
        <v>374</v>
      </c>
      <c r="C233" s="3272" t="s">
        <v>2615</v>
      </c>
      <c r="D233" s="3281">
        <v>226.815</v>
      </c>
    </row>
    <row r="234" spans="1:4">
      <c r="A234" t="s">
        <v>4508</v>
      </c>
      <c r="B234" s="3280" t="s">
        <v>1864</v>
      </c>
      <c r="C234" s="3272" t="s">
        <v>2372</v>
      </c>
      <c r="D234" s="3281">
        <v>3835.6239999999998</v>
      </c>
    </row>
    <row r="235" spans="1:4">
      <c r="A235" t="s">
        <v>6702</v>
      </c>
      <c r="B235" s="3280" t="s">
        <v>1068</v>
      </c>
      <c r="C235" s="3272" t="s">
        <v>2616</v>
      </c>
      <c r="D235" s="3281">
        <v>108.124</v>
      </c>
    </row>
    <row r="236" spans="1:4">
      <c r="A236" t="s">
        <v>3474</v>
      </c>
      <c r="B236" s="3280" t="s">
        <v>1069</v>
      </c>
      <c r="C236" s="3272" t="s">
        <v>2617</v>
      </c>
      <c r="D236" s="3281">
        <v>754.80600000000004</v>
      </c>
    </row>
    <row r="237" spans="1:4">
      <c r="A237" t="s">
        <v>3475</v>
      </c>
      <c r="B237" s="3280" t="s">
        <v>640</v>
      </c>
      <c r="C237" s="3272" t="s">
        <v>107</v>
      </c>
      <c r="D237" s="3281">
        <v>157.84800000000001</v>
      </c>
    </row>
    <row r="238" spans="1:4">
      <c r="A238" t="s">
        <v>5832</v>
      </c>
      <c r="B238" s="3280" t="s">
        <v>1070</v>
      </c>
      <c r="C238" s="3272" t="s">
        <v>2618</v>
      </c>
      <c r="D238" s="3281">
        <v>27543.753000000001</v>
      </c>
    </row>
    <row r="239" spans="1:4">
      <c r="A239" t="s">
        <v>3476</v>
      </c>
      <c r="B239" s="3280" t="s">
        <v>1770</v>
      </c>
      <c r="C239" s="3272" t="s">
        <v>2466</v>
      </c>
      <c r="D239" s="3281">
        <v>49227.911999999997</v>
      </c>
    </row>
    <row r="240" spans="1:4">
      <c r="A240" t="s">
        <v>4518</v>
      </c>
      <c r="B240" s="3280" t="s">
        <v>212</v>
      </c>
      <c r="C240" s="3272" t="s">
        <v>1000</v>
      </c>
      <c r="D240" s="3281">
        <v>1297.06</v>
      </c>
    </row>
    <row r="241" spans="1:4">
      <c r="A241" t="s">
        <v>3477</v>
      </c>
      <c r="B241" s="3280" t="s">
        <v>717</v>
      </c>
      <c r="C241" s="3272" t="s">
        <v>1692</v>
      </c>
      <c r="D241" s="3281">
        <v>2001.6010000000001</v>
      </c>
    </row>
    <row r="242" spans="1:4">
      <c r="A242" t="s">
        <v>3478</v>
      </c>
      <c r="B242" s="3280" t="s">
        <v>214</v>
      </c>
      <c r="C242" s="3272" t="s">
        <v>1002</v>
      </c>
      <c r="D242" s="3281">
        <v>1344.68</v>
      </c>
    </row>
    <row r="243" spans="1:4">
      <c r="A243" t="s">
        <v>3479</v>
      </c>
      <c r="B243" s="3280" t="s">
        <v>1680</v>
      </c>
      <c r="C243" s="3272" t="s">
        <v>2116</v>
      </c>
      <c r="D243" s="3281">
        <v>2316.902</v>
      </c>
    </row>
    <row r="244" spans="1:4">
      <c r="A244" t="s">
        <v>3480</v>
      </c>
      <c r="B244" s="3280" t="s">
        <v>490</v>
      </c>
      <c r="C244" s="3272" t="s">
        <v>2060</v>
      </c>
      <c r="D244" s="3281">
        <v>2554.44</v>
      </c>
    </row>
    <row r="245" spans="1:4">
      <c r="A245" t="s">
        <v>5833</v>
      </c>
      <c r="B245" s="3280" t="s">
        <v>1838</v>
      </c>
      <c r="C245" s="3272" t="s">
        <v>2619</v>
      </c>
      <c r="D245" s="3281">
        <v>2558.4160000000002</v>
      </c>
    </row>
    <row r="246" spans="1:4">
      <c r="A246" t="s">
        <v>3481</v>
      </c>
      <c r="B246" s="3280" t="s">
        <v>1410</v>
      </c>
      <c r="C246" s="3272" t="s">
        <v>1256</v>
      </c>
      <c r="D246" s="3281">
        <v>21870.232</v>
      </c>
    </row>
    <row r="247" spans="1:4">
      <c r="A247" t="s">
        <v>3482</v>
      </c>
      <c r="B247" s="3280" t="s">
        <v>61</v>
      </c>
      <c r="C247" s="3272" t="s">
        <v>2300</v>
      </c>
      <c r="D247" s="3281">
        <v>3751.2150000000001</v>
      </c>
    </row>
    <row r="248" spans="1:4">
      <c r="A248" t="s">
        <v>3483</v>
      </c>
      <c r="B248" s="3280" t="s">
        <v>641</v>
      </c>
      <c r="C248" s="3272" t="s">
        <v>1567</v>
      </c>
      <c r="D248" s="3281">
        <v>7109.4889999999996</v>
      </c>
    </row>
    <row r="249" spans="1:4">
      <c r="A249" t="s">
        <v>3484</v>
      </c>
      <c r="B249" s="3280" t="s">
        <v>2504</v>
      </c>
      <c r="C249" s="3272" t="s">
        <v>421</v>
      </c>
      <c r="D249" s="3281">
        <v>1884.3810000000001</v>
      </c>
    </row>
    <row r="250" spans="1:4">
      <c r="A250" t="s">
        <v>5834</v>
      </c>
      <c r="B250" s="3280" t="s">
        <v>1839</v>
      </c>
      <c r="C250" s="3272" t="s">
        <v>2620</v>
      </c>
      <c r="D250" s="3281">
        <v>145.44300000000001</v>
      </c>
    </row>
    <row r="251" spans="1:4">
      <c r="A251" t="s">
        <v>3485</v>
      </c>
      <c r="B251" s="3280" t="s">
        <v>1185</v>
      </c>
      <c r="C251" s="3272" t="s">
        <v>2196</v>
      </c>
      <c r="D251" s="3281">
        <v>1474.662</v>
      </c>
    </row>
    <row r="252" spans="1:4">
      <c r="A252" t="s">
        <v>5835</v>
      </c>
      <c r="B252" s="3280" t="s">
        <v>1840</v>
      </c>
      <c r="C252" s="3272" t="s">
        <v>2621</v>
      </c>
      <c r="D252" s="3281">
        <v>489.815</v>
      </c>
    </row>
    <row r="253" spans="1:4">
      <c r="A253" t="s">
        <v>6703</v>
      </c>
      <c r="B253" s="3280" t="s">
        <v>698</v>
      </c>
      <c r="C253" s="3272" t="s">
        <v>2622</v>
      </c>
      <c r="D253" s="3281">
        <v>67.873000000000005</v>
      </c>
    </row>
    <row r="254" spans="1:4">
      <c r="A254" t="s">
        <v>6704</v>
      </c>
      <c r="B254" s="3280" t="s">
        <v>299</v>
      </c>
      <c r="C254" s="3272" t="s">
        <v>2623</v>
      </c>
      <c r="D254" s="3281">
        <v>109.628</v>
      </c>
    </row>
    <row r="255" spans="1:4">
      <c r="A255" t="s">
        <v>5836</v>
      </c>
      <c r="B255" s="3280" t="s">
        <v>175</v>
      </c>
      <c r="C255" s="3272" t="s">
        <v>2624</v>
      </c>
      <c r="D255" s="3281">
        <v>237.88499999999999</v>
      </c>
    </row>
    <row r="256" spans="1:4">
      <c r="A256" t="s">
        <v>6705</v>
      </c>
      <c r="B256" s="3280" t="s">
        <v>176</v>
      </c>
      <c r="C256" s="3272" t="s">
        <v>2625</v>
      </c>
      <c r="D256" s="3281">
        <v>89.753</v>
      </c>
    </row>
    <row r="257" spans="1:4">
      <c r="A257" t="s">
        <v>3486</v>
      </c>
      <c r="B257" s="3280" t="s">
        <v>718</v>
      </c>
      <c r="C257" s="3272" t="s">
        <v>30</v>
      </c>
      <c r="D257" s="3281">
        <v>2030.5</v>
      </c>
    </row>
    <row r="258" spans="1:4">
      <c r="A258" t="s">
        <v>6706</v>
      </c>
      <c r="B258" s="3280" t="s">
        <v>2629</v>
      </c>
      <c r="C258" s="3272" t="s">
        <v>1958</v>
      </c>
      <c r="D258" s="3281">
        <v>431.77199999999999</v>
      </c>
    </row>
    <row r="259" spans="1:4">
      <c r="A259" t="s">
        <v>3487</v>
      </c>
      <c r="B259" s="3280" t="s">
        <v>1556</v>
      </c>
      <c r="C259" s="3272" t="s">
        <v>2370</v>
      </c>
      <c r="D259" s="3281">
        <v>99.046999999999997</v>
      </c>
    </row>
    <row r="260" spans="1:4">
      <c r="A260" t="s">
        <v>6707</v>
      </c>
      <c r="B260" s="3280" t="s">
        <v>2630</v>
      </c>
      <c r="C260" s="3272" t="s">
        <v>1959</v>
      </c>
      <c r="D260" s="3281">
        <v>25.802</v>
      </c>
    </row>
    <row r="261" spans="1:4">
      <c r="A261" t="s">
        <v>5837</v>
      </c>
      <c r="B261" s="3280" t="s">
        <v>2631</v>
      </c>
      <c r="C261" s="3272" t="s">
        <v>1960</v>
      </c>
      <c r="D261" s="3281">
        <v>297.39100000000002</v>
      </c>
    </row>
    <row r="262" spans="1:4">
      <c r="A262" t="s">
        <v>3488</v>
      </c>
      <c r="B262" s="3280" t="s">
        <v>719</v>
      </c>
      <c r="C262" s="3272" t="s">
        <v>2030</v>
      </c>
      <c r="D262" s="3281">
        <v>1298.4090000000001</v>
      </c>
    </row>
    <row r="263" spans="1:4">
      <c r="A263" t="s">
        <v>5838</v>
      </c>
      <c r="B263" s="3280" t="s">
        <v>678</v>
      </c>
      <c r="C263" s="3272" t="s">
        <v>1961</v>
      </c>
      <c r="D263" s="3281">
        <v>702.30399999999997</v>
      </c>
    </row>
    <row r="264" spans="1:4">
      <c r="A264" t="s">
        <v>4572</v>
      </c>
      <c r="B264" s="3280" t="s">
        <v>2149</v>
      </c>
      <c r="C264" s="3272" t="s">
        <v>2151</v>
      </c>
      <c r="D264" s="3281">
        <v>799.41</v>
      </c>
    </row>
    <row r="265" spans="1:4">
      <c r="A265" t="s">
        <v>6708</v>
      </c>
      <c r="B265" s="3280" t="s">
        <v>2297</v>
      </c>
      <c r="C265" s="3272" t="s">
        <v>1962</v>
      </c>
      <c r="D265" s="3281">
        <v>1081.087</v>
      </c>
    </row>
    <row r="266" spans="1:4">
      <c r="A266" t="s">
        <v>5839</v>
      </c>
      <c r="B266" s="3280" t="s">
        <v>1788</v>
      </c>
      <c r="C266" s="3272" t="s">
        <v>1963</v>
      </c>
      <c r="D266" s="3281">
        <v>276.97699999999998</v>
      </c>
    </row>
    <row r="267" spans="1:4">
      <c r="A267" t="s">
        <v>6709</v>
      </c>
      <c r="B267" s="3280" t="s">
        <v>616</v>
      </c>
      <c r="C267" s="3272" t="s">
        <v>1964</v>
      </c>
      <c r="D267" s="3281">
        <v>310.39999999999998</v>
      </c>
    </row>
    <row r="268" spans="1:4">
      <c r="A268" t="s">
        <v>6710</v>
      </c>
      <c r="B268" s="3280" t="s">
        <v>918</v>
      </c>
      <c r="C268" s="3272" t="s">
        <v>1965</v>
      </c>
      <c r="D268" s="3281">
        <v>147.88200000000001</v>
      </c>
    </row>
    <row r="269" spans="1:4">
      <c r="A269" t="s">
        <v>5840</v>
      </c>
      <c r="B269" s="3280" t="s">
        <v>2132</v>
      </c>
      <c r="C269" s="3272" t="s">
        <v>1966</v>
      </c>
      <c r="D269" s="3281">
        <v>29127.048999999999</v>
      </c>
    </row>
    <row r="270" spans="1:4">
      <c r="A270" t="s">
        <v>5841</v>
      </c>
      <c r="B270" s="3280" t="s">
        <v>2581</v>
      </c>
      <c r="C270" s="3272" t="s">
        <v>1967</v>
      </c>
      <c r="D270" s="3281">
        <v>283.14699999999999</v>
      </c>
    </row>
    <row r="271" spans="1:4">
      <c r="A271" t="s">
        <v>6711</v>
      </c>
      <c r="B271" s="3280" t="s">
        <v>2393</v>
      </c>
      <c r="C271" s="3272" t="s">
        <v>1968</v>
      </c>
      <c r="D271" s="3281">
        <v>248.81399999999999</v>
      </c>
    </row>
    <row r="272" spans="1:4">
      <c r="A272" t="s">
        <v>3489</v>
      </c>
      <c r="B272" s="3280" t="s">
        <v>246</v>
      </c>
      <c r="C272" s="3272" t="s">
        <v>2117</v>
      </c>
      <c r="D272" s="3281">
        <v>352.26799999999997</v>
      </c>
    </row>
    <row r="273" spans="1:4">
      <c r="A273" t="s">
        <v>5842</v>
      </c>
      <c r="B273" s="3280" t="s">
        <v>1405</v>
      </c>
      <c r="C273" s="3272" t="s">
        <v>1969</v>
      </c>
      <c r="D273" s="3281">
        <v>5373.7910000000002</v>
      </c>
    </row>
    <row r="274" spans="1:4">
      <c r="A274" t="s">
        <v>3490</v>
      </c>
      <c r="B274" s="3280" t="s">
        <v>1406</v>
      </c>
      <c r="C274" s="3272" t="s">
        <v>1970</v>
      </c>
      <c r="D274" s="3281">
        <v>2445.4839999999999</v>
      </c>
    </row>
    <row r="275" spans="1:4">
      <c r="A275" t="s">
        <v>3491</v>
      </c>
      <c r="B275" s="3280" t="s">
        <v>720</v>
      </c>
      <c r="C275" s="3272" t="s">
        <v>1270</v>
      </c>
      <c r="D275" s="3281">
        <v>568.65300000000002</v>
      </c>
    </row>
    <row r="276" spans="1:4">
      <c r="A276" t="s">
        <v>5843</v>
      </c>
      <c r="B276" s="3280" t="s">
        <v>1401</v>
      </c>
      <c r="C276" s="3272" t="s">
        <v>1971</v>
      </c>
      <c r="D276" s="3281">
        <v>8463.6949999999997</v>
      </c>
    </row>
    <row r="277" spans="1:4">
      <c r="A277" t="s">
        <v>6712</v>
      </c>
      <c r="B277" s="3280" t="s">
        <v>932</v>
      </c>
      <c r="C277" s="3272" t="s">
        <v>1972</v>
      </c>
      <c r="D277" s="3281">
        <v>247.68299999999999</v>
      </c>
    </row>
    <row r="278" spans="1:4">
      <c r="A278" t="s">
        <v>3492</v>
      </c>
      <c r="B278" s="3280" t="s">
        <v>247</v>
      </c>
      <c r="C278" s="3272" t="s">
        <v>1363</v>
      </c>
      <c r="D278" s="3281">
        <v>1155.402</v>
      </c>
    </row>
    <row r="279" spans="1:4">
      <c r="A279" t="s">
        <v>3493</v>
      </c>
      <c r="B279" s="3280" t="s">
        <v>2084</v>
      </c>
      <c r="C279" s="3272" t="s">
        <v>79</v>
      </c>
      <c r="D279" s="3281">
        <v>5506.473</v>
      </c>
    </row>
    <row r="280" spans="1:4">
      <c r="A280" t="s">
        <v>3494</v>
      </c>
      <c r="B280" s="3280" t="s">
        <v>343</v>
      </c>
      <c r="C280" s="3272" t="s">
        <v>139</v>
      </c>
      <c r="D280" s="3281">
        <v>8045.1360000000004</v>
      </c>
    </row>
    <row r="281" spans="1:4">
      <c r="A281" t="s">
        <v>3495</v>
      </c>
      <c r="B281" s="3280" t="s">
        <v>721</v>
      </c>
      <c r="C281" s="3272" t="s">
        <v>1992</v>
      </c>
      <c r="D281" s="3281">
        <v>1105.789</v>
      </c>
    </row>
    <row r="282" spans="1:4">
      <c r="A282" t="s">
        <v>3496</v>
      </c>
      <c r="B282" s="3280" t="s">
        <v>576</v>
      </c>
      <c r="C282" s="3272" t="s">
        <v>1166</v>
      </c>
      <c r="D282" s="3281">
        <v>10623.861000000001</v>
      </c>
    </row>
    <row r="283" spans="1:4">
      <c r="A283" t="s">
        <v>3497</v>
      </c>
      <c r="B283" s="3280" t="s">
        <v>2413</v>
      </c>
      <c r="C283" s="3272" t="s">
        <v>1973</v>
      </c>
      <c r="D283" s="3281">
        <v>53151.584000000003</v>
      </c>
    </row>
    <row r="284" spans="1:4">
      <c r="A284" t="s">
        <v>3498</v>
      </c>
      <c r="B284" s="3280" t="s">
        <v>775</v>
      </c>
      <c r="C284" s="3272" t="s">
        <v>892</v>
      </c>
      <c r="D284" s="3281">
        <v>2125.2559999999999</v>
      </c>
    </row>
    <row r="285" spans="1:4">
      <c r="A285" t="s">
        <v>4611</v>
      </c>
      <c r="B285" s="3280" t="s">
        <v>184</v>
      </c>
      <c r="C285" s="3272" t="s">
        <v>2031</v>
      </c>
      <c r="D285" s="3281">
        <v>3421.3679999999999</v>
      </c>
    </row>
    <row r="286" spans="1:4">
      <c r="A286" t="s">
        <v>4617</v>
      </c>
      <c r="B286" s="3280" t="s">
        <v>1186</v>
      </c>
      <c r="C286" s="3272" t="s">
        <v>760</v>
      </c>
      <c r="D286" s="3281">
        <v>38003.199000000001</v>
      </c>
    </row>
    <row r="287" spans="1:4">
      <c r="A287" t="s">
        <v>3499</v>
      </c>
      <c r="B287" s="3280" t="s">
        <v>2098</v>
      </c>
      <c r="C287" s="3272" t="s">
        <v>132</v>
      </c>
      <c r="D287" s="3281">
        <v>781.83399999999995</v>
      </c>
    </row>
    <row r="288" spans="1:4">
      <c r="A288" t="s">
        <v>3500</v>
      </c>
      <c r="B288" s="3280" t="s">
        <v>1888</v>
      </c>
      <c r="C288" s="3272" t="s">
        <v>653</v>
      </c>
      <c r="D288" s="3281">
        <v>5784.0619999999999</v>
      </c>
    </row>
    <row r="289" spans="1:4">
      <c r="A289" t="s">
        <v>3501</v>
      </c>
      <c r="B289" s="3280" t="s">
        <v>1517</v>
      </c>
      <c r="C289" s="3272" t="s">
        <v>606</v>
      </c>
      <c r="D289" s="3281">
        <v>1012.283</v>
      </c>
    </row>
    <row r="290" spans="1:4">
      <c r="A290" t="s">
        <v>3502</v>
      </c>
      <c r="B290" s="3280" t="s">
        <v>1151</v>
      </c>
      <c r="C290" s="3272" t="s">
        <v>1930</v>
      </c>
      <c r="D290" s="3281">
        <v>43227.434999999998</v>
      </c>
    </row>
    <row r="291" spans="1:4">
      <c r="A291" t="s">
        <v>6713</v>
      </c>
      <c r="B291" s="3280" t="s">
        <v>2414</v>
      </c>
      <c r="C291" s="3272" t="s">
        <v>1974</v>
      </c>
      <c r="D291" s="3281">
        <v>123.508</v>
      </c>
    </row>
    <row r="292" spans="1:4">
      <c r="A292" t="s">
        <v>5844</v>
      </c>
      <c r="B292" s="3280" t="s">
        <v>2415</v>
      </c>
      <c r="C292" s="3272" t="s">
        <v>1975</v>
      </c>
      <c r="D292" s="3281">
        <v>1104.8530000000001</v>
      </c>
    </row>
    <row r="293" spans="1:4">
      <c r="A293" t="s">
        <v>3503</v>
      </c>
      <c r="B293" s="3280" t="s">
        <v>1511</v>
      </c>
      <c r="C293" s="3272" t="s">
        <v>2099</v>
      </c>
      <c r="D293" s="3281">
        <v>3406.8119999999999</v>
      </c>
    </row>
    <row r="294" spans="1:4">
      <c r="A294" t="s">
        <v>5845</v>
      </c>
      <c r="B294" s="3280" t="s">
        <v>1830</v>
      </c>
      <c r="C294" s="3272" t="s">
        <v>1976</v>
      </c>
      <c r="D294" s="3281">
        <v>167.87200000000001</v>
      </c>
    </row>
    <row r="295" spans="1:4">
      <c r="A295" t="s">
        <v>6714</v>
      </c>
      <c r="B295" s="3280" t="s">
        <v>1831</v>
      </c>
      <c r="C295" s="3272" t="s">
        <v>1977</v>
      </c>
      <c r="D295" s="3281">
        <v>213.53299999999999</v>
      </c>
    </row>
    <row r="296" spans="1:4">
      <c r="A296" t="s">
        <v>3504</v>
      </c>
      <c r="B296" s="3280" t="s">
        <v>1232</v>
      </c>
      <c r="C296" s="3272" t="s">
        <v>2468</v>
      </c>
      <c r="D296" s="3281">
        <v>258.30399999999997</v>
      </c>
    </row>
    <row r="297" spans="1:4">
      <c r="A297" t="s">
        <v>6715</v>
      </c>
      <c r="B297" s="3280" t="s">
        <v>1832</v>
      </c>
      <c r="C297" s="3272" t="s">
        <v>1978</v>
      </c>
      <c r="D297" s="3281">
        <v>111.143</v>
      </c>
    </row>
    <row r="298" spans="1:4">
      <c r="A298" t="s">
        <v>5846</v>
      </c>
      <c r="B298" s="3280" t="s">
        <v>201</v>
      </c>
      <c r="C298" s="3272" t="s">
        <v>1035</v>
      </c>
      <c r="D298" s="3281">
        <v>469.52199999999999</v>
      </c>
    </row>
    <row r="299" spans="1:4">
      <c r="A299" t="s">
        <v>4653</v>
      </c>
      <c r="B299" s="3280" t="s">
        <v>1834</v>
      </c>
      <c r="C299" s="3272" t="s">
        <v>2063</v>
      </c>
      <c r="D299" s="3281">
        <v>754.42399999999998</v>
      </c>
    </row>
    <row r="300" spans="1:4">
      <c r="A300" t="s">
        <v>4655</v>
      </c>
      <c r="B300" s="3280" t="s">
        <v>1842</v>
      </c>
      <c r="C300" s="3272" t="s">
        <v>1332</v>
      </c>
      <c r="D300" s="3281">
        <v>151.322</v>
      </c>
    </row>
    <row r="301" spans="1:4">
      <c r="A301" t="s">
        <v>6716</v>
      </c>
      <c r="B301" s="3280" t="s">
        <v>202</v>
      </c>
      <c r="C301" s="3272" t="s">
        <v>1980</v>
      </c>
      <c r="D301" s="3281">
        <v>587.86400000000003</v>
      </c>
    </row>
    <row r="302" spans="1:4">
      <c r="A302" t="s">
        <v>5847</v>
      </c>
      <c r="B302" s="3280" t="s">
        <v>203</v>
      </c>
      <c r="C302" s="3272" t="s">
        <v>1</v>
      </c>
      <c r="D302" s="3281">
        <v>1686.1949999999999</v>
      </c>
    </row>
    <row r="303" spans="1:4">
      <c r="A303" t="s">
        <v>3505</v>
      </c>
      <c r="B303" s="3280" t="s">
        <v>1233</v>
      </c>
      <c r="C303" s="3272" t="s">
        <v>2180</v>
      </c>
      <c r="D303" s="3281">
        <v>348.17399999999998</v>
      </c>
    </row>
    <row r="304" spans="1:4">
      <c r="A304" t="s">
        <v>3506</v>
      </c>
      <c r="B304" s="3280" t="s">
        <v>722</v>
      </c>
      <c r="C304" s="3272" t="s">
        <v>1065</v>
      </c>
      <c r="D304" s="3281">
        <v>227.59200000000001</v>
      </c>
    </row>
    <row r="305" spans="1:4">
      <c r="A305" t="s">
        <v>3507</v>
      </c>
      <c r="B305" s="3280" t="s">
        <v>204</v>
      </c>
      <c r="C305" s="3272" t="s">
        <v>2</v>
      </c>
      <c r="D305" s="3281">
        <v>580.74699999999996</v>
      </c>
    </row>
    <row r="306" spans="1:4">
      <c r="A306" t="s">
        <v>5848</v>
      </c>
      <c r="B306" s="3280" t="s">
        <v>205</v>
      </c>
      <c r="C306" s="3272" t="s">
        <v>3</v>
      </c>
      <c r="D306" s="3281">
        <v>852.16899999999998</v>
      </c>
    </row>
    <row r="307" spans="1:4">
      <c r="A307" t="s">
        <v>5849</v>
      </c>
      <c r="B307" s="3280" t="s">
        <v>1741</v>
      </c>
      <c r="C307" s="3272" t="s">
        <v>4</v>
      </c>
      <c r="D307" s="3281">
        <v>294.20699999999999</v>
      </c>
    </row>
    <row r="308" spans="1:4">
      <c r="A308" t="s">
        <v>3508</v>
      </c>
      <c r="B308" s="3280" t="s">
        <v>1742</v>
      </c>
      <c r="C308" s="3272" t="s">
        <v>5</v>
      </c>
      <c r="D308" s="3281">
        <v>530.73099999999999</v>
      </c>
    </row>
    <row r="309" spans="1:4">
      <c r="A309" t="s">
        <v>3509</v>
      </c>
      <c r="B309" s="3280" t="s">
        <v>1234</v>
      </c>
      <c r="C309" s="3272" t="s">
        <v>2026</v>
      </c>
      <c r="D309" s="3281">
        <v>494.12799999999999</v>
      </c>
    </row>
    <row r="310" spans="1:4">
      <c r="A310" t="s">
        <v>5850</v>
      </c>
      <c r="B310" s="3280" t="s">
        <v>2571</v>
      </c>
      <c r="C310" s="3272" t="s">
        <v>461</v>
      </c>
      <c r="D310" s="3281">
        <v>537.07000000000005</v>
      </c>
    </row>
    <row r="311" spans="1:4">
      <c r="A311" t="s">
        <v>6717</v>
      </c>
      <c r="B311" s="3280" t="s">
        <v>1697</v>
      </c>
      <c r="C311" s="3272" t="s">
        <v>462</v>
      </c>
      <c r="D311" s="3281">
        <v>1848.7149999999999</v>
      </c>
    </row>
    <row r="312" spans="1:4">
      <c r="A312" t="s">
        <v>5851</v>
      </c>
      <c r="B312" s="3280" t="s">
        <v>1698</v>
      </c>
      <c r="C312" s="3272" t="s">
        <v>463</v>
      </c>
      <c r="D312" s="3281">
        <v>700.91099999999994</v>
      </c>
    </row>
    <row r="313" spans="1:4">
      <c r="A313" t="s">
        <v>6718</v>
      </c>
      <c r="B313" s="3280" t="s">
        <v>921</v>
      </c>
      <c r="C313" s="3272" t="s">
        <v>464</v>
      </c>
      <c r="D313" s="3281">
        <v>234.14099999999999</v>
      </c>
    </row>
    <row r="314" spans="1:4">
      <c r="A314" t="s">
        <v>5852</v>
      </c>
      <c r="B314" s="3280" t="s">
        <v>65</v>
      </c>
      <c r="C314" s="3272" t="s">
        <v>177</v>
      </c>
      <c r="D314" s="3281">
        <v>248.91900000000001</v>
      </c>
    </row>
    <row r="315" spans="1:4">
      <c r="A315" t="s">
        <v>6719</v>
      </c>
      <c r="B315" s="3280" t="s">
        <v>754</v>
      </c>
      <c r="C315" s="3272" t="s">
        <v>1036</v>
      </c>
      <c r="D315" s="3281">
        <v>275.767</v>
      </c>
    </row>
    <row r="316" spans="1:4">
      <c r="A316" t="s">
        <v>3510</v>
      </c>
      <c r="B316" s="3280" t="s">
        <v>2505</v>
      </c>
      <c r="C316" s="3272" t="s">
        <v>610</v>
      </c>
      <c r="D316" s="3281">
        <v>234.941</v>
      </c>
    </row>
    <row r="317" spans="1:4">
      <c r="A317" t="s">
        <v>5853</v>
      </c>
      <c r="B317" s="3280" t="s">
        <v>627</v>
      </c>
      <c r="C317" s="3272" t="s">
        <v>847</v>
      </c>
      <c r="D317" s="3281">
        <v>694.41800000000001</v>
      </c>
    </row>
    <row r="318" spans="1:4">
      <c r="A318" t="s">
        <v>6720</v>
      </c>
      <c r="B318" s="3280" t="s">
        <v>628</v>
      </c>
      <c r="C318" s="3272" t="s">
        <v>848</v>
      </c>
      <c r="D318" s="3281">
        <v>422.39400000000001</v>
      </c>
    </row>
    <row r="319" spans="1:4">
      <c r="A319" t="s">
        <v>6721</v>
      </c>
      <c r="B319" s="3280" t="s">
        <v>629</v>
      </c>
      <c r="C319" s="3272" t="s">
        <v>849</v>
      </c>
      <c r="D319" s="3281">
        <v>195.041</v>
      </c>
    </row>
    <row r="320" spans="1:4">
      <c r="A320" t="s">
        <v>5854</v>
      </c>
      <c r="B320" s="3280" t="s">
        <v>630</v>
      </c>
      <c r="C320" s="3272" t="s">
        <v>1037</v>
      </c>
      <c r="D320" s="3281">
        <v>30149.163</v>
      </c>
    </row>
    <row r="321" spans="1:4">
      <c r="A321" t="s">
        <v>3511</v>
      </c>
      <c r="B321" s="3280" t="s">
        <v>2541</v>
      </c>
      <c r="C321" s="3272" t="s">
        <v>894</v>
      </c>
      <c r="D321" s="3281">
        <v>3176.8049999999998</v>
      </c>
    </row>
    <row r="322" spans="1:4">
      <c r="A322" t="s">
        <v>3512</v>
      </c>
      <c r="B322" s="3280" t="s">
        <v>1422</v>
      </c>
      <c r="C322" s="3272" t="s">
        <v>112</v>
      </c>
      <c r="D322" s="3281">
        <v>71952.043999999994</v>
      </c>
    </row>
    <row r="323" spans="1:4">
      <c r="A323" t="s">
        <v>5855</v>
      </c>
      <c r="B323" s="3280" t="s">
        <v>2318</v>
      </c>
      <c r="C323" s="3272" t="s">
        <v>1038</v>
      </c>
      <c r="D323" s="3281">
        <v>3342.1750000000002</v>
      </c>
    </row>
    <row r="324" spans="1:4">
      <c r="A324" t="s">
        <v>5856</v>
      </c>
      <c r="B324" s="3280" t="s">
        <v>2013</v>
      </c>
      <c r="C324" s="3272" t="s">
        <v>853</v>
      </c>
      <c r="D324" s="3281">
        <v>1528.056</v>
      </c>
    </row>
    <row r="325" spans="1:4">
      <c r="A325" t="s">
        <v>5857</v>
      </c>
      <c r="B325" s="3280" t="s">
        <v>1303</v>
      </c>
      <c r="C325" s="3272" t="s">
        <v>854</v>
      </c>
      <c r="D325" s="3281">
        <v>1719.0329999999999</v>
      </c>
    </row>
    <row r="326" spans="1:4">
      <c r="A326" t="s">
        <v>5858</v>
      </c>
      <c r="B326" s="3280" t="s">
        <v>1919</v>
      </c>
      <c r="C326" s="3272" t="s">
        <v>855</v>
      </c>
      <c r="D326" s="3281">
        <v>1132.82</v>
      </c>
    </row>
    <row r="327" spans="1:4">
      <c r="A327" t="s">
        <v>5859</v>
      </c>
      <c r="B327" s="3280" t="s">
        <v>1924</v>
      </c>
      <c r="C327" s="3272" t="s">
        <v>856</v>
      </c>
      <c r="D327" s="3281">
        <v>466.71899999999999</v>
      </c>
    </row>
    <row r="328" spans="1:4">
      <c r="A328" t="s">
        <v>5860</v>
      </c>
      <c r="B328" s="3280" t="s">
        <v>1925</v>
      </c>
      <c r="C328" s="3272" t="s">
        <v>857</v>
      </c>
      <c r="D328" s="3281">
        <v>145.31899999999999</v>
      </c>
    </row>
    <row r="329" spans="1:4">
      <c r="A329" t="s">
        <v>3513</v>
      </c>
      <c r="B329" s="3280" t="s">
        <v>1235</v>
      </c>
      <c r="C329" s="3272" t="s">
        <v>2179</v>
      </c>
      <c r="D329" s="3281">
        <v>887.28499999999997</v>
      </c>
    </row>
    <row r="330" spans="1:4">
      <c r="A330" t="s">
        <v>3514</v>
      </c>
      <c r="B330" s="3280" t="s">
        <v>2506</v>
      </c>
      <c r="C330" s="3272" t="s">
        <v>2592</v>
      </c>
      <c r="D330" s="3281">
        <v>2056.84</v>
      </c>
    </row>
    <row r="331" spans="1:4">
      <c r="A331" t="s">
        <v>5861</v>
      </c>
      <c r="B331" s="3280" t="s">
        <v>1926</v>
      </c>
      <c r="C331" s="3272" t="s">
        <v>858</v>
      </c>
      <c r="D331" s="3281">
        <v>497.86099999999999</v>
      </c>
    </row>
    <row r="332" spans="1:4">
      <c r="A332" t="s">
        <v>5862</v>
      </c>
      <c r="B332" s="3280" t="s">
        <v>2110</v>
      </c>
      <c r="C332" s="3272" t="s">
        <v>531</v>
      </c>
      <c r="D332" s="3281">
        <v>142.922</v>
      </c>
    </row>
    <row r="333" spans="1:4">
      <c r="A333" t="s">
        <v>5863</v>
      </c>
      <c r="B333" s="3280" t="s">
        <v>2175</v>
      </c>
      <c r="C333" s="3272" t="s">
        <v>532</v>
      </c>
      <c r="D333" s="3281">
        <v>2675.3229999999999</v>
      </c>
    </row>
    <row r="334" spans="1:4">
      <c r="A334" t="s">
        <v>5864</v>
      </c>
      <c r="B334" s="3280" t="s">
        <v>1993</v>
      </c>
      <c r="C334" s="3272" t="s">
        <v>364</v>
      </c>
      <c r="D334" s="3281">
        <v>10461.251</v>
      </c>
    </row>
    <row r="335" spans="1:4">
      <c r="A335" t="s">
        <v>5865</v>
      </c>
      <c r="B335" s="3280" t="s">
        <v>2231</v>
      </c>
      <c r="C335" s="3272" t="s">
        <v>365</v>
      </c>
      <c r="D335" s="3281">
        <v>6245.308</v>
      </c>
    </row>
    <row r="336" spans="1:4">
      <c r="A336" t="s">
        <v>5866</v>
      </c>
      <c r="B336" s="3280" t="s">
        <v>1866</v>
      </c>
      <c r="C336" s="3272" t="s">
        <v>2375</v>
      </c>
      <c r="D336" s="3281">
        <v>131.703</v>
      </c>
    </row>
    <row r="337" spans="1:4">
      <c r="A337" t="s">
        <v>5867</v>
      </c>
      <c r="B337" s="3280" t="s">
        <v>762</v>
      </c>
      <c r="C337" s="3272" t="s">
        <v>367</v>
      </c>
      <c r="D337" s="3281">
        <v>8057</v>
      </c>
    </row>
    <row r="338" spans="1:4">
      <c r="A338" t="s">
        <v>5868</v>
      </c>
      <c r="B338" s="3280" t="s">
        <v>2458</v>
      </c>
      <c r="C338" s="3272" t="s">
        <v>368</v>
      </c>
      <c r="D338" s="3281">
        <v>1484.376</v>
      </c>
    </row>
    <row r="339" spans="1:4">
      <c r="A339" t="s">
        <v>3515</v>
      </c>
      <c r="B339" s="3280" t="s">
        <v>491</v>
      </c>
      <c r="C339" s="3272" t="s">
        <v>85</v>
      </c>
      <c r="D339" s="3281">
        <v>4518.4440000000004</v>
      </c>
    </row>
    <row r="340" spans="1:4">
      <c r="A340" t="s">
        <v>5869</v>
      </c>
      <c r="B340" s="3280" t="s">
        <v>2459</v>
      </c>
      <c r="C340" s="3272" t="s">
        <v>369</v>
      </c>
      <c r="D340" s="3281">
        <v>39679.152999999998</v>
      </c>
    </row>
    <row r="341" spans="1:4">
      <c r="A341" t="s">
        <v>3516</v>
      </c>
      <c r="B341" s="3280" t="s">
        <v>1424</v>
      </c>
      <c r="C341" s="3272" t="s">
        <v>1476</v>
      </c>
      <c r="D341" s="3281">
        <v>5791.9880000000003</v>
      </c>
    </row>
    <row r="342" spans="1:4">
      <c r="A342" t="s">
        <v>5870</v>
      </c>
      <c r="B342" s="3280" t="s">
        <v>1668</v>
      </c>
      <c r="C342" s="3272" t="s">
        <v>370</v>
      </c>
      <c r="D342" s="3281">
        <v>791.55600000000004</v>
      </c>
    </row>
    <row r="343" spans="1:4">
      <c r="A343" t="s">
        <v>6722</v>
      </c>
      <c r="B343" s="3280" t="s">
        <v>1669</v>
      </c>
      <c r="C343" s="3272" t="s">
        <v>371</v>
      </c>
      <c r="D343" s="3281">
        <v>123.726</v>
      </c>
    </row>
    <row r="344" spans="1:4">
      <c r="A344" t="s">
        <v>6723</v>
      </c>
      <c r="B344" s="3280" t="s">
        <v>1873</v>
      </c>
      <c r="C344" s="3272" t="s">
        <v>1039</v>
      </c>
      <c r="D344" s="3281">
        <v>15.695</v>
      </c>
    </row>
    <row r="345" spans="1:4">
      <c r="A345" t="s">
        <v>5871</v>
      </c>
      <c r="B345" s="3280" t="s">
        <v>1451</v>
      </c>
      <c r="C345" s="3272" t="s">
        <v>373</v>
      </c>
      <c r="D345" s="3281">
        <v>2969.3159999999998</v>
      </c>
    </row>
    <row r="346" spans="1:4">
      <c r="A346" t="s">
        <v>6724</v>
      </c>
      <c r="B346" s="3280" t="s">
        <v>2160</v>
      </c>
      <c r="C346" s="3272" t="s">
        <v>1785</v>
      </c>
      <c r="D346" s="3281">
        <v>553.07399999999996</v>
      </c>
    </row>
    <row r="347" spans="1:4">
      <c r="A347" t="s">
        <v>5872</v>
      </c>
      <c r="B347" s="3280" t="s">
        <v>2161</v>
      </c>
      <c r="C347" s="3272" t="s">
        <v>1786</v>
      </c>
      <c r="D347" s="3281">
        <v>288.34899999999999</v>
      </c>
    </row>
    <row r="348" spans="1:4">
      <c r="A348" t="s">
        <v>5873</v>
      </c>
      <c r="B348" s="3280" t="s">
        <v>2437</v>
      </c>
      <c r="C348" s="3272" t="s">
        <v>1787</v>
      </c>
      <c r="D348" s="3281">
        <v>1216.442</v>
      </c>
    </row>
    <row r="349" spans="1:4">
      <c r="A349" t="s">
        <v>3517</v>
      </c>
      <c r="B349" s="3280" t="s">
        <v>906</v>
      </c>
      <c r="C349" s="3272" t="s">
        <v>861</v>
      </c>
      <c r="D349" s="3281">
        <v>2601.413</v>
      </c>
    </row>
    <row r="350" spans="1:4">
      <c r="A350" t="s">
        <v>5874</v>
      </c>
      <c r="B350" s="3280" t="s">
        <v>2438</v>
      </c>
      <c r="C350" s="3272" t="s">
        <v>1040</v>
      </c>
      <c r="D350" s="3281">
        <v>984.16200000000003</v>
      </c>
    </row>
    <row r="351" spans="1:4">
      <c r="A351" t="s">
        <v>5875</v>
      </c>
      <c r="B351" s="3280" t="s">
        <v>2439</v>
      </c>
      <c r="C351" s="3272" t="s">
        <v>1441</v>
      </c>
      <c r="D351" s="3281">
        <v>286.42899999999997</v>
      </c>
    </row>
    <row r="352" spans="1:4">
      <c r="A352" t="s">
        <v>5876</v>
      </c>
      <c r="B352" s="3280" t="s">
        <v>1852</v>
      </c>
      <c r="C352" s="3272" t="s">
        <v>1442</v>
      </c>
      <c r="D352" s="3281">
        <v>141.58199999999999</v>
      </c>
    </row>
    <row r="353" spans="1:4">
      <c r="A353" t="s">
        <v>5877</v>
      </c>
      <c r="B353" s="3280" t="s">
        <v>1853</v>
      </c>
      <c r="C353" s="3272" t="s">
        <v>1443</v>
      </c>
      <c r="D353" s="3281">
        <v>222.90899999999999</v>
      </c>
    </row>
    <row r="354" spans="1:4">
      <c r="A354" t="s">
        <v>3518</v>
      </c>
      <c r="B354" s="3280" t="s">
        <v>2021</v>
      </c>
      <c r="C354" s="3272" t="s">
        <v>1364</v>
      </c>
      <c r="D354" s="3281">
        <v>3299.46</v>
      </c>
    </row>
    <row r="355" spans="1:4">
      <c r="A355" t="s">
        <v>5878</v>
      </c>
      <c r="B355" s="3280" t="s">
        <v>2033</v>
      </c>
      <c r="C355" s="3272" t="s">
        <v>1444</v>
      </c>
      <c r="D355" s="3281">
        <v>47.34</v>
      </c>
    </row>
    <row r="356" spans="1:4">
      <c r="A356" t="s">
        <v>3519</v>
      </c>
      <c r="B356" s="3280" t="s">
        <v>1684</v>
      </c>
      <c r="C356" s="3272" t="s">
        <v>1560</v>
      </c>
      <c r="D356" s="3281">
        <v>771.80700000000002</v>
      </c>
    </row>
    <row r="357" spans="1:4">
      <c r="A357" t="s">
        <v>4707</v>
      </c>
      <c r="B357" s="3280" t="s">
        <v>981</v>
      </c>
      <c r="C357" s="3272" t="s">
        <v>1445</v>
      </c>
      <c r="D357" s="3281">
        <v>504.09699999999998</v>
      </c>
    </row>
    <row r="358" spans="1:4">
      <c r="A358" t="s">
        <v>5879</v>
      </c>
      <c r="B358" s="3280" t="s">
        <v>982</v>
      </c>
      <c r="C358" s="3272" t="s">
        <v>1446</v>
      </c>
      <c r="D358" s="3281">
        <v>4287.7449999999999</v>
      </c>
    </row>
    <row r="359" spans="1:4">
      <c r="A359" t="s">
        <v>3520</v>
      </c>
      <c r="B359" s="3280" t="s">
        <v>1115</v>
      </c>
      <c r="C359" s="3272" t="s">
        <v>2380</v>
      </c>
      <c r="D359" s="3281">
        <v>1102.277</v>
      </c>
    </row>
    <row r="360" spans="1:4">
      <c r="A360" t="s">
        <v>3521</v>
      </c>
      <c r="B360" s="3280" t="s">
        <v>793</v>
      </c>
      <c r="C360" s="3272" t="s">
        <v>1648</v>
      </c>
      <c r="D360" s="3281">
        <v>6804.8710000000001</v>
      </c>
    </row>
    <row r="361" spans="1:4">
      <c r="A361" t="s">
        <v>5880</v>
      </c>
      <c r="B361" s="3280" t="s">
        <v>794</v>
      </c>
      <c r="C361" s="3272" t="s">
        <v>1649</v>
      </c>
      <c r="D361" s="3281">
        <v>544.20899999999995</v>
      </c>
    </row>
    <row r="362" spans="1:4">
      <c r="A362" t="s">
        <v>3522</v>
      </c>
      <c r="B362" s="3280" t="s">
        <v>1236</v>
      </c>
      <c r="C362" s="3272" t="s">
        <v>2365</v>
      </c>
      <c r="D362" s="3281">
        <v>1536.345</v>
      </c>
    </row>
    <row r="363" spans="1:4">
      <c r="A363" t="s">
        <v>3523</v>
      </c>
      <c r="B363" s="3280" t="s">
        <v>1237</v>
      </c>
      <c r="C363" s="3272" t="s">
        <v>1335</v>
      </c>
      <c r="D363" s="3281">
        <v>1480.7850000000001</v>
      </c>
    </row>
    <row r="364" spans="1:4">
      <c r="A364" t="s">
        <v>5881</v>
      </c>
      <c r="B364" s="3280" t="s">
        <v>1463</v>
      </c>
      <c r="C364" s="3272" t="s">
        <v>1650</v>
      </c>
      <c r="D364" s="3281">
        <v>801.57799999999997</v>
      </c>
    </row>
    <row r="365" spans="1:4">
      <c r="A365" t="s">
        <v>3524</v>
      </c>
      <c r="B365" s="3280" t="s">
        <v>215</v>
      </c>
      <c r="C365" s="3272" t="s">
        <v>2100</v>
      </c>
      <c r="D365" s="3281">
        <v>1347.0730000000001</v>
      </c>
    </row>
    <row r="366" spans="1:4">
      <c r="A366" t="s">
        <v>5882</v>
      </c>
      <c r="B366" s="3280" t="s">
        <v>2582</v>
      </c>
      <c r="C366" s="3272" t="s">
        <v>1041</v>
      </c>
      <c r="D366" s="3281">
        <v>859.23599999999999</v>
      </c>
    </row>
    <row r="367" spans="1:4">
      <c r="A367" t="s">
        <v>3525</v>
      </c>
      <c r="B367" s="3280" t="s">
        <v>1308</v>
      </c>
      <c r="C367" s="3272" t="s">
        <v>1732</v>
      </c>
      <c r="D367" s="3281">
        <v>849.77499999999998</v>
      </c>
    </row>
    <row r="368" spans="1:4">
      <c r="A368" t="s">
        <v>5883</v>
      </c>
      <c r="B368" s="3280" t="s">
        <v>1286</v>
      </c>
      <c r="C368" s="3272" t="s">
        <v>222</v>
      </c>
      <c r="D368" s="3281">
        <v>603.91899999999998</v>
      </c>
    </row>
    <row r="369" spans="1:4">
      <c r="A369" t="s">
        <v>5884</v>
      </c>
      <c r="B369" s="3280" t="s">
        <v>1287</v>
      </c>
      <c r="C369" s="3272" t="s">
        <v>223</v>
      </c>
      <c r="D369" s="3281">
        <v>1650.549</v>
      </c>
    </row>
    <row r="370" spans="1:4">
      <c r="A370" t="s">
        <v>5885</v>
      </c>
      <c r="B370" s="3280" t="s">
        <v>1288</v>
      </c>
      <c r="C370" s="3272" t="s">
        <v>224</v>
      </c>
      <c r="D370" s="3281">
        <v>3781.9920000000002</v>
      </c>
    </row>
    <row r="371" spans="1:4">
      <c r="A371" t="s">
        <v>4728</v>
      </c>
      <c r="B371" s="3280" t="s">
        <v>457</v>
      </c>
      <c r="C371" s="3272" t="s">
        <v>2126</v>
      </c>
      <c r="D371" s="3281">
        <v>7930.7380000000003</v>
      </c>
    </row>
    <row r="372" spans="1:4">
      <c r="A372" t="s">
        <v>5886</v>
      </c>
      <c r="B372" s="3280" t="s">
        <v>2189</v>
      </c>
      <c r="C372" s="3272" t="s">
        <v>225</v>
      </c>
      <c r="D372" s="3281">
        <v>4332.6819999999998</v>
      </c>
    </row>
    <row r="373" spans="1:4">
      <c r="A373" t="s">
        <v>5887</v>
      </c>
      <c r="B373" s="3280" t="s">
        <v>2639</v>
      </c>
      <c r="C373" s="3272" t="s">
        <v>226</v>
      </c>
      <c r="D373" s="3281">
        <v>1384.711</v>
      </c>
    </row>
    <row r="374" spans="1:4">
      <c r="A374" t="s">
        <v>3526</v>
      </c>
      <c r="B374" s="3280" t="s">
        <v>1509</v>
      </c>
      <c r="C374" s="3272" t="s">
        <v>1936</v>
      </c>
      <c r="D374" s="3281">
        <v>1863.348</v>
      </c>
    </row>
    <row r="375" spans="1:4">
      <c r="A375" t="s">
        <v>5888</v>
      </c>
      <c r="B375" s="3280" t="s">
        <v>2640</v>
      </c>
      <c r="C375" s="3272" t="s">
        <v>227</v>
      </c>
      <c r="D375" s="3281">
        <v>1418.7139999999999</v>
      </c>
    </row>
    <row r="376" spans="1:4">
      <c r="A376" t="s">
        <v>5889</v>
      </c>
      <c r="B376" s="3280" t="s">
        <v>2641</v>
      </c>
      <c r="C376" s="3272" t="s">
        <v>1042</v>
      </c>
      <c r="D376" s="3281">
        <v>798.37599999999998</v>
      </c>
    </row>
    <row r="377" spans="1:4">
      <c r="A377" t="s">
        <v>3527</v>
      </c>
      <c r="B377" s="3280" t="s">
        <v>2642</v>
      </c>
      <c r="C377" s="3272" t="s">
        <v>229</v>
      </c>
      <c r="D377" s="3281">
        <v>467.726</v>
      </c>
    </row>
    <row r="378" spans="1:4">
      <c r="A378" t="s">
        <v>5890</v>
      </c>
      <c r="B378" s="3280" t="s">
        <v>2643</v>
      </c>
      <c r="C378" s="3272" t="s">
        <v>230</v>
      </c>
      <c r="D378" s="3281">
        <v>2792.2869999999998</v>
      </c>
    </row>
    <row r="379" spans="1:4">
      <c r="A379" t="s">
        <v>6725</v>
      </c>
      <c r="B379" s="3280" t="s">
        <v>2142</v>
      </c>
      <c r="C379" s="3272" t="s">
        <v>231</v>
      </c>
      <c r="D379" s="3281">
        <v>156.05000000000001</v>
      </c>
    </row>
    <row r="380" spans="1:4">
      <c r="A380" t="s">
        <v>3528</v>
      </c>
      <c r="B380" s="3280" t="s">
        <v>495</v>
      </c>
      <c r="C380" s="3272" t="s">
        <v>1247</v>
      </c>
      <c r="D380" s="3281">
        <v>6573.2910000000002</v>
      </c>
    </row>
    <row r="381" spans="1:4">
      <c r="A381" t="s">
        <v>3529</v>
      </c>
      <c r="B381" s="3280" t="s">
        <v>493</v>
      </c>
      <c r="C381" s="3272" t="s">
        <v>1245</v>
      </c>
      <c r="D381" s="3281">
        <v>14727.880999999999</v>
      </c>
    </row>
    <row r="382" spans="1:4">
      <c r="A382" t="s">
        <v>3530</v>
      </c>
      <c r="B382" s="3280" t="s">
        <v>2143</v>
      </c>
      <c r="C382" s="3272" t="s">
        <v>232</v>
      </c>
      <c r="D382" s="3281">
        <v>1830.11</v>
      </c>
    </row>
    <row r="383" spans="1:4">
      <c r="A383" t="s">
        <v>4755</v>
      </c>
      <c r="B383" s="3280" t="s">
        <v>349</v>
      </c>
      <c r="C383" s="3272" t="s">
        <v>293</v>
      </c>
      <c r="D383" s="3281">
        <v>1347.7940000000001</v>
      </c>
    </row>
    <row r="384" spans="1:4">
      <c r="A384" t="s">
        <v>5891</v>
      </c>
      <c r="B384" s="3280" t="s">
        <v>2144</v>
      </c>
      <c r="C384" s="3272" t="s">
        <v>233</v>
      </c>
      <c r="D384" s="3281">
        <v>716.572</v>
      </c>
    </row>
    <row r="385" spans="1:4">
      <c r="A385" t="s">
        <v>6726</v>
      </c>
      <c r="B385" s="3280" t="s">
        <v>2145</v>
      </c>
      <c r="C385" s="3272" t="s">
        <v>234</v>
      </c>
      <c r="D385" s="3281">
        <v>100.643</v>
      </c>
    </row>
    <row r="386" spans="1:4">
      <c r="A386" t="s">
        <v>5892</v>
      </c>
      <c r="B386" s="3280" t="s">
        <v>505</v>
      </c>
      <c r="C386" s="3272" t="s">
        <v>235</v>
      </c>
      <c r="D386" s="3281">
        <v>559.4</v>
      </c>
    </row>
    <row r="387" spans="1:4">
      <c r="A387" t="s">
        <v>6727</v>
      </c>
      <c r="B387" s="3280" t="s">
        <v>1955</v>
      </c>
      <c r="C387" s="3272" t="s">
        <v>236</v>
      </c>
      <c r="D387" s="3281">
        <v>249.988</v>
      </c>
    </row>
    <row r="388" spans="1:4">
      <c r="A388" t="s">
        <v>6728</v>
      </c>
      <c r="B388" s="3280" t="s">
        <v>2072</v>
      </c>
      <c r="C388" s="3272" t="s">
        <v>237</v>
      </c>
      <c r="D388" s="3281">
        <v>5072.5410000000002</v>
      </c>
    </row>
    <row r="389" spans="1:4">
      <c r="A389" t="s">
        <v>6729</v>
      </c>
      <c r="B389" s="3280" t="s">
        <v>2073</v>
      </c>
      <c r="C389" s="3272" t="s">
        <v>238</v>
      </c>
      <c r="D389" s="3281">
        <v>445.90100000000001</v>
      </c>
    </row>
    <row r="390" spans="1:4">
      <c r="A390" t="s">
        <v>5893</v>
      </c>
      <c r="B390" s="3280" t="s">
        <v>146</v>
      </c>
      <c r="C390" s="3272" t="s">
        <v>239</v>
      </c>
      <c r="D390" s="3281">
        <v>190.7</v>
      </c>
    </row>
    <row r="391" spans="1:4">
      <c r="A391" t="s">
        <v>5894</v>
      </c>
      <c r="B391" s="3280" t="s">
        <v>147</v>
      </c>
      <c r="C391" s="3272" t="s">
        <v>1043</v>
      </c>
      <c r="D391" s="3281">
        <v>778.88300000000004</v>
      </c>
    </row>
    <row r="392" spans="1:4">
      <c r="A392" t="s">
        <v>3531</v>
      </c>
      <c r="B392" s="3280" t="s">
        <v>2507</v>
      </c>
      <c r="C392" s="3272" t="s">
        <v>2373</v>
      </c>
      <c r="D392" s="3281">
        <v>533.73</v>
      </c>
    </row>
    <row r="393" spans="1:4">
      <c r="A393" t="s">
        <v>5895</v>
      </c>
      <c r="B393" s="3280" t="s">
        <v>2344</v>
      </c>
      <c r="C393" s="3272" t="s">
        <v>241</v>
      </c>
      <c r="D393" s="3281">
        <v>413.11799999999999</v>
      </c>
    </row>
    <row r="394" spans="1:4">
      <c r="A394" t="s">
        <v>5896</v>
      </c>
      <c r="B394" s="3280" t="s">
        <v>1120</v>
      </c>
      <c r="C394" s="3272" t="s">
        <v>1044</v>
      </c>
      <c r="D394" s="3281">
        <v>114.599</v>
      </c>
    </row>
    <row r="395" spans="1:4">
      <c r="A395" t="s">
        <v>5897</v>
      </c>
      <c r="B395" s="3280" t="s">
        <v>1121</v>
      </c>
      <c r="C395" s="3272" t="s">
        <v>2596</v>
      </c>
      <c r="D395" s="3281">
        <v>819.02700000000004</v>
      </c>
    </row>
    <row r="396" spans="1:4">
      <c r="A396" t="s">
        <v>5898</v>
      </c>
      <c r="B396" s="3280" t="s">
        <v>2106</v>
      </c>
      <c r="C396" s="3272" t="s">
        <v>476</v>
      </c>
      <c r="D396" s="3281">
        <v>196.79</v>
      </c>
    </row>
    <row r="397" spans="1:4">
      <c r="A397" t="s">
        <v>6730</v>
      </c>
      <c r="B397" s="3280" t="s">
        <v>2107</v>
      </c>
      <c r="C397" s="3272" t="s">
        <v>477</v>
      </c>
      <c r="D397" s="3281">
        <v>494.01600000000002</v>
      </c>
    </row>
    <row r="398" spans="1:4">
      <c r="A398" t="s">
        <v>5899</v>
      </c>
      <c r="B398" s="3280" t="s">
        <v>1020</v>
      </c>
      <c r="C398" s="3272" t="s">
        <v>478</v>
      </c>
      <c r="D398" s="3281">
        <v>1071.422</v>
      </c>
    </row>
    <row r="399" spans="1:4">
      <c r="A399" t="s">
        <v>3532</v>
      </c>
      <c r="B399" s="3280" t="s">
        <v>1148</v>
      </c>
      <c r="C399" s="3272" t="s">
        <v>1494</v>
      </c>
      <c r="D399" s="3281">
        <v>2711.502</v>
      </c>
    </row>
    <row r="400" spans="1:4">
      <c r="A400" t="s">
        <v>5900</v>
      </c>
      <c r="B400" s="3280" t="s">
        <v>381</v>
      </c>
      <c r="C400" s="3272" t="s">
        <v>479</v>
      </c>
      <c r="D400" s="3281">
        <v>2109.165</v>
      </c>
    </row>
    <row r="401" spans="1:4">
      <c r="A401" t="s">
        <v>3533</v>
      </c>
      <c r="B401" s="3280" t="s">
        <v>2285</v>
      </c>
      <c r="C401" s="3272" t="s">
        <v>839</v>
      </c>
      <c r="D401" s="3281">
        <v>3738.2730000000001</v>
      </c>
    </row>
    <row r="402" spans="1:4">
      <c r="A402" t="s">
        <v>3534</v>
      </c>
      <c r="B402" s="3280" t="s">
        <v>1179</v>
      </c>
      <c r="C402" s="3272" t="s">
        <v>297</v>
      </c>
      <c r="D402" s="3281">
        <v>511.92</v>
      </c>
    </row>
    <row r="403" spans="1:4">
      <c r="A403" t="s">
        <v>3535</v>
      </c>
      <c r="B403" s="3280" t="s">
        <v>585</v>
      </c>
      <c r="C403" s="3272" t="s">
        <v>699</v>
      </c>
      <c r="D403" s="3281">
        <v>63209.752999999997</v>
      </c>
    </row>
    <row r="404" spans="1:4">
      <c r="A404" t="s">
        <v>3536</v>
      </c>
      <c r="B404" s="3280" t="s">
        <v>194</v>
      </c>
      <c r="C404" s="3272" t="s">
        <v>1987</v>
      </c>
      <c r="D404" s="3281">
        <v>42787.839999999997</v>
      </c>
    </row>
    <row r="405" spans="1:4">
      <c r="A405" t="s">
        <v>3537</v>
      </c>
      <c r="B405" s="3280" t="s">
        <v>2313</v>
      </c>
      <c r="C405" s="3272" t="s">
        <v>480</v>
      </c>
      <c r="D405" s="3281">
        <v>8892.7729999999992</v>
      </c>
    </row>
    <row r="406" spans="1:4">
      <c r="A406" t="s">
        <v>3538</v>
      </c>
      <c r="B406" s="3280" t="s">
        <v>2404</v>
      </c>
      <c r="C406" s="3272" t="s">
        <v>418</v>
      </c>
      <c r="D406" s="3281">
        <v>5695.7190000000001</v>
      </c>
    </row>
    <row r="407" spans="1:4">
      <c r="A407" t="s">
        <v>5901</v>
      </c>
      <c r="B407" s="3280" t="s">
        <v>2314</v>
      </c>
      <c r="C407" s="3272" t="s">
        <v>481</v>
      </c>
      <c r="D407" s="3281">
        <v>108803.11599999999</v>
      </c>
    </row>
    <row r="408" spans="1:4">
      <c r="A408" t="s">
        <v>5902</v>
      </c>
      <c r="B408" s="3280" t="s">
        <v>2166</v>
      </c>
      <c r="C408" s="3272" t="s">
        <v>482</v>
      </c>
      <c r="D408" s="3281">
        <v>12158.81</v>
      </c>
    </row>
    <row r="409" spans="1:4">
      <c r="A409" t="s">
        <v>3539</v>
      </c>
      <c r="B409" s="3280" t="s">
        <v>1428</v>
      </c>
      <c r="C409" s="3272" t="s">
        <v>1480</v>
      </c>
      <c r="D409" s="3281">
        <v>21282</v>
      </c>
    </row>
    <row r="410" spans="1:4">
      <c r="A410" t="s">
        <v>5903</v>
      </c>
      <c r="B410" s="3280" t="s">
        <v>2020</v>
      </c>
      <c r="C410" s="3272" t="s">
        <v>483</v>
      </c>
      <c r="D410" s="3281">
        <v>22310.048999999999</v>
      </c>
    </row>
    <row r="411" spans="1:4">
      <c r="A411" t="s">
        <v>5904</v>
      </c>
      <c r="B411" s="3280" t="s">
        <v>2552</v>
      </c>
      <c r="C411" s="3272" t="s">
        <v>484</v>
      </c>
      <c r="D411" s="3281">
        <v>193827.43299999999</v>
      </c>
    </row>
    <row r="412" spans="1:4">
      <c r="A412" t="s">
        <v>3540</v>
      </c>
      <c r="B412" s="3280" t="s">
        <v>1117</v>
      </c>
      <c r="C412" s="3272" t="s">
        <v>2385</v>
      </c>
      <c r="D412" s="3281">
        <v>40078.800999999999</v>
      </c>
    </row>
    <row r="413" spans="1:4">
      <c r="A413" t="s">
        <v>3541</v>
      </c>
      <c r="B413" s="3280" t="s">
        <v>48</v>
      </c>
      <c r="C413" s="3272" t="s">
        <v>410</v>
      </c>
      <c r="D413" s="3281">
        <v>74595.475000000006</v>
      </c>
    </row>
    <row r="414" spans="1:4">
      <c r="A414" t="s">
        <v>3542</v>
      </c>
      <c r="B414" s="3280" t="s">
        <v>55</v>
      </c>
      <c r="C414" s="3272" t="s">
        <v>2585</v>
      </c>
      <c r="D414" s="3281">
        <v>49875.707000000002</v>
      </c>
    </row>
    <row r="415" spans="1:4">
      <c r="A415" t="s">
        <v>5905</v>
      </c>
      <c r="B415" s="3280" t="s">
        <v>2553</v>
      </c>
      <c r="C415" s="3272" t="s">
        <v>485</v>
      </c>
      <c r="D415" s="3281">
        <v>7210.201</v>
      </c>
    </row>
    <row r="416" spans="1:4">
      <c r="A416" t="s">
        <v>3543</v>
      </c>
      <c r="B416" s="3280" t="s">
        <v>206</v>
      </c>
      <c r="C416" s="3272" t="s">
        <v>272</v>
      </c>
      <c r="D416" s="3281">
        <v>51877.684000000001</v>
      </c>
    </row>
    <row r="417" spans="1:4">
      <c r="A417" t="s">
        <v>5906</v>
      </c>
      <c r="B417" s="3280" t="s">
        <v>668</v>
      </c>
      <c r="C417" s="3272" t="s">
        <v>486</v>
      </c>
      <c r="D417" s="3281">
        <v>33195.125</v>
      </c>
    </row>
    <row r="418" spans="1:4">
      <c r="A418" t="s">
        <v>5907</v>
      </c>
      <c r="B418" s="3280" t="s">
        <v>811</v>
      </c>
      <c r="C418" s="3272" t="s">
        <v>2190</v>
      </c>
      <c r="D418" s="3281">
        <v>32604.280999999999</v>
      </c>
    </row>
    <row r="419" spans="1:4">
      <c r="A419" t="s">
        <v>5908</v>
      </c>
      <c r="B419" s="3280" t="s">
        <v>1947</v>
      </c>
      <c r="C419" s="3272" t="s">
        <v>2191</v>
      </c>
      <c r="D419" s="3281">
        <v>15239.387000000001</v>
      </c>
    </row>
    <row r="420" spans="1:4">
      <c r="A420" t="s">
        <v>5909</v>
      </c>
      <c r="B420" s="3280" t="s">
        <v>1948</v>
      </c>
      <c r="C420" s="3272" t="s">
        <v>2192</v>
      </c>
      <c r="D420" s="3281">
        <v>8621.07</v>
      </c>
    </row>
    <row r="421" spans="1:4">
      <c r="A421" t="s">
        <v>3544</v>
      </c>
      <c r="B421" s="3280" t="s">
        <v>867</v>
      </c>
      <c r="C421" s="3272" t="s">
        <v>2383</v>
      </c>
      <c r="D421" s="3281">
        <v>3282.1120000000001</v>
      </c>
    </row>
    <row r="422" spans="1:4">
      <c r="A422" t="s">
        <v>6731</v>
      </c>
      <c r="B422" s="3280" t="s">
        <v>1949</v>
      </c>
      <c r="C422" s="3272" t="s">
        <v>2193</v>
      </c>
      <c r="D422" s="3281">
        <v>128.24600000000001</v>
      </c>
    </row>
    <row r="423" spans="1:4">
      <c r="A423" t="s">
        <v>5910</v>
      </c>
      <c r="B423" s="3280" t="s">
        <v>1500</v>
      </c>
      <c r="C423" s="3272" t="s">
        <v>2194</v>
      </c>
      <c r="D423" s="3281">
        <v>4888.7209999999995</v>
      </c>
    </row>
    <row r="424" spans="1:4">
      <c r="A424" t="s">
        <v>5911</v>
      </c>
      <c r="B424" s="3280" t="s">
        <v>1501</v>
      </c>
      <c r="C424" s="3272" t="s">
        <v>2195</v>
      </c>
      <c r="D424" s="3281">
        <v>853.98900000000003</v>
      </c>
    </row>
    <row r="425" spans="1:4">
      <c r="A425" t="s">
        <v>5912</v>
      </c>
      <c r="B425" s="3280" t="s">
        <v>1502</v>
      </c>
      <c r="C425" s="3272" t="s">
        <v>2074</v>
      </c>
      <c r="D425" s="3281">
        <v>4759.4170000000004</v>
      </c>
    </row>
    <row r="426" spans="1:4">
      <c r="A426" t="s">
        <v>5913</v>
      </c>
      <c r="B426" s="3280" t="s">
        <v>1568</v>
      </c>
      <c r="C426" s="3272" t="s">
        <v>2075</v>
      </c>
      <c r="D426" s="3281">
        <v>695.58900000000006</v>
      </c>
    </row>
    <row r="427" spans="1:4">
      <c r="A427" t="s">
        <v>5914</v>
      </c>
      <c r="B427" s="3280" t="s">
        <v>1569</v>
      </c>
      <c r="C427" s="3272" t="s">
        <v>156</v>
      </c>
      <c r="D427" s="3281">
        <v>828.70899999999995</v>
      </c>
    </row>
    <row r="428" spans="1:4">
      <c r="A428" t="s">
        <v>5915</v>
      </c>
      <c r="B428" s="3280" t="s">
        <v>497</v>
      </c>
      <c r="C428" s="3272" t="s">
        <v>157</v>
      </c>
      <c r="D428" s="3281">
        <v>169.077</v>
      </c>
    </row>
    <row r="429" spans="1:4">
      <c r="A429" t="s">
        <v>5916</v>
      </c>
      <c r="B429" s="3280" t="s">
        <v>465</v>
      </c>
      <c r="C429" s="3272" t="s">
        <v>158</v>
      </c>
      <c r="D429" s="3281">
        <v>220.923</v>
      </c>
    </row>
    <row r="430" spans="1:4">
      <c r="A430" t="s">
        <v>3545</v>
      </c>
      <c r="B430" s="3280" t="s">
        <v>466</v>
      </c>
      <c r="C430" s="3272" t="s">
        <v>828</v>
      </c>
      <c r="D430" s="3281">
        <v>504.30700000000002</v>
      </c>
    </row>
    <row r="431" spans="1:4">
      <c r="A431" t="s">
        <v>6732</v>
      </c>
      <c r="B431" s="3280" t="s">
        <v>467</v>
      </c>
      <c r="C431" s="3272" t="s">
        <v>159</v>
      </c>
      <c r="D431" s="3281">
        <v>130.02099999999999</v>
      </c>
    </row>
    <row r="432" spans="1:4">
      <c r="A432" t="s">
        <v>5917</v>
      </c>
      <c r="B432" s="3280" t="s">
        <v>468</v>
      </c>
      <c r="C432" s="3272" t="s">
        <v>160</v>
      </c>
      <c r="D432" s="3281">
        <v>118.342</v>
      </c>
    </row>
    <row r="433" spans="1:4">
      <c r="A433" t="s">
        <v>5918</v>
      </c>
      <c r="B433" s="3280" t="s">
        <v>1141</v>
      </c>
      <c r="C433" s="3272" t="s">
        <v>1045</v>
      </c>
      <c r="D433" s="3281">
        <v>7373.1679999999997</v>
      </c>
    </row>
    <row r="434" spans="1:4">
      <c r="A434" t="s">
        <v>3546</v>
      </c>
      <c r="B434" s="3280" t="s">
        <v>1488</v>
      </c>
      <c r="C434" s="3272" t="s">
        <v>1061</v>
      </c>
      <c r="D434" s="3281">
        <v>6016.3040000000001</v>
      </c>
    </row>
    <row r="435" spans="1:4">
      <c r="A435" t="s">
        <v>5919</v>
      </c>
      <c r="B435" s="3280" t="s">
        <v>1292</v>
      </c>
      <c r="C435" s="3272" t="s">
        <v>162</v>
      </c>
      <c r="D435" s="3281">
        <v>2287.0430000000001</v>
      </c>
    </row>
    <row r="436" spans="1:4">
      <c r="A436" t="s">
        <v>3547</v>
      </c>
      <c r="B436" s="3280" t="s">
        <v>1863</v>
      </c>
      <c r="C436" s="3272" t="s">
        <v>35</v>
      </c>
      <c r="D436" s="3281">
        <v>18430.985000000001</v>
      </c>
    </row>
    <row r="437" spans="1:4">
      <c r="A437" t="s">
        <v>5920</v>
      </c>
      <c r="B437" s="3280" t="s">
        <v>1703</v>
      </c>
      <c r="C437" s="3272" t="s">
        <v>163</v>
      </c>
      <c r="D437" s="3281">
        <v>871.971</v>
      </c>
    </row>
    <row r="438" spans="1:4">
      <c r="A438" t="s">
        <v>5921</v>
      </c>
      <c r="B438" s="3280" t="s">
        <v>1704</v>
      </c>
      <c r="C438" s="3272" t="s">
        <v>1349</v>
      </c>
      <c r="D438" s="3281">
        <v>2878.4650000000001</v>
      </c>
    </row>
    <row r="439" spans="1:4">
      <c r="A439" t="s">
        <v>5922</v>
      </c>
      <c r="B439" s="3280" t="s">
        <v>2544</v>
      </c>
      <c r="C439" s="3272" t="s">
        <v>1350</v>
      </c>
      <c r="D439" s="3281">
        <v>2527.8159999999998</v>
      </c>
    </row>
    <row r="440" spans="1:4">
      <c r="A440" t="s">
        <v>5923</v>
      </c>
      <c r="B440" s="3280" t="s">
        <v>2519</v>
      </c>
      <c r="C440" s="3272" t="s">
        <v>1351</v>
      </c>
      <c r="D440" s="3281">
        <v>511.96600000000001</v>
      </c>
    </row>
    <row r="441" spans="1:4">
      <c r="A441" t="s">
        <v>5924</v>
      </c>
      <c r="B441" s="3280" t="s">
        <v>2007</v>
      </c>
      <c r="C441" s="3272" t="s">
        <v>1352</v>
      </c>
      <c r="D441" s="3281">
        <v>1456.248</v>
      </c>
    </row>
    <row r="442" spans="1:4">
      <c r="A442" t="s">
        <v>5925</v>
      </c>
      <c r="B442" s="3280" t="s">
        <v>63</v>
      </c>
      <c r="C442" s="3272" t="s">
        <v>2599</v>
      </c>
      <c r="D442" s="3281">
        <v>1286.2929999999999</v>
      </c>
    </row>
    <row r="443" spans="1:4">
      <c r="A443" t="s">
        <v>3548</v>
      </c>
      <c r="B443" s="3280" t="s">
        <v>1518</v>
      </c>
      <c r="C443" s="3272" t="s">
        <v>607</v>
      </c>
      <c r="D443" s="3281">
        <v>158.798</v>
      </c>
    </row>
    <row r="444" spans="1:4">
      <c r="A444" t="s">
        <v>4861</v>
      </c>
      <c r="B444" s="3280" t="s">
        <v>868</v>
      </c>
      <c r="C444" s="3272" t="s">
        <v>2105</v>
      </c>
      <c r="D444" s="3281">
        <v>146.13399999999999</v>
      </c>
    </row>
    <row r="445" spans="1:4">
      <c r="A445" t="s">
        <v>5926</v>
      </c>
      <c r="B445" s="3280" t="s">
        <v>64</v>
      </c>
      <c r="C445" s="3272" t="s">
        <v>2600</v>
      </c>
      <c r="D445" s="3281">
        <v>405.505</v>
      </c>
    </row>
    <row r="446" spans="1:4">
      <c r="A446" t="s">
        <v>3549</v>
      </c>
      <c r="B446" s="3280" t="s">
        <v>2127</v>
      </c>
      <c r="C446" s="3272" t="s">
        <v>32</v>
      </c>
      <c r="D446" s="3281">
        <v>13696.341</v>
      </c>
    </row>
    <row r="447" spans="1:4">
      <c r="A447" t="s">
        <v>3550</v>
      </c>
      <c r="B447" s="3280" t="s">
        <v>770</v>
      </c>
      <c r="C447" s="3272" t="s">
        <v>1066</v>
      </c>
      <c r="D447" s="3281">
        <v>4749.9570000000003</v>
      </c>
    </row>
    <row r="448" spans="1:4">
      <c r="A448" t="s">
        <v>3551</v>
      </c>
      <c r="B448" s="3280" t="s">
        <v>772</v>
      </c>
      <c r="C448" s="3272" t="s">
        <v>33</v>
      </c>
      <c r="D448" s="3281">
        <v>31648.205999999998</v>
      </c>
    </row>
    <row r="449" spans="1:4">
      <c r="A449" t="s">
        <v>3552</v>
      </c>
      <c r="B449" s="3280" t="s">
        <v>1865</v>
      </c>
      <c r="C449" s="3272" t="s">
        <v>2374</v>
      </c>
      <c r="D449" s="3281">
        <v>2902.9189999999999</v>
      </c>
    </row>
    <row r="450" spans="1:4">
      <c r="A450" t="s">
        <v>3553</v>
      </c>
      <c r="B450" s="3280" t="s">
        <v>2529</v>
      </c>
      <c r="C450" s="3272" t="s">
        <v>817</v>
      </c>
      <c r="D450" s="3281">
        <v>21824.564999999999</v>
      </c>
    </row>
    <row r="451" spans="1:4">
      <c r="A451" t="s">
        <v>3554</v>
      </c>
      <c r="B451" s="3280" t="s">
        <v>2532</v>
      </c>
      <c r="C451" s="3272" t="s">
        <v>2234</v>
      </c>
      <c r="D451" s="3281">
        <v>5008.375</v>
      </c>
    </row>
    <row r="452" spans="1:4">
      <c r="A452" t="s">
        <v>3555</v>
      </c>
      <c r="B452" s="3280" t="s">
        <v>2538</v>
      </c>
      <c r="C452" s="3272" t="s">
        <v>38</v>
      </c>
      <c r="D452" s="3281">
        <v>14211.046</v>
      </c>
    </row>
    <row r="453" spans="1:4">
      <c r="A453" t="s">
        <v>3556</v>
      </c>
      <c r="B453" s="3280" t="s">
        <v>211</v>
      </c>
      <c r="C453" s="3272" t="s">
        <v>999</v>
      </c>
      <c r="D453" s="3281">
        <v>31634.7</v>
      </c>
    </row>
    <row r="454" spans="1:4">
      <c r="A454" t="s">
        <v>3557</v>
      </c>
      <c r="B454" s="3280" t="s">
        <v>1067</v>
      </c>
      <c r="C454" s="3272" t="s">
        <v>75</v>
      </c>
      <c r="D454" s="3281">
        <v>1734.3869999999999</v>
      </c>
    </row>
    <row r="455" spans="1:4">
      <c r="A455" t="s">
        <v>3558</v>
      </c>
      <c r="B455" s="3280" t="s">
        <v>1562</v>
      </c>
      <c r="C455" s="3272" t="s">
        <v>2602</v>
      </c>
      <c r="D455" s="3281">
        <v>9676.1740000000009</v>
      </c>
    </row>
    <row r="456" spans="1:4">
      <c r="A456" t="s">
        <v>3559</v>
      </c>
      <c r="B456" s="3280" t="s">
        <v>58</v>
      </c>
      <c r="C456" s="3272" t="s">
        <v>1897</v>
      </c>
      <c r="D456" s="3281">
        <v>26164.240000000002</v>
      </c>
    </row>
    <row r="457" spans="1:4">
      <c r="A457" t="s">
        <v>3560</v>
      </c>
      <c r="B457" s="3280" t="s">
        <v>723</v>
      </c>
      <c r="C457" s="3272" t="s">
        <v>141</v>
      </c>
      <c r="D457" s="3281">
        <v>15905.911</v>
      </c>
    </row>
    <row r="458" spans="1:4">
      <c r="A458" t="s">
        <v>3561</v>
      </c>
      <c r="B458" s="3280" t="s">
        <v>60</v>
      </c>
      <c r="C458" s="3272" t="s">
        <v>2299</v>
      </c>
      <c r="D458" s="3281">
        <v>537.10299999999995</v>
      </c>
    </row>
    <row r="459" spans="1:4">
      <c r="A459" t="s">
        <v>3562</v>
      </c>
      <c r="B459" s="3280" t="s">
        <v>512</v>
      </c>
      <c r="C459" s="3272" t="s">
        <v>2242</v>
      </c>
      <c r="D459" s="3281">
        <v>934.73299999999995</v>
      </c>
    </row>
    <row r="460" spans="1:4">
      <c r="A460" t="s">
        <v>3563</v>
      </c>
      <c r="B460" s="3280" t="s">
        <v>1522</v>
      </c>
      <c r="C460" s="3272" t="s">
        <v>2364</v>
      </c>
      <c r="D460" s="3281">
        <v>4138.1490000000003</v>
      </c>
    </row>
    <row r="461" spans="1:4">
      <c r="A461" t="s">
        <v>3564</v>
      </c>
      <c r="B461" s="3280" t="s">
        <v>149</v>
      </c>
      <c r="C461" s="3272" t="s">
        <v>2150</v>
      </c>
      <c r="D461" s="3281">
        <v>267.767</v>
      </c>
    </row>
    <row r="462" spans="1:4">
      <c r="A462" t="s">
        <v>3565</v>
      </c>
      <c r="B462" s="3280" t="s">
        <v>2509</v>
      </c>
      <c r="C462" s="3272" t="s">
        <v>898</v>
      </c>
      <c r="D462" s="3281">
        <v>174.32400000000001</v>
      </c>
    </row>
    <row r="463" spans="1:4">
      <c r="A463" t="s">
        <v>4964</v>
      </c>
      <c r="B463" s="3280" t="s">
        <v>2402</v>
      </c>
      <c r="C463" s="3272" t="s">
        <v>667</v>
      </c>
      <c r="D463" s="3281">
        <v>266.49599999999998</v>
      </c>
    </row>
    <row r="464" spans="1:4">
      <c r="A464" t="s">
        <v>3566</v>
      </c>
      <c r="B464" s="3280" t="s">
        <v>1867</v>
      </c>
      <c r="C464" s="3272" t="s">
        <v>2376</v>
      </c>
      <c r="D464" s="3281">
        <v>1823.7650000000001</v>
      </c>
    </row>
    <row r="465" spans="1:4">
      <c r="A465" t="s">
        <v>3567</v>
      </c>
      <c r="B465" s="3280" t="s">
        <v>513</v>
      </c>
      <c r="C465" s="3272" t="s">
        <v>2381</v>
      </c>
      <c r="D465" s="3281">
        <v>363.12700000000001</v>
      </c>
    </row>
    <row r="466" spans="1:4">
      <c r="A466" t="s">
        <v>3568</v>
      </c>
      <c r="B466" s="3280" t="s">
        <v>42</v>
      </c>
      <c r="C466" s="3272" t="s">
        <v>404</v>
      </c>
      <c r="D466" s="3281">
        <v>645.84</v>
      </c>
    </row>
    <row r="467" spans="1:4">
      <c r="A467" t="s">
        <v>3569</v>
      </c>
      <c r="B467" s="3280" t="s">
        <v>150</v>
      </c>
      <c r="C467" s="3272" t="s">
        <v>2152</v>
      </c>
      <c r="D467" s="3281">
        <v>136.095</v>
      </c>
    </row>
    <row r="468" spans="1:4">
      <c r="A468" t="s">
        <v>3570</v>
      </c>
      <c r="B468" s="3280" t="s">
        <v>521</v>
      </c>
      <c r="C468" s="3272" t="s">
        <v>2243</v>
      </c>
      <c r="D468" s="3281">
        <v>164.51400000000001</v>
      </c>
    </row>
    <row r="469" spans="1:4">
      <c r="A469" t="s">
        <v>5927</v>
      </c>
      <c r="B469" s="3280" t="s">
        <v>1563</v>
      </c>
      <c r="C469" s="3272" t="s">
        <v>2603</v>
      </c>
      <c r="D469" s="3281">
        <v>1389.136</v>
      </c>
    </row>
    <row r="470" spans="1:4">
      <c r="A470" t="s">
        <v>3571</v>
      </c>
      <c r="B470" s="3280" t="s">
        <v>522</v>
      </c>
      <c r="C470" s="3272" t="s">
        <v>2419</v>
      </c>
      <c r="D470" s="3281">
        <v>304.29700000000003</v>
      </c>
    </row>
    <row r="471" spans="1:4">
      <c r="A471" t="s">
        <v>4982</v>
      </c>
      <c r="B471" s="3280" t="s">
        <v>1540</v>
      </c>
      <c r="C471" s="3272" t="s">
        <v>1346</v>
      </c>
      <c r="D471" s="3281">
        <v>335.40199999999999</v>
      </c>
    </row>
    <row r="472" spans="1:4">
      <c r="A472" t="s">
        <v>4985</v>
      </c>
      <c r="B472" s="3280" t="s">
        <v>523</v>
      </c>
      <c r="C472" s="3272" t="s">
        <v>2594</v>
      </c>
      <c r="D472" s="3281">
        <v>210.33699999999999</v>
      </c>
    </row>
    <row r="473" spans="1:4">
      <c r="A473" t="s">
        <v>6733</v>
      </c>
      <c r="B473" s="3280" t="s">
        <v>1564</v>
      </c>
      <c r="C473" s="3272" t="s">
        <v>2604</v>
      </c>
      <c r="D473" s="3281">
        <v>215.17500000000001</v>
      </c>
    </row>
    <row r="474" spans="1:4">
      <c r="A474" t="s">
        <v>5928</v>
      </c>
      <c r="B474" s="3280" t="s">
        <v>1565</v>
      </c>
      <c r="C474" s="3272" t="s">
        <v>2605</v>
      </c>
      <c r="D474" s="3281">
        <v>2703.49</v>
      </c>
    </row>
    <row r="475" spans="1:4">
      <c r="A475" t="s">
        <v>5929</v>
      </c>
      <c r="B475" s="3280" t="s">
        <v>1241</v>
      </c>
      <c r="C475" s="3272" t="s">
        <v>2606</v>
      </c>
      <c r="D475" s="3281">
        <v>393.25900000000001</v>
      </c>
    </row>
    <row r="476" spans="1:4">
      <c r="A476" t="s">
        <v>3572</v>
      </c>
      <c r="B476" s="3280" t="s">
        <v>1843</v>
      </c>
      <c r="C476" s="3272" t="s">
        <v>1929</v>
      </c>
      <c r="D476" s="3281">
        <v>393.68099999999998</v>
      </c>
    </row>
    <row r="477" spans="1:4">
      <c r="A477" t="s">
        <v>6734</v>
      </c>
      <c r="B477" s="3280" t="s">
        <v>1242</v>
      </c>
      <c r="C477" s="3272" t="s">
        <v>2607</v>
      </c>
      <c r="D477" s="3281">
        <v>562.327</v>
      </c>
    </row>
    <row r="478" spans="1:4">
      <c r="A478" t="s">
        <v>6735</v>
      </c>
      <c r="B478" s="3280" t="s">
        <v>1243</v>
      </c>
      <c r="C478" s="3272" t="s">
        <v>2608</v>
      </c>
      <c r="D478" s="3281">
        <v>173.24</v>
      </c>
    </row>
    <row r="479" spans="1:4">
      <c r="A479" t="s">
        <v>5930</v>
      </c>
      <c r="B479" s="3280" t="s">
        <v>1244</v>
      </c>
      <c r="C479" s="3272" t="s">
        <v>219</v>
      </c>
      <c r="D479" s="3281">
        <v>6609.2160000000003</v>
      </c>
    </row>
    <row r="480" spans="1:4">
      <c r="A480" t="s">
        <v>3573</v>
      </c>
      <c r="B480" s="3280" t="s">
        <v>1772</v>
      </c>
      <c r="C480" s="3272" t="s">
        <v>1566</v>
      </c>
      <c r="D480" s="3281">
        <v>364.24299999999999</v>
      </c>
    </row>
    <row r="481" spans="1:4">
      <c r="A481" t="s">
        <v>3574</v>
      </c>
      <c r="B481" s="3280" t="s">
        <v>1516</v>
      </c>
      <c r="C481" s="3272" t="s">
        <v>605</v>
      </c>
      <c r="D481" s="3281">
        <v>717.05</v>
      </c>
    </row>
    <row r="482" spans="1:4">
      <c r="A482" t="s">
        <v>3575</v>
      </c>
      <c r="B482" s="3280" t="s">
        <v>180</v>
      </c>
      <c r="C482" s="3272" t="s">
        <v>220</v>
      </c>
      <c r="D482" s="3281">
        <v>4017.9549999999999</v>
      </c>
    </row>
    <row r="483" spans="1:4">
      <c r="A483" t="s">
        <v>3576</v>
      </c>
      <c r="B483" s="3280" t="s">
        <v>1497</v>
      </c>
      <c r="C483" s="3272" t="s">
        <v>422</v>
      </c>
      <c r="D483" s="3281">
        <v>345.46499999999997</v>
      </c>
    </row>
    <row r="484" spans="1:4">
      <c r="A484" t="s">
        <v>5931</v>
      </c>
      <c r="B484" s="3280" t="s">
        <v>181</v>
      </c>
      <c r="C484" s="3272" t="s">
        <v>221</v>
      </c>
      <c r="D484" s="3281">
        <v>470.49200000000002</v>
      </c>
    </row>
    <row r="485" spans="1:4">
      <c r="A485" t="s">
        <v>3577</v>
      </c>
      <c r="B485" s="3280" t="s">
        <v>1943</v>
      </c>
      <c r="C485" s="3272" t="s">
        <v>2238</v>
      </c>
      <c r="D485" s="3281">
        <v>299.29399999999998</v>
      </c>
    </row>
    <row r="486" spans="1:4">
      <c r="A486" t="s">
        <v>6736</v>
      </c>
      <c r="B486" s="3280" t="s">
        <v>182</v>
      </c>
      <c r="C486" s="3272" t="s">
        <v>632</v>
      </c>
      <c r="D486" s="3281">
        <v>696.90599999999995</v>
      </c>
    </row>
    <row r="487" spans="1:4">
      <c r="A487" t="s">
        <v>6737</v>
      </c>
      <c r="B487" s="3280" t="s">
        <v>183</v>
      </c>
      <c r="C487" s="3272" t="s">
        <v>633</v>
      </c>
      <c r="D487" s="3281">
        <v>228.90700000000001</v>
      </c>
    </row>
    <row r="488" spans="1:4">
      <c r="A488" t="s">
        <v>3578</v>
      </c>
      <c r="B488" s="3280" t="s">
        <v>1498</v>
      </c>
      <c r="C488" s="3272" t="s">
        <v>1942</v>
      </c>
      <c r="D488" s="3281">
        <v>206.827</v>
      </c>
    </row>
    <row r="489" spans="1:4">
      <c r="A489" t="s">
        <v>5932</v>
      </c>
      <c r="B489" s="3280" t="s">
        <v>1421</v>
      </c>
      <c r="C489" s="3272" t="s">
        <v>634</v>
      </c>
      <c r="D489" s="3281">
        <v>1226.5650000000001</v>
      </c>
    </row>
    <row r="490" spans="1:4">
      <c r="A490" t="s">
        <v>5933</v>
      </c>
      <c r="B490" s="3280" t="s">
        <v>1261</v>
      </c>
      <c r="C490" s="3272" t="s">
        <v>2165</v>
      </c>
      <c r="D490" s="3281">
        <v>465.37599999999998</v>
      </c>
    </row>
    <row r="491" spans="1:4">
      <c r="A491" t="s">
        <v>6738</v>
      </c>
      <c r="B491" s="3280" t="s">
        <v>978</v>
      </c>
      <c r="C491" s="3272" t="s">
        <v>2520</v>
      </c>
      <c r="D491" s="3281">
        <v>510.03199999999998</v>
      </c>
    </row>
    <row r="492" spans="1:4">
      <c r="A492" t="s">
        <v>5934</v>
      </c>
      <c r="B492" s="3280" t="s">
        <v>979</v>
      </c>
      <c r="C492" s="3272" t="s">
        <v>1570</v>
      </c>
      <c r="D492" s="3281">
        <v>428.94400000000002</v>
      </c>
    </row>
    <row r="493" spans="1:4">
      <c r="A493" t="s">
        <v>6739</v>
      </c>
      <c r="B493" s="3280" t="s">
        <v>899</v>
      </c>
      <c r="C493" s="3272" t="s">
        <v>1571</v>
      </c>
      <c r="D493" s="3281">
        <v>250.34399999999999</v>
      </c>
    </row>
    <row r="494" spans="1:4">
      <c r="A494" t="s">
        <v>3579</v>
      </c>
      <c r="B494" s="3280" t="s">
        <v>1797</v>
      </c>
      <c r="C494" s="3272" t="s">
        <v>1572</v>
      </c>
      <c r="D494" s="3281">
        <v>3661.7249999999999</v>
      </c>
    </row>
    <row r="495" spans="1:4">
      <c r="A495" t="s">
        <v>5935</v>
      </c>
      <c r="B495" s="3280" t="s">
        <v>2677</v>
      </c>
      <c r="C495" s="3272" t="s">
        <v>1573</v>
      </c>
      <c r="D495" s="3281">
        <v>922.79200000000003</v>
      </c>
    </row>
    <row r="496" spans="1:4">
      <c r="A496" t="s">
        <v>5936</v>
      </c>
      <c r="B496" s="3280" t="s">
        <v>2678</v>
      </c>
      <c r="C496" s="3272" t="s">
        <v>1574</v>
      </c>
      <c r="D496" s="3281">
        <v>745.43799999999999</v>
      </c>
    </row>
    <row r="497" spans="1:4">
      <c r="A497" t="s">
        <v>5937</v>
      </c>
      <c r="B497" s="3280" t="s">
        <v>1331</v>
      </c>
      <c r="C497" s="3272" t="s">
        <v>1575</v>
      </c>
      <c r="D497" s="3281">
        <v>384.11700000000002</v>
      </c>
    </row>
    <row r="498" spans="1:4">
      <c r="A498" t="s">
        <v>6740</v>
      </c>
      <c r="B498" s="3280" t="s">
        <v>2177</v>
      </c>
      <c r="C498" s="3272" t="s">
        <v>1576</v>
      </c>
      <c r="D498" s="3281">
        <v>105.645</v>
      </c>
    </row>
    <row r="499" spans="1:4">
      <c r="A499" t="s">
        <v>6741</v>
      </c>
      <c r="B499" s="3280" t="s">
        <v>1111</v>
      </c>
      <c r="C499" s="3272" t="s">
        <v>1577</v>
      </c>
      <c r="D499" s="3281">
        <v>52.767000000000003</v>
      </c>
    </row>
    <row r="500" spans="1:4">
      <c r="A500" t="s">
        <v>3580</v>
      </c>
      <c r="B500" s="3280" t="s">
        <v>1886</v>
      </c>
      <c r="C500" s="3272" t="s">
        <v>651</v>
      </c>
      <c r="D500" s="3281">
        <v>1652.981</v>
      </c>
    </row>
    <row r="501" spans="1:4">
      <c r="A501" t="s">
        <v>3581</v>
      </c>
      <c r="B501" s="3280" t="s">
        <v>1112</v>
      </c>
      <c r="C501" s="3272" t="s">
        <v>1578</v>
      </c>
      <c r="D501" s="3281">
        <v>458.096</v>
      </c>
    </row>
    <row r="502" spans="1:4">
      <c r="A502" t="s">
        <v>3582</v>
      </c>
      <c r="B502" s="3280" t="s">
        <v>1437</v>
      </c>
      <c r="C502" s="3272" t="s">
        <v>1550</v>
      </c>
      <c r="D502" s="3281">
        <v>1399.9090000000001</v>
      </c>
    </row>
    <row r="503" spans="1:4">
      <c r="A503" t="s">
        <v>5938</v>
      </c>
      <c r="B503" s="3280" t="s">
        <v>1058</v>
      </c>
      <c r="C503" s="3272" t="s">
        <v>1579</v>
      </c>
      <c r="D503" s="3281">
        <v>5009.7110000000002</v>
      </c>
    </row>
    <row r="504" spans="1:4">
      <c r="A504" t="s">
        <v>3583</v>
      </c>
      <c r="B504" s="3280" t="s">
        <v>1944</v>
      </c>
      <c r="C504" s="3272" t="s">
        <v>2125</v>
      </c>
      <c r="D504" s="3281">
        <v>975.505</v>
      </c>
    </row>
    <row r="505" spans="1:4">
      <c r="A505" t="s">
        <v>3584</v>
      </c>
      <c r="B505" s="3280" t="s">
        <v>1584</v>
      </c>
      <c r="C505" s="3272" t="s">
        <v>77</v>
      </c>
      <c r="D505" s="3281">
        <v>2390.085</v>
      </c>
    </row>
    <row r="506" spans="1:4">
      <c r="A506" t="s">
        <v>3585</v>
      </c>
      <c r="B506" s="3280" t="s">
        <v>245</v>
      </c>
      <c r="C506" s="3272" t="s">
        <v>1131</v>
      </c>
      <c r="D506" s="3281">
        <v>634.44899999999996</v>
      </c>
    </row>
    <row r="507" spans="1:4">
      <c r="A507" t="s">
        <v>5939</v>
      </c>
      <c r="B507" s="3280" t="s">
        <v>1059</v>
      </c>
      <c r="C507" s="3272" t="s">
        <v>1580</v>
      </c>
      <c r="D507" s="3281">
        <v>300.291</v>
      </c>
    </row>
    <row r="508" spans="1:4">
      <c r="A508" t="s">
        <v>3586</v>
      </c>
      <c r="B508" s="3280" t="s">
        <v>875</v>
      </c>
      <c r="C508" s="3272" t="s">
        <v>799</v>
      </c>
      <c r="D508" s="3281">
        <v>645.81100000000004</v>
      </c>
    </row>
    <row r="509" spans="1:4">
      <c r="A509" t="s">
        <v>3587</v>
      </c>
      <c r="B509" s="3280" t="s">
        <v>1844</v>
      </c>
      <c r="C509" s="3272" t="s">
        <v>1347</v>
      </c>
      <c r="D509" s="3281">
        <v>487.11200000000002</v>
      </c>
    </row>
    <row r="510" spans="1:4">
      <c r="A510" t="s">
        <v>5940</v>
      </c>
      <c r="B510" s="3280" t="s">
        <v>1060</v>
      </c>
      <c r="C510" s="3272" t="s">
        <v>1581</v>
      </c>
      <c r="D510" s="3281">
        <v>2424.5549999999998</v>
      </c>
    </row>
    <row r="511" spans="1:4">
      <c r="A511" t="s">
        <v>5941</v>
      </c>
      <c r="B511" s="3280" t="s">
        <v>2140</v>
      </c>
      <c r="C511" s="3272" t="s">
        <v>1046</v>
      </c>
      <c r="D511" s="3281">
        <v>664.21400000000006</v>
      </c>
    </row>
    <row r="512" spans="1:4">
      <c r="A512" t="s">
        <v>5942</v>
      </c>
      <c r="B512" s="3280" t="s">
        <v>2141</v>
      </c>
      <c r="C512" s="3272" t="s">
        <v>1047</v>
      </c>
      <c r="D512" s="3281">
        <v>621.60299999999995</v>
      </c>
    </row>
    <row r="513" spans="1:4">
      <c r="A513" t="s">
        <v>6742</v>
      </c>
      <c r="B513" s="3280" t="s">
        <v>1259</v>
      </c>
      <c r="C513" s="3272" t="s">
        <v>2525</v>
      </c>
      <c r="D513" s="3281">
        <v>93.234999999999999</v>
      </c>
    </row>
    <row r="514" spans="1:4">
      <c r="A514" t="s">
        <v>5943</v>
      </c>
      <c r="B514" s="3280" t="s">
        <v>1260</v>
      </c>
      <c r="C514" s="3272" t="s">
        <v>1048</v>
      </c>
      <c r="D514" s="3281">
        <v>264.12400000000002</v>
      </c>
    </row>
    <row r="515" spans="1:4">
      <c r="A515" t="s">
        <v>5944</v>
      </c>
      <c r="B515" s="3280" t="s">
        <v>923</v>
      </c>
      <c r="C515" s="3272" t="s">
        <v>2462</v>
      </c>
      <c r="D515" s="3281">
        <v>238.52699999999999</v>
      </c>
    </row>
    <row r="516" spans="1:4">
      <c r="A516" t="s">
        <v>5945</v>
      </c>
      <c r="B516" s="3280" t="s">
        <v>924</v>
      </c>
      <c r="C516" s="3272" t="s">
        <v>2463</v>
      </c>
      <c r="D516" s="3281">
        <v>976.15700000000004</v>
      </c>
    </row>
    <row r="517" spans="1:4">
      <c r="A517" t="s">
        <v>5946</v>
      </c>
      <c r="B517" s="3280" t="s">
        <v>925</v>
      </c>
      <c r="C517" s="3272" t="s">
        <v>1049</v>
      </c>
      <c r="D517" s="3281">
        <v>316.94099999999997</v>
      </c>
    </row>
    <row r="518" spans="1:4">
      <c r="A518" t="s">
        <v>5947</v>
      </c>
      <c r="B518" s="3280" t="s">
        <v>926</v>
      </c>
      <c r="C518" s="3272" t="s">
        <v>620</v>
      </c>
      <c r="D518" s="3281">
        <v>1432.73</v>
      </c>
    </row>
    <row r="519" spans="1:4">
      <c r="A519" t="s">
        <v>3588</v>
      </c>
      <c r="B519" s="3280" t="s">
        <v>2577</v>
      </c>
      <c r="C519" s="3272" t="s">
        <v>1481</v>
      </c>
      <c r="D519" s="3281">
        <v>731.45</v>
      </c>
    </row>
    <row r="520" spans="1:4">
      <c r="A520" t="s">
        <v>5948</v>
      </c>
      <c r="B520" s="3280" t="s">
        <v>502</v>
      </c>
      <c r="C520" s="3272" t="s">
        <v>621</v>
      </c>
      <c r="D520" s="3281">
        <v>1107.4079999999999</v>
      </c>
    </row>
    <row r="521" spans="1:4">
      <c r="A521" t="s">
        <v>6743</v>
      </c>
      <c r="B521" s="3280" t="s">
        <v>2646</v>
      </c>
      <c r="C521" s="3272" t="s">
        <v>2499</v>
      </c>
      <c r="D521" s="3281">
        <v>369.54500000000002</v>
      </c>
    </row>
    <row r="522" spans="1:4">
      <c r="A522" t="s">
        <v>3589</v>
      </c>
      <c r="B522" s="3280" t="s">
        <v>883</v>
      </c>
      <c r="C522" s="3272" t="s">
        <v>1447</v>
      </c>
      <c r="D522" s="3281">
        <v>1427.6890000000001</v>
      </c>
    </row>
    <row r="523" spans="1:4">
      <c r="A523" t="s">
        <v>3590</v>
      </c>
      <c r="B523" s="3280" t="s">
        <v>44</v>
      </c>
      <c r="C523" s="3272" t="s">
        <v>406</v>
      </c>
      <c r="D523" s="3281">
        <v>2296.4009999999998</v>
      </c>
    </row>
    <row r="524" spans="1:4">
      <c r="A524" t="s">
        <v>3591</v>
      </c>
      <c r="B524" s="3280" t="s">
        <v>54</v>
      </c>
      <c r="C524" s="3272" t="s">
        <v>2017</v>
      </c>
      <c r="D524" s="3281">
        <v>1456.154</v>
      </c>
    </row>
    <row r="525" spans="1:4">
      <c r="A525" t="s">
        <v>5949</v>
      </c>
      <c r="B525" s="3280" t="s">
        <v>2647</v>
      </c>
      <c r="C525" s="3272" t="s">
        <v>2500</v>
      </c>
      <c r="D525" s="3281">
        <v>449.904</v>
      </c>
    </row>
    <row r="526" spans="1:4">
      <c r="A526" t="s">
        <v>6744</v>
      </c>
      <c r="B526" s="3280" t="s">
        <v>2648</v>
      </c>
      <c r="C526" s="3272" t="s">
        <v>2501</v>
      </c>
      <c r="D526" s="3281">
        <v>211.36500000000001</v>
      </c>
    </row>
    <row r="527" spans="1:4">
      <c r="A527" t="s">
        <v>6745</v>
      </c>
      <c r="B527" s="3280" t="s">
        <v>2649</v>
      </c>
      <c r="C527" s="3272" t="s">
        <v>2295</v>
      </c>
      <c r="D527" s="3281">
        <v>31.846</v>
      </c>
    </row>
    <row r="528" spans="1:4">
      <c r="A528" t="s">
        <v>3592</v>
      </c>
      <c r="B528" s="3280" t="s">
        <v>2540</v>
      </c>
      <c r="C528" s="3272" t="s">
        <v>390</v>
      </c>
      <c r="D528" s="3281">
        <v>5009.3760000000002</v>
      </c>
    </row>
    <row r="529" spans="1:4">
      <c r="A529" t="s">
        <v>5950</v>
      </c>
      <c r="B529" s="3280" t="s">
        <v>2292</v>
      </c>
      <c r="C529" s="3272" t="s">
        <v>2296</v>
      </c>
      <c r="D529" s="3281">
        <v>7737.9380000000001</v>
      </c>
    </row>
    <row r="530" spans="1:4">
      <c r="A530" t="s">
        <v>5951</v>
      </c>
      <c r="B530" s="3280" t="s">
        <v>2293</v>
      </c>
      <c r="C530" s="3272" t="s">
        <v>2690</v>
      </c>
      <c r="D530" s="3281">
        <v>4847.3869999999997</v>
      </c>
    </row>
    <row r="531" spans="1:4">
      <c r="A531" t="s">
        <v>5952</v>
      </c>
      <c r="B531" s="3280" t="s">
        <v>1325</v>
      </c>
      <c r="C531" s="3272" t="s">
        <v>2691</v>
      </c>
      <c r="D531" s="3281">
        <v>17270.82</v>
      </c>
    </row>
    <row r="532" spans="1:4">
      <c r="A532" t="s">
        <v>5953</v>
      </c>
      <c r="B532" s="3280" t="s">
        <v>1326</v>
      </c>
      <c r="C532" s="3272" t="s">
        <v>2692</v>
      </c>
      <c r="D532" s="3281">
        <v>347.81299999999999</v>
      </c>
    </row>
    <row r="533" spans="1:4">
      <c r="A533" t="s">
        <v>3593</v>
      </c>
      <c r="B533" s="3280" t="s">
        <v>1309</v>
      </c>
      <c r="C533" s="3272" t="s">
        <v>1734</v>
      </c>
      <c r="D533" s="3281">
        <v>1815.914</v>
      </c>
    </row>
    <row r="534" spans="1:4">
      <c r="A534" t="s">
        <v>5954</v>
      </c>
      <c r="B534" s="3280" t="s">
        <v>1327</v>
      </c>
      <c r="C534" s="3272" t="s">
        <v>1738</v>
      </c>
      <c r="D534" s="3281">
        <v>1050.326</v>
      </c>
    </row>
    <row r="535" spans="1:4">
      <c r="A535" t="s">
        <v>3594</v>
      </c>
      <c r="B535" s="3280" t="s">
        <v>2019</v>
      </c>
      <c r="C535" s="3272" t="s">
        <v>701</v>
      </c>
      <c r="D535" s="3281">
        <v>4564.8590000000004</v>
      </c>
    </row>
    <row r="536" spans="1:4">
      <c r="A536" t="s">
        <v>3595</v>
      </c>
      <c r="B536" s="3280" t="s">
        <v>2323</v>
      </c>
      <c r="C536" s="3272" t="s">
        <v>2681</v>
      </c>
      <c r="D536" s="3281">
        <v>467.35</v>
      </c>
    </row>
    <row r="537" spans="1:4">
      <c r="A537" t="s">
        <v>3596</v>
      </c>
      <c r="B537" s="3280" t="s">
        <v>1413</v>
      </c>
      <c r="C537" s="3272" t="s">
        <v>1016</v>
      </c>
      <c r="D537" s="3281">
        <v>1716.6410000000001</v>
      </c>
    </row>
    <row r="538" spans="1:4">
      <c r="A538" t="s">
        <v>3597</v>
      </c>
      <c r="B538" s="3280" t="s">
        <v>216</v>
      </c>
      <c r="C538" s="3272" t="s">
        <v>2102</v>
      </c>
      <c r="D538" s="3281">
        <v>494.286</v>
      </c>
    </row>
    <row r="539" spans="1:4">
      <c r="A539" t="s">
        <v>6746</v>
      </c>
      <c r="B539" s="3280" t="s">
        <v>1328</v>
      </c>
      <c r="C539" s="3272" t="s">
        <v>1739</v>
      </c>
      <c r="D539" s="3281">
        <v>124.104</v>
      </c>
    </row>
    <row r="540" spans="1:4">
      <c r="A540" t="s">
        <v>3598</v>
      </c>
      <c r="B540" s="3280" t="s">
        <v>195</v>
      </c>
      <c r="C540" s="3272" t="s">
        <v>1051</v>
      </c>
      <c r="D540" s="3281">
        <v>3490.7170000000001</v>
      </c>
    </row>
    <row r="541" spans="1:4">
      <c r="A541" t="s">
        <v>3599</v>
      </c>
      <c r="B541" s="3280" t="s">
        <v>1884</v>
      </c>
      <c r="C541" s="3272" t="s">
        <v>1449</v>
      </c>
      <c r="D541" s="3281">
        <v>11496.370999999999</v>
      </c>
    </row>
    <row r="542" spans="1:4">
      <c r="A542" t="s">
        <v>5955</v>
      </c>
      <c r="B542" s="3280" t="s">
        <v>574</v>
      </c>
      <c r="C542" s="3272" t="s">
        <v>1163</v>
      </c>
      <c r="D542" s="3281">
        <v>6144.4539999999997</v>
      </c>
    </row>
    <row r="543" spans="1:4">
      <c r="A543" t="s">
        <v>5069</v>
      </c>
      <c r="B543" s="3280" t="s">
        <v>1798</v>
      </c>
      <c r="C543" s="3272" t="s">
        <v>865</v>
      </c>
      <c r="D543" s="3281">
        <v>1155.2339999999999</v>
      </c>
    </row>
    <row r="544" spans="1:4">
      <c r="A544" t="s">
        <v>3600</v>
      </c>
      <c r="B544" s="3280" t="s">
        <v>45</v>
      </c>
      <c r="C544" s="3272" t="s">
        <v>407</v>
      </c>
      <c r="D544" s="3281">
        <v>5194.335</v>
      </c>
    </row>
    <row r="545" spans="1:4">
      <c r="A545" t="s">
        <v>3601</v>
      </c>
      <c r="B545" s="3280" t="s">
        <v>1329</v>
      </c>
      <c r="C545" s="3272" t="s">
        <v>2034</v>
      </c>
      <c r="D545" s="3281">
        <v>983.85</v>
      </c>
    </row>
    <row r="546" spans="1:4">
      <c r="A546" t="s">
        <v>3602</v>
      </c>
      <c r="B546" s="3280" t="s">
        <v>2324</v>
      </c>
      <c r="C546" s="3272" t="s">
        <v>2695</v>
      </c>
      <c r="D546" s="3281">
        <v>680.63499999999999</v>
      </c>
    </row>
    <row r="547" spans="1:4">
      <c r="A547" t="s">
        <v>3603</v>
      </c>
      <c r="B547" s="3280" t="s">
        <v>255</v>
      </c>
      <c r="C547" s="3272" t="s">
        <v>2644</v>
      </c>
      <c r="D547" s="3281">
        <v>2006.0119999999999</v>
      </c>
    </row>
    <row r="548" spans="1:4">
      <c r="A548" t="s">
        <v>3604</v>
      </c>
      <c r="B548" s="3280" t="s">
        <v>1263</v>
      </c>
      <c r="C548" s="3272" t="s">
        <v>2322</v>
      </c>
      <c r="D548" s="3281">
        <v>1878.9770000000001</v>
      </c>
    </row>
    <row r="549" spans="1:4">
      <c r="A549" t="s">
        <v>5956</v>
      </c>
      <c r="B549" s="3280" t="s">
        <v>2097</v>
      </c>
      <c r="C549" s="3272" t="s">
        <v>2417</v>
      </c>
      <c r="D549" s="3281">
        <v>710.41899999999998</v>
      </c>
    </row>
    <row r="550" spans="1:4">
      <c r="A550" t="s">
        <v>5957</v>
      </c>
      <c r="B550" s="3280" t="s">
        <v>1330</v>
      </c>
      <c r="C550" s="3272" t="s">
        <v>2035</v>
      </c>
      <c r="D550" s="3281">
        <v>369.43799999999999</v>
      </c>
    </row>
    <row r="551" spans="1:4">
      <c r="A551" t="s">
        <v>5958</v>
      </c>
      <c r="B551" s="3280" t="s">
        <v>1862</v>
      </c>
      <c r="C551" s="3272" t="s">
        <v>829</v>
      </c>
      <c r="D551" s="3281">
        <v>684.98400000000004</v>
      </c>
    </row>
    <row r="552" spans="1:4">
      <c r="A552" t="s">
        <v>3605</v>
      </c>
      <c r="B552" s="3280" t="s">
        <v>2510</v>
      </c>
      <c r="C552" s="3272" t="s">
        <v>144</v>
      </c>
      <c r="D552" s="3281">
        <v>93.460999999999999</v>
      </c>
    </row>
    <row r="553" spans="1:4">
      <c r="A553" t="s">
        <v>3606</v>
      </c>
      <c r="B553" s="3280" t="s">
        <v>259</v>
      </c>
      <c r="C553" s="3272" t="s">
        <v>1939</v>
      </c>
      <c r="D553" s="3281">
        <v>619.096</v>
      </c>
    </row>
    <row r="554" spans="1:4">
      <c r="A554" t="s">
        <v>5090</v>
      </c>
      <c r="B554" s="3280" t="s">
        <v>47</v>
      </c>
      <c r="C554" s="3272" t="s">
        <v>409</v>
      </c>
      <c r="D554" s="3281">
        <v>1037.4939999999999</v>
      </c>
    </row>
    <row r="555" spans="1:4">
      <c r="A555" t="s">
        <v>3607</v>
      </c>
      <c r="B555" s="3280" t="s">
        <v>2511</v>
      </c>
      <c r="C555" s="3272" t="s">
        <v>414</v>
      </c>
      <c r="D555" s="3281">
        <v>725.81</v>
      </c>
    </row>
    <row r="556" spans="1:4">
      <c r="A556" t="s">
        <v>5959</v>
      </c>
      <c r="B556" s="3280" t="s">
        <v>1153</v>
      </c>
      <c r="C556" s="3272" t="s">
        <v>2036</v>
      </c>
      <c r="D556" s="3281">
        <v>242.70099999999999</v>
      </c>
    </row>
    <row r="557" spans="1:4">
      <c r="A557" t="s">
        <v>3608</v>
      </c>
      <c r="B557" s="3280" t="s">
        <v>1686</v>
      </c>
      <c r="C557" s="3272" t="s">
        <v>893</v>
      </c>
      <c r="D557" s="3281">
        <v>341.726</v>
      </c>
    </row>
    <row r="558" spans="1:4">
      <c r="A558" t="s">
        <v>3609</v>
      </c>
      <c r="B558" s="3280" t="s">
        <v>2403</v>
      </c>
      <c r="C558" s="3272" t="s">
        <v>416</v>
      </c>
      <c r="D558" s="3281">
        <v>3845.9209999999998</v>
      </c>
    </row>
    <row r="559" spans="1:4">
      <c r="A559" t="s">
        <v>3610</v>
      </c>
      <c r="B559" s="3280" t="s">
        <v>1339</v>
      </c>
      <c r="C559" s="3272" t="s">
        <v>111</v>
      </c>
      <c r="D559" s="3281">
        <v>9712.7330000000002</v>
      </c>
    </row>
    <row r="560" spans="1:4">
      <c r="A560" t="s">
        <v>3611</v>
      </c>
      <c r="B560" s="3280" t="s">
        <v>49</v>
      </c>
      <c r="C560" s="3272" t="s">
        <v>411</v>
      </c>
      <c r="D560" s="3281">
        <v>3652.5720000000001</v>
      </c>
    </row>
    <row r="561" spans="1:4">
      <c r="A561" t="s">
        <v>3612</v>
      </c>
      <c r="B561" s="3280" t="s">
        <v>51</v>
      </c>
      <c r="C561" s="3272" t="s">
        <v>413</v>
      </c>
      <c r="D561" s="3281">
        <v>1457.636</v>
      </c>
    </row>
    <row r="562" spans="1:4">
      <c r="A562" t="s">
        <v>5960</v>
      </c>
      <c r="B562" s="3280" t="s">
        <v>2554</v>
      </c>
      <c r="C562" s="3272" t="s">
        <v>2037</v>
      </c>
      <c r="D562" s="3281">
        <v>3279.2710000000002</v>
      </c>
    </row>
    <row r="563" spans="1:4">
      <c r="A563" t="s">
        <v>5961</v>
      </c>
      <c r="B563" s="3280" t="s">
        <v>2555</v>
      </c>
      <c r="C563" s="3272" t="s">
        <v>2038</v>
      </c>
      <c r="D563" s="3281">
        <v>4182.97</v>
      </c>
    </row>
    <row r="564" spans="1:4">
      <c r="A564" t="s">
        <v>3613</v>
      </c>
      <c r="B564" s="3280" t="s">
        <v>494</v>
      </c>
      <c r="C564" s="3272" t="s">
        <v>1246</v>
      </c>
      <c r="D564" s="3281">
        <v>979.84299999999996</v>
      </c>
    </row>
    <row r="565" spans="1:4">
      <c r="A565" t="s">
        <v>5962</v>
      </c>
      <c r="B565" s="3280" t="s">
        <v>2556</v>
      </c>
      <c r="C565" s="3272" t="s">
        <v>2039</v>
      </c>
      <c r="D565" s="3281">
        <v>8275.2240000000002</v>
      </c>
    </row>
    <row r="566" spans="1:4">
      <c r="A566" t="s">
        <v>5963</v>
      </c>
      <c r="B566" s="3280" t="s">
        <v>1539</v>
      </c>
      <c r="C566" s="3272" t="s">
        <v>2040</v>
      </c>
      <c r="D566" s="3281">
        <v>1017.794</v>
      </c>
    </row>
    <row r="567" spans="1:4">
      <c r="A567" t="s">
        <v>5964</v>
      </c>
      <c r="B567" s="3280" t="s">
        <v>2689</v>
      </c>
      <c r="C567" s="3272" t="s">
        <v>2041</v>
      </c>
      <c r="D567" s="3281">
        <v>64.942999999999998</v>
      </c>
    </row>
    <row r="568" spans="1:4">
      <c r="A568" t="s">
        <v>6747</v>
      </c>
      <c r="B568" s="3280" t="s">
        <v>2320</v>
      </c>
      <c r="C568" s="3272" t="s">
        <v>2042</v>
      </c>
      <c r="D568" s="3281">
        <v>130.78899999999999</v>
      </c>
    </row>
    <row r="569" spans="1:4">
      <c r="A569" t="s">
        <v>3614</v>
      </c>
      <c r="B569" s="3280" t="s">
        <v>1541</v>
      </c>
      <c r="C569" s="3272" t="s">
        <v>659</v>
      </c>
      <c r="D569" s="3281">
        <v>527.75900000000001</v>
      </c>
    </row>
    <row r="570" spans="1:4">
      <c r="A570" t="s">
        <v>5965</v>
      </c>
      <c r="B570" s="3280" t="s">
        <v>2545</v>
      </c>
      <c r="C570" s="3272" t="s">
        <v>2043</v>
      </c>
      <c r="D570" s="3281">
        <v>175.26900000000001</v>
      </c>
    </row>
    <row r="571" spans="1:4">
      <c r="A571" t="s">
        <v>5966</v>
      </c>
      <c r="B571" s="3280" t="s">
        <v>2546</v>
      </c>
      <c r="C571" s="3272" t="s">
        <v>2044</v>
      </c>
      <c r="D571" s="3281">
        <v>4638.68</v>
      </c>
    </row>
    <row r="572" spans="1:4">
      <c r="A572" t="s">
        <v>5967</v>
      </c>
      <c r="B572" s="3280" t="s">
        <v>487</v>
      </c>
      <c r="C572" s="3272" t="s">
        <v>2045</v>
      </c>
      <c r="D572" s="3281">
        <v>1030.788</v>
      </c>
    </row>
    <row r="573" spans="1:4">
      <c r="A573" t="s">
        <v>6748</v>
      </c>
      <c r="B573" s="3280" t="s">
        <v>2278</v>
      </c>
      <c r="C573" s="3272" t="s">
        <v>2046</v>
      </c>
      <c r="D573" s="3281">
        <v>14.276</v>
      </c>
    </row>
    <row r="574" spans="1:4">
      <c r="A574" t="s">
        <v>6749</v>
      </c>
      <c r="B574" s="3280" t="s">
        <v>2279</v>
      </c>
      <c r="C574" s="3272" t="s">
        <v>2047</v>
      </c>
      <c r="D574" s="3281">
        <v>557.12</v>
      </c>
    </row>
    <row r="575" spans="1:4">
      <c r="A575" t="s">
        <v>5968</v>
      </c>
      <c r="B575" s="3280" t="s">
        <v>1534</v>
      </c>
      <c r="C575" s="3272" t="s">
        <v>2048</v>
      </c>
      <c r="D575" s="3281">
        <v>95.805000000000007</v>
      </c>
    </row>
    <row r="576" spans="1:4">
      <c r="A576" t="s">
        <v>6750</v>
      </c>
      <c r="B576" s="3280" t="s">
        <v>1535</v>
      </c>
      <c r="C576" s="3272" t="s">
        <v>2049</v>
      </c>
      <c r="D576" s="3281">
        <v>539.553</v>
      </c>
    </row>
    <row r="577" spans="1:4">
      <c r="A577" t="s">
        <v>3615</v>
      </c>
      <c r="B577" s="3280" t="s">
        <v>2512</v>
      </c>
      <c r="C577" s="3272" t="s">
        <v>2016</v>
      </c>
      <c r="D577" s="3281">
        <v>3047.623</v>
      </c>
    </row>
    <row r="578" spans="1:4">
      <c r="A578" t="s">
        <v>6751</v>
      </c>
      <c r="B578" s="3280" t="s">
        <v>393</v>
      </c>
      <c r="C578" s="3272" t="s">
        <v>2050</v>
      </c>
      <c r="D578" s="3281">
        <v>620.19000000000005</v>
      </c>
    </row>
    <row r="579" spans="1:4">
      <c r="A579" t="s">
        <v>6752</v>
      </c>
      <c r="B579" s="3280" t="s">
        <v>394</v>
      </c>
      <c r="C579" s="3272" t="s">
        <v>2051</v>
      </c>
      <c r="D579" s="3281">
        <v>389.89699999999999</v>
      </c>
    </row>
    <row r="580" spans="1:4">
      <c r="A580" t="s">
        <v>5969</v>
      </c>
      <c r="B580" s="3280" t="s">
        <v>395</v>
      </c>
      <c r="C580" s="3272" t="s">
        <v>2052</v>
      </c>
      <c r="D580" s="3281">
        <v>699.49</v>
      </c>
    </row>
    <row r="581" spans="1:4">
      <c r="A581" t="s">
        <v>3616</v>
      </c>
      <c r="B581" s="3280" t="s">
        <v>2513</v>
      </c>
      <c r="C581" s="3272" t="s">
        <v>1691</v>
      </c>
      <c r="D581" s="3281">
        <v>250.43299999999999</v>
      </c>
    </row>
    <row r="582" spans="1:4">
      <c r="A582" t="s">
        <v>6753</v>
      </c>
      <c r="B582" s="3280" t="s">
        <v>242</v>
      </c>
      <c r="C582" s="3272" t="s">
        <v>2053</v>
      </c>
      <c r="D582" s="3281">
        <v>334.78</v>
      </c>
    </row>
    <row r="583" spans="1:4">
      <c r="A583" t="s">
        <v>6754</v>
      </c>
      <c r="B583" s="3280" t="s">
        <v>243</v>
      </c>
      <c r="C583" s="3272" t="s">
        <v>2054</v>
      </c>
      <c r="D583" s="3281">
        <v>101.24299999999999</v>
      </c>
    </row>
    <row r="584" spans="1:4">
      <c r="A584" t="s">
        <v>5970</v>
      </c>
      <c r="B584" s="3280" t="s">
        <v>244</v>
      </c>
      <c r="C584" s="3272" t="s">
        <v>2055</v>
      </c>
      <c r="D584" s="3281">
        <v>889.11300000000006</v>
      </c>
    </row>
    <row r="585" spans="1:4">
      <c r="A585" t="s">
        <v>3617</v>
      </c>
      <c r="B585" s="3280" t="s">
        <v>2325</v>
      </c>
      <c r="C585" s="3272" t="s">
        <v>612</v>
      </c>
      <c r="D585" s="3281">
        <v>150.339</v>
      </c>
    </row>
    <row r="586" spans="1:4">
      <c r="A586" t="s">
        <v>3618</v>
      </c>
      <c r="B586" s="3280" t="s">
        <v>2023</v>
      </c>
      <c r="C586" s="3272" t="s">
        <v>198</v>
      </c>
      <c r="D586" s="3281">
        <v>3434.7179999999998</v>
      </c>
    </row>
    <row r="587" spans="1:4">
      <c r="A587" t="s">
        <v>5971</v>
      </c>
      <c r="B587" s="3280" t="s">
        <v>2076</v>
      </c>
      <c r="C587" s="3272" t="s">
        <v>2429</v>
      </c>
      <c r="D587" s="3281">
        <v>2413.8429999999998</v>
      </c>
    </row>
    <row r="588" spans="1:4">
      <c r="A588" t="s">
        <v>3619</v>
      </c>
      <c r="B588" s="3280" t="s">
        <v>2514</v>
      </c>
      <c r="C588" s="3272" t="s">
        <v>2101</v>
      </c>
      <c r="D588" s="3281">
        <v>1076.02</v>
      </c>
    </row>
    <row r="589" spans="1:4">
      <c r="A589" t="s">
        <v>6755</v>
      </c>
      <c r="B589" s="3280" t="s">
        <v>1557</v>
      </c>
      <c r="C589" s="3272" t="s">
        <v>2430</v>
      </c>
      <c r="D589" s="3281">
        <v>151.941</v>
      </c>
    </row>
    <row r="590" spans="1:4">
      <c r="A590" t="s">
        <v>6756</v>
      </c>
      <c r="B590" s="3280" t="s">
        <v>1558</v>
      </c>
      <c r="C590" s="3272" t="s">
        <v>943</v>
      </c>
      <c r="D590" s="3281">
        <v>1238.2280000000001</v>
      </c>
    </row>
    <row r="591" spans="1:4">
      <c r="A591" t="s">
        <v>5142</v>
      </c>
      <c r="B591" s="3280" t="s">
        <v>1412</v>
      </c>
      <c r="C591" s="3272" t="s">
        <v>826</v>
      </c>
      <c r="D591" s="3281">
        <v>579.48400000000004</v>
      </c>
    </row>
    <row r="592" spans="1:4">
      <c r="A592" t="s">
        <v>6757</v>
      </c>
      <c r="B592" s="3280" t="s">
        <v>2261</v>
      </c>
      <c r="C592" s="3272" t="s">
        <v>945</v>
      </c>
      <c r="D592" s="3281">
        <v>333.03800000000001</v>
      </c>
    </row>
    <row r="593" spans="1:4">
      <c r="A593" t="s">
        <v>5972</v>
      </c>
      <c r="B593" s="3280" t="s">
        <v>2262</v>
      </c>
      <c r="C593" s="3272" t="s">
        <v>946</v>
      </c>
      <c r="D593" s="3281">
        <v>435.69600000000003</v>
      </c>
    </row>
    <row r="594" spans="1:4">
      <c r="A594" t="s">
        <v>3620</v>
      </c>
      <c r="B594" s="3280" t="s">
        <v>2263</v>
      </c>
      <c r="C594" s="3272" t="s">
        <v>947</v>
      </c>
      <c r="D594" s="3281">
        <v>3109.326</v>
      </c>
    </row>
    <row r="595" spans="1:4">
      <c r="A595" t="s">
        <v>5973</v>
      </c>
      <c r="B595" s="3280" t="s">
        <v>2264</v>
      </c>
      <c r="C595" s="3272" t="s">
        <v>948</v>
      </c>
      <c r="D595" s="3281">
        <v>248.291</v>
      </c>
    </row>
    <row r="596" spans="1:4">
      <c r="A596" t="s">
        <v>3621</v>
      </c>
      <c r="B596" s="3280" t="s">
        <v>2401</v>
      </c>
      <c r="C596" s="3272" t="s">
        <v>1102</v>
      </c>
      <c r="D596" s="3281">
        <v>1243.4559999999999</v>
      </c>
    </row>
    <row r="597" spans="1:4">
      <c r="A597" t="s">
        <v>5974</v>
      </c>
      <c r="B597" s="3280" t="s">
        <v>2265</v>
      </c>
      <c r="C597" s="3272" t="s">
        <v>949</v>
      </c>
      <c r="D597" s="3281">
        <v>1059.9849999999999</v>
      </c>
    </row>
    <row r="598" spans="1:4">
      <c r="A598" t="s">
        <v>6758</v>
      </c>
      <c r="B598" s="3280" t="s">
        <v>2266</v>
      </c>
      <c r="C598" s="3272" t="s">
        <v>950</v>
      </c>
      <c r="D598" s="3281">
        <v>259.27600000000001</v>
      </c>
    </row>
    <row r="599" spans="1:4">
      <c r="A599" t="s">
        <v>6759</v>
      </c>
      <c r="B599" s="3280" t="s">
        <v>2267</v>
      </c>
      <c r="C599" s="3272" t="s">
        <v>951</v>
      </c>
      <c r="D599" s="3281">
        <v>605.96299999999997</v>
      </c>
    </row>
    <row r="600" spans="1:4">
      <c r="A600" t="s">
        <v>6760</v>
      </c>
      <c r="B600" s="3280" t="s">
        <v>2268</v>
      </c>
      <c r="C600" s="3272" t="s">
        <v>952</v>
      </c>
      <c r="D600" s="3281">
        <v>107.562</v>
      </c>
    </row>
    <row r="601" spans="1:4">
      <c r="A601" t="s">
        <v>6761</v>
      </c>
      <c r="B601" s="3280" t="s">
        <v>2269</v>
      </c>
      <c r="C601" s="3272" t="s">
        <v>953</v>
      </c>
      <c r="D601" s="3281">
        <v>139.95699999999999</v>
      </c>
    </row>
    <row r="602" spans="1:4">
      <c r="A602" t="s">
        <v>5975</v>
      </c>
      <c r="B602" s="3280" t="s">
        <v>2586</v>
      </c>
      <c r="C602" s="3272" t="s">
        <v>954</v>
      </c>
      <c r="D602" s="3281">
        <v>93.497</v>
      </c>
    </row>
    <row r="603" spans="1:4">
      <c r="A603" t="s">
        <v>5976</v>
      </c>
      <c r="B603" s="3280" t="s">
        <v>2587</v>
      </c>
      <c r="C603" s="3272" t="s">
        <v>955</v>
      </c>
      <c r="D603" s="3281">
        <v>1766.943</v>
      </c>
    </row>
    <row r="604" spans="1:4">
      <c r="A604" t="s">
        <v>5977</v>
      </c>
      <c r="B604" s="3280" t="s">
        <v>2588</v>
      </c>
      <c r="C604" s="3272" t="s">
        <v>956</v>
      </c>
      <c r="D604" s="3281">
        <v>969.06899999999996</v>
      </c>
    </row>
    <row r="605" spans="1:4">
      <c r="A605" t="s">
        <v>6762</v>
      </c>
      <c r="B605" s="3280" t="s">
        <v>2589</v>
      </c>
      <c r="C605" s="3272" t="s">
        <v>957</v>
      </c>
      <c r="D605" s="3281">
        <v>151.721</v>
      </c>
    </row>
    <row r="606" spans="1:4">
      <c r="A606" t="s">
        <v>5978</v>
      </c>
      <c r="B606" s="3280" t="s">
        <v>2590</v>
      </c>
      <c r="C606" s="3272" t="s">
        <v>958</v>
      </c>
      <c r="D606" s="3281">
        <v>868.24</v>
      </c>
    </row>
    <row r="607" spans="1:4">
      <c r="A607" t="s">
        <v>5979</v>
      </c>
      <c r="B607" s="3280" t="s">
        <v>1381</v>
      </c>
      <c r="C607" s="3272" t="s">
        <v>1824</v>
      </c>
      <c r="D607" s="3281">
        <v>634.64200000000005</v>
      </c>
    </row>
    <row r="608" spans="1:4">
      <c r="A608" t="s">
        <v>5980</v>
      </c>
      <c r="B608" s="3280" t="s">
        <v>1382</v>
      </c>
      <c r="C608" s="3272" t="s">
        <v>1825</v>
      </c>
      <c r="D608" s="3281">
        <v>563.59500000000003</v>
      </c>
    </row>
    <row r="609" spans="1:4">
      <c r="A609" t="s">
        <v>5981</v>
      </c>
      <c r="B609" s="3280" t="s">
        <v>2426</v>
      </c>
      <c r="C609" s="3272" t="s">
        <v>1826</v>
      </c>
      <c r="D609" s="3281">
        <v>186.14</v>
      </c>
    </row>
    <row r="610" spans="1:4">
      <c r="A610" t="s">
        <v>5982</v>
      </c>
      <c r="B610" s="3280" t="s">
        <v>2111</v>
      </c>
      <c r="C610" s="3272" t="s">
        <v>2005</v>
      </c>
      <c r="D610" s="3281">
        <v>704.17200000000003</v>
      </c>
    </row>
    <row r="611" spans="1:4">
      <c r="A611" t="s">
        <v>3622</v>
      </c>
      <c r="B611" s="3280" t="s">
        <v>2633</v>
      </c>
      <c r="C611" s="3272" t="s">
        <v>1164</v>
      </c>
      <c r="D611" s="3281">
        <v>5176.07</v>
      </c>
    </row>
    <row r="612" spans="1:4">
      <c r="A612" t="s">
        <v>3623</v>
      </c>
      <c r="B612" s="3280" t="s">
        <v>2408</v>
      </c>
      <c r="C612" s="3272" t="s">
        <v>2664</v>
      </c>
      <c r="D612" s="3281">
        <v>5110.1540000000005</v>
      </c>
    </row>
    <row r="613" spans="1:4">
      <c r="A613" t="s">
        <v>5983</v>
      </c>
      <c r="B613" s="3280" t="s">
        <v>2112</v>
      </c>
      <c r="C613" s="3272" t="s">
        <v>2006</v>
      </c>
      <c r="D613" s="3281">
        <v>161.351</v>
      </c>
    </row>
    <row r="614" spans="1:4">
      <c r="A614" t="s">
        <v>3624</v>
      </c>
      <c r="B614" s="3280" t="s">
        <v>2515</v>
      </c>
      <c r="C614" s="3272" t="s">
        <v>1735</v>
      </c>
      <c r="D614" s="3281">
        <v>1296.4849999999999</v>
      </c>
    </row>
    <row r="615" spans="1:4">
      <c r="A615" t="s">
        <v>3625</v>
      </c>
      <c r="B615" s="3280" t="s">
        <v>1116</v>
      </c>
      <c r="C615" s="3272" t="s">
        <v>2384</v>
      </c>
      <c r="D615" s="3281">
        <v>427.505</v>
      </c>
    </row>
    <row r="616" spans="1:4">
      <c r="A616" t="s">
        <v>5984</v>
      </c>
      <c r="B616" s="3280" t="s">
        <v>2113</v>
      </c>
      <c r="C616" s="3272" t="s">
        <v>543</v>
      </c>
      <c r="D616" s="3281">
        <v>1949.6559999999999</v>
      </c>
    </row>
    <row r="617" spans="1:4">
      <c r="A617" t="s">
        <v>5985</v>
      </c>
      <c r="B617" s="3280" t="s">
        <v>2114</v>
      </c>
      <c r="C617" s="3272" t="s">
        <v>544</v>
      </c>
      <c r="D617" s="3281">
        <v>1714.539</v>
      </c>
    </row>
    <row r="618" spans="1:4">
      <c r="A618" t="s">
        <v>3626</v>
      </c>
      <c r="B618" s="3280" t="s">
        <v>967</v>
      </c>
      <c r="C618" s="3272" t="s">
        <v>1554</v>
      </c>
      <c r="D618" s="3281">
        <v>284.084</v>
      </c>
    </row>
    <row r="619" spans="1:4">
      <c r="A619" t="s">
        <v>5986</v>
      </c>
      <c r="B619" s="3280" t="s">
        <v>1337</v>
      </c>
      <c r="C619" s="3272" t="s">
        <v>545</v>
      </c>
      <c r="D619" s="3281">
        <v>1670.5309999999999</v>
      </c>
    </row>
    <row r="620" spans="1:4">
      <c r="A620" t="s">
        <v>5987</v>
      </c>
      <c r="B620" s="3280" t="s">
        <v>1689</v>
      </c>
      <c r="C620" s="3272" t="s">
        <v>546</v>
      </c>
      <c r="D620" s="3281">
        <v>1665.327</v>
      </c>
    </row>
    <row r="621" spans="1:4">
      <c r="A621" t="s">
        <v>5988</v>
      </c>
      <c r="B621" s="3280" t="s">
        <v>1690</v>
      </c>
      <c r="C621" s="3272" t="s">
        <v>547</v>
      </c>
      <c r="D621" s="3281">
        <v>361.40899999999999</v>
      </c>
    </row>
    <row r="622" spans="1:4">
      <c r="A622" t="s">
        <v>5989</v>
      </c>
      <c r="B622" s="3280" t="s">
        <v>2557</v>
      </c>
      <c r="C622" s="3272" t="s">
        <v>548</v>
      </c>
      <c r="D622" s="3281">
        <v>132.64500000000001</v>
      </c>
    </row>
    <row r="623" spans="1:4">
      <c r="A623" t="s">
        <v>5990</v>
      </c>
      <c r="B623" s="3280" t="s">
        <v>2558</v>
      </c>
      <c r="C623" s="3272" t="s">
        <v>549</v>
      </c>
      <c r="D623" s="3281">
        <v>108.45099999999999</v>
      </c>
    </row>
    <row r="624" spans="1:4">
      <c r="A624" t="s">
        <v>5991</v>
      </c>
      <c r="B624" s="3280" t="s">
        <v>2659</v>
      </c>
      <c r="C624" s="3272" t="s">
        <v>550</v>
      </c>
      <c r="D624" s="3281">
        <v>104.024</v>
      </c>
    </row>
    <row r="625" spans="1:4">
      <c r="A625" t="s">
        <v>5992</v>
      </c>
      <c r="B625" s="3280" t="s">
        <v>837</v>
      </c>
      <c r="C625" s="3272" t="s">
        <v>551</v>
      </c>
      <c r="D625" s="3281">
        <v>1013.54</v>
      </c>
    </row>
    <row r="626" spans="1:4">
      <c r="A626" t="s">
        <v>5993</v>
      </c>
      <c r="B626" s="3280" t="s">
        <v>82</v>
      </c>
      <c r="C626" s="3272" t="s">
        <v>552</v>
      </c>
      <c r="D626" s="3281">
        <v>604.27499999999998</v>
      </c>
    </row>
    <row r="627" spans="1:4">
      <c r="A627" t="s">
        <v>5994</v>
      </c>
      <c r="B627" s="3280" t="s">
        <v>83</v>
      </c>
      <c r="C627" s="3272" t="s">
        <v>553</v>
      </c>
      <c r="D627" s="3281">
        <v>1660.9829999999999</v>
      </c>
    </row>
    <row r="628" spans="1:4">
      <c r="A628" t="s">
        <v>5163</v>
      </c>
      <c r="B628" s="3280" t="s">
        <v>2284</v>
      </c>
      <c r="C628" s="3272" t="s">
        <v>586</v>
      </c>
      <c r="D628" s="3281">
        <v>25680.754000000001</v>
      </c>
    </row>
    <row r="629" spans="1:4">
      <c r="A629" t="s">
        <v>6763</v>
      </c>
      <c r="B629" s="3280" t="s">
        <v>2410</v>
      </c>
      <c r="C629" s="3272" t="s">
        <v>554</v>
      </c>
      <c r="D629" s="3281">
        <v>709.28300000000002</v>
      </c>
    </row>
    <row r="630" spans="1:4">
      <c r="A630" t="s">
        <v>5995</v>
      </c>
      <c r="B630" s="3280" t="s">
        <v>2411</v>
      </c>
      <c r="C630" s="3272" t="s">
        <v>555</v>
      </c>
      <c r="D630" s="3281">
        <v>1172.748</v>
      </c>
    </row>
    <row r="631" spans="1:4">
      <c r="A631" t="s">
        <v>3627</v>
      </c>
      <c r="B631" s="3280" t="s">
        <v>2104</v>
      </c>
      <c r="C631" s="3272" t="s">
        <v>587</v>
      </c>
      <c r="D631" s="3281">
        <v>5896.107</v>
      </c>
    </row>
    <row r="632" spans="1:4">
      <c r="A632" t="s">
        <v>3628</v>
      </c>
      <c r="B632" s="3280" t="s">
        <v>1423</v>
      </c>
      <c r="C632" s="3272" t="s">
        <v>2303</v>
      </c>
      <c r="D632" s="3281">
        <v>9101.5679999999993</v>
      </c>
    </row>
    <row r="633" spans="1:4">
      <c r="A633" t="s">
        <v>5996</v>
      </c>
      <c r="B633" s="3280" t="s">
        <v>2412</v>
      </c>
      <c r="C633" s="3272" t="s">
        <v>556</v>
      </c>
      <c r="D633" s="3281">
        <v>1005.149</v>
      </c>
    </row>
    <row r="634" spans="1:4">
      <c r="A634" t="s">
        <v>3629</v>
      </c>
      <c r="B634" s="3280" t="s">
        <v>496</v>
      </c>
      <c r="C634" s="3272" t="s">
        <v>1248</v>
      </c>
      <c r="D634" s="3281">
        <v>1531.7249999999999</v>
      </c>
    </row>
    <row r="635" spans="1:4">
      <c r="A635" t="s">
        <v>3630</v>
      </c>
      <c r="B635" s="3280" t="s">
        <v>677</v>
      </c>
      <c r="C635" s="3272" t="s">
        <v>557</v>
      </c>
      <c r="D635" s="3281">
        <v>946.327</v>
      </c>
    </row>
    <row r="636" spans="1:4">
      <c r="A636" t="s">
        <v>5997</v>
      </c>
      <c r="B636" s="3280" t="s">
        <v>2347</v>
      </c>
      <c r="C636" s="3272" t="s">
        <v>558</v>
      </c>
      <c r="D636" s="3281">
        <v>294.76499999999999</v>
      </c>
    </row>
    <row r="637" spans="1:4">
      <c r="A637" t="s">
        <v>6764</v>
      </c>
      <c r="B637" s="3280" t="s">
        <v>2348</v>
      </c>
      <c r="C637" s="3272" t="s">
        <v>559</v>
      </c>
      <c r="D637" s="3281">
        <v>561.08500000000004</v>
      </c>
    </row>
    <row r="638" spans="1:4">
      <c r="A638" t="s">
        <v>5998</v>
      </c>
      <c r="B638" s="3280" t="s">
        <v>2349</v>
      </c>
      <c r="C638" s="3272" t="s">
        <v>560</v>
      </c>
      <c r="D638" s="3281">
        <v>403.40499999999997</v>
      </c>
    </row>
    <row r="639" spans="1:4">
      <c r="A639" t="s">
        <v>6765</v>
      </c>
      <c r="B639" s="3280" t="s">
        <v>1464</v>
      </c>
      <c r="C639" s="3272" t="s">
        <v>561</v>
      </c>
      <c r="D639" s="3281">
        <v>113.736</v>
      </c>
    </row>
    <row r="640" spans="1:4">
      <c r="A640" t="s">
        <v>3631</v>
      </c>
      <c r="B640" s="3280" t="s">
        <v>2091</v>
      </c>
      <c r="C640" s="3272" t="s">
        <v>37</v>
      </c>
      <c r="D640" s="3281">
        <v>2184.8200000000002</v>
      </c>
    </row>
    <row r="641" spans="1:4">
      <c r="A641" t="s">
        <v>3632</v>
      </c>
      <c r="B641" s="3280" t="s">
        <v>1465</v>
      </c>
      <c r="C641" s="3272" t="s">
        <v>562</v>
      </c>
      <c r="D641" s="3281">
        <v>319.06299999999999</v>
      </c>
    </row>
    <row r="642" spans="1:4">
      <c r="A642" t="s">
        <v>5999</v>
      </c>
      <c r="B642" s="3280" t="s">
        <v>382</v>
      </c>
      <c r="C642" s="3272" t="s">
        <v>563</v>
      </c>
      <c r="D642" s="3281">
        <v>1166.376</v>
      </c>
    </row>
    <row r="643" spans="1:4">
      <c r="A643" t="s">
        <v>6000</v>
      </c>
      <c r="B643" s="3280" t="s">
        <v>383</v>
      </c>
      <c r="C643" s="3272" t="s">
        <v>564</v>
      </c>
      <c r="D643" s="3281">
        <v>952.36800000000005</v>
      </c>
    </row>
    <row r="644" spans="1:4">
      <c r="A644" t="s">
        <v>6001</v>
      </c>
      <c r="B644" s="3280" t="s">
        <v>384</v>
      </c>
      <c r="C644" s="3272" t="s">
        <v>565</v>
      </c>
      <c r="D644" s="3281">
        <v>230.02</v>
      </c>
    </row>
    <row r="645" spans="1:4">
      <c r="A645" t="s">
        <v>6002</v>
      </c>
      <c r="B645" s="3280" t="s">
        <v>1655</v>
      </c>
      <c r="C645" s="3272" t="s">
        <v>566</v>
      </c>
      <c r="D645" s="3281">
        <v>672.20899999999995</v>
      </c>
    </row>
    <row r="646" spans="1:4">
      <c r="A646" t="s">
        <v>6003</v>
      </c>
      <c r="B646" s="3280" t="s">
        <v>1656</v>
      </c>
      <c r="C646" s="3272" t="s">
        <v>567</v>
      </c>
      <c r="D646" s="3281">
        <v>3229.2829999999999</v>
      </c>
    </row>
    <row r="647" spans="1:4">
      <c r="A647" t="s">
        <v>6004</v>
      </c>
      <c r="B647" s="3280" t="s">
        <v>173</v>
      </c>
      <c r="C647" s="3272" t="s">
        <v>1745</v>
      </c>
      <c r="D647" s="3281">
        <v>883.42200000000003</v>
      </c>
    </row>
    <row r="648" spans="1:4">
      <c r="A648" t="s">
        <v>6005</v>
      </c>
      <c r="B648" s="3280" t="s">
        <v>2128</v>
      </c>
      <c r="C648" s="3272" t="s">
        <v>1746</v>
      </c>
      <c r="D648" s="3281">
        <v>126.755</v>
      </c>
    </row>
    <row r="649" spans="1:4">
      <c r="A649" t="s">
        <v>6006</v>
      </c>
      <c r="B649" s="3280" t="s">
        <v>2129</v>
      </c>
      <c r="C649" s="3272" t="s">
        <v>1747</v>
      </c>
      <c r="D649" s="3281">
        <v>1313.9480000000001</v>
      </c>
    </row>
    <row r="650" spans="1:4">
      <c r="A650" t="s">
        <v>6766</v>
      </c>
      <c r="B650" s="3280" t="s">
        <v>2130</v>
      </c>
      <c r="C650" s="3272" t="s">
        <v>1748</v>
      </c>
      <c r="D650" s="3281">
        <v>1005.1319999999999</v>
      </c>
    </row>
    <row r="651" spans="1:4">
      <c r="A651" t="s">
        <v>3633</v>
      </c>
      <c r="B651" s="3280" t="s">
        <v>1813</v>
      </c>
      <c r="C651" s="3272" t="s">
        <v>1062</v>
      </c>
      <c r="D651" s="3281">
        <v>13326.912</v>
      </c>
    </row>
    <row r="652" spans="1:4">
      <c r="A652" t="s">
        <v>3634</v>
      </c>
      <c r="B652" s="3280" t="s">
        <v>880</v>
      </c>
      <c r="C652" s="3272" t="s">
        <v>1854</v>
      </c>
      <c r="D652" s="3281">
        <v>1075.271</v>
      </c>
    </row>
    <row r="653" spans="1:4">
      <c r="A653" t="s">
        <v>6767</v>
      </c>
      <c r="B653" s="3280" t="s">
        <v>1403</v>
      </c>
      <c r="C653" s="3272" t="s">
        <v>1749</v>
      </c>
      <c r="D653" s="3281">
        <v>165.13800000000001</v>
      </c>
    </row>
    <row r="654" spans="1:4">
      <c r="A654" t="s">
        <v>3635</v>
      </c>
      <c r="B654" s="3280" t="s">
        <v>1988</v>
      </c>
      <c r="C654" s="3272" t="s">
        <v>2228</v>
      </c>
      <c r="D654" s="3281">
        <v>92.820999999999998</v>
      </c>
    </row>
    <row r="655" spans="1:4">
      <c r="A655" t="s">
        <v>3636</v>
      </c>
      <c r="B655" s="3280" t="s">
        <v>968</v>
      </c>
      <c r="C655" s="3272" t="s">
        <v>417</v>
      </c>
      <c r="D655" s="3281">
        <v>528.62099999999998</v>
      </c>
    </row>
    <row r="656" spans="1:4">
      <c r="A656" t="s">
        <v>6007</v>
      </c>
      <c r="B656" s="3280" t="s">
        <v>900</v>
      </c>
      <c r="C656" s="3272" t="s">
        <v>1922</v>
      </c>
      <c r="D656" s="3281">
        <v>7652.7690000000002</v>
      </c>
    </row>
    <row r="657" spans="1:4">
      <c r="A657" t="s">
        <v>3637</v>
      </c>
      <c r="B657" s="3280" t="s">
        <v>702</v>
      </c>
      <c r="C657" s="3272" t="s">
        <v>1899</v>
      </c>
      <c r="D657" s="3281">
        <v>2893.88</v>
      </c>
    </row>
    <row r="658" spans="1:4">
      <c r="A658" t="s">
        <v>3638</v>
      </c>
      <c r="B658" s="3280" t="s">
        <v>969</v>
      </c>
      <c r="C658" s="3272" t="s">
        <v>1257</v>
      </c>
      <c r="D658" s="3281">
        <v>1653.731</v>
      </c>
    </row>
    <row r="659" spans="1:4">
      <c r="A659" t="s">
        <v>3639</v>
      </c>
      <c r="B659" s="3280" t="s">
        <v>1835</v>
      </c>
      <c r="C659" s="3272" t="s">
        <v>2064</v>
      </c>
      <c r="D659" s="3281">
        <v>485.87799999999999</v>
      </c>
    </row>
    <row r="660" spans="1:4">
      <c r="A660" t="s">
        <v>3640</v>
      </c>
      <c r="B660" s="3280" t="s">
        <v>1542</v>
      </c>
      <c r="C660" s="3272" t="s">
        <v>819</v>
      </c>
      <c r="D660" s="3281">
        <v>1351.826</v>
      </c>
    </row>
    <row r="661" spans="1:4">
      <c r="A661" t="s">
        <v>3641</v>
      </c>
      <c r="B661" s="3280" t="s">
        <v>113</v>
      </c>
      <c r="C661" s="3272" t="s">
        <v>1750</v>
      </c>
      <c r="D661" s="3281">
        <v>638.04</v>
      </c>
    </row>
    <row r="662" spans="1:4">
      <c r="A662" t="s">
        <v>3642</v>
      </c>
      <c r="B662" s="3280" t="s">
        <v>2086</v>
      </c>
      <c r="C662" s="3272" t="s">
        <v>1740</v>
      </c>
      <c r="D662" s="3281">
        <v>604.18299999999999</v>
      </c>
    </row>
    <row r="663" spans="1:4">
      <c r="A663" t="s">
        <v>3643</v>
      </c>
      <c r="B663" s="3280" t="s">
        <v>341</v>
      </c>
      <c r="C663" s="3272" t="s">
        <v>136</v>
      </c>
      <c r="D663" s="3281">
        <v>13379.067999999999</v>
      </c>
    </row>
    <row r="664" spans="1:4">
      <c r="A664" t="s">
        <v>3644</v>
      </c>
      <c r="B664" s="3280" t="s">
        <v>344</v>
      </c>
      <c r="C664" s="3272" t="s">
        <v>1430</v>
      </c>
      <c r="D664" s="3281">
        <v>1238.519</v>
      </c>
    </row>
    <row r="665" spans="1:4">
      <c r="A665" t="s">
        <v>6768</v>
      </c>
      <c r="B665" s="3280" t="s">
        <v>2460</v>
      </c>
      <c r="C665" s="3272" t="s">
        <v>1751</v>
      </c>
      <c r="D665" s="3281">
        <v>742.18799999999999</v>
      </c>
    </row>
    <row r="666" spans="1:4">
      <c r="A666" t="s">
        <v>3645</v>
      </c>
      <c r="B666" s="3280" t="s">
        <v>2461</v>
      </c>
      <c r="C666" s="3272" t="s">
        <v>1752</v>
      </c>
      <c r="D666" s="3281">
        <v>660.13199999999995</v>
      </c>
    </row>
    <row r="667" spans="1:4">
      <c r="A667" t="s">
        <v>3646</v>
      </c>
      <c r="B667" s="3280" t="s">
        <v>72</v>
      </c>
      <c r="C667" s="3272" t="s">
        <v>1160</v>
      </c>
      <c r="D667" s="3281">
        <v>2601.5920000000001</v>
      </c>
    </row>
    <row r="668" spans="1:4">
      <c r="A668" t="s">
        <v>3647</v>
      </c>
      <c r="B668" s="3280" t="s">
        <v>2310</v>
      </c>
      <c r="C668" s="3272" t="s">
        <v>1552</v>
      </c>
      <c r="D668" s="3281">
        <v>2168.0720000000001</v>
      </c>
    </row>
    <row r="669" spans="1:4">
      <c r="A669" t="s">
        <v>3648</v>
      </c>
      <c r="B669" s="3280" t="s">
        <v>164</v>
      </c>
      <c r="C669" s="3272" t="s">
        <v>2698</v>
      </c>
      <c r="D669" s="3281">
        <v>2243.8290000000002</v>
      </c>
    </row>
    <row r="670" spans="1:4">
      <c r="A670" t="s">
        <v>3649</v>
      </c>
      <c r="B670" s="3280" t="s">
        <v>879</v>
      </c>
      <c r="C670" s="3272" t="s">
        <v>1348</v>
      </c>
      <c r="D670" s="3281">
        <v>654.79200000000003</v>
      </c>
    </row>
    <row r="671" spans="1:4">
      <c r="A671" t="s">
        <v>6008</v>
      </c>
      <c r="B671" s="3280" t="s">
        <v>1837</v>
      </c>
      <c r="C671" s="3272" t="s">
        <v>1753</v>
      </c>
      <c r="D671" s="3281">
        <v>155.65</v>
      </c>
    </row>
    <row r="672" spans="1:4">
      <c r="A672" t="s">
        <v>6769</v>
      </c>
      <c r="B672" s="3280" t="s">
        <v>258</v>
      </c>
      <c r="C672" s="3272" t="s">
        <v>1754</v>
      </c>
      <c r="D672" s="3281">
        <v>232.56700000000001</v>
      </c>
    </row>
    <row r="673" spans="1:4">
      <c r="A673" t="s">
        <v>6009</v>
      </c>
      <c r="B673" s="3280" t="s">
        <v>1585</v>
      </c>
      <c r="C673" s="3272" t="s">
        <v>1755</v>
      </c>
      <c r="D673" s="3281">
        <v>235.66900000000001</v>
      </c>
    </row>
    <row r="674" spans="1:4">
      <c r="A674" t="s">
        <v>3650</v>
      </c>
      <c r="B674" s="3280" t="s">
        <v>1134</v>
      </c>
      <c r="C674" s="3272" t="s">
        <v>2669</v>
      </c>
      <c r="D674" s="3281">
        <v>1863.6010000000001</v>
      </c>
    </row>
    <row r="675" spans="1:4">
      <c r="A675" t="s">
        <v>3651</v>
      </c>
      <c r="B675" s="3280" t="s">
        <v>1989</v>
      </c>
      <c r="C675" s="3272" t="s">
        <v>2178</v>
      </c>
      <c r="D675" s="3281">
        <v>351.18700000000001</v>
      </c>
    </row>
    <row r="676" spans="1:4">
      <c r="A676" t="s">
        <v>3652</v>
      </c>
      <c r="B676" s="3280" t="s">
        <v>920</v>
      </c>
      <c r="C676" s="3272" t="s">
        <v>2244</v>
      </c>
      <c r="D676" s="3281">
        <v>976.78700000000003</v>
      </c>
    </row>
    <row r="677" spans="1:4">
      <c r="A677" t="s">
        <v>3653</v>
      </c>
      <c r="B677" s="3280" t="s">
        <v>171</v>
      </c>
      <c r="C677" s="3272" t="s">
        <v>2378</v>
      </c>
      <c r="D677" s="3281">
        <v>1840.4490000000001</v>
      </c>
    </row>
    <row r="678" spans="1:4">
      <c r="A678" t="s">
        <v>3654</v>
      </c>
      <c r="B678" s="3280" t="s">
        <v>2531</v>
      </c>
      <c r="C678" s="3272" t="s">
        <v>823</v>
      </c>
      <c r="D678" s="3281">
        <v>4759.0439999999999</v>
      </c>
    </row>
    <row r="679" spans="1:4">
      <c r="A679" t="s">
        <v>6770</v>
      </c>
      <c r="B679" s="3280" t="s">
        <v>2583</v>
      </c>
      <c r="C679" s="3272" t="s">
        <v>1756</v>
      </c>
      <c r="D679" s="3281">
        <v>279.47399999999999</v>
      </c>
    </row>
    <row r="680" spans="1:4">
      <c r="A680" t="s">
        <v>3655</v>
      </c>
      <c r="B680" s="3280" t="s">
        <v>2534</v>
      </c>
      <c r="C680" s="3272" t="s">
        <v>2236</v>
      </c>
      <c r="D680" s="3281">
        <v>23653.06</v>
      </c>
    </row>
    <row r="681" spans="1:4">
      <c r="A681" t="s">
        <v>6010</v>
      </c>
      <c r="B681" s="3280" t="s">
        <v>1300</v>
      </c>
      <c r="C681" s="3272" t="s">
        <v>1757</v>
      </c>
      <c r="D681" s="3281">
        <v>2486.076</v>
      </c>
    </row>
    <row r="682" spans="1:4">
      <c r="A682" t="s">
        <v>3656</v>
      </c>
      <c r="B682" s="3280" t="s">
        <v>1887</v>
      </c>
      <c r="C682" s="3272" t="s">
        <v>652</v>
      </c>
      <c r="D682" s="3281">
        <v>1647.3869999999999</v>
      </c>
    </row>
    <row r="683" spans="1:4">
      <c r="A683" t="s">
        <v>6771</v>
      </c>
      <c r="B683" s="3280" t="s">
        <v>1360</v>
      </c>
      <c r="C683" s="3272" t="s">
        <v>1758</v>
      </c>
      <c r="D683" s="3281">
        <v>156.517</v>
      </c>
    </row>
    <row r="684" spans="1:4">
      <c r="A684" t="s">
        <v>6011</v>
      </c>
      <c r="B684" s="3280" t="s">
        <v>2535</v>
      </c>
      <c r="C684" s="3272" t="s">
        <v>1759</v>
      </c>
      <c r="D684" s="3281">
        <v>421.84899999999999</v>
      </c>
    </row>
    <row r="685" spans="1:4">
      <c r="A685" t="s">
        <v>6012</v>
      </c>
      <c r="B685" s="3280" t="s">
        <v>2197</v>
      </c>
      <c r="C685" s="3272" t="s">
        <v>1760</v>
      </c>
      <c r="D685" s="3281">
        <v>1413.634</v>
      </c>
    </row>
    <row r="686" spans="1:4">
      <c r="A686" t="s">
        <v>6013</v>
      </c>
      <c r="B686" s="3280" t="s">
        <v>930</v>
      </c>
      <c r="C686" s="3272" t="s">
        <v>1761</v>
      </c>
      <c r="D686" s="3281">
        <v>542.875</v>
      </c>
    </row>
    <row r="687" spans="1:4">
      <c r="A687" t="s">
        <v>3657</v>
      </c>
      <c r="B687" s="3280" t="s">
        <v>375</v>
      </c>
      <c r="C687" s="3272" t="s">
        <v>2637</v>
      </c>
      <c r="D687" s="3281">
        <v>137.60400000000001</v>
      </c>
    </row>
    <row r="688" spans="1:4">
      <c r="A688" t="s">
        <v>3658</v>
      </c>
      <c r="B688" s="3280" t="s">
        <v>1264</v>
      </c>
      <c r="C688" s="3272" t="s">
        <v>860</v>
      </c>
      <c r="D688" s="3281">
        <v>543.23400000000004</v>
      </c>
    </row>
    <row r="689" spans="1:4">
      <c r="A689" t="s">
        <v>6772</v>
      </c>
      <c r="B689" s="3280" t="s">
        <v>2671</v>
      </c>
      <c r="C689" s="3272" t="s">
        <v>1762</v>
      </c>
      <c r="D689" s="3281">
        <v>337.70100000000002</v>
      </c>
    </row>
    <row r="690" spans="1:4">
      <c r="A690" t="s">
        <v>3659</v>
      </c>
      <c r="B690" s="3280" t="s">
        <v>1990</v>
      </c>
      <c r="C690" s="3272" t="s">
        <v>73</v>
      </c>
      <c r="D690" s="3281">
        <v>97.744</v>
      </c>
    </row>
    <row r="691" spans="1:4">
      <c r="A691" t="s">
        <v>6014</v>
      </c>
      <c r="B691" s="3280" t="s">
        <v>2673</v>
      </c>
      <c r="C691" s="3272" t="s">
        <v>1764</v>
      </c>
      <c r="D691" s="3281">
        <v>868.96100000000001</v>
      </c>
    </row>
    <row r="692" spans="1:4">
      <c r="A692" t="s">
        <v>6015</v>
      </c>
      <c r="B692" s="3280" t="s">
        <v>2674</v>
      </c>
      <c r="C692" s="3272" t="s">
        <v>1765</v>
      </c>
      <c r="D692" s="3281">
        <v>146.358</v>
      </c>
    </row>
    <row r="693" spans="1:4">
      <c r="A693" t="s">
        <v>6773</v>
      </c>
      <c r="B693" s="3280" t="s">
        <v>1486</v>
      </c>
      <c r="C693" s="3272" t="s">
        <v>1766</v>
      </c>
      <c r="D693" s="3281">
        <v>227.32599999999999</v>
      </c>
    </row>
    <row r="694" spans="1:4">
      <c r="A694" t="s">
        <v>3660</v>
      </c>
      <c r="B694" s="3280" t="s">
        <v>1318</v>
      </c>
      <c r="C694" s="3272" t="s">
        <v>1366</v>
      </c>
      <c r="D694" s="3281">
        <v>1578.655</v>
      </c>
    </row>
    <row r="695" spans="1:4">
      <c r="A695" t="s">
        <v>6774</v>
      </c>
      <c r="B695" s="3280" t="s">
        <v>1432</v>
      </c>
      <c r="C695" s="3272" t="s">
        <v>1367</v>
      </c>
      <c r="D695" s="3281">
        <v>725.36199999999997</v>
      </c>
    </row>
    <row r="696" spans="1:4">
      <c r="A696" t="s">
        <v>6016</v>
      </c>
      <c r="B696" s="3280" t="s">
        <v>804</v>
      </c>
      <c r="C696" s="3272" t="s">
        <v>1368</v>
      </c>
      <c r="D696" s="3281">
        <v>104.821</v>
      </c>
    </row>
    <row r="697" spans="1:4">
      <c r="A697" t="s">
        <v>6775</v>
      </c>
      <c r="B697" s="3280" t="s">
        <v>1495</v>
      </c>
      <c r="C697" s="3272" t="s">
        <v>2245</v>
      </c>
      <c r="D697" s="3281">
        <v>138.85599999999999</v>
      </c>
    </row>
    <row r="698" spans="1:4">
      <c r="A698" t="s">
        <v>6776</v>
      </c>
      <c r="B698" s="3280" t="s">
        <v>1496</v>
      </c>
      <c r="C698" s="3272" t="s">
        <v>2246</v>
      </c>
      <c r="D698" s="3281">
        <v>140.92400000000001</v>
      </c>
    </row>
    <row r="699" spans="1:4">
      <c r="A699" t="s">
        <v>6017</v>
      </c>
      <c r="B699" s="3280" t="s">
        <v>1272</v>
      </c>
      <c r="C699" s="3272" t="s">
        <v>2247</v>
      </c>
      <c r="D699" s="3281">
        <v>168.86500000000001</v>
      </c>
    </row>
    <row r="700" spans="1:4">
      <c r="A700" t="s">
        <v>6018</v>
      </c>
      <c r="B700" s="3280" t="s">
        <v>1531</v>
      </c>
      <c r="C700" s="3272" t="s">
        <v>2248</v>
      </c>
      <c r="D700" s="3281">
        <v>264.63299999999998</v>
      </c>
    </row>
    <row r="701" spans="1:4">
      <c r="A701" t="s">
        <v>3661</v>
      </c>
      <c r="B701" s="3280" t="s">
        <v>2311</v>
      </c>
      <c r="C701" s="3272" t="s">
        <v>1553</v>
      </c>
      <c r="D701" s="3281">
        <v>58001.012000000002</v>
      </c>
    </row>
    <row r="702" spans="1:4">
      <c r="A702" t="s">
        <v>6019</v>
      </c>
      <c r="B702" s="3280" t="s">
        <v>1532</v>
      </c>
      <c r="C702" s="3272" t="s">
        <v>2249</v>
      </c>
      <c r="D702" s="3281">
        <v>8183.3109999999997</v>
      </c>
    </row>
    <row r="703" spans="1:4">
      <c r="A703" t="s">
        <v>3662</v>
      </c>
      <c r="B703" s="3280" t="s">
        <v>1182</v>
      </c>
      <c r="C703" s="3272" t="s">
        <v>1127</v>
      </c>
      <c r="D703" s="3281">
        <v>6808.6679999999997</v>
      </c>
    </row>
    <row r="704" spans="1:4">
      <c r="A704" t="s">
        <v>3663</v>
      </c>
      <c r="B704" s="3280" t="s">
        <v>346</v>
      </c>
      <c r="C704" s="3272" t="s">
        <v>288</v>
      </c>
      <c r="D704" s="3281">
        <v>12181.346</v>
      </c>
    </row>
    <row r="705" spans="1:4">
      <c r="A705" t="s">
        <v>3664</v>
      </c>
      <c r="B705" s="3280" t="s">
        <v>1508</v>
      </c>
      <c r="C705" s="3272" t="s">
        <v>1935</v>
      </c>
      <c r="D705" s="3281">
        <v>3700.33</v>
      </c>
    </row>
    <row r="706" spans="1:4">
      <c r="A706" t="s">
        <v>3665</v>
      </c>
      <c r="B706" s="3280" t="s">
        <v>703</v>
      </c>
      <c r="C706" s="3272" t="s">
        <v>1142</v>
      </c>
      <c r="D706" s="3281">
        <v>13938.066000000001</v>
      </c>
    </row>
    <row r="707" spans="1:4">
      <c r="A707" t="s">
        <v>6020</v>
      </c>
      <c r="B707" s="3280" t="s">
        <v>1868</v>
      </c>
      <c r="C707" s="3272" t="s">
        <v>2250</v>
      </c>
      <c r="D707" s="3281">
        <v>4010.8739999999998</v>
      </c>
    </row>
    <row r="708" spans="1:4">
      <c r="A708" t="s">
        <v>6021</v>
      </c>
      <c r="B708" s="3280" t="s">
        <v>1869</v>
      </c>
      <c r="C708" s="3272" t="s">
        <v>2251</v>
      </c>
      <c r="D708" s="3281">
        <v>510.19400000000002</v>
      </c>
    </row>
    <row r="709" spans="1:4">
      <c r="A709" t="s">
        <v>6022</v>
      </c>
      <c r="B709" s="3280" t="s">
        <v>1870</v>
      </c>
      <c r="C709" s="3272" t="s">
        <v>2252</v>
      </c>
      <c r="D709" s="3281">
        <v>942.47199999999998</v>
      </c>
    </row>
    <row r="710" spans="1:4">
      <c r="A710" t="s">
        <v>6023</v>
      </c>
      <c r="B710" s="3280" t="s">
        <v>1871</v>
      </c>
      <c r="C710" s="3272" t="s">
        <v>2628</v>
      </c>
      <c r="D710" s="3281">
        <v>822.30700000000002</v>
      </c>
    </row>
    <row r="711" spans="1:4">
      <c r="A711" t="s">
        <v>6777</v>
      </c>
      <c r="B711" s="3280" t="s">
        <v>2353</v>
      </c>
      <c r="C711" s="3272" t="s">
        <v>2254</v>
      </c>
      <c r="D711" s="3281">
        <v>152.636</v>
      </c>
    </row>
    <row r="712" spans="1:4">
      <c r="A712" t="s">
        <v>3666</v>
      </c>
      <c r="B712" s="3280" t="s">
        <v>704</v>
      </c>
      <c r="C712" s="3272" t="s">
        <v>1161</v>
      </c>
      <c r="D712" s="3281">
        <v>361.42399999999998</v>
      </c>
    </row>
    <row r="713" spans="1:4">
      <c r="A713" t="s">
        <v>6024</v>
      </c>
      <c r="B713" s="3280" t="s">
        <v>524</v>
      </c>
      <c r="C713" s="3272" t="s">
        <v>2255</v>
      </c>
      <c r="D713" s="3281">
        <v>504.87700000000001</v>
      </c>
    </row>
    <row r="714" spans="1:4">
      <c r="A714" t="s">
        <v>3667</v>
      </c>
      <c r="B714" s="3280" t="s">
        <v>705</v>
      </c>
      <c r="C714" s="3272" t="s">
        <v>453</v>
      </c>
      <c r="D714" s="3281">
        <v>664.26300000000003</v>
      </c>
    </row>
    <row r="715" spans="1:4">
      <c r="A715" t="s">
        <v>6025</v>
      </c>
      <c r="B715" s="3280" t="s">
        <v>525</v>
      </c>
      <c r="C715" s="3272" t="s">
        <v>2256</v>
      </c>
      <c r="D715" s="3281">
        <v>5816.17</v>
      </c>
    </row>
    <row r="716" spans="1:4">
      <c r="A716" t="s">
        <v>3668</v>
      </c>
      <c r="B716" s="3280" t="s">
        <v>376</v>
      </c>
      <c r="C716" s="3272" t="s">
        <v>1130</v>
      </c>
      <c r="D716" s="3281">
        <v>682.66099999999994</v>
      </c>
    </row>
    <row r="717" spans="1:4">
      <c r="A717" t="s">
        <v>3669</v>
      </c>
      <c r="B717" s="3280" t="s">
        <v>526</v>
      </c>
      <c r="C717" s="3272" t="s">
        <v>2257</v>
      </c>
      <c r="D717" s="3281">
        <v>1062.3420000000001</v>
      </c>
    </row>
    <row r="718" spans="1:4">
      <c r="A718" t="s">
        <v>5307</v>
      </c>
      <c r="B718" s="3280" t="s">
        <v>527</v>
      </c>
      <c r="C718" s="3272" t="s">
        <v>2258</v>
      </c>
      <c r="D718" s="3281">
        <v>371.096</v>
      </c>
    </row>
    <row r="719" spans="1:4">
      <c r="A719" t="s">
        <v>6026</v>
      </c>
      <c r="B719" s="3280" t="s">
        <v>774</v>
      </c>
      <c r="C719" s="3272" t="s">
        <v>891</v>
      </c>
      <c r="D719" s="3281">
        <v>123.995</v>
      </c>
    </row>
    <row r="720" spans="1:4">
      <c r="A720" t="s">
        <v>6778</v>
      </c>
      <c r="B720" s="3280" t="s">
        <v>528</v>
      </c>
      <c r="C720" s="3272" t="s">
        <v>2259</v>
      </c>
      <c r="D720" s="3281">
        <v>470.54399999999998</v>
      </c>
    </row>
    <row r="721" spans="1:4">
      <c r="A721" t="s">
        <v>6027</v>
      </c>
      <c r="B721" s="3280" t="s">
        <v>529</v>
      </c>
      <c r="C721" s="3272" t="s">
        <v>307</v>
      </c>
      <c r="D721" s="3281">
        <v>864.71500000000003</v>
      </c>
    </row>
    <row r="722" spans="1:4">
      <c r="A722" t="s">
        <v>3670</v>
      </c>
      <c r="B722" s="3280" t="s">
        <v>2400</v>
      </c>
      <c r="C722" s="3272" t="s">
        <v>1101</v>
      </c>
      <c r="D722" s="3281">
        <v>5479.4759999999997</v>
      </c>
    </row>
    <row r="723" spans="1:4">
      <c r="A723" t="s">
        <v>3671</v>
      </c>
      <c r="B723" s="3280" t="s">
        <v>2407</v>
      </c>
      <c r="C723" s="3272" t="s">
        <v>2663</v>
      </c>
      <c r="D723" s="3281">
        <v>456.39</v>
      </c>
    </row>
    <row r="724" spans="1:4">
      <c r="A724" t="s">
        <v>6028</v>
      </c>
      <c r="B724" s="3280" t="s">
        <v>19</v>
      </c>
      <c r="C724" s="3272" t="s">
        <v>308</v>
      </c>
      <c r="D724" s="3281">
        <v>377.46</v>
      </c>
    </row>
    <row r="725" spans="1:4">
      <c r="A725" t="s">
        <v>3672</v>
      </c>
      <c r="B725" s="3280" t="s">
        <v>706</v>
      </c>
      <c r="C725" s="3272" t="s">
        <v>2517</v>
      </c>
      <c r="D725" s="3281">
        <v>548.92600000000004</v>
      </c>
    </row>
    <row r="726" spans="1:4">
      <c r="A726" t="s">
        <v>6029</v>
      </c>
      <c r="B726" s="3280" t="s">
        <v>20</v>
      </c>
      <c r="C726" s="3272" t="s">
        <v>309</v>
      </c>
      <c r="D726" s="3281">
        <v>701.93899999999996</v>
      </c>
    </row>
    <row r="727" spans="1:4">
      <c r="A727" t="s">
        <v>3673</v>
      </c>
      <c r="B727" s="3280" t="s">
        <v>2085</v>
      </c>
      <c r="C727" s="3272" t="s">
        <v>80</v>
      </c>
      <c r="D727" s="3281">
        <v>840.82799999999997</v>
      </c>
    </row>
    <row r="728" spans="1:4">
      <c r="A728" t="s">
        <v>6030</v>
      </c>
      <c r="B728" s="3280" t="s">
        <v>21</v>
      </c>
      <c r="C728" s="3272" t="s">
        <v>310</v>
      </c>
      <c r="D728" s="3281">
        <v>247.922</v>
      </c>
    </row>
    <row r="729" spans="1:4">
      <c r="A729" t="s">
        <v>3674</v>
      </c>
      <c r="B729" s="3280" t="s">
        <v>1021</v>
      </c>
      <c r="C729" s="3272" t="s">
        <v>2286</v>
      </c>
      <c r="D729" s="3281">
        <v>929.524</v>
      </c>
    </row>
    <row r="730" spans="1:4">
      <c r="A730" t="s">
        <v>3675</v>
      </c>
      <c r="B730" s="3280" t="s">
        <v>1991</v>
      </c>
      <c r="C730" s="3272" t="s">
        <v>2670</v>
      </c>
      <c r="D730" s="3281">
        <v>523.98800000000006</v>
      </c>
    </row>
    <row r="731" spans="1:4">
      <c r="A731" t="s">
        <v>3676</v>
      </c>
      <c r="B731" s="3280" t="s">
        <v>1543</v>
      </c>
      <c r="C731" s="3272" t="s">
        <v>3914</v>
      </c>
      <c r="D731" s="3281">
        <v>520.52</v>
      </c>
    </row>
    <row r="732" spans="1:4">
      <c r="A732" t="s">
        <v>6031</v>
      </c>
      <c r="B732" s="3280" t="s">
        <v>1878</v>
      </c>
      <c r="C732" s="3272" t="s">
        <v>311</v>
      </c>
      <c r="D732" s="3281">
        <v>1925.9459999999999</v>
      </c>
    </row>
    <row r="733" spans="1:4">
      <c r="A733" t="s">
        <v>6032</v>
      </c>
      <c r="B733" s="3280" t="s">
        <v>2309</v>
      </c>
      <c r="C733" s="3272" t="s">
        <v>2328</v>
      </c>
      <c r="D733" s="3281">
        <v>141.15899999999999</v>
      </c>
    </row>
    <row r="734" spans="1:4">
      <c r="A734" t="s">
        <v>6033</v>
      </c>
      <c r="B734" s="3280" t="s">
        <v>424</v>
      </c>
      <c r="C734" s="3272" t="s">
        <v>313</v>
      </c>
      <c r="D734" s="3281">
        <v>212.083</v>
      </c>
    </row>
    <row r="735" spans="1:4">
      <c r="A735" t="s">
        <v>6034</v>
      </c>
      <c r="B735" s="3280" t="s">
        <v>2498</v>
      </c>
      <c r="C735" s="3272" t="s">
        <v>314</v>
      </c>
      <c r="D735" s="3281">
        <v>316.90499999999997</v>
      </c>
    </row>
    <row r="736" spans="1:4">
      <c r="A736" t="s">
        <v>6035</v>
      </c>
      <c r="B736" s="3280" t="s">
        <v>1172</v>
      </c>
      <c r="C736" s="3272" t="s">
        <v>2329</v>
      </c>
      <c r="D736" s="3281">
        <v>1386.87</v>
      </c>
    </row>
    <row r="737" spans="1:4">
      <c r="A737" t="s">
        <v>6036</v>
      </c>
      <c r="B737" s="3280" t="s">
        <v>1173</v>
      </c>
      <c r="C737" s="3272" t="s">
        <v>316</v>
      </c>
      <c r="D737" s="3281">
        <v>3815.46</v>
      </c>
    </row>
    <row r="738" spans="1:4">
      <c r="A738" t="s">
        <v>3677</v>
      </c>
      <c r="B738" s="3280" t="s">
        <v>2399</v>
      </c>
      <c r="C738" s="3272" t="s">
        <v>1100</v>
      </c>
      <c r="D738" s="3281">
        <v>34869.237000000001</v>
      </c>
    </row>
    <row r="739" spans="1:4">
      <c r="A739" t="s">
        <v>6037</v>
      </c>
      <c r="B739" s="3280" t="s">
        <v>570</v>
      </c>
      <c r="C739" s="3272" t="s">
        <v>317</v>
      </c>
      <c r="D739" s="3281">
        <v>292.25200000000001</v>
      </c>
    </row>
    <row r="740" spans="1:4">
      <c r="A740" t="s">
        <v>6038</v>
      </c>
      <c r="B740" s="3280" t="s">
        <v>579</v>
      </c>
      <c r="C740" s="3272" t="s">
        <v>318</v>
      </c>
      <c r="D740" s="3281">
        <v>987.85299999999995</v>
      </c>
    </row>
    <row r="741" spans="1:4">
      <c r="A741" t="s">
        <v>6039</v>
      </c>
      <c r="B741" s="3280" t="s">
        <v>580</v>
      </c>
      <c r="C741" s="3272" t="s">
        <v>319</v>
      </c>
      <c r="D741" s="3281">
        <v>520.59699999999998</v>
      </c>
    </row>
    <row r="742" spans="1:4">
      <c r="A742" t="s">
        <v>3678</v>
      </c>
      <c r="B742" s="3280" t="s">
        <v>165</v>
      </c>
      <c r="C742" s="3272" t="s">
        <v>2699</v>
      </c>
      <c r="D742" s="3281">
        <v>2393.1849999999999</v>
      </c>
    </row>
    <row r="743" spans="1:4">
      <c r="A743" t="s">
        <v>6040</v>
      </c>
      <c r="B743" s="3280" t="s">
        <v>767</v>
      </c>
      <c r="C743" s="3272" t="s">
        <v>320</v>
      </c>
      <c r="D743" s="3281">
        <v>3635.232</v>
      </c>
    </row>
    <row r="744" spans="1:4">
      <c r="A744" t="s">
        <v>3679</v>
      </c>
      <c r="B744" s="3280" t="s">
        <v>964</v>
      </c>
      <c r="C744" s="3272" t="s">
        <v>321</v>
      </c>
      <c r="D744" s="3281">
        <v>863.77300000000002</v>
      </c>
    </row>
    <row r="745" spans="1:4">
      <c r="A745" t="s">
        <v>6041</v>
      </c>
      <c r="B745" s="3280" t="s">
        <v>2138</v>
      </c>
      <c r="C745" s="3272" t="s">
        <v>322</v>
      </c>
      <c r="D745" s="3281">
        <v>5348.902</v>
      </c>
    </row>
    <row r="746" spans="1:4">
      <c r="A746" t="s">
        <v>3680</v>
      </c>
      <c r="B746" s="3280" t="s">
        <v>2139</v>
      </c>
      <c r="C746" s="3272" t="s">
        <v>323</v>
      </c>
      <c r="D746" s="3281">
        <v>1913.925</v>
      </c>
    </row>
    <row r="747" spans="1:4">
      <c r="A747" t="s">
        <v>3681</v>
      </c>
      <c r="B747" s="3280" t="s">
        <v>209</v>
      </c>
      <c r="C747" s="3272" t="s">
        <v>996</v>
      </c>
      <c r="D747" s="3281">
        <v>2069.2350000000001</v>
      </c>
    </row>
    <row r="748" spans="1:4">
      <c r="A748" t="s">
        <v>8676</v>
      </c>
      <c r="B748" s="3280" t="s">
        <v>936</v>
      </c>
      <c r="C748" s="3272" t="s">
        <v>8677</v>
      </c>
      <c r="D748" s="3281">
        <v>286.11599999999999</v>
      </c>
    </row>
    <row r="749" spans="1:4">
      <c r="A749" t="s">
        <v>6042</v>
      </c>
      <c r="B749" s="3280" t="s">
        <v>971</v>
      </c>
      <c r="C749" s="3272" t="s">
        <v>324</v>
      </c>
      <c r="D749" s="3281">
        <v>339.16399999999999</v>
      </c>
    </row>
    <row r="750" spans="1:4">
      <c r="A750" t="s">
        <v>6779</v>
      </c>
      <c r="B750" s="3280" t="s">
        <v>972</v>
      </c>
      <c r="C750" s="3272" t="s">
        <v>325</v>
      </c>
      <c r="D750" s="3281">
        <v>108.89</v>
      </c>
    </row>
    <row r="751" spans="1:4">
      <c r="A751" t="s">
        <v>6043</v>
      </c>
      <c r="B751" s="3280" t="s">
        <v>973</v>
      </c>
      <c r="C751" s="3272" t="s">
        <v>326</v>
      </c>
      <c r="D751" s="3281">
        <v>134.261</v>
      </c>
    </row>
    <row r="752" spans="1:4">
      <c r="A752" t="s">
        <v>3682</v>
      </c>
      <c r="B752" s="3280" t="s">
        <v>1951</v>
      </c>
      <c r="C752" s="3272" t="s">
        <v>1855</v>
      </c>
      <c r="D752" s="3281">
        <v>2841.7719999999999</v>
      </c>
    </row>
    <row r="753" spans="1:4">
      <c r="A753" t="s">
        <v>6044</v>
      </c>
      <c r="B753" s="3280" t="s">
        <v>974</v>
      </c>
      <c r="C753" s="3272" t="s">
        <v>327</v>
      </c>
      <c r="D753" s="3281">
        <v>1688.575</v>
      </c>
    </row>
    <row r="754" spans="1:4">
      <c r="A754" t="s">
        <v>6045</v>
      </c>
      <c r="B754" s="3280" t="s">
        <v>975</v>
      </c>
      <c r="C754" s="3272" t="s">
        <v>2330</v>
      </c>
      <c r="D754" s="3281">
        <v>2231.0059999999999</v>
      </c>
    </row>
    <row r="755" spans="1:4">
      <c r="A755" t="s">
        <v>3683</v>
      </c>
      <c r="B755" s="3280" t="s">
        <v>1466</v>
      </c>
      <c r="C755" s="3272" t="s">
        <v>135</v>
      </c>
      <c r="D755" s="3281">
        <v>4438.0219999999999</v>
      </c>
    </row>
    <row r="756" spans="1:4">
      <c r="A756" t="s">
        <v>6046</v>
      </c>
      <c r="B756" s="3280" t="s">
        <v>1092</v>
      </c>
      <c r="C756" s="3272" t="s">
        <v>3915</v>
      </c>
      <c r="D756" s="3281">
        <v>3159.3539999999998</v>
      </c>
    </row>
    <row r="757" spans="1:4">
      <c r="A757" t="s">
        <v>6047</v>
      </c>
      <c r="B757" s="3280" t="s">
        <v>1093</v>
      </c>
      <c r="C757" s="3272" t="s">
        <v>330</v>
      </c>
      <c r="D757" s="3281">
        <v>169.59800000000001</v>
      </c>
    </row>
    <row r="758" spans="1:4">
      <c r="A758" t="s">
        <v>6048</v>
      </c>
      <c r="B758" s="3280" t="s">
        <v>1094</v>
      </c>
      <c r="C758" s="3272" t="s">
        <v>331</v>
      </c>
      <c r="D758" s="3281">
        <v>321.26799999999997</v>
      </c>
    </row>
    <row r="759" spans="1:4">
      <c r="A759" t="s">
        <v>3684</v>
      </c>
      <c r="B759" s="3280" t="s">
        <v>2537</v>
      </c>
      <c r="C759" s="3272" t="s">
        <v>2240</v>
      </c>
      <c r="D759" s="3281">
        <v>2940.9850000000001</v>
      </c>
    </row>
    <row r="760" spans="1:4">
      <c r="A760" t="s">
        <v>6049</v>
      </c>
      <c r="B760" s="3280" t="s">
        <v>1353</v>
      </c>
      <c r="C760" s="3272" t="s">
        <v>332</v>
      </c>
      <c r="D760" s="3281">
        <v>430.89100000000002</v>
      </c>
    </row>
    <row r="761" spans="1:4">
      <c r="A761" t="s">
        <v>6780</v>
      </c>
      <c r="B761" s="3280" t="s">
        <v>1354</v>
      </c>
      <c r="C761" s="3272" t="s">
        <v>333</v>
      </c>
      <c r="D761" s="3281">
        <v>162.691</v>
      </c>
    </row>
    <row r="762" spans="1:4">
      <c r="A762" t="s">
        <v>6050</v>
      </c>
      <c r="B762" s="3280" t="s">
        <v>1355</v>
      </c>
      <c r="C762" s="3272" t="s">
        <v>431</v>
      </c>
      <c r="D762" s="3281">
        <v>90.866</v>
      </c>
    </row>
    <row r="763" spans="1:4">
      <c r="A763" t="s">
        <v>6051</v>
      </c>
      <c r="B763" s="3280" t="s">
        <v>1356</v>
      </c>
      <c r="C763" s="3272" t="s">
        <v>432</v>
      </c>
      <c r="D763" s="3281">
        <v>608.33900000000006</v>
      </c>
    </row>
    <row r="764" spans="1:4">
      <c r="A764" t="s">
        <v>6052</v>
      </c>
      <c r="B764" s="3280" t="s">
        <v>1357</v>
      </c>
      <c r="C764" s="3272" t="s">
        <v>433</v>
      </c>
      <c r="D764" s="3281">
        <v>2493.7620000000002</v>
      </c>
    </row>
    <row r="765" spans="1:4">
      <c r="A765" t="s">
        <v>3685</v>
      </c>
      <c r="B765" s="3280" t="s">
        <v>2579</v>
      </c>
      <c r="C765" s="3272" t="s">
        <v>454</v>
      </c>
      <c r="D765" s="3281">
        <v>420.12700000000001</v>
      </c>
    </row>
    <row r="766" spans="1:4">
      <c r="A766" t="s">
        <v>3686</v>
      </c>
      <c r="B766" s="3280" t="s">
        <v>707</v>
      </c>
      <c r="C766" s="3272" t="s">
        <v>1003</v>
      </c>
      <c r="D766" s="3281">
        <v>488.81200000000001</v>
      </c>
    </row>
    <row r="767" spans="1:4">
      <c r="A767" t="s">
        <v>3687</v>
      </c>
      <c r="B767" s="3280" t="s">
        <v>1510</v>
      </c>
      <c r="C767" s="3272" t="s">
        <v>1937</v>
      </c>
      <c r="D767" s="3281">
        <v>3291.9360000000001</v>
      </c>
    </row>
    <row r="768" spans="1:4">
      <c r="A768" t="s">
        <v>3688</v>
      </c>
      <c r="B768" s="3280" t="s">
        <v>1467</v>
      </c>
      <c r="C768" s="3272" t="s">
        <v>140</v>
      </c>
      <c r="D768" s="3281">
        <v>7538.152</v>
      </c>
    </row>
    <row r="769" spans="1:4">
      <c r="A769" t="s">
        <v>3689</v>
      </c>
      <c r="B769" s="3280" t="s">
        <v>2536</v>
      </c>
      <c r="C769" s="3272" t="s">
        <v>2239</v>
      </c>
      <c r="D769" s="3281">
        <v>926.471</v>
      </c>
    </row>
    <row r="770" spans="1:4">
      <c r="A770" t="s">
        <v>6053</v>
      </c>
      <c r="B770" s="3280" t="s">
        <v>1383</v>
      </c>
      <c r="C770" s="3272" t="s">
        <v>434</v>
      </c>
      <c r="D770" s="3281">
        <v>5498.9269999999997</v>
      </c>
    </row>
    <row r="771" spans="1:4">
      <c r="A771" t="s">
        <v>3690</v>
      </c>
      <c r="B771" s="3280" t="s">
        <v>208</v>
      </c>
      <c r="C771" s="3272" t="s">
        <v>2593</v>
      </c>
      <c r="D771" s="3281">
        <v>1114.277</v>
      </c>
    </row>
    <row r="772" spans="1:4">
      <c r="A772" t="s">
        <v>3691</v>
      </c>
      <c r="B772" s="3280" t="s">
        <v>1877</v>
      </c>
      <c r="C772" s="3272" t="s">
        <v>1856</v>
      </c>
      <c r="D772" s="3281">
        <v>1314.924</v>
      </c>
    </row>
    <row r="773" spans="1:4">
      <c r="A773" t="s">
        <v>6054</v>
      </c>
      <c r="B773" s="3280" t="s">
        <v>1634</v>
      </c>
      <c r="C773" s="3272" t="s">
        <v>435</v>
      </c>
      <c r="D773" s="3281">
        <v>177.35900000000001</v>
      </c>
    </row>
    <row r="774" spans="1:4">
      <c r="A774" t="s">
        <v>6781</v>
      </c>
      <c r="B774" s="3280" t="s">
        <v>1635</v>
      </c>
      <c r="C774" s="3272" t="s">
        <v>436</v>
      </c>
      <c r="D774" s="3281">
        <v>452.53500000000003</v>
      </c>
    </row>
    <row r="775" spans="1:4">
      <c r="A775" t="s">
        <v>6782</v>
      </c>
      <c r="B775" s="3280" t="s">
        <v>1636</v>
      </c>
      <c r="C775" s="3272" t="s">
        <v>437</v>
      </c>
      <c r="D775" s="3281">
        <v>505.464</v>
      </c>
    </row>
    <row r="776" spans="1:4">
      <c r="A776" t="s">
        <v>6055</v>
      </c>
      <c r="B776" s="3280" t="s">
        <v>1637</v>
      </c>
      <c r="C776" s="3272" t="s">
        <v>438</v>
      </c>
      <c r="D776" s="3281">
        <v>1015.5549999999999</v>
      </c>
    </row>
    <row r="777" spans="1:4">
      <c r="A777" t="s">
        <v>6783</v>
      </c>
      <c r="B777" s="3280" t="s">
        <v>1638</v>
      </c>
      <c r="C777" s="3272" t="s">
        <v>439</v>
      </c>
      <c r="D777" s="3281">
        <v>180.42400000000001</v>
      </c>
    </row>
    <row r="778" spans="1:4">
      <c r="A778" t="s">
        <v>6056</v>
      </c>
      <c r="B778" s="3280" t="s">
        <v>1874</v>
      </c>
      <c r="C778" s="3272" t="s">
        <v>440</v>
      </c>
      <c r="D778" s="3281">
        <v>192.279</v>
      </c>
    </row>
    <row r="779" spans="1:4">
      <c r="A779" t="s">
        <v>6057</v>
      </c>
      <c r="B779" s="3280" t="s">
        <v>2302</v>
      </c>
      <c r="C779" s="3272" t="s">
        <v>2331</v>
      </c>
      <c r="D779" s="3281">
        <v>2238.6559999999999</v>
      </c>
    </row>
    <row r="780" spans="1:4">
      <c r="A780" t="s">
        <v>6058</v>
      </c>
      <c r="B780" s="3280" t="s">
        <v>2291</v>
      </c>
      <c r="C780" s="3272" t="s">
        <v>442</v>
      </c>
      <c r="D780" s="3281">
        <v>451.661</v>
      </c>
    </row>
    <row r="781" spans="1:4">
      <c r="A781" t="s">
        <v>6059</v>
      </c>
      <c r="B781" s="3280" t="s">
        <v>1302</v>
      </c>
      <c r="C781" s="3272" t="s">
        <v>443</v>
      </c>
      <c r="D781" s="3281">
        <v>459.74799999999999</v>
      </c>
    </row>
    <row r="782" spans="1:4">
      <c r="A782" t="s">
        <v>6784</v>
      </c>
      <c r="B782" s="3280" t="s">
        <v>692</v>
      </c>
      <c r="C782" s="3272" t="s">
        <v>444</v>
      </c>
      <c r="D782" s="3281">
        <v>227.82400000000001</v>
      </c>
    </row>
    <row r="783" spans="1:4">
      <c r="A783" t="s">
        <v>6060</v>
      </c>
      <c r="B783" s="3280" t="s">
        <v>2548</v>
      </c>
      <c r="C783" s="3272" t="s">
        <v>445</v>
      </c>
      <c r="D783" s="3281">
        <v>814.78800000000001</v>
      </c>
    </row>
    <row r="784" spans="1:4">
      <c r="A784" t="s">
        <v>6061</v>
      </c>
      <c r="B784" s="3280" t="s">
        <v>693</v>
      </c>
      <c r="C784" s="3272" t="s">
        <v>446</v>
      </c>
      <c r="D784" s="3281">
        <v>168.44</v>
      </c>
    </row>
    <row r="785" spans="1:4">
      <c r="A785" t="s">
        <v>3692</v>
      </c>
      <c r="B785" s="3280" t="s">
        <v>1773</v>
      </c>
      <c r="C785" s="3272" t="s">
        <v>2226</v>
      </c>
      <c r="D785" s="3281">
        <v>3751.2420000000002</v>
      </c>
    </row>
    <row r="786" spans="1:4">
      <c r="A786" t="s">
        <v>6062</v>
      </c>
      <c r="B786" s="3280" t="s">
        <v>1213</v>
      </c>
      <c r="C786" s="3272" t="s">
        <v>447</v>
      </c>
      <c r="D786" s="3281">
        <v>1014.9930000000001</v>
      </c>
    </row>
    <row r="787" spans="1:4">
      <c r="A787" t="s">
        <v>3693</v>
      </c>
      <c r="B787" s="3280" t="s">
        <v>1639</v>
      </c>
      <c r="C787" s="3272" t="s">
        <v>1054</v>
      </c>
      <c r="D787" s="3281">
        <v>29931.498</v>
      </c>
    </row>
    <row r="788" spans="1:4">
      <c r="A788" t="s">
        <v>3694</v>
      </c>
      <c r="B788" s="3280" t="s">
        <v>199</v>
      </c>
      <c r="C788" s="3272" t="s">
        <v>2696</v>
      </c>
      <c r="D788" s="3281">
        <v>1181.258</v>
      </c>
    </row>
    <row r="789" spans="1:4">
      <c r="A789" t="s">
        <v>6063</v>
      </c>
      <c r="B789" s="3280" t="s">
        <v>572</v>
      </c>
      <c r="C789" s="3272" t="s">
        <v>130</v>
      </c>
      <c r="D789" s="3281">
        <v>821.84799999999996</v>
      </c>
    </row>
    <row r="790" spans="1:4">
      <c r="A790" t="s">
        <v>6064</v>
      </c>
      <c r="B790" s="3280" t="s">
        <v>2181</v>
      </c>
      <c r="C790" s="3272" t="s">
        <v>448</v>
      </c>
      <c r="D790" s="3281">
        <v>1377.432</v>
      </c>
    </row>
    <row r="791" spans="1:4">
      <c r="A791" t="s">
        <v>3695</v>
      </c>
      <c r="B791" s="3280" t="s">
        <v>1468</v>
      </c>
      <c r="C791" s="3272" t="s">
        <v>292</v>
      </c>
      <c r="D791" s="3281">
        <v>293.589</v>
      </c>
    </row>
    <row r="792" spans="1:4">
      <c r="A792" t="s">
        <v>3696</v>
      </c>
      <c r="B792" s="3280" t="s">
        <v>217</v>
      </c>
      <c r="C792" s="3272" t="s">
        <v>2103</v>
      </c>
      <c r="D792" s="3281">
        <v>1130.0509999999999</v>
      </c>
    </row>
    <row r="793" spans="1:4">
      <c r="A793" t="s">
        <v>6065</v>
      </c>
      <c r="B793" s="3280" t="s">
        <v>1289</v>
      </c>
      <c r="C793" s="3272" t="s">
        <v>449</v>
      </c>
      <c r="D793" s="3281">
        <v>1561.91</v>
      </c>
    </row>
    <row r="794" spans="1:4">
      <c r="A794" t="s">
        <v>6066</v>
      </c>
      <c r="B794" s="3280" t="s">
        <v>1290</v>
      </c>
      <c r="C794" s="3272" t="s">
        <v>2332</v>
      </c>
      <c r="D794" s="3281">
        <v>9413.42</v>
      </c>
    </row>
    <row r="795" spans="1:4">
      <c r="A795" t="s">
        <v>6067</v>
      </c>
      <c r="B795" s="3280" t="s">
        <v>2522</v>
      </c>
      <c r="C795" s="3272" t="s">
        <v>154</v>
      </c>
      <c r="D795" s="3281">
        <v>751.83799999999997</v>
      </c>
    </row>
    <row r="796" spans="1:4">
      <c r="A796" t="s">
        <v>6068</v>
      </c>
      <c r="B796" s="3280" t="s">
        <v>792</v>
      </c>
      <c r="C796" s="3272" t="s">
        <v>155</v>
      </c>
      <c r="D796" s="3281">
        <v>284.553</v>
      </c>
    </row>
    <row r="797" spans="1:4">
      <c r="A797" t="s">
        <v>6785</v>
      </c>
      <c r="B797" s="3280" t="s">
        <v>114</v>
      </c>
      <c r="C797" s="3272" t="s">
        <v>2118</v>
      </c>
      <c r="D797" s="3281">
        <v>332.96600000000001</v>
      </c>
    </row>
    <row r="798" spans="1:4">
      <c r="A798" t="s">
        <v>3697</v>
      </c>
      <c r="B798" s="3280" t="s">
        <v>2654</v>
      </c>
      <c r="C798" s="3272" t="s">
        <v>2697</v>
      </c>
      <c r="D798" s="3281">
        <v>646.36800000000005</v>
      </c>
    </row>
    <row r="799" spans="1:4">
      <c r="A799" t="s">
        <v>6786</v>
      </c>
      <c r="B799" s="3280" t="s">
        <v>2274</v>
      </c>
      <c r="C799" s="3272" t="s">
        <v>1622</v>
      </c>
      <c r="D799" s="3281">
        <v>469.49900000000002</v>
      </c>
    </row>
    <row r="800" spans="1:4">
      <c r="A800" t="s">
        <v>3698</v>
      </c>
      <c r="B800" s="3280" t="s">
        <v>377</v>
      </c>
      <c r="C800" s="3272" t="s">
        <v>2668</v>
      </c>
      <c r="D800" s="3281">
        <v>487.42899999999997</v>
      </c>
    </row>
    <row r="801" spans="1:4">
      <c r="A801" t="s">
        <v>6069</v>
      </c>
      <c r="B801" s="3280" t="s">
        <v>986</v>
      </c>
      <c r="C801" s="3272" t="s">
        <v>1623</v>
      </c>
      <c r="D801" s="3281">
        <v>2401.6640000000002</v>
      </c>
    </row>
    <row r="802" spans="1:4">
      <c r="A802" t="s">
        <v>3699</v>
      </c>
      <c r="B802" s="3280" t="s">
        <v>1716</v>
      </c>
      <c r="C802" s="3272" t="s">
        <v>2120</v>
      </c>
      <c r="D802" s="3281">
        <v>163.18100000000001</v>
      </c>
    </row>
    <row r="803" spans="1:4">
      <c r="A803" t="s">
        <v>6070</v>
      </c>
      <c r="B803" s="3280" t="s">
        <v>695</v>
      </c>
      <c r="C803" s="3272" t="s">
        <v>1624</v>
      </c>
      <c r="D803" s="3281">
        <v>122.053</v>
      </c>
    </row>
    <row r="804" spans="1:4">
      <c r="A804" t="s">
        <v>6071</v>
      </c>
      <c r="B804" s="3280" t="s">
        <v>696</v>
      </c>
      <c r="C804" s="3272" t="s">
        <v>1625</v>
      </c>
      <c r="D804" s="3281">
        <v>465.96800000000002</v>
      </c>
    </row>
    <row r="805" spans="1:4">
      <c r="A805" t="s">
        <v>6072</v>
      </c>
      <c r="B805" s="3280" t="s">
        <v>697</v>
      </c>
      <c r="C805" s="3272" t="s">
        <v>1626</v>
      </c>
      <c r="D805" s="3281">
        <v>686.27599999999995</v>
      </c>
    </row>
    <row r="806" spans="1:4">
      <c r="A806" t="s">
        <v>6073</v>
      </c>
      <c r="B806" s="3280" t="s">
        <v>1457</v>
      </c>
      <c r="C806" s="3272" t="s">
        <v>1627</v>
      </c>
      <c r="D806" s="3281">
        <v>201.78200000000001</v>
      </c>
    </row>
    <row r="807" spans="1:4">
      <c r="A807" t="s">
        <v>6074</v>
      </c>
      <c r="B807" s="3280" t="s">
        <v>1458</v>
      </c>
      <c r="C807" s="3272" t="s">
        <v>1628</v>
      </c>
      <c r="D807" s="3281">
        <v>453.18799999999999</v>
      </c>
    </row>
    <row r="808" spans="1:4">
      <c r="A808" t="s">
        <v>6787</v>
      </c>
      <c r="B808" s="3280" t="s">
        <v>1459</v>
      </c>
      <c r="C808" s="3272" t="s">
        <v>1629</v>
      </c>
      <c r="D808" s="3281">
        <v>144.94999999999999</v>
      </c>
    </row>
    <row r="809" spans="1:4">
      <c r="A809" t="s">
        <v>6075</v>
      </c>
      <c r="B809" s="3280" t="s">
        <v>1460</v>
      </c>
      <c r="C809" s="3272" t="s">
        <v>1630</v>
      </c>
      <c r="D809" s="3281">
        <v>1144.9469999999999</v>
      </c>
    </row>
    <row r="810" spans="1:4">
      <c r="A810" t="s">
        <v>6076</v>
      </c>
      <c r="B810" s="3280" t="s">
        <v>1461</v>
      </c>
      <c r="C810" s="3272" t="s">
        <v>1631</v>
      </c>
      <c r="D810" s="3281">
        <v>791.72400000000005</v>
      </c>
    </row>
    <row r="811" spans="1:4">
      <c r="A811" t="s">
        <v>6788</v>
      </c>
      <c r="B811" s="3280" t="s">
        <v>1462</v>
      </c>
      <c r="C811" s="3272" t="s">
        <v>976</v>
      </c>
      <c r="D811" s="3281">
        <v>562.47500000000002</v>
      </c>
    </row>
    <row r="812" spans="1:4">
      <c r="A812" t="s">
        <v>6077</v>
      </c>
      <c r="B812" s="3280" t="s">
        <v>1672</v>
      </c>
      <c r="C812" s="3272" t="s">
        <v>977</v>
      </c>
      <c r="D812" s="3281">
        <v>15372.743</v>
      </c>
    </row>
    <row r="813" spans="1:4">
      <c r="A813" t="s">
        <v>3700</v>
      </c>
      <c r="B813" s="3280" t="s">
        <v>1812</v>
      </c>
      <c r="C813" s="3272" t="s">
        <v>613</v>
      </c>
      <c r="D813" s="3281">
        <v>5434.451</v>
      </c>
    </row>
    <row r="814" spans="1:4">
      <c r="A814" t="s">
        <v>6789</v>
      </c>
      <c r="B814" s="3280" t="s">
        <v>1673</v>
      </c>
      <c r="C814" s="3272" t="s">
        <v>1894</v>
      </c>
      <c r="D814" s="3281">
        <v>843.45399999999995</v>
      </c>
    </row>
    <row r="815" spans="1:4">
      <c r="A815" t="s">
        <v>3701</v>
      </c>
      <c r="B815" s="3280" t="s">
        <v>378</v>
      </c>
      <c r="C815" s="3272" t="s">
        <v>2237</v>
      </c>
      <c r="D815" s="3281">
        <v>422.18599999999998</v>
      </c>
    </row>
    <row r="816" spans="1:4">
      <c r="A816" t="s">
        <v>5403</v>
      </c>
      <c r="B816" s="3280" t="s">
        <v>1183</v>
      </c>
      <c r="C816" s="3272" t="s">
        <v>1129</v>
      </c>
      <c r="D816" s="3281">
        <v>499.65600000000001</v>
      </c>
    </row>
    <row r="817" spans="1:4">
      <c r="A817" t="s">
        <v>3702</v>
      </c>
      <c r="B817" s="3280" t="s">
        <v>379</v>
      </c>
      <c r="C817" s="3272" t="s">
        <v>262</v>
      </c>
      <c r="D817" s="3281">
        <v>97.102999999999994</v>
      </c>
    </row>
    <row r="818" spans="1:4">
      <c r="A818" t="s">
        <v>6078</v>
      </c>
      <c r="B818" s="3280" t="s">
        <v>1674</v>
      </c>
      <c r="C818" s="3272" t="s">
        <v>1895</v>
      </c>
      <c r="D818" s="3281">
        <v>3236.5149999999999</v>
      </c>
    </row>
    <row r="819" spans="1:4">
      <c r="A819" t="s">
        <v>6790</v>
      </c>
      <c r="B819" s="3280" t="s">
        <v>1675</v>
      </c>
      <c r="C819" s="3272" t="s">
        <v>1525</v>
      </c>
      <c r="D819" s="3281">
        <v>155.76</v>
      </c>
    </row>
    <row r="820" spans="1:4">
      <c r="A820" t="s">
        <v>6791</v>
      </c>
      <c r="B820" s="3280" t="s">
        <v>1676</v>
      </c>
      <c r="C820" s="3272" t="s">
        <v>1526</v>
      </c>
      <c r="D820" s="3281">
        <v>240.804</v>
      </c>
    </row>
    <row r="821" spans="1:4">
      <c r="A821" t="s">
        <v>5407</v>
      </c>
      <c r="B821" s="3280" t="s">
        <v>2470</v>
      </c>
      <c r="C821" s="3272" t="s">
        <v>2153</v>
      </c>
      <c r="D821" s="3281">
        <v>373.726</v>
      </c>
    </row>
    <row r="822" spans="1:4">
      <c r="A822" t="s">
        <v>3703</v>
      </c>
      <c r="B822" s="3280" t="s">
        <v>2471</v>
      </c>
      <c r="C822" s="3272" t="s">
        <v>1362</v>
      </c>
      <c r="D822" s="3281">
        <v>482.28</v>
      </c>
    </row>
    <row r="823" spans="1:4">
      <c r="A823" t="s">
        <v>6079</v>
      </c>
      <c r="B823" s="3280" t="s">
        <v>1677</v>
      </c>
      <c r="C823" s="3272" t="s">
        <v>1527</v>
      </c>
      <c r="D823" s="3281">
        <v>1504.643</v>
      </c>
    </row>
    <row r="824" spans="1:4">
      <c r="A824" t="s">
        <v>3704</v>
      </c>
      <c r="B824" s="3280" t="s">
        <v>190</v>
      </c>
      <c r="C824" s="3272" t="s">
        <v>654</v>
      </c>
      <c r="D824" s="3281">
        <v>580.23400000000004</v>
      </c>
    </row>
    <row r="825" spans="1:4">
      <c r="A825" t="s">
        <v>6080</v>
      </c>
      <c r="B825" s="3280" t="s">
        <v>1678</v>
      </c>
      <c r="C825" s="3272" t="s">
        <v>3916</v>
      </c>
      <c r="D825" s="3281">
        <v>1009.377</v>
      </c>
    </row>
    <row r="826" spans="1:4">
      <c r="A826" t="s">
        <v>6792</v>
      </c>
      <c r="B826" s="3280" t="s">
        <v>1395</v>
      </c>
      <c r="C826" s="3272" t="s">
        <v>1529</v>
      </c>
      <c r="D826" s="3281">
        <v>825.35599999999999</v>
      </c>
    </row>
    <row r="827" spans="1:4">
      <c r="A827" t="s">
        <v>3705</v>
      </c>
      <c r="B827" s="3280" t="s">
        <v>1396</v>
      </c>
      <c r="C827" s="3272" t="s">
        <v>1530</v>
      </c>
      <c r="D827" s="3281">
        <v>608.40099999999995</v>
      </c>
    </row>
    <row r="828" spans="1:4">
      <c r="A828" t="s">
        <v>3706</v>
      </c>
      <c r="B828" s="3280" t="s">
        <v>1397</v>
      </c>
      <c r="C828" s="3272" t="s">
        <v>2070</v>
      </c>
      <c r="D828" s="3281">
        <v>691.36500000000001</v>
      </c>
    </row>
    <row r="829" spans="1:4">
      <c r="A829" t="s">
        <v>6793</v>
      </c>
      <c r="B829" s="3280" t="s">
        <v>1632</v>
      </c>
      <c r="C829" s="3272" t="s">
        <v>2071</v>
      </c>
      <c r="D829" s="3281">
        <v>369.85500000000002</v>
      </c>
    </row>
    <row r="830" spans="1:4">
      <c r="A830" t="s">
        <v>6081</v>
      </c>
      <c r="B830" s="3280" t="s">
        <v>1633</v>
      </c>
      <c r="C830" s="3272" t="s">
        <v>2334</v>
      </c>
      <c r="D830" s="3281">
        <v>1415.431</v>
      </c>
    </row>
    <row r="831" spans="1:4">
      <c r="A831" t="s">
        <v>3707</v>
      </c>
      <c r="B831" s="3280" t="s">
        <v>2433</v>
      </c>
      <c r="C831" s="3272" t="s">
        <v>351</v>
      </c>
      <c r="D831" s="3281">
        <v>1822.0519999999999</v>
      </c>
    </row>
    <row r="832" spans="1:4">
      <c r="A832" t="s">
        <v>3708</v>
      </c>
      <c r="B832" s="3280" t="s">
        <v>1215</v>
      </c>
      <c r="C832" s="3272" t="s">
        <v>2420</v>
      </c>
      <c r="D832" s="3281">
        <v>1606.0429999999999</v>
      </c>
    </row>
    <row r="833" spans="1:4">
      <c r="A833" t="s">
        <v>6082</v>
      </c>
      <c r="B833" s="3280" t="s">
        <v>2434</v>
      </c>
      <c r="C833" s="3272" t="s">
        <v>352</v>
      </c>
      <c r="D833" s="3281">
        <v>4505.3500000000004</v>
      </c>
    </row>
    <row r="834" spans="1:4">
      <c r="A834" t="s">
        <v>6083</v>
      </c>
      <c r="B834" s="3280" t="s">
        <v>1454</v>
      </c>
      <c r="C834" s="3272" t="s">
        <v>353</v>
      </c>
      <c r="D834" s="3281">
        <v>2020.0709999999999</v>
      </c>
    </row>
    <row r="835" spans="1:4">
      <c r="A835" t="s">
        <v>3709</v>
      </c>
      <c r="B835" s="3280" t="s">
        <v>2527</v>
      </c>
      <c r="C835" s="3272" t="s">
        <v>2066</v>
      </c>
      <c r="D835" s="3281">
        <v>1492.4960000000001</v>
      </c>
    </row>
    <row r="836" spans="1:4">
      <c r="A836" t="s">
        <v>3710</v>
      </c>
      <c r="B836" s="3280" t="s">
        <v>1411</v>
      </c>
      <c r="C836" s="3272" t="s">
        <v>260</v>
      </c>
      <c r="D836" s="3281">
        <v>899.76</v>
      </c>
    </row>
    <row r="837" spans="1:4">
      <c r="A837" t="s">
        <v>3711</v>
      </c>
      <c r="B837" s="3280" t="s">
        <v>1317</v>
      </c>
      <c r="C837" s="3272" t="s">
        <v>267</v>
      </c>
      <c r="D837" s="3281">
        <v>2017.2529999999999</v>
      </c>
    </row>
    <row r="838" spans="1:4">
      <c r="A838" t="s">
        <v>3712</v>
      </c>
      <c r="B838" s="3280" t="s">
        <v>191</v>
      </c>
      <c r="C838" s="3272" t="s">
        <v>601</v>
      </c>
      <c r="D838" s="3281">
        <v>1000.013</v>
      </c>
    </row>
    <row r="839" spans="1:4">
      <c r="A839" t="s">
        <v>3713</v>
      </c>
      <c r="B839" s="3280" t="s">
        <v>489</v>
      </c>
      <c r="C839" s="3272" t="s">
        <v>1404</v>
      </c>
      <c r="D839" s="3281">
        <v>675.02599999999995</v>
      </c>
    </row>
    <row r="840" spans="1:4">
      <c r="A840" t="s">
        <v>6794</v>
      </c>
      <c r="B840" s="3280" t="s">
        <v>1455</v>
      </c>
      <c r="C840" s="3272" t="s">
        <v>354</v>
      </c>
      <c r="D840" s="3281">
        <v>116.93</v>
      </c>
    </row>
    <row r="841" spans="1:4">
      <c r="A841" t="s">
        <v>6795</v>
      </c>
      <c r="B841" s="3280" t="s">
        <v>1456</v>
      </c>
      <c r="C841" s="3272" t="s">
        <v>355</v>
      </c>
      <c r="D841" s="3281">
        <v>110.92700000000001</v>
      </c>
    </row>
    <row r="842" spans="1:4">
      <c r="A842" t="s">
        <v>6796</v>
      </c>
      <c r="B842" s="3280" t="s">
        <v>1377</v>
      </c>
      <c r="C842" s="3272" t="s">
        <v>356</v>
      </c>
      <c r="D842" s="3281">
        <v>501.18400000000003</v>
      </c>
    </row>
    <row r="843" spans="1:4">
      <c r="A843" t="s">
        <v>6084</v>
      </c>
      <c r="B843" s="3280" t="s">
        <v>1378</v>
      </c>
      <c r="C843" s="3272" t="s">
        <v>357</v>
      </c>
      <c r="D843" s="3281">
        <v>229.03299999999999</v>
      </c>
    </row>
    <row r="844" spans="1:4">
      <c r="A844" t="s">
        <v>6085</v>
      </c>
      <c r="B844" s="3280" t="s">
        <v>1379</v>
      </c>
      <c r="C844" s="3272" t="s">
        <v>358</v>
      </c>
      <c r="D844" s="3281">
        <v>2481.8809999999999</v>
      </c>
    </row>
    <row r="845" spans="1:4">
      <c r="A845" t="s">
        <v>6086</v>
      </c>
      <c r="B845" s="3280" t="s">
        <v>1473</v>
      </c>
      <c r="C845" s="3272" t="s">
        <v>359</v>
      </c>
      <c r="D845" s="3281">
        <v>251.90100000000001</v>
      </c>
    </row>
    <row r="846" spans="1:4">
      <c r="A846" t="s">
        <v>6797</v>
      </c>
      <c r="B846" s="3280" t="s">
        <v>961</v>
      </c>
      <c r="C846" s="3272" t="s">
        <v>360</v>
      </c>
      <c r="D846" s="3281">
        <v>472.59899999999999</v>
      </c>
    </row>
    <row r="847" spans="1:4">
      <c r="A847" t="s">
        <v>6798</v>
      </c>
      <c r="B847" s="3280" t="s">
        <v>962</v>
      </c>
      <c r="C847" s="3272" t="s">
        <v>361</v>
      </c>
      <c r="D847" s="3281">
        <v>115.077</v>
      </c>
    </row>
    <row r="848" spans="1:4">
      <c r="A848" t="s">
        <v>3714</v>
      </c>
      <c r="B848" s="3280" t="s">
        <v>963</v>
      </c>
      <c r="C848" s="3272" t="s">
        <v>1776</v>
      </c>
      <c r="D848" s="3281">
        <v>2407.0219999999999</v>
      </c>
    </row>
    <row r="849" spans="1:4">
      <c r="A849" t="s">
        <v>6087</v>
      </c>
      <c r="B849" s="3280" t="s">
        <v>1089</v>
      </c>
      <c r="C849" s="3272" t="s">
        <v>1777</v>
      </c>
      <c r="D849" s="3281">
        <v>636.87400000000002</v>
      </c>
    </row>
    <row r="850" spans="1:4">
      <c r="A850" t="s">
        <v>3715</v>
      </c>
      <c r="B850" s="3280" t="s">
        <v>192</v>
      </c>
      <c r="C850" s="3272" t="s">
        <v>1249</v>
      </c>
      <c r="D850" s="3281">
        <v>721.91</v>
      </c>
    </row>
    <row r="851" spans="1:4">
      <c r="A851" t="s">
        <v>6088</v>
      </c>
      <c r="B851" s="3280" t="s">
        <v>1090</v>
      </c>
      <c r="C851" s="3272" t="s">
        <v>1778</v>
      </c>
      <c r="D851" s="3281">
        <v>531.97</v>
      </c>
    </row>
    <row r="852" spans="1:4">
      <c r="A852" t="s">
        <v>6799</v>
      </c>
      <c r="B852" s="3280" t="s">
        <v>1091</v>
      </c>
      <c r="C852" s="3272" t="s">
        <v>1779</v>
      </c>
      <c r="D852" s="3281">
        <v>587.13</v>
      </c>
    </row>
    <row r="853" spans="1:4">
      <c r="A853" t="s">
        <v>6800</v>
      </c>
      <c r="B853" s="3280" t="s">
        <v>1238</v>
      </c>
      <c r="C853" s="3272" t="s">
        <v>1780</v>
      </c>
      <c r="D853" s="3281">
        <v>91.245999999999995</v>
      </c>
    </row>
    <row r="854" spans="1:4">
      <c r="A854" t="s">
        <v>6089</v>
      </c>
      <c r="B854" s="3280" t="s">
        <v>1239</v>
      </c>
      <c r="C854" s="3272" t="s">
        <v>1781</v>
      </c>
      <c r="D854" s="3281">
        <v>101.465</v>
      </c>
    </row>
    <row r="855" spans="1:4">
      <c r="A855" t="s">
        <v>6801</v>
      </c>
      <c r="B855" s="3280" t="s">
        <v>1801</v>
      </c>
      <c r="C855" s="3272" t="s">
        <v>1994</v>
      </c>
      <c r="D855" s="3281">
        <v>537.81299999999999</v>
      </c>
    </row>
    <row r="856" spans="1:4">
      <c r="A856" t="s">
        <v>3716</v>
      </c>
      <c r="B856" s="3280" t="s">
        <v>274</v>
      </c>
      <c r="C856" s="3272" t="s">
        <v>2115</v>
      </c>
      <c r="D856" s="3281">
        <v>832.44</v>
      </c>
    </row>
    <row r="857" spans="1:4">
      <c r="A857" t="s">
        <v>6090</v>
      </c>
      <c r="B857" s="3280" t="s">
        <v>1727</v>
      </c>
      <c r="C857" s="3272" t="s">
        <v>1995</v>
      </c>
      <c r="D857" s="3281">
        <v>2403.357</v>
      </c>
    </row>
    <row r="858" spans="1:4">
      <c r="A858" t="s">
        <v>3717</v>
      </c>
      <c r="B858" s="3280" t="s">
        <v>1728</v>
      </c>
      <c r="C858" s="3272" t="s">
        <v>1996</v>
      </c>
      <c r="D858" s="3281">
        <v>3841.931</v>
      </c>
    </row>
    <row r="859" spans="1:4">
      <c r="A859" t="s">
        <v>6091</v>
      </c>
      <c r="B859" s="3280" t="s">
        <v>1006</v>
      </c>
      <c r="C859" s="3272" t="s">
        <v>1997</v>
      </c>
      <c r="D859" s="3281">
        <v>1014.193</v>
      </c>
    </row>
    <row r="860" spans="1:4">
      <c r="A860" t="s">
        <v>6092</v>
      </c>
      <c r="B860" s="3280" t="s">
        <v>189</v>
      </c>
      <c r="C860" s="3272" t="s">
        <v>1998</v>
      </c>
      <c r="D860" s="3281">
        <v>16780.332999999999</v>
      </c>
    </row>
    <row r="861" spans="1:4">
      <c r="A861" t="s">
        <v>3718</v>
      </c>
      <c r="B861" s="3280" t="s">
        <v>1181</v>
      </c>
      <c r="C861" s="3272" t="s">
        <v>1334</v>
      </c>
      <c r="D861" s="3281">
        <v>4466.8289999999997</v>
      </c>
    </row>
    <row r="862" spans="1:4">
      <c r="A862" t="s">
        <v>3719</v>
      </c>
      <c r="B862" s="3280" t="s">
        <v>1340</v>
      </c>
      <c r="C862" s="3272" t="s">
        <v>660</v>
      </c>
      <c r="D862" s="3281">
        <v>3296.922</v>
      </c>
    </row>
    <row r="863" spans="1:4">
      <c r="A863" t="s">
        <v>6093</v>
      </c>
      <c r="B863" s="3280" t="s">
        <v>1341</v>
      </c>
      <c r="C863" s="3272" t="s">
        <v>1999</v>
      </c>
      <c r="D863" s="3281">
        <v>978.245</v>
      </c>
    </row>
    <row r="864" spans="1:4">
      <c r="A864" t="s">
        <v>6094</v>
      </c>
      <c r="B864" s="3280" t="s">
        <v>1342</v>
      </c>
      <c r="C864" s="3272" t="s">
        <v>2000</v>
      </c>
      <c r="D864" s="3281">
        <v>1702.348</v>
      </c>
    </row>
    <row r="865" spans="1:4">
      <c r="A865" t="s">
        <v>3720</v>
      </c>
      <c r="B865" s="3280" t="s">
        <v>2653</v>
      </c>
      <c r="C865" s="3272" t="s">
        <v>2693</v>
      </c>
      <c r="D865" s="3281">
        <v>9731.2710000000006</v>
      </c>
    </row>
    <row r="866" spans="1:4">
      <c r="A866" t="s">
        <v>6095</v>
      </c>
      <c r="B866" s="3280" t="s">
        <v>1729</v>
      </c>
      <c r="C866" s="3272" t="s">
        <v>2001</v>
      </c>
      <c r="D866" s="3281">
        <v>218.32499999999999</v>
      </c>
    </row>
    <row r="867" spans="1:4">
      <c r="A867" t="s">
        <v>3721</v>
      </c>
      <c r="B867" s="3280" t="s">
        <v>193</v>
      </c>
      <c r="C867" s="3272" t="s">
        <v>608</v>
      </c>
      <c r="D867" s="3281">
        <v>5845.098</v>
      </c>
    </row>
    <row r="868" spans="1:4">
      <c r="A868" t="s">
        <v>6096</v>
      </c>
      <c r="B868" s="3280" t="s">
        <v>1730</v>
      </c>
      <c r="C868" s="3272" t="s">
        <v>2002</v>
      </c>
      <c r="D868" s="3281">
        <v>1356.9760000000001</v>
      </c>
    </row>
    <row r="869" spans="1:4">
      <c r="A869" t="s">
        <v>6097</v>
      </c>
      <c r="B869" s="3280" t="s">
        <v>2584</v>
      </c>
      <c r="C869" s="3272" t="s">
        <v>2562</v>
      </c>
      <c r="D869" s="3281">
        <v>290.33199999999999</v>
      </c>
    </row>
    <row r="870" spans="1:4">
      <c r="A870" t="s">
        <v>6098</v>
      </c>
      <c r="B870" s="3280" t="s">
        <v>750</v>
      </c>
      <c r="C870" s="3272" t="s">
        <v>2563</v>
      </c>
      <c r="D870" s="3281">
        <v>205.21799999999999</v>
      </c>
    </row>
    <row r="871" spans="1:4">
      <c r="A871" t="s">
        <v>6099</v>
      </c>
      <c r="B871" s="3280" t="s">
        <v>751</v>
      </c>
      <c r="C871" s="3272" t="s">
        <v>2564</v>
      </c>
      <c r="D871" s="3281">
        <v>747.08100000000002</v>
      </c>
    </row>
    <row r="872" spans="1:4">
      <c r="A872" t="s">
        <v>6802</v>
      </c>
      <c r="B872" s="3280" t="s">
        <v>802</v>
      </c>
      <c r="C872" s="3272" t="s">
        <v>2565</v>
      </c>
      <c r="D872" s="3281">
        <v>245.589</v>
      </c>
    </row>
    <row r="873" spans="1:4">
      <c r="A873" t="s">
        <v>6803</v>
      </c>
      <c r="B873" s="3280" t="s">
        <v>568</v>
      </c>
      <c r="C873" s="3272" t="s">
        <v>2566</v>
      </c>
      <c r="D873" s="3281">
        <v>1016.918</v>
      </c>
    </row>
    <row r="874" spans="1:4">
      <c r="A874" t="s">
        <v>6100</v>
      </c>
      <c r="B874" s="3280" t="s">
        <v>569</v>
      </c>
      <c r="C874" s="3272" t="s">
        <v>2567</v>
      </c>
      <c r="D874" s="3281">
        <v>237.38900000000001</v>
      </c>
    </row>
    <row r="875" spans="1:4">
      <c r="A875" t="s">
        <v>3722</v>
      </c>
      <c r="B875" s="3280" t="s">
        <v>2298</v>
      </c>
      <c r="C875" s="3272" t="s">
        <v>2421</v>
      </c>
      <c r="D875" s="3281">
        <v>55648.74</v>
      </c>
    </row>
    <row r="876" spans="1:4">
      <c r="A876" t="s">
        <v>3723</v>
      </c>
      <c r="B876" s="3280" t="s">
        <v>873</v>
      </c>
      <c r="C876" s="3272" t="s">
        <v>797</v>
      </c>
      <c r="D876" s="3281">
        <v>22010.562000000002</v>
      </c>
    </row>
    <row r="877" spans="1:4">
      <c r="A877" t="s">
        <v>3724</v>
      </c>
      <c r="B877" s="3280" t="s">
        <v>1849</v>
      </c>
      <c r="C877" s="3272" t="s">
        <v>2568</v>
      </c>
      <c r="D877" s="3281">
        <v>5438.8370000000004</v>
      </c>
    </row>
    <row r="878" spans="1:4">
      <c r="A878" t="s">
        <v>6101</v>
      </c>
      <c r="B878" s="3280" t="s">
        <v>2018</v>
      </c>
      <c r="C878" s="3272" t="s">
        <v>1278</v>
      </c>
      <c r="D878" s="3281">
        <v>77997.771999999997</v>
      </c>
    </row>
    <row r="879" spans="1:4">
      <c r="A879" t="s">
        <v>6102</v>
      </c>
      <c r="B879" s="3280" t="s">
        <v>2182</v>
      </c>
      <c r="C879" s="3272" t="s">
        <v>1279</v>
      </c>
      <c r="D879" s="3281">
        <v>13191.593999999999</v>
      </c>
    </row>
    <row r="880" spans="1:4">
      <c r="A880" t="s">
        <v>3725</v>
      </c>
      <c r="B880" s="3280" t="s">
        <v>50</v>
      </c>
      <c r="C880" s="3272" t="s">
        <v>412</v>
      </c>
      <c r="D880" s="3281">
        <v>32955.771000000001</v>
      </c>
    </row>
    <row r="881" spans="1:4">
      <c r="A881" t="s">
        <v>3726</v>
      </c>
      <c r="B881" s="3280" t="s">
        <v>347</v>
      </c>
      <c r="C881" s="3272" t="s">
        <v>290</v>
      </c>
      <c r="D881" s="3281">
        <v>33118.67</v>
      </c>
    </row>
    <row r="882" spans="1:4">
      <c r="A882" t="s">
        <v>3727</v>
      </c>
      <c r="B882" s="3280" t="s">
        <v>1767</v>
      </c>
      <c r="C882" s="3272" t="s">
        <v>2301</v>
      </c>
      <c r="D882" s="3281">
        <v>3065.3130000000001</v>
      </c>
    </row>
    <row r="883" spans="1:4">
      <c r="A883" t="s">
        <v>3728</v>
      </c>
      <c r="B883" s="3280" t="s">
        <v>2405</v>
      </c>
      <c r="C883" s="3272" t="s">
        <v>419</v>
      </c>
      <c r="D883" s="3281">
        <v>14189.387000000001</v>
      </c>
    </row>
    <row r="884" spans="1:4">
      <c r="A884" t="s">
        <v>3729</v>
      </c>
      <c r="B884" s="3280" t="s">
        <v>52</v>
      </c>
      <c r="C884" s="3272" t="s">
        <v>2516</v>
      </c>
      <c r="D884" s="3281">
        <v>2964.7310000000002</v>
      </c>
    </row>
    <row r="885" spans="1:4">
      <c r="A885" t="s">
        <v>3730</v>
      </c>
      <c r="B885" s="3280" t="s">
        <v>1681</v>
      </c>
      <c r="C885" s="3272" t="s">
        <v>2119</v>
      </c>
      <c r="D885" s="3281">
        <v>6033.95</v>
      </c>
    </row>
    <row r="886" spans="1:4">
      <c r="A886" t="s">
        <v>3731</v>
      </c>
      <c r="B886" s="3280" t="s">
        <v>1119</v>
      </c>
      <c r="C886" s="3272" t="s">
        <v>1267</v>
      </c>
      <c r="D886" s="3281">
        <v>22063.737000000001</v>
      </c>
    </row>
    <row r="887" spans="1:4">
      <c r="A887" t="s">
        <v>3732</v>
      </c>
      <c r="B887" s="3280" t="s">
        <v>1847</v>
      </c>
      <c r="C887" s="3272" t="s">
        <v>657</v>
      </c>
      <c r="D887" s="3281">
        <v>3589.319</v>
      </c>
    </row>
    <row r="888" spans="1:4">
      <c r="A888" t="s">
        <v>3733</v>
      </c>
      <c r="B888" s="3280" t="s">
        <v>2223</v>
      </c>
      <c r="C888" s="3272" t="s">
        <v>1280</v>
      </c>
      <c r="D888" s="3281">
        <v>18143.605</v>
      </c>
    </row>
    <row r="889" spans="1:4">
      <c r="A889" t="s">
        <v>5533</v>
      </c>
      <c r="B889" s="3280" t="s">
        <v>1846</v>
      </c>
      <c r="C889" s="3272" t="s">
        <v>656</v>
      </c>
      <c r="D889" s="3281">
        <v>7919.308</v>
      </c>
    </row>
    <row r="890" spans="1:4">
      <c r="A890" t="s">
        <v>3734</v>
      </c>
      <c r="B890" s="3280" t="s">
        <v>1180</v>
      </c>
      <c r="C890" s="3272" t="s">
        <v>1333</v>
      </c>
      <c r="D890" s="3281">
        <v>6340.0810000000001</v>
      </c>
    </row>
    <row r="891" spans="1:4">
      <c r="A891" t="s">
        <v>6103</v>
      </c>
      <c r="B891" s="3280" t="s">
        <v>2224</v>
      </c>
      <c r="C891" s="3272" t="s">
        <v>1281</v>
      </c>
      <c r="D891" s="3281">
        <v>15225.013999999999</v>
      </c>
    </row>
    <row r="892" spans="1:4">
      <c r="A892" t="s">
        <v>6104</v>
      </c>
      <c r="B892" s="3280" t="s">
        <v>2225</v>
      </c>
      <c r="C892" s="3272" t="s">
        <v>1282</v>
      </c>
      <c r="D892" s="3281">
        <v>1058.723</v>
      </c>
    </row>
    <row r="893" spans="1:4">
      <c r="A893" t="s">
        <v>6105</v>
      </c>
      <c r="B893" s="3280" t="s">
        <v>2655</v>
      </c>
      <c r="C893" s="3272" t="s">
        <v>1283</v>
      </c>
      <c r="D893" s="3281">
        <v>148.84100000000001</v>
      </c>
    </row>
    <row r="894" spans="1:4">
      <c r="A894" t="s">
        <v>6106</v>
      </c>
      <c r="B894" s="3280" t="s">
        <v>2656</v>
      </c>
      <c r="C894" s="3272" t="s">
        <v>2335</v>
      </c>
      <c r="D894" s="3281">
        <v>1149.991</v>
      </c>
    </row>
    <row r="895" spans="1:4">
      <c r="A895" t="s">
        <v>6107</v>
      </c>
      <c r="B895" s="3280" t="s">
        <v>2657</v>
      </c>
      <c r="C895" s="3272" t="s">
        <v>1132</v>
      </c>
      <c r="D895" s="3281">
        <v>4162.9260000000004</v>
      </c>
    </row>
    <row r="896" spans="1:4">
      <c r="A896" t="s">
        <v>6108</v>
      </c>
      <c r="B896" s="3280" t="s">
        <v>2658</v>
      </c>
      <c r="C896" s="3272" t="s">
        <v>1285</v>
      </c>
      <c r="D896" s="3281">
        <v>123.994</v>
      </c>
    </row>
    <row r="897" spans="1:4">
      <c r="A897" t="s">
        <v>6109</v>
      </c>
      <c r="B897" s="3280" t="s">
        <v>1170</v>
      </c>
      <c r="C897" s="3272" t="s">
        <v>305</v>
      </c>
      <c r="D897" s="3281">
        <v>1569.3910000000001</v>
      </c>
    </row>
    <row r="898" spans="1:4">
      <c r="A898" t="s">
        <v>3735</v>
      </c>
      <c r="B898" s="3280" t="s">
        <v>1845</v>
      </c>
      <c r="C898" s="3272" t="s">
        <v>822</v>
      </c>
      <c r="D898" s="3281">
        <v>261.90899999999999</v>
      </c>
    </row>
    <row r="899" spans="1:4">
      <c r="A899" t="s">
        <v>6110</v>
      </c>
      <c r="B899" s="3280" t="s">
        <v>1171</v>
      </c>
      <c r="C899" s="3272" t="s">
        <v>2336</v>
      </c>
      <c r="D899" s="3281">
        <v>282.31400000000002</v>
      </c>
    </row>
    <row r="900" spans="1:4">
      <c r="A900" t="s">
        <v>6804</v>
      </c>
      <c r="B900" s="3280" t="s">
        <v>1586</v>
      </c>
      <c r="C900" s="3272" t="s">
        <v>636</v>
      </c>
      <c r="D900" s="3281">
        <v>119.46</v>
      </c>
    </row>
    <row r="901" spans="1:4">
      <c r="A901" t="s">
        <v>6805</v>
      </c>
      <c r="B901" s="3280" t="s">
        <v>1587</v>
      </c>
      <c r="C901" s="3272" t="s">
        <v>637</v>
      </c>
      <c r="D901" s="3281">
        <v>150.63200000000001</v>
      </c>
    </row>
    <row r="902" spans="1:4">
      <c r="A902" t="s">
        <v>6111</v>
      </c>
      <c r="B902" s="3280" t="s">
        <v>1588</v>
      </c>
      <c r="C902" s="3272" t="s">
        <v>638</v>
      </c>
      <c r="D902" s="3281">
        <v>4767.0450000000001</v>
      </c>
    </row>
    <row r="903" spans="1:4">
      <c r="A903" t="s">
        <v>6806</v>
      </c>
      <c r="B903" s="3280" t="s">
        <v>1817</v>
      </c>
      <c r="C903" s="3272" t="s">
        <v>1665</v>
      </c>
      <c r="D903" s="3281">
        <v>144.821</v>
      </c>
    </row>
    <row r="904" spans="1:4">
      <c r="A904" t="s">
        <v>3736</v>
      </c>
      <c r="B904" s="3280" t="s">
        <v>275</v>
      </c>
      <c r="C904" s="3272" t="s">
        <v>660</v>
      </c>
      <c r="D904" s="3281">
        <v>971.26300000000003</v>
      </c>
    </row>
    <row r="905" spans="1:4">
      <c r="A905" t="s">
        <v>6807</v>
      </c>
      <c r="B905" s="3280" t="s">
        <v>1818</v>
      </c>
      <c r="C905" s="3272" t="s">
        <v>1666</v>
      </c>
      <c r="D905" s="3281">
        <v>577.57100000000003</v>
      </c>
    </row>
    <row r="906" spans="1:4">
      <c r="A906" t="s">
        <v>6112</v>
      </c>
      <c r="B906" s="3280" t="s">
        <v>2440</v>
      </c>
      <c r="C906" s="3272" t="s">
        <v>1906</v>
      </c>
      <c r="D906" s="3281">
        <v>488.54300000000001</v>
      </c>
    </row>
    <row r="907" spans="1:4">
      <c r="A907" t="s">
        <v>3737</v>
      </c>
      <c r="B907" s="3280" t="s">
        <v>1313</v>
      </c>
      <c r="C907" s="3272" t="s">
        <v>2027</v>
      </c>
      <c r="D907" s="3281">
        <v>13549.13</v>
      </c>
    </row>
    <row r="908" spans="1:4">
      <c r="A908" t="s">
        <v>6113</v>
      </c>
      <c r="B908" s="3280" t="s">
        <v>2428</v>
      </c>
      <c r="C908" s="3272" t="s">
        <v>1907</v>
      </c>
      <c r="D908" s="3281">
        <v>324.43400000000003</v>
      </c>
    </row>
    <row r="909" spans="1:4">
      <c r="A909" t="s">
        <v>3738</v>
      </c>
      <c r="B909" s="3280" t="s">
        <v>342</v>
      </c>
      <c r="C909" s="3272" t="s">
        <v>137</v>
      </c>
      <c r="D909" s="3281">
        <v>1100.0540000000001</v>
      </c>
    </row>
    <row r="910" spans="1:4">
      <c r="A910" t="s">
        <v>3739</v>
      </c>
      <c r="B910" s="3280" t="s">
        <v>1307</v>
      </c>
      <c r="C910" s="3272" t="s">
        <v>1731</v>
      </c>
      <c r="D910" s="3281">
        <v>1060.566</v>
      </c>
    </row>
    <row r="911" spans="1:4">
      <c r="A911" t="s">
        <v>3740</v>
      </c>
      <c r="B911" s="3280" t="s">
        <v>1253</v>
      </c>
      <c r="C911" s="3272" t="s">
        <v>2645</v>
      </c>
      <c r="D911" s="3281">
        <v>245.36</v>
      </c>
    </row>
    <row r="912" spans="1:4">
      <c r="A912" t="s">
        <v>6114</v>
      </c>
      <c r="B912" s="3280" t="s">
        <v>263</v>
      </c>
      <c r="C912" s="3272" t="s">
        <v>1908</v>
      </c>
      <c r="D912" s="3281">
        <v>73907.199999999997</v>
      </c>
    </row>
    <row r="913" spans="1:4">
      <c r="A913" t="s">
        <v>3741</v>
      </c>
      <c r="B913" s="3280" t="s">
        <v>210</v>
      </c>
      <c r="C913" s="3272" t="s">
        <v>998</v>
      </c>
      <c r="D913" s="3281">
        <v>23658.375</v>
      </c>
    </row>
    <row r="914" spans="1:4">
      <c r="A914" t="s">
        <v>6115</v>
      </c>
      <c r="B914" s="3280" t="s">
        <v>264</v>
      </c>
      <c r="C914" s="3272" t="s">
        <v>1909</v>
      </c>
      <c r="D914" s="3281">
        <v>8263.1959999999999</v>
      </c>
    </row>
    <row r="915" spans="1:4">
      <c r="A915" t="s">
        <v>6116</v>
      </c>
      <c r="B915" s="3280" t="s">
        <v>265</v>
      </c>
      <c r="C915" s="3272" t="s">
        <v>1910</v>
      </c>
      <c r="D915" s="3281">
        <v>7737.1710000000003</v>
      </c>
    </row>
    <row r="916" spans="1:4">
      <c r="A916" t="s">
        <v>3742</v>
      </c>
      <c r="B916" s="3280" t="s">
        <v>1133</v>
      </c>
      <c r="C916" s="3272" t="s">
        <v>2667</v>
      </c>
      <c r="D916" s="3281">
        <v>10188.656000000001</v>
      </c>
    </row>
    <row r="917" spans="1:4">
      <c r="A917" t="s">
        <v>6117</v>
      </c>
      <c r="B917" s="3280" t="s">
        <v>2446</v>
      </c>
      <c r="C917" s="3272" t="s">
        <v>1911</v>
      </c>
      <c r="D917" s="3281">
        <v>1398.4829999999999</v>
      </c>
    </row>
    <row r="918" spans="1:4">
      <c r="A918" t="s">
        <v>6118</v>
      </c>
      <c r="B918" s="3280" t="s">
        <v>1320</v>
      </c>
      <c r="C918" s="3272" t="s">
        <v>1912</v>
      </c>
      <c r="D918" s="3281">
        <v>9806.9989999999998</v>
      </c>
    </row>
    <row r="919" spans="1:4">
      <c r="A919" t="s">
        <v>6808</v>
      </c>
      <c r="B919" s="3280" t="s">
        <v>1321</v>
      </c>
      <c r="C919" s="3272" t="s">
        <v>1913</v>
      </c>
      <c r="D919" s="3281">
        <v>700.67399999999998</v>
      </c>
    </row>
    <row r="920" spans="1:4">
      <c r="A920" t="s">
        <v>6119</v>
      </c>
      <c r="B920" s="3280" t="s">
        <v>1322</v>
      </c>
      <c r="C920" s="3272" t="s">
        <v>1914</v>
      </c>
      <c r="D920" s="3281">
        <v>1121.098</v>
      </c>
    </row>
    <row r="921" spans="1:4">
      <c r="A921" t="s">
        <v>6809</v>
      </c>
      <c r="B921" s="3280" t="s">
        <v>1323</v>
      </c>
      <c r="C921" s="3272" t="s">
        <v>1824</v>
      </c>
      <c r="D921" s="3281">
        <v>111.845</v>
      </c>
    </row>
    <row r="922" spans="1:4">
      <c r="A922" t="s">
        <v>6810</v>
      </c>
      <c r="B922" s="3280" t="s">
        <v>1324</v>
      </c>
      <c r="C922" s="3272" t="s">
        <v>1915</v>
      </c>
      <c r="D922" s="3281">
        <v>180.97800000000001</v>
      </c>
    </row>
    <row r="923" spans="1:4">
      <c r="A923" t="s">
        <v>5567</v>
      </c>
      <c r="B923" s="3280" t="s">
        <v>1434</v>
      </c>
      <c r="C923" s="3272" t="s">
        <v>1547</v>
      </c>
      <c r="D923" s="3281">
        <v>423.596</v>
      </c>
    </row>
    <row r="924" spans="1:4">
      <c r="A924" t="s">
        <v>6120</v>
      </c>
      <c r="B924" s="3280" t="s">
        <v>1807</v>
      </c>
      <c r="C924" s="3272" t="s">
        <v>1916</v>
      </c>
      <c r="D924" s="3281">
        <v>1227.5219999999999</v>
      </c>
    </row>
    <row r="925" spans="1:4">
      <c r="A925" t="s">
        <v>3743</v>
      </c>
      <c r="B925" s="3280" t="s">
        <v>1808</v>
      </c>
      <c r="C925" s="3272" t="s">
        <v>1917</v>
      </c>
      <c r="D925" s="3281">
        <v>1192.7449999999999</v>
      </c>
    </row>
    <row r="926" spans="1:4">
      <c r="A926" t="s">
        <v>3744</v>
      </c>
      <c r="B926" s="3280" t="s">
        <v>1254</v>
      </c>
      <c r="C926" s="3272" t="s">
        <v>1938</v>
      </c>
      <c r="D926" s="3281">
        <v>359.964</v>
      </c>
    </row>
    <row r="927" spans="1:4">
      <c r="A927" t="s">
        <v>3745</v>
      </c>
      <c r="B927" s="3280" t="s">
        <v>70</v>
      </c>
      <c r="C927" s="3272" t="s">
        <v>2184</v>
      </c>
      <c r="D927" s="3281">
        <v>186.047</v>
      </c>
    </row>
    <row r="928" spans="1:4">
      <c r="A928" t="s">
        <v>6121</v>
      </c>
      <c r="B928" s="3280" t="s">
        <v>1809</v>
      </c>
      <c r="C928" s="3272" t="s">
        <v>443</v>
      </c>
      <c r="D928" s="3281">
        <v>655.41099999999994</v>
      </c>
    </row>
    <row r="929" spans="1:4">
      <c r="A929" t="s">
        <v>6122</v>
      </c>
      <c r="B929" s="3280" t="s">
        <v>1810</v>
      </c>
      <c r="C929" s="3272" t="s">
        <v>1918</v>
      </c>
      <c r="D929" s="3281">
        <v>2265.8420000000001</v>
      </c>
    </row>
    <row r="930" spans="1:4">
      <c r="A930" t="s">
        <v>3746</v>
      </c>
      <c r="B930" s="3280" t="s">
        <v>1414</v>
      </c>
      <c r="C930" s="3272" t="s">
        <v>1017</v>
      </c>
      <c r="D930" s="3281">
        <v>855.38900000000001</v>
      </c>
    </row>
    <row r="931" spans="1:4">
      <c r="A931" t="s">
        <v>6811</v>
      </c>
      <c r="B931" s="3280" t="s">
        <v>1077</v>
      </c>
      <c r="C931" s="3272" t="s">
        <v>777</v>
      </c>
      <c r="D931" s="3281">
        <v>336.54300000000001</v>
      </c>
    </row>
    <row r="932" spans="1:4">
      <c r="A932" t="s">
        <v>3747</v>
      </c>
      <c r="B932" s="3280" t="s">
        <v>1861</v>
      </c>
      <c r="C932" s="3272" t="s">
        <v>827</v>
      </c>
      <c r="D932" s="3281">
        <v>1005.115</v>
      </c>
    </row>
    <row r="933" spans="1:4">
      <c r="A933" t="s">
        <v>3748</v>
      </c>
      <c r="B933" s="3280" t="s">
        <v>1078</v>
      </c>
      <c r="C933" s="3272" t="s">
        <v>1536</v>
      </c>
      <c r="D933" s="3281">
        <v>1042.04</v>
      </c>
    </row>
    <row r="934" spans="1:4">
      <c r="A934" t="s">
        <v>6123</v>
      </c>
      <c r="B934" s="3280" t="s">
        <v>1079</v>
      </c>
      <c r="C934" s="3272" t="s">
        <v>778</v>
      </c>
      <c r="D934" s="3281">
        <v>705.33299999999997</v>
      </c>
    </row>
    <row r="935" spans="1:4">
      <c r="A935" t="s">
        <v>6812</v>
      </c>
      <c r="B935" s="3280" t="s">
        <v>1080</v>
      </c>
      <c r="C935" s="3272" t="s">
        <v>779</v>
      </c>
      <c r="D935" s="3281">
        <v>487.98099999999999</v>
      </c>
    </row>
    <row r="936" spans="1:4">
      <c r="A936" t="s">
        <v>6124</v>
      </c>
      <c r="B936" s="3280" t="s">
        <v>1081</v>
      </c>
      <c r="C936" s="3272" t="s">
        <v>780</v>
      </c>
      <c r="D936" s="3281">
        <v>286.779</v>
      </c>
    </row>
    <row r="937" spans="1:4">
      <c r="A937" t="s">
        <v>3749</v>
      </c>
      <c r="B937" s="3280" t="s">
        <v>56</v>
      </c>
      <c r="C937" s="3272" t="s">
        <v>2472</v>
      </c>
      <c r="D937" s="3281">
        <v>408.74</v>
      </c>
    </row>
    <row r="938" spans="1:4">
      <c r="A938" t="s">
        <v>3750</v>
      </c>
      <c r="B938" s="3280" t="s">
        <v>1544</v>
      </c>
      <c r="C938" s="3272" t="s">
        <v>615</v>
      </c>
      <c r="D938" s="3281">
        <v>433.072</v>
      </c>
    </row>
    <row r="939" spans="1:4">
      <c r="A939" t="s">
        <v>3751</v>
      </c>
      <c r="B939" s="3280" t="s">
        <v>1521</v>
      </c>
      <c r="C939" s="3272" t="s">
        <v>296</v>
      </c>
      <c r="D939" s="3281">
        <v>3878.096</v>
      </c>
    </row>
    <row r="940" spans="1:4">
      <c r="A940" t="s">
        <v>6813</v>
      </c>
      <c r="B940" s="3280" t="s">
        <v>1319</v>
      </c>
      <c r="C940" s="3272" t="s">
        <v>622</v>
      </c>
      <c r="D940" s="3281">
        <v>211.73</v>
      </c>
    </row>
    <row r="941" spans="1:4">
      <c r="A941" t="s">
        <v>3752</v>
      </c>
      <c r="B941" s="3280" t="s">
        <v>488</v>
      </c>
      <c r="C941" s="3272" t="s">
        <v>2146</v>
      </c>
      <c r="D941" s="3281">
        <v>9665.4189999999999</v>
      </c>
    </row>
    <row r="942" spans="1:4">
      <c r="A942" t="s">
        <v>6125</v>
      </c>
      <c r="B942" s="3280" t="s">
        <v>831</v>
      </c>
      <c r="C942" s="3272" t="s">
        <v>623</v>
      </c>
      <c r="D942" s="3281">
        <v>204.309</v>
      </c>
    </row>
    <row r="943" spans="1:4">
      <c r="A943" t="s">
        <v>3753</v>
      </c>
      <c r="B943" s="3280" t="s">
        <v>833</v>
      </c>
      <c r="C943" s="3272" t="s">
        <v>1146</v>
      </c>
      <c r="D943" s="3281">
        <v>2061.0479999999998</v>
      </c>
    </row>
    <row r="944" spans="1:4">
      <c r="A944" t="s">
        <v>6126</v>
      </c>
      <c r="B944" s="3280" t="s">
        <v>834</v>
      </c>
      <c r="C944" s="3272" t="s">
        <v>888</v>
      </c>
      <c r="D944" s="3281">
        <v>924.774</v>
      </c>
    </row>
    <row r="945" spans="1:4">
      <c r="A945" t="s">
        <v>3754</v>
      </c>
      <c r="B945" s="3280" t="s">
        <v>1533</v>
      </c>
      <c r="C945" s="3272" t="s">
        <v>864</v>
      </c>
      <c r="D945" s="3281">
        <v>1009.513</v>
      </c>
    </row>
    <row r="946" spans="1:4">
      <c r="A946" t="s">
        <v>3755</v>
      </c>
      <c r="B946" s="3280" t="s">
        <v>1836</v>
      </c>
      <c r="C946" s="3272" t="s">
        <v>2065</v>
      </c>
      <c r="D946" s="3281">
        <v>487.49</v>
      </c>
    </row>
    <row r="947" spans="1:4">
      <c r="A947" t="s">
        <v>3756</v>
      </c>
      <c r="B947" s="3280" t="s">
        <v>835</v>
      </c>
      <c r="C947" s="3272" t="s">
        <v>1147</v>
      </c>
      <c r="D947" s="3281">
        <v>2266.473</v>
      </c>
    </row>
    <row r="948" spans="1:4">
      <c r="A948" t="s">
        <v>6127</v>
      </c>
      <c r="B948" s="3280" t="s">
        <v>836</v>
      </c>
      <c r="C948" s="3272" t="s">
        <v>2081</v>
      </c>
      <c r="D948" s="3281">
        <v>2221.2379999999998</v>
      </c>
    </row>
    <row r="949" spans="1:4">
      <c r="A949" t="s">
        <v>3757</v>
      </c>
      <c r="B949" s="3280" t="s">
        <v>1426</v>
      </c>
      <c r="C949" s="3272" t="s">
        <v>1478</v>
      </c>
      <c r="D949" s="3281">
        <v>405.31400000000002</v>
      </c>
    </row>
    <row r="950" spans="1:4">
      <c r="A950" t="s">
        <v>3758</v>
      </c>
      <c r="B950" s="3280" t="s">
        <v>877</v>
      </c>
      <c r="C950" s="3272" t="s">
        <v>1344</v>
      </c>
      <c r="D950" s="3281">
        <v>794.17600000000004</v>
      </c>
    </row>
    <row r="951" spans="1:4">
      <c r="A951" t="s">
        <v>3759</v>
      </c>
      <c r="B951" s="3280" t="s">
        <v>340</v>
      </c>
      <c r="C951" s="3272" t="s">
        <v>134</v>
      </c>
      <c r="D951" s="3281">
        <v>13226.224</v>
      </c>
    </row>
    <row r="952" spans="1:4">
      <c r="A952" t="s">
        <v>6128</v>
      </c>
      <c r="B952" s="3280" t="s">
        <v>2597</v>
      </c>
      <c r="C952" s="3272" t="s">
        <v>2082</v>
      </c>
      <c r="D952" s="3281">
        <v>100.664</v>
      </c>
    </row>
    <row r="953" spans="1:4">
      <c r="A953" t="s">
        <v>3760</v>
      </c>
      <c r="B953" s="3280" t="s">
        <v>1022</v>
      </c>
      <c r="C953" s="3272" t="s">
        <v>1144</v>
      </c>
      <c r="D953" s="3281">
        <v>974.72199999999998</v>
      </c>
    </row>
    <row r="954" spans="1:4">
      <c r="A954" t="s">
        <v>3761</v>
      </c>
      <c r="B954" s="3280" t="s">
        <v>1156</v>
      </c>
      <c r="C954" s="3272" t="s">
        <v>93</v>
      </c>
      <c r="D954" s="3281">
        <v>7292.5309999999999</v>
      </c>
    </row>
    <row r="955" spans="1:4">
      <c r="A955" t="s">
        <v>3762</v>
      </c>
      <c r="B955" s="3280" t="s">
        <v>276</v>
      </c>
      <c r="C955" s="3272" t="s">
        <v>2371</v>
      </c>
      <c r="D955" s="3281">
        <v>1407.8030000000001</v>
      </c>
    </row>
    <row r="956" spans="1:4">
      <c r="A956" t="s">
        <v>3763</v>
      </c>
      <c r="B956" s="3280" t="s">
        <v>277</v>
      </c>
      <c r="C956" s="3272" t="s">
        <v>138</v>
      </c>
      <c r="D956" s="3281">
        <v>6704.2219999999998</v>
      </c>
    </row>
    <row r="957" spans="1:4">
      <c r="A957" t="s">
        <v>3764</v>
      </c>
      <c r="B957" s="3280" t="s">
        <v>624</v>
      </c>
      <c r="C957" s="3272" t="s">
        <v>94</v>
      </c>
      <c r="D957" s="3281">
        <v>2197.2199999999998</v>
      </c>
    </row>
    <row r="958" spans="1:4">
      <c r="A958" t="s">
        <v>6129</v>
      </c>
      <c r="B958" s="3280" t="s">
        <v>625</v>
      </c>
      <c r="C958" s="3272" t="s">
        <v>887</v>
      </c>
      <c r="D958" s="3281">
        <v>2164.9140000000002</v>
      </c>
    </row>
    <row r="959" spans="1:4">
      <c r="A959" t="s">
        <v>6814</v>
      </c>
      <c r="B959" s="3280" t="s">
        <v>626</v>
      </c>
      <c r="C959" s="3272" t="s">
        <v>1216</v>
      </c>
      <c r="D959" s="3281">
        <v>146.024</v>
      </c>
    </row>
    <row r="960" spans="1:4">
      <c r="A960" t="s">
        <v>6130</v>
      </c>
      <c r="B960" s="3280" t="s">
        <v>2339</v>
      </c>
      <c r="C960" s="3272" t="s">
        <v>1217</v>
      </c>
      <c r="D960" s="3281">
        <v>4613.2650000000003</v>
      </c>
    </row>
    <row r="961" spans="1:4">
      <c r="A961" t="s">
        <v>6131</v>
      </c>
      <c r="B961" s="3280" t="s">
        <v>2340</v>
      </c>
      <c r="C961" s="3272" t="s">
        <v>1218</v>
      </c>
      <c r="D961" s="3281">
        <v>425.84100000000001</v>
      </c>
    </row>
    <row r="962" spans="1:4">
      <c r="A962" t="s">
        <v>3765</v>
      </c>
      <c r="B962" s="3280" t="s">
        <v>1768</v>
      </c>
      <c r="C962" s="3272" t="s">
        <v>2345</v>
      </c>
      <c r="D962" s="3281">
        <v>21756.86</v>
      </c>
    </row>
    <row r="963" spans="1:4">
      <c r="A963" t="s">
        <v>3766</v>
      </c>
      <c r="B963" s="3280" t="s">
        <v>1520</v>
      </c>
      <c r="C963" s="3272" t="s">
        <v>2362</v>
      </c>
      <c r="D963" s="3281">
        <v>40321.082000000002</v>
      </c>
    </row>
    <row r="964" spans="1:4">
      <c r="A964" t="s">
        <v>6132</v>
      </c>
      <c r="B964" s="3280" t="s">
        <v>927</v>
      </c>
      <c r="C964" s="3272" t="s">
        <v>2337</v>
      </c>
      <c r="D964" s="3281">
        <v>252.53800000000001</v>
      </c>
    </row>
    <row r="965" spans="1:4">
      <c r="A965" t="s">
        <v>6815</v>
      </c>
      <c r="B965" s="3280" t="s">
        <v>928</v>
      </c>
      <c r="C965" s="3272" t="s">
        <v>1220</v>
      </c>
      <c r="D965" s="3281">
        <v>1076.694</v>
      </c>
    </row>
    <row r="966" spans="1:4">
      <c r="A966" t="s">
        <v>6133</v>
      </c>
      <c r="B966" s="3280" t="s">
        <v>929</v>
      </c>
      <c r="C966" s="3272" t="s">
        <v>1221</v>
      </c>
      <c r="D966" s="3281">
        <v>905.27599999999995</v>
      </c>
    </row>
    <row r="967" spans="1:4">
      <c r="A967" t="s">
        <v>6134</v>
      </c>
      <c r="B967" s="3280" t="s">
        <v>571</v>
      </c>
      <c r="C967" s="3272" t="s">
        <v>1222</v>
      </c>
      <c r="D967" s="3281">
        <v>3356.1979999999999</v>
      </c>
    </row>
    <row r="968" spans="1:4">
      <c r="A968" t="s">
        <v>6135</v>
      </c>
      <c r="B968" s="3280" t="s">
        <v>902</v>
      </c>
      <c r="C968" s="3272" t="s">
        <v>1223</v>
      </c>
      <c r="D968" s="3281">
        <v>2023.588</v>
      </c>
    </row>
    <row r="969" spans="1:4">
      <c r="A969" t="s">
        <v>6136</v>
      </c>
      <c r="B969" s="3280" t="s">
        <v>903</v>
      </c>
      <c r="C969" s="3272" t="s">
        <v>1224</v>
      </c>
      <c r="D969" s="3281">
        <v>472.65300000000002</v>
      </c>
    </row>
    <row r="970" spans="1:4">
      <c r="A970" t="s">
        <v>6816</v>
      </c>
      <c r="B970" s="3280" t="s">
        <v>904</v>
      </c>
      <c r="C970" s="3272" t="s">
        <v>1225</v>
      </c>
      <c r="D970" s="3281">
        <v>378.20600000000002</v>
      </c>
    </row>
    <row r="971" spans="1:4">
      <c r="A971" t="s">
        <v>6137</v>
      </c>
      <c r="B971" s="3280" t="s">
        <v>905</v>
      </c>
      <c r="C971" s="3272" t="s">
        <v>1226</v>
      </c>
      <c r="D971" s="3281">
        <v>425.858</v>
      </c>
    </row>
    <row r="972" spans="1:4">
      <c r="A972" t="s">
        <v>6817</v>
      </c>
      <c r="B972" s="3280" t="s">
        <v>1724</v>
      </c>
      <c r="C972" s="3272" t="s">
        <v>1227</v>
      </c>
      <c r="D972" s="3281">
        <v>70.796000000000006</v>
      </c>
    </row>
    <row r="973" spans="1:4">
      <c r="A973" t="s">
        <v>6138</v>
      </c>
      <c r="B973" s="3280" t="s">
        <v>2319</v>
      </c>
      <c r="C973" s="3272" t="s">
        <v>1228</v>
      </c>
      <c r="D973" s="3281">
        <v>122.38200000000001</v>
      </c>
    </row>
    <row r="974" spans="1:4">
      <c r="A974" t="s">
        <v>3767</v>
      </c>
      <c r="B974" s="3280" t="s">
        <v>884</v>
      </c>
      <c r="C974" s="3272" t="s">
        <v>1448</v>
      </c>
      <c r="D974" s="3281">
        <v>2910.6970000000001</v>
      </c>
    </row>
    <row r="975" spans="1:4">
      <c r="A975" t="s">
        <v>6139</v>
      </c>
      <c r="B975" s="3280" t="s">
        <v>1255</v>
      </c>
      <c r="C975" s="3272" t="s">
        <v>1607</v>
      </c>
      <c r="D975" s="3281">
        <v>377.15199999999999</v>
      </c>
    </row>
    <row r="976" spans="1:4">
      <c r="A976" t="s">
        <v>6140</v>
      </c>
      <c r="B976" s="3280" t="s">
        <v>642</v>
      </c>
      <c r="C976" s="3272" t="s">
        <v>2338</v>
      </c>
      <c r="D976" s="3281">
        <v>1693.184</v>
      </c>
    </row>
    <row r="977" spans="1:4">
      <c r="A977" t="s">
        <v>3768</v>
      </c>
      <c r="B977" s="3280" t="s">
        <v>1827</v>
      </c>
      <c r="C977" s="3272" t="s">
        <v>1609</v>
      </c>
      <c r="D977" s="3281">
        <v>12986.556</v>
      </c>
    </row>
    <row r="978" spans="1:4">
      <c r="A978" t="s">
        <v>3769</v>
      </c>
      <c r="B978" s="3280" t="s">
        <v>573</v>
      </c>
      <c r="C978" s="3272" t="s">
        <v>1162</v>
      </c>
      <c r="D978" s="3281">
        <v>995.86400000000003</v>
      </c>
    </row>
    <row r="979" spans="1:4">
      <c r="A979" t="s">
        <v>6818</v>
      </c>
      <c r="B979" s="3280" t="s">
        <v>1358</v>
      </c>
      <c r="C979" s="3272" t="s">
        <v>1610</v>
      </c>
      <c r="D979" s="3281">
        <v>109.916</v>
      </c>
    </row>
    <row r="980" spans="1:4">
      <c r="A980" t="s">
        <v>6141</v>
      </c>
      <c r="B980" s="3280" t="s">
        <v>9</v>
      </c>
      <c r="C980" s="3272" t="s">
        <v>1611</v>
      </c>
      <c r="D980" s="3281">
        <v>1853.415</v>
      </c>
    </row>
    <row r="981" spans="1:4">
      <c r="A981" t="s">
        <v>3770</v>
      </c>
      <c r="B981" s="3280" t="s">
        <v>10</v>
      </c>
      <c r="C981" s="3272" t="s">
        <v>2289</v>
      </c>
      <c r="D981" s="3281">
        <v>205.755</v>
      </c>
    </row>
    <row r="982" spans="1:4">
      <c r="A982" t="s">
        <v>3771</v>
      </c>
      <c r="B982" s="3280" t="s">
        <v>1503</v>
      </c>
      <c r="C982" s="3272" t="s">
        <v>2346</v>
      </c>
      <c r="D982" s="3281">
        <v>375.75200000000001</v>
      </c>
    </row>
    <row r="983" spans="1:4">
      <c r="A983" t="s">
        <v>3772</v>
      </c>
      <c r="B983" s="3280" t="s">
        <v>2089</v>
      </c>
      <c r="C983" s="3272" t="s">
        <v>840</v>
      </c>
      <c r="D983" s="3281">
        <v>1428.653</v>
      </c>
    </row>
    <row r="984" spans="1:4">
      <c r="A984" t="s">
        <v>3773</v>
      </c>
      <c r="B984" s="3280" t="s">
        <v>425</v>
      </c>
      <c r="C984" s="3272" t="s">
        <v>78</v>
      </c>
      <c r="D984" s="3281">
        <v>1849.748</v>
      </c>
    </row>
    <row r="985" spans="1:4">
      <c r="A985" t="s">
        <v>3774</v>
      </c>
      <c r="B985" s="3280" t="s">
        <v>278</v>
      </c>
      <c r="C985" s="3272" t="s">
        <v>534</v>
      </c>
      <c r="D985" s="3281">
        <v>243.054</v>
      </c>
    </row>
    <row r="986" spans="1:4">
      <c r="A986" t="s">
        <v>3775</v>
      </c>
      <c r="B986" s="3280" t="s">
        <v>1338</v>
      </c>
      <c r="C986" s="3272" t="s">
        <v>109</v>
      </c>
      <c r="D986" s="3281">
        <v>971.22199999999998</v>
      </c>
    </row>
    <row r="987" spans="1:4">
      <c r="A987" t="s">
        <v>3776</v>
      </c>
      <c r="B987" s="3280" t="s">
        <v>2580</v>
      </c>
      <c r="C987" s="3272" t="s">
        <v>2321</v>
      </c>
      <c r="D987" s="3281">
        <v>10797.552</v>
      </c>
    </row>
    <row r="988" spans="1:4">
      <c r="A988" t="s">
        <v>3777</v>
      </c>
      <c r="B988" s="3280" t="s">
        <v>1799</v>
      </c>
      <c r="C988" s="3272" t="s">
        <v>1018</v>
      </c>
      <c r="D988" s="3281">
        <v>417.96800000000002</v>
      </c>
    </row>
    <row r="989" spans="1:4">
      <c r="A989" t="s">
        <v>3778</v>
      </c>
      <c r="B989" s="3280" t="s">
        <v>40</v>
      </c>
      <c r="C989" s="3272" t="s">
        <v>1268</v>
      </c>
      <c r="D989" s="3281">
        <v>6788.98</v>
      </c>
    </row>
    <row r="990" spans="1:4">
      <c r="A990" t="s">
        <v>6142</v>
      </c>
      <c r="B990" s="3280" t="s">
        <v>11</v>
      </c>
      <c r="C990" s="3272" t="s">
        <v>1612</v>
      </c>
      <c r="D990" s="3281">
        <v>1603.7750000000001</v>
      </c>
    </row>
    <row r="991" spans="1:4">
      <c r="A991" t="s">
        <v>3779</v>
      </c>
      <c r="B991" s="3280" t="s">
        <v>1771</v>
      </c>
      <c r="C991" s="3272" t="s">
        <v>2467</v>
      </c>
      <c r="D991" s="3281">
        <v>3855.4839999999999</v>
      </c>
    </row>
    <row r="992" spans="1:4">
      <c r="A992" t="s">
        <v>5691</v>
      </c>
      <c r="B992" s="3280" t="s">
        <v>1310</v>
      </c>
      <c r="C992" s="3272" t="s">
        <v>611</v>
      </c>
      <c r="D992" s="3281">
        <v>46427.582000000002</v>
      </c>
    </row>
    <row r="993" spans="1:4">
      <c r="A993" t="s">
        <v>3780</v>
      </c>
      <c r="B993" s="3280" t="s">
        <v>1545</v>
      </c>
      <c r="C993" s="3272" t="s">
        <v>602</v>
      </c>
      <c r="D993" s="3281">
        <v>2951.0859999999998</v>
      </c>
    </row>
    <row r="994" spans="1:4">
      <c r="A994" t="s">
        <v>3781</v>
      </c>
      <c r="B994" s="3280" t="s">
        <v>1515</v>
      </c>
      <c r="C994" s="3272" t="s">
        <v>604</v>
      </c>
      <c r="D994" s="3281">
        <v>650.62599999999998</v>
      </c>
    </row>
    <row r="995" spans="1:4">
      <c r="A995" t="s">
        <v>3782</v>
      </c>
      <c r="B995" s="3280" t="s">
        <v>1769</v>
      </c>
      <c r="C995" s="3272" t="s">
        <v>2465</v>
      </c>
      <c r="D995" s="3281">
        <v>37219.879000000001</v>
      </c>
    </row>
    <row r="996" spans="1:4">
      <c r="A996" t="s">
        <v>6819</v>
      </c>
      <c r="B996" s="3280" t="s">
        <v>12</v>
      </c>
      <c r="C996" s="3272" t="s">
        <v>1613</v>
      </c>
      <c r="D996" s="3281">
        <v>159.40799999999999</v>
      </c>
    </row>
    <row r="997" spans="1:4">
      <c r="A997" t="s">
        <v>3783</v>
      </c>
      <c r="B997" s="3280" t="s">
        <v>2455</v>
      </c>
      <c r="C997" s="3272" t="s">
        <v>110</v>
      </c>
      <c r="D997" s="3281">
        <v>3722.5970000000002</v>
      </c>
    </row>
    <row r="998" spans="1:4">
      <c r="A998" t="s">
        <v>3784</v>
      </c>
      <c r="B998" s="3280" t="s">
        <v>59</v>
      </c>
      <c r="C998" s="3272" t="s">
        <v>1900</v>
      </c>
      <c r="D998" s="3281">
        <v>3138.174</v>
      </c>
    </row>
    <row r="999" spans="1:4">
      <c r="A999" t="s">
        <v>3785</v>
      </c>
      <c r="B999" s="3280" t="s">
        <v>2456</v>
      </c>
      <c r="C999" s="3272" t="s">
        <v>1005</v>
      </c>
      <c r="D999" s="3281">
        <v>796.94399999999996</v>
      </c>
    </row>
    <row r="1000" spans="1:4">
      <c r="A1000" t="s">
        <v>3786</v>
      </c>
      <c r="B1000" s="3280" t="s">
        <v>1512</v>
      </c>
      <c r="C1000" s="3272" t="s">
        <v>1941</v>
      </c>
      <c r="D1000" s="3281">
        <v>772.76499999999999</v>
      </c>
    </row>
    <row r="1001" spans="1:4">
      <c r="A1001" t="s">
        <v>6143</v>
      </c>
      <c r="B1001" s="3280" t="s">
        <v>1174</v>
      </c>
      <c r="C1001" s="3272" t="s">
        <v>1614</v>
      </c>
      <c r="D1001" s="3281">
        <v>1275.865</v>
      </c>
    </row>
    <row r="1002" spans="1:4">
      <c r="A1002" t="s">
        <v>6144</v>
      </c>
      <c r="B1002" s="3280" t="s">
        <v>1175</v>
      </c>
      <c r="C1002" s="3272" t="s">
        <v>1615</v>
      </c>
      <c r="D1002" s="3281">
        <v>401.42099999999999</v>
      </c>
    </row>
    <row r="1003" spans="1:4">
      <c r="A1003" t="s">
        <v>3787</v>
      </c>
      <c r="B1003" s="3280" t="s">
        <v>196</v>
      </c>
      <c r="C1003" s="3272" t="s">
        <v>1053</v>
      </c>
      <c r="D1003" s="3281">
        <v>668.36</v>
      </c>
    </row>
    <row r="1004" spans="1:4">
      <c r="A1004" t="s">
        <v>6145</v>
      </c>
      <c r="B1004" s="3280" t="s">
        <v>800</v>
      </c>
      <c r="C1004" s="3272" t="s">
        <v>1616</v>
      </c>
      <c r="D1004" s="3281">
        <v>1233.306</v>
      </c>
    </row>
    <row r="1005" spans="1:4">
      <c r="A1005" t="s">
        <v>6146</v>
      </c>
      <c r="B1005" s="3280" t="s">
        <v>2176</v>
      </c>
      <c r="C1005" s="3272" t="s">
        <v>1617</v>
      </c>
      <c r="D1005" s="3281">
        <v>1937.4639999999999</v>
      </c>
    </row>
    <row r="1006" spans="1:4">
      <c r="A1006" t="s">
        <v>6147</v>
      </c>
      <c r="B1006" s="3280" t="s">
        <v>2424</v>
      </c>
      <c r="C1006" s="3272" t="s">
        <v>1618</v>
      </c>
      <c r="D1006" s="3281">
        <v>553.54100000000005</v>
      </c>
    </row>
    <row r="1007" spans="1:4">
      <c r="A1007" t="s">
        <v>6148</v>
      </c>
      <c r="B1007" s="3280" t="s">
        <v>2425</v>
      </c>
      <c r="C1007" s="3272" t="s">
        <v>1619</v>
      </c>
      <c r="D1007" s="3281">
        <v>3189.306</v>
      </c>
    </row>
    <row r="1008" spans="1:4">
      <c r="A1008" t="s">
        <v>3788</v>
      </c>
      <c r="B1008" s="3280" t="s">
        <v>2022</v>
      </c>
      <c r="C1008" s="3272" t="s">
        <v>1365</v>
      </c>
      <c r="D1008" s="3281">
        <v>1102.819</v>
      </c>
    </row>
    <row r="1009" spans="1:4">
      <c r="A1009" t="s">
        <v>3789</v>
      </c>
      <c r="B1009" s="3280" t="s">
        <v>1150</v>
      </c>
      <c r="C1009" s="3272" t="s">
        <v>1927</v>
      </c>
      <c r="D1009" s="3281">
        <v>223.57400000000001</v>
      </c>
    </row>
    <row r="1010" spans="1:4">
      <c r="A1010" t="s">
        <v>6149</v>
      </c>
      <c r="B1010" s="3280" t="s">
        <v>2229</v>
      </c>
      <c r="C1010" s="3272" t="s">
        <v>1620</v>
      </c>
      <c r="D1010" s="3281">
        <v>656.55799999999999</v>
      </c>
    </row>
    <row r="1011" spans="1:4">
      <c r="A1011" t="s">
        <v>6820</v>
      </c>
      <c r="B1011" s="3280" t="s">
        <v>2230</v>
      </c>
      <c r="C1011" s="3272" t="s">
        <v>1621</v>
      </c>
      <c r="D1011" s="3281">
        <v>1511.6020000000001</v>
      </c>
    </row>
    <row r="1012" spans="1:4">
      <c r="A1012" t="s">
        <v>6150</v>
      </c>
      <c r="B1012" s="3280" t="s">
        <v>2575</v>
      </c>
      <c r="C1012" s="3272" t="s">
        <v>24</v>
      </c>
      <c r="D1012" s="3281">
        <v>1039.153</v>
      </c>
    </row>
    <row r="1013" spans="1:4">
      <c r="A1013" t="s">
        <v>6151</v>
      </c>
      <c r="B1013" s="3280" t="s">
        <v>2576</v>
      </c>
      <c r="C1013" s="3272" t="s">
        <v>1370</v>
      </c>
      <c r="D1013" s="3281">
        <v>368.05200000000002</v>
      </c>
    </row>
    <row r="1014" spans="1:4">
      <c r="A1014" t="s">
        <v>6152</v>
      </c>
      <c r="B1014" s="3280" t="s">
        <v>635</v>
      </c>
      <c r="C1014" s="3272" t="s">
        <v>1371</v>
      </c>
      <c r="D1014" s="3281">
        <v>808.99300000000005</v>
      </c>
    </row>
    <row r="1015" spans="1:4">
      <c r="A1015" t="s">
        <v>6821</v>
      </c>
      <c r="B1015" s="3280" t="s">
        <v>679</v>
      </c>
      <c r="C1015" s="3272" t="s">
        <v>1372</v>
      </c>
      <c r="D1015" s="3281">
        <v>1436.164</v>
      </c>
    </row>
    <row r="1016" spans="1:4">
      <c r="A1016" t="s">
        <v>6153</v>
      </c>
      <c r="B1016" s="3280" t="s">
        <v>680</v>
      </c>
      <c r="C1016" s="3272" t="s">
        <v>1373</v>
      </c>
      <c r="D1016" s="3281">
        <v>1582.635</v>
      </c>
    </row>
    <row r="1017" spans="1:4">
      <c r="A1017" t="s">
        <v>6154</v>
      </c>
      <c r="B1017" s="3280" t="s">
        <v>1471</v>
      </c>
      <c r="C1017" s="3272" t="s">
        <v>1374</v>
      </c>
      <c r="D1017" s="3281">
        <v>412.95600000000002</v>
      </c>
    </row>
    <row r="1018" spans="1:4">
      <c r="A1018" t="s">
        <v>3790</v>
      </c>
      <c r="B1018" s="3280" t="s">
        <v>907</v>
      </c>
      <c r="C1018" s="3272" t="s">
        <v>862</v>
      </c>
      <c r="D1018" s="3281">
        <v>2233.027</v>
      </c>
    </row>
    <row r="1019" spans="1:4">
      <c r="A1019" t="s">
        <v>6155</v>
      </c>
      <c r="B1019" s="3280" t="s">
        <v>1472</v>
      </c>
      <c r="C1019" s="3272" t="s">
        <v>1375</v>
      </c>
      <c r="D1019" s="3281">
        <v>213.458</v>
      </c>
    </row>
    <row r="1020" spans="1:4">
      <c r="A1020" t="s">
        <v>3791</v>
      </c>
      <c r="B1020" s="3280" t="s">
        <v>1504</v>
      </c>
      <c r="C1020" s="3272" t="s">
        <v>825</v>
      </c>
      <c r="D1020" s="3281">
        <v>615.89599999999996</v>
      </c>
    </row>
    <row r="1021" spans="1:4">
      <c r="A1021" t="s">
        <v>6822</v>
      </c>
      <c r="B1021" s="3280" t="s">
        <v>514</v>
      </c>
      <c r="C1021" s="3272" t="s">
        <v>1376</v>
      </c>
      <c r="D1021" s="3281">
        <v>3077.732</v>
      </c>
    </row>
    <row r="1022" spans="1:4">
      <c r="A1022" t="s">
        <v>3792</v>
      </c>
      <c r="B1022" s="3280" t="s">
        <v>2406</v>
      </c>
      <c r="C1022" s="3272" t="s">
        <v>420</v>
      </c>
      <c r="D1022" s="3281">
        <v>1773.3910000000001</v>
      </c>
    </row>
    <row r="1023" spans="1:4">
      <c r="A1023" t="s">
        <v>3793</v>
      </c>
      <c r="B1023" s="3280" t="s">
        <v>1688</v>
      </c>
      <c r="C1023" s="3272" t="s">
        <v>1898</v>
      </c>
      <c r="D1023" s="3281">
        <v>422.23899999999998</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9"/>
  <sheetViews>
    <sheetView topLeftCell="A272" workbookViewId="0">
      <selection activeCell="E8" sqref="E8"/>
    </sheetView>
  </sheetViews>
  <sheetFormatPr defaultRowHeight="12.75"/>
  <cols>
    <col min="1" max="2" width="9" style="3271" customWidth="1"/>
    <col min="3" max="3" width="33.28515625" customWidth="1"/>
    <col min="4" max="4" width="12.140625" style="52" customWidth="1"/>
  </cols>
  <sheetData>
    <row r="1" spans="1:4" ht="15">
      <c r="A1" s="3269">
        <v>14901</v>
      </c>
      <c r="B1" s="641" t="str">
        <f>CONCATENATE(LEFT(RIGHT(CONCATENATE("000",A1),6),3),"-",(RIGHT(RIGHT(CONCATENATE("000",A1),6),3)))</f>
        <v>014-901</v>
      </c>
      <c r="C1" t="s">
        <v>1209</v>
      </c>
      <c r="D1" s="52" t="s">
        <v>700</v>
      </c>
    </row>
    <row r="2" spans="1:4" ht="15">
      <c r="A2" s="3270">
        <v>184907</v>
      </c>
      <c r="B2" s="641" t="str">
        <f>CONCATENATE(LEFT(RIGHT(CONCATENATE("000",A2),6),3),"-",(RIGHT(RIGHT(CONCATENATE("000",A2),6),3)))</f>
        <v>184-907</v>
      </c>
      <c r="C2" t="s">
        <v>434</v>
      </c>
      <c r="D2" s="52" t="s">
        <v>700</v>
      </c>
    </row>
    <row r="3" spans="1:4" ht="15">
      <c r="A3" s="3269">
        <v>37901</v>
      </c>
      <c r="B3" s="641" t="str">
        <f t="shared" ref="B3:B66" si="0">CONCATENATE(LEFT(RIGHT(CONCATENATE("000",A3),6),3),"-",(RIGHT(RIGHT(CONCATENATE("000",A3),6),3)))</f>
        <v>037-901</v>
      </c>
      <c r="C3" t="s">
        <v>1499</v>
      </c>
      <c r="D3" s="52" t="s">
        <v>700</v>
      </c>
    </row>
    <row r="4" spans="1:4" ht="15">
      <c r="A4" s="3269">
        <v>20901</v>
      </c>
      <c r="B4" s="641" t="str">
        <f t="shared" si="0"/>
        <v>020-901</v>
      </c>
      <c r="C4" t="s">
        <v>1052</v>
      </c>
      <c r="D4" s="52" t="s">
        <v>700</v>
      </c>
    </row>
    <row r="5" spans="1:4" ht="15">
      <c r="A5" s="3269">
        <v>2901</v>
      </c>
      <c r="B5" s="641" t="str">
        <f t="shared" si="0"/>
        <v>002-901</v>
      </c>
      <c r="C5" t="s">
        <v>1190</v>
      </c>
      <c r="D5" s="52" t="s">
        <v>700</v>
      </c>
    </row>
    <row r="6" spans="1:4" ht="15">
      <c r="A6" s="3269">
        <v>43902</v>
      </c>
      <c r="B6" s="641" t="str">
        <f t="shared" si="0"/>
        <v>043-902</v>
      </c>
      <c r="C6" t="s">
        <v>1056</v>
      </c>
      <c r="D6" s="52" t="s">
        <v>700</v>
      </c>
    </row>
    <row r="7" spans="1:4" ht="15">
      <c r="A7" s="3270">
        <v>228905</v>
      </c>
      <c r="B7" s="641" t="str">
        <f t="shared" si="0"/>
        <v>228-905</v>
      </c>
      <c r="C7" t="s">
        <v>1915</v>
      </c>
      <c r="D7" s="52" t="s">
        <v>700</v>
      </c>
    </row>
    <row r="8" spans="1:4" ht="15">
      <c r="A8" s="3270">
        <v>109912</v>
      </c>
      <c r="B8" s="641" t="str">
        <f t="shared" si="0"/>
        <v>109-912</v>
      </c>
      <c r="C8" t="s">
        <v>2419</v>
      </c>
      <c r="D8" s="52" t="s">
        <v>700</v>
      </c>
    </row>
    <row r="9" spans="1:4" ht="15">
      <c r="A9" s="3269">
        <v>5901</v>
      </c>
      <c r="B9" s="641" t="str">
        <f t="shared" si="0"/>
        <v>005-901</v>
      </c>
      <c r="C9" t="s">
        <v>1196</v>
      </c>
      <c r="D9" s="52" t="s">
        <v>700</v>
      </c>
    </row>
    <row r="10" spans="1:4" ht="15">
      <c r="A10" s="3269">
        <v>61910</v>
      </c>
      <c r="B10" s="641" t="str">
        <f t="shared" si="0"/>
        <v>061-910</v>
      </c>
      <c r="C10" t="s">
        <v>2619</v>
      </c>
      <c r="D10" s="52" t="s">
        <v>700</v>
      </c>
    </row>
    <row r="11" spans="1:4" ht="15">
      <c r="A11" s="3269">
        <v>34902</v>
      </c>
      <c r="B11" s="641" t="str">
        <f t="shared" si="0"/>
        <v>034-902</v>
      </c>
      <c r="C11" t="s">
        <v>2172</v>
      </c>
      <c r="D11" s="52" t="s">
        <v>700</v>
      </c>
    </row>
    <row r="12" spans="1:4" ht="15">
      <c r="A12" s="3270">
        <v>161918</v>
      </c>
      <c r="B12" s="641" t="str">
        <f t="shared" si="0"/>
        <v>161-918</v>
      </c>
      <c r="C12" t="s">
        <v>1751</v>
      </c>
      <c r="D12" s="52" t="s">
        <v>700</v>
      </c>
    </row>
    <row r="13" spans="1:4" ht="15">
      <c r="A13" s="3270">
        <v>220915</v>
      </c>
      <c r="B13" s="641" t="str">
        <f t="shared" si="0"/>
        <v>220-915</v>
      </c>
      <c r="C13" t="s">
        <v>2119</v>
      </c>
      <c r="D13" s="52" t="s">
        <v>700</v>
      </c>
    </row>
    <row r="14" spans="1:4" ht="15">
      <c r="A14" s="3270">
        <v>195902</v>
      </c>
      <c r="B14" s="641" t="str">
        <f t="shared" si="0"/>
        <v>195-902</v>
      </c>
      <c r="C14" t="s">
        <v>2120</v>
      </c>
      <c r="D14" s="52" t="s">
        <v>700</v>
      </c>
    </row>
    <row r="15" spans="1:4" ht="15">
      <c r="A15" s="3269">
        <v>36902</v>
      </c>
      <c r="B15" s="641" t="str">
        <f t="shared" si="0"/>
        <v>036-902</v>
      </c>
      <c r="C15" t="s">
        <v>1711</v>
      </c>
      <c r="D15" s="52" t="s">
        <v>700</v>
      </c>
    </row>
    <row r="16" spans="1:4" ht="15">
      <c r="A16" s="3269">
        <v>11901</v>
      </c>
      <c r="B16" s="641" t="str">
        <f t="shared" si="0"/>
        <v>011-901</v>
      </c>
      <c r="C16" t="s">
        <v>2123</v>
      </c>
      <c r="D16" s="52" t="s">
        <v>700</v>
      </c>
    </row>
    <row r="17" spans="1:4" ht="15">
      <c r="A17" s="3270">
        <v>183901</v>
      </c>
      <c r="B17" s="641" t="str">
        <f t="shared" si="0"/>
        <v>183-901</v>
      </c>
      <c r="C17" t="s">
        <v>432</v>
      </c>
      <c r="D17" s="52" t="s">
        <v>700</v>
      </c>
    </row>
    <row r="18" spans="1:4" ht="15">
      <c r="A18" s="3269">
        <v>91901</v>
      </c>
      <c r="B18" s="641" t="str">
        <f t="shared" si="0"/>
        <v>091-901</v>
      </c>
      <c r="C18" t="s">
        <v>1560</v>
      </c>
      <c r="D18" s="52" t="s">
        <v>700</v>
      </c>
    </row>
    <row r="19" spans="1:4" ht="15">
      <c r="A19" s="3269">
        <v>14903</v>
      </c>
      <c r="B19" s="641" t="str">
        <f t="shared" si="0"/>
        <v>014-903</v>
      </c>
      <c r="C19" t="s">
        <v>2680</v>
      </c>
      <c r="D19" s="52" t="s">
        <v>700</v>
      </c>
    </row>
    <row r="20" spans="1:4" ht="15">
      <c r="A20" s="3270">
        <v>138904</v>
      </c>
      <c r="B20" s="641" t="str">
        <f t="shared" si="0"/>
        <v>138-904</v>
      </c>
      <c r="C20" t="s">
        <v>2054</v>
      </c>
      <c r="D20" s="52" t="s">
        <v>700</v>
      </c>
    </row>
    <row r="21" spans="1:4" ht="15">
      <c r="A21" s="3270">
        <v>114901</v>
      </c>
      <c r="B21" s="641" t="str">
        <f t="shared" si="0"/>
        <v>114-901</v>
      </c>
      <c r="C21" t="s">
        <v>1572</v>
      </c>
      <c r="D21" s="52" t="s">
        <v>700</v>
      </c>
    </row>
    <row r="22" spans="1:4" ht="15">
      <c r="A22" s="3270">
        <v>178902</v>
      </c>
      <c r="B22" s="641" t="str">
        <f t="shared" si="0"/>
        <v>178-902</v>
      </c>
      <c r="C22" t="s">
        <v>2329</v>
      </c>
      <c r="D22" s="52" t="s">
        <v>700</v>
      </c>
    </row>
    <row r="23" spans="1:4" ht="15">
      <c r="A23" s="3270">
        <v>116915</v>
      </c>
      <c r="B23" s="641" t="str">
        <f t="shared" si="0"/>
        <v>116-915</v>
      </c>
      <c r="C23" t="s">
        <v>799</v>
      </c>
      <c r="D23" s="52" t="s">
        <v>700</v>
      </c>
    </row>
    <row r="24" spans="1:4" ht="15">
      <c r="A24" s="3269">
        <v>43917</v>
      </c>
      <c r="B24" s="641" t="str">
        <f t="shared" si="0"/>
        <v>043-917</v>
      </c>
      <c r="C24" t="s">
        <v>1345</v>
      </c>
      <c r="D24" s="52" t="s">
        <v>700</v>
      </c>
    </row>
    <row r="25" spans="1:4" ht="15">
      <c r="A25" s="3269">
        <v>72904</v>
      </c>
      <c r="B25" s="641" t="str">
        <f t="shared" si="0"/>
        <v>072-904</v>
      </c>
      <c r="C25" t="s">
        <v>1976</v>
      </c>
      <c r="D25" s="52" t="s">
        <v>700</v>
      </c>
    </row>
    <row r="26" spans="1:4" ht="15">
      <c r="A26" s="3270">
        <v>130901</v>
      </c>
      <c r="B26" s="641" t="str">
        <f t="shared" si="0"/>
        <v>130-901</v>
      </c>
      <c r="C26" t="s">
        <v>2039</v>
      </c>
      <c r="D26" s="52" t="s">
        <v>700</v>
      </c>
    </row>
    <row r="27" spans="1:4" ht="15">
      <c r="A27" s="3270">
        <v>116916</v>
      </c>
      <c r="B27" s="641" t="str">
        <f t="shared" si="0"/>
        <v>116-916</v>
      </c>
      <c r="C27" t="s">
        <v>1347</v>
      </c>
      <c r="D27" s="52" t="s">
        <v>700</v>
      </c>
    </row>
    <row r="28" spans="1:4" ht="15">
      <c r="A28" s="3270">
        <v>249902</v>
      </c>
      <c r="B28" s="641" t="str">
        <f t="shared" si="0"/>
        <v>249-902</v>
      </c>
      <c r="C28" t="s">
        <v>1616</v>
      </c>
      <c r="D28" s="52" t="s">
        <v>700</v>
      </c>
    </row>
    <row r="29" spans="1:4" ht="15">
      <c r="A29" s="3270">
        <v>180901</v>
      </c>
      <c r="B29" s="641" t="str">
        <f t="shared" si="0"/>
        <v>180-901</v>
      </c>
      <c r="C29" t="s">
        <v>8677</v>
      </c>
      <c r="D29" s="52" t="s">
        <v>700</v>
      </c>
    </row>
    <row r="30" spans="1:4" ht="15">
      <c r="A30" s="3269">
        <v>8903</v>
      </c>
      <c r="B30" s="641" t="str">
        <f t="shared" si="0"/>
        <v>008-903</v>
      </c>
      <c r="C30" t="s">
        <v>1203</v>
      </c>
      <c r="D30" s="52" t="s">
        <v>700</v>
      </c>
    </row>
    <row r="31" spans="1:4" ht="15">
      <c r="A31" s="3270">
        <v>198901</v>
      </c>
      <c r="B31" s="641" t="str">
        <f t="shared" si="0"/>
        <v>198-901</v>
      </c>
      <c r="C31" t="s">
        <v>1628</v>
      </c>
      <c r="D31" s="52" t="s">
        <v>700</v>
      </c>
    </row>
    <row r="32" spans="1:4" ht="15">
      <c r="A32" s="3270">
        <v>181901</v>
      </c>
      <c r="B32" s="641" t="str">
        <f t="shared" si="0"/>
        <v>181-901</v>
      </c>
      <c r="C32" t="s">
        <v>1855</v>
      </c>
      <c r="D32" s="52" t="s">
        <v>700</v>
      </c>
    </row>
    <row r="33" spans="1:4" ht="15">
      <c r="A33" s="3270">
        <v>184909</v>
      </c>
      <c r="B33" s="641" t="str">
        <f t="shared" si="0"/>
        <v>184-909</v>
      </c>
      <c r="C33" t="s">
        <v>1856</v>
      </c>
      <c r="D33" s="52" t="s">
        <v>700</v>
      </c>
    </row>
    <row r="34" spans="1:4" ht="15">
      <c r="A34" s="3269">
        <v>25908</v>
      </c>
      <c r="B34" s="641" t="str">
        <f t="shared" si="0"/>
        <v>025-908</v>
      </c>
      <c r="C34" t="s">
        <v>2416</v>
      </c>
      <c r="D34" s="52" t="s">
        <v>700</v>
      </c>
    </row>
    <row r="35" spans="1:4" ht="15">
      <c r="A35" s="3270">
        <v>186901</v>
      </c>
      <c r="B35" s="641" t="str">
        <f t="shared" si="0"/>
        <v>186-901</v>
      </c>
      <c r="C35" t="s">
        <v>440</v>
      </c>
      <c r="D35" s="52" t="s">
        <v>700</v>
      </c>
    </row>
    <row r="36" spans="1:4" ht="15">
      <c r="A36" s="3270">
        <v>126902</v>
      </c>
      <c r="B36" s="641" t="str">
        <f t="shared" si="0"/>
        <v>126-902</v>
      </c>
      <c r="C36" t="s">
        <v>1449</v>
      </c>
      <c r="D36" s="52" t="s">
        <v>700</v>
      </c>
    </row>
    <row r="37" spans="1:4" ht="15">
      <c r="A37" s="3269">
        <v>27903</v>
      </c>
      <c r="B37" s="641" t="str">
        <f t="shared" si="0"/>
        <v>027-903</v>
      </c>
      <c r="C37" t="s">
        <v>133</v>
      </c>
      <c r="D37" s="52" t="s">
        <v>700</v>
      </c>
    </row>
    <row r="38" spans="1:4" ht="15">
      <c r="A38" s="3270">
        <v>109902</v>
      </c>
      <c r="B38" s="641" t="str">
        <f t="shared" si="0"/>
        <v>109-902</v>
      </c>
      <c r="C38" t="s">
        <v>898</v>
      </c>
      <c r="D38" s="52" t="s">
        <v>700</v>
      </c>
    </row>
    <row r="39" spans="1:4" ht="15">
      <c r="A39" s="3270">
        <v>116901</v>
      </c>
      <c r="B39" s="641" t="str">
        <f t="shared" si="0"/>
        <v>116-901</v>
      </c>
      <c r="C39" t="s">
        <v>651</v>
      </c>
      <c r="D39" s="52" t="s">
        <v>700</v>
      </c>
    </row>
    <row r="40" spans="1:4" ht="15">
      <c r="A40" s="3269">
        <v>71907</v>
      </c>
      <c r="B40" s="641" t="str">
        <f t="shared" si="0"/>
        <v>071-907</v>
      </c>
      <c r="C40" t="s">
        <v>653</v>
      </c>
      <c r="D40" s="52" t="s">
        <v>700</v>
      </c>
    </row>
    <row r="41" spans="1:4" ht="15">
      <c r="A41" s="3270">
        <v>191901</v>
      </c>
      <c r="B41" s="641" t="str">
        <f t="shared" si="0"/>
        <v>191-901</v>
      </c>
      <c r="C41" t="s">
        <v>2332</v>
      </c>
      <c r="D41" s="52" t="s">
        <v>700</v>
      </c>
    </row>
    <row r="42" spans="1:4" ht="15">
      <c r="A42" s="3269">
        <v>43903</v>
      </c>
      <c r="B42" s="641" t="str">
        <f t="shared" si="0"/>
        <v>043-903</v>
      </c>
      <c r="C42" t="s">
        <v>658</v>
      </c>
      <c r="D42" s="52" t="s">
        <v>700</v>
      </c>
    </row>
    <row r="43" spans="1:4" ht="15">
      <c r="A43" s="3270">
        <v>228904</v>
      </c>
      <c r="B43" s="641" t="str">
        <f t="shared" si="0"/>
        <v>228-904</v>
      </c>
      <c r="C43" t="s">
        <v>1824</v>
      </c>
      <c r="D43" s="52" t="s">
        <v>700</v>
      </c>
    </row>
    <row r="44" spans="1:4" ht="15">
      <c r="A44" s="3269">
        <v>99902</v>
      </c>
      <c r="B44" s="641" t="str">
        <f t="shared" si="0"/>
        <v>099-902</v>
      </c>
      <c r="C44" t="s">
        <v>476</v>
      </c>
      <c r="D44" s="52" t="s">
        <v>700</v>
      </c>
    </row>
    <row r="45" spans="1:4" ht="15">
      <c r="A45" s="3269">
        <v>73901</v>
      </c>
      <c r="B45" s="641" t="str">
        <f t="shared" si="0"/>
        <v>073-901</v>
      </c>
      <c r="C45" t="s">
        <v>1035</v>
      </c>
      <c r="D45" s="52" t="s">
        <v>700</v>
      </c>
    </row>
    <row r="46" spans="1:4" ht="15">
      <c r="A46" s="3270">
        <v>161920</v>
      </c>
      <c r="B46" s="641" t="str">
        <f t="shared" si="0"/>
        <v>161-920</v>
      </c>
      <c r="C46" t="s">
        <v>1160</v>
      </c>
      <c r="D46" s="52" t="s">
        <v>700</v>
      </c>
    </row>
    <row r="47" spans="1:4" ht="15">
      <c r="A47" s="3270">
        <v>226901</v>
      </c>
      <c r="B47" s="641" t="str">
        <f t="shared" si="0"/>
        <v>226-901</v>
      </c>
      <c r="C47" t="s">
        <v>1906</v>
      </c>
      <c r="D47" s="52" t="s">
        <v>700</v>
      </c>
    </row>
    <row r="48" spans="1:4" ht="15">
      <c r="A48" s="3270">
        <v>243906</v>
      </c>
      <c r="B48" s="641" t="str">
        <f t="shared" si="0"/>
        <v>243-906</v>
      </c>
      <c r="C48" t="s">
        <v>1162</v>
      </c>
      <c r="D48" s="52" t="s">
        <v>700</v>
      </c>
    </row>
    <row r="49" spans="1:4" ht="15">
      <c r="A49" s="3269">
        <v>6902</v>
      </c>
      <c r="B49" s="641" t="str">
        <f t="shared" si="0"/>
        <v>006-902</v>
      </c>
      <c r="C49" t="s">
        <v>1198</v>
      </c>
      <c r="D49" s="52" t="s">
        <v>700</v>
      </c>
    </row>
    <row r="50" spans="1:4" ht="15">
      <c r="A50" s="3270">
        <v>146901</v>
      </c>
      <c r="B50" s="641" t="str">
        <f t="shared" si="0"/>
        <v>146-901</v>
      </c>
      <c r="C50" t="s">
        <v>1164</v>
      </c>
      <c r="D50" s="52" t="s">
        <v>700</v>
      </c>
    </row>
    <row r="51" spans="1:4" ht="15">
      <c r="A51" s="3270">
        <v>114902</v>
      </c>
      <c r="B51" s="641" t="str">
        <f t="shared" si="0"/>
        <v>114-902</v>
      </c>
      <c r="C51" t="s">
        <v>1573</v>
      </c>
      <c r="D51" s="52" t="s">
        <v>700</v>
      </c>
    </row>
    <row r="52" spans="1:4" ht="15">
      <c r="A52" s="3270">
        <v>204901</v>
      </c>
      <c r="B52" s="641" t="str">
        <f t="shared" si="0"/>
        <v>204-901</v>
      </c>
      <c r="C52" t="s">
        <v>2334</v>
      </c>
      <c r="D52" s="52" t="s">
        <v>700</v>
      </c>
    </row>
    <row r="53" spans="1:4" ht="15">
      <c r="A53" s="3269">
        <v>46902</v>
      </c>
      <c r="B53" s="641" t="str">
        <f t="shared" si="0"/>
        <v>046-902</v>
      </c>
      <c r="C53" t="s">
        <v>2207</v>
      </c>
      <c r="D53" s="52" t="s">
        <v>700</v>
      </c>
    </row>
    <row r="54" spans="1:4" ht="15">
      <c r="A54" s="3269">
        <v>43918</v>
      </c>
      <c r="B54" s="641" t="str">
        <f t="shared" si="0"/>
        <v>043-918</v>
      </c>
      <c r="C54" t="s">
        <v>1551</v>
      </c>
      <c r="D54" s="52" t="s">
        <v>700</v>
      </c>
    </row>
    <row r="55" spans="1:4" ht="15">
      <c r="A55" s="3270">
        <v>170902</v>
      </c>
      <c r="B55" s="641" t="str">
        <f t="shared" si="0"/>
        <v>170-902</v>
      </c>
      <c r="C55" t="s">
        <v>1553</v>
      </c>
      <c r="D55" s="52" t="s">
        <v>700</v>
      </c>
    </row>
    <row r="56" spans="1:4" ht="15">
      <c r="A56" s="3269">
        <v>57922</v>
      </c>
      <c r="B56" s="641" t="str">
        <f t="shared" si="0"/>
        <v>057-922</v>
      </c>
      <c r="C56" t="s">
        <v>2612</v>
      </c>
      <c r="D56" s="52" t="s">
        <v>700</v>
      </c>
    </row>
    <row r="57" spans="1:4" ht="15">
      <c r="A57" s="3270">
        <v>175903</v>
      </c>
      <c r="B57" s="641" t="str">
        <f t="shared" si="0"/>
        <v>175-903</v>
      </c>
      <c r="C57" t="s">
        <v>1101</v>
      </c>
      <c r="D57" s="52" t="s">
        <v>700</v>
      </c>
    </row>
    <row r="58" spans="1:4" ht="15">
      <c r="A58" s="3269">
        <v>95902</v>
      </c>
      <c r="B58" s="641" t="str">
        <f t="shared" si="0"/>
        <v>095-902</v>
      </c>
      <c r="C58" t="s">
        <v>234</v>
      </c>
      <c r="D58" s="52" t="s">
        <v>700</v>
      </c>
    </row>
    <row r="59" spans="1:4" ht="15">
      <c r="A59" s="3270">
        <v>109903</v>
      </c>
      <c r="B59" s="641" t="str">
        <f t="shared" si="0"/>
        <v>109-903</v>
      </c>
      <c r="C59" t="s">
        <v>667</v>
      </c>
      <c r="D59" s="52" t="s">
        <v>700</v>
      </c>
    </row>
    <row r="60" spans="1:4" ht="15">
      <c r="A60" s="3270">
        <v>129901</v>
      </c>
      <c r="B60" s="641" t="str">
        <f t="shared" si="0"/>
        <v>129-901</v>
      </c>
      <c r="C60" t="s">
        <v>416</v>
      </c>
      <c r="D60" s="52" t="s">
        <v>700</v>
      </c>
    </row>
    <row r="61" spans="1:4" ht="15">
      <c r="A61" s="3269">
        <v>52901</v>
      </c>
      <c r="B61" s="641" t="str">
        <f t="shared" si="0"/>
        <v>052-901</v>
      </c>
      <c r="C61" t="s">
        <v>2222</v>
      </c>
      <c r="D61" s="52" t="s">
        <v>700</v>
      </c>
    </row>
    <row r="62" spans="1:4" ht="15">
      <c r="A62" s="3270">
        <v>161901</v>
      </c>
      <c r="B62" s="641" t="str">
        <f t="shared" si="0"/>
        <v>161-901</v>
      </c>
      <c r="C62" t="s">
        <v>417</v>
      </c>
      <c r="D62" s="52" t="s">
        <v>700</v>
      </c>
    </row>
    <row r="63" spans="1:4" ht="15">
      <c r="A63" s="3270">
        <v>101906</v>
      </c>
      <c r="B63" s="641" t="str">
        <f t="shared" si="0"/>
        <v>101-906</v>
      </c>
      <c r="C63" t="s">
        <v>418</v>
      </c>
      <c r="D63" s="52" t="s">
        <v>700</v>
      </c>
    </row>
    <row r="64" spans="1:4" ht="15">
      <c r="A64" s="3270">
        <v>220912</v>
      </c>
      <c r="B64" s="641" t="str">
        <f t="shared" si="0"/>
        <v>220-912</v>
      </c>
      <c r="C64" t="s">
        <v>419</v>
      </c>
      <c r="D64" s="52" t="s">
        <v>700</v>
      </c>
    </row>
    <row r="65" spans="1:4" ht="15">
      <c r="A65" s="3270">
        <v>175904</v>
      </c>
      <c r="B65" s="641" t="str">
        <f t="shared" si="0"/>
        <v>175-904</v>
      </c>
      <c r="C65" t="s">
        <v>2663</v>
      </c>
      <c r="D65" s="52" t="s">
        <v>700</v>
      </c>
    </row>
    <row r="66" spans="1:4" ht="15">
      <c r="A66" s="3269">
        <v>47902</v>
      </c>
      <c r="B66" s="641" t="str">
        <f t="shared" si="0"/>
        <v>047-902</v>
      </c>
      <c r="C66" t="s">
        <v>2665</v>
      </c>
      <c r="D66" s="52" t="s">
        <v>700</v>
      </c>
    </row>
    <row r="67" spans="1:4" ht="15">
      <c r="A67" s="3270">
        <v>249905</v>
      </c>
      <c r="B67" s="641" t="str">
        <f t="shared" ref="B67:B130" si="1">CONCATENATE(LEFT(RIGHT(CONCATENATE("000",A67),6),3),"-",(RIGHT(RIGHT(CONCATENATE("000",A67),6),3)))</f>
        <v>249-905</v>
      </c>
      <c r="C67" t="s">
        <v>1619</v>
      </c>
      <c r="D67" s="52" t="s">
        <v>700</v>
      </c>
    </row>
    <row r="68" spans="1:4" ht="15">
      <c r="A68" s="3269">
        <v>91903</v>
      </c>
      <c r="B68" s="641" t="str">
        <f t="shared" si="1"/>
        <v>091-903</v>
      </c>
      <c r="C68" t="s">
        <v>1446</v>
      </c>
      <c r="D68" s="52" t="s">
        <v>700</v>
      </c>
    </row>
    <row r="69" spans="1:4" ht="15">
      <c r="A69" s="3269">
        <v>61901</v>
      </c>
      <c r="B69" s="641" t="str">
        <f t="shared" si="1"/>
        <v>061-901</v>
      </c>
      <c r="C69" t="s">
        <v>2618</v>
      </c>
      <c r="D69" s="52" t="s">
        <v>700</v>
      </c>
    </row>
    <row r="70" spans="1:4" ht="15">
      <c r="A70" s="3270">
        <v>133905</v>
      </c>
      <c r="B70" s="641" t="str">
        <f t="shared" si="1"/>
        <v>133-905</v>
      </c>
      <c r="C70" t="s">
        <v>2046</v>
      </c>
      <c r="D70" s="52" t="s">
        <v>700</v>
      </c>
    </row>
    <row r="71" spans="1:4" ht="15">
      <c r="A71" s="3269">
        <v>86024</v>
      </c>
      <c r="B71" s="641" t="str">
        <f t="shared" si="1"/>
        <v>086-024</v>
      </c>
      <c r="C71" t="s">
        <v>1039</v>
      </c>
      <c r="D71" s="52" t="s">
        <v>700</v>
      </c>
    </row>
    <row r="72" spans="1:4" ht="15">
      <c r="A72" s="3270">
        <v>105904</v>
      </c>
      <c r="B72" s="641" t="str">
        <f t="shared" si="1"/>
        <v>105-904</v>
      </c>
      <c r="C72" t="s">
        <v>1061</v>
      </c>
      <c r="D72" s="52" t="s">
        <v>700</v>
      </c>
    </row>
    <row r="73" spans="1:4" ht="15">
      <c r="A73" s="3269">
        <v>68901</v>
      </c>
      <c r="B73" s="641" t="str">
        <f t="shared" si="1"/>
        <v>068-901</v>
      </c>
      <c r="C73" t="s">
        <v>1966</v>
      </c>
      <c r="D73" s="52" t="s">
        <v>700</v>
      </c>
    </row>
    <row r="74" spans="1:4" ht="15">
      <c r="A74" s="3269">
        <v>74905</v>
      </c>
      <c r="B74" s="641" t="str">
        <f t="shared" si="1"/>
        <v>074-905</v>
      </c>
      <c r="C74" t="s">
        <v>1065</v>
      </c>
      <c r="D74" s="52" t="s">
        <v>700</v>
      </c>
    </row>
    <row r="75" spans="1:4" ht="15">
      <c r="A75" s="3270">
        <v>234903</v>
      </c>
      <c r="B75" s="641" t="str">
        <f t="shared" si="1"/>
        <v>234-903</v>
      </c>
      <c r="C75" t="s">
        <v>888</v>
      </c>
      <c r="D75" s="52" t="s">
        <v>700</v>
      </c>
    </row>
    <row r="76" spans="1:4" ht="15">
      <c r="A76" s="3269">
        <v>11902</v>
      </c>
      <c r="B76" s="641" t="str">
        <f t="shared" si="1"/>
        <v>011-902</v>
      </c>
      <c r="C76" t="s">
        <v>890</v>
      </c>
      <c r="D76" s="52" t="s">
        <v>700</v>
      </c>
    </row>
    <row r="77" spans="1:4" ht="15">
      <c r="A77" s="3269">
        <v>49906</v>
      </c>
      <c r="B77" s="641" t="str">
        <f t="shared" si="1"/>
        <v>049-906</v>
      </c>
      <c r="C77" t="s">
        <v>2214</v>
      </c>
      <c r="D77" s="52" t="s">
        <v>700</v>
      </c>
    </row>
    <row r="78" spans="1:4" ht="15">
      <c r="A78" s="3269">
        <v>30906</v>
      </c>
      <c r="B78" s="641" t="str">
        <f t="shared" si="1"/>
        <v>030-906</v>
      </c>
      <c r="C78" t="s">
        <v>1602</v>
      </c>
      <c r="D78" s="52" t="s">
        <v>700</v>
      </c>
    </row>
    <row r="79" spans="1:4" ht="15">
      <c r="A79" s="3270">
        <v>220904</v>
      </c>
      <c r="B79" s="641" t="str">
        <f t="shared" si="1"/>
        <v>220-904</v>
      </c>
      <c r="C79" t="s">
        <v>2568</v>
      </c>
      <c r="D79" s="52" t="s">
        <v>700</v>
      </c>
    </row>
    <row r="80" spans="1:4" ht="15">
      <c r="A80" s="3269">
        <v>43904</v>
      </c>
      <c r="B80" s="641" t="str">
        <f t="shared" si="1"/>
        <v>043-904</v>
      </c>
      <c r="C80" t="s">
        <v>108</v>
      </c>
      <c r="D80" s="52" t="s">
        <v>700</v>
      </c>
    </row>
    <row r="81" spans="1:4" ht="15">
      <c r="A81" s="3269">
        <v>75906</v>
      </c>
      <c r="B81" s="641" t="str">
        <f t="shared" si="1"/>
        <v>075-906</v>
      </c>
      <c r="C81" t="s">
        <v>464</v>
      </c>
      <c r="D81" s="52" t="s">
        <v>700</v>
      </c>
    </row>
    <row r="82" spans="1:4" ht="15">
      <c r="A82" s="3269">
        <v>70905</v>
      </c>
      <c r="B82" s="641" t="str">
        <f t="shared" si="1"/>
        <v>070-905</v>
      </c>
      <c r="C82" t="s">
        <v>1970</v>
      </c>
      <c r="D82" s="52" t="s">
        <v>700</v>
      </c>
    </row>
    <row r="83" spans="1:4" ht="15">
      <c r="A83" s="3269">
        <v>75901</v>
      </c>
      <c r="B83" s="641" t="str">
        <f t="shared" si="1"/>
        <v>075-901</v>
      </c>
      <c r="C83" t="s">
        <v>461</v>
      </c>
      <c r="D83" s="52" t="s">
        <v>700</v>
      </c>
    </row>
    <row r="84" spans="1:4" ht="15">
      <c r="A84" s="3270">
        <v>246902</v>
      </c>
      <c r="B84" s="641" t="str">
        <f t="shared" si="1"/>
        <v>246-902</v>
      </c>
      <c r="C84" t="s">
        <v>109</v>
      </c>
      <c r="D84" s="52" t="s">
        <v>700</v>
      </c>
    </row>
    <row r="85" spans="1:4" ht="15">
      <c r="A85" s="3270">
        <v>169910</v>
      </c>
      <c r="B85" s="641" t="str">
        <f t="shared" si="1"/>
        <v>169-910</v>
      </c>
      <c r="C85" t="s">
        <v>2247</v>
      </c>
      <c r="D85" s="52" t="s">
        <v>700</v>
      </c>
    </row>
    <row r="86" spans="1:4" ht="15">
      <c r="A86" s="3270">
        <v>129902</v>
      </c>
      <c r="B86" s="641" t="str">
        <f t="shared" si="1"/>
        <v>129-902</v>
      </c>
      <c r="C86" t="s">
        <v>111</v>
      </c>
      <c r="D86" s="52" t="s">
        <v>700</v>
      </c>
    </row>
    <row r="87" spans="1:4" ht="15">
      <c r="A87" s="3270">
        <v>198903</v>
      </c>
      <c r="B87" s="641" t="str">
        <f t="shared" si="1"/>
        <v>198-903</v>
      </c>
      <c r="C87" t="s">
        <v>1630</v>
      </c>
      <c r="D87" s="52" t="s">
        <v>700</v>
      </c>
    </row>
    <row r="88" spans="1:4" ht="15">
      <c r="A88" s="3270">
        <v>152907</v>
      </c>
      <c r="B88" s="641" t="str">
        <f t="shared" si="1"/>
        <v>152-907</v>
      </c>
      <c r="C88" t="s">
        <v>2303</v>
      </c>
      <c r="D88" s="52" t="s">
        <v>700</v>
      </c>
    </row>
    <row r="89" spans="1:4" ht="15">
      <c r="A89" s="3269">
        <v>43905</v>
      </c>
      <c r="B89" s="641" t="str">
        <f t="shared" si="1"/>
        <v>043-905</v>
      </c>
      <c r="C89" t="s">
        <v>1477</v>
      </c>
      <c r="D89" s="52" t="s">
        <v>700</v>
      </c>
    </row>
    <row r="90" spans="1:4" ht="15">
      <c r="A90" s="3270">
        <v>234909</v>
      </c>
      <c r="B90" s="641" t="str">
        <f t="shared" si="1"/>
        <v>234-909</v>
      </c>
      <c r="C90" t="s">
        <v>1478</v>
      </c>
      <c r="D90" s="52" t="s">
        <v>700</v>
      </c>
    </row>
    <row r="91" spans="1:4" ht="15">
      <c r="A91" s="3269">
        <v>49901</v>
      </c>
      <c r="B91" s="641" t="str">
        <f t="shared" si="1"/>
        <v>049-901</v>
      </c>
      <c r="C91" t="s">
        <v>1479</v>
      </c>
      <c r="D91" s="52" t="s">
        <v>700</v>
      </c>
    </row>
    <row r="92" spans="1:4" ht="15">
      <c r="A92" s="3270">
        <v>230902</v>
      </c>
      <c r="B92" s="641" t="str">
        <f t="shared" si="1"/>
        <v>230-902</v>
      </c>
      <c r="C92" t="s">
        <v>1918</v>
      </c>
      <c r="D92" s="52" t="s">
        <v>700</v>
      </c>
    </row>
    <row r="93" spans="1:4" ht="15">
      <c r="A93" s="3270">
        <v>213901</v>
      </c>
      <c r="B93" s="641" t="str">
        <f t="shared" si="1"/>
        <v>213-901</v>
      </c>
      <c r="C93" t="s">
        <v>2000</v>
      </c>
      <c r="D93" s="52" t="s">
        <v>700</v>
      </c>
    </row>
    <row r="94" spans="1:4" ht="15">
      <c r="A94" s="3270">
        <v>126911</v>
      </c>
      <c r="B94" s="641" t="str">
        <f t="shared" si="1"/>
        <v>126-911</v>
      </c>
      <c r="C94" t="s">
        <v>2322</v>
      </c>
      <c r="D94" s="52" t="s">
        <v>700</v>
      </c>
    </row>
    <row r="95" spans="1:4" ht="15">
      <c r="A95" s="3270">
        <v>169906</v>
      </c>
      <c r="B95" s="641" t="str">
        <f t="shared" si="1"/>
        <v>169-906</v>
      </c>
      <c r="C95" t="s">
        <v>1368</v>
      </c>
      <c r="D95" s="52" t="s">
        <v>700</v>
      </c>
    </row>
    <row r="96" spans="1:4" ht="15">
      <c r="A96" s="3270">
        <v>187903</v>
      </c>
      <c r="B96" s="641" t="str">
        <f t="shared" si="1"/>
        <v>187-903</v>
      </c>
      <c r="C96" t="s">
        <v>444</v>
      </c>
      <c r="D96" s="52" t="s">
        <v>700</v>
      </c>
    </row>
    <row r="97" spans="1:4" ht="15">
      <c r="A97" s="3270">
        <v>111901</v>
      </c>
      <c r="B97" s="641" t="str">
        <f t="shared" si="1"/>
        <v>111-901</v>
      </c>
      <c r="C97" t="s">
        <v>219</v>
      </c>
      <c r="D97" s="52" t="s">
        <v>700</v>
      </c>
    </row>
    <row r="98" spans="1:4" ht="15">
      <c r="A98" s="3270">
        <v>234904</v>
      </c>
      <c r="B98" s="641" t="str">
        <f t="shared" si="1"/>
        <v>234-904</v>
      </c>
      <c r="C98" t="s">
        <v>864</v>
      </c>
      <c r="D98" s="52" t="s">
        <v>700</v>
      </c>
    </row>
    <row r="99" spans="1:4" ht="15">
      <c r="A99" s="3270">
        <v>238904</v>
      </c>
      <c r="B99" s="641" t="str">
        <f t="shared" si="1"/>
        <v>238-904</v>
      </c>
      <c r="C99" t="s">
        <v>1216</v>
      </c>
      <c r="D99" s="52" t="s">
        <v>700</v>
      </c>
    </row>
    <row r="100" spans="1:4" ht="15">
      <c r="A100" s="3270">
        <v>126904</v>
      </c>
      <c r="B100" s="641" t="str">
        <f t="shared" si="1"/>
        <v>126-904</v>
      </c>
      <c r="C100" t="s">
        <v>865</v>
      </c>
      <c r="D100" s="52" t="s">
        <v>700</v>
      </c>
    </row>
    <row r="101" spans="1:4" ht="15">
      <c r="A101" s="3269">
        <v>90905</v>
      </c>
      <c r="B101" s="641" t="str">
        <f t="shared" si="1"/>
        <v>090-905</v>
      </c>
      <c r="C101" t="s">
        <v>1444</v>
      </c>
      <c r="D101" s="52" t="s">
        <v>700</v>
      </c>
    </row>
    <row r="102" spans="1:4" ht="15">
      <c r="A102" s="3270">
        <v>246905</v>
      </c>
      <c r="B102" s="641" t="str">
        <f t="shared" si="1"/>
        <v>246-905</v>
      </c>
      <c r="C102" t="s">
        <v>1018</v>
      </c>
      <c r="D102" s="52" t="s">
        <v>700</v>
      </c>
    </row>
    <row r="103" spans="1:4" ht="15">
      <c r="A103" s="3270">
        <v>226907</v>
      </c>
      <c r="B103" s="641" t="str">
        <f t="shared" si="1"/>
        <v>226-907</v>
      </c>
      <c r="C103" t="s">
        <v>1731</v>
      </c>
      <c r="D103" s="52" t="s">
        <v>700</v>
      </c>
    </row>
    <row r="104" spans="1:4" ht="15">
      <c r="A104" s="3270">
        <v>113902</v>
      </c>
      <c r="B104" s="641" t="str">
        <f t="shared" si="1"/>
        <v>113-902</v>
      </c>
      <c r="C104" t="s">
        <v>2165</v>
      </c>
      <c r="D104" s="52" t="s">
        <v>700</v>
      </c>
    </row>
    <row r="105" spans="1:4" ht="15">
      <c r="A105" s="3270">
        <v>165902</v>
      </c>
      <c r="B105" s="641" t="str">
        <f t="shared" si="1"/>
        <v>165-902</v>
      </c>
      <c r="C105" t="s">
        <v>1757</v>
      </c>
      <c r="D105" s="52" t="s">
        <v>700</v>
      </c>
    </row>
    <row r="106" spans="1:4" ht="15">
      <c r="A106" s="3270">
        <v>205902</v>
      </c>
      <c r="B106" s="641" t="str">
        <f t="shared" si="1"/>
        <v>205-902</v>
      </c>
      <c r="C106" t="s">
        <v>352</v>
      </c>
      <c r="D106" s="52" t="s">
        <v>700</v>
      </c>
    </row>
    <row r="107" spans="1:4" ht="15">
      <c r="A107" s="3269">
        <v>33901</v>
      </c>
      <c r="B107" s="641" t="str">
        <f t="shared" si="1"/>
        <v>033-901</v>
      </c>
      <c r="C107" t="s">
        <v>1605</v>
      </c>
      <c r="D107" s="52" t="s">
        <v>700</v>
      </c>
    </row>
    <row r="108" spans="1:4" ht="15">
      <c r="A108" s="3269">
        <v>98901</v>
      </c>
      <c r="B108" s="641" t="str">
        <f t="shared" si="1"/>
        <v>098-901</v>
      </c>
      <c r="C108" t="s">
        <v>241</v>
      </c>
      <c r="D108" s="52" t="s">
        <v>700</v>
      </c>
    </row>
    <row r="109" spans="1:4" ht="15">
      <c r="A109" s="3269">
        <v>91917</v>
      </c>
      <c r="B109" s="641" t="str">
        <f t="shared" si="1"/>
        <v>091-917</v>
      </c>
      <c r="C109" t="s">
        <v>1732</v>
      </c>
      <c r="D109" s="52" t="s">
        <v>700</v>
      </c>
    </row>
    <row r="110" spans="1:4" ht="15">
      <c r="A110" s="3269">
        <v>95903</v>
      </c>
      <c r="B110" s="641" t="str">
        <f t="shared" si="1"/>
        <v>095-903</v>
      </c>
      <c r="C110" t="s">
        <v>235</v>
      </c>
      <c r="D110" s="52" t="s">
        <v>700</v>
      </c>
    </row>
    <row r="111" spans="1:4" ht="15">
      <c r="A111" s="3270">
        <v>102904</v>
      </c>
      <c r="B111" s="641" t="str">
        <f t="shared" si="1"/>
        <v>102-904</v>
      </c>
      <c r="C111" t="s">
        <v>2074</v>
      </c>
      <c r="D111" s="52" t="s">
        <v>700</v>
      </c>
    </row>
    <row r="112" spans="1:4" ht="15">
      <c r="A112" s="3270">
        <v>123914</v>
      </c>
      <c r="B112" s="641" t="str">
        <f t="shared" si="1"/>
        <v>123-914</v>
      </c>
      <c r="C112" t="s">
        <v>1734</v>
      </c>
      <c r="D112" s="52" t="s">
        <v>700</v>
      </c>
    </row>
    <row r="113" spans="1:4" ht="15">
      <c r="A113" s="3270">
        <v>100905</v>
      </c>
      <c r="B113" s="641" t="str">
        <f t="shared" si="1"/>
        <v>100-905</v>
      </c>
      <c r="C113" t="s">
        <v>479</v>
      </c>
      <c r="D113" s="52" t="s">
        <v>700</v>
      </c>
    </row>
    <row r="114" spans="1:4" ht="15">
      <c r="A114" s="3270">
        <v>225907</v>
      </c>
      <c r="B114" s="641" t="str">
        <f t="shared" si="1"/>
        <v>225-907</v>
      </c>
      <c r="C114" t="s">
        <v>1666</v>
      </c>
      <c r="D114" s="52" t="s">
        <v>700</v>
      </c>
    </row>
    <row r="115" spans="1:4" ht="15">
      <c r="A115" s="3270">
        <v>127904</v>
      </c>
      <c r="B115" s="641" t="str">
        <f t="shared" si="1"/>
        <v>127-904</v>
      </c>
      <c r="C115" t="s">
        <v>829</v>
      </c>
      <c r="D115" s="52" t="s">
        <v>700</v>
      </c>
    </row>
    <row r="116" spans="1:4" ht="15">
      <c r="A116" s="3270">
        <v>105906</v>
      </c>
      <c r="B116" s="641" t="str">
        <f t="shared" si="1"/>
        <v>105-906</v>
      </c>
      <c r="C116" t="s">
        <v>35</v>
      </c>
      <c r="D116" s="52" t="s">
        <v>700</v>
      </c>
    </row>
    <row r="117" spans="1:4" ht="15">
      <c r="A117" s="3269">
        <v>97903</v>
      </c>
      <c r="B117" s="641" t="str">
        <f t="shared" si="1"/>
        <v>097-903</v>
      </c>
      <c r="C117" t="s">
        <v>2373</v>
      </c>
      <c r="D117" s="52" t="s">
        <v>700</v>
      </c>
    </row>
    <row r="118" spans="1:4" ht="15">
      <c r="A118" s="3270">
        <v>177905</v>
      </c>
      <c r="B118" s="641" t="str">
        <f t="shared" si="1"/>
        <v>177-905</v>
      </c>
      <c r="C118" t="s">
        <v>313</v>
      </c>
      <c r="D118" s="52" t="s">
        <v>700</v>
      </c>
    </row>
    <row r="119" spans="1:4" ht="15">
      <c r="A119" s="3269">
        <v>5902</v>
      </c>
      <c r="B119" s="641" t="str">
        <f t="shared" si="1"/>
        <v>005-902</v>
      </c>
      <c r="C119" t="s">
        <v>1197</v>
      </c>
      <c r="D119" s="52" t="s">
        <v>700</v>
      </c>
    </row>
    <row r="120" spans="1:4" ht="15">
      <c r="A120" s="3269">
        <v>74907</v>
      </c>
      <c r="B120" s="641" t="str">
        <f t="shared" si="1"/>
        <v>074-907</v>
      </c>
      <c r="C120" t="s">
        <v>2</v>
      </c>
      <c r="D120" s="52" t="s">
        <v>700</v>
      </c>
    </row>
    <row r="121" spans="1:4" ht="15">
      <c r="A121" s="3269">
        <v>91905</v>
      </c>
      <c r="B121" s="641" t="str">
        <f t="shared" si="1"/>
        <v>091-905</v>
      </c>
      <c r="C121" t="s">
        <v>2380</v>
      </c>
      <c r="D121" s="52" t="s">
        <v>700</v>
      </c>
    </row>
    <row r="122" spans="1:4" ht="15">
      <c r="A122" s="3270">
        <v>109905</v>
      </c>
      <c r="B122" s="641" t="str">
        <f t="shared" si="1"/>
        <v>109-905</v>
      </c>
      <c r="C122" t="s">
        <v>2381</v>
      </c>
      <c r="D122" s="52" t="s">
        <v>700</v>
      </c>
    </row>
    <row r="123" spans="1:4" ht="15">
      <c r="A123" s="3269">
        <v>19913</v>
      </c>
      <c r="B123" s="641" t="str">
        <f t="shared" si="1"/>
        <v>019-913</v>
      </c>
      <c r="C123" t="s">
        <v>2381</v>
      </c>
      <c r="D123" s="52" t="s">
        <v>700</v>
      </c>
    </row>
    <row r="124" spans="1:4" ht="15">
      <c r="A124" s="3269">
        <v>72908</v>
      </c>
      <c r="B124" s="641" t="str">
        <f t="shared" si="1"/>
        <v>072-908</v>
      </c>
      <c r="C124" t="s">
        <v>1977</v>
      </c>
      <c r="D124" s="52" t="s">
        <v>700</v>
      </c>
    </row>
    <row r="125" spans="1:4" ht="15">
      <c r="A125" s="3269">
        <v>3902</v>
      </c>
      <c r="B125" s="641" t="str">
        <f t="shared" si="1"/>
        <v>003-902</v>
      </c>
      <c r="C125" t="s">
        <v>2382</v>
      </c>
      <c r="D125" s="52" t="s">
        <v>700</v>
      </c>
    </row>
    <row r="126" spans="1:4" ht="15">
      <c r="A126" s="3270">
        <v>101925</v>
      </c>
      <c r="B126" s="641" t="str">
        <f t="shared" si="1"/>
        <v>101-925</v>
      </c>
      <c r="C126" t="s">
        <v>2383</v>
      </c>
      <c r="D126" s="52" t="s">
        <v>700</v>
      </c>
    </row>
    <row r="127" spans="1:4" ht="15">
      <c r="A127" s="3270">
        <v>101913</v>
      </c>
      <c r="B127" s="641" t="str">
        <f t="shared" si="1"/>
        <v>101-913</v>
      </c>
      <c r="C127" t="s">
        <v>2385</v>
      </c>
      <c r="D127" s="52" t="s">
        <v>700</v>
      </c>
    </row>
    <row r="128" spans="1:4" ht="15">
      <c r="A128" s="3270">
        <v>133902</v>
      </c>
      <c r="B128" s="641" t="str">
        <f t="shared" si="1"/>
        <v>133-902</v>
      </c>
      <c r="C128" t="s">
        <v>2043</v>
      </c>
      <c r="D128" s="52" t="s">
        <v>700</v>
      </c>
    </row>
    <row r="129" spans="1:4" ht="15">
      <c r="A129" s="3270">
        <v>236902</v>
      </c>
      <c r="B129" s="641" t="str">
        <f t="shared" si="1"/>
        <v>236-902</v>
      </c>
      <c r="C129" t="s">
        <v>93</v>
      </c>
      <c r="D129" s="52" t="s">
        <v>700</v>
      </c>
    </row>
    <row r="130" spans="1:4" ht="15">
      <c r="A130" s="3270">
        <v>246906</v>
      </c>
      <c r="B130" s="641" t="str">
        <f t="shared" si="1"/>
        <v>246-906</v>
      </c>
      <c r="C130" t="s">
        <v>1268</v>
      </c>
      <c r="D130" s="52" t="s">
        <v>700</v>
      </c>
    </row>
    <row r="131" spans="1:4" ht="15">
      <c r="A131" s="3270">
        <v>133904</v>
      </c>
      <c r="B131" s="641" t="str">
        <f t="shared" ref="B131:B194" si="2">CONCATENATE(LEFT(RIGHT(CONCATENATE("000",A131),6),3),"-",(RIGHT(RIGHT(CONCATENATE("000",A131),6),3)))</f>
        <v>133-904</v>
      </c>
      <c r="C131" t="s">
        <v>2045</v>
      </c>
      <c r="D131" s="52" t="s">
        <v>700</v>
      </c>
    </row>
    <row r="132" spans="1:4" ht="15">
      <c r="A132" s="3269">
        <v>93903</v>
      </c>
      <c r="B132" s="641" t="str">
        <f t="shared" si="2"/>
        <v>093-903</v>
      </c>
      <c r="C132" t="s">
        <v>229</v>
      </c>
      <c r="D132" s="52" t="s">
        <v>700</v>
      </c>
    </row>
    <row r="133" spans="1:4" ht="15">
      <c r="A133" s="3270">
        <v>243903</v>
      </c>
      <c r="B133" s="641" t="str">
        <f t="shared" si="2"/>
        <v>243-903</v>
      </c>
      <c r="C133" t="s">
        <v>2338</v>
      </c>
      <c r="D133" s="52" t="s">
        <v>700</v>
      </c>
    </row>
    <row r="134" spans="1:4" ht="15">
      <c r="A134" s="3270">
        <v>119902</v>
      </c>
      <c r="B134" s="641" t="str">
        <f t="shared" si="2"/>
        <v>119-902</v>
      </c>
      <c r="C134" t="s">
        <v>2463</v>
      </c>
      <c r="D134" s="52" t="s">
        <v>700</v>
      </c>
    </row>
    <row r="135" spans="1:4" ht="15">
      <c r="A135" s="3270">
        <v>246907</v>
      </c>
      <c r="B135" s="641" t="str">
        <f t="shared" si="2"/>
        <v>246-907</v>
      </c>
      <c r="C135" t="s">
        <v>1612</v>
      </c>
      <c r="D135" s="52" t="s">
        <v>700</v>
      </c>
    </row>
    <row r="136" spans="1:4" ht="15">
      <c r="A136" s="3270">
        <v>132902</v>
      </c>
      <c r="B136" s="641" t="str">
        <f t="shared" si="2"/>
        <v>132-902</v>
      </c>
      <c r="C136" t="s">
        <v>2042</v>
      </c>
      <c r="D136" s="52" t="s">
        <v>700</v>
      </c>
    </row>
    <row r="137" spans="1:4" ht="15">
      <c r="A137" s="3270">
        <v>155901</v>
      </c>
      <c r="B137" s="641" t="str">
        <f t="shared" si="2"/>
        <v>155-901</v>
      </c>
      <c r="C137" t="s">
        <v>563</v>
      </c>
      <c r="D137" s="52" t="s">
        <v>700</v>
      </c>
    </row>
    <row r="138" spans="1:4" ht="15">
      <c r="A138" s="3270">
        <v>221911</v>
      </c>
      <c r="B138" s="641" t="str">
        <f t="shared" si="2"/>
        <v>221-911</v>
      </c>
      <c r="C138" t="s">
        <v>2335</v>
      </c>
      <c r="D138" s="52" t="s">
        <v>700</v>
      </c>
    </row>
    <row r="139" spans="1:4" ht="15">
      <c r="A139" s="3269">
        <v>50909</v>
      </c>
      <c r="B139" s="641" t="str">
        <f t="shared" si="2"/>
        <v>050-909</v>
      </c>
      <c r="C139" t="s">
        <v>2220</v>
      </c>
      <c r="D139" s="52" t="s">
        <v>700</v>
      </c>
    </row>
    <row r="140" spans="1:4" ht="15">
      <c r="A140" s="3270">
        <v>126905</v>
      </c>
      <c r="B140" s="641" t="str">
        <f t="shared" si="2"/>
        <v>126-905</v>
      </c>
      <c r="C140" t="s">
        <v>407</v>
      </c>
      <c r="D140" s="52" t="s">
        <v>700</v>
      </c>
    </row>
    <row r="141" spans="1:4" ht="15">
      <c r="A141" s="3270">
        <v>128901</v>
      </c>
      <c r="B141" s="641" t="str">
        <f t="shared" si="2"/>
        <v>128-901</v>
      </c>
      <c r="C141" t="s">
        <v>409</v>
      </c>
      <c r="D141" s="52" t="s">
        <v>700</v>
      </c>
    </row>
    <row r="142" spans="1:4" ht="15">
      <c r="A142" s="3270">
        <v>101914</v>
      </c>
      <c r="B142" s="641" t="str">
        <f t="shared" si="2"/>
        <v>101-914</v>
      </c>
      <c r="C142" t="s">
        <v>410</v>
      </c>
      <c r="D142" s="52" t="s">
        <v>700</v>
      </c>
    </row>
    <row r="143" spans="1:4" ht="15">
      <c r="A143" s="3270">
        <v>129903</v>
      </c>
      <c r="B143" s="641" t="str">
        <f t="shared" si="2"/>
        <v>129-903</v>
      </c>
      <c r="C143" t="s">
        <v>411</v>
      </c>
      <c r="D143" s="52" t="s">
        <v>700</v>
      </c>
    </row>
    <row r="144" spans="1:4" ht="15">
      <c r="A144" s="3270">
        <v>129904</v>
      </c>
      <c r="B144" s="641" t="str">
        <f t="shared" si="2"/>
        <v>129-904</v>
      </c>
      <c r="C144" t="s">
        <v>413</v>
      </c>
      <c r="D144" s="52" t="s">
        <v>700</v>
      </c>
    </row>
    <row r="145" spans="1:4" ht="15">
      <c r="A145" s="3270">
        <v>248901</v>
      </c>
      <c r="B145" s="641" t="str">
        <f t="shared" si="2"/>
        <v>248-901</v>
      </c>
      <c r="C145" t="s">
        <v>1614</v>
      </c>
      <c r="D145" s="52" t="s">
        <v>700</v>
      </c>
    </row>
    <row r="146" spans="1:4" ht="15">
      <c r="A146" s="3270">
        <v>232901</v>
      </c>
      <c r="B146" s="641" t="str">
        <f t="shared" si="2"/>
        <v>232-901</v>
      </c>
      <c r="C146" t="s">
        <v>2472</v>
      </c>
      <c r="D146" s="52" t="s">
        <v>700</v>
      </c>
    </row>
    <row r="147" spans="1:4" ht="15">
      <c r="A147" s="3270">
        <v>125906</v>
      </c>
      <c r="B147" s="641" t="str">
        <f t="shared" si="2"/>
        <v>125-906</v>
      </c>
      <c r="C147" t="s">
        <v>1739</v>
      </c>
      <c r="D147" s="52" t="s">
        <v>700</v>
      </c>
    </row>
    <row r="148" spans="1:4" ht="15">
      <c r="A148" s="3270">
        <v>254902</v>
      </c>
      <c r="B148" s="641" t="str">
        <f t="shared" si="2"/>
        <v>254-902</v>
      </c>
      <c r="C148" t="s">
        <v>1898</v>
      </c>
      <c r="D148" s="52" t="s">
        <v>700</v>
      </c>
    </row>
    <row r="149" spans="1:4" ht="15">
      <c r="A149" s="3270">
        <v>247903</v>
      </c>
      <c r="B149" s="641" t="str">
        <f t="shared" si="2"/>
        <v>247-903</v>
      </c>
      <c r="C149" t="s">
        <v>1900</v>
      </c>
      <c r="D149" s="52" t="s">
        <v>700</v>
      </c>
    </row>
    <row r="150" spans="1:4" ht="15">
      <c r="A150" s="3269">
        <v>15913</v>
      </c>
      <c r="B150" s="641" t="str">
        <f t="shared" si="2"/>
        <v>015-913</v>
      </c>
      <c r="C150" t="s">
        <v>1025</v>
      </c>
      <c r="D150" s="52" t="s">
        <v>700</v>
      </c>
    </row>
    <row r="151" spans="1:4" ht="15">
      <c r="A151" s="3270">
        <v>227912</v>
      </c>
      <c r="B151" s="641" t="str">
        <f t="shared" si="2"/>
        <v>227-912</v>
      </c>
      <c r="C151" t="s">
        <v>1911</v>
      </c>
      <c r="D151" s="52" t="s">
        <v>700</v>
      </c>
    </row>
    <row r="152" spans="1:4" ht="15">
      <c r="A152" s="3270">
        <v>227913</v>
      </c>
      <c r="B152" s="641" t="str">
        <f t="shared" si="2"/>
        <v>227-913</v>
      </c>
      <c r="C152" t="s">
        <v>1912</v>
      </c>
      <c r="D152" s="52" t="s">
        <v>700</v>
      </c>
    </row>
    <row r="153" spans="1:4" ht="15">
      <c r="A153" s="3269">
        <v>79901</v>
      </c>
      <c r="B153" s="641" t="str">
        <f t="shared" si="2"/>
        <v>079-901</v>
      </c>
      <c r="C153" t="s">
        <v>1037</v>
      </c>
      <c r="D153" s="52" t="s">
        <v>700</v>
      </c>
    </row>
    <row r="154" spans="1:4" ht="15">
      <c r="A154" s="3270">
        <v>246913</v>
      </c>
      <c r="B154" s="641" t="str">
        <f t="shared" si="2"/>
        <v>246-913</v>
      </c>
      <c r="C154" t="s">
        <v>2465</v>
      </c>
      <c r="D154" s="52" t="s">
        <v>700</v>
      </c>
    </row>
    <row r="155" spans="1:4" ht="15">
      <c r="A155" s="3269">
        <v>19914</v>
      </c>
      <c r="B155" s="641" t="str">
        <f t="shared" si="2"/>
        <v>019-914</v>
      </c>
      <c r="C155" t="s">
        <v>2489</v>
      </c>
      <c r="D155" s="52" t="s">
        <v>700</v>
      </c>
    </row>
    <row r="156" spans="1:4" ht="15">
      <c r="A156" s="3270">
        <v>144902</v>
      </c>
      <c r="B156" s="641" t="str">
        <f t="shared" si="2"/>
        <v>144-902</v>
      </c>
      <c r="C156" t="s">
        <v>956</v>
      </c>
      <c r="D156" s="52" t="s">
        <v>700</v>
      </c>
    </row>
    <row r="157" spans="1:4" ht="15">
      <c r="A157" s="3270">
        <v>246908</v>
      </c>
      <c r="B157" s="641" t="str">
        <f t="shared" si="2"/>
        <v>246-908</v>
      </c>
      <c r="C157" t="s">
        <v>2467</v>
      </c>
      <c r="D157" s="52" t="s">
        <v>700</v>
      </c>
    </row>
    <row r="158" spans="1:4" ht="15">
      <c r="A158" s="3270">
        <v>146906</v>
      </c>
      <c r="B158" s="641" t="str">
        <f t="shared" si="2"/>
        <v>146-906</v>
      </c>
      <c r="C158" t="s">
        <v>543</v>
      </c>
      <c r="D158" s="52" t="s">
        <v>700</v>
      </c>
    </row>
    <row r="159" spans="1:4" ht="15">
      <c r="A159" s="3269">
        <v>49907</v>
      </c>
      <c r="B159" s="641" t="str">
        <f t="shared" si="2"/>
        <v>049-907</v>
      </c>
      <c r="C159" t="s">
        <v>2215</v>
      </c>
      <c r="D159" s="52" t="s">
        <v>700</v>
      </c>
    </row>
    <row r="160" spans="1:4" ht="15">
      <c r="A160" s="3270">
        <v>111902</v>
      </c>
      <c r="B160" s="641" t="str">
        <f t="shared" si="2"/>
        <v>111-902</v>
      </c>
      <c r="C160" t="s">
        <v>1566</v>
      </c>
      <c r="D160" s="52" t="s">
        <v>700</v>
      </c>
    </row>
    <row r="161" spans="1:4" ht="15">
      <c r="A161" s="3269">
        <v>61914</v>
      </c>
      <c r="B161" s="641" t="str">
        <f t="shared" si="2"/>
        <v>061-914</v>
      </c>
      <c r="C161" t="s">
        <v>1567</v>
      </c>
      <c r="D161" s="52" t="s">
        <v>700</v>
      </c>
    </row>
    <row r="162" spans="1:4" ht="15">
      <c r="A162" s="3269">
        <v>28902</v>
      </c>
      <c r="B162" s="641" t="str">
        <f t="shared" si="2"/>
        <v>028-902</v>
      </c>
      <c r="C162" t="s">
        <v>2227</v>
      </c>
      <c r="D162" s="52" t="s">
        <v>700</v>
      </c>
    </row>
    <row r="163" spans="1:4" ht="15">
      <c r="A163" s="3270">
        <v>141902</v>
      </c>
      <c r="B163" s="641" t="str">
        <f t="shared" si="2"/>
        <v>141-902</v>
      </c>
      <c r="C163" t="s">
        <v>948</v>
      </c>
      <c r="D163" s="52" t="s">
        <v>700</v>
      </c>
    </row>
    <row r="164" spans="1:4" ht="15">
      <c r="A164" s="3270">
        <v>178906</v>
      </c>
      <c r="B164" s="641" t="str">
        <f t="shared" si="2"/>
        <v>178-906</v>
      </c>
      <c r="C164" t="s">
        <v>318</v>
      </c>
      <c r="D164" s="52" t="s">
        <v>700</v>
      </c>
    </row>
    <row r="165" spans="1:4" ht="15">
      <c r="A165" s="3270">
        <v>241906</v>
      </c>
      <c r="B165" s="641" t="str">
        <f t="shared" si="2"/>
        <v>241-906</v>
      </c>
      <c r="C165" t="s">
        <v>1224</v>
      </c>
      <c r="D165" s="52" t="s">
        <v>700</v>
      </c>
    </row>
    <row r="166" spans="1:4" ht="15">
      <c r="A166" s="3269">
        <v>43919</v>
      </c>
      <c r="B166" s="641" t="str">
        <f t="shared" si="2"/>
        <v>043-919</v>
      </c>
      <c r="C166" t="s">
        <v>2201</v>
      </c>
      <c r="D166" s="52" t="s">
        <v>700</v>
      </c>
    </row>
    <row r="167" spans="1:4" ht="15">
      <c r="A167" s="3270">
        <v>152906</v>
      </c>
      <c r="B167" s="641" t="str">
        <f t="shared" si="2"/>
        <v>152-906</v>
      </c>
      <c r="C167" t="s">
        <v>587</v>
      </c>
      <c r="D167" s="52" t="s">
        <v>700</v>
      </c>
    </row>
    <row r="168" spans="1:4" ht="15">
      <c r="A168" s="3270">
        <v>100907</v>
      </c>
      <c r="B168" s="641" t="str">
        <f t="shared" si="2"/>
        <v>100-907</v>
      </c>
      <c r="C168" t="s">
        <v>839</v>
      </c>
      <c r="D168" s="52" t="s">
        <v>700</v>
      </c>
    </row>
    <row r="169" spans="1:4" ht="15">
      <c r="A169" s="3269">
        <v>7904</v>
      </c>
      <c r="B169" s="641" t="str">
        <f t="shared" si="2"/>
        <v>007-904</v>
      </c>
      <c r="C169" t="s">
        <v>1200</v>
      </c>
      <c r="D169" s="52" t="s">
        <v>700</v>
      </c>
    </row>
    <row r="170" spans="1:4" ht="15">
      <c r="A170" s="3270">
        <v>129905</v>
      </c>
      <c r="B170" s="641" t="str">
        <f t="shared" si="2"/>
        <v>129-905</v>
      </c>
      <c r="C170" t="s">
        <v>2037</v>
      </c>
      <c r="D170" s="52" t="s">
        <v>700</v>
      </c>
    </row>
    <row r="171" spans="1:4" ht="15">
      <c r="A171" s="3270">
        <v>154901</v>
      </c>
      <c r="B171" s="641" t="str">
        <f t="shared" si="2"/>
        <v>154-901</v>
      </c>
      <c r="C171" t="s">
        <v>37</v>
      </c>
      <c r="D171" s="52" t="s">
        <v>700</v>
      </c>
    </row>
    <row r="172" spans="1:4" ht="15">
      <c r="A172" s="3270">
        <v>170906</v>
      </c>
      <c r="B172" s="641" t="str">
        <f t="shared" si="2"/>
        <v>170-906</v>
      </c>
      <c r="C172" t="s">
        <v>288</v>
      </c>
      <c r="D172" s="52" t="s">
        <v>700</v>
      </c>
    </row>
    <row r="173" spans="1:4" ht="15">
      <c r="A173" s="3270">
        <v>109908</v>
      </c>
      <c r="B173" s="641" t="str">
        <f t="shared" si="2"/>
        <v>109-908</v>
      </c>
      <c r="C173" t="s">
        <v>2152</v>
      </c>
      <c r="D173" s="52" t="s">
        <v>700</v>
      </c>
    </row>
    <row r="174" spans="1:4" ht="15">
      <c r="A174" s="3269">
        <v>19910</v>
      </c>
      <c r="B174" s="641" t="str">
        <f t="shared" si="2"/>
        <v>019-910</v>
      </c>
      <c r="C174" t="s">
        <v>289</v>
      </c>
      <c r="D174" s="52" t="s">
        <v>700</v>
      </c>
    </row>
    <row r="175" spans="1:4" ht="15">
      <c r="A175" s="3270">
        <v>227907</v>
      </c>
      <c r="B175" s="641" t="str">
        <f t="shared" si="2"/>
        <v>227-907</v>
      </c>
      <c r="C175" t="s">
        <v>1909</v>
      </c>
      <c r="D175" s="52" t="s">
        <v>700</v>
      </c>
    </row>
    <row r="176" spans="1:4" ht="15">
      <c r="A176" s="3269">
        <v>94904</v>
      </c>
      <c r="B176" s="641" t="str">
        <f t="shared" si="2"/>
        <v>094-904</v>
      </c>
      <c r="C176" t="s">
        <v>293</v>
      </c>
      <c r="D176" s="52" t="s">
        <v>700</v>
      </c>
    </row>
    <row r="177" spans="1:4" ht="15">
      <c r="A177" s="3270">
        <v>174909</v>
      </c>
      <c r="B177" s="641" t="str">
        <f t="shared" si="2"/>
        <v>174-909</v>
      </c>
      <c r="C177" t="s">
        <v>2258</v>
      </c>
      <c r="D177" s="52" t="s">
        <v>700</v>
      </c>
    </row>
    <row r="178" spans="1:4" ht="15">
      <c r="A178" s="3269">
        <v>70915</v>
      </c>
      <c r="B178" s="641" t="str">
        <f t="shared" si="2"/>
        <v>070-915</v>
      </c>
      <c r="C178" t="s">
        <v>1992</v>
      </c>
      <c r="D178" s="52" t="s">
        <v>700</v>
      </c>
    </row>
    <row r="179" spans="1:4" ht="15">
      <c r="A179" s="3270">
        <v>231901</v>
      </c>
      <c r="B179" s="641" t="str">
        <f t="shared" si="2"/>
        <v>231-901</v>
      </c>
      <c r="C179" t="s">
        <v>779</v>
      </c>
      <c r="D179" s="52" t="s">
        <v>700</v>
      </c>
    </row>
    <row r="180" spans="1:4" ht="15">
      <c r="A180" s="3269">
        <v>11905</v>
      </c>
      <c r="B180" s="641" t="str">
        <f t="shared" si="2"/>
        <v>011-905</v>
      </c>
      <c r="C180" t="s">
        <v>818</v>
      </c>
      <c r="D180" s="52" t="s">
        <v>700</v>
      </c>
    </row>
    <row r="181" spans="1:4" ht="15">
      <c r="A181" s="3269">
        <v>34906</v>
      </c>
      <c r="B181" s="641" t="str">
        <f t="shared" si="2"/>
        <v>034-906</v>
      </c>
      <c r="C181" t="s">
        <v>821</v>
      </c>
      <c r="D181" s="52" t="s">
        <v>700</v>
      </c>
    </row>
    <row r="182" spans="1:4" ht="15">
      <c r="A182" s="3270">
        <v>162904</v>
      </c>
      <c r="B182" s="641" t="str">
        <f t="shared" si="2"/>
        <v>162-904</v>
      </c>
      <c r="C182" t="s">
        <v>1755</v>
      </c>
      <c r="D182" s="52" t="s">
        <v>700</v>
      </c>
    </row>
    <row r="183" spans="1:4" ht="15">
      <c r="A183" s="3270">
        <v>163908</v>
      </c>
      <c r="B183" s="641" t="str">
        <f t="shared" si="2"/>
        <v>163-908</v>
      </c>
      <c r="C183" t="s">
        <v>823</v>
      </c>
      <c r="D183" s="52" t="s">
        <v>700</v>
      </c>
    </row>
    <row r="184" spans="1:4" ht="15">
      <c r="A184" s="3269">
        <v>43908</v>
      </c>
      <c r="B184" s="641" t="str">
        <f t="shared" si="2"/>
        <v>043-908</v>
      </c>
      <c r="C184" t="s">
        <v>2199</v>
      </c>
      <c r="D184" s="52" t="s">
        <v>700</v>
      </c>
    </row>
    <row r="185" spans="1:4" ht="15">
      <c r="A185" s="3270">
        <v>164901</v>
      </c>
      <c r="B185" s="641" t="str">
        <f t="shared" si="2"/>
        <v>164-901</v>
      </c>
      <c r="C185" t="s">
        <v>1756</v>
      </c>
      <c r="D185" s="52" t="s">
        <v>700</v>
      </c>
    </row>
    <row r="186" spans="1:4" ht="15">
      <c r="A186" s="3270">
        <v>221904</v>
      </c>
      <c r="B186" s="641" t="str">
        <f t="shared" si="2"/>
        <v>221-904</v>
      </c>
      <c r="C186" t="s">
        <v>1282</v>
      </c>
      <c r="D186" s="52" t="s">
        <v>700</v>
      </c>
    </row>
    <row r="187" spans="1:4" ht="15">
      <c r="A187" s="3270">
        <v>147903</v>
      </c>
      <c r="B187" s="641" t="str">
        <f t="shared" si="2"/>
        <v>147-903</v>
      </c>
      <c r="C187" t="s">
        <v>546</v>
      </c>
      <c r="D187" s="52" t="s">
        <v>700</v>
      </c>
    </row>
    <row r="188" spans="1:4" ht="15">
      <c r="A188" s="3269">
        <v>62906</v>
      </c>
      <c r="B188" s="641" t="str">
        <f t="shared" si="2"/>
        <v>062-906</v>
      </c>
      <c r="C188" t="s">
        <v>2623</v>
      </c>
      <c r="D188" s="52" t="s">
        <v>700</v>
      </c>
    </row>
    <row r="189" spans="1:4" ht="15">
      <c r="A189" s="3270">
        <v>197902</v>
      </c>
      <c r="B189" s="641" t="str">
        <f t="shared" si="2"/>
        <v>197-902</v>
      </c>
      <c r="C189" t="s">
        <v>1627</v>
      </c>
      <c r="D189" s="52" t="s">
        <v>700</v>
      </c>
    </row>
    <row r="190" spans="1:4" ht="15">
      <c r="A190" s="3270">
        <v>165901</v>
      </c>
      <c r="B190" s="641" t="str">
        <f t="shared" si="2"/>
        <v>165-901</v>
      </c>
      <c r="C190" t="s">
        <v>2236</v>
      </c>
      <c r="D190" s="52" t="s">
        <v>700</v>
      </c>
    </row>
    <row r="191" spans="1:4" ht="15">
      <c r="A191" s="3269">
        <v>70908</v>
      </c>
      <c r="B191" s="641" t="str">
        <f t="shared" si="2"/>
        <v>070-908</v>
      </c>
      <c r="C191" t="s">
        <v>1971</v>
      </c>
      <c r="D191" s="52" t="s">
        <v>700</v>
      </c>
    </row>
    <row r="192" spans="1:4" ht="15">
      <c r="A192" s="3270">
        <v>161903</v>
      </c>
      <c r="B192" s="641" t="str">
        <f t="shared" si="2"/>
        <v>161-903</v>
      </c>
      <c r="C192" t="s">
        <v>1922</v>
      </c>
      <c r="D192" s="52" t="s">
        <v>700</v>
      </c>
    </row>
    <row r="193" spans="1:4" ht="15">
      <c r="A193" s="3270">
        <v>166903</v>
      </c>
      <c r="B193" s="641" t="str">
        <f t="shared" si="2"/>
        <v>166-903</v>
      </c>
      <c r="C193" t="s">
        <v>1759</v>
      </c>
      <c r="D193" s="52" t="s">
        <v>700</v>
      </c>
    </row>
    <row r="194" spans="1:4" ht="15">
      <c r="A194" s="3269">
        <v>70909</v>
      </c>
      <c r="B194" s="641" t="str">
        <f t="shared" si="2"/>
        <v>070-909</v>
      </c>
      <c r="C194" t="s">
        <v>1972</v>
      </c>
      <c r="D194" s="52" t="s">
        <v>700</v>
      </c>
    </row>
    <row r="195" spans="1:4" ht="15">
      <c r="A195" s="3270">
        <v>112907</v>
      </c>
      <c r="B195" s="641" t="str">
        <f t="shared" ref="B195:B258" si="3">CONCATENATE(LEFT(RIGHT(CONCATENATE("000",A195),6),3),"-",(RIGHT(RIGHT(CONCATENATE("000",A195),6),3)))</f>
        <v>112-907</v>
      </c>
      <c r="C195" t="s">
        <v>2238</v>
      </c>
      <c r="D195" s="52" t="s">
        <v>700</v>
      </c>
    </row>
    <row r="196" spans="1:4" ht="15">
      <c r="A196" s="3270">
        <v>184904</v>
      </c>
      <c r="B196" s="641" t="str">
        <f t="shared" si="3"/>
        <v>184-904</v>
      </c>
      <c r="C196" t="s">
        <v>2239</v>
      </c>
      <c r="D196" s="52" t="s">
        <v>700</v>
      </c>
    </row>
    <row r="197" spans="1:4" ht="15">
      <c r="A197" s="3270">
        <v>238902</v>
      </c>
      <c r="B197" s="641" t="str">
        <f t="shared" si="3"/>
        <v>238-902</v>
      </c>
      <c r="C197" t="s">
        <v>887</v>
      </c>
      <c r="D197" s="52" t="s">
        <v>700</v>
      </c>
    </row>
    <row r="198" spans="1:4" ht="15">
      <c r="A198" s="3270">
        <v>169908</v>
      </c>
      <c r="B198" s="641" t="str">
        <f t="shared" si="3"/>
        <v>169-908</v>
      </c>
      <c r="C198" t="s">
        <v>2245</v>
      </c>
      <c r="D198" s="52" t="s">
        <v>700</v>
      </c>
    </row>
    <row r="199" spans="1:4" ht="15">
      <c r="A199" s="3270">
        <v>170903</v>
      </c>
      <c r="B199" s="641" t="str">
        <f t="shared" si="3"/>
        <v>170-903</v>
      </c>
      <c r="C199" t="s">
        <v>2249</v>
      </c>
      <c r="D199" s="52" t="s">
        <v>700</v>
      </c>
    </row>
    <row r="200" spans="1:4" ht="15">
      <c r="A200" s="3270">
        <v>161910</v>
      </c>
      <c r="B200" s="641" t="str">
        <f t="shared" si="3"/>
        <v>161-910</v>
      </c>
      <c r="C200" t="s">
        <v>1750</v>
      </c>
      <c r="D200" s="52" t="s">
        <v>700</v>
      </c>
    </row>
    <row r="201" spans="1:4" ht="15">
      <c r="A201" s="3269">
        <v>18903</v>
      </c>
      <c r="B201" s="641" t="str">
        <f t="shared" si="3"/>
        <v>018-903</v>
      </c>
      <c r="C201" t="s">
        <v>2683</v>
      </c>
      <c r="D201" s="52" t="s">
        <v>700</v>
      </c>
    </row>
    <row r="202" spans="1:4" ht="15">
      <c r="A202" s="3269">
        <v>72910</v>
      </c>
      <c r="B202" s="641" t="str">
        <f t="shared" si="3"/>
        <v>072-910</v>
      </c>
      <c r="C202" t="s">
        <v>1978</v>
      </c>
      <c r="D202" s="52" t="s">
        <v>700</v>
      </c>
    </row>
    <row r="203" spans="1:4" ht="15">
      <c r="A203" s="3270">
        <v>109910</v>
      </c>
      <c r="B203" s="641" t="str">
        <f t="shared" si="3"/>
        <v>109-910</v>
      </c>
      <c r="C203" t="s">
        <v>2243</v>
      </c>
      <c r="D203" s="52" t="s">
        <v>700</v>
      </c>
    </row>
    <row r="204" spans="1:4" ht="15">
      <c r="A204" s="3269">
        <v>94903</v>
      </c>
      <c r="B204" s="641" t="str">
        <f t="shared" si="3"/>
        <v>094-903</v>
      </c>
      <c r="C204" t="s">
        <v>232</v>
      </c>
      <c r="D204" s="52" t="s">
        <v>700</v>
      </c>
    </row>
    <row r="205" spans="1:4" ht="15">
      <c r="A205" s="3269">
        <v>35903</v>
      </c>
      <c r="B205" s="641" t="str">
        <f t="shared" si="3"/>
        <v>035-903</v>
      </c>
      <c r="C205" t="s">
        <v>389</v>
      </c>
      <c r="D205" s="52" t="s">
        <v>700</v>
      </c>
    </row>
    <row r="206" spans="1:4" ht="15">
      <c r="A206" s="3269">
        <v>46901</v>
      </c>
      <c r="B206" s="641" t="str">
        <f t="shared" si="3"/>
        <v>046-901</v>
      </c>
      <c r="C206" t="s">
        <v>2206</v>
      </c>
      <c r="D206" s="52" t="s">
        <v>700</v>
      </c>
    </row>
    <row r="207" spans="1:4" ht="15">
      <c r="A207" s="3270">
        <v>170908</v>
      </c>
      <c r="B207" s="641" t="str">
        <f t="shared" si="3"/>
        <v>170-908</v>
      </c>
      <c r="C207" t="s">
        <v>1142</v>
      </c>
      <c r="D207" s="52" t="s">
        <v>700</v>
      </c>
    </row>
    <row r="208" spans="1:4" ht="15">
      <c r="A208" s="3270">
        <v>230906</v>
      </c>
      <c r="B208" s="641" t="str">
        <f t="shared" si="3"/>
        <v>230-906</v>
      </c>
      <c r="C208" t="s">
        <v>1536</v>
      </c>
      <c r="D208" s="52" t="s">
        <v>700</v>
      </c>
    </row>
    <row r="209" spans="1:4" ht="15">
      <c r="A209" s="3270">
        <v>153905</v>
      </c>
      <c r="B209" s="641" t="str">
        <f t="shared" si="3"/>
        <v>153-905</v>
      </c>
      <c r="C209" t="s">
        <v>560</v>
      </c>
      <c r="D209" s="52" t="s">
        <v>700</v>
      </c>
    </row>
    <row r="210" spans="1:4" ht="15">
      <c r="A210" s="3270">
        <v>145906</v>
      </c>
      <c r="B210" s="641" t="str">
        <f t="shared" si="3"/>
        <v>145-906</v>
      </c>
      <c r="C210" t="s">
        <v>1825</v>
      </c>
      <c r="D210" s="52" t="s">
        <v>700</v>
      </c>
    </row>
    <row r="211" spans="1:4" ht="15">
      <c r="A211" s="3270">
        <v>244905</v>
      </c>
      <c r="B211" s="641" t="str">
        <f t="shared" si="3"/>
        <v>244-905</v>
      </c>
      <c r="C211" t="s">
        <v>2289</v>
      </c>
      <c r="D211" s="52" t="s">
        <v>700</v>
      </c>
    </row>
    <row r="212" spans="1:4" ht="15">
      <c r="A212" s="3269">
        <v>61911</v>
      </c>
      <c r="B212" s="641" t="str">
        <f t="shared" si="3"/>
        <v>061-911</v>
      </c>
      <c r="C212" t="s">
        <v>1256</v>
      </c>
      <c r="D212" s="52" t="s">
        <v>700</v>
      </c>
    </row>
    <row r="213" spans="1:4" ht="15">
      <c r="A213" s="3270">
        <v>235904</v>
      </c>
      <c r="B213" s="641" t="str">
        <f t="shared" si="3"/>
        <v>235-904</v>
      </c>
      <c r="C213" t="s">
        <v>2082</v>
      </c>
      <c r="D213" s="52" t="s">
        <v>700</v>
      </c>
    </row>
    <row r="214" spans="1:4" ht="15">
      <c r="A214" s="3270">
        <v>145907</v>
      </c>
      <c r="B214" s="641" t="str">
        <f t="shared" si="3"/>
        <v>145-907</v>
      </c>
      <c r="C214" t="s">
        <v>1826</v>
      </c>
      <c r="D214" s="52" t="s">
        <v>700</v>
      </c>
    </row>
    <row r="215" spans="1:4" ht="15">
      <c r="A215" s="3270">
        <v>153903</v>
      </c>
      <c r="B215" s="641" t="str">
        <f t="shared" si="3"/>
        <v>153-903</v>
      </c>
      <c r="C215" t="s">
        <v>558</v>
      </c>
      <c r="D215" s="52" t="s">
        <v>700</v>
      </c>
    </row>
    <row r="216" spans="1:4" ht="15">
      <c r="A216" s="3269">
        <v>50904</v>
      </c>
      <c r="B216" s="641" t="str">
        <f t="shared" si="3"/>
        <v>050-904</v>
      </c>
      <c r="C216" t="s">
        <v>261</v>
      </c>
      <c r="D216" s="52" t="s">
        <v>700</v>
      </c>
    </row>
    <row r="217" spans="1:4" ht="15">
      <c r="A217" s="3270">
        <v>200906</v>
      </c>
      <c r="B217" s="641" t="str">
        <f t="shared" si="3"/>
        <v>200-906</v>
      </c>
      <c r="C217" t="s">
        <v>262</v>
      </c>
      <c r="D217" s="52" t="s">
        <v>700</v>
      </c>
    </row>
    <row r="218" spans="1:4" ht="15">
      <c r="A218" s="3270">
        <v>187910</v>
      </c>
      <c r="B218" s="641" t="str">
        <f t="shared" si="3"/>
        <v>187-910</v>
      </c>
      <c r="C218" t="s">
        <v>447</v>
      </c>
      <c r="D218" s="52" t="s">
        <v>700</v>
      </c>
    </row>
    <row r="219" spans="1:4" ht="15">
      <c r="A219" s="3270">
        <v>181905</v>
      </c>
      <c r="B219" s="641" t="str">
        <f t="shared" si="3"/>
        <v>181-905</v>
      </c>
      <c r="C219" t="s">
        <v>327</v>
      </c>
      <c r="D219" s="52" t="s">
        <v>700</v>
      </c>
    </row>
    <row r="220" spans="1:4" ht="15">
      <c r="A220" s="3270">
        <v>230903</v>
      </c>
      <c r="B220" s="641" t="str">
        <f t="shared" si="3"/>
        <v>230-903</v>
      </c>
      <c r="C220" t="s">
        <v>1017</v>
      </c>
      <c r="D220" s="52" t="s">
        <v>700</v>
      </c>
    </row>
    <row r="221" spans="1:4" ht="15">
      <c r="A221" s="3269">
        <v>48903</v>
      </c>
      <c r="B221" s="641" t="str">
        <f t="shared" si="3"/>
        <v>048-903</v>
      </c>
      <c r="C221" t="s">
        <v>2211</v>
      </c>
      <c r="D221" s="52" t="s">
        <v>700</v>
      </c>
    </row>
    <row r="222" spans="1:4" ht="15">
      <c r="A222" s="3269">
        <v>70910</v>
      </c>
      <c r="B222" s="641" t="str">
        <f t="shared" si="3"/>
        <v>070-910</v>
      </c>
      <c r="C222" t="s">
        <v>1363</v>
      </c>
      <c r="D222" s="52" t="s">
        <v>700</v>
      </c>
    </row>
    <row r="223" spans="1:4" ht="15">
      <c r="A223" s="3270">
        <v>249906</v>
      </c>
      <c r="B223" s="641" t="str">
        <f t="shared" si="3"/>
        <v>249-906</v>
      </c>
      <c r="C223" t="s">
        <v>1365</v>
      </c>
      <c r="D223" s="52" t="s">
        <v>700</v>
      </c>
    </row>
    <row r="224" spans="1:4" ht="15">
      <c r="A224" s="3270">
        <v>139909</v>
      </c>
      <c r="B224" s="641" t="str">
        <f t="shared" si="3"/>
        <v>139-909</v>
      </c>
      <c r="C224" t="s">
        <v>198</v>
      </c>
      <c r="D224" s="52" t="s">
        <v>700</v>
      </c>
    </row>
    <row r="225" spans="1:4" ht="15">
      <c r="A225" s="3270">
        <v>184908</v>
      </c>
      <c r="B225" s="641" t="str">
        <f t="shared" si="3"/>
        <v>184-908</v>
      </c>
      <c r="C225" t="s">
        <v>2593</v>
      </c>
      <c r="D225" s="52" t="s">
        <v>700</v>
      </c>
    </row>
    <row r="226" spans="1:4" ht="15">
      <c r="A226" s="3270">
        <v>195901</v>
      </c>
      <c r="B226" s="641" t="str">
        <f t="shared" si="3"/>
        <v>195-901</v>
      </c>
      <c r="C226" t="s">
        <v>1623</v>
      </c>
      <c r="D226" s="52" t="s">
        <v>700</v>
      </c>
    </row>
    <row r="227" spans="1:4" ht="15">
      <c r="A227" s="3269">
        <v>95904</v>
      </c>
      <c r="B227" s="641" t="str">
        <f t="shared" si="3"/>
        <v>095-904</v>
      </c>
      <c r="C227" t="s">
        <v>236</v>
      </c>
      <c r="D227" s="52" t="s">
        <v>700</v>
      </c>
    </row>
    <row r="228" spans="1:4" ht="15">
      <c r="A228" s="3270">
        <v>227904</v>
      </c>
      <c r="B228" s="641" t="str">
        <f t="shared" si="3"/>
        <v>227-904</v>
      </c>
      <c r="C228" t="s">
        <v>998</v>
      </c>
      <c r="D228" s="52" t="s">
        <v>700</v>
      </c>
    </row>
    <row r="229" spans="1:4" ht="15">
      <c r="A229" s="3270">
        <v>251902</v>
      </c>
      <c r="B229" s="641" t="str">
        <f t="shared" si="3"/>
        <v>251-902</v>
      </c>
      <c r="C229" t="s">
        <v>1374</v>
      </c>
      <c r="D229" s="52" t="s">
        <v>700</v>
      </c>
    </row>
    <row r="230" spans="1:4" ht="15">
      <c r="A230" s="3269">
        <v>61906</v>
      </c>
      <c r="B230" s="641" t="str">
        <f t="shared" si="3"/>
        <v>061-906</v>
      </c>
      <c r="C230" t="s">
        <v>1002</v>
      </c>
      <c r="D230" s="52" t="s">
        <v>700</v>
      </c>
    </row>
    <row r="231" spans="1:4" ht="15">
      <c r="A231" s="3269">
        <v>28906</v>
      </c>
      <c r="B231" s="641" t="str">
        <f t="shared" si="3"/>
        <v>028-906</v>
      </c>
      <c r="C231" t="s">
        <v>1598</v>
      </c>
      <c r="D231" s="52" t="s">
        <v>700</v>
      </c>
    </row>
    <row r="232" spans="1:4" ht="15">
      <c r="A232" s="3270">
        <v>169909</v>
      </c>
      <c r="B232" s="641" t="str">
        <f t="shared" si="3"/>
        <v>169-909</v>
      </c>
      <c r="C232" t="s">
        <v>2246</v>
      </c>
      <c r="D232" s="52" t="s">
        <v>700</v>
      </c>
    </row>
    <row r="233" spans="1:4" ht="15">
      <c r="A233" s="3270">
        <v>125905</v>
      </c>
      <c r="B233" s="641" t="str">
        <f t="shared" si="3"/>
        <v>125-905</v>
      </c>
      <c r="C233" t="s">
        <v>2102</v>
      </c>
      <c r="D233" s="52" t="s">
        <v>700</v>
      </c>
    </row>
    <row r="234" spans="1:4" ht="15">
      <c r="A234" s="3269">
        <v>43911</v>
      </c>
      <c r="B234" s="641" t="str">
        <f t="shared" si="3"/>
        <v>043-911</v>
      </c>
      <c r="C234" t="s">
        <v>74</v>
      </c>
      <c r="D234" s="52" t="s">
        <v>700</v>
      </c>
    </row>
    <row r="235" spans="1:4" ht="15">
      <c r="A235" s="3269">
        <v>43912</v>
      </c>
      <c r="B235" s="641" t="str">
        <f t="shared" si="3"/>
        <v>043-912</v>
      </c>
      <c r="C235" t="s">
        <v>76</v>
      </c>
      <c r="D235" s="52" t="s">
        <v>700</v>
      </c>
    </row>
    <row r="236" spans="1:4" ht="15">
      <c r="A236" s="3269">
        <v>34907</v>
      </c>
      <c r="B236" s="641" t="str">
        <f t="shared" si="3"/>
        <v>034-907</v>
      </c>
      <c r="C236" t="s">
        <v>1706</v>
      </c>
      <c r="D236" s="52" t="s">
        <v>700</v>
      </c>
    </row>
    <row r="237" spans="1:4" ht="15">
      <c r="A237" s="3270">
        <v>231902</v>
      </c>
      <c r="B237" s="641" t="str">
        <f t="shared" si="3"/>
        <v>231-902</v>
      </c>
      <c r="C237" t="s">
        <v>780</v>
      </c>
      <c r="D237" s="52" t="s">
        <v>700</v>
      </c>
    </row>
    <row r="238" spans="1:4" ht="15">
      <c r="A238" s="3269">
        <v>45903</v>
      </c>
      <c r="B238" s="641" t="str">
        <f t="shared" si="3"/>
        <v>045-903</v>
      </c>
      <c r="C238" t="s">
        <v>1031</v>
      </c>
      <c r="D238" s="52" t="s">
        <v>700</v>
      </c>
    </row>
    <row r="239" spans="1:4" ht="15">
      <c r="A239" s="3269">
        <v>93905</v>
      </c>
      <c r="B239" s="641" t="str">
        <f t="shared" si="3"/>
        <v>093-905</v>
      </c>
      <c r="C239" t="s">
        <v>231</v>
      </c>
      <c r="D239" s="52" t="s">
        <v>700</v>
      </c>
    </row>
    <row r="240" spans="1:4" ht="15">
      <c r="A240" s="3270">
        <v>206902</v>
      </c>
      <c r="B240" s="641" t="str">
        <f t="shared" si="3"/>
        <v>206-902</v>
      </c>
      <c r="C240" t="s">
        <v>354</v>
      </c>
      <c r="D240" s="52" t="s">
        <v>700</v>
      </c>
    </row>
    <row r="241" spans="1:4" ht="15">
      <c r="A241" s="3270">
        <v>161912</v>
      </c>
      <c r="B241" s="641" t="str">
        <f t="shared" si="3"/>
        <v>161-912</v>
      </c>
      <c r="C241" t="s">
        <v>1740</v>
      </c>
      <c r="D241" s="52" t="s">
        <v>700</v>
      </c>
    </row>
    <row r="242" spans="1:4" ht="15">
      <c r="A242" s="3269">
        <v>67908</v>
      </c>
      <c r="B242" s="641" t="str">
        <f t="shared" si="3"/>
        <v>067-908</v>
      </c>
      <c r="C242" t="s">
        <v>1965</v>
      </c>
      <c r="D242" s="52" t="s">
        <v>700</v>
      </c>
    </row>
    <row r="243" spans="1:4" ht="15">
      <c r="A243" s="3270">
        <v>188902</v>
      </c>
      <c r="B243" s="641" t="str">
        <f t="shared" si="3"/>
        <v>188-902</v>
      </c>
      <c r="C243" t="s">
        <v>2696</v>
      </c>
      <c r="D243" s="52" t="s">
        <v>700</v>
      </c>
    </row>
    <row r="244" spans="1:4" ht="15">
      <c r="A244" s="3270">
        <v>194903</v>
      </c>
      <c r="B244" s="641" t="str">
        <f t="shared" si="3"/>
        <v>194-903</v>
      </c>
      <c r="C244" t="s">
        <v>2697</v>
      </c>
      <c r="D244" s="52" t="s">
        <v>700</v>
      </c>
    </row>
    <row r="245" spans="1:4" ht="15">
      <c r="A245" s="3270">
        <v>137903</v>
      </c>
      <c r="B245" s="641" t="str">
        <f t="shared" si="3"/>
        <v>137-903</v>
      </c>
      <c r="C245" t="s">
        <v>2051</v>
      </c>
      <c r="D245" s="52" t="s">
        <v>700</v>
      </c>
    </row>
    <row r="246" spans="1:4" ht="15">
      <c r="A246" s="3270">
        <v>161922</v>
      </c>
      <c r="B246" s="641" t="str">
        <f t="shared" si="3"/>
        <v>161-922</v>
      </c>
      <c r="C246" t="s">
        <v>2698</v>
      </c>
      <c r="D246" s="52" t="s">
        <v>700</v>
      </c>
    </row>
    <row r="247" spans="1:4" ht="15">
      <c r="A247" s="3269">
        <v>69901</v>
      </c>
      <c r="B247" s="641" t="str">
        <f t="shared" si="3"/>
        <v>069-901</v>
      </c>
      <c r="C247" t="s">
        <v>1967</v>
      </c>
      <c r="D247" s="52" t="s">
        <v>700</v>
      </c>
    </row>
    <row r="248" spans="1:4" ht="15">
      <c r="A248" s="3270">
        <v>199901</v>
      </c>
      <c r="B248" s="641" t="str">
        <f t="shared" si="3"/>
        <v>199-901</v>
      </c>
      <c r="C248" t="s">
        <v>977</v>
      </c>
      <c r="D248" s="52" t="s">
        <v>700</v>
      </c>
    </row>
    <row r="249" spans="1:4" ht="15">
      <c r="A249" s="3270">
        <v>110905</v>
      </c>
      <c r="B249" s="641" t="str">
        <f t="shared" si="3"/>
        <v>110-905</v>
      </c>
      <c r="C249" t="s">
        <v>2606</v>
      </c>
      <c r="D249" s="52" t="s">
        <v>700</v>
      </c>
    </row>
    <row r="250" spans="1:4" ht="15">
      <c r="A250" s="3270">
        <v>177901</v>
      </c>
      <c r="B250" s="641" t="str">
        <f t="shared" si="3"/>
        <v>177-901</v>
      </c>
      <c r="C250" t="s">
        <v>3914</v>
      </c>
      <c r="D250" s="52" t="s">
        <v>700</v>
      </c>
    </row>
    <row r="251" spans="1:4" ht="15">
      <c r="A251" s="3269">
        <v>73905</v>
      </c>
      <c r="B251" s="641" t="str">
        <f t="shared" si="3"/>
        <v>073-905</v>
      </c>
      <c r="C251" t="s">
        <v>1980</v>
      </c>
      <c r="D251" s="52" t="s">
        <v>700</v>
      </c>
    </row>
    <row r="252" spans="1:4" ht="15">
      <c r="A252" s="3269">
        <v>76904</v>
      </c>
      <c r="B252" s="641" t="str">
        <f t="shared" si="3"/>
        <v>076-904</v>
      </c>
      <c r="C252" t="s">
        <v>610</v>
      </c>
      <c r="D252" s="52" t="s">
        <v>700</v>
      </c>
    </row>
    <row r="253" spans="1:4" ht="15">
      <c r="A253" s="3270">
        <v>246909</v>
      </c>
      <c r="B253" s="641" t="str">
        <f t="shared" si="3"/>
        <v>246-909</v>
      </c>
      <c r="C253" t="s">
        <v>611</v>
      </c>
      <c r="D253" s="52" t="s">
        <v>700</v>
      </c>
    </row>
    <row r="254" spans="1:4" ht="15">
      <c r="A254" s="3270">
        <v>199902</v>
      </c>
      <c r="B254" s="641" t="str">
        <f t="shared" si="3"/>
        <v>199-902</v>
      </c>
      <c r="C254" t="s">
        <v>613</v>
      </c>
      <c r="D254" s="52" t="s">
        <v>700</v>
      </c>
    </row>
    <row r="255" spans="1:4" ht="15">
      <c r="A255" s="3269">
        <v>91914</v>
      </c>
      <c r="B255" s="641" t="str">
        <f t="shared" si="3"/>
        <v>091-914</v>
      </c>
      <c r="C255" t="s">
        <v>1041</v>
      </c>
      <c r="D255" s="52" t="s">
        <v>700</v>
      </c>
    </row>
    <row r="256" spans="1:4" ht="15">
      <c r="A256" s="3270">
        <v>169911</v>
      </c>
      <c r="B256" s="641" t="str">
        <f t="shared" si="3"/>
        <v>169-911</v>
      </c>
      <c r="C256" t="s">
        <v>2248</v>
      </c>
      <c r="D256" s="52" t="s">
        <v>700</v>
      </c>
    </row>
    <row r="257" spans="1:4" ht="15">
      <c r="A257" s="3269">
        <v>14908</v>
      </c>
      <c r="B257" s="641" t="str">
        <f t="shared" si="3"/>
        <v>014-908</v>
      </c>
      <c r="C257" t="s">
        <v>2025</v>
      </c>
      <c r="D257" s="52" t="s">
        <v>700</v>
      </c>
    </row>
    <row r="258" spans="1:4" ht="15">
      <c r="A258" s="3269">
        <v>66902</v>
      </c>
      <c r="B258" s="641" t="str">
        <f t="shared" si="3"/>
        <v>066-902</v>
      </c>
      <c r="C258" t="s">
        <v>2030</v>
      </c>
      <c r="D258" s="52" t="s">
        <v>700</v>
      </c>
    </row>
    <row r="259" spans="1:4" ht="15">
      <c r="A259" s="3269">
        <v>58909</v>
      </c>
      <c r="B259" s="641" t="str">
        <f t="shared" ref="B259:B318" si="4">CONCATENATE(LEFT(RIGHT(CONCATENATE("000",A259),6),3),"-",(RIGHT(RIGHT(CONCATENATE("000",A259),6),3)))</f>
        <v>058-909</v>
      </c>
      <c r="C259" t="s">
        <v>2615</v>
      </c>
      <c r="D259" s="52" t="s">
        <v>700</v>
      </c>
    </row>
    <row r="260" spans="1:4" ht="15">
      <c r="A260" s="3270">
        <v>137904</v>
      </c>
      <c r="B260" s="641" t="str">
        <f t="shared" si="4"/>
        <v>137-904</v>
      </c>
      <c r="C260" t="s">
        <v>2052</v>
      </c>
      <c r="D260" s="52" t="s">
        <v>700</v>
      </c>
    </row>
    <row r="261" spans="1:4" ht="15">
      <c r="A261" s="3269">
        <v>74911</v>
      </c>
      <c r="B261" s="641" t="str">
        <f t="shared" si="4"/>
        <v>074-911</v>
      </c>
      <c r="C261" t="s">
        <v>4</v>
      </c>
      <c r="D261" s="52" t="s">
        <v>700</v>
      </c>
    </row>
    <row r="262" spans="1:4" ht="15">
      <c r="A262" s="3270">
        <v>129910</v>
      </c>
      <c r="B262" s="641" t="str">
        <f t="shared" si="4"/>
        <v>129-910</v>
      </c>
      <c r="C262" t="s">
        <v>1246</v>
      </c>
      <c r="D262" s="52" t="s">
        <v>700</v>
      </c>
    </row>
    <row r="263" spans="1:4" ht="15">
      <c r="A263" s="3269">
        <v>83903</v>
      </c>
      <c r="B263" s="641" t="str">
        <f t="shared" si="4"/>
        <v>083-903</v>
      </c>
      <c r="C263" t="s">
        <v>532</v>
      </c>
      <c r="D263" s="52" t="s">
        <v>700</v>
      </c>
    </row>
    <row r="264" spans="1:4" ht="15">
      <c r="A264" s="3270">
        <v>101924</v>
      </c>
      <c r="B264" s="641" t="str">
        <f t="shared" si="4"/>
        <v>101-924</v>
      </c>
      <c r="C264" t="s">
        <v>2192</v>
      </c>
      <c r="D264" s="52" t="s">
        <v>700</v>
      </c>
    </row>
    <row r="265" spans="1:4" ht="15">
      <c r="A265" s="3270">
        <v>143903</v>
      </c>
      <c r="B265" s="641" t="str">
        <f t="shared" si="4"/>
        <v>143-903</v>
      </c>
      <c r="C265" t="s">
        <v>951</v>
      </c>
      <c r="D265" s="52" t="s">
        <v>700</v>
      </c>
    </row>
    <row r="266" spans="1:4" ht="15">
      <c r="A266" s="3270">
        <v>100904</v>
      </c>
      <c r="B266" s="641" t="str">
        <f t="shared" si="4"/>
        <v>100-904</v>
      </c>
      <c r="C266" t="s">
        <v>1494</v>
      </c>
      <c r="D266" s="52" t="s">
        <v>700</v>
      </c>
    </row>
    <row r="267" spans="1:4" ht="15">
      <c r="A267" s="3269">
        <v>19909</v>
      </c>
      <c r="B267" s="641" t="str">
        <f t="shared" si="4"/>
        <v>019-909</v>
      </c>
      <c r="C267" t="s">
        <v>266</v>
      </c>
      <c r="D267" s="52" t="s">
        <v>700</v>
      </c>
    </row>
    <row r="268" spans="1:4" ht="15">
      <c r="A268" s="3270">
        <v>152903</v>
      </c>
      <c r="B268" s="641" t="str">
        <f t="shared" si="4"/>
        <v>152-903</v>
      </c>
      <c r="C268" t="s">
        <v>555</v>
      </c>
      <c r="D268" s="52" t="s">
        <v>700</v>
      </c>
    </row>
    <row r="269" spans="1:4" ht="15">
      <c r="A269" s="3270">
        <v>249908</v>
      </c>
      <c r="B269" s="641" t="str">
        <f t="shared" si="4"/>
        <v>249-908</v>
      </c>
      <c r="C269" t="s">
        <v>1927</v>
      </c>
      <c r="D269" s="52" t="s">
        <v>700</v>
      </c>
    </row>
    <row r="270" spans="1:4" ht="15">
      <c r="A270" s="3269">
        <v>26903</v>
      </c>
      <c r="B270" s="641" t="str">
        <f t="shared" si="4"/>
        <v>026-903</v>
      </c>
      <c r="C270" t="s">
        <v>1597</v>
      </c>
      <c r="D270" s="52" t="s">
        <v>700</v>
      </c>
    </row>
    <row r="271" spans="1:4" ht="15">
      <c r="A271" s="3269">
        <v>26902</v>
      </c>
      <c r="B271" s="641" t="str">
        <f t="shared" si="4"/>
        <v>026-902</v>
      </c>
      <c r="C271" t="s">
        <v>1596</v>
      </c>
      <c r="D271" s="52" t="s">
        <v>700</v>
      </c>
    </row>
    <row r="272" spans="1:4" ht="15">
      <c r="A272" s="3269">
        <v>31916</v>
      </c>
      <c r="B272" s="641" t="str">
        <f t="shared" si="4"/>
        <v>031-916</v>
      </c>
      <c r="C272" t="s">
        <v>8675</v>
      </c>
      <c r="D272" s="52" t="s">
        <v>700</v>
      </c>
    </row>
    <row r="273" spans="1:4" ht="15">
      <c r="A273" s="3270">
        <v>170907</v>
      </c>
      <c r="B273" s="641" t="str">
        <f t="shared" si="4"/>
        <v>170-907</v>
      </c>
      <c r="C273" t="s">
        <v>1935</v>
      </c>
      <c r="D273" s="52" t="s">
        <v>700</v>
      </c>
    </row>
    <row r="274" spans="1:4" ht="15">
      <c r="A274" s="3269">
        <v>92907</v>
      </c>
      <c r="B274" s="641" t="str">
        <f t="shared" si="4"/>
        <v>092-907</v>
      </c>
      <c r="C274" t="s">
        <v>1936</v>
      </c>
      <c r="D274" s="52" t="s">
        <v>700</v>
      </c>
    </row>
    <row r="275" spans="1:4" ht="15">
      <c r="A275" s="3270">
        <v>156902</v>
      </c>
      <c r="B275" s="641" t="str">
        <f t="shared" si="4"/>
        <v>156-902</v>
      </c>
      <c r="C275" t="s">
        <v>564</v>
      </c>
      <c r="D275" s="52" t="s">
        <v>700</v>
      </c>
    </row>
    <row r="276" spans="1:4" ht="15">
      <c r="A276" s="3270">
        <v>216901</v>
      </c>
      <c r="B276" s="641" t="str">
        <f t="shared" si="4"/>
        <v>216-901</v>
      </c>
      <c r="C276" t="s">
        <v>2562</v>
      </c>
      <c r="D276" s="52" t="s">
        <v>700</v>
      </c>
    </row>
    <row r="277" spans="1:4" ht="15">
      <c r="A277" s="3270">
        <v>247906</v>
      </c>
      <c r="B277" s="641" t="str">
        <f t="shared" si="4"/>
        <v>247-906</v>
      </c>
      <c r="C277" t="s">
        <v>1941</v>
      </c>
      <c r="D277" s="52" t="s">
        <v>700</v>
      </c>
    </row>
    <row r="278" spans="1:4" ht="15">
      <c r="A278" s="3270">
        <v>112910</v>
      </c>
      <c r="B278" s="641" t="str">
        <f t="shared" si="4"/>
        <v>112-910</v>
      </c>
      <c r="C278" t="s">
        <v>1942</v>
      </c>
      <c r="D278" s="52" t="s">
        <v>700</v>
      </c>
    </row>
    <row r="279" spans="1:4" ht="15">
      <c r="A279" s="3269">
        <v>57919</v>
      </c>
      <c r="B279" s="641" t="str">
        <f t="shared" si="4"/>
        <v>057-919</v>
      </c>
      <c r="C279" t="s">
        <v>2611</v>
      </c>
      <c r="D279" s="52" t="s">
        <v>700</v>
      </c>
    </row>
    <row r="280" spans="1:4" ht="15">
      <c r="A280" s="3270">
        <v>153904</v>
      </c>
      <c r="B280" s="641" t="str">
        <f t="shared" si="4"/>
        <v>153-904</v>
      </c>
      <c r="C280" t="s">
        <v>559</v>
      </c>
      <c r="D280" s="52" t="s">
        <v>700</v>
      </c>
    </row>
    <row r="281" spans="1:4" ht="15">
      <c r="A281" s="3270">
        <v>129906</v>
      </c>
      <c r="B281" s="641" t="str">
        <f t="shared" si="4"/>
        <v>129-906</v>
      </c>
      <c r="C281" t="s">
        <v>2038</v>
      </c>
      <c r="D281" s="52" t="s">
        <v>700</v>
      </c>
    </row>
    <row r="282" spans="1:4" ht="15">
      <c r="A282" s="3270">
        <v>246912</v>
      </c>
      <c r="B282" s="641" t="str">
        <f t="shared" si="4"/>
        <v>246-912</v>
      </c>
      <c r="C282" t="s">
        <v>604</v>
      </c>
      <c r="D282" s="52" t="s">
        <v>700</v>
      </c>
    </row>
    <row r="283" spans="1:4" ht="15">
      <c r="A283" s="3269">
        <v>72901</v>
      </c>
      <c r="B283" s="641" t="str">
        <f t="shared" si="4"/>
        <v>072-901</v>
      </c>
      <c r="C283" t="s">
        <v>1974</v>
      </c>
      <c r="D283" s="52" t="s">
        <v>700</v>
      </c>
    </row>
    <row r="284" spans="1:4" ht="15">
      <c r="A284" s="3270">
        <v>158902</v>
      </c>
      <c r="B284" s="641" t="str">
        <f t="shared" si="4"/>
        <v>158-902</v>
      </c>
      <c r="C284" t="s">
        <v>1745</v>
      </c>
      <c r="D284" s="52" t="s">
        <v>700</v>
      </c>
    </row>
    <row r="285" spans="1:4" ht="15">
      <c r="A285" s="3270">
        <v>210905</v>
      </c>
      <c r="B285" s="641" t="str">
        <f t="shared" si="4"/>
        <v>210-905</v>
      </c>
      <c r="C285" t="s">
        <v>1779</v>
      </c>
      <c r="D285" s="52" t="s">
        <v>700</v>
      </c>
    </row>
    <row r="286" spans="1:4" ht="15">
      <c r="A286" s="3269">
        <v>91907</v>
      </c>
      <c r="B286" s="641" t="str">
        <f t="shared" si="4"/>
        <v>091-907</v>
      </c>
      <c r="C286" t="s">
        <v>1649</v>
      </c>
      <c r="D286" s="52" t="s">
        <v>700</v>
      </c>
    </row>
    <row r="287" spans="1:4" ht="15">
      <c r="A287" s="3270">
        <v>101921</v>
      </c>
      <c r="B287" s="641" t="str">
        <f t="shared" si="4"/>
        <v>101-921</v>
      </c>
      <c r="C287" t="s">
        <v>2191</v>
      </c>
      <c r="D287" s="52" t="s">
        <v>700</v>
      </c>
    </row>
    <row r="288" spans="1:4" ht="15">
      <c r="A288" s="3269">
        <v>74912</v>
      </c>
      <c r="B288" s="641" t="str">
        <f t="shared" si="4"/>
        <v>074-912</v>
      </c>
      <c r="C288" t="s">
        <v>5</v>
      </c>
      <c r="D288" s="52" t="s">
        <v>700</v>
      </c>
    </row>
    <row r="289" spans="1:4" ht="15">
      <c r="A289" s="3270">
        <v>107907</v>
      </c>
      <c r="B289" s="641" t="str">
        <f t="shared" si="4"/>
        <v>107-907</v>
      </c>
      <c r="C289" t="s">
        <v>607</v>
      </c>
      <c r="D289" s="52" t="s">
        <v>700</v>
      </c>
    </row>
    <row r="290" spans="1:4" ht="15">
      <c r="A290" s="3269">
        <v>14910</v>
      </c>
      <c r="B290" s="641" t="str">
        <f t="shared" si="4"/>
        <v>014-910</v>
      </c>
      <c r="C290" t="s">
        <v>2312</v>
      </c>
      <c r="D290" s="52" t="s">
        <v>700</v>
      </c>
    </row>
    <row r="291" spans="1:4" ht="15">
      <c r="A291" s="3269">
        <v>96905</v>
      </c>
      <c r="B291" s="641" t="str">
        <f t="shared" si="4"/>
        <v>096-905</v>
      </c>
      <c r="C291" t="s">
        <v>239</v>
      </c>
      <c r="D291" s="52" t="s">
        <v>700</v>
      </c>
    </row>
    <row r="292" spans="1:4" ht="15">
      <c r="A292" s="3270">
        <v>232904</v>
      </c>
      <c r="B292" s="641" t="str">
        <f t="shared" si="4"/>
        <v>232-904</v>
      </c>
      <c r="C292" t="s">
        <v>622</v>
      </c>
      <c r="D292" s="52" t="s">
        <v>700</v>
      </c>
    </row>
    <row r="293" spans="1:4" ht="15">
      <c r="A293" s="3269">
        <v>18904</v>
      </c>
      <c r="B293" s="641" t="str">
        <f t="shared" si="4"/>
        <v>018-904</v>
      </c>
      <c r="C293" t="s">
        <v>2684</v>
      </c>
      <c r="D293" s="52" t="s">
        <v>700</v>
      </c>
    </row>
    <row r="294" spans="1:4" ht="15">
      <c r="A294" s="3269">
        <v>49903</v>
      </c>
      <c r="B294" s="641" t="str">
        <f t="shared" si="4"/>
        <v>049-903</v>
      </c>
      <c r="C294" t="s">
        <v>2364</v>
      </c>
      <c r="D294" s="52" t="s">
        <v>700</v>
      </c>
    </row>
    <row r="295" spans="1:4" ht="15">
      <c r="A295" s="3269">
        <v>91908</v>
      </c>
      <c r="B295" s="641" t="str">
        <f t="shared" si="4"/>
        <v>091-908</v>
      </c>
      <c r="C295" t="s">
        <v>2365</v>
      </c>
      <c r="D295" s="52" t="s">
        <v>700</v>
      </c>
    </row>
    <row r="296" spans="1:4" ht="15">
      <c r="A296" s="3270">
        <v>126908</v>
      </c>
      <c r="B296" s="641" t="str">
        <f t="shared" si="4"/>
        <v>126-908</v>
      </c>
      <c r="C296" t="s">
        <v>2644</v>
      </c>
      <c r="D296" s="52" t="s">
        <v>700</v>
      </c>
    </row>
    <row r="297" spans="1:4" ht="15">
      <c r="A297" s="3270">
        <v>226908</v>
      </c>
      <c r="B297" s="641" t="str">
        <f t="shared" si="4"/>
        <v>226-908</v>
      </c>
      <c r="C297" t="s">
        <v>2645</v>
      </c>
      <c r="D297" s="52" t="s">
        <v>700</v>
      </c>
    </row>
    <row r="298" spans="1:4" ht="15">
      <c r="A298" s="3270">
        <v>143904</v>
      </c>
      <c r="B298" s="641" t="str">
        <f t="shared" si="4"/>
        <v>143-904</v>
      </c>
      <c r="C298" t="s">
        <v>952</v>
      </c>
      <c r="D298" s="52" t="s">
        <v>700</v>
      </c>
    </row>
    <row r="299" spans="1:4" ht="15">
      <c r="A299" s="3269">
        <v>59902</v>
      </c>
      <c r="B299" s="641" t="str">
        <f t="shared" si="4"/>
        <v>059-902</v>
      </c>
      <c r="C299" t="s">
        <v>2616</v>
      </c>
      <c r="D299" s="52" t="s">
        <v>700</v>
      </c>
    </row>
    <row r="300" spans="1:4" ht="15">
      <c r="A300" s="3270">
        <v>226906</v>
      </c>
      <c r="B300" s="641" t="str">
        <f t="shared" si="4"/>
        <v>226-906</v>
      </c>
      <c r="C300" t="s">
        <v>137</v>
      </c>
      <c r="D300" s="52" t="s">
        <v>700</v>
      </c>
    </row>
    <row r="301" spans="1:4" ht="15">
      <c r="A301" s="3270">
        <v>237904</v>
      </c>
      <c r="B301" s="641" t="str">
        <f t="shared" si="4"/>
        <v>237-904</v>
      </c>
      <c r="C301" t="s">
        <v>138</v>
      </c>
      <c r="D301" s="52" t="s">
        <v>700</v>
      </c>
    </row>
    <row r="302" spans="1:4" ht="15">
      <c r="A302" s="3269">
        <v>49908</v>
      </c>
      <c r="B302" s="641" t="str">
        <f t="shared" si="4"/>
        <v>049-908</v>
      </c>
      <c r="C302" t="s">
        <v>2216</v>
      </c>
      <c r="D302" s="52" t="s">
        <v>700</v>
      </c>
    </row>
    <row r="303" spans="1:4" ht="15">
      <c r="A303" s="3269">
        <v>70912</v>
      </c>
      <c r="B303" s="641" t="str">
        <f t="shared" si="4"/>
        <v>070-912</v>
      </c>
      <c r="C303" t="s">
        <v>139</v>
      </c>
      <c r="D303" s="52" t="s">
        <v>700</v>
      </c>
    </row>
    <row r="304" spans="1:4" ht="15">
      <c r="A304" s="3269">
        <v>45905</v>
      </c>
      <c r="B304" s="641" t="str">
        <f t="shared" si="4"/>
        <v>045-905</v>
      </c>
      <c r="C304" t="s">
        <v>2205</v>
      </c>
      <c r="D304" s="52" t="s">
        <v>700</v>
      </c>
    </row>
    <row r="305" spans="1:4" ht="15">
      <c r="A305" s="3270">
        <v>223904</v>
      </c>
      <c r="B305" s="641" t="str">
        <f t="shared" si="4"/>
        <v>223-904</v>
      </c>
      <c r="C305" t="s">
        <v>2336</v>
      </c>
      <c r="D305" s="52" t="s">
        <v>700</v>
      </c>
    </row>
    <row r="306" spans="1:4" ht="15">
      <c r="A306" s="3269">
        <v>37909</v>
      </c>
      <c r="B306" s="641" t="str">
        <f t="shared" si="4"/>
        <v>037-909</v>
      </c>
      <c r="C306" t="s">
        <v>25</v>
      </c>
      <c r="D306" s="52" t="s">
        <v>700</v>
      </c>
    </row>
    <row r="307" spans="1:4" ht="15">
      <c r="A307" s="3269">
        <v>62905</v>
      </c>
      <c r="B307" s="641" t="str">
        <f t="shared" si="4"/>
        <v>062-905</v>
      </c>
      <c r="C307" t="s">
        <v>2622</v>
      </c>
      <c r="D307" s="52" t="s">
        <v>700</v>
      </c>
    </row>
    <row r="308" spans="1:4" ht="15">
      <c r="A308" s="3270">
        <v>242903</v>
      </c>
      <c r="B308" s="641" t="str">
        <f t="shared" si="4"/>
        <v>242-903</v>
      </c>
      <c r="C308" t="s">
        <v>1226</v>
      </c>
      <c r="D308" s="52" t="s">
        <v>700</v>
      </c>
    </row>
    <row r="309" spans="1:4" ht="15">
      <c r="A309" s="3269">
        <v>91910</v>
      </c>
      <c r="B309" s="641" t="str">
        <f t="shared" si="4"/>
        <v>091-910</v>
      </c>
      <c r="C309" t="s">
        <v>1650</v>
      </c>
      <c r="D309" s="52" t="s">
        <v>700</v>
      </c>
    </row>
    <row r="310" spans="1:4" ht="15">
      <c r="A310" s="3270">
        <v>180904</v>
      </c>
      <c r="B310" s="641" t="str">
        <f t="shared" si="4"/>
        <v>180-904</v>
      </c>
      <c r="C310" t="s">
        <v>326</v>
      </c>
      <c r="D310" s="52" t="s">
        <v>700</v>
      </c>
    </row>
    <row r="311" spans="1:4" ht="15">
      <c r="A311" s="3270">
        <v>234907</v>
      </c>
      <c r="B311" s="641" t="str">
        <f t="shared" si="4"/>
        <v>234-907</v>
      </c>
      <c r="C311" t="s">
        <v>2081</v>
      </c>
      <c r="D311" s="52" t="s">
        <v>700</v>
      </c>
    </row>
    <row r="312" spans="1:4" ht="15">
      <c r="A312" s="3270">
        <v>105905</v>
      </c>
      <c r="B312" s="641" t="str">
        <f t="shared" si="4"/>
        <v>105-905</v>
      </c>
      <c r="C312" t="s">
        <v>162</v>
      </c>
      <c r="D312" s="52" t="s">
        <v>700</v>
      </c>
    </row>
    <row r="313" spans="1:4" ht="15">
      <c r="A313" s="3270">
        <v>248902</v>
      </c>
      <c r="B313" s="641" t="str">
        <f t="shared" si="4"/>
        <v>248-902</v>
      </c>
      <c r="C313" t="s">
        <v>1615</v>
      </c>
      <c r="D313" s="52" t="s">
        <v>700</v>
      </c>
    </row>
    <row r="314" spans="1:4" ht="15">
      <c r="A314" s="3270">
        <v>212910</v>
      </c>
      <c r="B314" s="641" t="str">
        <f t="shared" si="4"/>
        <v>212-910</v>
      </c>
      <c r="C314" t="s">
        <v>1999</v>
      </c>
      <c r="D314" s="52" t="s">
        <v>700</v>
      </c>
    </row>
    <row r="315" spans="1:4" ht="15">
      <c r="A315" s="3270">
        <v>116909</v>
      </c>
      <c r="B315" s="641" t="str">
        <f t="shared" si="4"/>
        <v>116-909</v>
      </c>
      <c r="C315" t="s">
        <v>1131</v>
      </c>
      <c r="D315" s="52" t="s">
        <v>700</v>
      </c>
    </row>
    <row r="316" spans="1:4" ht="15">
      <c r="A316" s="3270">
        <v>221912</v>
      </c>
      <c r="B316" s="641" t="str">
        <f t="shared" si="4"/>
        <v>221-912</v>
      </c>
      <c r="C316" t="s">
        <v>1132</v>
      </c>
      <c r="D316" s="52" t="s">
        <v>700</v>
      </c>
    </row>
    <row r="317" spans="1:4" ht="15">
      <c r="A317" s="3269">
        <v>43914</v>
      </c>
      <c r="B317" s="641" t="str">
        <f t="shared" si="4"/>
        <v>043-914</v>
      </c>
      <c r="C317" t="s">
        <v>1132</v>
      </c>
      <c r="D317" s="52" t="s">
        <v>700</v>
      </c>
    </row>
    <row r="318" spans="1:4" ht="15">
      <c r="A318" s="3269">
        <v>62904</v>
      </c>
      <c r="B318" s="641" t="str">
        <f t="shared" si="4"/>
        <v>062-904</v>
      </c>
      <c r="C318" t="s">
        <v>2621</v>
      </c>
      <c r="D318" s="52" t="s">
        <v>700</v>
      </c>
    </row>
    <row r="319" spans="1:4">
      <c r="A319"/>
      <c r="B31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workbookViewId="0">
      <selection activeCell="D1" sqref="D1"/>
    </sheetView>
  </sheetViews>
  <sheetFormatPr defaultRowHeight="12.75"/>
  <cols>
    <col min="1" max="1" width="9.140625" style="64" customWidth="1"/>
    <col min="2" max="2" width="86.42578125" style="35" customWidth="1"/>
    <col min="3" max="3" width="4.140625" style="35" customWidth="1"/>
    <col min="4" max="4" width="20.5703125" style="35" customWidth="1"/>
    <col min="5" max="7" width="20.5703125" style="35" hidden="1" customWidth="1"/>
    <col min="8" max="8" width="17.5703125" style="35" customWidth="1"/>
    <col min="9" max="15" width="9.140625" style="35" customWidth="1"/>
  </cols>
  <sheetData>
    <row r="1" spans="1:15">
      <c r="A1" s="380" t="s">
        <v>2864</v>
      </c>
      <c r="C1" s="755"/>
      <c r="D1" s="3054" t="str">
        <f>'Data Entry - SOF'!S1</f>
        <v>Release 10</v>
      </c>
      <c r="E1" s="754"/>
      <c r="F1" s="754"/>
      <c r="G1" s="754"/>
    </row>
    <row r="2" spans="1:15">
      <c r="A2" s="484" t="s">
        <v>9515</v>
      </c>
      <c r="D2" s="4642">
        <f>'Data Entry - SOF'!S2</f>
        <v>43724</v>
      </c>
      <c r="E2" s="72"/>
      <c r="F2" s="72"/>
      <c r="G2" s="72"/>
    </row>
    <row r="3" spans="1:15" ht="15.75">
      <c r="D3" s="325"/>
      <c r="E3" s="58"/>
      <c r="F3" s="58"/>
      <c r="G3" s="58"/>
    </row>
    <row r="4" spans="1:15" s="382" customFormat="1" ht="15.75">
      <c r="A4" s="381" t="s">
        <v>3930</v>
      </c>
      <c r="B4" s="325"/>
      <c r="C4" s="325"/>
      <c r="D4" s="325"/>
      <c r="E4" s="325"/>
      <c r="F4" s="325"/>
      <c r="G4" s="325"/>
      <c r="H4" s="325"/>
      <c r="I4" s="325"/>
      <c r="J4" s="325"/>
      <c r="K4" s="325"/>
      <c r="L4" s="325"/>
      <c r="M4" s="325"/>
      <c r="N4" s="325"/>
      <c r="O4" s="325"/>
    </row>
    <row r="5" spans="1:15" s="382" customFormat="1" ht="15.75">
      <c r="A5" s="383">
        <f>'Data Entry - SOF'!B1</f>
        <v>0</v>
      </c>
      <c r="B5" s="325"/>
      <c r="C5" s="325"/>
      <c r="D5" s="325"/>
      <c r="E5" s="325"/>
      <c r="F5" s="325"/>
      <c r="G5" s="325"/>
      <c r="H5" s="325"/>
      <c r="I5" s="325"/>
      <c r="J5" s="325"/>
      <c r="K5" s="325"/>
      <c r="L5" s="325"/>
      <c r="M5" s="325"/>
      <c r="N5" s="325"/>
      <c r="O5" s="325"/>
    </row>
    <row r="6" spans="1:15" s="382" customFormat="1" ht="15.75">
      <c r="A6" s="381">
        <f>'Data Entry - SOF'!B2</f>
        <v>0</v>
      </c>
      <c r="B6" s="325"/>
      <c r="C6" s="325"/>
      <c r="D6" s="325"/>
      <c r="E6" s="325"/>
      <c r="F6" s="325"/>
      <c r="G6" s="325"/>
      <c r="H6" s="325"/>
      <c r="I6" s="325"/>
      <c r="J6" s="325"/>
      <c r="K6" s="325"/>
      <c r="L6" s="325"/>
      <c r="M6" s="325"/>
      <c r="N6" s="325"/>
      <c r="O6" s="325"/>
    </row>
    <row r="7" spans="1:15" s="382" customFormat="1" ht="15.75">
      <c r="A7" s="381"/>
      <c r="B7" s="325"/>
      <c r="C7" s="325"/>
      <c r="D7" s="4639" t="s">
        <v>8765</v>
      </c>
      <c r="F7" s="325"/>
      <c r="G7" s="325"/>
      <c r="H7" s="325"/>
      <c r="I7" s="325"/>
      <c r="J7" s="325"/>
      <c r="K7" s="325"/>
      <c r="L7" s="325"/>
      <c r="M7" s="325"/>
      <c r="N7" s="325"/>
      <c r="O7" s="325"/>
    </row>
    <row r="8" spans="1:15" s="382" customFormat="1" ht="18">
      <c r="A8" s="564" t="s">
        <v>2707</v>
      </c>
      <c r="B8" s="1288"/>
      <c r="C8" s="1288"/>
      <c r="D8" s="532" t="s">
        <v>2715</v>
      </c>
      <c r="E8" s="3004"/>
      <c r="F8" s="1298"/>
      <c r="G8" s="1298"/>
      <c r="H8" s="325"/>
      <c r="I8" s="325"/>
      <c r="J8" s="325"/>
      <c r="K8" s="325"/>
      <c r="L8" s="325"/>
      <c r="M8" s="325"/>
      <c r="N8" s="325"/>
      <c r="O8" s="325"/>
    </row>
    <row r="9" spans="1:15" s="382" customFormat="1" ht="18">
      <c r="A9" s="1372" t="s">
        <v>2708</v>
      </c>
      <c r="B9" s="1387"/>
      <c r="C9" s="1387"/>
      <c r="D9" s="533" t="s">
        <v>2716</v>
      </c>
      <c r="E9" s="3005" t="s">
        <v>8765</v>
      </c>
      <c r="F9" s="1298"/>
      <c r="G9" s="1298"/>
      <c r="H9" s="325"/>
      <c r="I9" s="325"/>
      <c r="J9" s="325"/>
      <c r="K9" s="325"/>
      <c r="L9" s="325"/>
      <c r="M9" s="325"/>
      <c r="N9" s="325"/>
      <c r="O9" s="325"/>
    </row>
    <row r="10" spans="1:15" s="382" customFormat="1" ht="15.75">
      <c r="A10" s="385" t="s">
        <v>2186</v>
      </c>
      <c r="B10" s="386" t="s">
        <v>2709</v>
      </c>
      <c r="C10" s="386"/>
      <c r="D10" s="3082">
        <f>'Data Entry - SOF'!M19</f>
        <v>0</v>
      </c>
      <c r="E10" s="2997">
        <f>D10</f>
        <v>0</v>
      </c>
      <c r="F10" s="2988"/>
      <c r="G10" s="2988"/>
      <c r="H10" s="325"/>
      <c r="I10" s="325"/>
      <c r="J10" s="325"/>
      <c r="K10" s="325"/>
      <c r="L10" s="325"/>
      <c r="M10" s="325"/>
      <c r="N10" s="325"/>
      <c r="O10" s="325"/>
    </row>
    <row r="11" spans="1:15" s="382" customFormat="1" ht="15.75">
      <c r="A11" s="385" t="s">
        <v>2187</v>
      </c>
      <c r="B11" s="718" t="s">
        <v>3353</v>
      </c>
      <c r="C11" s="386"/>
      <c r="D11" s="3082">
        <f>'Calc Data'!G12</f>
        <v>0</v>
      </c>
      <c r="E11" s="2997">
        <f t="shared" ref="E11:E13" si="0">D11</f>
        <v>0</v>
      </c>
      <c r="F11" s="2988"/>
      <c r="G11" s="2988"/>
      <c r="H11" s="325"/>
      <c r="I11" s="325"/>
      <c r="J11" s="325"/>
      <c r="K11" s="325"/>
      <c r="L11" s="325"/>
      <c r="M11" s="325"/>
      <c r="N11" s="325"/>
      <c r="O11" s="325"/>
    </row>
    <row r="12" spans="1:15" s="382" customFormat="1" ht="15.75">
      <c r="A12" s="385" t="s">
        <v>2188</v>
      </c>
      <c r="B12" s="719" t="s">
        <v>3355</v>
      </c>
      <c r="C12" s="386"/>
      <c r="D12" s="3082">
        <f>'Calc Data'!G8</f>
        <v>0</v>
      </c>
      <c r="E12" s="2997">
        <f t="shared" si="0"/>
        <v>0</v>
      </c>
      <c r="F12" s="2988"/>
      <c r="G12" s="2988"/>
      <c r="H12" s="325"/>
      <c r="I12" s="325"/>
      <c r="J12" s="325"/>
      <c r="K12" s="325"/>
      <c r="L12" s="325"/>
      <c r="M12" s="325"/>
      <c r="N12" s="325"/>
      <c r="O12" s="325"/>
    </row>
    <row r="13" spans="1:15" s="382" customFormat="1" ht="15.75">
      <c r="A13" s="385" t="s">
        <v>909</v>
      </c>
      <c r="B13" s="386" t="s">
        <v>824</v>
      </c>
      <c r="C13" s="386"/>
      <c r="D13" s="3082">
        <f>'Data Entry - SOF'!M36</f>
        <v>0</v>
      </c>
      <c r="E13" s="2997">
        <f t="shared" si="0"/>
        <v>0</v>
      </c>
      <c r="F13" s="2988"/>
      <c r="G13" s="2988"/>
      <c r="H13" s="325"/>
      <c r="I13" s="325"/>
      <c r="J13" s="325"/>
      <c r="K13" s="325"/>
      <c r="L13" s="325"/>
      <c r="M13" s="325"/>
      <c r="N13" s="325"/>
      <c r="O13" s="325"/>
    </row>
    <row r="14" spans="1:15" s="382" customFormat="1" ht="15.75">
      <c r="A14" s="385" t="s">
        <v>910</v>
      </c>
      <c r="B14" s="719" t="s">
        <v>3356</v>
      </c>
      <c r="C14" s="386"/>
      <c r="D14" s="3082" t="e">
        <f>'SOF2021-HB3'!L66</f>
        <v>#DIV/0!</v>
      </c>
      <c r="E14" s="2997" t="e">
        <f>'SOF2021-HB3'!L66</f>
        <v>#DIV/0!</v>
      </c>
      <c r="F14" s="2988"/>
      <c r="G14" s="2988"/>
      <c r="H14" s="325"/>
      <c r="I14" s="325"/>
      <c r="J14" s="325"/>
      <c r="K14" s="325"/>
      <c r="L14" s="325"/>
      <c r="M14" s="325"/>
      <c r="N14" s="325"/>
      <c r="O14" s="325"/>
    </row>
    <row r="15" spans="1:15" s="382" customFormat="1" ht="18">
      <c r="A15" s="1372" t="s">
        <v>2720</v>
      </c>
      <c r="B15" s="1387"/>
      <c r="C15" s="1387"/>
      <c r="D15" s="3051"/>
      <c r="E15" s="3003"/>
      <c r="F15" s="1377"/>
      <c r="G15" s="1377"/>
      <c r="H15" s="325"/>
      <c r="I15" s="325"/>
      <c r="J15" s="325"/>
      <c r="K15" s="325"/>
      <c r="L15" s="325"/>
      <c r="M15" s="325"/>
      <c r="N15" s="325"/>
      <c r="O15" s="325"/>
    </row>
    <row r="16" spans="1:15" s="382" customFormat="1" ht="15.75">
      <c r="A16" s="385" t="s">
        <v>912</v>
      </c>
      <c r="B16" s="386" t="s">
        <v>10167</v>
      </c>
      <c r="C16" s="386"/>
      <c r="D16" s="3083">
        <f>'Data Entry - SOF'!E83</f>
        <v>0</v>
      </c>
      <c r="E16" s="2998">
        <f>D16</f>
        <v>0</v>
      </c>
      <c r="F16" s="601"/>
      <c r="G16" s="601"/>
      <c r="H16" s="325"/>
      <c r="I16" s="325"/>
      <c r="J16" s="325"/>
      <c r="K16" s="325"/>
      <c r="L16" s="325"/>
      <c r="M16" s="325"/>
      <c r="N16" s="325"/>
      <c r="O16" s="325"/>
    </row>
    <row r="17" spans="1:15" s="382" customFormat="1" ht="15.75">
      <c r="A17" s="385" t="s">
        <v>913</v>
      </c>
      <c r="B17" s="386" t="s">
        <v>9487</v>
      </c>
      <c r="C17" s="4677"/>
      <c r="D17" s="3083">
        <f>'Data Entry - SOF'!M73</f>
        <v>0</v>
      </c>
      <c r="E17" s="4686"/>
      <c r="F17" s="601"/>
      <c r="G17" s="601"/>
      <c r="H17" s="325"/>
      <c r="I17" s="325"/>
      <c r="J17" s="325"/>
      <c r="K17" s="325"/>
      <c r="L17" s="325"/>
      <c r="M17" s="325"/>
      <c r="N17" s="325"/>
      <c r="O17" s="325"/>
    </row>
    <row r="18" spans="1:15" s="382" customFormat="1" ht="18">
      <c r="A18" s="1372" t="s">
        <v>2721</v>
      </c>
      <c r="B18" s="1387"/>
      <c r="C18" s="1387"/>
      <c r="D18" s="3051"/>
      <c r="E18" s="3003"/>
      <c r="F18" s="1377"/>
      <c r="G18" s="1377"/>
      <c r="H18" s="325"/>
      <c r="I18" s="325"/>
      <c r="J18" s="325"/>
      <c r="K18" s="325"/>
      <c r="L18" s="325"/>
      <c r="M18" s="325"/>
      <c r="N18" s="325"/>
      <c r="O18" s="325"/>
    </row>
    <row r="19" spans="1:15" s="382" customFormat="1" ht="15.75">
      <c r="A19" s="385" t="s">
        <v>914</v>
      </c>
      <c r="B19" s="386" t="s">
        <v>10168</v>
      </c>
      <c r="C19" s="384"/>
      <c r="D19" s="4644" t="e">
        <f>'Data Entry - SOF'!M155</f>
        <v>#DIV/0!</v>
      </c>
      <c r="E19" s="2999"/>
      <c r="F19" s="2989"/>
      <c r="G19" s="2989"/>
      <c r="H19" s="325"/>
      <c r="I19" s="325"/>
      <c r="J19" s="325"/>
      <c r="K19" s="325"/>
      <c r="L19" s="325"/>
      <c r="M19" s="325"/>
      <c r="N19" s="325"/>
      <c r="O19" s="325"/>
    </row>
    <row r="20" spans="1:15" s="382" customFormat="1" ht="15.75">
      <c r="A20" s="385" t="s">
        <v>118</v>
      </c>
      <c r="B20" s="386" t="s">
        <v>3998</v>
      </c>
      <c r="C20" s="384"/>
      <c r="D20" s="4732">
        <f>'Data Entry - SOF'!E92</f>
        <v>1.17</v>
      </c>
      <c r="E20" s="2999">
        <f>'Data Entry - SOF'!M92</f>
        <v>1.17</v>
      </c>
      <c r="F20" s="2989"/>
      <c r="G20" s="2989"/>
      <c r="H20" s="325"/>
      <c r="I20" s="325"/>
      <c r="J20" s="325"/>
      <c r="K20" s="325"/>
      <c r="L20" s="325"/>
      <c r="M20" s="325"/>
      <c r="N20" s="325"/>
      <c r="O20" s="325"/>
    </row>
    <row r="21" spans="1:15" s="382" customFormat="1" ht="15.75">
      <c r="A21" s="385" t="s">
        <v>119</v>
      </c>
      <c r="B21" s="386" t="s">
        <v>3986</v>
      </c>
      <c r="C21" s="4648"/>
      <c r="D21" s="4732">
        <f>'Data Entry - SOF'!M95</f>
        <v>0</v>
      </c>
      <c r="E21" s="4688"/>
      <c r="F21" s="2989"/>
      <c r="G21" s="2989"/>
      <c r="H21" s="325"/>
      <c r="I21" s="325"/>
      <c r="J21" s="325"/>
      <c r="K21" s="325"/>
      <c r="L21" s="325"/>
      <c r="M21" s="325"/>
      <c r="N21" s="325"/>
      <c r="O21" s="325"/>
    </row>
    <row r="22" spans="1:15" s="382" customFormat="1" ht="15.75">
      <c r="A22" s="385" t="s">
        <v>120</v>
      </c>
      <c r="B22" s="386" t="s">
        <v>10220</v>
      </c>
      <c r="C22" s="4648"/>
      <c r="D22" s="4731" t="e">
        <f>'Data Entry - SOF'!M155</f>
        <v>#DIV/0!</v>
      </c>
      <c r="E22" s="4688"/>
      <c r="F22" s="2989"/>
      <c r="G22" s="2989"/>
      <c r="H22" s="325"/>
      <c r="I22" s="325"/>
      <c r="J22" s="325"/>
      <c r="K22" s="325"/>
      <c r="L22" s="325"/>
      <c r="M22" s="325"/>
      <c r="N22" s="325"/>
      <c r="O22" s="325"/>
    </row>
    <row r="23" spans="1:15" s="382" customFormat="1" ht="15.75">
      <c r="A23" s="385" t="s">
        <v>121</v>
      </c>
      <c r="B23" s="386" t="s">
        <v>10221</v>
      </c>
      <c r="C23" s="4648"/>
      <c r="D23" s="4731" t="e">
        <f>'HB3-RollbackRates'!H3</f>
        <v>#DIV/0!</v>
      </c>
      <c r="E23" s="4688"/>
      <c r="F23" s="2989"/>
      <c r="G23" s="2989"/>
      <c r="H23" s="325"/>
      <c r="I23" s="325"/>
      <c r="J23" s="325"/>
      <c r="K23" s="325"/>
      <c r="L23" s="325"/>
      <c r="M23" s="325"/>
      <c r="N23" s="325"/>
      <c r="O23" s="325"/>
    </row>
    <row r="24" spans="1:15" s="382" customFormat="1" ht="15.75">
      <c r="A24" s="385" t="s">
        <v>1513</v>
      </c>
      <c r="B24" s="719" t="s">
        <v>10222</v>
      </c>
      <c r="C24" s="386"/>
      <c r="D24" s="2932">
        <f>'Data Entry - SOF'!M96</f>
        <v>0</v>
      </c>
      <c r="E24" s="3000">
        <f>'Data Entry - SOF'!M93</f>
        <v>0</v>
      </c>
      <c r="F24" s="717"/>
      <c r="G24" s="717"/>
      <c r="H24" s="325"/>
      <c r="I24" s="325"/>
      <c r="J24" s="325"/>
      <c r="K24" s="325"/>
      <c r="L24" s="325"/>
      <c r="M24" s="325"/>
      <c r="N24" s="325"/>
      <c r="O24" s="325"/>
    </row>
    <row r="25" spans="1:15" s="382" customFormat="1" ht="15.75">
      <c r="A25" s="385" t="s">
        <v>6</v>
      </c>
      <c r="B25" s="386" t="s">
        <v>10223</v>
      </c>
      <c r="C25" s="4677"/>
      <c r="D25" s="4731">
        <f>'Data Entry - SOF'!M100</f>
        <v>0</v>
      </c>
      <c r="E25" s="4678"/>
      <c r="F25" s="717"/>
      <c r="G25" s="717"/>
      <c r="H25" s="325"/>
      <c r="I25" s="325"/>
      <c r="J25" s="325"/>
      <c r="K25" s="325"/>
      <c r="L25" s="325"/>
      <c r="M25" s="325"/>
      <c r="N25" s="325"/>
      <c r="O25" s="325"/>
    </row>
    <row r="26" spans="1:15" s="382" customFormat="1" ht="15.75">
      <c r="A26" s="385" t="s">
        <v>2232</v>
      </c>
      <c r="B26" s="386" t="s">
        <v>3987</v>
      </c>
      <c r="C26" s="386"/>
      <c r="D26" s="2932">
        <f>'Data Entry - SOF'!M101</f>
        <v>0</v>
      </c>
      <c r="E26" s="3000">
        <f>D26</f>
        <v>0</v>
      </c>
      <c r="F26" s="717"/>
      <c r="G26" s="717"/>
      <c r="H26" s="325"/>
      <c r="I26" s="325"/>
      <c r="J26" s="325"/>
      <c r="K26" s="325"/>
      <c r="L26" s="325"/>
      <c r="M26" s="325"/>
      <c r="N26" s="325"/>
      <c r="O26" s="325"/>
    </row>
    <row r="27" spans="1:15" s="382" customFormat="1" ht="15.75">
      <c r="A27" s="385" t="s">
        <v>2233</v>
      </c>
      <c r="B27" s="386" t="s">
        <v>3988</v>
      </c>
      <c r="C27" s="386"/>
      <c r="D27" s="2932">
        <f>D24+D26</f>
        <v>0</v>
      </c>
      <c r="E27" s="3000"/>
      <c r="F27" s="717"/>
      <c r="G27" s="717"/>
      <c r="H27" s="325"/>
      <c r="I27" s="325"/>
      <c r="J27" s="325"/>
      <c r="K27" s="325"/>
      <c r="L27" s="325"/>
      <c r="M27" s="325"/>
      <c r="N27" s="325"/>
      <c r="O27" s="325"/>
    </row>
    <row r="28" spans="1:15" s="382" customFormat="1" ht="15.75">
      <c r="A28" s="385" t="s">
        <v>2722</v>
      </c>
      <c r="B28" s="386" t="s">
        <v>3989</v>
      </c>
      <c r="C28" s="386"/>
      <c r="D28" s="2932">
        <f>'Data Entry - SOF'!M112</f>
        <v>0</v>
      </c>
      <c r="E28" s="3000"/>
      <c r="F28" s="717"/>
      <c r="G28" s="717"/>
      <c r="H28" s="325"/>
      <c r="I28" s="325"/>
      <c r="J28" s="325"/>
      <c r="K28" s="325"/>
      <c r="L28" s="325"/>
      <c r="M28" s="325"/>
      <c r="N28" s="325"/>
      <c r="O28" s="325"/>
    </row>
    <row r="29" spans="1:15" s="382" customFormat="1" ht="18">
      <c r="A29" s="1372" t="s">
        <v>2730</v>
      </c>
      <c r="B29" s="1387"/>
      <c r="C29" s="1387"/>
      <c r="D29" s="3051"/>
      <c r="E29" s="3003"/>
      <c r="F29" s="1377"/>
      <c r="G29" s="1377"/>
      <c r="H29" s="325"/>
      <c r="I29" s="325"/>
      <c r="J29" s="325"/>
      <c r="K29" s="325"/>
      <c r="L29" s="325"/>
      <c r="M29" s="325"/>
      <c r="N29" s="325"/>
      <c r="O29" s="325"/>
    </row>
    <row r="30" spans="1:15" s="382" customFormat="1" ht="15.75">
      <c r="A30" s="385" t="s">
        <v>2723</v>
      </c>
      <c r="B30" s="719" t="s">
        <v>10174</v>
      </c>
      <c r="C30" s="404"/>
      <c r="D30" s="772" t="e">
        <f>Assumptions!H127</f>
        <v>#DIV/0!</v>
      </c>
      <c r="E30" s="3000"/>
      <c r="F30" s="717"/>
      <c r="G30" s="717"/>
      <c r="H30" s="325"/>
      <c r="I30" s="325"/>
      <c r="J30" s="325"/>
      <c r="K30" s="325"/>
      <c r="L30" s="325"/>
      <c r="M30" s="325"/>
      <c r="N30" s="325"/>
      <c r="O30" s="325"/>
    </row>
    <row r="31" spans="1:15" s="382" customFormat="1" ht="15.75">
      <c r="A31" s="385" t="s">
        <v>2726</v>
      </c>
      <c r="B31" s="4691" t="s">
        <v>10175</v>
      </c>
      <c r="C31" s="4690"/>
      <c r="D31" s="4733">
        <f>'Data Entry - SOF'!K19</f>
        <v>0</v>
      </c>
      <c r="E31" s="4678"/>
      <c r="F31" s="717"/>
      <c r="G31" s="717"/>
      <c r="H31" s="325"/>
      <c r="I31" s="325"/>
      <c r="J31" s="325"/>
      <c r="K31" s="325"/>
      <c r="L31" s="325"/>
      <c r="M31" s="325"/>
      <c r="N31" s="325"/>
      <c r="O31" s="325"/>
    </row>
    <row r="32" spans="1:15" s="382" customFormat="1" ht="15.75">
      <c r="A32" s="385" t="s">
        <v>2727</v>
      </c>
      <c r="B32" s="386" t="s">
        <v>2738</v>
      </c>
      <c r="C32" s="386"/>
      <c r="D32" s="3084">
        <f>Assumptions!H132</f>
        <v>400</v>
      </c>
      <c r="E32" s="3001">
        <f>D32</f>
        <v>400</v>
      </c>
      <c r="F32" s="2990"/>
      <c r="G32" s="2990"/>
      <c r="H32" s="325"/>
      <c r="I32" s="325"/>
      <c r="J32" s="325"/>
      <c r="K32" s="325"/>
      <c r="L32" s="325"/>
      <c r="M32" s="325"/>
      <c r="N32" s="325"/>
      <c r="O32" s="325"/>
    </row>
    <row r="33" spans="1:15" s="382" customFormat="1" ht="18">
      <c r="A33" s="1388" t="s">
        <v>2759</v>
      </c>
      <c r="B33" s="1387"/>
      <c r="C33" s="1387"/>
      <c r="D33" s="3051"/>
      <c r="E33" s="3003"/>
      <c r="F33" s="1377"/>
      <c r="G33" s="1377"/>
      <c r="H33" s="325"/>
      <c r="I33" s="325"/>
      <c r="J33" s="325"/>
      <c r="K33" s="325"/>
      <c r="L33" s="325"/>
      <c r="M33" s="325"/>
      <c r="N33" s="325"/>
      <c r="O33" s="325"/>
    </row>
    <row r="34" spans="1:15" s="382" customFormat="1" ht="18">
      <c r="A34" s="1388" t="s">
        <v>10176</v>
      </c>
      <c r="B34" s="1388"/>
      <c r="C34" s="1387"/>
      <c r="D34" s="3051"/>
      <c r="E34" s="3003"/>
      <c r="F34" s="1377"/>
      <c r="G34" s="1377"/>
      <c r="H34" s="325"/>
      <c r="I34" s="325"/>
      <c r="J34" s="325"/>
      <c r="K34" s="325"/>
      <c r="L34" s="325"/>
      <c r="M34" s="325"/>
      <c r="N34" s="325"/>
      <c r="O34" s="325"/>
    </row>
    <row r="35" spans="1:15" s="382" customFormat="1" ht="15.75">
      <c r="A35" s="385" t="s">
        <v>2728</v>
      </c>
      <c r="B35" s="386" t="s">
        <v>10177</v>
      </c>
      <c r="C35" s="386"/>
      <c r="D35" s="2932" t="e">
        <f>'SOF2021-HB3'!I20</f>
        <v>#DIV/0!</v>
      </c>
      <c r="E35" s="3000" t="e">
        <f>'SOF2021-HB3'!I20</f>
        <v>#DIV/0!</v>
      </c>
      <c r="F35" s="717"/>
      <c r="G35" s="717"/>
      <c r="H35" s="325"/>
      <c r="I35" s="325"/>
      <c r="J35" s="325"/>
      <c r="K35" s="325"/>
      <c r="L35" s="325"/>
      <c r="M35" s="325"/>
      <c r="N35" s="325"/>
      <c r="O35" s="325"/>
    </row>
    <row r="36" spans="1:15" s="382" customFormat="1" ht="15.75">
      <c r="A36" s="385" t="s">
        <v>2729</v>
      </c>
      <c r="B36" s="4677" t="s">
        <v>10178</v>
      </c>
      <c r="C36" s="4677"/>
      <c r="D36" s="4689">
        <f>'SOF2021-HB3'!I21</f>
        <v>0</v>
      </c>
      <c r="E36" s="4678"/>
      <c r="F36" s="717"/>
      <c r="G36" s="717"/>
      <c r="H36" s="325"/>
      <c r="I36" s="325"/>
      <c r="J36" s="325"/>
      <c r="K36" s="325"/>
      <c r="L36" s="325"/>
      <c r="M36" s="325"/>
      <c r="N36" s="325"/>
      <c r="O36" s="325"/>
    </row>
    <row r="37" spans="1:15" s="382" customFormat="1" ht="15.75">
      <c r="A37" s="385" t="s">
        <v>2731</v>
      </c>
      <c r="B37" s="386" t="s">
        <v>10179</v>
      </c>
      <c r="C37" s="386"/>
      <c r="D37" s="2932" t="e">
        <f>SUM('SOF2021-HB3'!I22:I28)</f>
        <v>#DIV/0!</v>
      </c>
      <c r="E37" s="3000" t="e">
        <f>'SOF2021-HB3'!I168</f>
        <v>#DIV/0!</v>
      </c>
      <c r="F37" s="717"/>
      <c r="G37" s="717"/>
      <c r="H37" s="325"/>
      <c r="I37" s="325"/>
      <c r="J37" s="325"/>
      <c r="K37" s="325"/>
      <c r="L37" s="325"/>
      <c r="M37" s="325"/>
      <c r="N37" s="325"/>
      <c r="O37" s="325"/>
    </row>
    <row r="38" spans="1:15" s="382" customFormat="1" ht="15.75">
      <c r="A38" s="385" t="s">
        <v>2732</v>
      </c>
      <c r="B38" s="4677" t="s">
        <v>10180</v>
      </c>
      <c r="C38" s="4677"/>
      <c r="D38" s="4689" t="e">
        <f>'SOF2021-HB3'!I49</f>
        <v>#DIV/0!</v>
      </c>
      <c r="E38" s="4678"/>
      <c r="F38" s="717"/>
      <c r="G38" s="717"/>
      <c r="H38" s="325"/>
      <c r="I38" s="325"/>
      <c r="J38" s="325"/>
      <c r="K38" s="325"/>
      <c r="L38" s="325"/>
      <c r="M38" s="325"/>
      <c r="N38" s="325"/>
      <c r="O38" s="325"/>
    </row>
    <row r="39" spans="1:15" s="382" customFormat="1" ht="15.75">
      <c r="A39" s="385" t="s">
        <v>2733</v>
      </c>
      <c r="B39" s="386" t="s">
        <v>10181</v>
      </c>
      <c r="C39" s="386"/>
      <c r="D39" s="2932" t="e">
        <f>SUM('SOF2021-HB3'!I36:I43)</f>
        <v>#DIV/0!</v>
      </c>
      <c r="E39" s="3000" t="e">
        <f>'SOF2021-HB3'!I171</f>
        <v>#DIV/0!</v>
      </c>
      <c r="F39" s="717"/>
      <c r="G39" s="717"/>
      <c r="H39" s="325"/>
      <c r="I39" s="325"/>
      <c r="J39" s="325"/>
      <c r="K39" s="325"/>
      <c r="L39" s="325"/>
      <c r="M39" s="325"/>
      <c r="N39" s="325"/>
      <c r="O39" s="325"/>
    </row>
    <row r="40" spans="1:15" s="382" customFormat="1" ht="15.75">
      <c r="A40" s="385" t="s">
        <v>2734</v>
      </c>
      <c r="B40" s="386" t="s">
        <v>10182</v>
      </c>
      <c r="C40" s="386"/>
      <c r="D40" s="2932" t="e">
        <f>SUM('SOF2021-HB3'!I46:I48)</f>
        <v>#DIV/0!</v>
      </c>
      <c r="E40" s="3000">
        <f>'SOF2021-HB3'!I174</f>
        <v>0</v>
      </c>
      <c r="F40" s="717"/>
      <c r="G40" s="717"/>
      <c r="H40" s="325"/>
      <c r="I40" s="325"/>
      <c r="J40" s="325"/>
      <c r="K40" s="325"/>
      <c r="L40" s="325"/>
      <c r="M40" s="325"/>
      <c r="N40" s="325"/>
      <c r="O40" s="325"/>
    </row>
    <row r="41" spans="1:15" s="382" customFormat="1" ht="15.75">
      <c r="A41" s="385" t="s">
        <v>2735</v>
      </c>
      <c r="B41" s="386" t="s">
        <v>10183</v>
      </c>
      <c r="C41" s="386"/>
      <c r="D41" s="2932" t="e">
        <f>'SOF2021-HB3'!I29+'SOF2021-HB3'!I30</f>
        <v>#DIV/0!</v>
      </c>
      <c r="E41" s="3000">
        <f>'SOF2021-HB3'!I169</f>
        <v>0</v>
      </c>
      <c r="F41" s="717"/>
      <c r="G41" s="717"/>
      <c r="H41" s="325"/>
      <c r="I41" s="325"/>
      <c r="J41" s="325"/>
      <c r="K41" s="325"/>
      <c r="L41" s="325"/>
      <c r="M41" s="325"/>
      <c r="N41" s="325"/>
      <c r="O41" s="325"/>
    </row>
    <row r="42" spans="1:15" s="382" customFormat="1" ht="15.75">
      <c r="A42" s="385" t="s">
        <v>2740</v>
      </c>
      <c r="B42" s="386" t="s">
        <v>10184</v>
      </c>
      <c r="C42" s="386"/>
      <c r="D42" s="2932" t="e">
        <f>'SOF2021-HB3'!I53</f>
        <v>#DIV/0!</v>
      </c>
      <c r="E42" s="3000" t="e">
        <f>'SOF2021-HB3'!I53</f>
        <v>#DIV/0!</v>
      </c>
      <c r="F42" s="717"/>
      <c r="G42" s="717"/>
      <c r="H42" s="325"/>
      <c r="I42" s="325"/>
      <c r="J42" s="325"/>
      <c r="K42" s="325"/>
      <c r="L42" s="325"/>
      <c r="M42" s="325"/>
      <c r="N42" s="325"/>
      <c r="O42" s="325"/>
    </row>
    <row r="43" spans="1:15" s="382" customFormat="1" ht="15.75">
      <c r="A43" s="385" t="s">
        <v>2741</v>
      </c>
      <c r="B43" s="4677" t="s">
        <v>10185</v>
      </c>
      <c r="C43" s="4677"/>
      <c r="D43" s="4689" t="e">
        <f>'SOF2021-HB3'!I50</f>
        <v>#DIV/0!</v>
      </c>
      <c r="E43" s="4678"/>
      <c r="F43" s="717"/>
      <c r="G43" s="717"/>
      <c r="H43" s="325"/>
      <c r="I43" s="325"/>
      <c r="J43" s="325"/>
      <c r="K43" s="325"/>
      <c r="L43" s="325"/>
      <c r="M43" s="325"/>
      <c r="N43" s="325"/>
      <c r="O43" s="325"/>
    </row>
    <row r="44" spans="1:15" s="382" customFormat="1" ht="15.75">
      <c r="A44" s="385" t="s">
        <v>2742</v>
      </c>
      <c r="B44" s="4692" t="s">
        <v>10186</v>
      </c>
      <c r="C44" s="4677"/>
      <c r="D44" s="3263">
        <f>'SOF2021-HB3'!I51</f>
        <v>0</v>
      </c>
      <c r="E44" s="4678"/>
      <c r="F44" s="717"/>
      <c r="G44" s="717"/>
      <c r="H44" s="325"/>
      <c r="I44" s="325"/>
      <c r="J44" s="325"/>
      <c r="K44" s="325"/>
      <c r="L44" s="325"/>
      <c r="M44" s="325"/>
      <c r="N44" s="325"/>
      <c r="O44" s="325"/>
    </row>
    <row r="45" spans="1:15" s="382" customFormat="1" ht="15.75">
      <c r="A45" s="385" t="s">
        <v>2743</v>
      </c>
      <c r="B45" s="4693" t="s">
        <v>10187</v>
      </c>
      <c r="C45" s="3262"/>
      <c r="D45" s="3263">
        <f>'SOF2021-HB3'!I54</f>
        <v>0</v>
      </c>
      <c r="E45" s="3264"/>
      <c r="F45" s="717"/>
      <c r="G45" s="717"/>
      <c r="H45" s="325"/>
      <c r="I45" s="325"/>
      <c r="J45" s="325"/>
      <c r="K45" s="325"/>
      <c r="L45" s="325"/>
      <c r="M45" s="325"/>
      <c r="N45" s="325"/>
      <c r="O45" s="325"/>
    </row>
    <row r="46" spans="1:15" s="382" customFormat="1" ht="15.75">
      <c r="A46" s="385" t="s">
        <v>2744</v>
      </c>
      <c r="B46" s="4693" t="s">
        <v>10188</v>
      </c>
      <c r="C46" s="3262"/>
      <c r="D46" s="3263">
        <f>'SOF2021-HB3'!I55</f>
        <v>0</v>
      </c>
      <c r="E46" s="3264"/>
      <c r="F46" s="717"/>
      <c r="G46" s="717"/>
      <c r="H46" s="325"/>
      <c r="I46" s="325"/>
      <c r="J46" s="325"/>
      <c r="K46" s="325"/>
      <c r="L46" s="325"/>
      <c r="M46" s="325"/>
      <c r="N46" s="325"/>
      <c r="O46" s="325"/>
    </row>
    <row r="47" spans="1:15" s="382" customFormat="1" ht="15.75">
      <c r="A47" s="385" t="s">
        <v>2745</v>
      </c>
      <c r="B47" s="4694" t="s">
        <v>10189</v>
      </c>
      <c r="C47" s="3262"/>
      <c r="D47" s="3263">
        <f>'SOF2021-HB3'!I56</f>
        <v>0</v>
      </c>
      <c r="E47" s="3264"/>
      <c r="F47" s="717"/>
      <c r="G47" s="717"/>
      <c r="H47" s="325"/>
      <c r="I47" s="325"/>
      <c r="J47" s="325"/>
      <c r="K47" s="325"/>
      <c r="L47" s="325"/>
      <c r="M47" s="325"/>
      <c r="N47" s="325"/>
      <c r="O47" s="325"/>
    </row>
    <row r="48" spans="1:15" s="382" customFormat="1" ht="15.75">
      <c r="A48" s="385" t="s">
        <v>2746</v>
      </c>
      <c r="B48" s="4693" t="s">
        <v>10190</v>
      </c>
      <c r="C48" s="3262"/>
      <c r="D48" s="3263">
        <f>'SOF2021-HB3'!I57</f>
        <v>0</v>
      </c>
      <c r="E48" s="3264"/>
      <c r="F48" s="717"/>
      <c r="G48" s="717"/>
      <c r="H48" s="325"/>
      <c r="I48" s="325"/>
      <c r="J48" s="325"/>
      <c r="K48" s="325"/>
      <c r="L48" s="325"/>
      <c r="M48" s="325"/>
      <c r="N48" s="325"/>
      <c r="O48" s="325"/>
    </row>
    <row r="49" spans="1:15" s="382" customFormat="1" ht="18">
      <c r="A49" s="1388" t="s">
        <v>10191</v>
      </c>
      <c r="B49" s="1388"/>
      <c r="C49" s="1387"/>
      <c r="D49" s="3051"/>
      <c r="E49" s="3003"/>
      <c r="F49" s="1377"/>
      <c r="G49" s="1377"/>
      <c r="H49" s="325"/>
      <c r="I49" s="325"/>
      <c r="J49" s="325"/>
      <c r="K49" s="325"/>
      <c r="L49" s="325"/>
      <c r="M49" s="325"/>
      <c r="N49" s="325"/>
      <c r="O49" s="325"/>
    </row>
    <row r="50" spans="1:15" s="382" customFormat="1" ht="15.75">
      <c r="A50" s="385" t="s">
        <v>2747</v>
      </c>
      <c r="B50" s="386" t="s">
        <v>10192</v>
      </c>
      <c r="C50" s="386"/>
      <c r="D50" s="2932">
        <f>'SOF2021-HB3'!I60</f>
        <v>0</v>
      </c>
      <c r="E50" s="3000">
        <f>'SOF2021-HB3'!I60</f>
        <v>0</v>
      </c>
      <c r="F50" s="717"/>
      <c r="G50" s="717"/>
      <c r="H50" s="325"/>
      <c r="I50" s="325"/>
      <c r="J50" s="325"/>
      <c r="K50" s="325"/>
      <c r="L50" s="325"/>
      <c r="M50" s="325"/>
      <c r="N50" s="325"/>
      <c r="O50" s="325"/>
    </row>
    <row r="51" spans="1:15" s="382" customFormat="1" ht="15.75">
      <c r="A51" s="385" t="s">
        <v>2748</v>
      </c>
      <c r="B51" s="386" t="s">
        <v>10193</v>
      </c>
      <c r="C51" s="386"/>
      <c r="D51" s="2932">
        <f>'SOF2021-HB3'!I59</f>
        <v>0</v>
      </c>
      <c r="E51" s="3000">
        <f>'SOF2021-HB3'!I59</f>
        <v>0</v>
      </c>
      <c r="F51" s="717"/>
      <c r="G51" s="717"/>
      <c r="H51" s="325"/>
      <c r="I51" s="325"/>
      <c r="J51" s="325"/>
      <c r="K51" s="325"/>
      <c r="L51" s="325"/>
      <c r="M51" s="325"/>
      <c r="N51" s="325"/>
      <c r="O51" s="325"/>
    </row>
    <row r="52" spans="1:15" s="382" customFormat="1" ht="15.75">
      <c r="A52" s="385" t="s">
        <v>2749</v>
      </c>
      <c r="B52" s="4677" t="s">
        <v>10194</v>
      </c>
      <c r="C52" s="4677"/>
      <c r="D52" s="4689">
        <f>'SOF2021-HB3'!I63</f>
        <v>0</v>
      </c>
      <c r="E52" s="4678"/>
      <c r="F52" s="717"/>
      <c r="G52" s="717"/>
      <c r="H52" s="325"/>
      <c r="I52" s="325"/>
      <c r="J52" s="325"/>
      <c r="K52" s="325"/>
      <c r="L52" s="325"/>
      <c r="M52" s="325"/>
      <c r="N52" s="325"/>
      <c r="O52" s="325"/>
    </row>
    <row r="53" spans="1:15" ht="15">
      <c r="A53" s="385" t="s">
        <v>2750</v>
      </c>
      <c r="B53" s="4677" t="s">
        <v>10195</v>
      </c>
      <c r="C53" s="4677"/>
      <c r="D53" s="4689">
        <f>'SOF2021-HB3'!I58</f>
        <v>0</v>
      </c>
    </row>
    <row r="54" spans="1:15" ht="15">
      <c r="A54" s="385" t="s">
        <v>2751</v>
      </c>
      <c r="B54" s="4677" t="s">
        <v>10339</v>
      </c>
      <c r="C54" s="4677"/>
      <c r="D54" s="4689">
        <f>'SOF2021-HB3'!I64</f>
        <v>0</v>
      </c>
    </row>
    <row r="55" spans="1:15" ht="15">
      <c r="A55" s="385" t="s">
        <v>2752</v>
      </c>
      <c r="B55" s="4677" t="s">
        <v>10197</v>
      </c>
      <c r="C55" s="4677"/>
      <c r="D55" s="4689">
        <f>'SOF2021-HB3'!I65</f>
        <v>0</v>
      </c>
    </row>
    <row r="56" spans="1:15" ht="15">
      <c r="A56" s="385" t="s">
        <v>2753</v>
      </c>
      <c r="B56" s="4677" t="s">
        <v>10198</v>
      </c>
      <c r="C56" s="4677"/>
      <c r="D56" s="4689">
        <f>'SOF2021-HB3'!I34</f>
        <v>0</v>
      </c>
    </row>
    <row r="57" spans="1:15" s="382" customFormat="1" ht="15.75">
      <c r="A57" s="385" t="s">
        <v>2754</v>
      </c>
      <c r="B57" s="719" t="s">
        <v>3357</v>
      </c>
      <c r="C57" s="386"/>
      <c r="D57" s="2932" t="e">
        <f>'SOF2021-HB3'!I66</f>
        <v>#DIV/0!</v>
      </c>
      <c r="E57" s="3000" t="e">
        <f>'SOF2021-HB3'!I66</f>
        <v>#DIV/0!</v>
      </c>
      <c r="F57" s="717"/>
      <c r="G57" s="717"/>
      <c r="H57" s="325"/>
      <c r="I57" s="325"/>
      <c r="J57" s="325"/>
      <c r="K57" s="325"/>
      <c r="L57" s="325"/>
      <c r="M57" s="325"/>
      <c r="N57" s="325"/>
      <c r="O57" s="325"/>
    </row>
    <row r="58" spans="1:15" s="382" customFormat="1" ht="15.75">
      <c r="A58" s="385" t="s">
        <v>2755</v>
      </c>
      <c r="B58" s="386" t="s">
        <v>2763</v>
      </c>
      <c r="C58" s="386"/>
      <c r="D58" s="2932" t="e">
        <f>'SOF2021-HB3'!I67</f>
        <v>#DIV/0!</v>
      </c>
      <c r="E58" s="3000" t="e">
        <f>'SOF2021-HB3'!I67</f>
        <v>#DIV/0!</v>
      </c>
      <c r="F58" s="717"/>
      <c r="G58" s="717"/>
      <c r="H58" s="325"/>
      <c r="I58" s="325"/>
      <c r="J58" s="325"/>
      <c r="K58" s="325"/>
      <c r="L58" s="325"/>
      <c r="M58" s="325"/>
      <c r="N58" s="325"/>
      <c r="O58" s="325"/>
    </row>
    <row r="59" spans="1:15" s="382" customFormat="1" ht="15.75">
      <c r="A59" s="385" t="s">
        <v>2756</v>
      </c>
      <c r="B59" s="386" t="s">
        <v>2764</v>
      </c>
      <c r="C59" s="386"/>
      <c r="D59" s="2932">
        <f>'SOF2021-HB3'!I110</f>
        <v>0</v>
      </c>
      <c r="E59" s="3000">
        <f>'SOF2021-HB3'!H111</f>
        <v>0</v>
      </c>
      <c r="F59" s="717"/>
      <c r="G59" s="717"/>
      <c r="H59" s="325"/>
      <c r="I59" s="325"/>
      <c r="J59" s="325"/>
      <c r="K59" s="325"/>
      <c r="L59" s="325"/>
      <c r="M59" s="325"/>
      <c r="N59" s="325"/>
      <c r="O59" s="325"/>
    </row>
    <row r="60" spans="1:15" s="382" customFormat="1" ht="18">
      <c r="A60" s="1390" t="s">
        <v>10199</v>
      </c>
      <c r="B60" s="1391"/>
      <c r="C60" s="1391"/>
      <c r="D60" s="3085"/>
      <c r="E60" s="3006"/>
      <c r="F60" s="1377"/>
      <c r="G60" s="1377"/>
      <c r="H60" s="325"/>
      <c r="I60" s="325"/>
      <c r="J60" s="325"/>
      <c r="K60" s="325"/>
      <c r="L60" s="325"/>
      <c r="M60" s="325"/>
      <c r="N60" s="325"/>
      <c r="O60" s="325"/>
    </row>
    <row r="61" spans="1:15" s="382" customFormat="1" ht="15.75">
      <c r="A61" s="385" t="s">
        <v>2757</v>
      </c>
      <c r="B61" s="386" t="s">
        <v>10252</v>
      </c>
      <c r="C61" s="386"/>
      <c r="D61" s="2932" t="e">
        <f>IF(D57-D58-D59&lt;=0,0,D57-D58-D59)</f>
        <v>#DIV/0!</v>
      </c>
      <c r="E61" s="3000" t="e">
        <f>'SOF2021-HB3'!I68</f>
        <v>#DIV/0!</v>
      </c>
      <c r="F61" s="717"/>
      <c r="G61" s="717"/>
      <c r="H61" s="325"/>
      <c r="I61" s="325"/>
      <c r="J61" s="325"/>
      <c r="K61" s="325"/>
      <c r="L61" s="325"/>
      <c r="M61" s="325"/>
      <c r="N61" s="325"/>
      <c r="O61" s="325"/>
    </row>
    <row r="62" spans="1:15" s="382" customFormat="1" ht="15.75">
      <c r="A62" s="385" t="s">
        <v>2758</v>
      </c>
      <c r="B62" s="718" t="s">
        <v>3358</v>
      </c>
      <c r="C62" s="386"/>
      <c r="D62" s="2932" t="e">
        <f>'SOF2021-HB3'!I83</f>
        <v>#DIV/0!</v>
      </c>
      <c r="E62" s="3000">
        <f>'SOF2021-HB3'!I84</f>
        <v>0</v>
      </c>
      <c r="F62" s="717"/>
      <c r="G62" s="717"/>
      <c r="H62" s="325"/>
      <c r="I62" s="325"/>
      <c r="J62" s="325"/>
      <c r="K62" s="325"/>
      <c r="L62" s="325"/>
      <c r="M62" s="325"/>
      <c r="N62" s="325"/>
      <c r="O62" s="325"/>
    </row>
    <row r="63" spans="1:15" s="382" customFormat="1" ht="15.75">
      <c r="A63" s="385" t="s">
        <v>2773</v>
      </c>
      <c r="B63" s="719" t="s">
        <v>3359</v>
      </c>
      <c r="C63" s="386"/>
      <c r="D63" s="2932" t="e">
        <f>'SOF2021-HB3'!I103+'SOF2021-HB3'!I127+'SOF2021-HB3'!I128</f>
        <v>#DIV/0!</v>
      </c>
      <c r="E63" s="3000"/>
      <c r="F63" s="717"/>
      <c r="G63" s="717"/>
      <c r="H63" s="565" t="s">
        <v>10219</v>
      </c>
      <c r="I63" s="325"/>
      <c r="J63" s="325"/>
      <c r="K63" s="325"/>
      <c r="L63" s="325"/>
      <c r="M63" s="325"/>
      <c r="N63" s="325"/>
      <c r="O63" s="325"/>
    </row>
    <row r="64" spans="1:15" s="382" customFormat="1" ht="15.75">
      <c r="A64" s="385" t="s">
        <v>2774</v>
      </c>
      <c r="B64" s="386" t="s">
        <v>2766</v>
      </c>
      <c r="C64" s="386"/>
      <c r="D64" s="2932" t="e">
        <f>D61+D62+D63</f>
        <v>#DIV/0!</v>
      </c>
      <c r="E64" s="3000"/>
      <c r="F64" s="717"/>
      <c r="G64" s="717"/>
      <c r="H64" s="325"/>
      <c r="I64" s="325"/>
      <c r="J64" s="325"/>
      <c r="K64" s="325"/>
      <c r="L64" s="325"/>
      <c r="M64" s="325"/>
      <c r="N64" s="325"/>
      <c r="O64" s="325"/>
    </row>
    <row r="65" spans="1:15" s="382" customFormat="1" ht="18">
      <c r="A65" s="1372" t="s">
        <v>10200</v>
      </c>
      <c r="B65" s="1387"/>
      <c r="C65" s="1387"/>
      <c r="D65" s="3051"/>
      <c r="E65" s="3003"/>
      <c r="F65" s="1377"/>
      <c r="G65" s="1377"/>
      <c r="H65" s="325"/>
      <c r="I65" s="325"/>
      <c r="J65" s="325"/>
      <c r="K65" s="325"/>
      <c r="L65" s="325"/>
      <c r="M65" s="325"/>
      <c r="N65" s="325"/>
      <c r="O65" s="325"/>
    </row>
    <row r="66" spans="1:15" s="382" customFormat="1" ht="18">
      <c r="A66" s="1388" t="s">
        <v>10201</v>
      </c>
      <c r="B66" s="1388"/>
      <c r="C66" s="1387"/>
      <c r="D66" s="3051"/>
      <c r="E66" s="3003"/>
      <c r="F66" s="1377"/>
      <c r="G66" s="1377"/>
      <c r="H66" s="325"/>
      <c r="I66" s="325"/>
      <c r="J66" s="325"/>
      <c r="K66" s="325"/>
      <c r="L66" s="325"/>
      <c r="M66" s="325"/>
      <c r="N66" s="325"/>
      <c r="O66" s="325"/>
    </row>
    <row r="67" spans="1:15" s="382" customFormat="1" ht="15.75">
      <c r="A67" s="385" t="s">
        <v>2775</v>
      </c>
      <c r="B67" s="386" t="s">
        <v>2779</v>
      </c>
      <c r="C67" s="386"/>
      <c r="D67" s="2932" t="e">
        <f>D64</f>
        <v>#DIV/0!</v>
      </c>
      <c r="E67" s="3000">
        <f>'SOF2021-HB3'!I110</f>
        <v>0</v>
      </c>
      <c r="F67" s="717"/>
      <c r="G67" s="717"/>
      <c r="H67" s="325"/>
      <c r="I67" s="325"/>
      <c r="J67" s="325"/>
      <c r="K67" s="325"/>
      <c r="L67" s="325"/>
      <c r="M67" s="325"/>
      <c r="N67" s="325"/>
      <c r="O67" s="325"/>
    </row>
    <row r="68" spans="1:15" s="382" customFormat="1" ht="15.75">
      <c r="A68" s="385" t="s">
        <v>2776</v>
      </c>
      <c r="B68" s="386" t="s">
        <v>3047</v>
      </c>
      <c r="C68" s="386"/>
      <c r="D68" s="2932">
        <f>'SOF2021-HB3'!I110</f>
        <v>0</v>
      </c>
      <c r="E68" s="3000">
        <f>'SOF2021-HB3'!I111</f>
        <v>0</v>
      </c>
      <c r="F68" s="717"/>
      <c r="G68" s="717"/>
      <c r="H68" s="325"/>
      <c r="I68" s="325"/>
      <c r="J68" s="325"/>
      <c r="K68" s="325"/>
      <c r="L68" s="325"/>
      <c r="M68" s="325"/>
      <c r="N68" s="325"/>
      <c r="O68" s="325"/>
    </row>
    <row r="69" spans="1:15" s="382" customFormat="1" ht="18">
      <c r="A69" s="1388" t="s">
        <v>10202</v>
      </c>
      <c r="B69" s="1388"/>
      <c r="C69" s="1387"/>
      <c r="D69" s="3051"/>
      <c r="E69" s="3003"/>
      <c r="F69" s="1377"/>
      <c r="G69" s="1377"/>
      <c r="H69" s="325"/>
      <c r="I69" s="325"/>
      <c r="J69" s="325"/>
      <c r="K69" s="325"/>
      <c r="L69" s="325"/>
      <c r="M69" s="325"/>
      <c r="N69" s="325"/>
      <c r="O69" s="325"/>
    </row>
    <row r="70" spans="1:15" s="382" customFormat="1" ht="15.75">
      <c r="A70" s="385" t="s">
        <v>2777</v>
      </c>
      <c r="B70" s="718" t="s">
        <v>3360</v>
      </c>
      <c r="C70" s="386"/>
      <c r="D70" s="2932">
        <f>'SOF2021-HB3'!I112</f>
        <v>0</v>
      </c>
      <c r="E70" s="3000">
        <f>D70</f>
        <v>0</v>
      </c>
      <c r="F70" s="717"/>
      <c r="G70" s="717"/>
      <c r="H70" s="325"/>
      <c r="I70" s="325"/>
      <c r="J70" s="325"/>
      <c r="K70" s="325"/>
      <c r="L70" s="325"/>
      <c r="M70" s="325"/>
      <c r="N70" s="325"/>
      <c r="O70" s="325"/>
    </row>
    <row r="71" spans="1:15" s="382" customFormat="1" ht="15.75">
      <c r="A71" s="385" t="s">
        <v>2778</v>
      </c>
      <c r="B71" s="719" t="s">
        <v>3361</v>
      </c>
      <c r="C71" s="386"/>
      <c r="D71" s="2932">
        <f>'IFA-HB3'!Q86</f>
        <v>0</v>
      </c>
      <c r="E71" s="3000">
        <f>D71</f>
        <v>0</v>
      </c>
      <c r="F71" s="717"/>
      <c r="G71" s="717"/>
      <c r="H71" s="325"/>
      <c r="I71" s="325"/>
      <c r="J71" s="325"/>
      <c r="K71" s="325"/>
      <c r="L71" s="325"/>
      <c r="M71" s="325"/>
      <c r="N71" s="325"/>
      <c r="O71" s="325"/>
    </row>
    <row r="72" spans="1:15" s="382" customFormat="1" ht="15.75">
      <c r="A72" s="385" t="s">
        <v>2917</v>
      </c>
      <c r="B72" s="718" t="s">
        <v>3194</v>
      </c>
      <c r="C72" s="386"/>
      <c r="D72" s="2932">
        <f>'IFA-HB3'!S75</f>
        <v>0</v>
      </c>
      <c r="E72" s="3000">
        <f>D72</f>
        <v>0</v>
      </c>
      <c r="F72" s="717"/>
      <c r="G72" s="717"/>
      <c r="H72" s="325"/>
      <c r="I72" s="325"/>
      <c r="J72" s="325"/>
      <c r="K72" s="325"/>
      <c r="L72" s="325"/>
      <c r="M72" s="325"/>
      <c r="N72" s="325"/>
      <c r="O72" s="325"/>
    </row>
    <row r="73" spans="1:15" s="382" customFormat="1" ht="15.75">
      <c r="A73" s="385" t="s">
        <v>3206</v>
      </c>
      <c r="B73" s="386" t="s">
        <v>4037</v>
      </c>
      <c r="C73" s="386"/>
      <c r="D73" s="2932" t="e">
        <f>'HH2021-Calcs'!C51</f>
        <v>#DIV/0!</v>
      </c>
      <c r="E73" s="3000"/>
      <c r="F73" s="717"/>
      <c r="G73" s="717"/>
      <c r="H73" s="325"/>
      <c r="I73" s="325"/>
      <c r="J73" s="325"/>
      <c r="K73" s="325"/>
      <c r="L73" s="325"/>
      <c r="M73" s="325"/>
      <c r="N73" s="325"/>
      <c r="O73" s="325"/>
    </row>
    <row r="74" spans="1:15" s="382" customFormat="1" ht="18">
      <c r="A74" s="385" t="s">
        <v>3207</v>
      </c>
      <c r="B74" s="1303" t="s">
        <v>3990</v>
      </c>
      <c r="C74" s="1393"/>
      <c r="D74" s="3086" t="e">
        <f>'SOF2021-HB3'!I115+'SOF2021-HB3'!I127+'SOF2021-HB3'!I128+D73</f>
        <v>#DIV/0!</v>
      </c>
      <c r="E74" s="3002">
        <f>'SOF2021-HB3'!I116</f>
        <v>0</v>
      </c>
      <c r="F74" s="2991"/>
      <c r="G74" s="2991"/>
      <c r="H74" s="325"/>
      <c r="I74" s="325"/>
      <c r="J74" s="325"/>
      <c r="K74" s="325"/>
      <c r="L74" s="325"/>
      <c r="M74" s="325"/>
      <c r="N74" s="325"/>
      <c r="O74" s="325"/>
    </row>
    <row r="75" spans="1:15" s="382" customFormat="1" ht="18">
      <c r="A75" s="1388" t="s">
        <v>10203</v>
      </c>
      <c r="B75" s="1388"/>
      <c r="C75" s="1387"/>
      <c r="D75" s="3051"/>
      <c r="E75" s="3003"/>
      <c r="F75" s="1377"/>
      <c r="G75" s="1377"/>
      <c r="H75" s="325"/>
      <c r="I75" s="325"/>
      <c r="J75" s="325"/>
      <c r="K75" s="325"/>
      <c r="L75" s="325"/>
      <c r="M75" s="325"/>
      <c r="N75" s="325"/>
      <c r="O75" s="325"/>
    </row>
    <row r="76" spans="1:15" s="382" customFormat="1" ht="15.75">
      <c r="A76" s="385" t="s">
        <v>3208</v>
      </c>
      <c r="B76" s="4677" t="s">
        <v>10203</v>
      </c>
      <c r="C76" s="4677"/>
      <c r="D76" s="4689" t="e">
        <f>'SOF2021-HB3'!I79+'SOF2021-HB3'!I87</f>
        <v>#DIV/0!</v>
      </c>
      <c r="H76" s="325"/>
      <c r="I76" s="325"/>
      <c r="J76" s="325"/>
      <c r="K76" s="325"/>
      <c r="L76" s="325"/>
      <c r="M76" s="325"/>
      <c r="N76" s="325"/>
      <c r="O76" s="325"/>
    </row>
    <row r="77" spans="1:15" s="382" customFormat="1" ht="15.75">
      <c r="A77" s="4695"/>
      <c r="B77" s="4687"/>
      <c r="C77" s="4687"/>
      <c r="D77" s="4687"/>
      <c r="H77" s="325"/>
      <c r="I77" s="325"/>
      <c r="J77" s="325"/>
      <c r="K77" s="325"/>
      <c r="L77" s="325"/>
      <c r="M77" s="325"/>
      <c r="N77" s="325"/>
      <c r="O77" s="325"/>
    </row>
    <row r="78" spans="1:15" s="382" customFormat="1" ht="15.75">
      <c r="A78" s="645" t="s">
        <v>3209</v>
      </c>
      <c r="B78" s="4696" t="s">
        <v>10204</v>
      </c>
      <c r="C78" s="4697"/>
      <c r="D78" s="4697"/>
      <c r="H78" s="325"/>
      <c r="I78" s="325"/>
      <c r="J78" s="325"/>
      <c r="K78" s="325"/>
      <c r="L78" s="325"/>
      <c r="M78" s="325"/>
      <c r="N78" s="325"/>
      <c r="O78" s="325"/>
    </row>
    <row r="79" spans="1:15" s="382" customFormat="1" ht="15.75">
      <c r="A79" s="4698"/>
      <c r="B79" s="4699"/>
      <c r="H79" s="325"/>
      <c r="I79" s="325"/>
      <c r="J79" s="325"/>
      <c r="K79" s="325"/>
      <c r="L79" s="325"/>
      <c r="M79" s="325"/>
      <c r="N79" s="325"/>
      <c r="O79" s="325"/>
    </row>
    <row r="80" spans="1:15" s="382" customFormat="1" ht="16.5" thickBot="1">
      <c r="A80" s="4700"/>
      <c r="C80" s="4701"/>
      <c r="D80" s="4701"/>
      <c r="E80" s="382" t="e">
        <f>(E67+E68)/D10</f>
        <v>#DIV/0!</v>
      </c>
      <c r="H80" s="325"/>
      <c r="I80" s="325"/>
      <c r="J80" s="325"/>
      <c r="K80" s="325"/>
      <c r="L80" s="325"/>
      <c r="M80" s="325"/>
      <c r="N80" s="325"/>
      <c r="O80" s="325"/>
    </row>
    <row r="81" spans="1:7" ht="16.5" thickTop="1">
      <c r="A81" s="4715" t="s">
        <v>3103</v>
      </c>
      <c r="B81" s="4716"/>
      <c r="C81" s="4717"/>
      <c r="D81" s="4718"/>
      <c r="E81" s="382"/>
      <c r="F81" s="382"/>
      <c r="G81" s="382"/>
    </row>
    <row r="82" spans="1:7" ht="15.75">
      <c r="A82" s="4702" t="s">
        <v>2457</v>
      </c>
      <c r="C82" s="4703"/>
      <c r="D82" s="4704"/>
      <c r="E82" s="325"/>
      <c r="F82" s="325"/>
      <c r="G82" s="325"/>
    </row>
    <row r="83" spans="1:7" ht="15.75">
      <c r="A83" s="645" t="s">
        <v>3210</v>
      </c>
      <c r="B83" s="4705" t="s">
        <v>10213</v>
      </c>
      <c r="C83" s="4703"/>
      <c r="D83" s="4724" t="e">
        <f>'SOF2021-HB3'!I122+'SOF2021-HB3'!I127+'SOF2021-HB3'!I128</f>
        <v>#DIV/0!</v>
      </c>
      <c r="E83" s="325"/>
      <c r="F83" s="325"/>
      <c r="G83" s="325"/>
    </row>
    <row r="84" spans="1:7" ht="15.75">
      <c r="A84" s="645" t="s">
        <v>3211</v>
      </c>
      <c r="B84" s="644" t="s">
        <v>9492</v>
      </c>
      <c r="C84" s="384"/>
      <c r="D84" s="422">
        <f>'SOF2021-HB3'!I123</f>
        <v>0</v>
      </c>
      <c r="E84" s="717"/>
      <c r="F84" s="717"/>
      <c r="G84" s="717"/>
    </row>
    <row r="85" spans="1:7" ht="15.75">
      <c r="A85" s="645" t="s">
        <v>3212</v>
      </c>
      <c r="B85" s="644" t="s">
        <v>9493</v>
      </c>
      <c r="C85" s="651"/>
      <c r="D85" s="422" t="e">
        <f>'SOF2021-HB3'!I79</f>
        <v>#DIV/0!</v>
      </c>
      <c r="E85" s="717"/>
      <c r="F85" s="717"/>
      <c r="G85" s="717"/>
    </row>
    <row r="86" spans="1:7" ht="15.75">
      <c r="A86" s="645" t="s">
        <v>3213</v>
      </c>
      <c r="B86" s="644" t="s">
        <v>9494</v>
      </c>
      <c r="C86" s="384"/>
      <c r="D86" s="422" t="e">
        <f>'SOF2021-HB3'!I87</f>
        <v>#DIV/0!</v>
      </c>
      <c r="E86" s="717"/>
      <c r="F86" s="717"/>
      <c r="G86" s="717"/>
    </row>
    <row r="87" spans="1:7" ht="15.75">
      <c r="A87" s="645" t="s">
        <v>3214</v>
      </c>
      <c r="B87" s="4647" t="s">
        <v>9495</v>
      </c>
      <c r="C87" s="384"/>
      <c r="D87" s="422" t="e">
        <f>D83+D84-D85-D86</f>
        <v>#DIV/0!</v>
      </c>
      <c r="E87" s="717"/>
      <c r="F87" s="717"/>
      <c r="G87" s="717"/>
    </row>
    <row r="88" spans="1:7" ht="15.75">
      <c r="A88" s="645" t="s">
        <v>3215</v>
      </c>
      <c r="B88" s="653" t="s">
        <v>10205</v>
      </c>
      <c r="C88" s="4707"/>
      <c r="D88" s="4708" t="e">
        <f>IF(D83&gt;=0,0,D83)</f>
        <v>#DIV/0!</v>
      </c>
      <c r="E88" s="717"/>
      <c r="F88" s="717"/>
      <c r="G88" s="717"/>
    </row>
    <row r="89" spans="1:7" ht="16.5" thickBot="1">
      <c r="A89" s="645" t="s">
        <v>3216</v>
      </c>
      <c r="B89" s="4649" t="s">
        <v>10224</v>
      </c>
      <c r="C89" s="1297"/>
      <c r="D89" s="4735" t="e">
        <f>D87+D88</f>
        <v>#DIV/0!</v>
      </c>
      <c r="E89" s="2992"/>
      <c r="F89" s="2992"/>
      <c r="G89" s="2992"/>
    </row>
    <row r="90" spans="1:7" ht="14.25" thickTop="1" thickBot="1">
      <c r="B90" s="4709"/>
    </row>
    <row r="91" spans="1:7" ht="16.5" thickTop="1">
      <c r="A91" s="3266" t="s">
        <v>9187</v>
      </c>
      <c r="B91" s="499"/>
      <c r="C91" s="4710"/>
      <c r="D91" s="497"/>
    </row>
    <row r="92" spans="1:7" ht="15">
      <c r="A92" s="645" t="s">
        <v>3217</v>
      </c>
      <c r="B92" s="649" t="s">
        <v>9498</v>
      </c>
      <c r="C92" s="4706"/>
      <c r="D92" s="4734" t="e">
        <f>'SOF2021-HB3'!I79</f>
        <v>#DIV/0!</v>
      </c>
    </row>
    <row r="93" spans="1:7" ht="15">
      <c r="A93" s="645" t="s">
        <v>3218</v>
      </c>
      <c r="B93" s="649" t="s">
        <v>9510</v>
      </c>
      <c r="C93" s="647"/>
      <c r="D93" s="422" t="e">
        <f>'SOF2021-HB3'!I87</f>
        <v>#DIV/0!</v>
      </c>
      <c r="E93" s="717"/>
      <c r="F93" s="717"/>
      <c r="G93" s="717"/>
    </row>
    <row r="94" spans="1:7" ht="15.75">
      <c r="A94" s="645" t="s">
        <v>10208</v>
      </c>
      <c r="B94" s="4714" t="s">
        <v>10225</v>
      </c>
      <c r="C94" s="4712"/>
      <c r="D94" s="4713" t="e">
        <f>D92+D93</f>
        <v>#DIV/0!</v>
      </c>
      <c r="E94" s="717"/>
      <c r="F94" s="717"/>
      <c r="G94" s="717"/>
    </row>
    <row r="95" spans="1:7" ht="15">
      <c r="A95" s="645" t="s">
        <v>10209</v>
      </c>
      <c r="B95" s="649" t="s">
        <v>10207</v>
      </c>
      <c r="C95" s="647"/>
      <c r="D95" s="422">
        <f>'SOF2021-HB3'!I102</f>
        <v>0</v>
      </c>
      <c r="E95" s="717"/>
      <c r="F95" s="717"/>
      <c r="G95" s="717"/>
    </row>
    <row r="96" spans="1:7" ht="16.5" thickBot="1">
      <c r="A96" s="646" t="s">
        <v>10210</v>
      </c>
      <c r="B96" s="1297" t="s">
        <v>10226</v>
      </c>
      <c r="C96" s="4711"/>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O102"/>
  <sheetViews>
    <sheetView workbookViewId="0">
      <selection activeCell="D1" sqref="D1"/>
    </sheetView>
  </sheetViews>
  <sheetFormatPr defaultRowHeight="12.75"/>
  <cols>
    <col min="1" max="1" width="9.140625" style="64" customWidth="1"/>
    <col min="2" max="2" width="86.42578125" style="35" customWidth="1"/>
    <col min="3" max="3" width="4.140625" style="35" customWidth="1"/>
    <col min="4" max="4" width="20.5703125" style="35" customWidth="1"/>
    <col min="5" max="7" width="20.5703125" style="35" hidden="1" customWidth="1"/>
    <col min="8" max="8" width="17.5703125" style="35" customWidth="1"/>
    <col min="9" max="15" width="9.140625" style="35" customWidth="1"/>
  </cols>
  <sheetData>
    <row r="1" spans="1:15">
      <c r="A1" s="380" t="s">
        <v>2864</v>
      </c>
      <c r="C1" s="755"/>
      <c r="D1" s="3054" t="str">
        <f>'Data Entry - SOF'!S1</f>
        <v>Release 10</v>
      </c>
      <c r="E1" s="754"/>
      <c r="F1" s="754"/>
      <c r="G1" s="754"/>
    </row>
    <row r="2" spans="1:15">
      <c r="A2" s="484" t="s">
        <v>9515</v>
      </c>
      <c r="D2" s="4642">
        <f>'Data Entry - SOF'!S2</f>
        <v>43724</v>
      </c>
      <c r="E2" s="72"/>
      <c r="F2" s="72"/>
      <c r="G2" s="72"/>
    </row>
    <row r="3" spans="1:15" ht="15.75">
      <c r="D3" s="325"/>
      <c r="E3" s="58"/>
      <c r="F3" s="58"/>
      <c r="G3" s="58"/>
    </row>
    <row r="4" spans="1:15" s="382" customFormat="1" ht="15.75">
      <c r="A4" s="381" t="s">
        <v>6874</v>
      </c>
      <c r="B4" s="325"/>
      <c r="C4" s="325"/>
      <c r="D4" s="325"/>
      <c r="E4" s="325"/>
      <c r="F4" s="325"/>
      <c r="G4" s="325"/>
      <c r="H4" s="325"/>
      <c r="I4" s="325"/>
      <c r="J4" s="325"/>
      <c r="K4" s="325"/>
      <c r="L4" s="325"/>
      <c r="M4" s="325"/>
      <c r="N4" s="325"/>
      <c r="O4" s="325"/>
    </row>
    <row r="5" spans="1:15" s="382" customFormat="1" ht="15.75">
      <c r="A5" s="383">
        <f>'Data Entry - SOF'!B1</f>
        <v>0</v>
      </c>
      <c r="B5" s="325"/>
      <c r="C5" s="325"/>
      <c r="D5" s="325"/>
      <c r="E5" s="325"/>
      <c r="F5" s="325"/>
      <c r="G5" s="325"/>
      <c r="H5" s="325"/>
      <c r="I5" s="325"/>
      <c r="J5" s="325"/>
      <c r="K5" s="325"/>
      <c r="L5" s="325"/>
      <c r="M5" s="325"/>
      <c r="N5" s="325"/>
      <c r="O5" s="325"/>
    </row>
    <row r="6" spans="1:15" s="382" customFormat="1" ht="15.75">
      <c r="A6" s="381">
        <f>'Data Entry - SOF'!B2</f>
        <v>0</v>
      </c>
      <c r="B6" s="325"/>
      <c r="C6" s="325"/>
      <c r="D6" s="325"/>
      <c r="E6" s="325"/>
      <c r="F6" s="325"/>
      <c r="G6" s="325"/>
      <c r="H6" s="325"/>
      <c r="I6" s="325"/>
      <c r="J6" s="325"/>
      <c r="K6" s="325"/>
      <c r="L6" s="325"/>
      <c r="M6" s="325"/>
      <c r="N6" s="325"/>
      <c r="O6" s="325"/>
    </row>
    <row r="7" spans="1:15" s="382" customFormat="1" ht="15.75">
      <c r="A7" s="381"/>
      <c r="B7" s="325"/>
      <c r="C7" s="325"/>
      <c r="D7" s="4639" t="s">
        <v>8765</v>
      </c>
      <c r="F7" s="325"/>
      <c r="G7" s="325"/>
      <c r="H7" s="325"/>
      <c r="I7" s="325"/>
      <c r="J7" s="325"/>
      <c r="K7" s="325"/>
      <c r="L7" s="325"/>
      <c r="M7" s="325"/>
      <c r="N7" s="325"/>
      <c r="O7" s="325"/>
    </row>
    <row r="8" spans="1:15" s="382" customFormat="1" ht="18">
      <c r="A8" s="564" t="s">
        <v>2707</v>
      </c>
      <c r="B8" s="1288"/>
      <c r="C8" s="1288"/>
      <c r="D8" s="532" t="s">
        <v>2715</v>
      </c>
      <c r="E8" s="3004"/>
      <c r="F8" s="1298"/>
      <c r="G8" s="1298"/>
      <c r="H8" s="325"/>
      <c r="I8" s="325"/>
      <c r="J8" s="325"/>
      <c r="K8" s="325"/>
      <c r="L8" s="325"/>
      <c r="M8" s="325"/>
      <c r="N8" s="325"/>
      <c r="O8" s="325"/>
    </row>
    <row r="9" spans="1:15" s="382" customFormat="1" ht="18">
      <c r="A9" s="1372" t="s">
        <v>2708</v>
      </c>
      <c r="B9" s="1387"/>
      <c r="C9" s="1387"/>
      <c r="D9" s="533" t="s">
        <v>2716</v>
      </c>
      <c r="E9" s="3005" t="s">
        <v>8765</v>
      </c>
      <c r="F9" s="1298"/>
      <c r="G9" s="1298"/>
      <c r="H9" s="325"/>
      <c r="I9" s="325"/>
      <c r="J9" s="325"/>
      <c r="K9" s="325"/>
      <c r="L9" s="325"/>
      <c r="M9" s="325"/>
      <c r="N9" s="325"/>
      <c r="O9" s="325"/>
    </row>
    <row r="10" spans="1:15" s="382" customFormat="1" ht="15.75">
      <c r="A10" s="385" t="s">
        <v>2186</v>
      </c>
      <c r="B10" s="386" t="s">
        <v>2709</v>
      </c>
      <c r="C10" s="386"/>
      <c r="D10" s="3082">
        <f>'Data Entry - SOF'!O19</f>
        <v>0</v>
      </c>
      <c r="E10" s="2997">
        <f>D10</f>
        <v>0</v>
      </c>
      <c r="F10" s="2988"/>
      <c r="G10" s="2988"/>
      <c r="H10" s="325"/>
      <c r="I10" s="325"/>
      <c r="J10" s="325"/>
      <c r="K10" s="325"/>
      <c r="L10" s="325"/>
      <c r="M10" s="325"/>
      <c r="N10" s="325"/>
      <c r="O10" s="325"/>
    </row>
    <row r="11" spans="1:15" s="382" customFormat="1" ht="15.75">
      <c r="A11" s="385" t="s">
        <v>2187</v>
      </c>
      <c r="B11" s="718" t="s">
        <v>3353</v>
      </c>
      <c r="C11" s="386"/>
      <c r="D11" s="3082">
        <f>'Calc Data'!H12</f>
        <v>0</v>
      </c>
      <c r="E11" s="2997">
        <f t="shared" ref="E11:E13" si="0">D11</f>
        <v>0</v>
      </c>
      <c r="F11" s="2988"/>
      <c r="G11" s="2988"/>
      <c r="H11" s="325"/>
      <c r="I11" s="325"/>
      <c r="J11" s="325"/>
      <c r="K11" s="325"/>
      <c r="L11" s="325"/>
      <c r="M11" s="325"/>
      <c r="N11" s="325"/>
      <c r="O11" s="325"/>
    </row>
    <row r="12" spans="1:15" s="382" customFormat="1" ht="15.75">
      <c r="A12" s="385" t="s">
        <v>2188</v>
      </c>
      <c r="B12" s="719" t="s">
        <v>3355</v>
      </c>
      <c r="C12" s="386"/>
      <c r="D12" s="3082">
        <f>'Calc Data'!H8</f>
        <v>0</v>
      </c>
      <c r="E12" s="2997">
        <f t="shared" si="0"/>
        <v>0</v>
      </c>
      <c r="F12" s="2988"/>
      <c r="G12" s="2988"/>
      <c r="H12" s="325"/>
      <c r="I12" s="325"/>
      <c r="J12" s="325"/>
      <c r="K12" s="325"/>
      <c r="L12" s="325"/>
      <c r="M12" s="325"/>
      <c r="N12" s="325"/>
      <c r="O12" s="325"/>
    </row>
    <row r="13" spans="1:15" s="382" customFormat="1" ht="15.75">
      <c r="A13" s="385" t="s">
        <v>909</v>
      </c>
      <c r="B13" s="386" t="s">
        <v>824</v>
      </c>
      <c r="C13" s="386"/>
      <c r="D13" s="3082">
        <f>'Data Entry - SOF'!O36</f>
        <v>0</v>
      </c>
      <c r="E13" s="2997">
        <f t="shared" si="0"/>
        <v>0</v>
      </c>
      <c r="F13" s="2988"/>
      <c r="G13" s="2988"/>
      <c r="H13" s="325"/>
      <c r="I13" s="325"/>
      <c r="J13" s="325"/>
      <c r="K13" s="325"/>
      <c r="L13" s="325"/>
      <c r="M13" s="325"/>
      <c r="N13" s="325"/>
      <c r="O13" s="325"/>
    </row>
    <row r="14" spans="1:15" s="382" customFormat="1" ht="15.75">
      <c r="A14" s="385" t="s">
        <v>910</v>
      </c>
      <c r="B14" s="719" t="s">
        <v>3356</v>
      </c>
      <c r="C14" s="386"/>
      <c r="D14" s="3082" t="e">
        <f>'SOF2122-HB3'!L66</f>
        <v>#DIV/0!</v>
      </c>
      <c r="E14" s="2997" t="e">
        <f>'SOF2122-HB3'!L66</f>
        <v>#DIV/0!</v>
      </c>
      <c r="F14" s="2988"/>
      <c r="G14" s="2988"/>
      <c r="H14" s="325"/>
      <c r="I14" s="325"/>
      <c r="J14" s="325"/>
      <c r="K14" s="325"/>
      <c r="L14" s="325"/>
      <c r="M14" s="325"/>
      <c r="N14" s="325"/>
      <c r="O14" s="325"/>
    </row>
    <row r="15" spans="1:15" s="382" customFormat="1" ht="18">
      <c r="A15" s="1372" t="s">
        <v>2720</v>
      </c>
      <c r="B15" s="1387"/>
      <c r="C15" s="1387"/>
      <c r="D15" s="3051"/>
      <c r="E15" s="3003"/>
      <c r="F15" s="1377"/>
      <c r="G15" s="1377"/>
      <c r="H15" s="325"/>
      <c r="I15" s="325"/>
      <c r="J15" s="325"/>
      <c r="K15" s="325"/>
      <c r="L15" s="325"/>
      <c r="M15" s="325"/>
      <c r="N15" s="325"/>
      <c r="O15" s="325"/>
    </row>
    <row r="16" spans="1:15" s="382" customFormat="1" ht="15.75">
      <c r="A16" s="385" t="s">
        <v>912</v>
      </c>
      <c r="B16" s="386" t="s">
        <v>10167</v>
      </c>
      <c r="C16" s="386"/>
      <c r="D16" s="3083">
        <f>'Data Entry - SOF'!E83</f>
        <v>0</v>
      </c>
      <c r="E16" s="2998">
        <f>D16</f>
        <v>0</v>
      </c>
      <c r="F16" s="601"/>
      <c r="G16" s="601"/>
      <c r="H16" s="325"/>
      <c r="I16" s="325"/>
      <c r="J16" s="325"/>
      <c r="K16" s="325"/>
      <c r="L16" s="325"/>
      <c r="M16" s="325"/>
      <c r="N16" s="325"/>
      <c r="O16" s="325"/>
    </row>
    <row r="17" spans="1:15" s="382" customFormat="1" ht="15.75">
      <c r="A17" s="385" t="s">
        <v>913</v>
      </c>
      <c r="B17" s="386" t="s">
        <v>10228</v>
      </c>
      <c r="C17" s="4677"/>
      <c r="D17" s="3083">
        <f>'Data Entry - SOF'!O73</f>
        <v>0</v>
      </c>
      <c r="E17" s="4686"/>
      <c r="F17" s="601"/>
      <c r="G17" s="601"/>
      <c r="H17" s="325"/>
      <c r="I17" s="325"/>
      <c r="J17" s="325"/>
      <c r="K17" s="325"/>
      <c r="L17" s="325"/>
      <c r="M17" s="325"/>
      <c r="N17" s="325"/>
      <c r="O17" s="325"/>
    </row>
    <row r="18" spans="1:15" s="382" customFormat="1" ht="18">
      <c r="A18" s="1372" t="s">
        <v>2721</v>
      </c>
      <c r="B18" s="1387"/>
      <c r="C18" s="1387"/>
      <c r="D18" s="3051"/>
      <c r="E18" s="3003"/>
      <c r="F18" s="1377"/>
      <c r="G18" s="1377"/>
      <c r="H18" s="325"/>
      <c r="I18" s="325"/>
      <c r="J18" s="325"/>
      <c r="K18" s="325"/>
      <c r="L18" s="325"/>
      <c r="M18" s="325"/>
      <c r="N18" s="325"/>
      <c r="O18" s="325"/>
    </row>
    <row r="19" spans="1:15" s="382" customFormat="1" ht="15.75">
      <c r="A19" s="385" t="s">
        <v>914</v>
      </c>
      <c r="B19" s="386" t="s">
        <v>10168</v>
      </c>
      <c r="C19" s="384"/>
      <c r="D19" s="4644" t="e">
        <f>'Data Entry - SOF'!O155</f>
        <v>#DIV/0!</v>
      </c>
      <c r="E19" s="2999"/>
      <c r="F19" s="2989"/>
      <c r="G19" s="2989"/>
      <c r="H19" s="325"/>
      <c r="I19" s="325"/>
      <c r="J19" s="325"/>
      <c r="K19" s="325"/>
      <c r="L19" s="325"/>
      <c r="M19" s="325"/>
      <c r="N19" s="325"/>
      <c r="O19" s="325"/>
    </row>
    <row r="20" spans="1:15" s="382" customFormat="1" ht="15.75">
      <c r="A20" s="385" t="s">
        <v>118</v>
      </c>
      <c r="B20" s="386" t="s">
        <v>3998</v>
      </c>
      <c r="C20" s="384"/>
      <c r="D20" s="4732">
        <f>'Data Entry - SOF'!E92</f>
        <v>1.17</v>
      </c>
      <c r="E20" s="2999">
        <f>'Data Entry - SOF'!O92</f>
        <v>1.17</v>
      </c>
      <c r="F20" s="2989"/>
      <c r="G20" s="2989"/>
      <c r="H20" s="325"/>
      <c r="I20" s="325"/>
      <c r="J20" s="325"/>
      <c r="K20" s="325"/>
      <c r="L20" s="325"/>
      <c r="M20" s="325"/>
      <c r="N20" s="325"/>
      <c r="O20" s="325"/>
    </row>
    <row r="21" spans="1:15" s="382" customFormat="1" ht="15.75">
      <c r="A21" s="385" t="s">
        <v>119</v>
      </c>
      <c r="B21" s="386" t="s">
        <v>6876</v>
      </c>
      <c r="C21" s="4648"/>
      <c r="D21" s="4732">
        <f>'Data Entry - SOF'!O95</f>
        <v>0</v>
      </c>
      <c r="E21" s="4688"/>
      <c r="F21" s="2989"/>
      <c r="G21" s="2989"/>
      <c r="H21" s="325"/>
      <c r="I21" s="325"/>
      <c r="J21" s="325"/>
      <c r="K21" s="325"/>
      <c r="L21" s="325"/>
      <c r="M21" s="325"/>
      <c r="N21" s="325"/>
      <c r="O21" s="325"/>
    </row>
    <row r="22" spans="1:15" s="382" customFormat="1" ht="15.75">
      <c r="A22" s="385" t="s">
        <v>120</v>
      </c>
      <c r="B22" s="386" t="s">
        <v>10229</v>
      </c>
      <c r="C22" s="4648"/>
      <c r="D22" s="4731" t="e">
        <f>'Data Entry - SOF'!O155</f>
        <v>#DIV/0!</v>
      </c>
      <c r="E22" s="4688"/>
      <c r="F22" s="2989"/>
      <c r="G22" s="2989"/>
      <c r="H22" s="325"/>
      <c r="I22" s="325"/>
      <c r="J22" s="325"/>
      <c r="K22" s="325"/>
      <c r="L22" s="325"/>
      <c r="M22" s="325"/>
      <c r="N22" s="325"/>
      <c r="O22" s="325"/>
    </row>
    <row r="23" spans="1:15" s="382" customFormat="1" ht="15.75">
      <c r="A23" s="385" t="s">
        <v>121</v>
      </c>
      <c r="B23" s="386" t="s">
        <v>10230</v>
      </c>
      <c r="C23" s="4648"/>
      <c r="D23" s="4731" t="e">
        <f>'HB3-RollbackRates'!K3</f>
        <v>#DIV/0!</v>
      </c>
      <c r="E23" s="4688"/>
      <c r="F23" s="2989"/>
      <c r="G23" s="2989"/>
      <c r="H23" s="325"/>
      <c r="I23" s="325"/>
      <c r="J23" s="325"/>
      <c r="K23" s="325"/>
      <c r="L23" s="325"/>
      <c r="M23" s="325"/>
      <c r="N23" s="325"/>
      <c r="O23" s="325"/>
    </row>
    <row r="24" spans="1:15" s="382" customFormat="1" ht="15.75">
      <c r="A24" s="385" t="s">
        <v>1513</v>
      </c>
      <c r="B24" s="719" t="s">
        <v>10231</v>
      </c>
      <c r="C24" s="386"/>
      <c r="D24" s="2932">
        <f>'Data Entry - SOF'!O96</f>
        <v>0</v>
      </c>
      <c r="E24" s="3000">
        <f>'Data Entry - SOF'!O93</f>
        <v>0</v>
      </c>
      <c r="F24" s="717"/>
      <c r="G24" s="717"/>
      <c r="H24" s="325"/>
      <c r="I24" s="325"/>
      <c r="J24" s="325"/>
      <c r="K24" s="325"/>
      <c r="L24" s="325"/>
      <c r="M24" s="325"/>
      <c r="N24" s="325"/>
      <c r="O24" s="325"/>
    </row>
    <row r="25" spans="1:15" s="382" customFormat="1" ht="15.75">
      <c r="A25" s="385" t="s">
        <v>6</v>
      </c>
      <c r="B25" s="386" t="s">
        <v>10232</v>
      </c>
      <c r="C25" s="4677"/>
      <c r="D25" s="4731">
        <f>'Data Entry - SOF'!O100</f>
        <v>0</v>
      </c>
      <c r="E25" s="4678"/>
      <c r="F25" s="717"/>
      <c r="G25" s="717"/>
      <c r="H25" s="325"/>
      <c r="I25" s="325"/>
      <c r="J25" s="325"/>
      <c r="K25" s="325"/>
      <c r="L25" s="325"/>
      <c r="M25" s="325"/>
      <c r="N25" s="325"/>
      <c r="O25" s="325"/>
    </row>
    <row r="26" spans="1:15" s="382" customFormat="1" ht="15.75">
      <c r="A26" s="385" t="s">
        <v>2232</v>
      </c>
      <c r="B26" s="386" t="s">
        <v>6877</v>
      </c>
      <c r="C26" s="386"/>
      <c r="D26" s="2932">
        <f>'Data Entry - SOF'!O101</f>
        <v>0</v>
      </c>
      <c r="E26" s="3000">
        <f>D26</f>
        <v>0</v>
      </c>
      <c r="F26" s="717"/>
      <c r="G26" s="717"/>
      <c r="H26" s="325"/>
      <c r="I26" s="325"/>
      <c r="J26" s="325"/>
      <c r="K26" s="325"/>
      <c r="L26" s="325"/>
      <c r="M26" s="325"/>
      <c r="N26" s="325"/>
      <c r="O26" s="325"/>
    </row>
    <row r="27" spans="1:15" s="382" customFormat="1" ht="15.75">
      <c r="A27" s="385" t="s">
        <v>2233</v>
      </c>
      <c r="B27" s="386" t="s">
        <v>6878</v>
      </c>
      <c r="C27" s="386"/>
      <c r="D27" s="2932">
        <f>D24+D26</f>
        <v>0</v>
      </c>
      <c r="E27" s="3000"/>
      <c r="F27" s="717"/>
      <c r="G27" s="717"/>
      <c r="H27" s="325"/>
      <c r="I27" s="325"/>
      <c r="J27" s="325"/>
      <c r="K27" s="325"/>
      <c r="L27" s="325"/>
      <c r="M27" s="325"/>
      <c r="N27" s="325"/>
      <c r="O27" s="325"/>
    </row>
    <row r="28" spans="1:15" s="382" customFormat="1" ht="15.75">
      <c r="A28" s="385" t="s">
        <v>2722</v>
      </c>
      <c r="B28" s="386" t="s">
        <v>6879</v>
      </c>
      <c r="C28" s="386"/>
      <c r="D28" s="2932">
        <f>'Data Entry - SOF'!O112</f>
        <v>0</v>
      </c>
      <c r="E28" s="3000"/>
      <c r="F28" s="717"/>
      <c r="G28" s="717"/>
      <c r="H28" s="325"/>
      <c r="I28" s="325"/>
      <c r="J28" s="325"/>
      <c r="K28" s="325"/>
      <c r="L28" s="325"/>
      <c r="M28" s="325"/>
      <c r="N28" s="325"/>
      <c r="O28" s="325"/>
    </row>
    <row r="29" spans="1:15" s="382" customFormat="1" ht="18">
      <c r="A29" s="1372" t="s">
        <v>2730</v>
      </c>
      <c r="B29" s="1387"/>
      <c r="C29" s="1387"/>
      <c r="D29" s="3051"/>
      <c r="E29" s="3003"/>
      <c r="F29" s="1377"/>
      <c r="G29" s="1377"/>
      <c r="H29" s="325"/>
      <c r="I29" s="325"/>
      <c r="J29" s="325"/>
      <c r="K29" s="325"/>
      <c r="L29" s="325"/>
      <c r="M29" s="325"/>
      <c r="N29" s="325"/>
      <c r="O29" s="325"/>
    </row>
    <row r="30" spans="1:15" s="382" customFormat="1" ht="15.75">
      <c r="A30" s="385" t="s">
        <v>2723</v>
      </c>
      <c r="B30" s="719" t="s">
        <v>10174</v>
      </c>
      <c r="C30" s="404"/>
      <c r="D30" s="772" t="e">
        <f>Assumptions!H136</f>
        <v>#DIV/0!</v>
      </c>
      <c r="E30" s="3000"/>
      <c r="F30" s="717"/>
      <c r="G30" s="717"/>
      <c r="H30" s="325"/>
      <c r="I30" s="325"/>
      <c r="J30" s="325"/>
      <c r="K30" s="325"/>
      <c r="L30" s="325"/>
      <c r="M30" s="325"/>
      <c r="N30" s="325"/>
      <c r="O30" s="325"/>
    </row>
    <row r="31" spans="1:15" s="382" customFormat="1" ht="15.75">
      <c r="A31" s="385" t="s">
        <v>2726</v>
      </c>
      <c r="B31" s="4691" t="s">
        <v>10175</v>
      </c>
      <c r="C31" s="4690"/>
      <c r="D31" s="4733">
        <f>'Data Entry - SOF'!M19</f>
        <v>0</v>
      </c>
      <c r="E31" s="4678"/>
      <c r="F31" s="717"/>
      <c r="G31" s="717"/>
      <c r="H31" s="325"/>
      <c r="I31" s="325"/>
      <c r="J31" s="325"/>
      <c r="K31" s="325"/>
      <c r="L31" s="325"/>
      <c r="M31" s="325"/>
      <c r="N31" s="325"/>
      <c r="O31" s="325"/>
    </row>
    <row r="32" spans="1:15" s="382" customFormat="1" ht="15.75">
      <c r="A32" s="385" t="s">
        <v>2727</v>
      </c>
      <c r="B32" s="386" t="s">
        <v>2738</v>
      </c>
      <c r="C32" s="386"/>
      <c r="D32" s="3084">
        <f>Assumptions!H141</f>
        <v>200</v>
      </c>
      <c r="E32" s="3001">
        <f>D32</f>
        <v>200</v>
      </c>
      <c r="F32" s="2990"/>
      <c r="G32" s="2990"/>
      <c r="H32" s="325"/>
      <c r="I32" s="325"/>
      <c r="J32" s="325"/>
      <c r="K32" s="325"/>
      <c r="L32" s="325"/>
      <c r="M32" s="325"/>
      <c r="N32" s="325"/>
      <c r="O32" s="325"/>
    </row>
    <row r="33" spans="1:15" s="382" customFormat="1" ht="18">
      <c r="A33" s="1388" t="s">
        <v>2759</v>
      </c>
      <c r="B33" s="1387"/>
      <c r="C33" s="1387"/>
      <c r="D33" s="3051"/>
      <c r="E33" s="3003"/>
      <c r="F33" s="1377"/>
      <c r="G33" s="1377"/>
      <c r="H33" s="325"/>
      <c r="I33" s="325"/>
      <c r="J33" s="325"/>
      <c r="K33" s="325"/>
      <c r="L33" s="325"/>
      <c r="M33" s="325"/>
      <c r="N33" s="325"/>
      <c r="O33" s="325"/>
    </row>
    <row r="34" spans="1:15" s="382" customFormat="1" ht="18">
      <c r="A34" s="1388" t="s">
        <v>10176</v>
      </c>
      <c r="B34" s="1388"/>
      <c r="C34" s="1387"/>
      <c r="D34" s="3051"/>
      <c r="E34" s="3003"/>
      <c r="F34" s="1377"/>
      <c r="G34" s="1377"/>
      <c r="H34" s="325"/>
      <c r="I34" s="325"/>
      <c r="J34" s="325"/>
      <c r="K34" s="325"/>
      <c r="L34" s="325"/>
      <c r="M34" s="325"/>
      <c r="N34" s="325"/>
      <c r="O34" s="325"/>
    </row>
    <row r="35" spans="1:15" s="382" customFormat="1" ht="15.75">
      <c r="A35" s="385" t="s">
        <v>2728</v>
      </c>
      <c r="B35" s="386" t="s">
        <v>10177</v>
      </c>
      <c r="C35" s="386"/>
      <c r="D35" s="2932" t="e">
        <f>'SOF2122-HB3'!I20</f>
        <v>#DIV/0!</v>
      </c>
      <c r="E35" s="3000" t="e">
        <f>'SOF2122-HB3'!I20</f>
        <v>#DIV/0!</v>
      </c>
      <c r="F35" s="717"/>
      <c r="G35" s="717"/>
      <c r="H35" s="325"/>
      <c r="I35" s="325"/>
      <c r="J35" s="325"/>
      <c r="K35" s="325"/>
      <c r="L35" s="325"/>
      <c r="M35" s="325"/>
      <c r="N35" s="325"/>
      <c r="O35" s="325"/>
    </row>
    <row r="36" spans="1:15" s="382" customFormat="1" ht="15.75">
      <c r="A36" s="385" t="s">
        <v>2729</v>
      </c>
      <c r="B36" s="4677" t="s">
        <v>10178</v>
      </c>
      <c r="C36" s="4677"/>
      <c r="D36" s="4689">
        <f>'SOF2122-HB3'!I21</f>
        <v>0</v>
      </c>
      <c r="E36" s="4678"/>
      <c r="F36" s="717"/>
      <c r="G36" s="717"/>
      <c r="H36" s="325"/>
      <c r="I36" s="325"/>
      <c r="J36" s="325"/>
      <c r="K36" s="325"/>
      <c r="L36" s="325"/>
      <c r="M36" s="325"/>
      <c r="N36" s="325"/>
      <c r="O36" s="325"/>
    </row>
    <row r="37" spans="1:15" s="382" customFormat="1" ht="15.75">
      <c r="A37" s="385" t="s">
        <v>2731</v>
      </c>
      <c r="B37" s="386" t="s">
        <v>10179</v>
      </c>
      <c r="C37" s="386"/>
      <c r="D37" s="2932" t="e">
        <f>SUM('SOF2122-HB3'!I22:I28)</f>
        <v>#DIV/0!</v>
      </c>
      <c r="E37" s="3000">
        <f>'SOF2122-HB3'!I169</f>
        <v>0</v>
      </c>
      <c r="F37" s="717"/>
      <c r="G37" s="717"/>
      <c r="H37" s="325"/>
      <c r="I37" s="325"/>
      <c r="J37" s="325"/>
      <c r="K37" s="325"/>
      <c r="L37" s="325"/>
      <c r="M37" s="325"/>
      <c r="N37" s="325"/>
      <c r="O37" s="325"/>
    </row>
    <row r="38" spans="1:15" s="382" customFormat="1" ht="15.75">
      <c r="A38" s="385" t="s">
        <v>2732</v>
      </c>
      <c r="B38" s="4677" t="s">
        <v>10180</v>
      </c>
      <c r="C38" s="4677"/>
      <c r="D38" s="4689" t="e">
        <f>'SOF2122-HB3'!I49</f>
        <v>#DIV/0!</v>
      </c>
      <c r="E38" s="4678"/>
      <c r="F38" s="717"/>
      <c r="G38" s="717"/>
      <c r="H38" s="325"/>
      <c r="I38" s="325"/>
      <c r="J38" s="325"/>
      <c r="K38" s="325"/>
      <c r="L38" s="325"/>
      <c r="M38" s="325"/>
      <c r="N38" s="325"/>
      <c r="O38" s="325"/>
    </row>
    <row r="39" spans="1:15" s="382" customFormat="1" ht="15.75">
      <c r="A39" s="385" t="s">
        <v>2733</v>
      </c>
      <c r="B39" s="386" t="s">
        <v>10181</v>
      </c>
      <c r="C39" s="386"/>
      <c r="D39" s="2932" t="e">
        <f>SUM('SOF2122-HB3'!I36:I43)</f>
        <v>#DIV/0!</v>
      </c>
      <c r="E39" s="3000" t="e">
        <f>'SOF2122-HB3'!I172</f>
        <v>#DIV/0!</v>
      </c>
      <c r="F39" s="717"/>
      <c r="G39" s="717"/>
      <c r="H39" s="325"/>
      <c r="I39" s="325"/>
      <c r="J39" s="325"/>
      <c r="K39" s="325"/>
      <c r="L39" s="325"/>
      <c r="M39" s="325"/>
      <c r="N39" s="325"/>
      <c r="O39" s="325"/>
    </row>
    <row r="40" spans="1:15" s="382" customFormat="1" ht="15.75">
      <c r="A40" s="385" t="s">
        <v>2734</v>
      </c>
      <c r="B40" s="386" t="s">
        <v>10182</v>
      </c>
      <c r="C40" s="386"/>
      <c r="D40" s="2932" t="e">
        <f>SUM('SOF2122-HB3'!I46:I48)</f>
        <v>#DIV/0!</v>
      </c>
      <c r="E40" s="3000">
        <f>'SOF2122-HB3'!I175</f>
        <v>0</v>
      </c>
      <c r="F40" s="717"/>
      <c r="G40" s="717"/>
      <c r="H40" s="325"/>
      <c r="I40" s="325"/>
      <c r="J40" s="325"/>
      <c r="K40" s="325"/>
      <c r="L40" s="325"/>
      <c r="M40" s="325"/>
      <c r="N40" s="325"/>
      <c r="O40" s="325"/>
    </row>
    <row r="41" spans="1:15" s="382" customFormat="1" ht="15.75">
      <c r="A41" s="385" t="s">
        <v>2735</v>
      </c>
      <c r="B41" s="386" t="s">
        <v>10183</v>
      </c>
      <c r="C41" s="386"/>
      <c r="D41" s="2932" t="e">
        <f>'SOF2122-HB3'!I29+'SOF2122-HB3'!I30</f>
        <v>#DIV/0!</v>
      </c>
      <c r="E41" s="3000" t="e">
        <f>'SOF2122-HB3'!I170</f>
        <v>#DIV/0!</v>
      </c>
      <c r="F41" s="717"/>
      <c r="G41" s="717"/>
      <c r="H41" s="325"/>
      <c r="I41" s="325"/>
      <c r="J41" s="325"/>
      <c r="K41" s="325"/>
      <c r="L41" s="325"/>
      <c r="M41" s="325"/>
      <c r="N41" s="325"/>
      <c r="O41" s="325"/>
    </row>
    <row r="42" spans="1:15" s="382" customFormat="1" ht="15.75">
      <c r="A42" s="385" t="s">
        <v>2740</v>
      </c>
      <c r="B42" s="386" t="s">
        <v>10184</v>
      </c>
      <c r="C42" s="386"/>
      <c r="D42" s="2932" t="e">
        <f>'SOF2122-HB3'!I53</f>
        <v>#DIV/0!</v>
      </c>
      <c r="E42" s="3000" t="e">
        <f>'SOF2122-HB3'!I53</f>
        <v>#DIV/0!</v>
      </c>
      <c r="F42" s="717"/>
      <c r="G42" s="717"/>
      <c r="H42" s="325"/>
      <c r="I42" s="325"/>
      <c r="J42" s="325"/>
      <c r="K42" s="325"/>
      <c r="L42" s="325"/>
      <c r="M42" s="325"/>
      <c r="N42" s="325"/>
      <c r="O42" s="325"/>
    </row>
    <row r="43" spans="1:15" s="382" customFormat="1" ht="15.75">
      <c r="A43" s="385" t="s">
        <v>2741</v>
      </c>
      <c r="B43" s="4677" t="s">
        <v>10185</v>
      </c>
      <c r="C43" s="4677"/>
      <c r="D43" s="4689" t="e">
        <f>'SOF2122-HB3'!I50</f>
        <v>#DIV/0!</v>
      </c>
      <c r="E43" s="4678"/>
      <c r="F43" s="717"/>
      <c r="G43" s="717"/>
      <c r="H43" s="325"/>
      <c r="I43" s="325"/>
      <c r="J43" s="325"/>
      <c r="K43" s="325"/>
      <c r="L43" s="325"/>
      <c r="M43" s="325"/>
      <c r="N43" s="325"/>
      <c r="O43" s="325"/>
    </row>
    <row r="44" spans="1:15" s="382" customFormat="1" ht="15.75">
      <c r="A44" s="385" t="s">
        <v>2742</v>
      </c>
      <c r="B44" s="4692" t="s">
        <v>10186</v>
      </c>
      <c r="C44" s="4677"/>
      <c r="D44" s="3263">
        <f>'SOF2122-HB3'!I51</f>
        <v>0</v>
      </c>
      <c r="E44" s="4678"/>
      <c r="F44" s="717"/>
      <c r="G44" s="717"/>
      <c r="H44" s="325"/>
      <c r="I44" s="325"/>
      <c r="J44" s="325"/>
      <c r="K44" s="325"/>
      <c r="L44" s="325"/>
      <c r="M44" s="325"/>
      <c r="N44" s="325"/>
      <c r="O44" s="325"/>
    </row>
    <row r="45" spans="1:15" s="382" customFormat="1" ht="15.75">
      <c r="A45" s="385" t="s">
        <v>2743</v>
      </c>
      <c r="B45" s="4693" t="s">
        <v>10187</v>
      </c>
      <c r="C45" s="3262"/>
      <c r="D45" s="3263">
        <f>'SOF2122-HB3'!I54</f>
        <v>0</v>
      </c>
      <c r="E45" s="3264"/>
      <c r="F45" s="717"/>
      <c r="G45" s="717"/>
      <c r="H45" s="325"/>
      <c r="I45" s="325"/>
      <c r="J45" s="325"/>
      <c r="K45" s="325"/>
      <c r="L45" s="325"/>
      <c r="M45" s="325"/>
      <c r="N45" s="325"/>
      <c r="O45" s="325"/>
    </row>
    <row r="46" spans="1:15" s="382" customFormat="1" ht="15.75">
      <c r="A46" s="385" t="s">
        <v>2744</v>
      </c>
      <c r="B46" s="4693" t="s">
        <v>10188</v>
      </c>
      <c r="C46" s="3262"/>
      <c r="D46" s="3263">
        <f>'SOF2122-HB3'!I55</f>
        <v>0</v>
      </c>
      <c r="E46" s="3264"/>
      <c r="F46" s="717"/>
      <c r="G46" s="717"/>
      <c r="H46" s="325"/>
      <c r="I46" s="325"/>
      <c r="J46" s="325"/>
      <c r="K46" s="325"/>
      <c r="L46" s="325"/>
      <c r="M46" s="325"/>
      <c r="N46" s="325"/>
      <c r="O46" s="325"/>
    </row>
    <row r="47" spans="1:15" s="382" customFormat="1" ht="15.75">
      <c r="A47" s="385" t="s">
        <v>2745</v>
      </c>
      <c r="B47" s="4694" t="s">
        <v>10189</v>
      </c>
      <c r="C47" s="3262"/>
      <c r="D47" s="3263">
        <f>'SOF2122-HB3'!I56</f>
        <v>0</v>
      </c>
      <c r="E47" s="3264"/>
      <c r="F47" s="717"/>
      <c r="G47" s="717"/>
      <c r="H47" s="325"/>
      <c r="I47" s="325"/>
      <c r="J47" s="325"/>
      <c r="K47" s="325"/>
      <c r="L47" s="325"/>
      <c r="M47" s="325"/>
      <c r="N47" s="325"/>
      <c r="O47" s="325"/>
    </row>
    <row r="48" spans="1:15" s="382" customFormat="1" ht="15.75">
      <c r="A48" s="385" t="s">
        <v>2746</v>
      </c>
      <c r="B48" s="4693" t="s">
        <v>10190</v>
      </c>
      <c r="C48" s="3262"/>
      <c r="D48" s="3263">
        <f>'SOF2122-HB3'!I57</f>
        <v>0</v>
      </c>
      <c r="E48" s="3264"/>
      <c r="F48" s="717"/>
      <c r="G48" s="717"/>
      <c r="H48" s="325"/>
      <c r="I48" s="325"/>
      <c r="J48" s="325"/>
      <c r="K48" s="325"/>
      <c r="L48" s="325"/>
      <c r="M48" s="325"/>
      <c r="N48" s="325"/>
      <c r="O48" s="325"/>
    </row>
    <row r="49" spans="1:15" s="382" customFormat="1" ht="18">
      <c r="A49" s="1388" t="s">
        <v>10191</v>
      </c>
      <c r="B49" s="1388"/>
      <c r="C49" s="1387"/>
      <c r="D49" s="3051"/>
      <c r="E49" s="3003"/>
      <c r="F49" s="1377"/>
      <c r="G49" s="1377"/>
      <c r="H49" s="325"/>
      <c r="I49" s="325"/>
      <c r="J49" s="325"/>
      <c r="K49" s="325"/>
      <c r="L49" s="325"/>
      <c r="M49" s="325"/>
      <c r="N49" s="325"/>
      <c r="O49" s="325"/>
    </row>
    <row r="50" spans="1:15" s="382" customFormat="1" ht="15.75">
      <c r="A50" s="385" t="s">
        <v>2747</v>
      </c>
      <c r="B50" s="386" t="s">
        <v>10192</v>
      </c>
      <c r="C50" s="386"/>
      <c r="D50" s="2932">
        <f>'SOF2122-HB3'!I60</f>
        <v>0</v>
      </c>
      <c r="E50" s="3000">
        <f>'SOF2122-HB3'!I60</f>
        <v>0</v>
      </c>
      <c r="F50" s="717"/>
      <c r="G50" s="717"/>
      <c r="H50" s="325"/>
      <c r="I50" s="325"/>
      <c r="J50" s="325"/>
      <c r="K50" s="325"/>
      <c r="L50" s="325"/>
      <c r="M50" s="325"/>
      <c r="N50" s="325"/>
      <c r="O50" s="325"/>
    </row>
    <row r="51" spans="1:15" s="382" customFormat="1" ht="15.75">
      <c r="A51" s="385" t="s">
        <v>2748</v>
      </c>
      <c r="B51" s="386" t="s">
        <v>10193</v>
      </c>
      <c r="C51" s="386"/>
      <c r="D51" s="2932">
        <f>'SOF2122-HB3'!I59</f>
        <v>0</v>
      </c>
      <c r="E51" s="3000">
        <f>'SOF2122-HB3'!I59</f>
        <v>0</v>
      </c>
      <c r="F51" s="717"/>
      <c r="G51" s="717"/>
      <c r="H51" s="325"/>
      <c r="I51" s="325"/>
      <c r="J51" s="325"/>
      <c r="K51" s="325"/>
      <c r="L51" s="325"/>
      <c r="M51" s="325"/>
      <c r="N51" s="325"/>
      <c r="O51" s="325"/>
    </row>
    <row r="52" spans="1:15" s="382" customFormat="1" ht="15.75">
      <c r="A52" s="385" t="s">
        <v>2749</v>
      </c>
      <c r="B52" s="4677" t="s">
        <v>10194</v>
      </c>
      <c r="C52" s="4677"/>
      <c r="D52" s="4689">
        <f>'SOF2122-HB3'!I63</f>
        <v>0</v>
      </c>
      <c r="E52" s="4678"/>
      <c r="F52" s="717"/>
      <c r="G52" s="717"/>
      <c r="H52" s="325"/>
      <c r="I52" s="325"/>
      <c r="J52" s="325"/>
      <c r="K52" s="325"/>
      <c r="L52" s="325"/>
      <c r="M52" s="325"/>
      <c r="N52" s="325"/>
      <c r="O52" s="325"/>
    </row>
    <row r="53" spans="1:15" ht="15">
      <c r="A53" s="385" t="s">
        <v>2750</v>
      </c>
      <c r="B53" s="4677" t="s">
        <v>10195</v>
      </c>
      <c r="C53" s="4677"/>
      <c r="D53" s="4689">
        <f>'SOF2122-HB3'!I58</f>
        <v>0</v>
      </c>
    </row>
    <row r="54" spans="1:15" ht="15">
      <c r="A54" s="385" t="s">
        <v>2751</v>
      </c>
      <c r="B54" s="4677" t="s">
        <v>10339</v>
      </c>
      <c r="C54" s="4677"/>
      <c r="D54" s="4689">
        <f>'SOF2122-HB3'!I64</f>
        <v>0</v>
      </c>
    </row>
    <row r="55" spans="1:15" ht="15">
      <c r="A55" s="385" t="s">
        <v>2752</v>
      </c>
      <c r="B55" s="4677" t="s">
        <v>10197</v>
      </c>
      <c r="C55" s="4677"/>
      <c r="D55" s="4689">
        <f>'SOF2122-HB3'!I65</f>
        <v>0</v>
      </c>
    </row>
    <row r="56" spans="1:15" ht="15">
      <c r="A56" s="385" t="s">
        <v>2753</v>
      </c>
      <c r="B56" s="4677" t="s">
        <v>10198</v>
      </c>
      <c r="C56" s="4677"/>
      <c r="D56" s="4689">
        <f>'SOF2122-HB3'!I34</f>
        <v>0</v>
      </c>
    </row>
    <row r="57" spans="1:15" s="382" customFormat="1" ht="15.75">
      <c r="A57" s="385" t="s">
        <v>2754</v>
      </c>
      <c r="B57" s="719" t="s">
        <v>3357</v>
      </c>
      <c r="C57" s="386"/>
      <c r="D57" s="2932" t="e">
        <f>'SOF2122-HB3'!I66</f>
        <v>#DIV/0!</v>
      </c>
      <c r="E57" s="3000" t="e">
        <f>'SOF2122-HB3'!I66</f>
        <v>#DIV/0!</v>
      </c>
      <c r="F57" s="717"/>
      <c r="G57" s="717"/>
      <c r="H57" s="325"/>
      <c r="I57" s="325"/>
      <c r="J57" s="325"/>
      <c r="K57" s="325"/>
      <c r="L57" s="325"/>
      <c r="M57" s="325"/>
      <c r="N57" s="325"/>
      <c r="O57" s="325"/>
    </row>
    <row r="58" spans="1:15" s="382" customFormat="1" ht="15.75">
      <c r="A58" s="385" t="s">
        <v>2755</v>
      </c>
      <c r="B58" s="386" t="s">
        <v>2763</v>
      </c>
      <c r="C58" s="386"/>
      <c r="D58" s="2932" t="e">
        <f>'SOF2122-HB3'!I67</f>
        <v>#DIV/0!</v>
      </c>
      <c r="E58" s="3000" t="e">
        <f>'SOF2122-HB3'!I67</f>
        <v>#DIV/0!</v>
      </c>
      <c r="F58" s="717"/>
      <c r="G58" s="717"/>
      <c r="H58" s="325"/>
      <c r="I58" s="325"/>
      <c r="J58" s="325"/>
      <c r="K58" s="325"/>
      <c r="L58" s="325"/>
      <c r="M58" s="325"/>
      <c r="N58" s="325"/>
      <c r="O58" s="325"/>
    </row>
    <row r="59" spans="1:15" s="382" customFormat="1" ht="15.75">
      <c r="A59" s="385" t="s">
        <v>2756</v>
      </c>
      <c r="B59" s="386" t="s">
        <v>2764</v>
      </c>
      <c r="C59" s="386"/>
      <c r="D59" s="2932">
        <f>'SOF2122-HB3'!I111</f>
        <v>0</v>
      </c>
      <c r="E59" s="3000">
        <f>'SOF2122-HB3'!H112</f>
        <v>0</v>
      </c>
      <c r="F59" s="717"/>
      <c r="G59" s="717"/>
      <c r="H59" s="325"/>
      <c r="I59" s="325"/>
      <c r="J59" s="325"/>
      <c r="K59" s="325"/>
      <c r="L59" s="325"/>
      <c r="M59" s="325"/>
      <c r="N59" s="325"/>
      <c r="O59" s="325"/>
    </row>
    <row r="60" spans="1:15" s="382" customFormat="1" ht="18">
      <c r="A60" s="1390" t="s">
        <v>10199</v>
      </c>
      <c r="B60" s="1391"/>
      <c r="C60" s="1391"/>
      <c r="D60" s="3085"/>
      <c r="E60" s="3006"/>
      <c r="F60" s="1377"/>
      <c r="G60" s="1377"/>
      <c r="H60" s="325"/>
      <c r="I60" s="325"/>
      <c r="J60" s="325"/>
      <c r="K60" s="325"/>
      <c r="L60" s="325"/>
      <c r="M60" s="325"/>
      <c r="N60" s="325"/>
      <c r="O60" s="325"/>
    </row>
    <row r="61" spans="1:15" s="382" customFormat="1" ht="15.75">
      <c r="A61" s="385" t="s">
        <v>2757</v>
      </c>
      <c r="B61" s="386" t="s">
        <v>10252</v>
      </c>
      <c r="C61" s="386"/>
      <c r="D61" s="2932" t="e">
        <f>IF(D57-D58-D59&lt;=0,0,D57-D58-D59)</f>
        <v>#DIV/0!</v>
      </c>
      <c r="E61" s="3000" t="e">
        <f>'SOF2122-HB3'!I68</f>
        <v>#DIV/0!</v>
      </c>
      <c r="F61" s="717"/>
      <c r="G61" s="717"/>
      <c r="H61" s="325"/>
      <c r="I61" s="325"/>
      <c r="J61" s="325"/>
      <c r="K61" s="325"/>
      <c r="L61" s="325"/>
      <c r="M61" s="325"/>
      <c r="N61" s="325"/>
      <c r="O61" s="325"/>
    </row>
    <row r="62" spans="1:15" s="382" customFormat="1" ht="15.75">
      <c r="A62" s="385" t="s">
        <v>2758</v>
      </c>
      <c r="B62" s="718" t="s">
        <v>3358</v>
      </c>
      <c r="C62" s="386"/>
      <c r="D62" s="2932" t="e">
        <f>'SOF2122-HB3'!I83</f>
        <v>#DIV/0!</v>
      </c>
      <c r="E62" s="3000" t="e">
        <f>'SOF2122-HB3'!I85</f>
        <v>#DIV/0!</v>
      </c>
      <c r="F62" s="717"/>
      <c r="G62" s="717"/>
      <c r="H62" s="325"/>
      <c r="I62" s="325"/>
      <c r="J62" s="325"/>
      <c r="K62" s="325"/>
      <c r="L62" s="325"/>
      <c r="M62" s="325"/>
      <c r="N62" s="325"/>
      <c r="O62" s="325"/>
    </row>
    <row r="63" spans="1:15" s="382" customFormat="1" ht="15.75">
      <c r="A63" s="385" t="s">
        <v>2773</v>
      </c>
      <c r="B63" s="719" t="s">
        <v>3359</v>
      </c>
      <c r="C63" s="386"/>
      <c r="D63" s="2932" t="e">
        <f>'SOF2122-HB3'!I103+'SOF2122-HB3'!I127+'SOF2122-HB3'!I128</f>
        <v>#DIV/0!</v>
      </c>
      <c r="E63" s="3000"/>
      <c r="F63" s="717"/>
      <c r="G63" s="717"/>
      <c r="H63" s="565" t="s">
        <v>10219</v>
      </c>
      <c r="I63" s="325"/>
      <c r="J63" s="325"/>
      <c r="K63" s="325"/>
      <c r="L63" s="325"/>
      <c r="M63" s="325"/>
      <c r="N63" s="325"/>
      <c r="O63" s="325"/>
    </row>
    <row r="64" spans="1:15" s="382" customFormat="1" ht="15.75">
      <c r="A64" s="385" t="s">
        <v>2774</v>
      </c>
      <c r="B64" s="386" t="s">
        <v>2766</v>
      </c>
      <c r="C64" s="386"/>
      <c r="D64" s="2932" t="e">
        <f>D61+D62+D63</f>
        <v>#DIV/0!</v>
      </c>
      <c r="E64" s="3000"/>
      <c r="F64" s="717"/>
      <c r="G64" s="717"/>
      <c r="H64" s="325"/>
      <c r="I64" s="325"/>
      <c r="J64" s="325"/>
      <c r="K64" s="325"/>
      <c r="L64" s="325"/>
      <c r="M64" s="325"/>
      <c r="N64" s="325"/>
      <c r="O64" s="325"/>
    </row>
    <row r="65" spans="1:15" s="382" customFormat="1" ht="18">
      <c r="A65" s="1372" t="s">
        <v>10200</v>
      </c>
      <c r="B65" s="1387"/>
      <c r="C65" s="1387"/>
      <c r="D65" s="3051"/>
      <c r="E65" s="3003"/>
      <c r="F65" s="1377"/>
      <c r="G65" s="1377"/>
      <c r="H65" s="325"/>
      <c r="I65" s="325"/>
      <c r="J65" s="325"/>
      <c r="K65" s="325"/>
      <c r="L65" s="325"/>
      <c r="M65" s="325"/>
      <c r="N65" s="325"/>
      <c r="O65" s="325"/>
    </row>
    <row r="66" spans="1:15" s="382" customFormat="1" ht="18">
      <c r="A66" s="1388" t="s">
        <v>10201</v>
      </c>
      <c r="B66" s="1388"/>
      <c r="C66" s="1387"/>
      <c r="D66" s="3051"/>
      <c r="E66" s="3003"/>
      <c r="F66" s="1377"/>
      <c r="G66" s="1377"/>
      <c r="H66" s="325"/>
      <c r="I66" s="325"/>
      <c r="J66" s="325"/>
      <c r="K66" s="325"/>
      <c r="L66" s="325"/>
      <c r="M66" s="325"/>
      <c r="N66" s="325"/>
      <c r="O66" s="325"/>
    </row>
    <row r="67" spans="1:15" s="382" customFormat="1" ht="15.75">
      <c r="A67" s="385" t="s">
        <v>2775</v>
      </c>
      <c r="B67" s="386" t="s">
        <v>2779</v>
      </c>
      <c r="C67" s="386"/>
      <c r="D67" s="2932" t="e">
        <f>D64</f>
        <v>#DIV/0!</v>
      </c>
      <c r="E67" s="3000">
        <f>'SOF2122-HB3'!I111</f>
        <v>0</v>
      </c>
      <c r="F67" s="717"/>
      <c r="G67" s="717"/>
      <c r="H67" s="325"/>
      <c r="I67" s="325"/>
      <c r="J67" s="325"/>
      <c r="K67" s="325"/>
      <c r="L67" s="325"/>
      <c r="M67" s="325"/>
      <c r="N67" s="325"/>
      <c r="O67" s="325"/>
    </row>
    <row r="68" spans="1:15" s="382" customFormat="1" ht="15.75">
      <c r="A68" s="385" t="s">
        <v>2776</v>
      </c>
      <c r="B68" s="386" t="s">
        <v>3047</v>
      </c>
      <c r="C68" s="386"/>
      <c r="D68" s="2932">
        <f>'SOF2122-HB3'!I110</f>
        <v>0</v>
      </c>
      <c r="E68" s="3000">
        <f>'SOF2122-HB3'!I112</f>
        <v>0</v>
      </c>
      <c r="F68" s="717"/>
      <c r="G68" s="717"/>
      <c r="H68" s="325"/>
      <c r="I68" s="325"/>
      <c r="J68" s="325"/>
      <c r="K68" s="325"/>
      <c r="L68" s="325"/>
      <c r="M68" s="325"/>
      <c r="N68" s="325"/>
      <c r="O68" s="325"/>
    </row>
    <row r="69" spans="1:15" s="382" customFormat="1" ht="18">
      <c r="A69" s="1388" t="s">
        <v>10202</v>
      </c>
      <c r="B69" s="1388"/>
      <c r="C69" s="1387"/>
      <c r="D69" s="3051"/>
      <c r="E69" s="3003"/>
      <c r="F69" s="1377"/>
      <c r="G69" s="1377"/>
      <c r="H69" s="325"/>
      <c r="I69" s="325"/>
      <c r="J69" s="325"/>
      <c r="K69" s="325"/>
      <c r="L69" s="325"/>
      <c r="M69" s="325"/>
      <c r="N69" s="325"/>
      <c r="O69" s="325"/>
    </row>
    <row r="70" spans="1:15" s="382" customFormat="1" ht="15.75">
      <c r="A70" s="385" t="s">
        <v>2777</v>
      </c>
      <c r="B70" s="718" t="s">
        <v>3360</v>
      </c>
      <c r="C70" s="386"/>
      <c r="D70" s="2932">
        <f>'SOF2122-HB3'!I112</f>
        <v>0</v>
      </c>
      <c r="E70" s="3000">
        <f>D70</f>
        <v>0</v>
      </c>
      <c r="F70" s="717"/>
      <c r="G70" s="717"/>
      <c r="H70" s="325"/>
      <c r="I70" s="325"/>
      <c r="J70" s="325"/>
      <c r="K70" s="325"/>
      <c r="L70" s="325"/>
      <c r="M70" s="325"/>
      <c r="N70" s="325"/>
      <c r="O70" s="325"/>
    </row>
    <row r="71" spans="1:15" s="382" customFormat="1" ht="15.75">
      <c r="A71" s="385" t="s">
        <v>2778</v>
      </c>
      <c r="B71" s="719" t="s">
        <v>3361</v>
      </c>
      <c r="C71" s="386"/>
      <c r="D71" s="2932">
        <f>'IFA-HB3'!T86</f>
        <v>0</v>
      </c>
      <c r="E71" s="3000">
        <f>D71</f>
        <v>0</v>
      </c>
      <c r="F71" s="717"/>
      <c r="G71" s="717"/>
      <c r="H71" s="325"/>
      <c r="I71" s="325"/>
      <c r="J71" s="325"/>
      <c r="K71" s="325"/>
      <c r="L71" s="325"/>
      <c r="M71" s="325"/>
      <c r="N71" s="325"/>
      <c r="O71" s="325"/>
    </row>
    <row r="72" spans="1:15" s="382" customFormat="1" ht="15.75">
      <c r="A72" s="385" t="s">
        <v>2917</v>
      </c>
      <c r="B72" s="718" t="s">
        <v>3194</v>
      </c>
      <c r="C72" s="386"/>
      <c r="D72" s="2932">
        <f>'IFA-HB3'!V75</f>
        <v>0</v>
      </c>
      <c r="E72" s="3000">
        <f>D72</f>
        <v>0</v>
      </c>
      <c r="F72" s="717"/>
      <c r="G72" s="717"/>
      <c r="H72" s="325"/>
      <c r="I72" s="325"/>
      <c r="J72" s="325"/>
      <c r="K72" s="325"/>
      <c r="L72" s="325"/>
      <c r="M72" s="325"/>
      <c r="N72" s="325"/>
      <c r="O72" s="325"/>
    </row>
    <row r="73" spans="1:15" s="382" customFormat="1" ht="15.75">
      <c r="A73" s="385" t="s">
        <v>3206</v>
      </c>
      <c r="B73" s="386" t="s">
        <v>4037</v>
      </c>
      <c r="C73" s="386"/>
      <c r="D73" s="2932" t="e">
        <f>'HH2122-Calcs'!C51</f>
        <v>#DIV/0!</v>
      </c>
      <c r="E73" s="3000"/>
      <c r="F73" s="717"/>
      <c r="G73" s="717"/>
      <c r="H73" s="325"/>
      <c r="I73" s="325"/>
      <c r="J73" s="325"/>
      <c r="K73" s="325"/>
      <c r="L73" s="325"/>
      <c r="M73" s="325"/>
      <c r="N73" s="325"/>
      <c r="O73" s="325"/>
    </row>
    <row r="74" spans="1:15" s="382" customFormat="1" ht="18">
      <c r="A74" s="385" t="s">
        <v>3207</v>
      </c>
      <c r="B74" s="1303" t="s">
        <v>6880</v>
      </c>
      <c r="C74" s="1393"/>
      <c r="D74" s="3086" t="e">
        <f>'SOF2122-HB3'!I115+'SOF2122-HB3'!I127+'SOF2122-HB3'!I128+D73</f>
        <v>#DIV/0!</v>
      </c>
      <c r="E74" s="3002">
        <f>'SOF2122-HB3'!I117</f>
        <v>0</v>
      </c>
      <c r="F74" s="2991"/>
      <c r="G74" s="2991"/>
      <c r="H74" s="325"/>
      <c r="I74" s="325"/>
      <c r="J74" s="325"/>
      <c r="K74" s="325"/>
      <c r="L74" s="325"/>
      <c r="M74" s="325"/>
      <c r="N74" s="325"/>
      <c r="O74" s="325"/>
    </row>
    <row r="75" spans="1:15" s="382" customFormat="1" ht="18">
      <c r="A75" s="1388" t="s">
        <v>10203</v>
      </c>
      <c r="B75" s="1388"/>
      <c r="C75" s="1387"/>
      <c r="D75" s="3051"/>
      <c r="E75" s="3003"/>
      <c r="F75" s="1377"/>
      <c r="G75" s="1377"/>
      <c r="H75" s="325"/>
      <c r="I75" s="325"/>
      <c r="J75" s="325"/>
      <c r="K75" s="325"/>
      <c r="L75" s="325"/>
      <c r="M75" s="325"/>
      <c r="N75" s="325"/>
      <c r="O75" s="325"/>
    </row>
    <row r="76" spans="1:15" s="382" customFormat="1" ht="15.75">
      <c r="A76" s="385" t="s">
        <v>3208</v>
      </c>
      <c r="B76" s="4677" t="s">
        <v>10203</v>
      </c>
      <c r="C76" s="4677"/>
      <c r="D76" s="4689" t="e">
        <f>'SOF2122-HB3'!I79+'SOF2122-HB3'!I87</f>
        <v>#DIV/0!</v>
      </c>
      <c r="H76" s="325"/>
      <c r="I76" s="325"/>
      <c r="J76" s="325"/>
      <c r="K76" s="325"/>
      <c r="L76" s="325"/>
      <c r="M76" s="325"/>
      <c r="N76" s="325"/>
      <c r="O76" s="325"/>
    </row>
    <row r="77" spans="1:15" s="382" customFormat="1" ht="15.75">
      <c r="A77" s="4695"/>
      <c r="B77" s="4687"/>
      <c r="C77" s="4687"/>
      <c r="D77" s="4687"/>
      <c r="H77" s="325"/>
      <c r="I77" s="325"/>
      <c r="J77" s="325"/>
      <c r="K77" s="325"/>
      <c r="L77" s="325"/>
      <c r="M77" s="325"/>
      <c r="N77" s="325"/>
      <c r="O77" s="325"/>
    </row>
    <row r="78" spans="1:15" s="382" customFormat="1" ht="15.75">
      <c r="A78" s="645" t="s">
        <v>3209</v>
      </c>
      <c r="B78" s="4696" t="s">
        <v>10204</v>
      </c>
      <c r="C78" s="4697"/>
      <c r="D78" s="4697"/>
      <c r="H78" s="325"/>
      <c r="I78" s="325"/>
      <c r="J78" s="325"/>
      <c r="K78" s="325"/>
      <c r="L78" s="325"/>
      <c r="M78" s="325"/>
      <c r="N78" s="325"/>
      <c r="O78" s="325"/>
    </row>
    <row r="79" spans="1:15" s="382" customFormat="1" ht="15.75">
      <c r="A79" s="4698"/>
      <c r="B79" s="4699"/>
      <c r="H79" s="325"/>
      <c r="I79" s="325"/>
      <c r="J79" s="325"/>
      <c r="K79" s="325"/>
      <c r="L79" s="325"/>
      <c r="M79" s="325"/>
      <c r="N79" s="325"/>
      <c r="O79" s="325"/>
    </row>
    <row r="80" spans="1:15" s="382" customFormat="1" ht="16.5" thickBot="1">
      <c r="A80" s="4700"/>
      <c r="C80" s="4701"/>
      <c r="D80" s="4701"/>
      <c r="E80" s="382" t="e">
        <f>(E67+E68)/D10</f>
        <v>#DIV/0!</v>
      </c>
      <c r="H80" s="325"/>
      <c r="I80" s="325"/>
      <c r="J80" s="325"/>
      <c r="K80" s="325"/>
      <c r="L80" s="325"/>
      <c r="M80" s="325"/>
      <c r="N80" s="325"/>
      <c r="O80" s="325"/>
    </row>
    <row r="81" spans="1:7" ht="16.5" thickTop="1">
      <c r="A81" s="4715" t="s">
        <v>3103</v>
      </c>
      <c r="B81" s="4716"/>
      <c r="C81" s="4717"/>
      <c r="D81" s="4718"/>
      <c r="E81" s="382"/>
      <c r="F81" s="382"/>
      <c r="G81" s="382"/>
    </row>
    <row r="82" spans="1:7" ht="15.75">
      <c r="A82" s="4702" t="s">
        <v>2457</v>
      </c>
      <c r="C82" s="4703"/>
      <c r="D82" s="4704"/>
      <c r="E82" s="325"/>
      <c r="F82" s="325"/>
      <c r="G82" s="325"/>
    </row>
    <row r="83" spans="1:7" ht="15.75">
      <c r="A83" s="645" t="s">
        <v>3210</v>
      </c>
      <c r="B83" s="4705" t="s">
        <v>10213</v>
      </c>
      <c r="C83" s="4703"/>
      <c r="D83" s="4724" t="e">
        <f>'SOF2122-HB3'!I122+'SOF2122-HB3'!I127+'SOF2122-HB3'!I128</f>
        <v>#DIV/0!</v>
      </c>
      <c r="E83" s="325"/>
      <c r="F83" s="325"/>
      <c r="G83" s="325"/>
    </row>
    <row r="84" spans="1:7" ht="15.75">
      <c r="A84" s="645" t="s">
        <v>3211</v>
      </c>
      <c r="B84" s="644" t="s">
        <v>9492</v>
      </c>
      <c r="C84" s="384"/>
      <c r="D84" s="422">
        <f>'SOF2122-HB3'!I123</f>
        <v>0</v>
      </c>
      <c r="E84" s="717"/>
      <c r="F84" s="717"/>
      <c r="G84" s="717"/>
    </row>
    <row r="85" spans="1:7" ht="15.75">
      <c r="A85" s="645" t="s">
        <v>3212</v>
      </c>
      <c r="B85" s="644" t="s">
        <v>9493</v>
      </c>
      <c r="C85" s="651"/>
      <c r="D85" s="422" t="e">
        <f>'SOF2122-HB3'!I79</f>
        <v>#DIV/0!</v>
      </c>
      <c r="E85" s="717"/>
      <c r="F85" s="717"/>
      <c r="G85" s="717"/>
    </row>
    <row r="86" spans="1:7" ht="15.75">
      <c r="A86" s="645" t="s">
        <v>3213</v>
      </c>
      <c r="B86" s="644" t="s">
        <v>9494</v>
      </c>
      <c r="C86" s="384"/>
      <c r="D86" s="422" t="e">
        <f>'SOF2122-HB3'!I87</f>
        <v>#DIV/0!</v>
      </c>
      <c r="E86" s="717"/>
      <c r="F86" s="717"/>
      <c r="G86" s="717"/>
    </row>
    <row r="87" spans="1:7" ht="15.75">
      <c r="A87" s="645" t="s">
        <v>3214</v>
      </c>
      <c r="B87" s="4647" t="s">
        <v>9495</v>
      </c>
      <c r="C87" s="384"/>
      <c r="D87" s="422" t="e">
        <f>D83+D84-D85-D86</f>
        <v>#DIV/0!</v>
      </c>
      <c r="E87" s="717"/>
      <c r="F87" s="717"/>
      <c r="G87" s="717"/>
    </row>
    <row r="88" spans="1:7" ht="15.75">
      <c r="A88" s="645" t="s">
        <v>3215</v>
      </c>
      <c r="B88" s="653" t="s">
        <v>10205</v>
      </c>
      <c r="C88" s="4707"/>
      <c r="D88" s="4708" t="e">
        <f>IF(D83&gt;=0,0,D83)</f>
        <v>#DIV/0!</v>
      </c>
      <c r="E88" s="717"/>
      <c r="F88" s="717"/>
      <c r="G88" s="717"/>
    </row>
    <row r="89" spans="1:7" ht="16.5" thickBot="1">
      <c r="A89" s="645" t="s">
        <v>3216</v>
      </c>
      <c r="B89" s="4649" t="s">
        <v>10233</v>
      </c>
      <c r="C89" s="1297"/>
      <c r="D89" s="4735" t="e">
        <f>D87+D88</f>
        <v>#DIV/0!</v>
      </c>
      <c r="E89" s="2992"/>
      <c r="F89" s="2992"/>
      <c r="G89" s="2992"/>
    </row>
    <row r="90" spans="1:7" ht="14.25" thickTop="1" thickBot="1">
      <c r="B90" s="4709"/>
    </row>
    <row r="91" spans="1:7" ht="16.5" thickTop="1">
      <c r="A91" s="3266" t="s">
        <v>9187</v>
      </c>
      <c r="B91" s="499"/>
      <c r="C91" s="4710"/>
      <c r="D91" s="497"/>
    </row>
    <row r="92" spans="1:7" ht="15">
      <c r="A92" s="645" t="s">
        <v>3217</v>
      </c>
      <c r="B92" s="649" t="s">
        <v>9498</v>
      </c>
      <c r="C92" s="4706"/>
      <c r="D92" s="4734" t="e">
        <f>'SOF2122-HB3'!I79</f>
        <v>#DIV/0!</v>
      </c>
    </row>
    <row r="93" spans="1:7" ht="15">
      <c r="A93" s="645" t="s">
        <v>3218</v>
      </c>
      <c r="B93" s="649" t="s">
        <v>9510</v>
      </c>
      <c r="C93" s="647"/>
      <c r="D93" s="422" t="e">
        <f>'SOF2122-HB3'!I87</f>
        <v>#DIV/0!</v>
      </c>
      <c r="E93" s="717"/>
      <c r="F93" s="717"/>
      <c r="G93" s="717"/>
    </row>
    <row r="94" spans="1:7" ht="15.75">
      <c r="A94" s="645" t="s">
        <v>10208</v>
      </c>
      <c r="B94" s="4714" t="s">
        <v>10234</v>
      </c>
      <c r="C94" s="4712"/>
      <c r="D94" s="4713" t="e">
        <f>D92+D93</f>
        <v>#DIV/0!</v>
      </c>
      <c r="E94" s="717"/>
      <c r="F94" s="717"/>
      <c r="G94" s="717"/>
    </row>
    <row r="95" spans="1:7" ht="15">
      <c r="A95" s="645" t="s">
        <v>10209</v>
      </c>
      <c r="B95" s="649" t="s">
        <v>10207</v>
      </c>
      <c r="C95" s="647"/>
      <c r="D95" s="422">
        <f>'SOF2122-HB3'!I102</f>
        <v>0</v>
      </c>
      <c r="E95" s="717"/>
      <c r="F95" s="717"/>
      <c r="G95" s="717"/>
    </row>
    <row r="96" spans="1:7" ht="16.5" thickBot="1">
      <c r="A96" s="646" t="s">
        <v>10210</v>
      </c>
      <c r="B96" s="1297" t="s">
        <v>10235</v>
      </c>
      <c r="C96" s="4711"/>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66"/>
    <pageSetUpPr fitToPage="1"/>
  </sheetPr>
  <dimension ref="A2:A497"/>
  <sheetViews>
    <sheetView tabSelected="1" workbookViewId="0">
      <pane ySplit="9" topLeftCell="A479" activePane="bottomLeft" state="frozen"/>
      <selection pane="bottomLeft" activeCell="A480" sqref="A480"/>
    </sheetView>
  </sheetViews>
  <sheetFormatPr defaultRowHeight="12.75"/>
  <cols>
    <col min="1" max="1" width="132" customWidth="1"/>
  </cols>
  <sheetData>
    <row r="2" spans="1:1">
      <c r="A2" s="35" t="s">
        <v>8284</v>
      </c>
    </row>
    <row r="3" spans="1:1">
      <c r="A3" s="35" t="s">
        <v>8908</v>
      </c>
    </row>
    <row r="4" spans="1:1">
      <c r="A4" s="35" t="s">
        <v>6389</v>
      </c>
    </row>
    <row r="5" spans="1:1">
      <c r="A5" s="35"/>
    </row>
    <row r="6" spans="1:1">
      <c r="A6" s="35" t="s">
        <v>6388</v>
      </c>
    </row>
    <row r="7" spans="1:1">
      <c r="A7" s="35" t="s">
        <v>8285</v>
      </c>
    </row>
    <row r="8" spans="1:1">
      <c r="A8" s="35" t="s">
        <v>3046</v>
      </c>
    </row>
    <row r="9" spans="1:1">
      <c r="A9" s="71"/>
    </row>
    <row r="10" spans="1:1">
      <c r="A10" s="124"/>
    </row>
    <row r="11" spans="1:1">
      <c r="A11" s="770" t="s">
        <v>6574</v>
      </c>
    </row>
    <row r="12" spans="1:1">
      <c r="A12" s="35" t="s">
        <v>6579</v>
      </c>
    </row>
    <row r="13" spans="1:1" s="35" customFormat="1">
      <c r="A13" s="35" t="s">
        <v>6575</v>
      </c>
    </row>
    <row r="14" spans="1:1" s="35" customFormat="1"/>
    <row r="15" spans="1:1" s="35" customFormat="1">
      <c r="A15" s="35" t="s">
        <v>6578</v>
      </c>
    </row>
    <row r="16" spans="1:1" s="35" customFormat="1">
      <c r="A16" s="35" t="s">
        <v>6580</v>
      </c>
    </row>
    <row r="17" spans="1:1" s="35" customFormat="1"/>
    <row r="18" spans="1:1" s="35" customFormat="1">
      <c r="A18" s="1050" t="s">
        <v>6576</v>
      </c>
    </row>
    <row r="19" spans="1:1" s="35" customFormat="1">
      <c r="A19" s="480"/>
    </row>
    <row r="20" spans="1:1" s="35" customFormat="1">
      <c r="A20" s="1051" t="s">
        <v>6577</v>
      </c>
    </row>
    <row r="21" spans="1:1" s="35" customFormat="1"/>
    <row r="22" spans="1:1" s="35" customFormat="1">
      <c r="A22" s="35" t="s">
        <v>6581</v>
      </c>
    </row>
    <row r="23" spans="1:1" s="35" customFormat="1">
      <c r="A23" s="35" t="s">
        <v>6583</v>
      </c>
    </row>
    <row r="24" spans="1:1" s="35" customFormat="1">
      <c r="A24" s="35" t="s">
        <v>6582</v>
      </c>
    </row>
    <row r="25" spans="1:1" s="35" customFormat="1"/>
    <row r="26" spans="1:1" s="35" customFormat="1">
      <c r="A26" s="35" t="s">
        <v>6589</v>
      </c>
    </row>
    <row r="27" spans="1:1" s="35" customFormat="1">
      <c r="A27" s="1052" t="s">
        <v>6588</v>
      </c>
    </row>
    <row r="28" spans="1:1" s="64" customFormat="1"/>
    <row r="29" spans="1:1" s="64" customFormat="1"/>
    <row r="30" spans="1:1" s="64" customFormat="1">
      <c r="A30" s="64" t="s">
        <v>6584</v>
      </c>
    </row>
    <row r="31" spans="1:1" s="64" customFormat="1">
      <c r="A31" s="64" t="s">
        <v>6585</v>
      </c>
    </row>
    <row r="32" spans="1:1" s="31" customFormat="1"/>
    <row r="33" spans="1:1" s="31" customFormat="1">
      <c r="A33" s="380" t="s">
        <v>6586</v>
      </c>
    </row>
    <row r="34" spans="1:1" s="31" customFormat="1">
      <c r="A34" s="380" t="s">
        <v>6587</v>
      </c>
    </row>
    <row r="35" spans="1:1" s="31" customFormat="1"/>
    <row r="36" spans="1:1" s="31" customFormat="1">
      <c r="A36" s="770" t="s">
        <v>6604</v>
      </c>
    </row>
    <row r="37" spans="1:1" s="64" customFormat="1">
      <c r="A37" s="64" t="s">
        <v>6610</v>
      </c>
    </row>
    <row r="38" spans="1:1" s="64" customFormat="1">
      <c r="A38" s="64" t="s">
        <v>6614</v>
      </c>
    </row>
    <row r="39" spans="1:1" s="64" customFormat="1">
      <c r="A39" s="380" t="s">
        <v>6616</v>
      </c>
    </row>
    <row r="40" spans="1:1" s="64" customFormat="1">
      <c r="A40" s="380" t="s">
        <v>6615</v>
      </c>
    </row>
    <row r="41" spans="1:1" s="64" customFormat="1">
      <c r="A41" s="380"/>
    </row>
    <row r="42" spans="1:1" s="35" customFormat="1">
      <c r="A42" s="35" t="s">
        <v>6611</v>
      </c>
    </row>
    <row r="43" spans="1:1" s="35" customFormat="1">
      <c r="A43" s="35" t="s">
        <v>6612</v>
      </c>
    </row>
    <row r="44" spans="1:1" s="35" customFormat="1">
      <c r="A44" s="35" t="s">
        <v>6613</v>
      </c>
    </row>
    <row r="45" spans="1:1" s="35" customFormat="1"/>
    <row r="46" spans="1:1" s="35" customFormat="1">
      <c r="A46" s="35" t="s">
        <v>6607</v>
      </c>
    </row>
    <row r="47" spans="1:1" s="35" customFormat="1"/>
    <row r="48" spans="1:1" s="35" customFormat="1">
      <c r="A48" s="35" t="s">
        <v>6606</v>
      </c>
    </row>
    <row r="49" spans="1:1" s="35" customFormat="1">
      <c r="A49" s="35" t="s">
        <v>6605</v>
      </c>
    </row>
    <row r="50" spans="1:1" s="35" customFormat="1"/>
    <row r="51" spans="1:1" s="35" customFormat="1"/>
    <row r="52" spans="1:1" s="35" customFormat="1">
      <c r="A52" s="770" t="s">
        <v>6642</v>
      </c>
    </row>
    <row r="53" spans="1:1" s="35" customFormat="1">
      <c r="A53" s="35" t="s">
        <v>6626</v>
      </c>
    </row>
    <row r="54" spans="1:1" s="35" customFormat="1">
      <c r="A54" s="35" t="s">
        <v>6630</v>
      </c>
    </row>
    <row r="55" spans="1:1" s="35" customFormat="1">
      <c r="A55" s="35" t="s">
        <v>6629</v>
      </c>
    </row>
    <row r="56" spans="1:1" s="35" customFormat="1">
      <c r="A56" s="35" t="s">
        <v>6627</v>
      </c>
    </row>
    <row r="57" spans="1:1">
      <c r="A57" s="46" t="s">
        <v>6633</v>
      </c>
    </row>
    <row r="58" spans="1:1">
      <c r="A58" s="46" t="s">
        <v>6632</v>
      </c>
    </row>
    <row r="59" spans="1:1">
      <c r="A59" s="46" t="s">
        <v>6631</v>
      </c>
    </row>
    <row r="60" spans="1:1" s="35" customFormat="1">
      <c r="A60" s="46"/>
    </row>
    <row r="61" spans="1:1" s="35" customFormat="1">
      <c r="A61" s="35" t="s">
        <v>6641</v>
      </c>
    </row>
    <row r="62" spans="1:1" s="35" customFormat="1">
      <c r="A62" s="46" t="s">
        <v>6628</v>
      </c>
    </row>
    <row r="63" spans="1:1" s="35" customFormat="1">
      <c r="A63" s="46" t="s">
        <v>6638</v>
      </c>
    </row>
    <row r="64" spans="1:1" s="35" customFormat="1">
      <c r="A64" s="46" t="s">
        <v>6640</v>
      </c>
    </row>
    <row r="65" spans="1:1" s="35" customFormat="1">
      <c r="A65" s="1051" t="s">
        <v>6639</v>
      </c>
    </row>
    <row r="66" spans="1:1" s="35" customFormat="1"/>
    <row r="67" spans="1:1" s="35" customFormat="1">
      <c r="A67" s="35" t="s">
        <v>6636</v>
      </c>
    </row>
    <row r="68" spans="1:1" s="35" customFormat="1">
      <c r="A68" s="35" t="s">
        <v>6635</v>
      </c>
    </row>
    <row r="69" spans="1:1" s="35" customFormat="1">
      <c r="A69" s="35" t="s">
        <v>6634</v>
      </c>
    </row>
    <row r="70" spans="1:1" s="35" customFormat="1"/>
    <row r="71" spans="1:1">
      <c r="A71" s="35" t="s">
        <v>6637</v>
      </c>
    </row>
    <row r="74" spans="1:1">
      <c r="A74" s="770" t="s">
        <v>6650</v>
      </c>
    </row>
    <row r="75" spans="1:1" s="35" customFormat="1">
      <c r="A75" s="35" t="s">
        <v>6643</v>
      </c>
    </row>
    <row r="76" spans="1:1" s="35" customFormat="1"/>
    <row r="77" spans="1:1" s="35" customFormat="1">
      <c r="A77" s="35" t="s">
        <v>6644</v>
      </c>
    </row>
    <row r="78" spans="1:1" s="35" customFormat="1">
      <c r="A78" s="35" t="s">
        <v>6645</v>
      </c>
    </row>
    <row r="79" spans="1:1" s="35" customFormat="1">
      <c r="A79" s="35" t="s">
        <v>6646</v>
      </c>
    </row>
    <row r="80" spans="1:1" s="35" customFormat="1">
      <c r="A80" s="35" t="s">
        <v>6647</v>
      </c>
    </row>
    <row r="81" spans="1:1" s="35" customFormat="1">
      <c r="A81" s="35" t="s">
        <v>6648</v>
      </c>
    </row>
    <row r="82" spans="1:1" s="35" customFormat="1">
      <c r="A82" s="35" t="s">
        <v>6649</v>
      </c>
    </row>
    <row r="83" spans="1:1" s="35" customFormat="1"/>
    <row r="84" spans="1:1" s="35" customFormat="1"/>
    <row r="85" spans="1:1">
      <c r="A85" s="770" t="s">
        <v>6837</v>
      </c>
    </row>
    <row r="86" spans="1:1">
      <c r="A86" s="35" t="s">
        <v>6838</v>
      </c>
    </row>
    <row r="87" spans="1:1">
      <c r="A87" s="35"/>
    </row>
    <row r="88" spans="1:1">
      <c r="A88" s="35" t="s">
        <v>6839</v>
      </c>
    </row>
    <row r="89" spans="1:1">
      <c r="A89" s="35"/>
    </row>
    <row r="90" spans="1:1">
      <c r="A90" s="35" t="s">
        <v>6840</v>
      </c>
    </row>
    <row r="91" spans="1:1">
      <c r="A91" s="35" t="s">
        <v>6841</v>
      </c>
    </row>
    <row r="92" spans="1:1">
      <c r="A92" s="35" t="s">
        <v>6842</v>
      </c>
    </row>
    <row r="93" spans="1:1">
      <c r="A93" s="35" t="s">
        <v>6845</v>
      </c>
    </row>
    <row r="95" spans="1:1">
      <c r="A95" s="35" t="s">
        <v>6849</v>
      </c>
    </row>
    <row r="96" spans="1:1">
      <c r="A96" s="35" t="s">
        <v>6850</v>
      </c>
    </row>
    <row r="97" spans="1:1">
      <c r="A97" s="35" t="s">
        <v>6846</v>
      </c>
    </row>
    <row r="98" spans="1:1">
      <c r="A98" s="35" t="s">
        <v>6843</v>
      </c>
    </row>
    <row r="100" spans="1:1">
      <c r="A100" s="35" t="s">
        <v>6847</v>
      </c>
    </row>
    <row r="101" spans="1:1">
      <c r="A101" s="35" t="s">
        <v>6844</v>
      </c>
    </row>
    <row r="103" spans="1:1">
      <c r="A103" s="35" t="s">
        <v>6848</v>
      </c>
    </row>
    <row r="104" spans="1:1">
      <c r="A104" s="35" t="s">
        <v>6851</v>
      </c>
    </row>
    <row r="107" spans="1:1">
      <c r="A107" s="770" t="s">
        <v>7074</v>
      </c>
    </row>
    <row r="108" spans="1:1" s="35" customFormat="1">
      <c r="A108" s="35" t="s">
        <v>7075</v>
      </c>
    </row>
    <row r="109" spans="1:1" s="35" customFormat="1"/>
    <row r="110" spans="1:1" s="35" customFormat="1">
      <c r="A110" s="35" t="s">
        <v>7076</v>
      </c>
    </row>
    <row r="111" spans="1:1" s="35" customFormat="1">
      <c r="A111" s="35" t="s">
        <v>7077</v>
      </c>
    </row>
    <row r="112" spans="1:1" s="35" customFormat="1"/>
    <row r="113" spans="1:1" s="35" customFormat="1">
      <c r="A113" s="35" t="s">
        <v>7078</v>
      </c>
    </row>
    <row r="114" spans="1:1" s="35" customFormat="1"/>
    <row r="115" spans="1:1" s="35" customFormat="1"/>
    <row r="116" spans="1:1" s="35" customFormat="1">
      <c r="A116" s="770" t="s">
        <v>8101</v>
      </c>
    </row>
    <row r="117" spans="1:1" s="35" customFormat="1">
      <c r="A117" s="35" t="s">
        <v>8102</v>
      </c>
    </row>
    <row r="118" spans="1:1" s="35" customFormat="1"/>
    <row r="119" spans="1:1" s="35" customFormat="1">
      <c r="A119" s="35" t="s">
        <v>8103</v>
      </c>
    </row>
    <row r="120" spans="1:1" s="35" customFormat="1">
      <c r="A120" s="35" t="s">
        <v>8104</v>
      </c>
    </row>
    <row r="121" spans="1:1" s="35" customFormat="1">
      <c r="A121" s="35" t="s">
        <v>8105</v>
      </c>
    </row>
    <row r="122" spans="1:1" s="35" customFormat="1"/>
    <row r="123" spans="1:1" s="35" customFormat="1">
      <c r="A123" s="35" t="s">
        <v>8106</v>
      </c>
    </row>
    <row r="124" spans="1:1" s="35" customFormat="1">
      <c r="A124" s="35" t="s">
        <v>8108</v>
      </c>
    </row>
    <row r="125" spans="1:1" s="35" customFormat="1">
      <c r="A125" s="35" t="s">
        <v>8107</v>
      </c>
    </row>
    <row r="126" spans="1:1" s="35" customFormat="1"/>
    <row r="127" spans="1:1" s="35" customFormat="1">
      <c r="A127" s="35" t="s">
        <v>8121</v>
      </c>
    </row>
    <row r="128" spans="1:1">
      <c r="A128" s="35" t="s">
        <v>8109</v>
      </c>
    </row>
    <row r="130" spans="1:1">
      <c r="A130" s="770" t="s">
        <v>8119</v>
      </c>
    </row>
    <row r="131" spans="1:1">
      <c r="A131" s="35" t="s">
        <v>8122</v>
      </c>
    </row>
    <row r="132" spans="1:1">
      <c r="A132" s="35" t="s">
        <v>8125</v>
      </c>
    </row>
    <row r="133" spans="1:1">
      <c r="A133" s="35"/>
    </row>
    <row r="134" spans="1:1">
      <c r="A134" s="35" t="s">
        <v>8123</v>
      </c>
    </row>
    <row r="135" spans="1:1">
      <c r="A135" s="35" t="s">
        <v>8130</v>
      </c>
    </row>
    <row r="136" spans="1:1">
      <c r="A136" s="35"/>
    </row>
    <row r="137" spans="1:1" s="35" customFormat="1">
      <c r="A137" s="35" t="s">
        <v>8126</v>
      </c>
    </row>
    <row r="138" spans="1:1" s="35" customFormat="1">
      <c r="A138" s="35" t="s">
        <v>8127</v>
      </c>
    </row>
    <row r="139" spans="1:1" s="35" customFormat="1">
      <c r="A139" s="35" t="s">
        <v>8128</v>
      </c>
    </row>
    <row r="140" spans="1:1" s="35" customFormat="1">
      <c r="A140" s="35" t="s">
        <v>8131</v>
      </c>
    </row>
    <row r="141" spans="1:1" s="35" customFormat="1"/>
    <row r="142" spans="1:1">
      <c r="A142" s="35" t="s">
        <v>8129</v>
      </c>
    </row>
    <row r="143" spans="1:1">
      <c r="A143" s="35" t="s">
        <v>8120</v>
      </c>
    </row>
    <row r="146" spans="1:1">
      <c r="A146" s="770" t="s">
        <v>8132</v>
      </c>
    </row>
    <row r="147" spans="1:1" s="35" customFormat="1">
      <c r="A147" s="35" t="s">
        <v>8133</v>
      </c>
    </row>
    <row r="148" spans="1:1" s="35" customFormat="1">
      <c r="A148" s="35" t="s">
        <v>8137</v>
      </c>
    </row>
    <row r="149" spans="1:1" s="35" customFormat="1">
      <c r="A149" s="35" t="s">
        <v>8141</v>
      </c>
    </row>
    <row r="150" spans="1:1" s="35" customFormat="1">
      <c r="A150" s="35" t="s">
        <v>8138</v>
      </c>
    </row>
    <row r="151" spans="1:1" s="35" customFormat="1"/>
    <row r="152" spans="1:1" s="35" customFormat="1">
      <c r="A152" s="35" t="s">
        <v>8134</v>
      </c>
    </row>
    <row r="153" spans="1:1" s="35" customFormat="1">
      <c r="A153" s="35" t="s">
        <v>8136</v>
      </c>
    </row>
    <row r="154" spans="1:1" s="35" customFormat="1">
      <c r="A154" s="35" t="s">
        <v>8135</v>
      </c>
    </row>
    <row r="155" spans="1:1" s="35" customFormat="1"/>
    <row r="156" spans="1:1">
      <c r="A156" s="35" t="s">
        <v>8143</v>
      </c>
    </row>
    <row r="157" spans="1:1">
      <c r="A157" s="35" t="s">
        <v>8139</v>
      </c>
    </row>
    <row r="158" spans="1:1">
      <c r="A158" s="35" t="s">
        <v>8140</v>
      </c>
    </row>
    <row r="160" spans="1:1">
      <c r="A160" s="35" t="s">
        <v>8142</v>
      </c>
    </row>
    <row r="162" spans="1:1">
      <c r="A162" s="770" t="s">
        <v>8148</v>
      </c>
    </row>
    <row r="163" spans="1:1" s="35" customFormat="1">
      <c r="A163" s="35" t="s">
        <v>8151</v>
      </c>
    </row>
    <row r="164" spans="1:1" s="35" customFormat="1">
      <c r="A164" s="35" t="s">
        <v>8149</v>
      </c>
    </row>
    <row r="165" spans="1:1" s="35" customFormat="1"/>
    <row r="166" spans="1:1" s="35" customFormat="1">
      <c r="A166" s="35" t="s">
        <v>8152</v>
      </c>
    </row>
    <row r="167" spans="1:1" s="35" customFormat="1">
      <c r="A167" s="35" t="s">
        <v>8155</v>
      </c>
    </row>
    <row r="168" spans="1:1" s="35" customFormat="1"/>
    <row r="169" spans="1:1" s="35" customFormat="1">
      <c r="A169" s="35" t="s">
        <v>8150</v>
      </c>
    </row>
    <row r="170" spans="1:1" s="35" customFormat="1">
      <c r="A170" s="35" t="s">
        <v>8153</v>
      </c>
    </row>
    <row r="172" spans="1:1" hidden="1">
      <c r="A172" t="s">
        <v>8144</v>
      </c>
    </row>
    <row r="173" spans="1:1" hidden="1">
      <c r="A173" s="35" t="s">
        <v>8145</v>
      </c>
    </row>
    <row r="174" spans="1:1" hidden="1">
      <c r="A174" t="s">
        <v>8154</v>
      </c>
    </row>
    <row r="175" spans="1:1" hidden="1">
      <c r="A175" s="35" t="s">
        <v>8147</v>
      </c>
    </row>
    <row r="176" spans="1:1" hidden="1"/>
    <row r="177" spans="1:1">
      <c r="A177" s="35" t="s">
        <v>8142</v>
      </c>
    </row>
    <row r="184" spans="1:1">
      <c r="A184" s="770" t="s">
        <v>8741</v>
      </c>
    </row>
    <row r="185" spans="1:1" s="35" customFormat="1">
      <c r="A185" s="35" t="s">
        <v>8744</v>
      </c>
    </row>
    <row r="186" spans="1:1" s="35" customFormat="1"/>
    <row r="187" spans="1:1" s="35" customFormat="1">
      <c r="A187" s="35" t="s">
        <v>8742</v>
      </c>
    </row>
    <row r="188" spans="1:1" s="35" customFormat="1">
      <c r="A188" s="35" t="s">
        <v>8749</v>
      </c>
    </row>
    <row r="189" spans="1:1" s="35" customFormat="1">
      <c r="A189" s="35" t="s">
        <v>8748</v>
      </c>
    </row>
    <row r="190" spans="1:1" s="35" customFormat="1"/>
    <row r="191" spans="1:1" s="35" customFormat="1">
      <c r="A191" s="35" t="s">
        <v>8743</v>
      </c>
    </row>
    <row r="192" spans="1:1" s="35" customFormat="1">
      <c r="A192" s="35" t="s">
        <v>8750</v>
      </c>
    </row>
    <row r="193" spans="1:1" s="35" customFormat="1">
      <c r="A193" s="35" t="s">
        <v>8745</v>
      </c>
    </row>
    <row r="194" spans="1:1" s="35" customFormat="1"/>
    <row r="195" spans="1:1" s="35" customFormat="1">
      <c r="A195" s="35" t="s">
        <v>8746</v>
      </c>
    </row>
    <row r="196" spans="1:1" s="35" customFormat="1">
      <c r="A196" s="35" t="s">
        <v>8747</v>
      </c>
    </row>
    <row r="198" spans="1:1">
      <c r="A198" s="35" t="s">
        <v>8751</v>
      </c>
    </row>
    <row r="199" spans="1:1">
      <c r="A199" s="35" t="s">
        <v>8752</v>
      </c>
    </row>
    <row r="201" spans="1:1">
      <c r="A201" s="35" t="s">
        <v>8753</v>
      </c>
    </row>
    <row r="204" spans="1:1" hidden="1">
      <c r="A204" t="s">
        <v>8756</v>
      </c>
    </row>
    <row r="205" spans="1:1" hidden="1">
      <c r="A205" t="s">
        <v>8757</v>
      </c>
    </row>
    <row r="206" spans="1:1" hidden="1">
      <c r="A206" t="s">
        <v>8758</v>
      </c>
    </row>
    <row r="207" spans="1:1" hidden="1">
      <c r="A207" t="s">
        <v>8759</v>
      </c>
    </row>
    <row r="208" spans="1:1" hidden="1">
      <c r="A208" t="s">
        <v>8760</v>
      </c>
    </row>
    <row r="209" spans="1:1" hidden="1">
      <c r="A209" t="s">
        <v>8761</v>
      </c>
    </row>
    <row r="210" spans="1:1" hidden="1">
      <c r="A210" t="s">
        <v>8762</v>
      </c>
    </row>
    <row r="211" spans="1:1" hidden="1">
      <c r="A211" t="s">
        <v>8763</v>
      </c>
    </row>
    <row r="212" spans="1:1">
      <c r="A212" s="3071" t="s">
        <v>9074</v>
      </c>
    </row>
    <row r="213" spans="1:1">
      <c r="A213" s="1691"/>
    </row>
    <row r="214" spans="1:1">
      <c r="A214" s="1691" t="s">
        <v>9081</v>
      </c>
    </row>
    <row r="215" spans="1:1">
      <c r="A215" s="1691" t="s">
        <v>9084</v>
      </c>
    </row>
    <row r="216" spans="1:1">
      <c r="A216" s="1691" t="s">
        <v>9083</v>
      </c>
    </row>
    <row r="217" spans="1:1">
      <c r="A217" s="1691"/>
    </row>
    <row r="218" spans="1:1">
      <c r="A218" s="35" t="s">
        <v>9080</v>
      </c>
    </row>
    <row r="219" spans="1:1">
      <c r="A219" s="35" t="s">
        <v>9082</v>
      </c>
    </row>
    <row r="220" spans="1:1">
      <c r="A220" s="35"/>
    </row>
    <row r="221" spans="1:1">
      <c r="A221" s="35" t="s">
        <v>8910</v>
      </c>
    </row>
    <row r="222" spans="1:1">
      <c r="A222" s="35" t="s">
        <v>9032</v>
      </c>
    </row>
    <row r="223" spans="1:1">
      <c r="A223" s="35" t="s">
        <v>9033</v>
      </c>
    </row>
    <row r="224" spans="1:1">
      <c r="A224" s="35" t="s">
        <v>8911</v>
      </c>
    </row>
    <row r="225" spans="1:1">
      <c r="A225" s="35" t="s">
        <v>8912</v>
      </c>
    </row>
    <row r="226" spans="1:1">
      <c r="A226" s="35"/>
    </row>
    <row r="227" spans="1:1">
      <c r="A227" s="35" t="s">
        <v>9029</v>
      </c>
    </row>
    <row r="228" spans="1:1">
      <c r="A228" s="35" t="s">
        <v>9030</v>
      </c>
    </row>
    <row r="229" spans="1:1">
      <c r="A229" s="35" t="s">
        <v>9031</v>
      </c>
    </row>
    <row r="230" spans="1:1">
      <c r="A230" s="35"/>
    </row>
    <row r="231" spans="1:1">
      <c r="A231" s="1691" t="s">
        <v>9070</v>
      </c>
    </row>
    <row r="232" spans="1:1">
      <c r="A232" s="35"/>
    </row>
    <row r="233" spans="1:1">
      <c r="A233" s="35" t="s">
        <v>9071</v>
      </c>
    </row>
    <row r="235" spans="1:1">
      <c r="A235" s="35" t="s">
        <v>9037</v>
      </c>
    </row>
    <row r="236" spans="1:1">
      <c r="A236" s="35" t="s">
        <v>9073</v>
      </c>
    </row>
    <row r="237" spans="1:1">
      <c r="A237" s="35" t="s">
        <v>9072</v>
      </c>
    </row>
    <row r="238" spans="1:1">
      <c r="A238" s="35"/>
    </row>
    <row r="239" spans="1:1">
      <c r="A239" s="3094" t="s">
        <v>8931</v>
      </c>
    </row>
    <row r="240" spans="1:1" ht="25.5">
      <c r="A240" s="3094" t="s">
        <v>8932</v>
      </c>
    </row>
    <row r="242" spans="1:1">
      <c r="A242" s="35" t="s">
        <v>8940</v>
      </c>
    </row>
    <row r="243" spans="1:1">
      <c r="A243" s="35" t="s">
        <v>8933</v>
      </c>
    </row>
    <row r="244" spans="1:1">
      <c r="A244" s="35"/>
    </row>
    <row r="245" spans="1:1" ht="25.5">
      <c r="A245" s="3094" t="s">
        <v>8934</v>
      </c>
    </row>
    <row r="246" spans="1:1">
      <c r="A246" s="35"/>
    </row>
    <row r="247" spans="1:1" hidden="1">
      <c r="A247" s="35" t="s">
        <v>8935</v>
      </c>
    </row>
    <row r="248" spans="1:1" hidden="1">
      <c r="A248" s="35" t="s">
        <v>8936</v>
      </c>
    </row>
    <row r="249" spans="1:1" hidden="1"/>
    <row r="250" spans="1:1" hidden="1">
      <c r="A250" s="35" t="s">
        <v>8937</v>
      </c>
    </row>
    <row r="251" spans="1:1" hidden="1">
      <c r="A251" s="35" t="s">
        <v>8941</v>
      </c>
    </row>
    <row r="252" spans="1:1" hidden="1">
      <c r="A252" s="35" t="s">
        <v>8938</v>
      </c>
    </row>
    <row r="253" spans="1:1" hidden="1">
      <c r="A253" s="35" t="s">
        <v>8939</v>
      </c>
    </row>
    <row r="254" spans="1:1">
      <c r="A254" s="35" t="s">
        <v>9068</v>
      </c>
    </row>
    <row r="255" spans="1:1">
      <c r="A255" s="35" t="s">
        <v>9069</v>
      </c>
    </row>
    <row r="258" spans="1:1">
      <c r="A258" s="3071" t="s">
        <v>9119</v>
      </c>
    </row>
    <row r="259" spans="1:1">
      <c r="A259" s="1691" t="s">
        <v>9095</v>
      </c>
    </row>
    <row r="260" spans="1:1" s="35" customFormat="1">
      <c r="A260" s="35" t="s">
        <v>9103</v>
      </c>
    </row>
    <row r="261" spans="1:1" s="35" customFormat="1">
      <c r="A261" s="35" t="s">
        <v>9102</v>
      </c>
    </row>
    <row r="262" spans="1:1" s="35" customFormat="1">
      <c r="A262" s="35" t="s">
        <v>9093</v>
      </c>
    </row>
    <row r="263" spans="1:1" s="35" customFormat="1"/>
    <row r="264" spans="1:1" s="35" customFormat="1">
      <c r="A264" s="35" t="s">
        <v>9094</v>
      </c>
    </row>
    <row r="265" spans="1:1" s="35" customFormat="1"/>
    <row r="266" spans="1:1" s="35" customFormat="1">
      <c r="A266" s="35" t="s">
        <v>9104</v>
      </c>
    </row>
    <row r="267" spans="1:1" s="35" customFormat="1">
      <c r="A267" s="35" t="s">
        <v>9106</v>
      </c>
    </row>
    <row r="268" spans="1:1" s="35" customFormat="1"/>
    <row r="269" spans="1:1" s="35" customFormat="1">
      <c r="A269" s="35" t="s">
        <v>9105</v>
      </c>
    </row>
    <row r="270" spans="1:1" s="35" customFormat="1">
      <c r="A270" s="35" t="s">
        <v>9146</v>
      </c>
    </row>
    <row r="271" spans="1:1" s="35" customFormat="1"/>
    <row r="272" spans="1:1" s="35" customFormat="1">
      <c r="A272" s="35" t="s">
        <v>9112</v>
      </c>
    </row>
    <row r="273" spans="1:1" s="35" customFormat="1"/>
    <row r="274" spans="1:1" s="35" customFormat="1">
      <c r="A274" s="1691" t="s">
        <v>9096</v>
      </c>
    </row>
    <row r="275" spans="1:1" s="35" customFormat="1">
      <c r="A275" s="35" t="s">
        <v>9113</v>
      </c>
    </row>
    <row r="276" spans="1:1" s="35" customFormat="1"/>
    <row r="277" spans="1:1">
      <c r="A277" s="35" t="s">
        <v>9114</v>
      </c>
    </row>
    <row r="279" spans="1:1">
      <c r="A279" s="35" t="s">
        <v>9115</v>
      </c>
    </row>
    <row r="280" spans="1:1">
      <c r="A280" s="35" t="s">
        <v>9108</v>
      </c>
    </row>
    <row r="282" spans="1:1">
      <c r="A282" s="35" t="s">
        <v>9116</v>
      </c>
    </row>
    <row r="283" spans="1:1">
      <c r="A283" s="35" t="s">
        <v>9107</v>
      </c>
    </row>
    <row r="284" spans="1:1">
      <c r="A284" s="35"/>
    </row>
    <row r="285" spans="1:1">
      <c r="A285" s="35"/>
    </row>
    <row r="286" spans="1:1">
      <c r="A286" s="35" t="s">
        <v>9101</v>
      </c>
    </row>
    <row r="287" spans="1:1" hidden="1">
      <c r="A287" s="35" t="s">
        <v>9087</v>
      </c>
    </row>
    <row r="288" spans="1:1" hidden="1">
      <c r="A288" s="35" t="s">
        <v>9089</v>
      </c>
    </row>
    <row r="289" spans="1:1" hidden="1">
      <c r="A289" s="35" t="s">
        <v>9090</v>
      </c>
    </row>
    <row r="290" spans="1:1" hidden="1">
      <c r="A290" s="35" t="s">
        <v>9091</v>
      </c>
    </row>
    <row r="291" spans="1:1" hidden="1">
      <c r="A291" s="35" t="s">
        <v>9092</v>
      </c>
    </row>
    <row r="292" spans="1:1">
      <c r="A292" s="35" t="s">
        <v>9098</v>
      </c>
    </row>
    <row r="295" spans="1:1">
      <c r="A295" s="4043" t="s">
        <v>9268</v>
      </c>
    </row>
    <row r="296" spans="1:1">
      <c r="A296" s="1691" t="s">
        <v>9269</v>
      </c>
    </row>
    <row r="297" spans="1:1">
      <c r="A297" s="35" t="s">
        <v>9270</v>
      </c>
    </row>
    <row r="298" spans="1:1">
      <c r="A298" s="35" t="s">
        <v>9271</v>
      </c>
    </row>
    <row r="299" spans="1:1">
      <c r="A299" s="35" t="s">
        <v>9272</v>
      </c>
    </row>
    <row r="300" spans="1:1">
      <c r="A300" s="35" t="s">
        <v>9273</v>
      </c>
    </row>
    <row r="301" spans="1:1">
      <c r="A301" s="35" t="s">
        <v>9274</v>
      </c>
    </row>
    <row r="302" spans="1:1">
      <c r="A302" s="35"/>
    </row>
    <row r="303" spans="1:1">
      <c r="A303" s="35" t="s">
        <v>9275</v>
      </c>
    </row>
    <row r="304" spans="1:1">
      <c r="A304" s="35" t="s">
        <v>9276</v>
      </c>
    </row>
    <row r="305" spans="1:1">
      <c r="A305" s="35" t="s">
        <v>9277</v>
      </c>
    </row>
    <row r="306" spans="1:1">
      <c r="A306" s="35"/>
    </row>
    <row r="307" spans="1:1">
      <c r="A307" s="35" t="s">
        <v>9278</v>
      </c>
    </row>
    <row r="308" spans="1:1">
      <c r="A308" s="35" t="s">
        <v>9279</v>
      </c>
    </row>
    <row r="309" spans="1:1">
      <c r="A309" s="35" t="s">
        <v>9280</v>
      </c>
    </row>
    <row r="310" spans="1:1">
      <c r="A310" s="35" t="s">
        <v>9281</v>
      </c>
    </row>
    <row r="311" spans="1:1">
      <c r="A311" s="35"/>
    </row>
    <row r="312" spans="1:1">
      <c r="A312" s="1691" t="s">
        <v>9282</v>
      </c>
    </row>
    <row r="313" spans="1:1">
      <c r="A313" s="35" t="s">
        <v>9283</v>
      </c>
    </row>
    <row r="314" spans="1:1">
      <c r="A314" s="35" t="s">
        <v>9284</v>
      </c>
    </row>
    <row r="316" spans="1:1">
      <c r="A316" s="35" t="s">
        <v>9285</v>
      </c>
    </row>
    <row r="318" spans="1:1">
      <c r="A318" s="35" t="s">
        <v>9286</v>
      </c>
    </row>
    <row r="319" spans="1:1">
      <c r="A319" s="35"/>
    </row>
    <row r="320" spans="1:1">
      <c r="A320" s="35" t="s">
        <v>9287</v>
      </c>
    </row>
    <row r="321" spans="1:1">
      <c r="A321" s="35" t="s">
        <v>9288</v>
      </c>
    </row>
    <row r="322" spans="1:1">
      <c r="A322" s="35" t="s">
        <v>9289</v>
      </c>
    </row>
    <row r="323" spans="1:1">
      <c r="A323" s="35"/>
    </row>
    <row r="324" spans="1:1" ht="15.75">
      <c r="A324" s="4044" t="s">
        <v>9290</v>
      </c>
    </row>
    <row r="325" spans="1:1" ht="15.75">
      <c r="A325" s="4045" t="s">
        <v>9291</v>
      </c>
    </row>
    <row r="326" spans="1:1" ht="15.75">
      <c r="A326" s="4045" t="s">
        <v>9292</v>
      </c>
    </row>
    <row r="328" spans="1:1">
      <c r="A328" s="35" t="s">
        <v>9293</v>
      </c>
    </row>
    <row r="330" spans="1:1">
      <c r="A330" s="35" t="s">
        <v>9294</v>
      </c>
    </row>
    <row r="331" spans="1:1">
      <c r="A331" s="35" t="s">
        <v>9295</v>
      </c>
    </row>
    <row r="334" spans="1:1">
      <c r="A334" s="4043" t="s">
        <v>9356</v>
      </c>
    </row>
    <row r="335" spans="1:1">
      <c r="A335" s="1691" t="s">
        <v>9351</v>
      </c>
    </row>
    <row r="336" spans="1:1" s="35" customFormat="1">
      <c r="A336" s="35" t="s">
        <v>9342</v>
      </c>
    </row>
    <row r="337" spans="1:1" s="35" customFormat="1">
      <c r="A337" s="35" t="s">
        <v>9344</v>
      </c>
    </row>
    <row r="338" spans="1:1" s="35" customFormat="1">
      <c r="A338" s="35" t="s">
        <v>9343</v>
      </c>
    </row>
    <row r="339" spans="1:1" s="35" customFormat="1"/>
    <row r="340" spans="1:1" s="35" customFormat="1">
      <c r="A340" s="35" t="s">
        <v>9345</v>
      </c>
    </row>
    <row r="341" spans="1:1" s="35" customFormat="1">
      <c r="A341" s="35" t="s">
        <v>9346</v>
      </c>
    </row>
    <row r="342" spans="1:1">
      <c r="A342" s="35" t="s">
        <v>9347</v>
      </c>
    </row>
    <row r="343" spans="1:1">
      <c r="A343" s="35"/>
    </row>
    <row r="344" spans="1:1">
      <c r="A344" s="35" t="s">
        <v>9353</v>
      </c>
    </row>
    <row r="345" spans="1:1">
      <c r="A345" s="35"/>
    </row>
    <row r="347" spans="1:1">
      <c r="A347" s="35" t="s">
        <v>9348</v>
      </c>
    </row>
    <row r="348" spans="1:1">
      <c r="A348" s="35" t="s">
        <v>9349</v>
      </c>
    </row>
    <row r="350" spans="1:1">
      <c r="A350" s="1691" t="s">
        <v>9350</v>
      </c>
    </row>
    <row r="351" spans="1:1" s="35" customFormat="1">
      <c r="A351" s="35" t="s">
        <v>9352</v>
      </c>
    </row>
    <row r="352" spans="1:1" s="35" customFormat="1">
      <c r="A352" s="46" t="s">
        <v>9354</v>
      </c>
    </row>
    <row r="353" spans="1:1" s="35" customFormat="1"/>
    <row r="354" spans="1:1" s="35" customFormat="1">
      <c r="A354" s="35" t="s">
        <v>9355</v>
      </c>
    </row>
    <row r="355" spans="1:1" s="35" customFormat="1"/>
    <row r="356" spans="1:1" s="35" customFormat="1">
      <c r="A356" s="4043" t="s">
        <v>9370</v>
      </c>
    </row>
    <row r="357" spans="1:1" s="35" customFormat="1">
      <c r="A357" s="1691" t="s">
        <v>9373</v>
      </c>
    </row>
    <row r="358" spans="1:1" s="35" customFormat="1">
      <c r="A358" s="35" t="s">
        <v>9369</v>
      </c>
    </row>
    <row r="359" spans="1:1" s="35" customFormat="1"/>
    <row r="360" spans="1:1" s="35" customFormat="1">
      <c r="A360" s="35" t="s">
        <v>9374</v>
      </c>
    </row>
    <row r="361" spans="1:1" s="35" customFormat="1"/>
    <row r="362" spans="1:1" s="35" customFormat="1">
      <c r="A362" s="35" t="s">
        <v>9372</v>
      </c>
    </row>
    <row r="363" spans="1:1" s="35" customFormat="1">
      <c r="A363" s="35" t="s">
        <v>9375</v>
      </c>
    </row>
    <row r="364" spans="1:1" s="35" customFormat="1"/>
    <row r="365" spans="1:1" s="35" customFormat="1">
      <c r="A365" s="35" t="s">
        <v>9371</v>
      </c>
    </row>
    <row r="366" spans="1:1" s="35" customFormat="1"/>
    <row r="368" spans="1:1">
      <c r="A368" s="4043" t="s">
        <v>9395</v>
      </c>
    </row>
    <row r="369" spans="1:1">
      <c r="A369" s="1691" t="s">
        <v>9385</v>
      </c>
    </row>
    <row r="370" spans="1:1">
      <c r="A370" s="35" t="s">
        <v>9387</v>
      </c>
    </row>
    <row r="371" spans="1:1">
      <c r="A371" s="35" t="s">
        <v>9394</v>
      </c>
    </row>
    <row r="372" spans="1:1">
      <c r="A372" s="35" t="s">
        <v>9386</v>
      </c>
    </row>
    <row r="373" spans="1:1">
      <c r="A373" s="35"/>
    </row>
    <row r="374" spans="1:1">
      <c r="A374" s="35" t="s">
        <v>9388</v>
      </c>
    </row>
    <row r="375" spans="1:1">
      <c r="A375" s="35" t="s">
        <v>9389</v>
      </c>
    </row>
    <row r="376" spans="1:1">
      <c r="A376" s="35"/>
    </row>
    <row r="377" spans="1:1">
      <c r="A377" s="35" t="s">
        <v>9399</v>
      </c>
    </row>
    <row r="378" spans="1:1">
      <c r="A378" s="35" t="s">
        <v>9400</v>
      </c>
    </row>
    <row r="379" spans="1:1">
      <c r="A379" s="35"/>
    </row>
    <row r="380" spans="1:1">
      <c r="A380" s="35" t="s">
        <v>9391</v>
      </c>
    </row>
    <row r="381" spans="1:1">
      <c r="A381" s="35"/>
    </row>
    <row r="382" spans="1:1">
      <c r="A382" s="1691" t="s">
        <v>9390</v>
      </c>
    </row>
    <row r="383" spans="1:1">
      <c r="A383" s="1691"/>
    </row>
    <row r="384" spans="1:1">
      <c r="A384" s="35" t="s">
        <v>9393</v>
      </c>
    </row>
    <row r="386" spans="1:1">
      <c r="A386" s="35" t="s">
        <v>9392</v>
      </c>
    </row>
    <row r="387" spans="1:1">
      <c r="A387" s="35" t="s">
        <v>9398</v>
      </c>
    </row>
    <row r="388" spans="1:1">
      <c r="A388" s="35"/>
    </row>
    <row r="389" spans="1:1">
      <c r="A389" s="35"/>
    </row>
    <row r="390" spans="1:1">
      <c r="A390" s="4043" t="s">
        <v>9403</v>
      </c>
    </row>
    <row r="391" spans="1:1">
      <c r="A391" s="1691" t="s">
        <v>9408</v>
      </c>
    </row>
    <row r="392" spans="1:1">
      <c r="A392" s="3149" t="s">
        <v>9407</v>
      </c>
    </row>
    <row r="394" spans="1:1" s="35" customFormat="1">
      <c r="A394" s="35" t="s">
        <v>9404</v>
      </c>
    </row>
    <row r="395" spans="1:1" s="35" customFormat="1"/>
    <row r="396" spans="1:1" s="35" customFormat="1">
      <c r="A396" s="35" t="s">
        <v>9405</v>
      </c>
    </row>
    <row r="397" spans="1:1" s="35" customFormat="1">
      <c r="A397" s="35" t="s">
        <v>9406</v>
      </c>
    </row>
    <row r="398" spans="1:1" s="35" customFormat="1"/>
    <row r="399" spans="1:1" s="35" customFormat="1">
      <c r="A399" s="35" t="s">
        <v>9424</v>
      </c>
    </row>
    <row r="400" spans="1:1" s="35" customFormat="1">
      <c r="A400" s="35" t="s">
        <v>9425</v>
      </c>
    </row>
    <row r="401" spans="1:1" s="35" customFormat="1"/>
    <row r="402" spans="1:1" s="35" customFormat="1">
      <c r="A402" s="35" t="s">
        <v>9426</v>
      </c>
    </row>
    <row r="403" spans="1:1" s="35" customFormat="1">
      <c r="A403" s="35" t="s">
        <v>9427</v>
      </c>
    </row>
    <row r="404" spans="1:1" s="35" customFormat="1">
      <c r="A404" s="35" t="s">
        <v>9428</v>
      </c>
    </row>
    <row r="405" spans="1:1" s="35" customFormat="1">
      <c r="A405" s="35" t="s">
        <v>9429</v>
      </c>
    </row>
    <row r="406" spans="1:1" s="35" customFormat="1">
      <c r="A406" s="35" t="s">
        <v>9430</v>
      </c>
    </row>
    <row r="407" spans="1:1" s="35" customFormat="1">
      <c r="A407" s="35" t="s">
        <v>9431</v>
      </c>
    </row>
    <row r="408" spans="1:1" s="35" customFormat="1">
      <c r="A408" s="35" t="s">
        <v>9432</v>
      </c>
    </row>
    <row r="409" spans="1:1" s="35" customFormat="1"/>
    <row r="410" spans="1:1">
      <c r="A410" s="1691" t="s">
        <v>10289</v>
      </c>
    </row>
    <row r="412" spans="1:1">
      <c r="A412" s="1691" t="s">
        <v>9433</v>
      </c>
    </row>
    <row r="413" spans="1:1">
      <c r="A413" s="1691" t="s">
        <v>9435</v>
      </c>
    </row>
    <row r="414" spans="1:1">
      <c r="A414" s="1691" t="s">
        <v>9434</v>
      </c>
    </row>
    <row r="417" spans="1:1">
      <c r="A417" s="4043" t="s">
        <v>9465</v>
      </c>
    </row>
    <row r="418" spans="1:1">
      <c r="A418" s="1691" t="s">
        <v>9461</v>
      </c>
    </row>
    <row r="419" spans="1:1" s="35" customFormat="1">
      <c r="A419" s="35" t="s">
        <v>9462</v>
      </c>
    </row>
    <row r="420" spans="1:1" s="35" customFormat="1">
      <c r="A420" s="35" t="s">
        <v>9464</v>
      </c>
    </row>
    <row r="421" spans="1:1" s="35" customFormat="1">
      <c r="A421" s="35" t="s">
        <v>9473</v>
      </c>
    </row>
    <row r="422" spans="1:1" s="35" customFormat="1"/>
    <row r="423" spans="1:1">
      <c r="A423" s="1691" t="s">
        <v>9440</v>
      </c>
    </row>
    <row r="424" spans="1:1">
      <c r="A424" s="35" t="s">
        <v>9463</v>
      </c>
    </row>
    <row r="425" spans="1:1">
      <c r="A425" s="35" t="s">
        <v>9441</v>
      </c>
    </row>
    <row r="426" spans="1:1">
      <c r="A426" s="35" t="s">
        <v>9442</v>
      </c>
    </row>
    <row r="427" spans="1:1">
      <c r="A427" s="35" t="s">
        <v>9443</v>
      </c>
    </row>
    <row r="428" spans="1:1">
      <c r="A428" s="35" t="s">
        <v>9444</v>
      </c>
    </row>
    <row r="429" spans="1:1">
      <c r="A429" s="35"/>
    </row>
    <row r="430" spans="1:1">
      <c r="A430" s="35" t="s">
        <v>9470</v>
      </c>
    </row>
    <row r="431" spans="1:1">
      <c r="A431" s="35" t="s">
        <v>9471</v>
      </c>
    </row>
    <row r="432" spans="1:1">
      <c r="A432" s="35" t="s">
        <v>9472</v>
      </c>
    </row>
    <row r="435" spans="1:1">
      <c r="A435" s="4043" t="s">
        <v>10333</v>
      </c>
    </row>
    <row r="436" spans="1:1">
      <c r="A436" s="1691" t="s">
        <v>10262</v>
      </c>
    </row>
    <row r="437" spans="1:1" s="35" customFormat="1">
      <c r="A437" s="35" t="s">
        <v>10263</v>
      </c>
    </row>
    <row r="438" spans="1:1" s="35" customFormat="1">
      <c r="A438" s="35" t="s">
        <v>10264</v>
      </c>
    </row>
    <row r="439" spans="1:1" s="35" customFormat="1"/>
    <row r="440" spans="1:1" s="35" customFormat="1">
      <c r="A440" s="35" t="s">
        <v>10265</v>
      </c>
    </row>
    <row r="441" spans="1:1" s="35" customFormat="1">
      <c r="A441" s="35" t="s">
        <v>10266</v>
      </c>
    </row>
    <row r="442" spans="1:1" s="35" customFormat="1">
      <c r="A442" s="35" t="s">
        <v>10267</v>
      </c>
    </row>
    <row r="443" spans="1:1" s="35" customFormat="1">
      <c r="A443" s="35" t="s">
        <v>10268</v>
      </c>
    </row>
    <row r="444" spans="1:1" s="35" customFormat="1">
      <c r="A444" s="35" t="s">
        <v>10290</v>
      </c>
    </row>
    <row r="445" spans="1:1" s="35" customFormat="1">
      <c r="A445" s="35" t="s">
        <v>10334</v>
      </c>
    </row>
    <row r="446" spans="1:1" s="35" customFormat="1"/>
    <row r="447" spans="1:1" s="35" customFormat="1">
      <c r="A447" s="35" t="s">
        <v>10269</v>
      </c>
    </row>
    <row r="448" spans="1:1" s="35" customFormat="1">
      <c r="A448" s="35" t="s">
        <v>10270</v>
      </c>
    </row>
    <row r="449" spans="1:1" s="35" customFormat="1">
      <c r="A449" s="35" t="s">
        <v>10271</v>
      </c>
    </row>
    <row r="450" spans="1:1" s="35" customFormat="1">
      <c r="A450" s="35" t="s">
        <v>10335</v>
      </c>
    </row>
    <row r="451" spans="1:1" s="35" customFormat="1"/>
    <row r="452" spans="1:1" s="35" customFormat="1">
      <c r="A452" s="35" t="s">
        <v>10329</v>
      </c>
    </row>
    <row r="453" spans="1:1" s="35" customFormat="1"/>
    <row r="454" spans="1:1" s="35" customFormat="1">
      <c r="A454" s="1691" t="s">
        <v>10272</v>
      </c>
    </row>
    <row r="455" spans="1:1" s="35" customFormat="1">
      <c r="A455" s="35" t="s">
        <v>10330</v>
      </c>
    </row>
    <row r="456" spans="1:1" s="35" customFormat="1">
      <c r="A456" s="35" t="s">
        <v>10273</v>
      </c>
    </row>
    <row r="457" spans="1:1" s="35" customFormat="1">
      <c r="A457" s="35" t="s">
        <v>10274</v>
      </c>
    </row>
    <row r="458" spans="1:1" s="35" customFormat="1">
      <c r="A458" s="35" t="s">
        <v>10275</v>
      </c>
    </row>
    <row r="459" spans="1:1" s="4650" customFormat="1"/>
    <row r="460" spans="1:1" s="35" customFormat="1">
      <c r="A460" s="4760" t="s">
        <v>10276</v>
      </c>
    </row>
    <row r="461" spans="1:1" s="35" customFormat="1">
      <c r="A461" s="4761" t="s">
        <v>10277</v>
      </c>
    </row>
    <row r="462" spans="1:1" s="35" customFormat="1">
      <c r="A462" s="4761" t="s">
        <v>10278</v>
      </c>
    </row>
    <row r="463" spans="1:1" s="35" customFormat="1">
      <c r="A463" s="4761" t="s">
        <v>10279</v>
      </c>
    </row>
    <row r="464" spans="1:1" s="35" customFormat="1">
      <c r="A464" s="4761" t="s">
        <v>10280</v>
      </c>
    </row>
    <row r="465" spans="1:1" s="35" customFormat="1">
      <c r="A465" s="4761" t="s">
        <v>10287</v>
      </c>
    </row>
    <row r="466" spans="1:1" s="35" customFormat="1">
      <c r="A466" s="4761"/>
    </row>
    <row r="467" spans="1:1">
      <c r="A467" s="4761" t="s">
        <v>10281</v>
      </c>
    </row>
    <row r="468" spans="1:1">
      <c r="A468" s="4761" t="s">
        <v>10282</v>
      </c>
    </row>
    <row r="469" spans="1:1">
      <c r="A469" s="4761" t="s">
        <v>10283</v>
      </c>
    </row>
    <row r="470" spans="1:1">
      <c r="A470" s="4762" t="s">
        <v>10284</v>
      </c>
    </row>
    <row r="472" spans="1:1">
      <c r="A472" s="3149" t="s">
        <v>10331</v>
      </c>
    </row>
    <row r="473" spans="1:1">
      <c r="A473" s="3149" t="s">
        <v>10285</v>
      </c>
    </row>
    <row r="474" spans="1:1">
      <c r="A474" s="35" t="s">
        <v>10286</v>
      </c>
    </row>
    <row r="475" spans="1:1">
      <c r="A475" s="4650"/>
    </row>
    <row r="476" spans="1:1">
      <c r="A476" s="35" t="s">
        <v>10336</v>
      </c>
    </row>
    <row r="477" spans="1:1">
      <c r="A477" s="35" t="s">
        <v>10288</v>
      </c>
    </row>
    <row r="478" spans="1:1">
      <c r="A478" s="4650"/>
    </row>
    <row r="479" spans="1:1">
      <c r="A479" s="4650"/>
    </row>
    <row r="480" spans="1:1">
      <c r="A480" s="4043" t="s">
        <v>10345</v>
      </c>
    </row>
    <row r="481" spans="1:1">
      <c r="A481" s="1691" t="s">
        <v>10347</v>
      </c>
    </row>
    <row r="482" spans="1:1" s="35" customFormat="1">
      <c r="A482" s="35" t="s">
        <v>10349</v>
      </c>
    </row>
    <row r="483" spans="1:1" s="35" customFormat="1"/>
    <row r="484" spans="1:1" s="35" customFormat="1">
      <c r="A484" s="1691" t="s">
        <v>10348</v>
      </c>
    </row>
    <row r="485" spans="1:1" s="35" customFormat="1">
      <c r="A485" s="35" t="s">
        <v>10342</v>
      </c>
    </row>
    <row r="486" spans="1:1" s="35" customFormat="1">
      <c r="A486" s="35" t="s">
        <v>10352</v>
      </c>
    </row>
    <row r="487" spans="1:1" s="35" customFormat="1"/>
    <row r="488" spans="1:1" s="35" customFormat="1">
      <c r="A488" s="35" t="s">
        <v>10343</v>
      </c>
    </row>
    <row r="489" spans="1:1" s="35" customFormat="1">
      <c r="A489" s="35" t="s">
        <v>10344</v>
      </c>
    </row>
    <row r="490" spans="1:1" s="35" customFormat="1">
      <c r="A490" s="35" t="s">
        <v>10355</v>
      </c>
    </row>
    <row r="491" spans="1:1" s="35" customFormat="1">
      <c r="A491" s="35" t="s">
        <v>10353</v>
      </c>
    </row>
    <row r="493" spans="1:1">
      <c r="A493" s="35" t="s">
        <v>10350</v>
      </c>
    </row>
    <row r="494" spans="1:1">
      <c r="A494" s="35" t="s">
        <v>10346</v>
      </c>
    </row>
    <row r="495" spans="1:1">
      <c r="A495" s="35" t="s">
        <v>10354</v>
      </c>
    </row>
    <row r="496" spans="1:1">
      <c r="A496" s="35" t="s">
        <v>10357</v>
      </c>
    </row>
    <row r="497" spans="1:1">
      <c r="A497" s="35" t="s">
        <v>10356</v>
      </c>
    </row>
  </sheetData>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workbookViewId="0">
      <selection activeCell="D1" sqref="D1"/>
    </sheetView>
  </sheetViews>
  <sheetFormatPr defaultRowHeight="12.75"/>
  <cols>
    <col min="1" max="1" width="9.140625" style="64" customWidth="1"/>
    <col min="2" max="2" width="86.42578125" style="35" customWidth="1"/>
    <col min="3" max="3" width="4.140625" style="35" customWidth="1"/>
    <col min="4" max="4" width="20.5703125" style="35" customWidth="1"/>
    <col min="5" max="7" width="20.5703125" style="35" hidden="1" customWidth="1"/>
    <col min="8" max="8" width="17.5703125" style="35" customWidth="1"/>
    <col min="9" max="15" width="9.140625" style="35" customWidth="1"/>
  </cols>
  <sheetData>
    <row r="1" spans="1:15">
      <c r="A1" s="380" t="s">
        <v>2864</v>
      </c>
      <c r="C1" s="755"/>
      <c r="D1" s="3054" t="str">
        <f>'Data Entry - SOF'!S1</f>
        <v>Release 10</v>
      </c>
      <c r="E1" s="754"/>
      <c r="F1" s="754"/>
      <c r="G1" s="754"/>
    </row>
    <row r="2" spans="1:15">
      <c r="A2" s="484" t="s">
        <v>9515</v>
      </c>
      <c r="D2" s="4642">
        <f>'Data Entry - SOF'!S2</f>
        <v>43724</v>
      </c>
      <c r="E2" s="72"/>
      <c r="F2" s="72"/>
      <c r="G2" s="72"/>
    </row>
    <row r="3" spans="1:15" ht="15.75">
      <c r="D3" s="325"/>
      <c r="E3" s="58"/>
      <c r="F3" s="58"/>
      <c r="G3" s="58"/>
    </row>
    <row r="4" spans="1:15" s="382" customFormat="1" ht="15.75">
      <c r="A4" s="381" t="s">
        <v>6979</v>
      </c>
      <c r="B4" s="325"/>
      <c r="C4" s="325"/>
      <c r="D4" s="325"/>
      <c r="E4" s="325"/>
      <c r="F4" s="325"/>
      <c r="G4" s="325"/>
      <c r="H4" s="325"/>
      <c r="I4" s="325"/>
      <c r="J4" s="325"/>
      <c r="K4" s="325"/>
      <c r="L4" s="325"/>
      <c r="M4" s="325"/>
      <c r="N4" s="325"/>
      <c r="O4" s="325"/>
    </row>
    <row r="5" spans="1:15" s="382" customFormat="1" ht="15.75">
      <c r="A5" s="383">
        <f>'Data Entry - SOF'!B1</f>
        <v>0</v>
      </c>
      <c r="B5" s="325"/>
      <c r="C5" s="325"/>
      <c r="D5" s="325"/>
      <c r="E5" s="325"/>
      <c r="F5" s="325"/>
      <c r="G5" s="325"/>
      <c r="H5" s="325"/>
      <c r="I5" s="325"/>
      <c r="J5" s="325"/>
      <c r="K5" s="325"/>
      <c r="L5" s="325"/>
      <c r="M5" s="325"/>
      <c r="N5" s="325"/>
      <c r="O5" s="325"/>
    </row>
    <row r="6" spans="1:15" s="382" customFormat="1" ht="15.75">
      <c r="A6" s="381">
        <f>'Data Entry - SOF'!B2</f>
        <v>0</v>
      </c>
      <c r="B6" s="325"/>
      <c r="C6" s="325"/>
      <c r="D6" s="325"/>
      <c r="E6" s="325"/>
      <c r="F6" s="325"/>
      <c r="G6" s="325"/>
      <c r="H6" s="325"/>
      <c r="I6" s="325"/>
      <c r="J6" s="325"/>
      <c r="K6" s="325"/>
      <c r="L6" s="325"/>
      <c r="M6" s="325"/>
      <c r="N6" s="325"/>
      <c r="O6" s="325"/>
    </row>
    <row r="7" spans="1:15" s="382" customFormat="1" ht="15.75">
      <c r="A7" s="381"/>
      <c r="B7" s="325"/>
      <c r="C7" s="325"/>
      <c r="D7" s="4639" t="s">
        <v>8765</v>
      </c>
      <c r="F7" s="325"/>
      <c r="G7" s="325"/>
      <c r="H7" s="325"/>
      <c r="I7" s="325"/>
      <c r="J7" s="325"/>
      <c r="K7" s="325"/>
      <c r="L7" s="325"/>
      <c r="M7" s="325"/>
      <c r="N7" s="325"/>
      <c r="O7" s="325"/>
    </row>
    <row r="8" spans="1:15" s="382" customFormat="1" ht="18">
      <c r="A8" s="564" t="s">
        <v>2707</v>
      </c>
      <c r="B8" s="1288"/>
      <c r="C8" s="1288"/>
      <c r="D8" s="532" t="s">
        <v>2715</v>
      </c>
      <c r="E8" s="3004"/>
      <c r="F8" s="1298"/>
      <c r="G8" s="1298"/>
      <c r="H8" s="325"/>
      <c r="I8" s="325"/>
      <c r="J8" s="325"/>
      <c r="K8" s="325"/>
      <c r="L8" s="325"/>
      <c r="M8" s="325"/>
      <c r="N8" s="325"/>
      <c r="O8" s="325"/>
    </row>
    <row r="9" spans="1:15" s="382" customFormat="1" ht="18">
      <c r="A9" s="1372" t="s">
        <v>2708</v>
      </c>
      <c r="B9" s="1387"/>
      <c r="C9" s="1387"/>
      <c r="D9" s="533" t="s">
        <v>2716</v>
      </c>
      <c r="E9" s="3005" t="s">
        <v>8765</v>
      </c>
      <c r="F9" s="1298"/>
      <c r="G9" s="1298"/>
      <c r="H9" s="325"/>
      <c r="I9" s="325"/>
      <c r="J9" s="325"/>
      <c r="K9" s="325"/>
      <c r="L9" s="325"/>
      <c r="M9" s="325"/>
      <c r="N9" s="325"/>
      <c r="O9" s="325"/>
    </row>
    <row r="10" spans="1:15" s="382" customFormat="1" ht="15.75">
      <c r="A10" s="385" t="s">
        <v>2186</v>
      </c>
      <c r="B10" s="386" t="s">
        <v>2709</v>
      </c>
      <c r="C10" s="386"/>
      <c r="D10" s="3082">
        <f>'Data Entry - SOF'!Q19</f>
        <v>0</v>
      </c>
      <c r="E10" s="2997">
        <f>D10</f>
        <v>0</v>
      </c>
      <c r="F10" s="2988"/>
      <c r="G10" s="2988"/>
      <c r="H10" s="325"/>
      <c r="I10" s="325"/>
      <c r="J10" s="325"/>
      <c r="K10" s="325"/>
      <c r="L10" s="325"/>
      <c r="M10" s="325"/>
      <c r="N10" s="325"/>
      <c r="O10" s="325"/>
    </row>
    <row r="11" spans="1:15" s="382" customFormat="1" ht="15.75">
      <c r="A11" s="385" t="s">
        <v>2187</v>
      </c>
      <c r="B11" s="718" t="s">
        <v>3353</v>
      </c>
      <c r="C11" s="386"/>
      <c r="D11" s="3082">
        <f>'Calc Data'!I12</f>
        <v>0</v>
      </c>
      <c r="E11" s="2997">
        <f t="shared" ref="E11:E13" si="0">D11</f>
        <v>0</v>
      </c>
      <c r="F11" s="2988"/>
      <c r="G11" s="2988"/>
      <c r="H11" s="325"/>
      <c r="I11" s="325"/>
      <c r="J11" s="325"/>
      <c r="K11" s="325"/>
      <c r="L11" s="325"/>
      <c r="M11" s="325"/>
      <c r="N11" s="325"/>
      <c r="O11" s="325"/>
    </row>
    <row r="12" spans="1:15" s="382" customFormat="1" ht="15.75">
      <c r="A12" s="385" t="s">
        <v>2188</v>
      </c>
      <c r="B12" s="719" t="s">
        <v>3355</v>
      </c>
      <c r="C12" s="386"/>
      <c r="D12" s="3082">
        <f>'Calc Data'!I8</f>
        <v>0</v>
      </c>
      <c r="E12" s="2997">
        <f t="shared" si="0"/>
        <v>0</v>
      </c>
      <c r="F12" s="2988"/>
      <c r="G12" s="2988"/>
      <c r="H12" s="325"/>
      <c r="I12" s="325"/>
      <c r="J12" s="325"/>
      <c r="K12" s="325"/>
      <c r="L12" s="325"/>
      <c r="M12" s="325"/>
      <c r="N12" s="325"/>
      <c r="O12" s="325"/>
    </row>
    <row r="13" spans="1:15" s="382" customFormat="1" ht="15.75">
      <c r="A13" s="385" t="s">
        <v>909</v>
      </c>
      <c r="B13" s="386" t="s">
        <v>824</v>
      </c>
      <c r="C13" s="386"/>
      <c r="D13" s="3082">
        <f>'Data Entry - SOF'!Q36</f>
        <v>0</v>
      </c>
      <c r="E13" s="2997">
        <f t="shared" si="0"/>
        <v>0</v>
      </c>
      <c r="F13" s="2988"/>
      <c r="G13" s="2988"/>
      <c r="H13" s="325"/>
      <c r="I13" s="325"/>
      <c r="J13" s="325"/>
      <c r="K13" s="325"/>
      <c r="L13" s="325"/>
      <c r="M13" s="325"/>
      <c r="N13" s="325"/>
      <c r="O13" s="325"/>
    </row>
    <row r="14" spans="1:15" s="382" customFormat="1" ht="15.75">
      <c r="A14" s="385" t="s">
        <v>910</v>
      </c>
      <c r="B14" s="719" t="s">
        <v>3356</v>
      </c>
      <c r="C14" s="386"/>
      <c r="D14" s="3082" t="e">
        <f>'SOF2223-HB3'!L66</f>
        <v>#DIV/0!</v>
      </c>
      <c r="E14" s="2997" t="e">
        <f>'SOF2223-HB3'!L66</f>
        <v>#DIV/0!</v>
      </c>
      <c r="F14" s="2988"/>
      <c r="G14" s="2988"/>
      <c r="H14" s="325"/>
      <c r="I14" s="325"/>
      <c r="J14" s="325"/>
      <c r="K14" s="325"/>
      <c r="L14" s="325"/>
      <c r="M14" s="325"/>
      <c r="N14" s="325"/>
      <c r="O14" s="325"/>
    </row>
    <row r="15" spans="1:15" s="382" customFormat="1" ht="18">
      <c r="A15" s="1372" t="s">
        <v>2720</v>
      </c>
      <c r="B15" s="1387"/>
      <c r="C15" s="1387"/>
      <c r="D15" s="3051"/>
      <c r="E15" s="3003"/>
      <c r="F15" s="1377"/>
      <c r="G15" s="1377"/>
      <c r="H15" s="325"/>
      <c r="I15" s="325"/>
      <c r="J15" s="325"/>
      <c r="K15" s="325"/>
      <c r="L15" s="325"/>
      <c r="M15" s="325"/>
      <c r="N15" s="325"/>
      <c r="O15" s="325"/>
    </row>
    <row r="16" spans="1:15" s="382" customFormat="1" ht="15.75">
      <c r="A16" s="385" t="s">
        <v>912</v>
      </c>
      <c r="B16" s="386" t="s">
        <v>10167</v>
      </c>
      <c r="C16" s="386"/>
      <c r="D16" s="3083">
        <f>'Data Entry - SOF'!E83</f>
        <v>0</v>
      </c>
      <c r="E16" s="2998">
        <f>D16</f>
        <v>0</v>
      </c>
      <c r="F16" s="601"/>
      <c r="G16" s="601"/>
      <c r="H16" s="325"/>
      <c r="I16" s="325"/>
      <c r="J16" s="325"/>
      <c r="K16" s="325"/>
      <c r="L16" s="325"/>
      <c r="M16" s="325"/>
      <c r="N16" s="325"/>
      <c r="O16" s="325"/>
    </row>
    <row r="17" spans="1:15" s="382" customFormat="1" ht="15.75">
      <c r="A17" s="385" t="s">
        <v>913</v>
      </c>
      <c r="B17" s="386" t="s">
        <v>10228</v>
      </c>
      <c r="C17" s="4677"/>
      <c r="D17" s="3083">
        <f>'Data Entry - SOF'!Q73</f>
        <v>0</v>
      </c>
      <c r="E17" s="4686"/>
      <c r="F17" s="601"/>
      <c r="G17" s="601"/>
      <c r="H17" s="325"/>
      <c r="I17" s="325"/>
      <c r="J17" s="325"/>
      <c r="K17" s="325"/>
      <c r="L17" s="325"/>
      <c r="M17" s="325"/>
      <c r="N17" s="325"/>
      <c r="O17" s="325"/>
    </row>
    <row r="18" spans="1:15" s="382" customFormat="1" ht="18">
      <c r="A18" s="1372" t="s">
        <v>2721</v>
      </c>
      <c r="B18" s="1387"/>
      <c r="C18" s="1387"/>
      <c r="D18" s="3051"/>
      <c r="E18" s="3003"/>
      <c r="F18" s="1377"/>
      <c r="G18" s="1377"/>
      <c r="H18" s="325"/>
      <c r="I18" s="325"/>
      <c r="J18" s="325"/>
      <c r="K18" s="325"/>
      <c r="L18" s="325"/>
      <c r="M18" s="325"/>
      <c r="N18" s="325"/>
      <c r="O18" s="325"/>
    </row>
    <row r="19" spans="1:15" s="382" customFormat="1" ht="15.75">
      <c r="A19" s="385" t="s">
        <v>914</v>
      </c>
      <c r="B19" s="386" t="s">
        <v>10168</v>
      </c>
      <c r="C19" s="384"/>
      <c r="D19" s="4644" t="e">
        <f>'Data Entry - SOF'!Q155</f>
        <v>#DIV/0!</v>
      </c>
      <c r="E19" s="2999"/>
      <c r="F19" s="2989"/>
      <c r="G19" s="2989"/>
      <c r="H19" s="325"/>
      <c r="I19" s="325"/>
      <c r="J19" s="325"/>
      <c r="K19" s="325"/>
      <c r="L19" s="325"/>
      <c r="M19" s="325"/>
      <c r="N19" s="325"/>
      <c r="O19" s="325"/>
    </row>
    <row r="20" spans="1:15" s="382" customFormat="1" ht="15.75">
      <c r="A20" s="385" t="s">
        <v>118</v>
      </c>
      <c r="B20" s="386" t="s">
        <v>3998</v>
      </c>
      <c r="C20" s="384"/>
      <c r="D20" s="4732">
        <f>'Data Entry - SOF'!E92</f>
        <v>1.17</v>
      </c>
      <c r="E20" s="2999">
        <f>'Data Entry - SOF'!Q92</f>
        <v>1.17</v>
      </c>
      <c r="F20" s="2989"/>
      <c r="G20" s="2989"/>
      <c r="H20" s="325"/>
      <c r="I20" s="325"/>
      <c r="J20" s="325"/>
      <c r="K20" s="325"/>
      <c r="L20" s="325"/>
      <c r="M20" s="325"/>
      <c r="N20" s="325"/>
      <c r="O20" s="325"/>
    </row>
    <row r="21" spans="1:15" s="382" customFormat="1" ht="15.75">
      <c r="A21" s="385" t="s">
        <v>119</v>
      </c>
      <c r="B21" s="386" t="s">
        <v>6981</v>
      </c>
      <c r="C21" s="4648"/>
      <c r="D21" s="4732">
        <f>'Data Entry - SOF'!Q95</f>
        <v>0</v>
      </c>
      <c r="E21" s="4688"/>
      <c r="F21" s="2989"/>
      <c r="G21" s="2989"/>
      <c r="H21" s="325"/>
      <c r="I21" s="325"/>
      <c r="J21" s="325"/>
      <c r="K21" s="325"/>
      <c r="L21" s="325"/>
      <c r="M21" s="325"/>
      <c r="N21" s="325"/>
      <c r="O21" s="325"/>
    </row>
    <row r="22" spans="1:15" s="382" customFormat="1" ht="15.75">
      <c r="A22" s="385" t="s">
        <v>120</v>
      </c>
      <c r="B22" s="386" t="s">
        <v>10236</v>
      </c>
      <c r="C22" s="4648"/>
      <c r="D22" s="4731" t="e">
        <f>'Data Entry - SOF'!Q155</f>
        <v>#DIV/0!</v>
      </c>
      <c r="E22" s="4688"/>
      <c r="F22" s="2989"/>
      <c r="G22" s="2989"/>
      <c r="H22" s="325"/>
      <c r="I22" s="325"/>
      <c r="J22" s="325"/>
      <c r="K22" s="325"/>
      <c r="L22" s="325"/>
      <c r="M22" s="325"/>
      <c r="N22" s="325"/>
      <c r="O22" s="325"/>
    </row>
    <row r="23" spans="1:15" s="382" customFormat="1" ht="15.75">
      <c r="A23" s="385" t="s">
        <v>121</v>
      </c>
      <c r="B23" s="386" t="s">
        <v>10237</v>
      </c>
      <c r="C23" s="4648"/>
      <c r="D23" s="4731" t="e">
        <f>'HB3-RollbackRates'!N3</f>
        <v>#DIV/0!</v>
      </c>
      <c r="E23" s="4688"/>
      <c r="F23" s="2989"/>
      <c r="G23" s="2989"/>
      <c r="H23" s="325"/>
      <c r="I23" s="325"/>
      <c r="J23" s="325"/>
      <c r="K23" s="325"/>
      <c r="L23" s="325"/>
      <c r="M23" s="325"/>
      <c r="N23" s="325"/>
      <c r="O23" s="325"/>
    </row>
    <row r="24" spans="1:15" s="382" customFormat="1" ht="15.75">
      <c r="A24" s="385" t="s">
        <v>1513</v>
      </c>
      <c r="B24" s="719" t="s">
        <v>10238</v>
      </c>
      <c r="C24" s="386"/>
      <c r="D24" s="2932">
        <f>'Data Entry - SOF'!Q96</f>
        <v>0</v>
      </c>
      <c r="E24" s="3000">
        <f>'Data Entry - SOF'!Q93</f>
        <v>0</v>
      </c>
      <c r="F24" s="717"/>
      <c r="G24" s="717"/>
      <c r="H24" s="325"/>
      <c r="I24" s="325"/>
      <c r="J24" s="325"/>
      <c r="K24" s="325"/>
      <c r="L24" s="325"/>
      <c r="M24" s="325"/>
      <c r="N24" s="325"/>
      <c r="O24" s="325"/>
    </row>
    <row r="25" spans="1:15" s="382" customFormat="1" ht="15.75">
      <c r="A25" s="385" t="s">
        <v>6</v>
      </c>
      <c r="B25" s="386" t="s">
        <v>10239</v>
      </c>
      <c r="C25" s="4677"/>
      <c r="D25" s="4731">
        <f>'Data Entry - SOF'!Q100</f>
        <v>0</v>
      </c>
      <c r="E25" s="4678"/>
      <c r="F25" s="717"/>
      <c r="G25" s="717"/>
      <c r="H25" s="325"/>
      <c r="I25" s="325"/>
      <c r="J25" s="325"/>
      <c r="K25" s="325"/>
      <c r="L25" s="325"/>
      <c r="M25" s="325"/>
      <c r="N25" s="325"/>
      <c r="O25" s="325"/>
    </row>
    <row r="26" spans="1:15" s="382" customFormat="1" ht="15.75">
      <c r="A26" s="385" t="s">
        <v>2232</v>
      </c>
      <c r="B26" s="386" t="s">
        <v>6982</v>
      </c>
      <c r="C26" s="386"/>
      <c r="D26" s="2932">
        <f>'Data Entry - SOF'!Q101</f>
        <v>0</v>
      </c>
      <c r="E26" s="3000">
        <f>D26</f>
        <v>0</v>
      </c>
      <c r="F26" s="717"/>
      <c r="G26" s="717"/>
      <c r="H26" s="325"/>
      <c r="I26" s="325"/>
      <c r="J26" s="325"/>
      <c r="K26" s="325"/>
      <c r="L26" s="325"/>
      <c r="M26" s="325"/>
      <c r="N26" s="325"/>
      <c r="O26" s="325"/>
    </row>
    <row r="27" spans="1:15" s="382" customFormat="1" ht="15.75">
      <c r="A27" s="385" t="s">
        <v>2233</v>
      </c>
      <c r="B27" s="386" t="s">
        <v>6983</v>
      </c>
      <c r="C27" s="386"/>
      <c r="D27" s="2932">
        <f>D24+D26</f>
        <v>0</v>
      </c>
      <c r="E27" s="3000"/>
      <c r="F27" s="717"/>
      <c r="G27" s="717"/>
      <c r="H27" s="325"/>
      <c r="I27" s="325"/>
      <c r="J27" s="325"/>
      <c r="K27" s="325"/>
      <c r="L27" s="325"/>
      <c r="M27" s="325"/>
      <c r="N27" s="325"/>
      <c r="O27" s="325"/>
    </row>
    <row r="28" spans="1:15" s="382" customFormat="1" ht="15.75">
      <c r="A28" s="385" t="s">
        <v>2722</v>
      </c>
      <c r="B28" s="386" t="s">
        <v>6984</v>
      </c>
      <c r="C28" s="386"/>
      <c r="D28" s="2932">
        <f>'Data Entry - SOF'!Q112</f>
        <v>0</v>
      </c>
      <c r="E28" s="3000"/>
      <c r="F28" s="717"/>
      <c r="G28" s="717"/>
      <c r="H28" s="325"/>
      <c r="I28" s="325"/>
      <c r="J28" s="325"/>
      <c r="K28" s="325"/>
      <c r="L28" s="325"/>
      <c r="M28" s="325"/>
      <c r="N28" s="325"/>
      <c r="O28" s="325"/>
    </row>
    <row r="29" spans="1:15" s="382" customFormat="1" ht="18">
      <c r="A29" s="1372" t="s">
        <v>2730</v>
      </c>
      <c r="B29" s="1387"/>
      <c r="C29" s="1387"/>
      <c r="D29" s="3051"/>
      <c r="E29" s="3003"/>
      <c r="F29" s="1377"/>
      <c r="G29" s="1377"/>
      <c r="H29" s="325"/>
      <c r="I29" s="325"/>
      <c r="J29" s="325"/>
      <c r="K29" s="325"/>
      <c r="L29" s="325"/>
      <c r="M29" s="325"/>
      <c r="N29" s="325"/>
      <c r="O29" s="325"/>
    </row>
    <row r="30" spans="1:15" s="382" customFormat="1" ht="15.75">
      <c r="A30" s="385" t="s">
        <v>2723</v>
      </c>
      <c r="B30" s="719" t="s">
        <v>10174</v>
      </c>
      <c r="C30" s="404"/>
      <c r="D30" s="772" t="e">
        <f>Assumptions!H145</f>
        <v>#DIV/0!</v>
      </c>
      <c r="E30" s="3000"/>
      <c r="F30" s="717"/>
      <c r="G30" s="717"/>
      <c r="H30" s="325"/>
      <c r="I30" s="325"/>
      <c r="J30" s="325"/>
      <c r="K30" s="325"/>
      <c r="L30" s="325"/>
      <c r="M30" s="325"/>
      <c r="N30" s="325"/>
      <c r="O30" s="325"/>
    </row>
    <row r="31" spans="1:15" s="382" customFormat="1" ht="15.75">
      <c r="A31" s="385" t="s">
        <v>2726</v>
      </c>
      <c r="B31" s="4691" t="s">
        <v>10175</v>
      </c>
      <c r="C31" s="4690"/>
      <c r="D31" s="4733">
        <f>'Data Entry - SOF'!O19</f>
        <v>0</v>
      </c>
      <c r="E31" s="4678"/>
      <c r="F31" s="717"/>
      <c r="G31" s="717"/>
      <c r="H31" s="325"/>
      <c r="I31" s="325"/>
      <c r="J31" s="325"/>
      <c r="K31" s="325"/>
      <c r="L31" s="325"/>
      <c r="M31" s="325"/>
      <c r="N31" s="325"/>
      <c r="O31" s="325"/>
    </row>
    <row r="32" spans="1:15" s="382" customFormat="1" ht="15.75">
      <c r="A32" s="385" t="s">
        <v>2727</v>
      </c>
      <c r="B32" s="386" t="s">
        <v>2738</v>
      </c>
      <c r="C32" s="386"/>
      <c r="D32" s="3084">
        <f>Assumptions!H150</f>
        <v>400</v>
      </c>
      <c r="E32" s="3001">
        <f>D32</f>
        <v>400</v>
      </c>
      <c r="F32" s="2990"/>
      <c r="G32" s="2990"/>
      <c r="H32" s="325"/>
      <c r="I32" s="325"/>
      <c r="J32" s="325"/>
      <c r="K32" s="325"/>
      <c r="L32" s="325"/>
      <c r="M32" s="325"/>
      <c r="N32" s="325"/>
      <c r="O32" s="325"/>
    </row>
    <row r="33" spans="1:15" s="382" customFormat="1" ht="18">
      <c r="A33" s="1388" t="s">
        <v>2759</v>
      </c>
      <c r="B33" s="1387"/>
      <c r="C33" s="1387"/>
      <c r="D33" s="3051"/>
      <c r="E33" s="3003"/>
      <c r="F33" s="1377"/>
      <c r="G33" s="1377"/>
      <c r="H33" s="325"/>
      <c r="I33" s="325"/>
      <c r="J33" s="325"/>
      <c r="K33" s="325"/>
      <c r="L33" s="325"/>
      <c r="M33" s="325"/>
      <c r="N33" s="325"/>
      <c r="O33" s="325"/>
    </row>
    <row r="34" spans="1:15" s="382" customFormat="1" ht="18">
      <c r="A34" s="1388" t="s">
        <v>10176</v>
      </c>
      <c r="B34" s="1388"/>
      <c r="C34" s="1387"/>
      <c r="D34" s="3051"/>
      <c r="E34" s="3003"/>
      <c r="F34" s="1377"/>
      <c r="G34" s="1377"/>
      <c r="H34" s="325"/>
      <c r="I34" s="325"/>
      <c r="J34" s="325"/>
      <c r="K34" s="325"/>
      <c r="L34" s="325"/>
      <c r="M34" s="325"/>
      <c r="N34" s="325"/>
      <c r="O34" s="325"/>
    </row>
    <row r="35" spans="1:15" s="382" customFormat="1" ht="15.75">
      <c r="A35" s="385" t="s">
        <v>2728</v>
      </c>
      <c r="B35" s="386" t="s">
        <v>10177</v>
      </c>
      <c r="C35" s="386"/>
      <c r="D35" s="2932" t="e">
        <f>'SOF2223-HB3'!I20</f>
        <v>#DIV/0!</v>
      </c>
      <c r="E35" s="3000" t="e">
        <f>'SOF2223-HB3'!I20</f>
        <v>#DIV/0!</v>
      </c>
      <c r="F35" s="717"/>
      <c r="G35" s="717"/>
      <c r="H35" s="325"/>
      <c r="I35" s="325"/>
      <c r="J35" s="325"/>
      <c r="K35" s="325"/>
      <c r="L35" s="325"/>
      <c r="M35" s="325"/>
      <c r="N35" s="325"/>
      <c r="O35" s="325"/>
    </row>
    <row r="36" spans="1:15" s="382" customFormat="1" ht="15.75">
      <c r="A36" s="385" t="s">
        <v>2729</v>
      </c>
      <c r="B36" s="4677" t="s">
        <v>10178</v>
      </c>
      <c r="C36" s="4677"/>
      <c r="D36" s="4689">
        <f>'SOF2223-HB3'!I21</f>
        <v>0</v>
      </c>
      <c r="E36" s="4678"/>
      <c r="F36" s="717"/>
      <c r="G36" s="717"/>
      <c r="H36" s="325"/>
      <c r="I36" s="325"/>
      <c r="J36" s="325"/>
      <c r="K36" s="325"/>
      <c r="L36" s="325"/>
      <c r="M36" s="325"/>
      <c r="N36" s="325"/>
      <c r="O36" s="325"/>
    </row>
    <row r="37" spans="1:15" s="382" customFormat="1" ht="15.75">
      <c r="A37" s="385" t="s">
        <v>2731</v>
      </c>
      <c r="B37" s="386" t="s">
        <v>10179</v>
      </c>
      <c r="C37" s="386"/>
      <c r="D37" s="2932" t="e">
        <f>SUM('SOF2223-HB3'!I22:I28)</f>
        <v>#DIV/0!</v>
      </c>
      <c r="E37" s="3000">
        <f>'SOF2223-HB3'!I169</f>
        <v>0</v>
      </c>
      <c r="F37" s="717"/>
      <c r="G37" s="717"/>
      <c r="H37" s="325"/>
      <c r="I37" s="325"/>
      <c r="J37" s="325"/>
      <c r="K37" s="325"/>
      <c r="L37" s="325"/>
      <c r="M37" s="325"/>
      <c r="N37" s="325"/>
      <c r="O37" s="325"/>
    </row>
    <row r="38" spans="1:15" s="382" customFormat="1" ht="15.75">
      <c r="A38" s="385" t="s">
        <v>2732</v>
      </c>
      <c r="B38" s="4677" t="s">
        <v>10180</v>
      </c>
      <c r="C38" s="4677"/>
      <c r="D38" s="4689" t="e">
        <f>'SOF2223-HB3'!I49</f>
        <v>#DIV/0!</v>
      </c>
      <c r="E38" s="4678"/>
      <c r="F38" s="717"/>
      <c r="G38" s="717"/>
      <c r="H38" s="325"/>
      <c r="I38" s="325"/>
      <c r="J38" s="325"/>
      <c r="K38" s="325"/>
      <c r="L38" s="325"/>
      <c r="M38" s="325"/>
      <c r="N38" s="325"/>
      <c r="O38" s="325"/>
    </row>
    <row r="39" spans="1:15" s="382" customFormat="1" ht="15.75">
      <c r="A39" s="385" t="s">
        <v>2733</v>
      </c>
      <c r="B39" s="386" t="s">
        <v>10181</v>
      </c>
      <c r="C39" s="386"/>
      <c r="D39" s="2932" t="e">
        <f>SUM('SOF2223-HB3'!I36:I43)</f>
        <v>#DIV/0!</v>
      </c>
      <c r="E39" s="3000" t="e">
        <f>'SOF2223-HB3'!I172</f>
        <v>#DIV/0!</v>
      </c>
      <c r="F39" s="717"/>
      <c r="G39" s="717"/>
      <c r="H39" s="325"/>
      <c r="I39" s="325"/>
      <c r="J39" s="325"/>
      <c r="K39" s="325"/>
      <c r="L39" s="325"/>
      <c r="M39" s="325"/>
      <c r="N39" s="325"/>
      <c r="O39" s="325"/>
    </row>
    <row r="40" spans="1:15" s="382" customFormat="1" ht="15.75">
      <c r="A40" s="385" t="s">
        <v>2734</v>
      </c>
      <c r="B40" s="386" t="s">
        <v>10182</v>
      </c>
      <c r="C40" s="386"/>
      <c r="D40" s="2932" t="e">
        <f>SUM('SOF2223-HB3'!I46:I48)</f>
        <v>#DIV/0!</v>
      </c>
      <c r="E40" s="3000">
        <f>'SOF2223-HB3'!I175</f>
        <v>0</v>
      </c>
      <c r="F40" s="717"/>
      <c r="G40" s="717"/>
      <c r="H40" s="325"/>
      <c r="I40" s="325"/>
      <c r="J40" s="325"/>
      <c r="K40" s="325"/>
      <c r="L40" s="325"/>
      <c r="M40" s="325"/>
      <c r="N40" s="325"/>
      <c r="O40" s="325"/>
    </row>
    <row r="41" spans="1:15" s="382" customFormat="1" ht="15.75">
      <c r="A41" s="385" t="s">
        <v>2735</v>
      </c>
      <c r="B41" s="386" t="s">
        <v>10183</v>
      </c>
      <c r="C41" s="386"/>
      <c r="D41" s="2932" t="e">
        <f>'SOF2223-HB3'!I29+'SOF2223-HB3'!I30</f>
        <v>#DIV/0!</v>
      </c>
      <c r="E41" s="3000" t="e">
        <f>'SOF2223-HB3'!I170</f>
        <v>#DIV/0!</v>
      </c>
      <c r="F41" s="717"/>
      <c r="G41" s="717"/>
      <c r="H41" s="325"/>
      <c r="I41" s="325"/>
      <c r="J41" s="325"/>
      <c r="K41" s="325"/>
      <c r="L41" s="325"/>
      <c r="M41" s="325"/>
      <c r="N41" s="325"/>
      <c r="O41" s="325"/>
    </row>
    <row r="42" spans="1:15" s="382" customFormat="1" ht="15.75">
      <c r="A42" s="385" t="s">
        <v>2740</v>
      </c>
      <c r="B42" s="386" t="s">
        <v>10184</v>
      </c>
      <c r="C42" s="386"/>
      <c r="D42" s="2932" t="e">
        <f>'SOF2223-HB3'!I53</f>
        <v>#DIV/0!</v>
      </c>
      <c r="E42" s="3000" t="e">
        <f>'SOF2223-HB3'!I53</f>
        <v>#DIV/0!</v>
      </c>
      <c r="F42" s="717"/>
      <c r="G42" s="717"/>
      <c r="H42" s="325"/>
      <c r="I42" s="325"/>
      <c r="J42" s="325"/>
      <c r="K42" s="325"/>
      <c r="L42" s="325"/>
      <c r="M42" s="325"/>
      <c r="N42" s="325"/>
      <c r="O42" s="325"/>
    </row>
    <row r="43" spans="1:15" s="382" customFormat="1" ht="15.75">
      <c r="A43" s="385" t="s">
        <v>2741</v>
      </c>
      <c r="B43" s="4677" t="s">
        <v>10185</v>
      </c>
      <c r="C43" s="4677"/>
      <c r="D43" s="4689" t="e">
        <f>'SOF2223-HB3'!I50</f>
        <v>#DIV/0!</v>
      </c>
      <c r="E43" s="4678"/>
      <c r="F43" s="717"/>
      <c r="G43" s="717"/>
      <c r="H43" s="325"/>
      <c r="I43" s="325"/>
      <c r="J43" s="325"/>
      <c r="K43" s="325"/>
      <c r="L43" s="325"/>
      <c r="M43" s="325"/>
      <c r="N43" s="325"/>
      <c r="O43" s="325"/>
    </row>
    <row r="44" spans="1:15" s="382" customFormat="1" ht="15.75">
      <c r="A44" s="385" t="s">
        <v>2742</v>
      </c>
      <c r="B44" s="4692" t="s">
        <v>10186</v>
      </c>
      <c r="C44" s="4677"/>
      <c r="D44" s="3263">
        <f>'SOF2223-HB3'!I51</f>
        <v>0</v>
      </c>
      <c r="E44" s="4678"/>
      <c r="F44" s="717"/>
      <c r="G44" s="717"/>
      <c r="H44" s="325"/>
      <c r="I44" s="325"/>
      <c r="J44" s="325"/>
      <c r="K44" s="325"/>
      <c r="L44" s="325"/>
      <c r="M44" s="325"/>
      <c r="N44" s="325"/>
      <c r="O44" s="325"/>
    </row>
    <row r="45" spans="1:15" s="382" customFormat="1" ht="15.75">
      <c r="A45" s="385" t="s">
        <v>2743</v>
      </c>
      <c r="B45" s="4693" t="s">
        <v>10187</v>
      </c>
      <c r="C45" s="3262"/>
      <c r="D45" s="3263">
        <f>'SOF2223-HB3'!I54</f>
        <v>0</v>
      </c>
      <c r="E45" s="3264"/>
      <c r="F45" s="717"/>
      <c r="G45" s="717"/>
      <c r="H45" s="325"/>
      <c r="I45" s="325"/>
      <c r="J45" s="325"/>
      <c r="K45" s="325"/>
      <c r="L45" s="325"/>
      <c r="M45" s="325"/>
      <c r="N45" s="325"/>
      <c r="O45" s="325"/>
    </row>
    <row r="46" spans="1:15" s="382" customFormat="1" ht="15.75">
      <c r="A46" s="385" t="s">
        <v>2744</v>
      </c>
      <c r="B46" s="4693" t="s">
        <v>10188</v>
      </c>
      <c r="C46" s="3262"/>
      <c r="D46" s="3263">
        <f>'SOF2223-HB3'!I55</f>
        <v>0</v>
      </c>
      <c r="E46" s="3264"/>
      <c r="F46" s="717"/>
      <c r="G46" s="717"/>
      <c r="H46" s="325"/>
      <c r="I46" s="325"/>
      <c r="J46" s="325"/>
      <c r="K46" s="325"/>
      <c r="L46" s="325"/>
      <c r="M46" s="325"/>
      <c r="N46" s="325"/>
      <c r="O46" s="325"/>
    </row>
    <row r="47" spans="1:15" s="382" customFormat="1" ht="15.75">
      <c r="A47" s="385" t="s">
        <v>2745</v>
      </c>
      <c r="B47" s="4694" t="s">
        <v>10189</v>
      </c>
      <c r="C47" s="3262"/>
      <c r="D47" s="3263">
        <f>'SOF2223-HB3'!I56</f>
        <v>0</v>
      </c>
      <c r="E47" s="3264"/>
      <c r="F47" s="717"/>
      <c r="G47" s="717"/>
      <c r="H47" s="325"/>
      <c r="I47" s="325"/>
      <c r="J47" s="325"/>
      <c r="K47" s="325"/>
      <c r="L47" s="325"/>
      <c r="M47" s="325"/>
      <c r="N47" s="325"/>
      <c r="O47" s="325"/>
    </row>
    <row r="48" spans="1:15" s="382" customFormat="1" ht="15.75">
      <c r="A48" s="385" t="s">
        <v>2746</v>
      </c>
      <c r="B48" s="4693" t="s">
        <v>10190</v>
      </c>
      <c r="C48" s="3262"/>
      <c r="D48" s="3263">
        <f>'SOF2223-HB3'!I57</f>
        <v>0</v>
      </c>
      <c r="E48" s="3264"/>
      <c r="F48" s="717"/>
      <c r="G48" s="717"/>
      <c r="H48" s="325"/>
      <c r="I48" s="325"/>
      <c r="J48" s="325"/>
      <c r="K48" s="325"/>
      <c r="L48" s="325"/>
      <c r="M48" s="325"/>
      <c r="N48" s="325"/>
      <c r="O48" s="325"/>
    </row>
    <row r="49" spans="1:15" s="382" customFormat="1" ht="18">
      <c r="A49" s="1388" t="s">
        <v>10191</v>
      </c>
      <c r="B49" s="1388"/>
      <c r="C49" s="1387"/>
      <c r="D49" s="3051"/>
      <c r="E49" s="3003"/>
      <c r="F49" s="1377"/>
      <c r="G49" s="1377"/>
      <c r="H49" s="325"/>
      <c r="I49" s="325"/>
      <c r="J49" s="325"/>
      <c r="K49" s="325"/>
      <c r="L49" s="325"/>
      <c r="M49" s="325"/>
      <c r="N49" s="325"/>
      <c r="O49" s="325"/>
    </row>
    <row r="50" spans="1:15" s="382" customFormat="1" ht="15.75">
      <c r="A50" s="385" t="s">
        <v>2747</v>
      </c>
      <c r="B50" s="386" t="s">
        <v>10192</v>
      </c>
      <c r="C50" s="386"/>
      <c r="D50" s="2932">
        <f>'SOF2223-HB3'!I60</f>
        <v>0</v>
      </c>
      <c r="E50" s="3000">
        <f>'SOF2223-HB3'!I60</f>
        <v>0</v>
      </c>
      <c r="F50" s="717"/>
      <c r="G50" s="717"/>
      <c r="H50" s="325"/>
      <c r="I50" s="325"/>
      <c r="J50" s="325"/>
      <c r="K50" s="325"/>
      <c r="L50" s="325"/>
      <c r="M50" s="325"/>
      <c r="N50" s="325"/>
      <c r="O50" s="325"/>
    </row>
    <row r="51" spans="1:15" s="382" customFormat="1" ht="15.75">
      <c r="A51" s="385" t="s">
        <v>2748</v>
      </c>
      <c r="B51" s="386" t="s">
        <v>10193</v>
      </c>
      <c r="C51" s="386"/>
      <c r="D51" s="2932">
        <f>'SOF2223-HB3'!I59</f>
        <v>0</v>
      </c>
      <c r="E51" s="3000">
        <f>'SOF2223-HB3'!I59</f>
        <v>0</v>
      </c>
      <c r="F51" s="717"/>
      <c r="G51" s="717"/>
      <c r="H51" s="325"/>
      <c r="I51" s="325"/>
      <c r="J51" s="325"/>
      <c r="K51" s="325"/>
      <c r="L51" s="325"/>
      <c r="M51" s="325"/>
      <c r="N51" s="325"/>
      <c r="O51" s="325"/>
    </row>
    <row r="52" spans="1:15" s="382" customFormat="1" ht="15.75">
      <c r="A52" s="385" t="s">
        <v>2749</v>
      </c>
      <c r="B52" s="4677" t="s">
        <v>10194</v>
      </c>
      <c r="C52" s="4677"/>
      <c r="D52" s="4689">
        <f>'SOF2223-HB3'!I63</f>
        <v>0</v>
      </c>
      <c r="E52" s="4678"/>
      <c r="F52" s="717"/>
      <c r="G52" s="717"/>
      <c r="H52" s="325"/>
      <c r="I52" s="325"/>
      <c r="J52" s="325"/>
      <c r="K52" s="325"/>
      <c r="L52" s="325"/>
      <c r="M52" s="325"/>
      <c r="N52" s="325"/>
      <c r="O52" s="325"/>
    </row>
    <row r="53" spans="1:15" ht="15">
      <c r="A53" s="385" t="s">
        <v>2750</v>
      </c>
      <c r="B53" s="4677" t="s">
        <v>10195</v>
      </c>
      <c r="C53" s="4677"/>
      <c r="D53" s="4689">
        <f>'SOF2223-HB3'!I58</f>
        <v>0</v>
      </c>
    </row>
    <row r="54" spans="1:15" ht="15">
      <c r="A54" s="385" t="s">
        <v>2751</v>
      </c>
      <c r="B54" s="4677" t="s">
        <v>10339</v>
      </c>
      <c r="C54" s="4677"/>
      <c r="D54" s="4689">
        <f>'SOF2223-HB3'!I64</f>
        <v>0</v>
      </c>
    </row>
    <row r="55" spans="1:15" ht="15">
      <c r="A55" s="385" t="s">
        <v>2752</v>
      </c>
      <c r="B55" s="4677" t="s">
        <v>10197</v>
      </c>
      <c r="C55" s="4677"/>
      <c r="D55" s="4689">
        <f>'SOF2223-HB3'!I65</f>
        <v>0</v>
      </c>
    </row>
    <row r="56" spans="1:15" ht="15">
      <c r="A56" s="385" t="s">
        <v>2753</v>
      </c>
      <c r="B56" s="4677" t="s">
        <v>10198</v>
      </c>
      <c r="C56" s="4677"/>
      <c r="D56" s="4689">
        <f>'SOF2223-HB3'!I34</f>
        <v>0</v>
      </c>
    </row>
    <row r="57" spans="1:15" s="382" customFormat="1" ht="15.75">
      <c r="A57" s="385" t="s">
        <v>2754</v>
      </c>
      <c r="B57" s="719" t="s">
        <v>3357</v>
      </c>
      <c r="C57" s="386"/>
      <c r="D57" s="2932" t="e">
        <f>'SOF2223-HB3'!I66</f>
        <v>#DIV/0!</v>
      </c>
      <c r="E57" s="3000" t="e">
        <f>'SOF2223-HB3'!I66</f>
        <v>#DIV/0!</v>
      </c>
      <c r="F57" s="717"/>
      <c r="G57" s="717"/>
      <c r="H57" s="325"/>
      <c r="I57" s="325"/>
      <c r="J57" s="325"/>
      <c r="K57" s="325"/>
      <c r="L57" s="325"/>
      <c r="M57" s="325"/>
      <c r="N57" s="325"/>
      <c r="O57" s="325"/>
    </row>
    <row r="58" spans="1:15" s="382" customFormat="1" ht="15.75">
      <c r="A58" s="385" t="s">
        <v>2755</v>
      </c>
      <c r="B58" s="386" t="s">
        <v>2763</v>
      </c>
      <c r="C58" s="386"/>
      <c r="D58" s="2932" t="e">
        <f>'SOF2223-HB3'!I67</f>
        <v>#DIV/0!</v>
      </c>
      <c r="E58" s="3000" t="e">
        <f>'SOF2223-HB3'!I67</f>
        <v>#DIV/0!</v>
      </c>
      <c r="F58" s="717"/>
      <c r="G58" s="717"/>
      <c r="H58" s="325"/>
      <c r="I58" s="325"/>
      <c r="J58" s="325"/>
      <c r="K58" s="325"/>
      <c r="L58" s="325"/>
      <c r="M58" s="325"/>
      <c r="N58" s="325"/>
      <c r="O58" s="325"/>
    </row>
    <row r="59" spans="1:15" s="382" customFormat="1" ht="15.75">
      <c r="A59" s="385" t="s">
        <v>2756</v>
      </c>
      <c r="B59" s="386" t="s">
        <v>2764</v>
      </c>
      <c r="C59" s="386"/>
      <c r="D59" s="2932">
        <f>'SOF2223-HB3'!I110</f>
        <v>0</v>
      </c>
      <c r="E59" s="3000">
        <f>'SOF2223-HB3'!H112</f>
        <v>0</v>
      </c>
      <c r="F59" s="717"/>
      <c r="G59" s="717"/>
      <c r="H59" s="325"/>
      <c r="I59" s="325"/>
      <c r="J59" s="325"/>
      <c r="K59" s="325"/>
      <c r="L59" s="325"/>
      <c r="M59" s="325"/>
      <c r="N59" s="325"/>
      <c r="O59" s="325"/>
    </row>
    <row r="60" spans="1:15" s="382" customFormat="1" ht="18">
      <c r="A60" s="1390" t="s">
        <v>10199</v>
      </c>
      <c r="B60" s="1391"/>
      <c r="C60" s="1391"/>
      <c r="D60" s="3085"/>
      <c r="E60" s="3006"/>
      <c r="F60" s="1377"/>
      <c r="G60" s="1377"/>
      <c r="H60" s="325"/>
      <c r="I60" s="325"/>
      <c r="J60" s="325"/>
      <c r="K60" s="325"/>
      <c r="L60" s="325"/>
      <c r="M60" s="325"/>
      <c r="N60" s="325"/>
      <c r="O60" s="325"/>
    </row>
    <row r="61" spans="1:15" s="382" customFormat="1" ht="15.75">
      <c r="A61" s="385" t="s">
        <v>2757</v>
      </c>
      <c r="B61" s="386" t="s">
        <v>10252</v>
      </c>
      <c r="C61" s="386"/>
      <c r="D61" s="2932" t="e">
        <f>IF(D57-D58-D59&lt;=0,0,D57-D58-D59)</f>
        <v>#DIV/0!</v>
      </c>
      <c r="E61" s="3000" t="e">
        <f>'SOF2223-HB3'!I68</f>
        <v>#DIV/0!</v>
      </c>
      <c r="F61" s="717"/>
      <c r="G61" s="717"/>
      <c r="H61" s="325"/>
      <c r="I61" s="325"/>
      <c r="J61" s="325"/>
      <c r="K61" s="325"/>
      <c r="L61" s="325"/>
      <c r="M61" s="325"/>
      <c r="N61" s="325"/>
      <c r="O61" s="325"/>
    </row>
    <row r="62" spans="1:15" s="382" customFormat="1" ht="15.75">
      <c r="A62" s="385" t="s">
        <v>2758</v>
      </c>
      <c r="B62" s="718" t="s">
        <v>3358</v>
      </c>
      <c r="C62" s="386"/>
      <c r="D62" s="2932" t="e">
        <f>'SOF2223-HB3'!I83</f>
        <v>#DIV/0!</v>
      </c>
      <c r="E62" s="3000" t="e">
        <f>'SOF2223-HB3'!I86</f>
        <v>#DIV/0!</v>
      </c>
      <c r="F62" s="717"/>
      <c r="G62" s="717"/>
      <c r="H62" s="325"/>
      <c r="I62" s="325"/>
      <c r="J62" s="325"/>
      <c r="K62" s="325"/>
      <c r="L62" s="325"/>
      <c r="M62" s="325"/>
      <c r="N62" s="325"/>
      <c r="O62" s="325"/>
    </row>
    <row r="63" spans="1:15" s="382" customFormat="1" ht="15.75">
      <c r="A63" s="385" t="s">
        <v>2773</v>
      </c>
      <c r="B63" s="719" t="s">
        <v>3359</v>
      </c>
      <c r="C63" s="386"/>
      <c r="D63" s="2932" t="e">
        <f>'SOF2223-HB3'!I103+'SOF2223-HB3'!I127+'SOF2223-HB3'!I128</f>
        <v>#DIV/0!</v>
      </c>
      <c r="E63" s="3000"/>
      <c r="F63" s="717"/>
      <c r="G63" s="717"/>
      <c r="H63" s="565" t="s">
        <v>10219</v>
      </c>
      <c r="I63" s="325"/>
      <c r="J63" s="325"/>
      <c r="K63" s="325"/>
      <c r="L63" s="325"/>
      <c r="M63" s="325"/>
      <c r="N63" s="325"/>
      <c r="O63" s="325"/>
    </row>
    <row r="64" spans="1:15" s="382" customFormat="1" ht="15.75">
      <c r="A64" s="385" t="s">
        <v>2774</v>
      </c>
      <c r="B64" s="386" t="s">
        <v>2766</v>
      </c>
      <c r="C64" s="386"/>
      <c r="D64" s="2932" t="e">
        <f>D61+D62+D63</f>
        <v>#DIV/0!</v>
      </c>
      <c r="E64" s="3000"/>
      <c r="F64" s="717"/>
      <c r="G64" s="717"/>
      <c r="H64" s="325"/>
      <c r="I64" s="325"/>
      <c r="J64" s="325"/>
      <c r="K64" s="325"/>
      <c r="L64" s="325"/>
      <c r="M64" s="325"/>
      <c r="N64" s="325"/>
      <c r="O64" s="325"/>
    </row>
    <row r="65" spans="1:15" s="382" customFormat="1" ht="18">
      <c r="A65" s="1372" t="s">
        <v>10200</v>
      </c>
      <c r="B65" s="1387"/>
      <c r="C65" s="1387"/>
      <c r="D65" s="3051"/>
      <c r="E65" s="3003"/>
      <c r="F65" s="1377"/>
      <c r="G65" s="1377"/>
      <c r="H65" s="325"/>
      <c r="I65" s="325"/>
      <c r="J65" s="325"/>
      <c r="K65" s="325"/>
      <c r="L65" s="325"/>
      <c r="M65" s="325"/>
      <c r="N65" s="325"/>
      <c r="O65" s="325"/>
    </row>
    <row r="66" spans="1:15" s="382" customFormat="1" ht="18">
      <c r="A66" s="1388" t="s">
        <v>10201</v>
      </c>
      <c r="B66" s="1388"/>
      <c r="C66" s="1387"/>
      <c r="D66" s="3051"/>
      <c r="E66" s="3003"/>
      <c r="F66" s="1377"/>
      <c r="G66" s="1377"/>
      <c r="H66" s="325"/>
      <c r="I66" s="325"/>
      <c r="J66" s="325"/>
      <c r="K66" s="325"/>
      <c r="L66" s="325"/>
      <c r="M66" s="325"/>
      <c r="N66" s="325"/>
      <c r="O66" s="325"/>
    </row>
    <row r="67" spans="1:15" s="382" customFormat="1" ht="15.75">
      <c r="A67" s="385" t="s">
        <v>2775</v>
      </c>
      <c r="B67" s="386" t="s">
        <v>2779</v>
      </c>
      <c r="C67" s="386"/>
      <c r="D67" s="2932" t="e">
        <f>D64</f>
        <v>#DIV/0!</v>
      </c>
      <c r="E67" s="3000">
        <f>'SOF2223-HB3'!I111</f>
        <v>0</v>
      </c>
      <c r="F67" s="717"/>
      <c r="G67" s="717"/>
      <c r="H67" s="325"/>
      <c r="I67" s="325"/>
      <c r="J67" s="325"/>
      <c r="K67" s="325"/>
      <c r="L67" s="325"/>
      <c r="M67" s="325"/>
      <c r="N67" s="325"/>
      <c r="O67" s="325"/>
    </row>
    <row r="68" spans="1:15" s="382" customFormat="1" ht="15.75">
      <c r="A68" s="385" t="s">
        <v>2776</v>
      </c>
      <c r="B68" s="386" t="s">
        <v>3047</v>
      </c>
      <c r="C68" s="386"/>
      <c r="D68" s="2932">
        <f>'SOF2223-HB3'!I110</f>
        <v>0</v>
      </c>
      <c r="E68" s="3000">
        <f>'SOF2223-HB3'!I112</f>
        <v>0</v>
      </c>
      <c r="F68" s="717"/>
      <c r="G68" s="717"/>
      <c r="H68" s="325"/>
      <c r="I68" s="325"/>
      <c r="J68" s="325"/>
      <c r="K68" s="325"/>
      <c r="L68" s="325"/>
      <c r="M68" s="325"/>
      <c r="N68" s="325"/>
      <c r="O68" s="325"/>
    </row>
    <row r="69" spans="1:15" s="382" customFormat="1" ht="18">
      <c r="A69" s="1388" t="s">
        <v>10202</v>
      </c>
      <c r="B69" s="1388"/>
      <c r="C69" s="1387"/>
      <c r="D69" s="3051"/>
      <c r="E69" s="3003"/>
      <c r="F69" s="1377"/>
      <c r="G69" s="1377"/>
      <c r="H69" s="325"/>
      <c r="I69" s="325"/>
      <c r="J69" s="325"/>
      <c r="K69" s="325"/>
      <c r="L69" s="325"/>
      <c r="M69" s="325"/>
      <c r="N69" s="325"/>
      <c r="O69" s="325"/>
    </row>
    <row r="70" spans="1:15" s="382" customFormat="1" ht="15.75">
      <c r="A70" s="385" t="s">
        <v>2777</v>
      </c>
      <c r="B70" s="718" t="s">
        <v>3360</v>
      </c>
      <c r="C70" s="386"/>
      <c r="D70" s="2932">
        <f>'SOF2223-HB3'!I112</f>
        <v>0</v>
      </c>
      <c r="E70" s="3000">
        <f>D70</f>
        <v>0</v>
      </c>
      <c r="F70" s="717"/>
      <c r="G70" s="717"/>
      <c r="H70" s="325"/>
      <c r="I70" s="325"/>
      <c r="J70" s="325"/>
      <c r="K70" s="325"/>
      <c r="L70" s="325"/>
      <c r="M70" s="325"/>
      <c r="N70" s="325"/>
      <c r="O70" s="325"/>
    </row>
    <row r="71" spans="1:15" s="382" customFormat="1" ht="15.75">
      <c r="A71" s="385" t="s">
        <v>2778</v>
      </c>
      <c r="B71" s="719" t="s">
        <v>3361</v>
      </c>
      <c r="C71" s="386"/>
      <c r="D71" s="2932">
        <f>'IFA-HB3'!W86</f>
        <v>0</v>
      </c>
      <c r="E71" s="3000">
        <f>D71</f>
        <v>0</v>
      </c>
      <c r="F71" s="717"/>
      <c r="G71" s="717"/>
      <c r="H71" s="325"/>
      <c r="I71" s="325"/>
      <c r="J71" s="325"/>
      <c r="K71" s="325"/>
      <c r="L71" s="325"/>
      <c r="M71" s="325"/>
      <c r="N71" s="325"/>
      <c r="O71" s="325"/>
    </row>
    <row r="72" spans="1:15" s="382" customFormat="1" ht="15.75">
      <c r="A72" s="385" t="s">
        <v>2917</v>
      </c>
      <c r="B72" s="718" t="s">
        <v>3194</v>
      </c>
      <c r="C72" s="386"/>
      <c r="D72" s="2932">
        <f>'IFA-HB3'!Y75</f>
        <v>0</v>
      </c>
      <c r="E72" s="3000">
        <f>D72</f>
        <v>0</v>
      </c>
      <c r="F72" s="717"/>
      <c r="G72" s="717"/>
      <c r="H72" s="325"/>
      <c r="I72" s="325"/>
      <c r="J72" s="325"/>
      <c r="K72" s="325"/>
      <c r="L72" s="325"/>
      <c r="M72" s="325"/>
      <c r="N72" s="325"/>
      <c r="O72" s="325"/>
    </row>
    <row r="73" spans="1:15" s="382" customFormat="1" ht="15.75">
      <c r="A73" s="385" t="s">
        <v>3206</v>
      </c>
      <c r="B73" s="386" t="s">
        <v>4037</v>
      </c>
      <c r="C73" s="386"/>
      <c r="D73" s="2932" t="e">
        <f>'HH2223-Calcs'!C51</f>
        <v>#DIV/0!</v>
      </c>
      <c r="E73" s="3000"/>
      <c r="F73" s="717"/>
      <c r="G73" s="717"/>
      <c r="H73" s="325"/>
      <c r="I73" s="325"/>
      <c r="J73" s="325"/>
      <c r="K73" s="325"/>
      <c r="L73" s="325"/>
      <c r="M73" s="325"/>
      <c r="N73" s="325"/>
      <c r="O73" s="325"/>
    </row>
    <row r="74" spans="1:15" s="382" customFormat="1" ht="18">
      <c r="A74" s="385" t="s">
        <v>3207</v>
      </c>
      <c r="B74" s="1303" t="s">
        <v>6985</v>
      </c>
      <c r="C74" s="1393"/>
      <c r="D74" s="3086" t="e">
        <f>'SOF2223-HB3'!I115+'SOF2223-HB3'!I127+'SOF2223-HB3'!I128+D73</f>
        <v>#DIV/0!</v>
      </c>
      <c r="E74" s="3002">
        <f>'SOF2223-HB3'!I117</f>
        <v>0</v>
      </c>
      <c r="F74" s="2991"/>
      <c r="G74" s="2991"/>
      <c r="H74" s="325"/>
      <c r="I74" s="325"/>
      <c r="J74" s="325"/>
      <c r="K74" s="325"/>
      <c r="L74" s="325"/>
      <c r="M74" s="325"/>
      <c r="N74" s="325"/>
      <c r="O74" s="325"/>
    </row>
    <row r="75" spans="1:15" s="382" customFormat="1" ht="18">
      <c r="A75" s="1388" t="s">
        <v>10203</v>
      </c>
      <c r="B75" s="1388"/>
      <c r="C75" s="1387"/>
      <c r="D75" s="3051"/>
      <c r="E75" s="3003"/>
      <c r="F75" s="1377"/>
      <c r="G75" s="1377"/>
      <c r="H75" s="325"/>
      <c r="I75" s="325"/>
      <c r="J75" s="325"/>
      <c r="K75" s="325"/>
      <c r="L75" s="325"/>
      <c r="M75" s="325"/>
      <c r="N75" s="325"/>
      <c r="O75" s="325"/>
    </row>
    <row r="76" spans="1:15" s="382" customFormat="1" ht="15.75">
      <c r="A76" s="385" t="s">
        <v>3208</v>
      </c>
      <c r="B76" s="4677" t="s">
        <v>10203</v>
      </c>
      <c r="C76" s="4677"/>
      <c r="D76" s="4689" t="e">
        <f>'SOF2223-HB3'!I79+'SOF2223-HB3'!I87</f>
        <v>#DIV/0!</v>
      </c>
      <c r="H76" s="325"/>
      <c r="I76" s="325"/>
      <c r="J76" s="325"/>
      <c r="K76" s="325"/>
      <c r="L76" s="325"/>
      <c r="M76" s="325"/>
      <c r="N76" s="325"/>
      <c r="O76" s="325"/>
    </row>
    <row r="77" spans="1:15" s="382" customFormat="1" ht="15.75">
      <c r="A77" s="4695"/>
      <c r="B77" s="4687"/>
      <c r="C77" s="4687"/>
      <c r="D77" s="4687"/>
      <c r="H77" s="325"/>
      <c r="I77" s="325"/>
      <c r="J77" s="325"/>
      <c r="K77" s="325"/>
      <c r="L77" s="325"/>
      <c r="M77" s="325"/>
      <c r="N77" s="325"/>
      <c r="O77" s="325"/>
    </row>
    <row r="78" spans="1:15" s="382" customFormat="1" ht="15.75">
      <c r="A78" s="645" t="s">
        <v>3209</v>
      </c>
      <c r="B78" s="4696" t="s">
        <v>10204</v>
      </c>
      <c r="C78" s="4697"/>
      <c r="D78" s="4697"/>
      <c r="H78" s="325"/>
      <c r="I78" s="325"/>
      <c r="J78" s="325"/>
      <c r="K78" s="325"/>
      <c r="L78" s="325"/>
      <c r="M78" s="325"/>
      <c r="N78" s="325"/>
      <c r="O78" s="325"/>
    </row>
    <row r="79" spans="1:15" s="382" customFormat="1" ht="15.75">
      <c r="A79" s="4698"/>
      <c r="B79" s="4699"/>
      <c r="H79" s="325"/>
      <c r="I79" s="325"/>
      <c r="J79" s="325"/>
      <c r="K79" s="325"/>
      <c r="L79" s="325"/>
      <c r="M79" s="325"/>
      <c r="N79" s="325"/>
      <c r="O79" s="325"/>
    </row>
    <row r="80" spans="1:15" s="382" customFormat="1" ht="16.5" thickBot="1">
      <c r="A80" s="4700"/>
      <c r="C80" s="4701"/>
      <c r="D80" s="4701"/>
      <c r="E80" s="382" t="e">
        <f>(E67+E68)/D10</f>
        <v>#DIV/0!</v>
      </c>
      <c r="H80" s="325"/>
      <c r="I80" s="325"/>
      <c r="J80" s="325"/>
      <c r="K80" s="325"/>
      <c r="L80" s="325"/>
      <c r="M80" s="325"/>
      <c r="N80" s="325"/>
      <c r="O80" s="325"/>
    </row>
    <row r="81" spans="1:7" ht="16.5" thickTop="1">
      <c r="A81" s="4715" t="s">
        <v>3103</v>
      </c>
      <c r="B81" s="4716"/>
      <c r="C81" s="4717"/>
      <c r="D81" s="4718"/>
      <c r="E81" s="382"/>
      <c r="F81" s="382"/>
      <c r="G81" s="382"/>
    </row>
    <row r="82" spans="1:7" ht="15.75">
      <c r="A82" s="4702" t="s">
        <v>2457</v>
      </c>
      <c r="C82" s="4703"/>
      <c r="D82" s="4704"/>
      <c r="E82" s="325"/>
      <c r="F82" s="325"/>
      <c r="G82" s="325"/>
    </row>
    <row r="83" spans="1:7" ht="15.75">
      <c r="A83" s="645" t="s">
        <v>3210</v>
      </c>
      <c r="B83" s="4705" t="s">
        <v>10213</v>
      </c>
      <c r="C83" s="4703"/>
      <c r="D83" s="4724" t="e">
        <f>'SOF2223-HB3'!I122+'SOF2223-HB3'!I127+'SOF2223-HB3'!I128</f>
        <v>#DIV/0!</v>
      </c>
      <c r="E83" s="325"/>
      <c r="F83" s="325"/>
      <c r="G83" s="325"/>
    </row>
    <row r="84" spans="1:7" ht="15.75">
      <c r="A84" s="645" t="s">
        <v>3211</v>
      </c>
      <c r="B84" s="644" t="s">
        <v>9492</v>
      </c>
      <c r="C84" s="384"/>
      <c r="D84" s="422">
        <f>'SOF2223-HB3'!I123</f>
        <v>0</v>
      </c>
      <c r="E84" s="717"/>
      <c r="F84" s="717"/>
      <c r="G84" s="717"/>
    </row>
    <row r="85" spans="1:7" ht="15.75">
      <c r="A85" s="645" t="s">
        <v>3212</v>
      </c>
      <c r="B85" s="644" t="s">
        <v>9493</v>
      </c>
      <c r="C85" s="651"/>
      <c r="D85" s="422" t="e">
        <f>'SOF2223-HB3'!I79</f>
        <v>#DIV/0!</v>
      </c>
      <c r="E85" s="717"/>
      <c r="F85" s="717"/>
      <c r="G85" s="717"/>
    </row>
    <row r="86" spans="1:7" ht="15.75">
      <c r="A86" s="645" t="s">
        <v>3213</v>
      </c>
      <c r="B86" s="644" t="s">
        <v>9494</v>
      </c>
      <c r="C86" s="384"/>
      <c r="D86" s="422" t="e">
        <f>'SOF2223-HB3'!I87</f>
        <v>#DIV/0!</v>
      </c>
      <c r="E86" s="717"/>
      <c r="F86" s="717"/>
      <c r="G86" s="717"/>
    </row>
    <row r="87" spans="1:7" ht="15.75">
      <c r="A87" s="645" t="s">
        <v>3214</v>
      </c>
      <c r="B87" s="4647" t="s">
        <v>9495</v>
      </c>
      <c r="C87" s="384"/>
      <c r="D87" s="422" t="e">
        <f>D83+D84-D85-D86</f>
        <v>#DIV/0!</v>
      </c>
      <c r="E87" s="717"/>
      <c r="F87" s="717"/>
      <c r="G87" s="717"/>
    </row>
    <row r="88" spans="1:7" ht="15.75">
      <c r="A88" s="645" t="s">
        <v>3215</v>
      </c>
      <c r="B88" s="653" t="s">
        <v>10205</v>
      </c>
      <c r="C88" s="4707"/>
      <c r="D88" s="4708" t="e">
        <f>IF(D83&gt;=0,0,D83)</f>
        <v>#DIV/0!</v>
      </c>
      <c r="E88" s="717"/>
      <c r="F88" s="717"/>
      <c r="G88" s="717"/>
    </row>
    <row r="89" spans="1:7" ht="16.5" thickBot="1">
      <c r="A89" s="645" t="s">
        <v>3216</v>
      </c>
      <c r="B89" s="4649" t="s">
        <v>10240</v>
      </c>
      <c r="C89" s="1297"/>
      <c r="D89" s="4735" t="e">
        <f>D87+D88</f>
        <v>#DIV/0!</v>
      </c>
      <c r="E89" s="2992"/>
      <c r="F89" s="2992"/>
      <c r="G89" s="2992"/>
    </row>
    <row r="90" spans="1:7" ht="14.25" thickTop="1" thickBot="1">
      <c r="B90" s="4709"/>
    </row>
    <row r="91" spans="1:7" ht="16.5" thickTop="1">
      <c r="A91" s="3266" t="s">
        <v>9187</v>
      </c>
      <c r="B91" s="499"/>
      <c r="C91" s="4710"/>
      <c r="D91" s="497"/>
    </row>
    <row r="92" spans="1:7" ht="15">
      <c r="A92" s="645" t="s">
        <v>3217</v>
      </c>
      <c r="B92" s="649" t="s">
        <v>9498</v>
      </c>
      <c r="C92" s="4706"/>
      <c r="D92" s="4734" t="e">
        <f>'SOF2223-HB3'!I79</f>
        <v>#DIV/0!</v>
      </c>
    </row>
    <row r="93" spans="1:7" ht="15">
      <c r="A93" s="645" t="s">
        <v>3218</v>
      </c>
      <c r="B93" s="649" t="s">
        <v>9510</v>
      </c>
      <c r="C93" s="647"/>
      <c r="D93" s="422" t="e">
        <f>'SOF2223-HB3'!I87</f>
        <v>#DIV/0!</v>
      </c>
      <c r="E93" s="717"/>
      <c r="F93" s="717"/>
      <c r="G93" s="717"/>
    </row>
    <row r="94" spans="1:7" ht="15.75">
      <c r="A94" s="645" t="s">
        <v>10208</v>
      </c>
      <c r="B94" s="4714" t="s">
        <v>10241</v>
      </c>
      <c r="C94" s="4712"/>
      <c r="D94" s="4713" t="e">
        <f>D92+D93</f>
        <v>#DIV/0!</v>
      </c>
      <c r="E94" s="717"/>
      <c r="F94" s="717"/>
      <c r="G94" s="717"/>
    </row>
    <row r="95" spans="1:7" ht="15">
      <c r="A95" s="645" t="s">
        <v>10209</v>
      </c>
      <c r="B95" s="649" t="s">
        <v>10207</v>
      </c>
      <c r="C95" s="647"/>
      <c r="D95" s="422">
        <f>'SOF2223-HB3'!I102</f>
        <v>0</v>
      </c>
      <c r="E95" s="717"/>
      <c r="F95" s="717"/>
      <c r="G95" s="717"/>
    </row>
    <row r="96" spans="1:7" ht="16.5" thickBot="1">
      <c r="A96" s="646" t="s">
        <v>10210</v>
      </c>
      <c r="B96" s="1297" t="s">
        <v>10242</v>
      </c>
      <c r="C96" s="4711"/>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O102"/>
  <sheetViews>
    <sheetView workbookViewId="0">
      <selection activeCell="D1" sqref="D1"/>
    </sheetView>
  </sheetViews>
  <sheetFormatPr defaultRowHeight="12.75"/>
  <cols>
    <col min="1" max="1" width="9.140625" style="64" customWidth="1"/>
    <col min="2" max="2" width="86.42578125" style="35" customWidth="1"/>
    <col min="3" max="3" width="4.140625" style="35" customWidth="1"/>
    <col min="4" max="4" width="20.5703125" style="35" customWidth="1"/>
    <col min="5" max="7" width="20.5703125" style="35" hidden="1" customWidth="1"/>
    <col min="8" max="8" width="17.5703125" style="35" customWidth="1"/>
    <col min="9" max="15" width="9.140625" style="35" customWidth="1"/>
  </cols>
  <sheetData>
    <row r="1" spans="1:15">
      <c r="A1" s="380" t="s">
        <v>2864</v>
      </c>
      <c r="C1" s="755"/>
      <c r="D1" s="3054" t="str">
        <f>'Data Entry - SOF'!S1</f>
        <v>Release 10</v>
      </c>
      <c r="E1" s="754"/>
      <c r="F1" s="754"/>
      <c r="G1" s="754"/>
    </row>
    <row r="2" spans="1:15">
      <c r="A2" s="484" t="s">
        <v>9515</v>
      </c>
      <c r="D2" s="4642">
        <f>'Data Entry - SOF'!S2</f>
        <v>43724</v>
      </c>
      <c r="E2" s="72"/>
      <c r="F2" s="72"/>
      <c r="G2" s="72"/>
    </row>
    <row r="3" spans="1:15" ht="15.75">
      <c r="D3" s="325"/>
      <c r="E3" s="58"/>
      <c r="F3" s="58"/>
      <c r="G3" s="58"/>
    </row>
    <row r="4" spans="1:15" s="382" customFormat="1" ht="15.75">
      <c r="A4" s="381" t="s">
        <v>8187</v>
      </c>
      <c r="B4" s="325"/>
      <c r="C4" s="325"/>
      <c r="D4" s="325"/>
      <c r="E4" s="325"/>
      <c r="F4" s="325"/>
      <c r="G4" s="325"/>
      <c r="H4" s="325"/>
      <c r="I4" s="325"/>
      <c r="J4" s="325"/>
      <c r="K4" s="325"/>
      <c r="L4" s="325"/>
      <c r="M4" s="325"/>
      <c r="N4" s="325"/>
      <c r="O4" s="325"/>
    </row>
    <row r="5" spans="1:15" s="382" customFormat="1" ht="15.75">
      <c r="A5" s="383">
        <f>'Data Entry - SOF'!B1</f>
        <v>0</v>
      </c>
      <c r="B5" s="325"/>
      <c r="C5" s="325"/>
      <c r="D5" s="325"/>
      <c r="E5" s="325"/>
      <c r="F5" s="325"/>
      <c r="G5" s="325"/>
      <c r="H5" s="325"/>
      <c r="I5" s="325"/>
      <c r="J5" s="325"/>
      <c r="K5" s="325"/>
      <c r="L5" s="325"/>
      <c r="M5" s="325"/>
      <c r="N5" s="325"/>
      <c r="O5" s="325"/>
    </row>
    <row r="6" spans="1:15" s="382" customFormat="1" ht="15.75">
      <c r="A6" s="381">
        <f>'Data Entry - SOF'!B2</f>
        <v>0</v>
      </c>
      <c r="B6" s="325"/>
      <c r="C6" s="325"/>
      <c r="D6" s="325"/>
      <c r="E6" s="325"/>
      <c r="F6" s="325"/>
      <c r="G6" s="325"/>
      <c r="H6" s="325"/>
      <c r="I6" s="325"/>
      <c r="J6" s="325"/>
      <c r="K6" s="325"/>
      <c r="L6" s="325"/>
      <c r="M6" s="325"/>
      <c r="N6" s="325"/>
      <c r="O6" s="325"/>
    </row>
    <row r="7" spans="1:15" s="382" customFormat="1" ht="15.75">
      <c r="A7" s="381"/>
      <c r="B7" s="325"/>
      <c r="C7" s="325"/>
      <c r="D7" s="4639" t="s">
        <v>8765</v>
      </c>
      <c r="F7" s="325"/>
      <c r="G7" s="325"/>
      <c r="H7" s="325"/>
      <c r="I7" s="325"/>
      <c r="J7" s="325"/>
      <c r="K7" s="325"/>
      <c r="L7" s="325"/>
      <c r="M7" s="325"/>
      <c r="N7" s="325"/>
      <c r="O7" s="325"/>
    </row>
    <row r="8" spans="1:15" s="382" customFormat="1" ht="18">
      <c r="A8" s="564" t="s">
        <v>2707</v>
      </c>
      <c r="B8" s="1288"/>
      <c r="C8" s="1288"/>
      <c r="D8" s="532" t="s">
        <v>2715</v>
      </c>
      <c r="E8" s="3004"/>
      <c r="F8" s="1298"/>
      <c r="G8" s="1298"/>
      <c r="H8" s="325"/>
      <c r="I8" s="325"/>
      <c r="J8" s="325"/>
      <c r="K8" s="325"/>
      <c r="L8" s="325"/>
      <c r="M8" s="325"/>
      <c r="N8" s="325"/>
      <c r="O8" s="325"/>
    </row>
    <row r="9" spans="1:15" s="382" customFormat="1" ht="18">
      <c r="A9" s="1372" t="s">
        <v>2708</v>
      </c>
      <c r="B9" s="1387"/>
      <c r="C9" s="1387"/>
      <c r="D9" s="533" t="s">
        <v>2716</v>
      </c>
      <c r="E9" s="3005" t="s">
        <v>8765</v>
      </c>
      <c r="F9" s="1298"/>
      <c r="G9" s="1298"/>
      <c r="H9" s="325"/>
      <c r="I9" s="325"/>
      <c r="J9" s="325"/>
      <c r="K9" s="325"/>
      <c r="L9" s="325"/>
      <c r="M9" s="325"/>
      <c r="N9" s="325"/>
      <c r="O9" s="325"/>
    </row>
    <row r="10" spans="1:15" s="382" customFormat="1" ht="15.75">
      <c r="A10" s="385" t="s">
        <v>2186</v>
      </c>
      <c r="B10" s="386" t="s">
        <v>2709</v>
      </c>
      <c r="C10" s="386"/>
      <c r="D10" s="3082">
        <f>'Data Entry - SOF'!S19</f>
        <v>0</v>
      </c>
      <c r="E10" s="2997">
        <f>D10</f>
        <v>0</v>
      </c>
      <c r="F10" s="2988"/>
      <c r="G10" s="2988"/>
      <c r="H10" s="325"/>
      <c r="I10" s="325"/>
      <c r="J10" s="325"/>
      <c r="K10" s="325"/>
      <c r="L10" s="325"/>
      <c r="M10" s="325"/>
      <c r="N10" s="325"/>
      <c r="O10" s="325"/>
    </row>
    <row r="11" spans="1:15" s="382" customFormat="1" ht="15.75">
      <c r="A11" s="385" t="s">
        <v>2187</v>
      </c>
      <c r="B11" s="718" t="s">
        <v>3353</v>
      </c>
      <c r="C11" s="386"/>
      <c r="D11" s="3082">
        <f>'Calc Data'!J12</f>
        <v>0</v>
      </c>
      <c r="E11" s="2997">
        <f t="shared" ref="E11:E13" si="0">D11</f>
        <v>0</v>
      </c>
      <c r="F11" s="2988"/>
      <c r="G11" s="2988"/>
      <c r="H11" s="325"/>
      <c r="I11" s="325"/>
      <c r="J11" s="325"/>
      <c r="K11" s="325"/>
      <c r="L11" s="325"/>
      <c r="M11" s="325"/>
      <c r="N11" s="325"/>
      <c r="O11" s="325"/>
    </row>
    <row r="12" spans="1:15" s="382" customFormat="1" ht="15.75">
      <c r="A12" s="385" t="s">
        <v>2188</v>
      </c>
      <c r="B12" s="719" t="s">
        <v>3355</v>
      </c>
      <c r="C12" s="386"/>
      <c r="D12" s="3082">
        <f>'Calc Data'!J8</f>
        <v>0</v>
      </c>
      <c r="E12" s="2997">
        <f t="shared" si="0"/>
        <v>0</v>
      </c>
      <c r="F12" s="2988"/>
      <c r="G12" s="2988"/>
      <c r="H12" s="325"/>
      <c r="I12" s="325"/>
      <c r="J12" s="325"/>
      <c r="K12" s="325"/>
      <c r="L12" s="325"/>
      <c r="M12" s="325"/>
      <c r="N12" s="325"/>
      <c r="O12" s="325"/>
    </row>
    <row r="13" spans="1:15" s="382" customFormat="1" ht="15.75">
      <c r="A13" s="385" t="s">
        <v>909</v>
      </c>
      <c r="B13" s="386" t="s">
        <v>824</v>
      </c>
      <c r="C13" s="386"/>
      <c r="D13" s="3082">
        <f>'Data Entry - SOF'!S36</f>
        <v>0</v>
      </c>
      <c r="E13" s="2997">
        <f t="shared" si="0"/>
        <v>0</v>
      </c>
      <c r="F13" s="2988"/>
      <c r="G13" s="2988"/>
      <c r="H13" s="325"/>
      <c r="I13" s="325"/>
      <c r="J13" s="325"/>
      <c r="K13" s="325"/>
      <c r="L13" s="325"/>
      <c r="M13" s="325"/>
      <c r="N13" s="325"/>
      <c r="O13" s="325"/>
    </row>
    <row r="14" spans="1:15" s="382" customFormat="1" ht="15.75">
      <c r="A14" s="385" t="s">
        <v>910</v>
      </c>
      <c r="B14" s="719" t="s">
        <v>3356</v>
      </c>
      <c r="C14" s="386"/>
      <c r="D14" s="3082" t="e">
        <f>'SOF2324-HB3'!L66</f>
        <v>#DIV/0!</v>
      </c>
      <c r="E14" s="2997" t="e">
        <f>'SOF2324-HB3'!L66</f>
        <v>#DIV/0!</v>
      </c>
      <c r="F14" s="2988"/>
      <c r="G14" s="2988"/>
      <c r="H14" s="325"/>
      <c r="I14" s="325"/>
      <c r="J14" s="325"/>
      <c r="K14" s="325"/>
      <c r="L14" s="325"/>
      <c r="M14" s="325"/>
      <c r="N14" s="325"/>
      <c r="O14" s="325"/>
    </row>
    <row r="15" spans="1:15" s="382" customFormat="1" ht="18">
      <c r="A15" s="1372" t="s">
        <v>2720</v>
      </c>
      <c r="B15" s="1387"/>
      <c r="C15" s="1387"/>
      <c r="D15" s="3051"/>
      <c r="E15" s="3003"/>
      <c r="F15" s="1377"/>
      <c r="G15" s="1377"/>
      <c r="H15" s="325"/>
      <c r="I15" s="325"/>
      <c r="J15" s="325"/>
      <c r="K15" s="325"/>
      <c r="L15" s="325"/>
      <c r="M15" s="325"/>
      <c r="N15" s="325"/>
      <c r="O15" s="325"/>
    </row>
    <row r="16" spans="1:15" s="382" customFormat="1" ht="15.75">
      <c r="A16" s="385" t="s">
        <v>912</v>
      </c>
      <c r="B16" s="386" t="s">
        <v>10167</v>
      </c>
      <c r="C16" s="386"/>
      <c r="D16" s="3083">
        <f>'Data Entry - SOF'!E83</f>
        <v>0</v>
      </c>
      <c r="E16" s="2998">
        <f>D16</f>
        <v>0</v>
      </c>
      <c r="F16" s="601"/>
      <c r="G16" s="601"/>
      <c r="H16" s="325"/>
      <c r="I16" s="325"/>
      <c r="J16" s="325"/>
      <c r="K16" s="325"/>
      <c r="L16" s="325"/>
      <c r="M16" s="325"/>
      <c r="N16" s="325"/>
      <c r="O16" s="325"/>
    </row>
    <row r="17" spans="1:15" s="382" customFormat="1" ht="15.75">
      <c r="A17" s="385" t="s">
        <v>913</v>
      </c>
      <c r="B17" s="386" t="s">
        <v>10228</v>
      </c>
      <c r="C17" s="4677"/>
      <c r="D17" s="3083">
        <f>'Data Entry - SOF'!S73</f>
        <v>0</v>
      </c>
      <c r="E17" s="4686"/>
      <c r="F17" s="601"/>
      <c r="G17" s="601"/>
      <c r="H17" s="325"/>
      <c r="I17" s="325"/>
      <c r="J17" s="325"/>
      <c r="K17" s="325"/>
      <c r="L17" s="325"/>
      <c r="M17" s="325"/>
      <c r="N17" s="325"/>
      <c r="O17" s="325"/>
    </row>
    <row r="18" spans="1:15" s="382" customFormat="1" ht="18">
      <c r="A18" s="1372" t="s">
        <v>2721</v>
      </c>
      <c r="B18" s="1387"/>
      <c r="C18" s="1387"/>
      <c r="D18" s="3051"/>
      <c r="E18" s="3003"/>
      <c r="F18" s="1377"/>
      <c r="G18" s="1377"/>
      <c r="H18" s="325"/>
      <c r="I18" s="325"/>
      <c r="J18" s="325"/>
      <c r="K18" s="325"/>
      <c r="L18" s="325"/>
      <c r="M18" s="325"/>
      <c r="N18" s="325"/>
      <c r="O18" s="325"/>
    </row>
    <row r="19" spans="1:15" s="382" customFormat="1" ht="15.75">
      <c r="A19" s="385" t="s">
        <v>914</v>
      </c>
      <c r="B19" s="386" t="s">
        <v>10168</v>
      </c>
      <c r="C19" s="384"/>
      <c r="D19" s="4644" t="e">
        <f>'Data Entry - SOF'!S155</f>
        <v>#DIV/0!</v>
      </c>
      <c r="E19" s="2999"/>
      <c r="F19" s="2989"/>
      <c r="G19" s="2989"/>
      <c r="H19" s="325"/>
      <c r="I19" s="325"/>
      <c r="J19" s="325"/>
      <c r="K19" s="325"/>
      <c r="L19" s="325"/>
      <c r="M19" s="325"/>
      <c r="N19" s="325"/>
      <c r="O19" s="325"/>
    </row>
    <row r="20" spans="1:15" s="382" customFormat="1" ht="15.75">
      <c r="A20" s="385" t="s">
        <v>118</v>
      </c>
      <c r="B20" s="386" t="s">
        <v>3998</v>
      </c>
      <c r="C20" s="384"/>
      <c r="D20" s="4732">
        <f>'Data Entry - SOF'!E92</f>
        <v>1.17</v>
      </c>
      <c r="E20" s="2999">
        <f>'Data Entry - SOF'!S92</f>
        <v>1.17</v>
      </c>
      <c r="F20" s="2989"/>
      <c r="G20" s="2989"/>
      <c r="H20" s="325"/>
      <c r="I20" s="325"/>
      <c r="J20" s="325"/>
      <c r="K20" s="325"/>
      <c r="L20" s="325"/>
      <c r="M20" s="325"/>
      <c r="N20" s="325"/>
      <c r="O20" s="325"/>
    </row>
    <row r="21" spans="1:15" s="382" customFormat="1" ht="15.75">
      <c r="A21" s="385" t="s">
        <v>119</v>
      </c>
      <c r="B21" s="386" t="s">
        <v>8189</v>
      </c>
      <c r="C21" s="4648"/>
      <c r="D21" s="4732">
        <f>'Data Entry - SOF'!S95</f>
        <v>0</v>
      </c>
      <c r="E21" s="4688"/>
      <c r="F21" s="2989"/>
      <c r="G21" s="2989"/>
      <c r="H21" s="325"/>
      <c r="I21" s="325"/>
      <c r="J21" s="325"/>
      <c r="K21" s="325"/>
      <c r="L21" s="325"/>
      <c r="M21" s="325"/>
      <c r="N21" s="325"/>
      <c r="O21" s="325"/>
    </row>
    <row r="22" spans="1:15" s="382" customFormat="1" ht="15.75">
      <c r="A22" s="385" t="s">
        <v>120</v>
      </c>
      <c r="B22" s="386" t="s">
        <v>10243</v>
      </c>
      <c r="C22" s="4648"/>
      <c r="D22" s="4731" t="e">
        <f>'Data Entry - SOF'!S155</f>
        <v>#DIV/0!</v>
      </c>
      <c r="E22" s="4688"/>
      <c r="F22" s="2989"/>
      <c r="G22" s="2989"/>
      <c r="H22" s="325"/>
      <c r="I22" s="325"/>
      <c r="J22" s="325"/>
      <c r="K22" s="325"/>
      <c r="L22" s="325"/>
      <c r="M22" s="325"/>
      <c r="N22" s="325"/>
      <c r="O22" s="325"/>
    </row>
    <row r="23" spans="1:15" s="382" customFormat="1" ht="15.75">
      <c r="A23" s="385" t="s">
        <v>121</v>
      </c>
      <c r="B23" s="386" t="s">
        <v>10244</v>
      </c>
      <c r="C23" s="4648"/>
      <c r="D23" s="4731" t="e">
        <f>'HB3-RollbackRates'!Q3</f>
        <v>#DIV/0!</v>
      </c>
      <c r="E23" s="4688"/>
      <c r="F23" s="2989"/>
      <c r="G23" s="2989"/>
      <c r="H23" s="325"/>
      <c r="I23" s="325"/>
      <c r="J23" s="325"/>
      <c r="K23" s="325"/>
      <c r="L23" s="325"/>
      <c r="M23" s="325"/>
      <c r="N23" s="325"/>
      <c r="O23" s="325"/>
    </row>
    <row r="24" spans="1:15" s="382" customFormat="1" ht="15.75">
      <c r="A24" s="385" t="s">
        <v>1513</v>
      </c>
      <c r="B24" s="719" t="s">
        <v>10245</v>
      </c>
      <c r="C24" s="386"/>
      <c r="D24" s="2932">
        <f>'Data Entry - SOF'!S96</f>
        <v>0</v>
      </c>
      <c r="E24" s="3000">
        <f>'Data Entry - SOF'!S93</f>
        <v>0</v>
      </c>
      <c r="F24" s="717"/>
      <c r="G24" s="717"/>
      <c r="H24" s="325"/>
      <c r="I24" s="325"/>
      <c r="J24" s="325"/>
      <c r="K24" s="325"/>
      <c r="L24" s="325"/>
      <c r="M24" s="325"/>
      <c r="N24" s="325"/>
      <c r="O24" s="325"/>
    </row>
    <row r="25" spans="1:15" s="382" customFormat="1" ht="15.75">
      <c r="A25" s="385" t="s">
        <v>6</v>
      </c>
      <c r="B25" s="386" t="s">
        <v>10246</v>
      </c>
      <c r="C25" s="4677"/>
      <c r="D25" s="4731">
        <f>'Data Entry - SOF'!S100</f>
        <v>0</v>
      </c>
      <c r="E25" s="4678"/>
      <c r="F25" s="717"/>
      <c r="G25" s="717"/>
      <c r="H25" s="325"/>
      <c r="I25" s="325"/>
      <c r="J25" s="325"/>
      <c r="K25" s="325"/>
      <c r="L25" s="325"/>
      <c r="M25" s="325"/>
      <c r="N25" s="325"/>
      <c r="O25" s="325"/>
    </row>
    <row r="26" spans="1:15" s="382" customFormat="1" ht="15.75">
      <c r="A26" s="385" t="s">
        <v>2232</v>
      </c>
      <c r="B26" s="386" t="s">
        <v>8190</v>
      </c>
      <c r="C26" s="386"/>
      <c r="D26" s="2932">
        <f>'Data Entry - SOF'!S101</f>
        <v>0</v>
      </c>
      <c r="E26" s="3000">
        <f>D26</f>
        <v>0</v>
      </c>
      <c r="F26" s="717"/>
      <c r="G26" s="717"/>
      <c r="H26" s="325"/>
      <c r="I26" s="325"/>
      <c r="J26" s="325"/>
      <c r="K26" s="325"/>
      <c r="L26" s="325"/>
      <c r="M26" s="325"/>
      <c r="N26" s="325"/>
      <c r="O26" s="325"/>
    </row>
    <row r="27" spans="1:15" s="382" customFormat="1" ht="15.75">
      <c r="A27" s="385" t="s">
        <v>2233</v>
      </c>
      <c r="B27" s="386" t="s">
        <v>8191</v>
      </c>
      <c r="C27" s="386"/>
      <c r="D27" s="2932">
        <f>D24+D26</f>
        <v>0</v>
      </c>
      <c r="E27" s="3000"/>
      <c r="F27" s="717"/>
      <c r="G27" s="717"/>
      <c r="H27" s="325"/>
      <c r="I27" s="325"/>
      <c r="J27" s="325"/>
      <c r="K27" s="325"/>
      <c r="L27" s="325"/>
      <c r="M27" s="325"/>
      <c r="N27" s="325"/>
      <c r="O27" s="325"/>
    </row>
    <row r="28" spans="1:15" s="382" customFormat="1" ht="15.75">
      <c r="A28" s="385" t="s">
        <v>2722</v>
      </c>
      <c r="B28" s="386" t="s">
        <v>8192</v>
      </c>
      <c r="C28" s="386"/>
      <c r="D28" s="2932">
        <f>'Data Entry - SOF'!S112</f>
        <v>0</v>
      </c>
      <c r="E28" s="3000"/>
      <c r="F28" s="717"/>
      <c r="G28" s="717"/>
      <c r="H28" s="325"/>
      <c r="I28" s="325"/>
      <c r="J28" s="325"/>
      <c r="K28" s="325"/>
      <c r="L28" s="325"/>
      <c r="M28" s="325"/>
      <c r="N28" s="325"/>
      <c r="O28" s="325"/>
    </row>
    <row r="29" spans="1:15" s="382" customFormat="1" ht="18">
      <c r="A29" s="1372" t="s">
        <v>2730</v>
      </c>
      <c r="B29" s="1387"/>
      <c r="C29" s="1387"/>
      <c r="D29" s="3051"/>
      <c r="E29" s="3003"/>
      <c r="F29" s="1377"/>
      <c r="G29" s="1377"/>
      <c r="H29" s="325"/>
      <c r="I29" s="325"/>
      <c r="J29" s="325"/>
      <c r="K29" s="325"/>
      <c r="L29" s="325"/>
      <c r="M29" s="325"/>
      <c r="N29" s="325"/>
      <c r="O29" s="325"/>
    </row>
    <row r="30" spans="1:15" s="382" customFormat="1" ht="15.75">
      <c r="A30" s="385" t="s">
        <v>2723</v>
      </c>
      <c r="B30" s="719" t="s">
        <v>10174</v>
      </c>
      <c r="C30" s="404"/>
      <c r="D30" s="772" t="e">
        <f>Assumptions!H154</f>
        <v>#DIV/0!</v>
      </c>
      <c r="E30" s="3000"/>
      <c r="F30" s="717"/>
      <c r="G30" s="717"/>
      <c r="H30" s="325"/>
      <c r="I30" s="325"/>
      <c r="J30" s="325"/>
      <c r="K30" s="325"/>
      <c r="L30" s="325"/>
      <c r="M30" s="325"/>
      <c r="N30" s="325"/>
      <c r="O30" s="325"/>
    </row>
    <row r="31" spans="1:15" s="382" customFormat="1" ht="15.75">
      <c r="A31" s="385" t="s">
        <v>2726</v>
      </c>
      <c r="B31" s="4691" t="s">
        <v>10175</v>
      </c>
      <c r="C31" s="4690"/>
      <c r="D31" s="4733">
        <f>'Data Entry - SOF'!Q19</f>
        <v>0</v>
      </c>
      <c r="E31" s="4678"/>
      <c r="F31" s="717"/>
      <c r="G31" s="717"/>
      <c r="H31" s="325"/>
      <c r="I31" s="325"/>
      <c r="J31" s="325"/>
      <c r="K31" s="325"/>
      <c r="L31" s="325"/>
      <c r="M31" s="325"/>
      <c r="N31" s="325"/>
      <c r="O31" s="325"/>
    </row>
    <row r="32" spans="1:15" s="382" customFormat="1" ht="15.75">
      <c r="A32" s="385" t="s">
        <v>2727</v>
      </c>
      <c r="B32" s="386" t="s">
        <v>2738</v>
      </c>
      <c r="C32" s="386"/>
      <c r="D32" s="3084">
        <f>Assumptions!H159</f>
        <v>200</v>
      </c>
      <c r="E32" s="3001">
        <f>D32</f>
        <v>200</v>
      </c>
      <c r="F32" s="2990"/>
      <c r="G32" s="2990"/>
      <c r="H32" s="325"/>
      <c r="I32" s="325"/>
      <c r="J32" s="325"/>
      <c r="K32" s="325"/>
      <c r="L32" s="325"/>
      <c r="M32" s="325"/>
      <c r="N32" s="325"/>
      <c r="O32" s="325"/>
    </row>
    <row r="33" spans="1:15" s="382" customFormat="1" ht="18">
      <c r="A33" s="1388" t="s">
        <v>2759</v>
      </c>
      <c r="B33" s="1387"/>
      <c r="C33" s="1387"/>
      <c r="D33" s="3051"/>
      <c r="E33" s="3003"/>
      <c r="F33" s="1377"/>
      <c r="G33" s="1377"/>
      <c r="H33" s="325"/>
      <c r="I33" s="325"/>
      <c r="J33" s="325"/>
      <c r="K33" s="325"/>
      <c r="L33" s="325"/>
      <c r="M33" s="325"/>
      <c r="N33" s="325"/>
      <c r="O33" s="325"/>
    </row>
    <row r="34" spans="1:15" s="382" customFormat="1" ht="18">
      <c r="A34" s="1388" t="s">
        <v>10176</v>
      </c>
      <c r="B34" s="1388"/>
      <c r="C34" s="1387"/>
      <c r="D34" s="3051"/>
      <c r="E34" s="3003"/>
      <c r="F34" s="1377"/>
      <c r="G34" s="1377"/>
      <c r="H34" s="325"/>
      <c r="I34" s="325"/>
      <c r="J34" s="325"/>
      <c r="K34" s="325"/>
      <c r="L34" s="325"/>
      <c r="M34" s="325"/>
      <c r="N34" s="325"/>
      <c r="O34" s="325"/>
    </row>
    <row r="35" spans="1:15" s="382" customFormat="1" ht="15.75">
      <c r="A35" s="385" t="s">
        <v>2728</v>
      </c>
      <c r="B35" s="386" t="s">
        <v>10177</v>
      </c>
      <c r="C35" s="386"/>
      <c r="D35" s="2932" t="e">
        <f>'SOF2324-HB3'!I20</f>
        <v>#DIV/0!</v>
      </c>
      <c r="E35" s="3000" t="e">
        <f>'SOF2324-HB3'!I20</f>
        <v>#DIV/0!</v>
      </c>
      <c r="F35" s="717"/>
      <c r="G35" s="717"/>
      <c r="H35" s="325"/>
      <c r="I35" s="325"/>
      <c r="J35" s="325"/>
      <c r="K35" s="325"/>
      <c r="L35" s="325"/>
      <c r="M35" s="325"/>
      <c r="N35" s="325"/>
      <c r="O35" s="325"/>
    </row>
    <row r="36" spans="1:15" s="382" customFormat="1" ht="15.75">
      <c r="A36" s="385" t="s">
        <v>2729</v>
      </c>
      <c r="B36" s="4677" t="s">
        <v>10178</v>
      </c>
      <c r="C36" s="4677"/>
      <c r="D36" s="4689">
        <f>'SOF2324-HB3'!I21</f>
        <v>0</v>
      </c>
      <c r="E36" s="4678"/>
      <c r="F36" s="717"/>
      <c r="G36" s="717"/>
      <c r="H36" s="325"/>
      <c r="I36" s="325"/>
      <c r="J36" s="325"/>
      <c r="K36" s="325"/>
      <c r="L36" s="325"/>
      <c r="M36" s="325"/>
      <c r="N36" s="325"/>
      <c r="O36" s="325"/>
    </row>
    <row r="37" spans="1:15" s="382" customFormat="1" ht="15.75">
      <c r="A37" s="385" t="s">
        <v>2731</v>
      </c>
      <c r="B37" s="386" t="s">
        <v>10179</v>
      </c>
      <c r="C37" s="386"/>
      <c r="D37" s="2932" t="e">
        <f>SUM('SOF2324-HB3'!I22:I28)</f>
        <v>#DIV/0!</v>
      </c>
      <c r="E37" s="3000" t="e">
        <f>'SOF2324-HB3'!I170</f>
        <v>#DIV/0!</v>
      </c>
      <c r="F37" s="717"/>
      <c r="G37" s="717"/>
      <c r="H37" s="325"/>
      <c r="I37" s="325"/>
      <c r="J37" s="325"/>
      <c r="K37" s="325"/>
      <c r="L37" s="325"/>
      <c r="M37" s="325"/>
      <c r="N37" s="325"/>
      <c r="O37" s="325"/>
    </row>
    <row r="38" spans="1:15" s="382" customFormat="1" ht="15.75">
      <c r="A38" s="385" t="s">
        <v>2732</v>
      </c>
      <c r="B38" s="4677" t="s">
        <v>10180</v>
      </c>
      <c r="C38" s="4677"/>
      <c r="D38" s="4689" t="e">
        <f>'SOF2324-HB3'!I49</f>
        <v>#DIV/0!</v>
      </c>
      <c r="E38" s="4678"/>
      <c r="F38" s="717"/>
      <c r="G38" s="717"/>
      <c r="H38" s="325"/>
      <c r="I38" s="325"/>
      <c r="J38" s="325"/>
      <c r="K38" s="325"/>
      <c r="L38" s="325"/>
      <c r="M38" s="325"/>
      <c r="N38" s="325"/>
      <c r="O38" s="325"/>
    </row>
    <row r="39" spans="1:15" s="382" customFormat="1" ht="15.75">
      <c r="A39" s="385" t="s">
        <v>2733</v>
      </c>
      <c r="B39" s="386" t="s">
        <v>10181</v>
      </c>
      <c r="C39" s="386"/>
      <c r="D39" s="2932" t="e">
        <f>SUM('SOF2324-HB3'!I36:I43)</f>
        <v>#DIV/0!</v>
      </c>
      <c r="E39" s="3000" t="e">
        <f>'SOF2324-HB3'!I173</f>
        <v>#DIV/0!</v>
      </c>
      <c r="F39" s="717"/>
      <c r="G39" s="717"/>
      <c r="H39" s="325"/>
      <c r="I39" s="325"/>
      <c r="J39" s="325"/>
      <c r="K39" s="325"/>
      <c r="L39" s="325"/>
      <c r="M39" s="325"/>
      <c r="N39" s="325"/>
      <c r="O39" s="325"/>
    </row>
    <row r="40" spans="1:15" s="382" customFormat="1" ht="15.75">
      <c r="A40" s="385" t="s">
        <v>2734</v>
      </c>
      <c r="B40" s="386" t="s">
        <v>10182</v>
      </c>
      <c r="C40" s="386"/>
      <c r="D40" s="2932" t="e">
        <f>SUM('SOF2324-HB3'!I46:I48)</f>
        <v>#DIV/0!</v>
      </c>
      <c r="E40" s="3000">
        <f>'SOF2324-HB3'!I176</f>
        <v>0</v>
      </c>
      <c r="F40" s="717"/>
      <c r="G40" s="717"/>
      <c r="H40" s="325"/>
      <c r="I40" s="325"/>
      <c r="J40" s="325"/>
      <c r="K40" s="325"/>
      <c r="L40" s="325"/>
      <c r="M40" s="325"/>
      <c r="N40" s="325"/>
      <c r="O40" s="325"/>
    </row>
    <row r="41" spans="1:15" s="382" customFormat="1" ht="15.75">
      <c r="A41" s="385" t="s">
        <v>2735</v>
      </c>
      <c r="B41" s="386" t="s">
        <v>10183</v>
      </c>
      <c r="C41" s="386"/>
      <c r="D41" s="2932" t="e">
        <f>'SOF2324-HB3'!I29+'SOF2324-HB3'!I30</f>
        <v>#DIV/0!</v>
      </c>
      <c r="E41" s="3000" t="e">
        <f>'SOF2324-HB3'!I171</f>
        <v>#DIV/0!</v>
      </c>
      <c r="F41" s="717"/>
      <c r="G41" s="717"/>
      <c r="H41" s="325"/>
      <c r="I41" s="325"/>
      <c r="J41" s="325"/>
      <c r="K41" s="325"/>
      <c r="L41" s="325"/>
      <c r="M41" s="325"/>
      <c r="N41" s="325"/>
      <c r="O41" s="325"/>
    </row>
    <row r="42" spans="1:15" s="382" customFormat="1" ht="15.75">
      <c r="A42" s="385" t="s">
        <v>2740</v>
      </c>
      <c r="B42" s="386" t="s">
        <v>10184</v>
      </c>
      <c r="C42" s="386"/>
      <c r="D42" s="2932" t="e">
        <f>'SOF2324-HB3'!I53</f>
        <v>#DIV/0!</v>
      </c>
      <c r="E42" s="3000" t="e">
        <f>'SOF2324-HB3'!I53</f>
        <v>#DIV/0!</v>
      </c>
      <c r="F42" s="717"/>
      <c r="G42" s="717"/>
      <c r="H42" s="325"/>
      <c r="I42" s="325"/>
      <c r="J42" s="325"/>
      <c r="K42" s="325"/>
      <c r="L42" s="325"/>
      <c r="M42" s="325"/>
      <c r="N42" s="325"/>
      <c r="O42" s="325"/>
    </row>
    <row r="43" spans="1:15" s="382" customFormat="1" ht="15.75">
      <c r="A43" s="385" t="s">
        <v>2741</v>
      </c>
      <c r="B43" s="4677" t="s">
        <v>10185</v>
      </c>
      <c r="C43" s="4677"/>
      <c r="D43" s="4689" t="e">
        <f>'SOF2324-HB3'!I50</f>
        <v>#DIV/0!</v>
      </c>
      <c r="E43" s="4678"/>
      <c r="F43" s="717"/>
      <c r="G43" s="717"/>
      <c r="H43" s="325"/>
      <c r="I43" s="325"/>
      <c r="J43" s="325"/>
      <c r="K43" s="325"/>
      <c r="L43" s="325"/>
      <c r="M43" s="325"/>
      <c r="N43" s="325"/>
      <c r="O43" s="325"/>
    </row>
    <row r="44" spans="1:15" s="382" customFormat="1" ht="15.75">
      <c r="A44" s="385" t="s">
        <v>2742</v>
      </c>
      <c r="B44" s="4692" t="s">
        <v>10186</v>
      </c>
      <c r="C44" s="4677"/>
      <c r="D44" s="3263">
        <f>'SOF2324-HB3'!I51</f>
        <v>0</v>
      </c>
      <c r="E44" s="4678"/>
      <c r="F44" s="717"/>
      <c r="G44" s="717"/>
      <c r="H44" s="325"/>
      <c r="I44" s="325"/>
      <c r="J44" s="325"/>
      <c r="K44" s="325"/>
      <c r="L44" s="325"/>
      <c r="M44" s="325"/>
      <c r="N44" s="325"/>
      <c r="O44" s="325"/>
    </row>
    <row r="45" spans="1:15" s="382" customFormat="1" ht="15.75">
      <c r="A45" s="385" t="s">
        <v>2743</v>
      </c>
      <c r="B45" s="4693" t="s">
        <v>10187</v>
      </c>
      <c r="C45" s="3262"/>
      <c r="D45" s="3263">
        <f>'SOF2324-HB3'!I54</f>
        <v>0</v>
      </c>
      <c r="E45" s="3264"/>
      <c r="F45" s="717"/>
      <c r="G45" s="717"/>
      <c r="H45" s="325"/>
      <c r="I45" s="325"/>
      <c r="J45" s="325"/>
      <c r="K45" s="325"/>
      <c r="L45" s="325"/>
      <c r="M45" s="325"/>
      <c r="N45" s="325"/>
      <c r="O45" s="325"/>
    </row>
    <row r="46" spans="1:15" s="382" customFormat="1" ht="15.75">
      <c r="A46" s="385" t="s">
        <v>2744</v>
      </c>
      <c r="B46" s="4693" t="s">
        <v>10188</v>
      </c>
      <c r="C46" s="3262"/>
      <c r="D46" s="3263">
        <f>'SOF2324-HB3'!I55</f>
        <v>0</v>
      </c>
      <c r="E46" s="3264"/>
      <c r="F46" s="717"/>
      <c r="G46" s="717"/>
      <c r="H46" s="325"/>
      <c r="I46" s="325"/>
      <c r="J46" s="325"/>
      <c r="K46" s="325"/>
      <c r="L46" s="325"/>
      <c r="M46" s="325"/>
      <c r="N46" s="325"/>
      <c r="O46" s="325"/>
    </row>
    <row r="47" spans="1:15" s="382" customFormat="1" ht="15.75">
      <c r="A47" s="385" t="s">
        <v>2745</v>
      </c>
      <c r="B47" s="4694" t="s">
        <v>10189</v>
      </c>
      <c r="C47" s="3262"/>
      <c r="D47" s="3263">
        <f>'SOF2324-HB3'!I56</f>
        <v>0</v>
      </c>
      <c r="E47" s="3264"/>
      <c r="F47" s="717"/>
      <c r="G47" s="717"/>
      <c r="H47" s="325"/>
      <c r="I47" s="325"/>
      <c r="J47" s="325"/>
      <c r="K47" s="325"/>
      <c r="L47" s="325"/>
      <c r="M47" s="325"/>
      <c r="N47" s="325"/>
      <c r="O47" s="325"/>
    </row>
    <row r="48" spans="1:15" s="382" customFormat="1" ht="15.75">
      <c r="A48" s="385" t="s">
        <v>2746</v>
      </c>
      <c r="B48" s="4693" t="s">
        <v>10190</v>
      </c>
      <c r="C48" s="3262"/>
      <c r="D48" s="3263">
        <f>'SOF2324-HB3'!I57</f>
        <v>0</v>
      </c>
      <c r="E48" s="3264"/>
      <c r="F48" s="717"/>
      <c r="G48" s="717"/>
      <c r="H48" s="325"/>
      <c r="I48" s="325"/>
      <c r="J48" s="325"/>
      <c r="K48" s="325"/>
      <c r="L48" s="325"/>
      <c r="M48" s="325"/>
      <c r="N48" s="325"/>
      <c r="O48" s="325"/>
    </row>
    <row r="49" spans="1:15" s="382" customFormat="1" ht="18">
      <c r="A49" s="1388" t="s">
        <v>10191</v>
      </c>
      <c r="B49" s="1388"/>
      <c r="C49" s="1387"/>
      <c r="D49" s="3051"/>
      <c r="E49" s="3003"/>
      <c r="F49" s="1377"/>
      <c r="G49" s="1377"/>
      <c r="H49" s="325"/>
      <c r="I49" s="325"/>
      <c r="J49" s="325"/>
      <c r="K49" s="325"/>
      <c r="L49" s="325"/>
      <c r="M49" s="325"/>
      <c r="N49" s="325"/>
      <c r="O49" s="325"/>
    </row>
    <row r="50" spans="1:15" s="382" customFormat="1" ht="15.75">
      <c r="A50" s="385" t="s">
        <v>2747</v>
      </c>
      <c r="B50" s="386" t="s">
        <v>10192</v>
      </c>
      <c r="C50" s="386"/>
      <c r="D50" s="2932">
        <f>'SOF2324-HB3'!I60</f>
        <v>0</v>
      </c>
      <c r="E50" s="3000">
        <f>'SOF2324-HB3'!I60</f>
        <v>0</v>
      </c>
      <c r="F50" s="717"/>
      <c r="G50" s="717"/>
      <c r="H50" s="325"/>
      <c r="I50" s="325"/>
      <c r="J50" s="325"/>
      <c r="K50" s="325"/>
      <c r="L50" s="325"/>
      <c r="M50" s="325"/>
      <c r="N50" s="325"/>
      <c r="O50" s="325"/>
    </row>
    <row r="51" spans="1:15" s="382" customFormat="1" ht="15.75">
      <c r="A51" s="385" t="s">
        <v>2748</v>
      </c>
      <c r="B51" s="386" t="s">
        <v>10193</v>
      </c>
      <c r="C51" s="386"/>
      <c r="D51" s="2932">
        <f>'SOF2324-HB3'!I59</f>
        <v>0</v>
      </c>
      <c r="E51" s="3000">
        <f>'SOF2324-HB3'!I59</f>
        <v>0</v>
      </c>
      <c r="F51" s="717"/>
      <c r="G51" s="717"/>
      <c r="H51" s="325"/>
      <c r="I51" s="325"/>
      <c r="J51" s="325"/>
      <c r="K51" s="325"/>
      <c r="L51" s="325"/>
      <c r="M51" s="325"/>
      <c r="N51" s="325"/>
      <c r="O51" s="325"/>
    </row>
    <row r="52" spans="1:15" s="382" customFormat="1" ht="15.75">
      <c r="A52" s="385" t="s">
        <v>2749</v>
      </c>
      <c r="B52" s="4677" t="s">
        <v>10194</v>
      </c>
      <c r="C52" s="4677"/>
      <c r="D52" s="4689">
        <f>'SOF2324-HB3'!I63</f>
        <v>0</v>
      </c>
      <c r="E52" s="4678"/>
      <c r="F52" s="717"/>
      <c r="G52" s="717"/>
      <c r="H52" s="325"/>
      <c r="I52" s="325"/>
      <c r="J52" s="325"/>
      <c r="K52" s="325"/>
      <c r="L52" s="325"/>
      <c r="M52" s="325"/>
      <c r="N52" s="325"/>
      <c r="O52" s="325"/>
    </row>
    <row r="53" spans="1:15" ht="15">
      <c r="A53" s="385" t="s">
        <v>2750</v>
      </c>
      <c r="B53" s="4677" t="s">
        <v>10195</v>
      </c>
      <c r="C53" s="4677"/>
      <c r="D53" s="4689">
        <f>'SOF2324-HB3'!I58</f>
        <v>0</v>
      </c>
    </row>
    <row r="54" spans="1:15" ht="15">
      <c r="A54" s="385" t="s">
        <v>2751</v>
      </c>
      <c r="B54" s="4677" t="s">
        <v>10339</v>
      </c>
      <c r="C54" s="4677"/>
      <c r="D54" s="4689">
        <f>'SOF2324-HB3'!I64</f>
        <v>0</v>
      </c>
    </row>
    <row r="55" spans="1:15" ht="15">
      <c r="A55" s="385" t="s">
        <v>2752</v>
      </c>
      <c r="B55" s="4677" t="s">
        <v>10197</v>
      </c>
      <c r="C55" s="4677"/>
      <c r="D55" s="4689">
        <f>'SOF2324-HB3'!I65</f>
        <v>0</v>
      </c>
    </row>
    <row r="56" spans="1:15" ht="15">
      <c r="A56" s="385" t="s">
        <v>2753</v>
      </c>
      <c r="B56" s="4677" t="s">
        <v>10198</v>
      </c>
      <c r="C56" s="4677"/>
      <c r="D56" s="4689">
        <f>'SOF2324-HB3'!I34</f>
        <v>0</v>
      </c>
    </row>
    <row r="57" spans="1:15" s="382" customFormat="1" ht="15.75">
      <c r="A57" s="385" t="s">
        <v>2754</v>
      </c>
      <c r="B57" s="719" t="s">
        <v>3357</v>
      </c>
      <c r="C57" s="386"/>
      <c r="D57" s="2932" t="e">
        <f>'SOF2324-HB3'!I66</f>
        <v>#DIV/0!</v>
      </c>
      <c r="E57" s="3000" t="e">
        <f>'SOF2324-HB3'!I66</f>
        <v>#DIV/0!</v>
      </c>
      <c r="F57" s="717"/>
      <c r="G57" s="717"/>
      <c r="H57" s="325"/>
      <c r="I57" s="325"/>
      <c r="J57" s="325"/>
      <c r="K57" s="325"/>
      <c r="L57" s="325"/>
      <c r="M57" s="325"/>
      <c r="N57" s="325"/>
      <c r="O57" s="325"/>
    </row>
    <row r="58" spans="1:15" s="382" customFormat="1" ht="15.75">
      <c r="A58" s="385" t="s">
        <v>2755</v>
      </c>
      <c r="B58" s="386" t="s">
        <v>2763</v>
      </c>
      <c r="C58" s="386"/>
      <c r="D58" s="2932" t="e">
        <f>'SOF2324-HB3'!I67</f>
        <v>#DIV/0!</v>
      </c>
      <c r="E58" s="3000" t="e">
        <f>'SOF2324-HB3'!I67</f>
        <v>#DIV/0!</v>
      </c>
      <c r="F58" s="717"/>
      <c r="G58" s="717"/>
      <c r="H58" s="325"/>
      <c r="I58" s="325"/>
      <c r="J58" s="325"/>
      <c r="K58" s="325"/>
      <c r="L58" s="325"/>
      <c r="M58" s="325"/>
      <c r="N58" s="325"/>
      <c r="O58" s="325"/>
    </row>
    <row r="59" spans="1:15" s="382" customFormat="1" ht="15.75">
      <c r="A59" s="385" t="s">
        <v>2756</v>
      </c>
      <c r="B59" s="386" t="s">
        <v>2764</v>
      </c>
      <c r="C59" s="386"/>
      <c r="D59" s="2932">
        <f>'SOF2324-HB3'!I111</f>
        <v>0</v>
      </c>
      <c r="E59" s="3000">
        <f>'SOF2324-HB3'!H113</f>
        <v>0</v>
      </c>
      <c r="F59" s="717"/>
      <c r="G59" s="717"/>
      <c r="H59" s="325"/>
      <c r="I59" s="325"/>
      <c r="J59" s="325"/>
      <c r="K59" s="325"/>
      <c r="L59" s="325"/>
      <c r="M59" s="325"/>
      <c r="N59" s="325"/>
      <c r="O59" s="325"/>
    </row>
    <row r="60" spans="1:15" s="382" customFormat="1" ht="18">
      <c r="A60" s="1390" t="s">
        <v>10199</v>
      </c>
      <c r="B60" s="1391"/>
      <c r="C60" s="1391"/>
      <c r="D60" s="3085"/>
      <c r="E60" s="3006"/>
      <c r="F60" s="1377"/>
      <c r="G60" s="1377"/>
      <c r="H60" s="325"/>
      <c r="I60" s="325"/>
      <c r="J60" s="325"/>
      <c r="K60" s="325"/>
      <c r="L60" s="325"/>
      <c r="M60" s="325"/>
      <c r="N60" s="325"/>
      <c r="O60" s="325"/>
    </row>
    <row r="61" spans="1:15" s="382" customFormat="1" ht="15.75">
      <c r="A61" s="385" t="s">
        <v>2757</v>
      </c>
      <c r="B61" s="386" t="s">
        <v>10252</v>
      </c>
      <c r="C61" s="386"/>
      <c r="D61" s="2932" t="e">
        <f>IF(D57-D58-D59&lt;=0,0,D57-D58-D59)</f>
        <v>#DIV/0!</v>
      </c>
      <c r="E61" s="3000" t="e">
        <f>'SOF2324-HB3'!I68</f>
        <v>#DIV/0!</v>
      </c>
      <c r="F61" s="717"/>
      <c r="G61" s="717"/>
      <c r="H61" s="325"/>
      <c r="I61" s="325"/>
      <c r="J61" s="325"/>
      <c r="K61" s="325"/>
      <c r="L61" s="325"/>
      <c r="M61" s="325"/>
      <c r="N61" s="325"/>
      <c r="O61" s="325"/>
    </row>
    <row r="62" spans="1:15" s="382" customFormat="1" ht="15.75">
      <c r="A62" s="385" t="s">
        <v>2758</v>
      </c>
      <c r="B62" s="718" t="s">
        <v>3358</v>
      </c>
      <c r="C62" s="386"/>
      <c r="D62" s="2932" t="e">
        <f>'SOF2324-HB3'!I83</f>
        <v>#DIV/0!</v>
      </c>
      <c r="E62" s="3000" t="e">
        <f>'SOF2324-HB3'!I87</f>
        <v>#DIV/0!</v>
      </c>
      <c r="F62" s="717"/>
      <c r="G62" s="717"/>
      <c r="H62" s="325"/>
      <c r="I62" s="325"/>
      <c r="J62" s="325"/>
      <c r="K62" s="325"/>
      <c r="L62" s="325"/>
      <c r="M62" s="325"/>
      <c r="N62" s="325"/>
      <c r="O62" s="325"/>
    </row>
    <row r="63" spans="1:15" s="382" customFormat="1" ht="15.75">
      <c r="A63" s="385" t="s">
        <v>2773</v>
      </c>
      <c r="B63" s="719" t="s">
        <v>3359</v>
      </c>
      <c r="C63" s="386"/>
      <c r="D63" s="2932" t="e">
        <f>'SOF2324-HB3'!I103+'SOF2324-HB3'!I127+'SOF2324-HB3'!I128</f>
        <v>#DIV/0!</v>
      </c>
      <c r="E63" s="3000"/>
      <c r="F63" s="717"/>
      <c r="G63" s="717"/>
      <c r="H63" s="565" t="s">
        <v>10219</v>
      </c>
      <c r="I63" s="325"/>
      <c r="J63" s="325"/>
      <c r="K63" s="325"/>
      <c r="L63" s="325"/>
      <c r="M63" s="325"/>
      <c r="N63" s="325"/>
      <c r="O63" s="325"/>
    </row>
    <row r="64" spans="1:15" s="382" customFormat="1" ht="15.75">
      <c r="A64" s="385" t="s">
        <v>2774</v>
      </c>
      <c r="B64" s="386" t="s">
        <v>2766</v>
      </c>
      <c r="C64" s="386"/>
      <c r="D64" s="2932" t="e">
        <f>D61+D62+D63</f>
        <v>#DIV/0!</v>
      </c>
      <c r="E64" s="3000"/>
      <c r="F64" s="717"/>
      <c r="G64" s="717"/>
      <c r="H64" s="325"/>
      <c r="I64" s="325"/>
      <c r="J64" s="325"/>
      <c r="K64" s="325"/>
      <c r="L64" s="325"/>
      <c r="M64" s="325"/>
      <c r="N64" s="325"/>
      <c r="O64" s="325"/>
    </row>
    <row r="65" spans="1:15" s="382" customFormat="1" ht="18">
      <c r="A65" s="1372" t="s">
        <v>10200</v>
      </c>
      <c r="B65" s="1387"/>
      <c r="C65" s="1387"/>
      <c r="D65" s="3051"/>
      <c r="E65" s="3003"/>
      <c r="F65" s="1377"/>
      <c r="G65" s="1377"/>
      <c r="H65" s="325"/>
      <c r="I65" s="325"/>
      <c r="J65" s="325"/>
      <c r="K65" s="325"/>
      <c r="L65" s="325"/>
      <c r="M65" s="325"/>
      <c r="N65" s="325"/>
      <c r="O65" s="325"/>
    </row>
    <row r="66" spans="1:15" s="382" customFormat="1" ht="18">
      <c r="A66" s="1388" t="s">
        <v>10201</v>
      </c>
      <c r="B66" s="1388"/>
      <c r="C66" s="1387"/>
      <c r="D66" s="3051"/>
      <c r="E66" s="3003"/>
      <c r="F66" s="1377"/>
      <c r="G66" s="1377"/>
      <c r="H66" s="325"/>
      <c r="I66" s="325"/>
      <c r="J66" s="325"/>
      <c r="K66" s="325"/>
      <c r="L66" s="325"/>
      <c r="M66" s="325"/>
      <c r="N66" s="325"/>
      <c r="O66" s="325"/>
    </row>
    <row r="67" spans="1:15" s="382" customFormat="1" ht="15.75">
      <c r="A67" s="385" t="s">
        <v>2775</v>
      </c>
      <c r="B67" s="386" t="s">
        <v>2779</v>
      </c>
      <c r="C67" s="386"/>
      <c r="D67" s="2932" t="e">
        <f>D64</f>
        <v>#DIV/0!</v>
      </c>
      <c r="E67" s="3000">
        <f>'SOF2324-HB3'!I112</f>
        <v>0</v>
      </c>
      <c r="F67" s="717"/>
      <c r="G67" s="717"/>
      <c r="H67" s="325"/>
      <c r="I67" s="325"/>
      <c r="J67" s="325"/>
      <c r="K67" s="325"/>
      <c r="L67" s="325"/>
      <c r="M67" s="325"/>
      <c r="N67" s="325"/>
      <c r="O67" s="325"/>
    </row>
    <row r="68" spans="1:15" s="382" customFormat="1" ht="15.75">
      <c r="A68" s="385" t="s">
        <v>2776</v>
      </c>
      <c r="B68" s="386" t="s">
        <v>3047</v>
      </c>
      <c r="C68" s="386"/>
      <c r="D68" s="2932">
        <f>'SOF2324-HB3'!I110</f>
        <v>0</v>
      </c>
      <c r="E68" s="3000">
        <f>'SOF2324-HB3'!I113</f>
        <v>0</v>
      </c>
      <c r="F68" s="717"/>
      <c r="G68" s="717"/>
      <c r="H68" s="325"/>
      <c r="I68" s="325"/>
      <c r="J68" s="325"/>
      <c r="K68" s="325"/>
      <c r="L68" s="325"/>
      <c r="M68" s="325"/>
      <c r="N68" s="325"/>
      <c r="O68" s="325"/>
    </row>
    <row r="69" spans="1:15" s="382" customFormat="1" ht="18">
      <c r="A69" s="1388" t="s">
        <v>10202</v>
      </c>
      <c r="B69" s="1388"/>
      <c r="C69" s="1387"/>
      <c r="D69" s="3051"/>
      <c r="E69" s="3003"/>
      <c r="F69" s="1377"/>
      <c r="G69" s="1377"/>
      <c r="H69" s="325"/>
      <c r="I69" s="325"/>
      <c r="J69" s="325"/>
      <c r="K69" s="325"/>
      <c r="L69" s="325"/>
      <c r="M69" s="325"/>
      <c r="N69" s="325"/>
      <c r="O69" s="325"/>
    </row>
    <row r="70" spans="1:15" s="382" customFormat="1" ht="15.75">
      <c r="A70" s="385" t="s">
        <v>2777</v>
      </c>
      <c r="B70" s="718" t="s">
        <v>3360</v>
      </c>
      <c r="C70" s="386"/>
      <c r="D70" s="2932">
        <f>'SOF2324-HB3'!I112</f>
        <v>0</v>
      </c>
      <c r="E70" s="3000">
        <f>D70</f>
        <v>0</v>
      </c>
      <c r="F70" s="717"/>
      <c r="G70" s="717"/>
      <c r="H70" s="325"/>
      <c r="I70" s="325"/>
      <c r="J70" s="325"/>
      <c r="K70" s="325"/>
      <c r="L70" s="325"/>
      <c r="M70" s="325"/>
      <c r="N70" s="325"/>
      <c r="O70" s="325"/>
    </row>
    <row r="71" spans="1:15" s="382" customFormat="1" ht="15.75">
      <c r="A71" s="385" t="s">
        <v>2778</v>
      </c>
      <c r="B71" s="719" t="s">
        <v>3361</v>
      </c>
      <c r="C71" s="386"/>
      <c r="D71" s="2932">
        <f>'IFA-HB3'!Z86</f>
        <v>0</v>
      </c>
      <c r="E71" s="3000">
        <f>D71</f>
        <v>0</v>
      </c>
      <c r="F71" s="717"/>
      <c r="G71" s="717"/>
      <c r="H71" s="325"/>
      <c r="I71" s="325"/>
      <c r="J71" s="325"/>
      <c r="K71" s="325"/>
      <c r="L71" s="325"/>
      <c r="M71" s="325"/>
      <c r="N71" s="325"/>
      <c r="O71" s="325"/>
    </row>
    <row r="72" spans="1:15" s="382" customFormat="1" ht="15.75">
      <c r="A72" s="385" t="s">
        <v>2917</v>
      </c>
      <c r="B72" s="718" t="s">
        <v>3194</v>
      </c>
      <c r="C72" s="386"/>
      <c r="D72" s="2932">
        <f>'IFA-HB3'!AB75</f>
        <v>0</v>
      </c>
      <c r="E72" s="3000">
        <f>D72</f>
        <v>0</v>
      </c>
      <c r="F72" s="717"/>
      <c r="G72" s="717"/>
      <c r="H72" s="325"/>
      <c r="I72" s="325"/>
      <c r="J72" s="325"/>
      <c r="K72" s="325"/>
      <c r="L72" s="325"/>
      <c r="M72" s="325"/>
      <c r="N72" s="325"/>
      <c r="O72" s="325"/>
    </row>
    <row r="73" spans="1:15" s="382" customFormat="1" ht="15.75">
      <c r="A73" s="385" t="s">
        <v>3206</v>
      </c>
      <c r="B73" s="386" t="s">
        <v>4037</v>
      </c>
      <c r="C73" s="386"/>
      <c r="D73" s="2932" t="e">
        <f>'HH2324-Calcs'!C51</f>
        <v>#DIV/0!</v>
      </c>
      <c r="E73" s="3000"/>
      <c r="F73" s="717"/>
      <c r="G73" s="717"/>
      <c r="H73" s="325"/>
      <c r="I73" s="325"/>
      <c r="J73" s="325"/>
      <c r="K73" s="325"/>
      <c r="L73" s="325"/>
      <c r="M73" s="325"/>
      <c r="N73" s="325"/>
      <c r="O73" s="325"/>
    </row>
    <row r="74" spans="1:15" s="382" customFormat="1" ht="18">
      <c r="A74" s="385" t="s">
        <v>3207</v>
      </c>
      <c r="B74" s="1303" t="s">
        <v>8193</v>
      </c>
      <c r="C74" s="1393"/>
      <c r="D74" s="3086" t="e">
        <f>'SOF2324-HB3'!I115+'SOF2324-HB3'!I127+'SOF2324-HB3'!I128+D73</f>
        <v>#DIV/0!</v>
      </c>
      <c r="E74" s="3002">
        <f>'SOF2324-HB3'!I118</f>
        <v>0</v>
      </c>
      <c r="F74" s="2991"/>
      <c r="G74" s="2991"/>
      <c r="H74" s="325"/>
      <c r="I74" s="325"/>
      <c r="J74" s="325"/>
      <c r="K74" s="325"/>
      <c r="L74" s="325"/>
      <c r="M74" s="325"/>
      <c r="N74" s="325"/>
      <c r="O74" s="325"/>
    </row>
    <row r="75" spans="1:15" s="382" customFormat="1" ht="18">
      <c r="A75" s="1388" t="s">
        <v>10203</v>
      </c>
      <c r="B75" s="1388"/>
      <c r="C75" s="1387"/>
      <c r="D75" s="3051"/>
      <c r="E75" s="3003"/>
      <c r="F75" s="1377"/>
      <c r="G75" s="1377"/>
      <c r="H75" s="325"/>
      <c r="I75" s="325"/>
      <c r="J75" s="325"/>
      <c r="K75" s="325"/>
      <c r="L75" s="325"/>
      <c r="M75" s="325"/>
      <c r="N75" s="325"/>
      <c r="O75" s="325"/>
    </row>
    <row r="76" spans="1:15" s="382" customFormat="1" ht="15.75">
      <c r="A76" s="385" t="s">
        <v>3208</v>
      </c>
      <c r="B76" s="4677" t="s">
        <v>10203</v>
      </c>
      <c r="C76" s="4677"/>
      <c r="D76" s="4689" t="e">
        <f>'SOF2324-HB3'!I79+'SOF2324-HB3'!I87</f>
        <v>#DIV/0!</v>
      </c>
      <c r="H76" s="325"/>
      <c r="I76" s="325"/>
      <c r="J76" s="325"/>
      <c r="K76" s="325"/>
      <c r="L76" s="325"/>
      <c r="M76" s="325"/>
      <c r="N76" s="325"/>
      <c r="O76" s="325"/>
    </row>
    <row r="77" spans="1:15" s="382" customFormat="1" ht="15.75">
      <c r="A77" s="4695"/>
      <c r="B77" s="4687"/>
      <c r="C77" s="4687"/>
      <c r="D77" s="4687"/>
      <c r="H77" s="325"/>
      <c r="I77" s="325"/>
      <c r="J77" s="325"/>
      <c r="K77" s="325"/>
      <c r="L77" s="325"/>
      <c r="M77" s="325"/>
      <c r="N77" s="325"/>
      <c r="O77" s="325"/>
    </row>
    <row r="78" spans="1:15" s="382" customFormat="1" ht="15.75">
      <c r="A78" s="645" t="s">
        <v>3209</v>
      </c>
      <c r="B78" s="4696" t="s">
        <v>10204</v>
      </c>
      <c r="C78" s="4697"/>
      <c r="D78" s="4697"/>
      <c r="H78" s="325"/>
      <c r="I78" s="325"/>
      <c r="J78" s="325"/>
      <c r="K78" s="325"/>
      <c r="L78" s="325"/>
      <c r="M78" s="325"/>
      <c r="N78" s="325"/>
      <c r="O78" s="325"/>
    </row>
    <row r="79" spans="1:15" s="382" customFormat="1" ht="15.75">
      <c r="A79" s="4698"/>
      <c r="B79" s="4699"/>
      <c r="H79" s="325"/>
      <c r="I79" s="325"/>
      <c r="J79" s="325"/>
      <c r="K79" s="325"/>
      <c r="L79" s="325"/>
      <c r="M79" s="325"/>
      <c r="N79" s="325"/>
      <c r="O79" s="325"/>
    </row>
    <row r="80" spans="1:15" s="382" customFormat="1" ht="16.5" thickBot="1">
      <c r="A80" s="4700"/>
      <c r="C80" s="4701"/>
      <c r="D80" s="4701"/>
      <c r="E80" s="382" t="e">
        <f>(E67+E68)/D10</f>
        <v>#DIV/0!</v>
      </c>
      <c r="H80" s="325"/>
      <c r="I80" s="325"/>
      <c r="J80" s="325"/>
      <c r="K80" s="325"/>
      <c r="L80" s="325"/>
      <c r="M80" s="325"/>
      <c r="N80" s="325"/>
      <c r="O80" s="325"/>
    </row>
    <row r="81" spans="1:7" ht="16.5" thickTop="1">
      <c r="A81" s="4715" t="s">
        <v>3103</v>
      </c>
      <c r="B81" s="4716"/>
      <c r="C81" s="4717"/>
      <c r="D81" s="4718"/>
      <c r="E81" s="382"/>
      <c r="F81" s="382"/>
      <c r="G81" s="382"/>
    </row>
    <row r="82" spans="1:7" ht="15.75">
      <c r="A82" s="4702" t="s">
        <v>2457</v>
      </c>
      <c r="C82" s="4703"/>
      <c r="D82" s="4704"/>
      <c r="E82" s="325"/>
      <c r="F82" s="325"/>
      <c r="G82" s="325"/>
    </row>
    <row r="83" spans="1:7" ht="15.75">
      <c r="A83" s="645" t="s">
        <v>3210</v>
      </c>
      <c r="B83" s="4705" t="s">
        <v>10213</v>
      </c>
      <c r="C83" s="4703"/>
      <c r="D83" s="4724" t="e">
        <f>'SOF2324-HB3'!I122+'SOF2324-HB3'!I127+'SOF2324-HB3'!I128</f>
        <v>#DIV/0!</v>
      </c>
      <c r="E83" s="325"/>
      <c r="F83" s="325"/>
      <c r="G83" s="325"/>
    </row>
    <row r="84" spans="1:7" ht="15.75">
      <c r="A84" s="645" t="s">
        <v>3211</v>
      </c>
      <c r="B84" s="644" t="s">
        <v>9492</v>
      </c>
      <c r="C84" s="384"/>
      <c r="D84" s="422">
        <f>'SOF2324-HB3'!I123</f>
        <v>0</v>
      </c>
      <c r="E84" s="717"/>
      <c r="F84" s="717"/>
      <c r="G84" s="717"/>
    </row>
    <row r="85" spans="1:7" ht="15.75">
      <c r="A85" s="645" t="s">
        <v>3212</v>
      </c>
      <c r="B85" s="644" t="s">
        <v>9493</v>
      </c>
      <c r="C85" s="651"/>
      <c r="D85" s="422" t="e">
        <f>'SOF2324-HB3'!I79</f>
        <v>#DIV/0!</v>
      </c>
      <c r="E85" s="717"/>
      <c r="F85" s="717"/>
      <c r="G85" s="717"/>
    </row>
    <row r="86" spans="1:7" ht="15.75">
      <c r="A86" s="645" t="s">
        <v>3213</v>
      </c>
      <c r="B86" s="644" t="s">
        <v>9494</v>
      </c>
      <c r="C86" s="384"/>
      <c r="D86" s="422" t="e">
        <f>'SOF2324-HB3'!I87</f>
        <v>#DIV/0!</v>
      </c>
      <c r="E86" s="717"/>
      <c r="F86" s="717"/>
      <c r="G86" s="717"/>
    </row>
    <row r="87" spans="1:7" ht="15.75">
      <c r="A87" s="645" t="s">
        <v>3214</v>
      </c>
      <c r="B87" s="4647" t="s">
        <v>9495</v>
      </c>
      <c r="C87" s="384"/>
      <c r="D87" s="422" t="e">
        <f>D83+D84-D85-D86</f>
        <v>#DIV/0!</v>
      </c>
      <c r="E87" s="717"/>
      <c r="F87" s="717"/>
      <c r="G87" s="717"/>
    </row>
    <row r="88" spans="1:7" ht="15.75">
      <c r="A88" s="645" t="s">
        <v>3215</v>
      </c>
      <c r="B88" s="653" t="s">
        <v>10205</v>
      </c>
      <c r="C88" s="4707"/>
      <c r="D88" s="4708" t="e">
        <f>IF(D83&gt;=0,0,D83)</f>
        <v>#DIV/0!</v>
      </c>
      <c r="E88" s="717"/>
      <c r="F88" s="717"/>
      <c r="G88" s="717"/>
    </row>
    <row r="89" spans="1:7" ht="16.5" thickBot="1">
      <c r="A89" s="645" t="s">
        <v>3216</v>
      </c>
      <c r="B89" s="4649" t="s">
        <v>10247</v>
      </c>
      <c r="C89" s="1297"/>
      <c r="D89" s="4735" t="e">
        <f>D87+D88</f>
        <v>#DIV/0!</v>
      </c>
      <c r="E89" s="2992"/>
      <c r="F89" s="2992"/>
      <c r="G89" s="2992"/>
    </row>
    <row r="90" spans="1:7" ht="14.25" thickTop="1" thickBot="1">
      <c r="B90" s="4709"/>
    </row>
    <row r="91" spans="1:7" ht="16.5" thickTop="1">
      <c r="A91" s="3266" t="s">
        <v>9187</v>
      </c>
      <c r="B91" s="499"/>
      <c r="C91" s="4710"/>
      <c r="D91" s="497"/>
    </row>
    <row r="92" spans="1:7" ht="15">
      <c r="A92" s="645" t="s">
        <v>3217</v>
      </c>
      <c r="B92" s="649" t="s">
        <v>9498</v>
      </c>
      <c r="C92" s="4706"/>
      <c r="D92" s="4734" t="e">
        <f>'SOF2324-HB3'!I79</f>
        <v>#DIV/0!</v>
      </c>
    </row>
    <row r="93" spans="1:7" ht="15">
      <c r="A93" s="645" t="s">
        <v>3218</v>
      </c>
      <c r="B93" s="649" t="s">
        <v>9510</v>
      </c>
      <c r="C93" s="647"/>
      <c r="D93" s="422" t="e">
        <f>'SOF2324-HB3'!I87</f>
        <v>#DIV/0!</v>
      </c>
      <c r="E93" s="717"/>
      <c r="F93" s="717"/>
      <c r="G93" s="717"/>
    </row>
    <row r="94" spans="1:7" ht="15.75">
      <c r="A94" s="645" t="s">
        <v>10208</v>
      </c>
      <c r="B94" s="4714" t="s">
        <v>10248</v>
      </c>
      <c r="C94" s="4712"/>
      <c r="D94" s="4713" t="e">
        <f>D92+D93</f>
        <v>#DIV/0!</v>
      </c>
      <c r="E94" s="717"/>
      <c r="F94" s="717"/>
      <c r="G94" s="717"/>
    </row>
    <row r="95" spans="1:7" ht="15">
      <c r="A95" s="645" t="s">
        <v>10209</v>
      </c>
      <c r="B95" s="649" t="s">
        <v>10207</v>
      </c>
      <c r="C95" s="647"/>
      <c r="D95" s="422">
        <f>'SOF2324-HB3'!I102</f>
        <v>0</v>
      </c>
      <c r="E95" s="717"/>
      <c r="F95" s="717"/>
      <c r="G95" s="717"/>
    </row>
    <row r="96" spans="1:7" ht="16.5" thickBot="1">
      <c r="A96" s="646" t="s">
        <v>10210</v>
      </c>
      <c r="B96" s="1297" t="s">
        <v>10249</v>
      </c>
      <c r="C96" s="4711"/>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J98"/>
  <sheetViews>
    <sheetView zoomScaleNormal="100" workbookViewId="0">
      <selection activeCell="B4" sqref="B4"/>
    </sheetView>
  </sheetViews>
  <sheetFormatPr defaultRowHeight="12.75"/>
  <cols>
    <col min="1" max="1" width="7.140625" customWidth="1"/>
    <col min="2" max="2" width="83.42578125" customWidth="1"/>
    <col min="3" max="3" width="1.5703125" customWidth="1"/>
    <col min="4" max="4" width="18.5703125" hidden="1" customWidth="1"/>
    <col min="5" max="5" width="20.5703125" hidden="1" customWidth="1"/>
    <col min="6" max="10" width="20.5703125" customWidth="1"/>
  </cols>
  <sheetData>
    <row r="1" spans="1:10">
      <c r="A1" s="71" t="s">
        <v>10332</v>
      </c>
      <c r="E1" s="757"/>
      <c r="I1" s="754"/>
      <c r="J1" s="3054" t="str">
        <f>'Report-SOF2324'!D1</f>
        <v>Release 10</v>
      </c>
    </row>
    <row r="2" spans="1:10">
      <c r="I2" s="72"/>
      <c r="J2" s="4642">
        <f>'Report-SOF2324'!D2</f>
        <v>43724</v>
      </c>
    </row>
    <row r="3" spans="1:10">
      <c r="I3" s="58"/>
      <c r="J3" s="58"/>
    </row>
    <row r="4" spans="1:10" ht="15.75">
      <c r="B4" s="4771" t="s">
        <v>10261</v>
      </c>
      <c r="C4" s="325"/>
    </row>
    <row r="5" spans="1:10" ht="15.75">
      <c r="A5" s="383">
        <f>'Data Entry - SOF'!B1</f>
        <v>0</v>
      </c>
      <c r="B5" s="325"/>
      <c r="C5" s="325"/>
    </row>
    <row r="6" spans="1:10" ht="15.75">
      <c r="A6" s="381">
        <f>'Data Entry - SOF'!B2</f>
        <v>0</v>
      </c>
      <c r="B6" s="325"/>
      <c r="C6" s="325"/>
    </row>
    <row r="7" spans="1:10" ht="15.75">
      <c r="A7" s="381"/>
      <c r="B7" s="325"/>
      <c r="C7" s="325"/>
    </row>
    <row r="8" spans="1:10" ht="15.75">
      <c r="A8" s="381"/>
      <c r="B8" s="325"/>
      <c r="C8" s="325"/>
    </row>
    <row r="9" spans="1:10" ht="18">
      <c r="A9" s="556" t="s">
        <v>2707</v>
      </c>
      <c r="B9" s="582"/>
      <c r="C9" s="581"/>
      <c r="D9" s="536"/>
      <c r="E9" s="536" t="s">
        <v>9357</v>
      </c>
      <c r="F9" s="536" t="s">
        <v>8765</v>
      </c>
      <c r="G9" s="536" t="s">
        <v>8765</v>
      </c>
      <c r="H9" s="536" t="s">
        <v>10254</v>
      </c>
      <c r="I9" s="536" t="s">
        <v>10254</v>
      </c>
      <c r="J9" s="536" t="s">
        <v>10254</v>
      </c>
    </row>
    <row r="10" spans="1:10" ht="18">
      <c r="A10" s="1411" t="s">
        <v>2708</v>
      </c>
      <c r="B10" s="1412"/>
      <c r="C10" s="1413"/>
      <c r="D10" s="538" t="s">
        <v>167</v>
      </c>
      <c r="E10" s="538" t="s">
        <v>3225</v>
      </c>
      <c r="F10" s="538" t="s">
        <v>3284</v>
      </c>
      <c r="G10" s="538" t="s">
        <v>3922</v>
      </c>
      <c r="H10" s="538" t="s">
        <v>6374</v>
      </c>
      <c r="I10" s="538" t="s">
        <v>6939</v>
      </c>
      <c r="J10" s="538" t="s">
        <v>8157</v>
      </c>
    </row>
    <row r="11" spans="1:10" ht="15">
      <c r="A11" s="385" t="s">
        <v>2186</v>
      </c>
      <c r="B11" s="386" t="s">
        <v>2709</v>
      </c>
      <c r="C11" s="386"/>
      <c r="D11" s="391" t="e">
        <f>#REF!</f>
        <v>#REF!</v>
      </c>
      <c r="E11" s="391">
        <f>'Calc Data'!E7</f>
        <v>0</v>
      </c>
      <c r="F11" s="391">
        <f>'Calc Data'!F7</f>
        <v>0</v>
      </c>
      <c r="G11" s="391">
        <f>'Calc Data'!G7</f>
        <v>0</v>
      </c>
      <c r="H11" s="391">
        <f>'Calc Data'!H7</f>
        <v>0</v>
      </c>
      <c r="I11" s="391">
        <f>'Calc Data'!I7</f>
        <v>0</v>
      </c>
      <c r="J11" s="391">
        <f>'Calc Data'!J7</f>
        <v>0</v>
      </c>
    </row>
    <row r="12" spans="1:10" ht="15">
      <c r="A12" s="385" t="s">
        <v>2187</v>
      </c>
      <c r="B12" s="718" t="s">
        <v>3353</v>
      </c>
      <c r="C12" s="386"/>
      <c r="D12" s="391" t="e">
        <f>#REF!</f>
        <v>#REF!</v>
      </c>
      <c r="E12" s="391">
        <f>'Calc Data'!E10</f>
        <v>0</v>
      </c>
      <c r="F12" s="391">
        <f>'Report-SOF1920-HB3'!D11</f>
        <v>0</v>
      </c>
      <c r="G12" s="391">
        <f>'Report-SOF2021-HB3'!D11</f>
        <v>0</v>
      </c>
      <c r="H12" s="391">
        <f>'Report-SOF2122-HB3'!D11</f>
        <v>0</v>
      </c>
      <c r="I12" s="391">
        <f>'Report-SOF2223-HB3'!D11</f>
        <v>0</v>
      </c>
      <c r="J12" s="391">
        <f>'Report-SOF2324-HB3'!D11</f>
        <v>0</v>
      </c>
    </row>
    <row r="13" spans="1:10" ht="15">
      <c r="A13" s="385" t="s">
        <v>2188</v>
      </c>
      <c r="B13" s="4739" t="s">
        <v>2710</v>
      </c>
      <c r="C13" s="4740"/>
      <c r="D13" s="4741"/>
      <c r="E13" s="4741"/>
      <c r="F13" s="4741">
        <f>'Report-SOF1920-HB3'!D12</f>
        <v>0</v>
      </c>
      <c r="G13" s="391">
        <f>'Report-SOF2021-HB3'!D12</f>
        <v>0</v>
      </c>
      <c r="H13" s="391">
        <f>'Report-SOF2122-HB3'!D12</f>
        <v>0</v>
      </c>
      <c r="I13" s="391">
        <f>'Report-SOF2223-HB3'!D12</f>
        <v>0</v>
      </c>
      <c r="J13" s="391">
        <f>'Report-SOF2324-HB3'!D12</f>
        <v>0</v>
      </c>
    </row>
    <row r="14" spans="1:10" ht="15">
      <c r="A14" s="385" t="s">
        <v>909</v>
      </c>
      <c r="B14" s="386" t="s">
        <v>824</v>
      </c>
      <c r="C14" s="386"/>
      <c r="D14" s="391" t="e">
        <f>#REF!</f>
        <v>#REF!</v>
      </c>
      <c r="E14" s="391">
        <f>'Data Entry - SOF'!E35</f>
        <v>0</v>
      </c>
      <c r="F14" s="391">
        <f>'Data Entry - SOF'!K36</f>
        <v>0</v>
      </c>
      <c r="G14" s="391">
        <f>'Data Entry - SOF'!M36</f>
        <v>0</v>
      </c>
      <c r="H14" s="391">
        <f>'Data Entry - SOF'!O36</f>
        <v>0</v>
      </c>
      <c r="I14" s="391">
        <f>'Data Entry - SOF'!Q36</f>
        <v>0</v>
      </c>
      <c r="J14" s="391">
        <f>'Data Entry - SOF'!S36</f>
        <v>0</v>
      </c>
    </row>
    <row r="15" spans="1:10" ht="15">
      <c r="A15" s="385" t="s">
        <v>910</v>
      </c>
      <c r="B15" s="4742" t="s">
        <v>10253</v>
      </c>
      <c r="C15" s="386"/>
      <c r="D15" s="4741"/>
      <c r="E15" s="4741"/>
      <c r="F15" s="4741" t="e">
        <f>'SOF1920-HB3'!L66</f>
        <v>#DIV/0!</v>
      </c>
      <c r="G15" s="4741" t="e">
        <f>'SOF2021-HB3'!L66</f>
        <v>#DIV/0!</v>
      </c>
      <c r="H15" s="4741" t="e">
        <f>'SOF2122-HB3'!L66</f>
        <v>#DIV/0!</v>
      </c>
      <c r="I15" s="4741" t="e">
        <f>'SOF2223-HB3'!L66</f>
        <v>#DIV/0!</v>
      </c>
      <c r="J15" s="4741" t="e">
        <f>'SOF2324-HB3'!L66</f>
        <v>#DIV/0!</v>
      </c>
    </row>
    <row r="16" spans="1:10" ht="18">
      <c r="A16" s="1372" t="s">
        <v>2720</v>
      </c>
      <c r="B16" s="1387"/>
      <c r="C16" s="1387"/>
      <c r="D16" s="391" t="e">
        <f>#REF!</f>
        <v>#REF!</v>
      </c>
      <c r="E16" s="391">
        <f>'Data Entry - SOF'!E21</f>
        <v>0</v>
      </c>
      <c r="F16" s="1387"/>
      <c r="G16" s="1387"/>
      <c r="H16" s="1387"/>
      <c r="I16" s="1387"/>
      <c r="J16" s="1387"/>
    </row>
    <row r="17" spans="1:10" ht="15">
      <c r="A17" s="385" t="s">
        <v>912</v>
      </c>
      <c r="B17" s="386" t="s">
        <v>10167</v>
      </c>
      <c r="C17" s="386"/>
      <c r="D17" s="391" t="e">
        <f>#REF!</f>
        <v>#REF!</v>
      </c>
      <c r="E17" s="391">
        <f>'Report-SOF1819'!D17</f>
        <v>0</v>
      </c>
      <c r="F17" s="388">
        <f>'Report-SOF1920-HB3'!D16</f>
        <v>0</v>
      </c>
      <c r="G17" s="388">
        <f>'Report-SOF2021-HB3'!D16</f>
        <v>0</v>
      </c>
      <c r="H17" s="388">
        <f>'Report-SOF2122-HB3'!D16</f>
        <v>0</v>
      </c>
      <c r="I17" s="388">
        <f>'Report-SOF2223-HB3'!D16</f>
        <v>0</v>
      </c>
      <c r="J17" s="388">
        <f>'Report-SOF2324-HB3'!D16</f>
        <v>0</v>
      </c>
    </row>
    <row r="18" spans="1:10" ht="15">
      <c r="A18" s="385" t="s">
        <v>913</v>
      </c>
      <c r="B18" s="386" t="s">
        <v>9186</v>
      </c>
      <c r="C18" s="4677"/>
      <c r="D18" s="391" t="e">
        <f>#REF!</f>
        <v>#REF!</v>
      </c>
      <c r="E18" s="391">
        <f>'Report-SOF1819'!D18</f>
        <v>0</v>
      </c>
      <c r="F18" s="388">
        <f>'Report-SOF1920-HB3'!D17</f>
        <v>0</v>
      </c>
      <c r="G18" s="388">
        <f>'Report-SOF2021-HB3'!D17</f>
        <v>0</v>
      </c>
      <c r="H18" s="388">
        <f>'Report-SOF2122-HB3'!D17</f>
        <v>0</v>
      </c>
      <c r="I18" s="388">
        <f>'Report-SOF2223-HB3'!D17</f>
        <v>0</v>
      </c>
      <c r="J18" s="388">
        <f>'Report-SOF2324-HB3'!D17</f>
        <v>0</v>
      </c>
    </row>
    <row r="19" spans="1:10" ht="18">
      <c r="A19" s="1372" t="s">
        <v>2721</v>
      </c>
      <c r="B19" s="1387"/>
      <c r="C19" s="1387"/>
      <c r="D19" s="391" t="e">
        <f>#REF!</f>
        <v>#REF!</v>
      </c>
      <c r="E19" s="391">
        <f>'Report-SOF1819'!D19</f>
        <v>0</v>
      </c>
      <c r="F19" s="1387"/>
      <c r="G19" s="1387"/>
      <c r="H19" s="1387"/>
      <c r="I19" s="1387"/>
      <c r="J19" s="1387"/>
    </row>
    <row r="20" spans="1:10" ht="15.75">
      <c r="A20" s="385" t="s">
        <v>914</v>
      </c>
      <c r="B20" s="386" t="s">
        <v>10168</v>
      </c>
      <c r="C20" s="384"/>
      <c r="D20" s="391" t="e">
        <f>#REF!</f>
        <v>#REF!</v>
      </c>
      <c r="E20" s="391">
        <f>'Report-SOF1819'!D20</f>
        <v>0</v>
      </c>
      <c r="F20" s="4643">
        <f>'Report-SOF1920-HB3'!D19</f>
        <v>0.93</v>
      </c>
      <c r="G20" s="4643" t="e">
        <f>'Report-SOF2021-HB3'!D19</f>
        <v>#DIV/0!</v>
      </c>
      <c r="H20" s="4643" t="e">
        <f>'Report-SOF2122-HB3'!D19</f>
        <v>#DIV/0!</v>
      </c>
      <c r="I20" s="4643" t="e">
        <f>'Report-SOF2223-HB3'!D19</f>
        <v>#DIV/0!</v>
      </c>
      <c r="J20" s="4643" t="e">
        <f>'Report-SOF2324-HB3'!D19</f>
        <v>#DIV/0!</v>
      </c>
    </row>
    <row r="21" spans="1:10" ht="15.75">
      <c r="A21" s="385" t="s">
        <v>118</v>
      </c>
      <c r="B21" s="386" t="s">
        <v>3998</v>
      </c>
      <c r="C21" s="384"/>
      <c r="D21" s="1405"/>
      <c r="E21" s="1394" t="s">
        <v>3225</v>
      </c>
      <c r="F21" s="4643">
        <f>'Report-SOF1920-HB3'!D20</f>
        <v>1.17</v>
      </c>
      <c r="G21" s="4643">
        <f>'Report-SOF2021-HB3'!D20</f>
        <v>1.17</v>
      </c>
      <c r="H21" s="4643">
        <f>'Report-SOF2122-HB3'!D20</f>
        <v>1.17</v>
      </c>
      <c r="I21" s="4643">
        <f>'Report-SOF2223-HB3'!D20</f>
        <v>1.17</v>
      </c>
      <c r="J21" s="4643">
        <f>'Report-SOF2324-HB3'!D20</f>
        <v>1.17</v>
      </c>
    </row>
    <row r="22" spans="1:10" ht="15.75">
      <c r="A22" s="385" t="s">
        <v>119</v>
      </c>
      <c r="B22" s="386" t="s">
        <v>3992</v>
      </c>
      <c r="C22" s="4648"/>
      <c r="D22" s="388" t="e">
        <f>#REF!</f>
        <v>#REF!</v>
      </c>
      <c r="E22" s="388">
        <f>'Report-SOF1819'!D22</f>
        <v>0</v>
      </c>
      <c r="F22" s="4643">
        <f>'Report-SOF1920-HB3'!D21</f>
        <v>0</v>
      </c>
      <c r="G22" s="4643">
        <f>'Report-SOF2021-HB3'!D21</f>
        <v>0</v>
      </c>
      <c r="H22" s="4643">
        <f>'Report-SOF2122-HB3'!D21</f>
        <v>0</v>
      </c>
      <c r="I22" s="4643">
        <f>'Report-SOF2223-HB3'!D21</f>
        <v>0</v>
      </c>
      <c r="J22" s="4643">
        <f>'Report-SOF2324-HB3'!D21</f>
        <v>0</v>
      </c>
    </row>
    <row r="23" spans="1:10" ht="15.75">
      <c r="A23" s="385" t="s">
        <v>120</v>
      </c>
      <c r="B23" s="386" t="s">
        <v>10170</v>
      </c>
      <c r="C23" s="4648"/>
      <c r="D23" s="388" t="e">
        <f>#REF!</f>
        <v>#REF!</v>
      </c>
      <c r="E23" s="388">
        <f>'Report-SOF1819'!D23</f>
        <v>0</v>
      </c>
      <c r="F23" s="4643">
        <f>'Report-SOF1920-HB3'!D22</f>
        <v>0.93</v>
      </c>
      <c r="G23" s="4643" t="e">
        <f>'Report-SOF2021-HB3'!D22</f>
        <v>#DIV/0!</v>
      </c>
      <c r="H23" s="4643" t="e">
        <f>'Report-SOF2122-HB3'!D22</f>
        <v>#DIV/0!</v>
      </c>
      <c r="I23" s="4643" t="e">
        <f>'Report-SOF2223-HB3'!D22</f>
        <v>#DIV/0!</v>
      </c>
      <c r="J23" s="4643" t="e">
        <f>'Report-SOF2324-HB3'!D22</f>
        <v>#DIV/0!</v>
      </c>
    </row>
    <row r="24" spans="1:10" ht="15.75">
      <c r="A24" s="385" t="s">
        <v>121</v>
      </c>
      <c r="B24" s="386" t="s">
        <v>10171</v>
      </c>
      <c r="C24" s="4648"/>
      <c r="D24" s="1405"/>
      <c r="E24" s="1394" t="s">
        <v>3225</v>
      </c>
      <c r="F24" s="4643">
        <f>'Report-SOF1920-HB3'!D23</f>
        <v>0.93</v>
      </c>
      <c r="G24" s="4643" t="e">
        <f>'Report-SOF2021-HB3'!D23</f>
        <v>#DIV/0!</v>
      </c>
      <c r="H24" s="4643" t="e">
        <f>'Report-SOF2122-HB3'!D23</f>
        <v>#DIV/0!</v>
      </c>
      <c r="I24" s="4643" t="e">
        <f>'Report-SOF2223-HB3'!D23</f>
        <v>#DIV/0!</v>
      </c>
      <c r="J24" s="4643" t="e">
        <f>'Report-SOF2324-HB3'!D23</f>
        <v>#DIV/0!</v>
      </c>
    </row>
    <row r="25" spans="1:10" ht="15">
      <c r="A25" s="385" t="s">
        <v>1513</v>
      </c>
      <c r="B25" s="719" t="s">
        <v>10169</v>
      </c>
      <c r="C25" s="386"/>
      <c r="D25" s="513" t="e">
        <f>#REF!</f>
        <v>#REF!</v>
      </c>
      <c r="E25" s="513" t="str">
        <f>'Report-SOF1819'!D25</f>
        <v>Not Needed</v>
      </c>
      <c r="F25" s="388">
        <f>'Report-SOF1920-HB3'!D24</f>
        <v>0</v>
      </c>
      <c r="G25" s="388">
        <f>'Report-SOF2021-HB3'!D24</f>
        <v>0</v>
      </c>
      <c r="H25" s="388">
        <f>'Report-SOF2122-HB3'!D24</f>
        <v>0</v>
      </c>
      <c r="I25" s="388">
        <f>'Report-SOF2223-HB3'!D24</f>
        <v>0</v>
      </c>
      <c r="J25" s="388">
        <f>'Report-SOF2324-HB3'!D24</f>
        <v>0</v>
      </c>
    </row>
    <row r="26" spans="1:10" ht="15">
      <c r="A26" s="385" t="s">
        <v>6</v>
      </c>
      <c r="B26" s="386" t="s">
        <v>10172</v>
      </c>
      <c r="C26" s="4677"/>
      <c r="D26" s="388" t="e">
        <f>#REF!</f>
        <v>#REF!</v>
      </c>
      <c r="E26" s="388">
        <f>'Report-SOF1819'!D26</f>
        <v>0</v>
      </c>
      <c r="F26" s="4643">
        <f>'Report-SOF1920-HB3'!D25</f>
        <v>0</v>
      </c>
      <c r="G26" s="4643">
        <f>'Report-SOF2021-HB3'!D25</f>
        <v>0</v>
      </c>
      <c r="H26" s="4643">
        <f>'Report-SOF2122-HB3'!D25</f>
        <v>0</v>
      </c>
      <c r="I26" s="4643">
        <f>'Report-SOF2223-HB3'!D25</f>
        <v>0</v>
      </c>
      <c r="J26" s="4643">
        <f>'Report-SOF2324-HB3'!D25</f>
        <v>0</v>
      </c>
    </row>
    <row r="27" spans="1:10" ht="15.75">
      <c r="A27" s="385" t="s">
        <v>2232</v>
      </c>
      <c r="B27" s="386" t="s">
        <v>10173</v>
      </c>
      <c r="C27" s="386"/>
      <c r="D27" s="1405"/>
      <c r="E27" s="1394" t="s">
        <v>3225</v>
      </c>
      <c r="F27" s="388">
        <f>'Report-SOF1920-HB3'!D26</f>
        <v>0</v>
      </c>
      <c r="G27" s="388">
        <f>'Report-SOF2021-HB3'!D26</f>
        <v>0</v>
      </c>
      <c r="H27" s="388">
        <f>'Report-SOF2122-HB3'!D26</f>
        <v>0</v>
      </c>
      <c r="I27" s="388">
        <f>'Report-SOF2223-HB3'!D26</f>
        <v>0</v>
      </c>
      <c r="J27" s="388">
        <f>'Report-SOF2324-HB3'!D26</f>
        <v>0</v>
      </c>
    </row>
    <row r="28" spans="1:10" ht="15">
      <c r="A28" s="385" t="s">
        <v>2233</v>
      </c>
      <c r="B28" s="386" t="s">
        <v>3993</v>
      </c>
      <c r="C28" s="386"/>
      <c r="D28" s="389" t="e">
        <f>#REF!</f>
        <v>#REF!</v>
      </c>
      <c r="E28" s="389">
        <f>'Report-SOF1819'!D28</f>
        <v>0</v>
      </c>
      <c r="F28" s="388">
        <f>'Report-SOF1920-HB3'!D27</f>
        <v>0</v>
      </c>
      <c r="G28" s="388">
        <f>'Report-SOF2021-HB3'!D27</f>
        <v>0</v>
      </c>
      <c r="H28" s="388">
        <f>'Report-SOF2122-HB3'!D27</f>
        <v>0</v>
      </c>
      <c r="I28" s="388">
        <f>'Report-SOF2223-HB3'!D27</f>
        <v>0</v>
      </c>
      <c r="J28" s="388">
        <f>'Report-SOF2324-HB3'!D27</f>
        <v>0</v>
      </c>
    </row>
    <row r="29" spans="1:10" ht="15">
      <c r="A29" s="385" t="s">
        <v>2722</v>
      </c>
      <c r="B29" s="386" t="s">
        <v>3994</v>
      </c>
      <c r="C29" s="386"/>
      <c r="D29" s="389" t="e">
        <f>#REF!</f>
        <v>#REF!</v>
      </c>
      <c r="E29" s="389">
        <f>'Report-SOF1819'!D29</f>
        <v>0</v>
      </c>
      <c r="F29" s="388">
        <f>'Report-SOF1920-HB3'!D28</f>
        <v>0</v>
      </c>
      <c r="G29" s="388">
        <f>'Report-SOF2021-HB3'!D28</f>
        <v>0</v>
      </c>
      <c r="H29" s="388">
        <f>'Report-SOF2122-HB3'!D28</f>
        <v>0</v>
      </c>
      <c r="I29" s="388">
        <f>'Report-SOF2223-HB3'!D28</f>
        <v>0</v>
      </c>
      <c r="J29" s="388">
        <f>'Report-SOF2324-HB3'!D28</f>
        <v>0</v>
      </c>
    </row>
    <row r="30" spans="1:10" ht="18">
      <c r="A30" s="1372" t="s">
        <v>2730</v>
      </c>
      <c r="B30" s="1387"/>
      <c r="C30" s="1387"/>
      <c r="D30" s="514" t="e">
        <f>#REF!</f>
        <v>#REF!</v>
      </c>
      <c r="E30" s="514" t="str">
        <f>'Report-SOF1819'!D30</f>
        <v>Not Needed</v>
      </c>
      <c r="F30" s="1387"/>
      <c r="G30" s="1387"/>
      <c r="H30" s="1387"/>
      <c r="I30" s="1387"/>
      <c r="J30" s="1387"/>
    </row>
    <row r="31" spans="1:10" ht="15">
      <c r="A31" s="385" t="s">
        <v>2723</v>
      </c>
      <c r="B31" s="719" t="s">
        <v>10174</v>
      </c>
      <c r="C31" s="404"/>
      <c r="D31" s="389" t="e">
        <f>#REF!</f>
        <v>#REF!</v>
      </c>
      <c r="E31" s="389">
        <f>'Report-SOF1819'!D31</f>
        <v>1.17</v>
      </c>
      <c r="F31" s="390">
        <f>'Report-SOF1920-HB3'!D30</f>
        <v>0</v>
      </c>
      <c r="G31" s="390" t="e">
        <f>'Report-SOF2021-HB3'!D30</f>
        <v>#DIV/0!</v>
      </c>
      <c r="H31" s="390" t="e">
        <f>'Report-SOF2122-HB3'!D30</f>
        <v>#DIV/0!</v>
      </c>
      <c r="I31" s="390" t="e">
        <f>'Report-SOF2223-HB3'!D30</f>
        <v>#DIV/0!</v>
      </c>
      <c r="J31" s="390" t="e">
        <f>'Report-SOF2324-HB3'!D30</f>
        <v>#DIV/0!</v>
      </c>
    </row>
    <row r="32" spans="1:10" ht="15">
      <c r="A32" s="385" t="s">
        <v>2726</v>
      </c>
      <c r="B32" s="4691" t="s">
        <v>10175</v>
      </c>
      <c r="C32" s="4690"/>
      <c r="D32" s="390" t="e">
        <f>#REF!</f>
        <v>#REF!</v>
      </c>
      <c r="E32" s="390">
        <f>'Report-SOF1819'!D32</f>
        <v>0</v>
      </c>
      <c r="F32" s="391">
        <f>'Report-SOF1920-HB3'!D31</f>
        <v>0</v>
      </c>
      <c r="G32" s="390">
        <f>'Report-SOF2021-HB3'!D31</f>
        <v>0</v>
      </c>
      <c r="H32" s="390">
        <f>'Report-SOF2122-HB3'!D31</f>
        <v>0</v>
      </c>
      <c r="I32" s="390">
        <f>'Report-SOF2223-HB3'!D31</f>
        <v>0</v>
      </c>
      <c r="J32" s="390">
        <f>'Report-SOF2324-HB3'!D31</f>
        <v>0</v>
      </c>
    </row>
    <row r="33" spans="1:10" ht="15">
      <c r="A33" s="385" t="s">
        <v>2727</v>
      </c>
      <c r="B33" s="386" t="s">
        <v>2738</v>
      </c>
      <c r="C33" s="386"/>
      <c r="D33" s="390" t="e">
        <f>#REF!</f>
        <v>#REF!</v>
      </c>
      <c r="E33" s="390">
        <f>'Report-SOF1819'!D33</f>
        <v>0</v>
      </c>
      <c r="F33" s="392">
        <f>'Report-SOF1920-HB3'!D32</f>
        <v>259.20699999999999</v>
      </c>
      <c r="G33" s="390">
        <f>'Report-SOF2021-HB3'!D32</f>
        <v>400</v>
      </c>
      <c r="H33" s="390">
        <f>'Report-SOF2122-HB3'!D32</f>
        <v>200</v>
      </c>
      <c r="I33" s="390">
        <f>'Report-SOF2223-HB3'!D32</f>
        <v>400</v>
      </c>
      <c r="J33" s="390">
        <f>'Report-SOF2324-HB3'!D32</f>
        <v>200</v>
      </c>
    </row>
    <row r="34" spans="1:10" ht="18">
      <c r="A34" s="1388" t="s">
        <v>2759</v>
      </c>
      <c r="B34" s="1387"/>
      <c r="C34" s="1387"/>
      <c r="D34" s="390" t="e">
        <f>#REF!</f>
        <v>#REF!</v>
      </c>
      <c r="E34" s="390">
        <f>'Report-SOF1819'!D34</f>
        <v>0</v>
      </c>
      <c r="F34" s="1387"/>
      <c r="G34" s="1387"/>
      <c r="H34" s="1387"/>
      <c r="I34" s="1387"/>
      <c r="J34" s="1387"/>
    </row>
    <row r="35" spans="1:10" ht="18">
      <c r="A35" s="1388" t="s">
        <v>10176</v>
      </c>
      <c r="B35" s="1388"/>
      <c r="C35" s="1387"/>
      <c r="D35" s="390" t="e">
        <f>#REF!</f>
        <v>#REF!</v>
      </c>
      <c r="E35" s="390">
        <f>'Report-SOF1819'!D35</f>
        <v>0</v>
      </c>
      <c r="F35" s="1387"/>
      <c r="G35" s="1387"/>
      <c r="H35" s="1387"/>
      <c r="I35" s="1387"/>
      <c r="J35" s="1387"/>
    </row>
    <row r="36" spans="1:10" ht="15.75">
      <c r="A36" s="385" t="s">
        <v>2728</v>
      </c>
      <c r="B36" s="386" t="s">
        <v>10177</v>
      </c>
      <c r="C36" s="386"/>
      <c r="D36" s="1405"/>
      <c r="E36" s="1394" t="s">
        <v>3225</v>
      </c>
      <c r="F36" s="390">
        <f>'Report-SOF1920-HB3'!D35</f>
        <v>0</v>
      </c>
      <c r="G36" s="390" t="e">
        <f>'Report-SOF2021-HB3'!D35</f>
        <v>#DIV/0!</v>
      </c>
      <c r="H36" s="390" t="e">
        <f>'Report-SOF2122-HB3'!D35</f>
        <v>#DIV/0!</v>
      </c>
      <c r="I36" s="390" t="e">
        <f>'Report-SOF2223-HB3'!D35</f>
        <v>#DIV/0!</v>
      </c>
      <c r="J36" s="390" t="e">
        <f>'Report-SOF2324-HB3'!D35</f>
        <v>#DIV/0!</v>
      </c>
    </row>
    <row r="37" spans="1:10" ht="15">
      <c r="A37" s="385" t="s">
        <v>2729</v>
      </c>
      <c r="B37" s="4677" t="s">
        <v>10178</v>
      </c>
      <c r="C37" s="4677"/>
      <c r="D37" s="390" t="e">
        <f>#REF!</f>
        <v>#REF!</v>
      </c>
      <c r="E37" s="390">
        <f>'Report-SOF1819'!D37</f>
        <v>2147</v>
      </c>
      <c r="F37" s="390">
        <f>'Report-SOF1920-HB3'!D36</f>
        <v>0</v>
      </c>
      <c r="G37" s="390">
        <f>'Report-SOF2021-HB3'!D36</f>
        <v>0</v>
      </c>
      <c r="H37" s="390">
        <f>'Report-SOF2122-HB3'!D36</f>
        <v>0</v>
      </c>
      <c r="I37" s="390">
        <f>'Report-SOF2223-HB3'!D36</f>
        <v>0</v>
      </c>
      <c r="J37" s="390">
        <f>'Report-SOF2324-HB3'!D36</f>
        <v>0</v>
      </c>
    </row>
    <row r="38" spans="1:10" ht="15">
      <c r="A38" s="385" t="s">
        <v>2731</v>
      </c>
      <c r="B38" s="386" t="s">
        <v>10179</v>
      </c>
      <c r="C38" s="386"/>
      <c r="D38" s="392" t="e">
        <f>#REF!</f>
        <v>#REF!</v>
      </c>
      <c r="E38" s="392">
        <f>'Report-SOF1819'!D41</f>
        <v>486.23099999999999</v>
      </c>
      <c r="F38" s="390">
        <f>'Report-SOF1920-HB3'!D37</f>
        <v>0</v>
      </c>
      <c r="G38" s="390" t="e">
        <f>'Report-SOF2021-HB3'!D37</f>
        <v>#DIV/0!</v>
      </c>
      <c r="H38" s="390" t="e">
        <f>'Report-SOF2122-HB3'!D37</f>
        <v>#DIV/0!</v>
      </c>
      <c r="I38" s="390" t="e">
        <f>'Report-SOF2223-HB3'!D37</f>
        <v>#DIV/0!</v>
      </c>
      <c r="J38" s="390" t="e">
        <f>'Report-SOF2324-HB3'!D37</f>
        <v>#DIV/0!</v>
      </c>
    </row>
    <row r="39" spans="1:10" ht="15">
      <c r="A39" s="385" t="s">
        <v>2732</v>
      </c>
      <c r="B39" s="4677" t="s">
        <v>10180</v>
      </c>
      <c r="C39" s="4677"/>
      <c r="D39" s="1405"/>
      <c r="E39" s="1405"/>
      <c r="F39" s="390">
        <f>'Report-SOF1920-HB3'!D38</f>
        <v>0</v>
      </c>
      <c r="G39" s="390" t="e">
        <f>'Report-SOF2021-HB3'!D38</f>
        <v>#DIV/0!</v>
      </c>
      <c r="H39" s="390" t="e">
        <f>'Report-SOF2122-HB3'!D38</f>
        <v>#DIV/0!</v>
      </c>
      <c r="I39" s="390" t="e">
        <f>'Report-SOF2223-HB3'!D38</f>
        <v>#DIV/0!</v>
      </c>
      <c r="J39" s="390" t="e">
        <f>'Report-SOF2324-HB3'!D38</f>
        <v>#DIV/0!</v>
      </c>
    </row>
    <row r="40" spans="1:10" ht="15.75">
      <c r="A40" s="385" t="s">
        <v>2733</v>
      </c>
      <c r="B40" s="386" t="s">
        <v>10181</v>
      </c>
      <c r="C40" s="386"/>
      <c r="D40" s="1394" t="s">
        <v>167</v>
      </c>
      <c r="E40" s="1394" t="s">
        <v>3225</v>
      </c>
      <c r="F40" s="390">
        <f>'Report-SOF1920-HB3'!D39</f>
        <v>0</v>
      </c>
      <c r="G40" s="390" t="e">
        <f>'Report-SOF2021-HB3'!D39</f>
        <v>#DIV/0!</v>
      </c>
      <c r="H40" s="390" t="e">
        <f>'Report-SOF2122-HB3'!D39</f>
        <v>#DIV/0!</v>
      </c>
      <c r="I40" s="390" t="e">
        <f>'Report-SOF2223-HB3'!D39</f>
        <v>#DIV/0!</v>
      </c>
      <c r="J40" s="390" t="e">
        <f>'Report-SOF2324-HB3'!D39</f>
        <v>#DIV/0!</v>
      </c>
    </row>
    <row r="41" spans="1:10" ht="15">
      <c r="A41" s="385" t="s">
        <v>2734</v>
      </c>
      <c r="B41" s="386" t="s">
        <v>10182</v>
      </c>
      <c r="C41" s="386"/>
      <c r="D41" s="390" t="e">
        <f>#REF!</f>
        <v>#REF!</v>
      </c>
      <c r="E41" s="390">
        <f>'Report-SOF1819'!D44</f>
        <v>0</v>
      </c>
      <c r="F41" s="390">
        <f>'Report-SOF1920-HB3'!D40</f>
        <v>0</v>
      </c>
      <c r="G41" s="390" t="e">
        <f>'Report-SOF2021-HB3'!D40</f>
        <v>#DIV/0!</v>
      </c>
      <c r="H41" s="390" t="e">
        <f>'Report-SOF2122-HB3'!D40</f>
        <v>#DIV/0!</v>
      </c>
      <c r="I41" s="390" t="e">
        <f>'Report-SOF2223-HB3'!D40</f>
        <v>#DIV/0!</v>
      </c>
      <c r="J41" s="390" t="e">
        <f>'Report-SOF2324-HB3'!D40</f>
        <v>#DIV/0!</v>
      </c>
    </row>
    <row r="42" spans="1:10" ht="15">
      <c r="A42" s="385" t="s">
        <v>2735</v>
      </c>
      <c r="B42" s="386" t="s">
        <v>10183</v>
      </c>
      <c r="C42" s="386"/>
      <c r="D42" s="390" t="e">
        <f>#REF!</f>
        <v>#REF!</v>
      </c>
      <c r="E42" s="390">
        <f>'Report-SOF1819'!D45</f>
        <v>0</v>
      </c>
      <c r="F42" s="390">
        <f>'Report-SOF1920-HB3'!D41</f>
        <v>0</v>
      </c>
      <c r="G42" s="390" t="e">
        <f>'Report-SOF2021-HB3'!D41</f>
        <v>#DIV/0!</v>
      </c>
      <c r="H42" s="390" t="e">
        <f>'Report-SOF2122-HB3'!D41</f>
        <v>#DIV/0!</v>
      </c>
      <c r="I42" s="390" t="e">
        <f>'Report-SOF2223-HB3'!D41</f>
        <v>#DIV/0!</v>
      </c>
      <c r="J42" s="390" t="e">
        <f>'Report-SOF2324-HB3'!D41</f>
        <v>#DIV/0!</v>
      </c>
    </row>
    <row r="43" spans="1:10" ht="15">
      <c r="A43" s="385" t="s">
        <v>2740</v>
      </c>
      <c r="B43" s="386" t="s">
        <v>10184</v>
      </c>
      <c r="C43" s="386"/>
      <c r="D43" s="390" t="e">
        <f>#REF!</f>
        <v>#REF!</v>
      </c>
      <c r="E43" s="390">
        <f>'Report-SOF1819'!D46</f>
        <v>0</v>
      </c>
      <c r="F43" s="390">
        <f>'Report-SOF1920-HB3'!D42</f>
        <v>0</v>
      </c>
      <c r="G43" s="390" t="e">
        <f>'Report-SOF2021-HB3'!D42</f>
        <v>#DIV/0!</v>
      </c>
      <c r="H43" s="390" t="e">
        <f>'Report-SOF2122-HB3'!D42</f>
        <v>#DIV/0!</v>
      </c>
      <c r="I43" s="390" t="e">
        <f>'Report-SOF2223-HB3'!D42</f>
        <v>#DIV/0!</v>
      </c>
      <c r="J43" s="390" t="e">
        <f>'Report-SOF2324-HB3'!D42</f>
        <v>#DIV/0!</v>
      </c>
    </row>
    <row r="44" spans="1:10" ht="15">
      <c r="A44" s="385" t="s">
        <v>2741</v>
      </c>
      <c r="B44" s="4677" t="s">
        <v>10185</v>
      </c>
      <c r="C44" s="4677"/>
      <c r="D44" s="390" t="e">
        <f>#REF!</f>
        <v>#REF!</v>
      </c>
      <c r="E44" s="390">
        <f>'Report-SOF1819'!D47</f>
        <v>0</v>
      </c>
      <c r="F44" s="390">
        <f>'Report-SOF1920-HB3'!D43</f>
        <v>0</v>
      </c>
      <c r="G44" s="390" t="e">
        <f>'Report-SOF2021-HB3'!D43</f>
        <v>#DIV/0!</v>
      </c>
      <c r="H44" s="390" t="e">
        <f>'Report-SOF2122-HB3'!D43</f>
        <v>#DIV/0!</v>
      </c>
      <c r="I44" s="390" t="e">
        <f>'Report-SOF2223-HB3'!D43</f>
        <v>#DIV/0!</v>
      </c>
      <c r="J44" s="390" t="e">
        <f>'Report-SOF2324-HB3'!D43</f>
        <v>#DIV/0!</v>
      </c>
    </row>
    <row r="45" spans="1:10" ht="15">
      <c r="A45" s="385" t="s">
        <v>2742</v>
      </c>
      <c r="B45" s="4692" t="s">
        <v>10186</v>
      </c>
      <c r="C45" s="4677"/>
      <c r="D45" s="390" t="e">
        <f>#REF!</f>
        <v>#REF!</v>
      </c>
      <c r="E45" s="390">
        <f>'Report-SOF1819'!D48</f>
        <v>0</v>
      </c>
      <c r="F45" s="390">
        <f>'Report-SOF1920-HB3'!D44</f>
        <v>0</v>
      </c>
      <c r="G45" s="390">
        <f>'Report-SOF2021-HB3'!D44</f>
        <v>0</v>
      </c>
      <c r="H45" s="390">
        <f>'Report-SOF2122-HB3'!D44</f>
        <v>0</v>
      </c>
      <c r="I45" s="390">
        <f>'Report-SOF2223-HB3'!D44</f>
        <v>0</v>
      </c>
      <c r="J45" s="390">
        <f>'Report-SOF2324-HB3'!D44</f>
        <v>0</v>
      </c>
    </row>
    <row r="46" spans="1:10" ht="15">
      <c r="A46" s="385" t="s">
        <v>2743</v>
      </c>
      <c r="B46" s="4693" t="s">
        <v>10187</v>
      </c>
      <c r="C46" s="3262"/>
      <c r="D46" s="390" t="e">
        <f>#REF!</f>
        <v>#REF!</v>
      </c>
      <c r="E46" s="390">
        <f>'Report-SOF1819'!D49</f>
        <v>0</v>
      </c>
      <c r="F46" s="390">
        <f>'Report-SOF1920-HB3'!D45</f>
        <v>0</v>
      </c>
      <c r="G46" s="390">
        <f>'Report-SOF2021-HB3'!D45</f>
        <v>0</v>
      </c>
      <c r="H46" s="390">
        <f>'Report-SOF2122-HB3'!D45</f>
        <v>0</v>
      </c>
      <c r="I46" s="390">
        <f>'Report-SOF2223-HB3'!D45</f>
        <v>0</v>
      </c>
      <c r="J46" s="390">
        <f>'Report-SOF2324-HB3'!D45</f>
        <v>0</v>
      </c>
    </row>
    <row r="47" spans="1:10" ht="15">
      <c r="A47" s="385" t="s">
        <v>2744</v>
      </c>
      <c r="B47" s="4693" t="s">
        <v>10188</v>
      </c>
      <c r="C47" s="3262"/>
      <c r="D47" s="390" t="e">
        <f>#REF!</f>
        <v>#REF!</v>
      </c>
      <c r="E47" s="390">
        <f>'Report-SOF1819'!D50</f>
        <v>0</v>
      </c>
      <c r="F47" s="390">
        <f>'Report-SOF1920-HB3'!D46</f>
        <v>0</v>
      </c>
      <c r="G47" s="390">
        <f>'Report-SOF2021-HB3'!D46</f>
        <v>0</v>
      </c>
      <c r="H47" s="390">
        <f>'Report-SOF2122-HB3'!D46</f>
        <v>0</v>
      </c>
      <c r="I47" s="390">
        <f>'Report-SOF2223-HB3'!D46</f>
        <v>0</v>
      </c>
      <c r="J47" s="390">
        <f>'Report-SOF2324-HB3'!D46</f>
        <v>0</v>
      </c>
    </row>
    <row r="48" spans="1:10" ht="15">
      <c r="A48" s="385" t="s">
        <v>2745</v>
      </c>
      <c r="B48" s="4694" t="s">
        <v>10189</v>
      </c>
      <c r="C48" s="3262"/>
      <c r="D48" s="390" t="e">
        <f>#REF!</f>
        <v>#REF!</v>
      </c>
      <c r="E48" s="390">
        <f>'Report-SOF1819'!D51</f>
        <v>0</v>
      </c>
      <c r="F48" s="390">
        <f>'Report-SOF1920-HB3'!D47</f>
        <v>0</v>
      </c>
      <c r="G48" s="390">
        <f>'Report-SOF2021-HB3'!D47</f>
        <v>0</v>
      </c>
      <c r="H48" s="390">
        <f>'Report-SOF2122-HB3'!D47</f>
        <v>0</v>
      </c>
      <c r="I48" s="390">
        <f>'Report-SOF2223-HB3'!D47</f>
        <v>0</v>
      </c>
      <c r="J48" s="390">
        <f>'Report-SOF2324-HB3'!D47</f>
        <v>0</v>
      </c>
    </row>
    <row r="49" spans="1:10" ht="15">
      <c r="A49" s="385" t="s">
        <v>2746</v>
      </c>
      <c r="B49" s="4693" t="s">
        <v>10190</v>
      </c>
      <c r="C49" s="3262"/>
      <c r="D49" s="390" t="e">
        <f>#REF!</f>
        <v>#REF!</v>
      </c>
      <c r="E49" s="390">
        <f>'Report-SOF1819'!D52</f>
        <v>0</v>
      </c>
      <c r="F49" s="390">
        <f>'Report-SOF1920-HB3'!D48</f>
        <v>0</v>
      </c>
      <c r="G49" s="390">
        <f>'Report-SOF2021-HB3'!D48</f>
        <v>0</v>
      </c>
      <c r="H49" s="390">
        <f>'Report-SOF2122-HB3'!D48</f>
        <v>0</v>
      </c>
      <c r="I49" s="390">
        <f>'Report-SOF2223-HB3'!D48</f>
        <v>0</v>
      </c>
      <c r="J49" s="390">
        <f>'Report-SOF2324-HB3'!D48</f>
        <v>0</v>
      </c>
    </row>
    <row r="50" spans="1:10" ht="18">
      <c r="A50" s="1388" t="s">
        <v>10191</v>
      </c>
      <c r="B50" s="1388"/>
      <c r="C50" s="1387"/>
      <c r="D50" s="390" t="e">
        <f>#REF!</f>
        <v>#REF!</v>
      </c>
      <c r="E50" s="390">
        <f>'Report-SOF1819'!D53</f>
        <v>0</v>
      </c>
      <c r="F50" s="1387"/>
      <c r="G50" s="1387"/>
      <c r="H50" s="1387"/>
      <c r="I50" s="1387"/>
      <c r="J50" s="1387"/>
    </row>
    <row r="51" spans="1:10" ht="15">
      <c r="A51" s="385" t="s">
        <v>2747</v>
      </c>
      <c r="B51" s="386" t="s">
        <v>10192</v>
      </c>
      <c r="C51" s="386"/>
      <c r="D51" s="390" t="e">
        <f>#REF!</f>
        <v>#REF!</v>
      </c>
      <c r="E51" s="390">
        <f>'Report-SOF1819'!D54</f>
        <v>0</v>
      </c>
      <c r="F51" s="390">
        <f>'Report-SOF1920-HB3'!D50</f>
        <v>0</v>
      </c>
      <c r="G51" s="390">
        <f>'Report-SOF2021-HB3'!D50</f>
        <v>0</v>
      </c>
      <c r="H51" s="390">
        <f>'Report-SOF2122-HB3'!D50</f>
        <v>0</v>
      </c>
      <c r="I51" s="390">
        <f>'Report-SOF2223-HB3'!D50</f>
        <v>0</v>
      </c>
      <c r="J51" s="390">
        <f>'Report-SOF2324-HB3'!D50</f>
        <v>0</v>
      </c>
    </row>
    <row r="52" spans="1:10" ht="15">
      <c r="A52" s="385" t="s">
        <v>2748</v>
      </c>
      <c r="B52" s="386" t="s">
        <v>10193</v>
      </c>
      <c r="C52" s="386"/>
      <c r="D52" s="390" t="e">
        <f>#REF!</f>
        <v>#REF!</v>
      </c>
      <c r="E52" s="390">
        <f>'Report-SOF1819'!D55</f>
        <v>0</v>
      </c>
      <c r="F52" s="390">
        <f>'Report-SOF1920-HB3'!D51</f>
        <v>0</v>
      </c>
      <c r="G52" s="390">
        <f>'Report-SOF2021-HB3'!D51</f>
        <v>0</v>
      </c>
      <c r="H52" s="390">
        <f>'Report-SOF2122-HB3'!D51</f>
        <v>0</v>
      </c>
      <c r="I52" s="390">
        <f>'Report-SOF2223-HB3'!D51</f>
        <v>0</v>
      </c>
      <c r="J52" s="390">
        <f>'Report-SOF2324-HB3'!D51</f>
        <v>0</v>
      </c>
    </row>
    <row r="53" spans="1:10" ht="15">
      <c r="A53" s="385" t="s">
        <v>2749</v>
      </c>
      <c r="B53" s="4677" t="s">
        <v>10194</v>
      </c>
      <c r="C53" s="4677"/>
      <c r="D53" s="390" t="e">
        <f>#REF!</f>
        <v>#REF!</v>
      </c>
      <c r="E53" s="390">
        <f>'Report-SOF1819'!D56</f>
        <v>0</v>
      </c>
      <c r="F53" s="390">
        <f>'Report-SOF1920-HB3'!D52</f>
        <v>0</v>
      </c>
      <c r="G53" s="390">
        <f>'Report-SOF2021-HB3'!D52</f>
        <v>0</v>
      </c>
      <c r="H53" s="390">
        <f>'Report-SOF2122-HB3'!D52</f>
        <v>0</v>
      </c>
      <c r="I53" s="390">
        <f>'Report-SOF2223-HB3'!D52</f>
        <v>0</v>
      </c>
      <c r="J53" s="390">
        <f>'Report-SOF2324-HB3'!D52</f>
        <v>0</v>
      </c>
    </row>
    <row r="54" spans="1:10" ht="15">
      <c r="A54" s="385" t="s">
        <v>2750</v>
      </c>
      <c r="B54" s="4677" t="s">
        <v>10195</v>
      </c>
      <c r="C54" s="4677"/>
      <c r="D54" s="390" t="e">
        <f>#REF!</f>
        <v>#REF!</v>
      </c>
      <c r="E54" s="390">
        <f>'Report-SOF1819'!D57</f>
        <v>0</v>
      </c>
      <c r="F54" s="390">
        <f>'Report-SOF1920-HB3'!D53</f>
        <v>0</v>
      </c>
      <c r="G54" s="390">
        <f>'Report-SOF2021-HB3'!D53</f>
        <v>0</v>
      </c>
      <c r="H54" s="390">
        <f>'Report-SOF2122-HB3'!D53</f>
        <v>0</v>
      </c>
      <c r="I54" s="390">
        <f>'Report-SOF2223-HB3'!D53</f>
        <v>0</v>
      </c>
      <c r="J54" s="390">
        <f>'Report-SOF2324-HB3'!D53</f>
        <v>0</v>
      </c>
    </row>
    <row r="55" spans="1:10" ht="15">
      <c r="A55" s="385" t="s">
        <v>2751</v>
      </c>
      <c r="B55" s="4677" t="s">
        <v>10196</v>
      </c>
      <c r="C55" s="4677"/>
      <c r="D55" s="1414"/>
      <c r="E55" s="1414"/>
      <c r="F55" s="390">
        <f>'Report-SOF1920-HB3'!D54</f>
        <v>0</v>
      </c>
      <c r="G55" s="390">
        <f>'Report-SOF2021-HB3'!D54</f>
        <v>0</v>
      </c>
      <c r="H55" s="390">
        <f>'Report-SOF2122-HB3'!D54</f>
        <v>0</v>
      </c>
      <c r="I55" s="390">
        <f>'Report-SOF2223-HB3'!D54</f>
        <v>0</v>
      </c>
      <c r="J55" s="390">
        <f>'Report-SOF2324-HB3'!D54</f>
        <v>0</v>
      </c>
    </row>
    <row r="56" spans="1:10" ht="15.75">
      <c r="A56" s="385" t="s">
        <v>2752</v>
      </c>
      <c r="B56" s="4677" t="s">
        <v>10197</v>
      </c>
      <c r="C56" s="4677"/>
      <c r="D56" s="1414"/>
      <c r="E56" s="1394" t="s">
        <v>3225</v>
      </c>
      <c r="F56" s="390">
        <f>'Report-SOF1920-HB3'!D55</f>
        <v>0</v>
      </c>
      <c r="G56" s="390">
        <f>'Report-SOF2021-HB3'!D55</f>
        <v>0</v>
      </c>
      <c r="H56" s="390">
        <f>'Report-SOF2122-HB3'!D55</f>
        <v>0</v>
      </c>
      <c r="I56" s="390">
        <f>'Report-SOF2223-HB3'!D55</f>
        <v>0</v>
      </c>
      <c r="J56" s="390">
        <f>'Report-SOF2324-HB3'!D55</f>
        <v>0</v>
      </c>
    </row>
    <row r="57" spans="1:10" ht="15">
      <c r="A57" s="385" t="s">
        <v>2753</v>
      </c>
      <c r="B57" s="4677" t="s">
        <v>10198</v>
      </c>
      <c r="C57" s="4677"/>
      <c r="D57" s="390" t="e">
        <f>#REF!</f>
        <v>#REF!</v>
      </c>
      <c r="E57" s="390">
        <f>'Report-SOF1819'!D60</f>
        <v>0</v>
      </c>
      <c r="F57" s="390">
        <f>'Report-SOF1920-HB3'!D56</f>
        <v>0</v>
      </c>
      <c r="G57" s="390">
        <f>'Report-SOF2021-HB3'!D56</f>
        <v>0</v>
      </c>
      <c r="H57" s="390">
        <f>'Report-SOF2122-HB3'!D56</f>
        <v>0</v>
      </c>
      <c r="I57" s="390">
        <f>'Report-SOF2223-HB3'!D56</f>
        <v>0</v>
      </c>
      <c r="J57" s="390">
        <f>'Report-SOF2324-HB3'!D56</f>
        <v>0</v>
      </c>
    </row>
    <row r="58" spans="1:10" ht="15">
      <c r="A58" s="385" t="s">
        <v>2754</v>
      </c>
      <c r="B58" s="4740" t="s">
        <v>10255</v>
      </c>
      <c r="C58" s="4740"/>
      <c r="D58" s="4745"/>
      <c r="E58" s="4745"/>
      <c r="F58" s="390">
        <f>'Report-SOF1920-HB3'!D57</f>
        <v>0</v>
      </c>
      <c r="G58" s="390" t="e">
        <f>'Report-SOF2021-HB3'!D57</f>
        <v>#DIV/0!</v>
      </c>
      <c r="H58" s="390" t="e">
        <f>'Report-SOF2122-HB3'!D57</f>
        <v>#DIV/0!</v>
      </c>
      <c r="I58" s="390" t="e">
        <f>'Report-SOF2223-HB3'!D57</f>
        <v>#DIV/0!</v>
      </c>
      <c r="J58" s="390" t="e">
        <f>'Report-SOF2324-HB3'!D57</f>
        <v>#DIV/0!</v>
      </c>
    </row>
    <row r="59" spans="1:10" ht="15">
      <c r="A59" s="385" t="s">
        <v>2755</v>
      </c>
      <c r="B59" s="386" t="s">
        <v>2763</v>
      </c>
      <c r="C59" s="386"/>
      <c r="D59" s="390" t="e">
        <f>#REF!</f>
        <v>#REF!</v>
      </c>
      <c r="E59" s="390" t="e">
        <f>'Report-SOF1819'!D62</f>
        <v>#DIV/0!</v>
      </c>
      <c r="F59" s="390">
        <f>'Report-SOF1920-HB3'!D58</f>
        <v>0</v>
      </c>
      <c r="G59" s="390" t="e">
        <f>'Report-SOF2021-HB3'!D58</f>
        <v>#DIV/0!</v>
      </c>
      <c r="H59" s="390" t="e">
        <f>'Report-SOF2122-HB3'!D58</f>
        <v>#DIV/0!</v>
      </c>
      <c r="I59" s="390" t="e">
        <f>'Report-SOF2223-HB3'!D58</f>
        <v>#DIV/0!</v>
      </c>
      <c r="J59" s="390" t="e">
        <f>'Report-SOF2324-HB3'!D58</f>
        <v>#DIV/0!</v>
      </c>
    </row>
    <row r="60" spans="1:10" ht="15">
      <c r="A60" s="385" t="s">
        <v>2756</v>
      </c>
      <c r="B60" s="386" t="s">
        <v>2764</v>
      </c>
      <c r="C60" s="386"/>
      <c r="D60" s="390" t="e">
        <f>#REF!</f>
        <v>#REF!</v>
      </c>
      <c r="E60" s="390">
        <f>'Report-SOF1819'!D63</f>
        <v>0</v>
      </c>
      <c r="F60" s="390">
        <f>'Report-SOF1920-HB3'!D59</f>
        <v>0</v>
      </c>
      <c r="G60" s="390">
        <f>'Report-SOF2021-HB3'!D59</f>
        <v>0</v>
      </c>
      <c r="H60" s="390">
        <f>'Report-SOF2122-HB3'!D59</f>
        <v>0</v>
      </c>
      <c r="I60" s="390">
        <f>'Report-SOF2223-HB3'!D59</f>
        <v>0</v>
      </c>
      <c r="J60" s="390">
        <f>'Report-SOF2324-HB3'!D59</f>
        <v>0</v>
      </c>
    </row>
    <row r="61" spans="1:10" ht="18">
      <c r="A61" s="1390" t="s">
        <v>10199</v>
      </c>
      <c r="B61" s="1391"/>
      <c r="C61" s="1391"/>
      <c r="D61" s="390" t="e">
        <f>#REF!</f>
        <v>#REF!</v>
      </c>
      <c r="E61" s="390" t="e">
        <f>'Report-SOF1819'!D64</f>
        <v>#DIV/0!</v>
      </c>
      <c r="F61" s="1387"/>
      <c r="G61" s="1387"/>
      <c r="H61" s="1387"/>
      <c r="I61" s="1387"/>
      <c r="J61" s="1387"/>
    </row>
    <row r="62" spans="1:10" ht="15">
      <c r="A62" s="385" t="s">
        <v>2757</v>
      </c>
      <c r="B62" s="386" t="s">
        <v>10252</v>
      </c>
      <c r="C62" s="386"/>
      <c r="D62" s="1405"/>
      <c r="E62" s="1405"/>
      <c r="F62" s="4743">
        <f>'Report-SOF1920-HB3'!D61</f>
        <v>0</v>
      </c>
      <c r="G62" s="4743" t="e">
        <f>'Report-SOF2021-HB3'!D61</f>
        <v>#DIV/0!</v>
      </c>
      <c r="H62" s="4743" t="e">
        <f>'Report-SOF2122-HB3'!D61</f>
        <v>#DIV/0!</v>
      </c>
      <c r="I62" s="4743" t="e">
        <f>'Report-SOF2223-HB3'!D61</f>
        <v>#DIV/0!</v>
      </c>
      <c r="J62" s="4743" t="e">
        <f>'Report-SOF2324-HB3'!D61</f>
        <v>#DIV/0!</v>
      </c>
    </row>
    <row r="63" spans="1:10" ht="15">
      <c r="A63" s="385" t="s">
        <v>2758</v>
      </c>
      <c r="B63" s="4740" t="s">
        <v>10257</v>
      </c>
      <c r="C63" s="4740"/>
      <c r="D63" s="4755"/>
      <c r="E63" s="4755"/>
      <c r="F63" s="4743" t="e">
        <f>'Report-SOF1920-HB3'!D62</f>
        <v>#DIV/0!</v>
      </c>
      <c r="G63" s="4743" t="e">
        <f>'Report-SOF2021-HB3'!D62</f>
        <v>#DIV/0!</v>
      </c>
      <c r="H63" s="4743" t="e">
        <f>'Report-SOF2122-HB3'!D62</f>
        <v>#DIV/0!</v>
      </c>
      <c r="I63" s="4743" t="e">
        <f>'Report-SOF2223-HB3'!D62</f>
        <v>#DIV/0!</v>
      </c>
      <c r="J63" s="4743" t="e">
        <f>'Report-SOF2324-HB3'!D62</f>
        <v>#DIV/0!</v>
      </c>
    </row>
    <row r="64" spans="1:10" ht="15">
      <c r="A64" s="385" t="s">
        <v>2773</v>
      </c>
      <c r="B64" s="4740" t="s">
        <v>3088</v>
      </c>
      <c r="C64" s="4740"/>
      <c r="D64" s="4755"/>
      <c r="E64" s="4755"/>
      <c r="F64" s="4743" t="e">
        <f>'Report-SOF1920-HB3'!D63</f>
        <v>#DIV/0!</v>
      </c>
      <c r="G64" s="4743" t="e">
        <f>'Report-SOF2021-HB3'!D63</f>
        <v>#DIV/0!</v>
      </c>
      <c r="H64" s="4743" t="e">
        <f>'Report-SOF2122-HB3'!D63</f>
        <v>#DIV/0!</v>
      </c>
      <c r="I64" s="4743" t="e">
        <f>'Report-SOF2223-HB3'!D63</f>
        <v>#DIV/0!</v>
      </c>
      <c r="J64" s="4743" t="e">
        <f>'Report-SOF2324-HB3'!D63</f>
        <v>#DIV/0!</v>
      </c>
    </row>
    <row r="65" spans="1:10" ht="15">
      <c r="A65" s="385" t="s">
        <v>2774</v>
      </c>
      <c r="B65" s="386" t="s">
        <v>2766</v>
      </c>
      <c r="C65" s="386"/>
      <c r="D65" s="390" t="e">
        <f>#REF!</f>
        <v>#REF!</v>
      </c>
      <c r="E65" s="390">
        <f>'Report-SOF1819'!D68</f>
        <v>0</v>
      </c>
      <c r="F65" s="4743" t="e">
        <f>'Report-SOF1920-HB3'!D64</f>
        <v>#DIV/0!</v>
      </c>
      <c r="G65" s="4743" t="e">
        <f>'Report-SOF2021-HB3'!D64</f>
        <v>#DIV/0!</v>
      </c>
      <c r="H65" s="4743" t="e">
        <f>'Report-SOF2122-HB3'!D64</f>
        <v>#DIV/0!</v>
      </c>
      <c r="I65" s="4743" t="e">
        <f>'Report-SOF2223-HB3'!D64</f>
        <v>#DIV/0!</v>
      </c>
      <c r="J65" s="4743" t="e">
        <f>'Report-SOF2324-HB3'!D64</f>
        <v>#DIV/0!</v>
      </c>
    </row>
    <row r="66" spans="1:10" ht="18">
      <c r="A66" s="1372" t="s">
        <v>10200</v>
      </c>
      <c r="B66" s="1387"/>
      <c r="C66" s="1387"/>
      <c r="D66" s="390" t="e">
        <f>#REF!</f>
        <v>#REF!</v>
      </c>
      <c r="E66" s="390">
        <f>'Report-SOF1819'!D69</f>
        <v>0</v>
      </c>
      <c r="F66" s="1387"/>
      <c r="G66" s="1387"/>
      <c r="H66" s="1387"/>
      <c r="I66" s="1387"/>
      <c r="J66" s="4744"/>
    </row>
    <row r="67" spans="1:10" ht="18">
      <c r="A67" s="1388" t="s">
        <v>10201</v>
      </c>
      <c r="B67" s="1388"/>
      <c r="C67" s="1387"/>
      <c r="D67" s="390" t="e">
        <f>#REF!</f>
        <v>#REF!</v>
      </c>
      <c r="E67" s="390">
        <f>'Report-SOF1819'!D70</f>
        <v>0</v>
      </c>
      <c r="F67" s="1387"/>
      <c r="G67" s="1387"/>
      <c r="H67" s="1387"/>
      <c r="I67" s="1387"/>
      <c r="J67" s="4744"/>
    </row>
    <row r="68" spans="1:10" ht="15">
      <c r="A68" s="385" t="s">
        <v>2775</v>
      </c>
      <c r="B68" s="386" t="s">
        <v>2779</v>
      </c>
      <c r="C68" s="386"/>
      <c r="D68" s="390" t="e">
        <f>#REF!</f>
        <v>#REF!</v>
      </c>
      <c r="E68" s="390">
        <f>'Report-SOF1819'!D71</f>
        <v>0</v>
      </c>
      <c r="F68" s="390" t="e">
        <f>'Report-SOF1920-HB3'!D67</f>
        <v>#DIV/0!</v>
      </c>
      <c r="G68" s="390" t="e">
        <f>'Report-SOF2021-HB3'!D67</f>
        <v>#DIV/0!</v>
      </c>
      <c r="H68" s="390" t="e">
        <f>'Report-SOF2122-HB3'!D67</f>
        <v>#DIV/0!</v>
      </c>
      <c r="I68" s="390" t="e">
        <f>'Report-SOF2223-HB3'!D67</f>
        <v>#DIV/0!</v>
      </c>
      <c r="J68" s="390" t="e">
        <f>'Report-SOF2324-HB3'!D67</f>
        <v>#DIV/0!</v>
      </c>
    </row>
    <row r="69" spans="1:10" ht="15">
      <c r="A69" s="385" t="s">
        <v>2776</v>
      </c>
      <c r="B69" s="386" t="s">
        <v>3047</v>
      </c>
      <c r="C69" s="386"/>
      <c r="D69" s="390"/>
      <c r="E69" s="390" t="e">
        <f>'Report-SOF1819'!D72</f>
        <v>#DIV/0!</v>
      </c>
      <c r="F69" s="390">
        <f>'Report-SOF1920-HB3'!D68</f>
        <v>0</v>
      </c>
      <c r="G69" s="390">
        <f>'Report-SOF2021-HB3'!D68</f>
        <v>0</v>
      </c>
      <c r="H69" s="390">
        <f>'Report-SOF2122-HB3'!D68</f>
        <v>0</v>
      </c>
      <c r="I69" s="390">
        <f>'Report-SOF2223-HB3'!D68</f>
        <v>0</v>
      </c>
      <c r="J69" s="390">
        <f>'Report-SOF2324-HB3'!D68</f>
        <v>0</v>
      </c>
    </row>
    <row r="70" spans="1:10" ht="18">
      <c r="A70" s="1388" t="s">
        <v>10202</v>
      </c>
      <c r="B70" s="1388"/>
      <c r="C70" s="1387"/>
      <c r="D70" s="395" t="e">
        <f>#REF!</f>
        <v>#REF!</v>
      </c>
      <c r="E70" s="395" t="e">
        <f>'Report-SOF1819'!D73</f>
        <v>#DIV/0!</v>
      </c>
      <c r="F70" s="1387"/>
      <c r="G70" s="1387"/>
      <c r="H70" s="1387"/>
      <c r="I70" s="1387"/>
      <c r="J70" s="4744"/>
    </row>
    <row r="71" spans="1:10" ht="15.75">
      <c r="A71" s="385" t="s">
        <v>2777</v>
      </c>
      <c r="B71" s="4759" t="s">
        <v>10258</v>
      </c>
      <c r="C71" s="386"/>
      <c r="D71" s="4757"/>
      <c r="E71" s="4758"/>
      <c r="F71" s="4756">
        <f>'Report-SOF1920-HB3'!D70</f>
        <v>0</v>
      </c>
      <c r="G71" s="4756">
        <f>'Report-SOF2021-HB3'!D70</f>
        <v>0</v>
      </c>
      <c r="H71" s="4756">
        <f>'Report-SOF2122-HB3'!D70</f>
        <v>0</v>
      </c>
      <c r="I71" s="4756">
        <f>'Report-SOF2223-HB3'!D70</f>
        <v>0</v>
      </c>
      <c r="J71" s="4756">
        <f>'Report-SOF2324-HB3'!D70</f>
        <v>0</v>
      </c>
    </row>
    <row r="72" spans="1:10" ht="15.75">
      <c r="A72" s="385" t="s">
        <v>2778</v>
      </c>
      <c r="B72" s="4759" t="s">
        <v>10259</v>
      </c>
      <c r="C72" s="4740"/>
      <c r="D72" s="4758"/>
      <c r="E72" s="4758"/>
      <c r="F72" s="4756">
        <f>'Report-SOF1920-HB3'!D71</f>
        <v>0</v>
      </c>
      <c r="G72" s="4756">
        <f>'Report-SOF2021-HB3'!D71</f>
        <v>0</v>
      </c>
      <c r="H72" s="4756">
        <f>'Report-SOF2122-HB3'!D71</f>
        <v>0</v>
      </c>
      <c r="I72" s="4756">
        <f>'Report-SOF2223-HB3'!D71</f>
        <v>0</v>
      </c>
      <c r="J72" s="4756">
        <f>'Report-SOF2324-HB3'!D71</f>
        <v>0</v>
      </c>
    </row>
    <row r="73" spans="1:10" ht="15.75">
      <c r="A73" s="385" t="s">
        <v>2917</v>
      </c>
      <c r="B73" s="4759" t="s">
        <v>10260</v>
      </c>
      <c r="C73" s="4740"/>
      <c r="D73" s="4758"/>
      <c r="E73" s="4758"/>
      <c r="F73" s="4756">
        <f>'Report-SOF1920-HB3'!D72</f>
        <v>0</v>
      </c>
      <c r="G73" s="4756">
        <f>'Report-SOF2021-HB3'!D72</f>
        <v>0</v>
      </c>
      <c r="H73" s="4756">
        <f>'Report-SOF2122-HB3'!D72</f>
        <v>0</v>
      </c>
      <c r="I73" s="4756">
        <f>'Report-SOF2223-HB3'!D72</f>
        <v>0</v>
      </c>
      <c r="J73" s="4756">
        <f>'Report-SOF2324-HB3'!D72</f>
        <v>0</v>
      </c>
    </row>
    <row r="74" spans="1:10" ht="15.75" customHeight="1">
      <c r="A74" s="385" t="s">
        <v>3206</v>
      </c>
      <c r="B74" s="386" t="s">
        <v>5752</v>
      </c>
      <c r="C74" s="386"/>
      <c r="F74" s="4756" t="e">
        <f>'Report-SOF1920-HB3'!D73</f>
        <v>#DIV/0!</v>
      </c>
      <c r="G74" s="4756" t="e">
        <f>'Report-SOF2021-HB3'!D73</f>
        <v>#DIV/0!</v>
      </c>
      <c r="H74" s="4756" t="e">
        <f>'Report-SOF2122-HB3'!D73</f>
        <v>#DIV/0!</v>
      </c>
      <c r="I74" s="4756" t="e">
        <f>'Report-SOF2223-HB3'!D73</f>
        <v>#DIV/0!</v>
      </c>
      <c r="J74" s="4756" t="e">
        <f>'Report-SOF2324-HB3'!D73</f>
        <v>#DIV/0!</v>
      </c>
    </row>
    <row r="75" spans="1:10" ht="18.75" thickBot="1">
      <c r="A75" s="385" t="s">
        <v>3207</v>
      </c>
      <c r="B75" s="1303" t="s">
        <v>3329</v>
      </c>
      <c r="C75" s="1393"/>
      <c r="F75" s="4750" t="e">
        <f>'Report-SOF1920-HB3'!D74</f>
        <v>#DIV/0!</v>
      </c>
      <c r="G75" s="4750" t="e">
        <f>'Report-SOF2021-HB3'!D74</f>
        <v>#DIV/0!</v>
      </c>
      <c r="H75" s="4750" t="e">
        <f>'Report-SOF2122-HB3'!D74</f>
        <v>#DIV/0!</v>
      </c>
      <c r="I75" s="4750" t="e">
        <f>'Report-SOF2223-HB3'!D74</f>
        <v>#DIV/0!</v>
      </c>
      <c r="J75" s="4750" t="e">
        <f>'Report-SOF2324-HB3'!D74</f>
        <v>#DIV/0!</v>
      </c>
    </row>
    <row r="76" spans="1:10" ht="18.75" thickTop="1">
      <c r="A76" s="1388" t="s">
        <v>10203</v>
      </c>
      <c r="B76" s="1388"/>
      <c r="C76" s="1387"/>
      <c r="D76" s="580" t="s">
        <v>167</v>
      </c>
      <c r="E76" s="1415" t="s">
        <v>3225</v>
      </c>
      <c r="F76" s="1387"/>
      <c r="G76" s="1387"/>
      <c r="H76" s="1387"/>
      <c r="I76" s="1387"/>
      <c r="J76" s="4744"/>
    </row>
    <row r="77" spans="1:10" ht="15">
      <c r="A77" s="385" t="s">
        <v>3208</v>
      </c>
      <c r="B77" s="4677" t="s">
        <v>10203</v>
      </c>
      <c r="C77" s="4677"/>
      <c r="D77" s="390" t="e">
        <f>#REF!</f>
        <v>#REF!</v>
      </c>
      <c r="E77" s="4746" t="e">
        <f>'Report-SOF1819'!D80</f>
        <v>#DIV/0!</v>
      </c>
      <c r="F77" s="4745" t="e">
        <f>'Report-SOF1920-HB3'!D76</f>
        <v>#DIV/0!</v>
      </c>
      <c r="G77" s="4745" t="e">
        <f>'Report-SOF2021-HB3'!D76</f>
        <v>#DIV/0!</v>
      </c>
      <c r="H77" s="4745" t="e">
        <f>'Report-SOF2122-HB3'!D76</f>
        <v>#DIV/0!</v>
      </c>
      <c r="I77" s="4745" t="e">
        <f>'Report-SOF2223-HB3'!D76</f>
        <v>#DIV/0!</v>
      </c>
      <c r="J77" s="4745" t="e">
        <f>'Report-SOF2324-HB3'!D76</f>
        <v>#DIV/0!</v>
      </c>
    </row>
    <row r="78" spans="1:10" ht="15">
      <c r="A78" s="4695"/>
      <c r="B78" s="4687"/>
      <c r="C78" s="4687"/>
      <c r="D78" s="390" t="e">
        <f>#REF!</f>
        <v>#REF!</v>
      </c>
      <c r="E78" s="422" t="e">
        <f>'Report-SOF1819'!D81</f>
        <v>#DIV/0!</v>
      </c>
      <c r="F78" s="4687"/>
      <c r="G78" s="4687"/>
      <c r="H78" s="4687"/>
      <c r="I78" s="4687"/>
      <c r="J78" s="4687"/>
    </row>
    <row r="79" spans="1:10" ht="15">
      <c r="A79" s="645" t="s">
        <v>3209</v>
      </c>
      <c r="B79" s="4772" t="s">
        <v>10338</v>
      </c>
      <c r="C79" s="4697"/>
      <c r="D79" s="390" t="e">
        <f>#REF!</f>
        <v>#REF!</v>
      </c>
      <c r="E79" s="422">
        <f>'Report-SOF1819'!D82</f>
        <v>0</v>
      </c>
      <c r="F79" s="1387"/>
      <c r="G79" s="1387"/>
      <c r="H79" s="1387"/>
      <c r="I79" s="1387"/>
      <c r="J79" s="4744"/>
    </row>
    <row r="80" spans="1:10" ht="15">
      <c r="A80" s="4698"/>
      <c r="B80" s="382"/>
      <c r="C80" s="382"/>
      <c r="D80" s="390" t="e">
        <f>#REF!</f>
        <v>#REF!</v>
      </c>
      <c r="E80" s="422" t="e">
        <f>'Report-SOF1819'!D83</f>
        <v>#DIV/0!</v>
      </c>
      <c r="F80" s="382"/>
      <c r="G80" s="382"/>
      <c r="H80" s="382"/>
      <c r="I80" s="382"/>
      <c r="J80" s="382"/>
    </row>
    <row r="81" spans="1:10" ht="15.75" thickBot="1">
      <c r="C81" s="4687"/>
      <c r="D81" s="4784" t="e">
        <f>#REF!</f>
        <v>#REF!</v>
      </c>
      <c r="E81" s="4785" t="s">
        <v>1775</v>
      </c>
      <c r="F81" s="4687"/>
      <c r="G81" s="4687"/>
      <c r="H81" s="4687"/>
      <c r="I81" s="4687"/>
      <c r="J81" s="4687"/>
    </row>
    <row r="82" spans="1:10" ht="16.5" thickTop="1">
      <c r="A82" s="4715" t="s">
        <v>3103</v>
      </c>
      <c r="B82" s="4786"/>
      <c r="C82" s="4796"/>
      <c r="D82" s="4752" t="e">
        <f>#REF!</f>
        <v>#REF!</v>
      </c>
      <c r="E82" s="4754" t="e">
        <f>'Report-SOF1819'!D85</f>
        <v>#DIV/0!</v>
      </c>
      <c r="F82" s="4787"/>
      <c r="G82" s="4787"/>
      <c r="H82" s="4787"/>
      <c r="I82" s="4787"/>
      <c r="J82" s="4718"/>
    </row>
    <row r="83" spans="1:10" ht="15.75">
      <c r="A83" s="4702" t="s">
        <v>2457</v>
      </c>
      <c r="B83" s="3148"/>
      <c r="C83" s="4703"/>
      <c r="D83" s="4788" t="e">
        <f>#REF!</f>
        <v>#REF!</v>
      </c>
      <c r="E83" s="4779" t="e">
        <f>'Report-SOF1819'!D86</f>
        <v>#DIV/0!</v>
      </c>
      <c r="F83" s="4788"/>
      <c r="G83" s="4788"/>
      <c r="H83" s="4788"/>
      <c r="I83" s="4788"/>
      <c r="J83" s="4779"/>
    </row>
    <row r="84" spans="1:10" ht="16.5" thickBot="1">
      <c r="A84" s="4777" t="s">
        <v>3210</v>
      </c>
      <c r="B84" s="4789" t="s">
        <v>10213</v>
      </c>
      <c r="C84" s="4703"/>
      <c r="D84" s="515" t="e">
        <f>#REF!</f>
        <v>#REF!</v>
      </c>
      <c r="E84" s="4748" t="e">
        <f>'Report-SOF1819'!D87</f>
        <v>#DIV/0!</v>
      </c>
      <c r="F84" s="4788" t="e">
        <f>'Report-SOF1920-HB3'!D83</f>
        <v>#DIV/0!</v>
      </c>
      <c r="G84" s="4788" t="e">
        <f>'Report-SOF2021-HB3'!D83</f>
        <v>#DIV/0!</v>
      </c>
      <c r="H84" s="4788" t="e">
        <f>'Report-SOF2122-HB3'!D83</f>
        <v>#DIV/0!</v>
      </c>
      <c r="I84" s="4788" t="e">
        <f>'Report-SOF2223-HB3'!D83</f>
        <v>#DIV/0!</v>
      </c>
      <c r="J84" s="4779" t="e">
        <f>'Report-SOF2324-HB3'!D83</f>
        <v>#DIV/0!</v>
      </c>
    </row>
    <row r="85" spans="1:10" ht="16.5" thickTop="1">
      <c r="A85" s="4777" t="s">
        <v>3211</v>
      </c>
      <c r="B85" s="4790" t="s">
        <v>9492</v>
      </c>
      <c r="C85" s="4791"/>
      <c r="D85" s="3149"/>
      <c r="E85" s="3148"/>
      <c r="F85" s="4788">
        <f>'Report-SOF1920-HB3'!D84</f>
        <v>0</v>
      </c>
      <c r="G85" s="4788">
        <f>'Report-SOF2021-HB3'!D84</f>
        <v>0</v>
      </c>
      <c r="H85" s="4788">
        <f>'Report-SOF2122-HB3'!D84</f>
        <v>0</v>
      </c>
      <c r="I85" s="4788">
        <f>'Report-SOF2223-HB3'!D84</f>
        <v>0</v>
      </c>
      <c r="J85" s="4779">
        <f>'Report-SOF2324-HB3'!D84</f>
        <v>0</v>
      </c>
    </row>
    <row r="86" spans="1:10" ht="16.5" thickBot="1">
      <c r="A86" s="4777" t="s">
        <v>3212</v>
      </c>
      <c r="B86" s="4790" t="s">
        <v>9493</v>
      </c>
      <c r="C86" s="4703"/>
      <c r="D86" s="3149"/>
      <c r="E86" s="3148"/>
      <c r="F86" s="4788" t="e">
        <f>'Report-SOF1920-HB3'!D85</f>
        <v>#DIV/0!</v>
      </c>
      <c r="G86" s="4788" t="e">
        <f>'Report-SOF2021-HB3'!D85</f>
        <v>#DIV/0!</v>
      </c>
      <c r="H86" s="4788" t="e">
        <f>'Report-SOF2122-HB3'!D85</f>
        <v>#DIV/0!</v>
      </c>
      <c r="I86" s="4788" t="e">
        <f>'Report-SOF2223-HB3'!D85</f>
        <v>#DIV/0!</v>
      </c>
      <c r="J86" s="4779" t="e">
        <f>'Report-SOF2324-HB3'!D85</f>
        <v>#DIV/0!</v>
      </c>
    </row>
    <row r="87" spans="1:10" ht="16.5" thickTop="1">
      <c r="A87" s="4777" t="s">
        <v>3213</v>
      </c>
      <c r="B87" s="4790" t="s">
        <v>9494</v>
      </c>
      <c r="C87" s="4791"/>
      <c r="D87" s="4792"/>
      <c r="E87" s="4751" t="s">
        <v>3225</v>
      </c>
      <c r="F87" s="4788" t="e">
        <f>'Report-SOF1920-HB3'!D86</f>
        <v>#DIV/0!</v>
      </c>
      <c r="G87" s="4788" t="e">
        <f>'Report-SOF2021-HB3'!D86</f>
        <v>#DIV/0!</v>
      </c>
      <c r="H87" s="4788" t="e">
        <f>'Report-SOF2122-HB3'!D86</f>
        <v>#DIV/0!</v>
      </c>
      <c r="I87" s="4788" t="e">
        <f>'Report-SOF2223-HB3'!D86</f>
        <v>#DIV/0!</v>
      </c>
      <c r="J87" s="4779" t="e">
        <f>'Report-SOF2324-HB3'!D86</f>
        <v>#DIV/0!</v>
      </c>
    </row>
    <row r="88" spans="1:10" ht="15.75">
      <c r="A88" s="4777" t="s">
        <v>3214</v>
      </c>
      <c r="B88" s="4790" t="s">
        <v>9495</v>
      </c>
      <c r="C88" s="4791"/>
      <c r="D88" s="4788" t="e">
        <f>#REF!</f>
        <v>#REF!</v>
      </c>
      <c r="E88" s="4793" t="e">
        <f>'Report-SOF1819'!D91</f>
        <v>#DIV/0!</v>
      </c>
      <c r="F88" s="4788" t="e">
        <f>'Report-SOF1920-HB3'!D87</f>
        <v>#DIV/0!</v>
      </c>
      <c r="G88" s="4788" t="e">
        <f>'Report-SOF2021-HB3'!D87</f>
        <v>#DIV/0!</v>
      </c>
      <c r="H88" s="4788" t="e">
        <f>'Report-SOF2122-HB3'!D87</f>
        <v>#DIV/0!</v>
      </c>
      <c r="I88" s="4788" t="e">
        <f>'Report-SOF2223-HB3'!D87</f>
        <v>#DIV/0!</v>
      </c>
      <c r="J88" s="4779" t="e">
        <f>'Report-SOF2324-HB3'!D87</f>
        <v>#DIV/0!</v>
      </c>
    </row>
    <row r="89" spans="1:10" ht="15.75">
      <c r="A89" s="4777" t="s">
        <v>3215</v>
      </c>
      <c r="B89" s="4789" t="s">
        <v>10205</v>
      </c>
      <c r="C89" s="4794"/>
      <c r="D89" s="4788" t="e">
        <f>#REF!</f>
        <v>#REF!</v>
      </c>
      <c r="E89" s="4793" t="e">
        <f>'Report-SOF1819'!D92</f>
        <v>#DIV/0!</v>
      </c>
      <c r="F89" s="4788" t="e">
        <f>'Report-SOF1920-HB3'!D88</f>
        <v>#DIV/0!</v>
      </c>
      <c r="G89" s="4788" t="e">
        <f>'Report-SOF2021-HB3'!D88</f>
        <v>#DIV/0!</v>
      </c>
      <c r="H89" s="4788" t="e">
        <f>'Report-SOF2122-HB3'!D88</f>
        <v>#DIV/0!</v>
      </c>
      <c r="I89" s="4788" t="e">
        <f>'Report-SOF2223-HB3'!D88</f>
        <v>#DIV/0!</v>
      </c>
      <c r="J89" s="4779" t="e">
        <f>'Report-SOF2324-HB3'!D88</f>
        <v>#DIV/0!</v>
      </c>
    </row>
    <row r="90" spans="1:10" ht="16.5" thickBot="1">
      <c r="A90" s="646" t="s">
        <v>3216</v>
      </c>
      <c r="B90" s="4795" t="s">
        <v>9497</v>
      </c>
      <c r="C90" s="1297"/>
      <c r="D90" s="4747" t="e">
        <f>#REF!</f>
        <v>#REF!</v>
      </c>
      <c r="E90" s="471" t="e">
        <f>'Report-SOF1819'!D93</f>
        <v>#DIV/0!</v>
      </c>
      <c r="F90" s="515" t="e">
        <f>'Report-SOF1920-HB3'!D89</f>
        <v>#DIV/0!</v>
      </c>
      <c r="G90" s="4747" t="e">
        <f>'Report-SOF2021-HB3'!D89</f>
        <v>#DIV/0!</v>
      </c>
      <c r="H90" s="4747" t="e">
        <f>'Report-SOF2122-HB3'!D89</f>
        <v>#DIV/0!</v>
      </c>
      <c r="I90" s="4747" t="e">
        <f>'Report-SOF2223-HB3'!D89</f>
        <v>#DIV/0!</v>
      </c>
      <c r="J90" s="471" t="e">
        <f>'Report-SOF2324-HB3'!D89</f>
        <v>#DIV/0!</v>
      </c>
    </row>
    <row r="91" spans="1:10" ht="16.5" thickTop="1" thickBot="1">
      <c r="A91" s="64"/>
      <c r="B91" s="3149"/>
      <c r="C91" s="4749"/>
      <c r="D91" s="4797" t="e">
        <f>#REF!</f>
        <v>#REF!</v>
      </c>
      <c r="E91" s="4798">
        <f>'Data Entry - SOF'!E142</f>
        <v>0</v>
      </c>
      <c r="F91" s="4749"/>
      <c r="G91" s="3149"/>
      <c r="H91" s="3149"/>
      <c r="I91" s="3149"/>
      <c r="J91" s="3149"/>
    </row>
    <row r="92" spans="1:10" ht="17.25" thickTop="1" thickBot="1">
      <c r="A92" s="4774" t="s">
        <v>9187</v>
      </c>
      <c r="B92" s="4773"/>
      <c r="C92" s="4710"/>
      <c r="D92" s="4775" t="e">
        <f>#REF!</f>
        <v>#REF!</v>
      </c>
      <c r="E92" s="4776" t="e">
        <f>'Report-SOF1819'!D95</f>
        <v>#DIV/0!</v>
      </c>
      <c r="F92" s="4752"/>
      <c r="G92" s="4752"/>
      <c r="H92" s="4752"/>
      <c r="I92" s="4752"/>
      <c r="J92" s="4754"/>
    </row>
    <row r="93" spans="1:10" ht="15.75" thickTop="1">
      <c r="A93" s="4777" t="s">
        <v>3217</v>
      </c>
      <c r="B93" s="4778" t="s">
        <v>9498</v>
      </c>
      <c r="C93" s="4706"/>
      <c r="D93" s="3148"/>
      <c r="E93" s="3148"/>
      <c r="F93" s="4753" t="e">
        <f>'Report-SOF1920-HB3'!D92</f>
        <v>#DIV/0!</v>
      </c>
      <c r="G93" s="4753" t="e">
        <f>'Report-SOF2021-HB3'!D92</f>
        <v>#DIV/0!</v>
      </c>
      <c r="H93" s="4753" t="e">
        <f>'Report-SOF2122-HB3'!D92</f>
        <v>#DIV/0!</v>
      </c>
      <c r="I93" s="4753" t="e">
        <f>'Report-SOF2223-HB3'!D92</f>
        <v>#DIV/0!</v>
      </c>
      <c r="J93" s="4779" t="e">
        <f>'Report-SOF2324-HB3'!D92</f>
        <v>#DIV/0!</v>
      </c>
    </row>
    <row r="94" spans="1:10" ht="15">
      <c r="A94" s="4777" t="s">
        <v>3218</v>
      </c>
      <c r="B94" s="4780" t="s">
        <v>9510</v>
      </c>
      <c r="C94" s="4781"/>
      <c r="D94" s="3148"/>
      <c r="E94" s="3148"/>
      <c r="F94" s="4753" t="e">
        <f>'Report-SOF1920-HB3'!D93</f>
        <v>#DIV/0!</v>
      </c>
      <c r="G94" s="4753" t="e">
        <f>'Report-SOF2021-HB3'!D93</f>
        <v>#DIV/0!</v>
      </c>
      <c r="H94" s="4753" t="e">
        <f>'Report-SOF2122-HB3'!D93</f>
        <v>#DIV/0!</v>
      </c>
      <c r="I94" s="4753" t="e">
        <f>'Report-SOF2223-HB3'!D93</f>
        <v>#DIV/0!</v>
      </c>
      <c r="J94" s="4734" t="e">
        <f>'Report-SOF2324-HB3'!D93</f>
        <v>#DIV/0!</v>
      </c>
    </row>
    <row r="95" spans="1:10" ht="15.75">
      <c r="A95" s="4777" t="s">
        <v>10208</v>
      </c>
      <c r="B95" s="4782" t="s">
        <v>10206</v>
      </c>
      <c r="C95" s="4781"/>
      <c r="D95" s="3148"/>
      <c r="E95" s="3148"/>
      <c r="F95" s="4753" t="e">
        <f>'Report-SOF1920-HB3'!D94</f>
        <v>#DIV/0!</v>
      </c>
      <c r="G95" s="4753" t="e">
        <f>'Report-SOF2021-HB3'!D94</f>
        <v>#DIV/0!</v>
      </c>
      <c r="H95" s="4753" t="e">
        <f>'Report-SOF2122-HB3'!D94</f>
        <v>#DIV/0!</v>
      </c>
      <c r="I95" s="4753" t="e">
        <f>'Report-SOF2223-HB3'!D94</f>
        <v>#DIV/0!</v>
      </c>
      <c r="J95" s="4734" t="e">
        <f>'Report-SOF2324-HB3'!D94</f>
        <v>#DIV/0!</v>
      </c>
    </row>
    <row r="96" spans="1:10" ht="15">
      <c r="A96" s="4777" t="s">
        <v>10209</v>
      </c>
      <c r="B96" s="4780" t="s">
        <v>10207</v>
      </c>
      <c r="C96" s="4781"/>
      <c r="D96" s="3148"/>
      <c r="E96" s="3148"/>
      <c r="F96" s="4753">
        <f>'Report-SOF1920-HB3'!D95</f>
        <v>0</v>
      </c>
      <c r="G96" s="4753">
        <f>'Report-SOF2021-HB3'!D95</f>
        <v>0</v>
      </c>
      <c r="H96" s="4753">
        <f>'Report-SOF2122-HB3'!D95</f>
        <v>0</v>
      </c>
      <c r="I96" s="4753">
        <f>'Report-SOF2223-HB3'!D95</f>
        <v>0</v>
      </c>
      <c r="J96" s="4734">
        <f>'Report-SOF2324-HB3'!D95</f>
        <v>0</v>
      </c>
    </row>
    <row r="97" spans="1:10" ht="16.5" thickBot="1">
      <c r="A97" s="646" t="s">
        <v>10210</v>
      </c>
      <c r="B97" s="1297" t="s">
        <v>6956</v>
      </c>
      <c r="C97" s="4711"/>
      <c r="D97" s="4783"/>
      <c r="E97" s="4783"/>
      <c r="F97" s="4747" t="e">
        <f>'Report-SOF1920-HB3'!D96</f>
        <v>#DIV/0!</v>
      </c>
      <c r="G97" s="4747" t="e">
        <f>'Report-SOF2021-HB3'!D96</f>
        <v>#DIV/0!</v>
      </c>
      <c r="H97" s="4747" t="e">
        <f>'Report-SOF2122-HB3'!D96</f>
        <v>#DIV/0!</v>
      </c>
      <c r="I97" s="4747" t="e">
        <f>'Report-SOF2223-HB3'!D96</f>
        <v>#DIV/0!</v>
      </c>
      <c r="J97" s="471" t="e">
        <f>'Report-SOF2324-HB3'!D96</f>
        <v>#DIV/0!</v>
      </c>
    </row>
    <row r="98" spans="1:10" ht="13.5" thickTop="1"/>
  </sheetData>
  <hyperlinks>
    <hyperlink ref="B31" location="'Report-AA1920'!A1" display="Adjusted Allotment                                                                    (Link to Detail Report)"/>
    <hyperlink ref="B25" location="'Report-M&amp;O1920'!A1" display="2018-19 (current year) M&amp;O Tax Collections                        (Link to Detail Report)"/>
    <hyperlink ref="B12" location="'Report-Calculations'!A1" display="Regular Program ADA (Line 1 - Line 3 - Line 4)          "/>
  </hyperlinks>
  <pageMargins left="0.45" right="0.45" top="0.5" bottom="0.5" header="0.3" footer="0.3"/>
  <pageSetup scale="70" orientation="landscape" r:id="rId1"/>
  <rowBreaks count="1" manualBreakCount="1">
    <brk id="38"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workbookViewId="0">
      <selection activeCell="G4" sqref="G4"/>
    </sheetView>
  </sheetViews>
  <sheetFormatPr defaultRowHeight="12.75"/>
  <cols>
    <col min="1" max="1" width="4.85546875" customWidth="1"/>
    <col min="6" max="6" width="18.85546875" customWidth="1"/>
    <col min="7" max="7" width="18.7109375" customWidth="1"/>
    <col min="9" max="9" width="11.5703125" bestFit="1" customWidth="1"/>
  </cols>
  <sheetData>
    <row r="1" spans="1:8" s="35" customFormat="1">
      <c r="A1" s="35" t="s">
        <v>9230</v>
      </c>
    </row>
    <row r="2" spans="1:8" s="35" customFormat="1">
      <c r="A2" s="35" t="s">
        <v>9231</v>
      </c>
    </row>
    <row r="3" spans="1:8" s="35" customFormat="1"/>
    <row r="4" spans="1:8" s="35" customFormat="1">
      <c r="G4" s="4003" t="s">
        <v>9232</v>
      </c>
    </row>
    <row r="5" spans="1:8" s="35" customFormat="1">
      <c r="A5" s="4004" t="s">
        <v>2186</v>
      </c>
      <c r="B5" s="35" t="s">
        <v>9233</v>
      </c>
      <c r="G5" s="4005" t="e">
        <f>'Report-SOF1819'!D60+'Report-SOF1819'!D61+'Report-Other1819'!E28+'Report-SOF1819'!E9</f>
        <v>#DIV/0!</v>
      </c>
      <c r="H5" s="46" t="s">
        <v>9468</v>
      </c>
    </row>
    <row r="6" spans="1:8" s="35" customFormat="1">
      <c r="A6" s="4004" t="s">
        <v>2187</v>
      </c>
      <c r="B6" s="35" t="s">
        <v>9234</v>
      </c>
      <c r="G6" s="4005">
        <f>'Report-SOF1819'!D32</f>
        <v>0</v>
      </c>
    </row>
    <row r="7" spans="1:8" s="35" customFormat="1">
      <c r="A7" s="4004" t="s">
        <v>2188</v>
      </c>
      <c r="B7" s="35" t="s">
        <v>9235</v>
      </c>
      <c r="G7" s="4005" t="e">
        <f>'Report-SOF1819'!D93</f>
        <v>#DIV/0!</v>
      </c>
    </row>
    <row r="8" spans="1:8" s="35" customFormat="1">
      <c r="A8" s="4004" t="s">
        <v>909</v>
      </c>
      <c r="B8" s="35" t="s">
        <v>9236</v>
      </c>
      <c r="G8" s="4005" t="e">
        <f>G5+G6-G7</f>
        <v>#DIV/0!</v>
      </c>
    </row>
    <row r="9" spans="1:8" s="35" customFormat="1">
      <c r="A9" s="4004" t="s">
        <v>910</v>
      </c>
      <c r="B9" s="35" t="s">
        <v>3259</v>
      </c>
      <c r="G9" s="4006">
        <f>IF('Calc Data'!E7&gt;'Calc Data'!E11,'Calc Data'!E7,'Calc Data'!E11)</f>
        <v>0</v>
      </c>
    </row>
    <row r="10" spans="1:8" s="35" customFormat="1">
      <c r="A10" s="4007" t="s">
        <v>912</v>
      </c>
      <c r="B10" s="4008" t="s">
        <v>9237</v>
      </c>
      <c r="C10" s="4008"/>
      <c r="D10" s="4008"/>
      <c r="E10" s="4008"/>
      <c r="F10" s="4008"/>
      <c r="G10" s="4005" t="e">
        <f>G8/G9</f>
        <v>#DIV/0!</v>
      </c>
    </row>
    <row r="11" spans="1:8" s="35" customFormat="1">
      <c r="A11" s="4004"/>
      <c r="G11" s="3149"/>
    </row>
    <row r="12" spans="1:8" s="35" customFormat="1">
      <c r="A12" s="4004" t="s">
        <v>913</v>
      </c>
      <c r="B12" s="35" t="s">
        <v>9238</v>
      </c>
      <c r="G12" s="4638" t="e">
        <f>'SOF1920-HB3'!I71+'SOF1920-HB3'!I83+'SOF1920-HB3'!P103+'SOF1920-HB3'!I128+'DistCharter-Funding1920'!F57+'SOF1920-HB3'!I127</f>
        <v>#DIV/0!</v>
      </c>
      <c r="H12" s="46" t="s">
        <v>9469</v>
      </c>
    </row>
    <row r="13" spans="1:8" s="35" customFormat="1">
      <c r="A13" s="4004" t="s">
        <v>914</v>
      </c>
      <c r="B13" s="35" t="s">
        <v>9239</v>
      </c>
      <c r="G13" s="4005">
        <f>'Data Entry - SOF'!K96</f>
        <v>0</v>
      </c>
    </row>
    <row r="14" spans="1:8" s="35" customFormat="1">
      <c r="A14" s="4004" t="s">
        <v>118</v>
      </c>
      <c r="B14" s="35" t="s">
        <v>9240</v>
      </c>
      <c r="G14" s="4005" t="e">
        <f>'SOF1920-HB3'!I79+'SOF1920-HB3'!I87</f>
        <v>#DIV/0!</v>
      </c>
    </row>
    <row r="15" spans="1:8" s="35" customFormat="1">
      <c r="A15" s="4004" t="s">
        <v>119</v>
      </c>
      <c r="B15" s="35" t="s">
        <v>9241</v>
      </c>
      <c r="G15" s="4005" t="e">
        <f>G12+G13-G14</f>
        <v>#DIV/0!</v>
      </c>
    </row>
    <row r="16" spans="1:8" s="35" customFormat="1">
      <c r="A16" s="4004" t="s">
        <v>120</v>
      </c>
      <c r="B16" s="35" t="s">
        <v>3323</v>
      </c>
      <c r="G16" s="4006">
        <f>IF('Calc Data'!F7&gt;'Calc Data'!F11,'Calc Data'!F7,'Calc Data'!F11)</f>
        <v>0</v>
      </c>
    </row>
    <row r="17" spans="1:7" s="35" customFormat="1">
      <c r="A17" s="4007" t="s">
        <v>121</v>
      </c>
      <c r="B17" s="4008" t="s">
        <v>9242</v>
      </c>
      <c r="C17" s="4008"/>
      <c r="D17" s="4008"/>
      <c r="E17" s="4008"/>
      <c r="F17" s="4008"/>
      <c r="G17" s="4005" t="e">
        <f>G15/G16</f>
        <v>#DIV/0!</v>
      </c>
    </row>
    <row r="18" spans="1:7" s="35" customFormat="1">
      <c r="A18" s="4004"/>
      <c r="G18" s="3149"/>
    </row>
    <row r="19" spans="1:7" s="35" customFormat="1">
      <c r="A19" s="4004" t="s">
        <v>1513</v>
      </c>
      <c r="B19" s="35" t="s">
        <v>9243</v>
      </c>
      <c r="G19" s="4005" t="e">
        <f>IF(G17-G10&lt;=0,0,G17-G10)</f>
        <v>#DIV/0!</v>
      </c>
    </row>
    <row r="20" spans="1:7" s="35" customFormat="1">
      <c r="A20" s="4004" t="s">
        <v>6</v>
      </c>
      <c r="B20" s="35" t="s">
        <v>9244</v>
      </c>
      <c r="G20" s="4009">
        <f>G16</f>
        <v>0</v>
      </c>
    </row>
    <row r="21" spans="1:7" s="35" customFormat="1">
      <c r="A21" s="4004" t="s">
        <v>2232</v>
      </c>
      <c r="B21" s="35" t="s">
        <v>9245</v>
      </c>
      <c r="G21" s="4005" t="e">
        <f>G19*G20</f>
        <v>#DIV/0!</v>
      </c>
    </row>
    <row r="22" spans="1:7" s="35" customFormat="1">
      <c r="A22" s="4004"/>
      <c r="G22" s="3149"/>
    </row>
    <row r="23" spans="1:7" s="35" customFormat="1">
      <c r="A23" s="4010" t="s">
        <v>2233</v>
      </c>
      <c r="B23" s="3986" t="s">
        <v>9246</v>
      </c>
      <c r="C23" s="3986"/>
      <c r="D23" s="3986"/>
      <c r="E23" s="3986"/>
      <c r="F23" s="4011"/>
      <c r="G23" s="4012" t="e">
        <f>G21*0.3</f>
        <v>#DIV/0!</v>
      </c>
    </row>
    <row r="24" spans="1:7" s="35" customFormat="1">
      <c r="A24" s="4004"/>
    </row>
    <row r="25" spans="1:7" s="35" customFormat="1">
      <c r="A25" s="4004" t="s">
        <v>2722</v>
      </c>
      <c r="B25" s="35" t="s">
        <v>9247</v>
      </c>
      <c r="G25" s="4013" t="e">
        <f>G23*0.75</f>
        <v>#DIV/0!</v>
      </c>
    </row>
    <row r="26" spans="1:7" s="35" customFormat="1">
      <c r="A26" s="4004" t="s">
        <v>2723</v>
      </c>
      <c r="B26" s="35" t="s">
        <v>9248</v>
      </c>
      <c r="G26" s="4013" t="e">
        <f>G23*0.25</f>
        <v>#DIV/0!</v>
      </c>
    </row>
    <row r="27" spans="1:7" s="35" customFormat="1">
      <c r="A27" s="4004"/>
    </row>
    <row r="28" spans="1:7" s="35" customFormat="1">
      <c r="A28" s="4004"/>
    </row>
    <row r="29" spans="1:7" s="35" customFormat="1">
      <c r="A29" s="966"/>
    </row>
    <row r="30" spans="1:7" s="35" customFormat="1">
      <c r="A30" s="966"/>
    </row>
    <row r="31" spans="1:7">
      <c r="A31" s="216"/>
    </row>
    <row r="32" spans="1:7">
      <c r="A32" s="216"/>
    </row>
    <row r="33" spans="1:1">
      <c r="A33" s="216"/>
    </row>
    <row r="34" spans="1:1">
      <c r="A34" s="216"/>
    </row>
    <row r="35" spans="1:1">
      <c r="A35" s="216"/>
    </row>
    <row r="36" spans="1:1">
      <c r="A36" s="216"/>
    </row>
    <row r="37" spans="1:1">
      <c r="A37" s="216"/>
    </row>
    <row r="38" spans="1:1">
      <c r="A38" s="216"/>
    </row>
    <row r="39" spans="1:1">
      <c r="A39" s="21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3"/>
  <sheetViews>
    <sheetView topLeftCell="B1" workbookViewId="0">
      <selection activeCell="E2" sqref="E2"/>
    </sheetView>
  </sheetViews>
  <sheetFormatPr defaultRowHeight="12.75"/>
  <cols>
    <col min="1" max="1" width="3.140625" customWidth="1"/>
    <col min="2" max="2" width="4.42578125" customWidth="1"/>
    <col min="3" max="3" width="44.42578125" customWidth="1"/>
    <col min="4" max="4" width="14.42578125" customWidth="1"/>
    <col min="5" max="5" width="14.85546875" style="52" customWidth="1"/>
    <col min="6" max="6" width="4.5703125" customWidth="1"/>
    <col min="7" max="7" width="14.85546875" style="37" customWidth="1"/>
    <col min="8" max="8" width="14.85546875" style="52" customWidth="1"/>
    <col min="9" max="9" width="4.5703125" style="52" customWidth="1"/>
    <col min="10" max="10" width="14.85546875" style="37" customWidth="1"/>
    <col min="11" max="11" width="14.85546875" style="52" customWidth="1"/>
    <col min="12" max="12" width="4.5703125" style="52" customWidth="1"/>
    <col min="13" max="13" width="14.85546875" style="37" customWidth="1"/>
    <col min="14" max="14" width="14.85546875" style="52" customWidth="1"/>
    <col min="15" max="15" width="4.5703125" style="52" customWidth="1"/>
    <col min="16" max="16" width="14.85546875" style="37" customWidth="1"/>
    <col min="17" max="17" width="14.85546875" style="52" customWidth="1"/>
    <col min="18" max="18" width="3.42578125" customWidth="1"/>
    <col min="19" max="19" width="4.7109375" customWidth="1"/>
  </cols>
  <sheetData>
    <row r="1" spans="1:20">
      <c r="A1" s="35" t="s">
        <v>9170</v>
      </c>
      <c r="B1" s="35"/>
      <c r="C1" s="35"/>
      <c r="D1" s="35"/>
      <c r="E1" s="54"/>
      <c r="F1" s="35"/>
      <c r="G1" s="72"/>
      <c r="H1" s="54"/>
      <c r="I1" s="54"/>
      <c r="J1" s="72"/>
      <c r="K1" s="54"/>
      <c r="L1" s="54"/>
      <c r="M1" s="72"/>
      <c r="N1" s="54"/>
      <c r="O1" s="54"/>
      <c r="P1" s="72"/>
      <c r="Q1" s="54"/>
      <c r="R1" s="35"/>
    </row>
    <row r="2" spans="1:20">
      <c r="A2" s="35"/>
      <c r="B2" s="35"/>
      <c r="C2" s="35"/>
      <c r="D2" s="3244"/>
      <c r="E2" s="3249" t="s">
        <v>3284</v>
      </c>
      <c r="F2" s="35"/>
      <c r="G2" s="3251"/>
      <c r="H2" s="3249" t="s">
        <v>3922</v>
      </c>
      <c r="I2" s="3259"/>
      <c r="J2" s="3251"/>
      <c r="K2" s="3249" t="s">
        <v>6374</v>
      </c>
      <c r="L2" s="4048"/>
      <c r="M2" s="3251"/>
      <c r="N2" s="3249" t="s">
        <v>6939</v>
      </c>
      <c r="O2" s="4047"/>
      <c r="P2" s="3251"/>
      <c r="Q2" s="3249" t="s">
        <v>8157</v>
      </c>
      <c r="R2" s="35"/>
    </row>
    <row r="3" spans="1:20">
      <c r="A3" s="35" t="s">
        <v>8901</v>
      </c>
      <c r="B3" s="3109" t="s">
        <v>9172</v>
      </c>
      <c r="C3" s="35"/>
      <c r="D3" s="4546"/>
      <c r="E3" s="4547">
        <v>0.93</v>
      </c>
      <c r="F3" s="3245"/>
      <c r="G3" s="4554"/>
      <c r="H3" s="4547" t="e">
        <f>'Calc Data'!G206</f>
        <v>#DIV/0!</v>
      </c>
      <c r="I3" s="4048"/>
      <c r="J3" s="4554"/>
      <c r="K3" s="4547" t="e">
        <f>'Calc Data'!J206</f>
        <v>#DIV/0!</v>
      </c>
      <c r="L3" s="4048"/>
      <c r="M3" s="4554"/>
      <c r="N3" s="4547" t="e">
        <f>'Calc Data'!L206</f>
        <v>#DIV/0!</v>
      </c>
      <c r="O3" s="4048"/>
      <c r="P3" s="4554"/>
      <c r="Q3" s="4547" t="e">
        <f>'Calc Data'!N206</f>
        <v>#DIV/0!</v>
      </c>
      <c r="R3" s="72" t="s">
        <v>8901</v>
      </c>
      <c r="S3" s="64" t="s">
        <v>9172</v>
      </c>
    </row>
    <row r="4" spans="1:20">
      <c r="A4" s="35"/>
      <c r="B4" s="3109"/>
      <c r="C4" s="35"/>
      <c r="D4" s="4548"/>
      <c r="E4" s="4549"/>
      <c r="F4" s="3245"/>
      <c r="G4" s="4555"/>
      <c r="H4" s="4549"/>
      <c r="I4" s="4048"/>
      <c r="J4" s="4555"/>
      <c r="K4" s="4549"/>
      <c r="L4" s="4048"/>
      <c r="M4" s="4555"/>
      <c r="N4" s="4549"/>
      <c r="O4" s="4048"/>
      <c r="P4" s="4555"/>
      <c r="Q4" s="4549"/>
      <c r="R4" s="35"/>
    </row>
    <row r="5" spans="1:20">
      <c r="A5" s="35" t="s">
        <v>8902</v>
      </c>
      <c r="B5" s="35" t="s">
        <v>8909</v>
      </c>
      <c r="C5" s="35"/>
      <c r="D5" s="4548"/>
      <c r="E5" s="4549"/>
      <c r="F5" s="3246"/>
      <c r="G5" s="4555"/>
      <c r="H5" s="4549"/>
      <c r="I5" s="3259"/>
      <c r="J5" s="4555"/>
      <c r="K5" s="4549"/>
      <c r="L5" s="3259"/>
      <c r="M5" s="4555"/>
      <c r="N5" s="4549"/>
      <c r="O5" s="3259"/>
      <c r="P5" s="4555"/>
      <c r="Q5" s="4549"/>
      <c r="R5" s="72" t="s">
        <v>8902</v>
      </c>
      <c r="S5" s="64" t="s">
        <v>8909</v>
      </c>
    </row>
    <row r="6" spans="1:20">
      <c r="A6" s="35"/>
      <c r="B6" s="35" t="s">
        <v>8906</v>
      </c>
      <c r="C6" s="35" t="s">
        <v>8903</v>
      </c>
      <c r="D6" s="4548">
        <f>'Data Entry - SOF'!E92-'Data Entry - SOF'!E97</f>
        <v>1.17</v>
      </c>
      <c r="E6" s="4549"/>
      <c r="F6" s="3246"/>
      <c r="G6" s="4555">
        <f>'Data Entry - SOF'!W191</f>
        <v>0.1383502435064935</v>
      </c>
      <c r="H6" s="4549"/>
      <c r="I6" s="3259"/>
      <c r="J6" s="4555" t="e">
        <f>'Data Entry - SOF'!W203</f>
        <v>#DIV/0!</v>
      </c>
      <c r="K6" s="4549"/>
      <c r="L6" s="3259"/>
      <c r="M6" s="4555" t="e">
        <f>'Data Entry - SOF'!X203</f>
        <v>#DIV/0!</v>
      </c>
      <c r="N6" s="4549"/>
      <c r="O6" s="3259"/>
      <c r="P6" s="4555" t="e">
        <f>'Data Entry - SOF'!Y203</f>
        <v>#DIV/0!</v>
      </c>
      <c r="Q6" s="4549"/>
      <c r="R6" s="35"/>
      <c r="S6" s="35" t="s">
        <v>8906</v>
      </c>
      <c r="T6" s="35" t="s">
        <v>9299</v>
      </c>
    </row>
    <row r="7" spans="1:20">
      <c r="A7" s="35"/>
      <c r="B7" s="35"/>
      <c r="C7" s="35" t="s">
        <v>8904</v>
      </c>
      <c r="D7" s="4548">
        <v>1</v>
      </c>
      <c r="E7" s="4549"/>
      <c r="F7" s="3246"/>
      <c r="G7" s="4555"/>
      <c r="H7" s="4549"/>
      <c r="I7" s="3259"/>
      <c r="J7" s="4555"/>
      <c r="K7" s="4549"/>
      <c r="L7" s="3259"/>
      <c r="M7" s="4555"/>
      <c r="N7" s="4549"/>
      <c r="O7" s="3259"/>
      <c r="P7" s="4555"/>
      <c r="Q7" s="4549"/>
      <c r="R7" s="35"/>
      <c r="T7" s="35"/>
    </row>
    <row r="8" spans="1:20">
      <c r="A8" s="35"/>
      <c r="B8" s="35"/>
      <c r="C8" s="35" t="s">
        <v>8905</v>
      </c>
      <c r="D8" s="4550">
        <f>IF('Data Entry - SOF'!W186-'Data Entry - SOF'!W187&lt;=0,0,'Data Entry - SOF'!W186-'Data Entry - SOF'!W187)</f>
        <v>3.1649756493506466E-2</v>
      </c>
      <c r="E8" s="4549"/>
      <c r="F8" s="3246"/>
      <c r="G8" s="4556">
        <v>0</v>
      </c>
      <c r="H8" s="4549"/>
      <c r="I8" s="3259"/>
      <c r="J8" s="4556">
        <v>0</v>
      </c>
      <c r="K8" s="4549"/>
      <c r="L8" s="3259"/>
      <c r="M8" s="4556">
        <v>0</v>
      </c>
      <c r="N8" s="4549"/>
      <c r="O8" s="3259"/>
      <c r="P8" s="4556">
        <v>0</v>
      </c>
      <c r="Q8" s="4549"/>
      <c r="R8" s="35"/>
      <c r="T8" s="35" t="s">
        <v>9173</v>
      </c>
    </row>
    <row r="9" spans="1:20">
      <c r="A9" s="35"/>
      <c r="B9" s="35"/>
      <c r="C9" s="35"/>
      <c r="D9" s="4548">
        <f>D6-D7-D8</f>
        <v>0.13835024350649347</v>
      </c>
      <c r="E9" s="4549"/>
      <c r="F9" s="3246"/>
      <c r="G9" s="4555">
        <f>G6-G8</f>
        <v>0.1383502435064935</v>
      </c>
      <c r="H9" s="4549"/>
      <c r="I9" s="3259"/>
      <c r="J9" s="4555" t="e">
        <f>J6-J8</f>
        <v>#DIV/0!</v>
      </c>
      <c r="K9" s="4549"/>
      <c r="L9" s="3259"/>
      <c r="M9" s="4555" t="e">
        <f>M6-M8</f>
        <v>#DIV/0!</v>
      </c>
      <c r="N9" s="4549"/>
      <c r="O9" s="3259"/>
      <c r="P9" s="4555" t="e">
        <f>P6-P8</f>
        <v>#DIV/0!</v>
      </c>
      <c r="Q9" s="4549"/>
      <c r="R9" s="35"/>
    </row>
    <row r="10" spans="1:20">
      <c r="A10" s="35"/>
      <c r="B10" s="35"/>
      <c r="C10" s="35"/>
      <c r="D10" s="4548"/>
      <c r="E10" s="4549"/>
      <c r="F10" s="3246"/>
      <c r="G10" s="4555"/>
      <c r="H10" s="4549"/>
      <c r="I10" s="3259"/>
      <c r="J10" s="4555"/>
      <c r="K10" s="4549"/>
      <c r="L10" s="3259"/>
      <c r="M10" s="4555"/>
      <c r="N10" s="4549"/>
      <c r="O10" s="3259"/>
      <c r="P10" s="4555"/>
      <c r="Q10" s="4549"/>
      <c r="R10" s="35"/>
    </row>
    <row r="11" spans="1:20">
      <c r="A11" s="35"/>
      <c r="B11" s="35" t="s">
        <v>8907</v>
      </c>
      <c r="C11" s="3247">
        <v>0.04</v>
      </c>
      <c r="D11" s="4548">
        <v>0.04</v>
      </c>
      <c r="E11" s="4549">
        <f>MAX(D9,D11)</f>
        <v>0.13835024350649347</v>
      </c>
      <c r="F11" s="3245"/>
      <c r="G11" s="4555">
        <f>IF(G23="Y",0.05,0.04)</f>
        <v>0.05</v>
      </c>
      <c r="H11" s="4549">
        <f>MAX(G9,G11)</f>
        <v>0.1383502435064935</v>
      </c>
      <c r="I11" s="4048"/>
      <c r="J11" s="4555">
        <f>IF(J23="Y",0.05,0.04)</f>
        <v>0.05</v>
      </c>
      <c r="K11" s="4549" t="e">
        <f>MAX(J9,J11)</f>
        <v>#DIV/0!</v>
      </c>
      <c r="L11" s="4048"/>
      <c r="M11" s="4555">
        <f>IF(M23="Y",0.05,0.04)</f>
        <v>0.05</v>
      </c>
      <c r="N11" s="4549" t="e">
        <f>MAX(M9,M11)</f>
        <v>#DIV/0!</v>
      </c>
      <c r="O11" s="4048"/>
      <c r="P11" s="4555">
        <f>IF(P23="Y",0.05,0.04)</f>
        <v>0.05</v>
      </c>
      <c r="Q11" s="4549" t="e">
        <f>MAX(P9,P11)</f>
        <v>#DIV/0!</v>
      </c>
      <c r="R11" s="35"/>
      <c r="S11" s="35" t="s">
        <v>8907</v>
      </c>
      <c r="T11" s="3247" t="s">
        <v>9267</v>
      </c>
    </row>
    <row r="12" spans="1:20">
      <c r="A12" s="35"/>
      <c r="B12" s="35"/>
      <c r="C12" s="35"/>
      <c r="D12" s="4548"/>
      <c r="E12" s="4549"/>
      <c r="F12" s="3246"/>
      <c r="G12" s="4555"/>
      <c r="H12" s="4549"/>
      <c r="I12" s="3259"/>
      <c r="J12" s="4555"/>
      <c r="K12" s="4549"/>
      <c r="L12" s="3259"/>
      <c r="M12" s="4555"/>
      <c r="N12" s="4549"/>
      <c r="O12" s="3259"/>
      <c r="P12" s="4555"/>
      <c r="Q12" s="4549"/>
      <c r="R12" s="35"/>
    </row>
    <row r="13" spans="1:20">
      <c r="A13" s="3111" t="s">
        <v>9265</v>
      </c>
      <c r="B13" s="3112"/>
      <c r="C13" s="3112"/>
      <c r="D13" s="4551"/>
      <c r="E13" s="4552">
        <f>E3+E11</f>
        <v>1.0683502435064935</v>
      </c>
      <c r="F13" s="3246"/>
      <c r="G13" s="4557"/>
      <c r="H13" s="4552" t="e">
        <f>H3+H11</f>
        <v>#DIV/0!</v>
      </c>
      <c r="I13" s="3259"/>
      <c r="J13" s="4557"/>
      <c r="K13" s="4552" t="e">
        <f>K3+K11</f>
        <v>#DIV/0!</v>
      </c>
      <c r="L13" s="4048"/>
      <c r="M13" s="4557"/>
      <c r="N13" s="4552" t="e">
        <f>N3+N11</f>
        <v>#DIV/0!</v>
      </c>
      <c r="O13" s="4049"/>
      <c r="P13" s="4557"/>
      <c r="Q13" s="4552" t="e">
        <f>Q3+Q11</f>
        <v>#DIV/0!</v>
      </c>
      <c r="R13" s="3248" t="s">
        <v>9171</v>
      </c>
      <c r="S13" s="35" t="s">
        <v>9266</v>
      </c>
    </row>
    <row r="14" spans="1:20">
      <c r="A14" s="35"/>
      <c r="B14" s="35"/>
      <c r="C14" s="35"/>
      <c r="D14" s="4548"/>
      <c r="E14" s="4549"/>
      <c r="F14" s="3246"/>
      <c r="G14" s="4555"/>
      <c r="H14" s="4549"/>
      <c r="I14" s="3259"/>
      <c r="J14" s="4555"/>
      <c r="K14" s="4549"/>
      <c r="L14" s="3259"/>
      <c r="M14" s="4555"/>
      <c r="N14" s="4549"/>
      <c r="O14" s="3259"/>
      <c r="P14" s="4555"/>
      <c r="Q14" s="4549"/>
      <c r="R14" s="35"/>
    </row>
    <row r="15" spans="1:20">
      <c r="A15" s="35" t="s">
        <v>8980</v>
      </c>
      <c r="B15" s="35"/>
      <c r="C15" s="35"/>
      <c r="D15" s="4548"/>
      <c r="E15" s="4549">
        <f>'Data Entry - SOF'!K100</f>
        <v>0</v>
      </c>
      <c r="F15" s="3245"/>
      <c r="G15" s="4555"/>
      <c r="H15" s="4549">
        <f>'Data Entry - SOF'!M100</f>
        <v>0</v>
      </c>
      <c r="I15" s="4048"/>
      <c r="J15" s="4555"/>
      <c r="K15" s="4549">
        <f>'Data Entry - SOF'!O100</f>
        <v>0</v>
      </c>
      <c r="L15" s="4048"/>
      <c r="M15" s="4555"/>
      <c r="N15" s="4549">
        <f>'Data Entry - SOF'!Q100</f>
        <v>0</v>
      </c>
      <c r="O15" s="4048"/>
      <c r="P15" s="4555"/>
      <c r="Q15" s="4549">
        <f>'Data Entry - SOF'!S100</f>
        <v>0</v>
      </c>
      <c r="R15" s="35"/>
    </row>
    <row r="16" spans="1:20">
      <c r="A16" s="35"/>
      <c r="B16" s="35"/>
      <c r="C16" s="35"/>
      <c r="D16" s="4548"/>
      <c r="E16" s="4549"/>
      <c r="F16" s="3246"/>
      <c r="G16" s="4555"/>
      <c r="H16" s="4549"/>
      <c r="I16" s="3259"/>
      <c r="J16" s="4555"/>
      <c r="K16" s="4549"/>
      <c r="L16" s="3259"/>
      <c r="M16" s="4555"/>
      <c r="N16" s="4549"/>
      <c r="O16" s="3259"/>
      <c r="P16" s="4555"/>
      <c r="Q16" s="4549"/>
      <c r="R16" s="35"/>
    </row>
    <row r="17" spans="1:18">
      <c r="A17" s="35" t="s">
        <v>9097</v>
      </c>
      <c r="B17" s="35"/>
      <c r="C17" s="35"/>
      <c r="D17" s="4550"/>
      <c r="E17" s="4553">
        <f>E13+E15</f>
        <v>1.0683502435064935</v>
      </c>
      <c r="F17" s="3245"/>
      <c r="G17" s="4556"/>
      <c r="H17" s="4553" t="e">
        <f>H13+H15</f>
        <v>#DIV/0!</v>
      </c>
      <c r="I17" s="4048"/>
      <c r="J17" s="4556"/>
      <c r="K17" s="4553" t="e">
        <f>K13+K15</f>
        <v>#DIV/0!</v>
      </c>
      <c r="L17" s="4048"/>
      <c r="M17" s="4556"/>
      <c r="N17" s="4553" t="e">
        <f>N13+N15</f>
        <v>#DIV/0!</v>
      </c>
      <c r="O17" s="4048"/>
      <c r="P17" s="4556"/>
      <c r="Q17" s="4553" t="e">
        <f>Q13+Q15</f>
        <v>#DIV/0!</v>
      </c>
      <c r="R17" s="35"/>
    </row>
    <row r="19" spans="1:18">
      <c r="G19" s="64" t="s">
        <v>9297</v>
      </c>
      <c r="J19" s="64"/>
      <c r="M19" s="64"/>
      <c r="P19" s="64"/>
    </row>
    <row r="20" spans="1:18" hidden="1">
      <c r="A20" s="35" t="s">
        <v>9009</v>
      </c>
      <c r="D20" s="2985"/>
      <c r="E20" s="3250">
        <v>1.1000000000000001</v>
      </c>
      <c r="F20" s="3110"/>
      <c r="G20" s="3252"/>
      <c r="H20" s="3096" t="s">
        <v>9010</v>
      </c>
      <c r="I20" s="3096"/>
      <c r="J20" s="3252"/>
      <c r="K20" s="3096" t="s">
        <v>9010</v>
      </c>
      <c r="L20" s="3096"/>
      <c r="M20" s="3252"/>
      <c r="N20" s="3096" t="s">
        <v>9010</v>
      </c>
      <c r="O20" s="3096"/>
      <c r="P20" s="3252"/>
      <c r="Q20" s="3096" t="s">
        <v>9010</v>
      </c>
    </row>
    <row r="21" spans="1:18">
      <c r="G21" s="64" t="s">
        <v>9175</v>
      </c>
      <c r="J21" s="64"/>
      <c r="M21" s="64"/>
      <c r="P21" s="64"/>
    </row>
    <row r="23" spans="1:18">
      <c r="G23" s="3257" t="s">
        <v>700</v>
      </c>
      <c r="H23" s="3258" t="s">
        <v>9298</v>
      </c>
      <c r="I23" s="3258"/>
      <c r="J23" s="3257" t="s">
        <v>700</v>
      </c>
      <c r="K23" s="3258" t="s">
        <v>9298</v>
      </c>
      <c r="L23" s="3258"/>
      <c r="M23" s="3257" t="s">
        <v>700</v>
      </c>
      <c r="N23" s="3258" t="s">
        <v>9298</v>
      </c>
      <c r="O23" s="3258"/>
      <c r="P23" s="3257" t="s">
        <v>700</v>
      </c>
      <c r="Q23" s="3258" t="s">
        <v>9298</v>
      </c>
    </row>
  </sheetData>
  <pageMargins left="0.7" right="0.7" top="0.75" bottom="0.75" header="0.3" footer="0.3"/>
  <pageSetup orientation="portrait" horizontalDpi="90" verticalDpi="9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7"/>
  <sheetViews>
    <sheetView topLeftCell="B18" zoomScale="93" zoomScaleNormal="90" workbookViewId="0">
      <selection activeCell="I18" sqref="I18"/>
    </sheetView>
  </sheetViews>
  <sheetFormatPr defaultColWidth="8.7109375" defaultRowHeight="14.25"/>
  <cols>
    <col min="1" max="1" width="10.5703125" style="4151" bestFit="1" customWidth="1"/>
    <col min="2" max="2" width="8.7109375" style="4151"/>
    <col min="3" max="3" width="13.5703125" style="4151" customWidth="1"/>
    <col min="4" max="4" width="44.5703125" style="4151" customWidth="1"/>
    <col min="5" max="5" width="29.42578125" style="4151" customWidth="1"/>
    <col min="6" max="6" width="19.140625" style="4151" hidden="1" customWidth="1"/>
    <col min="7" max="7" width="12.7109375" style="4151" customWidth="1"/>
    <col min="8" max="8" width="21.85546875" style="4151" customWidth="1"/>
    <col min="9" max="9" width="24.140625" style="4151" customWidth="1"/>
    <col min="10" max="11" width="28.42578125" style="4151" hidden="1" customWidth="1"/>
    <col min="12" max="12" width="15.5703125" style="4151" customWidth="1"/>
    <col min="13" max="13" width="15.5703125" style="4156" customWidth="1"/>
    <col min="14" max="14" width="23.85546875" style="4151" customWidth="1"/>
    <col min="15" max="15" width="15.5703125" style="4157" hidden="1" customWidth="1"/>
    <col min="16" max="16" width="13.5703125" style="4151" customWidth="1"/>
    <col min="17" max="25" width="8.7109375" style="4151"/>
    <col min="26" max="26" width="15.85546875" style="4151" customWidth="1"/>
    <col min="27" max="37" width="8.7109375" style="4151"/>
    <col min="38" max="38" width="15.5703125" style="4151" customWidth="1"/>
    <col min="39" max="39" width="16" style="4151" customWidth="1"/>
    <col min="40" max="16384" width="8.7109375" style="4151"/>
  </cols>
  <sheetData>
    <row r="1" spans="1:11" ht="15" hidden="1">
      <c r="A1" s="4150" t="s">
        <v>66</v>
      </c>
      <c r="C1" s="4152">
        <f>'Data Entry - SOF'!B1</f>
        <v>0</v>
      </c>
      <c r="E1" s="4153"/>
      <c r="F1" s="4154" t="str">
        <f>'Report-SOF1920-HB3'!D1</f>
        <v>Release 10</v>
      </c>
      <c r="G1" s="4155"/>
      <c r="J1" s="4155"/>
      <c r="K1" s="4155"/>
    </row>
    <row r="2" spans="1:11" ht="15" hidden="1">
      <c r="A2" s="4150" t="s">
        <v>67</v>
      </c>
      <c r="C2" s="4158">
        <f>'Data Entry - SOF'!B2</f>
        <v>0</v>
      </c>
      <c r="F2" s="4155">
        <f>'Report-SOF1920-HB3'!D2</f>
        <v>43724</v>
      </c>
      <c r="G2" s="4155"/>
      <c r="J2" s="4155"/>
      <c r="K2" s="4155"/>
    </row>
    <row r="3" spans="1:11" ht="15" hidden="1">
      <c r="A3" s="4150" t="s">
        <v>143</v>
      </c>
      <c r="C3" s="4159">
        <f ca="1">'Data Entry - SOF'!B3</f>
        <v>43726.623322453706</v>
      </c>
      <c r="F3" s="4160">
        <f>'Report-SOF1920-HB3'!D3</f>
        <v>0</v>
      </c>
    </row>
    <row r="4" spans="1:11" ht="15" hidden="1">
      <c r="D4" s="4161" t="s">
        <v>3183</v>
      </c>
    </row>
    <row r="5" spans="1:11" ht="15" hidden="1">
      <c r="D5" s="4162" t="s">
        <v>3286</v>
      </c>
    </row>
    <row r="6" spans="1:11" hidden="1"/>
    <row r="7" spans="1:11" ht="15" hidden="1">
      <c r="D7" s="4150" t="s">
        <v>1393</v>
      </c>
    </row>
    <row r="8" spans="1:11" ht="15" hidden="1">
      <c r="B8" s="4163"/>
      <c r="D8" s="4150" t="s">
        <v>832</v>
      </c>
      <c r="F8" s="4164">
        <f>'Calc Data'!F7</f>
        <v>0</v>
      </c>
      <c r="G8" s="4165"/>
      <c r="J8" s="4165"/>
      <c r="K8" s="4165"/>
    </row>
    <row r="9" spans="1:11" ht="15" hidden="1">
      <c r="D9" s="4150" t="s">
        <v>1394</v>
      </c>
      <c r="F9" s="4164">
        <f>'Calc Data'!F8</f>
        <v>0</v>
      </c>
      <c r="G9" s="4165"/>
      <c r="J9" s="4165"/>
      <c r="K9" s="4165"/>
    </row>
    <row r="10" spans="1:11" ht="15" hidden="1">
      <c r="D10" s="4150" t="s">
        <v>426</v>
      </c>
      <c r="F10" s="4164">
        <f>'Data Entry - SOF'!K35</f>
        <v>0</v>
      </c>
      <c r="G10" s="4165"/>
      <c r="J10" s="4165"/>
      <c r="K10" s="4165"/>
    </row>
    <row r="11" spans="1:11" ht="15" hidden="1">
      <c r="B11" s="4150"/>
      <c r="D11" s="4150" t="s">
        <v>427</v>
      </c>
      <c r="F11" s="4164">
        <f>'Calc Data'!F10</f>
        <v>0</v>
      </c>
      <c r="G11" s="4165"/>
      <c r="J11" s="4165"/>
      <c r="K11" s="4165"/>
    </row>
    <row r="12" spans="1:11" ht="15" hidden="1">
      <c r="D12" s="4150" t="s">
        <v>428</v>
      </c>
      <c r="F12" s="4166">
        <f>'Data Entry - SOF'!K73</f>
        <v>0</v>
      </c>
      <c r="G12" s="4166"/>
      <c r="J12" s="4166"/>
      <c r="K12" s="4166"/>
    </row>
    <row r="13" spans="1:11" ht="15" hidden="1">
      <c r="D13" s="4150" t="s">
        <v>429</v>
      </c>
      <c r="F13" s="4166" t="e">
        <f>'Data Entry - SOF'!#REF!</f>
        <v>#REF!</v>
      </c>
      <c r="G13" s="4166"/>
      <c r="J13" s="4166"/>
      <c r="K13" s="4166"/>
    </row>
    <row r="14" spans="1:11" ht="15" hidden="1">
      <c r="D14" s="4150" t="s">
        <v>1811</v>
      </c>
      <c r="F14" s="4164">
        <f>'Data Entry - SOF'!K159</f>
        <v>0</v>
      </c>
      <c r="G14" s="4166"/>
      <c r="J14" s="4166"/>
      <c r="K14" s="4166"/>
    </row>
    <row r="15" spans="1:11" ht="15" hidden="1">
      <c r="D15" s="4150" t="s">
        <v>1155</v>
      </c>
      <c r="F15" s="4164">
        <f>'Calc Data'!F59</f>
        <v>0</v>
      </c>
      <c r="G15" s="4167"/>
      <c r="J15" s="4167"/>
      <c r="K15" s="4167"/>
    </row>
    <row r="16" spans="1:11" ht="15" hidden="1">
      <c r="D16" s="4150" t="s">
        <v>1956</v>
      </c>
      <c r="F16" s="4166">
        <f>'Data Entry - SOF'!K93</f>
        <v>0</v>
      </c>
      <c r="G16" s="4166"/>
      <c r="J16" s="4166"/>
      <c r="K16" s="4166"/>
    </row>
    <row r="17" spans="2:38" ht="15.75" hidden="1" thickBot="1">
      <c r="D17" s="4168"/>
      <c r="E17" s="4169"/>
      <c r="F17" s="4169"/>
      <c r="G17" s="4166"/>
      <c r="J17" s="4166"/>
      <c r="K17" s="4166"/>
    </row>
    <row r="18" spans="2:38" ht="15">
      <c r="D18" s="4150"/>
      <c r="G18" s="4166"/>
      <c r="H18" s="4170" t="s">
        <v>3284</v>
      </c>
      <c r="I18" s="4171" t="s">
        <v>3284</v>
      </c>
      <c r="J18" s="4172" t="s">
        <v>6968</v>
      </c>
      <c r="K18" s="4172" t="s">
        <v>6967</v>
      </c>
    </row>
    <row r="19" spans="2:38" ht="15">
      <c r="B19" s="4173" t="s">
        <v>430</v>
      </c>
      <c r="D19" s="4150"/>
      <c r="F19" s="4174" t="s">
        <v>3898</v>
      </c>
      <c r="G19" s="4150"/>
      <c r="H19" s="4175" t="s">
        <v>9357</v>
      </c>
      <c r="I19" s="4176" t="s">
        <v>8765</v>
      </c>
      <c r="J19" s="4684" t="s">
        <v>8554</v>
      </c>
      <c r="K19" s="4685" t="s">
        <v>8553</v>
      </c>
    </row>
    <row r="20" spans="2:38" ht="15">
      <c r="B20" s="4173">
        <v>11</v>
      </c>
      <c r="C20" s="4157" t="s">
        <v>8777</v>
      </c>
      <c r="D20" s="4179" t="s">
        <v>3140</v>
      </c>
      <c r="F20" s="4180">
        <f>ROUND(ROUND('Calc Data'!F23,0)*IF('Calc Data'!F11&gt;'Calc Data'!F10,'Calc Data'!F11,'Calc Data'!F10),0)</f>
        <v>0</v>
      </c>
      <c r="G20" s="4166"/>
      <c r="H20" s="4181">
        <f>ROUND(ROUND('Calc Data'!AK23,0)*IF('Calc Data'!F11&gt;'Calc Data'!F10,'Calc Data'!F11,'Calc Data'!F10),0)</f>
        <v>0</v>
      </c>
      <c r="I20" s="4182">
        <f>ROUND(Assumptions!H118*IF('Calc Data'!F11&gt;'Calc Data'!F12,'Calc Data'!F11,'Calc Data'!F12),0)</f>
        <v>0</v>
      </c>
      <c r="J20" s="4183">
        <f>ROUND(ROUND('Calc Data'!AK78,0)*IF('Calc Data'!F11&gt;'Calc Data'!F10,'Calc Data'!F11,'Calc Data'!F10),0)</f>
        <v>0</v>
      </c>
      <c r="K20" s="4184"/>
      <c r="AL20" s="4166" t="e">
        <f>ROUND(ROUND('Calc Data'!AC23,0)*IF('Calc Data'!#REF!&gt;'Calc Data'!#REF!,'Calc Data'!#REF!,'Calc Data'!#REF!),0)</f>
        <v>#REF!</v>
      </c>
    </row>
    <row r="21" spans="2:38" ht="15">
      <c r="B21" s="4173"/>
      <c r="C21" s="4185" t="s">
        <v>8778</v>
      </c>
      <c r="D21" s="4186" t="s">
        <v>8769</v>
      </c>
      <c r="E21" s="4187"/>
      <c r="F21" s="4188"/>
      <c r="G21" s="4189"/>
      <c r="H21" s="4181"/>
      <c r="I21" s="4182">
        <f>MAX('Calc Data'!F96,'Calc Data'!F98)</f>
        <v>0</v>
      </c>
      <c r="J21" s="4190"/>
      <c r="K21" s="4191"/>
      <c r="AL21" s="4166"/>
    </row>
    <row r="22" spans="2:38" ht="15">
      <c r="B22" s="4173">
        <v>23</v>
      </c>
      <c r="C22" s="4157" t="s">
        <v>8778</v>
      </c>
      <c r="D22" s="4150" t="s">
        <v>8835</v>
      </c>
      <c r="F22" s="4166">
        <f>ROUND('Calc Data'!F9*ROUND('Calc Data'!F23,0),0)</f>
        <v>0</v>
      </c>
      <c r="G22" s="4166"/>
      <c r="H22" s="4192">
        <f>ROUND('Calc Data'!F9*ROUND('Calc Data'!AK23,0),0)</f>
        <v>0</v>
      </c>
      <c r="I22" s="4193">
        <f>ROUND('Calc Data'!F9*(Assumptions!H118+'Calc Data'!F95),0)</f>
        <v>0</v>
      </c>
      <c r="J22" s="4194">
        <f>ROUND('Calc Data'!F9*ROUND('Calc Data'!AK78,0),0)</f>
        <v>0</v>
      </c>
      <c r="K22" s="4195"/>
      <c r="AL22" s="4166" t="e">
        <f>ROUND('Calc Data'!#REF!*ROUND('Calc Data'!AC23,0),0)</f>
        <v>#REF!</v>
      </c>
    </row>
    <row r="23" spans="2:38" ht="15">
      <c r="B23" s="4173"/>
      <c r="C23" s="4157" t="s">
        <v>8778</v>
      </c>
      <c r="D23" s="4150" t="s">
        <v>90</v>
      </c>
      <c r="F23" s="4196"/>
      <c r="H23" s="4197"/>
      <c r="I23" s="4198"/>
      <c r="J23" s="4199"/>
      <c r="K23" s="4195"/>
    </row>
    <row r="24" spans="2:38" ht="15">
      <c r="B24" s="4173">
        <v>23</v>
      </c>
      <c r="C24" s="4157" t="s">
        <v>8778</v>
      </c>
      <c r="D24" s="4150" t="s">
        <v>91</v>
      </c>
      <c r="F24" s="4200">
        <f>ROUND('Data Entry - SOF'!K34*Weights!K21*ROUND('Calc Data'!F23,0),0)</f>
        <v>0</v>
      </c>
      <c r="G24" s="4200"/>
      <c r="H24" s="4201">
        <f>ROUND('Data Entry - SOF'!K34*Weights!K21*ROUND('Calc Data'!AK23,0),0)</f>
        <v>0</v>
      </c>
      <c r="I24" s="4202">
        <f>IF('Data Entry - SOF'!K34=0,0,ROUND('Data Entry - SOF'!K34*'Weights-HB3'!G18*(Assumptions!H118+'Calc Data'!F95),0))</f>
        <v>0</v>
      </c>
      <c r="J24" s="4203">
        <f>ROUND('Data Entry - SOF'!K34*Weights!K21*ROUND('Calc Data'!AK78,0),0)</f>
        <v>0</v>
      </c>
      <c r="K24" s="4195"/>
      <c r="AL24" s="4200" t="e">
        <f>ROUND('Data Entry - SOF'!#REF!*1.1*ROUND('Calc Data'!AC23,0),0)</f>
        <v>#REF!</v>
      </c>
    </row>
    <row r="25" spans="2:38" ht="15">
      <c r="B25" s="4173">
        <v>23</v>
      </c>
      <c r="C25" s="4157" t="s">
        <v>8778</v>
      </c>
      <c r="D25" s="4150" t="s">
        <v>92</v>
      </c>
      <c r="F25" s="4166">
        <f>ROUND((+'Data Entry - SOF'!K32*Weights!K19)*ROUND('Calc Data'!F23,0),0)</f>
        <v>0</v>
      </c>
      <c r="G25" s="4166"/>
      <c r="H25" s="4192">
        <f>ROUND((+'Data Entry - SOF'!K32*Weights!K19)*ROUND('Calc Data'!AK23,0),0)</f>
        <v>0</v>
      </c>
      <c r="I25" s="4193">
        <f>IF('Data Entry - SOF'!K32=0,0,ROUND('Data Entry - SOF'!K32*'Weights-HB3'!G16*(Assumptions!H118+'Calc Data'!F95),0))</f>
        <v>0</v>
      </c>
      <c r="J25" s="4194">
        <f>ROUND((+'Data Entry - SOF'!K32*Weights!K19)*ROUND('Calc Data'!AK78,0),0)</f>
        <v>0</v>
      </c>
      <c r="K25" s="4195"/>
      <c r="AL25" s="4166" t="e">
        <f>ROUND((+'Data Entry - SOF'!#REF!*4)*ROUND('Calc Data'!AC23,0),0)</f>
        <v>#REF!</v>
      </c>
    </row>
    <row r="26" spans="2:38" ht="15">
      <c r="B26" s="4173">
        <v>23</v>
      </c>
      <c r="C26" s="4157" t="s">
        <v>8778</v>
      </c>
      <c r="D26" s="4204" t="s">
        <v>812</v>
      </c>
      <c r="F26" s="4166">
        <f>ROUND((+'Data Entry - SOF'!K30*Weights!K17)*ROUND('Calc Data'!F23,0),0)</f>
        <v>0</v>
      </c>
      <c r="G26" s="4166"/>
      <c r="H26" s="4192">
        <f>ROUND((+'Data Entry - SOF'!K30*Weights!K17)*ROUND('Calc Data'!AK23,0),0)</f>
        <v>0</v>
      </c>
      <c r="I26" s="4193">
        <f>IF('Data Entry - SOF'!K30=0,0,ROUND('Data Entry - SOF'!K30*'Weights-HB3'!G14*(Assumptions!H118+'Calc Data'!F95),0))</f>
        <v>0</v>
      </c>
      <c r="J26" s="4194">
        <f>ROUND((+'Data Entry - SOF'!K30*Weights!K17)*ROUND('Calc Data'!AK78,0),0)</f>
        <v>0</v>
      </c>
      <c r="K26" s="4195"/>
      <c r="AL26" s="4166" t="e">
        <f>ROUND((+'Data Entry - SOF'!#REF!*2.8)*ROUND('Calc Data'!AC23,0),0)</f>
        <v>#REF!</v>
      </c>
    </row>
    <row r="27" spans="2:38" ht="15">
      <c r="B27" s="4173">
        <v>23</v>
      </c>
      <c r="C27" s="4157" t="s">
        <v>8778</v>
      </c>
      <c r="D27" s="4204" t="s">
        <v>813</v>
      </c>
      <c r="F27" s="4166">
        <f>ROUND(('Data Entry - SOF'!K31*Weights!K18)*ROUND('Calc Data'!F23,0),0)</f>
        <v>0</v>
      </c>
      <c r="G27" s="4166"/>
      <c r="H27" s="4192">
        <f>ROUND(('Data Entry - SOF'!K31*Weights!K18)*ROUND('Calc Data'!AK23,0),0)</f>
        <v>0</v>
      </c>
      <c r="I27" s="4193">
        <f>IF('Data Entry - SOF'!K31=0,0,ROUND('Data Entry - SOF'!K31*'Weights-HB3'!G15*(Assumptions!H118+'Calc Data'!F95),0))</f>
        <v>0</v>
      </c>
      <c r="J27" s="4194">
        <f>ROUND(('Data Entry - SOF'!K31*Weights!K18)*ROUND('Calc Data'!AK78,0),0)</f>
        <v>0</v>
      </c>
      <c r="K27" s="4195"/>
      <c r="AL27" s="4166" t="e">
        <f>ROUND(('Data Entry - SOF'!#REF!*1.7)*ROUND('Calc Data'!AC23,0),0)</f>
        <v>#REF!</v>
      </c>
    </row>
    <row r="28" spans="2:38" ht="15">
      <c r="B28" s="4173"/>
      <c r="C28" s="4157" t="s">
        <v>8778</v>
      </c>
      <c r="D28" s="4150" t="s">
        <v>1145</v>
      </c>
      <c r="F28" s="4166">
        <f>IF('Data Entry - SOF'!K114&lt;0,'Data Entry - SOF'!K114,'Data Entry - SOF'!K114*-1)</f>
        <v>0</v>
      </c>
      <c r="G28" s="4166"/>
      <c r="H28" s="4192">
        <f>IF('Data Entry - SOF'!K114&lt;0,'Data Entry - SOF'!K114,'Data Entry - SOF'!K114*-1)</f>
        <v>0</v>
      </c>
      <c r="I28" s="4193">
        <f>IF('Data Entry - SOF'!K116&lt;0,'Data Entry - SOF'!K116,'Data Entry - SOF'!K116*-1)</f>
        <v>0</v>
      </c>
      <c r="J28" s="4205">
        <f>H28</f>
        <v>0</v>
      </c>
      <c r="K28" s="4195"/>
      <c r="AL28" s="4166">
        <v>0</v>
      </c>
    </row>
    <row r="29" spans="2:38" ht="15">
      <c r="B29" s="4173">
        <v>22</v>
      </c>
      <c r="C29" s="4157" t="s">
        <v>8778</v>
      </c>
      <c r="D29" s="4150" t="s">
        <v>2834</v>
      </c>
      <c r="F29" s="4166">
        <f>ROUND(ROUND('Calc Data'!F23,0)*'Data Entry - SOF'!K35*Weights!K23,0)</f>
        <v>0</v>
      </c>
      <c r="G29" s="4166"/>
      <c r="H29" s="4192">
        <f>ROUND(ROUND('Calc Data'!AK23,0)*'Data Entry - SOF'!K35*Weights!K23,0)</f>
        <v>0</v>
      </c>
      <c r="I29" s="4193">
        <f>ROUND(Assumptions!H118*'Data Entry - SOF'!K36*'Weights-HB3'!G20,0)</f>
        <v>0</v>
      </c>
      <c r="J29" s="4194">
        <f>ROUND(ROUND('Calc Data'!AK78,0)*'Data Entry - SOF'!K35*Weights!K23,0)</f>
        <v>0</v>
      </c>
      <c r="K29" s="4195"/>
      <c r="AL29" s="4166" t="e">
        <f>ROUND(ROUND('Calc Data'!AC23,0)*'Data Entry - SOF'!#REF!*1.35,0)</f>
        <v>#REF!</v>
      </c>
    </row>
    <row r="30" spans="2:38" ht="15">
      <c r="B30" s="4173"/>
      <c r="C30" s="4157" t="s">
        <v>8778</v>
      </c>
      <c r="D30" s="4196" t="s">
        <v>644</v>
      </c>
      <c r="F30" s="4166">
        <f>Weights!K24*'Data Entry - SOF'!K37</f>
        <v>0</v>
      </c>
      <c r="G30" s="4166"/>
      <c r="H30" s="4192">
        <f>Weights!K24*'Data Entry - SOF'!K37</f>
        <v>0</v>
      </c>
      <c r="I30" s="4193">
        <f>ROUND('Weights-HB3'!G21*'Data Entry - SOF'!K38,0)</f>
        <v>0</v>
      </c>
      <c r="J30" s="4205">
        <f>H30</f>
        <v>0</v>
      </c>
      <c r="K30" s="4195"/>
      <c r="AL30" s="4166"/>
    </row>
    <row r="31" spans="2:38" ht="15" hidden="1">
      <c r="B31" s="4173"/>
      <c r="C31" s="4157" t="s">
        <v>8778</v>
      </c>
      <c r="D31" s="4196" t="s">
        <v>645</v>
      </c>
      <c r="F31" s="4166">
        <f>400*'Data Entry - SOF'!K39</f>
        <v>0</v>
      </c>
      <c r="G31" s="4166"/>
      <c r="H31" s="4192">
        <f>400*'Data Entry - SOF'!K39</f>
        <v>0</v>
      </c>
      <c r="I31" s="4198"/>
      <c r="J31" s="4206"/>
      <c r="K31" s="4195"/>
      <c r="AL31" s="4166"/>
    </row>
    <row r="32" spans="2:38" ht="15" hidden="1">
      <c r="B32" s="4173"/>
      <c r="C32" s="4157" t="s">
        <v>8778</v>
      </c>
      <c r="D32" s="4196" t="s">
        <v>646</v>
      </c>
      <c r="F32" s="4166">
        <f>80*'Data Entry - SOF'!K40</f>
        <v>0</v>
      </c>
      <c r="G32" s="4166"/>
      <c r="H32" s="4192">
        <f>80*'Data Entry - SOF'!K40</f>
        <v>0</v>
      </c>
      <c r="I32" s="4198"/>
      <c r="J32" s="4206"/>
      <c r="K32" s="4195"/>
      <c r="AL32" s="4166"/>
    </row>
    <row r="33" spans="2:38" ht="15">
      <c r="B33" s="4173">
        <v>21</v>
      </c>
      <c r="C33" s="4157" t="s">
        <v>8778</v>
      </c>
      <c r="D33" s="4150" t="s">
        <v>2838</v>
      </c>
      <c r="F33" s="4166">
        <f>ROUND(ROUND('Calc Data'!F23,0)*'Data Entry - SOF'!K211*Weights!K28,0)</f>
        <v>0</v>
      </c>
      <c r="G33" s="4166"/>
      <c r="H33" s="4192">
        <f>ROUND(ROUND('Calc Data'!AK23,0)*'Data Entry - SOF'!K211*Weights!K28,0)</f>
        <v>0</v>
      </c>
      <c r="I33" s="4207"/>
      <c r="J33" s="4194">
        <f>ROUND(ROUND('Calc Data'!AK78,0)*'Data Entry - SOF'!K211*Weights!K28,0)</f>
        <v>0</v>
      </c>
      <c r="K33" s="4195"/>
      <c r="AL33" s="4166" t="e">
        <f>ROUND(ROUND('Calc Data'!AC23,0)*'Data Entry - SOF'!#REF!*0.12,0)</f>
        <v>#REF!</v>
      </c>
    </row>
    <row r="34" spans="2:38" ht="15">
      <c r="B34" s="4173"/>
      <c r="C34" s="4157" t="s">
        <v>8778</v>
      </c>
      <c r="D34" s="4150" t="s">
        <v>397</v>
      </c>
      <c r="F34" s="4166">
        <f>IF('Data Entry - SOF'!K113&lt;0,'Data Entry - SOF'!K113,'Data Entry - SOF'!K113*-1)</f>
        <v>0</v>
      </c>
      <c r="G34" s="4166"/>
      <c r="H34" s="4192">
        <f>IF('Data Entry - SOF'!K113&lt;0,'Data Entry - SOF'!K113,'Data Entry - SOF'!K113*-1)</f>
        <v>0</v>
      </c>
      <c r="I34" s="4218">
        <f>IF('Data Entry - SOF'!K115&lt;0,'Data Entry - SOF'!K115,'Data Entry - SOF'!K115*-1)</f>
        <v>0</v>
      </c>
      <c r="J34" s="4205">
        <f>H34</f>
        <v>0</v>
      </c>
      <c r="K34" s="4195"/>
      <c r="AL34" s="4166">
        <v>0</v>
      </c>
    </row>
    <row r="35" spans="2:38" ht="15">
      <c r="B35" s="4173" t="s">
        <v>2497</v>
      </c>
      <c r="C35" s="4719" t="s">
        <v>8778</v>
      </c>
      <c r="D35" s="4720" t="s">
        <v>3041</v>
      </c>
      <c r="E35" s="4721"/>
      <c r="F35" s="4722">
        <f>ROUND(ROUND('Calc Data'!F23,0)*'Data Entry - SOF'!K41*Weights!K30,0)</f>
        <v>0</v>
      </c>
      <c r="G35" s="4722"/>
      <c r="H35" s="4192">
        <f>ROUND(ROUND('Calc Data'!AK23,0)*'Data Entry - SOF'!K41*Weights!K30,0)</f>
        <v>0</v>
      </c>
      <c r="I35" s="4207"/>
      <c r="J35" s="4194">
        <f>ROUND(ROUND('Calc Data'!AK78,0)*'Data Entry - SOF'!K41*Weights!K30,0)</f>
        <v>0</v>
      </c>
      <c r="K35" s="4195"/>
      <c r="AL35" s="4166" t="e">
        <f>ROUND(ROUND('Calc Data'!AC23,0)*'Data Entry - SOF'!#REF!*0.2,0)</f>
        <v>#REF!</v>
      </c>
    </row>
    <row r="36" spans="2:38" ht="15">
      <c r="B36" s="4173"/>
      <c r="C36" s="4185" t="s">
        <v>8778</v>
      </c>
      <c r="D36" s="4186" t="s">
        <v>8845</v>
      </c>
      <c r="E36" s="4187"/>
      <c r="F36" s="4189"/>
      <c r="G36" s="4189"/>
      <c r="H36" s="4192"/>
      <c r="I36" s="4207">
        <f>ROUND(Assumptions!H118*'Data Entry - SOF'!K42*'Weights-HB3'!G31,0)</f>
        <v>0</v>
      </c>
      <c r="J36" s="4194"/>
      <c r="K36" s="4191"/>
      <c r="AL36" s="4166"/>
    </row>
    <row r="37" spans="2:38" ht="15">
      <c r="B37" s="4173"/>
      <c r="C37" s="4185" t="s">
        <v>8778</v>
      </c>
      <c r="D37" s="4186" t="s">
        <v>8846</v>
      </c>
      <c r="E37" s="4187"/>
      <c r="F37" s="4189"/>
      <c r="G37" s="4189"/>
      <c r="H37" s="4192"/>
      <c r="I37" s="4207">
        <f>ROUND(Assumptions!H118*'Data Entry - SOF'!K43*'Weights-HB3'!G32,0)</f>
        <v>0</v>
      </c>
      <c r="J37" s="4194"/>
      <c r="K37" s="4191"/>
      <c r="AL37" s="4166"/>
    </row>
    <row r="38" spans="2:38" ht="15">
      <c r="B38" s="4173"/>
      <c r="C38" s="4185" t="s">
        <v>8778</v>
      </c>
      <c r="D38" s="4186" t="s">
        <v>8874</v>
      </c>
      <c r="E38" s="4187"/>
      <c r="F38" s="4189"/>
      <c r="G38" s="4189"/>
      <c r="H38" s="4192"/>
      <c r="I38" s="4207">
        <f>ROUND(Assumptions!H118*'Data Entry - SOF'!K44*'Weights-HB3'!G33,0)</f>
        <v>0</v>
      </c>
      <c r="J38" s="4194"/>
      <c r="K38" s="4191"/>
      <c r="AL38" s="4166"/>
    </row>
    <row r="39" spans="2:38" ht="15">
      <c r="B39" s="4173"/>
      <c r="C39" s="4185" t="s">
        <v>8778</v>
      </c>
      <c r="D39" s="4186" t="s">
        <v>8875</v>
      </c>
      <c r="E39" s="4187"/>
      <c r="F39" s="4189"/>
      <c r="G39" s="4189"/>
      <c r="H39" s="4192"/>
      <c r="I39" s="4207">
        <f>ROUND(Assumptions!H118*'Data Entry - SOF'!K45*'Weights-HB3'!G34,0)</f>
        <v>0</v>
      </c>
      <c r="J39" s="4194"/>
      <c r="K39" s="4191"/>
      <c r="AL39" s="4166"/>
    </row>
    <row r="40" spans="2:38" ht="15">
      <c r="B40" s="4173"/>
      <c r="C40" s="4185" t="s">
        <v>8778</v>
      </c>
      <c r="D40" s="4186" t="s">
        <v>8876</v>
      </c>
      <c r="E40" s="4187"/>
      <c r="F40" s="4189"/>
      <c r="G40" s="4189"/>
      <c r="H40" s="4192"/>
      <c r="I40" s="4207">
        <f>ROUND(Assumptions!H118*'Data Entry - SOF'!K46*'Weights-HB3'!G35,0)</f>
        <v>0</v>
      </c>
      <c r="J40" s="4194"/>
      <c r="K40" s="4191"/>
      <c r="AL40" s="4166"/>
    </row>
    <row r="41" spans="2:38" ht="15">
      <c r="B41" s="4173"/>
      <c r="C41" s="4185" t="s">
        <v>8778</v>
      </c>
      <c r="D41" s="4186" t="s">
        <v>8877</v>
      </c>
      <c r="E41" s="4187"/>
      <c r="F41" s="4189"/>
      <c r="G41" s="4189"/>
      <c r="H41" s="4192"/>
      <c r="I41" s="4207">
        <f>ROUND(Assumptions!H118*'Data Entry - SOF'!K47*'Weights-HB3'!G36,0)</f>
        <v>0</v>
      </c>
      <c r="J41" s="4194"/>
      <c r="K41" s="4191"/>
      <c r="AL41" s="4166"/>
    </row>
    <row r="42" spans="2:38" ht="15">
      <c r="B42" s="4173"/>
      <c r="C42" s="4185" t="s">
        <v>8778</v>
      </c>
      <c r="D42" s="4186" t="s">
        <v>8878</v>
      </c>
      <c r="E42" s="4187"/>
      <c r="F42" s="4189"/>
      <c r="G42" s="4189"/>
      <c r="H42" s="4192"/>
      <c r="I42" s="4207">
        <f>ROUND(Assumptions!H118*'Data Entry - SOF'!K48*'Weights-HB3'!G37,0)</f>
        <v>0</v>
      </c>
      <c r="J42" s="4194"/>
      <c r="K42" s="4191"/>
      <c r="AL42" s="4166"/>
    </row>
    <row r="43" spans="2:38" ht="15">
      <c r="B43" s="4173" t="s">
        <v>2497</v>
      </c>
      <c r="C43" s="4157" t="s">
        <v>8778</v>
      </c>
      <c r="D43" s="4150" t="s">
        <v>399</v>
      </c>
      <c r="F43" s="4166">
        <f>ROUND(ROUND('Calc Data'!F23,0)*'Data Entry - SOF'!K49*Weights!K31,0)</f>
        <v>0</v>
      </c>
      <c r="G43" s="4166"/>
      <c r="H43" s="4192">
        <f>ROUND(ROUND('Calc Data'!AK23,0)*'Data Entry - SOF'!K49*Weights!K31,0)</f>
        <v>0</v>
      </c>
      <c r="I43" s="4193">
        <f>ROUND(Assumptions!H118*'Data Entry - SOF'!K49*'Weights-HB3'!G40,0)</f>
        <v>0</v>
      </c>
      <c r="J43" s="4194">
        <f>ROUND(ROUND('Calc Data'!AK78,0)*'Data Entry - SOF'!K49*Weights!K31,0)</f>
        <v>0</v>
      </c>
      <c r="K43" s="4195"/>
      <c r="AL43" s="4166" t="e">
        <f>ROUND(ROUND('Calc Data'!AC23,0)*'Data Entry - SOF'!#REF!*2.41,0)</f>
        <v>#REF!</v>
      </c>
    </row>
    <row r="44" spans="2:38" ht="15" hidden="1">
      <c r="B44" s="4173" t="s">
        <v>2497</v>
      </c>
      <c r="C44" s="4157" t="s">
        <v>8778</v>
      </c>
      <c r="D44" s="4179" t="s">
        <v>451</v>
      </c>
      <c r="E44" s="4209"/>
      <c r="F44" s="4166">
        <f>650*'Data Entry - SOF'!K50</f>
        <v>0</v>
      </c>
      <c r="G44" s="4166"/>
      <c r="H44" s="4192">
        <f>650*'Data Entry - SOF'!K50</f>
        <v>0</v>
      </c>
      <c r="I44" s="4198"/>
      <c r="J44" s="4206"/>
      <c r="K44" s="4195"/>
      <c r="AL44" s="4166"/>
    </row>
    <row r="45" spans="2:38" ht="15" hidden="1">
      <c r="B45" s="4173"/>
      <c r="C45" s="4157" t="s">
        <v>8778</v>
      </c>
      <c r="D45" s="4150" t="s">
        <v>1229</v>
      </c>
      <c r="F45" s="4210">
        <v>0</v>
      </c>
      <c r="G45" s="4166"/>
      <c r="H45" s="4211">
        <v>0</v>
      </c>
      <c r="I45" s="4198"/>
      <c r="J45" s="4206"/>
      <c r="K45" s="4195"/>
      <c r="AL45" s="4166">
        <v>0</v>
      </c>
    </row>
    <row r="46" spans="2:38" ht="15">
      <c r="B46" s="4173">
        <v>25</v>
      </c>
      <c r="C46" s="4157" t="s">
        <v>8778</v>
      </c>
      <c r="D46" s="4150" t="s">
        <v>8830</v>
      </c>
      <c r="F46" s="4166">
        <f>ROUND(ROUND('Calc Data'!F23,0)*('Data Entry - SOF'!K51*Weights!K26),0)</f>
        <v>0</v>
      </c>
      <c r="G46" s="4166"/>
      <c r="H46" s="4192">
        <f>ROUND(ROUND('Calc Data'!AK23,0)*('Data Entry - SOF'!K51*Weights!K26),0)</f>
        <v>0</v>
      </c>
      <c r="I46" s="4193">
        <f>ROUND(Assumptions!H118*'Data Entry - SOF'!K52*'Weights-HB3'!G23,0)</f>
        <v>0</v>
      </c>
      <c r="J46" s="4194">
        <f>ROUND(ROUND('Calc Data'!AK78,0)*('Data Entry - SOF'!K51*Weights!K26),0)</f>
        <v>0</v>
      </c>
      <c r="K46" s="4195"/>
      <c r="AL46" s="4166" t="e">
        <f>ROUND(ROUND('Calc Data'!AC23,0)*('Data Entry - SOF'!#REF!*0.1),0)</f>
        <v>#REF!</v>
      </c>
    </row>
    <row r="47" spans="2:38" ht="15">
      <c r="B47" s="4173"/>
      <c r="C47" s="4185" t="s">
        <v>8778</v>
      </c>
      <c r="D47" s="4208" t="s">
        <v>8831</v>
      </c>
      <c r="E47" s="4187"/>
      <c r="F47" s="4189"/>
      <c r="G47" s="4189"/>
      <c r="H47" s="4192"/>
      <c r="I47" s="4193">
        <f>ROUND(Assumptions!H118*'Data Entry - SOF'!K53*'Weights-HB3'!G24,0)</f>
        <v>0</v>
      </c>
      <c r="J47" s="4194"/>
      <c r="K47" s="4191"/>
      <c r="AL47" s="4166"/>
    </row>
    <row r="48" spans="2:38" ht="15">
      <c r="B48" s="4173"/>
      <c r="C48" s="4185" t="s">
        <v>8778</v>
      </c>
      <c r="D48" s="4208" t="s">
        <v>8832</v>
      </c>
      <c r="E48" s="4187"/>
      <c r="F48" s="4189"/>
      <c r="G48" s="4189"/>
      <c r="H48" s="4192"/>
      <c r="I48" s="4193">
        <f>ROUND(Assumptions!H118*'Data Entry - SOF'!K54*'Weights-HB3'!G25,0)</f>
        <v>0</v>
      </c>
      <c r="J48" s="4194"/>
      <c r="K48" s="4191"/>
      <c r="AL48" s="4166"/>
    </row>
    <row r="49" spans="2:38" ht="15">
      <c r="B49" s="4173"/>
      <c r="C49" s="4185" t="s">
        <v>8778</v>
      </c>
      <c r="D49" s="4208" t="s">
        <v>8775</v>
      </c>
      <c r="E49" s="4187"/>
      <c r="F49" s="4189"/>
      <c r="G49" s="4189"/>
      <c r="H49" s="4192"/>
      <c r="I49" s="4193">
        <f>ROUND(Assumptions!H118*'Data Entry - SOF'!K55*'Weights-HB3'!G69,0)</f>
        <v>0</v>
      </c>
      <c r="J49" s="4194"/>
      <c r="K49" s="4191"/>
      <c r="AL49" s="4166"/>
    </row>
    <row r="50" spans="2:38" ht="15">
      <c r="B50" s="4173"/>
      <c r="C50" s="4185" t="s">
        <v>8778</v>
      </c>
      <c r="D50" s="4208" t="s">
        <v>9038</v>
      </c>
      <c r="E50" s="4187"/>
      <c r="F50" s="4189"/>
      <c r="G50" s="4189"/>
      <c r="H50" s="4192"/>
      <c r="I50" s="4193">
        <f>Assumptions!H118*'Data Entry - SOF'!K56*'Weights-HB3'!G71</f>
        <v>0</v>
      </c>
      <c r="J50" s="4194"/>
      <c r="K50" s="4191"/>
      <c r="AL50" s="4166"/>
    </row>
    <row r="51" spans="2:38" ht="15">
      <c r="B51" s="4173"/>
      <c r="C51" s="4185" t="s">
        <v>8778</v>
      </c>
      <c r="D51" s="4208" t="s">
        <v>9378</v>
      </c>
      <c r="E51" s="4187"/>
      <c r="F51" s="4189"/>
      <c r="G51" s="4189"/>
      <c r="H51" s="4192"/>
      <c r="I51" s="4193">
        <f>('Data Entry - SOF'!K57*'Weights-HB3'!G110)+('Data Entry - SOF'!K58*'Weights-HB3'!G111)+('Data Entry - SOF'!K59*'Weights-HB3'!G112)</f>
        <v>0</v>
      </c>
      <c r="J51" s="4194"/>
      <c r="K51" s="4191"/>
      <c r="AL51" s="4166"/>
    </row>
    <row r="52" spans="2:38" ht="15">
      <c r="B52" s="4173">
        <v>31</v>
      </c>
      <c r="C52" s="4157" t="s">
        <v>8778</v>
      </c>
      <c r="D52" s="4196" t="s">
        <v>2435</v>
      </c>
      <c r="F52" s="4166">
        <f>Weights!K33*'Data Entry - SOF'!K21</f>
        <v>0</v>
      </c>
      <c r="G52" s="4166"/>
      <c r="H52" s="4192">
        <f>Weights!K33*'Data Entry - SOF'!K21</f>
        <v>0</v>
      </c>
      <c r="I52" s="4207"/>
      <c r="J52" s="4205">
        <f>H52</f>
        <v>0</v>
      </c>
      <c r="K52" s="4195"/>
      <c r="AL52" s="4166" t="e">
        <f>#REF!</f>
        <v>#REF!</v>
      </c>
    </row>
    <row r="53" spans="2:38" ht="15">
      <c r="B53" s="4173"/>
      <c r="C53" s="4157" t="s">
        <v>8778</v>
      </c>
      <c r="D53" s="4150" t="s">
        <v>872</v>
      </c>
      <c r="F53" s="4166">
        <f>ROUND(ROUND('Calc Data'!F23,0)*'Data Entry - SOF'!K61*Weights!K37,0)</f>
        <v>0</v>
      </c>
      <c r="G53" s="4166"/>
      <c r="H53" s="4192">
        <f>ROUND(ROUND('Calc Data'!AK23,0)*'Data Entry - SOF'!K61*Weights!K37,0)</f>
        <v>0</v>
      </c>
      <c r="I53" s="4212">
        <f>ROUND(Assumptions!H118*'Data Entry - SOF'!K61*'Weights-HB3'!G46,0)</f>
        <v>0</v>
      </c>
      <c r="J53" s="4194">
        <f>ROUND(ROUND('Calc Data'!AK78,0)*'Data Entry - SOF'!K61*Weights!K37,0)</f>
        <v>0</v>
      </c>
      <c r="K53" s="4195"/>
      <c r="AL53" s="4166" t="e">
        <f>ROUND(ROUND('Calc Data'!AC23,0)*'Data Entry - SOF'!#REF!*0.1,0)</f>
        <v>#REF!</v>
      </c>
    </row>
    <row r="54" spans="2:38" ht="15">
      <c r="B54" s="4173"/>
      <c r="C54" s="4185" t="s">
        <v>8778</v>
      </c>
      <c r="D54" s="4208" t="s">
        <v>8942</v>
      </c>
      <c r="E54" s="4187"/>
      <c r="F54" s="4189"/>
      <c r="G54" s="4189"/>
      <c r="H54" s="4192"/>
      <c r="I54" s="4212">
        <f>IF('Data Entry - SOF'!K160="Y",'Weights-HB3'!G114*'Data Entry - SOF'!K19*Assumptions!H118,0)</f>
        <v>0</v>
      </c>
      <c r="J54" s="4194"/>
      <c r="K54" s="4191"/>
      <c r="AL54" s="4166"/>
    </row>
    <row r="55" spans="2:38" ht="15">
      <c r="B55" s="4173"/>
      <c r="C55" s="4185" t="s">
        <v>8778</v>
      </c>
      <c r="D55" s="4208" t="s">
        <v>9025</v>
      </c>
      <c r="E55" s="4187"/>
      <c r="F55" s="4189"/>
      <c r="G55" s="4189"/>
      <c r="H55" s="4192"/>
      <c r="I55" s="4212">
        <v>0</v>
      </c>
      <c r="J55" s="4194"/>
      <c r="K55" s="4191"/>
      <c r="L55" s="4196" t="s">
        <v>9036</v>
      </c>
      <c r="AL55" s="4166"/>
    </row>
    <row r="56" spans="2:38" ht="15">
      <c r="B56" s="4173"/>
      <c r="C56" s="4185" t="s">
        <v>8778</v>
      </c>
      <c r="D56" s="4208" t="s">
        <v>9026</v>
      </c>
      <c r="E56" s="4187"/>
      <c r="F56" s="4189"/>
      <c r="G56" s="4189"/>
      <c r="H56" s="4192"/>
      <c r="I56" s="4212">
        <v>0</v>
      </c>
      <c r="J56" s="4194"/>
      <c r="K56" s="4191"/>
      <c r="L56" s="4196" t="s">
        <v>9036</v>
      </c>
      <c r="AL56" s="4166"/>
    </row>
    <row r="57" spans="2:38" ht="15">
      <c r="B57" s="4173"/>
      <c r="C57" s="4185" t="s">
        <v>8778</v>
      </c>
      <c r="D57" s="4208" t="s">
        <v>9088</v>
      </c>
      <c r="E57" s="4187"/>
      <c r="F57" s="4189"/>
      <c r="G57" s="4189"/>
      <c r="H57" s="4192"/>
      <c r="I57" s="4212">
        <f>'Data Entry - SOF'!K19*'Weights-HB3'!G65</f>
        <v>0</v>
      </c>
      <c r="J57" s="4194"/>
      <c r="K57" s="4191"/>
      <c r="L57" s="4196"/>
      <c r="AL57" s="4166"/>
    </row>
    <row r="58" spans="2:38" ht="15">
      <c r="B58" s="4173"/>
      <c r="C58" s="4185" t="s">
        <v>8779</v>
      </c>
      <c r="D58" s="4208" t="s">
        <v>9379</v>
      </c>
      <c r="E58" s="4187"/>
      <c r="F58" s="4189"/>
      <c r="G58" s="4189"/>
      <c r="H58" s="4192">
        <f>'Data Entry - SOF'!K125</f>
        <v>0</v>
      </c>
      <c r="I58" s="4212">
        <f>H58</f>
        <v>0</v>
      </c>
      <c r="J58" s="4194"/>
      <c r="K58" s="4191"/>
      <c r="L58" s="4196"/>
      <c r="AL58" s="4166"/>
    </row>
    <row r="59" spans="2:38" ht="15">
      <c r="B59" s="4173"/>
      <c r="C59" s="4157" t="s">
        <v>8779</v>
      </c>
      <c r="D59" s="4196" t="s">
        <v>3839</v>
      </c>
      <c r="F59" s="4213">
        <f>'Data Entry - SOF'!K62*Weights!K35</f>
        <v>0</v>
      </c>
      <c r="G59" s="4166"/>
      <c r="H59" s="4192">
        <f>F59</f>
        <v>0</v>
      </c>
      <c r="I59" s="4207">
        <f>'Data Entry - SOF'!K62*'Weights-HB3'!G44</f>
        <v>0</v>
      </c>
      <c r="J59" s="4205">
        <f>H59</f>
        <v>0</v>
      </c>
      <c r="K59" s="4195"/>
      <c r="AL59" s="4166" t="e">
        <f>'Data Entry - SOF'!#REF!*250</f>
        <v>#REF!</v>
      </c>
    </row>
    <row r="60" spans="2:38" ht="15">
      <c r="B60" s="4173">
        <v>99</v>
      </c>
      <c r="C60" s="4157" t="s">
        <v>8779</v>
      </c>
      <c r="D60" s="4150" t="s">
        <v>8834</v>
      </c>
      <c r="F60" s="4215">
        <f>'Data Entry - SOF'!K104</f>
        <v>0</v>
      </c>
      <c r="G60" s="4166"/>
      <c r="H60" s="4192">
        <f>'Data Entry - SOF'!K104</f>
        <v>0</v>
      </c>
      <c r="I60" s="4207">
        <f>('Data Entry - SOF'!K105*'Weights-HB3'!G67)+'Data Entry - SOF'!K106+'Data Entry - SOF'!K107+'Data Entry - SOF'!K108</f>
        <v>0</v>
      </c>
      <c r="J60" s="4216">
        <f>H60</f>
        <v>0</v>
      </c>
      <c r="K60" s="4217"/>
      <c r="AL60" s="4215" t="e">
        <f>'Data Entry - SOF'!#REF!</f>
        <v>#REF!</v>
      </c>
    </row>
    <row r="61" spans="2:38" ht="15" hidden="1">
      <c r="B61" s="4173"/>
      <c r="C61" s="4185" t="s">
        <v>8779</v>
      </c>
      <c r="D61" s="4208" t="s">
        <v>8851</v>
      </c>
      <c r="E61" s="4187"/>
      <c r="F61" s="4189"/>
      <c r="G61" s="4189"/>
      <c r="H61" s="4218"/>
      <c r="I61" s="4207"/>
      <c r="J61" s="4205"/>
      <c r="K61" s="4191"/>
      <c r="O61" s="4207">
        <f>IF('Data Entry - SOF'!K109="N",ROUND(Assumptions!H118*'Data Entry - SOF'!K48*'Weights-HB3'!G79,0),MAX(Assumptions!H118*'Data Entry - SOF'!K48*'Weights-HB3'!G79,Assumptions!H118*'Data Entry - SOF'!K19))</f>
        <v>0</v>
      </c>
      <c r="AL61" s="4166"/>
    </row>
    <row r="62" spans="2:38" ht="15" hidden="1">
      <c r="B62" s="4173"/>
      <c r="C62" s="4185" t="s">
        <v>8779</v>
      </c>
      <c r="D62" s="4208" t="s">
        <v>8780</v>
      </c>
      <c r="E62" s="4187"/>
      <c r="F62" s="4189"/>
      <c r="G62" s="4189"/>
      <c r="H62" s="4218"/>
      <c r="I62" s="4207"/>
      <c r="J62" s="4205"/>
      <c r="K62" s="4191"/>
      <c r="AL62" s="4166"/>
    </row>
    <row r="63" spans="2:38" ht="15">
      <c r="B63" s="4173"/>
      <c r="C63" s="4185" t="s">
        <v>8779</v>
      </c>
      <c r="D63" s="4208" t="s">
        <v>8963</v>
      </c>
      <c r="E63" s="4187"/>
      <c r="F63" s="4189"/>
      <c r="G63" s="4189"/>
      <c r="H63" s="4192"/>
      <c r="I63" s="4207">
        <f>'Data Entry - SOF'!K67*'Weights-HB3'!G120</f>
        <v>0</v>
      </c>
      <c r="J63" s="4205"/>
      <c r="K63" s="4191"/>
      <c r="AL63" s="4166"/>
    </row>
    <row r="64" spans="2:38" ht="15">
      <c r="B64" s="4173"/>
      <c r="C64" s="4185" t="s">
        <v>8779</v>
      </c>
      <c r="D64" s="4208" t="s">
        <v>8848</v>
      </c>
      <c r="E64" s="4187"/>
      <c r="F64" s="4189"/>
      <c r="G64" s="4189"/>
      <c r="H64" s="4192"/>
      <c r="I64" s="4207">
        <v>0</v>
      </c>
      <c r="J64" s="4205"/>
      <c r="K64" s="4191"/>
      <c r="L64" s="4196" t="s">
        <v>9036</v>
      </c>
      <c r="AL64" s="4166"/>
    </row>
    <row r="65" spans="2:38" ht="15">
      <c r="B65" s="4173"/>
      <c r="C65" s="4185" t="s">
        <v>8779</v>
      </c>
      <c r="D65" s="4208" t="s">
        <v>9035</v>
      </c>
      <c r="E65" s="4187"/>
      <c r="F65" s="4189"/>
      <c r="G65" s="4189"/>
      <c r="H65" s="4219"/>
      <c r="I65" s="4220">
        <v>0</v>
      </c>
      <c r="J65" s="4205"/>
      <c r="K65" s="4191"/>
      <c r="L65" s="4196" t="s">
        <v>9036</v>
      </c>
      <c r="AL65" s="4166"/>
    </row>
    <row r="66" spans="2:38" ht="15">
      <c r="D66" s="4150" t="s">
        <v>530</v>
      </c>
      <c r="F66" s="4166">
        <f>SUM(F20:F60)</f>
        <v>0</v>
      </c>
      <c r="G66" s="4166"/>
      <c r="H66" s="4192">
        <f>SUM(H20:H60)</f>
        <v>0</v>
      </c>
      <c r="I66" s="4221">
        <f>SUM(I20:I65)</f>
        <v>0</v>
      </c>
      <c r="J66" s="4222">
        <f>SUM(J20:J60)</f>
        <v>0</v>
      </c>
      <c r="K66" s="4223">
        <f>J66</f>
        <v>0</v>
      </c>
      <c r="L66" s="4224" t="e">
        <f>(I66-I58-I59-I60-I63-I64-I65-I28)/Assumptions!H118</f>
        <v>#DIV/0!</v>
      </c>
      <c r="M66" s="4225" t="s">
        <v>8784</v>
      </c>
      <c r="AL66" s="4166" t="e">
        <f>SUM(AL20:AL60)</f>
        <v>#REF!</v>
      </c>
    </row>
    <row r="67" spans="2:38" ht="15">
      <c r="D67" s="4150" t="s">
        <v>786</v>
      </c>
      <c r="F67" s="4226">
        <f>IF('Data Entry - SOF'!K154&gt;1,1*('Data Entry - SOF'!K73/100),'Data Entry - SOF'!K154*('Data Entry - SOF'!K73/100))</f>
        <v>0</v>
      </c>
      <c r="G67" s="4227"/>
      <c r="H67" s="4228">
        <f>IF('Calc Data'!AK30&gt;1,1*('Data Entry - SOF'!E83/100),'Calc Data'!AK30*('Data Entry - SOF'!E83/100))</f>
        <v>0</v>
      </c>
      <c r="I67" s="4229">
        <f>('Data Entry - SOF'!K155/100)*'Data Entry - SOF'!K73</f>
        <v>0</v>
      </c>
      <c r="J67" s="4230">
        <f>IF('Calc Data'!AK85&gt;1,1*('Data Entry - SOF'!K73/100),'Calc Data'!AK85*('Data Entry - SOF'!K73/100))</f>
        <v>0</v>
      </c>
      <c r="K67" s="4231">
        <f>IF('Calc Data-15K'!AO30&gt;1,1*('Data Entry - SOF'!K74/100),'Calc Data-15K'!AO30*('Data Entry - SOF'!K74/100))</f>
        <v>0</v>
      </c>
      <c r="AL67" s="4226" t="e">
        <f>#REF!</f>
        <v>#REF!</v>
      </c>
    </row>
    <row r="68" spans="2:38" ht="15">
      <c r="D68" s="4150" t="s">
        <v>785</v>
      </c>
      <c r="F68" s="4227">
        <f>F66-F67</f>
        <v>0</v>
      </c>
      <c r="G68" s="4227"/>
      <c r="H68" s="4232">
        <f>H66-H67</f>
        <v>0</v>
      </c>
      <c r="I68" s="4221">
        <f>I66-I67</f>
        <v>0</v>
      </c>
      <c r="J68" s="4233">
        <f>J66-J67</f>
        <v>0</v>
      </c>
      <c r="K68" s="4223">
        <f>K66-K67</f>
        <v>0</v>
      </c>
      <c r="AL68" s="4227" t="e">
        <f>AL66-AL67</f>
        <v>#REF!</v>
      </c>
    </row>
    <row r="69" spans="2:38" ht="15">
      <c r="D69" s="4150"/>
      <c r="G69" s="4227"/>
      <c r="H69" s="4234"/>
      <c r="I69" s="4198"/>
      <c r="J69" s="4235"/>
      <c r="K69" s="4223"/>
      <c r="N69" s="4236"/>
      <c r="AL69" s="4227"/>
    </row>
    <row r="70" spans="2:38" ht="15">
      <c r="D70" s="4237" t="s">
        <v>8838</v>
      </c>
      <c r="G70" s="4227"/>
      <c r="H70" s="4234"/>
      <c r="I70" s="4198"/>
      <c r="J70" s="4235"/>
      <c r="K70" s="4223"/>
      <c r="N70" s="4236"/>
      <c r="AL70" s="4227"/>
    </row>
    <row r="71" spans="2:38" ht="15">
      <c r="D71" s="4150" t="s">
        <v>9024</v>
      </c>
      <c r="F71" s="4210">
        <f>IF(F68&lt;F110+F52+F59+F31+F32,F110+F52+F59+F31+F32,F68)</f>
        <v>0</v>
      </c>
      <c r="G71" s="4227"/>
      <c r="H71" s="4211">
        <f>IF(H68&lt;H110+H52+H59+H31+H32,H110+H52+H59+H31+H32,H68)</f>
        <v>0</v>
      </c>
      <c r="I71" s="4207">
        <f>IF(I68&lt;I110,I110,I68)</f>
        <v>0</v>
      </c>
      <c r="J71" s="4238">
        <f>IF(J68&lt;H110+J52+J59+J31+J32,H110+J52+J59+J31+J32,J68)</f>
        <v>0</v>
      </c>
      <c r="K71" s="4223">
        <f>IF(K68&lt;H110+J52+J59+J31+J32,H110+J52+J59+J31+J32,K68)</f>
        <v>0</v>
      </c>
    </row>
    <row r="72" spans="2:38" ht="15" hidden="1">
      <c r="D72" s="4150" t="s">
        <v>2273</v>
      </c>
      <c r="G72" s="4227" t="e">
        <f>ROUND(IF((24.7*'Calc Data'!#REF!*IF('Calc Data'!#REF!&gt;=0.64,0.64,'Calc Data'!#REF!)*100)&lt;'Calc Data'!#REF!,0,(24.7*'Calc Data'!#REF!*IF('Calc Data'!#REF!&gt;=0.64,0.64,'Calc Data'!#REF!)*100)-'Calc Data'!#REF!),0)</f>
        <v>#REF!</v>
      </c>
      <c r="H72" s="4232"/>
      <c r="I72" s="4239"/>
      <c r="J72" s="4240"/>
      <c r="K72" s="4223"/>
    </row>
    <row r="73" spans="2:38" ht="15">
      <c r="D73" s="4150"/>
      <c r="G73" s="4227"/>
      <c r="H73" s="4232"/>
      <c r="I73" s="4239"/>
      <c r="J73" s="4240"/>
      <c r="K73" s="4241"/>
    </row>
    <row r="74" spans="2:38" ht="15.75">
      <c r="D74" s="4665" t="s">
        <v>10156</v>
      </c>
      <c r="E74" s="4666"/>
      <c r="F74" s="4666"/>
      <c r="G74" s="4667"/>
      <c r="H74" s="4232"/>
      <c r="I74" s="4664">
        <f>IF(ISNA('DE1'!E18),0,'DE1'!E18)</f>
        <v>0</v>
      </c>
      <c r="J74" s="4249"/>
      <c r="K74" s="4241"/>
      <c r="L74" s="4236" t="s">
        <v>10157</v>
      </c>
    </row>
    <row r="75" spans="2:38" ht="15">
      <c r="D75" s="4150" t="s">
        <v>8879</v>
      </c>
      <c r="G75" s="4227"/>
      <c r="H75" s="4232"/>
      <c r="I75" s="4207">
        <f>IF(I74="N",0,IF(I67&gt;I66-I110,I67-(I66-I110),0))</f>
        <v>0</v>
      </c>
      <c r="J75" s="4240"/>
      <c r="K75" s="4241"/>
      <c r="Z75" s="4668">
        <f>IF(I74="Y","N/A",IF(I67&gt;I66-I110,I67-(I66-I110),0))</f>
        <v>0</v>
      </c>
    </row>
    <row r="76" spans="2:38" ht="15">
      <c r="D76" s="4150" t="s">
        <v>9117</v>
      </c>
      <c r="G76" s="4227"/>
      <c r="H76" s="4232"/>
      <c r="I76" s="4229">
        <f>IF(I75=0,0,IF('Calc Data'!F112-I75&lt;I66-I110,(I66-I110-('Calc Data'!F112-I75))*-1,0))</f>
        <v>0</v>
      </c>
      <c r="J76" s="4240"/>
      <c r="K76" s="4242"/>
      <c r="Z76" s="4669" t="e">
        <f>IF(Z75="N/A","N/A",IF('Calc Data'!F112-Z75&lt;I66-I110,(I66-I110-('Calc Data'!F112-Z75))*-1,0))</f>
        <v>#DIV/0!</v>
      </c>
    </row>
    <row r="77" spans="2:38" ht="15">
      <c r="D77" s="4243" t="s">
        <v>8880</v>
      </c>
      <c r="E77" s="4244"/>
      <c r="F77" s="4245"/>
      <c r="G77" s="4246"/>
      <c r="H77" s="4232"/>
      <c r="I77" s="4247">
        <f>IF(I75+I76&lt;=0,0,I75+I76)</f>
        <v>0</v>
      </c>
      <c r="J77" s="4240"/>
      <c r="K77" s="4242"/>
      <c r="Z77" s="4668" t="e">
        <f>IF(Z75="N/A","N/A",IF(Z75+Z76&lt;=0,0,Z75+Z76))</f>
        <v>#DIV/0!</v>
      </c>
    </row>
    <row r="78" spans="2:38" ht="15">
      <c r="D78" s="4243" t="s">
        <v>9109</v>
      </c>
      <c r="E78" s="4244"/>
      <c r="F78" s="4244"/>
      <c r="G78" s="4248"/>
      <c r="H78" s="4232"/>
      <c r="I78" s="4207" t="e">
        <f>IF(I74="N",0,'Data Entry - SOF'!K136*(I77/'Data Entry - SOF'!K96))</f>
        <v>#DIV/0!</v>
      </c>
      <c r="J78" s="4249"/>
      <c r="K78" s="4242"/>
      <c r="Z78" s="4670" t="e">
        <f>IF(Z75="N/A","N/A",'Data Entry - SOF'!K136*(Z77/'Data Entry - SOF'!K96))</f>
        <v>#DIV/0!</v>
      </c>
    </row>
    <row r="79" spans="2:38" ht="15">
      <c r="D79" s="4250" t="s">
        <v>9110</v>
      </c>
      <c r="E79" s="4251"/>
      <c r="F79" s="4251"/>
      <c r="G79" s="4252"/>
      <c r="H79" s="4253"/>
      <c r="I79" s="4254" t="e">
        <f>IF(I77-I78&lt;=0,0,I77-I78)</f>
        <v>#DIV/0!</v>
      </c>
      <c r="J79" s="4249"/>
      <c r="K79" s="4242"/>
      <c r="Y79" s="4157" t="s">
        <v>10158</v>
      </c>
      <c r="Z79" s="4671" t="e">
        <f>IF(Z75="N/A","N/A",IF(Z77-Z78&lt;=0,0,Z77-Z78))</f>
        <v>#DIV/0!</v>
      </c>
    </row>
    <row r="80" spans="2:38" ht="15">
      <c r="D80" s="4150"/>
      <c r="G80" s="4227"/>
      <c r="H80" s="4255"/>
      <c r="I80" s="4198"/>
      <c r="J80" s="4235"/>
      <c r="K80" s="4242"/>
    </row>
    <row r="81" spans="3:26" ht="15">
      <c r="D81" s="4150" t="s">
        <v>8737</v>
      </c>
      <c r="F81" s="4227" t="e">
        <f>ROUND(IF((Assumptions!G119*'Calc Data'!F25*'Calc Data'!F35*100)&lt;'Calc Data'!F42,0,(Assumptions!G119*'Calc Data'!F25*'Calc Data'!F35*100)-'Calc Data'!F42),0)</f>
        <v>#DIV/0!</v>
      </c>
      <c r="G81" s="4227"/>
      <c r="H81" s="4255" t="e">
        <f>ROUND(IF((Assumptions!G119*'Calc Data'!F25*'Calc Data'!F35*100)&lt;'Calc Data'!F42,0,(Assumptions!G119*'Calc Data'!F25*'Calc Data'!F35*100)-'Calc Data'!F42),0)</f>
        <v>#DIV/0!</v>
      </c>
      <c r="I81" s="4256" t="e">
        <f>ROUND(IF((Assumptions!H119*L66*'Calc Data'!F104*100)&lt;'Calc Data'!F105,0,(Assumptions!H119*L66*'Calc Data'!F104*100)-'Calc Data'!F105),0)</f>
        <v>#DIV/0!</v>
      </c>
      <c r="J81" s="4257" t="e">
        <f>ROUND(IF((Assumptions!G119*'Calc Data'!F25*'Calc Data'!F81*100)&lt;'Calc Data'!F88,0,(Assumptions!G119*'Calc Data'!F25*'Calc Data'!F81*100)-'Calc Data'!F88),0)</f>
        <v>#DIV/0!</v>
      </c>
      <c r="K81" s="4258" t="e">
        <f>ROUND(IF((Assumptions!G79*'Calc Data-15K'!F25*'Calc Data-15K'!F81*100)&lt;'Calc Data-15K'!F88,0,(Assumptions!G79*'Calc Data-15K'!F25*'Calc Data-15K'!F81*100)-'Calc Data-15K'!F88),0)</f>
        <v>#DIV/0!</v>
      </c>
    </row>
    <row r="82" spans="3:26" ht="15">
      <c r="D82" s="4150" t="s">
        <v>8837</v>
      </c>
      <c r="F82" s="4259" t="e">
        <f>ROUND(IF((Assumptions!G120*'Calc Data'!F25*'Calc Data'!F38*100)&lt;'Calc Data'!F43,0,(Assumptions!G120*'Calc Data'!F25*'Calc Data'!F38*100)-'Calc Data'!F43),0)</f>
        <v>#DIV/0!</v>
      </c>
      <c r="G82" s="4227"/>
      <c r="H82" s="4260" t="e">
        <f>ROUND(IF((Assumptions!G120*'Calc Data'!F25*'Calc Data'!AK29*100)&lt;'Calc Data'!AK33,0,(Assumptions!G120*'Calc Data'!F25*'Calc Data'!AK29*100)-'Calc Data'!AK33),0)</f>
        <v>#DIV/0!</v>
      </c>
      <c r="I82" s="4261" t="e">
        <f>ROUND(IF((Assumptions!H120*L66*'Calc Data'!F109*100)&lt;'Calc Data'!F110,0,(Assumptions!H120*L66*'Calc Data'!F109*100)-'Calc Data'!F110),0)</f>
        <v>#DIV/0!</v>
      </c>
      <c r="J82" s="4262">
        <f>ROUND(IF((Assumptions!G120*'Calc Data'!F25*'Calc Data'!AK84*100)&lt;'Calc Data'!AK88,0,(Assumptions!G120*'Calc Data'!F25*'Calc Data'!AK84*100)-'Calc Data'!AK88),0)</f>
        <v>0</v>
      </c>
      <c r="K82" s="4263" t="e">
        <f>ROUND(IF((Assumptions!G80*'Calc Data-15K'!F25*'Calc Data-15K'!AO84*100)&lt;'Calc Data-15K'!AO88,0,(Assumptions!G80*'Calc Data-15K'!F25*'Calc Data-15K'!AO84*100)-'Calc Data-15K'!AO88),0)</f>
        <v>#DIV/0!</v>
      </c>
    </row>
    <row r="83" spans="3:26" ht="15">
      <c r="D83" s="4264" t="s">
        <v>8839</v>
      </c>
      <c r="F83" s="4227" t="e">
        <f>SUM(F72:F82)</f>
        <v>#DIV/0!</v>
      </c>
      <c r="G83" s="4227"/>
      <c r="H83" s="4255" t="e">
        <f>SUM(H72:H82)</f>
        <v>#DIV/0!</v>
      </c>
      <c r="I83" s="4221" t="e">
        <f>I81+I82</f>
        <v>#DIV/0!</v>
      </c>
    </row>
    <row r="84" spans="3:26" ht="15">
      <c r="D84" s="4150"/>
      <c r="F84" s="4227"/>
      <c r="G84" s="4227"/>
      <c r="H84" s="4255"/>
      <c r="I84" s="4221"/>
    </row>
    <row r="85" spans="3:26" ht="15">
      <c r="D85" s="4243" t="s">
        <v>8881</v>
      </c>
      <c r="E85" s="4244"/>
      <c r="F85" s="4265"/>
      <c r="G85" s="4246"/>
      <c r="H85" s="4255"/>
      <c r="I85" s="4256" t="e">
        <f>IF(I74="N",0,ROUND(IF((Assumptions!H120*L66*'Calc Data'!F109*100)&lt;'Calc Data'!F110,'Calc Data'!F110-(Assumptions!H120*L66*'Calc Data'!F109*100)),0))</f>
        <v>#DIV/0!</v>
      </c>
      <c r="Z85" s="4672" t="e">
        <f>IF(I74="Y","N/A",ROUND(IF((Assumptions!H120*L66*'Calc Data'!F109*100)&lt;'Calc Data'!F110,'Calc Data'!F110-(Assumptions!H120*L66*'Calc Data'!F109*100)),0))</f>
        <v>#DIV/0!</v>
      </c>
    </row>
    <row r="86" spans="3:26" ht="15">
      <c r="D86" s="4243" t="s">
        <v>9109</v>
      </c>
      <c r="E86" s="4244"/>
      <c r="F86" s="4248"/>
      <c r="G86" s="4248"/>
      <c r="H86" s="4255"/>
      <c r="I86" s="4256" t="e">
        <f>IF(I85=0,0,'Data Entry - SOF'!K136*(I85/'Data Entry - SOF'!K96))</f>
        <v>#DIV/0!</v>
      </c>
      <c r="Z86" s="4673" t="e">
        <f>IF(Z85="N/A","N/A",'Data Entry - SOF'!K136*(Z85/'Data Entry - SOF'!K96))</f>
        <v>#DIV/0!</v>
      </c>
    </row>
    <row r="87" spans="3:26" ht="15">
      <c r="D87" s="4250" t="s">
        <v>9111</v>
      </c>
      <c r="E87" s="4251"/>
      <c r="F87" s="4252"/>
      <c r="G87" s="4252"/>
      <c r="H87" s="4266"/>
      <c r="I87" s="4267" t="e">
        <f>I85-I86</f>
        <v>#DIV/0!</v>
      </c>
      <c r="Y87" s="4157" t="s">
        <v>10159</v>
      </c>
      <c r="Z87" s="4674" t="e">
        <f>IF(Z85="N/A","N/A",Z85-Z86)</f>
        <v>#DIV/0!</v>
      </c>
    </row>
    <row r="88" spans="3:26" ht="15">
      <c r="D88" s="4150"/>
      <c r="G88" s="4227"/>
      <c r="H88" s="4255"/>
      <c r="I88" s="4198"/>
    </row>
    <row r="89" spans="3:26" ht="15">
      <c r="D89" s="4150" t="s">
        <v>733</v>
      </c>
      <c r="G89" s="4227"/>
      <c r="H89" s="4255"/>
      <c r="I89" s="4198"/>
    </row>
    <row r="90" spans="3:26" ht="15" hidden="1">
      <c r="C90" s="4185" t="s">
        <v>8894</v>
      </c>
      <c r="D90" s="4208" t="s">
        <v>8841</v>
      </c>
      <c r="E90" s="4187"/>
      <c r="F90" s="4187"/>
      <c r="G90" s="4268"/>
      <c r="H90" s="4269"/>
      <c r="I90" s="4207">
        <v>0</v>
      </c>
      <c r="L90" s="4270"/>
      <c r="M90" s="4271"/>
    </row>
    <row r="91" spans="3:26" ht="15" hidden="1">
      <c r="C91" s="4185" t="s">
        <v>8894</v>
      </c>
      <c r="D91" s="4208" t="s">
        <v>8842</v>
      </c>
      <c r="E91" s="4187"/>
      <c r="F91" s="4187"/>
      <c r="G91" s="4268"/>
      <c r="H91" s="4269"/>
      <c r="I91" s="4207" t="e">
        <f>'Option Costs-Transition'!J87</f>
        <v>#DIV/0!</v>
      </c>
      <c r="L91" s="4270"/>
      <c r="M91" s="4271"/>
    </row>
    <row r="92" spans="3:26" ht="15">
      <c r="D92" s="4150" t="s">
        <v>758</v>
      </c>
      <c r="F92" s="4227">
        <f>'Data Entry - SOF'!K121</f>
        <v>0</v>
      </c>
      <c r="G92" s="4227"/>
      <c r="H92" s="4255">
        <f>'Data Entry - SOF'!K121</f>
        <v>0</v>
      </c>
      <c r="I92" s="4221">
        <f>H92</f>
        <v>0</v>
      </c>
      <c r="L92" s="4272"/>
      <c r="M92" s="4271"/>
    </row>
    <row r="93" spans="3:26" ht="15">
      <c r="D93" s="4150" t="s">
        <v>3051</v>
      </c>
      <c r="F93" s="4227">
        <f>'Data Entry - SOF'!K120</f>
        <v>0</v>
      </c>
      <c r="G93" s="4227"/>
      <c r="H93" s="4255">
        <f>'Data Entry - SOF'!K120</f>
        <v>0</v>
      </c>
      <c r="I93" s="4221">
        <f t="shared" ref="I93:I98" si="0">H93</f>
        <v>0</v>
      </c>
      <c r="L93" s="4272"/>
      <c r="M93" s="4271"/>
    </row>
    <row r="94" spans="3:26" ht="15" hidden="1">
      <c r="D94" s="4150" t="s">
        <v>9466</v>
      </c>
      <c r="F94" s="4227">
        <f>'Data Entry - SOF'!K122</f>
        <v>0</v>
      </c>
      <c r="G94" s="4227"/>
      <c r="H94" s="4255">
        <v>0</v>
      </c>
      <c r="I94" s="4221">
        <v>0</v>
      </c>
      <c r="L94" s="4272"/>
      <c r="M94" s="4271"/>
    </row>
    <row r="95" spans="3:26" ht="15">
      <c r="D95" s="4150" t="s">
        <v>3053</v>
      </c>
      <c r="F95" s="4227">
        <f>'Data Entry - SOF'!K123</f>
        <v>0</v>
      </c>
      <c r="G95" s="4227"/>
      <c r="H95" s="4255">
        <f>'Data Entry - SOF'!K123</f>
        <v>0</v>
      </c>
      <c r="I95" s="4221">
        <f t="shared" si="0"/>
        <v>0</v>
      </c>
      <c r="L95" s="4272"/>
      <c r="M95" s="4271"/>
    </row>
    <row r="96" spans="3:26" ht="15" hidden="1">
      <c r="D96" s="4150" t="s">
        <v>3054</v>
      </c>
      <c r="F96" s="4227">
        <f>'Data Entry - SOF'!K124</f>
        <v>0</v>
      </c>
      <c r="G96" s="4227"/>
      <c r="H96" s="4255">
        <f t="shared" ref="H96:H99" si="1">F96</f>
        <v>0</v>
      </c>
      <c r="I96" s="4221">
        <f t="shared" si="0"/>
        <v>0</v>
      </c>
      <c r="L96" s="4272"/>
      <c r="M96" s="4271"/>
    </row>
    <row r="97" spans="1:16" ht="15" hidden="1">
      <c r="D97" s="4150" t="s">
        <v>3055</v>
      </c>
      <c r="F97" s="4227">
        <v>0</v>
      </c>
      <c r="G97" s="4227"/>
      <c r="H97" s="4255">
        <f t="shared" si="1"/>
        <v>0</v>
      </c>
      <c r="I97" s="4221">
        <f t="shared" si="0"/>
        <v>0</v>
      </c>
      <c r="L97" s="4272"/>
      <c r="M97" s="4271"/>
    </row>
    <row r="98" spans="1:16" ht="15" hidden="1">
      <c r="D98" s="4150" t="s">
        <v>2444</v>
      </c>
      <c r="F98" s="4227">
        <v>0</v>
      </c>
      <c r="G98" s="4227"/>
      <c r="H98" s="4255">
        <f t="shared" si="1"/>
        <v>0</v>
      </c>
      <c r="I98" s="4221">
        <f t="shared" si="0"/>
        <v>0</v>
      </c>
      <c r="L98" s="4272"/>
      <c r="M98" s="4271"/>
    </row>
    <row r="99" spans="1:16" ht="15">
      <c r="D99" s="4150" t="s">
        <v>2436</v>
      </c>
      <c r="F99" s="4227">
        <f>(500*'Data Entry - SOF'!K69)+(250*'Data Entry - SOF'!K70)</f>
        <v>0</v>
      </c>
      <c r="G99" s="4227"/>
      <c r="H99" s="4255">
        <f t="shared" si="1"/>
        <v>0</v>
      </c>
      <c r="I99" s="4221">
        <v>0</v>
      </c>
      <c r="L99" s="4272"/>
      <c r="M99" s="4271"/>
    </row>
    <row r="100" spans="1:16" ht="15">
      <c r="D100" s="4150" t="s">
        <v>734</v>
      </c>
      <c r="F100" s="4273" t="e">
        <f>(('Data Entry - SOF'!K112/'Calc Data'!E7)*'Data Entry - SOF'!K110)*-1</f>
        <v>#DIV/0!</v>
      </c>
      <c r="G100" s="4227"/>
      <c r="H100" s="4274" t="e">
        <f>(('Data Entry - SOF'!K112/'Calc Data'!E7)*'Data Entry - SOF'!K110)*-1</f>
        <v>#DIV/0!</v>
      </c>
      <c r="I100" s="4207" t="e">
        <f>H100</f>
        <v>#DIV/0!</v>
      </c>
      <c r="L100" s="4272"/>
      <c r="M100" s="4271"/>
    </row>
    <row r="101" spans="1:16" ht="15">
      <c r="D101" s="4150" t="s">
        <v>735</v>
      </c>
      <c r="F101" s="4273" t="e">
        <f>(('Data Entry - SOF'!K112/'Calc Data'!E7)*'Data Entry - SOF'!K111)*-1</f>
        <v>#DIV/0!</v>
      </c>
      <c r="G101" s="4227"/>
      <c r="H101" s="4274" t="e">
        <f>(('Data Entry - SOF'!K112/'Calc Data'!E7)*'Data Entry - SOF'!K111)*-1</f>
        <v>#DIV/0!</v>
      </c>
      <c r="I101" s="4207" t="e">
        <f>H101</f>
        <v>#DIV/0!</v>
      </c>
      <c r="L101" s="4272"/>
      <c r="M101" s="4271"/>
    </row>
    <row r="102" spans="1:16" ht="15">
      <c r="D102" s="4150" t="s">
        <v>10218</v>
      </c>
      <c r="F102" s="4276">
        <f>'Data Entry - SOF'!K142</f>
        <v>0</v>
      </c>
      <c r="G102" s="4227"/>
      <c r="H102" s="4260"/>
      <c r="I102" s="4730">
        <f>'Data Entry - SOF'!K142</f>
        <v>0</v>
      </c>
      <c r="L102" s="4272"/>
      <c r="M102" s="4271"/>
    </row>
    <row r="103" spans="1:16" ht="15">
      <c r="D103" s="4277" t="s">
        <v>8840</v>
      </c>
      <c r="F103" s="4227" t="e">
        <f>SUM(F92:F102)</f>
        <v>#DIV/0!</v>
      </c>
      <c r="G103" s="4227"/>
      <c r="H103" s="4255" t="e">
        <f>SUM(H92:H102)</f>
        <v>#DIV/0!</v>
      </c>
      <c r="I103" s="4221" t="e">
        <f>SUM(I92:I102)</f>
        <v>#DIV/0!</v>
      </c>
      <c r="L103" s="4272"/>
      <c r="M103" s="4271"/>
      <c r="P103" s="4632" t="e">
        <f>I92+I95+'DistCharter-Funding1920'!F57</f>
        <v>#DIV/0!</v>
      </c>
    </row>
    <row r="104" spans="1:16" ht="15">
      <c r="D104" s="4278"/>
      <c r="F104" s="4196"/>
      <c r="G104" s="4227"/>
      <c r="H104" s="4255"/>
      <c r="I104" s="4198"/>
      <c r="L104" s="4272"/>
      <c r="M104" s="4271"/>
    </row>
    <row r="105" spans="1:16" ht="15">
      <c r="D105" s="4150" t="s">
        <v>2396</v>
      </c>
      <c r="F105" s="4227">
        <f>F110*-1</f>
        <v>0</v>
      </c>
      <c r="G105" s="4227"/>
      <c r="H105" s="4255">
        <f>H110*-1</f>
        <v>0</v>
      </c>
      <c r="I105" s="4221">
        <f>I110*-1</f>
        <v>0</v>
      </c>
      <c r="L105" s="4272"/>
      <c r="M105" s="4271"/>
    </row>
    <row r="106" spans="1:16" ht="15">
      <c r="D106" s="4150"/>
      <c r="G106" s="4279"/>
      <c r="H106" s="4255"/>
      <c r="I106" s="4239"/>
      <c r="L106" s="4272"/>
      <c r="M106" s="4271"/>
    </row>
    <row r="107" spans="1:16" ht="15">
      <c r="A107" s="4280"/>
      <c r="B107" s="4281"/>
      <c r="C107" s="4281"/>
      <c r="D107" s="4282"/>
      <c r="E107" s="4281"/>
      <c r="F107" s="4283"/>
      <c r="G107" s="4284"/>
      <c r="H107" s="4285"/>
      <c r="I107" s="4286"/>
      <c r="L107" s="4272"/>
      <c r="M107" s="4271"/>
    </row>
    <row r="108" spans="1:16" ht="15">
      <c r="A108" s="4287"/>
      <c r="B108" s="4288" t="s">
        <v>174</v>
      </c>
      <c r="C108" s="4289"/>
      <c r="D108" s="4290"/>
      <c r="E108" s="4289"/>
      <c r="F108" s="4291"/>
      <c r="G108" s="4279"/>
      <c r="H108" s="4234"/>
      <c r="I108" s="4239"/>
      <c r="L108" s="4272"/>
      <c r="M108" s="4271"/>
    </row>
    <row r="109" spans="1:16" ht="15">
      <c r="A109" s="4287"/>
      <c r="B109" s="4288" t="s">
        <v>1491</v>
      </c>
      <c r="C109" s="4289"/>
      <c r="D109" s="4292" t="s">
        <v>737</v>
      </c>
      <c r="E109" s="4293"/>
      <c r="F109" s="4294" t="e">
        <f>F71+F83+F103+F105</f>
        <v>#DIV/0!</v>
      </c>
      <c r="G109" s="4279"/>
      <c r="H109" s="4295" t="e">
        <f>H71+H83+H103+H105</f>
        <v>#DIV/0!</v>
      </c>
      <c r="I109" s="4207" t="e">
        <f>I71+I83+I103+I105</f>
        <v>#DIV/0!</v>
      </c>
      <c r="L109" s="4272"/>
      <c r="M109" s="4271"/>
    </row>
    <row r="110" spans="1:16" ht="15">
      <c r="A110" s="4287"/>
      <c r="B110" s="4288" t="s">
        <v>1489</v>
      </c>
      <c r="C110" s="4289"/>
      <c r="D110" s="4292" t="s">
        <v>2609</v>
      </c>
      <c r="E110" s="4293"/>
      <c r="F110" s="4294">
        <f>'Calc Data'!E7*Assumptions!G123</f>
        <v>0</v>
      </c>
      <c r="G110" s="4279"/>
      <c r="H110" s="4295">
        <f>'Calc Data'!E7*Assumptions!G123</f>
        <v>0</v>
      </c>
      <c r="I110" s="4296">
        <f>'Calc Data'!E7*Assumptions!H123</f>
        <v>0</v>
      </c>
      <c r="L110" s="4272"/>
      <c r="M110" s="4271"/>
    </row>
    <row r="111" spans="1:16" ht="15" hidden="1">
      <c r="A111" s="4287"/>
      <c r="B111" s="4288" t="s">
        <v>1490</v>
      </c>
      <c r="C111" s="4289"/>
      <c r="D111" s="4292" t="s">
        <v>757</v>
      </c>
      <c r="E111" s="4297"/>
      <c r="F111" s="4298">
        <v>0</v>
      </c>
      <c r="G111" s="4279"/>
      <c r="H111" s="4299">
        <v>0</v>
      </c>
      <c r="I111" s="4239"/>
      <c r="L111" s="4272"/>
      <c r="M111" s="4271"/>
    </row>
    <row r="112" spans="1:16" ht="15">
      <c r="A112" s="4287"/>
      <c r="B112" s="4288" t="s">
        <v>740</v>
      </c>
      <c r="C112" s="4289"/>
      <c r="D112" s="4292" t="s">
        <v>738</v>
      </c>
      <c r="E112" s="4293"/>
      <c r="F112" s="4294">
        <f>'Existing Debt-OldLaw'!K74</f>
        <v>0</v>
      </c>
      <c r="G112" s="4279"/>
      <c r="H112" s="4295">
        <f>'Existing Debt-OldLaw'!K74</f>
        <v>0</v>
      </c>
      <c r="I112" s="4221">
        <f>'Existing Debt-HB3'!K74</f>
        <v>0</v>
      </c>
      <c r="L112" s="4272"/>
      <c r="M112" s="4271"/>
    </row>
    <row r="113" spans="1:16" ht="15.75" thickBot="1">
      <c r="A113" s="4287"/>
      <c r="B113" s="4288" t="s">
        <v>1095</v>
      </c>
      <c r="C113" s="4289"/>
      <c r="D113" s="4292" t="s">
        <v>739</v>
      </c>
      <c r="E113" s="4293"/>
      <c r="F113" s="4300">
        <f>'IFA-OldLaw'!P86+'IFA-OldLaw'!Q75</f>
        <v>0</v>
      </c>
      <c r="G113" s="4279"/>
      <c r="H113" s="4301">
        <f>'IFA-OldLaw'!P86+'IFA-OldLaw'!Q75</f>
        <v>0</v>
      </c>
      <c r="I113" s="4302">
        <f>'IFA-HB3'!N86+'IFA-HB3'!P75</f>
        <v>0</v>
      </c>
      <c r="L113" s="4272"/>
      <c r="M113" s="4271"/>
    </row>
    <row r="114" spans="1:16" ht="15">
      <c r="A114" s="4287"/>
      <c r="B114" s="4289"/>
      <c r="C114" s="4289"/>
      <c r="D114" s="4289"/>
      <c r="E114" s="4289"/>
      <c r="F114" s="4291"/>
      <c r="G114" s="4279"/>
      <c r="H114" s="4303"/>
      <c r="I114" s="4239"/>
      <c r="L114" s="4304"/>
      <c r="M114" s="4305"/>
    </row>
    <row r="115" spans="1:16" ht="12.75" customHeight="1" thickBot="1">
      <c r="A115" s="4287"/>
      <c r="B115" s="4289"/>
      <c r="C115" s="4289"/>
      <c r="D115" s="4292" t="s">
        <v>9067</v>
      </c>
      <c r="E115" s="4289"/>
      <c r="F115" s="4306" t="e">
        <f>SUM(F109:F113)</f>
        <v>#DIV/0!</v>
      </c>
      <c r="G115" s="4279"/>
      <c r="H115" s="4307" t="e">
        <f>SUM(H109:H113)</f>
        <v>#DIV/0!</v>
      </c>
      <c r="I115" s="4308" t="e">
        <f>SUM(I109:I113)</f>
        <v>#DIV/0!</v>
      </c>
      <c r="L115" s="4304"/>
      <c r="M115" s="4305"/>
    </row>
    <row r="116" spans="1:16" ht="16.5" hidden="1" thickTop="1" thickBot="1">
      <c r="A116" s="4287"/>
      <c r="B116" s="4289"/>
      <c r="C116" s="4289"/>
      <c r="D116" s="4309" t="s">
        <v>472</v>
      </c>
      <c r="E116" s="4289"/>
      <c r="F116" s="4289"/>
      <c r="G116" s="4279"/>
      <c r="H116" s="4310" t="e">
        <f>SUM(H109:H113)</f>
        <v>#DIV/0!</v>
      </c>
      <c r="I116" s="4198"/>
      <c r="L116" s="4304"/>
      <c r="M116" s="4305"/>
    </row>
    <row r="117" spans="1:16" ht="15.75" thickTop="1">
      <c r="A117" s="4311"/>
      <c r="B117" s="4312"/>
      <c r="C117" s="4312"/>
      <c r="D117" s="4313"/>
      <c r="E117" s="4312"/>
      <c r="F117" s="4312"/>
      <c r="G117" s="4314"/>
      <c r="H117" s="4315"/>
      <c r="I117" s="4316"/>
    </row>
    <row r="118" spans="1:16" ht="15">
      <c r="B118" s="4150"/>
      <c r="G118" s="4227"/>
      <c r="H118" s="4192"/>
      <c r="I118" s="4198"/>
      <c r="N118" s="4272"/>
      <c r="O118" s="4317"/>
      <c r="P118" s="4318"/>
    </row>
    <row r="119" spans="1:16" ht="15" thickBot="1">
      <c r="G119" s="4289"/>
      <c r="H119" s="4234"/>
      <c r="I119" s="4198"/>
    </row>
    <row r="120" spans="1:16" ht="15.75" thickTop="1">
      <c r="A120" s="4319" t="s">
        <v>2457</v>
      </c>
      <c r="B120" s="4320"/>
      <c r="C120" s="4320"/>
      <c r="D120" s="4320"/>
      <c r="E120" s="4321"/>
      <c r="F120" s="4322"/>
      <c r="G120" s="4321"/>
      <c r="H120" s="4323"/>
      <c r="I120" s="4324"/>
    </row>
    <row r="121" spans="1:16">
      <c r="A121" s="4325"/>
      <c r="B121" s="4289"/>
      <c r="C121" s="4289"/>
      <c r="D121" s="4289"/>
      <c r="E121" s="4289"/>
      <c r="F121" s="4326"/>
      <c r="G121" s="4289"/>
      <c r="H121" s="4234"/>
      <c r="I121" s="4327"/>
    </row>
    <row r="122" spans="1:16" ht="15">
      <c r="A122" s="4328" t="s">
        <v>8798</v>
      </c>
      <c r="B122" s="4289"/>
      <c r="C122" s="4289"/>
      <c r="D122" s="4289"/>
      <c r="E122" s="4289"/>
      <c r="F122" s="4329" t="e">
        <f>IF(F109&lt;0,F110,F109+F110)</f>
        <v>#DIV/0!</v>
      </c>
      <c r="G122" s="4289"/>
      <c r="H122" s="4211" t="e">
        <f>IF(H109&lt;0,H110,H109+H110)</f>
        <v>#DIV/0!</v>
      </c>
      <c r="I122" s="4330" t="e">
        <f>IF(I109&lt;0,I110,I109+I110)</f>
        <v>#DIV/0!</v>
      </c>
    </row>
    <row r="123" spans="1:16" ht="15">
      <c r="A123" s="4331" t="s">
        <v>8799</v>
      </c>
      <c r="B123" s="4289"/>
      <c r="C123" s="4289"/>
      <c r="D123" s="4289"/>
      <c r="E123" s="4289"/>
      <c r="F123" s="4332">
        <f>'Calc Data'!F30-ASATR!I24</f>
        <v>0</v>
      </c>
      <c r="G123" s="4289"/>
      <c r="H123" s="4333">
        <f>'Data Entry - SOF'!K93</f>
        <v>0</v>
      </c>
      <c r="I123" s="4334">
        <f>'Data Entry - SOF'!K96</f>
        <v>0</v>
      </c>
      <c r="N123" s="4272"/>
    </row>
    <row r="124" spans="1:16" ht="15">
      <c r="A124" s="4331" t="s">
        <v>8800</v>
      </c>
      <c r="B124" s="4289"/>
      <c r="C124" s="4289"/>
      <c r="D124" s="4289"/>
      <c r="E124" s="4289"/>
      <c r="F124" s="4332">
        <f>'Calc Data'!F34</f>
        <v>0</v>
      </c>
      <c r="G124" s="4289"/>
      <c r="H124" s="4333" t="e">
        <f>'Option Costs'!AA85+'Option Costs'!AE85</f>
        <v>#DIV/0!</v>
      </c>
      <c r="I124" s="4334" t="e">
        <f>I79+I87</f>
        <v>#DIV/0!</v>
      </c>
      <c r="N124" s="4272"/>
    </row>
    <row r="125" spans="1:16" ht="15">
      <c r="A125" s="4331"/>
      <c r="B125" s="4289"/>
      <c r="C125" s="4289"/>
      <c r="D125" s="4289"/>
      <c r="E125" s="4289"/>
      <c r="F125" s="4335" t="e">
        <f>'Calc Data'!F37-IF('Option Costs'!AE57="N",MAX('Option Costs'!AE54,'Option Costs'!AG54),MIN('Option Costs'!AE54,'Option Costs'!AG54))</f>
        <v>#DIV/0!</v>
      </c>
      <c r="G125" s="4289"/>
      <c r="H125" s="4336"/>
      <c r="I125" s="4334"/>
    </row>
    <row r="126" spans="1:16" ht="15">
      <c r="A126" s="4331" t="s">
        <v>9079</v>
      </c>
      <c r="B126" s="4289"/>
      <c r="C126" s="4289"/>
      <c r="D126" s="4289"/>
      <c r="E126" s="4289"/>
      <c r="F126" s="4337" t="e">
        <f>SUM(F122:F125)</f>
        <v>#DIV/0!</v>
      </c>
      <c r="G126" s="4289"/>
      <c r="H126" s="4338" t="e">
        <f>H122+H123-H124</f>
        <v>#DIV/0!</v>
      </c>
      <c r="I126" s="4339" t="e">
        <f>I122+I123-I124</f>
        <v>#DIV/0!</v>
      </c>
    </row>
    <row r="127" spans="1:16" ht="15">
      <c r="A127" s="4340" t="s">
        <v>8841</v>
      </c>
      <c r="B127" s="4341"/>
      <c r="C127" s="4341"/>
      <c r="D127" s="4341"/>
      <c r="E127" s="4341"/>
      <c r="F127" s="4342" t="e">
        <f>IF(F109&gt;0,0,F109)</f>
        <v>#DIV/0!</v>
      </c>
      <c r="G127" s="4341"/>
      <c r="H127" s="4343" t="s">
        <v>1775</v>
      </c>
      <c r="I127" s="4334" t="e">
        <f>MAX(H189,H197)</f>
        <v>#DIV/0!</v>
      </c>
      <c r="L127" s="4272"/>
    </row>
    <row r="128" spans="1:16" ht="15">
      <c r="A128" s="4340" t="s">
        <v>8842</v>
      </c>
      <c r="B128" s="4341"/>
      <c r="C128" s="4341"/>
      <c r="D128" s="4341"/>
      <c r="E128" s="4341"/>
      <c r="F128" s="4344"/>
      <c r="G128" s="4341"/>
      <c r="H128" s="4343" t="s">
        <v>1775</v>
      </c>
      <c r="I128" s="4334" t="e">
        <f>'Option Costs-Transition'!J94</f>
        <v>#DIV/0!</v>
      </c>
    </row>
    <row r="129" spans="1:12" ht="15">
      <c r="A129" s="4345"/>
      <c r="B129" s="4244"/>
      <c r="C129" s="4244"/>
      <c r="D129" s="4244"/>
      <c r="E129" s="4244"/>
      <c r="F129" s="4346"/>
      <c r="G129" s="4244"/>
      <c r="H129" s="4343"/>
      <c r="I129" s="4334"/>
    </row>
    <row r="130" spans="1:12" ht="15">
      <c r="A130" s="4347" t="s">
        <v>9078</v>
      </c>
      <c r="B130" s="4348"/>
      <c r="C130" s="4348"/>
      <c r="D130" s="4348"/>
      <c r="E130" s="4348"/>
      <c r="F130" s="4349" t="e">
        <f>F126+F127</f>
        <v>#DIV/0!</v>
      </c>
      <c r="G130" s="4350"/>
      <c r="H130" s="4351" t="e">
        <f>H126</f>
        <v>#DIV/0!</v>
      </c>
      <c r="I130" s="4352" t="e">
        <f>I126+I127+I128</f>
        <v>#DIV/0!</v>
      </c>
      <c r="L130" s="4236" t="s">
        <v>9467</v>
      </c>
    </row>
    <row r="131" spans="1:12" ht="15" thickBot="1">
      <c r="A131" s="4353"/>
      <c r="B131" s="4354"/>
      <c r="C131" s="4354"/>
      <c r="D131" s="4354"/>
      <c r="E131" s="4354"/>
      <c r="F131" s="4354"/>
      <c r="G131" s="4355"/>
      <c r="H131" s="4356"/>
      <c r="I131" s="4357"/>
    </row>
    <row r="132" spans="1:12" ht="15.75" thickTop="1">
      <c r="D132" s="4196" t="s">
        <v>1231</v>
      </c>
      <c r="E132" s="4196"/>
      <c r="F132" s="4196"/>
      <c r="H132" s="4210" t="e">
        <f>H127+H130</f>
        <v>#VALUE!</v>
      </c>
      <c r="I132" s="4198"/>
      <c r="J132" s="4358"/>
      <c r="K132" s="4358"/>
    </row>
    <row r="133" spans="1:12" ht="15">
      <c r="D133" s="4196" t="s">
        <v>470</v>
      </c>
      <c r="E133" s="4196"/>
      <c r="F133" s="4196"/>
      <c r="I133" s="4198"/>
      <c r="J133" s="4359"/>
      <c r="K133" s="4359"/>
    </row>
    <row r="134" spans="1:12" ht="15">
      <c r="D134" s="4196" t="s">
        <v>471</v>
      </c>
      <c r="I134" s="4198"/>
    </row>
    <row r="135" spans="1:12" ht="15">
      <c r="D135" s="4196" t="s">
        <v>1012</v>
      </c>
      <c r="I135" s="4198"/>
    </row>
    <row r="136" spans="1:12" ht="15">
      <c r="D136" s="4196" t="s">
        <v>647</v>
      </c>
      <c r="I136" s="4198"/>
    </row>
    <row r="137" spans="1:12" ht="15">
      <c r="D137" s="4196" t="s">
        <v>648</v>
      </c>
      <c r="I137" s="4198"/>
    </row>
    <row r="138" spans="1:12" ht="15">
      <c r="D138" s="4196"/>
      <c r="I138" s="4198"/>
    </row>
    <row r="139" spans="1:12">
      <c r="I139" s="4198"/>
    </row>
    <row r="140" spans="1:12">
      <c r="I140" s="4198"/>
    </row>
    <row r="141" spans="1:12">
      <c r="I141" s="4198"/>
    </row>
    <row r="142" spans="1:12" ht="15">
      <c r="A142" s="4150" t="s">
        <v>1667</v>
      </c>
      <c r="G142" s="4166"/>
      <c r="I142" s="4198"/>
    </row>
    <row r="143" spans="1:12" ht="15">
      <c r="G143" s="4166"/>
      <c r="I143" s="4198"/>
    </row>
    <row r="144" spans="1:12" ht="15">
      <c r="A144" s="4150" t="s">
        <v>1492</v>
      </c>
      <c r="G144" s="4166"/>
      <c r="H144" s="4166"/>
      <c r="I144" s="4198"/>
      <c r="J144" s="4166"/>
      <c r="K144" s="4166"/>
    </row>
    <row r="145" spans="1:11" ht="15">
      <c r="A145" s="4150" t="s">
        <v>1493</v>
      </c>
      <c r="H145" s="4166"/>
      <c r="I145" s="4198"/>
      <c r="J145" s="4166"/>
      <c r="K145" s="4166"/>
    </row>
    <row r="146" spans="1:11" ht="15">
      <c r="A146" s="4150" t="s">
        <v>518</v>
      </c>
      <c r="H146" s="4166"/>
      <c r="I146" s="4198"/>
      <c r="J146" s="4166"/>
      <c r="K146" s="4166"/>
    </row>
    <row r="147" spans="1:11" ht="15">
      <c r="A147" s="4150" t="s">
        <v>519</v>
      </c>
      <c r="I147" s="4198"/>
    </row>
    <row r="148" spans="1:11" ht="15">
      <c r="A148" s="4150" t="s">
        <v>1009</v>
      </c>
      <c r="I148" s="4198"/>
    </row>
    <row r="149" spans="1:11" ht="15">
      <c r="A149" s="4150" t="s">
        <v>1010</v>
      </c>
      <c r="I149" s="4198"/>
    </row>
    <row r="150" spans="1:11" ht="15">
      <c r="A150" s="4179" t="s">
        <v>1789</v>
      </c>
      <c r="I150" s="4198"/>
    </row>
    <row r="151" spans="1:11">
      <c r="I151" s="4198"/>
    </row>
    <row r="152" spans="1:11" ht="15">
      <c r="A152" s="4150" t="s">
        <v>62</v>
      </c>
      <c r="I152" s="4198"/>
    </row>
    <row r="153" spans="1:11" ht="15">
      <c r="A153" s="4150" t="s">
        <v>1693</v>
      </c>
      <c r="I153" s="4198"/>
    </row>
    <row r="154" spans="1:11" ht="15">
      <c r="A154" s="4150" t="s">
        <v>1694</v>
      </c>
      <c r="I154" s="4198"/>
    </row>
    <row r="155" spans="1:11" ht="15">
      <c r="A155" s="4150" t="s">
        <v>1820</v>
      </c>
      <c r="I155" s="4198"/>
    </row>
    <row r="156" spans="1:11">
      <c r="I156" s="4198"/>
    </row>
    <row r="157" spans="1:11" ht="15">
      <c r="A157" s="4150" t="s">
        <v>1821</v>
      </c>
      <c r="I157" s="4198"/>
    </row>
    <row r="158" spans="1:11" ht="15">
      <c r="A158" s="4150" t="s">
        <v>1822</v>
      </c>
      <c r="I158" s="4198"/>
    </row>
    <row r="159" spans="1:11" ht="15">
      <c r="A159" s="4150" t="s">
        <v>336</v>
      </c>
      <c r="I159" s="4198"/>
    </row>
    <row r="160" spans="1:11" ht="15">
      <c r="A160" s="4150" t="s">
        <v>1823</v>
      </c>
      <c r="I160" s="4198"/>
    </row>
    <row r="161" spans="1:11" ht="15">
      <c r="A161" s="4150" t="s">
        <v>334</v>
      </c>
      <c r="I161" s="4198"/>
    </row>
    <row r="162" spans="1:11">
      <c r="I162" s="4198"/>
    </row>
    <row r="163" spans="1:11" ht="15">
      <c r="A163" s="4179" t="s">
        <v>335</v>
      </c>
      <c r="I163" s="4198"/>
    </row>
    <row r="164" spans="1:11">
      <c r="I164" s="4198"/>
    </row>
    <row r="165" spans="1:11">
      <c r="I165" s="4198"/>
    </row>
    <row r="166" spans="1:11">
      <c r="I166" s="4198"/>
    </row>
    <row r="167" spans="1:11">
      <c r="E167" s="4151" t="s">
        <v>2767</v>
      </c>
      <c r="F167" s="4318">
        <f>SUM(F22:F28)</f>
        <v>0</v>
      </c>
      <c r="H167" s="4318">
        <f>SUM(H22:H28)</f>
        <v>0</v>
      </c>
      <c r="I167" s="4360">
        <f>SUM(I22:I28)</f>
        <v>0</v>
      </c>
    </row>
    <row r="168" spans="1:11">
      <c r="E168" s="4151" t="s">
        <v>2768</v>
      </c>
      <c r="F168" s="4318">
        <f>F29+F30</f>
        <v>0</v>
      </c>
      <c r="H168" s="4318">
        <f>H29+H30</f>
        <v>0</v>
      </c>
      <c r="I168" s="4361">
        <f>I29+I30</f>
        <v>0</v>
      </c>
    </row>
    <row r="169" spans="1:11">
      <c r="E169" s="4151" t="s">
        <v>2769</v>
      </c>
      <c r="F169" s="4318">
        <f>F33+F34</f>
        <v>0</v>
      </c>
      <c r="H169" s="4318">
        <f>H33+H34</f>
        <v>0</v>
      </c>
      <c r="I169" s="4361">
        <f>I33+I34</f>
        <v>0</v>
      </c>
      <c r="J169" s="4318"/>
      <c r="K169" s="4318"/>
    </row>
    <row r="170" spans="1:11">
      <c r="E170" s="4151" t="s">
        <v>2770</v>
      </c>
      <c r="F170" s="4318">
        <f>F35+F43</f>
        <v>0</v>
      </c>
      <c r="H170" s="4318">
        <f>H35+H43</f>
        <v>0</v>
      </c>
      <c r="I170" s="4361">
        <f>SUM(I37:I37)</f>
        <v>0</v>
      </c>
      <c r="J170" s="4318"/>
      <c r="K170" s="4318"/>
    </row>
    <row r="171" spans="1:11">
      <c r="E171" s="4151" t="s">
        <v>2849</v>
      </c>
      <c r="F171" s="4272" t="e">
        <f>Assumptions!G119*'Calc Data'!F25*'Calc Data'!F35*100</f>
        <v>#DIV/0!</v>
      </c>
      <c r="H171" s="4272" t="e">
        <f>Assumptions!G119*'Calc Data'!F25*'Calc Data'!F35*100</f>
        <v>#DIV/0!</v>
      </c>
      <c r="I171" s="4362" t="e">
        <f>Assumptions!H119*L66*'Calc Data'!F104*100</f>
        <v>#DIV/0!</v>
      </c>
      <c r="J171" s="4318"/>
      <c r="K171" s="4318"/>
    </row>
    <row r="172" spans="1:11">
      <c r="E172" s="4151" t="s">
        <v>2851</v>
      </c>
      <c r="F172" s="4272" t="e">
        <f>Assumptions!G120*'Calc Data'!F25*'Calc Data'!F38*100</f>
        <v>#DIV/0!</v>
      </c>
      <c r="H172" s="4272" t="e">
        <f>Assumptions!G120*'Calc Data'!F25*'Calc Data'!AK29*100</f>
        <v>#DIV/0!</v>
      </c>
      <c r="I172" s="4362" t="e">
        <f>Assumptions!H120*L66*'Calc Data'!F109*100</f>
        <v>#DIV/0!</v>
      </c>
      <c r="J172" s="4318"/>
      <c r="K172" s="4318"/>
    </row>
    <row r="173" spans="1:11">
      <c r="E173" s="4151" t="s">
        <v>8776</v>
      </c>
      <c r="I173" s="4363">
        <f>I46+I47+I48</f>
        <v>0</v>
      </c>
      <c r="J173" s="4272"/>
      <c r="K173" s="4272"/>
    </row>
    <row r="174" spans="1:11">
      <c r="I174" s="4318"/>
      <c r="J174" s="4272"/>
      <c r="K174" s="4272"/>
    </row>
    <row r="177" spans="5:8" ht="15">
      <c r="G177" s="4364" t="s">
        <v>9065</v>
      </c>
    </row>
    <row r="178" spans="5:8" ht="15">
      <c r="E178" s="4196"/>
      <c r="F178" s="4196"/>
      <c r="G178" s="4365" t="s">
        <v>9358</v>
      </c>
      <c r="H178" s="4366" t="e">
        <f>H126/'Data Entry - SOF'!K19</f>
        <v>#DIV/0!</v>
      </c>
    </row>
    <row r="179" spans="5:8" ht="15">
      <c r="E179" s="4196"/>
      <c r="F179" s="4196"/>
      <c r="G179" s="4365" t="s">
        <v>9359</v>
      </c>
      <c r="H179" s="4367" t="e">
        <f>H178*1.03</f>
        <v>#DIV/0!</v>
      </c>
    </row>
    <row r="180" spans="5:8" ht="15">
      <c r="E180" s="4196"/>
      <c r="F180" s="4196"/>
      <c r="G180" s="4196"/>
      <c r="H180" s="4368"/>
    </row>
    <row r="181" spans="5:8" ht="15">
      <c r="E181" s="4196"/>
      <c r="F181" s="4196"/>
      <c r="G181" s="4196"/>
      <c r="H181" s="4368"/>
    </row>
    <row r="182" spans="5:8" ht="15">
      <c r="E182" s="4196"/>
      <c r="F182" s="4196"/>
      <c r="G182" s="4365" t="s">
        <v>9360</v>
      </c>
      <c r="H182" s="4367">
        <v>8896</v>
      </c>
    </row>
    <row r="183" spans="5:8" ht="15">
      <c r="E183" s="4196"/>
      <c r="F183" s="4196"/>
      <c r="G183" s="4365" t="s">
        <v>9361</v>
      </c>
      <c r="H183" s="4367">
        <f>H182*1.28</f>
        <v>11386.880000000001</v>
      </c>
    </row>
    <row r="184" spans="5:8" ht="15">
      <c r="E184" s="4196"/>
      <c r="F184" s="4196"/>
      <c r="G184" s="4196"/>
      <c r="H184" s="4368"/>
    </row>
    <row r="185" spans="5:8" ht="15">
      <c r="E185" s="4196"/>
      <c r="F185" s="4196"/>
      <c r="G185" s="4365" t="s">
        <v>9044</v>
      </c>
      <c r="H185" s="4369" t="e">
        <f>MIN(H179,H183)</f>
        <v>#DIV/0!</v>
      </c>
    </row>
    <row r="186" spans="5:8" ht="15">
      <c r="E186" s="4196"/>
      <c r="F186" s="4196"/>
      <c r="G186" s="4365" t="s">
        <v>9251</v>
      </c>
      <c r="H186" s="4371" t="e">
        <f>(I126+I128)/'Data Entry - SOF'!K19</f>
        <v>#DIV/0!</v>
      </c>
    </row>
    <row r="187" spans="5:8" ht="15">
      <c r="G187" s="4372" t="s">
        <v>9042</v>
      </c>
      <c r="H187" s="4367" t="e">
        <f>IF(H185-H186&lt;=0,0,H185-H186)</f>
        <v>#DIV/0!</v>
      </c>
    </row>
    <row r="188" spans="5:8" ht="15">
      <c r="G188" s="4372" t="s">
        <v>9043</v>
      </c>
      <c r="H188" s="4373">
        <f>'Data Entry - SOF'!K19</f>
        <v>0</v>
      </c>
    </row>
    <row r="189" spans="5:8" ht="15">
      <c r="G189" s="4372" t="s">
        <v>9215</v>
      </c>
      <c r="H189" s="4374" t="e">
        <f>H187*H188</f>
        <v>#DIV/0!</v>
      </c>
    </row>
    <row r="192" spans="5:8" ht="15">
      <c r="G192" s="4364" t="s">
        <v>9066</v>
      </c>
      <c r="H192" s="4375"/>
    </row>
    <row r="193" spans="7:13" ht="15">
      <c r="G193" s="4365" t="s">
        <v>9362</v>
      </c>
      <c r="H193" s="4367" t="e">
        <f>(H122+H123-'Option Costs-Transition'!J92)/'Data Entry - SOF'!K19</f>
        <v>#DIV/0!</v>
      </c>
      <c r="J193" s="4376"/>
      <c r="K193" s="4376"/>
      <c r="M193" s="4377"/>
    </row>
    <row r="194" spans="7:13" ht="15">
      <c r="G194" s="4365" t="s">
        <v>9041</v>
      </c>
      <c r="H194" s="4370" t="e">
        <f>H186</f>
        <v>#DIV/0!</v>
      </c>
      <c r="J194" s="4376"/>
      <c r="K194" s="4376"/>
      <c r="M194" s="4377"/>
    </row>
    <row r="195" spans="7:13" ht="15">
      <c r="G195" s="4372" t="s">
        <v>9042</v>
      </c>
      <c r="H195" s="4378" t="e">
        <f>IF(H194&gt;=H193,0,H193-H194)</f>
        <v>#DIV/0!</v>
      </c>
      <c r="J195" s="4376"/>
      <c r="K195" s="4376"/>
      <c r="M195" s="4377"/>
    </row>
    <row r="196" spans="7:13" ht="15">
      <c r="G196" s="4372" t="s">
        <v>9043</v>
      </c>
      <c r="H196" s="4373">
        <f>H188</f>
        <v>0</v>
      </c>
    </row>
    <row r="197" spans="7:13" ht="15">
      <c r="G197" s="4372" t="s">
        <v>9216</v>
      </c>
      <c r="H197" s="4374" t="e">
        <f>H195*H196</f>
        <v>#DIV/0!</v>
      </c>
    </row>
  </sheetData>
  <pageMargins left="0.7" right="0.7" top="0.75" bottom="0.75" header="0.3" footer="0.3"/>
  <pageSetup scale="57" fitToWidth="0" orientation="portrait" horizontalDpi="90" verticalDpi="9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9"/>
  <sheetViews>
    <sheetView topLeftCell="A18" zoomScale="90" zoomScaleNormal="90" workbookViewId="0">
      <selection activeCell="I18" sqref="I18"/>
    </sheetView>
  </sheetViews>
  <sheetFormatPr defaultColWidth="8.7109375" defaultRowHeight="14.25"/>
  <cols>
    <col min="1" max="1" width="10.5703125" style="4151" bestFit="1" customWidth="1"/>
    <col min="2" max="2" width="8.7109375" style="4151"/>
    <col min="3" max="3" width="13.5703125" style="4151" customWidth="1"/>
    <col min="4" max="4" width="44.5703125" style="4151" customWidth="1"/>
    <col min="5" max="5" width="19.140625" style="4151" customWidth="1"/>
    <col min="6" max="6" width="19.140625" style="4151" hidden="1" customWidth="1"/>
    <col min="7" max="7" width="6.42578125" style="4151" customWidth="1"/>
    <col min="8" max="8" width="21.85546875" style="4151" customWidth="1"/>
    <col min="9" max="9" width="24.140625" style="4151" customWidth="1"/>
    <col min="10" max="11" width="28.42578125" style="4151" hidden="1" customWidth="1"/>
    <col min="12" max="12" width="15.5703125" style="4151" customWidth="1"/>
    <col min="13" max="13" width="15.5703125" style="4156" customWidth="1"/>
    <col min="14" max="14" width="23.85546875" style="4151" customWidth="1"/>
    <col min="15" max="15" width="15.5703125" style="4157" hidden="1" customWidth="1"/>
    <col min="16" max="16" width="13.5703125" style="4151" customWidth="1"/>
    <col min="17" max="37" width="8.7109375" style="4151"/>
    <col min="38" max="38" width="15.5703125" style="4151" customWidth="1"/>
    <col min="39" max="39" width="16" style="4151" customWidth="1"/>
    <col min="40" max="16384" width="8.7109375" style="4151"/>
  </cols>
  <sheetData>
    <row r="1" spans="1:11" ht="15" hidden="1">
      <c r="A1" s="4150" t="s">
        <v>66</v>
      </c>
      <c r="C1" s="4152">
        <f>'Data Entry - SOF'!B1</f>
        <v>0</v>
      </c>
      <c r="E1" s="4153"/>
      <c r="F1" s="4154" t="str">
        <f>'Report-SOF1920-HB3'!D1</f>
        <v>Release 10</v>
      </c>
      <c r="G1" s="4155"/>
      <c r="J1" s="4155"/>
      <c r="K1" s="4155"/>
    </row>
    <row r="2" spans="1:11" ht="15" hidden="1">
      <c r="A2" s="4150" t="s">
        <v>67</v>
      </c>
      <c r="C2" s="4158">
        <f>'Data Entry - SOF'!B2</f>
        <v>0</v>
      </c>
      <c r="F2" s="4155">
        <f>'Report-SOF1920-HB3'!D2</f>
        <v>43724</v>
      </c>
      <c r="G2" s="4155"/>
      <c r="J2" s="4155"/>
      <c r="K2" s="4155"/>
    </row>
    <row r="3" spans="1:11" ht="15" hidden="1">
      <c r="A3" s="4150" t="s">
        <v>143</v>
      </c>
      <c r="C3" s="4159">
        <f ca="1">'Data Entry - SOF'!B3</f>
        <v>43726.623322453706</v>
      </c>
      <c r="F3" s="4160">
        <f>'Report-SOF1920-HB3'!D3</f>
        <v>0</v>
      </c>
    </row>
    <row r="4" spans="1:11" ht="15" hidden="1">
      <c r="D4" s="4161" t="s">
        <v>3183</v>
      </c>
    </row>
    <row r="5" spans="1:11" ht="15" hidden="1">
      <c r="D5" s="4162" t="s">
        <v>3286</v>
      </c>
    </row>
    <row r="6" spans="1:11" hidden="1"/>
    <row r="7" spans="1:11" ht="15" hidden="1">
      <c r="D7" s="4150" t="s">
        <v>1393</v>
      </c>
    </row>
    <row r="8" spans="1:11" ht="15" hidden="1">
      <c r="B8" s="4163"/>
      <c r="D8" s="4150" t="s">
        <v>832</v>
      </c>
      <c r="F8" s="4164">
        <f>'Calc Data'!G7</f>
        <v>0</v>
      </c>
      <c r="G8" s="4165"/>
      <c r="J8" s="4165"/>
      <c r="K8" s="4165"/>
    </row>
    <row r="9" spans="1:11" ht="15" hidden="1">
      <c r="D9" s="4150" t="s">
        <v>1394</v>
      </c>
      <c r="F9" s="4164">
        <f>'Calc Data'!G8</f>
        <v>0</v>
      </c>
      <c r="G9" s="4165"/>
      <c r="J9" s="4165"/>
      <c r="K9" s="4165"/>
    </row>
    <row r="10" spans="1:11" ht="15" hidden="1">
      <c r="D10" s="4150" t="s">
        <v>426</v>
      </c>
      <c r="F10" s="4164">
        <f>'Data Entry - SOF'!M35</f>
        <v>0</v>
      </c>
      <c r="G10" s="4165"/>
      <c r="J10" s="4165"/>
      <c r="K10" s="4165"/>
    </row>
    <row r="11" spans="1:11" ht="15" hidden="1">
      <c r="B11" s="4150"/>
      <c r="D11" s="4150" t="s">
        <v>427</v>
      </c>
      <c r="F11" s="4164">
        <f>'Calc Data'!G10</f>
        <v>0</v>
      </c>
      <c r="G11" s="4165"/>
      <c r="J11" s="4165"/>
      <c r="K11" s="4165"/>
    </row>
    <row r="12" spans="1:11" ht="15" hidden="1">
      <c r="D12" s="4150" t="s">
        <v>428</v>
      </c>
      <c r="F12" s="4166">
        <f>'Data Entry - SOF'!M73</f>
        <v>0</v>
      </c>
      <c r="G12" s="4166"/>
      <c r="J12" s="4166"/>
      <c r="K12" s="4166"/>
    </row>
    <row r="13" spans="1:11" ht="15" hidden="1">
      <c r="D13" s="4150" t="s">
        <v>429</v>
      </c>
      <c r="F13" s="4166" t="e">
        <f>'Data Entry - SOF'!#REF!</f>
        <v>#REF!</v>
      </c>
      <c r="G13" s="4166"/>
      <c r="J13" s="4166"/>
      <c r="K13" s="4166"/>
    </row>
    <row r="14" spans="1:11" ht="15" hidden="1">
      <c r="D14" s="4150" t="s">
        <v>1811</v>
      </c>
      <c r="F14" s="4164">
        <f>'Data Entry - SOF'!M159</f>
        <v>0</v>
      </c>
      <c r="G14" s="4166"/>
      <c r="J14" s="4166"/>
      <c r="K14" s="4166"/>
    </row>
    <row r="15" spans="1:11" ht="15" hidden="1">
      <c r="D15" s="4150" t="s">
        <v>1155</v>
      </c>
      <c r="F15" s="4164">
        <f>'Calc Data'!G59</f>
        <v>0</v>
      </c>
      <c r="G15" s="4167"/>
      <c r="J15" s="4167"/>
      <c r="K15" s="4167"/>
    </row>
    <row r="16" spans="1:11" ht="15" hidden="1">
      <c r="D16" s="4150" t="s">
        <v>1956</v>
      </c>
      <c r="F16" s="4166">
        <f>'Data Entry - SOF'!M93</f>
        <v>0</v>
      </c>
      <c r="G16" s="4166"/>
      <c r="J16" s="4166"/>
      <c r="K16" s="4166"/>
    </row>
    <row r="17" spans="2:38" ht="15.75" hidden="1" thickBot="1">
      <c r="D17" s="4168"/>
      <c r="E17" s="4169"/>
      <c r="F17" s="4169"/>
      <c r="G17" s="4166"/>
      <c r="J17" s="4166"/>
      <c r="K17" s="4166"/>
    </row>
    <row r="18" spans="2:38" ht="15">
      <c r="D18" s="4150"/>
      <c r="G18" s="4166"/>
      <c r="H18" s="4170" t="s">
        <v>3922</v>
      </c>
      <c r="I18" s="4171" t="s">
        <v>3922</v>
      </c>
      <c r="J18" s="4172" t="s">
        <v>6968</v>
      </c>
      <c r="K18" s="4172" t="s">
        <v>6967</v>
      </c>
    </row>
    <row r="19" spans="2:38" ht="15">
      <c r="B19" s="4173" t="s">
        <v>430</v>
      </c>
      <c r="D19" s="4150"/>
      <c r="F19" s="4174" t="s">
        <v>3898</v>
      </c>
      <c r="G19" s="4150"/>
      <c r="H19" s="4175" t="s">
        <v>9357</v>
      </c>
      <c r="I19" s="4176" t="s">
        <v>8765</v>
      </c>
      <c r="J19" s="4177" t="s">
        <v>8554</v>
      </c>
      <c r="K19" s="4178" t="s">
        <v>8553</v>
      </c>
    </row>
    <row r="20" spans="2:38" ht="15">
      <c r="B20" s="4173">
        <v>11</v>
      </c>
      <c r="C20" s="4157" t="s">
        <v>8777</v>
      </c>
      <c r="D20" s="4179" t="s">
        <v>3140</v>
      </c>
      <c r="F20" s="4180">
        <f>ROUND(ROUND('Calc Data'!G23,0)*IF('Calc Data'!G11&gt;'Calc Data'!G10,'Calc Data'!G11,'Calc Data'!G10),0)</f>
        <v>0</v>
      </c>
      <c r="G20" s="4166"/>
      <c r="H20" s="4181">
        <f>ROUND(ROUND('Calc Data'!AO23,0)*IF('Calc Data'!G11&gt;'Calc Data'!G10,'Calc Data'!G11,'Calc Data'!G10),0)</f>
        <v>0</v>
      </c>
      <c r="I20" s="4182" t="e">
        <f>ROUND(Assumptions!H127*IF('Calc Data'!G11&gt;'Calc Data'!G12,'Calc Data'!G11,'Calc Data'!G12),0)</f>
        <v>#DIV/0!</v>
      </c>
      <c r="J20" s="4183">
        <f>ROUND(ROUND('Calc Data'!AK78,0)*IF('Calc Data'!G11&gt;'Calc Data'!G10,'Calc Data'!G11,'Calc Data'!G10),0)</f>
        <v>0</v>
      </c>
      <c r="K20" s="4184"/>
      <c r="AL20" s="4166" t="e">
        <f>ROUND(ROUND('Calc Data'!AC23,0)*IF('Calc Data'!#REF!&gt;'Calc Data'!#REF!,'Calc Data'!#REF!,'Calc Data'!#REF!),0)</f>
        <v>#REF!</v>
      </c>
    </row>
    <row r="21" spans="2:38" ht="15">
      <c r="B21" s="4173"/>
      <c r="C21" s="4185" t="s">
        <v>8778</v>
      </c>
      <c r="D21" s="4186" t="s">
        <v>8769</v>
      </c>
      <c r="E21" s="4187"/>
      <c r="F21" s="4188"/>
      <c r="G21" s="4189"/>
      <c r="H21" s="4181"/>
      <c r="I21" s="4182">
        <f>MAX('Calc Data'!G96,'Calc Data'!G98)</f>
        <v>0</v>
      </c>
      <c r="J21" s="4190"/>
      <c r="K21" s="4191"/>
      <c r="AL21" s="4166"/>
    </row>
    <row r="22" spans="2:38" ht="15">
      <c r="B22" s="4173">
        <v>23</v>
      </c>
      <c r="C22" s="4157" t="s">
        <v>8778</v>
      </c>
      <c r="D22" s="4150" t="s">
        <v>8835</v>
      </c>
      <c r="F22" s="4166">
        <f>ROUND('Calc Data'!G9*ROUND('Calc Data'!G23,0),0)</f>
        <v>0</v>
      </c>
      <c r="G22" s="4166"/>
      <c r="H22" s="4192">
        <f>ROUND('Calc Data'!G9*ROUND('Calc Data'!AO23,0),0)</f>
        <v>0</v>
      </c>
      <c r="I22" s="4193" t="e">
        <f>ROUND('Calc Data'!G9*(Assumptions!H127+'Calc Data'!G95),0)</f>
        <v>#DIV/0!</v>
      </c>
      <c r="J22" s="4194">
        <f>ROUND('Calc Data'!G9*ROUND('Calc Data'!AK78,0),0)</f>
        <v>0</v>
      </c>
      <c r="K22" s="4195"/>
      <c r="AL22" s="4166" t="e">
        <f>ROUND('Calc Data'!#REF!*ROUND('Calc Data'!AC23,0),0)</f>
        <v>#REF!</v>
      </c>
    </row>
    <row r="23" spans="2:38" ht="15">
      <c r="B23" s="4173"/>
      <c r="C23" s="4157" t="s">
        <v>8778</v>
      </c>
      <c r="D23" s="4150" t="s">
        <v>90</v>
      </c>
      <c r="F23" s="4196"/>
      <c r="H23" s="4197"/>
      <c r="I23" s="4198"/>
      <c r="J23" s="4199"/>
      <c r="K23" s="4195"/>
    </row>
    <row r="24" spans="2:38" ht="15">
      <c r="B24" s="4173">
        <v>23</v>
      </c>
      <c r="C24" s="4157" t="s">
        <v>8778</v>
      </c>
      <c r="D24" s="4150" t="s">
        <v>91</v>
      </c>
      <c r="F24" s="4200">
        <f>ROUND('Data Entry - SOF'!M34*Weights!L21*ROUND('Calc Data'!G23,0),0)</f>
        <v>0</v>
      </c>
      <c r="G24" s="4200"/>
      <c r="H24" s="4201">
        <f>ROUND('Data Entry - SOF'!M34*Weights!L21*ROUND('Calc Data'!AO23,0),0)</f>
        <v>0</v>
      </c>
      <c r="I24" s="4202">
        <f>IF('Data Entry - SOF'!M34=0,0,ROUND('Data Entry - SOF'!M34*'Weights-HB3'!H18*(Assumptions!H127+'Calc Data'!G95),0))</f>
        <v>0</v>
      </c>
      <c r="J24" s="4203">
        <f>ROUND('Data Entry - SOF'!M34*Weights!L21*ROUND('Calc Data'!AK78,0),0)</f>
        <v>0</v>
      </c>
      <c r="K24" s="4195"/>
      <c r="AL24" s="4200" t="e">
        <f>ROUND('Data Entry - SOF'!#REF!*1.1*ROUND('Calc Data'!AC23,0),0)</f>
        <v>#REF!</v>
      </c>
    </row>
    <row r="25" spans="2:38" ht="15">
      <c r="B25" s="4173">
        <v>23</v>
      </c>
      <c r="C25" s="4157" t="s">
        <v>8778</v>
      </c>
      <c r="D25" s="4150" t="s">
        <v>92</v>
      </c>
      <c r="F25" s="4166">
        <f>ROUND((+'Data Entry - SOF'!M32*Weights!L19)*ROUND('Calc Data'!G23,0),0)</f>
        <v>0</v>
      </c>
      <c r="G25" s="4166"/>
      <c r="H25" s="4192">
        <f>ROUND((+'Data Entry - SOF'!M32*Weights!L19)*ROUND('Calc Data'!AO23,0),0)</f>
        <v>0</v>
      </c>
      <c r="I25" s="4193">
        <f>IF('Data Entry - SOF'!M32=0,0,ROUND(('Data Entry - SOF'!M32*'Weights-HB3'!H16)*(Assumptions!H127+'Calc Data'!G95),0))</f>
        <v>0</v>
      </c>
      <c r="J25" s="4194">
        <f>ROUND((+'Data Entry - SOF'!M32*Weights!L19)*ROUND('Calc Data'!AK78,0),0)</f>
        <v>0</v>
      </c>
      <c r="K25" s="4195"/>
      <c r="AL25" s="4166" t="e">
        <f>ROUND((+'Data Entry - SOF'!#REF!*4)*ROUND('Calc Data'!AC23,0),0)</f>
        <v>#REF!</v>
      </c>
    </row>
    <row r="26" spans="2:38" ht="15">
      <c r="B26" s="4173">
        <v>23</v>
      </c>
      <c r="C26" s="4157" t="s">
        <v>8778</v>
      </c>
      <c r="D26" s="4204" t="s">
        <v>812</v>
      </c>
      <c r="F26" s="4166">
        <f>ROUND((+'Data Entry - SOF'!M30*Weights!L17)*ROUND('Calc Data'!G23,0),0)</f>
        <v>0</v>
      </c>
      <c r="G26" s="4166"/>
      <c r="H26" s="4192">
        <f>ROUND((+'Data Entry - SOF'!M30*Weights!L17)*ROUND('Calc Data'!AO23,0),0)</f>
        <v>0</v>
      </c>
      <c r="I26" s="4193">
        <f>IF('Data Entry - SOF'!M30=0,0,ROUND((+'Data Entry - SOF'!M30*'Weights-HB3'!H14)*Assumptions!H127+'Calc Data'!G95,0))</f>
        <v>0</v>
      </c>
      <c r="J26" s="4194">
        <f>ROUND((+'Data Entry - SOF'!M30*Weights!L17)*ROUND('Calc Data'!AK78,0),0)</f>
        <v>0</v>
      </c>
      <c r="K26" s="4195"/>
      <c r="AL26" s="4166" t="e">
        <f>ROUND((+'Data Entry - SOF'!#REF!*2.8)*ROUND('Calc Data'!AC23,0),0)</f>
        <v>#REF!</v>
      </c>
    </row>
    <row r="27" spans="2:38" ht="15">
      <c r="B27" s="4173">
        <v>23</v>
      </c>
      <c r="C27" s="4157" t="s">
        <v>8778</v>
      </c>
      <c r="D27" s="4204" t="s">
        <v>813</v>
      </c>
      <c r="F27" s="4166">
        <f>ROUND(('Data Entry - SOF'!M31*Weights!L18)*ROUND('Calc Data'!G23,0),0)</f>
        <v>0</v>
      </c>
      <c r="G27" s="4166"/>
      <c r="H27" s="4192">
        <f>ROUND(('Data Entry - SOF'!M31*Weights!L18)*ROUND('Calc Data'!AO23,0),0)</f>
        <v>0</v>
      </c>
      <c r="I27" s="4193">
        <f>IF('Data Entry - SOF'!M31=0,0,ROUND(('Data Entry - SOF'!M31*'Weights-HB3'!H15)*(Assumptions!H127+'Calc Data'!G95),0))</f>
        <v>0</v>
      </c>
      <c r="J27" s="4194">
        <f>ROUND(('Data Entry - SOF'!M31*Weights!L18)*ROUND('Calc Data'!AK78,0),0)</f>
        <v>0</v>
      </c>
      <c r="K27" s="4195"/>
      <c r="AL27" s="4166" t="e">
        <f>ROUND(('Data Entry - SOF'!#REF!*1.7)*ROUND('Calc Data'!AC23,0),0)</f>
        <v>#REF!</v>
      </c>
    </row>
    <row r="28" spans="2:38" ht="15">
      <c r="B28" s="4173"/>
      <c r="C28" s="4157" t="s">
        <v>8778</v>
      </c>
      <c r="D28" s="4150" t="s">
        <v>1145</v>
      </c>
      <c r="F28" s="4166">
        <f>IF('Data Entry - SOF'!M114&lt;0,'Data Entry - SOF'!M114,'Data Entry - SOF'!M114*-1)</f>
        <v>0</v>
      </c>
      <c r="G28" s="4166"/>
      <c r="H28" s="4192">
        <f>IF('Data Entry - SOF'!M114&lt;0,'Data Entry - SOF'!M114,'Data Entry - SOF'!M114*-1)</f>
        <v>0</v>
      </c>
      <c r="I28" s="4193">
        <f>IF('Data Entry - SOF'!M116&lt;0,'Data Entry - SOF'!M116,'Data Entry - SOF'!M116*-1)</f>
        <v>0</v>
      </c>
      <c r="J28" s="4205">
        <f>H28</f>
        <v>0</v>
      </c>
      <c r="K28" s="4195"/>
      <c r="AL28" s="4166">
        <v>0</v>
      </c>
    </row>
    <row r="29" spans="2:38" ht="15">
      <c r="B29" s="4173">
        <v>22</v>
      </c>
      <c r="C29" s="4157" t="s">
        <v>8778</v>
      </c>
      <c r="D29" s="4150" t="s">
        <v>2834</v>
      </c>
      <c r="F29" s="4166">
        <f>ROUND(ROUND('Calc Data'!G23,0)*'Data Entry - SOF'!M35*Weights!L23,0)</f>
        <v>0</v>
      </c>
      <c r="G29" s="4166"/>
      <c r="H29" s="4192">
        <f>ROUND(ROUND('Calc Data'!AO23,0)*'Data Entry - SOF'!M35*Weights!L23,0)</f>
        <v>0</v>
      </c>
      <c r="I29" s="4193" t="e">
        <f>ROUND(Assumptions!H127*'Data Entry - SOF'!M36*'Weights-HB3'!H20,0)</f>
        <v>#DIV/0!</v>
      </c>
      <c r="J29" s="4194">
        <f>ROUND(ROUND('Calc Data'!AK78,0)*'Data Entry - SOF'!M35*Weights!L23,0)</f>
        <v>0</v>
      </c>
      <c r="K29" s="4195"/>
      <c r="AL29" s="4166" t="e">
        <f>ROUND(ROUND('Calc Data'!AC23,0)*'Data Entry - SOF'!#REF!*1.35,0)</f>
        <v>#REF!</v>
      </c>
    </row>
    <row r="30" spans="2:38" ht="15">
      <c r="B30" s="4173"/>
      <c r="C30" s="4157" t="s">
        <v>8778</v>
      </c>
      <c r="D30" s="4196" t="s">
        <v>644</v>
      </c>
      <c r="F30" s="4166">
        <f>Weights!L24*'Data Entry - SOF'!M37</f>
        <v>0</v>
      </c>
      <c r="G30" s="4166"/>
      <c r="H30" s="4192">
        <f>Weights!L24*'Data Entry - SOF'!M37</f>
        <v>0</v>
      </c>
      <c r="I30" s="4193">
        <f>ROUND('Weights-HB3'!H21*'Data Entry - SOF'!M37,0)</f>
        <v>0</v>
      </c>
      <c r="J30" s="4205">
        <f>H30</f>
        <v>0</v>
      </c>
      <c r="K30" s="4195"/>
      <c r="AL30" s="4166"/>
    </row>
    <row r="31" spans="2:38" ht="15" hidden="1">
      <c r="B31" s="4173"/>
      <c r="C31" s="4157" t="s">
        <v>8778</v>
      </c>
      <c r="D31" s="4196" t="s">
        <v>645</v>
      </c>
      <c r="F31" s="4166" t="e">
        <f>400*'Data Entry - SOF'!M39</f>
        <v>#DIV/0!</v>
      </c>
      <c r="G31" s="4166"/>
      <c r="H31" s="4192" t="e">
        <f>400*'Data Entry - SOF'!M39</f>
        <v>#DIV/0!</v>
      </c>
      <c r="I31" s="4198"/>
      <c r="J31" s="4206"/>
      <c r="K31" s="4195"/>
      <c r="AL31" s="4166"/>
    </row>
    <row r="32" spans="2:38" ht="15" hidden="1">
      <c r="B32" s="4173"/>
      <c r="C32" s="4157" t="s">
        <v>8778</v>
      </c>
      <c r="D32" s="4196" t="s">
        <v>646</v>
      </c>
      <c r="F32" s="4166" t="e">
        <f>80*'Data Entry - SOF'!M40</f>
        <v>#DIV/0!</v>
      </c>
      <c r="G32" s="4166"/>
      <c r="H32" s="4192" t="e">
        <f>80*'Data Entry - SOF'!M40</f>
        <v>#DIV/0!</v>
      </c>
      <c r="I32" s="4198"/>
      <c r="J32" s="4206"/>
      <c r="K32" s="4195"/>
      <c r="AL32" s="4166"/>
    </row>
    <row r="33" spans="2:38" ht="15">
      <c r="B33" s="4173">
        <v>21</v>
      </c>
      <c r="C33" s="4157" t="s">
        <v>8778</v>
      </c>
      <c r="D33" s="4150" t="s">
        <v>2838</v>
      </c>
      <c r="F33" s="4166">
        <f>ROUND(ROUND('Calc Data'!G23,0)*'Data Entry - SOF'!M211*Weights!L28,0)</f>
        <v>0</v>
      </c>
      <c r="G33" s="4166"/>
      <c r="H33" s="4192">
        <f>ROUND(ROUND('Calc Data'!AO23,0)*'Data Entry - SOF'!M211*Weights!L28,0)</f>
        <v>0</v>
      </c>
      <c r="I33" s="4207"/>
      <c r="J33" s="4194">
        <f>ROUND(ROUND('Calc Data'!AK78,0)*'Data Entry - SOF'!M211*Weights!L28,0)</f>
        <v>0</v>
      </c>
      <c r="K33" s="4195"/>
      <c r="AL33" s="4166" t="e">
        <f>ROUND(ROUND('Calc Data'!AC23,0)*'Data Entry - SOF'!#REF!*0.12,0)</f>
        <v>#REF!</v>
      </c>
    </row>
    <row r="34" spans="2:38" ht="15">
      <c r="B34" s="4173"/>
      <c r="C34" s="4157" t="s">
        <v>8778</v>
      </c>
      <c r="D34" s="4150" t="s">
        <v>397</v>
      </c>
      <c r="F34" s="4166">
        <f>IF('Data Entry - SOF'!M113&lt;0,'Data Entry - SOF'!M113,'Data Entry - SOF'!M113*-1)</f>
        <v>0</v>
      </c>
      <c r="G34" s="4166"/>
      <c r="H34" s="4192">
        <f>IF('Data Entry - SOF'!M113&lt;0,'Data Entry - SOF'!M113,'Data Entry - SOF'!M113*-1)</f>
        <v>0</v>
      </c>
      <c r="I34" s="4193">
        <f>IF('Data Entry - SOF'!M115&lt;0,'Data Entry - SOF'!M115,'Data Entry - SOF'!M115*-1)</f>
        <v>0</v>
      </c>
      <c r="J34" s="4205">
        <f>H34</f>
        <v>0</v>
      </c>
      <c r="K34" s="4195"/>
      <c r="AL34" s="4166">
        <v>0</v>
      </c>
    </row>
    <row r="35" spans="2:38" ht="15">
      <c r="B35" s="4173" t="s">
        <v>2497</v>
      </c>
      <c r="C35" s="4185" t="s">
        <v>8778</v>
      </c>
      <c r="D35" s="4208" t="s">
        <v>3041</v>
      </c>
      <c r="E35" s="4187"/>
      <c r="F35" s="4189">
        <f>ROUND(ROUND('Calc Data'!G23,0)*'Data Entry - SOF'!M41*Weights!L30,0)</f>
        <v>0</v>
      </c>
      <c r="G35" s="4189"/>
      <c r="H35" s="4192">
        <f>ROUND(ROUND('Calc Data'!AO23,0)*'Data Entry - SOF'!M41*Weights!L30,0)</f>
        <v>0</v>
      </c>
      <c r="I35" s="4207"/>
      <c r="J35" s="4194">
        <f>ROUND(ROUND('Calc Data'!AK78,0)*'Data Entry - SOF'!M41*Weights!L30,0)</f>
        <v>0</v>
      </c>
      <c r="K35" s="4195"/>
      <c r="AL35" s="4166" t="e">
        <f>ROUND(ROUND('Calc Data'!AC23,0)*'Data Entry - SOF'!#REF!*0.2,0)</f>
        <v>#REF!</v>
      </c>
    </row>
    <row r="36" spans="2:38" ht="15">
      <c r="B36" s="4173"/>
      <c r="C36" s="4185" t="s">
        <v>8778</v>
      </c>
      <c r="D36" s="4186" t="s">
        <v>8845</v>
      </c>
      <c r="E36" s="4187"/>
      <c r="F36" s="4189"/>
      <c r="G36" s="4189"/>
      <c r="H36" s="4192"/>
      <c r="I36" s="4207" t="e">
        <f>ROUND(Assumptions!H127*'Data Entry - SOF'!M42*'Weights-HB3'!H31,0)</f>
        <v>#DIV/0!</v>
      </c>
      <c r="J36" s="4194"/>
      <c r="K36" s="4191"/>
      <c r="AL36" s="4166"/>
    </row>
    <row r="37" spans="2:38" ht="15">
      <c r="B37" s="4173"/>
      <c r="C37" s="4185" t="s">
        <v>8778</v>
      </c>
      <c r="D37" s="4186" t="s">
        <v>8846</v>
      </c>
      <c r="E37" s="4187"/>
      <c r="F37" s="4189"/>
      <c r="G37" s="4189"/>
      <c r="H37" s="4192"/>
      <c r="I37" s="4207" t="e">
        <f>ROUND(Assumptions!H127*'Data Entry - SOF'!M43*'Weights-HB3'!H32,0)</f>
        <v>#DIV/0!</v>
      </c>
      <c r="J37" s="4194"/>
      <c r="K37" s="4191"/>
      <c r="AL37" s="4166"/>
    </row>
    <row r="38" spans="2:38" ht="15">
      <c r="B38" s="4173"/>
      <c r="C38" s="4185" t="s">
        <v>8778</v>
      </c>
      <c r="D38" s="4186" t="s">
        <v>8874</v>
      </c>
      <c r="E38" s="4187"/>
      <c r="F38" s="4189"/>
      <c r="G38" s="4189"/>
      <c r="H38" s="4192"/>
      <c r="I38" s="4207" t="e">
        <f>ROUND(Assumptions!H127*'Data Entry - SOF'!M44*'Weights-HB3'!H33,0)</f>
        <v>#DIV/0!</v>
      </c>
      <c r="J38" s="4194"/>
      <c r="K38" s="4191"/>
      <c r="AL38" s="4166"/>
    </row>
    <row r="39" spans="2:38" ht="15">
      <c r="B39" s="4173"/>
      <c r="C39" s="4185" t="s">
        <v>8778</v>
      </c>
      <c r="D39" s="4186" t="s">
        <v>8875</v>
      </c>
      <c r="E39" s="4187"/>
      <c r="F39" s="4189"/>
      <c r="G39" s="4189"/>
      <c r="H39" s="4192"/>
      <c r="I39" s="4207" t="e">
        <f>ROUND(Assumptions!H127*'Data Entry - SOF'!M45*'Weights-HB3'!H34,0)</f>
        <v>#DIV/0!</v>
      </c>
      <c r="J39" s="4194"/>
      <c r="K39" s="4191"/>
      <c r="AL39" s="4166"/>
    </row>
    <row r="40" spans="2:38" ht="15">
      <c r="B40" s="4173"/>
      <c r="C40" s="4185" t="s">
        <v>8778</v>
      </c>
      <c r="D40" s="4186" t="s">
        <v>8876</v>
      </c>
      <c r="E40" s="4187"/>
      <c r="F40" s="4189"/>
      <c r="G40" s="4189"/>
      <c r="H40" s="4192"/>
      <c r="I40" s="4207" t="e">
        <f>ROUND(Assumptions!H127*'Data Entry - SOF'!M46*'Weights-HB3'!H35,0)</f>
        <v>#DIV/0!</v>
      </c>
      <c r="J40" s="4194"/>
      <c r="K40" s="4191"/>
      <c r="AL40" s="4166"/>
    </row>
    <row r="41" spans="2:38" ht="15">
      <c r="B41" s="4173"/>
      <c r="C41" s="4185" t="s">
        <v>8778</v>
      </c>
      <c r="D41" s="4186" t="s">
        <v>8877</v>
      </c>
      <c r="E41" s="4187"/>
      <c r="F41" s="4189"/>
      <c r="G41" s="4189"/>
      <c r="H41" s="4192"/>
      <c r="I41" s="4207" t="e">
        <f>ROUND(Assumptions!H127*'Data Entry - SOF'!M47*'Weights-HB3'!H36,0)</f>
        <v>#DIV/0!</v>
      </c>
      <c r="J41" s="4194"/>
      <c r="K41" s="4191"/>
      <c r="AL41" s="4166"/>
    </row>
    <row r="42" spans="2:38" ht="15">
      <c r="B42" s="4173"/>
      <c r="C42" s="4185" t="s">
        <v>8778</v>
      </c>
      <c r="D42" s="4186" t="s">
        <v>8878</v>
      </c>
      <c r="E42" s="4187"/>
      <c r="F42" s="4189"/>
      <c r="G42" s="4189"/>
      <c r="H42" s="4192"/>
      <c r="I42" s="4207" t="e">
        <f>ROUND(Assumptions!H127*'Data Entry - SOF'!M48*'Weights-HB3'!H37,0)</f>
        <v>#DIV/0!</v>
      </c>
      <c r="J42" s="4194"/>
      <c r="K42" s="4191"/>
      <c r="AL42" s="4166"/>
    </row>
    <row r="43" spans="2:38" ht="15">
      <c r="B43" s="4173" t="s">
        <v>2497</v>
      </c>
      <c r="C43" s="4157" t="s">
        <v>8778</v>
      </c>
      <c r="D43" s="4150" t="s">
        <v>399</v>
      </c>
      <c r="F43" s="4166">
        <f>ROUND(ROUND('Calc Data'!G23,0)*'Data Entry - SOF'!M49*Weights!L31,0)</f>
        <v>0</v>
      </c>
      <c r="G43" s="4166"/>
      <c r="H43" s="4192">
        <f>ROUND(ROUND('Calc Data'!AO23,0)*'Data Entry - SOF'!M49*Weights!L31,0)</f>
        <v>0</v>
      </c>
      <c r="I43" s="4193" t="e">
        <f>ROUND(Assumptions!H127*'Data Entry - SOF'!M49*'Weights-HB3'!H40,0)</f>
        <v>#DIV/0!</v>
      </c>
      <c r="J43" s="4194">
        <f>ROUND(ROUND('Calc Data'!AK78,0)*'Data Entry - SOF'!M49*Weights!L31,0)</f>
        <v>0</v>
      </c>
      <c r="K43" s="4195"/>
      <c r="AL43" s="4166" t="e">
        <f>ROUND(ROUND('Calc Data'!AC23,0)*'Data Entry - SOF'!#REF!*2.41,0)</f>
        <v>#REF!</v>
      </c>
    </row>
    <row r="44" spans="2:38" ht="15" hidden="1">
      <c r="B44" s="4173" t="s">
        <v>2497</v>
      </c>
      <c r="C44" s="4157" t="s">
        <v>8778</v>
      </c>
      <c r="D44" s="4179" t="s">
        <v>451</v>
      </c>
      <c r="E44" s="4209"/>
      <c r="F44" s="4166">
        <f>650*'Data Entry - SOF'!M50</f>
        <v>0</v>
      </c>
      <c r="G44" s="4166"/>
      <c r="H44" s="4192">
        <f>650*'Data Entry - SOF'!M50</f>
        <v>0</v>
      </c>
      <c r="I44" s="4198"/>
      <c r="J44" s="4206"/>
      <c r="K44" s="4195"/>
      <c r="AL44" s="4166"/>
    </row>
    <row r="45" spans="2:38" ht="15" hidden="1">
      <c r="B45" s="4173"/>
      <c r="C45" s="4157" t="s">
        <v>8778</v>
      </c>
      <c r="D45" s="4150" t="s">
        <v>1229</v>
      </c>
      <c r="F45" s="4210">
        <v>0</v>
      </c>
      <c r="G45" s="4166"/>
      <c r="H45" s="4211">
        <v>0</v>
      </c>
      <c r="I45" s="4198"/>
      <c r="J45" s="4206"/>
      <c r="K45" s="4195"/>
      <c r="AL45" s="4166">
        <v>0</v>
      </c>
    </row>
    <row r="46" spans="2:38" ht="15">
      <c r="B46" s="4173">
        <v>25</v>
      </c>
      <c r="C46" s="4157" t="s">
        <v>8778</v>
      </c>
      <c r="D46" s="4150" t="s">
        <v>8830</v>
      </c>
      <c r="F46" s="4166">
        <f>ROUND(ROUND('Calc Data'!G23,0)*('Data Entry - SOF'!M51*Weights!L26),0)</f>
        <v>0</v>
      </c>
      <c r="G46" s="4166"/>
      <c r="H46" s="4192">
        <f>ROUND(ROUND('Calc Data'!AO23,0)*('Data Entry - SOF'!M51*Weights!L26),0)</f>
        <v>0</v>
      </c>
      <c r="I46" s="4193" t="e">
        <f>ROUND(Assumptions!H127*'Data Entry - SOF'!M52*'Weights-HB3'!H23,0)</f>
        <v>#DIV/0!</v>
      </c>
      <c r="J46" s="4194">
        <f>ROUND(ROUND('Calc Data'!AK78,0)*('Data Entry - SOF'!M51*Weights!L26),0)</f>
        <v>0</v>
      </c>
      <c r="K46" s="4195"/>
      <c r="AL46" s="4166" t="e">
        <f>ROUND(ROUND('Calc Data'!AC23,0)*('Data Entry - SOF'!#REF!*0.1),0)</f>
        <v>#REF!</v>
      </c>
    </row>
    <row r="47" spans="2:38" ht="15">
      <c r="B47" s="4173"/>
      <c r="C47" s="4185" t="s">
        <v>8778</v>
      </c>
      <c r="D47" s="4208" t="s">
        <v>8831</v>
      </c>
      <c r="E47" s="4187"/>
      <c r="F47" s="4189"/>
      <c r="G47" s="4189"/>
      <c r="H47" s="4192"/>
      <c r="I47" s="4193" t="e">
        <f>ROUND(Assumptions!H127*'Data Entry - SOF'!M53*'Weights-HB3'!H24,0)</f>
        <v>#DIV/0!</v>
      </c>
      <c r="J47" s="4194"/>
      <c r="K47" s="4191"/>
      <c r="AL47" s="4166"/>
    </row>
    <row r="48" spans="2:38" ht="15">
      <c r="B48" s="4173"/>
      <c r="C48" s="4185" t="s">
        <v>8778</v>
      </c>
      <c r="D48" s="4208" t="s">
        <v>8832</v>
      </c>
      <c r="E48" s="4187"/>
      <c r="F48" s="4189"/>
      <c r="G48" s="4189"/>
      <c r="H48" s="4192"/>
      <c r="I48" s="4193" t="e">
        <f>ROUND(Assumptions!H127*'Data Entry - SOF'!M54*'Weights-HB3'!H25,0)</f>
        <v>#DIV/0!</v>
      </c>
      <c r="J48" s="4194"/>
      <c r="K48" s="4191"/>
      <c r="AL48" s="4166"/>
    </row>
    <row r="49" spans="2:38" ht="15">
      <c r="B49" s="4173"/>
      <c r="C49" s="4185" t="s">
        <v>8778</v>
      </c>
      <c r="D49" s="4208" t="s">
        <v>8775</v>
      </c>
      <c r="E49" s="4187"/>
      <c r="F49" s="4189"/>
      <c r="G49" s="4189"/>
      <c r="H49" s="4192"/>
      <c r="I49" s="4193" t="e">
        <f>ROUND(Assumptions!H127*'Data Entry - SOF'!M55*'Weights-HB3'!H69,0)</f>
        <v>#DIV/0!</v>
      </c>
      <c r="J49" s="4194"/>
      <c r="K49" s="4191"/>
      <c r="AL49" s="4166"/>
    </row>
    <row r="50" spans="2:38" ht="15">
      <c r="B50" s="4173"/>
      <c r="C50" s="4185" t="s">
        <v>8778</v>
      </c>
      <c r="D50" s="4208" t="s">
        <v>9038</v>
      </c>
      <c r="E50" s="4187"/>
      <c r="F50" s="4189"/>
      <c r="G50" s="4189"/>
      <c r="H50" s="4192"/>
      <c r="I50" s="4193" t="e">
        <f>Assumptions!H127*'Data Entry - SOF'!M56*'Weights-HB3'!H71</f>
        <v>#DIV/0!</v>
      </c>
      <c r="J50" s="4194"/>
      <c r="K50" s="4191"/>
      <c r="AL50" s="4166"/>
    </row>
    <row r="51" spans="2:38" ht="15">
      <c r="B51" s="4173"/>
      <c r="C51" s="4185" t="s">
        <v>8778</v>
      </c>
      <c r="D51" s="4208" t="s">
        <v>9378</v>
      </c>
      <c r="E51" s="4187"/>
      <c r="F51" s="4189"/>
      <c r="G51" s="4189"/>
      <c r="H51" s="4192"/>
      <c r="I51" s="4193">
        <f>('Data Entry - SOF'!M57*'Weights-HB3'!G110)+('Data Entry - SOF'!M58*'Weights-HB3'!G111)+('Data Entry - SOF'!M59*'Weights-HB3'!G112)</f>
        <v>0</v>
      </c>
      <c r="J51" s="4194"/>
      <c r="K51" s="4191"/>
      <c r="AL51" s="4166"/>
    </row>
    <row r="52" spans="2:38" ht="15">
      <c r="B52" s="4173">
        <v>31</v>
      </c>
      <c r="C52" s="4157" t="s">
        <v>8778</v>
      </c>
      <c r="D52" s="4196" t="s">
        <v>2435</v>
      </c>
      <c r="F52" s="4166">
        <f>Weights!L33*'Data Entry - SOF'!M21</f>
        <v>0</v>
      </c>
      <c r="G52" s="4166"/>
      <c r="H52" s="4192">
        <f>Weights!L33*'Data Entry - SOF'!M21</f>
        <v>0</v>
      </c>
      <c r="I52" s="4207"/>
      <c r="J52" s="4205">
        <f>H52</f>
        <v>0</v>
      </c>
      <c r="K52" s="4195"/>
      <c r="AL52" s="4166" t="e">
        <f>#REF!</f>
        <v>#REF!</v>
      </c>
    </row>
    <row r="53" spans="2:38" ht="15">
      <c r="B53" s="4173"/>
      <c r="C53" s="4157" t="s">
        <v>8778</v>
      </c>
      <c r="D53" s="4150" t="s">
        <v>872</v>
      </c>
      <c r="F53" s="4166">
        <f>ROUND(ROUND('Calc Data'!G23,0)*'Data Entry - SOF'!M61*Weights!L37,0)</f>
        <v>0</v>
      </c>
      <c r="G53" s="4166"/>
      <c r="H53" s="4192">
        <f>ROUND(ROUND('Calc Data'!AO23,0)*'Data Entry - SOF'!M61*Weights!L37,0)</f>
        <v>0</v>
      </c>
      <c r="I53" s="4212" t="e">
        <f>ROUND(Assumptions!H127*'Data Entry - SOF'!M61*'Weights-HB3'!H46,0)</f>
        <v>#DIV/0!</v>
      </c>
      <c r="J53" s="4194">
        <f>ROUND(ROUND('Calc Data'!AK78,0)*'Data Entry - SOF'!M61*Weights!L37,0)</f>
        <v>0</v>
      </c>
      <c r="K53" s="4195"/>
      <c r="AL53" s="4166" t="e">
        <f>ROUND(ROUND('Calc Data'!AC23,0)*'Data Entry - SOF'!#REF!*0.1,0)</f>
        <v>#REF!</v>
      </c>
    </row>
    <row r="54" spans="2:38" ht="15">
      <c r="B54" s="4173"/>
      <c r="C54" s="4185" t="s">
        <v>8778</v>
      </c>
      <c r="D54" s="4208" t="s">
        <v>8942</v>
      </c>
      <c r="E54" s="4187"/>
      <c r="F54" s="4189"/>
      <c r="G54" s="4189"/>
      <c r="H54" s="4192"/>
      <c r="I54" s="4212">
        <f>IF('Data Entry - SOF'!M160="Y",'Weights-HB3'!H114*'Data Entry - SOF'!M19*Assumptions!H127,0)</f>
        <v>0</v>
      </c>
      <c r="J54" s="4194"/>
      <c r="K54" s="4191"/>
      <c r="AL54" s="4166"/>
    </row>
    <row r="55" spans="2:38" ht="15">
      <c r="B55" s="4173"/>
      <c r="C55" s="4185" t="s">
        <v>8778</v>
      </c>
      <c r="D55" s="4208" t="s">
        <v>9025</v>
      </c>
      <c r="E55" s="4187"/>
      <c r="F55" s="4189"/>
      <c r="G55" s="4189"/>
      <c r="H55" s="4192"/>
      <c r="I55" s="4212">
        <v>0</v>
      </c>
      <c r="J55" s="4194"/>
      <c r="K55" s="4191"/>
      <c r="L55" s="4196" t="s">
        <v>9036</v>
      </c>
      <c r="AL55" s="4166"/>
    </row>
    <row r="56" spans="2:38" ht="15">
      <c r="B56" s="4173"/>
      <c r="C56" s="4185" t="s">
        <v>8778</v>
      </c>
      <c r="D56" s="4208" t="s">
        <v>9026</v>
      </c>
      <c r="E56" s="4187"/>
      <c r="F56" s="4189"/>
      <c r="G56" s="4189"/>
      <c r="H56" s="4192"/>
      <c r="I56" s="4212">
        <v>0</v>
      </c>
      <c r="J56" s="4194"/>
      <c r="K56" s="4191"/>
      <c r="L56" s="4196" t="s">
        <v>9036</v>
      </c>
      <c r="AL56" s="4166"/>
    </row>
    <row r="57" spans="2:38" ht="15">
      <c r="B57" s="4173"/>
      <c r="C57" s="4185" t="s">
        <v>8778</v>
      </c>
      <c r="D57" s="4208" t="s">
        <v>9088</v>
      </c>
      <c r="E57" s="4187"/>
      <c r="F57" s="4189"/>
      <c r="G57" s="4189"/>
      <c r="H57" s="4192"/>
      <c r="I57" s="4212">
        <f>'Data Entry - SOF'!M19*'Weights-HB3'!H65</f>
        <v>0</v>
      </c>
      <c r="J57" s="4194"/>
      <c r="K57" s="4191"/>
      <c r="L57" s="4196"/>
      <c r="AL57" s="4166"/>
    </row>
    <row r="58" spans="2:38" ht="15">
      <c r="B58" s="4173"/>
      <c r="C58" s="4185" t="s">
        <v>8778</v>
      </c>
      <c r="D58" s="4208" t="s">
        <v>9379</v>
      </c>
      <c r="E58" s="4187"/>
      <c r="F58" s="4189"/>
      <c r="G58" s="4189"/>
      <c r="H58" s="4192">
        <f>'Data Entry - SOF'!M125</f>
        <v>0</v>
      </c>
      <c r="I58" s="4212">
        <f>H58</f>
        <v>0</v>
      </c>
      <c r="J58" s="4194"/>
      <c r="K58" s="4191"/>
      <c r="L58" s="4196"/>
      <c r="AL58" s="4166"/>
    </row>
    <row r="59" spans="2:38" ht="15">
      <c r="B59" s="4173"/>
      <c r="C59" s="4157" t="s">
        <v>8779</v>
      </c>
      <c r="D59" s="4196" t="s">
        <v>3839</v>
      </c>
      <c r="F59" s="4213">
        <f>'Data Entry - SOF'!M62*Weights!L35</f>
        <v>0</v>
      </c>
      <c r="G59" s="4166"/>
      <c r="H59" s="4214">
        <f>'Data Entry - SOF'!M62*Weights!L50</f>
        <v>0</v>
      </c>
      <c r="I59" s="4207">
        <f>'Data Entry - SOF'!M62*'Weights-HB3'!H44</f>
        <v>0</v>
      </c>
      <c r="J59" s="4205">
        <f>H59</f>
        <v>0</v>
      </c>
      <c r="K59" s="4195"/>
      <c r="AL59" s="4166" t="e">
        <f>'Data Entry - SOF'!#REF!*250</f>
        <v>#REF!</v>
      </c>
    </row>
    <row r="60" spans="2:38" ht="15">
      <c r="B60" s="4173">
        <v>99</v>
      </c>
      <c r="C60" s="4157" t="s">
        <v>8779</v>
      </c>
      <c r="D60" s="4150" t="s">
        <v>8834</v>
      </c>
      <c r="F60" s="4215">
        <f>'Data Entry - SOF'!M104</f>
        <v>0</v>
      </c>
      <c r="G60" s="4166"/>
      <c r="H60" s="4192">
        <f>'Data Entry - SOF'!M104</f>
        <v>0</v>
      </c>
      <c r="I60" s="4207">
        <f>('Data Entry - SOF'!M105*'Weights-HB3'!H67)+'Data Entry - SOF'!M106+'Data Entry - SOF'!M107+'Data Entry - SOF'!M108</f>
        <v>0</v>
      </c>
      <c r="J60" s="4216">
        <f>H60</f>
        <v>0</v>
      </c>
      <c r="K60" s="4217"/>
      <c r="AL60" s="4215" t="e">
        <f>'Data Entry - SOF'!#REF!</f>
        <v>#REF!</v>
      </c>
    </row>
    <row r="61" spans="2:38" ht="15" hidden="1">
      <c r="B61" s="4173"/>
      <c r="C61" s="4185" t="s">
        <v>8779</v>
      </c>
      <c r="D61" s="4208" t="s">
        <v>8851</v>
      </c>
      <c r="E61" s="4187"/>
      <c r="F61" s="4189"/>
      <c r="G61" s="4189"/>
      <c r="H61" s="4218"/>
      <c r="I61" s="4207"/>
      <c r="J61" s="4205"/>
      <c r="K61" s="4191"/>
      <c r="O61" s="4207" t="e">
        <f>IF('Data Entry - SOF'!M109="N",ROUND(Assumptions!H127*'Data Entry - SOF'!M48*'Weights-HB3'!H79,0),MAX(Assumptions!H127*'Data Entry - SOF'!M48*'Weights-HB3'!H79,Assumptions!H127*'Data Entry - SOF'!M19))</f>
        <v>#DIV/0!</v>
      </c>
      <c r="AL61" s="4166"/>
    </row>
    <row r="62" spans="2:38" ht="15" hidden="1">
      <c r="B62" s="4173"/>
      <c r="C62" s="4185" t="s">
        <v>8779</v>
      </c>
      <c r="D62" s="4208" t="s">
        <v>8780</v>
      </c>
      <c r="E62" s="4187"/>
      <c r="F62" s="4189"/>
      <c r="G62" s="4189"/>
      <c r="H62" s="4218"/>
      <c r="I62" s="4207"/>
      <c r="J62" s="4205"/>
      <c r="K62" s="4191"/>
      <c r="AL62" s="4166"/>
    </row>
    <row r="63" spans="2:38" ht="15">
      <c r="B63" s="4173"/>
      <c r="C63" s="4185" t="s">
        <v>8779</v>
      </c>
      <c r="D63" s="4208" t="s">
        <v>8963</v>
      </c>
      <c r="E63" s="4187"/>
      <c r="F63" s="4189"/>
      <c r="G63" s="4189"/>
      <c r="H63" s="4192"/>
      <c r="I63" s="4207">
        <f>'Data Entry - SOF'!M67*'Weights-HB3'!G120</f>
        <v>0</v>
      </c>
      <c r="J63" s="4205"/>
      <c r="K63" s="4191"/>
      <c r="AL63" s="4166"/>
    </row>
    <row r="64" spans="2:38" ht="15">
      <c r="B64" s="4173"/>
      <c r="C64" s="4185" t="s">
        <v>8779</v>
      </c>
      <c r="D64" s="4208" t="s">
        <v>8848</v>
      </c>
      <c r="E64" s="4187"/>
      <c r="F64" s="4189"/>
      <c r="G64" s="4189"/>
      <c r="H64" s="4192"/>
      <c r="I64" s="4207">
        <v>0</v>
      </c>
      <c r="J64" s="4205"/>
      <c r="K64" s="4191"/>
      <c r="L64" s="4196" t="s">
        <v>9036</v>
      </c>
      <c r="AL64" s="4166"/>
    </row>
    <row r="65" spans="2:38" ht="15">
      <c r="B65" s="4173"/>
      <c r="C65" s="4185" t="s">
        <v>8779</v>
      </c>
      <c r="D65" s="4208" t="s">
        <v>9035</v>
      </c>
      <c r="E65" s="4187"/>
      <c r="F65" s="4189"/>
      <c r="G65" s="4189"/>
      <c r="H65" s="4219"/>
      <c r="I65" s="4220">
        <v>0</v>
      </c>
      <c r="J65" s="4205"/>
      <c r="K65" s="4191"/>
      <c r="L65" s="4196" t="s">
        <v>9036</v>
      </c>
      <c r="AL65" s="4166"/>
    </row>
    <row r="66" spans="2:38" ht="15">
      <c r="D66" s="4150" t="s">
        <v>530</v>
      </c>
      <c r="F66" s="4166" t="e">
        <f>SUM(F20:F60)</f>
        <v>#DIV/0!</v>
      </c>
      <c r="G66" s="4166"/>
      <c r="H66" s="4192" t="e">
        <f>SUM(H20:H60)</f>
        <v>#DIV/0!</v>
      </c>
      <c r="I66" s="4221" t="e">
        <f>SUM(I20:I65)</f>
        <v>#DIV/0!</v>
      </c>
      <c r="J66" s="4222">
        <f>SUM(J20:J60)</f>
        <v>0</v>
      </c>
      <c r="K66" s="4223">
        <f>J66</f>
        <v>0</v>
      </c>
      <c r="L66" s="4224" t="e">
        <f>(I66-I59-I60-I63-I64-I65-I28)/Assumptions!H127</f>
        <v>#DIV/0!</v>
      </c>
      <c r="M66" s="4225" t="s">
        <v>8784</v>
      </c>
      <c r="AL66" s="4166" t="e">
        <f>SUM(AL20:AL60)</f>
        <v>#REF!</v>
      </c>
    </row>
    <row r="67" spans="2:38" ht="15">
      <c r="D67" s="4150" t="s">
        <v>786</v>
      </c>
      <c r="F67" s="4226">
        <f>IF('Data Entry - SOF'!M154&gt;1,1*('Data Entry - SOF'!M73/100),'Data Entry - SOF'!M154*('Data Entry - SOF'!M73/100))</f>
        <v>0</v>
      </c>
      <c r="G67" s="4227"/>
      <c r="H67" s="4228">
        <f>IF('Calc Data'!AO30&gt;1,1*('Data Entry - SOF'!K73/100),'Calc Data'!AO30*('Data Entry - SOF'!K73/100))</f>
        <v>0</v>
      </c>
      <c r="I67" s="4229" t="e">
        <f>('Data Entry - SOF'!M155/100)*'Data Entry - SOF'!M73</f>
        <v>#DIV/0!</v>
      </c>
      <c r="J67" s="4230">
        <f>IF('Calc Data'!AK85&gt;1,1*('Data Entry - SOF'!M73/100),'Calc Data'!AK85*('Data Entry - SOF'!M73/100))</f>
        <v>0</v>
      </c>
      <c r="K67" s="4231">
        <f>IF('Calc Data-15K'!AO30&gt;1,1*('Data Entry - SOF'!M74/100),'Calc Data-15K'!AO30*('Data Entry - SOF'!M74/100))</f>
        <v>0</v>
      </c>
      <c r="AL67" s="4226" t="e">
        <f>#REF!</f>
        <v>#REF!</v>
      </c>
    </row>
    <row r="68" spans="2:38" ht="15">
      <c r="D68" s="4150" t="s">
        <v>785</v>
      </c>
      <c r="F68" s="4227" t="e">
        <f>F66-F67</f>
        <v>#DIV/0!</v>
      </c>
      <c r="G68" s="4227"/>
      <c r="H68" s="4232" t="e">
        <f>H66-H67</f>
        <v>#DIV/0!</v>
      </c>
      <c r="I68" s="4221" t="e">
        <f>I66-I67</f>
        <v>#DIV/0!</v>
      </c>
      <c r="J68" s="4233">
        <f>J66-J67</f>
        <v>0</v>
      </c>
      <c r="K68" s="4223">
        <f>K66-K67</f>
        <v>0</v>
      </c>
      <c r="AL68" s="4227" t="e">
        <f>AL66-AL67</f>
        <v>#REF!</v>
      </c>
    </row>
    <row r="69" spans="2:38" ht="15">
      <c r="D69" s="4150"/>
      <c r="G69" s="4227"/>
      <c r="H69" s="4234"/>
      <c r="I69" s="4198"/>
      <c r="J69" s="4235"/>
      <c r="K69" s="4223"/>
      <c r="N69" s="4236"/>
      <c r="AL69" s="4227"/>
    </row>
    <row r="70" spans="2:38" ht="15">
      <c r="D70" s="4237" t="s">
        <v>8838</v>
      </c>
      <c r="G70" s="4227"/>
      <c r="H70" s="4234"/>
      <c r="I70" s="4198"/>
      <c r="J70" s="4235"/>
      <c r="K70" s="4223"/>
      <c r="N70" s="4236"/>
      <c r="AL70" s="4227"/>
    </row>
    <row r="71" spans="2:38" ht="15">
      <c r="D71" s="4150" t="s">
        <v>9024</v>
      </c>
      <c r="F71" s="4210" t="e">
        <f>IF(F68&lt;F110+F52+F59+F31+F32,F110+F52+F59+F31+F32,F68)</f>
        <v>#DIV/0!</v>
      </c>
      <c r="G71" s="4227"/>
      <c r="H71" s="4211" t="e">
        <f>IF(H68&lt;H110+H52+H59+H31+H32,H110+H52+H59+H31+H32,H68)</f>
        <v>#DIV/0!</v>
      </c>
      <c r="I71" s="4207" t="e">
        <f>IF(I68&lt;I110,I110,I68)</f>
        <v>#DIV/0!</v>
      </c>
      <c r="J71" s="4238">
        <f>IF(J68&lt;H110+J52+J59+J31+J32,H110+J52+J59+J31+J32,J68)</f>
        <v>0</v>
      </c>
      <c r="K71" s="4223">
        <f>IF(K68&lt;H110+J52+J59+J31+J32,H110+J52+J59+J31+J32,K68)</f>
        <v>0</v>
      </c>
    </row>
    <row r="72" spans="2:38" ht="15" hidden="1">
      <c r="D72" s="4150" t="s">
        <v>2273</v>
      </c>
      <c r="G72" s="4227" t="e">
        <f>ROUND(IF((24.7*'Calc Data'!#REF!*IF('Calc Data'!#REF!&gt;=0.64,0.64,'Calc Data'!#REF!)*100)&lt;'Calc Data'!#REF!,0,(24.7*'Calc Data'!#REF!*IF('Calc Data'!#REF!&gt;=0.64,0.64,'Calc Data'!#REF!)*100)-'Calc Data'!#REF!),0)</f>
        <v>#REF!</v>
      </c>
      <c r="H72" s="4232"/>
      <c r="I72" s="4239"/>
      <c r="J72" s="4240"/>
      <c r="K72" s="4223"/>
    </row>
    <row r="73" spans="2:38" ht="15">
      <c r="D73" s="4150"/>
      <c r="G73" s="4227"/>
      <c r="H73" s="4232"/>
      <c r="I73" s="4239"/>
      <c r="J73" s="4249"/>
      <c r="K73" s="4241"/>
    </row>
    <row r="74" spans="2:38" ht="15">
      <c r="D74" s="4665" t="s">
        <v>10156</v>
      </c>
      <c r="E74" s="4666"/>
      <c r="F74" s="4666"/>
      <c r="G74" s="4667"/>
      <c r="H74" s="4232"/>
      <c r="I74" s="4736" t="s">
        <v>10227</v>
      </c>
      <c r="J74" s="4240"/>
      <c r="K74" s="4241"/>
    </row>
    <row r="75" spans="2:38" ht="15">
      <c r="D75" s="4150" t="s">
        <v>8879</v>
      </c>
      <c r="G75" s="4227"/>
      <c r="H75" s="4232"/>
      <c r="I75" s="4207" t="e">
        <f>IF(I67&gt;I66-I110,I67-(I66-I110),0)</f>
        <v>#DIV/0!</v>
      </c>
      <c r="J75" s="4240"/>
      <c r="K75" s="4241"/>
    </row>
    <row r="76" spans="2:38" ht="15">
      <c r="D76" s="4150" t="s">
        <v>9117</v>
      </c>
      <c r="G76" s="4227"/>
      <c r="H76" s="4232"/>
      <c r="I76" s="4229" t="e">
        <f>IF(I75=0,0,IF('Calc Data'!G112-I75&lt;I66-I110,(I66-I110-('Calc Data'!G112-I75))*-1,0))</f>
        <v>#DIV/0!</v>
      </c>
      <c r="J76" s="4240"/>
      <c r="K76" s="4242"/>
    </row>
    <row r="77" spans="2:38" ht="15">
      <c r="D77" s="4243" t="s">
        <v>8880</v>
      </c>
      <c r="E77" s="4244"/>
      <c r="F77" s="4245"/>
      <c r="G77" s="4246"/>
      <c r="H77" s="4232"/>
      <c r="I77" s="4247" t="e">
        <f>IF(I75+I76&lt;=0,0,I75+I76)</f>
        <v>#DIV/0!</v>
      </c>
      <c r="J77" s="4240"/>
      <c r="K77" s="4242"/>
    </row>
    <row r="78" spans="2:38" ht="15">
      <c r="D78" s="4243" t="s">
        <v>9109</v>
      </c>
      <c r="E78" s="4244"/>
      <c r="F78" s="4244"/>
      <c r="G78" s="4248"/>
      <c r="H78" s="4232"/>
      <c r="I78" s="4207" t="e">
        <f>'Data Entry - SOF'!M136*(I77/'Data Entry - SOF'!M96)</f>
        <v>#DIV/0!</v>
      </c>
      <c r="J78" s="4249"/>
      <c r="K78" s="4242"/>
    </row>
    <row r="79" spans="2:38" ht="15">
      <c r="D79" s="4250" t="s">
        <v>9110</v>
      </c>
      <c r="E79" s="4251"/>
      <c r="F79" s="4251"/>
      <c r="G79" s="4252"/>
      <c r="H79" s="4253"/>
      <c r="I79" s="4254" t="e">
        <f>IF(I77-I78&lt;=0,0,I77-I78)</f>
        <v>#DIV/0!</v>
      </c>
      <c r="J79" s="4249"/>
      <c r="K79" s="4242"/>
    </row>
    <row r="80" spans="2:38" ht="15">
      <c r="D80" s="4150"/>
      <c r="G80" s="4227"/>
      <c r="H80" s="4255"/>
      <c r="I80" s="4198"/>
      <c r="J80" s="4235"/>
      <c r="K80" s="4242"/>
    </row>
    <row r="81" spans="3:13" ht="15">
      <c r="D81" s="4150" t="s">
        <v>8737</v>
      </c>
      <c r="F81" s="4227" t="e">
        <f>ROUND(IF((Assumptions!G119*'Calc Data'!G25*'Calc Data'!G35*100)&lt;'Calc Data'!G42,0,(Assumptions!G119*'Calc Data'!G25*'Calc Data'!G35*100)-'Calc Data'!G42),0)</f>
        <v>#DIV/0!</v>
      </c>
      <c r="G81" s="4227"/>
      <c r="H81" s="4255" t="e">
        <f>ROUND(IF((Assumptions!G128*'Calc Data'!G25*'Calc Data'!G35*100)&lt;'Calc Data'!G42,0,(Assumptions!G128*'Calc Data'!G25*'Calc Data'!G35*100)-'Calc Data'!G42),0)</f>
        <v>#DIV/0!</v>
      </c>
      <c r="I81" s="4256" t="e">
        <f>ROUND(IF((Assumptions!H128*L66*'Calc Data'!G104*100)&lt;'Calc Data'!G105,0,(Assumptions!H128*L66*'Calc Data'!G104*100)-'Calc Data'!G105),0)</f>
        <v>#DIV/0!</v>
      </c>
      <c r="J81" s="4257" t="e">
        <f>ROUND(IF((Assumptions!G119*'Calc Data'!G25*'Calc Data'!G81*100)&lt;'Calc Data'!G88,0,(Assumptions!G119*'Calc Data'!G25*'Calc Data'!G81*100)-'Calc Data'!G88),0)</f>
        <v>#DIV/0!</v>
      </c>
      <c r="K81" s="4258" t="e">
        <f>ROUND(IF((Assumptions!G79*'Calc Data-15K'!F25*'Calc Data-15K'!F81*100)&lt;'Calc Data-15K'!F88,0,(Assumptions!G79*'Calc Data-15K'!F25*'Calc Data-15K'!F81*100)-'Calc Data-15K'!F88),0)</f>
        <v>#DIV/0!</v>
      </c>
    </row>
    <row r="82" spans="3:13" ht="15">
      <c r="D82" s="4150" t="s">
        <v>8837</v>
      </c>
      <c r="F82" s="4259" t="e">
        <f>ROUND(IF((Assumptions!G120*'Calc Data'!G25*'Calc Data'!G38*100)&lt;'Calc Data'!G43,0,(Assumptions!G120*'Calc Data'!G25*'Calc Data'!G38*100)-'Calc Data'!G43),0)</f>
        <v>#DIV/0!</v>
      </c>
      <c r="G82" s="4227"/>
      <c r="H82" s="4260" t="e">
        <f>ROUND(IF((Assumptions!G129*'Calc Data'!G25*'Calc Data'!AO29*100)&lt;'Calc Data'!AO33,0,(Assumptions!G129*'Calc Data'!G25*'Calc Data'!AO29*100)-'Calc Data'!AO33),0)</f>
        <v>#DIV/0!</v>
      </c>
      <c r="I82" s="4261" t="e">
        <f>ROUND(IF((Assumptions!H129*L66*'Calc Data'!G109*100)&lt;'Calc Data'!G110,0,(Assumptions!H129*L66*'Calc Data'!G109*100)-'Calc Data'!G110),0)</f>
        <v>#DIV/0!</v>
      </c>
      <c r="J82" s="4262" t="e">
        <f>ROUND(IF((Assumptions!G120*'Calc Data'!G25*'Calc Data'!AK84*100)&lt;'Calc Data'!AK88,0,(Assumptions!G120*'Calc Data'!G25*'Calc Data'!AK84*100)-'Calc Data'!AK88),0)</f>
        <v>#DIV/0!</v>
      </c>
      <c r="K82" s="4263" t="e">
        <f>ROUND(IF((Assumptions!G80*'Calc Data-15K'!F25*'Calc Data-15K'!AO84*100)&lt;'Calc Data-15K'!AO88,0,(Assumptions!G80*'Calc Data-15K'!F25*'Calc Data-15K'!AO84*100)-'Calc Data-15K'!AO88),0)</f>
        <v>#DIV/0!</v>
      </c>
    </row>
    <row r="83" spans="3:13" ht="15">
      <c r="D83" s="4264" t="s">
        <v>8839</v>
      </c>
      <c r="F83" s="4227" t="e">
        <f>SUM(F72:F82)</f>
        <v>#DIV/0!</v>
      </c>
      <c r="G83" s="4227"/>
      <c r="H83" s="4255" t="e">
        <f>SUM(H72:H82)</f>
        <v>#DIV/0!</v>
      </c>
      <c r="I83" s="4221" t="e">
        <f>I81+I82</f>
        <v>#DIV/0!</v>
      </c>
    </row>
    <row r="84" spans="3:13" ht="15">
      <c r="D84" s="4150"/>
      <c r="F84" s="4227"/>
      <c r="G84" s="4227"/>
      <c r="H84" s="4255"/>
      <c r="I84" s="4221"/>
    </row>
    <row r="85" spans="3:13" ht="15">
      <c r="D85" s="4243" t="s">
        <v>8881</v>
      </c>
      <c r="E85" s="4244"/>
      <c r="F85" s="4265"/>
      <c r="G85" s="4246"/>
      <c r="H85" s="4255"/>
      <c r="I85" s="4256" t="e">
        <f>ROUND(IF((Assumptions!H129*L66*'Calc Data'!G109*100)&lt;'Calc Data'!G110,'Calc Data'!G110-(Assumptions!H129*L66*'Calc Data'!G109*100)),0)</f>
        <v>#DIV/0!</v>
      </c>
    </row>
    <row r="86" spans="3:13" ht="15">
      <c r="D86" s="4243" t="s">
        <v>9109</v>
      </c>
      <c r="E86" s="4244"/>
      <c r="F86" s="4248"/>
      <c r="G86" s="4248"/>
      <c r="H86" s="4255"/>
      <c r="I86" s="4256" t="e">
        <f>'Data Entry - SOF'!M136*(I85/'Data Entry - SOF'!M96)</f>
        <v>#DIV/0!</v>
      </c>
    </row>
    <row r="87" spans="3:13" ht="15">
      <c r="D87" s="4250" t="s">
        <v>9111</v>
      </c>
      <c r="E87" s="4251"/>
      <c r="F87" s="4252"/>
      <c r="G87" s="4252"/>
      <c r="H87" s="4266"/>
      <c r="I87" s="4267" t="e">
        <f>I85-I86</f>
        <v>#DIV/0!</v>
      </c>
    </row>
    <row r="88" spans="3:13" ht="15">
      <c r="D88" s="4150"/>
      <c r="G88" s="4227"/>
      <c r="H88" s="4255"/>
      <c r="I88" s="4198"/>
    </row>
    <row r="89" spans="3:13" ht="15">
      <c r="D89" s="4150" t="s">
        <v>733</v>
      </c>
      <c r="G89" s="4227"/>
      <c r="H89" s="4255"/>
      <c r="I89" s="4198"/>
    </row>
    <row r="90" spans="3:13" ht="15" hidden="1">
      <c r="C90" s="4185" t="s">
        <v>8894</v>
      </c>
      <c r="D90" s="4208" t="s">
        <v>8841</v>
      </c>
      <c r="E90" s="4187"/>
      <c r="F90" s="4187"/>
      <c r="G90" s="4268"/>
      <c r="H90" s="4269"/>
      <c r="I90" s="4207">
        <v>0</v>
      </c>
      <c r="L90" s="4270"/>
      <c r="M90" s="4271"/>
    </row>
    <row r="91" spans="3:13" ht="15" hidden="1">
      <c r="C91" s="4185" t="s">
        <v>8894</v>
      </c>
      <c r="D91" s="4208" t="s">
        <v>8842</v>
      </c>
      <c r="E91" s="4187"/>
      <c r="F91" s="4187"/>
      <c r="G91" s="4268"/>
      <c r="H91" s="4269"/>
      <c r="I91" s="4207" t="e">
        <f>'Option Costs-Transition'!J87</f>
        <v>#DIV/0!</v>
      </c>
      <c r="L91" s="4270"/>
      <c r="M91" s="4271"/>
    </row>
    <row r="92" spans="3:13" ht="15">
      <c r="D92" s="4150" t="s">
        <v>758</v>
      </c>
      <c r="F92" s="4227">
        <f>'Data Entry - SOF'!M121</f>
        <v>0</v>
      </c>
      <c r="G92" s="4227"/>
      <c r="H92" s="4255">
        <f>'Data Entry - SOF'!M121</f>
        <v>0</v>
      </c>
      <c r="I92" s="4221">
        <f>'Data Entry - SOF'!M121</f>
        <v>0</v>
      </c>
      <c r="L92" s="4272"/>
      <c r="M92" s="4271"/>
    </row>
    <row r="93" spans="3:13" ht="15">
      <c r="D93" s="4150" t="s">
        <v>3051</v>
      </c>
      <c r="F93" s="4227">
        <f>'Data Entry - SOF'!M120</f>
        <v>0</v>
      </c>
      <c r="G93" s="4227"/>
      <c r="H93" s="4255">
        <f>'Data Entry - SOF'!M120</f>
        <v>0</v>
      </c>
      <c r="I93" s="4221">
        <f>'Data Entry - SOF'!M120</f>
        <v>0</v>
      </c>
      <c r="L93" s="4272"/>
      <c r="M93" s="4271"/>
    </row>
    <row r="94" spans="3:13" ht="15">
      <c r="D94" s="4150" t="s">
        <v>9259</v>
      </c>
      <c r="F94" s="4227">
        <f>'Data Entry - SOF'!M122</f>
        <v>0</v>
      </c>
      <c r="G94" s="4227"/>
      <c r="H94" s="4255">
        <f>'HH2021-Calcs'!D26</f>
        <v>0</v>
      </c>
      <c r="I94" s="4221"/>
      <c r="L94" s="4272"/>
      <c r="M94" s="4271"/>
    </row>
    <row r="95" spans="3:13" ht="15">
      <c r="D95" s="4150" t="s">
        <v>3053</v>
      </c>
      <c r="F95" s="4227">
        <f>'Data Entry - SOF'!M123</f>
        <v>0</v>
      </c>
      <c r="G95" s="4227"/>
      <c r="H95" s="4255">
        <f>'Data Entry - SOF'!M123</f>
        <v>0</v>
      </c>
      <c r="I95" s="4221">
        <f>'Data Entry - SOF'!M123</f>
        <v>0</v>
      </c>
      <c r="L95" s="4272"/>
      <c r="M95" s="4271"/>
    </row>
    <row r="96" spans="3:13" ht="15" hidden="1">
      <c r="D96" s="4150" t="s">
        <v>3054</v>
      </c>
      <c r="F96" s="4227">
        <f>'Data Entry - SOF'!M124</f>
        <v>0</v>
      </c>
      <c r="G96" s="4227"/>
      <c r="H96" s="4255">
        <f t="shared" ref="H96:H99" si="0">F96</f>
        <v>0</v>
      </c>
      <c r="I96" s="4221">
        <f t="shared" ref="I96:I98" si="1">H96</f>
        <v>0</v>
      </c>
      <c r="L96" s="4272"/>
      <c r="M96" s="4271"/>
    </row>
    <row r="97" spans="1:13" ht="15" hidden="1">
      <c r="D97" s="4150" t="s">
        <v>3055</v>
      </c>
      <c r="F97" s="4227">
        <v>0</v>
      </c>
      <c r="G97" s="4227"/>
      <c r="H97" s="4255">
        <f t="shared" si="0"/>
        <v>0</v>
      </c>
      <c r="I97" s="4221">
        <f t="shared" si="1"/>
        <v>0</v>
      </c>
      <c r="L97" s="4272"/>
      <c r="M97" s="4271"/>
    </row>
    <row r="98" spans="1:13" ht="15" hidden="1">
      <c r="D98" s="4150" t="s">
        <v>2444</v>
      </c>
      <c r="F98" s="4227">
        <v>0</v>
      </c>
      <c r="G98" s="4227"/>
      <c r="H98" s="4255">
        <f t="shared" si="0"/>
        <v>0</v>
      </c>
      <c r="I98" s="4221">
        <f t="shared" si="1"/>
        <v>0</v>
      </c>
      <c r="L98" s="4272"/>
      <c r="M98" s="4271"/>
    </row>
    <row r="99" spans="1:13" ht="15" hidden="1">
      <c r="D99" s="4150" t="s">
        <v>2436</v>
      </c>
      <c r="F99" s="4227">
        <f>(500*'Data Entry - SOF'!M69)+(250*'Data Entry - SOF'!M70)</f>
        <v>0</v>
      </c>
      <c r="G99" s="4227"/>
      <c r="H99" s="4255">
        <f t="shared" si="0"/>
        <v>0</v>
      </c>
      <c r="I99" s="4221">
        <v>0</v>
      </c>
      <c r="L99" s="4272"/>
      <c r="M99" s="4271"/>
    </row>
    <row r="100" spans="1:13" ht="15">
      <c r="D100" s="4150" t="s">
        <v>734</v>
      </c>
      <c r="F100" s="4273" t="e">
        <f>(('Data Entry - SOF'!M112/'Calc Data'!E7)*'Data Entry - SOF'!M110)*-1</f>
        <v>#DIV/0!</v>
      </c>
      <c r="G100" s="4227"/>
      <c r="H100" s="4274" t="e">
        <f>(('Data Entry - SOF'!M112/'Calc Data'!F7)*'Data Entry - SOF'!M110)*-1</f>
        <v>#DIV/0!</v>
      </c>
      <c r="I100" s="4275" t="e">
        <f>(('Data Entry - SOF'!M112/'Calc Data'!F7)*'Data Entry - SOF'!M110)*-1</f>
        <v>#DIV/0!</v>
      </c>
      <c r="L100" s="4272"/>
      <c r="M100" s="4271"/>
    </row>
    <row r="101" spans="1:13" ht="15">
      <c r="D101" s="4150" t="s">
        <v>735</v>
      </c>
      <c r="F101" s="4273" t="e">
        <f>(('Data Entry - SOF'!M112/'Calc Data'!E7)*'Data Entry - SOF'!M111)*-1</f>
        <v>#DIV/0!</v>
      </c>
      <c r="G101" s="4227"/>
      <c r="H101" s="4274" t="e">
        <f>(('Data Entry - SOF'!M112/'Calc Data'!F7)*'Data Entry - SOF'!M111)*-1</f>
        <v>#DIV/0!</v>
      </c>
      <c r="I101" s="4275" t="e">
        <f>(('Data Entry - SOF'!M112/'Calc Data'!F7)*'Data Entry - SOF'!M111)*-1</f>
        <v>#DIV/0!</v>
      </c>
      <c r="L101" s="4272"/>
      <c r="M101" s="4271"/>
    </row>
    <row r="102" spans="1:13" ht="15">
      <c r="D102" s="4150" t="s">
        <v>10218</v>
      </c>
      <c r="F102" s="4276">
        <f>'Data Entry - SOF'!M142</f>
        <v>0</v>
      </c>
      <c r="G102" s="4227"/>
      <c r="H102" s="4260"/>
      <c r="I102" s="4737">
        <f>'Data Entry - SOF'!M142</f>
        <v>0</v>
      </c>
      <c r="L102" s="4272"/>
      <c r="M102" s="4271"/>
    </row>
    <row r="103" spans="1:13" ht="15">
      <c r="D103" s="4277" t="s">
        <v>8840</v>
      </c>
      <c r="F103" s="4227" t="e">
        <f>SUM(F92:F102)</f>
        <v>#DIV/0!</v>
      </c>
      <c r="G103" s="4227"/>
      <c r="H103" s="4255" t="e">
        <f>SUM(H92:H102)</f>
        <v>#DIV/0!</v>
      </c>
      <c r="I103" s="4221" t="e">
        <f>SUM(I92:I102)</f>
        <v>#DIV/0!</v>
      </c>
      <c r="L103" s="4272"/>
      <c r="M103" s="4271"/>
    </row>
    <row r="104" spans="1:13" ht="15">
      <c r="D104" s="4278"/>
      <c r="F104" s="4196"/>
      <c r="G104" s="4227"/>
      <c r="H104" s="4255"/>
      <c r="I104" s="4198"/>
      <c r="L104" s="4272"/>
      <c r="M104" s="4271"/>
    </row>
    <row r="105" spans="1:13" ht="15">
      <c r="D105" s="4150" t="s">
        <v>2396</v>
      </c>
      <c r="F105" s="4227">
        <f>F110*-1</f>
        <v>0</v>
      </c>
      <c r="G105" s="4227"/>
      <c r="H105" s="4255">
        <f>H110*-1</f>
        <v>0</v>
      </c>
      <c r="I105" s="4221">
        <f>I110*-1</f>
        <v>0</v>
      </c>
      <c r="L105" s="4272"/>
      <c r="M105" s="4271"/>
    </row>
    <row r="106" spans="1:13" ht="15">
      <c r="D106" s="4150"/>
      <c r="G106" s="4279"/>
      <c r="H106" s="4255"/>
      <c r="I106" s="4239"/>
      <c r="L106" s="4272"/>
      <c r="M106" s="4271"/>
    </row>
    <row r="107" spans="1:13" ht="15">
      <c r="A107" s="4280"/>
      <c r="B107" s="4281"/>
      <c r="C107" s="4281"/>
      <c r="D107" s="4282"/>
      <c r="E107" s="4281"/>
      <c r="F107" s="4283"/>
      <c r="G107" s="4284"/>
      <c r="H107" s="4285"/>
      <c r="I107" s="4286"/>
      <c r="L107" s="4272"/>
      <c r="M107" s="4271"/>
    </row>
    <row r="108" spans="1:13" ht="15">
      <c r="A108" s="4287"/>
      <c r="B108" s="4288" t="s">
        <v>174</v>
      </c>
      <c r="C108" s="4289"/>
      <c r="D108" s="4290"/>
      <c r="E108" s="4289"/>
      <c r="F108" s="4291"/>
      <c r="G108" s="4279"/>
      <c r="H108" s="4234"/>
      <c r="I108" s="4239"/>
      <c r="L108" s="4272"/>
      <c r="M108" s="4271"/>
    </row>
    <row r="109" spans="1:13" ht="15">
      <c r="A109" s="4287"/>
      <c r="B109" s="4288" t="s">
        <v>1491</v>
      </c>
      <c r="C109" s="4289"/>
      <c r="D109" s="4292" t="s">
        <v>737</v>
      </c>
      <c r="E109" s="4293"/>
      <c r="F109" s="4294" t="e">
        <f>F71+F83+F103+F105</f>
        <v>#DIV/0!</v>
      </c>
      <c r="G109" s="4279"/>
      <c r="H109" s="4295" t="e">
        <f>H71+H83+H103+H105</f>
        <v>#DIV/0!</v>
      </c>
      <c r="I109" s="4207" t="e">
        <f>I71+I83+I103+I105</f>
        <v>#DIV/0!</v>
      </c>
      <c r="L109" s="4272"/>
      <c r="M109" s="4271"/>
    </row>
    <row r="110" spans="1:13" ht="15">
      <c r="A110" s="4287"/>
      <c r="B110" s="4288" t="s">
        <v>1489</v>
      </c>
      <c r="C110" s="4289"/>
      <c r="D110" s="4292" t="s">
        <v>2609</v>
      </c>
      <c r="E110" s="4293"/>
      <c r="F110" s="4294">
        <f>'Calc Data'!E7*Assumptions!G123</f>
        <v>0</v>
      </c>
      <c r="G110" s="4279"/>
      <c r="H110" s="4295">
        <f>'Calc Data'!F7*Assumptions!G132</f>
        <v>0</v>
      </c>
      <c r="I110" s="4296">
        <f>'Calc Data'!F7*Assumptions!H132</f>
        <v>0</v>
      </c>
      <c r="L110" s="4272"/>
      <c r="M110" s="4271"/>
    </row>
    <row r="111" spans="1:13" ht="15" hidden="1">
      <c r="A111" s="4287"/>
      <c r="B111" s="4288" t="s">
        <v>1490</v>
      </c>
      <c r="C111" s="4289"/>
      <c r="D111" s="4292" t="s">
        <v>757</v>
      </c>
      <c r="E111" s="4297"/>
      <c r="F111" s="4298">
        <v>0</v>
      </c>
      <c r="G111" s="4279"/>
      <c r="H111" s="4299">
        <v>0</v>
      </c>
      <c r="I111" s="4239"/>
      <c r="L111" s="4272"/>
      <c r="M111" s="4271"/>
    </row>
    <row r="112" spans="1:13" ht="15">
      <c r="A112" s="4287"/>
      <c r="B112" s="4288" t="s">
        <v>740</v>
      </c>
      <c r="C112" s="4289"/>
      <c r="D112" s="4292" t="s">
        <v>738</v>
      </c>
      <c r="E112" s="4293"/>
      <c r="F112" s="4294">
        <f>'Existing Debt-OldLaw'!K74</f>
        <v>0</v>
      </c>
      <c r="G112" s="4279"/>
      <c r="H112" s="4295">
        <f>'Existing Debt-OldLaw'!M74</f>
        <v>0</v>
      </c>
      <c r="I112" s="4221">
        <f>'Existing Debt-HB3'!M74</f>
        <v>0</v>
      </c>
      <c r="L112" s="4272"/>
      <c r="M112" s="4271"/>
    </row>
    <row r="113" spans="1:16" ht="15.75" thickBot="1">
      <c r="A113" s="4287"/>
      <c r="B113" s="4288" t="s">
        <v>1095</v>
      </c>
      <c r="C113" s="4289"/>
      <c r="D113" s="4292" t="s">
        <v>739</v>
      </c>
      <c r="E113" s="4293"/>
      <c r="F113" s="4300">
        <f>'IFA-OldLaw'!P86+'IFA-OldLaw'!Q75</f>
        <v>0</v>
      </c>
      <c r="G113" s="4279"/>
      <c r="H113" s="4301">
        <f>'IFA-OldLaw'!T86+'IFA-OldLaw'!U75</f>
        <v>0</v>
      </c>
      <c r="I113" s="4302">
        <f>'IFA-HB3'!Q86+'IFA-HB3'!S75</f>
        <v>0</v>
      </c>
      <c r="L113" s="4272"/>
      <c r="M113" s="4271"/>
    </row>
    <row r="114" spans="1:16" ht="15">
      <c r="A114" s="4287"/>
      <c r="B114" s="4289"/>
      <c r="C114" s="4289"/>
      <c r="D114" s="4289"/>
      <c r="E114" s="4289"/>
      <c r="F114" s="4291"/>
      <c r="G114" s="4279"/>
      <c r="H114" s="4303"/>
      <c r="I114" s="4239"/>
      <c r="L114" s="4304"/>
      <c r="M114" s="4305"/>
    </row>
    <row r="115" spans="1:16" ht="12.75" customHeight="1" thickBot="1">
      <c r="A115" s="4287"/>
      <c r="B115" s="4289"/>
      <c r="C115" s="4289"/>
      <c r="D115" s="4292" t="s">
        <v>9067</v>
      </c>
      <c r="E115" s="4289"/>
      <c r="F115" s="4306" t="e">
        <f>SUM(F109:F113)</f>
        <v>#DIV/0!</v>
      </c>
      <c r="G115" s="4279"/>
      <c r="H115" s="4307" t="e">
        <f>SUM(H109:H113)</f>
        <v>#DIV/0!</v>
      </c>
      <c r="I115" s="4308" t="e">
        <f>SUM(I109:I113)</f>
        <v>#DIV/0!</v>
      </c>
      <c r="L115" s="4304"/>
      <c r="M115" s="4305"/>
    </row>
    <row r="116" spans="1:16" ht="16.5" hidden="1" thickTop="1" thickBot="1">
      <c r="A116" s="4287"/>
      <c r="B116" s="4289"/>
      <c r="C116" s="4289"/>
      <c r="D116" s="4309" t="s">
        <v>472</v>
      </c>
      <c r="E116" s="4289"/>
      <c r="F116" s="4289"/>
      <c r="G116" s="4279"/>
      <c r="H116" s="4310" t="e">
        <f>SUM(H109:H113)</f>
        <v>#DIV/0!</v>
      </c>
      <c r="I116" s="4198"/>
      <c r="L116" s="4304"/>
      <c r="M116" s="4305"/>
    </row>
    <row r="117" spans="1:16" ht="15.75" thickTop="1">
      <c r="A117" s="4311"/>
      <c r="B117" s="4312"/>
      <c r="C117" s="4312"/>
      <c r="D117" s="4313"/>
      <c r="E117" s="4312"/>
      <c r="F117" s="4312"/>
      <c r="G117" s="4314"/>
      <c r="H117" s="4315"/>
      <c r="I117" s="4316"/>
    </row>
    <row r="118" spans="1:16" ht="15">
      <c r="B118" s="4150"/>
      <c r="G118" s="4227"/>
      <c r="H118" s="4192"/>
      <c r="I118" s="4198"/>
      <c r="N118" s="4272"/>
      <c r="O118" s="4317"/>
      <c r="P118" s="4318"/>
    </row>
    <row r="119" spans="1:16" ht="15" thickBot="1">
      <c r="G119" s="4289"/>
      <c r="H119" s="4234"/>
      <c r="I119" s="4198"/>
    </row>
    <row r="120" spans="1:16" ht="15.75" thickTop="1">
      <c r="A120" s="4319" t="s">
        <v>2457</v>
      </c>
      <c r="B120" s="4320"/>
      <c r="C120" s="4320"/>
      <c r="D120" s="4320"/>
      <c r="E120" s="4321"/>
      <c r="F120" s="4322"/>
      <c r="G120" s="4321"/>
      <c r="H120" s="4323"/>
      <c r="I120" s="4324"/>
    </row>
    <row r="121" spans="1:16">
      <c r="A121" s="4325"/>
      <c r="B121" s="4289"/>
      <c r="C121" s="4289"/>
      <c r="D121" s="4289"/>
      <c r="E121" s="4289"/>
      <c r="F121" s="4326"/>
      <c r="G121" s="4289"/>
      <c r="H121" s="4234"/>
      <c r="I121" s="4327"/>
    </row>
    <row r="122" spans="1:16" ht="15">
      <c r="A122" s="4328" t="s">
        <v>8798</v>
      </c>
      <c r="B122" s="4289"/>
      <c r="C122" s="4289"/>
      <c r="D122" s="4289"/>
      <c r="E122" s="4289"/>
      <c r="F122" s="4329" t="e">
        <f>IF(F109&lt;0,F110,F109+F110)</f>
        <v>#DIV/0!</v>
      </c>
      <c r="G122" s="4289"/>
      <c r="H122" s="4211" t="e">
        <f>IF(H109&lt;0,H110,H109+H110)</f>
        <v>#DIV/0!</v>
      </c>
      <c r="I122" s="4330" t="e">
        <f>IF(I109&lt;0,I110,I109+I110)</f>
        <v>#DIV/0!</v>
      </c>
    </row>
    <row r="123" spans="1:16" ht="15">
      <c r="A123" s="4331" t="s">
        <v>8799</v>
      </c>
      <c r="B123" s="4289"/>
      <c r="C123" s="4289"/>
      <c r="D123" s="4289"/>
      <c r="E123" s="4289"/>
      <c r="F123" s="4332">
        <f>'Calc Data'!G30-ASATR!I24</f>
        <v>0</v>
      </c>
      <c r="G123" s="4289"/>
      <c r="H123" s="4333">
        <f>'Data Entry - SOF'!M93</f>
        <v>0</v>
      </c>
      <c r="I123" s="4334">
        <f>'Data Entry - SOF'!M96</f>
        <v>0</v>
      </c>
      <c r="N123" s="4272"/>
    </row>
    <row r="124" spans="1:16" ht="15">
      <c r="A124" s="4331" t="s">
        <v>8800</v>
      </c>
      <c r="B124" s="4289"/>
      <c r="C124" s="4289"/>
      <c r="D124" s="4289"/>
      <c r="E124" s="4289"/>
      <c r="F124" s="4332">
        <f>'Calc Data'!G34</f>
        <v>0</v>
      </c>
      <c r="G124" s="4289"/>
      <c r="H124" s="4333" t="e">
        <f>'Option Costs'!AI85+'Option Costs'!AM85</f>
        <v>#DIV/0!</v>
      </c>
      <c r="I124" s="4334" t="e">
        <f>I79+I87</f>
        <v>#DIV/0!</v>
      </c>
      <c r="N124" s="4272"/>
    </row>
    <row r="125" spans="1:16" ht="15">
      <c r="A125" s="4331"/>
      <c r="B125" s="4289"/>
      <c r="C125" s="4289"/>
      <c r="D125" s="4289"/>
      <c r="E125" s="4289"/>
      <c r="F125" s="4335" t="e">
        <f>'Calc Data'!G37-IF('Option Costs'!AE57="N",MAX('Option Costs'!AE54,'Option Costs'!AG54),MIN('Option Costs'!AE54,'Option Costs'!AG54))</f>
        <v>#DIV/0!</v>
      </c>
      <c r="G125" s="4289"/>
      <c r="H125" s="4336"/>
      <c r="I125" s="4334"/>
    </row>
    <row r="126" spans="1:16" ht="15">
      <c r="A126" s="4331" t="s">
        <v>9079</v>
      </c>
      <c r="B126" s="4289"/>
      <c r="C126" s="4289"/>
      <c r="D126" s="4289"/>
      <c r="E126" s="4289"/>
      <c r="F126" s="4337" t="e">
        <f>SUM(F122:F125)</f>
        <v>#DIV/0!</v>
      </c>
      <c r="G126" s="4289"/>
      <c r="H126" s="4338" t="e">
        <f>H122+H123-H124</f>
        <v>#DIV/0!</v>
      </c>
      <c r="I126" s="4339" t="e">
        <f>I122+I123-I124</f>
        <v>#DIV/0!</v>
      </c>
    </row>
    <row r="127" spans="1:16" ht="15">
      <c r="A127" s="4340" t="s">
        <v>8841</v>
      </c>
      <c r="B127" s="4341"/>
      <c r="C127" s="4341"/>
      <c r="D127" s="4341"/>
      <c r="E127" s="4341"/>
      <c r="F127" s="4342" t="e">
        <f>IF(F109&gt;0,0,F109)</f>
        <v>#DIV/0!</v>
      </c>
      <c r="G127" s="4341"/>
      <c r="H127" s="4343" t="s">
        <v>1775</v>
      </c>
      <c r="I127" s="4334" t="e">
        <f>MAX(H191,H199)</f>
        <v>#DIV/0!</v>
      </c>
    </row>
    <row r="128" spans="1:16" ht="15">
      <c r="A128" s="4340" t="s">
        <v>8842</v>
      </c>
      <c r="B128" s="4341"/>
      <c r="C128" s="4341"/>
      <c r="D128" s="4341"/>
      <c r="E128" s="4341"/>
      <c r="F128" s="4344"/>
      <c r="G128" s="4341"/>
      <c r="H128" s="4343" t="s">
        <v>1775</v>
      </c>
      <c r="I128" s="4334" t="e">
        <f>'Option Costs-Transition'!J100*0.8</f>
        <v>#DIV/0!</v>
      </c>
    </row>
    <row r="129" spans="1:11" ht="15">
      <c r="A129" s="4345"/>
      <c r="B129" s="4244"/>
      <c r="C129" s="4244"/>
      <c r="D129" s="4244"/>
      <c r="E129" s="4244"/>
      <c r="F129" s="4346"/>
      <c r="G129" s="4244"/>
      <c r="H129" s="4343"/>
      <c r="I129" s="4334"/>
    </row>
    <row r="130" spans="1:11" ht="15">
      <c r="A130" s="4347" t="s">
        <v>9078</v>
      </c>
      <c r="B130" s="4348"/>
      <c r="C130" s="4348"/>
      <c r="D130" s="4348"/>
      <c r="E130" s="4348"/>
      <c r="F130" s="4349" t="e">
        <f>F126+F127</f>
        <v>#DIV/0!</v>
      </c>
      <c r="G130" s="4350"/>
      <c r="H130" s="4351" t="e">
        <f>H126</f>
        <v>#DIV/0!</v>
      </c>
      <c r="I130" s="4352" t="e">
        <f>I126+I127+I128</f>
        <v>#DIV/0!</v>
      </c>
    </row>
    <row r="131" spans="1:11" ht="15" thickBot="1">
      <c r="A131" s="4353"/>
      <c r="B131" s="4354"/>
      <c r="C131" s="4354"/>
      <c r="D131" s="4354"/>
      <c r="E131" s="4354"/>
      <c r="F131" s="4354"/>
      <c r="G131" s="4355"/>
      <c r="H131" s="4356"/>
      <c r="I131" s="4357"/>
    </row>
    <row r="132" spans="1:11" ht="15.75" hidden="1" thickTop="1">
      <c r="D132" s="4196" t="s">
        <v>1231</v>
      </c>
      <c r="E132" s="4196"/>
      <c r="F132" s="4196"/>
      <c r="H132" s="4210" t="e">
        <f>H127+H130</f>
        <v>#VALUE!</v>
      </c>
      <c r="I132" s="4198"/>
      <c r="J132" s="4358"/>
      <c r="K132" s="4358"/>
    </row>
    <row r="133" spans="1:11" ht="15.75" hidden="1" thickTop="1">
      <c r="D133" s="4196" t="s">
        <v>470</v>
      </c>
      <c r="E133" s="4196"/>
      <c r="F133" s="4196"/>
      <c r="I133" s="4198"/>
      <c r="J133" s="4359"/>
      <c r="K133" s="4359"/>
    </row>
    <row r="134" spans="1:11" ht="15.75" hidden="1" thickTop="1">
      <c r="D134" s="4196" t="s">
        <v>471</v>
      </c>
      <c r="I134" s="4198"/>
    </row>
    <row r="135" spans="1:11" ht="15.75" hidden="1" thickTop="1">
      <c r="D135" s="4196" t="s">
        <v>1012</v>
      </c>
      <c r="I135" s="4198"/>
    </row>
    <row r="136" spans="1:11" ht="15.75" hidden="1" thickTop="1">
      <c r="D136" s="4196" t="s">
        <v>647</v>
      </c>
      <c r="I136" s="4198"/>
    </row>
    <row r="137" spans="1:11" ht="15.75" hidden="1" thickTop="1">
      <c r="D137" s="4196" t="s">
        <v>648</v>
      </c>
      <c r="I137" s="4198"/>
    </row>
    <row r="138" spans="1:11" ht="15.75" hidden="1" thickTop="1">
      <c r="D138" s="4196"/>
      <c r="I138" s="4198"/>
    </row>
    <row r="139" spans="1:11" ht="15" hidden="1" thickTop="1">
      <c r="I139" s="4198"/>
    </row>
    <row r="140" spans="1:11" ht="15" hidden="1" thickTop="1">
      <c r="I140" s="4198"/>
    </row>
    <row r="141" spans="1:11" ht="15" hidden="1" thickTop="1">
      <c r="I141" s="4198"/>
    </row>
    <row r="142" spans="1:11" ht="15.75" hidden="1" thickTop="1">
      <c r="A142" s="4150" t="s">
        <v>1667</v>
      </c>
      <c r="G142" s="4166"/>
      <c r="I142" s="4198"/>
    </row>
    <row r="143" spans="1:11" ht="15.75" hidden="1" thickTop="1">
      <c r="G143" s="4166"/>
      <c r="I143" s="4198"/>
    </row>
    <row r="144" spans="1:11" ht="15.75" hidden="1" thickTop="1">
      <c r="A144" s="4150" t="s">
        <v>1492</v>
      </c>
      <c r="G144" s="4166"/>
      <c r="H144" s="4166"/>
      <c r="I144" s="4198"/>
      <c r="J144" s="4166"/>
      <c r="K144" s="4166"/>
    </row>
    <row r="145" spans="1:11" ht="15.75" hidden="1" thickTop="1">
      <c r="A145" s="4150" t="s">
        <v>1493</v>
      </c>
      <c r="H145" s="4166"/>
      <c r="I145" s="4198"/>
      <c r="J145" s="4166"/>
      <c r="K145" s="4166"/>
    </row>
    <row r="146" spans="1:11" ht="15.75" hidden="1" thickTop="1">
      <c r="A146" s="4150" t="s">
        <v>518</v>
      </c>
      <c r="H146" s="4166"/>
      <c r="I146" s="4198"/>
      <c r="J146" s="4166"/>
      <c r="K146" s="4166"/>
    </row>
    <row r="147" spans="1:11" ht="15.75" hidden="1" thickTop="1">
      <c r="A147" s="4150" t="s">
        <v>519</v>
      </c>
      <c r="I147" s="4198"/>
    </row>
    <row r="148" spans="1:11" ht="15.75" hidden="1" thickTop="1">
      <c r="A148" s="4150" t="s">
        <v>1009</v>
      </c>
      <c r="I148" s="4198"/>
    </row>
    <row r="149" spans="1:11" ht="15.75" hidden="1" thickTop="1">
      <c r="A149" s="4150" t="s">
        <v>1010</v>
      </c>
      <c r="I149" s="4198"/>
    </row>
    <row r="150" spans="1:11" ht="15.75" hidden="1" thickTop="1">
      <c r="A150" s="4179" t="s">
        <v>1789</v>
      </c>
      <c r="I150" s="4198"/>
    </row>
    <row r="151" spans="1:11" ht="15" hidden="1" thickTop="1">
      <c r="I151" s="4198"/>
    </row>
    <row r="152" spans="1:11" ht="15.75" hidden="1" thickTop="1">
      <c r="A152" s="4150" t="s">
        <v>62</v>
      </c>
      <c r="I152" s="4198"/>
    </row>
    <row r="153" spans="1:11" ht="15.75" hidden="1" thickTop="1">
      <c r="A153" s="4150" t="s">
        <v>1693</v>
      </c>
      <c r="I153" s="4198"/>
    </row>
    <row r="154" spans="1:11" ht="15.75" hidden="1" thickTop="1">
      <c r="A154" s="4150" t="s">
        <v>1694</v>
      </c>
      <c r="I154" s="4198"/>
    </row>
    <row r="155" spans="1:11" ht="15.75" hidden="1" thickTop="1">
      <c r="A155" s="4150" t="s">
        <v>1820</v>
      </c>
      <c r="I155" s="4198"/>
    </row>
    <row r="156" spans="1:11" ht="15" hidden="1" thickTop="1">
      <c r="I156" s="4198"/>
    </row>
    <row r="157" spans="1:11" ht="15.75" hidden="1" thickTop="1">
      <c r="A157" s="4150" t="s">
        <v>1821</v>
      </c>
      <c r="I157" s="4198"/>
    </row>
    <row r="158" spans="1:11" ht="15.75" hidden="1" thickTop="1">
      <c r="A158" s="4150" t="s">
        <v>1822</v>
      </c>
      <c r="I158" s="4198"/>
    </row>
    <row r="159" spans="1:11" ht="15.75" hidden="1" thickTop="1">
      <c r="A159" s="4150" t="s">
        <v>336</v>
      </c>
      <c r="I159" s="4198"/>
    </row>
    <row r="160" spans="1:11" ht="15.75" hidden="1" thickTop="1">
      <c r="A160" s="4150" t="s">
        <v>1823</v>
      </c>
      <c r="I160" s="4198"/>
    </row>
    <row r="161" spans="1:11" ht="15.75" hidden="1" thickTop="1">
      <c r="A161" s="4150" t="s">
        <v>334</v>
      </c>
      <c r="I161" s="4198"/>
    </row>
    <row r="162" spans="1:11" ht="15" hidden="1" thickTop="1">
      <c r="I162" s="4198"/>
    </row>
    <row r="163" spans="1:11" ht="15.75" hidden="1" thickTop="1">
      <c r="A163" s="4179" t="s">
        <v>335</v>
      </c>
      <c r="I163" s="4198"/>
    </row>
    <row r="164" spans="1:11" ht="15" hidden="1" thickTop="1">
      <c r="I164" s="4198"/>
    </row>
    <row r="165" spans="1:11" ht="15" hidden="1" thickTop="1">
      <c r="I165" s="4198"/>
    </row>
    <row r="166" spans="1:11" ht="15" hidden="1" thickTop="1">
      <c r="I166" s="4198"/>
    </row>
    <row r="167" spans="1:11" ht="15" hidden="1" thickTop="1">
      <c r="E167" s="4151" t="s">
        <v>2767</v>
      </c>
      <c r="F167" s="4318">
        <f>SUM(F22:F28)</f>
        <v>0</v>
      </c>
      <c r="H167" s="4318">
        <f>SUM(H22:H28)</f>
        <v>0</v>
      </c>
      <c r="I167" s="4360" t="e">
        <f>SUM(I22:I28)</f>
        <v>#DIV/0!</v>
      </c>
    </row>
    <row r="168" spans="1:11" ht="15" hidden="1" thickTop="1">
      <c r="E168" s="4151" t="s">
        <v>2768</v>
      </c>
      <c r="F168" s="4318">
        <f>F29+F30</f>
        <v>0</v>
      </c>
      <c r="H168" s="4318">
        <f>H29+H30</f>
        <v>0</v>
      </c>
      <c r="I168" s="4361" t="e">
        <f>I29+I30</f>
        <v>#DIV/0!</v>
      </c>
    </row>
    <row r="169" spans="1:11" ht="15" hidden="1" thickTop="1">
      <c r="E169" s="4151" t="s">
        <v>2769</v>
      </c>
      <c r="F169" s="4318">
        <f>F33+F34</f>
        <v>0</v>
      </c>
      <c r="H169" s="4318">
        <f>H33+H34</f>
        <v>0</v>
      </c>
      <c r="I169" s="4361">
        <f>I33+I34</f>
        <v>0</v>
      </c>
      <c r="J169" s="4318"/>
      <c r="K169" s="4318"/>
    </row>
    <row r="170" spans="1:11" ht="15" hidden="1" thickTop="1">
      <c r="E170" s="4151" t="s">
        <v>2770</v>
      </c>
      <c r="F170" s="4318">
        <f>F35+F43</f>
        <v>0</v>
      </c>
      <c r="H170" s="4318">
        <f>H35+H43</f>
        <v>0</v>
      </c>
      <c r="I170" s="4361" t="e">
        <f>SUM(I37:I37)</f>
        <v>#DIV/0!</v>
      </c>
      <c r="J170" s="4318"/>
      <c r="K170" s="4318"/>
    </row>
    <row r="171" spans="1:11" ht="15" hidden="1" thickTop="1">
      <c r="E171" s="4151" t="s">
        <v>2849</v>
      </c>
      <c r="F171" s="4272" t="e">
        <f>Assumptions!G119*'Calc Data'!G25*'Calc Data'!G35*100</f>
        <v>#DIV/0!</v>
      </c>
      <c r="H171" s="4272" t="e">
        <f>Assumptions!G119*'Calc Data'!G25*'Calc Data'!G35*100</f>
        <v>#DIV/0!</v>
      </c>
      <c r="I171" s="4362" t="e">
        <f>Assumptions!H119*L66*'Calc Data'!G104*100</f>
        <v>#DIV/0!</v>
      </c>
      <c r="J171" s="4318"/>
      <c r="K171" s="4318"/>
    </row>
    <row r="172" spans="1:11" ht="15" hidden="1" thickTop="1">
      <c r="E172" s="4151" t="s">
        <v>2851</v>
      </c>
      <c r="F172" s="4272" t="e">
        <f>Assumptions!G120*'Calc Data'!G25*'Calc Data'!G38*100</f>
        <v>#DIV/0!</v>
      </c>
      <c r="H172" s="4272" t="e">
        <f>Assumptions!G120*'Calc Data'!G25*'Calc Data'!AK29*100</f>
        <v>#DIV/0!</v>
      </c>
      <c r="I172" s="4362" t="e">
        <f>Assumptions!H120*L66*'Calc Data'!G109*100</f>
        <v>#DIV/0!</v>
      </c>
      <c r="J172" s="4318"/>
      <c r="K172" s="4318"/>
    </row>
    <row r="173" spans="1:11" ht="15" hidden="1" thickTop="1">
      <c r="E173" s="4151" t="s">
        <v>8776</v>
      </c>
      <c r="I173" s="4363" t="e">
        <f>I46+I47+I48</f>
        <v>#DIV/0!</v>
      </c>
      <c r="J173" s="4272"/>
      <c r="K173" s="4272"/>
    </row>
    <row r="174" spans="1:11" ht="15" hidden="1" thickTop="1">
      <c r="I174" s="4318"/>
      <c r="J174" s="4272"/>
      <c r="K174" s="4272"/>
    </row>
    <row r="175" spans="1:11" ht="15" thickTop="1"/>
    <row r="177" spans="5:8" ht="15">
      <c r="G177" s="4364" t="s">
        <v>9065</v>
      </c>
    </row>
    <row r="178" spans="5:8" ht="15">
      <c r="E178" s="4196"/>
      <c r="F178" s="4196"/>
      <c r="G178" s="4365" t="s">
        <v>9363</v>
      </c>
      <c r="H178" s="4366" t="e">
        <f>H126/'Data Entry - SOF'!M19</f>
        <v>#DIV/0!</v>
      </c>
    </row>
    <row r="179" spans="5:8" ht="15">
      <c r="E179" s="4196"/>
      <c r="F179" s="4196"/>
      <c r="G179" s="4365" t="s">
        <v>9364</v>
      </c>
      <c r="H179" s="4367" t="e">
        <f>H178*1.03</f>
        <v>#DIV/0!</v>
      </c>
    </row>
    <row r="180" spans="5:8" ht="15">
      <c r="E180" s="4196"/>
      <c r="F180" s="4196"/>
      <c r="G180" s="4196"/>
      <c r="H180" s="4368"/>
    </row>
    <row r="181" spans="5:8" ht="15">
      <c r="E181" s="4196"/>
      <c r="F181" s="4196"/>
      <c r="G181" s="4196"/>
      <c r="H181" s="4368"/>
    </row>
    <row r="182" spans="5:8" ht="15">
      <c r="E182" s="4196"/>
      <c r="F182" s="4196"/>
      <c r="G182" s="4365" t="s">
        <v>9365</v>
      </c>
      <c r="H182" s="4367">
        <v>9000</v>
      </c>
    </row>
    <row r="183" spans="5:8" ht="15">
      <c r="E183" s="4196"/>
      <c r="F183" s="4196"/>
      <c r="G183" s="4365" t="s">
        <v>9361</v>
      </c>
      <c r="H183" s="4367">
        <f>H182*1.28</f>
        <v>11520</v>
      </c>
    </row>
    <row r="184" spans="5:8" ht="15">
      <c r="E184" s="4196"/>
      <c r="F184" s="4196"/>
      <c r="G184" s="4196"/>
      <c r="H184" s="4368"/>
    </row>
    <row r="185" spans="5:8" ht="15">
      <c r="E185" s="4196"/>
      <c r="F185" s="4196"/>
      <c r="G185" s="4365" t="s">
        <v>9044</v>
      </c>
      <c r="H185" s="4369" t="e">
        <f>MIN(H179,H183)</f>
        <v>#DIV/0!</v>
      </c>
    </row>
    <row r="186" spans="5:8" ht="15">
      <c r="E186" s="4196"/>
      <c r="F186" s="4196"/>
      <c r="G186" s="4365" t="s">
        <v>9211</v>
      </c>
      <c r="H186" s="4370" t="e">
        <f>'SOF1920-HB3'!H185</f>
        <v>#DIV/0!</v>
      </c>
    </row>
    <row r="187" spans="5:8" ht="15">
      <c r="E187" s="4196"/>
      <c r="F187" s="4196"/>
      <c r="G187" s="4365" t="s">
        <v>9210</v>
      </c>
      <c r="H187" s="4370" t="e">
        <f>MAX(H185,H186)</f>
        <v>#DIV/0!</v>
      </c>
    </row>
    <row r="188" spans="5:8" ht="15">
      <c r="E188" s="4196"/>
      <c r="F188" s="4196"/>
      <c r="G188" s="4365" t="s">
        <v>9252</v>
      </c>
      <c r="H188" s="4371" t="e">
        <f>(I126+I128)/'Data Entry - SOF'!M19</f>
        <v>#DIV/0!</v>
      </c>
    </row>
    <row r="189" spans="5:8" ht="15">
      <c r="G189" s="4372" t="s">
        <v>9042</v>
      </c>
      <c r="H189" s="4367" t="e">
        <f>IF(H187-H188&lt;=0,0,H187-H188)</f>
        <v>#DIV/0!</v>
      </c>
    </row>
    <row r="190" spans="5:8" ht="15">
      <c r="G190" s="4372" t="s">
        <v>9169</v>
      </c>
      <c r="H190" s="4373">
        <f>'Data Entry - SOF'!M19</f>
        <v>0</v>
      </c>
    </row>
    <row r="191" spans="5:8" ht="15">
      <c r="G191" s="4372" t="s">
        <v>9215</v>
      </c>
      <c r="H191" s="4374" t="e">
        <f>H189*H190</f>
        <v>#DIV/0!</v>
      </c>
    </row>
    <row r="194" spans="7:13" ht="15">
      <c r="G194" s="4364" t="s">
        <v>9066</v>
      </c>
      <c r="H194" s="4375"/>
    </row>
    <row r="195" spans="7:13" ht="15">
      <c r="G195" s="4365" t="s">
        <v>9366</v>
      </c>
      <c r="H195" s="4367" t="e">
        <f>(H122+H123-'Option Costs-Transition'!J98)/'Data Entry - SOF'!M19</f>
        <v>#DIV/0!</v>
      </c>
      <c r="J195" s="4376"/>
      <c r="K195" s="4376"/>
      <c r="M195" s="4377"/>
    </row>
    <row r="196" spans="7:13" ht="15">
      <c r="G196" s="4365" t="s">
        <v>9041</v>
      </c>
      <c r="H196" s="4370" t="e">
        <f>H188</f>
        <v>#DIV/0!</v>
      </c>
    </row>
    <row r="197" spans="7:13" ht="15">
      <c r="G197" s="4372" t="s">
        <v>9042</v>
      </c>
      <c r="H197" s="4378" t="e">
        <f>IF(H196&gt;=H195,0,H195-H196)</f>
        <v>#DIV/0!</v>
      </c>
    </row>
    <row r="198" spans="7:13" ht="15">
      <c r="G198" s="4372" t="s">
        <v>9169</v>
      </c>
      <c r="H198" s="4373">
        <f>H190</f>
        <v>0</v>
      </c>
    </row>
    <row r="199" spans="7:13" ht="15">
      <c r="G199" s="4372" t="s">
        <v>9216</v>
      </c>
      <c r="H199" s="4374" t="e">
        <f>H197*H198</f>
        <v>#DIV/0!</v>
      </c>
    </row>
  </sheetData>
  <pageMargins left="0.7" right="0.7" top="0.75" bottom="0.75" header="0.3" footer="0.3"/>
  <pageSetup scale="57" fitToWidth="0" orientation="portrait" horizontalDpi="90" verticalDpi="90"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5"/>
  <sheetViews>
    <sheetView topLeftCell="A18" workbookViewId="0">
      <selection activeCell="I18" sqref="I18"/>
    </sheetView>
  </sheetViews>
  <sheetFormatPr defaultColWidth="8.7109375" defaultRowHeight="14.25"/>
  <cols>
    <col min="1" max="1" width="10.5703125" style="4151" bestFit="1" customWidth="1"/>
    <col min="2" max="2" width="8.7109375" style="4151"/>
    <col min="3" max="3" width="13.5703125" style="4151" customWidth="1"/>
    <col min="4" max="4" width="44.5703125" style="4151" customWidth="1"/>
    <col min="5" max="5" width="19.140625" style="4151" customWidth="1"/>
    <col min="6" max="6" width="19.140625" style="4151" hidden="1" customWidth="1"/>
    <col min="7" max="7" width="6.42578125" style="4151" customWidth="1"/>
    <col min="8" max="8" width="21.85546875" style="4151" customWidth="1"/>
    <col min="9" max="9" width="24.140625" style="4151" customWidth="1"/>
    <col min="10" max="11" width="28.42578125" style="4151" hidden="1" customWidth="1"/>
    <col min="12" max="12" width="15.5703125" style="4151" customWidth="1"/>
    <col min="13" max="13" width="15.5703125" style="4156" customWidth="1"/>
    <col min="14" max="14" width="23.85546875" style="4151" customWidth="1"/>
    <col min="15" max="15" width="15.5703125" style="4157" hidden="1" customWidth="1"/>
    <col min="16" max="16" width="13.5703125" style="4151" customWidth="1"/>
    <col min="17" max="37" width="8.7109375" style="4151"/>
    <col min="38" max="38" width="15.5703125" style="4151" customWidth="1"/>
    <col min="39" max="39" width="16" style="4151" customWidth="1"/>
    <col min="40" max="16384" width="8.7109375" style="4151"/>
  </cols>
  <sheetData>
    <row r="1" spans="1:11" ht="15" hidden="1">
      <c r="A1" s="4150" t="s">
        <v>66</v>
      </c>
      <c r="C1" s="4152">
        <f>'Data Entry - SOF'!B1</f>
        <v>0</v>
      </c>
      <c r="E1" s="4153"/>
      <c r="F1" s="4154" t="str">
        <f>'Report-SOF1920-HB3'!D1</f>
        <v>Release 10</v>
      </c>
      <c r="G1" s="4155"/>
      <c r="J1" s="4155"/>
      <c r="K1" s="4155"/>
    </row>
    <row r="2" spans="1:11" ht="15" hidden="1">
      <c r="A2" s="4150" t="s">
        <v>67</v>
      </c>
      <c r="C2" s="4158">
        <f>'Data Entry - SOF'!B2</f>
        <v>0</v>
      </c>
      <c r="F2" s="4155">
        <f>'Report-SOF1920-HB3'!D2</f>
        <v>43724</v>
      </c>
      <c r="G2" s="4155"/>
      <c r="J2" s="4155"/>
      <c r="K2" s="4155"/>
    </row>
    <row r="3" spans="1:11" ht="15" hidden="1">
      <c r="A3" s="4150" t="s">
        <v>143</v>
      </c>
      <c r="C3" s="4159">
        <f ca="1">'Data Entry - SOF'!B3</f>
        <v>43726.623322453706</v>
      </c>
      <c r="F3" s="4160">
        <f>'Report-SOF1920-HB3'!D3</f>
        <v>0</v>
      </c>
    </row>
    <row r="4" spans="1:11" ht="15" hidden="1">
      <c r="D4" s="4161" t="s">
        <v>3183</v>
      </c>
    </row>
    <row r="5" spans="1:11" ht="15" hidden="1">
      <c r="D5" s="4162" t="s">
        <v>3286</v>
      </c>
    </row>
    <row r="6" spans="1:11" hidden="1"/>
    <row r="7" spans="1:11" ht="15" hidden="1">
      <c r="D7" s="4150" t="s">
        <v>1393</v>
      </c>
    </row>
    <row r="8" spans="1:11" ht="15" hidden="1">
      <c r="B8" s="4163"/>
      <c r="D8" s="4150" t="s">
        <v>832</v>
      </c>
      <c r="F8" s="4164">
        <f>'Calc Data'!H7</f>
        <v>0</v>
      </c>
      <c r="G8" s="4165"/>
      <c r="J8" s="4165"/>
      <c r="K8" s="4165"/>
    </row>
    <row r="9" spans="1:11" ht="15" hidden="1">
      <c r="D9" s="4150" t="s">
        <v>1394</v>
      </c>
      <c r="F9" s="4164">
        <f>'Calc Data'!H8</f>
        <v>0</v>
      </c>
      <c r="G9" s="4165"/>
      <c r="J9" s="4165"/>
      <c r="K9" s="4165"/>
    </row>
    <row r="10" spans="1:11" ht="15" hidden="1">
      <c r="D10" s="4150" t="s">
        <v>426</v>
      </c>
      <c r="F10" s="4164">
        <f>'Data Entry - SOF'!O35</f>
        <v>0</v>
      </c>
      <c r="G10" s="4165"/>
      <c r="J10" s="4165"/>
      <c r="K10" s="4165"/>
    </row>
    <row r="11" spans="1:11" ht="15" hidden="1">
      <c r="B11" s="4150"/>
      <c r="D11" s="4150" t="s">
        <v>427</v>
      </c>
      <c r="F11" s="4164">
        <f>'Calc Data'!H10</f>
        <v>0</v>
      </c>
      <c r="G11" s="4165"/>
      <c r="J11" s="4165"/>
      <c r="K11" s="4165"/>
    </row>
    <row r="12" spans="1:11" ht="15" hidden="1">
      <c r="D12" s="4150" t="s">
        <v>428</v>
      </c>
      <c r="F12" s="4166">
        <f>'Data Entry - SOF'!O73</f>
        <v>0</v>
      </c>
      <c r="G12" s="4166"/>
      <c r="J12" s="4166"/>
      <c r="K12" s="4166"/>
    </row>
    <row r="13" spans="1:11" ht="15" hidden="1">
      <c r="D13" s="4150" t="s">
        <v>429</v>
      </c>
      <c r="F13" s="4166" t="e">
        <f>'Data Entry - SOF'!#REF!</f>
        <v>#REF!</v>
      </c>
      <c r="G13" s="4166"/>
      <c r="J13" s="4166"/>
      <c r="K13" s="4166"/>
    </row>
    <row r="14" spans="1:11" ht="15" hidden="1">
      <c r="D14" s="4150" t="s">
        <v>1811</v>
      </c>
      <c r="F14" s="4164">
        <f>'Data Entry - SOF'!O159</f>
        <v>0</v>
      </c>
      <c r="G14" s="4166"/>
      <c r="J14" s="4166"/>
      <c r="K14" s="4166"/>
    </row>
    <row r="15" spans="1:11" ht="15" hidden="1">
      <c r="D15" s="4150" t="s">
        <v>1155</v>
      </c>
      <c r="F15" s="4164">
        <f>'Calc Data'!H59</f>
        <v>0</v>
      </c>
      <c r="G15" s="4167"/>
      <c r="J15" s="4167"/>
      <c r="K15" s="4167"/>
    </row>
    <row r="16" spans="1:11" ht="15" hidden="1">
      <c r="D16" s="4150" t="s">
        <v>1956</v>
      </c>
      <c r="F16" s="4166">
        <f>'Data Entry - SOF'!O93</f>
        <v>0</v>
      </c>
      <c r="G16" s="4166"/>
      <c r="J16" s="4166"/>
      <c r="K16" s="4166"/>
    </row>
    <row r="17" spans="2:38" ht="15.75" hidden="1" thickBot="1">
      <c r="D17" s="4168"/>
      <c r="E17" s="4169"/>
      <c r="F17" s="4169"/>
      <c r="G17" s="4166"/>
      <c r="J17" s="4166"/>
      <c r="K17" s="4166"/>
    </row>
    <row r="18" spans="2:38" ht="15">
      <c r="D18" s="4150"/>
      <c r="G18" s="4166"/>
      <c r="H18" s="4170" t="s">
        <v>6374</v>
      </c>
      <c r="I18" s="4171" t="s">
        <v>6374</v>
      </c>
      <c r="J18" s="4172" t="s">
        <v>6968</v>
      </c>
      <c r="K18" s="4172" t="s">
        <v>6967</v>
      </c>
    </row>
    <row r="19" spans="2:38" ht="15">
      <c r="B19" s="4173" t="s">
        <v>430</v>
      </c>
      <c r="D19" s="4150"/>
      <c r="F19" s="4174" t="s">
        <v>3898</v>
      </c>
      <c r="G19" s="4150"/>
      <c r="H19" s="4175" t="s">
        <v>9357</v>
      </c>
      <c r="I19" s="4176" t="s">
        <v>8765</v>
      </c>
      <c r="J19" s="4177" t="s">
        <v>8554</v>
      </c>
      <c r="K19" s="4178" t="s">
        <v>8553</v>
      </c>
    </row>
    <row r="20" spans="2:38" ht="15">
      <c r="B20" s="4173">
        <v>11</v>
      </c>
      <c r="C20" s="4157" t="s">
        <v>8777</v>
      </c>
      <c r="D20" s="4179" t="s">
        <v>3140</v>
      </c>
      <c r="F20" s="4180">
        <f>ROUND(ROUND('Calc Data'!H23,0)*IF('Calc Data'!H11&gt;'Calc Data'!H10,'Calc Data'!H11,'Calc Data'!H10),0)</f>
        <v>0</v>
      </c>
      <c r="G20" s="4166"/>
      <c r="H20" s="4181">
        <f>ROUND(ROUND('Calc Data'!AT23,0)*IF('Calc Data'!H11&gt;'Calc Data'!H10,'Calc Data'!H11,'Calc Data'!H10),0)</f>
        <v>0</v>
      </c>
      <c r="I20" s="4182" t="e">
        <f>ROUND(Assumptions!H136*IF('Calc Data'!H12&gt;'Calc Data'!H11,'Calc Data'!H12,'Calc Data'!H11),0)</f>
        <v>#DIV/0!</v>
      </c>
      <c r="J20" s="4183">
        <f>ROUND(ROUND('Calc Data'!AT78,0)*IF('Calc Data'!H11&gt;'Calc Data'!H10,'Calc Data'!H11,'Calc Data'!H10),0)</f>
        <v>0</v>
      </c>
      <c r="K20" s="4184"/>
      <c r="AL20" s="4166" t="e">
        <f>ROUND(ROUND('Calc Data'!AC23,0)*IF('Calc Data'!#REF!&gt;'Calc Data'!#REF!,'Calc Data'!#REF!,'Calc Data'!#REF!),0)</f>
        <v>#REF!</v>
      </c>
    </row>
    <row r="21" spans="2:38" ht="15">
      <c r="B21" s="4173"/>
      <c r="C21" s="4185" t="s">
        <v>8778</v>
      </c>
      <c r="D21" s="4186" t="s">
        <v>8769</v>
      </c>
      <c r="E21" s="4187"/>
      <c r="F21" s="4188"/>
      <c r="G21" s="4189"/>
      <c r="H21" s="4181"/>
      <c r="I21" s="4182">
        <f>MAX('Calc Data'!J96,'Calc Data'!J98)</f>
        <v>0</v>
      </c>
      <c r="J21" s="4190"/>
      <c r="K21" s="4191"/>
      <c r="AL21" s="4166"/>
    </row>
    <row r="22" spans="2:38" ht="15">
      <c r="B22" s="4173">
        <v>23</v>
      </c>
      <c r="C22" s="4157" t="s">
        <v>8778</v>
      </c>
      <c r="D22" s="4150" t="s">
        <v>8835</v>
      </c>
      <c r="F22" s="4166">
        <f>ROUND('Calc Data'!H9*ROUND('Calc Data'!H23,0),0)</f>
        <v>0</v>
      </c>
      <c r="G22" s="4166"/>
      <c r="H22" s="4192">
        <f>ROUND('Calc Data'!H9*ROUND('Calc Data'!AT23,0),0)</f>
        <v>0</v>
      </c>
      <c r="I22" s="4193" t="e">
        <f>ROUND('Calc Data'!H9*(Assumptions!H136+'Calc Data'!J95),0)</f>
        <v>#DIV/0!</v>
      </c>
      <c r="J22" s="4194">
        <f>ROUND('Calc Data'!H9*ROUND('Calc Data'!AT78,0),0)</f>
        <v>0</v>
      </c>
      <c r="K22" s="4195"/>
      <c r="AL22" s="4166" t="e">
        <f>ROUND('Calc Data'!#REF!*ROUND('Calc Data'!AC23,0),0)</f>
        <v>#REF!</v>
      </c>
    </row>
    <row r="23" spans="2:38" ht="15">
      <c r="B23" s="4173"/>
      <c r="C23" s="4157" t="s">
        <v>8778</v>
      </c>
      <c r="D23" s="4150" t="s">
        <v>90</v>
      </c>
      <c r="F23" s="4196"/>
      <c r="H23" s="4197"/>
      <c r="I23" s="4198"/>
      <c r="J23" s="4199"/>
      <c r="K23" s="4195"/>
    </row>
    <row r="24" spans="2:38" ht="15">
      <c r="B24" s="4173">
        <v>23</v>
      </c>
      <c r="C24" s="4157" t="s">
        <v>8778</v>
      </c>
      <c r="D24" s="4150" t="s">
        <v>91</v>
      </c>
      <c r="F24" s="4200">
        <f>ROUND('Data Entry - SOF'!O34*Weights!M21*ROUND('Calc Data'!H23,0),0)</f>
        <v>0</v>
      </c>
      <c r="G24" s="4200"/>
      <c r="H24" s="4201">
        <f>ROUND('Data Entry - SOF'!O34*Weights!M21*ROUND('Calc Data'!AT23,0),0)</f>
        <v>0</v>
      </c>
      <c r="I24" s="4202">
        <f>IF('Data Entry - SOF'!O34=0,0,ROUND('Data Entry - SOF'!O34*'Weights-HB3'!I18*(Assumptions!H136+'Calc Data'!J95),0))</f>
        <v>0</v>
      </c>
      <c r="J24" s="4203">
        <f>ROUND('Data Entry - SOF'!O34*Weights!M21*ROUND('Calc Data'!AT78,0),0)</f>
        <v>0</v>
      </c>
      <c r="K24" s="4195"/>
      <c r="AL24" s="4200" t="e">
        <f>ROUND('Data Entry - SOF'!#REF!*1.1*ROUND('Calc Data'!AC23,0),0)</f>
        <v>#REF!</v>
      </c>
    </row>
    <row r="25" spans="2:38" ht="15">
      <c r="B25" s="4173">
        <v>23</v>
      </c>
      <c r="C25" s="4157" t="s">
        <v>8778</v>
      </c>
      <c r="D25" s="4150" t="s">
        <v>92</v>
      </c>
      <c r="F25" s="4166">
        <f>ROUND((+'Data Entry - SOF'!O32*Weights!M19)*ROUND('Calc Data'!H23,0),0)</f>
        <v>0</v>
      </c>
      <c r="G25" s="4166"/>
      <c r="H25" s="4192">
        <f>ROUND((+'Data Entry - SOF'!O32*Weights!M19)*ROUND('Calc Data'!AT23,0),0)</f>
        <v>0</v>
      </c>
      <c r="I25" s="4193">
        <f>IF('Data Entry - SOF'!O32=0,0,ROUND(('Data Entry - SOF'!O32*'Weights-HB3'!I16)*(Assumptions!H136+'Calc Data'!J95),0))</f>
        <v>0</v>
      </c>
      <c r="J25" s="4194">
        <f>ROUND((+'Data Entry - SOF'!O32*Weights!M19)*ROUND('Calc Data'!AT78,0),0)</f>
        <v>0</v>
      </c>
      <c r="K25" s="4195"/>
      <c r="AL25" s="4166" t="e">
        <f>ROUND((+'Data Entry - SOF'!#REF!*4)*ROUND('Calc Data'!AC23,0),0)</f>
        <v>#REF!</v>
      </c>
    </row>
    <row r="26" spans="2:38" ht="15">
      <c r="B26" s="4173">
        <v>23</v>
      </c>
      <c r="C26" s="4157" t="s">
        <v>8778</v>
      </c>
      <c r="D26" s="4204" t="s">
        <v>812</v>
      </c>
      <c r="F26" s="4166">
        <f>ROUND((+'Data Entry - SOF'!O30*Weights!M17)*ROUND('Calc Data'!H23,0),0)</f>
        <v>0</v>
      </c>
      <c r="G26" s="4166"/>
      <c r="H26" s="4192">
        <f>ROUND((+'Data Entry - SOF'!O30*Weights!M17)*ROUND('Calc Data'!AT23,0),0)</f>
        <v>0</v>
      </c>
      <c r="I26" s="4193">
        <f>IF('Data Entry - SOF'!O30=0,0,ROUND((+'Data Entry - SOF'!O30*'Weights-HB3'!I14)*Assumptions!H136+'Calc Data'!J95,0))</f>
        <v>0</v>
      </c>
      <c r="J26" s="4194">
        <f>ROUND((+'Data Entry - SOF'!O30*Weights!M17)*ROUND('Calc Data'!AT78,0),0)</f>
        <v>0</v>
      </c>
      <c r="K26" s="4195"/>
      <c r="AL26" s="4166" t="e">
        <f>ROUND((+'Data Entry - SOF'!#REF!*2.8)*ROUND('Calc Data'!AC23,0),0)</f>
        <v>#REF!</v>
      </c>
    </row>
    <row r="27" spans="2:38" ht="15">
      <c r="B27" s="4173">
        <v>23</v>
      </c>
      <c r="C27" s="4157" t="s">
        <v>8778</v>
      </c>
      <c r="D27" s="4204" t="s">
        <v>813</v>
      </c>
      <c r="F27" s="4166">
        <f>ROUND(('Data Entry - SOF'!O31*Weights!M18)*ROUND('Calc Data'!H23,0),0)</f>
        <v>0</v>
      </c>
      <c r="G27" s="4166"/>
      <c r="H27" s="4192">
        <f>ROUND(('Data Entry - SOF'!O31*Weights!M18)*ROUND('Calc Data'!AT23,0),0)</f>
        <v>0</v>
      </c>
      <c r="I27" s="4193">
        <f>IF('Data Entry - SOF'!O31=0,0,ROUND(('Data Entry - SOF'!O31*'Weights-HB3'!I15)*(Assumptions!H136+'Calc Data'!J95),0))</f>
        <v>0</v>
      </c>
      <c r="J27" s="4194">
        <f>ROUND(('Data Entry - SOF'!O31*Weights!M18)*ROUND('Calc Data'!AT78,0),0)</f>
        <v>0</v>
      </c>
      <c r="K27" s="4195"/>
      <c r="AL27" s="4166" t="e">
        <f>ROUND(('Data Entry - SOF'!#REF!*1.7)*ROUND('Calc Data'!AC23,0),0)</f>
        <v>#REF!</v>
      </c>
    </row>
    <row r="28" spans="2:38" ht="15">
      <c r="B28" s="4173"/>
      <c r="C28" s="4157" t="s">
        <v>8778</v>
      </c>
      <c r="D28" s="4150" t="s">
        <v>1145</v>
      </c>
      <c r="F28" s="4166">
        <f>IF('Data Entry - SOF'!O114&lt;0,'Data Entry - SOF'!O114,'Data Entry - SOF'!O114*-1)</f>
        <v>0</v>
      </c>
      <c r="G28" s="4166"/>
      <c r="H28" s="4192">
        <f>IF('Data Entry - SOF'!O114&lt;0,'Data Entry - SOF'!O114,'Data Entry - SOF'!O114*-1)</f>
        <v>0</v>
      </c>
      <c r="I28" s="4193">
        <f>IF('Data Entry - SOF'!O116&lt;0,'Data Entry - SOF'!O116,'Data Entry - SOF'!O116*-1)</f>
        <v>0</v>
      </c>
      <c r="J28" s="4205">
        <f>H28</f>
        <v>0</v>
      </c>
      <c r="K28" s="4195"/>
      <c r="AL28" s="4166">
        <v>0</v>
      </c>
    </row>
    <row r="29" spans="2:38" ht="15">
      <c r="B29" s="4173">
        <v>22</v>
      </c>
      <c r="C29" s="4157" t="s">
        <v>8778</v>
      </c>
      <c r="D29" s="4150" t="s">
        <v>2834</v>
      </c>
      <c r="F29" s="4166">
        <f>ROUND(ROUND('Calc Data'!H23,0)*'Data Entry - SOF'!O35*Weights!M23,0)</f>
        <v>0</v>
      </c>
      <c r="G29" s="4166"/>
      <c r="H29" s="4192">
        <f>ROUND(ROUND('Calc Data'!AT23,0)*'Data Entry - SOF'!O35*Weights!M23,0)</f>
        <v>0</v>
      </c>
      <c r="I29" s="4193" t="e">
        <f>ROUND(Assumptions!H136*'Data Entry - SOF'!O36*'Weights-HB3'!I20,0)</f>
        <v>#DIV/0!</v>
      </c>
      <c r="J29" s="4194">
        <f>ROUND(ROUND('Calc Data'!AT78,0)*'Data Entry - SOF'!O35*Weights!M23,0)</f>
        <v>0</v>
      </c>
      <c r="K29" s="4195"/>
      <c r="AL29" s="4166" t="e">
        <f>ROUND(ROUND('Calc Data'!AC23,0)*'Data Entry - SOF'!#REF!*1.35,0)</f>
        <v>#REF!</v>
      </c>
    </row>
    <row r="30" spans="2:38" ht="15">
      <c r="B30" s="4173"/>
      <c r="C30" s="4157" t="s">
        <v>8778</v>
      </c>
      <c r="D30" s="4196" t="s">
        <v>644</v>
      </c>
      <c r="F30" s="4166">
        <f>Weights!M24*'Data Entry - SOF'!O37</f>
        <v>0</v>
      </c>
      <c r="G30" s="4166"/>
      <c r="H30" s="4192">
        <f>Weights!M24*'Data Entry - SOF'!O37</f>
        <v>0</v>
      </c>
      <c r="I30" s="4193">
        <f>ROUND('Weights-HB3'!I21*'Data Entry - SOF'!O37,0)</f>
        <v>0</v>
      </c>
      <c r="J30" s="4205">
        <f>H30</f>
        <v>0</v>
      </c>
      <c r="K30" s="4195"/>
      <c r="AL30" s="4166"/>
    </row>
    <row r="31" spans="2:38" ht="15" hidden="1">
      <c r="B31" s="4173"/>
      <c r="C31" s="4157" t="s">
        <v>8778</v>
      </c>
      <c r="D31" s="4196" t="s">
        <v>645</v>
      </c>
      <c r="F31" s="4166" t="e">
        <f>400*'Data Entry - SOF'!O39</f>
        <v>#DIV/0!</v>
      </c>
      <c r="G31" s="4166"/>
      <c r="H31" s="4192" t="e">
        <f>400*'Data Entry - SOF'!O39</f>
        <v>#DIV/0!</v>
      </c>
      <c r="I31" s="4198"/>
      <c r="J31" s="4206"/>
      <c r="K31" s="4195"/>
      <c r="AL31" s="4166"/>
    </row>
    <row r="32" spans="2:38" ht="15" hidden="1">
      <c r="B32" s="4173"/>
      <c r="C32" s="4157" t="s">
        <v>8778</v>
      </c>
      <c r="D32" s="4196" t="s">
        <v>646</v>
      </c>
      <c r="F32" s="4166" t="e">
        <f>80*'Data Entry - SOF'!O40</f>
        <v>#DIV/0!</v>
      </c>
      <c r="G32" s="4166"/>
      <c r="H32" s="4192" t="e">
        <f>80*'Data Entry - SOF'!O40</f>
        <v>#DIV/0!</v>
      </c>
      <c r="I32" s="4198"/>
      <c r="J32" s="4206"/>
      <c r="K32" s="4195"/>
      <c r="AL32" s="4166"/>
    </row>
    <row r="33" spans="2:38" ht="15">
      <c r="B33" s="4173">
        <v>21</v>
      </c>
      <c r="C33" s="4157" t="s">
        <v>8778</v>
      </c>
      <c r="D33" s="4150" t="s">
        <v>2838</v>
      </c>
      <c r="F33" s="4166">
        <f>ROUND(ROUND('Calc Data'!H23,0)*'Data Entry - SOF'!O211*Weights!M28,0)</f>
        <v>0</v>
      </c>
      <c r="G33" s="4166"/>
      <c r="H33" s="4192">
        <f>ROUND(ROUND('Calc Data'!AT23,0)*'Data Entry - SOF'!O211*Weights!M28,0)</f>
        <v>0</v>
      </c>
      <c r="I33" s="4207"/>
      <c r="J33" s="4194">
        <f>ROUND(ROUND('Calc Data'!AT78,0)*'Data Entry - SOF'!O211*Weights!M28,0)</f>
        <v>0</v>
      </c>
      <c r="K33" s="4195"/>
      <c r="AL33" s="4166" t="e">
        <f>ROUND(ROUND('Calc Data'!AC23,0)*'Data Entry - SOF'!#REF!*0.12,0)</f>
        <v>#REF!</v>
      </c>
    </row>
    <row r="34" spans="2:38" ht="15">
      <c r="B34" s="4173"/>
      <c r="C34" s="4157" t="s">
        <v>8778</v>
      </c>
      <c r="D34" s="4150" t="s">
        <v>397</v>
      </c>
      <c r="F34" s="4166">
        <f>IF('Data Entry - SOF'!O113&lt;0,'Data Entry - SOF'!O113,'Data Entry - SOF'!O113*-1)</f>
        <v>0</v>
      </c>
      <c r="G34" s="4166"/>
      <c r="H34" s="4192">
        <f>IF('Data Entry - SOF'!O113&lt;0,'Data Entry - SOF'!O113,'Data Entry - SOF'!O113*-1)</f>
        <v>0</v>
      </c>
      <c r="I34" s="4193">
        <f>IF('Data Entry - SOF'!O115&lt;0,'Data Entry - SOF'!O115,'Data Entry - SOF'!O115*-1)</f>
        <v>0</v>
      </c>
      <c r="J34" s="4205">
        <f>H34</f>
        <v>0</v>
      </c>
      <c r="K34" s="4195"/>
      <c r="AL34" s="4166">
        <v>0</v>
      </c>
    </row>
    <row r="35" spans="2:38" ht="15">
      <c r="B35" s="4173" t="s">
        <v>2497</v>
      </c>
      <c r="C35" s="4185" t="s">
        <v>8778</v>
      </c>
      <c r="D35" s="4208" t="s">
        <v>3041</v>
      </c>
      <c r="E35" s="4187"/>
      <c r="F35" s="4189">
        <f>ROUND(ROUND('Calc Data'!H23,0)*'Data Entry - SOF'!O41*Weights!M30,0)</f>
        <v>0</v>
      </c>
      <c r="G35" s="4189"/>
      <c r="H35" s="4192">
        <f>ROUND(ROUND('Calc Data'!AT23,0)*'Data Entry - SOF'!O41*Weights!M30,0)</f>
        <v>0</v>
      </c>
      <c r="I35" s="4207"/>
      <c r="J35" s="4194">
        <f>ROUND(ROUND('Calc Data'!AT78,0)*'Data Entry - SOF'!O41*Weights!M30,0)</f>
        <v>0</v>
      </c>
      <c r="K35" s="4195"/>
      <c r="AL35" s="4166" t="e">
        <f>ROUND(ROUND('Calc Data'!AC23,0)*'Data Entry - SOF'!#REF!*0.2,0)</f>
        <v>#REF!</v>
      </c>
    </row>
    <row r="36" spans="2:38" ht="15">
      <c r="B36" s="4173"/>
      <c r="C36" s="4185" t="s">
        <v>8778</v>
      </c>
      <c r="D36" s="4186" t="s">
        <v>8845</v>
      </c>
      <c r="E36" s="4187"/>
      <c r="F36" s="4189"/>
      <c r="G36" s="4189"/>
      <c r="H36" s="4192"/>
      <c r="I36" s="4207" t="e">
        <f>ROUND(Assumptions!H136*'Data Entry - SOF'!O42*'Weights-HB3'!I31,0)</f>
        <v>#DIV/0!</v>
      </c>
      <c r="J36" s="4194"/>
      <c r="K36" s="4191"/>
      <c r="AL36" s="4166"/>
    </row>
    <row r="37" spans="2:38" ht="15">
      <c r="B37" s="4173"/>
      <c r="C37" s="4185" t="s">
        <v>8778</v>
      </c>
      <c r="D37" s="4186" t="s">
        <v>8846</v>
      </c>
      <c r="E37" s="4187"/>
      <c r="F37" s="4189"/>
      <c r="G37" s="4189"/>
      <c r="H37" s="4192"/>
      <c r="I37" s="4207" t="e">
        <f>ROUND(Assumptions!H136*'Data Entry - SOF'!O43*'Weights-HB3'!I32,0)</f>
        <v>#DIV/0!</v>
      </c>
      <c r="J37" s="4194"/>
      <c r="K37" s="4191"/>
      <c r="AL37" s="4166"/>
    </row>
    <row r="38" spans="2:38" ht="15">
      <c r="B38" s="4173"/>
      <c r="C38" s="4185" t="s">
        <v>8778</v>
      </c>
      <c r="D38" s="4186" t="s">
        <v>8874</v>
      </c>
      <c r="E38" s="4187"/>
      <c r="F38" s="4189"/>
      <c r="G38" s="4189"/>
      <c r="H38" s="4192"/>
      <c r="I38" s="4207" t="e">
        <f>ROUND(Assumptions!H136*'Data Entry - SOF'!O44*'Weights-HB3'!I33,0)</f>
        <v>#DIV/0!</v>
      </c>
      <c r="J38" s="4194"/>
      <c r="K38" s="4191"/>
      <c r="AL38" s="4166"/>
    </row>
    <row r="39" spans="2:38" ht="15">
      <c r="B39" s="4173"/>
      <c r="C39" s="4185" t="s">
        <v>8778</v>
      </c>
      <c r="D39" s="4186" t="s">
        <v>8875</v>
      </c>
      <c r="E39" s="4187"/>
      <c r="F39" s="4189"/>
      <c r="G39" s="4189"/>
      <c r="H39" s="4192"/>
      <c r="I39" s="4207" t="e">
        <f>ROUND(Assumptions!H136*'Data Entry - SOF'!O45*'Weights-HB3'!I34,0)</f>
        <v>#DIV/0!</v>
      </c>
      <c r="J39" s="4194"/>
      <c r="K39" s="4191"/>
      <c r="AL39" s="4166"/>
    </row>
    <row r="40" spans="2:38" ht="15">
      <c r="B40" s="4173"/>
      <c r="C40" s="4185" t="s">
        <v>8778</v>
      </c>
      <c r="D40" s="4186" t="s">
        <v>8876</v>
      </c>
      <c r="E40" s="4187"/>
      <c r="F40" s="4189"/>
      <c r="G40" s="4189"/>
      <c r="H40" s="4192"/>
      <c r="I40" s="4207" t="e">
        <f>ROUND(Assumptions!H136*'Data Entry - SOF'!O46*'Weights-HB3'!I35,0)</f>
        <v>#DIV/0!</v>
      </c>
      <c r="J40" s="4194"/>
      <c r="K40" s="4191"/>
      <c r="AL40" s="4166"/>
    </row>
    <row r="41" spans="2:38" ht="15">
      <c r="B41" s="4173"/>
      <c r="C41" s="4185" t="s">
        <v>8778</v>
      </c>
      <c r="D41" s="4186" t="s">
        <v>8877</v>
      </c>
      <c r="E41" s="4187"/>
      <c r="F41" s="4189"/>
      <c r="G41" s="4189"/>
      <c r="H41" s="4192"/>
      <c r="I41" s="4207" t="e">
        <f>ROUND(Assumptions!H136*'Data Entry - SOF'!O47*'Weights-HB3'!I36,0)</f>
        <v>#DIV/0!</v>
      </c>
      <c r="J41" s="4194"/>
      <c r="K41" s="4191"/>
      <c r="AL41" s="4166"/>
    </row>
    <row r="42" spans="2:38" ht="15">
      <c r="B42" s="4173"/>
      <c r="C42" s="4185" t="s">
        <v>8778</v>
      </c>
      <c r="D42" s="4186" t="s">
        <v>8878</v>
      </c>
      <c r="E42" s="4187"/>
      <c r="F42" s="4189"/>
      <c r="G42" s="4189"/>
      <c r="H42" s="4192"/>
      <c r="I42" s="4207" t="e">
        <f>ROUND(Assumptions!H136*'Data Entry - SOF'!O48*'Weights-HB3'!I37,0)</f>
        <v>#DIV/0!</v>
      </c>
      <c r="J42" s="4194"/>
      <c r="K42" s="4191"/>
      <c r="AL42" s="4166"/>
    </row>
    <row r="43" spans="2:38" ht="15">
      <c r="B43" s="4173" t="s">
        <v>2497</v>
      </c>
      <c r="C43" s="4157" t="s">
        <v>8778</v>
      </c>
      <c r="D43" s="4150" t="s">
        <v>399</v>
      </c>
      <c r="F43" s="4166">
        <f>ROUND(ROUND('Calc Data'!H23,0)*'Data Entry - SOF'!O49*Weights!M31,0)</f>
        <v>0</v>
      </c>
      <c r="G43" s="4166"/>
      <c r="H43" s="4192">
        <f>ROUND(ROUND('Calc Data'!AT23,0)*'Data Entry - SOF'!O49*Weights!M31,0)</f>
        <v>0</v>
      </c>
      <c r="I43" s="4193" t="e">
        <f>ROUND(Assumptions!H136*'Data Entry - SOF'!O49*'Weights-HB3'!I40,0)</f>
        <v>#DIV/0!</v>
      </c>
      <c r="J43" s="4194">
        <f>ROUND(ROUND('Calc Data'!AT78,0)*'Data Entry - SOF'!O49*Weights!M31,0)</f>
        <v>0</v>
      </c>
      <c r="K43" s="4195"/>
      <c r="AL43" s="4166" t="e">
        <f>ROUND(ROUND('Calc Data'!AC23,0)*'Data Entry - SOF'!#REF!*2.41,0)</f>
        <v>#REF!</v>
      </c>
    </row>
    <row r="44" spans="2:38" ht="15" hidden="1">
      <c r="B44" s="4173" t="s">
        <v>2497</v>
      </c>
      <c r="C44" s="4157" t="s">
        <v>8778</v>
      </c>
      <c r="D44" s="4179" t="s">
        <v>451</v>
      </c>
      <c r="E44" s="4209"/>
      <c r="F44" s="4166">
        <f>650*'Data Entry - SOF'!O50</f>
        <v>0</v>
      </c>
      <c r="G44" s="4166"/>
      <c r="H44" s="4192">
        <f>650*'Data Entry - SOF'!O50</f>
        <v>0</v>
      </c>
      <c r="I44" s="4198"/>
      <c r="J44" s="4206"/>
      <c r="K44" s="4195"/>
      <c r="AL44" s="4166"/>
    </row>
    <row r="45" spans="2:38" ht="15" hidden="1">
      <c r="B45" s="4173"/>
      <c r="C45" s="4157" t="s">
        <v>8778</v>
      </c>
      <c r="D45" s="4150" t="s">
        <v>1229</v>
      </c>
      <c r="F45" s="4210">
        <v>0</v>
      </c>
      <c r="G45" s="4166"/>
      <c r="H45" s="4211">
        <v>0</v>
      </c>
      <c r="I45" s="4198"/>
      <c r="J45" s="4206"/>
      <c r="K45" s="4195"/>
      <c r="AL45" s="4166">
        <v>0</v>
      </c>
    </row>
    <row r="46" spans="2:38" ht="15">
      <c r="B46" s="4173">
        <v>25</v>
      </c>
      <c r="C46" s="4157" t="s">
        <v>8778</v>
      </c>
      <c r="D46" s="4150" t="s">
        <v>8830</v>
      </c>
      <c r="F46" s="4166">
        <f>ROUND(ROUND('Calc Data'!H23,0)*('Data Entry - SOF'!O51*Weights!M26),0)</f>
        <v>0</v>
      </c>
      <c r="G46" s="4166"/>
      <c r="H46" s="4192">
        <f>ROUND(ROUND('Calc Data'!AT23,0)*('Data Entry - SOF'!O51*Weights!M26),0)</f>
        <v>0</v>
      </c>
      <c r="I46" s="4193" t="e">
        <f>ROUND(Assumptions!H136*'Data Entry - SOF'!O52*'Weights-HB3'!I23,0)</f>
        <v>#DIV/0!</v>
      </c>
      <c r="J46" s="4194">
        <f>ROUND(ROUND('Calc Data'!AT78,0)*('Data Entry - SOF'!O51*Weights!M26),0)</f>
        <v>0</v>
      </c>
      <c r="K46" s="4195"/>
      <c r="AL46" s="4166" t="e">
        <f>ROUND(ROUND('Calc Data'!AC23,0)*('Data Entry - SOF'!#REF!*0.1),0)</f>
        <v>#REF!</v>
      </c>
    </row>
    <row r="47" spans="2:38" ht="15">
      <c r="B47" s="4173"/>
      <c r="C47" s="4185" t="s">
        <v>8778</v>
      </c>
      <c r="D47" s="4208" t="s">
        <v>8831</v>
      </c>
      <c r="E47" s="4187"/>
      <c r="F47" s="4189"/>
      <c r="G47" s="4189"/>
      <c r="H47" s="4192"/>
      <c r="I47" s="4193" t="e">
        <f>ROUND(Assumptions!H136*'Data Entry - SOF'!O53*'Weights-HB3'!I24,0)</f>
        <v>#DIV/0!</v>
      </c>
      <c r="J47" s="4194"/>
      <c r="K47" s="4191"/>
      <c r="AL47" s="4166"/>
    </row>
    <row r="48" spans="2:38" ht="15">
      <c r="B48" s="4173"/>
      <c r="C48" s="4185" t="s">
        <v>8778</v>
      </c>
      <c r="D48" s="4208" t="s">
        <v>8832</v>
      </c>
      <c r="E48" s="4187"/>
      <c r="F48" s="4189"/>
      <c r="G48" s="4189"/>
      <c r="H48" s="4192"/>
      <c r="I48" s="4193" t="e">
        <f>ROUND(Assumptions!H136*'Data Entry - SOF'!O54*'Weights-HB3'!I25,0)</f>
        <v>#DIV/0!</v>
      </c>
      <c r="J48" s="4194"/>
      <c r="K48" s="4191"/>
      <c r="AL48" s="4166"/>
    </row>
    <row r="49" spans="2:38" ht="15">
      <c r="B49" s="4173"/>
      <c r="C49" s="4185" t="s">
        <v>8778</v>
      </c>
      <c r="D49" s="4208" t="s">
        <v>8775</v>
      </c>
      <c r="E49" s="4187"/>
      <c r="F49" s="4189"/>
      <c r="G49" s="4189"/>
      <c r="H49" s="4192"/>
      <c r="I49" s="4193" t="e">
        <f>ROUND(Assumptions!H136*'Data Entry - SOF'!O55*'Weights-HB3'!I69,0)</f>
        <v>#DIV/0!</v>
      </c>
      <c r="J49" s="4194"/>
      <c r="K49" s="4191"/>
      <c r="AL49" s="4166"/>
    </row>
    <row r="50" spans="2:38" ht="15">
      <c r="B50" s="4173"/>
      <c r="C50" s="4185" t="s">
        <v>8778</v>
      </c>
      <c r="D50" s="4208" t="s">
        <v>9038</v>
      </c>
      <c r="E50" s="4187"/>
      <c r="F50" s="4189"/>
      <c r="G50" s="4189"/>
      <c r="H50" s="4192"/>
      <c r="I50" s="4193" t="e">
        <f>Assumptions!H136*'Data Entry - SOF'!O56*'Weights-HB3'!I71</f>
        <v>#DIV/0!</v>
      </c>
      <c r="J50" s="4194"/>
      <c r="K50" s="4191"/>
      <c r="AL50" s="4166"/>
    </row>
    <row r="51" spans="2:38" ht="15">
      <c r="B51" s="4173"/>
      <c r="C51" s="4185" t="s">
        <v>8778</v>
      </c>
      <c r="D51" s="4208" t="s">
        <v>9378</v>
      </c>
      <c r="E51" s="4187"/>
      <c r="F51" s="4189"/>
      <c r="G51" s="4189"/>
      <c r="H51" s="4192"/>
      <c r="I51" s="4193">
        <f>('Data Entry - SOF'!O57*'Weights-HB3'!G110)+('Data Entry - SOF'!O58*'Weights-HB3'!G111)+('Data Entry - SOF'!O59*'Weights-HB3'!G112)</f>
        <v>0</v>
      </c>
      <c r="J51" s="4194"/>
      <c r="K51" s="4191"/>
      <c r="AL51" s="4166"/>
    </row>
    <row r="52" spans="2:38" ht="15">
      <c r="B52" s="4173">
        <v>31</v>
      </c>
      <c r="C52" s="4157" t="s">
        <v>8778</v>
      </c>
      <c r="D52" s="4196" t="s">
        <v>2435</v>
      </c>
      <c r="F52" s="4166">
        <f>Weights!M33*'Data Entry - SOF'!O21</f>
        <v>0</v>
      </c>
      <c r="G52" s="4166"/>
      <c r="H52" s="4192">
        <f>Weights!M33*'Data Entry - SOF'!O21</f>
        <v>0</v>
      </c>
      <c r="I52" s="4207"/>
      <c r="J52" s="4205">
        <f>H52</f>
        <v>0</v>
      </c>
      <c r="K52" s="4195"/>
      <c r="AL52" s="4166" t="e">
        <f>#REF!</f>
        <v>#REF!</v>
      </c>
    </row>
    <row r="53" spans="2:38" ht="15">
      <c r="B53" s="4173"/>
      <c r="C53" s="4157" t="s">
        <v>8778</v>
      </c>
      <c r="D53" s="4150" t="s">
        <v>872</v>
      </c>
      <c r="F53" s="4166">
        <f>ROUND(ROUND('Calc Data'!H23,0)*'Data Entry - SOF'!O61*Weights!M37,0)</f>
        <v>0</v>
      </c>
      <c r="G53" s="4166"/>
      <c r="H53" s="4192">
        <f>ROUND(ROUND('Calc Data'!AT23,0)*'Data Entry - SOF'!O61*Weights!M37,0)</f>
        <v>0</v>
      </c>
      <c r="I53" s="4212" t="e">
        <f>ROUND(Assumptions!H136*'Data Entry - SOF'!O61*'Weights-HB3'!I46,0)</f>
        <v>#DIV/0!</v>
      </c>
      <c r="J53" s="4194">
        <f>ROUND(ROUND('Calc Data'!AT78,0)*'Data Entry - SOF'!O61*Weights!M37,0)</f>
        <v>0</v>
      </c>
      <c r="K53" s="4195"/>
      <c r="AL53" s="4166" t="e">
        <f>ROUND(ROUND('Calc Data'!AC23,0)*'Data Entry - SOF'!#REF!*0.1,0)</f>
        <v>#REF!</v>
      </c>
    </row>
    <row r="54" spans="2:38" ht="15">
      <c r="B54" s="4173"/>
      <c r="C54" s="4185" t="s">
        <v>8778</v>
      </c>
      <c r="D54" s="4208" t="s">
        <v>8942</v>
      </c>
      <c r="E54" s="4187"/>
      <c r="F54" s="4189"/>
      <c r="G54" s="4189"/>
      <c r="H54" s="4192"/>
      <c r="I54" s="4212">
        <f>IF('Data Entry - SOF'!O160="Y",'Weights-HB3'!I114*'Data Entry - SOF'!O19*Assumptions!H136,0)</f>
        <v>0</v>
      </c>
      <c r="J54" s="4194"/>
      <c r="K54" s="4191"/>
      <c r="AL54" s="4166"/>
    </row>
    <row r="55" spans="2:38" ht="15">
      <c r="B55" s="4173"/>
      <c r="C55" s="4185" t="s">
        <v>8778</v>
      </c>
      <c r="D55" s="4208" t="s">
        <v>9025</v>
      </c>
      <c r="E55" s="4187"/>
      <c r="F55" s="4189"/>
      <c r="G55" s="4189"/>
      <c r="H55" s="4192"/>
      <c r="I55" s="4212">
        <v>0</v>
      </c>
      <c r="J55" s="4194"/>
      <c r="K55" s="4191"/>
      <c r="L55" s="4196" t="s">
        <v>9036</v>
      </c>
      <c r="AL55" s="4166"/>
    </row>
    <row r="56" spans="2:38" ht="15">
      <c r="B56" s="4173"/>
      <c r="C56" s="4185" t="s">
        <v>8778</v>
      </c>
      <c r="D56" s="4208" t="s">
        <v>9026</v>
      </c>
      <c r="E56" s="4187"/>
      <c r="F56" s="4189"/>
      <c r="G56" s="4189"/>
      <c r="H56" s="4192"/>
      <c r="I56" s="4212">
        <v>0</v>
      </c>
      <c r="J56" s="4194"/>
      <c r="K56" s="4191"/>
      <c r="L56" s="4196" t="s">
        <v>9036</v>
      </c>
      <c r="AL56" s="4166"/>
    </row>
    <row r="57" spans="2:38" ht="15">
      <c r="B57" s="4173"/>
      <c r="C57" s="4185" t="s">
        <v>8778</v>
      </c>
      <c r="D57" s="4208" t="s">
        <v>9088</v>
      </c>
      <c r="E57" s="4187"/>
      <c r="F57" s="4189"/>
      <c r="G57" s="4189"/>
      <c r="H57" s="4192"/>
      <c r="I57" s="4212">
        <f>'Data Entry - SOF'!O19*'Weights-HB3'!I65</f>
        <v>0</v>
      </c>
      <c r="J57" s="4194"/>
      <c r="K57" s="4191"/>
      <c r="L57" s="4196"/>
      <c r="AL57" s="4166"/>
    </row>
    <row r="58" spans="2:38" ht="15">
      <c r="B58" s="4173"/>
      <c r="C58" s="4185" t="s">
        <v>8778</v>
      </c>
      <c r="D58" s="4208" t="s">
        <v>9379</v>
      </c>
      <c r="E58" s="4187"/>
      <c r="F58" s="4189"/>
      <c r="G58" s="4189"/>
      <c r="H58" s="4192">
        <f>'Data Entry - SOF'!O125</f>
        <v>0</v>
      </c>
      <c r="I58" s="4212">
        <f>H58</f>
        <v>0</v>
      </c>
      <c r="J58" s="4194"/>
      <c r="K58" s="4191"/>
      <c r="L58" s="4196"/>
      <c r="AL58" s="4166"/>
    </row>
    <row r="59" spans="2:38" ht="15">
      <c r="B59" s="4173"/>
      <c r="C59" s="4157" t="s">
        <v>8779</v>
      </c>
      <c r="D59" s="4196" t="s">
        <v>3839</v>
      </c>
      <c r="F59" s="4213">
        <f>'Data Entry - SOF'!O62*Weights!M35</f>
        <v>0</v>
      </c>
      <c r="G59" s="4166"/>
      <c r="H59" s="4214">
        <f>'Data Entry - SOF'!O62*Weights!M50</f>
        <v>0</v>
      </c>
      <c r="I59" s="4207">
        <f>'Data Entry - SOF'!O62*'Weights-HB3'!I44</f>
        <v>0</v>
      </c>
      <c r="J59" s="4205">
        <f>H59</f>
        <v>0</v>
      </c>
      <c r="K59" s="4195"/>
      <c r="AL59" s="4166" t="e">
        <f>'Data Entry - SOF'!#REF!*250</f>
        <v>#REF!</v>
      </c>
    </row>
    <row r="60" spans="2:38" ht="15">
      <c r="B60" s="4173">
        <v>99</v>
      </c>
      <c r="C60" s="4157" t="s">
        <v>8779</v>
      </c>
      <c r="D60" s="4150" t="s">
        <v>8834</v>
      </c>
      <c r="F60" s="4215">
        <f>'Data Entry - SOF'!O104</f>
        <v>0</v>
      </c>
      <c r="G60" s="4166"/>
      <c r="H60" s="4192">
        <f>'Data Entry - SOF'!O104</f>
        <v>0</v>
      </c>
      <c r="I60" s="4207">
        <f>('Data Entry - SOF'!O105*'Weights-HB3'!I67)+'Data Entry - SOF'!O106+'Data Entry - SOF'!O107+'Data Entry - SOF'!O108</f>
        <v>0</v>
      </c>
      <c r="J60" s="4216">
        <f>H60</f>
        <v>0</v>
      </c>
      <c r="K60" s="4217"/>
      <c r="AL60" s="4215" t="e">
        <f>'Data Entry - SOF'!#REF!</f>
        <v>#REF!</v>
      </c>
    </row>
    <row r="61" spans="2:38" ht="15" hidden="1">
      <c r="B61" s="4173"/>
      <c r="C61" s="4185" t="s">
        <v>8779</v>
      </c>
      <c r="D61" s="4208" t="s">
        <v>8851</v>
      </c>
      <c r="E61" s="4187"/>
      <c r="F61" s="4189"/>
      <c r="G61" s="4189"/>
      <c r="H61" s="4218"/>
      <c r="I61" s="4207"/>
      <c r="J61" s="4205"/>
      <c r="K61" s="4191"/>
      <c r="O61" s="4207" t="e">
        <f>IF('Data Entry - SOF'!O109="N",ROUND(Assumptions!H136*'Data Entry - SOF'!O48*'Weights-HB3'!I79,0),MAX(Assumptions!H136*'Data Entry - SOF'!O48*'Weights-HB3'!I79,Assumptions!H136*'Data Entry - SOF'!O19))</f>
        <v>#DIV/0!</v>
      </c>
      <c r="AL61" s="4166"/>
    </row>
    <row r="62" spans="2:38" ht="15" hidden="1">
      <c r="B62" s="4173"/>
      <c r="C62" s="4185" t="s">
        <v>8779</v>
      </c>
      <c r="D62" s="4208" t="s">
        <v>8780</v>
      </c>
      <c r="E62" s="4187"/>
      <c r="F62" s="4189"/>
      <c r="G62" s="4189"/>
      <c r="H62" s="4218"/>
      <c r="I62" s="4207"/>
      <c r="J62" s="4205"/>
      <c r="K62" s="4191"/>
      <c r="AL62" s="4166"/>
    </row>
    <row r="63" spans="2:38" ht="15">
      <c r="B63" s="4173"/>
      <c r="C63" s="4185" t="s">
        <v>8779</v>
      </c>
      <c r="D63" s="4208" t="s">
        <v>8963</v>
      </c>
      <c r="E63" s="4187"/>
      <c r="F63" s="4189"/>
      <c r="G63" s="4189"/>
      <c r="H63" s="4192"/>
      <c r="I63" s="4207">
        <f>'Data Entry - SOF'!O67*'Weights-HB3'!G120</f>
        <v>0</v>
      </c>
      <c r="J63" s="4205"/>
      <c r="K63" s="4191"/>
      <c r="AL63" s="4166"/>
    </row>
    <row r="64" spans="2:38" ht="15">
      <c r="B64" s="4173"/>
      <c r="C64" s="4185" t="s">
        <v>8779</v>
      </c>
      <c r="D64" s="4208" t="s">
        <v>8848</v>
      </c>
      <c r="E64" s="4187"/>
      <c r="F64" s="4189"/>
      <c r="G64" s="4189"/>
      <c r="H64" s="4192"/>
      <c r="I64" s="4207">
        <v>0</v>
      </c>
      <c r="J64" s="4205"/>
      <c r="K64" s="4191"/>
      <c r="L64" s="4196" t="s">
        <v>9036</v>
      </c>
      <c r="AL64" s="4166"/>
    </row>
    <row r="65" spans="2:38" ht="15">
      <c r="B65" s="4173"/>
      <c r="C65" s="4185" t="s">
        <v>8779</v>
      </c>
      <c r="D65" s="4208" t="s">
        <v>9035</v>
      </c>
      <c r="E65" s="4187"/>
      <c r="F65" s="4189"/>
      <c r="G65" s="4189"/>
      <c r="H65" s="4219"/>
      <c r="I65" s="4220">
        <v>0</v>
      </c>
      <c r="J65" s="4205"/>
      <c r="K65" s="4191"/>
      <c r="L65" s="4196" t="s">
        <v>9036</v>
      </c>
      <c r="AL65" s="4166"/>
    </row>
    <row r="66" spans="2:38" ht="15">
      <c r="D66" s="4150" t="s">
        <v>530</v>
      </c>
      <c r="F66" s="4166" t="e">
        <f>SUM(F20:F60)</f>
        <v>#DIV/0!</v>
      </c>
      <c r="G66" s="4166"/>
      <c r="H66" s="4192" t="e">
        <f>SUM(H20:H60)</f>
        <v>#DIV/0!</v>
      </c>
      <c r="I66" s="4221" t="e">
        <f>SUM(I20:I65)</f>
        <v>#DIV/0!</v>
      </c>
      <c r="J66" s="4222">
        <f>SUM(J20:J60)</f>
        <v>0</v>
      </c>
      <c r="K66" s="4223">
        <f>J66</f>
        <v>0</v>
      </c>
      <c r="L66" s="4224" t="e">
        <f>(I66-I59-I60-I63-I64-I65-I28)/Assumptions!H136</f>
        <v>#DIV/0!</v>
      </c>
      <c r="M66" s="4225" t="s">
        <v>8784</v>
      </c>
      <c r="AL66" s="4166" t="e">
        <f>SUM(AL20:AL60)</f>
        <v>#REF!</v>
      </c>
    </row>
    <row r="67" spans="2:38" ht="15">
      <c r="D67" s="4150" t="s">
        <v>786</v>
      </c>
      <c r="F67" s="4226">
        <f>IF('Data Entry - SOF'!O154&gt;1,1*('Data Entry - SOF'!O73/100),'Data Entry - SOF'!O154*('Data Entry - SOF'!O73/100))</f>
        <v>0</v>
      </c>
      <c r="G67" s="4227"/>
      <c r="H67" s="4228">
        <f>IF('Calc Data'!AT30&gt;1,1*('Data Entry - SOF'!M73/100),'Calc Data'!AT30*('Data Entry - SOF'!M73/100))</f>
        <v>0</v>
      </c>
      <c r="I67" s="4229" t="e">
        <f>('Data Entry - SOF'!O155/100)*'Data Entry - SOF'!O73</f>
        <v>#DIV/0!</v>
      </c>
      <c r="J67" s="4230">
        <f>IF('Calc Data'!AT85&gt;1,1*('Data Entry - SOF'!O73/100),'Calc Data'!AT85*('Data Entry - SOF'!O73/100))</f>
        <v>0</v>
      </c>
      <c r="K67" s="4231">
        <f>IF('Calc Data-15K'!AO30&gt;1,1*('Data Entry - SOF'!O74/100),'Calc Data-15K'!AO30*('Data Entry - SOF'!O74/100))</f>
        <v>0</v>
      </c>
      <c r="AL67" s="4226" t="e">
        <f>#REF!</f>
        <v>#REF!</v>
      </c>
    </row>
    <row r="68" spans="2:38" ht="15">
      <c r="D68" s="4150" t="s">
        <v>785</v>
      </c>
      <c r="F68" s="4227" t="e">
        <f>F66-F67</f>
        <v>#DIV/0!</v>
      </c>
      <c r="G68" s="4227"/>
      <c r="H68" s="4232" t="e">
        <f>H66-H67</f>
        <v>#DIV/0!</v>
      </c>
      <c r="I68" s="4221" t="e">
        <f>I66-I67</f>
        <v>#DIV/0!</v>
      </c>
      <c r="J68" s="4233">
        <f>J66-J67</f>
        <v>0</v>
      </c>
      <c r="K68" s="4223">
        <f>K66-K67</f>
        <v>0</v>
      </c>
      <c r="AL68" s="4227" t="e">
        <f>AL66-AL67</f>
        <v>#REF!</v>
      </c>
    </row>
    <row r="69" spans="2:38" ht="15">
      <c r="D69" s="4150"/>
      <c r="G69" s="4227"/>
      <c r="H69" s="4234"/>
      <c r="I69" s="4198"/>
      <c r="J69" s="4235"/>
      <c r="K69" s="4223"/>
      <c r="N69" s="4236"/>
      <c r="AL69" s="4227"/>
    </row>
    <row r="70" spans="2:38" ht="15">
      <c r="D70" s="4237" t="s">
        <v>8838</v>
      </c>
      <c r="G70" s="4227"/>
      <c r="H70" s="4234"/>
      <c r="I70" s="4198"/>
      <c r="J70" s="4235"/>
      <c r="K70" s="4223"/>
      <c r="N70" s="4236"/>
      <c r="AL70" s="4227"/>
    </row>
    <row r="71" spans="2:38" ht="15">
      <c r="D71" s="4150" t="s">
        <v>9024</v>
      </c>
      <c r="F71" s="4210" t="e">
        <f>IF(F68&lt;F110+F52+F59+F31+F32,F110+F52+F59+F31+F32,F68)</f>
        <v>#DIV/0!</v>
      </c>
      <c r="G71" s="4227"/>
      <c r="H71" s="4211" t="e">
        <f>IF(H68&lt;H110+H52+H59+H31+H32,H110+H52+H59+H31+H32,H68)</f>
        <v>#DIV/0!</v>
      </c>
      <c r="I71" s="4207" t="e">
        <f>IF(I68&lt;I110,I110,I68)</f>
        <v>#DIV/0!</v>
      </c>
      <c r="J71" s="4238">
        <f>IF(J68&lt;H110+J52+J59+J31+J32,H110+J52+J59+J31+J32,J68)</f>
        <v>0</v>
      </c>
      <c r="K71" s="4223">
        <f>IF(K68&lt;H110+J52+J59+J31+J32,H110+J52+J59+J31+J32,K68)</f>
        <v>0</v>
      </c>
    </row>
    <row r="72" spans="2:38" ht="15" hidden="1">
      <c r="D72" s="4150" t="s">
        <v>2273</v>
      </c>
      <c r="G72" s="4227" t="e">
        <f>ROUND(IF((24.7*'Calc Data'!#REF!*IF('Calc Data'!#REF!&gt;=0.64,0.64,'Calc Data'!#REF!)*100)&lt;'Calc Data'!#REF!,0,(24.7*'Calc Data'!#REF!*IF('Calc Data'!#REF!&gt;=0.64,0.64,'Calc Data'!#REF!)*100)-'Calc Data'!#REF!),0)</f>
        <v>#REF!</v>
      </c>
      <c r="H72" s="4232"/>
      <c r="I72" s="4239"/>
      <c r="J72" s="4240"/>
      <c r="K72" s="4223"/>
    </row>
    <row r="73" spans="2:38" ht="15">
      <c r="D73" s="4150"/>
      <c r="G73" s="4227"/>
      <c r="H73" s="4232"/>
      <c r="I73" s="4239"/>
      <c r="J73" s="4240"/>
      <c r="K73" s="4241"/>
    </row>
    <row r="74" spans="2:38" ht="15">
      <c r="D74" s="4665" t="s">
        <v>10156</v>
      </c>
      <c r="E74" s="4666"/>
      <c r="F74" s="4666"/>
      <c r="G74" s="4667"/>
      <c r="H74" s="4232"/>
      <c r="I74" s="4736" t="s">
        <v>10227</v>
      </c>
      <c r="J74" s="4249"/>
      <c r="K74" s="4241"/>
    </row>
    <row r="75" spans="2:38" ht="15">
      <c r="D75" s="4150" t="s">
        <v>8879</v>
      </c>
      <c r="G75" s="4227"/>
      <c r="H75" s="4232"/>
      <c r="I75" s="4207" t="e">
        <f>IF(I67&gt;I66-I110,I67-(I66-I110),0)</f>
        <v>#DIV/0!</v>
      </c>
      <c r="J75" s="4240"/>
      <c r="K75" s="4241"/>
    </row>
    <row r="76" spans="2:38" ht="15">
      <c r="D76" s="4150" t="s">
        <v>9117</v>
      </c>
      <c r="G76" s="4227"/>
      <c r="H76" s="4232"/>
      <c r="I76" s="4229" t="e">
        <f>IF(I75=0,0,IF('Calc Data'!J112-I75&lt;I66-I110,(I66-I110-('Calc Data'!J112-I75))*-1,0))</f>
        <v>#DIV/0!</v>
      </c>
      <c r="J76" s="4240"/>
      <c r="K76" s="4242"/>
    </row>
    <row r="77" spans="2:38" ht="15">
      <c r="D77" s="4243" t="s">
        <v>8880</v>
      </c>
      <c r="E77" s="4244"/>
      <c r="F77" s="4245"/>
      <c r="G77" s="4246"/>
      <c r="H77" s="4232"/>
      <c r="I77" s="4247" t="e">
        <f>IF(I75+I76&lt;=0,0,I75+I76)</f>
        <v>#DIV/0!</v>
      </c>
      <c r="J77" s="4240"/>
      <c r="K77" s="4242"/>
    </row>
    <row r="78" spans="2:38" ht="15">
      <c r="D78" s="4243" t="s">
        <v>9109</v>
      </c>
      <c r="E78" s="4244"/>
      <c r="F78" s="4244"/>
      <c r="G78" s="4248"/>
      <c r="H78" s="4232"/>
      <c r="I78" s="4207" t="e">
        <f>'Data Entry - SOF'!O136*(I77/'Data Entry - SOF'!O96)</f>
        <v>#DIV/0!</v>
      </c>
      <c r="J78" s="4249"/>
      <c r="K78" s="4242"/>
    </row>
    <row r="79" spans="2:38" ht="15">
      <c r="D79" s="4250" t="s">
        <v>9110</v>
      </c>
      <c r="E79" s="4251"/>
      <c r="F79" s="4251"/>
      <c r="G79" s="4252"/>
      <c r="H79" s="4253"/>
      <c r="I79" s="4254" t="e">
        <f>IF(I77-I78&lt;=0,0,I77-I78)</f>
        <v>#DIV/0!</v>
      </c>
      <c r="J79" s="4249"/>
      <c r="K79" s="4242"/>
    </row>
    <row r="80" spans="2:38" ht="15">
      <c r="D80" s="4150"/>
      <c r="G80" s="4227"/>
      <c r="H80" s="4255"/>
      <c r="I80" s="4198"/>
      <c r="J80" s="4235"/>
      <c r="K80" s="4242"/>
    </row>
    <row r="81" spans="3:13" ht="15">
      <c r="D81" s="4150" t="s">
        <v>8737</v>
      </c>
      <c r="F81" s="4227" t="e">
        <f>ROUND(IF((Assumptions!G119*'Calc Data'!H25*'Calc Data'!H35*100)&lt;'Calc Data'!H42,0,(Assumptions!G119*'Calc Data'!H25*'Calc Data'!H35*100)-'Calc Data'!H42),0)</f>
        <v>#DIV/0!</v>
      </c>
      <c r="G81" s="4227"/>
      <c r="H81" s="4255" t="e">
        <f>ROUND(IF((Assumptions!G137*'Calc Data'!H25*'Calc Data'!H35*100)&lt;'Calc Data'!H42,0,(Assumptions!G137*'Calc Data'!H25*'Calc Data'!H35*100)-'Calc Data'!H42),0)</f>
        <v>#DIV/0!</v>
      </c>
      <c r="I81" s="4256" t="e">
        <f>ROUND(IF((Assumptions!H137*L66*'Calc Data'!J104*100)&lt;'Calc Data'!J105,0,(Assumptions!H137*L66*'Calc Data'!J104*100)-'Calc Data'!J105),0)</f>
        <v>#DIV/0!</v>
      </c>
      <c r="J81" s="4257" t="e">
        <f>ROUND(IF((Assumptions!G119*'Calc Data'!H25*'Calc Data'!H81*100)&lt;'Calc Data'!H88,0,(Assumptions!G119*'Calc Data'!H25*'Calc Data'!H81*100)-'Calc Data'!H88),0)</f>
        <v>#DIV/0!</v>
      </c>
      <c r="K81" s="4258" t="e">
        <f>ROUND(IF((Assumptions!G79*'Calc Data-15K'!F25*'Calc Data-15K'!F81*100)&lt;'Calc Data-15K'!F88,0,(Assumptions!G79*'Calc Data-15K'!F25*'Calc Data-15K'!F81*100)-'Calc Data-15K'!F88),0)</f>
        <v>#DIV/0!</v>
      </c>
    </row>
    <row r="82" spans="3:13" ht="15">
      <c r="D82" s="4150" t="s">
        <v>8837</v>
      </c>
      <c r="F82" s="4259" t="e">
        <f>ROUND(IF((Assumptions!G120*'Calc Data'!H25*'Calc Data'!H38*100)&lt;'Calc Data'!H43,0,(Assumptions!G120*'Calc Data'!H25*'Calc Data'!H38*100)-'Calc Data'!H43),0)</f>
        <v>#DIV/0!</v>
      </c>
      <c r="G82" s="4227"/>
      <c r="H82" s="4260" t="e">
        <f>ROUND(IF((Assumptions!G138*'Calc Data'!H25*'Calc Data'!AT29*100)&lt;'Calc Data'!AT33,0,(Assumptions!G138*'Calc Data'!H25*'Calc Data'!AT29*100)-'Calc Data'!AT33),0)</f>
        <v>#DIV/0!</v>
      </c>
      <c r="I82" s="4261" t="e">
        <f>ROUND(IF((Assumptions!H138*L66*'Calc Data'!J109*100)&lt;'Calc Data'!J110,0,(Assumptions!H138*L66*'Calc Data'!J109*100)-'Calc Data'!J110),0)</f>
        <v>#DIV/0!</v>
      </c>
      <c r="J82" s="4262" t="e">
        <f>ROUND(IF((Assumptions!G120*'Calc Data'!H25*'Calc Data'!AT84*100)&lt;'Calc Data'!AT88,0,(Assumptions!G120*'Calc Data'!H25*'Calc Data'!AT84*100)-'Calc Data'!AT88),0)</f>
        <v>#DIV/0!</v>
      </c>
      <c r="K82" s="4263" t="e">
        <f>ROUND(IF((Assumptions!G80*'Calc Data-15K'!F25*'Calc Data-15K'!AO84*100)&lt;'Calc Data-15K'!AO88,0,(Assumptions!G80*'Calc Data-15K'!F25*'Calc Data-15K'!AO84*100)-'Calc Data-15K'!AO88),0)</f>
        <v>#DIV/0!</v>
      </c>
    </row>
    <row r="83" spans="3:13" ht="15">
      <c r="D83" s="4264" t="s">
        <v>8839</v>
      </c>
      <c r="F83" s="4227" t="e">
        <f>SUM(F72:F82)</f>
        <v>#DIV/0!</v>
      </c>
      <c r="G83" s="4227"/>
      <c r="H83" s="4255" t="e">
        <f>SUM(H72:H82)</f>
        <v>#DIV/0!</v>
      </c>
      <c r="I83" s="4221" t="e">
        <f>I81+I82</f>
        <v>#DIV/0!</v>
      </c>
    </row>
    <row r="84" spans="3:13" ht="15">
      <c r="D84" s="4150"/>
      <c r="F84" s="4227"/>
      <c r="G84" s="4227"/>
      <c r="H84" s="4255"/>
      <c r="I84" s="4221"/>
    </row>
    <row r="85" spans="3:13" ht="15">
      <c r="D85" s="4243" t="s">
        <v>8881</v>
      </c>
      <c r="E85" s="4244"/>
      <c r="F85" s="4265"/>
      <c r="G85" s="4246"/>
      <c r="H85" s="4255"/>
      <c r="I85" s="4256" t="e">
        <f>ROUND(IF((Assumptions!H138*L66*'Calc Data'!J109*100)&lt;'Calc Data'!J110,'Calc Data'!J110-(Assumptions!H138*L66*'Calc Data'!J109*100)),0)</f>
        <v>#DIV/0!</v>
      </c>
    </row>
    <row r="86" spans="3:13" ht="15">
      <c r="D86" s="4243" t="s">
        <v>9109</v>
      </c>
      <c r="E86" s="4244"/>
      <c r="F86" s="4248"/>
      <c r="G86" s="4248"/>
      <c r="H86" s="4255"/>
      <c r="I86" s="4256" t="e">
        <f>'Data Entry - SOF'!O136*(I85/'Data Entry - SOF'!O96)</f>
        <v>#DIV/0!</v>
      </c>
    </row>
    <row r="87" spans="3:13" ht="15">
      <c r="D87" s="4250" t="s">
        <v>9111</v>
      </c>
      <c r="E87" s="4251"/>
      <c r="F87" s="4252"/>
      <c r="G87" s="4252"/>
      <c r="H87" s="4266"/>
      <c r="I87" s="4267" t="e">
        <f>I85-I86</f>
        <v>#DIV/0!</v>
      </c>
    </row>
    <row r="88" spans="3:13" ht="15">
      <c r="D88" s="4150"/>
      <c r="G88" s="4227"/>
      <c r="H88" s="4255"/>
      <c r="I88" s="4198"/>
    </row>
    <row r="89" spans="3:13" ht="15">
      <c r="D89" s="4150" t="s">
        <v>733</v>
      </c>
      <c r="G89" s="4227"/>
      <c r="H89" s="4255"/>
      <c r="I89" s="4198"/>
    </row>
    <row r="90" spans="3:13" ht="15" hidden="1">
      <c r="C90" s="4185" t="s">
        <v>8894</v>
      </c>
      <c r="D90" s="4208" t="s">
        <v>8841</v>
      </c>
      <c r="E90" s="4187"/>
      <c r="F90" s="4187"/>
      <c r="G90" s="4268"/>
      <c r="H90" s="4269"/>
      <c r="I90" s="4207">
        <v>0</v>
      </c>
      <c r="L90" s="4270"/>
      <c r="M90" s="4271"/>
    </row>
    <row r="91" spans="3:13" ht="15" hidden="1">
      <c r="C91" s="4185" t="s">
        <v>8894</v>
      </c>
      <c r="D91" s="4208" t="s">
        <v>8842</v>
      </c>
      <c r="E91" s="4187"/>
      <c r="F91" s="4187"/>
      <c r="G91" s="4268"/>
      <c r="H91" s="4269"/>
      <c r="I91" s="4207" t="e">
        <f>'Option Costs-Transition'!J87</f>
        <v>#DIV/0!</v>
      </c>
      <c r="L91" s="4270"/>
      <c r="M91" s="4271"/>
    </row>
    <row r="92" spans="3:13" ht="15">
      <c r="D92" s="4150" t="s">
        <v>758</v>
      </c>
      <c r="F92" s="4227">
        <f>'Data Entry - SOF'!O121</f>
        <v>0</v>
      </c>
      <c r="G92" s="4227"/>
      <c r="H92" s="4255">
        <f>'Data Entry - SOF'!O121</f>
        <v>0</v>
      </c>
      <c r="I92" s="4221">
        <f>'Data Entry - SOF'!O121</f>
        <v>0</v>
      </c>
      <c r="L92" s="4272"/>
      <c r="M92" s="4271"/>
    </row>
    <row r="93" spans="3:13" ht="15">
      <c r="D93" s="4150" t="s">
        <v>3051</v>
      </c>
      <c r="F93" s="4227">
        <f>'Data Entry - SOF'!O120</f>
        <v>0</v>
      </c>
      <c r="G93" s="4227"/>
      <c r="H93" s="4255">
        <f>'Data Entry - SOF'!O120</f>
        <v>0</v>
      </c>
      <c r="I93" s="4221">
        <f>'Data Entry - SOF'!O120</f>
        <v>0</v>
      </c>
      <c r="L93" s="4272"/>
      <c r="M93" s="4271"/>
    </row>
    <row r="94" spans="3:13" ht="15">
      <c r="D94" s="4150" t="s">
        <v>9259</v>
      </c>
      <c r="F94" s="4227">
        <f>'Data Entry - SOF'!O122</f>
        <v>0</v>
      </c>
      <c r="G94" s="4227"/>
      <c r="H94" s="4255">
        <f>'HH2122-Calcs'!D26</f>
        <v>0</v>
      </c>
      <c r="I94" s="4221"/>
      <c r="L94" s="4272"/>
      <c r="M94" s="4271"/>
    </row>
    <row r="95" spans="3:13" ht="15">
      <c r="D95" s="4150" t="s">
        <v>3053</v>
      </c>
      <c r="F95" s="4227">
        <f>'Data Entry - SOF'!O123</f>
        <v>0</v>
      </c>
      <c r="G95" s="4227"/>
      <c r="H95" s="4255">
        <f>'Data Entry - SOF'!O123</f>
        <v>0</v>
      </c>
      <c r="I95" s="4221">
        <f>'Data Entry - SOF'!O123</f>
        <v>0</v>
      </c>
      <c r="L95" s="4272"/>
      <c r="M95" s="4271"/>
    </row>
    <row r="96" spans="3:13" ht="15" hidden="1">
      <c r="D96" s="4150" t="s">
        <v>3054</v>
      </c>
      <c r="F96" s="4227">
        <f>'Data Entry - SOF'!O124</f>
        <v>0</v>
      </c>
      <c r="G96" s="4227"/>
      <c r="H96" s="4255">
        <f t="shared" ref="H96:H99" si="0">F96</f>
        <v>0</v>
      </c>
      <c r="I96" s="4221">
        <f t="shared" ref="I96:I98" si="1">H96</f>
        <v>0</v>
      </c>
      <c r="L96" s="4272"/>
      <c r="M96" s="4271"/>
    </row>
    <row r="97" spans="1:13" ht="15" hidden="1">
      <c r="D97" s="4150" t="s">
        <v>3055</v>
      </c>
      <c r="F97" s="4227">
        <v>0</v>
      </c>
      <c r="G97" s="4227"/>
      <c r="H97" s="4255">
        <f t="shared" si="0"/>
        <v>0</v>
      </c>
      <c r="I97" s="4221">
        <f t="shared" si="1"/>
        <v>0</v>
      </c>
      <c r="L97" s="4272"/>
      <c r="M97" s="4271"/>
    </row>
    <row r="98" spans="1:13" ht="15" hidden="1">
      <c r="D98" s="4150" t="s">
        <v>2444</v>
      </c>
      <c r="F98" s="4227">
        <v>0</v>
      </c>
      <c r="G98" s="4227"/>
      <c r="H98" s="4255">
        <f t="shared" si="0"/>
        <v>0</v>
      </c>
      <c r="I98" s="4221">
        <f t="shared" si="1"/>
        <v>0</v>
      </c>
      <c r="L98" s="4272"/>
      <c r="M98" s="4271"/>
    </row>
    <row r="99" spans="1:13" ht="15" hidden="1">
      <c r="D99" s="4150" t="s">
        <v>2436</v>
      </c>
      <c r="F99" s="4227">
        <f>(500*'Data Entry - SOF'!O69)+(250*'Data Entry - SOF'!O70)</f>
        <v>0</v>
      </c>
      <c r="G99" s="4227"/>
      <c r="H99" s="4255">
        <f t="shared" si="0"/>
        <v>0</v>
      </c>
      <c r="I99" s="4221">
        <v>0</v>
      </c>
      <c r="L99" s="4272"/>
      <c r="M99" s="4271"/>
    </row>
    <row r="100" spans="1:13" ht="15">
      <c r="D100" s="4150" t="s">
        <v>734</v>
      </c>
      <c r="F100" s="4273" t="e">
        <f>(('Data Entry - SOF'!O112/'Calc Data'!E7)*'Data Entry - SOF'!O110)*-1</f>
        <v>#DIV/0!</v>
      </c>
      <c r="G100" s="4227"/>
      <c r="H100" s="4274" t="e">
        <f>(('Data Entry - SOF'!O112/'Calc Data'!G7)*'Data Entry - SOF'!O110)*-1</f>
        <v>#DIV/0!</v>
      </c>
      <c r="I100" s="4275" t="e">
        <f>(('Data Entry - SOF'!O112/'Calc Data'!G7)*'Data Entry - SOF'!O110)*-1</f>
        <v>#DIV/0!</v>
      </c>
      <c r="L100" s="4272"/>
      <c r="M100" s="4271"/>
    </row>
    <row r="101" spans="1:13" ht="15">
      <c r="D101" s="4150" t="s">
        <v>735</v>
      </c>
      <c r="F101" s="4273" t="e">
        <f>(('Data Entry - SOF'!O112/'Calc Data'!E7)*'Data Entry - SOF'!O111)*-1</f>
        <v>#DIV/0!</v>
      </c>
      <c r="G101" s="4227"/>
      <c r="H101" s="4274" t="e">
        <f>(('Data Entry - SOF'!O112/'Calc Data'!G7)*'Data Entry - SOF'!O111)*-1</f>
        <v>#DIV/0!</v>
      </c>
      <c r="I101" s="4275" t="e">
        <f>(('Data Entry - SOF'!O112/'Calc Data'!G7)*'Data Entry - SOF'!O111)*-1</f>
        <v>#DIV/0!</v>
      </c>
      <c r="L101" s="4272"/>
      <c r="M101" s="4271"/>
    </row>
    <row r="102" spans="1:13" ht="15">
      <c r="D102" s="4150" t="s">
        <v>10218</v>
      </c>
      <c r="F102" s="4276">
        <f>'Data Entry - SOF'!O142</f>
        <v>0</v>
      </c>
      <c r="G102" s="4227"/>
      <c r="H102" s="4260"/>
      <c r="I102" s="4737">
        <f>'Data Entry - SOF'!O142</f>
        <v>0</v>
      </c>
      <c r="L102" s="4272"/>
      <c r="M102" s="4271"/>
    </row>
    <row r="103" spans="1:13" ht="15">
      <c r="D103" s="4277" t="s">
        <v>8840</v>
      </c>
      <c r="F103" s="4227" t="e">
        <f>SUM(F92:F102)</f>
        <v>#DIV/0!</v>
      </c>
      <c r="G103" s="4227"/>
      <c r="H103" s="4255" t="e">
        <f>SUM(H92:H102)</f>
        <v>#DIV/0!</v>
      </c>
      <c r="I103" s="4221" t="e">
        <f>SUM(I92:I102)</f>
        <v>#DIV/0!</v>
      </c>
      <c r="L103" s="4272"/>
      <c r="M103" s="4271"/>
    </row>
    <row r="104" spans="1:13" ht="15">
      <c r="D104" s="4278"/>
      <c r="F104" s="4196"/>
      <c r="G104" s="4227"/>
      <c r="H104" s="4255"/>
      <c r="I104" s="4198"/>
      <c r="L104" s="4272"/>
      <c r="M104" s="4271"/>
    </row>
    <row r="105" spans="1:13" ht="15">
      <c r="D105" s="4150" t="s">
        <v>2396</v>
      </c>
      <c r="F105" s="4227">
        <f>F110*-1</f>
        <v>0</v>
      </c>
      <c r="G105" s="4227"/>
      <c r="H105" s="4255">
        <f>H110*-1</f>
        <v>0</v>
      </c>
      <c r="I105" s="4221">
        <f>I110*-1</f>
        <v>0</v>
      </c>
      <c r="L105" s="4272"/>
      <c r="M105" s="4271"/>
    </row>
    <row r="106" spans="1:13" ht="15">
      <c r="D106" s="4150"/>
      <c r="G106" s="4279"/>
      <c r="H106" s="4255"/>
      <c r="I106" s="4239"/>
      <c r="L106" s="4272"/>
      <c r="M106" s="4271"/>
    </row>
    <row r="107" spans="1:13" ht="15">
      <c r="A107" s="4280"/>
      <c r="B107" s="4281"/>
      <c r="C107" s="4281"/>
      <c r="D107" s="4282"/>
      <c r="E107" s="4281"/>
      <c r="F107" s="4283"/>
      <c r="G107" s="4284"/>
      <c r="H107" s="4285"/>
      <c r="I107" s="4286"/>
      <c r="L107" s="4272"/>
      <c r="M107" s="4271"/>
    </row>
    <row r="108" spans="1:13" ht="15">
      <c r="A108" s="4287"/>
      <c r="B108" s="4288" t="s">
        <v>174</v>
      </c>
      <c r="C108" s="4289"/>
      <c r="D108" s="4290"/>
      <c r="E108" s="4289"/>
      <c r="F108" s="4291"/>
      <c r="G108" s="4279"/>
      <c r="H108" s="4234"/>
      <c r="I108" s="4239"/>
      <c r="L108" s="4272"/>
      <c r="M108" s="4271"/>
    </row>
    <row r="109" spans="1:13" ht="15">
      <c r="A109" s="4287"/>
      <c r="B109" s="4288" t="s">
        <v>1491</v>
      </c>
      <c r="C109" s="4289"/>
      <c r="D109" s="4292" t="s">
        <v>737</v>
      </c>
      <c r="E109" s="4293"/>
      <c r="F109" s="4294" t="e">
        <f>F71+F83+F103+F105</f>
        <v>#DIV/0!</v>
      </c>
      <c r="G109" s="4279"/>
      <c r="H109" s="4295" t="e">
        <f>H71+H83+H103+H105</f>
        <v>#DIV/0!</v>
      </c>
      <c r="I109" s="4207" t="e">
        <f>I71+I83+I103+I105</f>
        <v>#DIV/0!</v>
      </c>
      <c r="L109" s="4272"/>
      <c r="M109" s="4271"/>
    </row>
    <row r="110" spans="1:13" ht="15">
      <c r="A110" s="4287"/>
      <c r="B110" s="4288" t="s">
        <v>1489</v>
      </c>
      <c r="C110" s="4289"/>
      <c r="D110" s="4292" t="s">
        <v>2609</v>
      </c>
      <c r="E110" s="4293"/>
      <c r="F110" s="4294">
        <f>'Calc Data'!E7*Assumptions!G123</f>
        <v>0</v>
      </c>
      <c r="G110" s="4279"/>
      <c r="H110" s="4295">
        <f>'Calc Data'!G7*Assumptions!G141</f>
        <v>0</v>
      </c>
      <c r="I110" s="4296">
        <f>'Calc Data'!G7*Assumptions!H141</f>
        <v>0</v>
      </c>
      <c r="L110" s="4272"/>
      <c r="M110" s="4271"/>
    </row>
    <row r="111" spans="1:13" ht="15" hidden="1">
      <c r="A111" s="4287"/>
      <c r="B111" s="4288" t="s">
        <v>1490</v>
      </c>
      <c r="C111" s="4289"/>
      <c r="D111" s="4292" t="s">
        <v>757</v>
      </c>
      <c r="E111" s="4297"/>
      <c r="F111" s="4298">
        <v>0</v>
      </c>
      <c r="G111" s="4279"/>
      <c r="H111" s="4299">
        <v>0</v>
      </c>
      <c r="I111" s="4239"/>
      <c r="L111" s="4272"/>
      <c r="M111" s="4271"/>
    </row>
    <row r="112" spans="1:13" ht="15">
      <c r="A112" s="4287"/>
      <c r="B112" s="4288" t="s">
        <v>740</v>
      </c>
      <c r="C112" s="4289"/>
      <c r="D112" s="4292" t="s">
        <v>738</v>
      </c>
      <c r="E112" s="4293"/>
      <c r="F112" s="4294">
        <f>'Existing Debt-OldLaw'!K74</f>
        <v>0</v>
      </c>
      <c r="G112" s="4279"/>
      <c r="H112" s="4295">
        <f>'Existing Debt-OldLaw'!Q74</f>
        <v>0</v>
      </c>
      <c r="I112" s="4221">
        <f>'Existing Debt-HB3'!O74</f>
        <v>0</v>
      </c>
      <c r="L112" s="4272"/>
      <c r="M112" s="4271"/>
    </row>
    <row r="113" spans="1:16" ht="15.75" thickBot="1">
      <c r="A113" s="4287"/>
      <c r="B113" s="4288" t="s">
        <v>1095</v>
      </c>
      <c r="C113" s="4289"/>
      <c r="D113" s="4292" t="s">
        <v>739</v>
      </c>
      <c r="E113" s="4293"/>
      <c r="F113" s="4300">
        <f>'IFA-OldLaw'!P86+'IFA-OldLaw'!Q75</f>
        <v>0</v>
      </c>
      <c r="G113" s="4279"/>
      <c r="H113" s="4301">
        <f>'IFA-OldLaw'!X86+'IFA-OldLaw'!Y75</f>
        <v>0</v>
      </c>
      <c r="I113" s="4302">
        <f>'IFA-HB3'!T86+'IFA-HB3'!V75</f>
        <v>0</v>
      </c>
      <c r="L113" s="4272"/>
      <c r="M113" s="4271"/>
    </row>
    <row r="114" spans="1:16" ht="15">
      <c r="A114" s="4287"/>
      <c r="B114" s="4289"/>
      <c r="C114" s="4289"/>
      <c r="D114" s="4289"/>
      <c r="E114" s="4289"/>
      <c r="F114" s="4291"/>
      <c r="G114" s="4279"/>
      <c r="H114" s="4303"/>
      <c r="I114" s="4239"/>
      <c r="L114" s="4304"/>
      <c r="M114" s="4305"/>
    </row>
    <row r="115" spans="1:16" ht="12.75" customHeight="1" thickBot="1">
      <c r="A115" s="4287"/>
      <c r="B115" s="4289"/>
      <c r="C115" s="4289"/>
      <c r="D115" s="4292" t="s">
        <v>9067</v>
      </c>
      <c r="E115" s="4289"/>
      <c r="F115" s="4306" t="e">
        <f>SUM(F109:F113)</f>
        <v>#DIV/0!</v>
      </c>
      <c r="G115" s="4279"/>
      <c r="H115" s="4307" t="e">
        <f>SUM(H109:H113)</f>
        <v>#DIV/0!</v>
      </c>
      <c r="I115" s="4308" t="e">
        <f>SUM(I109:I113)</f>
        <v>#DIV/0!</v>
      </c>
      <c r="L115" s="4304"/>
      <c r="M115" s="4305"/>
    </row>
    <row r="116" spans="1:16" ht="16.5" hidden="1" thickTop="1" thickBot="1">
      <c r="A116" s="4287"/>
      <c r="B116" s="4289"/>
      <c r="C116" s="4289"/>
      <c r="D116" s="4309" t="s">
        <v>472</v>
      </c>
      <c r="E116" s="4289"/>
      <c r="F116" s="4289"/>
      <c r="G116" s="4279"/>
      <c r="H116" s="4310" t="e">
        <f>SUM(H109:H113)</f>
        <v>#DIV/0!</v>
      </c>
      <c r="I116" s="4198"/>
      <c r="L116" s="4304"/>
      <c r="M116" s="4305"/>
    </row>
    <row r="117" spans="1:16" ht="15.75" thickTop="1">
      <c r="A117" s="4311"/>
      <c r="B117" s="4312"/>
      <c r="C117" s="4312"/>
      <c r="D117" s="4313"/>
      <c r="E117" s="4312"/>
      <c r="F117" s="4312"/>
      <c r="G117" s="4314"/>
      <c r="H117" s="4315"/>
      <c r="I117" s="4316"/>
    </row>
    <row r="118" spans="1:16" ht="15">
      <c r="B118" s="4150"/>
      <c r="G118" s="4227"/>
      <c r="H118" s="4192"/>
      <c r="I118" s="4198"/>
      <c r="N118" s="4272"/>
      <c r="O118" s="4317"/>
      <c r="P118" s="4318"/>
    </row>
    <row r="119" spans="1:16" ht="15" thickBot="1">
      <c r="G119" s="4289"/>
      <c r="H119" s="4234"/>
      <c r="I119" s="4198"/>
    </row>
    <row r="120" spans="1:16" ht="15.75" thickTop="1">
      <c r="A120" s="4319" t="s">
        <v>2457</v>
      </c>
      <c r="B120" s="4320"/>
      <c r="C120" s="4320"/>
      <c r="D120" s="4320"/>
      <c r="E120" s="4321"/>
      <c r="F120" s="4322"/>
      <c r="G120" s="4321"/>
      <c r="H120" s="4323"/>
      <c r="I120" s="4324"/>
    </row>
    <row r="121" spans="1:16">
      <c r="A121" s="4325"/>
      <c r="B121" s="4289"/>
      <c r="C121" s="4289"/>
      <c r="D121" s="4289"/>
      <c r="E121" s="4289"/>
      <c r="F121" s="4326"/>
      <c r="G121" s="4289"/>
      <c r="H121" s="4234"/>
      <c r="I121" s="4327"/>
    </row>
    <row r="122" spans="1:16" ht="15">
      <c r="A122" s="4328" t="s">
        <v>8798</v>
      </c>
      <c r="B122" s="4289"/>
      <c r="C122" s="4289"/>
      <c r="D122" s="4289"/>
      <c r="E122" s="4289"/>
      <c r="F122" s="4329" t="e">
        <f>IF(F109&lt;0,F110,F109+F110)</f>
        <v>#DIV/0!</v>
      </c>
      <c r="G122" s="4289"/>
      <c r="H122" s="4211" t="e">
        <f>IF(H109&lt;0,H110,H109+H110)</f>
        <v>#DIV/0!</v>
      </c>
      <c r="I122" s="4330" t="e">
        <f>IF(I109&lt;0,I110,I109+I110)</f>
        <v>#DIV/0!</v>
      </c>
    </row>
    <row r="123" spans="1:16" ht="15">
      <c r="A123" s="4331" t="s">
        <v>8799</v>
      </c>
      <c r="B123" s="4289"/>
      <c r="C123" s="4289"/>
      <c r="D123" s="4289"/>
      <c r="E123" s="4289"/>
      <c r="F123" s="4332">
        <f>'Calc Data'!H30-ASATR!I24</f>
        <v>0</v>
      </c>
      <c r="G123" s="4289"/>
      <c r="H123" s="4333">
        <f>'Data Entry - SOF'!O93</f>
        <v>0</v>
      </c>
      <c r="I123" s="4334">
        <f>'Data Entry - SOF'!O96</f>
        <v>0</v>
      </c>
      <c r="N123" s="4272"/>
    </row>
    <row r="124" spans="1:16" ht="15">
      <c r="A124" s="4331" t="s">
        <v>8800</v>
      </c>
      <c r="B124" s="4289"/>
      <c r="C124" s="4289"/>
      <c r="D124" s="4289"/>
      <c r="E124" s="4289"/>
      <c r="F124" s="4332">
        <f>'Calc Data'!H34</f>
        <v>0</v>
      </c>
      <c r="G124" s="4289"/>
      <c r="H124" s="4333" t="e">
        <f>'Option Costs'!AQ85+'Option Costs'!AU85</f>
        <v>#DIV/0!</v>
      </c>
      <c r="I124" s="4334" t="e">
        <f>I79+I87</f>
        <v>#DIV/0!</v>
      </c>
      <c r="N124" s="4272"/>
    </row>
    <row r="125" spans="1:16" ht="15">
      <c r="A125" s="4331"/>
      <c r="B125" s="4289"/>
      <c r="C125" s="4289"/>
      <c r="D125" s="4289"/>
      <c r="E125" s="4289"/>
      <c r="F125" s="4335" t="e">
        <f>'Calc Data'!H37-IF('Option Costs'!AE57="N",MAX('Option Costs'!AE54,'Option Costs'!AG54),MIN('Option Costs'!AE54,'Option Costs'!AG54))</f>
        <v>#DIV/0!</v>
      </c>
      <c r="G125" s="4289"/>
      <c r="H125" s="4336"/>
      <c r="I125" s="4334"/>
    </row>
    <row r="126" spans="1:16" ht="15">
      <c r="A126" s="4331" t="s">
        <v>9079</v>
      </c>
      <c r="B126" s="4289"/>
      <c r="C126" s="4289"/>
      <c r="D126" s="4289"/>
      <c r="E126" s="4289"/>
      <c r="F126" s="4337" t="e">
        <f>SUM(F122:F125)</f>
        <v>#DIV/0!</v>
      </c>
      <c r="G126" s="4289"/>
      <c r="H126" s="4338" t="e">
        <f>H122+H123-H124</f>
        <v>#DIV/0!</v>
      </c>
      <c r="I126" s="4339" t="e">
        <f>I122+I123-I124</f>
        <v>#DIV/0!</v>
      </c>
    </row>
    <row r="127" spans="1:16" ht="15">
      <c r="A127" s="4340" t="s">
        <v>8841</v>
      </c>
      <c r="B127" s="4341"/>
      <c r="C127" s="4341"/>
      <c r="D127" s="4341"/>
      <c r="E127" s="4341"/>
      <c r="F127" s="4342" t="e">
        <f>IF(F109&gt;0,0,F109)</f>
        <v>#DIV/0!</v>
      </c>
      <c r="G127" s="4341"/>
      <c r="H127" s="4343" t="s">
        <v>1775</v>
      </c>
      <c r="I127" s="4334" t="e">
        <f>H189</f>
        <v>#DIV/0!</v>
      </c>
    </row>
    <row r="128" spans="1:16" ht="15">
      <c r="A128" s="4340" t="s">
        <v>8842</v>
      </c>
      <c r="B128" s="4341"/>
      <c r="C128" s="4341"/>
      <c r="D128" s="4341"/>
      <c r="E128" s="4341"/>
      <c r="F128" s="4344"/>
      <c r="G128" s="4341"/>
      <c r="H128" s="4343" t="s">
        <v>1775</v>
      </c>
      <c r="I128" s="4334" t="e">
        <f>'Option Costs-Transition'!J106*0.6</f>
        <v>#DIV/0!</v>
      </c>
    </row>
    <row r="129" spans="1:11" ht="15">
      <c r="A129" s="4345"/>
      <c r="B129" s="4244"/>
      <c r="C129" s="4244"/>
      <c r="D129" s="4244"/>
      <c r="E129" s="4244"/>
      <c r="F129" s="4346"/>
      <c r="G129" s="4244"/>
      <c r="H129" s="4343"/>
      <c r="I129" s="4334"/>
    </row>
    <row r="130" spans="1:11" ht="15">
      <c r="A130" s="4347" t="s">
        <v>9078</v>
      </c>
      <c r="B130" s="4348"/>
      <c r="C130" s="4348"/>
      <c r="D130" s="4348"/>
      <c r="E130" s="4348"/>
      <c r="F130" s="4349" t="e">
        <f>F126+F127</f>
        <v>#DIV/0!</v>
      </c>
      <c r="G130" s="4350"/>
      <c r="H130" s="4351" t="e">
        <f>H126</f>
        <v>#DIV/0!</v>
      </c>
      <c r="I130" s="4352" t="e">
        <f>I126+I127+I128</f>
        <v>#DIV/0!</v>
      </c>
    </row>
    <row r="131" spans="1:11" ht="15" thickBot="1">
      <c r="A131" s="4353"/>
      <c r="B131" s="4354"/>
      <c r="C131" s="4354"/>
      <c r="D131" s="4354"/>
      <c r="E131" s="4354"/>
      <c r="F131" s="4354"/>
      <c r="G131" s="4355"/>
      <c r="H131" s="4356"/>
      <c r="I131" s="4357"/>
    </row>
    <row r="132" spans="1:11" ht="15.75" hidden="1" thickTop="1">
      <c r="D132" s="4196" t="s">
        <v>1231</v>
      </c>
      <c r="E132" s="4196"/>
      <c r="F132" s="4196"/>
      <c r="H132" s="4210" t="e">
        <f>H127+H130</f>
        <v>#VALUE!</v>
      </c>
      <c r="I132" s="4198"/>
      <c r="J132" s="4358"/>
      <c r="K132" s="4358"/>
    </row>
    <row r="133" spans="1:11" ht="15.75" hidden="1" thickTop="1">
      <c r="D133" s="4196" t="s">
        <v>470</v>
      </c>
      <c r="E133" s="4196"/>
      <c r="F133" s="4196"/>
      <c r="I133" s="4198"/>
      <c r="J133" s="4359"/>
      <c r="K133" s="4359"/>
    </row>
    <row r="134" spans="1:11" ht="15.75" hidden="1" thickTop="1">
      <c r="D134" s="4196" t="s">
        <v>471</v>
      </c>
      <c r="I134" s="4198"/>
    </row>
    <row r="135" spans="1:11" ht="15.75" hidden="1" thickTop="1">
      <c r="D135" s="4196" t="s">
        <v>1012</v>
      </c>
      <c r="I135" s="4198"/>
    </row>
    <row r="136" spans="1:11" ht="15.75" hidden="1" thickTop="1">
      <c r="D136" s="4196" t="s">
        <v>647</v>
      </c>
      <c r="I136" s="4198"/>
    </row>
    <row r="137" spans="1:11" ht="15.75" hidden="1" thickTop="1">
      <c r="D137" s="4196" t="s">
        <v>648</v>
      </c>
      <c r="I137" s="4198"/>
    </row>
    <row r="138" spans="1:11" ht="15.75" hidden="1" thickTop="1">
      <c r="D138" s="4196"/>
      <c r="I138" s="4198"/>
    </row>
    <row r="139" spans="1:11" ht="15" hidden="1" thickTop="1">
      <c r="I139" s="4198"/>
    </row>
    <row r="140" spans="1:11" ht="15" hidden="1" thickTop="1">
      <c r="I140" s="4198"/>
    </row>
    <row r="141" spans="1:11" ht="15" hidden="1" thickTop="1">
      <c r="I141" s="4198"/>
    </row>
    <row r="142" spans="1:11" ht="15.75" hidden="1" thickTop="1">
      <c r="A142" s="4150" t="s">
        <v>1667</v>
      </c>
      <c r="G142" s="4166"/>
      <c r="I142" s="4198"/>
    </row>
    <row r="143" spans="1:11" ht="15.75" hidden="1" thickTop="1">
      <c r="G143" s="4166"/>
      <c r="I143" s="4198"/>
    </row>
    <row r="144" spans="1:11" ht="15.75" hidden="1" thickTop="1">
      <c r="A144" s="4150" t="s">
        <v>1492</v>
      </c>
      <c r="G144" s="4166"/>
      <c r="H144" s="4166"/>
      <c r="I144" s="4198"/>
      <c r="J144" s="4166"/>
      <c r="K144" s="4166"/>
    </row>
    <row r="145" spans="1:11" ht="15.75" hidden="1" thickTop="1">
      <c r="A145" s="4150" t="s">
        <v>1493</v>
      </c>
      <c r="H145" s="4166"/>
      <c r="I145" s="4198"/>
      <c r="J145" s="4166"/>
      <c r="K145" s="4166"/>
    </row>
    <row r="146" spans="1:11" ht="15.75" hidden="1" thickTop="1">
      <c r="A146" s="4150" t="s">
        <v>518</v>
      </c>
      <c r="H146" s="4166"/>
      <c r="I146" s="4198"/>
      <c r="J146" s="4166"/>
      <c r="K146" s="4166"/>
    </row>
    <row r="147" spans="1:11" ht="15.75" hidden="1" thickTop="1">
      <c r="A147" s="4150" t="s">
        <v>519</v>
      </c>
      <c r="I147" s="4198"/>
    </row>
    <row r="148" spans="1:11" ht="15.75" hidden="1" thickTop="1">
      <c r="A148" s="4150" t="s">
        <v>1009</v>
      </c>
      <c r="I148" s="4198"/>
    </row>
    <row r="149" spans="1:11" ht="15.75" hidden="1" thickTop="1">
      <c r="A149" s="4150" t="s">
        <v>1010</v>
      </c>
      <c r="I149" s="4198"/>
    </row>
    <row r="150" spans="1:11" ht="15.75" hidden="1" thickTop="1">
      <c r="A150" s="4179" t="s">
        <v>1789</v>
      </c>
      <c r="I150" s="4198"/>
    </row>
    <row r="151" spans="1:11" ht="15" hidden="1" thickTop="1">
      <c r="I151" s="4198"/>
    </row>
    <row r="152" spans="1:11" ht="15.75" hidden="1" thickTop="1">
      <c r="A152" s="4150" t="s">
        <v>62</v>
      </c>
      <c r="I152" s="4198"/>
    </row>
    <row r="153" spans="1:11" ht="15.75" hidden="1" thickTop="1">
      <c r="A153" s="4150" t="s">
        <v>1693</v>
      </c>
      <c r="I153" s="4198"/>
    </row>
    <row r="154" spans="1:11" ht="15.75" hidden="1" thickTop="1">
      <c r="A154" s="4150" t="s">
        <v>1694</v>
      </c>
      <c r="I154" s="4198"/>
    </row>
    <row r="155" spans="1:11" ht="15.75" hidden="1" thickTop="1">
      <c r="A155" s="4150" t="s">
        <v>1820</v>
      </c>
      <c r="I155" s="4198"/>
    </row>
    <row r="156" spans="1:11" ht="15" hidden="1" thickTop="1">
      <c r="I156" s="4198"/>
    </row>
    <row r="157" spans="1:11" ht="15.75" hidden="1" thickTop="1">
      <c r="A157" s="4150" t="s">
        <v>1821</v>
      </c>
      <c r="I157" s="4198"/>
    </row>
    <row r="158" spans="1:11" ht="15.75" hidden="1" thickTop="1">
      <c r="A158" s="4150" t="s">
        <v>1822</v>
      </c>
      <c r="I158" s="4198"/>
    </row>
    <row r="159" spans="1:11" ht="15.75" hidden="1" thickTop="1">
      <c r="A159" s="4150" t="s">
        <v>336</v>
      </c>
      <c r="I159" s="4198"/>
    </row>
    <row r="160" spans="1:11" ht="15.75" hidden="1" thickTop="1">
      <c r="A160" s="4150" t="s">
        <v>1823</v>
      </c>
      <c r="I160" s="4198"/>
    </row>
    <row r="161" spans="1:11" ht="15.75" hidden="1" thickTop="1">
      <c r="A161" s="4150" t="s">
        <v>334</v>
      </c>
      <c r="I161" s="4198"/>
    </row>
    <row r="162" spans="1:11" ht="15" hidden="1" thickTop="1">
      <c r="I162" s="4198"/>
    </row>
    <row r="163" spans="1:11" ht="15.75" hidden="1" thickTop="1">
      <c r="A163" s="4179" t="s">
        <v>335</v>
      </c>
      <c r="I163" s="4198"/>
    </row>
    <row r="164" spans="1:11" ht="15" hidden="1" thickTop="1">
      <c r="I164" s="4198"/>
    </row>
    <row r="165" spans="1:11" ht="15" hidden="1" thickTop="1">
      <c r="I165" s="4198"/>
    </row>
    <row r="166" spans="1:11" ht="15" hidden="1" thickTop="1">
      <c r="I166" s="4198"/>
    </row>
    <row r="167" spans="1:11" ht="15" hidden="1" thickTop="1">
      <c r="E167" s="4151" t="s">
        <v>2767</v>
      </c>
      <c r="F167" s="4318">
        <f>SUM(F22:F28)</f>
        <v>0</v>
      </c>
      <c r="H167" s="4318">
        <f>SUM(H22:H28)</f>
        <v>0</v>
      </c>
      <c r="I167" s="4360" t="e">
        <f>SUM(I22:I28)</f>
        <v>#DIV/0!</v>
      </c>
    </row>
    <row r="168" spans="1:11" ht="15" hidden="1" thickTop="1">
      <c r="E168" s="4151" t="s">
        <v>2768</v>
      </c>
      <c r="F168" s="4318">
        <f>F29+F30</f>
        <v>0</v>
      </c>
      <c r="H168" s="4318">
        <f>H29+H30</f>
        <v>0</v>
      </c>
      <c r="I168" s="4361" t="e">
        <f>I29+I30</f>
        <v>#DIV/0!</v>
      </c>
    </row>
    <row r="169" spans="1:11" ht="15" hidden="1" thickTop="1">
      <c r="E169" s="4151" t="s">
        <v>2769</v>
      </c>
      <c r="F169" s="4318">
        <f>F33+F34</f>
        <v>0</v>
      </c>
      <c r="H169" s="4318">
        <f>H33+H34</f>
        <v>0</v>
      </c>
      <c r="I169" s="4361">
        <f>I33+I34</f>
        <v>0</v>
      </c>
      <c r="J169" s="4318"/>
      <c r="K169" s="4318"/>
    </row>
    <row r="170" spans="1:11" ht="15" hidden="1" thickTop="1">
      <c r="E170" s="4151" t="s">
        <v>2770</v>
      </c>
      <c r="F170" s="4318">
        <f>F35+F43</f>
        <v>0</v>
      </c>
      <c r="H170" s="4318">
        <f>H35+H43</f>
        <v>0</v>
      </c>
      <c r="I170" s="4361" t="e">
        <f>SUM(I37:I37)</f>
        <v>#DIV/0!</v>
      </c>
      <c r="J170" s="4318"/>
      <c r="K170" s="4318"/>
    </row>
    <row r="171" spans="1:11" ht="15" hidden="1" thickTop="1">
      <c r="E171" s="4151" t="s">
        <v>2849</v>
      </c>
      <c r="F171" s="4272" t="e">
        <f>Assumptions!G119*'Calc Data'!H25*'Calc Data'!H35*100</f>
        <v>#DIV/0!</v>
      </c>
      <c r="H171" s="4272" t="e">
        <f>Assumptions!G119*'Calc Data'!H25*'Calc Data'!H35*100</f>
        <v>#DIV/0!</v>
      </c>
      <c r="I171" s="4362" t="e">
        <f>Assumptions!H119*L66*'Calc Data'!J104*100</f>
        <v>#DIV/0!</v>
      </c>
      <c r="J171" s="4318"/>
      <c r="K171" s="4318"/>
    </row>
    <row r="172" spans="1:11" ht="15" hidden="1" thickTop="1">
      <c r="E172" s="4151" t="s">
        <v>2851</v>
      </c>
      <c r="F172" s="4272" t="e">
        <f>Assumptions!G120*'Calc Data'!H25*'Calc Data'!H38*100</f>
        <v>#DIV/0!</v>
      </c>
      <c r="H172" s="4272" t="e">
        <f>Assumptions!G120*'Calc Data'!H25*'Calc Data'!AT29*100</f>
        <v>#DIV/0!</v>
      </c>
      <c r="I172" s="4362" t="e">
        <f>Assumptions!H120*L66*'Calc Data'!J109*100</f>
        <v>#DIV/0!</v>
      </c>
      <c r="J172" s="4318"/>
      <c r="K172" s="4318"/>
    </row>
    <row r="173" spans="1:11" ht="15" hidden="1" thickTop="1">
      <c r="E173" s="4151" t="s">
        <v>8776</v>
      </c>
      <c r="I173" s="4363" t="e">
        <f>I46+I47+I48</f>
        <v>#DIV/0!</v>
      </c>
      <c r="J173" s="4272"/>
      <c r="K173" s="4272"/>
    </row>
    <row r="174" spans="1:11" ht="15" hidden="1" thickTop="1">
      <c r="I174" s="4318"/>
      <c r="J174" s="4272"/>
      <c r="K174" s="4272"/>
    </row>
    <row r="175" spans="1:11" ht="15" thickTop="1"/>
    <row r="177" spans="5:8" ht="15">
      <c r="G177" s="4364" t="s">
        <v>9065</v>
      </c>
    </row>
    <row r="178" spans="5:8" ht="15">
      <c r="E178" s="4196"/>
      <c r="F178" s="4196"/>
      <c r="G178" s="4365" t="s">
        <v>9358</v>
      </c>
      <c r="H178" s="4366" t="e">
        <f>'SOF1920-HB3'!H178</f>
        <v>#DIV/0!</v>
      </c>
    </row>
    <row r="179" spans="5:8" ht="15">
      <c r="E179" s="4196"/>
      <c r="F179" s="4196"/>
      <c r="G179" s="4365" t="s">
        <v>9359</v>
      </c>
      <c r="H179" s="4367" t="e">
        <f>'SOF1920-HB3'!H179</f>
        <v>#DIV/0!</v>
      </c>
    </row>
    <row r="180" spans="5:8" ht="15">
      <c r="E180" s="4196"/>
      <c r="F180" s="4196"/>
      <c r="G180" s="4196"/>
      <c r="H180" s="4368"/>
    </row>
    <row r="181" spans="5:8" ht="15">
      <c r="E181" s="4196"/>
      <c r="F181" s="4196"/>
      <c r="G181" s="4196"/>
      <c r="H181" s="4368"/>
    </row>
    <row r="182" spans="5:8" ht="15">
      <c r="E182" s="4196"/>
      <c r="F182" s="4196"/>
      <c r="G182" s="4365" t="s">
        <v>9360</v>
      </c>
      <c r="H182" s="4367">
        <f>'SOF1920-HB3'!H182</f>
        <v>8896</v>
      </c>
    </row>
    <row r="183" spans="5:8" ht="15">
      <c r="E183" s="4196"/>
      <c r="F183" s="4196"/>
      <c r="G183" s="4365" t="s">
        <v>9361</v>
      </c>
      <c r="H183" s="4367">
        <f>'SOF1920-HB3'!H183</f>
        <v>11386.880000000001</v>
      </c>
    </row>
    <row r="184" spans="5:8" ht="15">
      <c r="E184" s="4196"/>
      <c r="F184" s="4196"/>
      <c r="G184" s="4196"/>
      <c r="H184" s="4368"/>
    </row>
    <row r="185" spans="5:8" ht="15">
      <c r="E185" s="4196"/>
      <c r="F185" s="4196"/>
      <c r="G185" s="4365" t="s">
        <v>9044</v>
      </c>
      <c r="H185" s="4369" t="e">
        <f>MIN(H179,H183)</f>
        <v>#DIV/0!</v>
      </c>
    </row>
    <row r="186" spans="5:8" ht="15">
      <c r="E186" s="4196"/>
      <c r="F186" s="4196"/>
      <c r="G186" s="4365" t="s">
        <v>9250</v>
      </c>
      <c r="H186" s="4371" t="e">
        <f>(I126+I128)/'Data Entry - SOF'!O19</f>
        <v>#DIV/0!</v>
      </c>
    </row>
    <row r="187" spans="5:8" ht="15">
      <c r="E187" s="4196"/>
      <c r="F187" s="4196"/>
      <c r="G187" s="4372" t="s">
        <v>9042</v>
      </c>
      <c r="H187" s="4367" t="e">
        <f>IF(H185-H186&lt;=0,0,H185-H186)</f>
        <v>#DIV/0!</v>
      </c>
    </row>
    <row r="188" spans="5:8" ht="15">
      <c r="E188" s="4196"/>
      <c r="F188" s="4196"/>
      <c r="G188" s="4372" t="s">
        <v>9249</v>
      </c>
      <c r="H188" s="4373">
        <f>'Data Entry - SOF'!O19</f>
        <v>0</v>
      </c>
    </row>
    <row r="189" spans="5:8" ht="15">
      <c r="G189" s="4372" t="s">
        <v>9215</v>
      </c>
      <c r="H189" s="4374" t="e">
        <f>H187*H188</f>
        <v>#DIV/0!</v>
      </c>
    </row>
    <row r="193" spans="7:13" ht="15">
      <c r="G193" s="4372" t="s">
        <v>9253</v>
      </c>
    </row>
    <row r="195" spans="7:13">
      <c r="J195" s="4376"/>
      <c r="K195" s="4376"/>
      <c r="M195" s="4377"/>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08"/>
  <sheetViews>
    <sheetView topLeftCell="A18" workbookViewId="0">
      <selection activeCell="I18" sqref="I18"/>
    </sheetView>
  </sheetViews>
  <sheetFormatPr defaultColWidth="8.7109375" defaultRowHeight="14.25"/>
  <cols>
    <col min="1" max="1" width="10.5703125" style="4151" bestFit="1" customWidth="1"/>
    <col min="2" max="2" width="8.7109375" style="4151"/>
    <col min="3" max="3" width="13.5703125" style="4151" customWidth="1"/>
    <col min="4" max="4" width="44.5703125" style="4151" customWidth="1"/>
    <col min="5" max="5" width="19.140625" style="4151" customWidth="1"/>
    <col min="6" max="6" width="19.140625" style="4151" hidden="1" customWidth="1"/>
    <col min="7" max="7" width="6.42578125" style="4151" customWidth="1"/>
    <col min="8" max="8" width="21.85546875" style="4151" customWidth="1"/>
    <col min="9" max="9" width="24.140625" style="4151" customWidth="1"/>
    <col min="10" max="11" width="28.42578125" style="4151" hidden="1" customWidth="1"/>
    <col min="12" max="12" width="15.5703125" style="4151" customWidth="1"/>
    <col min="13" max="13" width="15.5703125" style="4156" customWidth="1"/>
    <col min="14" max="14" width="23.85546875" style="4151" customWidth="1"/>
    <col min="15" max="15" width="15.5703125" style="4157" hidden="1" customWidth="1"/>
    <col min="16" max="16" width="13.5703125" style="4151" customWidth="1"/>
    <col min="17" max="37" width="8.7109375" style="4151"/>
    <col min="38" max="38" width="15.5703125" style="4151" customWidth="1"/>
    <col min="39" max="39" width="16" style="4151" customWidth="1"/>
    <col min="40" max="16384" width="8.7109375" style="4151"/>
  </cols>
  <sheetData>
    <row r="1" spans="1:11" ht="15" hidden="1">
      <c r="A1" s="4150" t="s">
        <v>66</v>
      </c>
      <c r="C1" s="4152">
        <f>'Data Entry - SOF'!B1</f>
        <v>0</v>
      </c>
      <c r="E1" s="4153"/>
      <c r="F1" s="4154" t="str">
        <f>'Report-SOF1920-HB3'!D1</f>
        <v>Release 10</v>
      </c>
      <c r="G1" s="4155"/>
      <c r="J1" s="4155"/>
      <c r="K1" s="4155"/>
    </row>
    <row r="2" spans="1:11" ht="15" hidden="1">
      <c r="A2" s="4150" t="s">
        <v>67</v>
      </c>
      <c r="C2" s="4158">
        <f>'Data Entry - SOF'!B2</f>
        <v>0</v>
      </c>
      <c r="F2" s="4155">
        <f>'Report-SOF1920-HB3'!D2</f>
        <v>43724</v>
      </c>
      <c r="G2" s="4155"/>
      <c r="J2" s="4155"/>
      <c r="K2" s="4155"/>
    </row>
    <row r="3" spans="1:11" ht="15" hidden="1">
      <c r="A3" s="4150" t="s">
        <v>143</v>
      </c>
      <c r="C3" s="4159">
        <f ca="1">'Data Entry - SOF'!B3</f>
        <v>43726.623322453706</v>
      </c>
      <c r="F3" s="4160">
        <f>'Report-SOF1920-HB3'!D3</f>
        <v>0</v>
      </c>
    </row>
    <row r="4" spans="1:11" ht="15" hidden="1">
      <c r="D4" s="4161" t="s">
        <v>3183</v>
      </c>
    </row>
    <row r="5" spans="1:11" ht="15" hidden="1">
      <c r="D5" s="4162" t="s">
        <v>3286</v>
      </c>
    </row>
    <row r="6" spans="1:11" hidden="1"/>
    <row r="7" spans="1:11" ht="15" hidden="1">
      <c r="D7" s="4150" t="s">
        <v>1393</v>
      </c>
    </row>
    <row r="8" spans="1:11" ht="15" hidden="1">
      <c r="B8" s="4163"/>
      <c r="D8" s="4150" t="s">
        <v>832</v>
      </c>
      <c r="F8" s="4164">
        <f>'Calc Data'!I7</f>
        <v>0</v>
      </c>
      <c r="G8" s="4165"/>
      <c r="J8" s="4165"/>
      <c r="K8" s="4165"/>
    </row>
    <row r="9" spans="1:11" ht="15" hidden="1">
      <c r="D9" s="4150" t="s">
        <v>1394</v>
      </c>
      <c r="F9" s="4164">
        <f>'Calc Data'!I8</f>
        <v>0</v>
      </c>
      <c r="G9" s="4165"/>
      <c r="J9" s="4165"/>
      <c r="K9" s="4165"/>
    </row>
    <row r="10" spans="1:11" ht="15" hidden="1">
      <c r="D10" s="4150" t="s">
        <v>426</v>
      </c>
      <c r="F10" s="4164">
        <f>'Data Entry - SOF'!Q35</f>
        <v>0</v>
      </c>
      <c r="G10" s="4165"/>
      <c r="J10" s="4165"/>
      <c r="K10" s="4165"/>
    </row>
    <row r="11" spans="1:11" ht="15" hidden="1">
      <c r="B11" s="4150"/>
      <c r="D11" s="4150" t="s">
        <v>427</v>
      </c>
      <c r="F11" s="4164">
        <f>'Calc Data'!I10</f>
        <v>0</v>
      </c>
      <c r="G11" s="4165"/>
      <c r="J11" s="4165"/>
      <c r="K11" s="4165"/>
    </row>
    <row r="12" spans="1:11" ht="15" hidden="1">
      <c r="D12" s="4150" t="s">
        <v>428</v>
      </c>
      <c r="F12" s="4166">
        <f>'Data Entry - SOF'!Q73</f>
        <v>0</v>
      </c>
      <c r="G12" s="4166"/>
      <c r="J12" s="4166"/>
      <c r="K12" s="4166"/>
    </row>
    <row r="13" spans="1:11" ht="15" hidden="1">
      <c r="D13" s="4150" t="s">
        <v>429</v>
      </c>
      <c r="F13" s="4166" t="e">
        <f>'Data Entry - SOF'!#REF!</f>
        <v>#REF!</v>
      </c>
      <c r="G13" s="4166"/>
      <c r="J13" s="4166"/>
      <c r="K13" s="4166"/>
    </row>
    <row r="14" spans="1:11" ht="15" hidden="1">
      <c r="D14" s="4150" t="s">
        <v>1811</v>
      </c>
      <c r="F14" s="4164">
        <f>'Data Entry - SOF'!Q159</f>
        <v>0</v>
      </c>
      <c r="G14" s="4166"/>
      <c r="J14" s="4166"/>
      <c r="K14" s="4166"/>
    </row>
    <row r="15" spans="1:11" ht="15" hidden="1">
      <c r="D15" s="4150" t="s">
        <v>1155</v>
      </c>
      <c r="F15" s="4164">
        <f>'Calc Data'!I59</f>
        <v>0</v>
      </c>
      <c r="G15" s="4167"/>
      <c r="J15" s="4167"/>
      <c r="K15" s="4167"/>
    </row>
    <row r="16" spans="1:11" ht="15" hidden="1">
      <c r="D16" s="4150" t="s">
        <v>1956</v>
      </c>
      <c r="F16" s="4166">
        <f>'Data Entry - SOF'!Q93</f>
        <v>0</v>
      </c>
      <c r="G16" s="4166"/>
      <c r="J16" s="4166"/>
      <c r="K16" s="4166"/>
    </row>
    <row r="17" spans="2:38" ht="15.75" hidden="1" thickBot="1">
      <c r="D17" s="4168"/>
      <c r="E17" s="4169"/>
      <c r="F17" s="4169"/>
      <c r="G17" s="4166"/>
      <c r="J17" s="4166"/>
      <c r="K17" s="4166"/>
    </row>
    <row r="18" spans="2:38" ht="15">
      <c r="D18" s="4150"/>
      <c r="G18" s="4166"/>
      <c r="H18" s="4170" t="s">
        <v>6939</v>
      </c>
      <c r="I18" s="4171" t="s">
        <v>6939</v>
      </c>
      <c r="J18" s="4172" t="s">
        <v>6968</v>
      </c>
      <c r="K18" s="4172" t="s">
        <v>6967</v>
      </c>
    </row>
    <row r="19" spans="2:38" ht="15">
      <c r="B19" s="4173" t="s">
        <v>430</v>
      </c>
      <c r="D19" s="4150"/>
      <c r="F19" s="4174" t="s">
        <v>3898</v>
      </c>
      <c r="G19" s="4150"/>
      <c r="H19" s="4175" t="s">
        <v>9357</v>
      </c>
      <c r="I19" s="4176" t="s">
        <v>8765</v>
      </c>
      <c r="J19" s="4177" t="s">
        <v>8554</v>
      </c>
      <c r="K19" s="4178" t="s">
        <v>8553</v>
      </c>
    </row>
    <row r="20" spans="2:38" ht="15">
      <c r="B20" s="4173">
        <v>11</v>
      </c>
      <c r="C20" s="4157" t="s">
        <v>8777</v>
      </c>
      <c r="D20" s="4179" t="s">
        <v>3140</v>
      </c>
      <c r="F20" s="4180">
        <f>ROUND(ROUND('Calc Data'!I23,0)*IF('Calc Data'!I11&gt;'Calc Data'!I10,'Calc Data'!I11,'Calc Data'!I10),0)</f>
        <v>0</v>
      </c>
      <c r="G20" s="4166"/>
      <c r="H20" s="4181">
        <f>ROUND(ROUND('Calc Data'!AY23,0)*IF('Calc Data'!I11&gt;'Calc Data'!I10,'Calc Data'!I11,'Calc Data'!I10),0)</f>
        <v>0</v>
      </c>
      <c r="I20" s="4182" t="e">
        <f>ROUND(Assumptions!H145*IF('Calc Data'!I12&gt;'Calc Data'!I11,'Calc Data'!I12,'Calc Data'!I11),0)</f>
        <v>#DIV/0!</v>
      </c>
      <c r="J20" s="4183">
        <f>ROUND(ROUND('Calc Data'!AY78,0)*IF('Calc Data'!I11&gt;'Calc Data'!I10,'Calc Data'!I11,'Calc Data'!I10),0)</f>
        <v>0</v>
      </c>
      <c r="K20" s="4184"/>
      <c r="AL20" s="4166" t="e">
        <f>ROUND(ROUND('Calc Data'!AC23,0)*IF('Calc Data'!#REF!&gt;'Calc Data'!#REF!,'Calc Data'!#REF!,'Calc Data'!#REF!),0)</f>
        <v>#REF!</v>
      </c>
    </row>
    <row r="21" spans="2:38" ht="15">
      <c r="B21" s="4173"/>
      <c r="C21" s="4185" t="s">
        <v>8778</v>
      </c>
      <c r="D21" s="4186" t="s">
        <v>8769</v>
      </c>
      <c r="E21" s="4187"/>
      <c r="F21" s="4188"/>
      <c r="G21" s="4189"/>
      <c r="H21" s="4181"/>
      <c r="I21" s="4182">
        <f>MAX('Calc Data'!L96,'Calc Data'!L98)</f>
        <v>0</v>
      </c>
      <c r="J21" s="4190"/>
      <c r="K21" s="4191"/>
      <c r="AL21" s="4166"/>
    </row>
    <row r="22" spans="2:38" ht="15">
      <c r="B22" s="4173">
        <v>23</v>
      </c>
      <c r="C22" s="4157" t="s">
        <v>8778</v>
      </c>
      <c r="D22" s="4150" t="s">
        <v>8835</v>
      </c>
      <c r="F22" s="4166">
        <f>ROUND('Calc Data'!I9*ROUND('Calc Data'!I23,0),0)</f>
        <v>0</v>
      </c>
      <c r="G22" s="4166"/>
      <c r="H22" s="4192">
        <f>ROUND('Calc Data'!I9*ROUND('Calc Data'!AY23,0),0)</f>
        <v>0</v>
      </c>
      <c r="I22" s="4193" t="e">
        <f>ROUND('Calc Data'!I9*(Assumptions!H145+'Calc Data'!L95),0)</f>
        <v>#DIV/0!</v>
      </c>
      <c r="J22" s="4194">
        <f>ROUND('Calc Data'!I9*ROUND('Calc Data'!AY78,0),0)</f>
        <v>0</v>
      </c>
      <c r="K22" s="4195"/>
      <c r="AL22" s="4166" t="e">
        <f>ROUND('Calc Data'!#REF!*ROUND('Calc Data'!AC23,0),0)</f>
        <v>#REF!</v>
      </c>
    </row>
    <row r="23" spans="2:38" ht="15">
      <c r="B23" s="4173"/>
      <c r="C23" s="4157" t="s">
        <v>8778</v>
      </c>
      <c r="D23" s="4150" t="s">
        <v>90</v>
      </c>
      <c r="F23" s="4196"/>
      <c r="H23" s="4197"/>
      <c r="I23" s="4198"/>
      <c r="J23" s="4199"/>
      <c r="K23" s="4195"/>
    </row>
    <row r="24" spans="2:38" ht="15">
      <c r="B24" s="4173">
        <v>23</v>
      </c>
      <c r="C24" s="4157" t="s">
        <v>8778</v>
      </c>
      <c r="D24" s="4150" t="s">
        <v>91</v>
      </c>
      <c r="F24" s="4200">
        <f>ROUND('Data Entry - SOF'!Q34*Weights!N21*ROUND('Calc Data'!I23,0),0)</f>
        <v>0</v>
      </c>
      <c r="G24" s="4200"/>
      <c r="H24" s="4201">
        <f>ROUND('Data Entry - SOF'!Q34*Weights!N21*ROUND('Calc Data'!AY23,0),0)</f>
        <v>0</v>
      </c>
      <c r="I24" s="4202">
        <f>IF('Data Entry - SOF'!Q34=0,0,ROUND('Data Entry - SOF'!Q34*'Weights-HB3'!J18*(Assumptions!H145+'Calc Data'!L95),0))</f>
        <v>0</v>
      </c>
      <c r="J24" s="4203">
        <f>ROUND('Data Entry - SOF'!Q34*Weights!N21*ROUND('Calc Data'!AY78,0),0)</f>
        <v>0</v>
      </c>
      <c r="K24" s="4195"/>
      <c r="AL24" s="4200" t="e">
        <f>ROUND('Data Entry - SOF'!#REF!*1.1*ROUND('Calc Data'!AC23,0),0)</f>
        <v>#REF!</v>
      </c>
    </row>
    <row r="25" spans="2:38" ht="15">
      <c r="B25" s="4173">
        <v>23</v>
      </c>
      <c r="C25" s="4157" t="s">
        <v>8778</v>
      </c>
      <c r="D25" s="4150" t="s">
        <v>92</v>
      </c>
      <c r="F25" s="4166">
        <f>ROUND((+'Data Entry - SOF'!Q32*Weights!N19)*ROUND('Calc Data'!I23,0),0)</f>
        <v>0</v>
      </c>
      <c r="G25" s="4166"/>
      <c r="H25" s="4192">
        <f>ROUND((+'Data Entry - SOF'!Q32*Weights!N19)*ROUND('Calc Data'!AY23,0),0)</f>
        <v>0</v>
      </c>
      <c r="I25" s="4193">
        <f>IF('Data Entry - SOF'!Q32=0,0,ROUND(('Data Entry - SOF'!Q32*'Weights-HB3'!J16)*(Assumptions!H145+'Calc Data'!L95),0))</f>
        <v>0</v>
      </c>
      <c r="J25" s="4194">
        <f>ROUND((+'Data Entry - SOF'!Q32*Weights!N19)*ROUND('Calc Data'!AY78,0),0)</f>
        <v>0</v>
      </c>
      <c r="K25" s="4195"/>
      <c r="AL25" s="4166" t="e">
        <f>ROUND((+'Data Entry - SOF'!#REF!*4)*ROUND('Calc Data'!AC23,0),0)</f>
        <v>#REF!</v>
      </c>
    </row>
    <row r="26" spans="2:38" ht="15">
      <c r="B26" s="4173">
        <v>23</v>
      </c>
      <c r="C26" s="4157" t="s">
        <v>8778</v>
      </c>
      <c r="D26" s="4204" t="s">
        <v>812</v>
      </c>
      <c r="F26" s="4166">
        <f>ROUND((+'Data Entry - SOF'!Q30*Weights!N17)*ROUND('Calc Data'!I23,0),0)</f>
        <v>0</v>
      </c>
      <c r="G26" s="4166"/>
      <c r="H26" s="4192">
        <f>ROUND((+'Data Entry - SOF'!Q30*Weights!N17)*ROUND('Calc Data'!AY23,0),0)</f>
        <v>0</v>
      </c>
      <c r="I26" s="4193">
        <f>IF('Data Entry - SOF'!Q30=0,0,ROUND((+'Data Entry - SOF'!Q30*'Weights-HB3'!J14)*Assumptions!H145+'Calc Data'!L95,0))</f>
        <v>0</v>
      </c>
      <c r="J26" s="4194">
        <f>ROUND((+'Data Entry - SOF'!Q30*Weights!N17)*ROUND('Calc Data'!AY78,0),0)</f>
        <v>0</v>
      </c>
      <c r="K26" s="4195"/>
      <c r="AL26" s="4166" t="e">
        <f>ROUND((+'Data Entry - SOF'!#REF!*2.8)*ROUND('Calc Data'!AC23,0),0)</f>
        <v>#REF!</v>
      </c>
    </row>
    <row r="27" spans="2:38" ht="15">
      <c r="B27" s="4173">
        <v>23</v>
      </c>
      <c r="C27" s="4157" t="s">
        <v>8778</v>
      </c>
      <c r="D27" s="4204" t="s">
        <v>813</v>
      </c>
      <c r="F27" s="4166">
        <f>ROUND(('Data Entry - SOF'!Q31*Weights!N18)*ROUND('Calc Data'!I23,0),0)</f>
        <v>0</v>
      </c>
      <c r="G27" s="4166"/>
      <c r="H27" s="4192">
        <f>ROUND(('Data Entry - SOF'!Q31*Weights!N18)*ROUND('Calc Data'!AY23,0),0)</f>
        <v>0</v>
      </c>
      <c r="I27" s="4193">
        <f>IF('Data Entry - SOF'!Q31=0,0,ROUND(('Data Entry - SOF'!Q31*'Weights-HB3'!J15)*(Assumptions!H145+'Calc Data'!L95),0))</f>
        <v>0</v>
      </c>
      <c r="J27" s="4194">
        <f>ROUND(('Data Entry - SOF'!Q31*Weights!N18)*ROUND('Calc Data'!AY78,0),0)</f>
        <v>0</v>
      </c>
      <c r="K27" s="4195"/>
      <c r="AL27" s="4166" t="e">
        <f>ROUND(('Data Entry - SOF'!#REF!*1.7)*ROUND('Calc Data'!AC23,0),0)</f>
        <v>#REF!</v>
      </c>
    </row>
    <row r="28" spans="2:38" ht="15">
      <c r="B28" s="4173"/>
      <c r="C28" s="4157" t="s">
        <v>8778</v>
      </c>
      <c r="D28" s="4150" t="s">
        <v>1145</v>
      </c>
      <c r="F28" s="4166">
        <f>IF('Data Entry - SOF'!Q114&lt;0,'Data Entry - SOF'!Q114,'Data Entry - SOF'!Q114*-1)</f>
        <v>0</v>
      </c>
      <c r="G28" s="4166"/>
      <c r="H28" s="4192">
        <f>IF('Data Entry - SOF'!Q114&lt;0,'Data Entry - SOF'!Q114,'Data Entry - SOF'!Q114*-1)</f>
        <v>0</v>
      </c>
      <c r="I28" s="4193">
        <f>IF('Data Entry - SOF'!Q116&lt;0,'Data Entry - SOF'!Q116,'Data Entry - SOF'!Q116*-1)</f>
        <v>0</v>
      </c>
      <c r="J28" s="4205">
        <f>H28</f>
        <v>0</v>
      </c>
      <c r="K28" s="4195"/>
      <c r="AL28" s="4166">
        <v>0</v>
      </c>
    </row>
    <row r="29" spans="2:38" ht="15">
      <c r="B29" s="4173">
        <v>22</v>
      </c>
      <c r="C29" s="4157" t="s">
        <v>8778</v>
      </c>
      <c r="D29" s="4150" t="s">
        <v>2834</v>
      </c>
      <c r="F29" s="4166">
        <f>ROUND(ROUND('Calc Data'!I23,0)*'Data Entry - SOF'!Q35*Weights!N23,0)</f>
        <v>0</v>
      </c>
      <c r="G29" s="4166"/>
      <c r="H29" s="4192">
        <f>ROUND(ROUND('Calc Data'!AY23,0)*'Data Entry - SOF'!Q35*Weights!N23,0)</f>
        <v>0</v>
      </c>
      <c r="I29" s="4193" t="e">
        <f>ROUND(Assumptions!H145*'Data Entry - SOF'!Q36*'Weights-HB3'!J20,0)</f>
        <v>#DIV/0!</v>
      </c>
      <c r="J29" s="4194">
        <f>ROUND(ROUND('Calc Data'!AY78,0)*'Data Entry - SOF'!Q35*Weights!N23,0)</f>
        <v>0</v>
      </c>
      <c r="K29" s="4195"/>
      <c r="AL29" s="4166" t="e">
        <f>ROUND(ROUND('Calc Data'!AC23,0)*'Data Entry - SOF'!#REF!*1.35,0)</f>
        <v>#REF!</v>
      </c>
    </row>
    <row r="30" spans="2:38" ht="15">
      <c r="B30" s="4173"/>
      <c r="C30" s="4157" t="s">
        <v>8778</v>
      </c>
      <c r="D30" s="4196" t="s">
        <v>644</v>
      </c>
      <c r="F30" s="4166">
        <f>Weights!N24*'Data Entry - SOF'!Q37</f>
        <v>0</v>
      </c>
      <c r="G30" s="4166"/>
      <c r="H30" s="4192">
        <f>Weights!N24*'Data Entry - SOF'!Q37</f>
        <v>0</v>
      </c>
      <c r="I30" s="4193">
        <f>ROUND('Weights-HB3'!J21*'Data Entry - SOF'!Q37,0)</f>
        <v>0</v>
      </c>
      <c r="J30" s="4205">
        <f>H30</f>
        <v>0</v>
      </c>
      <c r="K30" s="4195"/>
      <c r="AL30" s="4166"/>
    </row>
    <row r="31" spans="2:38" ht="15" hidden="1">
      <c r="B31" s="4173"/>
      <c r="C31" s="4157" t="s">
        <v>8778</v>
      </c>
      <c r="D31" s="4196" t="s">
        <v>645</v>
      </c>
      <c r="F31" s="4166" t="e">
        <f>400*'Data Entry - SOF'!Q39</f>
        <v>#DIV/0!</v>
      </c>
      <c r="G31" s="4166"/>
      <c r="H31" s="4192" t="e">
        <f>400*'Data Entry - SOF'!Q39</f>
        <v>#DIV/0!</v>
      </c>
      <c r="I31" s="4198"/>
      <c r="J31" s="4206"/>
      <c r="K31" s="4195"/>
      <c r="AL31" s="4166"/>
    </row>
    <row r="32" spans="2:38" ht="15" hidden="1">
      <c r="B32" s="4173"/>
      <c r="C32" s="4157" t="s">
        <v>8778</v>
      </c>
      <c r="D32" s="4196" t="s">
        <v>646</v>
      </c>
      <c r="F32" s="4166" t="e">
        <f>80*'Data Entry - SOF'!Q40</f>
        <v>#DIV/0!</v>
      </c>
      <c r="G32" s="4166"/>
      <c r="H32" s="4192" t="e">
        <f>80*'Data Entry - SOF'!Q40</f>
        <v>#DIV/0!</v>
      </c>
      <c r="I32" s="4198"/>
      <c r="J32" s="4206"/>
      <c r="K32" s="4195"/>
      <c r="AL32" s="4166"/>
    </row>
    <row r="33" spans="2:38" ht="15">
      <c r="B33" s="4173">
        <v>21</v>
      </c>
      <c r="C33" s="4157" t="s">
        <v>8778</v>
      </c>
      <c r="D33" s="4150" t="s">
        <v>2838</v>
      </c>
      <c r="F33" s="4166">
        <f>ROUND(ROUND('Calc Data'!I23,0)*'Data Entry - SOF'!Q211*Weights!N28,0)</f>
        <v>0</v>
      </c>
      <c r="G33" s="4166"/>
      <c r="H33" s="4192">
        <f>ROUND(ROUND('Calc Data'!AY23,0)*'Data Entry - SOF'!Q211*Weights!N28,0)</f>
        <v>0</v>
      </c>
      <c r="I33" s="4207"/>
      <c r="J33" s="4194">
        <f>ROUND(ROUND('Calc Data'!AY78,0)*'Data Entry - SOF'!Q211*Weights!N28,0)</f>
        <v>0</v>
      </c>
      <c r="K33" s="4195"/>
      <c r="AL33" s="4166" t="e">
        <f>ROUND(ROUND('Calc Data'!AC23,0)*'Data Entry - SOF'!#REF!*0.12,0)</f>
        <v>#REF!</v>
      </c>
    </row>
    <row r="34" spans="2:38" ht="15">
      <c r="B34" s="4173"/>
      <c r="C34" s="4157" t="s">
        <v>8778</v>
      </c>
      <c r="D34" s="4150" t="s">
        <v>397</v>
      </c>
      <c r="F34" s="4166">
        <f>IF('Data Entry - SOF'!Q113&lt;0,'Data Entry - SOF'!Q113,'Data Entry - SOF'!Q113*-1)</f>
        <v>0</v>
      </c>
      <c r="G34" s="4166"/>
      <c r="H34" s="4192">
        <f>IF('Data Entry - SOF'!Q113&lt;0,'Data Entry - SOF'!Q113,'Data Entry - SOF'!Q113*-1)</f>
        <v>0</v>
      </c>
      <c r="I34" s="4193">
        <f>IF('Data Entry - SOF'!Q115&lt;0,'Data Entry - SOF'!Q115,'Data Entry - SOF'!Q115*-1)</f>
        <v>0</v>
      </c>
      <c r="J34" s="4205">
        <f>H34</f>
        <v>0</v>
      </c>
      <c r="K34" s="4195"/>
      <c r="AL34" s="4166">
        <v>0</v>
      </c>
    </row>
    <row r="35" spans="2:38" ht="15">
      <c r="B35" s="4173" t="s">
        <v>2497</v>
      </c>
      <c r="C35" s="4185" t="s">
        <v>8778</v>
      </c>
      <c r="D35" s="4208" t="s">
        <v>3041</v>
      </c>
      <c r="E35" s="4187"/>
      <c r="F35" s="4189">
        <f>ROUND(ROUND('Calc Data'!I23,0)*'Data Entry - SOF'!Q41*Weights!N30,0)</f>
        <v>0</v>
      </c>
      <c r="G35" s="4189"/>
      <c r="H35" s="4192">
        <f>ROUND(ROUND('Calc Data'!AY23,0)*'Data Entry - SOF'!Q41*Weights!N30,0)</f>
        <v>0</v>
      </c>
      <c r="I35" s="4207"/>
      <c r="J35" s="4194">
        <f>ROUND(ROUND('Calc Data'!AY78,0)*'Data Entry - SOF'!Q41*Weights!N30,0)</f>
        <v>0</v>
      </c>
      <c r="K35" s="4195"/>
      <c r="AL35" s="4166" t="e">
        <f>ROUND(ROUND('Calc Data'!AC23,0)*'Data Entry - SOF'!#REF!*0.2,0)</f>
        <v>#REF!</v>
      </c>
    </row>
    <row r="36" spans="2:38" ht="15">
      <c r="B36" s="4173"/>
      <c r="C36" s="4185" t="s">
        <v>8778</v>
      </c>
      <c r="D36" s="4186" t="s">
        <v>8845</v>
      </c>
      <c r="E36" s="4187"/>
      <c r="F36" s="4189"/>
      <c r="G36" s="4189"/>
      <c r="H36" s="4192"/>
      <c r="I36" s="4207" t="e">
        <f>ROUND(Assumptions!H145*'Data Entry - SOF'!Q42*'Weights-HB3'!J31,0)</f>
        <v>#DIV/0!</v>
      </c>
      <c r="J36" s="4194"/>
      <c r="K36" s="4191"/>
      <c r="AL36" s="4166"/>
    </row>
    <row r="37" spans="2:38" ht="15">
      <c r="B37" s="4173"/>
      <c r="C37" s="4185" t="s">
        <v>8778</v>
      </c>
      <c r="D37" s="4186" t="s">
        <v>8846</v>
      </c>
      <c r="E37" s="4187"/>
      <c r="F37" s="4189"/>
      <c r="G37" s="4189"/>
      <c r="H37" s="4192"/>
      <c r="I37" s="4207" t="e">
        <f>ROUND(Assumptions!H145*'Data Entry - SOF'!Q43*'Weights-HB3'!J32,0)</f>
        <v>#DIV/0!</v>
      </c>
      <c r="J37" s="4194"/>
      <c r="K37" s="4191"/>
      <c r="AL37" s="4166"/>
    </row>
    <row r="38" spans="2:38" ht="15">
      <c r="B38" s="4173"/>
      <c r="C38" s="4185" t="s">
        <v>8778</v>
      </c>
      <c r="D38" s="4186" t="s">
        <v>8874</v>
      </c>
      <c r="E38" s="4187"/>
      <c r="F38" s="4189"/>
      <c r="G38" s="4189"/>
      <c r="H38" s="4192"/>
      <c r="I38" s="4207" t="e">
        <f>ROUND(Assumptions!H145*'Data Entry - SOF'!Q44*'Weights-HB3'!J33,0)</f>
        <v>#DIV/0!</v>
      </c>
      <c r="J38" s="4194"/>
      <c r="K38" s="4191"/>
      <c r="AL38" s="4166"/>
    </row>
    <row r="39" spans="2:38" ht="15">
      <c r="B39" s="4173"/>
      <c r="C39" s="4185" t="s">
        <v>8778</v>
      </c>
      <c r="D39" s="4186" t="s">
        <v>8875</v>
      </c>
      <c r="E39" s="4187"/>
      <c r="F39" s="4189"/>
      <c r="G39" s="4189"/>
      <c r="H39" s="4192"/>
      <c r="I39" s="4207" t="e">
        <f>ROUND(Assumptions!H145*'Data Entry - SOF'!Q45*'Weights-HB3'!J34,0)</f>
        <v>#DIV/0!</v>
      </c>
      <c r="J39" s="4194"/>
      <c r="K39" s="4191"/>
      <c r="AL39" s="4166"/>
    </row>
    <row r="40" spans="2:38" ht="15">
      <c r="B40" s="4173"/>
      <c r="C40" s="4185" t="s">
        <v>8778</v>
      </c>
      <c r="D40" s="4186" t="s">
        <v>8876</v>
      </c>
      <c r="E40" s="4187"/>
      <c r="F40" s="4189"/>
      <c r="G40" s="4189"/>
      <c r="H40" s="4192"/>
      <c r="I40" s="4207" t="e">
        <f>ROUND(Assumptions!H145*'Data Entry - SOF'!Q46*'Weights-HB3'!J35,0)</f>
        <v>#DIV/0!</v>
      </c>
      <c r="J40" s="4194"/>
      <c r="K40" s="4191"/>
      <c r="AL40" s="4166"/>
    </row>
    <row r="41" spans="2:38" ht="15">
      <c r="B41" s="4173"/>
      <c r="C41" s="4185" t="s">
        <v>8778</v>
      </c>
      <c r="D41" s="4186" t="s">
        <v>8877</v>
      </c>
      <c r="E41" s="4187"/>
      <c r="F41" s="4189"/>
      <c r="G41" s="4189"/>
      <c r="H41" s="4192"/>
      <c r="I41" s="4207" t="e">
        <f>ROUND(Assumptions!H145*'Data Entry - SOF'!Q47*'Weights-HB3'!J36,0)</f>
        <v>#DIV/0!</v>
      </c>
      <c r="J41" s="4194"/>
      <c r="K41" s="4191"/>
      <c r="AL41" s="4166"/>
    </row>
    <row r="42" spans="2:38" ht="15">
      <c r="B42" s="4173"/>
      <c r="C42" s="4185" t="s">
        <v>8778</v>
      </c>
      <c r="D42" s="4186" t="s">
        <v>8878</v>
      </c>
      <c r="E42" s="4187"/>
      <c r="F42" s="4189"/>
      <c r="G42" s="4189"/>
      <c r="H42" s="4192"/>
      <c r="I42" s="4207" t="e">
        <f>ROUND(Assumptions!H145*'Data Entry - SOF'!Q48*'Weights-HB3'!J37,0)</f>
        <v>#DIV/0!</v>
      </c>
      <c r="J42" s="4194"/>
      <c r="K42" s="4191"/>
      <c r="AL42" s="4166"/>
    </row>
    <row r="43" spans="2:38" ht="15">
      <c r="B43" s="4173" t="s">
        <v>2497</v>
      </c>
      <c r="C43" s="4157" t="s">
        <v>8778</v>
      </c>
      <c r="D43" s="4150" t="s">
        <v>399</v>
      </c>
      <c r="F43" s="4166">
        <f>ROUND(ROUND('Calc Data'!I23,0)*'Data Entry - SOF'!Q49*Weights!N31,0)</f>
        <v>0</v>
      </c>
      <c r="G43" s="4166"/>
      <c r="H43" s="4192">
        <f>ROUND(ROUND('Calc Data'!AY23,0)*'Data Entry - SOF'!Q49*Weights!N31,0)</f>
        <v>0</v>
      </c>
      <c r="I43" s="4193" t="e">
        <f>ROUND(Assumptions!H145*'Data Entry - SOF'!Q49*'Weights-HB3'!J40,0)</f>
        <v>#DIV/0!</v>
      </c>
      <c r="J43" s="4194">
        <f>ROUND(ROUND('Calc Data'!AY78,0)*'Data Entry - SOF'!Q49*Weights!N31,0)</f>
        <v>0</v>
      </c>
      <c r="K43" s="4195"/>
      <c r="AL43" s="4166" t="e">
        <f>ROUND(ROUND('Calc Data'!AC23,0)*'Data Entry - SOF'!#REF!*2.41,0)</f>
        <v>#REF!</v>
      </c>
    </row>
    <row r="44" spans="2:38" ht="15" hidden="1">
      <c r="B44" s="4173" t="s">
        <v>2497</v>
      </c>
      <c r="C44" s="4157" t="s">
        <v>8778</v>
      </c>
      <c r="D44" s="4179" t="s">
        <v>451</v>
      </c>
      <c r="E44" s="4209"/>
      <c r="F44" s="4166">
        <f>650*'Data Entry - SOF'!Q50</f>
        <v>0</v>
      </c>
      <c r="G44" s="4166"/>
      <c r="H44" s="4192">
        <f>650*'Data Entry - SOF'!Q50</f>
        <v>0</v>
      </c>
      <c r="I44" s="4198"/>
      <c r="J44" s="4206"/>
      <c r="K44" s="4195"/>
      <c r="AL44" s="4166"/>
    </row>
    <row r="45" spans="2:38" ht="15" hidden="1">
      <c r="B45" s="4173"/>
      <c r="C45" s="4157" t="s">
        <v>8778</v>
      </c>
      <c r="D45" s="4150" t="s">
        <v>1229</v>
      </c>
      <c r="F45" s="4210">
        <v>0</v>
      </c>
      <c r="G45" s="4166"/>
      <c r="H45" s="4211">
        <v>0</v>
      </c>
      <c r="I45" s="4198"/>
      <c r="J45" s="4206"/>
      <c r="K45" s="4195"/>
      <c r="AL45" s="4166">
        <v>0</v>
      </c>
    </row>
    <row r="46" spans="2:38" ht="15">
      <c r="B46" s="4173">
        <v>25</v>
      </c>
      <c r="C46" s="4157" t="s">
        <v>8778</v>
      </c>
      <c r="D46" s="4150" t="s">
        <v>8830</v>
      </c>
      <c r="F46" s="4166">
        <f>ROUND(ROUND('Calc Data'!I23,0)*('Data Entry - SOF'!Q51*Weights!N26),0)</f>
        <v>0</v>
      </c>
      <c r="G46" s="4166"/>
      <c r="H46" s="4192">
        <f>ROUND(ROUND('Calc Data'!AY23,0)*('Data Entry - SOF'!Q51*Weights!N26),0)</f>
        <v>0</v>
      </c>
      <c r="I46" s="4193" t="e">
        <f>ROUND(Assumptions!H145*'Data Entry - SOF'!Q52*'Weights-HB3'!J23,0)</f>
        <v>#DIV/0!</v>
      </c>
      <c r="J46" s="4194">
        <f>ROUND(ROUND('Calc Data'!AY78,0)*('Data Entry - SOF'!Q51*Weights!N26),0)</f>
        <v>0</v>
      </c>
      <c r="K46" s="4195"/>
      <c r="AL46" s="4166" t="e">
        <f>ROUND(ROUND('Calc Data'!AC23,0)*('Data Entry - SOF'!#REF!*0.1),0)</f>
        <v>#REF!</v>
      </c>
    </row>
    <row r="47" spans="2:38" ht="15">
      <c r="B47" s="4173"/>
      <c r="C47" s="4185" t="s">
        <v>8778</v>
      </c>
      <c r="D47" s="4208" t="s">
        <v>8831</v>
      </c>
      <c r="E47" s="4187"/>
      <c r="F47" s="4189"/>
      <c r="G47" s="4189"/>
      <c r="H47" s="4192"/>
      <c r="I47" s="4193" t="e">
        <f>ROUND(Assumptions!H145*'Data Entry - SOF'!Q53*'Weights-HB3'!J24,0)</f>
        <v>#DIV/0!</v>
      </c>
      <c r="J47" s="4194"/>
      <c r="K47" s="4191"/>
      <c r="AL47" s="4166"/>
    </row>
    <row r="48" spans="2:38" ht="15">
      <c r="B48" s="4173"/>
      <c r="C48" s="4185" t="s">
        <v>8778</v>
      </c>
      <c r="D48" s="4208" t="s">
        <v>8832</v>
      </c>
      <c r="E48" s="4187"/>
      <c r="F48" s="4189"/>
      <c r="G48" s="4189"/>
      <c r="H48" s="4192"/>
      <c r="I48" s="4193" t="e">
        <f>ROUND(Assumptions!H145*'Data Entry - SOF'!Q54*'Weights-HB3'!J25,0)</f>
        <v>#DIV/0!</v>
      </c>
      <c r="J48" s="4194"/>
      <c r="K48" s="4191"/>
      <c r="AL48" s="4166"/>
    </row>
    <row r="49" spans="2:38" ht="15">
      <c r="B49" s="4173"/>
      <c r="C49" s="4185" t="s">
        <v>8778</v>
      </c>
      <c r="D49" s="4208" t="s">
        <v>8775</v>
      </c>
      <c r="E49" s="4187"/>
      <c r="F49" s="4189"/>
      <c r="G49" s="4189"/>
      <c r="H49" s="4192"/>
      <c r="I49" s="4193" t="e">
        <f>ROUND(Assumptions!H145*'Data Entry - SOF'!Q55*'Weights-HB3'!J69,0)</f>
        <v>#DIV/0!</v>
      </c>
      <c r="J49" s="4194"/>
      <c r="K49" s="4191"/>
      <c r="AL49" s="4166"/>
    </row>
    <row r="50" spans="2:38" ht="15">
      <c r="B50" s="4173"/>
      <c r="C50" s="4185" t="s">
        <v>8778</v>
      </c>
      <c r="D50" s="4208" t="s">
        <v>9038</v>
      </c>
      <c r="E50" s="4187"/>
      <c r="F50" s="4189"/>
      <c r="G50" s="4189"/>
      <c r="H50" s="4192"/>
      <c r="I50" s="4193" t="e">
        <f>Assumptions!H145*'Data Entry - SOF'!Q56*'Weights-HB3'!J71</f>
        <v>#DIV/0!</v>
      </c>
      <c r="J50" s="4194"/>
      <c r="K50" s="4191"/>
      <c r="AL50" s="4166"/>
    </row>
    <row r="51" spans="2:38" ht="15">
      <c r="B51" s="4173"/>
      <c r="C51" s="4185" t="s">
        <v>8778</v>
      </c>
      <c r="D51" s="4208" t="s">
        <v>9378</v>
      </c>
      <c r="E51" s="4187"/>
      <c r="F51" s="4189"/>
      <c r="G51" s="4189"/>
      <c r="H51" s="4192"/>
      <c r="I51" s="4193">
        <f>('Data Entry - SOF'!Q57*'Weights-HB3'!G110)+('Data Entry - SOF'!Q58*'Weights-HB3'!G111)+('Data Entry - SOF'!Q59*'Weights-HB3'!G112)</f>
        <v>0</v>
      </c>
      <c r="J51" s="4194"/>
      <c r="K51" s="4191"/>
      <c r="AL51" s="4166"/>
    </row>
    <row r="52" spans="2:38" ht="15">
      <c r="B52" s="4173">
        <v>31</v>
      </c>
      <c r="C52" s="4157" t="s">
        <v>8778</v>
      </c>
      <c r="D52" s="4196" t="s">
        <v>2435</v>
      </c>
      <c r="F52" s="4166">
        <f>Weights!N33*'Data Entry - SOF'!Q21</f>
        <v>0</v>
      </c>
      <c r="G52" s="4166"/>
      <c r="H52" s="4192">
        <f>Weights!N33*'Data Entry - SOF'!Q21</f>
        <v>0</v>
      </c>
      <c r="I52" s="4207"/>
      <c r="J52" s="4205">
        <f>H52</f>
        <v>0</v>
      </c>
      <c r="K52" s="4195"/>
      <c r="AL52" s="4166" t="e">
        <f>#REF!</f>
        <v>#REF!</v>
      </c>
    </row>
    <row r="53" spans="2:38" ht="15">
      <c r="B53" s="4173"/>
      <c r="C53" s="4157" t="s">
        <v>8778</v>
      </c>
      <c r="D53" s="4150" t="s">
        <v>872</v>
      </c>
      <c r="F53" s="4166">
        <f>ROUND(ROUND('Calc Data'!I23,0)*'Data Entry - SOF'!Q61*Weights!N37,0)</f>
        <v>0</v>
      </c>
      <c r="G53" s="4166"/>
      <c r="H53" s="4192">
        <f>ROUND(ROUND('Calc Data'!AY23,0)*'Data Entry - SOF'!Q61*Weights!N37,0)</f>
        <v>0</v>
      </c>
      <c r="I53" s="4212" t="e">
        <f>ROUND(Assumptions!H145*'Data Entry - SOF'!Q61*'Weights-HB3'!J46,0)</f>
        <v>#DIV/0!</v>
      </c>
      <c r="J53" s="4194">
        <f>ROUND(ROUND('Calc Data'!AY78,0)*'Data Entry - SOF'!Q61*Weights!N37,0)</f>
        <v>0</v>
      </c>
      <c r="K53" s="4195"/>
      <c r="AL53" s="4166" t="e">
        <f>ROUND(ROUND('Calc Data'!AC23,0)*'Data Entry - SOF'!#REF!*0.1,0)</f>
        <v>#REF!</v>
      </c>
    </row>
    <row r="54" spans="2:38" ht="15">
      <c r="B54" s="4173"/>
      <c r="C54" s="4185" t="s">
        <v>8778</v>
      </c>
      <c r="D54" s="4208" t="s">
        <v>8942</v>
      </c>
      <c r="E54" s="4187"/>
      <c r="F54" s="4189"/>
      <c r="G54" s="4189"/>
      <c r="H54" s="4192"/>
      <c r="I54" s="4212">
        <f>IF('Data Entry - SOF'!Q160="Y",'Weights-HB3'!J114*'Data Entry - SOF'!Q19*Assumptions!H145,0)</f>
        <v>0</v>
      </c>
      <c r="J54" s="4194"/>
      <c r="K54" s="4191"/>
      <c r="AL54" s="4166"/>
    </row>
    <row r="55" spans="2:38" ht="15">
      <c r="B55" s="4173"/>
      <c r="C55" s="4185" t="s">
        <v>8778</v>
      </c>
      <c r="D55" s="4208" t="s">
        <v>9025</v>
      </c>
      <c r="E55" s="4187"/>
      <c r="F55" s="4189"/>
      <c r="G55" s="4189"/>
      <c r="H55" s="4192"/>
      <c r="I55" s="4212">
        <v>0</v>
      </c>
      <c r="J55" s="4194"/>
      <c r="K55" s="4191"/>
      <c r="L55" s="4196" t="s">
        <v>9036</v>
      </c>
      <c r="AL55" s="4166"/>
    </row>
    <row r="56" spans="2:38" ht="15">
      <c r="B56" s="4173"/>
      <c r="C56" s="4185" t="s">
        <v>8778</v>
      </c>
      <c r="D56" s="4208" t="s">
        <v>9026</v>
      </c>
      <c r="E56" s="4187"/>
      <c r="F56" s="4189"/>
      <c r="G56" s="4189"/>
      <c r="H56" s="4192"/>
      <c r="I56" s="4212">
        <v>0</v>
      </c>
      <c r="J56" s="4194"/>
      <c r="K56" s="4191"/>
      <c r="L56" s="4196" t="s">
        <v>9036</v>
      </c>
      <c r="AL56" s="4166"/>
    </row>
    <row r="57" spans="2:38" ht="15">
      <c r="B57" s="4173"/>
      <c r="C57" s="4185" t="s">
        <v>8778</v>
      </c>
      <c r="D57" s="4208" t="s">
        <v>9088</v>
      </c>
      <c r="E57" s="4187"/>
      <c r="F57" s="4189"/>
      <c r="G57" s="4189"/>
      <c r="H57" s="4192"/>
      <c r="I57" s="4212">
        <f>'Data Entry - SOF'!Q19*'Weights-HB3'!J65</f>
        <v>0</v>
      </c>
      <c r="J57" s="4194"/>
      <c r="K57" s="4191"/>
      <c r="L57" s="4196"/>
      <c r="AL57" s="4166"/>
    </row>
    <row r="58" spans="2:38" ht="15">
      <c r="B58" s="4173"/>
      <c r="C58" s="4185" t="s">
        <v>8778</v>
      </c>
      <c r="D58" s="4208" t="s">
        <v>9379</v>
      </c>
      <c r="E58" s="4187"/>
      <c r="F58" s="4189"/>
      <c r="G58" s="4189"/>
      <c r="H58" s="4192">
        <f>'Data Entry - SOF'!Q125</f>
        <v>0</v>
      </c>
      <c r="I58" s="4212">
        <f>H58</f>
        <v>0</v>
      </c>
      <c r="J58" s="4194"/>
      <c r="K58" s="4191"/>
      <c r="L58" s="4196"/>
      <c r="AL58" s="4166"/>
    </row>
    <row r="59" spans="2:38" ht="15">
      <c r="B59" s="4173"/>
      <c r="C59" s="4157" t="s">
        <v>8779</v>
      </c>
      <c r="D59" s="4196" t="s">
        <v>3839</v>
      </c>
      <c r="F59" s="4213">
        <f>'Data Entry - SOF'!Q62*Weights!N35</f>
        <v>0</v>
      </c>
      <c r="G59" s="4166"/>
      <c r="H59" s="4214">
        <f>'Data Entry - SOF'!O62*Weights!N50</f>
        <v>0</v>
      </c>
      <c r="I59" s="4207">
        <f>'Data Entry - SOF'!Q62*'Weights-HB3'!J44</f>
        <v>0</v>
      </c>
      <c r="J59" s="4205">
        <f>H59</f>
        <v>0</v>
      </c>
      <c r="K59" s="4195"/>
      <c r="AL59" s="4166" t="e">
        <f>'Data Entry - SOF'!#REF!*250</f>
        <v>#REF!</v>
      </c>
    </row>
    <row r="60" spans="2:38" ht="15">
      <c r="B60" s="4173">
        <v>99</v>
      </c>
      <c r="C60" s="4157" t="s">
        <v>8779</v>
      </c>
      <c r="D60" s="4150" t="s">
        <v>8834</v>
      </c>
      <c r="F60" s="4215">
        <f>'Data Entry - SOF'!Q104</f>
        <v>0</v>
      </c>
      <c r="G60" s="4166"/>
      <c r="H60" s="4192">
        <f>'Data Entry - SOF'!Q104</f>
        <v>0</v>
      </c>
      <c r="I60" s="4207">
        <f>('Data Entry - SOF'!Q105*'Weights-HB3'!J67)+'Data Entry - SOF'!Q106+'Data Entry - SOF'!Q107+'Data Entry - SOF'!Q108</f>
        <v>0</v>
      </c>
      <c r="J60" s="4216">
        <f>H60</f>
        <v>0</v>
      </c>
      <c r="K60" s="4217"/>
      <c r="AL60" s="4215" t="e">
        <f>'Data Entry - SOF'!#REF!</f>
        <v>#REF!</v>
      </c>
    </row>
    <row r="61" spans="2:38" ht="15" hidden="1">
      <c r="B61" s="4173"/>
      <c r="C61" s="4185" t="s">
        <v>8779</v>
      </c>
      <c r="D61" s="4208" t="s">
        <v>8851</v>
      </c>
      <c r="E61" s="4187"/>
      <c r="F61" s="4189"/>
      <c r="G61" s="4189"/>
      <c r="H61" s="4218"/>
      <c r="I61" s="4207"/>
      <c r="J61" s="4205"/>
      <c r="K61" s="4191"/>
      <c r="O61" s="4207" t="e">
        <f>IF('Data Entry - SOF'!Q109="N",ROUND(Assumptions!H145*'Data Entry - SOF'!Q48*'Weights-HB3'!J79,0),MAX(Assumptions!H145*'Data Entry - SOF'!Q48*'Weights-HB3'!J79,Assumptions!H145*'Data Entry - SOF'!Q19))</f>
        <v>#DIV/0!</v>
      </c>
      <c r="AL61" s="4166"/>
    </row>
    <row r="62" spans="2:38" ht="15" hidden="1">
      <c r="B62" s="4173"/>
      <c r="C62" s="4185" t="s">
        <v>8779</v>
      </c>
      <c r="D62" s="4208" t="s">
        <v>8780</v>
      </c>
      <c r="E62" s="4187"/>
      <c r="F62" s="4189"/>
      <c r="G62" s="4189"/>
      <c r="H62" s="4218"/>
      <c r="I62" s="4207"/>
      <c r="J62" s="4205"/>
      <c r="K62" s="4191"/>
      <c r="AL62" s="4166"/>
    </row>
    <row r="63" spans="2:38" ht="15">
      <c r="B63" s="4173"/>
      <c r="C63" s="4185" t="s">
        <v>8779</v>
      </c>
      <c r="D63" s="4208" t="s">
        <v>8963</v>
      </c>
      <c r="E63" s="4187"/>
      <c r="F63" s="4189"/>
      <c r="G63" s="4189"/>
      <c r="H63" s="4192"/>
      <c r="I63" s="4207">
        <f>'Data Entry - SOF'!Q67*'Weights-HB3'!G120</f>
        <v>0</v>
      </c>
      <c r="J63" s="4205"/>
      <c r="K63" s="4191"/>
      <c r="AL63" s="4166"/>
    </row>
    <row r="64" spans="2:38" ht="15">
      <c r="B64" s="4173"/>
      <c r="C64" s="4185" t="s">
        <v>8779</v>
      </c>
      <c r="D64" s="4208" t="s">
        <v>8848</v>
      </c>
      <c r="E64" s="4187"/>
      <c r="F64" s="4189"/>
      <c r="G64" s="4189"/>
      <c r="H64" s="4192"/>
      <c r="I64" s="4207">
        <v>0</v>
      </c>
      <c r="J64" s="4205"/>
      <c r="K64" s="4191"/>
      <c r="L64" s="4196" t="s">
        <v>9036</v>
      </c>
      <c r="AL64" s="4166"/>
    </row>
    <row r="65" spans="2:38" ht="15">
      <c r="B65" s="4173"/>
      <c r="C65" s="4185" t="s">
        <v>8779</v>
      </c>
      <c r="D65" s="4208" t="s">
        <v>9035</v>
      </c>
      <c r="E65" s="4187"/>
      <c r="F65" s="4189"/>
      <c r="G65" s="4189"/>
      <c r="H65" s="4219"/>
      <c r="I65" s="4220">
        <v>0</v>
      </c>
      <c r="J65" s="4205"/>
      <c r="K65" s="4191"/>
      <c r="L65" s="4196" t="s">
        <v>9036</v>
      </c>
      <c r="AL65" s="4166"/>
    </row>
    <row r="66" spans="2:38" ht="15">
      <c r="D66" s="4150" t="s">
        <v>530</v>
      </c>
      <c r="F66" s="4166" t="e">
        <f>SUM(F20:F60)</f>
        <v>#DIV/0!</v>
      </c>
      <c r="G66" s="4166"/>
      <c r="H66" s="4192" t="e">
        <f>SUM(H20:H60)</f>
        <v>#DIV/0!</v>
      </c>
      <c r="I66" s="4221" t="e">
        <f>SUM(I20:I65)</f>
        <v>#DIV/0!</v>
      </c>
      <c r="J66" s="4222">
        <f>SUM(J20:J60)</f>
        <v>0</v>
      </c>
      <c r="K66" s="4223">
        <f>J66</f>
        <v>0</v>
      </c>
      <c r="L66" s="4224" t="e">
        <f>(I66-I59-I60-I63-I64-I65-I28)/Assumptions!H145</f>
        <v>#DIV/0!</v>
      </c>
      <c r="M66" s="4225" t="s">
        <v>8784</v>
      </c>
      <c r="AL66" s="4166" t="e">
        <f>SUM(AL20:AL60)</f>
        <v>#REF!</v>
      </c>
    </row>
    <row r="67" spans="2:38" ht="15">
      <c r="D67" s="4150" t="s">
        <v>786</v>
      </c>
      <c r="F67" s="4226">
        <f>IF('Data Entry - SOF'!Q154&gt;1,1*('Data Entry - SOF'!Q73/100),'Data Entry - SOF'!Q154*('Data Entry - SOF'!Q73/100))</f>
        <v>0</v>
      </c>
      <c r="G67" s="4227"/>
      <c r="H67" s="4228">
        <f>IF('Calc Data'!AY30&gt;1,1*('Data Entry - SOF'!O73/100),'Calc Data'!AY30*('Data Entry - SOF'!O73/100))</f>
        <v>0</v>
      </c>
      <c r="I67" s="4229" t="e">
        <f>('Data Entry - SOF'!Q155/100)*'Data Entry - SOF'!Q73</f>
        <v>#DIV/0!</v>
      </c>
      <c r="J67" s="4230">
        <f>IF('Calc Data'!AY85&gt;1,1*('Data Entry - SOF'!Q73/100),'Calc Data'!AY85*('Data Entry - SOF'!Q73/100))</f>
        <v>0</v>
      </c>
      <c r="K67" s="4231">
        <f>IF('Calc Data-15K'!AO30&gt;1,1*('Data Entry - SOF'!Q74/100),'Calc Data-15K'!AO30*('Data Entry - SOF'!Q74/100))</f>
        <v>0</v>
      </c>
      <c r="AL67" s="4226" t="e">
        <f>#REF!</f>
        <v>#REF!</v>
      </c>
    </row>
    <row r="68" spans="2:38" ht="15">
      <c r="D68" s="4150" t="s">
        <v>785</v>
      </c>
      <c r="F68" s="4227" t="e">
        <f>F66-F67</f>
        <v>#DIV/0!</v>
      </c>
      <c r="G68" s="4227"/>
      <c r="H68" s="4232" t="e">
        <f>H66-H67</f>
        <v>#DIV/0!</v>
      </c>
      <c r="I68" s="4221" t="e">
        <f>I66-I67</f>
        <v>#DIV/0!</v>
      </c>
      <c r="J68" s="4233">
        <f>J66-J67</f>
        <v>0</v>
      </c>
      <c r="K68" s="4223">
        <f>K66-K67</f>
        <v>0</v>
      </c>
      <c r="AL68" s="4227" t="e">
        <f>AL66-AL67</f>
        <v>#REF!</v>
      </c>
    </row>
    <row r="69" spans="2:38" ht="15">
      <c r="D69" s="4150"/>
      <c r="G69" s="4227"/>
      <c r="H69" s="4234"/>
      <c r="I69" s="4198"/>
      <c r="J69" s="4235"/>
      <c r="K69" s="4223"/>
      <c r="N69" s="4236"/>
      <c r="AL69" s="4227"/>
    </row>
    <row r="70" spans="2:38" ht="15">
      <c r="D70" s="4237" t="s">
        <v>8838</v>
      </c>
      <c r="G70" s="4227"/>
      <c r="H70" s="4234"/>
      <c r="I70" s="4198"/>
      <c r="J70" s="4235"/>
      <c r="K70" s="4223"/>
      <c r="N70" s="4236"/>
      <c r="AL70" s="4227"/>
    </row>
    <row r="71" spans="2:38" ht="15">
      <c r="D71" s="4150" t="s">
        <v>9024</v>
      </c>
      <c r="F71" s="4210" t="e">
        <f>IF(F68&lt;F110+F52+F59+F31+F32,F110+F52+F59+F31+F32,F68)</f>
        <v>#DIV/0!</v>
      </c>
      <c r="G71" s="4227"/>
      <c r="H71" s="4211" t="e">
        <f>IF(H68&lt;H110+H52+H59+H31+H32,H110+H52+H59+H31+H32,H68)</f>
        <v>#DIV/0!</v>
      </c>
      <c r="I71" s="4207" t="e">
        <f>IF(I68&lt;I110,I110,I68)</f>
        <v>#DIV/0!</v>
      </c>
      <c r="J71" s="4238">
        <f>IF(J68&lt;H110+J52+J59+J31+J32,H110+J52+J59+J31+J32,J68)</f>
        <v>0</v>
      </c>
      <c r="K71" s="4223">
        <f>IF(K68&lt;H110+J52+J59+J31+J32,H110+J52+J59+J31+J32,K68)</f>
        <v>0</v>
      </c>
    </row>
    <row r="72" spans="2:38" ht="15" hidden="1">
      <c r="D72" s="4150" t="s">
        <v>2273</v>
      </c>
      <c r="G72" s="4227" t="e">
        <f>ROUND(IF((24.7*'Calc Data'!#REF!*IF('Calc Data'!#REF!&gt;=0.64,0.64,'Calc Data'!#REF!)*100)&lt;'Calc Data'!#REF!,0,(24.7*'Calc Data'!#REF!*IF('Calc Data'!#REF!&gt;=0.64,0.64,'Calc Data'!#REF!)*100)-'Calc Data'!#REF!),0)</f>
        <v>#REF!</v>
      </c>
      <c r="H72" s="4232"/>
      <c r="I72" s="4239"/>
      <c r="J72" s="4240"/>
      <c r="K72" s="4223"/>
    </row>
    <row r="73" spans="2:38" ht="15">
      <c r="D73" s="4150"/>
      <c r="G73" s="4227"/>
      <c r="H73" s="4232"/>
      <c r="I73" s="4239"/>
      <c r="J73" s="4249"/>
      <c r="K73" s="4241"/>
    </row>
    <row r="74" spans="2:38" ht="15">
      <c r="D74" s="4665" t="s">
        <v>10156</v>
      </c>
      <c r="E74" s="4666"/>
      <c r="F74" s="4666"/>
      <c r="G74" s="4667"/>
      <c r="H74" s="4232"/>
      <c r="I74" s="4736" t="s">
        <v>10227</v>
      </c>
      <c r="J74" s="4240"/>
      <c r="K74" s="4241"/>
    </row>
    <row r="75" spans="2:38" ht="15">
      <c r="D75" s="4150" t="s">
        <v>8879</v>
      </c>
      <c r="G75" s="4227"/>
      <c r="H75" s="4232"/>
      <c r="I75" s="4207" t="e">
        <f>IF(I67&gt;I66-I110,I67-(I66-I110),0)</f>
        <v>#DIV/0!</v>
      </c>
      <c r="J75" s="4240"/>
      <c r="K75" s="4241"/>
    </row>
    <row r="76" spans="2:38" ht="15">
      <c r="D76" s="4150" t="s">
        <v>9117</v>
      </c>
      <c r="G76" s="4227"/>
      <c r="H76" s="4232"/>
      <c r="I76" s="4229" t="e">
        <f>IF(I75=0,0,IF('Calc Data'!L112-I75&lt;I66-I110,(I66-I110-('Calc Data'!L112-I75))*-1,0))</f>
        <v>#DIV/0!</v>
      </c>
      <c r="J76" s="4240"/>
      <c r="K76" s="4242"/>
    </row>
    <row r="77" spans="2:38" ht="15">
      <c r="D77" s="4243" t="s">
        <v>8880</v>
      </c>
      <c r="E77" s="4244"/>
      <c r="F77" s="4245"/>
      <c r="G77" s="4246"/>
      <c r="H77" s="4232"/>
      <c r="I77" s="4247" t="e">
        <f>IF(I75+I76&lt;=0,0,I75+I76)</f>
        <v>#DIV/0!</v>
      </c>
      <c r="J77" s="4240"/>
      <c r="K77" s="4242"/>
    </row>
    <row r="78" spans="2:38" ht="15">
      <c r="D78" s="4243" t="s">
        <v>9109</v>
      </c>
      <c r="E78" s="4244"/>
      <c r="F78" s="4244"/>
      <c r="G78" s="4248"/>
      <c r="H78" s="4232"/>
      <c r="I78" s="4207" t="e">
        <f>'Data Entry - SOF'!Q136*(I77/'Data Entry - SOF'!Q96)</f>
        <v>#DIV/0!</v>
      </c>
      <c r="J78" s="4249"/>
      <c r="K78" s="4242"/>
    </row>
    <row r="79" spans="2:38" ht="15">
      <c r="D79" s="4250" t="s">
        <v>9110</v>
      </c>
      <c r="E79" s="4251"/>
      <c r="F79" s="4251"/>
      <c r="G79" s="4252"/>
      <c r="H79" s="4253"/>
      <c r="I79" s="4254" t="e">
        <f>IF(I77-I78&lt;=0,0,I77-I78)</f>
        <v>#DIV/0!</v>
      </c>
      <c r="J79" s="4249"/>
      <c r="K79" s="4242"/>
    </row>
    <row r="80" spans="2:38" ht="15">
      <c r="D80" s="4150"/>
      <c r="G80" s="4227"/>
      <c r="H80" s="4255"/>
      <c r="I80" s="4198"/>
      <c r="J80" s="4235"/>
      <c r="K80" s="4242"/>
    </row>
    <row r="81" spans="3:13" ht="15">
      <c r="D81" s="4150" t="s">
        <v>8737</v>
      </c>
      <c r="F81" s="4227" t="e">
        <f>ROUND(IF((Assumptions!G119*'Calc Data'!I25*'Calc Data'!I35*100)&lt;'Calc Data'!I42,0,(Assumptions!G119*'Calc Data'!I25*'Calc Data'!I35*100)-'Calc Data'!I42),0)</f>
        <v>#DIV/0!</v>
      </c>
      <c r="G81" s="4227"/>
      <c r="H81" s="4255" t="e">
        <f>ROUND(IF((Assumptions!G146*'Calc Data'!I25*'Calc Data'!I35*100)&lt;'Calc Data'!I42,0,(Assumptions!G146*'Calc Data'!I25*'Calc Data'!I35*100)-'Calc Data'!I42),0)</f>
        <v>#DIV/0!</v>
      </c>
      <c r="I81" s="4256" t="e">
        <f>ROUND(IF((Assumptions!H146*L66*'Calc Data'!L104*100)&lt;'Calc Data'!L105,0,(Assumptions!H146*L66*'Calc Data'!L104*100)-'Calc Data'!L105),0)</f>
        <v>#DIV/0!</v>
      </c>
      <c r="J81" s="4257" t="e">
        <f>ROUND(IF((Assumptions!G119*'Calc Data'!I25*'Calc Data'!I81*100)&lt;'Calc Data'!I88,0,(Assumptions!G119*'Calc Data'!I25*'Calc Data'!I81*100)-'Calc Data'!I88),0)</f>
        <v>#DIV/0!</v>
      </c>
      <c r="K81" s="4258" t="e">
        <f>ROUND(IF((Assumptions!G79*'Calc Data-15K'!F25*'Calc Data-15K'!F81*100)&lt;'Calc Data-15K'!F88,0,(Assumptions!G79*'Calc Data-15K'!F25*'Calc Data-15K'!F81*100)-'Calc Data-15K'!F88),0)</f>
        <v>#DIV/0!</v>
      </c>
    </row>
    <row r="82" spans="3:13" ht="15">
      <c r="D82" s="4150" t="s">
        <v>8837</v>
      </c>
      <c r="F82" s="4259" t="e">
        <f>ROUND(IF((Assumptions!G120*'Calc Data'!I25*'Calc Data'!I38*100)&lt;'Calc Data'!I43,0,(Assumptions!G120*'Calc Data'!I25*'Calc Data'!I38*100)-'Calc Data'!I43),0)</f>
        <v>#DIV/0!</v>
      </c>
      <c r="G82" s="4227"/>
      <c r="H82" s="4260" t="e">
        <f>ROUND(IF((Assumptions!G147*'Calc Data'!I25*'Calc Data'!AY29*100)&lt;'Calc Data'!AY33,0,(Assumptions!G147*'Calc Data'!I25*'Calc Data'!AY29*100)-'Calc Data'!AY33),0)</f>
        <v>#DIV/0!</v>
      </c>
      <c r="I82" s="4261" t="e">
        <f>ROUND(IF((Assumptions!H147*L66*'Calc Data'!L109*100)&lt;'Calc Data'!L110,0,(Assumptions!H147*L66*'Calc Data'!L109*100)-'Calc Data'!L110),0)</f>
        <v>#DIV/0!</v>
      </c>
      <c r="J82" s="4262" t="e">
        <f>ROUND(IF((Assumptions!G120*'Calc Data'!I25*'Calc Data'!AY84*100)&lt;'Calc Data'!AY88,0,(Assumptions!G120*'Calc Data'!I25*'Calc Data'!AY84*100)-'Calc Data'!AY88),0)</f>
        <v>#DIV/0!</v>
      </c>
      <c r="K82" s="4263" t="e">
        <f>ROUND(IF((Assumptions!G80*'Calc Data-15K'!F25*'Calc Data-15K'!AO84*100)&lt;'Calc Data-15K'!AO88,0,(Assumptions!G80*'Calc Data-15K'!F25*'Calc Data-15K'!AO84*100)-'Calc Data-15K'!AO88),0)</f>
        <v>#DIV/0!</v>
      </c>
    </row>
    <row r="83" spans="3:13" ht="15">
      <c r="D83" s="4264" t="s">
        <v>8839</v>
      </c>
      <c r="F83" s="4227" t="e">
        <f>SUM(F72:F82)</f>
        <v>#DIV/0!</v>
      </c>
      <c r="G83" s="4227"/>
      <c r="H83" s="4255" t="e">
        <f>SUM(H72:H82)</f>
        <v>#DIV/0!</v>
      </c>
      <c r="I83" s="4221" t="e">
        <f>I81+I82</f>
        <v>#DIV/0!</v>
      </c>
    </row>
    <row r="84" spans="3:13" ht="15">
      <c r="D84" s="4150"/>
      <c r="F84" s="4227"/>
      <c r="G84" s="4227"/>
      <c r="H84" s="4255"/>
      <c r="I84" s="4221"/>
    </row>
    <row r="85" spans="3:13" ht="15">
      <c r="D85" s="4243" t="s">
        <v>8881</v>
      </c>
      <c r="E85" s="4244"/>
      <c r="F85" s="4265"/>
      <c r="G85" s="4246"/>
      <c r="H85" s="4255"/>
      <c r="I85" s="4256" t="e">
        <f>ROUND(IF((Assumptions!H147*L66*'Calc Data'!L109*100)&lt;'Calc Data'!L110,'Calc Data'!L110-(Assumptions!H147*L66*'Calc Data'!L109*100)),0)</f>
        <v>#DIV/0!</v>
      </c>
    </row>
    <row r="86" spans="3:13" ht="15">
      <c r="D86" s="4243" t="s">
        <v>9109</v>
      </c>
      <c r="E86" s="4244"/>
      <c r="F86" s="4248"/>
      <c r="G86" s="4248"/>
      <c r="H86" s="4255"/>
      <c r="I86" s="4256" t="e">
        <f>'Data Entry - SOF'!Q136*(I85/'Data Entry - SOF'!Q96)</f>
        <v>#DIV/0!</v>
      </c>
    </row>
    <row r="87" spans="3:13" ht="15">
      <c r="D87" s="4250" t="s">
        <v>9111</v>
      </c>
      <c r="E87" s="4251"/>
      <c r="F87" s="4252"/>
      <c r="G87" s="4252"/>
      <c r="H87" s="4266"/>
      <c r="I87" s="4267" t="e">
        <f>I85-I86</f>
        <v>#DIV/0!</v>
      </c>
    </row>
    <row r="88" spans="3:13" ht="15">
      <c r="D88" s="4150"/>
      <c r="G88" s="4227"/>
      <c r="H88" s="4255"/>
      <c r="I88" s="4198"/>
    </row>
    <row r="89" spans="3:13" ht="15">
      <c r="D89" s="4150" t="s">
        <v>733</v>
      </c>
      <c r="G89" s="4227"/>
      <c r="H89" s="4255"/>
      <c r="I89" s="4198"/>
    </row>
    <row r="90" spans="3:13" ht="15" hidden="1">
      <c r="C90" s="4185" t="s">
        <v>8894</v>
      </c>
      <c r="D90" s="4208" t="s">
        <v>8841</v>
      </c>
      <c r="E90" s="4187"/>
      <c r="F90" s="4187"/>
      <c r="G90" s="4268"/>
      <c r="H90" s="4269"/>
      <c r="I90" s="4207">
        <v>0</v>
      </c>
      <c r="L90" s="4270"/>
      <c r="M90" s="4271"/>
    </row>
    <row r="91" spans="3:13" ht="15" hidden="1">
      <c r="C91" s="4185" t="s">
        <v>8894</v>
      </c>
      <c r="D91" s="4208" t="s">
        <v>8842</v>
      </c>
      <c r="E91" s="4187"/>
      <c r="F91" s="4187"/>
      <c r="G91" s="4268"/>
      <c r="H91" s="4269"/>
      <c r="I91" s="4207" t="e">
        <f>'Option Costs-Transition'!J87</f>
        <v>#DIV/0!</v>
      </c>
      <c r="L91" s="4270"/>
      <c r="M91" s="4271"/>
    </row>
    <row r="92" spans="3:13" ht="15">
      <c r="D92" s="4150" t="s">
        <v>758</v>
      </c>
      <c r="F92" s="4227">
        <f>'Data Entry - SOF'!Q121</f>
        <v>0</v>
      </c>
      <c r="G92" s="4227"/>
      <c r="H92" s="4255">
        <f>'Data Entry - SOF'!Q121</f>
        <v>0</v>
      </c>
      <c r="I92" s="4221">
        <f>'Data Entry - SOF'!Q121</f>
        <v>0</v>
      </c>
      <c r="L92" s="4272"/>
      <c r="M92" s="4271"/>
    </row>
    <row r="93" spans="3:13" ht="15">
      <c r="D93" s="4150" t="s">
        <v>3051</v>
      </c>
      <c r="F93" s="4227">
        <f>'Data Entry - SOF'!Q120</f>
        <v>0</v>
      </c>
      <c r="G93" s="4227"/>
      <c r="H93" s="4255">
        <f>'Data Entry - SOF'!Q120</f>
        <v>0</v>
      </c>
      <c r="I93" s="4221">
        <f>'Data Entry - SOF'!Q120</f>
        <v>0</v>
      </c>
      <c r="L93" s="4272"/>
      <c r="M93" s="4271"/>
    </row>
    <row r="94" spans="3:13" ht="15">
      <c r="D94" s="4150" t="s">
        <v>9259</v>
      </c>
      <c r="F94" s="4227">
        <f>'Data Entry - SOF'!Q122</f>
        <v>0</v>
      </c>
      <c r="G94" s="4227"/>
      <c r="H94" s="4255">
        <f>'HH2223-Calcs'!D26</f>
        <v>0</v>
      </c>
      <c r="I94" s="4221"/>
      <c r="L94" s="4272"/>
      <c r="M94" s="4271"/>
    </row>
    <row r="95" spans="3:13" ht="15">
      <c r="D95" s="4150" t="s">
        <v>3053</v>
      </c>
      <c r="F95" s="4227">
        <f>'Data Entry - SOF'!Q123</f>
        <v>0</v>
      </c>
      <c r="G95" s="4227"/>
      <c r="H95" s="4255">
        <f>'Data Entry - SOF'!Q123</f>
        <v>0</v>
      </c>
      <c r="I95" s="4221">
        <f>'Data Entry - SOF'!Q123</f>
        <v>0</v>
      </c>
      <c r="L95" s="4272"/>
      <c r="M95" s="4271"/>
    </row>
    <row r="96" spans="3:13" ht="15" hidden="1">
      <c r="D96" s="4150" t="s">
        <v>3054</v>
      </c>
      <c r="F96" s="4227">
        <f>'Data Entry - SOF'!Q124</f>
        <v>0</v>
      </c>
      <c r="G96" s="4227"/>
      <c r="H96" s="4255">
        <f t="shared" ref="H96:H99" si="0">F96</f>
        <v>0</v>
      </c>
      <c r="I96" s="4221">
        <f t="shared" ref="I96:I98" si="1">H96</f>
        <v>0</v>
      </c>
      <c r="L96" s="4272"/>
      <c r="M96" s="4271"/>
    </row>
    <row r="97" spans="1:13" ht="15" hidden="1">
      <c r="D97" s="4150" t="s">
        <v>3055</v>
      </c>
      <c r="F97" s="4227">
        <v>0</v>
      </c>
      <c r="G97" s="4227"/>
      <c r="H97" s="4255">
        <f t="shared" si="0"/>
        <v>0</v>
      </c>
      <c r="I97" s="4221">
        <f t="shared" si="1"/>
        <v>0</v>
      </c>
      <c r="L97" s="4272"/>
      <c r="M97" s="4271"/>
    </row>
    <row r="98" spans="1:13" ht="15" hidden="1">
      <c r="D98" s="4150" t="s">
        <v>2444</v>
      </c>
      <c r="F98" s="4227">
        <v>0</v>
      </c>
      <c r="G98" s="4227"/>
      <c r="H98" s="4255">
        <f t="shared" si="0"/>
        <v>0</v>
      </c>
      <c r="I98" s="4221">
        <f t="shared" si="1"/>
        <v>0</v>
      </c>
      <c r="L98" s="4272"/>
      <c r="M98" s="4271"/>
    </row>
    <row r="99" spans="1:13" ht="15" hidden="1">
      <c r="D99" s="4150" t="s">
        <v>2436</v>
      </c>
      <c r="F99" s="4227">
        <f>(500*'Data Entry - SOF'!Q69)+(250*'Data Entry - SOF'!Q70)</f>
        <v>0</v>
      </c>
      <c r="G99" s="4227"/>
      <c r="H99" s="4255">
        <f t="shared" si="0"/>
        <v>0</v>
      </c>
      <c r="I99" s="4221">
        <v>0</v>
      </c>
      <c r="L99" s="4272"/>
      <c r="M99" s="4271"/>
    </row>
    <row r="100" spans="1:13" ht="15">
      <c r="D100" s="4150" t="s">
        <v>734</v>
      </c>
      <c r="F100" s="4273" t="e">
        <f>(('Data Entry - SOF'!Q112/'Calc Data'!E7)*'Data Entry - SOF'!Q110)*-1</f>
        <v>#DIV/0!</v>
      </c>
      <c r="G100" s="4227"/>
      <c r="H100" s="4274" t="e">
        <f>(('Data Entry - SOF'!Q112/'Calc Data'!H7)*'Data Entry - SOF'!Q110)*-1</f>
        <v>#DIV/0!</v>
      </c>
      <c r="I100" s="4275" t="e">
        <f>(('Data Entry - SOF'!Q112/'Calc Data'!H7)*'Data Entry - SOF'!Q110)*-1</f>
        <v>#DIV/0!</v>
      </c>
      <c r="L100" s="4272"/>
      <c r="M100" s="4271"/>
    </row>
    <row r="101" spans="1:13" ht="15">
      <c r="D101" s="4150" t="s">
        <v>735</v>
      </c>
      <c r="F101" s="4273" t="e">
        <f>(('Data Entry - SOF'!Q112/'Calc Data'!E7)*'Data Entry - SOF'!Q111)*-1</f>
        <v>#DIV/0!</v>
      </c>
      <c r="G101" s="4227"/>
      <c r="H101" s="4274" t="e">
        <f>(('Data Entry - SOF'!Q112/'Calc Data'!H7)*'Data Entry - SOF'!Q111)*-1</f>
        <v>#DIV/0!</v>
      </c>
      <c r="I101" s="4275" t="e">
        <f>(('Data Entry - SOF'!Q112/'Calc Data'!H7)*'Data Entry - SOF'!Q111)*-1</f>
        <v>#DIV/0!</v>
      </c>
      <c r="L101" s="4272"/>
      <c r="M101" s="4271"/>
    </row>
    <row r="102" spans="1:13" ht="15">
      <c r="D102" s="4150" t="s">
        <v>10218</v>
      </c>
      <c r="F102" s="4276">
        <f>'Data Entry - SOF'!Q142</f>
        <v>0</v>
      </c>
      <c r="G102" s="4227"/>
      <c r="H102" s="4260"/>
      <c r="I102" s="4730">
        <f>'Data Entry - SOF'!Q142</f>
        <v>0</v>
      </c>
      <c r="L102" s="4272"/>
      <c r="M102" s="4271"/>
    </row>
    <row r="103" spans="1:13" ht="15">
      <c r="D103" s="4277" t="s">
        <v>8840</v>
      </c>
      <c r="F103" s="4227" t="e">
        <f>SUM(F92:F102)</f>
        <v>#DIV/0!</v>
      </c>
      <c r="G103" s="4227"/>
      <c r="H103" s="4255" t="e">
        <f>SUM(H92:H102)</f>
        <v>#DIV/0!</v>
      </c>
      <c r="I103" s="4221" t="e">
        <f>SUM(I92:I102)</f>
        <v>#DIV/0!</v>
      </c>
      <c r="L103" s="4272"/>
      <c r="M103" s="4271"/>
    </row>
    <row r="104" spans="1:13" ht="15">
      <c r="D104" s="4278"/>
      <c r="F104" s="4196"/>
      <c r="G104" s="4227"/>
      <c r="H104" s="4255"/>
      <c r="I104" s="4198"/>
      <c r="L104" s="4272"/>
      <c r="M104" s="4271"/>
    </row>
    <row r="105" spans="1:13" ht="15">
      <c r="D105" s="4150" t="s">
        <v>2396</v>
      </c>
      <c r="F105" s="4227">
        <f>F110*-1</f>
        <v>0</v>
      </c>
      <c r="G105" s="4227"/>
      <c r="H105" s="4255">
        <f>H110*-1</f>
        <v>0</v>
      </c>
      <c r="I105" s="4221">
        <f>I110*-1</f>
        <v>0</v>
      </c>
      <c r="L105" s="4272"/>
      <c r="M105" s="4271"/>
    </row>
    <row r="106" spans="1:13" ht="15">
      <c r="D106" s="4150"/>
      <c r="G106" s="4279"/>
      <c r="H106" s="4255"/>
      <c r="I106" s="4239"/>
      <c r="L106" s="4272"/>
      <c r="M106" s="4271"/>
    </row>
    <row r="107" spans="1:13" ht="15">
      <c r="A107" s="4280"/>
      <c r="B107" s="4281"/>
      <c r="C107" s="4281"/>
      <c r="D107" s="4282"/>
      <c r="E107" s="4281"/>
      <c r="F107" s="4283"/>
      <c r="G107" s="4284"/>
      <c r="H107" s="4285"/>
      <c r="I107" s="4286"/>
      <c r="L107" s="4272"/>
      <c r="M107" s="4271"/>
    </row>
    <row r="108" spans="1:13" ht="15">
      <c r="A108" s="4287"/>
      <c r="B108" s="4288" t="s">
        <v>174</v>
      </c>
      <c r="C108" s="4289"/>
      <c r="D108" s="4290"/>
      <c r="E108" s="4289"/>
      <c r="F108" s="4291"/>
      <c r="G108" s="4279"/>
      <c r="H108" s="4234"/>
      <c r="I108" s="4239"/>
      <c r="L108" s="4272"/>
      <c r="M108" s="4271"/>
    </row>
    <row r="109" spans="1:13" ht="15">
      <c r="A109" s="4287"/>
      <c r="B109" s="4288" t="s">
        <v>1491</v>
      </c>
      <c r="C109" s="4289"/>
      <c r="D109" s="4292" t="s">
        <v>737</v>
      </c>
      <c r="E109" s="4293"/>
      <c r="F109" s="4294" t="e">
        <f>F71+F83+F103+F105</f>
        <v>#DIV/0!</v>
      </c>
      <c r="G109" s="4279"/>
      <c r="H109" s="4295" t="e">
        <f>H71+H83+H103+H105</f>
        <v>#DIV/0!</v>
      </c>
      <c r="I109" s="4207" t="e">
        <f>I71+I83+I103+I105</f>
        <v>#DIV/0!</v>
      </c>
      <c r="L109" s="4272"/>
      <c r="M109" s="4271"/>
    </row>
    <row r="110" spans="1:13" ht="15">
      <c r="A110" s="4287"/>
      <c r="B110" s="4288" t="s">
        <v>1489</v>
      </c>
      <c r="C110" s="4289"/>
      <c r="D110" s="4292" t="s">
        <v>2609</v>
      </c>
      <c r="E110" s="4293"/>
      <c r="F110" s="4294">
        <f>'Calc Data'!E7*Assumptions!G123</f>
        <v>0</v>
      </c>
      <c r="G110" s="4279"/>
      <c r="H110" s="4295">
        <f>'Calc Data'!H7*Assumptions!G150</f>
        <v>0</v>
      </c>
      <c r="I110" s="4296">
        <f>'Calc Data'!H7*Assumptions!H150</f>
        <v>0</v>
      </c>
      <c r="L110" s="4272"/>
      <c r="M110" s="4271"/>
    </row>
    <row r="111" spans="1:13" ht="15" hidden="1">
      <c r="A111" s="4287"/>
      <c r="B111" s="4288" t="s">
        <v>1490</v>
      </c>
      <c r="C111" s="4289"/>
      <c r="D111" s="4292" t="s">
        <v>757</v>
      </c>
      <c r="E111" s="4297"/>
      <c r="F111" s="4298">
        <v>0</v>
      </c>
      <c r="G111" s="4279"/>
      <c r="H111" s="4299">
        <v>0</v>
      </c>
      <c r="I111" s="4239"/>
      <c r="L111" s="4272"/>
      <c r="M111" s="4271"/>
    </row>
    <row r="112" spans="1:13" ht="15">
      <c r="A112" s="4287"/>
      <c r="B112" s="4288" t="s">
        <v>740</v>
      </c>
      <c r="C112" s="4289"/>
      <c r="D112" s="4292" t="s">
        <v>738</v>
      </c>
      <c r="E112" s="4293"/>
      <c r="F112" s="4294">
        <f>'Existing Debt-OldLaw'!K74</f>
        <v>0</v>
      </c>
      <c r="G112" s="4279"/>
      <c r="H112" s="4295">
        <f>'Existing Debt-OldLaw'!Q74</f>
        <v>0</v>
      </c>
      <c r="I112" s="4221">
        <f>'Existing Debt-HB3'!Q74</f>
        <v>0</v>
      </c>
      <c r="L112" s="4272"/>
      <c r="M112" s="4271"/>
    </row>
    <row r="113" spans="1:16" ht="15.75" thickBot="1">
      <c r="A113" s="4287"/>
      <c r="B113" s="4288" t="s">
        <v>1095</v>
      </c>
      <c r="C113" s="4289"/>
      <c r="D113" s="4292" t="s">
        <v>739</v>
      </c>
      <c r="E113" s="4293"/>
      <c r="F113" s="4300">
        <f>'IFA-OldLaw'!P86+'IFA-OldLaw'!Q75</f>
        <v>0</v>
      </c>
      <c r="G113" s="4279"/>
      <c r="H113" s="4301">
        <f>'IFA-OldLaw'!AB86+'IFA-OldLaw'!AC75</f>
        <v>0</v>
      </c>
      <c r="I113" s="4302">
        <f>'IFA-HB3'!W86+'IFA-HB3'!Y75</f>
        <v>0</v>
      </c>
      <c r="L113" s="4272"/>
      <c r="M113" s="4271"/>
    </row>
    <row r="114" spans="1:16" ht="15">
      <c r="A114" s="4287"/>
      <c r="B114" s="4289"/>
      <c r="C114" s="4289"/>
      <c r="D114" s="4289"/>
      <c r="E114" s="4289"/>
      <c r="F114" s="4291"/>
      <c r="G114" s="4279"/>
      <c r="H114" s="4303"/>
      <c r="I114" s="4239"/>
      <c r="L114" s="4304"/>
      <c r="M114" s="4305"/>
    </row>
    <row r="115" spans="1:16" ht="12.75" customHeight="1" thickBot="1">
      <c r="A115" s="4287"/>
      <c r="B115" s="4289"/>
      <c r="C115" s="4289"/>
      <c r="D115" s="4292" t="s">
        <v>9067</v>
      </c>
      <c r="E115" s="4289"/>
      <c r="F115" s="4306" t="e">
        <f>SUM(F109:F113)</f>
        <v>#DIV/0!</v>
      </c>
      <c r="G115" s="4279"/>
      <c r="H115" s="4307" t="e">
        <f>SUM(H109:H113)</f>
        <v>#DIV/0!</v>
      </c>
      <c r="I115" s="4308" t="e">
        <f>SUM(I109:I113)</f>
        <v>#DIV/0!</v>
      </c>
      <c r="L115" s="4304"/>
      <c r="M115" s="4305"/>
    </row>
    <row r="116" spans="1:16" ht="16.5" hidden="1" thickTop="1" thickBot="1">
      <c r="A116" s="4287"/>
      <c r="B116" s="4289"/>
      <c r="C116" s="4289"/>
      <c r="D116" s="4309" t="s">
        <v>472</v>
      </c>
      <c r="E116" s="4289"/>
      <c r="F116" s="4289"/>
      <c r="G116" s="4279"/>
      <c r="H116" s="4310" t="e">
        <f>SUM(H109:H113)</f>
        <v>#DIV/0!</v>
      </c>
      <c r="I116" s="4198"/>
      <c r="L116" s="4304"/>
      <c r="M116" s="4305"/>
    </row>
    <row r="117" spans="1:16" ht="15.75" thickTop="1">
      <c r="A117" s="4311"/>
      <c r="B117" s="4312"/>
      <c r="C117" s="4312"/>
      <c r="D117" s="4313"/>
      <c r="E117" s="4312"/>
      <c r="F117" s="4312"/>
      <c r="G117" s="4314"/>
      <c r="H117" s="4315"/>
      <c r="I117" s="4316"/>
    </row>
    <row r="118" spans="1:16" ht="15">
      <c r="B118" s="4150"/>
      <c r="G118" s="4227"/>
      <c r="H118" s="4192"/>
      <c r="I118" s="4198"/>
      <c r="N118" s="4272"/>
      <c r="O118" s="4317"/>
      <c r="P118" s="4318"/>
    </row>
    <row r="119" spans="1:16" ht="15" thickBot="1">
      <c r="G119" s="4289"/>
      <c r="H119" s="4234"/>
      <c r="I119" s="4198"/>
    </row>
    <row r="120" spans="1:16" ht="15.75" thickTop="1">
      <c r="A120" s="4319" t="s">
        <v>2457</v>
      </c>
      <c r="B120" s="4320"/>
      <c r="C120" s="4320"/>
      <c r="D120" s="4320"/>
      <c r="E120" s="4321"/>
      <c r="F120" s="4322"/>
      <c r="G120" s="4321"/>
      <c r="H120" s="4323"/>
      <c r="I120" s="4324"/>
    </row>
    <row r="121" spans="1:16">
      <c r="A121" s="4325"/>
      <c r="B121" s="4289"/>
      <c r="C121" s="4289"/>
      <c r="D121" s="4289"/>
      <c r="E121" s="4289"/>
      <c r="F121" s="4326"/>
      <c r="G121" s="4289"/>
      <c r="H121" s="4234"/>
      <c r="I121" s="4327"/>
    </row>
    <row r="122" spans="1:16" ht="15">
      <c r="A122" s="4328" t="s">
        <v>8798</v>
      </c>
      <c r="B122" s="4289"/>
      <c r="C122" s="4289"/>
      <c r="D122" s="4289"/>
      <c r="E122" s="4289"/>
      <c r="F122" s="4329" t="e">
        <f>IF(F109&lt;0,F110,F109+F110)</f>
        <v>#DIV/0!</v>
      </c>
      <c r="G122" s="4289"/>
      <c r="H122" s="4211" t="e">
        <f>IF(H109&lt;0,H110,H109+H110)</f>
        <v>#DIV/0!</v>
      </c>
      <c r="I122" s="4330" t="e">
        <f>IF(I109&lt;0,I110,I109+I110)</f>
        <v>#DIV/0!</v>
      </c>
    </row>
    <row r="123" spans="1:16" ht="15">
      <c r="A123" s="4331" t="s">
        <v>8799</v>
      </c>
      <c r="B123" s="4289"/>
      <c r="C123" s="4289"/>
      <c r="D123" s="4289"/>
      <c r="E123" s="4289"/>
      <c r="F123" s="4332">
        <f>'Calc Data'!I30-ASATR!I24</f>
        <v>0</v>
      </c>
      <c r="G123" s="4289"/>
      <c r="H123" s="4333">
        <f>'Data Entry - SOF'!Q93</f>
        <v>0</v>
      </c>
      <c r="I123" s="4334">
        <f>'Data Entry - SOF'!Q96</f>
        <v>0</v>
      </c>
      <c r="N123" s="4272"/>
    </row>
    <row r="124" spans="1:16" ht="15">
      <c r="A124" s="4331" t="s">
        <v>8800</v>
      </c>
      <c r="B124" s="4289"/>
      <c r="C124" s="4289"/>
      <c r="D124" s="4289"/>
      <c r="E124" s="4289"/>
      <c r="F124" s="4332">
        <f>'Calc Data'!I34</f>
        <v>0</v>
      </c>
      <c r="G124" s="4289"/>
      <c r="H124" s="4333" t="e">
        <f>'Option Costs'!AY85+'Option Costs'!BC85</f>
        <v>#DIV/0!</v>
      </c>
      <c r="I124" s="4334" t="e">
        <f>I79+I87</f>
        <v>#DIV/0!</v>
      </c>
      <c r="N124" s="4272"/>
    </row>
    <row r="125" spans="1:16" ht="15">
      <c r="A125" s="4331"/>
      <c r="B125" s="4289"/>
      <c r="C125" s="4289"/>
      <c r="D125" s="4289"/>
      <c r="E125" s="4289"/>
      <c r="F125" s="4335" t="e">
        <f>'Calc Data'!I37-IF('Option Costs'!AE57="N",MAX('Option Costs'!AE54,'Option Costs'!AG54),MIN('Option Costs'!AE54,'Option Costs'!AG54))</f>
        <v>#DIV/0!</v>
      </c>
      <c r="G125" s="4289"/>
      <c r="H125" s="4336"/>
      <c r="I125" s="4334"/>
    </row>
    <row r="126" spans="1:16" ht="15">
      <c r="A126" s="4331" t="s">
        <v>9079</v>
      </c>
      <c r="B126" s="4289"/>
      <c r="C126" s="4289"/>
      <c r="D126" s="4289"/>
      <c r="E126" s="4289"/>
      <c r="F126" s="4337" t="e">
        <f>SUM(F122:F125)</f>
        <v>#DIV/0!</v>
      </c>
      <c r="G126" s="4289"/>
      <c r="H126" s="4338" t="e">
        <f>H122+H123-H124</f>
        <v>#DIV/0!</v>
      </c>
      <c r="I126" s="4339" t="e">
        <f>I122+I123-I124</f>
        <v>#DIV/0!</v>
      </c>
    </row>
    <row r="127" spans="1:16" ht="15">
      <c r="A127" s="4340" t="s">
        <v>8841</v>
      </c>
      <c r="B127" s="4341"/>
      <c r="C127" s="4341"/>
      <c r="D127" s="4341"/>
      <c r="E127" s="4341"/>
      <c r="F127" s="4342" t="e">
        <f>IF(F109&gt;0,0,F109)</f>
        <v>#DIV/0!</v>
      </c>
      <c r="G127" s="4341"/>
      <c r="H127" s="4343" t="s">
        <v>1775</v>
      </c>
      <c r="I127" s="4334" t="e">
        <f>H191</f>
        <v>#DIV/0!</v>
      </c>
    </row>
    <row r="128" spans="1:16" ht="15">
      <c r="A128" s="4340" t="s">
        <v>8842</v>
      </c>
      <c r="B128" s="4341"/>
      <c r="C128" s="4341"/>
      <c r="D128" s="4341"/>
      <c r="E128" s="4341"/>
      <c r="F128" s="4344"/>
      <c r="G128" s="4341"/>
      <c r="H128" s="4343" t="s">
        <v>1775</v>
      </c>
      <c r="I128" s="4334" t="e">
        <f>'Option Costs-Transition'!J129*0.4</f>
        <v>#DIV/0!</v>
      </c>
    </row>
    <row r="129" spans="1:11" ht="15">
      <c r="A129" s="4345"/>
      <c r="B129" s="4244"/>
      <c r="C129" s="4244"/>
      <c r="D129" s="4244"/>
      <c r="E129" s="4244"/>
      <c r="F129" s="4346"/>
      <c r="G129" s="4244"/>
      <c r="H129" s="4343"/>
      <c r="I129" s="4334"/>
    </row>
    <row r="130" spans="1:11" ht="15">
      <c r="A130" s="4347" t="s">
        <v>9078</v>
      </c>
      <c r="B130" s="4348"/>
      <c r="C130" s="4348"/>
      <c r="D130" s="4348"/>
      <c r="E130" s="4348"/>
      <c r="F130" s="4349" t="e">
        <f>F126+F127</f>
        <v>#DIV/0!</v>
      </c>
      <c r="G130" s="4350"/>
      <c r="H130" s="4351" t="e">
        <f>H126</f>
        <v>#DIV/0!</v>
      </c>
      <c r="I130" s="4352" t="e">
        <f>I126+I127+I128</f>
        <v>#DIV/0!</v>
      </c>
    </row>
    <row r="131" spans="1:11" ht="15" thickBot="1">
      <c r="A131" s="4353"/>
      <c r="B131" s="4354"/>
      <c r="C131" s="4354"/>
      <c r="D131" s="4354"/>
      <c r="E131" s="4354"/>
      <c r="F131" s="4354"/>
      <c r="G131" s="4355"/>
      <c r="H131" s="4356"/>
      <c r="I131" s="4357"/>
    </row>
    <row r="132" spans="1:11" ht="15.75" hidden="1" thickTop="1">
      <c r="D132" s="4196" t="s">
        <v>1231</v>
      </c>
      <c r="E132" s="4196"/>
      <c r="F132" s="4196"/>
      <c r="H132" s="4210" t="e">
        <f>H127+H130</f>
        <v>#VALUE!</v>
      </c>
      <c r="I132" s="4198"/>
      <c r="J132" s="4358"/>
      <c r="K132" s="4358"/>
    </row>
    <row r="133" spans="1:11" ht="15.75" hidden="1" thickTop="1">
      <c r="D133" s="4196" t="s">
        <v>470</v>
      </c>
      <c r="E133" s="4196"/>
      <c r="F133" s="4196"/>
      <c r="I133" s="4198"/>
      <c r="J133" s="4359"/>
      <c r="K133" s="4359"/>
    </row>
    <row r="134" spans="1:11" ht="15.75" hidden="1" thickTop="1">
      <c r="D134" s="4196" t="s">
        <v>471</v>
      </c>
      <c r="I134" s="4198"/>
    </row>
    <row r="135" spans="1:11" ht="15.75" hidden="1" thickTop="1">
      <c r="D135" s="4196" t="s">
        <v>1012</v>
      </c>
      <c r="I135" s="4198"/>
    </row>
    <row r="136" spans="1:11" ht="15.75" hidden="1" thickTop="1">
      <c r="D136" s="4196" t="s">
        <v>647</v>
      </c>
      <c r="I136" s="4198"/>
    </row>
    <row r="137" spans="1:11" ht="15.75" hidden="1" thickTop="1">
      <c r="D137" s="4196" t="s">
        <v>648</v>
      </c>
      <c r="I137" s="4198"/>
    </row>
    <row r="138" spans="1:11" ht="15.75" hidden="1" thickTop="1">
      <c r="D138" s="4196"/>
      <c r="I138" s="4198"/>
    </row>
    <row r="139" spans="1:11" ht="15" hidden="1" thickTop="1">
      <c r="I139" s="4198"/>
    </row>
    <row r="140" spans="1:11" ht="15" hidden="1" thickTop="1">
      <c r="I140" s="4198"/>
    </row>
    <row r="141" spans="1:11" ht="15" hidden="1" thickTop="1">
      <c r="I141" s="4198"/>
    </row>
    <row r="142" spans="1:11" ht="15.75" hidden="1" thickTop="1">
      <c r="A142" s="4150" t="s">
        <v>1667</v>
      </c>
      <c r="G142" s="4166"/>
      <c r="I142" s="4198"/>
    </row>
    <row r="143" spans="1:11" ht="15.75" hidden="1" thickTop="1">
      <c r="G143" s="4166"/>
      <c r="I143" s="4198"/>
    </row>
    <row r="144" spans="1:11" ht="15.75" hidden="1" thickTop="1">
      <c r="A144" s="4150" t="s">
        <v>1492</v>
      </c>
      <c r="G144" s="4166"/>
      <c r="H144" s="4166"/>
      <c r="I144" s="4198"/>
      <c r="J144" s="4166"/>
      <c r="K144" s="4166"/>
    </row>
    <row r="145" spans="1:11" ht="15.75" hidden="1" thickTop="1">
      <c r="A145" s="4150" t="s">
        <v>1493</v>
      </c>
      <c r="H145" s="4166"/>
      <c r="I145" s="4198"/>
      <c r="J145" s="4166"/>
      <c r="K145" s="4166"/>
    </row>
    <row r="146" spans="1:11" ht="15.75" hidden="1" thickTop="1">
      <c r="A146" s="4150" t="s">
        <v>518</v>
      </c>
      <c r="H146" s="4166"/>
      <c r="I146" s="4198"/>
      <c r="J146" s="4166"/>
      <c r="K146" s="4166"/>
    </row>
    <row r="147" spans="1:11" ht="15.75" hidden="1" thickTop="1">
      <c r="A147" s="4150" t="s">
        <v>519</v>
      </c>
      <c r="I147" s="4198"/>
    </row>
    <row r="148" spans="1:11" ht="15.75" hidden="1" thickTop="1">
      <c r="A148" s="4150" t="s">
        <v>1009</v>
      </c>
      <c r="I148" s="4198"/>
    </row>
    <row r="149" spans="1:11" ht="15.75" hidden="1" thickTop="1">
      <c r="A149" s="4150" t="s">
        <v>1010</v>
      </c>
      <c r="I149" s="4198"/>
    </row>
    <row r="150" spans="1:11" ht="15.75" hidden="1" thickTop="1">
      <c r="A150" s="4179" t="s">
        <v>1789</v>
      </c>
      <c r="I150" s="4198"/>
    </row>
    <row r="151" spans="1:11" ht="15" hidden="1" thickTop="1">
      <c r="I151" s="4198"/>
    </row>
    <row r="152" spans="1:11" ht="15.75" hidden="1" thickTop="1">
      <c r="A152" s="4150" t="s">
        <v>62</v>
      </c>
      <c r="I152" s="4198"/>
    </row>
    <row r="153" spans="1:11" ht="15.75" hidden="1" thickTop="1">
      <c r="A153" s="4150" t="s">
        <v>1693</v>
      </c>
      <c r="I153" s="4198"/>
    </row>
    <row r="154" spans="1:11" ht="15.75" hidden="1" thickTop="1">
      <c r="A154" s="4150" t="s">
        <v>1694</v>
      </c>
      <c r="I154" s="4198"/>
    </row>
    <row r="155" spans="1:11" ht="15.75" hidden="1" thickTop="1">
      <c r="A155" s="4150" t="s">
        <v>1820</v>
      </c>
      <c r="I155" s="4198"/>
    </row>
    <row r="156" spans="1:11" ht="15" hidden="1" thickTop="1">
      <c r="I156" s="4198"/>
    </row>
    <row r="157" spans="1:11" ht="15.75" hidden="1" thickTop="1">
      <c r="A157" s="4150" t="s">
        <v>1821</v>
      </c>
      <c r="I157" s="4198"/>
    </row>
    <row r="158" spans="1:11" ht="15.75" hidden="1" thickTop="1">
      <c r="A158" s="4150" t="s">
        <v>1822</v>
      </c>
      <c r="I158" s="4198"/>
    </row>
    <row r="159" spans="1:11" ht="15.75" hidden="1" thickTop="1">
      <c r="A159" s="4150" t="s">
        <v>336</v>
      </c>
      <c r="I159" s="4198"/>
    </row>
    <row r="160" spans="1:11" ht="15.75" hidden="1" thickTop="1">
      <c r="A160" s="4150" t="s">
        <v>1823</v>
      </c>
      <c r="I160" s="4198"/>
    </row>
    <row r="161" spans="1:11" ht="15.75" hidden="1" thickTop="1">
      <c r="A161" s="4150" t="s">
        <v>334</v>
      </c>
      <c r="I161" s="4198"/>
    </row>
    <row r="162" spans="1:11" ht="15" hidden="1" thickTop="1">
      <c r="I162" s="4198"/>
    </row>
    <row r="163" spans="1:11" ht="15.75" hidden="1" thickTop="1">
      <c r="A163" s="4179" t="s">
        <v>335</v>
      </c>
      <c r="I163" s="4198"/>
    </row>
    <row r="164" spans="1:11" ht="15" hidden="1" thickTop="1">
      <c r="I164" s="4198"/>
    </row>
    <row r="165" spans="1:11" ht="15" hidden="1" thickTop="1">
      <c r="I165" s="4198"/>
    </row>
    <row r="166" spans="1:11" ht="15" hidden="1" thickTop="1">
      <c r="I166" s="4198"/>
    </row>
    <row r="167" spans="1:11" ht="15" hidden="1" thickTop="1">
      <c r="E167" s="4151" t="s">
        <v>2767</v>
      </c>
      <c r="F167" s="4318">
        <f>SUM(F22:F28)</f>
        <v>0</v>
      </c>
      <c r="H167" s="4318">
        <f>SUM(H22:H28)</f>
        <v>0</v>
      </c>
      <c r="I167" s="4360" t="e">
        <f>SUM(I22:I28)</f>
        <v>#DIV/0!</v>
      </c>
    </row>
    <row r="168" spans="1:11" ht="15" hidden="1" thickTop="1">
      <c r="E168" s="4151" t="s">
        <v>2768</v>
      </c>
      <c r="F168" s="4318">
        <f>F29+F30</f>
        <v>0</v>
      </c>
      <c r="H168" s="4318">
        <f>H29+H30</f>
        <v>0</v>
      </c>
      <c r="I168" s="4361" t="e">
        <f>I29+I30</f>
        <v>#DIV/0!</v>
      </c>
    </row>
    <row r="169" spans="1:11" ht="15" hidden="1" thickTop="1">
      <c r="E169" s="4151" t="s">
        <v>2769</v>
      </c>
      <c r="F169" s="4318">
        <f>F33+F34</f>
        <v>0</v>
      </c>
      <c r="H169" s="4318">
        <f>H33+H34</f>
        <v>0</v>
      </c>
      <c r="I169" s="4361">
        <f>I33+I34</f>
        <v>0</v>
      </c>
      <c r="J169" s="4318"/>
      <c r="K169" s="4318"/>
    </row>
    <row r="170" spans="1:11" ht="15" hidden="1" thickTop="1">
      <c r="E170" s="4151" t="s">
        <v>2770</v>
      </c>
      <c r="F170" s="4318">
        <f>F35+F43</f>
        <v>0</v>
      </c>
      <c r="H170" s="4318">
        <f>H35+H43</f>
        <v>0</v>
      </c>
      <c r="I170" s="4361" t="e">
        <f>SUM(I37:I37)</f>
        <v>#DIV/0!</v>
      </c>
      <c r="J170" s="4318"/>
      <c r="K170" s="4318"/>
    </row>
    <row r="171" spans="1:11" ht="15" hidden="1" thickTop="1">
      <c r="E171" s="4151" t="s">
        <v>2849</v>
      </c>
      <c r="F171" s="4272" t="e">
        <f>Assumptions!G119*'Calc Data'!I25*'Calc Data'!I35*100</f>
        <v>#DIV/0!</v>
      </c>
      <c r="H171" s="4272" t="e">
        <f>Assumptions!G119*'Calc Data'!I25*'Calc Data'!I35*100</f>
        <v>#DIV/0!</v>
      </c>
      <c r="I171" s="4362" t="e">
        <f>Assumptions!H119*L66*'Calc Data'!J104*100</f>
        <v>#DIV/0!</v>
      </c>
      <c r="J171" s="4318"/>
      <c r="K171" s="4318"/>
    </row>
    <row r="172" spans="1:11" ht="15" hidden="1" thickTop="1">
      <c r="E172" s="4151" t="s">
        <v>2851</v>
      </c>
      <c r="F172" s="4272" t="e">
        <f>Assumptions!G120*'Calc Data'!I25*'Calc Data'!I38*100</f>
        <v>#DIV/0!</v>
      </c>
      <c r="H172" s="4272" t="e">
        <f>Assumptions!G120*'Calc Data'!I25*'Calc Data'!AY29*100</f>
        <v>#DIV/0!</v>
      </c>
      <c r="I172" s="4362" t="e">
        <f>Assumptions!H120*L66*'Calc Data'!J109*100</f>
        <v>#DIV/0!</v>
      </c>
      <c r="J172" s="4318"/>
      <c r="K172" s="4318"/>
    </row>
    <row r="173" spans="1:11" ht="15" hidden="1" thickTop="1">
      <c r="E173" s="4151" t="s">
        <v>8776</v>
      </c>
      <c r="I173" s="4363" t="e">
        <f>I46+I47+I48</f>
        <v>#DIV/0!</v>
      </c>
      <c r="J173" s="4272"/>
      <c r="K173" s="4272"/>
    </row>
    <row r="174" spans="1:11" ht="15" hidden="1" thickTop="1">
      <c r="I174" s="4318"/>
      <c r="J174" s="4272"/>
      <c r="K174" s="4272"/>
    </row>
    <row r="175" spans="1:11" ht="15" thickTop="1"/>
    <row r="177" spans="5:8" ht="15">
      <c r="G177" s="4364" t="s">
        <v>9065</v>
      </c>
    </row>
    <row r="178" spans="5:8" ht="15">
      <c r="E178" s="4196"/>
      <c r="F178" s="4196"/>
      <c r="G178" s="4365" t="s">
        <v>9363</v>
      </c>
      <c r="H178" s="4366" t="e">
        <f>'SOF2021-HB3'!H178</f>
        <v>#DIV/0!</v>
      </c>
    </row>
    <row r="179" spans="5:8" ht="15">
      <c r="E179" s="4196"/>
      <c r="F179" s="4196"/>
      <c r="G179" s="4365" t="s">
        <v>9364</v>
      </c>
      <c r="H179" s="4367" t="e">
        <f>'SOF2021-HB3'!H179</f>
        <v>#DIV/0!</v>
      </c>
    </row>
    <row r="180" spans="5:8" ht="15">
      <c r="E180" s="4196"/>
      <c r="F180" s="4196"/>
      <c r="G180" s="4196"/>
      <c r="H180" s="4368"/>
    </row>
    <row r="181" spans="5:8" ht="15">
      <c r="E181" s="4196"/>
      <c r="F181" s="4196"/>
      <c r="G181" s="4196"/>
      <c r="H181" s="4368"/>
    </row>
    <row r="182" spans="5:8" ht="15">
      <c r="E182" s="4196"/>
      <c r="F182" s="4196"/>
      <c r="G182" s="4365" t="s">
        <v>9365</v>
      </c>
      <c r="H182" s="4367">
        <f>'SOF2021-HB3'!H182</f>
        <v>9000</v>
      </c>
    </row>
    <row r="183" spans="5:8" ht="15">
      <c r="E183" s="4196"/>
      <c r="F183" s="4196"/>
      <c r="G183" s="4365" t="s">
        <v>9361</v>
      </c>
      <c r="H183" s="4367">
        <f>'SOF2021-HB3'!H183</f>
        <v>11520</v>
      </c>
    </row>
    <row r="184" spans="5:8" ht="15">
      <c r="E184" s="4196"/>
      <c r="F184" s="4196"/>
      <c r="G184" s="4196"/>
      <c r="H184" s="4368"/>
    </row>
    <row r="185" spans="5:8" ht="15">
      <c r="E185" s="4196"/>
      <c r="F185" s="4196"/>
      <c r="G185" s="4365" t="s">
        <v>9044</v>
      </c>
      <c r="H185" s="4369" t="e">
        <f>MIN(H179,H183)</f>
        <v>#DIV/0!</v>
      </c>
    </row>
    <row r="186" spans="5:8" ht="15">
      <c r="E186" s="4196"/>
      <c r="F186" s="4196"/>
      <c r="G186" s="4365" t="s">
        <v>9211</v>
      </c>
      <c r="H186" s="4370" t="e">
        <f>'SOF2021-HB3'!H186</f>
        <v>#DIV/0!</v>
      </c>
    </row>
    <row r="187" spans="5:8" ht="15">
      <c r="E187" s="4196"/>
      <c r="F187" s="4196"/>
      <c r="G187" s="4365" t="s">
        <v>9210</v>
      </c>
      <c r="H187" s="4370" t="e">
        <f>MAX(H185,H186)</f>
        <v>#DIV/0!</v>
      </c>
    </row>
    <row r="188" spans="5:8" ht="15">
      <c r="E188" s="4196"/>
      <c r="F188" s="4196"/>
      <c r="G188" s="4365" t="s">
        <v>9254</v>
      </c>
      <c r="H188" s="4371" t="e">
        <f>(I126+I128)/'Data Entry - SOF'!Q19</f>
        <v>#DIV/0!</v>
      </c>
    </row>
    <row r="189" spans="5:8" ht="15">
      <c r="G189" s="4372" t="s">
        <v>9042</v>
      </c>
      <c r="H189" s="4367" t="e">
        <f>IF(H187-H188&lt;=0,0,H187-H188)</f>
        <v>#DIV/0!</v>
      </c>
    </row>
    <row r="190" spans="5:8" ht="15">
      <c r="G190" s="4372" t="s">
        <v>9255</v>
      </c>
      <c r="H190" s="4373">
        <f>'Data Entry - SOF'!Q19</f>
        <v>0</v>
      </c>
    </row>
    <row r="191" spans="5:8" ht="15">
      <c r="G191" s="4372" t="s">
        <v>8841</v>
      </c>
      <c r="H191" s="4374" t="e">
        <f>H189*H190</f>
        <v>#DIV/0!</v>
      </c>
    </row>
    <row r="194" spans="7:13" ht="15">
      <c r="G194" s="4372" t="s">
        <v>9253</v>
      </c>
    </row>
    <row r="195" spans="7:13">
      <c r="J195" s="4376"/>
      <c r="K195" s="4376"/>
      <c r="M195" s="4377"/>
    </row>
    <row r="208" spans="7:13" ht="15">
      <c r="G208" s="4372" t="s">
        <v>9253</v>
      </c>
    </row>
  </sheetData>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4"/>
  <sheetViews>
    <sheetView topLeftCell="A18" workbookViewId="0">
      <selection activeCell="I18" sqref="I18"/>
    </sheetView>
  </sheetViews>
  <sheetFormatPr defaultColWidth="8.7109375" defaultRowHeight="14.25"/>
  <cols>
    <col min="1" max="1" width="10.5703125" style="4151" bestFit="1" customWidth="1"/>
    <col min="2" max="2" width="8.7109375" style="4151"/>
    <col min="3" max="3" width="13.5703125" style="4151" customWidth="1"/>
    <col min="4" max="4" width="44.5703125" style="4151" customWidth="1"/>
    <col min="5" max="5" width="19.140625" style="4151" customWidth="1"/>
    <col min="6" max="6" width="19.140625" style="4151" hidden="1" customWidth="1"/>
    <col min="7" max="7" width="6.42578125" style="4151" customWidth="1"/>
    <col min="8" max="8" width="21.85546875" style="4151" customWidth="1"/>
    <col min="9" max="9" width="24.140625" style="4151" customWidth="1"/>
    <col min="10" max="11" width="28.42578125" style="4151" hidden="1" customWidth="1"/>
    <col min="12" max="12" width="15.5703125" style="4151" customWidth="1"/>
    <col min="13" max="13" width="15.5703125" style="4156" customWidth="1"/>
    <col min="14" max="14" width="23.85546875" style="4151" customWidth="1"/>
    <col min="15" max="15" width="15.5703125" style="4157" hidden="1" customWidth="1"/>
    <col min="16" max="16" width="13.5703125" style="4151" customWidth="1"/>
    <col min="17" max="37" width="8.7109375" style="4151"/>
    <col min="38" max="38" width="15.5703125" style="4151" customWidth="1"/>
    <col min="39" max="39" width="16" style="4151" customWidth="1"/>
    <col min="40" max="16384" width="8.7109375" style="4151"/>
  </cols>
  <sheetData>
    <row r="1" spans="1:11" ht="15" hidden="1">
      <c r="A1" s="4150" t="s">
        <v>66</v>
      </c>
      <c r="C1" s="4152">
        <f>'Data Entry - SOF'!B1</f>
        <v>0</v>
      </c>
      <c r="E1" s="4153"/>
      <c r="F1" s="4154" t="str">
        <f>'Report-SOF1920-HB3'!D1</f>
        <v>Release 10</v>
      </c>
      <c r="G1" s="4155"/>
      <c r="J1" s="4155"/>
      <c r="K1" s="4155"/>
    </row>
    <row r="2" spans="1:11" ht="15" hidden="1">
      <c r="A2" s="4150" t="s">
        <v>67</v>
      </c>
      <c r="C2" s="4158">
        <f>'Data Entry - SOF'!B2</f>
        <v>0</v>
      </c>
      <c r="F2" s="4155">
        <f>'Report-SOF1920-HB3'!D2</f>
        <v>43724</v>
      </c>
      <c r="G2" s="4155"/>
      <c r="J2" s="4155"/>
      <c r="K2" s="4155"/>
    </row>
    <row r="3" spans="1:11" ht="15" hidden="1">
      <c r="A3" s="4150" t="s">
        <v>143</v>
      </c>
      <c r="C3" s="4159">
        <f ca="1">'Data Entry - SOF'!B3</f>
        <v>43726.623322453706</v>
      </c>
      <c r="F3" s="4160">
        <f>'Report-SOF1920-HB3'!D3</f>
        <v>0</v>
      </c>
    </row>
    <row r="4" spans="1:11" ht="15" hidden="1">
      <c r="D4" s="4161" t="s">
        <v>3183</v>
      </c>
    </row>
    <row r="5" spans="1:11" ht="15" hidden="1">
      <c r="D5" s="4162" t="s">
        <v>3286</v>
      </c>
    </row>
    <row r="6" spans="1:11" hidden="1"/>
    <row r="7" spans="1:11" ht="15" hidden="1">
      <c r="D7" s="4150" t="s">
        <v>1393</v>
      </c>
    </row>
    <row r="8" spans="1:11" ht="15" hidden="1">
      <c r="B8" s="4163"/>
      <c r="D8" s="4150" t="s">
        <v>832</v>
      </c>
      <c r="F8" s="4164">
        <f>'Calc Data'!J7</f>
        <v>0</v>
      </c>
      <c r="G8" s="4165"/>
      <c r="J8" s="4165"/>
      <c r="K8" s="4165"/>
    </row>
    <row r="9" spans="1:11" ht="15" hidden="1">
      <c r="D9" s="4150" t="s">
        <v>1394</v>
      </c>
      <c r="F9" s="4164">
        <f>'Calc Data'!J8</f>
        <v>0</v>
      </c>
      <c r="G9" s="4165"/>
      <c r="J9" s="4165"/>
      <c r="K9" s="4165"/>
    </row>
    <row r="10" spans="1:11" ht="15" hidden="1">
      <c r="D10" s="4150" t="s">
        <v>426</v>
      </c>
      <c r="F10" s="4164">
        <f>'Data Entry - SOF'!S35</f>
        <v>0</v>
      </c>
      <c r="G10" s="4165"/>
      <c r="J10" s="4165"/>
      <c r="K10" s="4165"/>
    </row>
    <row r="11" spans="1:11" ht="15" hidden="1">
      <c r="B11" s="4150"/>
      <c r="D11" s="4150" t="s">
        <v>427</v>
      </c>
      <c r="F11" s="4164">
        <f>'Calc Data'!J10</f>
        <v>0</v>
      </c>
      <c r="G11" s="4165"/>
      <c r="J11" s="4165"/>
      <c r="K11" s="4165"/>
    </row>
    <row r="12" spans="1:11" ht="15" hidden="1">
      <c r="D12" s="4150" t="s">
        <v>428</v>
      </c>
      <c r="F12" s="4166">
        <f>'Data Entry - SOF'!S73</f>
        <v>0</v>
      </c>
      <c r="G12" s="4166"/>
      <c r="J12" s="4166"/>
      <c r="K12" s="4166"/>
    </row>
    <row r="13" spans="1:11" ht="15" hidden="1">
      <c r="D13" s="4150" t="s">
        <v>429</v>
      </c>
      <c r="F13" s="4166" t="e">
        <f>'Data Entry - SOF'!#REF!</f>
        <v>#REF!</v>
      </c>
      <c r="G13" s="4166"/>
      <c r="J13" s="4166"/>
      <c r="K13" s="4166"/>
    </row>
    <row r="14" spans="1:11" ht="15" hidden="1">
      <c r="D14" s="4150" t="s">
        <v>1811</v>
      </c>
      <c r="F14" s="4164">
        <f>'Data Entry - SOF'!S159</f>
        <v>0</v>
      </c>
      <c r="G14" s="4166"/>
      <c r="J14" s="4166"/>
      <c r="K14" s="4166"/>
    </row>
    <row r="15" spans="1:11" ht="15" hidden="1">
      <c r="D15" s="4150" t="s">
        <v>1155</v>
      </c>
      <c r="F15" s="4164">
        <f>'Calc Data'!J59</f>
        <v>0</v>
      </c>
      <c r="G15" s="4167"/>
      <c r="J15" s="4167"/>
      <c r="K15" s="4167"/>
    </row>
    <row r="16" spans="1:11" ht="15" hidden="1">
      <c r="D16" s="4150" t="s">
        <v>1956</v>
      </c>
      <c r="F16" s="4166">
        <f>'Data Entry - SOF'!S93</f>
        <v>0</v>
      </c>
      <c r="G16" s="4166"/>
      <c r="J16" s="4166"/>
      <c r="K16" s="4166"/>
    </row>
    <row r="17" spans="2:38" ht="15.75" hidden="1" thickBot="1">
      <c r="D17" s="4168"/>
      <c r="E17" s="4169"/>
      <c r="F17" s="4169"/>
      <c r="G17" s="4166"/>
      <c r="J17" s="4166"/>
      <c r="K17" s="4166"/>
    </row>
    <row r="18" spans="2:38" ht="15">
      <c r="D18" s="4150"/>
      <c r="G18" s="4166"/>
      <c r="H18" s="4170" t="s">
        <v>8157</v>
      </c>
      <c r="I18" s="4171" t="s">
        <v>8157</v>
      </c>
      <c r="J18" s="4172" t="s">
        <v>6968</v>
      </c>
      <c r="K18" s="4172" t="s">
        <v>6967</v>
      </c>
    </row>
    <row r="19" spans="2:38" ht="15">
      <c r="B19" s="4173" t="s">
        <v>430</v>
      </c>
      <c r="D19" s="4150"/>
      <c r="F19" s="4174" t="s">
        <v>3898</v>
      </c>
      <c r="G19" s="4150"/>
      <c r="H19" s="4175" t="s">
        <v>9357</v>
      </c>
      <c r="I19" s="4176" t="s">
        <v>8765</v>
      </c>
      <c r="J19" s="4177" t="s">
        <v>8554</v>
      </c>
      <c r="K19" s="4178" t="s">
        <v>8553</v>
      </c>
    </row>
    <row r="20" spans="2:38" ht="15">
      <c r="B20" s="4173">
        <v>11</v>
      </c>
      <c r="C20" s="4157" t="s">
        <v>8777</v>
      </c>
      <c r="D20" s="4179" t="s">
        <v>3140</v>
      </c>
      <c r="F20" s="4180">
        <f>ROUND(ROUND('Calc Data'!J23,0)*IF('Calc Data'!J11&gt;'Calc Data'!J10,'Calc Data'!J11,'Calc Data'!J10),0)</f>
        <v>0</v>
      </c>
      <c r="G20" s="4166"/>
      <c r="H20" s="4181">
        <f>ROUND(ROUND('Calc Data'!BD23,0)*IF('Calc Data'!J11&gt;'Calc Data'!J10,'Calc Data'!J11,'Calc Data'!J10),0)</f>
        <v>0</v>
      </c>
      <c r="I20" s="4182" t="e">
        <f>ROUND(Assumptions!H154*IF('Calc Data'!J12&gt;'Calc Data'!J11,'Calc Data'!J12,'Calc Data'!J11),0)</f>
        <v>#DIV/0!</v>
      </c>
      <c r="J20" s="4183">
        <f>ROUND(ROUND('Calc Data'!BD78,0)*IF('Calc Data'!J11&gt;'Calc Data'!J10,'Calc Data'!J11,'Calc Data'!J10),0)</f>
        <v>0</v>
      </c>
      <c r="K20" s="4184"/>
      <c r="AL20" s="4166" t="e">
        <f>ROUND(ROUND('Calc Data'!AC23,0)*IF('Calc Data'!#REF!&gt;'Calc Data'!#REF!,'Calc Data'!#REF!,'Calc Data'!#REF!),0)</f>
        <v>#REF!</v>
      </c>
    </row>
    <row r="21" spans="2:38" ht="15">
      <c r="B21" s="4173"/>
      <c r="C21" s="4185" t="s">
        <v>8778</v>
      </c>
      <c r="D21" s="4186" t="s">
        <v>8769</v>
      </c>
      <c r="E21" s="4187"/>
      <c r="F21" s="4188"/>
      <c r="G21" s="4189"/>
      <c r="H21" s="4181"/>
      <c r="I21" s="4182">
        <f>MAX('Calc Data'!N96,'Calc Data'!N98)</f>
        <v>0</v>
      </c>
      <c r="J21" s="4190"/>
      <c r="K21" s="4191"/>
      <c r="AL21" s="4166"/>
    </row>
    <row r="22" spans="2:38" ht="15">
      <c r="B22" s="4173">
        <v>23</v>
      </c>
      <c r="C22" s="4157" t="s">
        <v>8778</v>
      </c>
      <c r="D22" s="4150" t="s">
        <v>8835</v>
      </c>
      <c r="F22" s="4166">
        <f>ROUND('Calc Data'!J9*ROUND('Calc Data'!J23,0),0)</f>
        <v>0</v>
      </c>
      <c r="G22" s="4166"/>
      <c r="H22" s="4192">
        <f>ROUND('Calc Data'!J9*ROUND('Calc Data'!BD23,0),0)</f>
        <v>0</v>
      </c>
      <c r="I22" s="4193" t="e">
        <f>ROUND('Calc Data'!J9*(Assumptions!H154+'Calc Data'!L95),0)</f>
        <v>#DIV/0!</v>
      </c>
      <c r="J22" s="4194">
        <f>ROUND('Calc Data'!J9*ROUND('Calc Data'!BD78,0),0)</f>
        <v>0</v>
      </c>
      <c r="K22" s="4195"/>
      <c r="AL22" s="4166" t="e">
        <f>ROUND('Calc Data'!#REF!*ROUND('Calc Data'!AC23,0),0)</f>
        <v>#REF!</v>
      </c>
    </row>
    <row r="23" spans="2:38" ht="15">
      <c r="B23" s="4173"/>
      <c r="C23" s="4157" t="s">
        <v>8778</v>
      </c>
      <c r="D23" s="4150" t="s">
        <v>90</v>
      </c>
      <c r="F23" s="4196"/>
      <c r="H23" s="4197"/>
      <c r="I23" s="4198"/>
      <c r="J23" s="4199"/>
      <c r="K23" s="4195"/>
    </row>
    <row r="24" spans="2:38" ht="15">
      <c r="B24" s="4173">
        <v>23</v>
      </c>
      <c r="C24" s="4157" t="s">
        <v>8778</v>
      </c>
      <c r="D24" s="4150" t="s">
        <v>91</v>
      </c>
      <c r="F24" s="4200">
        <f>ROUND('Data Entry - SOF'!S34*Weights!O21*ROUND('Calc Data'!J23,0),0)</f>
        <v>0</v>
      </c>
      <c r="G24" s="4200"/>
      <c r="H24" s="4201">
        <f>ROUND('Data Entry - SOF'!S34*Weights!O21*ROUND('Calc Data'!BD23,0),0)</f>
        <v>0</v>
      </c>
      <c r="I24" s="4202">
        <f>IF('Data Entry - SOF'!S34=0,0,ROUND('Data Entry - SOF'!S34*'Weights-HB3'!K18*(Assumptions!H154+'Calc Data'!J95),0))</f>
        <v>0</v>
      </c>
      <c r="J24" s="4203">
        <f>ROUND('Data Entry - SOF'!S34*Weights!O21*ROUND('Calc Data'!BD78,0),0)</f>
        <v>0</v>
      </c>
      <c r="K24" s="4195"/>
      <c r="AL24" s="4200" t="e">
        <f>ROUND('Data Entry - SOF'!#REF!*1.1*ROUND('Calc Data'!AC23,0),0)</f>
        <v>#REF!</v>
      </c>
    </row>
    <row r="25" spans="2:38" ht="15">
      <c r="B25" s="4173">
        <v>23</v>
      </c>
      <c r="C25" s="4157" t="s">
        <v>8778</v>
      </c>
      <c r="D25" s="4150" t="s">
        <v>92</v>
      </c>
      <c r="F25" s="4166">
        <f>ROUND((+'Data Entry - SOF'!S32*Weights!O19)*ROUND('Calc Data'!J23,0),0)</f>
        <v>0</v>
      </c>
      <c r="G25" s="4166"/>
      <c r="H25" s="4192">
        <f>ROUND((+'Data Entry - SOF'!S32*Weights!O19)*ROUND('Calc Data'!BD23,0),0)</f>
        <v>0</v>
      </c>
      <c r="I25" s="4193">
        <f>IF('Data Entry - SOF'!S32=0,0,ROUND(('Data Entry - SOF'!S32*'Weights-HB3'!K16)*(Assumptions!H154+'Calc Data'!J95),0))</f>
        <v>0</v>
      </c>
      <c r="J25" s="4194">
        <f>ROUND((+'Data Entry - SOF'!S32*Weights!O19)*ROUND('Calc Data'!BD78,0),0)</f>
        <v>0</v>
      </c>
      <c r="K25" s="4195"/>
      <c r="AL25" s="4166" t="e">
        <f>ROUND((+'Data Entry - SOF'!#REF!*4)*ROUND('Calc Data'!AC23,0),0)</f>
        <v>#REF!</v>
      </c>
    </row>
    <row r="26" spans="2:38" ht="15">
      <c r="B26" s="4173">
        <v>23</v>
      </c>
      <c r="C26" s="4157" t="s">
        <v>8778</v>
      </c>
      <c r="D26" s="4204" t="s">
        <v>812</v>
      </c>
      <c r="F26" s="4166">
        <f>ROUND((+'Data Entry - SOF'!S30*Weights!O17)*ROUND('Calc Data'!J23,0),0)</f>
        <v>0</v>
      </c>
      <c r="G26" s="4166"/>
      <c r="H26" s="4192">
        <f>ROUND((+'Data Entry - SOF'!S30*Weights!O17)*ROUND('Calc Data'!BD23,0),0)</f>
        <v>0</v>
      </c>
      <c r="I26" s="4193">
        <f>IF('Data Entry - SOF'!S30=0,0,ROUND(('Data Entry - SOF'!S30*'Weights-HB3'!K14)*Assumptions!H154+'Calc Data'!J95,0))</f>
        <v>0</v>
      </c>
      <c r="J26" s="4194">
        <f>ROUND((+'Data Entry - SOF'!S30*Weights!O17)*ROUND('Calc Data'!BD78,0),0)</f>
        <v>0</v>
      </c>
      <c r="K26" s="4195"/>
      <c r="AL26" s="4166" t="e">
        <f>ROUND((+'Data Entry - SOF'!#REF!*2.8)*ROUND('Calc Data'!AC23,0),0)</f>
        <v>#REF!</v>
      </c>
    </row>
    <row r="27" spans="2:38" ht="15">
      <c r="B27" s="4173">
        <v>23</v>
      </c>
      <c r="C27" s="4157" t="s">
        <v>8778</v>
      </c>
      <c r="D27" s="4204" t="s">
        <v>813</v>
      </c>
      <c r="F27" s="4166">
        <f>ROUND(('Data Entry - SOF'!S31*Weights!O18)*ROUND('Calc Data'!J23,0),0)</f>
        <v>0</v>
      </c>
      <c r="G27" s="4166"/>
      <c r="H27" s="4192">
        <f>ROUND(('Data Entry - SOF'!S31*Weights!O18)*ROUND('Calc Data'!BD23,0),0)</f>
        <v>0</v>
      </c>
      <c r="I27" s="4193">
        <f>IF('Data Entry - SOF'!S31=0,0,ROUND(('Data Entry - SOF'!S31*'Weights-HB3'!K15)*(Assumptions!H154+'Calc Data'!J95),0))</f>
        <v>0</v>
      </c>
      <c r="J27" s="4194">
        <f>ROUND(('Data Entry - SOF'!S31*Weights!O18)*ROUND('Calc Data'!BD78,0),0)</f>
        <v>0</v>
      </c>
      <c r="K27" s="4195"/>
      <c r="AL27" s="4166" t="e">
        <f>ROUND(('Data Entry - SOF'!#REF!*1.7)*ROUND('Calc Data'!AC23,0),0)</f>
        <v>#REF!</v>
      </c>
    </row>
    <row r="28" spans="2:38" ht="15">
      <c r="B28" s="4173"/>
      <c r="C28" s="4157" t="s">
        <v>8778</v>
      </c>
      <c r="D28" s="4150" t="s">
        <v>1145</v>
      </c>
      <c r="F28" s="4166">
        <f>IF('Data Entry - SOF'!S114&lt;0,'Data Entry - SOF'!S114,'Data Entry - SOF'!S114*-1)</f>
        <v>0</v>
      </c>
      <c r="G28" s="4166"/>
      <c r="H28" s="4192">
        <f>IF('Data Entry - SOF'!S114&lt;0,'Data Entry - SOF'!S114,'Data Entry - SOF'!S114*-1)</f>
        <v>0</v>
      </c>
      <c r="I28" s="4193">
        <f>IF('Data Entry - SOF'!S116&lt;0,'Data Entry - SOF'!S116,'Data Entry - SOF'!S116*-1)</f>
        <v>0</v>
      </c>
      <c r="J28" s="4205">
        <f>H28</f>
        <v>0</v>
      </c>
      <c r="K28" s="4195"/>
      <c r="AL28" s="4166">
        <v>0</v>
      </c>
    </row>
    <row r="29" spans="2:38" ht="15">
      <c r="B29" s="4173">
        <v>22</v>
      </c>
      <c r="C29" s="4157" t="s">
        <v>8778</v>
      </c>
      <c r="D29" s="4150" t="s">
        <v>2834</v>
      </c>
      <c r="F29" s="4166">
        <f>ROUND(ROUND('Calc Data'!J23,0)*'Data Entry - SOF'!S35*Weights!O23,0)</f>
        <v>0</v>
      </c>
      <c r="G29" s="4166"/>
      <c r="H29" s="4192">
        <f>ROUND(ROUND('Calc Data'!BD23,0)*'Data Entry - SOF'!S35*Weights!O23,0)</f>
        <v>0</v>
      </c>
      <c r="I29" s="4193" t="e">
        <f>ROUND(Assumptions!H154*'Data Entry - SOF'!S36*'Weights-HB3'!K20,0)</f>
        <v>#DIV/0!</v>
      </c>
      <c r="J29" s="4194">
        <f>ROUND(ROUND('Calc Data'!BD78,0)*'Data Entry - SOF'!S35*Weights!O23,0)</f>
        <v>0</v>
      </c>
      <c r="K29" s="4195"/>
      <c r="AL29" s="4166" t="e">
        <f>ROUND(ROUND('Calc Data'!AC23,0)*'Data Entry - SOF'!#REF!*1.35,0)</f>
        <v>#REF!</v>
      </c>
    </row>
    <row r="30" spans="2:38" ht="15">
      <c r="B30" s="4173"/>
      <c r="C30" s="4157" t="s">
        <v>8778</v>
      </c>
      <c r="D30" s="4196" t="s">
        <v>644</v>
      </c>
      <c r="F30" s="4166">
        <f>Weights!O24*'Data Entry - SOF'!S37</f>
        <v>0</v>
      </c>
      <c r="G30" s="4166"/>
      <c r="H30" s="4192">
        <f>Weights!O24*'Data Entry - SOF'!S37</f>
        <v>0</v>
      </c>
      <c r="I30" s="4193">
        <f>ROUND('Weights-HB3'!K21*'Data Entry - SOF'!S37,0)</f>
        <v>0</v>
      </c>
      <c r="J30" s="4205">
        <f>H30</f>
        <v>0</v>
      </c>
      <c r="K30" s="4195"/>
      <c r="AL30" s="4166"/>
    </row>
    <row r="31" spans="2:38" ht="15" hidden="1">
      <c r="B31" s="4173"/>
      <c r="C31" s="4157" t="s">
        <v>8778</v>
      </c>
      <c r="D31" s="4196" t="s">
        <v>645</v>
      </c>
      <c r="F31" s="4166" t="e">
        <f>400*'Data Entry - SOF'!S39</f>
        <v>#DIV/0!</v>
      </c>
      <c r="G31" s="4166"/>
      <c r="H31" s="4192" t="e">
        <f>400*'Data Entry - SOF'!S39</f>
        <v>#DIV/0!</v>
      </c>
      <c r="I31" s="4198"/>
      <c r="J31" s="4206"/>
      <c r="K31" s="4195"/>
      <c r="AL31" s="4166"/>
    </row>
    <row r="32" spans="2:38" ht="15" hidden="1">
      <c r="B32" s="4173"/>
      <c r="C32" s="4157" t="s">
        <v>8778</v>
      </c>
      <c r="D32" s="4196" t="s">
        <v>646</v>
      </c>
      <c r="F32" s="4166" t="e">
        <f>80*'Data Entry - SOF'!S40</f>
        <v>#DIV/0!</v>
      </c>
      <c r="G32" s="4166"/>
      <c r="H32" s="4192" t="e">
        <f>80*'Data Entry - SOF'!S40</f>
        <v>#DIV/0!</v>
      </c>
      <c r="I32" s="4198"/>
      <c r="J32" s="4206"/>
      <c r="K32" s="4195"/>
      <c r="AL32" s="4166"/>
    </row>
    <row r="33" spans="2:38" ht="15">
      <c r="B33" s="4173">
        <v>21</v>
      </c>
      <c r="C33" s="4157" t="s">
        <v>8778</v>
      </c>
      <c r="D33" s="4150" t="s">
        <v>2838</v>
      </c>
      <c r="F33" s="4166">
        <f>ROUND(ROUND('Calc Data'!J23,0)*'Data Entry - SOF'!S211*Weights!O28,0)</f>
        <v>0</v>
      </c>
      <c r="G33" s="4166"/>
      <c r="H33" s="4192">
        <f>ROUND(ROUND('Calc Data'!BD23,0)*'Data Entry - SOF'!S211*Weights!O28,0)</f>
        <v>0</v>
      </c>
      <c r="I33" s="4207"/>
      <c r="J33" s="4194">
        <f>ROUND(ROUND('Calc Data'!BD78,0)*'Data Entry - SOF'!S211*Weights!O28,0)</f>
        <v>0</v>
      </c>
      <c r="K33" s="4195"/>
      <c r="AL33" s="4166" t="e">
        <f>ROUND(ROUND('Calc Data'!AC23,0)*'Data Entry - SOF'!#REF!*0.12,0)</f>
        <v>#REF!</v>
      </c>
    </row>
    <row r="34" spans="2:38" ht="15">
      <c r="B34" s="4173"/>
      <c r="C34" s="4157" t="s">
        <v>8778</v>
      </c>
      <c r="D34" s="4150" t="s">
        <v>397</v>
      </c>
      <c r="F34" s="4166">
        <f>IF('Data Entry - SOF'!S113&lt;0,'Data Entry - SOF'!S113,'Data Entry - SOF'!S113*-1)</f>
        <v>0</v>
      </c>
      <c r="G34" s="4166"/>
      <c r="H34" s="4192">
        <f>IF('Data Entry - SOF'!S113&lt;0,'Data Entry - SOF'!S113,'Data Entry - SOF'!S113*-1)</f>
        <v>0</v>
      </c>
      <c r="I34" s="4193">
        <f>IF('Data Entry - SOF'!S115&lt;0,'Data Entry - SOF'!S115,'Data Entry - SOF'!S115*-1)</f>
        <v>0</v>
      </c>
      <c r="J34" s="4205">
        <f>H34</f>
        <v>0</v>
      </c>
      <c r="K34" s="4195"/>
      <c r="AL34" s="4166">
        <v>0</v>
      </c>
    </row>
    <row r="35" spans="2:38" ht="15">
      <c r="B35" s="4173" t="s">
        <v>2497</v>
      </c>
      <c r="C35" s="4185" t="s">
        <v>8778</v>
      </c>
      <c r="D35" s="4208" t="s">
        <v>3041</v>
      </c>
      <c r="E35" s="4187"/>
      <c r="F35" s="4189">
        <f>ROUND(ROUND('Calc Data'!J23,0)*'Data Entry - SOF'!S41*Weights!O30,0)</f>
        <v>0</v>
      </c>
      <c r="G35" s="4189"/>
      <c r="H35" s="4192">
        <f>ROUND(ROUND('Calc Data'!BD23,0)*'Data Entry - SOF'!S41*Weights!O30,0)</f>
        <v>0</v>
      </c>
      <c r="I35" s="4207"/>
      <c r="J35" s="4194">
        <f>ROUND(ROUND('Calc Data'!BD78,0)*'Data Entry - SOF'!S41*Weights!O30,0)</f>
        <v>0</v>
      </c>
      <c r="K35" s="4195"/>
      <c r="AL35" s="4166" t="e">
        <f>ROUND(ROUND('Calc Data'!AC23,0)*'Data Entry - SOF'!#REF!*0.2,0)</f>
        <v>#REF!</v>
      </c>
    </row>
    <row r="36" spans="2:38" ht="15">
      <c r="B36" s="4173"/>
      <c r="C36" s="4185" t="s">
        <v>8778</v>
      </c>
      <c r="D36" s="4186" t="s">
        <v>8845</v>
      </c>
      <c r="E36" s="4187"/>
      <c r="F36" s="4189"/>
      <c r="G36" s="4189"/>
      <c r="H36" s="4192"/>
      <c r="I36" s="4207" t="e">
        <f>ROUND(Assumptions!H154*'Data Entry - SOF'!S42*'Weights-HB3'!K31,0)</f>
        <v>#DIV/0!</v>
      </c>
      <c r="J36" s="4194"/>
      <c r="K36" s="4191"/>
      <c r="AL36" s="4166"/>
    </row>
    <row r="37" spans="2:38" ht="15">
      <c r="B37" s="4173"/>
      <c r="C37" s="4185" t="s">
        <v>8778</v>
      </c>
      <c r="D37" s="4186" t="s">
        <v>8846</v>
      </c>
      <c r="E37" s="4187"/>
      <c r="F37" s="4189"/>
      <c r="G37" s="4189"/>
      <c r="H37" s="4192"/>
      <c r="I37" s="4207" t="e">
        <f>ROUND(Assumptions!H154*'Data Entry - SOF'!S43*'Weights-HB3'!K32,0)</f>
        <v>#DIV/0!</v>
      </c>
      <c r="J37" s="4194"/>
      <c r="K37" s="4191"/>
      <c r="AL37" s="4166"/>
    </row>
    <row r="38" spans="2:38" ht="15">
      <c r="B38" s="4173"/>
      <c r="C38" s="4185" t="s">
        <v>8778</v>
      </c>
      <c r="D38" s="4186" t="s">
        <v>8874</v>
      </c>
      <c r="E38" s="4187"/>
      <c r="F38" s="4189"/>
      <c r="G38" s="4189"/>
      <c r="H38" s="4192"/>
      <c r="I38" s="4207" t="e">
        <f>ROUND(Assumptions!H154*'Data Entry - SOF'!S44*'Weights-HB3'!K33,0)</f>
        <v>#DIV/0!</v>
      </c>
      <c r="J38" s="4194"/>
      <c r="K38" s="4191"/>
      <c r="AL38" s="4166"/>
    </row>
    <row r="39" spans="2:38" ht="15">
      <c r="B39" s="4173"/>
      <c r="C39" s="4185" t="s">
        <v>8778</v>
      </c>
      <c r="D39" s="4186" t="s">
        <v>8875</v>
      </c>
      <c r="E39" s="4187"/>
      <c r="F39" s="4189"/>
      <c r="G39" s="4189"/>
      <c r="H39" s="4192"/>
      <c r="I39" s="4207" t="e">
        <f>ROUND(Assumptions!H154*'Data Entry - SOF'!S45*'Weights-HB3'!K34,0)</f>
        <v>#DIV/0!</v>
      </c>
      <c r="J39" s="4194"/>
      <c r="K39" s="4191"/>
      <c r="AL39" s="4166"/>
    </row>
    <row r="40" spans="2:38" ht="15">
      <c r="B40" s="4173"/>
      <c r="C40" s="4185" t="s">
        <v>8778</v>
      </c>
      <c r="D40" s="4186" t="s">
        <v>8876</v>
      </c>
      <c r="E40" s="4187"/>
      <c r="F40" s="4189"/>
      <c r="G40" s="4189"/>
      <c r="H40" s="4192"/>
      <c r="I40" s="4207" t="e">
        <f>ROUND(Assumptions!H154*'Data Entry - SOF'!S46*'Weights-HB3'!K35,0)</f>
        <v>#DIV/0!</v>
      </c>
      <c r="J40" s="4194"/>
      <c r="K40" s="4191"/>
      <c r="AL40" s="4166"/>
    </row>
    <row r="41" spans="2:38" ht="15">
      <c r="B41" s="4173"/>
      <c r="C41" s="4185" t="s">
        <v>8778</v>
      </c>
      <c r="D41" s="4186" t="s">
        <v>8877</v>
      </c>
      <c r="E41" s="4187"/>
      <c r="F41" s="4189"/>
      <c r="G41" s="4189"/>
      <c r="H41" s="4192"/>
      <c r="I41" s="4207" t="e">
        <f>ROUND(Assumptions!H154*'Data Entry - SOF'!S47*'Weights-HB3'!K36,0)</f>
        <v>#DIV/0!</v>
      </c>
      <c r="J41" s="4194"/>
      <c r="K41" s="4191"/>
      <c r="AL41" s="4166"/>
    </row>
    <row r="42" spans="2:38" ht="15">
      <c r="B42" s="4173"/>
      <c r="C42" s="4185" t="s">
        <v>8778</v>
      </c>
      <c r="D42" s="4186" t="s">
        <v>8878</v>
      </c>
      <c r="E42" s="4187"/>
      <c r="F42" s="4189"/>
      <c r="G42" s="4189"/>
      <c r="H42" s="4192"/>
      <c r="I42" s="4207" t="e">
        <f>ROUND(Assumptions!H154*'Data Entry - SOF'!S48*'Weights-HB3'!K37,0)</f>
        <v>#DIV/0!</v>
      </c>
      <c r="J42" s="4194"/>
      <c r="K42" s="4191"/>
      <c r="AL42" s="4166"/>
    </row>
    <row r="43" spans="2:38" ht="15">
      <c r="B43" s="4173" t="s">
        <v>2497</v>
      </c>
      <c r="C43" s="4157" t="s">
        <v>8778</v>
      </c>
      <c r="D43" s="4150" t="s">
        <v>399</v>
      </c>
      <c r="F43" s="4166">
        <f>ROUND(ROUND('Calc Data'!J23,0)*'Data Entry - SOF'!S49*Weights!O31,0)</f>
        <v>0</v>
      </c>
      <c r="G43" s="4166"/>
      <c r="H43" s="4192">
        <f>ROUND(ROUND('Calc Data'!BD23,0)*'Data Entry - SOF'!S49*Weights!O31,0)</f>
        <v>0</v>
      </c>
      <c r="I43" s="4193" t="e">
        <f>ROUND(Assumptions!H154*'Data Entry - SOF'!S49*'Weights-HB3'!K40,0)</f>
        <v>#DIV/0!</v>
      </c>
      <c r="J43" s="4194">
        <f>ROUND(ROUND('Calc Data'!BD78,0)*'Data Entry - SOF'!S49*Weights!O31,0)</f>
        <v>0</v>
      </c>
      <c r="K43" s="4195"/>
      <c r="AL43" s="4166" t="e">
        <f>ROUND(ROUND('Calc Data'!AC23,0)*'Data Entry - SOF'!#REF!*2.41,0)</f>
        <v>#REF!</v>
      </c>
    </row>
    <row r="44" spans="2:38" ht="15" hidden="1">
      <c r="B44" s="4173" t="s">
        <v>2497</v>
      </c>
      <c r="C44" s="4157" t="s">
        <v>8778</v>
      </c>
      <c r="D44" s="4179" t="s">
        <v>451</v>
      </c>
      <c r="E44" s="4209"/>
      <c r="F44" s="4166">
        <f>650*'Data Entry - SOF'!S50</f>
        <v>0</v>
      </c>
      <c r="G44" s="4166"/>
      <c r="H44" s="4192">
        <f>650*'Data Entry - SOF'!S50</f>
        <v>0</v>
      </c>
      <c r="I44" s="4198"/>
      <c r="J44" s="4206"/>
      <c r="K44" s="4195"/>
      <c r="AL44" s="4166"/>
    </row>
    <row r="45" spans="2:38" ht="15" hidden="1">
      <c r="B45" s="4173"/>
      <c r="C45" s="4157" t="s">
        <v>8778</v>
      </c>
      <c r="D45" s="4150" t="s">
        <v>1229</v>
      </c>
      <c r="F45" s="4210">
        <v>0</v>
      </c>
      <c r="G45" s="4166"/>
      <c r="H45" s="4211">
        <v>0</v>
      </c>
      <c r="I45" s="4198"/>
      <c r="J45" s="4206"/>
      <c r="K45" s="4195"/>
      <c r="AL45" s="4166">
        <v>0</v>
      </c>
    </row>
    <row r="46" spans="2:38" ht="15">
      <c r="B46" s="4173">
        <v>25</v>
      </c>
      <c r="C46" s="4157" t="s">
        <v>8778</v>
      </c>
      <c r="D46" s="4150" t="s">
        <v>8830</v>
      </c>
      <c r="F46" s="4166">
        <f>ROUND(ROUND('Calc Data'!J23,0)*('Data Entry - SOF'!S51*Weights!O26),0)</f>
        <v>0</v>
      </c>
      <c r="G46" s="4166"/>
      <c r="H46" s="4192">
        <f>ROUND(ROUND('Calc Data'!BD23,0)*('Data Entry - SOF'!S51*Weights!O26),0)</f>
        <v>0</v>
      </c>
      <c r="I46" s="4193" t="e">
        <f>ROUND(Assumptions!H154*'Data Entry - SOF'!S52*'Weights-HB3'!K23,0)</f>
        <v>#DIV/0!</v>
      </c>
      <c r="J46" s="4194">
        <f>ROUND(ROUND('Calc Data'!BD78,0)*('Data Entry - SOF'!S51*Weights!O26),0)</f>
        <v>0</v>
      </c>
      <c r="K46" s="4195"/>
      <c r="AL46" s="4166" t="e">
        <f>ROUND(ROUND('Calc Data'!AC23,0)*('Data Entry - SOF'!#REF!*0.1),0)</f>
        <v>#REF!</v>
      </c>
    </row>
    <row r="47" spans="2:38" ht="15">
      <c r="B47" s="4173"/>
      <c r="C47" s="4185" t="s">
        <v>8778</v>
      </c>
      <c r="D47" s="4208" t="s">
        <v>8831</v>
      </c>
      <c r="E47" s="4187"/>
      <c r="F47" s="4189"/>
      <c r="G47" s="4189"/>
      <c r="H47" s="4192"/>
      <c r="I47" s="4193" t="e">
        <f>ROUND(Assumptions!H154*'Data Entry - SOF'!S53*'Weights-HB3'!K24,0)</f>
        <v>#DIV/0!</v>
      </c>
      <c r="J47" s="4194"/>
      <c r="K47" s="4191"/>
      <c r="AL47" s="4166"/>
    </row>
    <row r="48" spans="2:38" ht="15">
      <c r="B48" s="4173"/>
      <c r="C48" s="4185" t="s">
        <v>8778</v>
      </c>
      <c r="D48" s="4208" t="s">
        <v>8832</v>
      </c>
      <c r="E48" s="4187"/>
      <c r="F48" s="4189"/>
      <c r="G48" s="4189"/>
      <c r="H48" s="4192"/>
      <c r="I48" s="4193" t="e">
        <f>ROUND(Assumptions!H154*'Data Entry - SOF'!S54*'Weights-HB3'!K25,0)</f>
        <v>#DIV/0!</v>
      </c>
      <c r="J48" s="4194"/>
      <c r="K48" s="4191"/>
      <c r="AL48" s="4166"/>
    </row>
    <row r="49" spans="2:38" ht="15">
      <c r="B49" s="4173"/>
      <c r="C49" s="4185" t="s">
        <v>8778</v>
      </c>
      <c r="D49" s="4208" t="s">
        <v>8775</v>
      </c>
      <c r="E49" s="4187"/>
      <c r="F49" s="4189"/>
      <c r="G49" s="4189"/>
      <c r="H49" s="4192"/>
      <c r="I49" s="4193" t="e">
        <f>ROUND(Assumptions!H154*'Data Entry - SOF'!S55*'Weights-HB3'!K69,0)</f>
        <v>#DIV/0!</v>
      </c>
      <c r="J49" s="4194"/>
      <c r="K49" s="4191"/>
      <c r="AL49" s="4166"/>
    </row>
    <row r="50" spans="2:38" ht="15">
      <c r="B50" s="4173"/>
      <c r="C50" s="4185" t="s">
        <v>8778</v>
      </c>
      <c r="D50" s="4208" t="s">
        <v>9038</v>
      </c>
      <c r="E50" s="4187"/>
      <c r="F50" s="4189"/>
      <c r="G50" s="4189"/>
      <c r="H50" s="4192"/>
      <c r="I50" s="4193" t="e">
        <f>Assumptions!H154*'Data Entry - SOF'!S56*'Weights-HB3'!K71</f>
        <v>#DIV/0!</v>
      </c>
      <c r="J50" s="4194"/>
      <c r="K50" s="4191"/>
      <c r="AL50" s="4166"/>
    </row>
    <row r="51" spans="2:38" ht="15">
      <c r="B51" s="4173"/>
      <c r="C51" s="4185" t="s">
        <v>8778</v>
      </c>
      <c r="D51" s="4208" t="s">
        <v>9378</v>
      </c>
      <c r="E51" s="4187"/>
      <c r="F51" s="4189"/>
      <c r="G51" s="4189"/>
      <c r="H51" s="4192"/>
      <c r="I51" s="4193">
        <f>('Data Entry - SOF'!S57*'Weights-HB3'!G110)+('Data Entry - SOF'!S58*'Weights-HB3'!G111)+('Data Entry - SOF'!S59*'Weights-HB3'!G112)</f>
        <v>0</v>
      </c>
      <c r="J51" s="4194"/>
      <c r="K51" s="4191"/>
      <c r="AL51" s="4166"/>
    </row>
    <row r="52" spans="2:38" ht="15">
      <c r="B52" s="4173">
        <v>31</v>
      </c>
      <c r="C52" s="4157" t="s">
        <v>8778</v>
      </c>
      <c r="D52" s="4196" t="s">
        <v>2435</v>
      </c>
      <c r="F52" s="4166">
        <f>Weights!O33*'Data Entry - SOF'!S21</f>
        <v>0</v>
      </c>
      <c r="G52" s="4166"/>
      <c r="H52" s="4192">
        <f>Weights!O33*'Data Entry - SOF'!S21</f>
        <v>0</v>
      </c>
      <c r="I52" s="4207"/>
      <c r="J52" s="4205">
        <f>H52</f>
        <v>0</v>
      </c>
      <c r="K52" s="4195"/>
      <c r="AL52" s="4166" t="e">
        <f>#REF!</f>
        <v>#REF!</v>
      </c>
    </row>
    <row r="53" spans="2:38" ht="15">
      <c r="B53" s="4173"/>
      <c r="C53" s="4157" t="s">
        <v>8778</v>
      </c>
      <c r="D53" s="4150" t="s">
        <v>872</v>
      </c>
      <c r="F53" s="4166">
        <f>ROUND(ROUND('Calc Data'!J23,0)*'Data Entry - SOF'!S61*Weights!O37,0)</f>
        <v>0</v>
      </c>
      <c r="G53" s="4166"/>
      <c r="H53" s="4192">
        <f>ROUND(ROUND('Calc Data'!BD23,0)*'Data Entry - SOF'!S61*Weights!O37,0)</f>
        <v>0</v>
      </c>
      <c r="I53" s="4212" t="e">
        <f>ROUND(Assumptions!H154*'Data Entry - SOF'!S61*'Weights-HB3'!K46,0)</f>
        <v>#DIV/0!</v>
      </c>
      <c r="J53" s="4194">
        <f>ROUND(ROUND('Calc Data'!BD78,0)*'Data Entry - SOF'!S61*Weights!O37,0)</f>
        <v>0</v>
      </c>
      <c r="K53" s="4195"/>
      <c r="AL53" s="4166" t="e">
        <f>ROUND(ROUND('Calc Data'!AC23,0)*'Data Entry - SOF'!#REF!*0.1,0)</f>
        <v>#REF!</v>
      </c>
    </row>
    <row r="54" spans="2:38" ht="15">
      <c r="B54" s="4173"/>
      <c r="C54" s="4185" t="s">
        <v>8778</v>
      </c>
      <c r="D54" s="4208" t="s">
        <v>8942</v>
      </c>
      <c r="E54" s="4187"/>
      <c r="F54" s="4189"/>
      <c r="G54" s="4189"/>
      <c r="H54" s="4192"/>
      <c r="I54" s="4212">
        <f>IF('Data Entry - SOF'!S160="Y",'Weights-HB3'!K114*'Data Entry - SOF'!S19*Assumptions!H154,0)</f>
        <v>0</v>
      </c>
      <c r="J54" s="4194"/>
      <c r="K54" s="4191"/>
      <c r="AL54" s="4166"/>
    </row>
    <row r="55" spans="2:38" ht="15">
      <c r="B55" s="4173"/>
      <c r="C55" s="4185" t="s">
        <v>8778</v>
      </c>
      <c r="D55" s="4208" t="s">
        <v>9025</v>
      </c>
      <c r="E55" s="4187"/>
      <c r="F55" s="4189"/>
      <c r="G55" s="4189"/>
      <c r="H55" s="4192"/>
      <c r="I55" s="4212">
        <v>0</v>
      </c>
      <c r="J55" s="4194"/>
      <c r="K55" s="4191"/>
      <c r="L55" s="4196" t="s">
        <v>9036</v>
      </c>
      <c r="AL55" s="4166"/>
    </row>
    <row r="56" spans="2:38" ht="15">
      <c r="B56" s="4173"/>
      <c r="C56" s="4185" t="s">
        <v>8778</v>
      </c>
      <c r="D56" s="4208" t="s">
        <v>9026</v>
      </c>
      <c r="E56" s="4187"/>
      <c r="F56" s="4189"/>
      <c r="G56" s="4189"/>
      <c r="H56" s="4192"/>
      <c r="I56" s="4212">
        <v>0</v>
      </c>
      <c r="J56" s="4194"/>
      <c r="K56" s="4191"/>
      <c r="L56" s="4196" t="s">
        <v>9036</v>
      </c>
      <c r="AL56" s="4166"/>
    </row>
    <row r="57" spans="2:38" ht="15">
      <c r="B57" s="4173"/>
      <c r="C57" s="4185" t="s">
        <v>8778</v>
      </c>
      <c r="D57" s="4208" t="s">
        <v>9088</v>
      </c>
      <c r="E57" s="4187"/>
      <c r="F57" s="4189"/>
      <c r="G57" s="4189"/>
      <c r="H57" s="4192"/>
      <c r="I57" s="4212">
        <f>'Data Entry - SOF'!S19*'Weights-HB3'!K65</f>
        <v>0</v>
      </c>
      <c r="J57" s="4194"/>
      <c r="K57" s="4191"/>
      <c r="L57" s="4196"/>
      <c r="AL57" s="4166"/>
    </row>
    <row r="58" spans="2:38" ht="15">
      <c r="B58" s="4173"/>
      <c r="C58" s="4185" t="s">
        <v>8778</v>
      </c>
      <c r="D58" s="4208" t="s">
        <v>9379</v>
      </c>
      <c r="E58" s="4187"/>
      <c r="F58" s="4189"/>
      <c r="G58" s="4189"/>
      <c r="H58" s="4192">
        <f>'Data Entry - SOF'!S125</f>
        <v>0</v>
      </c>
      <c r="I58" s="4212">
        <f>H58</f>
        <v>0</v>
      </c>
      <c r="J58" s="4194"/>
      <c r="K58" s="4191"/>
      <c r="L58" s="4196"/>
      <c r="AL58" s="4166"/>
    </row>
    <row r="59" spans="2:38" ht="15">
      <c r="B59" s="4173"/>
      <c r="C59" s="4157" t="s">
        <v>8779</v>
      </c>
      <c r="D59" s="4196" t="s">
        <v>3839</v>
      </c>
      <c r="F59" s="4213">
        <f>'Data Entry - SOF'!S62*Weights!O35</f>
        <v>0</v>
      </c>
      <c r="G59" s="4166"/>
      <c r="H59" s="4214">
        <f>'Data Entry - SOF'!S62*Weights!O50</f>
        <v>0</v>
      </c>
      <c r="I59" s="4207">
        <f>'Data Entry - SOF'!S62*'Weights-HB3'!K44</f>
        <v>0</v>
      </c>
      <c r="J59" s="4205">
        <f>H59</f>
        <v>0</v>
      </c>
      <c r="K59" s="4195"/>
      <c r="AL59" s="4166" t="e">
        <f>'Data Entry - SOF'!#REF!*250</f>
        <v>#REF!</v>
      </c>
    </row>
    <row r="60" spans="2:38" ht="15">
      <c r="B60" s="4173">
        <v>99</v>
      </c>
      <c r="C60" s="4157" t="s">
        <v>8779</v>
      </c>
      <c r="D60" s="4150" t="s">
        <v>8834</v>
      </c>
      <c r="F60" s="4215">
        <f>'Data Entry - SOF'!S104</f>
        <v>0</v>
      </c>
      <c r="G60" s="4166"/>
      <c r="H60" s="4192">
        <f>'Data Entry - SOF'!S104</f>
        <v>0</v>
      </c>
      <c r="I60" s="4207">
        <f>('Data Entry - SOF'!S105*'Weights-HB3'!K67)+'Data Entry - SOF'!S106+'Data Entry - SOF'!S107+'Data Entry - SOF'!S108</f>
        <v>0</v>
      </c>
      <c r="J60" s="4216">
        <f>H60</f>
        <v>0</v>
      </c>
      <c r="K60" s="4217"/>
      <c r="AL60" s="4215" t="e">
        <f>'Data Entry - SOF'!#REF!</f>
        <v>#REF!</v>
      </c>
    </row>
    <row r="61" spans="2:38" ht="15" hidden="1">
      <c r="B61" s="4173"/>
      <c r="C61" s="4185" t="s">
        <v>8779</v>
      </c>
      <c r="D61" s="4208" t="s">
        <v>8851</v>
      </c>
      <c r="E61" s="4187"/>
      <c r="F61" s="4189"/>
      <c r="G61" s="4189"/>
      <c r="H61" s="4218"/>
      <c r="I61" s="4207"/>
      <c r="J61" s="4205"/>
      <c r="K61" s="4191"/>
      <c r="O61" s="4207" t="e">
        <f>IF('Data Entry - SOF'!S109="N",ROUND(Assumptions!H154*'Data Entry - SOF'!S48*'Weights-HB3'!K79,0),MAX(Assumptions!H154*'Data Entry - SOF'!S48*'Weights-HB3'!K79,Assumptions!H154*'Data Entry - SOF'!S19))</f>
        <v>#DIV/0!</v>
      </c>
      <c r="AL61" s="4166"/>
    </row>
    <row r="62" spans="2:38" ht="15" hidden="1">
      <c r="B62" s="4173"/>
      <c r="C62" s="4185" t="s">
        <v>8779</v>
      </c>
      <c r="D62" s="4208" t="s">
        <v>8780</v>
      </c>
      <c r="E62" s="4187"/>
      <c r="F62" s="4189"/>
      <c r="G62" s="4189"/>
      <c r="H62" s="4218"/>
      <c r="I62" s="4207"/>
      <c r="J62" s="4205"/>
      <c r="K62" s="4191"/>
      <c r="AL62" s="4166"/>
    </row>
    <row r="63" spans="2:38" ht="15">
      <c r="B63" s="4173"/>
      <c r="C63" s="4185" t="s">
        <v>8779</v>
      </c>
      <c r="D63" s="4208" t="s">
        <v>8963</v>
      </c>
      <c r="E63" s="4187"/>
      <c r="F63" s="4189"/>
      <c r="G63" s="4189"/>
      <c r="H63" s="4192"/>
      <c r="I63" s="4207">
        <f>'Data Entry - SOF'!S67*'Weights-HB3'!G120</f>
        <v>0</v>
      </c>
      <c r="J63" s="4205"/>
      <c r="K63" s="4191"/>
      <c r="AL63" s="4166"/>
    </row>
    <row r="64" spans="2:38" ht="15">
      <c r="B64" s="4173"/>
      <c r="C64" s="4185" t="s">
        <v>8779</v>
      </c>
      <c r="D64" s="4208" t="s">
        <v>8848</v>
      </c>
      <c r="E64" s="4187"/>
      <c r="F64" s="4189"/>
      <c r="G64" s="4189"/>
      <c r="H64" s="4192"/>
      <c r="I64" s="4207">
        <v>0</v>
      </c>
      <c r="J64" s="4205"/>
      <c r="K64" s="4191"/>
      <c r="L64" s="4196" t="s">
        <v>9036</v>
      </c>
      <c r="AL64" s="4166"/>
    </row>
    <row r="65" spans="2:38" ht="15">
      <c r="B65" s="4173"/>
      <c r="C65" s="4185" t="s">
        <v>8779</v>
      </c>
      <c r="D65" s="4208" t="s">
        <v>9035</v>
      </c>
      <c r="E65" s="4187"/>
      <c r="F65" s="4189"/>
      <c r="G65" s="4189"/>
      <c r="H65" s="4219"/>
      <c r="I65" s="4220">
        <v>0</v>
      </c>
      <c r="J65" s="4205"/>
      <c r="K65" s="4191"/>
      <c r="L65" s="4196" t="s">
        <v>9036</v>
      </c>
      <c r="AL65" s="4166"/>
    </row>
    <row r="66" spans="2:38" ht="15">
      <c r="D66" s="4150" t="s">
        <v>530</v>
      </c>
      <c r="F66" s="4166" t="e">
        <f>SUM(F20:F60)</f>
        <v>#DIV/0!</v>
      </c>
      <c r="G66" s="4166"/>
      <c r="H66" s="4192" t="e">
        <f>SUM(H20:H60)</f>
        <v>#DIV/0!</v>
      </c>
      <c r="I66" s="4221" t="e">
        <f>SUM(I20:I65)</f>
        <v>#DIV/0!</v>
      </c>
      <c r="J66" s="4222">
        <f>SUM(J20:J60)</f>
        <v>0</v>
      </c>
      <c r="K66" s="4223">
        <f>J66</f>
        <v>0</v>
      </c>
      <c r="L66" s="4224" t="e">
        <f>(I66-I59-I60-I63-I64-I65-I28)/Assumptions!H154</f>
        <v>#DIV/0!</v>
      </c>
      <c r="M66" s="4225" t="s">
        <v>8784</v>
      </c>
      <c r="AL66" s="4166" t="e">
        <f>SUM(AL20:AL60)</f>
        <v>#REF!</v>
      </c>
    </row>
    <row r="67" spans="2:38" ht="15">
      <c r="D67" s="4150" t="s">
        <v>786</v>
      </c>
      <c r="F67" s="4226">
        <f>IF('Data Entry - SOF'!S154&gt;1,1*('Data Entry - SOF'!S73/100),'Data Entry - SOF'!S154*('Data Entry - SOF'!S73/100))</f>
        <v>0</v>
      </c>
      <c r="G67" s="4227"/>
      <c r="H67" s="4228">
        <f>IF('Calc Data'!BD30&gt;1,1*('Data Entry - SOF'!Q73/100),'Calc Data'!BD30*('Data Entry - SOF'!Q73/100))</f>
        <v>0</v>
      </c>
      <c r="I67" s="4229" t="e">
        <f>('Data Entry - SOF'!S155/100)*'Data Entry - SOF'!S73</f>
        <v>#DIV/0!</v>
      </c>
      <c r="J67" s="4230">
        <f>IF('Calc Data'!BD85&gt;1,1*('Data Entry - SOF'!S73/100),'Calc Data'!BD85*('Data Entry - SOF'!S73/100))</f>
        <v>0</v>
      </c>
      <c r="K67" s="4231">
        <f>IF('Calc Data-15K'!AO30&gt;1,1*('Data Entry - SOF'!S74/100),'Calc Data-15K'!AO30*('Data Entry - SOF'!S74/100))</f>
        <v>0</v>
      </c>
      <c r="AL67" s="4226" t="e">
        <f>#REF!</f>
        <v>#REF!</v>
      </c>
    </row>
    <row r="68" spans="2:38" ht="15">
      <c r="D68" s="4150" t="s">
        <v>785</v>
      </c>
      <c r="F68" s="4227" t="e">
        <f>F66-F67</f>
        <v>#DIV/0!</v>
      </c>
      <c r="G68" s="4227"/>
      <c r="H68" s="4232" t="e">
        <f>H66-H67</f>
        <v>#DIV/0!</v>
      </c>
      <c r="I68" s="4221" t="e">
        <f>I66-I67</f>
        <v>#DIV/0!</v>
      </c>
      <c r="J68" s="4233">
        <f>J66-J67</f>
        <v>0</v>
      </c>
      <c r="K68" s="4223">
        <f>K66-K67</f>
        <v>0</v>
      </c>
      <c r="AL68" s="4227" t="e">
        <f>AL66-AL67</f>
        <v>#REF!</v>
      </c>
    </row>
    <row r="69" spans="2:38" ht="15">
      <c r="D69" s="4150"/>
      <c r="G69" s="4227"/>
      <c r="H69" s="4234"/>
      <c r="I69" s="4198"/>
      <c r="J69" s="4235"/>
      <c r="K69" s="4223"/>
      <c r="N69" s="4236"/>
      <c r="AL69" s="4227"/>
    </row>
    <row r="70" spans="2:38" ht="15">
      <c r="D70" s="4237" t="s">
        <v>8838</v>
      </c>
      <c r="G70" s="4227"/>
      <c r="H70" s="4234"/>
      <c r="I70" s="4198"/>
      <c r="J70" s="4235"/>
      <c r="K70" s="4223"/>
      <c r="N70" s="4236"/>
      <c r="AL70" s="4227"/>
    </row>
    <row r="71" spans="2:38" ht="15">
      <c r="D71" s="4150" t="s">
        <v>9024</v>
      </c>
      <c r="F71" s="4210" t="e">
        <f>IF(F68&lt;F110+F52+F59+F31+F32,F110+F52+F59+F31+F32,F68)</f>
        <v>#DIV/0!</v>
      </c>
      <c r="G71" s="4227"/>
      <c r="H71" s="4211" t="e">
        <f>IF(H68&lt;H110+H52+H59+H31+H32,H110+H52+H59+H31+H32,H68)</f>
        <v>#DIV/0!</v>
      </c>
      <c r="I71" s="4207" t="e">
        <f>IF(I68&lt;I110,I110,I68)</f>
        <v>#DIV/0!</v>
      </c>
      <c r="J71" s="4238">
        <f>IF(J68&lt;H110+J52+J59+J31+J32,H110+J52+J59+J31+J32,J68)</f>
        <v>0</v>
      </c>
      <c r="K71" s="4223">
        <f>IF(K68&lt;H110+J52+J59+J31+J32,H110+J52+J59+J31+J32,K68)</f>
        <v>0</v>
      </c>
    </row>
    <row r="72" spans="2:38" ht="15" hidden="1">
      <c r="D72" s="4150" t="s">
        <v>2273</v>
      </c>
      <c r="G72" s="4227" t="e">
        <f>ROUND(IF((24.7*'Calc Data'!#REF!*IF('Calc Data'!#REF!&gt;=0.64,0.64,'Calc Data'!#REF!)*100)&lt;'Calc Data'!#REF!,0,(24.7*'Calc Data'!#REF!*IF('Calc Data'!#REF!&gt;=0.64,0.64,'Calc Data'!#REF!)*100)-'Calc Data'!#REF!),0)</f>
        <v>#REF!</v>
      </c>
      <c r="H72" s="4232"/>
      <c r="I72" s="4239"/>
      <c r="J72" s="4240"/>
      <c r="K72" s="4223"/>
    </row>
    <row r="73" spans="2:38" ht="15">
      <c r="D73" s="4150"/>
      <c r="G73" s="4227"/>
      <c r="H73" s="4232"/>
      <c r="I73" s="4239"/>
      <c r="J73" s="4249"/>
      <c r="K73" s="4241"/>
    </row>
    <row r="74" spans="2:38" ht="15">
      <c r="D74" s="4665" t="s">
        <v>10156</v>
      </c>
      <c r="E74" s="4666"/>
      <c r="F74" s="4666"/>
      <c r="G74" s="4667"/>
      <c r="H74" s="4232"/>
      <c r="I74" s="4736" t="s">
        <v>10227</v>
      </c>
      <c r="J74" s="4240"/>
      <c r="K74" s="4241"/>
    </row>
    <row r="75" spans="2:38" ht="15">
      <c r="D75" s="4150" t="s">
        <v>8879</v>
      </c>
      <c r="G75" s="4227"/>
      <c r="H75" s="4232"/>
      <c r="I75" s="4207" t="e">
        <f>IF(I67&gt;I66-I110,I67-(I66-I110),0)</f>
        <v>#DIV/0!</v>
      </c>
      <c r="J75" s="4240"/>
      <c r="K75" s="4241"/>
    </row>
    <row r="76" spans="2:38" ht="15">
      <c r="D76" s="4150" t="s">
        <v>9117</v>
      </c>
      <c r="G76" s="4227"/>
      <c r="H76" s="4232"/>
      <c r="I76" s="4229" t="e">
        <f>IF(I75=0,0,IF('Calc Data'!L112-I75&lt;I66-I110,(I66-I110-('Calc Data'!L112-I75))*-1,0))</f>
        <v>#DIV/0!</v>
      </c>
      <c r="J76" s="4240"/>
      <c r="K76" s="4242"/>
    </row>
    <row r="77" spans="2:38" ht="15">
      <c r="D77" s="4243" t="s">
        <v>8880</v>
      </c>
      <c r="E77" s="4244"/>
      <c r="F77" s="4245"/>
      <c r="G77" s="4246"/>
      <c r="H77" s="4232"/>
      <c r="I77" s="4247" t="e">
        <f>IF(I75+I76&lt;=0,0,I75+I76)</f>
        <v>#DIV/0!</v>
      </c>
      <c r="J77" s="4240"/>
      <c r="K77" s="4242"/>
    </row>
    <row r="78" spans="2:38" ht="15">
      <c r="D78" s="4243" t="s">
        <v>9109</v>
      </c>
      <c r="E78" s="4244"/>
      <c r="F78" s="4244"/>
      <c r="G78" s="4248"/>
      <c r="H78" s="4232"/>
      <c r="I78" s="4207" t="e">
        <f>'Data Entry - SOF'!S136*(I77/'Data Entry - SOF'!S96)</f>
        <v>#DIV/0!</v>
      </c>
      <c r="J78" s="4249"/>
      <c r="K78" s="4242"/>
    </row>
    <row r="79" spans="2:38" ht="15">
      <c r="D79" s="4250" t="s">
        <v>9110</v>
      </c>
      <c r="E79" s="4251"/>
      <c r="F79" s="4251"/>
      <c r="G79" s="4252"/>
      <c r="H79" s="4253"/>
      <c r="I79" s="4254" t="e">
        <f>IF(I77-I78&lt;=0,0,I77-I78)</f>
        <v>#DIV/0!</v>
      </c>
      <c r="J79" s="4249"/>
      <c r="K79" s="4242"/>
    </row>
    <row r="80" spans="2:38" ht="15">
      <c r="D80" s="4150"/>
      <c r="G80" s="4227"/>
      <c r="H80" s="4255"/>
      <c r="I80" s="4198"/>
      <c r="J80" s="4235"/>
      <c r="K80" s="4242"/>
    </row>
    <row r="81" spans="3:13" ht="15">
      <c r="D81" s="4150" t="s">
        <v>8737</v>
      </c>
      <c r="F81" s="4227" t="e">
        <f>ROUND(IF((Assumptions!G119*'Calc Data'!J25*'Calc Data'!J35*100)&lt;'Calc Data'!J42,0,(Assumptions!G119*'Calc Data'!J25*'Calc Data'!J35*100)-'Calc Data'!J42),0)</f>
        <v>#DIV/0!</v>
      </c>
      <c r="G81" s="4227"/>
      <c r="H81" s="4255" t="e">
        <f>ROUND(IF((Assumptions!G155*'Calc Data'!J25*'Calc Data'!J35*100)&lt;'Calc Data'!J42,0,(Assumptions!G155*'Calc Data'!J25*'Calc Data'!J35*100)-'Calc Data'!J42),0)</f>
        <v>#DIV/0!</v>
      </c>
      <c r="I81" s="4256" t="e">
        <f>ROUND(IF((Assumptions!H155*L66*'Calc Data'!N104*100)&lt;'Calc Data'!N105,0,(Assumptions!H155*L66*'Calc Data'!N104*100)-'Calc Data'!N105),0)</f>
        <v>#DIV/0!</v>
      </c>
      <c r="J81" s="4257" t="e">
        <f>ROUND(IF((Assumptions!G119*'Calc Data'!J25*'Calc Data'!J81*100)&lt;'Calc Data'!J88,0,(Assumptions!G119*'Calc Data'!J25*'Calc Data'!J81*100)-'Calc Data'!J88),0)</f>
        <v>#DIV/0!</v>
      </c>
      <c r="K81" s="4258" t="e">
        <f>ROUND(IF((Assumptions!G79*'Calc Data-15K'!F25*'Calc Data-15K'!F81*100)&lt;'Calc Data-15K'!F88,0,(Assumptions!G79*'Calc Data-15K'!F25*'Calc Data-15K'!F81*100)-'Calc Data-15K'!F88),0)</f>
        <v>#DIV/0!</v>
      </c>
    </row>
    <row r="82" spans="3:13" ht="15">
      <c r="D82" s="4150" t="s">
        <v>8837</v>
      </c>
      <c r="F82" s="4259" t="e">
        <f>ROUND(IF((Assumptions!G120*'Calc Data'!J25*'Calc Data'!J38*100)&lt;'Calc Data'!J43,0,(Assumptions!G120*'Calc Data'!J25*'Calc Data'!J38*100)-'Calc Data'!J43),0)</f>
        <v>#DIV/0!</v>
      </c>
      <c r="G82" s="4227"/>
      <c r="H82" s="4260" t="e">
        <f>ROUND(IF((Assumptions!G156*'Calc Data'!J25*'Calc Data'!BD29*100)&lt;'Calc Data'!BD33,0,(Assumptions!G156*'Calc Data'!J25*'Calc Data'!BD29*100)-'Calc Data'!BD33),0)</f>
        <v>#DIV/0!</v>
      </c>
      <c r="I82" s="4261" t="e">
        <f>ROUND(IF((Assumptions!H156*L66*'Calc Data'!N109*100)&lt;'Calc Data'!N110,0,(Assumptions!H156*L66*'Calc Data'!N109*100)-'Calc Data'!N110),0)</f>
        <v>#DIV/0!</v>
      </c>
      <c r="J82" s="4262" t="e">
        <f>ROUND(IF((Assumptions!G120*'Calc Data'!J25*'Calc Data'!BD84*100)&lt;'Calc Data'!BD88,0,(Assumptions!G120*'Calc Data'!J25*'Calc Data'!BD84*100)-'Calc Data'!BD88),0)</f>
        <v>#DIV/0!</v>
      </c>
      <c r="K82" s="4263" t="e">
        <f>ROUND(IF((Assumptions!G80*'Calc Data-15K'!F25*'Calc Data-15K'!AO84*100)&lt;'Calc Data-15K'!AO88,0,(Assumptions!G80*'Calc Data-15K'!F25*'Calc Data-15K'!AO84*100)-'Calc Data-15K'!AO88),0)</f>
        <v>#DIV/0!</v>
      </c>
    </row>
    <row r="83" spans="3:13" ht="15">
      <c r="D83" s="4264" t="s">
        <v>8839</v>
      </c>
      <c r="F83" s="4227" t="e">
        <f>SUM(F72:F82)</f>
        <v>#DIV/0!</v>
      </c>
      <c r="G83" s="4227"/>
      <c r="H83" s="4255" t="e">
        <f>SUM(H72:H82)</f>
        <v>#DIV/0!</v>
      </c>
      <c r="I83" s="4221" t="e">
        <f>I81+I82</f>
        <v>#DIV/0!</v>
      </c>
    </row>
    <row r="84" spans="3:13" ht="15">
      <c r="D84" s="4150"/>
      <c r="F84" s="4227"/>
      <c r="G84" s="4227"/>
      <c r="H84" s="4255"/>
      <c r="I84" s="4221"/>
    </row>
    <row r="85" spans="3:13" ht="15">
      <c r="D85" s="4243" t="s">
        <v>8881</v>
      </c>
      <c r="E85" s="4244"/>
      <c r="F85" s="4265"/>
      <c r="G85" s="4246"/>
      <c r="H85" s="4255"/>
      <c r="I85" s="4256" t="e">
        <f>ROUND(IF((Assumptions!H156*L66*'Calc Data'!N109*100)&lt;'Calc Data'!N110,'Calc Data'!N110-(Assumptions!H156*L66*'Calc Data'!N109*100)),0)</f>
        <v>#DIV/0!</v>
      </c>
    </row>
    <row r="86" spans="3:13" ht="15">
      <c r="D86" s="4243" t="s">
        <v>9109</v>
      </c>
      <c r="E86" s="4244"/>
      <c r="F86" s="4248"/>
      <c r="G86" s="4248"/>
      <c r="H86" s="4255"/>
      <c r="I86" s="4256" t="e">
        <f>'Data Entry - SOF'!S136*(I85/'Data Entry - SOF'!S96)</f>
        <v>#DIV/0!</v>
      </c>
    </row>
    <row r="87" spans="3:13" ht="15">
      <c r="D87" s="4250" t="s">
        <v>9111</v>
      </c>
      <c r="E87" s="4251"/>
      <c r="F87" s="4252"/>
      <c r="G87" s="4252"/>
      <c r="H87" s="4266"/>
      <c r="I87" s="4267" t="e">
        <f>I85-I86</f>
        <v>#DIV/0!</v>
      </c>
    </row>
    <row r="88" spans="3:13" ht="15">
      <c r="D88" s="4150"/>
      <c r="G88" s="4227"/>
      <c r="H88" s="4255"/>
      <c r="I88" s="4198"/>
    </row>
    <row r="89" spans="3:13" ht="15">
      <c r="D89" s="4150" t="s">
        <v>733</v>
      </c>
      <c r="G89" s="4227"/>
      <c r="H89" s="4255"/>
      <c r="I89" s="4198"/>
    </row>
    <row r="90" spans="3:13" ht="15" hidden="1">
      <c r="C90" s="4185" t="s">
        <v>8894</v>
      </c>
      <c r="D90" s="4208" t="s">
        <v>8841</v>
      </c>
      <c r="E90" s="4187"/>
      <c r="F90" s="4187"/>
      <c r="G90" s="4268"/>
      <c r="H90" s="4269"/>
      <c r="I90" s="4207">
        <v>0</v>
      </c>
      <c r="L90" s="4270"/>
      <c r="M90" s="4271"/>
    </row>
    <row r="91" spans="3:13" ht="15" hidden="1">
      <c r="C91" s="4185" t="s">
        <v>8894</v>
      </c>
      <c r="D91" s="4208" t="s">
        <v>8842</v>
      </c>
      <c r="E91" s="4187"/>
      <c r="F91" s="4187"/>
      <c r="G91" s="4268"/>
      <c r="H91" s="4269"/>
      <c r="I91" s="4207" t="e">
        <f>'Option Costs-Transition'!J87</f>
        <v>#DIV/0!</v>
      </c>
      <c r="L91" s="4270"/>
      <c r="M91" s="4271"/>
    </row>
    <row r="92" spans="3:13" ht="15">
      <c r="D92" s="4150" t="s">
        <v>758</v>
      </c>
      <c r="F92" s="4227">
        <f>'Data Entry - SOF'!S121</f>
        <v>0</v>
      </c>
      <c r="G92" s="4227"/>
      <c r="H92" s="4255">
        <f>'Data Entry - SOF'!S121</f>
        <v>0</v>
      </c>
      <c r="I92" s="4221">
        <f>'Data Entry - SOF'!S121</f>
        <v>0</v>
      </c>
      <c r="L92" s="4272"/>
      <c r="M92" s="4271"/>
    </row>
    <row r="93" spans="3:13" ht="15">
      <c r="D93" s="4150" t="s">
        <v>3051</v>
      </c>
      <c r="F93" s="4227">
        <f>'Data Entry - SOF'!S120</f>
        <v>0</v>
      </c>
      <c r="G93" s="4227"/>
      <c r="H93" s="4255">
        <f>'Data Entry - SOF'!S120</f>
        <v>0</v>
      </c>
      <c r="I93" s="4221">
        <f>'Data Entry - SOF'!S120</f>
        <v>0</v>
      </c>
      <c r="L93" s="4272"/>
      <c r="M93" s="4271"/>
    </row>
    <row r="94" spans="3:13" ht="15">
      <c r="D94" s="4150" t="s">
        <v>9259</v>
      </c>
      <c r="F94" s="4227">
        <f>'Data Entry - SOF'!S122</f>
        <v>0</v>
      </c>
      <c r="G94" s="4227"/>
      <c r="H94" s="4255">
        <f>'HH2324-Calcs'!D26</f>
        <v>0</v>
      </c>
      <c r="I94" s="4221"/>
      <c r="L94" s="4272"/>
      <c r="M94" s="4271"/>
    </row>
    <row r="95" spans="3:13" ht="15">
      <c r="D95" s="4150" t="s">
        <v>3053</v>
      </c>
      <c r="F95" s="4227">
        <f>'Data Entry - SOF'!S123</f>
        <v>0</v>
      </c>
      <c r="G95" s="4227"/>
      <c r="H95" s="4255">
        <f>'Data Entry - SOF'!S123</f>
        <v>0</v>
      </c>
      <c r="I95" s="4221">
        <f>'Data Entry - SOF'!S123</f>
        <v>0</v>
      </c>
      <c r="L95" s="4272"/>
      <c r="M95" s="4271"/>
    </row>
    <row r="96" spans="3:13" ht="15" hidden="1">
      <c r="D96" s="4150" t="s">
        <v>3054</v>
      </c>
      <c r="F96" s="4227">
        <f>'Data Entry - SOF'!S124</f>
        <v>0</v>
      </c>
      <c r="G96" s="4227"/>
      <c r="H96" s="4255">
        <f t="shared" ref="H96:H99" si="0">F96</f>
        <v>0</v>
      </c>
      <c r="I96" s="4221">
        <f t="shared" ref="I96:I98" si="1">H96</f>
        <v>0</v>
      </c>
      <c r="L96" s="4272"/>
      <c r="M96" s="4271"/>
    </row>
    <row r="97" spans="1:13" ht="15" hidden="1">
      <c r="D97" s="4150" t="s">
        <v>3055</v>
      </c>
      <c r="F97" s="4227">
        <v>0</v>
      </c>
      <c r="G97" s="4227"/>
      <c r="H97" s="4255">
        <f t="shared" si="0"/>
        <v>0</v>
      </c>
      <c r="I97" s="4221">
        <f t="shared" si="1"/>
        <v>0</v>
      </c>
      <c r="L97" s="4272"/>
      <c r="M97" s="4271"/>
    </row>
    <row r="98" spans="1:13" ht="15" hidden="1">
      <c r="D98" s="4150" t="s">
        <v>2444</v>
      </c>
      <c r="F98" s="4227">
        <v>0</v>
      </c>
      <c r="G98" s="4227"/>
      <c r="H98" s="4255">
        <f t="shared" si="0"/>
        <v>0</v>
      </c>
      <c r="I98" s="4221">
        <f t="shared" si="1"/>
        <v>0</v>
      </c>
      <c r="L98" s="4272"/>
      <c r="M98" s="4271"/>
    </row>
    <row r="99" spans="1:13" ht="15" hidden="1">
      <c r="D99" s="4150" t="s">
        <v>2436</v>
      </c>
      <c r="F99" s="4227">
        <f>(500*'Data Entry - SOF'!S69)+(250*'Data Entry - SOF'!S70)</f>
        <v>0</v>
      </c>
      <c r="G99" s="4227"/>
      <c r="H99" s="4255">
        <f t="shared" si="0"/>
        <v>0</v>
      </c>
      <c r="I99" s="4221">
        <v>0</v>
      </c>
      <c r="L99" s="4272"/>
      <c r="M99" s="4271"/>
    </row>
    <row r="100" spans="1:13" ht="15">
      <c r="D100" s="4150" t="s">
        <v>734</v>
      </c>
      <c r="F100" s="4273" t="e">
        <f>(('Data Entry - SOF'!S112/'Calc Data'!E7)*'Data Entry - SOF'!S110)*-1</f>
        <v>#DIV/0!</v>
      </c>
      <c r="G100" s="4227"/>
      <c r="H100" s="4274" t="e">
        <f>(('Data Entry - SOF'!S112/'Calc Data'!I7)*'Data Entry - SOF'!S110)*-1</f>
        <v>#DIV/0!</v>
      </c>
      <c r="I100" s="4275" t="e">
        <f>(('Data Entry - SOF'!S112/'Calc Data'!I7)*'Data Entry - SOF'!S110)*-1</f>
        <v>#DIV/0!</v>
      </c>
      <c r="L100" s="4272"/>
      <c r="M100" s="4271"/>
    </row>
    <row r="101" spans="1:13" ht="15">
      <c r="D101" s="4150" t="s">
        <v>735</v>
      </c>
      <c r="F101" s="4273" t="e">
        <f>(('Data Entry - SOF'!S112/'Calc Data'!E7)*'Data Entry - SOF'!S111)*-1</f>
        <v>#DIV/0!</v>
      </c>
      <c r="G101" s="4227"/>
      <c r="H101" s="4274" t="e">
        <f>(('Data Entry - SOF'!S112/'Calc Data'!I7)*'Data Entry - SOF'!S111)*-1</f>
        <v>#DIV/0!</v>
      </c>
      <c r="I101" s="4275" t="e">
        <f>(('Data Entry - SOF'!S112/'Calc Data'!I7)*'Data Entry - SOF'!S111)*-1</f>
        <v>#DIV/0!</v>
      </c>
      <c r="L101" s="4272"/>
      <c r="M101" s="4271"/>
    </row>
    <row r="102" spans="1:13" ht="15">
      <c r="D102" s="4150" t="s">
        <v>10218</v>
      </c>
      <c r="F102" s="4276">
        <f>'Data Entry - SOF'!S142</f>
        <v>0</v>
      </c>
      <c r="G102" s="4227"/>
      <c r="H102" s="4260"/>
      <c r="I102" s="4730">
        <f>'Data Entry - SOF'!S142</f>
        <v>0</v>
      </c>
      <c r="L102" s="4272"/>
      <c r="M102" s="4271"/>
    </row>
    <row r="103" spans="1:13" ht="15">
      <c r="D103" s="4277" t="s">
        <v>8840</v>
      </c>
      <c r="F103" s="4227" t="e">
        <f>SUM(F92:F102)</f>
        <v>#DIV/0!</v>
      </c>
      <c r="G103" s="4227"/>
      <c r="H103" s="4255" t="e">
        <f>SUM(H92:H102)</f>
        <v>#DIV/0!</v>
      </c>
      <c r="I103" s="4221" t="e">
        <f>SUM(I92:I102)</f>
        <v>#DIV/0!</v>
      </c>
      <c r="L103" s="4272"/>
      <c r="M103" s="4271"/>
    </row>
    <row r="104" spans="1:13" ht="15">
      <c r="D104" s="4278"/>
      <c r="F104" s="4196"/>
      <c r="G104" s="4227"/>
      <c r="H104" s="4255"/>
      <c r="I104" s="4198"/>
      <c r="L104" s="4272"/>
      <c r="M104" s="4271"/>
    </row>
    <row r="105" spans="1:13" ht="15">
      <c r="D105" s="4150" t="s">
        <v>2396</v>
      </c>
      <c r="F105" s="4227">
        <f>F110*-1</f>
        <v>0</v>
      </c>
      <c r="G105" s="4227"/>
      <c r="H105" s="4255">
        <f>H110*-1</f>
        <v>0</v>
      </c>
      <c r="I105" s="4221">
        <f>I110*-1</f>
        <v>0</v>
      </c>
      <c r="L105" s="4272"/>
      <c r="M105" s="4271"/>
    </row>
    <row r="106" spans="1:13" ht="15">
      <c r="D106" s="4150"/>
      <c r="G106" s="4279"/>
      <c r="H106" s="4255"/>
      <c r="I106" s="4239"/>
      <c r="L106" s="4272"/>
      <c r="M106" s="4271"/>
    </row>
    <row r="107" spans="1:13" ht="15">
      <c r="A107" s="4280"/>
      <c r="B107" s="4281"/>
      <c r="C107" s="4281"/>
      <c r="D107" s="4282"/>
      <c r="E107" s="4281"/>
      <c r="F107" s="4283"/>
      <c r="G107" s="4284"/>
      <c r="H107" s="4285"/>
      <c r="I107" s="4286"/>
      <c r="L107" s="4272"/>
      <c r="M107" s="4271"/>
    </row>
    <row r="108" spans="1:13" ht="15">
      <c r="A108" s="4287"/>
      <c r="B108" s="4288" t="s">
        <v>174</v>
      </c>
      <c r="C108" s="4289"/>
      <c r="D108" s="4290"/>
      <c r="E108" s="4289"/>
      <c r="F108" s="4291"/>
      <c r="G108" s="4279"/>
      <c r="H108" s="4234"/>
      <c r="I108" s="4239"/>
      <c r="L108" s="4272"/>
      <c r="M108" s="4271"/>
    </row>
    <row r="109" spans="1:13" ht="15">
      <c r="A109" s="4287"/>
      <c r="B109" s="4288" t="s">
        <v>1491</v>
      </c>
      <c r="C109" s="4289"/>
      <c r="D109" s="4292" t="s">
        <v>737</v>
      </c>
      <c r="E109" s="4293"/>
      <c r="F109" s="4294" t="e">
        <f>F71+F83+F103+F105</f>
        <v>#DIV/0!</v>
      </c>
      <c r="G109" s="4279"/>
      <c r="H109" s="4295" t="e">
        <f>H71+H83+H103+H105</f>
        <v>#DIV/0!</v>
      </c>
      <c r="I109" s="4207" t="e">
        <f>I71+I83+I103+I105</f>
        <v>#DIV/0!</v>
      </c>
      <c r="L109" s="4272"/>
      <c r="M109" s="4271"/>
    </row>
    <row r="110" spans="1:13" ht="15">
      <c r="A110" s="4287"/>
      <c r="B110" s="4288" t="s">
        <v>1489</v>
      </c>
      <c r="C110" s="4289"/>
      <c r="D110" s="4292" t="s">
        <v>2609</v>
      </c>
      <c r="E110" s="4293"/>
      <c r="F110" s="4294">
        <f>'Calc Data'!E7*Assumptions!G123</f>
        <v>0</v>
      </c>
      <c r="G110" s="4279"/>
      <c r="H110" s="4295">
        <f>'Calc Data'!I7*Assumptions!G159</f>
        <v>0</v>
      </c>
      <c r="I110" s="4296">
        <f>'Calc Data'!I7*Assumptions!H159</f>
        <v>0</v>
      </c>
      <c r="L110" s="4272"/>
      <c r="M110" s="4271"/>
    </row>
    <row r="111" spans="1:13" ht="15" hidden="1">
      <c r="A111" s="4287"/>
      <c r="B111" s="4288" t="s">
        <v>1490</v>
      </c>
      <c r="C111" s="4289"/>
      <c r="D111" s="4292" t="s">
        <v>757</v>
      </c>
      <c r="E111" s="4297"/>
      <c r="F111" s="4298">
        <v>0</v>
      </c>
      <c r="G111" s="4279"/>
      <c r="H111" s="4299">
        <v>0</v>
      </c>
      <c r="I111" s="4239"/>
      <c r="L111" s="4272"/>
      <c r="M111" s="4271"/>
    </row>
    <row r="112" spans="1:13" ht="15">
      <c r="A112" s="4287"/>
      <c r="B112" s="4288" t="s">
        <v>740</v>
      </c>
      <c r="C112" s="4289"/>
      <c r="D112" s="4292" t="s">
        <v>738</v>
      </c>
      <c r="E112" s="4293"/>
      <c r="F112" s="4294">
        <f>'Existing Debt-OldLaw'!K74</f>
        <v>0</v>
      </c>
      <c r="G112" s="4279"/>
      <c r="H112" s="4295">
        <f>'Existing Debt-OldLaw'!S74</f>
        <v>0</v>
      </c>
      <c r="I112" s="4221">
        <f>'Existing Debt-HB3'!S74</f>
        <v>0</v>
      </c>
      <c r="L112" s="4272"/>
      <c r="M112" s="4271"/>
    </row>
    <row r="113" spans="1:16" ht="15.75" thickBot="1">
      <c r="A113" s="4287"/>
      <c r="B113" s="4288" t="s">
        <v>1095</v>
      </c>
      <c r="C113" s="4289"/>
      <c r="D113" s="4292" t="s">
        <v>739</v>
      </c>
      <c r="E113" s="4293"/>
      <c r="F113" s="4300">
        <f>'IFA-OldLaw'!P86+'IFA-OldLaw'!Q75</f>
        <v>0</v>
      </c>
      <c r="G113" s="4279"/>
      <c r="H113" s="4301">
        <f>'IFA-OldLaw'!AF86+'IFA-OldLaw'!AG75</f>
        <v>0</v>
      </c>
      <c r="I113" s="4302">
        <f>'IFA-HB3'!Z86+'IFA-HB3'!AB75</f>
        <v>0</v>
      </c>
      <c r="L113" s="4272"/>
      <c r="M113" s="4271"/>
    </row>
    <row r="114" spans="1:16" ht="15">
      <c r="A114" s="4287"/>
      <c r="B114" s="4289"/>
      <c r="C114" s="4289"/>
      <c r="D114" s="4289"/>
      <c r="E114" s="4289"/>
      <c r="F114" s="4291"/>
      <c r="G114" s="4279"/>
      <c r="H114" s="4303"/>
      <c r="I114" s="4239"/>
      <c r="L114" s="4304"/>
      <c r="M114" s="4305"/>
    </row>
    <row r="115" spans="1:16" ht="12.75" customHeight="1" thickBot="1">
      <c r="A115" s="4287"/>
      <c r="B115" s="4289"/>
      <c r="C115" s="4289"/>
      <c r="D115" s="4292" t="s">
        <v>9067</v>
      </c>
      <c r="E115" s="4289"/>
      <c r="F115" s="4306" t="e">
        <f>SUM(F109:F113)</f>
        <v>#DIV/0!</v>
      </c>
      <c r="G115" s="4279"/>
      <c r="H115" s="4307" t="e">
        <f>SUM(H109:H113)</f>
        <v>#DIV/0!</v>
      </c>
      <c r="I115" s="4308" t="e">
        <f>SUM(I109:I113)</f>
        <v>#DIV/0!</v>
      </c>
      <c r="L115" s="4304"/>
      <c r="M115" s="4305"/>
    </row>
    <row r="116" spans="1:16" ht="16.5" hidden="1" thickTop="1" thickBot="1">
      <c r="A116" s="4287"/>
      <c r="B116" s="4289"/>
      <c r="C116" s="4289"/>
      <c r="D116" s="4309" t="s">
        <v>472</v>
      </c>
      <c r="E116" s="4289"/>
      <c r="F116" s="4289"/>
      <c r="G116" s="4279"/>
      <c r="H116" s="4310" t="e">
        <f>SUM(H109:H113)</f>
        <v>#DIV/0!</v>
      </c>
      <c r="I116" s="4198"/>
      <c r="L116" s="4304"/>
      <c r="M116" s="4305"/>
    </row>
    <row r="117" spans="1:16" ht="15.75" thickTop="1">
      <c r="A117" s="4311"/>
      <c r="B117" s="4312"/>
      <c r="C117" s="4312"/>
      <c r="D117" s="4313"/>
      <c r="E117" s="4312"/>
      <c r="F117" s="4312"/>
      <c r="G117" s="4314"/>
      <c r="H117" s="4315"/>
      <c r="I117" s="4316"/>
    </row>
    <row r="118" spans="1:16" ht="15">
      <c r="B118" s="4150"/>
      <c r="G118" s="4227"/>
      <c r="H118" s="4192"/>
      <c r="I118" s="4198"/>
      <c r="N118" s="4272"/>
      <c r="O118" s="4317"/>
      <c r="P118" s="4318"/>
    </row>
    <row r="119" spans="1:16" ht="15" thickBot="1">
      <c r="G119" s="4289"/>
      <c r="H119" s="4234"/>
      <c r="I119" s="4198"/>
    </row>
    <row r="120" spans="1:16" ht="15.75" thickTop="1">
      <c r="A120" s="4319" t="s">
        <v>2457</v>
      </c>
      <c r="B120" s="4320"/>
      <c r="C120" s="4320"/>
      <c r="D120" s="4320"/>
      <c r="E120" s="4321"/>
      <c r="F120" s="4322"/>
      <c r="G120" s="4321"/>
      <c r="H120" s="4323"/>
      <c r="I120" s="4324"/>
    </row>
    <row r="121" spans="1:16">
      <c r="A121" s="4325"/>
      <c r="B121" s="4289"/>
      <c r="C121" s="4289"/>
      <c r="D121" s="4289"/>
      <c r="E121" s="4289"/>
      <c r="F121" s="4326"/>
      <c r="G121" s="4289"/>
      <c r="H121" s="4234"/>
      <c r="I121" s="4327"/>
    </row>
    <row r="122" spans="1:16" ht="15">
      <c r="A122" s="4328" t="s">
        <v>8798</v>
      </c>
      <c r="B122" s="4289"/>
      <c r="C122" s="4289"/>
      <c r="D122" s="4289"/>
      <c r="E122" s="4289"/>
      <c r="F122" s="4329" t="e">
        <f>IF(F109&lt;0,F110,F109+F110)</f>
        <v>#DIV/0!</v>
      </c>
      <c r="G122" s="4289"/>
      <c r="H122" s="4211" t="e">
        <f>IF(H109&lt;0,H110,H109+H110)</f>
        <v>#DIV/0!</v>
      </c>
      <c r="I122" s="4330" t="e">
        <f>IF(I109&lt;0,I110,I109+I110)</f>
        <v>#DIV/0!</v>
      </c>
    </row>
    <row r="123" spans="1:16" ht="15">
      <c r="A123" s="4331" t="s">
        <v>8799</v>
      </c>
      <c r="B123" s="4289"/>
      <c r="C123" s="4289"/>
      <c r="D123" s="4289"/>
      <c r="E123" s="4289"/>
      <c r="F123" s="4332">
        <f>'Calc Data'!J30-ASATR!I24</f>
        <v>0</v>
      </c>
      <c r="G123" s="4289"/>
      <c r="H123" s="4333">
        <f>'Data Entry - SOF'!S93</f>
        <v>0</v>
      </c>
      <c r="I123" s="4334">
        <f>'Data Entry - SOF'!S96</f>
        <v>0</v>
      </c>
      <c r="N123" s="4272"/>
    </row>
    <row r="124" spans="1:16" ht="15">
      <c r="A124" s="4331" t="s">
        <v>8800</v>
      </c>
      <c r="B124" s="4289"/>
      <c r="C124" s="4289"/>
      <c r="D124" s="4289"/>
      <c r="E124" s="4289"/>
      <c r="F124" s="4332">
        <f>'Calc Data'!J34</f>
        <v>0</v>
      </c>
      <c r="G124" s="4289"/>
      <c r="H124" s="4333" t="e">
        <f>'Option Costs'!BG85+'Option Costs'!BK85</f>
        <v>#DIV/0!</v>
      </c>
      <c r="I124" s="4334" t="e">
        <f>I79+I87</f>
        <v>#DIV/0!</v>
      </c>
      <c r="N124" s="4272"/>
    </row>
    <row r="125" spans="1:16" ht="15">
      <c r="A125" s="4331"/>
      <c r="B125" s="4289"/>
      <c r="C125" s="4289"/>
      <c r="D125" s="4289"/>
      <c r="E125" s="4289"/>
      <c r="F125" s="4335" t="e">
        <f>'Calc Data'!J37-IF('Option Costs'!AE57="N",MAX('Option Costs'!AE54,'Option Costs'!AG54),MIN('Option Costs'!AE54,'Option Costs'!AG54))</f>
        <v>#DIV/0!</v>
      </c>
      <c r="G125" s="4289"/>
      <c r="H125" s="4336"/>
      <c r="I125" s="4334"/>
    </row>
    <row r="126" spans="1:16" ht="15">
      <c r="A126" s="4331" t="s">
        <v>9079</v>
      </c>
      <c r="B126" s="4289"/>
      <c r="C126" s="4289"/>
      <c r="D126" s="4289"/>
      <c r="E126" s="4289"/>
      <c r="F126" s="4337" t="e">
        <f>SUM(F122:F125)</f>
        <v>#DIV/0!</v>
      </c>
      <c r="G126" s="4289"/>
      <c r="H126" s="4338" t="e">
        <f>H122+H123-H124</f>
        <v>#DIV/0!</v>
      </c>
      <c r="I126" s="4339" t="e">
        <f>I122+I123-I124</f>
        <v>#DIV/0!</v>
      </c>
    </row>
    <row r="127" spans="1:16" ht="15">
      <c r="A127" s="4340" t="s">
        <v>8841</v>
      </c>
      <c r="B127" s="4341"/>
      <c r="C127" s="4341"/>
      <c r="D127" s="4341"/>
      <c r="E127" s="4341"/>
      <c r="F127" s="4342" t="e">
        <f>IF(F109&gt;0,0,F109)</f>
        <v>#DIV/0!</v>
      </c>
      <c r="G127" s="4341"/>
      <c r="H127" s="4343" t="s">
        <v>1775</v>
      </c>
      <c r="I127" s="4334" t="e">
        <f>H190</f>
        <v>#DIV/0!</v>
      </c>
    </row>
    <row r="128" spans="1:16" ht="15">
      <c r="A128" s="4340" t="s">
        <v>8842</v>
      </c>
      <c r="B128" s="4341"/>
      <c r="C128" s="4341"/>
      <c r="D128" s="4341"/>
      <c r="E128" s="4341"/>
      <c r="F128" s="4344"/>
      <c r="G128" s="4341"/>
      <c r="H128" s="4343" t="s">
        <v>1775</v>
      </c>
      <c r="I128" s="4334" t="e">
        <f>'Option Costs-Transition'!J134*0.2</f>
        <v>#DIV/0!</v>
      </c>
    </row>
    <row r="129" spans="1:11" ht="15">
      <c r="A129" s="4345"/>
      <c r="B129" s="4244"/>
      <c r="C129" s="4244"/>
      <c r="D129" s="4244"/>
      <c r="E129" s="4244"/>
      <c r="F129" s="4346"/>
      <c r="G129" s="4244"/>
      <c r="H129" s="4343"/>
      <c r="I129" s="4334"/>
    </row>
    <row r="130" spans="1:11" ht="15">
      <c r="A130" s="4347" t="s">
        <v>9078</v>
      </c>
      <c r="B130" s="4348"/>
      <c r="C130" s="4348"/>
      <c r="D130" s="4348"/>
      <c r="E130" s="4348"/>
      <c r="F130" s="4349" t="e">
        <f>F126+F127</f>
        <v>#DIV/0!</v>
      </c>
      <c r="G130" s="4350"/>
      <c r="H130" s="4351" t="e">
        <f>H126</f>
        <v>#DIV/0!</v>
      </c>
      <c r="I130" s="4352" t="e">
        <f>I126+I127+I128</f>
        <v>#DIV/0!</v>
      </c>
    </row>
    <row r="131" spans="1:11" ht="15" thickBot="1">
      <c r="A131" s="4353"/>
      <c r="B131" s="4354"/>
      <c r="C131" s="4354"/>
      <c r="D131" s="4354"/>
      <c r="E131" s="4354"/>
      <c r="F131" s="4354"/>
      <c r="G131" s="4355"/>
      <c r="H131" s="4356"/>
      <c r="I131" s="4357"/>
    </row>
    <row r="132" spans="1:11" ht="15.75" hidden="1" thickTop="1">
      <c r="D132" s="4196" t="s">
        <v>1231</v>
      </c>
      <c r="E132" s="4196"/>
      <c r="F132" s="4196"/>
      <c r="H132" s="4210" t="e">
        <f>H127+H130</f>
        <v>#VALUE!</v>
      </c>
      <c r="I132" s="4198"/>
      <c r="J132" s="4358"/>
      <c r="K132" s="4358"/>
    </row>
    <row r="133" spans="1:11" ht="15.75" hidden="1" thickTop="1">
      <c r="D133" s="4196" t="s">
        <v>470</v>
      </c>
      <c r="E133" s="4196"/>
      <c r="F133" s="4196"/>
      <c r="I133" s="4198"/>
      <c r="J133" s="4359"/>
      <c r="K133" s="4359"/>
    </row>
    <row r="134" spans="1:11" ht="15.75" hidden="1" thickTop="1">
      <c r="D134" s="4196" t="s">
        <v>471</v>
      </c>
      <c r="I134" s="4198"/>
    </row>
    <row r="135" spans="1:11" ht="15.75" hidden="1" thickTop="1">
      <c r="D135" s="4196" t="s">
        <v>1012</v>
      </c>
      <c r="I135" s="4198"/>
    </row>
    <row r="136" spans="1:11" ht="15.75" hidden="1" thickTop="1">
      <c r="D136" s="4196" t="s">
        <v>647</v>
      </c>
      <c r="I136" s="4198"/>
    </row>
    <row r="137" spans="1:11" ht="15.75" hidden="1" thickTop="1">
      <c r="D137" s="4196" t="s">
        <v>648</v>
      </c>
      <c r="I137" s="4198"/>
    </row>
    <row r="138" spans="1:11" ht="15.75" hidden="1" thickTop="1">
      <c r="D138" s="4196"/>
      <c r="I138" s="4198"/>
    </row>
    <row r="139" spans="1:11" ht="15" hidden="1" thickTop="1">
      <c r="I139" s="4198"/>
    </row>
    <row r="140" spans="1:11" ht="15" hidden="1" thickTop="1">
      <c r="I140" s="4198"/>
    </row>
    <row r="141" spans="1:11" ht="15" hidden="1" thickTop="1">
      <c r="I141" s="4198"/>
    </row>
    <row r="142" spans="1:11" ht="15.75" hidden="1" thickTop="1">
      <c r="A142" s="4150" t="s">
        <v>1667</v>
      </c>
      <c r="G142" s="4166"/>
      <c r="I142" s="4198"/>
    </row>
    <row r="143" spans="1:11" ht="15.75" hidden="1" thickTop="1">
      <c r="G143" s="4166"/>
      <c r="I143" s="4198"/>
    </row>
    <row r="144" spans="1:11" ht="15.75" hidden="1" thickTop="1">
      <c r="A144" s="4150" t="s">
        <v>1492</v>
      </c>
      <c r="G144" s="4166"/>
      <c r="H144" s="4166"/>
      <c r="I144" s="4198"/>
      <c r="J144" s="4166"/>
      <c r="K144" s="4166"/>
    </row>
    <row r="145" spans="1:11" ht="15.75" hidden="1" thickTop="1">
      <c r="A145" s="4150" t="s">
        <v>1493</v>
      </c>
      <c r="H145" s="4166"/>
      <c r="I145" s="4198"/>
      <c r="J145" s="4166"/>
      <c r="K145" s="4166"/>
    </row>
    <row r="146" spans="1:11" ht="15.75" hidden="1" thickTop="1">
      <c r="A146" s="4150" t="s">
        <v>518</v>
      </c>
      <c r="H146" s="4166"/>
      <c r="I146" s="4198"/>
      <c r="J146" s="4166"/>
      <c r="K146" s="4166"/>
    </row>
    <row r="147" spans="1:11" ht="15.75" hidden="1" thickTop="1">
      <c r="A147" s="4150" t="s">
        <v>519</v>
      </c>
      <c r="I147" s="4198"/>
    </row>
    <row r="148" spans="1:11" ht="15.75" hidden="1" thickTop="1">
      <c r="A148" s="4150" t="s">
        <v>1009</v>
      </c>
      <c r="I148" s="4198"/>
    </row>
    <row r="149" spans="1:11" ht="15.75" hidden="1" thickTop="1">
      <c r="A149" s="4150" t="s">
        <v>1010</v>
      </c>
      <c r="I149" s="4198"/>
    </row>
    <row r="150" spans="1:11" ht="15.75" hidden="1" thickTop="1">
      <c r="A150" s="4179" t="s">
        <v>1789</v>
      </c>
      <c r="I150" s="4198"/>
    </row>
    <row r="151" spans="1:11" ht="15" hidden="1" thickTop="1">
      <c r="I151" s="4198"/>
    </row>
    <row r="152" spans="1:11" ht="15.75" hidden="1" thickTop="1">
      <c r="A152" s="4150" t="s">
        <v>62</v>
      </c>
      <c r="I152" s="4198"/>
    </row>
    <row r="153" spans="1:11" ht="15.75" hidden="1" thickTop="1">
      <c r="A153" s="4150" t="s">
        <v>1693</v>
      </c>
      <c r="I153" s="4198"/>
    </row>
    <row r="154" spans="1:11" ht="15.75" hidden="1" thickTop="1">
      <c r="A154" s="4150" t="s">
        <v>1694</v>
      </c>
      <c r="I154" s="4198"/>
    </row>
    <row r="155" spans="1:11" ht="15.75" hidden="1" thickTop="1">
      <c r="A155" s="4150" t="s">
        <v>1820</v>
      </c>
      <c r="I155" s="4198"/>
    </row>
    <row r="156" spans="1:11" ht="15" hidden="1" thickTop="1">
      <c r="I156" s="4198"/>
    </row>
    <row r="157" spans="1:11" ht="15.75" hidden="1" thickTop="1">
      <c r="A157" s="4150" t="s">
        <v>1821</v>
      </c>
      <c r="I157" s="4198"/>
    </row>
    <row r="158" spans="1:11" ht="15.75" hidden="1" thickTop="1">
      <c r="A158" s="4150" t="s">
        <v>1822</v>
      </c>
      <c r="I158" s="4198"/>
    </row>
    <row r="159" spans="1:11" ht="15.75" hidden="1" thickTop="1">
      <c r="A159" s="4150" t="s">
        <v>336</v>
      </c>
      <c r="I159" s="4198"/>
    </row>
    <row r="160" spans="1:11" ht="15.75" hidden="1" thickTop="1">
      <c r="A160" s="4150" t="s">
        <v>1823</v>
      </c>
      <c r="I160" s="4198"/>
    </row>
    <row r="161" spans="1:11" ht="15.75" hidden="1" thickTop="1">
      <c r="A161" s="4150" t="s">
        <v>334</v>
      </c>
      <c r="I161" s="4198"/>
    </row>
    <row r="162" spans="1:11" ht="15" hidden="1" thickTop="1">
      <c r="I162" s="4198"/>
    </row>
    <row r="163" spans="1:11" ht="15.75" hidden="1" thickTop="1">
      <c r="A163" s="4179" t="s">
        <v>335</v>
      </c>
      <c r="I163" s="4198"/>
    </row>
    <row r="164" spans="1:11" ht="15" hidden="1" thickTop="1">
      <c r="I164" s="4198"/>
    </row>
    <row r="165" spans="1:11" ht="15" hidden="1" thickTop="1">
      <c r="I165" s="4198"/>
    </row>
    <row r="166" spans="1:11" ht="15" hidden="1" thickTop="1">
      <c r="I166" s="4198"/>
    </row>
    <row r="167" spans="1:11" ht="15" hidden="1" thickTop="1">
      <c r="E167" s="4151" t="s">
        <v>2767</v>
      </c>
      <c r="F167" s="4318">
        <f>SUM(F22:F28)</f>
        <v>0</v>
      </c>
      <c r="H167" s="4318">
        <f>SUM(H22:H28)</f>
        <v>0</v>
      </c>
      <c r="I167" s="4360" t="e">
        <f>SUM(I22:I28)</f>
        <v>#DIV/0!</v>
      </c>
    </row>
    <row r="168" spans="1:11" ht="15" hidden="1" thickTop="1">
      <c r="E168" s="4151" t="s">
        <v>2768</v>
      </c>
      <c r="F168" s="4318">
        <f>F29+F30</f>
        <v>0</v>
      </c>
      <c r="H168" s="4318">
        <f>H29+H30</f>
        <v>0</v>
      </c>
      <c r="I168" s="4361" t="e">
        <f>I29+I30</f>
        <v>#DIV/0!</v>
      </c>
    </row>
    <row r="169" spans="1:11" ht="15" hidden="1" thickTop="1">
      <c r="E169" s="4151" t="s">
        <v>2769</v>
      </c>
      <c r="F169" s="4318">
        <f>F33+F34</f>
        <v>0</v>
      </c>
      <c r="H169" s="4318">
        <f>H33+H34</f>
        <v>0</v>
      </c>
      <c r="I169" s="4361">
        <f>I33+I34</f>
        <v>0</v>
      </c>
      <c r="J169" s="4318"/>
      <c r="K169" s="4318"/>
    </row>
    <row r="170" spans="1:11" ht="15" hidden="1" thickTop="1">
      <c r="E170" s="4151" t="s">
        <v>2770</v>
      </c>
      <c r="F170" s="4318">
        <f>F35+F43</f>
        <v>0</v>
      </c>
      <c r="H170" s="4318">
        <f>H35+H43</f>
        <v>0</v>
      </c>
      <c r="I170" s="4361" t="e">
        <f>SUM(I37:I37)</f>
        <v>#DIV/0!</v>
      </c>
      <c r="J170" s="4318"/>
      <c r="K170" s="4318"/>
    </row>
    <row r="171" spans="1:11" ht="15" hidden="1" thickTop="1">
      <c r="E171" s="4151" t="s">
        <v>2849</v>
      </c>
      <c r="F171" s="4272" t="e">
        <f>Assumptions!G119*'Calc Data'!J25*'Calc Data'!J35*100</f>
        <v>#DIV/0!</v>
      </c>
      <c r="H171" s="4272" t="e">
        <f>Assumptions!G119*'Calc Data'!J25*'Calc Data'!J35*100</f>
        <v>#DIV/0!</v>
      </c>
      <c r="I171" s="4362" t="e">
        <f>Assumptions!H119*L66*'Calc Data'!J104*100</f>
        <v>#DIV/0!</v>
      </c>
      <c r="J171" s="4318"/>
      <c r="K171" s="4318"/>
    </row>
    <row r="172" spans="1:11" ht="15" hidden="1" thickTop="1">
      <c r="E172" s="4151" t="s">
        <v>2851</v>
      </c>
      <c r="F172" s="4272" t="e">
        <f>Assumptions!G120*'Calc Data'!J25*'Calc Data'!J38*100</f>
        <v>#DIV/0!</v>
      </c>
      <c r="H172" s="4272" t="e">
        <f>Assumptions!G120*'Calc Data'!J25*'Calc Data'!BD29*100</f>
        <v>#DIV/0!</v>
      </c>
      <c r="I172" s="4362" t="e">
        <f>Assumptions!H120*L66*'Calc Data'!J109*100</f>
        <v>#DIV/0!</v>
      </c>
      <c r="J172" s="4318"/>
      <c r="K172" s="4318"/>
    </row>
    <row r="173" spans="1:11" ht="15" hidden="1" thickTop="1">
      <c r="E173" s="4151" t="s">
        <v>8776</v>
      </c>
      <c r="I173" s="4363" t="e">
        <f>I46+I47+I48</f>
        <v>#DIV/0!</v>
      </c>
      <c r="J173" s="4272"/>
      <c r="K173" s="4272"/>
    </row>
    <row r="174" spans="1:11" ht="15" hidden="1" thickTop="1">
      <c r="I174" s="4318"/>
      <c r="J174" s="4272"/>
      <c r="K174" s="4272"/>
    </row>
    <row r="175" spans="1:11" ht="15" thickTop="1"/>
    <row r="177" spans="5:8" ht="15">
      <c r="G177" s="4364" t="s">
        <v>9065</v>
      </c>
    </row>
    <row r="178" spans="5:8" ht="15">
      <c r="E178" s="4196"/>
      <c r="F178" s="4196"/>
      <c r="G178" s="4365" t="s">
        <v>9367</v>
      </c>
      <c r="H178" s="4366" t="e">
        <f>'SOF2122-HB3'!H178</f>
        <v>#DIV/0!</v>
      </c>
    </row>
    <row r="179" spans="5:8" ht="15">
      <c r="E179" s="4196"/>
      <c r="F179" s="4196"/>
      <c r="G179" s="4365" t="s">
        <v>9368</v>
      </c>
      <c r="H179" s="4367" t="e">
        <f>'SOF2122-HB3'!H179</f>
        <v>#DIV/0!</v>
      </c>
    </row>
    <row r="180" spans="5:8" ht="15">
      <c r="E180" s="4196"/>
      <c r="F180" s="4196"/>
      <c r="G180" s="4196"/>
      <c r="H180" s="4368"/>
    </row>
    <row r="181" spans="5:8" ht="15">
      <c r="E181" s="4196"/>
      <c r="F181" s="4196"/>
      <c r="G181" s="4196"/>
      <c r="H181" s="4368"/>
    </row>
    <row r="182" spans="5:8" ht="15">
      <c r="E182" s="4196"/>
      <c r="F182" s="4196"/>
      <c r="G182" s="4365" t="s">
        <v>9360</v>
      </c>
      <c r="H182" s="4367">
        <f>'SOF2122-HB3'!H182</f>
        <v>8896</v>
      </c>
    </row>
    <row r="183" spans="5:8" ht="15">
      <c r="E183" s="4196"/>
      <c r="F183" s="4196"/>
      <c r="G183" s="4365" t="s">
        <v>9361</v>
      </c>
      <c r="H183" s="4367">
        <f>'SOF2122-HB3'!H183</f>
        <v>11386.880000000001</v>
      </c>
    </row>
    <row r="184" spans="5:8" ht="15">
      <c r="E184" s="4196"/>
      <c r="F184" s="4196"/>
      <c r="G184" s="4196"/>
      <c r="H184" s="4368"/>
    </row>
    <row r="185" spans="5:8" ht="15">
      <c r="E185" s="4196"/>
      <c r="F185" s="4196"/>
      <c r="G185" s="4365" t="s">
        <v>9044</v>
      </c>
      <c r="H185" s="4369" t="e">
        <f>MIN(H179,H183)</f>
        <v>#DIV/0!</v>
      </c>
    </row>
    <row r="186" spans="5:8" ht="15">
      <c r="E186" s="4196"/>
      <c r="F186" s="4196"/>
      <c r="G186" s="4365" t="s">
        <v>9211</v>
      </c>
      <c r="H186" s="4370" t="e">
        <f>'SOF2021-HB3'!H186</f>
        <v>#DIV/0!</v>
      </c>
    </row>
    <row r="187" spans="5:8" ht="15">
      <c r="E187" s="4196"/>
      <c r="F187" s="4196"/>
      <c r="G187" s="4365" t="s">
        <v>9340</v>
      </c>
      <c r="H187" s="4371" t="e">
        <f>(I126+I128)/'Data Entry - SOF'!S19</f>
        <v>#DIV/0!</v>
      </c>
    </row>
    <row r="188" spans="5:8" ht="15">
      <c r="G188" s="4372" t="s">
        <v>9042</v>
      </c>
      <c r="H188" s="4378" t="e">
        <f>IF(H187&gt;=H186,0,H186-H187)</f>
        <v>#DIV/0!</v>
      </c>
    </row>
    <row r="189" spans="5:8" ht="15">
      <c r="G189" s="4372" t="s">
        <v>9341</v>
      </c>
      <c r="H189" s="4373">
        <f>'Data Entry - SOF'!S19</f>
        <v>0</v>
      </c>
    </row>
    <row r="190" spans="5:8" ht="15">
      <c r="G190" s="4372" t="s">
        <v>8841</v>
      </c>
      <c r="H190" s="4374" t="e">
        <f>H188*H189</f>
        <v>#DIV/0!</v>
      </c>
    </row>
    <row r="193" spans="7:13" ht="15">
      <c r="G193" s="4372" t="s">
        <v>9253</v>
      </c>
    </row>
    <row r="194" spans="7:13">
      <c r="J194" s="4376"/>
      <c r="K194" s="4376"/>
      <c r="M194" s="4377"/>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40625" customWidth="1"/>
  </cols>
  <sheetData>
    <row r="1" spans="1:2">
      <c r="A1" s="92" t="s">
        <v>197</v>
      </c>
      <c r="B1">
        <v>230</v>
      </c>
    </row>
    <row r="2" spans="1:2">
      <c r="A2" s="92" t="s">
        <v>1954</v>
      </c>
      <c r="B2">
        <v>158</v>
      </c>
    </row>
    <row r="3" spans="1:2">
      <c r="A3" s="92" t="s">
        <v>14</v>
      </c>
      <c r="B3">
        <v>93</v>
      </c>
    </row>
    <row r="4" spans="1:2">
      <c r="A4" s="92" t="s">
        <v>15</v>
      </c>
      <c r="B4">
        <v>84</v>
      </c>
    </row>
    <row r="5" spans="1:2">
      <c r="A5" s="92" t="s">
        <v>16</v>
      </c>
      <c r="B5">
        <v>226</v>
      </c>
    </row>
    <row r="6" spans="1:2">
      <c r="A6" s="92" t="s">
        <v>1098</v>
      </c>
      <c r="B6">
        <v>96</v>
      </c>
    </row>
    <row r="7" spans="1:2">
      <c r="A7" s="92" t="s">
        <v>1099</v>
      </c>
      <c r="B7">
        <v>145</v>
      </c>
    </row>
    <row r="8" spans="1:2">
      <c r="A8" s="92" t="s">
        <v>1841</v>
      </c>
      <c r="B8" s="101">
        <v>1503</v>
      </c>
    </row>
    <row r="9" spans="1:2">
      <c r="A9" s="92" t="s">
        <v>676</v>
      </c>
      <c r="B9">
        <v>76</v>
      </c>
    </row>
    <row r="10" spans="1:2">
      <c r="A10" s="92" t="s">
        <v>1452</v>
      </c>
      <c r="B10">
        <v>160</v>
      </c>
    </row>
    <row r="11" spans="1:2">
      <c r="A11" s="92" t="s">
        <v>1118</v>
      </c>
      <c r="B11">
        <v>197</v>
      </c>
    </row>
    <row r="12" spans="1:2">
      <c r="A12" s="92" t="s">
        <v>337</v>
      </c>
      <c r="B12">
        <v>116</v>
      </c>
    </row>
    <row r="13" spans="1:2">
      <c r="A13" s="92" t="s">
        <v>338</v>
      </c>
      <c r="B13">
        <v>210</v>
      </c>
    </row>
    <row r="14" spans="1:2">
      <c r="A14" s="92" t="s">
        <v>339</v>
      </c>
      <c r="B14">
        <v>94</v>
      </c>
    </row>
    <row r="15" spans="1:2">
      <c r="A15" s="92" t="s">
        <v>2479</v>
      </c>
      <c r="B15">
        <v>443</v>
      </c>
    </row>
    <row r="16" spans="1:2">
      <c r="A16" s="92" t="s">
        <v>2480</v>
      </c>
      <c r="B16">
        <v>447</v>
      </c>
    </row>
    <row r="17" spans="1:2">
      <c r="A17" s="92" t="s">
        <v>2481</v>
      </c>
      <c r="B17">
        <v>245</v>
      </c>
    </row>
    <row r="18" spans="1:2">
      <c r="A18" s="92" t="s">
        <v>2482</v>
      </c>
      <c r="B18">
        <v>170</v>
      </c>
    </row>
    <row r="19" spans="1:2">
      <c r="A19" s="92" t="s">
        <v>1945</v>
      </c>
      <c r="B19">
        <v>59</v>
      </c>
    </row>
    <row r="20" spans="1:2">
      <c r="A20" s="92" t="s">
        <v>2483</v>
      </c>
      <c r="B20">
        <v>824</v>
      </c>
    </row>
    <row r="21" spans="1:2">
      <c r="A21" s="92" t="s">
        <v>708</v>
      </c>
      <c r="B21">
        <v>249</v>
      </c>
    </row>
    <row r="22" spans="1:2">
      <c r="A22" s="92" t="s">
        <v>2484</v>
      </c>
      <c r="B22">
        <v>272</v>
      </c>
    </row>
    <row r="23" spans="1:2">
      <c r="A23" s="92" t="s">
        <v>2090</v>
      </c>
      <c r="B23">
        <v>48</v>
      </c>
    </row>
    <row r="24" spans="1:2">
      <c r="A24" s="92" t="s">
        <v>213</v>
      </c>
      <c r="B24">
        <v>444</v>
      </c>
    </row>
    <row r="25" spans="1:2">
      <c r="A25" s="92" t="s">
        <v>2133</v>
      </c>
      <c r="B25">
        <v>175</v>
      </c>
    </row>
    <row r="26" spans="1:2">
      <c r="A26" s="92" t="s">
        <v>2485</v>
      </c>
      <c r="B26">
        <v>387</v>
      </c>
    </row>
    <row r="27" spans="1:2">
      <c r="A27" s="92" t="s">
        <v>685</v>
      </c>
      <c r="B27">
        <v>207</v>
      </c>
    </row>
    <row r="28" spans="1:2">
      <c r="A28" s="92" t="s">
        <v>686</v>
      </c>
      <c r="B28">
        <v>127</v>
      </c>
    </row>
    <row r="29" spans="1:2">
      <c r="A29" s="92" t="s">
        <v>687</v>
      </c>
      <c r="B29">
        <v>474</v>
      </c>
    </row>
    <row r="30" spans="1:2">
      <c r="A30" s="92" t="s">
        <v>188</v>
      </c>
      <c r="B30">
        <v>306</v>
      </c>
    </row>
    <row r="31" spans="1:2">
      <c r="A31" s="92" t="s">
        <v>1946</v>
      </c>
      <c r="B31">
        <v>322</v>
      </c>
    </row>
    <row r="32" spans="1:2">
      <c r="A32" s="92" t="s">
        <v>1683</v>
      </c>
      <c r="B32">
        <v>434</v>
      </c>
    </row>
    <row r="33" spans="1:2">
      <c r="A33" s="92" t="s">
        <v>773</v>
      </c>
      <c r="B33">
        <v>157</v>
      </c>
    </row>
    <row r="34" spans="1:2">
      <c r="A34" s="92" t="s">
        <v>2366</v>
      </c>
      <c r="B34">
        <v>292</v>
      </c>
    </row>
    <row r="35" spans="1:2">
      <c r="A35" s="92" t="s">
        <v>2134</v>
      </c>
      <c r="B35">
        <v>64</v>
      </c>
    </row>
    <row r="36" spans="1:2">
      <c r="A36" s="92" t="s">
        <v>452</v>
      </c>
      <c r="B36">
        <v>906</v>
      </c>
    </row>
    <row r="37" spans="1:2">
      <c r="A37" s="92" t="s">
        <v>2367</v>
      </c>
      <c r="B37">
        <v>357</v>
      </c>
    </row>
    <row r="38" spans="1:2">
      <c r="A38" s="92" t="s">
        <v>2651</v>
      </c>
      <c r="B38">
        <v>151</v>
      </c>
    </row>
    <row r="39" spans="1:2">
      <c r="A39" s="92" t="s">
        <v>2652</v>
      </c>
      <c r="B39">
        <v>179</v>
      </c>
    </row>
    <row r="40" spans="1:2">
      <c r="A40" s="92" t="s">
        <v>1149</v>
      </c>
      <c r="B40">
        <v>256</v>
      </c>
    </row>
    <row r="41" spans="1:2">
      <c r="A41" s="92" t="s">
        <v>2135</v>
      </c>
      <c r="B41">
        <v>52</v>
      </c>
    </row>
    <row r="42" spans="1:2">
      <c r="A42" s="92" t="s">
        <v>1682</v>
      </c>
      <c r="B42">
        <v>102</v>
      </c>
    </row>
    <row r="43" spans="1:2">
      <c r="A43" s="92" t="s">
        <v>1685</v>
      </c>
      <c r="B43">
        <v>196</v>
      </c>
    </row>
    <row r="44" spans="1:2">
      <c r="A44" s="92" t="s">
        <v>170</v>
      </c>
      <c r="B44">
        <v>83</v>
      </c>
    </row>
    <row r="45" spans="1:2">
      <c r="A45" s="92" t="s">
        <v>53</v>
      </c>
      <c r="B45">
        <v>201</v>
      </c>
    </row>
    <row r="46" spans="1:2">
      <c r="A46" s="92" t="s">
        <v>166</v>
      </c>
      <c r="B46">
        <v>156</v>
      </c>
    </row>
    <row r="47" spans="1:2">
      <c r="A47" s="92" t="s">
        <v>1312</v>
      </c>
      <c r="B47">
        <v>130</v>
      </c>
    </row>
    <row r="48" spans="1:2">
      <c r="A48" s="92" t="s">
        <v>1514</v>
      </c>
      <c r="B48">
        <v>59</v>
      </c>
    </row>
    <row r="49" spans="1:2">
      <c r="A49" s="92" t="s">
        <v>1519</v>
      </c>
      <c r="B49">
        <v>105</v>
      </c>
    </row>
    <row r="50" spans="1:2">
      <c r="A50" s="92" t="s">
        <v>423</v>
      </c>
      <c r="B50">
        <v>12</v>
      </c>
    </row>
    <row r="51" spans="1:2">
      <c r="A51" s="92" t="s">
        <v>1859</v>
      </c>
      <c r="B51">
        <v>22</v>
      </c>
    </row>
    <row r="52" spans="1:2">
      <c r="A52" s="92" t="s">
        <v>771</v>
      </c>
      <c r="B52">
        <v>19</v>
      </c>
    </row>
    <row r="53" spans="1:2">
      <c r="A53" s="92" t="s">
        <v>1314</v>
      </c>
      <c r="B53">
        <v>79</v>
      </c>
    </row>
    <row r="54" spans="1:2">
      <c r="A54" s="92" t="s">
        <v>1506</v>
      </c>
      <c r="B54">
        <v>21</v>
      </c>
    </row>
    <row r="55" spans="1:2">
      <c r="A55" s="92" t="s">
        <v>1152</v>
      </c>
      <c r="B55">
        <v>78</v>
      </c>
    </row>
    <row r="56" spans="1:2">
      <c r="A56" s="92" t="s">
        <v>1407</v>
      </c>
      <c r="B56">
        <v>103</v>
      </c>
    </row>
    <row r="57" spans="1:2">
      <c r="A57" s="92" t="s">
        <v>768</v>
      </c>
      <c r="B57">
        <v>196</v>
      </c>
    </row>
    <row r="58" spans="1:2">
      <c r="A58" s="92" t="s">
        <v>709</v>
      </c>
      <c r="B58">
        <v>107</v>
      </c>
    </row>
    <row r="59" spans="1:2">
      <c r="A59" s="92" t="s">
        <v>1409</v>
      </c>
      <c r="B59">
        <v>341</v>
      </c>
    </row>
    <row r="60" spans="1:2">
      <c r="A60" s="92" t="s">
        <v>46</v>
      </c>
      <c r="B60">
        <v>75</v>
      </c>
    </row>
    <row r="61" spans="1:2">
      <c r="A61" s="92" t="s">
        <v>1507</v>
      </c>
      <c r="B61">
        <v>101</v>
      </c>
    </row>
    <row r="62" spans="1:2">
      <c r="A62" s="92" t="s">
        <v>1210</v>
      </c>
      <c r="B62">
        <v>532</v>
      </c>
    </row>
    <row r="63" spans="1:2">
      <c r="A63" s="92" t="s">
        <v>874</v>
      </c>
      <c r="B63">
        <v>350</v>
      </c>
    </row>
    <row r="64" spans="1:2">
      <c r="A64" s="92" t="s">
        <v>1211</v>
      </c>
      <c r="B64">
        <v>908</v>
      </c>
    </row>
    <row r="65" spans="1:2">
      <c r="A65" s="92" t="s">
        <v>575</v>
      </c>
      <c r="B65">
        <v>218</v>
      </c>
    </row>
    <row r="66" spans="1:2">
      <c r="A66" s="92" t="s">
        <v>1212</v>
      </c>
      <c r="B66">
        <v>150</v>
      </c>
    </row>
    <row r="67" spans="1:2">
      <c r="A67" s="92" t="s">
        <v>1113</v>
      </c>
      <c r="B67">
        <v>61</v>
      </c>
    </row>
    <row r="68" spans="1:2">
      <c r="A68" s="92" t="s">
        <v>1114</v>
      </c>
      <c r="B68">
        <v>174</v>
      </c>
    </row>
    <row r="69" spans="1:2">
      <c r="A69" s="92" t="s">
        <v>1901</v>
      </c>
      <c r="B69">
        <v>102</v>
      </c>
    </row>
    <row r="70" spans="1:2">
      <c r="A70" s="92" t="s">
        <v>1645</v>
      </c>
      <c r="B70">
        <v>144</v>
      </c>
    </row>
    <row r="71" spans="1:2">
      <c r="A71" s="92" t="s">
        <v>1646</v>
      </c>
      <c r="B71">
        <v>108</v>
      </c>
    </row>
    <row r="72" spans="1:2">
      <c r="A72" s="92" t="s">
        <v>1647</v>
      </c>
      <c r="B72">
        <v>147</v>
      </c>
    </row>
    <row r="73" spans="1:2">
      <c r="A73" s="92" t="s">
        <v>885</v>
      </c>
      <c r="B73">
        <v>279</v>
      </c>
    </row>
    <row r="74" spans="1:2">
      <c r="A74" s="92" t="s">
        <v>710</v>
      </c>
      <c r="B74">
        <v>69</v>
      </c>
    </row>
    <row r="75" spans="1:2">
      <c r="A75" s="92" t="s">
        <v>2136</v>
      </c>
      <c r="B75">
        <v>38</v>
      </c>
    </row>
    <row r="76" spans="1:2">
      <c r="A76" s="92" t="s">
        <v>2638</v>
      </c>
      <c r="B76">
        <v>112</v>
      </c>
    </row>
    <row r="77" spans="1:2">
      <c r="A77" s="92" t="s">
        <v>1096</v>
      </c>
      <c r="B77">
        <v>80</v>
      </c>
    </row>
    <row r="78" spans="1:2">
      <c r="A78" s="92" t="s">
        <v>1097</v>
      </c>
      <c r="B78">
        <v>22</v>
      </c>
    </row>
    <row r="79" spans="1:2">
      <c r="A79" s="92" t="s">
        <v>1124</v>
      </c>
      <c r="B79">
        <v>60</v>
      </c>
    </row>
    <row r="80" spans="1:2">
      <c r="A80" s="92" t="s">
        <v>2137</v>
      </c>
      <c r="B80">
        <v>145</v>
      </c>
    </row>
    <row r="81" spans="1:2">
      <c r="A81" s="92" t="s">
        <v>984</v>
      </c>
      <c r="B81">
        <v>17</v>
      </c>
    </row>
    <row r="82" spans="1:2">
      <c r="A82" s="92" t="s">
        <v>842</v>
      </c>
      <c r="B82">
        <v>9</v>
      </c>
    </row>
    <row r="83" spans="1:2">
      <c r="A83" s="92" t="s">
        <v>1125</v>
      </c>
      <c r="B83">
        <v>64</v>
      </c>
    </row>
    <row r="84" spans="1:2">
      <c r="A84" s="92" t="s">
        <v>1126</v>
      </c>
      <c r="B84">
        <v>19</v>
      </c>
    </row>
    <row r="85" spans="1:2">
      <c r="A85" s="92" t="s">
        <v>843</v>
      </c>
      <c r="B85">
        <v>9</v>
      </c>
    </row>
    <row r="86" spans="1:2">
      <c r="A86" s="92" t="s">
        <v>179</v>
      </c>
      <c r="B86">
        <v>254</v>
      </c>
    </row>
    <row r="87" spans="1:2">
      <c r="A87" s="92" t="s">
        <v>919</v>
      </c>
      <c r="B87">
        <v>437</v>
      </c>
    </row>
    <row r="88" spans="1:2">
      <c r="A88" s="92" t="s">
        <v>711</v>
      </c>
      <c r="B88">
        <v>64</v>
      </c>
    </row>
    <row r="89" spans="1:2">
      <c r="A89" s="92" t="s">
        <v>1157</v>
      </c>
      <c r="B89">
        <v>457</v>
      </c>
    </row>
    <row r="90" spans="1:2">
      <c r="A90" s="92" t="s">
        <v>1158</v>
      </c>
      <c r="B90">
        <v>213</v>
      </c>
    </row>
    <row r="91" spans="1:2">
      <c r="A91" s="92" t="s">
        <v>1435</v>
      </c>
      <c r="B91">
        <v>244</v>
      </c>
    </row>
    <row r="92" spans="1:2">
      <c r="A92" s="92" t="s">
        <v>207</v>
      </c>
      <c r="B92">
        <v>45</v>
      </c>
    </row>
    <row r="93" spans="1:2">
      <c r="A93" s="92" t="s">
        <v>1159</v>
      </c>
      <c r="B93">
        <v>61</v>
      </c>
    </row>
    <row r="94" spans="1:2">
      <c r="A94" s="92" t="s">
        <v>578</v>
      </c>
      <c r="B94">
        <v>102</v>
      </c>
    </row>
    <row r="95" spans="1:2">
      <c r="A95" s="92" t="s">
        <v>882</v>
      </c>
      <c r="B95">
        <v>409</v>
      </c>
    </row>
    <row r="96" spans="1:2">
      <c r="A96" s="92" t="s">
        <v>2549</v>
      </c>
      <c r="B96">
        <v>701</v>
      </c>
    </row>
    <row r="97" spans="1:2">
      <c r="A97" s="92" t="s">
        <v>400</v>
      </c>
      <c r="B97" s="101">
        <v>1925</v>
      </c>
    </row>
    <row r="98" spans="1:2">
      <c r="A98" s="92" t="s">
        <v>401</v>
      </c>
      <c r="B98" s="101">
        <v>1988</v>
      </c>
    </row>
    <row r="99" spans="1:2">
      <c r="A99" s="92" t="s">
        <v>402</v>
      </c>
      <c r="B99" s="101">
        <v>1579</v>
      </c>
    </row>
    <row r="100" spans="1:2">
      <c r="A100" s="92" t="s">
        <v>403</v>
      </c>
      <c r="B100">
        <v>553</v>
      </c>
    </row>
    <row r="101" spans="1:2">
      <c r="A101" s="92" t="s">
        <v>669</v>
      </c>
      <c r="B101">
        <v>945</v>
      </c>
    </row>
    <row r="102" spans="1:2">
      <c r="A102" s="92" t="s">
        <v>670</v>
      </c>
      <c r="B102">
        <v>199</v>
      </c>
    </row>
    <row r="103" spans="1:2">
      <c r="A103" s="92" t="s">
        <v>671</v>
      </c>
      <c r="B103">
        <v>141</v>
      </c>
    </row>
    <row r="104" spans="1:2">
      <c r="A104" s="92" t="s">
        <v>876</v>
      </c>
      <c r="B104">
        <v>93</v>
      </c>
    </row>
    <row r="105" spans="1:2">
      <c r="A105" s="92" t="s">
        <v>2528</v>
      </c>
      <c r="B105">
        <v>209</v>
      </c>
    </row>
    <row r="106" spans="1:2">
      <c r="A106" s="92" t="s">
        <v>1187</v>
      </c>
      <c r="B106">
        <v>77</v>
      </c>
    </row>
    <row r="107" spans="1:2">
      <c r="A107" s="92" t="s">
        <v>712</v>
      </c>
      <c r="B107">
        <v>160</v>
      </c>
    </row>
    <row r="108" spans="1:2">
      <c r="A108" s="92" t="s">
        <v>769</v>
      </c>
      <c r="B108">
        <v>79</v>
      </c>
    </row>
    <row r="109" spans="1:2">
      <c r="A109" s="92" t="s">
        <v>672</v>
      </c>
      <c r="B109">
        <v>377</v>
      </c>
    </row>
    <row r="110" spans="1:2">
      <c r="A110" s="92" t="s">
        <v>673</v>
      </c>
      <c r="B110">
        <v>113</v>
      </c>
    </row>
    <row r="111" spans="1:2">
      <c r="A111" s="92" t="s">
        <v>674</v>
      </c>
      <c r="B111">
        <v>189</v>
      </c>
    </row>
    <row r="112" spans="1:2">
      <c r="A112" s="92" t="s">
        <v>1885</v>
      </c>
      <c r="B112">
        <v>703</v>
      </c>
    </row>
    <row r="113" spans="1:2">
      <c r="A113" s="92" t="s">
        <v>348</v>
      </c>
      <c r="B113">
        <v>296</v>
      </c>
    </row>
    <row r="114" spans="1:2">
      <c r="A114" s="92" t="s">
        <v>456</v>
      </c>
      <c r="B114">
        <v>325</v>
      </c>
    </row>
    <row r="115" spans="1:2">
      <c r="A115" s="92" t="s">
        <v>1154</v>
      </c>
      <c r="B115">
        <v>118</v>
      </c>
    </row>
    <row r="116" spans="1:2">
      <c r="A116" s="92" t="s">
        <v>2306</v>
      </c>
      <c r="B116">
        <v>40</v>
      </c>
    </row>
    <row r="117" spans="1:2">
      <c r="A117" s="92" t="s">
        <v>1359</v>
      </c>
      <c r="B117" s="101">
        <v>1286</v>
      </c>
    </row>
    <row r="118" spans="1:2">
      <c r="A118" s="92" t="s">
        <v>2341</v>
      </c>
      <c r="B118">
        <v>347</v>
      </c>
    </row>
    <row r="119" spans="1:2">
      <c r="A119" s="92" t="s">
        <v>713</v>
      </c>
      <c r="B119">
        <v>335</v>
      </c>
    </row>
    <row r="120" spans="1:2">
      <c r="A120" s="92" t="s">
        <v>148</v>
      </c>
      <c r="B120">
        <v>377</v>
      </c>
    </row>
    <row r="121" spans="1:2">
      <c r="A121" s="92" t="s">
        <v>1829</v>
      </c>
      <c r="B121">
        <v>113</v>
      </c>
    </row>
    <row r="122" spans="1:2">
      <c r="A122" s="92" t="s">
        <v>881</v>
      </c>
      <c r="B122">
        <v>109</v>
      </c>
    </row>
    <row r="123" spans="1:2">
      <c r="A123" s="92" t="s">
        <v>1860</v>
      </c>
      <c r="B123">
        <v>82</v>
      </c>
    </row>
    <row r="124" spans="1:2">
      <c r="A124" s="92" t="s">
        <v>57</v>
      </c>
      <c r="B124">
        <v>34</v>
      </c>
    </row>
    <row r="125" spans="1:2">
      <c r="A125" s="92" t="s">
        <v>2283</v>
      </c>
      <c r="B125">
        <v>523</v>
      </c>
    </row>
    <row r="126" spans="1:2">
      <c r="A126" s="92" t="s">
        <v>1679</v>
      </c>
      <c r="B126">
        <v>463</v>
      </c>
    </row>
    <row r="127" spans="1:2">
      <c r="A127" s="92" t="s">
        <v>714</v>
      </c>
      <c r="B127">
        <v>89</v>
      </c>
    </row>
    <row r="128" spans="1:2">
      <c r="A128" s="92" t="s">
        <v>1315</v>
      </c>
      <c r="B128">
        <v>107</v>
      </c>
    </row>
    <row r="129" spans="1:2">
      <c r="A129" s="92" t="s">
        <v>715</v>
      </c>
      <c r="B129">
        <v>29</v>
      </c>
    </row>
    <row r="130" spans="1:2">
      <c r="A130" s="92" t="s">
        <v>492</v>
      </c>
      <c r="B130">
        <v>26</v>
      </c>
    </row>
    <row r="131" spans="1:2">
      <c r="A131" s="92" t="s">
        <v>933</v>
      </c>
      <c r="B131">
        <v>225</v>
      </c>
    </row>
    <row r="132" spans="1:2">
      <c r="A132" s="92" t="s">
        <v>934</v>
      </c>
      <c r="B132">
        <v>242</v>
      </c>
    </row>
    <row r="133" spans="1:2">
      <c r="A133" s="92" t="s">
        <v>776</v>
      </c>
      <c r="B133">
        <v>557</v>
      </c>
    </row>
    <row r="134" spans="1:2">
      <c r="A134" s="92" t="s">
        <v>1806</v>
      </c>
      <c r="B134">
        <v>264</v>
      </c>
    </row>
    <row r="135" spans="1:2">
      <c r="A135" s="92" t="s">
        <v>1725</v>
      </c>
      <c r="B135">
        <v>246</v>
      </c>
    </row>
    <row r="136" spans="1:2">
      <c r="A136" s="92" t="s">
        <v>1726</v>
      </c>
      <c r="B136">
        <v>66</v>
      </c>
    </row>
    <row r="137" spans="1:2">
      <c r="A137" s="92" t="s">
        <v>743</v>
      </c>
      <c r="B137">
        <v>124</v>
      </c>
    </row>
    <row r="138" spans="1:2">
      <c r="A138" s="92" t="s">
        <v>744</v>
      </c>
      <c r="B138">
        <v>278</v>
      </c>
    </row>
    <row r="139" spans="1:2">
      <c r="A139" s="92" t="s">
        <v>1875</v>
      </c>
      <c r="B139">
        <v>37</v>
      </c>
    </row>
    <row r="140" spans="1:2">
      <c r="A140" s="92" t="s">
        <v>745</v>
      </c>
      <c r="B140">
        <v>112</v>
      </c>
    </row>
    <row r="141" spans="1:2">
      <c r="A141" s="92" t="s">
        <v>746</v>
      </c>
      <c r="B141">
        <v>23</v>
      </c>
    </row>
    <row r="142" spans="1:2">
      <c r="A142" s="92" t="s">
        <v>1952</v>
      </c>
      <c r="B142">
        <v>36</v>
      </c>
    </row>
    <row r="143" spans="1:2">
      <c r="A143" s="92" t="s">
        <v>1953</v>
      </c>
      <c r="B143">
        <v>446</v>
      </c>
    </row>
    <row r="144" spans="1:2">
      <c r="A144" s="92" t="s">
        <v>2431</v>
      </c>
      <c r="B144">
        <v>156</v>
      </c>
    </row>
    <row r="145" spans="1:2">
      <c r="A145" s="92" t="s">
        <v>2539</v>
      </c>
      <c r="B145">
        <v>107</v>
      </c>
    </row>
    <row r="146" spans="1:2">
      <c r="A146" s="92" t="s">
        <v>1640</v>
      </c>
      <c r="B146">
        <v>444</v>
      </c>
    </row>
    <row r="147" spans="1:2">
      <c r="A147" s="92" t="s">
        <v>2432</v>
      </c>
      <c r="B147">
        <v>211</v>
      </c>
    </row>
    <row r="148" spans="1:2">
      <c r="A148" s="92" t="s">
        <v>285</v>
      </c>
      <c r="B148">
        <v>159</v>
      </c>
    </row>
    <row r="149" spans="1:2">
      <c r="A149" s="92" t="s">
        <v>1469</v>
      </c>
      <c r="B149">
        <v>198</v>
      </c>
    </row>
    <row r="150" spans="1:2">
      <c r="A150" s="92" t="s">
        <v>43</v>
      </c>
      <c r="B150">
        <v>265</v>
      </c>
    </row>
    <row r="151" spans="1:2">
      <c r="A151" s="92" t="s">
        <v>1311</v>
      </c>
      <c r="B151">
        <v>352</v>
      </c>
    </row>
    <row r="152" spans="1:2">
      <c r="A152" s="92" t="s">
        <v>2542</v>
      </c>
      <c r="B152">
        <v>60</v>
      </c>
    </row>
    <row r="153" spans="1:2">
      <c r="A153" s="92" t="s">
        <v>1470</v>
      </c>
      <c r="B153">
        <v>106</v>
      </c>
    </row>
    <row r="154" spans="1:2">
      <c r="A154" s="92" t="s">
        <v>71</v>
      </c>
      <c r="B154">
        <v>603</v>
      </c>
    </row>
    <row r="155" spans="1:2">
      <c r="A155" s="92" t="s">
        <v>1110</v>
      </c>
      <c r="B155">
        <v>66</v>
      </c>
    </row>
    <row r="156" spans="1:2">
      <c r="A156" s="92" t="s">
        <v>2167</v>
      </c>
      <c r="B156">
        <v>431</v>
      </c>
    </row>
    <row r="157" spans="1:2">
      <c r="A157" s="92" t="s">
        <v>716</v>
      </c>
      <c r="B157">
        <v>143</v>
      </c>
    </row>
    <row r="158" spans="1:2">
      <c r="A158" s="92" t="s">
        <v>2168</v>
      </c>
      <c r="B158">
        <v>154</v>
      </c>
    </row>
    <row r="159" spans="1:2">
      <c r="A159" s="92" t="s">
        <v>1670</v>
      </c>
      <c r="B159">
        <v>271</v>
      </c>
    </row>
    <row r="160" spans="1:2">
      <c r="A160" s="92" t="s">
        <v>1671</v>
      </c>
      <c r="B160">
        <v>229</v>
      </c>
    </row>
    <row r="161" spans="1:2">
      <c r="A161" s="92" t="s">
        <v>795</v>
      </c>
      <c r="B161">
        <v>610</v>
      </c>
    </row>
    <row r="162" spans="1:2">
      <c r="A162" s="92" t="s">
        <v>796</v>
      </c>
      <c r="B162">
        <v>337</v>
      </c>
    </row>
    <row r="163" spans="1:2">
      <c r="A163" s="92" t="s">
        <v>815</v>
      </c>
      <c r="B163">
        <v>470</v>
      </c>
    </row>
    <row r="164" spans="1:2">
      <c r="A164" s="92" t="s">
        <v>577</v>
      </c>
      <c r="B164">
        <v>455</v>
      </c>
    </row>
    <row r="165" spans="1:2">
      <c r="A165" s="92" t="s">
        <v>2368</v>
      </c>
      <c r="B165">
        <v>308</v>
      </c>
    </row>
    <row r="166" spans="1:2">
      <c r="A166" s="92" t="s">
        <v>816</v>
      </c>
      <c r="B166">
        <v>544</v>
      </c>
    </row>
    <row r="167" spans="1:2">
      <c r="A167" s="92" t="s">
        <v>1736</v>
      </c>
      <c r="B167">
        <v>199</v>
      </c>
    </row>
    <row r="168" spans="1:2">
      <c r="A168" s="92" t="s">
        <v>584</v>
      </c>
      <c r="B168">
        <v>23</v>
      </c>
    </row>
    <row r="169" spans="1:2">
      <c r="A169" s="92" t="s">
        <v>1641</v>
      </c>
      <c r="B169">
        <v>64</v>
      </c>
    </row>
    <row r="170" spans="1:2">
      <c r="A170" s="92" t="s">
        <v>2502</v>
      </c>
      <c r="B170">
        <v>93</v>
      </c>
    </row>
    <row r="171" spans="1:2">
      <c r="A171" s="92" t="s">
        <v>1687</v>
      </c>
      <c r="B171">
        <v>89</v>
      </c>
    </row>
    <row r="172" spans="1:2">
      <c r="A172" s="92" t="s">
        <v>1425</v>
      </c>
      <c r="B172">
        <v>73</v>
      </c>
    </row>
    <row r="173" spans="1:2">
      <c r="A173" s="92" t="s">
        <v>2530</v>
      </c>
      <c r="B173">
        <v>115</v>
      </c>
    </row>
    <row r="174" spans="1:2">
      <c r="A174" s="92" t="s">
        <v>649</v>
      </c>
      <c r="B174">
        <v>67</v>
      </c>
    </row>
    <row r="175" spans="1:2">
      <c r="A175" s="92" t="s">
        <v>650</v>
      </c>
      <c r="B175">
        <v>100</v>
      </c>
    </row>
    <row r="176" spans="1:2">
      <c r="A176" s="92" t="s">
        <v>218</v>
      </c>
      <c r="B176">
        <v>62</v>
      </c>
    </row>
    <row r="177" spans="1:2">
      <c r="A177" s="92" t="s">
        <v>1583</v>
      </c>
      <c r="B177">
        <v>52</v>
      </c>
    </row>
    <row r="178" spans="1:2">
      <c r="A178" s="92" t="s">
        <v>1184</v>
      </c>
      <c r="B178">
        <v>42</v>
      </c>
    </row>
    <row r="179" spans="1:2">
      <c r="A179" s="92" t="s">
        <v>878</v>
      </c>
      <c r="B179">
        <v>61</v>
      </c>
    </row>
    <row r="180" spans="1:2">
      <c r="A180" s="92" t="s">
        <v>1438</v>
      </c>
      <c r="B180">
        <v>32</v>
      </c>
    </row>
    <row r="181" spans="1:2">
      <c r="A181" s="92" t="s">
        <v>253</v>
      </c>
      <c r="B181">
        <v>18</v>
      </c>
    </row>
    <row r="182" spans="1:2">
      <c r="A182" s="92" t="s">
        <v>254</v>
      </c>
      <c r="B182">
        <v>525</v>
      </c>
    </row>
    <row r="183" spans="1:2">
      <c r="A183" s="92" t="s">
        <v>588</v>
      </c>
      <c r="B183">
        <v>369</v>
      </c>
    </row>
    <row r="184" spans="1:2">
      <c r="A184" s="92" t="s">
        <v>1436</v>
      </c>
      <c r="B184">
        <v>407</v>
      </c>
    </row>
    <row r="185" spans="1:2">
      <c r="A185" s="92" t="s">
        <v>589</v>
      </c>
      <c r="B185">
        <v>417</v>
      </c>
    </row>
    <row r="186" spans="1:2">
      <c r="A186" s="92" t="s">
        <v>27</v>
      </c>
      <c r="B186">
        <v>172</v>
      </c>
    </row>
    <row r="187" spans="1:2">
      <c r="A187" s="92" t="s">
        <v>28</v>
      </c>
      <c r="B187">
        <v>77</v>
      </c>
    </row>
    <row r="188" spans="1:2">
      <c r="A188" s="92" t="s">
        <v>1265</v>
      </c>
      <c r="B188">
        <v>588</v>
      </c>
    </row>
    <row r="189" spans="1:2">
      <c r="A189" s="92" t="s">
        <v>2315</v>
      </c>
      <c r="B189">
        <v>336</v>
      </c>
    </row>
    <row r="190" spans="1:2">
      <c r="A190" s="92" t="s">
        <v>2409</v>
      </c>
      <c r="B190">
        <v>250</v>
      </c>
    </row>
    <row r="191" spans="1:2">
      <c r="A191" s="92" t="s">
        <v>2342</v>
      </c>
      <c r="B191">
        <v>114</v>
      </c>
    </row>
    <row r="192" spans="1:2">
      <c r="A192" s="92" t="s">
        <v>2316</v>
      </c>
      <c r="B192">
        <v>92</v>
      </c>
    </row>
    <row r="193" spans="1:2">
      <c r="A193" s="92" t="s">
        <v>2317</v>
      </c>
      <c r="B193">
        <v>559</v>
      </c>
    </row>
    <row r="194" spans="1:2">
      <c r="A194" s="92" t="s">
        <v>300</v>
      </c>
      <c r="B194">
        <v>315</v>
      </c>
    </row>
    <row r="195" spans="1:2">
      <c r="A195" s="92" t="s">
        <v>1427</v>
      </c>
      <c r="B195">
        <v>78</v>
      </c>
    </row>
    <row r="196" spans="1:2">
      <c r="A196" s="92" t="s">
        <v>301</v>
      </c>
      <c r="B196">
        <v>189</v>
      </c>
    </row>
    <row r="197" spans="1:2">
      <c r="A197" s="92" t="s">
        <v>2503</v>
      </c>
      <c r="B197">
        <v>84</v>
      </c>
    </row>
    <row r="198" spans="1:2">
      <c r="A198" s="92" t="s">
        <v>302</v>
      </c>
      <c r="B198">
        <v>139</v>
      </c>
    </row>
    <row r="199" spans="1:2">
      <c r="A199" s="92" t="s">
        <v>303</v>
      </c>
      <c r="B199">
        <v>154</v>
      </c>
    </row>
    <row r="200" spans="1:2">
      <c r="A200" s="92" t="s">
        <v>304</v>
      </c>
      <c r="B200">
        <v>40</v>
      </c>
    </row>
    <row r="201" spans="1:2">
      <c r="A201" s="92" t="s">
        <v>1743</v>
      </c>
      <c r="B201">
        <v>20</v>
      </c>
    </row>
    <row r="202" spans="1:2">
      <c r="A202" s="92" t="s">
        <v>1744</v>
      </c>
      <c r="B202">
        <v>74</v>
      </c>
    </row>
    <row r="203" spans="1:2">
      <c r="A203" s="92" t="s">
        <v>1316</v>
      </c>
      <c r="B203">
        <v>262</v>
      </c>
    </row>
    <row r="204" spans="1:2">
      <c r="A204" s="92" t="s">
        <v>1107</v>
      </c>
      <c r="B204">
        <v>475</v>
      </c>
    </row>
    <row r="205" spans="1:2">
      <c r="A205" s="92" t="s">
        <v>2148</v>
      </c>
      <c r="B205">
        <v>76</v>
      </c>
    </row>
    <row r="206" spans="1:2">
      <c r="A206" s="92" t="s">
        <v>1108</v>
      </c>
      <c r="B206">
        <v>181</v>
      </c>
    </row>
    <row r="207" spans="1:2">
      <c r="A207" s="92" t="s">
        <v>2398</v>
      </c>
      <c r="B207">
        <v>57</v>
      </c>
    </row>
    <row r="208" spans="1:2">
      <c r="A208" s="92" t="s">
        <v>1109</v>
      </c>
      <c r="B208">
        <v>798</v>
      </c>
    </row>
    <row r="209" spans="1:2">
      <c r="A209" s="92" t="s">
        <v>681</v>
      </c>
      <c r="B209">
        <v>789</v>
      </c>
    </row>
    <row r="210" spans="1:2">
      <c r="A210" s="92" t="s">
        <v>682</v>
      </c>
      <c r="B210" s="101">
        <v>2804</v>
      </c>
    </row>
    <row r="211" spans="1:2">
      <c r="A211" s="92" t="s">
        <v>683</v>
      </c>
      <c r="B211">
        <v>471</v>
      </c>
    </row>
    <row r="212" spans="1:2">
      <c r="A212" s="92" t="s">
        <v>684</v>
      </c>
      <c r="B212">
        <v>223</v>
      </c>
    </row>
    <row r="213" spans="1:2">
      <c r="A213" s="92" t="s">
        <v>392</v>
      </c>
      <c r="B213">
        <v>303</v>
      </c>
    </row>
    <row r="214" spans="1:2">
      <c r="A214" s="92" t="s">
        <v>2559</v>
      </c>
      <c r="B214" s="101">
        <v>4866</v>
      </c>
    </row>
    <row r="215" spans="1:2">
      <c r="A215" s="92" t="s">
        <v>2560</v>
      </c>
      <c r="B215">
        <v>852</v>
      </c>
    </row>
    <row r="216" spans="1:2">
      <c r="A216" s="92" t="s">
        <v>2561</v>
      </c>
      <c r="B216">
        <v>599</v>
      </c>
    </row>
    <row r="217" spans="1:2">
      <c r="A217" s="92" t="s">
        <v>1642</v>
      </c>
      <c r="B217">
        <v>49</v>
      </c>
    </row>
    <row r="218" spans="1:2">
      <c r="A218" s="92" t="s">
        <v>385</v>
      </c>
      <c r="B218">
        <v>42</v>
      </c>
    </row>
    <row r="219" spans="1:2">
      <c r="A219" s="92" t="s">
        <v>386</v>
      </c>
      <c r="B219">
        <v>319</v>
      </c>
    </row>
    <row r="220" spans="1:2">
      <c r="A220" s="92" t="s">
        <v>387</v>
      </c>
      <c r="B220">
        <v>22</v>
      </c>
    </row>
    <row r="221" spans="1:2">
      <c r="A221" s="92" t="s">
        <v>388</v>
      </c>
      <c r="B221">
        <v>29</v>
      </c>
    </row>
    <row r="222" spans="1:2">
      <c r="A222" s="92" t="s">
        <v>2578</v>
      </c>
      <c r="B222">
        <v>96</v>
      </c>
    </row>
    <row r="223" spans="1:2">
      <c r="A223" s="92" t="s">
        <v>666</v>
      </c>
      <c r="B223">
        <v>53</v>
      </c>
    </row>
    <row r="224" spans="1:2">
      <c r="A224" s="92" t="s">
        <v>533</v>
      </c>
      <c r="B224">
        <v>7</v>
      </c>
    </row>
    <row r="225" spans="1:2">
      <c r="A225" s="92" t="s">
        <v>41</v>
      </c>
      <c r="B225">
        <v>51</v>
      </c>
    </row>
    <row r="226" spans="1:2">
      <c r="A226" s="92" t="s">
        <v>1790</v>
      </c>
      <c r="B226">
        <v>38</v>
      </c>
    </row>
    <row r="227" spans="1:2">
      <c r="A227" s="92" t="s">
        <v>2533</v>
      </c>
      <c r="B227">
        <v>55</v>
      </c>
    </row>
    <row r="228" spans="1:2">
      <c r="A228" s="92" t="s">
        <v>1791</v>
      </c>
      <c r="B228">
        <v>44</v>
      </c>
    </row>
    <row r="229" spans="1:2">
      <c r="A229" s="92" t="s">
        <v>2688</v>
      </c>
      <c r="B229">
        <v>20</v>
      </c>
    </row>
    <row r="230" spans="1:2">
      <c r="A230" s="92" t="s">
        <v>248</v>
      </c>
      <c r="B230">
        <v>70</v>
      </c>
    </row>
    <row r="231" spans="1:2">
      <c r="A231" s="92" t="s">
        <v>249</v>
      </c>
      <c r="B231">
        <v>24</v>
      </c>
    </row>
    <row r="232" spans="1:2">
      <c r="A232" s="92" t="s">
        <v>250</v>
      </c>
      <c r="B232">
        <v>138</v>
      </c>
    </row>
    <row r="233" spans="1:2">
      <c r="A233" s="92" t="s">
        <v>251</v>
      </c>
      <c r="B233">
        <v>571</v>
      </c>
    </row>
    <row r="234" spans="1:2">
      <c r="A234" s="92" t="s">
        <v>252</v>
      </c>
      <c r="B234">
        <v>343</v>
      </c>
    </row>
    <row r="235" spans="1:2">
      <c r="A235" s="92" t="s">
        <v>374</v>
      </c>
      <c r="B235">
        <v>218</v>
      </c>
    </row>
    <row r="236" spans="1:2">
      <c r="A236" s="92" t="s">
        <v>1864</v>
      </c>
      <c r="B236">
        <v>702</v>
      </c>
    </row>
    <row r="237" spans="1:2">
      <c r="A237" s="92" t="s">
        <v>1068</v>
      </c>
      <c r="B237">
        <v>471</v>
      </c>
    </row>
    <row r="238" spans="1:2">
      <c r="A238" s="92" t="s">
        <v>1069</v>
      </c>
      <c r="B238">
        <v>234</v>
      </c>
    </row>
    <row r="239" spans="1:2">
      <c r="A239" s="92" t="s">
        <v>640</v>
      </c>
      <c r="B239">
        <v>99</v>
      </c>
    </row>
    <row r="240" spans="1:2">
      <c r="A240" s="92" t="s">
        <v>1070</v>
      </c>
      <c r="B240">
        <v>162</v>
      </c>
    </row>
    <row r="241" spans="1:2">
      <c r="A241" s="92" t="s">
        <v>1770</v>
      </c>
      <c r="B241">
        <v>130</v>
      </c>
    </row>
    <row r="242" spans="1:2">
      <c r="A242" s="92" t="s">
        <v>212</v>
      </c>
      <c r="B242">
        <v>125</v>
      </c>
    </row>
    <row r="243" spans="1:2">
      <c r="A243" s="92" t="s">
        <v>717</v>
      </c>
      <c r="B243">
        <v>73</v>
      </c>
    </row>
    <row r="244" spans="1:2">
      <c r="A244" s="92" t="s">
        <v>214</v>
      </c>
      <c r="B244">
        <v>57</v>
      </c>
    </row>
    <row r="245" spans="1:2">
      <c r="A245" s="92" t="s">
        <v>1680</v>
      </c>
      <c r="B245">
        <v>47</v>
      </c>
    </row>
    <row r="246" spans="1:2">
      <c r="A246" s="92" t="s">
        <v>490</v>
      </c>
      <c r="B246">
        <v>97</v>
      </c>
    </row>
    <row r="247" spans="1:2">
      <c r="A247" s="92" t="s">
        <v>1838</v>
      </c>
      <c r="B247">
        <v>48</v>
      </c>
    </row>
    <row r="248" spans="1:2">
      <c r="A248" s="92" t="s">
        <v>1410</v>
      </c>
      <c r="B248">
        <v>236</v>
      </c>
    </row>
    <row r="249" spans="1:2">
      <c r="A249" s="92" t="s">
        <v>61</v>
      </c>
      <c r="B249">
        <v>18</v>
      </c>
    </row>
    <row r="250" spans="1:2">
      <c r="A250" s="92" t="s">
        <v>641</v>
      </c>
      <c r="B250">
        <v>39</v>
      </c>
    </row>
    <row r="251" spans="1:2">
      <c r="A251" s="92" t="s">
        <v>2504</v>
      </c>
      <c r="B251">
        <v>269</v>
      </c>
    </row>
    <row r="252" spans="1:2">
      <c r="A252" s="92" t="s">
        <v>1839</v>
      </c>
      <c r="B252">
        <v>109</v>
      </c>
    </row>
    <row r="253" spans="1:2">
      <c r="A253" s="92" t="s">
        <v>1185</v>
      </c>
      <c r="B253">
        <v>261</v>
      </c>
    </row>
    <row r="254" spans="1:2">
      <c r="A254" s="92" t="s">
        <v>1840</v>
      </c>
      <c r="B254">
        <v>208</v>
      </c>
    </row>
    <row r="255" spans="1:2">
      <c r="A255" s="92" t="s">
        <v>698</v>
      </c>
      <c r="B255">
        <v>74</v>
      </c>
    </row>
    <row r="256" spans="1:2">
      <c r="A256" s="92" t="s">
        <v>299</v>
      </c>
      <c r="B256">
        <v>98</v>
      </c>
    </row>
    <row r="257" spans="1:2">
      <c r="A257" s="92" t="s">
        <v>175</v>
      </c>
      <c r="B257">
        <v>533</v>
      </c>
    </row>
    <row r="258" spans="1:2">
      <c r="A258" s="92" t="s">
        <v>176</v>
      </c>
      <c r="B258">
        <v>390</v>
      </c>
    </row>
    <row r="259" spans="1:2">
      <c r="A259" s="92" t="s">
        <v>718</v>
      </c>
      <c r="B259" s="101">
        <v>1310</v>
      </c>
    </row>
    <row r="260" spans="1:2">
      <c r="A260" s="92" t="s">
        <v>2629</v>
      </c>
      <c r="B260">
        <v>879</v>
      </c>
    </row>
    <row r="261" spans="1:2">
      <c r="A261" s="92" t="s">
        <v>1556</v>
      </c>
      <c r="B261">
        <v>304</v>
      </c>
    </row>
    <row r="262" spans="1:2">
      <c r="A262" s="92" t="s">
        <v>2630</v>
      </c>
      <c r="B262">
        <v>130</v>
      </c>
    </row>
    <row r="263" spans="1:2">
      <c r="A263" s="92" t="s">
        <v>2631</v>
      </c>
      <c r="B263">
        <v>753</v>
      </c>
    </row>
    <row r="264" spans="1:2">
      <c r="A264" s="92" t="s">
        <v>719</v>
      </c>
      <c r="B264">
        <v>550</v>
      </c>
    </row>
    <row r="265" spans="1:2">
      <c r="A265" s="92" t="s">
        <v>678</v>
      </c>
      <c r="B265">
        <v>374</v>
      </c>
    </row>
    <row r="266" spans="1:2">
      <c r="A266" s="92" t="s">
        <v>2149</v>
      </c>
      <c r="B266">
        <v>215</v>
      </c>
    </row>
    <row r="267" spans="1:2">
      <c r="A267" s="92" t="s">
        <v>2297</v>
      </c>
      <c r="B267">
        <v>259</v>
      </c>
    </row>
    <row r="268" spans="1:2">
      <c r="A268" s="92" t="s">
        <v>1788</v>
      </c>
      <c r="B268">
        <v>117</v>
      </c>
    </row>
    <row r="269" spans="1:2">
      <c r="A269" s="92" t="s">
        <v>616</v>
      </c>
      <c r="B269">
        <v>187</v>
      </c>
    </row>
    <row r="270" spans="1:2">
      <c r="A270" s="92" t="s">
        <v>918</v>
      </c>
      <c r="B270">
        <v>132</v>
      </c>
    </row>
    <row r="271" spans="1:2">
      <c r="A271" s="92" t="s">
        <v>2132</v>
      </c>
      <c r="B271">
        <v>904</v>
      </c>
    </row>
    <row r="272" spans="1:2">
      <c r="A272" s="92" t="s">
        <v>2581</v>
      </c>
      <c r="B272" s="101">
        <v>1628</v>
      </c>
    </row>
    <row r="273" spans="1:2">
      <c r="A273" s="92" t="s">
        <v>2393</v>
      </c>
      <c r="B273">
        <v>898</v>
      </c>
    </row>
    <row r="274" spans="1:2">
      <c r="A274" s="92" t="s">
        <v>246</v>
      </c>
      <c r="B274">
        <v>46</v>
      </c>
    </row>
    <row r="275" spans="1:2">
      <c r="A275" s="92" t="s">
        <v>1405</v>
      </c>
      <c r="B275">
        <v>266</v>
      </c>
    </row>
    <row r="276" spans="1:2">
      <c r="A276" s="92" t="s">
        <v>1406</v>
      </c>
      <c r="B276">
        <v>79</v>
      </c>
    </row>
    <row r="277" spans="1:2">
      <c r="A277" s="92" t="s">
        <v>720</v>
      </c>
      <c r="B277">
        <v>65</v>
      </c>
    </row>
    <row r="278" spans="1:2">
      <c r="A278" s="92" t="s">
        <v>1401</v>
      </c>
      <c r="B278">
        <v>110</v>
      </c>
    </row>
    <row r="279" spans="1:2">
      <c r="A279" s="92" t="s">
        <v>932</v>
      </c>
      <c r="B279">
        <v>61</v>
      </c>
    </row>
    <row r="280" spans="1:2">
      <c r="A280" s="92" t="s">
        <v>247</v>
      </c>
      <c r="B280">
        <v>55</v>
      </c>
    </row>
    <row r="281" spans="1:2">
      <c r="A281" s="92" t="s">
        <v>2084</v>
      </c>
      <c r="B281">
        <v>35</v>
      </c>
    </row>
    <row r="282" spans="1:2">
      <c r="A282" s="92" t="s">
        <v>343</v>
      </c>
      <c r="B282">
        <v>193</v>
      </c>
    </row>
    <row r="283" spans="1:2">
      <c r="A283" s="92" t="s">
        <v>721</v>
      </c>
      <c r="B283">
        <v>74</v>
      </c>
    </row>
    <row r="284" spans="1:2">
      <c r="A284" s="92" t="s">
        <v>576</v>
      </c>
      <c r="B284">
        <v>384</v>
      </c>
    </row>
    <row r="285" spans="1:2">
      <c r="A285" s="92" t="s">
        <v>2413</v>
      </c>
      <c r="B285">
        <v>207</v>
      </c>
    </row>
    <row r="286" spans="1:2">
      <c r="A286" s="92" t="s">
        <v>775</v>
      </c>
      <c r="B286">
        <v>61</v>
      </c>
    </row>
    <row r="287" spans="1:2">
      <c r="A287" s="92" t="s">
        <v>184</v>
      </c>
      <c r="B287">
        <v>13</v>
      </c>
    </row>
    <row r="288" spans="1:2">
      <c r="A288" s="92" t="s">
        <v>1186</v>
      </c>
      <c r="B288">
        <v>66</v>
      </c>
    </row>
    <row r="289" spans="1:2">
      <c r="A289" s="92" t="s">
        <v>2098</v>
      </c>
      <c r="B289">
        <v>7</v>
      </c>
    </row>
    <row r="290" spans="1:2">
      <c r="A290" s="92" t="s">
        <v>1888</v>
      </c>
      <c r="B290">
        <v>71</v>
      </c>
    </row>
    <row r="291" spans="1:2">
      <c r="A291" s="92" t="s">
        <v>1517</v>
      </c>
      <c r="B291">
        <v>74</v>
      </c>
    </row>
    <row r="292" spans="1:2">
      <c r="A292" s="92" t="s">
        <v>1151</v>
      </c>
      <c r="B292">
        <v>133</v>
      </c>
    </row>
    <row r="293" spans="1:2">
      <c r="A293" s="92" t="s">
        <v>2414</v>
      </c>
      <c r="B293">
        <v>78</v>
      </c>
    </row>
    <row r="294" spans="1:2">
      <c r="A294" s="92" t="s">
        <v>2415</v>
      </c>
      <c r="B294">
        <v>257</v>
      </c>
    </row>
    <row r="295" spans="1:2">
      <c r="A295" s="92" t="s">
        <v>1511</v>
      </c>
      <c r="B295">
        <v>239</v>
      </c>
    </row>
    <row r="296" spans="1:2">
      <c r="A296" s="92" t="s">
        <v>1830</v>
      </c>
      <c r="B296">
        <v>64</v>
      </c>
    </row>
    <row r="297" spans="1:2">
      <c r="A297" s="92" t="s">
        <v>1831</v>
      </c>
      <c r="B297">
        <v>158</v>
      </c>
    </row>
    <row r="298" spans="1:2">
      <c r="A298" s="92" t="s">
        <v>1232</v>
      </c>
      <c r="B298">
        <v>138</v>
      </c>
    </row>
    <row r="299" spans="1:2">
      <c r="A299" s="92" t="s">
        <v>1832</v>
      </c>
      <c r="B299">
        <v>76</v>
      </c>
    </row>
    <row r="300" spans="1:2">
      <c r="A300" s="92" t="s">
        <v>201</v>
      </c>
      <c r="B300">
        <v>87</v>
      </c>
    </row>
    <row r="301" spans="1:2">
      <c r="A301" s="92" t="s">
        <v>1834</v>
      </c>
      <c r="B301">
        <v>319</v>
      </c>
    </row>
    <row r="302" spans="1:2">
      <c r="A302" s="92" t="s">
        <v>1842</v>
      </c>
      <c r="B302">
        <v>20</v>
      </c>
    </row>
    <row r="303" spans="1:2">
      <c r="A303" s="92" t="s">
        <v>202</v>
      </c>
      <c r="B303">
        <v>302</v>
      </c>
    </row>
    <row r="304" spans="1:2">
      <c r="A304" s="92" t="s">
        <v>203</v>
      </c>
      <c r="B304">
        <v>231</v>
      </c>
    </row>
    <row r="305" spans="1:2">
      <c r="A305" s="92" t="s">
        <v>1233</v>
      </c>
      <c r="B305">
        <v>47</v>
      </c>
    </row>
    <row r="306" spans="1:2">
      <c r="A306" s="92" t="s">
        <v>722</v>
      </c>
      <c r="B306">
        <v>29</v>
      </c>
    </row>
    <row r="307" spans="1:2">
      <c r="A307" s="92" t="s">
        <v>204</v>
      </c>
      <c r="B307">
        <v>219</v>
      </c>
    </row>
    <row r="308" spans="1:2">
      <c r="A308" s="92" t="s">
        <v>205</v>
      </c>
      <c r="B308">
        <v>68</v>
      </c>
    </row>
    <row r="309" spans="1:2">
      <c r="A309" s="92" t="s">
        <v>1741</v>
      </c>
      <c r="B309">
        <v>47</v>
      </c>
    </row>
    <row r="310" spans="1:2">
      <c r="A310" s="92" t="s">
        <v>1742</v>
      </c>
      <c r="B310">
        <v>49</v>
      </c>
    </row>
    <row r="311" spans="1:2">
      <c r="A311" s="92" t="s">
        <v>1234</v>
      </c>
      <c r="B311">
        <v>136</v>
      </c>
    </row>
    <row r="312" spans="1:2">
      <c r="A312" s="92" t="s">
        <v>2571</v>
      </c>
      <c r="B312">
        <v>247</v>
      </c>
    </row>
    <row r="313" spans="1:2">
      <c r="A313" s="92" t="s">
        <v>1697</v>
      </c>
      <c r="B313">
        <v>316</v>
      </c>
    </row>
    <row r="314" spans="1:2">
      <c r="A314" s="92" t="s">
        <v>1698</v>
      </c>
      <c r="B314">
        <v>145</v>
      </c>
    </row>
    <row r="315" spans="1:2">
      <c r="A315" s="92" t="s">
        <v>921</v>
      </c>
      <c r="B315">
        <v>89</v>
      </c>
    </row>
    <row r="316" spans="1:2">
      <c r="A316" s="92" t="s">
        <v>65</v>
      </c>
      <c r="B316">
        <v>133</v>
      </c>
    </row>
    <row r="317" spans="1:2">
      <c r="A317" s="92" t="s">
        <v>754</v>
      </c>
      <c r="B317">
        <v>340</v>
      </c>
    </row>
    <row r="318" spans="1:2">
      <c r="A318" s="92" t="s">
        <v>2505</v>
      </c>
      <c r="B318">
        <v>352</v>
      </c>
    </row>
    <row r="319" spans="1:2">
      <c r="A319" s="92" t="s">
        <v>627</v>
      </c>
      <c r="B319">
        <v>648</v>
      </c>
    </row>
    <row r="320" spans="1:2">
      <c r="A320" s="92" t="s">
        <v>628</v>
      </c>
      <c r="B320">
        <v>239</v>
      </c>
    </row>
    <row r="321" spans="1:2">
      <c r="A321" s="92" t="s">
        <v>629</v>
      </c>
      <c r="B321">
        <v>889</v>
      </c>
    </row>
    <row r="322" spans="1:2">
      <c r="A322" s="92" t="s">
        <v>630</v>
      </c>
      <c r="B322">
        <v>348</v>
      </c>
    </row>
    <row r="323" spans="1:2">
      <c r="A323" s="92" t="s">
        <v>2541</v>
      </c>
      <c r="B323">
        <v>203</v>
      </c>
    </row>
    <row r="324" spans="1:2">
      <c r="A324" s="92" t="s">
        <v>1422</v>
      </c>
      <c r="B324">
        <v>171</v>
      </c>
    </row>
    <row r="325" spans="1:2">
      <c r="A325" s="92" t="s">
        <v>631</v>
      </c>
      <c r="B325">
        <v>41</v>
      </c>
    </row>
    <row r="326" spans="1:2">
      <c r="A326" s="92" t="s">
        <v>2318</v>
      </c>
      <c r="B326">
        <v>6</v>
      </c>
    </row>
    <row r="327" spans="1:2">
      <c r="A327" s="92" t="s">
        <v>2013</v>
      </c>
      <c r="B327">
        <v>254</v>
      </c>
    </row>
    <row r="328" spans="1:2">
      <c r="A328" s="92" t="s">
        <v>1303</v>
      </c>
      <c r="B328">
        <v>470</v>
      </c>
    </row>
    <row r="329" spans="1:2">
      <c r="A329" s="92" t="s">
        <v>1919</v>
      </c>
      <c r="B329">
        <v>216</v>
      </c>
    </row>
    <row r="330" spans="1:2">
      <c r="A330" s="92" t="s">
        <v>1924</v>
      </c>
      <c r="B330">
        <v>109</v>
      </c>
    </row>
    <row r="331" spans="1:2">
      <c r="A331" s="92" t="s">
        <v>1925</v>
      </c>
      <c r="B331">
        <v>63</v>
      </c>
    </row>
    <row r="332" spans="1:2">
      <c r="A332" s="92" t="s">
        <v>1235</v>
      </c>
      <c r="B332">
        <v>358</v>
      </c>
    </row>
    <row r="333" spans="1:2">
      <c r="A333" s="92" t="s">
        <v>2506</v>
      </c>
      <c r="B333">
        <v>741</v>
      </c>
    </row>
    <row r="334" spans="1:2">
      <c r="A334" s="92" t="s">
        <v>1926</v>
      </c>
      <c r="B334">
        <v>194</v>
      </c>
    </row>
    <row r="335" spans="1:2">
      <c r="A335" s="92" t="s">
        <v>2110</v>
      </c>
      <c r="B335">
        <v>216</v>
      </c>
    </row>
    <row r="336" spans="1:2">
      <c r="A336" s="92" t="s">
        <v>2175</v>
      </c>
      <c r="B336" s="101">
        <v>1163</v>
      </c>
    </row>
    <row r="337" spans="1:2">
      <c r="A337" s="92" t="s">
        <v>1993</v>
      </c>
      <c r="B337">
        <v>88</v>
      </c>
    </row>
    <row r="338" spans="1:2">
      <c r="A338" s="92" t="s">
        <v>2231</v>
      </c>
      <c r="B338">
        <v>706</v>
      </c>
    </row>
    <row r="339" spans="1:2">
      <c r="A339" s="92" t="s">
        <v>1866</v>
      </c>
      <c r="B339">
        <v>157</v>
      </c>
    </row>
    <row r="340" spans="1:2">
      <c r="A340" s="92" t="s">
        <v>761</v>
      </c>
      <c r="B340">
        <v>34</v>
      </c>
    </row>
    <row r="341" spans="1:2">
      <c r="A341" s="92" t="s">
        <v>762</v>
      </c>
      <c r="B341">
        <v>45</v>
      </c>
    </row>
    <row r="342" spans="1:2">
      <c r="A342" s="92" t="s">
        <v>2458</v>
      </c>
      <c r="B342">
        <v>86</v>
      </c>
    </row>
    <row r="343" spans="1:2">
      <c r="A343" s="92" t="s">
        <v>491</v>
      </c>
      <c r="B343">
        <v>75</v>
      </c>
    </row>
    <row r="344" spans="1:2">
      <c r="A344" s="92" t="s">
        <v>2459</v>
      </c>
      <c r="B344">
        <v>109</v>
      </c>
    </row>
    <row r="345" spans="1:2">
      <c r="A345" s="92" t="s">
        <v>1424</v>
      </c>
      <c r="B345">
        <v>14</v>
      </c>
    </row>
    <row r="346" spans="1:2">
      <c r="A346" s="92" t="s">
        <v>1668</v>
      </c>
      <c r="B346">
        <v>788</v>
      </c>
    </row>
    <row r="347" spans="1:2">
      <c r="A347" s="92" t="s">
        <v>1669</v>
      </c>
      <c r="B347">
        <v>118</v>
      </c>
    </row>
    <row r="348" spans="1:2">
      <c r="A348" s="92" t="s">
        <v>1873</v>
      </c>
      <c r="B348">
        <v>130</v>
      </c>
    </row>
    <row r="349" spans="1:2">
      <c r="A349" s="92" t="s">
        <v>1451</v>
      </c>
      <c r="B349">
        <v>759</v>
      </c>
    </row>
    <row r="350" spans="1:2">
      <c r="A350" s="92" t="s">
        <v>2160</v>
      </c>
      <c r="B350">
        <v>383</v>
      </c>
    </row>
    <row r="351" spans="1:2">
      <c r="A351" s="92" t="s">
        <v>2161</v>
      </c>
      <c r="B351">
        <v>902</v>
      </c>
    </row>
    <row r="352" spans="1:2">
      <c r="A352" s="92" t="s">
        <v>2437</v>
      </c>
      <c r="B352">
        <v>861</v>
      </c>
    </row>
    <row r="353" spans="1:2">
      <c r="A353" s="92" t="s">
        <v>906</v>
      </c>
      <c r="B353">
        <v>528</v>
      </c>
    </row>
    <row r="354" spans="1:2">
      <c r="A354" s="92" t="s">
        <v>2438</v>
      </c>
      <c r="B354">
        <v>373</v>
      </c>
    </row>
    <row r="355" spans="1:2">
      <c r="A355" s="92" t="s">
        <v>2439</v>
      </c>
      <c r="B355">
        <v>175</v>
      </c>
    </row>
    <row r="356" spans="1:2">
      <c r="A356" s="92" t="s">
        <v>1852</v>
      </c>
      <c r="B356">
        <v>146</v>
      </c>
    </row>
    <row r="357" spans="1:2">
      <c r="A357" s="92" t="s">
        <v>1853</v>
      </c>
      <c r="B357">
        <v>360</v>
      </c>
    </row>
    <row r="358" spans="1:2">
      <c r="A358" s="92" t="s">
        <v>2021</v>
      </c>
      <c r="B358">
        <v>449</v>
      </c>
    </row>
    <row r="359" spans="1:2">
      <c r="A359" s="92" t="s">
        <v>2033</v>
      </c>
      <c r="B359">
        <v>129</v>
      </c>
    </row>
    <row r="360" spans="1:2">
      <c r="A360" s="92" t="s">
        <v>1684</v>
      </c>
      <c r="B360">
        <v>55</v>
      </c>
    </row>
    <row r="361" spans="1:2">
      <c r="A361" s="92" t="s">
        <v>981</v>
      </c>
      <c r="B361">
        <v>52</v>
      </c>
    </row>
    <row r="362" spans="1:2">
      <c r="A362" s="92" t="s">
        <v>982</v>
      </c>
      <c r="B362">
        <v>99</v>
      </c>
    </row>
    <row r="363" spans="1:2">
      <c r="A363" s="92" t="s">
        <v>1115</v>
      </c>
      <c r="B363">
        <v>76</v>
      </c>
    </row>
    <row r="364" spans="1:2">
      <c r="A364" s="92" t="s">
        <v>793</v>
      </c>
      <c r="B364">
        <v>77</v>
      </c>
    </row>
    <row r="365" spans="1:2">
      <c r="A365" s="92" t="s">
        <v>794</v>
      </c>
      <c r="B365">
        <v>35</v>
      </c>
    </row>
    <row r="366" spans="1:2">
      <c r="A366" s="92" t="s">
        <v>1236</v>
      </c>
      <c r="B366">
        <v>69</v>
      </c>
    </row>
    <row r="367" spans="1:2">
      <c r="A367" s="92" t="s">
        <v>1237</v>
      </c>
      <c r="B367">
        <v>156</v>
      </c>
    </row>
    <row r="368" spans="1:2">
      <c r="A368" s="92" t="s">
        <v>1463</v>
      </c>
      <c r="B368">
        <v>77</v>
      </c>
    </row>
    <row r="369" spans="1:2">
      <c r="A369" s="92" t="s">
        <v>215</v>
      </c>
      <c r="B369">
        <v>92</v>
      </c>
    </row>
    <row r="370" spans="1:2">
      <c r="A370" s="92" t="s">
        <v>2582</v>
      </c>
      <c r="B370">
        <v>122</v>
      </c>
    </row>
    <row r="371" spans="1:2">
      <c r="A371" s="92" t="s">
        <v>1308</v>
      </c>
      <c r="B371">
        <v>66</v>
      </c>
    </row>
    <row r="372" spans="1:2">
      <c r="A372" s="92" t="s">
        <v>1286</v>
      </c>
      <c r="B372">
        <v>53</v>
      </c>
    </row>
    <row r="373" spans="1:2">
      <c r="A373" s="92" t="s">
        <v>1287</v>
      </c>
      <c r="B373">
        <v>108</v>
      </c>
    </row>
    <row r="374" spans="1:2">
      <c r="A374" s="92" t="s">
        <v>1288</v>
      </c>
      <c r="B374">
        <v>101</v>
      </c>
    </row>
    <row r="375" spans="1:2">
      <c r="A375" s="92" t="s">
        <v>457</v>
      </c>
      <c r="B375">
        <v>106</v>
      </c>
    </row>
    <row r="376" spans="1:2">
      <c r="A376" s="92" t="s">
        <v>2189</v>
      </c>
      <c r="B376">
        <v>29</v>
      </c>
    </row>
    <row r="377" spans="1:2">
      <c r="A377" s="92" t="s">
        <v>2639</v>
      </c>
      <c r="B377">
        <v>42</v>
      </c>
    </row>
    <row r="378" spans="1:2">
      <c r="A378" s="92" t="s">
        <v>1509</v>
      </c>
      <c r="B378">
        <v>9</v>
      </c>
    </row>
    <row r="379" spans="1:2">
      <c r="A379" s="92" t="s">
        <v>2640</v>
      </c>
      <c r="B379">
        <v>16</v>
      </c>
    </row>
    <row r="380" spans="1:2">
      <c r="A380" s="92" t="s">
        <v>2641</v>
      </c>
      <c r="B380">
        <v>265</v>
      </c>
    </row>
    <row r="381" spans="1:2">
      <c r="A381" s="92" t="s">
        <v>2642</v>
      </c>
      <c r="B381">
        <v>135</v>
      </c>
    </row>
    <row r="382" spans="1:2">
      <c r="A382" s="92" t="s">
        <v>2643</v>
      </c>
      <c r="B382">
        <v>362</v>
      </c>
    </row>
    <row r="383" spans="1:2">
      <c r="A383" s="92" t="s">
        <v>2142</v>
      </c>
      <c r="B383">
        <v>126</v>
      </c>
    </row>
    <row r="384" spans="1:2">
      <c r="A384" s="92" t="s">
        <v>495</v>
      </c>
      <c r="B384">
        <v>376</v>
      </c>
    </row>
    <row r="385" spans="1:2">
      <c r="A385" s="92" t="s">
        <v>493</v>
      </c>
      <c r="B385">
        <v>65</v>
      </c>
    </row>
    <row r="386" spans="1:2">
      <c r="A386" s="92" t="s">
        <v>2143</v>
      </c>
      <c r="B386">
        <v>86</v>
      </c>
    </row>
    <row r="387" spans="1:2">
      <c r="A387" s="92" t="s">
        <v>349</v>
      </c>
      <c r="B387">
        <v>84</v>
      </c>
    </row>
    <row r="388" spans="1:2">
      <c r="A388" s="92" t="s">
        <v>2144</v>
      </c>
      <c r="B388">
        <v>183</v>
      </c>
    </row>
    <row r="389" spans="1:2">
      <c r="A389" s="92" t="s">
        <v>2145</v>
      </c>
      <c r="B389">
        <v>132</v>
      </c>
    </row>
    <row r="390" spans="1:2">
      <c r="A390" s="92" t="s">
        <v>505</v>
      </c>
      <c r="B390">
        <v>159</v>
      </c>
    </row>
    <row r="391" spans="1:2">
      <c r="A391" s="92" t="s">
        <v>1955</v>
      </c>
      <c r="B391">
        <v>151</v>
      </c>
    </row>
    <row r="392" spans="1:2">
      <c r="A392" s="92" t="s">
        <v>2072</v>
      </c>
      <c r="B392">
        <v>395</v>
      </c>
    </row>
    <row r="393" spans="1:2">
      <c r="A393" s="92" t="s">
        <v>2073</v>
      </c>
      <c r="B393">
        <v>704</v>
      </c>
    </row>
    <row r="394" spans="1:2">
      <c r="A394" s="92" t="s">
        <v>146</v>
      </c>
      <c r="B394">
        <v>466</v>
      </c>
    </row>
    <row r="395" spans="1:2">
      <c r="A395" s="92" t="s">
        <v>147</v>
      </c>
      <c r="B395">
        <v>513</v>
      </c>
    </row>
    <row r="396" spans="1:2">
      <c r="A396" s="92" t="s">
        <v>2507</v>
      </c>
      <c r="B396">
        <v>199</v>
      </c>
    </row>
    <row r="397" spans="1:2">
      <c r="A397" s="92" t="s">
        <v>2344</v>
      </c>
      <c r="B397">
        <v>522</v>
      </c>
    </row>
    <row r="398" spans="1:2">
      <c r="A398" s="92" t="s">
        <v>1120</v>
      </c>
      <c r="B398">
        <v>367</v>
      </c>
    </row>
    <row r="399" spans="1:2">
      <c r="A399" s="92" t="s">
        <v>1121</v>
      </c>
      <c r="B399">
        <v>479</v>
      </c>
    </row>
    <row r="400" spans="1:2">
      <c r="A400" s="92" t="s">
        <v>2106</v>
      </c>
      <c r="B400">
        <v>261</v>
      </c>
    </row>
    <row r="401" spans="1:2">
      <c r="A401" s="92" t="s">
        <v>2107</v>
      </c>
      <c r="B401">
        <v>557</v>
      </c>
    </row>
    <row r="402" spans="1:2">
      <c r="A402" s="92" t="s">
        <v>1020</v>
      </c>
      <c r="B402">
        <v>254</v>
      </c>
    </row>
    <row r="403" spans="1:2">
      <c r="A403" s="92" t="s">
        <v>1148</v>
      </c>
      <c r="B403">
        <v>169</v>
      </c>
    </row>
    <row r="404" spans="1:2">
      <c r="A404" s="92" t="s">
        <v>381</v>
      </c>
      <c r="B404">
        <v>304</v>
      </c>
    </row>
    <row r="405" spans="1:2">
      <c r="A405" s="92" t="s">
        <v>2285</v>
      </c>
      <c r="B405">
        <v>59</v>
      </c>
    </row>
    <row r="406" spans="1:2">
      <c r="A406" s="92" t="s">
        <v>1179</v>
      </c>
      <c r="B406">
        <v>249</v>
      </c>
    </row>
    <row r="407" spans="1:2">
      <c r="A407" s="92" t="s">
        <v>585</v>
      </c>
      <c r="B407">
        <v>110</v>
      </c>
    </row>
    <row r="408" spans="1:2">
      <c r="A408" s="92" t="s">
        <v>194</v>
      </c>
      <c r="B408">
        <v>39</v>
      </c>
    </row>
    <row r="409" spans="1:2">
      <c r="A409" s="92" t="s">
        <v>2313</v>
      </c>
      <c r="B409">
        <v>19</v>
      </c>
    </row>
    <row r="410" spans="1:2">
      <c r="A410" s="92" t="s">
        <v>2404</v>
      </c>
      <c r="B410">
        <v>82</v>
      </c>
    </row>
    <row r="411" spans="1:2">
      <c r="A411" s="92" t="s">
        <v>2314</v>
      </c>
      <c r="B411">
        <v>193</v>
      </c>
    </row>
    <row r="412" spans="1:2">
      <c r="A412" s="92" t="s">
        <v>2166</v>
      </c>
      <c r="B412">
        <v>41</v>
      </c>
    </row>
    <row r="413" spans="1:2">
      <c r="A413" s="92" t="s">
        <v>1408</v>
      </c>
      <c r="B413">
        <v>32</v>
      </c>
    </row>
    <row r="414" spans="1:2">
      <c r="A414" s="92" t="s">
        <v>1428</v>
      </c>
      <c r="B414">
        <v>33</v>
      </c>
    </row>
    <row r="415" spans="1:2">
      <c r="A415" s="92" t="s">
        <v>2020</v>
      </c>
      <c r="B415">
        <v>138</v>
      </c>
    </row>
    <row r="416" spans="1:2">
      <c r="A416" s="92" t="s">
        <v>2552</v>
      </c>
      <c r="B416">
        <v>298</v>
      </c>
    </row>
    <row r="417" spans="1:2">
      <c r="A417" s="92" t="s">
        <v>1117</v>
      </c>
      <c r="B417">
        <v>94</v>
      </c>
    </row>
    <row r="418" spans="1:2">
      <c r="A418" s="92" t="s">
        <v>48</v>
      </c>
      <c r="B418">
        <v>169</v>
      </c>
    </row>
    <row r="419" spans="1:2">
      <c r="A419" s="92" t="s">
        <v>55</v>
      </c>
      <c r="B419">
        <v>80</v>
      </c>
    </row>
    <row r="420" spans="1:2">
      <c r="A420" s="92" t="s">
        <v>2553</v>
      </c>
      <c r="B420">
        <v>56</v>
      </c>
    </row>
    <row r="421" spans="1:2">
      <c r="A421" s="92" t="s">
        <v>206</v>
      </c>
      <c r="B421">
        <v>60</v>
      </c>
    </row>
    <row r="422" spans="1:2">
      <c r="A422" s="92" t="s">
        <v>668</v>
      </c>
      <c r="B422">
        <v>58</v>
      </c>
    </row>
    <row r="423" spans="1:2">
      <c r="A423" s="92" t="s">
        <v>811</v>
      </c>
      <c r="B423">
        <v>40</v>
      </c>
    </row>
    <row r="424" spans="1:2">
      <c r="A424" s="92" t="s">
        <v>1947</v>
      </c>
      <c r="B424">
        <v>86</v>
      </c>
    </row>
    <row r="425" spans="1:2">
      <c r="A425" s="92" t="s">
        <v>1948</v>
      </c>
      <c r="B425">
        <v>55</v>
      </c>
    </row>
    <row r="426" spans="1:2">
      <c r="A426" s="92" t="s">
        <v>867</v>
      </c>
      <c r="B426">
        <v>52</v>
      </c>
    </row>
    <row r="427" spans="1:2">
      <c r="A427" s="92" t="s">
        <v>1949</v>
      </c>
      <c r="B427">
        <v>137</v>
      </c>
    </row>
    <row r="428" spans="1:2">
      <c r="A428" s="92" t="s">
        <v>1500</v>
      </c>
      <c r="B428">
        <v>349</v>
      </c>
    </row>
    <row r="429" spans="1:2">
      <c r="A429" s="92" t="s">
        <v>1501</v>
      </c>
      <c r="B429">
        <v>62</v>
      </c>
    </row>
    <row r="430" spans="1:2">
      <c r="A430" s="92" t="s">
        <v>1502</v>
      </c>
      <c r="B430">
        <v>181</v>
      </c>
    </row>
    <row r="431" spans="1:2">
      <c r="A431" s="92" t="s">
        <v>1568</v>
      </c>
      <c r="B431">
        <v>102</v>
      </c>
    </row>
    <row r="432" spans="1:2">
      <c r="A432" s="92" t="s">
        <v>1569</v>
      </c>
      <c r="B432">
        <v>142</v>
      </c>
    </row>
    <row r="433" spans="1:2">
      <c r="A433" s="92" t="s">
        <v>497</v>
      </c>
      <c r="B433" s="101">
        <v>1348</v>
      </c>
    </row>
    <row r="434" spans="1:2">
      <c r="A434" s="92" t="s">
        <v>465</v>
      </c>
      <c r="B434">
        <v>374</v>
      </c>
    </row>
    <row r="435" spans="1:2">
      <c r="A435" s="92" t="s">
        <v>466</v>
      </c>
      <c r="B435">
        <v>360</v>
      </c>
    </row>
    <row r="436" spans="1:2">
      <c r="A436" s="92" t="s">
        <v>2508</v>
      </c>
      <c r="B436">
        <v>85</v>
      </c>
    </row>
    <row r="437" spans="1:2">
      <c r="A437" s="92" t="s">
        <v>467</v>
      </c>
      <c r="B437">
        <v>134</v>
      </c>
    </row>
    <row r="438" spans="1:2">
      <c r="A438" s="92" t="s">
        <v>468</v>
      </c>
      <c r="B438">
        <v>235</v>
      </c>
    </row>
    <row r="439" spans="1:2">
      <c r="A439" s="92" t="s">
        <v>1141</v>
      </c>
      <c r="B439">
        <v>190</v>
      </c>
    </row>
    <row r="440" spans="1:2">
      <c r="A440" s="92" t="s">
        <v>1488</v>
      </c>
      <c r="B440">
        <v>194</v>
      </c>
    </row>
    <row r="441" spans="1:2">
      <c r="A441" s="92" t="s">
        <v>1292</v>
      </c>
      <c r="B441">
        <v>141</v>
      </c>
    </row>
    <row r="442" spans="1:2">
      <c r="A442" s="92" t="s">
        <v>1863</v>
      </c>
      <c r="B442">
        <v>212</v>
      </c>
    </row>
    <row r="443" spans="1:2">
      <c r="A443" s="92" t="s">
        <v>1703</v>
      </c>
      <c r="B443">
        <v>731</v>
      </c>
    </row>
    <row r="444" spans="1:2">
      <c r="A444" s="92" t="s">
        <v>1704</v>
      </c>
      <c r="B444">
        <v>236</v>
      </c>
    </row>
    <row r="445" spans="1:2">
      <c r="A445" s="92" t="s">
        <v>2544</v>
      </c>
      <c r="B445">
        <v>199</v>
      </c>
    </row>
    <row r="446" spans="1:2">
      <c r="A446" s="92" t="s">
        <v>2519</v>
      </c>
      <c r="B446">
        <v>109</v>
      </c>
    </row>
    <row r="447" spans="1:2">
      <c r="A447" s="92" t="s">
        <v>2007</v>
      </c>
      <c r="B447">
        <v>81</v>
      </c>
    </row>
    <row r="448" spans="1:2">
      <c r="A448" s="92" t="s">
        <v>63</v>
      </c>
      <c r="B448">
        <v>118</v>
      </c>
    </row>
    <row r="449" spans="1:2">
      <c r="A449" s="92" t="s">
        <v>1518</v>
      </c>
      <c r="B449">
        <v>15</v>
      </c>
    </row>
    <row r="450" spans="1:2">
      <c r="A450" s="92" t="s">
        <v>868</v>
      </c>
      <c r="B450">
        <v>13</v>
      </c>
    </row>
    <row r="451" spans="1:2">
      <c r="A451" s="92" t="s">
        <v>64</v>
      </c>
      <c r="B451">
        <v>146</v>
      </c>
    </row>
    <row r="452" spans="1:2">
      <c r="A452" s="92" t="s">
        <v>2127</v>
      </c>
      <c r="B452">
        <v>91</v>
      </c>
    </row>
    <row r="453" spans="1:2">
      <c r="A453" s="92" t="s">
        <v>770</v>
      </c>
      <c r="B453">
        <v>28</v>
      </c>
    </row>
    <row r="454" spans="1:2">
      <c r="A454" s="92" t="s">
        <v>772</v>
      </c>
      <c r="B454">
        <v>848</v>
      </c>
    </row>
    <row r="455" spans="1:2">
      <c r="A455" s="92" t="s">
        <v>1865</v>
      </c>
      <c r="B455">
        <v>36</v>
      </c>
    </row>
    <row r="456" spans="1:2">
      <c r="A456" s="92" t="s">
        <v>2529</v>
      </c>
      <c r="B456">
        <v>34</v>
      </c>
    </row>
    <row r="457" spans="1:2">
      <c r="A457" s="92" t="s">
        <v>2532</v>
      </c>
      <c r="B457">
        <v>38</v>
      </c>
    </row>
    <row r="458" spans="1:2">
      <c r="A458" s="92" t="s">
        <v>2538</v>
      </c>
      <c r="B458">
        <v>43</v>
      </c>
    </row>
    <row r="459" spans="1:2">
      <c r="A459" s="92" t="s">
        <v>211</v>
      </c>
      <c r="B459">
        <v>57</v>
      </c>
    </row>
    <row r="460" spans="1:2">
      <c r="A460" s="92" t="s">
        <v>1067</v>
      </c>
      <c r="B460">
        <v>24</v>
      </c>
    </row>
    <row r="461" spans="1:2">
      <c r="A461" s="92" t="s">
        <v>1562</v>
      </c>
      <c r="B461">
        <v>27</v>
      </c>
    </row>
    <row r="462" spans="1:2">
      <c r="A462" s="92" t="s">
        <v>58</v>
      </c>
      <c r="B462">
        <v>209</v>
      </c>
    </row>
    <row r="463" spans="1:2">
      <c r="A463" s="92" t="s">
        <v>723</v>
      </c>
      <c r="B463">
        <v>55</v>
      </c>
    </row>
    <row r="464" spans="1:2">
      <c r="A464" s="92" t="s">
        <v>60</v>
      </c>
      <c r="B464">
        <v>29</v>
      </c>
    </row>
    <row r="465" spans="1:2">
      <c r="A465" s="92" t="s">
        <v>512</v>
      </c>
      <c r="B465">
        <v>47</v>
      </c>
    </row>
    <row r="466" spans="1:2">
      <c r="A466" s="92" t="s">
        <v>1522</v>
      </c>
      <c r="B466">
        <v>10</v>
      </c>
    </row>
    <row r="467" spans="1:2">
      <c r="A467" s="92" t="s">
        <v>149</v>
      </c>
      <c r="B467">
        <v>75</v>
      </c>
    </row>
    <row r="468" spans="1:2">
      <c r="A468" s="92" t="s">
        <v>2509</v>
      </c>
      <c r="B468">
        <v>81</v>
      </c>
    </row>
    <row r="469" spans="1:2">
      <c r="A469" s="92" t="s">
        <v>2402</v>
      </c>
      <c r="B469">
        <v>43</v>
      </c>
    </row>
    <row r="470" spans="1:2">
      <c r="A470" s="92" t="s">
        <v>1867</v>
      </c>
      <c r="B470">
        <v>128</v>
      </c>
    </row>
    <row r="471" spans="1:2">
      <c r="A471" s="92" t="s">
        <v>513</v>
      </c>
      <c r="B471">
        <v>64</v>
      </c>
    </row>
    <row r="472" spans="1:2">
      <c r="A472" s="92" t="s">
        <v>42</v>
      </c>
      <c r="B472">
        <v>137</v>
      </c>
    </row>
    <row r="473" spans="1:2">
      <c r="A473" s="92" t="s">
        <v>150</v>
      </c>
      <c r="B473">
        <v>46</v>
      </c>
    </row>
    <row r="474" spans="1:2">
      <c r="A474" s="92" t="s">
        <v>521</v>
      </c>
      <c r="B474">
        <v>48</v>
      </c>
    </row>
    <row r="475" spans="1:2">
      <c r="A475" s="92" t="s">
        <v>1563</v>
      </c>
      <c r="B475">
        <v>118</v>
      </c>
    </row>
    <row r="476" spans="1:2">
      <c r="A476" s="92" t="s">
        <v>522</v>
      </c>
      <c r="B476">
        <v>73</v>
      </c>
    </row>
    <row r="477" spans="1:2">
      <c r="A477" s="92" t="s">
        <v>1540</v>
      </c>
      <c r="B477">
        <v>106</v>
      </c>
    </row>
    <row r="478" spans="1:2">
      <c r="A478" s="92" t="s">
        <v>523</v>
      </c>
      <c r="B478">
        <v>50</v>
      </c>
    </row>
    <row r="479" spans="1:2">
      <c r="A479" s="92" t="s">
        <v>1564</v>
      </c>
      <c r="B479">
        <v>82</v>
      </c>
    </row>
    <row r="480" spans="1:2">
      <c r="A480" s="92" t="s">
        <v>1565</v>
      </c>
      <c r="B480">
        <v>315</v>
      </c>
    </row>
    <row r="481" spans="1:2">
      <c r="A481" s="92" t="s">
        <v>1241</v>
      </c>
      <c r="B481">
        <v>162</v>
      </c>
    </row>
    <row r="482" spans="1:2">
      <c r="A482" s="92" t="s">
        <v>1843</v>
      </c>
      <c r="B482">
        <v>106</v>
      </c>
    </row>
    <row r="483" spans="1:2">
      <c r="A483" s="92" t="s">
        <v>1242</v>
      </c>
      <c r="B483">
        <v>89</v>
      </c>
    </row>
    <row r="484" spans="1:2">
      <c r="A484" s="92" t="s">
        <v>1243</v>
      </c>
      <c r="B484">
        <v>118</v>
      </c>
    </row>
    <row r="485" spans="1:2">
      <c r="A485" s="92" t="s">
        <v>1244</v>
      </c>
      <c r="B485">
        <v>259</v>
      </c>
    </row>
    <row r="486" spans="1:2">
      <c r="A486" s="92" t="s">
        <v>1772</v>
      </c>
      <c r="B486">
        <v>115</v>
      </c>
    </row>
    <row r="487" spans="1:2">
      <c r="A487" s="92" t="s">
        <v>1516</v>
      </c>
      <c r="B487">
        <v>111</v>
      </c>
    </row>
    <row r="488" spans="1:2">
      <c r="A488" s="92" t="s">
        <v>180</v>
      </c>
      <c r="B488">
        <v>255</v>
      </c>
    </row>
    <row r="489" spans="1:2">
      <c r="A489" s="92" t="s">
        <v>1497</v>
      </c>
      <c r="B489">
        <v>70</v>
      </c>
    </row>
    <row r="490" spans="1:2">
      <c r="A490" s="92" t="s">
        <v>181</v>
      </c>
      <c r="B490">
        <v>103</v>
      </c>
    </row>
    <row r="491" spans="1:2">
      <c r="A491" s="92" t="s">
        <v>1943</v>
      </c>
      <c r="B491">
        <v>68</v>
      </c>
    </row>
    <row r="492" spans="1:2">
      <c r="A492" s="92" t="s">
        <v>182</v>
      </c>
      <c r="B492">
        <v>123</v>
      </c>
    </row>
    <row r="493" spans="1:2">
      <c r="A493" s="92" t="s">
        <v>183</v>
      </c>
      <c r="B493">
        <v>61</v>
      </c>
    </row>
    <row r="494" spans="1:2">
      <c r="A494" s="92" t="s">
        <v>1498</v>
      </c>
      <c r="B494">
        <v>120</v>
      </c>
    </row>
    <row r="495" spans="1:2">
      <c r="A495" s="92" t="s">
        <v>1421</v>
      </c>
      <c r="B495">
        <v>200</v>
      </c>
    </row>
    <row r="496" spans="1:2">
      <c r="A496" s="92" t="s">
        <v>1261</v>
      </c>
      <c r="B496">
        <v>222</v>
      </c>
    </row>
    <row r="497" spans="1:2">
      <c r="A497" s="92" t="s">
        <v>978</v>
      </c>
      <c r="B497">
        <v>333</v>
      </c>
    </row>
    <row r="498" spans="1:2">
      <c r="A498" s="92" t="s">
        <v>979</v>
      </c>
      <c r="B498">
        <v>103</v>
      </c>
    </row>
    <row r="499" spans="1:2">
      <c r="A499" s="92" t="s">
        <v>899</v>
      </c>
      <c r="B499">
        <v>354</v>
      </c>
    </row>
    <row r="500" spans="1:2">
      <c r="A500" s="92" t="s">
        <v>1797</v>
      </c>
      <c r="B500">
        <v>244</v>
      </c>
    </row>
    <row r="501" spans="1:2">
      <c r="A501" s="92" t="s">
        <v>2677</v>
      </c>
      <c r="B501">
        <v>304</v>
      </c>
    </row>
    <row r="502" spans="1:2">
      <c r="A502" s="92" t="s">
        <v>2678</v>
      </c>
      <c r="B502">
        <v>211</v>
      </c>
    </row>
    <row r="503" spans="1:2">
      <c r="A503" s="92" t="s">
        <v>1331</v>
      </c>
      <c r="B503" s="101">
        <v>1733</v>
      </c>
    </row>
    <row r="504" spans="1:2">
      <c r="A504" s="92" t="s">
        <v>2177</v>
      </c>
      <c r="B504" s="101">
        <v>1179</v>
      </c>
    </row>
    <row r="505" spans="1:2">
      <c r="A505" s="92" t="s">
        <v>1111</v>
      </c>
      <c r="B505">
        <v>621</v>
      </c>
    </row>
    <row r="506" spans="1:2">
      <c r="A506" s="92" t="s">
        <v>1886</v>
      </c>
      <c r="B506">
        <v>71</v>
      </c>
    </row>
    <row r="507" spans="1:2">
      <c r="A507" s="92" t="s">
        <v>1112</v>
      </c>
      <c r="B507">
        <v>70</v>
      </c>
    </row>
    <row r="508" spans="1:2">
      <c r="A508" s="92" t="s">
        <v>1437</v>
      </c>
      <c r="B508">
        <v>116</v>
      </c>
    </row>
    <row r="509" spans="1:2">
      <c r="A509" s="92" t="s">
        <v>1058</v>
      </c>
      <c r="B509">
        <v>139</v>
      </c>
    </row>
    <row r="510" spans="1:2">
      <c r="A510" s="92" t="s">
        <v>1944</v>
      </c>
      <c r="B510">
        <v>97</v>
      </c>
    </row>
    <row r="511" spans="1:2">
      <c r="A511" s="92" t="s">
        <v>1584</v>
      </c>
      <c r="B511">
        <v>152</v>
      </c>
    </row>
    <row r="512" spans="1:2">
      <c r="A512" s="92" t="s">
        <v>245</v>
      </c>
      <c r="B512">
        <v>86</v>
      </c>
    </row>
    <row r="513" spans="1:2">
      <c r="A513" s="92" t="s">
        <v>1059</v>
      </c>
      <c r="B513">
        <v>46</v>
      </c>
    </row>
    <row r="514" spans="1:2">
      <c r="A514" s="92" t="s">
        <v>875</v>
      </c>
      <c r="B514">
        <v>61</v>
      </c>
    </row>
    <row r="515" spans="1:2">
      <c r="A515" s="92" t="s">
        <v>1844</v>
      </c>
      <c r="B515">
        <v>8</v>
      </c>
    </row>
    <row r="516" spans="1:2">
      <c r="A516" s="92" t="s">
        <v>1060</v>
      </c>
      <c r="B516">
        <v>52</v>
      </c>
    </row>
    <row r="517" spans="1:2">
      <c r="A517" s="92" t="s">
        <v>2140</v>
      </c>
      <c r="B517">
        <v>33</v>
      </c>
    </row>
    <row r="518" spans="1:2">
      <c r="A518" s="92" t="s">
        <v>2141</v>
      </c>
      <c r="B518">
        <v>346</v>
      </c>
    </row>
    <row r="519" spans="1:2">
      <c r="A519" s="92" t="s">
        <v>1259</v>
      </c>
      <c r="B519">
        <v>166</v>
      </c>
    </row>
    <row r="520" spans="1:2">
      <c r="A520" s="92" t="s">
        <v>1260</v>
      </c>
      <c r="B520" s="101">
        <v>1052</v>
      </c>
    </row>
    <row r="521" spans="1:2">
      <c r="A521" s="92" t="s">
        <v>923</v>
      </c>
      <c r="B521">
        <v>185</v>
      </c>
    </row>
    <row r="522" spans="1:2">
      <c r="A522" s="92" t="s">
        <v>924</v>
      </c>
      <c r="B522">
        <v>588</v>
      </c>
    </row>
    <row r="523" spans="1:2">
      <c r="A523" s="92" t="s">
        <v>925</v>
      </c>
      <c r="B523">
        <v>170</v>
      </c>
    </row>
    <row r="524" spans="1:2">
      <c r="A524" s="92" t="s">
        <v>926</v>
      </c>
      <c r="B524">
        <v>381</v>
      </c>
    </row>
    <row r="525" spans="1:2">
      <c r="A525" s="92" t="s">
        <v>2577</v>
      </c>
      <c r="B525">
        <v>154</v>
      </c>
    </row>
    <row r="526" spans="1:2">
      <c r="A526" s="92" t="s">
        <v>502</v>
      </c>
      <c r="B526">
        <v>300</v>
      </c>
    </row>
    <row r="527" spans="1:2">
      <c r="A527" s="92" t="s">
        <v>2646</v>
      </c>
      <c r="B527">
        <v>156</v>
      </c>
    </row>
    <row r="528" spans="1:2">
      <c r="A528" s="92" t="s">
        <v>883</v>
      </c>
      <c r="B528">
        <v>251</v>
      </c>
    </row>
    <row r="529" spans="1:2">
      <c r="A529" s="92" t="s">
        <v>44</v>
      </c>
      <c r="B529">
        <v>400</v>
      </c>
    </row>
    <row r="530" spans="1:2">
      <c r="A530" s="92" t="s">
        <v>54</v>
      </c>
      <c r="B530">
        <v>239</v>
      </c>
    </row>
    <row r="531" spans="1:2">
      <c r="A531" s="92" t="s">
        <v>2647</v>
      </c>
      <c r="B531">
        <v>26</v>
      </c>
    </row>
    <row r="532" spans="1:2">
      <c r="A532" s="92" t="s">
        <v>2648</v>
      </c>
      <c r="B532" s="101">
        <v>1439</v>
      </c>
    </row>
    <row r="533" spans="1:2">
      <c r="A533" s="92" t="s">
        <v>2649</v>
      </c>
      <c r="B533">
        <v>819</v>
      </c>
    </row>
    <row r="534" spans="1:2">
      <c r="A534" s="92" t="s">
        <v>2540</v>
      </c>
      <c r="B534">
        <v>18</v>
      </c>
    </row>
    <row r="535" spans="1:2">
      <c r="A535" s="92" t="s">
        <v>2292</v>
      </c>
      <c r="B535">
        <v>71</v>
      </c>
    </row>
    <row r="536" spans="1:2">
      <c r="A536" s="92" t="s">
        <v>2293</v>
      </c>
      <c r="B536">
        <v>21</v>
      </c>
    </row>
    <row r="537" spans="1:2">
      <c r="A537" s="92" t="s">
        <v>1325</v>
      </c>
      <c r="B537">
        <v>183</v>
      </c>
    </row>
    <row r="538" spans="1:2">
      <c r="A538" s="92" t="s">
        <v>1326</v>
      </c>
      <c r="B538">
        <v>611</v>
      </c>
    </row>
    <row r="539" spans="1:2">
      <c r="A539" s="92" t="s">
        <v>1309</v>
      </c>
      <c r="B539">
        <v>273</v>
      </c>
    </row>
    <row r="540" spans="1:2">
      <c r="A540" s="92" t="s">
        <v>1327</v>
      </c>
      <c r="B540" s="101">
        <v>1137</v>
      </c>
    </row>
    <row r="541" spans="1:2">
      <c r="A541" s="92" t="s">
        <v>2019</v>
      </c>
      <c r="B541">
        <v>306</v>
      </c>
    </row>
    <row r="542" spans="1:2">
      <c r="A542" s="92" t="s">
        <v>2323</v>
      </c>
      <c r="B542">
        <v>139</v>
      </c>
    </row>
    <row r="543" spans="1:2">
      <c r="A543" s="92" t="s">
        <v>1413</v>
      </c>
      <c r="B543">
        <v>180</v>
      </c>
    </row>
    <row r="544" spans="1:2">
      <c r="A544" s="92" t="s">
        <v>216</v>
      </c>
      <c r="B544">
        <v>157</v>
      </c>
    </row>
    <row r="545" spans="1:2">
      <c r="A545" s="92" t="s">
        <v>1328</v>
      </c>
      <c r="B545">
        <v>47</v>
      </c>
    </row>
    <row r="546" spans="1:2">
      <c r="A546" s="92" t="s">
        <v>195</v>
      </c>
      <c r="B546">
        <v>98</v>
      </c>
    </row>
    <row r="547" spans="1:2">
      <c r="A547" s="92" t="s">
        <v>1884</v>
      </c>
      <c r="B547">
        <v>50</v>
      </c>
    </row>
    <row r="548" spans="1:2">
      <c r="A548" s="92" t="s">
        <v>574</v>
      </c>
      <c r="B548">
        <v>195</v>
      </c>
    </row>
    <row r="549" spans="1:2">
      <c r="A549" s="92" t="s">
        <v>1798</v>
      </c>
      <c r="B549">
        <v>79</v>
      </c>
    </row>
    <row r="550" spans="1:2">
      <c r="A550" s="92" t="s">
        <v>45</v>
      </c>
      <c r="B550">
        <v>77</v>
      </c>
    </row>
    <row r="551" spans="1:2">
      <c r="A551" s="92" t="s">
        <v>1329</v>
      </c>
      <c r="B551">
        <v>5</v>
      </c>
    </row>
    <row r="552" spans="1:2">
      <c r="A552" s="92" t="s">
        <v>2324</v>
      </c>
      <c r="B552">
        <v>76</v>
      </c>
    </row>
    <row r="553" spans="1:2">
      <c r="A553" s="92" t="s">
        <v>255</v>
      </c>
      <c r="B553">
        <v>34</v>
      </c>
    </row>
    <row r="554" spans="1:2">
      <c r="A554" s="92" t="s">
        <v>1263</v>
      </c>
      <c r="B554">
        <v>126</v>
      </c>
    </row>
    <row r="555" spans="1:2">
      <c r="A555" s="92" t="s">
        <v>2097</v>
      </c>
      <c r="B555">
        <v>260</v>
      </c>
    </row>
    <row r="556" spans="1:2">
      <c r="A556" s="92" t="s">
        <v>1330</v>
      </c>
      <c r="B556">
        <v>259</v>
      </c>
    </row>
    <row r="557" spans="1:2">
      <c r="A557" s="92" t="s">
        <v>1862</v>
      </c>
      <c r="B557">
        <v>121</v>
      </c>
    </row>
    <row r="558" spans="1:2">
      <c r="A558" s="92" t="s">
        <v>2510</v>
      </c>
      <c r="B558">
        <v>236</v>
      </c>
    </row>
    <row r="559" spans="1:2">
      <c r="A559" s="92" t="s">
        <v>259</v>
      </c>
      <c r="B559">
        <v>144</v>
      </c>
    </row>
    <row r="560" spans="1:2">
      <c r="A560" s="92" t="s">
        <v>47</v>
      </c>
      <c r="B560">
        <v>362</v>
      </c>
    </row>
    <row r="561" spans="1:2">
      <c r="A561" s="92" t="s">
        <v>2511</v>
      </c>
      <c r="B561">
        <v>139</v>
      </c>
    </row>
    <row r="562" spans="1:2">
      <c r="A562" s="92" t="s">
        <v>1153</v>
      </c>
      <c r="B562">
        <v>91</v>
      </c>
    </row>
    <row r="563" spans="1:2">
      <c r="A563" s="92" t="s">
        <v>1686</v>
      </c>
      <c r="B563">
        <v>132</v>
      </c>
    </row>
    <row r="564" spans="1:2">
      <c r="A564" s="92" t="s">
        <v>2403</v>
      </c>
      <c r="B564">
        <v>84</v>
      </c>
    </row>
    <row r="565" spans="1:2">
      <c r="A565" s="92" t="s">
        <v>1339</v>
      </c>
      <c r="B565">
        <v>80</v>
      </c>
    </row>
    <row r="566" spans="1:2">
      <c r="A566" s="92" t="s">
        <v>49</v>
      </c>
      <c r="B566">
        <v>167</v>
      </c>
    </row>
    <row r="567" spans="1:2">
      <c r="A567" s="92" t="s">
        <v>51</v>
      </c>
      <c r="B567">
        <v>171</v>
      </c>
    </row>
    <row r="568" spans="1:2">
      <c r="A568" s="92" t="s">
        <v>2554</v>
      </c>
      <c r="B568">
        <v>87</v>
      </c>
    </row>
    <row r="569" spans="1:2">
      <c r="A569" s="92" t="s">
        <v>2555</v>
      </c>
      <c r="B569">
        <v>175</v>
      </c>
    </row>
    <row r="570" spans="1:2">
      <c r="A570" s="92" t="s">
        <v>494</v>
      </c>
      <c r="B570">
        <v>86</v>
      </c>
    </row>
    <row r="571" spans="1:2">
      <c r="A571" s="92" t="s">
        <v>2556</v>
      </c>
      <c r="B571">
        <v>308</v>
      </c>
    </row>
    <row r="572" spans="1:2">
      <c r="A572" s="92" t="s">
        <v>1539</v>
      </c>
      <c r="B572">
        <v>349</v>
      </c>
    </row>
    <row r="573" spans="1:2">
      <c r="A573" s="92" t="s">
        <v>2689</v>
      </c>
      <c r="B573" s="101">
        <v>2267</v>
      </c>
    </row>
    <row r="574" spans="1:2">
      <c r="A574" s="92" t="s">
        <v>2320</v>
      </c>
      <c r="B574">
        <v>784</v>
      </c>
    </row>
    <row r="575" spans="1:2">
      <c r="A575" s="92" t="s">
        <v>1541</v>
      </c>
      <c r="B575">
        <v>85</v>
      </c>
    </row>
    <row r="576" spans="1:2">
      <c r="A576" s="92" t="s">
        <v>2545</v>
      </c>
      <c r="B576">
        <v>201</v>
      </c>
    </row>
    <row r="577" spans="1:2">
      <c r="A577" s="92" t="s">
        <v>2546</v>
      </c>
      <c r="B577">
        <v>162</v>
      </c>
    </row>
    <row r="578" spans="1:2">
      <c r="A578" s="92" t="s">
        <v>487</v>
      </c>
      <c r="B578">
        <v>228</v>
      </c>
    </row>
    <row r="579" spans="1:2">
      <c r="A579" s="92" t="s">
        <v>2278</v>
      </c>
      <c r="B579">
        <v>300</v>
      </c>
    </row>
    <row r="580" spans="1:2">
      <c r="A580" s="92" t="s">
        <v>2279</v>
      </c>
      <c r="B580" s="101">
        <v>1105</v>
      </c>
    </row>
    <row r="581" spans="1:2">
      <c r="A581" s="92" t="s">
        <v>1534</v>
      </c>
      <c r="B581">
        <v>871</v>
      </c>
    </row>
    <row r="582" spans="1:2">
      <c r="A582" s="92" t="s">
        <v>1535</v>
      </c>
      <c r="B582" s="101">
        <v>1363</v>
      </c>
    </row>
    <row r="583" spans="1:2">
      <c r="A583" s="92" t="s">
        <v>2512</v>
      </c>
      <c r="B583">
        <v>105</v>
      </c>
    </row>
    <row r="584" spans="1:2">
      <c r="A584" s="92" t="s">
        <v>393</v>
      </c>
      <c r="B584">
        <v>83</v>
      </c>
    </row>
    <row r="585" spans="1:2">
      <c r="A585" s="92" t="s">
        <v>394</v>
      </c>
      <c r="B585">
        <v>856</v>
      </c>
    </row>
    <row r="586" spans="1:2">
      <c r="A586" s="92" t="s">
        <v>395</v>
      </c>
      <c r="B586">
        <v>197</v>
      </c>
    </row>
    <row r="587" spans="1:2">
      <c r="A587" s="92" t="s">
        <v>2513</v>
      </c>
      <c r="B587">
        <v>144</v>
      </c>
    </row>
    <row r="588" spans="1:2">
      <c r="A588" s="92" t="s">
        <v>242</v>
      </c>
      <c r="B588">
        <v>195</v>
      </c>
    </row>
    <row r="589" spans="1:2">
      <c r="A589" s="92" t="s">
        <v>243</v>
      </c>
      <c r="B589">
        <v>407</v>
      </c>
    </row>
    <row r="590" spans="1:2">
      <c r="A590" s="92" t="s">
        <v>244</v>
      </c>
      <c r="B590">
        <v>211</v>
      </c>
    </row>
    <row r="591" spans="1:2">
      <c r="A591" s="92" t="s">
        <v>2325</v>
      </c>
      <c r="B591">
        <v>94</v>
      </c>
    </row>
    <row r="592" spans="1:2">
      <c r="A592" s="92" t="s">
        <v>2023</v>
      </c>
      <c r="B592">
        <v>22</v>
      </c>
    </row>
    <row r="593" spans="1:2">
      <c r="A593" s="92" t="s">
        <v>2076</v>
      </c>
      <c r="B593">
        <v>405</v>
      </c>
    </row>
    <row r="594" spans="1:2">
      <c r="A594" s="92" t="s">
        <v>2514</v>
      </c>
      <c r="B594">
        <v>236</v>
      </c>
    </row>
    <row r="595" spans="1:2">
      <c r="A595" s="92" t="s">
        <v>1557</v>
      </c>
      <c r="B595">
        <v>109</v>
      </c>
    </row>
    <row r="596" spans="1:2">
      <c r="A596" s="92" t="s">
        <v>1558</v>
      </c>
      <c r="B596">
        <v>216</v>
      </c>
    </row>
    <row r="597" spans="1:2">
      <c r="A597" s="92" t="s">
        <v>1412</v>
      </c>
      <c r="B597">
        <v>301</v>
      </c>
    </row>
    <row r="598" spans="1:2">
      <c r="A598" s="92" t="s">
        <v>2147</v>
      </c>
      <c r="B598">
        <v>79</v>
      </c>
    </row>
    <row r="599" spans="1:2">
      <c r="A599" s="92" t="s">
        <v>2261</v>
      </c>
      <c r="B599">
        <v>197</v>
      </c>
    </row>
    <row r="600" spans="1:2">
      <c r="A600" s="92" t="s">
        <v>2262</v>
      </c>
      <c r="B600">
        <v>580</v>
      </c>
    </row>
    <row r="601" spans="1:2">
      <c r="A601" s="92" t="s">
        <v>2263</v>
      </c>
      <c r="B601">
        <v>597</v>
      </c>
    </row>
    <row r="602" spans="1:2">
      <c r="A602" s="92" t="s">
        <v>2264</v>
      </c>
      <c r="B602">
        <v>242</v>
      </c>
    </row>
    <row r="603" spans="1:2">
      <c r="A603" s="92" t="s">
        <v>2401</v>
      </c>
      <c r="B603" s="101">
        <v>1404</v>
      </c>
    </row>
    <row r="604" spans="1:2">
      <c r="A604" s="92" t="s">
        <v>2265</v>
      </c>
      <c r="B604">
        <v>502</v>
      </c>
    </row>
    <row r="605" spans="1:2">
      <c r="A605" s="92" t="s">
        <v>2266</v>
      </c>
      <c r="B605">
        <v>113</v>
      </c>
    </row>
    <row r="606" spans="1:2">
      <c r="A606" s="92" t="s">
        <v>2267</v>
      </c>
      <c r="B606">
        <v>112</v>
      </c>
    </row>
    <row r="607" spans="1:2">
      <c r="A607" s="92" t="s">
        <v>2268</v>
      </c>
      <c r="B607">
        <v>32</v>
      </c>
    </row>
    <row r="608" spans="1:2">
      <c r="A608" s="92" t="s">
        <v>2269</v>
      </c>
      <c r="B608">
        <v>62</v>
      </c>
    </row>
    <row r="609" spans="1:2">
      <c r="A609" s="92" t="s">
        <v>2586</v>
      </c>
      <c r="B609">
        <v>168</v>
      </c>
    </row>
    <row r="610" spans="1:2">
      <c r="A610" s="92" t="s">
        <v>2587</v>
      </c>
      <c r="B610">
        <v>255</v>
      </c>
    </row>
    <row r="611" spans="1:2">
      <c r="A611" s="92" t="s">
        <v>2588</v>
      </c>
      <c r="B611">
        <v>291</v>
      </c>
    </row>
    <row r="612" spans="1:2">
      <c r="A612" s="92" t="s">
        <v>2589</v>
      </c>
      <c r="B612">
        <v>98</v>
      </c>
    </row>
    <row r="613" spans="1:2">
      <c r="A613" s="92" t="s">
        <v>2590</v>
      </c>
      <c r="B613">
        <v>164</v>
      </c>
    </row>
    <row r="614" spans="1:2">
      <c r="A614" s="92" t="s">
        <v>1381</v>
      </c>
      <c r="B614">
        <v>360</v>
      </c>
    </row>
    <row r="615" spans="1:2">
      <c r="A615" s="92" t="s">
        <v>1382</v>
      </c>
      <c r="B615">
        <v>177</v>
      </c>
    </row>
    <row r="616" spans="1:2">
      <c r="A616" s="92" t="s">
        <v>2426</v>
      </c>
      <c r="B616">
        <v>257</v>
      </c>
    </row>
    <row r="617" spans="1:2">
      <c r="A617" s="92" t="s">
        <v>2111</v>
      </c>
      <c r="B617">
        <v>308</v>
      </c>
    </row>
    <row r="618" spans="1:2">
      <c r="A618" s="92" t="s">
        <v>2633</v>
      </c>
      <c r="B618">
        <v>147</v>
      </c>
    </row>
    <row r="619" spans="1:2">
      <c r="A619" s="92" t="s">
        <v>2408</v>
      </c>
      <c r="B619">
        <v>266</v>
      </c>
    </row>
    <row r="620" spans="1:2">
      <c r="A620" s="92" t="s">
        <v>2112</v>
      </c>
      <c r="B620">
        <v>158</v>
      </c>
    </row>
    <row r="621" spans="1:2">
      <c r="A621" s="92" t="s">
        <v>2515</v>
      </c>
      <c r="B621">
        <v>209</v>
      </c>
    </row>
    <row r="622" spans="1:2">
      <c r="A622" s="92" t="s">
        <v>1116</v>
      </c>
      <c r="B622">
        <v>90</v>
      </c>
    </row>
    <row r="623" spans="1:2">
      <c r="A623" s="92" t="s">
        <v>2113</v>
      </c>
      <c r="B623">
        <v>129</v>
      </c>
    </row>
    <row r="624" spans="1:2">
      <c r="A624" s="92" t="s">
        <v>2114</v>
      </c>
      <c r="B624">
        <v>224</v>
      </c>
    </row>
    <row r="625" spans="1:2">
      <c r="A625" s="92" t="s">
        <v>967</v>
      </c>
      <c r="B625">
        <v>146</v>
      </c>
    </row>
    <row r="626" spans="1:2">
      <c r="A626" s="92" t="s">
        <v>1337</v>
      </c>
      <c r="B626">
        <v>497</v>
      </c>
    </row>
    <row r="627" spans="1:2">
      <c r="A627" s="92" t="s">
        <v>1689</v>
      </c>
      <c r="B627">
        <v>182</v>
      </c>
    </row>
    <row r="628" spans="1:2">
      <c r="A628" s="92" t="s">
        <v>1690</v>
      </c>
      <c r="B628">
        <v>302</v>
      </c>
    </row>
    <row r="629" spans="1:2">
      <c r="A629" s="92" t="s">
        <v>2557</v>
      </c>
      <c r="B629">
        <v>258</v>
      </c>
    </row>
    <row r="630" spans="1:2">
      <c r="A630" s="92" t="s">
        <v>2558</v>
      </c>
      <c r="B630">
        <v>233</v>
      </c>
    </row>
    <row r="631" spans="1:2">
      <c r="A631" s="92" t="s">
        <v>2659</v>
      </c>
      <c r="B631">
        <v>189</v>
      </c>
    </row>
    <row r="632" spans="1:2">
      <c r="A632" s="92" t="s">
        <v>837</v>
      </c>
      <c r="B632">
        <v>611</v>
      </c>
    </row>
    <row r="633" spans="1:2">
      <c r="A633" s="92" t="s">
        <v>82</v>
      </c>
      <c r="B633">
        <v>405</v>
      </c>
    </row>
    <row r="634" spans="1:2">
      <c r="A634" s="92" t="s">
        <v>83</v>
      </c>
      <c r="B634">
        <v>908</v>
      </c>
    </row>
    <row r="635" spans="1:2">
      <c r="A635" s="92" t="s">
        <v>2284</v>
      </c>
      <c r="B635">
        <v>87</v>
      </c>
    </row>
    <row r="636" spans="1:2">
      <c r="A636" s="92" t="s">
        <v>2410</v>
      </c>
      <c r="B636">
        <v>120</v>
      </c>
    </row>
    <row r="637" spans="1:2">
      <c r="A637" s="92" t="s">
        <v>2411</v>
      </c>
      <c r="B637">
        <v>89</v>
      </c>
    </row>
    <row r="638" spans="1:2">
      <c r="A638" s="92" t="s">
        <v>2104</v>
      </c>
      <c r="B638">
        <v>118</v>
      </c>
    </row>
    <row r="639" spans="1:2">
      <c r="A639" s="92" t="s">
        <v>1423</v>
      </c>
      <c r="B639">
        <v>122</v>
      </c>
    </row>
    <row r="640" spans="1:2">
      <c r="A640" s="92" t="s">
        <v>2412</v>
      </c>
      <c r="B640">
        <v>108</v>
      </c>
    </row>
    <row r="641" spans="1:2">
      <c r="A641" s="92" t="s">
        <v>496</v>
      </c>
      <c r="B641">
        <v>75</v>
      </c>
    </row>
    <row r="642" spans="1:2">
      <c r="A642" s="92" t="s">
        <v>677</v>
      </c>
      <c r="B642">
        <v>122</v>
      </c>
    </row>
    <row r="643" spans="1:2">
      <c r="A643" s="92" t="s">
        <v>2347</v>
      </c>
      <c r="B643">
        <v>325</v>
      </c>
    </row>
    <row r="644" spans="1:2">
      <c r="A644" s="92" t="s">
        <v>2348</v>
      </c>
      <c r="B644">
        <v>365</v>
      </c>
    </row>
    <row r="645" spans="1:2">
      <c r="A645" s="92" t="s">
        <v>2349</v>
      </c>
      <c r="B645">
        <v>134</v>
      </c>
    </row>
    <row r="646" spans="1:2">
      <c r="A646" s="92" t="s">
        <v>1464</v>
      </c>
      <c r="B646">
        <v>138</v>
      </c>
    </row>
    <row r="647" spans="1:2">
      <c r="A647" s="92" t="s">
        <v>2091</v>
      </c>
      <c r="B647">
        <v>417</v>
      </c>
    </row>
    <row r="648" spans="1:2">
      <c r="A648" s="92" t="s">
        <v>1465</v>
      </c>
      <c r="B648">
        <v>88</v>
      </c>
    </row>
    <row r="649" spans="1:2">
      <c r="A649" s="92" t="s">
        <v>382</v>
      </c>
      <c r="B649">
        <v>405</v>
      </c>
    </row>
    <row r="650" spans="1:2">
      <c r="A650" s="92" t="s">
        <v>383</v>
      </c>
      <c r="B650">
        <v>350</v>
      </c>
    </row>
    <row r="651" spans="1:2">
      <c r="A651" s="92" t="s">
        <v>384</v>
      </c>
      <c r="B651">
        <v>294</v>
      </c>
    </row>
    <row r="652" spans="1:2">
      <c r="A652" s="92" t="s">
        <v>1655</v>
      </c>
      <c r="B652" s="101">
        <v>1003</v>
      </c>
    </row>
    <row r="653" spans="1:2">
      <c r="A653" s="92" t="s">
        <v>1656</v>
      </c>
      <c r="B653">
        <v>154</v>
      </c>
    </row>
    <row r="654" spans="1:2">
      <c r="A654" s="92" t="s">
        <v>173</v>
      </c>
      <c r="B654">
        <v>302</v>
      </c>
    </row>
    <row r="655" spans="1:2">
      <c r="A655" s="92" t="s">
        <v>2128</v>
      </c>
      <c r="B655">
        <v>198</v>
      </c>
    </row>
    <row r="656" spans="1:2">
      <c r="A656" s="92" t="s">
        <v>2129</v>
      </c>
      <c r="B656">
        <v>762</v>
      </c>
    </row>
    <row r="657" spans="1:2">
      <c r="A657" s="92" t="s">
        <v>2130</v>
      </c>
      <c r="B657">
        <v>657</v>
      </c>
    </row>
    <row r="658" spans="1:2">
      <c r="A658" s="92" t="s">
        <v>1813</v>
      </c>
      <c r="B658" s="101">
        <v>1297</v>
      </c>
    </row>
    <row r="659" spans="1:2">
      <c r="A659" s="92" t="s">
        <v>880</v>
      </c>
      <c r="B659">
        <v>691</v>
      </c>
    </row>
    <row r="660" spans="1:2">
      <c r="A660" s="92" t="s">
        <v>1403</v>
      </c>
      <c r="B660">
        <v>326</v>
      </c>
    </row>
    <row r="661" spans="1:2">
      <c r="A661" s="92" t="s">
        <v>1988</v>
      </c>
      <c r="B661">
        <v>172</v>
      </c>
    </row>
    <row r="662" spans="1:2">
      <c r="A662" s="92" t="s">
        <v>968</v>
      </c>
      <c r="B662">
        <v>115</v>
      </c>
    </row>
    <row r="663" spans="1:2">
      <c r="A663" s="92" t="s">
        <v>900</v>
      </c>
      <c r="B663">
        <v>90</v>
      </c>
    </row>
    <row r="664" spans="1:2">
      <c r="A664" s="92" t="s">
        <v>702</v>
      </c>
      <c r="B664">
        <v>31</v>
      </c>
    </row>
    <row r="665" spans="1:2">
      <c r="A665" s="92" t="s">
        <v>969</v>
      </c>
      <c r="B665">
        <v>60</v>
      </c>
    </row>
    <row r="666" spans="1:2">
      <c r="A666" s="92" t="s">
        <v>1835</v>
      </c>
      <c r="B666">
        <v>148</v>
      </c>
    </row>
    <row r="667" spans="1:2">
      <c r="A667" s="92" t="s">
        <v>1542</v>
      </c>
      <c r="B667">
        <v>81</v>
      </c>
    </row>
    <row r="668" spans="1:2">
      <c r="A668" s="92" t="s">
        <v>113</v>
      </c>
      <c r="B668">
        <v>98</v>
      </c>
    </row>
    <row r="669" spans="1:2">
      <c r="A669" s="92" t="s">
        <v>2086</v>
      </c>
      <c r="B669">
        <v>54</v>
      </c>
    </row>
    <row r="670" spans="1:2">
      <c r="A670" s="92" t="s">
        <v>341</v>
      </c>
      <c r="B670">
        <v>60</v>
      </c>
    </row>
    <row r="671" spans="1:2">
      <c r="A671" s="92" t="s">
        <v>344</v>
      </c>
      <c r="B671">
        <v>130</v>
      </c>
    </row>
    <row r="672" spans="1:2">
      <c r="A672" s="92" t="s">
        <v>2460</v>
      </c>
      <c r="B672">
        <v>83</v>
      </c>
    </row>
    <row r="673" spans="1:2">
      <c r="A673" s="92" t="s">
        <v>2461</v>
      </c>
      <c r="B673">
        <v>69</v>
      </c>
    </row>
    <row r="674" spans="1:2">
      <c r="A674" s="92" t="s">
        <v>72</v>
      </c>
      <c r="B674">
        <v>76</v>
      </c>
    </row>
    <row r="675" spans="1:2">
      <c r="A675" s="92" t="s">
        <v>2310</v>
      </c>
      <c r="B675">
        <v>33</v>
      </c>
    </row>
    <row r="676" spans="1:2">
      <c r="A676" s="92" t="s">
        <v>164</v>
      </c>
      <c r="B676">
        <v>71</v>
      </c>
    </row>
    <row r="677" spans="1:2">
      <c r="A677" s="92" t="s">
        <v>879</v>
      </c>
      <c r="B677">
        <v>22</v>
      </c>
    </row>
    <row r="678" spans="1:2">
      <c r="A678" s="92" t="s">
        <v>1837</v>
      </c>
      <c r="B678">
        <v>33</v>
      </c>
    </row>
    <row r="679" spans="1:2">
      <c r="A679" s="92" t="s">
        <v>258</v>
      </c>
      <c r="B679">
        <v>20</v>
      </c>
    </row>
    <row r="680" spans="1:2">
      <c r="A680" s="92" t="s">
        <v>1585</v>
      </c>
      <c r="B680" s="101">
        <v>1205</v>
      </c>
    </row>
    <row r="681" spans="1:2">
      <c r="A681" s="92" t="s">
        <v>1134</v>
      </c>
      <c r="B681">
        <v>198</v>
      </c>
    </row>
    <row r="682" spans="1:2">
      <c r="A682" s="92" t="s">
        <v>1989</v>
      </c>
      <c r="B682">
        <v>390</v>
      </c>
    </row>
    <row r="683" spans="1:2">
      <c r="A683" s="92" t="s">
        <v>920</v>
      </c>
      <c r="B683">
        <v>43</v>
      </c>
    </row>
    <row r="684" spans="1:2">
      <c r="A684" s="92" t="s">
        <v>171</v>
      </c>
      <c r="B684">
        <v>529</v>
      </c>
    </row>
    <row r="685" spans="1:2">
      <c r="A685" s="92" t="s">
        <v>2531</v>
      </c>
      <c r="B685">
        <v>294</v>
      </c>
    </row>
    <row r="686" spans="1:2">
      <c r="A686" s="92" t="s">
        <v>2583</v>
      </c>
      <c r="B686">
        <v>870</v>
      </c>
    </row>
    <row r="687" spans="1:2">
      <c r="A687" s="92" t="s">
        <v>2534</v>
      </c>
      <c r="B687">
        <v>751</v>
      </c>
    </row>
    <row r="688" spans="1:2">
      <c r="A688" s="92" t="s">
        <v>1300</v>
      </c>
      <c r="B688">
        <v>151</v>
      </c>
    </row>
    <row r="689" spans="1:2">
      <c r="A689" s="92" t="s">
        <v>1887</v>
      </c>
      <c r="B689">
        <v>320</v>
      </c>
    </row>
    <row r="690" spans="1:2">
      <c r="A690" s="92" t="s">
        <v>1360</v>
      </c>
      <c r="B690">
        <v>76</v>
      </c>
    </row>
    <row r="691" spans="1:2">
      <c r="A691" s="92" t="s">
        <v>2535</v>
      </c>
      <c r="B691">
        <v>139</v>
      </c>
    </row>
    <row r="692" spans="1:2">
      <c r="A692" s="92" t="s">
        <v>2197</v>
      </c>
      <c r="B692">
        <v>215</v>
      </c>
    </row>
    <row r="693" spans="1:2">
      <c r="A693" s="92" t="s">
        <v>930</v>
      </c>
      <c r="B693">
        <v>130</v>
      </c>
    </row>
    <row r="694" spans="1:2">
      <c r="A694" s="92" t="s">
        <v>375</v>
      </c>
      <c r="B694">
        <v>50</v>
      </c>
    </row>
    <row r="695" spans="1:2">
      <c r="A695" s="92" t="s">
        <v>1264</v>
      </c>
      <c r="B695">
        <v>282</v>
      </c>
    </row>
    <row r="696" spans="1:2">
      <c r="A696" s="92" t="s">
        <v>2671</v>
      </c>
      <c r="B696">
        <v>257</v>
      </c>
    </row>
    <row r="697" spans="1:2">
      <c r="A697" s="92" t="s">
        <v>2672</v>
      </c>
      <c r="B697">
        <v>144</v>
      </c>
    </row>
    <row r="698" spans="1:2">
      <c r="A698" s="92" t="s">
        <v>1990</v>
      </c>
      <c r="B698">
        <v>97</v>
      </c>
    </row>
    <row r="699" spans="1:2">
      <c r="A699" s="92" t="s">
        <v>2673</v>
      </c>
      <c r="B699">
        <v>435</v>
      </c>
    </row>
    <row r="700" spans="1:2">
      <c r="A700" s="92" t="s">
        <v>2674</v>
      </c>
      <c r="B700">
        <v>165</v>
      </c>
    </row>
    <row r="701" spans="1:2">
      <c r="A701" s="92" t="s">
        <v>1486</v>
      </c>
      <c r="B701">
        <v>281</v>
      </c>
    </row>
    <row r="702" spans="1:2">
      <c r="A702" s="92" t="s">
        <v>1318</v>
      </c>
      <c r="B702">
        <v>285</v>
      </c>
    </row>
    <row r="703" spans="1:2">
      <c r="A703" s="92" t="s">
        <v>1432</v>
      </c>
      <c r="B703">
        <v>160</v>
      </c>
    </row>
    <row r="704" spans="1:2">
      <c r="A704" s="92" t="s">
        <v>804</v>
      </c>
      <c r="B704">
        <v>158</v>
      </c>
    </row>
    <row r="705" spans="1:2">
      <c r="A705" s="92" t="s">
        <v>1495</v>
      </c>
      <c r="B705">
        <v>25</v>
      </c>
    </row>
    <row r="706" spans="1:2">
      <c r="A706" s="92" t="s">
        <v>1496</v>
      </c>
      <c r="B706">
        <v>107</v>
      </c>
    </row>
    <row r="707" spans="1:2">
      <c r="A707" s="92" t="s">
        <v>1272</v>
      </c>
      <c r="B707">
        <v>125</v>
      </c>
    </row>
    <row r="708" spans="1:2">
      <c r="A708" s="92" t="s">
        <v>1531</v>
      </c>
      <c r="B708">
        <v>158</v>
      </c>
    </row>
    <row r="709" spans="1:2">
      <c r="A709" s="92" t="s">
        <v>2311</v>
      </c>
      <c r="B709">
        <v>333</v>
      </c>
    </row>
    <row r="710" spans="1:2">
      <c r="A710" s="92" t="s">
        <v>1532</v>
      </c>
      <c r="B710">
        <v>234</v>
      </c>
    </row>
    <row r="711" spans="1:2">
      <c r="A711" s="92" t="s">
        <v>1182</v>
      </c>
      <c r="B711">
        <v>158</v>
      </c>
    </row>
    <row r="712" spans="1:2">
      <c r="A712" s="92" t="s">
        <v>346</v>
      </c>
      <c r="B712">
        <v>160</v>
      </c>
    </row>
    <row r="713" spans="1:2">
      <c r="A713" s="92" t="s">
        <v>1508</v>
      </c>
      <c r="B713">
        <v>79</v>
      </c>
    </row>
    <row r="714" spans="1:2">
      <c r="A714" s="92" t="s">
        <v>703</v>
      </c>
      <c r="B714">
        <v>91</v>
      </c>
    </row>
    <row r="715" spans="1:2">
      <c r="A715" s="92" t="s">
        <v>1868</v>
      </c>
      <c r="B715">
        <v>761</v>
      </c>
    </row>
    <row r="716" spans="1:2">
      <c r="A716" s="92" t="s">
        <v>1869</v>
      </c>
      <c r="B716">
        <v>233</v>
      </c>
    </row>
    <row r="717" spans="1:2">
      <c r="A717" s="92" t="s">
        <v>1870</v>
      </c>
      <c r="B717">
        <v>134</v>
      </c>
    </row>
    <row r="718" spans="1:2">
      <c r="A718" s="92" t="s">
        <v>1871</v>
      </c>
      <c r="B718">
        <v>194</v>
      </c>
    </row>
    <row r="719" spans="1:2">
      <c r="A719" s="92" t="s">
        <v>2353</v>
      </c>
      <c r="B719" s="101">
        <v>1024</v>
      </c>
    </row>
    <row r="720" spans="1:2">
      <c r="A720" s="92" t="s">
        <v>704</v>
      </c>
      <c r="B720">
        <v>77</v>
      </c>
    </row>
    <row r="721" spans="1:2">
      <c r="A721" s="92" t="s">
        <v>524</v>
      </c>
      <c r="B721">
        <v>175</v>
      </c>
    </row>
    <row r="722" spans="1:2">
      <c r="A722" s="92" t="s">
        <v>705</v>
      </c>
      <c r="B722">
        <v>117</v>
      </c>
    </row>
    <row r="723" spans="1:2">
      <c r="A723" s="92" t="s">
        <v>525</v>
      </c>
      <c r="B723">
        <v>218</v>
      </c>
    </row>
    <row r="724" spans="1:2">
      <c r="A724" s="92" t="s">
        <v>376</v>
      </c>
      <c r="B724">
        <v>138</v>
      </c>
    </row>
    <row r="725" spans="1:2">
      <c r="A725" s="92" t="s">
        <v>526</v>
      </c>
      <c r="B725">
        <v>73</v>
      </c>
    </row>
    <row r="726" spans="1:2">
      <c r="A726" s="92" t="s">
        <v>527</v>
      </c>
      <c r="B726">
        <v>62</v>
      </c>
    </row>
    <row r="727" spans="1:2">
      <c r="A727" s="92" t="s">
        <v>774</v>
      </c>
      <c r="B727">
        <v>76</v>
      </c>
    </row>
    <row r="728" spans="1:2">
      <c r="A728" s="92" t="s">
        <v>528</v>
      </c>
      <c r="B728">
        <v>87</v>
      </c>
    </row>
    <row r="729" spans="1:2">
      <c r="A729" s="92" t="s">
        <v>529</v>
      </c>
      <c r="B729">
        <v>167</v>
      </c>
    </row>
    <row r="730" spans="1:2">
      <c r="A730" s="92" t="s">
        <v>2400</v>
      </c>
      <c r="B730">
        <v>226</v>
      </c>
    </row>
    <row r="731" spans="1:2">
      <c r="A731" s="92" t="s">
        <v>2407</v>
      </c>
      <c r="B731">
        <v>171</v>
      </c>
    </row>
    <row r="732" spans="1:2">
      <c r="A732" s="92" t="s">
        <v>19</v>
      </c>
      <c r="B732">
        <v>90</v>
      </c>
    </row>
    <row r="733" spans="1:2">
      <c r="A733" s="92" t="s">
        <v>706</v>
      </c>
      <c r="B733">
        <v>213</v>
      </c>
    </row>
    <row r="734" spans="1:2">
      <c r="A734" s="92" t="s">
        <v>20</v>
      </c>
      <c r="B734">
        <v>89</v>
      </c>
    </row>
    <row r="735" spans="1:2">
      <c r="A735" s="92" t="s">
        <v>2085</v>
      </c>
      <c r="B735">
        <v>63</v>
      </c>
    </row>
    <row r="736" spans="1:2">
      <c r="A736" s="92" t="s">
        <v>21</v>
      </c>
      <c r="B736">
        <v>330</v>
      </c>
    </row>
    <row r="737" spans="1:2">
      <c r="A737" s="92" t="s">
        <v>1021</v>
      </c>
      <c r="B737">
        <v>390</v>
      </c>
    </row>
    <row r="738" spans="1:2">
      <c r="A738" s="92" t="s">
        <v>1991</v>
      </c>
      <c r="B738">
        <v>172</v>
      </c>
    </row>
    <row r="739" spans="1:2">
      <c r="A739" s="92" t="s">
        <v>1543</v>
      </c>
      <c r="B739">
        <v>142</v>
      </c>
    </row>
    <row r="740" spans="1:2">
      <c r="A740" s="92" t="s">
        <v>1878</v>
      </c>
      <c r="B740">
        <v>289</v>
      </c>
    </row>
    <row r="741" spans="1:2">
      <c r="A741" s="92" t="s">
        <v>2309</v>
      </c>
      <c r="B741">
        <v>467</v>
      </c>
    </row>
    <row r="742" spans="1:2">
      <c r="A742" s="92" t="s">
        <v>424</v>
      </c>
      <c r="B742">
        <v>257</v>
      </c>
    </row>
    <row r="743" spans="1:2">
      <c r="A743" s="92" t="s">
        <v>2498</v>
      </c>
      <c r="B743">
        <v>92</v>
      </c>
    </row>
    <row r="744" spans="1:2">
      <c r="A744" s="92" t="s">
        <v>1172</v>
      </c>
      <c r="B744">
        <v>176</v>
      </c>
    </row>
    <row r="745" spans="1:2">
      <c r="A745" s="92" t="s">
        <v>1173</v>
      </c>
      <c r="B745">
        <v>31</v>
      </c>
    </row>
    <row r="746" spans="1:2">
      <c r="A746" s="92" t="s">
        <v>2399</v>
      </c>
      <c r="B746">
        <v>192</v>
      </c>
    </row>
    <row r="747" spans="1:2">
      <c r="A747" s="92" t="s">
        <v>570</v>
      </c>
      <c r="B747">
        <v>46</v>
      </c>
    </row>
    <row r="748" spans="1:2">
      <c r="A748" s="92" t="s">
        <v>579</v>
      </c>
      <c r="B748">
        <v>83</v>
      </c>
    </row>
    <row r="749" spans="1:2">
      <c r="A749" s="92" t="s">
        <v>580</v>
      </c>
      <c r="B749">
        <v>205</v>
      </c>
    </row>
    <row r="750" spans="1:2">
      <c r="A750" s="92" t="s">
        <v>165</v>
      </c>
      <c r="B750">
        <v>82</v>
      </c>
    </row>
    <row r="751" spans="1:2">
      <c r="A751" s="92" t="s">
        <v>767</v>
      </c>
      <c r="B751">
        <v>50</v>
      </c>
    </row>
    <row r="752" spans="1:2">
      <c r="A752" s="92" t="s">
        <v>964</v>
      </c>
      <c r="B752">
        <v>124</v>
      </c>
    </row>
    <row r="753" spans="1:2">
      <c r="A753" s="92" t="s">
        <v>2138</v>
      </c>
      <c r="B753">
        <v>216</v>
      </c>
    </row>
    <row r="754" spans="1:2">
      <c r="A754" s="92" t="s">
        <v>2139</v>
      </c>
      <c r="B754">
        <v>45</v>
      </c>
    </row>
    <row r="755" spans="1:2">
      <c r="A755" s="92" t="s">
        <v>209</v>
      </c>
      <c r="B755">
        <v>792</v>
      </c>
    </row>
    <row r="756" spans="1:2">
      <c r="A756" s="92" t="s">
        <v>971</v>
      </c>
      <c r="B756">
        <v>546</v>
      </c>
    </row>
    <row r="757" spans="1:2">
      <c r="A757" s="92" t="s">
        <v>972</v>
      </c>
      <c r="B757">
        <v>661</v>
      </c>
    </row>
    <row r="758" spans="1:2">
      <c r="A758" s="92" t="s">
        <v>973</v>
      </c>
      <c r="B758">
        <v>179</v>
      </c>
    </row>
    <row r="759" spans="1:2">
      <c r="A759" s="92" t="s">
        <v>1951</v>
      </c>
      <c r="B759">
        <v>68</v>
      </c>
    </row>
    <row r="760" spans="1:2">
      <c r="A760" s="92" t="s">
        <v>974</v>
      </c>
      <c r="B760">
        <v>70</v>
      </c>
    </row>
    <row r="761" spans="1:2">
      <c r="A761" s="92" t="s">
        <v>975</v>
      </c>
      <c r="B761">
        <v>35</v>
      </c>
    </row>
    <row r="762" spans="1:2">
      <c r="A762" s="92" t="s">
        <v>1466</v>
      </c>
      <c r="B762">
        <v>120</v>
      </c>
    </row>
    <row r="763" spans="1:2">
      <c r="A763" s="92" t="s">
        <v>1092</v>
      </c>
      <c r="B763">
        <v>102</v>
      </c>
    </row>
    <row r="764" spans="1:2">
      <c r="A764" s="92" t="s">
        <v>1093</v>
      </c>
      <c r="B764">
        <v>153</v>
      </c>
    </row>
    <row r="765" spans="1:2">
      <c r="A765" s="92" t="s">
        <v>1094</v>
      </c>
      <c r="B765">
        <v>238</v>
      </c>
    </row>
    <row r="766" spans="1:2">
      <c r="A766" s="92" t="s">
        <v>2537</v>
      </c>
      <c r="B766">
        <v>125</v>
      </c>
    </row>
    <row r="767" spans="1:2">
      <c r="A767" s="92" t="s">
        <v>1353</v>
      </c>
      <c r="B767">
        <v>212</v>
      </c>
    </row>
    <row r="768" spans="1:2">
      <c r="A768" s="92" t="s">
        <v>1354</v>
      </c>
      <c r="B768">
        <v>116</v>
      </c>
    </row>
    <row r="769" spans="1:2">
      <c r="A769" s="92" t="s">
        <v>1355</v>
      </c>
      <c r="B769">
        <v>177</v>
      </c>
    </row>
    <row r="770" spans="1:2">
      <c r="A770" s="92" t="s">
        <v>1356</v>
      </c>
      <c r="B770">
        <v>118</v>
      </c>
    </row>
    <row r="771" spans="1:2">
      <c r="A771" s="92" t="s">
        <v>1357</v>
      </c>
      <c r="B771">
        <v>544</v>
      </c>
    </row>
    <row r="772" spans="1:2">
      <c r="A772" s="92" t="s">
        <v>2579</v>
      </c>
      <c r="B772">
        <v>66</v>
      </c>
    </row>
    <row r="773" spans="1:2">
      <c r="A773" s="92" t="s">
        <v>707</v>
      </c>
      <c r="B773">
        <v>74</v>
      </c>
    </row>
    <row r="774" spans="1:2">
      <c r="A774" s="92" t="s">
        <v>1510</v>
      </c>
      <c r="B774">
        <v>103</v>
      </c>
    </row>
    <row r="775" spans="1:2">
      <c r="A775" s="92" t="s">
        <v>1467</v>
      </c>
      <c r="B775">
        <v>254</v>
      </c>
    </row>
    <row r="776" spans="1:2">
      <c r="A776" s="92" t="s">
        <v>2536</v>
      </c>
      <c r="B776">
        <v>99</v>
      </c>
    </row>
    <row r="777" spans="1:2">
      <c r="A777" s="92" t="s">
        <v>1383</v>
      </c>
      <c r="B777">
        <v>129</v>
      </c>
    </row>
    <row r="778" spans="1:2">
      <c r="A778" s="92" t="s">
        <v>208</v>
      </c>
      <c r="B778">
        <v>53</v>
      </c>
    </row>
    <row r="779" spans="1:2">
      <c r="A779" s="92" t="s">
        <v>1877</v>
      </c>
      <c r="B779">
        <v>88</v>
      </c>
    </row>
    <row r="780" spans="1:2">
      <c r="A780" s="92" t="s">
        <v>1634</v>
      </c>
      <c r="B780">
        <v>51</v>
      </c>
    </row>
    <row r="781" spans="1:2">
      <c r="A781" s="92" t="s">
        <v>1635</v>
      </c>
      <c r="B781">
        <v>217</v>
      </c>
    </row>
    <row r="782" spans="1:2">
      <c r="A782" s="92" t="s">
        <v>1636</v>
      </c>
      <c r="B782">
        <v>169</v>
      </c>
    </row>
    <row r="783" spans="1:2">
      <c r="A783" s="92" t="s">
        <v>1637</v>
      </c>
      <c r="B783">
        <v>339</v>
      </c>
    </row>
    <row r="784" spans="1:2">
      <c r="A784" s="92" t="s">
        <v>1638</v>
      </c>
      <c r="B784">
        <v>200</v>
      </c>
    </row>
    <row r="785" spans="1:2">
      <c r="A785" s="92" t="s">
        <v>1874</v>
      </c>
      <c r="B785">
        <v>913</v>
      </c>
    </row>
    <row r="786" spans="1:2">
      <c r="A786" s="92" t="s">
        <v>2302</v>
      </c>
      <c r="B786" s="101">
        <v>2995</v>
      </c>
    </row>
    <row r="787" spans="1:2">
      <c r="A787" s="92" t="s">
        <v>2291</v>
      </c>
      <c r="B787">
        <v>871</v>
      </c>
    </row>
    <row r="788" spans="1:2">
      <c r="A788" s="92" t="s">
        <v>1302</v>
      </c>
      <c r="B788">
        <v>205</v>
      </c>
    </row>
    <row r="789" spans="1:2">
      <c r="A789" s="92" t="s">
        <v>692</v>
      </c>
      <c r="B789">
        <v>38</v>
      </c>
    </row>
    <row r="790" spans="1:2">
      <c r="A790" s="92" t="s">
        <v>2548</v>
      </c>
      <c r="B790">
        <v>291</v>
      </c>
    </row>
    <row r="791" spans="1:2">
      <c r="A791" s="92" t="s">
        <v>693</v>
      </c>
      <c r="B791">
        <v>91</v>
      </c>
    </row>
    <row r="792" spans="1:2">
      <c r="A792" s="92" t="s">
        <v>1773</v>
      </c>
      <c r="B792">
        <v>328</v>
      </c>
    </row>
    <row r="793" spans="1:2">
      <c r="A793" s="92" t="s">
        <v>1213</v>
      </c>
      <c r="B793">
        <v>64</v>
      </c>
    </row>
    <row r="794" spans="1:2">
      <c r="A794" s="92" t="s">
        <v>1639</v>
      </c>
      <c r="B794">
        <v>74</v>
      </c>
    </row>
    <row r="795" spans="1:2">
      <c r="A795" s="92" t="s">
        <v>199</v>
      </c>
      <c r="B795">
        <v>157</v>
      </c>
    </row>
    <row r="796" spans="1:2">
      <c r="A796" s="92" t="s">
        <v>572</v>
      </c>
      <c r="B796">
        <v>189</v>
      </c>
    </row>
    <row r="797" spans="1:2">
      <c r="A797" s="92" t="s">
        <v>2181</v>
      </c>
      <c r="B797">
        <v>558</v>
      </c>
    </row>
    <row r="798" spans="1:2">
      <c r="A798" s="92" t="s">
        <v>1468</v>
      </c>
      <c r="B798" s="101">
        <v>2962</v>
      </c>
    </row>
    <row r="799" spans="1:2">
      <c r="A799" s="92" t="s">
        <v>217</v>
      </c>
      <c r="B799">
        <v>899</v>
      </c>
    </row>
    <row r="800" spans="1:2">
      <c r="A800" s="92" t="s">
        <v>1289</v>
      </c>
      <c r="B800">
        <v>235</v>
      </c>
    </row>
    <row r="801" spans="1:2">
      <c r="A801" s="92" t="s">
        <v>1290</v>
      </c>
      <c r="B801">
        <v>732</v>
      </c>
    </row>
    <row r="802" spans="1:2">
      <c r="A802" s="92" t="s">
        <v>2522</v>
      </c>
      <c r="B802" s="101">
        <v>1177</v>
      </c>
    </row>
    <row r="803" spans="1:2">
      <c r="A803" s="92" t="s">
        <v>792</v>
      </c>
      <c r="B803">
        <v>430</v>
      </c>
    </row>
    <row r="804" spans="1:2">
      <c r="A804" s="92" t="s">
        <v>114</v>
      </c>
      <c r="B804">
        <v>175</v>
      </c>
    </row>
    <row r="805" spans="1:2">
      <c r="A805" s="92" t="s">
        <v>2654</v>
      </c>
      <c r="B805">
        <v>260</v>
      </c>
    </row>
    <row r="806" spans="1:2">
      <c r="A806" s="92" t="s">
        <v>2274</v>
      </c>
      <c r="B806">
        <v>473</v>
      </c>
    </row>
    <row r="807" spans="1:2">
      <c r="A807" s="92" t="s">
        <v>377</v>
      </c>
      <c r="B807">
        <v>201</v>
      </c>
    </row>
    <row r="808" spans="1:2">
      <c r="A808" s="92" t="s">
        <v>986</v>
      </c>
      <c r="B808" s="101">
        <v>2269</v>
      </c>
    </row>
    <row r="809" spans="1:2">
      <c r="A809" s="92" t="s">
        <v>1716</v>
      </c>
      <c r="B809">
        <v>529</v>
      </c>
    </row>
    <row r="810" spans="1:2">
      <c r="A810" s="92" t="s">
        <v>695</v>
      </c>
      <c r="B810">
        <v>253</v>
      </c>
    </row>
    <row r="811" spans="1:2">
      <c r="A811" s="92" t="s">
        <v>696</v>
      </c>
      <c r="B811">
        <v>217</v>
      </c>
    </row>
    <row r="812" spans="1:2">
      <c r="A812" s="92" t="s">
        <v>697</v>
      </c>
      <c r="B812">
        <v>394</v>
      </c>
    </row>
    <row r="813" spans="1:2">
      <c r="A813" s="92" t="s">
        <v>1457</v>
      </c>
      <c r="B813">
        <v>782</v>
      </c>
    </row>
    <row r="814" spans="1:2">
      <c r="A814" s="92" t="s">
        <v>1458</v>
      </c>
      <c r="B814">
        <v>181</v>
      </c>
    </row>
    <row r="815" spans="1:2">
      <c r="A815" s="92" t="s">
        <v>1459</v>
      </c>
      <c r="B815">
        <v>117</v>
      </c>
    </row>
    <row r="816" spans="1:2">
      <c r="A816" s="92" t="s">
        <v>1460</v>
      </c>
      <c r="B816">
        <v>401</v>
      </c>
    </row>
    <row r="817" spans="1:2">
      <c r="A817" s="92" t="s">
        <v>1461</v>
      </c>
      <c r="B817">
        <v>106</v>
      </c>
    </row>
    <row r="818" spans="1:2">
      <c r="A818" s="92" t="s">
        <v>1462</v>
      </c>
      <c r="B818">
        <v>44</v>
      </c>
    </row>
    <row r="819" spans="1:2">
      <c r="A819" s="92" t="s">
        <v>1672</v>
      </c>
      <c r="B819">
        <v>108</v>
      </c>
    </row>
    <row r="820" spans="1:2">
      <c r="A820" s="92" t="s">
        <v>1812</v>
      </c>
      <c r="B820">
        <v>77</v>
      </c>
    </row>
    <row r="821" spans="1:2">
      <c r="A821" s="92" t="s">
        <v>1673</v>
      </c>
      <c r="B821">
        <v>428</v>
      </c>
    </row>
    <row r="822" spans="1:2">
      <c r="A822" s="92" t="s">
        <v>378</v>
      </c>
      <c r="B822">
        <v>141</v>
      </c>
    </row>
    <row r="823" spans="1:2">
      <c r="A823" s="92" t="s">
        <v>1183</v>
      </c>
      <c r="B823">
        <v>351</v>
      </c>
    </row>
    <row r="824" spans="1:2">
      <c r="A824" s="92" t="s">
        <v>379</v>
      </c>
      <c r="B824">
        <v>21</v>
      </c>
    </row>
    <row r="825" spans="1:2">
      <c r="A825" s="92" t="s">
        <v>1674</v>
      </c>
      <c r="B825">
        <v>365</v>
      </c>
    </row>
    <row r="826" spans="1:2">
      <c r="A826" s="92" t="s">
        <v>1675</v>
      </c>
      <c r="B826">
        <v>117</v>
      </c>
    </row>
    <row r="827" spans="1:2">
      <c r="A827" s="92" t="s">
        <v>1676</v>
      </c>
      <c r="B827">
        <v>12</v>
      </c>
    </row>
    <row r="828" spans="1:2">
      <c r="A828" s="92" t="s">
        <v>2470</v>
      </c>
      <c r="B828">
        <v>78</v>
      </c>
    </row>
    <row r="829" spans="1:2">
      <c r="A829" s="92" t="s">
        <v>2471</v>
      </c>
      <c r="B829">
        <v>22</v>
      </c>
    </row>
    <row r="830" spans="1:2">
      <c r="A830" s="92" t="s">
        <v>1677</v>
      </c>
      <c r="B830">
        <v>105</v>
      </c>
    </row>
    <row r="831" spans="1:2">
      <c r="A831" s="92" t="s">
        <v>190</v>
      </c>
      <c r="B831">
        <v>78</v>
      </c>
    </row>
    <row r="832" spans="1:2">
      <c r="A832" s="92" t="s">
        <v>1678</v>
      </c>
      <c r="B832">
        <v>101</v>
      </c>
    </row>
    <row r="833" spans="1:2">
      <c r="A833" s="92" t="s">
        <v>1395</v>
      </c>
      <c r="B833">
        <v>404</v>
      </c>
    </row>
    <row r="834" spans="1:2">
      <c r="A834" s="92" t="s">
        <v>1396</v>
      </c>
      <c r="B834">
        <v>111</v>
      </c>
    </row>
    <row r="835" spans="1:2">
      <c r="A835" s="92" t="s">
        <v>1397</v>
      </c>
      <c r="B835">
        <v>285</v>
      </c>
    </row>
    <row r="836" spans="1:2">
      <c r="A836" s="92" t="s">
        <v>1632</v>
      </c>
      <c r="B836">
        <v>272</v>
      </c>
    </row>
    <row r="837" spans="1:2">
      <c r="A837" s="92" t="s">
        <v>1633</v>
      </c>
      <c r="B837">
        <v>416</v>
      </c>
    </row>
    <row r="838" spans="1:2">
      <c r="A838" s="92" t="s">
        <v>2433</v>
      </c>
      <c r="B838">
        <v>143</v>
      </c>
    </row>
    <row r="839" spans="1:2">
      <c r="A839" s="92" t="s">
        <v>1215</v>
      </c>
      <c r="B839">
        <v>29</v>
      </c>
    </row>
    <row r="840" spans="1:2">
      <c r="A840" s="92" t="s">
        <v>2434</v>
      </c>
      <c r="B840">
        <v>99</v>
      </c>
    </row>
    <row r="841" spans="1:2">
      <c r="A841" s="92" t="s">
        <v>1454</v>
      </c>
      <c r="B841">
        <v>27</v>
      </c>
    </row>
    <row r="842" spans="1:2">
      <c r="A842" s="92" t="s">
        <v>2527</v>
      </c>
      <c r="B842">
        <v>172</v>
      </c>
    </row>
    <row r="843" spans="1:2">
      <c r="A843" s="92" t="s">
        <v>1411</v>
      </c>
      <c r="B843">
        <v>122</v>
      </c>
    </row>
    <row r="844" spans="1:2">
      <c r="A844" s="92" t="s">
        <v>1317</v>
      </c>
      <c r="B844">
        <v>217</v>
      </c>
    </row>
    <row r="845" spans="1:2">
      <c r="A845" s="92" t="s">
        <v>191</v>
      </c>
      <c r="B845">
        <v>97</v>
      </c>
    </row>
    <row r="846" spans="1:2">
      <c r="A846" s="92" t="s">
        <v>489</v>
      </c>
      <c r="B846">
        <v>516</v>
      </c>
    </row>
    <row r="847" spans="1:2">
      <c r="A847" s="92" t="s">
        <v>1455</v>
      </c>
      <c r="B847">
        <v>348</v>
      </c>
    </row>
    <row r="848" spans="1:2">
      <c r="A848" s="92" t="s">
        <v>1456</v>
      </c>
      <c r="B848">
        <v>243</v>
      </c>
    </row>
    <row r="849" spans="1:2">
      <c r="A849" s="92" t="s">
        <v>1377</v>
      </c>
      <c r="B849" s="101">
        <v>1309</v>
      </c>
    </row>
    <row r="850" spans="1:2">
      <c r="A850" s="92" t="s">
        <v>1378</v>
      </c>
      <c r="B850">
        <v>155</v>
      </c>
    </row>
    <row r="851" spans="1:2">
      <c r="A851" s="92" t="s">
        <v>1379</v>
      </c>
      <c r="B851">
        <v>711</v>
      </c>
    </row>
    <row r="852" spans="1:2">
      <c r="A852" s="92" t="s">
        <v>1473</v>
      </c>
      <c r="B852">
        <v>121</v>
      </c>
    </row>
    <row r="853" spans="1:2">
      <c r="A853" s="92" t="s">
        <v>961</v>
      </c>
      <c r="B853">
        <v>595</v>
      </c>
    </row>
    <row r="854" spans="1:2">
      <c r="A854" s="92" t="s">
        <v>962</v>
      </c>
      <c r="B854">
        <v>210</v>
      </c>
    </row>
    <row r="855" spans="1:2">
      <c r="A855" s="92" t="s">
        <v>963</v>
      </c>
      <c r="B855">
        <v>207</v>
      </c>
    </row>
    <row r="856" spans="1:2">
      <c r="A856" s="92" t="s">
        <v>1089</v>
      </c>
      <c r="B856">
        <v>136</v>
      </c>
    </row>
    <row r="857" spans="1:2">
      <c r="A857" s="92" t="s">
        <v>192</v>
      </c>
      <c r="B857">
        <v>266</v>
      </c>
    </row>
    <row r="858" spans="1:2">
      <c r="A858" s="92" t="s">
        <v>1090</v>
      </c>
      <c r="B858">
        <v>62</v>
      </c>
    </row>
    <row r="859" spans="1:2">
      <c r="A859" s="92" t="s">
        <v>1091</v>
      </c>
      <c r="B859">
        <v>157</v>
      </c>
    </row>
    <row r="860" spans="1:2">
      <c r="A860" s="92" t="s">
        <v>1238</v>
      </c>
      <c r="B860">
        <v>28</v>
      </c>
    </row>
    <row r="861" spans="1:2">
      <c r="A861" s="92" t="s">
        <v>1239</v>
      </c>
      <c r="B861">
        <v>237</v>
      </c>
    </row>
    <row r="862" spans="1:2">
      <c r="A862" s="92" t="s">
        <v>1801</v>
      </c>
      <c r="B862">
        <v>856</v>
      </c>
    </row>
    <row r="863" spans="1:2">
      <c r="A863" s="92" t="s">
        <v>274</v>
      </c>
      <c r="B863">
        <v>85</v>
      </c>
    </row>
    <row r="864" spans="1:2">
      <c r="A864" s="92" t="s">
        <v>1727</v>
      </c>
      <c r="B864">
        <v>82</v>
      </c>
    </row>
    <row r="865" spans="1:2">
      <c r="A865" s="92" t="s">
        <v>1728</v>
      </c>
      <c r="B865">
        <v>201</v>
      </c>
    </row>
    <row r="866" spans="1:2">
      <c r="A866" s="92" t="s">
        <v>1006</v>
      </c>
      <c r="B866">
        <v>107</v>
      </c>
    </row>
    <row r="867" spans="1:2">
      <c r="A867" s="92" t="s">
        <v>189</v>
      </c>
      <c r="B867">
        <v>207</v>
      </c>
    </row>
    <row r="868" spans="1:2">
      <c r="A868" s="92" t="s">
        <v>1181</v>
      </c>
      <c r="B868">
        <v>79</v>
      </c>
    </row>
    <row r="869" spans="1:2">
      <c r="A869" s="92" t="s">
        <v>1340</v>
      </c>
      <c r="B869">
        <v>132</v>
      </c>
    </row>
    <row r="870" spans="1:2">
      <c r="A870" s="92" t="s">
        <v>1341</v>
      </c>
      <c r="B870">
        <v>116</v>
      </c>
    </row>
    <row r="871" spans="1:2">
      <c r="A871" s="92" t="s">
        <v>1342</v>
      </c>
      <c r="B871">
        <v>208</v>
      </c>
    </row>
    <row r="872" spans="1:2">
      <c r="A872" s="92" t="s">
        <v>2653</v>
      </c>
      <c r="B872">
        <v>470</v>
      </c>
    </row>
    <row r="873" spans="1:2">
      <c r="A873" s="92" t="s">
        <v>1729</v>
      </c>
      <c r="B873">
        <v>270</v>
      </c>
    </row>
    <row r="874" spans="1:2">
      <c r="A874" s="92" t="s">
        <v>193</v>
      </c>
      <c r="B874">
        <v>490</v>
      </c>
    </row>
    <row r="875" spans="1:2">
      <c r="A875" s="92" t="s">
        <v>1730</v>
      </c>
      <c r="B875">
        <v>807</v>
      </c>
    </row>
    <row r="876" spans="1:2">
      <c r="A876" s="92" t="s">
        <v>2584</v>
      </c>
      <c r="B876">
        <v>923</v>
      </c>
    </row>
    <row r="877" spans="1:2">
      <c r="A877" s="92" t="s">
        <v>750</v>
      </c>
      <c r="B877">
        <v>833</v>
      </c>
    </row>
    <row r="878" spans="1:2">
      <c r="A878" s="92" t="s">
        <v>751</v>
      </c>
      <c r="B878" s="101">
        <v>1458</v>
      </c>
    </row>
    <row r="879" spans="1:2">
      <c r="A879" s="92" t="s">
        <v>802</v>
      </c>
      <c r="B879">
        <v>385</v>
      </c>
    </row>
    <row r="880" spans="1:2">
      <c r="A880" s="92" t="s">
        <v>568</v>
      </c>
      <c r="B880">
        <v>431</v>
      </c>
    </row>
    <row r="881" spans="1:2">
      <c r="A881" s="92" t="s">
        <v>569</v>
      </c>
      <c r="B881">
        <v>264</v>
      </c>
    </row>
    <row r="882" spans="1:2">
      <c r="A882" s="92" t="s">
        <v>2298</v>
      </c>
      <c r="B882">
        <v>88</v>
      </c>
    </row>
    <row r="883" spans="1:2">
      <c r="A883" s="92" t="s">
        <v>873</v>
      </c>
      <c r="B883">
        <v>41</v>
      </c>
    </row>
    <row r="884" spans="1:2">
      <c r="A884" s="92" t="s">
        <v>1849</v>
      </c>
      <c r="B884">
        <v>18</v>
      </c>
    </row>
    <row r="885" spans="1:2">
      <c r="A885" s="92" t="s">
        <v>2018</v>
      </c>
      <c r="B885">
        <v>209</v>
      </c>
    </row>
    <row r="886" spans="1:2">
      <c r="A886" s="92" t="s">
        <v>2182</v>
      </c>
      <c r="B886">
        <v>53</v>
      </c>
    </row>
    <row r="887" spans="1:2">
      <c r="A887" s="92" t="s">
        <v>50</v>
      </c>
      <c r="B887">
        <v>49</v>
      </c>
    </row>
    <row r="888" spans="1:2">
      <c r="A888" s="92" t="s">
        <v>347</v>
      </c>
      <c r="B888">
        <v>95</v>
      </c>
    </row>
    <row r="889" spans="1:2">
      <c r="A889" s="92" t="s">
        <v>1767</v>
      </c>
      <c r="B889">
        <v>8</v>
      </c>
    </row>
    <row r="890" spans="1:2">
      <c r="A890" s="92" t="s">
        <v>2405</v>
      </c>
      <c r="B890">
        <v>58</v>
      </c>
    </row>
    <row r="891" spans="1:2">
      <c r="A891" s="92" t="s">
        <v>52</v>
      </c>
      <c r="B891">
        <v>10</v>
      </c>
    </row>
    <row r="892" spans="1:2">
      <c r="A892" s="92" t="s">
        <v>1681</v>
      </c>
      <c r="B892">
        <v>93</v>
      </c>
    </row>
    <row r="893" spans="1:2">
      <c r="A893" s="92" t="s">
        <v>1119</v>
      </c>
      <c r="B893">
        <v>46</v>
      </c>
    </row>
    <row r="894" spans="1:2">
      <c r="A894" s="92" t="s">
        <v>1847</v>
      </c>
      <c r="B894">
        <v>6</v>
      </c>
    </row>
    <row r="895" spans="1:2">
      <c r="A895" s="92" t="s">
        <v>2223</v>
      </c>
      <c r="B895">
        <v>72</v>
      </c>
    </row>
    <row r="896" spans="1:2">
      <c r="A896" s="92" t="s">
        <v>1846</v>
      </c>
      <c r="B896">
        <v>21</v>
      </c>
    </row>
    <row r="897" spans="1:2">
      <c r="A897" s="92" t="s">
        <v>1180</v>
      </c>
      <c r="B897">
        <v>24</v>
      </c>
    </row>
    <row r="898" spans="1:2">
      <c r="A898" s="92" t="s">
        <v>2224</v>
      </c>
      <c r="B898">
        <v>108</v>
      </c>
    </row>
    <row r="899" spans="1:2">
      <c r="A899" s="92" t="s">
        <v>2225</v>
      </c>
      <c r="B899">
        <v>300</v>
      </c>
    </row>
    <row r="900" spans="1:2">
      <c r="A900" s="92" t="s">
        <v>2655</v>
      </c>
      <c r="B900">
        <v>144</v>
      </c>
    </row>
    <row r="901" spans="1:2">
      <c r="A901" s="92" t="s">
        <v>2656</v>
      </c>
      <c r="B901">
        <v>366</v>
      </c>
    </row>
    <row r="902" spans="1:2">
      <c r="A902" s="92" t="s">
        <v>2657</v>
      </c>
      <c r="B902">
        <v>137</v>
      </c>
    </row>
    <row r="903" spans="1:2">
      <c r="A903" s="92" t="s">
        <v>2658</v>
      </c>
      <c r="B903" s="101">
        <v>2362</v>
      </c>
    </row>
    <row r="904" spans="1:2">
      <c r="A904" s="92" t="s">
        <v>1170</v>
      </c>
      <c r="B904">
        <v>383</v>
      </c>
    </row>
    <row r="905" spans="1:2">
      <c r="A905" s="92" t="s">
        <v>1845</v>
      </c>
      <c r="B905">
        <v>157</v>
      </c>
    </row>
    <row r="906" spans="1:2">
      <c r="A906" s="92" t="s">
        <v>1171</v>
      </c>
      <c r="B906">
        <v>265</v>
      </c>
    </row>
    <row r="907" spans="1:2">
      <c r="A907" s="92" t="s">
        <v>1586</v>
      </c>
      <c r="B907">
        <v>769</v>
      </c>
    </row>
    <row r="908" spans="1:2">
      <c r="A908" s="92" t="s">
        <v>1587</v>
      </c>
      <c r="B908">
        <v>174</v>
      </c>
    </row>
    <row r="909" spans="1:2">
      <c r="A909" s="92" t="s">
        <v>1588</v>
      </c>
      <c r="B909">
        <v>232</v>
      </c>
    </row>
    <row r="910" spans="1:2">
      <c r="A910" s="92" t="s">
        <v>1817</v>
      </c>
      <c r="B910">
        <v>37</v>
      </c>
    </row>
    <row r="911" spans="1:2">
      <c r="A911" s="92" t="s">
        <v>275</v>
      </c>
      <c r="B911">
        <v>48</v>
      </c>
    </row>
    <row r="912" spans="1:2">
      <c r="A912" s="92" t="s">
        <v>1818</v>
      </c>
      <c r="B912">
        <v>32</v>
      </c>
    </row>
    <row r="913" spans="1:2">
      <c r="A913" s="92" t="s">
        <v>2440</v>
      </c>
      <c r="B913">
        <v>312</v>
      </c>
    </row>
    <row r="914" spans="1:2">
      <c r="A914" s="92" t="s">
        <v>1313</v>
      </c>
      <c r="B914">
        <v>207</v>
      </c>
    </row>
    <row r="915" spans="1:2">
      <c r="A915" s="92" t="s">
        <v>2428</v>
      </c>
      <c r="B915">
        <v>439</v>
      </c>
    </row>
    <row r="916" spans="1:2">
      <c r="A916" s="92" t="s">
        <v>342</v>
      </c>
      <c r="B916">
        <v>405</v>
      </c>
    </row>
    <row r="917" spans="1:2">
      <c r="A917" s="92" t="s">
        <v>1307</v>
      </c>
      <c r="B917">
        <v>168</v>
      </c>
    </row>
    <row r="918" spans="1:2">
      <c r="A918" s="92" t="s">
        <v>1253</v>
      </c>
      <c r="B918">
        <v>122</v>
      </c>
    </row>
    <row r="919" spans="1:2">
      <c r="A919" s="92" t="s">
        <v>263</v>
      </c>
      <c r="B919">
        <v>223</v>
      </c>
    </row>
    <row r="920" spans="1:2">
      <c r="A920" s="92" t="s">
        <v>210</v>
      </c>
      <c r="B920">
        <v>90</v>
      </c>
    </row>
    <row r="921" spans="1:2">
      <c r="A921" s="92" t="s">
        <v>264</v>
      </c>
      <c r="B921">
        <v>99</v>
      </c>
    </row>
    <row r="922" spans="1:2">
      <c r="A922" s="92" t="s">
        <v>265</v>
      </c>
      <c r="B922">
        <v>28</v>
      </c>
    </row>
    <row r="923" spans="1:2">
      <c r="A923" s="92" t="s">
        <v>1133</v>
      </c>
      <c r="B923">
        <v>162</v>
      </c>
    </row>
    <row r="924" spans="1:2">
      <c r="A924" s="92" t="s">
        <v>2446</v>
      </c>
      <c r="B924">
        <v>33</v>
      </c>
    </row>
    <row r="925" spans="1:2">
      <c r="A925" s="92" t="s">
        <v>1320</v>
      </c>
      <c r="B925">
        <v>110</v>
      </c>
    </row>
    <row r="926" spans="1:2">
      <c r="A926" s="92" t="s">
        <v>1321</v>
      </c>
      <c r="B926">
        <v>386</v>
      </c>
    </row>
    <row r="927" spans="1:2">
      <c r="A927" s="92" t="s">
        <v>1322</v>
      </c>
      <c r="B927">
        <v>155</v>
      </c>
    </row>
    <row r="928" spans="1:2">
      <c r="A928" s="92" t="s">
        <v>1323</v>
      </c>
      <c r="B928">
        <v>124</v>
      </c>
    </row>
    <row r="929" spans="1:2">
      <c r="A929" s="92" t="s">
        <v>1324</v>
      </c>
      <c r="B929">
        <v>116</v>
      </c>
    </row>
    <row r="930" spans="1:2">
      <c r="A930" s="92" t="s">
        <v>1434</v>
      </c>
      <c r="B930">
        <v>200</v>
      </c>
    </row>
    <row r="931" spans="1:2">
      <c r="A931" s="92" t="s">
        <v>1807</v>
      </c>
      <c r="B931">
        <v>344</v>
      </c>
    </row>
    <row r="932" spans="1:2">
      <c r="A932" s="92" t="s">
        <v>1808</v>
      </c>
      <c r="B932">
        <v>260</v>
      </c>
    </row>
    <row r="933" spans="1:2">
      <c r="A933" s="92" t="s">
        <v>1254</v>
      </c>
      <c r="B933">
        <v>110</v>
      </c>
    </row>
    <row r="934" spans="1:2">
      <c r="A934" s="92" t="s">
        <v>70</v>
      </c>
      <c r="B934">
        <v>166</v>
      </c>
    </row>
    <row r="935" spans="1:2">
      <c r="A935" s="92" t="s">
        <v>1809</v>
      </c>
      <c r="B935">
        <v>87</v>
      </c>
    </row>
    <row r="936" spans="1:2">
      <c r="A936" s="92" t="s">
        <v>1810</v>
      </c>
      <c r="B936">
        <v>190</v>
      </c>
    </row>
    <row r="937" spans="1:2">
      <c r="A937" s="92" t="s">
        <v>1414</v>
      </c>
      <c r="B937">
        <v>78</v>
      </c>
    </row>
    <row r="938" spans="1:2">
      <c r="A938" s="92" t="s">
        <v>1077</v>
      </c>
      <c r="B938">
        <v>65</v>
      </c>
    </row>
    <row r="939" spans="1:2">
      <c r="A939" s="92" t="s">
        <v>1861</v>
      </c>
      <c r="B939">
        <v>116</v>
      </c>
    </row>
    <row r="940" spans="1:2">
      <c r="A940" s="92" t="s">
        <v>1078</v>
      </c>
      <c r="B940">
        <v>55</v>
      </c>
    </row>
    <row r="941" spans="1:2">
      <c r="A941" s="92" t="s">
        <v>1079</v>
      </c>
      <c r="B941">
        <v>40</v>
      </c>
    </row>
    <row r="942" spans="1:2">
      <c r="A942" s="92" t="s">
        <v>1080</v>
      </c>
      <c r="B942">
        <v>401</v>
      </c>
    </row>
    <row r="943" spans="1:2">
      <c r="A943" s="92" t="s">
        <v>1081</v>
      </c>
      <c r="B943">
        <v>838</v>
      </c>
    </row>
    <row r="944" spans="1:2">
      <c r="A944" s="92" t="s">
        <v>56</v>
      </c>
      <c r="B944">
        <v>108</v>
      </c>
    </row>
    <row r="945" spans="1:2">
      <c r="A945" s="92" t="s">
        <v>1544</v>
      </c>
      <c r="B945">
        <v>366</v>
      </c>
    </row>
    <row r="946" spans="1:2">
      <c r="A946" s="92" t="s">
        <v>1521</v>
      </c>
      <c r="B946" s="101">
        <v>1146</v>
      </c>
    </row>
    <row r="947" spans="1:2">
      <c r="A947" s="92" t="s">
        <v>1319</v>
      </c>
      <c r="B947">
        <v>362</v>
      </c>
    </row>
    <row r="948" spans="1:2">
      <c r="A948" s="92" t="s">
        <v>488</v>
      </c>
      <c r="B948">
        <v>926</v>
      </c>
    </row>
    <row r="949" spans="1:2">
      <c r="A949" s="92" t="s">
        <v>831</v>
      </c>
      <c r="B949" s="101">
        <v>2306</v>
      </c>
    </row>
    <row r="950" spans="1:2">
      <c r="A950" s="92" t="s">
        <v>833</v>
      </c>
      <c r="B950">
        <v>161</v>
      </c>
    </row>
    <row r="951" spans="1:2">
      <c r="A951" s="92" t="s">
        <v>834</v>
      </c>
      <c r="B951">
        <v>74</v>
      </c>
    </row>
    <row r="952" spans="1:2">
      <c r="A952" s="92" t="s">
        <v>1533</v>
      </c>
      <c r="B952">
        <v>104</v>
      </c>
    </row>
    <row r="953" spans="1:2">
      <c r="A953" s="92" t="s">
        <v>1836</v>
      </c>
      <c r="B953">
        <v>69</v>
      </c>
    </row>
    <row r="954" spans="1:2">
      <c r="A954" s="92" t="s">
        <v>835</v>
      </c>
      <c r="B954">
        <v>225</v>
      </c>
    </row>
    <row r="955" spans="1:2">
      <c r="A955" s="92" t="s">
        <v>836</v>
      </c>
      <c r="B955">
        <v>225</v>
      </c>
    </row>
    <row r="956" spans="1:2">
      <c r="A956" s="92" t="s">
        <v>1426</v>
      </c>
      <c r="B956">
        <v>29</v>
      </c>
    </row>
    <row r="957" spans="1:2">
      <c r="A957" s="92" t="s">
        <v>877</v>
      </c>
      <c r="B957">
        <v>107</v>
      </c>
    </row>
    <row r="958" spans="1:2">
      <c r="A958" s="92" t="s">
        <v>340</v>
      </c>
      <c r="B958">
        <v>607</v>
      </c>
    </row>
    <row r="959" spans="1:2">
      <c r="A959" s="92" t="s">
        <v>2597</v>
      </c>
      <c r="B959">
        <v>51</v>
      </c>
    </row>
    <row r="960" spans="1:2">
      <c r="A960" s="92" t="s">
        <v>1022</v>
      </c>
      <c r="B960">
        <v>102</v>
      </c>
    </row>
    <row r="961" spans="1:2">
      <c r="A961" s="92" t="s">
        <v>1156</v>
      </c>
      <c r="B961">
        <v>598</v>
      </c>
    </row>
    <row r="962" spans="1:2">
      <c r="A962" s="92" t="s">
        <v>276</v>
      </c>
      <c r="B962">
        <v>139</v>
      </c>
    </row>
    <row r="963" spans="1:2">
      <c r="A963" s="92" t="s">
        <v>277</v>
      </c>
      <c r="B963">
        <v>321</v>
      </c>
    </row>
    <row r="964" spans="1:2">
      <c r="A964" s="92" t="s">
        <v>624</v>
      </c>
      <c r="B964">
        <v>157</v>
      </c>
    </row>
    <row r="965" spans="1:2">
      <c r="A965" s="92" t="s">
        <v>625</v>
      </c>
      <c r="B965">
        <v>502</v>
      </c>
    </row>
    <row r="966" spans="1:2">
      <c r="A966" s="92" t="s">
        <v>626</v>
      </c>
      <c r="B966">
        <v>186</v>
      </c>
    </row>
    <row r="967" spans="1:2">
      <c r="A967" s="92" t="s">
        <v>2339</v>
      </c>
      <c r="B967">
        <v>462</v>
      </c>
    </row>
    <row r="968" spans="1:2">
      <c r="A968" s="92" t="s">
        <v>2340</v>
      </c>
      <c r="B968">
        <v>162</v>
      </c>
    </row>
    <row r="969" spans="1:2">
      <c r="A969" s="92" t="s">
        <v>1768</v>
      </c>
      <c r="B969">
        <v>17</v>
      </c>
    </row>
    <row r="970" spans="1:2">
      <c r="A970" s="92" t="s">
        <v>1071</v>
      </c>
      <c r="B970">
        <v>106</v>
      </c>
    </row>
    <row r="971" spans="1:2">
      <c r="A971" s="92" t="s">
        <v>1520</v>
      </c>
      <c r="B971" s="101">
        <v>2455</v>
      </c>
    </row>
    <row r="972" spans="1:2">
      <c r="A972" s="92" t="s">
        <v>927</v>
      </c>
      <c r="B972">
        <v>797</v>
      </c>
    </row>
    <row r="973" spans="1:2">
      <c r="A973" s="92" t="s">
        <v>928</v>
      </c>
      <c r="B973">
        <v>147</v>
      </c>
    </row>
    <row r="974" spans="1:2">
      <c r="A974" s="92" t="s">
        <v>929</v>
      </c>
      <c r="B974">
        <v>178</v>
      </c>
    </row>
    <row r="975" spans="1:2">
      <c r="A975" s="92" t="s">
        <v>571</v>
      </c>
      <c r="B975">
        <v>442</v>
      </c>
    </row>
    <row r="976" spans="1:2">
      <c r="A976" s="92" t="s">
        <v>902</v>
      </c>
      <c r="B976">
        <v>186</v>
      </c>
    </row>
    <row r="977" spans="1:2">
      <c r="A977" s="92" t="s">
        <v>903</v>
      </c>
      <c r="B977">
        <v>173</v>
      </c>
    </row>
    <row r="978" spans="1:2">
      <c r="A978" s="92" t="s">
        <v>904</v>
      </c>
      <c r="B978">
        <v>313</v>
      </c>
    </row>
    <row r="979" spans="1:2">
      <c r="A979" s="92" t="s">
        <v>905</v>
      </c>
      <c r="B979">
        <v>182</v>
      </c>
    </row>
    <row r="980" spans="1:2">
      <c r="A980" s="92" t="s">
        <v>1724</v>
      </c>
      <c r="B980">
        <v>134</v>
      </c>
    </row>
    <row r="981" spans="1:2">
      <c r="A981" s="92" t="s">
        <v>2319</v>
      </c>
      <c r="B981">
        <v>503</v>
      </c>
    </row>
    <row r="982" spans="1:2">
      <c r="A982" s="92" t="s">
        <v>884</v>
      </c>
      <c r="B982">
        <v>167</v>
      </c>
    </row>
    <row r="983" spans="1:2">
      <c r="A983" s="92" t="s">
        <v>1255</v>
      </c>
      <c r="B983">
        <v>201</v>
      </c>
    </row>
    <row r="984" spans="1:2">
      <c r="A984" s="92" t="s">
        <v>642</v>
      </c>
      <c r="B984">
        <v>172</v>
      </c>
    </row>
    <row r="985" spans="1:2">
      <c r="A985" s="92" t="s">
        <v>1827</v>
      </c>
      <c r="B985">
        <v>83</v>
      </c>
    </row>
    <row r="986" spans="1:2">
      <c r="A986" s="92" t="s">
        <v>573</v>
      </c>
      <c r="B986">
        <v>15</v>
      </c>
    </row>
    <row r="987" spans="1:2">
      <c r="A987" s="92" t="s">
        <v>1358</v>
      </c>
      <c r="B987">
        <v>202</v>
      </c>
    </row>
    <row r="988" spans="1:2">
      <c r="A988" s="92" t="s">
        <v>9</v>
      </c>
      <c r="B988">
        <v>555</v>
      </c>
    </row>
    <row r="989" spans="1:2">
      <c r="A989" s="92" t="s">
        <v>10</v>
      </c>
      <c r="B989">
        <v>87</v>
      </c>
    </row>
    <row r="990" spans="1:2">
      <c r="A990" s="92" t="s">
        <v>1503</v>
      </c>
      <c r="B990">
        <v>66</v>
      </c>
    </row>
    <row r="991" spans="1:2">
      <c r="A991" s="92" t="s">
        <v>2089</v>
      </c>
      <c r="B991">
        <v>391</v>
      </c>
    </row>
    <row r="992" spans="1:2">
      <c r="A992" s="92" t="s">
        <v>425</v>
      </c>
      <c r="B992">
        <v>127</v>
      </c>
    </row>
    <row r="993" spans="1:2">
      <c r="A993" s="92" t="s">
        <v>278</v>
      </c>
      <c r="B993">
        <v>329</v>
      </c>
    </row>
    <row r="994" spans="1:2">
      <c r="A994" s="92" t="s">
        <v>1338</v>
      </c>
      <c r="B994">
        <v>141</v>
      </c>
    </row>
    <row r="995" spans="1:2">
      <c r="A995" s="92" t="s">
        <v>2580</v>
      </c>
      <c r="B995">
        <v>184</v>
      </c>
    </row>
    <row r="996" spans="1:2">
      <c r="A996" s="92" t="s">
        <v>1799</v>
      </c>
      <c r="B996">
        <v>104</v>
      </c>
    </row>
    <row r="997" spans="1:2">
      <c r="A997" s="92" t="s">
        <v>40</v>
      </c>
      <c r="B997">
        <v>70</v>
      </c>
    </row>
    <row r="998" spans="1:2">
      <c r="A998" s="92" t="s">
        <v>11</v>
      </c>
      <c r="B998">
        <v>85</v>
      </c>
    </row>
    <row r="999" spans="1:2">
      <c r="A999" s="92" t="s">
        <v>1771</v>
      </c>
      <c r="B999">
        <v>110</v>
      </c>
    </row>
    <row r="1000" spans="1:2">
      <c r="A1000" s="92" t="s">
        <v>1310</v>
      </c>
      <c r="B1000">
        <v>110</v>
      </c>
    </row>
    <row r="1001" spans="1:2">
      <c r="A1001" s="92" t="s">
        <v>1545</v>
      </c>
      <c r="B1001">
        <v>77</v>
      </c>
    </row>
    <row r="1002" spans="1:2">
      <c r="A1002" s="92" t="s">
        <v>1515</v>
      </c>
      <c r="B1002">
        <v>149</v>
      </c>
    </row>
    <row r="1003" spans="1:2">
      <c r="A1003" s="92" t="s">
        <v>1769</v>
      </c>
      <c r="B1003">
        <v>198</v>
      </c>
    </row>
    <row r="1004" spans="1:2">
      <c r="A1004" s="92" t="s">
        <v>12</v>
      </c>
      <c r="B1004">
        <v>50</v>
      </c>
    </row>
    <row r="1005" spans="1:2">
      <c r="A1005" s="92" t="s">
        <v>2455</v>
      </c>
      <c r="B1005">
        <v>289</v>
      </c>
    </row>
    <row r="1006" spans="1:2">
      <c r="A1006" s="92" t="s">
        <v>59</v>
      </c>
      <c r="B1006">
        <v>99</v>
      </c>
    </row>
    <row r="1007" spans="1:2">
      <c r="A1007" s="92" t="s">
        <v>2456</v>
      </c>
      <c r="B1007">
        <v>215</v>
      </c>
    </row>
    <row r="1008" spans="1:2">
      <c r="A1008" s="92" t="s">
        <v>1512</v>
      </c>
      <c r="B1008">
        <v>184</v>
      </c>
    </row>
    <row r="1009" spans="1:2">
      <c r="A1009" s="92" t="s">
        <v>1174</v>
      </c>
      <c r="B1009">
        <v>400</v>
      </c>
    </row>
    <row r="1010" spans="1:2">
      <c r="A1010" s="92" t="s">
        <v>1175</v>
      </c>
      <c r="B1010" s="101">
        <v>1118</v>
      </c>
    </row>
    <row r="1011" spans="1:2">
      <c r="A1011" s="92" t="s">
        <v>196</v>
      </c>
      <c r="B1011">
        <v>111</v>
      </c>
    </row>
    <row r="1012" spans="1:2">
      <c r="A1012" s="92" t="s">
        <v>800</v>
      </c>
      <c r="B1012">
        <v>65</v>
      </c>
    </row>
    <row r="1013" spans="1:2">
      <c r="A1013" s="92" t="s">
        <v>2176</v>
      </c>
      <c r="B1013">
        <v>141</v>
      </c>
    </row>
    <row r="1014" spans="1:2">
      <c r="A1014" s="92" t="s">
        <v>2424</v>
      </c>
      <c r="B1014">
        <v>115</v>
      </c>
    </row>
    <row r="1015" spans="1:2">
      <c r="A1015" s="92" t="s">
        <v>2425</v>
      </c>
      <c r="B1015">
        <v>218</v>
      </c>
    </row>
    <row r="1016" spans="1:2">
      <c r="A1016" s="92" t="s">
        <v>2022</v>
      </c>
      <c r="B1016">
        <v>72</v>
      </c>
    </row>
    <row r="1017" spans="1:2">
      <c r="A1017" s="92" t="s">
        <v>1150</v>
      </c>
      <c r="B1017">
        <v>122</v>
      </c>
    </row>
    <row r="1018" spans="1:2">
      <c r="A1018" s="92" t="s">
        <v>2229</v>
      </c>
      <c r="B1018">
        <v>98</v>
      </c>
    </row>
    <row r="1019" spans="1:2">
      <c r="A1019" s="92" t="s">
        <v>2230</v>
      </c>
      <c r="B1019">
        <v>90</v>
      </c>
    </row>
    <row r="1020" spans="1:2">
      <c r="A1020" s="92" t="s">
        <v>2575</v>
      </c>
      <c r="B1020">
        <v>149</v>
      </c>
    </row>
    <row r="1021" spans="1:2">
      <c r="A1021" s="92" t="s">
        <v>2576</v>
      </c>
      <c r="B1021">
        <v>74</v>
      </c>
    </row>
    <row r="1022" spans="1:2">
      <c r="A1022" s="92" t="s">
        <v>635</v>
      </c>
      <c r="B1022">
        <v>93</v>
      </c>
    </row>
    <row r="1023" spans="1:2">
      <c r="A1023" s="92" t="s">
        <v>679</v>
      </c>
      <c r="B1023">
        <v>173</v>
      </c>
    </row>
    <row r="1024" spans="1:2">
      <c r="A1024" s="92" t="s">
        <v>680</v>
      </c>
      <c r="B1024">
        <v>157</v>
      </c>
    </row>
    <row r="1025" spans="1:2">
      <c r="A1025" s="92" t="s">
        <v>1471</v>
      </c>
      <c r="B1025">
        <v>598</v>
      </c>
    </row>
    <row r="1026" spans="1:2">
      <c r="A1026" s="92" t="s">
        <v>907</v>
      </c>
      <c r="B1026">
        <v>544</v>
      </c>
    </row>
    <row r="1027" spans="1:2">
      <c r="A1027" s="92" t="s">
        <v>1472</v>
      </c>
      <c r="B1027">
        <v>219</v>
      </c>
    </row>
    <row r="1028" spans="1:2">
      <c r="A1028" s="92" t="s">
        <v>1504</v>
      </c>
      <c r="B1028">
        <v>201</v>
      </c>
    </row>
    <row r="1029" spans="1:2">
      <c r="A1029" s="92" t="s">
        <v>514</v>
      </c>
      <c r="B1029" s="101">
        <v>1061</v>
      </c>
    </row>
    <row r="1030" spans="1:2">
      <c r="A1030" s="92" t="s">
        <v>2406</v>
      </c>
      <c r="B1030">
        <v>656</v>
      </c>
    </row>
    <row r="1031" spans="1:2">
      <c r="A1031" s="92" t="s">
        <v>1688</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9"/>
  <sheetViews>
    <sheetView workbookViewId="0">
      <selection activeCell="D1" sqref="D1"/>
    </sheetView>
  </sheetViews>
  <sheetFormatPr defaultRowHeight="12.75"/>
  <cols>
    <col min="1" max="1" width="9.140625" style="64" customWidth="1"/>
    <col min="2" max="2" width="86" style="35" customWidth="1"/>
    <col min="3" max="3" width="4.140625" style="35" customWidth="1"/>
    <col min="4" max="4" width="20.5703125" style="35" customWidth="1"/>
    <col min="5" max="5" width="17.5703125" style="35" customWidth="1"/>
    <col min="6" max="12" width="9.140625" style="35" customWidth="1"/>
  </cols>
  <sheetData>
    <row r="1" spans="1:12">
      <c r="A1" s="380" t="s">
        <v>2864</v>
      </c>
      <c r="C1" s="755"/>
      <c r="D1" s="3054" t="str">
        <f>'Data Entry - SOF'!S1</f>
        <v>Release 10</v>
      </c>
    </row>
    <row r="2" spans="1:12">
      <c r="A2" s="484" t="s">
        <v>9515</v>
      </c>
      <c r="D2" s="4642">
        <f>'Data Entry - SOF'!S2</f>
        <v>43724</v>
      </c>
    </row>
    <row r="3" spans="1:12">
      <c r="D3" s="58"/>
    </row>
    <row r="4" spans="1:12" s="382" customFormat="1" ht="15.75">
      <c r="A4" s="381" t="s">
        <v>3930</v>
      </c>
      <c r="B4" s="325"/>
      <c r="C4" s="325"/>
      <c r="D4" s="325"/>
      <c r="E4" s="325"/>
      <c r="F4" s="325"/>
      <c r="G4" s="325"/>
      <c r="H4" s="325"/>
      <c r="I4" s="325"/>
      <c r="J4" s="325"/>
      <c r="K4" s="325"/>
      <c r="L4" s="325"/>
    </row>
    <row r="5" spans="1:12" s="382" customFormat="1" ht="15.75">
      <c r="A5" s="383">
        <f>'Data Entry - SOF'!B1</f>
        <v>0</v>
      </c>
      <c r="B5" s="325"/>
      <c r="C5" s="325"/>
      <c r="D5" s="325"/>
      <c r="E5" s="325"/>
      <c r="F5" s="325"/>
      <c r="G5" s="325"/>
      <c r="H5" s="325"/>
      <c r="I5" s="325"/>
      <c r="J5" s="325"/>
      <c r="K5" s="325"/>
      <c r="L5" s="325"/>
    </row>
    <row r="6" spans="1:12" s="382" customFormat="1" ht="15.75">
      <c r="A6" s="381">
        <f>'Data Entry - SOF'!B2</f>
        <v>0</v>
      </c>
      <c r="B6" s="325"/>
      <c r="C6" s="325"/>
      <c r="D6" s="325"/>
      <c r="E6" s="325"/>
      <c r="F6" s="325"/>
      <c r="G6" s="325"/>
      <c r="H6" s="325"/>
      <c r="I6" s="325"/>
      <c r="J6" s="325"/>
      <c r="K6" s="325"/>
      <c r="L6" s="325"/>
    </row>
    <row r="7" spans="1:12" s="382" customFormat="1" ht="15.75">
      <c r="A7" s="381"/>
      <c r="B7" s="325"/>
      <c r="C7" s="325"/>
      <c r="D7" s="325"/>
      <c r="E7" s="325"/>
      <c r="F7" s="325"/>
      <c r="G7" s="325"/>
      <c r="H7" s="325"/>
      <c r="I7" s="325"/>
      <c r="J7" s="325"/>
      <c r="K7" s="325"/>
      <c r="L7" s="325"/>
    </row>
    <row r="8" spans="1:12" s="382" customFormat="1" ht="18">
      <c r="A8" s="564" t="s">
        <v>2707</v>
      </c>
      <c r="B8" s="1288"/>
      <c r="C8" s="1289"/>
      <c r="D8" s="532" t="s">
        <v>2715</v>
      </c>
      <c r="E8" s="325"/>
      <c r="F8" s="325"/>
      <c r="G8" s="325"/>
      <c r="H8" s="325"/>
      <c r="I8" s="325"/>
      <c r="J8" s="325"/>
      <c r="K8" s="325"/>
      <c r="L8" s="325"/>
    </row>
    <row r="9" spans="1:12" s="382" customFormat="1" ht="18">
      <c r="A9" s="1372" t="s">
        <v>2708</v>
      </c>
      <c r="B9" s="1387"/>
      <c r="C9" s="1373"/>
      <c r="D9" s="533" t="s">
        <v>2716</v>
      </c>
      <c r="E9" s="325"/>
      <c r="F9" s="325"/>
      <c r="G9" s="325"/>
      <c r="H9" s="325"/>
      <c r="I9" s="325"/>
      <c r="J9" s="325"/>
      <c r="K9" s="325"/>
      <c r="L9" s="325"/>
    </row>
    <row r="10" spans="1:12" s="382" customFormat="1" ht="15.75">
      <c r="A10" s="385" t="s">
        <v>2186</v>
      </c>
      <c r="B10" s="386" t="s">
        <v>2709</v>
      </c>
      <c r="C10" s="386"/>
      <c r="D10" s="387">
        <f>'Data Entry - SOF'!M19</f>
        <v>0</v>
      </c>
      <c r="E10" s="325"/>
      <c r="F10" s="325"/>
      <c r="G10" s="325"/>
      <c r="H10" s="325"/>
      <c r="I10" s="325"/>
      <c r="J10" s="325"/>
      <c r="K10" s="325"/>
      <c r="L10" s="325"/>
    </row>
    <row r="11" spans="1:12" s="382" customFormat="1" ht="15.75">
      <c r="A11" s="385" t="s">
        <v>2187</v>
      </c>
      <c r="B11" s="718" t="s">
        <v>3353</v>
      </c>
      <c r="C11" s="386"/>
      <c r="D11" s="387">
        <f>'Calc Data'!G12</f>
        <v>0</v>
      </c>
      <c r="E11" s="325"/>
      <c r="F11" s="325"/>
      <c r="G11" s="325"/>
      <c r="H11" s="325"/>
      <c r="I11" s="325"/>
      <c r="J11" s="325"/>
      <c r="K11" s="325"/>
      <c r="L11" s="325"/>
    </row>
    <row r="12" spans="1:12" s="382" customFormat="1" ht="15.75">
      <c r="A12" s="385" t="s">
        <v>2188</v>
      </c>
      <c r="B12" s="638" t="s">
        <v>4007</v>
      </c>
      <c r="C12" s="386"/>
      <c r="D12" s="387">
        <f>'Calc Data'!G8</f>
        <v>0</v>
      </c>
      <c r="E12" s="325"/>
      <c r="F12" s="325"/>
      <c r="G12" s="325"/>
      <c r="H12" s="325"/>
      <c r="I12" s="325"/>
      <c r="J12" s="325"/>
      <c r="K12" s="325"/>
      <c r="L12" s="325"/>
    </row>
    <row r="13" spans="1:12" s="382" customFormat="1" ht="15.75">
      <c r="A13" s="385" t="s">
        <v>909</v>
      </c>
      <c r="B13" s="386" t="s">
        <v>824</v>
      </c>
      <c r="C13" s="386"/>
      <c r="D13" s="387">
        <f>'Data Entry - SOF'!M36</f>
        <v>0</v>
      </c>
      <c r="E13" s="325"/>
      <c r="F13" s="325"/>
      <c r="G13" s="325"/>
      <c r="H13" s="325"/>
      <c r="I13" s="325"/>
      <c r="J13" s="325"/>
      <c r="K13" s="325"/>
      <c r="L13" s="325"/>
    </row>
    <row r="14" spans="1:12" s="382" customFormat="1" ht="15.75">
      <c r="A14" s="385" t="s">
        <v>910</v>
      </c>
      <c r="B14" s="386" t="s">
        <v>643</v>
      </c>
      <c r="C14" s="386"/>
      <c r="D14" s="387">
        <f>'Data Entry - SOF'!M38</f>
        <v>0</v>
      </c>
      <c r="E14" s="325"/>
      <c r="F14" s="325"/>
      <c r="G14" s="325"/>
      <c r="H14" s="325"/>
      <c r="I14" s="325"/>
      <c r="J14" s="325"/>
      <c r="K14" s="325"/>
      <c r="L14" s="325"/>
    </row>
    <row r="15" spans="1:12" s="382" customFormat="1" ht="15.75">
      <c r="A15" s="385" t="s">
        <v>913</v>
      </c>
      <c r="B15" s="719" t="s">
        <v>3356</v>
      </c>
      <c r="C15" s="386"/>
      <c r="D15" s="387" t="e">
        <f>'SOF2021-HB3'!L66</f>
        <v>#DIV/0!</v>
      </c>
      <c r="E15" s="325"/>
      <c r="F15" s="325"/>
      <c r="G15" s="325"/>
      <c r="H15" s="325"/>
      <c r="I15" s="325"/>
      <c r="J15" s="325"/>
      <c r="K15" s="325"/>
      <c r="L15" s="325"/>
    </row>
    <row r="16" spans="1:12" s="382" customFormat="1" ht="15.75">
      <c r="A16" s="385" t="s">
        <v>914</v>
      </c>
      <c r="B16" s="386" t="s">
        <v>2712</v>
      </c>
      <c r="C16" s="386"/>
      <c r="D16" s="387">
        <f>'Data Entry - SOF'!K19</f>
        <v>0</v>
      </c>
      <c r="E16" s="325"/>
      <c r="F16" s="325"/>
      <c r="G16" s="325"/>
      <c r="H16" s="325"/>
      <c r="I16" s="325"/>
      <c r="J16" s="325"/>
      <c r="K16" s="325"/>
      <c r="L16" s="325"/>
    </row>
    <row r="17" spans="1:12" s="382" customFormat="1" ht="15.75">
      <c r="A17" s="385" t="s">
        <v>118</v>
      </c>
      <c r="B17" s="386" t="s">
        <v>2713</v>
      </c>
      <c r="C17" s="386"/>
      <c r="D17" s="387">
        <f>'Data Entry - SOF'!M111</f>
        <v>0</v>
      </c>
      <c r="E17" s="325"/>
      <c r="F17" s="325"/>
      <c r="G17" s="325"/>
      <c r="H17" s="325"/>
      <c r="I17" s="325"/>
      <c r="J17" s="325"/>
      <c r="K17" s="325"/>
      <c r="L17" s="325"/>
    </row>
    <row r="18" spans="1:12" s="382" customFormat="1" ht="15.75">
      <c r="A18" s="385" t="s">
        <v>119</v>
      </c>
      <c r="B18" s="386" t="s">
        <v>2714</v>
      </c>
      <c r="C18" s="386"/>
      <c r="D18" s="387">
        <f>'Data Entry - SOF'!M110</f>
        <v>0</v>
      </c>
      <c r="E18" s="325"/>
      <c r="F18" s="325"/>
      <c r="G18" s="325"/>
      <c r="H18" s="325"/>
      <c r="I18" s="325"/>
      <c r="J18" s="325"/>
      <c r="K18" s="325"/>
      <c r="L18" s="325"/>
    </row>
    <row r="19" spans="1:12" s="382" customFormat="1" ht="18">
      <c r="A19" s="1372" t="s">
        <v>2720</v>
      </c>
      <c r="B19" s="1387"/>
      <c r="C19" s="1387"/>
      <c r="D19" s="1373"/>
      <c r="E19" s="325"/>
      <c r="F19" s="325"/>
      <c r="G19" s="325"/>
      <c r="H19" s="325"/>
      <c r="I19" s="325"/>
      <c r="J19" s="325"/>
      <c r="K19" s="325"/>
      <c r="L19" s="325"/>
    </row>
    <row r="20" spans="1:12" s="382" customFormat="1" ht="15.75">
      <c r="A20" s="385" t="s">
        <v>6</v>
      </c>
      <c r="B20" s="386" t="s">
        <v>9487</v>
      </c>
      <c r="C20" s="386"/>
      <c r="D20" s="388">
        <f>'Data Entry - SOF'!M73</f>
        <v>0</v>
      </c>
      <c r="E20" s="325"/>
      <c r="F20" s="325"/>
      <c r="G20" s="325"/>
      <c r="H20" s="325"/>
      <c r="I20" s="325"/>
      <c r="J20" s="325"/>
      <c r="K20" s="325"/>
      <c r="L20" s="325"/>
    </row>
    <row r="21" spans="1:12" s="382" customFormat="1" ht="18">
      <c r="A21" s="1372" t="s">
        <v>2721</v>
      </c>
      <c r="B21" s="1387"/>
      <c r="C21" s="1387"/>
      <c r="D21" s="1373"/>
      <c r="E21" s="325"/>
      <c r="F21" s="325"/>
      <c r="G21" s="325"/>
      <c r="H21" s="325"/>
      <c r="I21" s="325"/>
      <c r="J21" s="325"/>
      <c r="K21" s="325"/>
      <c r="L21" s="325"/>
    </row>
    <row r="22" spans="1:12" s="382" customFormat="1" ht="15.75">
      <c r="A22" s="385" t="s">
        <v>2233</v>
      </c>
      <c r="B22" s="386" t="s">
        <v>3985</v>
      </c>
      <c r="C22" s="384"/>
      <c r="D22" s="4643">
        <f>'Data Entry - SOF'!M154</f>
        <v>0</v>
      </c>
      <c r="E22" s="325"/>
      <c r="F22" s="325"/>
      <c r="G22" s="325"/>
      <c r="H22" s="325"/>
      <c r="I22" s="325"/>
      <c r="J22" s="325"/>
      <c r="K22" s="325"/>
      <c r="L22" s="325"/>
    </row>
    <row r="23" spans="1:12" s="382" customFormat="1" ht="15.75">
      <c r="A23" s="385" t="s">
        <v>2723</v>
      </c>
      <c r="B23" s="386" t="s">
        <v>3986</v>
      </c>
      <c r="C23" s="384"/>
      <c r="D23" s="4643">
        <f>'Data Entry - SOF'!M92</f>
        <v>1.17</v>
      </c>
      <c r="E23" s="325"/>
      <c r="F23" s="325"/>
      <c r="G23" s="325"/>
      <c r="H23" s="325"/>
      <c r="I23" s="325"/>
      <c r="J23" s="325"/>
      <c r="K23" s="325"/>
      <c r="L23" s="325"/>
    </row>
    <row r="24" spans="1:12" s="382" customFormat="1" ht="15.75">
      <c r="A24" s="385" t="s">
        <v>2726</v>
      </c>
      <c r="B24" s="638" t="s">
        <v>4006</v>
      </c>
      <c r="C24" s="386"/>
      <c r="D24" s="390">
        <f>'Data Entry - SOF'!M96</f>
        <v>0</v>
      </c>
      <c r="E24" s="325"/>
      <c r="F24" s="325"/>
      <c r="G24" s="325"/>
      <c r="H24" s="325"/>
      <c r="I24" s="325"/>
      <c r="J24" s="325"/>
      <c r="K24" s="325"/>
      <c r="L24" s="325"/>
    </row>
    <row r="25" spans="1:12" s="382" customFormat="1" ht="15.75">
      <c r="A25" s="385" t="s">
        <v>2727</v>
      </c>
      <c r="B25" s="386" t="s">
        <v>3987</v>
      </c>
      <c r="C25" s="386"/>
      <c r="D25" s="390">
        <f>'Data Entry - SOF'!M101</f>
        <v>0</v>
      </c>
      <c r="E25" s="325"/>
      <c r="F25" s="325"/>
      <c r="G25" s="325"/>
      <c r="H25" s="325"/>
      <c r="I25" s="325"/>
      <c r="J25" s="325"/>
      <c r="K25" s="325"/>
      <c r="L25" s="325"/>
    </row>
    <row r="26" spans="1:12" s="382" customFormat="1" ht="15.75">
      <c r="A26" s="385" t="s">
        <v>2728</v>
      </c>
      <c r="B26" s="386" t="s">
        <v>3988</v>
      </c>
      <c r="C26" s="386"/>
      <c r="D26" s="390">
        <f>D24+D25</f>
        <v>0</v>
      </c>
      <c r="E26" s="325"/>
      <c r="F26" s="325"/>
      <c r="G26" s="325"/>
      <c r="H26" s="325"/>
      <c r="I26" s="325"/>
      <c r="J26" s="325"/>
      <c r="K26" s="325"/>
      <c r="L26" s="325"/>
    </row>
    <row r="27" spans="1:12" s="382" customFormat="1" ht="15.75">
      <c r="A27" s="385" t="s">
        <v>2729</v>
      </c>
      <c r="B27" s="386" t="s">
        <v>3989</v>
      </c>
      <c r="C27" s="386"/>
      <c r="D27" s="390">
        <f>'Data Entry - SOF'!M112</f>
        <v>0</v>
      </c>
      <c r="E27" s="325"/>
      <c r="F27" s="325"/>
      <c r="G27" s="325"/>
      <c r="H27" s="325"/>
      <c r="I27" s="325"/>
      <c r="J27" s="325"/>
      <c r="K27" s="325"/>
      <c r="L27" s="325"/>
    </row>
    <row r="28" spans="1:12" s="382" customFormat="1" ht="18">
      <c r="A28" s="1372" t="s">
        <v>2730</v>
      </c>
      <c r="B28" s="1387"/>
      <c r="C28" s="1387"/>
      <c r="D28" s="1373"/>
      <c r="E28" s="325"/>
      <c r="F28" s="325"/>
      <c r="G28" s="325"/>
      <c r="H28" s="325"/>
      <c r="I28" s="325"/>
      <c r="J28" s="325"/>
      <c r="K28" s="325"/>
      <c r="L28" s="325"/>
    </row>
    <row r="29" spans="1:12" s="382" customFormat="1" ht="15.75">
      <c r="A29" s="551" t="s">
        <v>2731</v>
      </c>
      <c r="B29" s="4645" t="s">
        <v>9178</v>
      </c>
      <c r="C29" s="404"/>
      <c r="D29" s="772" t="e">
        <f>Assumptions!H127</f>
        <v>#DIV/0!</v>
      </c>
      <c r="E29" s="325"/>
      <c r="F29" s="325"/>
      <c r="G29" s="325"/>
      <c r="H29" s="325"/>
      <c r="I29" s="325"/>
      <c r="J29" s="325"/>
      <c r="K29" s="325"/>
      <c r="L29" s="325"/>
    </row>
    <row r="30" spans="1:12" s="382" customFormat="1" ht="15.75">
      <c r="A30" s="385" t="s">
        <v>2735</v>
      </c>
      <c r="B30" s="386" t="s">
        <v>2738</v>
      </c>
      <c r="C30" s="386"/>
      <c r="D30" s="392">
        <f>Assumptions!H132</f>
        <v>400</v>
      </c>
      <c r="E30" s="325"/>
      <c r="F30" s="325"/>
      <c r="G30" s="325"/>
      <c r="H30" s="325"/>
      <c r="I30" s="325"/>
      <c r="J30" s="325"/>
      <c r="K30" s="325"/>
      <c r="L30" s="325"/>
    </row>
    <row r="31" spans="1:12" s="382" customFormat="1" ht="18">
      <c r="A31" s="1372" t="s">
        <v>2739</v>
      </c>
      <c r="B31" s="1387"/>
      <c r="C31" s="1387"/>
      <c r="D31" s="1373"/>
      <c r="E31" s="325"/>
      <c r="F31" s="325"/>
      <c r="G31" s="325"/>
      <c r="H31" s="325"/>
      <c r="I31" s="325"/>
      <c r="J31" s="325"/>
      <c r="K31" s="325"/>
      <c r="L31" s="325"/>
    </row>
    <row r="32" spans="1:12" s="382" customFormat="1" ht="18">
      <c r="A32" s="1378"/>
      <c r="B32" s="1388" t="s">
        <v>2759</v>
      </c>
      <c r="C32" s="1387"/>
      <c r="D32" s="1373"/>
      <c r="E32" s="325"/>
      <c r="F32" s="325"/>
      <c r="G32" s="325"/>
      <c r="H32" s="325"/>
      <c r="I32" s="325"/>
      <c r="J32" s="325"/>
      <c r="K32" s="325"/>
      <c r="L32" s="325"/>
    </row>
    <row r="33" spans="1:12" s="382" customFormat="1" ht="15.75">
      <c r="A33" s="385" t="s">
        <v>2740</v>
      </c>
      <c r="B33" s="386" t="s">
        <v>2760</v>
      </c>
      <c r="C33" s="386"/>
      <c r="D33" s="390">
        <f>'SOF2021-SB1'!H20</f>
        <v>0</v>
      </c>
      <c r="E33" s="325"/>
      <c r="F33" s="325"/>
      <c r="G33" s="325"/>
      <c r="H33" s="325"/>
      <c r="I33" s="325"/>
      <c r="J33" s="325"/>
      <c r="K33" s="325"/>
      <c r="L33" s="325"/>
    </row>
    <row r="34" spans="1:12" s="382" customFormat="1" ht="15.75">
      <c r="A34" s="385" t="s">
        <v>2741</v>
      </c>
      <c r="B34" s="386" t="s">
        <v>9488</v>
      </c>
      <c r="C34" s="386"/>
      <c r="D34" s="390" t="e">
        <f>SUM('SOF2021-HB3'!I22:I28)</f>
        <v>#DIV/0!</v>
      </c>
      <c r="E34" s="325"/>
      <c r="F34" s="325"/>
      <c r="G34" s="325"/>
      <c r="H34" s="325"/>
      <c r="I34" s="325"/>
      <c r="J34" s="325"/>
      <c r="K34" s="325"/>
      <c r="L34" s="325"/>
    </row>
    <row r="35" spans="1:12" s="382" customFormat="1" ht="15.75">
      <c r="A35" s="385" t="s">
        <v>2742</v>
      </c>
      <c r="B35" s="386" t="s">
        <v>9489</v>
      </c>
      <c r="C35" s="386"/>
      <c r="D35" s="390" t="e">
        <f>'SOF2021-HB3'!I29+'SOF2021-HB3'!I30</f>
        <v>#DIV/0!</v>
      </c>
      <c r="E35" s="325"/>
      <c r="F35" s="325"/>
      <c r="G35" s="325"/>
      <c r="H35" s="325"/>
      <c r="I35" s="325"/>
      <c r="J35" s="325"/>
      <c r="K35" s="325"/>
      <c r="L35" s="325"/>
    </row>
    <row r="36" spans="1:12" s="382" customFormat="1" ht="15.75">
      <c r="A36" s="385" t="s">
        <v>2744</v>
      </c>
      <c r="B36" s="386" t="s">
        <v>9490</v>
      </c>
      <c r="C36" s="386"/>
      <c r="D36" s="390" t="e">
        <f>SUM('SOF2021-HB3'!I36:I43)</f>
        <v>#DIV/0!</v>
      </c>
      <c r="E36" s="325"/>
      <c r="F36" s="325"/>
      <c r="G36" s="325"/>
      <c r="H36" s="325"/>
      <c r="I36" s="325"/>
      <c r="J36" s="325"/>
      <c r="K36" s="325"/>
      <c r="L36" s="325"/>
    </row>
    <row r="37" spans="1:12" s="382" customFormat="1" ht="15.75">
      <c r="A37" s="385" t="s">
        <v>2745</v>
      </c>
      <c r="B37" s="386" t="s">
        <v>9491</v>
      </c>
      <c r="C37" s="386"/>
      <c r="D37" s="390" t="e">
        <f>SUM('SOF2021-HB3'!I46:I48)</f>
        <v>#DIV/0!</v>
      </c>
      <c r="E37" s="325"/>
      <c r="F37" s="325"/>
      <c r="G37" s="325"/>
      <c r="H37" s="325"/>
      <c r="I37" s="325"/>
      <c r="J37" s="325"/>
      <c r="K37" s="325"/>
      <c r="L37" s="325"/>
    </row>
    <row r="38" spans="1:12" s="382" customFormat="1" ht="15.75">
      <c r="A38" s="385" t="s">
        <v>2746</v>
      </c>
      <c r="B38" s="386" t="s">
        <v>2761</v>
      </c>
      <c r="C38" s="386"/>
      <c r="D38" s="390">
        <f>'SOF2021-SB1'!I53</f>
        <v>0</v>
      </c>
      <c r="E38" s="325"/>
      <c r="F38" s="325"/>
      <c r="G38" s="325"/>
      <c r="H38" s="325"/>
      <c r="I38" s="325"/>
      <c r="J38" s="325"/>
      <c r="K38" s="325"/>
      <c r="L38" s="325"/>
    </row>
    <row r="39" spans="1:12" s="382" customFormat="1" ht="15.75">
      <c r="A39" s="385" t="s">
        <v>2747</v>
      </c>
      <c r="B39" s="386" t="s">
        <v>2771</v>
      </c>
      <c r="C39" s="386"/>
      <c r="D39" s="390">
        <f>'SOF2021-SB1'!I59</f>
        <v>0</v>
      </c>
      <c r="E39" s="325"/>
      <c r="F39" s="325"/>
      <c r="G39" s="325"/>
      <c r="H39" s="325"/>
      <c r="I39" s="325"/>
      <c r="J39" s="325"/>
      <c r="K39" s="325"/>
      <c r="L39" s="325"/>
    </row>
    <row r="40" spans="1:12" s="382" customFormat="1" ht="15.75">
      <c r="A40" s="385" t="s">
        <v>2748</v>
      </c>
      <c r="B40" s="386" t="s">
        <v>3192</v>
      </c>
      <c r="C40" s="386"/>
      <c r="D40" s="390">
        <f>'SOF2021-SB1'!I60</f>
        <v>0</v>
      </c>
      <c r="E40" s="325"/>
      <c r="F40" s="325"/>
      <c r="G40" s="325"/>
      <c r="H40" s="325"/>
      <c r="I40" s="325"/>
      <c r="J40" s="325"/>
      <c r="K40" s="325"/>
      <c r="L40" s="325"/>
    </row>
    <row r="41" spans="1:12" s="382" customFormat="1" ht="15.75">
      <c r="A41" s="4641"/>
      <c r="B41" s="3265" t="s">
        <v>9179</v>
      </c>
      <c r="C41" s="4636"/>
      <c r="D41" s="4637">
        <f>'SOF2021-HB3'!I21</f>
        <v>0</v>
      </c>
      <c r="E41" s="325"/>
      <c r="F41" s="325"/>
      <c r="G41" s="325"/>
      <c r="H41" s="325"/>
      <c r="I41" s="325"/>
      <c r="J41" s="325"/>
      <c r="K41" s="325"/>
      <c r="L41" s="325"/>
    </row>
    <row r="42" spans="1:12" s="382" customFormat="1" ht="15.75">
      <c r="A42" s="4641"/>
      <c r="B42" s="3265" t="s">
        <v>10162</v>
      </c>
      <c r="C42" s="4636"/>
      <c r="D42" s="4637" t="e">
        <f>'SOF2021-HB3'!I49</f>
        <v>#DIV/0!</v>
      </c>
      <c r="E42" s="325"/>
      <c r="F42" s="325"/>
      <c r="G42" s="325"/>
      <c r="H42" s="325"/>
      <c r="I42" s="325"/>
      <c r="J42" s="325"/>
      <c r="K42" s="325"/>
      <c r="L42" s="325"/>
    </row>
    <row r="43" spans="1:12" s="382" customFormat="1" ht="15.75">
      <c r="A43" s="4641"/>
      <c r="B43" s="3265" t="s">
        <v>10161</v>
      </c>
      <c r="C43" s="4636"/>
      <c r="D43" s="4637" t="e">
        <f>'SOF2021-HB3'!I50</f>
        <v>#DIV/0!</v>
      </c>
      <c r="E43" s="325"/>
      <c r="F43" s="325"/>
      <c r="G43" s="325"/>
      <c r="H43" s="325"/>
      <c r="I43" s="325"/>
      <c r="J43" s="325"/>
      <c r="K43" s="325"/>
      <c r="L43" s="325"/>
    </row>
    <row r="44" spans="1:12" s="382" customFormat="1" ht="15.75">
      <c r="A44" s="4675"/>
      <c r="B44" s="4676" t="s">
        <v>10160</v>
      </c>
      <c r="C44" s="4677"/>
      <c r="D44" s="4637">
        <f>'SOF2021-HB3'!I51</f>
        <v>0</v>
      </c>
      <c r="E44" s="325"/>
      <c r="F44" s="325"/>
      <c r="G44" s="325"/>
      <c r="H44" s="325"/>
      <c r="I44" s="325"/>
      <c r="J44" s="325"/>
      <c r="K44" s="325"/>
      <c r="L44" s="325"/>
    </row>
    <row r="45" spans="1:12" s="382" customFormat="1" ht="15.75">
      <c r="A45" s="4641"/>
      <c r="B45" s="3265" t="s">
        <v>9180</v>
      </c>
      <c r="C45" s="4636"/>
      <c r="D45" s="4637">
        <f>'SOF2021-HB3'!I54</f>
        <v>0</v>
      </c>
      <c r="E45" s="325"/>
      <c r="F45" s="325"/>
      <c r="G45" s="325"/>
      <c r="H45" s="325"/>
      <c r="I45" s="325"/>
      <c r="J45" s="325"/>
      <c r="K45" s="325"/>
      <c r="L45" s="325"/>
    </row>
    <row r="46" spans="1:12" s="382" customFormat="1" ht="15.75">
      <c r="A46" s="4641"/>
      <c r="B46" s="3265" t="s">
        <v>9181</v>
      </c>
      <c r="C46" s="4636"/>
      <c r="D46" s="4637">
        <f>'SOF2021-HB3'!I55</f>
        <v>0</v>
      </c>
      <c r="E46" s="325"/>
      <c r="F46" s="325"/>
      <c r="G46" s="325"/>
      <c r="H46" s="325"/>
      <c r="I46" s="325"/>
      <c r="J46" s="325"/>
      <c r="K46" s="325"/>
      <c r="L46" s="325"/>
    </row>
    <row r="47" spans="1:12" s="382" customFormat="1" ht="15.75">
      <c r="A47" s="4641"/>
      <c r="B47" s="3265" t="s">
        <v>9182</v>
      </c>
      <c r="C47" s="4636"/>
      <c r="D47" s="4637">
        <f>'SOF2021-HB3'!I56</f>
        <v>0</v>
      </c>
      <c r="E47" s="325"/>
      <c r="F47" s="325"/>
      <c r="G47" s="325"/>
      <c r="H47" s="325"/>
      <c r="I47" s="325"/>
      <c r="J47" s="325"/>
      <c r="K47" s="325"/>
      <c r="L47" s="325"/>
    </row>
    <row r="48" spans="1:12" s="382" customFormat="1" ht="15.75">
      <c r="A48" s="4641"/>
      <c r="B48" s="3265" t="s">
        <v>9183</v>
      </c>
      <c r="C48" s="4636"/>
      <c r="D48" s="4637">
        <f>'SOF2021-HB3'!I57</f>
        <v>0</v>
      </c>
      <c r="E48" s="325"/>
      <c r="F48" s="325"/>
      <c r="G48" s="325"/>
      <c r="H48" s="325"/>
      <c r="I48" s="325"/>
      <c r="J48" s="325"/>
      <c r="K48" s="325"/>
      <c r="L48" s="325"/>
    </row>
    <row r="49" spans="1:12" s="382" customFormat="1" ht="15.75">
      <c r="A49" s="4641"/>
      <c r="B49" s="3265" t="s">
        <v>9184</v>
      </c>
      <c r="C49" s="4636"/>
      <c r="D49" s="4637">
        <f>'SOF2021-HB3'!I63</f>
        <v>0</v>
      </c>
      <c r="E49" s="325"/>
      <c r="F49" s="325"/>
      <c r="G49" s="325"/>
      <c r="H49" s="325"/>
      <c r="I49" s="325"/>
      <c r="J49" s="325"/>
      <c r="K49" s="325"/>
      <c r="L49" s="325"/>
    </row>
    <row r="50" spans="1:12" s="382" customFormat="1" ht="15.75">
      <c r="A50" s="4641"/>
      <c r="B50" s="3265" t="s">
        <v>9185</v>
      </c>
      <c r="C50" s="4636"/>
      <c r="D50" s="4637">
        <f>'SOF2021-HB3'!I64</f>
        <v>0</v>
      </c>
      <c r="E50" s="325"/>
      <c r="F50" s="325"/>
      <c r="G50" s="325"/>
      <c r="H50" s="325"/>
      <c r="I50" s="325"/>
      <c r="J50" s="325"/>
      <c r="K50" s="325"/>
      <c r="L50" s="325"/>
    </row>
    <row r="51" spans="1:12" s="382" customFormat="1" ht="15.75">
      <c r="A51" s="4641"/>
      <c r="B51" s="3265" t="s">
        <v>8954</v>
      </c>
      <c r="C51" s="4636"/>
      <c r="D51" s="4637">
        <f>'SOF2021-HB3'!I65</f>
        <v>0</v>
      </c>
      <c r="E51" s="325"/>
      <c r="F51" s="325"/>
      <c r="G51" s="325"/>
      <c r="H51" s="325"/>
      <c r="I51" s="325"/>
      <c r="J51" s="325"/>
      <c r="K51" s="325"/>
      <c r="L51" s="325"/>
    </row>
    <row r="52" spans="1:12" s="382" customFormat="1" ht="15.75">
      <c r="A52" s="385" t="s">
        <v>2750</v>
      </c>
      <c r="B52" s="638" t="s">
        <v>4008</v>
      </c>
      <c r="C52" s="386"/>
      <c r="D52" s="390" t="e">
        <f>'SOF2021-HB3'!I66</f>
        <v>#DIV/0!</v>
      </c>
      <c r="E52" s="325"/>
      <c r="F52" s="325"/>
      <c r="G52" s="325"/>
      <c r="H52" s="325"/>
      <c r="I52" s="325"/>
      <c r="J52" s="325"/>
      <c r="K52" s="325"/>
      <c r="L52" s="325"/>
    </row>
    <row r="53" spans="1:12" s="382" customFormat="1" ht="15.75">
      <c r="A53" s="385" t="s">
        <v>2751</v>
      </c>
      <c r="B53" s="386" t="s">
        <v>2763</v>
      </c>
      <c r="C53" s="386"/>
      <c r="D53" s="390" t="e">
        <f>'SOF2021-HB3'!I67</f>
        <v>#DIV/0!</v>
      </c>
      <c r="E53" s="325"/>
      <c r="F53" s="325"/>
      <c r="G53" s="325"/>
      <c r="H53" s="325"/>
      <c r="I53" s="325"/>
      <c r="J53" s="325"/>
      <c r="K53" s="325"/>
      <c r="L53" s="325"/>
    </row>
    <row r="54" spans="1:12" s="382" customFormat="1" ht="15.75">
      <c r="A54" s="385" t="s">
        <v>2752</v>
      </c>
      <c r="B54" s="386" t="s">
        <v>785</v>
      </c>
      <c r="C54" s="386"/>
      <c r="D54" s="390" t="e">
        <f>'SOF2021-HB3'!I68</f>
        <v>#DIV/0!</v>
      </c>
      <c r="E54" s="325"/>
      <c r="F54" s="325"/>
      <c r="G54" s="325"/>
      <c r="H54" s="325"/>
      <c r="I54" s="325"/>
      <c r="J54" s="325"/>
      <c r="K54" s="325"/>
      <c r="L54" s="325"/>
    </row>
    <row r="55" spans="1:12" s="382" customFormat="1" ht="15.75">
      <c r="A55" s="385" t="s">
        <v>2753</v>
      </c>
      <c r="B55" s="386" t="s">
        <v>2764</v>
      </c>
      <c r="C55" s="386"/>
      <c r="D55" s="390">
        <f>'SOF2021-HB3'!I110</f>
        <v>0</v>
      </c>
      <c r="E55" s="325"/>
      <c r="F55" s="325"/>
      <c r="G55" s="325"/>
      <c r="H55" s="325"/>
      <c r="I55" s="325"/>
      <c r="J55" s="325"/>
      <c r="K55" s="325"/>
      <c r="L55" s="325"/>
    </row>
    <row r="56" spans="1:12" s="382" customFormat="1" ht="18">
      <c r="A56" s="1390" t="s">
        <v>3101</v>
      </c>
      <c r="B56" s="1391"/>
      <c r="C56" s="1391"/>
      <c r="D56" s="1381"/>
      <c r="E56" s="325"/>
      <c r="F56" s="325"/>
      <c r="G56" s="325"/>
      <c r="H56" s="325"/>
      <c r="I56" s="325"/>
      <c r="J56" s="325"/>
      <c r="K56" s="325"/>
      <c r="L56" s="325"/>
    </row>
    <row r="57" spans="1:12" s="382" customFormat="1" ht="18">
      <c r="A57" s="1382" t="s">
        <v>3102</v>
      </c>
      <c r="B57" s="1386"/>
      <c r="C57" s="1386"/>
      <c r="D57" s="1383"/>
      <c r="E57" s="325"/>
      <c r="F57" s="325"/>
      <c r="G57" s="325"/>
      <c r="H57" s="325"/>
      <c r="I57" s="325"/>
      <c r="J57" s="325"/>
      <c r="K57" s="325"/>
      <c r="L57" s="325"/>
    </row>
    <row r="58" spans="1:12" s="382" customFormat="1" ht="15.75">
      <c r="A58" s="385" t="s">
        <v>2754</v>
      </c>
      <c r="B58" s="386" t="s">
        <v>2765</v>
      </c>
      <c r="C58" s="386"/>
      <c r="D58" s="390" t="e">
        <f>'SOF2021-HB3'!I71</f>
        <v>#DIV/0!</v>
      </c>
      <c r="E58" s="325"/>
      <c r="F58" s="325"/>
      <c r="G58" s="325"/>
      <c r="H58" s="325"/>
      <c r="I58" s="325"/>
      <c r="J58" s="325"/>
      <c r="K58" s="325"/>
      <c r="L58" s="325"/>
    </row>
    <row r="59" spans="1:12" s="382" customFormat="1" ht="15.75">
      <c r="A59" s="385" t="s">
        <v>2755</v>
      </c>
      <c r="B59" s="640" t="s">
        <v>4009</v>
      </c>
      <c r="C59" s="386"/>
      <c r="D59" s="390" t="e">
        <f>'SOF2021-HB3'!I83</f>
        <v>#DIV/0!</v>
      </c>
      <c r="E59" s="325"/>
      <c r="F59" s="325"/>
      <c r="G59" s="325"/>
      <c r="H59" s="325"/>
      <c r="I59" s="325"/>
      <c r="J59" s="325"/>
      <c r="K59" s="325"/>
      <c r="L59" s="325"/>
    </row>
    <row r="60" spans="1:12" s="382" customFormat="1" ht="15.75">
      <c r="A60" s="385" t="s">
        <v>2756</v>
      </c>
      <c r="B60" s="638" t="s">
        <v>4010</v>
      </c>
      <c r="C60" s="386"/>
      <c r="D60" s="390" t="e">
        <f>'SOF2021-HB3'!I103</f>
        <v>#DIV/0!</v>
      </c>
      <c r="E60" s="325" t="s">
        <v>4016</v>
      </c>
      <c r="F60" s="325"/>
      <c r="G60" s="325"/>
      <c r="H60" s="325"/>
      <c r="I60" s="325"/>
      <c r="J60" s="325"/>
      <c r="K60" s="325"/>
      <c r="L60" s="325"/>
    </row>
    <row r="61" spans="1:12" s="382" customFormat="1" ht="15.75">
      <c r="A61" s="385" t="s">
        <v>2757</v>
      </c>
      <c r="B61" s="386" t="str">
        <f>CONCATENATE("Less: Total Available School Fund ($",Assumptions!G123," * Prior Year ADA)")</f>
        <v>Less: Total Available School Fund ($259.207 * Prior Year ADA)</v>
      </c>
      <c r="C61" s="386"/>
      <c r="D61" s="390">
        <f>'SOF2021-HB3'!I105*-1</f>
        <v>0</v>
      </c>
      <c r="E61" s="325"/>
      <c r="F61" s="325"/>
      <c r="G61" s="325"/>
      <c r="H61" s="325"/>
      <c r="I61" s="325"/>
      <c r="J61" s="325"/>
      <c r="K61" s="325"/>
      <c r="L61" s="325"/>
    </row>
    <row r="62" spans="1:12" s="382" customFormat="1" ht="15.75">
      <c r="A62" s="385" t="s">
        <v>2758</v>
      </c>
      <c r="B62" s="386" t="s">
        <v>2766</v>
      </c>
      <c r="C62" s="386"/>
      <c r="D62" s="390" t="e">
        <f>SUM(D58:D61)</f>
        <v>#DIV/0!</v>
      </c>
      <c r="E62" s="325"/>
      <c r="F62" s="325"/>
      <c r="G62" s="325"/>
      <c r="H62" s="325"/>
      <c r="I62" s="325"/>
      <c r="J62" s="325"/>
      <c r="K62" s="325"/>
      <c r="L62" s="325"/>
    </row>
    <row r="63" spans="1:12" s="382" customFormat="1" ht="18">
      <c r="A63" s="1372" t="s">
        <v>2772</v>
      </c>
      <c r="B63" s="1387"/>
      <c r="C63" s="1387"/>
      <c r="D63" s="1373"/>
      <c r="E63" s="325"/>
      <c r="F63" s="325"/>
      <c r="G63" s="325"/>
      <c r="H63" s="325"/>
      <c r="I63" s="325"/>
      <c r="J63" s="325"/>
      <c r="K63" s="325"/>
      <c r="L63" s="325"/>
    </row>
    <row r="64" spans="1:12" s="382" customFormat="1" ht="18">
      <c r="A64" s="1387"/>
      <c r="B64" s="1388" t="s">
        <v>2780</v>
      </c>
      <c r="C64" s="1387"/>
      <c r="D64" s="1373"/>
      <c r="E64" s="325"/>
      <c r="F64" s="325"/>
      <c r="G64" s="325"/>
      <c r="H64" s="325"/>
      <c r="I64" s="325"/>
      <c r="J64" s="325"/>
      <c r="K64" s="325"/>
      <c r="L64" s="325"/>
    </row>
    <row r="65" spans="1:12" s="382" customFormat="1" ht="15.75">
      <c r="A65" s="385" t="s">
        <v>2773</v>
      </c>
      <c r="B65" s="386" t="s">
        <v>2779</v>
      </c>
      <c r="C65" s="386"/>
      <c r="D65" s="390" t="e">
        <f>'SOF2021-HB3'!I109</f>
        <v>#DIV/0!</v>
      </c>
      <c r="E65" s="325"/>
      <c r="F65" s="325"/>
      <c r="G65" s="325"/>
      <c r="H65" s="325"/>
      <c r="I65" s="325"/>
      <c r="J65" s="325"/>
      <c r="K65" s="325"/>
      <c r="L65" s="325"/>
    </row>
    <row r="66" spans="1:12" s="382" customFormat="1" ht="15.75">
      <c r="A66" s="385" t="s">
        <v>2774</v>
      </c>
      <c r="B66" s="386" t="s">
        <v>3047</v>
      </c>
      <c r="C66" s="386"/>
      <c r="D66" s="390">
        <f>'SOF2021-HB3'!I110</f>
        <v>0</v>
      </c>
      <c r="E66" s="325"/>
      <c r="F66" s="325"/>
      <c r="G66" s="325"/>
      <c r="H66" s="325"/>
      <c r="I66" s="325"/>
      <c r="J66" s="325"/>
      <c r="K66" s="325"/>
      <c r="L66" s="325"/>
    </row>
    <row r="67" spans="1:12" s="382" customFormat="1" ht="15.75">
      <c r="A67" s="385" t="s">
        <v>2775</v>
      </c>
      <c r="B67" s="640" t="s">
        <v>4011</v>
      </c>
      <c r="C67" s="386"/>
      <c r="D67" s="390">
        <f>'SOF2021-HB3'!I112</f>
        <v>0</v>
      </c>
      <c r="E67" s="325"/>
      <c r="F67" s="325"/>
      <c r="G67" s="325"/>
      <c r="H67" s="325"/>
      <c r="I67" s="325"/>
      <c r="J67" s="325"/>
      <c r="K67" s="325"/>
      <c r="L67" s="325"/>
    </row>
    <row r="68" spans="1:12" s="382" customFormat="1" ht="15.75">
      <c r="A68" s="385" t="s">
        <v>2776</v>
      </c>
      <c r="B68" s="638" t="s">
        <v>4012</v>
      </c>
      <c r="C68" s="386"/>
      <c r="D68" s="390">
        <f>'IFA-HB3'!Q86</f>
        <v>0</v>
      </c>
      <c r="E68" s="325"/>
      <c r="F68" s="325"/>
      <c r="G68" s="325"/>
      <c r="H68" s="325"/>
      <c r="I68" s="325"/>
      <c r="J68" s="325"/>
      <c r="K68" s="325"/>
      <c r="L68" s="325"/>
    </row>
    <row r="69" spans="1:12" s="382" customFormat="1" ht="15.75">
      <c r="A69" s="385" t="s">
        <v>2777</v>
      </c>
      <c r="B69" s="718" t="s">
        <v>3362</v>
      </c>
      <c r="C69" s="386"/>
      <c r="D69" s="390">
        <f>'IFA-HB3'!S86</f>
        <v>0</v>
      </c>
      <c r="E69" s="325"/>
      <c r="F69" s="325"/>
      <c r="G69" s="325"/>
      <c r="H69" s="325"/>
      <c r="I69" s="325"/>
      <c r="J69" s="325"/>
      <c r="K69" s="325"/>
      <c r="L69" s="325"/>
    </row>
    <row r="70" spans="1:12" s="382" customFormat="1" ht="15.75">
      <c r="A70" s="385" t="s">
        <v>2778</v>
      </c>
      <c r="B70" s="386" t="s">
        <v>4037</v>
      </c>
      <c r="C70" s="386"/>
      <c r="D70" s="390" t="e">
        <f>'HH2021-Calcs'!C51</f>
        <v>#DIV/0!</v>
      </c>
      <c r="E70" s="325"/>
      <c r="F70" s="325"/>
      <c r="G70" s="325"/>
      <c r="H70" s="325"/>
      <c r="I70" s="325"/>
      <c r="J70" s="325"/>
      <c r="K70" s="325"/>
      <c r="L70" s="325"/>
    </row>
    <row r="71" spans="1:12" s="382" customFormat="1" ht="18">
      <c r="A71" s="514" t="s">
        <v>2917</v>
      </c>
      <c r="B71" s="1302" t="s">
        <v>3990</v>
      </c>
      <c r="C71" s="1393"/>
      <c r="D71" s="1404" t="e">
        <f>'SOF2021-SB1'!H80+'HH2021-Calcs'!D26+D70</f>
        <v>#DIV/0!</v>
      </c>
      <c r="E71" s="325" t="s">
        <v>4015</v>
      </c>
      <c r="F71" s="325"/>
      <c r="G71" s="325"/>
      <c r="H71" s="325"/>
      <c r="I71" s="325"/>
      <c r="J71" s="325"/>
      <c r="K71" s="325"/>
      <c r="L71" s="325"/>
    </row>
    <row r="72" spans="1:12" s="382" customFormat="1" ht="18">
      <c r="A72" s="423"/>
      <c r="B72" s="589"/>
      <c r="D72" s="590"/>
      <c r="E72" s="325"/>
      <c r="F72" s="325"/>
      <c r="G72" s="325"/>
      <c r="H72" s="325"/>
      <c r="I72" s="325"/>
      <c r="J72" s="325"/>
      <c r="K72" s="325"/>
      <c r="L72" s="325"/>
    </row>
    <row r="73" spans="1:12" s="382" customFormat="1" ht="15.75">
      <c r="A73" s="1392"/>
      <c r="B73" s="639" t="s">
        <v>4013</v>
      </c>
      <c r="C73" s="1378"/>
      <c r="D73" s="1378"/>
      <c r="E73" s="325"/>
      <c r="F73" s="325"/>
      <c r="G73" s="325"/>
      <c r="H73" s="325"/>
      <c r="I73" s="325"/>
      <c r="J73" s="325"/>
      <c r="K73" s="325"/>
      <c r="L73" s="325"/>
    </row>
    <row r="74" spans="1:12" s="382" customFormat="1" ht="15.75">
      <c r="A74" s="394"/>
      <c r="E74" s="325"/>
      <c r="F74" s="325"/>
      <c r="G74" s="325"/>
      <c r="H74" s="325"/>
      <c r="I74" s="325"/>
      <c r="J74" s="325"/>
      <c r="K74" s="325"/>
      <c r="L74" s="325"/>
    </row>
    <row r="75" spans="1:12" s="382" customFormat="1" ht="15.75">
      <c r="A75" s="381"/>
      <c r="E75" s="325"/>
      <c r="F75" s="325"/>
      <c r="G75" s="325"/>
      <c r="H75" s="325"/>
      <c r="I75" s="325"/>
      <c r="J75" s="325"/>
      <c r="K75" s="325"/>
      <c r="L75" s="325"/>
    </row>
    <row r="76" spans="1:12" ht="16.5" thickBot="1">
      <c r="A76" s="381" t="s">
        <v>3103</v>
      </c>
      <c r="B76" s="382"/>
      <c r="C76" s="382"/>
      <c r="D76" s="382"/>
    </row>
    <row r="77" spans="1:12" ht="16.5" thickTop="1">
      <c r="A77" s="498" t="s">
        <v>2457</v>
      </c>
      <c r="B77" s="421"/>
      <c r="C77" s="642"/>
      <c r="D77" s="420"/>
    </row>
    <row r="78" spans="1:12" ht="15.75">
      <c r="A78" s="645" t="s">
        <v>3206</v>
      </c>
      <c r="B78" s="650" t="s">
        <v>3219</v>
      </c>
      <c r="C78" s="384"/>
      <c r="D78" s="422" t="e">
        <f>'SOF2021-HB3'!I122</f>
        <v>#DIV/0!</v>
      </c>
    </row>
    <row r="79" spans="1:12" ht="15.75">
      <c r="A79" s="645" t="s">
        <v>3207</v>
      </c>
      <c r="B79" s="644" t="s">
        <v>9492</v>
      </c>
      <c r="C79" s="651"/>
      <c r="D79" s="422">
        <f>'Data Entry - SOF'!K96</f>
        <v>0</v>
      </c>
    </row>
    <row r="80" spans="1:12" ht="15.75">
      <c r="A80" s="645" t="s">
        <v>3208</v>
      </c>
      <c r="B80" s="644" t="s">
        <v>9493</v>
      </c>
      <c r="C80" s="384"/>
      <c r="D80" s="422" t="e">
        <f>'SOF2021-HB3'!I79</f>
        <v>#DIV/0!</v>
      </c>
    </row>
    <row r="81" spans="1:5" ht="15.75">
      <c r="A81" s="645" t="s">
        <v>3209</v>
      </c>
      <c r="B81" s="644" t="s">
        <v>9494</v>
      </c>
      <c r="C81" s="384"/>
      <c r="D81" s="422" t="e">
        <f>'SOF2021-HB3'!I87</f>
        <v>#DIV/0!</v>
      </c>
    </row>
    <row r="82" spans="1:5" ht="15.75">
      <c r="A82" s="4646"/>
      <c r="B82" s="4647" t="s">
        <v>9495</v>
      </c>
      <c r="C82" s="384"/>
      <c r="D82" s="1079" t="e">
        <f>D79-D80-D81</f>
        <v>#DIV/0!</v>
      </c>
    </row>
    <row r="83" spans="1:5" ht="15.75">
      <c r="A83" s="645" t="s">
        <v>3210</v>
      </c>
      <c r="B83" s="644" t="s">
        <v>9496</v>
      </c>
      <c r="C83" s="384"/>
      <c r="D83" s="422">
        <f>'Data Entry - SOF'!M142*-1</f>
        <v>0</v>
      </c>
    </row>
    <row r="84" spans="1:5" ht="15.75">
      <c r="A84" s="645" t="s">
        <v>3211</v>
      </c>
      <c r="B84" s="4649" t="s">
        <v>9497</v>
      </c>
      <c r="C84" s="384"/>
      <c r="D84" s="422" t="e">
        <f>D78+D82+D83</f>
        <v>#DIV/0!</v>
      </c>
    </row>
    <row r="85" spans="1:5" ht="13.5" customHeight="1">
      <c r="B85" s="450"/>
      <c r="C85" s="325"/>
      <c r="D85" s="325"/>
      <c r="E85" s="590"/>
    </row>
    <row r="86" spans="1:5" ht="13.5" thickBot="1">
      <c r="B86" s="64"/>
    </row>
    <row r="87" spans="1:5" ht="16.5" thickTop="1">
      <c r="A87" s="498" t="s">
        <v>3050</v>
      </c>
      <c r="B87" s="500"/>
      <c r="C87" s="500"/>
      <c r="D87" s="497"/>
    </row>
    <row r="88" spans="1:5" ht="15">
      <c r="A88" s="645" t="s">
        <v>3214</v>
      </c>
      <c r="B88" s="649" t="s">
        <v>9498</v>
      </c>
      <c r="C88" s="647"/>
      <c r="D88" s="422" t="e">
        <f>'SOF2021-HB3'!I79</f>
        <v>#DIV/0!</v>
      </c>
    </row>
    <row r="89" spans="1:5" ht="15">
      <c r="A89" s="645" t="s">
        <v>3215</v>
      </c>
      <c r="B89" s="649" t="s">
        <v>9494</v>
      </c>
      <c r="C89" s="647"/>
      <c r="D89" s="422" t="e">
        <f>'SOF2021-HB3'!I87</f>
        <v>#DIV/0!</v>
      </c>
    </row>
    <row r="90" spans="1:5" ht="15.75">
      <c r="A90" s="645" t="s">
        <v>3216</v>
      </c>
      <c r="B90" s="4650" t="s">
        <v>9500</v>
      </c>
      <c r="C90" s="647"/>
      <c r="D90" s="501" t="e">
        <f>D88+D89</f>
        <v>#DIV/0!</v>
      </c>
    </row>
    <row r="91" spans="1:5" ht="15">
      <c r="A91" s="645" t="s">
        <v>3217</v>
      </c>
      <c r="B91" s="649" t="s">
        <v>9499</v>
      </c>
      <c r="C91" s="647"/>
      <c r="D91" s="1080">
        <f>'Data Entry - SOF'!M142</f>
        <v>0</v>
      </c>
    </row>
    <row r="92" spans="1:5" ht="16.5" thickBot="1">
      <c r="A92" s="646" t="s">
        <v>3218</v>
      </c>
      <c r="B92" s="1297" t="s">
        <v>6956</v>
      </c>
      <c r="C92" s="648"/>
      <c r="D92" s="471" t="e">
        <f>D90+D91</f>
        <v>#DIV/0!</v>
      </c>
    </row>
    <row r="93" spans="1:5" ht="13.5" thickTop="1"/>
    <row r="97" spans="2:4" hidden="1">
      <c r="B97" s="72" t="s">
        <v>8278</v>
      </c>
      <c r="D97" s="1990">
        <f>'Report-M&amp;O2021'!C18</f>
        <v>0</v>
      </c>
    </row>
    <row r="98" spans="2:4" hidden="1">
      <c r="B98" s="72" t="s">
        <v>8279</v>
      </c>
      <c r="D98" s="1990" t="e">
        <f>D53</f>
        <v>#DIV/0!</v>
      </c>
    </row>
    <row r="99" spans="2:4" hidden="1">
      <c r="B99" s="72" t="s">
        <v>8280</v>
      </c>
      <c r="D99" s="35" t="e">
        <f>IF(D97-D98&lt;=0,0,D97-D98)</f>
        <v>#DIV/0!</v>
      </c>
    </row>
  </sheetData>
  <hyperlinks>
    <hyperlink ref="B11" location="'Report-Calculations'!A1" display="Regular Program ADA (Line 1 - Line 3 - Line 4)          "/>
    <hyperlink ref="B15" location="'Report-Calculations'!A1" display="Weighted ADA (WADA)                                                          (Link to Detail Report)"/>
    <hyperlink ref="B52" location="'Report-T1Detail2021'!A1" display="Total Cost of Tier I                                                           (Link to Tier I Detail Report)"/>
    <hyperlink ref="B59" location="'Report-T2Detail2021'!A1" display="Tier II State Aid)                                                              (Link to Tier II Detail Report)"/>
    <hyperlink ref="B60" location="'Report-Other2021'!A1" display="Other Programs                                                                        (Link to Detail Report)"/>
    <hyperlink ref="B67" location="'Report-EDA2021'!A1" display="599/5829 - Existing Debt Allotment (EDA)                            (Link to Detail Report)"/>
    <hyperlink ref="B68" location="'Report-IFA2021'!A1" display="599/5829 - Instructional Facilities Allotment (IFA) (Bond)    (Link to Detail Report)"/>
    <hyperlink ref="B73" location="'Report-FSF2021'!A1" display="FSP Allocations and Adjustments Report                              (Link to Detail Report)"/>
    <hyperlink ref="B12" location="'Report-SpEd2021'!A1" display="Special Education FTEs                                                          (Link to Detail Report)"/>
    <hyperlink ref="B69" location="'Report-IFA1920'!A1" display="599/5829 - Instructional Facilities Allotment (Lease Purchase)  (See Link Above)"/>
    <hyperlink ref="B24" location="'Report-M&amp;O2021'!A1" display="2020-21 M&amp;O Tax Collections                                                 (Link to Detail Report)"/>
    <hyperlink ref="B29" location="'Report-AA2021'!A1" display="Adjusted Allotment                                                                    (Link to Detail Report)"/>
    <hyperlink ref="B90" location="'Report-Recapture1920'!A1" display="Total 2019-20 Recapture"/>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1"/>
  <sheetViews>
    <sheetView workbookViewId="0">
      <selection activeCell="F19" sqref="F19"/>
    </sheetView>
  </sheetViews>
  <sheetFormatPr defaultRowHeight="12.75"/>
  <cols>
    <col min="1" max="1" width="9.140625" style="64" customWidth="1"/>
    <col min="2" max="2" width="86" style="35" customWidth="1"/>
    <col min="3" max="3" width="4.140625" style="35" customWidth="1"/>
    <col min="4" max="4" width="20.5703125" style="35" customWidth="1"/>
    <col min="5" max="5" width="17.5703125" style="35" customWidth="1"/>
    <col min="6" max="12" width="9.140625" style="35" customWidth="1"/>
  </cols>
  <sheetData>
    <row r="1" spans="1:12">
      <c r="A1" s="380" t="s">
        <v>2864</v>
      </c>
      <c r="C1" s="755"/>
      <c r="D1" s="3054" t="str">
        <f>'Data Entry - SOF'!S1</f>
        <v>Release 10</v>
      </c>
    </row>
    <row r="2" spans="1:12">
      <c r="A2" s="484" t="s">
        <v>9515</v>
      </c>
      <c r="D2" s="4642">
        <f>'Data Entry - SOF'!S2</f>
        <v>43724</v>
      </c>
    </row>
    <row r="3" spans="1:12">
      <c r="D3" s="58">
        <f>'Report-SOF1920-HB3'!D3</f>
        <v>0</v>
      </c>
    </row>
    <row r="4" spans="1:12" s="382" customFormat="1" ht="15.75">
      <c r="A4" s="381" t="s">
        <v>6874</v>
      </c>
      <c r="B4" s="325"/>
      <c r="C4" s="325"/>
      <c r="D4" s="325"/>
      <c r="E4" s="325"/>
      <c r="F4" s="325"/>
      <c r="G4" s="325"/>
      <c r="H4" s="325"/>
      <c r="I4" s="325"/>
      <c r="J4" s="325"/>
      <c r="K4" s="325"/>
      <c r="L4" s="325"/>
    </row>
    <row r="5" spans="1:12" s="382" customFormat="1" ht="15.75">
      <c r="A5" s="383">
        <f>'Data Entry - SOF'!B1</f>
        <v>0</v>
      </c>
      <c r="B5" s="325"/>
      <c r="C5" s="325"/>
      <c r="D5" s="325"/>
      <c r="E5" s="325"/>
      <c r="F5" s="325"/>
      <c r="G5" s="325"/>
      <c r="H5" s="325"/>
      <c r="I5" s="325"/>
      <c r="J5" s="325"/>
      <c r="K5" s="325"/>
      <c r="L5" s="325"/>
    </row>
    <row r="6" spans="1:12" s="382" customFormat="1" ht="15.75">
      <c r="A6" s="381">
        <f>'Data Entry - SOF'!B2</f>
        <v>0</v>
      </c>
      <c r="B6" s="325"/>
      <c r="C6" s="325"/>
      <c r="D6" s="325"/>
      <c r="E6" s="325"/>
      <c r="F6" s="325"/>
      <c r="G6" s="325"/>
      <c r="H6" s="325"/>
      <c r="I6" s="325"/>
      <c r="J6" s="325"/>
      <c r="K6" s="325"/>
      <c r="L6" s="325"/>
    </row>
    <row r="7" spans="1:12" s="382" customFormat="1" ht="15.75">
      <c r="A7" s="381"/>
      <c r="B7" s="325"/>
      <c r="C7" s="325"/>
      <c r="D7" s="325"/>
      <c r="E7" s="325"/>
      <c r="F7" s="325"/>
      <c r="G7" s="325"/>
      <c r="H7" s="325"/>
      <c r="I7" s="325"/>
      <c r="J7" s="325"/>
      <c r="K7" s="325"/>
      <c r="L7" s="325"/>
    </row>
    <row r="8" spans="1:12" s="382" customFormat="1" ht="18">
      <c r="A8" s="1300" t="s">
        <v>2707</v>
      </c>
      <c r="B8" s="922"/>
      <c r="C8" s="922"/>
      <c r="D8" s="532" t="s">
        <v>2715</v>
      </c>
      <c r="E8" s="325"/>
      <c r="F8" s="325"/>
      <c r="G8" s="325"/>
      <c r="H8" s="325"/>
      <c r="I8" s="325"/>
      <c r="J8" s="325"/>
      <c r="K8" s="325"/>
      <c r="L8" s="325"/>
    </row>
    <row r="9" spans="1:12" s="382" customFormat="1" ht="18">
      <c r="A9" s="1372" t="s">
        <v>2708</v>
      </c>
      <c r="B9" s="1387"/>
      <c r="C9" s="1373"/>
      <c r="D9" s="533" t="s">
        <v>2716</v>
      </c>
      <c r="E9" s="325"/>
      <c r="F9" s="325"/>
      <c r="G9" s="325"/>
      <c r="H9" s="325"/>
      <c r="I9" s="325"/>
      <c r="J9" s="325"/>
      <c r="K9" s="325"/>
      <c r="L9" s="325"/>
    </row>
    <row r="10" spans="1:12" s="382" customFormat="1" ht="15.75">
      <c r="A10" s="385" t="s">
        <v>2186</v>
      </c>
      <c r="B10" s="386" t="s">
        <v>2709</v>
      </c>
      <c r="C10" s="386"/>
      <c r="D10" s="387">
        <f>'SOF2122-SB1'!F8</f>
        <v>0</v>
      </c>
      <c r="E10" s="325"/>
      <c r="F10" s="325"/>
      <c r="G10" s="325"/>
      <c r="H10" s="325"/>
      <c r="I10" s="325"/>
      <c r="J10" s="325"/>
      <c r="K10" s="325"/>
      <c r="L10" s="325"/>
    </row>
    <row r="11" spans="1:12" s="382" customFormat="1" ht="15.75">
      <c r="A11" s="514" t="s">
        <v>2187</v>
      </c>
      <c r="B11" s="386" t="s">
        <v>6973</v>
      </c>
      <c r="C11" s="220"/>
      <c r="D11" s="387">
        <f>'Calc Data'!H10</f>
        <v>0</v>
      </c>
      <c r="E11" s="325"/>
      <c r="F11" s="325"/>
      <c r="G11" s="325"/>
      <c r="H11" s="325"/>
      <c r="I11" s="325"/>
      <c r="J11" s="325"/>
      <c r="K11" s="325"/>
      <c r="L11" s="325"/>
    </row>
    <row r="12" spans="1:12" s="382" customFormat="1" ht="15.75">
      <c r="A12" s="514" t="s">
        <v>2188</v>
      </c>
      <c r="B12" s="386" t="s">
        <v>6974</v>
      </c>
      <c r="C12" s="220"/>
      <c r="D12" s="387">
        <f>'SOF2122-SB1'!F9</f>
        <v>0</v>
      </c>
      <c r="E12" s="325"/>
      <c r="F12" s="325"/>
      <c r="G12" s="325"/>
      <c r="H12" s="325"/>
      <c r="I12" s="325"/>
      <c r="J12" s="325"/>
      <c r="K12" s="325"/>
      <c r="L12" s="325"/>
    </row>
    <row r="13" spans="1:12" s="382" customFormat="1" ht="15.75">
      <c r="A13" s="514" t="s">
        <v>909</v>
      </c>
      <c r="B13" s="386" t="s">
        <v>824</v>
      </c>
      <c r="C13" s="220"/>
      <c r="D13" s="387">
        <f>'SOF2122-SB1'!F10</f>
        <v>0</v>
      </c>
      <c r="E13" s="325"/>
      <c r="F13" s="325"/>
      <c r="G13" s="325"/>
      <c r="H13" s="325"/>
      <c r="I13" s="325"/>
      <c r="J13" s="325"/>
      <c r="K13" s="325"/>
      <c r="L13" s="325"/>
    </row>
    <row r="14" spans="1:12" s="382" customFormat="1" ht="15.75">
      <c r="A14" s="385" t="s">
        <v>910</v>
      </c>
      <c r="B14" s="386" t="s">
        <v>643</v>
      </c>
      <c r="C14" s="386"/>
      <c r="D14" s="387">
        <f>'Data Entry - SOF'!O37</f>
        <v>0</v>
      </c>
      <c r="E14" s="325"/>
      <c r="F14" s="325"/>
      <c r="G14" s="325"/>
      <c r="H14" s="325"/>
      <c r="I14" s="325"/>
      <c r="J14" s="325"/>
      <c r="K14" s="325"/>
      <c r="L14" s="325"/>
    </row>
    <row r="15" spans="1:12" s="382" customFormat="1" ht="15.75">
      <c r="A15" s="385" t="s">
        <v>913</v>
      </c>
      <c r="B15" s="719" t="s">
        <v>3356</v>
      </c>
      <c r="C15" s="386"/>
      <c r="D15" s="387" t="e">
        <f>'Calc Data'!H25</f>
        <v>#DIV/0!</v>
      </c>
      <c r="E15" s="325"/>
      <c r="F15" s="325"/>
      <c r="G15" s="325"/>
      <c r="H15" s="325"/>
      <c r="I15" s="325"/>
      <c r="J15" s="325"/>
      <c r="K15" s="325"/>
      <c r="L15" s="325"/>
    </row>
    <row r="16" spans="1:12" s="382" customFormat="1" ht="15.75">
      <c r="A16" s="385" t="s">
        <v>914</v>
      </c>
      <c r="B16" s="386" t="s">
        <v>2712</v>
      </c>
      <c r="C16" s="386"/>
      <c r="D16" s="387">
        <f>'Report-SOF2021'!D10</f>
        <v>0</v>
      </c>
      <c r="E16" s="325"/>
      <c r="F16" s="325"/>
      <c r="G16" s="325"/>
      <c r="H16" s="325"/>
      <c r="I16" s="325"/>
      <c r="J16" s="325"/>
      <c r="K16" s="325"/>
      <c r="L16" s="325"/>
    </row>
    <row r="17" spans="1:12" s="382" customFormat="1" ht="15.75">
      <c r="A17" s="385" t="s">
        <v>118</v>
      </c>
      <c r="B17" s="386" t="s">
        <v>2713</v>
      </c>
      <c r="C17" s="386"/>
      <c r="D17" s="387">
        <f>'Data Entry - SOF'!O111</f>
        <v>0</v>
      </c>
      <c r="E17" s="325"/>
      <c r="F17" s="325"/>
      <c r="G17" s="325"/>
      <c r="H17" s="325"/>
      <c r="I17" s="325"/>
      <c r="J17" s="325"/>
      <c r="K17" s="325"/>
      <c r="L17" s="325"/>
    </row>
    <row r="18" spans="1:12" s="382" customFormat="1" ht="15.75">
      <c r="A18" s="385" t="s">
        <v>119</v>
      </c>
      <c r="B18" s="386" t="s">
        <v>2714</v>
      </c>
      <c r="C18" s="386"/>
      <c r="D18" s="387">
        <f>'Data Entry - SOF'!O110</f>
        <v>0</v>
      </c>
      <c r="E18" s="325"/>
      <c r="F18" s="325"/>
      <c r="G18" s="325"/>
      <c r="H18" s="325"/>
      <c r="I18" s="325"/>
      <c r="J18" s="325"/>
      <c r="K18" s="325"/>
      <c r="L18" s="325"/>
    </row>
    <row r="19" spans="1:12" s="382" customFormat="1" ht="18">
      <c r="A19" s="1372" t="s">
        <v>2720</v>
      </c>
      <c r="B19" s="1387"/>
      <c r="C19" s="1387"/>
      <c r="D19" s="1373"/>
      <c r="E19" s="325"/>
      <c r="F19" s="325"/>
      <c r="G19" s="325"/>
      <c r="H19" s="325"/>
      <c r="I19" s="325"/>
      <c r="J19" s="325"/>
      <c r="K19" s="325"/>
      <c r="L19" s="325"/>
    </row>
    <row r="20" spans="1:12" s="382" customFormat="1" ht="15.75">
      <c r="A20" s="385" t="s">
        <v>6</v>
      </c>
      <c r="B20" s="386" t="s">
        <v>3991</v>
      </c>
      <c r="C20" s="386"/>
      <c r="D20" s="388">
        <f>'Data Entry - SOF'!O73</f>
        <v>0</v>
      </c>
      <c r="E20" s="325"/>
      <c r="F20" s="325"/>
      <c r="G20" s="325"/>
      <c r="H20" s="325"/>
      <c r="I20" s="325"/>
      <c r="J20" s="325"/>
      <c r="K20" s="325"/>
      <c r="L20" s="325"/>
    </row>
    <row r="21" spans="1:12" s="382" customFormat="1" ht="18">
      <c r="A21" s="1372" t="s">
        <v>2721</v>
      </c>
      <c r="B21" s="1387"/>
      <c r="C21" s="1387"/>
      <c r="D21" s="1373"/>
      <c r="E21" s="325"/>
      <c r="F21" s="325"/>
      <c r="G21" s="325"/>
      <c r="H21" s="325"/>
      <c r="I21" s="325"/>
      <c r="J21" s="325"/>
      <c r="K21" s="325"/>
      <c r="L21" s="325"/>
    </row>
    <row r="22" spans="1:12" s="382" customFormat="1" ht="15.75">
      <c r="A22" s="385" t="s">
        <v>2233</v>
      </c>
      <c r="B22" s="386" t="s">
        <v>6875</v>
      </c>
      <c r="C22" s="384"/>
      <c r="D22" s="389">
        <f>'Data Entry - SOF'!O154</f>
        <v>0</v>
      </c>
      <c r="E22" s="325"/>
      <c r="F22" s="325"/>
      <c r="G22" s="325"/>
      <c r="H22" s="325"/>
      <c r="I22" s="325"/>
      <c r="J22" s="325"/>
      <c r="K22" s="325"/>
      <c r="L22" s="325"/>
    </row>
    <row r="23" spans="1:12" s="382" customFormat="1" ht="15.75">
      <c r="A23" s="385" t="s">
        <v>2723</v>
      </c>
      <c r="B23" s="386" t="s">
        <v>6876</v>
      </c>
      <c r="C23" s="384"/>
      <c r="D23" s="389">
        <f>'Data Entry - SOF'!O92</f>
        <v>1.17</v>
      </c>
      <c r="E23" s="325"/>
      <c r="F23" s="325"/>
      <c r="G23" s="325"/>
      <c r="H23" s="325"/>
      <c r="I23" s="325"/>
      <c r="J23" s="325"/>
      <c r="K23" s="325"/>
      <c r="L23" s="325"/>
    </row>
    <row r="24" spans="1:12" s="382" customFormat="1" ht="15.75">
      <c r="A24" s="385" t="s">
        <v>2726</v>
      </c>
      <c r="B24" s="703" t="s">
        <v>6943</v>
      </c>
      <c r="C24" s="386"/>
      <c r="D24" s="390">
        <f>'Data Entry - SOF'!O93</f>
        <v>0</v>
      </c>
      <c r="E24" s="325"/>
      <c r="F24" s="325"/>
      <c r="G24" s="325"/>
      <c r="H24" s="325"/>
      <c r="I24" s="325"/>
      <c r="J24" s="325"/>
      <c r="K24" s="325"/>
      <c r="L24" s="325"/>
    </row>
    <row r="25" spans="1:12" s="382" customFormat="1" ht="15.75">
      <c r="A25" s="385" t="s">
        <v>2727</v>
      </c>
      <c r="B25" s="386" t="s">
        <v>6877</v>
      </c>
      <c r="C25" s="386"/>
      <c r="D25" s="390">
        <f>'Data Entry - SOF'!O101</f>
        <v>0</v>
      </c>
      <c r="E25" s="325"/>
      <c r="F25" s="325"/>
      <c r="G25" s="325"/>
      <c r="H25" s="325"/>
      <c r="I25" s="325"/>
      <c r="J25" s="325"/>
      <c r="K25" s="325"/>
      <c r="L25" s="325"/>
    </row>
    <row r="26" spans="1:12" s="382" customFormat="1" ht="15.75">
      <c r="A26" s="385" t="s">
        <v>2728</v>
      </c>
      <c r="B26" s="386" t="s">
        <v>6878</v>
      </c>
      <c r="C26" s="386"/>
      <c r="D26" s="390">
        <f>'Data Entry - SOF'!O207</f>
        <v>0</v>
      </c>
      <c r="E26" s="325"/>
      <c r="F26" s="325"/>
      <c r="G26" s="325"/>
      <c r="H26" s="325"/>
      <c r="I26" s="325"/>
      <c r="J26" s="325"/>
      <c r="K26" s="325"/>
      <c r="L26" s="325"/>
    </row>
    <row r="27" spans="1:12" s="382" customFormat="1" ht="15.75">
      <c r="A27" s="385" t="s">
        <v>2729</v>
      </c>
      <c r="B27" s="386" t="s">
        <v>6879</v>
      </c>
      <c r="C27" s="386"/>
      <c r="D27" s="390">
        <f>'Data Entry - SOF'!O112</f>
        <v>0</v>
      </c>
      <c r="E27" s="325"/>
      <c r="F27" s="325"/>
      <c r="G27" s="325"/>
      <c r="H27" s="325"/>
      <c r="I27" s="325"/>
      <c r="J27" s="325"/>
      <c r="K27" s="325"/>
      <c r="L27" s="325"/>
    </row>
    <row r="28" spans="1:12" s="382" customFormat="1" ht="18">
      <c r="A28" s="1372" t="s">
        <v>2730</v>
      </c>
      <c r="B28" s="1387"/>
      <c r="C28" s="1387"/>
      <c r="D28" s="1373"/>
      <c r="E28" s="325"/>
      <c r="F28" s="325"/>
      <c r="G28" s="325"/>
      <c r="H28" s="325"/>
      <c r="I28" s="325"/>
      <c r="J28" s="325"/>
      <c r="K28" s="325"/>
      <c r="L28" s="325"/>
    </row>
    <row r="29" spans="1:12" s="382" customFormat="1" ht="15.75">
      <c r="A29" s="551" t="s">
        <v>2731</v>
      </c>
      <c r="B29" s="703" t="s">
        <v>9512</v>
      </c>
      <c r="C29" s="404"/>
      <c r="D29" s="772" t="e">
        <f>Assumptions!H136</f>
        <v>#DIV/0!</v>
      </c>
      <c r="E29" s="325"/>
      <c r="F29" s="325"/>
      <c r="G29" s="325"/>
      <c r="H29" s="325"/>
      <c r="I29" s="325"/>
      <c r="J29" s="325"/>
      <c r="K29" s="325"/>
      <c r="L29" s="325"/>
    </row>
    <row r="30" spans="1:12" s="382" customFormat="1" ht="15.75">
      <c r="A30" s="385" t="s">
        <v>2735</v>
      </c>
      <c r="B30" s="386" t="s">
        <v>2738</v>
      </c>
      <c r="C30" s="386"/>
      <c r="D30" s="392">
        <f>Assumptions!H141</f>
        <v>200</v>
      </c>
      <c r="E30" s="325"/>
      <c r="F30" s="325"/>
      <c r="G30" s="325"/>
      <c r="H30" s="325"/>
      <c r="I30" s="325"/>
      <c r="J30" s="325"/>
      <c r="K30" s="325"/>
      <c r="L30" s="325"/>
    </row>
    <row r="31" spans="1:12" s="382" customFormat="1" ht="18">
      <c r="A31" s="1372" t="s">
        <v>2739</v>
      </c>
      <c r="B31" s="1387"/>
      <c r="C31" s="1387"/>
      <c r="D31" s="1373"/>
      <c r="E31" s="325"/>
      <c r="F31" s="325"/>
      <c r="G31" s="325"/>
      <c r="H31" s="325"/>
      <c r="I31" s="325"/>
      <c r="J31" s="325"/>
      <c r="K31" s="325"/>
      <c r="L31" s="325"/>
    </row>
    <row r="32" spans="1:12" s="382" customFormat="1" ht="18">
      <c r="A32" s="1378"/>
      <c r="B32" s="1388" t="s">
        <v>2759</v>
      </c>
      <c r="C32" s="1387"/>
      <c r="D32" s="1373"/>
      <c r="E32" s="325"/>
      <c r="F32" s="325"/>
      <c r="G32" s="325"/>
      <c r="H32" s="325"/>
      <c r="I32" s="325"/>
      <c r="J32" s="325"/>
      <c r="K32" s="325"/>
      <c r="L32" s="325"/>
    </row>
    <row r="33" spans="1:12" s="382" customFormat="1" ht="15.75">
      <c r="A33" s="385" t="s">
        <v>2740</v>
      </c>
      <c r="B33" s="386" t="s">
        <v>2760</v>
      </c>
      <c r="C33" s="386"/>
      <c r="D33" s="390">
        <f>'SOF2122-SB1'!H20</f>
        <v>0</v>
      </c>
      <c r="E33" s="325"/>
      <c r="F33" s="325"/>
      <c r="G33" s="325"/>
      <c r="H33" s="325"/>
      <c r="I33" s="325"/>
      <c r="J33" s="325"/>
      <c r="K33" s="325"/>
      <c r="L33" s="325"/>
    </row>
    <row r="34" spans="1:12" s="382" customFormat="1" ht="15.75">
      <c r="A34" s="385" t="s">
        <v>2741</v>
      </c>
      <c r="B34" s="386" t="s">
        <v>3187</v>
      </c>
      <c r="C34" s="386"/>
      <c r="D34" s="390">
        <f>'SOF2122-SB1'!H131</f>
        <v>0</v>
      </c>
      <c r="E34" s="325"/>
      <c r="F34" s="325"/>
      <c r="G34" s="325"/>
      <c r="H34" s="325"/>
      <c r="I34" s="325"/>
      <c r="J34" s="325"/>
      <c r="K34" s="325"/>
      <c r="L34" s="325"/>
    </row>
    <row r="35" spans="1:12" s="382" customFormat="1" ht="15.75">
      <c r="A35" s="385" t="s">
        <v>2742</v>
      </c>
      <c r="B35" s="386" t="s">
        <v>3188</v>
      </c>
      <c r="C35" s="386"/>
      <c r="D35" s="390">
        <f>'SOF2122-SB1'!H132</f>
        <v>0</v>
      </c>
      <c r="E35" s="325"/>
      <c r="F35" s="325"/>
      <c r="G35" s="325"/>
      <c r="H35" s="325"/>
      <c r="I35" s="325"/>
      <c r="J35" s="325"/>
      <c r="K35" s="325"/>
      <c r="L35" s="325"/>
    </row>
    <row r="36" spans="1:12" s="382" customFormat="1" ht="15.75">
      <c r="A36" s="385" t="s">
        <v>2743</v>
      </c>
      <c r="B36" s="386" t="s">
        <v>3189</v>
      </c>
      <c r="C36" s="386"/>
      <c r="D36" s="390">
        <f>'SOF2122-SB1'!H133</f>
        <v>0</v>
      </c>
      <c r="E36" s="325"/>
      <c r="F36" s="325"/>
      <c r="G36" s="325"/>
      <c r="H36" s="325"/>
      <c r="I36" s="325"/>
      <c r="J36" s="325"/>
      <c r="K36" s="325"/>
      <c r="L36" s="325"/>
    </row>
    <row r="37" spans="1:12" s="382" customFormat="1" ht="15.75">
      <c r="A37" s="385" t="s">
        <v>2744</v>
      </c>
      <c r="B37" s="386" t="s">
        <v>3191</v>
      </c>
      <c r="C37" s="386"/>
      <c r="D37" s="390">
        <f>'SOF2122-SB1'!H134</f>
        <v>0</v>
      </c>
      <c r="E37" s="325"/>
      <c r="F37" s="325"/>
      <c r="G37" s="325"/>
      <c r="H37" s="325"/>
      <c r="I37" s="325"/>
      <c r="J37" s="325"/>
      <c r="K37" s="325"/>
      <c r="L37" s="325"/>
    </row>
    <row r="38" spans="1:12" s="382" customFormat="1" ht="15.75">
      <c r="A38" s="385" t="s">
        <v>2745</v>
      </c>
      <c r="B38" s="386" t="s">
        <v>3190</v>
      </c>
      <c r="C38" s="386"/>
      <c r="D38" s="390">
        <f>'SOF2122-SB1'!H38</f>
        <v>0</v>
      </c>
      <c r="E38" s="325"/>
      <c r="F38" s="325"/>
      <c r="G38" s="325"/>
      <c r="H38" s="325"/>
      <c r="I38" s="325"/>
      <c r="J38" s="325"/>
      <c r="K38" s="325"/>
      <c r="L38" s="325"/>
    </row>
    <row r="39" spans="1:12" s="382" customFormat="1" ht="15.75">
      <c r="A39" s="385" t="s">
        <v>2746</v>
      </c>
      <c r="B39" s="386" t="s">
        <v>2761</v>
      </c>
      <c r="C39" s="386"/>
      <c r="D39" s="390">
        <f>'SOF2122-SB1'!H40</f>
        <v>0</v>
      </c>
      <c r="E39" s="325"/>
      <c r="F39" s="325"/>
      <c r="G39" s="325"/>
      <c r="H39" s="325"/>
      <c r="I39" s="325"/>
      <c r="J39" s="325"/>
      <c r="K39" s="325"/>
      <c r="L39" s="325"/>
    </row>
    <row r="40" spans="1:12" s="382" customFormat="1" ht="15.75">
      <c r="A40" s="385" t="s">
        <v>2747</v>
      </c>
      <c r="B40" s="386" t="s">
        <v>2771</v>
      </c>
      <c r="C40" s="386"/>
      <c r="D40" s="390">
        <f>'SOF2122-SB1'!H41</f>
        <v>0</v>
      </c>
      <c r="E40" s="325"/>
      <c r="F40" s="325"/>
      <c r="G40" s="325"/>
      <c r="H40" s="325"/>
      <c r="I40" s="325"/>
      <c r="J40" s="325"/>
      <c r="K40" s="325"/>
      <c r="L40" s="325"/>
    </row>
    <row r="41" spans="1:12" s="382" customFormat="1" ht="15.75">
      <c r="A41" s="385" t="s">
        <v>2748</v>
      </c>
      <c r="B41" s="386" t="s">
        <v>3192</v>
      </c>
      <c r="C41" s="386"/>
      <c r="D41" s="390">
        <f>'SOF2122-SB1'!H42</f>
        <v>0</v>
      </c>
      <c r="E41" s="325"/>
      <c r="F41" s="325"/>
      <c r="G41" s="325"/>
      <c r="H41" s="325"/>
      <c r="I41" s="325"/>
      <c r="J41" s="325"/>
      <c r="K41" s="325"/>
      <c r="L41" s="325"/>
    </row>
    <row r="42" spans="1:12" s="382" customFormat="1" ht="15.75">
      <c r="A42" s="385" t="s">
        <v>2749</v>
      </c>
      <c r="B42" s="386" t="s">
        <v>2762</v>
      </c>
      <c r="C42" s="386"/>
      <c r="D42" s="390">
        <f>'SOF2122-SB1'!H39</f>
        <v>0</v>
      </c>
      <c r="E42" s="325"/>
      <c r="F42" s="325"/>
      <c r="G42" s="325"/>
      <c r="H42" s="325"/>
      <c r="I42" s="325"/>
      <c r="J42" s="325"/>
      <c r="K42" s="325"/>
      <c r="L42" s="325"/>
    </row>
    <row r="43" spans="1:12" s="382" customFormat="1" ht="15.75">
      <c r="A43" s="385" t="s">
        <v>2750</v>
      </c>
      <c r="B43" s="703" t="s">
        <v>6944</v>
      </c>
      <c r="C43" s="386"/>
      <c r="D43" s="390" t="e">
        <f>'SOF2122-SB1'!H43</f>
        <v>#DIV/0!</v>
      </c>
      <c r="E43" s="325"/>
      <c r="F43" s="325"/>
      <c r="G43" s="325"/>
      <c r="H43" s="325"/>
      <c r="I43" s="325"/>
      <c r="J43" s="325"/>
      <c r="K43" s="325"/>
      <c r="L43" s="325"/>
    </row>
    <row r="44" spans="1:12" s="382" customFormat="1" ht="15.75">
      <c r="A44" s="385" t="s">
        <v>2751</v>
      </c>
      <c r="B44" s="386" t="s">
        <v>2763</v>
      </c>
      <c r="C44" s="386"/>
      <c r="D44" s="390">
        <f>'SOF2122-SB1'!H44</f>
        <v>0</v>
      </c>
      <c r="E44" s="325"/>
      <c r="F44" s="325"/>
      <c r="G44" s="325"/>
      <c r="H44" s="325"/>
      <c r="I44" s="325"/>
      <c r="J44" s="325"/>
      <c r="K44" s="325"/>
      <c r="L44" s="325"/>
    </row>
    <row r="45" spans="1:12" s="382" customFormat="1" ht="15.75">
      <c r="A45" s="385" t="s">
        <v>2752</v>
      </c>
      <c r="B45" s="386" t="s">
        <v>785</v>
      </c>
      <c r="C45" s="386"/>
      <c r="D45" s="390" t="e">
        <f>'SOF2122-SB1'!H45</f>
        <v>#DIV/0!</v>
      </c>
      <c r="E45" s="325"/>
      <c r="F45" s="325"/>
      <c r="G45" s="325"/>
      <c r="H45" s="325"/>
      <c r="I45" s="325"/>
      <c r="J45" s="325"/>
      <c r="K45" s="325"/>
      <c r="L45" s="325"/>
    </row>
    <row r="46" spans="1:12" s="382" customFormat="1" ht="15.75">
      <c r="A46" s="385" t="s">
        <v>2753</v>
      </c>
      <c r="B46" s="386" t="s">
        <v>2764</v>
      </c>
      <c r="C46" s="386"/>
      <c r="D46" s="390">
        <f>'SOF2122-SB1'!H75</f>
        <v>0</v>
      </c>
      <c r="E46" s="325"/>
      <c r="F46" s="325"/>
      <c r="G46" s="325"/>
      <c r="H46" s="325"/>
      <c r="I46" s="325"/>
      <c r="J46" s="325"/>
      <c r="K46" s="325"/>
      <c r="L46" s="325"/>
    </row>
    <row r="47" spans="1:12" s="382" customFormat="1" ht="18">
      <c r="A47" s="1390" t="s">
        <v>3101</v>
      </c>
      <c r="B47" s="1391"/>
      <c r="C47" s="1391"/>
      <c r="D47" s="1381"/>
      <c r="E47" s="325"/>
      <c r="F47" s="325"/>
      <c r="G47" s="325"/>
      <c r="H47" s="325"/>
      <c r="I47" s="325"/>
      <c r="J47" s="325"/>
      <c r="K47" s="325"/>
      <c r="L47" s="325"/>
    </row>
    <row r="48" spans="1:12" s="382" customFormat="1" ht="18">
      <c r="A48" s="1382" t="s">
        <v>3102</v>
      </c>
      <c r="B48" s="1386"/>
      <c r="C48" s="1386"/>
      <c r="D48" s="1383"/>
      <c r="E48" s="325"/>
      <c r="F48" s="325"/>
      <c r="G48" s="325"/>
      <c r="H48" s="325"/>
      <c r="I48" s="325"/>
      <c r="J48" s="325"/>
      <c r="K48" s="325"/>
      <c r="L48" s="325"/>
    </row>
    <row r="49" spans="1:12" s="382" customFormat="1" ht="15.75">
      <c r="A49" s="385" t="s">
        <v>2754</v>
      </c>
      <c r="B49" s="386" t="s">
        <v>2765</v>
      </c>
      <c r="C49" s="386"/>
      <c r="D49" s="390" t="e">
        <f>'SOF2122-SB1'!H48</f>
        <v>#DIV/0!</v>
      </c>
      <c r="E49" s="325"/>
      <c r="F49" s="325"/>
      <c r="G49" s="325"/>
      <c r="H49" s="325"/>
      <c r="I49" s="325"/>
      <c r="J49" s="325"/>
      <c r="K49" s="325"/>
      <c r="L49" s="325"/>
    </row>
    <row r="50" spans="1:12" s="382" customFormat="1" ht="15.75">
      <c r="A50" s="385" t="s">
        <v>2755</v>
      </c>
      <c r="B50" s="220" t="s">
        <v>6945</v>
      </c>
      <c r="C50" s="386"/>
      <c r="D50" s="390" t="e">
        <f>'SOF2122-SB1'!H53</f>
        <v>#DIV/0!</v>
      </c>
      <c r="E50" s="325"/>
      <c r="F50" s="325"/>
      <c r="G50" s="325"/>
      <c r="H50" s="325"/>
      <c r="I50" s="325"/>
      <c r="J50" s="325"/>
      <c r="K50" s="325"/>
      <c r="L50" s="325"/>
    </row>
    <row r="51" spans="1:12" s="382" customFormat="1" ht="15.75">
      <c r="A51" s="385" t="s">
        <v>2756</v>
      </c>
      <c r="B51" s="703" t="s">
        <v>6946</v>
      </c>
      <c r="C51" s="386"/>
      <c r="D51" s="390" t="e">
        <f>'Report-Other2122'!D26</f>
        <v>#DIV/0!</v>
      </c>
      <c r="E51" s="325" t="s">
        <v>4016</v>
      </c>
      <c r="F51" s="325"/>
      <c r="G51" s="325"/>
      <c r="H51" s="325"/>
      <c r="I51" s="325"/>
      <c r="J51" s="325"/>
      <c r="K51" s="325"/>
      <c r="L51" s="325"/>
    </row>
    <row r="52" spans="1:12" s="382" customFormat="1" ht="15.75">
      <c r="A52" s="385" t="s">
        <v>2757</v>
      </c>
      <c r="B52" s="386" t="str">
        <f>CONCATENATE("Less: Total Available School Fund ($",Assumptions!G123," * Prior Year ADA)")</f>
        <v>Less: Total Available School Fund ($259.207 * Prior Year ADA)</v>
      </c>
      <c r="C52" s="386"/>
      <c r="D52" s="390">
        <f>'SOF2122-SB1'!H70</f>
        <v>0</v>
      </c>
      <c r="E52" s="325"/>
      <c r="F52" s="325"/>
      <c r="G52" s="325"/>
      <c r="H52" s="325"/>
      <c r="I52" s="325"/>
      <c r="J52" s="325"/>
      <c r="K52" s="325"/>
      <c r="L52" s="325"/>
    </row>
    <row r="53" spans="1:12" s="382" customFormat="1" ht="15.75">
      <c r="A53" s="385" t="s">
        <v>2758</v>
      </c>
      <c r="B53" s="386" t="s">
        <v>2766</v>
      </c>
      <c r="C53" s="386"/>
      <c r="D53" s="390" t="e">
        <f>'SOF2122-SB1'!H74+'HH2122-Calcs'!D26</f>
        <v>#DIV/0!</v>
      </c>
      <c r="E53" s="325"/>
      <c r="F53" s="325"/>
      <c r="G53" s="325"/>
      <c r="H53" s="325"/>
      <c r="I53" s="325"/>
      <c r="J53" s="325"/>
      <c r="K53" s="325"/>
      <c r="L53" s="325"/>
    </row>
    <row r="54" spans="1:12" s="382" customFormat="1" ht="18">
      <c r="A54" s="1372" t="s">
        <v>2772</v>
      </c>
      <c r="B54" s="1387"/>
      <c r="C54" s="1387"/>
      <c r="D54" s="1373"/>
      <c r="E54" s="325"/>
      <c r="F54" s="325"/>
      <c r="G54" s="325"/>
      <c r="H54" s="325"/>
      <c r="I54" s="325"/>
      <c r="J54" s="325"/>
      <c r="K54" s="325"/>
      <c r="L54" s="325"/>
    </row>
    <row r="55" spans="1:12" s="382" customFormat="1" ht="18">
      <c r="A55" s="1378"/>
      <c r="B55" s="1388" t="s">
        <v>2780</v>
      </c>
      <c r="C55" s="1387"/>
      <c r="D55" s="1373"/>
      <c r="E55" s="325"/>
      <c r="F55" s="325"/>
      <c r="G55" s="325"/>
      <c r="H55" s="325"/>
      <c r="I55" s="325"/>
      <c r="J55" s="325"/>
      <c r="K55" s="325"/>
      <c r="L55" s="325"/>
    </row>
    <row r="56" spans="1:12" s="382" customFormat="1" ht="15.75">
      <c r="A56" s="385" t="s">
        <v>2773</v>
      </c>
      <c r="B56" s="386" t="s">
        <v>2779</v>
      </c>
      <c r="C56" s="386"/>
      <c r="D56" s="390" t="e">
        <f>'SOF2122-SB1'!H74+'HH2122-Calcs'!D26</f>
        <v>#DIV/0!</v>
      </c>
      <c r="E56" s="325"/>
      <c r="F56" s="325"/>
      <c r="G56" s="325"/>
      <c r="H56" s="325"/>
      <c r="I56" s="325"/>
      <c r="J56" s="325"/>
      <c r="K56" s="325"/>
      <c r="L56" s="325"/>
    </row>
    <row r="57" spans="1:12" s="382" customFormat="1" ht="15.75">
      <c r="A57" s="385" t="s">
        <v>2774</v>
      </c>
      <c r="B57" s="386" t="s">
        <v>3047</v>
      </c>
      <c r="C57" s="386"/>
      <c r="D57" s="390">
        <f>'SOF2122-SB1'!H75</f>
        <v>0</v>
      </c>
      <c r="E57" s="325"/>
      <c r="F57" s="325"/>
      <c r="G57" s="325"/>
      <c r="H57" s="325"/>
      <c r="I57" s="325"/>
      <c r="J57" s="325"/>
      <c r="K57" s="325"/>
      <c r="L57" s="325"/>
    </row>
    <row r="58" spans="1:12" s="382" customFormat="1" ht="15.75">
      <c r="A58" s="385" t="s">
        <v>2775</v>
      </c>
      <c r="B58" s="220" t="s">
        <v>6947</v>
      </c>
      <c r="C58" s="386"/>
      <c r="D58" s="390">
        <f>'Existing Debt-OldLaw'!O74</f>
        <v>0</v>
      </c>
      <c r="E58" s="325"/>
      <c r="F58" s="325"/>
      <c r="G58" s="325"/>
      <c r="H58" s="325"/>
      <c r="I58" s="325"/>
      <c r="J58" s="325"/>
      <c r="K58" s="325"/>
      <c r="L58" s="325"/>
    </row>
    <row r="59" spans="1:12" s="382" customFormat="1" ht="15.75">
      <c r="A59" s="385" t="s">
        <v>2776</v>
      </c>
      <c r="B59" s="703" t="s">
        <v>6948</v>
      </c>
      <c r="C59" s="386"/>
      <c r="D59" s="390">
        <f>'IFA-OldLaw'!X86</f>
        <v>0</v>
      </c>
      <c r="E59" s="325"/>
      <c r="F59" s="325"/>
      <c r="G59" s="325"/>
      <c r="H59" s="325"/>
      <c r="I59" s="325"/>
      <c r="J59" s="325"/>
      <c r="K59" s="325"/>
      <c r="L59" s="325"/>
    </row>
    <row r="60" spans="1:12" s="382" customFormat="1" ht="15.75">
      <c r="A60" s="385" t="s">
        <v>2777</v>
      </c>
      <c r="B60" s="718" t="s">
        <v>3362</v>
      </c>
      <c r="C60" s="386"/>
      <c r="D60" s="390">
        <f>'IFA-OldLaw'!Y86</f>
        <v>0</v>
      </c>
      <c r="E60" s="325"/>
      <c r="F60" s="325"/>
      <c r="G60" s="325"/>
      <c r="H60" s="325"/>
      <c r="I60" s="325"/>
      <c r="J60" s="325"/>
      <c r="K60" s="325"/>
      <c r="L60" s="325"/>
    </row>
    <row r="61" spans="1:12" s="382" customFormat="1" ht="15.75">
      <c r="A61" s="385" t="s">
        <v>2778</v>
      </c>
      <c r="B61" s="386" t="s">
        <v>6923</v>
      </c>
      <c r="C61" s="386"/>
      <c r="D61" s="390" t="e">
        <f>'HH2122-Calcs'!C51</f>
        <v>#DIV/0!</v>
      </c>
      <c r="E61" s="325"/>
      <c r="F61" s="325"/>
      <c r="G61" s="325"/>
      <c r="H61" s="325"/>
      <c r="I61" s="325"/>
      <c r="J61" s="325"/>
      <c r="K61" s="325"/>
      <c r="L61" s="325"/>
    </row>
    <row r="62" spans="1:12" s="382" customFormat="1" ht="18">
      <c r="A62" s="514" t="s">
        <v>2917</v>
      </c>
      <c r="B62" s="1302" t="s">
        <v>6880</v>
      </c>
      <c r="C62" s="1393"/>
      <c r="D62" s="1404" t="e">
        <f>'SOF2122-SB1'!H80+'HH2122-Calcs'!D26+D61</f>
        <v>#DIV/0!</v>
      </c>
      <c r="E62" s="325" t="s">
        <v>4015</v>
      </c>
      <c r="F62" s="325"/>
      <c r="G62" s="325"/>
      <c r="H62" s="325"/>
      <c r="I62" s="325"/>
      <c r="J62" s="325"/>
      <c r="K62" s="325"/>
      <c r="L62" s="325"/>
    </row>
    <row r="63" spans="1:12" s="382" customFormat="1" ht="18">
      <c r="A63" s="423"/>
      <c r="B63" s="589"/>
      <c r="D63" s="590"/>
      <c r="E63" s="325"/>
      <c r="F63" s="325"/>
      <c r="G63" s="325"/>
      <c r="H63" s="325"/>
      <c r="I63" s="325"/>
      <c r="J63" s="325"/>
      <c r="K63" s="325"/>
      <c r="L63" s="325"/>
    </row>
    <row r="64" spans="1:12" s="382" customFormat="1" ht="15.75">
      <c r="A64" s="1392"/>
      <c r="B64" s="220" t="s">
        <v>6949</v>
      </c>
      <c r="C64" s="1405"/>
      <c r="D64" s="1406"/>
      <c r="E64" s="325"/>
      <c r="F64" s="325"/>
      <c r="G64" s="325"/>
      <c r="H64" s="325"/>
      <c r="I64" s="325"/>
      <c r="J64" s="325"/>
      <c r="K64" s="325"/>
      <c r="L64" s="325"/>
    </row>
    <row r="65" spans="1:12" s="382" customFormat="1" ht="15.75">
      <c r="A65" s="394"/>
      <c r="E65" s="325"/>
      <c r="F65" s="325"/>
      <c r="G65" s="325"/>
      <c r="H65" s="325"/>
      <c r="I65" s="325"/>
      <c r="J65" s="325"/>
      <c r="K65" s="325"/>
      <c r="L65" s="325"/>
    </row>
    <row r="66" spans="1:12" s="382" customFormat="1" ht="15.75">
      <c r="A66" s="381"/>
      <c r="E66" s="325"/>
      <c r="F66" s="325"/>
      <c r="G66" s="325"/>
      <c r="H66" s="325"/>
      <c r="I66" s="325"/>
      <c r="J66" s="325"/>
      <c r="K66" s="325"/>
      <c r="L66" s="325"/>
    </row>
    <row r="67" spans="1:12" ht="16.5" thickBot="1">
      <c r="A67" s="381" t="s">
        <v>3103</v>
      </c>
      <c r="B67" s="382"/>
      <c r="C67" s="382"/>
      <c r="D67" s="382"/>
    </row>
    <row r="68" spans="1:12" ht="16.5" thickTop="1">
      <c r="A68" s="498" t="s">
        <v>2457</v>
      </c>
      <c r="B68" s="421"/>
      <c r="C68" s="642"/>
      <c r="D68" s="420"/>
    </row>
    <row r="69" spans="1:12" ht="15.75">
      <c r="A69" s="645" t="s">
        <v>3206</v>
      </c>
      <c r="B69" s="650" t="s">
        <v>3219</v>
      </c>
      <c r="C69" s="384"/>
      <c r="D69" s="422" t="e">
        <f>'SOF2122-SB1'!H88+'HH2122-Calcs'!D26</f>
        <v>#DIV/0!</v>
      </c>
    </row>
    <row r="70" spans="1:12" ht="15.75">
      <c r="A70" s="645" t="s">
        <v>3207</v>
      </c>
      <c r="B70" s="644" t="s">
        <v>2861</v>
      </c>
      <c r="C70" s="651"/>
      <c r="D70" s="422" t="e">
        <f>'SOF2122-SB1'!H89</f>
        <v>#DIV/0!</v>
      </c>
    </row>
    <row r="71" spans="1:12" ht="15.75">
      <c r="A71" s="645" t="s">
        <v>3208</v>
      </c>
      <c r="B71" s="644" t="s">
        <v>3220</v>
      </c>
      <c r="C71" s="384"/>
      <c r="D71" s="422">
        <f>'SOF2122-SB1'!H90</f>
        <v>0</v>
      </c>
    </row>
    <row r="72" spans="1:12" ht="15.75">
      <c r="A72" s="645" t="s">
        <v>3209</v>
      </c>
      <c r="B72" s="644" t="s">
        <v>3221</v>
      </c>
      <c r="C72" s="384"/>
      <c r="D72" s="422" t="e">
        <f>'SOF2122-SB1'!H91</f>
        <v>#DIV/0!</v>
      </c>
    </row>
    <row r="73" spans="1:12" ht="15.75">
      <c r="A73" s="645" t="s">
        <v>3210</v>
      </c>
      <c r="B73" s="644" t="s">
        <v>8146</v>
      </c>
      <c r="C73" s="384"/>
      <c r="D73" s="1079">
        <f>'Data Entry - SOF'!O142*-1</f>
        <v>0</v>
      </c>
    </row>
    <row r="74" spans="1:12" ht="15.75">
      <c r="A74" s="645" t="s">
        <v>3211</v>
      </c>
      <c r="B74" s="652" t="s">
        <v>6881</v>
      </c>
      <c r="C74" s="384"/>
      <c r="D74" s="422" t="e">
        <f>'SOF2122-SB1'!H92+'HH2122-Calcs'!D26+D73</f>
        <v>#DIV/0!</v>
      </c>
    </row>
    <row r="75" spans="1:12" ht="15.75">
      <c r="A75" s="645" t="s">
        <v>3212</v>
      </c>
      <c r="B75" s="653" t="s">
        <v>2862</v>
      </c>
      <c r="C75" s="384"/>
      <c r="D75" s="422" t="e">
        <f>'SOF2122-SB1'!H93</f>
        <v>#DIV/0!</v>
      </c>
    </row>
    <row r="76" spans="1:12" ht="16.5" thickBot="1">
      <c r="A76" s="646" t="s">
        <v>3213</v>
      </c>
      <c r="B76" s="654" t="s">
        <v>6882</v>
      </c>
      <c r="C76" s="643"/>
      <c r="D76" s="471" t="e">
        <f>D74+D75</f>
        <v>#DIV/0!</v>
      </c>
    </row>
    <row r="77" spans="1:12" ht="13.5" customHeight="1" thickTop="1">
      <c r="B77" s="450"/>
      <c r="C77" s="325"/>
      <c r="D77" s="325"/>
      <c r="E77" s="590"/>
    </row>
    <row r="78" spans="1:12" ht="13.5" thickBot="1">
      <c r="B78" s="64"/>
    </row>
    <row r="79" spans="1:12" ht="16.5" thickTop="1">
      <c r="A79" s="498" t="s">
        <v>3050</v>
      </c>
      <c r="B79" s="500"/>
      <c r="C79" s="500"/>
      <c r="D79" s="497"/>
    </row>
    <row r="80" spans="1:12" ht="15">
      <c r="A80" s="645" t="s">
        <v>3214</v>
      </c>
      <c r="B80" s="649" t="str">
        <f>CONCATENATE("Recapture at the $",Assumptions!G121," Level")</f>
        <v>Recapture at the $514000 Level</v>
      </c>
      <c r="C80" s="647"/>
      <c r="D80" s="422" t="e">
        <f>ASATR!K39</f>
        <v>#DIV/0!</v>
      </c>
    </row>
    <row r="81" spans="1:4" ht="15">
      <c r="A81" s="645" t="s">
        <v>3215</v>
      </c>
      <c r="B81" s="649" t="str">
        <f>CONCATENATE("Recapture at the $",Assumptions!G71," Level")</f>
        <v>Recapture at the $319500 Level</v>
      </c>
      <c r="C81" s="647"/>
      <c r="D81" s="422" t="e">
        <f>IF('Report-Recapture2122'!G141="Y",MIN('Report-Recapture2122'!C141,'Report-Recapture2122'!E141),MAX('Report-Recapture2122'!C141,'Report-Recapture2122'!E141))</f>
        <v>#DIV/0!</v>
      </c>
    </row>
    <row r="82" spans="1:4" ht="15.75">
      <c r="A82" s="645" t="s">
        <v>3216</v>
      </c>
      <c r="B82" t="s">
        <v>6952</v>
      </c>
      <c r="C82" s="647"/>
      <c r="D82" s="501" t="e">
        <f>D80+D81</f>
        <v>#DIV/0!</v>
      </c>
    </row>
    <row r="83" spans="1:4" ht="15">
      <c r="A83" s="645" t="s">
        <v>3217</v>
      </c>
      <c r="B83" s="649" t="s">
        <v>3049</v>
      </c>
      <c r="C83" s="647"/>
      <c r="D83" s="1080">
        <f>'Data Entry - SOF'!O142</f>
        <v>0</v>
      </c>
    </row>
    <row r="84" spans="1:4" ht="16.5" thickBot="1">
      <c r="A84" s="646" t="s">
        <v>3218</v>
      </c>
      <c r="B84" s="1301" t="s">
        <v>6951</v>
      </c>
      <c r="C84" s="648"/>
      <c r="D84" s="471" t="e">
        <f>D82+D83</f>
        <v>#DIV/0!</v>
      </c>
    </row>
    <row r="85" spans="1:4" ht="13.5" thickTop="1"/>
    <row r="89" spans="1:4" hidden="1">
      <c r="B89" s="72" t="s">
        <v>8278</v>
      </c>
      <c r="D89" s="1990">
        <f>'Report-M&amp;O2122'!C18</f>
        <v>0</v>
      </c>
    </row>
    <row r="90" spans="1:4" hidden="1">
      <c r="B90" s="72" t="s">
        <v>8279</v>
      </c>
      <c r="D90" s="1990">
        <f>D44</f>
        <v>0</v>
      </c>
    </row>
    <row r="91" spans="1:4" hidden="1">
      <c r="B91" s="72" t="s">
        <v>8280</v>
      </c>
      <c r="D91" s="35">
        <f>IF(D89-D90&lt;=0,0,D89-D90)</f>
        <v>0</v>
      </c>
    </row>
  </sheetData>
  <hyperlinks>
    <hyperlink ref="B11" location="'Report-Calculations'!A1" display="Regular Program ADA (Line 1 - Line 3 - Line 4)          "/>
    <hyperlink ref="B15" location="'Report-Calculations'!A1" display="Weighted ADA (WADA)                                                          (Link to Detail Report)"/>
    <hyperlink ref="B29" location="'Report-AA2122'!A1" display="Adjusted Allotment                                                                    (Link to Detail Report)"/>
    <hyperlink ref="B43" location="'Report-T1Detail2122'!A1" display="Total Cost of Tier I                                                           (Link to Tier I Detail Report)"/>
    <hyperlink ref="B50" location="'Report-T2Detail2122'!A1" display="Tier II State Aid)                                                              (Link to Tier II Detail Report)"/>
    <hyperlink ref="B51" location="'Report-Other2122'!A1" display="Other Programs                                                                        (Link to Detail Report)"/>
    <hyperlink ref="B58" location="'Report-EDA2122'!A1" display="599/5829 - Existing Debt Allotment (EDA)                            (Link to Detail Report)"/>
    <hyperlink ref="B59" location="'Report-IFA2122'!A1" display="599/5829 - Instructional Facilities Allotment (IFA) (Bond)    (Link to Detail Report)"/>
    <hyperlink ref="B64" location="'Report-FSF2122'!A1" display="FSP Allocations and Adjustments Report                              (Link to Detail Report)"/>
    <hyperlink ref="B12" location="'Report-SpEd2122'!A1" display="Special Education FTEs                                                          (Link to Detail Report)"/>
    <hyperlink ref="B60" location="'Report-IFA1920'!A1" display="599/5829 - Instructional Facilities Allotment (Lease Purchase)  (See Link Above)"/>
    <hyperlink ref="B24" location="'Report-M&amp;O2122'!A1" display="2021-22 M&amp;O Tax Collections                                                 (Link to Detail Report)"/>
    <hyperlink ref="B82" location="'Report-Recapture2122'!A1" display="Total 2021-22 Recapture                                                       (Link to Detail Report)"/>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1"/>
  <sheetViews>
    <sheetView workbookViewId="0">
      <selection activeCell="D1" sqref="D1"/>
    </sheetView>
  </sheetViews>
  <sheetFormatPr defaultRowHeight="12.75"/>
  <cols>
    <col min="1" max="1" width="9.140625" style="64" customWidth="1"/>
    <col min="2" max="2" width="86" style="35" customWidth="1"/>
    <col min="3" max="3" width="4.140625" style="35" customWidth="1"/>
    <col min="4" max="4" width="20.5703125" style="35" customWidth="1"/>
    <col min="5" max="5" width="17.5703125" style="35" customWidth="1"/>
    <col min="6" max="12" width="9.140625" style="35" customWidth="1"/>
  </cols>
  <sheetData>
    <row r="1" spans="1:12">
      <c r="A1" s="380" t="s">
        <v>2864</v>
      </c>
      <c r="C1" s="755"/>
      <c r="D1" s="3054" t="str">
        <f>'Data Entry - SOF'!S1</f>
        <v>Release 10</v>
      </c>
    </row>
    <row r="2" spans="1:12">
      <c r="A2" s="484" t="s">
        <v>9515</v>
      </c>
      <c r="D2" s="4642">
        <f>'Data Entry - SOF'!S2</f>
        <v>43724</v>
      </c>
    </row>
    <row r="3" spans="1:12">
      <c r="D3" s="58"/>
    </row>
    <row r="4" spans="1:12" s="382" customFormat="1" ht="15.75">
      <c r="A4" s="381" t="s">
        <v>6979</v>
      </c>
      <c r="B4" s="325"/>
      <c r="C4" s="325"/>
      <c r="D4" s="325"/>
      <c r="E4" s="325"/>
      <c r="F4" s="325"/>
      <c r="G4" s="325"/>
      <c r="H4" s="325"/>
      <c r="I4" s="325"/>
      <c r="J4" s="325"/>
      <c r="K4" s="325"/>
      <c r="L4" s="325"/>
    </row>
    <row r="5" spans="1:12" s="382" customFormat="1" ht="15.75">
      <c r="A5" s="383">
        <f>'Data Entry - SOF'!B1</f>
        <v>0</v>
      </c>
      <c r="B5" s="325"/>
      <c r="C5" s="325"/>
      <c r="D5" s="325"/>
      <c r="E5" s="325"/>
      <c r="F5" s="325"/>
      <c r="G5" s="325"/>
      <c r="H5" s="325"/>
      <c r="I5" s="325"/>
      <c r="J5" s="325"/>
      <c r="K5" s="325"/>
      <c r="L5" s="325"/>
    </row>
    <row r="6" spans="1:12" s="382" customFormat="1" ht="15.75">
      <c r="A6" s="381">
        <f>'Data Entry - SOF'!B2</f>
        <v>0</v>
      </c>
      <c r="B6" s="325"/>
      <c r="C6" s="325"/>
      <c r="D6" s="325"/>
      <c r="E6" s="325"/>
      <c r="F6" s="325"/>
      <c r="G6" s="325"/>
      <c r="H6" s="325"/>
      <c r="I6" s="325"/>
      <c r="J6" s="325"/>
      <c r="K6" s="325"/>
      <c r="L6" s="325"/>
    </row>
    <row r="7" spans="1:12" s="382" customFormat="1" ht="15.75">
      <c r="A7" s="381"/>
      <c r="B7" s="325"/>
      <c r="C7" s="325"/>
      <c r="D7" s="325"/>
      <c r="E7" s="325"/>
      <c r="F7" s="325"/>
      <c r="G7" s="325"/>
      <c r="H7" s="325"/>
      <c r="I7" s="325"/>
      <c r="J7" s="325"/>
      <c r="K7" s="325"/>
      <c r="L7" s="325"/>
    </row>
    <row r="8" spans="1:12" s="382" customFormat="1" ht="18">
      <c r="A8" s="1300" t="s">
        <v>2707</v>
      </c>
      <c r="B8" s="922"/>
      <c r="C8" s="922"/>
      <c r="D8" s="532" t="s">
        <v>2715</v>
      </c>
      <c r="E8" s="325"/>
      <c r="F8" s="325"/>
      <c r="G8" s="325"/>
      <c r="H8" s="325"/>
      <c r="I8" s="325"/>
      <c r="J8" s="325"/>
      <c r="K8" s="325"/>
      <c r="L8" s="325"/>
    </row>
    <row r="9" spans="1:12" s="382" customFormat="1" ht="18">
      <c r="A9" s="1372" t="s">
        <v>2708</v>
      </c>
      <c r="B9" s="1387"/>
      <c r="C9" s="1373"/>
      <c r="D9" s="533" t="s">
        <v>2716</v>
      </c>
      <c r="E9" s="325"/>
      <c r="F9" s="325"/>
      <c r="G9" s="325"/>
      <c r="H9" s="325"/>
      <c r="I9" s="325"/>
      <c r="J9" s="325"/>
      <c r="K9" s="325"/>
      <c r="L9" s="325"/>
    </row>
    <row r="10" spans="1:12" s="382" customFormat="1" ht="15.75">
      <c r="A10" s="385" t="s">
        <v>2186</v>
      </c>
      <c r="B10" s="386" t="s">
        <v>2709</v>
      </c>
      <c r="C10" s="386"/>
      <c r="D10" s="387">
        <f>'SOF2223-SB1'!F8</f>
        <v>0</v>
      </c>
      <c r="E10" s="325"/>
      <c r="F10" s="325"/>
      <c r="G10" s="325"/>
      <c r="H10" s="325"/>
      <c r="I10" s="325"/>
      <c r="J10" s="325"/>
      <c r="K10" s="325"/>
      <c r="L10" s="325"/>
    </row>
    <row r="11" spans="1:12" s="382" customFormat="1" ht="15.75">
      <c r="A11" s="514" t="s">
        <v>2187</v>
      </c>
      <c r="B11" s="386" t="s">
        <v>6973</v>
      </c>
      <c r="C11" s="220"/>
      <c r="D11" s="387">
        <f>'Calc Data'!I10</f>
        <v>0</v>
      </c>
      <c r="E11" s="325"/>
      <c r="F11" s="325"/>
      <c r="G11" s="325"/>
      <c r="H11" s="325"/>
      <c r="I11" s="325"/>
      <c r="J11" s="325"/>
      <c r="K11" s="325"/>
      <c r="L11" s="325"/>
    </row>
    <row r="12" spans="1:12" s="382" customFormat="1" ht="15.75">
      <c r="A12" s="514" t="s">
        <v>2188</v>
      </c>
      <c r="B12" s="1434" t="s">
        <v>7054</v>
      </c>
      <c r="C12" s="220"/>
      <c r="D12" s="387">
        <f>'SOF2223-SB1'!F9</f>
        <v>0</v>
      </c>
      <c r="E12" s="325"/>
      <c r="F12" s="325"/>
      <c r="G12" s="325"/>
      <c r="H12" s="325"/>
      <c r="I12" s="325"/>
      <c r="J12" s="325"/>
      <c r="K12" s="325"/>
      <c r="L12" s="325"/>
    </row>
    <row r="13" spans="1:12" s="382" customFormat="1" ht="15.75">
      <c r="A13" s="514" t="s">
        <v>909</v>
      </c>
      <c r="B13" s="386" t="s">
        <v>824</v>
      </c>
      <c r="C13" s="220"/>
      <c r="D13" s="387">
        <f>'SOF2223-SB1'!F10</f>
        <v>0</v>
      </c>
      <c r="E13" s="325"/>
      <c r="F13" s="325"/>
      <c r="G13" s="325"/>
      <c r="H13" s="325"/>
      <c r="I13" s="325"/>
      <c r="J13" s="325"/>
      <c r="K13" s="325"/>
      <c r="L13" s="325"/>
    </row>
    <row r="14" spans="1:12" s="382" customFormat="1" ht="15.75">
      <c r="A14" s="385" t="s">
        <v>910</v>
      </c>
      <c r="B14" s="386" t="s">
        <v>643</v>
      </c>
      <c r="C14" s="386"/>
      <c r="D14" s="387">
        <f>'Data Entry - SOF'!Q37</f>
        <v>0</v>
      </c>
      <c r="E14" s="325"/>
      <c r="F14" s="325"/>
      <c r="G14" s="325"/>
      <c r="H14" s="325"/>
      <c r="I14" s="325"/>
      <c r="J14" s="325"/>
      <c r="K14" s="325"/>
      <c r="L14" s="325"/>
    </row>
    <row r="15" spans="1:12" s="382" customFormat="1" ht="15.75">
      <c r="A15" s="385" t="s">
        <v>913</v>
      </c>
      <c r="B15" s="719" t="s">
        <v>3356</v>
      </c>
      <c r="C15" s="386"/>
      <c r="D15" s="387" t="e">
        <f>'Calc Data'!I25</f>
        <v>#DIV/0!</v>
      </c>
      <c r="E15" s="325"/>
      <c r="F15" s="325"/>
      <c r="G15" s="325"/>
      <c r="H15" s="325"/>
      <c r="I15" s="325"/>
      <c r="J15" s="325"/>
      <c r="K15" s="325"/>
      <c r="L15" s="325"/>
    </row>
    <row r="16" spans="1:12" s="382" customFormat="1" ht="15.75">
      <c r="A16" s="385" t="s">
        <v>914</v>
      </c>
      <c r="B16" s="386" t="s">
        <v>2712</v>
      </c>
      <c r="C16" s="386"/>
      <c r="D16" s="387">
        <f>'Report-SOF2122'!D10</f>
        <v>0</v>
      </c>
      <c r="E16" s="325"/>
      <c r="F16" s="325"/>
      <c r="G16" s="325"/>
      <c r="H16" s="325"/>
      <c r="I16" s="325"/>
      <c r="J16" s="325"/>
      <c r="K16" s="325"/>
      <c r="L16" s="325"/>
    </row>
    <row r="17" spans="1:12" s="382" customFormat="1" ht="15.75">
      <c r="A17" s="385" t="s">
        <v>118</v>
      </c>
      <c r="B17" s="386" t="s">
        <v>2713</v>
      </c>
      <c r="C17" s="386"/>
      <c r="D17" s="387">
        <f>'Data Entry - SOF'!Q111</f>
        <v>0</v>
      </c>
      <c r="E17" s="325"/>
      <c r="F17" s="325"/>
      <c r="G17" s="325"/>
      <c r="H17" s="325"/>
      <c r="I17" s="325"/>
      <c r="J17" s="325"/>
      <c r="K17" s="325"/>
      <c r="L17" s="325"/>
    </row>
    <row r="18" spans="1:12" s="382" customFormat="1" ht="15.75">
      <c r="A18" s="385" t="s">
        <v>119</v>
      </c>
      <c r="B18" s="386" t="s">
        <v>2714</v>
      </c>
      <c r="C18" s="386"/>
      <c r="D18" s="387">
        <f>'Data Entry - SOF'!Q110</f>
        <v>0</v>
      </c>
      <c r="E18" s="325"/>
      <c r="F18" s="325"/>
      <c r="G18" s="325"/>
      <c r="H18" s="325"/>
      <c r="I18" s="325"/>
      <c r="J18" s="325"/>
      <c r="K18" s="325"/>
      <c r="L18" s="325"/>
    </row>
    <row r="19" spans="1:12" s="382" customFormat="1" ht="18">
      <c r="A19" s="1372" t="s">
        <v>2720</v>
      </c>
      <c r="B19" s="1387"/>
      <c r="C19" s="1387"/>
      <c r="D19" s="1373"/>
      <c r="E19" s="325"/>
      <c r="F19" s="325"/>
      <c r="G19" s="325"/>
      <c r="H19" s="325"/>
      <c r="I19" s="325"/>
      <c r="J19" s="325"/>
      <c r="K19" s="325"/>
      <c r="L19" s="325"/>
    </row>
    <row r="20" spans="1:12" s="382" customFormat="1" ht="15.75">
      <c r="A20" s="385" t="s">
        <v>6</v>
      </c>
      <c r="B20" s="386" t="s">
        <v>3991</v>
      </c>
      <c r="C20" s="386"/>
      <c r="D20" s="388">
        <f>'Data Entry - SOF'!Q73</f>
        <v>0</v>
      </c>
      <c r="E20" s="325"/>
      <c r="F20" s="325"/>
      <c r="G20" s="325"/>
      <c r="H20" s="325"/>
      <c r="I20" s="325"/>
      <c r="J20" s="325"/>
      <c r="K20" s="325"/>
      <c r="L20" s="325"/>
    </row>
    <row r="21" spans="1:12" s="382" customFormat="1" ht="18">
      <c r="A21" s="1372" t="s">
        <v>2721</v>
      </c>
      <c r="B21" s="1387"/>
      <c r="C21" s="1387"/>
      <c r="D21" s="1373"/>
      <c r="E21" s="325"/>
      <c r="F21" s="325"/>
      <c r="G21" s="325"/>
      <c r="H21" s="325"/>
      <c r="I21" s="325"/>
      <c r="J21" s="325"/>
      <c r="K21" s="325"/>
      <c r="L21" s="325"/>
    </row>
    <row r="22" spans="1:12" s="382" customFormat="1" ht="15.75">
      <c r="A22" s="385" t="s">
        <v>2233</v>
      </c>
      <c r="B22" s="386" t="s">
        <v>6980</v>
      </c>
      <c r="C22" s="384"/>
      <c r="D22" s="389">
        <f>'Data Entry - SOF'!Q154</f>
        <v>0</v>
      </c>
      <c r="E22" s="325"/>
      <c r="F22" s="325"/>
      <c r="G22" s="325"/>
      <c r="H22" s="325"/>
      <c r="I22" s="325"/>
      <c r="J22" s="325"/>
      <c r="K22" s="325"/>
      <c r="L22" s="325"/>
    </row>
    <row r="23" spans="1:12" s="382" customFormat="1" ht="15.75">
      <c r="A23" s="385" t="s">
        <v>2723</v>
      </c>
      <c r="B23" s="386" t="s">
        <v>6981</v>
      </c>
      <c r="C23" s="384"/>
      <c r="D23" s="389">
        <f>'Data Entry - SOF'!Q92</f>
        <v>1.17</v>
      </c>
      <c r="E23" s="325"/>
      <c r="F23" s="325"/>
      <c r="G23" s="325"/>
      <c r="H23" s="325"/>
      <c r="I23" s="325"/>
      <c r="J23" s="325"/>
      <c r="K23" s="325"/>
      <c r="L23" s="325"/>
    </row>
    <row r="24" spans="1:12" s="382" customFormat="1" ht="15.75">
      <c r="A24" s="385" t="s">
        <v>2726</v>
      </c>
      <c r="B24" s="719" t="s">
        <v>7055</v>
      </c>
      <c r="C24" s="386"/>
      <c r="D24" s="390">
        <f>'Data Entry - SOF'!Q93</f>
        <v>0</v>
      </c>
      <c r="E24" s="325"/>
      <c r="F24" s="325"/>
      <c r="G24" s="325"/>
      <c r="H24" s="325"/>
      <c r="I24" s="325"/>
      <c r="J24" s="325"/>
      <c r="K24" s="325"/>
      <c r="L24" s="325"/>
    </row>
    <row r="25" spans="1:12" s="382" customFormat="1" ht="15.75">
      <c r="A25" s="385" t="s">
        <v>2727</v>
      </c>
      <c r="B25" s="386" t="s">
        <v>6982</v>
      </c>
      <c r="C25" s="386"/>
      <c r="D25" s="390">
        <f>'Data Entry - SOF'!Q101</f>
        <v>0</v>
      </c>
      <c r="E25" s="325"/>
      <c r="F25" s="325"/>
      <c r="G25" s="325"/>
      <c r="H25" s="325"/>
      <c r="I25" s="325"/>
      <c r="J25" s="325"/>
      <c r="K25" s="325"/>
      <c r="L25" s="325"/>
    </row>
    <row r="26" spans="1:12" s="382" customFormat="1" ht="15.75">
      <c r="A26" s="385" t="s">
        <v>2728</v>
      </c>
      <c r="B26" s="386" t="s">
        <v>6983</v>
      </c>
      <c r="C26" s="386"/>
      <c r="D26" s="390">
        <f>'Data Entry - SOF'!Q207</f>
        <v>0</v>
      </c>
      <c r="E26" s="325"/>
      <c r="F26" s="325"/>
      <c r="G26" s="325"/>
      <c r="H26" s="325"/>
      <c r="I26" s="325"/>
      <c r="J26" s="325"/>
      <c r="K26" s="325"/>
      <c r="L26" s="325"/>
    </row>
    <row r="27" spans="1:12" s="382" customFormat="1" ht="15.75">
      <c r="A27" s="385" t="s">
        <v>2729</v>
      </c>
      <c r="B27" s="386" t="s">
        <v>6984</v>
      </c>
      <c r="C27" s="386"/>
      <c r="D27" s="390">
        <f>'Data Entry - SOF'!Q112</f>
        <v>0</v>
      </c>
      <c r="E27" s="325"/>
      <c r="F27" s="325"/>
      <c r="G27" s="325"/>
      <c r="H27" s="325"/>
      <c r="I27" s="325"/>
      <c r="J27" s="325"/>
      <c r="K27" s="325"/>
      <c r="L27" s="325"/>
    </row>
    <row r="28" spans="1:12" s="382" customFormat="1" ht="18">
      <c r="A28" s="1372" t="s">
        <v>2730</v>
      </c>
      <c r="B28" s="1387"/>
      <c r="C28" s="1387"/>
      <c r="D28" s="1373"/>
      <c r="E28" s="325"/>
      <c r="F28" s="325"/>
      <c r="G28" s="325"/>
      <c r="H28" s="325"/>
      <c r="I28" s="325"/>
      <c r="J28" s="325"/>
      <c r="K28" s="325"/>
      <c r="L28" s="325"/>
    </row>
    <row r="29" spans="1:12" s="382" customFormat="1" ht="15.75">
      <c r="A29" s="551" t="s">
        <v>2731</v>
      </c>
      <c r="B29" s="719" t="s">
        <v>9513</v>
      </c>
      <c r="C29" s="404"/>
      <c r="D29" s="772" t="e">
        <f>Assumptions!H145</f>
        <v>#DIV/0!</v>
      </c>
      <c r="E29" s="325"/>
      <c r="F29" s="325"/>
      <c r="G29" s="325"/>
      <c r="H29" s="325"/>
      <c r="I29" s="325"/>
      <c r="J29" s="325"/>
      <c r="K29" s="325"/>
      <c r="L29" s="325"/>
    </row>
    <row r="30" spans="1:12" s="382" customFormat="1" ht="15.75">
      <c r="A30" s="385" t="s">
        <v>2735</v>
      </c>
      <c r="B30" s="386" t="s">
        <v>2738</v>
      </c>
      <c r="C30" s="386"/>
      <c r="D30" s="392">
        <f>Assumptions!H150</f>
        <v>400</v>
      </c>
      <c r="E30" s="325"/>
      <c r="F30" s="325"/>
      <c r="G30" s="325"/>
      <c r="H30" s="325"/>
      <c r="I30" s="325"/>
      <c r="J30" s="325"/>
      <c r="K30" s="325"/>
      <c r="L30" s="325"/>
    </row>
    <row r="31" spans="1:12" s="382" customFormat="1" ht="18">
      <c r="A31" s="1372" t="s">
        <v>2739</v>
      </c>
      <c r="B31" s="1387"/>
      <c r="C31" s="1387"/>
      <c r="D31" s="1373"/>
      <c r="E31" s="325"/>
      <c r="F31" s="325"/>
      <c r="G31" s="325"/>
      <c r="H31" s="325"/>
      <c r="I31" s="325"/>
      <c r="J31" s="325"/>
      <c r="K31" s="325"/>
      <c r="L31" s="325"/>
    </row>
    <row r="32" spans="1:12" s="382" customFormat="1" ht="18">
      <c r="A32" s="1378"/>
      <c r="B32" s="1388" t="s">
        <v>2759</v>
      </c>
      <c r="C32" s="1387"/>
      <c r="D32" s="1373"/>
      <c r="E32" s="325"/>
      <c r="F32" s="325"/>
      <c r="G32" s="325"/>
      <c r="H32" s="325"/>
      <c r="I32" s="325"/>
      <c r="J32" s="325"/>
      <c r="K32" s="325"/>
      <c r="L32" s="325"/>
    </row>
    <row r="33" spans="1:12" s="382" customFormat="1" ht="15.75">
      <c r="A33" s="385" t="s">
        <v>2740</v>
      </c>
      <c r="B33" s="386" t="s">
        <v>2760</v>
      </c>
      <c r="C33" s="386"/>
      <c r="D33" s="390">
        <f>'SOF2223-SB1'!H20</f>
        <v>0</v>
      </c>
      <c r="E33" s="325"/>
      <c r="F33" s="325"/>
      <c r="G33" s="325"/>
      <c r="H33" s="325"/>
      <c r="I33" s="325"/>
      <c r="J33" s="325"/>
      <c r="K33" s="325"/>
      <c r="L33" s="325"/>
    </row>
    <row r="34" spans="1:12" s="382" customFormat="1" ht="15.75">
      <c r="A34" s="385" t="s">
        <v>2741</v>
      </c>
      <c r="B34" s="386" t="s">
        <v>3187</v>
      </c>
      <c r="C34" s="386"/>
      <c r="D34" s="390">
        <f>'SOF2223-SB1'!H131</f>
        <v>0</v>
      </c>
      <c r="E34" s="325"/>
      <c r="F34" s="325"/>
      <c r="G34" s="325"/>
      <c r="H34" s="325"/>
      <c r="I34" s="325"/>
      <c r="J34" s="325"/>
      <c r="K34" s="325"/>
      <c r="L34" s="325"/>
    </row>
    <row r="35" spans="1:12" s="382" customFormat="1" ht="15.75">
      <c r="A35" s="385" t="s">
        <v>2742</v>
      </c>
      <c r="B35" s="386" t="s">
        <v>3188</v>
      </c>
      <c r="C35" s="386"/>
      <c r="D35" s="390">
        <f>'SOF2223-SB1'!H132</f>
        <v>0</v>
      </c>
      <c r="E35" s="325"/>
      <c r="F35" s="325"/>
      <c r="G35" s="325"/>
      <c r="H35" s="325"/>
      <c r="I35" s="325"/>
      <c r="J35" s="325"/>
      <c r="K35" s="325"/>
      <c r="L35" s="325"/>
    </row>
    <row r="36" spans="1:12" s="382" customFormat="1" ht="15.75">
      <c r="A36" s="385" t="s">
        <v>2743</v>
      </c>
      <c r="B36" s="386" t="s">
        <v>3189</v>
      </c>
      <c r="C36" s="386"/>
      <c r="D36" s="390">
        <f>'SOF2223-SB1'!H133</f>
        <v>0</v>
      </c>
      <c r="E36" s="325"/>
      <c r="F36" s="325"/>
      <c r="G36" s="325"/>
      <c r="H36" s="325"/>
      <c r="I36" s="325"/>
      <c r="J36" s="325"/>
      <c r="K36" s="325"/>
      <c r="L36" s="325"/>
    </row>
    <row r="37" spans="1:12" s="382" customFormat="1" ht="15.75">
      <c r="A37" s="385" t="s">
        <v>2744</v>
      </c>
      <c r="B37" s="386" t="s">
        <v>7049</v>
      </c>
      <c r="C37" s="386"/>
      <c r="D37" s="390">
        <f>'SOF2223-SB1'!H134</f>
        <v>0</v>
      </c>
      <c r="E37" s="325"/>
      <c r="F37" s="325"/>
      <c r="G37" s="325"/>
      <c r="H37" s="325"/>
      <c r="I37" s="325"/>
      <c r="J37" s="325"/>
      <c r="K37" s="325"/>
      <c r="L37" s="325"/>
    </row>
    <row r="38" spans="1:12" s="382" customFormat="1" ht="15.75">
      <c r="A38" s="385" t="s">
        <v>2745</v>
      </c>
      <c r="B38" s="386" t="s">
        <v>3190</v>
      </c>
      <c r="C38" s="386"/>
      <c r="D38" s="390">
        <f>'SOF2223-SB1'!H38</f>
        <v>0</v>
      </c>
      <c r="E38" s="325"/>
      <c r="F38" s="325"/>
      <c r="G38" s="325"/>
      <c r="H38" s="325"/>
      <c r="I38" s="325"/>
      <c r="J38" s="325"/>
      <c r="K38" s="325"/>
      <c r="L38" s="325"/>
    </row>
    <row r="39" spans="1:12" s="382" customFormat="1" ht="15.75">
      <c r="A39" s="385" t="s">
        <v>2746</v>
      </c>
      <c r="B39" s="386" t="s">
        <v>2761</v>
      </c>
      <c r="C39" s="386"/>
      <c r="D39" s="390">
        <f>'SOF2223-SB1'!H40</f>
        <v>0</v>
      </c>
      <c r="E39" s="325"/>
      <c r="F39" s="325"/>
      <c r="G39" s="325"/>
      <c r="H39" s="325"/>
      <c r="I39" s="325"/>
      <c r="J39" s="325"/>
      <c r="K39" s="325"/>
      <c r="L39" s="325"/>
    </row>
    <row r="40" spans="1:12" s="382" customFormat="1" ht="15.75">
      <c r="A40" s="385" t="s">
        <v>2747</v>
      </c>
      <c r="B40" s="386" t="s">
        <v>2771</v>
      </c>
      <c r="C40" s="386"/>
      <c r="D40" s="390">
        <f>'SOF2223-SB1'!H41</f>
        <v>0</v>
      </c>
      <c r="E40" s="325"/>
      <c r="F40" s="325"/>
      <c r="G40" s="325"/>
      <c r="H40" s="325"/>
      <c r="I40" s="325"/>
      <c r="J40" s="325"/>
      <c r="K40" s="325"/>
      <c r="L40" s="325"/>
    </row>
    <row r="41" spans="1:12" s="382" customFormat="1" ht="15.75">
      <c r="A41" s="385" t="s">
        <v>2748</v>
      </c>
      <c r="B41" s="386" t="s">
        <v>7050</v>
      </c>
      <c r="C41" s="386"/>
      <c r="D41" s="390">
        <f>'SOF2223-SB1'!H42</f>
        <v>0</v>
      </c>
      <c r="E41" s="325"/>
      <c r="F41" s="325"/>
      <c r="G41" s="325"/>
      <c r="H41" s="325"/>
      <c r="I41" s="325"/>
      <c r="J41" s="325"/>
      <c r="K41" s="325"/>
      <c r="L41" s="325"/>
    </row>
    <row r="42" spans="1:12" s="382" customFormat="1" ht="15.75">
      <c r="A42" s="385" t="s">
        <v>2749</v>
      </c>
      <c r="B42" s="386" t="s">
        <v>2762</v>
      </c>
      <c r="C42" s="386"/>
      <c r="D42" s="390">
        <f>'SOF2223-SB1'!H39</f>
        <v>0</v>
      </c>
      <c r="E42" s="325"/>
      <c r="F42" s="325"/>
      <c r="G42" s="325"/>
      <c r="H42" s="325"/>
      <c r="I42" s="325"/>
      <c r="J42" s="325"/>
      <c r="K42" s="325"/>
      <c r="L42" s="325"/>
    </row>
    <row r="43" spans="1:12" s="382" customFormat="1" ht="15.75">
      <c r="A43" s="385" t="s">
        <v>2750</v>
      </c>
      <c r="B43" s="719" t="s">
        <v>7056</v>
      </c>
      <c r="C43" s="386"/>
      <c r="D43" s="390" t="e">
        <f>'SOF2223-SB1'!H43</f>
        <v>#DIV/0!</v>
      </c>
      <c r="E43" s="325"/>
      <c r="F43" s="325"/>
      <c r="G43" s="325"/>
      <c r="H43" s="325"/>
      <c r="I43" s="325"/>
      <c r="J43" s="325"/>
      <c r="K43" s="325"/>
      <c r="L43" s="325"/>
    </row>
    <row r="44" spans="1:12" s="382" customFormat="1" ht="15.75">
      <c r="A44" s="385" t="s">
        <v>2751</v>
      </c>
      <c r="B44" s="386" t="s">
        <v>2763</v>
      </c>
      <c r="C44" s="386"/>
      <c r="D44" s="390">
        <f>'SOF2223-SB1'!H44</f>
        <v>0</v>
      </c>
      <c r="E44" s="325"/>
      <c r="F44" s="325"/>
      <c r="G44" s="325"/>
      <c r="H44" s="325"/>
      <c r="I44" s="325"/>
      <c r="J44" s="325"/>
      <c r="K44" s="325"/>
      <c r="L44" s="325"/>
    </row>
    <row r="45" spans="1:12" s="382" customFormat="1" ht="15.75">
      <c r="A45" s="385" t="s">
        <v>2752</v>
      </c>
      <c r="B45" s="386" t="s">
        <v>785</v>
      </c>
      <c r="C45" s="386"/>
      <c r="D45" s="390" t="e">
        <f>'SOF2223-SB1'!H45</f>
        <v>#DIV/0!</v>
      </c>
      <c r="E45" s="325"/>
      <c r="F45" s="325"/>
      <c r="G45" s="325"/>
      <c r="H45" s="325"/>
      <c r="I45" s="325"/>
      <c r="J45" s="325"/>
      <c r="K45" s="325"/>
      <c r="L45" s="325"/>
    </row>
    <row r="46" spans="1:12" s="382" customFormat="1" ht="15.75">
      <c r="A46" s="385" t="s">
        <v>2753</v>
      </c>
      <c r="B46" s="386" t="s">
        <v>2764</v>
      </c>
      <c r="C46" s="386"/>
      <c r="D46" s="390">
        <f>'SOF2223-SB1'!H75</f>
        <v>0</v>
      </c>
      <c r="E46" s="325"/>
      <c r="F46" s="325"/>
      <c r="G46" s="325"/>
      <c r="H46" s="325"/>
      <c r="I46" s="325"/>
      <c r="J46" s="325"/>
      <c r="K46" s="325"/>
      <c r="L46" s="325"/>
    </row>
    <row r="47" spans="1:12" s="382" customFormat="1" ht="18">
      <c r="A47" s="1390" t="s">
        <v>3101</v>
      </c>
      <c r="B47" s="1391"/>
      <c r="C47" s="1391"/>
      <c r="D47" s="1381"/>
      <c r="E47" s="325"/>
      <c r="F47" s="325"/>
      <c r="G47" s="325"/>
      <c r="H47" s="325"/>
      <c r="I47" s="325"/>
      <c r="J47" s="325"/>
      <c r="K47" s="325"/>
      <c r="L47" s="325"/>
    </row>
    <row r="48" spans="1:12" s="382" customFormat="1" ht="18">
      <c r="A48" s="1382" t="s">
        <v>3102</v>
      </c>
      <c r="B48" s="1386"/>
      <c r="C48" s="1386"/>
      <c r="D48" s="1383"/>
      <c r="E48" s="325"/>
      <c r="F48" s="325"/>
      <c r="G48" s="325"/>
      <c r="H48" s="325"/>
      <c r="I48" s="325"/>
      <c r="J48" s="325"/>
      <c r="K48" s="325"/>
      <c r="L48" s="325"/>
    </row>
    <row r="49" spans="1:12" s="382" customFormat="1" ht="15.75">
      <c r="A49" s="385" t="s">
        <v>2754</v>
      </c>
      <c r="B49" s="386" t="s">
        <v>2765</v>
      </c>
      <c r="C49" s="386"/>
      <c r="D49" s="390" t="e">
        <f>'SOF2223-SB1'!H48</f>
        <v>#DIV/0!</v>
      </c>
      <c r="E49" s="325"/>
      <c r="F49" s="325"/>
      <c r="G49" s="325"/>
      <c r="H49" s="325"/>
      <c r="I49" s="325"/>
      <c r="J49" s="325"/>
      <c r="K49" s="325"/>
      <c r="L49" s="325"/>
    </row>
    <row r="50" spans="1:12" s="382" customFormat="1" ht="15.75">
      <c r="A50" s="385" t="s">
        <v>2755</v>
      </c>
      <c r="B50" s="718" t="s">
        <v>7057</v>
      </c>
      <c r="C50" s="386"/>
      <c r="D50" s="390" t="e">
        <f>'SOF2223-SB1'!H53</f>
        <v>#DIV/0!</v>
      </c>
      <c r="E50" s="325"/>
      <c r="F50" s="325"/>
      <c r="G50" s="325"/>
      <c r="H50" s="325"/>
      <c r="I50" s="325"/>
      <c r="J50" s="325"/>
      <c r="K50" s="325"/>
      <c r="L50" s="325"/>
    </row>
    <row r="51" spans="1:12" s="382" customFormat="1" ht="15.75">
      <c r="A51" s="385" t="s">
        <v>2756</v>
      </c>
      <c r="B51" s="719" t="s">
        <v>7058</v>
      </c>
      <c r="C51" s="386"/>
      <c r="D51" s="390" t="e">
        <f>'Report-Other2223'!D26</f>
        <v>#DIV/0!</v>
      </c>
      <c r="E51" s="325" t="s">
        <v>4016</v>
      </c>
      <c r="F51" s="325"/>
      <c r="G51" s="325"/>
      <c r="H51" s="325"/>
      <c r="I51" s="325"/>
      <c r="J51" s="325"/>
      <c r="K51" s="325"/>
      <c r="L51" s="325"/>
    </row>
    <row r="52" spans="1:12" s="382" customFormat="1" ht="15.75">
      <c r="A52" s="385" t="s">
        <v>2757</v>
      </c>
      <c r="B52" s="386" t="str">
        <f>CONCATENATE("Less: Total Available School Fund ($",Assumptions!G123," * Prior Year ADA)")</f>
        <v>Less: Total Available School Fund ($259.207 * Prior Year ADA)</v>
      </c>
      <c r="C52" s="386"/>
      <c r="D52" s="390">
        <f>'SOF2223-SB1'!H70</f>
        <v>0</v>
      </c>
      <c r="E52" s="325"/>
      <c r="F52" s="325"/>
      <c r="G52" s="325"/>
      <c r="H52" s="325"/>
      <c r="I52" s="325"/>
      <c r="J52" s="325"/>
      <c r="K52" s="325"/>
      <c r="L52" s="325"/>
    </row>
    <row r="53" spans="1:12" s="382" customFormat="1" ht="15.75">
      <c r="A53" s="385" t="s">
        <v>2758</v>
      </c>
      <c r="B53" s="386" t="s">
        <v>2766</v>
      </c>
      <c r="C53" s="386"/>
      <c r="D53" s="390" t="e">
        <f>'SOF2223-SB1'!H74+'HH2122-Calcs'!D26</f>
        <v>#DIV/0!</v>
      </c>
      <c r="E53" s="325"/>
      <c r="F53" s="325"/>
      <c r="G53" s="325"/>
      <c r="H53" s="325"/>
      <c r="I53" s="325"/>
      <c r="J53" s="325"/>
      <c r="K53" s="325"/>
      <c r="L53" s="325"/>
    </row>
    <row r="54" spans="1:12" s="382" customFormat="1" ht="18">
      <c r="A54" s="1372" t="s">
        <v>2772</v>
      </c>
      <c r="B54" s="1387"/>
      <c r="C54" s="1387"/>
      <c r="D54" s="1373"/>
      <c r="E54" s="325"/>
      <c r="F54" s="325"/>
      <c r="G54" s="325"/>
      <c r="H54" s="325"/>
      <c r="I54" s="325"/>
      <c r="J54" s="325"/>
      <c r="K54" s="325"/>
      <c r="L54" s="325"/>
    </row>
    <row r="55" spans="1:12" s="382" customFormat="1" ht="18">
      <c r="A55" s="1378"/>
      <c r="B55" s="1388" t="s">
        <v>2780</v>
      </c>
      <c r="C55" s="1387"/>
      <c r="D55" s="1373"/>
      <c r="E55" s="325"/>
      <c r="F55" s="325"/>
      <c r="G55" s="325"/>
      <c r="H55" s="325"/>
      <c r="I55" s="325"/>
      <c r="J55" s="325"/>
      <c r="K55" s="325"/>
      <c r="L55" s="325"/>
    </row>
    <row r="56" spans="1:12" s="382" customFormat="1" ht="15.75">
      <c r="A56" s="385" t="s">
        <v>2773</v>
      </c>
      <c r="B56" s="386" t="s">
        <v>2779</v>
      </c>
      <c r="C56" s="386"/>
      <c r="D56" s="390" t="e">
        <f>'SOF2223-SB1'!H74+'HH2223-Calcs'!D26</f>
        <v>#DIV/0!</v>
      </c>
      <c r="E56" s="325"/>
      <c r="F56" s="325"/>
      <c r="G56" s="325"/>
      <c r="H56" s="325"/>
      <c r="I56" s="325"/>
      <c r="J56" s="325"/>
      <c r="K56" s="325"/>
      <c r="L56" s="325"/>
    </row>
    <row r="57" spans="1:12" s="382" customFormat="1" ht="15.75">
      <c r="A57" s="385" t="s">
        <v>2774</v>
      </c>
      <c r="B57" s="386" t="s">
        <v>3047</v>
      </c>
      <c r="C57" s="386"/>
      <c r="D57" s="390">
        <f>'SOF2223-SB1'!H75</f>
        <v>0</v>
      </c>
      <c r="E57" s="325"/>
      <c r="F57" s="325"/>
      <c r="G57" s="325"/>
      <c r="H57" s="325"/>
      <c r="I57" s="325"/>
      <c r="J57" s="325"/>
      <c r="K57" s="325"/>
      <c r="L57" s="325"/>
    </row>
    <row r="58" spans="1:12" s="382" customFormat="1" ht="15.75">
      <c r="A58" s="385" t="s">
        <v>2775</v>
      </c>
      <c r="B58" s="718" t="s">
        <v>7060</v>
      </c>
      <c r="C58" s="386"/>
      <c r="D58" s="390">
        <f>'Existing Debt-OldLaw'!Q74</f>
        <v>0</v>
      </c>
      <c r="E58" s="325"/>
      <c r="F58" s="325"/>
      <c r="G58" s="325"/>
      <c r="H58" s="325"/>
      <c r="I58" s="325"/>
      <c r="J58" s="325"/>
      <c r="K58" s="325"/>
      <c r="L58" s="325"/>
    </row>
    <row r="59" spans="1:12" s="382" customFormat="1" ht="15.75">
      <c r="A59" s="385" t="s">
        <v>2776</v>
      </c>
      <c r="B59" s="719" t="s">
        <v>7061</v>
      </c>
      <c r="C59" s="386"/>
      <c r="D59" s="390">
        <f>'IFA-OldLaw'!AB86</f>
        <v>0</v>
      </c>
      <c r="E59" s="325"/>
      <c r="F59" s="325"/>
      <c r="G59" s="325"/>
      <c r="H59" s="325"/>
      <c r="I59" s="325"/>
      <c r="J59" s="325"/>
      <c r="K59" s="325"/>
      <c r="L59" s="325"/>
    </row>
    <row r="60" spans="1:12" s="382" customFormat="1" ht="15.75">
      <c r="A60" s="385" t="s">
        <v>2777</v>
      </c>
      <c r="B60" s="718" t="s">
        <v>7062</v>
      </c>
      <c r="C60" s="386"/>
      <c r="D60" s="390">
        <f>'IFA-OldLaw'!AC86</f>
        <v>0</v>
      </c>
      <c r="E60" s="325"/>
      <c r="F60" s="325"/>
      <c r="G60" s="325"/>
      <c r="H60" s="325"/>
      <c r="I60" s="325"/>
      <c r="J60" s="325"/>
      <c r="K60" s="325"/>
      <c r="L60" s="325"/>
    </row>
    <row r="61" spans="1:12" s="382" customFormat="1" ht="15.75">
      <c r="A61" s="385" t="s">
        <v>2778</v>
      </c>
      <c r="B61" s="386" t="s">
        <v>7051</v>
      </c>
      <c r="C61" s="386"/>
      <c r="D61" s="390" t="e">
        <f>'HH2223-Calcs'!C51</f>
        <v>#DIV/0!</v>
      </c>
      <c r="E61" s="325"/>
      <c r="F61" s="325"/>
      <c r="G61" s="325"/>
      <c r="H61" s="325"/>
      <c r="I61" s="325"/>
      <c r="J61" s="325"/>
      <c r="K61" s="325"/>
      <c r="L61" s="325"/>
    </row>
    <row r="62" spans="1:12" s="382" customFormat="1" ht="18">
      <c r="A62" s="514" t="s">
        <v>2917</v>
      </c>
      <c r="B62" s="1302" t="s">
        <v>6985</v>
      </c>
      <c r="C62" s="1407"/>
      <c r="D62" s="1408" t="e">
        <f>'SOF2223-SB1'!H80+'HH2223-Calcs'!D26+D61</f>
        <v>#DIV/0!</v>
      </c>
      <c r="E62" s="325" t="s">
        <v>4015</v>
      </c>
      <c r="F62" s="325"/>
      <c r="G62" s="325"/>
      <c r="H62" s="325"/>
      <c r="I62" s="325"/>
      <c r="J62" s="325"/>
      <c r="K62" s="325"/>
      <c r="L62" s="325"/>
    </row>
    <row r="63" spans="1:12" s="382" customFormat="1" ht="18">
      <c r="A63" s="423"/>
      <c r="B63" s="589"/>
      <c r="D63" s="590"/>
      <c r="E63" s="325"/>
      <c r="F63" s="325"/>
      <c r="G63" s="325"/>
      <c r="H63" s="325"/>
      <c r="I63" s="325"/>
      <c r="J63" s="325"/>
      <c r="K63" s="325"/>
      <c r="L63" s="325"/>
    </row>
    <row r="64" spans="1:12" s="382" customFormat="1" ht="15.75">
      <c r="A64" s="1392"/>
      <c r="B64" s="718" t="s">
        <v>7063</v>
      </c>
      <c r="C64" s="1405"/>
      <c r="D64" s="1406"/>
      <c r="E64" s="325"/>
      <c r="F64" s="325"/>
      <c r="G64" s="325"/>
      <c r="H64" s="325"/>
      <c r="I64" s="325"/>
      <c r="J64" s="325"/>
      <c r="K64" s="325"/>
      <c r="L64" s="325"/>
    </row>
    <row r="65" spans="1:12" s="382" customFormat="1" ht="15.75">
      <c r="A65" s="394"/>
      <c r="E65" s="325"/>
      <c r="F65" s="325"/>
      <c r="G65" s="325"/>
      <c r="H65" s="325"/>
      <c r="I65" s="325"/>
      <c r="J65" s="325"/>
      <c r="K65" s="325"/>
      <c r="L65" s="325"/>
    </row>
    <row r="66" spans="1:12" s="382" customFormat="1" ht="15.75">
      <c r="A66" s="381"/>
      <c r="E66" s="325"/>
      <c r="F66" s="325"/>
      <c r="G66" s="325"/>
      <c r="H66" s="325"/>
      <c r="I66" s="325"/>
      <c r="J66" s="325"/>
      <c r="K66" s="325"/>
      <c r="L66" s="325"/>
    </row>
    <row r="67" spans="1:12" ht="16.5" thickBot="1">
      <c r="A67" s="381" t="s">
        <v>3103</v>
      </c>
      <c r="B67" s="382"/>
      <c r="C67" s="382"/>
      <c r="D67" s="382"/>
    </row>
    <row r="68" spans="1:12" ht="16.5" thickTop="1">
      <c r="A68" s="498" t="s">
        <v>2457</v>
      </c>
      <c r="B68" s="421"/>
      <c r="C68" s="642"/>
      <c r="D68" s="420"/>
    </row>
    <row r="69" spans="1:12" ht="15.75">
      <c r="A69" s="645" t="s">
        <v>3206</v>
      </c>
      <c r="B69" s="650" t="s">
        <v>3219</v>
      </c>
      <c r="C69" s="384"/>
      <c r="D69" s="422" t="e">
        <f>'SOF2223-SB1'!H88+'HH2223-Calcs'!D26</f>
        <v>#DIV/0!</v>
      </c>
    </row>
    <row r="70" spans="1:12" ht="15.75">
      <c r="A70" s="645" t="s">
        <v>3207</v>
      </c>
      <c r="B70" s="644" t="s">
        <v>2861</v>
      </c>
      <c r="C70" s="651"/>
      <c r="D70" s="422" t="e">
        <f>'SOF2223-SB1'!H89</f>
        <v>#DIV/0!</v>
      </c>
    </row>
    <row r="71" spans="1:12" ht="15.75">
      <c r="A71" s="645" t="s">
        <v>3208</v>
      </c>
      <c r="B71" s="644" t="s">
        <v>3220</v>
      </c>
      <c r="C71" s="384"/>
      <c r="D71" s="422">
        <f>'SOF2223-SB1'!H90</f>
        <v>0</v>
      </c>
    </row>
    <row r="72" spans="1:12" ht="15.75">
      <c r="A72" s="645" t="s">
        <v>3209</v>
      </c>
      <c r="B72" s="644" t="s">
        <v>3221</v>
      </c>
      <c r="C72" s="384"/>
      <c r="D72" s="422" t="e">
        <f>'SOF2223-SB1'!H91</f>
        <v>#DIV/0!</v>
      </c>
    </row>
    <row r="73" spans="1:12" ht="15.75">
      <c r="A73" s="645" t="s">
        <v>3210</v>
      </c>
      <c r="B73" s="644" t="s">
        <v>8146</v>
      </c>
      <c r="C73" s="384"/>
      <c r="D73" s="1079">
        <f>'Data Entry - SOF'!Q142*-1</f>
        <v>0</v>
      </c>
    </row>
    <row r="74" spans="1:12" ht="15.75">
      <c r="A74" s="645" t="s">
        <v>3211</v>
      </c>
      <c r="B74" s="652" t="s">
        <v>6986</v>
      </c>
      <c r="C74" s="384"/>
      <c r="D74" s="422" t="e">
        <f>'SOF2223-SB1'!H92+'HH2223-Calcs'!D26+D73</f>
        <v>#DIV/0!</v>
      </c>
    </row>
    <row r="75" spans="1:12" ht="15.75">
      <c r="A75" s="645" t="s">
        <v>3212</v>
      </c>
      <c r="B75" s="653" t="s">
        <v>2862</v>
      </c>
      <c r="C75" s="384"/>
      <c r="D75" s="422" t="e">
        <f>'SOF2223-SB1'!H93</f>
        <v>#DIV/0!</v>
      </c>
    </row>
    <row r="76" spans="1:12" ht="16.5" thickBot="1">
      <c r="A76" s="646" t="s">
        <v>3213</v>
      </c>
      <c r="B76" s="654" t="s">
        <v>6987</v>
      </c>
      <c r="C76" s="643"/>
      <c r="D76" s="1409" t="e">
        <f>D74+D75</f>
        <v>#DIV/0!</v>
      </c>
    </row>
    <row r="77" spans="1:12" ht="13.5" customHeight="1" thickTop="1">
      <c r="B77" s="450"/>
      <c r="C77" s="325"/>
      <c r="D77" s="325"/>
      <c r="E77" s="590"/>
    </row>
    <row r="78" spans="1:12" ht="13.5" thickBot="1">
      <c r="B78" s="64"/>
    </row>
    <row r="79" spans="1:12" ht="16.5" thickTop="1">
      <c r="A79" s="498" t="s">
        <v>3050</v>
      </c>
      <c r="B79" s="500"/>
      <c r="C79" s="500"/>
      <c r="D79" s="497"/>
    </row>
    <row r="80" spans="1:12" ht="15">
      <c r="A80" s="645" t="s">
        <v>3214</v>
      </c>
      <c r="B80" s="649" t="str">
        <f>CONCATENATE("Recapture at the $",Assumptions!G121," Level")</f>
        <v>Recapture at the $514000 Level</v>
      </c>
      <c r="C80" s="647"/>
      <c r="D80" s="422" t="e">
        <f>ASATR!L39</f>
        <v>#DIV/0!</v>
      </c>
    </row>
    <row r="81" spans="1:4" ht="15">
      <c r="A81" s="645" t="s">
        <v>3215</v>
      </c>
      <c r="B81" s="649" t="str">
        <f>CONCATENATE("Recapture at the $",Assumptions!G71," Level")</f>
        <v>Recapture at the $319500 Level</v>
      </c>
      <c r="C81" s="647"/>
      <c r="D81" s="422" t="e">
        <f>IF('Report-Recapture2223'!G141="Y",MIN('Report-Recapture2223'!C141,'Report-Recapture2223'!E141),MAX('Report-Recapture2223'!C141,'Report-Recapture2223'!E141))</f>
        <v>#DIV/0!</v>
      </c>
    </row>
    <row r="82" spans="1:4" ht="15.75">
      <c r="A82" s="645" t="s">
        <v>3216</v>
      </c>
      <c r="B82" s="719" t="s">
        <v>7064</v>
      </c>
      <c r="C82" s="647"/>
      <c r="D82" s="501" t="e">
        <f>D80+D81</f>
        <v>#DIV/0!</v>
      </c>
    </row>
    <row r="83" spans="1:4" ht="15">
      <c r="A83" s="645" t="s">
        <v>3217</v>
      </c>
      <c r="B83" s="649" t="s">
        <v>3049</v>
      </c>
      <c r="C83" s="647"/>
      <c r="D83" s="1080">
        <f>'Data Entry - SOF'!Q142</f>
        <v>0</v>
      </c>
    </row>
    <row r="84" spans="1:4" ht="16.5" thickBot="1">
      <c r="A84" s="646" t="s">
        <v>3218</v>
      </c>
      <c r="B84" s="1410" t="s">
        <v>6988</v>
      </c>
      <c r="C84" s="648"/>
      <c r="D84" s="471" t="e">
        <f>D82+D83</f>
        <v>#DIV/0!</v>
      </c>
    </row>
    <row r="85" spans="1:4" ht="13.5" thickTop="1"/>
    <row r="89" spans="1:4" hidden="1">
      <c r="B89" s="72" t="s">
        <v>8278</v>
      </c>
      <c r="D89" s="1990">
        <f>'Report-M&amp;O2223'!C18</f>
        <v>0</v>
      </c>
    </row>
    <row r="90" spans="1:4" hidden="1">
      <c r="B90" s="72" t="s">
        <v>8279</v>
      </c>
      <c r="D90" s="1990">
        <f>D44</f>
        <v>0</v>
      </c>
    </row>
    <row r="91" spans="1:4" hidden="1">
      <c r="B91" s="72" t="s">
        <v>8280</v>
      </c>
      <c r="D91" s="35">
        <f>IF(D89-D90&lt;=0,0,D89-D90)</f>
        <v>0</v>
      </c>
    </row>
  </sheetData>
  <hyperlinks>
    <hyperlink ref="B11" location="'Report-Calculations'!A1" display="Regular Program ADA (Line 1 - Line 3 - Line 4)          "/>
    <hyperlink ref="B15" location="'Report-Calculations'!A1" display="Weighted ADA (WADA)                                                          (Link to Detail Report)"/>
    <hyperlink ref="B29" location="'Report-AA2223'!A1" display="Adjusted Allotment                                                                    (Link to Detail Report)"/>
    <hyperlink ref="B43" location="'Report-T1Detail2223'!A1" display="Total Cost of Tier I                                                           (Link to Tier I Detail Report)"/>
    <hyperlink ref="B50" location="'Report-T2Detail2223'!A1" display="Tier II State Aid)                                                              (Link to Tier II Detail Report)"/>
    <hyperlink ref="B51" location="'Report-Other2223'!A1" display="Other Programs                                                                        (Link to Detail Report)"/>
    <hyperlink ref="B58" location="'Report-EDA2223'!A1" display="599/5829 - Existing Debt Allotment (EDA)                            (Link to Detail Report)"/>
    <hyperlink ref="B59" location="'Report-IFA2223'!A1" display="599/5829 - Instructional Facilities Allotment (IFA) (Bond)    (Link to Detail Report)"/>
    <hyperlink ref="B64" location="'Report-FSF2223'!A1" display="FSP Allocations and Adjustments Report                              (Link to Detail Report)"/>
    <hyperlink ref="B12" location="'Report-SpEd2223'!A1" display="Special Education FTEs                                                          (Link to Detail Report)"/>
    <hyperlink ref="B60" location="'Report-IFA2223'!A1" display="599/5829 - Instructional Facilities Allotment (Lease Purchase)  (See Link Above)"/>
    <hyperlink ref="B24" location="'Report-M&amp;O2223'!A1" display="2022-23 M&amp;O Tax Collections                                                 (Link to Detail Report)"/>
    <hyperlink ref="B82" location="'Report-Recapture2223'!A1" display="Total 2022-23 Recapture                                                       (Link to Detail Report)"/>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1"/>
  <sheetViews>
    <sheetView workbookViewId="0">
      <selection activeCell="D1" sqref="D1"/>
    </sheetView>
  </sheetViews>
  <sheetFormatPr defaultRowHeight="12.75"/>
  <cols>
    <col min="1" max="1" width="9.140625" style="64" customWidth="1"/>
    <col min="2" max="2" width="86" style="35" customWidth="1"/>
    <col min="3" max="3" width="4.140625" style="35" customWidth="1"/>
    <col min="4" max="4" width="20.5703125" style="35" customWidth="1"/>
    <col min="5" max="5" width="17.5703125" style="35" customWidth="1"/>
    <col min="6" max="12" width="9.140625" style="35" customWidth="1"/>
  </cols>
  <sheetData>
    <row r="1" spans="1:12">
      <c r="A1" s="380" t="s">
        <v>2864</v>
      </c>
      <c r="C1" s="755"/>
      <c r="D1" s="3054" t="str">
        <f>'Data Entry - SOF'!S1</f>
        <v>Release 10</v>
      </c>
    </row>
    <row r="2" spans="1:12">
      <c r="A2" s="484" t="s">
        <v>9515</v>
      </c>
      <c r="D2" s="4642">
        <f>'Data Entry - SOF'!S2</f>
        <v>43724</v>
      </c>
    </row>
    <row r="3" spans="1:12">
      <c r="D3" s="58"/>
    </row>
    <row r="4" spans="1:12" s="382" customFormat="1" ht="15.75">
      <c r="A4" s="381" t="s">
        <v>8187</v>
      </c>
      <c r="B4" s="325"/>
      <c r="C4" s="325"/>
      <c r="D4" s="325"/>
      <c r="E4" s="325"/>
      <c r="F4" s="325"/>
      <c r="G4" s="325"/>
      <c r="H4" s="325"/>
      <c r="I4" s="325"/>
      <c r="J4" s="325"/>
      <c r="K4" s="325"/>
      <c r="L4" s="325"/>
    </row>
    <row r="5" spans="1:12" s="382" customFormat="1" ht="15.75">
      <c r="A5" s="383">
        <f>'Data Entry - SOF'!B1</f>
        <v>0</v>
      </c>
      <c r="B5" s="325"/>
      <c r="C5" s="325"/>
      <c r="D5" s="325"/>
      <c r="E5" s="325"/>
      <c r="F5" s="325"/>
      <c r="G5" s="325"/>
      <c r="H5" s="325"/>
      <c r="I5" s="325"/>
      <c r="J5" s="325"/>
      <c r="K5" s="325"/>
      <c r="L5" s="325"/>
    </row>
    <row r="6" spans="1:12" s="382" customFormat="1" ht="15.75">
      <c r="A6" s="381">
        <f>'Data Entry - SOF'!B2</f>
        <v>0</v>
      </c>
      <c r="B6" s="325"/>
      <c r="C6" s="325"/>
      <c r="D6" s="325"/>
      <c r="E6" s="325"/>
      <c r="F6" s="325"/>
      <c r="G6" s="325"/>
      <c r="H6" s="325"/>
      <c r="I6" s="325"/>
      <c r="J6" s="325"/>
      <c r="K6" s="325"/>
      <c r="L6" s="325"/>
    </row>
    <row r="7" spans="1:12" s="382" customFormat="1" ht="15.75">
      <c r="A7" s="381"/>
      <c r="B7" s="325"/>
      <c r="C7" s="325"/>
      <c r="D7" s="325"/>
      <c r="E7" s="325"/>
      <c r="F7" s="325"/>
      <c r="G7" s="325"/>
      <c r="H7" s="325"/>
      <c r="I7" s="325"/>
      <c r="J7" s="325"/>
      <c r="K7" s="325"/>
      <c r="L7" s="325"/>
    </row>
    <row r="8" spans="1:12" s="382" customFormat="1" ht="18">
      <c r="A8" s="1300" t="s">
        <v>2707</v>
      </c>
      <c r="B8" s="922"/>
      <c r="C8" s="922"/>
      <c r="D8" s="532" t="s">
        <v>2715</v>
      </c>
      <c r="E8" s="325"/>
      <c r="F8" s="325"/>
      <c r="G8" s="325"/>
      <c r="H8" s="325"/>
      <c r="I8" s="325"/>
      <c r="J8" s="325"/>
      <c r="K8" s="325"/>
      <c r="L8" s="325"/>
    </row>
    <row r="9" spans="1:12" s="382" customFormat="1" ht="18">
      <c r="A9" s="1372" t="s">
        <v>2708</v>
      </c>
      <c r="B9" s="1387"/>
      <c r="C9" s="1373"/>
      <c r="D9" s="533" t="s">
        <v>2716</v>
      </c>
      <c r="E9" s="325"/>
      <c r="F9" s="325"/>
      <c r="G9" s="325"/>
      <c r="H9" s="325"/>
      <c r="I9" s="325"/>
      <c r="J9" s="325"/>
      <c r="K9" s="325"/>
      <c r="L9" s="325"/>
    </row>
    <row r="10" spans="1:12" s="382" customFormat="1" ht="15.75">
      <c r="A10" s="385" t="s">
        <v>2186</v>
      </c>
      <c r="B10" s="386" t="s">
        <v>2709</v>
      </c>
      <c r="C10" s="386"/>
      <c r="D10" s="387">
        <f>'SOF2324-SB1'!F8</f>
        <v>0</v>
      </c>
      <c r="E10" s="325"/>
      <c r="F10" s="325"/>
      <c r="G10" s="325"/>
      <c r="H10" s="325"/>
      <c r="I10" s="325"/>
      <c r="J10" s="325"/>
      <c r="K10" s="325"/>
      <c r="L10" s="325"/>
    </row>
    <row r="11" spans="1:12" s="382" customFormat="1" ht="15.75">
      <c r="A11" s="514" t="s">
        <v>2187</v>
      </c>
      <c r="B11" s="386" t="s">
        <v>3353</v>
      </c>
      <c r="C11" s="220"/>
      <c r="D11" s="387">
        <f>'Calc Data'!J10</f>
        <v>0</v>
      </c>
      <c r="E11" s="325"/>
      <c r="F11" s="325"/>
      <c r="G11" s="325"/>
      <c r="H11" s="325"/>
      <c r="I11" s="325"/>
      <c r="J11" s="325"/>
      <c r="K11" s="325"/>
      <c r="L11" s="325"/>
    </row>
    <row r="12" spans="1:12" s="382" customFormat="1" ht="15.75">
      <c r="A12" s="514" t="s">
        <v>2188</v>
      </c>
      <c r="B12" s="718" t="s">
        <v>8224</v>
      </c>
      <c r="C12" s="220"/>
      <c r="D12" s="387">
        <f>'SOF2324-SB1'!F9</f>
        <v>0</v>
      </c>
      <c r="E12" s="325"/>
      <c r="F12" s="325"/>
      <c r="G12" s="325"/>
      <c r="H12" s="325"/>
      <c r="I12" s="325"/>
      <c r="J12" s="325"/>
      <c r="K12" s="325"/>
      <c r="L12" s="325"/>
    </row>
    <row r="13" spans="1:12" s="382" customFormat="1" ht="15.75">
      <c r="A13" s="514" t="s">
        <v>909</v>
      </c>
      <c r="B13" s="386" t="s">
        <v>824</v>
      </c>
      <c r="C13" s="220"/>
      <c r="D13" s="387">
        <f>'SOF2324-SB1'!F10</f>
        <v>0</v>
      </c>
      <c r="E13" s="325"/>
      <c r="F13" s="325"/>
      <c r="G13" s="325"/>
      <c r="H13" s="325"/>
      <c r="I13" s="325"/>
      <c r="J13" s="325"/>
      <c r="K13" s="325"/>
      <c r="L13" s="325"/>
    </row>
    <row r="14" spans="1:12" s="382" customFormat="1" ht="15.75">
      <c r="A14" s="385" t="s">
        <v>910</v>
      </c>
      <c r="B14" s="386" t="s">
        <v>643</v>
      </c>
      <c r="C14" s="386"/>
      <c r="D14" s="387">
        <f>'Data Entry - SOF'!S37</f>
        <v>0</v>
      </c>
      <c r="E14" s="325"/>
      <c r="F14" s="325"/>
      <c r="G14" s="325"/>
      <c r="H14" s="325"/>
      <c r="I14" s="325"/>
      <c r="J14" s="325"/>
      <c r="K14" s="325"/>
      <c r="L14" s="325"/>
    </row>
    <row r="15" spans="1:12" s="382" customFormat="1" ht="15.75">
      <c r="A15" s="385" t="s">
        <v>913</v>
      </c>
      <c r="B15" s="719" t="s">
        <v>3356</v>
      </c>
      <c r="C15" s="386"/>
      <c r="D15" s="387" t="e">
        <f>'Calc Data'!J25</f>
        <v>#DIV/0!</v>
      </c>
      <c r="E15" s="325"/>
      <c r="F15" s="325"/>
      <c r="G15" s="325"/>
      <c r="H15" s="325"/>
      <c r="I15" s="325"/>
      <c r="J15" s="325"/>
      <c r="K15" s="325"/>
      <c r="L15" s="325"/>
    </row>
    <row r="16" spans="1:12" s="382" customFormat="1" ht="15.75">
      <c r="A16" s="385" t="s">
        <v>914</v>
      </c>
      <c r="B16" s="386" t="s">
        <v>2712</v>
      </c>
      <c r="C16" s="386"/>
      <c r="D16" s="387">
        <f>'Report-SOF2223'!D10</f>
        <v>0</v>
      </c>
      <c r="E16" s="325"/>
      <c r="F16" s="325"/>
      <c r="G16" s="325"/>
      <c r="H16" s="325"/>
      <c r="I16" s="325"/>
      <c r="J16" s="325"/>
      <c r="K16" s="325"/>
      <c r="L16" s="325"/>
    </row>
    <row r="17" spans="1:12" s="382" customFormat="1" ht="15.75">
      <c r="A17" s="385" t="s">
        <v>118</v>
      </c>
      <c r="B17" s="386" t="s">
        <v>2713</v>
      </c>
      <c r="C17" s="386"/>
      <c r="D17" s="387">
        <f>'Data Entry - SOF'!S111</f>
        <v>0</v>
      </c>
      <c r="E17" s="325"/>
      <c r="F17" s="325"/>
      <c r="G17" s="325"/>
      <c r="H17" s="325"/>
      <c r="I17" s="325"/>
      <c r="J17" s="325"/>
      <c r="K17" s="325"/>
      <c r="L17" s="325"/>
    </row>
    <row r="18" spans="1:12" s="382" customFormat="1" ht="15.75">
      <c r="A18" s="385" t="s">
        <v>119</v>
      </c>
      <c r="B18" s="386" t="s">
        <v>2714</v>
      </c>
      <c r="C18" s="386"/>
      <c r="D18" s="387">
        <f>'Data Entry - SOF'!S110</f>
        <v>0</v>
      </c>
      <c r="E18" s="325"/>
      <c r="F18" s="325"/>
      <c r="G18" s="325"/>
      <c r="H18" s="325"/>
      <c r="I18" s="325"/>
      <c r="J18" s="325"/>
      <c r="K18" s="325"/>
      <c r="L18" s="325"/>
    </row>
    <row r="19" spans="1:12" s="382" customFormat="1" ht="18">
      <c r="A19" s="1372" t="s">
        <v>2720</v>
      </c>
      <c r="B19" s="1387"/>
      <c r="C19" s="1387"/>
      <c r="D19" s="1373"/>
      <c r="E19" s="325"/>
      <c r="F19" s="325"/>
      <c r="G19" s="325"/>
      <c r="H19" s="325"/>
      <c r="I19" s="325"/>
      <c r="J19" s="325"/>
      <c r="K19" s="325"/>
      <c r="L19" s="325"/>
    </row>
    <row r="20" spans="1:12" s="382" customFormat="1" ht="15.75">
      <c r="A20" s="385" t="s">
        <v>6</v>
      </c>
      <c r="B20" s="386" t="s">
        <v>3991</v>
      </c>
      <c r="C20" s="386"/>
      <c r="D20" s="388">
        <f>'Data Entry - SOF'!S73</f>
        <v>0</v>
      </c>
      <c r="E20" s="325"/>
      <c r="F20" s="325"/>
      <c r="G20" s="325"/>
      <c r="H20" s="325"/>
      <c r="I20" s="325"/>
      <c r="J20" s="325"/>
      <c r="K20" s="325"/>
      <c r="L20" s="325"/>
    </row>
    <row r="21" spans="1:12" s="382" customFormat="1" ht="18">
      <c r="A21" s="1372" t="s">
        <v>2721</v>
      </c>
      <c r="B21" s="1387"/>
      <c r="C21" s="1387"/>
      <c r="D21" s="1373"/>
      <c r="E21" s="325"/>
      <c r="F21" s="325"/>
      <c r="G21" s="325"/>
      <c r="H21" s="325"/>
      <c r="I21" s="325"/>
      <c r="J21" s="325"/>
      <c r="K21" s="325"/>
      <c r="L21" s="325"/>
    </row>
    <row r="22" spans="1:12" s="382" customFormat="1" ht="15.75">
      <c r="A22" s="385" t="s">
        <v>2233</v>
      </c>
      <c r="B22" s="386" t="s">
        <v>8188</v>
      </c>
      <c r="C22" s="384"/>
      <c r="D22" s="389">
        <f>'Data Entry - SOF'!S154</f>
        <v>0</v>
      </c>
      <c r="E22" s="325"/>
      <c r="F22" s="325"/>
      <c r="G22" s="325"/>
      <c r="H22" s="325"/>
      <c r="I22" s="325"/>
      <c r="J22" s="325"/>
      <c r="K22" s="325"/>
      <c r="L22" s="325"/>
    </row>
    <row r="23" spans="1:12" s="382" customFormat="1" ht="15.75">
      <c r="A23" s="385" t="s">
        <v>2723</v>
      </c>
      <c r="B23" s="386" t="s">
        <v>8189</v>
      </c>
      <c r="C23" s="384"/>
      <c r="D23" s="389">
        <f>'Data Entry - SOF'!S92</f>
        <v>1.17</v>
      </c>
      <c r="E23" s="325"/>
      <c r="F23" s="325"/>
      <c r="G23" s="325"/>
      <c r="H23" s="325"/>
      <c r="I23" s="325"/>
      <c r="J23" s="325"/>
      <c r="K23" s="325"/>
      <c r="L23" s="325"/>
    </row>
    <row r="24" spans="1:12" s="382" customFormat="1" ht="15.75">
      <c r="A24" s="385" t="s">
        <v>2726</v>
      </c>
      <c r="B24" s="719" t="s">
        <v>8225</v>
      </c>
      <c r="C24" s="386"/>
      <c r="D24" s="390">
        <f>'Data Entry - SOF'!S93</f>
        <v>0</v>
      </c>
      <c r="E24" s="325"/>
      <c r="F24" s="325"/>
      <c r="G24" s="325"/>
      <c r="H24" s="325"/>
      <c r="I24" s="325"/>
      <c r="J24" s="325"/>
      <c r="K24" s="325"/>
      <c r="L24" s="325"/>
    </row>
    <row r="25" spans="1:12" s="382" customFormat="1" ht="15.75">
      <c r="A25" s="385" t="s">
        <v>2727</v>
      </c>
      <c r="B25" s="386" t="s">
        <v>8190</v>
      </c>
      <c r="C25" s="386"/>
      <c r="D25" s="390">
        <f>'Data Entry - SOF'!S101</f>
        <v>0</v>
      </c>
      <c r="E25" s="325"/>
      <c r="F25" s="325"/>
      <c r="G25" s="325"/>
      <c r="H25" s="325"/>
      <c r="I25" s="325"/>
      <c r="J25" s="325"/>
      <c r="K25" s="325"/>
      <c r="L25" s="325"/>
    </row>
    <row r="26" spans="1:12" s="382" customFormat="1" ht="15.75">
      <c r="A26" s="385" t="s">
        <v>2728</v>
      </c>
      <c r="B26" s="386" t="s">
        <v>8191</v>
      </c>
      <c r="C26" s="386"/>
      <c r="D26" s="390">
        <f>'Data Entry - SOF'!S207</f>
        <v>0</v>
      </c>
      <c r="E26" s="325"/>
      <c r="F26" s="325"/>
      <c r="G26" s="325"/>
      <c r="H26" s="325"/>
      <c r="I26" s="325"/>
      <c r="J26" s="325"/>
      <c r="K26" s="325"/>
      <c r="L26" s="325"/>
    </row>
    <row r="27" spans="1:12" s="382" customFormat="1" ht="15.75">
      <c r="A27" s="385" t="s">
        <v>2729</v>
      </c>
      <c r="B27" s="386" t="s">
        <v>8192</v>
      </c>
      <c r="C27" s="386"/>
      <c r="D27" s="390">
        <f>'Data Entry - SOF'!S112</f>
        <v>0</v>
      </c>
      <c r="E27" s="325"/>
      <c r="F27" s="325"/>
      <c r="G27" s="325"/>
      <c r="H27" s="325"/>
      <c r="I27" s="325"/>
      <c r="J27" s="325"/>
      <c r="K27" s="325"/>
      <c r="L27" s="325"/>
    </row>
    <row r="28" spans="1:12" s="382" customFormat="1" ht="18">
      <c r="A28" s="1372" t="s">
        <v>2730</v>
      </c>
      <c r="B28" s="1387"/>
      <c r="C28" s="1387"/>
      <c r="D28" s="1373"/>
      <c r="E28" s="325"/>
      <c r="F28" s="325"/>
      <c r="G28" s="325"/>
      <c r="H28" s="325"/>
      <c r="I28" s="325"/>
      <c r="J28" s="325"/>
      <c r="K28" s="325"/>
      <c r="L28" s="325"/>
    </row>
    <row r="29" spans="1:12" s="382" customFormat="1" ht="15.75">
      <c r="A29" s="551" t="s">
        <v>2731</v>
      </c>
      <c r="B29" s="719" t="s">
        <v>9514</v>
      </c>
      <c r="C29" s="404"/>
      <c r="D29" s="772" t="e">
        <f>Assumptions!H154</f>
        <v>#DIV/0!</v>
      </c>
      <c r="E29" s="325"/>
      <c r="F29" s="325"/>
      <c r="G29" s="325"/>
      <c r="H29" s="325"/>
      <c r="I29" s="325"/>
      <c r="J29" s="325"/>
      <c r="K29" s="325"/>
      <c r="L29" s="325"/>
    </row>
    <row r="30" spans="1:12" s="382" customFormat="1" ht="15.75">
      <c r="A30" s="385" t="s">
        <v>2735</v>
      </c>
      <c r="B30" s="386" t="s">
        <v>2738</v>
      </c>
      <c r="C30" s="386"/>
      <c r="D30" s="392">
        <f>Assumptions!H159</f>
        <v>200</v>
      </c>
      <c r="E30" s="325"/>
      <c r="F30" s="325"/>
      <c r="G30" s="325"/>
      <c r="H30" s="325"/>
      <c r="I30" s="325"/>
      <c r="J30" s="325"/>
      <c r="K30" s="325"/>
      <c r="L30" s="325"/>
    </row>
    <row r="31" spans="1:12" s="382" customFormat="1" ht="18">
      <c r="A31" s="1372" t="s">
        <v>2739</v>
      </c>
      <c r="B31" s="1387"/>
      <c r="C31" s="1387"/>
      <c r="D31" s="1373"/>
      <c r="E31" s="325"/>
      <c r="F31" s="325"/>
      <c r="G31" s="325"/>
      <c r="H31" s="325"/>
      <c r="I31" s="325"/>
      <c r="J31" s="325"/>
      <c r="K31" s="325"/>
      <c r="L31" s="325"/>
    </row>
    <row r="32" spans="1:12" s="382" customFormat="1" ht="18">
      <c r="A32" s="1378"/>
      <c r="B32" s="1388" t="s">
        <v>2759</v>
      </c>
      <c r="C32" s="1387"/>
      <c r="D32" s="1373"/>
      <c r="E32" s="325"/>
      <c r="F32" s="325"/>
      <c r="G32" s="325"/>
      <c r="H32" s="325"/>
      <c r="I32" s="325"/>
      <c r="J32" s="325"/>
      <c r="K32" s="325"/>
      <c r="L32" s="325"/>
    </row>
    <row r="33" spans="1:12" s="382" customFormat="1" ht="15.75">
      <c r="A33" s="385" t="s">
        <v>2740</v>
      </c>
      <c r="B33" s="386" t="s">
        <v>2760</v>
      </c>
      <c r="C33" s="386"/>
      <c r="D33" s="390">
        <f>'SOF2324-SB1'!H20</f>
        <v>0</v>
      </c>
      <c r="E33" s="325"/>
      <c r="F33" s="325"/>
      <c r="G33" s="325"/>
      <c r="H33" s="325"/>
      <c r="I33" s="325"/>
      <c r="J33" s="325"/>
      <c r="K33" s="325"/>
      <c r="L33" s="325"/>
    </row>
    <row r="34" spans="1:12" s="382" customFormat="1" ht="15.75">
      <c r="A34" s="385" t="s">
        <v>2741</v>
      </c>
      <c r="B34" s="386" t="s">
        <v>3187</v>
      </c>
      <c r="C34" s="386"/>
      <c r="D34" s="390">
        <f>'SOF2324-SB1'!H131</f>
        <v>0</v>
      </c>
      <c r="E34" s="325"/>
      <c r="F34" s="325"/>
      <c r="G34" s="325"/>
      <c r="H34" s="325"/>
      <c r="I34" s="325"/>
      <c r="J34" s="325"/>
      <c r="K34" s="325"/>
      <c r="L34" s="325"/>
    </row>
    <row r="35" spans="1:12" s="382" customFormat="1" ht="15.75">
      <c r="A35" s="385" t="s">
        <v>2742</v>
      </c>
      <c r="B35" s="386" t="s">
        <v>3188</v>
      </c>
      <c r="C35" s="386"/>
      <c r="D35" s="390">
        <f>'SOF2324-SB1'!H132</f>
        <v>0</v>
      </c>
      <c r="E35" s="325"/>
      <c r="F35" s="325"/>
      <c r="G35" s="325"/>
      <c r="H35" s="325"/>
      <c r="I35" s="325"/>
      <c r="J35" s="325"/>
      <c r="K35" s="325"/>
      <c r="L35" s="325"/>
    </row>
    <row r="36" spans="1:12" s="382" customFormat="1" ht="15.75">
      <c r="A36" s="385" t="s">
        <v>2743</v>
      </c>
      <c r="B36" s="386" t="s">
        <v>3189</v>
      </c>
      <c r="C36" s="386"/>
      <c r="D36" s="390">
        <f>'SOF2324-SB1'!H133</f>
        <v>0</v>
      </c>
      <c r="E36" s="325"/>
      <c r="F36" s="325"/>
      <c r="G36" s="325"/>
      <c r="H36" s="325"/>
      <c r="I36" s="325"/>
      <c r="J36" s="325"/>
      <c r="K36" s="325"/>
      <c r="L36" s="325"/>
    </row>
    <row r="37" spans="1:12" s="382" customFormat="1" ht="15.75">
      <c r="A37" s="385" t="s">
        <v>2744</v>
      </c>
      <c r="B37" s="386" t="s">
        <v>7049</v>
      </c>
      <c r="C37" s="386"/>
      <c r="D37" s="390">
        <f>'SOF2324-SB1'!H134</f>
        <v>0</v>
      </c>
      <c r="E37" s="325"/>
      <c r="F37" s="325"/>
      <c r="G37" s="325"/>
      <c r="H37" s="325"/>
      <c r="I37" s="325"/>
      <c r="J37" s="325"/>
      <c r="K37" s="325"/>
      <c r="L37" s="325"/>
    </row>
    <row r="38" spans="1:12" s="382" customFormat="1" ht="15.75">
      <c r="A38" s="385" t="s">
        <v>2745</v>
      </c>
      <c r="B38" s="386" t="s">
        <v>3190</v>
      </c>
      <c r="C38" s="386"/>
      <c r="D38" s="390">
        <f>'SOF2324-SB1'!H38</f>
        <v>0</v>
      </c>
      <c r="E38" s="325"/>
      <c r="F38" s="325"/>
      <c r="G38" s="325"/>
      <c r="H38" s="325"/>
      <c r="I38" s="325"/>
      <c r="J38" s="325"/>
      <c r="K38" s="325"/>
      <c r="L38" s="325"/>
    </row>
    <row r="39" spans="1:12" s="382" customFormat="1" ht="15.75">
      <c r="A39" s="385" t="s">
        <v>2746</v>
      </c>
      <c r="B39" s="386" t="s">
        <v>2761</v>
      </c>
      <c r="C39" s="386"/>
      <c r="D39" s="390">
        <f>'SOF2324-SB1'!H40</f>
        <v>0</v>
      </c>
      <c r="E39" s="325"/>
      <c r="F39" s="325"/>
      <c r="G39" s="325"/>
      <c r="H39" s="325"/>
      <c r="I39" s="325"/>
      <c r="J39" s="325"/>
      <c r="K39" s="325"/>
      <c r="L39" s="325"/>
    </row>
    <row r="40" spans="1:12" s="382" customFormat="1" ht="15.75">
      <c r="A40" s="385" t="s">
        <v>2747</v>
      </c>
      <c r="B40" s="386" t="s">
        <v>2771</v>
      </c>
      <c r="C40" s="386"/>
      <c r="D40" s="390">
        <f>'SOF2324-SB1'!H41</f>
        <v>0</v>
      </c>
      <c r="E40" s="325"/>
      <c r="F40" s="325"/>
      <c r="G40" s="325"/>
      <c r="H40" s="325"/>
      <c r="I40" s="325"/>
      <c r="J40" s="325"/>
      <c r="K40" s="325"/>
      <c r="L40" s="325"/>
    </row>
    <row r="41" spans="1:12" s="382" customFormat="1" ht="15.75">
      <c r="A41" s="385" t="s">
        <v>2748</v>
      </c>
      <c r="B41" s="386" t="s">
        <v>7050</v>
      </c>
      <c r="C41" s="386"/>
      <c r="D41" s="390">
        <f>'SOF2324-SB1'!H42</f>
        <v>0</v>
      </c>
      <c r="E41" s="325"/>
      <c r="F41" s="325"/>
      <c r="G41" s="325"/>
      <c r="H41" s="325"/>
      <c r="I41" s="325"/>
      <c r="J41" s="325"/>
      <c r="K41" s="325"/>
      <c r="L41" s="325"/>
    </row>
    <row r="42" spans="1:12" s="382" customFormat="1" ht="15.75">
      <c r="A42" s="385" t="s">
        <v>2749</v>
      </c>
      <c r="B42" s="386" t="s">
        <v>2762</v>
      </c>
      <c r="C42" s="386"/>
      <c r="D42" s="390">
        <f>'SOF2324-SB1'!H39</f>
        <v>0</v>
      </c>
      <c r="E42" s="325"/>
      <c r="F42" s="325"/>
      <c r="G42" s="325"/>
      <c r="H42" s="325"/>
      <c r="I42" s="325"/>
      <c r="J42" s="325"/>
      <c r="K42" s="325"/>
      <c r="L42" s="325"/>
    </row>
    <row r="43" spans="1:12" s="382" customFormat="1" ht="15.75">
      <c r="A43" s="385" t="s">
        <v>2750</v>
      </c>
      <c r="B43" s="1789" t="s">
        <v>7056</v>
      </c>
      <c r="C43" s="386"/>
      <c r="D43" s="390" t="e">
        <f>'SOF2324-SB1'!H43</f>
        <v>#DIV/0!</v>
      </c>
      <c r="E43" s="325"/>
      <c r="F43" s="325"/>
      <c r="G43" s="325"/>
      <c r="H43" s="325"/>
      <c r="I43" s="325"/>
      <c r="J43" s="325"/>
      <c r="K43" s="325"/>
      <c r="L43" s="325"/>
    </row>
    <row r="44" spans="1:12" s="382" customFormat="1" ht="15.75">
      <c r="A44" s="385" t="s">
        <v>2751</v>
      </c>
      <c r="B44" s="386" t="s">
        <v>2763</v>
      </c>
      <c r="C44" s="386"/>
      <c r="D44" s="390">
        <f>'SOF2324-SB1'!H44</f>
        <v>0</v>
      </c>
      <c r="E44" s="325"/>
      <c r="F44" s="325"/>
      <c r="G44" s="325"/>
      <c r="H44" s="325"/>
      <c r="I44" s="325"/>
      <c r="J44" s="325"/>
      <c r="K44" s="325"/>
      <c r="L44" s="325"/>
    </row>
    <row r="45" spans="1:12" s="382" customFormat="1" ht="15.75">
      <c r="A45" s="385" t="s">
        <v>2752</v>
      </c>
      <c r="B45" s="386" t="s">
        <v>785</v>
      </c>
      <c r="C45" s="386"/>
      <c r="D45" s="390" t="e">
        <f>'SOF2324-SB1'!H45</f>
        <v>#DIV/0!</v>
      </c>
      <c r="E45" s="325"/>
      <c r="F45" s="325"/>
      <c r="G45" s="325"/>
      <c r="H45" s="325"/>
      <c r="I45" s="325"/>
      <c r="J45" s="325"/>
      <c r="K45" s="325"/>
      <c r="L45" s="325"/>
    </row>
    <row r="46" spans="1:12" s="382" customFormat="1" ht="15.75">
      <c r="A46" s="385" t="s">
        <v>2753</v>
      </c>
      <c r="B46" s="386" t="s">
        <v>2764</v>
      </c>
      <c r="C46" s="386"/>
      <c r="D46" s="390">
        <f>'SOF2324-SB1'!H75</f>
        <v>0</v>
      </c>
      <c r="E46" s="325"/>
      <c r="F46" s="325"/>
      <c r="G46" s="325"/>
      <c r="H46" s="325"/>
      <c r="I46" s="325"/>
      <c r="J46" s="325"/>
      <c r="K46" s="325"/>
      <c r="L46" s="325"/>
    </row>
    <row r="47" spans="1:12" s="382" customFormat="1" ht="18">
      <c r="A47" s="1390" t="s">
        <v>3101</v>
      </c>
      <c r="B47" s="1391"/>
      <c r="C47" s="1391"/>
      <c r="D47" s="1381"/>
      <c r="E47" s="325"/>
      <c r="F47" s="325"/>
      <c r="G47" s="325"/>
      <c r="H47" s="325"/>
      <c r="I47" s="325"/>
      <c r="J47" s="325"/>
      <c r="K47" s="325"/>
      <c r="L47" s="325"/>
    </row>
    <row r="48" spans="1:12" s="382" customFormat="1" ht="18">
      <c r="A48" s="1382" t="s">
        <v>3102</v>
      </c>
      <c r="B48" s="1386"/>
      <c r="C48" s="1386"/>
      <c r="D48" s="1383"/>
      <c r="E48" s="325"/>
      <c r="F48" s="325"/>
      <c r="G48" s="325"/>
      <c r="H48" s="325"/>
      <c r="I48" s="325"/>
      <c r="J48" s="325"/>
      <c r="K48" s="325"/>
      <c r="L48" s="325"/>
    </row>
    <row r="49" spans="1:12" s="382" customFormat="1" ht="15.75">
      <c r="A49" s="385" t="s">
        <v>2754</v>
      </c>
      <c r="B49" s="386" t="s">
        <v>2765</v>
      </c>
      <c r="C49" s="386"/>
      <c r="D49" s="390" t="e">
        <f>'SOF2324-SB1'!H48</f>
        <v>#DIV/0!</v>
      </c>
      <c r="E49" s="325"/>
      <c r="F49" s="325"/>
      <c r="G49" s="325"/>
      <c r="H49" s="325"/>
      <c r="I49" s="325"/>
      <c r="J49" s="325"/>
      <c r="K49" s="325"/>
      <c r="L49" s="325"/>
    </row>
    <row r="50" spans="1:12" s="382" customFormat="1" ht="15.75">
      <c r="A50" s="385" t="s">
        <v>2755</v>
      </c>
      <c r="B50" s="1790" t="s">
        <v>7057</v>
      </c>
      <c r="C50" s="386"/>
      <c r="D50" s="390" t="e">
        <f>'SOF2324-SB1'!H53</f>
        <v>#DIV/0!</v>
      </c>
      <c r="E50" s="325"/>
      <c r="F50" s="325"/>
      <c r="G50" s="325"/>
      <c r="H50" s="325"/>
      <c r="I50" s="325"/>
      <c r="J50" s="325"/>
      <c r="K50" s="325"/>
      <c r="L50" s="325"/>
    </row>
    <row r="51" spans="1:12" s="382" customFormat="1" ht="15.75">
      <c r="A51" s="385" t="s">
        <v>2756</v>
      </c>
      <c r="B51" s="1789" t="s">
        <v>7058</v>
      </c>
      <c r="C51" s="386"/>
      <c r="D51" s="390" t="e">
        <f>'Report-Other2122'!D26</f>
        <v>#DIV/0!</v>
      </c>
      <c r="E51" s="325" t="s">
        <v>4016</v>
      </c>
      <c r="F51" s="325"/>
      <c r="G51" s="325"/>
      <c r="H51" s="325"/>
      <c r="I51" s="325"/>
      <c r="J51" s="325"/>
      <c r="K51" s="325"/>
      <c r="L51" s="325"/>
    </row>
    <row r="52" spans="1:12" s="382" customFormat="1" ht="15.75">
      <c r="A52" s="385" t="s">
        <v>2757</v>
      </c>
      <c r="B52" s="386" t="str">
        <f>CONCATENATE("Less: Total Available School Fund ($",Assumptions!G123," * Prior Year ADA)")</f>
        <v>Less: Total Available School Fund ($259.207 * Prior Year ADA)</v>
      </c>
      <c r="C52" s="386"/>
      <c r="D52" s="390">
        <f>'SOF2324-SB1'!H70</f>
        <v>0</v>
      </c>
      <c r="E52" s="325"/>
      <c r="F52" s="325"/>
      <c r="G52" s="325"/>
      <c r="H52" s="325"/>
      <c r="I52" s="325"/>
      <c r="J52" s="325"/>
      <c r="K52" s="325"/>
      <c r="L52" s="325"/>
    </row>
    <row r="53" spans="1:12" s="382" customFormat="1" ht="15.75">
      <c r="A53" s="385" t="s">
        <v>2758</v>
      </c>
      <c r="B53" s="386" t="s">
        <v>2766</v>
      </c>
      <c r="C53" s="386"/>
      <c r="D53" s="390" t="e">
        <f>'SOF2324-SB1'!H74+'HH2122-Calcs'!D26</f>
        <v>#DIV/0!</v>
      </c>
      <c r="E53" s="325"/>
      <c r="F53" s="325"/>
      <c r="G53" s="325"/>
      <c r="H53" s="325"/>
      <c r="I53" s="325"/>
      <c r="J53" s="325"/>
      <c r="K53" s="325"/>
      <c r="L53" s="325"/>
    </row>
    <row r="54" spans="1:12" s="382" customFormat="1" ht="18">
      <c r="A54" s="1372" t="s">
        <v>2772</v>
      </c>
      <c r="B54" s="1387"/>
      <c r="C54" s="1387"/>
      <c r="D54" s="1373"/>
      <c r="E54" s="325"/>
      <c r="F54" s="325"/>
      <c r="G54" s="325"/>
      <c r="H54" s="325"/>
      <c r="I54" s="325"/>
      <c r="J54" s="325"/>
      <c r="K54" s="325"/>
      <c r="L54" s="325"/>
    </row>
    <row r="55" spans="1:12" s="382" customFormat="1" ht="18">
      <c r="A55" s="1378"/>
      <c r="B55" s="1388" t="s">
        <v>2780</v>
      </c>
      <c r="C55" s="1387"/>
      <c r="D55" s="1373"/>
      <c r="E55" s="325"/>
      <c r="F55" s="325"/>
      <c r="G55" s="325"/>
      <c r="H55" s="325"/>
      <c r="I55" s="325"/>
      <c r="J55" s="325"/>
      <c r="K55" s="325"/>
      <c r="L55" s="325"/>
    </row>
    <row r="56" spans="1:12" s="382" customFormat="1" ht="15.75">
      <c r="A56" s="385" t="s">
        <v>2773</v>
      </c>
      <c r="B56" s="386" t="s">
        <v>2779</v>
      </c>
      <c r="C56" s="386"/>
      <c r="D56" s="390" t="e">
        <f>'SOF2324-SB1'!H74+'HH2223-Calcs'!D26</f>
        <v>#DIV/0!</v>
      </c>
      <c r="E56" s="325"/>
      <c r="F56" s="325"/>
      <c r="G56" s="325"/>
      <c r="H56" s="325"/>
      <c r="I56" s="325"/>
      <c r="J56" s="325"/>
      <c r="K56" s="325"/>
      <c r="L56" s="325"/>
    </row>
    <row r="57" spans="1:12" s="382" customFormat="1" ht="15.75">
      <c r="A57" s="385" t="s">
        <v>2774</v>
      </c>
      <c r="B57" s="386" t="s">
        <v>3047</v>
      </c>
      <c r="C57" s="386"/>
      <c r="D57" s="390">
        <f>'SOF2324-SB1'!H75</f>
        <v>0</v>
      </c>
      <c r="E57" s="325"/>
      <c r="F57" s="325"/>
      <c r="G57" s="325"/>
      <c r="H57" s="325"/>
      <c r="I57" s="325"/>
      <c r="J57" s="325"/>
      <c r="K57" s="325"/>
      <c r="L57" s="325"/>
    </row>
    <row r="58" spans="1:12" s="382" customFormat="1" ht="15.75">
      <c r="A58" s="385" t="s">
        <v>2775</v>
      </c>
      <c r="B58" s="718" t="s">
        <v>8226</v>
      </c>
      <c r="C58" s="386"/>
      <c r="D58" s="390">
        <f>'Existing Debt-OldLaw'!Q74</f>
        <v>0</v>
      </c>
      <c r="E58" s="325"/>
      <c r="F58" s="325"/>
      <c r="G58" s="325"/>
      <c r="H58" s="325"/>
      <c r="I58" s="325"/>
      <c r="J58" s="325"/>
      <c r="K58" s="325"/>
      <c r="L58" s="325"/>
    </row>
    <row r="59" spans="1:12" s="382" customFormat="1" ht="15.75">
      <c r="A59" s="385" t="s">
        <v>2776</v>
      </c>
      <c r="B59" s="1789" t="s">
        <v>7061</v>
      </c>
      <c r="C59" s="386"/>
      <c r="D59" s="390">
        <f>'IFA-OldLaw'!AB86</f>
        <v>0</v>
      </c>
      <c r="E59" s="325"/>
      <c r="F59" s="325"/>
      <c r="G59" s="325"/>
      <c r="H59" s="325"/>
      <c r="I59" s="325"/>
      <c r="J59" s="325"/>
      <c r="K59" s="325"/>
      <c r="L59" s="325"/>
    </row>
    <row r="60" spans="1:12" s="382" customFormat="1" ht="15.75">
      <c r="A60" s="385" t="s">
        <v>2777</v>
      </c>
      <c r="B60" s="1790" t="s">
        <v>7062</v>
      </c>
      <c r="C60" s="386"/>
      <c r="D60" s="390">
        <f>'IFA-OldLaw'!AC86</f>
        <v>0</v>
      </c>
      <c r="E60" s="325"/>
      <c r="F60" s="325"/>
      <c r="G60" s="325"/>
      <c r="H60" s="325"/>
      <c r="I60" s="325"/>
      <c r="J60" s="325"/>
      <c r="K60" s="325"/>
      <c r="L60" s="325"/>
    </row>
    <row r="61" spans="1:12" s="382" customFormat="1" ht="15.75">
      <c r="A61" s="385" t="s">
        <v>2778</v>
      </c>
      <c r="B61" s="386" t="s">
        <v>7051</v>
      </c>
      <c r="C61" s="386"/>
      <c r="D61" s="390" t="e">
        <f>'HH2223-Calcs'!C51</f>
        <v>#DIV/0!</v>
      </c>
      <c r="E61" s="325"/>
      <c r="F61" s="325"/>
      <c r="G61" s="325"/>
      <c r="H61" s="325"/>
      <c r="I61" s="325"/>
      <c r="J61" s="325"/>
      <c r="K61" s="325"/>
      <c r="L61" s="325"/>
    </row>
    <row r="62" spans="1:12" s="382" customFormat="1" ht="18">
      <c r="A62" s="514" t="s">
        <v>2917</v>
      </c>
      <c r="B62" s="1302" t="s">
        <v>8193</v>
      </c>
      <c r="C62" s="1407"/>
      <c r="D62" s="1408" t="e">
        <f>'SOF2324-SB1'!H80+'HH2223-Calcs'!D26+D61</f>
        <v>#DIV/0!</v>
      </c>
      <c r="E62" s="325" t="s">
        <v>4015</v>
      </c>
      <c r="F62" s="325"/>
      <c r="G62" s="325"/>
      <c r="H62" s="325"/>
      <c r="I62" s="325"/>
      <c r="J62" s="325"/>
      <c r="K62" s="325"/>
      <c r="L62" s="325"/>
    </row>
    <row r="63" spans="1:12" s="382" customFormat="1" ht="18">
      <c r="A63" s="423"/>
      <c r="B63" s="589"/>
      <c r="D63" s="590"/>
      <c r="E63" s="325"/>
      <c r="F63" s="325"/>
      <c r="G63" s="325"/>
      <c r="H63" s="325"/>
      <c r="I63" s="325"/>
      <c r="J63" s="325"/>
      <c r="K63" s="325"/>
      <c r="L63" s="325"/>
    </row>
    <row r="64" spans="1:12" s="382" customFormat="1" ht="15.75">
      <c r="A64" s="1392"/>
      <c r="B64" s="718" t="s">
        <v>7063</v>
      </c>
      <c r="C64" s="1405"/>
      <c r="D64" s="1406"/>
      <c r="E64" s="325"/>
      <c r="F64" s="325"/>
      <c r="G64" s="325"/>
      <c r="H64" s="325"/>
      <c r="I64" s="325"/>
      <c r="J64" s="325"/>
      <c r="K64" s="325"/>
      <c r="L64" s="325"/>
    </row>
    <row r="65" spans="1:12" s="382" customFormat="1" ht="15.75">
      <c r="A65" s="394"/>
      <c r="E65" s="325"/>
      <c r="F65" s="325"/>
      <c r="G65" s="325"/>
      <c r="H65" s="325"/>
      <c r="I65" s="325"/>
      <c r="J65" s="325"/>
      <c r="K65" s="325"/>
      <c r="L65" s="325"/>
    </row>
    <row r="66" spans="1:12" s="382" customFormat="1" ht="15.75">
      <c r="A66" s="381"/>
      <c r="E66" s="325"/>
      <c r="F66" s="325"/>
      <c r="G66" s="325"/>
      <c r="H66" s="325"/>
      <c r="I66" s="325"/>
      <c r="J66" s="325"/>
      <c r="K66" s="325"/>
      <c r="L66" s="325"/>
    </row>
    <row r="67" spans="1:12" ht="16.5" thickBot="1">
      <c r="A67" s="381" t="s">
        <v>3103</v>
      </c>
      <c r="B67" s="382"/>
      <c r="C67" s="382"/>
      <c r="D67" s="382"/>
    </row>
    <row r="68" spans="1:12" ht="16.5" thickTop="1">
      <c r="A68" s="498" t="s">
        <v>2457</v>
      </c>
      <c r="B68" s="421"/>
      <c r="C68" s="642"/>
      <c r="D68" s="420"/>
    </row>
    <row r="69" spans="1:12" ht="15.75">
      <c r="A69" s="645" t="s">
        <v>3206</v>
      </c>
      <c r="B69" s="650" t="s">
        <v>3219</v>
      </c>
      <c r="C69" s="384"/>
      <c r="D69" s="422" t="e">
        <f>'SOF2324-SB1'!H88+'HH2223-Calcs'!D26</f>
        <v>#DIV/0!</v>
      </c>
    </row>
    <row r="70" spans="1:12" ht="15.75">
      <c r="A70" s="645" t="s">
        <v>3207</v>
      </c>
      <c r="B70" s="644" t="s">
        <v>2861</v>
      </c>
      <c r="C70" s="651"/>
      <c r="D70" s="422" t="e">
        <f>'SOF2324-SB1'!H89</f>
        <v>#DIV/0!</v>
      </c>
    </row>
    <row r="71" spans="1:12" ht="15.75">
      <c r="A71" s="645" t="s">
        <v>3208</v>
      </c>
      <c r="B71" s="644" t="s">
        <v>3220</v>
      </c>
      <c r="C71" s="384"/>
      <c r="D71" s="422">
        <f>'SOF2324-SB1'!H90</f>
        <v>0</v>
      </c>
    </row>
    <row r="72" spans="1:12" ht="15.75">
      <c r="A72" s="645" t="s">
        <v>3209</v>
      </c>
      <c r="B72" s="644" t="s">
        <v>3221</v>
      </c>
      <c r="C72" s="384"/>
      <c r="D72" s="422" t="e">
        <f>'SOF2324-SB1'!H91</f>
        <v>#DIV/0!</v>
      </c>
    </row>
    <row r="73" spans="1:12" ht="15.75">
      <c r="A73" s="645" t="s">
        <v>3210</v>
      </c>
      <c r="B73" s="644" t="s">
        <v>8146</v>
      </c>
      <c r="C73" s="384"/>
      <c r="D73" s="1079">
        <f>'Data Entry - SOF'!S142*-1</f>
        <v>0</v>
      </c>
    </row>
    <row r="74" spans="1:12" ht="15.75">
      <c r="A74" s="645" t="s">
        <v>3211</v>
      </c>
      <c r="B74" s="652" t="s">
        <v>8194</v>
      </c>
      <c r="C74" s="384"/>
      <c r="D74" s="422" t="e">
        <f>'SOF2324-SB1'!H92+'HH2223-Calcs'!D26+D73</f>
        <v>#DIV/0!</v>
      </c>
    </row>
    <row r="75" spans="1:12" ht="15.75">
      <c r="A75" s="645" t="s">
        <v>3212</v>
      </c>
      <c r="B75" s="653" t="s">
        <v>2862</v>
      </c>
      <c r="C75" s="384"/>
      <c r="D75" s="422" t="e">
        <f>'SOF2324-SB1'!H93</f>
        <v>#DIV/0!</v>
      </c>
    </row>
    <row r="76" spans="1:12" ht="16.5" thickBot="1">
      <c r="A76" s="646" t="s">
        <v>3213</v>
      </c>
      <c r="B76" s="654" t="s">
        <v>8195</v>
      </c>
      <c r="C76" s="643"/>
      <c r="D76" s="1409" t="e">
        <f>D74+D75</f>
        <v>#DIV/0!</v>
      </c>
    </row>
    <row r="77" spans="1:12" ht="13.5" customHeight="1" thickTop="1">
      <c r="B77" s="450"/>
      <c r="C77" s="325"/>
      <c r="D77" s="325"/>
      <c r="E77" s="590"/>
    </row>
    <row r="78" spans="1:12" ht="13.5" thickBot="1">
      <c r="B78" s="64"/>
    </row>
    <row r="79" spans="1:12" ht="16.5" thickTop="1">
      <c r="A79" s="498" t="s">
        <v>3050</v>
      </c>
      <c r="B79" s="500"/>
      <c r="C79" s="500"/>
      <c r="D79" s="497"/>
    </row>
    <row r="80" spans="1:12" ht="15">
      <c r="A80" s="645" t="s">
        <v>3214</v>
      </c>
      <c r="B80" s="649" t="str">
        <f>CONCATENATE("Recapture at the $",Assumptions!G121," Level")</f>
        <v>Recapture at the $514000 Level</v>
      </c>
      <c r="C80" s="647"/>
      <c r="D80" s="422" t="e">
        <f>ASATR!M39</f>
        <v>#DIV/0!</v>
      </c>
    </row>
    <row r="81" spans="1:4" ht="15">
      <c r="A81" s="645" t="s">
        <v>3215</v>
      </c>
      <c r="B81" s="649" t="str">
        <f>CONCATENATE("Recapture at the $",Assumptions!G71," Level")</f>
        <v>Recapture at the $319500 Level</v>
      </c>
      <c r="C81" s="647"/>
      <c r="D81" s="422" t="e">
        <f>IF('Report-Recapture2324'!G141="Y",MIN('Report-Recapture2324'!C141,'Report-Recapture2324'!E141),MAX('Report-Recapture2324'!C141,'Report-Recapture2324'!E141))</f>
        <v>#DIV/0!</v>
      </c>
    </row>
    <row r="82" spans="1:4" ht="15.75">
      <c r="A82" s="645" t="s">
        <v>3216</v>
      </c>
      <c r="B82" s="701" t="s">
        <v>8755</v>
      </c>
      <c r="C82" s="647"/>
      <c r="D82" s="501" t="e">
        <f>D80+D81</f>
        <v>#DIV/0!</v>
      </c>
    </row>
    <row r="83" spans="1:4" ht="15">
      <c r="A83" s="645" t="s">
        <v>3217</v>
      </c>
      <c r="B83" s="649" t="s">
        <v>3049</v>
      </c>
      <c r="C83" s="647"/>
      <c r="D83" s="1080">
        <f>'Data Entry - SOF'!S142</f>
        <v>0</v>
      </c>
    </row>
    <row r="84" spans="1:4" ht="16.5" thickBot="1">
      <c r="A84" s="646" t="s">
        <v>3218</v>
      </c>
      <c r="B84" s="1410" t="s">
        <v>8196</v>
      </c>
      <c r="C84" s="648"/>
      <c r="D84" s="471" t="e">
        <f>D82+D83</f>
        <v>#DIV/0!</v>
      </c>
    </row>
    <row r="85" spans="1:4" ht="13.5" thickTop="1"/>
    <row r="89" spans="1:4" hidden="1">
      <c r="B89" s="72" t="s">
        <v>8278</v>
      </c>
      <c r="D89" s="1990">
        <f>'Report-M&amp;O2324'!C18</f>
        <v>0</v>
      </c>
    </row>
    <row r="90" spans="1:4" hidden="1">
      <c r="B90" s="72" t="s">
        <v>8279</v>
      </c>
      <c r="D90" s="1990">
        <f>D44</f>
        <v>0</v>
      </c>
    </row>
    <row r="91" spans="1:4" hidden="1">
      <c r="B91" s="72" t="s">
        <v>8280</v>
      </c>
      <c r="D91" s="35">
        <f>IF(D89-D90&lt;=0,0,D89-D90)</f>
        <v>0</v>
      </c>
    </row>
  </sheetData>
  <hyperlinks>
    <hyperlink ref="B11" location="'Report-Calculations'!A1" display="Regular Program ADA (Line 1 - Line 3 - Line 4)          "/>
    <hyperlink ref="B15" location="'Report-Calculations'!A1" display="Weighted ADA (WADA)                                                          (Link to Detail Report)"/>
    <hyperlink ref="B29" location="'Report-AA2324'!A1" display="Adjusted Allotment                                                                    (Link to Detail Report)"/>
    <hyperlink ref="B43" location="'Report-T1Detail2324'!A1" display="Total Cost of Tier I                                                           (Link to Tier I Detail Report)"/>
    <hyperlink ref="B50" location="'Report-T2Detail2324'!A1" display="Tier II State Aid)                                                              (Link to Tier II Detail Report)"/>
    <hyperlink ref="B51" location="'Report-Other2324'!A1" display="Other Programs                                                                        (Link to Detail Report)"/>
    <hyperlink ref="B58" location="'Report-EDA2324'!A1" display="599/5829 - Existing Debt Allotment (EDA)                            (Link to Detail Report)"/>
    <hyperlink ref="B59" location="'Report-IFA2324'!A1" display="599/5829 - Instructional Facilities Allotment (IFA) (Bond)    (Link to Detail Report)"/>
    <hyperlink ref="B64" location="'Report-FSF2324'!A1" display="FSP Allocations and Adjustments Report                              (Link to Detail Report)"/>
    <hyperlink ref="B12" location="'Report-SpEd2324'!A1" display="Special Education FTEs                                                          (Link to Detail Report)"/>
    <hyperlink ref="B60" location="'Report-IFA2324'!A1" display="599/5829 - Instructional Facilities Allotment (Lease Purchase)  (See Link Above)"/>
    <hyperlink ref="B24" location="'Report-M&amp;O2324'!A1" display="2023-24 M&amp;O Tax Collections                                                 (Link to Detail Report)"/>
    <hyperlink ref="B82" location="'Report-Recapture2324'!A1" display="Total 2023-24 Recapture                                                       "/>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4"/>
  <sheetViews>
    <sheetView workbookViewId="0">
      <selection activeCell="F1" sqref="F1"/>
    </sheetView>
  </sheetViews>
  <sheetFormatPr defaultRowHeight="12.75"/>
  <cols>
    <col min="2" max="2" width="3.5703125" customWidth="1"/>
    <col min="3" max="3" width="5.85546875" style="119" customWidth="1"/>
    <col min="4" max="4" width="95.140625" customWidth="1"/>
    <col min="5" max="5" width="11.140625" customWidth="1"/>
    <col min="6" max="6" width="23.42578125" customWidth="1"/>
    <col min="7" max="7" width="5.5703125" style="35" customWidth="1"/>
    <col min="8" max="8" width="37.85546875" customWidth="1"/>
    <col min="9" max="9" width="17.5703125" customWidth="1"/>
    <col min="10" max="10" width="19" customWidth="1"/>
    <col min="11" max="11" width="17.140625" customWidth="1"/>
    <col min="13" max="13" width="4.5703125" customWidth="1"/>
    <col min="14" max="14" width="9.140625" customWidth="1"/>
  </cols>
  <sheetData>
    <row r="1" spans="1:6">
      <c r="A1" s="20" t="s">
        <v>66</v>
      </c>
      <c r="D1" s="64">
        <f>'Data Entry - SOF'!B1</f>
        <v>0</v>
      </c>
      <c r="E1" s="605"/>
      <c r="F1" s="3155" t="str">
        <f>'Data Entry - SOF'!S1</f>
        <v>Release 10</v>
      </c>
    </row>
    <row r="2" spans="1:6">
      <c r="A2" s="20" t="s">
        <v>67</v>
      </c>
      <c r="D2" s="64">
        <f>'Data Entry - SOF'!B2</f>
        <v>0</v>
      </c>
      <c r="E2" s="64"/>
      <c r="F2" s="3157">
        <f>'Data Entry - SOF'!S2</f>
        <v>43724</v>
      </c>
    </row>
    <row r="3" spans="1:6">
      <c r="A3" s="20" t="s">
        <v>143</v>
      </c>
      <c r="D3" s="164">
        <f ca="1">'Data Entry - SOF'!B3</f>
        <v>43726.623322453706</v>
      </c>
      <c r="E3" s="164"/>
      <c r="F3" s="2820"/>
    </row>
    <row r="4" spans="1:6">
      <c r="A4" s="20"/>
      <c r="D4" s="164"/>
      <c r="E4" s="164"/>
      <c r="F4" s="58"/>
    </row>
    <row r="7" spans="1:6">
      <c r="A7" s="119"/>
      <c r="C7" s="161">
        <v>1</v>
      </c>
      <c r="D7" s="157" t="s">
        <v>3276</v>
      </c>
      <c r="E7" s="157"/>
      <c r="F7" s="47">
        <f>'Report-SOF1819'!D60</f>
        <v>0</v>
      </c>
    </row>
    <row r="8" spans="1:6">
      <c r="A8" s="119"/>
      <c r="C8" s="161"/>
      <c r="D8" s="157"/>
      <c r="E8" s="157"/>
      <c r="F8" s="5"/>
    </row>
    <row r="9" spans="1:6">
      <c r="C9" s="161">
        <v>2</v>
      </c>
      <c r="D9" s="157" t="s">
        <v>9050</v>
      </c>
      <c r="E9" s="157"/>
      <c r="F9" s="279" t="e">
        <f>'Report-SOF1819'!D61</f>
        <v>#DIV/0!</v>
      </c>
    </row>
    <row r="10" spans="1:6">
      <c r="C10" s="161"/>
      <c r="D10" s="157"/>
      <c r="E10" s="157"/>
      <c r="F10" s="5"/>
    </row>
    <row r="11" spans="1:6">
      <c r="C11" s="161">
        <v>3</v>
      </c>
      <c r="D11" s="128" t="s">
        <v>9076</v>
      </c>
      <c r="E11" s="128"/>
      <c r="F11" s="163" t="e">
        <f>'Data Entry - SOF'!E93-'Report-SOF1819'!D93</f>
        <v>#DIV/0!</v>
      </c>
    </row>
    <row r="12" spans="1:6">
      <c r="D12" s="128"/>
      <c r="E12" s="128"/>
    </row>
    <row r="13" spans="1:6">
      <c r="C13" s="161">
        <v>4</v>
      </c>
      <c r="D13" s="128" t="s">
        <v>9051</v>
      </c>
      <c r="E13" s="128"/>
      <c r="F13" s="47" t="e">
        <f>SUM(F7:F11)</f>
        <v>#DIV/0!</v>
      </c>
    </row>
    <row r="14" spans="1:6">
      <c r="D14" s="128"/>
      <c r="E14" s="128"/>
    </row>
    <row r="15" spans="1:6">
      <c r="C15" s="161">
        <v>5</v>
      </c>
      <c r="D15" s="128" t="s">
        <v>9052</v>
      </c>
      <c r="E15" s="128"/>
      <c r="F15" s="3126">
        <f>'Report-SOF1819'!D11</f>
        <v>0</v>
      </c>
    </row>
    <row r="16" spans="1:6">
      <c r="C16" s="143"/>
      <c r="D16" s="128"/>
      <c r="E16" s="128"/>
    </row>
    <row r="17" spans="3:9">
      <c r="C17" s="161">
        <v>6</v>
      </c>
      <c r="D17" s="128" t="s">
        <v>9075</v>
      </c>
      <c r="E17" s="128"/>
      <c r="F17" s="3126" t="e">
        <f>F13/F15</f>
        <v>#DIV/0!</v>
      </c>
    </row>
    <row r="18" spans="3:9">
      <c r="C18" s="161"/>
      <c r="D18" s="128"/>
      <c r="E18" s="128"/>
    </row>
    <row r="19" spans="3:9">
      <c r="C19" s="161">
        <v>7</v>
      </c>
      <c r="D19" s="128" t="s">
        <v>9053</v>
      </c>
      <c r="E19" s="128"/>
      <c r="F19" s="3126">
        <f>'Data Entry - SOF'!K19</f>
        <v>0</v>
      </c>
    </row>
    <row r="20" spans="3:9">
      <c r="D20" s="128"/>
      <c r="E20" s="128"/>
    </row>
    <row r="21" spans="3:9">
      <c r="C21" s="161">
        <v>8</v>
      </c>
      <c r="D21" s="128" t="s">
        <v>9077</v>
      </c>
      <c r="E21" s="128"/>
      <c r="F21" s="159" t="e">
        <f>F17*F19</f>
        <v>#DIV/0!</v>
      </c>
    </row>
    <row r="22" spans="3:9">
      <c r="C22" s="161"/>
      <c r="D22" s="128"/>
      <c r="E22" s="128"/>
      <c r="F22" s="3170"/>
    </row>
    <row r="23" spans="3:9">
      <c r="C23" s="161">
        <v>9</v>
      </c>
      <c r="D23" s="128" t="s">
        <v>9120</v>
      </c>
      <c r="E23" s="128"/>
      <c r="F23" s="159">
        <f>'SOF1920-HB3'!I67</f>
        <v>0</v>
      </c>
    </row>
    <row r="24" spans="3:9">
      <c r="C24" s="161"/>
      <c r="D24" s="128"/>
      <c r="E24" s="128"/>
      <c r="F24" s="3170"/>
    </row>
    <row r="25" spans="3:9">
      <c r="C25" s="3158">
        <v>10</v>
      </c>
      <c r="D25" s="3159" t="s">
        <v>9121</v>
      </c>
      <c r="E25" s="3159"/>
      <c r="F25" s="3171" t="e">
        <f>F23/'Data Entry - SOF'!K148</f>
        <v>#DIV/0!</v>
      </c>
    </row>
    <row r="26" spans="3:9">
      <c r="C26" s="161"/>
      <c r="D26" s="128"/>
      <c r="E26" s="128"/>
      <c r="F26" s="3170"/>
    </row>
    <row r="27" spans="3:9">
      <c r="C27" s="161">
        <v>11</v>
      </c>
      <c r="D27" s="128" t="s">
        <v>3310</v>
      </c>
      <c r="E27" s="128"/>
      <c r="F27" s="159">
        <f>'SOF1920-HB3'!I71</f>
        <v>0</v>
      </c>
    </row>
    <row r="28" spans="3:9">
      <c r="C28" s="161"/>
      <c r="D28" s="128"/>
      <c r="E28" s="128"/>
      <c r="F28" s="3170"/>
    </row>
    <row r="29" spans="3:9">
      <c r="C29" s="161">
        <v>12</v>
      </c>
      <c r="D29" s="128" t="s">
        <v>9122</v>
      </c>
      <c r="E29" s="128"/>
      <c r="F29" s="159" t="e">
        <f>IF(F21-F23-F27&lt;=0,0,F21-F23-F27)</f>
        <v>#DIV/0!</v>
      </c>
    </row>
    <row r="30" spans="3:9">
      <c r="C30" s="161"/>
      <c r="D30" s="128"/>
      <c r="E30" s="128"/>
      <c r="F30" s="3170"/>
    </row>
    <row r="31" spans="3:9">
      <c r="C31" s="162">
        <v>13</v>
      </c>
      <c r="D31" s="35" t="s">
        <v>9123</v>
      </c>
      <c r="E31" s="128"/>
      <c r="F31" s="215" t="e">
        <f>F29/IF(I31&gt;Assumptions!H119,I31,Assumptions!H119)/'SOF1920-HB3'!L66/100</f>
        <v>#DIV/0!</v>
      </c>
      <c r="I31" s="127" t="e">
        <f>'Data Entry - SOF'!K73/10000/'SOF1920-HB3'!L66</f>
        <v>#DIV/0!</v>
      </c>
    </row>
    <row r="32" spans="3:9">
      <c r="C32" s="161"/>
      <c r="D32" s="128"/>
      <c r="E32" s="128"/>
      <c r="F32" s="3170"/>
    </row>
    <row r="33" spans="3:9">
      <c r="C33" s="161">
        <v>14</v>
      </c>
      <c r="D33" s="35" t="s">
        <v>9124</v>
      </c>
      <c r="E33" s="128"/>
      <c r="F33" s="159" t="e">
        <f>'Calc Data'!F103</f>
        <v>#DIV/0!</v>
      </c>
    </row>
    <row r="34" spans="3:9">
      <c r="C34" s="161"/>
      <c r="D34" s="128"/>
      <c r="E34" s="128"/>
      <c r="F34" s="3170"/>
    </row>
    <row r="35" spans="3:9">
      <c r="C35" s="162">
        <v>15</v>
      </c>
      <c r="D35" s="35" t="s">
        <v>9125</v>
      </c>
      <c r="E35" s="128"/>
      <c r="F35" s="160" t="e">
        <f>F33/('Data Entry - SOF'!K73/100)</f>
        <v>#DIV/0!</v>
      </c>
    </row>
    <row r="36" spans="3:9">
      <c r="C36" s="162"/>
      <c r="D36" s="35"/>
      <c r="E36" s="128"/>
      <c r="F36" s="3172"/>
    </row>
    <row r="37" spans="3:9">
      <c r="C37" s="162">
        <v>16</v>
      </c>
      <c r="D37" s="35" t="s">
        <v>9126</v>
      </c>
      <c r="E37" s="128"/>
      <c r="F37" s="163" t="e">
        <f>MIN(F35,F31)*IF(I31&gt;Assumptions!H119,I31,Assumptions!H119)*'SOF1920-HB3'!L66*100</f>
        <v>#DIV/0!</v>
      </c>
    </row>
    <row r="38" spans="3:9">
      <c r="C38" s="162"/>
      <c r="D38" s="35"/>
      <c r="E38" s="128"/>
      <c r="F38" s="3172"/>
    </row>
    <row r="39" spans="3:9">
      <c r="C39" s="162">
        <v>17</v>
      </c>
      <c r="D39" s="35" t="s">
        <v>9127</v>
      </c>
      <c r="E39" s="128"/>
      <c r="F39" s="159" t="e">
        <f>MIN(F31,F35)*('Data Entry - SOF'!K73/100)</f>
        <v>#DIV/0!</v>
      </c>
    </row>
    <row r="40" spans="3:9">
      <c r="C40" s="162"/>
      <c r="D40" s="35"/>
      <c r="E40" s="128"/>
      <c r="F40" s="3172"/>
      <c r="I40" s="52"/>
    </row>
    <row r="41" spans="3:9">
      <c r="C41" s="3160">
        <v>18</v>
      </c>
      <c r="D41" s="3125" t="s">
        <v>9128</v>
      </c>
      <c r="E41" s="3161"/>
      <c r="F41" s="3173" t="e">
        <f>IF(F39&gt;=F29,F29/'Data Entry - SOF'!K148,F39/'Data Entry - SOF'!K148)</f>
        <v>#DIV/0!</v>
      </c>
      <c r="I41" s="52"/>
    </row>
    <row r="42" spans="3:9">
      <c r="C42" s="162"/>
      <c r="D42" s="35"/>
      <c r="E42" s="128"/>
      <c r="F42" s="3172"/>
    </row>
    <row r="43" spans="3:9">
      <c r="C43" s="162">
        <v>19</v>
      </c>
      <c r="D43" s="121" t="s">
        <v>9129</v>
      </c>
      <c r="E43" s="128"/>
      <c r="F43" s="159" t="e">
        <f>IF((Assumptions!H119*MIN(F31,F35)*'SOF1920-HB3'!L66*100)-F39&lt;0,0,(Assumptions!H119*MIN(F31,F35)*'SOF1920-HB3'!L66*100)-F39)</f>
        <v>#DIV/0!</v>
      </c>
      <c r="H43" s="91"/>
    </row>
    <row r="44" spans="3:9">
      <c r="C44" s="162"/>
      <c r="D44" s="35"/>
      <c r="E44" s="128"/>
      <c r="F44" s="3172"/>
      <c r="H44" s="91"/>
    </row>
    <row r="45" spans="3:9">
      <c r="C45" s="162">
        <v>20</v>
      </c>
      <c r="D45" s="35" t="s">
        <v>9099</v>
      </c>
      <c r="E45" s="128"/>
      <c r="F45" s="159" t="e">
        <f>IF(F29-F39-F43&lt;0,0,F29-F39-F43)</f>
        <v>#DIV/0!</v>
      </c>
      <c r="H45" s="91"/>
    </row>
    <row r="46" spans="3:9">
      <c r="C46" s="162"/>
      <c r="D46" s="35"/>
      <c r="E46" s="128"/>
      <c r="F46" s="3170"/>
      <c r="H46" s="91"/>
    </row>
    <row r="47" spans="3:9">
      <c r="C47" s="162">
        <v>21</v>
      </c>
      <c r="D47" s="35" t="s">
        <v>9130</v>
      </c>
      <c r="E47" s="35"/>
      <c r="F47" s="215" t="e">
        <f>F45/IF(I31&gt;Assumptions!H120,I31,Assumptions!H120)/'SOF1920-HB3'!L66/100</f>
        <v>#DIV/0!</v>
      </c>
      <c r="H47" s="91"/>
    </row>
    <row r="48" spans="3:9">
      <c r="D48" s="128"/>
      <c r="E48" s="128"/>
    </row>
    <row r="49" spans="3:11">
      <c r="C49" s="162">
        <v>22</v>
      </c>
      <c r="D49" s="35" t="s">
        <v>9131</v>
      </c>
      <c r="E49" s="35"/>
      <c r="F49" s="163" t="e">
        <f>IF(F45=0,0,'Calc Data'!F108)</f>
        <v>#DIV/0!</v>
      </c>
    </row>
    <row r="50" spans="3:11">
      <c r="C50" s="162"/>
      <c r="D50" s="158"/>
      <c r="E50" s="158"/>
    </row>
    <row r="51" spans="3:11">
      <c r="C51" s="162">
        <v>23</v>
      </c>
      <c r="D51" s="35" t="s">
        <v>9132</v>
      </c>
      <c r="E51" s="35"/>
      <c r="F51" s="160" t="e">
        <f>F49/('Data Entry - SOF'!K73/100)</f>
        <v>#DIV/0!</v>
      </c>
    </row>
    <row r="52" spans="3:11">
      <c r="C52" s="162"/>
      <c r="D52" s="35"/>
      <c r="E52" s="35"/>
      <c r="F52" s="3172"/>
    </row>
    <row r="53" spans="3:11">
      <c r="C53" s="162">
        <v>24</v>
      </c>
      <c r="D53" s="35" t="s">
        <v>9133</v>
      </c>
      <c r="E53" s="35"/>
      <c r="F53" s="163" t="e">
        <f>MIN(F51,F47)*IF(I31&gt;Assumptions!H120,I31,Assumptions!H120)*'SOF1920-HB3'!L66*100</f>
        <v>#DIV/0!</v>
      </c>
    </row>
    <row r="54" spans="3:11">
      <c r="C54" s="162"/>
      <c r="D54" s="158"/>
      <c r="E54" s="158"/>
    </row>
    <row r="55" spans="3:11">
      <c r="C55" s="162">
        <v>25</v>
      </c>
      <c r="D55" s="35" t="s">
        <v>9127</v>
      </c>
      <c r="E55" s="35"/>
      <c r="F55" s="159" t="e">
        <f>MIN(F47,F51)*('Data Entry - SOF'!K73/100)</f>
        <v>#DIV/0!</v>
      </c>
    </row>
    <row r="56" spans="3:11">
      <c r="C56" s="605"/>
      <c r="D56" s="35"/>
      <c r="E56" s="35"/>
      <c r="F56" s="125"/>
    </row>
    <row r="57" spans="3:11">
      <c r="C57" s="162">
        <v>26</v>
      </c>
      <c r="D57" s="35" t="s">
        <v>9134</v>
      </c>
      <c r="E57" s="35"/>
      <c r="F57" s="159" t="e">
        <f>'SOF1920-HB3'!I87</f>
        <v>#DIV/0!</v>
      </c>
      <c r="K57" s="91"/>
    </row>
    <row r="58" spans="3:11">
      <c r="C58" s="162"/>
      <c r="D58" s="128"/>
      <c r="E58" s="128"/>
    </row>
    <row r="59" spans="3:11">
      <c r="C59" s="3162">
        <v>27</v>
      </c>
      <c r="D59" s="3125" t="s">
        <v>9135</v>
      </c>
      <c r="E59" s="3163"/>
      <c r="F59" s="3173" t="e">
        <f>IF(F55&gt;=F45,(F45+F57)/'Data Entry - SOF'!K148,(F55+F57)/'Data Entry - SOF'!K148)</f>
        <v>#DIV/0!</v>
      </c>
    </row>
    <row r="60" spans="3:11">
      <c r="C60" s="162"/>
      <c r="D60" s="121"/>
      <c r="E60" s="121"/>
      <c r="F60" s="140"/>
      <c r="I60" s="143"/>
    </row>
    <row r="61" spans="3:11">
      <c r="C61" s="162">
        <v>28</v>
      </c>
      <c r="D61" s="121" t="s">
        <v>9136</v>
      </c>
      <c r="E61" s="35"/>
      <c r="F61" s="159" t="e">
        <f>IF((Assumptions!H120*MIN(F47,F51)*'SOF1920-HB3'!L66*100)-F55&lt;0,0,(Assumptions!H120*MIN(F47,F51)*'SOF1920-HB3'!L66*100)-F55)</f>
        <v>#DIV/0!</v>
      </c>
      <c r="I61" s="143"/>
    </row>
    <row r="62" spans="3:11">
      <c r="C62" s="162"/>
      <c r="D62" s="128"/>
      <c r="E62" s="128"/>
      <c r="F62" s="91"/>
    </row>
    <row r="63" spans="3:11">
      <c r="C63" s="162">
        <v>29</v>
      </c>
      <c r="D63" s="35" t="s">
        <v>9137</v>
      </c>
      <c r="E63" s="35"/>
      <c r="F63" s="159" t="e">
        <f>IF(F45-F55-F61&lt;0,0,F45-F55-F61)</f>
        <v>#DIV/0!</v>
      </c>
    </row>
    <row r="64" spans="3:11">
      <c r="C64" s="162"/>
      <c r="D64" s="35"/>
      <c r="E64" s="35"/>
      <c r="F64" s="91"/>
    </row>
    <row r="65" spans="3:14">
      <c r="C65" s="3162">
        <v>30</v>
      </c>
      <c r="D65" s="3164" t="s">
        <v>8555</v>
      </c>
      <c r="E65" s="3163"/>
      <c r="F65" s="3173" t="e">
        <f>IF(F63=0,0,F63/'Data Entry - SOF'!K148)</f>
        <v>#DIV/0!</v>
      </c>
      <c r="H65" s="119"/>
      <c r="I65" s="140"/>
      <c r="J65" s="119"/>
      <c r="L65" s="119"/>
      <c r="M65" s="119"/>
      <c r="N65" s="119"/>
    </row>
    <row r="66" spans="3:14">
      <c r="C66" s="162"/>
      <c r="D66" s="128"/>
      <c r="E66" s="128"/>
      <c r="F66" s="91"/>
      <c r="H66" s="119"/>
      <c r="I66" s="140"/>
      <c r="J66" s="119"/>
      <c r="L66" s="119"/>
      <c r="M66" s="119"/>
      <c r="N66" s="119"/>
    </row>
    <row r="67" spans="3:14">
      <c r="C67" s="162">
        <v>32</v>
      </c>
      <c r="D67" s="35" t="s">
        <v>8556</v>
      </c>
      <c r="E67" s="35"/>
      <c r="F67" s="159">
        <f>'IFA-OldLaw'!Q79</f>
        <v>0</v>
      </c>
      <c r="H67" s="119"/>
      <c r="I67" s="140"/>
      <c r="J67" s="119"/>
      <c r="L67" s="119"/>
      <c r="M67" s="119"/>
      <c r="N67" s="119"/>
    </row>
    <row r="68" spans="3:14">
      <c r="C68" s="162"/>
      <c r="D68" s="35"/>
      <c r="E68" s="35"/>
      <c r="F68" s="91"/>
      <c r="H68" s="119"/>
      <c r="I68" s="119"/>
      <c r="J68" s="119"/>
      <c r="L68" s="119"/>
      <c r="M68" s="119"/>
      <c r="N68" s="119"/>
    </row>
    <row r="69" spans="3:14">
      <c r="C69" s="3162">
        <v>33</v>
      </c>
      <c r="D69" s="3125" t="s">
        <v>8557</v>
      </c>
      <c r="E69" s="3165"/>
      <c r="F69" s="3173">
        <f>IF(F67=0,0,F67/'Data Entry - SOF'!K148)</f>
        <v>0</v>
      </c>
      <c r="I69" s="119"/>
    </row>
    <row r="70" spans="3:14">
      <c r="C70" s="3166"/>
      <c r="D70" s="3167"/>
      <c r="E70" s="3149"/>
      <c r="F70" s="35"/>
      <c r="I70" s="91"/>
    </row>
    <row r="71" spans="3:14">
      <c r="C71" s="162"/>
      <c r="D71" s="128"/>
      <c r="E71" s="128"/>
      <c r="F71" s="91"/>
      <c r="I71" s="91"/>
    </row>
    <row r="72" spans="3:14">
      <c r="C72" s="3162">
        <v>34</v>
      </c>
      <c r="D72" s="3125" t="s">
        <v>9138</v>
      </c>
      <c r="E72" s="3168"/>
      <c r="F72" s="3173" t="e">
        <f>F25+F41+F59+F65+F69</f>
        <v>#DIV/0!</v>
      </c>
      <c r="I72" s="91"/>
    </row>
    <row r="73" spans="3:14">
      <c r="C73" s="162"/>
      <c r="D73" s="2697"/>
      <c r="E73" s="119"/>
      <c r="F73" s="119"/>
      <c r="H73" s="119"/>
    </row>
    <row r="74" spans="3:14">
      <c r="C74" s="162">
        <v>35</v>
      </c>
      <c r="D74" s="1701" t="s">
        <v>8645</v>
      </c>
      <c r="E74" s="119"/>
      <c r="F74" s="163">
        <f>'Data Entry - SOF'!K149</f>
        <v>0</v>
      </c>
      <c r="H74" s="119"/>
    </row>
    <row r="75" spans="3:14">
      <c r="D75" s="119"/>
      <c r="E75" s="119"/>
      <c r="F75" s="119"/>
      <c r="H75" s="119"/>
    </row>
    <row r="76" spans="3:14">
      <c r="C76" s="3162">
        <v>36</v>
      </c>
      <c r="D76" s="3124" t="s">
        <v>9100</v>
      </c>
      <c r="E76" s="3169"/>
      <c r="F76" s="4591" t="e">
        <f>F72/(F74/100)</f>
        <v>#DIV/0!</v>
      </c>
      <c r="H76" s="119"/>
    </row>
    <row r="77" spans="3:14">
      <c r="D77" s="68"/>
      <c r="E77" s="68"/>
      <c r="F77" s="119"/>
    </row>
    <row r="78" spans="3:14" hidden="1">
      <c r="D78" s="68"/>
      <c r="E78" s="68"/>
      <c r="F78" s="119"/>
    </row>
    <row r="79" spans="3:14" hidden="1">
      <c r="D79" s="68"/>
      <c r="E79" s="68"/>
      <c r="F79" s="119"/>
    </row>
    <row r="80" spans="3:14" hidden="1">
      <c r="D80" s="211" t="s">
        <v>8563</v>
      </c>
      <c r="E80" s="298"/>
      <c r="F80" s="212"/>
    </row>
    <row r="81" spans="4:7" hidden="1">
      <c r="D81" s="213" t="s">
        <v>8558</v>
      </c>
      <c r="E81" s="299"/>
      <c r="F81" s="214"/>
    </row>
    <row r="82" spans="4:7" hidden="1">
      <c r="D82" s="68"/>
      <c r="E82" s="68"/>
      <c r="F82" s="119"/>
    </row>
    <row r="83" spans="4:7" ht="13.5" hidden="1" thickBot="1">
      <c r="D83" s="68"/>
      <c r="E83" s="68"/>
      <c r="F83" s="119"/>
    </row>
    <row r="84" spans="4:7" hidden="1">
      <c r="D84" s="198" t="s">
        <v>8559</v>
      </c>
      <c r="E84" s="300"/>
      <c r="F84" s="200"/>
    </row>
    <row r="85" spans="4:7" hidden="1">
      <c r="D85" s="505" t="s">
        <v>3805</v>
      </c>
      <c r="E85" s="301"/>
      <c r="F85" s="201"/>
    </row>
    <row r="86" spans="4:7" ht="13.5" hidden="1" thickBot="1">
      <c r="D86" s="199" t="s">
        <v>3059</v>
      </c>
      <c r="E86" s="302"/>
      <c r="F86" s="202"/>
    </row>
    <row r="87" spans="4:7" hidden="1">
      <c r="D87" s="68"/>
      <c r="E87" s="68"/>
      <c r="F87" s="119"/>
    </row>
    <row r="88" spans="4:7" ht="13.5" hidden="1" thickBot="1">
      <c r="D88" s="68"/>
      <c r="E88" s="68"/>
      <c r="F88" s="119"/>
    </row>
    <row r="89" spans="4:7" hidden="1">
      <c r="D89" s="506" t="s">
        <v>3806</v>
      </c>
      <c r="E89" s="507"/>
      <c r="F89" s="508"/>
    </row>
    <row r="90" spans="4:7" hidden="1">
      <c r="D90" s="603" t="s">
        <v>3807</v>
      </c>
      <c r="E90" s="373"/>
      <c r="F90" s="604"/>
    </row>
    <row r="91" spans="4:7" ht="13.5" hidden="1" thickBot="1">
      <c r="D91" s="509" t="s">
        <v>3808</v>
      </c>
      <c r="E91" s="510"/>
      <c r="F91" s="511"/>
    </row>
    <row r="92" spans="4:7" ht="13.5" hidden="1" thickBot="1">
      <c r="D92" s="119"/>
      <c r="E92" s="119"/>
      <c r="F92" s="119"/>
    </row>
    <row r="93" spans="4:7" ht="13.5" hidden="1" thickBot="1">
      <c r="D93" s="727"/>
      <c r="E93" s="728"/>
      <c r="F93" s="729"/>
    </row>
    <row r="94" spans="4:7" hidden="1">
      <c r="D94" s="730" t="s">
        <v>8560</v>
      </c>
      <c r="E94" s="303"/>
      <c r="F94" s="736">
        <f>IF('Data Entry - SOF'!E161&gt;1.5,('Data Entry - SOF'!E161*0.6667)+0.04,(1.5*0.6667)+0.04)</f>
        <v>1.0400499999999999</v>
      </c>
    </row>
    <row r="95" spans="4:7" hidden="1">
      <c r="D95" s="730" t="s">
        <v>732</v>
      </c>
      <c r="E95" s="303"/>
      <c r="F95" s="735">
        <f>'Data Entry - SOF'!G152</f>
        <v>0</v>
      </c>
      <c r="G95" s="46"/>
    </row>
    <row r="96" spans="4:7" hidden="1">
      <c r="D96" s="739" t="s">
        <v>2423</v>
      </c>
      <c r="E96" s="740"/>
      <c r="F96" s="734">
        <f>F94+F95</f>
        <v>1.0400499999999999</v>
      </c>
    </row>
    <row r="97" spans="4:6" hidden="1">
      <c r="D97" s="730"/>
      <c r="E97" s="303"/>
      <c r="F97" s="758"/>
    </row>
    <row r="98" spans="4:6" hidden="1">
      <c r="D98" s="730"/>
      <c r="E98" s="303"/>
      <c r="F98" s="758"/>
    </row>
    <row r="99" spans="4:6" hidden="1">
      <c r="D99" s="739" t="s">
        <v>8561</v>
      </c>
      <c r="E99" s="740"/>
      <c r="F99" s="734" t="e">
        <f>#REF!+0.04</f>
        <v>#REF!</v>
      </c>
    </row>
    <row r="100" spans="4:6" hidden="1">
      <c r="D100" s="730"/>
      <c r="E100" s="303"/>
      <c r="F100" s="758"/>
    </row>
    <row r="101" spans="4:6" ht="13.5" hidden="1" thickBot="1">
      <c r="D101" s="730"/>
      <c r="E101" s="303"/>
      <c r="F101" s="758"/>
    </row>
    <row r="102" spans="4:6" ht="13.5" hidden="1" thickBot="1">
      <c r="D102" s="738" t="s">
        <v>8562</v>
      </c>
      <c r="E102" s="256"/>
      <c r="F102" s="737" t="e">
        <f>IF('Data Entry - SOF'!E161&gt;1.5,MIN(F96,F99),IF(MIN(F96,F99)&gt;1.17,1.17,MIN(F96,F99)))</f>
        <v>#REF!</v>
      </c>
    </row>
    <row r="103" spans="4:6" ht="13.5" hidden="1" thickBot="1">
      <c r="D103" s="731" t="s">
        <v>1106</v>
      </c>
      <c r="E103" s="732"/>
      <c r="F103" s="733"/>
    </row>
    <row r="104" spans="4:6" hidden="1"/>
  </sheetData>
  <phoneticPr fontId="25" type="noConversion"/>
  <pageMargins left="0.25" right="0.25" top="0.5" bottom="0.5" header="0.5" footer="0.5"/>
  <pageSetup scale="65" orientation="portrait" r:id="rId1"/>
  <headerFooter alignWithMargins="0"/>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
  <sheetViews>
    <sheetView workbookViewId="0">
      <selection activeCell="K1" sqref="K1"/>
    </sheetView>
  </sheetViews>
  <sheetFormatPr defaultRowHeight="12.75"/>
  <cols>
    <col min="1" max="1" width="9.140625" style="35" customWidth="1"/>
    <col min="2" max="2" width="14.42578125" style="35" customWidth="1"/>
    <col min="3" max="3" width="13.5703125" style="35" customWidth="1"/>
    <col min="4" max="4" width="1.5703125" style="35" customWidth="1"/>
    <col min="5" max="5" width="13.5703125" style="35" customWidth="1"/>
    <col min="6" max="6" width="1.5703125" style="35" customWidth="1"/>
    <col min="7" max="7" width="13.5703125" style="35" customWidth="1"/>
    <col min="8" max="8" width="1.5703125" style="35" customWidth="1"/>
    <col min="9" max="9" width="13.5703125" style="35" customWidth="1"/>
    <col min="10" max="10" width="1.5703125" style="35" customWidth="1"/>
    <col min="11" max="11" width="13.5703125" style="35" customWidth="1"/>
    <col min="15" max="15" width="20.5703125" customWidth="1"/>
  </cols>
  <sheetData>
    <row r="1" spans="1:11">
      <c r="A1" s="71"/>
      <c r="B1"/>
      <c r="I1" s="121"/>
      <c r="J1" s="121"/>
      <c r="K1" s="3155" t="str">
        <f>RateToMaintain1920!F1</f>
        <v>Release 10</v>
      </c>
    </row>
    <row r="2" spans="1:11">
      <c r="A2" s="71"/>
      <c r="B2"/>
      <c r="K2" s="3156">
        <f>RateToMaintain1920!F2</f>
        <v>43724</v>
      </c>
    </row>
    <row r="3" spans="1:11">
      <c r="A3" s="71"/>
      <c r="B3"/>
      <c r="K3" s="58"/>
    </row>
    <row r="5" spans="1:11">
      <c r="A5" s="182" t="s">
        <v>725</v>
      </c>
      <c r="B5" s="183"/>
      <c r="C5" s="183"/>
      <c r="D5" s="183"/>
      <c r="E5" s="183"/>
      <c r="F5" s="183"/>
      <c r="G5" s="183"/>
      <c r="H5" s="183"/>
      <c r="I5" s="183"/>
      <c r="J5" s="183"/>
      <c r="K5" s="184"/>
    </row>
    <row r="6" spans="1:11">
      <c r="A6" s="185" t="s">
        <v>726</v>
      </c>
      <c r="K6" s="186"/>
    </row>
    <row r="7" spans="1:11">
      <c r="A7" s="185"/>
      <c r="K7" s="186"/>
    </row>
    <row r="8" spans="1:11">
      <c r="A8" s="185"/>
      <c r="C8" s="35" t="s">
        <v>1072</v>
      </c>
      <c r="K8" s="186"/>
    </row>
    <row r="9" spans="1:11" ht="12.75" customHeight="1">
      <c r="A9" s="185"/>
      <c r="K9" s="186"/>
    </row>
    <row r="10" spans="1:11" s="67" customFormat="1">
      <c r="A10" s="187"/>
      <c r="C10" s="188" t="s">
        <v>755</v>
      </c>
      <c r="E10" s="188" t="s">
        <v>756</v>
      </c>
      <c r="I10" s="188" t="s">
        <v>2447</v>
      </c>
      <c r="K10" s="189" t="s">
        <v>2448</v>
      </c>
    </row>
    <row r="11" spans="1:11" s="67" customFormat="1">
      <c r="A11" s="187"/>
      <c r="C11" s="167" t="s">
        <v>2449</v>
      </c>
      <c r="E11" s="167" t="s">
        <v>2450</v>
      </c>
      <c r="G11" s="167" t="s">
        <v>2451</v>
      </c>
      <c r="I11" s="167" t="s">
        <v>2452</v>
      </c>
      <c r="K11" s="190" t="s">
        <v>2452</v>
      </c>
    </row>
    <row r="12" spans="1:11" s="67" customFormat="1">
      <c r="A12" s="187" t="s">
        <v>2453</v>
      </c>
      <c r="C12" s="191">
        <f>'Data Entry - SOF'!E92</f>
        <v>1.17</v>
      </c>
      <c r="D12" s="4592"/>
      <c r="E12" s="191">
        <f>'Data Entry - SOF'!E100</f>
        <v>0</v>
      </c>
      <c r="F12" s="4592"/>
      <c r="G12" s="191">
        <f>C12+E12</f>
        <v>1.17</v>
      </c>
      <c r="I12" s="192" t="e">
        <f>'Notice Calc1920'!D40</f>
        <v>#DIV/0!</v>
      </c>
      <c r="K12" s="193" t="e">
        <f>'Notice Calc1920'!D70</f>
        <v>#DIV/0!</v>
      </c>
    </row>
    <row r="13" spans="1:11" s="67" customFormat="1">
      <c r="A13" s="187" t="s">
        <v>2454</v>
      </c>
      <c r="C13" s="191" t="e">
        <f>RateToMaintain1920!F76</f>
        <v>#DIV/0!</v>
      </c>
      <c r="D13" s="4592"/>
      <c r="E13" s="191">
        <f>'Notice Calc1920'!D28</f>
        <v>0</v>
      </c>
      <c r="F13" s="4592"/>
      <c r="G13" s="191" t="e">
        <f>C13+E13</f>
        <v>#DIV/0!</v>
      </c>
      <c r="I13" s="192" t="e">
        <f>'Notice Calc1920'!D48</f>
        <v>#DIV/0!</v>
      </c>
      <c r="K13" s="193" t="e">
        <f>'Notice Calc1920'!D82</f>
        <v>#DIV/0!</v>
      </c>
    </row>
    <row r="14" spans="1:11" s="67" customFormat="1">
      <c r="A14" s="187" t="s">
        <v>807</v>
      </c>
      <c r="C14" s="191"/>
      <c r="D14" s="4592"/>
      <c r="E14" s="191"/>
      <c r="F14" s="4592"/>
      <c r="G14" s="191"/>
      <c r="I14" s="188"/>
      <c r="K14" s="189"/>
    </row>
    <row r="15" spans="1:11" s="67" customFormat="1">
      <c r="A15" s="187" t="s">
        <v>808</v>
      </c>
      <c r="C15" s="191"/>
      <c r="D15" s="4592"/>
      <c r="E15" s="191"/>
      <c r="F15" s="4592"/>
      <c r="G15" s="191"/>
      <c r="I15" s="188"/>
      <c r="K15" s="189"/>
    </row>
    <row r="16" spans="1:11" s="67" customFormat="1">
      <c r="A16" s="187" t="s">
        <v>809</v>
      </c>
      <c r="C16" s="191"/>
      <c r="D16" s="4592"/>
      <c r="E16" s="191"/>
      <c r="F16" s="4592"/>
      <c r="G16" s="191"/>
      <c r="I16" s="188"/>
      <c r="K16" s="189"/>
    </row>
    <row r="17" spans="1:11" s="67" customFormat="1">
      <c r="A17" s="187" t="s">
        <v>810</v>
      </c>
      <c r="C17" s="191">
        <f>'Data Entry - SOF'!K95</f>
        <v>0</v>
      </c>
      <c r="D17" s="4592"/>
      <c r="E17" s="191">
        <f>'Data Entry - SOF'!K100</f>
        <v>0</v>
      </c>
      <c r="F17" s="4592"/>
      <c r="G17" s="191">
        <f>C17+E17</f>
        <v>0</v>
      </c>
      <c r="I17" s="192" t="e">
        <f>'Notice Calc1920'!D57</f>
        <v>#DIV/0!</v>
      </c>
      <c r="K17" s="193" t="e">
        <f>'Notice Calc1920'!D93</f>
        <v>#DIV/0!</v>
      </c>
    </row>
    <row r="18" spans="1:11" s="67" customFormat="1">
      <c r="A18" s="187"/>
      <c r="K18" s="194"/>
    </row>
    <row r="19" spans="1:11" s="67" customFormat="1">
      <c r="A19" s="187" t="s">
        <v>2445</v>
      </c>
      <c r="K19" s="194"/>
    </row>
    <row r="20" spans="1:11" s="67" customFormat="1">
      <c r="A20" s="187" t="s">
        <v>1905</v>
      </c>
      <c r="K20" s="194"/>
    </row>
    <row r="21" spans="1:11">
      <c r="A21" s="195"/>
      <c r="B21" s="138"/>
      <c r="C21" s="138"/>
      <c r="D21" s="138"/>
      <c r="E21" s="138"/>
      <c r="F21" s="138"/>
      <c r="G21" s="138"/>
      <c r="H21" s="138"/>
      <c r="I21" s="138"/>
      <c r="J21" s="138"/>
      <c r="K21" s="196"/>
    </row>
    <row r="24" spans="1:11">
      <c r="A24" s="1691" t="s">
        <v>9139</v>
      </c>
    </row>
    <row r="25" spans="1:11">
      <c r="A25" s="1691" t="s">
        <v>9140</v>
      </c>
    </row>
    <row r="26" spans="1:11">
      <c r="A26" s="1691" t="s">
        <v>9141</v>
      </c>
    </row>
    <row r="27" spans="1:11">
      <c r="A27" s="1691" t="s">
        <v>9142</v>
      </c>
    </row>
    <row r="28" spans="1:11">
      <c r="A28" s="1691" t="s">
        <v>9143</v>
      </c>
    </row>
    <row r="29" spans="1:11">
      <c r="A29" s="1691" t="s">
        <v>9144</v>
      </c>
    </row>
    <row r="30" spans="1:11">
      <c r="A30" s="1691" t="s">
        <v>9145</v>
      </c>
    </row>
  </sheetData>
  <phoneticPr fontId="25" type="noConversion"/>
  <pageMargins left="0.25" right="0.25" top="0.75" bottom="1" header="0.5" footer="0.5"/>
  <pageSetup orientation="portrait" r:id="rId1"/>
  <headerFooter alignWithMargins="0"/>
  <legacyDrawingHF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N223"/>
  <sheetViews>
    <sheetView topLeftCell="AG12" workbookViewId="0">
      <selection activeCell="AK29" sqref="AK29"/>
    </sheetView>
  </sheetViews>
  <sheetFormatPr defaultRowHeight="12.75"/>
  <cols>
    <col min="1" max="1" width="5" customWidth="1"/>
    <col min="2" max="2" width="66.85546875" customWidth="1"/>
    <col min="3" max="3" width="19.5703125" style="2105" hidden="1" customWidth="1"/>
    <col min="4" max="4" width="19.5703125" style="1132" hidden="1" customWidth="1"/>
    <col min="5" max="5" width="19.5703125" style="658" customWidth="1"/>
    <col min="6" max="6" width="19.5703125" style="1158" customWidth="1"/>
    <col min="7" max="7" width="19.5703125" style="1184" customWidth="1"/>
    <col min="8" max="8" width="19.5703125" style="1210" customWidth="1"/>
    <col min="9" max="9" width="19.5703125" style="1322" customWidth="1"/>
    <col min="10" max="10" width="19.5703125" style="1713" customWidth="1"/>
    <col min="11" max="11" width="19.5703125" style="2653" customWidth="1"/>
    <col min="12" max="12" width="19" customWidth="1"/>
    <col min="13" max="13" width="22.5703125" style="247" customWidth="1"/>
    <col min="14" max="14" width="22.5703125" customWidth="1"/>
    <col min="15" max="15" width="18" customWidth="1"/>
    <col min="16" max="16" width="13.42578125" style="119" customWidth="1"/>
    <col min="17" max="18" width="18" hidden="1" customWidth="1"/>
    <col min="19" max="20" width="18" customWidth="1"/>
    <col min="21" max="21" width="18.140625" customWidth="1"/>
    <col min="22" max="22" width="20.5703125" style="152" customWidth="1"/>
    <col min="23" max="23" width="21.140625" customWidth="1"/>
    <col min="24" max="27" width="17.5703125" customWidth="1"/>
    <col min="28" max="28" width="36.5703125" style="2011" hidden="1" customWidth="1"/>
    <col min="29" max="29" width="19.5703125" style="2011" hidden="1" customWidth="1"/>
    <col min="30" max="30" width="19.140625" style="2011" hidden="1" customWidth="1"/>
    <col min="31" max="31" width="19.85546875" style="2011" hidden="1" customWidth="1"/>
    <col min="32" max="32" width="38.42578125" customWidth="1"/>
    <col min="33" max="33" width="17.85546875" customWidth="1"/>
    <col min="34" max="35" width="18.5703125" customWidth="1"/>
    <col min="36" max="36" width="43.5703125" customWidth="1"/>
    <col min="37" max="37" width="21.5703125" customWidth="1"/>
    <col min="38" max="38" width="21.42578125" customWidth="1"/>
    <col min="39" max="39" width="20.5703125" customWidth="1"/>
    <col min="40" max="40" width="41.42578125" customWidth="1"/>
    <col min="41" max="41" width="21.5703125" customWidth="1"/>
    <col min="42" max="42" width="21.42578125" customWidth="1"/>
    <col min="43" max="43" width="20.140625" customWidth="1"/>
    <col min="44" max="44" width="16.5703125" customWidth="1"/>
    <col min="45" max="45" width="41.42578125" style="1797" customWidth="1"/>
    <col min="46" max="46" width="21.5703125" style="1797" customWidth="1"/>
    <col min="47" max="47" width="21.42578125" style="1797" customWidth="1"/>
    <col min="48" max="48" width="20.140625" style="1797" customWidth="1"/>
    <col min="49" max="49" width="16.5703125" style="1797" customWidth="1"/>
    <col min="50" max="50" width="41.42578125" style="1416" customWidth="1"/>
    <col min="51" max="51" width="21.5703125" style="1416" customWidth="1"/>
    <col min="52" max="52" width="21.42578125" style="1416" customWidth="1"/>
    <col min="53" max="53" width="20.140625" style="1416" customWidth="1"/>
    <col min="54" max="54" width="16.5703125" style="1797" customWidth="1"/>
    <col min="55" max="55" width="41.42578125" style="2477" customWidth="1"/>
    <col min="56" max="56" width="21.5703125" style="2477" customWidth="1"/>
    <col min="57" max="57" width="21.42578125" style="2477" customWidth="1"/>
    <col min="58" max="58" width="20.140625" style="2477" customWidth="1"/>
    <col min="59" max="59" width="16.5703125" style="2478" customWidth="1"/>
    <col min="60" max="66" width="9.140625" style="1797"/>
  </cols>
  <sheetData>
    <row r="1" spans="1:59">
      <c r="A1" s="35" t="s">
        <v>1250</v>
      </c>
      <c r="O1" s="72"/>
      <c r="P1" s="141"/>
      <c r="V1"/>
    </row>
    <row r="2" spans="1:59">
      <c r="O2" s="72"/>
      <c r="P2" s="141"/>
      <c r="V2" s="54" t="s">
        <v>6971</v>
      </c>
    </row>
    <row r="3" spans="1:59">
      <c r="A3" s="15" t="s">
        <v>68</v>
      </c>
      <c r="K3" s="2654"/>
      <c r="L3" s="239"/>
      <c r="M3" s="239"/>
      <c r="N3" s="239"/>
      <c r="U3" s="635" t="s">
        <v>3797</v>
      </c>
      <c r="V3" s="635" t="s">
        <v>6563</v>
      </c>
      <c r="W3" s="635" t="s">
        <v>6573</v>
      </c>
    </row>
    <row r="4" spans="1:59">
      <c r="A4" s="21" t="s">
        <v>1276</v>
      </c>
      <c r="B4" s="9"/>
      <c r="C4" s="2106"/>
      <c r="D4" s="1236"/>
      <c r="E4" s="1236"/>
      <c r="F4" s="1236"/>
      <c r="G4" s="1236"/>
      <c r="H4" s="1236"/>
      <c r="I4" s="1323"/>
      <c r="J4" s="1716"/>
      <c r="K4" s="2655"/>
      <c r="P4" s="142"/>
      <c r="U4" s="273">
        <f>C18</f>
        <v>2.5000000000000001E-4</v>
      </c>
      <c r="V4" s="273">
        <f>U4</f>
        <v>2.5000000000000001E-4</v>
      </c>
      <c r="W4" s="273">
        <f>V4</f>
        <v>2.5000000000000001E-4</v>
      </c>
    </row>
    <row r="5" spans="1:59">
      <c r="A5" s="20"/>
      <c r="C5" s="2107" t="s">
        <v>3138</v>
      </c>
      <c r="D5" s="1237" t="s">
        <v>3144</v>
      </c>
      <c r="E5" s="1238" t="s">
        <v>3225</v>
      </c>
      <c r="F5" s="1239" t="s">
        <v>3284</v>
      </c>
      <c r="G5" s="1240" t="s">
        <v>3922</v>
      </c>
      <c r="H5" s="1241" t="s">
        <v>6374</v>
      </c>
      <c r="I5" s="1324" t="s">
        <v>6939</v>
      </c>
      <c r="J5" s="1717" t="s">
        <v>8157</v>
      </c>
      <c r="K5" s="1797"/>
      <c r="P5" s="143"/>
      <c r="U5" s="274">
        <f>IF('Data Entry - SOF'!C161&gt;=1.5,Assumptions!G46,Assumptions!G46*('Data Entry - SOF'!C154/1.00005))</f>
        <v>0</v>
      </c>
      <c r="V5" s="274" t="e">
        <f>IF('Data Entry - SOF'!C161&gt;=1.5,Assumptions!G46,Assumptions!G46*('Data Entry - SOF'!#REF!/1.00005))</f>
        <v>#REF!</v>
      </c>
      <c r="W5" s="274">
        <f>IF('Data Entry - SOF'!C161&gt;=1.5,Assumptions!G46,Assumptions!G46*('Data Entry - SOF'!E154/1.00005))</f>
        <v>0</v>
      </c>
    </row>
    <row r="6" spans="1:59">
      <c r="A6" s="20"/>
      <c r="B6" t="s">
        <v>2008</v>
      </c>
      <c r="C6" s="2108">
        <f>'Data Entry - SOF'!C19</f>
        <v>0</v>
      </c>
      <c r="D6" s="1134">
        <f>'Data Entry - SOF'!E166</f>
        <v>0</v>
      </c>
      <c r="E6" s="1134">
        <f>'Data Entry - SOF'!E19</f>
        <v>0</v>
      </c>
      <c r="F6" s="1160">
        <f>'Data Entry - SOF'!K19</f>
        <v>0</v>
      </c>
      <c r="G6" s="1186">
        <f>'Data Entry - SOF'!M19</f>
        <v>0</v>
      </c>
      <c r="H6" s="1212">
        <f>'Data Entry - SOF'!O19</f>
        <v>0</v>
      </c>
      <c r="I6" s="1325">
        <f>'Data Entry - SOF'!Q19</f>
        <v>0</v>
      </c>
      <c r="J6" s="1718">
        <f>'Data Entry - SOF'!S19</f>
        <v>0</v>
      </c>
      <c r="K6" s="1797"/>
      <c r="P6" s="144"/>
      <c r="U6" s="275">
        <f>ROUND(U5*(((C59-1)*Weights!H44)+1),0)</f>
        <v>0</v>
      </c>
      <c r="V6" s="275" t="e">
        <f>ROUND(V5*(((C59-1)*Weights!I44)+1),0)</f>
        <v>#REF!</v>
      </c>
      <c r="W6" s="275" t="e">
        <f>ROUND(W5*(((D59-1)*Weights!J44)+1),0)</f>
        <v>#REF!</v>
      </c>
    </row>
    <row r="7" spans="1:59">
      <c r="B7" s="73" t="s">
        <v>1848</v>
      </c>
      <c r="C7" s="2108">
        <f t="shared" ref="C7:H7" si="0">C6</f>
        <v>0</v>
      </c>
      <c r="D7" s="1134">
        <f t="shared" si="0"/>
        <v>0</v>
      </c>
      <c r="E7" s="664">
        <f t="shared" si="0"/>
        <v>0</v>
      </c>
      <c r="F7" s="1160">
        <f t="shared" si="0"/>
        <v>0</v>
      </c>
      <c r="G7" s="1186">
        <f t="shared" si="0"/>
        <v>0</v>
      </c>
      <c r="H7" s="1212">
        <f t="shared" si="0"/>
        <v>0</v>
      </c>
      <c r="I7" s="1325">
        <f>I6</f>
        <v>0</v>
      </c>
      <c r="J7" s="1718">
        <f>J6</f>
        <v>0</v>
      </c>
      <c r="P7" s="144"/>
      <c r="U7" s="275">
        <f>ROUND(IF(C10&gt;1600,U6,(1+(1600-IF(C10&gt;C11,C10,C11))*U4)*U6),0)</f>
        <v>0</v>
      </c>
      <c r="V7" s="275" t="e">
        <f>ROUND(IF(D10&gt;1600,V6,(1+(1600-IF(D10&gt;D11,D10,D11))*V4)*V6),0)</f>
        <v>#REF!</v>
      </c>
      <c r="W7" s="275" t="e">
        <f>ROUND(IF(E10&gt;1600,W6,(1+(1600-IF(E10&gt;E11,E10,E11))*W4)*W6),0)</f>
        <v>#REF!</v>
      </c>
    </row>
    <row r="8" spans="1:59">
      <c r="B8" t="s">
        <v>2009</v>
      </c>
      <c r="C8" s="2108">
        <f>SUM('Data Entry - SOF'!C23:C30)+SUM('Data Entry - SOF'!C32:C33)</f>
        <v>0</v>
      </c>
      <c r="D8" s="1134" t="e">
        <f>SUM('Data Entry - SOF'!#REF!)+SUM('Data Entry - SOF'!#REF!)</f>
        <v>#REF!</v>
      </c>
      <c r="E8" s="664">
        <f>SUM('Data Entry - SOF'!E23:E30)+SUM('Data Entry - SOF'!E32:E33)</f>
        <v>0</v>
      </c>
      <c r="F8" s="1160">
        <f>SUM('Data Entry - SOF'!K23:K30)+SUM('Data Entry - SOF'!K32:K33)</f>
        <v>0</v>
      </c>
      <c r="G8" s="1186">
        <f>SUM('Data Entry - SOF'!M23:M30)+SUM('Data Entry - SOF'!M32:M33)</f>
        <v>0</v>
      </c>
      <c r="H8" s="1212">
        <f>SUM('Data Entry - SOF'!O23:O30)+SUM('Data Entry - SOF'!O32:O33)</f>
        <v>0</v>
      </c>
      <c r="I8" s="1325">
        <f>SUM('Data Entry - SOF'!Q23:Q30)+SUM('Data Entry - SOF'!Q32:Q33)</f>
        <v>0</v>
      </c>
      <c r="J8" s="1718">
        <f>SUM('Data Entry - SOF'!S23:S30)+SUM('Data Entry - SOF'!S32:S33)</f>
        <v>0</v>
      </c>
      <c r="K8" s="1797"/>
      <c r="P8" s="144"/>
      <c r="U8" s="269">
        <f>ROUND(IF(OR(C10&gt;4999.999,'Data Entry - SOF'!C156&lt;12),0,(1+((5000-C10)*Weights!H42))*U6),0)</f>
        <v>0</v>
      </c>
      <c r="V8" s="269" t="e">
        <f>ROUND(IF(OR(D10&gt;4999.999,'Data Entry - SOF'!#REF!&lt;12),0,(1+((5000-D10)*Weights!I42))*V6),0)</f>
        <v>#REF!</v>
      </c>
      <c r="W8" s="269">
        <f>ROUND(IF(OR(E10&gt;4999.999,'Data Entry - SOF'!E156&lt;12),0,(1+((5000-D10)*Weights!J42))*W6),0)</f>
        <v>0</v>
      </c>
    </row>
    <row r="9" spans="1:59">
      <c r="B9" t="s">
        <v>2010</v>
      </c>
      <c r="C9" s="2108">
        <f>('Data Entry - SOF'!C23*Weights!H10)+('Data Entry - SOF'!C24*Weights!H11)+('Data Entry - SOF'!C25*Weights!H12)+('Data Entry - SOF'!C26*Weights!H13)+('Data Entry - SOF'!C27*Weights!H14)+('Data Entry - SOF'!C28*Weights!H15)+('Data Entry - SOF'!C29*Weights!H16)</f>
        <v>0</v>
      </c>
      <c r="D9" s="1134" t="e">
        <f>('Data Entry - SOF'!#REF!*Weights!I10)+('Data Entry - SOF'!#REF!*Weights!I11)+('Data Entry - SOF'!#REF!*Weights!I12)+('Data Entry - SOF'!#REF!*Weights!I13)+('Data Entry - SOF'!#REF!*Weights!I14)+('Data Entry - SOF'!#REF!*Weights!I15)+('Data Entry - SOF'!#REF!*Weights!I16)</f>
        <v>#REF!</v>
      </c>
      <c r="E9" s="664">
        <f>('Data Entry - SOF'!E23*Weights!J10)+('Data Entry - SOF'!E24*Weights!J11)+('Data Entry - SOF'!E25*Weights!J12)+('Data Entry - SOF'!E26*Weights!J13)+('Data Entry - SOF'!E27*Weights!J14)+('Data Entry - SOF'!E28*Weights!J15)+('Data Entry - SOF'!E29*Weights!J16)</f>
        <v>0</v>
      </c>
      <c r="F9" s="1160">
        <f>('Data Entry - SOF'!K23*Weights!K10)+('Data Entry - SOF'!K24*Weights!K11)+('Data Entry - SOF'!K25*Weights!K12)+('Data Entry - SOF'!K26*Weights!K13)+('Data Entry - SOF'!K27*Weights!K14)+('Data Entry - SOF'!K28*Weights!K15)+('Data Entry - SOF'!K29*Weights!K16)</f>
        <v>0</v>
      </c>
      <c r="G9" s="1186">
        <f>('Data Entry - SOF'!M23*Weights!L10)+('Data Entry - SOF'!M24*Weights!L11)+('Data Entry - SOF'!M25*Weights!L12)+('Data Entry - SOF'!M26*Weights!L13)+('Data Entry - SOF'!M27*Weights!L14)+('Data Entry - SOF'!M28*Weights!L15)+('Data Entry - SOF'!M29*Weights!L16)</f>
        <v>0</v>
      </c>
      <c r="H9" s="1212">
        <f>('Data Entry - SOF'!O23*Weights!M10)+('Data Entry - SOF'!O24*Weights!M11)+('Data Entry - SOF'!O25*Weights!M12)+('Data Entry - SOF'!O26*Weights!M13)+('Data Entry - SOF'!O27*Weights!M14)+('Data Entry - SOF'!O28*Weights!M15)+('Data Entry - SOF'!O29*Weights!M16)</f>
        <v>0</v>
      </c>
      <c r="I9" s="1325">
        <f>('Data Entry - SOF'!Q23*Weights!N10)+('Data Entry - SOF'!Q24*Weights!N11)+('Data Entry - SOF'!Q25*Weights!N12)+('Data Entry - SOF'!Q26*Weights!N13)+('Data Entry - SOF'!Q27*Weights!N14)+('Data Entry - SOF'!Q28*Weights!N15)+('Data Entry - SOF'!Q29*Weights!N16)</f>
        <v>0</v>
      </c>
      <c r="J9" s="1718">
        <f>('Data Entry - SOF'!S23*Weights!O10)+('Data Entry - SOF'!S24*Weights!O11)+('Data Entry - SOF'!S25*Weights!O12)+('Data Entry - SOF'!S26*Weights!O13)+('Data Entry - SOF'!S27*Weights!O14)+('Data Entry - SOF'!S28*Weights!O15)+('Data Entry - SOF'!S29*Weights!O16)</f>
        <v>0</v>
      </c>
      <c r="K9" s="1797"/>
      <c r="P9" s="144"/>
      <c r="U9" s="275">
        <f>IF(AND(U8&gt;=U7,U8&gt;=U6),U8,IF(AND(U7&gt;=U6,U7&gt;=U8),U7,U6))</f>
        <v>0</v>
      </c>
      <c r="V9" s="275" t="e">
        <f>IF(AND(V8&gt;=V7,V8&gt;=V6),V8,IF(AND(V7&gt;=V6,V7&gt;=V8),V7,V6))</f>
        <v>#REF!</v>
      </c>
      <c r="W9" s="275" t="e">
        <f>IF(AND(W8&gt;=W7,W8&gt;=W6),W8,IF(AND(W7&gt;=W6,W7&gt;=W8),W7,W6))</f>
        <v>#REF!</v>
      </c>
    </row>
    <row r="10" spans="1:59">
      <c r="B10" t="s">
        <v>2011</v>
      </c>
      <c r="C10" s="2108">
        <f>C7-C8-'Data Entry - SOF'!C35</f>
        <v>0</v>
      </c>
      <c r="D10" s="1134" t="e">
        <f>D7-D8-'Data Entry - SOF'!#REF!</f>
        <v>#REF!</v>
      </c>
      <c r="E10" s="664">
        <f>E7-E8-'Data Entry - SOF'!E35</f>
        <v>0</v>
      </c>
      <c r="F10" s="1160">
        <f>F7-F8-'Data Entry - SOF'!K35</f>
        <v>0</v>
      </c>
      <c r="G10" s="1186">
        <f>G7-G8-'Data Entry - SOF'!M35</f>
        <v>0</v>
      </c>
      <c r="H10" s="1212">
        <f>H7-H8-'Data Entry - SOF'!O35</f>
        <v>0</v>
      </c>
      <c r="I10" s="1325">
        <f>I7-I8-'Data Entry - SOF'!Q35</f>
        <v>0</v>
      </c>
      <c r="J10" s="1718">
        <f>J7-J8-'Data Entry - SOF'!S35</f>
        <v>0</v>
      </c>
      <c r="K10" s="1797"/>
      <c r="P10" s="144"/>
      <c r="U10" s="636"/>
      <c r="V10" s="636"/>
      <c r="W10" s="636"/>
    </row>
    <row r="11" spans="1:59" ht="15.75">
      <c r="B11" t="s">
        <v>2012</v>
      </c>
      <c r="C11" s="2109">
        <f>IF('Data Entry - SOF'!C218=1,'Data Entry - SOF'!C215,IF('Data Entry - SOF'!C219=1,'Data Entry - SOF'!C216,IF('Data Entry - SOF'!C220=1,'Data Entry - SOF'!C217,0)))</f>
        <v>0</v>
      </c>
      <c r="D11" s="1135" t="e">
        <f>IF('Data Entry - SOF'!#REF!=1,'Data Entry - SOF'!#REF!,IF('Data Entry - SOF'!#REF!=1,'Data Entry - SOF'!#REF!,IF('Data Entry - SOF'!#REF!=1,'Data Entry - SOF'!#REF!,0)))</f>
        <v>#REF!</v>
      </c>
      <c r="E11" s="665">
        <f>IF('Data Entry - SOF'!E218=1,'Data Entry - SOF'!E215,IF('Data Entry - SOF'!E219=1,'Data Entry - SOF'!E216,IF('Data Entry - SOF'!E220=1,'Data Entry - SOF'!E217,0)))</f>
        <v>0</v>
      </c>
      <c r="F11" s="1161">
        <f>IF('Data Entry - SOF'!G218=1,'Data Entry - SOF'!G215,IF('Data Entry - SOF'!G219=1,'Data Entry - SOF'!G216,IF('Data Entry - SOF'!G220=1,'Data Entry - SOF'!G217,0)))</f>
        <v>0</v>
      </c>
      <c r="G11" s="1187">
        <f>IF('Data Entry - SOF'!M218=1,'Data Entry - SOF'!M215,IF('Data Entry - SOF'!M219=1,'Data Entry - SOF'!M216,IF('Data Entry - SOF'!M220=1,'Data Entry - SOF'!M217,0)))</f>
        <v>0</v>
      </c>
      <c r="H11" s="1213">
        <f>IF('Data Entry - SOF'!O218=1,'Data Entry - SOF'!O215,IF('Data Entry - SOF'!O219=1,'Data Entry - SOF'!O216,IF('Data Entry - SOF'!O220=1,'Data Entry - SOF'!O217,0)))</f>
        <v>0</v>
      </c>
      <c r="I11" s="1326">
        <f>IF('Data Entry - SOF'!Q218=1,'Data Entry - SOF'!Q215,IF('Data Entry - SOF'!Q219=1,'Data Entry - SOF'!Q216,IF('Data Entry - SOF'!Q220=1,'Data Entry - SOF'!Q217,0)))</f>
        <v>0</v>
      </c>
      <c r="J11" s="1719">
        <f>IF('Data Entry - SOF'!S218=1,'Data Entry - SOF'!S215,IF('Data Entry - SOF'!S219=1,'Data Entry - SOF'!S216,IF('Data Entry - SOF'!S220=1,'Data Entry - SOF'!S217,0)))</f>
        <v>0</v>
      </c>
      <c r="K11" s="2656"/>
      <c r="U11" s="337" t="e">
        <f>ROUND(((#REF!-#REF!-#REF!-#REF!-#REF!-#REF!-#REF!)-(((U6-U5)*0.5)/U6)*(#REF!-#REF!-#REF!-#REF!-#REF!-#REF!-#REF!))/U5,3)</f>
        <v>#REF!</v>
      </c>
      <c r="V11" s="337" t="e">
        <f>ROUND((('SOF1718-HB3646'!F44-'SOF1718-HB3646'!F43-'SOF1718-HB3646'!F42-'SOF1718-HB3646'!F40-'SOF1718-HB3646'!F31-'SOF1718-HB3646'!F32-'SOF1718-HB3646'!F28)-(((V6-V5)*0.5)/V6)*('SOF1718-HB3646'!F44-'SOF1718-HB3646'!F43-'SOF1718-HB3646'!F42-'SOF1718-HB3646'!F40-'SOF1718-HB3646'!F31-'SOF1718-HB3646'!F32-'SOF1718-HB3646'!F28))/V5,3)</f>
        <v>#REF!</v>
      </c>
      <c r="W11" s="337" t="e">
        <f>ROUND((('SOF1718-HB3646'!F44-'SOF1718-HB3646'!F43-'SOF1718-HB3646'!F42-'SOF1718-HB3646'!F40-'SOF1718-HB3646'!F31-'SOF1718-HB3646'!F32-'SOF1718-HB3646'!F28)-(((W6-W5)*0.5)/W6)*('SOF1718-HB3646'!F44-'SOF1718-HB3646'!F43-'SOF1718-HB3646'!F42-'SOF1718-HB3646'!F40-'SOF1718-HB3646'!F31-'SOF1718-HB3646'!F32-'SOF1718-HB3646'!F28))/W5,3)</f>
        <v>#REF!</v>
      </c>
    </row>
    <row r="12" spans="1:59">
      <c r="E12" s="3123" t="s">
        <v>9086</v>
      </c>
      <c r="F12" s="3152">
        <f>F7-F8-'Data Entry - SOF'!K36</f>
        <v>0</v>
      </c>
      <c r="G12" s="3152">
        <f>G7-G8-'Data Entry - SOF'!M36</f>
        <v>0</v>
      </c>
      <c r="H12" s="3152">
        <f>H7-H8-'Data Entry - SOF'!O36</f>
        <v>0</v>
      </c>
      <c r="I12" s="3152">
        <f>I7-I8-'Data Entry - SOF'!Q36</f>
        <v>0</v>
      </c>
      <c r="J12" s="3152">
        <f>J7-J8-'Data Entry - SOF'!S36</f>
        <v>0</v>
      </c>
      <c r="K12" s="3066"/>
      <c r="L12" s="3066"/>
      <c r="V12"/>
      <c r="AD12" s="2132"/>
      <c r="AE12" s="2133"/>
      <c r="AT12" s="1422"/>
      <c r="AU12" s="1422"/>
      <c r="AV12" s="1422"/>
      <c r="AY12" s="1438"/>
      <c r="AZ12" s="1438"/>
      <c r="BA12" s="1438"/>
    </row>
    <row r="13" spans="1:59" hidden="1">
      <c r="B13" s="73" t="s">
        <v>268</v>
      </c>
      <c r="K13" s="3066"/>
      <c r="L13" s="3066"/>
      <c r="V13"/>
      <c r="AT13" s="1422"/>
      <c r="AU13" s="1422"/>
      <c r="AV13" s="1422"/>
      <c r="AY13" s="1438"/>
      <c r="AZ13" s="1438"/>
      <c r="BA13" s="1438"/>
    </row>
    <row r="14" spans="1:59" hidden="1">
      <c r="B14" s="73" t="s">
        <v>2069</v>
      </c>
      <c r="K14" s="3066"/>
      <c r="L14" s="3066"/>
      <c r="V14"/>
      <c r="AT14" s="1422"/>
      <c r="AU14" s="1422"/>
      <c r="AV14" s="1422"/>
      <c r="AY14" s="1438"/>
      <c r="AZ14" s="1438"/>
      <c r="BA14" s="1438"/>
    </row>
    <row r="15" spans="1:59" hidden="1">
      <c r="B15" s="73" t="s">
        <v>759</v>
      </c>
      <c r="K15" s="3066"/>
      <c r="L15" s="3066"/>
      <c r="V15"/>
      <c r="AT15" s="1422"/>
      <c r="AU15" s="1422"/>
      <c r="AV15" s="1422"/>
      <c r="AY15" s="1438"/>
      <c r="AZ15" s="1438"/>
      <c r="BA15" s="1438"/>
    </row>
    <row r="16" spans="1:59">
      <c r="B16" s="73"/>
      <c r="C16" s="2110" t="s">
        <v>3837</v>
      </c>
      <c r="D16" s="1133" t="s">
        <v>3837</v>
      </c>
      <c r="E16" s="627" t="s">
        <v>3837</v>
      </c>
      <c r="F16" s="1159" t="s">
        <v>3837</v>
      </c>
      <c r="G16" s="1185" t="s">
        <v>3837</v>
      </c>
      <c r="H16" s="1211" t="s">
        <v>3837</v>
      </c>
      <c r="I16" s="1323" t="s">
        <v>3837</v>
      </c>
      <c r="J16" s="1716" t="s">
        <v>3837</v>
      </c>
      <c r="K16" s="3066"/>
      <c r="L16" s="3066"/>
      <c r="V16"/>
      <c r="AC16" s="2134"/>
      <c r="AD16" s="2135"/>
      <c r="AG16" s="88"/>
      <c r="AH16" s="995"/>
      <c r="AI16" s="791"/>
      <c r="AK16" s="88"/>
      <c r="AL16" s="995"/>
      <c r="AO16" s="88"/>
      <c r="AP16" s="995"/>
      <c r="AT16" s="2740"/>
      <c r="AU16" s="2741"/>
      <c r="AV16" s="1422"/>
      <c r="AY16" s="1418"/>
      <c r="AZ16" s="1667"/>
      <c r="BA16" s="1438"/>
      <c r="BC16" s="1416"/>
      <c r="BD16" s="2764"/>
      <c r="BE16" s="2764"/>
      <c r="BF16" s="1471"/>
      <c r="BG16" s="1416"/>
    </row>
    <row r="17" spans="2:59">
      <c r="B17" s="35"/>
      <c r="C17" s="2107" t="str">
        <f>C5</f>
        <v>2016-17</v>
      </c>
      <c r="D17" s="1237" t="s">
        <v>3144</v>
      </c>
      <c r="E17" s="1238" t="s">
        <v>3225</v>
      </c>
      <c r="F17" s="1239" t="s">
        <v>3284</v>
      </c>
      <c r="G17" s="1240" t="s">
        <v>3922</v>
      </c>
      <c r="H17" s="1241" t="str">
        <f>H5</f>
        <v>2021-22</v>
      </c>
      <c r="I17" s="1324" t="str">
        <f>I5</f>
        <v>2022-23</v>
      </c>
      <c r="J17" s="2661" t="str">
        <f>J5</f>
        <v>2023-24</v>
      </c>
      <c r="K17" s="3066"/>
      <c r="L17" s="3066"/>
      <c r="P17" s="143"/>
      <c r="Q17" s="629" t="s">
        <v>3176</v>
      </c>
      <c r="R17" s="629" t="s">
        <v>3179</v>
      </c>
      <c r="V17"/>
      <c r="AC17" s="2136" t="s">
        <v>3138</v>
      </c>
      <c r="AD17" s="2135"/>
      <c r="AG17" s="54" t="s">
        <v>3225</v>
      </c>
      <c r="AH17" s="995"/>
      <c r="AI17" s="790"/>
      <c r="AK17" s="54" t="s">
        <v>3284</v>
      </c>
      <c r="AL17" s="995"/>
      <c r="AO17" s="54" t="s">
        <v>3922</v>
      </c>
      <c r="AP17" s="995"/>
      <c r="AT17" s="1468" t="s">
        <v>6374</v>
      </c>
      <c r="AU17" s="2741"/>
      <c r="AV17" s="1422"/>
      <c r="AY17" s="1419" t="s">
        <v>6939</v>
      </c>
      <c r="AZ17" s="1667"/>
      <c r="BA17" s="1438"/>
      <c r="BC17" s="1416"/>
      <c r="BD17" s="1467" t="s">
        <v>8157</v>
      </c>
      <c r="BE17" s="2764"/>
      <c r="BF17" s="1471"/>
      <c r="BG17" s="1416"/>
    </row>
    <row r="18" spans="2:59">
      <c r="B18" t="s">
        <v>1805</v>
      </c>
      <c r="C18" s="2111">
        <f>IF('Data Entry - SOF'!C157&gt;=300,Weights!H40,Weights!H39)</f>
        <v>2.5000000000000001E-4</v>
      </c>
      <c r="D18" s="1136" t="e">
        <f>IF('Data Entry - SOF'!#REF!&gt;=300,Weights!I40,Weights!I39)</f>
        <v>#REF!</v>
      </c>
      <c r="E18" s="666">
        <f>IF('Data Entry - SOF'!E157&gt;=300,Weights!J40,Weights!J39)</f>
        <v>2.7500000000000002E-4</v>
      </c>
      <c r="F18" s="1162">
        <f>IF('Data Entry - SOF'!K157&gt;=300,Weights!K40,Weights!K39)</f>
        <v>2.9999999999999997E-4</v>
      </c>
      <c r="G18" s="1188">
        <f>IF('Data Entry - SOF'!M157&gt;=300,Weights!L40,Weights!L39)</f>
        <v>3.2499999999999999E-4</v>
      </c>
      <c r="H18" s="1214">
        <f>IF('Data Entry - SOF'!O157&gt;=300,Weights!M40,Weights!M39)</f>
        <v>3.5E-4</v>
      </c>
      <c r="I18" s="1327">
        <f>IF('Data Entry - SOF'!Q157&gt;=300,Weights!N40,Weights!N39)</f>
        <v>3.7500000000000001E-4</v>
      </c>
      <c r="J18" s="1720">
        <f>Weights!O39</f>
        <v>4.0000000000000002E-4</v>
      </c>
      <c r="K18" s="3066"/>
      <c r="L18" s="3066"/>
      <c r="Q18" s="273" t="e">
        <f>#REF!</f>
        <v>#REF!</v>
      </c>
      <c r="R18" s="273" t="e">
        <f>Q18</f>
        <v>#REF!</v>
      </c>
      <c r="V18"/>
      <c r="AC18" s="2136" t="s">
        <v>3840</v>
      </c>
      <c r="AD18" s="2135"/>
      <c r="AG18" s="54" t="s">
        <v>3840</v>
      </c>
      <c r="AH18" s="995"/>
      <c r="AI18" s="790"/>
      <c r="AK18" s="54" t="s">
        <v>3840</v>
      </c>
      <c r="AL18" s="3007" t="s">
        <v>8765</v>
      </c>
      <c r="AO18" s="54" t="s">
        <v>3840</v>
      </c>
      <c r="AP18" s="995"/>
      <c r="AT18" s="1468" t="s">
        <v>3840</v>
      </c>
      <c r="AU18" s="2741"/>
      <c r="AV18" s="1422"/>
      <c r="AY18" s="1419" t="s">
        <v>3840</v>
      </c>
      <c r="AZ18" s="1667"/>
      <c r="BA18" s="1438"/>
      <c r="BC18" s="1416"/>
      <c r="BD18" s="1467" t="s">
        <v>3840</v>
      </c>
      <c r="BE18" s="2764"/>
      <c r="BF18" s="1471"/>
      <c r="BG18" s="1416"/>
    </row>
    <row r="19" spans="2:59">
      <c r="B19" t="s">
        <v>2422</v>
      </c>
      <c r="C19" s="2112">
        <f>IF('Data Entry - SOF'!C161&gt;=1.5,Assumptions!G88,Assumptions!G88*('Data Entry - SOF'!C154/1))</f>
        <v>0</v>
      </c>
      <c r="D19" s="1267" t="e">
        <f>IF('Data Entry - SOF'!C161&gt;=1.5,Assumptions!G99,Assumptions!G99*('Data Entry - SOF'!#REF!/1))</f>
        <v>#REF!</v>
      </c>
      <c r="E19" s="1268">
        <f>IF('Data Entry - SOF'!C161&gt;=1.5,Assumptions!G108,Assumptions!G108*('Data Entry - SOF'!E154/1))</f>
        <v>0</v>
      </c>
      <c r="F19" s="1269">
        <f>IF('Data Entry - SOF'!E161&gt;=1.5,Assumptions!G117,Assumptions!G117*('Data Entry - SOF'!K154/1))</f>
        <v>0</v>
      </c>
      <c r="G19" s="1270">
        <f>IF('Data Entry - SOF'!E161&gt;=1.5,Assumptions!G126,Assumptions!G126*('Data Entry - SOF'!M154/1))</f>
        <v>0</v>
      </c>
      <c r="H19" s="1271">
        <f>IF('Data Entry - SOF'!E161&gt;=1.5,Assumptions!G135,Assumptions!G135*('Data Entry - SOF'!O154/1))</f>
        <v>0</v>
      </c>
      <c r="I19" s="1328">
        <f>IF('Data Entry - SOF'!E161&gt;=1.5,Assumptions!G144,Assumptions!G144*('Data Entry - SOF'!Q154/1))</f>
        <v>0</v>
      </c>
      <c r="J19" s="1721">
        <f>IF('Data Entry - SOF'!E161&gt;=1.5,Assumptions!G153,Assumptions!G153*('Data Entry - SOF'!S154/1))</f>
        <v>0</v>
      </c>
      <c r="K19" s="3066"/>
      <c r="L19" s="3066"/>
      <c r="Q19" s="274" t="e">
        <f>IF('Data Entry - SOF'!C161&gt;=1.5,Assumptions!G46,Assumptions!G46*('Data Entry - SOF'!#REF!/1.00005))</f>
        <v>#REF!</v>
      </c>
      <c r="R19" s="274" t="e">
        <f>IF('Data Entry - SOF'!C161&gt;=1.5,Assumptions!G46,Assumptions!G46*('Data Entry - SOF'!#REF!/1.00005))</f>
        <v>#REF!</v>
      </c>
      <c r="V19"/>
      <c r="AC19" s="2137">
        <f>IF('Data Entry - SOF'!C161&gt;=1.5,Assumptions!G88,IF(AC24&gt;=AC25,Assumptions!G88,Assumptions!G88*(('Data Entry - SOF'!C154+(AC24/100))/1)))</f>
        <v>0</v>
      </c>
      <c r="AD19" s="2135"/>
      <c r="AG19" s="2421">
        <f>IF('Data Entry - SOF'!E161&gt;=1.5,Assumptions!G108,IF(AG24&gt;=AG25,Assumptions!G108,Assumptions!G108*(('Data Entry - SOF'!E154+(AG24/100))/1)))</f>
        <v>5140</v>
      </c>
      <c r="AH19" s="2719"/>
      <c r="AI19" s="997"/>
      <c r="AJ19" s="37" t="s">
        <v>8713</v>
      </c>
      <c r="AK19" s="3008">
        <f>IF('Data Entry - SOF'!E161&gt;=1.5,Assumptions!G117,IF(AK24&gt;=AK25,Assumptions!G117,Assumptions!G117*(('Data Entry - SOF'!K154+(AK24/100))/1)))</f>
        <v>5140</v>
      </c>
      <c r="AL19" s="3011">
        <f>Assumptions!H117</f>
        <v>6160</v>
      </c>
      <c r="AM19" s="35"/>
      <c r="AO19" s="2421">
        <f>IF('Data Entry - SOF'!E161&gt;=1.5,Assumptions!G126,IF(AO24&gt;=AO25,Assumptions!G126,Assumptions!G126*(('Data Entry - SOF'!M154+(AO24/100))/1)))</f>
        <v>5140</v>
      </c>
      <c r="AP19" s="2719"/>
      <c r="AQ19" s="35"/>
      <c r="AR19" s="35"/>
      <c r="AT19" s="2465">
        <f>IF('Data Entry - SOF'!E161&gt;=1.5,Assumptions!G135,IF(AT24&gt;=AT25,Assumptions!G135,Assumptions!G135*(('Data Entry - SOF'!O154+(AT24/100))/1)))</f>
        <v>5140</v>
      </c>
      <c r="AU19" s="2740"/>
      <c r="AV19" s="1472"/>
      <c r="AY19" s="2465">
        <f>IF('Data Entry - SOF'!E161&gt;=1.5,Assumptions!G144,IF(AY24&gt;=AY25,Assumptions!G144,Assumptions!G144*(('Data Entry - SOF'!Q154+(AY24/100))/1)))</f>
        <v>5140</v>
      </c>
      <c r="AZ19" s="1418"/>
      <c r="BA19" s="1438"/>
      <c r="BC19" s="1416"/>
      <c r="BD19" s="2465">
        <f>IF('Data Entry - SOF'!E161&gt;=1.5,Assumptions!G153,IF(BD24&gt;=BD25,Assumptions!G153,Assumptions!G153*(('Data Entry - SOF'!S154+(BD24/100))/1)))</f>
        <v>5140</v>
      </c>
      <c r="BE19" s="2764"/>
      <c r="BF19" s="1471"/>
      <c r="BG19" s="1416"/>
    </row>
    <row r="20" spans="2:59">
      <c r="B20" t="s">
        <v>1701</v>
      </c>
      <c r="C20" s="2113">
        <f>ROUND(C19*(((C59-1)*Weights!H44)+1),0)</f>
        <v>0</v>
      </c>
      <c r="D20" s="1137" t="e">
        <f>ROUND(D19*(((D59-1)*Weights!I44)+1),0)</f>
        <v>#REF!</v>
      </c>
      <c r="E20" s="667">
        <f>ROUND(E19*(((E59-1)*Weights!J44)+1),0)</f>
        <v>0</v>
      </c>
      <c r="F20" s="1163">
        <f>ROUND(F19*(((F59-1)*Weights!K44)+1),0)</f>
        <v>0</v>
      </c>
      <c r="G20" s="1189">
        <f>ROUND(G19*(((G59-1)*Weights!L44)+1),0)</f>
        <v>0</v>
      </c>
      <c r="H20" s="1215">
        <f>ROUND(H19*(((H59-1)*Weights!M44)+1),0)</f>
        <v>0</v>
      </c>
      <c r="I20" s="1329">
        <f>ROUND(I19*(((I59-1)*Weights!N44)+1),0)</f>
        <v>0</v>
      </c>
      <c r="J20" s="1722">
        <f>ROUND(J19*(((J59-1)*Weights!O44)+1),0)</f>
        <v>0</v>
      </c>
      <c r="K20" s="3066"/>
      <c r="L20" s="3066"/>
      <c r="P20" s="145"/>
      <c r="Q20" s="275" t="e">
        <f>ROUND(Q19*(((#REF!-1)*Weights!E44)+1),0)</f>
        <v>#REF!</v>
      </c>
      <c r="R20" s="275" t="e">
        <f>ROUND(R19*(((#REF!-1)*Weights!E44)+1),0)</f>
        <v>#REF!</v>
      </c>
      <c r="V20"/>
      <c r="AB20" s="2138" t="s">
        <v>3852</v>
      </c>
      <c r="AC20" s="2139">
        <f>ROUND(AC19*(((C59-1)*Weights!H44)+1),0)</f>
        <v>0</v>
      </c>
      <c r="AD20" s="2135"/>
      <c r="AF20" s="37" t="s">
        <v>3852</v>
      </c>
      <c r="AG20" s="2720">
        <f>ROUND(AG19*(((E59-1)*Weights!J44)+1),0)</f>
        <v>1491</v>
      </c>
      <c r="AH20" s="2719"/>
      <c r="AI20" s="819"/>
      <c r="AJ20" s="37" t="s">
        <v>3852</v>
      </c>
      <c r="AK20" s="3009">
        <f>ROUND(AK19*(((F59-1)*Weights!K44)+1),0)</f>
        <v>1491</v>
      </c>
      <c r="AL20" s="3010" t="s">
        <v>1775</v>
      </c>
      <c r="AM20" s="35"/>
      <c r="AN20" s="37" t="s">
        <v>3852</v>
      </c>
      <c r="AO20" s="2776">
        <f>ROUND(AO19*(((G59-1)*Weights!L44)+1),0)</f>
        <v>1491</v>
      </c>
      <c r="AP20" s="2719"/>
      <c r="AQ20" s="35"/>
      <c r="AR20" s="35"/>
      <c r="AS20" s="2446" t="s">
        <v>3852</v>
      </c>
      <c r="AT20" s="2676">
        <f>ROUND(AT19*(((H59-1)*Weights!M44)+1),0)</f>
        <v>1491</v>
      </c>
      <c r="AU20" s="2740"/>
      <c r="AV20" s="1472"/>
      <c r="AX20" s="1437" t="s">
        <v>3852</v>
      </c>
      <c r="AY20" s="2746">
        <f>ROUND(AY19*(((I59-1)*Weights!N44)+1),0)</f>
        <v>1491</v>
      </c>
      <c r="AZ20" s="1418"/>
      <c r="BA20" s="1438"/>
      <c r="BC20" s="1437" t="s">
        <v>3852</v>
      </c>
      <c r="BD20" s="2765">
        <f>ROUND(BD19*(((J59-1)*Weights!O44)+1),0)</f>
        <v>1491</v>
      </c>
      <c r="BE20" s="2764"/>
      <c r="BF20" s="1471"/>
      <c r="BG20" s="1416"/>
    </row>
    <row r="21" spans="2:59">
      <c r="B21" t="s">
        <v>81</v>
      </c>
      <c r="C21" s="2113">
        <f t="shared" ref="C21:H21" si="1">ROUND(IF(C10&gt;1600,C20,(1+(1600-IF(C10&gt;C11,C10,C11))*C18)*C20),0)</f>
        <v>0</v>
      </c>
      <c r="D21" s="1137" t="e">
        <f t="shared" si="1"/>
        <v>#REF!</v>
      </c>
      <c r="E21" s="667">
        <f t="shared" si="1"/>
        <v>0</v>
      </c>
      <c r="F21" s="1163">
        <f t="shared" si="1"/>
        <v>0</v>
      </c>
      <c r="G21" s="1189">
        <f t="shared" si="1"/>
        <v>0</v>
      </c>
      <c r="H21" s="1215">
        <f t="shared" si="1"/>
        <v>0</v>
      </c>
      <c r="I21" s="1329">
        <f>ROUND(IF(I10&gt;1600,I20,(1+(1600-IF(I10&gt;I11,I10,I11))*I18)*I20),0)</f>
        <v>0</v>
      </c>
      <c r="J21" s="1722">
        <f>ROUND(IF(J10&gt;1600,J20,(1+(1600-IF(J10&gt;J11,J10,J11))*J18)*J20),0)</f>
        <v>0</v>
      </c>
      <c r="K21" s="3066"/>
      <c r="L21" s="3066"/>
      <c r="P21" s="145"/>
      <c r="Q21" s="275" t="e">
        <f>ROUND(IF(#REF!&gt;1600,Q20,(1+(1600-IF(#REF!&gt;#REF!,#REF!,#REF!))*Q18)*Q20),0)</f>
        <v>#REF!</v>
      </c>
      <c r="R21" s="275" t="e">
        <f>ROUND(IF(#REF!&gt;1600,R20,(1+(1600-IF(#REF!&gt;#REF!,#REF!,#REF!))*R18)*R20),0)</f>
        <v>#REF!</v>
      </c>
      <c r="V21"/>
      <c r="AB21" s="2138" t="s">
        <v>2859</v>
      </c>
      <c r="AC21" s="2139">
        <f>ROUND(IF(C10&gt;1600,AC20,(1+(1600-IF(C10&gt;C11,C10,C11))*C18)*AC20),0)</f>
        <v>0</v>
      </c>
      <c r="AD21" s="2135"/>
      <c r="AF21" s="37" t="s">
        <v>2859</v>
      </c>
      <c r="AG21" s="2720">
        <f>ROUND(IF(E10&gt;1600,AG20,(1+(1600-IF(E10&gt;E11,E10,E11))*E18)*AG20),0)</f>
        <v>2147</v>
      </c>
      <c r="AH21" s="2719"/>
      <c r="AI21" s="819"/>
      <c r="AJ21" s="37" t="s">
        <v>2859</v>
      </c>
      <c r="AK21" s="3009">
        <f>ROUND(IF(F10&gt;1600,AK20,(1+(1600-IF(F10&gt;F11,F10,F11))*F18)*AK20),0)</f>
        <v>2207</v>
      </c>
      <c r="AL21" s="3010" t="s">
        <v>1775</v>
      </c>
      <c r="AM21" s="35"/>
      <c r="AN21" s="37" t="s">
        <v>2859</v>
      </c>
      <c r="AO21" s="2776">
        <f>ROUND(IF(G10&gt;1600,AO20,(1+(1600-IF(G10&gt;G11,G10,G11))*G18)*AO20),0)</f>
        <v>2266</v>
      </c>
      <c r="AP21" s="2719"/>
      <c r="AQ21" s="35"/>
      <c r="AR21" s="35"/>
      <c r="AS21" s="2446" t="s">
        <v>2859</v>
      </c>
      <c r="AT21" s="2676">
        <f>ROUND(IF(H10&gt;1600,AT20,(1+(1600-IF(H10&gt;H11,H10,H11))*H18)*AT20),0)</f>
        <v>2326</v>
      </c>
      <c r="AU21" s="2740"/>
      <c r="AV21" s="1472"/>
      <c r="AX21" s="1437" t="s">
        <v>2859</v>
      </c>
      <c r="AY21" s="2746">
        <f>ROUND(IF(I10&gt;1600,AY20,(1+(1600-IF(I10&gt;I11,I10,I11))*I18)*AY20),0)</f>
        <v>2386</v>
      </c>
      <c r="AZ21" s="1418"/>
      <c r="BA21" s="1438"/>
      <c r="BC21" s="1437" t="s">
        <v>2859</v>
      </c>
      <c r="BD21" s="2765">
        <f>ROUND(IF(J10&gt;1600,BD20,(1+(1600-IF(J10&gt;J11,J10,J11))*J18)*BD20),0)</f>
        <v>2445</v>
      </c>
      <c r="BE21" s="2764"/>
      <c r="BF21" s="1471"/>
      <c r="BG21" s="1416"/>
    </row>
    <row r="22" spans="2:59">
      <c r="B22" t="s">
        <v>1896</v>
      </c>
      <c r="C22" s="2113">
        <f>ROUND(IF(OR(C10&gt;4999.999,'Data Entry - SOF'!C156&lt;12),0,(1+((5000-C10)*Weights!H42))*C20),0)</f>
        <v>0</v>
      </c>
      <c r="D22" s="1137" t="e">
        <f>ROUND(IF(OR(D10&gt;4999.999,'Data Entry - SOF'!#REF!&lt;12),0,(1+((5000-D10)*Weights!I42))*D20),0)</f>
        <v>#REF!</v>
      </c>
      <c r="E22" s="667">
        <f>ROUND(IF(OR(E10&gt;4999.999,'Data Entry - SOF'!E156&lt;12),0,(1+((5000-E10)*Weights!J42))*E20),0)</f>
        <v>0</v>
      </c>
      <c r="F22" s="1163">
        <f>ROUND(IF(OR(F10&gt;4999.999,'Data Entry - SOF'!K156&lt;12),0,(1+((5000-F10)*Weights!K42))*F20),0)</f>
        <v>0</v>
      </c>
      <c r="G22" s="1189">
        <f>ROUND(IF(OR(G10&gt;4999.999,'Data Entry - SOF'!I156&lt;12),0,(1+((5000-G10)*Weights!L42))*G20),0)</f>
        <v>0</v>
      </c>
      <c r="H22" s="1215">
        <f>ROUND(IF(OR(H10&gt;4999.999,'Data Entry - SOF'!O156&lt;12),0,(1+((5000-H10)*Weights!M42))*H20),0)</f>
        <v>0</v>
      </c>
      <c r="I22" s="1329">
        <f>ROUND(IF(OR(I10&gt;4999.999,'Data Entry - SOF'!Q156&lt;12),0,(1+((5000-I10)*Weights!N42))*I20),0)</f>
        <v>0</v>
      </c>
      <c r="J22" s="1722">
        <f>ROUND(IF(OR(J10&gt;4999.999,'Data Entry - SOF'!S156&lt;12),0,(1+((5000-J10)*Weights!O42))*J20),0)</f>
        <v>0</v>
      </c>
      <c r="K22" s="3066"/>
      <c r="L22" s="3066"/>
      <c r="P22" s="145"/>
      <c r="Q22" s="269" t="e">
        <f>ROUND(IF(OR(#REF!&gt;4999.999,'Data Entry - SOF'!#REF!&lt;12),0,(1+((5000-#REF!)*Weights!E42))*Q20),0)</f>
        <v>#REF!</v>
      </c>
      <c r="R22" s="269" t="e">
        <f>ROUND(IF(OR(#REF!&gt;4999.999,'Data Entry - SOF'!#REF!&lt;12),0,(1+((5000-#REF!)*Weights!E42))*R20),0)</f>
        <v>#REF!</v>
      </c>
      <c r="V22"/>
      <c r="AB22" s="2138" t="s">
        <v>2860</v>
      </c>
      <c r="AC22" s="2140">
        <f>ROUND(IF(OR(C10&gt;4999.999,'Data Entry - SOF'!C156&lt;12),0,(1+((5000-C10)*Weights!H42))*AC20),0)</f>
        <v>0</v>
      </c>
      <c r="AD22" s="2135"/>
      <c r="AF22" s="37" t="s">
        <v>2860</v>
      </c>
      <c r="AG22" s="2720">
        <f>ROUND(IF(OR(E10&gt;4999.999,'Data Entry - SOF'!E156&lt;12),0,(1+((5000-E10)*Weights!J42))*AG20),0)</f>
        <v>0</v>
      </c>
      <c r="AH22" s="2719"/>
      <c r="AI22" s="819"/>
      <c r="AJ22" s="37" t="s">
        <v>2860</v>
      </c>
      <c r="AK22" s="3009">
        <f>ROUND(IF(OR(F10&gt;4999.999,'Data Entry - SOF'!K156&lt;12),0,(1+((5000-F10)*Weights!K42))*AK20),0)</f>
        <v>0</v>
      </c>
      <c r="AL22" s="3010" t="s">
        <v>1775</v>
      </c>
      <c r="AM22" s="35"/>
      <c r="AN22" s="37" t="s">
        <v>2860</v>
      </c>
      <c r="AO22" s="2776">
        <f>ROUND(IF(OR(G10&gt;4999.999,'Data Entry - SOF'!M156&lt;12),0,(1+((5000-G10)*Weights!L42))*AO20),0)</f>
        <v>0</v>
      </c>
      <c r="AP22" s="2719"/>
      <c r="AQ22" s="35"/>
      <c r="AR22" s="35"/>
      <c r="AS22" s="2446" t="s">
        <v>2860</v>
      </c>
      <c r="AT22" s="2676">
        <f>ROUND(IF(OR(H10&gt;4999.999,'Data Entry - SOF'!O156&lt;12),0,(1+((5000-H10)*Weights!M42))*AT20),0)</f>
        <v>0</v>
      </c>
      <c r="AU22" s="2740"/>
      <c r="AV22" s="1472"/>
      <c r="AX22" s="1437" t="s">
        <v>2860</v>
      </c>
      <c r="AY22" s="2746">
        <f>ROUND(IF(OR(I10&gt;4999.999,'Data Entry - SOF'!Q156&lt;12),0,(1+((5000-I10)*Weights!N42))*AY20),0)</f>
        <v>0</v>
      </c>
      <c r="AZ22" s="1418"/>
      <c r="BA22" s="1438"/>
      <c r="BC22" s="1437" t="s">
        <v>2860</v>
      </c>
      <c r="BD22" s="2765">
        <f>ROUND(IF(OR(J10&gt;4999.999,'Data Entry - SOF'!S156&lt;12),0,(1+((5000-J10)*Weights!O42))*BD20),0)</f>
        <v>0</v>
      </c>
      <c r="BE22" s="2764"/>
      <c r="BF22" s="1471"/>
      <c r="BG22" s="1416"/>
    </row>
    <row r="23" spans="2:59">
      <c r="B23" s="1279" t="s">
        <v>1702</v>
      </c>
      <c r="C23" s="2113">
        <f t="shared" ref="C23:H23" si="2">IF(AND(C22&gt;=C21,C22&gt;=C20),C22,IF(AND(C21&gt;=C20,C21&gt;=C22),C21,C20))</f>
        <v>0</v>
      </c>
      <c r="D23" s="1272" t="e">
        <f t="shared" si="2"/>
        <v>#REF!</v>
      </c>
      <c r="E23" s="1273">
        <f t="shared" si="2"/>
        <v>0</v>
      </c>
      <c r="F23" s="1274">
        <f t="shared" si="2"/>
        <v>0</v>
      </c>
      <c r="G23" s="1275">
        <f t="shared" si="2"/>
        <v>0</v>
      </c>
      <c r="H23" s="1276">
        <f t="shared" si="2"/>
        <v>0</v>
      </c>
      <c r="I23" s="1330">
        <f>IF(AND(I22&gt;=I21,I22&gt;=I20),I22,IF(AND(I21&gt;=I20,I21&gt;=I22),I21,I20))</f>
        <v>0</v>
      </c>
      <c r="J23" s="1723">
        <f>IF(AND(J22&gt;=J21,J22&gt;=J20),J22,IF(AND(J21&gt;=J20,J21&gt;=J22),J21,J20))</f>
        <v>0</v>
      </c>
      <c r="K23" s="3066"/>
      <c r="L23" s="3066"/>
      <c r="P23" s="145"/>
      <c r="Q23" s="275" t="e">
        <f>IF(AND(Q22&gt;=Q21,Q22&gt;=Q20),Q22,IF(AND(Q21&gt;=Q20,Q21&gt;=Q22),Q21,Q20))</f>
        <v>#REF!</v>
      </c>
      <c r="R23" s="275" t="e">
        <f>IF(AND(R22&gt;=R21,R22&gt;=R20),R22,IF(AND(R21&gt;=R20,R21&gt;=R22),R21,R20))</f>
        <v>#REF!</v>
      </c>
      <c r="V23"/>
      <c r="AB23" s="2138" t="s">
        <v>3841</v>
      </c>
      <c r="AC23" s="2139">
        <f>IF(AND(AC22&gt;=AC21,AC22&gt;=AC20),AC22,IF(AND(AC21&gt;=AC20,AC21&gt;=AC22),AC21,AC20))</f>
        <v>0</v>
      </c>
      <c r="AD23" s="2135"/>
      <c r="AF23" s="37" t="s">
        <v>3841</v>
      </c>
      <c r="AG23" s="2720">
        <f>IF(AND(AG22&gt;=AG21,AG22&gt;=AG20),AG22,IF(AND(AG21&gt;=AG20,AG21&gt;=AG22),AG21,AG20))</f>
        <v>2147</v>
      </c>
      <c r="AH23" s="2719"/>
      <c r="AI23" s="819"/>
      <c r="AJ23" s="37" t="s">
        <v>3841</v>
      </c>
      <c r="AK23" s="3009">
        <f>IF(AND(AK22&gt;=AK21,AK22&gt;=AK20),AK22,IF(AND(AK21&gt;=AK20,AK21&gt;=AK22),AK21,AK20))</f>
        <v>2207</v>
      </c>
      <c r="AL23" s="3010" t="s">
        <v>1775</v>
      </c>
      <c r="AM23" s="35"/>
      <c r="AN23" s="37" t="s">
        <v>3841</v>
      </c>
      <c r="AO23" s="2776">
        <f>IF(AND(AO22&gt;=AO21,AO22&gt;=AO20),AO22,IF(AND(AO21&gt;=AO20,AO21&gt;=AO22),AO21,AO20))</f>
        <v>2266</v>
      </c>
      <c r="AP23" s="2719"/>
      <c r="AQ23" s="35"/>
      <c r="AR23" s="35"/>
      <c r="AS23" s="2446" t="s">
        <v>3841</v>
      </c>
      <c r="AT23" s="2676">
        <f>IF(AND(AT22&gt;=AT21,AT22&gt;=AT20),AT22,IF(AND(AT21&gt;=AT20,AT21&gt;=AT22),AT21,AT20))</f>
        <v>2326</v>
      </c>
      <c r="AU23" s="2740"/>
      <c r="AV23" s="1472"/>
      <c r="AX23" s="1437" t="s">
        <v>3841</v>
      </c>
      <c r="AY23" s="2746">
        <f>IF(AND(AY22&gt;=AY21,AY22&gt;=AY20),AY22,IF(AND(AY21&gt;=AY20,AY21&gt;=AY22),AY21,AY20))</f>
        <v>2386</v>
      </c>
      <c r="AZ23" s="1418"/>
      <c r="BA23" s="1438"/>
      <c r="BC23" s="1437" t="s">
        <v>3841</v>
      </c>
      <c r="BD23" s="2765">
        <f>IF(AND(BD22&gt;=BD21,BD22&gt;=BD20),BD22,IF(AND(BD21&gt;=BD20,BD21&gt;=BD22),BD21,BD20))</f>
        <v>2445</v>
      </c>
      <c r="BE23" s="2764"/>
      <c r="BF23" s="1471"/>
      <c r="BG23" s="1416"/>
    </row>
    <row r="24" spans="2:59">
      <c r="C24" s="2107"/>
      <c r="D24" s="1237"/>
      <c r="E24" s="1238"/>
      <c r="F24" s="1239"/>
      <c r="G24" s="1240"/>
      <c r="H24" s="1241"/>
      <c r="I24" s="1324"/>
      <c r="J24" s="1717"/>
      <c r="K24" s="3066"/>
      <c r="L24" s="3066"/>
      <c r="P24" s="145"/>
      <c r="Q24" s="272"/>
      <c r="R24" s="272"/>
      <c r="V24"/>
      <c r="AB24" s="2138" t="s">
        <v>3817</v>
      </c>
      <c r="AC24" s="2141">
        <f>IF('Data Entry - SOF'!C92-'Data Entry - SOF'!C154&gt;0.06,('Data Entry - SOF'!C92-('Data Entry - SOF'!C154+0.06))*100,0)</f>
        <v>0</v>
      </c>
      <c r="AD24" s="2135"/>
      <c r="AF24" s="37" t="s">
        <v>3817</v>
      </c>
      <c r="AG24" s="2739">
        <f>IF('Data Entry - SOF'!E92-'Data Entry - SOF'!E154&gt;0.06,('Data Entry - SOF'!E92-('Data Entry - SOF'!E154+0.06))*100,0)</f>
        <v>110.99999999999999</v>
      </c>
      <c r="AH24" s="2719"/>
      <c r="AI24" s="999"/>
      <c r="AJ24" s="37" t="s">
        <v>3817</v>
      </c>
      <c r="AK24" s="2739">
        <f>IF('Data Entry - SOF'!K92-'Data Entry - SOF'!K154&gt;0.06,('Data Entry - SOF'!K92-('Data Entry - SOF'!K154+0.06))*100,0)</f>
        <v>110.99999999999999</v>
      </c>
      <c r="AL24" s="2739">
        <f>IF('Data Entry - SOF'!K92-'Weights-HB3'!G63&gt;0.06,('Data Entry - SOF'!K92-('Weights-HB3'!G63+0.06))*100,0)</f>
        <v>17.999999999999993</v>
      </c>
      <c r="AM24" s="35"/>
      <c r="AN24" s="37" t="s">
        <v>3817</v>
      </c>
      <c r="AO24" s="2739">
        <f>IF('Data Entry - SOF'!M92-'Data Entry - SOF'!M154&gt;0.06,('Data Entry - SOF'!M92-('Data Entry - SOF'!M154+0.06))*100,0)</f>
        <v>110.99999999999999</v>
      </c>
      <c r="AP24" s="2719"/>
      <c r="AQ24" s="35"/>
      <c r="AR24" s="35"/>
      <c r="AS24" s="2446" t="s">
        <v>3817</v>
      </c>
      <c r="AT24" s="2739">
        <f>IF('Data Entry - SOF'!O92-'Data Entry - SOF'!O154&gt;0.06,('Data Entry - SOF'!O92-('Data Entry - SOF'!O154+0.06))*100,0)</f>
        <v>110.99999999999999</v>
      </c>
      <c r="AU24" s="2740"/>
      <c r="AV24" s="1472"/>
      <c r="AX24" s="1437" t="s">
        <v>3817</v>
      </c>
      <c r="AY24" s="2739">
        <f>IF('Data Entry - SOF'!Q92-'Data Entry - SOF'!Q154&gt;0.06,('Data Entry - SOF'!Q92-('Data Entry - SOF'!Q154+0.06))*100,0)</f>
        <v>110.99999999999999</v>
      </c>
      <c r="AZ24" s="1418"/>
      <c r="BA24" s="1438"/>
      <c r="BC24" s="1437" t="s">
        <v>3817</v>
      </c>
      <c r="BD24" s="2739">
        <f>IF('Data Entry - SOF'!S92-'Data Entry - SOF'!S154&gt;0.06,('Data Entry - SOF'!S92-('Data Entry - SOF'!S154+0.06))*100,0)</f>
        <v>110.99999999999999</v>
      </c>
      <c r="BE24" s="2764"/>
      <c r="BF24" s="1471"/>
      <c r="BG24" s="1416"/>
    </row>
    <row r="25" spans="2:59" ht="15.75">
      <c r="B25" s="1277" t="s">
        <v>935</v>
      </c>
      <c r="C25" s="2114" t="e">
        <f>ROUND(((#REF!-#REF!-#REF!-#REF!-#REF!-#REF!-#REF!)-(((C20-C19)*0.5)/C20)*(#REF!-#REF!-#REF!-#REF!-#REF!-#REF!-#REF!))/C19,3)</f>
        <v>#REF!</v>
      </c>
      <c r="D25" s="1242" t="e">
        <f>ROUND((('SOF1718-SB1'!H43-'SOF1718-SB1'!H42-'SOF1718-SB1'!H41-'SOF1718-SB1'!H39-'SOF1718-SB1'!H30-'SOF1718-SB1'!H31-'SOF1718-SB1'!H27)-(((#REF!-#REF!)*0.5)/#REF!)*('SOF1718-SB1'!H43-'SOF1718-SB1'!H42-'SOF1718-SB1'!H41-'SOF1718-SB1'!H39-'SOF1718-SB1'!H30-'SOF1718-SB1'!H31-'SOF1718-SB1'!H27))/#REF!,3)</f>
        <v>#REF!</v>
      </c>
      <c r="E25" s="1243">
        <f>ROUND((('SOF1819-SB1'!H43-'SOF1819-SB1'!H42-'SOF1819-SB1'!H41-'SOF1819-SB1'!H39-'SOF1819-SB1'!H30-'SOF1819-SB1'!H31-'SOF1819-SB1'!H27)-(((AG20-AG19)*0.5)/AG20)*('SOF1819-SB1'!H43-'SOF1819-SB1'!H42-'SOF1819-SB1'!H41-'SOF1819-SB1'!H39-'SOF1819-SB1'!H30-'SOF1819-SB1'!H31-'SOF1819-SB1'!H27))/AG19,3)</f>
        <v>0</v>
      </c>
      <c r="F25" s="1244">
        <f>ROUND((('SOF1920-HB3'!H66-'SOF1920-HB3'!H60-'SOF1920-HB3'!H59-'SOF1920-HB3'!H52-'SOF1920-HB3'!H31-'SOF1920-HB3'!H32-'SOF1920-HB3'!H28)-(((AK20-AK19)*0.5)/AK20)*('SOF1920-HB3'!H66-'SOF1920-HB3'!H60-'SOF1920-HB3'!H59-'SOF1920-HB3'!H52-'SOF1920-HB3'!H31-'SOF1920-HB3'!H32-'SOF1920-HB3'!H28))/AK19,3)</f>
        <v>0</v>
      </c>
      <c r="G25" s="1245" t="e">
        <f>ROUND((('SOF2021-SB1'!H43-'SOF2021-SB1'!H42-'SOF2021-SB1'!H41-'SOF2021-SB1'!H39-'SOF2021-SB1'!H30-'SOF2021-SB1'!H31-'SOF2021-SB1'!H27)-(((AO20-AO19)*0.5)/AO20)*('SOF2021-SB1'!H43-'SOF2021-SB1'!H42-'SOF2021-SB1'!H41-'SOF2021-SB1'!H39-'SOF2021-SB1'!H30-'SOF2021-SB1'!H31-'SOF2021-SB1'!H27))/AO19,3)</f>
        <v>#DIV/0!</v>
      </c>
      <c r="H25" s="1246" t="e">
        <f>ROUND((('SOF2122-SB1'!H43-'SOF2122-SB1'!H42-'SOF2122-SB1'!H41-'SOF2122-SB1'!H39-'SOF2122-SB1'!H30-'SOF2122-SB1'!H31-'SOF2122-SB1'!H27)-(((AT20-AT19)*0.5)/AT20)*('SOF2122-SB1'!H43-'SOF2122-SB1'!H42-'SOF2122-SB1'!H41-'SOF2122-SB1'!H39-'SOF2122-SB1'!H30-'SOF2122-SB1'!H31-'SOF2122-SB1'!H27))/AT19,3)</f>
        <v>#DIV/0!</v>
      </c>
      <c r="I25" s="1331" t="e">
        <f>ROUND((('SOF2223-SB1'!H43-'SOF2223-SB1'!H42-'SOF2223-SB1'!H41-'SOF2223-SB1'!H39-'SOF2223-SB1'!H30-'SOF2223-SB1'!H31-'SOF2223-SB1'!H27)-(((AY20-AY19)*0.5)/AY20)*('SOF2223-SB1'!H43-'SOF2223-SB1'!H42-'SOF2223-SB1'!H41-'SOF2223-SB1'!H39-'SOF2223-SB1'!H30-'SOF2223-SB1'!H31-'SOF2223-SB1'!H27))/AY19,3)</f>
        <v>#DIV/0!</v>
      </c>
      <c r="J25" s="1724" t="e">
        <f>ROUND((('SOF2324-SB1'!H43-'SOF2324-SB1'!H42-'SOF2324-SB1'!H41-'SOF2324-SB1'!H39-'SOF2324-SB1'!H30-'SOF2324-SB1'!H31-'SOF2324-SB1'!H27)-(((BD20-BD19)*0.5)/BD20)*('SOF2324-SB1'!H43-'SOF2324-SB1'!H42-'SOF2324-SB1'!H41-'SOF2324-SB1'!H39-'SOF2324-SB1'!H30-'SOF2324-SB1'!H31-'SOF2324-SB1'!H27))/BD19,3)</f>
        <v>#DIV/0!</v>
      </c>
      <c r="K25" s="3066"/>
      <c r="L25" s="3066"/>
      <c r="P25" s="146"/>
      <c r="Q25" s="337" t="e">
        <f>ROUND(((#REF!-#REF!-#REF!-#REF!-#REF!-#REF!-#REF!)-(((Q20-Q19)*0.5)/Q20)*(#REF!-#REF!-#REF!-#REF!-#REF!-#REF!-#REF!))/Q19,3)</f>
        <v>#REF!</v>
      </c>
      <c r="R25" s="337" t="e">
        <f>ROUND(((#REF!-#REF!-#REF!-#REF!-#REF!-#REF!-#REF!)-(((R20-R19)*0.5)/R20)*(#REF!-#REF!-#REF!-#REF!-#REF!-#REF!-#REF!))/R19,3)</f>
        <v>#REF!</v>
      </c>
      <c r="V25"/>
      <c r="AB25" s="2138" t="s">
        <v>3816</v>
      </c>
      <c r="AC25" s="2142">
        <f>ROUND(IF('Data Entry - SOF'!C154&gt;=1,0,(1 -'Data Entry - SOF'!C154)*100),4)</f>
        <v>100</v>
      </c>
      <c r="AD25" s="2135"/>
      <c r="AF25" s="37" t="s">
        <v>3816</v>
      </c>
      <c r="AG25" s="2427">
        <f>ROUND(IF('Data Entry - SOF'!E154&gt;=1,0,(1 -'Data Entry - SOF'!E154)*100),4)</f>
        <v>100</v>
      </c>
      <c r="AH25" s="2719"/>
      <c r="AI25" s="999"/>
      <c r="AJ25" s="37" t="s">
        <v>3816</v>
      </c>
      <c r="AK25" s="2731">
        <f>ROUND(IF('Data Entry - SOF'!K154&gt;=1,0,(1 -'Data Entry - SOF'!K154)*100),4)</f>
        <v>100</v>
      </c>
      <c r="AL25" s="2731">
        <v>0</v>
      </c>
      <c r="AM25" s="35"/>
      <c r="AN25" s="37" t="s">
        <v>3816</v>
      </c>
      <c r="AO25" s="2777">
        <f>ROUND(IF('Data Entry - SOF'!M154&gt;=1,0,(1 -'Data Entry - SOF'!M154)*100),4)</f>
        <v>100</v>
      </c>
      <c r="AP25" s="2719"/>
      <c r="AQ25" s="35"/>
      <c r="AR25" s="35"/>
      <c r="AS25" s="2446" t="s">
        <v>3816</v>
      </c>
      <c r="AT25" s="2468">
        <f>ROUND(IF('Data Entry - SOF'!O154&gt;=1,0,(1 -'Data Entry - SOF'!O154)*100),4)</f>
        <v>100</v>
      </c>
      <c r="AU25" s="2740"/>
      <c r="AV25" s="1472"/>
      <c r="AX25" s="1437" t="s">
        <v>3816</v>
      </c>
      <c r="AY25" s="2494">
        <f>ROUND(IF('Data Entry - SOF'!Q154&gt;=1,0,(1 -'Data Entry - SOF'!Q154)*100),4)</f>
        <v>100</v>
      </c>
      <c r="AZ25" s="1418"/>
      <c r="BA25" s="1438"/>
      <c r="BC25" s="1437" t="s">
        <v>3816</v>
      </c>
      <c r="BD25" s="2766">
        <f>ROUND(IF('Data Entry - SOF'!S154&gt;=1,0,(1 -'Data Entry - SOF'!S154)*100),4)</f>
        <v>100</v>
      </c>
      <c r="BE25" s="2764"/>
      <c r="BF25" s="1471"/>
      <c r="BG25" s="1416"/>
    </row>
    <row r="26" spans="2:59" hidden="1">
      <c r="B26" t="s">
        <v>474</v>
      </c>
      <c r="C26" s="2115" t="e">
        <f>#REF!</f>
        <v>#REF!</v>
      </c>
      <c r="D26" s="1138" t="e">
        <f>#REF!</f>
        <v>#REF!</v>
      </c>
      <c r="E26" s="668" t="e">
        <f>#REF!</f>
        <v>#REF!</v>
      </c>
      <c r="F26" s="1164" t="e">
        <f>#REF!</f>
        <v>#REF!</v>
      </c>
      <c r="G26" s="1190" t="e">
        <f>#REF!</f>
        <v>#REF!</v>
      </c>
      <c r="H26" s="1216" t="e">
        <f>#REF!</f>
        <v>#REF!</v>
      </c>
      <c r="I26" s="1332" t="e">
        <f>#REF!</f>
        <v>#REF!</v>
      </c>
      <c r="J26" s="1725" t="e">
        <f>#REF!</f>
        <v>#REF!</v>
      </c>
      <c r="K26" s="3066"/>
      <c r="L26" s="3066"/>
      <c r="P26" s="146"/>
      <c r="V26"/>
      <c r="AB26" s="2143"/>
      <c r="AC26" s="2144"/>
      <c r="AD26" s="2135"/>
      <c r="AF26" s="203"/>
      <c r="AG26" s="2721"/>
      <c r="AH26" s="2719"/>
      <c r="AI26" s="121"/>
      <c r="AJ26" s="203"/>
      <c r="AK26" s="2732"/>
      <c r="AL26" s="2719"/>
      <c r="AM26" s="35"/>
      <c r="AN26" s="203"/>
      <c r="AO26" s="2778"/>
      <c r="AP26" s="2719"/>
      <c r="AQ26" s="35"/>
      <c r="AR26" s="35"/>
      <c r="AS26" s="2447"/>
      <c r="AT26" s="2743"/>
      <c r="AU26" s="2740"/>
      <c r="AV26" s="1472"/>
      <c r="AX26" s="2447"/>
      <c r="AY26" s="2747"/>
      <c r="AZ26" s="1418"/>
      <c r="BA26" s="1438"/>
      <c r="BC26" s="2762"/>
      <c r="BD26" s="2767"/>
      <c r="BE26" s="2764"/>
      <c r="BF26" s="1471"/>
      <c r="BG26" s="1416"/>
    </row>
    <row r="27" spans="2:59" hidden="1">
      <c r="B27" t="s">
        <v>748</v>
      </c>
      <c r="C27" s="2115" t="e">
        <f>('Data Entry - SOF'!K93-'IFA-OldLaw'!#REF!)/('Data Entry - SOF'!#REF!/100)</f>
        <v>#REF!</v>
      </c>
      <c r="D27" s="1139" t="e">
        <f>('Data Entry - SOF'!U93-'IFA-OldLaw'!#REF!)/('Data Entry - SOF'!#REF!/100)</f>
        <v>#VALUE!</v>
      </c>
      <c r="E27" s="669" t="e">
        <f>('Data Entry - SOF'!O93-'IFA-OldLaw'!#REF!)/('Data Entry - SOF'!#REF!/100)</f>
        <v>#REF!</v>
      </c>
      <c r="F27" s="1165" t="e">
        <f>('Data Entry - SOF'!W93-'IFA-OldLaw'!#REF!)/('Data Entry - SOF'!#REF!/100)</f>
        <v>#REF!</v>
      </c>
      <c r="G27" s="1191" t="e">
        <f>('Data Entry - SOF'!X93-'IFA-OldLaw'!H79)/('Data Entry - SOF'!#REF!/100)</f>
        <v>#REF!</v>
      </c>
      <c r="H27" s="1217" t="e">
        <f>('Data Entry - SOF'!Y93-'IFA-OldLaw'!I79)/('Data Entry - SOF'!#REF!/100)</f>
        <v>#REF!</v>
      </c>
      <c r="I27" s="1333" t="e">
        <f>('Data Entry - SOF'!Z93-'IFA-OldLaw'!J79)/('Data Entry - SOF'!#REF!/100)</f>
        <v>#REF!</v>
      </c>
      <c r="J27" s="1726" t="e">
        <f>('Data Entry - SOF'!AA93-'IFA-OldLaw'!K79)/('Data Entry - SOF'!#REF!/100)</f>
        <v>#REF!</v>
      </c>
      <c r="K27" s="3066"/>
      <c r="L27" s="3066"/>
      <c r="P27" s="147"/>
      <c r="V27"/>
      <c r="AC27" s="2144"/>
      <c r="AD27" s="2135"/>
      <c r="AG27" s="2721"/>
      <c r="AH27" s="2719"/>
      <c r="AI27" s="121"/>
      <c r="AK27" s="2732"/>
      <c r="AL27" s="2719"/>
      <c r="AM27" s="35"/>
      <c r="AO27" s="2778"/>
      <c r="AP27" s="2719"/>
      <c r="AQ27" s="35"/>
      <c r="AR27" s="35"/>
      <c r="AT27" s="2743"/>
      <c r="AU27" s="2740"/>
      <c r="AV27" s="1472"/>
      <c r="AY27" s="2747"/>
      <c r="AZ27" s="1418"/>
      <c r="BA27" s="1438"/>
      <c r="BC27" s="1416"/>
      <c r="BD27" s="2767"/>
      <c r="BE27" s="2764"/>
      <c r="BF27" s="1471"/>
      <c r="BG27" s="1416"/>
    </row>
    <row r="28" spans="2:59">
      <c r="B28" s="35" t="s">
        <v>783</v>
      </c>
      <c r="C28" s="2107"/>
      <c r="D28" s="1237"/>
      <c r="E28" s="1238"/>
      <c r="F28" s="1239"/>
      <c r="G28" s="1240"/>
      <c r="H28" s="1241"/>
      <c r="I28" s="1324"/>
      <c r="J28" s="1717"/>
      <c r="K28" s="3066"/>
      <c r="L28" s="3066"/>
      <c r="V28"/>
      <c r="AB28" s="2138" t="s">
        <v>3818</v>
      </c>
      <c r="AC28" s="2142">
        <f>IF(AC24-AC25&lt;=0,0,AC24-AC25)</f>
        <v>0</v>
      </c>
      <c r="AD28" s="2135"/>
      <c r="AF28" s="37" t="s">
        <v>3818</v>
      </c>
      <c r="AG28" s="2427">
        <f>IF(AG24-AG25&lt;=0,0,AG24-AG25)</f>
        <v>10.999999999999986</v>
      </c>
      <c r="AH28" s="2719"/>
      <c r="AI28" s="999"/>
      <c r="AJ28" s="37" t="s">
        <v>3818</v>
      </c>
      <c r="AK28" s="2731">
        <f>IF(AK24-AK25&lt;=0,0,AK24-AK25)</f>
        <v>10.999999999999986</v>
      </c>
      <c r="AL28" s="2731">
        <f>IF(AL24-AL25&lt;=0,0,AL24-AL25)</f>
        <v>17.999999999999993</v>
      </c>
      <c r="AM28" s="35"/>
      <c r="AN28" s="37" t="s">
        <v>3818</v>
      </c>
      <c r="AO28" s="2777">
        <f>IF(AO24-AO25&lt;=0,0,AO24-AO25)</f>
        <v>10.999999999999986</v>
      </c>
      <c r="AP28" s="2719"/>
      <c r="AQ28" s="35"/>
      <c r="AR28" s="35"/>
      <c r="AS28" s="2446" t="s">
        <v>3818</v>
      </c>
      <c r="AT28" s="2468">
        <f>IF(AT24-AT25&lt;=0,0,AT24-AT25)</f>
        <v>10.999999999999986</v>
      </c>
      <c r="AU28" s="2740"/>
      <c r="AV28" s="1472"/>
      <c r="AX28" s="1437" t="s">
        <v>3818</v>
      </c>
      <c r="AY28" s="2494">
        <f>IF(AY24-AY25&lt;=0,0,AY24-AY25)</f>
        <v>10.999999999999986</v>
      </c>
      <c r="AZ28" s="1418"/>
      <c r="BA28" s="1438"/>
      <c r="BC28" s="1437" t="s">
        <v>3818</v>
      </c>
      <c r="BD28" s="2766">
        <f>IF(BD24-BD25&lt;=0,0,BD24-BD25)</f>
        <v>10.999999999999986</v>
      </c>
      <c r="BE28" s="2764"/>
      <c r="BF28" s="1471"/>
      <c r="BG28" s="1416"/>
    </row>
    <row r="29" spans="2:59">
      <c r="B29" t="s">
        <v>619</v>
      </c>
      <c r="C29" s="2116" t="e">
        <f>('Data Entry - SOF'!C93-'IFA-OldLaw'!J79)/('Data Entry - SOF'!C92*100)</f>
        <v>#REF!</v>
      </c>
      <c r="D29" s="1247" t="e">
        <f>('Data Entry - SOF'!#REF!-'IFA-OldLaw'!#REF!)/('Data Entry - SOF'!#REF!*100)</f>
        <v>#REF!</v>
      </c>
      <c r="E29" s="1248">
        <f>('Data Entry - SOF'!E93-'IFA-OldLaw'!M79)/('Data Entry - SOF'!E92*100)</f>
        <v>0</v>
      </c>
      <c r="F29" s="1249">
        <f>('Data Entry - SOF'!K93-'IFA-OldLaw'!Q79)/('Data Entry - SOF'!K92*100)</f>
        <v>0</v>
      </c>
      <c r="G29" s="1250">
        <f>('Data Entry - SOF'!M93-'IFA-OldLaw'!U79)/('Data Entry - SOF'!M92*100)</f>
        <v>0</v>
      </c>
      <c r="H29" s="1251">
        <f>('Data Entry - SOF'!O93-'IFA-OldLaw'!Y79)/('Data Entry - SOF'!O92*100)</f>
        <v>0</v>
      </c>
      <c r="I29" s="1334">
        <f>('Data Entry - SOF'!Q93-'IFA-OldLaw'!AC79)/('Data Entry - SOF'!Q92*100)</f>
        <v>0</v>
      </c>
      <c r="J29" s="1727">
        <f>('Data Entry - SOF'!S93-'IFA-OldLaw'!AG79)/('Data Entry - SOF'!S92*100)</f>
        <v>0</v>
      </c>
      <c r="K29" s="3066"/>
      <c r="L29" s="3066"/>
      <c r="P29" s="147"/>
      <c r="V29"/>
      <c r="AB29" s="2138" t="s">
        <v>3819</v>
      </c>
      <c r="AC29" s="2145" t="e">
        <f>ROUND(IF((((AC28*AC35)/'Data Entry - SOF'!C73)*100)&gt;0.17,0.17,((AC28*AC35)/'Data Entry - SOF'!C73)*100),4)</f>
        <v>#REF!</v>
      </c>
      <c r="AD29" s="2135"/>
      <c r="AF29" s="37" t="s">
        <v>3819</v>
      </c>
      <c r="AG29" s="2426" t="e">
        <f>ROUND(IF((((AG28*AG35)/'Data Entry - SOF'!E73)*100)&gt;0.17,0.17,((AG28*AG35)/'Data Entry - SOF'!E73)*100),4)</f>
        <v>#DIV/0!</v>
      </c>
      <c r="AH29" s="2719"/>
      <c r="AI29" s="149"/>
      <c r="AJ29" s="37" t="s">
        <v>3819</v>
      </c>
      <c r="AK29" s="2733" t="e">
        <f>ROUND(IF((((AK28*AK35)/'Data Entry - SOF'!E83)*100)&gt;0.17,0.17,((AK28*AK35)/'Data Entry - SOF'!E83)*100),4)</f>
        <v>#DIV/0!</v>
      </c>
      <c r="AL29" s="2733" t="e">
        <f>ROUND(IF((((AL28*AL35)/'Data Entry - SOF'!K73)*100)&gt;0.17,0.17,((AL28*AL35)/'Data Entry - SOF'!K73)*100),4)</f>
        <v>#DIV/0!</v>
      </c>
      <c r="AM29" s="35"/>
      <c r="AN29" s="37" t="s">
        <v>3819</v>
      </c>
      <c r="AO29" s="2779" t="e">
        <f>ROUND(IF((((AO28*AO35)/'Data Entry - SOF'!M73)*100)&gt;0.17,0.17,((AO28*AO35)/'Data Entry - SOF'!M73)*100),4)</f>
        <v>#DIV/0!</v>
      </c>
      <c r="AP29" s="2719"/>
      <c r="AQ29" s="35"/>
      <c r="AR29" s="35"/>
      <c r="AS29" s="2446" t="s">
        <v>3819</v>
      </c>
      <c r="AT29" s="2471" t="e">
        <f>ROUND(IF((((AT28*AT35)/'Data Entry - SOF'!O73)*100)&gt;0.17,0.17,((AT28*AT35)/'Data Entry - SOF'!O73)*100),4)</f>
        <v>#DIV/0!</v>
      </c>
      <c r="AU29" s="2740"/>
      <c r="AV29" s="1472"/>
      <c r="AX29" s="1437" t="s">
        <v>3819</v>
      </c>
      <c r="AY29" s="2495" t="e">
        <f>ROUND(IF((((AY28*AY35)/'Data Entry - SOF'!Q73)*100)&gt;0.17,0.17,((AY28*AY35)/'Data Entry - SOF'!Q73)*100),4)</f>
        <v>#DIV/0!</v>
      </c>
      <c r="AZ29" s="1418"/>
      <c r="BA29" s="1438"/>
      <c r="BC29" s="1437" t="s">
        <v>3819</v>
      </c>
      <c r="BD29" s="2768" t="e">
        <f>ROUND(IF((((BD28*BD35)/'Data Entry - SOF'!S73)*100)&gt;0.17,0.17,((BD28*BD35)/'Data Entry - SOF'!S73)*100),4)</f>
        <v>#DIV/0!</v>
      </c>
      <c r="BE29" s="2764"/>
      <c r="BF29" s="1471"/>
      <c r="BG29" s="1416"/>
    </row>
    <row r="30" spans="2:59">
      <c r="B30" t="s">
        <v>639</v>
      </c>
      <c r="C30" s="2116" t="e">
        <f>C29*IF('Data Entry - SOF'!C92&lt;'Data Entry - SOF'!C154,('Data Entry - SOF'!C92*100),('Data Entry - SOF'!C154*100))</f>
        <v>#REF!</v>
      </c>
      <c r="D30" s="1247" t="e">
        <f>D29*IF('Data Entry - SOF'!#REF!&lt;'Data Entry - SOF'!#REF!,('Data Entry - SOF'!#REF!*100),('Data Entry - SOF'!#REF!*100))</f>
        <v>#REF!</v>
      </c>
      <c r="E30" s="1248">
        <f>E29*IF('Data Entry - SOF'!E92&lt;'Data Entry - SOF'!E154,('Data Entry - SOF'!E92*100),('Data Entry - SOF'!E154*100))</f>
        <v>0</v>
      </c>
      <c r="F30" s="1249">
        <f>F29*IF('Data Entry - SOF'!K92&lt;'Data Entry - SOF'!K154,('Data Entry - SOF'!K92*100),('Data Entry - SOF'!K154*100))</f>
        <v>0</v>
      </c>
      <c r="G30" s="1250">
        <f>G29*IF('Data Entry - SOF'!M92&lt;'Data Entry - SOF'!M154,('Data Entry - SOF'!M92*100),('Data Entry - SOF'!M154*100))</f>
        <v>0</v>
      </c>
      <c r="H30" s="1251">
        <f>H29*IF('Data Entry - SOF'!O92&lt;'Data Entry - SOF'!O154,('Data Entry - SOF'!O92*100),('Data Entry - SOF'!O154*100))</f>
        <v>0</v>
      </c>
      <c r="I30" s="1334">
        <f>I29*IF('Data Entry - SOF'!Q92&lt;'Data Entry - SOF'!Q154,('Data Entry - SOF'!Q92*100),('Data Entry - SOF'!Q154*100))</f>
        <v>0</v>
      </c>
      <c r="J30" s="1727">
        <f>J29*IF('Data Entry - SOF'!S92&lt;'Data Entry - SOF'!S154,('Data Entry - SOF'!S92*100),('Data Entry - SOF'!S154*100))</f>
        <v>0</v>
      </c>
      <c r="K30" s="3066"/>
      <c r="L30" s="3066"/>
      <c r="V30"/>
      <c r="AB30" s="2138" t="s">
        <v>3820</v>
      </c>
      <c r="AC30" s="2142">
        <f>'Data Entry - SOF'!C154+IF(AC24&lt;AC25,(AC24/100),(AC25/100))</f>
        <v>0</v>
      </c>
      <c r="AD30" s="2135"/>
      <c r="AF30" s="37" t="s">
        <v>3820</v>
      </c>
      <c r="AG30" s="2427">
        <f>'Data Entry - SOF'!E154+IF(AG24&lt;AG25,(AG24/100),(AG25/100))</f>
        <v>1</v>
      </c>
      <c r="AH30" s="2719"/>
      <c r="AI30" s="999"/>
      <c r="AJ30" s="37" t="s">
        <v>3820</v>
      </c>
      <c r="AK30" s="2731">
        <f>'Data Entry - SOF'!K154+IF(AK24&lt;AK25,(AK24/100),(AK25/100))</f>
        <v>1</v>
      </c>
      <c r="AL30" s="2719"/>
      <c r="AM30" s="35"/>
      <c r="AN30" s="37" t="s">
        <v>3820</v>
      </c>
      <c r="AO30" s="2777">
        <f>'Data Entry - SOF'!M154+IF(AO24&lt;AO25,(AO24/100),(AO25/100))</f>
        <v>1</v>
      </c>
      <c r="AP30" s="2719"/>
      <c r="AQ30" s="35"/>
      <c r="AR30" s="35"/>
      <c r="AS30" s="2446" t="s">
        <v>3820</v>
      </c>
      <c r="AT30" s="2468">
        <f>'Data Entry - SOF'!O154+IF(AT24&lt;AT25,(AT24/100),(AT25/100))</f>
        <v>1</v>
      </c>
      <c r="AU30" s="2740"/>
      <c r="AV30" s="1472"/>
      <c r="AX30" s="1437" t="s">
        <v>3820</v>
      </c>
      <c r="AY30" s="2494">
        <f>'Data Entry - SOF'!Q154+IF(AY24&lt;AY25,(AY24/100),(AY25/100))</f>
        <v>1</v>
      </c>
      <c r="AZ30" s="1418"/>
      <c r="BA30" s="1438"/>
      <c r="BC30" s="1437" t="s">
        <v>3820</v>
      </c>
      <c r="BD30" s="2766">
        <f>'Data Entry - SOF'!S154+IF(BD24&lt;BD25,(BD24/100),(BD25/100))</f>
        <v>1</v>
      </c>
      <c r="BE30" s="2764"/>
      <c r="BF30" s="1471"/>
      <c r="BG30" s="1416"/>
    </row>
    <row r="31" spans="2:59">
      <c r="C31" s="2107"/>
      <c r="D31" s="1237"/>
      <c r="E31" s="1238"/>
      <c r="F31" s="1239"/>
      <c r="G31" s="1240"/>
      <c r="H31" s="1241"/>
      <c r="I31" s="1324"/>
      <c r="J31" s="1717"/>
      <c r="K31" s="3066"/>
      <c r="L31" s="3066"/>
      <c r="V31"/>
      <c r="AB31" s="2138" t="s">
        <v>3821</v>
      </c>
      <c r="AC31" s="2146" t="e">
        <f>AC28*AC35</f>
        <v>#REF!</v>
      </c>
      <c r="AD31" s="2135"/>
      <c r="AF31" s="37" t="s">
        <v>3821</v>
      </c>
      <c r="AG31" s="2428">
        <f>AG28*AG35</f>
        <v>0</v>
      </c>
      <c r="AH31" s="2719"/>
      <c r="AI31" s="997"/>
      <c r="AJ31" s="37" t="s">
        <v>3821</v>
      </c>
      <c r="AK31" s="2734">
        <f>AK28*AK35</f>
        <v>0</v>
      </c>
      <c r="AL31" s="2719"/>
      <c r="AM31" s="35"/>
      <c r="AN31" s="37" t="s">
        <v>3821</v>
      </c>
      <c r="AO31" s="2780">
        <f>AO28*AO35</f>
        <v>0</v>
      </c>
      <c r="AP31" s="2719"/>
      <c r="AQ31" s="35"/>
      <c r="AR31" s="35"/>
      <c r="AS31" s="2446" t="s">
        <v>3821</v>
      </c>
      <c r="AT31" s="2472">
        <f>AT28*AT35</f>
        <v>0</v>
      </c>
      <c r="AU31" s="2740"/>
      <c r="AV31" s="1472"/>
      <c r="AX31" s="1437" t="s">
        <v>3821</v>
      </c>
      <c r="AY31" s="2748">
        <f>AY28*AY35</f>
        <v>0</v>
      </c>
      <c r="AZ31" s="1418"/>
      <c r="BA31" s="1438"/>
      <c r="BC31" s="1437" t="s">
        <v>3821</v>
      </c>
      <c r="BD31" s="2769">
        <f>BD28*BD35</f>
        <v>0</v>
      </c>
      <c r="BE31" s="2764"/>
      <c r="BF31" s="1471"/>
      <c r="BG31" s="1416"/>
    </row>
    <row r="32" spans="2:59">
      <c r="C32" s="2107"/>
      <c r="D32" s="1237"/>
      <c r="E32" s="1238"/>
      <c r="F32" s="1239"/>
      <c r="G32" s="1240"/>
      <c r="H32" s="1241"/>
      <c r="I32" s="1324"/>
      <c r="J32" s="1717"/>
      <c r="K32" s="3066"/>
      <c r="L32" s="3066"/>
      <c r="V32"/>
      <c r="AB32" s="2138" t="s">
        <v>3822</v>
      </c>
      <c r="AC32" s="2147" t="e">
        <f>AC35*IF('Data Entry - SOF'!C92&lt;'Calc Data'!AC30,('Data Entry - SOF'!C92*100),('Calc Data'!AC30*100))</f>
        <v>#REF!</v>
      </c>
      <c r="AD32" s="2135"/>
      <c r="AF32" s="37" t="s">
        <v>3822</v>
      </c>
      <c r="AG32" s="2428">
        <f>AG35*IF('Data Entry - SOF'!E92&lt;'Calc Data'!AG30,('Data Entry - SOF'!E92*100),('Calc Data'!AG30*100))</f>
        <v>0</v>
      </c>
      <c r="AH32" s="2719"/>
      <c r="AI32" s="997"/>
      <c r="AJ32" s="37" t="s">
        <v>3822</v>
      </c>
      <c r="AK32" s="2734">
        <f>AK35*IF('Data Entry - SOF'!K92&lt;'Calc Data'!AK30,('Data Entry - SOF'!K92*100),('Calc Data'!AK30*100))</f>
        <v>0</v>
      </c>
      <c r="AL32" s="2719"/>
      <c r="AM32" s="35"/>
      <c r="AN32" s="37" t="s">
        <v>3822</v>
      </c>
      <c r="AO32" s="2780">
        <f>AO35*IF('Data Entry - SOF'!M92&lt;'Calc Data'!AO30,('Data Entry - SOF'!M92*100),('Calc Data'!AO30*100))</f>
        <v>0</v>
      </c>
      <c r="AP32" s="2719"/>
      <c r="AQ32" s="35"/>
      <c r="AR32" s="35"/>
      <c r="AS32" s="2446" t="s">
        <v>3822</v>
      </c>
      <c r="AT32" s="2472">
        <f>AT35*IF('Data Entry - SOF'!O92&lt;'Calc Data'!AT30,('Data Entry - SOF'!O92*100),('Calc Data'!AT30*100))</f>
        <v>0</v>
      </c>
      <c r="AU32" s="2740"/>
      <c r="AV32" s="1472"/>
      <c r="AX32" s="1437" t="s">
        <v>3822</v>
      </c>
      <c r="AY32" s="2748">
        <f>AY35*IF('Data Entry - SOF'!Q92&lt;'Calc Data'!AY30,('Data Entry - SOF'!Q92*100),('Calc Data'!AY30*100))</f>
        <v>0</v>
      </c>
      <c r="AZ32" s="1418"/>
      <c r="BA32" s="1438"/>
      <c r="BC32" s="1437" t="s">
        <v>3822</v>
      </c>
      <c r="BD32" s="2769">
        <f>BD35*IF('Data Entry - SOF'!S92&lt;'Calc Data'!BD30,('Data Entry - SOF'!S92*100),('Calc Data'!BD30*100))</f>
        <v>0</v>
      </c>
      <c r="BE32" s="2764"/>
      <c r="BF32" s="1471"/>
      <c r="BG32" s="1416"/>
    </row>
    <row r="33" spans="2:59">
      <c r="B33" t="s">
        <v>1792</v>
      </c>
      <c r="C33" s="2108">
        <f>IF('Data Entry - SOF'!C92&lt;='Data Entry - SOF'!C154,0,IF('Data Entry - SOF'!C92&gt;'Data Entry - SOF'!C154+0.06,0.06*100,('Data Entry - SOF'!C92-'Data Entry - SOF'!C154)*100))</f>
        <v>0</v>
      </c>
      <c r="D33" s="1252" t="e">
        <f>IF('Data Entry - SOF'!#REF!&lt;='Data Entry - SOF'!#REF!,0,IF('Data Entry - SOF'!#REF!&gt;'Data Entry - SOF'!#REF!+0.06,0.06*100,('Data Entry - SOF'!#REF!-'Data Entry - SOF'!#REF!)*100))</f>
        <v>#REF!</v>
      </c>
      <c r="E33" s="1253">
        <f>IF('Data Entry - SOF'!E92&lt;='Data Entry - SOF'!E154,0,IF('Data Entry - SOF'!E92&gt;'Data Entry - SOF'!E154+0.06,0.06*100,('Data Entry - SOF'!E92-'Data Entry - SOF'!E154)*100))</f>
        <v>6</v>
      </c>
      <c r="F33" s="1254">
        <f>IF('Data Entry - SOF'!K92&lt;='Data Entry - SOF'!K154,0,IF('Data Entry - SOF'!K92&gt;'Data Entry - SOF'!K154+0.06,0.06*100,('Data Entry - SOF'!K92-'Data Entry - SOF'!K154)*100))</f>
        <v>6</v>
      </c>
      <c r="G33" s="1255">
        <f>IF('Data Entry - SOF'!M92&lt;='Data Entry - SOF'!M154,0,IF('Data Entry - SOF'!M92&gt;'Data Entry - SOF'!M154+0.06,0.06*100,('Data Entry - SOF'!M92-'Data Entry - SOF'!M154)*100))</f>
        <v>6</v>
      </c>
      <c r="H33" s="1256">
        <f>IF('Data Entry - SOF'!O92&lt;='Data Entry - SOF'!O154,0,IF('Data Entry - SOF'!O92&gt;'Data Entry - SOF'!O154+0.06,0.06*100,('Data Entry - SOF'!O92-'Data Entry - SOF'!O154)*100))</f>
        <v>6</v>
      </c>
      <c r="I33" s="1335">
        <f>IF('Data Entry - SOF'!Q92&lt;='Data Entry - SOF'!Q154,0,IF('Data Entry - SOF'!Q92&gt;'Data Entry - SOF'!Q154+0.06,0.06*100,('Data Entry - SOF'!Q92-'Data Entry - SOF'!Q154)*100))</f>
        <v>6</v>
      </c>
      <c r="J33" s="1728">
        <f>IF('Data Entry - SOF'!S92&lt;='Data Entry - SOF'!S154,0,IF('Data Entry - SOF'!S92&gt;'Data Entry - SOF'!S154+0.06,0.06*100,('Data Entry - SOF'!S92-'Data Entry - SOF'!S154)*100))</f>
        <v>6</v>
      </c>
      <c r="K33" s="3066"/>
      <c r="L33" s="3066"/>
      <c r="V33"/>
      <c r="AB33" s="2138" t="s">
        <v>3847</v>
      </c>
      <c r="AC33" s="2146" t="e">
        <f>AC29*('Data Entry - SOF'!C73/100)</f>
        <v>#REF!</v>
      </c>
      <c r="AD33" s="2135"/>
      <c r="AF33" s="37" t="s">
        <v>3847</v>
      </c>
      <c r="AG33" s="2428" t="e">
        <f>AG29*('Data Entry - SOF'!E73/100)</f>
        <v>#DIV/0!</v>
      </c>
      <c r="AH33" s="2719"/>
      <c r="AI33" s="997"/>
      <c r="AJ33" s="37" t="s">
        <v>3847</v>
      </c>
      <c r="AK33" s="2734" t="e">
        <f>AK29*('Data Entry - SOF'!E83/100)</f>
        <v>#DIV/0!</v>
      </c>
      <c r="AL33" s="2719"/>
      <c r="AM33" s="35"/>
      <c r="AN33" s="37" t="s">
        <v>3847</v>
      </c>
      <c r="AO33" s="2780" t="e">
        <f>AO29*('Data Entry - SOF'!M73/100)</f>
        <v>#DIV/0!</v>
      </c>
      <c r="AP33" s="2719"/>
      <c r="AQ33" s="35"/>
      <c r="AR33" s="35"/>
      <c r="AS33" s="2446" t="s">
        <v>3847</v>
      </c>
      <c r="AT33" s="2472" t="e">
        <f>AT29*('Data Entry - SOF'!O73/100)</f>
        <v>#DIV/0!</v>
      </c>
      <c r="AU33" s="2740"/>
      <c r="AV33" s="1472"/>
      <c r="AX33" s="1437" t="s">
        <v>3847</v>
      </c>
      <c r="AY33" s="2748" t="e">
        <f>AY29*('Data Entry - SOF'!Q73/100)</f>
        <v>#DIV/0!</v>
      </c>
      <c r="AZ33" s="1418"/>
      <c r="BA33" s="1438"/>
      <c r="BC33" s="1437" t="s">
        <v>3847</v>
      </c>
      <c r="BD33" s="2769" t="e">
        <f>BD29*('Data Entry - SOF'!S73/100)</f>
        <v>#DIV/0!</v>
      </c>
      <c r="BE33" s="2764"/>
      <c r="BF33" s="1471"/>
      <c r="BG33" s="1416"/>
    </row>
    <row r="34" spans="2:59">
      <c r="B34" t="s">
        <v>1793</v>
      </c>
      <c r="C34" s="2117" t="e">
        <f t="shared" ref="C34:H34" si="3">C33*C29</f>
        <v>#REF!</v>
      </c>
      <c r="D34" s="1140" t="e">
        <f t="shared" si="3"/>
        <v>#REF!</v>
      </c>
      <c r="E34" s="670">
        <f t="shared" si="3"/>
        <v>0</v>
      </c>
      <c r="F34" s="1166">
        <f t="shared" si="3"/>
        <v>0</v>
      </c>
      <c r="G34" s="1192">
        <f t="shared" si="3"/>
        <v>0</v>
      </c>
      <c r="H34" s="1218">
        <f t="shared" si="3"/>
        <v>0</v>
      </c>
      <c r="I34" s="1336">
        <f>I33*I29</f>
        <v>0</v>
      </c>
      <c r="J34" s="1729">
        <f>J33*J29</f>
        <v>0</v>
      </c>
      <c r="K34" s="3066"/>
      <c r="L34" s="3066"/>
      <c r="P34" s="143"/>
      <c r="V34"/>
      <c r="AB34" s="2148"/>
      <c r="AC34" s="2149"/>
      <c r="AD34" s="2150" t="s">
        <v>8250</v>
      </c>
      <c r="AE34" s="2150" t="s">
        <v>8251</v>
      </c>
      <c r="AG34" s="988"/>
      <c r="AH34" s="2722" t="s">
        <v>6165</v>
      </c>
      <c r="AI34" s="1064"/>
      <c r="AK34" s="989"/>
      <c r="AL34" s="2722" t="s">
        <v>6165</v>
      </c>
      <c r="AM34" s="2735"/>
      <c r="AO34" s="2781"/>
      <c r="AP34" s="2722" t="s">
        <v>6165</v>
      </c>
      <c r="AQ34" s="2735"/>
      <c r="AR34" s="35"/>
      <c r="AS34" s="2448"/>
      <c r="AT34" s="2744"/>
      <c r="AU34" s="2751" t="s">
        <v>6165</v>
      </c>
      <c r="AV34" s="2752"/>
      <c r="AX34" s="2448"/>
      <c r="AY34" s="2749"/>
      <c r="AZ34" s="2756" t="s">
        <v>6165</v>
      </c>
      <c r="BA34" s="2757"/>
      <c r="BB34" s="2448"/>
      <c r="BC34" s="1437"/>
      <c r="BD34" s="2770"/>
      <c r="BE34" s="2756" t="s">
        <v>6165</v>
      </c>
      <c r="BF34" s="2757"/>
      <c r="BG34" s="1437"/>
    </row>
    <row r="35" spans="2:59">
      <c r="B35" s="1277" t="s">
        <v>788</v>
      </c>
      <c r="C35" s="2108" t="e">
        <f>ROUND(((C33*C29)/'Data Entry - SOF'!C73)*100,4)</f>
        <v>#REF!</v>
      </c>
      <c r="D35" s="1257" t="e">
        <f>ROUND(((D33*D29)/'Data Entry - SOF'!#REF!)*100,4)</f>
        <v>#REF!</v>
      </c>
      <c r="E35" s="2949" t="e">
        <f>ROUND(((E33*E29)/'Data Entry - SOF'!E73)*100,4)</f>
        <v>#DIV/0!</v>
      </c>
      <c r="F35" s="1259" t="e">
        <f>((F33*F29)/'Data Entry - SOF'!E83)*100</f>
        <v>#DIV/0!</v>
      </c>
      <c r="G35" s="1260" t="e">
        <f>ROUND(((G33*G29)/'Data Entry - SOF'!M73)*100,4)</f>
        <v>#DIV/0!</v>
      </c>
      <c r="H35" s="1261" t="e">
        <f>ROUND(((H33*H29)/'Data Entry - SOF'!O73)*100,4)</f>
        <v>#DIV/0!</v>
      </c>
      <c r="I35" s="1337" t="e">
        <f>ROUND(((I33*I29)/'Data Entry - SOF'!Q73)*100,4)</f>
        <v>#DIV/0!</v>
      </c>
      <c r="J35" s="1730" t="e">
        <f>ROUND(((J33*J29)/'Data Entry - SOF'!S73)*100,4)</f>
        <v>#DIV/0!</v>
      </c>
      <c r="K35" s="3066"/>
      <c r="L35" s="3066"/>
      <c r="P35" s="143"/>
      <c r="V35"/>
      <c r="AB35" s="2151"/>
      <c r="AC35" s="2152" t="e">
        <f>('Data Entry - SOF'!C93-'IFA-OldLaw'!J79)/('Data Entry - SOF'!C92*100)</f>
        <v>#REF!</v>
      </c>
      <c r="AD35" s="2153" t="e">
        <f>('Data Entry - SOF'!C93-'IFA-OldLaw'!J79-'Data Entry - SOF'!C99)/('Data Entry - SOF'!C92*100)</f>
        <v>#REF!</v>
      </c>
      <c r="AE35" s="2154"/>
      <c r="AG35" s="2723">
        <f>('Data Entry - SOF'!E93-'IFA-OldLaw'!M79)/('Data Entry - SOF'!E92*100)</f>
        <v>0</v>
      </c>
      <c r="AH35" s="2724">
        <f>('Data Entry - SOF'!E93-'IFA-OldLaw'!M79-'Data Entry - SOF'!E99)/('Data Entry - SOF'!E92*100)</f>
        <v>0</v>
      </c>
      <c r="AI35" s="2725" t="s">
        <v>6166</v>
      </c>
      <c r="AK35" s="2736">
        <f>('Data Entry - SOF'!K93-'IFA-OldLaw'!Q79)/('Data Entry - SOF'!K92*100)</f>
        <v>0</v>
      </c>
      <c r="AL35" s="2724">
        <f>('Data Entry - SOF'!K93-'IFA-OldLaw'!Q79-'Data Entry - SOF'!K99)/('Data Entry - SOF'!K92*100)</f>
        <v>0</v>
      </c>
      <c r="AM35" s="2725" t="s">
        <v>6166</v>
      </c>
      <c r="AO35" s="2782">
        <f>('Data Entry - SOF'!M93-'IFA-OldLaw'!U79)/('Data Entry - SOF'!M92*100)</f>
        <v>0</v>
      </c>
      <c r="AP35" s="2724">
        <f>('Data Entry - SOF'!M93-'IFA-OldLaw'!U79-'Data Entry - SOF'!M99)/('Data Entry - SOF'!M92*100)</f>
        <v>0</v>
      </c>
      <c r="AQ35" s="2725" t="s">
        <v>6166</v>
      </c>
      <c r="AR35" s="35"/>
      <c r="AS35" s="2449"/>
      <c r="AT35" s="1512">
        <f>('Data Entry - SOF'!O93-'IFA-OldLaw'!Y79)/('Data Entry - SOF'!O92*100)</f>
        <v>0</v>
      </c>
      <c r="AU35" s="2753">
        <f>('Data Entry - SOF'!O93-'IFA-OldLaw'!Y79-'Data Entry - SOF'!O99)/('Data Entry - SOF'!O92*100)</f>
        <v>0</v>
      </c>
      <c r="AV35" s="2754" t="s">
        <v>6166</v>
      </c>
      <c r="AY35" s="1764">
        <f>('Data Entry - SOF'!Q93-'IFA-OldLaw'!AC79)/('Data Entry - SOF'!Q92*100)</f>
        <v>0</v>
      </c>
      <c r="AZ35" s="2758">
        <f>('Data Entry - SOF'!Q93-'IFA-OldLaw'!AC79-'Data Entry - SOF'!Q99)/('Data Entry - SOF'!Q92*100)</f>
        <v>0</v>
      </c>
      <c r="BA35" s="2759" t="s">
        <v>6166</v>
      </c>
      <c r="BC35" s="1416"/>
      <c r="BD35" s="2771">
        <f>('Data Entry - SOF'!S93-'IFA-OldLaw'!AG79)/('Data Entry - SOF'!S92*100)</f>
        <v>0</v>
      </c>
      <c r="BE35" s="2758">
        <f>('Data Entry - SOF'!S93-'IFA-OldLaw'!AG79-'Data Entry - SOF'!S99)/('Data Entry - SOF'!S92*100)</f>
        <v>0</v>
      </c>
      <c r="BF35" s="2759" t="s">
        <v>6166</v>
      </c>
    </row>
    <row r="36" spans="2:59">
      <c r="B36" t="s">
        <v>1230</v>
      </c>
      <c r="C36" s="2108">
        <f>IF('Data Entry - SOF'!C92-'Data Entry - SOF'!C154&gt;0.06,('Data Entry - SOF'!C92-('Data Entry - SOF'!C154+0.06))*100,0)</f>
        <v>0</v>
      </c>
      <c r="D36" s="1252" t="e">
        <f>IF('Data Entry - SOF'!#REF!-'Data Entry - SOF'!#REF!&gt;0.06,('Data Entry - SOF'!#REF!-('Data Entry - SOF'!#REF!+0.06))*100,0)</f>
        <v>#REF!</v>
      </c>
      <c r="E36" s="1253">
        <f>IF('Data Entry - SOF'!E92-'Data Entry - SOF'!E154&gt;0.06,('Data Entry - SOF'!E92-('Data Entry - SOF'!E154+0.06))*100,0)</f>
        <v>110.99999999999999</v>
      </c>
      <c r="F36" s="1254">
        <f>IF('Data Entry - SOF'!K92-'Data Entry - SOF'!K154&gt;0.06,('Data Entry - SOF'!K92-('Data Entry - SOF'!K154+0.06))*100,0)</f>
        <v>110.99999999999999</v>
      </c>
      <c r="G36" s="1255">
        <f>IF('Data Entry - SOF'!M92-'Data Entry - SOF'!M154&gt;0.06,('Data Entry - SOF'!M92-('Data Entry - SOF'!M154+0.06))*100,0)</f>
        <v>110.99999999999999</v>
      </c>
      <c r="H36" s="1256">
        <f>IF('Data Entry - SOF'!O92-'Data Entry - SOF'!O154&gt;0.06,('Data Entry - SOF'!O92-('Data Entry - SOF'!O154+0.06))*100,0)</f>
        <v>110.99999999999999</v>
      </c>
      <c r="I36" s="1335">
        <f>IF('Data Entry - SOF'!Q92-'Data Entry - SOF'!Q154&gt;0.06,('Data Entry - SOF'!Q92-('Data Entry - SOF'!Q154+0.06))*100,0)</f>
        <v>110.99999999999999</v>
      </c>
      <c r="J36" s="1728">
        <f>IF('Data Entry - SOF'!S92-'Data Entry - SOF'!S154&gt;0.06,('Data Entry - SOF'!S92-('Data Entry - SOF'!S154+0.06))*100,0)</f>
        <v>110.99999999999999</v>
      </c>
      <c r="K36" s="3066"/>
      <c r="L36" s="3066"/>
      <c r="P36" s="143"/>
      <c r="V36"/>
      <c r="AB36" s="2151"/>
      <c r="AC36" s="2152"/>
      <c r="AD36" s="2155" t="e">
        <f>AD35*IF('Data Entry - SOF'!C92&lt;'Data Entry - SOF'!C154,('Data Entry - SOF'!C92*100),('Data Entry - SOF'!C154*100))</f>
        <v>#REF!</v>
      </c>
      <c r="AE36" s="2156" t="e">
        <f>AD35*IF('Data Entry - SOF'!C92&lt;='Calc Data'!AC30,('Data Entry - SOF'!C92*100),('Calc Data'!AC30*100))</f>
        <v>#REF!</v>
      </c>
      <c r="AG36" s="2723"/>
      <c r="AH36" s="2726">
        <f>AH35*IF('Data Entry - SOF'!E92&lt;'Data Entry - SOF'!E154,('Data Entry - SOF'!E92*100),('Data Entry - SOF'!E154*100))</f>
        <v>0</v>
      </c>
      <c r="AI36" s="2727">
        <f>AH35*IF('Data Entry - SOF'!E92&lt;='Calc Data'!AG30,('Data Entry - SOF'!E92*100),('Calc Data'!AG30*100))</f>
        <v>0</v>
      </c>
      <c r="AK36" s="2736"/>
      <c r="AL36" s="2726">
        <f>AL35*IF('Data Entry - SOF'!K92&lt;'Data Entry - SOF'!K154,('Data Entry - SOF'!K92*100),('Data Entry - SOF'!K154*100))</f>
        <v>0</v>
      </c>
      <c r="AM36" s="2727">
        <f>AL35*IF('Data Entry - SOF'!K92&lt;='Calc Data'!AK30,('Data Entry - SOF'!K92*100),('Calc Data'!AK30*100))</f>
        <v>0</v>
      </c>
      <c r="AO36" s="2782"/>
      <c r="AP36" s="2726">
        <f>AP35*IF('Data Entry - SOF'!M92&lt;'Data Entry - SOF'!M154,('Data Entry - SOF'!M92*100),('Data Entry - SOF'!M154*100))</f>
        <v>0</v>
      </c>
      <c r="AQ36" s="2727">
        <f>AP35*IF('Data Entry - SOF'!M92&lt;='Calc Data'!AO30,('Data Entry - SOF'!M92*100),('Calc Data'!AO30*100))</f>
        <v>0</v>
      </c>
      <c r="AR36" s="35"/>
      <c r="AS36" s="2449"/>
      <c r="AT36" s="1512"/>
      <c r="AU36" s="2755">
        <f>AU35*IF('Data Entry - SOF'!O92&lt;'Data Entry - SOF'!O154,('Data Entry - SOF'!O92*100),('Data Entry - SOF'!O154*100))</f>
        <v>0</v>
      </c>
      <c r="AV36" s="2552">
        <f>AU35*IF('Data Entry - SOF'!O92&lt;='Calc Data'!AT30,('Data Entry - SOF'!O92*100),('Calc Data'!AT30*100))</f>
        <v>0</v>
      </c>
      <c r="AX36" s="2449"/>
      <c r="AY36" s="1424"/>
      <c r="AZ36" s="2760">
        <f>AZ35*IF('Data Entry - SOF'!Q92&lt;'Data Entry - SOF'!Q154,('Data Entry - SOF'!Q92*100),('Data Entry - SOF'!Q154*100))</f>
        <v>0</v>
      </c>
      <c r="BA36" s="2761">
        <f>AZ35*IF('Data Entry - SOF'!Q92&lt;='Calc Data'!AY30,('Data Entry - SOF'!Q92*100),('Calc Data'!AY30*100))</f>
        <v>0</v>
      </c>
      <c r="BC36" s="2763"/>
      <c r="BD36" s="1495"/>
      <c r="BE36" s="2760">
        <f>BE35*IF('Data Entry - SOF'!S92&lt;'Data Entry - SOF'!S154,('Data Entry - SOF'!S92*100),('Data Entry - SOF'!S154*100))</f>
        <v>0</v>
      </c>
      <c r="BF36" s="2761">
        <f>BE35*IF('Data Entry - SOF'!S92&lt;='Calc Data'!BD30,('Data Entry - SOF'!S92*100),('Calc Data'!BD30*100))</f>
        <v>0</v>
      </c>
    </row>
    <row r="37" spans="2:59">
      <c r="B37" t="s">
        <v>987</v>
      </c>
      <c r="C37" s="2117" t="e">
        <f t="shared" ref="C37:H37" si="4">C36*C29</f>
        <v>#REF!</v>
      </c>
      <c r="D37" s="1140" t="e">
        <f t="shared" si="4"/>
        <v>#REF!</v>
      </c>
      <c r="E37" s="670">
        <f t="shared" si="4"/>
        <v>0</v>
      </c>
      <c r="F37" s="1166">
        <f t="shared" si="4"/>
        <v>0</v>
      </c>
      <c r="G37" s="1192">
        <f t="shared" si="4"/>
        <v>0</v>
      </c>
      <c r="H37" s="1218">
        <f t="shared" si="4"/>
        <v>0</v>
      </c>
      <c r="I37" s="1336">
        <f>I36*I29</f>
        <v>0</v>
      </c>
      <c r="J37" s="1729">
        <f>J36*J29</f>
        <v>0</v>
      </c>
      <c r="K37" s="3066"/>
      <c r="L37" s="3066"/>
      <c r="P37" s="148"/>
      <c r="V37"/>
      <c r="AB37" s="2151"/>
      <c r="AC37" s="2157"/>
      <c r="AD37" s="2148"/>
      <c r="AE37" s="2159"/>
      <c r="AG37" s="2728"/>
      <c r="AH37" s="2729"/>
      <c r="AI37" s="2730" t="s">
        <v>1882</v>
      </c>
      <c r="AK37" s="2737"/>
      <c r="AL37" s="2738"/>
      <c r="AM37" s="1022" t="s">
        <v>1882</v>
      </c>
      <c r="AO37" s="2783"/>
      <c r="AP37" s="2784"/>
      <c r="AQ37" s="2785" t="s">
        <v>1882</v>
      </c>
      <c r="AR37" s="35"/>
      <c r="AS37" s="2449"/>
      <c r="AT37" s="2745"/>
      <c r="AU37" s="1472"/>
      <c r="AV37" s="2620" t="s">
        <v>1882</v>
      </c>
      <c r="AX37" s="2449"/>
      <c r="AY37" s="1438"/>
      <c r="AZ37" s="1420"/>
      <c r="BA37" s="1438" t="s">
        <v>1882</v>
      </c>
      <c r="BC37" s="2763"/>
      <c r="BD37" s="1471"/>
      <c r="BE37" s="1471"/>
      <c r="BF37" s="1471" t="s">
        <v>1882</v>
      </c>
    </row>
    <row r="38" spans="2:59">
      <c r="B38" s="1277" t="s">
        <v>791</v>
      </c>
      <c r="C38" s="2108" t="e">
        <f>ROUND(((C36*C29)/'Data Entry - SOF'!C73)*100,4)</f>
        <v>#REF!</v>
      </c>
      <c r="D38" s="1257" t="e">
        <f>ROUND(((D36*D29)/'Data Entry - SOF'!#REF!)*100,4)</f>
        <v>#REF!</v>
      </c>
      <c r="E38" s="1258" t="e">
        <f>ROUND(((E36*E29)/'Data Entry - SOF'!E73)*100,4)</f>
        <v>#DIV/0!</v>
      </c>
      <c r="F38" s="1259" t="e">
        <f>((F36*F29)/'Data Entry - SOF'!E83)*100</f>
        <v>#DIV/0!</v>
      </c>
      <c r="G38" s="1260" t="e">
        <f>ROUND(((G36*G29)/'Data Entry - SOF'!M73)*100,4)</f>
        <v>#DIV/0!</v>
      </c>
      <c r="H38" s="1261" t="e">
        <f>ROUND(((H36*H29)/'Data Entry - SOF'!O73)*100,4)</f>
        <v>#DIV/0!</v>
      </c>
      <c r="I38" s="1337" t="e">
        <f>ROUND(((I36*I29)/'Data Entry - SOF'!Q73)*100,4)</f>
        <v>#DIV/0!</v>
      </c>
      <c r="J38" s="1730" t="e">
        <f>ROUND(((J36*J29)/'Data Entry - SOF'!S73)*100,4)</f>
        <v>#DIV/0!</v>
      </c>
      <c r="K38" s="3066"/>
      <c r="L38" s="3066"/>
      <c r="P38" s="148"/>
      <c r="V38"/>
      <c r="AB38" s="2148"/>
      <c r="AC38" s="2160"/>
      <c r="AD38" s="2201" t="s">
        <v>1882</v>
      </c>
      <c r="AE38" s="2162"/>
      <c r="AG38" s="1020"/>
      <c r="AH38" s="946"/>
      <c r="AI38" s="2730">
        <f>'Data Entry - SOF'!E154+0.17</f>
        <v>0.17</v>
      </c>
      <c r="AK38" s="1007"/>
      <c r="AL38" s="1008"/>
      <c r="AM38" s="1022">
        <f>'Data Entry - SOF'!K154+0.17</f>
        <v>0.17</v>
      </c>
      <c r="AO38" s="2775"/>
      <c r="AP38" s="2786"/>
      <c r="AQ38" s="2785">
        <f>'Data Entry - SOF'!M154+0.17</f>
        <v>0.17</v>
      </c>
      <c r="AR38" s="35"/>
      <c r="AS38" s="2450"/>
      <c r="AT38" s="1674"/>
      <c r="AU38" s="2742"/>
      <c r="AV38" s="2620">
        <f>'Data Entry - SOF'!O154+0.17</f>
        <v>0.17</v>
      </c>
      <c r="AY38" s="1420"/>
      <c r="AZ38" s="1438"/>
      <c r="BA38" s="2750">
        <f>'Data Entry - SOF'!Q154+0.17</f>
        <v>0.17</v>
      </c>
      <c r="BB38" s="2448"/>
      <c r="BD38" s="2772"/>
      <c r="BE38" s="2772"/>
      <c r="BF38" s="2773">
        <f>'Data Entry - SOF'!S154+0.17</f>
        <v>0.17</v>
      </c>
      <c r="BG38" s="2482"/>
    </row>
    <row r="39" spans="2:59">
      <c r="C39" s="2107"/>
      <c r="D39" s="1237"/>
      <c r="E39" s="1238"/>
      <c r="F39" s="1239"/>
      <c r="G39" s="1240"/>
      <c r="H39" s="1241"/>
      <c r="I39" s="1324"/>
      <c r="J39" s="1717"/>
      <c r="K39" s="3066"/>
      <c r="L39" s="3066"/>
      <c r="P39" s="147"/>
      <c r="V39"/>
      <c r="AB39" s="2163"/>
      <c r="AC39" s="2160"/>
      <c r="AD39" s="2201">
        <f>'Data Entry - SOF'!C154+0.17</f>
        <v>0.17</v>
      </c>
      <c r="AE39" s="2164"/>
      <c r="AG39" s="1020"/>
      <c r="AH39" s="946"/>
      <c r="AI39" s="2730">
        <f>IF('Data Entry - SOF'!E161&lt;=1.5,0,AI38-0.86)</f>
        <v>0</v>
      </c>
      <c r="AK39" s="1007"/>
      <c r="AL39" s="1008"/>
      <c r="AM39" s="1022">
        <f>IF('Data Entry - SOF'!E161&lt;=1.5,0,AM38-0.86)</f>
        <v>0</v>
      </c>
      <c r="AO39" s="2775"/>
      <c r="AP39" s="2786"/>
      <c r="AQ39" s="2785">
        <f>IF('Data Entry - SOF'!C161&lt;=1.5,0,AQ38-0.86)</f>
        <v>0</v>
      </c>
      <c r="AR39" s="35"/>
      <c r="AS39" s="2451"/>
      <c r="AT39" s="1674"/>
      <c r="AU39" s="2742"/>
      <c r="AV39" s="2620">
        <f>IF('Data Entry - SOF'!C161&lt;=1.5,0,AV38-0.86)</f>
        <v>0</v>
      </c>
      <c r="AY39" s="1420"/>
      <c r="AZ39" s="1438"/>
      <c r="BA39" s="2750">
        <f>IF('Data Entry - SOF'!C161&lt;=1.5,0,BA38-0.86)</f>
        <v>0</v>
      </c>
      <c r="BD39" s="2772"/>
      <c r="BE39" s="2772"/>
      <c r="BF39" s="2773">
        <f>IF('Data Entry - SOF'!F161&lt;=1.5,0,BF38-0.86)</f>
        <v>0</v>
      </c>
    </row>
    <row r="40" spans="2:59">
      <c r="C40" s="2107"/>
      <c r="D40" s="1237"/>
      <c r="E40" s="1238"/>
      <c r="F40" s="1239"/>
      <c r="G40" s="1240"/>
      <c r="H40" s="1241"/>
      <c r="I40" s="1324"/>
      <c r="J40" s="1717"/>
      <c r="K40" s="3066"/>
      <c r="L40" s="3066"/>
      <c r="P40" s="149"/>
      <c r="V40"/>
      <c r="AB40" s="2163"/>
      <c r="AC40" s="2160"/>
      <c r="AD40" s="2201">
        <f>IF('Data Entry - SOF'!C161&lt;=1.5,0,AD39-0.86)</f>
        <v>0</v>
      </c>
      <c r="AE40" s="2166"/>
      <c r="AG40" s="1020"/>
      <c r="AH40" s="946"/>
      <c r="AI40" s="679"/>
      <c r="AK40" s="1007"/>
      <c r="AL40" s="1008"/>
      <c r="AM40" s="1007"/>
      <c r="AO40" s="2775"/>
      <c r="AP40" s="2786"/>
      <c r="AQ40" s="2775"/>
      <c r="AR40" s="35"/>
      <c r="AS40" s="2451"/>
      <c r="AT40" s="1674"/>
      <c r="AU40" s="2742"/>
      <c r="AV40" s="1674"/>
      <c r="AY40" s="1420"/>
      <c r="AZ40" s="1438"/>
      <c r="BA40" s="1420"/>
      <c r="BD40" s="2772"/>
      <c r="BE40" s="2772"/>
      <c r="BF40" s="2772"/>
    </row>
    <row r="41" spans="2:59">
      <c r="C41" s="2107"/>
      <c r="D41" s="1237"/>
      <c r="E41" s="1238"/>
      <c r="F41" s="1239"/>
      <c r="G41" s="1240"/>
      <c r="H41" s="1241"/>
      <c r="I41" s="1324"/>
      <c r="J41" s="1717"/>
      <c r="K41" s="3066"/>
      <c r="L41" s="3066"/>
      <c r="P41" s="150"/>
      <c r="V41"/>
      <c r="AC41" s="2160"/>
      <c r="AD41" s="2148"/>
      <c r="AE41" s="2058"/>
      <c r="AG41" s="1020"/>
      <c r="AH41" s="946"/>
      <c r="AI41" s="679"/>
      <c r="AK41" s="1007"/>
      <c r="AL41" s="1008"/>
      <c r="AM41" s="1007"/>
      <c r="AO41" s="2775"/>
      <c r="AP41" s="2786"/>
      <c r="AQ41" s="2775"/>
      <c r="AR41" s="35"/>
      <c r="AS41" s="2451"/>
      <c r="AT41" s="1674"/>
      <c r="AU41" s="2742"/>
      <c r="AV41" s="1674"/>
      <c r="AY41" s="1420"/>
      <c r="AZ41" s="1438"/>
      <c r="BA41" s="1420"/>
      <c r="BD41" s="2772"/>
      <c r="BE41" s="2772"/>
      <c r="BF41" s="2772"/>
    </row>
    <row r="42" spans="2:59">
      <c r="B42" s="1278" t="s">
        <v>789</v>
      </c>
      <c r="C42" s="2118" t="e">
        <f>C35*('Data Entry - SOF'!C73/100)</f>
        <v>#REF!</v>
      </c>
      <c r="D42" s="1262" t="e">
        <f>D35*('Data Entry - SOF'!#REF!/100)</f>
        <v>#REF!</v>
      </c>
      <c r="E42" s="1263" t="e">
        <f>E35*('Data Entry - SOF'!E73/100)</f>
        <v>#DIV/0!</v>
      </c>
      <c r="F42" s="1264" t="e">
        <f>F35*('Data Entry - SOF'!E83/100)</f>
        <v>#DIV/0!</v>
      </c>
      <c r="G42" s="1265" t="e">
        <f>G35*('Data Entry - SOF'!M73/100)</f>
        <v>#DIV/0!</v>
      </c>
      <c r="H42" s="1266" t="e">
        <f>H35*('Data Entry - SOF'!O73/100)</f>
        <v>#DIV/0!</v>
      </c>
      <c r="I42" s="1338" t="e">
        <f>I35*('Data Entry - SOF'!Q73/100)</f>
        <v>#DIV/0!</v>
      </c>
      <c r="J42" s="1731" t="e">
        <f>J35*('Data Entry - SOF'!S73/100)</f>
        <v>#DIV/0!</v>
      </c>
      <c r="K42" s="3066"/>
      <c r="L42" s="3066"/>
      <c r="P42" s="140"/>
      <c r="V42"/>
      <c r="AC42" s="2160"/>
      <c r="AD42" s="2163"/>
      <c r="AE42" s="2058"/>
      <c r="AG42" s="1020"/>
      <c r="AH42" s="946"/>
      <c r="AI42" s="679"/>
      <c r="AK42" s="1007"/>
      <c r="AL42" s="1008"/>
      <c r="AM42" s="1007"/>
      <c r="AO42" s="2775"/>
      <c r="AP42" s="2786"/>
      <c r="AQ42" s="2775"/>
      <c r="AR42" s="35"/>
      <c r="AS42" s="2451"/>
      <c r="AT42" s="1674"/>
      <c r="AU42" s="2742"/>
      <c r="AV42" s="1674"/>
      <c r="AY42" s="1420"/>
      <c r="AZ42" s="1438"/>
      <c r="BA42" s="1420"/>
      <c r="BD42" s="2772"/>
      <c r="BE42" s="2772"/>
      <c r="BF42" s="2772"/>
    </row>
    <row r="43" spans="2:59">
      <c r="B43" s="1278" t="s">
        <v>790</v>
      </c>
      <c r="C43" s="2118" t="e">
        <f>C38*('Data Entry - SOF'!C73/100)</f>
        <v>#REF!</v>
      </c>
      <c r="D43" s="1262" t="e">
        <f>D38*('Data Entry - SOF'!#REF!/100)</f>
        <v>#REF!</v>
      </c>
      <c r="E43" s="1263" t="e">
        <f>E38*('Data Entry - SOF'!E73/100)</f>
        <v>#DIV/0!</v>
      </c>
      <c r="F43" s="1264" t="e">
        <f>F38*('Data Entry - SOF'!E83/100)</f>
        <v>#DIV/0!</v>
      </c>
      <c r="G43" s="1265" t="e">
        <f>G38*('Data Entry - SOF'!M73/100)</f>
        <v>#DIV/0!</v>
      </c>
      <c r="H43" s="1266" t="e">
        <f>H38*('Data Entry - SOF'!O73/100)</f>
        <v>#DIV/0!</v>
      </c>
      <c r="I43" s="1338" t="e">
        <f>I38*('Data Entry - SOF'!Q73/100)</f>
        <v>#DIV/0!</v>
      </c>
      <c r="J43" s="1731" t="e">
        <f>J38*('Data Entry - SOF'!S73/100)</f>
        <v>#DIV/0!</v>
      </c>
      <c r="K43" s="3066"/>
      <c r="L43" s="3066"/>
      <c r="P43" s="149"/>
      <c r="V43"/>
      <c r="AC43" s="2160"/>
      <c r="AD43" s="2163"/>
      <c r="AE43" s="2058"/>
      <c r="AG43" s="1020"/>
      <c r="AH43" s="946"/>
      <c r="AI43" s="679"/>
      <c r="AK43" s="1007"/>
      <c r="AL43" s="1008"/>
      <c r="AM43" s="1007"/>
      <c r="AO43" s="2775"/>
      <c r="AP43" s="2786"/>
      <c r="AQ43" s="2775"/>
      <c r="AR43" s="35"/>
      <c r="AS43" s="2451"/>
      <c r="AT43" s="1674"/>
      <c r="AU43" s="2742"/>
      <c r="AV43" s="1674"/>
      <c r="AY43" s="1420"/>
      <c r="AZ43" s="1438"/>
      <c r="BA43" s="1420"/>
      <c r="BD43" s="2772"/>
      <c r="BE43" s="2772"/>
      <c r="BF43" s="2772"/>
    </row>
    <row r="44" spans="2:59">
      <c r="K44" s="3066"/>
      <c r="L44" s="3066"/>
      <c r="M44" s="271"/>
      <c r="P44" s="150"/>
      <c r="V44"/>
      <c r="AG44" s="809"/>
      <c r="AH44" s="809"/>
      <c r="AI44" s="809"/>
      <c r="AK44" s="1009"/>
      <c r="AL44" s="1009"/>
      <c r="AM44" s="1009"/>
      <c r="AO44" s="2775"/>
      <c r="AP44" s="2775"/>
      <c r="AQ44" s="2775"/>
      <c r="AR44" s="35"/>
      <c r="AT44" s="1674"/>
      <c r="AU44" s="1674"/>
      <c r="AV44" s="1674"/>
      <c r="AY44" s="1420"/>
      <c r="AZ44" s="1420"/>
      <c r="BA44" s="1420"/>
      <c r="BD44" s="2772"/>
      <c r="BE44" s="2772"/>
      <c r="BF44" s="2772"/>
    </row>
    <row r="45" spans="2:59">
      <c r="K45" s="3066"/>
      <c r="L45" s="3066"/>
      <c r="M45" s="271"/>
      <c r="P45" s="140"/>
      <c r="V45"/>
      <c r="AC45" s="2135"/>
      <c r="AE45" s="2135"/>
      <c r="AF45" s="119"/>
      <c r="AG45" s="995"/>
      <c r="AH45" s="995"/>
      <c r="AI45" s="995"/>
      <c r="AJ45" s="119"/>
      <c r="AK45" s="1010"/>
      <c r="AL45" s="1010"/>
      <c r="AM45" s="1010"/>
      <c r="AN45" s="119"/>
      <c r="AO45" s="995"/>
      <c r="AP45" s="995"/>
      <c r="AQ45" s="995"/>
      <c r="AT45" s="2443"/>
      <c r="AU45" s="2443"/>
      <c r="AV45" s="2443"/>
      <c r="AY45" s="2479"/>
      <c r="AZ45" s="2479"/>
      <c r="BA45" s="2479"/>
      <c r="BD45" s="2480"/>
      <c r="BE45" s="2480"/>
      <c r="BF45" s="2480"/>
    </row>
    <row r="46" spans="2:59">
      <c r="B46" s="37" t="s">
        <v>2807</v>
      </c>
      <c r="C46" s="2105">
        <v>0</v>
      </c>
      <c r="D46" s="1132">
        <v>0</v>
      </c>
      <c r="E46" s="658">
        <v>0</v>
      </c>
      <c r="F46" s="1158">
        <v>0</v>
      </c>
      <c r="G46" s="1184">
        <v>0</v>
      </c>
      <c r="H46" s="1210">
        <v>0</v>
      </c>
      <c r="I46" s="1322">
        <v>0</v>
      </c>
      <c r="J46" s="1713">
        <v>0</v>
      </c>
      <c r="K46" s="3066"/>
      <c r="L46" s="3066"/>
      <c r="M46" s="271"/>
      <c r="P46" s="149"/>
      <c r="V46"/>
      <c r="AC46" s="2135"/>
      <c r="AE46" s="2135"/>
      <c r="AF46" s="119"/>
      <c r="AG46" s="995"/>
      <c r="AH46" s="995"/>
      <c r="AI46" s="995"/>
      <c r="AJ46" s="119"/>
      <c r="AK46" s="1010"/>
      <c r="AL46" s="1010"/>
      <c r="AM46" s="1010"/>
      <c r="AN46" s="119"/>
      <c r="AO46" s="995"/>
      <c r="AP46" s="995"/>
      <c r="AQ46" s="995"/>
      <c r="AT46" s="2443"/>
      <c r="AU46" s="2443"/>
      <c r="AV46" s="2443"/>
      <c r="AY46" s="2479"/>
      <c r="AZ46" s="2479"/>
      <c r="BA46" s="2479"/>
      <c r="BD46" s="2480"/>
      <c r="BE46" s="2480"/>
      <c r="BF46" s="2480"/>
    </row>
    <row r="47" spans="2:59">
      <c r="B47" s="37" t="s">
        <v>2806</v>
      </c>
      <c r="C47" s="2119" t="e">
        <f>'Data Entry - SOF'!C93-'IFA-OldLaw'!J79-C46</f>
        <v>#REF!</v>
      </c>
      <c r="D47" s="1142" t="e">
        <f>'Data Entry - SOF'!#REF!-'IFA-OldLaw'!#REF!-D46</f>
        <v>#REF!</v>
      </c>
      <c r="E47" s="657">
        <f>'Data Entry - SOF'!E93-'IFA-OldLaw'!M79-E46</f>
        <v>0</v>
      </c>
      <c r="F47" s="1168">
        <f>'Data Entry - SOF'!K93-'IFA-OldLaw'!Q79-F46</f>
        <v>0</v>
      </c>
      <c r="G47" s="1194">
        <f>'Data Entry - SOF'!I93-'IFA-OldLaw'!U79-G46</f>
        <v>1305123361</v>
      </c>
      <c r="H47" s="1220">
        <f>'Data Entry - SOF'!O93-'IFA-OldLaw'!Y79-H46</f>
        <v>0</v>
      </c>
      <c r="I47" s="1339">
        <f>'Data Entry - SOF'!Q93-'IFA-OldLaw'!AC79-I46</f>
        <v>0</v>
      </c>
      <c r="J47" s="1732">
        <f>'Data Entry - SOF'!S93-'IFA-OldLaw'!AG79-J46</f>
        <v>0</v>
      </c>
      <c r="K47" s="3066"/>
      <c r="L47" s="3066"/>
      <c r="M47" s="271"/>
      <c r="P47" s="143"/>
      <c r="V47"/>
      <c r="AC47" s="2135"/>
      <c r="AE47" s="2135"/>
      <c r="AF47" s="119"/>
      <c r="AG47" s="995"/>
      <c r="AH47" s="995"/>
      <c r="AI47" s="995"/>
      <c r="AJ47" s="119"/>
      <c r="AK47" s="1010"/>
      <c r="AL47" s="1010"/>
      <c r="AM47" s="1010"/>
      <c r="AN47" s="119"/>
      <c r="AO47" s="995"/>
      <c r="AP47" s="995"/>
      <c r="AQ47" s="995"/>
      <c r="AT47" s="2443"/>
      <c r="AU47" s="2443"/>
      <c r="AV47" s="2443"/>
      <c r="AY47" s="2479"/>
      <c r="AZ47" s="2479"/>
      <c r="BA47" s="2479"/>
      <c r="BD47" s="2480"/>
      <c r="BE47" s="2480"/>
      <c r="BF47" s="2480"/>
    </row>
    <row r="48" spans="2:59">
      <c r="K48" s="3066"/>
      <c r="L48" s="3066"/>
      <c r="M48" s="271"/>
      <c r="P48" s="143"/>
      <c r="V48"/>
      <c r="AC48" s="2135"/>
      <c r="AD48" s="2135"/>
      <c r="AE48" s="2135"/>
      <c r="AF48" s="119"/>
      <c r="AG48" s="995"/>
      <c r="AH48" s="995"/>
      <c r="AI48" s="995"/>
      <c r="AJ48" s="119"/>
      <c r="AK48" s="1010"/>
      <c r="AL48" s="1010"/>
      <c r="AM48" s="1010"/>
      <c r="AN48" s="119"/>
      <c r="AO48" s="995"/>
      <c r="AP48" s="995"/>
      <c r="AQ48" s="995"/>
      <c r="AT48" s="2443"/>
      <c r="AU48" s="2443"/>
      <c r="AV48" s="2443"/>
      <c r="AY48" s="2479"/>
      <c r="AZ48" s="2479"/>
      <c r="BA48" s="2479"/>
      <c r="BD48" s="2480"/>
      <c r="BE48" s="2480"/>
      <c r="BF48" s="2480"/>
    </row>
    <row r="49" spans="1:66">
      <c r="B49" s="37" t="s">
        <v>2859</v>
      </c>
      <c r="C49" s="2110" t="str">
        <f t="shared" ref="C49:H49" si="5">IF(C21=C20,"N/A",C21)</f>
        <v>N/A</v>
      </c>
      <c r="D49" s="1133" t="e">
        <f t="shared" si="5"/>
        <v>#REF!</v>
      </c>
      <c r="E49" s="663" t="str">
        <f t="shared" si="5"/>
        <v>N/A</v>
      </c>
      <c r="F49" s="1159" t="str">
        <f t="shared" si="5"/>
        <v>N/A</v>
      </c>
      <c r="G49" s="1185" t="str">
        <f t="shared" si="5"/>
        <v>N/A</v>
      </c>
      <c r="H49" s="1211" t="str">
        <f t="shared" si="5"/>
        <v>N/A</v>
      </c>
      <c r="I49" s="1323" t="str">
        <f>IF(I21=I20,"N/A",I21)</f>
        <v>N/A</v>
      </c>
      <c r="J49" s="1716" t="str">
        <f>IF(J21=J20,"N/A",J21)</f>
        <v>N/A</v>
      </c>
      <c r="K49" s="3066"/>
      <c r="L49" s="3066"/>
      <c r="M49" s="271"/>
      <c r="P49" s="140"/>
      <c r="V49"/>
      <c r="AC49" s="2135"/>
      <c r="AD49" s="2135"/>
      <c r="AE49" s="2135"/>
      <c r="AF49" s="119"/>
      <c r="AG49" s="995"/>
      <c r="AH49" s="995"/>
      <c r="AI49" s="995"/>
      <c r="AJ49" s="119"/>
      <c r="AK49" s="1010"/>
      <c r="AL49" s="1010"/>
      <c r="AM49" s="1010"/>
      <c r="AN49" s="119"/>
      <c r="AO49" s="995"/>
      <c r="AP49" s="995"/>
      <c r="AQ49" s="995"/>
      <c r="AT49" s="2443"/>
      <c r="AU49" s="2443"/>
      <c r="AV49" s="2443"/>
      <c r="AY49" s="2479"/>
      <c r="AZ49" s="2479"/>
      <c r="BA49" s="2479"/>
      <c r="BD49" s="2480"/>
      <c r="BE49" s="2480"/>
      <c r="BF49" s="2480"/>
    </row>
    <row r="50" spans="1:66">
      <c r="B50" s="37" t="s">
        <v>2860</v>
      </c>
      <c r="C50" s="2110" t="str">
        <f t="shared" ref="C50:H50" si="6">IF(C22=0,"N/A",C22)</f>
        <v>N/A</v>
      </c>
      <c r="D50" s="1133" t="e">
        <f t="shared" si="6"/>
        <v>#REF!</v>
      </c>
      <c r="E50" s="663" t="str">
        <f t="shared" si="6"/>
        <v>N/A</v>
      </c>
      <c r="F50" s="1159" t="str">
        <f t="shared" si="6"/>
        <v>N/A</v>
      </c>
      <c r="G50" s="1185" t="str">
        <f t="shared" si="6"/>
        <v>N/A</v>
      </c>
      <c r="H50" s="1211" t="str">
        <f t="shared" si="6"/>
        <v>N/A</v>
      </c>
      <c r="I50" s="1323" t="str">
        <f>IF(I22=0,"N/A",I22)</f>
        <v>N/A</v>
      </c>
      <c r="J50" s="1716" t="str">
        <f>IF(J22=0,"N/A",J22)</f>
        <v>N/A</v>
      </c>
      <c r="K50" s="3066"/>
      <c r="L50" s="3066"/>
      <c r="M50" s="271"/>
      <c r="P50" s="140"/>
      <c r="V50"/>
      <c r="AC50" s="2135"/>
      <c r="AD50" s="2135"/>
      <c r="AE50" s="2135"/>
      <c r="AF50" s="119"/>
      <c r="AG50" s="995"/>
      <c r="AH50" s="995"/>
      <c r="AI50" s="995"/>
      <c r="AJ50" s="119"/>
      <c r="AK50" s="1010"/>
      <c r="AL50" s="1010"/>
      <c r="AM50" s="1010"/>
      <c r="AN50" s="119"/>
      <c r="AO50" s="995"/>
      <c r="AP50" s="995"/>
      <c r="AQ50" s="995"/>
      <c r="AT50" s="2443"/>
      <c r="AU50" s="2443"/>
      <c r="AV50" s="2443"/>
      <c r="AY50" s="2479"/>
      <c r="AZ50" s="2479"/>
      <c r="BA50" s="2479"/>
      <c r="BD50" s="2480"/>
      <c r="BE50" s="2480"/>
      <c r="BF50" s="2480"/>
    </row>
    <row r="51" spans="1:66">
      <c r="K51" s="3066"/>
      <c r="L51" s="3066"/>
      <c r="M51" s="271"/>
      <c r="P51" s="140"/>
      <c r="V51"/>
      <c r="AC51" s="2135"/>
      <c r="AD51" s="2135"/>
      <c r="AE51" s="2135"/>
      <c r="AF51" s="119"/>
      <c r="AG51" s="995"/>
      <c r="AH51" s="995"/>
      <c r="AI51" s="995"/>
      <c r="AJ51" s="119"/>
      <c r="AK51" s="1010"/>
      <c r="AL51" s="1010"/>
      <c r="AM51" s="1010"/>
      <c r="AN51" s="119"/>
      <c r="AO51" s="995"/>
      <c r="AP51" s="995"/>
      <c r="AQ51" s="995"/>
      <c r="AT51" s="2443"/>
      <c r="AU51" s="2443"/>
      <c r="AV51" s="2443"/>
      <c r="AY51" s="2479"/>
      <c r="AZ51" s="2479"/>
      <c r="BA51" s="2479"/>
      <c r="BD51" s="2480"/>
      <c r="BE51" s="2480"/>
      <c r="BF51" s="2480"/>
    </row>
    <row r="52" spans="1:66">
      <c r="K52" s="3066"/>
      <c r="L52" s="3066"/>
      <c r="M52" s="271"/>
      <c r="V52"/>
      <c r="AC52" s="2135"/>
      <c r="AD52" s="2135"/>
      <c r="AE52" s="2135"/>
      <c r="AF52" s="119"/>
      <c r="AG52" s="995"/>
      <c r="AH52" s="995"/>
      <c r="AI52" s="995"/>
      <c r="AJ52" s="119"/>
      <c r="AK52" s="1010"/>
      <c r="AL52" s="1010"/>
      <c r="AM52" s="1010"/>
      <c r="AN52" s="119"/>
      <c r="AO52" s="995"/>
      <c r="AP52" s="995"/>
      <c r="AQ52" s="995"/>
      <c r="AT52" s="2443"/>
      <c r="AU52" s="2443"/>
      <c r="AV52" s="2443"/>
      <c r="AY52" s="2479"/>
      <c r="AZ52" s="2479"/>
      <c r="BA52" s="2479"/>
      <c r="BD52" s="2480"/>
      <c r="BE52" s="2480"/>
      <c r="BF52" s="2480"/>
    </row>
    <row r="53" spans="1:66">
      <c r="K53" s="3066"/>
      <c r="L53" s="3066"/>
      <c r="M53" s="271"/>
      <c r="V53"/>
      <c r="AC53" s="2135"/>
      <c r="AD53" s="2135"/>
      <c r="AE53" s="2135"/>
      <c r="AF53" s="119"/>
      <c r="AG53" s="995"/>
      <c r="AH53" s="995"/>
      <c r="AI53" s="995"/>
      <c r="AJ53" s="119"/>
      <c r="AK53" s="1010"/>
      <c r="AL53" s="1010"/>
      <c r="AM53" s="1010"/>
      <c r="AN53" s="119"/>
      <c r="AO53" s="995"/>
      <c r="AP53" s="995"/>
      <c r="AQ53" s="995"/>
      <c r="AT53" s="2443"/>
      <c r="AU53" s="2443"/>
      <c r="AV53" s="2443"/>
      <c r="AY53" s="2479"/>
      <c r="AZ53" s="2479"/>
      <c r="BA53" s="2479"/>
      <c r="BD53" s="2480"/>
      <c r="BE53" s="2480"/>
      <c r="BF53" s="2480"/>
    </row>
    <row r="54" spans="1:66">
      <c r="K54" s="3066"/>
      <c r="L54" s="3066"/>
      <c r="M54" s="271"/>
      <c r="V54"/>
      <c r="AC54" s="2135"/>
      <c r="AD54" s="2135"/>
      <c r="AE54" s="2135"/>
      <c r="AF54" s="119"/>
      <c r="AG54" s="995"/>
      <c r="AH54" s="995"/>
      <c r="AI54" s="995"/>
      <c r="AJ54" s="119"/>
      <c r="AK54" s="1010"/>
      <c r="AL54" s="1010"/>
      <c r="AM54" s="1010"/>
      <c r="AN54" s="119"/>
      <c r="AO54" s="995"/>
      <c r="AP54" s="995"/>
      <c r="AQ54" s="995"/>
      <c r="AT54" s="2443"/>
      <c r="AU54" s="2443"/>
      <c r="AV54" s="2443"/>
      <c r="AY54" s="2479"/>
      <c r="AZ54" s="2479"/>
      <c r="BA54" s="2479"/>
      <c r="BD54" s="2480"/>
      <c r="BE54" s="2480"/>
      <c r="BF54" s="2480"/>
    </row>
    <row r="55" spans="1:66">
      <c r="K55" s="3066"/>
      <c r="L55" s="3066"/>
      <c r="M55" s="271"/>
      <c r="V55"/>
      <c r="AC55" s="2135"/>
      <c r="AD55" s="2135"/>
      <c r="AE55" s="2135"/>
      <c r="AF55" s="119"/>
      <c r="AG55" s="995"/>
      <c r="AH55" s="995"/>
      <c r="AI55" s="995"/>
      <c r="AJ55" s="119"/>
      <c r="AK55" s="1010"/>
      <c r="AL55" s="1010"/>
      <c r="AM55" s="1010"/>
      <c r="AN55" s="119"/>
      <c r="AO55" s="995"/>
      <c r="AP55" s="995"/>
      <c r="AQ55" s="995"/>
      <c r="AT55" s="2443"/>
      <c r="AU55" s="2443"/>
      <c r="AV55" s="2443"/>
      <c r="AY55" s="2479"/>
      <c r="AZ55" s="2479"/>
      <c r="BA55" s="2479"/>
      <c r="BD55" s="2480"/>
      <c r="BE55" s="2480"/>
      <c r="BF55" s="2480"/>
    </row>
    <row r="56" spans="1:66">
      <c r="C56" s="2120" t="s">
        <v>3139</v>
      </c>
      <c r="D56" s="1143" t="s">
        <v>3226</v>
      </c>
      <c r="E56" s="661" t="s">
        <v>3227</v>
      </c>
      <c r="F56" s="1169" t="s">
        <v>3285</v>
      </c>
      <c r="G56" s="1195" t="s">
        <v>3929</v>
      </c>
      <c r="H56" s="1221" t="s">
        <v>6921</v>
      </c>
      <c r="I56" s="1340" t="s">
        <v>6977</v>
      </c>
      <c r="J56" s="1733" t="s">
        <v>8159</v>
      </c>
      <c r="K56" s="3066"/>
      <c r="L56" s="3066"/>
      <c r="V56"/>
      <c r="AB56" s="2167"/>
      <c r="AC56" s="2135"/>
      <c r="AD56" s="2135"/>
      <c r="AE56" s="2135"/>
      <c r="AF56" s="119"/>
      <c r="AG56" s="995"/>
      <c r="AH56" s="995"/>
      <c r="AI56" s="995"/>
      <c r="AJ56" s="119"/>
      <c r="AK56" s="1010"/>
      <c r="AL56" s="1010"/>
      <c r="AM56" s="1010"/>
      <c r="AN56" s="119"/>
      <c r="AO56" s="995"/>
      <c r="AP56" s="995"/>
      <c r="AQ56" s="995"/>
      <c r="AT56" s="2443"/>
      <c r="AU56" s="2443"/>
      <c r="AV56" s="2443"/>
      <c r="AY56" s="2479"/>
      <c r="AZ56" s="2479"/>
      <c r="BA56" s="2479"/>
      <c r="BD56" s="2480"/>
      <c r="BE56" s="2480"/>
      <c r="BF56" s="2480"/>
    </row>
    <row r="57" spans="1:66">
      <c r="B57" s="73" t="s">
        <v>2108</v>
      </c>
      <c r="C57" s="2121">
        <f>IF(AND(C6&lt;2000,C10&gt;1599.999),'Data Entry - SOF'!C159*(1+((2000-'Calc Data'!C7)*Weights!H45)),0)</f>
        <v>0</v>
      </c>
      <c r="D57" s="1144" t="e">
        <f>IF(AND(D6&lt;2000,D10&gt;1599.999),'Data Entry - SOF'!#REF!*(1+((2000-'Calc Data'!D7)*Weights!I45)),0)</f>
        <v>#REF!</v>
      </c>
      <c r="E57" s="671">
        <f>IF(AND(E6&lt;2000,E10&gt;1599.999),'Data Entry - SOF'!E159*(1+((2000-'Calc Data'!E7)*Weights!J45)),0)</f>
        <v>0</v>
      </c>
      <c r="F57" s="1170">
        <f>IF(AND(F6&lt;2000,F10&gt;1599.999),'Data Entry - SOF'!K159*(1+((2000-'Calc Data'!F7)*Weights!K45)),0)</f>
        <v>0</v>
      </c>
      <c r="G57" s="1196">
        <f>IF(AND(G6&lt;2000,G10&gt;1599.999),'Data Entry - SOF'!M159*(1+((2000-'Calc Data'!G7)*Weights!L45)),0)</f>
        <v>0</v>
      </c>
      <c r="H57" s="1222">
        <f>IF(AND(H6&lt;2000,H10&gt;1599.999),'Data Entry - SOF'!O159*(1+((2000-'Calc Data'!H7)*Weights!M45)),0)</f>
        <v>0</v>
      </c>
      <c r="I57" s="1341">
        <f>IF(AND(I6&lt;2000,I10&gt;1599.999),'Data Entry - SOF'!Q159*(1+((2000-'Calc Data'!I7)*Weights!N45)),0)</f>
        <v>0</v>
      </c>
      <c r="J57" s="1734">
        <f>IF(AND(J6&lt;2000,J10&gt;1599.999),'Data Entry - SOF'!S159*(1+((2000-'Calc Data'!J7)*Weights!O45)),0)</f>
        <v>0</v>
      </c>
      <c r="K57" s="3066"/>
      <c r="L57" s="3066"/>
      <c r="Q57" s="237" t="e">
        <f>IF(AND(#REF!&lt;2000,#REF!&gt;1599.999),'Data Entry - SOF'!#REF!*(1+((2000-'Calc Data'!#REF!)*0.00014)),0)</f>
        <v>#REF!</v>
      </c>
      <c r="V57"/>
      <c r="AC57" s="2135"/>
      <c r="AD57" s="2135"/>
      <c r="AE57" s="2135"/>
      <c r="AF57" s="119"/>
      <c r="AG57" s="995"/>
      <c r="AH57" s="995"/>
      <c r="AI57" s="995"/>
      <c r="AJ57" s="119"/>
      <c r="AK57" s="1010"/>
      <c r="AL57" s="1010"/>
      <c r="AM57" s="1010"/>
      <c r="AN57" s="119"/>
      <c r="AO57" s="995"/>
      <c r="AP57" s="995"/>
      <c r="AQ57" s="995"/>
      <c r="AT57" s="2443"/>
      <c r="AU57" s="2443"/>
      <c r="AV57" s="2443"/>
      <c r="AY57" s="2479"/>
      <c r="AZ57" s="2479"/>
      <c r="BA57" s="2479"/>
      <c r="BD57" s="2480"/>
      <c r="BE57" s="2480"/>
      <c r="BF57" s="2480"/>
    </row>
    <row r="58" spans="1:66">
      <c r="B58" s="73" t="s">
        <v>983</v>
      </c>
      <c r="C58" s="2122">
        <f>'Data Entry - SOF'!C159</f>
        <v>0</v>
      </c>
      <c r="D58" s="1145" t="e">
        <f>'Data Entry - SOF'!#REF!</f>
        <v>#REF!</v>
      </c>
      <c r="E58" s="672">
        <f>'Data Entry - SOF'!E159</f>
        <v>0</v>
      </c>
      <c r="F58" s="1171">
        <f>'Data Entry - SOF'!K159</f>
        <v>0</v>
      </c>
      <c r="G58" s="1197">
        <f>'Data Entry - SOF'!I159</f>
        <v>0</v>
      </c>
      <c r="H58" s="1223">
        <f>'Data Entry - SOF'!O159</f>
        <v>0</v>
      </c>
      <c r="I58" s="1342">
        <f>'Data Entry - SOF'!Q159</f>
        <v>0</v>
      </c>
      <c r="J58" s="1735">
        <f>'Data Entry - SOF'!S159</f>
        <v>0</v>
      </c>
      <c r="K58" s="3066"/>
      <c r="L58" s="3066"/>
      <c r="Q58" s="238" t="e">
        <f>'Data Entry - SOF'!#REF!</f>
        <v>#REF!</v>
      </c>
      <c r="V58"/>
      <c r="AC58" s="2135"/>
      <c r="AD58" s="2135"/>
      <c r="AE58" s="2135"/>
      <c r="AF58" s="119"/>
      <c r="AG58" s="995"/>
      <c r="AH58" s="995"/>
      <c r="AI58" s="995"/>
      <c r="AJ58" s="119"/>
      <c r="AK58" s="1010"/>
      <c r="AL58" s="1010"/>
      <c r="AM58" s="1010"/>
      <c r="AN58" s="119"/>
      <c r="AO58" s="995"/>
      <c r="AP58" s="995"/>
      <c r="AQ58" s="995"/>
      <c r="AT58" s="2443"/>
      <c r="AU58" s="2443"/>
      <c r="AV58" s="2443"/>
      <c r="AY58" s="2479"/>
      <c r="AZ58" s="2479"/>
      <c r="BA58" s="2479"/>
      <c r="BD58" s="2480"/>
      <c r="BE58" s="2480"/>
      <c r="BF58" s="2480"/>
    </row>
    <row r="59" spans="1:66">
      <c r="B59" s="73" t="s">
        <v>2270</v>
      </c>
      <c r="C59" s="2120">
        <f t="shared" ref="C59:H59" si="7">IF(C57&gt;C58,C57,C58)</f>
        <v>0</v>
      </c>
      <c r="D59" s="1143" t="e">
        <f t="shared" si="7"/>
        <v>#REF!</v>
      </c>
      <c r="E59" s="661">
        <f t="shared" si="7"/>
        <v>0</v>
      </c>
      <c r="F59" s="1169">
        <f t="shared" si="7"/>
        <v>0</v>
      </c>
      <c r="G59" s="1195">
        <f t="shared" si="7"/>
        <v>0</v>
      </c>
      <c r="H59" s="1221">
        <f t="shared" si="7"/>
        <v>0</v>
      </c>
      <c r="I59" s="1340">
        <f>IF(I57&gt;I58,I57,I58)</f>
        <v>0</v>
      </c>
      <c r="J59" s="1733">
        <f>IF(J57&gt;J58,J57,J58)</f>
        <v>0</v>
      </c>
      <c r="K59" s="3066"/>
      <c r="L59" s="3066"/>
      <c r="Q59" s="235" t="e">
        <f>IF(Q57&gt;Q58,Q57,Q58)</f>
        <v>#REF!</v>
      </c>
      <c r="V59"/>
      <c r="AC59" s="2135"/>
      <c r="AD59" s="2135"/>
      <c r="AG59" s="995"/>
      <c r="AH59" s="995"/>
      <c r="AI59" s="995"/>
      <c r="AK59" s="1010"/>
      <c r="AL59" s="1010"/>
      <c r="AM59" s="1011"/>
      <c r="AO59" s="995"/>
      <c r="AP59" s="995"/>
      <c r="AQ59" s="845"/>
      <c r="AT59" s="2443"/>
      <c r="AU59" s="2443"/>
      <c r="AV59" s="2445"/>
      <c r="AY59" s="2479"/>
      <c r="AZ59" s="2479"/>
      <c r="BA59" s="2445"/>
      <c r="BD59" s="2480"/>
      <c r="BE59" s="2480"/>
    </row>
    <row r="60" spans="1:66">
      <c r="B60" s="73"/>
      <c r="M60" s="271"/>
      <c r="V60"/>
      <c r="AC60" s="2135"/>
      <c r="AD60" s="2135"/>
      <c r="AG60" s="995"/>
      <c r="AH60" s="995"/>
      <c r="AI60" s="995"/>
      <c r="AK60" s="1010"/>
      <c r="AL60" s="1010"/>
      <c r="AM60" s="1011"/>
      <c r="AO60" s="995"/>
      <c r="AP60" s="995"/>
      <c r="AQ60" s="845"/>
      <c r="AT60" s="2443"/>
      <c r="AU60" s="2443"/>
      <c r="AV60" s="2445"/>
      <c r="AY60" s="2479"/>
      <c r="AZ60" s="2479"/>
      <c r="BA60" s="2445"/>
      <c r="BD60" s="2480"/>
      <c r="BE60" s="2480"/>
    </row>
    <row r="61" spans="1:66">
      <c r="A61" s="94"/>
      <c r="B61" s="73"/>
      <c r="K61" s="2658"/>
      <c r="M61" s="271"/>
      <c r="V61"/>
      <c r="AC61" s="2135"/>
      <c r="AD61" s="2135"/>
      <c r="AG61" s="995"/>
      <c r="AH61" s="995"/>
      <c r="AI61" s="995"/>
      <c r="AK61" s="1010"/>
      <c r="AL61" s="1010"/>
      <c r="AM61" s="1011"/>
      <c r="AO61" s="995"/>
      <c r="AP61" s="995"/>
      <c r="AQ61" s="845"/>
      <c r="AT61" s="2443"/>
      <c r="AU61" s="2443"/>
      <c r="AV61" s="2445"/>
      <c r="AY61" s="2479"/>
      <c r="AZ61" s="2479"/>
      <c r="BA61" s="2445"/>
      <c r="BD61" s="2480"/>
      <c r="BE61" s="2480"/>
    </row>
    <row r="62" spans="1:66">
      <c r="A62" s="94"/>
      <c r="B62" s="73" t="s">
        <v>784</v>
      </c>
      <c r="K62" s="2658"/>
      <c r="M62" s="271"/>
      <c r="V62"/>
      <c r="AC62" s="2135"/>
      <c r="AD62" s="2135"/>
      <c r="AG62" s="995"/>
      <c r="AH62" s="995"/>
      <c r="AI62" s="995"/>
      <c r="AK62" s="1010"/>
      <c r="AL62" s="1010"/>
      <c r="AM62" s="1011"/>
      <c r="AO62" s="995"/>
      <c r="AP62" s="995"/>
      <c r="AQ62" s="845"/>
      <c r="AT62" s="2443"/>
      <c r="AU62" s="2443"/>
      <c r="AV62" s="2445"/>
      <c r="AY62" s="2479"/>
      <c r="AZ62" s="2479"/>
      <c r="BA62" s="2445"/>
      <c r="BD62" s="2480"/>
      <c r="BE62" s="2480"/>
    </row>
    <row r="63" spans="1:66" s="208" customFormat="1" ht="23.25">
      <c r="A63" s="206"/>
      <c r="B63" s="338" t="s">
        <v>940</v>
      </c>
      <c r="C63" s="2123" t="s">
        <v>3138</v>
      </c>
      <c r="D63" s="1146" t="s">
        <v>3144</v>
      </c>
      <c r="E63" s="673" t="s">
        <v>3225</v>
      </c>
      <c r="F63" s="1172" t="s">
        <v>3284</v>
      </c>
      <c r="G63" s="1198" t="s">
        <v>3922</v>
      </c>
      <c r="H63" s="1224" t="s">
        <v>6374</v>
      </c>
      <c r="I63" s="1343" t="s">
        <v>6939</v>
      </c>
      <c r="J63" s="1736" t="s">
        <v>8157</v>
      </c>
      <c r="K63" s="2658"/>
      <c r="M63" s="271"/>
      <c r="N63"/>
      <c r="O63"/>
      <c r="P63" s="207"/>
      <c r="Q63"/>
      <c r="R63"/>
      <c r="S63"/>
      <c r="T63"/>
      <c r="U63"/>
      <c r="V63"/>
      <c r="AB63" s="2011"/>
      <c r="AC63" s="2135"/>
      <c r="AD63" s="2135"/>
      <c r="AE63" s="2168"/>
      <c r="AG63" s="995"/>
      <c r="AH63" s="995"/>
      <c r="AI63" s="995"/>
      <c r="AK63" s="1010"/>
      <c r="AL63" s="1010"/>
      <c r="AM63" s="1012"/>
      <c r="AO63" s="995"/>
      <c r="AP63" s="995"/>
      <c r="AQ63" s="846"/>
      <c r="AS63" s="2452"/>
      <c r="AT63" s="2443"/>
      <c r="AU63" s="2443"/>
      <c r="AV63" s="2453"/>
      <c r="AW63" s="2452"/>
      <c r="AX63" s="1416"/>
      <c r="AY63" s="2479"/>
      <c r="AZ63" s="2479"/>
      <c r="BA63" s="1416"/>
      <c r="BB63" s="1797"/>
      <c r="BC63" s="2477"/>
      <c r="BD63" s="2480"/>
      <c r="BE63" s="2480"/>
      <c r="BF63" s="2477"/>
      <c r="BG63" s="2478"/>
      <c r="BH63" s="2452"/>
      <c r="BI63" s="2452"/>
      <c r="BJ63" s="2452"/>
      <c r="BK63" s="2452"/>
      <c r="BL63" s="2452"/>
      <c r="BM63" s="2452"/>
      <c r="BN63" s="2452"/>
    </row>
    <row r="64" spans="1:66">
      <c r="B64" s="339">
        <f>'Data Entry - SOF'!E163</f>
        <v>0</v>
      </c>
      <c r="C64" s="2124">
        <f>'Data Entry - SOF'!C104</f>
        <v>0</v>
      </c>
      <c r="D64" s="1147" t="e">
        <f>'Data Entry - SOF'!#REF!</f>
        <v>#REF!</v>
      </c>
      <c r="E64" s="674">
        <f>'Data Entry - SOF'!E104</f>
        <v>0</v>
      </c>
      <c r="F64" s="1173">
        <f>'Data Entry - SOF'!K104</f>
        <v>0</v>
      </c>
      <c r="G64" s="1199">
        <f>'Data Entry - SOF'!M104</f>
        <v>0</v>
      </c>
      <c r="H64" s="1225">
        <f>'Data Entry - SOF'!O104</f>
        <v>0</v>
      </c>
      <c r="I64" s="1344">
        <f>'Data Entry - SOF'!Q104</f>
        <v>0</v>
      </c>
      <c r="J64" s="1737">
        <f>'Data Entry - SOF'!S104</f>
        <v>0</v>
      </c>
      <c r="K64" s="2658"/>
      <c r="M64" s="271"/>
      <c r="V64"/>
      <c r="AC64" s="2135"/>
      <c r="AD64" s="2135"/>
      <c r="AG64" s="995"/>
      <c r="AH64" s="995"/>
      <c r="AI64" s="995"/>
      <c r="AK64" s="1010"/>
      <c r="AL64" s="1010"/>
      <c r="AM64" s="1011"/>
      <c r="AO64" s="995"/>
      <c r="AP64" s="995"/>
      <c r="AQ64" s="845"/>
      <c r="AT64" s="2443"/>
      <c r="AU64" s="2443"/>
      <c r="AV64" s="2445"/>
      <c r="AY64" s="2479"/>
      <c r="AZ64" s="2479"/>
      <c r="BA64" s="2445"/>
      <c r="BD64" s="2480"/>
      <c r="BE64" s="2480"/>
    </row>
    <row r="65" spans="1:66">
      <c r="B65" s="339"/>
      <c r="C65" s="2124">
        <f>C64-B64</f>
        <v>0</v>
      </c>
      <c r="D65" s="1147" t="e">
        <f>D64-B64</f>
        <v>#REF!</v>
      </c>
      <c r="E65" s="674">
        <f>E64-B64</f>
        <v>0</v>
      </c>
      <c r="F65" s="1173">
        <f>F64-B64</f>
        <v>0</v>
      </c>
      <c r="G65" s="1199">
        <f>G64-B64</f>
        <v>0</v>
      </c>
      <c r="H65" s="1225">
        <f>H64-B64</f>
        <v>0</v>
      </c>
      <c r="I65" s="1344">
        <f>I64-B64</f>
        <v>0</v>
      </c>
      <c r="J65" s="1737">
        <f>J64-B64</f>
        <v>0</v>
      </c>
      <c r="K65" s="2658"/>
      <c r="M65" s="271"/>
      <c r="V65"/>
      <c r="AA65" s="37"/>
      <c r="AK65" s="1011"/>
      <c r="AL65" s="1011"/>
      <c r="AM65" s="1011"/>
    </row>
    <row r="66" spans="1:66">
      <c r="B66" s="340"/>
      <c r="C66" s="2125"/>
      <c r="D66" s="1148"/>
      <c r="E66" s="675"/>
      <c r="F66" s="1174"/>
      <c r="G66" s="1200"/>
      <c r="H66" s="1226"/>
      <c r="I66" s="1345"/>
      <c r="J66" s="1738"/>
      <c r="K66" s="2658"/>
      <c r="M66" s="271"/>
      <c r="V66"/>
      <c r="AA66" s="37"/>
      <c r="AK66" s="1011"/>
      <c r="AL66" s="1011"/>
      <c r="AM66" s="1011"/>
    </row>
    <row r="67" spans="1:66">
      <c r="B67" s="339"/>
      <c r="C67" s="2125"/>
      <c r="D67" s="1148"/>
      <c r="E67" s="675"/>
      <c r="F67" s="1174"/>
      <c r="G67" s="1200"/>
      <c r="H67" s="1226"/>
      <c r="I67" s="1345"/>
      <c r="J67" s="1738"/>
      <c r="K67" s="2658"/>
      <c r="M67" s="271"/>
      <c r="V67"/>
      <c r="AA67" s="37"/>
      <c r="AK67" s="1011"/>
      <c r="AL67" s="1011"/>
      <c r="AM67" s="1011"/>
    </row>
    <row r="68" spans="1:66">
      <c r="B68" s="341"/>
      <c r="C68" s="2125"/>
      <c r="D68" s="1148"/>
      <c r="E68" s="675"/>
      <c r="F68" s="1174"/>
      <c r="G68" s="1200"/>
      <c r="H68" s="1226"/>
      <c r="I68" s="1345"/>
      <c r="J68" s="1738"/>
      <c r="K68" s="2658"/>
      <c r="L68" s="271"/>
      <c r="M68" s="271"/>
      <c r="V68"/>
      <c r="AA68" s="37"/>
      <c r="AK68" s="1011"/>
      <c r="AL68" s="1011"/>
      <c r="AM68" s="1011"/>
    </row>
    <row r="69" spans="1:66" s="266" customFormat="1" ht="18">
      <c r="A69" s="265"/>
      <c r="B69" s="366" t="s">
        <v>1082</v>
      </c>
      <c r="C69" s="2125"/>
      <c r="D69" s="1148"/>
      <c r="E69" s="675"/>
      <c r="F69" s="1174"/>
      <c r="G69" s="1200"/>
      <c r="H69" s="1226"/>
      <c r="I69" s="1345"/>
      <c r="J69" s="1738"/>
      <c r="K69" s="2658"/>
      <c r="L69" s="271"/>
      <c r="M69" s="271"/>
      <c r="P69" s="267"/>
      <c r="V69"/>
      <c r="AB69" s="2169"/>
      <c r="AC69" s="2169" t="s">
        <v>3879</v>
      </c>
      <c r="AD69" s="2170">
        <f>IF('Data Entry - SOF'!C92-'Calc Data'!AC30&lt;=0,0,'Data Entry - SOF'!C92-'Calc Data'!AC30)</f>
        <v>0</v>
      </c>
      <c r="AE69" s="2171"/>
      <c r="AF69"/>
      <c r="AG69"/>
      <c r="AH69"/>
      <c r="AI69"/>
      <c r="AJ69"/>
      <c r="AK69"/>
      <c r="AL69"/>
      <c r="AM69"/>
      <c r="AN69"/>
      <c r="AO69"/>
      <c r="AP69"/>
      <c r="AQ69"/>
      <c r="AR69"/>
      <c r="AS69"/>
      <c r="AT69"/>
      <c r="AU69"/>
      <c r="AV69"/>
      <c r="AW69"/>
      <c r="AX69"/>
      <c r="AY69"/>
      <c r="AZ69"/>
      <c r="BA69"/>
      <c r="BB69"/>
      <c r="BC69"/>
      <c r="BD69"/>
      <c r="BE69" s="2477">
        <f>IF('Data Entry - SOF'!S92-'Calc Data'!BD30&lt;=0,0,'Data Entry - SOF'!S92-'Calc Data'!BD30)</f>
        <v>0.16999999999999993</v>
      </c>
      <c r="BF69" s="2477"/>
      <c r="BG69" s="2478"/>
      <c r="BH69" s="2454"/>
      <c r="BI69" s="2454"/>
      <c r="BJ69" s="2454"/>
      <c r="BK69" s="2454"/>
      <c r="BL69" s="2454"/>
      <c r="BM69" s="2454"/>
      <c r="BN69" s="2454"/>
    </row>
    <row r="70" spans="1:66">
      <c r="A70" s="94"/>
      <c r="B70" s="339">
        <f>'Data Entry - SOF'!E164</f>
        <v>0</v>
      </c>
      <c r="C70" s="2124" t="e">
        <f>#REF!</f>
        <v>#REF!</v>
      </c>
      <c r="D70" s="1147" t="e">
        <f>'SOF1718-SB1'!F41</f>
        <v>#REF!</v>
      </c>
      <c r="E70" s="674">
        <f>'SOF1819-SB1'!F41</f>
        <v>0</v>
      </c>
      <c r="F70" s="1173">
        <f>'SOF1920-HB3'!F59</f>
        <v>0</v>
      </c>
      <c r="G70" s="1199">
        <f>'SOF2021-SB1'!F41</f>
        <v>0</v>
      </c>
      <c r="H70" s="1225">
        <f>'SOF2122-SB1'!F41</f>
        <v>0</v>
      </c>
      <c r="I70" s="1344">
        <f>'SOF2223-SB1'!F41</f>
        <v>0</v>
      </c>
      <c r="J70" s="1737">
        <f>'SOF2324-SB1'!F41</f>
        <v>0</v>
      </c>
      <c r="K70" s="2658"/>
      <c r="L70" s="271"/>
      <c r="M70" s="271"/>
      <c r="V70"/>
      <c r="AC70" s="2138" t="s">
        <v>3880</v>
      </c>
      <c r="AD70" s="2011">
        <f>IF(AD69&gt;0.06,0.06,AD69)</f>
        <v>0</v>
      </c>
      <c r="AS70"/>
      <c r="AT70"/>
      <c r="AU70"/>
      <c r="AV70"/>
      <c r="AW70"/>
      <c r="AX70"/>
      <c r="AY70"/>
      <c r="AZ70"/>
      <c r="BA70"/>
      <c r="BB70"/>
      <c r="BC70"/>
      <c r="BD70"/>
      <c r="BE70" s="2477">
        <f>IF(BE69&gt;0.06,0.06,BE69)</f>
        <v>0.06</v>
      </c>
    </row>
    <row r="71" spans="1:66">
      <c r="A71" s="94"/>
      <c r="B71" s="342"/>
      <c r="C71" s="2126" t="e">
        <f>C70-B70</f>
        <v>#REF!</v>
      </c>
      <c r="D71" s="1149" t="e">
        <f>D70-B70</f>
        <v>#REF!</v>
      </c>
      <c r="E71" s="676">
        <f>E70-B70</f>
        <v>0</v>
      </c>
      <c r="F71" s="1175">
        <f>F70-B70</f>
        <v>0</v>
      </c>
      <c r="G71" s="1201">
        <f>G70-B70</f>
        <v>0</v>
      </c>
      <c r="H71" s="1227">
        <f>H70-B70</f>
        <v>0</v>
      </c>
      <c r="I71" s="1346">
        <f>I70-B70</f>
        <v>0</v>
      </c>
      <c r="J71" s="1739">
        <f>J70-B70</f>
        <v>0</v>
      </c>
      <c r="K71" s="2658"/>
      <c r="L71" s="271"/>
      <c r="M71" s="271"/>
      <c r="V71"/>
      <c r="AC71" s="2138" t="s">
        <v>3881</v>
      </c>
      <c r="AD71" s="2167" t="e">
        <f>AD70*100*AC35</f>
        <v>#REF!</v>
      </c>
      <c r="AS71"/>
      <c r="AT71"/>
      <c r="AU71"/>
      <c r="AV71"/>
      <c r="AW71"/>
      <c r="AX71"/>
      <c r="AY71"/>
      <c r="AZ71"/>
      <c r="BA71"/>
      <c r="BB71"/>
      <c r="BC71"/>
      <c r="BD71"/>
      <c r="BE71" s="2477">
        <f>BE70*100*BD35</f>
        <v>0</v>
      </c>
    </row>
    <row r="72" spans="1:66">
      <c r="A72" s="94"/>
      <c r="B72" s="35" t="s">
        <v>8258</v>
      </c>
      <c r="C72" s="2127" t="s">
        <v>6159</v>
      </c>
      <c r="D72" s="2855" t="s">
        <v>6160</v>
      </c>
      <c r="E72" s="2856" t="s">
        <v>6161</v>
      </c>
      <c r="F72" s="2857" t="s">
        <v>6162</v>
      </c>
      <c r="G72" s="2858" t="s">
        <v>6163</v>
      </c>
      <c r="H72" s="2859" t="s">
        <v>6922</v>
      </c>
      <c r="I72" s="2860" t="s">
        <v>6978</v>
      </c>
      <c r="J72" s="2861" t="s">
        <v>8160</v>
      </c>
      <c r="K72" s="2658"/>
      <c r="L72" s="271"/>
      <c r="M72" s="271"/>
      <c r="V72"/>
      <c r="AC72" s="2136"/>
      <c r="AD72" s="2135"/>
      <c r="AS72"/>
      <c r="AT72"/>
      <c r="AU72"/>
      <c r="AV72"/>
      <c r="AW72"/>
      <c r="AX72"/>
      <c r="AY72"/>
      <c r="AZ72"/>
      <c r="BA72"/>
      <c r="BB72"/>
      <c r="BC72"/>
      <c r="BD72"/>
      <c r="BE72" s="2480"/>
    </row>
    <row r="73" spans="1:66">
      <c r="A73" s="94"/>
      <c r="B73" t="s">
        <v>6174</v>
      </c>
      <c r="C73" s="2128">
        <f>MIN('Data Entry - SOF'!C172,'Data Entry - SOF'!C92)</f>
        <v>0</v>
      </c>
      <c r="D73" s="1151" t="e">
        <f>MIN('Data Entry - SOF'!E172,'Data Entry - SOF'!#REF!)</f>
        <v>#REF!</v>
      </c>
      <c r="E73" s="1032">
        <f>MIN('Data Entry - SOF'!E172,'Data Entry - SOF'!E92)</f>
        <v>0</v>
      </c>
      <c r="F73" s="1177">
        <f>MIN('Data Entry - SOF'!E172,'Data Entry - SOF'!K92)</f>
        <v>0</v>
      </c>
      <c r="G73" s="1203">
        <f>MIN('Data Entry - SOF'!E172,'Data Entry - SOF'!M92)</f>
        <v>0</v>
      </c>
      <c r="H73" s="1229">
        <f>MIN('Data Entry - SOF'!E172,'Data Entry - SOF'!O92)</f>
        <v>0</v>
      </c>
      <c r="I73" s="1348">
        <f>MIN('Data Entry - SOF'!E172,'Data Entry - SOF'!Q92)</f>
        <v>0</v>
      </c>
      <c r="J73" s="1741">
        <f>MIN('Data Entry - SOF'!E172,'Data Entry - SOF'!S92)</f>
        <v>0</v>
      </c>
      <c r="K73" s="2658"/>
      <c r="L73" s="271"/>
      <c r="M73" s="271"/>
      <c r="V73"/>
      <c r="AB73" s="2172" t="s">
        <v>4023</v>
      </c>
      <c r="AC73" s="2136" t="s">
        <v>3138</v>
      </c>
      <c r="AD73" s="2173"/>
      <c r="AF73" s="72" t="s">
        <v>4023</v>
      </c>
      <c r="AG73" s="54" t="s">
        <v>3225</v>
      </c>
      <c r="AH73" s="3007"/>
      <c r="AS73"/>
      <c r="AT73"/>
      <c r="AU73"/>
      <c r="AV73"/>
      <c r="AW73"/>
      <c r="AX73"/>
      <c r="AY73"/>
      <c r="AZ73"/>
      <c r="BA73"/>
      <c r="BB73"/>
      <c r="BC73"/>
      <c r="BD73"/>
      <c r="BE73" s="2480"/>
    </row>
    <row r="74" spans="1:66">
      <c r="A74" s="94"/>
      <c r="B74" t="s">
        <v>6176</v>
      </c>
      <c r="C74" s="2118" t="e">
        <f>#REF!</f>
        <v>#REF!</v>
      </c>
      <c r="D74" s="1141" t="e">
        <f>'HH1718-Calcs'!C11</f>
        <v>#REF!</v>
      </c>
      <c r="E74" s="521">
        <f>'HH1819-Calcs'!C11</f>
        <v>0</v>
      </c>
      <c r="F74" s="1167">
        <f>'HH1920-Calcs'!C11</f>
        <v>0</v>
      </c>
      <c r="G74" s="1193">
        <f>'HH2021-Calcs'!C11</f>
        <v>0</v>
      </c>
      <c r="H74" s="1219">
        <f>'HH2122-Calcs'!C11</f>
        <v>0</v>
      </c>
      <c r="I74" s="1349">
        <f>'HH2223-Calcs'!C11</f>
        <v>0</v>
      </c>
      <c r="J74" s="1742">
        <f>'HH2324-Calcs'!C11</f>
        <v>0</v>
      </c>
      <c r="K74" s="2658"/>
      <c r="L74" s="271"/>
      <c r="M74" s="271"/>
      <c r="V74"/>
      <c r="AB74" s="2172" t="s">
        <v>6169</v>
      </c>
      <c r="AC74" s="2174">
        <f>IF('Data Entry - SOF'!C161&gt;=1.5,Assumptions!G88,IF(AC79&gt;=AC80,Assumptions!G88,Assumptions!G88*(('Data Entry - SOF'!C154+(AC79/100))/1)))</f>
        <v>0</v>
      </c>
      <c r="AD74" s="2173"/>
      <c r="AG74" s="4027">
        <f>IF('Data Entry - SOF'!E172&gt;=1,Assumptions!G117,IF(AG79&gt;=AG80,Assumptions!G117,Assumptions!G117*(('Data Entry - SOF'!E154+(AG79/100))/1)))</f>
        <v>0</v>
      </c>
      <c r="AH74" s="3007"/>
      <c r="AS74"/>
      <c r="AT74"/>
      <c r="AU74"/>
      <c r="AV74"/>
      <c r="AW74"/>
      <c r="AX74"/>
      <c r="AY74"/>
      <c r="AZ74"/>
      <c r="BA74"/>
      <c r="BB74"/>
      <c r="BC74"/>
      <c r="BD74"/>
    </row>
    <row r="75" spans="1:66">
      <c r="A75" s="94"/>
      <c r="B75" t="s">
        <v>6171</v>
      </c>
      <c r="C75" s="2118" t="e">
        <f t="shared" ref="C75:H75" si="8">C74/(C73*100)</f>
        <v>#REF!</v>
      </c>
      <c r="D75" s="1152" t="e">
        <f t="shared" si="8"/>
        <v>#REF!</v>
      </c>
      <c r="E75" s="984" t="e">
        <f t="shared" si="8"/>
        <v>#DIV/0!</v>
      </c>
      <c r="F75" s="1178" t="e">
        <f t="shared" si="8"/>
        <v>#DIV/0!</v>
      </c>
      <c r="G75" s="1204" t="e">
        <f t="shared" si="8"/>
        <v>#DIV/0!</v>
      </c>
      <c r="H75" s="1230" t="e">
        <f t="shared" si="8"/>
        <v>#DIV/0!</v>
      </c>
      <c r="I75" s="1350" t="e">
        <f>I74/(I73*100)</f>
        <v>#DIV/0!</v>
      </c>
      <c r="J75" s="1743" t="e">
        <f>J74/(J73*100)</f>
        <v>#DIV/0!</v>
      </c>
      <c r="K75" s="2658"/>
      <c r="L75" s="271"/>
      <c r="M75" s="271"/>
      <c r="V75"/>
      <c r="AB75" s="2138" t="s">
        <v>3852</v>
      </c>
      <c r="AC75" s="2175">
        <f>ROUND(AC74*(((C59-1)*Weights!H44)+1),0)</f>
        <v>0</v>
      </c>
      <c r="AD75" s="2173"/>
      <c r="AF75" s="37" t="s">
        <v>3852</v>
      </c>
      <c r="AG75" s="4028">
        <f>ROUND(AG74*(((E59-1)*Weights!J44)+1),0)</f>
        <v>0</v>
      </c>
      <c r="AH75" s="3007"/>
      <c r="AS75"/>
      <c r="AT75"/>
      <c r="AU75"/>
      <c r="AV75"/>
      <c r="AW75"/>
      <c r="AX75"/>
      <c r="AY75"/>
      <c r="AZ75"/>
      <c r="BA75"/>
      <c r="BB75"/>
      <c r="BC75"/>
      <c r="BD75"/>
    </row>
    <row r="76" spans="1:66">
      <c r="A76" s="94"/>
      <c r="B76" t="s">
        <v>639</v>
      </c>
      <c r="C76" s="2118" t="e">
        <f>C75*IF(C73&lt;'Data Entry - SOF'!C154,(C73*100),('Data Entry - SOF'!C154*100))</f>
        <v>#REF!</v>
      </c>
      <c r="D76" s="1152" t="e">
        <f>D75*IF(D73&lt;'Data Entry - SOF'!#REF!,(D73*100),('Data Entry - SOF'!#REF!*100))</f>
        <v>#REF!</v>
      </c>
      <c r="E76" s="984" t="e">
        <f>E75*IF(E73&lt;FracFunding1819!D5,(E73*100),(FracFunding1819!D5*100))</f>
        <v>#DIV/0!</v>
      </c>
      <c r="F76" s="1178" t="e">
        <f>F75*IF(F73&lt;'Data Entry - SOF'!K154,(F73*100),('Data Entry - SOF'!K154*100))</f>
        <v>#DIV/0!</v>
      </c>
      <c r="G76" s="1204" t="e">
        <f>G75*IF(G73&lt;'Data Entry - SOF'!M154,(G73*100),('Data Entry - SOF'!M154*100))</f>
        <v>#DIV/0!</v>
      </c>
      <c r="H76" s="1230" t="e">
        <f>H75*IF(H73&lt;'Data Entry - SOF'!O154,(H73*100),('Data Entry - SOF'!O154*100))</f>
        <v>#DIV/0!</v>
      </c>
      <c r="I76" s="1350" t="e">
        <f>I75*IF(I73&lt;'Data Entry - SOF'!Q154,(I73*100),('Data Entry - SOF'!Q154*100))</f>
        <v>#DIV/0!</v>
      </c>
      <c r="J76" s="1743" t="e">
        <f>J75*IF(J73&lt;'Data Entry - SOF'!S154,(J73*100),('Data Entry - SOF'!S154*100))</f>
        <v>#DIV/0!</v>
      </c>
      <c r="K76" s="2658"/>
      <c r="L76" s="271"/>
      <c r="M76" s="271"/>
      <c r="V76"/>
      <c r="AB76" s="2138" t="s">
        <v>2859</v>
      </c>
      <c r="AC76" s="2175">
        <f>ROUND(IF(C10&gt;1600,AC75,(1+(1600-IF(C10&gt;C11,C10,C11))*C18)*AC75),0)</f>
        <v>0</v>
      </c>
      <c r="AD76" s="2173"/>
      <c r="AF76" s="37" t="s">
        <v>2859</v>
      </c>
      <c r="AG76" s="4028">
        <f>ROUND(IF(E10&gt;1600,AG75,(1+(1600-IF(E10&gt;E11,E10,E11))*E18)*AG75),0)</f>
        <v>0</v>
      </c>
      <c r="AH76" s="3007"/>
      <c r="AS76"/>
      <c r="AT76"/>
      <c r="AU76"/>
      <c r="AV76"/>
      <c r="AW76"/>
      <c r="AX76"/>
      <c r="AY76"/>
      <c r="AZ76"/>
      <c r="BA76"/>
      <c r="BB76"/>
      <c r="BC76"/>
      <c r="BD76"/>
    </row>
    <row r="77" spans="1:66">
      <c r="A77" s="94"/>
      <c r="B77" s="982" t="s">
        <v>6157</v>
      </c>
      <c r="C77" s="2118" t="e">
        <f>(#REF!-'IFA-OldLaw'!J79-'Data Entry - SOF'!C99)/(C73*100)</f>
        <v>#REF!</v>
      </c>
      <c r="D77" s="1153" t="e">
        <f>('HH1718-Calcs'!C11-'IFA-OldLaw'!#REF!-'Data Entry - SOF'!#REF!)/(D73*100)</f>
        <v>#REF!</v>
      </c>
      <c r="E77" s="983" t="e">
        <f>('HH1819-Calcs'!C11-'IFA-OldLaw'!M79-'Data Entry - SOF'!E99)/(E73*100)</f>
        <v>#DIV/0!</v>
      </c>
      <c r="F77" s="1179" t="e">
        <f>('HH1920-Calcs'!C11-'IFA-OldLaw'!Q79-'Data Entry - SOF'!K99)/(F73*100)</f>
        <v>#DIV/0!</v>
      </c>
      <c r="G77" s="1205" t="e">
        <f>('HH2021-Calcs'!C11-'IFA-OldLaw'!U79-'Data Entry - SOF'!M99)/(G73*100)</f>
        <v>#DIV/0!</v>
      </c>
      <c r="H77" s="1231" t="e">
        <f>('HH2122-Calcs'!C11-'IFA-OldLaw'!Y79-'Data Entry - SOF'!O99)/(H73*100)</f>
        <v>#DIV/0!</v>
      </c>
      <c r="I77" s="1351" t="e">
        <f>('HH2223-Calcs'!C11-'IFA-OldLaw'!AC79-'Data Entry - SOF'!Q99)/(I73*100)</f>
        <v>#DIV/0!</v>
      </c>
      <c r="J77" s="1744" t="e">
        <f>('HH2324-Calcs'!C11-'IFA-OldLaw'!AG79-'Data Entry - SOF'!S99)/(J73*100)</f>
        <v>#DIV/0!</v>
      </c>
      <c r="K77" s="2657"/>
      <c r="L77" s="271"/>
      <c r="M77" s="271"/>
      <c r="V77"/>
      <c r="AB77" s="2138" t="s">
        <v>2860</v>
      </c>
      <c r="AC77" s="2175">
        <f>ROUND(IF(OR(C10&gt;4999.999,'Data Entry - SOF'!C156&lt;12),0,(1+((5000-C10)*Weights!H42))*AC75),0)</f>
        <v>0</v>
      </c>
      <c r="AD77" s="2173"/>
      <c r="AF77" s="37" t="s">
        <v>2860</v>
      </c>
      <c r="AG77" s="4028">
        <f>ROUND(IF(OR(E10&gt;4999.999,'Data Entry - SOF'!E156&lt;12),0,(1+((5000-E10)*Weights!J42))*AG75),0)</f>
        <v>0</v>
      </c>
      <c r="AH77" s="3007"/>
      <c r="AS77"/>
      <c r="AT77"/>
      <c r="AU77"/>
      <c r="AV77"/>
      <c r="AW77"/>
      <c r="AX77"/>
      <c r="AY77"/>
      <c r="AZ77"/>
      <c r="BA77"/>
      <c r="BB77"/>
      <c r="BC77"/>
      <c r="BD77"/>
    </row>
    <row r="78" spans="1:66">
      <c r="A78" s="94"/>
      <c r="B78" s="982" t="s">
        <v>6158</v>
      </c>
      <c r="C78" s="2118" t="e">
        <f>C77*IF(C73&lt;'Data Entry - SOF'!C154,(C73*100),('Data Entry - SOF'!C154*100))</f>
        <v>#REF!</v>
      </c>
      <c r="D78" s="1153" t="e">
        <f>D77*IF(D73&lt;'Data Entry - SOF'!#REF!,(D73*100),('Data Entry - SOF'!#REF!*100))</f>
        <v>#REF!</v>
      </c>
      <c r="E78" s="983" t="e">
        <f>E77*IF(E73&lt;'Data Entry - SOF'!E154,(E73*100),('Data Entry - SOF'!E154*100))</f>
        <v>#DIV/0!</v>
      </c>
      <c r="F78" s="1179" t="e">
        <f>F77*IF(F73&lt;'Data Entry - SOF'!K154,(F73*100),('Data Entry - SOF'!K154*100))</f>
        <v>#DIV/0!</v>
      </c>
      <c r="G78" s="1205" t="e">
        <f>G77*IF(G73&lt;'Data Entry - SOF'!M154,(G73*100),('Data Entry - SOF'!M154*100))</f>
        <v>#DIV/0!</v>
      </c>
      <c r="H78" s="1231" t="e">
        <f>H77*IF(H73&lt;'Data Entry - SOF'!O154,(H73*100),('Data Entry - SOF'!O154*100))</f>
        <v>#DIV/0!</v>
      </c>
      <c r="I78" s="1351" t="e">
        <f>I77*IF(I73&lt;'Data Entry - SOF'!Q154,(I73*100),('Data Entry - SOF'!Q154*100))</f>
        <v>#DIV/0!</v>
      </c>
      <c r="J78" s="1744" t="e">
        <f>J77*IF(J73&lt;'Data Entry - SOF'!S154,(J73*100),('Data Entry - SOF'!S154*100))</f>
        <v>#DIV/0!</v>
      </c>
      <c r="K78" s="2658"/>
      <c r="L78" s="271"/>
      <c r="M78" s="271"/>
      <c r="V78"/>
      <c r="AB78" s="2138" t="s">
        <v>3841</v>
      </c>
      <c r="AC78" s="2175">
        <f>IF(AND(AC77&gt;=AC76,AC77&gt;=AC75),AC77,IF(AND(AC76&gt;=AC75,AC76&gt;=AC77),AC76,AC75))</f>
        <v>0</v>
      </c>
      <c r="AD78" s="2173"/>
      <c r="AF78" s="37" t="s">
        <v>3841</v>
      </c>
      <c r="AG78" s="4028">
        <f>IF(AND(AG77&gt;=AG76,AG77&gt;=AG75),AG77,IF(AND(AG76&gt;=AG75,AG76&gt;=AG77),AG76,AG75))</f>
        <v>0</v>
      </c>
      <c r="AH78" s="3007"/>
      <c r="AS78"/>
      <c r="AT78"/>
      <c r="AU78"/>
      <c r="AV78"/>
      <c r="AW78"/>
      <c r="AX78"/>
      <c r="AY78"/>
      <c r="AZ78"/>
      <c r="BA78"/>
      <c r="BB78"/>
      <c r="BC78"/>
      <c r="BD78"/>
    </row>
    <row r="79" spans="1:66">
      <c r="A79" s="94"/>
      <c r="B79" t="s">
        <v>1792</v>
      </c>
      <c r="C79" s="2129">
        <f>IF(C73&lt;='Data Entry - SOF'!C154,0,IF(C73&gt;'Data Entry - SOF'!C154+0.06,0.06*100,(C73-'Data Entry - SOF'!C154)*100))</f>
        <v>0</v>
      </c>
      <c r="D79" s="1154" t="e">
        <f>IF(D73&lt;='Data Entry - SOF'!#REF!,0,IF(D73&gt;'Data Entry - SOF'!#REF!+0.06,0.06*100,(D73-'Data Entry - SOF'!#REF!)*100))</f>
        <v>#REF!</v>
      </c>
      <c r="E79" s="522">
        <f>IF(E73&lt;='Data Entry - SOF'!E154,0,IF(E73&gt;'Data Entry - SOF'!E154+0.06,0.06*100,(E73-'Data Entry - SOF'!E154)*100))</f>
        <v>0</v>
      </c>
      <c r="F79" s="1180">
        <f>IF(F73&lt;='Data Entry - SOF'!K154,0,IF(F73&gt;'Data Entry - SOF'!K154+0.06,0.06*100,(F73-'Data Entry - SOF'!K154)*100))</f>
        <v>0</v>
      </c>
      <c r="G79" s="1206">
        <f>IF(G73&lt;='Data Entry - SOF'!M154,0,IF(G73&gt;'Data Entry - SOF'!M154+0.06,0.06*100,(G73-'Data Entry - SOF'!M154)*100))</f>
        <v>0</v>
      </c>
      <c r="H79" s="1232">
        <f>IF(H73&lt;='Data Entry - SOF'!O154,0,IF(H73&gt;'Data Entry - SOF'!O154+0.06,0.06*100,(H73-'Data Entry - SOF'!O154)*100))</f>
        <v>0</v>
      </c>
      <c r="I79" s="1352">
        <f>IF(I73&lt;='Data Entry - SOF'!Q154,0,IF(I73&gt;'Data Entry - SOF'!Q154+0.06,0.06*100,(I73-'Data Entry - SOF'!Q154)*100))</f>
        <v>0</v>
      </c>
      <c r="J79" s="1745">
        <f>IF(J73&lt;='Data Entry - SOF'!S154,0,IF(J73&gt;'Data Entry - SOF'!S154+0.06,0.06*100,(J73-'Data Entry - SOF'!S154)*100))</f>
        <v>0</v>
      </c>
      <c r="K79" s="2658"/>
      <c r="L79" s="271"/>
      <c r="M79" s="271"/>
      <c r="Q79" s="119"/>
      <c r="R79" s="119"/>
      <c r="S79" s="119"/>
      <c r="V79"/>
      <c r="AB79" s="2138" t="s">
        <v>3817</v>
      </c>
      <c r="AC79" s="2141">
        <f>IF(AC81-'Data Entry - SOF'!C154&gt;0.06,(AC81-('Data Entry - SOF'!C154+0.06))*100,0)</f>
        <v>0</v>
      </c>
      <c r="AD79" s="2173"/>
      <c r="AF79" s="37" t="s">
        <v>3817</v>
      </c>
      <c r="AG79" s="4029">
        <f>IF(AG81-'Data Entry - SOF'!E154&gt;0.06,(AG81-('Data Entry - SOF'!E154+0.06))*100,0)</f>
        <v>0</v>
      </c>
      <c r="AH79" s="3007"/>
      <c r="AS79"/>
      <c r="AT79"/>
      <c r="AU79"/>
      <c r="AV79"/>
      <c r="AW79"/>
      <c r="AX79"/>
      <c r="AY79"/>
      <c r="AZ79"/>
      <c r="BA79"/>
      <c r="BB79"/>
      <c r="BC79"/>
      <c r="BD79"/>
    </row>
    <row r="80" spans="1:66">
      <c r="A80" s="94"/>
      <c r="B80" t="s">
        <v>1793</v>
      </c>
      <c r="C80" s="2118" t="e">
        <f t="shared" ref="C80:H80" si="9">C79*C75</f>
        <v>#REF!</v>
      </c>
      <c r="D80" s="1141" t="e">
        <f t="shared" si="9"/>
        <v>#REF!</v>
      </c>
      <c r="E80" s="521" t="e">
        <f t="shared" si="9"/>
        <v>#DIV/0!</v>
      </c>
      <c r="F80" s="1167" t="e">
        <f t="shared" si="9"/>
        <v>#DIV/0!</v>
      </c>
      <c r="G80" s="1193" t="e">
        <f t="shared" si="9"/>
        <v>#DIV/0!</v>
      </c>
      <c r="H80" s="1219" t="e">
        <f t="shared" si="9"/>
        <v>#DIV/0!</v>
      </c>
      <c r="I80" s="1349" t="e">
        <f>I79*I75</f>
        <v>#DIV/0!</v>
      </c>
      <c r="J80" s="1742" t="e">
        <f>J79*J75</f>
        <v>#DIV/0!</v>
      </c>
      <c r="K80" s="2658"/>
      <c r="L80" s="271"/>
      <c r="M80" s="271"/>
      <c r="Q80" s="119"/>
      <c r="R80" s="119"/>
      <c r="V80"/>
      <c r="AB80" s="2138" t="s">
        <v>3816</v>
      </c>
      <c r="AC80" s="2176">
        <f>ROUNDDOWN(IF('Data Entry - SOF'!C154&gt;=1,0,(1 -'Data Entry - SOF'!C154)*100),4)</f>
        <v>100</v>
      </c>
      <c r="AD80" s="2173"/>
      <c r="AF80" s="37" t="s">
        <v>3816</v>
      </c>
      <c r="AG80" s="4030">
        <f>ROUNDDOWN(IF('Data Entry - SOF'!E154&gt;=1,0,(1 -'Data Entry - SOF'!E154)*100),4)</f>
        <v>100</v>
      </c>
      <c r="AH80" s="3007"/>
      <c r="AS80"/>
      <c r="AT80"/>
      <c r="AU80"/>
      <c r="AV80"/>
      <c r="AW80"/>
      <c r="AX80"/>
      <c r="AY80"/>
      <c r="AZ80"/>
      <c r="BA80"/>
      <c r="BB80"/>
      <c r="BC80"/>
      <c r="BD80"/>
    </row>
    <row r="81" spans="1:66">
      <c r="A81" s="94"/>
      <c r="B81" s="35" t="s">
        <v>788</v>
      </c>
      <c r="C81" s="2129" t="e">
        <f>ROUND(((C79*C75)/'Data Entry - SOF'!C73)*100,4)</f>
        <v>#REF!</v>
      </c>
      <c r="D81" s="1154" t="e">
        <f>ROUND(((D79*D75)/'Data Entry - SOF'!#REF!)*100,4)</f>
        <v>#REF!</v>
      </c>
      <c r="E81" s="522" t="e">
        <f>ROUND(((E79*E75)/'Data Entry - SOF'!E73)*100,4)</f>
        <v>#DIV/0!</v>
      </c>
      <c r="F81" s="1180" t="e">
        <f>ROUND(((F79*F75)/'Data Entry - SOF'!K73)*100,4)</f>
        <v>#DIV/0!</v>
      </c>
      <c r="G81" s="1206" t="e">
        <f>ROUND(((G79*G75)/'Data Entry - SOF'!M73)*100,4)</f>
        <v>#DIV/0!</v>
      </c>
      <c r="H81" s="1232" t="e">
        <f>ROUND(((H79*H75)/'Data Entry - SOF'!O73)*100,4)</f>
        <v>#DIV/0!</v>
      </c>
      <c r="I81" s="1352" t="e">
        <f>ROUND(((I79*I75)/'Data Entry - SOF'!Q73)*100,4)</f>
        <v>#DIV/0!</v>
      </c>
      <c r="J81" s="1745" t="e">
        <f>ROUND(((J79*J75)/'Data Entry - SOF'!S73)*100,4)</f>
        <v>#DIV/0!</v>
      </c>
      <c r="K81" s="2658"/>
      <c r="L81" s="271"/>
      <c r="M81" s="271"/>
      <c r="Q81" s="119"/>
      <c r="R81" s="119"/>
      <c r="V81"/>
      <c r="AB81" s="2143"/>
      <c r="AC81" s="2177">
        <f>MIN('Data Entry - SOF'!C172,'Data Entry - SOF'!C92)</f>
        <v>0</v>
      </c>
      <c r="AD81" s="2178" t="s">
        <v>6170</v>
      </c>
      <c r="AF81" s="203"/>
      <c r="AG81" s="4031">
        <f>MIN('Data Entry - SOF'!E172,'Data Entry - SOF'!E82)</f>
        <v>0</v>
      </c>
      <c r="AH81" s="69" t="s">
        <v>6170</v>
      </c>
      <c r="AS81"/>
      <c r="AT81"/>
      <c r="AU81"/>
      <c r="AV81"/>
      <c r="AW81"/>
      <c r="AX81"/>
      <c r="AY81"/>
      <c r="AZ81"/>
      <c r="BA81"/>
      <c r="BB81"/>
      <c r="BC81"/>
      <c r="BD81"/>
      <c r="BE81" s="2488" t="s">
        <v>6170</v>
      </c>
    </row>
    <row r="82" spans="1:66">
      <c r="A82" s="94"/>
      <c r="B82" t="s">
        <v>1230</v>
      </c>
      <c r="C82" s="2129">
        <f>IF(C73-'Data Entry - SOF'!C154&gt;0.06,(C73-('Data Entry - SOF'!C154+0.06))*100,0)</f>
        <v>0</v>
      </c>
      <c r="D82" s="1154" t="e">
        <f>IF(D73-'Data Entry - SOF'!#REF!&gt;0.06,(D73-('Data Entry - SOF'!#REF!+0.06))*100,0)</f>
        <v>#REF!</v>
      </c>
      <c r="E82" s="522">
        <f>IF(E73-'Data Entry - SOF'!E154&gt;0.06,(E73-('Data Entry - SOF'!E154+0.06))*100,0)</f>
        <v>0</v>
      </c>
      <c r="F82" s="1180">
        <f>IF(F73-'Data Entry - SOF'!K154&gt;0.06,(F73-('Data Entry - SOF'!K154+0.06))*100,0)</f>
        <v>0</v>
      </c>
      <c r="G82" s="1206">
        <f>IF(G73-'Data Entry - SOF'!M154&gt;0.06,(G73-('Data Entry - SOF'!M154+0.06))*100,0)</f>
        <v>0</v>
      </c>
      <c r="H82" s="1232">
        <f>IF(H73-'Data Entry - SOF'!O154&gt;0.06,(H73-('Data Entry - SOF'!O154+0.06))*100,0)</f>
        <v>0</v>
      </c>
      <c r="I82" s="1352">
        <f>IF(I73-'Data Entry - SOF'!Q154&gt;0.06,(I73-('Data Entry - SOF'!Q154+0.06))*100,0)</f>
        <v>0</v>
      </c>
      <c r="J82" s="1745">
        <f>IF(J73-'Data Entry - SOF'!S154&gt;0.06,(J73-('Data Entry - SOF'!S154+0.06))*100,0)</f>
        <v>0</v>
      </c>
      <c r="K82" s="2658"/>
      <c r="L82" s="271"/>
      <c r="M82" s="271"/>
      <c r="Q82" s="119"/>
      <c r="R82" s="119"/>
      <c r="V82"/>
      <c r="AC82" s="2179"/>
      <c r="AD82" s="2173"/>
      <c r="AG82" s="4032"/>
      <c r="AH82" s="3007"/>
      <c r="AS82"/>
      <c r="AT82"/>
      <c r="AU82"/>
      <c r="AV82"/>
      <c r="AW82"/>
      <c r="AX82"/>
      <c r="AY82"/>
      <c r="AZ82"/>
      <c r="BA82"/>
      <c r="BB82"/>
      <c r="BC82"/>
      <c r="BD82"/>
    </row>
    <row r="83" spans="1:66">
      <c r="A83" s="94"/>
      <c r="B83" t="s">
        <v>987</v>
      </c>
      <c r="C83" s="2118" t="e">
        <f t="shared" ref="C83:H83" si="10">C82*C75</f>
        <v>#REF!</v>
      </c>
      <c r="D83" s="1141" t="e">
        <f t="shared" si="10"/>
        <v>#REF!</v>
      </c>
      <c r="E83" s="521" t="e">
        <f t="shared" si="10"/>
        <v>#DIV/0!</v>
      </c>
      <c r="F83" s="1167" t="e">
        <f t="shared" si="10"/>
        <v>#DIV/0!</v>
      </c>
      <c r="G83" s="1193" t="e">
        <f t="shared" si="10"/>
        <v>#DIV/0!</v>
      </c>
      <c r="H83" s="1219" t="e">
        <f t="shared" si="10"/>
        <v>#DIV/0!</v>
      </c>
      <c r="I83" s="1349" t="e">
        <f>I82*I75</f>
        <v>#DIV/0!</v>
      </c>
      <c r="J83" s="1742" t="e">
        <f>J82*J75</f>
        <v>#DIV/0!</v>
      </c>
      <c r="K83" s="2658"/>
      <c r="L83" s="271"/>
      <c r="M83" s="271"/>
      <c r="P83" s="91"/>
      <c r="Q83" s="91"/>
      <c r="V83"/>
      <c r="AB83" s="2138" t="s">
        <v>3818</v>
      </c>
      <c r="AC83" s="2176">
        <f>IF(AC79-AC80&lt;=0,0,AC79-AC80)</f>
        <v>0</v>
      </c>
      <c r="AD83" s="2173"/>
      <c r="AF83" s="37" t="s">
        <v>3818</v>
      </c>
      <c r="AG83" s="4033">
        <f>IF(AG79-AG80&lt;=0,0,AG79-AG80)</f>
        <v>0</v>
      </c>
      <c r="AH83" s="3007"/>
      <c r="AS83"/>
      <c r="AT83"/>
      <c r="AU83"/>
      <c r="AV83"/>
      <c r="AW83"/>
      <c r="AX83"/>
      <c r="AY83"/>
      <c r="AZ83"/>
      <c r="BA83"/>
      <c r="BB83"/>
      <c r="BC83"/>
      <c r="BD83"/>
    </row>
    <row r="84" spans="1:66">
      <c r="A84" s="94"/>
      <c r="B84" s="35" t="s">
        <v>791</v>
      </c>
      <c r="C84" s="2129" t="e">
        <f>ROUND(((C82*C75)/'Data Entry - SOF'!C73)*100,4)</f>
        <v>#REF!</v>
      </c>
      <c r="D84" s="1154" t="e">
        <f>ROUND(((D82*D75)/'Data Entry - SOF'!#REF!)*100,4)</f>
        <v>#REF!</v>
      </c>
      <c r="E84" s="522" t="e">
        <f>ROUND(((E82*E75)/'Data Entry - SOF'!E73)*100,4)</f>
        <v>#DIV/0!</v>
      </c>
      <c r="F84" s="1180" t="e">
        <f>ROUND(((F82*F75)/'Data Entry - SOF'!K73)*100,4)</f>
        <v>#DIV/0!</v>
      </c>
      <c r="G84" s="1206" t="e">
        <f>ROUND(((G82*G75)/'Data Entry - SOF'!M73)*100,4)</f>
        <v>#DIV/0!</v>
      </c>
      <c r="H84" s="1232" t="e">
        <f>ROUND(((H82*H75)/'Data Entry - SOF'!O73)*100,4)</f>
        <v>#DIV/0!</v>
      </c>
      <c r="I84" s="1352" t="e">
        <f>ROUND(((I82*I75)/'Data Entry - SOF'!Q73)*100,4)</f>
        <v>#DIV/0!</v>
      </c>
      <c r="J84" s="1745" t="e">
        <f>ROUND(((J82*J75)/'Data Entry - SOF'!S73)*100,4)</f>
        <v>#DIV/0!</v>
      </c>
      <c r="K84" s="2658"/>
      <c r="L84" s="271"/>
      <c r="M84" s="271"/>
      <c r="P84" s="91"/>
      <c r="Q84" s="91"/>
      <c r="V84"/>
      <c r="AB84" s="2138" t="s">
        <v>3819</v>
      </c>
      <c r="AC84" s="2180" t="e">
        <f>ROUND(IF((AC83*AC90)/'Data Entry - SOF'!C73*100&gt;0.17,0.17,(AC83*AC90)/'Data Entry - SOF'!C73*100),4)</f>
        <v>#REF!</v>
      </c>
      <c r="AD84" s="2173"/>
      <c r="AF84" s="37" t="s">
        <v>3819</v>
      </c>
      <c r="AG84" s="4034" t="e">
        <f>ROUND(IF((((AG83*AH35)/'Data Entry - SOF'!E73)*100)&gt;0.17,0.17,((AG83*AH35)/'Data Entry - SOF'!E73)*100),4)</f>
        <v>#DIV/0!</v>
      </c>
      <c r="AH84" s="3007"/>
      <c r="AS84"/>
      <c r="AT84"/>
      <c r="AU84"/>
      <c r="AV84"/>
      <c r="AW84"/>
      <c r="AX84"/>
      <c r="AY84"/>
      <c r="AZ84"/>
      <c r="BA84"/>
      <c r="BB84"/>
      <c r="BC84"/>
      <c r="BD84"/>
    </row>
    <row r="85" spans="1:66">
      <c r="A85" s="94"/>
      <c r="B85" s="35"/>
      <c r="C85" s="2130"/>
      <c r="D85" s="1155"/>
      <c r="E85" s="981"/>
      <c r="F85" s="1181"/>
      <c r="G85" s="1207"/>
      <c r="H85" s="1233"/>
      <c r="I85" s="1353"/>
      <c r="J85" s="1746"/>
      <c r="K85" s="2658"/>
      <c r="L85" s="271"/>
      <c r="M85" s="271"/>
      <c r="P85"/>
      <c r="V85"/>
      <c r="AB85" s="2138" t="s">
        <v>3820</v>
      </c>
      <c r="AC85" s="2181">
        <f>'Data Entry - SOF'!C154+IF(AC79&lt;AC80,(AC79/100),(AC80/100))</f>
        <v>0</v>
      </c>
      <c r="AD85" s="2173"/>
      <c r="AF85" s="37" t="s">
        <v>3820</v>
      </c>
      <c r="AG85" s="4034">
        <f>'Data Entry - SOF'!E154+IF(AG79&lt;AG80,(AG79/100),(AG80/100))</f>
        <v>0</v>
      </c>
      <c r="AH85" s="3007"/>
      <c r="AS85"/>
      <c r="AT85"/>
      <c r="AU85"/>
      <c r="AV85"/>
      <c r="AW85"/>
      <c r="AX85"/>
      <c r="AY85"/>
      <c r="AZ85"/>
      <c r="BA85"/>
      <c r="BB85"/>
      <c r="BC85"/>
      <c r="BD85"/>
    </row>
    <row r="86" spans="1:66">
      <c r="A86" s="94"/>
      <c r="C86" s="2130"/>
      <c r="D86" s="1155"/>
      <c r="E86" s="981"/>
      <c r="F86" s="1181"/>
      <c r="G86" s="1207"/>
      <c r="H86" s="1233"/>
      <c r="I86" s="1353"/>
      <c r="J86" s="1746"/>
      <c r="K86" s="2658"/>
      <c r="L86" s="271"/>
      <c r="M86" s="271"/>
      <c r="V86"/>
      <c r="AB86" s="2138" t="s">
        <v>3821</v>
      </c>
      <c r="AC86" s="2182" t="e">
        <f>AC83*AC90</f>
        <v>#REF!</v>
      </c>
      <c r="AD86" s="2173"/>
      <c r="AF86" s="37" t="s">
        <v>3821</v>
      </c>
      <c r="AG86" s="4035" t="e">
        <f>AG83*AG90</f>
        <v>#DIV/0!</v>
      </c>
      <c r="AH86" s="3007"/>
      <c r="AS86"/>
      <c r="AT86"/>
      <c r="AU86"/>
      <c r="AV86"/>
      <c r="AW86"/>
      <c r="AX86"/>
      <c r="AY86"/>
      <c r="AZ86"/>
      <c r="BA86"/>
      <c r="BB86"/>
      <c r="BC86"/>
      <c r="BD86"/>
    </row>
    <row r="87" spans="1:66">
      <c r="A87" s="94"/>
      <c r="C87" s="2130"/>
      <c r="D87" s="1155"/>
      <c r="E87" s="981"/>
      <c r="F87" s="1181"/>
      <c r="G87" s="1207"/>
      <c r="H87" s="1233"/>
      <c r="I87" s="1353"/>
      <c r="J87" s="1746"/>
      <c r="K87" s="2658"/>
      <c r="L87" s="271"/>
      <c r="M87" s="271"/>
      <c r="V87"/>
      <c r="AB87" s="2172" t="s">
        <v>3822</v>
      </c>
      <c r="AC87" s="2182" t="e">
        <f>AC90*IF(AC81&lt;='Calc Data'!AC85,(AC81*100),('Calc Data'!AC85*100))</f>
        <v>#REF!</v>
      </c>
      <c r="AD87" s="2173"/>
      <c r="AF87" s="72" t="s">
        <v>3822</v>
      </c>
      <c r="AG87" s="4035" t="e">
        <f>AG90*IF(AG81&lt;='Calc Data'!AG85,(AG81*100),('Calc Data'!AG85*100))</f>
        <v>#DIV/0!</v>
      </c>
      <c r="AH87" s="4036"/>
      <c r="AS87"/>
      <c r="AT87"/>
      <c r="AU87"/>
      <c r="AV87"/>
      <c r="AW87"/>
      <c r="AX87"/>
      <c r="AY87"/>
      <c r="AZ87"/>
      <c r="BA87"/>
      <c r="BB87"/>
      <c r="BC87"/>
      <c r="BD87"/>
    </row>
    <row r="88" spans="1:66">
      <c r="B88" s="121" t="s">
        <v>789</v>
      </c>
      <c r="C88" s="2118" t="e">
        <f>C81*('Data Entry - SOF'!C73/100)</f>
        <v>#REF!</v>
      </c>
      <c r="D88" s="1141" t="e">
        <f>D81*('Data Entry - SOF'!#REF!/100)</f>
        <v>#REF!</v>
      </c>
      <c r="E88" s="521" t="e">
        <f>E81*('Data Entry - SOF'!E73/100)</f>
        <v>#DIV/0!</v>
      </c>
      <c r="F88" s="1167" t="e">
        <f>F81*('Data Entry - SOF'!K73/100)</f>
        <v>#DIV/0!</v>
      </c>
      <c r="G88" s="1193" t="e">
        <f>G81*('Data Entry - SOF'!M73/100)</f>
        <v>#DIV/0!</v>
      </c>
      <c r="H88" s="1219" t="e">
        <f>H81*('Data Entry - SOF'!O73/100)</f>
        <v>#DIV/0!</v>
      </c>
      <c r="I88" s="1349" t="e">
        <f>I81*('Data Entry - SOF'!Q73/100)</f>
        <v>#DIV/0!</v>
      </c>
      <c r="J88" s="1742" t="e">
        <f>J81*('Data Entry - SOF'!S73/100)</f>
        <v>#DIV/0!</v>
      </c>
      <c r="K88" s="2658"/>
      <c r="L88" s="271"/>
      <c r="M88" s="271"/>
      <c r="V88"/>
      <c r="AB88" s="2138" t="s">
        <v>3847</v>
      </c>
      <c r="AC88" s="2183" t="e">
        <f>AC84*('Data Entry - SOF'!C73/100)</f>
        <v>#REF!</v>
      </c>
      <c r="AD88" s="2173"/>
      <c r="AF88" s="37" t="s">
        <v>3847</v>
      </c>
      <c r="AG88" s="4035" t="e">
        <f>AG84*('Data Entry - SOF'!C70/100)</f>
        <v>#DIV/0!</v>
      </c>
      <c r="AH88" s="3007"/>
      <c r="AS88"/>
      <c r="AT88"/>
      <c r="AU88"/>
      <c r="AV88"/>
      <c r="AW88"/>
      <c r="AX88"/>
      <c r="AY88"/>
      <c r="AZ88"/>
      <c r="BA88"/>
      <c r="BB88"/>
      <c r="BC88"/>
      <c r="BD88"/>
    </row>
    <row r="89" spans="1:66">
      <c r="B89" s="121" t="s">
        <v>790</v>
      </c>
      <c r="C89" s="2118" t="e">
        <f>C84*('Data Entry - SOF'!C73/100)</f>
        <v>#REF!</v>
      </c>
      <c r="D89" s="1141" t="e">
        <f>D84*('Data Entry - SOF'!#REF!/100)</f>
        <v>#REF!</v>
      </c>
      <c r="E89" s="521" t="e">
        <f>E84*('Data Entry - SOF'!E73/100)</f>
        <v>#DIV/0!</v>
      </c>
      <c r="F89" s="1167" t="e">
        <f>F84*('Data Entry - SOF'!K73/100)</f>
        <v>#DIV/0!</v>
      </c>
      <c r="G89" s="1193" t="e">
        <f>G84*('Data Entry - SOF'!M73/100)</f>
        <v>#DIV/0!</v>
      </c>
      <c r="H89" s="1219" t="e">
        <f>H84*('Data Entry - SOF'!O73/100)</f>
        <v>#DIV/0!</v>
      </c>
      <c r="I89" s="1349" t="e">
        <f>I84*('Data Entry - SOF'!Q73/100)</f>
        <v>#DIV/0!</v>
      </c>
      <c r="J89" s="1742" t="e">
        <f>J84*('Data Entry - SOF'!S73/100)</f>
        <v>#DIV/0!</v>
      </c>
      <c r="K89" s="2658"/>
      <c r="L89" s="271"/>
      <c r="M89" s="271"/>
      <c r="V89"/>
      <c r="AA89" s="141"/>
      <c r="AB89" s="2172"/>
      <c r="AC89" s="2184"/>
      <c r="AD89" s="2150" t="s">
        <v>8250</v>
      </c>
      <c r="AE89" s="2150" t="s">
        <v>8251</v>
      </c>
      <c r="AF89" s="141"/>
      <c r="AG89" s="4037"/>
      <c r="AH89" s="3007"/>
      <c r="AS89"/>
      <c r="AT89"/>
      <c r="AU89"/>
      <c r="AV89"/>
      <c r="AW89"/>
      <c r="AX89"/>
      <c r="AY89"/>
      <c r="AZ89"/>
      <c r="BA89"/>
      <c r="BB89"/>
      <c r="BC89"/>
      <c r="BD89"/>
    </row>
    <row r="90" spans="1:66">
      <c r="A90" s="35"/>
      <c r="B90" s="73"/>
      <c r="K90" s="2658"/>
      <c r="L90" s="271"/>
      <c r="M90" s="271"/>
      <c r="N90" s="35"/>
      <c r="O90" s="35"/>
      <c r="P90" s="35"/>
      <c r="V90"/>
      <c r="AC90" s="2185" t="e">
        <f>(#REF!-'IFA-OldLaw'!J79)/(AC81*100)</f>
        <v>#REF!</v>
      </c>
      <c r="AD90" s="2186" t="e">
        <f>(#REF!-'IFA-OldLaw'!J79-'Data Entry - SOF'!C99)/(AC81*100)</f>
        <v>#REF!</v>
      </c>
      <c r="AE90" s="2154"/>
      <c r="AF90" s="72" t="s">
        <v>8552</v>
      </c>
      <c r="AG90" s="4035" t="e">
        <f>('HH1819-Calcs'!C11-'IFA-OldLaw'!N79)/(AG81*100)</f>
        <v>#DIV/0!</v>
      </c>
      <c r="AH90" s="3007"/>
      <c r="AS90"/>
      <c r="AT90"/>
      <c r="AU90"/>
      <c r="AV90"/>
      <c r="AW90"/>
      <c r="AX90"/>
      <c r="AY90"/>
      <c r="AZ90"/>
      <c r="BA90"/>
      <c r="BB90"/>
      <c r="BC90"/>
      <c r="BD90"/>
    </row>
    <row r="91" spans="1:66">
      <c r="A91" s="35"/>
      <c r="B91" s="73"/>
      <c r="F91" s="137"/>
      <c r="H91" s="137"/>
      <c r="K91" s="2658"/>
      <c r="L91" s="271"/>
      <c r="M91" s="271"/>
      <c r="N91" s="35"/>
      <c r="O91" s="35"/>
      <c r="P91" s="35"/>
      <c r="S91" s="5"/>
      <c r="V91"/>
      <c r="AC91" s="2185"/>
      <c r="AD91" s="2187" t="e">
        <f>AD90*IF(AC81&lt;'Data Entry - SOF'!C154,(AC81*100),('Data Entry - SOF'!C154*100))</f>
        <v>#REF!</v>
      </c>
      <c r="AE91" s="2188" t="e">
        <f>AD90*IF(AC81&lt;='Calc Data'!AC85,(AC81*100),('Calc Data'!AC85*100))</f>
        <v>#REF!</v>
      </c>
      <c r="AG91" s="4035"/>
      <c r="AH91" s="3007"/>
      <c r="AS91"/>
      <c r="AT91"/>
      <c r="AU91"/>
      <c r="AV91"/>
      <c r="AW91"/>
      <c r="AX91"/>
      <c r="AY91"/>
      <c r="AZ91"/>
      <c r="BA91"/>
      <c r="BB91"/>
      <c r="BC91"/>
      <c r="BD91"/>
    </row>
    <row r="92" spans="1:66">
      <c r="A92" s="35"/>
      <c r="B92" s="3012"/>
      <c r="C92" s="3013"/>
      <c r="D92" s="3014"/>
      <c r="E92" s="3070" t="s">
        <v>8827</v>
      </c>
      <c r="F92" s="4015" t="s">
        <v>3284</v>
      </c>
      <c r="G92" s="4015" t="s">
        <v>3922</v>
      </c>
      <c r="H92" s="3478" t="s">
        <v>8827</v>
      </c>
      <c r="I92" s="3070" t="s">
        <v>8827</v>
      </c>
      <c r="J92" s="4015" t="s">
        <v>6374</v>
      </c>
      <c r="K92" s="3070" t="s">
        <v>8827</v>
      </c>
      <c r="L92" s="4015" t="s">
        <v>6939</v>
      </c>
      <c r="M92" s="3070" t="s">
        <v>8827</v>
      </c>
      <c r="N92" s="4015" t="s">
        <v>8157</v>
      </c>
      <c r="O92" s="35"/>
      <c r="P92" s="35"/>
      <c r="S92" s="5"/>
      <c r="V92"/>
      <c r="AC92" s="2185"/>
      <c r="AD92" s="2158" t="s">
        <v>8247</v>
      </c>
      <c r="AE92" s="2159"/>
      <c r="AF92" s="37" t="s">
        <v>6172</v>
      </c>
      <c r="AG92" s="4038">
        <f>IF(AG81&lt;='Data Entry - SOF'!E154,0,IF(AG81&gt;'Data Entry - SOF'!E154+0.06,0.06*100,(AG81-'Data Entry - SOF'!E154)*100))</f>
        <v>0</v>
      </c>
      <c r="AH92" s="3007"/>
      <c r="AS92"/>
      <c r="AT92"/>
      <c r="AU92"/>
      <c r="AV92"/>
      <c r="AW92"/>
      <c r="AX92"/>
      <c r="AY92"/>
      <c r="AZ92"/>
      <c r="BA92"/>
      <c r="BB92"/>
      <c r="BC92"/>
      <c r="BD92"/>
    </row>
    <row r="93" spans="1:66">
      <c r="B93" s="2985"/>
      <c r="C93" s="3013"/>
      <c r="D93" s="3014"/>
      <c r="E93" s="3015">
        <f>IF(F12&gt;1600,0,IF(F12&gt;F11,F12,F11))</f>
        <v>0</v>
      </c>
      <c r="F93" s="3016">
        <f>IF(E93=0,0,((1600-E93)*'Weights-HB3'!G56)*Assumptions!H118)</f>
        <v>0</v>
      </c>
      <c r="G93" s="3016">
        <f>IF(H93=0,0,((1600-H93)*'Weights-HB3'!H56)*Assumptions!H127)</f>
        <v>0</v>
      </c>
      <c r="H93" s="3478">
        <f>IF(G12&gt;1600,0,IF(G12&gt;G11,G12,G11))</f>
        <v>0</v>
      </c>
      <c r="I93" s="3070">
        <f>IF(H12&gt;1600,0,IF(H12&gt;H11,H12,H11))</f>
        <v>0</v>
      </c>
      <c r="J93" s="3016">
        <f>IF(I93=0,0,((1600-I93)*'Weights-HB3'!I56)*Assumptions!H136)</f>
        <v>0</v>
      </c>
      <c r="K93" s="3070">
        <f>IF(I12&gt;1600,0,IF(I12&gt;I11,I12,I11))</f>
        <v>0</v>
      </c>
      <c r="L93" s="3016">
        <f>IF(K93=0,0,((1600-K93)*'Weights-HB3'!J56)*Assumptions!H145)</f>
        <v>0</v>
      </c>
      <c r="M93" s="3070">
        <f>IF(J12&gt;1600,0,IF(J12&gt;J11,J12,J11))</f>
        <v>0</v>
      </c>
      <c r="N93" s="3016">
        <f>IF(M93=0,0,((1600-M93)*'Weights-HB3'!K56)*Assumptions!H154)</f>
        <v>0</v>
      </c>
      <c r="V93"/>
      <c r="AC93" s="2185"/>
      <c r="AD93" s="2161" t="s">
        <v>8248</v>
      </c>
      <c r="AE93" s="2162"/>
      <c r="AF93" s="37" t="s">
        <v>6173</v>
      </c>
      <c r="AG93" s="4039" t="e">
        <f>AG92*AG90</f>
        <v>#DIV/0!</v>
      </c>
      <c r="AH93" s="3007"/>
      <c r="AS93"/>
      <c r="AT93"/>
      <c r="AU93"/>
      <c r="AV93"/>
      <c r="AW93"/>
      <c r="AX93"/>
      <c r="AY93"/>
      <c r="AZ93"/>
      <c r="BA93"/>
      <c r="BB93"/>
      <c r="BC93"/>
      <c r="BD93"/>
    </row>
    <row r="94" spans="1:66" s="152" customFormat="1">
      <c r="A94" s="71"/>
      <c r="B94" s="2985"/>
      <c r="C94" s="3013"/>
      <c r="D94" s="3014"/>
      <c r="E94" s="3018">
        <f>IF(F12&gt;5000,0,F12)</f>
        <v>0</v>
      </c>
      <c r="F94" s="3017">
        <f>IF(E94=0,0,IF(AND(E94&lt;5000,'Data Entry - SOF'!K156=12),((5000-E94)*'Weights-HB3'!G57)*Assumptions!H118,0))</f>
        <v>0</v>
      </c>
      <c r="G94" s="3017">
        <f>IF(H94=0,0,IF(AND(H94&lt;5000,'Data Entry - SOF'!M156=12),((5000-H94)*'Weights-HB3'!H57)*Assumptions!H127,0))</f>
        <v>0</v>
      </c>
      <c r="H94" s="3478">
        <f>IF(G12&gt;5000,0,G12)</f>
        <v>0</v>
      </c>
      <c r="I94" s="3070">
        <f>IF(H12&gt;5000,0,H12)</f>
        <v>0</v>
      </c>
      <c r="J94" s="3017">
        <f>IF(I94=0,0,IF(AND(I94&lt;5000,'Data Entry - SOF'!O156=12),((5000-I94)*'Weights-HB3'!I57)*Assumptions!H136,0))</f>
        <v>0</v>
      </c>
      <c r="K94" s="3070">
        <f>IF(I12&gt;5000,0,I12)</f>
        <v>0</v>
      </c>
      <c r="L94" s="3017">
        <f>IF(K94=0,0,IF(AND(K94&lt;5000,'Data Entry - SOF'!Q156=12),((5000-K94)*'Weights-HB3'!J57)*Assumptions!H145,0))</f>
        <v>0</v>
      </c>
      <c r="M94" s="3070">
        <f>IF(J12&gt;5000,0,J12)</f>
        <v>0</v>
      </c>
      <c r="N94" s="3017">
        <f>IF(M94=0,0,IF(AND(M94&lt;5000,'Data Entry - SOF'!S156=12),((5000-M94)*'Weights-HB3'!K57)*Assumptions!H154,0))</f>
        <v>0</v>
      </c>
      <c r="O94"/>
      <c r="P94"/>
      <c r="Q94" s="119"/>
      <c r="R94"/>
      <c r="S94"/>
      <c r="T94" s="252"/>
      <c r="U94" s="253"/>
      <c r="V94"/>
      <c r="W94"/>
      <c r="X94"/>
      <c r="Y94"/>
      <c r="Z94"/>
      <c r="AA94"/>
      <c r="AB94" s="2011"/>
      <c r="AC94" s="2185"/>
      <c r="AD94" s="2165" t="s">
        <v>8249</v>
      </c>
      <c r="AE94" s="2492"/>
      <c r="AF94" s="3067" t="s">
        <v>3856</v>
      </c>
      <c r="AG94" s="4040" t="e">
        <f>E81*('Data Entry - SOF'!E73/100)</f>
        <v>#DIV/0!</v>
      </c>
      <c r="AH94"/>
      <c r="AI94"/>
      <c r="AJ94"/>
      <c r="AK94"/>
      <c r="AL94"/>
      <c r="AM94"/>
      <c r="AN94"/>
      <c r="AO94"/>
      <c r="AP94"/>
      <c r="AQ94"/>
      <c r="AR94"/>
      <c r="AS94"/>
      <c r="AT94"/>
      <c r="AU94"/>
      <c r="AV94"/>
      <c r="AW94"/>
      <c r="AX94"/>
      <c r="AY94"/>
      <c r="AZ94"/>
      <c r="BA94"/>
      <c r="BB94"/>
      <c r="BC94"/>
      <c r="BD94"/>
      <c r="BE94" s="2477"/>
      <c r="BF94" s="2477"/>
      <c r="BG94" s="2478"/>
      <c r="BH94" s="2461"/>
      <c r="BI94" s="2461"/>
      <c r="BJ94" s="2461"/>
      <c r="BK94" s="2461"/>
      <c r="BL94" s="2461"/>
      <c r="BM94" s="2461"/>
      <c r="BN94" s="2461"/>
    </row>
    <row r="95" spans="1:66" s="152" customFormat="1">
      <c r="A95"/>
      <c r="B95" s="3012"/>
      <c r="C95" s="3013"/>
      <c r="D95" s="3014"/>
      <c r="E95" s="3018" t="s">
        <v>9214</v>
      </c>
      <c r="F95" s="3017">
        <f>MAX(F93:F94)</f>
        <v>0</v>
      </c>
      <c r="G95" s="3017">
        <f>MAX(G93:G94)</f>
        <v>0</v>
      </c>
      <c r="H95" s="3478"/>
      <c r="I95" s="3478"/>
      <c r="J95" s="3017">
        <f>MAX(J93:J94)</f>
        <v>0</v>
      </c>
      <c r="K95" s="3478"/>
      <c r="L95" s="3017">
        <f>MAX(L93:L94)</f>
        <v>0</v>
      </c>
      <c r="M95" s="3478"/>
      <c r="N95" s="3017">
        <f>MAX(N93:N94)</f>
        <v>0</v>
      </c>
      <c r="O95"/>
      <c r="P95" s="119"/>
      <c r="Q95"/>
      <c r="R95"/>
      <c r="S95"/>
      <c r="T95"/>
      <c r="U95"/>
      <c r="V95"/>
      <c r="W95"/>
      <c r="X95"/>
      <c r="Y95"/>
      <c r="Z95"/>
      <c r="AA95"/>
      <c r="AB95" s="2011"/>
      <c r="AC95" s="2185"/>
      <c r="AD95" s="2185"/>
      <c r="AE95" s="2189"/>
      <c r="AF95"/>
      <c r="AG95"/>
      <c r="AH95"/>
      <c r="AI95"/>
      <c r="AJ95"/>
      <c r="AK95"/>
      <c r="AL95"/>
      <c r="AM95"/>
      <c r="AN95"/>
      <c r="AO95"/>
      <c r="AP95"/>
      <c r="AQ95"/>
      <c r="AR95"/>
      <c r="AS95"/>
      <c r="AT95"/>
      <c r="AU95"/>
      <c r="AV95"/>
      <c r="AW95"/>
      <c r="AX95"/>
      <c r="AY95"/>
      <c r="AZ95"/>
      <c r="BA95"/>
      <c r="BB95"/>
      <c r="BC95"/>
      <c r="BD95"/>
      <c r="BE95" s="2477"/>
      <c r="BF95" s="2477"/>
      <c r="BG95" s="2478"/>
      <c r="BH95" s="2461"/>
      <c r="BI95" s="2461"/>
      <c r="BJ95" s="2461"/>
      <c r="BK95" s="2461"/>
      <c r="BL95" s="2461"/>
      <c r="BM95" s="2461"/>
      <c r="BN95" s="2461"/>
    </row>
    <row r="96" spans="1:66" s="152" customFormat="1">
      <c r="A96" s="71"/>
      <c r="B96" s="3012"/>
      <c r="C96" s="3013"/>
      <c r="D96" s="3014"/>
      <c r="E96" s="3018" t="s">
        <v>8771</v>
      </c>
      <c r="F96" s="3017">
        <f>F95*IF(F12&gt;F11,F12,F11)</f>
        <v>0</v>
      </c>
      <c r="G96" s="3017">
        <f>G95*IF(G12&gt;G11,G12,G11)</f>
        <v>0</v>
      </c>
      <c r="H96" s="3478"/>
      <c r="I96" s="3478"/>
      <c r="J96" s="3017">
        <f>J95*IF(H12&gt;H11,H12,H11)</f>
        <v>0</v>
      </c>
      <c r="K96" s="3478"/>
      <c r="L96" s="3017">
        <f>L95*IF(I12&gt;I11,I12,I11)</f>
        <v>0</v>
      </c>
      <c r="M96" s="3478"/>
      <c r="N96" s="3017">
        <f>N95*IF(J12&gt;J11,J12,J11)</f>
        <v>0</v>
      </c>
      <c r="O96"/>
      <c r="P96" s="119"/>
      <c r="Q96"/>
      <c r="R96"/>
      <c r="S96"/>
      <c r="T96"/>
      <c r="U96"/>
      <c r="V96"/>
      <c r="W96"/>
      <c r="X96"/>
      <c r="Y96"/>
      <c r="Z96"/>
      <c r="AA96"/>
      <c r="AB96" s="2011"/>
      <c r="AC96" s="2185"/>
      <c r="AD96" s="2185"/>
      <c r="AE96" s="2189"/>
      <c r="AF96"/>
      <c r="AG96"/>
      <c r="AH96"/>
      <c r="AI96"/>
      <c r="AJ96"/>
      <c r="AK96"/>
      <c r="AL96"/>
      <c r="AM96"/>
      <c r="AN96"/>
      <c r="AO96"/>
      <c r="AP96"/>
      <c r="AQ96"/>
      <c r="AR96"/>
      <c r="AS96"/>
      <c r="AT96"/>
      <c r="AU96"/>
      <c r="AV96"/>
      <c r="AW96"/>
      <c r="AX96"/>
      <c r="AY96"/>
      <c r="AZ96"/>
      <c r="BA96"/>
      <c r="BB96"/>
      <c r="BC96"/>
      <c r="BD96"/>
      <c r="BE96" s="2477"/>
      <c r="BF96" s="2477"/>
      <c r="BG96" s="2478"/>
      <c r="BH96" s="2461"/>
      <c r="BI96" s="2461"/>
      <c r="BJ96" s="2461"/>
      <c r="BK96" s="2461"/>
      <c r="BL96" s="2461"/>
      <c r="BM96" s="2461"/>
      <c r="BN96" s="2461"/>
    </row>
    <row r="97" spans="1:66" s="152" customFormat="1">
      <c r="A97"/>
      <c r="B97" s="3069"/>
      <c r="C97" s="3062"/>
      <c r="D97" s="3014"/>
      <c r="E97" s="3070" t="s">
        <v>9028</v>
      </c>
      <c r="F97" s="3120">
        <f>IF('Data Entry - SOF'!K19&gt;=300,0,IF('Data Entry - SOF'!K20="Y",((1600-'Data Entry - SOF'!K19)*'Weights-HB3'!G58)*Assumptions!H118,0))</f>
        <v>0</v>
      </c>
      <c r="G97" s="3120">
        <f>IF('Data Entry - SOF'!M19&gt;=300,0,IF('Data Entry - SOF'!M20="Y",((1600-'Data Entry - SOF'!M19)*'Weights-HB3'!H58)*Assumptions!H127,0))</f>
        <v>0</v>
      </c>
      <c r="H97" s="3478"/>
      <c r="I97" s="3478"/>
      <c r="J97" s="3120">
        <f>IF('Data Entry - SOF'!O19&gt;=300,0,IF('Data Entry - SOF'!O20="Y",((1600-'Data Entry - SOF'!O19)*'Weights-HB3'!I58)*Assumptions!H136,0))</f>
        <v>0</v>
      </c>
      <c r="K97" s="3478"/>
      <c r="L97" s="3120">
        <f>IF('Data Entry - SOF'!Q19&gt;=300,0,IF('Data Entry - SOF'!Q20="Y",((1600-'Data Entry - SOF'!Q19)*'Weights-HB3'!J58)*Assumptions!H145,0))</f>
        <v>0</v>
      </c>
      <c r="M97" s="3478"/>
      <c r="N97" s="3120">
        <f>IF('Data Entry - SOF'!S19&gt;=300,0,IF('Data Entry - SOF'!S20="Y",((1600-'Data Entry - SOF'!S19)*'Weights-HB3'!K58)*Assumptions!H154,0))</f>
        <v>0</v>
      </c>
      <c r="O97"/>
      <c r="P97" s="119"/>
      <c r="Q97"/>
      <c r="R97"/>
      <c r="S97"/>
      <c r="T97"/>
      <c r="U97"/>
      <c r="V97"/>
      <c r="W97"/>
      <c r="X97"/>
      <c r="Y97"/>
      <c r="Z97"/>
      <c r="AA97"/>
      <c r="AB97" s="2011"/>
      <c r="AC97" s="2185"/>
      <c r="AD97" s="2185"/>
      <c r="AE97" s="2189"/>
      <c r="AF97"/>
      <c r="AG97" s="91">
        <f>106.28*2037.524*0.0613*100</f>
        <v>1327439.5509136</v>
      </c>
      <c r="AH97"/>
      <c r="AI97"/>
      <c r="AJ97"/>
      <c r="AK97"/>
      <c r="AL97"/>
      <c r="AM97"/>
      <c r="AN97"/>
      <c r="AO97"/>
      <c r="AP97"/>
      <c r="AQ97"/>
      <c r="AR97"/>
      <c r="AS97"/>
      <c r="AT97"/>
      <c r="AU97"/>
      <c r="AV97"/>
      <c r="AW97"/>
      <c r="AX97"/>
      <c r="AY97"/>
      <c r="AZ97"/>
      <c r="BA97"/>
      <c r="BB97"/>
      <c r="BC97"/>
      <c r="BD97"/>
      <c r="BE97" s="2477"/>
      <c r="BF97" s="2477"/>
      <c r="BG97" s="2478"/>
      <c r="BH97" s="2461"/>
      <c r="BI97" s="2461"/>
      <c r="BJ97" s="2461"/>
      <c r="BK97" s="2461"/>
      <c r="BL97" s="2461"/>
      <c r="BM97" s="2461"/>
      <c r="BN97" s="2461"/>
    </row>
    <row r="98" spans="1:66" s="152" customFormat="1">
      <c r="A98"/>
      <c r="B98" s="3069"/>
      <c r="C98" s="3062"/>
      <c r="D98" s="3014"/>
      <c r="E98" s="3070" t="s">
        <v>9212</v>
      </c>
      <c r="F98" s="3479">
        <f>F97*IF(F12&gt;F11,F12,F11)</f>
        <v>0</v>
      </c>
      <c r="G98" s="3479">
        <f>G97*IF(G12&gt;G11,G12,G11)</f>
        <v>0</v>
      </c>
      <c r="H98" s="3478"/>
      <c r="I98" s="3478"/>
      <c r="J98" s="3479">
        <f>J97*IF(H12&gt;H11,H12,H11)</f>
        <v>0</v>
      </c>
      <c r="K98" s="3478"/>
      <c r="L98" s="3479">
        <f>L97*IF(I12&gt;I11,I12,I11)</f>
        <v>0</v>
      </c>
      <c r="M98" s="3478"/>
      <c r="N98" s="3479">
        <f>N97*IF(J12&gt;J11,J12,J11)</f>
        <v>0</v>
      </c>
      <c r="O98"/>
      <c r="P98" s="119"/>
      <c r="Q98"/>
      <c r="R98"/>
      <c r="S98"/>
      <c r="T98"/>
      <c r="U98"/>
      <c r="V98"/>
      <c r="W98"/>
      <c r="X98"/>
      <c r="Y98"/>
      <c r="Z98"/>
      <c r="AA98"/>
      <c r="AB98" s="2011"/>
      <c r="AC98" s="2185"/>
      <c r="AD98" s="2185"/>
      <c r="AE98" s="2189"/>
      <c r="AF98"/>
      <c r="AG98" s="91"/>
      <c r="AH98"/>
      <c r="AI98"/>
      <c r="AJ98"/>
      <c r="AK98"/>
      <c r="AL98"/>
      <c r="AM98"/>
      <c r="AN98"/>
      <c r="AO98"/>
      <c r="AP98"/>
      <c r="AQ98"/>
      <c r="AR98"/>
      <c r="AS98"/>
      <c r="AT98"/>
      <c r="AU98"/>
      <c r="AV98"/>
      <c r="AW98"/>
      <c r="AX98"/>
      <c r="AY98"/>
      <c r="AZ98"/>
      <c r="BA98"/>
      <c r="BB98"/>
      <c r="BC98"/>
      <c r="BD98"/>
      <c r="BE98" s="2477"/>
      <c r="BF98" s="2477"/>
      <c r="BG98" s="2478"/>
      <c r="BH98" s="2461"/>
      <c r="BI98" s="2461"/>
      <c r="BJ98" s="2461"/>
      <c r="BK98" s="2461"/>
      <c r="BL98" s="2461"/>
      <c r="BM98" s="2461"/>
      <c r="BN98" s="2461"/>
    </row>
    <row r="99" spans="1:66" s="152" customFormat="1">
      <c r="A99"/>
      <c r="B99" s="3012"/>
      <c r="C99" s="3013"/>
      <c r="D99" s="3014"/>
      <c r="E99" s="3012"/>
      <c r="F99" s="4015" t="s">
        <v>3284</v>
      </c>
      <c r="G99" s="4015" t="s">
        <v>3922</v>
      </c>
      <c r="H99" s="3478"/>
      <c r="I99" s="3478"/>
      <c r="J99" s="4015" t="s">
        <v>6374</v>
      </c>
      <c r="K99" s="3478"/>
      <c r="L99" s="4015" t="s">
        <v>6939</v>
      </c>
      <c r="M99" s="3478"/>
      <c r="N99" s="4015" t="s">
        <v>8157</v>
      </c>
      <c r="O99"/>
      <c r="P99" s="119"/>
      <c r="Q99"/>
      <c r="R99"/>
      <c r="S99"/>
      <c r="T99"/>
      <c r="U99"/>
      <c r="V99"/>
      <c r="W99"/>
      <c r="X99"/>
      <c r="Y99"/>
      <c r="Z99"/>
      <c r="AA99"/>
      <c r="AB99" s="2138" t="s">
        <v>6172</v>
      </c>
      <c r="AC99" s="2190">
        <f>IF(AC81&lt;='Data Entry - SOF'!C154,0,IF(AC81&gt;'Data Entry - SOF'!C154+0.06,0.06*100,(AC81-'Data Entry - SOF'!C154)*100))</f>
        <v>0</v>
      </c>
      <c r="AD99" s="2191"/>
      <c r="AE99" s="2191"/>
      <c r="AF99"/>
      <c r="AG99" s="91" t="e">
        <f>AG97-AG94</f>
        <v>#DIV/0!</v>
      </c>
      <c r="AH99"/>
      <c r="AI99"/>
      <c r="AJ99"/>
      <c r="AK99"/>
      <c r="AL99"/>
      <c r="AM99"/>
      <c r="AN99"/>
      <c r="AO99"/>
      <c r="AP99"/>
      <c r="AQ99"/>
      <c r="AR99"/>
      <c r="AS99"/>
      <c r="AT99"/>
      <c r="AU99"/>
      <c r="AV99"/>
      <c r="AW99"/>
      <c r="AX99"/>
      <c r="AY99"/>
      <c r="AZ99"/>
      <c r="BA99"/>
      <c r="BB99"/>
      <c r="BC99"/>
      <c r="BD99"/>
      <c r="BE99" s="2477"/>
      <c r="BF99" s="2477"/>
      <c r="BG99" s="2478"/>
      <c r="BH99" s="2461"/>
      <c r="BI99" s="2461"/>
      <c r="BJ99" s="2461"/>
      <c r="BK99" s="2461"/>
      <c r="BL99" s="2461"/>
      <c r="BM99" s="2461"/>
      <c r="BN99" s="2461"/>
    </row>
    <row r="100" spans="1:66" s="152" customFormat="1">
      <c r="A100"/>
      <c r="B100" s="3012"/>
      <c r="C100" s="3013"/>
      <c r="D100" s="3014"/>
      <c r="E100" s="3019" t="s">
        <v>619</v>
      </c>
      <c r="F100" s="3020" t="e">
        <f>('Data Entry - SOF'!K96-'IFA-OldLaw'!Q79)/('Data Entry - SOF'!K95*100)</f>
        <v>#DIV/0!</v>
      </c>
      <c r="G100" s="3020" t="e">
        <f>('Data Entry - SOF'!M96-'IFA-OldLaw'!U79)/('Data Entry - SOF'!M95*100)</f>
        <v>#DIV/0!</v>
      </c>
      <c r="H100" s="3478"/>
      <c r="I100" s="3478"/>
      <c r="J100" s="3020" t="e">
        <f>('Data Entry - SOF'!O96-'IFA-OldLaw'!Y79)/('Data Entry - SOF'!O95*100)</f>
        <v>#DIV/0!</v>
      </c>
      <c r="K100" s="3478"/>
      <c r="L100" s="3020" t="e">
        <f>('Data Entry - SOF'!Q96-'IFA-OldLaw'!AC79)/('Data Entry - SOF'!Q95*100)</f>
        <v>#DIV/0!</v>
      </c>
      <c r="M100" s="3478"/>
      <c r="N100" s="3020" t="e">
        <f>('Data Entry - SOF'!S96-'IFA-OldLaw'!AG79)/('Data Entry - SOF'!S95*100)</f>
        <v>#DIV/0!</v>
      </c>
      <c r="O100"/>
      <c r="P100" s="119"/>
      <c r="Q100"/>
      <c r="R100"/>
      <c r="S100"/>
      <c r="T100"/>
      <c r="U100"/>
      <c r="V100"/>
      <c r="W100"/>
      <c r="X100"/>
      <c r="Y100"/>
      <c r="Z100"/>
      <c r="AA100"/>
      <c r="AB100" s="2138" t="s">
        <v>6173</v>
      </c>
      <c r="AC100" s="2192" t="e">
        <f>AC99*AC90</f>
        <v>#REF!</v>
      </c>
      <c r="AD100" s="2191"/>
      <c r="AE100" s="2191"/>
      <c r="AF100"/>
      <c r="AG100">
        <v>1137064</v>
      </c>
      <c r="AH100"/>
      <c r="AI100"/>
      <c r="AJ100"/>
      <c r="AK100"/>
      <c r="AL100"/>
      <c r="AM100"/>
      <c r="AN100"/>
      <c r="AO100"/>
      <c r="AP100"/>
      <c r="AQ100"/>
      <c r="AR100"/>
      <c r="AS100"/>
      <c r="AT100"/>
      <c r="AU100"/>
      <c r="AV100"/>
      <c r="AW100"/>
      <c r="AX100"/>
      <c r="AY100"/>
      <c r="AZ100"/>
      <c r="BA100"/>
      <c r="BB100"/>
      <c r="BC100"/>
      <c r="BD100"/>
      <c r="BE100" s="2477"/>
      <c r="BF100" s="2477"/>
      <c r="BG100" s="2478"/>
      <c r="BH100" s="2461"/>
      <c r="BI100" s="2461"/>
      <c r="BJ100" s="2461"/>
      <c r="BK100" s="2461"/>
      <c r="BL100" s="2461"/>
      <c r="BM100" s="2461"/>
      <c r="BN100" s="2461"/>
    </row>
    <row r="101" spans="1:66" s="152" customFormat="1">
      <c r="A101"/>
      <c r="B101" s="3012"/>
      <c r="C101" s="3013"/>
      <c r="D101" s="3014"/>
      <c r="E101" s="3019" t="s">
        <v>639</v>
      </c>
      <c r="F101" s="3020" t="e">
        <f>F100*('Data Entry - SOF'!K155*100)</f>
        <v>#DIV/0!</v>
      </c>
      <c r="G101" s="3020" t="e">
        <f>G100*('Data Entry - SOF'!M155*100)</f>
        <v>#DIV/0!</v>
      </c>
      <c r="H101" s="3478"/>
      <c r="I101" s="3478"/>
      <c r="J101" s="3020" t="e">
        <f>J100*('Data Entry - SOF'!O155*100)</f>
        <v>#DIV/0!</v>
      </c>
      <c r="K101" s="3478"/>
      <c r="L101" s="3020" t="e">
        <f>L100*('Data Entry - SOF'!Q155*100)</f>
        <v>#DIV/0!</v>
      </c>
      <c r="M101" s="3478"/>
      <c r="N101" s="3020" t="e">
        <f>N100*('Data Entry - SOF'!S155*100)</f>
        <v>#DIV/0!</v>
      </c>
      <c r="O101"/>
      <c r="P101" s="119"/>
      <c r="Q101"/>
      <c r="R101"/>
      <c r="S101"/>
      <c r="T101"/>
      <c r="U101"/>
      <c r="V101"/>
      <c r="W101"/>
      <c r="X101"/>
      <c r="Y101"/>
      <c r="Z101"/>
      <c r="AA101"/>
      <c r="AB101" s="2011"/>
      <c r="AC101" s="2193" t="s">
        <v>3855</v>
      </c>
      <c r="AD101" s="2190" t="e">
        <f>ROUND((AC100/'Data Entry - SOF'!C73)*100,4)</f>
        <v>#REF!</v>
      </c>
      <c r="AE101" s="2191"/>
      <c r="AF101"/>
      <c r="AG101" s="91" t="e">
        <f>AG99-AG100</f>
        <v>#DIV/0!</v>
      </c>
      <c r="AH101"/>
      <c r="AI101"/>
      <c r="AJ101"/>
      <c r="AK101"/>
      <c r="AL101"/>
      <c r="AM101"/>
      <c r="AN101"/>
      <c r="AO101"/>
      <c r="AP101"/>
      <c r="AQ101"/>
      <c r="AR101"/>
      <c r="AS101"/>
      <c r="AT101"/>
      <c r="AU101"/>
      <c r="AV101"/>
      <c r="AW101"/>
      <c r="AX101"/>
      <c r="AY101"/>
      <c r="AZ101"/>
      <c r="BA101"/>
      <c r="BB101"/>
      <c r="BC101"/>
      <c r="BD101"/>
      <c r="BE101" s="2477"/>
      <c r="BF101" s="2477"/>
      <c r="BG101" s="2478"/>
      <c r="BH101" s="2461"/>
      <c r="BI101" s="2461"/>
      <c r="BJ101" s="2461"/>
      <c r="BK101" s="2461"/>
      <c r="BL101" s="2461"/>
      <c r="BM101" s="2461"/>
      <c r="BN101" s="2461"/>
    </row>
    <row r="102" spans="1:66" s="152" customFormat="1">
      <c r="A102"/>
      <c r="B102" s="3012"/>
      <c r="C102" s="3013"/>
      <c r="D102" s="3014"/>
      <c r="E102" s="3019" t="s">
        <v>8929</v>
      </c>
      <c r="F102" s="3021">
        <f>IF('Data Entry - SOF'!K95-0.93&gt;=0.08,0.08,'Data Entry - SOF'!K95-0.93)</f>
        <v>-0.93</v>
      </c>
      <c r="G102" s="3021" t="e">
        <f>IF('Data Entry - SOF'!M95-G206&gt;=0.08,0.08,'Data Entry - SOF'!M95-G206)</f>
        <v>#DIV/0!</v>
      </c>
      <c r="H102" s="3478"/>
      <c r="I102" s="3478"/>
      <c r="J102" s="3021" t="e">
        <f>IF('Data Entry - SOF'!O95-J206&gt;=0.08,0.08,'Data Entry - SOF'!O95-J206)</f>
        <v>#DIV/0!</v>
      </c>
      <c r="K102" s="3478"/>
      <c r="L102" s="3021" t="e">
        <f>IF('Data Entry - SOF'!Q95-L206&gt;=0.08,0.08,'Data Entry - SOF'!Q95-L206)</f>
        <v>#DIV/0!</v>
      </c>
      <c r="M102" s="3478"/>
      <c r="N102" s="3021" t="e">
        <f>IF('Data Entry - SOF'!S95-N206&gt;=0.08,0.08,'Data Entry - SOF'!S95-N206)</f>
        <v>#DIV/0!</v>
      </c>
      <c r="O102"/>
      <c r="P102" s="119"/>
      <c r="Q102"/>
      <c r="R102"/>
      <c r="S102"/>
      <c r="T102"/>
      <c r="U102"/>
      <c r="V102"/>
      <c r="W102"/>
      <c r="X102"/>
      <c r="Y102"/>
      <c r="Z102"/>
      <c r="AA102"/>
      <c r="AB102" s="2011"/>
      <c r="AC102" s="2193" t="s">
        <v>3856</v>
      </c>
      <c r="AD102" s="2194" t="e">
        <f>AD101*('Data Entry - SOF'!C73/100)</f>
        <v>#REF!</v>
      </c>
      <c r="AE102" s="2191"/>
      <c r="AF102"/>
      <c r="AG102"/>
      <c r="AH102"/>
      <c r="AI102"/>
      <c r="AJ102"/>
      <c r="AK102"/>
      <c r="AL102"/>
      <c r="AM102"/>
      <c r="AN102"/>
      <c r="AO102"/>
      <c r="AP102"/>
      <c r="AQ102"/>
      <c r="AR102"/>
      <c r="AS102" s="1797"/>
      <c r="AT102" s="1797"/>
      <c r="AU102" s="1797"/>
      <c r="AV102" s="2462"/>
      <c r="AW102" s="2461"/>
      <c r="AX102" s="1416"/>
      <c r="AY102" s="1416"/>
      <c r="AZ102" s="1416"/>
      <c r="BA102" s="1416"/>
      <c r="BB102" s="1797"/>
      <c r="BC102" s="2477"/>
      <c r="BD102" s="2477"/>
      <c r="BE102" s="2477"/>
      <c r="BF102" s="2477"/>
      <c r="BG102" s="2478"/>
      <c r="BH102" s="2461"/>
      <c r="BI102" s="2461"/>
      <c r="BJ102" s="2461"/>
      <c r="BK102" s="2461"/>
      <c r="BL102" s="2461"/>
      <c r="BM102" s="2461"/>
      <c r="BN102" s="2461"/>
    </row>
    <row r="103" spans="1:66" s="152" customFormat="1">
      <c r="A103"/>
      <c r="B103" s="3012"/>
      <c r="C103" s="3013"/>
      <c r="D103" s="3014"/>
      <c r="E103" s="3019" t="s">
        <v>8930</v>
      </c>
      <c r="F103" s="3016" t="e">
        <f>F102*100*F100</f>
        <v>#DIV/0!</v>
      </c>
      <c r="G103" s="3016" t="e">
        <f>G102*100*G100</f>
        <v>#DIV/0!</v>
      </c>
      <c r="H103" s="3478"/>
      <c r="I103" s="3478"/>
      <c r="J103" s="3016" t="e">
        <f>J102*100*J100</f>
        <v>#DIV/0!</v>
      </c>
      <c r="K103" s="3478"/>
      <c r="L103" s="3016" t="e">
        <f>L102*100*L100</f>
        <v>#DIV/0!</v>
      </c>
      <c r="M103" s="3478"/>
      <c r="N103" s="3016" t="e">
        <f>N102*100*N100</f>
        <v>#DIV/0!</v>
      </c>
      <c r="O103"/>
      <c r="P103" s="119"/>
      <c r="Q103"/>
      <c r="R103"/>
      <c r="S103"/>
      <c r="T103"/>
      <c r="U103"/>
      <c r="V103"/>
      <c r="W103"/>
      <c r="X103"/>
      <c r="Y103"/>
      <c r="Z103"/>
      <c r="AA103"/>
      <c r="AB103" s="2011"/>
      <c r="AC103" s="2193" t="s">
        <v>3857</v>
      </c>
      <c r="AD103" s="2190" t="e">
        <f>AC84</f>
        <v>#REF!</v>
      </c>
      <c r="AE103" s="2191"/>
      <c r="AF103"/>
      <c r="AG103"/>
      <c r="AH103"/>
      <c r="AI103"/>
      <c r="AJ103"/>
      <c r="AK103"/>
      <c r="AL103"/>
      <c r="AM103"/>
      <c r="AN103"/>
      <c r="AO103"/>
      <c r="AP103"/>
      <c r="AQ103"/>
      <c r="AR103"/>
      <c r="AS103" s="1797"/>
      <c r="AT103" s="1797"/>
      <c r="AU103" s="1797"/>
      <c r="AV103" s="2462"/>
      <c r="AW103" s="2461"/>
      <c r="AX103" s="1416"/>
      <c r="AY103" s="1416"/>
      <c r="AZ103" s="1416"/>
      <c r="BA103" s="1416"/>
      <c r="BB103" s="1797"/>
      <c r="BC103" s="2477"/>
      <c r="BD103" s="2477"/>
      <c r="BE103" s="2477"/>
      <c r="BF103" s="2477"/>
      <c r="BG103" s="2478"/>
      <c r="BH103" s="2461"/>
      <c r="BI103" s="2461"/>
      <c r="BJ103" s="2461"/>
      <c r="BK103" s="2461"/>
      <c r="BL103" s="2461"/>
      <c r="BM103" s="2461"/>
      <c r="BN103" s="2461"/>
    </row>
    <row r="104" spans="1:66" s="152" customFormat="1">
      <c r="A104"/>
      <c r="B104" s="3012"/>
      <c r="C104" s="3013"/>
      <c r="D104" s="3014"/>
      <c r="E104" s="3023" t="s">
        <v>788</v>
      </c>
      <c r="F104" s="3021" t="e">
        <f>ROUND((F103/'Data Entry - SOF'!K73)*100,4)</f>
        <v>#DIV/0!</v>
      </c>
      <c r="G104" s="3021" t="e">
        <f>ROUND((G103/'Data Entry - SOF'!M73)*100,4)</f>
        <v>#DIV/0!</v>
      </c>
      <c r="H104" s="3478"/>
      <c r="I104" s="3478"/>
      <c r="J104" s="3021" t="e">
        <f>ROUND((J103/'Data Entry - SOF'!O73)*100,4)</f>
        <v>#DIV/0!</v>
      </c>
      <c r="K104" s="3478"/>
      <c r="L104" s="3021" t="e">
        <f>ROUND((L103/'Data Entry - SOF'!Q73)*100,4)</f>
        <v>#DIV/0!</v>
      </c>
      <c r="M104" s="3478"/>
      <c r="N104" s="3021" t="e">
        <f>ROUND((N103/'Data Entry - SOF'!S73)*100,4)</f>
        <v>#DIV/0!</v>
      </c>
      <c r="O104"/>
      <c r="P104" s="119"/>
      <c r="Q104"/>
      <c r="R104"/>
      <c r="S104"/>
      <c r="T104"/>
      <c r="U104"/>
      <c r="V104"/>
      <c r="W104"/>
      <c r="X104"/>
      <c r="Y104"/>
      <c r="Z104"/>
      <c r="AA104"/>
      <c r="AB104" s="2011"/>
      <c r="AC104" s="2193" t="s">
        <v>3858</v>
      </c>
      <c r="AD104" s="2194" t="e">
        <f>AC88</f>
        <v>#REF!</v>
      </c>
      <c r="AE104" s="2191"/>
      <c r="AF104"/>
      <c r="AG104"/>
      <c r="AH104"/>
      <c r="AI104"/>
      <c r="AJ104"/>
      <c r="AK104"/>
      <c r="AL104"/>
      <c r="AM104"/>
      <c r="AN104"/>
      <c r="AO104"/>
      <c r="AP104"/>
      <c r="AQ104"/>
      <c r="AR104"/>
      <c r="AS104" s="1797"/>
      <c r="AT104" s="1797"/>
      <c r="AU104" s="1797"/>
      <c r="AV104" s="2462"/>
      <c r="AW104" s="2461"/>
      <c r="AX104" s="1416"/>
      <c r="AY104" s="1416"/>
      <c r="AZ104" s="1416"/>
      <c r="BA104" s="1416"/>
      <c r="BB104" s="1797"/>
      <c r="BC104" s="2477"/>
      <c r="BD104" s="2477"/>
      <c r="BE104" s="2477"/>
      <c r="BF104" s="2477"/>
      <c r="BG104" s="2478"/>
      <c r="BH104" s="2461"/>
      <c r="BI104" s="2461"/>
      <c r="BJ104" s="2461"/>
      <c r="BK104" s="2461"/>
      <c r="BL104" s="2461"/>
      <c r="BM104" s="2461"/>
      <c r="BN104" s="2461"/>
    </row>
    <row r="105" spans="1:66" s="152" customFormat="1">
      <c r="A105"/>
      <c r="B105" s="3012"/>
      <c r="C105" s="3013"/>
      <c r="D105" s="3014"/>
      <c r="E105" s="3024" t="s">
        <v>789</v>
      </c>
      <c r="F105" s="3022" t="e">
        <f>F104*('Data Entry - SOF'!K73/100)</f>
        <v>#DIV/0!</v>
      </c>
      <c r="G105" s="3022" t="e">
        <f>G104*('Data Entry - SOF'!M73/100)</f>
        <v>#DIV/0!</v>
      </c>
      <c r="H105" s="3478"/>
      <c r="I105" s="3478"/>
      <c r="J105" s="3022" t="e">
        <f>J104*('Data Entry - SOF'!O73/100)</f>
        <v>#DIV/0!</v>
      </c>
      <c r="K105" s="3478"/>
      <c r="L105" s="3022" t="e">
        <f>L104*('Data Entry - SOF'!Q73/100)</f>
        <v>#DIV/0!</v>
      </c>
      <c r="M105" s="3478"/>
      <c r="N105" s="3022" t="e">
        <f>N104*('Data Entry - SOF'!S73/100)</f>
        <v>#DIV/0!</v>
      </c>
      <c r="O105"/>
      <c r="P105" s="119"/>
      <c r="Q105"/>
      <c r="R105"/>
      <c r="S105"/>
      <c r="T105"/>
      <c r="U105"/>
      <c r="V105"/>
      <c r="W105"/>
      <c r="X105"/>
      <c r="Y105"/>
      <c r="Z105"/>
      <c r="AA105"/>
      <c r="AB105" s="2011"/>
      <c r="AC105" s="2195"/>
      <c r="AD105" s="2196"/>
      <c r="AE105" s="2196"/>
      <c r="AF105"/>
      <c r="AG105"/>
      <c r="AH105"/>
      <c r="AI105"/>
      <c r="AJ105"/>
      <c r="AK105"/>
      <c r="AL105"/>
      <c r="AM105"/>
      <c r="AN105"/>
      <c r="AO105"/>
      <c r="AP105"/>
      <c r="AQ105"/>
      <c r="AR105"/>
      <c r="AS105" s="1797"/>
      <c r="AT105" s="1797"/>
      <c r="AU105" s="1797"/>
      <c r="AV105" s="2464"/>
      <c r="AW105" s="2461"/>
      <c r="AX105" s="1416"/>
      <c r="AY105" s="1416"/>
      <c r="AZ105" s="1416"/>
      <c r="BA105" s="1416"/>
      <c r="BB105" s="1797"/>
      <c r="BC105" s="2477"/>
      <c r="BD105" s="2477"/>
      <c r="BE105" s="2477"/>
      <c r="BF105" s="2477"/>
      <c r="BG105" s="2478"/>
      <c r="BH105" s="2461"/>
      <c r="BI105" s="2461"/>
      <c r="BJ105" s="2461"/>
      <c r="BK105" s="2461"/>
      <c r="BL105" s="2461"/>
      <c r="BM105" s="2461"/>
      <c r="BN105" s="2461"/>
    </row>
    <row r="106" spans="1:66" s="152" customFormat="1">
      <c r="A106"/>
      <c r="B106" s="3012"/>
      <c r="C106" s="3013"/>
      <c r="D106" s="3014"/>
      <c r="E106" s="3015"/>
      <c r="F106" s="3035" t="s">
        <v>8704</v>
      </c>
      <c r="G106" s="3035" t="s">
        <v>8704</v>
      </c>
      <c r="H106" s="3478"/>
      <c r="I106" s="3478"/>
      <c r="J106" s="3035" t="s">
        <v>8704</v>
      </c>
      <c r="K106" s="3478"/>
      <c r="L106" s="3035" t="s">
        <v>8704</v>
      </c>
      <c r="M106" s="3478"/>
      <c r="N106" s="3035" t="s">
        <v>8704</v>
      </c>
      <c r="O106" s="35"/>
      <c r="P106" s="35"/>
      <c r="Q106"/>
      <c r="R106"/>
      <c r="S106"/>
      <c r="T106"/>
      <c r="U106"/>
      <c r="V106"/>
      <c r="W106"/>
      <c r="X106"/>
      <c r="Y106"/>
      <c r="Z106"/>
      <c r="AA106"/>
      <c r="AB106" s="2011"/>
      <c r="AC106" s="2135"/>
      <c r="AD106" s="2135"/>
      <c r="AE106" s="2135"/>
      <c r="AF106" s="119"/>
      <c r="AG106" s="995"/>
      <c r="AH106" s="995"/>
      <c r="AI106" s="995"/>
      <c r="AJ106" s="119"/>
      <c r="AK106" s="995"/>
      <c r="AL106" s="995"/>
      <c r="AM106" s="995"/>
      <c r="AN106" s="119"/>
      <c r="AO106" s="995"/>
      <c r="AP106" s="995"/>
      <c r="AQ106" s="995"/>
      <c r="AR106" s="210"/>
      <c r="AS106" s="1797"/>
      <c r="AT106" s="2443"/>
      <c r="AU106" s="2443"/>
      <c r="AV106" s="2443"/>
      <c r="AW106" s="2461"/>
      <c r="AX106" s="1416"/>
      <c r="AY106" s="2479"/>
      <c r="AZ106" s="2479"/>
      <c r="BA106" s="2479"/>
      <c r="BB106" s="1797"/>
      <c r="BC106" s="2477"/>
      <c r="BD106" s="2480"/>
      <c r="BE106" s="2480"/>
      <c r="BF106" s="2480"/>
      <c r="BG106" s="2478"/>
      <c r="BH106" s="2461"/>
      <c r="BI106" s="2461"/>
      <c r="BJ106" s="2461"/>
      <c r="BK106" s="2461"/>
      <c r="BL106" s="2461"/>
      <c r="BM106" s="2461"/>
      <c r="BN106" s="2461"/>
    </row>
    <row r="107" spans="1:66" s="152" customFormat="1">
      <c r="A107"/>
      <c r="B107" s="3012"/>
      <c r="C107" s="3013"/>
      <c r="D107" s="3014"/>
      <c r="E107" s="3091" t="s">
        <v>3826</v>
      </c>
      <c r="F107" s="3092">
        <f>IF('Data Entry - SOF'!K95-(0.93+0.08)&gt;=0,'Data Entry - SOF'!K95-(0.93+0.08),0)</f>
        <v>0</v>
      </c>
      <c r="G107" s="3092" t="e">
        <f>IF('Data Entry - SOF'!M95-(G206+0.08)&gt;=0,'Data Entry - SOF'!M95-(G206+0.08),0)</f>
        <v>#DIV/0!</v>
      </c>
      <c r="H107" s="3478"/>
      <c r="I107" s="3478"/>
      <c r="J107" s="3092" t="e">
        <f>IF('Data Entry - SOF'!O95-(J206+0.08)&gt;=0,'Data Entry - SOF'!O95-(J206+0.08),0)</f>
        <v>#DIV/0!</v>
      </c>
      <c r="K107" s="3478"/>
      <c r="L107" s="3092" t="e">
        <f>IF('Data Entry - SOF'!Q95-(L206+0.08)&gt;=0,'Data Entry - SOF'!Q95-(L206+0.08),0)</f>
        <v>#DIV/0!</v>
      </c>
      <c r="M107" s="3478"/>
      <c r="N107" s="3092" t="e">
        <f>IF('Data Entry - SOF'!S95-(N206+0.08)&gt;=0,'Data Entry - SOF'!S95-(N206+0.08),0)</f>
        <v>#DIV/0!</v>
      </c>
      <c r="O107" s="35"/>
      <c r="P107" s="35"/>
      <c r="Q107"/>
      <c r="R107"/>
      <c r="S107"/>
      <c r="T107"/>
      <c r="U107"/>
      <c r="V107"/>
      <c r="W107"/>
      <c r="X107"/>
      <c r="Y107"/>
      <c r="Z107"/>
      <c r="AA107"/>
      <c r="AB107" s="2011"/>
      <c r="AC107" s="2135"/>
      <c r="AD107" s="2135"/>
      <c r="AE107" s="2135"/>
      <c r="AF107" s="119"/>
      <c r="AG107" s="995"/>
      <c r="AH107" s="995"/>
      <c r="AI107" s="995"/>
      <c r="AJ107" s="119"/>
      <c r="AK107" s="995"/>
      <c r="AL107" s="995"/>
      <c r="AM107" s="995"/>
      <c r="AN107" s="119"/>
      <c r="AO107" s="995"/>
      <c r="AP107" s="995"/>
      <c r="AQ107" s="995"/>
      <c r="AR107" s="210"/>
      <c r="AS107" s="3066"/>
      <c r="AT107" s="2443"/>
      <c r="AU107" s="2443"/>
      <c r="AV107" s="2443"/>
      <c r="AW107" s="2461"/>
      <c r="AX107" s="1416"/>
      <c r="AY107" s="2479"/>
      <c r="AZ107" s="2479"/>
      <c r="BA107" s="2479"/>
      <c r="BB107" s="3066"/>
      <c r="BC107" s="2477"/>
      <c r="BD107" s="2480"/>
      <c r="BE107" s="2480"/>
      <c r="BF107" s="2480"/>
      <c r="BG107" s="2478"/>
      <c r="BH107" s="2461"/>
      <c r="BI107" s="2461"/>
      <c r="BJ107" s="2461"/>
      <c r="BK107" s="2461"/>
      <c r="BL107" s="2461"/>
      <c r="BM107" s="2461"/>
      <c r="BN107" s="2461"/>
    </row>
    <row r="108" spans="1:66" s="152" customFormat="1">
      <c r="A108"/>
      <c r="B108" s="3012"/>
      <c r="C108" s="3013"/>
      <c r="D108" s="3014"/>
      <c r="E108" s="3019" t="s">
        <v>8782</v>
      </c>
      <c r="F108" s="3039" t="e">
        <f>F107*100*F100</f>
        <v>#DIV/0!</v>
      </c>
      <c r="G108" s="3039" t="e">
        <f>G107*100*G100</f>
        <v>#DIV/0!</v>
      </c>
      <c r="H108" s="3478"/>
      <c r="I108" s="3478"/>
      <c r="J108" s="3039" t="e">
        <f>J107*100*J100</f>
        <v>#DIV/0!</v>
      </c>
      <c r="K108" s="3478"/>
      <c r="L108" s="3039" t="e">
        <f>L107*100*L100</f>
        <v>#DIV/0!</v>
      </c>
      <c r="M108" s="3478"/>
      <c r="N108" s="3039" t="e">
        <f>N107*100*N100</f>
        <v>#DIV/0!</v>
      </c>
      <c r="O108"/>
      <c r="P108" s="119"/>
      <c r="Q108"/>
      <c r="R108"/>
      <c r="S108"/>
      <c r="T108"/>
      <c r="U108"/>
      <c r="V108"/>
      <c r="W108"/>
      <c r="X108"/>
      <c r="Y108"/>
      <c r="Z108"/>
      <c r="AA108"/>
      <c r="AB108" s="2011"/>
      <c r="AC108" s="2135"/>
      <c r="AD108" s="2135"/>
      <c r="AE108" s="2135"/>
      <c r="AF108" s="119"/>
      <c r="AG108" s="995"/>
      <c r="AH108" s="995"/>
      <c r="AI108" s="995"/>
      <c r="AJ108" s="119"/>
      <c r="AK108" s="995"/>
      <c r="AL108" s="995"/>
      <c r="AM108" s="995"/>
      <c r="AN108" s="119"/>
      <c r="AO108" s="995"/>
      <c r="AP108" s="995"/>
      <c r="AQ108" s="995"/>
      <c r="AR108" s="210"/>
      <c r="AS108" s="1797"/>
      <c r="AT108" s="2443"/>
      <c r="AU108" s="2443"/>
      <c r="AV108" s="2443"/>
      <c r="AW108" s="2461"/>
      <c r="AX108" s="1416"/>
      <c r="AY108" s="2479"/>
      <c r="AZ108" s="2479"/>
      <c r="BA108" s="2479"/>
      <c r="BB108" s="1797"/>
      <c r="BC108" s="2477"/>
      <c r="BD108" s="2480"/>
      <c r="BE108" s="2480"/>
      <c r="BF108" s="2480"/>
      <c r="BG108" s="2478"/>
      <c r="BH108" s="2461"/>
      <c r="BI108" s="2461"/>
      <c r="BJ108" s="2461"/>
      <c r="BK108" s="2461"/>
      <c r="BL108" s="2461"/>
      <c r="BM108" s="2461"/>
      <c r="BN108" s="2461"/>
    </row>
    <row r="109" spans="1:66" s="152" customFormat="1">
      <c r="A109"/>
      <c r="B109" s="3012"/>
      <c r="C109" s="3013"/>
      <c r="D109" s="3014"/>
      <c r="E109" s="3025" t="s">
        <v>8772</v>
      </c>
      <c r="F109" s="3044" t="e">
        <f>ROUND((F108/'Data Entry - SOF'!K73)*100,4)</f>
        <v>#DIV/0!</v>
      </c>
      <c r="G109" s="3044" t="e">
        <f>ROUND((G108/'Data Entry - SOF'!M73)*100,4)</f>
        <v>#DIV/0!</v>
      </c>
      <c r="H109" s="3478"/>
      <c r="I109" s="3478"/>
      <c r="J109" s="3044" t="e">
        <f>ROUND((J108/'Data Entry - SOF'!O73)*100,4)</f>
        <v>#DIV/0!</v>
      </c>
      <c r="K109" s="3478"/>
      <c r="L109" s="3044" t="e">
        <f>ROUND((L108/'Data Entry - SOF'!Q73)*100,4)</f>
        <v>#DIV/0!</v>
      </c>
      <c r="M109" s="3478"/>
      <c r="N109" s="3044" t="e">
        <f>ROUND((N108/'Data Entry - SOF'!S73)*100,4)</f>
        <v>#DIV/0!</v>
      </c>
      <c r="O109"/>
      <c r="P109" s="119"/>
      <c r="Q109"/>
      <c r="R109"/>
      <c r="S109"/>
      <c r="T109"/>
      <c r="U109"/>
      <c r="V109"/>
      <c r="W109"/>
      <c r="X109"/>
      <c r="Y109"/>
      <c r="Z109"/>
      <c r="AA109"/>
      <c r="AB109" s="2011"/>
      <c r="AC109" s="2135"/>
      <c r="AD109" s="2135"/>
      <c r="AE109" s="2135"/>
      <c r="AF109" s="119"/>
      <c r="AG109" s="995"/>
      <c r="AH109" s="995"/>
      <c r="AI109" s="995"/>
      <c r="AJ109" s="119"/>
      <c r="AK109" s="995"/>
      <c r="AL109" s="995"/>
      <c r="AM109" s="995"/>
      <c r="AN109" s="119"/>
      <c r="AO109" s="995"/>
      <c r="AP109" s="995"/>
      <c r="AQ109" s="995"/>
      <c r="AR109" s="210"/>
      <c r="AS109" s="1797"/>
      <c r="AT109" s="2443"/>
      <c r="AU109" s="2443"/>
      <c r="AV109" s="2443"/>
      <c r="AW109" s="2461"/>
      <c r="AX109" s="1416"/>
      <c r="AY109" s="2479"/>
      <c r="AZ109" s="2479"/>
      <c r="BA109" s="2479"/>
      <c r="BB109" s="1797"/>
      <c r="BC109" s="2477"/>
      <c r="BD109" s="2480"/>
      <c r="BE109" s="2480"/>
      <c r="BF109" s="2480"/>
      <c r="BG109" s="2478"/>
      <c r="BH109" s="2461"/>
      <c r="BI109" s="2461"/>
      <c r="BJ109" s="2461"/>
      <c r="BK109" s="2461"/>
      <c r="BL109" s="2461"/>
      <c r="BM109" s="2461"/>
      <c r="BN109" s="2461"/>
    </row>
    <row r="110" spans="1:66" s="152" customFormat="1">
      <c r="A110"/>
      <c r="B110" s="3027"/>
      <c r="C110" s="3013"/>
      <c r="D110" s="3014"/>
      <c r="E110" s="3026" t="s">
        <v>8773</v>
      </c>
      <c r="F110" s="3022" t="e">
        <f>F109*('Data Entry - SOF'!K73/100)</f>
        <v>#DIV/0!</v>
      </c>
      <c r="G110" s="3022" t="e">
        <f>G109*('Data Entry - SOF'!M73/100)</f>
        <v>#DIV/0!</v>
      </c>
      <c r="H110" s="3478"/>
      <c r="I110" s="3478"/>
      <c r="J110" s="3022" t="e">
        <f>J109*('Data Entry - SOF'!O73/100)</f>
        <v>#DIV/0!</v>
      </c>
      <c r="K110" s="3478"/>
      <c r="L110" s="3022" t="e">
        <f>L109*('Data Entry - SOF'!Q73/100)</f>
        <v>#DIV/0!</v>
      </c>
      <c r="M110" s="3478"/>
      <c r="N110" s="3022" t="e">
        <f>N109*('Data Entry - SOF'!S73/100)</f>
        <v>#DIV/0!</v>
      </c>
      <c r="O110" s="250"/>
      <c r="P110" s="258"/>
      <c r="Q110" s="259"/>
      <c r="R110" s="260"/>
      <c r="S110" s="261"/>
      <c r="T110" s="262"/>
      <c r="U110" s="263"/>
      <c r="V110"/>
      <c r="W110"/>
      <c r="X110"/>
      <c r="Y110"/>
      <c r="Z110"/>
      <c r="AA110"/>
      <c r="AB110" s="2011"/>
      <c r="AC110" s="2135"/>
      <c r="AD110" s="2135"/>
      <c r="AE110" s="2135"/>
      <c r="AF110" s="119"/>
      <c r="AG110" s="995"/>
      <c r="AH110" s="995"/>
      <c r="AI110" s="995"/>
      <c r="AJ110" s="119"/>
      <c r="AK110" s="995"/>
      <c r="AL110" s="995"/>
      <c r="AM110" s="995"/>
      <c r="AN110" s="119"/>
      <c r="AO110" s="995"/>
      <c r="AP110" s="995"/>
      <c r="AQ110" s="995"/>
      <c r="AR110" s="210"/>
      <c r="AS110" s="1797"/>
      <c r="AT110" s="2443"/>
      <c r="AU110" s="2443"/>
      <c r="AV110" s="2443"/>
      <c r="AW110" s="2461"/>
      <c r="AX110" s="1416"/>
      <c r="AY110" s="2479"/>
      <c r="AZ110" s="2479"/>
      <c r="BA110" s="2479"/>
      <c r="BB110" s="1797"/>
      <c r="BC110" s="2477"/>
      <c r="BD110" s="2480"/>
      <c r="BE110" s="2480"/>
      <c r="BF110" s="2480"/>
      <c r="BG110" s="2478"/>
      <c r="BH110" s="2461"/>
      <c r="BI110" s="2461"/>
      <c r="BJ110" s="2461"/>
      <c r="BK110" s="2461"/>
      <c r="BL110" s="2461"/>
      <c r="BM110" s="2461"/>
      <c r="BN110" s="2461"/>
    </row>
    <row r="111" spans="1:66" s="152" customFormat="1">
      <c r="A111"/>
      <c r="B111" s="3065"/>
      <c r="C111" s="3062"/>
      <c r="D111" s="3063"/>
      <c r="E111" s="3067"/>
      <c r="F111" s="3064"/>
      <c r="G111" s="1184"/>
      <c r="H111" s="1210"/>
      <c r="I111" s="1322"/>
      <c r="J111" s="1184"/>
      <c r="K111" s="1322"/>
      <c r="L111" s="1184"/>
      <c r="M111" s="1322"/>
      <c r="N111" s="1184"/>
      <c r="O111" s="250"/>
      <c r="P111" s="258"/>
      <c r="Q111" s="259"/>
      <c r="R111" s="260"/>
      <c r="S111" s="261"/>
      <c r="T111" s="262"/>
      <c r="U111" s="263"/>
      <c r="V111"/>
      <c r="W111"/>
      <c r="X111"/>
      <c r="Y111"/>
      <c r="Z111"/>
      <c r="AA111"/>
      <c r="AB111" s="2011"/>
      <c r="AC111" s="2135"/>
      <c r="AD111" s="2135"/>
      <c r="AE111" s="2135"/>
      <c r="AF111" s="119"/>
      <c r="AG111" s="995"/>
      <c r="AH111" s="995"/>
      <c r="AI111" s="995"/>
      <c r="AJ111" s="119"/>
      <c r="AK111" s="995"/>
      <c r="AL111" s="995"/>
      <c r="AM111" s="995"/>
      <c r="AN111" s="119"/>
      <c r="AO111" s="995"/>
      <c r="AP111" s="995"/>
      <c r="AQ111" s="995"/>
      <c r="AR111" s="210"/>
      <c r="AS111" s="1797"/>
      <c r="AT111" s="2443"/>
      <c r="AU111" s="2443"/>
      <c r="AV111" s="2443"/>
      <c r="AW111" s="2461"/>
      <c r="AX111" s="1416"/>
      <c r="AY111" s="2479"/>
      <c r="AZ111" s="2479"/>
      <c r="BA111" s="2479"/>
      <c r="BB111" s="1797"/>
      <c r="BC111" s="2477"/>
      <c r="BD111" s="2480"/>
      <c r="BE111" s="2480"/>
      <c r="BF111" s="2480"/>
      <c r="BG111" s="2478"/>
      <c r="BH111" s="2461"/>
      <c r="BI111" s="2461"/>
      <c r="BJ111" s="2461"/>
      <c r="BK111" s="2461"/>
      <c r="BL111" s="2461"/>
      <c r="BM111" s="2461"/>
      <c r="BN111" s="2461"/>
    </row>
    <row r="112" spans="1:66" s="152" customFormat="1">
      <c r="A112"/>
      <c r="B112" s="3027"/>
      <c r="C112" s="3013"/>
      <c r="D112" s="3014"/>
      <c r="E112" s="3019" t="s">
        <v>8850</v>
      </c>
      <c r="F112" s="3059" t="e">
        <f>F100*('Data Entry - SOF'!K155*100)</f>
        <v>#DIV/0!</v>
      </c>
      <c r="G112" s="3059" t="e">
        <f>G100*('Data Entry - SOF'!M155*100)</f>
        <v>#DIV/0!</v>
      </c>
      <c r="H112" s="1210"/>
      <c r="I112" s="1322"/>
      <c r="J112" s="3059" t="e">
        <f>J100*('Data Entry - SOF'!O155*100)</f>
        <v>#DIV/0!</v>
      </c>
      <c r="K112" s="1322"/>
      <c r="L112" s="3059" t="e">
        <f>L100*('Data Entry - SOF'!Q155*100)</f>
        <v>#DIV/0!</v>
      </c>
      <c r="M112" s="1322"/>
      <c r="N112" s="3059" t="e">
        <f>N100*('Data Entry - SOF'!S155*100)</f>
        <v>#DIV/0!</v>
      </c>
      <c r="O112" s="250"/>
      <c r="P112" s="258"/>
      <c r="Q112" s="259"/>
      <c r="R112" s="260"/>
      <c r="S112" s="261"/>
      <c r="T112" s="262"/>
      <c r="U112" s="263"/>
      <c r="V112"/>
      <c r="W112"/>
      <c r="X112"/>
      <c r="Y112"/>
      <c r="Z112"/>
      <c r="AA112"/>
      <c r="AB112" s="2011"/>
      <c r="AC112" s="2135"/>
      <c r="AD112" s="2135"/>
      <c r="AE112" s="2135"/>
      <c r="AF112" s="119"/>
      <c r="AG112" s="995"/>
      <c r="AH112" s="995"/>
      <c r="AI112" s="995"/>
      <c r="AJ112" s="119"/>
      <c r="AK112" s="995"/>
      <c r="AL112" s="995"/>
      <c r="AM112" s="995"/>
      <c r="AN112" s="119"/>
      <c r="AO112" s="995"/>
      <c r="AP112" s="995"/>
      <c r="AQ112" s="995"/>
      <c r="AR112" s="210"/>
      <c r="AS112" s="1797"/>
      <c r="AT112" s="2443"/>
      <c r="AU112" s="2443"/>
      <c r="AV112" s="2443"/>
      <c r="AW112" s="2461"/>
      <c r="AX112" s="1416"/>
      <c r="AY112" s="2479"/>
      <c r="AZ112" s="2479"/>
      <c r="BA112" s="2479"/>
      <c r="BB112" s="1797"/>
      <c r="BC112" s="2477"/>
      <c r="BD112" s="2480"/>
      <c r="BE112" s="2480"/>
      <c r="BF112" s="2480"/>
      <c r="BG112" s="2478"/>
      <c r="BH112" s="2461"/>
      <c r="BI112" s="2461"/>
      <c r="BJ112" s="2461"/>
      <c r="BK112" s="2461"/>
      <c r="BL112" s="2461"/>
      <c r="BM112" s="2461"/>
      <c r="BN112" s="2461"/>
    </row>
    <row r="113" spans="1:66" s="152" customFormat="1">
      <c r="A113" s="3066"/>
      <c r="B113" s="3065"/>
      <c r="C113" s="3062"/>
      <c r="D113" s="3063"/>
      <c r="E113" s="3067"/>
      <c r="F113" s="3282"/>
      <c r="G113" s="3282"/>
      <c r="H113" s="1210"/>
      <c r="I113" s="1322"/>
      <c r="J113" s="1713"/>
      <c r="K113" s="3069"/>
      <c r="L113" s="73"/>
      <c r="M113" s="73"/>
      <c r="N113" s="73"/>
      <c r="O113" s="250"/>
      <c r="P113" s="258"/>
      <c r="Q113" s="259"/>
      <c r="R113" s="260"/>
      <c r="S113" s="261"/>
      <c r="T113" s="262"/>
      <c r="U113" s="263"/>
      <c r="V113"/>
      <c r="W113"/>
      <c r="X113"/>
      <c r="Y113"/>
      <c r="Z113"/>
      <c r="AA113"/>
      <c r="AB113" s="2011"/>
      <c r="AC113" s="2135"/>
      <c r="AD113" s="2135"/>
      <c r="AE113" s="2135"/>
      <c r="AF113" s="119"/>
      <c r="AG113" s="995"/>
      <c r="AH113" s="995"/>
      <c r="AI113" s="995"/>
      <c r="AJ113" s="119"/>
      <c r="AK113" s="995"/>
      <c r="AL113" s="995"/>
      <c r="AM113" s="995"/>
      <c r="AN113" s="119"/>
      <c r="AO113" s="995"/>
      <c r="AP113" s="995"/>
      <c r="AQ113" s="995"/>
      <c r="AR113" s="210"/>
      <c r="AS113" s="3066"/>
      <c r="AT113" s="2443"/>
      <c r="AU113" s="2443"/>
      <c r="AV113" s="2443"/>
      <c r="AW113" s="2461"/>
      <c r="AX113" s="1416"/>
      <c r="AY113" s="2479"/>
      <c r="AZ113" s="2479"/>
      <c r="BA113" s="2479"/>
      <c r="BB113" s="3066"/>
      <c r="BC113" s="2477"/>
      <c r="BD113" s="2480"/>
      <c r="BE113" s="2480"/>
      <c r="BF113" s="2480"/>
      <c r="BG113" s="2478"/>
      <c r="BH113" s="2461"/>
      <c r="BI113" s="2461"/>
      <c r="BJ113" s="2461"/>
      <c r="BK113" s="2461"/>
      <c r="BL113" s="2461"/>
      <c r="BM113" s="2461"/>
      <c r="BN113" s="2461"/>
    </row>
    <row r="114" spans="1:66" s="2461" customFormat="1">
      <c r="A114" s="3066"/>
      <c r="B114" s="3065"/>
      <c r="C114" s="3062"/>
      <c r="D114" s="3063"/>
      <c r="E114" s="3067"/>
      <c r="F114" s="3282"/>
      <c r="G114" s="3321" t="s">
        <v>9166</v>
      </c>
      <c r="I114" s="3284"/>
      <c r="J114" s="3321" t="s">
        <v>9256</v>
      </c>
      <c r="K114" s="3069"/>
      <c r="L114" s="3321" t="s">
        <v>9257</v>
      </c>
      <c r="M114" s="3069"/>
      <c r="N114" s="3321" t="s">
        <v>9258</v>
      </c>
      <c r="O114" s="2660"/>
      <c r="P114" s="3285"/>
      <c r="Q114" s="3286"/>
      <c r="R114" s="3287"/>
      <c r="S114" s="3288"/>
      <c r="T114" s="3289"/>
      <c r="U114" s="3290"/>
      <c r="V114" s="3066"/>
      <c r="W114" s="3066"/>
      <c r="X114" s="3066"/>
      <c r="Y114" s="3066"/>
      <c r="Z114" s="3066"/>
      <c r="AA114" s="3066"/>
      <c r="AB114" s="3066"/>
      <c r="AC114" s="2443"/>
      <c r="AD114" s="2443"/>
      <c r="AE114" s="2443"/>
      <c r="AF114" s="3066"/>
      <c r="AG114" s="2443"/>
      <c r="AH114" s="2443"/>
      <c r="AI114" s="2443"/>
      <c r="AJ114" s="3066"/>
      <c r="AK114" s="2443"/>
      <c r="AL114" s="2443"/>
      <c r="AM114" s="2443"/>
      <c r="AN114" s="3066"/>
      <c r="AO114" s="2443"/>
      <c r="AP114" s="2443"/>
      <c r="AQ114" s="2443"/>
      <c r="AS114" s="3066"/>
      <c r="AT114" s="2443"/>
      <c r="AU114" s="2443"/>
      <c r="AV114" s="2443"/>
      <c r="AX114" s="1416"/>
      <c r="AY114" s="2479"/>
      <c r="AZ114" s="2479"/>
      <c r="BA114" s="2479"/>
      <c r="BB114" s="3066"/>
      <c r="BC114" s="2477"/>
      <c r="BD114" s="2480"/>
      <c r="BE114" s="2480"/>
      <c r="BF114" s="2480"/>
      <c r="BG114" s="2478"/>
    </row>
    <row r="115" spans="1:66" s="2461" customFormat="1">
      <c r="A115" s="3066"/>
      <c r="B115" s="3065"/>
      <c r="C115" s="3062"/>
      <c r="D115" s="3063"/>
      <c r="F115" s="3065" t="s">
        <v>9189</v>
      </c>
      <c r="G115" s="3291">
        <v>0.93</v>
      </c>
      <c r="I115" s="3284"/>
      <c r="J115" s="4019">
        <v>0.93</v>
      </c>
      <c r="K115" s="3069"/>
      <c r="L115" s="4019">
        <v>0.93</v>
      </c>
      <c r="M115" s="3069"/>
      <c r="N115" s="4019">
        <v>0.93</v>
      </c>
      <c r="O115" s="2660"/>
      <c r="P115" s="3285"/>
      <c r="Q115" s="3286"/>
      <c r="R115" s="3287"/>
      <c r="S115" s="3288"/>
      <c r="T115" s="3289"/>
      <c r="U115" s="3290"/>
      <c r="V115" s="3066"/>
      <c r="W115" s="3066"/>
      <c r="X115" s="3066"/>
      <c r="Y115" s="3066"/>
      <c r="Z115" s="3066"/>
      <c r="AA115" s="3066"/>
      <c r="AB115" s="3066"/>
      <c r="AC115" s="2443"/>
      <c r="AD115" s="2443"/>
      <c r="AE115" s="2443"/>
      <c r="AF115" s="3066"/>
      <c r="AG115" s="2443"/>
      <c r="AH115" s="2443"/>
      <c r="AI115" s="2443"/>
      <c r="AJ115" s="3066"/>
      <c r="AK115" s="2443"/>
      <c r="AL115" s="2443"/>
      <c r="AM115" s="2443"/>
      <c r="AN115" s="3066"/>
      <c r="AO115" s="2443"/>
      <c r="AP115" s="2443"/>
      <c r="AQ115" s="2443"/>
      <c r="AS115" s="3066"/>
      <c r="AT115" s="2443"/>
      <c r="AU115" s="2443"/>
      <c r="AV115" s="2443"/>
      <c r="AX115" s="1416"/>
      <c r="AY115" s="2479"/>
      <c r="AZ115" s="2479"/>
      <c r="BA115" s="2479"/>
      <c r="BB115" s="3066"/>
      <c r="BC115" s="2477"/>
      <c r="BD115" s="2480"/>
      <c r="BE115" s="2480"/>
      <c r="BF115" s="2480"/>
      <c r="BG115" s="2478"/>
    </row>
    <row r="116" spans="1:66" s="2461" customFormat="1">
      <c r="A116" s="3066"/>
      <c r="B116" s="3065"/>
      <c r="C116" s="3062"/>
      <c r="D116" s="3063"/>
      <c r="E116" s="3067"/>
      <c r="F116" s="3292" t="s">
        <v>9190</v>
      </c>
      <c r="G116" s="3283"/>
      <c r="I116" s="3284"/>
      <c r="J116" s="4020"/>
      <c r="K116" s="3069"/>
      <c r="L116" s="4020"/>
      <c r="M116" s="3069"/>
      <c r="N116" s="4020"/>
      <c r="O116" s="2660"/>
      <c r="P116" s="3285"/>
      <c r="Q116" s="3286"/>
      <c r="R116" s="3287"/>
      <c r="S116" s="3288"/>
      <c r="T116" s="3289"/>
      <c r="U116" s="3290"/>
      <c r="V116" s="3066"/>
      <c r="W116" s="3066"/>
      <c r="X116" s="3066"/>
      <c r="Y116" s="3066"/>
      <c r="Z116" s="3066"/>
      <c r="AA116" s="3066"/>
      <c r="AB116" s="3066"/>
      <c r="AC116" s="2443"/>
      <c r="AD116" s="2443"/>
      <c r="AE116" s="2443"/>
      <c r="AF116" s="3066"/>
      <c r="AG116" s="2443"/>
      <c r="AH116" s="2443"/>
      <c r="AI116" s="2443"/>
      <c r="AJ116" s="3066"/>
      <c r="AK116" s="2443"/>
      <c r="AL116" s="2443"/>
      <c r="AM116" s="2443"/>
      <c r="AN116" s="3066"/>
      <c r="AO116" s="2443"/>
      <c r="AP116" s="2443"/>
      <c r="AQ116" s="2443"/>
      <c r="AS116" s="3066"/>
      <c r="AT116" s="2443"/>
      <c r="AU116" s="2443"/>
      <c r="AV116" s="2443"/>
      <c r="AX116" s="1416"/>
      <c r="AY116" s="2479"/>
      <c r="AZ116" s="2479"/>
      <c r="BA116" s="2479"/>
      <c r="BB116" s="3066"/>
      <c r="BC116" s="2477"/>
      <c r="BD116" s="2480"/>
      <c r="BE116" s="2480"/>
      <c r="BF116" s="2480"/>
      <c r="BG116" s="2478"/>
    </row>
    <row r="117" spans="1:66" s="2461" customFormat="1">
      <c r="A117" s="3066"/>
      <c r="B117" s="3065"/>
      <c r="C117" s="3062"/>
      <c r="D117" s="3063"/>
      <c r="E117" s="3067"/>
      <c r="F117" s="3293" t="s">
        <v>9191</v>
      </c>
      <c r="G117" s="3283"/>
      <c r="I117" s="3284"/>
      <c r="J117" s="4020"/>
      <c r="K117" s="3069"/>
      <c r="L117" s="4020"/>
      <c r="M117" s="3069"/>
      <c r="N117" s="4020"/>
      <c r="O117" s="2660"/>
      <c r="P117" s="3285"/>
      <c r="Q117" s="3286"/>
      <c r="R117" s="3287"/>
      <c r="S117" s="3288"/>
      <c r="T117" s="3289"/>
      <c r="U117" s="3290"/>
      <c r="V117" s="3066"/>
      <c r="W117" s="3066"/>
      <c r="X117" s="3066"/>
      <c r="Y117" s="3066"/>
      <c r="Z117" s="3066"/>
      <c r="AA117" s="3066"/>
      <c r="AB117" s="3066"/>
      <c r="AC117" s="2443"/>
      <c r="AD117" s="2443"/>
      <c r="AE117" s="2443"/>
      <c r="AF117" s="3066"/>
      <c r="AG117" s="2443"/>
      <c r="AH117" s="2443"/>
      <c r="AI117" s="2443"/>
      <c r="AJ117" s="3066"/>
      <c r="AK117" s="2443"/>
      <c r="AL117" s="2443"/>
      <c r="AM117" s="2443"/>
      <c r="AN117" s="3066"/>
      <c r="AO117" s="2443"/>
      <c r="AP117" s="2443"/>
      <c r="AQ117" s="2443"/>
      <c r="AS117" s="3066"/>
      <c r="AT117" s="2443"/>
      <c r="AU117" s="2443"/>
      <c r="AV117" s="2443"/>
      <c r="AX117" s="1416"/>
      <c r="AY117" s="2479"/>
      <c r="AZ117" s="2479"/>
      <c r="BA117" s="2479"/>
      <c r="BB117" s="3066"/>
      <c r="BC117" s="2477"/>
      <c r="BD117" s="2480"/>
      <c r="BE117" s="2480"/>
      <c r="BF117" s="2480"/>
      <c r="BG117" s="2478"/>
    </row>
    <row r="118" spans="1:66" s="2461" customFormat="1">
      <c r="A118" s="3066"/>
      <c r="B118" s="3065"/>
      <c r="C118" s="3062"/>
      <c r="D118" s="3063"/>
      <c r="E118" s="3067"/>
      <c r="F118" s="3294" t="s">
        <v>9192</v>
      </c>
      <c r="G118" s="3295">
        <v>0.93</v>
      </c>
      <c r="I118" s="3284"/>
      <c r="J118" s="3295">
        <f>G124</f>
        <v>0.91649841361407547</v>
      </c>
      <c r="K118" s="3069"/>
      <c r="L118" s="3295">
        <f>J124</f>
        <v>0.90319284102915798</v>
      </c>
      <c r="M118" s="3069"/>
      <c r="N118" s="3295">
        <f>L124</f>
        <v>0.89008043654926139</v>
      </c>
      <c r="O118" s="2660"/>
      <c r="P118" s="3285"/>
      <c r="Q118" s="3286"/>
      <c r="R118" s="3287"/>
      <c r="S118" s="3288"/>
      <c r="T118" s="3289"/>
      <c r="U118" s="3290"/>
      <c r="V118" s="3066"/>
      <c r="W118" s="3066"/>
      <c r="X118" s="3066"/>
      <c r="Y118" s="3066"/>
      <c r="Z118" s="3066"/>
      <c r="AA118" s="3066"/>
      <c r="AB118" s="3066"/>
      <c r="AC118" s="2443"/>
      <c r="AD118" s="2443"/>
      <c r="AE118" s="2443"/>
      <c r="AF118" s="3066"/>
      <c r="AG118" s="2443"/>
      <c r="AH118" s="2443"/>
      <c r="AI118" s="2443"/>
      <c r="AJ118" s="3066"/>
      <c r="AK118" s="2443"/>
      <c r="AL118" s="2443"/>
      <c r="AM118" s="2443"/>
      <c r="AN118" s="3066"/>
      <c r="AO118" s="2443"/>
      <c r="AP118" s="2443"/>
      <c r="AQ118" s="2443"/>
      <c r="AS118" s="3066"/>
      <c r="AT118" s="2443"/>
      <c r="AU118" s="2443"/>
      <c r="AV118" s="2443"/>
      <c r="AX118" s="1416"/>
      <c r="AY118" s="2479"/>
      <c r="AZ118" s="2479"/>
      <c r="BA118" s="2479"/>
      <c r="BB118" s="3066"/>
      <c r="BC118" s="2477"/>
      <c r="BD118" s="2480"/>
      <c r="BE118" s="2480"/>
      <c r="BF118" s="2480"/>
      <c r="BG118" s="2478"/>
    </row>
    <row r="119" spans="1:66" s="2461" customFormat="1">
      <c r="A119" s="3066"/>
      <c r="B119" s="3065"/>
      <c r="C119" s="3062"/>
      <c r="D119" s="3063"/>
      <c r="E119" s="3067"/>
      <c r="F119" s="3293" t="s">
        <v>9193</v>
      </c>
      <c r="G119" s="3295">
        <v>4.0099999999999997E-2</v>
      </c>
      <c r="H119" s="3069"/>
      <c r="J119" s="3295">
        <v>4.0099999999999997E-2</v>
      </c>
      <c r="K119" s="3069"/>
      <c r="L119" s="3295">
        <v>4.0099999999999997E-2</v>
      </c>
      <c r="M119" s="3069"/>
      <c r="N119" s="3295">
        <v>4.0099999999999997E-2</v>
      </c>
      <c r="O119" s="2660"/>
      <c r="P119" s="3285"/>
      <c r="Q119" s="3286"/>
      <c r="R119" s="3287"/>
      <c r="S119" s="3288"/>
      <c r="T119" s="3289"/>
      <c r="U119" s="3290"/>
      <c r="V119" s="3066"/>
      <c r="W119" s="3066"/>
      <c r="X119" s="3066"/>
      <c r="Y119" s="3066"/>
      <c r="Z119" s="3066"/>
      <c r="AA119" s="3066"/>
      <c r="AB119" s="3066"/>
      <c r="AC119" s="2443"/>
      <c r="AD119" s="2443"/>
      <c r="AE119" s="2443"/>
      <c r="AF119" s="3066"/>
      <c r="AG119" s="2443"/>
      <c r="AH119" s="2443"/>
      <c r="AI119" s="2443"/>
      <c r="AJ119" s="3066"/>
      <c r="AK119" s="2443"/>
      <c r="AL119" s="2443"/>
      <c r="AM119" s="2443"/>
      <c r="AN119" s="3066"/>
      <c r="AO119" s="2443"/>
      <c r="AP119" s="2443"/>
      <c r="AQ119" s="2443"/>
      <c r="AS119" s="3066"/>
      <c r="AT119" s="2443"/>
      <c r="AU119" s="2443"/>
      <c r="AV119" s="2443"/>
      <c r="AX119" s="1416"/>
      <c r="AY119" s="2479"/>
      <c r="AZ119" s="2479"/>
      <c r="BA119" s="2479"/>
      <c r="BB119" s="3066"/>
      <c r="BC119" s="2477"/>
      <c r="BD119" s="2480"/>
      <c r="BE119" s="2480"/>
      <c r="BF119" s="2480"/>
      <c r="BG119" s="2478"/>
    </row>
    <row r="120" spans="1:66" s="2461" customFormat="1">
      <c r="A120" s="3066"/>
      <c r="B120" s="3065"/>
      <c r="C120" s="3062"/>
      <c r="D120" s="3063"/>
      <c r="E120" s="3067"/>
      <c r="F120" s="3293" t="s">
        <v>9194</v>
      </c>
      <c r="G120" s="3295">
        <f>(G118*1.025)/(1+G119)</f>
        <v>0.91649841361407547</v>
      </c>
      <c r="I120" s="3284"/>
      <c r="J120" s="3295">
        <f>(J118*1.025)/(1+J119)</f>
        <v>0.90319284102915798</v>
      </c>
      <c r="K120" s="3069"/>
      <c r="L120" s="3295">
        <f>(L118*1.025)/(1+L119)</f>
        <v>0.89008043654926139</v>
      </c>
      <c r="M120" s="3069"/>
      <c r="N120" s="3295">
        <f>(N118*1.025)/(1+N119)</f>
        <v>0.87715839579174382</v>
      </c>
      <c r="O120" s="2660"/>
      <c r="P120" s="3285"/>
      <c r="Q120" s="3286"/>
      <c r="R120" s="3287"/>
      <c r="S120" s="3288"/>
      <c r="T120" s="3289"/>
      <c r="U120" s="3290"/>
      <c r="V120" s="3066"/>
      <c r="W120" s="3066"/>
      <c r="X120" s="3066"/>
      <c r="Y120" s="3066"/>
      <c r="Z120" s="3066"/>
      <c r="AA120" s="3066"/>
      <c r="AB120" s="3066"/>
      <c r="AC120" s="2443"/>
      <c r="AD120" s="2443"/>
      <c r="AE120" s="2443"/>
      <c r="AF120" s="3066"/>
      <c r="AG120" s="2443"/>
      <c r="AH120" s="2443"/>
      <c r="AI120" s="2443"/>
      <c r="AJ120" s="3066"/>
      <c r="AK120" s="2443"/>
      <c r="AL120" s="2443"/>
      <c r="AM120" s="2443"/>
      <c r="AN120" s="3066"/>
      <c r="AO120" s="2443"/>
      <c r="AP120" s="2443"/>
      <c r="AQ120" s="2443"/>
      <c r="AS120" s="3066"/>
      <c r="AT120" s="2443"/>
      <c r="AU120" s="2443"/>
      <c r="AV120" s="2443"/>
      <c r="AX120" s="1416"/>
      <c r="AY120" s="2479"/>
      <c r="AZ120" s="2479"/>
      <c r="BA120" s="2479"/>
      <c r="BB120" s="3066"/>
      <c r="BC120" s="2477"/>
      <c r="BD120" s="2480"/>
      <c r="BE120" s="2480"/>
      <c r="BF120" s="2480"/>
      <c r="BG120" s="2478"/>
    </row>
    <row r="121" spans="1:66" s="2461" customFormat="1">
      <c r="A121" s="3066"/>
      <c r="B121" s="3065"/>
      <c r="C121" s="3062"/>
      <c r="D121" s="3063"/>
      <c r="E121" s="3067"/>
      <c r="F121" s="3292" t="s">
        <v>9190</v>
      </c>
      <c r="G121" s="3296"/>
      <c r="I121" s="3284"/>
      <c r="J121" s="3296"/>
      <c r="K121" s="3069"/>
      <c r="L121" s="3296"/>
      <c r="M121" s="3069"/>
      <c r="N121" s="3296"/>
      <c r="O121" s="2660"/>
      <c r="P121" s="3285"/>
      <c r="Q121" s="3286"/>
      <c r="R121" s="3287"/>
      <c r="S121" s="3288"/>
      <c r="T121" s="3289"/>
      <c r="U121" s="3290"/>
      <c r="V121" s="3066"/>
      <c r="W121" s="3066"/>
      <c r="X121" s="3066"/>
      <c r="Y121" s="3066"/>
      <c r="Z121" s="3066"/>
      <c r="AA121" s="3066"/>
      <c r="AB121" s="3066"/>
      <c r="AC121" s="2443"/>
      <c r="AD121" s="2443"/>
      <c r="AE121" s="2443"/>
      <c r="AF121" s="3066"/>
      <c r="AG121" s="2443"/>
      <c r="AH121" s="2443"/>
      <c r="AI121" s="2443"/>
      <c r="AJ121" s="3066"/>
      <c r="AK121" s="2443"/>
      <c r="AL121" s="2443"/>
      <c r="AM121" s="2443"/>
      <c r="AN121" s="3066"/>
      <c r="AO121" s="2443"/>
      <c r="AP121" s="2443"/>
      <c r="AQ121" s="2443"/>
      <c r="AS121" s="3066"/>
      <c r="AT121" s="2443"/>
      <c r="AU121" s="2443"/>
      <c r="AV121" s="2443"/>
      <c r="AX121" s="1416"/>
      <c r="AY121" s="2479"/>
      <c r="AZ121" s="2479"/>
      <c r="BA121" s="2479"/>
      <c r="BB121" s="3066"/>
      <c r="BC121" s="2477"/>
      <c r="BD121" s="2480"/>
      <c r="BE121" s="2480"/>
      <c r="BF121" s="2480"/>
      <c r="BG121" s="2478"/>
    </row>
    <row r="122" spans="1:66" s="2461" customFormat="1">
      <c r="A122" s="3066"/>
      <c r="B122" s="3065"/>
      <c r="C122" s="3062"/>
      <c r="D122" s="3063"/>
      <c r="E122" s="3067"/>
      <c r="F122" s="3293" t="s">
        <v>9195</v>
      </c>
      <c r="G122" s="3295">
        <v>0.93</v>
      </c>
      <c r="I122" s="3069"/>
      <c r="J122" s="3295">
        <f>G124</f>
        <v>0.91649841361407547</v>
      </c>
      <c r="K122" s="3069"/>
      <c r="L122" s="3295">
        <f>J124</f>
        <v>0.90319284102915798</v>
      </c>
      <c r="M122" s="3069"/>
      <c r="N122" s="3295">
        <f>L124</f>
        <v>0.89008043654926139</v>
      </c>
      <c r="O122" s="2660"/>
      <c r="P122" s="3285"/>
      <c r="Q122" s="3286"/>
      <c r="R122" s="3287"/>
      <c r="S122" s="3288"/>
      <c r="T122" s="3289"/>
      <c r="U122" s="3290"/>
      <c r="V122" s="3066"/>
      <c r="W122" s="3066"/>
      <c r="X122" s="3066"/>
      <c r="Y122" s="3066"/>
      <c r="Z122" s="3066"/>
      <c r="AA122" s="3066"/>
      <c r="AB122" s="3066"/>
      <c r="AC122" s="2443"/>
      <c r="AD122" s="2443"/>
      <c r="AE122" s="2443"/>
      <c r="AF122" s="3066"/>
      <c r="AG122" s="2443"/>
      <c r="AH122" s="2443"/>
      <c r="AI122" s="2443"/>
      <c r="AJ122" s="3066"/>
      <c r="AK122" s="2443"/>
      <c r="AL122" s="2443"/>
      <c r="AM122" s="2443"/>
      <c r="AN122" s="3066"/>
      <c r="AO122" s="2443"/>
      <c r="AP122" s="2443"/>
      <c r="AQ122" s="2443"/>
      <c r="AS122" s="3066"/>
      <c r="AT122" s="2443"/>
      <c r="AU122" s="2443"/>
      <c r="AV122" s="2443"/>
      <c r="AX122" s="1416"/>
      <c r="AY122" s="2479"/>
      <c r="AZ122" s="2479"/>
      <c r="BA122" s="2479"/>
      <c r="BB122" s="3066"/>
      <c r="BC122" s="2477"/>
      <c r="BD122" s="2480"/>
      <c r="BE122" s="2480"/>
      <c r="BF122" s="2480"/>
      <c r="BG122" s="2478"/>
    </row>
    <row r="123" spans="1:66" s="2461" customFormat="1">
      <c r="A123" s="3066"/>
      <c r="B123" s="3065"/>
      <c r="C123" s="3062"/>
      <c r="D123" s="3063"/>
      <c r="E123" s="3067"/>
      <c r="F123" s="3293"/>
      <c r="G123" s="3296"/>
      <c r="I123" s="3284"/>
      <c r="J123" s="3296"/>
      <c r="K123" s="3069"/>
      <c r="L123" s="3296"/>
      <c r="M123" s="3069"/>
      <c r="N123" s="3296"/>
      <c r="O123" s="2660"/>
      <c r="P123" s="3285"/>
      <c r="Q123" s="3286"/>
      <c r="R123" s="3287"/>
      <c r="S123" s="3288"/>
      <c r="T123" s="3289"/>
      <c r="U123" s="3290"/>
      <c r="V123" s="3066"/>
      <c r="W123" s="3066"/>
      <c r="X123" s="3066"/>
      <c r="Y123" s="3066"/>
      <c r="Z123" s="3066"/>
      <c r="AA123" s="3066"/>
      <c r="AB123" s="3066"/>
      <c r="AC123" s="2443"/>
      <c r="AD123" s="2443"/>
      <c r="AE123" s="2443"/>
      <c r="AF123" s="3066"/>
      <c r="AG123" s="2443"/>
      <c r="AH123" s="2443"/>
      <c r="AI123" s="2443"/>
      <c r="AJ123" s="3066"/>
      <c r="AK123" s="2443"/>
      <c r="AL123" s="2443"/>
      <c r="AM123" s="2443"/>
      <c r="AN123" s="3066"/>
      <c r="AO123" s="2443"/>
      <c r="AP123" s="2443"/>
      <c r="AQ123" s="2443"/>
      <c r="AS123" s="3066"/>
      <c r="AT123" s="2443"/>
      <c r="AU123" s="2443"/>
      <c r="AV123" s="2443"/>
      <c r="AX123" s="1416"/>
      <c r="AY123" s="2479"/>
      <c r="AZ123" s="2479"/>
      <c r="BA123" s="2479"/>
      <c r="BB123" s="3066"/>
      <c r="BC123" s="2477"/>
      <c r="BD123" s="2480"/>
      <c r="BE123" s="2480"/>
      <c r="BF123" s="2480"/>
      <c r="BG123" s="2478"/>
    </row>
    <row r="124" spans="1:66" s="2461" customFormat="1">
      <c r="A124" s="3066"/>
      <c r="B124" s="3065"/>
      <c r="C124" s="3062"/>
      <c r="D124" s="3063"/>
      <c r="E124" s="3067"/>
      <c r="F124" s="3293" t="s">
        <v>9174</v>
      </c>
      <c r="G124" s="3314">
        <f>MIN(G115,G120,G122)</f>
        <v>0.91649841361407547</v>
      </c>
      <c r="I124" s="3284"/>
      <c r="J124" s="3314">
        <f>MIN(J115,J120,J122)</f>
        <v>0.90319284102915798</v>
      </c>
      <c r="K124" s="3069"/>
      <c r="L124" s="3314">
        <f>MIN(L115,L120,L122)</f>
        <v>0.89008043654926139</v>
      </c>
      <c r="M124" s="3069"/>
      <c r="N124" s="3314">
        <f>MIN(N115,N120,N122)</f>
        <v>0.87715839579174382</v>
      </c>
      <c r="O124" s="2660"/>
      <c r="P124" s="3285"/>
      <c r="Q124" s="3286"/>
      <c r="R124" s="3287"/>
      <c r="S124" s="3288"/>
      <c r="T124" s="3289"/>
      <c r="U124" s="3290"/>
      <c r="V124" s="3066"/>
      <c r="W124" s="3066"/>
      <c r="X124" s="3066"/>
      <c r="Y124" s="3066"/>
      <c r="Z124" s="3066"/>
      <c r="AA124" s="3066"/>
      <c r="AB124" s="3066"/>
      <c r="AC124" s="2443"/>
      <c r="AD124" s="2443"/>
      <c r="AE124" s="2443"/>
      <c r="AF124" s="3066"/>
      <c r="AG124" s="2443"/>
      <c r="AH124" s="2443"/>
      <c r="AI124" s="2443"/>
      <c r="AJ124" s="3066"/>
      <c r="AK124" s="2443"/>
      <c r="AL124" s="2443"/>
      <c r="AM124" s="2443"/>
      <c r="AN124" s="3066"/>
      <c r="AO124" s="2443"/>
      <c r="AP124" s="2443"/>
      <c r="AQ124" s="2443"/>
      <c r="AS124" s="3066"/>
      <c r="AT124" s="2443"/>
      <c r="AU124" s="2443"/>
      <c r="AV124" s="2443"/>
      <c r="AX124" s="1416"/>
      <c r="AY124" s="2479"/>
      <c r="AZ124" s="2479"/>
      <c r="BA124" s="2479"/>
      <c r="BB124" s="3066"/>
      <c r="BC124" s="2477"/>
      <c r="BD124" s="2480"/>
      <c r="BE124" s="2480"/>
      <c r="BF124" s="2480"/>
      <c r="BG124" s="2478"/>
    </row>
    <row r="125" spans="1:66" s="2461" customFormat="1">
      <c r="A125" s="3066"/>
      <c r="B125" s="3065"/>
      <c r="C125" s="3062"/>
      <c r="D125" s="3063"/>
      <c r="E125" s="3067"/>
      <c r="F125" s="3282"/>
      <c r="G125" s="3283"/>
      <c r="I125" s="3284"/>
      <c r="J125" s="2477"/>
      <c r="K125" s="3069"/>
      <c r="L125" s="2477"/>
      <c r="M125" s="3069"/>
      <c r="N125" s="2477"/>
      <c r="O125" s="2660"/>
      <c r="P125" s="3285"/>
      <c r="Q125" s="3286"/>
      <c r="R125" s="3287"/>
      <c r="S125" s="3288"/>
      <c r="T125" s="3289"/>
      <c r="U125" s="3290"/>
      <c r="V125" s="3066"/>
      <c r="W125" s="3066"/>
      <c r="X125" s="3066"/>
      <c r="Y125" s="3066"/>
      <c r="Z125" s="3066"/>
      <c r="AA125" s="3066"/>
      <c r="AB125" s="3066"/>
      <c r="AC125" s="2443"/>
      <c r="AD125" s="2443"/>
      <c r="AE125" s="2443"/>
      <c r="AF125" s="3066"/>
      <c r="AG125" s="2443"/>
      <c r="AH125" s="2443"/>
      <c r="AI125" s="2443"/>
      <c r="AJ125" s="3066"/>
      <c r="AK125" s="2443"/>
      <c r="AL125" s="2443"/>
      <c r="AM125" s="2443"/>
      <c r="AN125" s="3066"/>
      <c r="AO125" s="2443"/>
      <c r="AP125" s="2443"/>
      <c r="AQ125" s="2443"/>
      <c r="AS125" s="3066"/>
      <c r="AT125" s="2443"/>
      <c r="AU125" s="2443"/>
      <c r="AV125" s="2443"/>
      <c r="AX125" s="1416"/>
      <c r="AY125" s="2479"/>
      <c r="AZ125" s="2479"/>
      <c r="BA125" s="2479"/>
      <c r="BB125" s="3066"/>
      <c r="BC125" s="2477"/>
      <c r="BD125" s="2480"/>
      <c r="BE125" s="2480"/>
      <c r="BF125" s="2480"/>
      <c r="BG125" s="2478"/>
    </row>
    <row r="126" spans="1:66" s="2461" customFormat="1">
      <c r="A126" s="3066"/>
      <c r="B126" s="3065"/>
      <c r="C126" s="3062"/>
      <c r="D126" s="3063"/>
      <c r="E126" s="3067"/>
      <c r="F126" s="3282"/>
      <c r="G126" s="3283"/>
      <c r="I126" s="3284"/>
      <c r="J126" s="2477"/>
      <c r="K126" s="3069"/>
      <c r="L126" s="2477"/>
      <c r="M126" s="3069"/>
      <c r="N126" s="2477"/>
      <c r="O126" s="2660"/>
      <c r="P126" s="3285"/>
      <c r="Q126" s="3286"/>
      <c r="R126" s="3287"/>
      <c r="S126" s="3288"/>
      <c r="T126" s="3289"/>
      <c r="U126" s="3290"/>
      <c r="V126" s="3066"/>
      <c r="W126" s="3066"/>
      <c r="X126" s="3066"/>
      <c r="Y126" s="3066"/>
      <c r="Z126" s="3066"/>
      <c r="AA126" s="3066"/>
      <c r="AB126" s="3066"/>
      <c r="AC126" s="2443"/>
      <c r="AD126" s="2443"/>
      <c r="AE126" s="2443"/>
      <c r="AF126" s="3066"/>
      <c r="AG126" s="2443"/>
      <c r="AH126" s="2443"/>
      <c r="AI126" s="2443"/>
      <c r="AJ126" s="3066"/>
      <c r="AK126" s="2443"/>
      <c r="AL126" s="2443"/>
      <c r="AM126" s="2443"/>
      <c r="AN126" s="3066"/>
      <c r="AO126" s="2443"/>
      <c r="AP126" s="2443"/>
      <c r="AQ126" s="2443"/>
      <c r="AS126" s="3066"/>
      <c r="AT126" s="2443"/>
      <c r="AU126" s="2443"/>
      <c r="AV126" s="2443"/>
      <c r="AX126" s="1416"/>
      <c r="AY126" s="2479"/>
      <c r="AZ126" s="2479"/>
      <c r="BA126" s="2479"/>
      <c r="BB126" s="3066"/>
      <c r="BC126" s="2477"/>
      <c r="BD126" s="2480"/>
      <c r="BE126" s="2480"/>
      <c r="BF126" s="2480"/>
      <c r="BG126" s="2478"/>
    </row>
    <row r="127" spans="1:66" s="152" customFormat="1">
      <c r="A127"/>
      <c r="B127" s="3065"/>
      <c r="C127" s="3062"/>
      <c r="D127" s="3063"/>
      <c r="E127" s="3067"/>
      <c r="F127" s="3315" t="s">
        <v>9199</v>
      </c>
      <c r="G127" s="1210"/>
      <c r="H127" s="2461"/>
      <c r="I127" s="1322"/>
      <c r="J127" s="1713"/>
      <c r="K127" s="2659"/>
      <c r="L127" s="1713"/>
      <c r="M127" s="73"/>
      <c r="N127" s="1713"/>
      <c r="O127" s="250"/>
      <c r="P127" s="258"/>
      <c r="Q127" s="259"/>
      <c r="R127" s="260"/>
      <c r="S127" s="261"/>
      <c r="T127" s="262"/>
      <c r="U127" s="263"/>
      <c r="V127"/>
      <c r="W127"/>
      <c r="X127"/>
      <c r="Y127"/>
      <c r="Z127"/>
      <c r="AA127"/>
      <c r="AB127" s="2011"/>
      <c r="AC127" s="2135"/>
      <c r="AD127" s="2135"/>
      <c r="AE127" s="2135"/>
      <c r="AF127" s="119"/>
      <c r="AG127" s="995"/>
      <c r="AH127" s="995"/>
      <c r="AI127" s="995"/>
      <c r="AJ127" s="119"/>
      <c r="AK127" s="995"/>
      <c r="AL127" s="995"/>
      <c r="AM127" s="995"/>
      <c r="AN127" s="119"/>
      <c r="AO127" s="995"/>
      <c r="AP127" s="995"/>
      <c r="AQ127" s="995"/>
      <c r="AR127" s="210"/>
      <c r="AS127" s="1797"/>
      <c r="AT127" s="2443"/>
      <c r="AU127" s="2443"/>
      <c r="AV127" s="2443"/>
      <c r="AW127" s="2461"/>
      <c r="AX127" s="1416"/>
      <c r="AY127" s="2479"/>
      <c r="AZ127" s="2479"/>
      <c r="BA127" s="2479"/>
      <c r="BB127" s="1797"/>
      <c r="BC127" s="2477"/>
      <c r="BD127" s="2480"/>
      <c r="BE127" s="2480"/>
      <c r="BF127" s="2480"/>
      <c r="BG127" s="2478"/>
      <c r="BH127" s="2461"/>
      <c r="BI127" s="2461"/>
      <c r="BJ127" s="2461"/>
      <c r="BK127" s="2461"/>
      <c r="BL127" s="2461"/>
      <c r="BM127" s="2461"/>
      <c r="BN127" s="2461"/>
    </row>
    <row r="128" spans="1:66" s="152" customFormat="1">
      <c r="A128"/>
      <c r="B128" s="3065"/>
      <c r="C128" s="3062"/>
      <c r="D128" s="3063"/>
      <c r="E128" s="3063"/>
      <c r="F128" s="3297" t="s">
        <v>9200</v>
      </c>
      <c r="G128" s="2461"/>
      <c r="H128" s="2461"/>
      <c r="I128" s="1322"/>
      <c r="J128" s="1713"/>
      <c r="K128" s="2659"/>
      <c r="L128" s="1713"/>
      <c r="M128" s="73"/>
      <c r="N128" s="1713"/>
      <c r="O128" s="250"/>
      <c r="P128" s="258"/>
      <c r="Q128" s="259"/>
      <c r="R128" s="260"/>
      <c r="S128" s="261"/>
      <c r="T128" s="262"/>
      <c r="U128" s="263"/>
      <c r="V128"/>
      <c r="W128"/>
      <c r="X128"/>
      <c r="Y128"/>
      <c r="Z128"/>
      <c r="AA128"/>
      <c r="AB128" s="2011"/>
      <c r="AC128" s="2135"/>
      <c r="AD128" s="2135"/>
      <c r="AE128" s="2135"/>
      <c r="AF128" s="119"/>
      <c r="AG128" s="995"/>
      <c r="AH128" s="995"/>
      <c r="AI128" s="995"/>
      <c r="AJ128" s="119"/>
      <c r="AK128" s="995"/>
      <c r="AL128" s="995"/>
      <c r="AM128" s="995"/>
      <c r="AN128" s="119"/>
      <c r="AO128" s="995"/>
      <c r="AP128" s="995"/>
      <c r="AQ128" s="995"/>
      <c r="AR128" s="210"/>
      <c r="AS128" s="1797"/>
      <c r="AT128" s="2443"/>
      <c r="AU128" s="2443"/>
      <c r="AV128" s="2443"/>
      <c r="AW128" s="2461"/>
      <c r="AX128" s="1416"/>
      <c r="AY128" s="2479"/>
      <c r="AZ128" s="2479"/>
      <c r="BA128" s="2479"/>
      <c r="BB128" s="1797"/>
      <c r="BC128" s="2477"/>
      <c r="BD128" s="2480"/>
      <c r="BE128" s="2480"/>
      <c r="BF128" s="2480"/>
      <c r="BG128" s="2478"/>
      <c r="BH128" s="2461"/>
      <c r="BI128" s="2461"/>
      <c r="BJ128" s="2461"/>
      <c r="BK128" s="2461"/>
      <c r="BL128" s="2461"/>
      <c r="BM128" s="2461"/>
      <c r="BN128" s="2461"/>
    </row>
    <row r="129" spans="1:66" s="152" customFormat="1">
      <c r="A129"/>
      <c r="B129" s="3065"/>
      <c r="C129" s="3062"/>
      <c r="D129" s="3063"/>
      <c r="E129" s="3063"/>
      <c r="F129" s="1184"/>
      <c r="G129" s="3321" t="s">
        <v>9166</v>
      </c>
      <c r="H129" s="2461"/>
      <c r="I129" s="1210"/>
      <c r="J129" s="3321" t="s">
        <v>9256</v>
      </c>
      <c r="K129" s="2659"/>
      <c r="L129" s="3321" t="s">
        <v>9257</v>
      </c>
      <c r="M129" s="73"/>
      <c r="N129" s="3321" t="s">
        <v>9258</v>
      </c>
      <c r="O129" s="250"/>
      <c r="P129" s="258"/>
      <c r="Q129" s="259"/>
      <c r="R129" s="260"/>
      <c r="S129" s="261"/>
      <c r="T129" s="262"/>
      <c r="U129" s="263"/>
      <c r="V129"/>
      <c r="W129"/>
      <c r="X129"/>
      <c r="Y129"/>
      <c r="Z129"/>
      <c r="AA129"/>
      <c r="AB129" s="2011"/>
      <c r="AC129" s="2135"/>
      <c r="AD129" s="2135"/>
      <c r="AE129" s="2135"/>
      <c r="AF129" s="119"/>
      <c r="AG129" s="995"/>
      <c r="AH129" s="995"/>
      <c r="AI129" s="995"/>
      <c r="AJ129" s="119"/>
      <c r="AK129" s="995"/>
      <c r="AL129" s="995"/>
      <c r="AM129" s="995"/>
      <c r="AN129" s="119"/>
      <c r="AO129" s="995"/>
      <c r="AP129" s="995"/>
      <c r="AQ129" s="995"/>
      <c r="AR129" s="210"/>
      <c r="AS129" s="1797"/>
      <c r="AT129" s="2443"/>
      <c r="AU129" s="2443"/>
      <c r="AV129" s="2443"/>
      <c r="AW129" s="2461"/>
      <c r="AX129" s="1416"/>
      <c r="AY129" s="2479"/>
      <c r="AZ129" s="2479"/>
      <c r="BA129" s="2479"/>
      <c r="BB129" s="1797"/>
      <c r="BC129" s="2477"/>
      <c r="BD129" s="2480"/>
      <c r="BE129" s="2480"/>
      <c r="BF129" s="2480"/>
      <c r="BG129" s="2478"/>
      <c r="BH129" s="2461"/>
      <c r="BI129" s="2461"/>
      <c r="BJ129" s="2461"/>
      <c r="BK129" s="2461"/>
      <c r="BL129" s="2461"/>
      <c r="BM129" s="2461"/>
      <c r="BN129" s="2461"/>
    </row>
    <row r="130" spans="1:66" s="152" customFormat="1" hidden="1">
      <c r="A130" s="2985"/>
      <c r="B130" s="3027"/>
      <c r="C130" s="3030"/>
      <c r="D130" s="3031"/>
      <c r="E130" s="3033" t="s">
        <v>8822</v>
      </c>
      <c r="F130" s="1184"/>
      <c r="G130" s="3298">
        <f>IF('Data Entry - SOF'!E92&gt;=1,0.04,'Data Entry - SOF'!K92-('Data Entry - SOF'!K92*0.96))</f>
        <v>0.04</v>
      </c>
      <c r="I130" s="1210"/>
      <c r="J130" s="3298">
        <f>IF('Data Entry - SOF'!G92&gt;=1,0.04,'Data Entry - SOF'!M92-('Data Entry - SOF'!M92*0.96))</f>
        <v>0.04</v>
      </c>
      <c r="K130" s="2660"/>
      <c r="L130" s="3298">
        <f>IF('Data Entry - SOF'!I92&gt;=1,0.04,'Data Entry - SOF'!O92-('Data Entry - SOF'!O92*0.96))</f>
        <v>0.04</v>
      </c>
      <c r="M130" s="335"/>
      <c r="N130" s="3298">
        <f>IF('Data Entry - SOF'!K92&gt;=1,0.04,'Data Entry - SOF'!Q92-('Data Entry - SOF'!Q92*0.96))</f>
        <v>0.04</v>
      </c>
      <c r="O130" s="250"/>
      <c r="P130" s="258"/>
      <c r="Q130" s="259"/>
      <c r="R130" s="260"/>
      <c r="S130" s="261"/>
      <c r="T130" s="262"/>
      <c r="U130" s="263"/>
      <c r="V130"/>
      <c r="W130"/>
      <c r="X130"/>
      <c r="Y130"/>
      <c r="Z130"/>
      <c r="AA130"/>
      <c r="AB130" s="2011"/>
      <c r="AC130" s="2135"/>
      <c r="AD130" s="2135"/>
      <c r="AE130" s="2135"/>
      <c r="AF130" s="119"/>
      <c r="AG130" s="995"/>
      <c r="AH130" s="995"/>
      <c r="AI130" s="995"/>
      <c r="AJ130" s="119"/>
      <c r="AK130" s="995"/>
      <c r="AL130" s="995"/>
      <c r="AM130" s="995"/>
      <c r="AN130" s="119"/>
      <c r="AO130" s="995"/>
      <c r="AP130" s="995"/>
      <c r="AQ130" s="995"/>
      <c r="AR130" s="210"/>
      <c r="AS130" s="1797"/>
      <c r="AT130" s="2443"/>
      <c r="AU130" s="2443"/>
      <c r="AV130" s="2443"/>
      <c r="AW130" s="2461"/>
      <c r="AX130" s="1416"/>
      <c r="AY130" s="2479"/>
      <c r="AZ130" s="2479"/>
      <c r="BA130" s="2479"/>
      <c r="BB130" s="1797"/>
      <c r="BC130" s="2477"/>
      <c r="BD130" s="2480"/>
      <c r="BE130" s="2480"/>
      <c r="BF130" s="2480"/>
      <c r="BG130" s="2478"/>
      <c r="BH130" s="2461"/>
      <c r="BI130" s="2461"/>
      <c r="BJ130" s="2461"/>
      <c r="BK130" s="2461"/>
      <c r="BL130" s="2461"/>
      <c r="BM130" s="2461"/>
      <c r="BN130" s="2461"/>
    </row>
    <row r="131" spans="1:66" s="152" customFormat="1" hidden="1">
      <c r="A131" s="2985"/>
      <c r="B131" s="3027"/>
      <c r="C131" s="3030"/>
      <c r="D131" s="3031"/>
      <c r="E131" s="3032" t="s">
        <v>8783</v>
      </c>
      <c r="F131" s="1184"/>
      <c r="G131" s="3299">
        <f>'Weights-HB3'!G63</f>
        <v>0.93</v>
      </c>
      <c r="I131" s="1210"/>
      <c r="J131" s="3299" t="e">
        <f>'Weights-HB3'!I63</f>
        <v>#DIV/0!</v>
      </c>
      <c r="K131" s="2660"/>
      <c r="L131" s="3299" t="e">
        <f>'Weights-HB3'!K63</f>
        <v>#DIV/0!</v>
      </c>
      <c r="M131" s="335"/>
      <c r="N131" s="3299">
        <f>'Weights-HB3'!M63</f>
        <v>0</v>
      </c>
      <c r="O131" s="250"/>
      <c r="P131" s="258"/>
      <c r="Q131" s="259"/>
      <c r="R131" s="260"/>
      <c r="S131" s="261"/>
      <c r="T131" s="262"/>
      <c r="U131" s="263"/>
      <c r="V131"/>
      <c r="W131"/>
      <c r="X131"/>
      <c r="Y131"/>
      <c r="Z131"/>
      <c r="AA131"/>
      <c r="AB131" s="2011"/>
      <c r="AC131" s="2135"/>
      <c r="AD131" s="2135"/>
      <c r="AE131" s="2135"/>
      <c r="AF131" s="119"/>
      <c r="AG131" s="995"/>
      <c r="AH131" s="995"/>
      <c r="AI131" s="995"/>
      <c r="AJ131" s="119"/>
      <c r="AK131" s="995"/>
      <c r="AL131" s="995"/>
      <c r="AM131" s="995"/>
      <c r="AN131" s="119"/>
      <c r="AO131" s="995"/>
      <c r="AP131" s="995"/>
      <c r="AQ131" s="995"/>
      <c r="AR131" s="210"/>
      <c r="AS131" s="1797"/>
      <c r="AT131" s="2443"/>
      <c r="AU131" s="2443"/>
      <c r="AV131" s="2443"/>
      <c r="AW131" s="2461"/>
      <c r="AX131" s="1416"/>
      <c r="AY131" s="2479"/>
      <c r="AZ131" s="2479"/>
      <c r="BA131" s="2479"/>
      <c r="BB131" s="1797"/>
      <c r="BC131" s="2477"/>
      <c r="BD131" s="2480"/>
      <c r="BE131" s="2480"/>
      <c r="BF131" s="2480"/>
      <c r="BG131" s="2478"/>
      <c r="BH131" s="2461"/>
      <c r="BI131" s="2461"/>
      <c r="BJ131" s="2461"/>
      <c r="BK131" s="2461"/>
      <c r="BL131" s="2461"/>
      <c r="BM131" s="2461"/>
      <c r="BN131" s="2461"/>
    </row>
    <row r="132" spans="1:66" s="152" customFormat="1" hidden="1">
      <c r="A132" s="2985"/>
      <c r="B132" s="3027"/>
      <c r="C132" s="3030"/>
      <c r="D132" s="3031"/>
      <c r="E132" s="3033" t="s">
        <v>8821</v>
      </c>
      <c r="F132" s="1184"/>
      <c r="G132" s="3299" t="str">
        <f>'Data Entry - SOF'!K186</f>
        <v>following:</v>
      </c>
      <c r="I132" s="1210"/>
      <c r="J132" s="3299">
        <f>'Data Entry - SOF'!M186</f>
        <v>0</v>
      </c>
      <c r="K132" s="2660"/>
      <c r="L132" s="3299">
        <f>'Data Entry - SOF'!O186</f>
        <v>0</v>
      </c>
      <c r="M132" s="335"/>
      <c r="N132" s="3299">
        <f>'Data Entry - SOF'!Q186</f>
        <v>0</v>
      </c>
      <c r="O132" s="250"/>
      <c r="P132" s="258"/>
      <c r="Q132" s="259"/>
      <c r="R132" s="260"/>
      <c r="S132" s="261"/>
      <c r="T132" s="262"/>
      <c r="U132" s="263"/>
      <c r="V132"/>
      <c r="W132"/>
      <c r="X132"/>
      <c r="Y132"/>
      <c r="Z132"/>
      <c r="AA132"/>
      <c r="AB132" s="2011"/>
      <c r="AC132" s="2135"/>
      <c r="AD132" s="2135"/>
      <c r="AE132" s="2135"/>
      <c r="AF132" s="119"/>
      <c r="AG132" s="995"/>
      <c r="AH132" s="995"/>
      <c r="AI132" s="995"/>
      <c r="AJ132" s="119"/>
      <c r="AK132" s="995"/>
      <c r="AL132" s="995"/>
      <c r="AM132" s="995"/>
      <c r="AN132" s="119"/>
      <c r="AO132" s="995"/>
      <c r="AP132" s="995"/>
      <c r="AQ132" s="995"/>
      <c r="AR132" s="210"/>
      <c r="AS132" s="1797"/>
      <c r="AT132" s="2443"/>
      <c r="AU132" s="2443"/>
      <c r="AV132" s="2443"/>
      <c r="AW132" s="2461"/>
      <c r="AX132" s="1416"/>
      <c r="AY132" s="2479"/>
      <c r="AZ132" s="2479"/>
      <c r="BA132" s="2479"/>
      <c r="BB132" s="1797"/>
      <c r="BC132" s="2477"/>
      <c r="BD132" s="2480"/>
      <c r="BE132" s="2480"/>
      <c r="BF132" s="2480"/>
      <c r="BG132" s="2478"/>
      <c r="BH132" s="2461"/>
      <c r="BI132" s="2461"/>
      <c r="BJ132" s="2461"/>
      <c r="BK132" s="2461"/>
      <c r="BL132" s="2461"/>
      <c r="BM132" s="2461"/>
      <c r="BN132" s="2461"/>
    </row>
    <row r="133" spans="1:66" s="152" customFormat="1" hidden="1">
      <c r="A133" s="2985"/>
      <c r="B133" s="3027"/>
      <c r="C133" s="3030"/>
      <c r="D133" s="3031"/>
      <c r="E133" s="3033" t="s">
        <v>8823</v>
      </c>
      <c r="F133" s="1184"/>
      <c r="G133" s="3299">
        <f>'Data Entry - SOF'!K163</f>
        <v>0</v>
      </c>
      <c r="I133" s="1210"/>
      <c r="J133" s="3299">
        <f>'Data Entry - SOF'!M163</f>
        <v>0</v>
      </c>
      <c r="K133" s="2660"/>
      <c r="L133" s="3299">
        <f>'Data Entry - SOF'!O163</f>
        <v>0</v>
      </c>
      <c r="M133" s="335"/>
      <c r="N133" s="3299">
        <f>'Data Entry - SOF'!Q163</f>
        <v>0</v>
      </c>
      <c r="O133" s="250"/>
      <c r="P133" s="258"/>
      <c r="Q133" s="259"/>
      <c r="R133" s="260"/>
      <c r="S133" s="261"/>
      <c r="T133" s="262"/>
      <c r="U133" s="263"/>
      <c r="V133"/>
      <c r="W133"/>
      <c r="X133"/>
      <c r="Y133"/>
      <c r="Z133"/>
      <c r="AA133"/>
      <c r="AB133" s="2011"/>
      <c r="AC133" s="2135"/>
      <c r="AD133" s="2135"/>
      <c r="AE133" s="2135"/>
      <c r="AF133" s="119"/>
      <c r="AG133" s="995"/>
      <c r="AH133" s="995"/>
      <c r="AI133" s="995"/>
      <c r="AJ133" s="119"/>
      <c r="AK133" s="995"/>
      <c r="AL133" s="995"/>
      <c r="AM133" s="995"/>
      <c r="AN133" s="119"/>
      <c r="AO133" s="995"/>
      <c r="AP133" s="995"/>
      <c r="AQ133" s="995"/>
      <c r="AR133" s="210"/>
      <c r="AS133" s="1797"/>
      <c r="AT133" s="2443"/>
      <c r="AU133" s="2443"/>
      <c r="AV133" s="2443"/>
      <c r="AW133" s="2461"/>
      <c r="AX133" s="1416"/>
      <c r="AY133" s="2479"/>
      <c r="AZ133" s="2479"/>
      <c r="BA133" s="2479"/>
      <c r="BB133" s="1797"/>
      <c r="BC133" s="2477"/>
      <c r="BD133" s="2480"/>
      <c r="BE133" s="2480"/>
      <c r="BF133" s="2480"/>
      <c r="BG133" s="2478"/>
      <c r="BH133" s="2461"/>
      <c r="BI133" s="2461"/>
      <c r="BJ133" s="2461"/>
      <c r="BK133" s="2461"/>
      <c r="BL133" s="2461"/>
      <c r="BM133" s="2461"/>
      <c r="BN133" s="2461"/>
    </row>
    <row r="134" spans="1:66" s="152" customFormat="1" hidden="1">
      <c r="A134" s="2985"/>
      <c r="B134" s="3027"/>
      <c r="C134" s="3030"/>
      <c r="D134" s="3031"/>
      <c r="E134" s="3033" t="s">
        <v>8824</v>
      </c>
      <c r="F134" s="1184"/>
      <c r="G134" s="3299" t="str">
        <f>'Data Entry - SOF'!K187</f>
        <v>(A) property value that is no longer subject to a limitation on</v>
      </c>
      <c r="I134" s="1210"/>
      <c r="J134" s="3299">
        <f>'Data Entry - SOF'!M187</f>
        <v>0</v>
      </c>
      <c r="K134" s="2660"/>
      <c r="L134" s="3299">
        <f>'Data Entry - SOF'!O187</f>
        <v>0</v>
      </c>
      <c r="M134" s="335"/>
      <c r="N134" s="3299">
        <f>'Data Entry - SOF'!Q187</f>
        <v>0</v>
      </c>
      <c r="O134" s="250"/>
      <c r="P134" s="258"/>
      <c r="Q134" s="259"/>
      <c r="R134" s="260"/>
      <c r="S134" s="261"/>
      <c r="T134" s="262"/>
      <c r="U134" s="263"/>
      <c r="V134"/>
      <c r="W134"/>
      <c r="X134"/>
      <c r="Y134"/>
      <c r="Z134"/>
      <c r="AA134"/>
      <c r="AB134" s="2011"/>
      <c r="AC134" s="2135"/>
      <c r="AD134" s="2135"/>
      <c r="AE134" s="2135"/>
      <c r="AF134" s="119"/>
      <c r="AG134" s="995"/>
      <c r="AH134" s="995"/>
      <c r="AI134" s="995"/>
      <c r="AJ134" s="119"/>
      <c r="AK134" s="995"/>
      <c r="AL134" s="995"/>
      <c r="AM134" s="995"/>
      <c r="AN134" s="119"/>
      <c r="AO134" s="995"/>
      <c r="AP134" s="995"/>
      <c r="AQ134" s="995"/>
      <c r="AR134" s="210"/>
      <c r="AS134" s="1797"/>
      <c r="AT134" s="2443"/>
      <c r="AU134" s="2443"/>
      <c r="AV134" s="2443"/>
      <c r="AW134" s="2461"/>
      <c r="AX134" s="1416"/>
      <c r="AY134" s="2479"/>
      <c r="AZ134" s="2479"/>
      <c r="BA134" s="2479"/>
      <c r="BB134" s="1797"/>
      <c r="BC134" s="2477"/>
      <c r="BD134" s="2480"/>
      <c r="BE134" s="2480"/>
      <c r="BF134" s="2480"/>
      <c r="BG134" s="2478"/>
      <c r="BH134" s="2461"/>
      <c r="BI134" s="2461"/>
      <c r="BJ134" s="2461"/>
      <c r="BK134" s="2461"/>
      <c r="BL134" s="2461"/>
      <c r="BM134" s="2461"/>
      <c r="BN134" s="2461"/>
    </row>
    <row r="135" spans="1:66" hidden="1">
      <c r="A135" s="3066"/>
      <c r="B135" s="3065"/>
      <c r="C135" s="3062"/>
      <c r="D135" s="3063"/>
      <c r="E135" s="3068"/>
      <c r="F135" s="1208"/>
      <c r="G135" s="3300"/>
      <c r="J135" s="3300"/>
      <c r="K135" s="1797"/>
      <c r="L135" s="3300"/>
      <c r="M135"/>
      <c r="N135" s="3300"/>
      <c r="P135" s="210"/>
      <c r="Q135" s="210"/>
      <c r="R135" s="210"/>
      <c r="S135" s="210"/>
      <c r="V135"/>
      <c r="AC135" s="2135"/>
      <c r="AD135" s="2135"/>
      <c r="AE135" s="2135"/>
      <c r="AF135" s="119"/>
      <c r="AG135" s="995"/>
      <c r="AH135" s="995"/>
      <c r="AI135" s="995"/>
      <c r="AJ135" s="119"/>
      <c r="AK135" s="995"/>
      <c r="AL135" s="995"/>
      <c r="AM135" s="995"/>
      <c r="AN135" s="119"/>
      <c r="AO135" s="995"/>
      <c r="AP135" s="995"/>
      <c r="AQ135" s="995"/>
      <c r="AR135" s="119"/>
      <c r="AT135" s="2443"/>
      <c r="AU135" s="2443"/>
      <c r="AV135" s="2443"/>
      <c r="AY135" s="2479"/>
      <c r="AZ135" s="2479"/>
      <c r="BA135" s="2479"/>
      <c r="BD135" s="2480"/>
      <c r="BE135" s="2480"/>
      <c r="BF135" s="2480"/>
    </row>
    <row r="136" spans="1:66" hidden="1">
      <c r="A136" s="2985"/>
      <c r="B136" s="3027"/>
      <c r="C136" s="3013"/>
      <c r="D136" s="3014"/>
      <c r="E136" s="3070" t="s">
        <v>8882</v>
      </c>
      <c r="F136" s="1208"/>
      <c r="G136" s="3301">
        <f>IF('Data Entry - SOF'!B2="101-902",'Calc Data'!D214,IF('Data Entry - SOF'!B2="101-908",'Calc Data'!E214,IF('Data Entry - SOF'!B2="101-910",'Calc Data'!#REF!,IF('Data Entry - SOF'!B2="101-914",'Calc Data'!F214,IF('Data Entry - SOF'!B2="101-917",'Calc Data'!G214,IF('Data Entry - SOF'!B2="101-920",'Calc Data'!I214,0.96))))))</f>
        <v>0.96</v>
      </c>
      <c r="I136" s="1355"/>
      <c r="J136" s="3301">
        <f>IF('Data Entry - SOF'!D2="101-902",'Calc Data'!#REF!,IF('Data Entry - SOF'!D2="101-908",'Calc Data'!F214,IF('Data Entry - SOF'!D2="101-910",'Calc Data'!G214,IF('Data Entry - SOF'!D2="101-914",'Calc Data'!I214,IF('Data Entry - SOF'!D2="101-917",'Calc Data'!J214,IF('Data Entry - SOF'!D2="101-920",'Calc Data'!K214,0.96))))))</f>
        <v>0.96</v>
      </c>
      <c r="K136" s="1797"/>
      <c r="L136" s="3301">
        <f>IF('Data Entry - SOF'!F2="101-902",'Calc Data'!#REF!,IF('Data Entry - SOF'!F2="101-908",'Calc Data'!H214,IF('Data Entry - SOF'!F2="101-910",'Calc Data'!I214,IF('Data Entry - SOF'!F2="101-914",'Calc Data'!K214,IF('Data Entry - SOF'!F2="101-917",'Calc Data'!L214,IF('Data Entry - SOF'!F2="101-920",'Calc Data'!M214,0.96))))))</f>
        <v>0.96</v>
      </c>
      <c r="M136"/>
      <c r="N136" s="3301">
        <f>IF('Data Entry - SOF'!H2="101-902",'Calc Data'!#REF!,IF('Data Entry - SOF'!H2="101-908",'Calc Data'!J214,IF('Data Entry - SOF'!H2="101-910",'Calc Data'!K214,IF('Data Entry - SOF'!H2="101-914",'Calc Data'!M214,IF('Data Entry - SOF'!H2="101-917",'Calc Data'!N214,IF('Data Entry - SOF'!H2="101-920",'Calc Data'!O214,0.96))))))</f>
        <v>0.96</v>
      </c>
      <c r="P136" s="210"/>
      <c r="Q136" s="210"/>
      <c r="R136" s="210"/>
      <c r="S136" s="210"/>
      <c r="V136"/>
      <c r="AC136" s="2135"/>
      <c r="AD136" s="2135"/>
      <c r="AE136" s="2135"/>
      <c r="AF136" s="119"/>
      <c r="AG136" s="995"/>
      <c r="AH136" s="995"/>
      <c r="AI136" s="995"/>
      <c r="AJ136" s="119"/>
      <c r="AK136" s="995"/>
      <c r="AL136" s="995"/>
      <c r="AM136" s="995"/>
      <c r="AN136" s="119"/>
      <c r="AO136" s="995"/>
      <c r="AP136" s="995"/>
      <c r="AQ136" s="995"/>
      <c r="AR136" s="119"/>
      <c r="AT136" s="2443"/>
      <c r="AU136" s="2443"/>
      <c r="AV136" s="2443"/>
      <c r="AY136" s="2479"/>
      <c r="AZ136" s="2479"/>
      <c r="BA136" s="2479"/>
      <c r="BD136" s="2480"/>
      <c r="BE136" s="2480"/>
      <c r="BF136" s="2480"/>
    </row>
    <row r="137" spans="1:66" hidden="1">
      <c r="A137" s="2985"/>
      <c r="B137" s="3027"/>
      <c r="C137" s="3013"/>
      <c r="D137" s="3014"/>
      <c r="E137" s="3070" t="s">
        <v>8856</v>
      </c>
      <c r="F137" s="1208"/>
      <c r="G137" s="3301">
        <f>G136+0.04</f>
        <v>1</v>
      </c>
      <c r="I137" s="1355"/>
      <c r="J137" s="3301">
        <f>J136+0.04</f>
        <v>1</v>
      </c>
      <c r="K137" s="1797"/>
      <c r="L137" s="3301">
        <f>L136+0.04</f>
        <v>1</v>
      </c>
      <c r="M137"/>
      <c r="N137" s="3301">
        <f>N136+0.04</f>
        <v>1</v>
      </c>
      <c r="P137" s="210"/>
      <c r="Q137" s="210"/>
      <c r="R137" s="210"/>
      <c r="S137" s="210"/>
      <c r="V137"/>
      <c r="AC137" s="2135"/>
      <c r="AD137" s="2135"/>
      <c r="AE137" s="2135"/>
      <c r="AF137" s="119"/>
      <c r="AG137" s="995"/>
      <c r="AH137" s="995"/>
      <c r="AI137" s="995"/>
      <c r="AJ137" s="119"/>
      <c r="AK137" s="995"/>
      <c r="AL137" s="995"/>
      <c r="AM137" s="995"/>
      <c r="AN137" s="119"/>
      <c r="AO137" s="995"/>
      <c r="AP137" s="995"/>
      <c r="AQ137" s="995"/>
      <c r="AR137" s="119"/>
      <c r="AT137" s="2443"/>
      <c r="AU137" s="2443"/>
      <c r="AV137" s="2443"/>
      <c r="AY137" s="2479"/>
      <c r="AZ137" s="2479"/>
      <c r="BA137" s="2479"/>
      <c r="BD137" s="2480"/>
      <c r="BE137" s="2480"/>
      <c r="BF137" s="2480"/>
    </row>
    <row r="138" spans="1:66" hidden="1">
      <c r="A138" s="2985"/>
      <c r="B138" s="3027"/>
      <c r="C138" s="3013"/>
      <c r="D138" s="3014"/>
      <c r="E138" s="3070" t="s">
        <v>8861</v>
      </c>
      <c r="F138" s="1208"/>
      <c r="G138" s="3301"/>
      <c r="I138" s="1355"/>
      <c r="J138" s="3301"/>
      <c r="K138" s="1797"/>
      <c r="L138" s="3301"/>
      <c r="M138"/>
      <c r="N138" s="3301"/>
      <c r="P138" s="210"/>
      <c r="Q138" s="210"/>
      <c r="R138" s="210"/>
      <c r="S138" s="210"/>
      <c r="V138"/>
      <c r="AC138" s="2135"/>
      <c r="AD138" s="2135"/>
      <c r="AE138" s="2135"/>
      <c r="AF138" s="119"/>
      <c r="AG138" s="995"/>
      <c r="AH138" s="995"/>
      <c r="AI138" s="995"/>
      <c r="AJ138" s="119"/>
      <c r="AK138" s="995"/>
      <c r="AL138" s="995"/>
      <c r="AM138" s="995"/>
      <c r="AN138" s="119"/>
      <c r="AO138" s="995"/>
      <c r="AP138" s="995"/>
      <c r="AQ138" s="995"/>
      <c r="AR138" s="119"/>
      <c r="AT138" s="2443"/>
      <c r="AU138" s="2443"/>
      <c r="AV138" s="2443"/>
      <c r="AY138" s="2479"/>
      <c r="AZ138" s="2479"/>
      <c r="BA138" s="2479"/>
      <c r="BD138" s="2480"/>
      <c r="BE138" s="2480"/>
      <c r="BF138" s="2480"/>
    </row>
    <row r="139" spans="1:66" hidden="1">
      <c r="A139" s="2985"/>
      <c r="B139" s="3027"/>
      <c r="C139" s="3013"/>
      <c r="D139" s="3014"/>
      <c r="E139" s="3070" t="s">
        <v>8857</v>
      </c>
      <c r="F139" s="1208"/>
      <c r="G139" s="3301">
        <f>IF('Data Entry - SOF'!K92&lt;=0.96,0,E33/100)</f>
        <v>0.06</v>
      </c>
      <c r="I139" s="1355"/>
      <c r="J139" s="3301">
        <f>IF('Data Entry - SOF'!M92&lt;=0.96,0,G33/100)</f>
        <v>0.06</v>
      </c>
      <c r="K139" s="1797"/>
      <c r="L139" s="3301">
        <f>IF('Data Entry - SOF'!O92&lt;=0.96,0,I33/100)</f>
        <v>0.06</v>
      </c>
      <c r="M139"/>
      <c r="N139" s="3301">
        <f>IF('Data Entry - SOF'!Q92&lt;=0.96,0,K33/100)</f>
        <v>0</v>
      </c>
      <c r="P139" s="210"/>
      <c r="Q139" s="210"/>
      <c r="R139" s="210"/>
      <c r="S139" s="210"/>
      <c r="V139"/>
      <c r="AC139" s="2135"/>
      <c r="AD139" s="2135"/>
      <c r="AE139" s="2135"/>
      <c r="AF139" s="119"/>
      <c r="AG139" s="995"/>
      <c r="AH139" s="995"/>
      <c r="AI139" s="995"/>
      <c r="AJ139" s="119"/>
      <c r="AK139" s="995"/>
      <c r="AL139" s="995"/>
      <c r="AM139" s="995"/>
      <c r="AN139" s="119"/>
      <c r="AO139" s="995"/>
      <c r="AP139" s="995"/>
      <c r="AQ139" s="995"/>
      <c r="AR139" s="119"/>
      <c r="AT139" s="2443"/>
      <c r="AU139" s="2443"/>
      <c r="AV139" s="2443"/>
      <c r="AY139" s="2479"/>
      <c r="AZ139" s="2479"/>
      <c r="BA139" s="2479"/>
      <c r="BD139" s="2480"/>
      <c r="BE139" s="2480"/>
      <c r="BF139" s="2480"/>
    </row>
    <row r="140" spans="1:66" hidden="1">
      <c r="A140" s="2985"/>
      <c r="B140" s="3027"/>
      <c r="C140" s="3013"/>
      <c r="D140" s="3014"/>
      <c r="E140" s="3070" t="s">
        <v>8858</v>
      </c>
      <c r="F140" s="1208"/>
      <c r="G140" s="3301" t="str">
        <f>G134</f>
        <v>(A) property value that is no longer subject to a limitation on</v>
      </c>
      <c r="I140" s="1355"/>
      <c r="J140" s="3301">
        <f>J134</f>
        <v>0</v>
      </c>
      <c r="K140" s="1797"/>
      <c r="L140" s="3301">
        <f>L134</f>
        <v>0</v>
      </c>
      <c r="M140"/>
      <c r="N140" s="3301">
        <f>N134</f>
        <v>0</v>
      </c>
      <c r="P140" s="210"/>
      <c r="Q140" s="210"/>
      <c r="R140" s="210"/>
      <c r="S140" s="210"/>
      <c r="V140"/>
      <c r="AC140" s="2135"/>
      <c r="AD140" s="2135"/>
      <c r="AE140" s="2135"/>
      <c r="AF140" s="119"/>
      <c r="AG140" s="995"/>
      <c r="AH140" s="995"/>
      <c r="AI140" s="995"/>
      <c r="AJ140" s="119"/>
      <c r="AK140" s="995"/>
      <c r="AL140" s="995"/>
      <c r="AM140" s="995"/>
      <c r="AN140" s="119"/>
      <c r="AO140" s="995"/>
      <c r="AP140" s="995"/>
      <c r="AQ140" s="995"/>
      <c r="AR140" s="119"/>
      <c r="AT140" s="2443"/>
      <c r="AU140" s="2443"/>
      <c r="AV140" s="2443"/>
      <c r="AY140" s="2479"/>
      <c r="AZ140" s="2479"/>
      <c r="BA140" s="2479"/>
      <c r="BD140" s="2480"/>
      <c r="BE140" s="2480"/>
      <c r="BF140" s="2480"/>
    </row>
    <row r="141" spans="1:66" hidden="1">
      <c r="A141" s="2985"/>
      <c r="B141" s="3027"/>
      <c r="C141" s="3013"/>
      <c r="D141" s="3014"/>
      <c r="E141" s="3070" t="s">
        <v>8859</v>
      </c>
      <c r="F141" s="1208"/>
      <c r="G141" s="3301" t="e">
        <f>G139+G140</f>
        <v>#VALUE!</v>
      </c>
      <c r="I141" s="1355"/>
      <c r="J141" s="3301">
        <f>J139+J140</f>
        <v>0.06</v>
      </c>
      <c r="K141" s="1797"/>
      <c r="L141" s="3301">
        <f>L139+L140</f>
        <v>0.06</v>
      </c>
      <c r="M141"/>
      <c r="N141" s="3301">
        <f>N139+N140</f>
        <v>0</v>
      </c>
      <c r="P141" s="210"/>
      <c r="Q141" s="210"/>
      <c r="R141" s="210"/>
      <c r="S141" s="210"/>
      <c r="V141"/>
      <c r="AC141" s="2135"/>
      <c r="AD141" s="2135"/>
      <c r="AE141" s="2135"/>
      <c r="AF141" s="119"/>
      <c r="AG141" s="995"/>
      <c r="AH141" s="995"/>
      <c r="AI141" s="995"/>
      <c r="AJ141" s="119"/>
      <c r="AK141" s="995"/>
      <c r="AL141" s="995"/>
      <c r="AM141" s="995"/>
      <c r="AN141" s="119"/>
      <c r="AO141" s="995"/>
      <c r="AP141" s="995"/>
      <c r="AQ141" s="995"/>
      <c r="AR141" s="119"/>
      <c r="AT141" s="2443"/>
      <c r="AU141" s="2443"/>
      <c r="AV141" s="2443"/>
      <c r="AY141" s="2479"/>
      <c r="AZ141" s="2479"/>
      <c r="BA141" s="2479"/>
      <c r="BD141" s="2480"/>
      <c r="BE141" s="2480"/>
      <c r="BF141" s="2480"/>
    </row>
    <row r="142" spans="1:66" hidden="1">
      <c r="A142" s="2985"/>
      <c r="B142" s="3027"/>
      <c r="C142" s="3013"/>
      <c r="D142" s="3014"/>
      <c r="E142" s="3070" t="s">
        <v>8860</v>
      </c>
      <c r="F142" s="1208"/>
      <c r="G142" s="3301" t="e">
        <f>G136+G141</f>
        <v>#VALUE!</v>
      </c>
      <c r="I142" s="1355"/>
      <c r="J142" s="3301">
        <f>J136+J141</f>
        <v>1.02</v>
      </c>
      <c r="K142" s="1797"/>
      <c r="L142" s="3301">
        <f>L136+L141</f>
        <v>1.02</v>
      </c>
      <c r="M142"/>
      <c r="N142" s="3301">
        <f>N136+N141</f>
        <v>0.96</v>
      </c>
      <c r="P142" s="210"/>
      <c r="Q142" s="210"/>
      <c r="R142" s="210"/>
      <c r="S142" s="210"/>
      <c r="V142"/>
      <c r="AC142" s="2135"/>
      <c r="AD142" s="2135"/>
      <c r="AE142" s="2135"/>
      <c r="AF142" s="119"/>
      <c r="AG142" s="995"/>
      <c r="AH142" s="995"/>
      <c r="AI142" s="995"/>
      <c r="AJ142" s="119"/>
      <c r="AK142" s="995"/>
      <c r="AL142" s="995"/>
      <c r="AM142" s="995"/>
      <c r="AN142" s="119"/>
      <c r="AO142" s="995"/>
      <c r="AP142" s="995"/>
      <c r="AQ142" s="995"/>
      <c r="AR142" s="119"/>
      <c r="AT142" s="2443"/>
      <c r="AU142" s="2443"/>
      <c r="AV142" s="2443"/>
      <c r="AY142" s="2479"/>
      <c r="AZ142" s="2479"/>
      <c r="BA142" s="2479"/>
      <c r="BD142" s="2480"/>
      <c r="BE142" s="2480"/>
      <c r="BF142" s="2480"/>
    </row>
    <row r="143" spans="1:66" hidden="1">
      <c r="A143" s="2985"/>
      <c r="B143" s="3027"/>
      <c r="C143" s="3013"/>
      <c r="D143" s="3014"/>
      <c r="E143" s="3070" t="s">
        <v>8770</v>
      </c>
      <c r="F143" s="1208"/>
      <c r="G143" s="3301" t="e">
        <f>MAX(G137,G142)</f>
        <v>#VALUE!</v>
      </c>
      <c r="I143" s="1355"/>
      <c r="J143" s="3301">
        <f>MAX(J137,J142)</f>
        <v>1.02</v>
      </c>
      <c r="K143" s="1797"/>
      <c r="L143" s="3301">
        <f>MAX(L137,L142)</f>
        <v>1.02</v>
      </c>
      <c r="M143"/>
      <c r="N143" s="3301">
        <f>MAX(N137,N142)</f>
        <v>1</v>
      </c>
      <c r="P143" s="210"/>
      <c r="Q143" s="210"/>
      <c r="R143" s="210"/>
      <c r="S143" s="210"/>
      <c r="V143"/>
      <c r="AC143" s="2135"/>
      <c r="AD143" s="2135"/>
      <c r="AE143" s="2135"/>
      <c r="AF143" s="119"/>
      <c r="AG143" s="995"/>
      <c r="AH143" s="995"/>
      <c r="AI143" s="995"/>
      <c r="AJ143" s="119"/>
      <c r="AK143" s="995"/>
      <c r="AL143" s="995"/>
      <c r="AM143" s="995"/>
      <c r="AN143" s="119"/>
      <c r="AO143" s="995"/>
      <c r="AP143" s="995"/>
      <c r="AQ143" s="995"/>
      <c r="AR143" s="119"/>
      <c r="AT143" s="2443"/>
      <c r="AU143" s="2443"/>
      <c r="AV143" s="2443"/>
      <c r="AY143" s="2479"/>
      <c r="AZ143" s="2479"/>
      <c r="BA143" s="2479"/>
      <c r="BD143" s="2480"/>
      <c r="BE143" s="2480"/>
      <c r="BF143" s="2480"/>
    </row>
    <row r="144" spans="1:66" hidden="1">
      <c r="A144" s="2985"/>
      <c r="B144" s="3027"/>
      <c r="C144" s="3013"/>
      <c r="D144" s="3014"/>
      <c r="E144" s="3015"/>
      <c r="F144" s="1208"/>
      <c r="G144" s="3302"/>
      <c r="I144" s="1355"/>
      <c r="J144" s="3302"/>
      <c r="K144" s="1797"/>
      <c r="L144" s="3302"/>
      <c r="M144"/>
      <c r="N144" s="3302"/>
      <c r="P144" s="210"/>
      <c r="Q144" s="210"/>
      <c r="R144" s="210"/>
      <c r="S144" s="210"/>
      <c r="V144"/>
      <c r="AC144" s="2135"/>
      <c r="AD144" s="2135"/>
      <c r="AE144" s="2135"/>
      <c r="AF144" s="119"/>
      <c r="AG144" s="995"/>
      <c r="AH144" s="995"/>
      <c r="AI144" s="995"/>
      <c r="AJ144" s="119"/>
      <c r="AK144" s="995"/>
      <c r="AL144" s="995"/>
      <c r="AM144" s="995"/>
      <c r="AN144" s="119"/>
      <c r="AO144" s="995"/>
      <c r="AP144" s="995"/>
      <c r="AQ144" s="995"/>
      <c r="AR144" s="119"/>
      <c r="AT144" s="2443"/>
      <c r="AU144" s="2443"/>
      <c r="AV144" s="2443"/>
      <c r="AY144" s="2479"/>
      <c r="AZ144" s="2479"/>
      <c r="BA144" s="2479"/>
      <c r="BD144" s="2480"/>
      <c r="BE144" s="2480"/>
      <c r="BF144" s="2480"/>
    </row>
    <row r="145" spans="1:58" hidden="1">
      <c r="B145" s="72"/>
      <c r="D145" s="1157"/>
      <c r="E145" s="678"/>
      <c r="F145" s="1209"/>
      <c r="G145" s="1958"/>
      <c r="I145" s="1355"/>
      <c r="J145" s="1958"/>
      <c r="K145" s="1797"/>
      <c r="L145" s="1958"/>
      <c r="M145"/>
      <c r="N145" s="1958"/>
      <c r="P145" s="210"/>
      <c r="Q145" s="210"/>
      <c r="R145" s="210"/>
      <c r="S145" s="210"/>
      <c r="V145"/>
      <c r="AC145" s="2135"/>
      <c r="AD145" s="2135"/>
      <c r="AE145" s="2135"/>
      <c r="AF145" s="119"/>
      <c r="AG145" s="995"/>
      <c r="AH145" s="995"/>
      <c r="AI145" s="995"/>
      <c r="AJ145" s="119"/>
      <c r="AK145" s="995"/>
      <c r="AL145" s="995"/>
      <c r="AM145" s="995"/>
      <c r="AN145" s="119"/>
      <c r="AO145" s="995"/>
      <c r="AP145" s="995"/>
      <c r="AQ145" s="995"/>
      <c r="AR145" s="119"/>
      <c r="AT145" s="2443"/>
      <c r="AU145" s="2443"/>
      <c r="AV145" s="2443"/>
      <c r="AY145" s="2479"/>
      <c r="AZ145" s="2479"/>
      <c r="BA145" s="2479"/>
      <c r="BD145" s="2480"/>
      <c r="BE145" s="2480"/>
      <c r="BF145" s="2480"/>
    </row>
    <row r="146" spans="1:58" hidden="1">
      <c r="A146" s="2985"/>
      <c r="B146" s="3027"/>
      <c r="C146" s="3013"/>
      <c r="D146" s="3014"/>
      <c r="E146" s="3018" t="s">
        <v>8786</v>
      </c>
      <c r="F146" s="3034"/>
      <c r="G146" s="1958"/>
      <c r="I146" s="1355"/>
      <c r="J146" s="1958"/>
      <c r="K146" s="1797"/>
      <c r="L146" s="1958"/>
      <c r="M146"/>
      <c r="N146" s="1958"/>
      <c r="P146" s="210"/>
      <c r="Q146" s="210"/>
      <c r="R146" s="210"/>
      <c r="S146" s="210"/>
      <c r="V146"/>
      <c r="AC146" s="2135"/>
      <c r="AD146" s="2135"/>
      <c r="AE146" s="2135"/>
      <c r="AF146" s="119"/>
      <c r="AG146" s="995"/>
      <c r="AH146" s="995"/>
      <c r="AI146" s="995"/>
      <c r="AJ146" s="119"/>
      <c r="AK146" s="995"/>
      <c r="AL146" s="995"/>
      <c r="AM146" s="995"/>
      <c r="AN146" s="119"/>
      <c r="AO146" s="995"/>
      <c r="AP146" s="995"/>
      <c r="AQ146" s="995"/>
      <c r="AR146" s="119"/>
      <c r="AT146" s="2443"/>
      <c r="AU146" s="2443"/>
      <c r="AV146" s="2443"/>
      <c r="AY146" s="2479"/>
      <c r="AZ146" s="2479"/>
      <c r="BA146" s="2479"/>
      <c r="BD146" s="2480"/>
      <c r="BE146" s="2480"/>
      <c r="BF146" s="2480"/>
    </row>
    <row r="147" spans="1:58" hidden="1">
      <c r="A147" s="2985"/>
      <c r="B147" s="3027"/>
      <c r="C147" s="3013"/>
      <c r="D147" s="3014"/>
      <c r="E147" s="3015" t="s">
        <v>8787</v>
      </c>
      <c r="F147" s="3034"/>
      <c r="G147" s="3303" t="e">
        <f>'Report-SOF1819'!D67+'Report-SOF1819'!D68</f>
        <v>#DIV/0!</v>
      </c>
      <c r="I147" s="1355"/>
      <c r="J147" s="3303">
        <f>'Report-SOF1819'!F67+'Report-SOF1819'!F68</f>
        <v>0</v>
      </c>
      <c r="K147" s="1797"/>
      <c r="L147" s="3303">
        <f>'Report-SOF1819'!H67+'Report-SOF1819'!H68</f>
        <v>0</v>
      </c>
      <c r="M147"/>
      <c r="N147" s="3303">
        <f>'Report-SOF1819'!J67+'Report-SOF1819'!J68</f>
        <v>0</v>
      </c>
      <c r="P147" s="210"/>
      <c r="Q147" s="210"/>
      <c r="R147" s="210"/>
      <c r="S147" s="210"/>
      <c r="V147"/>
      <c r="AC147" s="2135"/>
      <c r="AD147" s="2135"/>
      <c r="AE147" s="2135"/>
      <c r="AF147" s="119"/>
      <c r="AG147" s="995"/>
      <c r="AH147" s="995"/>
      <c r="AI147" s="995"/>
      <c r="AJ147" s="119"/>
      <c r="AK147" s="995"/>
      <c r="AL147" s="995"/>
      <c r="AM147" s="995"/>
      <c r="AN147" s="119"/>
      <c r="AO147" s="995"/>
      <c r="AP147" s="995"/>
      <c r="AQ147" s="995"/>
      <c r="AR147" s="119"/>
      <c r="AT147" s="2443"/>
      <c r="AU147" s="2443"/>
      <c r="AV147" s="2443"/>
      <c r="AY147" s="2479"/>
      <c r="AZ147" s="2479"/>
      <c r="BA147" s="2479"/>
      <c r="BD147" s="2480"/>
      <c r="BE147" s="2480"/>
      <c r="BF147" s="2480"/>
    </row>
    <row r="148" spans="1:58" hidden="1">
      <c r="A148" s="2985"/>
      <c r="B148" s="3027"/>
      <c r="C148" s="3013"/>
      <c r="D148" s="3014"/>
      <c r="E148" s="3015" t="s">
        <v>8788</v>
      </c>
      <c r="F148" s="3034"/>
      <c r="G148" s="3303" t="e">
        <f>'Report-SOF1920-HB3'!E67+'Report-SOF1920-HB3'!E68</f>
        <v>#DIV/0!</v>
      </c>
      <c r="I148" s="1355"/>
      <c r="J148" s="3303">
        <f>'Report-SOF1920-HB3'!G67+'Report-SOF1920-HB3'!G68</f>
        <v>0</v>
      </c>
      <c r="K148" s="1797"/>
      <c r="L148" s="3303">
        <f>'Report-SOF1920-HB3'!I67+'Report-SOF1920-HB3'!I68</f>
        <v>0</v>
      </c>
      <c r="M148"/>
      <c r="N148" s="3303">
        <f>'Report-SOF1920-HB3'!K67+'Report-SOF1920-HB3'!K68</f>
        <v>0</v>
      </c>
      <c r="P148" s="210"/>
      <c r="Q148" s="210"/>
      <c r="R148" s="210"/>
      <c r="S148" s="210"/>
      <c r="V148"/>
      <c r="AC148" s="2135"/>
      <c r="AD148" s="2135"/>
      <c r="AE148" s="2135"/>
      <c r="AF148" s="119"/>
      <c r="AG148" s="995"/>
      <c r="AH148" s="995"/>
      <c r="AI148" s="995"/>
      <c r="AJ148" s="119"/>
      <c r="AK148" s="995"/>
      <c r="AL148" s="995"/>
      <c r="AM148" s="995"/>
      <c r="AN148" s="119"/>
      <c r="AO148" s="995"/>
      <c r="AP148" s="995"/>
      <c r="AQ148" s="995"/>
      <c r="AR148" s="119"/>
      <c r="AT148" s="2443"/>
      <c r="AU148" s="2443"/>
      <c r="AV148" s="2443"/>
      <c r="AY148" s="2479"/>
      <c r="AZ148" s="2479"/>
      <c r="BA148" s="2479"/>
      <c r="BD148" s="2480"/>
      <c r="BE148" s="2480"/>
      <c r="BF148" s="2480"/>
    </row>
    <row r="149" spans="1:58" hidden="1">
      <c r="A149" s="2985"/>
      <c r="B149" s="3027"/>
      <c r="C149" s="3013"/>
      <c r="D149" s="3014"/>
      <c r="E149" s="3018" t="s">
        <v>8789</v>
      </c>
      <c r="F149" s="3034"/>
      <c r="G149" s="3303" t="e">
        <f>G148/'Data Entry - SOF'!K19</f>
        <v>#DIV/0!</v>
      </c>
      <c r="I149" s="1355"/>
      <c r="J149" s="3303" t="e">
        <f>J148/'Data Entry - SOF'!M19</f>
        <v>#DIV/0!</v>
      </c>
      <c r="K149" s="1797"/>
      <c r="L149" s="3303" t="e">
        <f>L148/'Data Entry - SOF'!O19</f>
        <v>#DIV/0!</v>
      </c>
      <c r="M149"/>
      <c r="N149" s="3303" t="e">
        <f>N148/'Data Entry - SOF'!Q19</f>
        <v>#DIV/0!</v>
      </c>
      <c r="P149" s="210"/>
      <c r="Q149" s="210"/>
      <c r="R149" s="210"/>
      <c r="S149" s="210"/>
      <c r="V149"/>
      <c r="AC149" s="2135"/>
      <c r="AD149" s="2135"/>
      <c r="AE149" s="2135"/>
      <c r="AF149" s="119"/>
      <c r="AG149" s="995"/>
      <c r="AH149" s="995"/>
      <c r="AI149" s="995"/>
      <c r="AJ149" s="119"/>
      <c r="AK149" s="995"/>
      <c r="AL149" s="995"/>
      <c r="AM149" s="995"/>
      <c r="AN149" s="119"/>
      <c r="AO149" s="995"/>
      <c r="AP149" s="995"/>
      <c r="AQ149" s="995"/>
      <c r="AR149" s="119"/>
      <c r="AT149" s="2443"/>
      <c r="AU149" s="2443"/>
      <c r="AV149" s="2443"/>
      <c r="AY149" s="2479"/>
      <c r="AZ149" s="2479"/>
      <c r="BA149" s="2479"/>
      <c r="BD149" s="2480"/>
      <c r="BE149" s="2480"/>
      <c r="BF149" s="2480"/>
    </row>
    <row r="150" spans="1:58" hidden="1">
      <c r="A150" s="2985"/>
      <c r="B150" s="3027"/>
      <c r="C150" s="3013"/>
      <c r="D150" s="3014"/>
      <c r="E150" s="3018" t="s">
        <v>8790</v>
      </c>
      <c r="F150" s="3034"/>
      <c r="G150" s="3304" t="e">
        <f>G147/'Data Entry - SOF'!E19</f>
        <v>#DIV/0!</v>
      </c>
      <c r="I150" s="1355"/>
      <c r="J150" s="3304" t="e">
        <f>J147/'Data Entry - SOF'!G19</f>
        <v>#DIV/0!</v>
      </c>
      <c r="K150" s="1797"/>
      <c r="L150" s="3304" t="e">
        <f>L147/'Data Entry - SOF'!I19</f>
        <v>#DIV/0!</v>
      </c>
      <c r="M150"/>
      <c r="N150" s="3304" t="e">
        <f>N147/'Data Entry - SOF'!K19</f>
        <v>#DIV/0!</v>
      </c>
      <c r="P150" s="210"/>
      <c r="Q150" s="210"/>
      <c r="R150" s="210"/>
      <c r="S150" s="210"/>
      <c r="V150"/>
      <c r="AH150" s="119"/>
      <c r="AI150" s="119"/>
    </row>
    <row r="151" spans="1:58" hidden="1">
      <c r="A151" s="2985"/>
      <c r="B151" s="3027"/>
      <c r="C151" s="3013"/>
      <c r="D151" s="3014"/>
      <c r="E151" s="3018" t="s">
        <v>8791</v>
      </c>
      <c r="F151" s="3034"/>
      <c r="G151" s="3304" t="e">
        <f>IF(G149-G150&lt;0,0,G149-G150)</f>
        <v>#DIV/0!</v>
      </c>
      <c r="I151" s="1355"/>
      <c r="J151" s="3304" t="e">
        <f>IF(J149-J150&lt;0,0,J149-J150)</f>
        <v>#DIV/0!</v>
      </c>
      <c r="K151" s="1797"/>
      <c r="L151" s="3304" t="e">
        <f>IF(L149-L150&lt;0,0,L149-L150)</f>
        <v>#DIV/0!</v>
      </c>
      <c r="M151"/>
      <c r="N151" s="3304" t="e">
        <f>IF(N149-N150&lt;0,0,N149-N150)</f>
        <v>#DIV/0!</v>
      </c>
      <c r="P151" s="210"/>
      <c r="Q151" s="210"/>
      <c r="R151" s="210"/>
      <c r="S151" s="210"/>
      <c r="V151"/>
      <c r="AH151" s="119"/>
      <c r="AI151" s="119"/>
    </row>
    <row r="152" spans="1:58" hidden="1">
      <c r="A152" s="2985"/>
      <c r="B152" s="3027"/>
      <c r="C152" s="3013"/>
      <c r="D152" s="3014"/>
      <c r="E152" s="3018" t="s">
        <v>8792</v>
      </c>
      <c r="F152" s="3034"/>
      <c r="G152" s="3304" t="e">
        <f>G151*'Data Entry - SOF'!K19</f>
        <v>#DIV/0!</v>
      </c>
      <c r="I152" s="1355"/>
      <c r="J152" s="3304" t="e">
        <f>J151*'Data Entry - SOF'!M19</f>
        <v>#DIV/0!</v>
      </c>
      <c r="K152" s="1797"/>
      <c r="L152" s="3304" t="e">
        <f>L151*'Data Entry - SOF'!O19</f>
        <v>#DIV/0!</v>
      </c>
      <c r="M152"/>
      <c r="N152" s="3304" t="e">
        <f>N151*'Data Entry - SOF'!Q19</f>
        <v>#DIV/0!</v>
      </c>
      <c r="P152" s="210"/>
      <c r="Q152" s="210"/>
      <c r="R152" s="210"/>
      <c r="S152" s="210"/>
      <c r="V152"/>
      <c r="AH152" s="119"/>
      <c r="AI152" s="119"/>
    </row>
    <row r="153" spans="1:58" hidden="1">
      <c r="A153" s="2985"/>
      <c r="B153" s="3027"/>
      <c r="C153" s="3013"/>
      <c r="D153" s="3014"/>
      <c r="E153" s="3018" t="s">
        <v>8793</v>
      </c>
      <c r="F153" s="3034"/>
      <c r="G153" s="3304" t="e">
        <f>1.5*'Data Entry - SOF'!K63-'Calc Data'!G152</f>
        <v>#DIV/0!</v>
      </c>
      <c r="I153" s="1355"/>
      <c r="J153" s="3304" t="e">
        <f>1.5*'Data Entry - SOF'!M63-'Calc Data'!J152</f>
        <v>#DIV/0!</v>
      </c>
      <c r="K153" s="1797"/>
      <c r="L153" s="3304" t="e">
        <f>1.5*'Data Entry - SOF'!O63-'Calc Data'!L152</f>
        <v>#DIV/0!</v>
      </c>
      <c r="M153"/>
      <c r="N153" s="3304" t="e">
        <f>1.5*'Data Entry - SOF'!Q63-'Calc Data'!N152</f>
        <v>#DIV/0!</v>
      </c>
      <c r="P153" s="210"/>
      <c r="Q153" s="210"/>
      <c r="R153" s="210"/>
      <c r="S153" s="210"/>
      <c r="V153"/>
      <c r="AH153" s="119"/>
      <c r="AI153" s="119"/>
    </row>
    <row r="154" spans="1:58" hidden="1">
      <c r="B154" s="72"/>
      <c r="D154" s="1157"/>
      <c r="E154" s="678"/>
      <c r="F154" s="1209"/>
      <c r="G154" s="1958"/>
      <c r="I154" s="1355"/>
      <c r="J154" s="1958"/>
      <c r="K154" s="1797"/>
      <c r="L154" s="1958"/>
      <c r="M154"/>
      <c r="N154" s="1958"/>
      <c r="P154" s="210"/>
      <c r="Q154" s="210"/>
      <c r="R154" s="210"/>
      <c r="S154" s="210"/>
      <c r="V154"/>
      <c r="AH154" s="119"/>
      <c r="AI154" s="119"/>
    </row>
    <row r="155" spans="1:58" hidden="1">
      <c r="A155" s="2985"/>
      <c r="B155" s="3027"/>
      <c r="C155" s="3013"/>
      <c r="D155" s="3014"/>
      <c r="E155" s="3015" t="s">
        <v>8796</v>
      </c>
      <c r="F155" s="1209"/>
      <c r="G155" s="1958"/>
      <c r="I155" s="1355"/>
      <c r="J155" s="1958"/>
      <c r="K155" s="1797"/>
      <c r="L155" s="1958"/>
      <c r="M155"/>
      <c r="N155" s="1958"/>
      <c r="P155" s="210"/>
      <c r="Q155" s="210"/>
      <c r="R155" s="210"/>
      <c r="S155" s="210"/>
      <c r="V155"/>
      <c r="AH155" s="119"/>
      <c r="AI155" s="119"/>
    </row>
    <row r="156" spans="1:58" hidden="1">
      <c r="A156" s="2985"/>
      <c r="B156" s="3027"/>
      <c r="C156" s="3013"/>
      <c r="D156" s="3014"/>
      <c r="E156" s="3015" t="s">
        <v>8794</v>
      </c>
      <c r="F156" s="1209"/>
      <c r="G156" s="3305">
        <f>'SOF1920-HB3'!I66+'SOF1920-HB3'!I110</f>
        <v>0</v>
      </c>
      <c r="I156" s="1355"/>
      <c r="J156" s="3305">
        <f>'SOF1920-HB3'!K66+'SOF1920-HB3'!K110</f>
        <v>0</v>
      </c>
      <c r="K156" s="1797"/>
      <c r="L156" s="3305" t="e">
        <f>'SOF1920-HB3'!M66+'SOF1920-HB3'!M110</f>
        <v>#VALUE!</v>
      </c>
      <c r="M156"/>
      <c r="N156" s="3305">
        <f>'SOF1920-HB3'!O66+'SOF1920-HB3'!O110</f>
        <v>0</v>
      </c>
      <c r="P156" s="210"/>
      <c r="Q156" s="210"/>
      <c r="R156" s="210"/>
      <c r="S156" s="210"/>
      <c r="V156"/>
      <c r="AH156" s="119"/>
      <c r="AI156" s="119"/>
    </row>
    <row r="157" spans="1:58" hidden="1">
      <c r="A157" s="2985"/>
      <c r="B157" s="3027"/>
      <c r="C157" s="3013"/>
      <c r="D157" s="3014"/>
      <c r="E157" s="3015" t="s">
        <v>8795</v>
      </c>
      <c r="F157" s="1209"/>
      <c r="G157" s="3305">
        <f>'Data Entry - SOF'!K93-G156</f>
        <v>0</v>
      </c>
      <c r="I157" s="1355"/>
      <c r="J157" s="3305">
        <f>'Data Entry - SOF'!M93-J156</f>
        <v>0</v>
      </c>
      <c r="L157" s="3305" t="e">
        <f>'Data Entry - SOF'!O93-L156</f>
        <v>#VALUE!</v>
      </c>
      <c r="N157" s="3305">
        <f>'Data Entry - SOF'!Q93-N156</f>
        <v>0</v>
      </c>
    </row>
    <row r="158" spans="1:58" hidden="1">
      <c r="A158" s="2985"/>
      <c r="B158" s="3027"/>
      <c r="C158" s="3013"/>
      <c r="D158" s="3014"/>
      <c r="E158" s="3018" t="s">
        <v>8797</v>
      </c>
      <c r="F158" s="1209"/>
      <c r="G158" s="3305">
        <f>IF(G157-'SOF1920-HB3'!I75&gt;=0,0,G157-'SOF1920-HB3'!I75)</f>
        <v>0</v>
      </c>
      <c r="I158" s="1355"/>
      <c r="J158" s="3305">
        <f>IF(J157-'SOF1920-HB3'!K75&gt;=0,0,J157-'SOF1920-HB3'!K75)</f>
        <v>0</v>
      </c>
      <c r="L158" s="3305" t="e">
        <f>IF(L157-'SOF1920-HB3'!#REF!&gt;=0,0,L157-'SOF1920-HB3'!#REF!)</f>
        <v>#VALUE!</v>
      </c>
      <c r="N158" s="3305">
        <f>IF(N157-'SOF1920-HB3'!O75&gt;=0,0,N157-'SOF1920-HB3'!O75)</f>
        <v>0</v>
      </c>
    </row>
    <row r="159" spans="1:58" hidden="1">
      <c r="A159" s="2985"/>
      <c r="B159" s="3027"/>
      <c r="C159" s="3013"/>
      <c r="D159" s="3014"/>
      <c r="E159" s="3015"/>
      <c r="F159" s="1209"/>
      <c r="G159" s="1958"/>
      <c r="I159" s="1355"/>
      <c r="J159" s="1958"/>
      <c r="L159" s="1958"/>
      <c r="N159" s="1958"/>
    </row>
    <row r="160" spans="1:58" hidden="1">
      <c r="B160" s="72"/>
      <c r="D160" s="1157"/>
      <c r="E160" s="678"/>
      <c r="F160" s="1209"/>
      <c r="G160" s="1958"/>
      <c r="I160" s="1355"/>
      <c r="J160" s="1958"/>
      <c r="L160" s="1958"/>
      <c r="N160" s="1958"/>
    </row>
    <row r="161" spans="2:14" hidden="1">
      <c r="B161" s="72"/>
      <c r="D161" s="1157"/>
      <c r="E161" s="710" t="s">
        <v>8801</v>
      </c>
      <c r="F161" s="1209"/>
      <c r="G161" s="1958"/>
      <c r="I161" s="1355"/>
      <c r="J161" s="1958"/>
      <c r="L161" s="1958"/>
      <c r="N161" s="1958"/>
    </row>
    <row r="162" spans="2:14" hidden="1">
      <c r="B162" s="72"/>
      <c r="D162" s="1157"/>
      <c r="E162" s="3043" t="s">
        <v>8805</v>
      </c>
      <c r="F162" s="1209"/>
      <c r="G162" s="1958"/>
      <c r="I162" s="1355"/>
      <c r="J162" s="1958"/>
      <c r="L162" s="1958"/>
      <c r="N162" s="1958"/>
    </row>
    <row r="163" spans="2:14" hidden="1">
      <c r="B163" s="72"/>
      <c r="D163" s="1157"/>
      <c r="E163" s="710" t="s">
        <v>8806</v>
      </c>
      <c r="F163" s="1209"/>
      <c r="G163" s="3305">
        <v>3000</v>
      </c>
      <c r="I163" s="1355"/>
      <c r="J163" s="3305">
        <v>3000</v>
      </c>
      <c r="L163" s="3305">
        <v>3000</v>
      </c>
      <c r="N163" s="3305">
        <v>3000</v>
      </c>
    </row>
    <row r="164" spans="2:14" hidden="1">
      <c r="B164" s="72"/>
      <c r="D164" s="1157"/>
      <c r="E164" s="710" t="s">
        <v>8807</v>
      </c>
      <c r="F164" s="1209"/>
      <c r="G164" s="3305">
        <v>6000</v>
      </c>
      <c r="I164" s="1355"/>
      <c r="J164" s="3305">
        <v>6000</v>
      </c>
      <c r="L164" s="3305">
        <v>6000</v>
      </c>
      <c r="N164" s="3305">
        <v>6000</v>
      </c>
    </row>
    <row r="165" spans="2:14" hidden="1">
      <c r="B165" s="72"/>
      <c r="D165" s="1157"/>
      <c r="E165" s="710" t="s">
        <v>8808</v>
      </c>
      <c r="F165" s="1209"/>
      <c r="G165" s="3305">
        <v>12000</v>
      </c>
      <c r="I165" s="1355"/>
      <c r="J165" s="3305">
        <v>12000</v>
      </c>
      <c r="L165" s="3305">
        <v>12000</v>
      </c>
      <c r="N165" s="3305">
        <v>12000</v>
      </c>
    </row>
    <row r="166" spans="2:14" hidden="1">
      <c r="B166" s="72"/>
      <c r="D166" s="1157"/>
      <c r="E166" s="710" t="s">
        <v>8809</v>
      </c>
      <c r="F166" s="1209"/>
      <c r="G166" s="1958"/>
      <c r="I166" s="1355"/>
      <c r="J166" s="1958"/>
      <c r="L166" s="1958"/>
      <c r="N166" s="1958"/>
    </row>
    <row r="167" spans="2:14" hidden="1">
      <c r="B167" s="72"/>
      <c r="D167" s="1157"/>
      <c r="E167" s="710" t="s">
        <v>8810</v>
      </c>
      <c r="F167" s="1209"/>
      <c r="G167" s="3306">
        <v>0.5</v>
      </c>
      <c r="I167" s="1355"/>
      <c r="J167" s="3306">
        <v>0.5</v>
      </c>
      <c r="L167" s="3306">
        <v>0.5</v>
      </c>
      <c r="N167" s="3306">
        <v>0.5</v>
      </c>
    </row>
    <row r="168" spans="2:14" hidden="1">
      <c r="B168" s="72"/>
      <c r="D168" s="1157"/>
      <c r="E168" s="710" t="s">
        <v>8811</v>
      </c>
      <c r="F168" s="1209"/>
      <c r="G168" s="3306">
        <v>1</v>
      </c>
      <c r="I168" s="1355"/>
      <c r="J168" s="3306">
        <v>1</v>
      </c>
      <c r="L168" s="3306">
        <v>1</v>
      </c>
      <c r="N168" s="3306">
        <v>1</v>
      </c>
    </row>
    <row r="169" spans="2:14" hidden="1">
      <c r="B169" s="72"/>
      <c r="D169" s="1157"/>
      <c r="E169" s="710" t="s">
        <v>8812</v>
      </c>
      <c r="F169" s="1209"/>
      <c r="G169" s="3306">
        <v>2</v>
      </c>
      <c r="I169" s="1355"/>
      <c r="J169" s="3306">
        <v>2</v>
      </c>
      <c r="L169" s="3306">
        <v>2</v>
      </c>
      <c r="N169" s="3306">
        <v>2</v>
      </c>
    </row>
    <row r="170" spans="2:14" hidden="1">
      <c r="B170" s="72"/>
      <c r="D170" s="1157"/>
      <c r="E170" s="710" t="s">
        <v>8813</v>
      </c>
      <c r="F170" s="1209"/>
      <c r="G170" s="3306">
        <v>3</v>
      </c>
      <c r="I170" s="1355"/>
      <c r="J170" s="3306">
        <v>3</v>
      </c>
      <c r="L170" s="3306">
        <v>3</v>
      </c>
      <c r="N170" s="3306">
        <v>3</v>
      </c>
    </row>
    <row r="171" spans="2:14" hidden="1">
      <c r="B171" s="72"/>
      <c r="D171" s="1157"/>
      <c r="E171" s="710" t="s">
        <v>8814</v>
      </c>
      <c r="F171" s="1209"/>
      <c r="G171" s="3306">
        <v>4</v>
      </c>
      <c r="I171" s="1355"/>
      <c r="J171" s="3306">
        <v>4</v>
      </c>
      <c r="L171" s="3306">
        <v>4</v>
      </c>
      <c r="N171" s="3306">
        <v>4</v>
      </c>
    </row>
    <row r="172" spans="2:14" hidden="1">
      <c r="B172" s="72"/>
      <c r="D172" s="1157"/>
      <c r="E172" s="710" t="s">
        <v>8815</v>
      </c>
      <c r="F172" s="1209"/>
      <c r="G172" s="1958"/>
      <c r="I172" s="1355"/>
      <c r="J172" s="1958"/>
      <c r="L172" s="1958"/>
      <c r="N172" s="1958"/>
    </row>
    <row r="173" spans="2:14" hidden="1">
      <c r="B173" s="72"/>
      <c r="D173" s="1157"/>
      <c r="E173" s="710" t="s">
        <v>8816</v>
      </c>
      <c r="F173" s="1209"/>
      <c r="G173" s="3305">
        <v>1500</v>
      </c>
      <c r="I173" s="1355"/>
      <c r="J173" s="3305">
        <v>1500</v>
      </c>
      <c r="L173" s="3305">
        <v>1500</v>
      </c>
      <c r="N173" s="3305">
        <v>1500</v>
      </c>
    </row>
    <row r="174" spans="2:14" hidden="1">
      <c r="B174" s="72"/>
      <c r="D174" s="1157"/>
      <c r="E174" s="710" t="s">
        <v>8817</v>
      </c>
      <c r="F174" s="1209"/>
      <c r="G174" s="3305">
        <v>3000</v>
      </c>
      <c r="I174" s="1355"/>
      <c r="J174" s="3305">
        <v>3000</v>
      </c>
      <c r="L174" s="3305">
        <v>3000</v>
      </c>
      <c r="N174" s="3305">
        <v>3000</v>
      </c>
    </row>
    <row r="175" spans="2:14" hidden="1">
      <c r="B175" s="72"/>
      <c r="D175" s="1157"/>
      <c r="E175" s="710" t="s">
        <v>8818</v>
      </c>
      <c r="F175" s="1209"/>
      <c r="G175" s="3305">
        <v>5000</v>
      </c>
      <c r="I175" s="1355"/>
      <c r="J175" s="3305">
        <v>5000</v>
      </c>
      <c r="L175" s="3305">
        <v>5000</v>
      </c>
      <c r="N175" s="3305">
        <v>5000</v>
      </c>
    </row>
    <row r="176" spans="2:14" hidden="1">
      <c r="B176" s="72"/>
      <c r="D176" s="1157"/>
      <c r="E176" s="3042" t="s">
        <v>8819</v>
      </c>
      <c r="F176" s="1209"/>
      <c r="G176" s="1958"/>
      <c r="I176" s="1355"/>
      <c r="J176" s="1958"/>
      <c r="L176" s="1958"/>
      <c r="N176" s="1958"/>
    </row>
    <row r="177" spans="1:66" hidden="1">
      <c r="B177" s="72"/>
      <c r="D177" s="1157"/>
      <c r="E177" s="678"/>
      <c r="F177" s="1209"/>
      <c r="G177" s="1958"/>
      <c r="I177" s="1355"/>
      <c r="J177" s="1958"/>
      <c r="L177" s="1958"/>
      <c r="N177" s="1958"/>
    </row>
    <row r="178" spans="1:66" hidden="1">
      <c r="B178" s="72"/>
      <c r="D178" s="1157"/>
      <c r="E178" s="710" t="s">
        <v>8820</v>
      </c>
      <c r="F178" s="1209"/>
      <c r="G178" s="1958"/>
      <c r="I178" s="1355"/>
      <c r="J178" s="1958"/>
      <c r="L178" s="1958"/>
      <c r="N178" s="1958"/>
    </row>
    <row r="179" spans="1:66" hidden="1">
      <c r="B179" s="72"/>
      <c r="D179" s="1157"/>
      <c r="E179" s="710" t="s">
        <v>2360</v>
      </c>
      <c r="F179" s="1209"/>
      <c r="G179" s="3304"/>
      <c r="I179" s="1355"/>
      <c r="J179" s="3304"/>
      <c r="L179" s="3304"/>
      <c r="N179" s="3304"/>
    </row>
    <row r="180" spans="1:66" hidden="1">
      <c r="B180" s="72"/>
      <c r="D180" s="1157"/>
      <c r="E180" s="678"/>
      <c r="F180" s="1209"/>
      <c r="G180" s="1958"/>
      <c r="I180" s="1355"/>
      <c r="J180" s="1958"/>
      <c r="L180" s="1958"/>
      <c r="N180" s="1958"/>
    </row>
    <row r="181" spans="1:66" hidden="1">
      <c r="B181" s="72"/>
      <c r="D181" s="1157"/>
      <c r="E181" s="678"/>
      <c r="F181" s="1209"/>
      <c r="G181" s="1958">
        <f>'Data Entry - SOF'!E92*0.96</f>
        <v>1.1232</v>
      </c>
      <c r="I181" s="1355"/>
      <c r="J181" s="1958">
        <f>'Data Entry - SOF'!G92*0.96</f>
        <v>1.0358399999999999</v>
      </c>
      <c r="L181" s="1958">
        <f>'Data Entry - SOF'!I92*0.96</f>
        <v>1.0358399999999999</v>
      </c>
      <c r="N181" s="1958">
        <f>'Data Entry - SOF'!K92*0.96</f>
        <v>1.1232</v>
      </c>
    </row>
    <row r="182" spans="1:66">
      <c r="B182" s="72"/>
      <c r="D182" s="1157"/>
      <c r="F182" s="710" t="s">
        <v>9153</v>
      </c>
      <c r="G182" s="3307">
        <f>'Data Entry - SOF'!K73</f>
        <v>0</v>
      </c>
      <c r="I182" s="1355"/>
      <c r="J182" s="3307">
        <f>'Data Entry - SOF'!M73</f>
        <v>0</v>
      </c>
      <c r="L182" s="3307">
        <f>'Data Entry - SOF'!O73</f>
        <v>0</v>
      </c>
      <c r="N182" s="3307">
        <f>'Data Entry - SOF'!Q73</f>
        <v>0</v>
      </c>
    </row>
    <row r="183" spans="1:66">
      <c r="B183" s="72"/>
      <c r="D183" s="1157"/>
      <c r="F183" s="710" t="s">
        <v>9058</v>
      </c>
      <c r="G183" s="3307">
        <f>'Data Entry - SOF'!M89</f>
        <v>0</v>
      </c>
      <c r="I183" s="1355"/>
      <c r="J183" s="3307">
        <f>'Data Entry - SOF'!O89</f>
        <v>0</v>
      </c>
      <c r="L183" s="3307">
        <f>'Data Entry - SOF'!Q89</f>
        <v>0</v>
      </c>
      <c r="N183" s="3307">
        <f>'Data Entry - SOF'!S89</f>
        <v>0</v>
      </c>
    </row>
    <row r="184" spans="1:66" hidden="1">
      <c r="A184" s="2985"/>
      <c r="B184" s="3027"/>
      <c r="C184" s="3013"/>
      <c r="D184" s="3014"/>
      <c r="F184" s="3015"/>
      <c r="G184" s="3308" t="s">
        <v>8852</v>
      </c>
      <c r="I184" s="1355"/>
      <c r="J184" s="3308" t="s">
        <v>8852</v>
      </c>
      <c r="L184" s="3308" t="s">
        <v>8852</v>
      </c>
      <c r="N184" s="3308" t="s">
        <v>8852</v>
      </c>
    </row>
    <row r="185" spans="1:66" hidden="1">
      <c r="A185" s="2985"/>
      <c r="B185" s="3027"/>
      <c r="C185" s="3013"/>
      <c r="D185" s="3014"/>
      <c r="F185" s="3027" t="s">
        <v>8896</v>
      </c>
      <c r="G185" s="3309" t="e">
        <f>'SOF1920-HB3'!H71+'SOF1920-HB3'!H83</f>
        <v>#DIV/0!</v>
      </c>
      <c r="I185" s="1355"/>
      <c r="J185" s="3309">
        <f>'SOF1920-HB3'!J71+'SOF1920-HB3'!J83</f>
        <v>0</v>
      </c>
      <c r="L185" s="3309">
        <f>'SOF1920-HB3'!L71+'SOF1920-HB3'!L83</f>
        <v>0</v>
      </c>
      <c r="N185" s="3309">
        <f>'SOF1920-HB3'!N71+'SOF1920-HB3'!N83</f>
        <v>0</v>
      </c>
    </row>
    <row r="186" spans="1:66" hidden="1">
      <c r="A186" s="2985"/>
      <c r="B186" s="3027"/>
      <c r="C186" s="3013"/>
      <c r="D186" s="3014"/>
      <c r="F186" s="3027" t="s">
        <v>8899</v>
      </c>
      <c r="G186" s="3310" t="e">
        <f>'Data Entry - SOF'!K93-'Option Costs'!AA85-'Option Costs'!AE85</f>
        <v>#DIV/0!</v>
      </c>
      <c r="I186" s="1355"/>
      <c r="J186" s="3310" t="e">
        <f>'Data Entry - SOF'!M93-'Option Costs'!AC85-'Option Costs'!AG85</f>
        <v>#DIV/0!</v>
      </c>
      <c r="L186" s="3310" t="e">
        <f>'Data Entry - SOF'!O93-'Option Costs'!AE85-'Option Costs'!AI85</f>
        <v>#DIV/0!</v>
      </c>
      <c r="N186" s="3310" t="e">
        <f>'Data Entry - SOF'!Q93-'Option Costs'!AG85-'Option Costs'!AK85</f>
        <v>#DIV/0!</v>
      </c>
    </row>
    <row r="187" spans="1:66" hidden="1">
      <c r="A187" s="2985"/>
      <c r="B187" s="3027"/>
      <c r="C187" s="3013"/>
      <c r="D187" s="3014"/>
      <c r="F187" s="3027" t="s">
        <v>2451</v>
      </c>
      <c r="G187" s="3309" t="e">
        <f>G185+G186</f>
        <v>#DIV/0!</v>
      </c>
      <c r="I187" s="1355"/>
      <c r="J187" s="3309" t="e">
        <f>J185+J186</f>
        <v>#DIV/0!</v>
      </c>
      <c r="L187" s="3309" t="e">
        <f>L185+L186</f>
        <v>#DIV/0!</v>
      </c>
      <c r="N187" s="3309" t="e">
        <f>N185+N186</f>
        <v>#DIV/0!</v>
      </c>
    </row>
    <row r="188" spans="1:66" hidden="1">
      <c r="A188" s="2985"/>
      <c r="B188" s="3027"/>
      <c r="C188" s="3013"/>
      <c r="D188" s="3014"/>
      <c r="F188" s="3027" t="s">
        <v>915</v>
      </c>
      <c r="G188" s="3311">
        <f>'Data Entry - SOF'!K19</f>
        <v>0</v>
      </c>
      <c r="I188" s="1355"/>
      <c r="J188" s="3311">
        <f>'Data Entry - SOF'!M19</f>
        <v>0</v>
      </c>
      <c r="L188" s="3311">
        <f>'Data Entry - SOF'!O19</f>
        <v>0</v>
      </c>
      <c r="N188" s="3311">
        <f>'Data Entry - SOF'!Q19</f>
        <v>0</v>
      </c>
    </row>
    <row r="189" spans="1:66" hidden="1">
      <c r="A189" s="2985"/>
      <c r="B189" s="3027"/>
      <c r="C189" s="3013"/>
      <c r="D189" s="3014"/>
      <c r="F189" s="3027" t="s">
        <v>8900</v>
      </c>
      <c r="G189" s="3309" t="e">
        <f>G187/G188</f>
        <v>#DIV/0!</v>
      </c>
      <c r="I189" s="1355"/>
      <c r="J189" s="3309" t="e">
        <f>J187/J188</f>
        <v>#DIV/0!</v>
      </c>
      <c r="L189" s="3309" t="e">
        <f>L187/L188</f>
        <v>#DIV/0!</v>
      </c>
      <c r="N189" s="3309" t="e">
        <f>N187/N188</f>
        <v>#DIV/0!</v>
      </c>
    </row>
    <row r="190" spans="1:66" hidden="1">
      <c r="A190" s="2985"/>
      <c r="B190" s="3027"/>
      <c r="C190" s="3013"/>
      <c r="D190" s="3121"/>
      <c r="F190" s="3122" t="s">
        <v>8895</v>
      </c>
      <c r="G190" s="3309" t="e">
        <f>G189+(G189*0.03)</f>
        <v>#DIV/0!</v>
      </c>
      <c r="I190" s="1355"/>
      <c r="J190" s="3309" t="e">
        <f>J189+(J189*0.03)</f>
        <v>#DIV/0!</v>
      </c>
      <c r="L190" s="3309" t="e">
        <f>L189+(L189*0.03)</f>
        <v>#DIV/0!</v>
      </c>
      <c r="N190" s="3309" t="e">
        <f>N189+(N189*0.03)</f>
        <v>#DIV/0!</v>
      </c>
      <c r="AS190" s="3066"/>
      <c r="AT190" s="3066"/>
      <c r="AU190" s="3066"/>
      <c r="AV190" s="3066"/>
      <c r="AW190" s="3066"/>
      <c r="BB190" s="3066"/>
      <c r="BH190" s="3066"/>
      <c r="BI190" s="3066"/>
      <c r="BJ190" s="3066"/>
      <c r="BK190" s="3066"/>
      <c r="BL190" s="3066"/>
      <c r="BM190" s="3066"/>
      <c r="BN190" s="3066"/>
    </row>
    <row r="191" spans="1:66" hidden="1">
      <c r="A191" s="2985"/>
      <c r="B191" s="3027"/>
      <c r="C191" s="3013"/>
      <c r="D191" s="3014"/>
      <c r="F191" s="3027" t="s">
        <v>8897</v>
      </c>
      <c r="G191" s="3309">
        <v>9400</v>
      </c>
      <c r="I191" s="1355"/>
      <c r="J191" s="3309">
        <v>9400</v>
      </c>
      <c r="L191" s="3309">
        <v>9400</v>
      </c>
      <c r="N191" s="3309">
        <v>9400</v>
      </c>
    </row>
    <row r="192" spans="1:66" hidden="1">
      <c r="A192" s="2985"/>
      <c r="B192" s="3027"/>
      <c r="C192" s="3013"/>
      <c r="D192" s="3014"/>
      <c r="F192" s="3015"/>
      <c r="G192" s="3312">
        <v>1.28</v>
      </c>
      <c r="I192" s="1355"/>
      <c r="J192" s="3312">
        <v>1.28</v>
      </c>
      <c r="L192" s="3312">
        <v>1.28</v>
      </c>
      <c r="N192" s="3312">
        <v>1.28</v>
      </c>
    </row>
    <row r="193" spans="1:66" hidden="1">
      <c r="A193" s="2985"/>
      <c r="B193" s="3027"/>
      <c r="C193" s="3013"/>
      <c r="D193" s="3121"/>
      <c r="F193" s="3122" t="s">
        <v>9040</v>
      </c>
      <c r="G193" s="3309">
        <f>G191+(G191*0.28)</f>
        <v>12032</v>
      </c>
      <c r="I193" s="1355"/>
      <c r="J193" s="3309">
        <f>J191+(J191*0.28)</f>
        <v>12032</v>
      </c>
      <c r="L193" s="3309">
        <f>L191+(L191*0.28)</f>
        <v>12032</v>
      </c>
      <c r="N193" s="3309">
        <f>N191+(N191*0.28)</f>
        <v>12032</v>
      </c>
    </row>
    <row r="194" spans="1:66" hidden="1">
      <c r="A194" s="2985"/>
      <c r="B194" s="3027"/>
      <c r="C194" s="3013"/>
      <c r="D194" s="3121"/>
      <c r="F194" s="3122" t="s">
        <v>8898</v>
      </c>
      <c r="G194" s="3309" t="e">
        <f>MIN(G190,G193)</f>
        <v>#DIV/0!</v>
      </c>
      <c r="I194" s="1355"/>
      <c r="J194" s="3309" t="e">
        <f>MIN(J190,J193)</f>
        <v>#DIV/0!</v>
      </c>
      <c r="L194" s="3309" t="e">
        <f>MIN(L190,L193)</f>
        <v>#DIV/0!</v>
      </c>
      <c r="N194" s="3309" t="e">
        <f>MIN(N190,N193)</f>
        <v>#DIV/0!</v>
      </c>
    </row>
    <row r="195" spans="1:66" hidden="1">
      <c r="A195" s="2985"/>
      <c r="B195" s="3027"/>
      <c r="C195" s="3013"/>
      <c r="D195" s="3014"/>
      <c r="F195" s="3027" t="s">
        <v>8853</v>
      </c>
      <c r="G195" s="3309" t="e">
        <f>'SOF1920-HB3'!I71+'SOF1920-HB3'!I83</f>
        <v>#DIV/0!</v>
      </c>
      <c r="I195" s="1355"/>
      <c r="J195" s="3309">
        <f>'SOF1920-HB3'!K71+'SOF1920-HB3'!K83</f>
        <v>0</v>
      </c>
      <c r="L195" s="3309">
        <f>'SOF1920-HB3'!M71+'SOF1920-HB3'!M83</f>
        <v>0</v>
      </c>
      <c r="N195" s="3309">
        <f>'SOF1920-HB3'!O71+'SOF1920-HB3'!O83</f>
        <v>0</v>
      </c>
    </row>
    <row r="196" spans="1:66" hidden="1">
      <c r="A196" s="2985"/>
      <c r="B196" s="3027"/>
      <c r="C196" s="3013"/>
      <c r="D196" s="3014"/>
      <c r="F196" s="3027" t="s">
        <v>8854</v>
      </c>
      <c r="G196" s="3309" t="e">
        <f>'Data Entry - SOF'!K93-'SOF1920-HB3'!I77-'SOF1920-HB3'!I85</f>
        <v>#DIV/0!</v>
      </c>
      <c r="I196" s="1355"/>
      <c r="J196" s="3309">
        <f>'Data Entry - SOF'!M93-'SOF1920-HB3'!K77-'SOF1920-HB3'!K85</f>
        <v>0</v>
      </c>
      <c r="L196" s="3309" t="e">
        <f>'Data Entry - SOF'!O93-'SOF1920-HB3'!Z76-'SOF1920-HB3'!M85</f>
        <v>#DIV/0!</v>
      </c>
      <c r="N196" s="3309">
        <f>'Data Entry - SOF'!Q93-'SOF1920-HB3'!O77-'SOF1920-HB3'!O85</f>
        <v>0</v>
      </c>
    </row>
    <row r="197" spans="1:66" hidden="1">
      <c r="A197" s="2985"/>
      <c r="B197" s="3027"/>
      <c r="C197" s="3013"/>
      <c r="D197" s="3121"/>
      <c r="F197" s="3122" t="s">
        <v>8855</v>
      </c>
      <c r="G197" s="3309" t="e">
        <f>(G195+G196)/'Data Entry - SOF'!K19</f>
        <v>#DIV/0!</v>
      </c>
      <c r="I197" s="1355"/>
      <c r="J197" s="3309" t="e">
        <f>(J195+J196)/'Data Entry - SOF'!M19</f>
        <v>#DIV/0!</v>
      </c>
      <c r="L197" s="3309" t="e">
        <f>(L195+L196)/'Data Entry - SOF'!O19</f>
        <v>#DIV/0!</v>
      </c>
      <c r="N197" s="3309" t="e">
        <f>(N195+N196)/'Data Entry - SOF'!Q19</f>
        <v>#DIV/0!</v>
      </c>
    </row>
    <row r="198" spans="1:66" hidden="1">
      <c r="A198" s="2985"/>
      <c r="B198" s="3027"/>
      <c r="C198" s="3013"/>
      <c r="D198" s="3014"/>
      <c r="F198" s="3027" t="s">
        <v>8841</v>
      </c>
      <c r="G198" s="3313" t="e">
        <f>IF(G197&gt;G194,0,(G194-G197)*'Data Entry - SOF'!K19)</f>
        <v>#DIV/0!</v>
      </c>
      <c r="I198" s="1355"/>
      <c r="J198" s="3313" t="e">
        <f>IF(J197&gt;J194,0,(J194-J197)*'Data Entry - SOF'!M19)</f>
        <v>#DIV/0!</v>
      </c>
      <c r="L198" s="3313" t="e">
        <f>IF(L197&gt;L194,0,(L194-L197)*'Data Entry - SOF'!O19)</f>
        <v>#DIV/0!</v>
      </c>
      <c r="N198" s="3313" t="e">
        <f>IF(N197&gt;N194,0,(N194-N197)*'Data Entry - SOF'!Q19)</f>
        <v>#DIV/0!</v>
      </c>
    </row>
    <row r="199" spans="1:66">
      <c r="B199" s="72"/>
      <c r="D199" s="1157"/>
      <c r="F199" s="710" t="s">
        <v>9154</v>
      </c>
      <c r="G199" s="4016">
        <v>0.93</v>
      </c>
      <c r="H199" s="609" t="s">
        <v>9402</v>
      </c>
      <c r="J199" s="4016" t="e">
        <f>G206</f>
        <v>#DIV/0!</v>
      </c>
      <c r="L199" s="4016" t="e">
        <f>J206</f>
        <v>#DIV/0!</v>
      </c>
      <c r="N199" s="4016" t="e">
        <f>L206</f>
        <v>#DIV/0!</v>
      </c>
    </row>
    <row r="200" spans="1:66">
      <c r="B200" s="72"/>
      <c r="D200" s="1157"/>
      <c r="F200" s="710" t="s">
        <v>916</v>
      </c>
      <c r="G200" s="3307">
        <f>'Data Entry - SOF'!M73</f>
        <v>0</v>
      </c>
      <c r="I200" s="1355"/>
      <c r="J200" s="3307">
        <f>'Data Entry - SOF'!O73</f>
        <v>0</v>
      </c>
      <c r="L200" s="3307">
        <f>'Data Entry - SOF'!Q73</f>
        <v>0</v>
      </c>
      <c r="N200" s="3307">
        <f>'Data Entry - SOF'!S73</f>
        <v>0</v>
      </c>
    </row>
    <row r="201" spans="1:66">
      <c r="B201" s="72"/>
      <c r="D201" s="1157"/>
      <c r="F201" s="710" t="s">
        <v>9165</v>
      </c>
      <c r="G201" s="4021" t="e">
        <f>(G200-G182)/G182</f>
        <v>#DIV/0!</v>
      </c>
      <c r="I201" s="1355"/>
      <c r="J201" s="4021" t="e">
        <f>(J200-J182)/J182</f>
        <v>#DIV/0!</v>
      </c>
      <c r="L201" s="4021" t="e">
        <f>(L200-L182)/L182</f>
        <v>#DIV/0!</v>
      </c>
      <c r="N201" s="4021" t="e">
        <f>(N200-N182)/N182</f>
        <v>#DIV/0!</v>
      </c>
      <c r="AS201" s="3066"/>
      <c r="AT201" s="3066"/>
      <c r="AU201" s="3066"/>
      <c r="AV201" s="3066"/>
      <c r="AW201" s="3066"/>
      <c r="BB201" s="3066"/>
      <c r="BH201" s="3066"/>
      <c r="BI201" s="3066"/>
      <c r="BJ201" s="3066"/>
      <c r="BK201" s="3066"/>
      <c r="BL201" s="3066"/>
      <c r="BM201" s="3066"/>
      <c r="BN201" s="3066"/>
    </row>
    <row r="202" spans="1:66">
      <c r="B202" s="72"/>
      <c r="D202" s="1157"/>
      <c r="F202" s="710" t="s">
        <v>9201</v>
      </c>
      <c r="G202" s="3320" t="e">
        <f>IF(G201&lt;0.025,G118,"N/A")</f>
        <v>#DIV/0!</v>
      </c>
      <c r="I202" s="1355"/>
      <c r="J202" s="3320" t="e">
        <f>IF(J201&lt;0.025,J118,"N/A")</f>
        <v>#DIV/0!</v>
      </c>
      <c r="L202" s="4018" t="e">
        <f>IF(L201&lt;0.025,L118,"N/A")</f>
        <v>#DIV/0!</v>
      </c>
      <c r="N202" s="4018" t="e">
        <f>IF(N201&lt;0.025,N118,"N/A")</f>
        <v>#DIV/0!</v>
      </c>
      <c r="AS202" s="3066"/>
      <c r="AT202" s="3066"/>
      <c r="AU202" s="3066"/>
      <c r="AV202" s="3066"/>
      <c r="AW202" s="3066"/>
      <c r="BB202" s="3066"/>
      <c r="BH202" s="3066"/>
      <c r="BI202" s="3066"/>
      <c r="BJ202" s="3066"/>
      <c r="BK202" s="3066"/>
      <c r="BL202" s="3066"/>
      <c r="BM202" s="3066"/>
      <c r="BN202" s="3066"/>
    </row>
    <row r="203" spans="1:66">
      <c r="B203" s="72"/>
      <c r="D203" s="1157"/>
      <c r="F203" s="710" t="s">
        <v>9202</v>
      </c>
      <c r="G203" s="4018" t="e">
        <f>IF(G201&gt;=0.025,(1.025*((G182+G183)*G199))/G200,"N/A")</f>
        <v>#DIV/0!</v>
      </c>
      <c r="I203" s="1355"/>
      <c r="J203" s="4018" t="e">
        <f>IF(J201&gt;=0.025,(1.025*((J182+J183)*J199))/J200,"N/A")</f>
        <v>#DIV/0!</v>
      </c>
      <c r="L203" s="3320" t="e">
        <f>IF(L201&gt;=0.025,(1.025*((L182+L183)*L199))/L200,"N/A")</f>
        <v>#DIV/0!</v>
      </c>
      <c r="N203" s="3320" t="e">
        <f>IF(N201&gt;=0.025,(1.025*((N182+N183)*N199))/N200,"N/A")</f>
        <v>#DIV/0!</v>
      </c>
      <c r="AS203" s="3066"/>
      <c r="AT203" s="3066"/>
      <c r="AU203" s="3066"/>
      <c r="AV203" s="3066"/>
      <c r="AW203" s="3066"/>
      <c r="BB203" s="3066"/>
      <c r="BH203" s="3066"/>
      <c r="BI203" s="3066"/>
      <c r="BJ203" s="3066"/>
      <c r="BK203" s="3066"/>
      <c r="BL203" s="3066"/>
      <c r="BM203" s="3066"/>
      <c r="BN203" s="3066"/>
    </row>
    <row r="204" spans="1:66">
      <c r="B204" s="72"/>
      <c r="D204" s="1157"/>
      <c r="F204" s="710" t="s">
        <v>9164</v>
      </c>
      <c r="G204" s="3291" t="e">
        <f>IF(G202="N/A",G203,G118)</f>
        <v>#DIV/0!</v>
      </c>
      <c r="I204" s="1355"/>
      <c r="J204" s="3291" t="e">
        <f>IF(J202="N/A",J203,J118)</f>
        <v>#DIV/0!</v>
      </c>
      <c r="L204" s="3291" t="e">
        <f>IF(L202="N/A",L203,L118)</f>
        <v>#DIV/0!</v>
      </c>
      <c r="N204" s="3291" t="e">
        <f>IF(N202="N/A",N203,N118)</f>
        <v>#DIV/0!</v>
      </c>
      <c r="AS204" s="3066"/>
      <c r="AT204" s="3066"/>
      <c r="AU204" s="3066"/>
      <c r="AV204" s="3066"/>
      <c r="AW204" s="3066"/>
      <c r="BB204" s="3066"/>
      <c r="BH204" s="3066"/>
      <c r="BI204" s="3066"/>
      <c r="BJ204" s="3066"/>
      <c r="BK204" s="3066"/>
      <c r="BL204" s="3066"/>
      <c r="BM204" s="3066"/>
      <c r="BN204" s="3066"/>
    </row>
    <row r="205" spans="1:66">
      <c r="B205" s="72"/>
      <c r="D205" s="1157"/>
      <c r="F205" s="3318" t="s">
        <v>9203</v>
      </c>
      <c r="G205" s="3291">
        <f>G124</f>
        <v>0.91649841361407547</v>
      </c>
      <c r="I205" s="1355"/>
      <c r="J205" s="3291">
        <f>J124</f>
        <v>0.90319284102915798</v>
      </c>
      <c r="L205" s="3291">
        <f>L124</f>
        <v>0.89008043654926139</v>
      </c>
      <c r="N205" s="3291">
        <f>N124</f>
        <v>0.87715839579174382</v>
      </c>
      <c r="AS205" s="3066"/>
      <c r="AT205" s="3066"/>
      <c r="AU205" s="3066"/>
      <c r="AV205" s="3066"/>
      <c r="AW205" s="3066"/>
      <c r="BB205" s="3066"/>
      <c r="BH205" s="3066"/>
      <c r="BI205" s="3066"/>
      <c r="BJ205" s="3066"/>
      <c r="BK205" s="3066"/>
      <c r="BL205" s="3066"/>
      <c r="BM205" s="3066"/>
      <c r="BN205" s="3066"/>
    </row>
    <row r="206" spans="1:66">
      <c r="B206" s="72"/>
      <c r="D206" s="1157"/>
      <c r="F206" s="710" t="s">
        <v>9204</v>
      </c>
      <c r="G206" s="4017" t="e">
        <f>MIN(G204,G205)</f>
        <v>#DIV/0!</v>
      </c>
      <c r="I206" s="1355"/>
      <c r="J206" s="4017" t="e">
        <f>MIN(J204,J205)</f>
        <v>#DIV/0!</v>
      </c>
      <c r="L206" s="3319" t="e">
        <f>MIN(L204,L205)</f>
        <v>#DIV/0!</v>
      </c>
      <c r="N206" s="3319" t="e">
        <f>MIN(N204,N205)</f>
        <v>#DIV/0!</v>
      </c>
      <c r="AS206" s="3066"/>
      <c r="AT206" s="3066"/>
      <c r="AU206" s="3066"/>
      <c r="AV206" s="3066"/>
      <c r="AW206" s="3066"/>
      <c r="BB206" s="3066"/>
      <c r="BH206" s="3066"/>
      <c r="BI206" s="3066"/>
      <c r="BJ206" s="3066"/>
      <c r="BK206" s="3066"/>
      <c r="BL206" s="3066"/>
      <c r="BM206" s="3066"/>
      <c r="BN206" s="3066"/>
    </row>
    <row r="207" spans="1:66">
      <c r="B207" s="72"/>
      <c r="D207" s="1157"/>
      <c r="E207" s="678"/>
      <c r="F207" s="1209"/>
      <c r="G207" s="1235"/>
      <c r="I207" s="1355"/>
      <c r="J207" s="1748"/>
    </row>
    <row r="208" spans="1:66" hidden="1">
      <c r="C208" s="1322"/>
      <c r="D208" s="54" t="s">
        <v>585</v>
      </c>
      <c r="E208" s="54" t="s">
        <v>2166</v>
      </c>
      <c r="F208" s="54" t="s">
        <v>48</v>
      </c>
      <c r="G208" s="54" t="s">
        <v>206</v>
      </c>
      <c r="I208" s="54" t="s">
        <v>811</v>
      </c>
      <c r="J208" s="1748"/>
    </row>
    <row r="209" spans="2:10" hidden="1">
      <c r="C209" s="764" t="s">
        <v>585</v>
      </c>
      <c r="D209" s="763" t="s">
        <v>8883</v>
      </c>
      <c r="E209" s="764" t="s">
        <v>8884</v>
      </c>
      <c r="F209" s="763" t="s">
        <v>8885</v>
      </c>
      <c r="G209" s="763" t="s">
        <v>8886</v>
      </c>
      <c r="I209" s="162" t="s">
        <v>8887</v>
      </c>
      <c r="J209" s="1748"/>
    </row>
    <row r="210" spans="2:10" hidden="1">
      <c r="B210" s="37" t="s">
        <v>3998</v>
      </c>
      <c r="C210" s="764" t="s">
        <v>2166</v>
      </c>
      <c r="D210" s="764">
        <v>1.1534</v>
      </c>
      <c r="E210" s="764">
        <v>1.2366999999999999</v>
      </c>
      <c r="F210" s="764">
        <v>1.1466000000000001</v>
      </c>
      <c r="G210" s="764">
        <v>1.2</v>
      </c>
      <c r="I210" s="764">
        <v>1.1100000000000001</v>
      </c>
      <c r="J210" s="1748"/>
    </row>
    <row r="211" spans="2:10" hidden="1">
      <c r="B211" s="37" t="s">
        <v>8889</v>
      </c>
      <c r="C211" s="764" t="s">
        <v>1428</v>
      </c>
      <c r="D211" s="3074">
        <v>1.0932999999999999</v>
      </c>
      <c r="E211" s="3074">
        <v>1.0667</v>
      </c>
      <c r="F211" s="3074">
        <v>1.0867</v>
      </c>
      <c r="G211" s="3074">
        <v>1.03</v>
      </c>
      <c r="I211" s="3074">
        <v>1.05</v>
      </c>
    </row>
    <row r="212" spans="2:10" hidden="1">
      <c r="B212" s="37" t="s">
        <v>8703</v>
      </c>
      <c r="C212" s="764" t="s">
        <v>48</v>
      </c>
      <c r="D212" s="3074">
        <v>0.06</v>
      </c>
      <c r="E212" s="3074">
        <v>0.06</v>
      </c>
      <c r="F212" s="3074">
        <v>0.06</v>
      </c>
      <c r="G212" s="3074">
        <v>0.06</v>
      </c>
      <c r="I212" s="3074">
        <v>0.06</v>
      </c>
    </row>
    <row r="213" spans="2:10" hidden="1">
      <c r="B213" s="37" t="s">
        <v>8704</v>
      </c>
      <c r="C213" s="764" t="s">
        <v>206</v>
      </c>
      <c r="D213" s="3074">
        <v>0</v>
      </c>
      <c r="E213" s="3074">
        <v>0.11</v>
      </c>
      <c r="F213" s="3074">
        <v>0</v>
      </c>
      <c r="G213" s="3074">
        <v>0.11</v>
      </c>
      <c r="I213" s="3074">
        <v>0</v>
      </c>
    </row>
    <row r="214" spans="2:10" hidden="1">
      <c r="B214" s="37" t="s">
        <v>8890</v>
      </c>
      <c r="C214" s="764" t="s">
        <v>811</v>
      </c>
      <c r="D214" s="3074">
        <f t="shared" ref="D214:I214" si="11">D211*0.93</f>
        <v>1.016769</v>
      </c>
      <c r="E214" s="3074">
        <f t="shared" si="11"/>
        <v>0.992031</v>
      </c>
      <c r="F214" s="3074">
        <f>F211*0.93</f>
        <v>1.0106310000000001</v>
      </c>
      <c r="G214" s="3074">
        <f>G211*0.93</f>
        <v>0.95790000000000008</v>
      </c>
      <c r="I214" s="3074">
        <f t="shared" si="11"/>
        <v>0.97650000000000015</v>
      </c>
    </row>
    <row r="215" spans="2:10" hidden="1">
      <c r="B215" s="37" t="s">
        <v>8891</v>
      </c>
      <c r="D215" s="3074">
        <v>0.06</v>
      </c>
      <c r="E215" s="3074">
        <v>0.06</v>
      </c>
      <c r="F215" s="3074">
        <v>0.06</v>
      </c>
      <c r="G215" s="3074">
        <v>0.06</v>
      </c>
      <c r="I215" s="3074">
        <v>0.06</v>
      </c>
    </row>
    <row r="216" spans="2:10" hidden="1">
      <c r="B216" s="37" t="s">
        <v>8892</v>
      </c>
      <c r="D216" s="3075">
        <f>D213*(31.95/48.24)</f>
        <v>0</v>
      </c>
      <c r="E216" s="3075">
        <f t="shared" ref="E216:I216" si="12">E213*(31.95/48.24)</f>
        <v>7.2854477611940305E-2</v>
      </c>
      <c r="F216" s="3075">
        <f>F213*(31.95/48.24)</f>
        <v>0</v>
      </c>
      <c r="G216" s="3075">
        <f>G213*(31.95/48.24)</f>
        <v>7.2854477611940305E-2</v>
      </c>
      <c r="I216" s="3075">
        <f t="shared" si="12"/>
        <v>0</v>
      </c>
    </row>
    <row r="217" spans="2:10" hidden="1">
      <c r="B217" s="3076" t="s">
        <v>8893</v>
      </c>
      <c r="C217" s="3042" t="s">
        <v>8888</v>
      </c>
      <c r="D217" s="3077">
        <f>SUM(D214:D216)</f>
        <v>1.0767690000000001</v>
      </c>
      <c r="E217" s="3078">
        <f t="shared" ref="E217:I217" si="13">SUM(E214:E216)</f>
        <v>1.1248854776119401</v>
      </c>
      <c r="F217" s="3078">
        <f>SUM(F214:F216)</f>
        <v>1.0706310000000001</v>
      </c>
      <c r="G217" s="3078">
        <f>SUM(G214:G216)</f>
        <v>1.0907544776119402</v>
      </c>
      <c r="I217" s="3079">
        <f t="shared" si="13"/>
        <v>1.0365000000000002</v>
      </c>
    </row>
    <row r="218" spans="2:10" hidden="1">
      <c r="C218" s="3072">
        <v>1.0932999999999999</v>
      </c>
      <c r="F218" s="1184"/>
      <c r="G218" s="1210"/>
    </row>
    <row r="219" spans="2:10">
      <c r="C219" s="3072">
        <v>1.0677000000000001</v>
      </c>
      <c r="F219" s="3315" t="s">
        <v>9197</v>
      </c>
      <c r="G219" s="1210"/>
    </row>
    <row r="220" spans="2:10">
      <c r="B220" s="764"/>
      <c r="C220" s="3073">
        <v>1.0732999999999999</v>
      </c>
      <c r="F220" s="3315" t="s">
        <v>9198</v>
      </c>
      <c r="G220" s="1210"/>
    </row>
    <row r="221" spans="2:10">
      <c r="C221" s="3073">
        <v>1.0867</v>
      </c>
      <c r="F221" s="1195"/>
      <c r="G221" s="3318" t="s">
        <v>9213</v>
      </c>
    </row>
    <row r="222" spans="2:10">
      <c r="C222" s="3073">
        <v>1.03</v>
      </c>
      <c r="G222" s="1195"/>
    </row>
    <row r="223" spans="2:10">
      <c r="C223" s="3073">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233"/>
  <sheetViews>
    <sheetView workbookViewId="0">
      <selection activeCell="A8" sqref="A8"/>
    </sheetView>
  </sheetViews>
  <sheetFormatPr defaultRowHeight="12.75"/>
  <cols>
    <col min="1" max="1" width="64.7109375" customWidth="1"/>
    <col min="2" max="5" width="23.7109375" customWidth="1"/>
    <col min="6" max="6" width="20.42578125" customWidth="1"/>
    <col min="7" max="9" width="15.5703125" customWidth="1"/>
  </cols>
  <sheetData>
    <row r="1" spans="1:9" ht="15">
      <c r="A1" s="382" t="s">
        <v>8717</v>
      </c>
    </row>
    <row r="2" spans="1:9" ht="15">
      <c r="A2" s="382" t="s">
        <v>9451</v>
      </c>
    </row>
    <row r="3" spans="1:9" ht="15">
      <c r="A3" s="382" t="s">
        <v>8714</v>
      </c>
    </row>
    <row r="4" spans="1:9" ht="15">
      <c r="A4" s="382" t="s">
        <v>8715</v>
      </c>
    </row>
    <row r="5" spans="1:9" ht="15">
      <c r="A5" s="382"/>
    </row>
    <row r="6" spans="1:9" ht="15">
      <c r="A6" s="382" t="s">
        <v>8716</v>
      </c>
    </row>
    <row r="8" spans="1:9" ht="15.75">
      <c r="B8" s="4599" t="s">
        <v>9452</v>
      </c>
      <c r="C8" s="4600"/>
      <c r="D8" s="4600"/>
      <c r="E8" s="4601"/>
    </row>
    <row r="9" spans="1:9">
      <c r="B9" s="4602" t="s">
        <v>8686</v>
      </c>
      <c r="C9" s="4602" t="s">
        <v>8686</v>
      </c>
      <c r="D9" s="4602" t="s">
        <v>8686</v>
      </c>
      <c r="E9" s="2894" t="s">
        <v>8686</v>
      </c>
    </row>
    <row r="10" spans="1:9">
      <c r="B10" s="4603" t="s">
        <v>8682</v>
      </c>
      <c r="C10" s="4603" t="s">
        <v>8683</v>
      </c>
      <c r="D10" s="4603" t="s">
        <v>8684</v>
      </c>
      <c r="E10" s="4604" t="s">
        <v>8685</v>
      </c>
    </row>
    <row r="11" spans="1:9" ht="15">
      <c r="A11" s="4538" t="s">
        <v>498</v>
      </c>
      <c r="B11" s="4605">
        <v>0</v>
      </c>
      <c r="C11" s="4605">
        <v>0</v>
      </c>
      <c r="D11" s="4605">
        <v>0</v>
      </c>
      <c r="E11" s="4605">
        <v>0</v>
      </c>
    </row>
    <row r="12" spans="1:9" ht="15">
      <c r="A12" s="4538" t="s">
        <v>2933</v>
      </c>
      <c r="B12" s="4605">
        <v>0</v>
      </c>
      <c r="C12" s="4605">
        <v>0</v>
      </c>
      <c r="D12" s="4605">
        <v>0</v>
      </c>
      <c r="E12" s="4605">
        <v>0</v>
      </c>
      <c r="F12" t="s">
        <v>8730</v>
      </c>
    </row>
    <row r="13" spans="1:9">
      <c r="A13" s="1438" t="s">
        <v>539</v>
      </c>
      <c r="B13" s="4606"/>
      <c r="C13" s="4606"/>
      <c r="D13" s="4606"/>
      <c r="E13" s="4606"/>
      <c r="F13" s="52" t="s">
        <v>8729</v>
      </c>
      <c r="G13" s="52" t="s">
        <v>8732</v>
      </c>
      <c r="H13" s="52" t="s">
        <v>8733</v>
      </c>
      <c r="I13" s="52" t="s">
        <v>8734</v>
      </c>
    </row>
    <row r="14" spans="1:9" ht="15">
      <c r="A14" s="4538" t="s">
        <v>499</v>
      </c>
      <c r="B14" s="4605">
        <v>0</v>
      </c>
      <c r="C14" s="4605">
        <v>0</v>
      </c>
      <c r="D14" s="4605">
        <v>0</v>
      </c>
      <c r="E14" s="4605">
        <v>0</v>
      </c>
      <c r="F14" s="93">
        <f>B14*Weights!$J$10</f>
        <v>0</v>
      </c>
      <c r="G14" s="93">
        <f>C14*Weights!$J$10</f>
        <v>0</v>
      </c>
      <c r="H14" s="93">
        <f>D14*Weights!$J$10</f>
        <v>0</v>
      </c>
      <c r="I14" s="93">
        <f>E14*Weights!$J$10</f>
        <v>0</v>
      </c>
    </row>
    <row r="15" spans="1:9" ht="15">
      <c r="A15" s="4607" t="s">
        <v>500</v>
      </c>
      <c r="B15" s="4605">
        <v>0</v>
      </c>
      <c r="C15" s="4605">
        <v>0</v>
      </c>
      <c r="D15" s="4605">
        <v>0</v>
      </c>
      <c r="E15" s="4605">
        <v>0</v>
      </c>
      <c r="F15" s="93">
        <f>B15*Weights!$J$11</f>
        <v>0</v>
      </c>
      <c r="G15" s="93">
        <f>C15*Weights!$J$11</f>
        <v>0</v>
      </c>
      <c r="H15" s="93">
        <f>D15*Weights!$J$11</f>
        <v>0</v>
      </c>
      <c r="I15" s="93">
        <f>E15*Weights!$J$11</f>
        <v>0</v>
      </c>
    </row>
    <row r="16" spans="1:9" ht="15">
      <c r="A16" s="4538" t="s">
        <v>1699</v>
      </c>
      <c r="B16" s="4605">
        <v>0</v>
      </c>
      <c r="C16" s="4605">
        <v>0</v>
      </c>
      <c r="D16" s="4605">
        <v>0</v>
      </c>
      <c r="E16" s="4605">
        <v>0</v>
      </c>
      <c r="F16" s="93">
        <f>B16*Weights!$J$12</f>
        <v>0</v>
      </c>
      <c r="G16" s="93">
        <f>C16*Weights!$J$12</f>
        <v>0</v>
      </c>
      <c r="H16" s="93">
        <f>D16*Weights!$J$12</f>
        <v>0</v>
      </c>
      <c r="I16" s="93">
        <f>E16*Weights!$J$12</f>
        <v>0</v>
      </c>
    </row>
    <row r="17" spans="1:9" ht="15">
      <c r="A17" s="4538" t="s">
        <v>1700</v>
      </c>
      <c r="B17" s="4605">
        <v>0</v>
      </c>
      <c r="C17" s="4605">
        <v>0</v>
      </c>
      <c r="D17" s="4605">
        <v>0</v>
      </c>
      <c r="E17" s="4605">
        <v>0</v>
      </c>
      <c r="F17" s="93">
        <f>B17*Weights!$J$13</f>
        <v>0</v>
      </c>
      <c r="G17" s="93">
        <f>C17*Weights!$J$13</f>
        <v>0</v>
      </c>
      <c r="H17" s="93">
        <f>D17*Weights!$J$13</f>
        <v>0</v>
      </c>
      <c r="I17" s="93">
        <f>E17*Weights!$J$13</f>
        <v>0</v>
      </c>
    </row>
    <row r="18" spans="1:9" ht="15">
      <c r="A18" s="4538" t="s">
        <v>583</v>
      </c>
      <c r="B18" s="4605">
        <v>0</v>
      </c>
      <c r="C18" s="4605">
        <v>0</v>
      </c>
      <c r="D18" s="4605">
        <v>0</v>
      </c>
      <c r="E18" s="4605">
        <v>0</v>
      </c>
      <c r="F18" s="93">
        <f>B18*Weights!$J$14</f>
        <v>0</v>
      </c>
      <c r="G18" s="93">
        <f>C18*Weights!$J$14</f>
        <v>0</v>
      </c>
      <c r="H18" s="93">
        <f>D18*Weights!$J$14</f>
        <v>0</v>
      </c>
      <c r="I18" s="93">
        <f>E18*Weights!$J$14</f>
        <v>0</v>
      </c>
    </row>
    <row r="19" spans="1:9" ht="15">
      <c r="A19" s="4538" t="s">
        <v>2014</v>
      </c>
      <c r="B19" s="4605">
        <v>0</v>
      </c>
      <c r="C19" s="4605">
        <v>0</v>
      </c>
      <c r="D19" s="4605">
        <v>0</v>
      </c>
      <c r="E19" s="4605">
        <v>0</v>
      </c>
      <c r="F19" s="93">
        <f>B19*Weights!$J$15</f>
        <v>0</v>
      </c>
      <c r="G19" s="93">
        <f>C19*Weights!$J$15</f>
        <v>0</v>
      </c>
      <c r="H19" s="93">
        <f>D19*Weights!$J$15</f>
        <v>0</v>
      </c>
      <c r="I19" s="93">
        <f>E19*Weights!$J$15</f>
        <v>0</v>
      </c>
    </row>
    <row r="20" spans="1:9" ht="15">
      <c r="A20" s="4538" t="s">
        <v>2015</v>
      </c>
      <c r="B20" s="4605">
        <v>0</v>
      </c>
      <c r="C20" s="4605">
        <v>0</v>
      </c>
      <c r="D20" s="4605">
        <v>0</v>
      </c>
      <c r="E20" s="4605">
        <v>0</v>
      </c>
      <c r="F20" s="93">
        <f>B20*Weights!$J$16</f>
        <v>0</v>
      </c>
      <c r="G20" s="93">
        <f>C20*Weights!$J$16</f>
        <v>0</v>
      </c>
      <c r="H20" s="93">
        <f>D20*Weights!$J$16</f>
        <v>0</v>
      </c>
      <c r="I20" s="93">
        <f>E20*Weights!$J$16</f>
        <v>0</v>
      </c>
    </row>
    <row r="21" spans="1:9" ht="15">
      <c r="A21" s="4538" t="s">
        <v>501</v>
      </c>
      <c r="B21" s="4605">
        <v>0</v>
      </c>
      <c r="C21" s="4605">
        <v>0</v>
      </c>
      <c r="D21" s="4605">
        <v>0</v>
      </c>
      <c r="E21" s="4605">
        <v>0</v>
      </c>
      <c r="F21" s="4608">
        <f>SUM(F14:F20)</f>
        <v>0</v>
      </c>
      <c r="G21" s="4608">
        <f>SUM(G14:G20)</f>
        <v>0</v>
      </c>
      <c r="H21" s="4608">
        <f>SUM(H14:H20)</f>
        <v>0</v>
      </c>
      <c r="I21" s="4608">
        <f>SUM(I14:I20)</f>
        <v>0</v>
      </c>
    </row>
    <row r="22" spans="1:9" ht="15">
      <c r="A22" s="4538" t="s">
        <v>535</v>
      </c>
      <c r="B22" s="4605">
        <v>0</v>
      </c>
      <c r="C22" s="4605">
        <v>0</v>
      </c>
      <c r="D22" s="4605">
        <v>0</v>
      </c>
      <c r="E22" s="4605">
        <v>0</v>
      </c>
    </row>
    <row r="23" spans="1:9" ht="15">
      <c r="A23" s="4538" t="s">
        <v>536</v>
      </c>
      <c r="B23" s="4605">
        <v>0</v>
      </c>
      <c r="C23" s="4605">
        <v>0</v>
      </c>
      <c r="D23" s="4605">
        <v>0</v>
      </c>
      <c r="E23" s="4605">
        <v>0</v>
      </c>
    </row>
    <row r="24" spans="1:9" ht="15">
      <c r="A24" s="4538" t="s">
        <v>538</v>
      </c>
      <c r="B24" s="4605">
        <v>0</v>
      </c>
      <c r="C24" s="4605">
        <v>0</v>
      </c>
      <c r="D24" s="4605">
        <v>0</v>
      </c>
      <c r="E24" s="4605">
        <v>0</v>
      </c>
    </row>
    <row r="25" spans="1:9" ht="15">
      <c r="A25" s="4538" t="s">
        <v>824</v>
      </c>
      <c r="B25" s="4605">
        <v>0</v>
      </c>
      <c r="C25" s="4605">
        <v>0</v>
      </c>
      <c r="D25" s="4605">
        <v>0</v>
      </c>
      <c r="E25" s="4605">
        <v>0</v>
      </c>
    </row>
    <row r="26" spans="1:9" ht="15">
      <c r="A26" s="4607" t="s">
        <v>9453</v>
      </c>
      <c r="B26" s="4605">
        <v>0</v>
      </c>
      <c r="C26" s="4605">
        <v>0</v>
      </c>
      <c r="D26" s="4605">
        <v>0</v>
      </c>
      <c r="E26" s="4605">
        <v>0</v>
      </c>
    </row>
    <row r="27" spans="1:9" ht="15">
      <c r="A27" s="4538" t="s">
        <v>540</v>
      </c>
      <c r="B27" s="4605">
        <v>0</v>
      </c>
      <c r="C27" s="4605">
        <v>0</v>
      </c>
      <c r="D27" s="4605">
        <v>0</v>
      </c>
      <c r="E27" s="4605">
        <v>0</v>
      </c>
    </row>
    <row r="28" spans="1:9" ht="15">
      <c r="A28" s="4607" t="s">
        <v>9454</v>
      </c>
      <c r="B28" s="4605">
        <v>0</v>
      </c>
      <c r="C28" s="4605">
        <v>0</v>
      </c>
      <c r="D28" s="4605">
        <v>0</v>
      </c>
      <c r="E28" s="4605">
        <v>0</v>
      </c>
    </row>
    <row r="29" spans="1:9" ht="15">
      <c r="A29" s="4607" t="s">
        <v>937</v>
      </c>
      <c r="B29" s="4605">
        <f>B11*0.05</f>
        <v>0</v>
      </c>
      <c r="C29" s="4605">
        <f t="shared" ref="C29:E29" si="0">C11*0.05</f>
        <v>0</v>
      </c>
      <c r="D29" s="4605">
        <f t="shared" si="0"/>
        <v>0</v>
      </c>
      <c r="E29" s="4605">
        <f t="shared" si="0"/>
        <v>0</v>
      </c>
    </row>
    <row r="32" spans="1:9" hidden="1"/>
    <row r="33" spans="1:6" hidden="1">
      <c r="B33" s="54" t="s">
        <v>8690</v>
      </c>
      <c r="C33" s="54" t="s">
        <v>8690</v>
      </c>
      <c r="D33" s="54" t="s">
        <v>8690</v>
      </c>
      <c r="E33" s="54" t="s">
        <v>8690</v>
      </c>
    </row>
    <row r="34" spans="1:6" ht="15.75" hidden="1">
      <c r="A34" s="4609" t="s">
        <v>8702</v>
      </c>
      <c r="B34" s="4610" t="s">
        <v>8682</v>
      </c>
      <c r="C34" s="4610" t="s">
        <v>8683</v>
      </c>
      <c r="D34" s="4610" t="s">
        <v>8684</v>
      </c>
      <c r="E34" s="4611" t="s">
        <v>8685</v>
      </c>
    </row>
    <row r="35" spans="1:6" ht="15.75" hidden="1">
      <c r="A35" s="2897" t="s">
        <v>2823</v>
      </c>
      <c r="B35" s="4626">
        <f>B$56*'Calc Data'!$AK$23*Weights!$J4</f>
        <v>0</v>
      </c>
      <c r="C35" s="4626">
        <f>C$56*'Calc Data'!$AK$23*Weights!$J4</f>
        <v>0</v>
      </c>
      <c r="D35" s="4626">
        <f>D$56*'Calc Data'!$AK$23*Weights!$J4</f>
        <v>0</v>
      </c>
      <c r="E35" s="4626">
        <f>E$56*'Calc Data'!$AK$23*Weights!$J4</f>
        <v>0</v>
      </c>
    </row>
    <row r="36" spans="1:6" ht="15.75" hidden="1">
      <c r="A36" s="2897" t="s">
        <v>2828</v>
      </c>
      <c r="B36" s="4626">
        <f>(B$55*'Calc Data'!$AK$23)+(B$21*Weights!$J$17*'Calc Data'!$AK$23)+(B$22*Weights!$J$18*'Calc Data'!$AK$23)+(B$23*Weights!$J$19*'Calc Data'!$AK$23)+(B$24*Weights!$J$21*'Calc Data'!$AK$23)</f>
        <v>0</v>
      </c>
      <c r="C36" s="4626">
        <f>(C$55*'Calc Data'!$AK$23)+(C$21*Weights!$J$17*'Calc Data'!$AK$23)+(C$22*Weights!$J$18*'Calc Data'!$AK$23)+(C$23*Weights!$J$19*'Calc Data'!$AK$23)+(C$24*Weights!$J$21*'Calc Data'!$AK$23)</f>
        <v>0</v>
      </c>
      <c r="D36" s="4626">
        <f>(D$55*'Calc Data'!$AK$23)+(D$21*Weights!$J$17*'Calc Data'!$AK$23)+(D$22*Weights!$J$18*'Calc Data'!$AK$23)+(D$23*Weights!$J$19*'Calc Data'!$AK$23)+(D$24*Weights!$J$21*'Calc Data'!$AK$23)</f>
        <v>0</v>
      </c>
      <c r="E36" s="4626">
        <f>(E$55*'Calc Data'!$AK$23)+(E$21*Weights!$J$17*'Calc Data'!$AK$23)+(E$22*Weights!$J$18*'Calc Data'!$AK$23)+(E$23*Weights!$J$19*'Calc Data'!$AK$23)+(E$24*Weights!$J$21*'Calc Data'!$AK$23)</f>
        <v>0</v>
      </c>
    </row>
    <row r="37" spans="1:6" ht="15.75" hidden="1">
      <c r="A37" s="2897" t="s">
        <v>8687</v>
      </c>
      <c r="B37" s="4626">
        <f>B$25*'Calc Data'!$AK$23*Weights!$J$23</f>
        <v>0</v>
      </c>
      <c r="C37" s="4626">
        <f>C$25*'Calc Data'!$AK$23*Weights!$J$23</f>
        <v>0</v>
      </c>
      <c r="D37" s="4626">
        <f>D$25*'Calc Data'!$AK$23*Weights!$J$23</f>
        <v>0</v>
      </c>
      <c r="E37" s="4626">
        <f>E$25*'Calc Data'!$AK$23*Weights!$J$23</f>
        <v>0</v>
      </c>
    </row>
    <row r="38" spans="1:6" ht="15.75" hidden="1">
      <c r="A38" s="2897" t="s">
        <v>9455</v>
      </c>
      <c r="B38" s="4626">
        <f>B$29*'Calc Data'!$AK$23*Weights!$J$28</f>
        <v>0</v>
      </c>
      <c r="C38" s="4626">
        <f>C$29*'Calc Data'!$AK$23*Weights!$J$28</f>
        <v>0</v>
      </c>
      <c r="D38" s="4626">
        <f>D$29*'Calc Data'!$AK$23*Weights!$J$28</f>
        <v>0</v>
      </c>
      <c r="E38" s="4626">
        <f>E$29*'Calc Data'!$AK$23*Weights!$J$28</f>
        <v>0</v>
      </c>
    </row>
    <row r="39" spans="1:6" ht="15.75" hidden="1">
      <c r="A39" s="2897" t="s">
        <v>8688</v>
      </c>
      <c r="B39" s="4626">
        <f>(B$26*'Calc Data'!$AK$23*Weights!$J$30)+(B$27*'Calc Data'!$AK$23*Weights!$J$31)</f>
        <v>0</v>
      </c>
      <c r="C39" s="4626">
        <f>(C$26*'Calc Data'!$AK$23*Weights!$J$30)+(C$27*'Calc Data'!$AK$23*Weights!$J$31)</f>
        <v>0</v>
      </c>
      <c r="D39" s="4626">
        <f>(D$26*'Calc Data'!$AK$23*Weights!$J$30)+(D$27*'Calc Data'!$AK$23*Weights!$J$31)</f>
        <v>0</v>
      </c>
      <c r="E39" s="4626">
        <f>(E$26*'Calc Data'!$AK$23*Weights!$J$30)+(E$27*'Calc Data'!$AK$23*Weights!$J$31)</f>
        <v>0</v>
      </c>
    </row>
    <row r="40" spans="1:6" ht="15.75" hidden="1">
      <c r="A40" s="2897" t="s">
        <v>8689</v>
      </c>
      <c r="B40" s="4626">
        <f>B$28*'Calc Data'!$AK$23*Weights!$J$26</f>
        <v>0</v>
      </c>
      <c r="C40" s="4626">
        <f>C$28*'Calc Data'!$AK$23*Weights!$J$26</f>
        <v>0</v>
      </c>
      <c r="D40" s="4626">
        <f>D$28*'Calc Data'!$AK$23*Weights!$J$26</f>
        <v>0</v>
      </c>
      <c r="E40" s="4626">
        <f>E$28*'Calc Data'!$AK$23*Weights!$J$26</f>
        <v>0</v>
      </c>
    </row>
    <row r="41" spans="1:6" ht="15.75" hidden="1">
      <c r="A41" s="2897" t="s">
        <v>2451</v>
      </c>
      <c r="B41" s="4626">
        <f>SUM(B35:B40)</f>
        <v>0</v>
      </c>
      <c r="C41" s="4626">
        <f>SUM(C35:C40)</f>
        <v>0</v>
      </c>
      <c r="D41" s="4626">
        <f t="shared" ref="D41:E41" si="1">SUM(D35:D40)</f>
        <v>0</v>
      </c>
      <c r="E41" s="4626">
        <f t="shared" si="1"/>
        <v>0</v>
      </c>
    </row>
    <row r="42" spans="1:6" hidden="1"/>
    <row r="43" spans="1:6" ht="15" hidden="1">
      <c r="B43" s="54" t="s">
        <v>8691</v>
      </c>
      <c r="C43" s="54" t="s">
        <v>8691</v>
      </c>
      <c r="D43" s="54" t="s">
        <v>8691</v>
      </c>
      <c r="E43" s="54" t="s">
        <v>8691</v>
      </c>
      <c r="F43" s="394" t="s">
        <v>8731</v>
      </c>
    </row>
    <row r="44" spans="1:6" hidden="1">
      <c r="B44" s="4610" t="s">
        <v>8682</v>
      </c>
      <c r="C44" s="4610" t="s">
        <v>8683</v>
      </c>
      <c r="D44" s="4610" t="s">
        <v>8684</v>
      </c>
      <c r="E44" s="4611" t="s">
        <v>8685</v>
      </c>
      <c r="F44" s="4612" t="s">
        <v>9456</v>
      </c>
    </row>
    <row r="45" spans="1:6" ht="15.75" hidden="1">
      <c r="A45" s="2897" t="s">
        <v>2823</v>
      </c>
      <c r="B45" s="4626">
        <f>B$56*$F$45*Weights!$J$4</f>
        <v>0</v>
      </c>
      <c r="C45" s="4626">
        <f>C$56*$F$45*Weights!$J$4</f>
        <v>0</v>
      </c>
      <c r="D45" s="4626">
        <f>D$56*$F$45*Weights!$J$4</f>
        <v>0</v>
      </c>
      <c r="E45" s="4626">
        <f>E$56*$F$45*Weights!$J$4</f>
        <v>0</v>
      </c>
      <c r="F45" s="4613">
        <v>6535</v>
      </c>
    </row>
    <row r="46" spans="1:6" ht="15.75" hidden="1">
      <c r="A46" s="2897" t="s">
        <v>2828</v>
      </c>
      <c r="B46" s="4626">
        <f>(B$55*$F$45)+(B$21*Weights!$J$17*$F$45)+(B$22*Weights!$J$18*$F$45)+(B$23*Weights!$J$19*$F$45)+(B$24*Weights!$J$21*$F$45)</f>
        <v>0</v>
      </c>
      <c r="C46" s="4626">
        <f>(C$55*$F$45)+(C$21*Weights!$J$17*$F$45)+(C$22*Weights!$J$18*$F$45)+(C$23*Weights!$J$19*$F$45)+(C$24*Weights!$J$21*$F$45)</f>
        <v>0</v>
      </c>
      <c r="D46" s="4626">
        <f>(D$55*$F$45)+(D$21*Weights!$J$17*$F$45)+(D$22*Weights!$J$18*$F$45)+(D$23*Weights!$J$19*$F$45)+(D$24*Weights!$J$21*$F$45)</f>
        <v>0</v>
      </c>
      <c r="E46" s="4626">
        <f>(E$55*$F$45)+(E$21*Weights!$J$17*$F$45)+(E$22*Weights!$J$18*$F$45)+(E$23*Weights!$J$19*$F$45)+(E$24*Weights!$J$21*$F$45)</f>
        <v>0</v>
      </c>
    </row>
    <row r="47" spans="1:6" ht="15.75" hidden="1">
      <c r="A47" s="2897" t="s">
        <v>8687</v>
      </c>
      <c r="B47" s="4626">
        <f>B$25*$F$45*Weights!$J$23</f>
        <v>0</v>
      </c>
      <c r="C47" s="4626">
        <f>C$25*$F$45*Weights!$J$23</f>
        <v>0</v>
      </c>
      <c r="D47" s="4626">
        <f>D$25*$F$45*Weights!$J$23</f>
        <v>0</v>
      </c>
      <c r="E47" s="4626">
        <f>E$25*$F$45*Weights!$J$23</f>
        <v>0</v>
      </c>
    </row>
    <row r="48" spans="1:6" ht="15.75" hidden="1">
      <c r="A48" s="2897" t="s">
        <v>9455</v>
      </c>
      <c r="B48" s="4626">
        <f>B$29*$F$45*Weights!$J$28</f>
        <v>0</v>
      </c>
      <c r="C48" s="4626">
        <f>C$29*$F$45*Weights!$J$28</f>
        <v>0</v>
      </c>
      <c r="D48" s="4626">
        <f>D$29*$F$45*Weights!$J$28</f>
        <v>0</v>
      </c>
      <c r="E48" s="4626">
        <f>E$29*$F$45*Weights!$J$28</f>
        <v>0</v>
      </c>
    </row>
    <row r="49" spans="1:5" ht="15.75" hidden="1">
      <c r="A49" s="2897" t="s">
        <v>8688</v>
      </c>
      <c r="B49" s="4626">
        <f>(B$26*$F$45*Weights!$J$30)+(B$27*$F$45*Weights!$J$31)</f>
        <v>0</v>
      </c>
      <c r="C49" s="4626">
        <f>(C$26*$F$45*Weights!$J$30)+(C$27*$F$45*Weights!$J$31)</f>
        <v>0</v>
      </c>
      <c r="D49" s="4626">
        <f>(D$26*$F$45*Weights!$J$30)+(D$27*$F$45*Weights!$J$31)</f>
        <v>0</v>
      </c>
      <c r="E49" s="4626">
        <f>(E$26*$F$45*Weights!$J$30)+(E$27*$F$45*Weights!$J$31)</f>
        <v>0</v>
      </c>
    </row>
    <row r="50" spans="1:5" ht="15.75" hidden="1">
      <c r="A50" s="2897" t="s">
        <v>8689</v>
      </c>
      <c r="B50" s="4626">
        <f>B$28*$F$45*Weights!$J$26</f>
        <v>0</v>
      </c>
      <c r="C50" s="4626">
        <f>C$28*$F$45*Weights!$J$26</f>
        <v>0</v>
      </c>
      <c r="D50" s="4626">
        <f>D$28*$F$45*Weights!$J$26</f>
        <v>0</v>
      </c>
      <c r="E50" s="4626">
        <f>E$28*$F$45*Weights!$J$26</f>
        <v>0</v>
      </c>
    </row>
    <row r="51" spans="1:5" ht="15.75" hidden="1">
      <c r="A51" s="2897" t="s">
        <v>2451</v>
      </c>
      <c r="B51" s="4626">
        <f>SUM(B45:B50)</f>
        <v>0</v>
      </c>
      <c r="C51" s="4626">
        <f t="shared" ref="C51:E51" si="2">SUM(C45:C50)</f>
        <v>0</v>
      </c>
      <c r="D51" s="4626">
        <f t="shared" si="2"/>
        <v>0</v>
      </c>
      <c r="E51" s="4626">
        <f t="shared" si="2"/>
        <v>0</v>
      </c>
    </row>
    <row r="52" spans="1:5" hidden="1"/>
    <row r="53" spans="1:5" hidden="1"/>
    <row r="54" spans="1:5" hidden="1">
      <c r="A54" t="s">
        <v>8692</v>
      </c>
      <c r="B54" s="4608">
        <f>SUM(B14:B21)+B23</f>
        <v>0</v>
      </c>
      <c r="C54" s="4608">
        <f t="shared" ref="C54:E54" si="3">SUM(C14:C21)+C23</f>
        <v>0</v>
      </c>
      <c r="D54" s="4608">
        <f t="shared" si="3"/>
        <v>0</v>
      </c>
      <c r="E54" s="4608">
        <f t="shared" si="3"/>
        <v>0</v>
      </c>
    </row>
    <row r="55" spans="1:5" hidden="1">
      <c r="A55" t="s">
        <v>8693</v>
      </c>
      <c r="B55" s="4608">
        <f>F21</f>
        <v>0</v>
      </c>
      <c r="C55" s="4608">
        <f>G21</f>
        <v>0</v>
      </c>
      <c r="D55" s="4608">
        <f>H21</f>
        <v>0</v>
      </c>
      <c r="E55" s="4608">
        <f>I21</f>
        <v>0</v>
      </c>
    </row>
    <row r="56" spans="1:5" hidden="1">
      <c r="A56" t="s">
        <v>8694</v>
      </c>
      <c r="B56" s="4608">
        <f>B11-B54-B25</f>
        <v>0</v>
      </c>
      <c r="C56" s="4608">
        <f t="shared" ref="C56:E56" si="4">C11-C54-C25</f>
        <v>0</v>
      </c>
      <c r="D56" s="4608">
        <f t="shared" si="4"/>
        <v>0</v>
      </c>
      <c r="E56" s="4608">
        <f t="shared" si="4"/>
        <v>0</v>
      </c>
    </row>
    <row r="57" spans="1:5" hidden="1"/>
    <row r="58" spans="1:5" hidden="1"/>
    <row r="59" spans="1:5" s="382" customFormat="1" ht="15.75" hidden="1">
      <c r="A59" s="4609" t="s">
        <v>3087</v>
      </c>
    </row>
    <row r="60" spans="1:5" s="382" customFormat="1" ht="15.75" hidden="1">
      <c r="B60" s="482" t="s">
        <v>8690</v>
      </c>
      <c r="C60" s="482" t="s">
        <v>8690</v>
      </c>
      <c r="D60" s="482" t="s">
        <v>8690</v>
      </c>
      <c r="E60" s="482" t="s">
        <v>8690</v>
      </c>
    </row>
    <row r="61" spans="1:5" s="382" customFormat="1" ht="15.75" hidden="1">
      <c r="B61" s="4614" t="s">
        <v>8682</v>
      </c>
      <c r="C61" s="4614" t="s">
        <v>8683</v>
      </c>
      <c r="D61" s="4614" t="s">
        <v>8684</v>
      </c>
      <c r="E61" s="4615" t="s">
        <v>8685</v>
      </c>
    </row>
    <row r="62" spans="1:5" s="382" customFormat="1" ht="15.75" hidden="1">
      <c r="A62" s="2902" t="s">
        <v>8703</v>
      </c>
      <c r="B62" s="4633" t="e">
        <f>Assumptions!$G$110*B$75*'Calc Data'!$E$35*100</f>
        <v>#DIV/0!</v>
      </c>
      <c r="C62" s="4633" t="e">
        <f>Assumptions!$G$110*C$75*'Calc Data'!$E$35*100</f>
        <v>#DIV/0!</v>
      </c>
      <c r="D62" s="4633" t="e">
        <f>Assumptions!$G$110*D$75*'Calc Data'!$E$35*100</f>
        <v>#DIV/0!</v>
      </c>
      <c r="E62" s="4633" t="e">
        <f>Assumptions!$G$110*E$75*'Calc Data'!$E$35*100</f>
        <v>#DIV/0!</v>
      </c>
    </row>
    <row r="63" spans="1:5" s="382" customFormat="1" ht="15.75" hidden="1">
      <c r="A63" s="2902" t="s">
        <v>8704</v>
      </c>
      <c r="B63" s="4633" t="e">
        <f>Assumptions!$G$111*B$75*'Calc Data'!$AK$29*100</f>
        <v>#DIV/0!</v>
      </c>
      <c r="C63" s="4633" t="e">
        <f>Assumptions!$G$111*C$75*'Calc Data'!$AK$29*100</f>
        <v>#DIV/0!</v>
      </c>
      <c r="D63" s="4633" t="e">
        <f>Assumptions!$G$111*D$75*'Calc Data'!$AK$29*100</f>
        <v>#DIV/0!</v>
      </c>
      <c r="E63" s="4633" t="e">
        <f>Assumptions!$G$111*E$75*'Calc Data'!$AK$29*100</f>
        <v>#DIV/0!</v>
      </c>
    </row>
    <row r="64" spans="1:5" s="382" customFormat="1" ht="15.75" hidden="1">
      <c r="A64" s="2902" t="s">
        <v>2451</v>
      </c>
      <c r="B64" s="4633" t="e">
        <f>B62+B63</f>
        <v>#DIV/0!</v>
      </c>
      <c r="C64" s="4633" t="e">
        <f t="shared" ref="C64:E64" si="5">C62+C63</f>
        <v>#DIV/0!</v>
      </c>
      <c r="D64" s="4633" t="e">
        <f t="shared" si="5"/>
        <v>#DIV/0!</v>
      </c>
      <c r="E64" s="4633" t="e">
        <f t="shared" si="5"/>
        <v>#DIV/0!</v>
      </c>
    </row>
    <row r="65" spans="1:6" s="382" customFormat="1" ht="15.75" hidden="1">
      <c r="A65" s="2902"/>
    </row>
    <row r="66" spans="1:6" s="382" customFormat="1" ht="15.75" hidden="1">
      <c r="A66" s="2902"/>
      <c r="B66" s="54" t="s">
        <v>8691</v>
      </c>
      <c r="C66" s="54" t="s">
        <v>8691</v>
      </c>
      <c r="D66" s="54" t="s">
        <v>8691</v>
      </c>
      <c r="E66" s="54" t="s">
        <v>8691</v>
      </c>
    </row>
    <row r="67" spans="1:6" s="382" customFormat="1" ht="15.75" hidden="1">
      <c r="A67" s="2902"/>
      <c r="B67" s="4610" t="s">
        <v>8682</v>
      </c>
      <c r="C67" s="4610" t="s">
        <v>8683</v>
      </c>
      <c r="D67" s="4610" t="s">
        <v>8684</v>
      </c>
      <c r="E67" s="4611" t="s">
        <v>8685</v>
      </c>
    </row>
    <row r="68" spans="1:6" s="382" customFormat="1" ht="15.75" hidden="1">
      <c r="A68" s="2902" t="s">
        <v>8703</v>
      </c>
      <c r="B68" s="4633">
        <f>Assumptions!$G$110*B$80*$F$79*100</f>
        <v>0</v>
      </c>
      <c r="C68" s="4633">
        <f>Assumptions!$G$110*C$80*$F$79*100</f>
        <v>0</v>
      </c>
      <c r="D68" s="4633">
        <f>Assumptions!$G$110*D$80*$F$79*100</f>
        <v>0</v>
      </c>
      <c r="E68" s="4633">
        <f>Assumptions!$G$110*E$80*$F$79*100</f>
        <v>0</v>
      </c>
    </row>
    <row r="69" spans="1:6" s="382" customFormat="1" ht="15.75" hidden="1">
      <c r="A69" s="2902" t="s">
        <v>8704</v>
      </c>
      <c r="B69" s="4633">
        <f>Assumptions!$G$111*B80*$F$80*100</f>
        <v>0</v>
      </c>
      <c r="C69" s="4633">
        <f>Assumptions!$G$111*C80*$F$80*100</f>
        <v>0</v>
      </c>
      <c r="D69" s="4633">
        <f>Assumptions!$G$111*D80*$F$80*100</f>
        <v>0</v>
      </c>
      <c r="E69" s="4633">
        <f>Assumptions!$G$111*E80*$F$80*100</f>
        <v>0</v>
      </c>
    </row>
    <row r="70" spans="1:6" s="382" customFormat="1" ht="15.75" hidden="1">
      <c r="A70" s="2902" t="s">
        <v>2451</v>
      </c>
      <c r="B70" s="4633">
        <f>B68+B69</f>
        <v>0</v>
      </c>
      <c r="C70" s="4633">
        <f t="shared" ref="C70:E70" si="6">C68+C69</f>
        <v>0</v>
      </c>
      <c r="D70" s="4633">
        <f t="shared" si="6"/>
        <v>0</v>
      </c>
      <c r="E70" s="4633">
        <f t="shared" si="6"/>
        <v>0</v>
      </c>
    </row>
    <row r="71" spans="1:6" s="382" customFormat="1" ht="15.75" hidden="1">
      <c r="A71" s="2902"/>
    </row>
    <row r="72" spans="1:6" s="382" customFormat="1" ht="15.75" hidden="1">
      <c r="A72" s="2902"/>
      <c r="B72" s="482" t="s">
        <v>8690</v>
      </c>
      <c r="C72" s="482" t="s">
        <v>8690</v>
      </c>
      <c r="D72" s="482" t="s">
        <v>8690</v>
      </c>
      <c r="E72" s="482" t="s">
        <v>8690</v>
      </c>
    </row>
    <row r="73" spans="1:6" s="382" customFormat="1" ht="15.75" hidden="1">
      <c r="A73" s="2913" t="s">
        <v>8713</v>
      </c>
      <c r="B73" s="4617">
        <f>'Calc Data'!$AK19</f>
        <v>5140</v>
      </c>
      <c r="C73" s="4617">
        <f>'Calc Data'!$AK19</f>
        <v>5140</v>
      </c>
      <c r="D73" s="4617">
        <f>'Calc Data'!$AK19</f>
        <v>5140</v>
      </c>
      <c r="E73" s="4617">
        <f>'Calc Data'!$AK19</f>
        <v>5140</v>
      </c>
    </row>
    <row r="74" spans="1:6" s="382" customFormat="1" ht="15.75" hidden="1">
      <c r="A74" s="2913" t="s">
        <v>3852</v>
      </c>
      <c r="B74" s="4618">
        <f>'Calc Data'!$AK20</f>
        <v>1491</v>
      </c>
      <c r="C74" s="4618">
        <f>'Calc Data'!$AK20</f>
        <v>1491</v>
      </c>
      <c r="D74" s="4618">
        <f>'Calc Data'!$AK20</f>
        <v>1491</v>
      </c>
      <c r="E74" s="4618">
        <f>'Calc Data'!$AK20</f>
        <v>1491</v>
      </c>
    </row>
    <row r="75" spans="1:6" s="382" customFormat="1" ht="15.75" hidden="1">
      <c r="A75" s="2913" t="s">
        <v>2572</v>
      </c>
      <c r="B75" s="4619">
        <f>(B41*(1-(((B74-B73)/2)/B74)))/B73</f>
        <v>0</v>
      </c>
      <c r="C75" s="4619">
        <f t="shared" ref="C75:E75" si="7">(C41*(1-(((C74-C73)/2)/C74)))/C73</f>
        <v>0</v>
      </c>
      <c r="D75" s="4619">
        <f t="shared" si="7"/>
        <v>0</v>
      </c>
      <c r="E75" s="4619">
        <f t="shared" si="7"/>
        <v>0</v>
      </c>
    </row>
    <row r="76" spans="1:6" s="382" customFormat="1" ht="15.75" hidden="1">
      <c r="A76" s="2902"/>
    </row>
    <row r="77" spans="1:6" s="382" customFormat="1" ht="15.75" hidden="1">
      <c r="A77" s="2902"/>
      <c r="B77" s="54" t="s">
        <v>8691</v>
      </c>
      <c r="C77" s="54" t="s">
        <v>8691</v>
      </c>
      <c r="D77" s="54" t="s">
        <v>8691</v>
      </c>
      <c r="E77" s="54" t="s">
        <v>8691</v>
      </c>
      <c r="F77" s="394" t="s">
        <v>8731</v>
      </c>
    </row>
    <row r="78" spans="1:6" s="382" customFormat="1" ht="15.75" hidden="1">
      <c r="A78" s="2913" t="s">
        <v>9457</v>
      </c>
      <c r="B78" s="4661">
        <v>5105</v>
      </c>
      <c r="C78" s="4616">
        <f t="shared" ref="C78:E79" si="8">B78</f>
        <v>5105</v>
      </c>
      <c r="D78" s="4616">
        <f t="shared" si="8"/>
        <v>5105</v>
      </c>
      <c r="E78" s="4616">
        <f t="shared" si="8"/>
        <v>5105</v>
      </c>
      <c r="F78" s="4620" t="s">
        <v>8705</v>
      </c>
    </row>
    <row r="79" spans="1:6" s="382" customFormat="1" ht="15.75" hidden="1">
      <c r="A79" s="2913" t="s">
        <v>9458</v>
      </c>
      <c r="B79" s="4661">
        <v>5392</v>
      </c>
      <c r="C79" s="4616">
        <f t="shared" si="8"/>
        <v>5392</v>
      </c>
      <c r="D79" s="4616">
        <f t="shared" si="8"/>
        <v>5392</v>
      </c>
      <c r="E79" s="4616">
        <f t="shared" si="8"/>
        <v>5392</v>
      </c>
      <c r="F79" s="4621">
        <v>5.9200000000000003E-2</v>
      </c>
    </row>
    <row r="80" spans="1:6" s="382" customFormat="1" ht="15.75" hidden="1">
      <c r="A80" s="2913" t="s">
        <v>2572</v>
      </c>
      <c r="B80" s="4619">
        <f>(B51*(1-(((B79-B78)/2)/B79)))/B78</f>
        <v>0</v>
      </c>
      <c r="C80" s="4619">
        <f t="shared" ref="C80:E80" si="9">(C51*(1-(((C79-C78)/2)/C79)))/C78</f>
        <v>0</v>
      </c>
      <c r="D80" s="4619">
        <f t="shared" si="9"/>
        <v>0</v>
      </c>
      <c r="E80" s="4619">
        <f t="shared" si="9"/>
        <v>0</v>
      </c>
      <c r="F80" s="4622">
        <v>5.33E-2</v>
      </c>
    </row>
    <row r="81" spans="1:7" s="382" customFormat="1" ht="15" hidden="1"/>
    <row r="82" spans="1:7" s="382" customFormat="1" ht="15.75" hidden="1">
      <c r="A82" s="4609" t="s">
        <v>2867</v>
      </c>
    </row>
    <row r="83" spans="1:7" s="382" customFormat="1" ht="15" hidden="1">
      <c r="B83" s="54" t="s">
        <v>8691</v>
      </c>
      <c r="C83" s="54" t="s">
        <v>8691</v>
      </c>
      <c r="D83" s="54" t="s">
        <v>8691</v>
      </c>
      <c r="E83" s="54" t="s">
        <v>8691</v>
      </c>
      <c r="F83" s="394" t="s">
        <v>8731</v>
      </c>
    </row>
    <row r="84" spans="1:7" s="382" customFormat="1" ht="15" hidden="1">
      <c r="B84" s="4610" t="s">
        <v>8682</v>
      </c>
      <c r="C84" s="4610" t="s">
        <v>8683</v>
      </c>
      <c r="D84" s="4610" t="s">
        <v>8684</v>
      </c>
      <c r="E84" s="4611" t="s">
        <v>8685</v>
      </c>
      <c r="F84" s="4623" t="s">
        <v>9459</v>
      </c>
    </row>
    <row r="85" spans="1:7" s="382" customFormat="1" ht="15.75" hidden="1">
      <c r="A85" s="382" t="s">
        <v>8706</v>
      </c>
      <c r="B85" s="4633">
        <f>B11*$F$85*$F$86*100</f>
        <v>0</v>
      </c>
      <c r="C85" s="4633">
        <f t="shared" ref="C85:E85" si="10">C11*$F$85*$F$86*100</f>
        <v>0</v>
      </c>
      <c r="D85" s="4633">
        <f t="shared" si="10"/>
        <v>0</v>
      </c>
      <c r="E85" s="4633">
        <f t="shared" si="10"/>
        <v>0</v>
      </c>
      <c r="F85" s="4624">
        <v>6.1899999999999997E-2</v>
      </c>
    </row>
    <row r="86" spans="1:7" s="382" customFormat="1" ht="15" hidden="1">
      <c r="F86" s="4544">
        <v>36.65</v>
      </c>
      <c r="G86" s="382" t="s">
        <v>9460</v>
      </c>
    </row>
    <row r="87" spans="1:7" s="382" customFormat="1" ht="15" hidden="1"/>
    <row r="88" spans="1:7" s="382" customFormat="1" ht="15" hidden="1"/>
    <row r="89" spans="1:7" s="382" customFormat="1" ht="15"/>
    <row r="90" spans="1:7" s="382" customFormat="1" ht="15"/>
    <row r="91" spans="1:7" s="382" customFormat="1" ht="15"/>
    <row r="92" spans="1:7" s="382" customFormat="1" ht="15"/>
    <row r="93" spans="1:7" s="382" customFormat="1" ht="15"/>
    <row r="94" spans="1:7" s="382" customFormat="1" ht="15"/>
    <row r="95" spans="1:7" s="382" customFormat="1" ht="15"/>
    <row r="96" spans="1:7" s="382" customFormat="1" ht="15"/>
    <row r="97" s="382" customFormat="1" ht="15"/>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51"/>
  <sheetViews>
    <sheetView workbookViewId="0">
      <selection activeCell="B5" sqref="B5"/>
    </sheetView>
  </sheetViews>
  <sheetFormatPr defaultRowHeight="12.75"/>
  <cols>
    <col min="1" max="1" width="34.5703125" customWidth="1"/>
    <col min="2" max="8" width="23.7109375" customWidth="1"/>
  </cols>
  <sheetData>
    <row r="1" spans="1:5" s="382" customFormat="1" ht="15">
      <c r="A1" s="382" t="s">
        <v>8718</v>
      </c>
    </row>
    <row r="2" spans="1:5" s="382" customFormat="1" ht="15">
      <c r="A2" s="382" t="s">
        <v>8719</v>
      </c>
    </row>
    <row r="3" spans="1:5" s="382" customFormat="1" ht="15"/>
    <row r="4" spans="1:5" s="382" customFormat="1" ht="15"/>
    <row r="5" spans="1:5" s="382" customFormat="1" ht="15"/>
    <row r="6" spans="1:5" ht="15.75">
      <c r="B6" s="4599" t="s">
        <v>9452</v>
      </c>
      <c r="C6" s="4600"/>
      <c r="D6" s="4600"/>
      <c r="E6" s="4601"/>
    </row>
    <row r="7" spans="1:5">
      <c r="A7" s="4625" t="s">
        <v>8707</v>
      </c>
      <c r="B7" s="54" t="s">
        <v>8690</v>
      </c>
      <c r="C7" s="54" t="s">
        <v>8690</v>
      </c>
      <c r="D7" s="54" t="s">
        <v>8690</v>
      </c>
      <c r="E7" s="54" t="s">
        <v>8690</v>
      </c>
    </row>
    <row r="8" spans="1:5">
      <c r="B8" s="4610" t="s">
        <v>8682</v>
      </c>
      <c r="C8" s="4610" t="s">
        <v>8683</v>
      </c>
      <c r="D8" s="4610" t="s">
        <v>8684</v>
      </c>
      <c r="E8" s="4611" t="s">
        <v>8685</v>
      </c>
    </row>
    <row r="9" spans="1:5" ht="15.75">
      <c r="A9" s="2897" t="s">
        <v>2823</v>
      </c>
      <c r="B9" s="4626">
        <f>'DistCharter-Data1819'!B35</f>
        <v>0</v>
      </c>
      <c r="C9" s="4626">
        <f>'DistCharter-Data1819'!C35</f>
        <v>0</v>
      </c>
      <c r="D9" s="4626">
        <f>'DistCharter-Data1819'!D35</f>
        <v>0</v>
      </c>
      <c r="E9" s="4626">
        <f>'DistCharter-Data1819'!E35</f>
        <v>0</v>
      </c>
    </row>
    <row r="10" spans="1:5" ht="15.75">
      <c r="A10" s="2897" t="s">
        <v>2828</v>
      </c>
      <c r="B10" s="4626">
        <f>'DistCharter-Data1819'!B36</f>
        <v>0</v>
      </c>
      <c r="C10" s="4626">
        <f>'DistCharter-Data1819'!C36</f>
        <v>0</v>
      </c>
      <c r="D10" s="4626">
        <f>'DistCharter-Data1819'!D36</f>
        <v>0</v>
      </c>
      <c r="E10" s="4626">
        <f>'DistCharter-Data1819'!E36</f>
        <v>0</v>
      </c>
    </row>
    <row r="11" spans="1:5" ht="15.75">
      <c r="A11" s="2897" t="s">
        <v>8687</v>
      </c>
      <c r="B11" s="4626">
        <f>'DistCharter-Data1819'!B37</f>
        <v>0</v>
      </c>
      <c r="C11" s="4626">
        <f>'DistCharter-Data1819'!C37</f>
        <v>0</v>
      </c>
      <c r="D11" s="4626">
        <f>'DistCharter-Data1819'!D37</f>
        <v>0</v>
      </c>
      <c r="E11" s="4626">
        <f>'DistCharter-Data1819'!E37</f>
        <v>0</v>
      </c>
    </row>
    <row r="12" spans="1:5" ht="15.75">
      <c r="A12" s="2897" t="s">
        <v>9455</v>
      </c>
      <c r="B12" s="4626">
        <f>'DistCharter-Data1819'!B38</f>
        <v>0</v>
      </c>
      <c r="C12" s="4626">
        <f>'DistCharter-Data1819'!C38</f>
        <v>0</v>
      </c>
      <c r="D12" s="4626">
        <f>'DistCharter-Data1819'!D38</f>
        <v>0</v>
      </c>
      <c r="E12" s="4626">
        <f>'DistCharter-Data1819'!E38</f>
        <v>0</v>
      </c>
    </row>
    <row r="13" spans="1:5" ht="15.75">
      <c r="A13" s="2897" t="s">
        <v>8688</v>
      </c>
      <c r="B13" s="4626">
        <f>'DistCharter-Data1819'!B39</f>
        <v>0</v>
      </c>
      <c r="C13" s="4626">
        <f>'DistCharter-Data1819'!C39</f>
        <v>0</v>
      </c>
      <c r="D13" s="4626">
        <f>'DistCharter-Data1819'!D39</f>
        <v>0</v>
      </c>
      <c r="E13" s="4626">
        <f>'DistCharter-Data1819'!E39</f>
        <v>0</v>
      </c>
    </row>
    <row r="14" spans="1:5" ht="15.75">
      <c r="A14" s="2897" t="s">
        <v>8689</v>
      </c>
      <c r="B14" s="4626">
        <f>'DistCharter-Data1819'!B40</f>
        <v>0</v>
      </c>
      <c r="C14" s="4626">
        <f>'DistCharter-Data1819'!C40</f>
        <v>0</v>
      </c>
      <c r="D14" s="4626">
        <f>'DistCharter-Data1819'!D40</f>
        <v>0</v>
      </c>
      <c r="E14" s="4626">
        <f>'DistCharter-Data1819'!E40</f>
        <v>0</v>
      </c>
    </row>
    <row r="15" spans="1:5" ht="15.75">
      <c r="A15" s="2903" t="s">
        <v>8695</v>
      </c>
      <c r="B15" s="4626">
        <f>'DistCharter-Data1819'!B41</f>
        <v>0</v>
      </c>
      <c r="C15" s="4626">
        <f>'DistCharter-Data1819'!C41</f>
        <v>0</v>
      </c>
      <c r="D15" s="4626">
        <f>'DistCharter-Data1819'!D41</f>
        <v>0</v>
      </c>
      <c r="E15" s="4626">
        <f>'DistCharter-Data1819'!E41</f>
        <v>0</v>
      </c>
    </row>
    <row r="16" spans="1:5">
      <c r="A16" s="3066"/>
    </row>
    <row r="17" spans="1:5">
      <c r="A17" s="4625" t="s">
        <v>8708</v>
      </c>
      <c r="B17" s="54" t="s">
        <v>8690</v>
      </c>
      <c r="C17" s="54" t="s">
        <v>8690</v>
      </c>
      <c r="D17" s="54" t="s">
        <v>8690</v>
      </c>
      <c r="E17" s="54" t="s">
        <v>8690</v>
      </c>
    </row>
    <row r="18" spans="1:5">
      <c r="B18" s="4610" t="s">
        <v>8682</v>
      </c>
      <c r="C18" s="4610" t="s">
        <v>8683</v>
      </c>
      <c r="D18" s="4610" t="s">
        <v>8684</v>
      </c>
      <c r="E18" s="4611" t="s">
        <v>8685</v>
      </c>
    </row>
    <row r="19" spans="1:5" ht="15.75">
      <c r="A19" s="2902" t="s">
        <v>8720</v>
      </c>
      <c r="B19" s="4626" t="e">
        <f>'DistCharter-Data1819'!B62</f>
        <v>#DIV/0!</v>
      </c>
      <c r="C19" s="4626" t="e">
        <f>'DistCharter-Data1819'!C62</f>
        <v>#DIV/0!</v>
      </c>
      <c r="D19" s="4626" t="e">
        <f>'DistCharter-Data1819'!D62</f>
        <v>#DIV/0!</v>
      </c>
      <c r="E19" s="4626" t="e">
        <f>'DistCharter-Data1819'!E62</f>
        <v>#DIV/0!</v>
      </c>
    </row>
    <row r="20" spans="1:5" ht="15.75">
      <c r="A20" s="2902" t="s">
        <v>8721</v>
      </c>
      <c r="B20" s="4626" t="e">
        <f>'DistCharter-Data1819'!B63</f>
        <v>#DIV/0!</v>
      </c>
      <c r="C20" s="4626" t="e">
        <f>'DistCharter-Data1819'!C63</f>
        <v>#DIV/0!</v>
      </c>
      <c r="D20" s="4626" t="e">
        <f>'DistCharter-Data1819'!D63</f>
        <v>#DIV/0!</v>
      </c>
      <c r="E20" s="4626" t="e">
        <f>'DistCharter-Data1819'!E63</f>
        <v>#DIV/0!</v>
      </c>
    </row>
    <row r="21" spans="1:5" ht="15.75">
      <c r="A21" s="2903" t="s">
        <v>8696</v>
      </c>
      <c r="B21" s="4626" t="e">
        <f>B19+B20</f>
        <v>#DIV/0!</v>
      </c>
      <c r="C21" s="4626" t="e">
        <f t="shared" ref="C21:E21" si="0">C19+C20</f>
        <v>#DIV/0!</v>
      </c>
      <c r="D21" s="4626" t="e">
        <f t="shared" si="0"/>
        <v>#DIV/0!</v>
      </c>
      <c r="E21" s="4626" t="e">
        <f t="shared" si="0"/>
        <v>#DIV/0!</v>
      </c>
    </row>
    <row r="23" spans="1:5" ht="15.75">
      <c r="A23" s="4627" t="s">
        <v>8698</v>
      </c>
      <c r="B23" s="4634" t="e">
        <f>B15+B21</f>
        <v>#DIV/0!</v>
      </c>
      <c r="C23" s="4634" t="e">
        <f t="shared" ref="C23:E23" si="1">C15+C21</f>
        <v>#DIV/0!</v>
      </c>
      <c r="D23" s="4634" t="e">
        <f t="shared" si="1"/>
        <v>#DIV/0!</v>
      </c>
      <c r="E23" s="4634" t="e">
        <f t="shared" si="1"/>
        <v>#DIV/0!</v>
      </c>
    </row>
    <row r="27" spans="1:5">
      <c r="A27" s="4625" t="s">
        <v>8709</v>
      </c>
      <c r="B27" s="54" t="s">
        <v>8691</v>
      </c>
      <c r="C27" s="54" t="s">
        <v>8691</v>
      </c>
      <c r="D27" s="54" t="s">
        <v>8691</v>
      </c>
      <c r="E27" s="54" t="s">
        <v>8691</v>
      </c>
    </row>
    <row r="28" spans="1:5">
      <c r="B28" s="4610" t="s">
        <v>8682</v>
      </c>
      <c r="C28" s="4610" t="s">
        <v>8683</v>
      </c>
      <c r="D28" s="4610" t="s">
        <v>8684</v>
      </c>
      <c r="E28" s="4611" t="s">
        <v>8685</v>
      </c>
    </row>
    <row r="29" spans="1:5" ht="15.75">
      <c r="A29" s="2897" t="s">
        <v>2823</v>
      </c>
      <c r="B29" s="4626">
        <f>'DistCharter-Data1819'!B45</f>
        <v>0</v>
      </c>
      <c r="C29" s="4626">
        <f>'DistCharter-Data1819'!C45</f>
        <v>0</v>
      </c>
      <c r="D29" s="4626">
        <f>'DistCharter-Data1819'!D45</f>
        <v>0</v>
      </c>
      <c r="E29" s="4626">
        <f>'DistCharter-Data1819'!E45</f>
        <v>0</v>
      </c>
    </row>
    <row r="30" spans="1:5" ht="15.75">
      <c r="A30" s="2897" t="s">
        <v>2828</v>
      </c>
      <c r="B30" s="4626">
        <f>'DistCharter-Data1819'!B46</f>
        <v>0</v>
      </c>
      <c r="C30" s="4626">
        <f>'DistCharter-Data1819'!C46</f>
        <v>0</v>
      </c>
      <c r="D30" s="4626">
        <f>'DistCharter-Data1819'!D46</f>
        <v>0</v>
      </c>
      <c r="E30" s="4626">
        <f>'DistCharter-Data1819'!E46</f>
        <v>0</v>
      </c>
    </row>
    <row r="31" spans="1:5" ht="15.75">
      <c r="A31" s="2897" t="s">
        <v>8687</v>
      </c>
      <c r="B31" s="4626">
        <f>'DistCharter-Data1819'!B47</f>
        <v>0</v>
      </c>
      <c r="C31" s="4626">
        <f>'DistCharter-Data1819'!C47</f>
        <v>0</v>
      </c>
      <c r="D31" s="4626">
        <f>'DistCharter-Data1819'!D47</f>
        <v>0</v>
      </c>
      <c r="E31" s="4626">
        <f>'DistCharter-Data1819'!E47</f>
        <v>0</v>
      </c>
    </row>
    <row r="32" spans="1:5" ht="15.75">
      <c r="A32" s="2897" t="s">
        <v>9455</v>
      </c>
      <c r="B32" s="4626">
        <f>'DistCharter-Data1819'!B48</f>
        <v>0</v>
      </c>
      <c r="C32" s="4626">
        <f>'DistCharter-Data1819'!C48</f>
        <v>0</v>
      </c>
      <c r="D32" s="4626">
        <f>'DistCharter-Data1819'!D48</f>
        <v>0</v>
      </c>
      <c r="E32" s="4626">
        <f>'DistCharter-Data1819'!E48</f>
        <v>0</v>
      </c>
    </row>
    <row r="33" spans="1:5" ht="15.75">
      <c r="A33" s="2897" t="s">
        <v>8688</v>
      </c>
      <c r="B33" s="4626">
        <f>'DistCharter-Data1819'!B49</f>
        <v>0</v>
      </c>
      <c r="C33" s="4626">
        <f>'DistCharter-Data1819'!C49</f>
        <v>0</v>
      </c>
      <c r="D33" s="4626">
        <f>'DistCharter-Data1819'!D49</f>
        <v>0</v>
      </c>
      <c r="E33" s="4626">
        <f>'DistCharter-Data1819'!E49</f>
        <v>0</v>
      </c>
    </row>
    <row r="34" spans="1:5" ht="15.75">
      <c r="A34" s="2897" t="s">
        <v>8689</v>
      </c>
      <c r="B34" s="4626">
        <f>'DistCharter-Data1819'!B50</f>
        <v>0</v>
      </c>
      <c r="C34" s="4626">
        <f>'DistCharter-Data1819'!C50</f>
        <v>0</v>
      </c>
      <c r="D34" s="4626">
        <f>'DistCharter-Data1819'!D50</f>
        <v>0</v>
      </c>
      <c r="E34" s="4626">
        <f>'DistCharter-Data1819'!E50</f>
        <v>0</v>
      </c>
    </row>
    <row r="35" spans="1:5" ht="15.75">
      <c r="A35" s="2903" t="s">
        <v>8695</v>
      </c>
      <c r="B35" s="4626">
        <f>SUM(B29:B34)</f>
        <v>0</v>
      </c>
      <c r="C35" s="4626">
        <f t="shared" ref="C35:E35" si="2">SUM(C29:C34)</f>
        <v>0</v>
      </c>
      <c r="D35" s="4626">
        <f t="shared" si="2"/>
        <v>0</v>
      </c>
      <c r="E35" s="4626">
        <f t="shared" si="2"/>
        <v>0</v>
      </c>
    </row>
    <row r="37" spans="1:5">
      <c r="A37" s="4625" t="s">
        <v>8710</v>
      </c>
      <c r="B37" s="54" t="s">
        <v>8691</v>
      </c>
      <c r="C37" s="54" t="s">
        <v>8691</v>
      </c>
      <c r="D37" s="54" t="s">
        <v>8691</v>
      </c>
      <c r="E37" s="54" t="s">
        <v>8691</v>
      </c>
    </row>
    <row r="38" spans="1:5">
      <c r="B38" s="4610" t="s">
        <v>8682</v>
      </c>
      <c r="C38" s="4610" t="s">
        <v>8683</v>
      </c>
      <c r="D38" s="4610" t="s">
        <v>8684</v>
      </c>
      <c r="E38" s="4611" t="s">
        <v>8685</v>
      </c>
    </row>
    <row r="39" spans="1:5" ht="15.75">
      <c r="A39" s="2902" t="s">
        <v>8720</v>
      </c>
      <c r="B39" s="4626">
        <f>'DistCharter-Data1819'!B68</f>
        <v>0</v>
      </c>
      <c r="C39" s="4626">
        <f>'DistCharter-Data1819'!C68</f>
        <v>0</v>
      </c>
      <c r="D39" s="4626">
        <f>'DistCharter-Data1819'!D68</f>
        <v>0</v>
      </c>
      <c r="E39" s="4626">
        <f>'DistCharter-Data1819'!E68</f>
        <v>0</v>
      </c>
    </row>
    <row r="40" spans="1:5" ht="15.75">
      <c r="A40" s="2902" t="s">
        <v>8721</v>
      </c>
      <c r="B40" s="4626">
        <f>'DistCharter-Data1819'!B69</f>
        <v>0</v>
      </c>
      <c r="C40" s="4626">
        <f>'DistCharter-Data1819'!C69</f>
        <v>0</v>
      </c>
      <c r="D40" s="4626">
        <f>'DistCharter-Data1819'!D69</f>
        <v>0</v>
      </c>
      <c r="E40" s="4626">
        <f>'DistCharter-Data1819'!E69</f>
        <v>0</v>
      </c>
    </row>
    <row r="41" spans="1:5" ht="15.75">
      <c r="A41" s="2903" t="s">
        <v>8696</v>
      </c>
      <c r="B41" s="4626">
        <f>SUM(B39:B40)</f>
        <v>0</v>
      </c>
      <c r="C41" s="4626">
        <f t="shared" ref="C41:E41" si="3">SUM(C39:C40)</f>
        <v>0</v>
      </c>
      <c r="D41" s="4626">
        <f t="shared" si="3"/>
        <v>0</v>
      </c>
      <c r="E41" s="4626">
        <f t="shared" si="3"/>
        <v>0</v>
      </c>
    </row>
    <row r="43" spans="1:5">
      <c r="A43" s="4625" t="s">
        <v>8711</v>
      </c>
      <c r="B43" s="54" t="s">
        <v>8691</v>
      </c>
      <c r="C43" s="54" t="s">
        <v>8691</v>
      </c>
      <c r="D43" s="54" t="s">
        <v>8691</v>
      </c>
      <c r="E43" s="54" t="s">
        <v>8691</v>
      </c>
    </row>
    <row r="44" spans="1:5">
      <c r="B44" s="4610" t="s">
        <v>8682</v>
      </c>
      <c r="C44" s="4610" t="s">
        <v>8683</v>
      </c>
      <c r="D44" s="4610" t="s">
        <v>8684</v>
      </c>
      <c r="E44" s="4611" t="s">
        <v>8685</v>
      </c>
    </row>
    <row r="45" spans="1:5" ht="15.75">
      <c r="A45" s="2902" t="s">
        <v>8697</v>
      </c>
      <c r="B45" s="4537">
        <f>'DistCharter-Data1819'!B85</f>
        <v>0</v>
      </c>
      <c r="C45" s="4537">
        <f>'DistCharter-Data1819'!C85</f>
        <v>0</v>
      </c>
      <c r="D45" s="4537">
        <f>'DistCharter-Data1819'!D85</f>
        <v>0</v>
      </c>
      <c r="E45" s="4537">
        <f>'DistCharter-Data1819'!E85</f>
        <v>0</v>
      </c>
    </row>
    <row r="47" spans="1:5" ht="15.75">
      <c r="A47" s="4627" t="s">
        <v>8712</v>
      </c>
      <c r="B47" s="4628">
        <f>B35+B41+B45</f>
        <v>0</v>
      </c>
      <c r="C47" s="4628">
        <f t="shared" ref="C47:E47" si="4">C35+C41+C45</f>
        <v>0</v>
      </c>
      <c r="D47" s="4628">
        <f t="shared" si="4"/>
        <v>0</v>
      </c>
      <c r="E47" s="4628">
        <f t="shared" si="4"/>
        <v>0</v>
      </c>
    </row>
    <row r="49" spans="1:6" ht="15.75">
      <c r="F49" s="2904" t="s">
        <v>8701</v>
      </c>
    </row>
    <row r="50" spans="1:6" ht="15.75">
      <c r="A50" s="4629" t="s">
        <v>8699</v>
      </c>
      <c r="B50" s="4630"/>
      <c r="C50" s="4630"/>
      <c r="D50" s="4630"/>
      <c r="E50" s="2915"/>
      <c r="F50" s="4630"/>
    </row>
    <row r="51" spans="1:6" ht="15.75">
      <c r="A51" s="4631" t="s">
        <v>8700</v>
      </c>
      <c r="B51" s="4635" t="e">
        <f>IF(B23&gt;=B47,0,B47-B23)</f>
        <v>#DIV/0!</v>
      </c>
      <c r="C51" s="4635" t="e">
        <f t="shared" ref="C51:E51" si="5">IF(C23&gt;=C47,0,C47-C23)</f>
        <v>#DIV/0!</v>
      </c>
      <c r="D51" s="4635" t="e">
        <f t="shared" si="5"/>
        <v>#DIV/0!</v>
      </c>
      <c r="E51" s="4635" t="e">
        <f t="shared" si="5"/>
        <v>#DIV/0!</v>
      </c>
      <c r="F51" s="4635" t="e">
        <f>SUM(B51:E51)</f>
        <v>#DIV/0!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243"/>
  <sheetViews>
    <sheetView workbookViewId="0">
      <selection activeCell="A8" sqref="A8"/>
    </sheetView>
  </sheetViews>
  <sheetFormatPr defaultRowHeight="12.75"/>
  <cols>
    <col min="1" max="1" width="64.5703125" customWidth="1"/>
    <col min="2" max="5" width="23.5703125" customWidth="1"/>
    <col min="6" max="6" width="23.42578125" customWidth="1"/>
    <col min="7" max="9" width="15.5703125" customWidth="1"/>
  </cols>
  <sheetData>
    <row r="1" spans="1:9" ht="15">
      <c r="A1" s="382" t="s">
        <v>8717</v>
      </c>
    </row>
    <row r="2" spans="1:9" ht="15">
      <c r="A2" s="382" t="s">
        <v>9085</v>
      </c>
    </row>
    <row r="3" spans="1:9" ht="15">
      <c r="A3" s="382" t="s">
        <v>8714</v>
      </c>
    </row>
    <row r="4" spans="1:9" ht="15">
      <c r="A4" s="382" t="s">
        <v>8715</v>
      </c>
    </row>
    <row r="5" spans="1:9" ht="15">
      <c r="A5" s="382"/>
    </row>
    <row r="6" spans="1:9" ht="15">
      <c r="A6" s="382" t="s">
        <v>8716</v>
      </c>
    </row>
    <row r="8" spans="1:9" ht="15.75">
      <c r="B8" s="2938" t="s">
        <v>9227</v>
      </c>
      <c r="C8" s="2917"/>
      <c r="D8" s="2917"/>
      <c r="E8" s="2918"/>
    </row>
    <row r="9" spans="1:9">
      <c r="B9" s="2893" t="s">
        <v>8686</v>
      </c>
      <c r="C9" s="2893" t="s">
        <v>8686</v>
      </c>
      <c r="D9" s="2893" t="s">
        <v>8686</v>
      </c>
      <c r="E9" s="2894" t="s">
        <v>8686</v>
      </c>
    </row>
    <row r="10" spans="1:9">
      <c r="B10" s="2895" t="s">
        <v>8682</v>
      </c>
      <c r="C10" s="2895" t="s">
        <v>8683</v>
      </c>
      <c r="D10" s="2895" t="s">
        <v>8684</v>
      </c>
      <c r="E10" s="2896" t="s">
        <v>8685</v>
      </c>
    </row>
    <row r="11" spans="1:9" ht="15">
      <c r="A11" s="42" t="s">
        <v>498</v>
      </c>
      <c r="B11" s="2892">
        <v>0</v>
      </c>
      <c r="C11" s="2892">
        <v>0</v>
      </c>
      <c r="D11" s="2892">
        <v>0</v>
      </c>
      <c r="E11" s="2892">
        <v>0</v>
      </c>
      <c r="F11" t="s">
        <v>8730</v>
      </c>
    </row>
    <row r="12" spans="1:9">
      <c r="A12" s="1438" t="s">
        <v>539</v>
      </c>
      <c r="B12" s="1378"/>
      <c r="C12" s="1378"/>
      <c r="D12" s="1378"/>
      <c r="E12" s="1378"/>
      <c r="F12" s="52" t="s">
        <v>8729</v>
      </c>
      <c r="G12" s="52" t="s">
        <v>8732</v>
      </c>
      <c r="H12" s="52" t="s">
        <v>8733</v>
      </c>
      <c r="I12" s="52" t="s">
        <v>8734</v>
      </c>
    </row>
    <row r="13" spans="1:9" ht="15">
      <c r="A13" s="42" t="s">
        <v>499</v>
      </c>
      <c r="B13" s="2892">
        <v>0</v>
      </c>
      <c r="C13" s="2892">
        <v>0</v>
      </c>
      <c r="D13" s="2892">
        <v>0</v>
      </c>
      <c r="E13" s="2892">
        <v>0</v>
      </c>
      <c r="F13" s="93">
        <f>B13*Weights!$K$10</f>
        <v>0</v>
      </c>
      <c r="G13" s="93">
        <f>C13*Weights!$K$10</f>
        <v>0</v>
      </c>
      <c r="H13" s="93">
        <f>D13*Weights!$K$10</f>
        <v>0</v>
      </c>
      <c r="I13" s="93">
        <f>E13*Weights!$K$10</f>
        <v>0</v>
      </c>
    </row>
    <row r="14" spans="1:9" ht="15">
      <c r="A14" s="2891" t="s">
        <v>500</v>
      </c>
      <c r="B14" s="2892">
        <v>0</v>
      </c>
      <c r="C14" s="2892">
        <v>0</v>
      </c>
      <c r="D14" s="2892">
        <v>0</v>
      </c>
      <c r="E14" s="2892">
        <v>0</v>
      </c>
      <c r="F14" s="93">
        <f>B14*Weights!$K$11</f>
        <v>0</v>
      </c>
      <c r="G14" s="93">
        <f>C14*Weights!$K$11</f>
        <v>0</v>
      </c>
      <c r="H14" s="93">
        <f>D14*Weights!$K$11</f>
        <v>0</v>
      </c>
      <c r="I14" s="93">
        <f>E14*Weights!$K$11</f>
        <v>0</v>
      </c>
    </row>
    <row r="15" spans="1:9" ht="15">
      <c r="A15" s="42" t="s">
        <v>1699</v>
      </c>
      <c r="B15" s="2892">
        <v>0</v>
      </c>
      <c r="C15" s="2892">
        <v>0</v>
      </c>
      <c r="D15" s="2892">
        <v>0</v>
      </c>
      <c r="E15" s="2892">
        <v>0</v>
      </c>
      <c r="F15" s="93">
        <f>B15*Weights!$K$12</f>
        <v>0</v>
      </c>
      <c r="G15" s="93">
        <f>C15*Weights!$K$12</f>
        <v>0</v>
      </c>
      <c r="H15" s="93">
        <f>D15*Weights!$K$12</f>
        <v>0</v>
      </c>
      <c r="I15" s="93">
        <f>E15*Weights!$K$12</f>
        <v>0</v>
      </c>
    </row>
    <row r="16" spans="1:9" ht="15">
      <c r="A16" s="42" t="s">
        <v>1700</v>
      </c>
      <c r="B16" s="2892">
        <v>0</v>
      </c>
      <c r="C16" s="2892">
        <v>0</v>
      </c>
      <c r="D16" s="2892">
        <v>0</v>
      </c>
      <c r="E16" s="2892">
        <v>0</v>
      </c>
      <c r="F16" s="93">
        <f>B16*Weights!$K$13</f>
        <v>0</v>
      </c>
      <c r="G16" s="93">
        <f>C16*Weights!$K$13</f>
        <v>0</v>
      </c>
      <c r="H16" s="93">
        <f>D16*Weights!$K$13</f>
        <v>0</v>
      </c>
      <c r="I16" s="93">
        <f>E16*Weights!$K$13</f>
        <v>0</v>
      </c>
    </row>
    <row r="17" spans="1:9" ht="15">
      <c r="A17" s="42" t="s">
        <v>583</v>
      </c>
      <c r="B17" s="2892">
        <v>0</v>
      </c>
      <c r="C17" s="2892">
        <v>0</v>
      </c>
      <c r="D17" s="2892">
        <v>0</v>
      </c>
      <c r="E17" s="2892">
        <v>0</v>
      </c>
      <c r="F17" s="93">
        <f>B17*Weights!$K$14</f>
        <v>0</v>
      </c>
      <c r="G17" s="93">
        <f>C17*Weights!$K$14</f>
        <v>0</v>
      </c>
      <c r="H17" s="93">
        <f>D17*Weights!$K$14</f>
        <v>0</v>
      </c>
      <c r="I17" s="93">
        <f>E17*Weights!$K$14</f>
        <v>0</v>
      </c>
    </row>
    <row r="18" spans="1:9" ht="15">
      <c r="A18" s="42" t="s">
        <v>2014</v>
      </c>
      <c r="B18" s="2892">
        <v>0</v>
      </c>
      <c r="C18" s="2892">
        <v>0</v>
      </c>
      <c r="D18" s="2892">
        <v>0</v>
      </c>
      <c r="E18" s="2892">
        <v>0</v>
      </c>
      <c r="F18" s="93">
        <f>B18*Weights!$K$15</f>
        <v>0</v>
      </c>
      <c r="G18" s="93">
        <f>C18*Weights!$K$15</f>
        <v>0</v>
      </c>
      <c r="H18" s="93">
        <f>D18*Weights!$K$15</f>
        <v>0</v>
      </c>
      <c r="I18" s="93">
        <f>E18*Weights!$K$15</f>
        <v>0</v>
      </c>
    </row>
    <row r="19" spans="1:9" ht="15">
      <c r="A19" s="42" t="s">
        <v>2015</v>
      </c>
      <c r="B19" s="2892">
        <v>0</v>
      </c>
      <c r="C19" s="2892">
        <v>0</v>
      </c>
      <c r="D19" s="2892">
        <v>0</v>
      </c>
      <c r="E19" s="2892">
        <v>0</v>
      </c>
      <c r="F19" s="93">
        <f>B19*Weights!$K$16</f>
        <v>0</v>
      </c>
      <c r="G19" s="93">
        <f>C19*Weights!$K$16</f>
        <v>0</v>
      </c>
      <c r="H19" s="93">
        <f>D19*Weights!$K$16</f>
        <v>0</v>
      </c>
      <c r="I19" s="93">
        <f>E19*Weights!$K$16</f>
        <v>0</v>
      </c>
    </row>
    <row r="20" spans="1:9" ht="15">
      <c r="A20" s="42" t="s">
        <v>501</v>
      </c>
      <c r="B20" s="2892">
        <v>0</v>
      </c>
      <c r="C20" s="2892">
        <v>0</v>
      </c>
      <c r="D20" s="2892">
        <v>0</v>
      </c>
      <c r="E20" s="2892">
        <v>0</v>
      </c>
      <c r="F20" s="2900">
        <f>SUM(F13:F19)</f>
        <v>0</v>
      </c>
      <c r="G20" s="2900">
        <f>SUM(G13:G19)</f>
        <v>0</v>
      </c>
      <c r="H20" s="2900">
        <f>SUM(H13:H19)</f>
        <v>0</v>
      </c>
      <c r="I20" s="2900">
        <f>SUM(I13:I19)</f>
        <v>0</v>
      </c>
    </row>
    <row r="21" spans="1:9" ht="15">
      <c r="A21" s="42" t="s">
        <v>535</v>
      </c>
      <c r="B21" s="2892">
        <v>0</v>
      </c>
      <c r="C21" s="2892">
        <v>0</v>
      </c>
      <c r="D21" s="2892">
        <v>0</v>
      </c>
      <c r="E21" s="2892">
        <v>0</v>
      </c>
    </row>
    <row r="22" spans="1:9" ht="15">
      <c r="A22" s="42" t="s">
        <v>536</v>
      </c>
      <c r="B22" s="2892">
        <v>0</v>
      </c>
      <c r="C22" s="2892">
        <v>0</v>
      </c>
      <c r="D22" s="2892">
        <v>0</v>
      </c>
      <c r="E22" s="2892">
        <v>0</v>
      </c>
    </row>
    <row r="23" spans="1:9" ht="15">
      <c r="A23" s="42" t="s">
        <v>538</v>
      </c>
      <c r="B23" s="2892">
        <v>0</v>
      </c>
      <c r="C23" s="2892">
        <v>0</v>
      </c>
      <c r="D23" s="2892">
        <v>0</v>
      </c>
      <c r="E23" s="2892">
        <v>0</v>
      </c>
    </row>
    <row r="24" spans="1:9" ht="15">
      <c r="A24" s="4538" t="s">
        <v>8774</v>
      </c>
      <c r="B24" s="2892">
        <v>0</v>
      </c>
      <c r="C24" s="2892">
        <v>0</v>
      </c>
      <c r="D24" s="2892">
        <v>0</v>
      </c>
      <c r="E24" s="2892">
        <v>0</v>
      </c>
    </row>
    <row r="25" spans="1:9" ht="15">
      <c r="A25" s="42" t="s">
        <v>824</v>
      </c>
      <c r="B25" s="2892">
        <v>0</v>
      </c>
      <c r="C25" s="2892">
        <v>0</v>
      </c>
      <c r="D25" s="2892">
        <v>0</v>
      </c>
      <c r="E25" s="2892">
        <v>0</v>
      </c>
    </row>
    <row r="26" spans="1:9" ht="15">
      <c r="A26" s="2891" t="s">
        <v>9412</v>
      </c>
      <c r="B26" s="2892">
        <v>0</v>
      </c>
      <c r="C26" s="2892">
        <v>0</v>
      </c>
      <c r="D26" s="2892">
        <v>0</v>
      </c>
      <c r="E26" s="2892">
        <v>0</v>
      </c>
    </row>
    <row r="27" spans="1:9" ht="15">
      <c r="A27" s="2891" t="s">
        <v>9413</v>
      </c>
      <c r="B27" s="2892">
        <v>0</v>
      </c>
      <c r="C27" s="2892">
        <v>0</v>
      </c>
      <c r="D27" s="2892">
        <v>0</v>
      </c>
      <c r="E27" s="2892">
        <v>0</v>
      </c>
    </row>
    <row r="28" spans="1:9" ht="15">
      <c r="A28" s="2891" t="s">
        <v>9414</v>
      </c>
      <c r="B28" s="2892">
        <v>0</v>
      </c>
      <c r="C28" s="2892">
        <v>0</v>
      </c>
      <c r="D28" s="2892">
        <v>0</v>
      </c>
      <c r="E28" s="2892">
        <v>0</v>
      </c>
    </row>
    <row r="29" spans="1:9" ht="15">
      <c r="A29" s="2891" t="s">
        <v>9415</v>
      </c>
      <c r="B29" s="2892">
        <v>0</v>
      </c>
      <c r="C29" s="2892">
        <v>0</v>
      </c>
      <c r="D29" s="2892">
        <v>0</v>
      </c>
      <c r="E29" s="2892">
        <v>0</v>
      </c>
    </row>
    <row r="30" spans="1:9" ht="15">
      <c r="A30" s="2891" t="s">
        <v>9416</v>
      </c>
      <c r="B30" s="2892">
        <v>0</v>
      </c>
      <c r="C30" s="2892">
        <v>0</v>
      </c>
      <c r="D30" s="2892">
        <v>0</v>
      </c>
      <c r="E30" s="2892">
        <v>0</v>
      </c>
    </row>
    <row r="31" spans="1:9" ht="15">
      <c r="A31" s="42" t="s">
        <v>540</v>
      </c>
      <c r="B31" s="2892">
        <v>0</v>
      </c>
      <c r="C31" s="2892">
        <v>0</v>
      </c>
      <c r="D31" s="2892">
        <v>0</v>
      </c>
      <c r="E31" s="2892">
        <v>0</v>
      </c>
    </row>
    <row r="32" spans="1:9" ht="15">
      <c r="A32" s="2891" t="s">
        <v>9417</v>
      </c>
      <c r="B32" s="2892">
        <v>0</v>
      </c>
      <c r="C32" s="2892">
        <v>0</v>
      </c>
      <c r="D32" s="2892">
        <v>0</v>
      </c>
      <c r="E32" s="2892">
        <v>0</v>
      </c>
    </row>
    <row r="33" spans="1:5" ht="15">
      <c r="A33" s="2891" t="s">
        <v>9418</v>
      </c>
      <c r="B33" s="2892">
        <v>0</v>
      </c>
      <c r="C33" s="2892">
        <v>0</v>
      </c>
      <c r="D33" s="2892">
        <v>0</v>
      </c>
      <c r="E33" s="2892">
        <v>0</v>
      </c>
    </row>
    <row r="34" spans="1:5" ht="15">
      <c r="A34" s="2891" t="s">
        <v>9419</v>
      </c>
      <c r="B34" s="2892">
        <v>0</v>
      </c>
      <c r="C34" s="2892">
        <v>0</v>
      </c>
      <c r="D34" s="2892">
        <v>0</v>
      </c>
      <c r="E34" s="2892">
        <v>0</v>
      </c>
    </row>
    <row r="35" spans="1:5" ht="15">
      <c r="A35" s="2891" t="s">
        <v>9039</v>
      </c>
      <c r="B35" s="2892">
        <v>0</v>
      </c>
      <c r="C35" s="2892">
        <f>C11*0.05</f>
        <v>0</v>
      </c>
      <c r="D35" s="2892">
        <f>D11*0.05</f>
        <v>0</v>
      </c>
      <c r="E35" s="2892">
        <f>E11*0.05</f>
        <v>0</v>
      </c>
    </row>
    <row r="39" spans="1:5" ht="15.75">
      <c r="B39" s="4539" t="s">
        <v>8690</v>
      </c>
      <c r="C39" s="4539" t="s">
        <v>8690</v>
      </c>
      <c r="D39" s="4539" t="s">
        <v>8690</v>
      </c>
      <c r="E39" s="4539" t="s">
        <v>8690</v>
      </c>
    </row>
    <row r="40" spans="1:5" ht="15.75">
      <c r="A40" s="4540" t="s">
        <v>8702</v>
      </c>
      <c r="B40" s="2898" t="s">
        <v>8682</v>
      </c>
      <c r="C40" s="2898" t="s">
        <v>8683</v>
      </c>
      <c r="D40" s="2898" t="s">
        <v>8684</v>
      </c>
      <c r="E40" s="2899" t="s">
        <v>8685</v>
      </c>
    </row>
    <row r="41" spans="1:5" ht="15.75">
      <c r="A41" s="2897" t="s">
        <v>2823</v>
      </c>
      <c r="B41" s="2901">
        <f>B$68*Assumptions!$H$118</f>
        <v>0</v>
      </c>
      <c r="C41" s="2901">
        <f>C$68*Assumptions!$H$118</f>
        <v>0</v>
      </c>
      <c r="D41" s="2901">
        <f>D$68*Assumptions!$H$118</f>
        <v>0</v>
      </c>
      <c r="E41" s="2901">
        <f>E$68*Assumptions!$H$118</f>
        <v>0</v>
      </c>
    </row>
    <row r="42" spans="1:5" ht="15.75">
      <c r="A42" s="2897" t="s">
        <v>9411</v>
      </c>
      <c r="B42" s="4537" t="e">
        <f>'SOF1920-HB3'!$I$21*(B$68/'Calc Data'!$F$12)</f>
        <v>#DIV/0!</v>
      </c>
      <c r="C42" s="4537" t="e">
        <f>'SOF1920-HB3'!$I$21*(C$68/'Calc Data'!$F$12)</f>
        <v>#DIV/0!</v>
      </c>
      <c r="D42" s="4537" t="e">
        <f>'SOF1920-HB3'!$I$21*(D$68/'Calc Data'!$F$12)</f>
        <v>#DIV/0!</v>
      </c>
      <c r="E42" s="4537" t="e">
        <f>'SOF1920-HB3'!$I$21*(E$68/'Calc Data'!$F$12)</f>
        <v>#DIV/0!</v>
      </c>
    </row>
    <row r="43" spans="1:5" ht="15.75">
      <c r="A43" s="2897" t="s">
        <v>2828</v>
      </c>
      <c r="B43" s="2901">
        <f>(B$67*('Calc Data'!$F$95+Assumptions!$H$118))+(B$20*'Weights-HB3'!$G$14*('Calc Data'!$F$95+Assumptions!$H$118))+(B$21*'Weights-HB3'!$G$15*('Calc Data'!$F$95+Assumptions!$H$118))+(B$22*'Weights-HB3'!$G$16*('Calc Data'!$F$95+Assumptions!$H$118))+(B$23*'Weights-HB3'!$G$18*('Calc Data'!$F$95+Assumptions!$H$118))</f>
        <v>0</v>
      </c>
      <c r="C43" s="2901">
        <f>(C$67*('Calc Data'!$F$95+Assumptions!$H$118))+(C$20*'Weights-HB3'!$G$14*('Calc Data'!$F$95+Assumptions!$H$118))+(C$21*'Weights-HB3'!$G$15*('Calc Data'!$F$95+Assumptions!$H$118))+(C$22*'Weights-HB3'!$G$16*('Calc Data'!$F$95+Assumptions!$H$118))+(C$23*'Weights-HB3'!$G$18*('Calc Data'!$F$95+Assumptions!$H$118))</f>
        <v>0</v>
      </c>
      <c r="D43" s="2901">
        <f>(D$67*('Calc Data'!$F$95+Assumptions!$H$118))+(D$20*'Weights-HB3'!$G$14*('Calc Data'!$F$95+Assumptions!$H$118))+(D$21*'Weights-HB3'!$G$15*('Calc Data'!$F$95+Assumptions!$H$118))+(D$22*'Weights-HB3'!$G$16*('Calc Data'!$F$95+Assumptions!$H$118))+(D$23*'Weights-HB3'!$G$18*('Calc Data'!$F$95+Assumptions!$H$118))</f>
        <v>0</v>
      </c>
      <c r="E43" s="2901">
        <f>(E$67*('Calc Data'!$F$95+Assumptions!$H$118))+(E$20*'Weights-HB3'!$G$14*('Calc Data'!$F$95+Assumptions!$H$118))+(E$21*'Weights-HB3'!$G$15*('Calc Data'!$F$95+Assumptions!$H$118))+(E$22*'Weights-HB3'!$G$16*('Calc Data'!$F$95+Assumptions!$H$118))+(E$23*'Weights-HB3'!$G$18*('Calc Data'!$F$95+Assumptions!$H$118))</f>
        <v>0</v>
      </c>
    </row>
    <row r="44" spans="1:5" ht="15.75">
      <c r="A44" s="2897" t="s">
        <v>8775</v>
      </c>
      <c r="B44" s="4537">
        <f>B$24*'Weights-HB3'!$G$69*Assumptions!$H$118</f>
        <v>0</v>
      </c>
      <c r="C44" s="4537">
        <f>C$24*'Weights-HB3'!$G$69*Assumptions!$H$118</f>
        <v>0</v>
      </c>
      <c r="D44" s="4537">
        <f>D$24*'Weights-HB3'!$G$69*Assumptions!$H$118</f>
        <v>0</v>
      </c>
      <c r="E44" s="4537">
        <f>E$24*'Weights-HB3'!$G$69*Assumptions!$H$118</f>
        <v>0</v>
      </c>
    </row>
    <row r="45" spans="1:5" ht="15.75">
      <c r="A45" s="2897" t="s">
        <v>8687</v>
      </c>
      <c r="B45" s="2901">
        <f>B$25*Assumptions!$H$118*'Weights-HB3'!$G$20</f>
        <v>0</v>
      </c>
      <c r="C45" s="2901">
        <f>C$25*Assumptions!$H$118*'Weights-HB3'!$G$20</f>
        <v>0</v>
      </c>
      <c r="D45" s="2901">
        <f>D$25*Assumptions!$H$118*'Weights-HB3'!$G$20</f>
        <v>0</v>
      </c>
      <c r="E45" s="2901">
        <f>E$25*Assumptions!$H$118*'Weights-HB3'!$G$20</f>
        <v>0</v>
      </c>
    </row>
    <row r="46" spans="1:5" ht="15.75">
      <c r="A46" s="2897" t="s">
        <v>8688</v>
      </c>
      <c r="B46" s="2901">
        <f>(B$26*Assumptions!$H$118*'Weights-HB3'!$G$33)+(B$27*Assumptions!$H$118*'Weights-HB3'!$G$34)+(B$28*Assumptions!$H$118*'Weights-HB3'!$G$35)+(B$29*Assumptions!$H$118*'Weights-HB3'!$G$36)+(B$30*Assumptions!$H$118*'Weights-HB3'!$G$37)+(B$31*Assumptions!$H$118*'Weights-HB3'!$G$40)</f>
        <v>0</v>
      </c>
      <c r="C46" s="2901">
        <f>(C$26*Assumptions!$H$118*'Weights-HB3'!$G$33)+(C$27*Assumptions!$H$118*'Weights-HB3'!$G$34)+(C$28*Assumptions!$H$118*'Weights-HB3'!$G$35)+(C$29*Assumptions!$H$118*'Weights-HB3'!$G$36)+(C$30*Assumptions!$H$118*'Weights-HB3'!$G$37)+(C$31*Assumptions!$H$118*'Weights-HB3'!$G$40)</f>
        <v>0</v>
      </c>
      <c r="D46" s="2901">
        <f>(D$26*Assumptions!$H$118*'Weights-HB3'!$G$33)+(D$27*Assumptions!$H$118*'Weights-HB3'!$G$34)+(D$28*Assumptions!$H$118*'Weights-HB3'!$G$35)+(D$29*Assumptions!$H$118*'Weights-HB3'!$G$36)+(D$30*Assumptions!$H$118*'Weights-HB3'!$G$37)+(D$31*Assumptions!$H$118*'Weights-HB3'!$G$40)</f>
        <v>0</v>
      </c>
      <c r="E46" s="2901">
        <f>(E$26*Assumptions!$H$118*'Weights-HB3'!$G$33)+(E$27*Assumptions!$H$118*'Weights-HB3'!$G$34)+(E$28*Assumptions!$H$118*'Weights-HB3'!$G$35)+(E$29*Assumptions!$H$118*'Weights-HB3'!$G$36)+(E$30*Assumptions!$H$118*'Weights-HB3'!$G$37)+(E$31*Assumptions!$H$118*'Weights-HB3'!$G$40)</f>
        <v>0</v>
      </c>
    </row>
    <row r="47" spans="1:5" ht="15.75">
      <c r="A47" s="2897" t="s">
        <v>8689</v>
      </c>
      <c r="B47" s="2901">
        <f>(B$32*Assumptions!$H$118*'Weights-HB3'!$G$23)+(B$33*Assumptions!$H$118*'Weights-HB3'!$G$24)+(B$34*Assumptions!$H$118*'Weights-HB3'!$G$25)</f>
        <v>0</v>
      </c>
      <c r="C47" s="2901">
        <f>(C$32*Assumptions!$H$118*'Weights-HB3'!$G$23)+(C$33*Assumptions!$H$118*'Weights-HB3'!$G$24)+(C$34*Assumptions!$H$118*'Weights-HB3'!$G$25)</f>
        <v>0</v>
      </c>
      <c r="D47" s="2901">
        <f>(D$32*Assumptions!$H$118*'Weights-HB3'!$G$23)+(D$33*Assumptions!$H$118*'Weights-HB3'!$G$24)+(D$34*Assumptions!$H$118*'Weights-HB3'!$G$25)</f>
        <v>0</v>
      </c>
      <c r="E47" s="2901">
        <f>(E$32*Assumptions!$H$118*'Weights-HB3'!$G$23)+(E$33*Assumptions!$H$118*'Weights-HB3'!$G$24)+(E$34*Assumptions!$H$118*'Weights-HB3'!$G$25)</f>
        <v>0</v>
      </c>
    </row>
    <row r="48" spans="1:5" ht="15.75">
      <c r="A48" s="2897" t="s">
        <v>9038</v>
      </c>
      <c r="B48" s="2901">
        <f>B$35*Assumptions!$H$118*'Weights-HB3'!$G$71</f>
        <v>0</v>
      </c>
      <c r="C48" s="2901">
        <f>C$35*Assumptions!$H$118*'Weights-HB3'!$G$71</f>
        <v>0</v>
      </c>
      <c r="D48" s="2901">
        <f>D$35*Assumptions!$H$118*'Weights-HB3'!$G$71</f>
        <v>0</v>
      </c>
      <c r="E48" s="2901">
        <f>E$35*Assumptions!$H$118*'Weights-HB3'!$G$71</f>
        <v>0</v>
      </c>
    </row>
    <row r="49" spans="1:6" ht="15.75">
      <c r="A49" s="2897" t="s">
        <v>8942</v>
      </c>
      <c r="B49" s="4537" t="e">
        <f>'SOF1920-HB3'!$I$54*(B$11/'Calc Data'!$F$7)</f>
        <v>#DIV/0!</v>
      </c>
      <c r="C49" s="4537" t="e">
        <f>'SOF1920-HB3'!$I$54*(C$11/'Calc Data'!$F$7)</f>
        <v>#DIV/0!</v>
      </c>
      <c r="D49" s="4537" t="e">
        <f>'SOF1920-HB3'!$I$54*(D$11/'Calc Data'!$F$7)</f>
        <v>#DIV/0!</v>
      </c>
      <c r="E49" s="4537" t="e">
        <f>'SOF1920-HB3'!$I$54*(E$11/'Calc Data'!$F$7)</f>
        <v>#DIV/0!</v>
      </c>
    </row>
    <row r="50" spans="1:6" ht="15.75">
      <c r="A50" s="2897" t="s">
        <v>2451</v>
      </c>
      <c r="B50" s="2901" t="e">
        <f>SUM(B41:B49)</f>
        <v>#DIV/0!</v>
      </c>
      <c r="C50" s="2901" t="e">
        <f>SUM(C41:C49)</f>
        <v>#DIV/0!</v>
      </c>
      <c r="D50" s="2901" t="e">
        <f>SUM(D41:D49)</f>
        <v>#DIV/0!</v>
      </c>
      <c r="E50" s="2901" t="e">
        <f>SUM(E41:E49)</f>
        <v>#DIV/0!</v>
      </c>
    </row>
    <row r="52" spans="1:6" ht="15.75">
      <c r="B52" s="4539" t="s">
        <v>8691</v>
      </c>
      <c r="C52" s="4539" t="s">
        <v>8691</v>
      </c>
      <c r="D52" s="4539" t="s">
        <v>8691</v>
      </c>
      <c r="E52" s="4539" t="s">
        <v>8691</v>
      </c>
      <c r="F52" s="394" t="s">
        <v>8731</v>
      </c>
    </row>
    <row r="53" spans="1:6">
      <c r="B53" s="2898" t="s">
        <v>8682</v>
      </c>
      <c r="C53" s="2898" t="s">
        <v>8683</v>
      </c>
      <c r="D53" s="2898" t="s">
        <v>8684</v>
      </c>
      <c r="E53" s="2899" t="s">
        <v>8685</v>
      </c>
      <c r="F53" s="2934" t="s">
        <v>9410</v>
      </c>
    </row>
    <row r="54" spans="1:6" ht="15.75">
      <c r="A54" s="2897" t="s">
        <v>2823</v>
      </c>
      <c r="B54" s="2901">
        <f>B$68*$F$54</f>
        <v>0</v>
      </c>
      <c r="C54" s="2901">
        <f t="shared" ref="C54:E54" si="0">C$68*$F$54</f>
        <v>0</v>
      </c>
      <c r="D54" s="2901">
        <f t="shared" si="0"/>
        <v>0</v>
      </c>
      <c r="E54" s="2901">
        <f t="shared" si="0"/>
        <v>0</v>
      </c>
      <c r="F54" s="2965">
        <v>6153</v>
      </c>
    </row>
    <row r="55" spans="1:6" ht="15.75">
      <c r="A55" s="2897" t="s">
        <v>9411</v>
      </c>
      <c r="B55" s="4537">
        <f>$F$56*B$68</f>
        <v>0</v>
      </c>
      <c r="C55" s="4537">
        <f>$F$56*C$68</f>
        <v>0</v>
      </c>
      <c r="D55" s="4537">
        <f t="shared" ref="D55:E55" si="1">$F$56*D$68</f>
        <v>0</v>
      </c>
      <c r="E55" s="4537">
        <f t="shared" si="1"/>
        <v>0</v>
      </c>
      <c r="F55" s="2934" t="s">
        <v>9420</v>
      </c>
    </row>
    <row r="56" spans="1:6" ht="15.75">
      <c r="A56" s="2897" t="s">
        <v>2828</v>
      </c>
      <c r="B56" s="2901">
        <f>(B$67*$F$54)+(B$20*'Weights-HB3'!$G$14*$F$54+(B$21*'Weights-HB3'!$G$15*$F$54)+(B$22*'Weights-HB3'!$G$16*$F$54)+(B$23*'Weights-HB3'!$G$18*$F$54))</f>
        <v>0</v>
      </c>
      <c r="C56" s="2901">
        <f>(C$67*$F$54)+(C$20*'Weights-HB3'!$G$14*$F$54+(C$21*'Weights-HB3'!$G$15*$F$54)+(C$22*'Weights-HB3'!$G$16*$F$54)+(C$23*'Weights-HB3'!$G$18*$F$54))</f>
        <v>0</v>
      </c>
      <c r="D56" s="2901">
        <f>(D$67*$F$54)+(D$20*'Weights-HB3'!$G$14*$F$54+(D$21*'Weights-HB3'!$G$15*$F$54)+(D$22*'Weights-HB3'!$G$16*$F$54)+(D$23*'Weights-HB3'!$G$18*$F$54))</f>
        <v>0</v>
      </c>
      <c r="E56" s="2901">
        <f>(E$67*$F$54)+(E$20*'Weights-HB3'!$G$14*$F$54+(E$21*'Weights-HB3'!$G$15*$F$54)+(E$22*'Weights-HB3'!$G$16*$F$54)+(E$23*'Weights-HB3'!$G$18*$F$54))</f>
        <v>0</v>
      </c>
      <c r="F56" s="2965">
        <v>1058</v>
      </c>
    </row>
    <row r="57" spans="1:6" ht="15.75">
      <c r="A57" s="2897" t="s">
        <v>8775</v>
      </c>
      <c r="B57" s="4537">
        <f>B$24*'Weights-HB3'!$G$69*$F$54</f>
        <v>0</v>
      </c>
      <c r="C57" s="4537">
        <f>C$24*'Weights-HB3'!$G$69*$F$54</f>
        <v>0</v>
      </c>
      <c r="D57" s="4537">
        <f>D$24*'Weights-HB3'!$G$69*$F$54</f>
        <v>0</v>
      </c>
      <c r="E57" s="4537">
        <f>E$24*'Weights-HB3'!$G$69*$F$54</f>
        <v>0</v>
      </c>
    </row>
    <row r="58" spans="1:6" ht="15.75">
      <c r="A58" s="2897" t="s">
        <v>8687</v>
      </c>
      <c r="B58" s="2901">
        <f>B$25*$F$54*'Weights-HB3'!$G$20</f>
        <v>0</v>
      </c>
      <c r="C58" s="2901">
        <f>C$25*$F$54*'Weights-HB3'!$G$20</f>
        <v>0</v>
      </c>
      <c r="D58" s="2901">
        <f>D$25*$F$54*'Weights-HB3'!$G$20</f>
        <v>0</v>
      </c>
      <c r="E58" s="2901">
        <f>E$25*$F$54*'Weights-HB3'!$G$20</f>
        <v>0</v>
      </c>
    </row>
    <row r="59" spans="1:6" ht="15.75">
      <c r="A59" s="2897" t="s">
        <v>8688</v>
      </c>
      <c r="B59" s="2901">
        <f>(B$26*$F$54*'Weights-HB3'!$G$33)+(B$27*$F$54*'Weights-HB3'!$G$34)+(B$28*$F$54*'Weights-HB3'!$G$35)+(B$29*$F$54*'Weights-HB3'!$G$36)+(B$30*$F$54*'Weights-HB3'!$G$37)+(B$31*$F$54*'Weights-HB3'!$G$40)</f>
        <v>0</v>
      </c>
      <c r="C59" s="2901">
        <f>(C$26*$F$54*'Weights-HB3'!$G$33)+(C$27*$F$54*'Weights-HB3'!$G$34)+(C$28*$F$54*'Weights-HB3'!$G$35)+(C$29*$F$54*'Weights-HB3'!$G$36)+(C$30*$F$54*'Weights-HB3'!$G$37)+(C$31*$F$54*'Weights-HB3'!$G$40)</f>
        <v>0</v>
      </c>
      <c r="D59" s="2901">
        <f>(D$26*$F$54*'Weights-HB3'!$G$33)+(D$27*$F$54*'Weights-HB3'!$G$34)+(D$28*$F$54*'Weights-HB3'!$G$35)+(D$29*$F$54*'Weights-HB3'!$G$36)+(D$30*$F$54*'Weights-HB3'!$G$37)+(D$31*$F$54*'Weights-HB3'!$G$40)</f>
        <v>0</v>
      </c>
      <c r="E59" s="2901">
        <f>(E$26*$F$54*'Weights-HB3'!$G$33)+(E$27*$F$54*'Weights-HB3'!$G$34)+(E$28*$F$54*'Weights-HB3'!$G$35)+(E$29*$F$54*'Weights-HB3'!$G$36)+(E$30*$F$54*'Weights-HB3'!$G$37)+(E$31*$F$54*'Weights-HB3'!$G$40)</f>
        <v>0</v>
      </c>
    </row>
    <row r="60" spans="1:6" ht="15.75">
      <c r="A60" s="2897" t="s">
        <v>8689</v>
      </c>
      <c r="B60" s="2901">
        <f>(B$32*$F$54*'Weights-HB3'!$G$23)+(B$33*$F$54*'Weights-HB3'!$G$24)+(B$34*$F$54*'Weights-HB3'!$G$25)</f>
        <v>0</v>
      </c>
      <c r="C60" s="2901">
        <f>(C$32*$F$54*'Weights-HB3'!$G$23)+(C$33*$F$54*'Weights-HB3'!$G$24)+(C$34*$F$54*'Weights-HB3'!$G$25)</f>
        <v>0</v>
      </c>
      <c r="D60" s="2901">
        <f>(D$32*$F$54*'Weights-HB3'!$G$23)+(D$33*$F$54*'Weights-HB3'!$G$24)+(D$34*$F$54*'Weights-HB3'!$G$25)</f>
        <v>0</v>
      </c>
      <c r="E60" s="2901">
        <f>(E$32*$F$54*'Weights-HB3'!$G$23)+(E$33*$F$54*'Weights-HB3'!$G$24)+(E$34*$F$54*'Weights-HB3'!$G$25)</f>
        <v>0</v>
      </c>
    </row>
    <row r="61" spans="1:6" ht="15.75">
      <c r="A61" s="2897" t="s">
        <v>9038</v>
      </c>
      <c r="B61" s="2901">
        <f>B$35*$F$54*'Weights-HB3'!$G$71</f>
        <v>0</v>
      </c>
      <c r="C61" s="2901">
        <f>C$35*$F$54*'Weights-HB3'!$G$71</f>
        <v>0</v>
      </c>
      <c r="D61" s="2901">
        <f>D$35*$F$54*'Weights-HB3'!$G$71</f>
        <v>0</v>
      </c>
      <c r="E61" s="2901">
        <f>E$35*$F$54*'Weights-HB3'!$G$71</f>
        <v>0</v>
      </c>
    </row>
    <row r="62" spans="1:6" ht="15.75">
      <c r="A62" s="2897" t="s">
        <v>8942</v>
      </c>
      <c r="B62" s="4537">
        <v>0</v>
      </c>
      <c r="C62" s="4537">
        <v>0</v>
      </c>
      <c r="D62" s="4537">
        <v>0</v>
      </c>
      <c r="E62" s="4537">
        <v>0</v>
      </c>
    </row>
    <row r="63" spans="1:6" ht="15.75">
      <c r="A63" s="2897" t="s">
        <v>2451</v>
      </c>
      <c r="B63" s="2901">
        <f>SUM(B54:B62)</f>
        <v>0</v>
      </c>
      <c r="C63" s="2901">
        <f t="shared" ref="C63:E63" si="2">SUM(C54:C62)</f>
        <v>0</v>
      </c>
      <c r="D63" s="2901">
        <f t="shared" si="2"/>
        <v>0</v>
      </c>
      <c r="E63" s="2901">
        <f t="shared" si="2"/>
        <v>0</v>
      </c>
    </row>
    <row r="66" spans="1:6">
      <c r="A66" t="s">
        <v>8692</v>
      </c>
      <c r="B66" s="2900">
        <f>SUM(B13:B20)+B22</f>
        <v>0</v>
      </c>
      <c r="C66" s="2900">
        <f>SUM(C13:C20)+C22</f>
        <v>0</v>
      </c>
      <c r="D66" s="2900">
        <f>SUM(D13:D20)+D22</f>
        <v>0</v>
      </c>
      <c r="E66" s="2900">
        <f>SUM(E13:E20)+E22</f>
        <v>0</v>
      </c>
    </row>
    <row r="67" spans="1:6">
      <c r="A67" t="s">
        <v>8693</v>
      </c>
      <c r="B67" s="2900">
        <f>F20</f>
        <v>0</v>
      </c>
      <c r="C67" s="2900">
        <f>G20</f>
        <v>0</v>
      </c>
      <c r="D67" s="2900">
        <f>H20</f>
        <v>0</v>
      </c>
      <c r="E67" s="2900">
        <f>I20</f>
        <v>0</v>
      </c>
    </row>
    <row r="68" spans="1:6">
      <c r="A68" t="s">
        <v>8694</v>
      </c>
      <c r="B68" s="2900">
        <f>B11-B66-B25</f>
        <v>0</v>
      </c>
      <c r="C68" s="2900">
        <f>C11-C66-C25</f>
        <v>0</v>
      </c>
      <c r="D68" s="2900">
        <f>D11-D66-D25</f>
        <v>0</v>
      </c>
      <c r="E68" s="2900">
        <f>E11-E66-E25</f>
        <v>0</v>
      </c>
    </row>
    <row r="71" spans="1:6" s="382" customFormat="1" ht="15.75">
      <c r="A71" s="4540" t="s">
        <v>3087</v>
      </c>
    </row>
    <row r="72" spans="1:6" s="382" customFormat="1" ht="15.75">
      <c r="B72" s="4539" t="s">
        <v>8690</v>
      </c>
      <c r="C72" s="4539" t="s">
        <v>8690</v>
      </c>
      <c r="D72" s="4539" t="s">
        <v>8690</v>
      </c>
      <c r="E72" s="4539" t="s">
        <v>8690</v>
      </c>
    </row>
    <row r="73" spans="1:6" s="382" customFormat="1" ht="15.75">
      <c r="B73" s="2906" t="s">
        <v>8682</v>
      </c>
      <c r="C73" s="2906" t="s">
        <v>8683</v>
      </c>
      <c r="D73" s="2906" t="s">
        <v>8684</v>
      </c>
      <c r="E73" s="2907" t="s">
        <v>8685</v>
      </c>
    </row>
    <row r="74" spans="1:6" s="382" customFormat="1" ht="15.75">
      <c r="A74" s="2902" t="s">
        <v>8703</v>
      </c>
      <c r="B74" s="2911" t="e">
        <f>Assumptions!$H$119*B$86*'Calc Data'!$F$104*100</f>
        <v>#DIV/0!</v>
      </c>
      <c r="C74" s="2911" t="e">
        <f>Assumptions!$H$119*C$86*'Calc Data'!$F$104*100</f>
        <v>#DIV/0!</v>
      </c>
      <c r="D74" s="2911" t="e">
        <f>Assumptions!$H$119*D$86*'Calc Data'!$F$104*100</f>
        <v>#DIV/0!</v>
      </c>
      <c r="E74" s="2911" t="e">
        <f>Assumptions!$H$119*E$86*'Calc Data'!$F$104*100</f>
        <v>#DIV/0!</v>
      </c>
    </row>
    <row r="75" spans="1:6" s="382" customFormat="1" ht="15.75">
      <c r="A75" s="2902" t="s">
        <v>8704</v>
      </c>
      <c r="B75" s="2911" t="e">
        <f>Assumptions!$H$120*B$86*'Calc Data'!$F$109*100</f>
        <v>#DIV/0!</v>
      </c>
      <c r="C75" s="2911" t="e">
        <f>Assumptions!$H$120*C$86*'Calc Data'!$F$109*100</f>
        <v>#DIV/0!</v>
      </c>
      <c r="D75" s="2911" t="e">
        <f>Assumptions!$H$120*D$86*'Calc Data'!$F$109*100</f>
        <v>#DIV/0!</v>
      </c>
      <c r="E75" s="2911" t="e">
        <f>Assumptions!$H$120*E$86*'Calc Data'!$F$109*100</f>
        <v>#DIV/0!</v>
      </c>
    </row>
    <row r="76" spans="1:6" s="382" customFormat="1" ht="15.75">
      <c r="A76" s="2902" t="s">
        <v>2451</v>
      </c>
      <c r="B76" s="2908" t="e">
        <f>B74+B75</f>
        <v>#DIV/0!</v>
      </c>
      <c r="C76" s="2908" t="e">
        <f t="shared" ref="C76:E76" si="3">C74+C75</f>
        <v>#DIV/0!</v>
      </c>
      <c r="D76" s="2908" t="e">
        <f t="shared" si="3"/>
        <v>#DIV/0!</v>
      </c>
      <c r="E76" s="2908" t="e">
        <f t="shared" si="3"/>
        <v>#DIV/0!</v>
      </c>
    </row>
    <row r="77" spans="1:6" s="382" customFormat="1" ht="15.75">
      <c r="A77" s="2902"/>
    </row>
    <row r="78" spans="1:6" s="382" customFormat="1" ht="15.75">
      <c r="A78" s="2902"/>
      <c r="B78" s="4539" t="s">
        <v>8691</v>
      </c>
      <c r="C78" s="4539" t="s">
        <v>8691</v>
      </c>
      <c r="D78" s="4539" t="s">
        <v>8691</v>
      </c>
      <c r="E78" s="4539" t="s">
        <v>8691</v>
      </c>
    </row>
    <row r="79" spans="1:6" s="382" customFormat="1" ht="15.75">
      <c r="A79" s="2902"/>
      <c r="B79" s="2898" t="s">
        <v>8682</v>
      </c>
      <c r="C79" s="2898" t="s">
        <v>8683</v>
      </c>
      <c r="D79" s="2898" t="s">
        <v>8684</v>
      </c>
      <c r="E79" s="2899" t="s">
        <v>8685</v>
      </c>
      <c r="F79" s="394" t="s">
        <v>8731</v>
      </c>
    </row>
    <row r="80" spans="1:6" s="382" customFormat="1" ht="15.75">
      <c r="A80" s="2902" t="s">
        <v>8703</v>
      </c>
      <c r="B80" s="2911">
        <f>Assumptions!$H$119*B$90*$F$81*100</f>
        <v>0</v>
      </c>
      <c r="C80" s="2911">
        <f>Assumptions!$H$119*C$90*$F$81*100</f>
        <v>0</v>
      </c>
      <c r="D80" s="2911">
        <f>Assumptions!$H$119*D$90*$F$81*100</f>
        <v>0</v>
      </c>
      <c r="E80" s="2911">
        <f>Assumptions!$H$119*E$90*$F$81*100</f>
        <v>0</v>
      </c>
      <c r="F80" s="4541" t="s">
        <v>8705</v>
      </c>
    </row>
    <row r="81" spans="1:7" s="382" customFormat="1" ht="15.75">
      <c r="A81" s="2902" t="s">
        <v>8704</v>
      </c>
      <c r="B81" s="2911">
        <f>Assumptions!$H$120*B$90*$F$82*100</f>
        <v>0</v>
      </c>
      <c r="C81" s="2911">
        <f>Assumptions!$H$120*C$90*$F$82*100</f>
        <v>0</v>
      </c>
      <c r="D81" s="2911">
        <f>Assumptions!$H$120*D$90*$F$82*100</f>
        <v>0</v>
      </c>
      <c r="E81" s="2911">
        <f>Assumptions!$H$120*E$90*$F$82*100</f>
        <v>0</v>
      </c>
      <c r="F81" s="2909">
        <v>5.9400000000000001E-2</v>
      </c>
    </row>
    <row r="82" spans="1:7" s="382" customFormat="1" ht="15.75">
      <c r="A82" s="2902" t="s">
        <v>2451</v>
      </c>
      <c r="B82" s="2911">
        <f>B80+B81</f>
        <v>0</v>
      </c>
      <c r="C82" s="2911">
        <f t="shared" ref="C82:E82" si="4">C80+C81</f>
        <v>0</v>
      </c>
      <c r="D82" s="2911">
        <f t="shared" si="4"/>
        <v>0</v>
      </c>
      <c r="E82" s="2911">
        <f t="shared" si="4"/>
        <v>0</v>
      </c>
      <c r="F82" s="2910">
        <v>2.64E-2</v>
      </c>
    </row>
    <row r="83" spans="1:7" s="382" customFormat="1" ht="15.75">
      <c r="A83" s="2902"/>
    </row>
    <row r="84" spans="1:7" s="382" customFormat="1" ht="15.75">
      <c r="A84" s="2902"/>
      <c r="B84" s="4539" t="s">
        <v>8690</v>
      </c>
      <c r="C84" s="4539" t="s">
        <v>8690</v>
      </c>
      <c r="D84" s="4539" t="s">
        <v>8690</v>
      </c>
      <c r="E84" s="4539" t="s">
        <v>8690</v>
      </c>
    </row>
    <row r="85" spans="1:7" s="382" customFormat="1" ht="15.75">
      <c r="A85" s="2913" t="s">
        <v>8713</v>
      </c>
      <c r="B85" s="2935">
        <f>Assumptions!H118</f>
        <v>0</v>
      </c>
      <c r="C85" s="2916">
        <f t="shared" ref="C85:E85" si="5">B85</f>
        <v>0</v>
      </c>
      <c r="D85" s="2916">
        <f t="shared" si="5"/>
        <v>0</v>
      </c>
      <c r="E85" s="2916">
        <f t="shared" si="5"/>
        <v>0</v>
      </c>
    </row>
    <row r="86" spans="1:7" s="382" customFormat="1" ht="15.75">
      <c r="A86" s="2913" t="s">
        <v>2572</v>
      </c>
      <c r="B86" s="2912" t="e">
        <f>B50/B85</f>
        <v>#DIV/0!</v>
      </c>
      <c r="C86" s="2912" t="e">
        <f t="shared" ref="C86:E86" si="6">C50/C85</f>
        <v>#DIV/0!</v>
      </c>
      <c r="D86" s="2912" t="e">
        <f t="shared" si="6"/>
        <v>#DIV/0!</v>
      </c>
      <c r="E86" s="2912" t="e">
        <f t="shared" si="6"/>
        <v>#DIV/0!</v>
      </c>
    </row>
    <row r="87" spans="1:7" s="382" customFormat="1" ht="15.75">
      <c r="A87" s="2902"/>
    </row>
    <row r="88" spans="1:7" s="382" customFormat="1" ht="15.75">
      <c r="A88" s="2902"/>
      <c r="B88" s="4539" t="s">
        <v>8691</v>
      </c>
      <c r="C88" s="4539" t="s">
        <v>8691</v>
      </c>
      <c r="D88" s="4539" t="s">
        <v>8691</v>
      </c>
      <c r="E88" s="4539" t="s">
        <v>8691</v>
      </c>
    </row>
    <row r="89" spans="1:7" s="382" customFormat="1" ht="15.75">
      <c r="A89" s="2913" t="s">
        <v>9421</v>
      </c>
      <c r="B89" s="4543">
        <f>F54</f>
        <v>6153</v>
      </c>
      <c r="C89" s="2911">
        <f t="shared" ref="C89:E89" si="7">B89</f>
        <v>6153</v>
      </c>
      <c r="D89" s="2911">
        <f t="shared" si="7"/>
        <v>6153</v>
      </c>
      <c r="E89" s="2911">
        <f t="shared" si="7"/>
        <v>6153</v>
      </c>
    </row>
    <row r="90" spans="1:7" s="382" customFormat="1" ht="15.75">
      <c r="A90" s="2913" t="s">
        <v>2572</v>
      </c>
      <c r="B90" s="2912">
        <f>B63/B89</f>
        <v>0</v>
      </c>
      <c r="C90" s="2912">
        <f t="shared" ref="C90:E90" si="8">C63/C89</f>
        <v>0</v>
      </c>
      <c r="D90" s="2912">
        <f t="shared" si="8"/>
        <v>0</v>
      </c>
      <c r="E90" s="2912">
        <f t="shared" si="8"/>
        <v>0</v>
      </c>
    </row>
    <row r="91" spans="1:7" s="382" customFormat="1" ht="15"/>
    <row r="92" spans="1:7" s="382" customFormat="1" ht="15.75">
      <c r="A92" s="2905" t="s">
        <v>2867</v>
      </c>
    </row>
    <row r="93" spans="1:7" s="382" customFormat="1" ht="15.75">
      <c r="B93" s="4539" t="s">
        <v>8691</v>
      </c>
      <c r="C93" s="4539" t="s">
        <v>8691</v>
      </c>
      <c r="D93" s="4539" t="s">
        <v>8691</v>
      </c>
      <c r="E93" s="4539" t="s">
        <v>8691</v>
      </c>
      <c r="F93" s="394" t="s">
        <v>8731</v>
      </c>
    </row>
    <row r="94" spans="1:7" s="382" customFormat="1" ht="15">
      <c r="B94" s="2898" t="s">
        <v>8682</v>
      </c>
      <c r="C94" s="2898" t="s">
        <v>8683</v>
      </c>
      <c r="D94" s="2898" t="s">
        <v>8684</v>
      </c>
      <c r="E94" s="2899" t="s">
        <v>8685</v>
      </c>
      <c r="F94" s="4542" t="s">
        <v>9422</v>
      </c>
    </row>
    <row r="95" spans="1:7" s="382" customFormat="1" ht="15.75">
      <c r="A95" s="382" t="s">
        <v>8706</v>
      </c>
      <c r="B95" s="2911">
        <f>B11*$F$95*$F$96*100</f>
        <v>0</v>
      </c>
      <c r="C95" s="2911">
        <f>C11*$F$95*$F$96*100</f>
        <v>0</v>
      </c>
      <c r="D95" s="2911">
        <f>D11*$F$95*$F$96*100</f>
        <v>0</v>
      </c>
      <c r="E95" s="2911">
        <f>E11*$F$95*$F$96*100</f>
        <v>0</v>
      </c>
      <c r="F95" s="2914">
        <v>4.99E-2</v>
      </c>
    </row>
    <row r="96" spans="1:7" s="382" customFormat="1" ht="15">
      <c r="F96" s="4545">
        <v>36.65</v>
      </c>
      <c r="G96" s="4544" t="s">
        <v>9423</v>
      </c>
    </row>
    <row r="97" s="382" customFormat="1" ht="15"/>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row r="234" s="382" customFormat="1" ht="15"/>
    <row r="235" s="382" customFormat="1" ht="15"/>
    <row r="236" s="382" customFormat="1" ht="15"/>
    <row r="237" s="382" customFormat="1" ht="15"/>
    <row r="238" s="382" customFormat="1" ht="15"/>
    <row r="239" s="382" customFormat="1" ht="15"/>
    <row r="240" s="382" customFormat="1" ht="15"/>
    <row r="241" s="382" customFormat="1" ht="15"/>
    <row r="242" s="382" customFormat="1" ht="15"/>
    <row r="243" s="382" customFormat="1" ht="15"/>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N167"/>
  <sheetViews>
    <sheetView topLeftCell="A116" workbookViewId="0">
      <selection activeCell="H116" sqref="H116"/>
    </sheetView>
  </sheetViews>
  <sheetFormatPr defaultRowHeight="12.75"/>
  <cols>
    <col min="1" max="1" width="32" style="64" customWidth="1"/>
    <col min="2" max="2" width="13" style="64" customWidth="1"/>
    <col min="3" max="3" width="15.5703125" style="64" hidden="1" customWidth="1"/>
    <col min="4" max="4" width="3.140625" style="64" hidden="1" customWidth="1"/>
    <col min="5" max="5" width="15.5703125" style="64" hidden="1" customWidth="1"/>
    <col min="6" max="6" width="3.140625" style="64" customWidth="1"/>
    <col min="7" max="7" width="18.5703125" style="64" customWidth="1"/>
    <col min="8" max="8" width="22" customWidth="1"/>
    <col min="9" max="9" width="21.42578125" customWidth="1"/>
    <col min="10" max="10" width="0" hidden="1" customWidth="1"/>
    <col min="12" max="12" width="12.5703125" customWidth="1"/>
    <col min="13" max="13" width="29.85546875" customWidth="1"/>
    <col min="14" max="14" width="16.140625" customWidth="1"/>
  </cols>
  <sheetData>
    <row r="1" spans="1:13">
      <c r="A1" s="64" t="s">
        <v>475</v>
      </c>
    </row>
    <row r="3" spans="1:13" hidden="1">
      <c r="A3" s="64" t="s">
        <v>886</v>
      </c>
      <c r="M3" s="605"/>
    </row>
    <row r="4" spans="1:13" hidden="1">
      <c r="A4" s="64" t="s">
        <v>2003</v>
      </c>
      <c r="M4" s="605"/>
    </row>
    <row r="5" spans="1:13" hidden="1">
      <c r="A5" s="64" t="s">
        <v>2004</v>
      </c>
      <c r="M5" s="605"/>
    </row>
    <row r="6" spans="1:13" hidden="1">
      <c r="A6" s="64" t="s">
        <v>694</v>
      </c>
      <c r="M6" s="605"/>
    </row>
    <row r="7" spans="1:13" hidden="1">
      <c r="A7" s="64" t="s">
        <v>151</v>
      </c>
      <c r="M7" s="605"/>
    </row>
    <row r="8" spans="1:13" hidden="1">
      <c r="A8" s="64" t="s">
        <v>152</v>
      </c>
      <c r="M8" s="605"/>
    </row>
    <row r="9" spans="1:13" hidden="1">
      <c r="M9" s="605"/>
    </row>
    <row r="10" spans="1:13" hidden="1">
      <c r="A10" s="64" t="s">
        <v>2271</v>
      </c>
      <c r="M10" s="605"/>
    </row>
    <row r="11" spans="1:13" hidden="1">
      <c r="M11" s="605"/>
    </row>
    <row r="12" spans="1:13" hidden="1">
      <c r="M12" s="605"/>
    </row>
    <row r="13" spans="1:13" hidden="1">
      <c r="A13" s="64" t="s">
        <v>115</v>
      </c>
      <c r="M13" s="605"/>
    </row>
    <row r="14" spans="1:13" hidden="1">
      <c r="A14" s="64" t="s">
        <v>116</v>
      </c>
      <c r="M14" s="605"/>
    </row>
    <row r="15" spans="1:13">
      <c r="M15" s="605"/>
    </row>
    <row r="16" spans="1:13">
      <c r="A16" s="55" t="s">
        <v>940</v>
      </c>
      <c r="C16" s="55" t="s">
        <v>897</v>
      </c>
      <c r="D16" s="54"/>
      <c r="E16" s="55" t="s">
        <v>2272</v>
      </c>
      <c r="F16" s="54"/>
      <c r="G16" s="55" t="s">
        <v>469</v>
      </c>
      <c r="M16" s="605"/>
    </row>
    <row r="17" spans="1:13">
      <c r="A17" s="64" t="s">
        <v>1013</v>
      </c>
      <c r="C17" s="197">
        <v>3737</v>
      </c>
      <c r="D17" s="197"/>
      <c r="E17" s="197">
        <v>4800</v>
      </c>
      <c r="F17" s="197"/>
      <c r="G17" s="276">
        <v>4765</v>
      </c>
      <c r="M17" s="605"/>
    </row>
    <row r="18" spans="1:13">
      <c r="A18" s="64" t="s">
        <v>1014</v>
      </c>
      <c r="C18" s="255">
        <v>43.46</v>
      </c>
      <c r="D18" s="255"/>
      <c r="E18" s="255">
        <v>59.02</v>
      </c>
      <c r="F18" s="255"/>
      <c r="G18" s="255"/>
      <c r="M18" s="605"/>
    </row>
    <row r="19" spans="1:13">
      <c r="A19" s="64" t="s">
        <v>1015</v>
      </c>
      <c r="C19" s="255">
        <v>59.02</v>
      </c>
      <c r="D19" s="255"/>
      <c r="E19" s="255">
        <v>59.02</v>
      </c>
      <c r="F19" s="255"/>
      <c r="G19" s="255">
        <v>59.02</v>
      </c>
      <c r="M19" s="605"/>
    </row>
    <row r="20" spans="1:13">
      <c r="A20" s="64" t="s">
        <v>1904</v>
      </c>
      <c r="C20" s="255">
        <v>31.95</v>
      </c>
      <c r="D20" s="255"/>
      <c r="E20" s="255">
        <v>31.95</v>
      </c>
      <c r="F20" s="255"/>
      <c r="G20" s="255">
        <v>31.95</v>
      </c>
      <c r="M20" s="605"/>
    </row>
    <row r="21" spans="1:13">
      <c r="A21" s="64" t="s">
        <v>1902</v>
      </c>
      <c r="C21" s="197">
        <v>434600</v>
      </c>
      <c r="D21" s="197"/>
      <c r="E21" s="197">
        <v>480000</v>
      </c>
      <c r="F21" s="197"/>
      <c r="G21" s="197">
        <v>476500</v>
      </c>
      <c r="M21" s="605"/>
    </row>
    <row r="22" spans="1:13">
      <c r="A22" s="64" t="s">
        <v>1903</v>
      </c>
      <c r="C22" s="197">
        <v>319500</v>
      </c>
      <c r="D22" s="197"/>
      <c r="E22" s="197">
        <v>319500</v>
      </c>
      <c r="F22" s="197"/>
      <c r="G22" s="197">
        <v>319500</v>
      </c>
      <c r="M22" s="605"/>
    </row>
    <row r="23" spans="1:13">
      <c r="M23" s="605"/>
    </row>
    <row r="24" spans="1:13">
      <c r="M24" s="605"/>
    </row>
    <row r="25" spans="1:13">
      <c r="A25" s="55" t="s">
        <v>2198</v>
      </c>
      <c r="C25" s="55" t="s">
        <v>897</v>
      </c>
      <c r="D25" s="54"/>
      <c r="E25" s="55" t="s">
        <v>2272</v>
      </c>
      <c r="F25" s="54"/>
      <c r="G25" s="55" t="s">
        <v>469</v>
      </c>
      <c r="M25" s="605"/>
    </row>
    <row r="26" spans="1:13">
      <c r="A26" s="64" t="s">
        <v>1013</v>
      </c>
      <c r="C26" s="197">
        <v>3874</v>
      </c>
      <c r="D26" s="197"/>
      <c r="E26" s="197">
        <v>4800</v>
      </c>
      <c r="F26" s="197"/>
      <c r="G26" s="197">
        <v>4765</v>
      </c>
      <c r="M26" s="605"/>
    </row>
    <row r="27" spans="1:13">
      <c r="A27" s="64" t="s">
        <v>1014</v>
      </c>
      <c r="C27" s="255">
        <v>45.04</v>
      </c>
      <c r="D27" s="255"/>
      <c r="E27" s="255">
        <v>59.97</v>
      </c>
      <c r="F27" s="255"/>
      <c r="G27" s="255"/>
      <c r="M27" s="605"/>
    </row>
    <row r="28" spans="1:13">
      <c r="A28" s="64" t="s">
        <v>1015</v>
      </c>
      <c r="C28" s="255">
        <v>59.97</v>
      </c>
      <c r="D28" s="255"/>
      <c r="E28" s="255">
        <v>59.97</v>
      </c>
      <c r="F28" s="255"/>
      <c r="G28" s="255">
        <v>59.97</v>
      </c>
      <c r="M28" s="605"/>
    </row>
    <row r="29" spans="1:13">
      <c r="A29" s="64" t="s">
        <v>1904</v>
      </c>
      <c r="C29" s="255">
        <v>31.95</v>
      </c>
      <c r="D29" s="255"/>
      <c r="E29" s="255">
        <v>31.95</v>
      </c>
      <c r="F29" s="255"/>
      <c r="G29" s="255">
        <v>31.95</v>
      </c>
      <c r="M29" s="605"/>
    </row>
    <row r="30" spans="1:13">
      <c r="A30" s="64" t="s">
        <v>1902</v>
      </c>
      <c r="C30" s="197">
        <v>450400</v>
      </c>
      <c r="D30" s="197"/>
      <c r="E30" s="197">
        <v>480000</v>
      </c>
      <c r="F30" s="197"/>
      <c r="G30" s="197">
        <v>476500</v>
      </c>
      <c r="M30" s="605"/>
    </row>
    <row r="31" spans="1:13">
      <c r="A31" s="64" t="s">
        <v>1903</v>
      </c>
      <c r="C31" s="197">
        <v>319500</v>
      </c>
      <c r="D31" s="197"/>
      <c r="E31" s="197">
        <v>319500</v>
      </c>
      <c r="F31" s="197"/>
      <c r="G31" s="197">
        <v>319500</v>
      </c>
      <c r="M31" s="605"/>
    </row>
    <row r="32" spans="1:13">
      <c r="M32" s="605"/>
    </row>
    <row r="34" spans="1:13">
      <c r="A34" s="55" t="s">
        <v>167</v>
      </c>
      <c r="C34" s="55" t="s">
        <v>897</v>
      </c>
      <c r="D34" s="54"/>
      <c r="E34" s="55" t="s">
        <v>2272</v>
      </c>
      <c r="F34" s="54"/>
      <c r="G34" s="55" t="s">
        <v>1277</v>
      </c>
    </row>
    <row r="35" spans="1:13">
      <c r="A35" s="64" t="s">
        <v>1013</v>
      </c>
      <c r="C35" s="197">
        <v>4193</v>
      </c>
      <c r="D35" s="197"/>
      <c r="E35" s="197">
        <v>4800</v>
      </c>
      <c r="F35" s="197"/>
      <c r="G35" s="197">
        <v>4765</v>
      </c>
    </row>
    <row r="36" spans="1:13">
      <c r="A36" s="64" t="s">
        <v>1014</v>
      </c>
      <c r="C36" s="255">
        <v>48.76</v>
      </c>
      <c r="D36" s="255"/>
      <c r="E36" s="255">
        <v>61.14</v>
      </c>
      <c r="F36" s="255"/>
      <c r="G36" s="255"/>
    </row>
    <row r="37" spans="1:13">
      <c r="A37" s="64" t="s">
        <v>1015</v>
      </c>
      <c r="C37" s="255">
        <v>61.14</v>
      </c>
      <c r="D37" s="255"/>
      <c r="E37" s="255">
        <v>61.14</v>
      </c>
      <c r="F37" s="255"/>
      <c r="G37" s="360">
        <v>59.97</v>
      </c>
    </row>
    <row r="38" spans="1:13">
      <c r="A38" s="64" t="s">
        <v>1904</v>
      </c>
      <c r="C38" s="255">
        <v>31.95</v>
      </c>
      <c r="D38" s="255"/>
      <c r="E38" s="255">
        <v>31.95</v>
      </c>
      <c r="F38" s="255"/>
      <c r="G38" s="255">
        <v>31.95</v>
      </c>
      <c r="M38" s="64"/>
    </row>
    <row r="39" spans="1:13">
      <c r="A39" s="64" t="s">
        <v>96</v>
      </c>
      <c r="C39" s="255"/>
      <c r="D39" s="255"/>
      <c r="E39" s="255"/>
      <c r="F39" s="255"/>
      <c r="G39" s="255">
        <v>33.950000000000003</v>
      </c>
      <c r="M39" s="64"/>
    </row>
    <row r="40" spans="1:13">
      <c r="A40" s="64" t="s">
        <v>1902</v>
      </c>
      <c r="C40" s="197">
        <v>487600</v>
      </c>
      <c r="D40" s="197"/>
      <c r="E40" s="197">
        <v>480000</v>
      </c>
      <c r="F40" s="197"/>
      <c r="G40" s="197">
        <v>476500</v>
      </c>
      <c r="M40" s="31"/>
    </row>
    <row r="41" spans="1:13">
      <c r="A41" s="64" t="s">
        <v>1903</v>
      </c>
      <c r="C41" s="197">
        <v>319500</v>
      </c>
      <c r="D41" s="197"/>
      <c r="E41" s="197">
        <v>319500</v>
      </c>
      <c r="F41" s="197"/>
      <c r="G41" s="197">
        <v>319500</v>
      </c>
      <c r="M41" s="31"/>
    </row>
    <row r="42" spans="1:13">
      <c r="A42" s="64" t="s">
        <v>97</v>
      </c>
      <c r="G42" s="197">
        <v>339500</v>
      </c>
    </row>
    <row r="43" spans="1:13">
      <c r="A43" s="64" t="s">
        <v>2738</v>
      </c>
      <c r="G43" s="616">
        <v>251.774</v>
      </c>
    </row>
    <row r="45" spans="1:13">
      <c r="A45" s="55" t="s">
        <v>168</v>
      </c>
      <c r="C45" s="55" t="s">
        <v>897</v>
      </c>
      <c r="D45" s="54"/>
      <c r="E45" s="55" t="s">
        <v>2272</v>
      </c>
      <c r="F45" s="54"/>
      <c r="G45" s="55" t="s">
        <v>1277</v>
      </c>
    </row>
    <row r="46" spans="1:13">
      <c r="A46" s="64" t="s">
        <v>1013</v>
      </c>
      <c r="C46" s="197">
        <v>4427</v>
      </c>
      <c r="D46" s="197"/>
      <c r="E46" s="197">
        <v>4800</v>
      </c>
      <c r="F46" s="197"/>
      <c r="G46" s="197">
        <v>4765</v>
      </c>
    </row>
    <row r="47" spans="1:13">
      <c r="A47" s="64" t="s">
        <v>1014</v>
      </c>
      <c r="C47" s="255">
        <v>51.47</v>
      </c>
      <c r="D47" s="255"/>
      <c r="E47" s="255">
        <v>62.72</v>
      </c>
      <c r="F47" s="255"/>
      <c r="G47" s="255"/>
    </row>
    <row r="48" spans="1:13">
      <c r="A48" s="64" t="s">
        <v>1015</v>
      </c>
      <c r="C48" s="255">
        <v>62.72</v>
      </c>
      <c r="D48" s="255"/>
      <c r="E48" s="255">
        <v>62.72</v>
      </c>
      <c r="F48" s="255"/>
      <c r="G48" s="360">
        <v>59.97</v>
      </c>
    </row>
    <row r="49" spans="1:13">
      <c r="A49" s="64" t="s">
        <v>1904</v>
      </c>
      <c r="C49" s="255">
        <v>31.95</v>
      </c>
      <c r="D49" s="255"/>
      <c r="E49" s="255">
        <v>31.95</v>
      </c>
      <c r="F49" s="255"/>
      <c r="G49" s="255">
        <v>31.95</v>
      </c>
    </row>
    <row r="50" spans="1:13">
      <c r="A50" s="64" t="s">
        <v>1902</v>
      </c>
      <c r="C50" s="197">
        <v>514700</v>
      </c>
      <c r="D50" s="197"/>
      <c r="E50" s="197">
        <v>480000</v>
      </c>
      <c r="F50" s="197"/>
      <c r="G50" s="197">
        <v>476500</v>
      </c>
    </row>
    <row r="51" spans="1:13">
      <c r="A51" s="64" t="s">
        <v>1903</v>
      </c>
      <c r="C51" s="197">
        <v>319500</v>
      </c>
      <c r="D51" s="197"/>
      <c r="E51" s="197">
        <v>319500</v>
      </c>
      <c r="F51" s="197"/>
      <c r="G51" s="197">
        <v>319500</v>
      </c>
    </row>
    <row r="52" spans="1:13">
      <c r="A52" s="64" t="s">
        <v>2738</v>
      </c>
      <c r="G52" s="616">
        <v>469.21499999999997</v>
      </c>
    </row>
    <row r="54" spans="1:13">
      <c r="A54" s="762" t="s">
        <v>169</v>
      </c>
      <c r="B54" s="605"/>
      <c r="C54" s="762" t="s">
        <v>897</v>
      </c>
      <c r="D54" s="162"/>
      <c r="E54" s="762" t="s">
        <v>2272</v>
      </c>
      <c r="F54" s="162"/>
      <c r="G54" s="762" t="str">
        <f>G45</f>
        <v>SB 1</v>
      </c>
    </row>
    <row r="55" spans="1:13">
      <c r="A55" s="605" t="s">
        <v>1013</v>
      </c>
      <c r="B55" s="605"/>
      <c r="C55" s="763">
        <v>4535</v>
      </c>
      <c r="D55" s="763"/>
      <c r="E55" s="763">
        <v>4800</v>
      </c>
      <c r="F55" s="763"/>
      <c r="G55" s="763">
        <v>4950</v>
      </c>
    </row>
    <row r="56" spans="1:13">
      <c r="A56" s="605" t="s">
        <v>1014</v>
      </c>
      <c r="B56" s="605"/>
      <c r="C56" s="360">
        <v>52.74</v>
      </c>
      <c r="D56" s="360"/>
      <c r="E56" s="360">
        <v>64.33</v>
      </c>
      <c r="F56" s="360"/>
      <c r="G56" s="360"/>
    </row>
    <row r="57" spans="1:13">
      <c r="A57" s="605" t="s">
        <v>1015</v>
      </c>
      <c r="B57" s="605"/>
      <c r="C57" s="360">
        <v>64.33</v>
      </c>
      <c r="D57" s="360"/>
      <c r="E57" s="360">
        <v>64.33</v>
      </c>
      <c r="F57" s="360"/>
      <c r="G57" s="360">
        <v>59.97</v>
      </c>
    </row>
    <row r="58" spans="1:13">
      <c r="A58" s="605" t="s">
        <v>1904</v>
      </c>
      <c r="B58" s="605"/>
      <c r="C58" s="360">
        <v>31.95</v>
      </c>
      <c r="D58" s="360"/>
      <c r="E58" s="360">
        <v>31.95</v>
      </c>
      <c r="F58" s="360"/>
      <c r="G58" s="360">
        <v>31.95</v>
      </c>
    </row>
    <row r="59" spans="1:13">
      <c r="A59" s="605" t="s">
        <v>1902</v>
      </c>
      <c r="B59" s="605"/>
      <c r="C59" s="763">
        <v>527400</v>
      </c>
      <c r="D59" s="763"/>
      <c r="E59" s="763">
        <v>480000</v>
      </c>
      <c r="F59" s="763"/>
      <c r="G59" s="763">
        <v>495000</v>
      </c>
    </row>
    <row r="60" spans="1:13">
      <c r="A60" s="605" t="s">
        <v>1903</v>
      </c>
      <c r="B60" s="605"/>
      <c r="C60" s="763">
        <v>319500</v>
      </c>
      <c r="D60" s="763"/>
      <c r="E60" s="763">
        <v>319500</v>
      </c>
      <c r="F60" s="763"/>
      <c r="G60" s="763">
        <v>319500</v>
      </c>
    </row>
    <row r="61" spans="1:13" hidden="1">
      <c r="A61" s="605" t="s">
        <v>1431</v>
      </c>
      <c r="B61" s="605"/>
      <c r="C61" s="763"/>
      <c r="D61" s="763"/>
      <c r="E61" s="763"/>
      <c r="F61" s="763"/>
      <c r="G61" s="360">
        <v>0.98</v>
      </c>
      <c r="H61" s="46" t="s">
        <v>2388</v>
      </c>
      <c r="I61" s="46"/>
      <c r="M61" s="35" t="s">
        <v>2387</v>
      </c>
    </row>
    <row r="62" spans="1:13" hidden="1">
      <c r="A62" s="605" t="s">
        <v>2386</v>
      </c>
      <c r="B62" s="605"/>
      <c r="C62" s="763"/>
      <c r="D62" s="763"/>
      <c r="E62" s="763"/>
      <c r="F62" s="763"/>
      <c r="G62" s="764">
        <v>0.92349999999999999</v>
      </c>
      <c r="H62" s="46" t="s">
        <v>2388</v>
      </c>
      <c r="I62" s="46"/>
      <c r="M62" s="35" t="s">
        <v>2389</v>
      </c>
    </row>
    <row r="63" spans="1:13">
      <c r="A63" s="605" t="s">
        <v>2738</v>
      </c>
      <c r="B63" s="605"/>
      <c r="C63" s="605"/>
      <c r="D63" s="605"/>
      <c r="E63" s="605"/>
      <c r="F63" s="605"/>
      <c r="G63" s="616">
        <v>261.37200000000001</v>
      </c>
      <c r="H63" s="46"/>
      <c r="I63" s="46"/>
      <c r="M63" s="35"/>
    </row>
    <row r="64" spans="1:13">
      <c r="A64" s="605"/>
      <c r="B64" s="605"/>
      <c r="C64" s="763"/>
      <c r="D64" s="763"/>
      <c r="E64" s="763"/>
      <c r="F64" s="763"/>
      <c r="G64" s="763"/>
    </row>
    <row r="65" spans="1:13">
      <c r="A65" s="762" t="s">
        <v>781</v>
      </c>
      <c r="B65" s="605"/>
      <c r="C65" s="762" t="s">
        <v>897</v>
      </c>
      <c r="D65" s="162"/>
      <c r="E65" s="762" t="s">
        <v>2272</v>
      </c>
      <c r="F65" s="162"/>
      <c r="G65" s="762" t="s">
        <v>1277</v>
      </c>
    </row>
    <row r="66" spans="1:13">
      <c r="A66" s="605" t="s">
        <v>1013</v>
      </c>
      <c r="B66" s="605"/>
      <c r="C66" s="763">
        <v>4535</v>
      </c>
      <c r="D66" s="763"/>
      <c r="E66" s="763">
        <v>4800</v>
      </c>
      <c r="F66" s="763"/>
      <c r="G66" s="763">
        <v>5040</v>
      </c>
    </row>
    <row r="67" spans="1:13">
      <c r="A67" s="605" t="s">
        <v>1014</v>
      </c>
      <c r="B67" s="605"/>
      <c r="C67" s="360">
        <v>52.74</v>
      </c>
      <c r="D67" s="360"/>
      <c r="E67" s="360">
        <v>64.33</v>
      </c>
      <c r="F67" s="360"/>
      <c r="G67" s="360"/>
    </row>
    <row r="68" spans="1:13">
      <c r="A68" s="605" t="s">
        <v>1015</v>
      </c>
      <c r="B68" s="605"/>
      <c r="C68" s="360">
        <v>64.33</v>
      </c>
      <c r="D68" s="360"/>
      <c r="E68" s="360">
        <v>64.33</v>
      </c>
      <c r="F68" s="360"/>
      <c r="G68" s="360">
        <v>61.86</v>
      </c>
    </row>
    <row r="69" spans="1:13">
      <c r="A69" s="605" t="s">
        <v>1904</v>
      </c>
      <c r="B69" s="605"/>
      <c r="C69" s="360">
        <v>31.95</v>
      </c>
      <c r="D69" s="360"/>
      <c r="E69" s="360">
        <v>31.95</v>
      </c>
      <c r="F69" s="360"/>
      <c r="G69" s="360">
        <v>31.95</v>
      </c>
    </row>
    <row r="70" spans="1:13">
      <c r="A70" s="605" t="s">
        <v>1902</v>
      </c>
      <c r="B70" s="605"/>
      <c r="C70" s="763">
        <v>527400</v>
      </c>
      <c r="D70" s="763"/>
      <c r="E70" s="763">
        <v>480000</v>
      </c>
      <c r="F70" s="763"/>
      <c r="G70" s="763">
        <v>504000</v>
      </c>
    </row>
    <row r="71" spans="1:13">
      <c r="A71" s="605" t="s">
        <v>1903</v>
      </c>
      <c r="B71" s="605"/>
      <c r="C71" s="763">
        <v>319500</v>
      </c>
      <c r="D71" s="763"/>
      <c r="E71" s="763">
        <v>319500</v>
      </c>
      <c r="F71" s="763"/>
      <c r="G71" s="763">
        <v>319500</v>
      </c>
    </row>
    <row r="72" spans="1:13" hidden="1">
      <c r="A72" s="605" t="s">
        <v>1431</v>
      </c>
      <c r="B72" s="605"/>
      <c r="C72" s="763"/>
      <c r="D72" s="763"/>
      <c r="E72" s="763"/>
      <c r="F72" s="763"/>
      <c r="G72" s="360">
        <v>0.98</v>
      </c>
      <c r="H72" s="46" t="s">
        <v>2388</v>
      </c>
      <c r="I72" s="46"/>
      <c r="M72" s="35" t="s">
        <v>2387</v>
      </c>
    </row>
    <row r="73" spans="1:13" hidden="1">
      <c r="A73" s="605" t="s">
        <v>2386</v>
      </c>
      <c r="B73" s="605"/>
      <c r="C73" s="763"/>
      <c r="D73" s="763"/>
      <c r="E73" s="763"/>
      <c r="F73" s="763"/>
      <c r="G73" s="764">
        <v>0.92349999999999999</v>
      </c>
      <c r="H73" s="46" t="s">
        <v>2388</v>
      </c>
      <c r="I73" s="46"/>
      <c r="M73" s="35" t="s">
        <v>2389</v>
      </c>
    </row>
    <row r="74" spans="1:13">
      <c r="A74" s="605" t="s">
        <v>2738</v>
      </c>
      <c r="B74" s="605"/>
      <c r="C74" s="605"/>
      <c r="D74" s="605"/>
      <c r="E74" s="605"/>
      <c r="F74" s="605"/>
      <c r="G74" s="1992">
        <v>263.596</v>
      </c>
    </row>
    <row r="75" spans="1:13">
      <c r="G75" s="393"/>
    </row>
    <row r="76" spans="1:13">
      <c r="A76" s="762" t="s">
        <v>3100</v>
      </c>
      <c r="B76" s="605"/>
      <c r="C76" s="762" t="s">
        <v>897</v>
      </c>
      <c r="D76" s="162"/>
      <c r="E76" s="762" t="s">
        <v>2272</v>
      </c>
      <c r="F76" s="162"/>
      <c r="G76" s="762" t="s">
        <v>3837</v>
      </c>
    </row>
    <row r="77" spans="1:13">
      <c r="A77" s="605" t="s">
        <v>1013</v>
      </c>
      <c r="B77" s="605"/>
      <c r="C77" s="763">
        <v>4535</v>
      </c>
      <c r="D77" s="763"/>
      <c r="E77" s="763">
        <v>4800</v>
      </c>
      <c r="F77" s="763"/>
      <c r="G77" s="763">
        <v>5140</v>
      </c>
    </row>
    <row r="78" spans="1:13">
      <c r="A78" s="605" t="s">
        <v>1014</v>
      </c>
      <c r="B78" s="605"/>
      <c r="C78" s="360">
        <v>52.74</v>
      </c>
      <c r="D78" s="360"/>
      <c r="E78" s="360">
        <v>64.33</v>
      </c>
      <c r="F78" s="360"/>
      <c r="G78" s="360"/>
    </row>
    <row r="79" spans="1:13">
      <c r="A79" s="605" t="s">
        <v>1015</v>
      </c>
      <c r="B79" s="605"/>
      <c r="C79" s="360">
        <v>64.33</v>
      </c>
      <c r="D79" s="360"/>
      <c r="E79" s="360">
        <v>64.33</v>
      </c>
      <c r="F79" s="360"/>
      <c r="G79" s="360">
        <v>74.28</v>
      </c>
    </row>
    <row r="80" spans="1:13">
      <c r="A80" s="605" t="s">
        <v>1904</v>
      </c>
      <c r="B80" s="605"/>
      <c r="C80" s="360">
        <v>31.95</v>
      </c>
      <c r="D80" s="360"/>
      <c r="E80" s="360">
        <v>31.95</v>
      </c>
      <c r="F80" s="360"/>
      <c r="G80" s="360">
        <v>31.95</v>
      </c>
    </row>
    <row r="81" spans="1:12">
      <c r="A81" s="605" t="s">
        <v>1902</v>
      </c>
      <c r="B81" s="605"/>
      <c r="C81" s="763">
        <v>527400</v>
      </c>
      <c r="D81" s="763"/>
      <c r="E81" s="763">
        <v>480000</v>
      </c>
      <c r="F81" s="763"/>
      <c r="G81" s="763">
        <v>514000</v>
      </c>
    </row>
    <row r="82" spans="1:12">
      <c r="A82" s="605" t="s">
        <v>1903</v>
      </c>
      <c r="B82" s="605"/>
      <c r="C82" s="763">
        <v>319500</v>
      </c>
      <c r="D82" s="763"/>
      <c r="E82" s="763">
        <v>319500</v>
      </c>
      <c r="F82" s="763"/>
      <c r="G82" s="763">
        <v>319500</v>
      </c>
    </row>
    <row r="83" spans="1:12" hidden="1">
      <c r="A83" s="605" t="s">
        <v>1431</v>
      </c>
      <c r="B83" s="605"/>
      <c r="C83" s="763"/>
      <c r="D83" s="763"/>
      <c r="E83" s="763"/>
      <c r="F83" s="763"/>
      <c r="G83" s="360">
        <v>0.98</v>
      </c>
    </row>
    <row r="84" spans="1:12" hidden="1">
      <c r="A84" s="605" t="s">
        <v>2386</v>
      </c>
      <c r="B84" s="605"/>
      <c r="C84" s="763"/>
      <c r="D84" s="763"/>
      <c r="E84" s="763"/>
      <c r="F84" s="763"/>
      <c r="G84" s="764">
        <v>0.92349999999999999</v>
      </c>
    </row>
    <row r="85" spans="1:12">
      <c r="A85" s="605" t="s">
        <v>2738</v>
      </c>
      <c r="B85" s="605"/>
      <c r="C85" s="605"/>
      <c r="D85" s="605"/>
      <c r="E85" s="605"/>
      <c r="F85" s="605"/>
      <c r="G85" s="616">
        <v>180.32</v>
      </c>
    </row>
    <row r="86" spans="1:12">
      <c r="A86" s="605"/>
      <c r="B86" s="605"/>
      <c r="C86" s="605"/>
      <c r="D86" s="605"/>
      <c r="E86" s="605"/>
      <c r="F86" s="605"/>
      <c r="G86" s="616"/>
    </row>
    <row r="87" spans="1:12">
      <c r="A87" s="762" t="s">
        <v>3138</v>
      </c>
      <c r="B87" s="605"/>
      <c r="C87" s="762" t="s">
        <v>897</v>
      </c>
      <c r="D87" s="162"/>
      <c r="E87" s="762" t="s">
        <v>2272</v>
      </c>
      <c r="F87" s="162"/>
      <c r="G87" s="762" t="s">
        <v>3837</v>
      </c>
      <c r="J87" s="1044" t="s">
        <v>3092</v>
      </c>
      <c r="K87" s="97"/>
      <c r="L87" s="98"/>
    </row>
    <row r="88" spans="1:12">
      <c r="A88" s="605" t="s">
        <v>1013</v>
      </c>
      <c r="B88" s="605"/>
      <c r="C88" s="763">
        <v>4535</v>
      </c>
      <c r="D88" s="763"/>
      <c r="E88" s="763">
        <v>4800</v>
      </c>
      <c r="F88" s="763"/>
      <c r="G88" s="763">
        <v>5140</v>
      </c>
      <c r="J88" s="1041" t="s">
        <v>3098</v>
      </c>
      <c r="L88" s="89"/>
    </row>
    <row r="89" spans="1:12">
      <c r="A89" s="605" t="s">
        <v>1014</v>
      </c>
      <c r="B89" s="605"/>
      <c r="C89" s="360">
        <v>52.74</v>
      </c>
      <c r="D89" s="360"/>
      <c r="E89" s="360">
        <v>64.33</v>
      </c>
      <c r="F89" s="360"/>
      <c r="G89" s="360"/>
      <c r="J89" s="1042" t="s">
        <v>3099</v>
      </c>
      <c r="L89" s="89"/>
    </row>
    <row r="90" spans="1:12">
      <c r="A90" s="605" t="s">
        <v>1015</v>
      </c>
      <c r="B90" s="605"/>
      <c r="C90" s="360">
        <v>64.33</v>
      </c>
      <c r="D90" s="360"/>
      <c r="E90" s="360">
        <v>64.33</v>
      </c>
      <c r="F90" s="360"/>
      <c r="G90" s="360">
        <v>77.53</v>
      </c>
      <c r="J90" s="1041" t="s">
        <v>3095</v>
      </c>
      <c r="L90" s="89"/>
    </row>
    <row r="91" spans="1:12">
      <c r="A91" s="605" t="s">
        <v>1904</v>
      </c>
      <c r="B91" s="605"/>
      <c r="C91" s="360">
        <v>31.95</v>
      </c>
      <c r="D91" s="360"/>
      <c r="E91" s="360">
        <v>31.95</v>
      </c>
      <c r="F91" s="360"/>
      <c r="G91" s="360">
        <v>31.95</v>
      </c>
      <c r="J91" s="1043" t="s">
        <v>3093</v>
      </c>
      <c r="K91" s="90"/>
      <c r="L91" s="99"/>
    </row>
    <row r="92" spans="1:12">
      <c r="A92" s="605" t="s">
        <v>1902</v>
      </c>
      <c r="B92" s="605"/>
      <c r="C92" s="763">
        <v>527400</v>
      </c>
      <c r="D92" s="763"/>
      <c r="E92" s="763">
        <v>480000</v>
      </c>
      <c r="F92" s="763"/>
      <c r="G92" s="763">
        <v>514000</v>
      </c>
    </row>
    <row r="93" spans="1:12">
      <c r="A93" s="605" t="s">
        <v>1903</v>
      </c>
      <c r="B93" s="605"/>
      <c r="C93" s="763">
        <v>319500</v>
      </c>
      <c r="D93" s="763"/>
      <c r="E93" s="763">
        <v>319500</v>
      </c>
      <c r="F93" s="763"/>
      <c r="G93" s="763">
        <v>319500</v>
      </c>
    </row>
    <row r="94" spans="1:12" hidden="1">
      <c r="A94" s="605" t="s">
        <v>1431</v>
      </c>
      <c r="B94" s="605"/>
      <c r="C94" s="763"/>
      <c r="D94" s="763"/>
      <c r="E94" s="763"/>
      <c r="F94" s="763"/>
      <c r="G94" s="360">
        <v>0.98</v>
      </c>
    </row>
    <row r="95" spans="1:12" hidden="1">
      <c r="A95" s="605" t="s">
        <v>2386</v>
      </c>
      <c r="B95" s="605"/>
      <c r="C95" s="763"/>
      <c r="D95" s="763"/>
      <c r="E95" s="763"/>
      <c r="F95" s="763"/>
      <c r="G95" s="764">
        <v>0.92349999999999999</v>
      </c>
    </row>
    <row r="96" spans="1:12">
      <c r="A96" s="605" t="s">
        <v>2738</v>
      </c>
      <c r="B96" s="605"/>
      <c r="C96" s="605"/>
      <c r="D96" s="605"/>
      <c r="E96" s="605"/>
      <c r="F96" s="605"/>
      <c r="G96" s="616">
        <v>390.3</v>
      </c>
    </row>
    <row r="97" spans="1:7">
      <c r="G97" s="393"/>
    </row>
    <row r="98" spans="1:7">
      <c r="A98" s="611" t="s">
        <v>3144</v>
      </c>
      <c r="B98" s="612"/>
      <c r="C98" s="611" t="s">
        <v>897</v>
      </c>
      <c r="D98" s="1129"/>
      <c r="E98" s="611" t="s">
        <v>2272</v>
      </c>
      <c r="F98" s="1129"/>
      <c r="G98" s="611" t="s">
        <v>6572</v>
      </c>
    </row>
    <row r="99" spans="1:7">
      <c r="A99" s="612" t="s">
        <v>1013</v>
      </c>
      <c r="B99" s="612"/>
      <c r="C99" s="613">
        <v>4535</v>
      </c>
      <c r="D99" s="613"/>
      <c r="E99" s="613">
        <v>4800</v>
      </c>
      <c r="F99" s="613"/>
      <c r="G99" s="613">
        <f>G88</f>
        <v>5140</v>
      </c>
    </row>
    <row r="100" spans="1:7">
      <c r="A100" s="612" t="s">
        <v>1014</v>
      </c>
      <c r="B100" s="612"/>
      <c r="C100" s="1130">
        <v>52.74</v>
      </c>
      <c r="D100" s="1130"/>
      <c r="E100" s="1130">
        <v>64.33</v>
      </c>
      <c r="F100" s="1130"/>
      <c r="G100" s="1130"/>
    </row>
    <row r="101" spans="1:7">
      <c r="A101" s="612" t="s">
        <v>1015</v>
      </c>
      <c r="B101" s="612"/>
      <c r="C101" s="1130">
        <v>64.33</v>
      </c>
      <c r="D101" s="1130"/>
      <c r="E101" s="1130">
        <v>64.33</v>
      </c>
      <c r="F101" s="1130"/>
      <c r="G101" s="1130">
        <v>99.41</v>
      </c>
    </row>
    <row r="102" spans="1:7">
      <c r="A102" s="612" t="s">
        <v>1904</v>
      </c>
      <c r="B102" s="612"/>
      <c r="C102" s="1130">
        <v>31.95</v>
      </c>
      <c r="D102" s="1130"/>
      <c r="E102" s="1130">
        <v>31.95</v>
      </c>
      <c r="F102" s="1130"/>
      <c r="G102" s="1130">
        <v>31.95</v>
      </c>
    </row>
    <row r="103" spans="1:7">
      <c r="A103" s="612" t="s">
        <v>1902</v>
      </c>
      <c r="B103" s="612"/>
      <c r="C103" s="613">
        <v>527400</v>
      </c>
      <c r="D103" s="613"/>
      <c r="E103" s="613">
        <v>480000</v>
      </c>
      <c r="F103" s="613"/>
      <c r="G103" s="613">
        <f>G92</f>
        <v>514000</v>
      </c>
    </row>
    <row r="104" spans="1:7">
      <c r="A104" s="612" t="s">
        <v>1903</v>
      </c>
      <c r="B104" s="612"/>
      <c r="C104" s="613">
        <v>319500</v>
      </c>
      <c r="D104" s="613"/>
      <c r="E104" s="613">
        <v>319500</v>
      </c>
      <c r="F104" s="613"/>
      <c r="G104" s="613">
        <v>319500</v>
      </c>
    </row>
    <row r="105" spans="1:7">
      <c r="A105" s="612" t="s">
        <v>2738</v>
      </c>
      <c r="B105" s="612"/>
      <c r="C105" s="612"/>
      <c r="D105" s="612"/>
      <c r="E105" s="612"/>
      <c r="F105" s="612"/>
      <c r="G105" s="1131">
        <v>206.566</v>
      </c>
    </row>
    <row r="106" spans="1:7">
      <c r="A106" s="612"/>
      <c r="B106" s="612"/>
      <c r="C106" s="612"/>
      <c r="D106" s="612"/>
      <c r="E106" s="612"/>
      <c r="F106" s="612"/>
      <c r="G106" s="612"/>
    </row>
    <row r="107" spans="1:7">
      <c r="A107" s="611" t="s">
        <v>3225</v>
      </c>
      <c r="B107" s="612"/>
      <c r="C107" s="611" t="s">
        <v>897</v>
      </c>
      <c r="D107" s="1129"/>
      <c r="E107" s="611" t="s">
        <v>2272</v>
      </c>
      <c r="F107" s="1129"/>
      <c r="G107" s="611" t="str">
        <f>G98</f>
        <v>85th Leg</v>
      </c>
    </row>
    <row r="108" spans="1:7">
      <c r="A108" s="612" t="s">
        <v>1013</v>
      </c>
      <c r="B108" s="612"/>
      <c r="C108" s="613">
        <v>4535</v>
      </c>
      <c r="D108" s="613"/>
      <c r="E108" s="613">
        <v>4800</v>
      </c>
      <c r="F108" s="613"/>
      <c r="G108" s="613">
        <f>G99</f>
        <v>5140</v>
      </c>
    </row>
    <row r="109" spans="1:7">
      <c r="A109" s="612" t="s">
        <v>1014</v>
      </c>
      <c r="B109" s="612"/>
      <c r="C109" s="1130">
        <v>52.74</v>
      </c>
      <c r="D109" s="1130"/>
      <c r="E109" s="1130">
        <v>64.33</v>
      </c>
      <c r="F109" s="1130"/>
      <c r="G109" s="1130"/>
    </row>
    <row r="110" spans="1:7">
      <c r="A110" s="612" t="s">
        <v>1015</v>
      </c>
      <c r="B110" s="612"/>
      <c r="C110" s="1130">
        <v>64.33</v>
      </c>
      <c r="D110" s="1130"/>
      <c r="E110" s="1130">
        <v>64.33</v>
      </c>
      <c r="F110" s="1130"/>
      <c r="G110" s="1130">
        <v>106.28</v>
      </c>
    </row>
    <row r="111" spans="1:7">
      <c r="A111" s="612" t="s">
        <v>1904</v>
      </c>
      <c r="B111" s="612"/>
      <c r="C111" s="1130">
        <v>31.95</v>
      </c>
      <c r="D111" s="1130"/>
      <c r="E111" s="1130">
        <v>31.95</v>
      </c>
      <c r="F111" s="1130"/>
      <c r="G111" s="1130">
        <v>31.95</v>
      </c>
    </row>
    <row r="112" spans="1:7">
      <c r="A112" s="612" t="s">
        <v>1902</v>
      </c>
      <c r="B112" s="612"/>
      <c r="C112" s="613">
        <v>527400</v>
      </c>
      <c r="D112" s="613"/>
      <c r="E112" s="613">
        <v>480000</v>
      </c>
      <c r="F112" s="613"/>
      <c r="G112" s="613">
        <f>G103</f>
        <v>514000</v>
      </c>
    </row>
    <row r="113" spans="1:14">
      <c r="A113" s="612" t="s">
        <v>1903</v>
      </c>
      <c r="B113" s="612"/>
      <c r="C113" s="613">
        <v>319500</v>
      </c>
      <c r="D113" s="613"/>
      <c r="E113" s="613">
        <v>319500</v>
      </c>
      <c r="F113" s="613"/>
      <c r="G113" s="613">
        <v>319500</v>
      </c>
    </row>
    <row r="114" spans="1:14">
      <c r="A114" s="612" t="s">
        <v>2738</v>
      </c>
      <c r="B114" s="612"/>
      <c r="C114" s="612"/>
      <c r="D114" s="612"/>
      <c r="E114" s="612"/>
      <c r="F114" s="612"/>
      <c r="G114" s="1131">
        <v>486.23099999999999</v>
      </c>
      <c r="J114" s="35"/>
    </row>
    <row r="116" spans="1:14">
      <c r="A116" s="3116" t="s">
        <v>3284</v>
      </c>
      <c r="C116" s="55" t="s">
        <v>897</v>
      </c>
      <c r="D116" s="54"/>
      <c r="E116" s="55" t="s">
        <v>2272</v>
      </c>
      <c r="F116" s="54"/>
      <c r="G116" s="3450" t="s">
        <v>8766</v>
      </c>
      <c r="H116" s="2987" t="s">
        <v>8765</v>
      </c>
    </row>
    <row r="117" spans="1:14">
      <c r="A117" s="64" t="s">
        <v>1013</v>
      </c>
      <c r="C117" s="197">
        <v>4535</v>
      </c>
      <c r="D117" s="197"/>
      <c r="E117" s="197">
        <v>4800</v>
      </c>
      <c r="F117" s="197"/>
      <c r="G117" s="3236">
        <f>G108</f>
        <v>5140</v>
      </c>
      <c r="H117" s="3100">
        <v>6160</v>
      </c>
      <c r="N117" s="3066"/>
    </row>
    <row r="118" spans="1:14">
      <c r="C118" s="255">
        <v>52.74</v>
      </c>
      <c r="D118" s="255"/>
      <c r="E118" s="255">
        <v>64.33</v>
      </c>
      <c r="F118" s="255"/>
      <c r="G118" s="3235"/>
      <c r="H118" s="3101">
        <f>IF('Data Entry - SOF'!K95&lt;'Data Entry - SOF'!K155,H117*('Data Entry - SOF'!K95/'Data Entry - SOF'!K155),H117)</f>
        <v>0</v>
      </c>
      <c r="I118" s="2986" t="s">
        <v>10341</v>
      </c>
      <c r="J118" s="2985"/>
      <c r="K118" s="2985"/>
      <c r="L118" s="2985"/>
      <c r="N118" s="3066"/>
    </row>
    <row r="119" spans="1:14">
      <c r="A119" s="64" t="s">
        <v>1014</v>
      </c>
      <c r="C119" s="255">
        <v>64.33</v>
      </c>
      <c r="D119" s="255"/>
      <c r="E119" s="255">
        <v>64.33</v>
      </c>
      <c r="F119" s="255"/>
      <c r="G119" s="3451">
        <v>126.88</v>
      </c>
      <c r="H119" s="3113">
        <f>(H117*1.6)/100</f>
        <v>98.56</v>
      </c>
      <c r="I119" s="2986" t="s">
        <v>9016</v>
      </c>
      <c r="J119" s="2985"/>
      <c r="K119" s="2985"/>
      <c r="L119" s="2985"/>
      <c r="M119" s="2985"/>
      <c r="N119" s="3066"/>
    </row>
    <row r="120" spans="1:14">
      <c r="A120" s="64" t="s">
        <v>1015</v>
      </c>
      <c r="C120" s="255">
        <v>31.95</v>
      </c>
      <c r="D120" s="255"/>
      <c r="E120" s="255">
        <v>31.95</v>
      </c>
      <c r="F120" s="255"/>
      <c r="G120" s="3235">
        <v>31.95</v>
      </c>
      <c r="H120" s="3102">
        <f>(H117*0.8)/100</f>
        <v>49.28</v>
      </c>
      <c r="N120" s="3066"/>
    </row>
    <row r="121" spans="1:14">
      <c r="A121" s="64" t="s">
        <v>1902</v>
      </c>
      <c r="C121" s="197">
        <v>527400</v>
      </c>
      <c r="D121" s="197"/>
      <c r="E121" s="197">
        <v>480000</v>
      </c>
      <c r="F121" s="197"/>
      <c r="G121" s="3236">
        <f>G112</f>
        <v>514000</v>
      </c>
      <c r="H121" s="3101" t="s">
        <v>1775</v>
      </c>
      <c r="N121" s="3066"/>
    </row>
    <row r="122" spans="1:14">
      <c r="A122" s="64" t="s">
        <v>1903</v>
      </c>
      <c r="C122" s="197">
        <v>319500</v>
      </c>
      <c r="D122" s="197"/>
      <c r="E122" s="197">
        <v>319500</v>
      </c>
      <c r="F122" s="197"/>
      <c r="G122" s="3236">
        <v>319500</v>
      </c>
      <c r="H122" s="3234" t="s">
        <v>1775</v>
      </c>
      <c r="N122" s="3066"/>
    </row>
    <row r="123" spans="1:14">
      <c r="A123" s="64" t="s">
        <v>2738</v>
      </c>
      <c r="G123" s="3448">
        <f>H123</f>
        <v>259.20699999999999</v>
      </c>
      <c r="H123" s="3256">
        <v>259.20699999999999</v>
      </c>
      <c r="I123" s="3107" t="s">
        <v>10340</v>
      </c>
      <c r="J123" s="35"/>
    </row>
    <row r="124" spans="1:14">
      <c r="G124" s="3449"/>
    </row>
    <row r="125" spans="1:14">
      <c r="A125" s="3116" t="s">
        <v>3922</v>
      </c>
      <c r="C125" s="55" t="s">
        <v>897</v>
      </c>
      <c r="D125" s="54"/>
      <c r="E125" s="55" t="s">
        <v>2272</v>
      </c>
      <c r="F125" s="54"/>
      <c r="G125" s="3106" t="str">
        <f>G116</f>
        <v>Current Law</v>
      </c>
      <c r="H125" s="3099" t="s">
        <v>8765</v>
      </c>
    </row>
    <row r="126" spans="1:14">
      <c r="A126" s="64" t="s">
        <v>1013</v>
      </c>
      <c r="C126" s="197">
        <v>4535</v>
      </c>
      <c r="D126" s="197"/>
      <c r="E126" s="197">
        <v>4800</v>
      </c>
      <c r="F126" s="197"/>
      <c r="G126" s="3322">
        <f>G117</f>
        <v>5140</v>
      </c>
      <c r="H126" s="3100">
        <v>6160</v>
      </c>
    </row>
    <row r="127" spans="1:14">
      <c r="C127" s="255">
        <v>52.74</v>
      </c>
      <c r="D127" s="255"/>
      <c r="E127" s="255">
        <v>64.33</v>
      </c>
      <c r="F127" s="255"/>
      <c r="G127" s="3235"/>
      <c r="H127" s="3101" t="e">
        <f>IF('Data Entry - SOF'!M95&lt;'Data Entry - SOF'!M155,H126*('Data Entry - SOF'!M95/'Data Entry - SOF'!M155),H126)</f>
        <v>#DIV/0!</v>
      </c>
    </row>
    <row r="128" spans="1:14">
      <c r="A128" s="64" t="s">
        <v>1015</v>
      </c>
      <c r="C128" s="255">
        <v>64.33</v>
      </c>
      <c r="D128" s="255"/>
      <c r="E128" s="255">
        <v>64.33</v>
      </c>
      <c r="F128" s="255"/>
      <c r="G128" s="3235">
        <v>135.91999999999999</v>
      </c>
      <c r="H128" s="3242">
        <f>(H126*1.6)/100</f>
        <v>98.56</v>
      </c>
    </row>
    <row r="129" spans="1:10">
      <c r="A129" s="64" t="s">
        <v>1904</v>
      </c>
      <c r="C129" s="255">
        <v>31.95</v>
      </c>
      <c r="D129" s="255"/>
      <c r="E129" s="255">
        <v>31.95</v>
      </c>
      <c r="F129" s="255"/>
      <c r="G129" s="3235">
        <v>31.95</v>
      </c>
      <c r="H129" s="3242">
        <f>(H126*0.8)/100</f>
        <v>49.28</v>
      </c>
    </row>
    <row r="130" spans="1:10">
      <c r="A130" s="64" t="s">
        <v>1902</v>
      </c>
      <c r="C130" s="197">
        <v>527400</v>
      </c>
      <c r="D130" s="197"/>
      <c r="E130" s="197">
        <v>480000</v>
      </c>
      <c r="F130" s="197"/>
      <c r="G130" s="3236">
        <f>G121</f>
        <v>514000</v>
      </c>
      <c r="H130" s="3234" t="s">
        <v>1775</v>
      </c>
    </row>
    <row r="131" spans="1:10">
      <c r="A131" s="64" t="s">
        <v>1903</v>
      </c>
      <c r="C131" s="197">
        <v>319500</v>
      </c>
      <c r="D131" s="197"/>
      <c r="E131" s="197">
        <v>319500</v>
      </c>
      <c r="F131" s="197"/>
      <c r="G131" s="3236">
        <v>319500</v>
      </c>
      <c r="H131" s="3234" t="s">
        <v>1775</v>
      </c>
    </row>
    <row r="132" spans="1:10">
      <c r="A132" s="64" t="s">
        <v>2738</v>
      </c>
      <c r="G132" s="3323">
        <v>400</v>
      </c>
      <c r="H132" s="3243">
        <v>400</v>
      </c>
      <c r="I132" s="3149" t="s">
        <v>8764</v>
      </c>
      <c r="J132" s="35" t="s">
        <v>6941</v>
      </c>
    </row>
    <row r="133" spans="1:10">
      <c r="H133" s="3108"/>
    </row>
    <row r="134" spans="1:10">
      <c r="A134" s="3116" t="s">
        <v>6374</v>
      </c>
      <c r="C134" s="55" t="s">
        <v>897</v>
      </c>
      <c r="D134" s="54"/>
      <c r="E134" s="55" t="s">
        <v>2272</v>
      </c>
      <c r="F134" s="54"/>
      <c r="G134" s="3450" t="str">
        <f>G125</f>
        <v>Current Law</v>
      </c>
      <c r="H134" s="3099" t="s">
        <v>8765</v>
      </c>
    </row>
    <row r="135" spans="1:10">
      <c r="A135" s="64" t="s">
        <v>1013</v>
      </c>
      <c r="C135" s="197">
        <v>4535</v>
      </c>
      <c r="D135" s="197"/>
      <c r="E135" s="197">
        <v>4800</v>
      </c>
      <c r="F135" s="197"/>
      <c r="G135" s="3236">
        <v>5140</v>
      </c>
      <c r="H135" s="3100">
        <v>6160</v>
      </c>
    </row>
    <row r="136" spans="1:10">
      <c r="C136" s="255">
        <v>52.74</v>
      </c>
      <c r="D136" s="255"/>
      <c r="E136" s="255">
        <v>64.33</v>
      </c>
      <c r="F136" s="255"/>
      <c r="G136" s="3235"/>
      <c r="H136" s="3101" t="e">
        <f>IF('Data Entry - SOF'!O95&lt;'Data Entry - SOF'!O155,H135*('Data Entry - SOF'!O95/'Data Entry - SOF'!O155),H135)</f>
        <v>#DIV/0!</v>
      </c>
    </row>
    <row r="137" spans="1:10">
      <c r="A137" s="64" t="s">
        <v>1015</v>
      </c>
      <c r="C137" s="255">
        <v>64.33</v>
      </c>
      <c r="D137" s="255"/>
      <c r="E137" s="255">
        <v>64.33</v>
      </c>
      <c r="F137" s="255"/>
      <c r="G137" s="3235">
        <f>G128</f>
        <v>135.91999999999999</v>
      </c>
      <c r="H137" s="3242">
        <f>(H135*1.6)/100</f>
        <v>98.56</v>
      </c>
    </row>
    <row r="138" spans="1:10">
      <c r="A138" s="64" t="s">
        <v>1904</v>
      </c>
      <c r="C138" s="255">
        <v>31.95</v>
      </c>
      <c r="D138" s="255"/>
      <c r="E138" s="255">
        <v>31.95</v>
      </c>
      <c r="F138" s="255"/>
      <c r="G138" s="3235">
        <v>31.95</v>
      </c>
      <c r="H138" s="3242">
        <f>(H135*0.8)/100</f>
        <v>49.28</v>
      </c>
    </row>
    <row r="139" spans="1:10">
      <c r="A139" s="64" t="s">
        <v>1902</v>
      </c>
      <c r="C139" s="197">
        <v>527400</v>
      </c>
      <c r="D139" s="197"/>
      <c r="E139" s="197">
        <v>480000</v>
      </c>
      <c r="F139" s="197"/>
      <c r="G139" s="3236">
        <f>G135*100</f>
        <v>514000</v>
      </c>
      <c r="H139" s="3234" t="s">
        <v>1775</v>
      </c>
    </row>
    <row r="140" spans="1:10">
      <c r="A140" s="64" t="s">
        <v>1903</v>
      </c>
      <c r="C140" s="197">
        <v>319500</v>
      </c>
      <c r="D140" s="197"/>
      <c r="E140" s="197">
        <v>319500</v>
      </c>
      <c r="F140" s="197"/>
      <c r="G140" s="3236">
        <v>319500</v>
      </c>
      <c r="H140" s="3234" t="s">
        <v>1775</v>
      </c>
    </row>
    <row r="141" spans="1:10">
      <c r="A141" s="64" t="s">
        <v>2738</v>
      </c>
      <c r="G141" s="3323">
        <v>200</v>
      </c>
      <c r="H141" s="3243">
        <v>200</v>
      </c>
      <c r="I141" s="3149" t="s">
        <v>8764</v>
      </c>
      <c r="J141" s="35" t="s">
        <v>6941</v>
      </c>
    </row>
    <row r="142" spans="1:10">
      <c r="H142" s="3108"/>
    </row>
    <row r="143" spans="1:10">
      <c r="A143" s="3116" t="s">
        <v>6939</v>
      </c>
      <c r="C143" s="55" t="s">
        <v>897</v>
      </c>
      <c r="D143" s="54"/>
      <c r="E143" s="55" t="s">
        <v>2272</v>
      </c>
      <c r="F143" s="54"/>
      <c r="G143" s="3450" t="str">
        <f>G134</f>
        <v>Current Law</v>
      </c>
      <c r="H143" s="3099" t="s">
        <v>8765</v>
      </c>
    </row>
    <row r="144" spans="1:10">
      <c r="A144" s="64" t="s">
        <v>1013</v>
      </c>
      <c r="C144" s="197">
        <v>4535</v>
      </c>
      <c r="D144" s="197"/>
      <c r="E144" s="197">
        <v>4800</v>
      </c>
      <c r="F144" s="197"/>
      <c r="G144" s="3236">
        <v>5140</v>
      </c>
      <c r="H144" s="3100">
        <v>6160</v>
      </c>
    </row>
    <row r="145" spans="1:10">
      <c r="C145" s="255">
        <v>52.74</v>
      </c>
      <c r="D145" s="255"/>
      <c r="E145" s="255">
        <v>64.33</v>
      </c>
      <c r="F145" s="255"/>
      <c r="G145" s="3235"/>
      <c r="H145" s="3101" t="e">
        <f>IF('Data Entry - SOF'!Q95&lt;'Data Entry - SOF'!Q155,H144*('Data Entry - SOF'!Q95/'Data Entry - SOF'!Q155),H144)</f>
        <v>#DIV/0!</v>
      </c>
    </row>
    <row r="146" spans="1:10">
      <c r="A146" s="64" t="s">
        <v>1015</v>
      </c>
      <c r="C146" s="255">
        <v>64.33</v>
      </c>
      <c r="D146" s="255"/>
      <c r="E146" s="255">
        <v>64.33</v>
      </c>
      <c r="F146" s="255"/>
      <c r="G146" s="3235">
        <f>G137</f>
        <v>135.91999999999999</v>
      </c>
      <c r="H146" s="3242">
        <f>(H144*1.6)/100</f>
        <v>98.56</v>
      </c>
    </row>
    <row r="147" spans="1:10">
      <c r="A147" s="64" t="s">
        <v>1904</v>
      </c>
      <c r="C147" s="255">
        <v>31.95</v>
      </c>
      <c r="D147" s="255"/>
      <c r="E147" s="255">
        <v>31.95</v>
      </c>
      <c r="F147" s="255"/>
      <c r="G147" s="3235">
        <v>31.95</v>
      </c>
      <c r="H147" s="3242">
        <f>(H144*0.8)/100</f>
        <v>49.28</v>
      </c>
    </row>
    <row r="148" spans="1:10">
      <c r="A148" s="64" t="s">
        <v>1902</v>
      </c>
      <c r="C148" s="197">
        <v>527400</v>
      </c>
      <c r="D148" s="197"/>
      <c r="E148" s="197">
        <v>480000</v>
      </c>
      <c r="F148" s="197"/>
      <c r="G148" s="3236">
        <f>G144*100</f>
        <v>514000</v>
      </c>
      <c r="H148" s="3234" t="s">
        <v>1775</v>
      </c>
    </row>
    <row r="149" spans="1:10">
      <c r="A149" s="64" t="s">
        <v>1903</v>
      </c>
      <c r="C149" s="197">
        <v>319500</v>
      </c>
      <c r="D149" s="197"/>
      <c r="E149" s="197">
        <v>319500</v>
      </c>
      <c r="F149" s="197"/>
      <c r="G149" s="3236">
        <v>319500</v>
      </c>
      <c r="H149" s="3234" t="s">
        <v>1775</v>
      </c>
    </row>
    <row r="150" spans="1:10">
      <c r="A150" s="64" t="s">
        <v>2738</v>
      </c>
      <c r="G150" s="3323">
        <v>400</v>
      </c>
      <c r="H150" s="3243">
        <v>400</v>
      </c>
      <c r="I150" s="3149" t="s">
        <v>8764</v>
      </c>
      <c r="J150" s="35" t="s">
        <v>6941</v>
      </c>
    </row>
    <row r="151" spans="1:10">
      <c r="H151" s="3108"/>
    </row>
    <row r="152" spans="1:10">
      <c r="A152" s="3116" t="s">
        <v>8157</v>
      </c>
      <c r="C152" s="55" t="s">
        <v>897</v>
      </c>
      <c r="D152" s="54"/>
      <c r="E152" s="55" t="s">
        <v>2272</v>
      </c>
      <c r="F152" s="54"/>
      <c r="G152" s="3450" t="str">
        <f>G143</f>
        <v>Current Law</v>
      </c>
      <c r="H152" s="3099" t="s">
        <v>8765</v>
      </c>
    </row>
    <row r="153" spans="1:10">
      <c r="A153" s="64" t="s">
        <v>1013</v>
      </c>
      <c r="C153" s="197">
        <v>4535</v>
      </c>
      <c r="D153" s="197"/>
      <c r="E153" s="197">
        <v>4800</v>
      </c>
      <c r="F153" s="197"/>
      <c r="G153" s="3236">
        <v>5140</v>
      </c>
      <c r="H153" s="3100">
        <v>6160</v>
      </c>
    </row>
    <row r="154" spans="1:10">
      <c r="C154" s="255">
        <v>52.74</v>
      </c>
      <c r="D154" s="255"/>
      <c r="E154" s="255">
        <v>64.33</v>
      </c>
      <c r="F154" s="255"/>
      <c r="G154" s="3235"/>
      <c r="H154" s="3101" t="e">
        <f>IF('Data Entry - SOF'!S95&lt;'Data Entry - SOF'!S155,H153*('Data Entry - SOF'!S95/'Data Entry - SOF'!S155),H153)</f>
        <v>#DIV/0!</v>
      </c>
    </row>
    <row r="155" spans="1:10">
      <c r="A155" s="64" t="s">
        <v>1015</v>
      </c>
      <c r="C155" s="255">
        <v>64.33</v>
      </c>
      <c r="D155" s="255"/>
      <c r="E155" s="255">
        <v>64.33</v>
      </c>
      <c r="F155" s="255"/>
      <c r="G155" s="3235">
        <f>G146</f>
        <v>135.91999999999999</v>
      </c>
      <c r="H155" s="3242">
        <f>(H153*1.6)/100</f>
        <v>98.56</v>
      </c>
    </row>
    <row r="156" spans="1:10">
      <c r="A156" s="64" t="s">
        <v>1904</v>
      </c>
      <c r="C156" s="255">
        <v>31.95</v>
      </c>
      <c r="D156" s="255"/>
      <c r="E156" s="255">
        <v>31.95</v>
      </c>
      <c r="F156" s="255"/>
      <c r="G156" s="3235">
        <v>31.95</v>
      </c>
      <c r="H156" s="3242">
        <f>(H153*0.8)/100</f>
        <v>49.28</v>
      </c>
    </row>
    <row r="157" spans="1:10">
      <c r="A157" s="64" t="s">
        <v>1902</v>
      </c>
      <c r="C157" s="197">
        <v>527400</v>
      </c>
      <c r="D157" s="197"/>
      <c r="E157" s="197">
        <v>480000</v>
      </c>
      <c r="F157" s="197"/>
      <c r="G157" s="3236">
        <f>G153*100</f>
        <v>514000</v>
      </c>
      <c r="H157" s="3234" t="s">
        <v>1775</v>
      </c>
    </row>
    <row r="158" spans="1:10">
      <c r="A158" s="64" t="s">
        <v>1903</v>
      </c>
      <c r="C158" s="197">
        <v>319500</v>
      </c>
      <c r="D158" s="197"/>
      <c r="E158" s="197">
        <v>319500</v>
      </c>
      <c r="F158" s="197"/>
      <c r="G158" s="3236">
        <v>319500</v>
      </c>
      <c r="H158" s="3234" t="s">
        <v>1775</v>
      </c>
    </row>
    <row r="159" spans="1:10">
      <c r="A159" s="64" t="s">
        <v>2738</v>
      </c>
      <c r="G159" s="3323">
        <v>200</v>
      </c>
      <c r="H159" s="3243">
        <v>200</v>
      </c>
      <c r="I159" s="3149" t="s">
        <v>8764</v>
      </c>
      <c r="J159" s="35" t="s">
        <v>6941</v>
      </c>
    </row>
    <row r="160" spans="1:10">
      <c r="H160" s="3150"/>
    </row>
    <row r="161" spans="8:13">
      <c r="H161" s="64"/>
      <c r="I161" s="64"/>
      <c r="J161" s="64"/>
      <c r="K161" s="64"/>
      <c r="L161" s="64"/>
      <c r="M161" s="64"/>
    </row>
    <row r="162" spans="8:13">
      <c r="H162" s="64"/>
      <c r="I162" s="64"/>
      <c r="J162" s="64"/>
      <c r="K162" s="64"/>
      <c r="L162" s="64"/>
      <c r="M162" s="64"/>
    </row>
    <row r="163" spans="8:13">
      <c r="H163" s="64"/>
      <c r="I163" s="64"/>
      <c r="J163" s="64"/>
      <c r="K163" s="64"/>
      <c r="L163" s="64"/>
      <c r="M163" s="64"/>
    </row>
    <row r="164" spans="8:13">
      <c r="H164" s="64"/>
      <c r="I164" s="64"/>
      <c r="J164" s="64"/>
      <c r="K164" s="64"/>
      <c r="L164" s="64"/>
      <c r="M164" s="64"/>
    </row>
    <row r="165" spans="8:13">
      <c r="H165" s="64"/>
      <c r="I165" s="64"/>
      <c r="J165" s="64"/>
      <c r="K165" s="64"/>
      <c r="L165" s="64"/>
      <c r="M165" s="64"/>
    </row>
    <row r="166" spans="8:13">
      <c r="H166" s="64"/>
      <c r="I166" s="64"/>
      <c r="J166" s="64"/>
      <c r="K166" s="64"/>
      <c r="L166" s="64"/>
      <c r="M166" s="64"/>
    </row>
    <row r="167" spans="8:13">
      <c r="H167" s="64"/>
    </row>
  </sheetData>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57"/>
  <sheetViews>
    <sheetView topLeftCell="A43" workbookViewId="0">
      <selection activeCell="B5" sqref="B5"/>
    </sheetView>
  </sheetViews>
  <sheetFormatPr defaultRowHeight="12.75"/>
  <cols>
    <col min="1" max="1" width="34.5703125" customWidth="1"/>
    <col min="2" max="8" width="23.7109375" customWidth="1"/>
  </cols>
  <sheetData>
    <row r="1" spans="1:5" s="382" customFormat="1" ht="15">
      <c r="A1" s="382" t="s">
        <v>8718</v>
      </c>
    </row>
    <row r="2" spans="1:5" s="382" customFormat="1" ht="15">
      <c r="A2" s="382" t="s">
        <v>8719</v>
      </c>
    </row>
    <row r="3" spans="1:5" s="382" customFormat="1" ht="15"/>
    <row r="4" spans="1:5" s="382" customFormat="1" ht="15"/>
    <row r="5" spans="1:5" s="382" customFormat="1" ht="15"/>
    <row r="6" spans="1:5" ht="15.75">
      <c r="B6" s="3992" t="s">
        <v>9227</v>
      </c>
      <c r="C6" s="3993"/>
      <c r="D6" s="3993"/>
      <c r="E6" s="3994"/>
    </row>
    <row r="7" spans="1:5">
      <c r="A7" s="3997" t="s">
        <v>8707</v>
      </c>
      <c r="B7" s="54" t="s">
        <v>8690</v>
      </c>
      <c r="C7" s="54" t="s">
        <v>8690</v>
      </c>
      <c r="D7" s="54" t="s">
        <v>8690</v>
      </c>
      <c r="E7" s="54" t="s">
        <v>8690</v>
      </c>
    </row>
    <row r="8" spans="1:5">
      <c r="B8" s="3995" t="s">
        <v>8682</v>
      </c>
      <c r="C8" s="3995" t="s">
        <v>8683</v>
      </c>
      <c r="D8" s="3995" t="s">
        <v>8684</v>
      </c>
      <c r="E8" s="3996" t="s">
        <v>8685</v>
      </c>
    </row>
    <row r="9" spans="1:5" ht="15.75">
      <c r="A9" s="2897" t="s">
        <v>2823</v>
      </c>
      <c r="B9" s="3998">
        <f>'DistCharter-Data1920'!B41</f>
        <v>0</v>
      </c>
      <c r="C9" s="3998">
        <f>'DistCharter-Data1920'!C41</f>
        <v>0</v>
      </c>
      <c r="D9" s="3998">
        <f>'DistCharter-Data1920'!D41</f>
        <v>0</v>
      </c>
      <c r="E9" s="3998">
        <f>'DistCharter-Data1920'!E41</f>
        <v>0</v>
      </c>
    </row>
    <row r="10" spans="1:5" ht="15.75">
      <c r="A10" s="2897" t="s">
        <v>9411</v>
      </c>
      <c r="B10" s="4626" t="e">
        <f>'DistCharter-Data1920'!B42</f>
        <v>#DIV/0!</v>
      </c>
      <c r="C10" s="4626" t="e">
        <f>'DistCharter-Data1920'!C42</f>
        <v>#DIV/0!</v>
      </c>
      <c r="D10" s="4626" t="e">
        <f>'DistCharter-Data1920'!D42</f>
        <v>#DIV/0!</v>
      </c>
      <c r="E10" s="4626" t="e">
        <f>'DistCharter-Data1920'!E42</f>
        <v>#DIV/0!</v>
      </c>
    </row>
    <row r="11" spans="1:5" ht="15.75">
      <c r="A11" s="2897" t="s">
        <v>2828</v>
      </c>
      <c r="B11" s="3998">
        <f>'DistCharter-Data1920'!B43</f>
        <v>0</v>
      </c>
      <c r="C11" s="3998">
        <f>'DistCharter-Data1920'!C43</f>
        <v>0</v>
      </c>
      <c r="D11" s="3998">
        <f>'DistCharter-Data1920'!D43</f>
        <v>0</v>
      </c>
      <c r="E11" s="3998">
        <f>'DistCharter-Data1920'!E43</f>
        <v>0</v>
      </c>
    </row>
    <row r="12" spans="1:5" ht="15.75">
      <c r="A12" s="2897" t="s">
        <v>8775</v>
      </c>
      <c r="B12" s="4626">
        <f>'DistCharter-Data1920'!B44</f>
        <v>0</v>
      </c>
      <c r="C12" s="4626">
        <f>'DistCharter-Data1920'!C44</f>
        <v>0</v>
      </c>
      <c r="D12" s="4626">
        <f>'DistCharter-Data1920'!D44</f>
        <v>0</v>
      </c>
      <c r="E12" s="4626">
        <f>'DistCharter-Data1920'!E44</f>
        <v>0</v>
      </c>
    </row>
    <row r="13" spans="1:5" ht="15.75">
      <c r="A13" s="2897" t="s">
        <v>8687</v>
      </c>
      <c r="B13" s="3998">
        <f>'DistCharter-Data1920'!B45</f>
        <v>0</v>
      </c>
      <c r="C13" s="3998">
        <f>'DistCharter-Data1920'!C45</f>
        <v>0</v>
      </c>
      <c r="D13" s="3998">
        <f>'DistCharter-Data1920'!D45</f>
        <v>0</v>
      </c>
      <c r="E13" s="3998">
        <f>'DistCharter-Data1920'!E45</f>
        <v>0</v>
      </c>
    </row>
    <row r="14" spans="1:5" ht="15.75">
      <c r="A14" s="2897" t="s">
        <v>8688</v>
      </c>
      <c r="B14" s="3998">
        <f>'DistCharter-Data1920'!B46</f>
        <v>0</v>
      </c>
      <c r="C14" s="3998">
        <f>'DistCharter-Data1920'!C46</f>
        <v>0</v>
      </c>
      <c r="D14" s="3998">
        <f>'DistCharter-Data1920'!D46</f>
        <v>0</v>
      </c>
      <c r="E14" s="3998">
        <f>'DistCharter-Data1920'!E46</f>
        <v>0</v>
      </c>
    </row>
    <row r="15" spans="1:5" ht="15.75">
      <c r="A15" s="2897" t="s">
        <v>8689</v>
      </c>
      <c r="B15" s="3998">
        <f>'DistCharter-Data1920'!B47</f>
        <v>0</v>
      </c>
      <c r="C15" s="3998">
        <f>'DistCharter-Data1920'!C47</f>
        <v>0</v>
      </c>
      <c r="D15" s="3998">
        <f>'DistCharter-Data1920'!D47</f>
        <v>0</v>
      </c>
      <c r="E15" s="3998">
        <f>'DistCharter-Data1920'!E47</f>
        <v>0</v>
      </c>
    </row>
    <row r="16" spans="1:5" ht="15.75">
      <c r="A16" s="2897" t="s">
        <v>9038</v>
      </c>
      <c r="B16" s="4626">
        <f>'DistCharter-Data1920'!B48</f>
        <v>0</v>
      </c>
      <c r="C16" s="4626">
        <f>'DistCharter-Data1920'!C48</f>
        <v>0</v>
      </c>
      <c r="D16" s="4626">
        <f>'DistCharter-Data1920'!D48</f>
        <v>0</v>
      </c>
      <c r="E16" s="4626">
        <f>'DistCharter-Data1920'!E48</f>
        <v>0</v>
      </c>
    </row>
    <row r="17" spans="1:5" ht="15.75">
      <c r="A17" s="2897" t="s">
        <v>8942</v>
      </c>
      <c r="B17" s="4626" t="e">
        <f>'DistCharter-Data1920'!B49</f>
        <v>#DIV/0!</v>
      </c>
      <c r="C17" s="4626" t="e">
        <f>'DistCharter-Data1920'!C49</f>
        <v>#DIV/0!</v>
      </c>
      <c r="D17" s="4626" t="e">
        <f>'DistCharter-Data1920'!D49</f>
        <v>#DIV/0!</v>
      </c>
      <c r="E17" s="4626" t="e">
        <f>'DistCharter-Data1920'!E49</f>
        <v>#DIV/0!</v>
      </c>
    </row>
    <row r="18" spans="1:5" ht="15.75">
      <c r="A18" s="2903" t="s">
        <v>8695</v>
      </c>
      <c r="B18" s="3998" t="e">
        <f>'DistCharter-Data1920'!B50</f>
        <v>#DIV/0!</v>
      </c>
      <c r="C18" s="3998" t="e">
        <f>'DistCharter-Data1920'!C50</f>
        <v>#DIV/0!</v>
      </c>
      <c r="D18" s="3998" t="e">
        <f>'DistCharter-Data1920'!D50</f>
        <v>#DIV/0!</v>
      </c>
      <c r="E18" s="3998" t="e">
        <f>'DistCharter-Data1920'!E50</f>
        <v>#DIV/0!</v>
      </c>
    </row>
    <row r="19" spans="1:5">
      <c r="A19" s="3066"/>
    </row>
    <row r="20" spans="1:5">
      <c r="A20" s="3997" t="s">
        <v>8708</v>
      </c>
      <c r="B20" s="54" t="s">
        <v>8690</v>
      </c>
      <c r="C20" s="54" t="s">
        <v>8690</v>
      </c>
      <c r="D20" s="54" t="s">
        <v>8690</v>
      </c>
      <c r="E20" s="54" t="s">
        <v>8690</v>
      </c>
    </row>
    <row r="21" spans="1:5">
      <c r="B21" s="3995" t="s">
        <v>8682</v>
      </c>
      <c r="C21" s="3995" t="s">
        <v>8683</v>
      </c>
      <c r="D21" s="3995" t="s">
        <v>8684</v>
      </c>
      <c r="E21" s="3996" t="s">
        <v>8685</v>
      </c>
    </row>
    <row r="22" spans="1:5" ht="15.75">
      <c r="A22" s="2902" t="s">
        <v>8720</v>
      </c>
      <c r="B22" s="3998" t="e">
        <f>'DistCharter-Data1920'!B74</f>
        <v>#DIV/0!</v>
      </c>
      <c r="C22" s="3998" t="e">
        <f>'DistCharter-Data1920'!C74</f>
        <v>#DIV/0!</v>
      </c>
      <c r="D22" s="3998" t="e">
        <f>'DistCharter-Data1920'!D74</f>
        <v>#DIV/0!</v>
      </c>
      <c r="E22" s="3998" t="e">
        <f>'DistCharter-Data1920'!E74</f>
        <v>#DIV/0!</v>
      </c>
    </row>
    <row r="23" spans="1:5" ht="15.75">
      <c r="A23" s="2902" t="s">
        <v>8721</v>
      </c>
      <c r="B23" s="3998" t="e">
        <f>'DistCharter-Data1920'!B75</f>
        <v>#DIV/0!</v>
      </c>
      <c r="C23" s="3998" t="e">
        <f>'DistCharter-Data1920'!C75</f>
        <v>#DIV/0!</v>
      </c>
      <c r="D23" s="3998" t="e">
        <f>'DistCharter-Data1920'!D75</f>
        <v>#DIV/0!</v>
      </c>
      <c r="E23" s="3998" t="e">
        <f>'DistCharter-Data1920'!E75</f>
        <v>#DIV/0!</v>
      </c>
    </row>
    <row r="24" spans="1:5" ht="15.75">
      <c r="A24" s="2903" t="s">
        <v>8696</v>
      </c>
      <c r="B24" s="3998" t="e">
        <f>'DistCharter-Data1920'!B76</f>
        <v>#DIV/0!</v>
      </c>
      <c r="C24" s="3998" t="e">
        <f>'DistCharter-Data1920'!C76</f>
        <v>#DIV/0!</v>
      </c>
      <c r="D24" s="3998" t="e">
        <f>'DistCharter-Data1920'!D76</f>
        <v>#DIV/0!</v>
      </c>
      <c r="E24" s="3998" t="e">
        <f>'DistCharter-Data1920'!E76</f>
        <v>#DIV/0!</v>
      </c>
    </row>
    <row r="26" spans="1:5" ht="15.75">
      <c r="A26" s="3999" t="s">
        <v>8698</v>
      </c>
      <c r="B26" s="4558" t="e">
        <f>B18+B24</f>
        <v>#DIV/0!</v>
      </c>
      <c r="C26" s="4558" t="e">
        <f t="shared" ref="C26:E26" si="0">C18+C24</f>
        <v>#DIV/0!</v>
      </c>
      <c r="D26" s="4558" t="e">
        <f t="shared" si="0"/>
        <v>#DIV/0!</v>
      </c>
      <c r="E26" s="4558" t="e">
        <f t="shared" si="0"/>
        <v>#DIV/0!</v>
      </c>
    </row>
    <row r="30" spans="1:5">
      <c r="A30" s="3997" t="s">
        <v>8709</v>
      </c>
      <c r="B30" s="54" t="s">
        <v>8691</v>
      </c>
      <c r="C30" s="54" t="s">
        <v>8691</v>
      </c>
      <c r="D30" s="54" t="s">
        <v>8691</v>
      </c>
      <c r="E30" s="54" t="s">
        <v>8691</v>
      </c>
    </row>
    <row r="31" spans="1:5">
      <c r="B31" s="3995" t="s">
        <v>8682</v>
      </c>
      <c r="C31" s="3995" t="s">
        <v>8683</v>
      </c>
      <c r="D31" s="3995" t="s">
        <v>8684</v>
      </c>
      <c r="E31" s="3996" t="s">
        <v>8685</v>
      </c>
    </row>
    <row r="32" spans="1:5" ht="15.75">
      <c r="A32" s="2897" t="s">
        <v>2823</v>
      </c>
      <c r="B32" s="3998">
        <f>'DistCharter-Data1920'!B54</f>
        <v>0</v>
      </c>
      <c r="C32" s="3998">
        <f>'DistCharter-Data1920'!C54</f>
        <v>0</v>
      </c>
      <c r="D32" s="3998">
        <f>'DistCharter-Data1920'!D54</f>
        <v>0</v>
      </c>
      <c r="E32" s="3998">
        <f>'DistCharter-Data1920'!E54</f>
        <v>0</v>
      </c>
    </row>
    <row r="33" spans="1:5" ht="15.75">
      <c r="A33" s="2897" t="s">
        <v>9411</v>
      </c>
      <c r="B33" s="4626">
        <f>'DistCharter-Data1920'!B55</f>
        <v>0</v>
      </c>
      <c r="C33" s="4626">
        <f>'DistCharter-Data1920'!C55</f>
        <v>0</v>
      </c>
      <c r="D33" s="4626">
        <f>'DistCharter-Data1920'!D55</f>
        <v>0</v>
      </c>
      <c r="E33" s="4626">
        <f>'DistCharter-Data1920'!E55</f>
        <v>0</v>
      </c>
    </row>
    <row r="34" spans="1:5" ht="15.75">
      <c r="A34" s="2897" t="s">
        <v>2828</v>
      </c>
      <c r="B34" s="3998">
        <f>'DistCharter-Data1920'!B56</f>
        <v>0</v>
      </c>
      <c r="C34" s="3998">
        <f>'DistCharter-Data1920'!C56</f>
        <v>0</v>
      </c>
      <c r="D34" s="3998">
        <f>'DistCharter-Data1920'!D56</f>
        <v>0</v>
      </c>
      <c r="E34" s="3998">
        <f>'DistCharter-Data1920'!E56</f>
        <v>0</v>
      </c>
    </row>
    <row r="35" spans="1:5" ht="15.75">
      <c r="A35" s="2897" t="s">
        <v>8775</v>
      </c>
      <c r="B35" s="4626">
        <f>'DistCharter-Data1920'!B57</f>
        <v>0</v>
      </c>
      <c r="C35" s="4626">
        <f>'DistCharter-Data1920'!C57</f>
        <v>0</v>
      </c>
      <c r="D35" s="4626">
        <f>'DistCharter-Data1920'!D57</f>
        <v>0</v>
      </c>
      <c r="E35" s="4626">
        <f>'DistCharter-Data1920'!E57</f>
        <v>0</v>
      </c>
    </row>
    <row r="36" spans="1:5" ht="15.75">
      <c r="A36" s="2897" t="s">
        <v>8687</v>
      </c>
      <c r="B36" s="3998">
        <f>'DistCharter-Data1920'!B58</f>
        <v>0</v>
      </c>
      <c r="C36" s="3998">
        <f>'DistCharter-Data1920'!C58</f>
        <v>0</v>
      </c>
      <c r="D36" s="3998">
        <f>'DistCharter-Data1920'!D58</f>
        <v>0</v>
      </c>
      <c r="E36" s="3998">
        <f>'DistCharter-Data1920'!E58</f>
        <v>0</v>
      </c>
    </row>
    <row r="37" spans="1:5" ht="15.75">
      <c r="A37" s="2897" t="s">
        <v>8688</v>
      </c>
      <c r="B37" s="3998">
        <f>'DistCharter-Data1920'!B59</f>
        <v>0</v>
      </c>
      <c r="C37" s="3998">
        <f>'DistCharter-Data1920'!C59</f>
        <v>0</v>
      </c>
      <c r="D37" s="3998">
        <f>'DistCharter-Data1920'!D59</f>
        <v>0</v>
      </c>
      <c r="E37" s="3998">
        <f>'DistCharter-Data1920'!E59</f>
        <v>0</v>
      </c>
    </row>
    <row r="38" spans="1:5" ht="15.75">
      <c r="A38" s="2897" t="s">
        <v>8689</v>
      </c>
      <c r="B38" s="3998">
        <f>'DistCharter-Data1920'!B60</f>
        <v>0</v>
      </c>
      <c r="C38" s="3998">
        <f>'DistCharter-Data1920'!C60</f>
        <v>0</v>
      </c>
      <c r="D38" s="3998">
        <f>'DistCharter-Data1920'!D60</f>
        <v>0</v>
      </c>
      <c r="E38" s="3998">
        <f>'DistCharter-Data1920'!E60</f>
        <v>0</v>
      </c>
    </row>
    <row r="39" spans="1:5" ht="15.75">
      <c r="A39" s="2897" t="s">
        <v>9038</v>
      </c>
      <c r="B39" s="4626">
        <f>'DistCharter-Data1920'!B61</f>
        <v>0</v>
      </c>
      <c r="C39" s="4626">
        <f>'DistCharter-Data1920'!C61</f>
        <v>0</v>
      </c>
      <c r="D39" s="4626">
        <f>'DistCharter-Data1920'!D61</f>
        <v>0</v>
      </c>
      <c r="E39" s="4626">
        <f>'DistCharter-Data1920'!E61</f>
        <v>0</v>
      </c>
    </row>
    <row r="40" spans="1:5" ht="15.75">
      <c r="A40" s="2897" t="s">
        <v>8942</v>
      </c>
      <c r="B40" s="4626">
        <f>'DistCharter-Data1920'!B62</f>
        <v>0</v>
      </c>
      <c r="C40" s="4626">
        <f>'DistCharter-Data1920'!C62</f>
        <v>0</v>
      </c>
      <c r="D40" s="4626">
        <f>'DistCharter-Data1920'!D62</f>
        <v>0</v>
      </c>
      <c r="E40" s="4626">
        <f>'DistCharter-Data1920'!E62</f>
        <v>0</v>
      </c>
    </row>
    <row r="41" spans="1:5" ht="15.75">
      <c r="A41" s="2903" t="s">
        <v>8695</v>
      </c>
      <c r="B41" s="3998">
        <f>SUM(B32:B40)</f>
        <v>0</v>
      </c>
      <c r="C41" s="3998">
        <f t="shared" ref="C41:E41" si="1">SUM(C32:C40)</f>
        <v>0</v>
      </c>
      <c r="D41" s="3998">
        <f t="shared" si="1"/>
        <v>0</v>
      </c>
      <c r="E41" s="3998">
        <f t="shared" si="1"/>
        <v>0</v>
      </c>
    </row>
    <row r="43" spans="1:5">
      <c r="A43" s="3997" t="s">
        <v>8710</v>
      </c>
      <c r="B43" s="54" t="s">
        <v>8691</v>
      </c>
      <c r="C43" s="54" t="s">
        <v>8691</v>
      </c>
      <c r="D43" s="54" t="s">
        <v>8691</v>
      </c>
      <c r="E43" s="54" t="s">
        <v>8691</v>
      </c>
    </row>
    <row r="44" spans="1:5">
      <c r="B44" s="3995" t="s">
        <v>8682</v>
      </c>
      <c r="C44" s="3995" t="s">
        <v>8683</v>
      </c>
      <c r="D44" s="3995" t="s">
        <v>8684</v>
      </c>
      <c r="E44" s="3996" t="s">
        <v>8685</v>
      </c>
    </row>
    <row r="45" spans="1:5" ht="15.75">
      <c r="A45" s="2902" t="s">
        <v>8720</v>
      </c>
      <c r="B45" s="3998">
        <f>'DistCharter-Data1920'!B80</f>
        <v>0</v>
      </c>
      <c r="C45" s="3998">
        <f>'DistCharter-Data1920'!C80</f>
        <v>0</v>
      </c>
      <c r="D45" s="3998">
        <f>'DistCharter-Data1920'!D80</f>
        <v>0</v>
      </c>
      <c r="E45" s="3998">
        <f>'DistCharter-Data1920'!E80</f>
        <v>0</v>
      </c>
    </row>
    <row r="46" spans="1:5" ht="15.75">
      <c r="A46" s="2902" t="s">
        <v>8721</v>
      </c>
      <c r="B46" s="3998">
        <f>'DistCharter-Data1920'!B81</f>
        <v>0</v>
      </c>
      <c r="C46" s="3998">
        <f>'DistCharter-Data1920'!C81</f>
        <v>0</v>
      </c>
      <c r="D46" s="3998">
        <f>'DistCharter-Data1920'!D81</f>
        <v>0</v>
      </c>
      <c r="E46" s="3998">
        <f>'DistCharter-Data1920'!E81</f>
        <v>0</v>
      </c>
    </row>
    <row r="47" spans="1:5" ht="15.75">
      <c r="A47" s="2903" t="s">
        <v>8696</v>
      </c>
      <c r="B47" s="3998">
        <f>SUM(B45:B46)</f>
        <v>0</v>
      </c>
      <c r="C47" s="3998">
        <f t="shared" ref="C47:E47" si="2">SUM(C45:C46)</f>
        <v>0</v>
      </c>
      <c r="D47" s="3998">
        <f t="shared" si="2"/>
        <v>0</v>
      </c>
      <c r="E47" s="3998">
        <f t="shared" si="2"/>
        <v>0</v>
      </c>
    </row>
    <row r="49" spans="1:6">
      <c r="A49" s="3997" t="s">
        <v>8711</v>
      </c>
      <c r="B49" s="54" t="s">
        <v>8691</v>
      </c>
      <c r="C49" s="54" t="s">
        <v>8691</v>
      </c>
      <c r="D49" s="54" t="s">
        <v>8691</v>
      </c>
      <c r="E49" s="54" t="s">
        <v>8691</v>
      </c>
    </row>
    <row r="50" spans="1:6">
      <c r="B50" s="3995" t="s">
        <v>8682</v>
      </c>
      <c r="C50" s="3995" t="s">
        <v>8683</v>
      </c>
      <c r="D50" s="3995" t="s">
        <v>8684</v>
      </c>
      <c r="E50" s="3996" t="s">
        <v>8685</v>
      </c>
    </row>
    <row r="51" spans="1:6" ht="15.75">
      <c r="A51" s="2902" t="s">
        <v>8697</v>
      </c>
      <c r="B51" s="3998">
        <f>'DistCharter-Data1920'!B95</f>
        <v>0</v>
      </c>
      <c r="C51" s="3998">
        <f>'DistCharter-Data1920'!C95</f>
        <v>0</v>
      </c>
      <c r="D51" s="3998">
        <f>'DistCharter-Data1920'!D95</f>
        <v>0</v>
      </c>
      <c r="E51" s="3998">
        <f>'DistCharter-Data1920'!E95</f>
        <v>0</v>
      </c>
    </row>
    <row r="53" spans="1:6" ht="15.75">
      <c r="A53" s="3999" t="s">
        <v>8712</v>
      </c>
      <c r="B53" s="4558">
        <f>B41+B47+B51</f>
        <v>0</v>
      </c>
      <c r="C53" s="4558">
        <f t="shared" ref="C53:E53" si="3">C41+C47+C51</f>
        <v>0</v>
      </c>
      <c r="D53" s="4558">
        <f t="shared" si="3"/>
        <v>0</v>
      </c>
      <c r="E53" s="4558">
        <f t="shared" si="3"/>
        <v>0</v>
      </c>
    </row>
    <row r="55" spans="1:6" ht="15.75">
      <c r="F55" s="2904" t="s">
        <v>8701</v>
      </c>
    </row>
    <row r="56" spans="1:6" ht="15.75">
      <c r="A56" s="4000" t="s">
        <v>8699</v>
      </c>
      <c r="B56" s="4001"/>
      <c r="C56" s="4001"/>
      <c r="D56" s="4001"/>
      <c r="E56" s="2915"/>
      <c r="F56" s="4001"/>
    </row>
    <row r="57" spans="1:6" ht="15.75">
      <c r="A57" s="4002" t="s">
        <v>8700</v>
      </c>
      <c r="B57" s="4559" t="e">
        <f>IF(B26&gt;=B53,0,B53-B26)</f>
        <v>#DIV/0!</v>
      </c>
      <c r="C57" s="4559" t="e">
        <f>IF(C26&gt;=C53,0,C53-C26)</f>
        <v>#DIV/0!</v>
      </c>
      <c r="D57" s="4559" t="e">
        <f>IF(D26&gt;=D53,0,D53-D26)</f>
        <v>#DIV/0!</v>
      </c>
      <c r="E57" s="4559" t="e">
        <f>IF(E26&gt;=E53,0,E53-E26)</f>
        <v>#DIV/0!</v>
      </c>
      <c r="F57" s="4559" t="e">
        <f>SUM(B57:E57)</f>
        <v>#DIV/0!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56" workbookViewId="0">
      <selection activeCell="H63" sqref="H63"/>
    </sheetView>
  </sheetViews>
  <sheetFormatPr defaultRowHeight="12.75"/>
  <cols>
    <col min="1" max="1" width="10.5703125" bestFit="1" customWidth="1"/>
    <col min="3" max="3" width="13.5703125" customWidth="1"/>
    <col min="4" max="4" width="44.5703125" customWidth="1"/>
    <col min="5" max="6" width="19.140625" customWidth="1"/>
    <col min="7" max="7" width="3.5703125" customWidth="1"/>
    <col min="8" max="8" width="19.140625" customWidth="1"/>
    <col min="9" max="11" width="28.42578125" customWidth="1"/>
    <col min="12" max="12" width="13.5703125" customWidth="1"/>
    <col min="13" max="13" width="13.5703125" style="119" customWidth="1"/>
    <col min="14" max="14" width="13.5703125" customWidth="1"/>
    <col min="15" max="15" width="29.85546875" style="37" customWidth="1"/>
    <col min="16" max="16" width="13.5703125" customWidth="1"/>
    <col min="17" max="17" width="13.140625" customWidth="1"/>
    <col min="38" max="38" width="15.5703125" customWidth="1"/>
    <col min="39" max="39" width="16" customWidth="1"/>
  </cols>
  <sheetData>
    <row r="1" spans="1:11" hidden="1">
      <c r="A1" s="20" t="s">
        <v>66</v>
      </c>
      <c r="C1" s="264">
        <f>'Data Entry - SOF'!B1</f>
        <v>0</v>
      </c>
      <c r="E1" s="362"/>
      <c r="F1" t="str">
        <f>'Report-SOF1819'!D1</f>
        <v>Release 10</v>
      </c>
      <c r="G1" s="59"/>
      <c r="H1" s="59"/>
      <c r="J1" s="59"/>
      <c r="K1" s="59"/>
    </row>
    <row r="2" spans="1:11" hidden="1">
      <c r="A2" s="20" t="s">
        <v>67</v>
      </c>
      <c r="C2" s="12">
        <f>'Data Entry - SOF'!B2</f>
        <v>0</v>
      </c>
      <c r="F2" s="59">
        <f>'Report-SOF1819'!D2</f>
        <v>43724</v>
      </c>
      <c r="G2" s="59"/>
      <c r="H2" s="59"/>
      <c r="J2" s="59"/>
      <c r="K2" s="59"/>
    </row>
    <row r="3" spans="1:11" hidden="1">
      <c r="A3" s="20" t="s">
        <v>143</v>
      </c>
      <c r="C3" s="62">
        <f ca="1">'Data Entry - SOF'!B3</f>
        <v>43726.623322453706</v>
      </c>
      <c r="F3" s="58">
        <f>'Report-SOF1819'!D3</f>
        <v>0</v>
      </c>
    </row>
    <row r="4" spans="1:11" hidden="1">
      <c r="D4" s="295" t="s">
        <v>3183</v>
      </c>
    </row>
    <row r="5" spans="1:11" hidden="1">
      <c r="D5" s="296" t="s">
        <v>3849</v>
      </c>
    </row>
    <row r="6" spans="1:11" hidden="1"/>
    <row r="7" spans="1:11" hidden="1">
      <c r="D7" s="20" t="s">
        <v>1393</v>
      </c>
    </row>
    <row r="8" spans="1:11" hidden="1">
      <c r="B8" s="4"/>
      <c r="D8" s="20" t="s">
        <v>832</v>
      </c>
      <c r="F8" s="19">
        <f>'Calc Data'!E7</f>
        <v>0</v>
      </c>
      <c r="G8" s="18"/>
      <c r="H8" s="18"/>
      <c r="J8" s="18"/>
      <c r="K8" s="18"/>
    </row>
    <row r="9" spans="1:11" hidden="1">
      <c r="D9" s="20" t="s">
        <v>1394</v>
      </c>
      <c r="F9" s="19">
        <f>'Calc Data'!E8</f>
        <v>0</v>
      </c>
      <c r="G9" s="18"/>
      <c r="H9" s="18"/>
      <c r="J9" s="18"/>
      <c r="K9" s="18"/>
    </row>
    <row r="10" spans="1:11" hidden="1">
      <c r="D10" s="20" t="s">
        <v>426</v>
      </c>
      <c r="F10" s="19">
        <f>'Data Entry - SOF'!E35</f>
        <v>0</v>
      </c>
      <c r="G10" s="18"/>
      <c r="H10" s="18"/>
      <c r="J10" s="18"/>
      <c r="K10" s="18"/>
    </row>
    <row r="11" spans="1:11" hidden="1">
      <c r="B11" s="20"/>
      <c r="D11" s="20" t="s">
        <v>427</v>
      </c>
      <c r="F11" s="19">
        <f>'Calc Data'!E10</f>
        <v>0</v>
      </c>
      <c r="G11" s="18"/>
      <c r="H11" s="18"/>
      <c r="J11" s="18"/>
      <c r="K11" s="18"/>
    </row>
    <row r="12" spans="1:11" hidden="1">
      <c r="D12" s="20" t="s">
        <v>428</v>
      </c>
      <c r="F12" s="16">
        <f>'Data Entry - SOF'!E73</f>
        <v>0</v>
      </c>
      <c r="G12" s="16"/>
      <c r="H12" s="16"/>
      <c r="J12" s="16"/>
      <c r="K12" s="16"/>
    </row>
    <row r="13" spans="1:11" hidden="1">
      <c r="D13" s="20" t="s">
        <v>429</v>
      </c>
      <c r="F13" s="16" t="e">
        <f>'Data Entry - SOF'!#REF!</f>
        <v>#REF!</v>
      </c>
      <c r="G13" s="16"/>
      <c r="H13" s="16"/>
      <c r="J13" s="16"/>
      <c r="K13" s="16"/>
    </row>
    <row r="14" spans="1:11" hidden="1">
      <c r="D14" s="20" t="s">
        <v>1811</v>
      </c>
      <c r="F14" s="19">
        <f>'Data Entry - SOF'!E159</f>
        <v>0</v>
      </c>
      <c r="G14" s="16"/>
      <c r="H14" s="16"/>
      <c r="J14" s="16"/>
      <c r="K14" s="16"/>
    </row>
    <row r="15" spans="1:11" hidden="1">
      <c r="D15" s="20" t="s">
        <v>1155</v>
      </c>
      <c r="F15" s="19">
        <f>'Calc Data'!E59</f>
        <v>0</v>
      </c>
      <c r="G15" s="17"/>
      <c r="H15" s="17"/>
      <c r="J15" s="17"/>
      <c r="K15" s="17"/>
    </row>
    <row r="16" spans="1:11" hidden="1">
      <c r="D16" s="20" t="s">
        <v>1956</v>
      </c>
      <c r="F16" s="16">
        <f>'Data Entry - SOF'!E93</f>
        <v>0</v>
      </c>
      <c r="G16" s="16"/>
      <c r="H16" s="16"/>
      <c r="J16" s="16"/>
      <c r="K16" s="16"/>
    </row>
    <row r="17" spans="2:38" ht="13.5" hidden="1" thickBot="1">
      <c r="D17" s="27"/>
      <c r="E17" s="10"/>
      <c r="F17" s="10"/>
      <c r="G17" s="16"/>
      <c r="H17" s="16"/>
      <c r="J17" s="16"/>
      <c r="K17" s="16"/>
    </row>
    <row r="18" spans="2:38">
      <c r="D18" s="20"/>
      <c r="G18" s="16"/>
      <c r="H18" s="2509" t="s">
        <v>3853</v>
      </c>
      <c r="I18" s="2500"/>
      <c r="J18" s="2968" t="s">
        <v>6968</v>
      </c>
      <c r="K18" s="2501" t="s">
        <v>6967</v>
      </c>
      <c r="O18" s="2662" t="s">
        <v>8566</v>
      </c>
      <c r="P18" s="2615"/>
      <c r="Q18" s="2616"/>
      <c r="R18" s="2617"/>
      <c r="S18" s="2618"/>
    </row>
    <row r="19" spans="2:38" ht="15.75">
      <c r="B19" s="24" t="s">
        <v>430</v>
      </c>
      <c r="D19" s="20"/>
      <c r="F19" s="324" t="s">
        <v>3898</v>
      </c>
      <c r="G19" s="20"/>
      <c r="H19" s="2510" t="s">
        <v>3840</v>
      </c>
      <c r="I19" s="2504"/>
      <c r="J19" s="2969" t="s">
        <v>8554</v>
      </c>
      <c r="K19" s="2958" t="s">
        <v>8553</v>
      </c>
      <c r="O19" s="2619" t="s">
        <v>8565</v>
      </c>
      <c r="P19" s="2623" t="s">
        <v>3841</v>
      </c>
      <c r="Q19" s="1422"/>
      <c r="R19" s="2621"/>
      <c r="S19" s="2622"/>
    </row>
    <row r="20" spans="2:38" ht="15.75">
      <c r="B20" s="24">
        <v>11</v>
      </c>
      <c r="D20" s="100" t="s">
        <v>3140</v>
      </c>
      <c r="F20" s="311">
        <f>ROUND(ROUND('Calc Data'!E23,0)*IF('Calc Data'!E11&gt;'Calc Data'!E10,'Calc Data'!E11,'Calc Data'!E10),0)</f>
        <v>0</v>
      </c>
      <c r="G20" s="16"/>
      <c r="H20" s="2537">
        <f>ROUND(ROUND('Calc Data'!AG23,0)*IF('Calc Data'!E11&gt;'Calc Data'!E10,'Calc Data'!E11,'Calc Data'!E10),0)</f>
        <v>0</v>
      </c>
      <c r="I20" s="2555"/>
      <c r="J20" s="2951">
        <f>ROUND(ROUND('Calc Data'!AG78,0)*IF('Calc Data'!E11&gt;'Calc Data'!E10,'Calc Data'!E11,'Calc Data'!E10),0)</f>
        <v>0</v>
      </c>
      <c r="K20" s="2508"/>
      <c r="O20" s="2624">
        <f>(ROUND(ROUND(P20,0)*IF('Calc Data'!E11&gt;'Calc Data'!E10,'Calc Data'!E11,'Calc Data'!E10),0))*Weights!K4</f>
        <v>0</v>
      </c>
      <c r="P20" s="1760">
        <f>'Calc Data'!X23</f>
        <v>0</v>
      </c>
      <c r="Q20" s="2625" t="s">
        <v>8564</v>
      </c>
      <c r="R20" s="1422"/>
      <c r="S20" s="2622"/>
      <c r="AL20" s="16" t="e">
        <f>ROUND(ROUND('Calc Data'!AC23,0)*IF('Calc Data'!#REF!&gt;'Calc Data'!#REF!,'Calc Data'!#REF!,'Calc Data'!#REF!),0)</f>
        <v>#REF!</v>
      </c>
    </row>
    <row r="21" spans="2:38">
      <c r="B21" s="24">
        <v>23</v>
      </c>
      <c r="D21" s="20" t="s">
        <v>89</v>
      </c>
      <c r="F21" s="16">
        <f>ROUND('Calc Data'!E9*ROUND('Calc Data'!E23,0),0)</f>
        <v>0</v>
      </c>
      <c r="G21" s="16"/>
      <c r="H21" s="2538">
        <f>ROUND('Calc Data'!E9*ROUND('Calc Data'!AG23,0),0)</f>
        <v>0</v>
      </c>
      <c r="I21" s="2555"/>
      <c r="J21" s="2952">
        <f>ROUND('Calc Data'!E9*ROUND('Calc Data'!AG78,0),0)</f>
        <v>0</v>
      </c>
      <c r="K21" s="2959"/>
      <c r="O21" s="2626">
        <f>ROUND('Calc Data'!E9*ROUND(P20,0),0)</f>
        <v>0</v>
      </c>
      <c r="P21" s="1422"/>
      <c r="Q21" s="2621"/>
      <c r="R21" s="2621"/>
      <c r="S21" s="2622"/>
      <c r="AL21" s="16" t="e">
        <f>ROUND('Calc Data'!#REF!*ROUND('Calc Data'!AC23,0),0)</f>
        <v>#REF!</v>
      </c>
    </row>
    <row r="22" spans="2:38">
      <c r="B22" s="24"/>
      <c r="D22" s="20" t="s">
        <v>90</v>
      </c>
      <c r="F22" s="35"/>
      <c r="H22" s="2539"/>
      <c r="I22" s="2555"/>
      <c r="J22" s="2953"/>
      <c r="K22" s="2959"/>
      <c r="O22" s="2627"/>
      <c r="P22" s="1422"/>
      <c r="Q22" s="2621"/>
      <c r="R22" s="2621"/>
      <c r="S22" s="2622"/>
    </row>
    <row r="23" spans="2:38">
      <c r="B23" s="24">
        <v>23</v>
      </c>
      <c r="D23" s="20" t="s">
        <v>91</v>
      </c>
      <c r="F23" s="26">
        <f>ROUND('Data Entry - SOF'!E34*Weights!J21*ROUND('Calc Data'!E23,0),0)</f>
        <v>0</v>
      </c>
      <c r="G23" s="26"/>
      <c r="H23" s="2540">
        <f>ROUND('Data Entry - SOF'!E34*Weights!J21*ROUND('Calc Data'!AG23,0),0)</f>
        <v>0</v>
      </c>
      <c r="I23" s="2555"/>
      <c r="J23" s="2954">
        <f>ROUND('Data Entry - SOF'!E34*Weights!J21*ROUND('Calc Data'!AG78,0),0)</f>
        <v>0</v>
      </c>
      <c r="K23" s="2959"/>
      <c r="O23" s="2628">
        <f>ROUND('Data Entry - SOF'!E34*Weights!K21*ROUND(P20,0),0)</f>
        <v>0</v>
      </c>
      <c r="P23" s="1422"/>
      <c r="Q23" s="2621"/>
      <c r="R23" s="2621"/>
      <c r="S23" s="2622"/>
      <c r="AL23" s="26" t="e">
        <f>ROUND('Data Entry - SOF'!#REF!*1.1*ROUND('Calc Data'!AC23,0),0)</f>
        <v>#REF!</v>
      </c>
    </row>
    <row r="24" spans="2:38">
      <c r="B24" s="24">
        <v>23</v>
      </c>
      <c r="D24" s="20" t="s">
        <v>92</v>
      </c>
      <c r="F24" s="16">
        <f>ROUND((+'Data Entry - SOF'!E32*Weights!J19)*ROUND('Calc Data'!E23,0),0)</f>
        <v>0</v>
      </c>
      <c r="G24" s="16"/>
      <c r="H24" s="2538">
        <f>ROUND((+'Data Entry - SOF'!E32*Weights!J19)*ROUND('Calc Data'!AG23,0),0)</f>
        <v>0</v>
      </c>
      <c r="I24" s="2555"/>
      <c r="J24" s="2952">
        <f>ROUND((+'Data Entry - SOF'!E32*Weights!J19)*ROUND('Calc Data'!AG78,0),0)</f>
        <v>0</v>
      </c>
      <c r="K24" s="2959"/>
      <c r="O24" s="2626">
        <f>ROUND((+'Data Entry - SOF'!E32*Weights!K19)*ROUND(P20,0),0)</f>
        <v>0</v>
      </c>
      <c r="P24" s="1422"/>
      <c r="Q24" s="2621"/>
      <c r="R24" s="2621"/>
      <c r="S24" s="2622"/>
      <c r="AL24" s="16" t="e">
        <f>ROUND((+'Data Entry - SOF'!#REF!*4)*ROUND('Calc Data'!AC23,0),0)</f>
        <v>#REF!</v>
      </c>
    </row>
    <row r="25" spans="2:38">
      <c r="B25" s="24">
        <v>23</v>
      </c>
      <c r="D25" s="22" t="s">
        <v>812</v>
      </c>
      <c r="F25" s="16">
        <f>ROUND((+'Data Entry - SOF'!E30*Weights!J17)*ROUND('Calc Data'!E23,0),0)</f>
        <v>0</v>
      </c>
      <c r="G25" s="16"/>
      <c r="H25" s="2538">
        <f>ROUND((+'Data Entry - SOF'!E30*Weights!J17)*ROUND('Calc Data'!AG23,0),0)</f>
        <v>0</v>
      </c>
      <c r="I25" s="2555"/>
      <c r="J25" s="2952">
        <f>ROUND((+'Data Entry - SOF'!E30*Weights!J17)*ROUND('Calc Data'!AG78,0),0)</f>
        <v>0</v>
      </c>
      <c r="K25" s="2959"/>
      <c r="O25" s="2626">
        <f>ROUND((+'Data Entry - SOF'!E30*Weights!K17)*ROUND(P20,0),0)</f>
        <v>0</v>
      </c>
      <c r="P25" s="1422"/>
      <c r="Q25" s="2621"/>
      <c r="R25" s="2621"/>
      <c r="S25" s="2622"/>
      <c r="AL25" s="16" t="e">
        <f>ROUND((+'Data Entry - SOF'!#REF!*2.8)*ROUND('Calc Data'!AC23,0),0)</f>
        <v>#REF!</v>
      </c>
    </row>
    <row r="26" spans="2:38">
      <c r="B26" s="24">
        <v>23</v>
      </c>
      <c r="D26" s="22" t="s">
        <v>813</v>
      </c>
      <c r="F26" s="16">
        <f>ROUND(('Data Entry - SOF'!E31*Weights!J18)*ROUND('Calc Data'!E23,0),0)</f>
        <v>0</v>
      </c>
      <c r="G26" s="16"/>
      <c r="H26" s="2538">
        <f>ROUND(('Data Entry - SOF'!E31*Weights!J18)*ROUND('Calc Data'!AG23,0),0)</f>
        <v>0</v>
      </c>
      <c r="I26" s="2555"/>
      <c r="J26" s="2952">
        <f>ROUND(('Data Entry - SOF'!E31*Weights!J18)*ROUND('Calc Data'!AG78,0),0)</f>
        <v>0</v>
      </c>
      <c r="K26" s="2959"/>
      <c r="O26" s="2626">
        <f>ROUND(('Data Entry - SOF'!E31*Weights!K18)*ROUND(P20,0),0)</f>
        <v>0</v>
      </c>
      <c r="P26" s="1422"/>
      <c r="Q26" s="2621"/>
      <c r="R26" s="2621"/>
      <c r="S26" s="2622"/>
      <c r="AL26" s="16" t="e">
        <f>ROUND(('Data Entry - SOF'!#REF!*1.7)*ROUND('Calc Data'!AC23,0),0)</f>
        <v>#REF!</v>
      </c>
    </row>
    <row r="27" spans="2:38">
      <c r="B27" s="24"/>
      <c r="D27" s="20" t="s">
        <v>1145</v>
      </c>
      <c r="F27" s="16">
        <f>IF('Data Entry - SOF'!E114&lt;0,'Data Entry - SOF'!E114,'Data Entry - SOF'!E114*-1)</f>
        <v>0</v>
      </c>
      <c r="G27" s="16"/>
      <c r="H27" s="2538">
        <f>IF('Data Entry - SOF'!E114&lt;0,'Data Entry - SOF'!E114,'Data Entry - SOF'!E114*-1)</f>
        <v>0</v>
      </c>
      <c r="I27" s="2555"/>
      <c r="J27" s="2955">
        <f>H27</f>
        <v>0</v>
      </c>
      <c r="K27" s="2959"/>
      <c r="O27" s="2626">
        <f>IF('Data Entry - SOF'!E114&lt;0,'Data Entry - SOF'!E114,'Data Entry - SOF'!E114*-1)</f>
        <v>0</v>
      </c>
      <c r="P27" s="1422"/>
      <c r="Q27" s="2621"/>
      <c r="R27" s="2621"/>
      <c r="S27" s="2622"/>
      <c r="AL27" s="16">
        <v>0</v>
      </c>
    </row>
    <row r="28" spans="2:38">
      <c r="B28" s="24">
        <v>22</v>
      </c>
      <c r="C28" s="14"/>
      <c r="D28" s="20" t="s">
        <v>102</v>
      </c>
      <c r="F28" s="16">
        <f>ROUND(ROUND('Calc Data'!E23,0)*'Data Entry - SOF'!E35*Weights!J23,0)</f>
        <v>0</v>
      </c>
      <c r="G28" s="16"/>
      <c r="H28" s="2538">
        <f>ROUND(ROUND('Calc Data'!AG23,0)*'Data Entry - SOF'!E35*Weights!J23,0)</f>
        <v>0</v>
      </c>
      <c r="I28" s="2555"/>
      <c r="J28" s="2952">
        <f>ROUND(ROUND('Calc Data'!AG78,0)*'Data Entry - SOF'!E35*Weights!J23,0)</f>
        <v>0</v>
      </c>
      <c r="K28" s="2959"/>
      <c r="O28" s="2626">
        <f>ROUND(ROUND(P20,0)*'Data Entry - SOF'!E35*Weights!K23,0)</f>
        <v>0</v>
      </c>
      <c r="P28" s="1422"/>
      <c r="Q28" s="2621"/>
      <c r="R28" s="2621"/>
      <c r="S28" s="2622"/>
      <c r="AL28" s="16" t="e">
        <f>ROUND(ROUND('Calc Data'!AC23,0)*'Data Entry - SOF'!#REF!*1.35,0)</f>
        <v>#REF!</v>
      </c>
    </row>
    <row r="29" spans="2:38">
      <c r="B29" s="24"/>
      <c r="C29" s="14"/>
      <c r="D29" s="35" t="s">
        <v>644</v>
      </c>
      <c r="F29" s="16">
        <f>Weights!J24*'Data Entry - SOF'!E37</f>
        <v>0</v>
      </c>
      <c r="G29" s="16"/>
      <c r="H29" s="2538">
        <f>Weights!J24*'Data Entry - SOF'!E37</f>
        <v>0</v>
      </c>
      <c r="I29" s="2555"/>
      <c r="J29" s="2955">
        <f>H29</f>
        <v>0</v>
      </c>
      <c r="K29" s="2959"/>
      <c r="O29" s="2626">
        <f>Weights!K24*'Data Entry - SOF'!E37</f>
        <v>0</v>
      </c>
      <c r="P29" s="1422"/>
      <c r="Q29" s="2621"/>
      <c r="R29" s="2621"/>
      <c r="S29" s="2622"/>
      <c r="AL29" s="16"/>
    </row>
    <row r="30" spans="2:38" hidden="1">
      <c r="B30" s="24"/>
      <c r="C30" s="14"/>
      <c r="D30" s="35" t="s">
        <v>645</v>
      </c>
      <c r="F30" s="16">
        <f>400*'Data Entry - SOF'!E39</f>
        <v>0</v>
      </c>
      <c r="G30" s="16"/>
      <c r="H30" s="2538">
        <f>400*'Data Entry - SOF'!E39</f>
        <v>0</v>
      </c>
      <c r="I30" s="2555"/>
      <c r="J30" s="2956"/>
      <c r="K30" s="2959"/>
      <c r="O30" s="2626" t="e">
        <f>400*'Data Entry - SOF'!#REF!</f>
        <v>#REF!</v>
      </c>
      <c r="P30" s="1422"/>
      <c r="Q30" s="2621"/>
      <c r="R30" s="2621"/>
      <c r="S30" s="2622"/>
      <c r="AL30" s="16"/>
    </row>
    <row r="31" spans="2:38" hidden="1">
      <c r="B31" s="24"/>
      <c r="C31" s="14"/>
      <c r="D31" s="35" t="s">
        <v>646</v>
      </c>
      <c r="F31" s="16">
        <f>80*'Data Entry - SOF'!E40</f>
        <v>0</v>
      </c>
      <c r="G31" s="16"/>
      <c r="H31" s="2538">
        <f>80*'Data Entry - SOF'!E40</f>
        <v>0</v>
      </c>
      <c r="I31" s="2555"/>
      <c r="J31" s="2956"/>
      <c r="K31" s="2959"/>
      <c r="O31" s="2626" t="e">
        <f>80*'Data Entry - SOF'!#REF!</f>
        <v>#REF!</v>
      </c>
      <c r="P31" s="1422"/>
      <c r="Q31" s="2621"/>
      <c r="R31" s="2621"/>
      <c r="S31" s="2622"/>
      <c r="AL31" s="16"/>
    </row>
    <row r="32" spans="2:38">
      <c r="B32" s="24">
        <v>21</v>
      </c>
      <c r="D32" s="20" t="s">
        <v>2634</v>
      </c>
      <c r="F32" s="16">
        <f>ROUND(ROUND('Calc Data'!E23,0)*'Data Entry - SOF'!E211*Weights!J28,0)</f>
        <v>0</v>
      </c>
      <c r="G32" s="16"/>
      <c r="H32" s="2538">
        <f>ROUND(ROUND('Calc Data'!AG23,0)*'Data Entry - SOF'!E211*Weights!J28,0)</f>
        <v>0</v>
      </c>
      <c r="I32" s="2555"/>
      <c r="J32" s="2952">
        <f>ROUND(ROUND('Calc Data'!AG78,0)*'Data Entry - SOF'!E211*Weights!J28,0)</f>
        <v>0</v>
      </c>
      <c r="K32" s="2959"/>
      <c r="O32" s="2626">
        <f>ROUND(ROUND(P20,0)*'Data Entry - SOF'!E211*Weights!K28,0)</f>
        <v>0</v>
      </c>
      <c r="P32" s="1422"/>
      <c r="Q32" s="2621"/>
      <c r="R32" s="2621"/>
      <c r="S32" s="2622"/>
      <c r="AL32" s="16" t="e">
        <f>ROUND(ROUND('Calc Data'!AC23,0)*'Data Entry - SOF'!#REF!*0.12,0)</f>
        <v>#REF!</v>
      </c>
    </row>
    <row r="33" spans="2:38">
      <c r="B33" s="24"/>
      <c r="D33" s="20" t="s">
        <v>397</v>
      </c>
      <c r="F33" s="16">
        <f>IF('Data Entry - SOF'!E113&lt;0,'Data Entry - SOF'!E113,'Data Entry - SOF'!E113*-1)</f>
        <v>0</v>
      </c>
      <c r="G33" s="16"/>
      <c r="H33" s="2538">
        <f>IF('Data Entry - SOF'!E113&lt;0,'Data Entry - SOF'!E113,'Data Entry - SOF'!E113*-1)</f>
        <v>0</v>
      </c>
      <c r="I33" s="2555"/>
      <c r="J33" s="2955">
        <f>H33</f>
        <v>0</v>
      </c>
      <c r="K33" s="2959"/>
      <c r="O33" s="2626">
        <f>IF('Data Entry - SOF'!E113&lt;0,'Data Entry - SOF'!E113,'Data Entry - SOF'!E113*-1)</f>
        <v>0</v>
      </c>
      <c r="P33" s="1422"/>
      <c r="Q33" s="2621"/>
      <c r="R33" s="2621"/>
      <c r="S33" s="2622"/>
      <c r="AL33" s="16">
        <v>0</v>
      </c>
    </row>
    <row r="34" spans="2:38">
      <c r="B34" s="24" t="s">
        <v>2497</v>
      </c>
      <c r="D34" s="20" t="s">
        <v>398</v>
      </c>
      <c r="F34" s="16">
        <f>ROUND(ROUND('Calc Data'!E23,0)*'Data Entry - SOF'!E41*Weights!J30,0)</f>
        <v>0</v>
      </c>
      <c r="G34" s="16"/>
      <c r="H34" s="2538">
        <f>ROUND(ROUND('Calc Data'!AG23,0)*'Data Entry - SOF'!E41*Weights!J30,0)</f>
        <v>0</v>
      </c>
      <c r="I34" s="2555"/>
      <c r="J34" s="2952">
        <f>ROUND(ROUND('Calc Data'!AG78,0)*'Data Entry - SOF'!E41*Weights!J30,0)</f>
        <v>0</v>
      </c>
      <c r="K34" s="2959"/>
      <c r="O34" s="2626">
        <f>ROUND(ROUND(P20,0)*'Data Entry - SOF'!E41*Weights!K30,0)</f>
        <v>0</v>
      </c>
      <c r="P34" s="1422"/>
      <c r="Q34" s="2621"/>
      <c r="R34" s="2621"/>
      <c r="S34" s="2622"/>
      <c r="AL34" s="16" t="e">
        <f>ROUND(ROUND('Calc Data'!AC23,0)*'Data Entry - SOF'!#REF!*0.2,0)</f>
        <v>#REF!</v>
      </c>
    </row>
    <row r="35" spans="2:38">
      <c r="B35" s="24" t="s">
        <v>2497</v>
      </c>
      <c r="D35" s="20" t="s">
        <v>399</v>
      </c>
      <c r="F35" s="16">
        <f>ROUND(ROUND('Calc Data'!E23,0)*'Data Entry - SOF'!E49*Weights!J31,0)</f>
        <v>0</v>
      </c>
      <c r="G35" s="16"/>
      <c r="H35" s="2538">
        <f>ROUND(ROUND('Calc Data'!AG23,0)*'Data Entry - SOF'!E49*Weights!J31,0)</f>
        <v>0</v>
      </c>
      <c r="I35" s="2555"/>
      <c r="J35" s="2952">
        <f>ROUND(ROUND('Calc Data'!AG78,0)*'Data Entry - SOF'!E49*Weights!J31,0)</f>
        <v>0</v>
      </c>
      <c r="K35" s="2959"/>
      <c r="O35" s="2626">
        <f>ROUND(ROUND(P20,0)*'Data Entry - SOF'!E49*Weights!K31,0)</f>
        <v>0</v>
      </c>
      <c r="P35" s="1422"/>
      <c r="Q35" s="2621"/>
      <c r="R35" s="2621"/>
      <c r="S35" s="2622"/>
      <c r="AL35" s="16" t="e">
        <f>ROUND(ROUND('Calc Data'!AC23,0)*'Data Entry - SOF'!#REF!*2.41,0)</f>
        <v>#REF!</v>
      </c>
    </row>
    <row r="36" spans="2:38" hidden="1">
      <c r="B36" s="24" t="s">
        <v>2497</v>
      </c>
      <c r="D36" s="71" t="s">
        <v>451</v>
      </c>
      <c r="E36" s="310"/>
      <c r="F36" s="16">
        <f>650*'Data Entry - SOF'!E50</f>
        <v>0</v>
      </c>
      <c r="G36" s="16"/>
      <c r="H36" s="2538">
        <f>650*'Data Entry - SOF'!E50</f>
        <v>0</v>
      </c>
      <c r="I36" s="2555"/>
      <c r="J36" s="2956"/>
      <c r="K36" s="2959"/>
      <c r="O36" s="2626" t="e">
        <f>650*'Data Entry - SOF'!#REF!</f>
        <v>#REF!</v>
      </c>
      <c r="P36" s="1422"/>
      <c r="Q36" s="2621"/>
      <c r="R36" s="2621"/>
      <c r="S36" s="2622"/>
      <c r="AL36" s="16"/>
    </row>
    <row r="37" spans="2:38" hidden="1">
      <c r="B37" s="24"/>
      <c r="D37" s="20" t="s">
        <v>1229</v>
      </c>
      <c r="F37" s="65">
        <v>0</v>
      </c>
      <c r="G37" s="16"/>
      <c r="H37" s="2541">
        <v>0</v>
      </c>
      <c r="I37" s="2555"/>
      <c r="J37" s="2956"/>
      <c r="K37" s="2959"/>
      <c r="O37" s="2629">
        <v>0</v>
      </c>
      <c r="P37" s="1422"/>
      <c r="Q37" s="2621"/>
      <c r="R37" s="2621"/>
      <c r="S37" s="2622"/>
      <c r="AL37" s="16">
        <v>0</v>
      </c>
    </row>
    <row r="38" spans="2:38">
      <c r="B38" s="24">
        <v>25</v>
      </c>
      <c r="D38" s="20" t="s">
        <v>1135</v>
      </c>
      <c r="F38" s="16">
        <f>ROUND(ROUND('Calc Data'!E23,0)*('Data Entry - SOF'!E51*Weights!J26),0)</f>
        <v>0</v>
      </c>
      <c r="G38" s="16"/>
      <c r="H38" s="2538">
        <f>ROUND(ROUND('Calc Data'!AG23,0)*('Data Entry - SOF'!E51*Weights!J26),0)</f>
        <v>0</v>
      </c>
      <c r="I38" s="2555"/>
      <c r="J38" s="2952">
        <f>ROUND(ROUND('Calc Data'!AG78,0)*('Data Entry - SOF'!E51*Weights!J26),0)</f>
        <v>0</v>
      </c>
      <c r="K38" s="2959"/>
      <c r="O38" s="2626">
        <f>ROUND(ROUND(P20,0)*('Data Entry - SOF'!E51*Weights!K26),0)</f>
        <v>0</v>
      </c>
      <c r="P38" s="1422"/>
      <c r="Q38" s="2621"/>
      <c r="R38" s="2621"/>
      <c r="S38" s="2622"/>
      <c r="AL38" s="16" t="e">
        <f>ROUND(ROUND('Calc Data'!AC23,0)*('Data Entry - SOF'!#REF!*0.1),0)</f>
        <v>#REF!</v>
      </c>
    </row>
    <row r="39" spans="2:38">
      <c r="B39" s="24">
        <v>31</v>
      </c>
      <c r="D39" s="35" t="s">
        <v>2435</v>
      </c>
      <c r="F39" s="16">
        <f>Weights!J33*'Data Entry - SOF'!E21</f>
        <v>0</v>
      </c>
      <c r="G39" s="16"/>
      <c r="H39" s="2538">
        <f>Weights!J33*'Data Entry - SOF'!E21</f>
        <v>0</v>
      </c>
      <c r="I39" s="2555"/>
      <c r="J39" s="2955">
        <f>H39</f>
        <v>0</v>
      </c>
      <c r="K39" s="2959"/>
      <c r="O39" s="2626">
        <f>Weights!K33*'Data Entry - SOF'!E21</f>
        <v>0</v>
      </c>
      <c r="P39" s="1422"/>
      <c r="Q39" s="2621"/>
      <c r="R39" s="2621"/>
      <c r="S39" s="2622"/>
      <c r="AL39" s="16" t="e">
        <f>#REF!</f>
        <v>#REF!</v>
      </c>
    </row>
    <row r="40" spans="2:38">
      <c r="B40" s="24"/>
      <c r="D40" s="20" t="s">
        <v>872</v>
      </c>
      <c r="F40" s="16">
        <f>ROUND(ROUND('Calc Data'!E23,0)*'Data Entry - SOF'!E61*Weights!J37,0)</f>
        <v>0</v>
      </c>
      <c r="G40" s="16"/>
      <c r="H40" s="2538">
        <f>ROUND(ROUND('Calc Data'!AG23,0)*'Data Entry - SOF'!E61*Weights!J37,0)</f>
        <v>0</v>
      </c>
      <c r="I40" s="2555"/>
      <c r="J40" s="2952">
        <f>ROUND(ROUND('Calc Data'!AG78,0)*'Data Entry - SOF'!E61*Weights!J37,0)</f>
        <v>0</v>
      </c>
      <c r="K40" s="2959"/>
      <c r="O40" s="2626">
        <f>ROUND(ROUND(P20,0)*'Data Entry - SOF'!E61*Weights!K37,0)</f>
        <v>0</v>
      </c>
      <c r="P40" s="1422"/>
      <c r="Q40" s="2621"/>
      <c r="R40" s="2621"/>
      <c r="S40" s="2622"/>
      <c r="AL40" s="16" t="e">
        <f>ROUND(ROUND('Calc Data'!AC23,0)*'Data Entry - SOF'!#REF!*0.1,0)</f>
        <v>#REF!</v>
      </c>
    </row>
    <row r="41" spans="2:38" ht="15.75">
      <c r="B41" s="24"/>
      <c r="D41" s="318" t="s">
        <v>3850</v>
      </c>
      <c r="F41" s="87">
        <f>'Data Entry - SOF'!E62*Weights!J35</f>
        <v>0</v>
      </c>
      <c r="G41" s="16"/>
      <c r="H41" s="2538">
        <f>F41</f>
        <v>0</v>
      </c>
      <c r="I41" s="2555"/>
      <c r="J41" s="2955">
        <f>H41</f>
        <v>0</v>
      </c>
      <c r="K41" s="2959"/>
      <c r="O41" s="2630">
        <f>H41</f>
        <v>0</v>
      </c>
      <c r="P41" s="1422"/>
      <c r="Q41" s="2621"/>
      <c r="R41" s="2621"/>
      <c r="S41" s="2622"/>
      <c r="AL41" s="16" t="e">
        <f>'Data Entry - SOF'!#REF!*250</f>
        <v>#REF!</v>
      </c>
    </row>
    <row r="42" spans="2:38">
      <c r="B42" s="24">
        <v>99</v>
      </c>
      <c r="D42" s="20" t="s">
        <v>2087</v>
      </c>
      <c r="F42" s="25">
        <f>'Data Entry - SOF'!E104</f>
        <v>0</v>
      </c>
      <c r="G42" s="16"/>
      <c r="H42" s="2542">
        <f>'Data Entry - SOF'!E104</f>
        <v>0</v>
      </c>
      <c r="I42" s="2555"/>
      <c r="J42" s="2957">
        <f>H42</f>
        <v>0</v>
      </c>
      <c r="K42" s="2960"/>
      <c r="O42" s="2631">
        <f>'Data Entry - SOF'!E104</f>
        <v>0</v>
      </c>
      <c r="P42" s="1468" t="s">
        <v>2572</v>
      </c>
      <c r="Q42" s="2621"/>
      <c r="R42" s="2621"/>
      <c r="S42" s="2622"/>
      <c r="AL42" s="25" t="e">
        <f>'Data Entry - SOF'!#REF!</f>
        <v>#REF!</v>
      </c>
    </row>
    <row r="43" spans="2:38">
      <c r="D43" s="20" t="s">
        <v>530</v>
      </c>
      <c r="F43" s="16">
        <f>SUM(F20:F42)</f>
        <v>0</v>
      </c>
      <c r="G43" s="16"/>
      <c r="H43" s="2538">
        <f>SUM(H20:H42)</f>
        <v>0</v>
      </c>
      <c r="I43" s="2940"/>
      <c r="J43" s="2941">
        <f>SUM(J20:J42)</f>
        <v>0</v>
      </c>
      <c r="K43" s="2961">
        <f>J43</f>
        <v>0</v>
      </c>
      <c r="O43" s="2632" t="e">
        <f>SUM(O20:O42)</f>
        <v>#REF!</v>
      </c>
      <c r="P43" s="2633" t="e">
        <f>ROUND(((O43-O42-O41-O39-O27)-((('Calc Data'!X20-'Calc Data'!X19)*0.5)/'Calc Data'!X20)*(O43-O42-O41-O39-O27))/'Calc Data'!X19,3)</f>
        <v>#REF!</v>
      </c>
      <c r="Q43" s="2621"/>
      <c r="R43" s="2621"/>
      <c r="S43" s="2622"/>
      <c r="AL43" s="16" t="e">
        <f>SUM(AL20:AL42)</f>
        <v>#REF!</v>
      </c>
    </row>
    <row r="44" spans="2:38">
      <c r="D44" s="20" t="s">
        <v>786</v>
      </c>
      <c r="F44" s="28">
        <f>IF('Data Entry - SOF'!E154&gt;1,1*('Data Entry - SOF'!E73/100),'Data Entry - SOF'!E154*('Data Entry - SOF'!E73/100))</f>
        <v>0</v>
      </c>
      <c r="G44" s="29"/>
      <c r="H44" s="2543">
        <f>IF('Calc Data'!AG30&gt;1,1*('Data Entry - SOF'!E73/100),'Calc Data'!AG30*('Data Entry - SOF'!E73/100))</f>
        <v>0</v>
      </c>
      <c r="I44" s="2555"/>
      <c r="J44" s="2584">
        <f>IF('Calc Data'!AG85&gt;1,1*('Data Entry - SOF'!E73/100),'Calc Data'!AG85*('Data Entry - SOF'!E73/100))</f>
        <v>0</v>
      </c>
      <c r="K44" s="2962">
        <f>IF('Calc Data-15K'!AK85&gt;1,1*('Data Entry - SOF'!E74/100),'Calc Data-15K'!AK85*('Data Entry - SOF'!E74/100))</f>
        <v>0</v>
      </c>
      <c r="O44" s="2634">
        <f>H44</f>
        <v>0</v>
      </c>
      <c r="P44" s="1422"/>
      <c r="Q44" s="2635"/>
      <c r="R44" s="2621"/>
      <c r="S44" s="2622"/>
      <c r="AL44" s="28" t="e">
        <f>#REF!</f>
        <v>#REF!</v>
      </c>
    </row>
    <row r="45" spans="2:38">
      <c r="D45" s="20" t="s">
        <v>785</v>
      </c>
      <c r="F45" s="29">
        <f>F43-F44</f>
        <v>0</v>
      </c>
      <c r="G45" s="29"/>
      <c r="H45" s="2544">
        <f>H43-H44</f>
        <v>0</v>
      </c>
      <c r="I45" s="2555"/>
      <c r="J45" s="2946">
        <f>J43-J44</f>
        <v>0</v>
      </c>
      <c r="K45" s="2961">
        <f>K43-K44</f>
        <v>0</v>
      </c>
      <c r="O45" s="2636" t="e">
        <f>O43-O44</f>
        <v>#REF!</v>
      </c>
      <c r="P45" s="1422"/>
      <c r="Q45" s="2621"/>
      <c r="R45" s="2621"/>
      <c r="S45" s="2622"/>
      <c r="AL45" s="29" t="e">
        <f>AL43-AL44</f>
        <v>#REF!</v>
      </c>
    </row>
    <row r="46" spans="2:38">
      <c r="D46" s="20"/>
      <c r="G46" s="29"/>
      <c r="H46" s="2545"/>
      <c r="I46" s="2555"/>
      <c r="J46" s="2942"/>
      <c r="K46" s="2961"/>
      <c r="N46" s="46"/>
      <c r="O46" s="2637"/>
      <c r="P46" s="1422"/>
      <c r="Q46" s="2621"/>
      <c r="R46" s="2621"/>
      <c r="S46" s="2622"/>
      <c r="AL46" s="29"/>
    </row>
    <row r="47" spans="2:38">
      <c r="D47" s="315" t="s">
        <v>736</v>
      </c>
      <c r="G47" s="29"/>
      <c r="H47" s="2545"/>
      <c r="I47" s="2555"/>
      <c r="J47" s="2942"/>
      <c r="K47" s="2961"/>
      <c r="N47" s="46"/>
      <c r="O47" s="2980">
        <f>Assumptions!G123*'Data Entry - SOF'!E19</f>
        <v>0</v>
      </c>
      <c r="P47" s="1422" t="s">
        <v>8738</v>
      </c>
      <c r="Q47" s="2621"/>
      <c r="R47" s="2621"/>
      <c r="S47" s="2622"/>
      <c r="AL47" s="29"/>
    </row>
    <row r="48" spans="2:38">
      <c r="D48" s="20" t="s">
        <v>1523</v>
      </c>
      <c r="F48" s="65">
        <f>IF(F45&lt;F75+F39+F41+F30+F31,F75+F39+F41+F30+F31,F45)</f>
        <v>0</v>
      </c>
      <c r="G48" s="29"/>
      <c r="H48" s="2541">
        <f>IF(H45&lt;H75+H39+H41+H30+H31,H75+H39+H41+H30+H31,H45)</f>
        <v>0</v>
      </c>
      <c r="I48" s="2555"/>
      <c r="J48" s="2947">
        <f>IF(J45&lt;H75+J39+J41+J30+J31,H75+J39+J41+J30+J31,J45)</f>
        <v>0</v>
      </c>
      <c r="K48" s="2961">
        <f>IF(K45&lt;H75+J39+J41+J30+J31,H75+J39+J41+J30+J31,K45)</f>
        <v>0</v>
      </c>
      <c r="O48" s="2638" t="e">
        <f>IF(O45&lt;O47+O39+O30+O31,O47+O39+O30+O31,O45)</f>
        <v>#REF!</v>
      </c>
      <c r="P48" s="1422"/>
      <c r="Q48" s="2621"/>
      <c r="R48" s="2621"/>
      <c r="S48" s="2622"/>
    </row>
    <row r="49" spans="4:19" hidden="1">
      <c r="D49" s="20" t="s">
        <v>2273</v>
      </c>
      <c r="G49" s="29" t="e">
        <f>ROUND(IF((24.7*'Calc Data'!#REF!*IF('Calc Data'!#REF!&gt;=0.64,0.64,'Calc Data'!#REF!)*100)&lt;'Calc Data'!#REF!,0,(24.7*'Calc Data'!#REF!*IF('Calc Data'!#REF!&gt;=0.64,0.64,'Calc Data'!#REF!)*100)-'Calc Data'!#REF!),0)</f>
        <v>#REF!</v>
      </c>
      <c r="H49" s="2544"/>
      <c r="I49" s="2502"/>
      <c r="J49" s="2945"/>
      <c r="K49" s="2961"/>
      <c r="O49" s="2637"/>
      <c r="P49" s="1422"/>
      <c r="Q49" s="2621"/>
      <c r="R49" s="2621"/>
      <c r="S49" s="2622"/>
    </row>
    <row r="50" spans="4:19">
      <c r="D50" s="20"/>
      <c r="G50" s="29"/>
      <c r="H50" s="2531"/>
      <c r="I50" s="2555"/>
      <c r="J50" s="2942"/>
      <c r="K50" s="2961"/>
      <c r="O50" s="2637"/>
      <c r="P50" s="1422"/>
      <c r="Q50" s="2621"/>
      <c r="R50" s="2621"/>
      <c r="S50" s="2622"/>
    </row>
    <row r="51" spans="4:19">
      <c r="D51" s="20" t="s">
        <v>8737</v>
      </c>
      <c r="F51" s="29" t="e">
        <f>ROUND(IF((Assumptions!G110*'Calc Data'!E25*'Calc Data'!E35*100)&lt;'Calc Data'!E42,0,(Assumptions!G110*'Calc Data'!E25*'Calc Data'!E35*100)-'Calc Data'!E42),0)</f>
        <v>#DIV/0!</v>
      </c>
      <c r="G51" s="29"/>
      <c r="H51" s="2531" t="e">
        <f>ROUND(IF((Assumptions!G110*'Calc Data'!E25*'Calc Data'!E35*100)&lt;'Calc Data'!E42,0,(Assumptions!G110*'Calc Data'!E25*'Calc Data'!E35*100)-'Calc Data'!E42),0)</f>
        <v>#DIV/0!</v>
      </c>
      <c r="I51" s="2555"/>
      <c r="J51" s="2964" t="e">
        <f>ROUND(IF((Assumptions!G110*'Calc Data'!E25*'Calc Data'!E81*100)&lt;'Calc Data'!E88,0,(Assumptions!G110*'Calc Data'!E25*'Calc Data'!E81*100)-'Calc Data'!E88),0)</f>
        <v>#DIV/0!</v>
      </c>
      <c r="K51" s="2963" t="e">
        <f>ROUND(IF((Assumptions!G79*'Calc Data-15K'!E25*'Calc Data-15K'!E81*100)&lt;'Calc Data-15K'!E88,0,(Assumptions!G79*'Calc Data-15K'!E25*'Calc Data-15K'!E81*100)-'Calc Data-15K'!E88),0)</f>
        <v>#DIV/0!</v>
      </c>
      <c r="L51" s="91"/>
      <c r="M51" s="140"/>
      <c r="O51" s="2639" t="e">
        <f>ROUND(IF((Assumptions!G119*P43*'Calc Data'!E35*100)&lt;'Calc Data'!E42,0,(Assumptions!G119*P43*'Calc Data'!E35*100)-'Calc Data'!E42),0)</f>
        <v>#REF!</v>
      </c>
      <c r="P51" s="2625" t="s">
        <v>2706</v>
      </c>
      <c r="Q51" s="2621"/>
      <c r="R51" s="2621"/>
      <c r="S51" s="2622"/>
    </row>
    <row r="52" spans="4:19">
      <c r="D52" s="20" t="s">
        <v>473</v>
      </c>
      <c r="F52" s="48" t="e">
        <f>ROUND(IF((Assumptions!G111*'Calc Data'!E25*'Calc Data'!E38*100)&lt;'Calc Data'!E43,0,(Assumptions!G111*'Calc Data'!E25*'Calc Data'!E38*100)-'Calc Data'!E43),0)</f>
        <v>#DIV/0!</v>
      </c>
      <c r="G52" s="29"/>
      <c r="H52" s="2546" t="e">
        <f>ROUND(IF((Assumptions!G111*'Calc Data'!E25*'Calc Data'!AG29*100)&lt;'Calc Data'!AG33,0,(Assumptions!G111*'Calc Data'!E25*'Calc Data'!AG29*100)-'Calc Data'!AG33),0)</f>
        <v>#DIV/0!</v>
      </c>
      <c r="I52" s="2556"/>
      <c r="J52" s="2965" t="e">
        <f>ROUND(IF((Assumptions!G111*'Calc Data'!E25*'Calc Data'!AG84*100)&lt;'Calc Data'!AG88,0,(Assumptions!G111*'Calc Data'!E25*'Calc Data'!AG84*100)-'Calc Data'!AG88),0)</f>
        <v>#DIV/0!</v>
      </c>
      <c r="K52" s="2962" t="e">
        <f>ROUND(IF((Assumptions!G111*'Calc Data-15K'!E25*'Calc Data-15K'!AK84*100)&lt;'Calc Data-15K'!AK88,0,(Assumptions!G111*'Calc Data-15K'!E25*'Calc Data-15K'!AK84*100)-'Calc Data-15K'!AK88),0)</f>
        <v>#DIV/0!</v>
      </c>
      <c r="O52" s="2693" t="e">
        <f>ROUND(IF((Assumptions!G120*P43*'Calc Data'!X29*100)&lt;'Calc Data'!X33,0,(Assumptions!G120*P43*'Calc Data'!X29*100)-'Calc Data'!X33),0)</f>
        <v>#REF!</v>
      </c>
      <c r="P52" s="2625" t="s">
        <v>2706</v>
      </c>
      <c r="Q52" s="2621"/>
      <c r="R52" s="2621"/>
      <c r="S52" s="2622"/>
    </row>
    <row r="53" spans="4:19">
      <c r="D53" s="20" t="s">
        <v>284</v>
      </c>
      <c r="F53" s="29" t="e">
        <f>SUM(F51:F52)</f>
        <v>#DIV/0!</v>
      </c>
      <c r="G53" s="29"/>
      <c r="H53" s="2531" t="e">
        <f>SUM(H51:H52)</f>
        <v>#DIV/0!</v>
      </c>
      <c r="O53" s="2640" t="e">
        <f>O51+O52</f>
        <v>#REF!</v>
      </c>
      <c r="P53" s="1422"/>
      <c r="Q53" s="2621"/>
      <c r="R53" s="2621"/>
      <c r="S53" s="2622"/>
    </row>
    <row r="54" spans="4:19">
      <c r="D54" s="20"/>
      <c r="G54" s="29"/>
      <c r="H54" s="2531"/>
      <c r="L54" s="91"/>
      <c r="M54" s="140"/>
      <c r="O54" s="2641"/>
      <c r="P54" s="1422"/>
      <c r="Q54" s="2621"/>
      <c r="R54" s="2621"/>
      <c r="S54" s="2622"/>
    </row>
    <row r="55" spans="4:19">
      <c r="D55" s="20" t="s">
        <v>733</v>
      </c>
      <c r="G55" s="29"/>
      <c r="H55" s="2531"/>
      <c r="L55" s="91"/>
      <c r="M55" s="140"/>
      <c r="O55" s="2641"/>
      <c r="P55" s="1422"/>
      <c r="Q55" s="2621"/>
      <c r="R55" s="2621"/>
      <c r="S55" s="2622"/>
    </row>
    <row r="56" spans="4:19">
      <c r="D56" s="20" t="s">
        <v>758</v>
      </c>
      <c r="F56" s="29">
        <f>'Data Entry - SOF'!E121</f>
        <v>0</v>
      </c>
      <c r="G56" s="29"/>
      <c r="H56" s="2531">
        <f>F56</f>
        <v>0</v>
      </c>
      <c r="L56" s="91"/>
      <c r="M56" s="140"/>
      <c r="O56" s="2642"/>
      <c r="P56" s="2643"/>
      <c r="Q56" s="2644"/>
      <c r="R56" s="2644"/>
      <c r="S56" s="2645"/>
    </row>
    <row r="57" spans="4:19">
      <c r="D57" s="20" t="s">
        <v>3051</v>
      </c>
      <c r="F57" s="29">
        <f>'Data Entry - SOF'!E120</f>
        <v>0</v>
      </c>
      <c r="G57" s="29"/>
      <c r="H57" s="2531">
        <f>F57</f>
        <v>0</v>
      </c>
      <c r="L57" s="91"/>
      <c r="M57" s="140"/>
    </row>
    <row r="58" spans="4:19">
      <c r="D58" s="20" t="s">
        <v>3052</v>
      </c>
      <c r="F58" s="29">
        <f>'Data Entry - SOF'!E122</f>
        <v>0</v>
      </c>
      <c r="G58" s="29"/>
      <c r="H58" s="2531">
        <f t="shared" ref="H58:H67" si="0">F58</f>
        <v>0</v>
      </c>
      <c r="L58" s="91"/>
      <c r="M58" s="140"/>
    </row>
    <row r="59" spans="4:19">
      <c r="D59" s="20" t="s">
        <v>3053</v>
      </c>
      <c r="F59" s="29">
        <f>'Data Entry - SOF'!E123</f>
        <v>0</v>
      </c>
      <c r="G59" s="29"/>
      <c r="H59" s="2531">
        <f t="shared" si="0"/>
        <v>0</v>
      </c>
      <c r="L59" s="91"/>
      <c r="M59" s="140"/>
    </row>
    <row r="60" spans="4:19">
      <c r="D60" s="20" t="s">
        <v>3054</v>
      </c>
      <c r="F60" s="29">
        <f>'Data Entry - SOF'!E124</f>
        <v>0</v>
      </c>
      <c r="G60" s="29"/>
      <c r="H60" s="2531">
        <f t="shared" si="0"/>
        <v>0</v>
      </c>
      <c r="L60" s="91"/>
      <c r="M60" s="140"/>
    </row>
    <row r="61" spans="4:19">
      <c r="D61" s="20" t="s">
        <v>3055</v>
      </c>
      <c r="F61" s="29">
        <v>0</v>
      </c>
      <c r="G61" s="29"/>
      <c r="H61" s="2531">
        <f t="shared" si="0"/>
        <v>0</v>
      </c>
      <c r="L61" s="91"/>
      <c r="M61" s="140"/>
    </row>
    <row r="62" spans="4:19">
      <c r="D62" s="20" t="s">
        <v>3056</v>
      </c>
      <c r="F62" s="29">
        <f>'Data Entry - SOF'!E125</f>
        <v>0</v>
      </c>
      <c r="G62" s="29"/>
      <c r="H62" s="2531">
        <f t="shared" si="0"/>
        <v>0</v>
      </c>
      <c r="L62" s="91"/>
      <c r="M62" s="140"/>
    </row>
    <row r="63" spans="4:19">
      <c r="D63" s="20" t="s">
        <v>8728</v>
      </c>
      <c r="F63" s="29" t="e">
        <f>'DistCharter-Funding1819'!F51</f>
        <v>#DIV/0!</v>
      </c>
      <c r="G63" s="29"/>
      <c r="H63" s="2531" t="e">
        <f t="shared" si="0"/>
        <v>#DIV/0!</v>
      </c>
      <c r="L63" s="91"/>
      <c r="M63" s="140"/>
    </row>
    <row r="64" spans="4:19">
      <c r="D64" s="20" t="s">
        <v>2436</v>
      </c>
      <c r="F64" s="29">
        <f>(500*'Data Entry - SOF'!E69)+(250*'Data Entry - SOF'!E70)</f>
        <v>0</v>
      </c>
      <c r="G64" s="29"/>
      <c r="H64" s="2531">
        <f t="shared" si="0"/>
        <v>0</v>
      </c>
      <c r="L64" s="91"/>
      <c r="M64" s="140"/>
    </row>
    <row r="65" spans="1:13">
      <c r="D65" s="20" t="s">
        <v>734</v>
      </c>
      <c r="F65" s="285" t="e">
        <f>(('Data Entry - SOF'!E112/'Data Entry - SOF'!E166)*'Data Entry - SOF'!E110)*-1</f>
        <v>#DIV/0!</v>
      </c>
      <c r="G65" s="29"/>
      <c r="H65" s="2531" t="e">
        <f t="shared" si="0"/>
        <v>#DIV/0!</v>
      </c>
      <c r="L65" s="91"/>
      <c r="M65" s="140"/>
    </row>
    <row r="66" spans="1:13">
      <c r="D66" s="20" t="s">
        <v>735</v>
      </c>
      <c r="F66" s="285" t="e">
        <f>(('Data Entry - SOF'!E112/'Data Entry - SOF'!E166)*'Data Entry - SOF'!E111)*-1</f>
        <v>#DIV/0!</v>
      </c>
      <c r="G66" s="29"/>
      <c r="H66" s="2531" t="e">
        <f t="shared" si="0"/>
        <v>#DIV/0!</v>
      </c>
      <c r="L66" s="91"/>
      <c r="M66" s="140"/>
    </row>
    <row r="67" spans="1:13">
      <c r="D67" s="20" t="s">
        <v>2985</v>
      </c>
      <c r="F67" s="502">
        <f>'Data Entry - SOF'!E142</f>
        <v>0</v>
      </c>
      <c r="G67" s="29"/>
      <c r="H67" s="2546">
        <f t="shared" si="0"/>
        <v>0</v>
      </c>
      <c r="L67" s="91"/>
      <c r="M67" s="140"/>
    </row>
    <row r="68" spans="1:13">
      <c r="D68" s="286" t="s">
        <v>172</v>
      </c>
      <c r="F68" s="29" t="e">
        <f>SUM(F56:F67)</f>
        <v>#DIV/0!</v>
      </c>
      <c r="G68" s="29"/>
      <c r="H68" s="2531" t="e">
        <f>SUM(H56:H67)</f>
        <v>#DIV/0!</v>
      </c>
      <c r="L68" s="91"/>
      <c r="M68" s="140"/>
    </row>
    <row r="69" spans="1:13">
      <c r="D69" s="286"/>
      <c r="F69" s="35"/>
      <c r="G69" s="29"/>
      <c r="H69" s="2531"/>
      <c r="L69" s="91"/>
      <c r="M69" s="140"/>
    </row>
    <row r="70" spans="1:13">
      <c r="D70" s="20" t="s">
        <v>2396</v>
      </c>
      <c r="F70" s="29">
        <f>F75*-1</f>
        <v>0</v>
      </c>
      <c r="G70" s="29"/>
      <c r="H70" s="2531">
        <f>H75*-1</f>
        <v>0</v>
      </c>
      <c r="L70" s="91"/>
      <c r="M70" s="140"/>
    </row>
    <row r="71" spans="1:13" ht="13.5" thickBot="1">
      <c r="D71" s="20"/>
      <c r="G71" s="29"/>
      <c r="H71" s="2531"/>
      <c r="L71" s="91"/>
      <c r="M71" s="140"/>
    </row>
    <row r="72" spans="1:13" ht="13.5" thickTop="1">
      <c r="A72" s="288"/>
      <c r="B72" s="289"/>
      <c r="C72" s="289"/>
      <c r="D72" s="290"/>
      <c r="E72" s="289"/>
      <c r="F72" s="320"/>
      <c r="G72" s="29"/>
      <c r="H72" s="2545"/>
      <c r="L72" s="91"/>
      <c r="M72" s="140"/>
    </row>
    <row r="73" spans="1:13">
      <c r="A73" s="291"/>
      <c r="B73" s="24" t="s">
        <v>174</v>
      </c>
      <c r="D73" s="286"/>
      <c r="F73" s="321"/>
      <c r="G73" s="29"/>
      <c r="H73" s="2545"/>
      <c r="L73" s="91"/>
      <c r="M73" s="140"/>
    </row>
    <row r="74" spans="1:13">
      <c r="A74" s="291"/>
      <c r="B74" s="24" t="s">
        <v>1491</v>
      </c>
      <c r="D74" s="71" t="s">
        <v>737</v>
      </c>
      <c r="E74" s="71"/>
      <c r="F74" s="136" t="e">
        <f>F48+F53+F68+F70</f>
        <v>#DIV/0!</v>
      </c>
      <c r="G74" s="29"/>
      <c r="H74" s="2547" t="e">
        <f>H48+H53+H68+H70</f>
        <v>#DIV/0!</v>
      </c>
      <c r="L74" s="91"/>
      <c r="M74" s="140"/>
    </row>
    <row r="75" spans="1:13">
      <c r="A75" s="291"/>
      <c r="B75" s="24" t="s">
        <v>1489</v>
      </c>
      <c r="D75" s="71" t="s">
        <v>2609</v>
      </c>
      <c r="E75" s="71"/>
      <c r="F75" s="136">
        <f>'Data Entry - SOF'!E166*Assumptions!G114</f>
        <v>0</v>
      </c>
      <c r="G75" s="29"/>
      <c r="H75" s="2547">
        <f>'Data Entry - SOF'!E166*Assumptions!G114</f>
        <v>0</v>
      </c>
      <c r="I75" s="5"/>
      <c r="L75" s="91"/>
      <c r="M75" s="140"/>
    </row>
    <row r="76" spans="1:13" ht="15.75">
      <c r="A76" s="291"/>
      <c r="B76" s="24" t="s">
        <v>1490</v>
      </c>
      <c r="D76" s="318" t="s">
        <v>757</v>
      </c>
      <c r="E76" s="73"/>
      <c r="F76" s="323">
        <v>0</v>
      </c>
      <c r="G76" s="29"/>
      <c r="H76" s="2548">
        <v>0</v>
      </c>
      <c r="L76" s="91"/>
      <c r="M76" s="140"/>
    </row>
    <row r="77" spans="1:13">
      <c r="A77" s="291"/>
      <c r="B77" s="24" t="s">
        <v>740</v>
      </c>
      <c r="D77" s="71" t="s">
        <v>738</v>
      </c>
      <c r="E77" s="71"/>
      <c r="F77" s="136">
        <f>'Existing Debt-OldLaw'!I74</f>
        <v>0</v>
      </c>
      <c r="G77" s="29"/>
      <c r="H77" s="2547">
        <f>'Existing Debt-OldLaw'!I74</f>
        <v>0</v>
      </c>
      <c r="L77" s="91"/>
      <c r="M77" s="140"/>
    </row>
    <row r="78" spans="1:13" ht="13.5" thickBot="1">
      <c r="A78" s="291"/>
      <c r="B78" s="24" t="s">
        <v>1095</v>
      </c>
      <c r="D78" s="71" t="s">
        <v>739</v>
      </c>
      <c r="E78" s="71"/>
      <c r="F78" s="316">
        <f>'IFA-OldLaw'!L86+'IFA-OldLaw'!M75</f>
        <v>0</v>
      </c>
      <c r="G78" s="29"/>
      <c r="H78" s="2549">
        <f>'IFA-OldLaw'!L86+'IFA-OldLaw'!M75</f>
        <v>0</v>
      </c>
      <c r="L78" s="91"/>
      <c r="M78" s="140"/>
    </row>
    <row r="79" spans="1:13">
      <c r="A79" s="291"/>
      <c r="F79" s="321"/>
      <c r="G79" s="29"/>
      <c r="H79" s="2529"/>
      <c r="L79" s="125"/>
      <c r="M79" s="767"/>
    </row>
    <row r="80" spans="1:13" ht="12.75" customHeight="1" thickBot="1">
      <c r="A80" s="291"/>
      <c r="D80" s="71" t="s">
        <v>1019</v>
      </c>
      <c r="F80" s="317" t="e">
        <f>SUM(F74:F78)</f>
        <v>#DIV/0!</v>
      </c>
      <c r="G80" s="29"/>
      <c r="H80" s="2550" t="e">
        <f>SUM(H74:H78)</f>
        <v>#DIV/0!</v>
      </c>
      <c r="L80" s="125"/>
      <c r="M80" s="767"/>
    </row>
    <row r="81" spans="1:16" ht="14.25" hidden="1" thickTop="1" thickBot="1">
      <c r="A81" s="291"/>
      <c r="D81" s="20" t="s">
        <v>472</v>
      </c>
      <c r="G81" s="29"/>
      <c r="H81" s="2550" t="e">
        <f>SUM(H74:H78)</f>
        <v>#DIV/0!</v>
      </c>
      <c r="I81" s="818"/>
      <c r="L81" s="125"/>
      <c r="M81" s="767"/>
    </row>
    <row r="82" spans="1:16" ht="14.25" thickTop="1" thickBot="1">
      <c r="A82" s="292"/>
      <c r="B82" s="293"/>
      <c r="C82" s="293"/>
      <c r="D82" s="294"/>
      <c r="E82" s="293"/>
      <c r="F82" s="330"/>
      <c r="G82" s="16"/>
      <c r="H82" s="2531"/>
    </row>
    <row r="83" spans="1:16" ht="13.5" thickTop="1">
      <c r="B83" s="20"/>
      <c r="G83" s="29"/>
      <c r="H83" s="2551"/>
      <c r="N83" s="91"/>
      <c r="O83" s="221"/>
      <c r="P83" s="5"/>
    </row>
    <row r="84" spans="1:16">
      <c r="H84" s="2531"/>
      <c r="N84" s="5"/>
    </row>
    <row r="85" spans="1:16" ht="13.5" thickBot="1">
      <c r="H85" s="2529"/>
    </row>
    <row r="86" spans="1:16" ht="13.5" thickTop="1">
      <c r="A86" s="297" t="s">
        <v>2457</v>
      </c>
      <c r="B86" s="66"/>
      <c r="C86" s="66"/>
      <c r="D86" s="66"/>
      <c r="E86" s="66"/>
      <c r="F86" s="130"/>
      <c r="H86" s="2545"/>
    </row>
    <row r="87" spans="1:16">
      <c r="A87" s="133"/>
      <c r="F87" s="131"/>
      <c r="H87" s="2545"/>
    </row>
    <row r="88" spans="1:16">
      <c r="A88" s="132" t="s">
        <v>2162</v>
      </c>
      <c r="F88" s="277" t="e">
        <f>IF(F74&lt;0,F75,F74+F75)</f>
        <v>#DIV/0!</v>
      </c>
      <c r="H88" s="2532" t="e">
        <f>IF(H74&lt;0,H75,H74+H75)</f>
        <v>#DIV/0!</v>
      </c>
    </row>
    <row r="89" spans="1:16">
      <c r="A89" s="156" t="s">
        <v>1696</v>
      </c>
      <c r="F89" s="278">
        <f>'Calc Data'!E30-ASATR!H24</f>
        <v>0</v>
      </c>
      <c r="H89" s="2533" t="e">
        <f>'Calc Data'!AG32-ASATR!H39</f>
        <v>#DIV/0!</v>
      </c>
      <c r="N89" s="91"/>
    </row>
    <row r="90" spans="1:16">
      <c r="A90" s="156" t="s">
        <v>941</v>
      </c>
      <c r="F90" s="278">
        <f>'Calc Data'!E34</f>
        <v>0</v>
      </c>
      <c r="H90" s="2533">
        <f>'Calc Data'!E34</f>
        <v>0</v>
      </c>
      <c r="N90" s="91"/>
    </row>
    <row r="91" spans="1:16">
      <c r="A91" s="156" t="s">
        <v>942</v>
      </c>
      <c r="F91" s="287" t="e">
        <f>'Calc Data'!E37-IF('Option Costs'!W57="N",MAX('Option Costs'!W54,'Option Costs'!Y54),MIN('Option Costs'!W54,'Option Costs'!Y54))</f>
        <v>#DIV/0!</v>
      </c>
      <c r="H91" s="2552" t="e">
        <f>'Calc Data'!AG31-IF('Option Costs'!W57="N",MAX('Option Costs'!W85,'Option Costs'!Y85),MIN('Option Costs'!W85,'Option Costs'!Y85))</f>
        <v>#DIV/0!</v>
      </c>
    </row>
    <row r="92" spans="1:16">
      <c r="A92" s="156" t="s">
        <v>3157</v>
      </c>
      <c r="F92" s="322" t="e">
        <f>SUM(F88:F91)</f>
        <v>#DIV/0!</v>
      </c>
      <c r="H92" s="2535" t="e">
        <f>SUM(H88:H91)</f>
        <v>#DIV/0!</v>
      </c>
    </row>
    <row r="93" spans="1:16">
      <c r="A93" s="132" t="s">
        <v>1695</v>
      </c>
      <c r="F93" s="287" t="e">
        <f>IF(F74&gt;0,0,F74)</f>
        <v>#DIV/0!</v>
      </c>
      <c r="H93" s="2552" t="e">
        <f>IF(H74&gt;0,0,H74)</f>
        <v>#DIV/0!</v>
      </c>
    </row>
    <row r="94" spans="1:16">
      <c r="A94" s="222" t="s">
        <v>3158</v>
      </c>
      <c r="F94" s="322" t="e">
        <f>F92+F93</f>
        <v>#DIV/0!</v>
      </c>
      <c r="H94" s="2535" t="e">
        <f>H92+H93</f>
        <v>#DIV/0!</v>
      </c>
    </row>
    <row r="95" spans="1:16" ht="13.5" thickBot="1">
      <c r="A95" s="134"/>
      <c r="B95" s="38"/>
      <c r="C95" s="38"/>
      <c r="D95" s="38"/>
      <c r="E95" s="38"/>
      <c r="F95" s="135"/>
      <c r="H95" s="2553"/>
      <c r="I95" s="35"/>
    </row>
    <row r="96" spans="1:16" ht="13.5" hidden="1" thickTop="1">
      <c r="D96" s="35" t="s">
        <v>1231</v>
      </c>
      <c r="E96" s="35"/>
      <c r="F96" s="35"/>
      <c r="H96" s="322" t="e">
        <f>H93+H94</f>
        <v>#DIV/0!</v>
      </c>
      <c r="I96" s="35"/>
      <c r="J96" s="773"/>
      <c r="K96" s="773"/>
    </row>
    <row r="97" spans="1:11" hidden="1">
      <c r="D97" s="35" t="s">
        <v>470</v>
      </c>
      <c r="E97" s="35"/>
      <c r="F97" s="35"/>
      <c r="I97" s="35"/>
      <c r="J97" s="367"/>
      <c r="K97" s="367"/>
    </row>
    <row r="98" spans="1:11" hidden="1">
      <c r="D98" s="35" t="s">
        <v>471</v>
      </c>
      <c r="I98" s="35"/>
    </row>
    <row r="99" spans="1:11" hidden="1">
      <c r="D99" s="35" t="s">
        <v>1012</v>
      </c>
      <c r="I99" s="35"/>
    </row>
    <row r="100" spans="1:11" hidden="1">
      <c r="D100" s="35" t="s">
        <v>647</v>
      </c>
      <c r="I100" s="35"/>
    </row>
    <row r="101" spans="1:11" hidden="1">
      <c r="D101" s="35" t="s">
        <v>648</v>
      </c>
      <c r="I101" s="35"/>
    </row>
    <row r="102" spans="1:11" hidden="1">
      <c r="D102" s="35"/>
      <c r="I102" s="35"/>
    </row>
    <row r="103" spans="1:11" hidden="1"/>
    <row r="104" spans="1:11" hidden="1"/>
    <row r="105" spans="1:11" hidden="1"/>
    <row r="106" spans="1:11" hidden="1">
      <c r="A106" s="20" t="s">
        <v>1667</v>
      </c>
      <c r="G106" s="16"/>
    </row>
    <row r="107" spans="1:11" hidden="1">
      <c r="G107" s="16"/>
    </row>
    <row r="108" spans="1:11" hidden="1">
      <c r="A108" s="20" t="s">
        <v>1492</v>
      </c>
      <c r="G108" s="16"/>
      <c r="H108" s="16"/>
      <c r="J108" s="16"/>
      <c r="K108" s="16"/>
    </row>
    <row r="109" spans="1:11" hidden="1">
      <c r="A109" s="20" t="s">
        <v>1493</v>
      </c>
      <c r="H109" s="16"/>
      <c r="J109" s="16"/>
      <c r="K109" s="16"/>
    </row>
    <row r="110" spans="1:11" hidden="1">
      <c r="A110" s="20" t="s">
        <v>518</v>
      </c>
      <c r="H110" s="16"/>
      <c r="J110" s="16"/>
      <c r="K110" s="16"/>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1" hidden="1"/>
    <row r="130" spans="5:11" hidden="1"/>
    <row r="131" spans="5:11" ht="13.5" thickTop="1">
      <c r="E131" t="s">
        <v>2767</v>
      </c>
      <c r="F131" s="5">
        <f>SUM(F21:F27)</f>
        <v>0</v>
      </c>
      <c r="H131" s="5">
        <f>SUM(H21:H27)</f>
        <v>0</v>
      </c>
    </row>
    <row r="132" spans="5:11">
      <c r="E132" t="s">
        <v>2768</v>
      </c>
      <c r="F132" s="5">
        <f>F28+F29</f>
        <v>0</v>
      </c>
      <c r="H132" s="5">
        <f>H28+H29</f>
        <v>0</v>
      </c>
    </row>
    <row r="133" spans="5:11">
      <c r="E133" t="s">
        <v>2769</v>
      </c>
      <c r="F133" s="5">
        <f>F32+F33</f>
        <v>0</v>
      </c>
      <c r="H133" s="5">
        <f>H32+H33</f>
        <v>0</v>
      </c>
      <c r="J133" s="5"/>
      <c r="K133" s="5"/>
    </row>
    <row r="134" spans="5:11">
      <c r="E134" t="s">
        <v>2770</v>
      </c>
      <c r="F134" s="5">
        <f>F34+F35</f>
        <v>0</v>
      </c>
      <c r="H134" s="5">
        <f>H34+H35</f>
        <v>0</v>
      </c>
      <c r="J134" s="5"/>
      <c r="K134" s="5"/>
    </row>
    <row r="135" spans="5:11">
      <c r="E135" t="s">
        <v>2849</v>
      </c>
      <c r="F135" s="91" t="e">
        <f>Assumptions!G110*'Calc Data'!E25*'Calc Data'!E35*100</f>
        <v>#DIV/0!</v>
      </c>
      <c r="H135" s="91" t="e">
        <f>Assumptions!G110*'Calc Data'!E25*'Calc Data'!E35*100</f>
        <v>#DIV/0!</v>
      </c>
      <c r="J135" s="5"/>
      <c r="K135" s="5"/>
    </row>
    <row r="136" spans="5:11">
      <c r="E136" t="s">
        <v>2851</v>
      </c>
      <c r="F136" s="91" t="e">
        <f>Assumptions!G111*'Calc Data'!E25*'Calc Data'!E38*100</f>
        <v>#DIV/0!</v>
      </c>
      <c r="H136" s="91" t="e">
        <f>Assumptions!G111*'Calc Data'!E25*'Calc Data'!AG29*100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D7" sqref="D7"/>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1394" t="s">
        <v>3893</v>
      </c>
    </row>
    <row r="6" spans="1:5" ht="15.75">
      <c r="A6" s="781"/>
      <c r="B6" s="775" t="s">
        <v>2866</v>
      </c>
      <c r="C6" s="785" t="s">
        <v>3864</v>
      </c>
      <c r="D6" s="785" t="s">
        <v>3865</v>
      </c>
      <c r="E6" s="785" t="s">
        <v>3824</v>
      </c>
    </row>
    <row r="7" spans="1:5" ht="15">
      <c r="A7" s="514">
        <v>1</v>
      </c>
      <c r="B7" s="386" t="s">
        <v>3894</v>
      </c>
      <c r="C7" s="390">
        <f>'Data Entry - SOF'!E73</f>
        <v>0</v>
      </c>
      <c r="D7" s="390">
        <f>'Data Entry - SOF'!E74</f>
        <v>0</v>
      </c>
      <c r="E7" s="390">
        <f t="shared" ref="E7:E14" si="0">C7-D7</f>
        <v>0</v>
      </c>
    </row>
    <row r="8" spans="1:5" ht="15">
      <c r="A8" s="514">
        <v>2</v>
      </c>
      <c r="B8" s="386" t="s">
        <v>3895</v>
      </c>
      <c r="C8" s="408">
        <f>'Data Entry - SOF'!E92</f>
        <v>1.17</v>
      </c>
      <c r="D8" s="408">
        <f>C8</f>
        <v>1.17</v>
      </c>
      <c r="E8" s="408">
        <f t="shared" si="0"/>
        <v>0</v>
      </c>
    </row>
    <row r="9" spans="1:5" ht="15">
      <c r="A9" s="514">
        <v>3</v>
      </c>
      <c r="B9" s="386" t="s">
        <v>3883</v>
      </c>
      <c r="C9" s="408">
        <f>'Data Entry - SOF'!E172</f>
        <v>0</v>
      </c>
      <c r="D9" s="408">
        <f>C9</f>
        <v>0</v>
      </c>
      <c r="E9" s="408">
        <f t="shared" si="0"/>
        <v>0</v>
      </c>
    </row>
    <row r="10" spans="1:5" s="382" customFormat="1" ht="15">
      <c r="A10" s="514">
        <v>4</v>
      </c>
      <c r="B10" s="386" t="s">
        <v>3896</v>
      </c>
      <c r="C10" s="478">
        <f>'Data Entry - SOF'!E93+'Data Entry - SOF'!E98</f>
        <v>0</v>
      </c>
      <c r="D10" s="478" t="e">
        <f>(('Data Entry - SOF'!E93-'IFA-OldLaw'!M79)*(D7/C7))+'IFA-OldLaw'!M79+'Data Entry - SOF'!E98</f>
        <v>#DIV/0!</v>
      </c>
      <c r="E10" s="390" t="e">
        <f t="shared" si="0"/>
        <v>#DIV/0!</v>
      </c>
    </row>
    <row r="11" spans="1:5" s="382" customFormat="1" ht="15">
      <c r="A11" s="514">
        <v>5</v>
      </c>
      <c r="B11" s="386" t="s">
        <v>3897</v>
      </c>
      <c r="C11" s="478">
        <f>C10*IF(C8&lt;C9,1,C9/C8)</f>
        <v>0</v>
      </c>
      <c r="D11" s="478" t="e">
        <f>D10*IF(D8&lt;D9,1,D9/D8)</f>
        <v>#DIV/0!</v>
      </c>
      <c r="E11" s="390" t="e">
        <f t="shared" si="0"/>
        <v>#DIV/0!</v>
      </c>
    </row>
    <row r="12" spans="1:5" s="382" customFormat="1" ht="15">
      <c r="A12" s="514">
        <v>6</v>
      </c>
      <c r="B12" s="386" t="s">
        <v>530</v>
      </c>
      <c r="C12" s="390">
        <f>'SOF1819-SB1'!J43</f>
        <v>0</v>
      </c>
      <c r="D12" s="390">
        <f>'SOF1819-SB1'!K43</f>
        <v>0</v>
      </c>
      <c r="E12" s="390">
        <f t="shared" si="0"/>
        <v>0</v>
      </c>
    </row>
    <row r="13" spans="1:5" s="382" customFormat="1" ht="15">
      <c r="A13" s="514">
        <v>7</v>
      </c>
      <c r="B13" s="386" t="s">
        <v>3874</v>
      </c>
      <c r="C13" s="390">
        <f>'SOF1819-SB1'!J44</f>
        <v>0</v>
      </c>
      <c r="D13" s="390">
        <f>'SOF1819-SB1'!K44</f>
        <v>0</v>
      </c>
      <c r="E13" s="390">
        <f t="shared" si="0"/>
        <v>0</v>
      </c>
    </row>
    <row r="14" spans="1:5" s="382" customFormat="1" ht="15">
      <c r="A14" s="514">
        <v>8</v>
      </c>
      <c r="B14" s="386" t="s">
        <v>3870</v>
      </c>
      <c r="C14" s="390">
        <f>'SOF1819-SB1'!J48</f>
        <v>0</v>
      </c>
      <c r="D14" s="390">
        <f>'SOF1819-SB1'!K48</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'SOF1819-SB1'!J51</f>
        <v>#DIV/0!</v>
      </c>
      <c r="D17" s="390" t="e">
        <f>'SOF1819-SB1'!K51</f>
        <v>#DIV/0!</v>
      </c>
      <c r="E17" s="390" t="e">
        <f>C17-D17</f>
        <v>#DIV/0!</v>
      </c>
    </row>
    <row r="18" spans="1:5" s="382" customFormat="1" ht="15">
      <c r="A18" s="514">
        <v>11</v>
      </c>
      <c r="B18" s="386" t="s">
        <v>3876</v>
      </c>
      <c r="C18" s="390" t="e">
        <f>'SOF1819-SB1'!J52</f>
        <v>#DIV/0!</v>
      </c>
      <c r="D18" s="390" t="e">
        <f>'SOF1819-SB1'!K52</f>
        <v>#DIV/0!</v>
      </c>
      <c r="E18" s="390" t="e">
        <f>C18-D18</f>
        <v>#DIV/0!</v>
      </c>
    </row>
    <row r="19" spans="1:5" s="382" customFormat="1" ht="15">
      <c r="A19" s="514">
        <v>12</v>
      </c>
      <c r="B19" s="386" t="s">
        <v>6383</v>
      </c>
      <c r="C19" s="390">
        <f>'IFA-OldLaw'!M86</f>
        <v>0</v>
      </c>
      <c r="D19" s="390">
        <f>'IFA-OldLaw'!O79</f>
        <v>0</v>
      </c>
      <c r="E19" s="390">
        <f>C19-D19</f>
        <v>0</v>
      </c>
    </row>
    <row r="20" spans="1:5" s="382" customFormat="1" ht="15.75">
      <c r="A20" s="514">
        <v>13</v>
      </c>
      <c r="B20" s="384" t="s">
        <v>6167</v>
      </c>
      <c r="C20" s="390">
        <v>0</v>
      </c>
      <c r="D20" s="390">
        <v>0</v>
      </c>
      <c r="E20" s="390">
        <f>C20-D20</f>
        <v>0</v>
      </c>
    </row>
    <row r="21" spans="1:5" s="382" customFormat="1" ht="15">
      <c r="A21" s="514">
        <v>14</v>
      </c>
      <c r="B21" s="386" t="s">
        <v>3878</v>
      </c>
      <c r="C21" s="390" t="e">
        <f>IF('Option Costs-HH'!S57="Y",'Option Costs-HH'!U106,'Option Costs-HH'!Y106)</f>
        <v>#DIV/0!</v>
      </c>
      <c r="D21" s="390" t="e">
        <f>IF('Option Costs-HH-15K'!S57="Y",'Option Costs-HH-15K'!U106,'Option Costs-HH-15K'!Y106)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75">
      <c r="A26" s="794">
        <f>A25+1</f>
        <v>18</v>
      </c>
      <c r="B26" s="795" t="s">
        <v>6387</v>
      </c>
      <c r="C26" s="796"/>
      <c r="D26" s="786" t="e">
        <f>IF(D25-C25&lt;=0,0,D25-C25)</f>
        <v>#DIV/0!</v>
      </c>
    </row>
    <row r="27" spans="1:5">
      <c r="D27" s="787"/>
    </row>
    <row r="30" spans="1:5">
      <c r="C30" s="91"/>
    </row>
    <row r="31" spans="1:5" ht="15.75">
      <c r="B31" s="1394" t="s">
        <v>3904</v>
      </c>
    </row>
    <row r="33" spans="1:3" ht="15.75">
      <c r="A33" s="780"/>
      <c r="B33" s="775" t="s">
        <v>2866</v>
      </c>
      <c r="C33" s="783"/>
    </row>
    <row r="34" spans="1:3" ht="15">
      <c r="A34" s="514">
        <v>1</v>
      </c>
      <c r="B34" s="655" t="s">
        <v>9396</v>
      </c>
      <c r="C34" s="390">
        <f>'Data Entry - SOF'!E76</f>
        <v>0</v>
      </c>
    </row>
    <row r="35" spans="1:3" ht="15">
      <c r="A35" s="514">
        <v>2</v>
      </c>
      <c r="B35" s="655" t="s">
        <v>9397</v>
      </c>
      <c r="C35" s="390">
        <f>'Data Entry - SOF'!E78</f>
        <v>0</v>
      </c>
    </row>
    <row r="36" spans="1:3" ht="15">
      <c r="A36" s="514">
        <v>3</v>
      </c>
      <c r="B36" s="655" t="s">
        <v>3911</v>
      </c>
      <c r="C36" s="390">
        <f>'Data Entry - SOF'!E119</f>
        <v>0</v>
      </c>
    </row>
    <row r="37" spans="1:3" ht="15.75">
      <c r="A37" s="780"/>
      <c r="B37" s="777" t="s">
        <v>4024</v>
      </c>
      <c r="C37" s="783"/>
    </row>
    <row r="38" spans="1:3" ht="15">
      <c r="A38" s="514">
        <v>4</v>
      </c>
      <c r="B38" s="954" t="s">
        <v>3859</v>
      </c>
      <c r="C38" s="390">
        <f>'IFA-OldLaw'!L86</f>
        <v>0</v>
      </c>
    </row>
    <row r="39" spans="1:3" ht="15">
      <c r="A39" s="514">
        <v>5</v>
      </c>
      <c r="B39" s="954" t="s">
        <v>3860</v>
      </c>
      <c r="C39" s="390">
        <f>'Existing Debt-OldLaw'!I74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'IFA-OldLaw'!N86</f>
        <v>0</v>
      </c>
    </row>
    <row r="45" spans="1:3" ht="15">
      <c r="A45" s="514">
        <v>10</v>
      </c>
      <c r="B45" s="954" t="s">
        <v>3862</v>
      </c>
      <c r="C45" s="390">
        <f>'Existing Debt-OldLaw'!J74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SOF'!E101</f>
        <v>0</v>
      </c>
    </row>
    <row r="50" spans="1:3" ht="15">
      <c r="A50" s="514">
        <v>14</v>
      </c>
      <c r="B50" s="955" t="s">
        <v>4030</v>
      </c>
      <c r="C50" s="390" t="e">
        <f>C40-C48</f>
        <v>#DIV/0!</v>
      </c>
    </row>
    <row r="51" spans="1:3" ht="15.7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workbookViewId="0">
      <selection activeCell="F44" sqref="F44"/>
    </sheetView>
  </sheetViews>
  <sheetFormatPr defaultRowHeight="12.75"/>
  <cols>
    <col min="1" max="1" width="5" customWidth="1"/>
    <col min="2" max="2" width="66.85546875" customWidth="1"/>
    <col min="3" max="3" width="19.5703125" style="2105" hidden="1" customWidth="1"/>
    <col min="4" max="4" width="19.5703125" style="1132" hidden="1" customWidth="1"/>
    <col min="5" max="5" width="19.5703125" style="658" customWidth="1"/>
    <col min="6" max="6" width="19.5703125" style="1158" customWidth="1"/>
    <col min="7" max="7" width="19.5703125" style="1184" customWidth="1"/>
    <col min="8" max="8" width="19.5703125" style="1210" customWidth="1"/>
    <col min="9" max="9" width="19.5703125" style="1322" customWidth="1"/>
    <col min="10" max="10" width="19.5703125" style="1713" customWidth="1"/>
    <col min="11" max="11" width="22.5703125" style="617" hidden="1" customWidth="1"/>
    <col min="12" max="12" width="19" hidden="1" customWidth="1"/>
    <col min="13" max="13" width="22.5703125" style="247" customWidth="1"/>
    <col min="14" max="14" width="22.5703125" customWidth="1"/>
    <col min="15" max="15" width="18" customWidth="1"/>
    <col min="16" max="16" width="13.42578125" style="119" customWidth="1"/>
    <col min="17" max="18" width="18" hidden="1" customWidth="1"/>
    <col min="19" max="20" width="18" customWidth="1"/>
    <col min="21" max="21" width="18.140625" customWidth="1"/>
    <col min="22" max="22" width="20.5703125" style="152" customWidth="1"/>
    <col min="23" max="23" width="21.140625" customWidth="1"/>
    <col min="24" max="27" width="17.5703125" customWidth="1"/>
    <col min="28" max="28" width="36.5703125" style="2011" hidden="1" customWidth="1"/>
    <col min="29" max="29" width="19.5703125" style="2011" hidden="1" customWidth="1"/>
    <col min="30" max="30" width="19.140625" style="2011" hidden="1" customWidth="1"/>
    <col min="31" max="31" width="19.85546875" style="2011" hidden="1" customWidth="1"/>
    <col min="32" max="32" width="35.5703125" hidden="1" customWidth="1"/>
    <col min="33" max="33" width="17.140625" hidden="1" customWidth="1"/>
    <col min="34" max="34" width="20.140625" hidden="1" customWidth="1"/>
    <col min="35" max="35" width="18" hidden="1" customWidth="1"/>
    <col min="36" max="36" width="38.425781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42578125" customWidth="1"/>
    <col min="45" max="45" width="21.5703125" customWidth="1"/>
    <col min="46" max="46" width="21.42578125" customWidth="1"/>
    <col min="47" max="47" width="20.140625" customWidth="1"/>
    <col min="48" max="48" width="16.5703125" customWidth="1"/>
    <col min="49" max="49" width="41.42578125" style="1797" customWidth="1"/>
    <col min="50" max="50" width="21.5703125" style="1797" customWidth="1"/>
    <col min="51" max="51" width="21.42578125" style="1797" customWidth="1"/>
    <col min="52" max="52" width="20.140625" style="1797" customWidth="1"/>
    <col min="53" max="53" width="16.5703125" style="1797" customWidth="1"/>
    <col min="54" max="54" width="41.42578125" style="1416" customWidth="1"/>
    <col min="55" max="55" width="21.5703125" style="1416" customWidth="1"/>
    <col min="56" max="56" width="21.42578125" style="1416" customWidth="1"/>
    <col min="57" max="57" width="20.140625" style="1416" customWidth="1"/>
    <col min="58" max="58" width="16.5703125" style="1797" customWidth="1"/>
    <col min="59" max="59" width="41.42578125" style="2477" customWidth="1"/>
    <col min="60" max="60" width="21.5703125" style="2477" customWidth="1"/>
    <col min="61" max="61" width="21.42578125" style="2477" customWidth="1"/>
    <col min="62" max="62" width="20.140625" style="2477" customWidth="1"/>
    <col min="63" max="63" width="16.5703125" style="2478" customWidth="1"/>
    <col min="64" max="78" width="9.140625" style="1797"/>
  </cols>
  <sheetData>
    <row r="1" spans="1:61">
      <c r="A1" s="35" t="s">
        <v>1250</v>
      </c>
      <c r="D1" s="1933" t="s">
        <v>8246</v>
      </c>
      <c r="E1" s="1949"/>
      <c r="F1" s="1950"/>
      <c r="G1" s="2197"/>
      <c r="O1" s="72"/>
      <c r="P1" s="141"/>
      <c r="V1"/>
    </row>
    <row r="2" spans="1:61">
      <c r="O2" s="72"/>
      <c r="P2" s="141"/>
      <c r="V2" s="54"/>
    </row>
    <row r="3" spans="1:61">
      <c r="A3" s="15" t="s">
        <v>68</v>
      </c>
      <c r="K3" s="618"/>
      <c r="L3" s="239"/>
      <c r="M3" s="239"/>
      <c r="N3" s="239"/>
      <c r="V3"/>
    </row>
    <row r="4" spans="1:61">
      <c r="A4" s="21" t="s">
        <v>1276</v>
      </c>
      <c r="B4" s="9"/>
      <c r="C4" s="2106"/>
      <c r="D4" s="1236"/>
      <c r="E4" s="1236"/>
      <c r="F4" s="1236"/>
      <c r="G4" s="1236"/>
      <c r="H4" s="1236"/>
      <c r="I4" s="1323"/>
      <c r="J4" s="1716"/>
      <c r="K4" s="619"/>
      <c r="P4" s="142"/>
      <c r="V4"/>
    </row>
    <row r="5" spans="1:61">
      <c r="A5" s="20"/>
      <c r="C5" s="2107" t="s">
        <v>3138</v>
      </c>
      <c r="D5" s="1237" t="s">
        <v>3144</v>
      </c>
      <c r="E5" s="1238" t="s">
        <v>3225</v>
      </c>
      <c r="F5" s="1239" t="s">
        <v>3284</v>
      </c>
      <c r="G5" s="1240" t="s">
        <v>3922</v>
      </c>
      <c r="H5" s="1241" t="s">
        <v>6374</v>
      </c>
      <c r="I5" s="1324" t="s">
        <v>6939</v>
      </c>
      <c r="J5" s="1717" t="s">
        <v>8157</v>
      </c>
      <c r="K5" s="367"/>
      <c r="P5" s="143"/>
      <c r="V5"/>
    </row>
    <row r="6" spans="1:61">
      <c r="A6" s="20"/>
      <c r="B6" t="s">
        <v>2008</v>
      </c>
      <c r="C6" s="2108">
        <f>'Data Entry - SOF'!C19</f>
        <v>0</v>
      </c>
      <c r="D6" s="1134" t="e">
        <f>'Data Entry - SOF'!#REF!</f>
        <v>#REF!</v>
      </c>
      <c r="E6" s="1134">
        <f>'Data Entry - SOF'!E19</f>
        <v>0</v>
      </c>
      <c r="F6" s="1160">
        <f>'Data Entry - SOF'!K19</f>
        <v>0</v>
      </c>
      <c r="G6" s="1186">
        <f>'Data Entry - SOF'!M19</f>
        <v>0</v>
      </c>
      <c r="H6" s="1212">
        <f>'Data Entry - SOF'!O19</f>
        <v>0</v>
      </c>
      <c r="I6" s="1325">
        <f>'Data Entry - SOF'!Q19</f>
        <v>0</v>
      </c>
      <c r="J6" s="1718">
        <f>'Data Entry - SOF'!S19</f>
        <v>0</v>
      </c>
      <c r="K6" s="367"/>
      <c r="P6" s="144"/>
      <c r="V6"/>
    </row>
    <row r="7" spans="1:61">
      <c r="B7" s="73" t="s">
        <v>1848</v>
      </c>
      <c r="C7" s="2108">
        <f t="shared" ref="C7:H7" si="0">C6</f>
        <v>0</v>
      </c>
      <c r="D7" s="1134" t="e">
        <f t="shared" si="0"/>
        <v>#REF!</v>
      </c>
      <c r="E7" s="664">
        <f t="shared" si="0"/>
        <v>0</v>
      </c>
      <c r="F7" s="1160">
        <f t="shared" si="0"/>
        <v>0</v>
      </c>
      <c r="G7" s="1186">
        <f t="shared" si="0"/>
        <v>0</v>
      </c>
      <c r="H7" s="1212">
        <f t="shared" si="0"/>
        <v>0</v>
      </c>
      <c r="I7" s="1325">
        <f>I6</f>
        <v>0</v>
      </c>
      <c r="J7" s="1718">
        <f>J6</f>
        <v>0</v>
      </c>
      <c r="P7" s="144"/>
      <c r="V7"/>
    </row>
    <row r="8" spans="1:61">
      <c r="B8" t="s">
        <v>2009</v>
      </c>
      <c r="C8" s="2108">
        <f>SUM('Data Entry - SOF'!C23:C30)+SUM('Data Entry - SOF'!C32:C33)</f>
        <v>0</v>
      </c>
      <c r="D8" s="1134" t="e">
        <f>SUM('Data Entry - SOF'!#REF!)+SUM('Data Entry - SOF'!#REF!)</f>
        <v>#REF!</v>
      </c>
      <c r="E8" s="664">
        <f>SUM('Data Entry - SOF'!E23:E30)+SUM('Data Entry - SOF'!E32:E33)</f>
        <v>0</v>
      </c>
      <c r="F8" s="1160">
        <f>SUM('Data Entry - SOF'!G23:K30)+SUM('Data Entry - SOF'!G32:K33)</f>
        <v>0</v>
      </c>
      <c r="G8" s="1186">
        <f>SUM('Data Entry - SOF'!M23:M30)+SUM('Data Entry - SOF'!M32:M33)</f>
        <v>0</v>
      </c>
      <c r="H8" s="1212">
        <f>SUM('Data Entry - SOF'!O23:O30)+SUM('Data Entry - SOF'!O32:O33)</f>
        <v>0</v>
      </c>
      <c r="I8" s="1325">
        <f>SUM('Data Entry - SOF'!Q23:Q30)+SUM('Data Entry - SOF'!Q32:Q33)</f>
        <v>0</v>
      </c>
      <c r="J8" s="1718">
        <f>SUM('Data Entry - SOF'!S23:S30)+SUM('Data Entry - SOF'!S32:S33)</f>
        <v>0</v>
      </c>
      <c r="K8" s="367"/>
      <c r="P8" s="144"/>
      <c r="V8"/>
    </row>
    <row r="9" spans="1:61">
      <c r="B9" t="s">
        <v>2010</v>
      </c>
      <c r="C9" s="2108">
        <f>('Data Entry - SOF'!C23*Weights!H10)+('Data Entry - SOF'!C24*Weights!H11)+('Data Entry - SOF'!C25*Weights!H12)+('Data Entry - SOF'!C26*Weights!H13)+('Data Entry - SOF'!C27*Weights!H14)+('Data Entry - SOF'!C28*Weights!H15)+('Data Entry - SOF'!C29*Weights!H16)</f>
        <v>0</v>
      </c>
      <c r="D9" s="1134" t="e">
        <f>('Data Entry - SOF'!#REF!*Weights!I10)+('Data Entry - SOF'!#REF!*Weights!I11)+('Data Entry - SOF'!#REF!*Weights!I12)+('Data Entry - SOF'!#REF!*Weights!I13)+('Data Entry - SOF'!#REF!*Weights!I14)+('Data Entry - SOF'!#REF!*Weights!I15)+('Data Entry - SOF'!#REF!*Weights!I16)</f>
        <v>#REF!</v>
      </c>
      <c r="E9" s="664">
        <f>('Data Entry - SOF'!E23*Weights!J10)+('Data Entry - SOF'!E24*Weights!J11)+('Data Entry - SOF'!E25*Weights!J12)+('Data Entry - SOF'!E26*Weights!J13)+('Data Entry - SOF'!E27*Weights!J14)+('Data Entry - SOF'!E28*Weights!J15)+('Data Entry - SOF'!E29*Weights!J16)</f>
        <v>0</v>
      </c>
      <c r="F9" s="1160">
        <f>('Data Entry - SOF'!K23*Weights!K10)+('Data Entry - SOF'!K24*Weights!K11)+('Data Entry - SOF'!K25*Weights!K12)+('Data Entry - SOF'!K26*Weights!K13)+('Data Entry - SOF'!K27*Weights!K14)+('Data Entry - SOF'!K28*Weights!K15)+('Data Entry - SOF'!K29*Weights!K16)</f>
        <v>0</v>
      </c>
      <c r="G9" s="1186">
        <f>('Data Entry - SOF'!M23*Weights!L10)+('Data Entry - SOF'!M24*Weights!L11)+('Data Entry - SOF'!M25*Weights!L12)+('Data Entry - SOF'!M26*Weights!L13)+('Data Entry - SOF'!M27*Weights!L14)+('Data Entry - SOF'!M28*Weights!L15)+('Data Entry - SOF'!M29*Weights!L16)</f>
        <v>0</v>
      </c>
      <c r="H9" s="1212">
        <f>('Data Entry - SOF'!O23*Weights!M10)+('Data Entry - SOF'!O24*Weights!M11)+('Data Entry - SOF'!O25*Weights!M12)+('Data Entry - SOF'!O26*Weights!M13)+('Data Entry - SOF'!O27*Weights!M14)+('Data Entry - SOF'!O28*Weights!M15)+('Data Entry - SOF'!O29*Weights!M16)</f>
        <v>0</v>
      </c>
      <c r="I9" s="1325">
        <f>('Data Entry - SOF'!Q23*Weights!N10)+('Data Entry - SOF'!Q24*Weights!N11)+('Data Entry - SOF'!Q25*Weights!N12)+('Data Entry - SOF'!Q26*Weights!N13)+('Data Entry - SOF'!Q27*Weights!N14)+('Data Entry - SOF'!Q28*Weights!N15)+('Data Entry - SOF'!Q29*Weights!N16)</f>
        <v>0</v>
      </c>
      <c r="J9" s="1718">
        <f>('Data Entry - SOF'!S23*Weights!O10)+('Data Entry - SOF'!S24*Weights!O11)+('Data Entry - SOF'!S25*Weights!O12)+('Data Entry - SOF'!S26*Weights!O13)+('Data Entry - SOF'!S27*Weights!O14)+('Data Entry - SOF'!S28*Weights!O15)+('Data Entry - SOF'!S29*Weights!O16)</f>
        <v>0</v>
      </c>
      <c r="K9" s="367"/>
      <c r="P9" s="144"/>
      <c r="V9"/>
    </row>
    <row r="10" spans="1:61">
      <c r="B10" t="s">
        <v>2011</v>
      </c>
      <c r="C10" s="2108">
        <f>C7-C8-'Data Entry - SOF'!C35</f>
        <v>0</v>
      </c>
      <c r="D10" s="1134" t="e">
        <f>D7-D8-'Data Entry - SOF'!#REF!</f>
        <v>#REF!</v>
      </c>
      <c r="E10" s="664">
        <f>E7-E8-'Data Entry - SOF'!E35</f>
        <v>0</v>
      </c>
      <c r="F10" s="1160">
        <f>F7-F8-'Data Entry - SOF'!K35</f>
        <v>0</v>
      </c>
      <c r="G10" s="1186">
        <f>G7-G8-'Data Entry - SOF'!M35</f>
        <v>0</v>
      </c>
      <c r="H10" s="1212">
        <f>H7-H8-'Data Entry - SOF'!O35</f>
        <v>0</v>
      </c>
      <c r="I10" s="1325">
        <f>I7-I8-'Data Entry - SOF'!Q35</f>
        <v>0</v>
      </c>
      <c r="J10" s="1718">
        <f>J7-J8-'Data Entry - SOF'!S35</f>
        <v>0</v>
      </c>
      <c r="K10" s="367"/>
      <c r="P10" s="144"/>
      <c r="V10"/>
    </row>
    <row r="11" spans="1:61">
      <c r="B11" t="s">
        <v>2012</v>
      </c>
      <c r="C11" s="2109">
        <f>IF('Data Entry - SOF'!C218=1,'Data Entry - SOF'!C215,IF('Data Entry - SOF'!C219=1,'Data Entry - SOF'!C216,IF('Data Entry - SOF'!C220=1,'Data Entry - SOF'!C217,0)))</f>
        <v>0</v>
      </c>
      <c r="D11" s="1135" t="e">
        <f>IF('Data Entry - SOF'!#REF!=1,'Data Entry - SOF'!#REF!,IF('Data Entry - SOF'!#REF!=1,'Data Entry - SOF'!#REF!,IF('Data Entry - SOF'!#REF!=1,'Data Entry - SOF'!#REF!,0)))</f>
        <v>#REF!</v>
      </c>
      <c r="E11" s="665">
        <f>IF('Data Entry - SOF'!E218=1,'Data Entry - SOF'!E215,IF('Data Entry - SOF'!E219=1,'Data Entry - SOF'!E216,IF('Data Entry - SOF'!E220=1,'Data Entry - SOF'!E217,0)))</f>
        <v>0</v>
      </c>
      <c r="F11" s="1161">
        <f>IF('Data Entry - SOF'!K218=1,'Data Entry - SOF'!K215,IF('Data Entry - SOF'!K219=1,'Data Entry - SOF'!K216,IF('Data Entry - SOF'!K220=1,'Data Entry - SOF'!K217,0)))</f>
        <v>0</v>
      </c>
      <c r="G11" s="1187">
        <f>IF('Data Entry - SOF'!M218=1,'Data Entry - SOF'!M215,IF('Data Entry - SOF'!M219=1,'Data Entry - SOF'!M216,IF('Data Entry - SOF'!M220=1,'Data Entry - SOF'!M217,0)))</f>
        <v>0</v>
      </c>
      <c r="H11" s="1213">
        <f>IF('Data Entry - SOF'!O218=1,'Data Entry - SOF'!O215,IF('Data Entry - SOF'!O219=1,'Data Entry - SOF'!O216,IF('Data Entry - SOF'!O220=1,'Data Entry - SOF'!O217,0)))</f>
        <v>0</v>
      </c>
      <c r="I11" s="1326">
        <f>IF('Data Entry - SOF'!Q218=1,'Data Entry - SOF'!Q215,IF('Data Entry - SOF'!Q219=1,'Data Entry - SOF'!Q216,IF('Data Entry - SOF'!Q220=1,'Data Entry - SOF'!Q217,0)))</f>
        <v>0</v>
      </c>
      <c r="J11" s="1719">
        <f>IF('Data Entry - SOF'!S218=1,'Data Entry - SOF'!S215,IF('Data Entry - SOF'!S219=1,'Data Entry - SOF'!S216,IF('Data Entry - SOF'!S220=1,'Data Entry - SOF'!S217,0)))</f>
        <v>0</v>
      </c>
      <c r="K11" s="626"/>
      <c r="V11"/>
    </row>
    <row r="12" spans="1:61">
      <c r="K12" s="626" t="s">
        <v>6962</v>
      </c>
      <c r="V12"/>
      <c r="AD12" s="2132"/>
      <c r="AE12" s="2133"/>
      <c r="AF12" s="1797"/>
      <c r="AG12" s="1798" t="s">
        <v>8548</v>
      </c>
      <c r="AH12" s="1799"/>
      <c r="AI12" s="1799"/>
      <c r="AJ12" s="1800"/>
    </row>
    <row r="13" spans="1:61" hidden="1">
      <c r="B13" s="73" t="s">
        <v>268</v>
      </c>
      <c r="K13" s="367"/>
      <c r="V13"/>
    </row>
    <row r="14" spans="1:61" hidden="1">
      <c r="B14" s="73" t="s">
        <v>2069</v>
      </c>
      <c r="K14" s="367"/>
      <c r="V14"/>
    </row>
    <row r="15" spans="1:61" hidden="1">
      <c r="B15" s="73" t="s">
        <v>759</v>
      </c>
      <c r="K15" s="367"/>
      <c r="V15"/>
    </row>
    <row r="16" spans="1:61">
      <c r="B16" s="73"/>
      <c r="C16" s="2110" t="s">
        <v>3837</v>
      </c>
      <c r="D16" s="1133" t="s">
        <v>3837</v>
      </c>
      <c r="E16" s="627" t="s">
        <v>3837</v>
      </c>
      <c r="F16" s="1159" t="s">
        <v>3837</v>
      </c>
      <c r="G16" s="1185" t="s">
        <v>3837</v>
      </c>
      <c r="H16" s="1211" t="s">
        <v>3837</v>
      </c>
      <c r="I16" s="1323" t="s">
        <v>3837</v>
      </c>
      <c r="J16" s="1716" t="s">
        <v>3837</v>
      </c>
      <c r="K16" s="367" t="s">
        <v>6963</v>
      </c>
      <c r="V16"/>
      <c r="AC16" s="2134"/>
      <c r="AD16" s="2135"/>
      <c r="AG16" s="88"/>
      <c r="AH16" s="995"/>
      <c r="AK16" s="88"/>
      <c r="AL16" s="995"/>
      <c r="AM16" s="791"/>
      <c r="AO16" s="88"/>
      <c r="AP16" s="995"/>
      <c r="AS16" s="88"/>
      <c r="AT16" s="995"/>
      <c r="AX16" s="2442"/>
      <c r="AY16" s="2443"/>
      <c r="BC16" s="2442"/>
      <c r="BD16" s="2479"/>
      <c r="BH16" s="2480"/>
      <c r="BI16" s="2480"/>
    </row>
    <row r="17" spans="2:62">
      <c r="B17" s="35"/>
      <c r="C17" s="2107" t="str">
        <f>C5</f>
        <v>2016-17</v>
      </c>
      <c r="D17" s="1237" t="s">
        <v>3144</v>
      </c>
      <c r="E17" s="1238" t="s">
        <v>3225</v>
      </c>
      <c r="F17" s="1239" t="s">
        <v>3284</v>
      </c>
      <c r="G17" s="1240" t="s">
        <v>3922</v>
      </c>
      <c r="H17" s="1241" t="str">
        <f>H5</f>
        <v>2021-22</v>
      </c>
      <c r="I17" s="1324" t="str">
        <f>I5</f>
        <v>2022-23</v>
      </c>
      <c r="J17" s="1717" t="str">
        <f>J5</f>
        <v>2023-24</v>
      </c>
      <c r="K17" s="626" t="s">
        <v>6156</v>
      </c>
      <c r="P17" s="143"/>
      <c r="Q17" s="629" t="s">
        <v>3176</v>
      </c>
      <c r="R17" s="629" t="s">
        <v>3179</v>
      </c>
      <c r="V17"/>
      <c r="AC17" s="2136" t="s">
        <v>3138</v>
      </c>
      <c r="AD17" s="2135"/>
      <c r="AG17" s="54" t="s">
        <v>3144</v>
      </c>
      <c r="AH17" s="995"/>
      <c r="AK17" s="54" t="s">
        <v>3225</v>
      </c>
      <c r="AL17" s="995"/>
      <c r="AM17" s="790"/>
      <c r="AO17" s="54" t="s">
        <v>3284</v>
      </c>
      <c r="AP17" s="995"/>
      <c r="AS17" s="54" t="s">
        <v>3922</v>
      </c>
      <c r="AT17" s="995"/>
      <c r="AX17" s="2444" t="s">
        <v>6374</v>
      </c>
      <c r="AY17" s="2443"/>
      <c r="BC17" s="2444" t="s">
        <v>6939</v>
      </c>
      <c r="BD17" s="2479"/>
      <c r="BH17" s="2444" t="s">
        <v>8157</v>
      </c>
      <c r="BI17" s="2442"/>
      <c r="BJ17" s="1416"/>
    </row>
    <row r="18" spans="2:62">
      <c r="B18" t="s">
        <v>1805</v>
      </c>
      <c r="C18" s="2111">
        <f>IF('Data Entry - SOF'!C157&gt;=300,Weights!H40,Weights!H39)</f>
        <v>2.5000000000000001E-4</v>
      </c>
      <c r="D18" s="1136" t="e">
        <f>IF('Data Entry - SOF'!#REF!&gt;=300,Weights!I40,Weights!I39)</f>
        <v>#REF!</v>
      </c>
      <c r="E18" s="666">
        <f>IF('Data Entry - SOF'!E157&gt;=300,Weights!J40,Weights!J39)</f>
        <v>2.7500000000000002E-4</v>
      </c>
      <c r="F18" s="1162">
        <f>IF('Data Entry - SOF'!K157&gt;=300,Weights!K40,Weights!K39)</f>
        <v>2.9999999999999997E-4</v>
      </c>
      <c r="G18" s="1188">
        <f>IF('Data Entry - SOF'!M157&gt;=300,Weights!L40,Weights!L39)</f>
        <v>3.2499999999999999E-4</v>
      </c>
      <c r="H18" s="1214">
        <f>IF('Data Entry - SOF'!O157&gt;=300,Weights!M40,Weights!M39)</f>
        <v>3.5E-4</v>
      </c>
      <c r="I18" s="1327">
        <f>IF('Data Entry - SOF'!Q157&gt;=300,Weights!N40,Weights!N39)</f>
        <v>3.7500000000000001E-4</v>
      </c>
      <c r="J18" s="1720">
        <f>Weights!O39</f>
        <v>4.0000000000000002E-4</v>
      </c>
      <c r="K18" s="620">
        <f>IF('Data Entry - SOF'!D157&gt;=300,Weights!J40,Weights!J39)</f>
        <v>2.7500000000000002E-4</v>
      </c>
      <c r="L18" s="620">
        <f>IF('Data Entry - SOF'!C157&gt;=300,Weights!J40,Weights!J39)</f>
        <v>2.7500000000000002E-4</v>
      </c>
      <c r="Q18" s="273" t="e">
        <f>#REF!</f>
        <v>#REF!</v>
      </c>
      <c r="R18" s="273" t="e">
        <f>Q18</f>
        <v>#REF!</v>
      </c>
      <c r="V18"/>
      <c r="AC18" s="2136" t="s">
        <v>3840</v>
      </c>
      <c r="AD18" s="2135"/>
      <c r="AG18" s="54" t="s">
        <v>3840</v>
      </c>
      <c r="AH18" s="995"/>
      <c r="AK18" s="54" t="s">
        <v>3840</v>
      </c>
      <c r="AL18" s="995"/>
      <c r="AM18" s="790"/>
      <c r="AO18" s="54" t="s">
        <v>3840</v>
      </c>
      <c r="AP18" s="995"/>
      <c r="AS18" s="54" t="s">
        <v>3840</v>
      </c>
      <c r="AT18" s="995"/>
      <c r="AX18" s="2444" t="s">
        <v>3840</v>
      </c>
      <c r="AY18" s="2443"/>
      <c r="BC18" s="2444" t="s">
        <v>3840</v>
      </c>
      <c r="BD18" s="2479"/>
      <c r="BH18" s="2444" t="s">
        <v>3840</v>
      </c>
      <c r="BI18" s="2442"/>
      <c r="BJ18" s="1416"/>
    </row>
    <row r="19" spans="2:62">
      <c r="B19" t="s">
        <v>2422</v>
      </c>
      <c r="C19" s="2112">
        <f>IF('Data Entry - SOF'!C161&gt;=1.5,Assumptions!G88,Assumptions!G88*('Data Entry - SOF'!C154/1))</f>
        <v>0</v>
      </c>
      <c r="D19" s="1267" t="e">
        <f>IF('Data Entry - SOF'!C161&gt;=1.5,Assumptions!G99,Assumptions!G99*('Data Entry - SOF'!#REF!/1))</f>
        <v>#REF!</v>
      </c>
      <c r="E19" s="1268">
        <f>IF('Data Entry - SOF'!C161&gt;=1.5,Assumptions!G108,Assumptions!G108*('Data Entry - SOF'!E154/1))</f>
        <v>0</v>
      </c>
      <c r="F19" s="1269">
        <f>IF('Data Entry - SOF'!C161&gt;=1.5,Assumptions!G117,Assumptions!G117*('Data Entry - SOF'!K154/1))</f>
        <v>0</v>
      </c>
      <c r="G19" s="1270">
        <f>IF('Data Entry - SOF'!C161&gt;=1.5,Assumptions!G126,Assumptions!G126*('Data Entry - SOF'!M154/1))</f>
        <v>0</v>
      </c>
      <c r="H19" s="1271">
        <f>IF('Data Entry - SOF'!C161&gt;=1.5,Assumptions!G135,Assumptions!G135*('Data Entry - SOF'!O154/1))</f>
        <v>0</v>
      </c>
      <c r="I19" s="1328">
        <f>IF('Data Entry - SOF'!C161&gt;=1.5,Assumptions!G144,Assumptions!G144*('Data Entry - SOF'!Q154/1))</f>
        <v>0</v>
      </c>
      <c r="J19" s="1721">
        <f>IF('Data Entry - SOF'!D161&gt;=1.5,Assumptions!G153,Assumptions!G153*('Data Entry - SOF'!S154/1))</f>
        <v>0</v>
      </c>
      <c r="K19" s="621">
        <f>IF('Data Entry - SOF'!C161&gt;=1.5,Assumptions!G108,Assumptions!G108*('Data Entry - SOF'!C154/1.00005))</f>
        <v>0</v>
      </c>
      <c r="L19" s="621">
        <f>IF('Data Entry - SOF'!C161&gt;=1.5,Assumptions!G108,Assumptions!G108*('Data Entry - SOF'!C154/1.00005))</f>
        <v>0</v>
      </c>
      <c r="Q19" s="274" t="e">
        <f>IF('Data Entry - SOF'!C161&gt;=1.5,Assumptions!G46,Assumptions!G46*('Data Entry - SOF'!#REF!/1.00005))</f>
        <v>#REF!</v>
      </c>
      <c r="R19" s="274" t="e">
        <f>IF('Data Entry - SOF'!C161&gt;=1.5,Assumptions!G46,Assumptions!G46*('Data Entry - SOF'!#REF!/1.00005))</f>
        <v>#REF!</v>
      </c>
      <c r="V19"/>
      <c r="AC19" s="2137">
        <f>IF('Data Entry - SOF'!C161&gt;=1.5,Assumptions!G88,IF(AC24&gt;=AC25,Assumptions!G88,Assumptions!G88*(('Data Entry - SOF'!C154+(AC24/100))/1)))</f>
        <v>0</v>
      </c>
      <c r="AD19" s="2135"/>
      <c r="AG19" s="945" t="e">
        <f>IF('Data Entry - SOF'!C161&gt;=1.5,Assumptions!G99,IF(AG24&gt;=AG25,Assumptions!G99,Assumptions!G99*(('Data Entry - SOF'!#REF!+(AG24/100))/1)))</f>
        <v>#REF!</v>
      </c>
      <c r="AH19" s="995"/>
      <c r="AK19" s="742">
        <f>IF('Data Entry - SOF'!C161&gt;=1.5,Assumptions!G108,IF(AK24&gt;=AK25,Assumptions!G108,Assumptions!G108*(('Data Entry - SOF'!E154+(AK24/100))/1)))</f>
        <v>5140</v>
      </c>
      <c r="AL19" s="995"/>
      <c r="AM19" s="947"/>
      <c r="AO19" s="742">
        <f>IF('Data Entry - SOF'!C161&gt;=1.5,Assumptions!G117,IF(AO24&gt;=AO25,Assumptions!G117,Assumptions!G117*(('Data Entry - SOF'!K154+(AO24/100))/1)))</f>
        <v>5140</v>
      </c>
      <c r="AP19" s="995"/>
      <c r="AS19" s="2421">
        <f>IF('Data Entry - SOF'!C161&gt;=1.5,Assumptions!G126,IF(AS24&gt;=AS25,Assumptions!G126,Assumptions!G126*(('Data Entry - SOF'!M154+(AS24/100))/1)))</f>
        <v>5140</v>
      </c>
      <c r="AT19" s="2719"/>
      <c r="AU19" s="35"/>
      <c r="AX19" s="2465">
        <f>IF('Data Entry - SOF'!C161&gt;=1.5,Assumptions!G135,IF(AX24&gt;=AX25,Assumptions!G135,Assumptions!G135*(('Data Entry - SOF'!O154+(AX24/100))/1)))</f>
        <v>5140</v>
      </c>
      <c r="AY19" s="2740"/>
      <c r="AZ19" s="1472"/>
      <c r="BC19" s="2465">
        <f>IF('Data Entry - SOF'!C161&gt;=1.5,Assumptions!G144,IF(BC24&gt;=BC25,Assumptions!G144,Assumptions!G144*(('Data Entry - SOF'!Q154+(BC24/100))/1)))</f>
        <v>5140</v>
      </c>
      <c r="BD19" s="1418"/>
      <c r="BE19" s="1438"/>
      <c r="BH19" s="2465">
        <f>IF('Data Entry - SOF'!C161&gt;=1.5,Assumptions!G153,IF(BH24&gt;=BH25,Assumptions!G153,Assumptions!G153*(('Data Entry - SOF'!S154+(BH24/100))/1)))</f>
        <v>5140</v>
      </c>
      <c r="BI19" s="2764"/>
      <c r="BJ19" s="1471"/>
    </row>
    <row r="20" spans="2:62">
      <c r="B20" t="s">
        <v>1701</v>
      </c>
      <c r="C20" s="2113">
        <f>ROUND(C19*(((C59-1)*Weights!H44)+1),0)</f>
        <v>0</v>
      </c>
      <c r="D20" s="1137" t="e">
        <f>ROUND(D19*(((D59-1)*Weights!I44)+1),0)</f>
        <v>#REF!</v>
      </c>
      <c r="E20" s="667">
        <f>ROUND(E19*(((E59-1)*Weights!J44)+1),0)</f>
        <v>0</v>
      </c>
      <c r="F20" s="1163">
        <f>ROUND(F19*(((F59-1)*Weights!K44)+1),0)</f>
        <v>0</v>
      </c>
      <c r="G20" s="1189">
        <f>ROUND(G19*(((G59-1)*Weights!L44)+1),0)</f>
        <v>0</v>
      </c>
      <c r="H20" s="1215">
        <f>ROUND(H19*(((H59-1)*Weights!M44)+1),0)</f>
        <v>0</v>
      </c>
      <c r="I20" s="1329">
        <f>ROUND(I19*(((I59-1)*Weights!N44)+1),0)</f>
        <v>0</v>
      </c>
      <c r="J20" s="1722">
        <f>ROUND(J19*(((J59-1)*Weights!O44)+1),0)</f>
        <v>0</v>
      </c>
      <c r="K20" s="622">
        <f>ROUND(K19*(((K59-1)*Weights!J44)+1),0)</f>
        <v>0</v>
      </c>
      <c r="L20" s="622">
        <f>ROUND(L19*(((K59-1)*Weights!J44)+1),0)</f>
        <v>0</v>
      </c>
      <c r="P20" s="145"/>
      <c r="Q20" s="275" t="e">
        <f>ROUND(Q19*(((#REF!-1)*Weights!E44)+1),0)</f>
        <v>#REF!</v>
      </c>
      <c r="R20" s="275" t="e">
        <f>ROUND(R19*(((#REF!-1)*Weights!E44)+1),0)</f>
        <v>#REF!</v>
      </c>
      <c r="V20"/>
      <c r="AB20" s="2138" t="s">
        <v>3852</v>
      </c>
      <c r="AC20" s="2139">
        <f>ROUND(AC19*(((C59-1)*Weights!H44)+1),0)</f>
        <v>0</v>
      </c>
      <c r="AD20" s="2135"/>
      <c r="AF20" s="37" t="s">
        <v>3852</v>
      </c>
      <c r="AG20" s="1801" t="e">
        <f>ROUND(AG19*(((D59-1)*Weights!I44)+1),0)</f>
        <v>#REF!</v>
      </c>
      <c r="AH20" s="995"/>
      <c r="AJ20" s="37" t="s">
        <v>3852</v>
      </c>
      <c r="AK20" s="802">
        <f>ROUND(AK19*(((E59-1)*Weights!J44)+1),0)</f>
        <v>1491</v>
      </c>
      <c r="AL20" s="995"/>
      <c r="AM20" s="948"/>
      <c r="AN20" s="37" t="s">
        <v>3852</v>
      </c>
      <c r="AO20" s="810">
        <f>ROUND(AO19*(((F59-1)*Weights!K44)+1),0)</f>
        <v>1491</v>
      </c>
      <c r="AP20" s="995"/>
      <c r="AR20" s="37" t="s">
        <v>3852</v>
      </c>
      <c r="AS20" s="2776">
        <f>ROUND(AS19*(((G59-1)*Weights!L44)+1),0)</f>
        <v>1491</v>
      </c>
      <c r="AT20" s="2719"/>
      <c r="AU20" s="35"/>
      <c r="AW20" s="2446" t="s">
        <v>3852</v>
      </c>
      <c r="AX20" s="2676">
        <f>ROUND(AX19*(((H59-1)*Weights!M44)+1),0)</f>
        <v>1491</v>
      </c>
      <c r="AY20" s="2740"/>
      <c r="AZ20" s="1472"/>
      <c r="BB20" s="1437" t="s">
        <v>3852</v>
      </c>
      <c r="BC20" s="2746">
        <f>ROUND(BC19*(((I59-1)*Weights!N44)+1),0)</f>
        <v>1491</v>
      </c>
      <c r="BD20" s="1418"/>
      <c r="BE20" s="1438"/>
      <c r="BG20" s="1437" t="s">
        <v>3852</v>
      </c>
      <c r="BH20" s="2765">
        <f>ROUND(BH19*(((J59-1)*Weights!O44)+1),0)</f>
        <v>1491</v>
      </c>
      <c r="BI20" s="2764"/>
      <c r="BJ20" s="1471"/>
    </row>
    <row r="21" spans="2:62">
      <c r="B21" t="s">
        <v>81</v>
      </c>
      <c r="C21" s="2113">
        <f t="shared" ref="C21:H21" si="1">ROUND(IF(C10&gt;1600,C20,(1+(1600-IF(C10&gt;C11,C10,C11))*C18)*C20),0)</f>
        <v>0</v>
      </c>
      <c r="D21" s="1137" t="e">
        <f t="shared" si="1"/>
        <v>#REF!</v>
      </c>
      <c r="E21" s="667">
        <f t="shared" si="1"/>
        <v>0</v>
      </c>
      <c r="F21" s="1163">
        <f t="shared" si="1"/>
        <v>0</v>
      </c>
      <c r="G21" s="1189">
        <f t="shared" si="1"/>
        <v>0</v>
      </c>
      <c r="H21" s="1215">
        <f t="shared" si="1"/>
        <v>0</v>
      </c>
      <c r="I21" s="1329">
        <f>ROUND(IF(I10&gt;1600,I20,(1+(1600-IF(I10&gt;I11,I10,I11))*I18)*I20),0)</f>
        <v>0</v>
      </c>
      <c r="J21" s="1722">
        <f>ROUND(IF(J10&gt;1600,J20,(1+(1600-IF(J10&gt;J11,J10,J11))*J18)*J20),0)</f>
        <v>0</v>
      </c>
      <c r="K21" s="622" t="e">
        <f>ROUND(IF(D10&gt;1600,K20,(1+(1600-IF(D10&gt;D11,D10,D11))*K18)*K20),0)</f>
        <v>#REF!</v>
      </c>
      <c r="L21" s="622" t="e">
        <f>ROUND(IF(D10&gt;1600,L20,(1+(1600-IF(D10&gt;D11,D10,D11))*L18)*L20),0)</f>
        <v>#REF!</v>
      </c>
      <c r="P21" s="145"/>
      <c r="Q21" s="275" t="e">
        <f>ROUND(IF(#REF!&gt;1600,Q20,(1+(1600-IF(#REF!&gt;#REF!,#REF!,#REF!))*Q18)*Q20),0)</f>
        <v>#REF!</v>
      </c>
      <c r="R21" s="275" t="e">
        <f>ROUND(IF(#REF!&gt;1600,R20,(1+(1600-IF(#REF!&gt;#REF!,#REF!,#REF!))*R18)*R20),0)</f>
        <v>#REF!</v>
      </c>
      <c r="V21"/>
      <c r="AB21" s="2138" t="s">
        <v>2859</v>
      </c>
      <c r="AC21" s="2139">
        <f>ROUND(IF(C10&gt;1600,AC20,(1+(1600-IF(C10&gt;C11,C10,C11))*C18)*AC20),0)</f>
        <v>0</v>
      </c>
      <c r="AD21" s="2135"/>
      <c r="AF21" s="37" t="s">
        <v>2859</v>
      </c>
      <c r="AG21" s="1801" t="e">
        <f>ROUND(IF(D10&gt;1600,AG20,(1+(1600-IF(D10&gt;D11,D10,D11))*D18)*AG20),0)</f>
        <v>#REF!</v>
      </c>
      <c r="AH21" s="995"/>
      <c r="AJ21" s="37" t="s">
        <v>2859</v>
      </c>
      <c r="AK21" s="802">
        <f>ROUND(IF(E10&gt;1600,AK20,(1+(1600-IF(E10&gt;E11,E10,E11))*E18)*AK20),0)</f>
        <v>2147</v>
      </c>
      <c r="AL21" s="995"/>
      <c r="AM21" s="948"/>
      <c r="AN21" s="37" t="s">
        <v>2859</v>
      </c>
      <c r="AO21" s="810">
        <f>ROUND(IF(F10&gt;1600,AO20,(1+(1600-IF(F10&gt;F11,F10,F11))*F18)*AO20),0)</f>
        <v>2207</v>
      </c>
      <c r="AP21" s="995"/>
      <c r="AR21" s="37" t="s">
        <v>2859</v>
      </c>
      <c r="AS21" s="2776">
        <f>ROUND(IF(G10&gt;1600,AS20,(1+(1600-IF(G10&gt;G11,G10,G11))*G18)*AS20),0)</f>
        <v>2266</v>
      </c>
      <c r="AT21" s="2719"/>
      <c r="AU21" s="35"/>
      <c r="AW21" s="2446" t="s">
        <v>2859</v>
      </c>
      <c r="AX21" s="2676">
        <f>ROUND(IF(H10&gt;1600,AX20,(1+(1600-IF(H10&gt;H11,H10,H11))*H18)*AX20),0)</f>
        <v>2326</v>
      </c>
      <c r="AY21" s="2740"/>
      <c r="AZ21" s="1472"/>
      <c r="BB21" s="1437" t="s">
        <v>2859</v>
      </c>
      <c r="BC21" s="2746">
        <f>ROUND(IF(I10&gt;1600,BC20,(1+(1600-IF(I10&gt;I11,I10,I11))*I18)*BC20),0)</f>
        <v>2386</v>
      </c>
      <c r="BD21" s="1418"/>
      <c r="BE21" s="1438"/>
      <c r="BG21" s="1437" t="s">
        <v>2859</v>
      </c>
      <c r="BH21" s="2765">
        <f>ROUND(IF(J10&gt;1600,BH20,(1+(1600-IF(J10&gt;J11,J10,J11))*J18)*BH20),0)</f>
        <v>2445</v>
      </c>
      <c r="BI21" s="2764"/>
      <c r="BJ21" s="1471"/>
    </row>
    <row r="22" spans="2:62">
      <c r="B22" t="s">
        <v>1896</v>
      </c>
      <c r="C22" s="2113">
        <f>ROUND(IF(OR(C10&gt;4999.999,'Data Entry - SOF'!C156&lt;12),0,(1+((5000-C10)*Weights!H42))*C20),0)</f>
        <v>0</v>
      </c>
      <c r="D22" s="1137" t="e">
        <f>ROUND(IF(OR(D10&gt;4999.999,'Data Entry - SOF'!#REF!&lt;12),0,(1+((5000-D10)*Weights!I42))*D20),0)</f>
        <v>#REF!</v>
      </c>
      <c r="E22" s="667">
        <f>ROUND(IF(OR(E10&gt;4999.999,'Data Entry - SOF'!E156&lt;12),0,(1+((5000-E10)*Weights!J42))*E20),0)</f>
        <v>0</v>
      </c>
      <c r="F22" s="1163">
        <f>ROUND(IF(OR(F10&gt;4999.999,'Data Entry - SOF'!K156&lt;12),0,(1+((5000-F10)*Weights!K42))*F20),0)</f>
        <v>0</v>
      </c>
      <c r="G22" s="1189">
        <f>ROUND(IF(OR(G10&gt;4999.999,'Data Entry - SOF'!M156&lt;12),0,(1+((5000-G10)*Weights!L42))*G20),0)</f>
        <v>0</v>
      </c>
      <c r="H22" s="1215">
        <f>ROUND(IF(OR(H10&gt;4999.999,'Data Entry - SOF'!O156&lt;12),0,(1+((5000-H10)*Weights!M42))*H20),0)</f>
        <v>0</v>
      </c>
      <c r="I22" s="1329">
        <f>ROUND(IF(OR(I10&gt;4999.999,'Data Entry - SOF'!Q156&lt;12),0,(1+((5000-I10)*Weights!N42))*I20),0)</f>
        <v>0</v>
      </c>
      <c r="J22" s="1722">
        <f>ROUND(IF(OR(J10&gt;4999.999,'Data Entry - SOF'!S156&lt;12),0,(1+((5000-J10)*Weights!O42))*J20),0)</f>
        <v>0</v>
      </c>
      <c r="K22" s="622" t="e">
        <f>ROUND(IF(OR(D10&gt;4999.999,'Data Entry - SOF'!C156&lt;12),0,(1+((5000-D10)*Weights!J42))*K20),0)</f>
        <v>#REF!</v>
      </c>
      <c r="L22" s="622" t="e">
        <f>ROUND(IF(OR(D10&gt;4999.999,'Data Entry - SOF'!C156&lt;12),0,(1+((5000-D10)*Weights!J42))*L20),0)</f>
        <v>#REF!</v>
      </c>
      <c r="P22" s="145"/>
      <c r="Q22" s="269" t="e">
        <f>ROUND(IF(OR(#REF!&gt;4999.999,'Data Entry - SOF'!#REF!&lt;12),0,(1+((5000-#REF!)*Weights!E42))*Q20),0)</f>
        <v>#REF!</v>
      </c>
      <c r="R22" s="269" t="e">
        <f>ROUND(IF(OR(#REF!&gt;4999.999,'Data Entry - SOF'!#REF!&lt;12),0,(1+((5000-#REF!)*Weights!E42))*R20),0)</f>
        <v>#REF!</v>
      </c>
      <c r="V22"/>
      <c r="AB22" s="2138" t="s">
        <v>2860</v>
      </c>
      <c r="AC22" s="2140">
        <f>ROUND(IF(OR(C10&gt;4999.999,'Data Entry - SOF'!C156&lt;12),0,(1+((5000-C10)*Weights!H42))*AC20),0)</f>
        <v>0</v>
      </c>
      <c r="AD22" s="2135"/>
      <c r="AF22" s="37" t="s">
        <v>2860</v>
      </c>
      <c r="AG22" s="1801" t="e">
        <f>ROUND(IF(OR(D10&gt;4999.999,'Data Entry - SOF'!#REF!&lt;12),0,(1+((5000-D10)*Weights!I42))*AG20),0)</f>
        <v>#REF!</v>
      </c>
      <c r="AH22" s="995"/>
      <c r="AJ22" s="37" t="s">
        <v>2860</v>
      </c>
      <c r="AK22" s="803">
        <f>ROUND(IF(OR(E10&gt;4999.999,'Data Entry - SOF'!E156&lt;12),0,(1+((5000-E10)*Weights!J42))*AK20),0)</f>
        <v>0</v>
      </c>
      <c r="AL22" s="995"/>
      <c r="AM22" s="949"/>
      <c r="AN22" s="37" t="s">
        <v>2860</v>
      </c>
      <c r="AO22" s="811">
        <f>ROUND(IF(OR(F10&gt;4999.999,'Data Entry - SOF'!K156&lt;12),0,(1+((5000-F10)*Weights!K42))*AO20),0)</f>
        <v>0</v>
      </c>
      <c r="AP22" s="995"/>
      <c r="AR22" s="37" t="s">
        <v>2860</v>
      </c>
      <c r="AS22" s="2776">
        <f>ROUND(IF(OR(G10&gt;4999.999,'Data Entry - SOF'!M156&lt;12),0,(1+((5000-G10)*Weights!L42))*AS20),0)</f>
        <v>0</v>
      </c>
      <c r="AT22" s="2719"/>
      <c r="AU22" s="35"/>
      <c r="AW22" s="2446" t="s">
        <v>2860</v>
      </c>
      <c r="AX22" s="2676">
        <f>ROUND(IF(OR(H10&gt;4999.999,'Data Entry - SOF'!O156&lt;12),0,(1+((5000-H10)*Weights!M42))*AX20),0)</f>
        <v>0</v>
      </c>
      <c r="AY22" s="2740"/>
      <c r="AZ22" s="1472"/>
      <c r="BB22" s="1437" t="s">
        <v>2860</v>
      </c>
      <c r="BC22" s="2746">
        <f>ROUND(IF(OR(I10&gt;4999.999,'Data Entry - SOF'!Q156&lt;12),0,(1+((5000-I10)*Weights!N42))*BC20),0)</f>
        <v>0</v>
      </c>
      <c r="BD22" s="1418"/>
      <c r="BE22" s="1438"/>
      <c r="BG22" s="1437" t="s">
        <v>2860</v>
      </c>
      <c r="BH22" s="2765">
        <f>ROUND(IF(OR(J10&gt;4999.999,'Data Entry - SOF'!S156&lt;12),0,(1+((5000-J10)*Weights!O42))*BH20),0)</f>
        <v>0</v>
      </c>
      <c r="BI22" s="2764"/>
      <c r="BJ22" s="1471"/>
    </row>
    <row r="23" spans="2:62">
      <c r="B23" s="1279" t="s">
        <v>1702</v>
      </c>
      <c r="C23" s="2113">
        <f t="shared" ref="C23:H23" si="2">IF(AND(C22&gt;=C21,C22&gt;=C20),C22,IF(AND(C21&gt;=C20,C21&gt;=C22),C21,C20))</f>
        <v>0</v>
      </c>
      <c r="D23" s="1272" t="e">
        <f t="shared" si="2"/>
        <v>#REF!</v>
      </c>
      <c r="E23" s="1273">
        <f t="shared" si="2"/>
        <v>0</v>
      </c>
      <c r="F23" s="1274">
        <f t="shared" si="2"/>
        <v>0</v>
      </c>
      <c r="G23" s="1275">
        <f t="shared" si="2"/>
        <v>0</v>
      </c>
      <c r="H23" s="1276">
        <f t="shared" si="2"/>
        <v>0</v>
      </c>
      <c r="I23" s="1330">
        <f>IF(AND(I22&gt;=I21,I22&gt;=I20),I22,IF(AND(I21&gt;=I20,I21&gt;=I22),I21,I20))</f>
        <v>0</v>
      </c>
      <c r="J23" s="1723">
        <f>IF(AND(J22&gt;=J21,J22&gt;=J20),J22,IF(AND(J21&gt;=J20,J21&gt;=J22),J21,J20))</f>
        <v>0</v>
      </c>
      <c r="K23" s="622" t="e">
        <f>IF(AND(K22&gt;=K21,K22&gt;=K20),K22,IF(AND(K21&gt;=K20,K21&gt;=K22),K21,K20))</f>
        <v>#REF!</v>
      </c>
      <c r="L23" s="622" t="e">
        <f>IF(AND(L22&gt;=L21,L22&gt;=L20),L22,IF(AND(L21&gt;=L20,L21&gt;=L22),L21,L20))</f>
        <v>#REF!</v>
      </c>
      <c r="P23" s="145"/>
      <c r="Q23" s="275" t="e">
        <f>IF(AND(Q22&gt;=Q21,Q22&gt;=Q20),Q22,IF(AND(Q21&gt;=Q20,Q21&gt;=Q22),Q21,Q20))</f>
        <v>#REF!</v>
      </c>
      <c r="R23" s="275" t="e">
        <f>IF(AND(R22&gt;=R21,R22&gt;=R20),R22,IF(AND(R21&gt;=R20,R21&gt;=R22),R21,R20))</f>
        <v>#REF!</v>
      </c>
      <c r="V23"/>
      <c r="AB23" s="2138" t="s">
        <v>3841</v>
      </c>
      <c r="AC23" s="2139">
        <f>IF(AND(AC22&gt;=AC21,AC22&gt;=AC20),AC22,IF(AND(AC21&gt;=AC20,AC21&gt;=AC22),AC21,AC20))</f>
        <v>0</v>
      </c>
      <c r="AD23" s="2135"/>
      <c r="AF23" s="37" t="s">
        <v>3841</v>
      </c>
      <c r="AG23" s="1801" t="e">
        <f>IF(AND(AG22&gt;=AG21,AG22&gt;=AG20),AG22,IF(AND(AG21&gt;=AG20,AG21&gt;=AG22),AG21,AG20))</f>
        <v>#REF!</v>
      </c>
      <c r="AH23" s="995"/>
      <c r="AJ23" s="37" t="s">
        <v>3841</v>
      </c>
      <c r="AK23" s="802">
        <f>IF(AND(AK22&gt;=AK21,AK22&gt;=AK20),AK22,IF(AND(AK21&gt;=AK20,AK21&gt;=AK22),AK21,AK20))</f>
        <v>2147</v>
      </c>
      <c r="AL23" s="995"/>
      <c r="AM23" s="948"/>
      <c r="AN23" s="37" t="s">
        <v>3841</v>
      </c>
      <c r="AO23" s="810">
        <f>IF(AND(AO22&gt;=AO21,AO22&gt;=AO20),AO22,IF(AND(AO21&gt;=AO20,AO21&gt;=AO22),AO21,AO20))</f>
        <v>2207</v>
      </c>
      <c r="AP23" s="995"/>
      <c r="AR23" s="37" t="s">
        <v>3841</v>
      </c>
      <c r="AS23" s="2776">
        <f>IF(AND(AS22&gt;=AS21,AS22&gt;=AS20),AS22,IF(AND(AS21&gt;=AS20,AS21&gt;=AS22),AS21,AS20))</f>
        <v>2266</v>
      </c>
      <c r="AT23" s="2719"/>
      <c r="AU23" s="35"/>
      <c r="AW23" s="2446" t="s">
        <v>3841</v>
      </c>
      <c r="AX23" s="2676">
        <f>IF(AND(AX22&gt;=AX21,AX22&gt;=AX20),AX22,IF(AND(AX21&gt;=AX20,AX21&gt;=AX22),AX21,AX20))</f>
        <v>2326</v>
      </c>
      <c r="AY23" s="2740"/>
      <c r="AZ23" s="1472"/>
      <c r="BB23" s="1437" t="s">
        <v>3841</v>
      </c>
      <c r="BC23" s="2746">
        <f>IF(AND(BC22&gt;=BC21,BC22&gt;=BC20),BC22,IF(AND(BC21&gt;=BC20,BC21&gt;=BC22),BC21,BC20))</f>
        <v>2386</v>
      </c>
      <c r="BD23" s="1418"/>
      <c r="BE23" s="1438"/>
      <c r="BG23" s="1437" t="s">
        <v>3841</v>
      </c>
      <c r="BH23" s="2765">
        <f>IF(AND(BH22&gt;=BH21,BH22&gt;=BH20),BH22,IF(AND(BH21&gt;=BH20,BH21&gt;=BH22),BH21,BH20))</f>
        <v>2445</v>
      </c>
      <c r="BI23" s="2764"/>
      <c r="BJ23" s="1471"/>
    </row>
    <row r="24" spans="2:62">
      <c r="C24" s="2107"/>
      <c r="D24" s="1237"/>
      <c r="E24" s="1238"/>
      <c r="F24" s="1239"/>
      <c r="G24" s="1240"/>
      <c r="H24" s="1241"/>
      <c r="I24" s="1324"/>
      <c r="J24" s="1717"/>
      <c r="K24" s="367"/>
      <c r="P24" s="145"/>
      <c r="Q24" s="272"/>
      <c r="R24" s="272"/>
      <c r="V24"/>
      <c r="AB24" s="2138" t="s">
        <v>3817</v>
      </c>
      <c r="AC24" s="2141">
        <f>IF('Data Entry - SOF'!C92-'Data Entry - SOF'!C154&gt;0.06,('Data Entry - SOF'!C92-('Data Entry - SOF'!C154+0.06))*100,0)</f>
        <v>0</v>
      </c>
      <c r="AD24" s="2135"/>
      <c r="AF24" s="37" t="s">
        <v>3817</v>
      </c>
      <c r="AG24" s="789" t="e">
        <f>IF('Data Entry - SOF'!#REF!-'Data Entry - SOF'!#REF!&gt;0.06,('Data Entry - SOF'!#REF!-('Data Entry - SOF'!#REF!+0.06))*100,0)</f>
        <v>#REF!</v>
      </c>
      <c r="AH24" s="995"/>
      <c r="AJ24" s="37" t="s">
        <v>3817</v>
      </c>
      <c r="AK24" s="789">
        <f>IF('Data Entry - SOF'!E92-'Data Entry - SOF'!E154&gt;0.06,('Data Entry - SOF'!E92-('Data Entry - SOF'!E154+0.06))*100,0)</f>
        <v>110.99999999999999</v>
      </c>
      <c r="AL24" s="995"/>
      <c r="AM24" s="950"/>
      <c r="AN24" s="37" t="s">
        <v>3817</v>
      </c>
      <c r="AO24" s="789">
        <f>IF('Data Entry - SOF'!K92-'Data Entry - SOF'!K154&gt;0.06,('Data Entry - SOF'!K92-('Data Entry - SOF'!K154+0.06))*100,0)</f>
        <v>110.99999999999999</v>
      </c>
      <c r="AP24" s="995"/>
      <c r="AR24" s="37" t="s">
        <v>3817</v>
      </c>
      <c r="AS24" s="2493">
        <f>IF('Data Entry - SOF'!M92-'Data Entry - SOF'!M154&gt;0.06,('Data Entry - SOF'!M92-('Data Entry - SOF'!M154+0.06))*100,0)</f>
        <v>110.99999999999999</v>
      </c>
      <c r="AT24" s="2719"/>
      <c r="AU24" s="35"/>
      <c r="AW24" s="2446" t="s">
        <v>3817</v>
      </c>
      <c r="AX24" s="2470">
        <f>IF('Data Entry - SOF'!O92-'Data Entry - SOF'!O154&gt;0.06,('Data Entry - SOF'!O92-('Data Entry - SOF'!O154+0.06))*100,0)</f>
        <v>110.99999999999999</v>
      </c>
      <c r="AY24" s="2740"/>
      <c r="AZ24" s="1472"/>
      <c r="BB24" s="1437" t="s">
        <v>3817</v>
      </c>
      <c r="BC24" s="2494">
        <f>IF('Data Entry - SOF'!Q92-'Data Entry - SOF'!Q154&gt;0.06,('Data Entry - SOF'!Q92-('Data Entry - SOF'!Q154+0.06))*100,0)</f>
        <v>110.99999999999999</v>
      </c>
      <c r="BD24" s="1418"/>
      <c r="BE24" s="1438"/>
      <c r="BG24" s="1437" t="s">
        <v>3817</v>
      </c>
      <c r="BH24" s="2470">
        <f>IF('Data Entry - SOF'!S92-'Data Entry - SOF'!S154&gt;0.06,('Data Entry - SOF'!S92-('Data Entry - SOF'!S154+0.06))*100,0)</f>
        <v>110.99999999999999</v>
      </c>
      <c r="BI24" s="2764"/>
      <c r="BJ24" s="1471"/>
    </row>
    <row r="25" spans="2:62" ht="15.75">
      <c r="B25" s="1277" t="s">
        <v>935</v>
      </c>
      <c r="C25" s="2114" t="e">
        <f>ROUND(((#REF!-#REF!-#REF!-#REF!-#REF!-#REF!-#REF!)-(((C20-C19)*0.5)/C20)*(#REF!-#REF!-#REF!-#REF!-#REF!-#REF!-#REF!))/C19,3)</f>
        <v>#REF!</v>
      </c>
      <c r="D25" s="1242" t="e">
        <f>ROUND((('SOF1718-SB1'!H43-'SOF1718-SB1'!H42-'SOF1718-SB1'!H41-'SOF1718-SB1'!H39-'SOF1718-SB1'!H30-'SOF1718-SB1'!H31-'SOF1718-SB1'!H27)-(((AG20-AG19)*0.5)/AG20)*('SOF1718-SB1'!H43-'SOF1718-SB1'!H42-'SOF1718-SB1'!H41-'SOF1718-SB1'!H39-'SOF1718-SB1'!H30-'SOF1718-SB1'!H31-'SOF1718-SB1'!H27))/AG19,3)</f>
        <v>#REF!</v>
      </c>
      <c r="E25" s="1243">
        <f>ROUND((('SOF1819-SB1'!H43-'SOF1819-SB1'!H42-'SOF1819-SB1'!H41-'SOF1819-SB1'!H39-'SOF1819-SB1'!H30-'SOF1819-SB1'!H31-'SOF1819-SB1'!H27)-(((AK20-AK19)*0.5)/AK20)*('SOF1819-SB1'!H43-'SOF1819-SB1'!H42-'SOF1819-SB1'!H41-'SOF1819-SB1'!H39-'SOF1819-SB1'!H30-'SOF1819-SB1'!H31-'SOF1819-SB1'!H27))/AK19,3)</f>
        <v>0</v>
      </c>
      <c r="F25" s="1244">
        <f>ROUND((('SOF1920-HB3'!H66-'SOF1920-HB3'!H60-'SOF1920-HB3'!H59-'SOF1920-HB3'!H52-'SOF1920-HB3'!H31-'SOF1920-HB3'!H32-'SOF1920-HB3'!H28)-(((AO20-AO19)*0.5)/AO20)*('SOF1920-HB3'!H66-'SOF1920-HB3'!H60-'SOF1920-HB3'!H59-'SOF1920-HB3'!H52-'SOF1920-HB3'!H31-'SOF1920-HB3'!H32-'SOF1920-HB3'!H28))/AO19,3)</f>
        <v>0</v>
      </c>
      <c r="G25" s="1245" t="e">
        <f>ROUND((('SOF2021-SB1'!H43-'SOF2021-SB1'!H42-'SOF2021-SB1'!H41-'SOF2021-SB1'!H39-'SOF2021-SB1'!H30-'SOF2021-SB1'!H31-'SOF2021-SB1'!H27)-(((AS20-AS19)*0.5)/AS20)*('SOF2021-SB1'!H43-'SOF2021-SB1'!H42-'SOF2021-SB1'!H41-'SOF2021-SB1'!H39-'SOF2021-SB1'!H30-'SOF2021-SB1'!H31-'SOF2021-SB1'!H27))/AS19,3)</f>
        <v>#DIV/0!</v>
      </c>
      <c r="H25" s="1246" t="e">
        <f>ROUND((('SOF2122-SB1'!H43-'SOF2122-SB1'!H42-'SOF2122-SB1'!H41-'SOF2122-SB1'!H39-'SOF2122-SB1'!H30-'SOF2122-SB1'!H31-'SOF2122-SB1'!H27)-(((AX20-AX19)*0.5)/AX20)*('SOF2122-SB1'!H43-'SOF2122-SB1'!H42-'SOF2122-SB1'!H41-'SOF2122-SB1'!H39-'SOF2122-SB1'!H30-'SOF2122-SB1'!H31-'SOF2122-SB1'!H27))/AX19,3)</f>
        <v>#DIV/0!</v>
      </c>
      <c r="I25" s="1331" t="e">
        <f>ROUND((('SOF2223-SB1'!H43-'SOF2223-SB1'!H42-'SOF2223-SB1'!H41-'SOF2223-SB1'!H39-'SOF2223-SB1'!H30-'SOF2223-SB1'!H31-'SOF2223-SB1'!H27)-(((BC20-BC19)*0.5)/BC20)*('SOF2223-SB1'!H43-'SOF2223-SB1'!H42-'SOF2223-SB1'!H41-'SOF2223-SB1'!H39-'SOF2223-SB1'!H30-'SOF2223-SB1'!H31-'SOF2223-SB1'!H27))/BC19,3)</f>
        <v>#DIV/0!</v>
      </c>
      <c r="J25" s="1724" t="e">
        <f>ROUND((('SOF2324-SB1'!H43-'SOF2324-SB1'!H42-'SOF2324-SB1'!H41-'SOF2324-SB1'!H39-'SOF2324-SB1'!H30-'SOF2324-SB1'!H31-'SOF2324-SB1'!H27)-(((BH20-BH19)*0.5)/BH20)*('SOF2324-SB1'!H43-'SOF2324-SB1'!H42-'SOF2324-SB1'!H41-'SOF2324-SB1'!H39-'SOF2324-SB1'!H30-'SOF2324-SB1'!H31-'SOF2324-SB1'!H27))/BH19,3)</f>
        <v>#DIV/0!</v>
      </c>
      <c r="K25" s="367"/>
      <c r="P25" s="146"/>
      <c r="Q25" s="337" t="e">
        <f>ROUND(((#REF!-#REF!-#REF!-#REF!-#REF!-#REF!-#REF!)-(((Q20-Q19)*0.5)/Q20)*(#REF!-#REF!-#REF!-#REF!-#REF!-#REF!-#REF!))/Q19,3)</f>
        <v>#REF!</v>
      </c>
      <c r="R25" s="337" t="e">
        <f>ROUND(((#REF!-#REF!-#REF!-#REF!-#REF!-#REF!-#REF!)-(((R20-R19)*0.5)/R20)*(#REF!-#REF!-#REF!-#REF!-#REF!-#REF!-#REF!))/R19,3)</f>
        <v>#REF!</v>
      </c>
      <c r="V25"/>
      <c r="AB25" s="2138" t="s">
        <v>3816</v>
      </c>
      <c r="AC25" s="2142">
        <f>ROUND(IF('Data Entry - SOF'!C154&gt;=1,0,(1 -'Data Entry - SOF'!C154)*100),4)</f>
        <v>100</v>
      </c>
      <c r="AD25" s="2135"/>
      <c r="AF25" s="37" t="s">
        <v>3816</v>
      </c>
      <c r="AG25" s="1802" t="e">
        <f>ROUND(IF('Data Entry - SOF'!#REF!&gt;=1,0,(1 -'Data Entry - SOF'!#REF!)*100),4)</f>
        <v>#REF!</v>
      </c>
      <c r="AH25" s="995"/>
      <c r="AJ25" s="37" t="s">
        <v>3816</v>
      </c>
      <c r="AK25" s="804">
        <f>ROUND(IF('Data Entry - SOF'!E154&gt;=1,0,(1 -'Data Entry - SOF'!E154)*100),4)</f>
        <v>100</v>
      </c>
      <c r="AL25" s="995"/>
      <c r="AM25" s="950"/>
      <c r="AN25" s="37" t="s">
        <v>3816</v>
      </c>
      <c r="AO25" s="812">
        <f>ROUND(IF('Data Entry - SOF'!K154&gt;=1,0,(1 -'Data Entry - SOF'!K154)*100),4)</f>
        <v>100</v>
      </c>
      <c r="AP25" s="995"/>
      <c r="AR25" s="37" t="s">
        <v>3816</v>
      </c>
      <c r="AS25" s="2777">
        <f>ROUND(IF('Data Entry - SOF'!M154&gt;=1,0,(1 -'Data Entry - SOF'!M154)*100),4)</f>
        <v>100</v>
      </c>
      <c r="AT25" s="2719"/>
      <c r="AU25" s="35"/>
      <c r="AW25" s="2446" t="s">
        <v>3816</v>
      </c>
      <c r="AX25" s="2468">
        <f>ROUND(IF('Data Entry - SOF'!O154&gt;=1,0,(1 -'Data Entry - SOF'!O154)*100),4)</f>
        <v>100</v>
      </c>
      <c r="AY25" s="2740"/>
      <c r="AZ25" s="1472"/>
      <c r="BB25" s="1437" t="s">
        <v>3816</v>
      </c>
      <c r="BC25" s="2494">
        <f>ROUND(IF('Data Entry - SOF'!Q154&gt;=1,0,(1 -'Data Entry - SOF'!Q154)*100),4)</f>
        <v>100</v>
      </c>
      <c r="BD25" s="1418"/>
      <c r="BE25" s="1438"/>
      <c r="BG25" s="1437" t="s">
        <v>3816</v>
      </c>
      <c r="BH25" s="2766">
        <f>ROUND(IF('Data Entry - SOF'!S154&gt;=1,0,(1 -'Data Entry - SOF'!S154)*100),4)</f>
        <v>100</v>
      </c>
      <c r="BI25" s="2764"/>
      <c r="BJ25" s="1471"/>
    </row>
    <row r="26" spans="2:62" hidden="1">
      <c r="B26" t="s">
        <v>474</v>
      </c>
      <c r="C26" s="2115" t="e">
        <f>#REF!</f>
        <v>#REF!</v>
      </c>
      <c r="D26" s="1138" t="e">
        <f>#REF!</f>
        <v>#REF!</v>
      </c>
      <c r="E26" s="668" t="e">
        <f>#REF!</f>
        <v>#REF!</v>
      </c>
      <c r="F26" s="1164" t="e">
        <f>#REF!</f>
        <v>#REF!</v>
      </c>
      <c r="G26" s="1190" t="e">
        <f>#REF!</f>
        <v>#REF!</v>
      </c>
      <c r="H26" s="1216" t="e">
        <f>#REF!</f>
        <v>#REF!</v>
      </c>
      <c r="I26" s="1332" t="e">
        <f>#REF!</f>
        <v>#REF!</v>
      </c>
      <c r="J26" s="1725" t="e">
        <f>#REF!</f>
        <v>#REF!</v>
      </c>
      <c r="K26" s="367"/>
      <c r="P26" s="146"/>
      <c r="V26"/>
      <c r="AB26" s="2143"/>
      <c r="AC26" s="2144"/>
      <c r="AD26" s="2135"/>
      <c r="AF26" s="203"/>
      <c r="AG26" s="1803"/>
      <c r="AH26" s="995"/>
      <c r="AJ26" s="203"/>
      <c r="AK26" s="805"/>
      <c r="AL26" s="995"/>
      <c r="AM26" s="951"/>
      <c r="AN26" s="203"/>
      <c r="AO26" s="813"/>
      <c r="AP26" s="995"/>
      <c r="AR26" s="203"/>
      <c r="AS26" s="2778"/>
      <c r="AT26" s="2719"/>
      <c r="AU26" s="35"/>
      <c r="AW26" s="2447"/>
      <c r="AX26" s="2743"/>
      <c r="AY26" s="2740"/>
      <c r="AZ26" s="1472"/>
      <c r="BB26" s="2447"/>
      <c r="BC26" s="2747"/>
      <c r="BD26" s="1418"/>
      <c r="BE26" s="1438"/>
      <c r="BG26" s="2762"/>
      <c r="BH26" s="2767"/>
      <c r="BI26" s="2764"/>
      <c r="BJ26" s="1471"/>
    </row>
    <row r="27" spans="2:62" hidden="1">
      <c r="B27" t="s">
        <v>748</v>
      </c>
      <c r="C27" s="2115" t="e">
        <f>('Data Entry - SOF'!K93-'IFA-OldLaw'!#REF!)/('Data Entry - SOF'!#REF!/100)</f>
        <v>#REF!</v>
      </c>
      <c r="D27" s="1139" t="e">
        <f>('Data Entry - SOF'!U93-'IFA-OldLaw'!#REF!)/('Data Entry - SOF'!#REF!/100)</f>
        <v>#VALUE!</v>
      </c>
      <c r="E27" s="669" t="e">
        <f>('Data Entry - SOF'!O93-'IFA-OldLaw'!#REF!)/('Data Entry - SOF'!#REF!/100)</f>
        <v>#REF!</v>
      </c>
      <c r="F27" s="1165" t="e">
        <f>('Data Entry - SOF'!W93-'IFA-OldLaw'!#REF!)/('Data Entry - SOF'!#REF!/100)</f>
        <v>#REF!</v>
      </c>
      <c r="G27" s="1191" t="e">
        <f>('Data Entry - SOF'!X93-'IFA-OldLaw'!H79)/('Data Entry - SOF'!#REF!/100)</f>
        <v>#REF!</v>
      </c>
      <c r="H27" s="1217" t="e">
        <f>('Data Entry - SOF'!Y93-'IFA-OldLaw'!I79)/('Data Entry - SOF'!#REF!/100)</f>
        <v>#REF!</v>
      </c>
      <c r="I27" s="1333" t="e">
        <f>('Data Entry - SOF'!Z93-'IFA-OldLaw'!J79)/('Data Entry - SOF'!#REF!/100)</f>
        <v>#REF!</v>
      </c>
      <c r="J27" s="1726" t="e">
        <f>('Data Entry - SOF'!AA93-'IFA-OldLaw'!K79)/('Data Entry - SOF'!#REF!/100)</f>
        <v>#REF!</v>
      </c>
      <c r="K27" s="367"/>
      <c r="P27" s="147"/>
      <c r="V27"/>
      <c r="AC27" s="2144"/>
      <c r="AD27" s="2135"/>
      <c r="AG27" s="1803"/>
      <c r="AH27" s="995"/>
      <c r="AK27" s="805"/>
      <c r="AL27" s="995"/>
      <c r="AM27" s="951"/>
      <c r="AO27" s="813"/>
      <c r="AP27" s="995"/>
      <c r="AS27" s="2778"/>
      <c r="AT27" s="2719"/>
      <c r="AU27" s="35"/>
      <c r="AX27" s="2743"/>
      <c r="AY27" s="2740"/>
      <c r="AZ27" s="1472"/>
      <c r="BC27" s="2747"/>
      <c r="BD27" s="1418"/>
      <c r="BE27" s="1438"/>
      <c r="BG27" s="1416"/>
      <c r="BH27" s="2767"/>
      <c r="BI27" s="2764"/>
      <c r="BJ27" s="1471"/>
    </row>
    <row r="28" spans="2:62">
      <c r="B28" s="35" t="s">
        <v>783</v>
      </c>
      <c r="C28" s="2107"/>
      <c r="D28" s="1237"/>
      <c r="E28" s="1238"/>
      <c r="F28" s="1239"/>
      <c r="G28" s="1240"/>
      <c r="H28" s="1241"/>
      <c r="I28" s="1324"/>
      <c r="J28" s="1717"/>
      <c r="K28" s="367"/>
      <c r="V28"/>
      <c r="AB28" s="2138" t="s">
        <v>3818</v>
      </c>
      <c r="AC28" s="2142">
        <f>IF(AC24-AC25&lt;=0,0,AC24-AC25)</f>
        <v>0</v>
      </c>
      <c r="AD28" s="2135"/>
      <c r="AF28" s="37" t="s">
        <v>3818</v>
      </c>
      <c r="AG28" s="1802" t="e">
        <f>IF(AG24-AG25&lt;=0,0,AG24-AG25)</f>
        <v>#REF!</v>
      </c>
      <c r="AH28" s="995"/>
      <c r="AJ28" s="37" t="s">
        <v>3818</v>
      </c>
      <c r="AK28" s="804">
        <f>IF(AK24-AK25&lt;=0,0,AK24-AK25)</f>
        <v>10.999999999999986</v>
      </c>
      <c r="AL28" s="995"/>
      <c r="AM28" s="950"/>
      <c r="AN28" s="37" t="s">
        <v>3818</v>
      </c>
      <c r="AO28" s="812">
        <f>IF(AO24-AO25&lt;=0,0,AO24-AO25)</f>
        <v>10.999999999999986</v>
      </c>
      <c r="AP28" s="995"/>
      <c r="AR28" s="37" t="s">
        <v>3818</v>
      </c>
      <c r="AS28" s="2777">
        <f>IF(AS24-AS25&lt;=0,0,AS24-AS25)</f>
        <v>10.999999999999986</v>
      </c>
      <c r="AT28" s="2719"/>
      <c r="AU28" s="35"/>
      <c r="AW28" s="2446" t="s">
        <v>3818</v>
      </c>
      <c r="AX28" s="2468">
        <f>IF(AX24-AX25&lt;=0,0,AX24-AX25)</f>
        <v>10.999999999999986</v>
      </c>
      <c r="AY28" s="2740"/>
      <c r="AZ28" s="1472"/>
      <c r="BB28" s="1437" t="s">
        <v>3818</v>
      </c>
      <c r="BC28" s="2470">
        <f>IF(BC24-BC25&lt;=0,0,BC24-BC25)</f>
        <v>10.999999999999986</v>
      </c>
      <c r="BD28" s="1418"/>
      <c r="BE28" s="1438"/>
      <c r="BG28" s="1437" t="s">
        <v>3818</v>
      </c>
      <c r="BH28" s="2766">
        <f>IF(BH24-BH25&lt;=0,0,BH24-BH25)</f>
        <v>10.999999999999986</v>
      </c>
      <c r="BI28" s="2764"/>
      <c r="BJ28" s="1471"/>
    </row>
    <row r="29" spans="2:62">
      <c r="B29" t="s">
        <v>619</v>
      </c>
      <c r="C29" s="2116" t="e">
        <f>('Data Entry - SOF'!C93-'IFA-OldLaw'!J79)/('Data Entry - SOF'!C92*100)</f>
        <v>#REF!</v>
      </c>
      <c r="D29" s="1247" t="e">
        <f>('Data Entry - SOF'!#REF!-'IFA-OldLaw'!#REF!)/('Data Entry - SOF'!#REF!*100)</f>
        <v>#REF!</v>
      </c>
      <c r="E29" s="1248">
        <f>('Data Entry - SOF'!E93-'IFA-OldLaw'!M79)/('Data Entry - SOF'!E92*100)</f>
        <v>0</v>
      </c>
      <c r="F29" s="1249">
        <f>('Data Entry - SOF'!K93-'IFA-OldLaw'!Q79)/('Data Entry - SOF'!K92*100)</f>
        <v>0</v>
      </c>
      <c r="G29" s="1250">
        <f>('Data Entry - SOF'!M93-'IFA-OldLaw'!U79)/('Data Entry - SOF'!M92*100)</f>
        <v>0</v>
      </c>
      <c r="H29" s="1251">
        <f>('Data Entry - SOF'!O93-'IFA-OldLaw'!Y79)/('Data Entry - SOF'!O92*100)</f>
        <v>0</v>
      </c>
      <c r="I29" s="1334">
        <f>('Data Entry - SOF'!Q93-'IFA-OldLaw'!AC79)/('Data Entry - SOF'!Q92*100)</f>
        <v>0</v>
      </c>
      <c r="J29" s="1727">
        <f>('Data Entry - SOF'!S93-'IFA-OldLaw'!AG79)/('Data Entry - SOF'!S92*100)</f>
        <v>0</v>
      </c>
      <c r="K29" s="370"/>
      <c r="P29" s="147"/>
      <c r="V29"/>
      <c r="AB29" s="2138" t="s">
        <v>3819</v>
      </c>
      <c r="AC29" s="2145" t="e">
        <f>ROUND(IF((((AC28*AC35)/'Data Entry - SOF'!C74)*100)&gt;0.17,0.17,((AC28*AC35)/'Data Entry - SOF'!C74)*100),4)</f>
        <v>#REF!</v>
      </c>
      <c r="AD29" s="2135"/>
      <c r="AF29" s="37" t="s">
        <v>3819</v>
      </c>
      <c r="AG29" s="1804" t="e">
        <f>ROUND(IF((((AG28*AG35)/'Data Entry - SOF'!#REF!)*100)&gt;0.17,0.17,((AG28*AG35)/'Data Entry - SOF'!#REF!)*100),4)</f>
        <v>#REF!</v>
      </c>
      <c r="AH29" s="995"/>
      <c r="AJ29" s="37" t="s">
        <v>3819</v>
      </c>
      <c r="AK29" s="806" t="e">
        <f>ROUND(IF((((AK28*AK35)/'Data Entry - SOF'!E74)*100)&gt;0.17,0.17,((AK28*AK35)/'Data Entry - SOF'!E74)*100),4)</f>
        <v>#DIV/0!</v>
      </c>
      <c r="AL29" s="995"/>
      <c r="AM29" s="952"/>
      <c r="AN29" s="37" t="s">
        <v>3819</v>
      </c>
      <c r="AO29" s="814" t="e">
        <f>ROUND(IF((((AO28*AO35)/'Data Entry - SOF'!K74)*100)&gt;0.17,0.17,((AO28*AO35)/'Data Entry - SOF'!K74)*100),4)</f>
        <v>#DIV/0!</v>
      </c>
      <c r="AP29" s="995"/>
      <c r="AR29" s="37" t="s">
        <v>3819</v>
      </c>
      <c r="AS29" s="2779" t="e">
        <f>ROUND(IF((((AS28*AS35)/'Data Entry - SOF'!M74)*100)&gt;0.17,0.17,((AS28*AS35)/'Data Entry - SOF'!M74)*100),4)</f>
        <v>#DIV/0!</v>
      </c>
      <c r="AT29" s="2719"/>
      <c r="AU29" s="35"/>
      <c r="AW29" s="2446" t="s">
        <v>3819</v>
      </c>
      <c r="AX29" s="2471" t="e">
        <f>ROUND(IF((((AX28*AX35)/'Data Entry - SOF'!O74)*100)&gt;0.17,0.17,((AX28*AX35)/'Data Entry - SOF'!O74)*100),4)</f>
        <v>#DIV/0!</v>
      </c>
      <c r="AY29" s="2740"/>
      <c r="AZ29" s="1472"/>
      <c r="BB29" s="1437" t="s">
        <v>3819</v>
      </c>
      <c r="BC29" s="2495" t="e">
        <f>ROUND(IF((((BC28*BC35)/'Data Entry - SOF'!Q74)*100)&gt;0.17,0.17,((BC28*BC35)/'Data Entry - SOF'!Q74)*100),4)</f>
        <v>#DIV/0!</v>
      </c>
      <c r="BD29" s="1418"/>
      <c r="BE29" s="1438"/>
      <c r="BG29" s="1437" t="s">
        <v>3819</v>
      </c>
      <c r="BH29" s="2768" t="e">
        <f>ROUND(IF((((BH28*BH35)/'Data Entry - SOF'!S74)*100)&gt;0.17,0.17,((BH28*BH35)/'Data Entry - SOF'!S74)*100),4)</f>
        <v>#DIV/0!</v>
      </c>
      <c r="BI29" s="2764"/>
      <c r="BJ29" s="1471"/>
    </row>
    <row r="30" spans="2:62">
      <c r="B30" t="s">
        <v>639</v>
      </c>
      <c r="C30" s="2116" t="e">
        <f>C29*IF('Data Entry - SOF'!C92&lt;'Data Entry - SOF'!C154,('Data Entry - SOF'!C92*100),('Data Entry - SOF'!C154*100))</f>
        <v>#REF!</v>
      </c>
      <c r="D30" s="1247" t="e">
        <f>D29*IF('Data Entry - SOF'!#REF!&lt;'Data Entry - SOF'!#REF!,('Data Entry - SOF'!#REF!*100),('Data Entry - SOF'!#REF!*100))</f>
        <v>#REF!</v>
      </c>
      <c r="E30" s="1248">
        <f>E29*IF('Data Entry - SOF'!E92&lt;'Data Entry - SOF'!E154,('Data Entry - SOF'!E92*100),('Data Entry - SOF'!E154*100))</f>
        <v>0</v>
      </c>
      <c r="F30" s="1249">
        <f>F29*IF('Data Entry - SOF'!K92&lt;'Data Entry - SOF'!K154,('Data Entry - SOF'!K92*100),('Data Entry - SOF'!K154*100))</f>
        <v>0</v>
      </c>
      <c r="G30" s="1250">
        <f>G29*IF('Data Entry - SOF'!M92&lt;'Data Entry - SOF'!M154,('Data Entry - SOF'!M92*100),('Data Entry - SOF'!M154*100))</f>
        <v>0</v>
      </c>
      <c r="H30" s="1251">
        <f>H29*IF('Data Entry - SOF'!O92&lt;'Data Entry - SOF'!O154,('Data Entry - SOF'!O92*100),('Data Entry - SOF'!O154*100))</f>
        <v>0</v>
      </c>
      <c r="I30" s="1334">
        <f>I29*IF('Data Entry - SOF'!Q92&lt;'Data Entry - SOF'!Q154,('Data Entry - SOF'!Q92*100),('Data Entry - SOF'!Q154*100))</f>
        <v>0</v>
      </c>
      <c r="J30" s="1727">
        <f>J29*IF('Data Entry - SOF'!S92&lt;'Data Entry - SOF'!S154,('Data Entry - SOF'!S92*100),('Data Entry - SOF'!S154*100))</f>
        <v>0</v>
      </c>
      <c r="K30" s="367"/>
      <c r="V30"/>
      <c r="AB30" s="2138" t="s">
        <v>3820</v>
      </c>
      <c r="AC30" s="2142">
        <f>'Data Entry - SOF'!C154+IF(AC24&lt;AC25,(AC24/100),(AC25/100))</f>
        <v>0</v>
      </c>
      <c r="AD30" s="2135"/>
      <c r="AF30" s="37" t="s">
        <v>3820</v>
      </c>
      <c r="AG30" s="1802" t="e">
        <f>'Data Entry - SOF'!#REF!+IF(AG24&lt;AG25,(AG24/100),(AG25/100))</f>
        <v>#REF!</v>
      </c>
      <c r="AH30" s="995"/>
      <c r="AJ30" s="37" t="s">
        <v>3820</v>
      </c>
      <c r="AK30" s="804">
        <f>'Data Entry - SOF'!E154+IF(AK24&lt;AK25,(AK24/100),(AK25/100))</f>
        <v>1</v>
      </c>
      <c r="AL30" s="995"/>
      <c r="AM30" s="950"/>
      <c r="AN30" s="37" t="s">
        <v>3820</v>
      </c>
      <c r="AO30" s="812">
        <f>'Data Entry - SOF'!K154+IF(AO24&lt;AO25,(AO24/100),(AO25/100))</f>
        <v>1</v>
      </c>
      <c r="AP30" s="995"/>
      <c r="AR30" s="37" t="s">
        <v>3820</v>
      </c>
      <c r="AS30" s="2777">
        <f>'Data Entry - SOF'!M154+IF(AS24&lt;AS25,(AS24/100),(AS25/100))</f>
        <v>1</v>
      </c>
      <c r="AT30" s="2719"/>
      <c r="AU30" s="35"/>
      <c r="AW30" s="2446" t="s">
        <v>3820</v>
      </c>
      <c r="AX30" s="2468">
        <f>'Data Entry - SOF'!O154+IF(AX24&lt;AX25,(AX24/100),(AX25/100))</f>
        <v>1</v>
      </c>
      <c r="AY30" s="2740"/>
      <c r="AZ30" s="1472"/>
      <c r="BB30" s="1437" t="s">
        <v>3820</v>
      </c>
      <c r="BC30" s="2494">
        <f>'Data Entry - SOF'!Q154+IF(BC24&lt;BC25,(BC24/100),(BC25/100))</f>
        <v>1</v>
      </c>
      <c r="BD30" s="1418"/>
      <c r="BE30" s="1438"/>
      <c r="BG30" s="1437" t="s">
        <v>3820</v>
      </c>
      <c r="BH30" s="2766">
        <f>'Data Entry - SOF'!S154+IF(BH24&lt;BH25,(BH24/100),(BH25/100))</f>
        <v>1</v>
      </c>
      <c r="BI30" s="2764"/>
      <c r="BJ30" s="1471"/>
    </row>
    <row r="31" spans="2:62">
      <c r="C31" s="2107"/>
      <c r="D31" s="1237"/>
      <c r="E31" s="1238"/>
      <c r="F31" s="1239"/>
      <c r="G31" s="1240"/>
      <c r="H31" s="1241"/>
      <c r="I31" s="1324"/>
      <c r="J31" s="1717"/>
      <c r="K31" s="367"/>
      <c r="V31"/>
      <c r="AB31" s="2138" t="s">
        <v>3821</v>
      </c>
      <c r="AC31" s="2146" t="e">
        <f>AC28*AC35</f>
        <v>#REF!</v>
      </c>
      <c r="AD31" s="2135"/>
      <c r="AF31" s="37" t="s">
        <v>3821</v>
      </c>
      <c r="AG31" s="1805" t="e">
        <f>AG28*AG35</f>
        <v>#REF!</v>
      </c>
      <c r="AH31" s="995"/>
      <c r="AJ31" s="37" t="s">
        <v>3821</v>
      </c>
      <c r="AK31" s="807">
        <f>AK28*AK35</f>
        <v>0</v>
      </c>
      <c r="AL31" s="995"/>
      <c r="AM31" s="953"/>
      <c r="AN31" s="37" t="s">
        <v>3821</v>
      </c>
      <c r="AO31" s="815">
        <f>AO28*AO35</f>
        <v>0</v>
      </c>
      <c r="AP31" s="995"/>
      <c r="AR31" s="37" t="s">
        <v>3821</v>
      </c>
      <c r="AS31" s="2780">
        <f>AS28*AS35</f>
        <v>0</v>
      </c>
      <c r="AT31" s="2719"/>
      <c r="AU31" s="35"/>
      <c r="AW31" s="2446" t="s">
        <v>3821</v>
      </c>
      <c r="AX31" s="2472">
        <f>AX28*AX35</f>
        <v>0</v>
      </c>
      <c r="AY31" s="2740"/>
      <c r="AZ31" s="1472"/>
      <c r="BB31" s="1437" t="s">
        <v>3821</v>
      </c>
      <c r="BC31" s="2748">
        <f>BC28*BC35</f>
        <v>0</v>
      </c>
      <c r="BD31" s="1418"/>
      <c r="BE31" s="1438"/>
      <c r="BG31" s="1437" t="s">
        <v>3821</v>
      </c>
      <c r="BH31" s="2769">
        <f>BH28*BH35</f>
        <v>0</v>
      </c>
      <c r="BI31" s="2764"/>
      <c r="BJ31" s="1471"/>
    </row>
    <row r="32" spans="2:62">
      <c r="C32" s="2107"/>
      <c r="D32" s="1237"/>
      <c r="E32" s="1238"/>
      <c r="F32" s="1239"/>
      <c r="G32" s="1240"/>
      <c r="H32" s="1241"/>
      <c r="I32" s="1324"/>
      <c r="J32" s="1717"/>
      <c r="K32" s="367"/>
      <c r="V32"/>
      <c r="AB32" s="2138" t="s">
        <v>3822</v>
      </c>
      <c r="AC32" s="2147" t="e">
        <f>AC35*IF('Data Entry - SOF'!C92&lt;'Calc Data-15K'!AC30,('Data Entry - SOF'!C92*100),('Calc Data-15K'!AC30*100))</f>
        <v>#REF!</v>
      </c>
      <c r="AD32" s="2135"/>
      <c r="AF32" s="37" t="s">
        <v>3822</v>
      </c>
      <c r="AG32" s="1805" t="e">
        <f>AG35*IF('Data Entry - SOF'!#REF!&lt;'Calc Data-15K'!AG30,('Data Entry - SOF'!#REF!*100),('Calc Data-15K'!AG30*100))</f>
        <v>#REF!</v>
      </c>
      <c r="AH32" s="995"/>
      <c r="AJ32" s="37" t="s">
        <v>3822</v>
      </c>
      <c r="AK32" s="808">
        <f>AK35*IF('Data Entry - SOF'!E92&lt;'Calc Data-15K'!AK30,('Data Entry - SOF'!E92*100),('Calc Data-15K'!AK30*100))</f>
        <v>0</v>
      </c>
      <c r="AL32" s="995"/>
      <c r="AM32" s="947"/>
      <c r="AN32" s="37" t="s">
        <v>3822</v>
      </c>
      <c r="AO32" s="816">
        <f>AO35*IF('Data Entry - SOF'!K92&lt;'Calc Data-15K'!AO30,('Data Entry - SOF'!K92*100),('Calc Data-15K'!AO30*100))</f>
        <v>0</v>
      </c>
      <c r="AP32" s="995"/>
      <c r="AR32" s="37" t="s">
        <v>3822</v>
      </c>
      <c r="AS32" s="2780">
        <f>AS35*IF('Data Entry - SOF'!M92&lt;'Calc Data-15K'!AS30,('Data Entry - SOF'!M92*100),('Calc Data-15K'!AS30*100))</f>
        <v>0</v>
      </c>
      <c r="AT32" s="2719"/>
      <c r="AU32" s="35"/>
      <c r="AW32" s="2446" t="s">
        <v>3822</v>
      </c>
      <c r="AX32" s="2472">
        <f>AX35*IF('Data Entry - SOF'!O92&lt;'Calc Data-15K'!AX30,('Data Entry - SOF'!O92*100),('Calc Data-15K'!AX30*100))</f>
        <v>0</v>
      </c>
      <c r="AY32" s="2740"/>
      <c r="AZ32" s="1472"/>
      <c r="BB32" s="1437" t="s">
        <v>3822</v>
      </c>
      <c r="BC32" s="2748">
        <f>BC35*IF('Data Entry - SOF'!Q92&lt;'Calc Data-15K'!BC30,('Data Entry - SOF'!Q92*100),('Calc Data-15K'!BC30*100))</f>
        <v>0</v>
      </c>
      <c r="BD32" s="1418"/>
      <c r="BE32" s="1438"/>
      <c r="BG32" s="1437" t="s">
        <v>3822</v>
      </c>
      <c r="BH32" s="2769">
        <f>BH35*IF('Data Entry - SOF'!S92&lt;'Calc Data-15K'!BH30,('Data Entry - SOF'!S92*100),('Calc Data-15K'!BH30*100))</f>
        <v>0</v>
      </c>
      <c r="BI32" s="2764"/>
      <c r="BJ32" s="1471"/>
    </row>
    <row r="33" spans="2:63">
      <c r="B33" t="s">
        <v>1792</v>
      </c>
      <c r="C33" s="2108">
        <f>IF('Data Entry - SOF'!C92&lt;='Data Entry - SOF'!C154,0,IF('Data Entry - SOF'!C92&gt;'Data Entry - SOF'!C154+0.06,0.06*100,('Data Entry - SOF'!C92-'Data Entry - SOF'!C154)*100))</f>
        <v>0</v>
      </c>
      <c r="D33" s="1252" t="e">
        <f>IF('Data Entry - SOF'!#REF!&lt;='Data Entry - SOF'!#REF!,0,IF('Data Entry - SOF'!#REF!&gt;'Data Entry - SOF'!#REF!+0.06,0.06*100,('Data Entry - SOF'!#REF!-'Data Entry - SOF'!#REF!)*100))</f>
        <v>#REF!</v>
      </c>
      <c r="E33" s="1253">
        <f>IF('Data Entry - SOF'!E92&lt;='Data Entry - SOF'!E154,0,IF('Data Entry - SOF'!E92&gt;'Data Entry - SOF'!E154+0.06,0.06*100,('Data Entry - SOF'!E92-'Data Entry - SOF'!E154)*100))</f>
        <v>6</v>
      </c>
      <c r="F33" s="1254">
        <f>IF('Data Entry - SOF'!K92&lt;='Data Entry - SOF'!K154,0,IF('Data Entry - SOF'!K92&gt;'Data Entry - SOF'!K154+0.06,0.06*100,('Data Entry - SOF'!K92-'Data Entry - SOF'!K154)*100))</f>
        <v>6</v>
      </c>
      <c r="G33" s="1255">
        <f>IF('Data Entry - SOF'!M92&lt;='Data Entry - SOF'!M154,0,IF('Data Entry - SOF'!M92&gt;'Data Entry - SOF'!M154+0.06,0.06*100,('Data Entry - SOF'!M92-'Data Entry - SOF'!M154)*100))</f>
        <v>6</v>
      </c>
      <c r="H33" s="1256">
        <f>IF('Data Entry - SOF'!O92&lt;='Data Entry - SOF'!O154,0,IF('Data Entry - SOF'!O92&gt;'Data Entry - SOF'!O154+0.06,0.06*100,('Data Entry - SOF'!O92-'Data Entry - SOF'!O154)*100))</f>
        <v>6</v>
      </c>
      <c r="I33" s="1335">
        <f>IF('Data Entry - SOF'!Q92&lt;='Data Entry - SOF'!Q154,0,IF('Data Entry - SOF'!Q92&gt;'Data Entry - SOF'!Q154+0.06,0.06*100,('Data Entry - SOF'!Q92-'Data Entry - SOF'!Q154)*100))</f>
        <v>6</v>
      </c>
      <c r="J33" s="1728">
        <f>IF('Data Entry - SOF'!S92&lt;='Data Entry - SOF'!S154,0,IF('Data Entry - SOF'!S92&gt;'Data Entry - SOF'!S154+0.06,0.06*100,('Data Entry - SOF'!S92-'Data Entry - SOF'!S154)*100))</f>
        <v>6</v>
      </c>
      <c r="K33" s="367"/>
      <c r="V33"/>
      <c r="AB33" s="2138" t="s">
        <v>3847</v>
      </c>
      <c r="AC33" s="2146" t="e">
        <f>AC29*('Data Entry - SOF'!C74/100)</f>
        <v>#REF!</v>
      </c>
      <c r="AD33" s="2135"/>
      <c r="AF33" s="37" t="s">
        <v>3847</v>
      </c>
      <c r="AG33" s="1805" t="e">
        <f>AG29*('Data Entry - SOF'!#REF!/100)</f>
        <v>#REF!</v>
      </c>
      <c r="AH33" s="995"/>
      <c r="AJ33" s="37" t="s">
        <v>3847</v>
      </c>
      <c r="AK33" s="807" t="e">
        <f>AK29*('Data Entry - SOF'!E74/100)</f>
        <v>#DIV/0!</v>
      </c>
      <c r="AL33" s="995"/>
      <c r="AM33" s="953"/>
      <c r="AN33" s="37" t="s">
        <v>3847</v>
      </c>
      <c r="AO33" s="815" t="e">
        <f>AO29*('Data Entry - SOF'!K74/100)</f>
        <v>#DIV/0!</v>
      </c>
      <c r="AP33" s="995"/>
      <c r="AR33" s="37" t="s">
        <v>3847</v>
      </c>
      <c r="AS33" s="2780" t="e">
        <f>AS29*('Data Entry - SOF'!M74/100)</f>
        <v>#DIV/0!</v>
      </c>
      <c r="AT33" s="2719"/>
      <c r="AU33" s="35"/>
      <c r="AW33" s="2446" t="s">
        <v>3847</v>
      </c>
      <c r="AX33" s="2472" t="e">
        <f>AX29*('Data Entry - SOF'!O74/100)</f>
        <v>#DIV/0!</v>
      </c>
      <c r="AY33" s="2740"/>
      <c r="AZ33" s="1472"/>
      <c r="BB33" s="1437" t="s">
        <v>3847</v>
      </c>
      <c r="BC33" s="2748" t="e">
        <f>BC29*('Data Entry - SOF'!Q74/100)</f>
        <v>#DIV/0!</v>
      </c>
      <c r="BD33" s="1418"/>
      <c r="BE33" s="1438"/>
      <c r="BG33" s="1437" t="s">
        <v>3847</v>
      </c>
      <c r="BH33" s="2769" t="e">
        <f>BH29*('Data Entry - SOF'!S74/100)</f>
        <v>#DIV/0!</v>
      </c>
      <c r="BI33" s="2764"/>
      <c r="BJ33" s="1471"/>
    </row>
    <row r="34" spans="2:63">
      <c r="B34" t="s">
        <v>1793</v>
      </c>
      <c r="C34" s="2117" t="e">
        <f t="shared" ref="C34:H34" si="3">C33*C29</f>
        <v>#REF!</v>
      </c>
      <c r="D34" s="1140" t="e">
        <f t="shared" si="3"/>
        <v>#REF!</v>
      </c>
      <c r="E34" s="670">
        <f t="shared" si="3"/>
        <v>0</v>
      </c>
      <c r="F34" s="1166">
        <f t="shared" si="3"/>
        <v>0</v>
      </c>
      <c r="G34" s="1192">
        <f t="shared" si="3"/>
        <v>0</v>
      </c>
      <c r="H34" s="1218">
        <f t="shared" si="3"/>
        <v>0</v>
      </c>
      <c r="I34" s="1336">
        <f>I33*I29</f>
        <v>0</v>
      </c>
      <c r="J34" s="1729">
        <f>J33*J29</f>
        <v>0</v>
      </c>
      <c r="K34" s="367"/>
      <c r="P34" s="143"/>
      <c r="V34"/>
      <c r="AB34" s="2148"/>
      <c r="AC34" s="2149"/>
      <c r="AD34" s="2198" t="s">
        <v>6165</v>
      </c>
      <c r="AE34" s="2199"/>
      <c r="AG34" s="1806"/>
      <c r="AH34" s="985" t="s">
        <v>6165</v>
      </c>
      <c r="AI34" s="992"/>
      <c r="AK34" s="988"/>
      <c r="AL34" s="985" t="s">
        <v>6165</v>
      </c>
      <c r="AM34" s="993"/>
      <c r="AO34" s="989"/>
      <c r="AP34" s="985" t="s">
        <v>6165</v>
      </c>
      <c r="AQ34" s="994"/>
      <c r="AS34" s="2781"/>
      <c r="AT34" s="2722" t="s">
        <v>6165</v>
      </c>
      <c r="AU34" s="2735"/>
      <c r="AW34" s="2448"/>
      <c r="AX34" s="2744"/>
      <c r="AY34" s="2751" t="s">
        <v>6165</v>
      </c>
      <c r="AZ34" s="2752"/>
      <c r="BA34" s="2448"/>
      <c r="BB34" s="2448"/>
      <c r="BC34" s="2749"/>
      <c r="BD34" s="2756" t="s">
        <v>6165</v>
      </c>
      <c r="BE34" s="2757"/>
      <c r="BF34" s="2448"/>
      <c r="BG34" s="1437"/>
      <c r="BH34" s="2770"/>
      <c r="BI34" s="2756" t="s">
        <v>6165</v>
      </c>
      <c r="BJ34" s="2757"/>
      <c r="BK34" s="2482"/>
    </row>
    <row r="35" spans="2:63">
      <c r="B35" s="1277" t="s">
        <v>788</v>
      </c>
      <c r="C35" s="2108" t="e">
        <f>ROUND(((C33*C29)/'Data Entry - SOF'!C74)*100,4)</f>
        <v>#REF!</v>
      </c>
      <c r="D35" s="1257" t="e">
        <f>ROUND(((D33*D29)/'Data Entry - SOF'!#REF!)*100,4)</f>
        <v>#REF!</v>
      </c>
      <c r="E35" s="1258" t="e">
        <f>ROUND(((E33*E29)/'Data Entry - SOF'!E74)*100,4)</f>
        <v>#DIV/0!</v>
      </c>
      <c r="F35" s="1259" t="e">
        <f>ROUND(((F33*F29)/'Data Entry - SOF'!E84)*100,4)</f>
        <v>#DIV/0!</v>
      </c>
      <c r="G35" s="1260" t="e">
        <f>ROUND(((G33*G29)/'Data Entry - SOF'!M74)*100,4)</f>
        <v>#DIV/0!</v>
      </c>
      <c r="H35" s="1261" t="e">
        <f>ROUND(((H33*H29)/'Data Entry - SOF'!O74)*100,4)</f>
        <v>#DIV/0!</v>
      </c>
      <c r="I35" s="1337" t="e">
        <f>ROUND(((I33*I29)/'Data Entry - SOF'!Q74)*100,4)</f>
        <v>#DIV/0!</v>
      </c>
      <c r="J35" s="1730" t="e">
        <f>ROUND(((J33*J29)/'Data Entry - SOF'!S74)*100,4)</f>
        <v>#DIV/0!</v>
      </c>
      <c r="K35" s="367"/>
      <c r="P35" s="143"/>
      <c r="V35"/>
      <c r="AB35" s="2151"/>
      <c r="AC35" s="2152" t="e">
        <f>('Data Entry - SOF'!C93-'IFA-OldLaw'!J79)/('Data Entry - SOF'!C92*100)</f>
        <v>#REF!</v>
      </c>
      <c r="AD35" s="2153" t="e">
        <f>('Data Entry - SOF'!C93-'IFA-OldLaw'!J79-'Data Entry - SOF'!C99)/('Data Entry - SOF'!C92*100)</f>
        <v>#REF!</v>
      </c>
      <c r="AE35" s="2154" t="s">
        <v>6166</v>
      </c>
      <c r="AG35" s="1807" t="e">
        <f>('Data Entry - SOF'!#REF!-'IFA-OldLaw'!#REF!)/('Data Entry - SOF'!#REF!*100)</f>
        <v>#REF!</v>
      </c>
      <c r="AH35" s="986" t="e">
        <f>('Data Entry - SOF'!#REF!-'IFA-OldLaw'!#REF!-'Data Entry - SOF'!#REF!)/('Data Entry - SOF'!#REF!*100)</f>
        <v>#REF!</v>
      </c>
      <c r="AI35" s="990" t="s">
        <v>6166</v>
      </c>
      <c r="AK35" s="1018">
        <f>('Data Entry - SOF'!E93-'IFA-OldLaw'!M79)/('Data Entry - SOF'!E92*100)</f>
        <v>0</v>
      </c>
      <c r="AL35" s="1003">
        <f>('Data Entry - SOF'!E93-'IFA-OldLaw'!M79-'Data Entry - SOF'!E99)/('Data Entry - SOF'!E92*100)</f>
        <v>0</v>
      </c>
      <c r="AM35" s="990" t="s">
        <v>6166</v>
      </c>
      <c r="AO35" s="1002">
        <f>('Data Entry - SOF'!K93-'IFA-OldLaw'!S79)/('Data Entry - SOF'!K92*100)</f>
        <v>0</v>
      </c>
      <c r="AP35" s="1003">
        <f>('Data Entry - SOF'!K93-'IFA-OldLaw'!S79-'Data Entry - SOF'!K99)/('Data Entry - SOF'!K92*100)</f>
        <v>0</v>
      </c>
      <c r="AQ35" s="990" t="s">
        <v>6166</v>
      </c>
      <c r="AS35" s="2782">
        <f>('Data Entry - SOF'!M93-'IFA-OldLaw'!U79)/('Data Entry - SOF'!M92*100)</f>
        <v>0</v>
      </c>
      <c r="AT35" s="2724">
        <f>('Data Entry - SOF'!M93-'IFA-OldLaw'!U79-'Data Entry - SOF'!M99)/('Data Entry - SOF'!M92*100)</f>
        <v>0</v>
      </c>
      <c r="AU35" s="2725" t="s">
        <v>6166</v>
      </c>
      <c r="AW35" s="2449"/>
      <c r="AX35" s="1512">
        <f>('Data Entry - SOF'!O93-'IFA-OldLaw'!Y79)/('Data Entry - SOF'!O92*100)</f>
        <v>0</v>
      </c>
      <c r="AY35" s="2753">
        <f>('Data Entry - SOF'!O93-'IFA-OldLaw'!Y79-'Data Entry - SOF'!O99)/('Data Entry - SOF'!O92*100)</f>
        <v>0</v>
      </c>
      <c r="AZ35" s="2754" t="s">
        <v>6166</v>
      </c>
      <c r="BC35" s="1764">
        <f>('Data Entry - SOF'!Q93-'IFA-OldLaw'!AC79)/('Data Entry - SOF'!Q92*100)</f>
        <v>0</v>
      </c>
      <c r="BD35" s="2758">
        <f>('Data Entry - SOF'!Q93-'IFA-OldLaw'!AC79-'Data Entry - SOF'!Q99)/('Data Entry - SOF'!Q92*100)</f>
        <v>0</v>
      </c>
      <c r="BE35" s="2759" t="s">
        <v>6166</v>
      </c>
      <c r="BG35" s="1416"/>
      <c r="BH35" s="2771">
        <f>('Data Entry - SOF'!S93-'IFA-OldLaw'!AG79)/('Data Entry - SOF'!S92*100)</f>
        <v>0</v>
      </c>
      <c r="BI35" s="2758">
        <f>('Data Entry - SOF'!S93-'IFA-OldLaw'!AG79-'Data Entry - SOF'!S99)/('Data Entry - SOF'!S92*100)</f>
        <v>0</v>
      </c>
      <c r="BJ35" s="2759" t="s">
        <v>6166</v>
      </c>
    </row>
    <row r="36" spans="2:63">
      <c r="B36" t="s">
        <v>1230</v>
      </c>
      <c r="C36" s="2108">
        <f>IF('Data Entry - SOF'!C92-'Data Entry - SOF'!C154&gt;0.06,('Data Entry - SOF'!C92-('Data Entry - SOF'!C154+0.06))*100,0)</f>
        <v>0</v>
      </c>
      <c r="D36" s="1252" t="e">
        <f>IF('Data Entry - SOF'!#REF!-'Data Entry - SOF'!#REF!&gt;0.06,('Data Entry - SOF'!#REF!-('Data Entry - SOF'!#REF!+0.06))*100,0)</f>
        <v>#REF!</v>
      </c>
      <c r="E36" s="1253">
        <f>IF('Data Entry - SOF'!E92-'Data Entry - SOF'!E154&gt;0.06,('Data Entry - SOF'!E92-('Data Entry - SOF'!E154+0.06))*100,0)</f>
        <v>110.99999999999999</v>
      </c>
      <c r="F36" s="1254">
        <f>IF('Data Entry - SOF'!K92-'Data Entry - SOF'!K154&gt;0.06,('Data Entry - SOF'!K92-('Data Entry - SOF'!K154+0.06))*100,0)</f>
        <v>110.99999999999999</v>
      </c>
      <c r="G36" s="1255">
        <f>IF('Data Entry - SOF'!M92-'Data Entry - SOF'!M154&gt;0.06,('Data Entry - SOF'!M92-('Data Entry - SOF'!M154+0.06))*100,0)</f>
        <v>110.99999999999999</v>
      </c>
      <c r="H36" s="1256">
        <f>IF('Data Entry - SOF'!O92-'Data Entry - SOF'!O154&gt;0.06,('Data Entry - SOF'!O92-('Data Entry - SOF'!O154+0.06))*100,0)</f>
        <v>110.99999999999999</v>
      </c>
      <c r="I36" s="1335">
        <f>IF('Data Entry - SOF'!Q92-'Data Entry - SOF'!Q154&gt;0.06,('Data Entry - SOF'!Q92-('Data Entry - SOF'!Q154+0.06))*100,0)</f>
        <v>110.99999999999999</v>
      </c>
      <c r="J36" s="1728">
        <f>IF('Data Entry - SOF'!S92-'Data Entry - SOF'!S154&gt;0.06,('Data Entry - SOF'!S92-('Data Entry - SOF'!S154+0.06))*100,0)</f>
        <v>110.99999999999999</v>
      </c>
      <c r="K36" s="367"/>
      <c r="P36" s="143"/>
      <c r="V36"/>
      <c r="AB36" s="2151"/>
      <c r="AC36" s="2152"/>
      <c r="AD36" s="2155" t="e">
        <f>AD35*IF('Data Entry - SOF'!C92&lt;'Data Entry - SOF'!C154,('Data Entry - SOF'!C92*100),('Data Entry - SOF'!C154*100))</f>
        <v>#REF!</v>
      </c>
      <c r="AE36" s="2156" t="e">
        <f>AD35*IF('Data Entry - SOF'!C92&lt;='Calc Data-15K'!AC30,('Data Entry - SOF'!C92*100),('Calc Data-15K'!AC30*100))</f>
        <v>#REF!</v>
      </c>
      <c r="AG36" s="1807"/>
      <c r="AH36" s="987" t="e">
        <f>AH35*IF('Data Entry - SOF'!#REF!&lt;'Data Entry - SOF'!#REF!,('Data Entry - SOF'!#REF!*100),('Data Entry - SOF'!#REF!*100))</f>
        <v>#REF!</v>
      </c>
      <c r="AI36" s="991" t="e">
        <f>AH35*IF('Data Entry - SOF'!#REF!&lt;='Calc Data-15K'!AG30,('Data Entry - SOF'!#REF!*100),('Calc Data-15K'!AG30*100))</f>
        <v>#REF!</v>
      </c>
      <c r="AK36" s="1018"/>
      <c r="AL36" s="1004">
        <f>AL35*IF('Data Entry - SOF'!E92&lt;'Data Entry - SOF'!E154,('Data Entry - SOF'!E92*100),('Data Entry - SOF'!E154*100))</f>
        <v>0</v>
      </c>
      <c r="AM36" s="1005">
        <f>AL35*IF('Data Entry - SOF'!E92&lt;='Calc Data-15K'!AK30,('Data Entry - SOF'!E92*100),('Calc Data-15K'!AK30*100))</f>
        <v>0</v>
      </c>
      <c r="AO36" s="1002"/>
      <c r="AP36" s="1004">
        <f>AP35*IF('Data Entry - SOF'!K92&lt;'Data Entry - SOF'!K154,('Data Entry - SOF'!K92*100),('Data Entry - SOF'!K154*100))</f>
        <v>0</v>
      </c>
      <c r="AQ36" s="1005">
        <f>AP35*IF('Data Entry - SOF'!K92&lt;='Calc Data-15K'!AO30,('Data Entry - SOF'!K92*100),('Calc Data-15K'!AO30*100))</f>
        <v>0</v>
      </c>
      <c r="AS36" s="2782"/>
      <c r="AT36" s="2726">
        <f>AT35*IF('Data Entry - SOF'!M92&lt;'Data Entry - SOF'!M154,('Data Entry - SOF'!M92*100),('Data Entry - SOF'!M154*100))</f>
        <v>0</v>
      </c>
      <c r="AU36" s="2727">
        <f>AT35*IF('Data Entry - SOF'!M92&lt;='Calc Data-15K'!AS30,('Data Entry - SOF'!M92*100),('Calc Data-15K'!AS30*100))</f>
        <v>0</v>
      </c>
      <c r="AW36" s="2449"/>
      <c r="AX36" s="1512"/>
      <c r="AY36" s="2755">
        <f>AY35*IF('Data Entry - SOF'!O92&lt;'Data Entry - SOF'!O154,('Data Entry - SOF'!O92*100),('Data Entry - SOF'!O154*100))</f>
        <v>0</v>
      </c>
      <c r="AZ36" s="2552">
        <f>AY35*IF('Data Entry - SOF'!O92&lt;='Calc Data-15K'!AX30,('Data Entry - SOF'!O92*100),('Calc Data-15K'!AX30*100))</f>
        <v>0</v>
      </c>
      <c r="BB36" s="2449"/>
      <c r="BC36" s="1424"/>
      <c r="BD36" s="2760">
        <f>BD35*IF('Data Entry - SOF'!Q92&lt;'Data Entry - SOF'!Q154,('Data Entry - SOF'!Q92*100),('Data Entry - SOF'!Q154*100))</f>
        <v>0</v>
      </c>
      <c r="BE36" s="2761">
        <f>BD35*IF('Data Entry - SOF'!Q92&lt;='Calc Data-15K'!BC30,('Data Entry - SOF'!Q92*100),('Calc Data-15K'!BC30*100))</f>
        <v>0</v>
      </c>
      <c r="BG36" s="2483"/>
      <c r="BH36" s="1495"/>
      <c r="BI36" s="2760">
        <f>BI35*IF('Data Entry - SOF'!S92&lt;'Data Entry - SOF'!S154,('Data Entry - SOF'!S92*100),('Data Entry - SOF'!S154*100))</f>
        <v>0</v>
      </c>
      <c r="BJ36" s="2761">
        <f>BI35*IF('Data Entry - SOF'!S92&lt;='Calc Data-15K'!BH30,('Data Entry - SOF'!S92*100),('Calc Data-15K'!BH30*100))</f>
        <v>0</v>
      </c>
    </row>
    <row r="37" spans="2:63">
      <c r="B37" t="s">
        <v>987</v>
      </c>
      <c r="C37" s="2117" t="e">
        <f t="shared" ref="C37:H37" si="4">C36*C29</f>
        <v>#REF!</v>
      </c>
      <c r="D37" s="1140" t="e">
        <f t="shared" si="4"/>
        <v>#REF!</v>
      </c>
      <c r="E37" s="670">
        <f t="shared" si="4"/>
        <v>0</v>
      </c>
      <c r="F37" s="1166">
        <f t="shared" si="4"/>
        <v>0</v>
      </c>
      <c r="G37" s="1192">
        <f t="shared" si="4"/>
        <v>0</v>
      </c>
      <c r="H37" s="1218">
        <f t="shared" si="4"/>
        <v>0</v>
      </c>
      <c r="I37" s="1336">
        <f>I36*I29</f>
        <v>0</v>
      </c>
      <c r="J37" s="1729">
        <f>J36*J29</f>
        <v>0</v>
      </c>
      <c r="K37" s="367"/>
      <c r="P37" s="148"/>
      <c r="V37"/>
      <c r="AB37" s="2151"/>
      <c r="AC37" s="2157"/>
      <c r="AD37" s="2148"/>
      <c r="AE37" s="2058"/>
      <c r="AG37" s="1808"/>
      <c r="AH37" s="1811"/>
      <c r="AI37" s="2718" t="s">
        <v>1882</v>
      </c>
      <c r="AK37" s="1019"/>
      <c r="AL37" s="679"/>
      <c r="AM37" s="1021" t="s">
        <v>1882</v>
      </c>
      <c r="AO37" s="1006"/>
      <c r="AP37" s="1007"/>
      <c r="AQ37" s="1022" t="s">
        <v>1882</v>
      </c>
      <c r="AS37" s="2783"/>
      <c r="AT37" s="2784"/>
      <c r="AU37" s="2785" t="s">
        <v>1882</v>
      </c>
      <c r="AW37" s="2449"/>
      <c r="AX37" s="2745"/>
      <c r="AY37" s="1472"/>
      <c r="AZ37" s="2620" t="s">
        <v>1882</v>
      </c>
      <c r="BB37" s="2449"/>
      <c r="BC37" s="1438"/>
      <c r="BD37" s="1438"/>
      <c r="BE37" s="1438" t="s">
        <v>1882</v>
      </c>
      <c r="BG37" s="2483"/>
      <c r="BH37" s="1471"/>
      <c r="BI37" s="1471"/>
      <c r="BJ37" s="1471" t="s">
        <v>1882</v>
      </c>
    </row>
    <row r="38" spans="2:63">
      <c r="B38" s="1277" t="s">
        <v>791</v>
      </c>
      <c r="C38" s="2108" t="e">
        <f>ROUND(((C36*C29)/'Data Entry - SOF'!C74)*100,4)</f>
        <v>#REF!</v>
      </c>
      <c r="D38" s="1257" t="e">
        <f>ROUND(((D36*D29)/'Data Entry - SOF'!#REF!)*100,4)</f>
        <v>#REF!</v>
      </c>
      <c r="E38" s="1258" t="e">
        <f>ROUND(((E36*E29)/'Data Entry - SOF'!E74)*100,4)</f>
        <v>#DIV/0!</v>
      </c>
      <c r="F38" s="1259" t="e">
        <f>ROUND(((F36*F29)/'Data Entry - SOF'!K74)*100,4)</f>
        <v>#DIV/0!</v>
      </c>
      <c r="G38" s="1260" t="e">
        <f>ROUND(((G36*G29)/'Data Entry - SOF'!M74)*100,4)</f>
        <v>#DIV/0!</v>
      </c>
      <c r="H38" s="1261" t="e">
        <f>ROUND(((H36*H29)/'Data Entry - SOF'!O74)*100,4)</f>
        <v>#DIV/0!</v>
      </c>
      <c r="I38" s="1337" t="e">
        <f>ROUND(((I36*I29)/'Data Entry - SOF'!Q74)*100,4)</f>
        <v>#DIV/0!</v>
      </c>
      <c r="J38" s="1730" t="e">
        <f>ROUND(((J36*J29)/'Data Entry - SOF'!S74)*100,4)</f>
        <v>#DIV/0!</v>
      </c>
      <c r="K38" s="367"/>
      <c r="P38" s="148"/>
      <c r="V38"/>
      <c r="AB38" s="2148"/>
      <c r="AC38" s="2160"/>
      <c r="AD38" s="2200" t="s">
        <v>1882</v>
      </c>
      <c r="AE38" s="2061"/>
      <c r="AG38" s="1809"/>
      <c r="AH38" s="1811"/>
      <c r="AI38" s="2718" t="e">
        <f>'Data Entry - SOF'!#REF!+0.17</f>
        <v>#REF!</v>
      </c>
      <c r="AK38" s="1020"/>
      <c r="AL38" s="946"/>
      <c r="AM38" s="1021">
        <f>'Data Entry - SOF'!E154+0.17</f>
        <v>0.17</v>
      </c>
      <c r="AO38" s="1007"/>
      <c r="AP38" s="1008"/>
      <c r="AQ38" s="1022">
        <f>'Data Entry - SOF'!O154+0.17</f>
        <v>0.17</v>
      </c>
      <c r="AS38" s="2784"/>
      <c r="AT38" s="2808"/>
      <c r="AU38" s="2785">
        <f>'Data Entry - SOF'!M154+0.17</f>
        <v>0.17</v>
      </c>
      <c r="AW38" s="2450"/>
      <c r="AX38" s="1472"/>
      <c r="AY38" s="2649"/>
      <c r="AZ38" s="2620">
        <f>'Data Entry - SOF'!O154+0.17</f>
        <v>0.17</v>
      </c>
      <c r="BA38" s="2448"/>
      <c r="BC38" s="1438"/>
      <c r="BD38" s="1438"/>
      <c r="BE38" s="2750">
        <f>'Data Entry - SOF'!Q154+0.17</f>
        <v>0.17</v>
      </c>
      <c r="BF38" s="2448"/>
      <c r="BH38" s="1471"/>
      <c r="BI38" s="1471"/>
      <c r="BJ38" s="2773">
        <f>'Data Entry - SOF'!S154+0.17</f>
        <v>0.17</v>
      </c>
      <c r="BK38" s="2482"/>
    </row>
    <row r="39" spans="2:63">
      <c r="C39" s="2107"/>
      <c r="D39" s="1237"/>
      <c r="E39" s="1238"/>
      <c r="F39" s="1239"/>
      <c r="G39" s="1240"/>
      <c r="H39" s="1241"/>
      <c r="I39" s="1324"/>
      <c r="J39" s="1717"/>
      <c r="K39" s="367"/>
      <c r="P39" s="147"/>
      <c r="V39"/>
      <c r="AB39" s="2163"/>
      <c r="AC39" s="2160"/>
      <c r="AD39" s="2200">
        <f>'Data Entry - SOF'!C154+0.17</f>
        <v>0.17</v>
      </c>
      <c r="AE39" s="2058"/>
      <c r="AG39" s="1809"/>
      <c r="AH39" s="1811"/>
      <c r="AI39" s="2718">
        <f>IF('Data Entry - SOF'!C161&lt;=1.5,0,AI38-0.86)</f>
        <v>0</v>
      </c>
      <c r="AK39" s="1020"/>
      <c r="AL39" s="946"/>
      <c r="AM39" s="1021">
        <f>IF('Data Entry - SOF'!C161&lt;=1.5,0,AM38-0.86)</f>
        <v>0</v>
      </c>
      <c r="AO39" s="1007"/>
      <c r="AP39" s="1008"/>
      <c r="AQ39" s="1022">
        <f>IF('Data Entry - SOF'!D161&lt;=1.5,0,AQ38-0.86)</f>
        <v>0</v>
      </c>
      <c r="AS39" s="2784"/>
      <c r="AT39" s="2808"/>
      <c r="AU39" s="2785">
        <f>IF('Data Entry - SOF'!C161&lt;=1.5,0,AU38-0.86)</f>
        <v>0</v>
      </c>
      <c r="AW39" s="2451"/>
      <c r="AX39" s="1472"/>
      <c r="AY39" s="2649"/>
      <c r="AZ39" s="2620">
        <f>IF('Data Entry - SOF'!C161&lt;=1.5,0,AZ38-0.86)</f>
        <v>0</v>
      </c>
      <c r="BA39" s="2451"/>
      <c r="BC39" s="1438"/>
      <c r="BD39" s="1438"/>
      <c r="BE39" s="2750">
        <f>IF('Data Entry - SOF'!C161&lt;=1.5,0,BE38-0.86)</f>
        <v>0</v>
      </c>
      <c r="BH39" s="2772"/>
      <c r="BI39" s="2772"/>
      <c r="BJ39" s="2773">
        <f>IF('Data Entry - SOF'!F161&lt;=1.5,0,BJ38-0.86)</f>
        <v>0</v>
      </c>
    </row>
    <row r="40" spans="2:63">
      <c r="C40" s="2107"/>
      <c r="D40" s="1237"/>
      <c r="E40" s="1238"/>
      <c r="F40" s="1239"/>
      <c r="G40" s="1240"/>
      <c r="H40" s="1241"/>
      <c r="I40" s="1324"/>
      <c r="J40" s="1717"/>
      <c r="K40" s="367"/>
      <c r="P40" s="149"/>
      <c r="V40"/>
      <c r="AB40" s="2163"/>
      <c r="AC40" s="2160"/>
      <c r="AD40" s="801">
        <f>IF('Data Entry - SOF'!C161&lt;=1.5,0,AD39-0.86)</f>
        <v>0</v>
      </c>
      <c r="AE40" s="2058"/>
      <c r="AG40" s="1809"/>
      <c r="AH40" s="1811"/>
      <c r="AI40" s="1811"/>
      <c r="AK40" s="1020"/>
      <c r="AL40" s="946"/>
      <c r="AM40" s="679"/>
      <c r="AO40" s="1007"/>
      <c r="AP40" s="1008"/>
      <c r="AQ40" s="1007"/>
      <c r="AS40" s="2775"/>
      <c r="AT40" s="2786"/>
      <c r="AU40" s="2775"/>
      <c r="AW40" s="2451"/>
      <c r="AX40" s="1674"/>
      <c r="AY40" s="2742"/>
      <c r="AZ40" s="1674"/>
      <c r="BA40" s="2451"/>
      <c r="BC40" s="1438"/>
      <c r="BD40" s="1438"/>
      <c r="BE40" s="1438"/>
      <c r="BH40" s="2772"/>
      <c r="BI40" s="2772"/>
      <c r="BJ40" s="2772"/>
    </row>
    <row r="41" spans="2:63">
      <c r="C41" s="2107"/>
      <c r="D41" s="1237"/>
      <c r="E41" s="1238"/>
      <c r="F41" s="1239"/>
      <c r="G41" s="1240"/>
      <c r="H41" s="1241"/>
      <c r="I41" s="1324"/>
      <c r="J41" s="1717"/>
      <c r="K41" s="367"/>
      <c r="P41" s="150"/>
      <c r="V41"/>
      <c r="AC41" s="2160"/>
      <c r="AD41" s="2061"/>
      <c r="AE41" s="2058"/>
      <c r="AG41" s="1809"/>
      <c r="AH41" s="1811"/>
      <c r="AI41" s="1811"/>
      <c r="AK41" s="1020"/>
      <c r="AL41" s="946"/>
      <c r="AM41" s="679"/>
      <c r="AO41" s="1007"/>
      <c r="AP41" s="1008"/>
      <c r="AQ41" s="1007"/>
      <c r="AS41" s="2775"/>
      <c r="AT41" s="2786"/>
      <c r="AU41" s="2775"/>
      <c r="AW41" s="2451"/>
      <c r="AX41" s="1674"/>
      <c r="AY41" s="2742"/>
      <c r="AZ41" s="1674"/>
      <c r="BA41" s="2451"/>
      <c r="BC41" s="1420"/>
      <c r="BD41" s="1438"/>
      <c r="BE41" s="1420"/>
      <c r="BH41" s="2772"/>
      <c r="BI41" s="2772"/>
      <c r="BJ41" s="2772"/>
    </row>
    <row r="42" spans="2:63">
      <c r="B42" s="1278" t="s">
        <v>789</v>
      </c>
      <c r="C42" s="2118" t="e">
        <f>C35*('Data Entry - SOF'!C74/100)</f>
        <v>#REF!</v>
      </c>
      <c r="D42" s="1262" t="e">
        <f>D35*('Data Entry - SOF'!#REF!/100)</f>
        <v>#REF!</v>
      </c>
      <c r="E42" s="1263" t="e">
        <f>E35*('Data Entry - SOF'!E74/100)</f>
        <v>#DIV/0!</v>
      </c>
      <c r="F42" s="1264" t="e">
        <f>F35*('Data Entry - SOF'!E84/100)</f>
        <v>#DIV/0!</v>
      </c>
      <c r="G42" s="1265" t="e">
        <f>G35*('Data Entry - SOF'!M74/100)</f>
        <v>#DIV/0!</v>
      </c>
      <c r="H42" s="1266" t="e">
        <f>H35*('Data Entry - SOF'!O74/100)</f>
        <v>#DIV/0!</v>
      </c>
      <c r="I42" s="1338" t="e">
        <f>I35*('Data Entry - SOF'!Q74/100)</f>
        <v>#DIV/0!</v>
      </c>
      <c r="J42" s="1731" t="e">
        <f>J35*('Data Entry - SOF'!S74/100)</f>
        <v>#DIV/0!</v>
      </c>
      <c r="K42" s="367"/>
      <c r="P42" s="140"/>
      <c r="V42"/>
      <c r="AC42" s="2160"/>
      <c r="AD42" s="2061"/>
      <c r="AE42" s="2058"/>
      <c r="AG42" s="1809"/>
      <c r="AH42" s="1811"/>
      <c r="AI42" s="1811"/>
      <c r="AK42" s="1020"/>
      <c r="AL42" s="946"/>
      <c r="AM42" s="679"/>
      <c r="AO42" s="1007"/>
      <c r="AP42" s="1008"/>
      <c r="AQ42" s="1007"/>
      <c r="AS42" s="2775"/>
      <c r="AT42" s="2786"/>
      <c r="AU42" s="2775"/>
      <c r="AW42" s="2451"/>
      <c r="AX42" s="1674"/>
      <c r="AY42" s="2742"/>
      <c r="AZ42" s="1674"/>
      <c r="BA42" s="2451"/>
      <c r="BC42" s="1420"/>
      <c r="BD42" s="1438"/>
      <c r="BE42" s="1420"/>
      <c r="BH42" s="2772"/>
      <c r="BI42" s="2772"/>
      <c r="BJ42" s="2772"/>
    </row>
    <row r="43" spans="2:63">
      <c r="B43" s="1278" t="s">
        <v>790</v>
      </c>
      <c r="C43" s="2118" t="e">
        <f>C38*('Data Entry - SOF'!C74/100)</f>
        <v>#REF!</v>
      </c>
      <c r="D43" s="1262" t="e">
        <f>D38*('Data Entry - SOF'!#REF!/100)</f>
        <v>#REF!</v>
      </c>
      <c r="E43" s="1263" t="e">
        <f>E38*('Data Entry - SOF'!E74/100)</f>
        <v>#DIV/0!</v>
      </c>
      <c r="F43" s="1264" t="e">
        <f>F38*('Data Entry - SOF'!E84/100)</f>
        <v>#DIV/0!</v>
      </c>
      <c r="G43" s="1265" t="e">
        <f>G38*('Data Entry - SOF'!M74/100)</f>
        <v>#DIV/0!</v>
      </c>
      <c r="H43" s="1266" t="e">
        <f>H38*('Data Entry - SOF'!O74/100)</f>
        <v>#DIV/0!</v>
      </c>
      <c r="I43" s="1338" t="e">
        <f>I38*('Data Entry - SOF'!Q74/100)</f>
        <v>#DIV/0!</v>
      </c>
      <c r="J43" s="1731" t="e">
        <f>J38*('Data Entry - SOF'!S74/100)</f>
        <v>#DIV/0!</v>
      </c>
      <c r="K43" s="367"/>
      <c r="P43" s="149"/>
      <c r="V43"/>
      <c r="AC43" s="2160"/>
      <c r="AD43" s="2061"/>
      <c r="AE43" s="2058"/>
      <c r="AG43" s="1809"/>
      <c r="AH43" s="1811"/>
      <c r="AI43" s="1811"/>
      <c r="AK43" s="1020"/>
      <c r="AL43" s="946"/>
      <c r="AM43" s="679"/>
      <c r="AO43" s="1007"/>
      <c r="AP43" s="1008"/>
      <c r="AQ43" s="1007"/>
      <c r="AS43" s="2775"/>
      <c r="AT43" s="2786"/>
      <c r="AU43" s="2775"/>
      <c r="AW43" s="2451"/>
      <c r="AX43" s="1674"/>
      <c r="AY43" s="2742"/>
      <c r="AZ43" s="1674"/>
      <c r="BA43" s="2451"/>
      <c r="BC43" s="1420"/>
      <c r="BD43" s="1438"/>
      <c r="BE43" s="1420"/>
      <c r="BH43" s="2772"/>
      <c r="BI43" s="2772"/>
      <c r="BJ43" s="2772"/>
    </row>
    <row r="44" spans="2:63">
      <c r="K44" s="623"/>
      <c r="M44" s="271"/>
      <c r="P44" s="150"/>
      <c r="V44"/>
      <c r="AG44" s="1810"/>
      <c r="AH44" s="1810"/>
      <c r="AI44" s="1810"/>
      <c r="AK44" s="809"/>
      <c r="AL44" s="809"/>
      <c r="AM44" s="809"/>
      <c r="AO44" s="1009"/>
      <c r="AP44" s="1009"/>
      <c r="AQ44" s="1009"/>
      <c r="AS44" s="2775"/>
      <c r="AT44" s="2775"/>
      <c r="AU44" s="2775"/>
      <c r="AX44" s="1674"/>
      <c r="AY44" s="1674"/>
      <c r="AZ44" s="1674"/>
      <c r="BC44" s="1420"/>
      <c r="BD44" s="1420"/>
      <c r="BE44" s="1420"/>
      <c r="BH44" s="2772"/>
      <c r="BI44" s="2772"/>
      <c r="BJ44" s="2772"/>
    </row>
    <row r="45" spans="2:63">
      <c r="K45" s="623"/>
      <c r="M45" s="271"/>
      <c r="P45" s="140"/>
      <c r="V45"/>
      <c r="AC45" s="2135"/>
      <c r="AD45" s="2135"/>
      <c r="AE45" s="2135"/>
      <c r="AF45" s="119"/>
      <c r="AG45" s="995"/>
      <c r="AH45" s="995"/>
      <c r="AI45" s="995"/>
      <c r="AJ45" s="119"/>
      <c r="AK45" s="995"/>
      <c r="AL45" s="995"/>
      <c r="AM45" s="995"/>
      <c r="AN45" s="119"/>
      <c r="AO45" s="1010"/>
      <c r="AP45" s="1010"/>
      <c r="AQ45" s="1010"/>
      <c r="AR45" s="119"/>
      <c r="AS45" s="995"/>
      <c r="AT45" s="995"/>
      <c r="AU45" s="995"/>
      <c r="AX45" s="2443"/>
      <c r="AY45" s="2443"/>
      <c r="AZ45" s="2443"/>
      <c r="BC45" s="2479"/>
      <c r="BD45" s="2479"/>
      <c r="BE45" s="2479"/>
      <c r="BH45" s="2480"/>
      <c r="BI45" s="2480"/>
      <c r="BJ45" s="2480"/>
    </row>
    <row r="46" spans="2:63" hidden="1">
      <c r="B46" s="37" t="s">
        <v>2807</v>
      </c>
      <c r="C46" s="2105">
        <v>0</v>
      </c>
      <c r="D46" s="1132">
        <v>0</v>
      </c>
      <c r="E46" s="658">
        <v>0</v>
      </c>
      <c r="F46" s="1158">
        <v>0</v>
      </c>
      <c r="G46" s="1184">
        <v>0</v>
      </c>
      <c r="H46" s="1210">
        <v>0</v>
      </c>
      <c r="I46" s="1322">
        <v>0</v>
      </c>
      <c r="J46" s="1713">
        <v>0</v>
      </c>
      <c r="K46" s="623"/>
      <c r="M46" s="271"/>
      <c r="P46" s="149"/>
      <c r="V46"/>
      <c r="AC46" s="2135"/>
      <c r="AD46" s="2135"/>
      <c r="AE46" s="2135"/>
      <c r="AF46" s="119"/>
      <c r="AG46" s="995"/>
      <c r="AH46" s="995"/>
      <c r="AI46" s="995"/>
      <c r="AJ46" s="119"/>
      <c r="AK46" s="995"/>
      <c r="AL46" s="995"/>
      <c r="AM46" s="995"/>
      <c r="AN46" s="119"/>
      <c r="AO46" s="1010"/>
      <c r="AP46" s="1010"/>
      <c r="AQ46" s="1010"/>
      <c r="AR46" s="119"/>
      <c r="AS46" s="995"/>
      <c r="AT46" s="995"/>
      <c r="AU46" s="995"/>
      <c r="AX46" s="2443"/>
      <c r="AY46" s="2443"/>
      <c r="AZ46" s="2443"/>
      <c r="BC46" s="2479"/>
      <c r="BD46" s="2479"/>
      <c r="BE46" s="2479"/>
      <c r="BH46" s="2480"/>
      <c r="BI46" s="2480"/>
      <c r="BJ46" s="2480"/>
    </row>
    <row r="47" spans="2:63" hidden="1">
      <c r="B47" s="37" t="s">
        <v>2806</v>
      </c>
      <c r="C47" s="2119" t="e">
        <f>'Data Entry - SOF'!C93-'IFA-OldLaw'!J79-C46</f>
        <v>#REF!</v>
      </c>
      <c r="D47" s="1142" t="e">
        <f>'Data Entry - SOF'!#REF!-'IFA-OldLaw'!#REF!-D46</f>
        <v>#REF!</v>
      </c>
      <c r="E47" s="657">
        <f>'Data Entry - SOF'!E93-'IFA-OldLaw'!M79-E46</f>
        <v>0</v>
      </c>
      <c r="F47" s="1168">
        <f>'Data Entry - SOF'!K93-'IFA-OldLaw'!Q79-F46</f>
        <v>0</v>
      </c>
      <c r="G47" s="1194">
        <f>'Data Entry - SOF'!M93-'IFA-OldLaw'!U79-G46</f>
        <v>0</v>
      </c>
      <c r="H47" s="1220">
        <f>'Data Entry - SOF'!O93-'IFA-OldLaw'!Y79-H46</f>
        <v>0</v>
      </c>
      <c r="I47" s="1339">
        <f>'Data Entry - SOF'!Q93-'IFA-OldLaw'!AC79-I46</f>
        <v>0</v>
      </c>
      <c r="J47" s="1732">
        <f>'Data Entry - SOF'!S93-'IFA-OldLaw'!AG79-J46</f>
        <v>0</v>
      </c>
      <c r="K47" s="370"/>
      <c r="M47" s="271"/>
      <c r="P47" s="143"/>
      <c r="V47"/>
      <c r="AC47" s="2135"/>
      <c r="AD47" s="2135"/>
      <c r="AE47" s="2135"/>
      <c r="AF47" s="119"/>
      <c r="AG47" s="995"/>
      <c r="AH47" s="995"/>
      <c r="AI47" s="995"/>
      <c r="AJ47" s="119"/>
      <c r="AK47" s="995"/>
      <c r="AL47" s="995"/>
      <c r="AM47" s="995"/>
      <c r="AN47" s="119"/>
      <c r="AO47" s="1010"/>
      <c r="AP47" s="1010"/>
      <c r="AQ47" s="1010"/>
      <c r="AR47" s="119"/>
      <c r="AS47" s="995"/>
      <c r="AT47" s="995"/>
      <c r="AU47" s="995"/>
      <c r="AX47" s="2443"/>
      <c r="AY47" s="2443"/>
      <c r="AZ47" s="2443"/>
      <c r="BC47" s="2479"/>
      <c r="BD47" s="2479"/>
      <c r="BE47" s="2479"/>
      <c r="BH47" s="2480"/>
      <c r="BI47" s="2480"/>
      <c r="BJ47" s="2480"/>
    </row>
    <row r="48" spans="2:63" hidden="1">
      <c r="K48" s="623"/>
      <c r="M48" s="271"/>
      <c r="P48" s="143"/>
      <c r="V48"/>
      <c r="AC48" s="2135"/>
      <c r="AD48" s="2135"/>
      <c r="AE48" s="2135"/>
      <c r="AF48" s="119"/>
      <c r="AG48" s="995"/>
      <c r="AH48" s="995"/>
      <c r="AI48" s="995"/>
      <c r="AJ48" s="119"/>
      <c r="AK48" s="995"/>
      <c r="AL48" s="995"/>
      <c r="AM48" s="995"/>
      <c r="AN48" s="119"/>
      <c r="AO48" s="1010"/>
      <c r="AP48" s="1010"/>
      <c r="AQ48" s="1010"/>
      <c r="AR48" s="119"/>
      <c r="AS48" s="995"/>
      <c r="AT48" s="995"/>
      <c r="AU48" s="995"/>
      <c r="AX48" s="2443"/>
      <c r="AY48" s="2443"/>
      <c r="AZ48" s="2443"/>
      <c r="BC48" s="2479"/>
      <c r="BD48" s="2479"/>
      <c r="BE48" s="2479"/>
      <c r="BH48" s="2480"/>
      <c r="BI48" s="2480"/>
      <c r="BJ48" s="2480"/>
    </row>
    <row r="49" spans="1:78" hidden="1">
      <c r="B49" s="37" t="s">
        <v>2859</v>
      </c>
      <c r="C49" s="2110" t="str">
        <f t="shared" ref="C49:H49" si="5">IF(C21=C20,"N/A",C21)</f>
        <v>N/A</v>
      </c>
      <c r="D49" s="1133" t="e">
        <f t="shared" si="5"/>
        <v>#REF!</v>
      </c>
      <c r="E49" s="663" t="str">
        <f t="shared" si="5"/>
        <v>N/A</v>
      </c>
      <c r="F49" s="1159" t="str">
        <f t="shared" si="5"/>
        <v>N/A</v>
      </c>
      <c r="G49" s="1185" t="str">
        <f t="shared" si="5"/>
        <v>N/A</v>
      </c>
      <c r="H49" s="1211" t="str">
        <f t="shared" si="5"/>
        <v>N/A</v>
      </c>
      <c r="I49" s="1323" t="str">
        <f>IF(I21=I20,"N/A",I21)</f>
        <v>N/A</v>
      </c>
      <c r="J49" s="1716" t="str">
        <f>IF(J21=J20,"N/A",J21)</f>
        <v>N/A</v>
      </c>
      <c r="K49" s="623"/>
      <c r="M49" s="271"/>
      <c r="P49" s="140"/>
      <c r="V49"/>
      <c r="AC49" s="2135"/>
      <c r="AD49" s="2135"/>
      <c r="AE49" s="2135"/>
      <c r="AF49" s="119"/>
      <c r="AG49" s="995"/>
      <c r="AH49" s="995"/>
      <c r="AI49" s="995"/>
      <c r="AJ49" s="119"/>
      <c r="AK49" s="995"/>
      <c r="AL49" s="995"/>
      <c r="AM49" s="995"/>
      <c r="AN49" s="119"/>
      <c r="AO49" s="1010"/>
      <c r="AP49" s="1010"/>
      <c r="AQ49" s="1010"/>
      <c r="AR49" s="119"/>
      <c r="AS49" s="995"/>
      <c r="AT49" s="995"/>
      <c r="AU49" s="995"/>
      <c r="AX49" s="2443"/>
      <c r="AY49" s="2443"/>
      <c r="AZ49" s="2443"/>
      <c r="BC49" s="2479"/>
      <c r="BD49" s="2479"/>
      <c r="BE49" s="2479"/>
      <c r="BH49" s="2480"/>
      <c r="BI49" s="2480"/>
      <c r="BJ49" s="2480"/>
    </row>
    <row r="50" spans="1:78" hidden="1">
      <c r="B50" s="37" t="s">
        <v>2860</v>
      </c>
      <c r="C50" s="2110" t="str">
        <f t="shared" ref="C50:H50" si="6">IF(C22=0,"N/A",C22)</f>
        <v>N/A</v>
      </c>
      <c r="D50" s="1133" t="e">
        <f t="shared" si="6"/>
        <v>#REF!</v>
      </c>
      <c r="E50" s="663" t="str">
        <f t="shared" si="6"/>
        <v>N/A</v>
      </c>
      <c r="F50" s="1159" t="str">
        <f t="shared" si="6"/>
        <v>N/A</v>
      </c>
      <c r="G50" s="1185" t="str">
        <f t="shared" si="6"/>
        <v>N/A</v>
      </c>
      <c r="H50" s="1211" t="str">
        <f t="shared" si="6"/>
        <v>N/A</v>
      </c>
      <c r="I50" s="1323" t="str">
        <f>IF(I22=0,"N/A",I22)</f>
        <v>N/A</v>
      </c>
      <c r="J50" s="1716" t="str">
        <f>IF(J22=0,"N/A",J22)</f>
        <v>N/A</v>
      </c>
      <c r="K50" s="623"/>
      <c r="M50" s="271"/>
      <c r="P50" s="140"/>
      <c r="V50"/>
      <c r="AC50" s="2135"/>
      <c r="AD50" s="2135"/>
      <c r="AE50" s="2135"/>
      <c r="AF50" s="119"/>
      <c r="AG50" s="995"/>
      <c r="AH50" s="995"/>
      <c r="AI50" s="995"/>
      <c r="AJ50" s="119"/>
      <c r="AK50" s="995"/>
      <c r="AL50" s="995"/>
      <c r="AM50" s="995"/>
      <c r="AN50" s="119"/>
      <c r="AO50" s="1010"/>
      <c r="AP50" s="1010"/>
      <c r="AQ50" s="1010"/>
      <c r="AR50" s="119"/>
      <c r="AS50" s="995"/>
      <c r="AT50" s="995"/>
      <c r="AU50" s="995"/>
      <c r="AX50" s="2443"/>
      <c r="AY50" s="2443"/>
      <c r="AZ50" s="2443"/>
      <c r="BC50" s="2479"/>
      <c r="BD50" s="2479"/>
      <c r="BE50" s="2479"/>
      <c r="BH50" s="2480"/>
      <c r="BI50" s="2480"/>
      <c r="BJ50" s="2480"/>
    </row>
    <row r="51" spans="1:78" hidden="1">
      <c r="K51" s="623"/>
      <c r="M51" s="271"/>
      <c r="P51" s="140"/>
      <c r="V51"/>
      <c r="AC51" s="2135"/>
      <c r="AD51" s="2135"/>
      <c r="AE51" s="2135"/>
      <c r="AF51" s="119"/>
      <c r="AG51" s="995"/>
      <c r="AH51" s="995"/>
      <c r="AI51" s="995"/>
      <c r="AJ51" s="119"/>
      <c r="AK51" s="995"/>
      <c r="AL51" s="995"/>
      <c r="AM51" s="995"/>
      <c r="AN51" s="119"/>
      <c r="AO51" s="1010"/>
      <c r="AP51" s="1010"/>
      <c r="AQ51" s="1010"/>
      <c r="AR51" s="119"/>
      <c r="AS51" s="995"/>
      <c r="AT51" s="995"/>
      <c r="AU51" s="995"/>
      <c r="AX51" s="2443"/>
      <c r="AY51" s="2443"/>
      <c r="AZ51" s="2443"/>
      <c r="BC51" s="2479"/>
      <c r="BD51" s="2479"/>
      <c r="BE51" s="2479"/>
      <c r="BH51" s="2480"/>
      <c r="BI51" s="2480"/>
      <c r="BJ51" s="2480"/>
    </row>
    <row r="52" spans="1:78" hidden="1">
      <c r="K52" s="623"/>
      <c r="M52" s="271"/>
      <c r="V52"/>
      <c r="AC52" s="2135"/>
      <c r="AD52" s="2135"/>
      <c r="AE52" s="2135"/>
      <c r="AF52" s="119"/>
      <c r="AG52" s="995"/>
      <c r="AH52" s="995"/>
      <c r="AI52" s="995"/>
      <c r="AJ52" s="119"/>
      <c r="AK52" s="995"/>
      <c r="AL52" s="995"/>
      <c r="AM52" s="995"/>
      <c r="AN52" s="119"/>
      <c r="AO52" s="1010"/>
      <c r="AP52" s="1010"/>
      <c r="AQ52" s="1010"/>
      <c r="AR52" s="119"/>
      <c r="AS52" s="995"/>
      <c r="AT52" s="995"/>
      <c r="AU52" s="995"/>
      <c r="AX52" s="2443"/>
      <c r="AY52" s="2443"/>
      <c r="AZ52" s="2443"/>
      <c r="BC52" s="2479"/>
      <c r="BD52" s="2479"/>
      <c r="BE52" s="2479"/>
      <c r="BH52" s="2480"/>
      <c r="BI52" s="2480"/>
      <c r="BJ52" s="2480"/>
    </row>
    <row r="53" spans="1:78" hidden="1">
      <c r="K53" s="623"/>
      <c r="M53" s="271"/>
      <c r="V53"/>
      <c r="AC53" s="2135"/>
      <c r="AD53" s="2135"/>
      <c r="AE53" s="2135"/>
      <c r="AF53" s="119"/>
      <c r="AG53" s="995"/>
      <c r="AH53" s="995"/>
      <c r="AI53" s="995"/>
      <c r="AJ53" s="119"/>
      <c r="AK53" s="995"/>
      <c r="AL53" s="995"/>
      <c r="AM53" s="995"/>
      <c r="AN53" s="119"/>
      <c r="AO53" s="1010"/>
      <c r="AP53" s="1010"/>
      <c r="AQ53" s="1010"/>
      <c r="AR53" s="119"/>
      <c r="AS53" s="995"/>
      <c r="AT53" s="995"/>
      <c r="AU53" s="995"/>
      <c r="AX53" s="2443"/>
      <c r="AY53" s="2443"/>
      <c r="AZ53" s="2443"/>
      <c r="BC53" s="2479"/>
      <c r="BD53" s="2479"/>
      <c r="BE53" s="2479"/>
      <c r="BH53" s="2480"/>
      <c r="BI53" s="2480"/>
      <c r="BJ53" s="2480"/>
    </row>
    <row r="54" spans="1:78" hidden="1">
      <c r="K54" s="623"/>
      <c r="M54" s="271"/>
      <c r="V54"/>
      <c r="AC54" s="2135"/>
      <c r="AD54" s="2135"/>
      <c r="AE54" s="2135"/>
      <c r="AF54" s="119"/>
      <c r="AG54" s="995"/>
      <c r="AH54" s="995"/>
      <c r="AI54" s="995"/>
      <c r="AJ54" s="119"/>
      <c r="AK54" s="995"/>
      <c r="AL54" s="995"/>
      <c r="AM54" s="995"/>
      <c r="AN54" s="119"/>
      <c r="AO54" s="1010"/>
      <c r="AP54" s="1010"/>
      <c r="AQ54" s="1010"/>
      <c r="AR54" s="119"/>
      <c r="AS54" s="995"/>
      <c r="AT54" s="995"/>
      <c r="AU54" s="995"/>
      <c r="AX54" s="2443"/>
      <c r="AY54" s="2443"/>
      <c r="AZ54" s="2443"/>
      <c r="BC54" s="2479"/>
      <c r="BD54" s="2479"/>
      <c r="BE54" s="2479"/>
      <c r="BH54" s="2480"/>
      <c r="BI54" s="2480"/>
      <c r="BJ54" s="2480"/>
    </row>
    <row r="55" spans="1:78" hidden="1">
      <c r="K55" s="700" t="s">
        <v>6834</v>
      </c>
      <c r="M55" s="271"/>
      <c r="V55"/>
      <c r="AC55" s="2135"/>
      <c r="AD55" s="2135"/>
      <c r="AE55" s="2135"/>
      <c r="AF55" s="119"/>
      <c r="AG55" s="995"/>
      <c r="AH55" s="995"/>
      <c r="AI55" s="995"/>
      <c r="AJ55" s="119"/>
      <c r="AK55" s="995"/>
      <c r="AL55" s="995"/>
      <c r="AM55" s="995"/>
      <c r="AN55" s="119"/>
      <c r="AO55" s="1010"/>
      <c r="AP55" s="1010"/>
      <c r="AQ55" s="1010"/>
      <c r="AR55" s="119"/>
      <c r="AS55" s="995"/>
      <c r="AT55" s="995"/>
      <c r="AU55" s="995"/>
      <c r="AX55" s="2443"/>
      <c r="AY55" s="2443"/>
      <c r="AZ55" s="2443"/>
      <c r="BC55" s="2479"/>
      <c r="BD55" s="2479"/>
      <c r="BE55" s="2479"/>
      <c r="BH55" s="2480"/>
      <c r="BI55" s="2480"/>
      <c r="BJ55" s="2480"/>
    </row>
    <row r="56" spans="1:78" hidden="1">
      <c r="C56" s="2120" t="s">
        <v>3139</v>
      </c>
      <c r="D56" s="1143" t="s">
        <v>3226</v>
      </c>
      <c r="E56" s="661" t="s">
        <v>3227</v>
      </c>
      <c r="F56" s="1169" t="s">
        <v>3285</v>
      </c>
      <c r="G56" s="1195" t="s">
        <v>3929</v>
      </c>
      <c r="H56" s="1221" t="s">
        <v>6921</v>
      </c>
      <c r="I56" s="1340" t="s">
        <v>6977</v>
      </c>
      <c r="J56" s="1733" t="s">
        <v>8159</v>
      </c>
      <c r="K56" s="624" t="s">
        <v>3139</v>
      </c>
      <c r="V56"/>
      <c r="AB56" s="2167"/>
      <c r="AC56" s="2135"/>
      <c r="AD56" s="2135"/>
      <c r="AE56" s="2135"/>
      <c r="AF56" s="119"/>
      <c r="AG56" s="995"/>
      <c r="AH56" s="995"/>
      <c r="AI56" s="995"/>
      <c r="AJ56" s="119"/>
      <c r="AK56" s="995"/>
      <c r="AL56" s="995"/>
      <c r="AM56" s="995"/>
      <c r="AN56" s="119"/>
      <c r="AO56" s="1010"/>
      <c r="AP56" s="1010"/>
      <c r="AQ56" s="1010"/>
      <c r="AR56" s="119"/>
      <c r="AS56" s="995"/>
      <c r="AT56" s="995"/>
      <c r="AU56" s="995"/>
      <c r="AX56" s="2443"/>
      <c r="AY56" s="2443"/>
      <c r="AZ56" s="2443"/>
      <c r="BC56" s="2479"/>
      <c r="BD56" s="2479"/>
      <c r="BE56" s="2479"/>
      <c r="BH56" s="2480"/>
      <c r="BI56" s="2480"/>
      <c r="BJ56" s="2480"/>
    </row>
    <row r="57" spans="1:78" hidden="1">
      <c r="B57" s="73" t="s">
        <v>2108</v>
      </c>
      <c r="C57" s="2121">
        <f>IF(AND(C6&lt;2000,C10&gt;1599.999),'Data Entry - SOF'!C159*(1+((2000-'Calc Data-15K'!C7)*Weights!H45)),0)</f>
        <v>0</v>
      </c>
      <c r="D57" s="1144" t="e">
        <f>IF(AND(D6&lt;2000,D10&gt;1599.999),'Data Entry - SOF'!#REF!*(1+((2000-'Calc Data-15K'!D7)*Weights!I45)),0)</f>
        <v>#REF!</v>
      </c>
      <c r="E57" s="671">
        <f>IF(AND(E6&lt;2000,E10&gt;1599.999),'Data Entry - SOF'!E159*(1+((2000-'Calc Data-15K'!E7)*Weights!J45)),0)</f>
        <v>0</v>
      </c>
      <c r="F57" s="1170">
        <f>IF(AND(F6&lt;2000,F10&gt;1599.999),'Data Entry - SOF'!K159*(1+((2000-'Calc Data-15K'!F7)*Weights!K45)),0)</f>
        <v>0</v>
      </c>
      <c r="G57" s="1196">
        <f>IF(AND(G6&lt;2000,G10&gt;1599.999),'Data Entry - SOF'!M159*(1+((2000-'Calc Data-15K'!G7)*Weights!L45)),0)</f>
        <v>0</v>
      </c>
      <c r="H57" s="1222">
        <f>IF(AND(H6&lt;2000,H10&gt;1599.999),'Data Entry - SOF'!O159*(1+((2000-'Calc Data-15K'!H7)*Weights!M45)),0)</f>
        <v>0</v>
      </c>
      <c r="I57" s="1341">
        <f>IF(AND(I6&lt;2000,I10&gt;1599.999),'Data Entry - SOF'!Q159*(1+((2000-'Calc Data-15K'!I7)*Weights!N45)),0)</f>
        <v>0</v>
      </c>
      <c r="J57" s="1734">
        <f>IF(AND(J6&lt;2000,J10&gt;1599.999),'Data Entry - SOF'!S159*(1+((2000-'Calc Data-15K'!J7)*Weights!O45)),0)</f>
        <v>0</v>
      </c>
      <c r="K57" s="1081">
        <f>IF(AND(C6&lt;2000,C10&gt;1599.999),'Data Entry - SOF'!C159*(1+((2000-C7)*Weights!H45)),0)</f>
        <v>0</v>
      </c>
      <c r="Q57" s="237" t="e">
        <f>IF(AND(#REF!&lt;2000,#REF!&gt;1599.999),'Data Entry - SOF'!#REF!*(1+((2000-'Calc Data-15K'!#REF!)*0.00014)),0)</f>
        <v>#REF!</v>
      </c>
      <c r="V57"/>
      <c r="AC57" s="2135"/>
      <c r="AD57" s="2135"/>
      <c r="AE57" s="2135"/>
      <c r="AF57" s="119"/>
      <c r="AG57" s="995"/>
      <c r="AH57" s="995"/>
      <c r="AI57" s="995"/>
      <c r="AJ57" s="119"/>
      <c r="AK57" s="995"/>
      <c r="AL57" s="995"/>
      <c r="AM57" s="995"/>
      <c r="AN57" s="119"/>
      <c r="AO57" s="1010"/>
      <c r="AP57" s="1010"/>
      <c r="AQ57" s="1010"/>
      <c r="AR57" s="119"/>
      <c r="AS57" s="995"/>
      <c r="AT57" s="995"/>
      <c r="AU57" s="995"/>
      <c r="AX57" s="2443"/>
      <c r="AY57" s="2443"/>
      <c r="AZ57" s="2443"/>
      <c r="BC57" s="2479"/>
      <c r="BD57" s="2479"/>
      <c r="BE57" s="2479"/>
      <c r="BH57" s="2480"/>
      <c r="BI57" s="2480"/>
      <c r="BJ57" s="2480"/>
    </row>
    <row r="58" spans="1:78" hidden="1">
      <c r="B58" s="73" t="s">
        <v>983</v>
      </c>
      <c r="C58" s="2122">
        <f>'Data Entry - SOF'!C159</f>
        <v>0</v>
      </c>
      <c r="D58" s="1145" t="e">
        <f>'Data Entry - SOF'!#REF!</f>
        <v>#REF!</v>
      </c>
      <c r="E58" s="672">
        <f>'Data Entry - SOF'!E159</f>
        <v>0</v>
      </c>
      <c r="F58" s="1171">
        <f>'Data Entry - SOF'!K159</f>
        <v>0</v>
      </c>
      <c r="G58" s="1197">
        <f>'Data Entry - SOF'!M159</f>
        <v>0</v>
      </c>
      <c r="H58" s="1223">
        <f>'Data Entry - SOF'!O159</f>
        <v>0</v>
      </c>
      <c r="I58" s="1342">
        <f>'Data Entry - SOF'!Q159</f>
        <v>0</v>
      </c>
      <c r="J58" s="1735">
        <f>'Data Entry - SOF'!S159</f>
        <v>0</v>
      </c>
      <c r="K58" s="1082">
        <f>'Data Entry - SOF'!C159</f>
        <v>0</v>
      </c>
      <c r="Q58" s="238" t="e">
        <f>'Data Entry - SOF'!#REF!</f>
        <v>#REF!</v>
      </c>
      <c r="V58"/>
      <c r="AC58" s="2135"/>
      <c r="AD58" s="2135"/>
      <c r="AE58" s="2135"/>
      <c r="AF58" s="119"/>
      <c r="AG58" s="995"/>
      <c r="AH58" s="995"/>
      <c r="AI58" s="995"/>
      <c r="AJ58" s="119"/>
      <c r="AK58" s="995"/>
      <c r="AL58" s="995"/>
      <c r="AM58" s="995"/>
      <c r="AN58" s="119"/>
      <c r="AO58" s="1010"/>
      <c r="AP58" s="1010"/>
      <c r="AQ58" s="1010"/>
      <c r="AR58" s="119"/>
      <c r="AS58" s="995"/>
      <c r="AT58" s="995"/>
      <c r="AU58" s="995"/>
      <c r="AX58" s="2443"/>
      <c r="AY58" s="2443"/>
      <c r="AZ58" s="2443"/>
      <c r="BC58" s="2479"/>
      <c r="BD58" s="2479"/>
      <c r="BE58" s="2479"/>
      <c r="BH58" s="2480"/>
      <c r="BI58" s="2480"/>
      <c r="BJ58" s="2480"/>
    </row>
    <row r="59" spans="1:78" hidden="1">
      <c r="B59" s="73" t="s">
        <v>2270</v>
      </c>
      <c r="C59" s="2120">
        <f t="shared" ref="C59:H59" si="7">IF(C57&gt;C58,C57,C58)</f>
        <v>0</v>
      </c>
      <c r="D59" s="1143" t="e">
        <f t="shared" si="7"/>
        <v>#REF!</v>
      </c>
      <c r="E59" s="661">
        <f t="shared" si="7"/>
        <v>0</v>
      </c>
      <c r="F59" s="1169">
        <f t="shared" si="7"/>
        <v>0</v>
      </c>
      <c r="G59" s="1195">
        <f t="shared" si="7"/>
        <v>0</v>
      </c>
      <c r="H59" s="1221">
        <f t="shared" si="7"/>
        <v>0</v>
      </c>
      <c r="I59" s="1340">
        <f>IF(I57&gt;I58,I57,I58)</f>
        <v>0</v>
      </c>
      <c r="J59" s="1733">
        <f>IF(J57&gt;J58,J57,J58)</f>
        <v>0</v>
      </c>
      <c r="K59" s="1083">
        <f>IF(K57&gt;K58,K57,K58)</f>
        <v>0</v>
      </c>
      <c r="Q59" s="235" t="e">
        <f>IF(Q57&gt;Q58,Q57,Q58)</f>
        <v>#REF!</v>
      </c>
      <c r="V59"/>
      <c r="AC59" s="2135"/>
      <c r="AD59" s="2135"/>
      <c r="AG59" s="995"/>
      <c r="AH59" s="995"/>
      <c r="AK59" s="995"/>
      <c r="AL59" s="995"/>
      <c r="AM59" s="995"/>
      <c r="AO59" s="1010"/>
      <c r="AP59" s="1010"/>
      <c r="AQ59" s="1011"/>
      <c r="AS59" s="995"/>
      <c r="AT59" s="995"/>
      <c r="AU59" s="845"/>
      <c r="AX59" s="2443"/>
      <c r="AY59" s="2443"/>
      <c r="AZ59" s="2445"/>
      <c r="BC59" s="2479"/>
      <c r="BD59" s="2479"/>
      <c r="BE59" s="2445"/>
      <c r="BH59" s="2480"/>
      <c r="BI59" s="2480"/>
    </row>
    <row r="60" spans="1:78" hidden="1">
      <c r="B60" s="73"/>
      <c r="M60" s="271"/>
      <c r="V60"/>
      <c r="AC60" s="2135"/>
      <c r="AD60" s="2135"/>
      <c r="AG60" s="995"/>
      <c r="AH60" s="995"/>
      <c r="AK60" s="995"/>
      <c r="AL60" s="995"/>
      <c r="AM60" s="995"/>
      <c r="AO60" s="1010"/>
      <c r="AP60" s="1010"/>
      <c r="AQ60" s="1011"/>
      <c r="AS60" s="995"/>
      <c r="AT60" s="995"/>
      <c r="AU60" s="845"/>
      <c r="AX60" s="2443"/>
      <c r="AY60" s="2443"/>
      <c r="AZ60" s="2445"/>
      <c r="BC60" s="2479"/>
      <c r="BD60" s="2479"/>
      <c r="BE60" s="2445"/>
      <c r="BH60" s="2480"/>
      <c r="BI60" s="2480"/>
    </row>
    <row r="61" spans="1:78" hidden="1">
      <c r="A61" s="94"/>
      <c r="B61" s="73"/>
      <c r="K61" s="623"/>
      <c r="M61" s="271"/>
      <c r="V61"/>
      <c r="AC61" s="2135"/>
      <c r="AD61" s="2135"/>
      <c r="AG61" s="995"/>
      <c r="AH61" s="995"/>
      <c r="AK61" s="995"/>
      <c r="AL61" s="995"/>
      <c r="AM61" s="995"/>
      <c r="AO61" s="1010"/>
      <c r="AP61" s="1010"/>
      <c r="AQ61" s="1011"/>
      <c r="AS61" s="995"/>
      <c r="AT61" s="995"/>
      <c r="AU61" s="845"/>
      <c r="AX61" s="2443"/>
      <c r="AY61" s="2443"/>
      <c r="AZ61" s="2445"/>
      <c r="BC61" s="2479"/>
      <c r="BD61" s="2479"/>
      <c r="BE61" s="2445"/>
      <c r="BH61" s="2480"/>
      <c r="BI61" s="2480"/>
    </row>
    <row r="62" spans="1:78" hidden="1">
      <c r="A62" s="94"/>
      <c r="B62" s="73" t="s">
        <v>784</v>
      </c>
      <c r="K62" s="623"/>
      <c r="M62" s="271"/>
      <c r="V62"/>
      <c r="AC62" s="2135"/>
      <c r="AD62" s="2135"/>
      <c r="AG62" s="995"/>
      <c r="AH62" s="995"/>
      <c r="AK62" s="995"/>
      <c r="AL62" s="995"/>
      <c r="AM62" s="995"/>
      <c r="AO62" s="1010"/>
      <c r="AP62" s="1010"/>
      <c r="AQ62" s="1011"/>
      <c r="AS62" s="995"/>
      <c r="AT62" s="995"/>
      <c r="AU62" s="845"/>
      <c r="AX62" s="2443"/>
      <c r="AY62" s="2443"/>
      <c r="AZ62" s="2445"/>
      <c r="BC62" s="2479"/>
      <c r="BD62" s="2479"/>
      <c r="BE62" s="2445"/>
      <c r="BH62" s="2480"/>
      <c r="BI62" s="2480"/>
    </row>
    <row r="63" spans="1:78" s="208" customFormat="1" ht="23.25" hidden="1">
      <c r="A63" s="206"/>
      <c r="B63" s="338" t="s">
        <v>940</v>
      </c>
      <c r="C63" s="2123" t="s">
        <v>3138</v>
      </c>
      <c r="D63" s="1146" t="s">
        <v>3144</v>
      </c>
      <c r="E63" s="673" t="s">
        <v>3225</v>
      </c>
      <c r="F63" s="1172" t="s">
        <v>3284</v>
      </c>
      <c r="G63" s="1198" t="s">
        <v>3922</v>
      </c>
      <c r="H63" s="1224" t="s">
        <v>6374</v>
      </c>
      <c r="I63" s="1343" t="s">
        <v>6939</v>
      </c>
      <c r="J63" s="1736" t="s">
        <v>8157</v>
      </c>
      <c r="K63" s="623"/>
      <c r="M63" s="271"/>
      <c r="N63"/>
      <c r="O63"/>
      <c r="P63" s="207"/>
      <c r="Q63"/>
      <c r="R63"/>
      <c r="S63"/>
      <c r="T63"/>
      <c r="U63"/>
      <c r="V63"/>
      <c r="W63"/>
      <c r="X63"/>
      <c r="Y63"/>
      <c r="Z63"/>
      <c r="AA63"/>
      <c r="AB63" s="2011"/>
      <c r="AC63" s="2135"/>
      <c r="AD63" s="2135"/>
      <c r="AE63" s="2168"/>
      <c r="AG63" s="995"/>
      <c r="AH63" s="995"/>
      <c r="AK63" s="995"/>
      <c r="AL63" s="995"/>
      <c r="AM63" s="995"/>
      <c r="AO63" s="1010"/>
      <c r="AP63" s="1010"/>
      <c r="AQ63" s="1012"/>
      <c r="AS63" s="995"/>
      <c r="AT63" s="995"/>
      <c r="AU63" s="846"/>
      <c r="AW63" s="2452"/>
      <c r="AX63" s="2443"/>
      <c r="AY63" s="2443"/>
      <c r="AZ63" s="2453"/>
      <c r="BA63" s="2452"/>
      <c r="BB63" s="1416"/>
      <c r="BC63" s="2479"/>
      <c r="BD63" s="2479"/>
      <c r="BE63" s="1416"/>
      <c r="BF63" s="1797"/>
      <c r="BG63" s="2477"/>
      <c r="BH63" s="2480"/>
      <c r="BI63" s="2480"/>
      <c r="BJ63" s="2477"/>
      <c r="BK63" s="2478"/>
      <c r="BL63" s="2452"/>
      <c r="BM63" s="2452"/>
      <c r="BN63" s="2452"/>
      <c r="BO63" s="2452"/>
      <c r="BP63" s="2452"/>
      <c r="BQ63" s="2452"/>
      <c r="BR63" s="2452"/>
      <c r="BS63" s="2452"/>
      <c r="BT63" s="2452"/>
      <c r="BU63" s="2452"/>
      <c r="BV63" s="2452"/>
      <c r="BW63" s="2452"/>
      <c r="BX63" s="2452"/>
      <c r="BY63" s="2452"/>
      <c r="BZ63" s="2452"/>
    </row>
    <row r="64" spans="1:78" hidden="1">
      <c r="B64" s="339">
        <f>'Data Entry - SOF'!C163</f>
        <v>0</v>
      </c>
      <c r="C64" s="2124">
        <f>'Data Entry - SOF'!C104</f>
        <v>0</v>
      </c>
      <c r="D64" s="1147" t="e">
        <f>'Data Entry - SOF'!#REF!</f>
        <v>#REF!</v>
      </c>
      <c r="E64" s="674">
        <f>'Data Entry - SOF'!E104</f>
        <v>0</v>
      </c>
      <c r="F64" s="1173">
        <f>'Data Entry - SOF'!K104</f>
        <v>0</v>
      </c>
      <c r="G64" s="1199">
        <f>'Data Entry - SOF'!M104</f>
        <v>0</v>
      </c>
      <c r="H64" s="1225">
        <f>'Data Entry - SOF'!O104</f>
        <v>0</v>
      </c>
      <c r="I64" s="1344">
        <f>'Data Entry - SOF'!Q104</f>
        <v>0</v>
      </c>
      <c r="J64" s="1737">
        <f>'Data Entry - SOF'!S104</f>
        <v>0</v>
      </c>
      <c r="K64" s="623"/>
      <c r="M64" s="271"/>
      <c r="V64"/>
      <c r="AC64" s="2135"/>
      <c r="AD64" s="2135"/>
      <c r="AG64" s="995"/>
      <c r="AH64" s="995"/>
      <c r="AK64" s="995"/>
      <c r="AL64" s="995"/>
      <c r="AM64" s="995"/>
      <c r="AO64" s="1010"/>
      <c r="AP64" s="1010"/>
      <c r="AQ64" s="1011"/>
      <c r="AS64" s="995"/>
      <c r="AT64" s="995"/>
      <c r="AU64" s="845"/>
      <c r="AX64" s="2443"/>
      <c r="AY64" s="2443"/>
      <c r="AZ64" s="2445"/>
      <c r="BC64" s="2479"/>
      <c r="BD64" s="2479"/>
      <c r="BE64" s="2445"/>
      <c r="BH64" s="2480"/>
      <c r="BI64" s="2480"/>
    </row>
    <row r="65" spans="1:78" hidden="1">
      <c r="B65" s="339"/>
      <c r="C65" s="2124">
        <f>C64-B64</f>
        <v>0</v>
      </c>
      <c r="D65" s="1147" t="e">
        <f>D64-B64</f>
        <v>#REF!</v>
      </c>
      <c r="E65" s="674">
        <f>E64-B64</f>
        <v>0</v>
      </c>
      <c r="F65" s="1173">
        <f>F64-B64</f>
        <v>0</v>
      </c>
      <c r="G65" s="1199">
        <f>G64-B64</f>
        <v>0</v>
      </c>
      <c r="H65" s="1225">
        <f>H64-B64</f>
        <v>0</v>
      </c>
      <c r="I65" s="1344">
        <f>I64-B64</f>
        <v>0</v>
      </c>
      <c r="J65" s="1737">
        <f>J64-B64</f>
        <v>0</v>
      </c>
      <c r="K65" s="623"/>
      <c r="M65" s="271"/>
      <c r="V65"/>
      <c r="AO65" s="1011"/>
      <c r="AP65" s="1011"/>
      <c r="AQ65" s="1011"/>
    </row>
    <row r="66" spans="1:78" hidden="1">
      <c r="B66" s="340"/>
      <c r="C66" s="2125"/>
      <c r="D66" s="1148"/>
      <c r="E66" s="675"/>
      <c r="F66" s="1174"/>
      <c r="G66" s="1200"/>
      <c r="H66" s="1226"/>
      <c r="I66" s="1345"/>
      <c r="J66" s="1738"/>
      <c r="K66" s="623"/>
      <c r="M66" s="271"/>
      <c r="V66"/>
      <c r="AO66" s="1011"/>
      <c r="AP66" s="1011"/>
      <c r="AQ66" s="1011"/>
    </row>
    <row r="67" spans="1:78" hidden="1">
      <c r="B67" s="339"/>
      <c r="C67" s="2125"/>
      <c r="D67" s="1148"/>
      <c r="E67" s="675"/>
      <c r="F67" s="1174"/>
      <c r="G67" s="1200"/>
      <c r="H67" s="1226"/>
      <c r="I67" s="1345"/>
      <c r="J67" s="1738"/>
      <c r="K67" s="623"/>
      <c r="M67" s="271"/>
      <c r="V67"/>
      <c r="AO67" s="1011"/>
      <c r="AP67" s="1011"/>
      <c r="AQ67" s="1011"/>
    </row>
    <row r="68" spans="1:78" hidden="1">
      <c r="B68" s="341"/>
      <c r="C68" s="2125"/>
      <c r="D68" s="1148"/>
      <c r="E68" s="675"/>
      <c r="F68" s="1174"/>
      <c r="G68" s="1200"/>
      <c r="H68" s="1226"/>
      <c r="I68" s="1345"/>
      <c r="J68" s="1738"/>
      <c r="K68" s="623"/>
      <c r="L68" s="271"/>
      <c r="M68" s="271"/>
      <c r="V68"/>
      <c r="AO68" s="1011"/>
      <c r="AP68" s="1011"/>
      <c r="AQ68" s="1011"/>
    </row>
    <row r="69" spans="1:78" s="266" customFormat="1" ht="18" hidden="1">
      <c r="A69" s="265"/>
      <c r="B69" s="366" t="s">
        <v>1082</v>
      </c>
      <c r="C69" s="2125"/>
      <c r="D69" s="1148"/>
      <c r="E69" s="675"/>
      <c r="F69" s="1174"/>
      <c r="G69" s="1200"/>
      <c r="H69" s="1226"/>
      <c r="I69" s="1345"/>
      <c r="J69" s="1738"/>
      <c r="K69" s="623"/>
      <c r="L69" s="271"/>
      <c r="M69" s="271"/>
      <c r="P69" s="267"/>
      <c r="V69"/>
      <c r="W69"/>
      <c r="X69"/>
      <c r="Y69"/>
      <c r="Z69"/>
      <c r="AA69"/>
      <c r="AB69" s="2169"/>
      <c r="AC69" s="2169" t="s">
        <v>3879</v>
      </c>
      <c r="AD69" s="2170">
        <f>IF('Data Entry - SOF'!C92-'Calc Data-15K'!AC30&lt;=0,0,'Data Entry - SOF'!C92-'Calc Data-15K'!AC30)</f>
        <v>0</v>
      </c>
      <c r="AE69" s="2171"/>
      <c r="AG69" s="409" t="s">
        <v>3879</v>
      </c>
      <c r="AH69" s="797" t="e">
        <f>IF('Data Entry - SOF'!#REF!-'Calc Data-15K'!AG30&lt;=0,0,'Data Entry - SOF'!#REF!-'Calc Data-15K'!AG30)</f>
        <v>#REF!</v>
      </c>
      <c r="AK69" s="409" t="s">
        <v>3879</v>
      </c>
      <c r="AL69" s="797">
        <f>IF('Data Entry - SOF'!E92-'Calc Data-15K'!AK30&lt;=0,0,'Data Entry - SOF'!E92-'Calc Data-15K'!AK30)</f>
        <v>0.16999999999999993</v>
      </c>
      <c r="AM69" s="797"/>
      <c r="AO69" s="1013" t="s">
        <v>3879</v>
      </c>
      <c r="AP69" s="797">
        <f>IF('Data Entry - SOF'!K92-'Calc Data-15K'!AO30&lt;=0,0,'Data Entry - SOF'!K92-'Calc Data-15K'!AO30)</f>
        <v>0.16999999999999993</v>
      </c>
      <c r="AQ69" s="1014"/>
      <c r="AS69" s="409" t="s">
        <v>3879</v>
      </c>
      <c r="AT69" s="797">
        <f>IF('Data Entry - SOF'!M92-'Calc Data-15K'!AS30&lt;=0,0,'Data Entry - SOF'!M92-'Calc Data-15K'!AS30)</f>
        <v>0.16999999999999993</v>
      </c>
      <c r="AW69" s="2454"/>
      <c r="AX69" s="2455" t="s">
        <v>3879</v>
      </c>
      <c r="AY69" s="2456">
        <f>IF('Data Entry - SOF'!O92-'Calc Data-15K'!AX30&lt;=0,0,'Data Entry - SOF'!O92-'Calc Data-15K'!AX30)</f>
        <v>0.16999999999999993</v>
      </c>
      <c r="AZ69" s="2454"/>
      <c r="BA69" s="2454"/>
      <c r="BB69" s="1416"/>
      <c r="BC69" s="1416" t="s">
        <v>3879</v>
      </c>
      <c r="BD69" s="1416">
        <f>IF('Data Entry - SOF'!Q92-'Calc Data-15K'!BC30&lt;=0,0,'Data Entry - SOF'!Q92-'Calc Data-15K'!BC30)</f>
        <v>0.16999999999999993</v>
      </c>
      <c r="BE69" s="1416"/>
      <c r="BF69" s="1797"/>
      <c r="BG69" s="2477"/>
      <c r="BH69" s="2477" t="s">
        <v>3879</v>
      </c>
      <c r="BI69" s="2477">
        <f>IF('Data Entry - SOF'!S92-'Calc Data-15K'!BH30&lt;=0,0,'Data Entry - SOF'!S92-'Calc Data-15K'!BH30)</f>
        <v>0.16999999999999993</v>
      </c>
      <c r="BJ69" s="2477"/>
      <c r="BK69" s="2478"/>
      <c r="BL69" s="2454"/>
      <c r="BM69" s="2454"/>
      <c r="BN69" s="2454"/>
      <c r="BO69" s="2454"/>
      <c r="BP69" s="2454"/>
      <c r="BQ69" s="2454"/>
      <c r="BR69" s="2454"/>
      <c r="BS69" s="2454"/>
      <c r="BT69" s="2454"/>
      <c r="BU69" s="2454"/>
      <c r="BV69" s="2454"/>
      <c r="BW69" s="2454"/>
      <c r="BX69" s="2454"/>
      <c r="BY69" s="2454"/>
      <c r="BZ69" s="2454"/>
    </row>
    <row r="70" spans="1:78" hidden="1">
      <c r="A70" s="94"/>
      <c r="B70" s="339">
        <f>'Data Entry - SOF'!C164</f>
        <v>0</v>
      </c>
      <c r="C70" s="2124" t="e">
        <f>#REF!</f>
        <v>#REF!</v>
      </c>
      <c r="D70" s="1147" t="e">
        <f>'SOF1718-SB1'!F41</f>
        <v>#REF!</v>
      </c>
      <c r="E70" s="674">
        <f>'SOF1819-SB1'!F41</f>
        <v>0</v>
      </c>
      <c r="F70" s="1173">
        <f>'SOF1920-HB3'!F59</f>
        <v>0</v>
      </c>
      <c r="G70" s="1199">
        <f>'SOF2021-SB1'!F41</f>
        <v>0</v>
      </c>
      <c r="H70" s="1225">
        <f>'SOF2122-SB1'!F41</f>
        <v>0</v>
      </c>
      <c r="I70" s="1344">
        <f>'SOF2223-SB1'!F41</f>
        <v>0</v>
      </c>
      <c r="J70" s="1737">
        <f>'SOF2324-SB1'!F41</f>
        <v>0</v>
      </c>
      <c r="K70" s="623"/>
      <c r="L70" s="271"/>
      <c r="M70" s="271"/>
      <c r="V70"/>
      <c r="AC70" s="2138" t="s">
        <v>3880</v>
      </c>
      <c r="AD70" s="2011">
        <f>IF(AD69&gt;0.06,0.06,AD69)</f>
        <v>0</v>
      </c>
      <c r="AG70" s="37" t="s">
        <v>3880</v>
      </c>
      <c r="AH70" t="e">
        <f>IF(AH69&gt;0.06,0.06,AH69)</f>
        <v>#REF!</v>
      </c>
      <c r="AK70" s="37" t="s">
        <v>3880</v>
      </c>
      <c r="AL70">
        <f>IF(AL69&gt;0.06,0.06,AL69)</f>
        <v>0.06</v>
      </c>
      <c r="AO70" s="1015" t="s">
        <v>3880</v>
      </c>
      <c r="AP70" s="1011">
        <f>IF(AP69&gt;0.06,0.06,AP69)</f>
        <v>0.06</v>
      </c>
      <c r="AQ70" s="1011"/>
      <c r="AS70" s="37" t="s">
        <v>3880</v>
      </c>
      <c r="AT70">
        <f>IF(AT69&gt;0.06,0.06,AT69)</f>
        <v>0.06</v>
      </c>
      <c r="AX70" s="2446" t="s">
        <v>3880</v>
      </c>
      <c r="AY70" s="1797">
        <f>IF(AY69&gt;0.06,0.06,AY69)</f>
        <v>0.06</v>
      </c>
      <c r="BC70" s="1437" t="s">
        <v>3880</v>
      </c>
      <c r="BD70" s="1416">
        <f>IF(BD69&gt;0.06,0.06,BD69)</f>
        <v>0.06</v>
      </c>
      <c r="BH70" s="2482" t="s">
        <v>3880</v>
      </c>
      <c r="BI70" s="2477">
        <f>IF(BI69&gt;0.06,0.06,BI69)</f>
        <v>0.06</v>
      </c>
    </row>
    <row r="71" spans="1:78" hidden="1">
      <c r="A71" s="94"/>
      <c r="B71" s="342"/>
      <c r="C71" s="2126" t="e">
        <f>C70-B70</f>
        <v>#REF!</v>
      </c>
      <c r="D71" s="1149" t="e">
        <f>D70-B70</f>
        <v>#REF!</v>
      </c>
      <c r="E71" s="676">
        <f>E70-B70</f>
        <v>0</v>
      </c>
      <c r="F71" s="1175">
        <f>F70-B70</f>
        <v>0</v>
      </c>
      <c r="G71" s="1201">
        <f>G70-B70</f>
        <v>0</v>
      </c>
      <c r="H71" s="1227">
        <f>H70-B70</f>
        <v>0</v>
      </c>
      <c r="I71" s="1346">
        <f>I70-B70</f>
        <v>0</v>
      </c>
      <c r="J71" s="1739">
        <f>J70-B70</f>
        <v>0</v>
      </c>
      <c r="K71" s="623"/>
      <c r="L71" s="271"/>
      <c r="M71" s="271"/>
      <c r="V71"/>
      <c r="AC71" s="2138" t="s">
        <v>3881</v>
      </c>
      <c r="AD71" s="2167" t="e">
        <f>AD70*100*AC35</f>
        <v>#REF!</v>
      </c>
      <c r="AG71" s="37" t="s">
        <v>3881</v>
      </c>
      <c r="AH71" s="91" t="e">
        <f>AH70*100*AG35</f>
        <v>#REF!</v>
      </c>
      <c r="AK71" s="37" t="s">
        <v>3881</v>
      </c>
      <c r="AL71" s="91">
        <f>AL70*100*AK35</f>
        <v>0</v>
      </c>
      <c r="AM71" s="91"/>
      <c r="AO71" s="1015" t="s">
        <v>3881</v>
      </c>
      <c r="AP71" s="1016">
        <f>AP70*100*AO35</f>
        <v>0</v>
      </c>
      <c r="AQ71" s="1011"/>
      <c r="AS71" s="37" t="s">
        <v>3881</v>
      </c>
      <c r="AT71" s="91">
        <f>AT70*100*AS35</f>
        <v>0</v>
      </c>
      <c r="AX71" s="2446" t="s">
        <v>3881</v>
      </c>
      <c r="AY71" s="2457">
        <f>AY70*100*AX35</f>
        <v>0</v>
      </c>
      <c r="BC71" s="1437" t="s">
        <v>3881</v>
      </c>
      <c r="BD71" s="1416">
        <f>BD70*100*BC35</f>
        <v>0</v>
      </c>
      <c r="BH71" s="2482" t="s">
        <v>3881</v>
      </c>
      <c r="BI71" s="2477">
        <f>BI70*100*BH35</f>
        <v>0</v>
      </c>
    </row>
    <row r="72" spans="1:78">
      <c r="A72" s="94"/>
      <c r="B72" s="35" t="s">
        <v>6164</v>
      </c>
      <c r="C72" s="2127" t="s">
        <v>6159</v>
      </c>
      <c r="D72" s="1150" t="s">
        <v>6160</v>
      </c>
      <c r="E72" s="778" t="s">
        <v>6161</v>
      </c>
      <c r="F72" s="1176" t="s">
        <v>6162</v>
      </c>
      <c r="G72" s="1202" t="s">
        <v>6163</v>
      </c>
      <c r="H72" s="1228" t="s">
        <v>6922</v>
      </c>
      <c r="I72" s="1347" t="s">
        <v>6978</v>
      </c>
      <c r="J72" s="1740" t="s">
        <v>8160</v>
      </c>
      <c r="K72" s="623"/>
      <c r="L72" s="271"/>
      <c r="M72" s="271"/>
      <c r="V72"/>
      <c r="AC72" s="2136"/>
      <c r="AD72" s="2135"/>
      <c r="AG72" s="54"/>
      <c r="AH72" s="995"/>
      <c r="AK72" s="54"/>
      <c r="AL72" s="995"/>
      <c r="AO72" s="1017"/>
      <c r="AP72" s="1010"/>
      <c r="AQ72" s="1011"/>
      <c r="AS72" s="54"/>
      <c r="AT72" s="995"/>
      <c r="AX72" s="2444"/>
      <c r="AY72" s="2443"/>
      <c r="BC72" s="2444"/>
      <c r="BD72" s="2479"/>
      <c r="BH72" s="2481"/>
      <c r="BI72" s="2480"/>
    </row>
    <row r="73" spans="1:78">
      <c r="A73" s="94"/>
      <c r="B73" t="s">
        <v>6174</v>
      </c>
      <c r="C73" s="2128">
        <f>MIN('Data Entry - SOF'!C172,'Data Entry - SOF'!C92)</f>
        <v>0</v>
      </c>
      <c r="D73" s="1151" t="e">
        <f>MIN('Data Entry - SOF'!E172,'Data Entry - SOF'!#REF!)</f>
        <v>#REF!</v>
      </c>
      <c r="E73" s="1032">
        <f>MIN('Data Entry - SOF'!E172,'Data Entry - SOF'!E92)</f>
        <v>0</v>
      </c>
      <c r="F73" s="1177">
        <f>MIN('Data Entry - SOF'!E172,'Data Entry - SOF'!K92)</f>
        <v>0</v>
      </c>
      <c r="G73" s="1203">
        <f>MIN('Data Entry - SOF'!E172,'Data Entry - SOF'!M92)</f>
        <v>0</v>
      </c>
      <c r="H73" s="1229">
        <f>MIN('Data Entry - SOF'!E172,'Data Entry - SOF'!O92)</f>
        <v>0</v>
      </c>
      <c r="I73" s="1348">
        <f>MIN('Data Entry - SOF'!E172,'Data Entry - SOF'!Q92)</f>
        <v>0</v>
      </c>
      <c r="J73" s="1741">
        <f>MIN('Data Entry - SOF'!E172,'Data Entry - SOF'!S92)</f>
        <v>0</v>
      </c>
      <c r="K73" s="623"/>
      <c r="L73" s="271"/>
      <c r="M73" s="271"/>
      <c r="V73"/>
      <c r="AB73" s="2172" t="s">
        <v>4023</v>
      </c>
      <c r="AC73" s="2136" t="s">
        <v>3138</v>
      </c>
      <c r="AD73" s="2173"/>
      <c r="AF73" s="72" t="s">
        <v>4023</v>
      </c>
      <c r="AG73" s="54" t="s">
        <v>3144</v>
      </c>
      <c r="AH73" s="995"/>
      <c r="AJ73" s="72" t="s">
        <v>4023</v>
      </c>
      <c r="AK73" s="54" t="s">
        <v>3225</v>
      </c>
      <c r="AL73" s="995"/>
      <c r="AM73" s="996"/>
      <c r="AN73" s="72" t="s">
        <v>4023</v>
      </c>
      <c r="AO73" s="54" t="s">
        <v>3284</v>
      </c>
      <c r="AP73" s="1010"/>
      <c r="AQ73" s="1011"/>
      <c r="AR73" s="72" t="s">
        <v>4023</v>
      </c>
      <c r="AS73" s="54" t="s">
        <v>3922</v>
      </c>
      <c r="AT73" s="995"/>
      <c r="AW73" s="1437" t="s">
        <v>4023</v>
      </c>
      <c r="AX73" s="2444" t="s">
        <v>6374</v>
      </c>
      <c r="AY73" s="2443"/>
      <c r="BB73" s="1437" t="s">
        <v>4023</v>
      </c>
      <c r="BC73" s="2444" t="s">
        <v>6939</v>
      </c>
      <c r="BD73" s="2479"/>
      <c r="BG73" s="1437" t="s">
        <v>4023</v>
      </c>
      <c r="BH73" s="2444" t="s">
        <v>8157</v>
      </c>
      <c r="BI73" s="2480"/>
    </row>
    <row r="74" spans="1:78">
      <c r="A74" s="94"/>
      <c r="B74" t="s">
        <v>6176</v>
      </c>
      <c r="C74" s="2118" t="e">
        <f>#REF!</f>
        <v>#REF!</v>
      </c>
      <c r="D74" s="1141" t="e">
        <f>'HH1718-Calcs'!D11</f>
        <v>#REF!</v>
      </c>
      <c r="E74" s="521" t="e">
        <f>'HH1819-Calcs'!D11</f>
        <v>#DIV/0!</v>
      </c>
      <c r="F74" s="1167" t="e">
        <f>'HH1920-Calcs'!D11</f>
        <v>#DIV/0!</v>
      </c>
      <c r="G74" s="1193" t="e">
        <f>'HH2021-Calcs'!D11</f>
        <v>#DIV/0!</v>
      </c>
      <c r="H74" s="1219" t="e">
        <f>'HH2122-Calcs'!D11</f>
        <v>#DIV/0!</v>
      </c>
      <c r="I74" s="1349" t="e">
        <f>'HH2223-Calcs'!D11</f>
        <v>#DIV/0!</v>
      </c>
      <c r="J74" s="1742" t="e">
        <f>'HH2324-Calcs'!D11</f>
        <v>#DIV/0!</v>
      </c>
      <c r="K74" s="623"/>
      <c r="L74" s="271"/>
      <c r="M74" s="271"/>
      <c r="V74"/>
      <c r="AB74" s="2172" t="s">
        <v>6169</v>
      </c>
      <c r="AC74" s="2174">
        <f>IF('Data Entry - SOF'!C161&gt;=1.5,Assumptions!G88,IF(AC79&gt;=AC80,Assumptions!G88,Assumptions!G88*(('Data Entry - SOF'!C154+(AC79/100))/1)))</f>
        <v>0</v>
      </c>
      <c r="AD74" s="2173"/>
      <c r="AG74" s="2410" t="e">
        <f>IF('Data Entry - SOF'!C161&gt;=1.5,Assumptions!G99,IF(AG79&gt;=AG80,Assumptions!G99,Assumptions!G99*(('Data Entry - SOF'!#REF!+(AG79/100))/1)))</f>
        <v>#REF!</v>
      </c>
      <c r="AH74" s="995"/>
      <c r="AK74" s="2421">
        <f>IF('Data Entry - SOF'!C161&gt;=1.5,Assumptions!G108,IF(AK79&gt;=AK80,Assumptions!G108,Assumptions!G108*(('Data Entry - SOF'!E154+(AK79/100))/1)))</f>
        <v>0</v>
      </c>
      <c r="AL74" s="995"/>
      <c r="AM74" s="997"/>
      <c r="AO74" s="2410">
        <f>IF('Data Entry - SOF'!C161&gt;=1.5,Assumptions!G117,IF(AO79&gt;=AO80,Assumptions!G117,Assumptions!G117*(('Data Entry - SOF'!K154+(AO79/100))/1)))</f>
        <v>0</v>
      </c>
      <c r="AP74" s="1010"/>
      <c r="AQ74" s="1011"/>
      <c r="AS74" s="2410">
        <f>IF('Data Entry - SOF'!C161&gt;=1.5,Assumptions!G126,IF(AS79&gt;=AS80,Assumptions!G126,Assumptions!G126*(('Data Entry - SOF'!M154+(AS79/100))/1)))</f>
        <v>0</v>
      </c>
      <c r="AT74" s="1000"/>
      <c r="AU74" s="1001"/>
      <c r="AX74" s="2465">
        <f>IF('Data Entry - SOF'!C161&gt;=1.5,Assumptions!G135,IF(AX79&gt;=AX80,Assumptions!G135,Assumptions!G135*(('Data Entry - SOF'!O154+(AX79/100))/1)))</f>
        <v>0</v>
      </c>
      <c r="AY74" s="2458"/>
      <c r="AZ74" s="2459"/>
      <c r="BC74" s="2484">
        <f>IF('Data Entry - SOF'!C161&gt;=1.5,Assumptions!G144,IF(BC79&gt;=BC80,Assumptions!G144,Assumptions!G144*(('Data Entry - SOF'!Q154+(BC79/100))/1)))</f>
        <v>0</v>
      </c>
      <c r="BH74" s="2484">
        <f>IF('Data Entry - SOF'!C161&gt;=1.5,Assumptions!G144,IF(BH79&gt;=BH80,Assumptions!G144,Assumptions!G144*(('Data Entry - SOF'!S154+(BH79/100))/1)))</f>
        <v>0</v>
      </c>
    </row>
    <row r="75" spans="1:78">
      <c r="A75" s="94"/>
      <c r="B75" t="s">
        <v>6171</v>
      </c>
      <c r="C75" s="2118" t="e">
        <f t="shared" ref="C75:H75" si="8">C74/(C73*100)</f>
        <v>#REF!</v>
      </c>
      <c r="D75" s="1152" t="e">
        <f t="shared" si="8"/>
        <v>#REF!</v>
      </c>
      <c r="E75" s="984" t="e">
        <f t="shared" si="8"/>
        <v>#DIV/0!</v>
      </c>
      <c r="F75" s="1178" t="e">
        <f t="shared" si="8"/>
        <v>#DIV/0!</v>
      </c>
      <c r="G75" s="1204" t="e">
        <f t="shared" si="8"/>
        <v>#DIV/0!</v>
      </c>
      <c r="H75" s="1230" t="e">
        <f t="shared" si="8"/>
        <v>#DIV/0!</v>
      </c>
      <c r="I75" s="1350" t="e">
        <f>I74/(I73*100)</f>
        <v>#DIV/0!</v>
      </c>
      <c r="J75" s="1743" t="e">
        <f>J74/(J73*100)</f>
        <v>#DIV/0!</v>
      </c>
      <c r="K75" s="623"/>
      <c r="L75" s="271"/>
      <c r="M75" s="271"/>
      <c r="V75"/>
      <c r="AB75" s="2138" t="s">
        <v>3852</v>
      </c>
      <c r="AC75" s="2175">
        <f>ROUND(AC74*(((C59-1)*Weights!H44)+1),0)</f>
        <v>0</v>
      </c>
      <c r="AD75" s="2173"/>
      <c r="AF75" s="37" t="s">
        <v>3852</v>
      </c>
      <c r="AG75" s="2433" t="e">
        <f>ROUND(AG74*(((D59-1)*Weights!I44)+1),0)</f>
        <v>#REF!</v>
      </c>
      <c r="AH75" s="995"/>
      <c r="AJ75" s="37" t="s">
        <v>3852</v>
      </c>
      <c r="AK75" s="2422">
        <f>ROUND(AK74*(((E59-1)*Weights!J44)+1),0)</f>
        <v>0</v>
      </c>
      <c r="AL75" s="995"/>
      <c r="AM75" s="819"/>
      <c r="AN75" s="37" t="s">
        <v>3852</v>
      </c>
      <c r="AO75" s="2411">
        <f>ROUND(AO74*(((F59-1)*Weights!K44)+1),0)</f>
        <v>0</v>
      </c>
      <c r="AP75" s="1010"/>
      <c r="AQ75" s="1011"/>
      <c r="AR75" s="37" t="s">
        <v>3852</v>
      </c>
      <c r="AS75" s="2800">
        <f>ROUND(AS74*(((G59-1)*Weights!L44)+1),0)</f>
        <v>0</v>
      </c>
      <c r="AT75" s="1000"/>
      <c r="AU75" s="1001"/>
      <c r="AW75" s="2446" t="s">
        <v>3852</v>
      </c>
      <c r="AX75" s="2467">
        <f>ROUND(AX74*(((H59-1)*Weights!M44)+1),0)</f>
        <v>0</v>
      </c>
      <c r="AY75" s="2458"/>
      <c r="AZ75" s="2459"/>
      <c r="BB75" s="1437" t="s">
        <v>3852</v>
      </c>
      <c r="BC75" s="1439">
        <f>ROUND(BC74*(((I59-1)*Weights!N44)+1),0)</f>
        <v>0</v>
      </c>
      <c r="BG75" s="1437" t="s">
        <v>3852</v>
      </c>
      <c r="BH75" s="1509">
        <f>ROUND(BH74*(((J59-1)*Weights!O44)+1),0)</f>
        <v>0</v>
      </c>
    </row>
    <row r="76" spans="1:78">
      <c r="A76" s="94"/>
      <c r="B76" t="s">
        <v>639</v>
      </c>
      <c r="C76" s="2118" t="e">
        <f>C75*IF(C73&lt;'Data Entry - SOF'!C154,(C73*100),('Data Entry - SOF'!C154*100))</f>
        <v>#REF!</v>
      </c>
      <c r="D76" s="1152" t="e">
        <f>D75*IF(D73&lt;'Data Entry - SOF'!#REF!,(D73*100),('Data Entry - SOF'!#REF!*100))</f>
        <v>#REF!</v>
      </c>
      <c r="E76" s="984" t="e">
        <f>E75*IF(E73&lt;'Data Entry - SOF'!E154,(E73*100),('Data Entry - SOF'!E154*100))</f>
        <v>#DIV/0!</v>
      </c>
      <c r="F76" s="1178" t="e">
        <f>F75*IF(F73&lt;'Data Entry - SOF'!K154,(F73*100),('Data Entry - SOF'!K154*100))</f>
        <v>#DIV/0!</v>
      </c>
      <c r="G76" s="1204" t="e">
        <f>G75*IF(G73&lt;'Data Entry - SOF'!M154,(G73*100),('Data Entry - SOF'!M154*100))</f>
        <v>#DIV/0!</v>
      </c>
      <c r="H76" s="1230" t="e">
        <f>H75*IF(H73&lt;'Data Entry - SOF'!O154,(H73*100),('Data Entry - SOF'!O154*100))</f>
        <v>#DIV/0!</v>
      </c>
      <c r="I76" s="1350" t="e">
        <f>I75*IF(I73&lt;'Data Entry - SOF'!Q154,(I73*100),('Data Entry - SOF'!Q154*100))</f>
        <v>#DIV/0!</v>
      </c>
      <c r="J76" s="1743" t="e">
        <f>J75*IF(J73&lt;'Data Entry - SOF'!S154,(J73*100),('Data Entry - SOF'!S154*100))</f>
        <v>#DIV/0!</v>
      </c>
      <c r="K76" s="623"/>
      <c r="L76" s="271"/>
      <c r="M76" s="271"/>
      <c r="V76"/>
      <c r="AB76" s="2138" t="s">
        <v>2859</v>
      </c>
      <c r="AC76" s="2175">
        <f>ROUND(IF(C10&gt;1600,AC75,(1+(1600-IF(C10&gt;C11,C10,C11))*C18)*AC75),0)</f>
        <v>0</v>
      </c>
      <c r="AD76" s="2173"/>
      <c r="AF76" s="37" t="s">
        <v>2859</v>
      </c>
      <c r="AG76" s="2433" t="e">
        <f>ROUND(IF(D10&gt;1600,AG75,(1+(1600-IF(D10&gt;D11,D10,D11))*D18)*AG75),0)</f>
        <v>#REF!</v>
      </c>
      <c r="AH76" s="995"/>
      <c r="AJ76" s="37" t="s">
        <v>2859</v>
      </c>
      <c r="AK76" s="2422">
        <f>ROUND(IF(E10&gt;1600,AK75,(1+(1600-IF(E10&gt;E11,E10,E11))*E18)*AK75),0)</f>
        <v>0</v>
      </c>
      <c r="AL76" s="995"/>
      <c r="AM76" s="819"/>
      <c r="AN76" s="37" t="s">
        <v>2859</v>
      </c>
      <c r="AO76" s="2411">
        <f>ROUND(IF(F10&gt;1600,AO75,(1+(1600-IF(F10&gt;F11,F10,F11))*F18)*AO75),0)</f>
        <v>0</v>
      </c>
      <c r="AP76" s="1010"/>
      <c r="AQ76" s="1011"/>
      <c r="AR76" s="37" t="s">
        <v>2859</v>
      </c>
      <c r="AS76" s="2800">
        <f>ROUND(IF(G10&gt;1600,AS75,(1+(1600-IF(G10&gt;G11,G10,G11))*G18)*AS75),0)</f>
        <v>0</v>
      </c>
      <c r="AT76" s="1000"/>
      <c r="AU76" s="1001"/>
      <c r="AW76" s="2446" t="s">
        <v>2859</v>
      </c>
      <c r="AX76" s="2467">
        <f>ROUND(IF(H10&gt;1600,AX75,(1+(1600-IF(H10&gt;H11,H10,H11))*H18)*AX75),0)</f>
        <v>0</v>
      </c>
      <c r="AY76" s="2458"/>
      <c r="AZ76" s="2459"/>
      <c r="BB76" s="1437" t="s">
        <v>2859</v>
      </c>
      <c r="BC76" s="1439">
        <f>ROUND(IF(I10&gt;1600,BC75,(1+(1600-IF(I10&gt;I11,I10,I11))*I18)*BC75),0)</f>
        <v>0</v>
      </c>
      <c r="BG76" s="1437" t="s">
        <v>2859</v>
      </c>
      <c r="BH76" s="1509">
        <f>ROUND(IF(J10&gt;1600,BH75,(1+(1600-IF(J10&gt;J11,J10,J11))*J18)*BH75),0)</f>
        <v>0</v>
      </c>
    </row>
    <row r="77" spans="1:78" hidden="1">
      <c r="A77" s="94"/>
      <c r="B77" s="982" t="s">
        <v>6157</v>
      </c>
      <c r="C77" s="2118" t="e">
        <f>(#REF!-'IFA-OldLaw'!J79-'Data Entry - SOF'!C99)/(C73*100)</f>
        <v>#REF!</v>
      </c>
      <c r="D77" s="1153" t="e">
        <f>('HH1718-Calcs'!D11-'IFA-OldLaw'!#REF!-'Data Entry - SOF'!#REF!)/(D73*100)</f>
        <v>#REF!</v>
      </c>
      <c r="E77" s="983" t="e">
        <f>('HH1819-Calcs'!D11-'IFA-OldLaw'!#REF!-'Data Entry - SOF'!E99)/(E73*100)</f>
        <v>#DIV/0!</v>
      </c>
      <c r="F77" s="1179" t="e">
        <f>('HH1920-Calcs'!D11-'IFA-OldLaw'!#REF!-'Data Entry - SOF'!K99)/(F73*100)</f>
        <v>#DIV/0!</v>
      </c>
      <c r="G77" s="2406" t="e">
        <f>('HH2021-Calcs'!D11-'IFA-OldLaw'!#REF!-'Data Entry - SOF'!M99)/(G73*100)</f>
        <v>#DIV/0!</v>
      </c>
      <c r="H77" s="2407" t="e">
        <f>('HH2122-Calcs'!D11-'IFA-OldLaw'!#REF!-'Data Entry - SOF'!O99)/(H73*100)</f>
        <v>#DIV/0!</v>
      </c>
      <c r="I77" s="2408" t="e">
        <f>('HH2223-Calcs'!D11-'IFA-OldLaw'!#REF!-'Data Entry - SOF'!Q99)/(I73*100)</f>
        <v>#DIV/0!</v>
      </c>
      <c r="J77" s="2409" t="e">
        <f>('HH2324-Calcs'!D11-'IFA-OldLaw'!#REF!-'Data Entry - SOF'!S99)/(J73*100)</f>
        <v>#DIV/0!</v>
      </c>
      <c r="K77" s="370"/>
      <c r="L77" s="271"/>
      <c r="M77" s="271"/>
      <c r="V77"/>
      <c r="AB77" s="2138" t="s">
        <v>2860</v>
      </c>
      <c r="AC77" s="2175">
        <f>ROUND(IF(OR(C10&gt;4999.999,'Data Entry - SOF'!C156&lt;12),0,(1+((5000-C10)*Weights!H42))*AC75),0)</f>
        <v>0</v>
      </c>
      <c r="AD77" s="2173"/>
      <c r="AF77" s="37" t="s">
        <v>2860</v>
      </c>
      <c r="AG77" s="2433" t="e">
        <f>ROUND(IF(OR(D10&gt;4999.999,'Data Entry - SOF'!#REF!&lt;12),0,(1+((5000-D10)*Weights!I42))*AG75),0)</f>
        <v>#REF!</v>
      </c>
      <c r="AH77" s="995"/>
      <c r="AJ77" s="37" t="s">
        <v>2860</v>
      </c>
      <c r="AK77" s="2422">
        <f>ROUND(IF(OR(E10&gt;4999.999,'Data Entry - SOF'!E156&lt;12),0,(1+((5000-E10)*Weights!J42))*AK75),0)</f>
        <v>0</v>
      </c>
      <c r="AL77" s="995"/>
      <c r="AM77" s="819"/>
      <c r="AN77" s="37" t="s">
        <v>2860</v>
      </c>
      <c r="AO77" s="2411">
        <f>ROUND(IF(OR(F10&gt;4999.999,'Data Entry - SOF'!K156&lt;12),0,(1+((5000-F10)*Weights!K42))*AO75),0)</f>
        <v>0</v>
      </c>
      <c r="AP77" s="1010"/>
      <c r="AQ77" s="1011"/>
      <c r="AR77" s="37" t="s">
        <v>2860</v>
      </c>
      <c r="AS77" s="2800">
        <f>ROUND(IF(OR(G10&gt;4999.999,'Data Entry - SOF'!M156&lt;12),0,(1+((5000-G10)*Weights!L42))*AS75),0)</f>
        <v>0</v>
      </c>
      <c r="AT77" s="1000"/>
      <c r="AU77" s="1001"/>
      <c r="AW77" s="2446" t="s">
        <v>2860</v>
      </c>
      <c r="AX77" s="2467">
        <f>ROUND(IF(OR(H10&gt;4999.999,'Data Entry - SOF'!O156&lt;12),0,(1+((5000-H10)*Weights!M42))*AX75),0)</f>
        <v>0</v>
      </c>
      <c r="AY77" s="2458"/>
      <c r="AZ77" s="2459"/>
      <c r="BB77" s="1437" t="s">
        <v>2860</v>
      </c>
      <c r="BC77" s="1439">
        <f>ROUND(IF(OR(I10&gt;4999.999,'Data Entry - SOF'!Q156&lt;12),0,(1+((5000-I10)*Weights!N42))*BC75),0)</f>
        <v>0</v>
      </c>
      <c r="BG77" s="1437" t="s">
        <v>2860</v>
      </c>
      <c r="BH77" s="1509">
        <f>ROUND(IF(OR(J10&gt;4999.999,'Data Entry - SOF'!S156&lt;12),0,(1+((5000-J10)*Weights!O42))*BH75),0)</f>
        <v>0</v>
      </c>
    </row>
    <row r="78" spans="1:78" hidden="1">
      <c r="A78" s="94"/>
      <c r="B78" s="982" t="s">
        <v>6158</v>
      </c>
      <c r="C78" s="2118" t="e">
        <f>C77*IF(C73&lt;'Data Entry - SOF'!C154,(C73*100),('Data Entry - SOF'!C154*100))</f>
        <v>#REF!</v>
      </c>
      <c r="D78" s="1153" t="e">
        <f>D77*IF(D73&lt;'Data Entry - SOF'!#REF!,(D73*100),('Data Entry - SOF'!#REF!*100))</f>
        <v>#REF!</v>
      </c>
      <c r="E78" s="983" t="e">
        <f>E77*IF(E73&lt;'Data Entry - SOF'!E154,(E73*100),('Data Entry - SOF'!E154*100))</f>
        <v>#DIV/0!</v>
      </c>
      <c r="F78" s="1179" t="e">
        <f>F77*IF(F73&lt;'Data Entry - SOF'!K154,(F73*100),('Data Entry - SOF'!K154*100))</f>
        <v>#DIV/0!</v>
      </c>
      <c r="G78" s="1205" t="e">
        <f>G77*IF(G73&lt;'Data Entry - SOF'!M154,(G73*100),('Data Entry - SOF'!M154*100))</f>
        <v>#DIV/0!</v>
      </c>
      <c r="H78" s="1231" t="e">
        <f>H77*IF(H73&lt;'Data Entry - SOF'!O154,(H73*100),('Data Entry - SOF'!O154*100))</f>
        <v>#DIV/0!</v>
      </c>
      <c r="I78" s="1351" t="e">
        <f>I77*IF(I73&lt;'Data Entry - SOF'!Q154,(I73*100),('Data Entry - SOF'!Q154*100))</f>
        <v>#DIV/0!</v>
      </c>
      <c r="J78" s="1744" t="e">
        <f>J77*IF(J73&lt;'Data Entry - SOF'!S154,(J73*100),('Data Entry - SOF'!S154*100))</f>
        <v>#DIV/0!</v>
      </c>
      <c r="K78" s="623"/>
      <c r="L78" s="271"/>
      <c r="M78" s="271"/>
      <c r="V78"/>
      <c r="AB78" s="2138" t="s">
        <v>3841</v>
      </c>
      <c r="AC78" s="2175">
        <f>IF(AND(AC77&gt;=AC76,AC77&gt;=AC75),AC77,IF(AND(AC76&gt;=AC75,AC76&gt;=AC77),AC76,AC75))</f>
        <v>0</v>
      </c>
      <c r="AD78" s="2173"/>
      <c r="AF78" s="37" t="s">
        <v>3841</v>
      </c>
      <c r="AG78" s="2433" t="e">
        <f>IF(AND(AG77&gt;=AG76,AG77&gt;=AG75),AG77,IF(AND(AG76&gt;=AG75,AG76&gt;=AG77),AG76,AG75))</f>
        <v>#REF!</v>
      </c>
      <c r="AH78" s="995"/>
      <c r="AJ78" s="37" t="s">
        <v>3841</v>
      </c>
      <c r="AK78" s="2422">
        <f>IF(AND(AK77&gt;=AK76,AK77&gt;=AK75),AK77,IF(AND(AK76&gt;=AK75,AK76&gt;=AK77),AK76,AK75))</f>
        <v>0</v>
      </c>
      <c r="AL78" s="995"/>
      <c r="AM78" s="819"/>
      <c r="AN78" s="37" t="s">
        <v>3841</v>
      </c>
      <c r="AO78" s="2411">
        <f>IF(AND(AO77&gt;=AO76,AO77&gt;=AO75),AO77,IF(AND(AO76&gt;=AO75,AO76&gt;=AO77),AO76,AO75))</f>
        <v>0</v>
      </c>
      <c r="AP78" s="1010"/>
      <c r="AQ78" s="1011"/>
      <c r="AR78" s="37" t="s">
        <v>3841</v>
      </c>
      <c r="AS78" s="2800">
        <f>IF(AND(AS77&gt;=AS76,AS77&gt;=AS75),AS77,IF(AND(AS76&gt;=AS75,AS76&gt;=AS77),AS76,AS75))</f>
        <v>0</v>
      </c>
      <c r="AT78" s="1000"/>
      <c r="AU78" s="1001"/>
      <c r="AW78" s="2446" t="s">
        <v>3841</v>
      </c>
      <c r="AX78" s="2467">
        <f>IF(AND(AX77&gt;=AX76,AX77&gt;=AX75),AX77,IF(AND(AX76&gt;=AX75,AX76&gt;=AX77),AX76,AX75))</f>
        <v>0</v>
      </c>
      <c r="AY78" s="2458"/>
      <c r="AZ78" s="2459"/>
      <c r="BB78" s="1437" t="s">
        <v>3841</v>
      </c>
      <c r="BC78" s="1439">
        <f>IF(AND(BC77&gt;=BC76,BC77&gt;=BC75),BC77,IF(AND(BC76&gt;=BC75,BC76&gt;=BC77),BC76,BC75))</f>
        <v>0</v>
      </c>
      <c r="BG78" s="1437" t="s">
        <v>3841</v>
      </c>
      <c r="BH78" s="1509">
        <f>IF(AND(BH77&gt;=BH76,BH77&gt;=BH75),BH77,IF(AND(BH76&gt;=BH75,BH76&gt;=BH77),BH76,BH75))</f>
        <v>0</v>
      </c>
    </row>
    <row r="79" spans="1:78">
      <c r="A79" s="94"/>
      <c r="B79" t="s">
        <v>1792</v>
      </c>
      <c r="C79" s="2129">
        <f>IF(C73&lt;='Data Entry - SOF'!C154,0,IF(C73&gt;'Data Entry - SOF'!C154+0.06,0.06*100,(C73-'Data Entry - SOF'!C154)*100))</f>
        <v>0</v>
      </c>
      <c r="D79" s="1154" t="e">
        <f>IF(D73&lt;='Data Entry - SOF'!#REF!,0,IF(D73&gt;'Data Entry - SOF'!#REF!+0.06,0.06*100,(D73-'Data Entry - SOF'!#REF!)*100))</f>
        <v>#REF!</v>
      </c>
      <c r="E79" s="522">
        <f>IF(E73&lt;='Data Entry - SOF'!E154,0,IF(E73&gt;'Data Entry - SOF'!E154+0.06,0.06*100,(E73-'Data Entry - SOF'!E154)*100))</f>
        <v>0</v>
      </c>
      <c r="F79" s="1180">
        <f>IF(F73&lt;='Data Entry - SOF'!K154,0,IF(F73&gt;'Data Entry - SOF'!K154+0.06,0.06*100,(F73-'Data Entry - SOF'!K154)*100))</f>
        <v>0</v>
      </c>
      <c r="G79" s="1206">
        <f>IF(G73&lt;='Data Entry - SOF'!M154,0,IF(G73&gt;'Data Entry - SOF'!M154+0.06,0.06*100,(G73-'Data Entry - SOF'!M154)*100))</f>
        <v>0</v>
      </c>
      <c r="H79" s="1232">
        <f>IF(H73&lt;='Data Entry - SOF'!O154,0,IF(H73&gt;'Data Entry - SOF'!O154+0.06,0.06*100,(H73-'Data Entry - SOF'!O154)*100))</f>
        <v>0</v>
      </c>
      <c r="I79" s="1352">
        <f>IF(I73&lt;='Data Entry - SOF'!Q154,0,IF(I73&gt;'Data Entry - SOF'!Q154+0.06,0.06*100,(I73-'Data Entry - SOF'!Q154)*100))</f>
        <v>0</v>
      </c>
      <c r="J79" s="1745">
        <f>IF(J73&lt;='Data Entry - SOF'!S154,0,IF(J73&gt;'Data Entry - SOF'!S154+0.06,0.06*100,(J73-'Data Entry - SOF'!S154)*100))</f>
        <v>0</v>
      </c>
      <c r="K79" s="623"/>
      <c r="L79" s="271"/>
      <c r="M79" s="271"/>
      <c r="Q79" s="119"/>
      <c r="R79" s="119"/>
      <c r="S79" s="119"/>
      <c r="V79"/>
      <c r="AB79" s="2138" t="s">
        <v>3817</v>
      </c>
      <c r="AC79" s="2141">
        <f>IF(AC81-'Data Entry - SOF'!C154&gt;0.06,(AC81-('Data Entry - SOF'!C154+0.06))*100,0)</f>
        <v>0</v>
      </c>
      <c r="AD79" s="2173"/>
      <c r="AF79" s="37" t="s">
        <v>3817</v>
      </c>
      <c r="AG79" s="2436" t="e">
        <f>IF(AG81-'Data Entry - SOF'!#REF!&gt;0.06,(AG81-('Data Entry - SOF'!#REF!+0.06))*100,0)</f>
        <v>#REF!</v>
      </c>
      <c r="AH79" s="995"/>
      <c r="AJ79" s="37" t="s">
        <v>3817</v>
      </c>
      <c r="AK79" s="2423">
        <f>IF(AK81-'Data Entry - SOF'!E154&gt;0.06,(AK81-('Data Entry - SOF'!E154+0.06))*100,0)</f>
        <v>0</v>
      </c>
      <c r="AL79" s="995"/>
      <c r="AM79" s="998"/>
      <c r="AN79" s="37" t="s">
        <v>3817</v>
      </c>
      <c r="AO79" s="2796">
        <f>IF(AO81-'Data Entry - SOF'!K154&gt;0.06,(AO81-('Data Entry - SOF'!K154+0.06))*100,0)</f>
        <v>0</v>
      </c>
      <c r="AP79" s="1010"/>
      <c r="AQ79" s="1011"/>
      <c r="AR79" s="37" t="s">
        <v>3817</v>
      </c>
      <c r="AS79" s="2801">
        <f>IF(AS81-'Data Entry - SOF'!M154&gt;0.06,(AS81-('Data Entry - SOF'!M154+0.06))*100,0)</f>
        <v>0</v>
      </c>
      <c r="AT79" s="1000"/>
      <c r="AU79" s="1001"/>
      <c r="AW79" s="2446" t="s">
        <v>3817</v>
      </c>
      <c r="AX79" s="2468">
        <f>IF(AX81-'Data Entry - SOF'!O154&gt;0.06,(AX81-('Data Entry - SOF'!O154+0.06))*100,0)</f>
        <v>0</v>
      </c>
      <c r="AY79" s="2458"/>
      <c r="AZ79" s="2459"/>
      <c r="BB79" s="1437" t="s">
        <v>3817</v>
      </c>
      <c r="BC79" s="1441">
        <f>IF(BC81-'Data Entry - SOF'!Q154&gt;0.06,(BC81-('Data Entry - SOF'!Q154+0.06))*100,0)</f>
        <v>0</v>
      </c>
      <c r="BG79" s="1437" t="s">
        <v>3817</v>
      </c>
      <c r="BH79" s="1501">
        <f>IF(BH81-'Data Entry - SOF'!S154&gt;0.06,(BH81-('Data Entry - SOF'!S154+0.06))*100,0)</f>
        <v>0</v>
      </c>
    </row>
    <row r="80" spans="1:78">
      <c r="A80" s="94"/>
      <c r="B80" t="s">
        <v>1793</v>
      </c>
      <c r="C80" s="2118" t="e">
        <f t="shared" ref="C80:H80" si="9">C79*C75</f>
        <v>#REF!</v>
      </c>
      <c r="D80" s="1141" t="e">
        <f t="shared" si="9"/>
        <v>#REF!</v>
      </c>
      <c r="E80" s="521" t="e">
        <f t="shared" si="9"/>
        <v>#DIV/0!</v>
      </c>
      <c r="F80" s="1167" t="e">
        <f t="shared" si="9"/>
        <v>#DIV/0!</v>
      </c>
      <c r="G80" s="1193" t="e">
        <f t="shared" si="9"/>
        <v>#DIV/0!</v>
      </c>
      <c r="H80" s="1219" t="e">
        <f t="shared" si="9"/>
        <v>#DIV/0!</v>
      </c>
      <c r="I80" s="1349" t="e">
        <f>I79*I75</f>
        <v>#DIV/0!</v>
      </c>
      <c r="J80" s="1742" t="e">
        <f>J79*J75</f>
        <v>#DIV/0!</v>
      </c>
      <c r="K80" s="623"/>
      <c r="L80" s="271"/>
      <c r="M80" s="271"/>
      <c r="Q80" s="119"/>
      <c r="R80" s="119"/>
      <c r="V80"/>
      <c r="AB80" s="2138" t="s">
        <v>3816</v>
      </c>
      <c r="AC80" s="2176">
        <f>ROUNDDOWN(IF('Data Entry - SOF'!C154&gt;=1,0,(1 -'Data Entry - SOF'!C154)*100),4)</f>
        <v>100</v>
      </c>
      <c r="AD80" s="2173"/>
      <c r="AF80" s="37" t="s">
        <v>3816</v>
      </c>
      <c r="AG80" s="2434" t="e">
        <f>ROUNDDOWN(IF('Data Entry - SOF'!#REF!&gt;=1,0,(1 -'Data Entry - SOF'!#REF!)*100),4)</f>
        <v>#REF!</v>
      </c>
      <c r="AH80" s="995"/>
      <c r="AJ80" s="37" t="s">
        <v>3816</v>
      </c>
      <c r="AK80" s="2424">
        <f>ROUNDDOWN(IF('Data Entry - SOF'!E154&gt;=1,0,(1 -'Data Entry - SOF'!E154)*100),4)</f>
        <v>100</v>
      </c>
      <c r="AL80" s="995"/>
      <c r="AM80" s="999"/>
      <c r="AN80" s="37" t="s">
        <v>3816</v>
      </c>
      <c r="AO80" s="2412">
        <f>ROUNDDOWN(IF('Data Entry - SOF'!K154&gt;=1,0,(1 -'Data Entry - SOF'!K154)*100),4)</f>
        <v>100</v>
      </c>
      <c r="AP80" s="1010"/>
      <c r="AQ80" s="1011"/>
      <c r="AR80" s="37" t="s">
        <v>3816</v>
      </c>
      <c r="AS80" s="2802">
        <f>ROUNDDOWN(IF('Data Entry - SOF'!M154&gt;=1,0,(1 -'Data Entry - SOF'!M154)*100),4)</f>
        <v>100</v>
      </c>
      <c r="AT80" s="1000"/>
      <c r="AU80" s="1001"/>
      <c r="AW80" s="2446" t="s">
        <v>3816</v>
      </c>
      <c r="AX80" s="2469">
        <f>ROUNDDOWN(IF('Data Entry - SOF'!O154&gt;=1,0,(1 -'Data Entry - SOF'!O154)*100),4)</f>
        <v>100</v>
      </c>
      <c r="AY80" s="2458"/>
      <c r="AZ80" s="2459"/>
      <c r="BB80" s="1437" t="s">
        <v>3816</v>
      </c>
      <c r="BC80" s="1441">
        <f>ROUNDDOWN(IF('Data Entry - SOF'!Q154&gt;=1,0,(1 -'Data Entry - SOF'!Q154)*100),4)</f>
        <v>100</v>
      </c>
      <c r="BG80" s="1437" t="s">
        <v>3816</v>
      </c>
      <c r="BH80" s="1501">
        <f>ROUNDDOWN(IF('Data Entry - SOF'!S154&gt;=1,0,(1 -'Data Entry - SOF'!S154)*100),4)</f>
        <v>100</v>
      </c>
    </row>
    <row r="81" spans="1:78">
      <c r="A81" s="94"/>
      <c r="B81" s="35" t="s">
        <v>788</v>
      </c>
      <c r="C81" s="2129" t="e">
        <f>ROUND(((C79*C75)/'Data Entry - SOF'!C74)*100,4)</f>
        <v>#REF!</v>
      </c>
      <c r="D81" s="1154" t="e">
        <f>ROUND(((D79*D75)/'Data Entry - SOF'!#REF!)*100,4)</f>
        <v>#REF!</v>
      </c>
      <c r="E81" s="522" t="e">
        <f>ROUND(((E79*E75)/'Data Entry - SOF'!E74)*100,4)</f>
        <v>#DIV/0!</v>
      </c>
      <c r="F81" s="1180" t="e">
        <f>ROUND(((F79*F75)/'Data Entry - SOF'!K74)*100,4)</f>
        <v>#DIV/0!</v>
      </c>
      <c r="G81" s="1206" t="e">
        <f>ROUND(((G79*G75)/'Data Entry - SOF'!M74)*100,4)</f>
        <v>#DIV/0!</v>
      </c>
      <c r="H81" s="1232" t="e">
        <f>ROUND(((H79*H75)/'Data Entry - SOF'!O74)*100,4)</f>
        <v>#DIV/0!</v>
      </c>
      <c r="I81" s="1352" t="e">
        <f>ROUND(((I79*I75)/'Data Entry - SOF'!Q74)*100,4)</f>
        <v>#DIV/0!</v>
      </c>
      <c r="J81" s="1745" t="e">
        <f>ROUND(((J79*J75)/'Data Entry - SOF'!S74)*100,4)</f>
        <v>#DIV/0!</v>
      </c>
      <c r="K81" s="623"/>
      <c r="L81" s="271"/>
      <c r="M81" s="271"/>
      <c r="Q81" s="119"/>
      <c r="R81" s="119"/>
      <c r="V81"/>
      <c r="AB81" s="2143"/>
      <c r="AC81" s="2177">
        <f>MIN('Data Entry - SOF'!C172,'Data Entry - SOF'!C92)</f>
        <v>0</v>
      </c>
      <c r="AD81" s="2178" t="s">
        <v>6170</v>
      </c>
      <c r="AF81" s="203"/>
      <c r="AG81" s="2790" t="e">
        <f>MIN('Data Entry - SOF'!E172,'Data Entry - SOF'!#REF!)</f>
        <v>#REF!</v>
      </c>
      <c r="AH81" s="1031" t="s">
        <v>6170</v>
      </c>
      <c r="AJ81" s="203"/>
      <c r="AK81" s="2790">
        <f>MIN('Data Entry - SOF'!E172,'Data Entry - SOF'!E92)</f>
        <v>0</v>
      </c>
      <c r="AL81" s="1031" t="s">
        <v>6170</v>
      </c>
      <c r="AM81" s="121"/>
      <c r="AN81" s="203"/>
      <c r="AO81" s="2790">
        <f>MIN('Data Entry - SOF'!E172,'Data Entry - SOF'!K92)</f>
        <v>0</v>
      </c>
      <c r="AP81" s="1031" t="s">
        <v>6170</v>
      </c>
      <c r="AQ81" s="1011"/>
      <c r="AR81" s="203"/>
      <c r="AS81" s="2790">
        <f>MIN('Data Entry - SOF'!E172,'Data Entry - SOF'!M92)</f>
        <v>0</v>
      </c>
      <c r="AT81" s="1031" t="s">
        <v>6170</v>
      </c>
      <c r="AU81" s="1001"/>
      <c r="AW81" s="2447"/>
      <c r="AX81" s="2811">
        <f>MIN('Data Entry - SOF'!E172,'Data Entry - SOF'!O92)</f>
        <v>0</v>
      </c>
      <c r="AY81" s="2460" t="s">
        <v>6170</v>
      </c>
      <c r="AZ81" s="2459"/>
      <c r="BB81" s="2447"/>
      <c r="BC81" s="2496">
        <f>MIN('Data Entry - SOF'!E172,'Data Entry - SOF'!Q92)</f>
        <v>0</v>
      </c>
      <c r="BD81" s="2488" t="s">
        <v>6170</v>
      </c>
      <c r="BG81" s="2447"/>
      <c r="BH81" s="2496">
        <f>MIN('Data Entry - SOF'!E172,'Data Entry - SOF'!S92)</f>
        <v>0</v>
      </c>
      <c r="BI81" s="2488" t="s">
        <v>6170</v>
      </c>
    </row>
    <row r="82" spans="1:78">
      <c r="A82" s="94"/>
      <c r="B82" t="s">
        <v>1230</v>
      </c>
      <c r="C82" s="2129">
        <f>IF(C73-'Data Entry - SOF'!C154&gt;0.06,(C73-('Data Entry - SOF'!C154+0.06))*100,0)</f>
        <v>0</v>
      </c>
      <c r="D82" s="1154" t="e">
        <f>IF(D73-'Data Entry - SOF'!#REF!&gt;0.06,(D73-('Data Entry - SOF'!#REF!+0.06))*100,0)</f>
        <v>#REF!</v>
      </c>
      <c r="E82" s="522">
        <f>IF(E73-'Data Entry - SOF'!E154&gt;0.06,(E73-('Data Entry - SOF'!E154+0.06))*100,0)</f>
        <v>0</v>
      </c>
      <c r="F82" s="1180">
        <f>IF(F73-'Data Entry - SOF'!K154&gt;0.06,(F73-('Data Entry - SOF'!K154+0.06))*100,0)</f>
        <v>0</v>
      </c>
      <c r="G82" s="1206">
        <f>IF(G73-'Data Entry - SOF'!M154&gt;0.06,(G73-('Data Entry - SOF'!M154+0.06))*100,0)</f>
        <v>0</v>
      </c>
      <c r="H82" s="1232">
        <f>IF(H73-'Data Entry - SOF'!O154&gt;0.06,(H73-('Data Entry - SOF'!O154+0.06))*100,0)</f>
        <v>0</v>
      </c>
      <c r="I82" s="1352">
        <f>IF(I73-'Data Entry - SOF'!Q154&gt;0.06,(I73-('Data Entry - SOF'!Q154+0.06))*100,0)</f>
        <v>0</v>
      </c>
      <c r="J82" s="1745">
        <f>IF(J73-'Data Entry - SOF'!S154&gt;0.06,(J73-('Data Entry - SOF'!S154+0.06))*100,0)</f>
        <v>0</v>
      </c>
      <c r="K82" s="623"/>
      <c r="L82" s="271"/>
      <c r="M82" s="271"/>
      <c r="Q82" s="119"/>
      <c r="R82" s="119"/>
      <c r="V82"/>
      <c r="AC82" s="2179"/>
      <c r="AD82" s="2173"/>
      <c r="AG82" s="2435"/>
      <c r="AH82" s="995"/>
      <c r="AK82" s="2425"/>
      <c r="AL82" s="995"/>
      <c r="AM82" s="121"/>
      <c r="AO82" s="2413"/>
      <c r="AP82" s="1010"/>
      <c r="AQ82" s="1011"/>
      <c r="AS82" s="2803"/>
      <c r="AT82" s="1000"/>
      <c r="AU82" s="1001"/>
      <c r="AX82" s="2791"/>
      <c r="AY82" s="2458"/>
      <c r="AZ82" s="2459"/>
      <c r="BC82" s="1480"/>
      <c r="BG82" s="1416"/>
      <c r="BH82" s="1487"/>
    </row>
    <row r="83" spans="1:78">
      <c r="A83" s="94"/>
      <c r="B83" t="s">
        <v>987</v>
      </c>
      <c r="C83" s="2118" t="e">
        <f t="shared" ref="C83:H83" si="10">C82*C75</f>
        <v>#REF!</v>
      </c>
      <c r="D83" s="1141" t="e">
        <f t="shared" si="10"/>
        <v>#REF!</v>
      </c>
      <c r="E83" s="521" t="e">
        <f t="shared" si="10"/>
        <v>#DIV/0!</v>
      </c>
      <c r="F83" s="1167" t="e">
        <f t="shared" si="10"/>
        <v>#DIV/0!</v>
      </c>
      <c r="G83" s="1193" t="e">
        <f t="shared" si="10"/>
        <v>#DIV/0!</v>
      </c>
      <c r="H83" s="1219" t="e">
        <f t="shared" si="10"/>
        <v>#DIV/0!</v>
      </c>
      <c r="I83" s="1349" t="e">
        <f>I82*I75</f>
        <v>#DIV/0!</v>
      </c>
      <c r="J83" s="1742" t="e">
        <f>J82*J75</f>
        <v>#DIV/0!</v>
      </c>
      <c r="K83" s="623"/>
      <c r="L83" s="271"/>
      <c r="M83" s="271"/>
      <c r="P83" s="91"/>
      <c r="Q83" s="91"/>
      <c r="V83"/>
      <c r="AB83" s="2138" t="s">
        <v>3818</v>
      </c>
      <c r="AC83" s="2176">
        <f>IF(AC79-AC80&lt;=0,0,AC79-AC80)</f>
        <v>0</v>
      </c>
      <c r="AD83" s="2173"/>
      <c r="AF83" s="37" t="s">
        <v>3818</v>
      </c>
      <c r="AG83" s="2434" t="e">
        <f>IF(AG79-AG80&lt;=0,0,AG79-AG80)</f>
        <v>#REF!</v>
      </c>
      <c r="AH83" s="995"/>
      <c r="AJ83" s="37" t="s">
        <v>3818</v>
      </c>
      <c r="AK83" s="2424">
        <f>IF(AK79-AK80&lt;=0,0,AK79-AK80)</f>
        <v>0</v>
      </c>
      <c r="AL83" s="995"/>
      <c r="AM83" s="999"/>
      <c r="AN83" s="37" t="s">
        <v>3818</v>
      </c>
      <c r="AO83" s="2412">
        <f>IF(AO79-AO80&lt;=0,0,AO79-AO80)</f>
        <v>0</v>
      </c>
      <c r="AP83" s="1010"/>
      <c r="AQ83" s="1011"/>
      <c r="AR83" s="37" t="s">
        <v>3818</v>
      </c>
      <c r="AS83" s="2802">
        <f>IF(AS79-AS80&lt;=0,0,AS79-AS80)</f>
        <v>0</v>
      </c>
      <c r="AT83" s="1000"/>
      <c r="AU83" s="1001"/>
      <c r="AW83" s="2446" t="s">
        <v>3818</v>
      </c>
      <c r="AX83" s="2469">
        <f>IF(AX79-AX80&lt;=0,0,AX79-AX80)</f>
        <v>0</v>
      </c>
      <c r="AY83" s="2458"/>
      <c r="AZ83" s="2459"/>
      <c r="BB83" s="1437" t="s">
        <v>3818</v>
      </c>
      <c r="BC83" s="1441">
        <f>IF(BC79-BC80&lt;=0,0,BC79-BC80)</f>
        <v>0</v>
      </c>
      <c r="BG83" s="1437" t="s">
        <v>3818</v>
      </c>
      <c r="BH83" s="1501">
        <f>IF(BH79-BH80&lt;=0,0,BH79-BH80)</f>
        <v>0</v>
      </c>
    </row>
    <row r="84" spans="1:78">
      <c r="A84" s="94"/>
      <c r="B84" s="35" t="s">
        <v>791</v>
      </c>
      <c r="C84" s="2129" t="e">
        <f>ROUND(((C82*C75)/'Data Entry - SOF'!C74)*100,4)</f>
        <v>#REF!</v>
      </c>
      <c r="D84" s="1154" t="e">
        <f>ROUND(((D82*D75)/'Data Entry - SOF'!#REF!)*100,4)</f>
        <v>#REF!</v>
      </c>
      <c r="E84" s="522" t="e">
        <f>ROUND(((E82*E75)/'Data Entry - SOF'!E74)*100,4)</f>
        <v>#DIV/0!</v>
      </c>
      <c r="F84" s="1180" t="e">
        <f>ROUND(((F82*F75)/'Data Entry - SOF'!K74)*100,4)</f>
        <v>#DIV/0!</v>
      </c>
      <c r="G84" s="1206" t="e">
        <f>ROUND(((G82*G75)/'Data Entry - SOF'!M74)*100,4)</f>
        <v>#DIV/0!</v>
      </c>
      <c r="H84" s="1232" t="e">
        <f>ROUND(((H82*H75)/'Data Entry - SOF'!O74)*100,4)</f>
        <v>#DIV/0!</v>
      </c>
      <c r="I84" s="1352" t="e">
        <f>ROUND(((I82*I75)/'Data Entry - SOF'!Q74)*100,4)</f>
        <v>#DIV/0!</v>
      </c>
      <c r="J84" s="1745" t="e">
        <f>ROUND(((J82*J75)/'Data Entry - SOF'!S74)*100,4)</f>
        <v>#DIV/0!</v>
      </c>
      <c r="K84" s="623"/>
      <c r="L84" s="271"/>
      <c r="M84" s="271"/>
      <c r="P84" s="91"/>
      <c r="Q84" s="91"/>
      <c r="V84"/>
      <c r="AB84" s="2138" t="s">
        <v>3819</v>
      </c>
      <c r="AC84" s="2180" t="e">
        <f>ROUND(IF((AC83*AC90)/'Data Entry - SOF'!C74*100&gt;0.17,0.17,(AC83*AC90)/'Data Entry - SOF'!C74*100),4)</f>
        <v>#REF!</v>
      </c>
      <c r="AD84" s="2173"/>
      <c r="AF84" s="37" t="s">
        <v>3819</v>
      </c>
      <c r="AG84" s="2436" t="e">
        <f>ROUND(IF((((AG83*AH35)/'Data Entry - SOF'!#REF!)*100)&gt;0.17,0.17,((AG83*AH35)/'Data Entry - SOF'!#REF!)*100),4)</f>
        <v>#REF!</v>
      </c>
      <c r="AH84" s="995"/>
      <c r="AJ84" s="37" t="s">
        <v>3819</v>
      </c>
      <c r="AK84" s="2427" t="e">
        <f>ROUND(IF((((AK83*AL35)/'Data Entry - SOF'!E74)*100)&gt;0.17,0.17,((AK83*AL35)/'Data Entry - SOF'!E74)*100),4)</f>
        <v>#DIV/0!</v>
      </c>
      <c r="AL84" s="995"/>
      <c r="AM84" s="149"/>
      <c r="AN84" s="37" t="s">
        <v>3819</v>
      </c>
      <c r="AO84" s="2414" t="e">
        <f>ROUND(IF((((AO83*AP35)/'Data Entry - SOF'!K74)*100)&gt;0.17,0.17,((AO83*AP35)/'Data Entry - SOF'!K74)*100),4)</f>
        <v>#DIV/0!</v>
      </c>
      <c r="AP84" s="1010"/>
      <c r="AQ84" s="1011"/>
      <c r="AR84" s="37" t="s">
        <v>3819</v>
      </c>
      <c r="AS84" s="2801" t="e">
        <f>ROUND(IF((((AS83*AT35)/'Data Entry - SOF'!M74)*100)&gt;0.17,0.17,((AS83*AT35)/'Data Entry - SOF'!M74)*100),4)</f>
        <v>#DIV/0!</v>
      </c>
      <c r="AT84" s="1000"/>
      <c r="AU84" s="1001"/>
      <c r="AW84" s="2446" t="s">
        <v>3819</v>
      </c>
      <c r="AX84" s="2468" t="e">
        <f>ROUND(IF((((AX83*AY35)/'Data Entry - SOF'!O74)*100)&gt;0.17,0.17,((AX83*AY35)/'Data Entry - SOF'!O74)*100),4)</f>
        <v>#DIV/0!</v>
      </c>
      <c r="AY84" s="2458"/>
      <c r="AZ84" s="2459"/>
      <c r="BB84" s="1437" t="s">
        <v>3819</v>
      </c>
      <c r="BC84" s="1441" t="e">
        <f>ROUND(IF((((BC83*BD35)/'Data Entry - SOF'!Q74)*100)&gt;0.17,0.17,((BC83*BD35)/'Data Entry - SOF'!Q74)*100),4)</f>
        <v>#DIV/0!</v>
      </c>
      <c r="BG84" s="1437" t="s">
        <v>3819</v>
      </c>
      <c r="BH84" s="1501" t="e">
        <f>ROUND(IF((((BH83*BI35)/'Data Entry - SOF'!S74)*100)&gt;0.17,0.17,((BH83*BI35)/'Data Entry - SOF'!S74)*100),4)</f>
        <v>#DIV/0!</v>
      </c>
    </row>
    <row r="85" spans="1:78">
      <c r="A85" s="94"/>
      <c r="B85" s="35"/>
      <c r="C85" s="2130"/>
      <c r="D85" s="1155"/>
      <c r="E85" s="981"/>
      <c r="F85" s="1181"/>
      <c r="G85" s="1207"/>
      <c r="H85" s="1233"/>
      <c r="I85" s="1353"/>
      <c r="J85" s="1746"/>
      <c r="K85" s="623"/>
      <c r="L85" s="271"/>
      <c r="M85" s="271"/>
      <c r="P85"/>
      <c r="V85"/>
      <c r="AB85" s="2138" t="s">
        <v>3820</v>
      </c>
      <c r="AC85" s="2181">
        <f>'Data Entry - SOF'!C154+IF(AC79&lt;AC80,(AC79/100),(AC80/100))</f>
        <v>0</v>
      </c>
      <c r="AD85" s="2173"/>
      <c r="AF85" s="37" t="s">
        <v>3820</v>
      </c>
      <c r="AG85" s="2436" t="e">
        <f>'Data Entry - SOF'!#REF!+IF(AG79&lt;AG80,(AG79/100),(AG80/100))</f>
        <v>#REF!</v>
      </c>
      <c r="AH85" s="995"/>
      <c r="AJ85" s="37" t="s">
        <v>3820</v>
      </c>
      <c r="AK85" s="2427">
        <f>'Data Entry - SOF'!E154+IF(AK79&lt;AK80,(AK79/100),(AK80/100))</f>
        <v>0</v>
      </c>
      <c r="AL85" s="995"/>
      <c r="AM85" s="999"/>
      <c r="AN85" s="37" t="s">
        <v>3820</v>
      </c>
      <c r="AO85" s="2414">
        <f>'Data Entry - SOF'!K154+IF(AO79&lt;AO80,(AO79/100),(AO80/100))</f>
        <v>0</v>
      </c>
      <c r="AP85" s="1010"/>
      <c r="AQ85" s="1011"/>
      <c r="AR85" s="37" t="s">
        <v>3820</v>
      </c>
      <c r="AS85" s="2801">
        <f>'Data Entry - SOF'!M154+IF(AS79&lt;AS80,(AS79/100),(AS80/100))</f>
        <v>0</v>
      </c>
      <c r="AT85" s="1000"/>
      <c r="AU85" s="1001"/>
      <c r="AW85" s="2446" t="s">
        <v>3820</v>
      </c>
      <c r="AX85" s="2468">
        <f>'Data Entry - SOF'!O154+IF(AX79&lt;AX80,(AX79/100),(AX80/100))</f>
        <v>0</v>
      </c>
      <c r="AY85" s="2458"/>
      <c r="AZ85" s="2459"/>
      <c r="BB85" s="1437" t="s">
        <v>3820</v>
      </c>
      <c r="BC85" s="1441">
        <f>'Data Entry - SOF'!Q154+IF(BC79&lt;BC80,(BC79/100),(BC80/100))</f>
        <v>0</v>
      </c>
      <c r="BG85" s="1437" t="s">
        <v>3820</v>
      </c>
      <c r="BH85" s="1501">
        <f>'Data Entry - SOF'!S154+IF(BH79&lt;BH80,(BH79/100),(BH80/100))</f>
        <v>0</v>
      </c>
    </row>
    <row r="86" spans="1:78">
      <c r="A86" s="94"/>
      <c r="C86" s="2130"/>
      <c r="D86" s="1155"/>
      <c r="E86" s="981"/>
      <c r="F86" s="1181"/>
      <c r="G86" s="1207"/>
      <c r="H86" s="1233"/>
      <c r="I86" s="1353"/>
      <c r="J86" s="1746"/>
      <c r="K86" s="623"/>
      <c r="L86" s="271"/>
      <c r="M86" s="271"/>
      <c r="V86"/>
      <c r="AB86" s="2138" t="s">
        <v>3821</v>
      </c>
      <c r="AC86" s="2182" t="e">
        <f>AC83*AC90</f>
        <v>#REF!</v>
      </c>
      <c r="AD86" s="2173"/>
      <c r="AF86" s="37" t="s">
        <v>3821</v>
      </c>
      <c r="AG86" s="2437" t="e">
        <f>AG83*AG90</f>
        <v>#REF!</v>
      </c>
      <c r="AH86" s="995"/>
      <c r="AJ86" s="37" t="s">
        <v>3821</v>
      </c>
      <c r="AK86" s="2774" t="e">
        <f>AK83*AK90</f>
        <v>#DIV/0!</v>
      </c>
      <c r="AL86" s="995"/>
      <c r="AM86" s="997"/>
      <c r="AN86" s="37" t="s">
        <v>3821</v>
      </c>
      <c r="AO86" s="2797" t="e">
        <f>AO83*AO90</f>
        <v>#DIV/0!</v>
      </c>
      <c r="AP86" s="1010"/>
      <c r="AQ86" s="1011"/>
      <c r="AR86" s="37" t="s">
        <v>3821</v>
      </c>
      <c r="AS86" s="2787" t="e">
        <f>AS83*AS90</f>
        <v>#DIV/0!</v>
      </c>
      <c r="AT86" s="1000"/>
      <c r="AU86" s="1001"/>
      <c r="AW86" s="2446" t="s">
        <v>3821</v>
      </c>
      <c r="AX86" s="2472" t="e">
        <f>AX83*AX90</f>
        <v>#DIV/0!</v>
      </c>
      <c r="AY86" s="2458"/>
      <c r="AZ86" s="2459"/>
      <c r="BB86" s="1437" t="s">
        <v>3821</v>
      </c>
      <c r="BC86" s="1439" t="e">
        <f>BC83*BC90</f>
        <v>#DIV/0!</v>
      </c>
      <c r="BG86" s="1437" t="s">
        <v>3821</v>
      </c>
      <c r="BH86" s="1509" t="e">
        <f>BH83*BH90</f>
        <v>#DIV/0!</v>
      </c>
    </row>
    <row r="87" spans="1:78">
      <c r="A87" s="94"/>
      <c r="C87" s="2130"/>
      <c r="D87" s="1155"/>
      <c r="E87" s="981"/>
      <c r="F87" s="1181"/>
      <c r="G87" s="1207"/>
      <c r="H87" s="1233"/>
      <c r="I87" s="1353"/>
      <c r="J87" s="1746"/>
      <c r="K87" s="623"/>
      <c r="L87" s="271"/>
      <c r="M87" s="271"/>
      <c r="V87"/>
      <c r="AB87" s="2172" t="s">
        <v>3822</v>
      </c>
      <c r="AC87" s="2182" t="e">
        <f>AC90*IF(AC81&lt;='Calc Data-15K'!AC85,(AC81*100),('Calc Data-15K'!AC85*100))</f>
        <v>#REF!</v>
      </c>
      <c r="AD87" s="2173"/>
      <c r="AF87" s="72" t="s">
        <v>3822</v>
      </c>
      <c r="AG87" s="2437" t="e">
        <f>AG90*IF(AG81&lt;='Calc Data-15K'!AG85,(AG81*100),('Calc Data-15K'!AG85*100))</f>
        <v>#REF!</v>
      </c>
      <c r="AH87" s="995"/>
      <c r="AJ87" s="72" t="s">
        <v>3822</v>
      </c>
      <c r="AK87" s="2774" t="e">
        <f>AK90*IF(AK81&lt;='Calc Data-15K'!AK85,(AK81*100),('Calc Data-15K'!AK85*100))</f>
        <v>#DIV/0!</v>
      </c>
      <c r="AL87" s="995"/>
      <c r="AM87" s="997"/>
      <c r="AN87" s="72" t="s">
        <v>3822</v>
      </c>
      <c r="AO87" s="2797" t="e">
        <f>AO90*IF(AO81&lt;='Calc Data-15K'!AO85,(AO81*100),('Calc Data-15K'!AO85*100))</f>
        <v>#DIV/0!</v>
      </c>
      <c r="AP87" s="1010"/>
      <c r="AQ87" s="1011"/>
      <c r="AR87" s="72" t="s">
        <v>3822</v>
      </c>
      <c r="AS87" s="2787" t="e">
        <f>AS90*IF(AS81&lt;='Calc Data-15K'!AS85,(AS81*100),('Calc Data-15K'!AS85*100))</f>
        <v>#DIV/0!</v>
      </c>
      <c r="AT87" s="1000"/>
      <c r="AU87" s="1001"/>
      <c r="AW87" s="1437" t="s">
        <v>3822</v>
      </c>
      <c r="AX87" s="2472" t="e">
        <f>AX90*IF(AX81&lt;='Calc Data-15K'!AX85,(AX81*100),('Calc Data-15K'!AX85*100))</f>
        <v>#DIV/0!</v>
      </c>
      <c r="AY87" s="2458"/>
      <c r="AZ87" s="2459"/>
      <c r="BB87" s="1416" t="s">
        <v>3822</v>
      </c>
      <c r="BC87" s="1439" t="e">
        <f>BC90*IF(BC81&lt;='Calc Data-15K'!BC85,(BC81*100),('Calc Data-15K'!BC85*100))</f>
        <v>#DIV/0!</v>
      </c>
      <c r="BG87" s="1416" t="s">
        <v>3822</v>
      </c>
      <c r="BH87" s="1509" t="e">
        <f>BH90*IF(BH81&lt;='Calc Data-15K'!BH85,(BH81*100),('Calc Data-15K'!BH85*100))</f>
        <v>#DIV/0!</v>
      </c>
    </row>
    <row r="88" spans="1:78">
      <c r="B88" s="121" t="s">
        <v>789</v>
      </c>
      <c r="C88" s="2118" t="e">
        <f>C81*('Data Entry - SOF'!C74/100)</f>
        <v>#REF!</v>
      </c>
      <c r="D88" s="1141" t="e">
        <f>D81*('Data Entry - SOF'!#REF!/100)</f>
        <v>#REF!</v>
      </c>
      <c r="E88" s="521" t="e">
        <f>E81*('Data Entry - SOF'!E74/100)</f>
        <v>#DIV/0!</v>
      </c>
      <c r="F88" s="1167" t="e">
        <f>F81*('Data Entry - SOF'!K74/100)</f>
        <v>#DIV/0!</v>
      </c>
      <c r="G88" s="1193" t="e">
        <f>G81*('Data Entry - SOF'!M74/100)</f>
        <v>#DIV/0!</v>
      </c>
      <c r="H88" s="1219" t="e">
        <f>H81*('Data Entry - SOF'!O74/100)</f>
        <v>#DIV/0!</v>
      </c>
      <c r="I88" s="1349" t="e">
        <f>I81*('Data Entry - SOF'!Q74/100)</f>
        <v>#DIV/0!</v>
      </c>
      <c r="J88" s="1742" t="e">
        <f>J81*('Data Entry - SOF'!S74/100)</f>
        <v>#DIV/0!</v>
      </c>
      <c r="K88" s="623"/>
      <c r="L88" s="271"/>
      <c r="M88" s="271"/>
      <c r="V88"/>
      <c r="AB88" s="2138" t="s">
        <v>3847</v>
      </c>
      <c r="AC88" s="2183" t="e">
        <f>AC84*('Data Entry - SOF'!C74/100)</f>
        <v>#REF!</v>
      </c>
      <c r="AD88" s="2173"/>
      <c r="AF88" s="37" t="s">
        <v>3847</v>
      </c>
      <c r="AG88" s="2437" t="e">
        <f>AG84*('Data Entry - SOF'!#REF!/100)</f>
        <v>#REF!</v>
      </c>
      <c r="AH88" s="995"/>
      <c r="AI88" s="995"/>
      <c r="AJ88" s="37" t="s">
        <v>3847</v>
      </c>
      <c r="AK88" s="2428" t="e">
        <f>AK84*('Data Entry - SOF'!E74/100)</f>
        <v>#DIV/0!</v>
      </c>
      <c r="AL88" s="995"/>
      <c r="AM88" s="997"/>
      <c r="AN88" s="37" t="s">
        <v>3847</v>
      </c>
      <c r="AO88" s="2415" t="e">
        <f>AO84*('Data Entry - SOF'!K74/100)</f>
        <v>#DIV/0!</v>
      </c>
      <c r="AP88" s="1010"/>
      <c r="AQ88" s="1011"/>
      <c r="AR88" s="37" t="s">
        <v>3847</v>
      </c>
      <c r="AS88" s="2787" t="e">
        <f>AS84*('Data Entry - SOF'!M74/100)</f>
        <v>#DIV/0!</v>
      </c>
      <c r="AT88" s="1000"/>
      <c r="AU88" s="1001"/>
      <c r="AW88" s="2446" t="s">
        <v>3847</v>
      </c>
      <c r="AX88" s="2472" t="e">
        <f>AX84*('Data Entry - SOF'!O74/100)</f>
        <v>#DIV/0!</v>
      </c>
      <c r="AY88" s="2458"/>
      <c r="AZ88" s="2459"/>
      <c r="BB88" s="1437" t="s">
        <v>3847</v>
      </c>
      <c r="BC88" s="1439" t="e">
        <f>BC84*('Data Entry - SOF'!Q74/100)</f>
        <v>#DIV/0!</v>
      </c>
      <c r="BG88" s="1437" t="s">
        <v>3847</v>
      </c>
      <c r="BH88" s="1509" t="e">
        <f>BH84*('Data Entry - SOF'!S74/100)</f>
        <v>#DIV/0!</v>
      </c>
    </row>
    <row r="89" spans="1:78">
      <c r="B89" s="121" t="s">
        <v>790</v>
      </c>
      <c r="C89" s="2118" t="e">
        <f>C84*('Data Entry - SOF'!C74/100)</f>
        <v>#REF!</v>
      </c>
      <c r="D89" s="1141" t="e">
        <f>D84*('Data Entry - SOF'!#REF!/100)</f>
        <v>#REF!</v>
      </c>
      <c r="E89" s="521" t="e">
        <f>E84*('Data Entry - SOF'!E74/100)</f>
        <v>#DIV/0!</v>
      </c>
      <c r="F89" s="1167" t="e">
        <f>F84*('Data Entry - SOF'!K74/100)</f>
        <v>#DIV/0!</v>
      </c>
      <c r="G89" s="1193" t="e">
        <f>G84*('Data Entry - SOF'!M74/100)</f>
        <v>#DIV/0!</v>
      </c>
      <c r="H89" s="1219" t="e">
        <f>H84*('Data Entry - SOF'!O74/100)</f>
        <v>#DIV/0!</v>
      </c>
      <c r="I89" s="1349" t="e">
        <f>I84*('Data Entry - SOF'!Q74/100)</f>
        <v>#DIV/0!</v>
      </c>
      <c r="J89" s="1742" t="e">
        <f>J84*('Data Entry - SOF'!S74/100)</f>
        <v>#DIV/0!</v>
      </c>
      <c r="K89" s="623"/>
      <c r="L89" s="271"/>
      <c r="M89" s="271"/>
      <c r="V89"/>
      <c r="AA89" s="141"/>
      <c r="AB89" s="2172"/>
      <c r="AC89" s="2184"/>
      <c r="AD89" s="2198" t="s">
        <v>6165</v>
      </c>
      <c r="AE89" s="2050"/>
      <c r="AF89" s="141"/>
      <c r="AG89" s="2438"/>
      <c r="AH89" s="995"/>
      <c r="AI89" s="995"/>
      <c r="AJ89" s="141"/>
      <c r="AK89" s="2431"/>
      <c r="AL89" s="995"/>
      <c r="AM89" s="997"/>
      <c r="AN89" s="141"/>
      <c r="AO89" s="2491"/>
      <c r="AP89" s="1010"/>
      <c r="AR89" s="141"/>
      <c r="AS89" s="2804"/>
      <c r="AT89" s="1000"/>
      <c r="AU89" s="1000"/>
      <c r="AW89" s="1437"/>
      <c r="AX89" s="2473"/>
      <c r="AY89" s="2458"/>
      <c r="AZ89" s="2458"/>
      <c r="BC89" s="2485"/>
      <c r="BG89" s="1416"/>
      <c r="BH89" s="2814"/>
    </row>
    <row r="90" spans="1:78">
      <c r="A90" s="35"/>
      <c r="B90" s="73"/>
      <c r="K90" s="623"/>
      <c r="L90" s="271"/>
      <c r="M90" s="271"/>
      <c r="N90" s="35"/>
      <c r="O90" s="35"/>
      <c r="P90" s="35"/>
      <c r="V90"/>
      <c r="AC90" s="2185" t="e">
        <f>(#REF!-'IFA-OldLaw'!J79)/(AC81*100)</f>
        <v>#REF!</v>
      </c>
      <c r="AD90" s="2186" t="e">
        <f>(#REF!-'IFA-OldLaw'!J79-'Data Entry - SOF'!C99)/(AC81*100)</f>
        <v>#REF!</v>
      </c>
      <c r="AE90" s="2154" t="s">
        <v>6166</v>
      </c>
      <c r="AF90" s="72" t="s">
        <v>8552</v>
      </c>
      <c r="AG90" s="2439" t="e">
        <f>('HH1718-Calcs'!D11-'IFA-OldLaw'!#REF!)/(AG81*100)</f>
        <v>#REF!</v>
      </c>
      <c r="AH90" s="995"/>
      <c r="AI90" s="995"/>
      <c r="AJ90" s="72" t="s">
        <v>8552</v>
      </c>
      <c r="AK90" s="2429" t="e">
        <f>('HH1819-Calcs'!D11-'IFA-OldLaw'!M79)/(AK81*100)</f>
        <v>#DIV/0!</v>
      </c>
      <c r="AL90" s="995"/>
      <c r="AM90" s="997"/>
      <c r="AN90" s="72" t="s">
        <v>8552</v>
      </c>
      <c r="AO90" s="2416" t="e">
        <f>('HH1920-Calcs'!D11-'IFA-OldLaw'!S79)/(AO81*100)</f>
        <v>#DIV/0!</v>
      </c>
      <c r="AP90" s="1010"/>
      <c r="AR90" s="72" t="s">
        <v>8552</v>
      </c>
      <c r="AS90" s="2805" t="e">
        <f>('HH2021-Calcs'!D11-'IFA-OldLaw'!U79)/(AS81*100)</f>
        <v>#DIV/0!</v>
      </c>
      <c r="AT90" s="1000"/>
      <c r="AU90" s="1000"/>
      <c r="AW90" s="72" t="s">
        <v>8552</v>
      </c>
      <c r="AX90" s="2474" t="e">
        <f>('HH2122-Calcs'!D11-'IFA-OldLaw'!Y79)/(AX81*100)</f>
        <v>#DIV/0!</v>
      </c>
      <c r="AY90" s="2458"/>
      <c r="AZ90" s="2458"/>
      <c r="BB90" s="72" t="s">
        <v>8552</v>
      </c>
      <c r="BC90" s="2486" t="e">
        <f>('HH2223-Calcs'!D11-'IFA-OldLaw'!AC79)/(BC81*100)</f>
        <v>#DIV/0!</v>
      </c>
      <c r="BG90" s="72" t="s">
        <v>8552</v>
      </c>
      <c r="BH90" s="2815" t="e">
        <f>('HH2324-Calcs'!D11-'IFA-OldLaw'!AG79)/(BH81*100)</f>
        <v>#DIV/0!</v>
      </c>
    </row>
    <row r="91" spans="1:78">
      <c r="A91" s="35"/>
      <c r="B91" s="73"/>
      <c r="K91" s="623"/>
      <c r="L91" s="271"/>
      <c r="M91" s="271"/>
      <c r="N91" s="35"/>
      <c r="O91" s="35"/>
      <c r="P91" s="35"/>
      <c r="S91" s="5"/>
      <c r="V91"/>
      <c r="AC91" s="2185"/>
      <c r="AD91" s="2187" t="e">
        <f>AD90*IF(AC81&lt;'Data Entry - SOF'!C154,(AC81*100),('Data Entry - SOF'!C154*100))</f>
        <v>#REF!</v>
      </c>
      <c r="AE91" s="2188" t="e">
        <f>AD90*IF(AC81&lt;='Calc Data-15K'!AC85,(AC81*100),('Calc Data-15K'!AC85*100))</f>
        <v>#REF!</v>
      </c>
      <c r="AG91" s="2439"/>
      <c r="AH91" s="995"/>
      <c r="AI91" s="995"/>
      <c r="AK91" s="2429"/>
      <c r="AL91" s="995"/>
      <c r="AM91" s="997"/>
      <c r="AO91" s="2417"/>
      <c r="AP91" s="1010"/>
      <c r="AS91" s="2805"/>
      <c r="AT91" s="1000"/>
      <c r="AU91" s="1000"/>
      <c r="AX91" s="2474"/>
      <c r="AY91" s="2458"/>
      <c r="AZ91" s="2458"/>
      <c r="BC91" s="2485"/>
      <c r="BG91" s="1416"/>
      <c r="BH91" s="2814"/>
    </row>
    <row r="92" spans="1:78">
      <c r="A92" s="35"/>
      <c r="B92" s="73"/>
      <c r="K92" s="623"/>
      <c r="L92" s="271"/>
      <c r="M92" s="271"/>
      <c r="N92" s="35"/>
      <c r="O92" s="35"/>
      <c r="P92" s="35"/>
      <c r="S92" s="5"/>
      <c r="V92"/>
      <c r="AC92" s="2185"/>
      <c r="AF92" s="37" t="s">
        <v>6172</v>
      </c>
      <c r="AG92" s="2440" t="e">
        <f>IF(AG81&lt;='Data Entry - SOF'!#REF!,0,IF(AG81&gt;'Data Entry - SOF'!#REF!+0.06,0.06*100,(AG81-'Data Entry - SOF'!#REF!)*100))</f>
        <v>#REF!</v>
      </c>
      <c r="AH92" s="995"/>
      <c r="AI92" s="995"/>
      <c r="AJ92" s="37" t="s">
        <v>6172</v>
      </c>
      <c r="AK92" s="2432">
        <f>IF(AK81&lt;='Data Entry - SOF'!E154,0,IF(AK81&gt;'Data Entry - SOF'!E154+0.06,0.06*100,(AK81-'Data Entry - SOF'!E154)*100))</f>
        <v>0</v>
      </c>
      <c r="AL92" s="995"/>
      <c r="AM92" s="997"/>
      <c r="AN92" s="37" t="s">
        <v>6172</v>
      </c>
      <c r="AO92" s="2418">
        <f>IF(AO81&lt;='Data Entry - SOF'!K154,0,IF(AO81&gt;'Data Entry - SOF'!K154+0.06,0.06*100,(AO81-'Data Entry - SOF'!K154)*100))</f>
        <v>0</v>
      </c>
      <c r="AP92" s="1010"/>
      <c r="AR92" s="37" t="s">
        <v>6172</v>
      </c>
      <c r="AS92" s="2788">
        <f>IF(AS81&lt;='Data Entry - SOF'!M154,0,IF(AS81&gt;'Data Entry - SOF'!M154+0.06,0.06*100,(AS81-'Data Entry - SOF'!M154)*100))</f>
        <v>0</v>
      </c>
      <c r="AT92" s="1000"/>
      <c r="AU92" s="1000"/>
      <c r="AW92" s="2446" t="s">
        <v>6172</v>
      </c>
      <c r="AX92" s="2475">
        <f>IF(AX81&lt;='Data Entry - SOF'!O154,0,IF(AX81&gt;'Data Entry - SOF'!O154+0.06,0.06*100,(AX81-'Data Entry - SOF'!O154)*100))</f>
        <v>0</v>
      </c>
      <c r="AY92" s="2458"/>
      <c r="AZ92" s="2458"/>
      <c r="BB92" s="1437" t="s">
        <v>6172</v>
      </c>
      <c r="BC92" s="2489">
        <f>IF(BC81&lt;='Data Entry - SOF'!Q154,0,IF(BC81&gt;'Data Entry - SOF'!Q154+0.06,0.06*100,(BC81-'Data Entry - SOF'!Q154)*100))</f>
        <v>0</v>
      </c>
      <c r="BG92" s="1437" t="s">
        <v>6172</v>
      </c>
      <c r="BH92" s="2816">
        <f>IF(BH81&lt;='Data Entry - SOF'!S154,0,IF(BH81&gt;'Data Entry - SOF'!S154+0.06,0.06*100,(BH81-'Data Entry - SOF'!S154)*100))</f>
        <v>0</v>
      </c>
    </row>
    <row r="93" spans="1:78">
      <c r="V93"/>
      <c r="AC93" s="2185"/>
      <c r="AD93" s="2185"/>
      <c r="AE93" s="2185"/>
      <c r="AF93" s="37" t="s">
        <v>6173</v>
      </c>
      <c r="AG93" s="2441" t="e">
        <f>AG92*AG90</f>
        <v>#REF!</v>
      </c>
      <c r="AH93" s="995"/>
      <c r="AI93" s="995"/>
      <c r="AJ93" s="37" t="s">
        <v>6173</v>
      </c>
      <c r="AK93" s="2430" t="e">
        <f>AK92*AK90</f>
        <v>#DIV/0!</v>
      </c>
      <c r="AL93" s="995"/>
      <c r="AM93" s="997"/>
      <c r="AN93" s="37" t="s">
        <v>6173</v>
      </c>
      <c r="AO93" s="2419" t="e">
        <f>AO92*AO90</f>
        <v>#DIV/0!</v>
      </c>
      <c r="AP93" s="1010"/>
      <c r="AR93" s="37" t="s">
        <v>6173</v>
      </c>
      <c r="AS93" s="2789" t="e">
        <f>AS92*AS90</f>
        <v>#DIV/0!</v>
      </c>
      <c r="AT93" s="1000"/>
      <c r="AU93" s="1000"/>
      <c r="AW93" s="2446" t="s">
        <v>6173</v>
      </c>
      <c r="AX93" s="2476" t="e">
        <f>AX92*AX90</f>
        <v>#DIV/0!</v>
      </c>
      <c r="AY93" s="2458"/>
      <c r="AZ93" s="2458"/>
      <c r="BB93" s="1437" t="s">
        <v>6173</v>
      </c>
      <c r="BC93" s="2487" t="e">
        <f>BC92*BC90</f>
        <v>#DIV/0!</v>
      </c>
      <c r="BG93" s="1437" t="s">
        <v>6173</v>
      </c>
      <c r="BH93" s="2817" t="e">
        <f>BH92*BH90</f>
        <v>#DIV/0!</v>
      </c>
    </row>
    <row r="94" spans="1:78">
      <c r="K94" s="368"/>
      <c r="L94" s="73"/>
      <c r="M94" s="73"/>
      <c r="N94" s="73"/>
      <c r="V94"/>
      <c r="AC94" s="2185"/>
      <c r="AD94" s="2185"/>
      <c r="AE94" s="2185"/>
      <c r="AF94" s="2490" t="s">
        <v>3855</v>
      </c>
      <c r="AG94" s="2792" t="e">
        <f>ROUND((AG93/'Data Entry - SOF'!#REF!)*100,4)</f>
        <v>#REF!</v>
      </c>
      <c r="AI94" s="995"/>
      <c r="AJ94" s="1437" t="s">
        <v>3855</v>
      </c>
      <c r="AK94" s="2794" t="e">
        <f>ROUND((AK93/'Data Entry - SOF'!E74)*100,4)</f>
        <v>#DIV/0!</v>
      </c>
      <c r="AM94" s="997"/>
      <c r="AN94" s="2490" t="s">
        <v>3855</v>
      </c>
      <c r="AO94" s="2798" t="e">
        <f>ROUND((AO93/'Data Entry - SOF'!K74)*100,4)</f>
        <v>#DIV/0!</v>
      </c>
      <c r="AR94" s="2490" t="s">
        <v>3855</v>
      </c>
      <c r="AS94" s="2806" t="e">
        <f>ROUND((AS93/'Data Entry - SOF'!M74)*100,4)</f>
        <v>#DIV/0!</v>
      </c>
      <c r="AU94" s="1000"/>
      <c r="AW94" s="1437" t="s">
        <v>3855</v>
      </c>
      <c r="AX94" s="2809" t="e">
        <f>ROUND((AX93/'Data Entry - SOF'!O74)*100,4)</f>
        <v>#DIV/0!</v>
      </c>
      <c r="AZ94" s="2458"/>
      <c r="BB94" s="1437" t="s">
        <v>3855</v>
      </c>
      <c r="BC94" s="2812" t="e">
        <f>ROUND((BC93/'Data Entry - SOF'!Q74)*100,4)</f>
        <v>#DIV/0!</v>
      </c>
      <c r="BG94" s="1437" t="s">
        <v>3855</v>
      </c>
      <c r="BH94" s="2818" t="e">
        <f>ROUND((BH93/'Data Entry - SOF'!S74)*100,4)</f>
        <v>#DIV/0!</v>
      </c>
    </row>
    <row r="95" spans="1:78" s="152" customFormat="1">
      <c r="A95" s="71"/>
      <c r="B95"/>
      <c r="C95" s="2105"/>
      <c r="D95" s="1132"/>
      <c r="E95" s="658"/>
      <c r="F95" s="1158"/>
      <c r="G95" s="1184"/>
      <c r="H95" s="1210"/>
      <c r="I95" s="1322"/>
      <c r="J95" s="1713"/>
      <c r="K95" s="368"/>
      <c r="L95" s="73"/>
      <c r="M95" s="73"/>
      <c r="N95" s="73"/>
      <c r="O95"/>
      <c r="P95"/>
      <c r="Q95" s="119"/>
      <c r="R95"/>
      <c r="S95"/>
      <c r="T95" s="252"/>
      <c r="U95" s="253"/>
      <c r="V95"/>
      <c r="W95"/>
      <c r="X95"/>
      <c r="Y95"/>
      <c r="Z95"/>
      <c r="AA95"/>
      <c r="AB95" s="2011"/>
      <c r="AC95" s="2185"/>
      <c r="AD95" s="2185"/>
      <c r="AE95" s="2189"/>
      <c r="AF95" s="2490" t="s">
        <v>3856</v>
      </c>
      <c r="AG95" s="2793" t="e">
        <f>AG94*('Data Entry - SOF'!#REF!/100)</f>
        <v>#REF!</v>
      </c>
      <c r="AH95"/>
      <c r="AI95" s="995"/>
      <c r="AJ95" s="1437" t="s">
        <v>3856</v>
      </c>
      <c r="AK95" s="2795" t="e">
        <f>AK94*('Data Entry - SOF'!E74/100)</f>
        <v>#DIV/0!</v>
      </c>
      <c r="AL95"/>
      <c r="AM95" s="997"/>
      <c r="AN95" s="2490" t="s">
        <v>3856</v>
      </c>
      <c r="AO95" s="2799" t="e">
        <f>AO94*('Data Entry - SOF'!K74/100)</f>
        <v>#DIV/0!</v>
      </c>
      <c r="AP95"/>
      <c r="AQ95"/>
      <c r="AR95" s="2490" t="s">
        <v>3856</v>
      </c>
      <c r="AS95" s="2807" t="e">
        <f>AS94*('Data Entry - SOF'!M74/100)</f>
        <v>#DIV/0!</v>
      </c>
      <c r="AT95"/>
      <c r="AU95" s="1000"/>
      <c r="AV95"/>
      <c r="AW95" s="1437" t="s">
        <v>3856</v>
      </c>
      <c r="AX95" s="2810" t="e">
        <f>AX94*('Data Entry - SOF'!O74/100)</f>
        <v>#DIV/0!</v>
      </c>
      <c r="AY95" s="1797"/>
      <c r="AZ95" s="2458"/>
      <c r="BA95" s="2461"/>
      <c r="BB95" s="1437" t="s">
        <v>3856</v>
      </c>
      <c r="BC95" s="2813" t="e">
        <f>BC94*('Data Entry - SOF'!Q74/100)</f>
        <v>#DIV/0!</v>
      </c>
      <c r="BD95" s="1416"/>
      <c r="BE95" s="2445"/>
      <c r="BF95" s="1797"/>
      <c r="BG95" s="1437" t="s">
        <v>3856</v>
      </c>
      <c r="BH95" s="2819" t="e">
        <f>BH94*('Data Entry - SOF'!S74/100)</f>
        <v>#DIV/0!</v>
      </c>
      <c r="BI95" s="2477"/>
      <c r="BJ95" s="2477"/>
      <c r="BK95" s="2478"/>
      <c r="BL95" s="2461"/>
      <c r="BM95" s="2461"/>
      <c r="BN95" s="2461"/>
      <c r="BO95" s="2461"/>
      <c r="BP95" s="2461"/>
      <c r="BQ95" s="2461"/>
      <c r="BR95" s="2461"/>
      <c r="BS95" s="2461"/>
      <c r="BT95" s="2461"/>
      <c r="BU95" s="2461"/>
      <c r="BV95" s="2461"/>
      <c r="BW95" s="2461"/>
      <c r="BX95" s="2461"/>
      <c r="BY95" s="2461"/>
      <c r="BZ95" s="2461"/>
    </row>
    <row r="96" spans="1:78" s="152" customFormat="1">
      <c r="A96"/>
      <c r="B96" s="73"/>
      <c r="C96" s="2105"/>
      <c r="D96" s="1132"/>
      <c r="E96" s="658"/>
      <c r="F96" s="1158"/>
      <c r="G96" s="1184"/>
      <c r="H96" s="1210"/>
      <c r="I96" s="1322"/>
      <c r="J96" s="1713"/>
      <c r="K96" s="368"/>
      <c r="L96" s="73"/>
      <c r="M96" s="73"/>
      <c r="N96" s="73"/>
      <c r="O96"/>
      <c r="P96" s="119"/>
      <c r="Q96"/>
      <c r="R96"/>
      <c r="S96"/>
      <c r="T96"/>
      <c r="U96"/>
      <c r="V96"/>
      <c r="W96"/>
      <c r="X96"/>
      <c r="Y96"/>
      <c r="Z96"/>
      <c r="AA96"/>
      <c r="AB96" s="2011"/>
      <c r="AC96" s="2185"/>
      <c r="AD96" s="2185"/>
      <c r="AE96" s="2189"/>
      <c r="AF96"/>
      <c r="AG96"/>
      <c r="AH96" s="995"/>
      <c r="AI96" s="995"/>
      <c r="AJ96"/>
      <c r="AK96"/>
      <c r="AL96"/>
      <c r="AM96" s="997"/>
      <c r="AN96"/>
      <c r="AO96"/>
      <c r="AP96"/>
      <c r="AQ96"/>
      <c r="AR96"/>
      <c r="AS96"/>
      <c r="AT96"/>
      <c r="AU96"/>
      <c r="AV96"/>
      <c r="AW96" s="1797"/>
      <c r="AX96" s="2466"/>
      <c r="AY96" s="2458"/>
      <c r="AZ96" s="2458"/>
      <c r="BA96" s="2461"/>
      <c r="BB96" s="1416"/>
      <c r="BC96" s="1416"/>
      <c r="BD96" s="1416"/>
      <c r="BE96" s="2445"/>
      <c r="BF96" s="1797"/>
      <c r="BG96" s="2477"/>
      <c r="BH96" s="1416"/>
      <c r="BI96" s="2477"/>
      <c r="BJ96" s="2477"/>
      <c r="BK96" s="2478"/>
      <c r="BL96" s="2461"/>
      <c r="BM96" s="2461"/>
      <c r="BN96" s="2461"/>
      <c r="BO96" s="2461"/>
      <c r="BP96" s="2461"/>
      <c r="BQ96" s="2461"/>
      <c r="BR96" s="2461"/>
      <c r="BS96" s="2461"/>
      <c r="BT96" s="2461"/>
      <c r="BU96" s="2461"/>
      <c r="BV96" s="2461"/>
      <c r="BW96" s="2461"/>
      <c r="BX96" s="2461"/>
      <c r="BY96" s="2461"/>
      <c r="BZ96" s="2461"/>
    </row>
    <row r="97" spans="1:78" s="152" customFormat="1">
      <c r="A97" s="71"/>
      <c r="B97" s="73"/>
      <c r="C97" s="2105"/>
      <c r="D97" s="1132"/>
      <c r="E97" s="658"/>
      <c r="F97" s="1158"/>
      <c r="G97" s="1184"/>
      <c r="H97" s="1210"/>
      <c r="I97" s="1322"/>
      <c r="J97" s="1713"/>
      <c r="K97" s="368"/>
      <c r="L97" s="73"/>
      <c r="M97" s="73"/>
      <c r="N97" s="73"/>
      <c r="O97"/>
      <c r="P97" s="119"/>
      <c r="Q97"/>
      <c r="R97"/>
      <c r="S97"/>
      <c r="T97"/>
      <c r="U97"/>
      <c r="V97"/>
      <c r="W97"/>
      <c r="X97"/>
      <c r="Y97"/>
      <c r="Z97"/>
      <c r="AA97"/>
      <c r="AB97" s="2011"/>
      <c r="AC97" s="2185"/>
      <c r="AD97" s="2185"/>
      <c r="AE97" s="2189"/>
      <c r="AF97"/>
      <c r="AG97"/>
      <c r="AH97" s="995"/>
      <c r="AI97" s="995"/>
      <c r="AJ97"/>
      <c r="AK97"/>
      <c r="AL97"/>
      <c r="AM97" s="997"/>
      <c r="AN97"/>
      <c r="AO97"/>
      <c r="AP97"/>
      <c r="AQ97"/>
      <c r="AR97"/>
      <c r="AS97"/>
      <c r="AT97"/>
      <c r="AU97"/>
      <c r="AV97"/>
      <c r="AW97" s="1797"/>
      <c r="AX97" s="2466"/>
      <c r="AY97" s="2458"/>
      <c r="AZ97" s="2458"/>
      <c r="BA97" s="2461"/>
      <c r="BB97" s="1416"/>
      <c r="BC97" s="1416"/>
      <c r="BD97" s="1416"/>
      <c r="BE97" s="2445"/>
      <c r="BF97" s="1797"/>
      <c r="BG97" s="2477"/>
      <c r="BH97" s="1416"/>
      <c r="BI97" s="2477"/>
      <c r="BJ97" s="2477"/>
      <c r="BK97" s="2478"/>
      <c r="BL97" s="2461"/>
      <c r="BM97" s="2461"/>
      <c r="BN97" s="2461"/>
      <c r="BO97" s="2461"/>
      <c r="BP97" s="2461"/>
      <c r="BQ97" s="2461"/>
      <c r="BR97" s="2461"/>
      <c r="BS97" s="2461"/>
      <c r="BT97" s="2461"/>
      <c r="BU97" s="2461"/>
      <c r="BV97" s="2461"/>
      <c r="BW97" s="2461"/>
      <c r="BX97" s="2461"/>
      <c r="BY97" s="2461"/>
      <c r="BZ97" s="2461"/>
    </row>
    <row r="98" spans="1:78" s="152" customFormat="1">
      <c r="A98"/>
      <c r="B98" s="73"/>
      <c r="C98" s="2105"/>
      <c r="D98" s="1132"/>
      <c r="E98" s="658"/>
      <c r="F98" s="1158"/>
      <c r="G98" s="1184"/>
      <c r="H98" s="1210"/>
      <c r="I98" s="1322"/>
      <c r="J98" s="1713"/>
      <c r="K98" s="368"/>
      <c r="L98" s="73"/>
      <c r="M98" s="73"/>
      <c r="N98" s="73"/>
      <c r="O98"/>
      <c r="P98" s="119"/>
      <c r="Q98"/>
      <c r="R98"/>
      <c r="S98"/>
      <c r="T98"/>
      <c r="U98"/>
      <c r="V98"/>
      <c r="W98"/>
      <c r="X98"/>
      <c r="Y98"/>
      <c r="Z98"/>
      <c r="AA98"/>
      <c r="AB98" s="2011"/>
      <c r="AC98" s="2185"/>
      <c r="AD98" s="2185"/>
      <c r="AE98" s="2189"/>
      <c r="AF98"/>
      <c r="AG98"/>
      <c r="AH98"/>
      <c r="AI98"/>
      <c r="AJ98"/>
      <c r="AK98"/>
      <c r="AL98"/>
      <c r="AM98" s="997"/>
      <c r="AN98"/>
      <c r="AO98"/>
      <c r="AP98"/>
      <c r="AQ98"/>
      <c r="AR98"/>
      <c r="AS98"/>
      <c r="AT98"/>
      <c r="AU98"/>
      <c r="AV98"/>
      <c r="AW98" s="1797"/>
      <c r="AX98" s="2466"/>
      <c r="AY98" s="2458"/>
      <c r="AZ98" s="2458"/>
      <c r="BA98" s="2461"/>
      <c r="BB98" s="1416"/>
      <c r="BC98" s="1416"/>
      <c r="BD98" s="1416"/>
      <c r="BE98" s="2445"/>
      <c r="BF98" s="1797"/>
      <c r="BG98" s="2477"/>
      <c r="BH98" s="1416"/>
      <c r="BI98" s="2477"/>
      <c r="BJ98" s="2477"/>
      <c r="BK98" s="2478"/>
      <c r="BL98" s="2461"/>
      <c r="BM98" s="2461"/>
      <c r="BN98" s="2461"/>
      <c r="BO98" s="2461"/>
      <c r="BP98" s="2461"/>
      <c r="BQ98" s="2461"/>
      <c r="BR98" s="2461"/>
      <c r="BS98" s="2461"/>
      <c r="BT98" s="2461"/>
      <c r="BU98" s="2461"/>
      <c r="BV98" s="2461"/>
      <c r="BW98" s="2461"/>
      <c r="BX98" s="2461"/>
      <c r="BY98" s="2461"/>
      <c r="BZ98" s="2461"/>
    </row>
    <row r="99" spans="1:78" s="152" customFormat="1">
      <c r="A99"/>
      <c r="B99" s="73"/>
      <c r="C99" s="2105"/>
      <c r="D99" s="1132"/>
      <c r="E99" s="658"/>
      <c r="F99" s="1158"/>
      <c r="G99" s="1184"/>
      <c r="H99" s="1210"/>
      <c r="I99" s="1322"/>
      <c r="J99" s="1713"/>
      <c r="K99" s="368"/>
      <c r="L99" s="73"/>
      <c r="M99" s="73"/>
      <c r="N99" s="73"/>
      <c r="O99"/>
      <c r="P99" s="119"/>
      <c r="Q99"/>
      <c r="R99"/>
      <c r="S99"/>
      <c r="T99"/>
      <c r="U99"/>
      <c r="V99"/>
      <c r="W99"/>
      <c r="X99"/>
      <c r="Y99"/>
      <c r="Z99"/>
      <c r="AA99"/>
      <c r="AB99" s="2138" t="s">
        <v>6172</v>
      </c>
      <c r="AC99" s="2190">
        <f>IF(AC81&lt;='Data Entry - SOF'!C154,0,IF(AC81&gt;'Data Entry - SOF'!C154+0.06,0.06*100,(AC81-'Data Entry - SOF'!C154)*100))</f>
        <v>0</v>
      </c>
      <c r="AD99" s="2191"/>
      <c r="AE99" s="2191"/>
      <c r="AF99"/>
      <c r="AG99"/>
      <c r="AH99"/>
      <c r="AI99"/>
      <c r="AJ99"/>
      <c r="AK99"/>
      <c r="AL99"/>
      <c r="AM99" s="997"/>
      <c r="AN99"/>
      <c r="AO99"/>
      <c r="AP99"/>
      <c r="AQ99"/>
      <c r="AR99"/>
      <c r="AS99"/>
      <c r="AT99"/>
      <c r="AU99"/>
      <c r="AV99"/>
      <c r="AW99" s="1797"/>
      <c r="AX99" s="1797"/>
      <c r="AY99" s="1797"/>
      <c r="AZ99" s="2458"/>
      <c r="BA99" s="2461"/>
      <c r="BB99" s="1416"/>
      <c r="BC99" s="1416"/>
      <c r="BD99" s="1416"/>
      <c r="BE99" s="1416"/>
      <c r="BF99" s="1797"/>
      <c r="BG99" s="2477"/>
      <c r="BH99" s="2477"/>
      <c r="BI99" s="2477"/>
      <c r="BJ99" s="2477"/>
      <c r="BK99" s="2478"/>
      <c r="BL99" s="2461"/>
      <c r="BM99" s="2461"/>
      <c r="BN99" s="2461"/>
      <c r="BO99" s="2461"/>
      <c r="BP99" s="2461"/>
      <c r="BQ99" s="2461"/>
      <c r="BR99" s="2461"/>
      <c r="BS99" s="2461"/>
      <c r="BT99" s="2461"/>
      <c r="BU99" s="2461"/>
      <c r="BV99" s="2461"/>
      <c r="BW99" s="2461"/>
      <c r="BX99" s="2461"/>
      <c r="BY99" s="2461"/>
      <c r="BZ99" s="2461"/>
    </row>
    <row r="100" spans="1:78" s="152" customFormat="1">
      <c r="A100"/>
      <c r="B100" s="73"/>
      <c r="C100" s="2105"/>
      <c r="D100" s="1132"/>
      <c r="E100" s="658"/>
      <c r="F100" s="1158"/>
      <c r="G100" s="1184"/>
      <c r="H100" s="1210"/>
      <c r="I100" s="1322"/>
      <c r="J100" s="1713"/>
      <c r="K100" s="368"/>
      <c r="L100" s="73"/>
      <c r="M100" s="73"/>
      <c r="N100" s="73"/>
      <c r="O100"/>
      <c r="P100" s="119"/>
      <c r="Q100"/>
      <c r="R100"/>
      <c r="S100"/>
      <c r="T100"/>
      <c r="U100"/>
      <c r="V100"/>
      <c r="W100"/>
      <c r="X100"/>
      <c r="Y100"/>
      <c r="Z100"/>
      <c r="AA100"/>
      <c r="AB100" s="2138" t="s">
        <v>6173</v>
      </c>
      <c r="AC100" s="2192" t="e">
        <f>AC99*AC90</f>
        <v>#REF!</v>
      </c>
      <c r="AD100" s="2191"/>
      <c r="AE100" s="2191"/>
      <c r="AF100"/>
      <c r="AG100"/>
      <c r="AH100"/>
      <c r="AI100"/>
      <c r="AJ100"/>
      <c r="AK100"/>
      <c r="AL100"/>
      <c r="AM100" s="997"/>
      <c r="AN100"/>
      <c r="AO100"/>
      <c r="AP100"/>
      <c r="AQ100"/>
      <c r="AR100"/>
      <c r="AS100"/>
      <c r="AT100"/>
      <c r="AU100"/>
      <c r="AV100"/>
      <c r="AW100" s="1797"/>
      <c r="AX100" s="1797"/>
      <c r="AY100" s="1797"/>
      <c r="AZ100" s="2458"/>
      <c r="BA100" s="2461"/>
      <c r="BB100" s="1416"/>
      <c r="BC100" s="1416"/>
      <c r="BD100" s="1416"/>
      <c r="BE100" s="1416"/>
      <c r="BF100" s="1797"/>
      <c r="BG100" s="2477"/>
      <c r="BH100" s="2477"/>
      <c r="BI100" s="2477"/>
      <c r="BJ100" s="2477"/>
      <c r="BK100" s="2478"/>
      <c r="BL100" s="2461"/>
      <c r="BM100" s="2461"/>
      <c r="BN100" s="2461"/>
      <c r="BO100" s="2461"/>
      <c r="BP100" s="2461"/>
      <c r="BQ100" s="2461"/>
      <c r="BR100" s="2461"/>
      <c r="BS100" s="2461"/>
      <c r="BT100" s="2461"/>
      <c r="BU100" s="2461"/>
      <c r="BV100" s="2461"/>
      <c r="BW100" s="2461"/>
      <c r="BX100" s="2461"/>
      <c r="BY100" s="2461"/>
      <c r="BZ100" s="2461"/>
    </row>
    <row r="101" spans="1:78" s="152" customFormat="1">
      <c r="A101"/>
      <c r="B101" s="73"/>
      <c r="C101" s="2105"/>
      <c r="D101" s="1132"/>
      <c r="E101" s="658"/>
      <c r="F101" s="1158"/>
      <c r="G101" s="1184"/>
      <c r="H101" s="1210"/>
      <c r="I101" s="1322"/>
      <c r="J101" s="1713"/>
      <c r="K101" s="368"/>
      <c r="L101" s="73"/>
      <c r="M101" s="73"/>
      <c r="N101" s="73"/>
      <c r="O101"/>
      <c r="P101" s="119"/>
      <c r="Q101"/>
      <c r="R101"/>
      <c r="S101"/>
      <c r="T101"/>
      <c r="U101"/>
      <c r="V101"/>
      <c r="W101"/>
      <c r="X101"/>
      <c r="Y101"/>
      <c r="Z101"/>
      <c r="AA101"/>
      <c r="AB101" s="2011"/>
      <c r="AC101" s="2193" t="s">
        <v>3855</v>
      </c>
      <c r="AD101" s="2190" t="e">
        <f>ROUND((AC100/'Data Entry - SOF'!C74)*100,4)</f>
        <v>#REF!</v>
      </c>
      <c r="AE101" s="2191"/>
      <c r="AF101"/>
      <c r="AG101"/>
      <c r="AH101"/>
      <c r="AI101"/>
      <c r="AJ101"/>
      <c r="AK101"/>
      <c r="AL101"/>
      <c r="AM101" s="997"/>
      <c r="AN101"/>
      <c r="AO101"/>
      <c r="AP101"/>
      <c r="AQ101"/>
      <c r="AR101"/>
      <c r="AS101"/>
      <c r="AT101"/>
      <c r="AU101"/>
      <c r="AV101"/>
      <c r="AW101" s="1797"/>
      <c r="AX101" s="1797"/>
      <c r="AY101" s="1797"/>
      <c r="AZ101" s="2462"/>
      <c r="BA101" s="2461"/>
      <c r="BB101" s="1416"/>
      <c r="BC101" s="1416"/>
      <c r="BD101" s="1416"/>
      <c r="BE101" s="1416"/>
      <c r="BF101" s="1797"/>
      <c r="BG101" s="2477"/>
      <c r="BH101" s="2477"/>
      <c r="BI101" s="2477"/>
      <c r="BJ101" s="2477"/>
      <c r="BK101" s="2478"/>
      <c r="BL101" s="2461"/>
      <c r="BM101" s="2461"/>
      <c r="BN101" s="2461"/>
      <c r="BO101" s="2461"/>
      <c r="BP101" s="2461"/>
      <c r="BQ101" s="2461"/>
      <c r="BR101" s="2461"/>
      <c r="BS101" s="2461"/>
      <c r="BT101" s="2461"/>
      <c r="BU101" s="2461"/>
      <c r="BV101" s="2461"/>
      <c r="BW101" s="2461"/>
      <c r="BX101" s="2461"/>
      <c r="BY101" s="2461"/>
      <c r="BZ101" s="2461"/>
    </row>
    <row r="102" spans="1:78" s="152" customFormat="1">
      <c r="A102"/>
      <c r="B102" s="73"/>
      <c r="C102" s="2105"/>
      <c r="D102" s="1132"/>
      <c r="E102" s="658"/>
      <c r="F102" s="1158"/>
      <c r="G102" s="1184"/>
      <c r="H102" s="1210"/>
      <c r="I102" s="1322"/>
      <c r="J102" s="1713"/>
      <c r="K102" s="368"/>
      <c r="L102" s="73"/>
      <c r="M102" s="73"/>
      <c r="N102" s="73"/>
      <c r="O102"/>
      <c r="P102" s="119"/>
      <c r="Q102"/>
      <c r="R102"/>
      <c r="S102"/>
      <c r="T102"/>
      <c r="U102"/>
      <c r="V102"/>
      <c r="W102"/>
      <c r="X102"/>
      <c r="Y102"/>
      <c r="Z102"/>
      <c r="AA102"/>
      <c r="AB102" s="2011"/>
      <c r="AC102" s="2193" t="s">
        <v>3856</v>
      </c>
      <c r="AD102" s="2194" t="e">
        <f>AD101*('Data Entry - SOF'!C74/100)</f>
        <v>#REF!</v>
      </c>
      <c r="AE102" s="2191"/>
      <c r="AF102"/>
      <c r="AG102"/>
      <c r="AH102"/>
      <c r="AI102"/>
      <c r="AJ102"/>
      <c r="AK102"/>
      <c r="AL102"/>
      <c r="AM102" s="997"/>
      <c r="AN102"/>
      <c r="AO102"/>
      <c r="AP102"/>
      <c r="AQ102"/>
      <c r="AR102"/>
      <c r="AS102"/>
      <c r="AT102"/>
      <c r="AU102"/>
      <c r="AV102"/>
      <c r="AW102" s="1797"/>
      <c r="AX102" s="1797"/>
      <c r="AY102" s="1797"/>
      <c r="AZ102" s="2462"/>
      <c r="BA102" s="2461"/>
      <c r="BB102" s="1416"/>
      <c r="BC102" s="1416"/>
      <c r="BD102" s="1416"/>
      <c r="BE102" s="1416"/>
      <c r="BF102" s="1797"/>
      <c r="BG102" s="2477"/>
      <c r="BH102" s="2477"/>
      <c r="BI102" s="2477"/>
      <c r="BJ102" s="2477"/>
      <c r="BK102" s="2478"/>
      <c r="BL102" s="2461"/>
      <c r="BM102" s="2461"/>
      <c r="BN102" s="2461"/>
      <c r="BO102" s="2461"/>
      <c r="BP102" s="2461"/>
      <c r="BQ102" s="2461"/>
      <c r="BR102" s="2461"/>
      <c r="BS102" s="2461"/>
      <c r="BT102" s="2461"/>
      <c r="BU102" s="2461"/>
      <c r="BV102" s="2461"/>
      <c r="BW102" s="2461"/>
      <c r="BX102" s="2461"/>
      <c r="BY102" s="2461"/>
      <c r="BZ102" s="2461"/>
    </row>
    <row r="103" spans="1:78" s="152" customFormat="1">
      <c r="A103"/>
      <c r="B103" s="73"/>
      <c r="C103" s="2105"/>
      <c r="D103" s="1132"/>
      <c r="E103" s="658"/>
      <c r="F103" s="1158"/>
      <c r="G103" s="1184"/>
      <c r="H103" s="1210"/>
      <c r="I103" s="1322"/>
      <c r="J103" s="1713"/>
      <c r="K103" s="368"/>
      <c r="L103" s="73"/>
      <c r="M103" s="73"/>
      <c r="N103" s="73"/>
      <c r="O103"/>
      <c r="P103" s="119"/>
      <c r="Q103"/>
      <c r="R103"/>
      <c r="S103"/>
      <c r="T103"/>
      <c r="U103"/>
      <c r="V103"/>
      <c r="W103"/>
      <c r="X103"/>
      <c r="Y103"/>
      <c r="Z103"/>
      <c r="AA103"/>
      <c r="AB103" s="2011"/>
      <c r="AC103" s="2193" t="s">
        <v>3857</v>
      </c>
      <c r="AD103" s="2190" t="e">
        <f>AC84</f>
        <v>#REF!</v>
      </c>
      <c r="AE103" s="2191"/>
      <c r="AF103"/>
      <c r="AG103"/>
      <c r="AH103"/>
      <c r="AI103"/>
      <c r="AJ103"/>
      <c r="AK103"/>
      <c r="AL103"/>
      <c r="AM103" s="997"/>
      <c r="AN103"/>
      <c r="AO103"/>
      <c r="AP103"/>
      <c r="AQ103"/>
      <c r="AR103"/>
      <c r="AS103"/>
      <c r="AT103"/>
      <c r="AU103"/>
      <c r="AV103"/>
      <c r="AW103" s="1797"/>
      <c r="AX103" s="1797"/>
      <c r="AY103" s="1797"/>
      <c r="AZ103" s="2462"/>
      <c r="BA103" s="2461"/>
      <c r="BB103" s="1416"/>
      <c r="BC103" s="1416"/>
      <c r="BD103" s="1416"/>
      <c r="BE103" s="1416"/>
      <c r="BF103" s="1797"/>
      <c r="BG103" s="2477"/>
      <c r="BH103" s="2477"/>
      <c r="BI103" s="2477"/>
      <c r="BJ103" s="2477"/>
      <c r="BK103" s="2478"/>
      <c r="BL103" s="2461"/>
      <c r="BM103" s="2461"/>
      <c r="BN103" s="2461"/>
      <c r="BO103" s="2461"/>
      <c r="BP103" s="2461"/>
      <c r="BQ103" s="2461"/>
      <c r="BR103" s="2461"/>
      <c r="BS103" s="2461"/>
      <c r="BT103" s="2461"/>
      <c r="BU103" s="2461"/>
      <c r="BV103" s="2461"/>
      <c r="BW103" s="2461"/>
      <c r="BX103" s="2461"/>
      <c r="BY103" s="2461"/>
      <c r="BZ103" s="2461"/>
    </row>
    <row r="104" spans="1:78" s="152" customFormat="1">
      <c r="A104"/>
      <c r="B104" s="73"/>
      <c r="C104" s="2105"/>
      <c r="D104" s="1132"/>
      <c r="E104" s="658"/>
      <c r="F104" s="1158"/>
      <c r="G104" s="1184"/>
      <c r="H104" s="1210"/>
      <c r="I104" s="1322"/>
      <c r="J104" s="1713"/>
      <c r="K104" s="368"/>
      <c r="L104" s="73"/>
      <c r="M104" s="73"/>
      <c r="N104" s="73"/>
      <c r="O104"/>
      <c r="P104" s="119"/>
      <c r="Q104"/>
      <c r="R104"/>
      <c r="S104"/>
      <c r="T104"/>
      <c r="U104"/>
      <c r="V104"/>
      <c r="W104"/>
      <c r="X104"/>
      <c r="Y104"/>
      <c r="Z104"/>
      <c r="AA104"/>
      <c r="AB104" s="2011"/>
      <c r="AC104" s="2193" t="s">
        <v>3858</v>
      </c>
      <c r="AD104" s="2194" t="e">
        <f>AC88</f>
        <v>#REF!</v>
      </c>
      <c r="AE104" s="2191"/>
      <c r="AF104"/>
      <c r="AG104"/>
      <c r="AH104"/>
      <c r="AI104"/>
      <c r="AJ104"/>
      <c r="AK104"/>
      <c r="AL104"/>
      <c r="AM104" s="997"/>
      <c r="AN104"/>
      <c r="AO104"/>
      <c r="AP104"/>
      <c r="AQ104"/>
      <c r="AR104"/>
      <c r="AS104"/>
      <c r="AT104"/>
      <c r="AU104"/>
      <c r="AV104"/>
      <c r="AW104" s="1797"/>
      <c r="AX104" s="1797"/>
      <c r="AY104" s="1797"/>
      <c r="AZ104" s="2462"/>
      <c r="BA104" s="2461"/>
      <c r="BB104" s="1416"/>
      <c r="BC104" s="1416"/>
      <c r="BD104" s="1416"/>
      <c r="BE104" s="1416"/>
      <c r="BF104" s="1797"/>
      <c r="BG104" s="2477"/>
      <c r="BH104" s="2477"/>
      <c r="BI104" s="2477"/>
      <c r="BJ104" s="2477"/>
      <c r="BK104" s="2478"/>
      <c r="BL104" s="2461"/>
      <c r="BM104" s="2461"/>
      <c r="BN104" s="2461"/>
      <c r="BO104" s="2461"/>
      <c r="BP104" s="2461"/>
      <c r="BQ104" s="2461"/>
      <c r="BR104" s="2461"/>
      <c r="BS104" s="2461"/>
      <c r="BT104" s="2461"/>
      <c r="BU104" s="2461"/>
      <c r="BV104" s="2461"/>
      <c r="BW104" s="2461"/>
      <c r="BX104" s="2461"/>
      <c r="BY104" s="2461"/>
      <c r="BZ104" s="2461"/>
    </row>
    <row r="105" spans="1:78" s="152" customFormat="1">
      <c r="A105"/>
      <c r="B105" s="73"/>
      <c r="C105" s="2105"/>
      <c r="D105" s="1132"/>
      <c r="E105" s="658"/>
      <c r="F105" s="1158"/>
      <c r="G105" s="1184"/>
      <c r="H105" s="1210"/>
      <c r="I105" s="1322"/>
      <c r="J105" s="1713"/>
      <c r="K105" s="368"/>
      <c r="L105" s="73"/>
      <c r="M105" s="73"/>
      <c r="N105" s="73"/>
      <c r="O105"/>
      <c r="P105" s="119"/>
      <c r="Q105"/>
      <c r="R105"/>
      <c r="S105"/>
      <c r="T105"/>
      <c r="U105"/>
      <c r="V105"/>
      <c r="W105"/>
      <c r="X105"/>
      <c r="Y105"/>
      <c r="Z105"/>
      <c r="AA105"/>
      <c r="AB105" s="2011"/>
      <c r="AC105" s="2195"/>
      <c r="AD105" s="2196"/>
      <c r="AE105" s="2196"/>
      <c r="AF105"/>
      <c r="AG105"/>
      <c r="AH105"/>
      <c r="AI105"/>
      <c r="AJ105"/>
      <c r="AK105"/>
      <c r="AL105"/>
      <c r="AM105" s="997"/>
      <c r="AN105"/>
      <c r="AO105"/>
      <c r="AP105"/>
      <c r="AQ105"/>
      <c r="AR105"/>
      <c r="AS105"/>
      <c r="AT105"/>
      <c r="AU105"/>
      <c r="AV105"/>
      <c r="AW105" s="1797"/>
      <c r="AX105" s="2463"/>
      <c r="AY105" s="2464"/>
      <c r="AZ105" s="2464"/>
      <c r="BA105" s="2461"/>
      <c r="BB105" s="1416"/>
      <c r="BC105" s="1416"/>
      <c r="BD105" s="1416"/>
      <c r="BE105" s="1416"/>
      <c r="BF105" s="1797"/>
      <c r="BG105" s="2477"/>
      <c r="BH105" s="2477"/>
      <c r="BI105" s="2477"/>
      <c r="BJ105" s="2477"/>
      <c r="BK105" s="2478"/>
      <c r="BL105" s="2461"/>
      <c r="BM105" s="2461"/>
      <c r="BN105" s="2461"/>
      <c r="BO105" s="2461"/>
      <c r="BP105" s="2461"/>
      <c r="BQ105" s="2461"/>
      <c r="BR105" s="2461"/>
      <c r="BS105" s="2461"/>
      <c r="BT105" s="2461"/>
      <c r="BU105" s="2461"/>
      <c r="BV105" s="2461"/>
      <c r="BW105" s="2461"/>
      <c r="BX105" s="2461"/>
      <c r="BY105" s="2461"/>
      <c r="BZ105" s="2461"/>
    </row>
    <row r="106" spans="1:78" s="152" customFormat="1">
      <c r="A106"/>
      <c r="B106" s="73"/>
      <c r="C106" s="2105"/>
      <c r="D106" s="1132"/>
      <c r="E106" s="658"/>
      <c r="F106" s="1158"/>
      <c r="G106" s="1184"/>
      <c r="H106" s="1210"/>
      <c r="I106" s="1322"/>
      <c r="J106" s="1713"/>
      <c r="K106" s="368"/>
      <c r="L106" s="73"/>
      <c r="M106" s="73"/>
      <c r="N106" s="73"/>
      <c r="O106" s="35"/>
      <c r="P106" s="35"/>
      <c r="Q106"/>
      <c r="R106"/>
      <c r="S106"/>
      <c r="T106"/>
      <c r="U106"/>
      <c r="V106"/>
      <c r="W106"/>
      <c r="X106"/>
      <c r="Y106"/>
      <c r="Z106"/>
      <c r="AA106"/>
      <c r="AB106" s="2011"/>
      <c r="AC106" s="2135"/>
      <c r="AD106" s="2135"/>
      <c r="AE106" s="2135"/>
      <c r="AF106" s="119"/>
      <c r="AG106" s="995"/>
      <c r="AH106" s="995"/>
      <c r="AI106" s="995"/>
      <c r="AJ106" s="119"/>
      <c r="AK106" s="995"/>
      <c r="AL106" s="995"/>
      <c r="AM106" s="995"/>
      <c r="AN106" s="119"/>
      <c r="AO106" s="995"/>
      <c r="AP106" s="995"/>
      <c r="AQ106" s="995"/>
      <c r="AR106"/>
      <c r="AS106"/>
      <c r="AT106"/>
      <c r="AU106"/>
      <c r="AV106"/>
      <c r="AW106" s="1797"/>
      <c r="AX106" s="2443"/>
      <c r="AY106" s="2443"/>
      <c r="AZ106" s="2443"/>
      <c r="BA106" s="2461"/>
      <c r="BB106" s="1416"/>
      <c r="BC106" s="1416"/>
      <c r="BD106" s="1416"/>
      <c r="BE106" s="2479"/>
      <c r="BF106" s="1797"/>
      <c r="BG106" s="2477"/>
      <c r="BH106" s="2480"/>
      <c r="BI106" s="2480"/>
      <c r="BJ106" s="2480"/>
      <c r="BK106" s="2478"/>
      <c r="BL106" s="2461"/>
      <c r="BM106" s="2461"/>
      <c r="BN106" s="2461"/>
      <c r="BO106" s="2461"/>
      <c r="BP106" s="2461"/>
      <c r="BQ106" s="2461"/>
      <c r="BR106" s="2461"/>
      <c r="BS106" s="2461"/>
      <c r="BT106" s="2461"/>
      <c r="BU106" s="2461"/>
      <c r="BV106" s="2461"/>
      <c r="BW106" s="2461"/>
      <c r="BX106" s="2461"/>
      <c r="BY106" s="2461"/>
      <c r="BZ106" s="2461"/>
    </row>
    <row r="107" spans="1:78" s="152" customFormat="1">
      <c r="A107"/>
      <c r="B107" s="73"/>
      <c r="C107" s="2105"/>
      <c r="D107" s="1132"/>
      <c r="E107" s="658"/>
      <c r="F107" s="1158"/>
      <c r="G107" s="1184"/>
      <c r="H107" s="1210"/>
      <c r="I107" s="1322"/>
      <c r="J107" s="1713"/>
      <c r="K107" s="368"/>
      <c r="L107" s="73"/>
      <c r="M107" s="73"/>
      <c r="N107" s="73"/>
      <c r="O107"/>
      <c r="P107" s="119"/>
      <c r="Q107"/>
      <c r="R107"/>
      <c r="S107"/>
      <c r="T107"/>
      <c r="U107"/>
      <c r="V107"/>
      <c r="W107"/>
      <c r="X107"/>
      <c r="Y107"/>
      <c r="Z107"/>
      <c r="AA107" s="141"/>
      <c r="AB107" s="2011"/>
      <c r="AC107" s="2135"/>
      <c r="AD107" s="2135"/>
      <c r="AE107" s="2135"/>
      <c r="AF107" s="119"/>
      <c r="AG107" s="995"/>
      <c r="AH107" s="995"/>
      <c r="AI107" s="995"/>
      <c r="AJ107" s="119"/>
      <c r="AK107" s="995"/>
      <c r="AL107" s="995"/>
      <c r="AM107" s="995"/>
      <c r="AN107" s="119"/>
      <c r="AO107" s="995"/>
      <c r="AP107" s="995"/>
      <c r="AQ107" s="995"/>
      <c r="AR107" s="119"/>
      <c r="AS107" s="995"/>
      <c r="AT107" s="995"/>
      <c r="AU107" s="995"/>
      <c r="AV107" s="210"/>
      <c r="AW107" s="1797"/>
      <c r="AX107" s="2443"/>
      <c r="AY107" s="2443"/>
      <c r="AZ107" s="2443"/>
      <c r="BA107" s="2461"/>
      <c r="BB107" s="1416"/>
      <c r="BC107" s="2479"/>
      <c r="BD107" s="2479"/>
      <c r="BE107" s="2479"/>
      <c r="BF107" s="1797"/>
      <c r="BG107" s="2477"/>
      <c r="BH107" s="2480"/>
      <c r="BI107" s="2480"/>
      <c r="BJ107" s="2480"/>
      <c r="BK107" s="2478"/>
      <c r="BL107" s="2461"/>
      <c r="BM107" s="2461"/>
      <c r="BN107" s="2461"/>
      <c r="BO107" s="2461"/>
      <c r="BP107" s="2461"/>
      <c r="BQ107" s="2461"/>
      <c r="BR107" s="2461"/>
      <c r="BS107" s="2461"/>
      <c r="BT107" s="2461"/>
      <c r="BU107" s="2461"/>
      <c r="BV107" s="2461"/>
      <c r="BW107" s="2461"/>
      <c r="BX107" s="2461"/>
      <c r="BY107" s="2461"/>
      <c r="BZ107" s="2461"/>
    </row>
    <row r="108" spans="1:78" s="152" customFormat="1">
      <c r="A108"/>
      <c r="B108" s="73"/>
      <c r="C108" s="2105"/>
      <c r="D108" s="1132"/>
      <c r="E108" s="658"/>
      <c r="F108" s="1158"/>
      <c r="G108" s="1184"/>
      <c r="H108" s="1210"/>
      <c r="I108" s="1322"/>
      <c r="J108" s="1713"/>
      <c r="K108" s="368"/>
      <c r="L108" s="73"/>
      <c r="M108" s="73"/>
      <c r="N108" s="73"/>
      <c r="O108"/>
      <c r="P108" s="119"/>
      <c r="Q108"/>
      <c r="R108"/>
      <c r="S108"/>
      <c r="T108"/>
      <c r="U108"/>
      <c r="V108"/>
      <c r="W108"/>
      <c r="X108"/>
      <c r="Y108"/>
      <c r="Z108"/>
      <c r="AA108"/>
      <c r="AB108" s="2011"/>
      <c r="AC108" s="2135"/>
      <c r="AD108" s="2135"/>
      <c r="AE108" s="2135"/>
      <c r="AF108" s="119"/>
      <c r="AG108" s="995"/>
      <c r="AH108" s="995"/>
      <c r="AI108" s="995"/>
      <c r="AJ108" s="119"/>
      <c r="AK108" s="995"/>
      <c r="AL108" s="995"/>
      <c r="AM108" s="995"/>
      <c r="AN108" s="119"/>
      <c r="AO108" s="995"/>
      <c r="AP108" s="995"/>
      <c r="AQ108" s="995"/>
      <c r="AR108" s="119"/>
      <c r="AS108" s="995"/>
      <c r="AT108" s="995"/>
      <c r="AU108" s="995"/>
      <c r="AV108" s="210"/>
      <c r="AW108" s="1797"/>
      <c r="AX108" s="2443"/>
      <c r="AY108" s="2443"/>
      <c r="AZ108" s="2443"/>
      <c r="BA108" s="2461"/>
      <c r="BB108" s="1416"/>
      <c r="BC108" s="2479"/>
      <c r="BD108" s="2479"/>
      <c r="BE108" s="2479"/>
      <c r="BF108" s="1797"/>
      <c r="BG108" s="2477"/>
      <c r="BH108" s="2480"/>
      <c r="BI108" s="2480"/>
      <c r="BJ108" s="2480"/>
      <c r="BK108" s="2478"/>
      <c r="BL108" s="2461"/>
      <c r="BM108" s="2461"/>
      <c r="BN108" s="2461"/>
      <c r="BO108" s="2461"/>
      <c r="BP108" s="2461"/>
      <c r="BQ108" s="2461"/>
      <c r="BR108" s="2461"/>
      <c r="BS108" s="2461"/>
      <c r="BT108" s="2461"/>
      <c r="BU108" s="2461"/>
      <c r="BV108" s="2461"/>
      <c r="BW108" s="2461"/>
      <c r="BX108" s="2461"/>
      <c r="BY108" s="2461"/>
      <c r="BZ108" s="2461"/>
    </row>
    <row r="109" spans="1:78" s="152" customFormat="1">
      <c r="A109"/>
      <c r="B109" s="73"/>
      <c r="C109" s="2105"/>
      <c r="D109" s="1132"/>
      <c r="E109" s="658"/>
      <c r="F109" s="1158"/>
      <c r="G109" s="1184"/>
      <c r="H109" s="1210"/>
      <c r="I109" s="1322"/>
      <c r="J109" s="1713"/>
      <c r="K109" s="368"/>
      <c r="L109" s="73"/>
      <c r="M109" s="73"/>
      <c r="N109" s="73"/>
      <c r="O109"/>
      <c r="P109" s="119"/>
      <c r="Q109"/>
      <c r="R109"/>
      <c r="S109"/>
      <c r="T109"/>
      <c r="U109"/>
      <c r="V109"/>
      <c r="W109"/>
      <c r="X109"/>
      <c r="Y109"/>
      <c r="Z109"/>
      <c r="AA109"/>
      <c r="AB109" s="2011"/>
      <c r="AC109" s="2135"/>
      <c r="AD109" s="2135"/>
      <c r="AE109" s="2135"/>
      <c r="AF109" s="119"/>
      <c r="AG109" s="995"/>
      <c r="AH109" s="995"/>
      <c r="AI109" s="995"/>
      <c r="AJ109" s="119"/>
      <c r="AK109" s="995"/>
      <c r="AL109" s="995"/>
      <c r="AM109" s="995"/>
      <c r="AN109" s="119"/>
      <c r="AO109" s="995"/>
      <c r="AP109" s="995"/>
      <c r="AQ109" s="995"/>
      <c r="AR109" s="119"/>
      <c r="AS109" s="995"/>
      <c r="AT109" s="995"/>
      <c r="AU109" s="995"/>
      <c r="AV109" s="210"/>
      <c r="AW109" s="1797"/>
      <c r="AX109" s="2443"/>
      <c r="AY109" s="2443"/>
      <c r="AZ109" s="2443"/>
      <c r="BA109" s="2461"/>
      <c r="BB109" s="1416"/>
      <c r="BC109" s="2479"/>
      <c r="BD109" s="2479"/>
      <c r="BE109" s="2479"/>
      <c r="BF109" s="1797"/>
      <c r="BG109" s="2477"/>
      <c r="BH109" s="2480"/>
      <c r="BI109" s="2480"/>
      <c r="BJ109" s="2480"/>
      <c r="BK109" s="2478"/>
      <c r="BL109" s="2461"/>
      <c r="BM109" s="2461"/>
      <c r="BN109" s="2461"/>
      <c r="BO109" s="2461"/>
      <c r="BP109" s="2461"/>
      <c r="BQ109" s="2461"/>
      <c r="BR109" s="2461"/>
      <c r="BS109" s="2461"/>
      <c r="BT109" s="2461"/>
      <c r="BU109" s="2461"/>
      <c r="BV109" s="2461"/>
      <c r="BW109" s="2461"/>
      <c r="BX109" s="2461"/>
      <c r="BY109" s="2461"/>
      <c r="BZ109" s="2461"/>
    </row>
    <row r="110" spans="1:78" s="152" customFormat="1">
      <c r="A110"/>
      <c r="B110" s="72"/>
      <c r="C110" s="2105"/>
      <c r="D110" s="1132"/>
      <c r="E110" s="658"/>
      <c r="F110" s="1158"/>
      <c r="G110" s="1184"/>
      <c r="H110" s="1210"/>
      <c r="I110" s="1322"/>
      <c r="J110" s="1713"/>
      <c r="K110" s="368"/>
      <c r="L110" s="73"/>
      <c r="M110" s="73"/>
      <c r="N110" s="73"/>
      <c r="O110" s="250"/>
      <c r="P110" s="258"/>
      <c r="Q110" s="259"/>
      <c r="R110" s="260"/>
      <c r="S110" s="261"/>
      <c r="T110" s="262"/>
      <c r="U110" s="263"/>
      <c r="V110"/>
      <c r="W110"/>
      <c r="X110"/>
      <c r="Y110"/>
      <c r="Z110"/>
      <c r="AA110"/>
      <c r="AB110" s="2011"/>
      <c r="AC110" s="2135"/>
      <c r="AD110" s="2135"/>
      <c r="AE110" s="2135"/>
      <c r="AF110" s="119"/>
      <c r="AG110" s="995"/>
      <c r="AH110" s="995"/>
      <c r="AI110" s="995"/>
      <c r="AJ110" s="119"/>
      <c r="AK110" s="995"/>
      <c r="AL110" s="995"/>
      <c r="AM110" s="995"/>
      <c r="AN110" s="119"/>
      <c r="AO110" s="995"/>
      <c r="AP110" s="995"/>
      <c r="AQ110" s="995"/>
      <c r="AR110" s="119"/>
      <c r="AS110" s="995"/>
      <c r="AT110" s="995"/>
      <c r="AU110" s="995"/>
      <c r="AV110" s="210"/>
      <c r="AW110" s="1797"/>
      <c r="AX110" s="2443"/>
      <c r="AY110" s="2443"/>
      <c r="AZ110" s="2443"/>
      <c r="BA110" s="2461"/>
      <c r="BB110" s="1416"/>
      <c r="BC110" s="2479"/>
      <c r="BD110" s="2479"/>
      <c r="BE110" s="2479"/>
      <c r="BF110" s="1797"/>
      <c r="BG110" s="2477"/>
      <c r="BH110" s="2480"/>
      <c r="BI110" s="2480"/>
      <c r="BJ110" s="2480"/>
      <c r="BK110" s="2478"/>
      <c r="BL110" s="2461"/>
      <c r="BM110" s="2461"/>
      <c r="BN110" s="2461"/>
      <c r="BO110" s="2461"/>
      <c r="BP110" s="2461"/>
      <c r="BQ110" s="2461"/>
      <c r="BR110" s="2461"/>
      <c r="BS110" s="2461"/>
      <c r="BT110" s="2461"/>
      <c r="BU110" s="2461"/>
      <c r="BV110" s="2461"/>
      <c r="BW110" s="2461"/>
      <c r="BX110" s="2461"/>
      <c r="BY110" s="2461"/>
      <c r="BZ110" s="2461"/>
    </row>
    <row r="111" spans="1:78" s="152" customFormat="1">
      <c r="A111"/>
      <c r="B111" s="72"/>
      <c r="C111" s="2131"/>
      <c r="D111" s="1156"/>
      <c r="E111" s="677"/>
      <c r="F111" s="1182"/>
      <c r="G111" s="1208"/>
      <c r="H111" s="1234"/>
      <c r="I111" s="1354"/>
      <c r="J111" s="1747"/>
      <c r="K111" s="625"/>
      <c r="L111" s="210"/>
      <c r="M111" s="335"/>
      <c r="N111" s="336"/>
      <c r="O111" s="250"/>
      <c r="P111" s="258"/>
      <c r="Q111" s="259"/>
      <c r="R111" s="260"/>
      <c r="S111" s="261"/>
      <c r="T111" s="262"/>
      <c r="U111" s="263"/>
      <c r="V111"/>
      <c r="W111"/>
      <c r="X111"/>
      <c r="Y111"/>
      <c r="Z111"/>
      <c r="AA111"/>
      <c r="AB111" s="2011"/>
      <c r="AC111" s="2135"/>
      <c r="AD111" s="2135"/>
      <c r="AE111" s="2135"/>
      <c r="AF111" s="119"/>
      <c r="AG111" s="995"/>
      <c r="AH111" s="995"/>
      <c r="AI111" s="995"/>
      <c r="AJ111" s="119"/>
      <c r="AK111" s="995"/>
      <c r="AL111" s="995"/>
      <c r="AM111" s="995"/>
      <c r="AN111" s="119"/>
      <c r="AO111" s="995"/>
      <c r="AP111" s="995"/>
      <c r="AQ111" s="995"/>
      <c r="AR111" s="119"/>
      <c r="AS111" s="995"/>
      <c r="AT111" s="995"/>
      <c r="AU111" s="995"/>
      <c r="AV111" s="210"/>
      <c r="AW111" s="1797"/>
      <c r="AX111" s="2443"/>
      <c r="AY111" s="2443"/>
      <c r="AZ111" s="2443"/>
      <c r="BA111" s="2461"/>
      <c r="BB111" s="1416"/>
      <c r="BC111" s="2479"/>
      <c r="BD111" s="2479"/>
      <c r="BE111" s="2479"/>
      <c r="BF111" s="1797"/>
      <c r="BG111" s="2477"/>
      <c r="BH111" s="2480"/>
      <c r="BI111" s="2480"/>
      <c r="BJ111" s="2480"/>
      <c r="BK111" s="2478"/>
      <c r="BL111" s="2461"/>
      <c r="BM111" s="2461"/>
      <c r="BN111" s="2461"/>
      <c r="BO111" s="2461"/>
      <c r="BP111" s="2461"/>
      <c r="BQ111" s="2461"/>
      <c r="BR111" s="2461"/>
      <c r="BS111" s="2461"/>
      <c r="BT111" s="2461"/>
      <c r="BU111" s="2461"/>
      <c r="BV111" s="2461"/>
      <c r="BW111" s="2461"/>
      <c r="BX111" s="2461"/>
      <c r="BY111" s="2461"/>
      <c r="BZ111" s="2461"/>
    </row>
    <row r="112" spans="1:78" s="152" customFormat="1">
      <c r="A112"/>
      <c r="B112" s="72"/>
      <c r="C112" s="2131"/>
      <c r="D112" s="1156"/>
      <c r="E112" s="677"/>
      <c r="F112" s="1182"/>
      <c r="G112" s="1208"/>
      <c r="H112" s="1234"/>
      <c r="I112" s="1354"/>
      <c r="J112" s="1747"/>
      <c r="K112" s="625"/>
      <c r="L112" s="210"/>
      <c r="M112" s="335"/>
      <c r="N112" s="336"/>
      <c r="O112" s="250"/>
      <c r="P112" s="258"/>
      <c r="Q112" s="259"/>
      <c r="R112" s="260"/>
      <c r="S112" s="261"/>
      <c r="T112" s="262"/>
      <c r="U112" s="263"/>
      <c r="V112"/>
      <c r="W112"/>
      <c r="X112"/>
      <c r="Y112"/>
      <c r="Z112"/>
      <c r="AA112"/>
      <c r="AB112" s="2011"/>
      <c r="AC112" s="2135"/>
      <c r="AD112" s="2135"/>
      <c r="AE112" s="2135"/>
      <c r="AF112" s="119"/>
      <c r="AG112" s="995"/>
      <c r="AH112" s="995"/>
      <c r="AI112" s="995"/>
      <c r="AJ112" s="119"/>
      <c r="AK112" s="995"/>
      <c r="AL112" s="995"/>
      <c r="AM112" s="995"/>
      <c r="AN112" s="119"/>
      <c r="AO112" s="995"/>
      <c r="AP112" s="995"/>
      <c r="AQ112" s="995"/>
      <c r="AR112" s="119"/>
      <c r="AS112" s="995"/>
      <c r="AT112" s="995"/>
      <c r="AU112" s="995"/>
      <c r="AV112" s="210"/>
      <c r="AW112" s="1797"/>
      <c r="AX112" s="2443"/>
      <c r="AY112" s="2443"/>
      <c r="AZ112" s="2443"/>
      <c r="BA112" s="2461"/>
      <c r="BB112" s="1416"/>
      <c r="BC112" s="2479"/>
      <c r="BD112" s="2479"/>
      <c r="BE112" s="2479"/>
      <c r="BF112" s="1797"/>
      <c r="BG112" s="2477"/>
      <c r="BH112" s="2480"/>
      <c r="BI112" s="2480"/>
      <c r="BJ112" s="2480"/>
      <c r="BK112" s="2478"/>
      <c r="BL112" s="2461"/>
      <c r="BM112" s="2461"/>
      <c r="BN112" s="2461"/>
      <c r="BO112" s="2461"/>
      <c r="BP112" s="2461"/>
      <c r="BQ112" s="2461"/>
      <c r="BR112" s="2461"/>
      <c r="BS112" s="2461"/>
      <c r="BT112" s="2461"/>
      <c r="BU112" s="2461"/>
      <c r="BV112" s="2461"/>
      <c r="BW112" s="2461"/>
      <c r="BX112" s="2461"/>
      <c r="BY112" s="2461"/>
      <c r="BZ112" s="2461"/>
    </row>
    <row r="113" spans="1:78" s="152" customFormat="1">
      <c r="A113"/>
      <c r="B113" s="72"/>
      <c r="C113" s="2131"/>
      <c r="D113" s="1156"/>
      <c r="E113" s="677"/>
      <c r="F113" s="1182"/>
      <c r="G113" s="1208"/>
      <c r="H113" s="1234"/>
      <c r="I113" s="1354"/>
      <c r="J113" s="1747"/>
      <c r="K113" s="625"/>
      <c r="L113" s="210"/>
      <c r="M113" s="335"/>
      <c r="N113" s="336"/>
      <c r="O113" s="250"/>
      <c r="P113" s="258"/>
      <c r="Q113" s="259"/>
      <c r="R113" s="260"/>
      <c r="S113" s="261"/>
      <c r="T113" s="262"/>
      <c r="U113" s="263"/>
      <c r="V113"/>
      <c r="W113"/>
      <c r="X113"/>
      <c r="Y113"/>
      <c r="Z113"/>
      <c r="AA113"/>
      <c r="AB113" s="2011"/>
      <c r="AC113" s="2135"/>
      <c r="AD113" s="2135"/>
      <c r="AE113" s="2135"/>
      <c r="AF113" s="119"/>
      <c r="AG113" s="995"/>
      <c r="AH113" s="995"/>
      <c r="AI113" s="995"/>
      <c r="AJ113" s="119"/>
      <c r="AK113" s="995"/>
      <c r="AL113" s="995"/>
      <c r="AM113" s="995"/>
      <c r="AN113" s="119"/>
      <c r="AO113" s="995"/>
      <c r="AP113" s="995"/>
      <c r="AQ113" s="995"/>
      <c r="AR113" s="119"/>
      <c r="AS113" s="995"/>
      <c r="AT113" s="995"/>
      <c r="AU113" s="995"/>
      <c r="AV113" s="210"/>
      <c r="AW113" s="1797"/>
      <c r="AX113" s="2443"/>
      <c r="AY113" s="2443"/>
      <c r="AZ113" s="2443"/>
      <c r="BA113" s="2461"/>
      <c r="BB113" s="1416"/>
      <c r="BC113" s="2479"/>
      <c r="BD113" s="2479"/>
      <c r="BE113" s="2479"/>
      <c r="BF113" s="1797"/>
      <c r="BG113" s="2477"/>
      <c r="BH113" s="2480"/>
      <c r="BI113" s="2480"/>
      <c r="BJ113" s="2480"/>
      <c r="BK113" s="2478"/>
      <c r="BL113" s="2461"/>
      <c r="BM113" s="2461"/>
      <c r="BN113" s="2461"/>
      <c r="BO113" s="2461"/>
      <c r="BP113" s="2461"/>
      <c r="BQ113" s="2461"/>
      <c r="BR113" s="2461"/>
      <c r="BS113" s="2461"/>
      <c r="BT113" s="2461"/>
      <c r="BU113" s="2461"/>
      <c r="BV113" s="2461"/>
      <c r="BW113" s="2461"/>
      <c r="BX113" s="2461"/>
      <c r="BY113" s="2461"/>
      <c r="BZ113" s="2461"/>
    </row>
    <row r="114" spans="1:78" s="152" customFormat="1">
      <c r="A114"/>
      <c r="B114" s="72"/>
      <c r="C114" s="2131"/>
      <c r="D114" s="1156"/>
      <c r="E114" s="677"/>
      <c r="F114" s="1182"/>
      <c r="G114" s="1208"/>
      <c r="H114" s="1234"/>
      <c r="I114" s="1354"/>
      <c r="J114" s="1747"/>
      <c r="K114" s="625"/>
      <c r="L114" s="210"/>
      <c r="M114" s="335"/>
      <c r="N114" s="336"/>
      <c r="O114" s="250"/>
      <c r="P114" s="258"/>
      <c r="Q114" s="259"/>
      <c r="R114" s="260"/>
      <c r="S114" s="261"/>
      <c r="T114" s="262"/>
      <c r="U114" s="263"/>
      <c r="V114"/>
      <c r="W114"/>
      <c r="X114"/>
      <c r="Y114"/>
      <c r="Z114"/>
      <c r="AA114"/>
      <c r="AB114" s="2011"/>
      <c r="AC114" s="2135"/>
      <c r="AD114" s="2135"/>
      <c r="AE114" s="2135"/>
      <c r="AF114" s="119"/>
      <c r="AG114" s="995"/>
      <c r="AH114" s="995"/>
      <c r="AI114" s="995"/>
      <c r="AJ114" s="119"/>
      <c r="AK114" s="995"/>
      <c r="AL114" s="995"/>
      <c r="AM114" s="995"/>
      <c r="AN114" s="119"/>
      <c r="AO114" s="995"/>
      <c r="AP114" s="995"/>
      <c r="AQ114" s="995"/>
      <c r="AR114" s="119"/>
      <c r="AS114" s="995"/>
      <c r="AT114" s="995"/>
      <c r="AU114" s="995"/>
      <c r="AV114" s="210"/>
      <c r="AW114" s="1797"/>
      <c r="AX114" s="2443"/>
      <c r="AY114" s="2443"/>
      <c r="AZ114" s="2443"/>
      <c r="BA114" s="2461"/>
      <c r="BB114" s="1416"/>
      <c r="BC114" s="2479"/>
      <c r="BD114" s="2479"/>
      <c r="BE114" s="2479"/>
      <c r="BF114" s="1797"/>
      <c r="BG114" s="2477"/>
      <c r="BH114" s="2480"/>
      <c r="BI114" s="2480"/>
      <c r="BJ114" s="2480"/>
      <c r="BK114" s="2478"/>
      <c r="BL114" s="2461"/>
      <c r="BM114" s="2461"/>
      <c r="BN114" s="2461"/>
      <c r="BO114" s="2461"/>
      <c r="BP114" s="2461"/>
      <c r="BQ114" s="2461"/>
      <c r="BR114" s="2461"/>
      <c r="BS114" s="2461"/>
      <c r="BT114" s="2461"/>
      <c r="BU114" s="2461"/>
      <c r="BV114" s="2461"/>
      <c r="BW114" s="2461"/>
      <c r="BX114" s="2461"/>
      <c r="BY114" s="2461"/>
      <c r="BZ114" s="2461"/>
    </row>
    <row r="115" spans="1:78">
      <c r="B115" s="72"/>
      <c r="D115" s="1157"/>
      <c r="E115" s="678"/>
      <c r="F115" s="1183"/>
      <c r="G115" s="1209"/>
      <c r="H115" s="1235"/>
      <c r="I115" s="1355"/>
      <c r="J115" s="1748"/>
      <c r="K115" s="367"/>
      <c r="M115"/>
      <c r="P115" s="210"/>
      <c r="Q115" s="210"/>
      <c r="R115" s="210"/>
      <c r="S115" s="210"/>
      <c r="V115"/>
      <c r="AC115" s="2135"/>
      <c r="AD115" s="2135"/>
      <c r="AE115" s="2135"/>
      <c r="AF115" s="119"/>
      <c r="AG115" s="995"/>
      <c r="AH115" s="995"/>
      <c r="AI115" s="995"/>
      <c r="AJ115" s="119"/>
      <c r="AK115" s="995"/>
      <c r="AL115" s="995"/>
      <c r="AM115" s="995"/>
      <c r="AN115" s="119"/>
      <c r="AO115" s="995"/>
      <c r="AP115" s="995"/>
      <c r="AQ115" s="995"/>
      <c r="AR115" s="119"/>
      <c r="AS115" s="995"/>
      <c r="AT115" s="995"/>
      <c r="AU115" s="995"/>
      <c r="AV115" s="119"/>
      <c r="AX115" s="2443"/>
      <c r="AY115" s="2443"/>
      <c r="AZ115" s="2443"/>
      <c r="BC115" s="2479"/>
      <c r="BD115" s="2479"/>
      <c r="BE115" s="2479"/>
      <c r="BH115" s="2480"/>
      <c r="BI115" s="2480"/>
      <c r="BJ115" s="2480"/>
    </row>
    <row r="116" spans="1:78">
      <c r="B116" s="72"/>
      <c r="D116" s="1157"/>
      <c r="E116" s="678"/>
      <c r="F116" s="1183"/>
      <c r="G116" s="1209"/>
      <c r="H116" s="1235"/>
      <c r="I116" s="1355"/>
      <c r="J116" s="1748"/>
      <c r="K116" s="367"/>
      <c r="M116"/>
      <c r="P116" s="210"/>
      <c r="Q116" s="210"/>
      <c r="R116" s="210"/>
      <c r="S116" s="210"/>
      <c r="V116"/>
      <c r="AC116" s="2135"/>
      <c r="AD116" s="2135"/>
      <c r="AE116" s="2135"/>
      <c r="AF116" s="119"/>
      <c r="AG116" s="995"/>
      <c r="AH116" s="995"/>
      <c r="AI116" s="995"/>
      <c r="AJ116" s="119"/>
      <c r="AK116" s="995"/>
      <c r="AL116" s="995"/>
      <c r="AM116" s="995"/>
      <c r="AN116" s="119"/>
      <c r="AO116" s="995"/>
      <c r="AP116" s="995"/>
      <c r="AQ116" s="995"/>
      <c r="AR116" s="119"/>
      <c r="AS116" s="995"/>
      <c r="AT116" s="995"/>
      <c r="AU116" s="995"/>
      <c r="AV116" s="119"/>
      <c r="AX116" s="2443"/>
      <c r="AY116" s="2443"/>
      <c r="AZ116" s="2443"/>
      <c r="BC116" s="2479"/>
      <c r="BD116" s="2479"/>
      <c r="BE116" s="2479"/>
      <c r="BH116" s="2480"/>
      <c r="BI116" s="2480"/>
      <c r="BJ116" s="2480"/>
    </row>
    <row r="117" spans="1:78">
      <c r="B117" s="72"/>
      <c r="D117" s="1157"/>
      <c r="E117" s="678"/>
      <c r="F117" s="1183"/>
      <c r="G117" s="1209"/>
      <c r="H117" s="1235"/>
      <c r="I117" s="1355"/>
      <c r="J117" s="1748"/>
      <c r="K117" s="367"/>
      <c r="M117"/>
      <c r="P117" s="210"/>
      <c r="Q117" s="210"/>
      <c r="R117" s="210"/>
      <c r="S117" s="210"/>
      <c r="V117"/>
      <c r="AC117" s="2135"/>
      <c r="AD117" s="2135"/>
      <c r="AE117" s="2135"/>
      <c r="AF117" s="119"/>
      <c r="AG117" s="995"/>
      <c r="AH117" s="995"/>
      <c r="AI117" s="995"/>
      <c r="AJ117" s="119"/>
      <c r="AK117" s="995"/>
      <c r="AL117" s="995"/>
      <c r="AM117" s="995"/>
      <c r="AN117" s="119"/>
      <c r="AO117" s="995"/>
      <c r="AP117" s="995"/>
      <c r="AQ117" s="995"/>
      <c r="AR117" s="119"/>
      <c r="AS117" s="995"/>
      <c r="AT117" s="995"/>
      <c r="AU117" s="995"/>
      <c r="AV117" s="119"/>
      <c r="AX117" s="2443"/>
      <c r="AY117" s="2443"/>
      <c r="AZ117" s="2443"/>
      <c r="BC117" s="2479"/>
      <c r="BD117" s="2479"/>
      <c r="BE117" s="2479"/>
      <c r="BH117" s="2480"/>
      <c r="BI117" s="2480"/>
      <c r="BJ117" s="2480"/>
    </row>
    <row r="118" spans="1:78">
      <c r="B118" s="72"/>
      <c r="D118" s="1157"/>
      <c r="E118" s="678"/>
      <c r="F118" s="1183"/>
      <c r="G118" s="1209"/>
      <c r="H118" s="1235"/>
      <c r="I118" s="1355"/>
      <c r="J118" s="1748"/>
      <c r="K118" s="367"/>
      <c r="M118"/>
      <c r="P118" s="210"/>
      <c r="Q118" s="210"/>
      <c r="R118" s="210"/>
      <c r="S118" s="210"/>
      <c r="V118"/>
      <c r="AC118" s="2135"/>
      <c r="AD118" s="2135"/>
      <c r="AE118" s="2135"/>
      <c r="AF118" s="119"/>
      <c r="AG118" s="995"/>
      <c r="AH118" s="995"/>
      <c r="AI118" s="995"/>
      <c r="AJ118" s="119"/>
      <c r="AK118" s="995"/>
      <c r="AL118" s="995"/>
      <c r="AM118" s="995"/>
      <c r="AN118" s="119"/>
      <c r="AO118" s="995"/>
      <c r="AP118" s="995"/>
      <c r="AQ118" s="995"/>
      <c r="AR118" s="119"/>
      <c r="AS118" s="995"/>
      <c r="AT118" s="995"/>
      <c r="AU118" s="995"/>
      <c r="AV118" s="119"/>
      <c r="AX118" s="2443"/>
      <c r="AY118" s="2443"/>
      <c r="AZ118" s="2443"/>
      <c r="BC118" s="2479"/>
      <c r="BD118" s="2479"/>
      <c r="BE118" s="2479"/>
      <c r="BH118" s="2480"/>
      <c r="BI118" s="2480"/>
      <c r="BJ118" s="2480"/>
    </row>
    <row r="119" spans="1:78">
      <c r="B119" s="72"/>
      <c r="D119" s="1157"/>
      <c r="E119" s="678"/>
      <c r="F119" s="1183"/>
      <c r="G119" s="1209"/>
      <c r="H119" s="1235"/>
      <c r="I119" s="1355"/>
      <c r="J119" s="1748"/>
      <c r="K119" s="367"/>
      <c r="M119"/>
      <c r="P119" s="210"/>
      <c r="Q119" s="210"/>
      <c r="R119" s="210"/>
      <c r="S119" s="210"/>
      <c r="V119"/>
      <c r="AC119" s="2135"/>
      <c r="AD119" s="2135"/>
      <c r="AE119" s="2135"/>
      <c r="AF119" s="119"/>
      <c r="AG119" s="995"/>
      <c r="AH119" s="995"/>
      <c r="AI119" s="995"/>
      <c r="AJ119" s="119"/>
      <c r="AK119" s="995"/>
      <c r="AL119" s="995"/>
      <c r="AM119" s="995"/>
      <c r="AN119" s="119"/>
      <c r="AO119" s="995"/>
      <c r="AP119" s="995"/>
      <c r="AQ119" s="995"/>
      <c r="AR119" s="119"/>
      <c r="AS119" s="995"/>
      <c r="AT119" s="995"/>
      <c r="AU119" s="995"/>
      <c r="AV119" s="119"/>
      <c r="AX119" s="2443"/>
      <c r="AY119" s="2443"/>
      <c r="AZ119" s="2443"/>
      <c r="BC119" s="2479"/>
      <c r="BD119" s="2479"/>
      <c r="BE119" s="2479"/>
      <c r="BH119" s="2480"/>
      <c r="BI119" s="2480"/>
      <c r="BJ119" s="2480"/>
    </row>
    <row r="120" spans="1:78">
      <c r="B120" s="72"/>
      <c r="D120" s="1157"/>
      <c r="E120" s="678"/>
      <c r="F120" s="1183"/>
      <c r="G120" s="1209"/>
      <c r="H120" s="1235"/>
      <c r="I120" s="1355"/>
      <c r="J120" s="1748"/>
      <c r="K120" s="367"/>
      <c r="M120"/>
      <c r="P120" s="210"/>
      <c r="Q120" s="210"/>
      <c r="R120" s="210"/>
      <c r="S120" s="210"/>
      <c r="V120"/>
      <c r="AC120" s="2135"/>
      <c r="AD120" s="2135"/>
      <c r="AE120" s="2135"/>
      <c r="AF120" s="119"/>
      <c r="AG120" s="995"/>
      <c r="AH120" s="995"/>
      <c r="AI120" s="995"/>
      <c r="AJ120" s="119"/>
      <c r="AK120" s="995"/>
      <c r="AL120" s="995"/>
      <c r="AM120" s="995"/>
      <c r="AN120" s="119"/>
      <c r="AO120" s="995"/>
      <c r="AP120" s="995"/>
      <c r="AQ120" s="995"/>
      <c r="AR120" s="119"/>
      <c r="AS120" s="995"/>
      <c r="AT120" s="995"/>
      <c r="AU120" s="995"/>
      <c r="AV120" s="119"/>
      <c r="AX120" s="2443"/>
      <c r="AY120" s="2443"/>
      <c r="AZ120" s="2443"/>
      <c r="BC120" s="2479"/>
      <c r="BD120" s="2479"/>
      <c r="BE120" s="2479"/>
      <c r="BH120" s="2480"/>
      <c r="BI120" s="2480"/>
      <c r="BJ120" s="2480"/>
    </row>
    <row r="121" spans="1:78">
      <c r="B121" s="72"/>
      <c r="D121" s="1157"/>
      <c r="E121" s="678"/>
      <c r="F121" s="1183"/>
      <c r="G121" s="1209"/>
      <c r="H121" s="1235"/>
      <c r="I121" s="1355"/>
      <c r="J121" s="1748"/>
      <c r="K121" s="367"/>
      <c r="M121"/>
      <c r="P121" s="210"/>
      <c r="Q121" s="210"/>
      <c r="R121" s="210"/>
      <c r="S121" s="210"/>
      <c r="V121"/>
      <c r="AL121" s="119"/>
      <c r="AM121" s="119"/>
    </row>
    <row r="122" spans="1:78">
      <c r="B122" s="72"/>
      <c r="D122" s="1157"/>
      <c r="E122" s="678"/>
      <c r="F122" s="1183"/>
      <c r="G122" s="1209"/>
      <c r="H122" s="1235"/>
      <c r="I122" s="1355"/>
      <c r="J122" s="1748"/>
      <c r="K122" s="367"/>
      <c r="M122"/>
      <c r="P122" s="210"/>
      <c r="Q122" s="210"/>
      <c r="R122" s="210"/>
      <c r="S122" s="210"/>
      <c r="V122"/>
      <c r="AL122" s="119"/>
      <c r="AM122" s="119"/>
    </row>
    <row r="123" spans="1:78">
      <c r="B123" s="72"/>
      <c r="D123" s="1157"/>
      <c r="E123" s="678"/>
      <c r="F123" s="1183"/>
      <c r="G123" s="1209"/>
      <c r="H123" s="1235"/>
      <c r="I123" s="1355"/>
      <c r="J123" s="1748"/>
      <c r="K123" s="367"/>
      <c r="M123"/>
      <c r="P123" s="210"/>
      <c r="Q123" s="210"/>
      <c r="R123" s="210"/>
      <c r="S123" s="210"/>
      <c r="V123"/>
      <c r="AL123" s="119"/>
      <c r="AM123" s="119"/>
    </row>
    <row r="124" spans="1:78">
      <c r="B124" s="72"/>
      <c r="D124" s="1157"/>
      <c r="E124" s="678"/>
      <c r="F124" s="1183"/>
      <c r="G124" s="1209"/>
      <c r="H124" s="1235"/>
      <c r="I124" s="1355"/>
      <c r="J124" s="1748"/>
      <c r="K124" s="367"/>
      <c r="M124"/>
      <c r="P124" s="210"/>
      <c r="Q124" s="210"/>
      <c r="R124" s="210"/>
      <c r="S124" s="210"/>
      <c r="V124"/>
      <c r="AL124" s="119"/>
      <c r="AM124" s="119"/>
    </row>
    <row r="125" spans="1:78">
      <c r="B125" s="72"/>
      <c r="D125" s="1157"/>
      <c r="E125" s="678"/>
      <c r="F125" s="1183"/>
      <c r="G125" s="1209"/>
      <c r="H125" s="1235"/>
      <c r="I125" s="1355"/>
      <c r="J125" s="1748"/>
      <c r="K125" s="367"/>
      <c r="M125"/>
      <c r="P125" s="210"/>
      <c r="Q125" s="210"/>
      <c r="R125" s="210"/>
      <c r="S125" s="210"/>
      <c r="V125"/>
      <c r="AL125" s="119"/>
      <c r="AM125" s="119"/>
    </row>
    <row r="126" spans="1:78">
      <c r="B126" s="72"/>
      <c r="D126" s="1157"/>
      <c r="E126" s="678"/>
      <c r="F126" s="1183"/>
      <c r="G126" s="1209"/>
      <c r="H126" s="1235"/>
      <c r="I126" s="1355"/>
      <c r="J126" s="1748"/>
      <c r="K126" s="367"/>
      <c r="M126"/>
      <c r="P126" s="210"/>
      <c r="Q126" s="210"/>
      <c r="R126" s="210"/>
      <c r="S126" s="210"/>
      <c r="V126"/>
      <c r="AL126" s="119"/>
      <c r="AM126" s="119"/>
    </row>
    <row r="127" spans="1:78">
      <c r="B127" s="72"/>
      <c r="D127" s="1157"/>
      <c r="E127" s="678"/>
      <c r="F127" s="1183"/>
      <c r="G127" s="1209"/>
      <c r="H127" s="1235"/>
      <c r="I127" s="1355"/>
      <c r="J127" s="1748"/>
      <c r="K127" s="367"/>
      <c r="M127"/>
      <c r="P127" s="210"/>
      <c r="Q127" s="210"/>
      <c r="R127" s="210"/>
      <c r="S127" s="210"/>
      <c r="V127"/>
      <c r="AL127" s="119"/>
      <c r="AM127" s="119"/>
    </row>
    <row r="128" spans="1:78">
      <c r="B128" s="72"/>
      <c r="D128" s="1157"/>
      <c r="E128" s="678"/>
      <c r="F128" s="1183"/>
      <c r="G128" s="1209"/>
      <c r="H128" s="1235"/>
      <c r="I128" s="1355"/>
      <c r="J128" s="1748"/>
    </row>
    <row r="129" spans="2:10">
      <c r="B129" s="72"/>
      <c r="D129" s="1157"/>
      <c r="E129" s="678"/>
      <c r="F129" s="1183"/>
      <c r="G129" s="1209"/>
      <c r="H129" s="1235"/>
      <c r="I129" s="1355"/>
      <c r="J129" s="1748"/>
    </row>
    <row r="130" spans="2:10">
      <c r="B130" s="72"/>
      <c r="D130" s="1157"/>
      <c r="E130" s="678"/>
      <c r="F130" s="1183"/>
      <c r="G130" s="1209"/>
      <c r="H130" s="1235"/>
      <c r="I130" s="1355"/>
      <c r="J130" s="1748"/>
    </row>
    <row r="131" spans="2:10">
      <c r="B131" s="72"/>
      <c r="D131" s="1157"/>
      <c r="E131" s="678"/>
      <c r="F131" s="1183"/>
      <c r="G131" s="1209"/>
      <c r="H131" s="1235"/>
      <c r="I131" s="1355"/>
      <c r="J131" s="1748"/>
    </row>
    <row r="132" spans="2:10">
      <c r="B132" s="72"/>
      <c r="D132" s="1157"/>
      <c r="E132" s="678"/>
      <c r="F132" s="1183"/>
      <c r="G132" s="1209"/>
      <c r="H132" s="1235"/>
      <c r="I132" s="1355"/>
      <c r="J132" s="1748"/>
    </row>
    <row r="133" spans="2:10">
      <c r="B133" s="72"/>
      <c r="D133" s="1157"/>
      <c r="E133" s="678"/>
      <c r="F133" s="1183"/>
      <c r="G133" s="1209"/>
      <c r="H133" s="1235"/>
      <c r="I133" s="1355"/>
      <c r="J133" s="1748"/>
    </row>
    <row r="134" spans="2:10">
      <c r="B134" s="72"/>
      <c r="D134" s="1157"/>
      <c r="E134" s="678"/>
      <c r="F134" s="1183"/>
      <c r="G134" s="1209"/>
      <c r="H134" s="1235"/>
      <c r="I134" s="1355"/>
      <c r="J134" s="1748"/>
    </row>
    <row r="135" spans="2:10">
      <c r="B135" s="72"/>
      <c r="D135" s="1157"/>
      <c r="E135" s="678"/>
      <c r="F135" s="1183"/>
      <c r="G135" s="1209"/>
      <c r="H135" s="1235"/>
      <c r="I135" s="1355"/>
      <c r="J135" s="1748"/>
    </row>
    <row r="136" spans="2:10">
      <c r="B136" s="72"/>
      <c r="D136" s="1157"/>
      <c r="E136" s="678"/>
      <c r="F136" s="1183"/>
      <c r="G136" s="1209"/>
      <c r="H136" s="1235"/>
      <c r="I136" s="1355"/>
      <c r="J136" s="1748"/>
    </row>
    <row r="137" spans="2:10">
      <c r="B137" s="72"/>
      <c r="D137" s="1157"/>
      <c r="E137" s="678"/>
      <c r="F137" s="1183"/>
      <c r="G137" s="1209"/>
      <c r="H137" s="1235"/>
      <c r="I137" s="1355"/>
      <c r="J137" s="1748"/>
    </row>
    <row r="138" spans="2:10">
      <c r="B138" s="72"/>
      <c r="D138" s="1157"/>
      <c r="E138" s="678"/>
      <c r="F138" s="1183"/>
      <c r="G138" s="1209"/>
      <c r="H138" s="1235"/>
      <c r="I138" s="1355"/>
      <c r="J138" s="1748"/>
    </row>
    <row r="139" spans="2:10">
      <c r="B139" s="72"/>
      <c r="D139" s="1157"/>
      <c r="E139" s="678"/>
      <c r="F139" s="1183"/>
      <c r="G139" s="1209"/>
      <c r="H139" s="1235"/>
      <c r="I139" s="1355"/>
      <c r="J139" s="1748"/>
    </row>
    <row r="140" spans="2:10">
      <c r="B140" s="72"/>
      <c r="D140" s="1157"/>
      <c r="E140" s="678"/>
      <c r="F140" s="1183"/>
      <c r="G140" s="1209"/>
      <c r="H140" s="1235"/>
      <c r="I140" s="1355"/>
      <c r="J140" s="1748"/>
    </row>
    <row r="141" spans="2:10">
      <c r="B141" s="72"/>
      <c r="D141" s="1157"/>
      <c r="E141" s="678"/>
      <c r="F141" s="1183"/>
      <c r="G141" s="1209"/>
      <c r="H141" s="1235"/>
      <c r="I141" s="1355"/>
      <c r="J141" s="1748"/>
    </row>
    <row r="142" spans="2:10">
      <c r="B142" s="72"/>
      <c r="D142" s="1157"/>
      <c r="E142" s="678"/>
      <c r="F142" s="1183"/>
      <c r="G142" s="1209"/>
      <c r="H142" s="1235"/>
      <c r="I142" s="1355"/>
      <c r="J142" s="1748"/>
    </row>
    <row r="143" spans="2:10">
      <c r="B143" s="72"/>
      <c r="D143" s="1157"/>
      <c r="E143" s="678"/>
      <c r="F143" s="1183"/>
      <c r="G143" s="1209"/>
      <c r="H143" s="1235"/>
      <c r="I143" s="1355"/>
      <c r="J143" s="1748"/>
    </row>
    <row r="144" spans="2:10">
      <c r="B144" s="72"/>
      <c r="D144" s="1157"/>
      <c r="E144" s="678"/>
      <c r="F144" s="1183"/>
      <c r="G144" s="1209"/>
      <c r="H144" s="1235"/>
      <c r="I144" s="1355"/>
      <c r="J144" s="1748"/>
    </row>
    <row r="145" spans="2:10">
      <c r="B145" s="72"/>
      <c r="D145" s="1157"/>
      <c r="E145" s="678"/>
      <c r="F145" s="1183"/>
      <c r="G145" s="1209"/>
      <c r="H145" s="1235"/>
      <c r="I145" s="1355"/>
      <c r="J145" s="1748"/>
    </row>
    <row r="146" spans="2:10">
      <c r="B146" s="72"/>
      <c r="D146" s="1157"/>
      <c r="E146" s="678"/>
      <c r="F146" s="1183"/>
      <c r="G146" s="1209"/>
      <c r="H146" s="1235"/>
      <c r="I146" s="1355"/>
      <c r="J146" s="1748"/>
    </row>
    <row r="147" spans="2:10">
      <c r="B147" s="72"/>
      <c r="D147" s="1157"/>
      <c r="E147" s="678"/>
      <c r="F147" s="1183"/>
      <c r="G147" s="1209"/>
      <c r="H147" s="1235"/>
      <c r="I147" s="1355"/>
      <c r="J147" s="1748"/>
    </row>
    <row r="148" spans="2:10">
      <c r="B148" s="72"/>
      <c r="D148" s="1157"/>
      <c r="E148" s="678"/>
      <c r="F148" s="1183"/>
      <c r="G148" s="1209"/>
      <c r="H148" s="1235"/>
      <c r="I148" s="1355"/>
      <c r="J148" s="1748"/>
    </row>
    <row r="149" spans="2:10">
      <c r="B149" s="72"/>
      <c r="D149" s="1157"/>
      <c r="E149" s="678"/>
      <c r="F149" s="1183"/>
      <c r="G149" s="1209"/>
      <c r="H149" s="1235"/>
      <c r="I149" s="1355"/>
      <c r="J149" s="1748"/>
    </row>
    <row r="150" spans="2:10">
      <c r="B150" s="72"/>
      <c r="D150" s="1157"/>
      <c r="E150" s="678"/>
      <c r="F150" s="1183"/>
      <c r="G150" s="1209"/>
      <c r="H150" s="1235"/>
      <c r="I150" s="1355"/>
      <c r="J150" s="1748"/>
    </row>
    <row r="151" spans="2:10">
      <c r="B151" s="72"/>
      <c r="D151" s="1157"/>
      <c r="E151" s="678"/>
      <c r="F151" s="1183"/>
      <c r="G151" s="1209"/>
      <c r="H151" s="1235"/>
      <c r="I151" s="1355"/>
      <c r="J151" s="1748"/>
    </row>
    <row r="152" spans="2:10">
      <c r="B152" s="72"/>
      <c r="D152" s="1157"/>
      <c r="E152" s="678"/>
      <c r="F152" s="1183"/>
      <c r="G152" s="1209"/>
      <c r="H152" s="1235"/>
      <c r="I152" s="1355"/>
      <c r="J152" s="1748"/>
    </row>
    <row r="153" spans="2:10">
      <c r="B153" s="72"/>
      <c r="D153" s="1157"/>
      <c r="E153" s="678"/>
      <c r="F153" s="1183"/>
      <c r="G153" s="1209"/>
      <c r="H153" s="1235"/>
      <c r="I153" s="1355"/>
      <c r="J153" s="1748"/>
    </row>
    <row r="154" spans="2:10">
      <c r="B154" s="72"/>
      <c r="D154" s="1157"/>
      <c r="E154" s="678"/>
      <c r="F154" s="1183"/>
      <c r="G154" s="1209"/>
      <c r="H154" s="1235"/>
      <c r="I154" s="1355"/>
      <c r="J154" s="1748"/>
    </row>
    <row r="155" spans="2:10">
      <c r="B155" s="72"/>
      <c r="D155" s="1157"/>
      <c r="E155" s="678"/>
      <c r="F155" s="1183"/>
      <c r="G155" s="1209"/>
      <c r="H155" s="1235"/>
      <c r="I155" s="1355"/>
      <c r="J155" s="1748"/>
    </row>
    <row r="156" spans="2:10">
      <c r="B156" s="72"/>
      <c r="D156" s="1157"/>
      <c r="E156" s="678"/>
      <c r="F156" s="1183"/>
      <c r="G156" s="1209"/>
      <c r="H156" s="1235"/>
      <c r="I156" s="1355"/>
      <c r="J156" s="1748"/>
    </row>
    <row r="157" spans="2:10">
      <c r="B157" s="72"/>
      <c r="D157" s="1157"/>
      <c r="E157" s="678"/>
      <c r="F157" s="1183"/>
      <c r="G157" s="1209"/>
      <c r="H157" s="1235"/>
      <c r="I157" s="1355"/>
      <c r="J157" s="1748"/>
    </row>
    <row r="158" spans="2:10">
      <c r="B158" s="72"/>
      <c r="D158" s="1157"/>
      <c r="E158" s="678"/>
      <c r="F158" s="1183"/>
      <c r="G158" s="1209"/>
      <c r="H158" s="1235"/>
      <c r="I158" s="1355"/>
      <c r="J158" s="1748"/>
    </row>
    <row r="159" spans="2:10">
      <c r="B159" s="72"/>
      <c r="D159" s="1157"/>
      <c r="E159" s="678"/>
      <c r="F159" s="1183"/>
      <c r="G159" s="1209"/>
      <c r="H159" s="1235"/>
      <c r="I159" s="1355"/>
      <c r="J159" s="1748"/>
    </row>
    <row r="160" spans="2:10">
      <c r="B160" s="72"/>
      <c r="D160" s="1157"/>
      <c r="E160" s="678"/>
      <c r="F160" s="1183"/>
      <c r="G160" s="1209"/>
      <c r="H160" s="1235"/>
      <c r="I160" s="1355"/>
      <c r="J160" s="1748"/>
    </row>
    <row r="161" spans="2:10">
      <c r="B161" s="72"/>
      <c r="D161" s="1157"/>
      <c r="E161" s="678"/>
      <c r="F161" s="1183"/>
      <c r="G161" s="1209"/>
      <c r="H161" s="1235"/>
      <c r="I161" s="1355"/>
      <c r="J161" s="1748"/>
    </row>
    <row r="162" spans="2:10">
      <c r="B162" s="72"/>
      <c r="D162" s="1157"/>
      <c r="E162" s="678"/>
      <c r="F162" s="1183"/>
      <c r="G162" s="1209"/>
      <c r="H162" s="1235"/>
      <c r="I162" s="1355"/>
      <c r="J162" s="1748"/>
    </row>
    <row r="163" spans="2:10">
      <c r="B163" s="72"/>
      <c r="D163" s="1157"/>
      <c r="E163" s="678"/>
      <c r="F163" s="1183"/>
      <c r="G163" s="1209"/>
      <c r="H163" s="1235"/>
      <c r="I163" s="1355"/>
      <c r="J163" s="1748"/>
    </row>
    <row r="164" spans="2:10">
      <c r="B164" s="72"/>
      <c r="D164" s="1157"/>
      <c r="E164" s="678"/>
      <c r="F164" s="1183"/>
      <c r="G164" s="1209"/>
      <c r="H164" s="1235"/>
      <c r="I164" s="1355"/>
      <c r="J164" s="1748"/>
    </row>
    <row r="165" spans="2:10">
      <c r="B165" s="72"/>
      <c r="D165" s="1157"/>
      <c r="E165" s="678"/>
      <c r="F165" s="1183"/>
      <c r="G165" s="1209"/>
      <c r="H165" s="1235"/>
      <c r="I165" s="1355"/>
      <c r="J165" s="1748"/>
    </row>
    <row r="166" spans="2:10">
      <c r="B166" s="72"/>
      <c r="D166" s="1157"/>
      <c r="E166" s="678"/>
      <c r="F166" s="1183"/>
      <c r="G166" s="1209"/>
      <c r="H166" s="1235"/>
      <c r="I166" s="1355"/>
      <c r="J166" s="1748"/>
    </row>
    <row r="167" spans="2:10">
      <c r="B167" s="72"/>
      <c r="D167" s="1157"/>
      <c r="E167" s="678"/>
      <c r="F167" s="1183"/>
      <c r="G167" s="1209"/>
      <c r="H167" s="1235"/>
      <c r="I167" s="1355"/>
      <c r="J167" s="1748"/>
    </row>
    <row r="168" spans="2:10">
      <c r="B168" s="72"/>
      <c r="D168" s="1157"/>
      <c r="E168" s="678"/>
      <c r="F168" s="1183"/>
      <c r="G168" s="1209"/>
      <c r="H168" s="1235"/>
      <c r="I168" s="1355"/>
      <c r="J168" s="1748"/>
    </row>
    <row r="169" spans="2:10">
      <c r="B169" s="72"/>
      <c r="D169" s="1157"/>
      <c r="E169" s="678"/>
      <c r="F169" s="1183"/>
      <c r="G169" s="1209"/>
      <c r="H169" s="1235"/>
      <c r="I169" s="1355"/>
      <c r="J169" s="1748"/>
    </row>
    <row r="170" spans="2:10">
      <c r="B170" s="72"/>
      <c r="D170" s="1157"/>
      <c r="E170" s="678"/>
      <c r="F170" s="1183"/>
      <c r="G170" s="1209"/>
      <c r="H170" s="1235"/>
      <c r="I170" s="1355"/>
      <c r="J170" s="1748"/>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
  <sheetViews>
    <sheetView topLeftCell="A27" workbookViewId="0">
      <selection activeCell="D44" sqref="D44"/>
    </sheetView>
  </sheetViews>
  <sheetFormatPr defaultRowHeight="12.75"/>
  <cols>
    <col min="1" max="1" width="5.5703125" customWidth="1"/>
    <col min="2" max="2" width="75.5703125" customWidth="1"/>
    <col min="3" max="3" width="13.42578125" customWidth="1"/>
    <col min="4" max="5" width="17.5703125" customWidth="1"/>
    <col min="6" max="6" width="18.5703125" customWidth="1"/>
    <col min="7" max="7" width="31.42578125" customWidth="1"/>
    <col min="8" max="8" width="28.85546875" customWidth="1"/>
    <col min="10" max="10" width="25.42578125" customWidth="1"/>
  </cols>
  <sheetData>
    <row r="1" spans="1:8">
      <c r="A1" s="35" t="s">
        <v>1262</v>
      </c>
      <c r="C1" s="119"/>
      <c r="D1" s="756" t="e">
        <f>'Data - Notice1920'!C1</f>
        <v>#REF!</v>
      </c>
      <c r="E1" s="756"/>
    </row>
    <row r="2" spans="1:8">
      <c r="A2" s="35" t="s">
        <v>0</v>
      </c>
      <c r="D2" s="72" t="e">
        <f>'Data - Notice1920'!C2</f>
        <v>#REF!</v>
      </c>
      <c r="E2" s="72"/>
    </row>
    <row r="3" spans="1:8" hidden="1">
      <c r="A3" s="176" t="s">
        <v>2174</v>
      </c>
      <c r="B3" s="177"/>
      <c r="D3" s="58"/>
      <c r="E3" s="58"/>
    </row>
    <row r="4" spans="1:8" hidden="1">
      <c r="A4" s="178" t="s">
        <v>1712</v>
      </c>
      <c r="B4" s="179"/>
      <c r="D4" s="72"/>
      <c r="E4" s="72"/>
    </row>
    <row r="5" spans="1:8" ht="13.5" hidden="1" thickBot="1">
      <c r="A5" s="180" t="s">
        <v>1713</v>
      </c>
      <c r="B5" s="181"/>
      <c r="D5" s="72"/>
      <c r="E5" s="72"/>
    </row>
    <row r="6" spans="1:8">
      <c r="A6" s="71"/>
      <c r="D6" s="58">
        <f>'Data - Notice1920'!C3</f>
        <v>0</v>
      </c>
      <c r="E6" s="58"/>
    </row>
    <row r="8" spans="1:8">
      <c r="F8" s="37" t="s">
        <v>9054</v>
      </c>
      <c r="G8" t="s">
        <v>9046</v>
      </c>
      <c r="H8" s="490" t="e">
        <f>'Report-SOF1819'!D67+'Report-SOF1819'!D68</f>
        <v>#DIV/0!</v>
      </c>
    </row>
    <row r="9" spans="1:8">
      <c r="A9" s="172" t="s">
        <v>1361</v>
      </c>
      <c r="B9" s="44"/>
      <c r="F9" s="37" t="s">
        <v>9055</v>
      </c>
      <c r="G9" t="s">
        <v>9047</v>
      </c>
      <c r="H9" s="490" t="e">
        <f>'Data Entry - SOF'!E93-'Report-SOF1819'!D93</f>
        <v>#DIV/0!</v>
      </c>
    </row>
    <row r="10" spans="1:8">
      <c r="A10" t="s">
        <v>2186</v>
      </c>
      <c r="B10" s="73" t="s">
        <v>2453</v>
      </c>
      <c r="D10" s="174">
        <f>'Data Entry - SOF'!E92</f>
        <v>1.17</v>
      </c>
      <c r="E10" s="3127"/>
      <c r="F10" s="37" t="s">
        <v>9056</v>
      </c>
      <c r="G10" t="s">
        <v>9061</v>
      </c>
      <c r="H10" s="490" t="e">
        <f>H8+H9</f>
        <v>#DIV/0!</v>
      </c>
    </row>
    <row r="11" spans="1:8">
      <c r="D11" s="168"/>
      <c r="E11" s="3128"/>
      <c r="F11" s="37" t="s">
        <v>9057</v>
      </c>
      <c r="G11" t="s">
        <v>9045</v>
      </c>
      <c r="H11" s="93">
        <f>'Data Entry - SOF'!E19</f>
        <v>0</v>
      </c>
    </row>
    <row r="12" spans="1:8">
      <c r="A12" t="s">
        <v>2187</v>
      </c>
      <c r="B12" s="73" t="s">
        <v>2058</v>
      </c>
      <c r="D12" s="174" t="e">
        <f>RateToMaintain1920!F76</f>
        <v>#DIV/0!</v>
      </c>
      <c r="E12" s="3127"/>
      <c r="F12" s="37" t="s">
        <v>9058</v>
      </c>
      <c r="G12" t="s">
        <v>9062</v>
      </c>
      <c r="H12" s="91" t="e">
        <f>H10/H11</f>
        <v>#DIV/0!</v>
      </c>
    </row>
    <row r="13" spans="1:8">
      <c r="B13" s="73" t="s">
        <v>2059</v>
      </c>
      <c r="D13" s="168"/>
      <c r="E13" s="3128"/>
      <c r="F13" s="37"/>
    </row>
    <row r="14" spans="1:8">
      <c r="F14" s="37" t="s">
        <v>9059</v>
      </c>
      <c r="G14" t="s">
        <v>9048</v>
      </c>
      <c r="H14" s="91">
        <f>'Data Entry - SOF'!K73</f>
        <v>0</v>
      </c>
    </row>
    <row r="15" spans="1:8">
      <c r="A15" s="172" t="s">
        <v>728</v>
      </c>
      <c r="B15" s="173"/>
      <c r="F15" s="37" t="s">
        <v>9060</v>
      </c>
      <c r="G15" t="s">
        <v>9043</v>
      </c>
      <c r="H15" s="93">
        <f>'Data Entry - SOF'!_MailAutoSig</f>
        <v>0</v>
      </c>
    </row>
    <row r="16" spans="1:8">
      <c r="A16" t="s">
        <v>909</v>
      </c>
      <c r="B16" s="73" t="s">
        <v>2453</v>
      </c>
      <c r="D16" s="174">
        <f>'Data Entry - SOF'!E100</f>
        <v>0</v>
      </c>
      <c r="E16" s="3127"/>
    </row>
    <row r="17" spans="1:8">
      <c r="D17" s="168"/>
      <c r="E17" s="3128"/>
      <c r="F17" s="37" t="s">
        <v>9063</v>
      </c>
      <c r="G17" t="s">
        <v>9049</v>
      </c>
      <c r="H17" t="e">
        <f>((H15*H12)/H14)*100</f>
        <v>#DIV/0!</v>
      </c>
    </row>
    <row r="18" spans="1:8">
      <c r="A18" t="s">
        <v>910</v>
      </c>
      <c r="B18" s="73" t="s">
        <v>506</v>
      </c>
      <c r="D18" s="168"/>
      <c r="E18" s="3128"/>
      <c r="G18" t="s">
        <v>9064</v>
      </c>
    </row>
    <row r="19" spans="1:8">
      <c r="B19" s="73" t="s">
        <v>2059</v>
      </c>
      <c r="D19" s="168"/>
      <c r="E19" s="3128"/>
    </row>
    <row r="20" spans="1:8">
      <c r="A20" t="s">
        <v>507</v>
      </c>
      <c r="B20" t="s">
        <v>8582</v>
      </c>
      <c r="D20" s="170">
        <f>'Data Entry - SOF'!K118</f>
        <v>0</v>
      </c>
      <c r="E20" s="3129"/>
    </row>
    <row r="21" spans="1:8">
      <c r="A21" t="s">
        <v>508</v>
      </c>
      <c r="B21" t="s">
        <v>8620</v>
      </c>
      <c r="D21" s="2826">
        <f>'IFA-HB3'!N86</f>
        <v>0</v>
      </c>
      <c r="E21" s="3129"/>
    </row>
    <row r="22" spans="1:8">
      <c r="A22" t="s">
        <v>509</v>
      </c>
      <c r="B22" t="s">
        <v>8593</v>
      </c>
      <c r="D22" s="2826">
        <f>'Existing Debt-HB3'!K74</f>
        <v>0</v>
      </c>
      <c r="E22" s="3129"/>
    </row>
    <row r="23" spans="1:8">
      <c r="A23" t="s">
        <v>510</v>
      </c>
      <c r="B23" t="s">
        <v>8643</v>
      </c>
      <c r="D23" s="170">
        <f>'Data Entry - SOF'!K151</f>
        <v>0</v>
      </c>
      <c r="E23" s="3129"/>
    </row>
    <row r="24" spans="1:8">
      <c r="A24" t="s">
        <v>511</v>
      </c>
      <c r="B24" t="s">
        <v>988</v>
      </c>
      <c r="D24" s="170">
        <f>D20-D21-D22-D23</f>
        <v>0</v>
      </c>
      <c r="E24" s="3129"/>
    </row>
    <row r="25" spans="1:8">
      <c r="A25" t="s">
        <v>989</v>
      </c>
      <c r="B25" t="s">
        <v>990</v>
      </c>
      <c r="D25" s="171">
        <f>'Data Entry - SOF'!K148</f>
        <v>0</v>
      </c>
      <c r="E25" s="3130"/>
    </row>
    <row r="26" spans="1:8">
      <c r="A26" t="s">
        <v>991</v>
      </c>
      <c r="B26" t="s">
        <v>992</v>
      </c>
      <c r="D26" s="170">
        <f>IF(D25=0,0,D24/D25)</f>
        <v>0</v>
      </c>
      <c r="E26" s="3129"/>
    </row>
    <row r="27" spans="1:8">
      <c r="A27" t="s">
        <v>993</v>
      </c>
      <c r="B27" t="s">
        <v>8644</v>
      </c>
      <c r="D27" s="170">
        <f>IF('Data Entry - SOF'!K150=0,'Data Entry - SOF'!K149,'Data Entry - SOF'!K150)</f>
        <v>0</v>
      </c>
      <c r="E27" s="3129"/>
    </row>
    <row r="28" spans="1:8">
      <c r="A28" t="s">
        <v>994</v>
      </c>
      <c r="B28" s="73" t="s">
        <v>2058</v>
      </c>
      <c r="D28" s="174">
        <f>IF(D26=0,0,(D26/D27)*100)</f>
        <v>0</v>
      </c>
      <c r="E28" s="3127"/>
    </row>
    <row r="29" spans="1:8">
      <c r="B29" s="73" t="s">
        <v>995</v>
      </c>
      <c r="D29" s="168"/>
      <c r="E29" s="3128"/>
    </row>
    <row r="30" spans="1:8">
      <c r="D30" s="168"/>
      <c r="E30" s="3128"/>
    </row>
    <row r="31" spans="1:8">
      <c r="A31" t="s">
        <v>912</v>
      </c>
      <c r="B31" s="73" t="s">
        <v>810</v>
      </c>
      <c r="D31" s="174">
        <f>'Data Entry - SOF'!K100</f>
        <v>0</v>
      </c>
      <c r="E31" s="3127"/>
    </row>
    <row r="33" spans="1:5">
      <c r="A33" s="172" t="s">
        <v>2473</v>
      </c>
      <c r="B33" s="173"/>
    </row>
    <row r="34" spans="1:5">
      <c r="A34" t="s">
        <v>913</v>
      </c>
      <c r="B34" s="73" t="s">
        <v>2474</v>
      </c>
    </row>
    <row r="35" spans="1:5">
      <c r="A35" t="s">
        <v>2475</v>
      </c>
      <c r="B35" t="s">
        <v>8635</v>
      </c>
      <c r="D35" s="170" t="e">
        <f>'Data Entry - SOF'!E93-'Option Costs'!S85-'Option Costs'!W85</f>
        <v>#DIV/0!</v>
      </c>
      <c r="E35" s="3131"/>
    </row>
    <row r="36" spans="1:5">
      <c r="A36" t="s">
        <v>2476</v>
      </c>
      <c r="B36" t="s">
        <v>8602</v>
      </c>
      <c r="D36" s="170">
        <f>'Data Entry - SOF'!E101</f>
        <v>0</v>
      </c>
      <c r="E36" s="3129"/>
    </row>
    <row r="37" spans="1:5" hidden="1">
      <c r="A37" t="s">
        <v>2477</v>
      </c>
      <c r="B37" t="s">
        <v>6964</v>
      </c>
      <c r="D37" s="170" t="e">
        <f>'Data - Notice1920'!#REF!</f>
        <v>#REF!</v>
      </c>
      <c r="E37" s="3129"/>
    </row>
    <row r="38" spans="1:5">
      <c r="A38" t="s">
        <v>2477</v>
      </c>
      <c r="B38" t="s">
        <v>8636</v>
      </c>
      <c r="D38" s="170" t="e">
        <f>D35+D36</f>
        <v>#DIV/0!</v>
      </c>
      <c r="E38" s="3129"/>
    </row>
    <row r="39" spans="1:5">
      <c r="A39" t="s">
        <v>2478</v>
      </c>
      <c r="B39" t="s">
        <v>6965</v>
      </c>
      <c r="D39" s="219">
        <f>IF('Calc Data'!E7&gt;='Calc Data'!F11,'Calc Data'!E7,'Calc Data'!F11)</f>
        <v>0</v>
      </c>
      <c r="E39" s="3132"/>
    </row>
    <row r="40" spans="1:5">
      <c r="A40" t="s">
        <v>2705</v>
      </c>
      <c r="B40" s="73" t="s">
        <v>741</v>
      </c>
      <c r="D40" s="170" t="e">
        <f>D38/D39</f>
        <v>#DIV/0!</v>
      </c>
      <c r="E40" s="3129"/>
    </row>
    <row r="41" spans="1:5">
      <c r="D41" s="168"/>
      <c r="E41" s="3128"/>
    </row>
    <row r="42" spans="1:5">
      <c r="A42" t="s">
        <v>914</v>
      </c>
      <c r="B42" s="73" t="s">
        <v>2058</v>
      </c>
      <c r="D42" s="168"/>
      <c r="E42" s="3128"/>
    </row>
    <row r="43" spans="1:5">
      <c r="B43" s="73" t="s">
        <v>1293</v>
      </c>
      <c r="D43" s="168"/>
      <c r="E43" s="3128"/>
    </row>
    <row r="44" spans="1:5">
      <c r="A44" t="s">
        <v>1294</v>
      </c>
      <c r="B44" t="s">
        <v>8621</v>
      </c>
      <c r="D44" s="3154" t="e">
        <f>RateToMaintain1920!F72-'SOF1920-HB3'!I79</f>
        <v>#DIV/0!</v>
      </c>
      <c r="E44" s="3131"/>
    </row>
    <row r="45" spans="1:5">
      <c r="A45" t="s">
        <v>1295</v>
      </c>
      <c r="B45" t="s">
        <v>8622</v>
      </c>
      <c r="D45" s="170">
        <f>D24</f>
        <v>0</v>
      </c>
      <c r="E45" s="3129"/>
    </row>
    <row r="46" spans="1:5">
      <c r="A46" t="s">
        <v>1296</v>
      </c>
      <c r="B46" t="s">
        <v>8623</v>
      </c>
      <c r="D46" s="170" t="e">
        <f>D44+D45</f>
        <v>#DIV/0!</v>
      </c>
      <c r="E46" s="3129"/>
    </row>
    <row r="47" spans="1:5">
      <c r="A47" t="s">
        <v>1297</v>
      </c>
      <c r="B47" t="s">
        <v>8588</v>
      </c>
      <c r="D47" s="219">
        <f>IF('Calc Data'!F7&gt;='Calc Data'!F11,'Calc Data'!F7,'Calc Data'!F11)</f>
        <v>0</v>
      </c>
      <c r="E47" s="3133"/>
    </row>
    <row r="48" spans="1:5">
      <c r="A48" t="s">
        <v>1298</v>
      </c>
      <c r="B48" s="73" t="s">
        <v>1299</v>
      </c>
      <c r="D48" s="170" t="e">
        <f>D46/D47</f>
        <v>#DIV/0!</v>
      </c>
      <c r="E48" s="3129"/>
    </row>
    <row r="49" spans="1:5">
      <c r="B49" s="73" t="s">
        <v>1658</v>
      </c>
      <c r="D49" s="168"/>
      <c r="E49" s="3128"/>
    </row>
    <row r="50" spans="1:5">
      <c r="D50" s="168"/>
      <c r="E50" s="3128"/>
    </row>
    <row r="51" spans="1:5">
      <c r="A51" t="s">
        <v>118</v>
      </c>
      <c r="B51" s="73" t="s">
        <v>1659</v>
      </c>
      <c r="D51" s="168"/>
      <c r="E51" s="3128"/>
    </row>
    <row r="52" spans="1:5">
      <c r="A52" t="s">
        <v>1660</v>
      </c>
      <c r="B52" t="s">
        <v>8624</v>
      </c>
      <c r="D52" s="170" t="e">
        <f>'Data Entry - SOF'!K96-'SOF1920-HB3'!I79-'SOF1920-HB3'!I87</f>
        <v>#DIV/0!</v>
      </c>
      <c r="E52" s="3131"/>
    </row>
    <row r="53" spans="1:5">
      <c r="A53" t="s">
        <v>1661</v>
      </c>
      <c r="B53" t="s">
        <v>8625</v>
      </c>
      <c r="D53" s="170">
        <f>'Data Entry - SOF'!K101</f>
        <v>0</v>
      </c>
      <c r="E53" s="3129"/>
    </row>
    <row r="54" spans="1:5" hidden="1">
      <c r="A54" t="s">
        <v>1662</v>
      </c>
      <c r="B54" t="s">
        <v>8626</v>
      </c>
      <c r="D54" s="170" t="e">
        <f>'Data - Notice1920'!#REF!</f>
        <v>#REF!</v>
      </c>
      <c r="E54" s="3129"/>
    </row>
    <row r="55" spans="1:5">
      <c r="A55" t="s">
        <v>1662</v>
      </c>
      <c r="B55" t="s">
        <v>8627</v>
      </c>
      <c r="D55" s="170" t="e">
        <f>D52+D53</f>
        <v>#DIV/0!</v>
      </c>
      <c r="E55" s="3129"/>
    </row>
    <row r="56" spans="1:5">
      <c r="A56" t="s">
        <v>1663</v>
      </c>
      <c r="B56" t="s">
        <v>8628</v>
      </c>
      <c r="D56" s="219">
        <f>D47</f>
        <v>0</v>
      </c>
      <c r="E56" s="3133"/>
    </row>
    <row r="57" spans="1:5">
      <c r="A57" t="s">
        <v>1664</v>
      </c>
      <c r="B57" s="73" t="s">
        <v>742</v>
      </c>
      <c r="D57" s="170" t="e">
        <f>D55/D56</f>
        <v>#DIV/0!</v>
      </c>
      <c r="E57" s="3129"/>
    </row>
    <row r="59" spans="1:5">
      <c r="A59" s="172" t="s">
        <v>592</v>
      </c>
      <c r="B59" s="44"/>
    </row>
    <row r="60" spans="1:5">
      <c r="A60" t="s">
        <v>119</v>
      </c>
      <c r="B60" s="73" t="s">
        <v>2474</v>
      </c>
    </row>
    <row r="61" spans="1:5">
      <c r="A61" t="s">
        <v>593</v>
      </c>
      <c r="B61" t="s">
        <v>3276</v>
      </c>
      <c r="D61" s="175">
        <f>'SOF1819-SB1'!H48</f>
        <v>0</v>
      </c>
      <c r="E61" s="3134"/>
    </row>
    <row r="62" spans="1:5">
      <c r="A62" t="s">
        <v>594</v>
      </c>
      <c r="B62" t="s">
        <v>1775</v>
      </c>
      <c r="D62" s="175">
        <v>0</v>
      </c>
      <c r="E62" s="3134"/>
    </row>
    <row r="63" spans="1:5">
      <c r="A63" t="s">
        <v>595</v>
      </c>
      <c r="B63" t="s">
        <v>8637</v>
      </c>
      <c r="D63" s="175" t="e">
        <f>'SOF1819-SB1'!H51</f>
        <v>#DIV/0!</v>
      </c>
      <c r="E63" s="3134"/>
    </row>
    <row r="64" spans="1:5">
      <c r="A64" t="s">
        <v>596</v>
      </c>
      <c r="B64" t="s">
        <v>8638</v>
      </c>
      <c r="D64" s="175" t="e">
        <f>'SOF1819-SB1'!H52</f>
        <v>#DIV/0!</v>
      </c>
      <c r="E64" s="3134"/>
    </row>
    <row r="65" spans="1:6">
      <c r="A65" t="s">
        <v>597</v>
      </c>
      <c r="B65" t="s">
        <v>8607</v>
      </c>
      <c r="D65" s="170">
        <f>'IFA-OldLaw'!L86+'IFA-OldLaw'!M86</f>
        <v>0</v>
      </c>
      <c r="E65" s="3129"/>
    </row>
    <row r="66" spans="1:6">
      <c r="A66" t="s">
        <v>598</v>
      </c>
      <c r="B66" t="s">
        <v>6966</v>
      </c>
      <c r="D66" s="170">
        <f>'SOF1819-SB1'!H77</f>
        <v>0</v>
      </c>
      <c r="E66" s="3129"/>
    </row>
    <row r="67" spans="1:6" hidden="1">
      <c r="A67" t="s">
        <v>599</v>
      </c>
      <c r="B67" t="s">
        <v>8639</v>
      </c>
      <c r="D67" s="175">
        <f>'Data - Notice1920'!C14</f>
        <v>0</v>
      </c>
      <c r="E67" s="3134"/>
    </row>
    <row r="68" spans="1:6">
      <c r="A68" t="s">
        <v>599</v>
      </c>
      <c r="B68" t="s">
        <v>8640</v>
      </c>
      <c r="D68" s="175" t="e">
        <f>IF(SUM(D61:D67)&lt;0,'SOF1819-SB1'!H75,SUM(D61:D67))</f>
        <v>#DIV/0!</v>
      </c>
      <c r="E68" s="3134"/>
    </row>
    <row r="69" spans="1:6">
      <c r="A69" t="s">
        <v>1816</v>
      </c>
      <c r="B69" t="s">
        <v>6965</v>
      </c>
      <c r="D69" s="169">
        <f>D39</f>
        <v>0</v>
      </c>
      <c r="E69" s="3135"/>
    </row>
    <row r="70" spans="1:6">
      <c r="A70" t="s">
        <v>730</v>
      </c>
      <c r="B70" s="73" t="s">
        <v>3137</v>
      </c>
      <c r="D70" s="170" t="e">
        <f>D68/D69</f>
        <v>#DIV/0!</v>
      </c>
      <c r="E70" s="3129"/>
    </row>
    <row r="71" spans="1:6">
      <c r="D71" s="168"/>
      <c r="E71" s="3128"/>
    </row>
    <row r="72" spans="1:6">
      <c r="D72" s="168"/>
      <c r="E72" s="3128"/>
    </row>
    <row r="73" spans="1:6">
      <c r="A73" t="s">
        <v>120</v>
      </c>
      <c r="B73" s="73" t="s">
        <v>506</v>
      </c>
      <c r="D73" s="168"/>
      <c r="E73" s="3128"/>
    </row>
    <row r="74" spans="1:6">
      <c r="B74" s="73" t="s">
        <v>2059</v>
      </c>
      <c r="D74" s="168"/>
      <c r="E74" s="3128"/>
    </row>
    <row r="75" spans="1:6">
      <c r="A75" t="s">
        <v>600</v>
      </c>
      <c r="B75" t="s">
        <v>8629</v>
      </c>
      <c r="D75" s="170" t="e">
        <f>RateToMaintain1920!F21</f>
        <v>#DIV/0!</v>
      </c>
      <c r="E75" s="3129"/>
    </row>
    <row r="76" spans="1:6">
      <c r="A76" t="s">
        <v>803</v>
      </c>
      <c r="B76" t="s">
        <v>6625</v>
      </c>
      <c r="D76" s="170" t="e">
        <f>D44</f>
        <v>#DIV/0!</v>
      </c>
      <c r="E76" s="3131"/>
      <c r="F76" s="91"/>
    </row>
    <row r="77" spans="1:6" hidden="1">
      <c r="A77" t="s">
        <v>1415</v>
      </c>
      <c r="B77" t="s">
        <v>8630</v>
      </c>
      <c r="D77" s="170">
        <v>0</v>
      </c>
      <c r="E77" s="3129"/>
    </row>
    <row r="78" spans="1:6">
      <c r="A78" t="s">
        <v>1415</v>
      </c>
      <c r="B78" t="s">
        <v>8631</v>
      </c>
      <c r="D78" s="4593">
        <f>'IFA-HB3'!N86+'IFA-HB3'!P86</f>
        <v>0</v>
      </c>
      <c r="E78" s="3134"/>
    </row>
    <row r="79" spans="1:6">
      <c r="A79" t="s">
        <v>1416</v>
      </c>
      <c r="B79" t="s">
        <v>8593</v>
      </c>
      <c r="D79" s="4593">
        <f>'Existing Debt-HB3'!K74</f>
        <v>0</v>
      </c>
      <c r="E79" s="3134"/>
    </row>
    <row r="80" spans="1:6">
      <c r="A80" t="s">
        <v>1417</v>
      </c>
      <c r="B80" t="s">
        <v>8632</v>
      </c>
      <c r="D80" s="175" t="e">
        <f>IF(D75-D76+D77+D78+D79&lt;0,'SOF1920-HB3'!I110,D75-D76+D77+D78+D79)</f>
        <v>#DIV/0!</v>
      </c>
      <c r="E80" s="3134"/>
    </row>
    <row r="81" spans="1:5">
      <c r="A81" t="s">
        <v>1418</v>
      </c>
      <c r="B81" t="s">
        <v>8588</v>
      </c>
      <c r="D81" s="171">
        <f>D56</f>
        <v>0</v>
      </c>
      <c r="E81" s="3130"/>
    </row>
    <row r="82" spans="1:5">
      <c r="B82" s="73" t="s">
        <v>506</v>
      </c>
      <c r="D82" s="175" t="e">
        <f>D80/D81</f>
        <v>#DIV/0!</v>
      </c>
      <c r="E82" s="3134"/>
    </row>
    <row r="83" spans="1:5">
      <c r="B83" s="73" t="s">
        <v>731</v>
      </c>
      <c r="D83" s="168"/>
      <c r="E83" s="3128"/>
    </row>
    <row r="84" spans="1:5">
      <c r="D84" s="168"/>
      <c r="E84" s="3128"/>
    </row>
    <row r="85" spans="1:5">
      <c r="A85" t="s">
        <v>121</v>
      </c>
      <c r="B85" s="73" t="s">
        <v>1659</v>
      </c>
      <c r="D85" s="168"/>
      <c r="E85" s="3128"/>
    </row>
    <row r="86" spans="1:5">
      <c r="A86" t="s">
        <v>1419</v>
      </c>
      <c r="B86" t="s">
        <v>3310</v>
      </c>
      <c r="D86" s="175">
        <f>'SOF1920-HB3'!I71</f>
        <v>0</v>
      </c>
      <c r="E86" s="3134"/>
    </row>
    <row r="87" spans="1:5">
      <c r="A87" t="s">
        <v>1420</v>
      </c>
      <c r="B87" s="284" t="s">
        <v>8633</v>
      </c>
      <c r="D87" s="175" t="e">
        <f>'SOF1920-HB3'!I83</f>
        <v>#DIV/0!</v>
      </c>
      <c r="E87" s="3134"/>
    </row>
    <row r="88" spans="1:5">
      <c r="A88" t="s">
        <v>688</v>
      </c>
      <c r="B88" t="s">
        <v>1775</v>
      </c>
      <c r="D88" s="175">
        <v>0</v>
      </c>
      <c r="E88" s="3134"/>
    </row>
    <row r="89" spans="1:5">
      <c r="A89" t="s">
        <v>689</v>
      </c>
      <c r="B89" t="s">
        <v>8631</v>
      </c>
      <c r="D89" s="170">
        <f>D78</f>
        <v>0</v>
      </c>
      <c r="E89" s="3129"/>
    </row>
    <row r="90" spans="1:5">
      <c r="A90" t="s">
        <v>690</v>
      </c>
      <c r="B90" t="s">
        <v>8593</v>
      </c>
      <c r="D90" s="170">
        <f>D79</f>
        <v>0</v>
      </c>
      <c r="E90" s="3129"/>
    </row>
    <row r="91" spans="1:5">
      <c r="A91" t="s">
        <v>691</v>
      </c>
      <c r="B91" t="s">
        <v>8634</v>
      </c>
      <c r="D91" s="175" t="e">
        <f>IF(SUM(D86:D90)&lt;0,'SOF1920-HB3'!I110,SUM(D86:D90))</f>
        <v>#DIV/0!</v>
      </c>
      <c r="E91" s="3134"/>
    </row>
    <row r="92" spans="1:5">
      <c r="A92" t="s">
        <v>844</v>
      </c>
      <c r="B92" t="s">
        <v>8588</v>
      </c>
      <c r="D92" s="171">
        <f>D81</f>
        <v>0</v>
      </c>
      <c r="E92" s="3130"/>
    </row>
    <row r="93" spans="1:5">
      <c r="A93" t="s">
        <v>845</v>
      </c>
      <c r="B93" s="73" t="s">
        <v>1433</v>
      </c>
      <c r="D93" s="170" t="e">
        <f>D91/D92</f>
        <v>#DIV/0!</v>
      </c>
      <c r="E93" s="3129"/>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31" workbookViewId="0">
      <selection activeCell="C51" sqref="C51"/>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1394" t="s">
        <v>3899</v>
      </c>
    </row>
    <row r="6" spans="1:5" ht="15.75">
      <c r="A6" s="781"/>
      <c r="B6" s="775" t="s">
        <v>2866</v>
      </c>
      <c r="C6" s="785" t="s">
        <v>3864</v>
      </c>
      <c r="D6" s="785" t="s">
        <v>3865</v>
      </c>
      <c r="E6" s="785" t="s">
        <v>3824</v>
      </c>
    </row>
    <row r="7" spans="1:5" ht="15">
      <c r="A7" s="514">
        <v>1</v>
      </c>
      <c r="B7" s="386" t="s">
        <v>3906</v>
      </c>
      <c r="C7" s="390">
        <f>'Data Entry - SOF'!E83</f>
        <v>0</v>
      </c>
      <c r="D7" s="390">
        <f>'Data Entry - SOF'!E84</f>
        <v>0</v>
      </c>
      <c r="E7" s="390">
        <f t="shared" ref="E7:E14" si="0">C7-D7</f>
        <v>0</v>
      </c>
    </row>
    <row r="8" spans="1:5" ht="15">
      <c r="A8" s="514">
        <v>2</v>
      </c>
      <c r="B8" s="386" t="s">
        <v>3907</v>
      </c>
      <c r="C8" s="408">
        <f>'Data Entry - SOF'!K92</f>
        <v>1.17</v>
      </c>
      <c r="D8" s="408">
        <f>C8</f>
        <v>1.17</v>
      </c>
      <c r="E8" s="408">
        <f t="shared" si="0"/>
        <v>0</v>
      </c>
    </row>
    <row r="9" spans="1:5" ht="15">
      <c r="A9" s="514">
        <v>3</v>
      </c>
      <c r="B9" s="386" t="s">
        <v>3883</v>
      </c>
      <c r="C9" s="408">
        <f>'Data Entry - SOF'!E172</f>
        <v>0</v>
      </c>
      <c r="D9" s="408">
        <f>C9</f>
        <v>0</v>
      </c>
      <c r="E9" s="408">
        <f t="shared" si="0"/>
        <v>0</v>
      </c>
    </row>
    <row r="10" spans="1:5" s="382" customFormat="1" ht="15">
      <c r="A10" s="514">
        <v>4</v>
      </c>
      <c r="B10" s="386" t="s">
        <v>3908</v>
      </c>
      <c r="C10" s="478">
        <f>'Data Entry - SOF'!K93+'Data Entry - SOF'!K98+'IFA-OldLaw'!Q79</f>
        <v>0</v>
      </c>
      <c r="D10" s="478" t="e">
        <f>(('Data Entry - SOF'!K93-'IFA-OldLaw'!S79)*(D7/C7))+'IFA-OldLaw'!S79+'Data Entry - SOF'!G98</f>
        <v>#DIV/0!</v>
      </c>
      <c r="E10" s="390" t="e">
        <f t="shared" si="0"/>
        <v>#DIV/0!</v>
      </c>
    </row>
    <row r="11" spans="1:5" s="382" customFormat="1" ht="15">
      <c r="A11" s="514">
        <v>5</v>
      </c>
      <c r="B11" s="386" t="s">
        <v>3937</v>
      </c>
      <c r="C11" s="478">
        <f>C10*IF(C8&lt;C9,1,C9/C8)</f>
        <v>0</v>
      </c>
      <c r="D11" s="478" t="e">
        <f>D10*IF(D8&lt;D9,1,D9/D8)</f>
        <v>#DIV/0!</v>
      </c>
      <c r="E11" s="390" t="e">
        <f t="shared" si="0"/>
        <v>#DIV/0!</v>
      </c>
    </row>
    <row r="12" spans="1:5" s="382" customFormat="1" ht="15">
      <c r="A12" s="514">
        <v>6</v>
      </c>
      <c r="B12" s="386" t="s">
        <v>530</v>
      </c>
      <c r="C12" s="390">
        <f>'SOF1920-HB3'!J66</f>
        <v>0</v>
      </c>
      <c r="D12" s="390">
        <f>'SOF1920-HB3'!K66</f>
        <v>0</v>
      </c>
      <c r="E12" s="390">
        <f t="shared" si="0"/>
        <v>0</v>
      </c>
    </row>
    <row r="13" spans="1:5" s="382" customFormat="1" ht="15">
      <c r="A13" s="514">
        <v>7</v>
      </c>
      <c r="B13" s="386" t="s">
        <v>3874</v>
      </c>
      <c r="C13" s="390">
        <f>'SOF1920-HB3'!J67</f>
        <v>0</v>
      </c>
      <c r="D13" s="390">
        <f>'SOF1920-HB3'!K67</f>
        <v>0</v>
      </c>
      <c r="E13" s="390">
        <f t="shared" si="0"/>
        <v>0</v>
      </c>
    </row>
    <row r="14" spans="1:5" s="382" customFormat="1" ht="15">
      <c r="A14" s="514">
        <v>8</v>
      </c>
      <c r="B14" s="386" t="s">
        <v>3870</v>
      </c>
      <c r="C14" s="390">
        <f>'SOF1920-HB3'!J71</f>
        <v>0</v>
      </c>
      <c r="D14" s="390">
        <f>'SOF1920-HB3'!K71</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'SOF1920-HB3'!J81</f>
        <v>#DIV/0!</v>
      </c>
      <c r="D17" s="390" t="e">
        <f>'SOF1920-HB3'!K81</f>
        <v>#DIV/0!</v>
      </c>
      <c r="E17" s="390" t="e">
        <f>C17-D17</f>
        <v>#DIV/0!</v>
      </c>
    </row>
    <row r="18" spans="1:5" s="382" customFormat="1" ht="15">
      <c r="A18" s="514">
        <v>11</v>
      </c>
      <c r="B18" s="386" t="s">
        <v>3876</v>
      </c>
      <c r="C18" s="390">
        <f>'SOF1920-HB3'!J82</f>
        <v>0</v>
      </c>
      <c r="D18" s="390" t="e">
        <f>'SOF1920-HB3'!K82</f>
        <v>#DIV/0!</v>
      </c>
      <c r="E18" s="390" t="e">
        <f>C18-D18</f>
        <v>#DIV/0!</v>
      </c>
    </row>
    <row r="19" spans="1:5" s="382" customFormat="1" ht="15">
      <c r="A19" s="514">
        <v>12</v>
      </c>
      <c r="B19" s="386" t="s">
        <v>6383</v>
      </c>
      <c r="C19" s="390">
        <f>'IFA-OldLaw'!Q86</f>
        <v>0</v>
      </c>
      <c r="D19" s="390">
        <f>'IFA-OldLaw'!S86</f>
        <v>0</v>
      </c>
      <c r="E19" s="390">
        <f>C19-D19</f>
        <v>0</v>
      </c>
    </row>
    <row r="20" spans="1:5" s="382" customFormat="1" ht="15.75">
      <c r="A20" s="514">
        <v>13</v>
      </c>
      <c r="B20" s="384" t="s">
        <v>6167</v>
      </c>
      <c r="C20" s="390">
        <v>0</v>
      </c>
      <c r="D20" s="390">
        <v>0</v>
      </c>
      <c r="E20" s="390">
        <f>C20-D20</f>
        <v>0</v>
      </c>
    </row>
    <row r="21" spans="1:5" s="382" customFormat="1" ht="15">
      <c r="A21" s="514">
        <v>14</v>
      </c>
      <c r="B21" s="386" t="s">
        <v>3878</v>
      </c>
      <c r="C21" s="390" t="e">
        <f>IF('Option Costs-HH'!AA57="Y",'Option Costs-HH'!AC106,'Option Costs-HH'!AG106)</f>
        <v>#DIV/0!</v>
      </c>
      <c r="D21" s="390" t="e">
        <f>IF('Option Costs-HH-15K'!AA57="Y",'Option Costs-HH-15K'!AC106,'Option Costs-HH-15K'!AG106)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75">
      <c r="A26" s="794">
        <f>A25+1</f>
        <v>18</v>
      </c>
      <c r="B26" s="795" t="s">
        <v>6387</v>
      </c>
      <c r="C26" s="796"/>
      <c r="D26" s="786">
        <v>0</v>
      </c>
    </row>
    <row r="27" spans="1:5">
      <c r="D27" s="787"/>
    </row>
    <row r="30" spans="1:5">
      <c r="C30" s="91"/>
    </row>
    <row r="31" spans="1:5" ht="15.75">
      <c r="B31" s="1394" t="s">
        <v>3905</v>
      </c>
    </row>
    <row r="33" spans="1:3" ht="15.75">
      <c r="A33" s="780"/>
      <c r="B33" s="775" t="s">
        <v>2866</v>
      </c>
      <c r="C33" s="783"/>
    </row>
    <row r="34" spans="1:3" ht="15">
      <c r="A34" s="514">
        <v>1</v>
      </c>
      <c r="B34" s="655" t="s">
        <v>9482</v>
      </c>
      <c r="C34" s="390">
        <f>'Data Entry - SOF'!K79</f>
        <v>0</v>
      </c>
    </row>
    <row r="35" spans="1:3" ht="15">
      <c r="A35" s="514">
        <v>2</v>
      </c>
      <c r="B35" s="655" t="s">
        <v>9483</v>
      </c>
      <c r="C35" s="390">
        <f>'Data Entry - SOF'!K80</f>
        <v>0</v>
      </c>
    </row>
    <row r="36" spans="1:3" ht="15">
      <c r="A36" s="514">
        <v>3</v>
      </c>
      <c r="B36" s="655" t="s">
        <v>3911</v>
      </c>
      <c r="C36" s="390">
        <f>'Data Entry - SOF'!K119</f>
        <v>0</v>
      </c>
    </row>
    <row r="37" spans="1:3" ht="15.75">
      <c r="A37" s="780"/>
      <c r="B37" s="777" t="s">
        <v>4024</v>
      </c>
      <c r="C37" s="783"/>
    </row>
    <row r="38" spans="1:3" ht="15">
      <c r="A38" s="514">
        <v>4</v>
      </c>
      <c r="B38" s="954" t="s">
        <v>3859</v>
      </c>
      <c r="C38" s="390">
        <f>'IFA-HB3'!N86</f>
        <v>0</v>
      </c>
    </row>
    <row r="39" spans="1:3" ht="15">
      <c r="A39" s="514">
        <v>5</v>
      </c>
      <c r="B39" s="954" t="s">
        <v>3860</v>
      </c>
      <c r="C39" s="390">
        <f>'Existing Debt-HB3'!K74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'IFA-HB3'!O86</f>
        <v>0</v>
      </c>
    </row>
    <row r="45" spans="1:3" ht="15">
      <c r="A45" s="514">
        <v>10</v>
      </c>
      <c r="B45" s="954" t="s">
        <v>3862</v>
      </c>
      <c r="C45" s="390">
        <f>'Existing Debt-HB3'!L74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SOF'!K101</f>
        <v>0</v>
      </c>
    </row>
    <row r="50" spans="1:3" ht="15">
      <c r="A50" s="514">
        <v>14</v>
      </c>
      <c r="B50" s="955" t="s">
        <v>4030</v>
      </c>
      <c r="C50" s="390" t="e">
        <f>C40-C48</f>
        <v>#DIV/0!</v>
      </c>
    </row>
    <row r="51" spans="1:3" ht="15.7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9"/>
  <sheetViews>
    <sheetView topLeftCell="F2" workbookViewId="0">
      <selection activeCell="Q54" sqref="Q1:Q1048576"/>
    </sheetView>
  </sheetViews>
  <sheetFormatPr defaultRowHeight="12.75"/>
  <cols>
    <col min="1" max="1" width="4.42578125" customWidth="1"/>
    <col min="2" max="2" width="9.42578125" customWidth="1"/>
    <col min="3" max="3" width="1.5703125" customWidth="1"/>
    <col min="4" max="4" width="12.5703125" customWidth="1"/>
    <col min="5" max="5" width="28.42578125" customWidth="1"/>
    <col min="6" max="6" width="4.5703125" customWidth="1"/>
    <col min="7" max="7" width="2.5703125" customWidth="1"/>
    <col min="8" max="9" width="20.5703125" style="2058" hidden="1" customWidth="1"/>
    <col min="10" max="10" width="19.140625" style="2058" hidden="1" customWidth="1"/>
    <col min="11" max="11" width="20.5703125" style="2058" hidden="1" customWidth="1"/>
    <col min="12" max="12" width="20.5703125" style="1113" customWidth="1"/>
    <col min="13" max="15" width="19.140625" style="1113" customWidth="1"/>
    <col min="16" max="16" width="18.5703125" style="1114" customWidth="1"/>
    <col min="17" max="19" width="19.140625" style="1114" customWidth="1"/>
    <col min="20" max="20" width="18.5703125" style="1421" customWidth="1"/>
    <col min="21" max="23" width="19.140625" style="1421" customWidth="1"/>
    <col min="24" max="24" width="18.5703125" style="1115" customWidth="1"/>
    <col min="25" max="27" width="19.140625" style="1115" customWidth="1"/>
    <col min="28" max="28" width="18.5703125" style="1666" customWidth="1"/>
    <col min="29" max="31" width="19.140625" style="1666" customWidth="1"/>
    <col min="32" max="32" width="18.5703125" style="1763" customWidth="1"/>
    <col min="33" max="33" width="19.140625" style="1763" customWidth="1"/>
    <col min="34" max="35" width="19.140625" style="3097" customWidth="1"/>
  </cols>
  <sheetData>
    <row r="1" spans="1:35" ht="13.5" thickTop="1">
      <c r="A1" s="20" t="s">
        <v>66</v>
      </c>
      <c r="D1" s="60">
        <f>'Data Entry - SOF'!B1</f>
        <v>0</v>
      </c>
      <c r="F1" s="119"/>
      <c r="K1" s="3336"/>
      <c r="L1" s="3345"/>
      <c r="M1" s="3514"/>
      <c r="N1" s="3514"/>
      <c r="O1" s="3492"/>
      <c r="P1" s="3651"/>
      <c r="Q1" s="3530"/>
      <c r="R1" s="3637"/>
      <c r="S1" s="3496"/>
      <c r="T1" s="3615"/>
      <c r="U1" s="3538"/>
      <c r="V1" s="3598"/>
      <c r="W1" s="3498"/>
      <c r="X1" s="3388"/>
      <c r="Y1" s="3573"/>
      <c r="Z1" s="3573"/>
      <c r="AA1" s="3544"/>
      <c r="AB1" s="3397"/>
      <c r="AC1" s="3689"/>
      <c r="AD1" s="3689"/>
      <c r="AE1" s="3551"/>
      <c r="AF1" s="3406"/>
      <c r="AG1" s="3975"/>
      <c r="AH1" s="3712"/>
      <c r="AI1" s="3703"/>
    </row>
    <row r="2" spans="1:35">
      <c r="A2" s="20" t="s">
        <v>1439</v>
      </c>
      <c r="D2" s="61">
        <f>'Data Entry - SOF'!B2</f>
        <v>0</v>
      </c>
      <c r="K2" s="3336"/>
      <c r="L2" s="3347"/>
      <c r="M2" s="3515"/>
      <c r="N2" s="3515"/>
      <c r="O2" s="3493"/>
      <c r="P2" s="3652"/>
      <c r="Q2" s="3531"/>
      <c r="R2" s="3334"/>
      <c r="S2" s="3331"/>
      <c r="T2" s="3616"/>
      <c r="U2" s="3539"/>
      <c r="V2" s="3599"/>
      <c r="W2" s="3499"/>
      <c r="X2" s="3390"/>
      <c r="Y2" s="3574"/>
      <c r="Z2" s="3574"/>
      <c r="AA2" s="3545"/>
      <c r="AB2" s="3399"/>
      <c r="AC2" s="3690"/>
      <c r="AD2" s="3690"/>
      <c r="AE2" s="3552"/>
      <c r="AF2" s="3408"/>
      <c r="AG2" s="3976"/>
      <c r="AH2" s="3712"/>
      <c r="AI2" s="3703"/>
    </row>
    <row r="3" spans="1:35">
      <c r="A3" s="20" t="s">
        <v>143</v>
      </c>
      <c r="D3" s="63">
        <f ca="1">'Data Entry - SOF'!B3</f>
        <v>43726.623322453706</v>
      </c>
      <c r="K3" s="3336"/>
      <c r="L3" s="3347"/>
      <c r="M3" s="3515"/>
      <c r="N3" s="3515"/>
      <c r="O3" s="3493"/>
      <c r="P3" s="3652"/>
      <c r="Q3" s="3531"/>
      <c r="R3" s="3334"/>
      <c r="S3" s="3331"/>
      <c r="T3" s="3616"/>
      <c r="U3" s="3539"/>
      <c r="V3" s="3599"/>
      <c r="W3" s="3499"/>
      <c r="X3" s="3390"/>
      <c r="Y3" s="3574"/>
      <c r="Z3" s="3574"/>
      <c r="AA3" s="3545"/>
      <c r="AB3" s="3399"/>
      <c r="AC3" s="3690"/>
      <c r="AD3" s="3690"/>
      <c r="AE3" s="3552"/>
      <c r="AF3" s="3408"/>
      <c r="AG3" s="3976"/>
      <c r="AH3" s="3712"/>
      <c r="AI3" s="3703"/>
    </row>
    <row r="4" spans="1:35">
      <c r="K4" s="3336"/>
      <c r="L4" s="3347"/>
      <c r="M4" s="3515"/>
      <c r="N4" s="3515"/>
      <c r="O4" s="3493"/>
      <c r="P4" s="3652"/>
      <c r="Q4" s="3531"/>
      <c r="R4" s="3334"/>
      <c r="S4" s="3331"/>
      <c r="T4" s="3616"/>
      <c r="U4" s="3539"/>
      <c r="V4" s="3599"/>
      <c r="W4" s="3499"/>
      <c r="X4" s="3390"/>
      <c r="Y4" s="3574"/>
      <c r="Z4" s="3574"/>
      <c r="AA4" s="3545"/>
      <c r="AB4" s="3399"/>
      <c r="AC4" s="3690"/>
      <c r="AD4" s="3690"/>
      <c r="AE4" s="3552"/>
      <c r="AF4" s="3408"/>
      <c r="AG4" s="3976"/>
      <c r="AH4" s="3712"/>
      <c r="AI4" s="3703"/>
    </row>
    <row r="5" spans="1:35" ht="12.75" customHeight="1">
      <c r="A5" s="32" t="s">
        <v>6931</v>
      </c>
      <c r="K5" s="3336"/>
      <c r="L5" s="3347"/>
      <c r="M5" s="3515"/>
      <c r="N5" s="3515"/>
      <c r="O5" s="3493"/>
      <c r="P5" s="3652"/>
      <c r="Q5" s="3531"/>
      <c r="R5" s="3334"/>
      <c r="S5" s="3331"/>
      <c r="T5" s="3616"/>
      <c r="U5" s="3539"/>
      <c r="V5" s="3599"/>
      <c r="W5" s="3499"/>
      <c r="X5" s="3390"/>
      <c r="Y5" s="3574"/>
      <c r="Z5" s="3574"/>
      <c r="AA5" s="3545"/>
      <c r="AB5" s="3399"/>
      <c r="AC5" s="3690"/>
      <c r="AD5" s="3690"/>
      <c r="AE5" s="3552"/>
      <c r="AF5" s="3408"/>
      <c r="AG5" s="3976"/>
      <c r="AH5" s="3712"/>
      <c r="AI5" s="3703"/>
    </row>
    <row r="6" spans="1:35" ht="12.75" hidden="1" customHeight="1">
      <c r="A6" s="32"/>
      <c r="C6" s="30" t="s">
        <v>1291</v>
      </c>
      <c r="K6" s="3336"/>
      <c r="L6" s="3347"/>
      <c r="M6" s="3515"/>
      <c r="N6" s="3515"/>
      <c r="O6" s="3493"/>
      <c r="P6" s="3652"/>
      <c r="Q6" s="3531"/>
      <c r="R6" s="3334"/>
      <c r="S6" s="3331"/>
      <c r="T6" s="3616"/>
      <c r="U6" s="3539"/>
      <c r="V6" s="3599"/>
      <c r="W6" s="3499"/>
      <c r="X6" s="3390"/>
      <c r="Y6" s="3574"/>
      <c r="Z6" s="3574"/>
      <c r="AA6" s="3545"/>
      <c r="AB6" s="3399"/>
      <c r="AC6" s="3690"/>
      <c r="AD6" s="3690"/>
      <c r="AE6" s="3552"/>
      <c r="AF6" s="3408"/>
      <c r="AG6" s="3976"/>
      <c r="AH6" s="3712"/>
      <c r="AI6" s="3703"/>
    </row>
    <row r="7" spans="1:35" ht="12.75" hidden="1" customHeight="1">
      <c r="C7" s="30"/>
      <c r="K7" s="3336"/>
      <c r="L7" s="3347"/>
      <c r="M7" s="3515"/>
      <c r="N7" s="3515"/>
      <c r="O7" s="3493"/>
      <c r="P7" s="3652"/>
      <c r="Q7" s="3531"/>
      <c r="R7" s="3334"/>
      <c r="S7" s="3331"/>
      <c r="T7" s="3616"/>
      <c r="U7" s="3539"/>
      <c r="V7" s="3599"/>
      <c r="W7" s="3499"/>
      <c r="X7" s="3390"/>
      <c r="Y7" s="3574"/>
      <c r="Z7" s="3574"/>
      <c r="AA7" s="3545"/>
      <c r="AB7" s="3399"/>
      <c r="AC7" s="3690"/>
      <c r="AD7" s="3690"/>
      <c r="AE7" s="3552"/>
      <c r="AF7" s="3408"/>
      <c r="AG7" s="3976"/>
      <c r="AH7" s="3712"/>
      <c r="AI7" s="3703"/>
    </row>
    <row r="8" spans="1:35" ht="12.75" hidden="1" customHeight="1">
      <c r="C8" s="30"/>
      <c r="K8" s="3336"/>
      <c r="L8" s="3347"/>
      <c r="M8" s="3515"/>
      <c r="N8" s="3515"/>
      <c r="O8" s="3493"/>
      <c r="P8" s="3652"/>
      <c r="Q8" s="3531"/>
      <c r="R8" s="3334"/>
      <c r="S8" s="3331"/>
      <c r="T8" s="3616"/>
      <c r="U8" s="3539"/>
      <c r="V8" s="3599"/>
      <c r="W8" s="3499"/>
      <c r="X8" s="3390"/>
      <c r="Y8" s="3574"/>
      <c r="Z8" s="3574"/>
      <c r="AA8" s="3545"/>
      <c r="AB8" s="3399"/>
      <c r="AC8" s="3690"/>
      <c r="AD8" s="3690"/>
      <c r="AE8" s="3552"/>
      <c r="AF8" s="3408"/>
      <c r="AG8" s="3976"/>
      <c r="AH8" s="3712"/>
      <c r="AI8" s="3703"/>
    </row>
    <row r="9" spans="1:35" ht="12.75" hidden="1" customHeight="1">
      <c r="C9" s="30"/>
      <c r="K9" s="3336"/>
      <c r="L9" s="3347"/>
      <c r="M9" s="3515"/>
      <c r="N9" s="3515"/>
      <c r="O9" s="3493"/>
      <c r="P9" s="3652"/>
      <c r="Q9" s="3531"/>
      <c r="R9" s="3334"/>
      <c r="S9" s="3331"/>
      <c r="T9" s="3616"/>
      <c r="U9" s="3539"/>
      <c r="V9" s="3599"/>
      <c r="W9" s="3499"/>
      <c r="X9" s="3390"/>
      <c r="Y9" s="3574"/>
      <c r="Z9" s="3574"/>
      <c r="AA9" s="3545"/>
      <c r="AB9" s="3399"/>
      <c r="AC9" s="3690"/>
      <c r="AD9" s="3690"/>
      <c r="AE9" s="3552"/>
      <c r="AF9" s="3408"/>
      <c r="AG9" s="3976"/>
      <c r="AH9" s="3712"/>
      <c r="AI9" s="3703"/>
    </row>
    <row r="10" spans="1:35" ht="12.75" hidden="1" customHeight="1">
      <c r="C10" s="30"/>
      <c r="K10" s="3336"/>
      <c r="L10" s="3347"/>
      <c r="M10" s="3515"/>
      <c r="N10" s="3515"/>
      <c r="O10" s="3493"/>
      <c r="P10" s="3652"/>
      <c r="Q10" s="3531"/>
      <c r="R10" s="3334"/>
      <c r="S10" s="3331"/>
      <c r="T10" s="3616"/>
      <c r="U10" s="3539"/>
      <c r="V10" s="3599"/>
      <c r="W10" s="3499"/>
      <c r="X10" s="3390"/>
      <c r="Y10" s="3574"/>
      <c r="Z10" s="3574"/>
      <c r="AA10" s="3545"/>
      <c r="AB10" s="3399"/>
      <c r="AC10" s="3690"/>
      <c r="AD10" s="3690"/>
      <c r="AE10" s="3552"/>
      <c r="AF10" s="3408"/>
      <c r="AG10" s="3976"/>
      <c r="AH10" s="3712"/>
      <c r="AI10" s="3703"/>
    </row>
    <row r="11" spans="1:35" ht="12.75" hidden="1" customHeight="1">
      <c r="A11" s="310"/>
      <c r="C11" s="30"/>
      <c r="K11" s="3336"/>
      <c r="L11" s="3347"/>
      <c r="M11" s="3515"/>
      <c r="N11" s="3515"/>
      <c r="O11" s="3493"/>
      <c r="P11" s="3652"/>
      <c r="Q11" s="3531"/>
      <c r="R11" s="3334"/>
      <c r="S11" s="3331"/>
      <c r="T11" s="3616"/>
      <c r="U11" s="3539"/>
      <c r="V11" s="3599"/>
      <c r="W11" s="3499"/>
      <c r="X11" s="3390"/>
      <c r="Y11" s="3574"/>
      <c r="Z11" s="3574"/>
      <c r="AA11" s="3545"/>
      <c r="AB11" s="3399"/>
      <c r="AC11" s="3690"/>
      <c r="AD11" s="3690"/>
      <c r="AE11" s="3552"/>
      <c r="AF11" s="3408"/>
      <c r="AG11" s="3976"/>
      <c r="AH11" s="3712"/>
      <c r="AI11" s="3703"/>
    </row>
    <row r="12" spans="1:35" ht="12.75" hidden="1" customHeight="1">
      <c r="C12" s="30"/>
      <c r="K12" s="3336"/>
      <c r="L12" s="3347"/>
      <c r="M12" s="3515"/>
      <c r="N12" s="3515"/>
      <c r="O12" s="3493"/>
      <c r="P12" s="3652"/>
      <c r="Q12" s="3531"/>
      <c r="R12" s="3334"/>
      <c r="S12" s="3331"/>
      <c r="T12" s="3616"/>
      <c r="U12" s="3539"/>
      <c r="V12" s="3599"/>
      <c r="W12" s="3499"/>
      <c r="X12" s="3390"/>
      <c r="Y12" s="3574"/>
      <c r="Z12" s="3574"/>
      <c r="AA12" s="3545"/>
      <c r="AB12" s="3399"/>
      <c r="AC12" s="3690"/>
      <c r="AD12" s="3690"/>
      <c r="AE12" s="3552"/>
      <c r="AF12" s="3408"/>
      <c r="AG12" s="3976"/>
      <c r="AH12" s="3712"/>
      <c r="AI12" s="3703"/>
    </row>
    <row r="13" spans="1:35" ht="12.75" hidden="1" customHeight="1">
      <c r="C13" s="30"/>
      <c r="D13" s="52" t="s">
        <v>3224</v>
      </c>
      <c r="K13" s="3336"/>
      <c r="L13" s="3347"/>
      <c r="M13" s="3515"/>
      <c r="N13" s="3515"/>
      <c r="O13" s="3493"/>
      <c r="P13" s="3652"/>
      <c r="Q13" s="3531"/>
      <c r="R13" s="3334"/>
      <c r="S13" s="3331"/>
      <c r="T13" s="3616"/>
      <c r="U13" s="3539"/>
      <c r="V13" s="3599"/>
      <c r="W13" s="3499"/>
      <c r="X13" s="3390"/>
      <c r="Y13" s="3574"/>
      <c r="Z13" s="3574"/>
      <c r="AA13" s="3545"/>
      <c r="AB13" s="3399"/>
      <c r="AC13" s="3690"/>
      <c r="AD13" s="3690"/>
      <c r="AE13" s="3552"/>
      <c r="AF13" s="3408"/>
      <c r="AG13" s="3976"/>
      <c r="AH13" s="3712"/>
      <c r="AI13" s="3703"/>
    </row>
    <row r="14" spans="1:35" ht="12.75" hidden="1" customHeight="1">
      <c r="A14" s="30"/>
      <c r="K14" s="3336"/>
      <c r="L14" s="3347"/>
      <c r="M14" s="3515"/>
      <c r="N14" s="3515"/>
      <c r="O14" s="3493"/>
      <c r="P14" s="3652"/>
      <c r="Q14" s="3531"/>
      <c r="R14" s="3334"/>
      <c r="S14" s="3331"/>
      <c r="T14" s="3616"/>
      <c r="U14" s="3539"/>
      <c r="V14" s="3599"/>
      <c r="W14" s="3499"/>
      <c r="X14" s="3390"/>
      <c r="Y14" s="3574"/>
      <c r="Z14" s="3574"/>
      <c r="AA14" s="3545"/>
      <c r="AB14" s="3399"/>
      <c r="AC14" s="3690"/>
      <c r="AD14" s="3690"/>
      <c r="AE14" s="3552"/>
      <c r="AF14" s="3408"/>
      <c r="AG14" s="3976"/>
      <c r="AH14" s="3712"/>
      <c r="AI14" s="3703"/>
    </row>
    <row r="15" spans="1:35" ht="12.75" hidden="1" customHeight="1">
      <c r="A15" s="30"/>
      <c r="K15" s="3336"/>
      <c r="L15" s="3347"/>
      <c r="M15" s="3515"/>
      <c r="N15" s="3515"/>
      <c r="O15" s="3493"/>
      <c r="P15" s="3652"/>
      <c r="Q15" s="3531"/>
      <c r="R15" s="3334"/>
      <c r="S15" s="3331"/>
      <c r="T15" s="3616"/>
      <c r="U15" s="3539"/>
      <c r="V15" s="3599"/>
      <c r="W15" s="3499"/>
      <c r="X15" s="3390"/>
      <c r="Y15" s="3574"/>
      <c r="Z15" s="3574"/>
      <c r="AA15" s="3545"/>
      <c r="AB15" s="3399"/>
      <c r="AC15" s="3690"/>
      <c r="AD15" s="3690"/>
      <c r="AE15" s="3552"/>
      <c r="AF15" s="3408"/>
      <c r="AG15" s="3976"/>
      <c r="AH15" s="3712"/>
      <c r="AI15" s="3703"/>
    </row>
    <row r="16" spans="1:35" ht="12.75" hidden="1" customHeight="1">
      <c r="A16" s="56" t="s">
        <v>1720</v>
      </c>
      <c r="B16" t="s">
        <v>1714</v>
      </c>
      <c r="D16" s="122" t="s">
        <v>1538</v>
      </c>
      <c r="K16" s="3336"/>
      <c r="L16" s="3347"/>
      <c r="M16" s="3515"/>
      <c r="N16" s="3515"/>
      <c r="O16" s="3493"/>
      <c r="P16" s="3652"/>
      <c r="Q16" s="3531"/>
      <c r="R16" s="3334"/>
      <c r="S16" s="3331"/>
      <c r="T16" s="3616"/>
      <c r="U16" s="3539"/>
      <c r="V16" s="3599"/>
      <c r="W16" s="3499"/>
      <c r="X16" s="3390"/>
      <c r="Y16" s="3574"/>
      <c r="Z16" s="3574"/>
      <c r="AA16" s="3545"/>
      <c r="AB16" s="3399"/>
      <c r="AC16" s="3690"/>
      <c r="AD16" s="3690"/>
      <c r="AE16" s="3552"/>
      <c r="AF16" s="3408"/>
      <c r="AG16" s="3976"/>
      <c r="AH16" s="3712"/>
      <c r="AI16" s="3703"/>
    </row>
    <row r="17" spans="1:35" ht="12.75" hidden="1" customHeight="1">
      <c r="A17" s="30"/>
      <c r="B17" s="45"/>
      <c r="E17" t="s">
        <v>1657</v>
      </c>
      <c r="K17" s="3336"/>
      <c r="L17" s="3347"/>
      <c r="M17" s="3515"/>
      <c r="N17" s="3515"/>
      <c r="O17" s="3493"/>
      <c r="P17" s="3652"/>
      <c r="Q17" s="3531"/>
      <c r="R17" s="3334"/>
      <c r="S17" s="3331"/>
      <c r="T17" s="3616"/>
      <c r="U17" s="3539"/>
      <c r="V17" s="3599"/>
      <c r="W17" s="3499"/>
      <c r="X17" s="3390"/>
      <c r="Y17" s="3574"/>
      <c r="Z17" s="3574"/>
      <c r="AA17" s="3545"/>
      <c r="AB17" s="3399"/>
      <c r="AC17" s="3690"/>
      <c r="AD17" s="3690"/>
      <c r="AE17" s="3552"/>
      <c r="AF17" s="3408"/>
      <c r="AG17" s="3976"/>
      <c r="AH17" s="3712"/>
      <c r="AI17" s="3703"/>
    </row>
    <row r="18" spans="1:35" ht="12.75" hidden="1" customHeight="1">
      <c r="A18" s="30"/>
      <c r="E18" s="45" t="s">
        <v>806</v>
      </c>
      <c r="K18" s="3336"/>
      <c r="L18" s="3347"/>
      <c r="M18" s="3515"/>
      <c r="N18" s="3515"/>
      <c r="O18" s="3493"/>
      <c r="P18" s="3652"/>
      <c r="Q18" s="3531"/>
      <c r="R18" s="3334"/>
      <c r="S18" s="3331"/>
      <c r="T18" s="3616"/>
      <c r="U18" s="3539"/>
      <c r="V18" s="3599"/>
      <c r="W18" s="3499"/>
      <c r="X18" s="3390"/>
      <c r="Y18" s="3574"/>
      <c r="Z18" s="3574"/>
      <c r="AA18" s="3545"/>
      <c r="AB18" s="3399"/>
      <c r="AC18" s="3690"/>
      <c r="AD18" s="3690"/>
      <c r="AE18" s="3552"/>
      <c r="AF18" s="3408"/>
      <c r="AG18" s="3976"/>
      <c r="AH18" s="3712"/>
      <c r="AI18" s="3703"/>
    </row>
    <row r="19" spans="1:35" ht="12.75" hidden="1" customHeight="1">
      <c r="A19" s="30"/>
      <c r="E19" t="s">
        <v>200</v>
      </c>
      <c r="K19" s="3336"/>
      <c r="L19" s="3347"/>
      <c r="M19" s="3515"/>
      <c r="N19" s="3515"/>
      <c r="O19" s="3493"/>
      <c r="P19" s="3652"/>
      <c r="Q19" s="3531"/>
      <c r="R19" s="3334"/>
      <c r="S19" s="3331"/>
      <c r="T19" s="3616"/>
      <c r="U19" s="3539"/>
      <c r="V19" s="3599"/>
      <c r="W19" s="3499"/>
      <c r="X19" s="3390"/>
      <c r="Y19" s="3574"/>
      <c r="Z19" s="3574"/>
      <c r="AA19" s="3545"/>
      <c r="AB19" s="3399"/>
      <c r="AC19" s="3690"/>
      <c r="AD19" s="3690"/>
      <c r="AE19" s="3552"/>
      <c r="AF19" s="3408"/>
      <c r="AG19" s="3976"/>
      <c r="AH19" s="3712"/>
      <c r="AI19" s="3703"/>
    </row>
    <row r="20" spans="1:35" ht="12.75" hidden="1" customHeight="1">
      <c r="A20" s="56" t="s">
        <v>1721</v>
      </c>
      <c r="B20" t="s">
        <v>1715</v>
      </c>
      <c r="D20" s="122" t="s">
        <v>1538</v>
      </c>
      <c r="K20" s="3336"/>
      <c r="L20" s="3347"/>
      <c r="M20" s="3515"/>
      <c r="N20" s="3515"/>
      <c r="O20" s="3493"/>
      <c r="P20" s="3652"/>
      <c r="Q20" s="3531"/>
      <c r="R20" s="3334"/>
      <c r="S20" s="3331"/>
      <c r="T20" s="3616"/>
      <c r="U20" s="3539"/>
      <c r="V20" s="3599"/>
      <c r="W20" s="3499"/>
      <c r="X20" s="3390"/>
      <c r="Y20" s="3574"/>
      <c r="Z20" s="3574"/>
      <c r="AA20" s="3545"/>
      <c r="AB20" s="3399"/>
      <c r="AC20" s="3690"/>
      <c r="AD20" s="3690"/>
      <c r="AE20" s="3552"/>
      <c r="AF20" s="3408"/>
      <c r="AG20" s="3976"/>
      <c r="AH20" s="3712"/>
      <c r="AI20" s="3703"/>
    </row>
    <row r="21" spans="1:35" ht="12.75" hidden="1" customHeight="1">
      <c r="A21" s="30"/>
      <c r="B21" s="45"/>
      <c r="E21" t="s">
        <v>1657</v>
      </c>
      <c r="K21" s="3336"/>
      <c r="L21" s="3347"/>
      <c r="M21" s="3515"/>
      <c r="N21" s="3515"/>
      <c r="O21" s="3493"/>
      <c r="P21" s="3652"/>
      <c r="Q21" s="3531"/>
      <c r="R21" s="3334"/>
      <c r="S21" s="3331"/>
      <c r="T21" s="3616"/>
      <c r="U21" s="3539"/>
      <c r="V21" s="3599"/>
      <c r="W21" s="3499"/>
      <c r="X21" s="3390"/>
      <c r="Y21" s="3574"/>
      <c r="Z21" s="3574"/>
      <c r="AA21" s="3545"/>
      <c r="AB21" s="3399"/>
      <c r="AC21" s="3690"/>
      <c r="AD21" s="3690"/>
      <c r="AE21" s="3552"/>
      <c r="AF21" s="3408"/>
      <c r="AG21" s="3976"/>
      <c r="AH21" s="3712"/>
      <c r="AI21" s="3703"/>
    </row>
    <row r="22" spans="1:35" ht="12.75" hidden="1" customHeight="1">
      <c r="A22" s="30"/>
      <c r="E22" s="45" t="s">
        <v>806</v>
      </c>
      <c r="K22" s="3336"/>
      <c r="L22" s="3347"/>
      <c r="M22" s="3515"/>
      <c r="N22" s="3515"/>
      <c r="O22" s="3493"/>
      <c r="P22" s="3652"/>
      <c r="Q22" s="3531"/>
      <c r="R22" s="3334"/>
      <c r="S22" s="3331"/>
      <c r="T22" s="3616"/>
      <c r="U22" s="3539"/>
      <c r="V22" s="3599"/>
      <c r="W22" s="3499"/>
      <c r="X22" s="3390"/>
      <c r="Y22" s="3574"/>
      <c r="Z22" s="3574"/>
      <c r="AA22" s="3545"/>
      <c r="AB22" s="3399"/>
      <c r="AC22" s="3690"/>
      <c r="AD22" s="3690"/>
      <c r="AE22" s="3552"/>
      <c r="AF22" s="3408"/>
      <c r="AG22" s="3976"/>
      <c r="AH22" s="3712"/>
      <c r="AI22" s="3703"/>
    </row>
    <row r="23" spans="1:35" ht="12.75" hidden="1" customHeight="1">
      <c r="A23" s="30"/>
      <c r="E23" t="s">
        <v>200</v>
      </c>
      <c r="K23" s="3336"/>
      <c r="L23" s="3347"/>
      <c r="M23" s="3515"/>
      <c r="N23" s="3515"/>
      <c r="O23" s="3493"/>
      <c r="P23" s="3652"/>
      <c r="Q23" s="3531"/>
      <c r="R23" s="3334"/>
      <c r="S23" s="3331"/>
      <c r="T23" s="3616"/>
      <c r="U23" s="3539"/>
      <c r="V23" s="3599"/>
      <c r="W23" s="3499"/>
      <c r="X23" s="3390"/>
      <c r="Y23" s="3574"/>
      <c r="Z23" s="3574"/>
      <c r="AA23" s="3545"/>
      <c r="AB23" s="3399"/>
      <c r="AC23" s="3690"/>
      <c r="AD23" s="3690"/>
      <c r="AE23" s="3552"/>
      <c r="AF23" s="3408"/>
      <c r="AG23" s="3976"/>
      <c r="AH23" s="3712"/>
      <c r="AI23" s="3703"/>
    </row>
    <row r="24" spans="1:35" ht="12.75" hidden="1" customHeight="1">
      <c r="A24" s="56" t="s">
        <v>1722</v>
      </c>
      <c r="B24" t="s">
        <v>2277</v>
      </c>
      <c r="D24" s="122" t="s">
        <v>1538</v>
      </c>
      <c r="K24" s="3336"/>
      <c r="L24" s="3347"/>
      <c r="M24" s="3515"/>
      <c r="N24" s="3515"/>
      <c r="O24" s="3493"/>
      <c r="P24" s="3652"/>
      <c r="Q24" s="3531"/>
      <c r="R24" s="3334"/>
      <c r="S24" s="3331"/>
      <c r="T24" s="3616"/>
      <c r="U24" s="3539"/>
      <c r="V24" s="3599"/>
      <c r="W24" s="3499"/>
      <c r="X24" s="3390"/>
      <c r="Y24" s="3574"/>
      <c r="Z24" s="3574"/>
      <c r="AA24" s="3545"/>
      <c r="AB24" s="3399"/>
      <c r="AC24" s="3690"/>
      <c r="AD24" s="3690"/>
      <c r="AE24" s="3552"/>
      <c r="AF24" s="3408"/>
      <c r="AG24" s="3976"/>
      <c r="AH24" s="3712"/>
      <c r="AI24" s="3703"/>
    </row>
    <row r="25" spans="1:35" ht="12.75" hidden="1" customHeight="1">
      <c r="A25" s="30"/>
      <c r="B25" s="45"/>
      <c r="E25" t="s">
        <v>1657</v>
      </c>
      <c r="K25" s="3336"/>
      <c r="L25" s="3347"/>
      <c r="M25" s="3515"/>
      <c r="N25" s="3515"/>
      <c r="O25" s="3493"/>
      <c r="P25" s="3652"/>
      <c r="Q25" s="3531"/>
      <c r="R25" s="3334"/>
      <c r="S25" s="3331"/>
      <c r="T25" s="3616"/>
      <c r="U25" s="3539"/>
      <c r="V25" s="3599"/>
      <c r="W25" s="3499"/>
      <c r="X25" s="3390"/>
      <c r="Y25" s="3574"/>
      <c r="Z25" s="3574"/>
      <c r="AA25" s="3545"/>
      <c r="AB25" s="3399"/>
      <c r="AC25" s="3690"/>
      <c r="AD25" s="3690"/>
      <c r="AE25" s="3552"/>
      <c r="AF25" s="3408"/>
      <c r="AG25" s="3976"/>
      <c r="AH25" s="3712"/>
      <c r="AI25" s="3703"/>
    </row>
    <row r="26" spans="1:35" ht="12.75" hidden="1" customHeight="1">
      <c r="A26" s="30"/>
      <c r="E26" s="45" t="s">
        <v>806</v>
      </c>
      <c r="K26" s="3336"/>
      <c r="L26" s="3347"/>
      <c r="M26" s="3515"/>
      <c r="N26" s="3515"/>
      <c r="O26" s="3493"/>
      <c r="P26" s="3652"/>
      <c r="Q26" s="3531"/>
      <c r="R26" s="3334"/>
      <c r="S26" s="3331"/>
      <c r="T26" s="3616"/>
      <c r="U26" s="3539"/>
      <c r="V26" s="3599"/>
      <c r="W26" s="3499"/>
      <c r="X26" s="3390"/>
      <c r="Y26" s="3574"/>
      <c r="Z26" s="3574"/>
      <c r="AA26" s="3545"/>
      <c r="AB26" s="3399"/>
      <c r="AC26" s="3690"/>
      <c r="AD26" s="3690"/>
      <c r="AE26" s="3552"/>
      <c r="AF26" s="3408"/>
      <c r="AG26" s="3976"/>
      <c r="AH26" s="3712"/>
      <c r="AI26" s="3703"/>
    </row>
    <row r="27" spans="1:35" ht="12.75" hidden="1" customHeight="1">
      <c r="A27" s="30"/>
      <c r="E27" t="s">
        <v>200</v>
      </c>
      <c r="K27" s="3336"/>
      <c r="L27" s="3347"/>
      <c r="M27" s="3515"/>
      <c r="N27" s="3515"/>
      <c r="O27" s="3493"/>
      <c r="P27" s="3652"/>
      <c r="Q27" s="3531"/>
      <c r="R27" s="3334"/>
      <c r="S27" s="3331"/>
      <c r="T27" s="3616"/>
      <c r="U27" s="3539"/>
      <c r="V27" s="3599"/>
      <c r="W27" s="3499"/>
      <c r="X27" s="3390"/>
      <c r="Y27" s="3574"/>
      <c r="Z27" s="3574"/>
      <c r="AA27" s="3545"/>
      <c r="AB27" s="3399"/>
      <c r="AC27" s="3690"/>
      <c r="AD27" s="3690"/>
      <c r="AE27" s="3552"/>
      <c r="AF27" s="3408"/>
      <c r="AG27" s="3976"/>
      <c r="AH27" s="3712"/>
      <c r="AI27" s="3703"/>
    </row>
    <row r="28" spans="1:35" ht="12.75" hidden="1" customHeight="1">
      <c r="A28" s="56" t="s">
        <v>1723</v>
      </c>
      <c r="B28" t="s">
        <v>752</v>
      </c>
      <c r="D28" s="122" t="s">
        <v>1538</v>
      </c>
      <c r="K28" s="3336"/>
      <c r="L28" s="3347"/>
      <c r="M28" s="3515"/>
      <c r="N28" s="3515"/>
      <c r="O28" s="3493"/>
      <c r="P28" s="3652"/>
      <c r="Q28" s="3531"/>
      <c r="R28" s="3334"/>
      <c r="S28" s="3331"/>
      <c r="T28" s="3616"/>
      <c r="U28" s="3539"/>
      <c r="V28" s="3599"/>
      <c r="W28" s="3499"/>
      <c r="X28" s="3390"/>
      <c r="Y28" s="3574"/>
      <c r="Z28" s="3574"/>
      <c r="AA28" s="3545"/>
      <c r="AB28" s="3399"/>
      <c r="AC28" s="3690"/>
      <c r="AD28" s="3690"/>
      <c r="AE28" s="3552"/>
      <c r="AF28" s="3408"/>
      <c r="AG28" s="3976"/>
      <c r="AH28" s="3712"/>
      <c r="AI28" s="3703"/>
    </row>
    <row r="29" spans="1:35" ht="12.75" hidden="1" customHeight="1">
      <c r="A29" s="30"/>
      <c r="B29" s="45"/>
      <c r="E29" t="s">
        <v>1657</v>
      </c>
      <c r="K29" s="3336"/>
      <c r="L29" s="3347"/>
      <c r="M29" s="3515"/>
      <c r="N29" s="3515"/>
      <c r="O29" s="3493"/>
      <c r="P29" s="3652"/>
      <c r="Q29" s="3531"/>
      <c r="R29" s="3334"/>
      <c r="S29" s="3331"/>
      <c r="T29" s="3616"/>
      <c r="U29" s="3539"/>
      <c r="V29" s="3599"/>
      <c r="W29" s="3499"/>
      <c r="X29" s="3390"/>
      <c r="Y29" s="3574"/>
      <c r="Z29" s="3574"/>
      <c r="AA29" s="3545"/>
      <c r="AB29" s="3399"/>
      <c r="AC29" s="3690"/>
      <c r="AD29" s="3690"/>
      <c r="AE29" s="3552"/>
      <c r="AF29" s="3408"/>
      <c r="AG29" s="3976"/>
      <c r="AH29" s="3712"/>
      <c r="AI29" s="3703"/>
    </row>
    <row r="30" spans="1:35" ht="12.75" hidden="1" customHeight="1">
      <c r="A30" s="30"/>
      <c r="E30" s="45" t="s">
        <v>806</v>
      </c>
      <c r="K30" s="3336"/>
      <c r="L30" s="3347"/>
      <c r="M30" s="3515"/>
      <c r="N30" s="3515"/>
      <c r="O30" s="3493"/>
      <c r="P30" s="3652"/>
      <c r="Q30" s="3531"/>
      <c r="R30" s="3334"/>
      <c r="S30" s="3331"/>
      <c r="T30" s="3616"/>
      <c r="U30" s="3539"/>
      <c r="V30" s="3599"/>
      <c r="W30" s="3499"/>
      <c r="X30" s="3390"/>
      <c r="Y30" s="3574"/>
      <c r="Z30" s="3574"/>
      <c r="AA30" s="3545"/>
      <c r="AB30" s="3399"/>
      <c r="AC30" s="3690"/>
      <c r="AD30" s="3690"/>
      <c r="AE30" s="3552"/>
      <c r="AF30" s="3408"/>
      <c r="AG30" s="3976"/>
      <c r="AH30" s="3712"/>
      <c r="AI30" s="3703"/>
    </row>
    <row r="31" spans="1:35" ht="12.75" hidden="1" customHeight="1">
      <c r="A31" s="30"/>
      <c r="E31" t="s">
        <v>200</v>
      </c>
      <c r="K31" s="3336"/>
      <c r="L31" s="3347"/>
      <c r="M31" s="3515"/>
      <c r="N31" s="3515"/>
      <c r="O31" s="3493"/>
      <c r="P31" s="3652"/>
      <c r="Q31" s="3531"/>
      <c r="R31" s="3334"/>
      <c r="S31" s="3331"/>
      <c r="T31" s="3616"/>
      <c r="U31" s="3539"/>
      <c r="V31" s="3599"/>
      <c r="W31" s="3499"/>
      <c r="X31" s="3390"/>
      <c r="Y31" s="3574"/>
      <c r="Z31" s="3574"/>
      <c r="AA31" s="3545"/>
      <c r="AB31" s="3399"/>
      <c r="AC31" s="3690"/>
      <c r="AD31" s="3690"/>
      <c r="AE31" s="3552"/>
      <c r="AF31" s="3408"/>
      <c r="AG31" s="3976"/>
      <c r="AH31" s="3712"/>
      <c r="AI31" s="3703"/>
    </row>
    <row r="32" spans="1:35" ht="12.75" hidden="1" customHeight="1">
      <c r="A32" s="56" t="s">
        <v>2550</v>
      </c>
      <c r="B32" t="s">
        <v>2551</v>
      </c>
      <c r="D32" s="122" t="s">
        <v>1538</v>
      </c>
      <c r="K32" s="3336"/>
      <c r="L32" s="3347"/>
      <c r="M32" s="3515"/>
      <c r="N32" s="3515"/>
      <c r="O32" s="3493"/>
      <c r="P32" s="3652"/>
      <c r="Q32" s="3531"/>
      <c r="R32" s="3334"/>
      <c r="S32" s="3331"/>
      <c r="T32" s="3616"/>
      <c r="U32" s="3539"/>
      <c r="V32" s="3599"/>
      <c r="W32" s="3499"/>
      <c r="X32" s="3390"/>
      <c r="Y32" s="3574"/>
      <c r="Z32" s="3574"/>
      <c r="AA32" s="3545"/>
      <c r="AB32" s="3399"/>
      <c r="AC32" s="3690"/>
      <c r="AD32" s="3690"/>
      <c r="AE32" s="3552"/>
      <c r="AF32" s="3408"/>
      <c r="AG32" s="3976"/>
      <c r="AH32" s="3712"/>
      <c r="AI32" s="3703"/>
    </row>
    <row r="33" spans="1:35" ht="12.75" hidden="1" customHeight="1">
      <c r="A33" s="30"/>
      <c r="B33" s="45"/>
      <c r="E33" t="s">
        <v>1657</v>
      </c>
      <c r="K33" s="3336"/>
      <c r="L33" s="3347"/>
      <c r="M33" s="3515"/>
      <c r="N33" s="3515"/>
      <c r="O33" s="3493"/>
      <c r="P33" s="3652"/>
      <c r="Q33" s="3531"/>
      <c r="R33" s="3334"/>
      <c r="S33" s="3331"/>
      <c r="T33" s="3616"/>
      <c r="U33" s="3539"/>
      <c r="V33" s="3599"/>
      <c r="W33" s="3499"/>
      <c r="X33" s="3390"/>
      <c r="Y33" s="3574"/>
      <c r="Z33" s="3574"/>
      <c r="AA33" s="3545"/>
      <c r="AB33" s="3399"/>
      <c r="AC33" s="3690"/>
      <c r="AD33" s="3690"/>
      <c r="AE33" s="3552"/>
      <c r="AF33" s="3408"/>
      <c r="AG33" s="3976"/>
      <c r="AH33" s="3712"/>
      <c r="AI33" s="3703"/>
    </row>
    <row r="34" spans="1:35" ht="12.75" hidden="1" customHeight="1">
      <c r="A34" s="30"/>
      <c r="E34" s="45" t="s">
        <v>806</v>
      </c>
      <c r="K34" s="3336"/>
      <c r="L34" s="3347"/>
      <c r="M34" s="3515"/>
      <c r="N34" s="3515"/>
      <c r="O34" s="3493"/>
      <c r="P34" s="3652"/>
      <c r="Q34" s="3531"/>
      <c r="R34" s="3334"/>
      <c r="S34" s="3331"/>
      <c r="T34" s="3616"/>
      <c r="U34" s="3539"/>
      <c r="V34" s="3599"/>
      <c r="W34" s="3499"/>
      <c r="X34" s="3390"/>
      <c r="Y34" s="3574"/>
      <c r="Z34" s="3574"/>
      <c r="AA34" s="3545"/>
      <c r="AB34" s="3399"/>
      <c r="AC34" s="3690"/>
      <c r="AD34" s="3690"/>
      <c r="AE34" s="3552"/>
      <c r="AF34" s="3408"/>
      <c r="AG34" s="3976"/>
      <c r="AH34" s="3712"/>
      <c r="AI34" s="3703"/>
    </row>
    <row r="35" spans="1:35" ht="12.75" hidden="1" customHeight="1">
      <c r="A35" s="30"/>
      <c r="E35" t="s">
        <v>200</v>
      </c>
      <c r="K35" s="3336"/>
      <c r="L35" s="3347"/>
      <c r="M35" s="3515"/>
      <c r="N35" s="3515"/>
      <c r="O35" s="3493"/>
      <c r="P35" s="3652"/>
      <c r="Q35" s="3531"/>
      <c r="R35" s="3334"/>
      <c r="S35" s="3331"/>
      <c r="T35" s="3616"/>
      <c r="U35" s="3539"/>
      <c r="V35" s="3599"/>
      <c r="W35" s="3499"/>
      <c r="X35" s="3390"/>
      <c r="Y35" s="3574"/>
      <c r="Z35" s="3574"/>
      <c r="AA35" s="3545"/>
      <c r="AB35" s="3399"/>
      <c r="AC35" s="3690"/>
      <c r="AD35" s="3690"/>
      <c r="AE35" s="3552"/>
      <c r="AF35" s="3408"/>
      <c r="AG35" s="3976"/>
      <c r="AH35" s="3712"/>
      <c r="AI35" s="3703"/>
    </row>
    <row r="36" spans="1:35" ht="12.75" hidden="1" customHeight="1">
      <c r="A36" s="56" t="s">
        <v>1643</v>
      </c>
      <c r="B36" t="s">
        <v>269</v>
      </c>
      <c r="D36" s="122" t="s">
        <v>1538</v>
      </c>
      <c r="K36" s="3336"/>
      <c r="L36" s="3347"/>
      <c r="M36" s="3515"/>
      <c r="N36" s="3515"/>
      <c r="O36" s="3493"/>
      <c r="P36" s="3652"/>
      <c r="Q36" s="3531"/>
      <c r="R36" s="3334"/>
      <c r="S36" s="3331"/>
      <c r="T36" s="3616"/>
      <c r="U36" s="3539"/>
      <c r="V36" s="3599"/>
      <c r="W36" s="3499"/>
      <c r="X36" s="3390"/>
      <c r="Y36" s="3574"/>
      <c r="Z36" s="3574"/>
      <c r="AA36" s="3545"/>
      <c r="AB36" s="3399"/>
      <c r="AC36" s="3690"/>
      <c r="AD36" s="3690"/>
      <c r="AE36" s="3552"/>
      <c r="AF36" s="3408"/>
      <c r="AG36" s="3976"/>
      <c r="AH36" s="3712"/>
      <c r="AI36" s="3703"/>
    </row>
    <row r="37" spans="1:35" ht="12.75" hidden="1" customHeight="1">
      <c r="A37" s="30"/>
      <c r="B37" s="45"/>
      <c r="E37" t="s">
        <v>1657</v>
      </c>
      <c r="K37" s="3336"/>
      <c r="L37" s="3347"/>
      <c r="M37" s="3515"/>
      <c r="N37" s="3515"/>
      <c r="O37" s="3493"/>
      <c r="P37" s="3652"/>
      <c r="Q37" s="3531"/>
      <c r="R37" s="3334"/>
      <c r="S37" s="3331"/>
      <c r="T37" s="3616"/>
      <c r="U37" s="3539"/>
      <c r="V37" s="3599"/>
      <c r="W37" s="3499"/>
      <c r="X37" s="3390"/>
      <c r="Y37" s="3574"/>
      <c r="Z37" s="3574"/>
      <c r="AA37" s="3545"/>
      <c r="AB37" s="3399"/>
      <c r="AC37" s="3690"/>
      <c r="AD37" s="3690"/>
      <c r="AE37" s="3552"/>
      <c r="AF37" s="3408"/>
      <c r="AG37" s="3976"/>
      <c r="AH37" s="3712"/>
      <c r="AI37" s="3703"/>
    </row>
    <row r="38" spans="1:35" ht="12.75" hidden="1" customHeight="1">
      <c r="A38" s="30"/>
      <c r="E38" s="45" t="s">
        <v>806</v>
      </c>
      <c r="K38" s="3336"/>
      <c r="L38" s="3347"/>
      <c r="M38" s="3515"/>
      <c r="N38" s="3515"/>
      <c r="O38" s="3493"/>
      <c r="P38" s="3652"/>
      <c r="Q38" s="3531"/>
      <c r="R38" s="3334"/>
      <c r="S38" s="3331"/>
      <c r="T38" s="3616"/>
      <c r="U38" s="3539"/>
      <c r="V38" s="3599"/>
      <c r="W38" s="3499"/>
      <c r="X38" s="3390"/>
      <c r="Y38" s="3574"/>
      <c r="Z38" s="3574"/>
      <c r="AA38" s="3545"/>
      <c r="AB38" s="3399"/>
      <c r="AC38" s="3690"/>
      <c r="AD38" s="3690"/>
      <c r="AE38" s="3552"/>
      <c r="AF38" s="3408"/>
      <c r="AG38" s="3976"/>
      <c r="AH38" s="3712"/>
      <c r="AI38" s="3703"/>
    </row>
    <row r="39" spans="1:35" ht="12.75" hidden="1" customHeight="1">
      <c r="A39" s="30"/>
      <c r="E39" t="s">
        <v>200</v>
      </c>
      <c r="K39" s="3336"/>
      <c r="L39" s="3347"/>
      <c r="M39" s="3515"/>
      <c r="N39" s="3515"/>
      <c r="O39" s="3493"/>
      <c r="P39" s="3652"/>
      <c r="Q39" s="3531"/>
      <c r="R39" s="3334"/>
      <c r="S39" s="3331"/>
      <c r="T39" s="3616"/>
      <c r="U39" s="3539"/>
      <c r="V39" s="3599"/>
      <c r="W39" s="3499"/>
      <c r="X39" s="3390"/>
      <c r="Y39" s="3574"/>
      <c r="Z39" s="3574"/>
      <c r="AA39" s="3545"/>
      <c r="AB39" s="3399"/>
      <c r="AC39" s="3690"/>
      <c r="AD39" s="3690"/>
      <c r="AE39" s="3552"/>
      <c r="AF39" s="3408"/>
      <c r="AG39" s="3976"/>
      <c r="AH39" s="3712"/>
      <c r="AI39" s="3703"/>
    </row>
    <row r="40" spans="1:35" ht="12.75" hidden="1" customHeight="1">
      <c r="A40" s="56" t="s">
        <v>1644</v>
      </c>
      <c r="B40" t="s">
        <v>270</v>
      </c>
      <c r="D40" s="122" t="s">
        <v>1538</v>
      </c>
      <c r="K40" s="3336"/>
      <c r="L40" s="3347"/>
      <c r="M40" s="3515"/>
      <c r="N40" s="3515"/>
      <c r="O40" s="3493"/>
      <c r="P40" s="3652"/>
      <c r="Q40" s="3531"/>
      <c r="R40" s="3334"/>
      <c r="S40" s="3331"/>
      <c r="T40" s="3616"/>
      <c r="U40" s="3539"/>
      <c r="V40" s="3599"/>
      <c r="W40" s="3499"/>
      <c r="X40" s="3390"/>
      <c r="Y40" s="3574"/>
      <c r="Z40" s="3574"/>
      <c r="AA40" s="3545"/>
      <c r="AB40" s="3399"/>
      <c r="AC40" s="3690"/>
      <c r="AD40" s="3690"/>
      <c r="AE40" s="3552"/>
      <c r="AF40" s="3408"/>
      <c r="AG40" s="3976"/>
      <c r="AH40" s="3712"/>
      <c r="AI40" s="3703"/>
    </row>
    <row r="41" spans="1:35" ht="12.75" hidden="1" customHeight="1">
      <c r="A41" s="30"/>
      <c r="B41" s="45"/>
      <c r="E41" t="s">
        <v>1657</v>
      </c>
      <c r="K41" s="3336"/>
      <c r="L41" s="3347"/>
      <c r="M41" s="3515"/>
      <c r="N41" s="3515"/>
      <c r="O41" s="3493"/>
      <c r="P41" s="3652"/>
      <c r="Q41" s="3531"/>
      <c r="R41" s="3334"/>
      <c r="S41" s="3331"/>
      <c r="T41" s="3616"/>
      <c r="U41" s="3539"/>
      <c r="V41" s="3599"/>
      <c r="W41" s="3499"/>
      <c r="X41" s="3390"/>
      <c r="Y41" s="3574"/>
      <c r="Z41" s="3574"/>
      <c r="AA41" s="3545"/>
      <c r="AB41" s="3399"/>
      <c r="AC41" s="3690"/>
      <c r="AD41" s="3690"/>
      <c r="AE41" s="3552"/>
      <c r="AF41" s="3408"/>
      <c r="AG41" s="3976"/>
      <c r="AH41" s="3712"/>
      <c r="AI41" s="3703"/>
    </row>
    <row r="42" spans="1:35" ht="12.75" hidden="1" customHeight="1">
      <c r="A42" s="30"/>
      <c r="E42" s="45" t="s">
        <v>806</v>
      </c>
      <c r="K42" s="3336"/>
      <c r="L42" s="3347"/>
      <c r="M42" s="3515"/>
      <c r="N42" s="3515"/>
      <c r="O42" s="3493"/>
      <c r="P42" s="3652"/>
      <c r="Q42" s="3531"/>
      <c r="R42" s="3334"/>
      <c r="S42" s="3331"/>
      <c r="T42" s="3616"/>
      <c r="U42" s="3539"/>
      <c r="V42" s="3599"/>
      <c r="W42" s="3499"/>
      <c r="X42" s="3390"/>
      <c r="Y42" s="3574"/>
      <c r="Z42" s="3574"/>
      <c r="AA42" s="3545"/>
      <c r="AB42" s="3399"/>
      <c r="AC42" s="3690"/>
      <c r="AD42" s="3690"/>
      <c r="AE42" s="3552"/>
      <c r="AF42" s="3408"/>
      <c r="AG42" s="3976"/>
      <c r="AH42" s="3712"/>
      <c r="AI42" s="3703"/>
    </row>
    <row r="43" spans="1:35" ht="12.75" hidden="1" customHeight="1">
      <c r="A43" s="30"/>
      <c r="E43" t="s">
        <v>200</v>
      </c>
      <c r="K43" s="3336"/>
      <c r="L43" s="3347"/>
      <c r="M43" s="3515"/>
      <c r="N43" s="3515"/>
      <c r="O43" s="3493"/>
      <c r="P43" s="3652"/>
      <c r="Q43" s="3531"/>
      <c r="R43" s="3334"/>
      <c r="S43" s="3331"/>
      <c r="T43" s="3616"/>
      <c r="U43" s="3539"/>
      <c r="V43" s="3599"/>
      <c r="W43" s="3499"/>
      <c r="X43" s="3390"/>
      <c r="Y43" s="3574"/>
      <c r="Z43" s="3574"/>
      <c r="AA43" s="3545"/>
      <c r="AB43" s="3399"/>
      <c r="AC43" s="3690"/>
      <c r="AD43" s="3690"/>
      <c r="AE43" s="3552"/>
      <c r="AF43" s="3408"/>
      <c r="AG43" s="3976"/>
      <c r="AH43" s="3712"/>
      <c r="AI43" s="3703"/>
    </row>
    <row r="44" spans="1:35" ht="12.75" hidden="1" customHeight="1">
      <c r="A44" s="56" t="s">
        <v>2307</v>
      </c>
      <c r="B44" t="s">
        <v>1336</v>
      </c>
      <c r="D44" s="122" t="s">
        <v>1538</v>
      </c>
      <c r="K44" s="3336"/>
      <c r="L44" s="3347"/>
      <c r="M44" s="3515"/>
      <c r="N44" s="3515"/>
      <c r="O44" s="3493"/>
      <c r="P44" s="3652"/>
      <c r="Q44" s="3531"/>
      <c r="R44" s="3334"/>
      <c r="S44" s="3331"/>
      <c r="T44" s="3616"/>
      <c r="U44" s="3539"/>
      <c r="V44" s="3599"/>
      <c r="W44" s="3499"/>
      <c r="X44" s="3390"/>
      <c r="Y44" s="3574"/>
      <c r="Z44" s="3574"/>
      <c r="AA44" s="3545"/>
      <c r="AB44" s="3399"/>
      <c r="AC44" s="3690"/>
      <c r="AD44" s="3690"/>
      <c r="AE44" s="3552"/>
      <c r="AF44" s="3408"/>
      <c r="AG44" s="3976"/>
      <c r="AH44" s="3712"/>
      <c r="AI44" s="3703"/>
    </row>
    <row r="45" spans="1:35" ht="12.75" hidden="1" customHeight="1">
      <c r="A45" s="30"/>
      <c r="B45" s="45"/>
      <c r="E45" t="s">
        <v>1657</v>
      </c>
      <c r="K45" s="3336"/>
      <c r="L45" s="3347"/>
      <c r="M45" s="3515"/>
      <c r="N45" s="3515"/>
      <c r="O45" s="3493"/>
      <c r="P45" s="3652"/>
      <c r="Q45" s="3531"/>
      <c r="R45" s="3334"/>
      <c r="S45" s="3331"/>
      <c r="T45" s="3616"/>
      <c r="U45" s="3539"/>
      <c r="V45" s="3599"/>
      <c r="W45" s="3499"/>
      <c r="X45" s="3390"/>
      <c r="Y45" s="3574"/>
      <c r="Z45" s="3574"/>
      <c r="AA45" s="3545"/>
      <c r="AB45" s="3399"/>
      <c r="AC45" s="3690"/>
      <c r="AD45" s="3690"/>
      <c r="AE45" s="3552"/>
      <c r="AF45" s="3408"/>
      <c r="AG45" s="3976"/>
      <c r="AH45" s="3712"/>
      <c r="AI45" s="3703"/>
    </row>
    <row r="46" spans="1:35" ht="12.75" hidden="1" customHeight="1">
      <c r="A46" s="30"/>
      <c r="E46" s="45" t="s">
        <v>806</v>
      </c>
      <c r="K46" s="3336"/>
      <c r="L46" s="3347"/>
      <c r="M46" s="3515"/>
      <c r="N46" s="3515"/>
      <c r="O46" s="3493"/>
      <c r="P46" s="3652"/>
      <c r="Q46" s="3531"/>
      <c r="R46" s="3334"/>
      <c r="S46" s="3331"/>
      <c r="T46" s="3616"/>
      <c r="U46" s="3539"/>
      <c r="V46" s="3599"/>
      <c r="W46" s="3499"/>
      <c r="X46" s="3390"/>
      <c r="Y46" s="3574"/>
      <c r="Z46" s="3574"/>
      <c r="AA46" s="3545"/>
      <c r="AB46" s="3399"/>
      <c r="AC46" s="3690"/>
      <c r="AD46" s="3690"/>
      <c r="AE46" s="3552"/>
      <c r="AF46" s="3408"/>
      <c r="AG46" s="3976"/>
      <c r="AH46" s="3712"/>
      <c r="AI46" s="3703"/>
    </row>
    <row r="47" spans="1:35" ht="12.75" hidden="1" customHeight="1">
      <c r="A47" s="30"/>
      <c r="E47" t="s">
        <v>200</v>
      </c>
      <c r="K47" s="3336"/>
      <c r="L47" s="3347"/>
      <c r="M47" s="3515"/>
      <c r="N47" s="3515"/>
      <c r="O47" s="3493"/>
      <c r="P47" s="3652"/>
      <c r="Q47" s="3531"/>
      <c r="R47" s="3334"/>
      <c r="S47" s="3331"/>
      <c r="T47" s="3616"/>
      <c r="U47" s="3539"/>
      <c r="V47" s="3599"/>
      <c r="W47" s="3499"/>
      <c r="X47" s="3390"/>
      <c r="Y47" s="3574"/>
      <c r="Z47" s="3574"/>
      <c r="AA47" s="3545"/>
      <c r="AB47" s="3399"/>
      <c r="AC47" s="3690"/>
      <c r="AD47" s="3690"/>
      <c r="AE47" s="3552"/>
      <c r="AF47" s="3408"/>
      <c r="AG47" s="3976"/>
      <c r="AH47" s="3712"/>
      <c r="AI47" s="3703"/>
    </row>
    <row r="48" spans="1:35" ht="12.75" hidden="1" customHeight="1">
      <c r="A48" s="56" t="s">
        <v>2442</v>
      </c>
      <c r="B48" t="s">
        <v>805</v>
      </c>
      <c r="D48" s="122" t="s">
        <v>1538</v>
      </c>
      <c r="K48" s="3336"/>
      <c r="L48" s="3347"/>
      <c r="M48" s="3515"/>
      <c r="N48" s="3515"/>
      <c r="O48" s="3493"/>
      <c r="P48" s="3652"/>
      <c r="Q48" s="3531"/>
      <c r="R48" s="3334"/>
      <c r="S48" s="3331"/>
      <c r="T48" s="3616"/>
      <c r="U48" s="3539"/>
      <c r="V48" s="3599"/>
      <c r="W48" s="3499"/>
      <c r="X48" s="3390"/>
      <c r="Y48" s="3574"/>
      <c r="Z48" s="3574"/>
      <c r="AA48" s="3545"/>
      <c r="AB48" s="3399"/>
      <c r="AC48" s="3690"/>
      <c r="AD48" s="3690"/>
      <c r="AE48" s="3552"/>
      <c r="AF48" s="3408"/>
      <c r="AG48" s="3976"/>
      <c r="AH48" s="3712"/>
      <c r="AI48" s="3703"/>
    </row>
    <row r="49" spans="1:35" ht="12.75" hidden="1" customHeight="1">
      <c r="A49" s="30"/>
      <c r="B49" s="45"/>
      <c r="E49" t="s">
        <v>1657</v>
      </c>
      <c r="K49" s="3336"/>
      <c r="L49" s="3347"/>
      <c r="M49" s="3515"/>
      <c r="N49" s="3515"/>
      <c r="O49" s="3493"/>
      <c r="P49" s="3652"/>
      <c r="Q49" s="3531"/>
      <c r="R49" s="3334"/>
      <c r="S49" s="3331"/>
      <c r="T49" s="3616"/>
      <c r="U49" s="3539"/>
      <c r="V49" s="3599"/>
      <c r="W49" s="3499"/>
      <c r="X49" s="3390"/>
      <c r="Y49" s="3574"/>
      <c r="Z49" s="3574"/>
      <c r="AA49" s="3545"/>
      <c r="AB49" s="3399"/>
      <c r="AC49" s="3690"/>
      <c r="AD49" s="3690"/>
      <c r="AE49" s="3552"/>
      <c r="AF49" s="3408"/>
      <c r="AG49" s="3976"/>
      <c r="AH49" s="3712"/>
      <c r="AI49" s="3703"/>
    </row>
    <row r="50" spans="1:35" ht="12.75" hidden="1" customHeight="1">
      <c r="A50" s="30"/>
      <c r="E50" s="45" t="s">
        <v>806</v>
      </c>
      <c r="K50" s="3336"/>
      <c r="L50" s="3347"/>
      <c r="M50" s="3515"/>
      <c r="N50" s="3515"/>
      <c r="O50" s="3493"/>
      <c r="P50" s="3652"/>
      <c r="Q50" s="3531"/>
      <c r="R50" s="3334"/>
      <c r="S50" s="3331"/>
      <c r="T50" s="3616"/>
      <c r="U50" s="3539"/>
      <c r="V50" s="3599"/>
      <c r="W50" s="3499"/>
      <c r="X50" s="3390"/>
      <c r="Y50" s="3574"/>
      <c r="Z50" s="3574"/>
      <c r="AA50" s="3545"/>
      <c r="AB50" s="3399"/>
      <c r="AC50" s="3690"/>
      <c r="AD50" s="3690"/>
      <c r="AE50" s="3552"/>
      <c r="AF50" s="3408"/>
      <c r="AG50" s="3976"/>
      <c r="AH50" s="3712"/>
      <c r="AI50" s="3703"/>
    </row>
    <row r="51" spans="1:35" ht="12.75" hidden="1" customHeight="1">
      <c r="A51" s="30"/>
      <c r="E51" t="s">
        <v>200</v>
      </c>
      <c r="K51" s="3336"/>
      <c r="L51" s="3347"/>
      <c r="M51" s="3515"/>
      <c r="N51" s="3515"/>
      <c r="O51" s="3493"/>
      <c r="P51" s="3652"/>
      <c r="Q51" s="3531"/>
      <c r="R51" s="3334"/>
      <c r="S51" s="3331"/>
      <c r="T51" s="3616"/>
      <c r="U51" s="3539"/>
      <c r="V51" s="3599"/>
      <c r="W51" s="3499"/>
      <c r="X51" s="3390"/>
      <c r="Y51" s="3574"/>
      <c r="Z51" s="3574"/>
      <c r="AA51" s="3545"/>
      <c r="AB51" s="3399"/>
      <c r="AC51" s="3690"/>
      <c r="AD51" s="3690"/>
      <c r="AE51" s="3552"/>
      <c r="AF51" s="3408"/>
      <c r="AG51" s="3976"/>
      <c r="AH51" s="3712"/>
      <c r="AI51" s="3703"/>
    </row>
    <row r="52" spans="1:35" ht="12.75" hidden="1" customHeight="1">
      <c r="A52" s="30"/>
      <c r="K52" s="3336"/>
      <c r="L52" s="3347"/>
      <c r="M52" s="3515"/>
      <c r="N52" s="3515"/>
      <c r="O52" s="3493"/>
      <c r="P52" s="3652"/>
      <c r="Q52" s="3531"/>
      <c r="R52" s="3334"/>
      <c r="S52" s="3331"/>
      <c r="T52" s="3616"/>
      <c r="U52" s="3539"/>
      <c r="V52" s="3599"/>
      <c r="W52" s="3499"/>
      <c r="X52" s="3390"/>
      <c r="Y52" s="3574"/>
      <c r="Z52" s="3574"/>
      <c r="AA52" s="3545"/>
      <c r="AB52" s="3399"/>
      <c r="AC52" s="3690"/>
      <c r="AD52" s="3690"/>
      <c r="AE52" s="3552"/>
      <c r="AF52" s="3408"/>
      <c r="AG52" s="3976"/>
      <c r="AH52" s="3712"/>
      <c r="AI52" s="3703"/>
    </row>
    <row r="53" spans="1:35" ht="12.75" hidden="1" customHeight="1">
      <c r="A53" s="30"/>
      <c r="E53" t="s">
        <v>2974</v>
      </c>
      <c r="K53" s="3336"/>
      <c r="L53" s="3347"/>
      <c r="M53" s="3515"/>
      <c r="N53" s="3515"/>
      <c r="O53" s="3493"/>
      <c r="P53" s="3652"/>
      <c r="Q53" s="3531"/>
      <c r="R53" s="3334"/>
      <c r="S53" s="3331"/>
      <c r="T53" s="3616"/>
      <c r="U53" s="3539"/>
      <c r="V53" s="3599"/>
      <c r="W53" s="3499"/>
      <c r="X53" s="3390"/>
      <c r="Y53" s="3574"/>
      <c r="Z53" s="3574"/>
      <c r="AA53" s="3545"/>
      <c r="AB53" s="3399"/>
      <c r="AC53" s="3690"/>
      <c r="AD53" s="3690"/>
      <c r="AE53" s="3552"/>
      <c r="AF53" s="3408"/>
      <c r="AG53" s="3976"/>
      <c r="AH53" s="3712"/>
      <c r="AI53" s="3703"/>
    </row>
    <row r="54" spans="1:35" ht="12.75" customHeight="1">
      <c r="A54" s="30"/>
      <c r="H54" s="2071" t="s">
        <v>3853</v>
      </c>
      <c r="I54" s="2071" t="s">
        <v>3854</v>
      </c>
      <c r="J54" s="2071" t="s">
        <v>3864</v>
      </c>
      <c r="K54" s="3337" t="s">
        <v>3854</v>
      </c>
      <c r="L54" s="3505" t="s">
        <v>3853</v>
      </c>
      <c r="M54" s="3516" t="s">
        <v>3853</v>
      </c>
      <c r="N54" s="3638" t="s">
        <v>3854</v>
      </c>
      <c r="O54" s="3628" t="s">
        <v>3854</v>
      </c>
      <c r="P54" s="3653" t="s">
        <v>3853</v>
      </c>
      <c r="Q54" s="3645" t="s">
        <v>3853</v>
      </c>
      <c r="R54" s="3638" t="s">
        <v>3854</v>
      </c>
      <c r="S54" s="3628" t="s">
        <v>3854</v>
      </c>
      <c r="T54" s="3617" t="s">
        <v>3853</v>
      </c>
      <c r="U54" s="3608" t="s">
        <v>3853</v>
      </c>
      <c r="V54" s="3585" t="s">
        <v>3854</v>
      </c>
      <c r="W54" s="3580" t="s">
        <v>3854</v>
      </c>
      <c r="X54" s="3564" t="s">
        <v>3853</v>
      </c>
      <c r="Y54" s="3561" t="s">
        <v>3853</v>
      </c>
      <c r="Z54" s="3585" t="s">
        <v>3854</v>
      </c>
      <c r="AA54" s="3580" t="s">
        <v>3854</v>
      </c>
      <c r="AB54" s="3680" t="s">
        <v>3853</v>
      </c>
      <c r="AC54" s="3698" t="s">
        <v>3853</v>
      </c>
      <c r="AD54" s="3959" t="s">
        <v>3854</v>
      </c>
      <c r="AE54" s="3950" t="s">
        <v>3854</v>
      </c>
      <c r="AF54" s="3967" t="s">
        <v>3853</v>
      </c>
      <c r="AG54" s="3977" t="s">
        <v>3853</v>
      </c>
      <c r="AH54" s="3713" t="s">
        <v>3854</v>
      </c>
      <c r="AI54" s="3704" t="s">
        <v>3854</v>
      </c>
    </row>
    <row r="55" spans="1:35" ht="12.75" customHeight="1">
      <c r="A55" s="30"/>
      <c r="H55" s="2073" t="s">
        <v>3138</v>
      </c>
      <c r="I55" s="2074" t="s">
        <v>3138</v>
      </c>
      <c r="J55" s="2073" t="s">
        <v>3138</v>
      </c>
      <c r="K55" s="2704" t="s">
        <v>3138</v>
      </c>
      <c r="L55" s="3506" t="s">
        <v>3225</v>
      </c>
      <c r="M55" s="3517" t="s">
        <v>3225</v>
      </c>
      <c r="N55" s="3674" t="s">
        <v>3225</v>
      </c>
      <c r="O55" s="3665" t="s">
        <v>3225</v>
      </c>
      <c r="P55" s="3654" t="s">
        <v>3284</v>
      </c>
      <c r="Q55" s="3527" t="s">
        <v>3284</v>
      </c>
      <c r="R55" s="3532" t="s">
        <v>3284</v>
      </c>
      <c r="S55" s="3629" t="str">
        <f>R55</f>
        <v>2019-20</v>
      </c>
      <c r="T55" s="3618" t="s">
        <v>3922</v>
      </c>
      <c r="U55" s="3609" t="str">
        <f>T55</f>
        <v>2020-21</v>
      </c>
      <c r="V55" s="3600" t="s">
        <v>3922</v>
      </c>
      <c r="W55" s="3590" t="str">
        <f>V55</f>
        <v>2020-21</v>
      </c>
      <c r="X55" s="3565" t="s">
        <v>6374</v>
      </c>
      <c r="Y55" s="3548" t="s">
        <v>6374</v>
      </c>
      <c r="Z55" s="3548" t="s">
        <v>6374</v>
      </c>
      <c r="AA55" s="3557" t="s">
        <v>6374</v>
      </c>
      <c r="AB55" s="3681" t="s">
        <v>6939</v>
      </c>
      <c r="AC55" s="3691" t="str">
        <f>AB55</f>
        <v>2022-23</v>
      </c>
      <c r="AD55" s="3960" t="s">
        <v>6939</v>
      </c>
      <c r="AE55" s="3951" t="str">
        <f>AD55</f>
        <v>2022-23</v>
      </c>
      <c r="AF55" s="3968" t="s">
        <v>8157</v>
      </c>
      <c r="AG55" s="3722" t="s">
        <v>8157</v>
      </c>
      <c r="AH55" s="3722" t="s">
        <v>8157</v>
      </c>
      <c r="AI55" s="3721" t="s">
        <v>8157</v>
      </c>
    </row>
    <row r="56" spans="1:35" ht="12.75" customHeight="1">
      <c r="A56" s="30"/>
      <c r="H56" s="2075" t="s">
        <v>2078</v>
      </c>
      <c r="I56" s="2076" t="s">
        <v>2078</v>
      </c>
      <c r="J56" s="2075" t="s">
        <v>2079</v>
      </c>
      <c r="K56" s="2704" t="s">
        <v>3891</v>
      </c>
      <c r="L56" s="3507" t="s">
        <v>2078</v>
      </c>
      <c r="M56" s="3518" t="s">
        <v>2079</v>
      </c>
      <c r="N56" s="3518" t="s">
        <v>2078</v>
      </c>
      <c r="O56" s="3666" t="s">
        <v>2079</v>
      </c>
      <c r="P56" s="1792" t="s">
        <v>2078</v>
      </c>
      <c r="Q56" s="3528" t="s">
        <v>2079</v>
      </c>
      <c r="R56" s="3333" t="s">
        <v>2078</v>
      </c>
      <c r="S56" s="3630" t="s">
        <v>2079</v>
      </c>
      <c r="T56" s="1793" t="s">
        <v>2078</v>
      </c>
      <c r="U56" s="3536" t="s">
        <v>2079</v>
      </c>
      <c r="V56" s="3540" t="s">
        <v>2078</v>
      </c>
      <c r="W56" s="3591" t="s">
        <v>2079</v>
      </c>
      <c r="X56" s="3566" t="s">
        <v>2078</v>
      </c>
      <c r="Y56" s="3549" t="s">
        <v>2079</v>
      </c>
      <c r="Z56" s="3549" t="s">
        <v>2078</v>
      </c>
      <c r="AA56" s="3558" t="s">
        <v>2079</v>
      </c>
      <c r="AB56" s="3682" t="s">
        <v>2078</v>
      </c>
      <c r="AC56" s="3555" t="s">
        <v>2079</v>
      </c>
      <c r="AD56" s="3555" t="s">
        <v>2078</v>
      </c>
      <c r="AE56" s="3952" t="s">
        <v>2079</v>
      </c>
      <c r="AF56" s="3702" t="s">
        <v>2078</v>
      </c>
      <c r="AG56" s="3700" t="s">
        <v>2079</v>
      </c>
      <c r="AH56" s="3700" t="s">
        <v>2078</v>
      </c>
      <c r="AI56" s="3410" t="s">
        <v>2079</v>
      </c>
    </row>
    <row r="57" spans="1:35" ht="12.75" customHeight="1">
      <c r="A57" s="30"/>
      <c r="H57" s="2077" t="s">
        <v>2077</v>
      </c>
      <c r="I57" s="2078" t="s">
        <v>2077</v>
      </c>
      <c r="J57" s="2077" t="s">
        <v>2077</v>
      </c>
      <c r="K57" s="2704" t="s">
        <v>2077</v>
      </c>
      <c r="L57" s="3508" t="s">
        <v>2077</v>
      </c>
      <c r="M57" s="3519" t="s">
        <v>2077</v>
      </c>
      <c r="N57" s="3519" t="s">
        <v>2077</v>
      </c>
      <c r="O57" s="3667" t="s">
        <v>2077</v>
      </c>
      <c r="P57" s="3655" t="s">
        <v>2077</v>
      </c>
      <c r="Q57" s="3529" t="s">
        <v>2077</v>
      </c>
      <c r="R57" s="3533" t="s">
        <v>2077</v>
      </c>
      <c r="S57" s="3631" t="s">
        <v>2077</v>
      </c>
      <c r="T57" s="3619" t="s">
        <v>2077</v>
      </c>
      <c r="U57" s="3537" t="s">
        <v>2077</v>
      </c>
      <c r="V57" s="3541" t="s">
        <v>2077</v>
      </c>
      <c r="W57" s="3592" t="s">
        <v>2077</v>
      </c>
      <c r="X57" s="3567" t="s">
        <v>2077</v>
      </c>
      <c r="Y57" s="3550" t="s">
        <v>2077</v>
      </c>
      <c r="Z57" s="3550" t="s">
        <v>2077</v>
      </c>
      <c r="AA57" s="3559" t="s">
        <v>2077</v>
      </c>
      <c r="AB57" s="3683" t="s">
        <v>2077</v>
      </c>
      <c r="AC57" s="3556" t="s">
        <v>2077</v>
      </c>
      <c r="AD57" s="3961" t="s">
        <v>2077</v>
      </c>
      <c r="AE57" s="3953" t="s">
        <v>2077</v>
      </c>
      <c r="AF57" s="3969" t="s">
        <v>2077</v>
      </c>
      <c r="AG57" s="3978" t="s">
        <v>2077</v>
      </c>
      <c r="AH57" s="3701" t="s">
        <v>2077</v>
      </c>
      <c r="AI57" s="3705" t="s">
        <v>2077</v>
      </c>
    </row>
    <row r="58" spans="1:35" ht="12.75" customHeight="1">
      <c r="A58" s="31" t="s">
        <v>2187</v>
      </c>
      <c r="B58" t="s">
        <v>103</v>
      </c>
      <c r="H58" s="2079">
        <f>IF('Data Entry - SOF'!C19&lt;400,400,'Data Entry - SOF'!C19)</f>
        <v>400</v>
      </c>
      <c r="I58" s="2079">
        <f>H58</f>
        <v>400</v>
      </c>
      <c r="J58" s="2079">
        <f>H58</f>
        <v>400</v>
      </c>
      <c r="K58" s="3338">
        <f>J58</f>
        <v>400</v>
      </c>
      <c r="L58" s="3509">
        <f>IF('Data Entry - SOF'!E19&lt;400,400,'Data Entry - SOF'!E19)</f>
        <v>400</v>
      </c>
      <c r="M58" s="3520">
        <f>L58</f>
        <v>400</v>
      </c>
      <c r="N58" s="3675">
        <f>M58</f>
        <v>400</v>
      </c>
      <c r="O58" s="3668">
        <f>N58</f>
        <v>400</v>
      </c>
      <c r="P58" s="3656">
        <f>IF('Data Entry - SOF'!K19&lt;400,400,'Data Entry - SOF'!K19)</f>
        <v>400</v>
      </c>
      <c r="Q58" s="3646">
        <f>P58</f>
        <v>400</v>
      </c>
      <c r="R58" s="3639">
        <f>Q58</f>
        <v>400</v>
      </c>
      <c r="S58" s="3632">
        <f>R58</f>
        <v>400</v>
      </c>
      <c r="T58" s="3620">
        <f>IF('Data Entry - SOF'!M19&lt;400,400,'Data Entry - SOF'!M19)</f>
        <v>400</v>
      </c>
      <c r="U58" s="3610">
        <f>T58</f>
        <v>400</v>
      </c>
      <c r="V58" s="3601">
        <f>U58</f>
        <v>400</v>
      </c>
      <c r="W58" s="3593">
        <f>V58</f>
        <v>400</v>
      </c>
      <c r="X58" s="3568">
        <f>IF('Data Entry - SOF'!O19&lt;400,400,'Data Entry - SOF'!O19)</f>
        <v>400</v>
      </c>
      <c r="Y58" s="3575">
        <f>X58</f>
        <v>400</v>
      </c>
      <c r="Z58" s="3586">
        <f>Y58</f>
        <v>400</v>
      </c>
      <c r="AA58" s="3581">
        <f>Z58</f>
        <v>400</v>
      </c>
      <c r="AB58" s="3684">
        <f>IF('Data Entry - SOF'!Q19&lt;400,400,'Data Entry - SOF'!Q19)</f>
        <v>400</v>
      </c>
      <c r="AC58" s="3692">
        <f>AB58</f>
        <v>400</v>
      </c>
      <c r="AD58" s="3962">
        <f>AC58</f>
        <v>400</v>
      </c>
      <c r="AE58" s="3954">
        <f>AD58</f>
        <v>400</v>
      </c>
      <c r="AF58" s="3970">
        <f>IF('Data Entry - SOF'!S19&lt;400,400,'Data Entry - SOF'!S19)</f>
        <v>400</v>
      </c>
      <c r="AG58" s="3979">
        <f>AF58</f>
        <v>400</v>
      </c>
      <c r="AH58" s="3714">
        <f>IF('Data Entry - SOF'!S19&lt;400,400,'Data Entry - SOF'!S19)</f>
        <v>400</v>
      </c>
      <c r="AI58" s="3706">
        <f>AH58</f>
        <v>400</v>
      </c>
    </row>
    <row r="59" spans="1:35" ht="12.75" customHeight="1">
      <c r="A59" s="31"/>
      <c r="K59" s="3336"/>
      <c r="L59" s="3347"/>
      <c r="M59" s="3515"/>
      <c r="N59" s="3515"/>
      <c r="O59" s="3493"/>
      <c r="P59" s="3652"/>
      <c r="Q59" s="3531"/>
      <c r="R59" s="3334"/>
      <c r="S59" s="3331"/>
      <c r="T59" s="3616"/>
      <c r="U59" s="3539"/>
      <c r="V59" s="3599"/>
      <c r="W59" s="3499"/>
      <c r="X59" s="3390"/>
      <c r="Y59" s="3574"/>
      <c r="Z59" s="3574"/>
      <c r="AA59" s="3545"/>
      <c r="AB59" s="3399"/>
      <c r="AC59" s="3690"/>
      <c r="AD59" s="3690"/>
      <c r="AE59" s="3552"/>
      <c r="AF59" s="3408"/>
      <c r="AG59" s="3976"/>
      <c r="AH59" s="3712"/>
      <c r="AI59" s="3703"/>
    </row>
    <row r="60" spans="1:35" ht="12.75" customHeight="1">
      <c r="A60" s="31" t="s">
        <v>2188</v>
      </c>
      <c r="B60" t="s">
        <v>9206</v>
      </c>
      <c r="H60" s="2081">
        <f>'Data Entry - SOF'!C76</f>
        <v>0</v>
      </c>
      <c r="I60" s="2081">
        <f>'Data Entry - SOF'!C78</f>
        <v>0</v>
      </c>
      <c r="J60" s="2081">
        <f>H60</f>
        <v>0</v>
      </c>
      <c r="K60" s="3339">
        <f>I60</f>
        <v>0</v>
      </c>
      <c r="L60" s="3510">
        <f>'Data Entry - SOF'!E76</f>
        <v>0</v>
      </c>
      <c r="M60" s="3521">
        <f>L60</f>
        <v>0</v>
      </c>
      <c r="N60" s="3676">
        <f>'Data Entry - SOF'!E78</f>
        <v>0</v>
      </c>
      <c r="O60" s="3669">
        <f>N60</f>
        <v>0</v>
      </c>
      <c r="P60" s="3657">
        <f>'Data Entry - SOF'!E86</f>
        <v>0</v>
      </c>
      <c r="Q60" s="3647">
        <f>P60</f>
        <v>0</v>
      </c>
      <c r="R60" s="3640">
        <f>'Data Entry - SOF'!E88</f>
        <v>0</v>
      </c>
      <c r="S60" s="3633">
        <f>R60</f>
        <v>0</v>
      </c>
      <c r="T60" s="3621">
        <f>'Data Entry - SOF'!K76</f>
        <v>0</v>
      </c>
      <c r="U60" s="3611">
        <f>T60</f>
        <v>0</v>
      </c>
      <c r="V60" s="3602">
        <f>'Data Entry - SOF'!K78</f>
        <v>0</v>
      </c>
      <c r="W60" s="3594">
        <f>V60</f>
        <v>0</v>
      </c>
      <c r="X60" s="3569">
        <f>'Data Entry - SOF'!M76</f>
        <v>0</v>
      </c>
      <c r="Y60" s="3576">
        <f>X60</f>
        <v>0</v>
      </c>
      <c r="Z60" s="3587">
        <f>'Data Entry - SOF'!M78</f>
        <v>0</v>
      </c>
      <c r="AA60" s="3582">
        <f>Z60</f>
        <v>0</v>
      </c>
      <c r="AB60" s="3685">
        <f>'Data Entry - SOF'!O76</f>
        <v>0</v>
      </c>
      <c r="AC60" s="3693">
        <f>AB60</f>
        <v>0</v>
      </c>
      <c r="AD60" s="3963">
        <f>'Data Entry - SOF'!O78</f>
        <v>0</v>
      </c>
      <c r="AE60" s="3955">
        <f>AD60</f>
        <v>0</v>
      </c>
      <c r="AF60" s="3971">
        <f>'Data Entry - SOF'!Q76</f>
        <v>0</v>
      </c>
      <c r="AG60" s="3980">
        <f>AF60</f>
        <v>0</v>
      </c>
      <c r="AH60" s="3715">
        <f>'Data Entry - SOF'!Q78</f>
        <v>0</v>
      </c>
      <c r="AI60" s="3707">
        <f>AH60</f>
        <v>0</v>
      </c>
    </row>
    <row r="61" spans="1:35" ht="12.75" customHeight="1">
      <c r="A61" s="31"/>
      <c r="K61" s="3336"/>
      <c r="L61" s="3347"/>
      <c r="M61" s="3515"/>
      <c r="N61" s="3515"/>
      <c r="O61" s="3493"/>
      <c r="P61" s="3652"/>
      <c r="Q61" s="3531"/>
      <c r="R61" s="3334"/>
      <c r="S61" s="3331"/>
      <c r="T61" s="3616"/>
      <c r="U61" s="3539"/>
      <c r="V61" s="3599"/>
      <c r="W61" s="3499"/>
      <c r="X61" s="3390"/>
      <c r="Y61" s="3574"/>
      <c r="Z61" s="3574"/>
      <c r="AA61" s="3545"/>
      <c r="AB61" s="3399"/>
      <c r="AC61" s="3690"/>
      <c r="AD61" s="3690"/>
      <c r="AE61" s="3552"/>
      <c r="AF61" s="3408"/>
      <c r="AG61" s="3976"/>
      <c r="AH61" s="3712"/>
      <c r="AI61" s="3703"/>
    </row>
    <row r="62" spans="1:35" ht="12.75" customHeight="1">
      <c r="A62" s="30"/>
      <c r="K62" s="3336"/>
      <c r="L62" s="3347"/>
      <c r="M62" s="3515"/>
      <c r="N62" s="3515"/>
      <c r="O62" s="3493"/>
      <c r="P62" s="3652"/>
      <c r="Q62" s="3531"/>
      <c r="R62" s="3334"/>
      <c r="S62" s="3331"/>
      <c r="T62" s="3616"/>
      <c r="U62" s="3539"/>
      <c r="V62" s="3599"/>
      <c r="W62" s="3499"/>
      <c r="X62" s="3390"/>
      <c r="Y62" s="3574"/>
      <c r="Z62" s="3574"/>
      <c r="AA62" s="3545"/>
      <c r="AB62" s="3399"/>
      <c r="AC62" s="3690"/>
      <c r="AD62" s="3690"/>
      <c r="AE62" s="3552"/>
      <c r="AF62" s="3408"/>
      <c r="AG62" s="3976"/>
      <c r="AH62" s="3712"/>
      <c r="AI62" s="3703"/>
    </row>
    <row r="63" spans="1:35" ht="12.75" customHeight="1">
      <c r="A63" s="57" t="s">
        <v>911</v>
      </c>
      <c r="B63" s="43"/>
      <c r="C63" s="43"/>
      <c r="D63" s="44"/>
      <c r="K63" s="3336"/>
      <c r="L63" s="3347"/>
      <c r="M63" s="3515"/>
      <c r="N63" s="3515"/>
      <c r="O63" s="3493"/>
      <c r="P63" s="3652"/>
      <c r="Q63" s="3531"/>
      <c r="R63" s="3334"/>
      <c r="S63" s="3331"/>
      <c r="T63" s="3616"/>
      <c r="U63" s="3539"/>
      <c r="V63" s="3599"/>
      <c r="W63" s="3499"/>
      <c r="X63" s="3390"/>
      <c r="Y63" s="3574"/>
      <c r="Z63" s="3574"/>
      <c r="AA63" s="3545"/>
      <c r="AB63" s="3399"/>
      <c r="AC63" s="3690"/>
      <c r="AD63" s="3690"/>
      <c r="AE63" s="3552"/>
      <c r="AF63" s="3408"/>
      <c r="AG63" s="3976"/>
      <c r="AH63" s="3712"/>
      <c r="AI63" s="3703"/>
    </row>
    <row r="64" spans="1:35" ht="12.75" customHeight="1">
      <c r="A64" s="32"/>
      <c r="K64" s="3336"/>
      <c r="L64" s="3347"/>
      <c r="M64" s="3515"/>
      <c r="N64" s="3515"/>
      <c r="O64" s="3493"/>
      <c r="P64" s="3652"/>
      <c r="Q64" s="3531"/>
      <c r="R64" s="3334"/>
      <c r="S64" s="3331"/>
      <c r="T64" s="3616"/>
      <c r="U64" s="3539"/>
      <c r="V64" s="3599"/>
      <c r="W64" s="3499"/>
      <c r="X64" s="3390"/>
      <c r="Y64" s="3574"/>
      <c r="Z64" s="3574"/>
      <c r="AA64" s="3545"/>
      <c r="AB64" s="3399"/>
      <c r="AC64" s="3690"/>
      <c r="AD64" s="3690"/>
      <c r="AE64" s="3552"/>
      <c r="AF64" s="3408"/>
      <c r="AG64" s="3976"/>
      <c r="AH64" s="3712"/>
      <c r="AI64" s="3703"/>
    </row>
    <row r="65" spans="1:35" ht="12.75" customHeight="1">
      <c r="A65" s="41" t="s">
        <v>909</v>
      </c>
      <c r="B65" t="s">
        <v>8735</v>
      </c>
      <c r="H65" s="2081" t="e">
        <f>IFA_Limits!#REF!</f>
        <v>#REF!</v>
      </c>
      <c r="I65" s="2083" t="e">
        <f>H65</f>
        <v>#REF!</v>
      </c>
      <c r="J65" s="2081" t="e">
        <f>IFA_Limits!#REF!</f>
        <v>#REF!</v>
      </c>
      <c r="K65" s="3340" t="e">
        <f>J65</f>
        <v>#REF!</v>
      </c>
      <c r="L65" s="3510">
        <f>IFA_Limits!F55</f>
        <v>0</v>
      </c>
      <c r="M65" s="3521">
        <f>IFA_Limits!F56</f>
        <v>0</v>
      </c>
      <c r="N65" s="3676">
        <f>L65</f>
        <v>0</v>
      </c>
      <c r="O65" s="3670">
        <f>M65</f>
        <v>0</v>
      </c>
      <c r="P65" s="3658">
        <f>IFA_Limits!H55</f>
        <v>0</v>
      </c>
      <c r="Q65" s="3647">
        <f>IFA_Limits!H56</f>
        <v>0</v>
      </c>
      <c r="R65" s="3640">
        <f>P65</f>
        <v>0</v>
      </c>
      <c r="S65" s="3633">
        <f>Q65</f>
        <v>0</v>
      </c>
      <c r="T65" s="3621">
        <f>IFA_Limits!J55</f>
        <v>0</v>
      </c>
      <c r="U65" s="3611">
        <f>IFA_Limits!J56</f>
        <v>0</v>
      </c>
      <c r="V65" s="3602">
        <f>T65</f>
        <v>0</v>
      </c>
      <c r="W65" s="3594">
        <f>V65</f>
        <v>0</v>
      </c>
      <c r="X65" s="3569">
        <f>IFA_Limits!L55</f>
        <v>0</v>
      </c>
      <c r="Y65" s="3576">
        <f>IFA_Limits!L56</f>
        <v>0</v>
      </c>
      <c r="Z65" s="3587">
        <f>X65</f>
        <v>0</v>
      </c>
      <c r="AA65" s="3582">
        <f>Y65</f>
        <v>0</v>
      </c>
      <c r="AB65" s="3685">
        <f>IFA_Limits!N55</f>
        <v>0</v>
      </c>
      <c r="AC65" s="3693">
        <f>IFA_Limits!N56</f>
        <v>0</v>
      </c>
      <c r="AD65" s="3963">
        <f>AB65</f>
        <v>0</v>
      </c>
      <c r="AE65" s="3955">
        <f>AC65</f>
        <v>0</v>
      </c>
      <c r="AF65" s="3971">
        <f>IFA_Limits!P55</f>
        <v>0</v>
      </c>
      <c r="AG65" s="3980">
        <f>IFA_Limits!P56</f>
        <v>0</v>
      </c>
      <c r="AH65" s="3715">
        <f>AF65</f>
        <v>0</v>
      </c>
      <c r="AI65" s="3707">
        <f>AG65</f>
        <v>0</v>
      </c>
    </row>
    <row r="66" spans="1:35" ht="12.75" customHeight="1">
      <c r="A66" s="31"/>
      <c r="H66" s="2085"/>
      <c r="K66" s="3336"/>
      <c r="L66" s="3360"/>
      <c r="M66" s="3515"/>
      <c r="N66" s="3515"/>
      <c r="O66" s="3493"/>
      <c r="P66" s="3659"/>
      <c r="Q66" s="3531"/>
      <c r="R66" s="3334"/>
      <c r="S66" s="3331"/>
      <c r="T66" s="3622"/>
      <c r="U66" s="3539"/>
      <c r="V66" s="3599"/>
      <c r="W66" s="3499"/>
      <c r="X66" s="3392"/>
      <c r="Y66" s="3574"/>
      <c r="Z66" s="3574"/>
      <c r="AA66" s="3545"/>
      <c r="AB66" s="3401"/>
      <c r="AC66" s="3690"/>
      <c r="AD66" s="3690"/>
      <c r="AE66" s="3552"/>
      <c r="AF66" s="3411"/>
      <c r="AG66" s="3976"/>
      <c r="AH66" s="3712"/>
      <c r="AI66" s="3703"/>
    </row>
    <row r="67" spans="1:35" ht="12.75" customHeight="1">
      <c r="A67" s="41" t="s">
        <v>910</v>
      </c>
      <c r="B67" t="s">
        <v>1138</v>
      </c>
      <c r="H67" s="2081">
        <f>H60/10000</f>
        <v>0</v>
      </c>
      <c r="I67" s="2081">
        <f>I60/10000</f>
        <v>0</v>
      </c>
      <c r="J67" s="2081">
        <f>J60/10000</f>
        <v>0</v>
      </c>
      <c r="K67" s="3339">
        <f t="shared" ref="K67:S67" si="0">K60/10000</f>
        <v>0</v>
      </c>
      <c r="L67" s="3510">
        <f t="shared" si="0"/>
        <v>0</v>
      </c>
      <c r="M67" s="3521">
        <f t="shared" si="0"/>
        <v>0</v>
      </c>
      <c r="N67" s="3676">
        <f t="shared" si="0"/>
        <v>0</v>
      </c>
      <c r="O67" s="3670">
        <f t="shared" si="0"/>
        <v>0</v>
      </c>
      <c r="P67" s="3658">
        <f t="shared" si="0"/>
        <v>0</v>
      </c>
      <c r="Q67" s="3647">
        <f t="shared" si="0"/>
        <v>0</v>
      </c>
      <c r="R67" s="3640">
        <f t="shared" si="0"/>
        <v>0</v>
      </c>
      <c r="S67" s="3633">
        <f t="shared" si="0"/>
        <v>0</v>
      </c>
      <c r="T67" s="3621">
        <f t="shared" ref="T67:AA67" si="1">T60/10000</f>
        <v>0</v>
      </c>
      <c r="U67" s="3611">
        <f t="shared" si="1"/>
        <v>0</v>
      </c>
      <c r="V67" s="3602">
        <f t="shared" si="1"/>
        <v>0</v>
      </c>
      <c r="W67" s="3594">
        <f t="shared" si="1"/>
        <v>0</v>
      </c>
      <c r="X67" s="3569">
        <f t="shared" si="1"/>
        <v>0</v>
      </c>
      <c r="Y67" s="3576">
        <f t="shared" si="1"/>
        <v>0</v>
      </c>
      <c r="Z67" s="3587">
        <f t="shared" si="1"/>
        <v>0</v>
      </c>
      <c r="AA67" s="3582">
        <f t="shared" si="1"/>
        <v>0</v>
      </c>
      <c r="AB67" s="3685">
        <f t="shared" ref="AB67:AI67" si="2">AB60/10000</f>
        <v>0</v>
      </c>
      <c r="AC67" s="3693">
        <f t="shared" si="2"/>
        <v>0</v>
      </c>
      <c r="AD67" s="3963">
        <f t="shared" si="2"/>
        <v>0</v>
      </c>
      <c r="AE67" s="3955">
        <f t="shared" si="2"/>
        <v>0</v>
      </c>
      <c r="AF67" s="3971">
        <f t="shared" si="2"/>
        <v>0</v>
      </c>
      <c r="AG67" s="3980">
        <f t="shared" si="2"/>
        <v>0</v>
      </c>
      <c r="AH67" s="3715">
        <f t="shared" si="2"/>
        <v>0</v>
      </c>
      <c r="AI67" s="3707">
        <f t="shared" si="2"/>
        <v>0</v>
      </c>
    </row>
    <row r="68" spans="1:35" ht="12.75" customHeight="1">
      <c r="A68" s="31"/>
      <c r="H68" s="2085"/>
      <c r="K68" s="3336"/>
      <c r="L68" s="3360"/>
      <c r="M68" s="3515"/>
      <c r="N68" s="3515"/>
      <c r="O68" s="3493"/>
      <c r="P68" s="3659"/>
      <c r="Q68" s="3531"/>
      <c r="R68" s="3334"/>
      <c r="S68" s="3331"/>
      <c r="T68" s="3622"/>
      <c r="U68" s="3539"/>
      <c r="V68" s="3599"/>
      <c r="W68" s="3499"/>
      <c r="X68" s="3392"/>
      <c r="Y68" s="3574"/>
      <c r="Z68" s="3574"/>
      <c r="AA68" s="3545"/>
      <c r="AB68" s="3401"/>
      <c r="AC68" s="3690"/>
      <c r="AD68" s="3690"/>
      <c r="AE68" s="3552"/>
      <c r="AF68" s="3411"/>
      <c r="AG68" s="3976"/>
      <c r="AH68" s="3712"/>
      <c r="AI68" s="3703"/>
    </row>
    <row r="69" spans="1:35" ht="12.75" customHeight="1">
      <c r="A69" s="41" t="s">
        <v>912</v>
      </c>
      <c r="B69" t="s">
        <v>895</v>
      </c>
      <c r="H69" s="2086">
        <f>H67/H58</f>
        <v>0</v>
      </c>
      <c r="I69" s="2086">
        <f>I67/I58</f>
        <v>0</v>
      </c>
      <c r="J69" s="2086">
        <f>J67/J58</f>
        <v>0</v>
      </c>
      <c r="K69" s="3341">
        <f t="shared" ref="K69:S69" si="3">K67/K58</f>
        <v>0</v>
      </c>
      <c r="L69" s="3511">
        <f t="shared" si="3"/>
        <v>0</v>
      </c>
      <c r="M69" s="3522">
        <f t="shared" si="3"/>
        <v>0</v>
      </c>
      <c r="N69" s="3677">
        <f t="shared" si="3"/>
        <v>0</v>
      </c>
      <c r="O69" s="3671">
        <f t="shared" si="3"/>
        <v>0</v>
      </c>
      <c r="P69" s="3660">
        <f t="shared" si="3"/>
        <v>0</v>
      </c>
      <c r="Q69" s="3648">
        <f t="shared" si="3"/>
        <v>0</v>
      </c>
      <c r="R69" s="3641">
        <f t="shared" si="3"/>
        <v>0</v>
      </c>
      <c r="S69" s="3634">
        <f t="shared" si="3"/>
        <v>0</v>
      </c>
      <c r="T69" s="3623">
        <f t="shared" ref="T69:AA69" si="4">T67/T58</f>
        <v>0</v>
      </c>
      <c r="U69" s="3612">
        <f t="shared" si="4"/>
        <v>0</v>
      </c>
      <c r="V69" s="3603">
        <f t="shared" si="4"/>
        <v>0</v>
      </c>
      <c r="W69" s="3595">
        <f t="shared" si="4"/>
        <v>0</v>
      </c>
      <c r="X69" s="3570">
        <f t="shared" si="4"/>
        <v>0</v>
      </c>
      <c r="Y69" s="3577">
        <f t="shared" si="4"/>
        <v>0</v>
      </c>
      <c r="Z69" s="3588">
        <f t="shared" si="4"/>
        <v>0</v>
      </c>
      <c r="AA69" s="3583">
        <f t="shared" si="4"/>
        <v>0</v>
      </c>
      <c r="AB69" s="3686">
        <f t="shared" ref="AB69:AI69" si="5">AB67/AB58</f>
        <v>0</v>
      </c>
      <c r="AC69" s="3694">
        <f t="shared" si="5"/>
        <v>0</v>
      </c>
      <c r="AD69" s="3964">
        <f t="shared" si="5"/>
        <v>0</v>
      </c>
      <c r="AE69" s="3956">
        <f t="shared" si="5"/>
        <v>0</v>
      </c>
      <c r="AF69" s="3972">
        <f t="shared" si="5"/>
        <v>0</v>
      </c>
      <c r="AG69" s="3981">
        <f t="shared" si="5"/>
        <v>0</v>
      </c>
      <c r="AH69" s="3716">
        <f t="shared" si="5"/>
        <v>0</v>
      </c>
      <c r="AI69" s="3708">
        <f t="shared" si="5"/>
        <v>0</v>
      </c>
    </row>
    <row r="70" spans="1:35" ht="12.75" customHeight="1">
      <c r="A70" s="31"/>
      <c r="H70" s="2087"/>
      <c r="I70" s="2087"/>
      <c r="J70" s="2087"/>
      <c r="K70" s="3342"/>
      <c r="L70" s="3363"/>
      <c r="M70" s="3523"/>
      <c r="N70" s="3523"/>
      <c r="O70" s="3495"/>
      <c r="P70" s="3661"/>
      <c r="Q70" s="3534"/>
      <c r="R70" s="3642"/>
      <c r="S70" s="3497"/>
      <c r="T70" s="3624"/>
      <c r="U70" s="3542"/>
      <c r="V70" s="3604"/>
      <c r="W70" s="3500"/>
      <c r="X70" s="3393"/>
      <c r="Y70" s="3578"/>
      <c r="Z70" s="3578"/>
      <c r="AA70" s="3546"/>
      <c r="AB70" s="3402"/>
      <c r="AC70" s="3695"/>
      <c r="AD70" s="3695"/>
      <c r="AE70" s="3553"/>
      <c r="AF70" s="3412"/>
      <c r="AG70" s="3982"/>
      <c r="AH70" s="3712"/>
      <c r="AI70" s="3703"/>
    </row>
    <row r="71" spans="1:35" ht="12.75" customHeight="1">
      <c r="A71" s="41" t="s">
        <v>913</v>
      </c>
      <c r="B71" t="s">
        <v>896</v>
      </c>
      <c r="H71" s="2086">
        <f>IF(H69&gt;Weights!H49,0,Weights!H49-H69)</f>
        <v>35</v>
      </c>
      <c r="I71" s="2086">
        <f>IF(I69&gt;Weights!H49,0,Weights!H49-I69)</f>
        <v>35</v>
      </c>
      <c r="J71" s="2086">
        <f>IF(J69&gt;Weights!H49,0,Weights!H49-J69)</f>
        <v>35</v>
      </c>
      <c r="K71" s="3341">
        <f>IF(K69&gt;Weights!H49,0,Weights!H49-K69)</f>
        <v>35</v>
      </c>
      <c r="L71" s="3511">
        <f>IF(L69&gt;Weights!J49,0,Weights!J49-L69)</f>
        <v>35</v>
      </c>
      <c r="M71" s="3522">
        <f>IF(M69&gt;Weights!J49,0,Weights!J49-M69)</f>
        <v>35</v>
      </c>
      <c r="N71" s="3677">
        <f>IF(N69&gt;Weights!J49,0,Weights!J49-N69)</f>
        <v>35</v>
      </c>
      <c r="O71" s="3671">
        <f>IF(O69&gt;Weights!J49,0,Weights!J49-O69)</f>
        <v>35</v>
      </c>
      <c r="P71" s="3660">
        <f>IF(P69&gt;Weights!K49,0,Weights!K49-P69)</f>
        <v>35</v>
      </c>
      <c r="Q71" s="3648">
        <f>IF(Q69&gt;Weights!K49,0,Weights!K49-Q69)</f>
        <v>35</v>
      </c>
      <c r="R71" s="3641">
        <f>IF(R69&gt;Weights!K49,0,Weights!K49-R69)</f>
        <v>35</v>
      </c>
      <c r="S71" s="3634">
        <f>IF(S69&gt;Weights!K49,0,Weights!K49-S69)</f>
        <v>35</v>
      </c>
      <c r="T71" s="3623">
        <f>IF(T69&gt;Weights!L49,0,Weights!L49-T69)</f>
        <v>35</v>
      </c>
      <c r="U71" s="3612">
        <f>IF(U69&gt;Weights!L49,0,Weights!L49-U69)</f>
        <v>35</v>
      </c>
      <c r="V71" s="3603">
        <f>IF(V69&gt;Weights!L49,0,Weights!L49-V69)</f>
        <v>35</v>
      </c>
      <c r="W71" s="3595">
        <f>IF(W69&gt;Weights!L49,0,Weights!L49-W69)</f>
        <v>35</v>
      </c>
      <c r="X71" s="3570">
        <f>IF(X69&gt;Weights!M49,0,Weights!M49-X69)</f>
        <v>35</v>
      </c>
      <c r="Y71" s="3577">
        <f>IF(Y69&gt;Weights!M49,0,Weights!M49-Y69)</f>
        <v>35</v>
      </c>
      <c r="Z71" s="3588">
        <f>IF(Z69&gt;Weights!M49,0,Weights!M49-Z69)</f>
        <v>35</v>
      </c>
      <c r="AA71" s="3583">
        <f>IF(AA69&gt;Weights!M49,0,Weights!M49-AA69)</f>
        <v>35</v>
      </c>
      <c r="AB71" s="3686">
        <f>IF(AB69&gt;Weights!N49,0,Weights!N49-AB69)</f>
        <v>35</v>
      </c>
      <c r="AC71" s="3694">
        <f>IF(AC69&gt;Weights!N49,0,Weights!N49-AC69)</f>
        <v>35</v>
      </c>
      <c r="AD71" s="3964">
        <f>IF(AD69&gt;Weights!N49,0,Weights!N49-AD69)</f>
        <v>35</v>
      </c>
      <c r="AE71" s="3956">
        <f>IF(AE69&gt;Weights!N49,0,Weights!N49-AE69)</f>
        <v>35</v>
      </c>
      <c r="AF71" s="3972">
        <f>IF(AF69&gt;Weights!O49,0,Weights!O49-AF69)</f>
        <v>35</v>
      </c>
      <c r="AG71" s="3981">
        <f>IF(AG69&gt;Weights!O49,0,Weights!O49-AG69)</f>
        <v>35</v>
      </c>
      <c r="AH71" s="3716">
        <f>IF(AH69&gt;Weights!O49,0,Weights!O49-AH69)</f>
        <v>35</v>
      </c>
      <c r="AI71" s="3708">
        <f>IF(AI69&gt;Weights!O49,0,Weights!O49-AI69)</f>
        <v>35</v>
      </c>
    </row>
    <row r="72" spans="1:35" ht="12.75" customHeight="1">
      <c r="A72" s="31"/>
      <c r="H72" s="2087"/>
      <c r="I72" s="2087"/>
      <c r="J72" s="2087"/>
      <c r="K72" s="3342"/>
      <c r="L72" s="3363"/>
      <c r="M72" s="3523"/>
      <c r="N72" s="3523"/>
      <c r="O72" s="3495"/>
      <c r="P72" s="3661"/>
      <c r="Q72" s="3534"/>
      <c r="R72" s="3642"/>
      <c r="S72" s="3497"/>
      <c r="T72" s="3624"/>
      <c r="U72" s="3542"/>
      <c r="V72" s="3604"/>
      <c r="W72" s="3500"/>
      <c r="X72" s="3393"/>
      <c r="Y72" s="3578"/>
      <c r="Z72" s="3578"/>
      <c r="AA72" s="3546"/>
      <c r="AB72" s="3402"/>
      <c r="AC72" s="3695"/>
      <c r="AD72" s="3695"/>
      <c r="AE72" s="3553"/>
      <c r="AF72" s="3412"/>
      <c r="AG72" s="3982"/>
      <c r="AH72" s="3712"/>
      <c r="AI72" s="3703"/>
    </row>
    <row r="73" spans="1:35">
      <c r="A73" s="41" t="s">
        <v>914</v>
      </c>
      <c r="B73" t="s">
        <v>2676</v>
      </c>
      <c r="H73" s="2086">
        <f>ROUND(IF(H71=0,0,H71/Weights!H49),5)</f>
        <v>1</v>
      </c>
      <c r="I73" s="2086">
        <f>ROUND(IF(I71=0,0,I71/Weights!H49),5)</f>
        <v>1</v>
      </c>
      <c r="J73" s="2086">
        <f>ROUND(IF(J71=0,0,J71/Weights!H49),5)</f>
        <v>1</v>
      </c>
      <c r="K73" s="3341">
        <f>ROUND(IF(K71=0,0,K71/Weights!H49),5)</f>
        <v>1</v>
      </c>
      <c r="L73" s="3511">
        <f>ROUND(IF(L71=0,0,L71/Weights!J49),5)</f>
        <v>1</v>
      </c>
      <c r="M73" s="3522">
        <f>ROUND(IF(M71=0,0,M71/Weights!J49),5)</f>
        <v>1</v>
      </c>
      <c r="N73" s="3677">
        <f>ROUND(IF(N71=0,0,N71/Weights!J49),5)</f>
        <v>1</v>
      </c>
      <c r="O73" s="3671">
        <f>ROUND(IF(O71=0,0,O71/Weights!J49),5)</f>
        <v>1</v>
      </c>
      <c r="P73" s="3660">
        <f>ROUND(IF(P71=0,0,P71/Weights!K49),5)</f>
        <v>1</v>
      </c>
      <c r="Q73" s="3648">
        <f>ROUND(IF(Q71=0,0,Q71/Weights!K49),5)</f>
        <v>1</v>
      </c>
      <c r="R73" s="3641">
        <f>ROUND(IF(R71=0,0,R71/Weights!K49),5)</f>
        <v>1</v>
      </c>
      <c r="S73" s="3634">
        <f>ROUND(IF(S71=0,0,S71/Weights!K49),5)</f>
        <v>1</v>
      </c>
      <c r="T73" s="3623">
        <f>ROUND(IF(T71=0,0,T71/Weights!L49),5)</f>
        <v>1</v>
      </c>
      <c r="U73" s="3612">
        <f>ROUND(IF(U71=0,0,U71/Weights!L49),5)</f>
        <v>1</v>
      </c>
      <c r="V73" s="3603">
        <f>ROUND(IF(V71=0,0,V71/Weights!L49),5)</f>
        <v>1</v>
      </c>
      <c r="W73" s="3595">
        <f>ROUND(IF(W71=0,0,W71/Weights!L49),5)</f>
        <v>1</v>
      </c>
      <c r="X73" s="3570">
        <f>ROUND(IF(X71=0,0,X71/Weights!M49),5)</f>
        <v>1</v>
      </c>
      <c r="Y73" s="3577">
        <f>ROUND(IF(Y71=0,0,Y71/Weights!M49),5)</f>
        <v>1</v>
      </c>
      <c r="Z73" s="3588">
        <f>ROUND(IF(Z71=0,0,Z71/Weights!M49),5)</f>
        <v>1</v>
      </c>
      <c r="AA73" s="3583">
        <f>ROUND(IF(AA71=0,0,AA71/Weights!M49),5)</f>
        <v>1</v>
      </c>
      <c r="AB73" s="3686">
        <f>ROUND(IF(AB71=0,0,AB71/Weights!N49),5)</f>
        <v>1</v>
      </c>
      <c r="AC73" s="3694">
        <f>ROUND(IF(AC71=0,0,AC71/Weights!N49),5)</f>
        <v>1</v>
      </c>
      <c r="AD73" s="3964">
        <f>ROUND(IF(AD71=0,0,AD71/Weights!N49),5)</f>
        <v>1</v>
      </c>
      <c r="AE73" s="3956">
        <f>ROUND(IF(AE71=0,0,AE71/Weights!N49),5)</f>
        <v>1</v>
      </c>
      <c r="AF73" s="3972">
        <f>ROUND(IF(AF71=0,0,AF71/Weights!O49),5)</f>
        <v>1</v>
      </c>
      <c r="AG73" s="3981">
        <f>ROUND(IF(AG71=0,0,AG71/Weights!O49),5)</f>
        <v>1</v>
      </c>
      <c r="AH73" s="3716">
        <f>ROUND(IF(AH71=0,0,AH71/Weights!O49),5)</f>
        <v>1</v>
      </c>
      <c r="AI73" s="3708">
        <f>ROUND(IF(AI71=0,0,AI71/Weights!O49),5)</f>
        <v>1</v>
      </c>
    </row>
    <row r="74" spans="1:35">
      <c r="A74" s="31"/>
      <c r="K74" s="3336"/>
      <c r="L74" s="3347"/>
      <c r="M74" s="3515"/>
      <c r="N74" s="3515"/>
      <c r="O74" s="3493"/>
      <c r="P74" s="3652"/>
      <c r="Q74" s="3531"/>
      <c r="R74" s="3334"/>
      <c r="S74" s="3331"/>
      <c r="T74" s="3616"/>
      <c r="U74" s="3539"/>
      <c r="V74" s="3599"/>
      <c r="W74" s="3499"/>
      <c r="X74" s="3390"/>
      <c r="Y74" s="3574"/>
      <c r="Z74" s="3574"/>
      <c r="AA74" s="3545"/>
      <c r="AB74" s="3399"/>
      <c r="AC74" s="3690"/>
      <c r="AD74" s="3690"/>
      <c r="AE74" s="3552"/>
      <c r="AF74" s="3408"/>
      <c r="AG74" s="3976"/>
      <c r="AH74" s="3712"/>
      <c r="AI74" s="3703"/>
    </row>
    <row r="75" spans="1:35">
      <c r="A75" s="41" t="s">
        <v>118</v>
      </c>
      <c r="B75" t="s">
        <v>2260</v>
      </c>
      <c r="H75" s="2081" t="e">
        <f>H73*H65</f>
        <v>#REF!</v>
      </c>
      <c r="I75" s="2081" t="e">
        <f>I73*I65</f>
        <v>#REF!</v>
      </c>
      <c r="J75" s="2081" t="e">
        <f>J73*J65</f>
        <v>#REF!</v>
      </c>
      <c r="K75" s="3339" t="e">
        <f t="shared" ref="K75:S75" si="6">K73*K65</f>
        <v>#REF!</v>
      </c>
      <c r="L75" s="3510">
        <f t="shared" si="6"/>
        <v>0</v>
      </c>
      <c r="M75" s="3521">
        <f t="shared" si="6"/>
        <v>0</v>
      </c>
      <c r="N75" s="3676">
        <f t="shared" si="6"/>
        <v>0</v>
      </c>
      <c r="O75" s="3670">
        <f t="shared" si="6"/>
        <v>0</v>
      </c>
      <c r="P75" s="3658">
        <f t="shared" si="6"/>
        <v>0</v>
      </c>
      <c r="Q75" s="3647">
        <f t="shared" si="6"/>
        <v>0</v>
      </c>
      <c r="R75" s="3640">
        <f t="shared" si="6"/>
        <v>0</v>
      </c>
      <c r="S75" s="3633">
        <f t="shared" si="6"/>
        <v>0</v>
      </c>
      <c r="T75" s="3621">
        <f t="shared" ref="T75:AA75" si="7">T73*T65</f>
        <v>0</v>
      </c>
      <c r="U75" s="3611">
        <f t="shared" si="7"/>
        <v>0</v>
      </c>
      <c r="V75" s="3602">
        <f t="shared" si="7"/>
        <v>0</v>
      </c>
      <c r="W75" s="3594">
        <f t="shared" si="7"/>
        <v>0</v>
      </c>
      <c r="X75" s="3569">
        <f t="shared" si="7"/>
        <v>0</v>
      </c>
      <c r="Y75" s="3576">
        <f t="shared" si="7"/>
        <v>0</v>
      </c>
      <c r="Z75" s="3587">
        <f t="shared" si="7"/>
        <v>0</v>
      </c>
      <c r="AA75" s="3582">
        <f t="shared" si="7"/>
        <v>0</v>
      </c>
      <c r="AB75" s="3685">
        <f t="shared" ref="AB75:AG75" si="8">AB73*AB65</f>
        <v>0</v>
      </c>
      <c r="AC75" s="3693">
        <f t="shared" si="8"/>
        <v>0</v>
      </c>
      <c r="AD75" s="3963">
        <f t="shared" si="8"/>
        <v>0</v>
      </c>
      <c r="AE75" s="3955">
        <f t="shared" si="8"/>
        <v>0</v>
      </c>
      <c r="AF75" s="3971">
        <f t="shared" si="8"/>
        <v>0</v>
      </c>
      <c r="AG75" s="3980">
        <f t="shared" si="8"/>
        <v>0</v>
      </c>
      <c r="AH75" s="3715">
        <f t="shared" ref="AH75:AI75" si="9">AH73*AH65</f>
        <v>0</v>
      </c>
      <c r="AI75" s="3707">
        <f t="shared" si="9"/>
        <v>0</v>
      </c>
    </row>
    <row r="76" spans="1:35">
      <c r="A76" s="41"/>
      <c r="B76" s="35" t="s">
        <v>1783</v>
      </c>
      <c r="H76" s="2085"/>
      <c r="J76" s="2085"/>
      <c r="K76" s="3336"/>
      <c r="L76" s="3360"/>
      <c r="M76" s="3524"/>
      <c r="N76" s="3524"/>
      <c r="O76" s="3494"/>
      <c r="P76" s="3659"/>
      <c r="Q76" s="3535"/>
      <c r="R76" s="3335"/>
      <c r="S76" s="3332"/>
      <c r="T76" s="3622"/>
      <c r="U76" s="3543"/>
      <c r="V76" s="3605"/>
      <c r="W76" s="3501"/>
      <c r="X76" s="3392"/>
      <c r="Y76" s="3579"/>
      <c r="Z76" s="3579"/>
      <c r="AA76" s="3547"/>
      <c r="AB76" s="3401"/>
      <c r="AC76" s="3696"/>
      <c r="AD76" s="3696"/>
      <c r="AE76" s="3554"/>
      <c r="AF76" s="3411"/>
      <c r="AG76" s="3717"/>
      <c r="AH76" s="3717"/>
      <c r="AI76" s="3709"/>
    </row>
    <row r="77" spans="1:35">
      <c r="A77" s="41"/>
      <c r="B77" s="35" t="s">
        <v>1784</v>
      </c>
      <c r="H77" s="2085"/>
      <c r="J77" s="2085"/>
      <c r="K77" s="3336"/>
      <c r="L77" s="3360"/>
      <c r="M77" s="3524"/>
      <c r="N77" s="3524"/>
      <c r="O77" s="3494"/>
      <c r="P77" s="3659"/>
      <c r="Q77" s="3535"/>
      <c r="R77" s="3335"/>
      <c r="S77" s="3332"/>
      <c r="T77" s="3622"/>
      <c r="U77" s="3543"/>
      <c r="V77" s="3605"/>
      <c r="W77" s="3501"/>
      <c r="X77" s="3392"/>
      <c r="Y77" s="3579"/>
      <c r="Z77" s="3579"/>
      <c r="AA77" s="3547"/>
      <c r="AB77" s="3401"/>
      <c r="AC77" s="3696"/>
      <c r="AD77" s="3696"/>
      <c r="AE77" s="3554"/>
      <c r="AF77" s="3411"/>
      <c r="AG77" s="3717"/>
      <c r="AH77" s="3717"/>
      <c r="AI77" s="3709"/>
    </row>
    <row r="78" spans="1:35">
      <c r="A78" s="31"/>
      <c r="H78" s="2085"/>
      <c r="J78" s="2085"/>
      <c r="K78" s="3336"/>
      <c r="L78" s="3360"/>
      <c r="M78" s="3524"/>
      <c r="N78" s="3524"/>
      <c r="O78" s="3494"/>
      <c r="P78" s="3659"/>
      <c r="Q78" s="3535"/>
      <c r="R78" s="3335"/>
      <c r="S78" s="3332"/>
      <c r="T78" s="3622"/>
      <c r="U78" s="3543"/>
      <c r="V78" s="3605"/>
      <c r="W78" s="3501"/>
      <c r="X78" s="3392"/>
      <c r="Y78" s="3579"/>
      <c r="Z78" s="3579"/>
      <c r="AA78" s="3547"/>
      <c r="AB78" s="3401"/>
      <c r="AC78" s="3696"/>
      <c r="AD78" s="3696"/>
      <c r="AE78" s="3554"/>
      <c r="AF78" s="3411"/>
      <c r="AG78" s="3717"/>
      <c r="AH78" s="3717"/>
      <c r="AI78" s="3709"/>
    </row>
    <row r="79" spans="1:35">
      <c r="A79" s="41" t="s">
        <v>119</v>
      </c>
      <c r="B79" s="31" t="s">
        <v>1923</v>
      </c>
      <c r="C79" s="31"/>
      <c r="D79" s="31"/>
      <c r="E79" s="31"/>
      <c r="H79" s="2088" t="e">
        <f>H65-H75</f>
        <v>#REF!</v>
      </c>
      <c r="I79" s="2088" t="e">
        <f>I65-I75</f>
        <v>#REF!</v>
      </c>
      <c r="J79" s="2088" t="e">
        <f>J65-J75</f>
        <v>#REF!</v>
      </c>
      <c r="K79" s="3343" t="e">
        <f t="shared" ref="K79:S79" si="10">K65-K75</f>
        <v>#REF!</v>
      </c>
      <c r="L79" s="3512">
        <f t="shared" si="10"/>
        <v>0</v>
      </c>
      <c r="M79" s="3525">
        <f t="shared" si="10"/>
        <v>0</v>
      </c>
      <c r="N79" s="3678">
        <f t="shared" si="10"/>
        <v>0</v>
      </c>
      <c r="O79" s="3672">
        <f t="shared" si="10"/>
        <v>0</v>
      </c>
      <c r="P79" s="3662">
        <f t="shared" si="10"/>
        <v>0</v>
      </c>
      <c r="Q79" s="3649">
        <f t="shared" si="10"/>
        <v>0</v>
      </c>
      <c r="R79" s="3643">
        <f t="shared" si="10"/>
        <v>0</v>
      </c>
      <c r="S79" s="3635">
        <f t="shared" si="10"/>
        <v>0</v>
      </c>
      <c r="T79" s="3625">
        <f t="shared" ref="T79:AA79" si="11">T65-T75</f>
        <v>0</v>
      </c>
      <c r="U79" s="3613">
        <f t="shared" si="11"/>
        <v>0</v>
      </c>
      <c r="V79" s="3606">
        <f t="shared" si="11"/>
        <v>0</v>
      </c>
      <c r="W79" s="3596">
        <f t="shared" si="11"/>
        <v>0</v>
      </c>
      <c r="X79" s="3571">
        <f t="shared" si="11"/>
        <v>0</v>
      </c>
      <c r="Y79" s="3562">
        <f t="shared" si="11"/>
        <v>0</v>
      </c>
      <c r="Z79" s="3589">
        <f t="shared" si="11"/>
        <v>0</v>
      </c>
      <c r="AA79" s="3560">
        <f t="shared" si="11"/>
        <v>0</v>
      </c>
      <c r="AB79" s="3687">
        <f t="shared" ref="AB79:AG79" si="12">AB65-AB75</f>
        <v>0</v>
      </c>
      <c r="AC79" s="3699">
        <f t="shared" si="12"/>
        <v>0</v>
      </c>
      <c r="AD79" s="3965">
        <f t="shared" si="12"/>
        <v>0</v>
      </c>
      <c r="AE79" s="3957">
        <f t="shared" si="12"/>
        <v>0</v>
      </c>
      <c r="AF79" s="3973">
        <f t="shared" si="12"/>
        <v>0</v>
      </c>
      <c r="AG79" s="3983">
        <f t="shared" si="12"/>
        <v>0</v>
      </c>
      <c r="AH79" s="3718">
        <f t="shared" ref="AH79:AI79" si="13">AH65-AH75</f>
        <v>0</v>
      </c>
      <c r="AI79" s="3710">
        <f t="shared" si="13"/>
        <v>0</v>
      </c>
    </row>
    <row r="80" spans="1:35">
      <c r="A80" s="41"/>
      <c r="B80" s="307" t="s">
        <v>591</v>
      </c>
      <c r="C80" s="31"/>
      <c r="D80" s="31"/>
      <c r="E80" s="31"/>
      <c r="H80" s="2085"/>
      <c r="I80" s="2089"/>
      <c r="J80" s="2085"/>
      <c r="K80" s="3344"/>
      <c r="L80" s="3360"/>
      <c r="M80" s="3524"/>
      <c r="N80" s="3524"/>
      <c r="O80" s="3494"/>
      <c r="P80" s="3659"/>
      <c r="Q80" s="3535"/>
      <c r="R80" s="3335"/>
      <c r="S80" s="3332"/>
      <c r="T80" s="3622"/>
      <c r="U80" s="3543"/>
      <c r="V80" s="3605"/>
      <c r="W80" s="3501"/>
      <c r="X80" s="3392"/>
      <c r="Y80" s="3579"/>
      <c r="Z80" s="3579"/>
      <c r="AA80" s="3547"/>
      <c r="AB80" s="3401"/>
      <c r="AC80" s="3696"/>
      <c r="AD80" s="3696"/>
      <c r="AE80" s="3554"/>
      <c r="AF80" s="3411"/>
      <c r="AG80" s="3717"/>
      <c r="AH80" s="3717"/>
      <c r="AI80" s="3709"/>
    </row>
    <row r="81" spans="1:35">
      <c r="A81" s="41"/>
      <c r="B81" s="307" t="s">
        <v>1559</v>
      </c>
      <c r="C81" s="31"/>
      <c r="D81" s="31"/>
      <c r="E81" s="31"/>
      <c r="H81" s="2085"/>
      <c r="I81" s="2089"/>
      <c r="J81" s="2085"/>
      <c r="K81" s="3344"/>
      <c r="L81" s="3360"/>
      <c r="M81" s="3524"/>
      <c r="N81" s="3524"/>
      <c r="O81" s="3494"/>
      <c r="P81" s="3659"/>
      <c r="Q81" s="3535"/>
      <c r="R81" s="3335"/>
      <c r="S81" s="3332"/>
      <c r="T81" s="3622"/>
      <c r="U81" s="3543"/>
      <c r="V81" s="3605"/>
      <c r="W81" s="3501"/>
      <c r="X81" s="3392"/>
      <c r="Y81" s="3579"/>
      <c r="Z81" s="3579"/>
      <c r="AA81" s="3547"/>
      <c r="AB81" s="3401"/>
      <c r="AC81" s="3696"/>
      <c r="AD81" s="3696"/>
      <c r="AE81" s="3554"/>
      <c r="AF81" s="3411"/>
      <c r="AG81" s="3717"/>
      <c r="AH81" s="3717"/>
      <c r="AI81" s="3709"/>
    </row>
    <row r="82" spans="1:35">
      <c r="A82" s="41"/>
      <c r="B82" s="64"/>
      <c r="C82" s="31"/>
      <c r="D82" s="31"/>
      <c r="E82" s="31"/>
      <c r="H82" s="2085"/>
      <c r="I82" s="2089"/>
      <c r="J82" s="2085"/>
      <c r="K82" s="3344"/>
      <c r="L82" s="3360"/>
      <c r="M82" s="3524"/>
      <c r="N82" s="3524"/>
      <c r="O82" s="3494"/>
      <c r="P82" s="3659"/>
      <c r="Q82" s="3535"/>
      <c r="R82" s="3335"/>
      <c r="S82" s="3332"/>
      <c r="T82" s="3622"/>
      <c r="U82" s="3543"/>
      <c r="V82" s="3605"/>
      <c r="W82" s="3501"/>
      <c r="X82" s="3392"/>
      <c r="Y82" s="3579"/>
      <c r="Z82" s="3579"/>
      <c r="AA82" s="3547"/>
      <c r="AB82" s="3401"/>
      <c r="AC82" s="3696"/>
      <c r="AD82" s="3696"/>
      <c r="AE82" s="3554"/>
      <c r="AF82" s="3411"/>
      <c r="AG82" s="3717"/>
      <c r="AH82" s="3717"/>
      <c r="AI82" s="3709"/>
    </row>
    <row r="83" spans="1:35">
      <c r="A83" s="41"/>
      <c r="B83" s="69"/>
      <c r="C83" s="31"/>
      <c r="D83" s="31"/>
      <c r="E83" s="31"/>
      <c r="H83" s="2085"/>
      <c r="I83" s="2089"/>
      <c r="J83" s="2085"/>
      <c r="K83" s="3344"/>
      <c r="L83" s="3360"/>
      <c r="M83" s="3524"/>
      <c r="N83" s="3524"/>
      <c r="O83" s="3494"/>
      <c r="P83" s="3659"/>
      <c r="Q83" s="3535"/>
      <c r="R83" s="3335"/>
      <c r="S83" s="3332"/>
      <c r="T83" s="3622"/>
      <c r="U83" s="3543"/>
      <c r="V83" s="3605"/>
      <c r="W83" s="3501"/>
      <c r="X83" s="3392"/>
      <c r="Y83" s="3579"/>
      <c r="Z83" s="3579"/>
      <c r="AA83" s="3547"/>
      <c r="AB83" s="3401"/>
      <c r="AC83" s="3696"/>
      <c r="AD83" s="3696"/>
      <c r="AE83" s="3554"/>
      <c r="AF83" s="3411"/>
      <c r="AG83" s="3717"/>
      <c r="AH83" s="3717"/>
      <c r="AI83" s="3709"/>
    </row>
    <row r="84" spans="1:35">
      <c r="A84" s="41"/>
      <c r="B84" s="69"/>
      <c r="C84" s="31"/>
      <c r="D84" s="31"/>
      <c r="E84" s="31"/>
      <c r="H84" s="2085"/>
      <c r="I84" s="2089"/>
      <c r="J84" s="2085"/>
      <c r="K84" s="3344"/>
      <c r="L84" s="3360"/>
      <c r="M84" s="3524"/>
      <c r="N84" s="3524"/>
      <c r="O84" s="3494"/>
      <c r="P84" s="3659"/>
      <c r="Q84" s="3535"/>
      <c r="R84" s="3335"/>
      <c r="S84" s="3332"/>
      <c r="T84" s="3622"/>
      <c r="U84" s="3543"/>
      <c r="V84" s="3605"/>
      <c r="W84" s="3501"/>
      <c r="X84" s="3392"/>
      <c r="Y84" s="3579"/>
      <c r="Z84" s="3579"/>
      <c r="AA84" s="3547"/>
      <c r="AB84" s="3401"/>
      <c r="AC84" s="3696"/>
      <c r="AD84" s="3696"/>
      <c r="AE84" s="3554"/>
      <c r="AF84" s="3411"/>
      <c r="AG84" s="3717"/>
      <c r="AH84" s="3717"/>
      <c r="AI84" s="3709"/>
    </row>
    <row r="85" spans="1:35">
      <c r="A85" s="41"/>
      <c r="B85" s="69"/>
      <c r="C85" s="31"/>
      <c r="D85" s="31"/>
      <c r="E85" s="31"/>
      <c r="H85" s="2090" t="e">
        <f>IF(H86&lt;H75,"See Line 11 Note "," ")</f>
        <v>#REF!</v>
      </c>
      <c r="I85" s="2089"/>
      <c r="J85" s="2085"/>
      <c r="K85" s="3344"/>
      <c r="L85" s="3368" t="str">
        <f>IF(L86&lt;L75,"See Line 11 Note "," ")</f>
        <v xml:space="preserve"> </v>
      </c>
      <c r="M85" s="3524"/>
      <c r="N85" s="3524"/>
      <c r="O85" s="3494"/>
      <c r="P85" s="3663" t="str">
        <f>IF(P86&lt;P75,"See Line 11 Note "," ")</f>
        <v xml:space="preserve"> </v>
      </c>
      <c r="Q85" s="3535"/>
      <c r="R85" s="3335"/>
      <c r="S85" s="3332"/>
      <c r="T85" s="3626" t="str">
        <f>IF(T86&lt;T75,"See Line 11 Note "," ")</f>
        <v xml:space="preserve"> </v>
      </c>
      <c r="U85" s="3543"/>
      <c r="V85" s="3605"/>
      <c r="W85" s="3501"/>
      <c r="X85" s="3396" t="str">
        <f>IF(X86&lt;X75,"See Line 11 Note "," ")</f>
        <v xml:space="preserve"> </v>
      </c>
      <c r="Y85" s="3579"/>
      <c r="Z85" s="3579"/>
      <c r="AA85" s="3547"/>
      <c r="AB85" s="3405" t="str">
        <f>IF(AB86&lt;AB75,"See Line 11 Note "," ")</f>
        <v xml:space="preserve"> </v>
      </c>
      <c r="AC85" s="3696"/>
      <c r="AD85" s="3696"/>
      <c r="AE85" s="3554"/>
      <c r="AF85" s="3415" t="str">
        <f>IF(AF86&lt;AF75,"See Line 11 Note "," ")</f>
        <v xml:space="preserve"> </v>
      </c>
      <c r="AG85" s="3717"/>
      <c r="AH85" s="3719" t="str">
        <f>IF(AH86&lt;AH75,"See Line 11 Note "," ")</f>
        <v xml:space="preserve"> </v>
      </c>
      <c r="AI85" s="3709"/>
    </row>
    <row r="86" spans="1:35" ht="13.5" thickBot="1">
      <c r="A86" s="77" t="s">
        <v>120</v>
      </c>
      <c r="B86" s="78" t="s">
        <v>2326</v>
      </c>
      <c r="C86" s="31"/>
      <c r="D86" s="31"/>
      <c r="E86" s="31"/>
      <c r="H86" s="2088" t="e">
        <f>IF(H75=0,0,IF('Data Entry - SOF'!C101+'Data Entry - SOF'!C102-'Existing Debt-OldLaw'!G61&lt;0,0,IF('Data Entry - SOF'!C101+'Data Entry - SOF'!C102-'Existing Debt-OldLaw'!G61&gt;H79,H75,(('Data Entry - SOF'!C101+'Data Entry - SOF'!C102-'Existing Debt-OldLaw'!G61)/H79)*H75)))</f>
        <v>#REF!</v>
      </c>
      <c r="I86" s="2088" t="e">
        <f>IF(I75=0,0,IF('Data Entry - SOF'!C101+'Data Entry - SOF'!C102-'Existing Debt-OldLaw'!H61&lt;0,0,IF('Data Entry - SOF'!C101+'Data Entry - SOF'!C102-'Existing Debt-OldLaw'!H61&gt;I79,I75,(('Data Entry - SOF'!C101+'Data Entry - SOF'!C102-'Existing Debt-OldLaw'!H61)/I79)*I75)))</f>
        <v>#REF!</v>
      </c>
      <c r="J86" s="2088" t="e">
        <f>J75</f>
        <v>#REF!</v>
      </c>
      <c r="K86" s="3343" t="e">
        <f>K75</f>
        <v>#REF!</v>
      </c>
      <c r="L86" s="3513">
        <f>IF(L75=0,0,IF('Data Entry - SOF'!E101+'Data Entry - SOF'!E102-'Existing Debt-OldLaw'!I61&lt;0,0,IF('Data Entry - SOF'!E101+'Data Entry - SOF'!E102-'Existing Debt-OldLaw'!I61&gt;L79,L75,(('Data Entry - SOF'!E101+'Data Entry - SOF'!E102-'Existing Debt-OldLaw'!I61)/L79)*L75)))</f>
        <v>0</v>
      </c>
      <c r="M86" s="3526">
        <f>M75</f>
        <v>0</v>
      </c>
      <c r="N86" s="3679">
        <f>IF(N75=0,0,IF('Data Entry - SOF'!E101+'Data Entry - SOF'!E102-'Existing Debt-OldLaw'!J61&lt;0,0,IF('Data Entry - SOF'!E101+'Data Entry - SOF'!E102-'Existing Debt-OldLaw'!J61&gt;N79,N75,(('Data Entry - SOF'!E101+'Data Entry - SOF'!E102-'Existing Debt-OldLaw'!J61)/N79)*N75)))</f>
        <v>0</v>
      </c>
      <c r="O86" s="3673">
        <f>O75</f>
        <v>0</v>
      </c>
      <c r="P86" s="3664">
        <f>IF(P75=0,0,IF('Data Entry - SOF'!K101+'Data Entry - SOF'!K102-'Existing Debt-OldLaw'!K61&lt;0,0,IF('Data Entry - SOF'!K101+'Data Entry - SOF'!K102-'Existing Debt-OldLaw'!K61&gt;P79,P75,(('Data Entry - SOF'!K101+'Data Entry - SOF'!K102-'Existing Debt-OldLaw'!K61)/P79)*P75)))</f>
        <v>0</v>
      </c>
      <c r="Q86" s="3650">
        <f>Q75</f>
        <v>0</v>
      </c>
      <c r="R86" s="3644">
        <f>IF(R75=0,0,IF('Data Entry - SOF'!K101+'Data Entry - SOF'!K102-'Existing Debt-OldLaw'!L61&lt;0,0,IF('Data Entry - SOF'!K101+'Data Entry - SOF'!K102-'Existing Debt-OldLaw'!L61&gt;R79,R75,(('Data Entry - SOF'!K101+'Data Entry - SOF'!K102-'Existing Debt-OldLaw'!L61)/R79)*R75)))</f>
        <v>0</v>
      </c>
      <c r="S86" s="3636">
        <f>S75</f>
        <v>0</v>
      </c>
      <c r="T86" s="3627">
        <f>IF(T75=0,0,IF('Data Entry - SOF'!M101+'Data Entry - SOF'!M102-'Existing Debt-OldLaw'!M61&lt;0,0,IF('Data Entry - SOF'!M101+'Data Entry - SOF'!M102-'Existing Debt-OldLaw'!M61&gt;T79,T75,(('Data Entry - SOF'!M101+'Data Entry - SOF'!M102-'Existing Debt-OldLaw'!M61)/T79)*T75)))</f>
        <v>0</v>
      </c>
      <c r="U86" s="3614">
        <f>U75</f>
        <v>0</v>
      </c>
      <c r="V86" s="3607">
        <f>IF(V75=0,0,IF('Data Entry - SOF'!M101+'Data Entry - SOF'!M102-'Existing Debt-OldLaw'!N61&lt;0,0,IF('Data Entry - SOF'!M101+'Data Entry - SOF'!M102-'Existing Debt-OldLaw'!N61&gt;V79,V75,(('Data Entry - SOF'!M101+'Data Entry - SOF'!M102-'Existing Debt-OldLaw'!N61)/V79)*V75)))</f>
        <v>0</v>
      </c>
      <c r="W86" s="3597">
        <f>W75</f>
        <v>0</v>
      </c>
      <c r="X86" s="3572">
        <f>IF(X75=0,0,IF('Data Entry - SOF'!O101+'Data Entry - SOF'!O102-'Existing Debt-OldLaw'!O61&lt;0,0,IF('Data Entry - SOF'!O101+'Data Entry - SOF'!O102-'Existing Debt-OldLaw'!O61&gt;X79,X75,(('Data Entry - SOF'!O101+'Data Entry - SOF'!O102-'Existing Debt-OldLaw'!O61)/X79)*X75)))</f>
        <v>0</v>
      </c>
      <c r="Y86" s="3563">
        <f>Y75</f>
        <v>0</v>
      </c>
      <c r="Z86" s="3563">
        <f>IF(Z75=0,0,IF('Data Entry - SOF'!O101+'Data Entry - SOF'!O102-'Existing Debt-OldLaw'!P61&lt;0,0,IF('Data Entry - SOF'!O101+'Data Entry - SOF'!O102-'Existing Debt-OldLaw'!P61&gt;Z79,Z75,(('Data Entry - SOF'!O101+'Data Entry - SOF'!O102-'Existing Debt-OldLaw'!P61)/Z79)*Z75)))</f>
        <v>0</v>
      </c>
      <c r="AA86" s="3584">
        <f>AA75</f>
        <v>0</v>
      </c>
      <c r="AB86" s="3688">
        <f>IF(AB75=0,0,IF('Data Entry - SOF'!Q101+'Data Entry - SOF'!Q102-'Existing Debt-OldLaw'!Q61&lt;0,0,IF('Data Entry - SOF'!Q101+'Data Entry - SOF'!Q102-'Existing Debt-OldLaw'!Q61&gt;AB79,AB75,(('Data Entry - SOF'!Q101+'Data Entry - SOF'!Q102-'Existing Debt-OldLaw'!Q61)/AB79)*AB75)))</f>
        <v>0</v>
      </c>
      <c r="AC86" s="3697">
        <f>AC75</f>
        <v>0</v>
      </c>
      <c r="AD86" s="3966">
        <f>IF(AD75=0,0,IF('Data Entry - SOF'!Q101+'Data Entry - SOF'!Q102-'Existing Debt-OldLaw'!R61&lt;0,0,IF('Data Entry - SOF'!Q101+'Data Entry - SOF'!Q102-'Existing Debt-OldLaw'!R61&gt;AD79,AD75,(('Data Entry - SOF'!Q101+'Data Entry - SOF'!Q102-'Existing Debt-OldLaw'!R61)/AD79)*AD75)))</f>
        <v>0</v>
      </c>
      <c r="AE86" s="3958">
        <f>AE75</f>
        <v>0</v>
      </c>
      <c r="AF86" s="3974">
        <f>IF(AF75=0,0,IF('Data Entry - SOF'!S101+'Data Entry - SOF'!S102-'Existing Debt-OldLaw'!S61&lt;0,0,IF('Data Entry - SOF'!S101+'Data Entry - SOF'!S102-'Existing Debt-OldLaw'!S61&gt;AF79,AF75,(('Data Entry - SOF'!S101+'Data Entry - SOF'!S102-'Existing Debt-OldLaw'!S61)/AF79)*AF75)))</f>
        <v>0</v>
      </c>
      <c r="AG86" s="3984">
        <f>AG75</f>
        <v>0</v>
      </c>
      <c r="AH86" s="3720">
        <f>IF(AH75=0,0,IF('Data Entry - SOF'!S101+'Data Entry - SOF'!S102-'Existing Debt-OldLaw'!T61&lt;0,0,IF('Data Entry - SOF'!S101+'Data Entry - SOF'!S102-'Existing Debt-OldLaw'!T61&gt;AH79,AH75,(('Data Entry - SOF'!S101+'Data Entry - SOF'!S102-'Existing Debt-OldLaw'!T61)/AH79)*AH75)))</f>
        <v>0</v>
      </c>
      <c r="AI86" s="3711">
        <f>AI75</f>
        <v>0</v>
      </c>
    </row>
    <row r="87" spans="1:35" ht="13.5" thickTop="1">
      <c r="A87" s="77"/>
      <c r="B87" s="306" t="s">
        <v>2327</v>
      </c>
      <c r="C87" s="31"/>
      <c r="D87" s="31"/>
      <c r="E87" s="31"/>
    </row>
    <row r="88" spans="1:35">
      <c r="A88" s="77"/>
      <c r="B88" s="69" t="s">
        <v>3923</v>
      </c>
      <c r="C88" s="31"/>
      <c r="D88" s="31"/>
      <c r="E88" s="31"/>
    </row>
    <row r="89" spans="1:35">
      <c r="A89" s="41"/>
      <c r="B89" s="306" t="s">
        <v>590</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A36" workbookViewId="0">
      <selection activeCell="H39" sqref="H39"/>
    </sheetView>
  </sheetViews>
  <sheetFormatPr defaultRowHeight="12.75"/>
  <cols>
    <col min="1" max="1" width="9.140625" style="52" customWidth="1"/>
    <col min="2" max="2" width="52.42578125" customWidth="1"/>
    <col min="3" max="3" width="8.140625" customWidth="1"/>
    <col min="4" max="4" width="13.42578125" customWidth="1"/>
    <col min="5" max="6" width="20.85546875" style="2011" hidden="1" customWidth="1"/>
    <col min="7" max="7" width="20.85546875" style="1686" customWidth="1"/>
    <col min="8" max="8" width="20.85546875" style="1284" customWidth="1"/>
    <col min="9" max="9" width="20.85546875" style="1368" customWidth="1"/>
    <col min="10" max="10" width="20.85546875" style="1280" customWidth="1"/>
    <col min="11" max="11" width="20.85546875" style="1377" customWidth="1"/>
    <col min="12" max="12" width="20.85546875" style="1422" customWidth="1"/>
    <col min="13" max="13" width="20.85546875" style="1788" customWidth="1"/>
    <col min="14" max="14" width="18.5703125" customWidth="1"/>
    <col min="15" max="15" width="33.85546875" customWidth="1"/>
    <col min="16" max="17" width="15.5703125" customWidth="1"/>
    <col min="19" max="19" width="18.5703125" customWidth="1"/>
    <col min="20" max="21" width="20.5703125" customWidth="1"/>
  </cols>
  <sheetData>
    <row r="1" spans="1:21" ht="18">
      <c r="A1" s="31"/>
      <c r="F1" s="2132"/>
      <c r="G1" s="1988" t="s">
        <v>1982</v>
      </c>
      <c r="H1" s="2205"/>
      <c r="I1" s="1986"/>
      <c r="J1" s="1986"/>
      <c r="K1" s="1986"/>
      <c r="L1" s="1986"/>
      <c r="M1" s="1986"/>
    </row>
    <row r="2" spans="1:21">
      <c r="A2" s="31"/>
      <c r="F2" s="2310"/>
      <c r="G2" s="1956"/>
      <c r="H2" s="1986"/>
      <c r="I2" s="1986"/>
      <c r="J2" s="1986"/>
      <c r="K2" s="1986"/>
      <c r="L2" s="1986"/>
      <c r="M2" s="1986"/>
    </row>
    <row r="3" spans="1:21">
      <c r="E3" s="2311"/>
      <c r="F3" s="2312"/>
      <c r="G3" s="1956"/>
      <c r="H3" s="1986"/>
      <c r="I3" s="1986"/>
      <c r="J3" s="1986"/>
      <c r="K3" s="1986"/>
      <c r="L3" s="1986"/>
      <c r="M3" s="1986"/>
    </row>
    <row r="4" spans="1:21">
      <c r="G4" s="2707" t="s">
        <v>8549</v>
      </c>
      <c r="H4" s="2708"/>
      <c r="I4" s="2709"/>
      <c r="J4" s="1986"/>
      <c r="K4" s="1986"/>
      <c r="L4" s="1986"/>
      <c r="M4" s="1986"/>
      <c r="N4" s="2663" t="s">
        <v>8567</v>
      </c>
      <c r="O4" s="2664" t="s">
        <v>8568</v>
      </c>
    </row>
    <row r="5" spans="1:21">
      <c r="F5" s="2705" t="s">
        <v>8261</v>
      </c>
      <c r="G5" s="2710" t="s">
        <v>8550</v>
      </c>
      <c r="H5" s="2711"/>
      <c r="I5" s="2712"/>
      <c r="J5" s="1986"/>
      <c r="K5" s="1986"/>
      <c r="L5" s="1986"/>
      <c r="M5" s="1986"/>
      <c r="N5" s="2665" t="s">
        <v>2700</v>
      </c>
      <c r="O5" s="2666" t="s">
        <v>2703</v>
      </c>
    </row>
    <row r="6" spans="1:21">
      <c r="E6" s="2313" t="s">
        <v>3864</v>
      </c>
      <c r="F6" s="2706" t="s">
        <v>3865</v>
      </c>
      <c r="G6" s="2713" t="s">
        <v>8551</v>
      </c>
      <c r="H6" s="2714"/>
      <c r="I6" s="2715"/>
      <c r="J6" s="1986"/>
      <c r="K6" s="1986"/>
      <c r="L6" s="1986"/>
      <c r="M6" s="1986"/>
      <c r="N6" s="2667" t="s">
        <v>2701</v>
      </c>
      <c r="O6" s="2668" t="s">
        <v>2704</v>
      </c>
      <c r="S6" s="35" t="s">
        <v>6971</v>
      </c>
    </row>
    <row r="7" spans="1:21">
      <c r="A7" s="54" t="s">
        <v>2355</v>
      </c>
      <c r="E7" s="2314" t="s">
        <v>3866</v>
      </c>
      <c r="F7" s="2315" t="s">
        <v>3138</v>
      </c>
      <c r="G7" s="2222" t="s">
        <v>3144</v>
      </c>
      <c r="H7" s="2223" t="s">
        <v>3225</v>
      </c>
      <c r="I7" s="2224" t="s">
        <v>3284</v>
      </c>
      <c r="J7" s="2225" t="s">
        <v>3922</v>
      </c>
      <c r="K7" s="2226" t="s">
        <v>6374</v>
      </c>
      <c r="L7" s="2227" t="s">
        <v>6939</v>
      </c>
      <c r="M7" s="2228" t="s">
        <v>8157</v>
      </c>
      <c r="N7" s="2669" t="s">
        <v>3225</v>
      </c>
      <c r="O7" s="2646"/>
      <c r="S7" s="726" t="s">
        <v>3797</v>
      </c>
      <c r="T7" s="726" t="s">
        <v>6563</v>
      </c>
      <c r="U7" s="726" t="s">
        <v>6573</v>
      </c>
    </row>
    <row r="8" spans="1:21">
      <c r="A8" s="52">
        <v>1</v>
      </c>
      <c r="D8" s="72" t="s">
        <v>1388</v>
      </c>
      <c r="E8" s="2316">
        <f>'Data Entry - SOF'!C165*Weights!H7</f>
        <v>0</v>
      </c>
      <c r="F8" s="2317"/>
      <c r="G8" s="2229" t="e">
        <f>'Data Entry - SOF'!E165*Weights!I7</f>
        <v>#N/A</v>
      </c>
      <c r="H8" s="2230" t="e">
        <f>'Data Entry - SOF'!E165*Weights!J7</f>
        <v>#N/A</v>
      </c>
      <c r="I8" s="2231" t="e">
        <f>'Data Entry - SOF'!E165*Weights!K7</f>
        <v>#N/A</v>
      </c>
      <c r="J8" s="2232" t="e">
        <f>'Data Entry - SOF'!E165*Weights!L7</f>
        <v>#N/A</v>
      </c>
      <c r="K8" s="2233" t="e">
        <f>'Data Entry - SOF'!E165*Weights!M7</f>
        <v>#N/A</v>
      </c>
      <c r="L8" s="2234" t="e">
        <f>'Data Entry - SOF'!E165*Weights!N7</f>
        <v>#N/A</v>
      </c>
      <c r="M8" s="2235" t="e">
        <f>'Data Entry - SOF'!E165*Weights!O7</f>
        <v>#N/A</v>
      </c>
      <c r="N8" s="2691" t="e">
        <f>'Data Entry - SOF'!E165*Weights!K7</f>
        <v>#N/A</v>
      </c>
      <c r="O8" s="2690" t="s">
        <v>8569</v>
      </c>
      <c r="S8" s="329">
        <f>'Data Entry - SOF'!C165</f>
        <v>0</v>
      </c>
      <c r="T8" s="329">
        <f>S8</f>
        <v>0</v>
      </c>
      <c r="U8" s="329">
        <f>T8</f>
        <v>0</v>
      </c>
    </row>
    <row r="9" spans="1:21">
      <c r="A9" s="52">
        <f>A8+1</f>
        <v>2</v>
      </c>
      <c r="D9" s="72" t="s">
        <v>1389</v>
      </c>
      <c r="E9" s="2318">
        <f>120*Weights!H7</f>
        <v>111.15600000000001</v>
      </c>
      <c r="F9" s="2319"/>
      <c r="G9" s="2236">
        <f>120*Weights!I7</f>
        <v>111.15600000000001</v>
      </c>
      <c r="H9" s="2237">
        <f>120*Weights!J7</f>
        <v>111.15600000000001</v>
      </c>
      <c r="I9" s="2238">
        <f>120*Weights!K7</f>
        <v>111.15600000000001</v>
      </c>
      <c r="J9" s="2239">
        <f>120*Weights!L7</f>
        <v>111.15600000000001</v>
      </c>
      <c r="K9" s="2240">
        <f>120*Weights!M7</f>
        <v>111.15600000000001</v>
      </c>
      <c r="L9" s="2241">
        <f>120*Weights!N7</f>
        <v>111.15600000000001</v>
      </c>
      <c r="M9" s="2242">
        <f>120*Weights!O7</f>
        <v>111.15600000000001</v>
      </c>
      <c r="N9" s="2691">
        <f>120*Weights!K7</f>
        <v>111.15600000000001</v>
      </c>
      <c r="O9" s="2690" t="s">
        <v>8569</v>
      </c>
      <c r="S9" s="312">
        <v>120</v>
      </c>
      <c r="T9" s="312">
        <v>120</v>
      </c>
      <c r="U9" s="312">
        <v>120</v>
      </c>
    </row>
    <row r="10" spans="1:21">
      <c r="A10" s="52">
        <f>A9+1</f>
        <v>3</v>
      </c>
      <c r="D10" s="1960" t="s">
        <v>1384</v>
      </c>
      <c r="E10" s="2318">
        <f>E8+E9</f>
        <v>111.15600000000001</v>
      </c>
      <c r="F10" s="2319"/>
      <c r="G10" s="2236" t="e">
        <f t="shared" ref="G10:N10" si="0">G8+G9</f>
        <v>#N/A</v>
      </c>
      <c r="H10" s="2237" t="e">
        <f t="shared" si="0"/>
        <v>#N/A</v>
      </c>
      <c r="I10" s="2238" t="e">
        <f t="shared" si="0"/>
        <v>#N/A</v>
      </c>
      <c r="J10" s="2239" t="e">
        <f t="shared" si="0"/>
        <v>#N/A</v>
      </c>
      <c r="K10" s="2240" t="e">
        <f t="shared" si="0"/>
        <v>#N/A</v>
      </c>
      <c r="L10" s="2241" t="e">
        <f t="shared" si="0"/>
        <v>#N/A</v>
      </c>
      <c r="M10" s="2242" t="e">
        <f t="shared" si="0"/>
        <v>#N/A</v>
      </c>
      <c r="N10" s="2684" t="e">
        <f t="shared" si="0"/>
        <v>#N/A</v>
      </c>
      <c r="O10" s="2648"/>
      <c r="S10" s="312">
        <f>S8+S9</f>
        <v>120</v>
      </c>
      <c r="T10" s="312">
        <f>T8+T9</f>
        <v>120</v>
      </c>
      <c r="U10" s="312">
        <f>U8+U9</f>
        <v>120</v>
      </c>
    </row>
    <row r="11" spans="1:21">
      <c r="A11" s="52">
        <v>4</v>
      </c>
      <c r="D11" s="37" t="s">
        <v>1385</v>
      </c>
      <c r="E11" s="2320" t="e">
        <f>'Calc Data'!C25</f>
        <v>#REF!</v>
      </c>
      <c r="F11" s="2321"/>
      <c r="G11" s="2243" t="e">
        <f>'Calc Data'!D25</f>
        <v>#REF!</v>
      </c>
      <c r="H11" s="2244">
        <f>'Calc Data'!E25</f>
        <v>0</v>
      </c>
      <c r="I11" s="2245">
        <f>'Calc Data'!F25</f>
        <v>0</v>
      </c>
      <c r="J11" s="2246" t="e">
        <f>'Calc Data'!G25</f>
        <v>#DIV/0!</v>
      </c>
      <c r="K11" s="2247" t="e">
        <f>'Calc Data'!H25</f>
        <v>#DIV/0!</v>
      </c>
      <c r="L11" s="2248" t="e">
        <f>'Calc Data'!I25</f>
        <v>#DIV/0!</v>
      </c>
      <c r="M11" s="2249" t="e">
        <f>'Calc Data'!J25</f>
        <v>#DIV/0!</v>
      </c>
      <c r="N11" s="2684" t="e">
        <f>'SOF1819-SB1'!P43</f>
        <v>#REF!</v>
      </c>
      <c r="O11" s="2648"/>
      <c r="S11" s="314" t="e">
        <f>'Calc Data'!U11</f>
        <v>#REF!</v>
      </c>
      <c r="T11" s="314" t="e">
        <f>'Calc Data'!V11</f>
        <v>#REF!</v>
      </c>
      <c r="U11" s="314" t="e">
        <f>'Calc Data'!W11</f>
        <v>#REF!</v>
      </c>
    </row>
    <row r="12" spans="1:21">
      <c r="A12" s="52">
        <f>A11+1</f>
        <v>5</v>
      </c>
      <c r="D12" s="72" t="s">
        <v>1983</v>
      </c>
      <c r="E12" s="2322" t="e">
        <f>E10*E11</f>
        <v>#REF!</v>
      </c>
      <c r="F12" s="2323"/>
      <c r="G12" s="2250" t="e">
        <f t="shared" ref="G12:N12" si="1">G10*G11</f>
        <v>#N/A</v>
      </c>
      <c r="H12" s="2251" t="e">
        <f t="shared" si="1"/>
        <v>#N/A</v>
      </c>
      <c r="I12" s="2252" t="e">
        <f t="shared" si="1"/>
        <v>#N/A</v>
      </c>
      <c r="J12" s="2253" t="e">
        <f t="shared" si="1"/>
        <v>#N/A</v>
      </c>
      <c r="K12" s="2254" t="e">
        <f t="shared" si="1"/>
        <v>#N/A</v>
      </c>
      <c r="L12" s="2255" t="e">
        <f t="shared" si="1"/>
        <v>#N/A</v>
      </c>
      <c r="M12" s="2256" t="e">
        <f t="shared" si="1"/>
        <v>#N/A</v>
      </c>
      <c r="N12" s="2684" t="e">
        <f t="shared" si="1"/>
        <v>#N/A</v>
      </c>
      <c r="O12" s="2648"/>
      <c r="P12" s="91"/>
      <c r="S12" s="245" t="e">
        <f>S10*S11</f>
        <v>#REF!</v>
      </c>
      <c r="T12" s="245" t="e">
        <f>T10*T11</f>
        <v>#REF!</v>
      </c>
      <c r="U12" s="245" t="e">
        <f>U10*U11</f>
        <v>#REF!</v>
      </c>
    </row>
    <row r="13" spans="1:21">
      <c r="A13" s="52">
        <f>A12+1</f>
        <v>6</v>
      </c>
      <c r="D13" s="1961" t="s">
        <v>581</v>
      </c>
      <c r="E13" s="2322">
        <v>0</v>
      </c>
      <c r="F13" s="2323"/>
      <c r="G13" s="2250">
        <v>0</v>
      </c>
      <c r="H13" s="2251">
        <v>0</v>
      </c>
      <c r="I13" s="2252">
        <v>0</v>
      </c>
      <c r="J13" s="2253">
        <v>0</v>
      </c>
      <c r="K13" s="2254">
        <v>0</v>
      </c>
      <c r="L13" s="2255">
        <v>0</v>
      </c>
      <c r="M13" s="2256">
        <v>0</v>
      </c>
      <c r="N13" s="2684">
        <v>0</v>
      </c>
      <c r="O13" s="2648"/>
      <c r="S13" s="245">
        <v>0</v>
      </c>
      <c r="T13" s="245">
        <v>0</v>
      </c>
      <c r="U13" s="245">
        <v>0</v>
      </c>
    </row>
    <row r="14" spans="1:21">
      <c r="A14" s="52">
        <v>7</v>
      </c>
      <c r="D14" s="1965" t="s">
        <v>1386</v>
      </c>
      <c r="E14" s="2322" t="e">
        <f>E12+E13</f>
        <v>#REF!</v>
      </c>
      <c r="F14" s="2323"/>
      <c r="G14" s="2250" t="e">
        <f t="shared" ref="G14:N14" si="2">G12+G13</f>
        <v>#N/A</v>
      </c>
      <c r="H14" s="2251" t="e">
        <f t="shared" si="2"/>
        <v>#N/A</v>
      </c>
      <c r="I14" s="2252" t="e">
        <f t="shared" si="2"/>
        <v>#N/A</v>
      </c>
      <c r="J14" s="2253" t="e">
        <f t="shared" si="2"/>
        <v>#N/A</v>
      </c>
      <c r="K14" s="2254" t="e">
        <f t="shared" si="2"/>
        <v>#N/A</v>
      </c>
      <c r="L14" s="2255" t="e">
        <f t="shared" si="2"/>
        <v>#N/A</v>
      </c>
      <c r="M14" s="2256" t="e">
        <f t="shared" si="2"/>
        <v>#N/A</v>
      </c>
      <c r="N14" s="2684" t="e">
        <f t="shared" si="2"/>
        <v>#N/A</v>
      </c>
      <c r="O14" s="2648"/>
      <c r="S14" s="245" t="e">
        <f>S12+S13</f>
        <v>#REF!</v>
      </c>
      <c r="T14" s="245" t="e">
        <f>T12+T13</f>
        <v>#REF!</v>
      </c>
      <c r="U14" s="245" t="e">
        <f>U12+U13</f>
        <v>#REF!</v>
      </c>
    </row>
    <row r="15" spans="1:21">
      <c r="A15" s="188">
        <v>8</v>
      </c>
      <c r="D15" s="37" t="s">
        <v>2357</v>
      </c>
      <c r="E15" s="2322" t="e">
        <f>'Calc Data'!C71</f>
        <v>#REF!</v>
      </c>
      <c r="F15" s="2323"/>
      <c r="G15" s="2250" t="e">
        <f>'Calc Data'!D71</f>
        <v>#REF!</v>
      </c>
      <c r="H15" s="2251">
        <f>'Calc Data'!E71</f>
        <v>0</v>
      </c>
      <c r="I15" s="2252">
        <f>'Calc Data'!F71</f>
        <v>0</v>
      </c>
      <c r="J15" s="2253">
        <f>'Calc Data'!G71</f>
        <v>0</v>
      </c>
      <c r="K15" s="2254">
        <f>'Calc Data'!H71</f>
        <v>0</v>
      </c>
      <c r="L15" s="2255">
        <f>'Calc Data'!I71</f>
        <v>0</v>
      </c>
      <c r="M15" s="2256">
        <f>'Calc Data'!J71</f>
        <v>0</v>
      </c>
      <c r="N15" s="2684">
        <f>'Calc Data'!E71</f>
        <v>0</v>
      </c>
      <c r="O15" s="2648"/>
      <c r="S15" s="245" t="e">
        <f>'Calc Data'!C71</f>
        <v>#REF!</v>
      </c>
      <c r="T15" s="245" t="e">
        <f>'Calc Data'!D71</f>
        <v>#REF!</v>
      </c>
      <c r="U15" s="245">
        <f>'Calc Data'!E71</f>
        <v>0</v>
      </c>
    </row>
    <row r="16" spans="1:21">
      <c r="A16" s="52">
        <v>9</v>
      </c>
      <c r="D16" s="37" t="s">
        <v>1103</v>
      </c>
      <c r="E16" s="2322">
        <f>'Calc Data'!C65</f>
        <v>0</v>
      </c>
      <c r="F16" s="2323"/>
      <c r="G16" s="2250" t="e">
        <f>'Calc Data'!D65</f>
        <v>#REF!</v>
      </c>
      <c r="H16" s="2251">
        <f>'Calc Data'!E65</f>
        <v>0</v>
      </c>
      <c r="I16" s="2252">
        <f>'Calc Data'!F65</f>
        <v>0</v>
      </c>
      <c r="J16" s="2253">
        <f>'Calc Data'!G65</f>
        <v>0</v>
      </c>
      <c r="K16" s="2254">
        <f>'Calc Data'!H65</f>
        <v>0</v>
      </c>
      <c r="L16" s="2255">
        <f>'Calc Data'!I65</f>
        <v>0</v>
      </c>
      <c r="M16" s="2256">
        <f>'Calc Data'!J65</f>
        <v>0</v>
      </c>
      <c r="N16" s="2684">
        <f>'Calc Data'!E65</f>
        <v>0</v>
      </c>
      <c r="O16" s="2648"/>
      <c r="S16" s="245">
        <f>'Calc Data'!C65</f>
        <v>0</v>
      </c>
      <c r="T16" s="245" t="e">
        <f>'Calc Data'!D65</f>
        <v>#REF!</v>
      </c>
      <c r="U16" s="245">
        <f>'Calc Data'!E65</f>
        <v>0</v>
      </c>
    </row>
    <row r="17" spans="1:21">
      <c r="A17" s="52">
        <f>A16+1</f>
        <v>10</v>
      </c>
      <c r="D17" s="1961" t="s">
        <v>582</v>
      </c>
      <c r="E17" s="2322">
        <v>0</v>
      </c>
      <c r="F17" s="2323"/>
      <c r="G17" s="2250">
        <v>0</v>
      </c>
      <c r="H17" s="2251">
        <v>0</v>
      </c>
      <c r="I17" s="2252">
        <v>0</v>
      </c>
      <c r="J17" s="2253">
        <v>0</v>
      </c>
      <c r="K17" s="2254">
        <v>0</v>
      </c>
      <c r="L17" s="2255">
        <v>0</v>
      </c>
      <c r="M17" s="2256">
        <v>0</v>
      </c>
      <c r="N17" s="2684">
        <v>0</v>
      </c>
      <c r="O17" s="2648"/>
      <c r="S17" s="245">
        <v>0</v>
      </c>
      <c r="T17" s="245">
        <v>0</v>
      </c>
      <c r="U17" s="245">
        <v>0</v>
      </c>
    </row>
    <row r="18" spans="1:21">
      <c r="A18" s="52">
        <f>A17+1</f>
        <v>11</v>
      </c>
      <c r="D18" s="37" t="s">
        <v>1387</v>
      </c>
      <c r="E18" s="2322">
        <f>23.63*Weights!H7*'Data Entry - SOF'!C162</f>
        <v>0</v>
      </c>
      <c r="F18" s="2323"/>
      <c r="G18" s="2250">
        <f>23.63*Weights!I7*'Data Entry - SOF'!E162</f>
        <v>0</v>
      </c>
      <c r="H18" s="2251">
        <f t="shared" ref="H18:N18" si="3">G18</f>
        <v>0</v>
      </c>
      <c r="I18" s="2252">
        <f t="shared" si="3"/>
        <v>0</v>
      </c>
      <c r="J18" s="2253">
        <f t="shared" si="3"/>
        <v>0</v>
      </c>
      <c r="K18" s="2254">
        <f t="shared" si="3"/>
        <v>0</v>
      </c>
      <c r="L18" s="2255">
        <f t="shared" si="3"/>
        <v>0</v>
      </c>
      <c r="M18" s="2256">
        <f t="shared" si="3"/>
        <v>0</v>
      </c>
      <c r="N18" s="2684">
        <f t="shared" si="3"/>
        <v>0</v>
      </c>
      <c r="O18" s="2690"/>
      <c r="S18" s="245">
        <f>23.63*'Data Entry - SOF'!C162</f>
        <v>0</v>
      </c>
      <c r="T18" s="245">
        <f>Q18</f>
        <v>0</v>
      </c>
      <c r="U18" s="245">
        <f>T18</f>
        <v>0</v>
      </c>
    </row>
    <row r="19" spans="1:21">
      <c r="D19" s="37"/>
      <c r="E19" s="2324"/>
      <c r="F19" s="2324"/>
      <c r="G19" s="2834"/>
      <c r="H19" s="2257"/>
      <c r="I19" s="2258"/>
      <c r="J19" s="2259"/>
      <c r="K19" s="2260"/>
      <c r="L19" s="2261"/>
      <c r="M19" s="2262"/>
      <c r="N19" s="2684"/>
      <c r="O19" s="2648"/>
    </row>
    <row r="20" spans="1:21" ht="15.75">
      <c r="A20" s="188">
        <f>A18+1</f>
        <v>12</v>
      </c>
      <c r="C20" s="325"/>
      <c r="D20" s="1436" t="s">
        <v>1390</v>
      </c>
      <c r="E20" s="2326" t="e">
        <f>E12+E15+E16+E17+E18</f>
        <v>#REF!</v>
      </c>
      <c r="F20" s="2833" t="e">
        <f>E20</f>
        <v>#REF!</v>
      </c>
      <c r="G20" s="2835" t="e">
        <f t="shared" ref="G20:N20" si="4">G12+G15+G16+G17+G18</f>
        <v>#N/A</v>
      </c>
      <c r="H20" s="2263" t="e">
        <f t="shared" si="4"/>
        <v>#N/A</v>
      </c>
      <c r="I20" s="2263" t="e">
        <f t="shared" si="4"/>
        <v>#N/A</v>
      </c>
      <c r="J20" s="2263" t="e">
        <f t="shared" si="4"/>
        <v>#N/A</v>
      </c>
      <c r="K20" s="2263" t="e">
        <f t="shared" si="4"/>
        <v>#N/A</v>
      </c>
      <c r="L20" s="2263" t="e">
        <f t="shared" si="4"/>
        <v>#N/A</v>
      </c>
      <c r="M20" s="2263" t="e">
        <f t="shared" si="4"/>
        <v>#N/A</v>
      </c>
      <c r="N20" s="2684" t="e">
        <f t="shared" si="4"/>
        <v>#N/A</v>
      </c>
      <c r="O20" s="2648"/>
      <c r="P20" s="91"/>
      <c r="S20" s="327" t="e">
        <f>S12+S15+S16+S17+S18</f>
        <v>#REF!</v>
      </c>
      <c r="T20" s="327" t="e">
        <f>T12+T15+T16+T17+T18</f>
        <v>#REF!</v>
      </c>
      <c r="U20" s="327" t="e">
        <f>U12+U15+U16+U17+U18</f>
        <v>#REF!</v>
      </c>
    </row>
    <row r="21" spans="1:21">
      <c r="D21" s="37"/>
      <c r="E21" s="2324"/>
      <c r="F21" s="2324"/>
      <c r="G21" s="2831"/>
      <c r="H21" s="1986"/>
      <c r="I21" s="1986"/>
      <c r="J21" s="1986"/>
      <c r="K21" s="1986"/>
      <c r="L21" s="1986"/>
      <c r="M21" s="1986"/>
      <c r="N21" s="1512"/>
      <c r="O21" s="2648"/>
      <c r="S21" s="242"/>
      <c r="T21" s="242"/>
      <c r="U21" s="242"/>
    </row>
    <row r="22" spans="1:21">
      <c r="A22" s="52">
        <v>13</v>
      </c>
      <c r="D22" s="37"/>
      <c r="E22" s="2327" t="e">
        <f>#REF!</f>
        <v>#REF!</v>
      </c>
      <c r="F22" s="2827" t="e">
        <f>#REF!</f>
        <v>#REF!</v>
      </c>
      <c r="G22" s="2832"/>
      <c r="H22" s="1986"/>
      <c r="I22" s="1986"/>
      <c r="J22" s="1986"/>
      <c r="K22" s="1986"/>
      <c r="L22" s="1986"/>
      <c r="M22" s="1986"/>
      <c r="N22" s="2684" t="e">
        <f>'SOF1819-SB1'!O48</f>
        <v>#REF!</v>
      </c>
      <c r="O22" s="2648" t="s">
        <v>8573</v>
      </c>
      <c r="S22" s="246" t="e">
        <f>#REF!</f>
        <v>#REF!</v>
      </c>
      <c r="T22" s="246" t="e">
        <f>'SOF1718-HB3646'!F49</f>
        <v>#REF!</v>
      </c>
      <c r="U22" s="246" t="e">
        <f>'SOF1819-HB3646'!F49</f>
        <v>#REF!</v>
      </c>
    </row>
    <row r="23" spans="1:21">
      <c r="A23" s="52">
        <v>14</v>
      </c>
      <c r="D23" s="37"/>
      <c r="E23" s="2322" t="e">
        <f>'Calc Data'!AD36</f>
        <v>#REF!</v>
      </c>
      <c r="F23" s="2828" t="e">
        <f>'Calc Data-15K'!AE36</f>
        <v>#REF!</v>
      </c>
      <c r="G23" s="2832"/>
      <c r="H23" s="1986"/>
      <c r="I23" s="1986"/>
      <c r="J23" s="1986"/>
      <c r="K23" s="1986"/>
      <c r="L23" s="1986"/>
      <c r="M23" s="1986"/>
      <c r="N23" s="2684">
        <f>'Calc Data'!X32</f>
        <v>0</v>
      </c>
      <c r="O23" s="2648" t="s">
        <v>8574</v>
      </c>
      <c r="S23" s="245" t="e">
        <f>E23</f>
        <v>#REF!</v>
      </c>
      <c r="T23" s="245">
        <f>G23</f>
        <v>0</v>
      </c>
      <c r="U23" s="245">
        <f>H23</f>
        <v>0</v>
      </c>
    </row>
    <row r="24" spans="1:21">
      <c r="A24" s="52">
        <v>15</v>
      </c>
      <c r="D24" s="37"/>
      <c r="E24" s="2322" t="e">
        <f>IF('Option Costs-HH'!C57="N",MAX('Option Costs-HH'!C54,'Option Costs-HH'!E54),MIN('Option Costs-HH'!C54,'Option Costs-HH'!E54))</f>
        <v>#REF!</v>
      </c>
      <c r="F24" s="2828" t="e">
        <f>IF('Option Costs-HH-15K'!C57="N",MAX('Option Costs-HH-15K'!C54,'Option Costs-HH-15K'!E54),MIN('Option Costs-HH-15K'!C54,'Option Costs-HH-15K'!E54))</f>
        <v>#REF!</v>
      </c>
      <c r="G24" s="2832"/>
      <c r="H24" s="1986"/>
      <c r="I24" s="1986"/>
      <c r="J24" s="1986"/>
      <c r="K24" s="1986"/>
      <c r="L24" s="1986"/>
      <c r="M24" s="1986"/>
      <c r="N24" s="2692" t="e">
        <f>IF('Option Costs'!BO57="N",MAX('Option Costs'!BO85,'Option Costs'!BP85),MIN('Option Costs'!BO85,'Option Costs'!BP85))</f>
        <v>#REF!</v>
      </c>
      <c r="O24" s="2690" t="s">
        <v>8575</v>
      </c>
      <c r="S24" s="254" t="e">
        <f>IF('Option Costs'!DI57="N",MAX('Option Costs'!DI54,'Option Costs'!DK54),MIN('Option Costs'!DI54,'Option Costs'!DK54))</f>
        <v>#REF!</v>
      </c>
      <c r="T24" s="254" t="e">
        <f>IF('Option Costs'!DY57="N",MAX('Option Costs'!DY54,'Option Costs'!EA54),MIN('Option Costs'!DY54,'Option Costs'!EA54))</f>
        <v>#REF!</v>
      </c>
      <c r="U24" s="254" t="e">
        <f>IF('Option Costs'!EG57="N",MAX('Option Costs'!EG54,'Option Costs'!EI54),MIN('Option Costs'!EG54,'Option Costs'!EI54))</f>
        <v>#REF!</v>
      </c>
    </row>
    <row r="25" spans="1:21" ht="15.75">
      <c r="A25" s="52">
        <v>16</v>
      </c>
      <c r="C25" s="325"/>
      <c r="D25" s="37"/>
      <c r="E25" s="2328" t="e">
        <f>E22+E23-E24</f>
        <v>#REF!</v>
      </c>
      <c r="F25" s="2829" t="e">
        <f>F22+F23-F24</f>
        <v>#REF!</v>
      </c>
      <c r="G25" s="2832"/>
      <c r="H25" s="1986"/>
      <c r="I25" s="1986"/>
      <c r="J25" s="1986"/>
      <c r="K25" s="1986"/>
      <c r="L25" s="1986"/>
      <c r="M25" s="1986"/>
      <c r="N25" s="2684" t="e">
        <f>N22+N23-N24</f>
        <v>#REF!</v>
      </c>
      <c r="O25" s="2652" t="s">
        <v>8576</v>
      </c>
      <c r="S25" s="327" t="e">
        <f>S22+S23-S24</f>
        <v>#REF!</v>
      </c>
      <c r="T25" s="327" t="e">
        <f>T22+T23-T24</f>
        <v>#REF!</v>
      </c>
      <c r="U25" s="327" t="e">
        <f>U22+U23-U24</f>
        <v>#REF!</v>
      </c>
    </row>
    <row r="26" spans="1:21" ht="15.75">
      <c r="C26" s="325"/>
      <c r="D26" s="37"/>
      <c r="E26" s="2330"/>
      <c r="F26" s="2330"/>
      <c r="G26" s="2832"/>
      <c r="H26" s="1986"/>
      <c r="I26" s="1986"/>
      <c r="J26" s="1986"/>
      <c r="K26" s="1986"/>
      <c r="L26" s="1986"/>
      <c r="M26" s="1986"/>
      <c r="N26" s="2688"/>
      <c r="O26" s="1797"/>
      <c r="S26" s="326"/>
      <c r="T26" s="326"/>
      <c r="U26" s="326"/>
    </row>
    <row r="27" spans="1:21" s="1695" customFormat="1" ht="18">
      <c r="A27" s="1693">
        <v>17</v>
      </c>
      <c r="C27" s="1694"/>
      <c r="D27" s="37"/>
      <c r="E27" s="2331" t="e">
        <f t="shared" ref="E27:F27" si="5">IF(E25&gt;E20,0,E20-E25)</f>
        <v>#REF!</v>
      </c>
      <c r="F27" s="2830" t="e">
        <f t="shared" si="5"/>
        <v>#REF!</v>
      </c>
      <c r="G27" s="2832"/>
      <c r="H27" s="1986"/>
      <c r="I27" s="1986"/>
      <c r="J27" s="1986"/>
      <c r="K27" s="1986"/>
      <c r="L27" s="1986"/>
      <c r="M27" s="1986"/>
      <c r="N27" s="2688"/>
      <c r="O27" s="2689"/>
      <c r="S27" s="328" t="e">
        <f>IF(S25&gt;S20,0,S20-S25)</f>
        <v>#REF!</v>
      </c>
      <c r="T27" s="328" t="e">
        <f>IF(T25&gt;T20,0,T20-T25)</f>
        <v>#REF!</v>
      </c>
      <c r="U27" s="328" t="e">
        <f>IF(U25&gt;U20,0,U20-U25)</f>
        <v>#REF!</v>
      </c>
    </row>
    <row r="28" spans="1:21" ht="18" hidden="1">
      <c r="C28" s="267"/>
      <c r="D28" s="37"/>
      <c r="F28" s="2310"/>
      <c r="G28" s="1986"/>
      <c r="H28" s="1986"/>
      <c r="I28" s="1986"/>
      <c r="J28" s="1986"/>
      <c r="K28" s="1986"/>
      <c r="L28" s="1986"/>
      <c r="M28" s="1986"/>
      <c r="N28" s="2688"/>
      <c r="O28" s="1797"/>
      <c r="S28" s="313"/>
      <c r="T28" s="313"/>
      <c r="U28" s="313"/>
    </row>
    <row r="29" spans="1:21" ht="14.25" hidden="1" customHeight="1">
      <c r="D29" s="37"/>
      <c r="E29" s="2324"/>
      <c r="F29" s="2325"/>
      <c r="G29" s="1986"/>
      <c r="H29" s="1986"/>
      <c r="I29" s="1986"/>
      <c r="J29" s="1986"/>
      <c r="K29" s="1986"/>
      <c r="L29" s="1986"/>
      <c r="M29" s="1986"/>
      <c r="N29" s="2688"/>
      <c r="O29" s="1797"/>
      <c r="S29" s="268"/>
      <c r="T29" s="268"/>
      <c r="U29" s="268"/>
    </row>
    <row r="30" spans="1:21" ht="15.75">
      <c r="A30" s="52">
        <v>18</v>
      </c>
      <c r="D30" s="37"/>
      <c r="E30" s="2322" t="e">
        <f>IF(E27=0,E25,E20)</f>
        <v>#REF!</v>
      </c>
      <c r="F30" s="2323"/>
      <c r="G30" s="1986"/>
      <c r="H30" s="1986"/>
      <c r="I30" s="1986"/>
      <c r="J30" s="1986"/>
      <c r="K30" s="1986"/>
      <c r="L30" s="1986"/>
      <c r="M30" s="1986"/>
      <c r="N30" s="2688"/>
      <c r="O30" s="1797"/>
      <c r="S30" s="270" t="e">
        <f>IF(S27=0,S25,S20)</f>
        <v>#REF!</v>
      </c>
      <c r="T30" s="270" t="e">
        <f>IF(T27=0,T25,T20)</f>
        <v>#REF!</v>
      </c>
      <c r="U30" s="270" t="e">
        <f>IF(U27=0,U25,U20)</f>
        <v>#REF!</v>
      </c>
    </row>
    <row r="31" spans="1:21" ht="15.75">
      <c r="A31" s="52">
        <v>19</v>
      </c>
      <c r="D31" s="37"/>
      <c r="E31" s="2322" t="e">
        <f>E30/E11</f>
        <v>#REF!</v>
      </c>
      <c r="F31" s="2323"/>
      <c r="G31" s="1986"/>
      <c r="H31" s="1986"/>
      <c r="I31" s="1986"/>
      <c r="J31" s="1986"/>
      <c r="K31" s="1986"/>
      <c r="L31" s="1986"/>
      <c r="M31" s="1986"/>
      <c r="N31" s="2688"/>
      <c r="O31" s="1797"/>
      <c r="S31" s="308" t="e">
        <f>S30/S11</f>
        <v>#REF!</v>
      </c>
      <c r="T31" s="308" t="e">
        <f>T30/T11</f>
        <v>#REF!</v>
      </c>
      <c r="U31" s="308" t="e">
        <f>U30/U11</f>
        <v>#REF!</v>
      </c>
    </row>
    <row r="32" spans="1:21" ht="13.5" thickBot="1">
      <c r="F32" s="2842"/>
      <c r="G32" s="2843" t="s">
        <v>8262</v>
      </c>
      <c r="H32" s="2202"/>
      <c r="I32" s="2203"/>
      <c r="J32" s="1987"/>
      <c r="K32" s="1987"/>
      <c r="L32" s="1987"/>
      <c r="M32" s="1987"/>
    </row>
    <row r="33" spans="1:13" ht="18.75" thickTop="1">
      <c r="A33" s="309"/>
      <c r="B33" s="1963"/>
      <c r="C33" s="1799"/>
      <c r="D33" s="1964" t="s">
        <v>8259</v>
      </c>
      <c r="E33" s="2332" t="s">
        <v>3866</v>
      </c>
      <c r="F33" s="2844" t="s">
        <v>3138</v>
      </c>
      <c r="G33" s="2845" t="s">
        <v>3144</v>
      </c>
      <c r="H33" s="2304" t="s">
        <v>3225</v>
      </c>
      <c r="I33" s="2305" t="s">
        <v>3284</v>
      </c>
      <c r="J33" s="2306" t="s">
        <v>3922</v>
      </c>
      <c r="K33" s="2307" t="s">
        <v>6374</v>
      </c>
      <c r="L33" s="2308" t="s">
        <v>6939</v>
      </c>
      <c r="M33" s="2309" t="s">
        <v>8157</v>
      </c>
    </row>
    <row r="34" spans="1:13" ht="18">
      <c r="A34" s="309"/>
      <c r="B34" s="267"/>
      <c r="C34" s="267"/>
      <c r="D34" s="267"/>
      <c r="E34" s="2333" t="s">
        <v>3832</v>
      </c>
      <c r="F34" s="2836" t="s">
        <v>3832</v>
      </c>
      <c r="G34" s="2846" t="s">
        <v>3832</v>
      </c>
      <c r="H34" s="2212" t="s">
        <v>3832</v>
      </c>
      <c r="I34" s="1423" t="s">
        <v>3832</v>
      </c>
      <c r="J34" s="2213" t="s">
        <v>3832</v>
      </c>
      <c r="K34" s="2215" t="s">
        <v>3832</v>
      </c>
      <c r="L34" s="1427" t="s">
        <v>3832</v>
      </c>
      <c r="M34" s="2204" t="s">
        <v>3832</v>
      </c>
    </row>
    <row r="35" spans="1:13" ht="18">
      <c r="A35" s="309"/>
      <c r="D35" s="1951" t="s">
        <v>1390</v>
      </c>
      <c r="E35" s="2334" t="e">
        <f>E20</f>
        <v>#REF!</v>
      </c>
      <c r="F35" s="2837" t="e">
        <f>E35</f>
        <v>#REF!</v>
      </c>
      <c r="G35" s="2847" t="e">
        <f t="shared" ref="G35:M35" si="6">G20</f>
        <v>#N/A</v>
      </c>
      <c r="H35" s="2264" t="e">
        <f t="shared" si="6"/>
        <v>#N/A</v>
      </c>
      <c r="I35" s="2265" t="e">
        <f t="shared" si="6"/>
        <v>#N/A</v>
      </c>
      <c r="J35" s="2266" t="e">
        <f t="shared" si="6"/>
        <v>#N/A</v>
      </c>
      <c r="K35" s="2265" t="e">
        <f t="shared" si="6"/>
        <v>#N/A</v>
      </c>
      <c r="L35" s="2216" t="e">
        <f t="shared" si="6"/>
        <v>#N/A</v>
      </c>
      <c r="M35" s="2267" t="e">
        <f t="shared" si="6"/>
        <v>#N/A</v>
      </c>
    </row>
    <row r="36" spans="1:13" ht="18">
      <c r="A36" s="309"/>
      <c r="D36" s="1962"/>
      <c r="E36" s="2091"/>
      <c r="F36" s="2091"/>
      <c r="G36" s="2848"/>
      <c r="H36" s="2269"/>
      <c r="I36" s="2270"/>
      <c r="J36" s="2271"/>
      <c r="K36" s="2272"/>
      <c r="L36" s="2217"/>
      <c r="M36" s="2273"/>
    </row>
    <row r="37" spans="1:13" ht="18">
      <c r="A37" s="309"/>
      <c r="D37" s="37" t="s">
        <v>2469</v>
      </c>
      <c r="E37" s="2098" t="e">
        <f>#REF!</f>
        <v>#REF!</v>
      </c>
      <c r="F37" s="2838" t="e">
        <f>#REF!</f>
        <v>#REF!</v>
      </c>
      <c r="G37" s="2849" t="e">
        <f>'SOF1718-SB1'!H48</f>
        <v>#REF!</v>
      </c>
      <c r="H37" s="2274">
        <f>'SOF1819-SB1'!H48</f>
        <v>0</v>
      </c>
      <c r="I37" s="2275">
        <f>'SOF1920-HB3'!H71</f>
        <v>0</v>
      </c>
      <c r="J37" s="2276" t="e">
        <f>'SOF2021-SB1'!H48</f>
        <v>#DIV/0!</v>
      </c>
      <c r="K37" s="2272" t="e">
        <f>'SOF2122-SB1'!H48</f>
        <v>#DIV/0!</v>
      </c>
      <c r="L37" s="2217" t="e">
        <f>'SOF2223-SB1'!H48</f>
        <v>#DIV/0!</v>
      </c>
      <c r="M37" s="2277" t="e">
        <f>'SOF2324-SB1'!H48</f>
        <v>#DIV/0!</v>
      </c>
    </row>
    <row r="38" spans="1:13" ht="18">
      <c r="A38" s="309"/>
      <c r="D38" s="37" t="s">
        <v>1984</v>
      </c>
      <c r="E38" s="2336" t="e">
        <f>'Calc Data'!AE36</f>
        <v>#REF!</v>
      </c>
      <c r="F38" s="2839" t="e">
        <f>'Calc Data-15K'!AE36</f>
        <v>#REF!</v>
      </c>
      <c r="G38" s="2850" t="e">
        <f>'Calc Data'!#REF!</f>
        <v>#REF!</v>
      </c>
      <c r="H38" s="2278">
        <f>'Calc Data'!AI36</f>
        <v>0</v>
      </c>
      <c r="I38" s="2279">
        <f>'Calc Data'!AM36</f>
        <v>0</v>
      </c>
      <c r="J38" s="2280">
        <f>'Calc Data'!AQ36</f>
        <v>0</v>
      </c>
      <c r="K38" s="2272">
        <f>'Calc Data'!AV36</f>
        <v>0</v>
      </c>
      <c r="L38" s="2217">
        <f>'Calc Data'!BA36</f>
        <v>0</v>
      </c>
      <c r="M38" s="2277">
        <f>'Calc Data'!BF36</f>
        <v>0</v>
      </c>
    </row>
    <row r="39" spans="1:13" ht="18">
      <c r="A39" s="309"/>
      <c r="D39" s="37" t="s">
        <v>1985</v>
      </c>
      <c r="E39" s="2336" t="e">
        <f>IF('Option Costs-HH'!C57="N",MAX('Option Costs-HH'!C85,'Option Costs-HH'!E85),MIN('Option Costs-HH'!C85,'Option Costs-HH'!E85))</f>
        <v>#REF!</v>
      </c>
      <c r="F39" s="2839" t="e">
        <f>IF('Option Costs-HH-15K'!C57="N",MAX('Option Costs-HH-15K'!C85,'Option Costs-HH-15K'!E85),MIN('Option Costs-HH-15K'!C85,'Option Costs-HH-15K'!E85))</f>
        <v>#REF!</v>
      </c>
      <c r="G39" s="2850" t="e">
        <f>IF('Option Costs-HH'!K57="N",MAX('Option Costs-HH'!K85,'Option Costs-HH'!M85),MIN('Option Costs-HH'!K85,'Option Costs-HH'!M85))</f>
        <v>#REF!</v>
      </c>
      <c r="H39" s="2278" t="e">
        <f>IF('Option Costs-HH'!S57="N",MAX('Option Costs-HH'!S85,'Option Costs-HH'!U85),MIN('Option Costs-HH'!S85,'Option Costs-HH'!U85))</f>
        <v>#DIV/0!</v>
      </c>
      <c r="I39" s="2279" t="e">
        <f>IF('Option Costs-HH'!AA57="N",MAX('Option Costs-HH'!AA85,'Option Costs-HH'!AC85),MIN('Option Costs-HH'!AA85,'Option Costs-HH'!AC85))</f>
        <v>#DIV/0!</v>
      </c>
      <c r="J39" s="2280" t="e">
        <f>IF('Option Costs-HH'!AI57="N",MAX('Option Costs-HH'!AI85,'Option Costs-HH'!AK85),MIN('Option Costs-HH'!AI85,'Option Costs-HH'!AK85))</f>
        <v>#DIV/0!</v>
      </c>
      <c r="K39" s="2272" t="e">
        <f>IF('Option Costs-HH'!AQ57="N",MAX('Option Costs-HH'!AQ85,'Option Costs-HH'!AS85),MIN('Option Costs-HH'!AQ85,'Option Costs-HH'!AS85))</f>
        <v>#DIV/0!</v>
      </c>
      <c r="L39" s="2217" t="e">
        <f>IF('Option Costs-HH'!AY57="N",MAX('Option Costs-HH'!AY85,'Option Costs-HH'!BA85),MIN('Option Costs-HH'!AY85,'Option Costs-HH'!BA85))</f>
        <v>#DIV/0!</v>
      </c>
      <c r="M39" s="2277" t="e">
        <f>IF('Option Costs-HH'!BG57="N",MAX('Option Costs-HH'!BG85,'Option Costs-HH'!BI85),MIN('Option Costs-HH'!BG85,'Option Costs-HH'!BI85))</f>
        <v>#DIV/0!</v>
      </c>
    </row>
    <row r="40" spans="1:13" ht="18">
      <c r="A40" s="309"/>
      <c r="D40" s="1951" t="s">
        <v>1986</v>
      </c>
      <c r="E40" s="2038" t="e">
        <f t="shared" ref="E40:I40" si="7">E37+E38-E39</f>
        <v>#REF!</v>
      </c>
      <c r="F40" s="2840" t="e">
        <f t="shared" si="7"/>
        <v>#REF!</v>
      </c>
      <c r="G40" s="2851" t="e">
        <f t="shared" si="7"/>
        <v>#REF!</v>
      </c>
      <c r="H40" s="2281" t="e">
        <f t="shared" si="7"/>
        <v>#DIV/0!</v>
      </c>
      <c r="I40" s="2282" t="e">
        <f t="shared" si="7"/>
        <v>#DIV/0!</v>
      </c>
      <c r="J40" s="2283" t="e">
        <f t="shared" ref="J40:L40" si="8">J37+J38-J39</f>
        <v>#DIV/0!</v>
      </c>
      <c r="K40" s="2284" t="e">
        <f t="shared" si="8"/>
        <v>#DIV/0!</v>
      </c>
      <c r="L40" s="2218" t="e">
        <f t="shared" si="8"/>
        <v>#DIV/0!</v>
      </c>
      <c r="M40" s="2285" t="e">
        <f>M37+M38-M39</f>
        <v>#DIV/0!</v>
      </c>
    </row>
    <row r="41" spans="1:13" ht="17.25" customHeight="1">
      <c r="A41" s="309"/>
      <c r="D41" s="1962"/>
      <c r="E41" s="2337"/>
      <c r="F41" s="2337"/>
      <c r="G41" s="2852"/>
      <c r="H41" s="2286"/>
      <c r="I41" s="2287"/>
      <c r="J41" s="2288"/>
      <c r="K41" s="2289"/>
      <c r="L41" s="2219"/>
      <c r="M41" s="2290"/>
    </row>
    <row r="42" spans="1:13" s="91" customFormat="1" ht="18">
      <c r="A42" s="1696"/>
      <c r="D42" s="1952" t="s">
        <v>1981</v>
      </c>
      <c r="E42" s="2338" t="e">
        <f t="shared" ref="E42:I42" si="9">IF(E40&gt;E35,0,E35-E40)</f>
        <v>#REF!</v>
      </c>
      <c r="F42" s="2841" t="e">
        <f t="shared" si="9"/>
        <v>#REF!</v>
      </c>
      <c r="G42" s="2853" t="e">
        <f t="shared" si="9"/>
        <v>#REF!</v>
      </c>
      <c r="H42" s="2292" t="e">
        <f t="shared" si="9"/>
        <v>#DIV/0!</v>
      </c>
      <c r="I42" s="2291" t="e">
        <f t="shared" si="9"/>
        <v>#DIV/0!</v>
      </c>
      <c r="J42" s="2293" t="e">
        <f t="shared" ref="J42:M42" si="10">IF(J40&gt;J35,0,J35-J40)</f>
        <v>#DIV/0!</v>
      </c>
      <c r="K42" s="2291" t="e">
        <f t="shared" si="10"/>
        <v>#DIV/0!</v>
      </c>
      <c r="L42" s="2220" t="e">
        <f t="shared" si="10"/>
        <v>#DIV/0!</v>
      </c>
      <c r="M42" s="2294" t="e">
        <f t="shared" si="10"/>
        <v>#DIV/0!</v>
      </c>
    </row>
    <row r="43" spans="1:13" ht="18">
      <c r="A43" s="309"/>
      <c r="D43" s="1962"/>
      <c r="E43" s="2339"/>
      <c r="F43" s="2339"/>
      <c r="G43" s="2854"/>
      <c r="H43" s="2295"/>
      <c r="I43" s="2296"/>
      <c r="J43" s="2297"/>
      <c r="K43" s="2289"/>
      <c r="L43" s="2219"/>
      <c r="M43" s="2290"/>
    </row>
    <row r="44" spans="1:13" ht="18">
      <c r="A44" s="309"/>
      <c r="D44" s="1962"/>
      <c r="E44" s="2091"/>
      <c r="F44" s="2091"/>
      <c r="G44" s="2848"/>
      <c r="H44" s="2269"/>
      <c r="I44" s="2270"/>
      <c r="J44" s="2271"/>
      <c r="K44" s="2289"/>
      <c r="L44" s="2219"/>
      <c r="M44" s="2290"/>
    </row>
    <row r="45" spans="1:13" ht="18">
      <c r="A45" s="309"/>
      <c r="D45" s="37" t="s">
        <v>1391</v>
      </c>
      <c r="E45" s="2336" t="e">
        <f>IF(E42=0,E40,E35)</f>
        <v>#REF!</v>
      </c>
      <c r="F45" s="2839"/>
      <c r="G45" s="2850" t="e">
        <f t="shared" ref="G45:M45" si="11">IF(G42=0,G40,G35)</f>
        <v>#REF!</v>
      </c>
      <c r="H45" s="2278" t="e">
        <f t="shared" si="11"/>
        <v>#DIV/0!</v>
      </c>
      <c r="I45" s="2279" t="e">
        <f t="shared" si="11"/>
        <v>#DIV/0!</v>
      </c>
      <c r="J45" s="2280" t="e">
        <f t="shared" si="11"/>
        <v>#DIV/0!</v>
      </c>
      <c r="K45" s="2272" t="e">
        <f t="shared" si="11"/>
        <v>#DIV/0!</v>
      </c>
      <c r="L45" s="2217" t="e">
        <f t="shared" si="11"/>
        <v>#DIV/0!</v>
      </c>
      <c r="M45" s="2277" t="e">
        <f t="shared" si="11"/>
        <v>#DIV/0!</v>
      </c>
    </row>
    <row r="46" spans="1:13" ht="18">
      <c r="A46" s="309"/>
      <c r="D46" s="37" t="s">
        <v>1392</v>
      </c>
      <c r="E46" s="2336" t="e">
        <f>E45/E11</f>
        <v>#REF!</v>
      </c>
      <c r="F46" s="2839"/>
      <c r="G46" s="2850" t="e">
        <f t="shared" ref="G46:M46" si="12">G45/G11</f>
        <v>#REF!</v>
      </c>
      <c r="H46" s="2278" t="e">
        <f t="shared" si="12"/>
        <v>#DIV/0!</v>
      </c>
      <c r="I46" s="2279" t="e">
        <f t="shared" si="12"/>
        <v>#DIV/0!</v>
      </c>
      <c r="J46" s="2280" t="e">
        <f t="shared" si="12"/>
        <v>#DIV/0!</v>
      </c>
      <c r="K46" s="2272" t="e">
        <f t="shared" si="12"/>
        <v>#DIV/0!</v>
      </c>
      <c r="L46" s="2217" t="e">
        <f t="shared" si="12"/>
        <v>#DIV/0!</v>
      </c>
      <c r="M46" s="2277" t="e">
        <f t="shared" si="12"/>
        <v>#DIV/0!</v>
      </c>
    </row>
    <row r="47" spans="1:13">
      <c r="G47" s="2848"/>
      <c r="H47" s="2269"/>
      <c r="I47" s="2270"/>
      <c r="J47" s="2271"/>
      <c r="K47" s="2289"/>
      <c r="L47" s="2219"/>
      <c r="M47" s="2290"/>
    </row>
    <row r="48" spans="1:13" hidden="1">
      <c r="F48" s="2310"/>
      <c r="G48" s="2268"/>
      <c r="H48" s="2269"/>
      <c r="I48" s="2270"/>
      <c r="J48" s="2271"/>
      <c r="K48" s="2289"/>
      <c r="L48" s="2219"/>
      <c r="M48" s="2290"/>
    </row>
    <row r="49" spans="1:13" hidden="1">
      <c r="F49" s="2310"/>
      <c r="G49" s="2268"/>
      <c r="H49" s="2269"/>
      <c r="I49" s="2270"/>
      <c r="J49" s="2271"/>
      <c r="K49" s="2289"/>
      <c r="L49" s="2219"/>
      <c r="M49" s="2290"/>
    </row>
    <row r="50" spans="1:13">
      <c r="D50" s="37" t="s">
        <v>2855</v>
      </c>
      <c r="E50" s="2340" t="e">
        <f>E8*E11</f>
        <v>#REF!</v>
      </c>
      <c r="F50" s="2341"/>
      <c r="G50" s="2298" t="e">
        <f t="shared" ref="G50:M50" si="13">G8*G11</f>
        <v>#N/A</v>
      </c>
      <c r="H50" s="2299" t="e">
        <f t="shared" si="13"/>
        <v>#N/A</v>
      </c>
      <c r="I50" s="2300" t="e">
        <f t="shared" si="13"/>
        <v>#N/A</v>
      </c>
      <c r="J50" s="2301" t="e">
        <f t="shared" si="13"/>
        <v>#N/A</v>
      </c>
      <c r="K50" s="2302" t="e">
        <f t="shared" si="13"/>
        <v>#N/A</v>
      </c>
      <c r="L50" s="2221" t="e">
        <f t="shared" si="13"/>
        <v>#N/A</v>
      </c>
      <c r="M50" s="2303" t="e">
        <f t="shared" si="13"/>
        <v>#N/A</v>
      </c>
    </row>
    <row r="51" spans="1:13">
      <c r="D51" s="37" t="s">
        <v>2854</v>
      </c>
      <c r="E51" s="2340" t="e">
        <f>(120*Weights!H7)*E11</f>
        <v>#REF!</v>
      </c>
      <c r="F51" s="2341"/>
      <c r="G51" s="2298" t="e">
        <f>(120*Weights!I7)*G11</f>
        <v>#REF!</v>
      </c>
      <c r="H51" s="2299">
        <f>(120*Weights!J7)*H11</f>
        <v>0</v>
      </c>
      <c r="I51" s="2300">
        <f>(120*Weights!K7)*I11</f>
        <v>0</v>
      </c>
      <c r="J51" s="2301" t="e">
        <f>(120*Weights!L7)*J11</f>
        <v>#DIV/0!</v>
      </c>
      <c r="K51" s="2302" t="e">
        <f>(120*Weights!M7)*K11</f>
        <v>#DIV/0!</v>
      </c>
      <c r="L51" s="2221" t="e">
        <f>(120*Weights!N7)*L11</f>
        <v>#DIV/0!</v>
      </c>
      <c r="M51" s="2303" t="e">
        <f>(120*Weights!O7)*M11</f>
        <v>#DIV/0!</v>
      </c>
    </row>
    <row r="52" spans="1:13" ht="13.5" thickBot="1">
      <c r="C52" s="37"/>
      <c r="F52" s="2310"/>
      <c r="G52" s="1966"/>
      <c r="H52" s="2211"/>
      <c r="I52" s="1967"/>
      <c r="J52" s="1968"/>
      <c r="K52" s="2214"/>
      <c r="L52" s="1969"/>
      <c r="M52" s="1970"/>
    </row>
    <row r="53" spans="1:13" ht="12.75" customHeight="1" thickTop="1">
      <c r="E53" s="2342" t="s">
        <v>3866</v>
      </c>
      <c r="F53" s="2343" t="s">
        <v>3138</v>
      </c>
      <c r="G53" s="1956"/>
      <c r="H53" s="1957"/>
      <c r="I53" s="1958"/>
      <c r="J53" s="1956"/>
      <c r="K53" s="1797"/>
      <c r="L53" s="1797"/>
      <c r="M53" s="1797"/>
    </row>
    <row r="54" spans="1:13">
      <c r="E54" s="2344" t="s">
        <v>3864</v>
      </c>
      <c r="F54" s="2072" t="s">
        <v>3865</v>
      </c>
      <c r="G54" s="1956"/>
      <c r="H54" s="1957"/>
      <c r="I54" s="1958"/>
      <c r="J54" s="1956"/>
      <c r="K54" s="1797"/>
      <c r="L54" s="1797"/>
      <c r="M54" s="1797"/>
    </row>
    <row r="55" spans="1:13" s="382" customFormat="1" ht="15.75">
      <c r="A55" s="394"/>
      <c r="D55" s="1955"/>
      <c r="E55" s="2345" t="e">
        <f>E35</f>
        <v>#REF!</v>
      </c>
      <c r="F55" s="2346" t="e">
        <f>E55</f>
        <v>#REF!</v>
      </c>
      <c r="G55" s="1959"/>
      <c r="H55" s="1959"/>
      <c r="I55" s="1959"/>
      <c r="J55" s="1959"/>
      <c r="K55" s="1959"/>
      <c r="L55" s="1959"/>
      <c r="M55" s="1959"/>
    </row>
    <row r="56" spans="1:13" hidden="1">
      <c r="E56" s="2328"/>
      <c r="F56" s="2329"/>
      <c r="G56" s="1956"/>
      <c r="H56" s="1957"/>
      <c r="I56" s="1958"/>
      <c r="J56" s="1956"/>
      <c r="K56" s="1797"/>
      <c r="L56" s="1797"/>
      <c r="M56" s="1797"/>
    </row>
    <row r="57" spans="1:13" hidden="1">
      <c r="D57" s="37" t="s">
        <v>2469</v>
      </c>
      <c r="E57" s="2328" t="e">
        <f>E22</f>
        <v>#REF!</v>
      </c>
      <c r="F57" s="2329" t="e">
        <f>F22</f>
        <v>#REF!</v>
      </c>
      <c r="G57" s="1956"/>
      <c r="H57" s="1957"/>
      <c r="I57" s="1958"/>
      <c r="J57" s="1956"/>
      <c r="K57" s="1797"/>
      <c r="L57" s="1797"/>
      <c r="M57" s="1797"/>
    </row>
    <row r="58" spans="1:13" hidden="1">
      <c r="D58" s="37" t="s">
        <v>8252</v>
      </c>
      <c r="E58" s="2328" t="e">
        <f>'Calc Data'!AD91</f>
        <v>#REF!</v>
      </c>
      <c r="F58" s="2329" t="e">
        <f>'Calc Data-15K'!AD91</f>
        <v>#REF!</v>
      </c>
      <c r="G58" s="1956"/>
      <c r="H58" s="1957"/>
      <c r="I58" s="1958"/>
      <c r="J58" s="1956"/>
      <c r="K58" s="1797"/>
      <c r="L58" s="1797"/>
      <c r="M58" s="1797"/>
    </row>
    <row r="59" spans="1:13" hidden="1">
      <c r="D59" s="37" t="s">
        <v>8253</v>
      </c>
      <c r="E59" s="2328" t="e">
        <f>IF('Option Costs-HH'!C57="N",MAX('Option Costs-HH'!C105,'Option Costs-HH'!E105),MIN('Option Costs-HH'!C105,'Option Costs-HH'!E105))</f>
        <v>#REF!</v>
      </c>
      <c r="F59" s="2329" t="e">
        <f>IF('Option Costs-HH-15K'!C57="N",MAX('Option Costs-HH-15K'!C105,'Option Costs-HH-15K'!E105),MIN('Option Costs-HH-15K'!C105,'Option Costs-HH-15K'!E105))</f>
        <v>#REF!</v>
      </c>
      <c r="G59" s="1956"/>
      <c r="H59" s="1957"/>
      <c r="I59" s="1958"/>
      <c r="J59" s="1956"/>
      <c r="K59" s="1797"/>
      <c r="L59" s="1797"/>
      <c r="M59" s="1797"/>
    </row>
    <row r="60" spans="1:13" ht="15.75" hidden="1">
      <c r="D60" s="1951" t="s">
        <v>1986</v>
      </c>
      <c r="E60" s="2328" t="e">
        <f t="shared" ref="E60:F60" si="14">E57+E58-E59</f>
        <v>#REF!</v>
      </c>
      <c r="F60" s="2329" t="e">
        <f t="shared" si="14"/>
        <v>#REF!</v>
      </c>
      <c r="G60" s="1956"/>
      <c r="H60" s="1957"/>
      <c r="I60" s="1958"/>
      <c r="J60" s="1956"/>
      <c r="K60" s="1797"/>
      <c r="L60" s="1797"/>
      <c r="M60" s="1797"/>
    </row>
    <row r="61" spans="1:13" ht="18" hidden="1">
      <c r="B61" s="267"/>
      <c r="E61" s="2328"/>
      <c r="F61" s="2329"/>
      <c r="G61" s="1956"/>
      <c r="H61" s="1956"/>
      <c r="I61" s="1956"/>
      <c r="J61" s="1956"/>
      <c r="K61" s="1956"/>
      <c r="L61" s="1956"/>
      <c r="M61" s="1956"/>
    </row>
    <row r="62" spans="1:13" ht="18" hidden="1">
      <c r="D62" s="1952" t="s">
        <v>1981</v>
      </c>
      <c r="E62" s="2328" t="e">
        <f t="shared" ref="E62:F62" si="15">IF(E60&gt;E55,0,E55-E60)</f>
        <v>#REF!</v>
      </c>
      <c r="F62" s="2329" t="e">
        <f t="shared" si="15"/>
        <v>#REF!</v>
      </c>
      <c r="G62" s="1956"/>
      <c r="H62" s="1956"/>
      <c r="I62" s="1956"/>
      <c r="J62" s="1956"/>
      <c r="K62" s="1956"/>
      <c r="L62" s="1956"/>
      <c r="M62" s="1956"/>
    </row>
    <row r="63" spans="1:13" ht="18" hidden="1">
      <c r="B63" s="267"/>
      <c r="F63" s="2310"/>
      <c r="G63" s="1956"/>
      <c r="H63" s="1956"/>
      <c r="I63" s="1956"/>
      <c r="J63" s="1956"/>
      <c r="K63" s="1956"/>
      <c r="L63" s="1956"/>
      <c r="M63" s="1956"/>
    </row>
    <row r="64" spans="1:13" hidden="1">
      <c r="B64" t="s">
        <v>1391</v>
      </c>
      <c r="D64" s="1953" t="s">
        <v>8255</v>
      </c>
      <c r="E64" s="2071" t="s">
        <v>3864</v>
      </c>
      <c r="F64" s="2072" t="s">
        <v>3865</v>
      </c>
      <c r="G64" s="1956"/>
      <c r="H64" s="1956"/>
      <c r="I64" s="1956"/>
      <c r="J64" s="1956"/>
      <c r="K64" s="1956"/>
      <c r="L64" s="1956"/>
      <c r="M64" s="1956"/>
    </row>
    <row r="65" spans="2:13" ht="15.75" hidden="1" customHeight="1">
      <c r="B65" t="s">
        <v>1392</v>
      </c>
      <c r="D65" s="1954" t="s">
        <v>8254</v>
      </c>
      <c r="E65" s="2334" t="e">
        <f>E55</f>
        <v>#REF!</v>
      </c>
      <c r="F65" s="2335" t="e">
        <f t="shared" ref="F65" si="16">E65</f>
        <v>#REF!</v>
      </c>
      <c r="G65" s="1956"/>
      <c r="H65" s="1956"/>
      <c r="I65" s="1956"/>
      <c r="J65" s="1956"/>
      <c r="K65" s="1956"/>
      <c r="L65" s="1956"/>
      <c r="M65" s="1956"/>
    </row>
    <row r="66" spans="2:13" hidden="1">
      <c r="E66" s="2340"/>
      <c r="F66" s="2347"/>
      <c r="G66" s="1956"/>
      <c r="H66" s="1956"/>
      <c r="I66" s="1956"/>
      <c r="J66" s="1956"/>
      <c r="K66" s="1956"/>
      <c r="L66" s="1956"/>
      <c r="M66" s="1956"/>
    </row>
    <row r="67" spans="2:13" hidden="1">
      <c r="D67" s="37" t="s">
        <v>2469</v>
      </c>
      <c r="E67" s="2348" t="e">
        <f>#REF!</f>
        <v>#REF!</v>
      </c>
      <c r="F67" s="2349" t="e">
        <f>F37</f>
        <v>#REF!</v>
      </c>
      <c r="G67" s="1956"/>
      <c r="H67" s="1956"/>
      <c r="I67" s="1956"/>
      <c r="J67" s="1956"/>
      <c r="K67" s="1956"/>
      <c r="L67" s="1956"/>
      <c r="M67" s="1956"/>
    </row>
    <row r="68" spans="2:13" hidden="1">
      <c r="D68" s="37" t="s">
        <v>8252</v>
      </c>
      <c r="E68" s="2348" t="e">
        <f>'Calc Data'!AE91</f>
        <v>#REF!</v>
      </c>
      <c r="F68" s="2349" t="e">
        <f>'Calc Data-15K'!AE91</f>
        <v>#REF!</v>
      </c>
      <c r="G68" s="1956"/>
      <c r="H68" s="1956"/>
      <c r="I68" s="1956"/>
      <c r="J68" s="1956"/>
      <c r="K68" s="1956"/>
      <c r="L68" s="1956"/>
      <c r="M68" s="1956"/>
    </row>
    <row r="69" spans="2:13" hidden="1">
      <c r="D69" s="37" t="s">
        <v>8253</v>
      </c>
      <c r="E69" s="2348" t="e">
        <f>IF('Option Costs-HH'!C57="N",MAX('Option Costs-HH'!C124,'Option Costs-HH'!E124),MIN('Option Costs-HH'!C124,'Option Costs-HH'!E124))</f>
        <v>#REF!</v>
      </c>
      <c r="F69" s="2349" t="e">
        <f>IF('Option Costs-HH-15K'!C57="N",MAX('Option Costs-HH-15K'!C124,'Option Costs-HH-15K'!E124),MIN('Option Costs-HH-15K'!C124,'Option Costs-HH-15K'!E124))</f>
        <v>#REF!</v>
      </c>
      <c r="G69" s="1956"/>
      <c r="H69" s="1956"/>
      <c r="I69" s="1956"/>
      <c r="J69" s="1956"/>
      <c r="K69" s="1956"/>
      <c r="L69" s="1956"/>
      <c r="M69" s="1956"/>
    </row>
    <row r="70" spans="2:13" ht="15.75" hidden="1">
      <c r="D70" s="1951" t="s">
        <v>1986</v>
      </c>
      <c r="E70" s="2348" t="e">
        <f t="shared" ref="E70:F70" si="17">E67+E68-E69</f>
        <v>#REF!</v>
      </c>
      <c r="F70" s="2349" t="e">
        <f t="shared" si="17"/>
        <v>#REF!</v>
      </c>
      <c r="G70" s="1956"/>
      <c r="H70" s="1956"/>
      <c r="I70" s="1956"/>
      <c r="J70" s="1956"/>
      <c r="K70" s="1956"/>
      <c r="L70" s="1956"/>
      <c r="M70" s="1956"/>
    </row>
    <row r="71" spans="2:13">
      <c r="E71" s="2348"/>
      <c r="F71" s="2349"/>
      <c r="G71" s="1956"/>
      <c r="H71" s="1956"/>
      <c r="I71" s="1956"/>
      <c r="J71" s="1956"/>
      <c r="K71" s="1956"/>
      <c r="L71" s="1956"/>
      <c r="M71" s="1956"/>
    </row>
    <row r="72" spans="2:13" ht="18" hidden="1">
      <c r="D72" s="1952" t="s">
        <v>1981</v>
      </c>
      <c r="E72" s="2348" t="e">
        <f t="shared" ref="E72:F72" si="18">IF(E70&gt;E65,0,E65-E70)</f>
        <v>#REF!</v>
      </c>
      <c r="F72" s="2349" t="e">
        <f t="shared" si="18"/>
        <v>#REF!</v>
      </c>
      <c r="G72" s="1956"/>
      <c r="H72" s="1956"/>
      <c r="I72" s="1956"/>
      <c r="J72" s="1956"/>
      <c r="K72" s="1956"/>
      <c r="L72" s="1956"/>
      <c r="M72" s="1956"/>
    </row>
    <row r="75" spans="2:13" hidden="1">
      <c r="D75" s="35" t="s">
        <v>1083</v>
      </c>
    </row>
    <row r="76" spans="2:13" hidden="1">
      <c r="D76" s="35" t="s">
        <v>1084</v>
      </c>
    </row>
    <row r="77" spans="2:13" hidden="1">
      <c r="D77" s="35" t="s">
        <v>1085</v>
      </c>
    </row>
    <row r="78" spans="2:13" hidden="1">
      <c r="D78" s="35" t="s">
        <v>1088</v>
      </c>
    </row>
    <row r="79" spans="2:13" hidden="1">
      <c r="D79" s="363"/>
      <c r="E79" s="2350" t="s">
        <v>3138</v>
      </c>
      <c r="F79" s="2350"/>
      <c r="G79" s="1687" t="s">
        <v>3144</v>
      </c>
      <c r="H79" s="1285" t="s">
        <v>3225</v>
      </c>
      <c r="I79" s="1369" t="s">
        <v>3284</v>
      </c>
      <c r="J79" s="1281" t="s">
        <v>3922</v>
      </c>
      <c r="K79" s="1377" t="s">
        <v>6374</v>
      </c>
      <c r="L79" s="1422" t="s">
        <v>6939</v>
      </c>
    </row>
    <row r="80" spans="2:13" hidden="1">
      <c r="D80" s="364" t="s">
        <v>99</v>
      </c>
      <c r="E80" s="2351" t="e">
        <f>IF(#REF!&lt;=0,'Data Entry - SOF'!C154,#REF!)</f>
        <v>#REF!</v>
      </c>
      <c r="F80" s="2351"/>
      <c r="G80" s="1688" t="e">
        <f>'Calc Data'!#REF!</f>
        <v>#REF!</v>
      </c>
      <c r="H80" s="1286">
        <f>'Calc Data'!AG30</f>
        <v>1</v>
      </c>
      <c r="I80" s="1370">
        <f>'Calc Data'!AK30</f>
        <v>1</v>
      </c>
      <c r="J80" s="1282">
        <f>'Calc Data'!AO30</f>
        <v>1</v>
      </c>
      <c r="K80" s="1377">
        <f>'Calc Data'!AV30</f>
        <v>0</v>
      </c>
      <c r="L80" s="1422">
        <f>'Calc Data'!BA30</f>
        <v>0</v>
      </c>
    </row>
    <row r="81" spans="4:12" hidden="1">
      <c r="D81" s="364" t="s">
        <v>100</v>
      </c>
      <c r="E81" s="2351">
        <f>'Data Entry - SOF'!C92</f>
        <v>0</v>
      </c>
      <c r="F81" s="2351"/>
      <c r="G81" s="1688" t="e">
        <f>'Data Entry - SOF'!#REF!</f>
        <v>#REF!</v>
      </c>
      <c r="H81" s="1286">
        <f>'Data Entry - SOF'!E92</f>
        <v>1.17</v>
      </c>
      <c r="I81" s="1370">
        <f>'Data Entry - SOF'!G92</f>
        <v>1.079</v>
      </c>
      <c r="J81" s="1282">
        <f>'Data Entry - SOF'!M92</f>
        <v>1.17</v>
      </c>
      <c r="K81" s="1377">
        <f>'Data Entry - SOF'!O92</f>
        <v>1.17</v>
      </c>
      <c r="L81" s="1422">
        <f>'Data Entry - SOF'!Q92</f>
        <v>1.17</v>
      </c>
    </row>
    <row r="82" spans="4:12" hidden="1">
      <c r="D82" s="365" t="s">
        <v>101</v>
      </c>
      <c r="E82" s="2352" t="e">
        <f>(IF(E81&gt;=E80,0,E27*(1-(E81/E80))))*-1</f>
        <v>#REF!</v>
      </c>
      <c r="F82" s="2352"/>
      <c r="G82" s="1689" t="e">
        <f t="shared" ref="G82:L82" si="19">(IF(G81&gt;=G80,0,G27*(1-(G81/G80))))*-1</f>
        <v>#REF!</v>
      </c>
      <c r="H82" s="1287">
        <f t="shared" si="19"/>
        <v>0</v>
      </c>
      <c r="I82" s="1371">
        <f t="shared" si="19"/>
        <v>0</v>
      </c>
      <c r="J82" s="1283">
        <f t="shared" si="19"/>
        <v>0</v>
      </c>
      <c r="K82" s="1377">
        <f t="shared" si="19"/>
        <v>0</v>
      </c>
      <c r="L82" s="1422">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S25" workbookViewId="0">
      <selection activeCell="AA34" sqref="AA34"/>
    </sheetView>
  </sheetViews>
  <sheetFormatPr defaultRowHeight="12.75"/>
  <cols>
    <col min="2" max="2" width="49.5703125" customWidth="1"/>
    <col min="3" max="3" width="20.5703125" style="2058" hidden="1" customWidth="1"/>
    <col min="4" max="4" width="2.5703125" style="2058" hidden="1" customWidth="1"/>
    <col min="5" max="5" width="20.5703125" style="2058" hidden="1" customWidth="1"/>
    <col min="6" max="6" width="2.5703125" style="2058" hidden="1" customWidth="1"/>
    <col min="7" max="7" width="20.5703125" style="2058" hidden="1" customWidth="1"/>
    <col min="8" max="8" width="2.5703125" style="2058" hidden="1" customWidth="1"/>
    <col min="9" max="9" width="20.5703125" style="2058" hidden="1" customWidth="1"/>
    <col min="10" max="10" width="5.5703125" style="1431" customWidth="1"/>
    <col min="11" max="11" width="20.5703125" style="1448" hidden="1" customWidth="1"/>
    <col min="12" max="12" width="2.5703125" style="1448" hidden="1" customWidth="1"/>
    <col min="13" max="13" width="20.5703125" style="1448" hidden="1" customWidth="1"/>
    <col min="14" max="14" width="2.5703125" style="1448" hidden="1" customWidth="1"/>
    <col min="15" max="15" width="20.5703125" style="1448" hidden="1" customWidth="1"/>
    <col min="16" max="16" width="2.5703125" style="1448" hidden="1" customWidth="1"/>
    <col min="17" max="17" width="20.5703125" style="1460" hidden="1" customWidth="1"/>
    <col min="18" max="18" width="5.5703125" style="1432" hidden="1" customWidth="1"/>
    <col min="19" max="19" width="20.5703125" style="1438" customWidth="1"/>
    <col min="20" max="20" width="2.5703125" style="1438" customWidth="1"/>
    <col min="21" max="21" width="20.5703125" style="1438" customWidth="1"/>
    <col min="22" max="22" width="2.5703125" style="1438" customWidth="1"/>
    <col min="23" max="23" width="20.5703125" style="1438" customWidth="1"/>
    <col min="24" max="24" width="2.5703125" style="1438" customWidth="1"/>
    <col min="25" max="25" width="20.5703125" style="1438" customWidth="1"/>
    <col min="26" max="26" width="5.5703125" style="1438" customWidth="1"/>
    <col min="27" max="27" width="20.5703125" style="1471" customWidth="1"/>
    <col min="28" max="28" width="2.5703125" style="1471" customWidth="1"/>
    <col min="29" max="29" width="20.5703125" style="1471" customWidth="1"/>
    <col min="30" max="30" width="2.5703125" style="1471" customWidth="1"/>
    <col min="31" max="31" width="20.5703125" style="1471" customWidth="1"/>
    <col min="32" max="32" width="2.5703125" style="1471" customWidth="1"/>
    <col min="33" max="33" width="20.5703125" style="1471" customWidth="1"/>
    <col min="34" max="34" width="5.5703125" style="1471" customWidth="1"/>
    <col min="35" max="35" width="20.5703125" style="1472" customWidth="1"/>
    <col min="36" max="36" width="2.5703125" style="1472" customWidth="1"/>
    <col min="37" max="37" width="20.5703125" style="1472" customWidth="1"/>
    <col min="38" max="38" width="2.5703125" style="1472" customWidth="1"/>
    <col min="39" max="39" width="20.5703125" style="1472" customWidth="1"/>
    <col min="40" max="40" width="2.5703125" style="1472" customWidth="1"/>
    <col min="41" max="41" width="20.5703125" style="1472" customWidth="1"/>
    <col min="42" max="42" width="5.5703125" style="1472" customWidth="1"/>
    <col min="43" max="43" width="20.5703125" style="1473" customWidth="1"/>
    <col min="44" max="44" width="2.5703125" style="1473" customWidth="1"/>
    <col min="45" max="45" width="20.5703125" style="1473" customWidth="1"/>
    <col min="46" max="46" width="2.5703125" style="1473" customWidth="1"/>
    <col min="47" max="47" width="20.5703125" style="1473" customWidth="1"/>
    <col min="48" max="48" width="2.5703125" style="1473" customWidth="1"/>
    <col min="49" max="49" width="20.5703125" style="1473" customWidth="1"/>
    <col min="50" max="50" width="9.140625" style="1473"/>
    <col min="51" max="51" width="20.5703125" style="1474" customWidth="1"/>
    <col min="52" max="52" width="2.5703125" style="1474" customWidth="1"/>
    <col min="53" max="53" width="20.5703125" style="1474" customWidth="1"/>
    <col min="54" max="54" width="2.5703125" style="1474" customWidth="1"/>
    <col min="55" max="55" width="20.5703125" style="1474" customWidth="1"/>
    <col min="56" max="56" width="2.5703125" style="1474" customWidth="1"/>
    <col min="57" max="57" width="20.5703125" style="1474" customWidth="1"/>
    <col min="58" max="58" width="9.140625" style="1474"/>
    <col min="59" max="59" width="20.5703125" style="1765" customWidth="1"/>
    <col min="60" max="60" width="2.5703125" style="1765" customWidth="1"/>
    <col min="61" max="61" width="20.5703125" style="1765" customWidth="1"/>
    <col min="62" max="62" width="2.5703125" style="1765" customWidth="1"/>
    <col min="63" max="63" width="20.5703125" style="1765" customWidth="1"/>
    <col min="64" max="64" width="2.5703125" style="1765" customWidth="1"/>
    <col min="65" max="65" width="20.5703125" style="1765" customWidth="1"/>
    <col min="66" max="66" width="9.140625" style="1765"/>
  </cols>
  <sheetData>
    <row r="1" spans="1:66">
      <c r="I1" s="2070"/>
      <c r="R1" s="1567"/>
      <c r="Z1" s="1560"/>
      <c r="AH1" s="1582"/>
      <c r="AP1" s="1594"/>
      <c r="AX1" s="1605"/>
      <c r="BF1" s="1612"/>
      <c r="BN1" s="1766"/>
    </row>
    <row r="2" spans="1:66">
      <c r="I2" s="2070"/>
      <c r="R2" s="1567"/>
      <c r="Z2" s="1560"/>
      <c r="AH2" s="1582"/>
      <c r="AP2" s="1594"/>
      <c r="AX2" s="1605"/>
      <c r="BF2" s="1612"/>
      <c r="BN2" s="1766"/>
    </row>
    <row r="3" spans="1:66">
      <c r="I3" s="2070"/>
      <c r="R3" s="1567"/>
      <c r="Z3" s="1560"/>
      <c r="AH3" s="1582"/>
      <c r="AP3" s="1594"/>
      <c r="AX3" s="1605"/>
      <c r="BF3" s="1612"/>
      <c r="BN3" s="1766"/>
    </row>
    <row r="4" spans="1:66">
      <c r="I4" s="2070"/>
      <c r="R4" s="1567"/>
      <c r="Z4" s="1560"/>
      <c r="AH4" s="1582"/>
      <c r="AP4" s="1594"/>
      <c r="AX4" s="1605"/>
      <c r="BF4" s="1612"/>
      <c r="BN4" s="1766"/>
    </row>
    <row r="5" spans="1:66">
      <c r="I5" s="2070"/>
      <c r="R5" s="1567"/>
      <c r="Z5" s="1560"/>
      <c r="AH5" s="1582"/>
      <c r="AP5" s="1594"/>
      <c r="AX5" s="1605"/>
      <c r="BF5" s="1612"/>
      <c r="BN5" s="1766"/>
    </row>
    <row r="6" spans="1:66">
      <c r="I6" s="2070"/>
      <c r="R6" s="1567"/>
      <c r="Z6" s="1560"/>
      <c r="AH6" s="1582"/>
      <c r="AP6" s="1594"/>
      <c r="AX6" s="1605"/>
      <c r="BF6" s="1612"/>
      <c r="BN6" s="1766"/>
    </row>
    <row r="7" spans="1:66">
      <c r="C7" s="2353" t="s">
        <v>3138</v>
      </c>
      <c r="D7" s="2353"/>
      <c r="E7" s="2353" t="s">
        <v>3138</v>
      </c>
      <c r="F7" s="2353"/>
      <c r="G7" s="2353" t="s">
        <v>3138</v>
      </c>
      <c r="H7" s="2353"/>
      <c r="I7" s="2354" t="s">
        <v>3138</v>
      </c>
      <c r="K7" s="1449" t="s">
        <v>3144</v>
      </c>
      <c r="L7" s="1449"/>
      <c r="M7" s="1449" t="s">
        <v>3144</v>
      </c>
      <c r="N7" s="1449"/>
      <c r="O7" s="1449" t="s">
        <v>3144</v>
      </c>
      <c r="P7" s="1449"/>
      <c r="Q7" s="1461" t="s">
        <v>3144</v>
      </c>
      <c r="R7" s="1567"/>
      <c r="S7" s="1419" t="s">
        <v>3225</v>
      </c>
      <c r="T7" s="1419"/>
      <c r="U7" s="1419" t="s">
        <v>3225</v>
      </c>
      <c r="V7" s="1419"/>
      <c r="W7" s="1419" t="s">
        <v>3225</v>
      </c>
      <c r="X7" s="1419"/>
      <c r="Y7" s="1419" t="s">
        <v>3225</v>
      </c>
      <c r="Z7" s="1559"/>
      <c r="AA7" s="1467" t="s">
        <v>3284</v>
      </c>
      <c r="AB7" s="1467"/>
      <c r="AC7" s="1467" t="s">
        <v>3284</v>
      </c>
      <c r="AD7" s="1467"/>
      <c r="AE7" s="1467" t="s">
        <v>3284</v>
      </c>
      <c r="AF7" s="1467"/>
      <c r="AG7" s="1467" t="s">
        <v>3284</v>
      </c>
      <c r="AH7" s="1583"/>
      <c r="AI7" s="1468" t="s">
        <v>3922</v>
      </c>
      <c r="AJ7" s="1468"/>
      <c r="AK7" s="1468" t="s">
        <v>3922</v>
      </c>
      <c r="AL7" s="1468"/>
      <c r="AM7" s="1468" t="s">
        <v>3922</v>
      </c>
      <c r="AN7" s="1468"/>
      <c r="AO7" s="1468" t="s">
        <v>3922</v>
      </c>
      <c r="AP7" s="1595"/>
      <c r="AQ7" s="1469" t="s">
        <v>6374</v>
      </c>
      <c r="AR7" s="1469"/>
      <c r="AS7" s="1469" t="str">
        <f>AQ7</f>
        <v>2021-22</v>
      </c>
      <c r="AT7" s="1469"/>
      <c r="AU7" s="1469" t="str">
        <f>AS7</f>
        <v>2021-22</v>
      </c>
      <c r="AV7" s="1469"/>
      <c r="AW7" s="1469" t="str">
        <f>AU7</f>
        <v>2021-22</v>
      </c>
      <c r="AX7" s="1606"/>
      <c r="AY7" s="1470" t="s">
        <v>6939</v>
      </c>
      <c r="AZ7" s="1470"/>
      <c r="BA7" s="1470" t="str">
        <f>AY7</f>
        <v>2022-23</v>
      </c>
      <c r="BB7" s="1470"/>
      <c r="BC7" s="1470" t="str">
        <f>BA7</f>
        <v>2022-23</v>
      </c>
      <c r="BD7" s="1470"/>
      <c r="BE7" s="1470" t="str">
        <f>BC7</f>
        <v>2022-23</v>
      </c>
      <c r="BF7" s="1613"/>
      <c r="BG7" s="1767" t="s">
        <v>8157</v>
      </c>
      <c r="BH7" s="1767"/>
      <c r="BI7" s="1767" t="str">
        <f>BG7</f>
        <v>2023-24</v>
      </c>
      <c r="BJ7" s="1767"/>
      <c r="BK7" s="1767" t="str">
        <f>BI7</f>
        <v>2023-24</v>
      </c>
      <c r="BL7" s="1767"/>
      <c r="BM7" s="1767" t="str">
        <f>BK7</f>
        <v>2023-24</v>
      </c>
      <c r="BN7" s="1768"/>
    </row>
    <row r="8" spans="1:66">
      <c r="C8" s="2353" t="s">
        <v>2570</v>
      </c>
      <c r="D8" s="2353"/>
      <c r="E8" s="2353" t="s">
        <v>187</v>
      </c>
      <c r="F8" s="2353"/>
      <c r="G8" s="2353" t="s">
        <v>2570</v>
      </c>
      <c r="H8" s="2353"/>
      <c r="I8" s="2354" t="s">
        <v>187</v>
      </c>
      <c r="K8" s="1449" t="s">
        <v>2570</v>
      </c>
      <c r="L8" s="1449"/>
      <c r="M8" s="1449" t="s">
        <v>187</v>
      </c>
      <c r="N8" s="1449"/>
      <c r="O8" s="1449" t="s">
        <v>2570</v>
      </c>
      <c r="P8" s="1449"/>
      <c r="Q8" s="1461" t="s">
        <v>187</v>
      </c>
      <c r="R8" s="1567"/>
      <c r="S8" s="1419" t="s">
        <v>2570</v>
      </c>
      <c r="T8" s="1419"/>
      <c r="U8" s="1419" t="s">
        <v>187</v>
      </c>
      <c r="V8" s="1419"/>
      <c r="W8" s="1419" t="s">
        <v>2570</v>
      </c>
      <c r="X8" s="1419"/>
      <c r="Y8" s="1419" t="s">
        <v>187</v>
      </c>
      <c r="Z8" s="1559"/>
      <c r="AA8" s="1467" t="s">
        <v>2570</v>
      </c>
      <c r="AB8" s="1467"/>
      <c r="AC8" s="1467" t="s">
        <v>187</v>
      </c>
      <c r="AD8" s="1467"/>
      <c r="AE8" s="1467" t="s">
        <v>2570</v>
      </c>
      <c r="AF8" s="1467"/>
      <c r="AG8" s="1467" t="s">
        <v>187</v>
      </c>
      <c r="AH8" s="1583"/>
      <c r="AI8" s="1468" t="s">
        <v>2570</v>
      </c>
      <c r="AJ8" s="1468"/>
      <c r="AK8" s="1468" t="s">
        <v>187</v>
      </c>
      <c r="AL8" s="1468"/>
      <c r="AM8" s="1468" t="s">
        <v>2570</v>
      </c>
      <c r="AN8" s="1468"/>
      <c r="AO8" s="1468" t="s">
        <v>187</v>
      </c>
      <c r="AP8" s="1595"/>
      <c r="AQ8" s="1469" t="s">
        <v>2570</v>
      </c>
      <c r="AR8" s="1469"/>
      <c r="AS8" s="1469" t="s">
        <v>187</v>
      </c>
      <c r="AT8" s="1469"/>
      <c r="AU8" s="1469" t="s">
        <v>2570</v>
      </c>
      <c r="AV8" s="1469"/>
      <c r="AW8" s="1469" t="s">
        <v>187</v>
      </c>
      <c r="AX8" s="1606"/>
      <c r="AY8" s="1470" t="s">
        <v>2570</v>
      </c>
      <c r="AZ8" s="1470"/>
      <c r="BA8" s="1470" t="s">
        <v>187</v>
      </c>
      <c r="BB8" s="1470"/>
      <c r="BC8" s="1470" t="s">
        <v>2570</v>
      </c>
      <c r="BD8" s="1470"/>
      <c r="BE8" s="1470" t="s">
        <v>187</v>
      </c>
      <c r="BF8" s="1613"/>
      <c r="BG8" s="1767" t="s">
        <v>2570</v>
      </c>
      <c r="BH8" s="1767"/>
      <c r="BI8" s="1767" t="s">
        <v>187</v>
      </c>
      <c r="BJ8" s="1767"/>
      <c r="BK8" s="1767" t="s">
        <v>2570</v>
      </c>
      <c r="BL8" s="1767"/>
      <c r="BM8" s="1767" t="s">
        <v>187</v>
      </c>
      <c r="BN8" s="1768"/>
    </row>
    <row r="9" spans="1:66">
      <c r="C9" s="2355">
        <f>Assumptions!G92</f>
        <v>514000</v>
      </c>
      <c r="D9" s="2356"/>
      <c r="E9" s="2355">
        <f>C9</f>
        <v>514000</v>
      </c>
      <c r="F9" s="2356"/>
      <c r="G9" s="2355">
        <f>Assumptions!G93</f>
        <v>319500</v>
      </c>
      <c r="H9" s="2356"/>
      <c r="I9" s="2357">
        <f>G9</f>
        <v>319500</v>
      </c>
      <c r="K9" s="1450">
        <f>Assumptions!G103</f>
        <v>514000</v>
      </c>
      <c r="L9" s="1450"/>
      <c r="M9" s="1450">
        <f>K9</f>
        <v>514000</v>
      </c>
      <c r="N9" s="1450"/>
      <c r="O9" s="1450">
        <f>Assumptions!G104</f>
        <v>319500</v>
      </c>
      <c r="P9" s="1450"/>
      <c r="Q9" s="1462">
        <f>O9</f>
        <v>319500</v>
      </c>
      <c r="R9" s="1567"/>
      <c r="S9" s="1475">
        <f>Assumptions!G112</f>
        <v>514000</v>
      </c>
      <c r="T9" s="1475"/>
      <c r="U9" s="1475">
        <f>S9</f>
        <v>514000</v>
      </c>
      <c r="V9" s="1475"/>
      <c r="W9" s="1475">
        <f>Assumptions!G113</f>
        <v>319500</v>
      </c>
      <c r="X9" s="1475"/>
      <c r="Y9" s="1475">
        <f>W9</f>
        <v>319500</v>
      </c>
      <c r="Z9" s="1576"/>
      <c r="AA9" s="1476">
        <f>Assumptions!G121</f>
        <v>514000</v>
      </c>
      <c r="AB9" s="1476"/>
      <c r="AC9" s="1476">
        <f>AA9</f>
        <v>514000</v>
      </c>
      <c r="AD9" s="1476"/>
      <c r="AE9" s="1476">
        <f>Assumptions!G122</f>
        <v>319500</v>
      </c>
      <c r="AF9" s="1476"/>
      <c r="AG9" s="1476">
        <f>AE9</f>
        <v>319500</v>
      </c>
      <c r="AH9" s="1584"/>
      <c r="AI9" s="1477">
        <f>Assumptions!G130</f>
        <v>514000</v>
      </c>
      <c r="AJ9" s="1477"/>
      <c r="AK9" s="1477">
        <f>AI9</f>
        <v>514000</v>
      </c>
      <c r="AL9" s="1477"/>
      <c r="AM9" s="1477">
        <f>Assumptions!G131</f>
        <v>319500</v>
      </c>
      <c r="AN9" s="1477"/>
      <c r="AO9" s="1477">
        <f>AM9</f>
        <v>319500</v>
      </c>
      <c r="AP9" s="1596"/>
      <c r="AQ9" s="1478">
        <f>Assumptions!G139</f>
        <v>514000</v>
      </c>
      <c r="AR9" s="1478"/>
      <c r="AS9" s="1478">
        <f>AQ9</f>
        <v>514000</v>
      </c>
      <c r="AT9" s="1478"/>
      <c r="AU9" s="1478">
        <f>Assumptions!G140</f>
        <v>319500</v>
      </c>
      <c r="AV9" s="1478"/>
      <c r="AW9" s="1478">
        <f>AU9</f>
        <v>319500</v>
      </c>
      <c r="AX9" s="1607"/>
      <c r="AY9" s="1479">
        <f>Assumptions!G148</f>
        <v>514000</v>
      </c>
      <c r="AZ9" s="1479"/>
      <c r="BA9" s="1479">
        <f>AY9</f>
        <v>514000</v>
      </c>
      <c r="BB9" s="1479"/>
      <c r="BC9" s="1479">
        <f>Assumptions!G149</f>
        <v>319500</v>
      </c>
      <c r="BD9" s="1479"/>
      <c r="BE9" s="1479">
        <f>BC9</f>
        <v>319500</v>
      </c>
      <c r="BF9" s="1614"/>
      <c r="BG9" s="1769">
        <f>Assumptions!G157</f>
        <v>514000</v>
      </c>
      <c r="BH9" s="1769"/>
      <c r="BI9" s="1769">
        <f>BG9</f>
        <v>514000</v>
      </c>
      <c r="BJ9" s="1769"/>
      <c r="BK9" s="1769">
        <f>Assumptions!G158</f>
        <v>319500</v>
      </c>
      <c r="BL9" s="1769"/>
      <c r="BM9" s="1769">
        <f>BK9</f>
        <v>319500</v>
      </c>
      <c r="BN9" s="1770"/>
    </row>
    <row r="10" spans="1:66">
      <c r="I10" s="2070"/>
      <c r="R10" s="1567"/>
      <c r="Z10" s="1560"/>
      <c r="AH10" s="1582"/>
      <c r="AP10" s="1594"/>
      <c r="AX10" s="1605"/>
      <c r="BF10" s="1612"/>
      <c r="BN10" s="1766"/>
    </row>
    <row r="11" spans="1:66">
      <c r="C11" s="2356"/>
      <c r="D11" s="2356"/>
      <c r="E11" s="2356"/>
      <c r="F11" s="2356"/>
      <c r="G11" s="2356"/>
      <c r="H11" s="2356"/>
      <c r="I11" s="2358"/>
      <c r="R11" s="1567"/>
      <c r="Z11" s="1560"/>
      <c r="AH11" s="1582"/>
      <c r="AP11" s="1594"/>
      <c r="AX11" s="1605"/>
      <c r="BF11" s="1612"/>
      <c r="BN11" s="1766"/>
    </row>
    <row r="12" spans="1:66" ht="15.75">
      <c r="A12" s="30" t="s">
        <v>1475</v>
      </c>
      <c r="C12" s="2353" t="s">
        <v>2077</v>
      </c>
      <c r="E12" s="2353" t="s">
        <v>2077</v>
      </c>
      <c r="G12" s="2353" t="s">
        <v>2077</v>
      </c>
      <c r="I12" s="2354" t="s">
        <v>2077</v>
      </c>
      <c r="K12" s="1449" t="s">
        <v>2077</v>
      </c>
      <c r="L12" s="1449"/>
      <c r="M12" s="1449" t="s">
        <v>2077</v>
      </c>
      <c r="N12" s="1449"/>
      <c r="O12" s="1449" t="s">
        <v>2077</v>
      </c>
      <c r="P12" s="1449"/>
      <c r="Q12" s="1461" t="s">
        <v>2077</v>
      </c>
      <c r="R12" s="1567"/>
      <c r="S12" s="1419" t="s">
        <v>2077</v>
      </c>
      <c r="T12" s="1419"/>
      <c r="U12" s="1419" t="s">
        <v>2077</v>
      </c>
      <c r="V12" s="1419"/>
      <c r="W12" s="1419" t="s">
        <v>2077</v>
      </c>
      <c r="X12" s="1419"/>
      <c r="Y12" s="1419" t="s">
        <v>2077</v>
      </c>
      <c r="Z12" s="1559"/>
      <c r="AA12" s="1467" t="s">
        <v>2077</v>
      </c>
      <c r="AB12" s="1467"/>
      <c r="AC12" s="1467" t="s">
        <v>2077</v>
      </c>
      <c r="AD12" s="1467"/>
      <c r="AE12" s="1467" t="s">
        <v>2077</v>
      </c>
      <c r="AF12" s="1467"/>
      <c r="AG12" s="1467" t="s">
        <v>2077</v>
      </c>
      <c r="AH12" s="1583"/>
      <c r="AI12" s="1468" t="s">
        <v>2077</v>
      </c>
      <c r="AJ12" s="1468"/>
      <c r="AK12" s="1468" t="s">
        <v>2077</v>
      </c>
      <c r="AL12" s="1468"/>
      <c r="AM12" s="1468" t="s">
        <v>2077</v>
      </c>
      <c r="AN12" s="1468"/>
      <c r="AO12" s="1468" t="s">
        <v>2077</v>
      </c>
      <c r="AP12" s="1595"/>
      <c r="AQ12" s="1469" t="s">
        <v>2077</v>
      </c>
      <c r="AR12" s="1469"/>
      <c r="AS12" s="1469" t="s">
        <v>2077</v>
      </c>
      <c r="AT12" s="1469"/>
      <c r="AU12" s="1469" t="s">
        <v>2077</v>
      </c>
      <c r="AV12" s="1469"/>
      <c r="AW12" s="1469" t="s">
        <v>2077</v>
      </c>
      <c r="AX12" s="1606"/>
      <c r="AY12" s="1470" t="s">
        <v>2077</v>
      </c>
      <c r="AZ12" s="1470"/>
      <c r="BA12" s="1470" t="s">
        <v>2077</v>
      </c>
      <c r="BB12" s="1470"/>
      <c r="BC12" s="1470" t="s">
        <v>2077</v>
      </c>
      <c r="BD12" s="1470"/>
      <c r="BE12" s="1470" t="s">
        <v>2077</v>
      </c>
      <c r="BF12" s="1613"/>
      <c r="BG12" s="1767" t="s">
        <v>2077</v>
      </c>
      <c r="BH12" s="1767"/>
      <c r="BI12" s="1767" t="s">
        <v>2077</v>
      </c>
      <c r="BJ12" s="1767"/>
      <c r="BK12" s="1767" t="s">
        <v>2077</v>
      </c>
      <c r="BL12" s="1767"/>
      <c r="BM12" s="1767" t="s">
        <v>2077</v>
      </c>
      <c r="BN12" s="1768"/>
    </row>
    <row r="13" spans="1:66">
      <c r="A13" t="s">
        <v>458</v>
      </c>
      <c r="C13" s="2081">
        <f>'Data Entry - SOF'!C174+'Data Entry - SOF'!C175</f>
        <v>0</v>
      </c>
      <c r="D13" s="2085"/>
      <c r="E13" s="2081">
        <f>C13</f>
        <v>0</v>
      </c>
      <c r="F13" s="2085"/>
      <c r="G13" s="2081">
        <f>E13</f>
        <v>0</v>
      </c>
      <c r="H13" s="2085"/>
      <c r="I13" s="2082">
        <f>G13</f>
        <v>0</v>
      </c>
      <c r="K13" s="1454">
        <f>'Data Entry - SOF'!E174+'Data Entry - SOF'!E175</f>
        <v>0</v>
      </c>
      <c r="M13" s="1451">
        <f>K13</f>
        <v>0</v>
      </c>
      <c r="O13" s="1451">
        <f>M13</f>
        <v>0</v>
      </c>
      <c r="Q13" s="1463">
        <f>O13</f>
        <v>0</v>
      </c>
      <c r="R13" s="1567"/>
      <c r="S13" s="1562">
        <f>K13</f>
        <v>0</v>
      </c>
      <c r="T13" s="1424"/>
      <c r="U13" s="1493">
        <f>S13</f>
        <v>0</v>
      </c>
      <c r="V13" s="1424"/>
      <c r="W13" s="1493">
        <f>U13</f>
        <v>0</v>
      </c>
      <c r="X13" s="1424"/>
      <c r="Y13" s="1493">
        <f>W13</f>
        <v>0</v>
      </c>
      <c r="Z13" s="1429"/>
      <c r="AA13" s="1571">
        <f>S13</f>
        <v>0</v>
      </c>
      <c r="AB13" s="1495"/>
      <c r="AC13" s="1494">
        <f>AA13</f>
        <v>0</v>
      </c>
      <c r="AD13" s="1495"/>
      <c r="AE13" s="1494">
        <f>AC13</f>
        <v>0</v>
      </c>
      <c r="AF13" s="1495"/>
      <c r="AG13" s="1494">
        <f>AE13</f>
        <v>0</v>
      </c>
      <c r="AH13" s="1585"/>
      <c r="AI13" s="1428">
        <f>AA13</f>
        <v>0</v>
      </c>
      <c r="AJ13" s="1425"/>
      <c r="AK13" s="1496">
        <f>AI13</f>
        <v>0</v>
      </c>
      <c r="AL13" s="1425"/>
      <c r="AM13" s="1496">
        <f>AK13</f>
        <v>0</v>
      </c>
      <c r="AN13" s="1425"/>
      <c r="AO13" s="1496">
        <f>AM13</f>
        <v>0</v>
      </c>
      <c r="AP13" s="1430"/>
      <c r="AQ13" s="1589">
        <f>AI13</f>
        <v>0</v>
      </c>
      <c r="AR13" s="1498"/>
      <c r="AS13" s="1497">
        <f>AQ13</f>
        <v>0</v>
      </c>
      <c r="AT13" s="1498"/>
      <c r="AU13" s="1497">
        <f>AS13</f>
        <v>0</v>
      </c>
      <c r="AV13" s="1498"/>
      <c r="AW13" s="1497">
        <f>AU13</f>
        <v>0</v>
      </c>
      <c r="AX13" s="1608"/>
      <c r="AY13" s="1600">
        <f>AQ13</f>
        <v>0</v>
      </c>
      <c r="AZ13" s="1500"/>
      <c r="BA13" s="1499">
        <f>AY13</f>
        <v>0</v>
      </c>
      <c r="BB13" s="1500"/>
      <c r="BC13" s="1499">
        <f>BA13</f>
        <v>0</v>
      </c>
      <c r="BD13" s="1500"/>
      <c r="BE13" s="1499">
        <f>BC13</f>
        <v>0</v>
      </c>
      <c r="BF13" s="1612"/>
      <c r="BG13" s="1771">
        <f>AY13</f>
        <v>0</v>
      </c>
      <c r="BH13" s="1772"/>
      <c r="BI13" s="1773">
        <f>BG13</f>
        <v>0</v>
      </c>
      <c r="BJ13" s="1772"/>
      <c r="BK13" s="1773">
        <f>BI13</f>
        <v>0</v>
      </c>
      <c r="BL13" s="1772"/>
      <c r="BM13" s="1773">
        <f>BK13</f>
        <v>0</v>
      </c>
      <c r="BN13" s="1766"/>
    </row>
    <row r="14" spans="1:66">
      <c r="A14" t="s">
        <v>459</v>
      </c>
      <c r="C14" s="2359">
        <f>'Data Entry - SOF'!C176</f>
        <v>0</v>
      </c>
      <c r="D14" s="2060"/>
      <c r="E14" s="2359">
        <f>C14</f>
        <v>0</v>
      </c>
      <c r="F14" s="2060"/>
      <c r="G14" s="2359">
        <f>E14</f>
        <v>0</v>
      </c>
      <c r="H14" s="2060"/>
      <c r="I14" s="2080">
        <f>G14</f>
        <v>0</v>
      </c>
      <c r="K14" s="1452">
        <f>'Data Entry - SOF'!E176</f>
        <v>0</v>
      </c>
      <c r="L14" s="1453"/>
      <c r="M14" s="1452">
        <f>K14</f>
        <v>0</v>
      </c>
      <c r="N14" s="1453"/>
      <c r="O14" s="1452">
        <f>M14</f>
        <v>0</v>
      </c>
      <c r="P14" s="1453"/>
      <c r="Q14" s="1464">
        <f>O14</f>
        <v>0</v>
      </c>
      <c r="R14" s="1567"/>
      <c r="S14" s="1563">
        <f>K14</f>
        <v>0</v>
      </c>
      <c r="T14" s="1442"/>
      <c r="U14" s="1441">
        <f>S14</f>
        <v>0</v>
      </c>
      <c r="V14" s="1442"/>
      <c r="W14" s="1441">
        <f>U14</f>
        <v>0</v>
      </c>
      <c r="X14" s="1442"/>
      <c r="Y14" s="1441">
        <f>W14</f>
        <v>0</v>
      </c>
      <c r="Z14" s="1577"/>
      <c r="AA14" s="1572">
        <f>S14</f>
        <v>0</v>
      </c>
      <c r="AB14" s="1502"/>
      <c r="AC14" s="1501">
        <f>AA14</f>
        <v>0</v>
      </c>
      <c r="AD14" s="1502"/>
      <c r="AE14" s="1501">
        <f>AC14</f>
        <v>0</v>
      </c>
      <c r="AF14" s="1502"/>
      <c r="AG14" s="1501">
        <f>AE14</f>
        <v>0</v>
      </c>
      <c r="AH14" s="1586"/>
      <c r="AI14" s="1579">
        <f>AA14</f>
        <v>0</v>
      </c>
      <c r="AJ14" s="1504"/>
      <c r="AK14" s="1503">
        <f>AI14</f>
        <v>0</v>
      </c>
      <c r="AL14" s="1504"/>
      <c r="AM14" s="1503">
        <f>AK14</f>
        <v>0</v>
      </c>
      <c r="AN14" s="1504"/>
      <c r="AO14" s="1503">
        <f>AM14</f>
        <v>0</v>
      </c>
      <c r="AP14" s="1597"/>
      <c r="AQ14" s="1590">
        <f>AI14</f>
        <v>0</v>
      </c>
      <c r="AR14" s="1506"/>
      <c r="AS14" s="1505">
        <f>AQ14</f>
        <v>0</v>
      </c>
      <c r="AT14" s="1506"/>
      <c r="AU14" s="1505">
        <f>AS14</f>
        <v>0</v>
      </c>
      <c r="AV14" s="1506"/>
      <c r="AW14" s="1505">
        <f>AU14</f>
        <v>0</v>
      </c>
      <c r="AX14" s="1609"/>
      <c r="AY14" s="1601">
        <f>AQ14</f>
        <v>0</v>
      </c>
      <c r="AZ14" s="1508"/>
      <c r="BA14" s="1507">
        <f>AY14</f>
        <v>0</v>
      </c>
      <c r="BB14" s="1508"/>
      <c r="BC14" s="1507">
        <f>BA14</f>
        <v>0</v>
      </c>
      <c r="BD14" s="1508"/>
      <c r="BE14" s="1507">
        <f>BC14</f>
        <v>0</v>
      </c>
      <c r="BF14" s="1612"/>
      <c r="BG14" s="1774">
        <f>AY14</f>
        <v>0</v>
      </c>
      <c r="BH14" s="1775"/>
      <c r="BI14" s="1776">
        <f>BG14</f>
        <v>0</v>
      </c>
      <c r="BJ14" s="1775"/>
      <c r="BK14" s="1776">
        <f>BI14</f>
        <v>0</v>
      </c>
      <c r="BL14" s="1775"/>
      <c r="BM14" s="1776">
        <f>BK14</f>
        <v>0</v>
      </c>
      <c r="BN14" s="1766"/>
    </row>
    <row r="15" spans="1:66">
      <c r="A15" t="s">
        <v>516</v>
      </c>
      <c r="C15" s="2359" t="e">
        <f>'Ch41 Calc Data'!K17</f>
        <v>#REF!</v>
      </c>
      <c r="D15" s="2060"/>
      <c r="E15" s="2359" t="e">
        <f>C15</f>
        <v>#REF!</v>
      </c>
      <c r="F15" s="2060"/>
      <c r="G15" s="2359" t="e">
        <f>E15</f>
        <v>#REF!</v>
      </c>
      <c r="H15" s="2060"/>
      <c r="I15" s="2080" t="e">
        <f>G15</f>
        <v>#REF!</v>
      </c>
      <c r="K15" s="1452" t="e">
        <f>'Ch41 Calc Data'!L17</f>
        <v>#REF!</v>
      </c>
      <c r="L15" s="1453"/>
      <c r="M15" s="1452" t="e">
        <f>K15</f>
        <v>#REF!</v>
      </c>
      <c r="N15" s="1453"/>
      <c r="O15" s="1452" t="e">
        <f>M15</f>
        <v>#REF!</v>
      </c>
      <c r="P15" s="1453"/>
      <c r="Q15" s="1464" t="e">
        <f>O15</f>
        <v>#REF!</v>
      </c>
      <c r="R15" s="1567"/>
      <c r="S15" s="1563">
        <f>'Ch41 Calc Data'!M17</f>
        <v>0</v>
      </c>
      <c r="T15" s="1442"/>
      <c r="U15" s="1441">
        <f>S15</f>
        <v>0</v>
      </c>
      <c r="V15" s="1442"/>
      <c r="W15" s="1441">
        <f>U15</f>
        <v>0</v>
      </c>
      <c r="X15" s="1442"/>
      <c r="Y15" s="1441">
        <f>W15</f>
        <v>0</v>
      </c>
      <c r="Z15" s="1577"/>
      <c r="AA15" s="1572">
        <f>'Ch41 Calc Data'!N17</f>
        <v>0</v>
      </c>
      <c r="AB15" s="1502"/>
      <c r="AC15" s="1501">
        <f>AA15</f>
        <v>0</v>
      </c>
      <c r="AD15" s="1502"/>
      <c r="AE15" s="1501">
        <f>AC15</f>
        <v>0</v>
      </c>
      <c r="AF15" s="1502"/>
      <c r="AG15" s="1501">
        <f>AE15</f>
        <v>0</v>
      </c>
      <c r="AH15" s="1586"/>
      <c r="AI15" s="1579" t="e">
        <f>'Ch41 Calc Data'!O17</f>
        <v>#DIV/0!</v>
      </c>
      <c r="AJ15" s="1504"/>
      <c r="AK15" s="1503" t="e">
        <f>AI15</f>
        <v>#DIV/0!</v>
      </c>
      <c r="AL15" s="1504"/>
      <c r="AM15" s="1503" t="e">
        <f>AK15</f>
        <v>#DIV/0!</v>
      </c>
      <c r="AN15" s="1504"/>
      <c r="AO15" s="1503" t="e">
        <f>AM15</f>
        <v>#DIV/0!</v>
      </c>
      <c r="AP15" s="1597"/>
      <c r="AQ15" s="1590" t="e">
        <f>'Ch41 Calc Data'!P17</f>
        <v>#DIV/0!</v>
      </c>
      <c r="AR15" s="1506"/>
      <c r="AS15" s="1505" t="e">
        <f>AQ15</f>
        <v>#DIV/0!</v>
      </c>
      <c r="AT15" s="1506"/>
      <c r="AU15" s="1505" t="e">
        <f>AS15</f>
        <v>#DIV/0!</v>
      </c>
      <c r="AV15" s="1506"/>
      <c r="AW15" s="1505" t="e">
        <f>AU15</f>
        <v>#DIV/0!</v>
      </c>
      <c r="AX15" s="1609"/>
      <c r="AY15" s="1601" t="e">
        <f>'Ch41 Calc Data'!Q17</f>
        <v>#DIV/0!</v>
      </c>
      <c r="AZ15" s="1508"/>
      <c r="BA15" s="1507" t="e">
        <f>AY15</f>
        <v>#DIV/0!</v>
      </c>
      <c r="BB15" s="1508"/>
      <c r="BC15" s="1507" t="e">
        <f>BA15</f>
        <v>#DIV/0!</v>
      </c>
      <c r="BD15" s="1508"/>
      <c r="BE15" s="1507" t="e">
        <f>BC15</f>
        <v>#DIV/0!</v>
      </c>
      <c r="BF15" s="1612"/>
      <c r="BG15" s="1774" t="e">
        <f>'Ch41 Calc Data'!R17</f>
        <v>#DIV/0!</v>
      </c>
      <c r="BH15" s="1775"/>
      <c r="BI15" s="1776" t="e">
        <f>BG15</f>
        <v>#DIV/0!</v>
      </c>
      <c r="BJ15" s="1775"/>
      <c r="BK15" s="1776" t="e">
        <f>BI15</f>
        <v>#DIV/0!</v>
      </c>
      <c r="BL15" s="1775"/>
      <c r="BM15" s="1776" t="e">
        <f>BK15</f>
        <v>#DIV/0!</v>
      </c>
      <c r="BN15" s="1766"/>
    </row>
    <row r="16" spans="1:66">
      <c r="A16" t="s">
        <v>517</v>
      </c>
      <c r="C16" s="2359">
        <f>IF(C14=0,0,C15/C14)</f>
        <v>0</v>
      </c>
      <c r="D16" s="2060"/>
      <c r="E16" s="2359">
        <f>IF(E14=0,0,E15/E14)</f>
        <v>0</v>
      </c>
      <c r="F16" s="2060"/>
      <c r="G16" s="2359">
        <f>IF(G14=0,0,G15/G14)</f>
        <v>0</v>
      </c>
      <c r="H16" s="2060"/>
      <c r="I16" s="2080">
        <f>IF(I14=0,0,I15/I14)</f>
        <v>0</v>
      </c>
      <c r="K16" s="1452">
        <f>IF(K14=0,0,K15/K14)</f>
        <v>0</v>
      </c>
      <c r="L16" s="1453"/>
      <c r="M16" s="1452">
        <f>IF(M14=0,0,M15/M14)</f>
        <v>0</v>
      </c>
      <c r="N16" s="1453"/>
      <c r="O16" s="1452">
        <f>IF(O14=0,0,O15/O14)</f>
        <v>0</v>
      </c>
      <c r="P16" s="1453"/>
      <c r="Q16" s="1464">
        <f>IF(Q14=0,0,Q15/Q14)</f>
        <v>0</v>
      </c>
      <c r="R16" s="1567"/>
      <c r="S16" s="1563">
        <f>IF(S14=0,0,S15/S14)</f>
        <v>0</v>
      </c>
      <c r="T16" s="1442"/>
      <c r="U16" s="1441">
        <f>IF(U14=0,0,U15/U14)</f>
        <v>0</v>
      </c>
      <c r="V16" s="1442"/>
      <c r="W16" s="1441">
        <f>IF(W14=0,0,W15/W14)</f>
        <v>0</v>
      </c>
      <c r="X16" s="1442"/>
      <c r="Y16" s="1441">
        <f>IF(Y14=0,0,Y15/Y14)</f>
        <v>0</v>
      </c>
      <c r="Z16" s="1577"/>
      <c r="AA16" s="1572">
        <f>IF(AA14=0,0,AA15/AA14)</f>
        <v>0</v>
      </c>
      <c r="AB16" s="1502"/>
      <c r="AC16" s="1501">
        <f>IF(AC14=0,0,AC15/AC14)</f>
        <v>0</v>
      </c>
      <c r="AD16" s="1502"/>
      <c r="AE16" s="1501">
        <f>IF(AE14=0,0,AE15/AE14)</f>
        <v>0</v>
      </c>
      <c r="AF16" s="1502"/>
      <c r="AG16" s="1501">
        <f>IF(AG14=0,0,AG15/AG14)</f>
        <v>0</v>
      </c>
      <c r="AH16" s="1586"/>
      <c r="AI16" s="1579">
        <f>IF(AI14=0,0,AI15/AI14)</f>
        <v>0</v>
      </c>
      <c r="AJ16" s="1504"/>
      <c r="AK16" s="1503">
        <f>IF(AK14=0,0,AK15/AK14)</f>
        <v>0</v>
      </c>
      <c r="AL16" s="1504"/>
      <c r="AM16" s="1503">
        <f>IF(AM14=0,0,AM15/AM14)</f>
        <v>0</v>
      </c>
      <c r="AN16" s="1504"/>
      <c r="AO16" s="1503">
        <f>IF(AO14=0,0,AO15/AO14)</f>
        <v>0</v>
      </c>
      <c r="AP16" s="1597"/>
      <c r="AQ16" s="1590">
        <f>IF(AQ14=0,0,AQ15/AQ14)</f>
        <v>0</v>
      </c>
      <c r="AR16" s="1506"/>
      <c r="AS16" s="1505">
        <f>IF(AS14=0,0,AS15/AS14)</f>
        <v>0</v>
      </c>
      <c r="AT16" s="1506"/>
      <c r="AU16" s="1505">
        <f>IF(AU14=0,0,AU15/AU14)</f>
        <v>0</v>
      </c>
      <c r="AV16" s="1506"/>
      <c r="AW16" s="1505">
        <f>IF(AW14=0,0,AW15/AW14)</f>
        <v>0</v>
      </c>
      <c r="AX16" s="1609"/>
      <c r="AY16" s="1601">
        <f>IF(AY14=0,0,AY15/AY14)</f>
        <v>0</v>
      </c>
      <c r="AZ16" s="1508"/>
      <c r="BA16" s="1507">
        <f>IF(BA14=0,0,BA15/BA14)</f>
        <v>0</v>
      </c>
      <c r="BB16" s="1508"/>
      <c r="BC16" s="1507">
        <f>IF(BC14=0,0,BC15/BC14)</f>
        <v>0</v>
      </c>
      <c r="BD16" s="1508"/>
      <c r="BE16" s="1507">
        <f>IF(BE14=0,0,BE15/BE14)</f>
        <v>0</v>
      </c>
      <c r="BF16" s="1612"/>
      <c r="BG16" s="1774">
        <f>IF(BG14=0,0,BG15/BG14)</f>
        <v>0</v>
      </c>
      <c r="BH16" s="1775"/>
      <c r="BI16" s="1776">
        <f>IF(BI14=0,0,BI15/BI14)</f>
        <v>0</v>
      </c>
      <c r="BJ16" s="1775"/>
      <c r="BK16" s="1776">
        <f>IF(BK14=0,0,BK15/BK14)</f>
        <v>0</v>
      </c>
      <c r="BL16" s="1775"/>
      <c r="BM16" s="1776">
        <f>IF(BM14=0,0,BM15/BM14)</f>
        <v>0</v>
      </c>
      <c r="BN16" s="1766"/>
    </row>
    <row r="17" spans="1:66">
      <c r="A17" t="s">
        <v>2163</v>
      </c>
      <c r="C17" s="2081">
        <f>C13*C16</f>
        <v>0</v>
      </c>
      <c r="D17" s="2085"/>
      <c r="E17" s="2081">
        <f>E13*E16</f>
        <v>0</v>
      </c>
      <c r="F17" s="2085"/>
      <c r="G17" s="2081">
        <f>G13*G16</f>
        <v>0</v>
      </c>
      <c r="H17" s="2085"/>
      <c r="I17" s="2082">
        <f>I13*I16</f>
        <v>0</v>
      </c>
      <c r="K17" s="1451">
        <f>K13*K16</f>
        <v>0</v>
      </c>
      <c r="M17" s="1451">
        <f>M13*M16</f>
        <v>0</v>
      </c>
      <c r="O17" s="1451">
        <f>O13*O16</f>
        <v>0</v>
      </c>
      <c r="Q17" s="1463">
        <f>Q13*Q16</f>
        <v>0</v>
      </c>
      <c r="R17" s="1567"/>
      <c r="S17" s="1564">
        <f>S13*S16</f>
        <v>0</v>
      </c>
      <c r="T17" s="1440"/>
      <c r="U17" s="1439">
        <f>U13*U16</f>
        <v>0</v>
      </c>
      <c r="V17" s="1440"/>
      <c r="W17" s="1439">
        <f>W13*W16</f>
        <v>0</v>
      </c>
      <c r="X17" s="1440"/>
      <c r="Y17" s="1439">
        <f>Y13*Y16</f>
        <v>0</v>
      </c>
      <c r="Z17" s="1561"/>
      <c r="AA17" s="1573">
        <f>AA13*AA16</f>
        <v>0</v>
      </c>
      <c r="AB17" s="1510"/>
      <c r="AC17" s="1509">
        <f>AC13*AC16</f>
        <v>0</v>
      </c>
      <c r="AD17" s="1510"/>
      <c r="AE17" s="1509">
        <f>AE13*AE16</f>
        <v>0</v>
      </c>
      <c r="AF17" s="1510"/>
      <c r="AG17" s="1509">
        <f>AG13*AG16</f>
        <v>0</v>
      </c>
      <c r="AH17" s="1587"/>
      <c r="AI17" s="1426">
        <f>AI13*AI16</f>
        <v>0</v>
      </c>
      <c r="AJ17" s="1512"/>
      <c r="AK17" s="1511">
        <f>AK13*AK16</f>
        <v>0</v>
      </c>
      <c r="AL17" s="1512"/>
      <c r="AM17" s="1511">
        <f>AM13*AM16</f>
        <v>0</v>
      </c>
      <c r="AN17" s="1512"/>
      <c r="AO17" s="1511">
        <f>AO13*AO16</f>
        <v>0</v>
      </c>
      <c r="AP17" s="1598"/>
      <c r="AQ17" s="1591">
        <f>AQ13*AQ16</f>
        <v>0</v>
      </c>
      <c r="AR17" s="1514"/>
      <c r="AS17" s="1513">
        <f>AS13*AS16</f>
        <v>0</v>
      </c>
      <c r="AT17" s="1514"/>
      <c r="AU17" s="1513">
        <f>AU13*AU16</f>
        <v>0</v>
      </c>
      <c r="AV17" s="1514"/>
      <c r="AW17" s="1513">
        <f>AW13*AW16</f>
        <v>0</v>
      </c>
      <c r="AX17" s="1610"/>
      <c r="AY17" s="1602">
        <f>AY13*AY16</f>
        <v>0</v>
      </c>
      <c r="AZ17" s="1516"/>
      <c r="BA17" s="1515">
        <f>BA13*BA16</f>
        <v>0</v>
      </c>
      <c r="BB17" s="1516"/>
      <c r="BC17" s="1515">
        <f>BC13*BC16</f>
        <v>0</v>
      </c>
      <c r="BD17" s="1516"/>
      <c r="BE17" s="1515">
        <f>BE13*BE16</f>
        <v>0</v>
      </c>
      <c r="BF17" s="1612"/>
      <c r="BG17" s="1777">
        <f>BG13*BG16</f>
        <v>0</v>
      </c>
      <c r="BH17" s="1778"/>
      <c r="BI17" s="1779">
        <f>BI13*BI16</f>
        <v>0</v>
      </c>
      <c r="BJ17" s="1778"/>
      <c r="BK17" s="1779">
        <f>BK13*BK16</f>
        <v>0</v>
      </c>
      <c r="BL17" s="1778"/>
      <c r="BM17" s="1779">
        <f>BM13*BM16</f>
        <v>0</v>
      </c>
      <c r="BN17" s="1766"/>
    </row>
    <row r="18" spans="1:66">
      <c r="A18" t="s">
        <v>515</v>
      </c>
      <c r="C18" s="2081" t="e">
        <f>#REF!</f>
        <v>#REF!</v>
      </c>
      <c r="D18" s="2085"/>
      <c r="E18" s="2081" t="e">
        <f>C18</f>
        <v>#REF!</v>
      </c>
      <c r="F18" s="2085"/>
      <c r="G18" s="2081" t="e">
        <f>E18</f>
        <v>#REF!</v>
      </c>
      <c r="H18" s="2085"/>
      <c r="I18" s="2082" t="e">
        <f>G18</f>
        <v>#REF!</v>
      </c>
      <c r="K18" s="1454">
        <f>'SOF1718-SB1'!F75</f>
        <v>0</v>
      </c>
      <c r="L18" s="1455"/>
      <c r="M18" s="1454">
        <f>K18</f>
        <v>0</v>
      </c>
      <c r="N18" s="1455"/>
      <c r="O18" s="1454">
        <f>M18</f>
        <v>0</v>
      </c>
      <c r="P18" s="1455"/>
      <c r="Q18" s="1463">
        <f>O18</f>
        <v>0</v>
      </c>
      <c r="R18" s="1567"/>
      <c r="S18" s="1564">
        <f>'SOF1819-SB1'!F75</f>
        <v>0</v>
      </c>
      <c r="T18" s="1440"/>
      <c r="U18" s="1439">
        <f>S18</f>
        <v>0</v>
      </c>
      <c r="V18" s="1440"/>
      <c r="W18" s="1439">
        <f>U18</f>
        <v>0</v>
      </c>
      <c r="X18" s="1440"/>
      <c r="Y18" s="1439">
        <f>W18</f>
        <v>0</v>
      </c>
      <c r="Z18" s="1561"/>
      <c r="AA18" s="1573">
        <f>'SOF1920-HB3'!F110</f>
        <v>0</v>
      </c>
      <c r="AB18" s="1510"/>
      <c r="AC18" s="1509">
        <f>AA18</f>
        <v>0</v>
      </c>
      <c r="AD18" s="1510"/>
      <c r="AE18" s="1509">
        <f>AC18</f>
        <v>0</v>
      </c>
      <c r="AF18" s="1510"/>
      <c r="AG18" s="1509">
        <f>AE18</f>
        <v>0</v>
      </c>
      <c r="AH18" s="1587"/>
      <c r="AI18" s="1426">
        <f>'SOF2021-SB1'!F75</f>
        <v>0</v>
      </c>
      <c r="AJ18" s="1512"/>
      <c r="AK18" s="1511">
        <f>AI18</f>
        <v>0</v>
      </c>
      <c r="AL18" s="1512"/>
      <c r="AM18" s="1511">
        <f>AK18</f>
        <v>0</v>
      </c>
      <c r="AN18" s="1512"/>
      <c r="AO18" s="1511">
        <f>AM18</f>
        <v>0</v>
      </c>
      <c r="AP18" s="1598"/>
      <c r="AQ18" s="1591">
        <f>'SOF2122-SB1'!F75</f>
        <v>0</v>
      </c>
      <c r="AR18" s="1514"/>
      <c r="AS18" s="1513">
        <f>AQ18</f>
        <v>0</v>
      </c>
      <c r="AT18" s="1514"/>
      <c r="AU18" s="1513">
        <f>AS18</f>
        <v>0</v>
      </c>
      <c r="AV18" s="1514"/>
      <c r="AW18" s="1513">
        <f>AU18</f>
        <v>0</v>
      </c>
      <c r="AX18" s="1610"/>
      <c r="AY18" s="1602">
        <f>'SOF2223-SB1'!F75</f>
        <v>0</v>
      </c>
      <c r="AZ18" s="1516"/>
      <c r="BA18" s="1515">
        <f>AY18</f>
        <v>0</v>
      </c>
      <c r="BB18" s="1516"/>
      <c r="BC18" s="1515">
        <f>BA18</f>
        <v>0</v>
      </c>
      <c r="BD18" s="1516"/>
      <c r="BE18" s="1515">
        <f>BC18</f>
        <v>0</v>
      </c>
      <c r="BF18" s="1612"/>
      <c r="BG18" s="1777">
        <f>'SOF2324-SB1'!F75</f>
        <v>0</v>
      </c>
      <c r="BH18" s="1778"/>
      <c r="BI18" s="1779">
        <f>BG18</f>
        <v>0</v>
      </c>
      <c r="BJ18" s="1778"/>
      <c r="BK18" s="1779">
        <f>BI18</f>
        <v>0</v>
      </c>
      <c r="BL18" s="1778"/>
      <c r="BM18" s="1779">
        <f>BK18</f>
        <v>0</v>
      </c>
      <c r="BN18" s="1766"/>
    </row>
    <row r="19" spans="1:66">
      <c r="A19" t="s">
        <v>2164</v>
      </c>
      <c r="C19" s="2081" t="e">
        <f>C17-C18</f>
        <v>#REF!</v>
      </c>
      <c r="D19" s="2085"/>
      <c r="E19" s="2081" t="e">
        <f>E17-E18</f>
        <v>#REF!</v>
      </c>
      <c r="F19" s="2085"/>
      <c r="G19" s="2081" t="e">
        <f>G17-G18</f>
        <v>#REF!</v>
      </c>
      <c r="H19" s="2085"/>
      <c r="I19" s="2082" t="e">
        <f>I17-I18</f>
        <v>#REF!</v>
      </c>
      <c r="K19" s="1454">
        <f>K17-K18</f>
        <v>0</v>
      </c>
      <c r="L19" s="1455"/>
      <c r="M19" s="1454">
        <f>M17-M18</f>
        <v>0</v>
      </c>
      <c r="N19" s="1455"/>
      <c r="O19" s="1454">
        <f>O17-O18</f>
        <v>0</v>
      </c>
      <c r="P19" s="1455"/>
      <c r="Q19" s="1463">
        <f>Q17-Q18</f>
        <v>0</v>
      </c>
      <c r="R19" s="1567"/>
      <c r="S19" s="1564">
        <f>S17-S18</f>
        <v>0</v>
      </c>
      <c r="T19" s="1440"/>
      <c r="U19" s="1439">
        <f>U17-U18</f>
        <v>0</v>
      </c>
      <c r="V19" s="1440"/>
      <c r="W19" s="1439">
        <f>W17-W18</f>
        <v>0</v>
      </c>
      <c r="X19" s="1440"/>
      <c r="Y19" s="1439">
        <f>Y17-Y18</f>
        <v>0</v>
      </c>
      <c r="Z19" s="1561"/>
      <c r="AA19" s="1573">
        <f>AA17-AA18</f>
        <v>0</v>
      </c>
      <c r="AB19" s="1510"/>
      <c r="AC19" s="1509">
        <f>AC17-AC18</f>
        <v>0</v>
      </c>
      <c r="AD19" s="1510"/>
      <c r="AE19" s="1509">
        <f>AE17-AE18</f>
        <v>0</v>
      </c>
      <c r="AF19" s="1510"/>
      <c r="AG19" s="1509">
        <f>AG17-AG18</f>
        <v>0</v>
      </c>
      <c r="AH19" s="1587"/>
      <c r="AI19" s="1426">
        <f>AI17-AI18</f>
        <v>0</v>
      </c>
      <c r="AJ19" s="1512"/>
      <c r="AK19" s="1511">
        <f>AK17-AK18</f>
        <v>0</v>
      </c>
      <c r="AL19" s="1512"/>
      <c r="AM19" s="1511">
        <f>AM17-AM18</f>
        <v>0</v>
      </c>
      <c r="AN19" s="1512"/>
      <c r="AO19" s="1511">
        <f>AO17-AO18</f>
        <v>0</v>
      </c>
      <c r="AP19" s="1598"/>
      <c r="AQ19" s="1591">
        <f>AQ17-AQ18</f>
        <v>0</v>
      </c>
      <c r="AR19" s="1514"/>
      <c r="AS19" s="1513">
        <f>AS17-AS18</f>
        <v>0</v>
      </c>
      <c r="AT19" s="1514"/>
      <c r="AU19" s="1513">
        <f>AU17-AU18</f>
        <v>0</v>
      </c>
      <c r="AV19" s="1514"/>
      <c r="AW19" s="1513">
        <f>AW17-AW18</f>
        <v>0</v>
      </c>
      <c r="AX19" s="1610"/>
      <c r="AY19" s="1602">
        <f>AY17-AY18</f>
        <v>0</v>
      </c>
      <c r="AZ19" s="1516"/>
      <c r="BA19" s="1515">
        <f>BA17-BA18</f>
        <v>0</v>
      </c>
      <c r="BB19" s="1516"/>
      <c r="BC19" s="1515">
        <f>BC17-BC18</f>
        <v>0</v>
      </c>
      <c r="BD19" s="1516"/>
      <c r="BE19" s="1515">
        <f>BE17-BE18</f>
        <v>0</v>
      </c>
      <c r="BF19" s="1612"/>
      <c r="BG19" s="1777">
        <f>BG17-BG18</f>
        <v>0</v>
      </c>
      <c r="BH19" s="1778"/>
      <c r="BI19" s="1779">
        <f>BI17-BI18</f>
        <v>0</v>
      </c>
      <c r="BJ19" s="1778"/>
      <c r="BK19" s="1779">
        <f>BK17-BK18</f>
        <v>0</v>
      </c>
      <c r="BL19" s="1778"/>
      <c r="BM19" s="1779">
        <f>BM17-BM18</f>
        <v>0</v>
      </c>
      <c r="BN19" s="1766"/>
    </row>
    <row r="20" spans="1:66">
      <c r="A20" t="s">
        <v>1122</v>
      </c>
      <c r="C20" s="2359">
        <f>IF('Data Entry - SOF'!C174=0,0,('Data Entry - SOF'!C174/'Data Entry - SOF'!C177)+0.0082)</f>
        <v>0</v>
      </c>
      <c r="D20" s="2060"/>
      <c r="E20" s="2359">
        <f>C20</f>
        <v>0</v>
      </c>
      <c r="F20" s="2060"/>
      <c r="G20" s="2359">
        <f>E20</f>
        <v>0</v>
      </c>
      <c r="H20" s="2060"/>
      <c r="I20" s="2080">
        <f>G20</f>
        <v>0</v>
      </c>
      <c r="K20" s="1452">
        <f>IF('Data Entry - SOF'!E174=0,0,('Data Entry - SOF'!E174/'Data Entry - SOF'!E177)+0.0082)</f>
        <v>0</v>
      </c>
      <c r="L20" s="1453"/>
      <c r="M20" s="1452">
        <f>K20</f>
        <v>0</v>
      </c>
      <c r="N20" s="1453"/>
      <c r="O20" s="1452">
        <f>M20</f>
        <v>0</v>
      </c>
      <c r="P20" s="1453"/>
      <c r="Q20" s="1464">
        <f>O20</f>
        <v>0</v>
      </c>
      <c r="R20" s="1568"/>
      <c r="S20" s="1563">
        <f>K20</f>
        <v>0</v>
      </c>
      <c r="T20" s="1442"/>
      <c r="U20" s="1441">
        <f>S20</f>
        <v>0</v>
      </c>
      <c r="V20" s="1442"/>
      <c r="W20" s="1441">
        <f>U20</f>
        <v>0</v>
      </c>
      <c r="X20" s="1442"/>
      <c r="Y20" s="1441">
        <f>W20</f>
        <v>0</v>
      </c>
      <c r="Z20" s="1577"/>
      <c r="AA20" s="1572">
        <f>S20</f>
        <v>0</v>
      </c>
      <c r="AB20" s="1502"/>
      <c r="AC20" s="1501">
        <f>AA20</f>
        <v>0</v>
      </c>
      <c r="AD20" s="1502"/>
      <c r="AE20" s="1501">
        <f>AC20</f>
        <v>0</v>
      </c>
      <c r="AF20" s="1502"/>
      <c r="AG20" s="1501">
        <f>AE20</f>
        <v>0</v>
      </c>
      <c r="AH20" s="1586"/>
      <c r="AI20" s="1579">
        <f>AA20</f>
        <v>0</v>
      </c>
      <c r="AJ20" s="1504"/>
      <c r="AK20" s="1503">
        <f>AI20</f>
        <v>0</v>
      </c>
      <c r="AL20" s="1504"/>
      <c r="AM20" s="1503">
        <f>AK20</f>
        <v>0</v>
      </c>
      <c r="AN20" s="1504"/>
      <c r="AO20" s="1503">
        <f>AM20</f>
        <v>0</v>
      </c>
      <c r="AP20" s="1597"/>
      <c r="AQ20" s="1590">
        <f>AI20</f>
        <v>0</v>
      </c>
      <c r="AR20" s="1506"/>
      <c r="AS20" s="1505">
        <f>AQ20</f>
        <v>0</v>
      </c>
      <c r="AT20" s="1506"/>
      <c r="AU20" s="1505">
        <f>AS20</f>
        <v>0</v>
      </c>
      <c r="AV20" s="1506"/>
      <c r="AW20" s="1505">
        <f>AU20</f>
        <v>0</v>
      </c>
      <c r="AX20" s="1609"/>
      <c r="AY20" s="1601">
        <f>AQ20</f>
        <v>0</v>
      </c>
      <c r="AZ20" s="1508"/>
      <c r="BA20" s="1507">
        <f>AY20</f>
        <v>0</v>
      </c>
      <c r="BB20" s="1508"/>
      <c r="BC20" s="1507">
        <f>BA20</f>
        <v>0</v>
      </c>
      <c r="BE20" s="1490">
        <f>BC20</f>
        <v>0</v>
      </c>
      <c r="BF20" s="1612"/>
      <c r="BG20" s="1774">
        <f>AY20</f>
        <v>0</v>
      </c>
      <c r="BH20" s="1775"/>
      <c r="BI20" s="1776">
        <f>BG20</f>
        <v>0</v>
      </c>
      <c r="BJ20" s="1775"/>
      <c r="BK20" s="1776">
        <f>BI20</f>
        <v>0</v>
      </c>
      <c r="BM20" s="1780">
        <f>BK20</f>
        <v>0</v>
      </c>
      <c r="BN20" s="1766"/>
    </row>
    <row r="21" spans="1:66">
      <c r="A21" t="s">
        <v>985</v>
      </c>
      <c r="C21" s="2359">
        <f>IF(C20&gt;0.015,C20,0.015)</f>
        <v>1.4999999999999999E-2</v>
      </c>
      <c r="D21" s="2060"/>
      <c r="E21" s="2359">
        <f>IF(E20&gt;0.015,E20,0.015)</f>
        <v>1.4999999999999999E-2</v>
      </c>
      <c r="F21" s="2060"/>
      <c r="G21" s="2359">
        <f>IF(G20&gt;0.015,G20,0.015)</f>
        <v>1.4999999999999999E-2</v>
      </c>
      <c r="H21" s="2060"/>
      <c r="I21" s="2080">
        <f>IF(I20&gt;0.015,I20,0.015)</f>
        <v>1.4999999999999999E-2</v>
      </c>
      <c r="K21" s="1452">
        <f>IF(K20&gt;0.015,K20,0.015)</f>
        <v>1.4999999999999999E-2</v>
      </c>
      <c r="L21" s="1453"/>
      <c r="M21" s="1452">
        <f>IF(M20&gt;0.015,M20,0.015)</f>
        <v>1.4999999999999999E-2</v>
      </c>
      <c r="N21" s="1453"/>
      <c r="O21" s="1452">
        <f>IF(O20&gt;0.015,O20,0.015)</f>
        <v>1.4999999999999999E-2</v>
      </c>
      <c r="P21" s="1453"/>
      <c r="Q21" s="1464">
        <f>IF(Q20&gt;0.015,Q20,0.015)</f>
        <v>1.4999999999999999E-2</v>
      </c>
      <c r="R21" s="1568"/>
      <c r="S21" s="1563">
        <f>IF(S20&gt;0.015,S20,0.015)</f>
        <v>1.4999999999999999E-2</v>
      </c>
      <c r="T21" s="1442"/>
      <c r="U21" s="1441">
        <f>IF(U20&gt;0.015,U20,0.015)</f>
        <v>1.4999999999999999E-2</v>
      </c>
      <c r="V21" s="1442"/>
      <c r="W21" s="1441">
        <f>IF(W20&gt;0.015,W20,0.015)</f>
        <v>1.4999999999999999E-2</v>
      </c>
      <c r="X21" s="1442"/>
      <c r="Y21" s="1441">
        <f>IF(Y20&gt;0.015,Y20,0.015)</f>
        <v>1.4999999999999999E-2</v>
      </c>
      <c r="Z21" s="1577"/>
      <c r="AA21" s="1572">
        <f>IF(AA20&gt;0.015,AA20,0.015)</f>
        <v>1.4999999999999999E-2</v>
      </c>
      <c r="AB21" s="1502"/>
      <c r="AC21" s="1501">
        <f>IF(AC20&gt;0.015,AC20,0.015)</f>
        <v>1.4999999999999999E-2</v>
      </c>
      <c r="AD21" s="1502"/>
      <c r="AE21" s="1501">
        <f>IF(AE20&gt;0.015,AE20,0.015)</f>
        <v>1.4999999999999999E-2</v>
      </c>
      <c r="AF21" s="1502"/>
      <c r="AG21" s="1501">
        <f>IF(AG20&gt;0.015,AG20,0.015)</f>
        <v>1.4999999999999999E-2</v>
      </c>
      <c r="AH21" s="1586"/>
      <c r="AI21" s="1579">
        <f>IF(AI20&gt;0.015,AI20,0.015)</f>
        <v>1.4999999999999999E-2</v>
      </c>
      <c r="AJ21" s="1504"/>
      <c r="AK21" s="1503">
        <f>IF(AK20&gt;0.015,AK20,0.015)</f>
        <v>1.4999999999999999E-2</v>
      </c>
      <c r="AL21" s="1504"/>
      <c r="AM21" s="1503">
        <f>IF(AM20&gt;0.015,AM20,0.015)</f>
        <v>1.4999999999999999E-2</v>
      </c>
      <c r="AN21" s="1504"/>
      <c r="AO21" s="1503">
        <f>IF(AO20&gt;0.015,AO20,0.015)</f>
        <v>1.4999999999999999E-2</v>
      </c>
      <c r="AP21" s="1597"/>
      <c r="AQ21" s="1590">
        <f>IF(AQ20&gt;0.015,AQ20,0.015)</f>
        <v>1.4999999999999999E-2</v>
      </c>
      <c r="AR21" s="1506"/>
      <c r="AS21" s="1505">
        <f>IF(AS20&gt;0.015,AS20,0.015)</f>
        <v>1.4999999999999999E-2</v>
      </c>
      <c r="AT21" s="1506"/>
      <c r="AU21" s="1505">
        <f>IF(AU20&gt;0.015,AU20,0.015)</f>
        <v>1.4999999999999999E-2</v>
      </c>
      <c r="AV21" s="1506"/>
      <c r="AW21" s="1505">
        <f>IF(AW20&gt;0.015,AW20,0.015)</f>
        <v>1.4999999999999999E-2</v>
      </c>
      <c r="AX21" s="1609"/>
      <c r="AY21" s="1601">
        <f>IF(AY20&gt;0.015,AY20,0.015)</f>
        <v>1.4999999999999999E-2</v>
      </c>
      <c r="AZ21" s="1508"/>
      <c r="BA21" s="1507">
        <f>IF(BA20&gt;0.015,BA20,0.015)</f>
        <v>1.4999999999999999E-2</v>
      </c>
      <c r="BB21" s="1508"/>
      <c r="BC21" s="1507">
        <f>IF(BC20&gt;0.015,BC20,0.015)</f>
        <v>1.4999999999999999E-2</v>
      </c>
      <c r="BE21" s="1490">
        <f>IF(BE20&gt;0.015,BE20,0.015)</f>
        <v>1.4999999999999999E-2</v>
      </c>
      <c r="BF21" s="1612"/>
      <c r="BG21" s="1774">
        <f>IF(BG20&gt;0.015,BG20,0.015)</f>
        <v>1.4999999999999999E-2</v>
      </c>
      <c r="BH21" s="1775"/>
      <c r="BI21" s="1776">
        <f>IF(BI20&gt;0.015,BI20,0.015)</f>
        <v>1.4999999999999999E-2</v>
      </c>
      <c r="BJ21" s="1775"/>
      <c r="BK21" s="1776">
        <f>IF(BK20&gt;0.015,BK20,0.015)</f>
        <v>1.4999999999999999E-2</v>
      </c>
      <c r="BM21" s="1780">
        <f>IF(BM20&gt;0.015,BM20,0.015)</f>
        <v>1.4999999999999999E-2</v>
      </c>
      <c r="BN21" s="1766"/>
    </row>
    <row r="22" spans="1:66">
      <c r="I22" s="2070"/>
      <c r="R22" s="1567"/>
      <c r="Z22" s="1560"/>
      <c r="AH22" s="1582"/>
      <c r="AP22" s="1594"/>
      <c r="AX22" s="1605"/>
      <c r="BF22" s="1612"/>
      <c r="BN22" s="1766"/>
    </row>
    <row r="23" spans="1:66" ht="15.75">
      <c r="A23" s="30" t="s">
        <v>1123</v>
      </c>
      <c r="I23" s="2070"/>
      <c r="R23" s="1567"/>
      <c r="Z23" s="1560"/>
      <c r="AH23" s="1582"/>
      <c r="AP23" s="1594"/>
      <c r="AX23" s="1605"/>
      <c r="BF23" s="1612"/>
      <c r="BN23" s="1766"/>
    </row>
    <row r="24" spans="1:66">
      <c r="A24" t="s">
        <v>1883</v>
      </c>
      <c r="C24" s="2081" t="e">
        <f>'Ch41 Calc Data'!K17*Assumptions!G92</f>
        <v>#REF!</v>
      </c>
      <c r="D24" s="2085"/>
      <c r="E24" s="2081" t="e">
        <f>C24</f>
        <v>#REF!</v>
      </c>
      <c r="F24" s="2085"/>
      <c r="G24" s="2081" t="e">
        <f>'Ch41 Calc Data'!K17*Assumptions!G93</f>
        <v>#REF!</v>
      </c>
      <c r="H24" s="2085"/>
      <c r="I24" s="2082" t="e">
        <f>G24</f>
        <v>#REF!</v>
      </c>
      <c r="K24" s="1454" t="e">
        <f>'Ch41 Calc Data'!L17*Assumptions!G103</f>
        <v>#REF!</v>
      </c>
      <c r="L24" s="1455"/>
      <c r="M24" s="1454" t="e">
        <f>K24</f>
        <v>#REF!</v>
      </c>
      <c r="N24" s="1455"/>
      <c r="O24" s="1454" t="e">
        <f>'Ch41 Calc Data'!L17*Assumptions!G104</f>
        <v>#REF!</v>
      </c>
      <c r="P24" s="1455"/>
      <c r="Q24" s="1463" t="e">
        <f>O24</f>
        <v>#REF!</v>
      </c>
      <c r="R24" s="1567"/>
      <c r="S24" s="1564">
        <f>'Ch41 Calc Data'!M17*Assumptions!G112</f>
        <v>0</v>
      </c>
      <c r="T24" s="1440"/>
      <c r="U24" s="1439">
        <f>S24</f>
        <v>0</v>
      </c>
      <c r="V24" s="1440"/>
      <c r="W24" s="1439">
        <f>'Ch41 Calc Data'!M17*Assumptions!G113</f>
        <v>0</v>
      </c>
      <c r="X24" s="1440"/>
      <c r="Y24" s="1439">
        <f>W24</f>
        <v>0</v>
      </c>
      <c r="Z24" s="1561"/>
      <c r="AA24" s="1573">
        <f>'Ch41 Calc Data'!N17*Assumptions!G121</f>
        <v>0</v>
      </c>
      <c r="AB24" s="1510"/>
      <c r="AC24" s="1509">
        <f>AA24</f>
        <v>0</v>
      </c>
      <c r="AD24" s="1510"/>
      <c r="AE24" s="1509">
        <f>'Ch41 Calc Data'!N17*Assumptions!G122</f>
        <v>0</v>
      </c>
      <c r="AF24" s="1510"/>
      <c r="AG24" s="1509">
        <f>AE24</f>
        <v>0</v>
      </c>
      <c r="AH24" s="1587"/>
      <c r="AI24" s="1426" t="e">
        <f>'Ch41 Calc Data'!O17*Assumptions!G130</f>
        <v>#DIV/0!</v>
      </c>
      <c r="AJ24" s="1512"/>
      <c r="AK24" s="1511" t="e">
        <f>AI24</f>
        <v>#DIV/0!</v>
      </c>
      <c r="AL24" s="1512"/>
      <c r="AM24" s="1511" t="e">
        <f>'Ch41 Calc Data'!O17*Assumptions!G131</f>
        <v>#DIV/0!</v>
      </c>
      <c r="AN24" s="1512"/>
      <c r="AO24" s="1511" t="e">
        <f>AM24</f>
        <v>#DIV/0!</v>
      </c>
      <c r="AP24" s="1598"/>
      <c r="AQ24" s="1591" t="e">
        <f>'Ch41 Calc Data'!P17*Assumptions!G139</f>
        <v>#DIV/0!</v>
      </c>
      <c r="AR24" s="1514"/>
      <c r="AS24" s="1513" t="e">
        <f>AQ24</f>
        <v>#DIV/0!</v>
      </c>
      <c r="AT24" s="1514"/>
      <c r="AU24" s="1513" t="e">
        <f>'Ch41 Calc Data'!P17*Assumptions!G140</f>
        <v>#DIV/0!</v>
      </c>
      <c r="AV24" s="1514"/>
      <c r="AW24" s="1513" t="e">
        <f>AU24</f>
        <v>#DIV/0!</v>
      </c>
      <c r="AX24" s="1610"/>
      <c r="AY24" s="1602" t="e">
        <f>'Ch41 Calc Data'!Q17*Assumptions!G148</f>
        <v>#DIV/0!</v>
      </c>
      <c r="AZ24" s="1516"/>
      <c r="BA24" s="1515" t="e">
        <f>AY24</f>
        <v>#DIV/0!</v>
      </c>
      <c r="BB24" s="1516"/>
      <c r="BC24" s="1515" t="e">
        <f>'Ch41 Calc Data'!Q17*Assumptions!G149</f>
        <v>#DIV/0!</v>
      </c>
      <c r="BD24" s="1516"/>
      <c r="BE24" s="1515" t="e">
        <f>BC24</f>
        <v>#DIV/0!</v>
      </c>
      <c r="BF24" s="1612"/>
      <c r="BG24" s="1777" t="e">
        <f>'Ch41 Calc Data'!R17*Assumptions!G157</f>
        <v>#DIV/0!</v>
      </c>
      <c r="BH24" s="1778"/>
      <c r="BI24" s="1779" t="e">
        <f>BG24</f>
        <v>#DIV/0!</v>
      </c>
      <c r="BJ24" s="1778"/>
      <c r="BK24" s="1779" t="e">
        <f>'Ch41 Calc Data'!R17*Assumptions!G158</f>
        <v>#DIV/0!</v>
      </c>
      <c r="BL24" s="1778"/>
      <c r="BM24" s="1779" t="e">
        <f>BK24</f>
        <v>#DIV/0!</v>
      </c>
      <c r="BN24" s="1766"/>
    </row>
    <row r="25" spans="1:66">
      <c r="I25" s="2070"/>
      <c r="K25" s="1455"/>
      <c r="L25" s="1455"/>
      <c r="M25" s="1455"/>
      <c r="N25" s="1455"/>
      <c r="O25" s="1455"/>
      <c r="P25" s="1455"/>
      <c r="R25" s="1567"/>
      <c r="S25" s="1440"/>
      <c r="T25" s="1440"/>
      <c r="U25" s="1440"/>
      <c r="V25" s="1440"/>
      <c r="W25" s="1440"/>
      <c r="X25" s="1440"/>
      <c r="Y25" s="1440"/>
      <c r="Z25" s="1561"/>
      <c r="AA25" s="1510"/>
      <c r="AB25" s="1510"/>
      <c r="AC25" s="1510"/>
      <c r="AD25" s="1510"/>
      <c r="AE25" s="1510"/>
      <c r="AF25" s="1510"/>
      <c r="AG25" s="1510"/>
      <c r="AH25" s="1587"/>
      <c r="AI25" s="1512"/>
      <c r="AJ25" s="1512"/>
      <c r="AK25" s="1512"/>
      <c r="AL25" s="1512"/>
      <c r="AM25" s="1512"/>
      <c r="AN25" s="1512"/>
      <c r="AO25" s="1512"/>
      <c r="AP25" s="1598"/>
      <c r="AQ25" s="1514"/>
      <c r="AR25" s="1514"/>
      <c r="AS25" s="1514"/>
      <c r="AT25" s="1514"/>
      <c r="AU25" s="1514"/>
      <c r="AV25" s="1514"/>
      <c r="AW25" s="1514"/>
      <c r="AX25" s="1610"/>
      <c r="AY25" s="1516"/>
      <c r="AZ25" s="1516"/>
      <c r="BA25" s="1516"/>
      <c r="BB25" s="1516"/>
      <c r="BC25" s="1516"/>
      <c r="BD25" s="1516"/>
      <c r="BE25" s="1516"/>
      <c r="BF25" s="1612"/>
      <c r="BG25" s="1778"/>
      <c r="BH25" s="1778"/>
      <c r="BI25" s="1778"/>
      <c r="BJ25" s="1778"/>
      <c r="BK25" s="1778"/>
      <c r="BL25" s="1778"/>
      <c r="BM25" s="1778"/>
      <c r="BN25" s="1766"/>
    </row>
    <row r="26" spans="1:66" ht="15.75">
      <c r="A26" s="30" t="s">
        <v>2092</v>
      </c>
      <c r="I26" s="2070"/>
      <c r="K26" s="1455"/>
      <c r="L26" s="1455"/>
      <c r="M26" s="1455"/>
      <c r="N26" s="1455"/>
      <c r="O26" s="1455"/>
      <c r="P26" s="1455"/>
      <c r="R26" s="1567"/>
      <c r="S26" s="1440"/>
      <c r="T26" s="1440"/>
      <c r="U26" s="1440"/>
      <c r="V26" s="1440"/>
      <c r="W26" s="1440"/>
      <c r="X26" s="1440"/>
      <c r="Y26" s="1440"/>
      <c r="Z26" s="1561"/>
      <c r="AA26" s="1510"/>
      <c r="AB26" s="1510"/>
      <c r="AC26" s="1510"/>
      <c r="AD26" s="1510"/>
      <c r="AE26" s="1510"/>
      <c r="AF26" s="1510"/>
      <c r="AG26" s="1510"/>
      <c r="AH26" s="1587"/>
      <c r="AI26" s="1512"/>
      <c r="AJ26" s="1512"/>
      <c r="AK26" s="1512"/>
      <c r="AL26" s="1512"/>
      <c r="AM26" s="1512"/>
      <c r="AN26" s="1512"/>
      <c r="AO26" s="1512"/>
      <c r="AP26" s="1598"/>
      <c r="AQ26" s="1514"/>
      <c r="AR26" s="1514"/>
      <c r="AS26" s="1514"/>
      <c r="AT26" s="1514"/>
      <c r="AU26" s="1514"/>
      <c r="AV26" s="1514"/>
      <c r="AW26" s="1514"/>
      <c r="AX26" s="1610"/>
      <c r="AY26" s="1516"/>
      <c r="AZ26" s="1516"/>
      <c r="BA26" s="1516"/>
      <c r="BB26" s="1516"/>
      <c r="BC26" s="1516"/>
      <c r="BD26" s="1516"/>
      <c r="BE26" s="1516"/>
      <c r="BF26" s="1612"/>
      <c r="BG26" s="1778"/>
      <c r="BH26" s="1778"/>
      <c r="BI26" s="1778"/>
      <c r="BJ26" s="1778"/>
      <c r="BK26" s="1778"/>
      <c r="BL26" s="1778"/>
      <c r="BM26" s="1778"/>
      <c r="BN26" s="1766"/>
    </row>
    <row r="27" spans="1:66">
      <c r="A27" t="s">
        <v>2390</v>
      </c>
      <c r="C27" s="2081" t="e">
        <f>C19/C21</f>
        <v>#REF!</v>
      </c>
      <c r="D27" s="2090"/>
      <c r="E27" s="2360" t="s">
        <v>1775</v>
      </c>
      <c r="F27" s="2090"/>
      <c r="G27" s="2081" t="e">
        <f>G19/G21</f>
        <v>#REF!</v>
      </c>
      <c r="H27" s="2090"/>
      <c r="I27" s="2361" t="s">
        <v>1775</v>
      </c>
      <c r="K27" s="1454">
        <f>K19/K21</f>
        <v>0</v>
      </c>
      <c r="L27" s="1455"/>
      <c r="M27" s="1456" t="s">
        <v>1775</v>
      </c>
      <c r="N27" s="1455"/>
      <c r="O27" s="1454">
        <f>O19/O21</f>
        <v>0</v>
      </c>
      <c r="P27" s="1455"/>
      <c r="Q27" s="1465" t="s">
        <v>1775</v>
      </c>
      <c r="R27" s="1567"/>
      <c r="S27" s="1564">
        <f>S19/S21</f>
        <v>0</v>
      </c>
      <c r="T27" s="1440"/>
      <c r="U27" s="1443" t="s">
        <v>1775</v>
      </c>
      <c r="V27" s="1440"/>
      <c r="W27" s="1439">
        <f>W19/W21</f>
        <v>0</v>
      </c>
      <c r="X27" s="1440"/>
      <c r="Y27" s="1443" t="s">
        <v>1775</v>
      </c>
      <c r="Z27" s="1561"/>
      <c r="AA27" s="1573">
        <f>AA19/AA21</f>
        <v>0</v>
      </c>
      <c r="AB27" s="1510"/>
      <c r="AC27" s="1517" t="s">
        <v>1775</v>
      </c>
      <c r="AD27" s="1510"/>
      <c r="AE27" s="1509">
        <f>AE19/AE21</f>
        <v>0</v>
      </c>
      <c r="AF27" s="1510"/>
      <c r="AG27" s="1517" t="s">
        <v>1775</v>
      </c>
      <c r="AH27" s="1587"/>
      <c r="AI27" s="1426">
        <f>AI19/AI21</f>
        <v>0</v>
      </c>
      <c r="AJ27" s="1512"/>
      <c r="AK27" s="1518" t="s">
        <v>1775</v>
      </c>
      <c r="AL27" s="1512"/>
      <c r="AM27" s="1511">
        <f>AM19/AM21</f>
        <v>0</v>
      </c>
      <c r="AN27" s="1512"/>
      <c r="AO27" s="1518" t="s">
        <v>1775</v>
      </c>
      <c r="AP27" s="1598"/>
      <c r="AQ27" s="1591">
        <f>AQ19/AQ21</f>
        <v>0</v>
      </c>
      <c r="AR27" s="1514"/>
      <c r="AS27" s="1519" t="s">
        <v>1775</v>
      </c>
      <c r="AT27" s="1514"/>
      <c r="AU27" s="1513">
        <f>AU19/AU21</f>
        <v>0</v>
      </c>
      <c r="AV27" s="1514"/>
      <c r="AW27" s="1519" t="s">
        <v>1775</v>
      </c>
      <c r="AX27" s="1610"/>
      <c r="AY27" s="1602">
        <f>AY19/AY21</f>
        <v>0</v>
      </c>
      <c r="AZ27" s="1516"/>
      <c r="BA27" s="1520" t="s">
        <v>1775</v>
      </c>
      <c r="BB27" s="1516"/>
      <c r="BC27" s="1515">
        <f>BC19/BC21</f>
        <v>0</v>
      </c>
      <c r="BD27" s="1516"/>
      <c r="BE27" s="1520" t="s">
        <v>1775</v>
      </c>
      <c r="BF27" s="1612"/>
      <c r="BG27" s="1777">
        <f>BG19/BG21</f>
        <v>0</v>
      </c>
      <c r="BH27" s="1778"/>
      <c r="BI27" s="1781" t="s">
        <v>1775</v>
      </c>
      <c r="BJ27" s="1778"/>
      <c r="BK27" s="1779">
        <f>BK19/BK21</f>
        <v>0</v>
      </c>
      <c r="BL27" s="1778"/>
      <c r="BM27" s="1781" t="s">
        <v>1775</v>
      </c>
      <c r="BN27" s="1766"/>
    </row>
    <row r="28" spans="1:66">
      <c r="A28" t="s">
        <v>2391</v>
      </c>
      <c r="C28" s="2081" t="e">
        <f>C27/'Ch41 Calc Data'!K17</f>
        <v>#REF!</v>
      </c>
      <c r="D28" s="2090"/>
      <c r="E28" s="2360" t="s">
        <v>1775</v>
      </c>
      <c r="F28" s="2090"/>
      <c r="G28" s="2081" t="e">
        <f>G27/'Ch41 Calc Data'!K17</f>
        <v>#REF!</v>
      </c>
      <c r="H28" s="2090"/>
      <c r="I28" s="2361" t="s">
        <v>1775</v>
      </c>
      <c r="K28" s="1454" t="e">
        <f>K27/'Ch41 Calc Data'!L17</f>
        <v>#REF!</v>
      </c>
      <c r="L28" s="1455"/>
      <c r="M28" s="1456" t="s">
        <v>1775</v>
      </c>
      <c r="N28" s="1455"/>
      <c r="O28" s="1454" t="e">
        <f>O27/'Ch41 Calc Data'!L17</f>
        <v>#REF!</v>
      </c>
      <c r="P28" s="1455"/>
      <c r="Q28" s="1465" t="s">
        <v>1775</v>
      </c>
      <c r="R28" s="1567"/>
      <c r="S28" s="1564" t="e">
        <f>S27/'Ch41 Calc Data'!M17</f>
        <v>#DIV/0!</v>
      </c>
      <c r="T28" s="1440"/>
      <c r="U28" s="1443" t="s">
        <v>1775</v>
      </c>
      <c r="V28" s="1440"/>
      <c r="W28" s="1439" t="e">
        <f>W27/'Ch41 Calc Data'!M17</f>
        <v>#DIV/0!</v>
      </c>
      <c r="X28" s="1440"/>
      <c r="Y28" s="1443" t="s">
        <v>1775</v>
      </c>
      <c r="Z28" s="1561"/>
      <c r="AA28" s="1573" t="e">
        <f>AA27/'Ch41 Calc Data'!N17</f>
        <v>#DIV/0!</v>
      </c>
      <c r="AB28" s="1510"/>
      <c r="AC28" s="1517" t="s">
        <v>1775</v>
      </c>
      <c r="AD28" s="1510"/>
      <c r="AE28" s="1509" t="e">
        <f>AE27/'Ch41 Calc Data'!N17</f>
        <v>#DIV/0!</v>
      </c>
      <c r="AF28" s="1510"/>
      <c r="AG28" s="1517" t="s">
        <v>1775</v>
      </c>
      <c r="AH28" s="1587"/>
      <c r="AI28" s="1426" t="e">
        <f>AI27/'Ch41 Calc Data'!O17</f>
        <v>#DIV/0!</v>
      </c>
      <c r="AJ28" s="1512"/>
      <c r="AK28" s="1518" t="s">
        <v>1775</v>
      </c>
      <c r="AL28" s="1512"/>
      <c r="AM28" s="1511" t="e">
        <f>AM27/'Ch41 Calc Data'!O17</f>
        <v>#DIV/0!</v>
      </c>
      <c r="AN28" s="1512"/>
      <c r="AO28" s="1518" t="s">
        <v>1775</v>
      </c>
      <c r="AP28" s="1598"/>
      <c r="AQ28" s="1591" t="e">
        <f>AQ27/'Ch41 Calc Data'!P17</f>
        <v>#DIV/0!</v>
      </c>
      <c r="AR28" s="1514"/>
      <c r="AS28" s="1519" t="s">
        <v>1775</v>
      </c>
      <c r="AT28" s="1514"/>
      <c r="AU28" s="1513" t="e">
        <f>AU27/'Ch41 Calc Data'!P17</f>
        <v>#DIV/0!</v>
      </c>
      <c r="AV28" s="1514"/>
      <c r="AW28" s="1519" t="s">
        <v>1775</v>
      </c>
      <c r="AX28" s="1610"/>
      <c r="AY28" s="1602" t="e">
        <f>AY27/'Ch41 Calc Data'!Q17</f>
        <v>#DIV/0!</v>
      </c>
      <c r="AZ28" s="1516"/>
      <c r="BA28" s="1520" t="s">
        <v>1775</v>
      </c>
      <c r="BB28" s="1516"/>
      <c r="BC28" s="1515" t="e">
        <f>BC27/'Ch41 Calc Data'!Q17</f>
        <v>#DIV/0!</v>
      </c>
      <c r="BD28" s="1516"/>
      <c r="BE28" s="1520" t="s">
        <v>1775</v>
      </c>
      <c r="BF28" s="1612"/>
      <c r="BG28" s="1777" t="e">
        <f>BG27/'Ch41 Calc Data'!R17</f>
        <v>#DIV/0!</v>
      </c>
      <c r="BH28" s="1778"/>
      <c r="BI28" s="1781" t="s">
        <v>1775</v>
      </c>
      <c r="BJ28" s="1778"/>
      <c r="BK28" s="1779" t="e">
        <f>BK27/'Ch41 Calc Data'!R17</f>
        <v>#DIV/0!</v>
      </c>
      <c r="BL28" s="1778"/>
      <c r="BM28" s="1781" t="s">
        <v>1775</v>
      </c>
      <c r="BN28" s="1766"/>
    </row>
    <row r="29" spans="1:66">
      <c r="A29" t="s">
        <v>1800</v>
      </c>
      <c r="C29" s="2081" t="e">
        <f>C28*((((Assumptions!G92/280000)-1)*('Data Entry - SOF'!C92/1.17))+1)</f>
        <v>#REF!</v>
      </c>
      <c r="D29" s="2090"/>
      <c r="E29" s="2360" t="s">
        <v>1775</v>
      </c>
      <c r="F29" s="2090"/>
      <c r="G29" s="2081" t="e">
        <f>G28*((((Assumptions!G93/280000)-1)*('Data Entry - SOF'!C92/1.17))+1)</f>
        <v>#REF!</v>
      </c>
      <c r="H29" s="2090"/>
      <c r="I29" s="2361" t="s">
        <v>1775</v>
      </c>
      <c r="K29" s="1454" t="e">
        <f>K28*((((Assumptions!G103/280000)-1)*('Data Entry - SOF'!#REF!/1.17))+1)</f>
        <v>#REF!</v>
      </c>
      <c r="L29" s="1455"/>
      <c r="M29" s="1456" t="s">
        <v>1775</v>
      </c>
      <c r="N29" s="1455"/>
      <c r="O29" s="1454" t="e">
        <f>O28*((((Assumptions!G104/280000)-1)*('Data Entry - SOF'!#REF!/1.17))+1)</f>
        <v>#REF!</v>
      </c>
      <c r="P29" s="1455"/>
      <c r="Q29" s="1465" t="s">
        <v>1775</v>
      </c>
      <c r="R29" s="1567"/>
      <c r="S29" s="1564" t="e">
        <f>S28*((((Assumptions!G112/280000)-1)*('Data Entry - SOF'!E92/1.17))+1)</f>
        <v>#DIV/0!</v>
      </c>
      <c r="T29" s="1440"/>
      <c r="U29" s="1443" t="s">
        <v>1775</v>
      </c>
      <c r="V29" s="1440"/>
      <c r="W29" s="1439" t="e">
        <f>W28*((((Assumptions!G113/280000)-1)*('Data Entry - SOF'!E92/1.17))+1)</f>
        <v>#DIV/0!</v>
      </c>
      <c r="X29" s="1440"/>
      <c r="Y29" s="1443" t="s">
        <v>1775</v>
      </c>
      <c r="Z29" s="1561"/>
      <c r="AA29" s="1573" t="e">
        <f>AA28*((((Assumptions!G121/280000)-1)*('Data Entry - SOF'!G92/1.17))+1)</f>
        <v>#DIV/0!</v>
      </c>
      <c r="AB29" s="1510"/>
      <c r="AC29" s="1517" t="s">
        <v>1775</v>
      </c>
      <c r="AD29" s="1510"/>
      <c r="AE29" s="1509" t="e">
        <f>AE28*((((Assumptions!G122/280000)-1)*('Data Entry - SOF'!G92/1.17))+1)</f>
        <v>#DIV/0!</v>
      </c>
      <c r="AF29" s="1510"/>
      <c r="AG29" s="1517" t="s">
        <v>1775</v>
      </c>
      <c r="AH29" s="1587"/>
      <c r="AI29" s="1426" t="e">
        <f>AI28*((((Assumptions!G130/280000)-1)*('Data Entry - SOF'!M92/1.17))+1)</f>
        <v>#DIV/0!</v>
      </c>
      <c r="AJ29" s="1512"/>
      <c r="AK29" s="1518" t="s">
        <v>1775</v>
      </c>
      <c r="AL29" s="1512"/>
      <c r="AM29" s="1511" t="e">
        <f>AM28*((((Assumptions!G131/280000)-1)*('Data Entry - SOF'!M92/1.17))+1)</f>
        <v>#DIV/0!</v>
      </c>
      <c r="AN29" s="1512"/>
      <c r="AO29" s="1518" t="s">
        <v>1775</v>
      </c>
      <c r="AP29" s="1598"/>
      <c r="AQ29" s="1591" t="e">
        <f>AQ28*((((Assumptions!G139/280000)-1)*('Data Entry - SOF'!O92/1.17))+1)</f>
        <v>#DIV/0!</v>
      </c>
      <c r="AR29" s="1514"/>
      <c r="AS29" s="1519" t="s">
        <v>1775</v>
      </c>
      <c r="AT29" s="1514"/>
      <c r="AU29" s="1513" t="e">
        <f>AU28*((((Assumptions!G140/280000)-1)*('Data Entry - SOF'!O92/1.17))+1)</f>
        <v>#DIV/0!</v>
      </c>
      <c r="AV29" s="1514"/>
      <c r="AW29" s="1519" t="s">
        <v>1775</v>
      </c>
      <c r="AX29" s="1610"/>
      <c r="AY29" s="1602" t="e">
        <f>AY28*((((Assumptions!G148/280000)-1)*('Data Entry - SOF'!Q92/1.17))+1)</f>
        <v>#DIV/0!</v>
      </c>
      <c r="AZ29" s="1516"/>
      <c r="BA29" s="1520" t="s">
        <v>1775</v>
      </c>
      <c r="BB29" s="1516"/>
      <c r="BC29" s="1515" t="e">
        <f>BC28*((((Assumptions!G149/280000)-1)*('Data Entry - SOF'!Q92/1.17))+1)</f>
        <v>#DIV/0!</v>
      </c>
      <c r="BD29" s="1516"/>
      <c r="BE29" s="1520" t="s">
        <v>1775</v>
      </c>
      <c r="BF29" s="1612"/>
      <c r="BG29" s="1777" t="e">
        <f>BG28*((((Assumptions!G157/280000)-1)*('Data Entry - SOF'!S92/1.17))+1)</f>
        <v>#DIV/0!</v>
      </c>
      <c r="BH29" s="1778"/>
      <c r="BI29" s="1781" t="s">
        <v>1775</v>
      </c>
      <c r="BJ29" s="1778"/>
      <c r="BK29" s="1779" t="e">
        <f>BK28*((((Assumptions!G158/280000)-1)*('Data Entry - SOF'!S92/1.17))+1)</f>
        <v>#DIV/0!</v>
      </c>
      <c r="BL29" s="1778"/>
      <c r="BM29" s="1781" t="s">
        <v>1775</v>
      </c>
      <c r="BN29" s="1766"/>
    </row>
    <row r="30" spans="1:66">
      <c r="A30" t="s">
        <v>801</v>
      </c>
      <c r="C30" s="2081" t="e">
        <f>C29*'Ch41 Calc Data'!K17</f>
        <v>#REF!</v>
      </c>
      <c r="D30" s="2090"/>
      <c r="E30" s="2360" t="s">
        <v>1775</v>
      </c>
      <c r="F30" s="2090"/>
      <c r="G30" s="2081" t="e">
        <f>G29*'Ch41 Calc Data'!K17</f>
        <v>#REF!</v>
      </c>
      <c r="H30" s="2090"/>
      <c r="I30" s="2361" t="s">
        <v>1775</v>
      </c>
      <c r="K30" s="1454" t="e">
        <f>K29*'Ch41 Calc Data'!L17</f>
        <v>#REF!</v>
      </c>
      <c r="L30" s="1455"/>
      <c r="M30" s="1456" t="s">
        <v>1775</v>
      </c>
      <c r="N30" s="1455"/>
      <c r="O30" s="1454" t="e">
        <f>O29*'Ch41 Calc Data'!L17</f>
        <v>#REF!</v>
      </c>
      <c r="P30" s="1455"/>
      <c r="Q30" s="1465" t="s">
        <v>1775</v>
      </c>
      <c r="R30" s="1567"/>
      <c r="S30" s="1564" t="e">
        <f>S29*'Ch41 Calc Data'!M17</f>
        <v>#DIV/0!</v>
      </c>
      <c r="T30" s="1440"/>
      <c r="U30" s="1443" t="s">
        <v>1775</v>
      </c>
      <c r="V30" s="1440"/>
      <c r="W30" s="1439" t="e">
        <f>W29*'Ch41 Calc Data'!M17</f>
        <v>#DIV/0!</v>
      </c>
      <c r="X30" s="1440"/>
      <c r="Y30" s="1443" t="s">
        <v>1775</v>
      </c>
      <c r="Z30" s="1561"/>
      <c r="AA30" s="1573" t="e">
        <f>AA29*'Ch41 Calc Data'!N17</f>
        <v>#DIV/0!</v>
      </c>
      <c r="AB30" s="1510"/>
      <c r="AC30" s="1517" t="s">
        <v>1775</v>
      </c>
      <c r="AD30" s="1510"/>
      <c r="AE30" s="1509" t="e">
        <f>AE29*'Ch41 Calc Data'!N17</f>
        <v>#DIV/0!</v>
      </c>
      <c r="AF30" s="1510"/>
      <c r="AG30" s="1517" t="s">
        <v>1775</v>
      </c>
      <c r="AH30" s="1587"/>
      <c r="AI30" s="1426" t="e">
        <f>AI29*'Ch41 Calc Data'!O17</f>
        <v>#DIV/0!</v>
      </c>
      <c r="AJ30" s="1512"/>
      <c r="AK30" s="1518" t="s">
        <v>1775</v>
      </c>
      <c r="AL30" s="1512"/>
      <c r="AM30" s="1511" t="e">
        <f>AM29*'Ch41 Calc Data'!O17</f>
        <v>#DIV/0!</v>
      </c>
      <c r="AN30" s="1512"/>
      <c r="AO30" s="1518" t="s">
        <v>1775</v>
      </c>
      <c r="AP30" s="1598"/>
      <c r="AQ30" s="1591" t="e">
        <f>AQ29*'Ch41 Calc Data'!P17</f>
        <v>#DIV/0!</v>
      </c>
      <c r="AR30" s="1514"/>
      <c r="AS30" s="1519" t="s">
        <v>1775</v>
      </c>
      <c r="AT30" s="1514"/>
      <c r="AU30" s="1513" t="e">
        <f>AU29*'Ch41 Calc Data'!P17</f>
        <v>#DIV/0!</v>
      </c>
      <c r="AV30" s="1514"/>
      <c r="AW30" s="1519" t="s">
        <v>1775</v>
      </c>
      <c r="AX30" s="1610"/>
      <c r="AY30" s="1602" t="e">
        <f>AY29*'Ch41 Calc Data'!Q17</f>
        <v>#DIV/0!</v>
      </c>
      <c r="AZ30" s="1516"/>
      <c r="BA30" s="1520" t="s">
        <v>1775</v>
      </c>
      <c r="BB30" s="1516"/>
      <c r="BC30" s="1515" t="e">
        <f>BC29*'Ch41 Calc Data'!Q17</f>
        <v>#DIV/0!</v>
      </c>
      <c r="BD30" s="1516"/>
      <c r="BE30" s="1520" t="s">
        <v>1775</v>
      </c>
      <c r="BF30" s="1612"/>
      <c r="BG30" s="1777" t="e">
        <f>BG29*'Ch41 Calc Data'!R17</f>
        <v>#DIV/0!</v>
      </c>
      <c r="BH30" s="1778"/>
      <c r="BI30" s="1781" t="s">
        <v>1775</v>
      </c>
      <c r="BJ30" s="1778"/>
      <c r="BK30" s="1779" t="e">
        <f>BK29*'Ch41 Calc Data'!R17</f>
        <v>#DIV/0!</v>
      </c>
      <c r="BL30" s="1778"/>
      <c r="BM30" s="1781" t="s">
        <v>1775</v>
      </c>
      <c r="BN30" s="1766"/>
    </row>
    <row r="31" spans="1:66">
      <c r="I31" s="2070"/>
      <c r="K31" s="1455"/>
      <c r="L31" s="1455"/>
      <c r="M31" s="1455"/>
      <c r="N31" s="1455"/>
      <c r="O31" s="1455"/>
      <c r="P31" s="1455"/>
      <c r="R31" s="1567"/>
      <c r="S31" s="1440"/>
      <c r="T31" s="1440"/>
      <c r="U31" s="1440"/>
      <c r="V31" s="1440"/>
      <c r="W31" s="1440"/>
      <c r="X31" s="1440"/>
      <c r="Y31" s="1440"/>
      <c r="Z31" s="1561"/>
      <c r="AA31" s="1510"/>
      <c r="AB31" s="1510"/>
      <c r="AC31" s="1510"/>
      <c r="AD31" s="1510"/>
      <c r="AE31" s="1510"/>
      <c r="AF31" s="1510"/>
      <c r="AG31" s="1510"/>
      <c r="AH31" s="1587"/>
      <c r="AI31" s="1512"/>
      <c r="AJ31" s="1512"/>
      <c r="AK31" s="1512"/>
      <c r="AL31" s="1512"/>
      <c r="AM31" s="1512"/>
      <c r="AN31" s="1512"/>
      <c r="AO31" s="1512"/>
      <c r="AP31" s="1598"/>
      <c r="AQ31" s="1514"/>
      <c r="AR31" s="1514"/>
      <c r="AS31" s="1514"/>
      <c r="AT31" s="1514"/>
      <c r="AU31" s="1514"/>
      <c r="AV31" s="1514"/>
      <c r="AW31" s="1514"/>
      <c r="AX31" s="1610"/>
      <c r="AY31" s="1516"/>
      <c r="AZ31" s="1516"/>
      <c r="BA31" s="1516"/>
      <c r="BB31" s="1516"/>
      <c r="BC31" s="1516"/>
      <c r="BD31" s="1516"/>
      <c r="BE31" s="1516"/>
      <c r="BF31" s="1612"/>
      <c r="BG31" s="1778"/>
      <c r="BH31" s="1778"/>
      <c r="BI31" s="1778"/>
      <c r="BJ31" s="1778"/>
      <c r="BK31" s="1778"/>
      <c r="BL31" s="1778"/>
      <c r="BM31" s="1778"/>
      <c r="BN31" s="1766"/>
    </row>
    <row r="32" spans="1:66" ht="15.75">
      <c r="A32" s="30" t="s">
        <v>1251</v>
      </c>
      <c r="I32" s="2070"/>
      <c r="K32" s="1455"/>
      <c r="L32" s="1455"/>
      <c r="M32" s="1455"/>
      <c r="N32" s="1455"/>
      <c r="O32" s="1455"/>
      <c r="P32" s="1455"/>
      <c r="R32" s="1567"/>
      <c r="S32" s="1440"/>
      <c r="T32" s="1440"/>
      <c r="U32" s="1440"/>
      <c r="V32" s="1440"/>
      <c r="W32" s="1440"/>
      <c r="X32" s="1440"/>
      <c r="Y32" s="1440"/>
      <c r="Z32" s="1561"/>
      <c r="AA32" s="1510"/>
      <c r="AB32" s="1510"/>
      <c r="AC32" s="1510"/>
      <c r="AD32" s="1510"/>
      <c r="AE32" s="1510"/>
      <c r="AF32" s="1510"/>
      <c r="AG32" s="1510"/>
      <c r="AH32" s="1587"/>
      <c r="AI32" s="1512"/>
      <c r="AJ32" s="1512"/>
      <c r="AK32" s="1512"/>
      <c r="AL32" s="1512"/>
      <c r="AM32" s="1512"/>
      <c r="AN32" s="1512"/>
      <c r="AO32" s="1512"/>
      <c r="AP32" s="1598"/>
      <c r="AQ32" s="1514"/>
      <c r="AR32" s="1514"/>
      <c r="AS32" s="1514"/>
      <c r="AT32" s="1514"/>
      <c r="AU32" s="1514"/>
      <c r="AV32" s="1514"/>
      <c r="AW32" s="1514"/>
      <c r="AX32" s="1610"/>
      <c r="AY32" s="1516"/>
      <c r="AZ32" s="1516"/>
      <c r="BA32" s="1516"/>
      <c r="BB32" s="1516"/>
      <c r="BC32" s="1516"/>
      <c r="BD32" s="1516"/>
      <c r="BE32" s="1516"/>
      <c r="BF32" s="1612"/>
      <c r="BG32" s="1778"/>
      <c r="BH32" s="1778"/>
      <c r="BI32" s="1778"/>
      <c r="BJ32" s="1778"/>
      <c r="BK32" s="1778"/>
      <c r="BL32" s="1778"/>
      <c r="BM32" s="1778"/>
      <c r="BN32" s="1766"/>
    </row>
    <row r="33" spans="1:66">
      <c r="A33" t="s">
        <v>1252</v>
      </c>
      <c r="C33" s="2081" t="e">
        <f>IF(C30&gt;C24,C30,C24)</f>
        <v>#REF!</v>
      </c>
      <c r="D33" s="2085"/>
      <c r="E33" s="2081" t="e">
        <f>E24</f>
        <v>#REF!</v>
      </c>
      <c r="F33" s="2085"/>
      <c r="G33" s="2081" t="e">
        <f>IF(G30&gt;G24,G30,G24)</f>
        <v>#REF!</v>
      </c>
      <c r="H33" s="2085"/>
      <c r="I33" s="2082" t="e">
        <f>I24</f>
        <v>#REF!</v>
      </c>
      <c r="K33" s="1454" t="e">
        <f>IF(K30&gt;K24,K30,K24)</f>
        <v>#REF!</v>
      </c>
      <c r="L33" s="1455"/>
      <c r="M33" s="1454" t="e">
        <f>M24</f>
        <v>#REF!</v>
      </c>
      <c r="N33" s="1455"/>
      <c r="O33" s="1454" t="e">
        <f>IF(O30&gt;O24,O30,O24)</f>
        <v>#REF!</v>
      </c>
      <c r="P33" s="1455"/>
      <c r="Q33" s="1466" t="e">
        <f>Q24</f>
        <v>#REF!</v>
      </c>
      <c r="R33" s="1567"/>
      <c r="S33" s="1564" t="e">
        <f>IF(S30&gt;S24,S30,S24)</f>
        <v>#DIV/0!</v>
      </c>
      <c r="T33" s="1440"/>
      <c r="U33" s="1439">
        <f>U24</f>
        <v>0</v>
      </c>
      <c r="V33" s="1440"/>
      <c r="W33" s="1439" t="e">
        <f>IF(W30&gt;W24,W30,W24)</f>
        <v>#DIV/0!</v>
      </c>
      <c r="X33" s="1440"/>
      <c r="Y33" s="1439">
        <f>Y24</f>
        <v>0</v>
      </c>
      <c r="Z33" s="1561"/>
      <c r="AA33" s="1573" t="e">
        <f>IF(AA30&gt;AA24,AA30,AA24)</f>
        <v>#DIV/0!</v>
      </c>
      <c r="AB33" s="1510"/>
      <c r="AC33" s="1509">
        <f>AC24</f>
        <v>0</v>
      </c>
      <c r="AD33" s="1510"/>
      <c r="AE33" s="1509" t="e">
        <f>IF(AE30&gt;AE24,AE30,AE24)</f>
        <v>#DIV/0!</v>
      </c>
      <c r="AF33" s="1510"/>
      <c r="AG33" s="1509">
        <f>AG24</f>
        <v>0</v>
      </c>
      <c r="AH33" s="1587"/>
      <c r="AI33" s="1426" t="e">
        <f>IF(AI30&gt;AI24,AI30,AI24)</f>
        <v>#DIV/0!</v>
      </c>
      <c r="AJ33" s="1512"/>
      <c r="AK33" s="1511" t="e">
        <f>AK24</f>
        <v>#DIV/0!</v>
      </c>
      <c r="AL33" s="1512"/>
      <c r="AM33" s="1511" t="e">
        <f>IF(AM30&gt;AM24,AM30,AM24)</f>
        <v>#DIV/0!</v>
      </c>
      <c r="AN33" s="1512"/>
      <c r="AO33" s="1511" t="e">
        <f>AO24</f>
        <v>#DIV/0!</v>
      </c>
      <c r="AP33" s="1598"/>
      <c r="AQ33" s="1591" t="e">
        <f>IF(AQ30&gt;AQ24,AQ30,AQ24)</f>
        <v>#DIV/0!</v>
      </c>
      <c r="AR33" s="1514"/>
      <c r="AS33" s="1513" t="e">
        <f>AS24</f>
        <v>#DIV/0!</v>
      </c>
      <c r="AT33" s="1514"/>
      <c r="AU33" s="1513" t="e">
        <f>IF(AU30&gt;AU24,AU30,AU24)</f>
        <v>#DIV/0!</v>
      </c>
      <c r="AV33" s="1514"/>
      <c r="AW33" s="1513" t="e">
        <f>AW24</f>
        <v>#DIV/0!</v>
      </c>
      <c r="AX33" s="1610"/>
      <c r="AY33" s="1602" t="e">
        <f>IF(AY30&gt;AY24,AY30,AY24)</f>
        <v>#DIV/0!</v>
      </c>
      <c r="AZ33" s="1516"/>
      <c r="BA33" s="1515" t="e">
        <f>BA24</f>
        <v>#DIV/0!</v>
      </c>
      <c r="BB33" s="1516"/>
      <c r="BC33" s="1515" t="e">
        <f>IF(BC30&gt;BC24,BC30,BC24)</f>
        <v>#DIV/0!</v>
      </c>
      <c r="BD33" s="1516"/>
      <c r="BE33" s="1515" t="e">
        <f>BE24</f>
        <v>#DIV/0!</v>
      </c>
      <c r="BF33" s="1612"/>
      <c r="BG33" s="1777" t="e">
        <f>IF(BG30&gt;BG24,BG30,BG24)</f>
        <v>#DIV/0!</v>
      </c>
      <c r="BH33" s="1778"/>
      <c r="BI33" s="1779" t="e">
        <f>BI24</f>
        <v>#DIV/0!</v>
      </c>
      <c r="BJ33" s="1778"/>
      <c r="BK33" s="1779" t="e">
        <f>IF(BK30&gt;BK24,BK30,BK24)</f>
        <v>#DIV/0!</v>
      </c>
      <c r="BL33" s="1778"/>
      <c r="BM33" s="1779" t="e">
        <f>BM24</f>
        <v>#DIV/0!</v>
      </c>
      <c r="BN33" s="1766"/>
    </row>
    <row r="34" spans="1:66">
      <c r="A34" t="s">
        <v>503</v>
      </c>
      <c r="C34" s="2081" t="e">
        <f>IF('Data Entry - SOF'!C77-C33&lt;0,0,'Data Entry - SOF'!C77-C33)</f>
        <v>#REF!</v>
      </c>
      <c r="D34" s="2085"/>
      <c r="E34" s="2081" t="e">
        <f>IF('Data Entry - SOF'!C77-E33&lt;0,0,'Data Entry - SOF'!C77-E33)</f>
        <v>#REF!</v>
      </c>
      <c r="F34" s="2085"/>
      <c r="G34" s="2081" t="e">
        <f>IF('Data Entry - SOF'!C77-G33&lt;0,0,'Data Entry - SOF'!C77-G33)</f>
        <v>#REF!</v>
      </c>
      <c r="H34" s="2085"/>
      <c r="I34" s="2082" t="e">
        <f>IF('Data Entry - SOF'!C77-I33&lt;0,0,'Data Entry - SOF'!C77-I33)</f>
        <v>#REF!</v>
      </c>
      <c r="K34" s="1454" t="e">
        <f>IF('Data Entry - SOF'!#REF!-K33&lt;0,0,'Data Entry - SOF'!#REF!-K33)</f>
        <v>#REF!</v>
      </c>
      <c r="L34" s="1455"/>
      <c r="M34" s="1454" t="e">
        <f>IF('Data Entry - SOF'!#REF!-M33&lt;0,0,'Data Entry - SOF'!#REF!-M33)</f>
        <v>#REF!</v>
      </c>
      <c r="N34" s="1455"/>
      <c r="O34" s="1454" t="e">
        <f>IF('Data Entry - SOF'!#REF!-O33&lt;0,0,'Data Entry - SOF'!#REF!-O33)</f>
        <v>#REF!</v>
      </c>
      <c r="P34" s="1455"/>
      <c r="Q34" s="1466" t="e">
        <f>IF('Data Entry - SOF'!#REF!-Q33&lt;0,0,'Data Entry - SOF'!#REF!-Q33)</f>
        <v>#REF!</v>
      </c>
      <c r="R34" s="1567"/>
      <c r="S34" s="1564" t="e">
        <f>IF('Data Entry - SOF'!E77-S33&lt;0,0,'Data Entry - SOF'!E77-S33)</f>
        <v>#DIV/0!</v>
      </c>
      <c r="T34" s="1440"/>
      <c r="U34" s="1439">
        <f>IF('Data Entry - SOF'!E77-U33&lt;0,0,'Data Entry - SOF'!E77-U33)</f>
        <v>0</v>
      </c>
      <c r="V34" s="1440"/>
      <c r="W34" s="1439" t="e">
        <f>IF('Data Entry - SOF'!E77-W33&lt;0,0,'Data Entry - SOF'!E77-W33)</f>
        <v>#DIV/0!</v>
      </c>
      <c r="X34" s="1440"/>
      <c r="Y34" s="1439">
        <f>IF('Data Entry - SOF'!E77-Y33&lt;0,0,'Data Entry - SOF'!E77-Y33)</f>
        <v>0</v>
      </c>
      <c r="Z34" s="1561"/>
      <c r="AA34" s="1573" t="e">
        <f>IF('Data Entry - SOF'!E87-AA33&lt;0,0,'Data Entry - SOF'!E87-AA33)</f>
        <v>#DIV/0!</v>
      </c>
      <c r="AB34" s="1510"/>
      <c r="AC34" s="1509">
        <f>IF('Data Entry - SOF'!E87-AC33&lt;0,0,'Data Entry - SOF'!E87-AC33)</f>
        <v>0</v>
      </c>
      <c r="AD34" s="1510"/>
      <c r="AE34" s="1509" t="e">
        <f>IF('Data Entry - SOF'!E87-AE33&lt;0,0,'Data Entry - SOF'!E87-AE33)</f>
        <v>#DIV/0!</v>
      </c>
      <c r="AF34" s="1510"/>
      <c r="AG34" s="1509">
        <f>IF('Data Entry - SOF'!E87-AG33&lt;0,0,'Data Entry - SOF'!E87-AG33)</f>
        <v>0</v>
      </c>
      <c r="AH34" s="1587"/>
      <c r="AI34" s="1426" t="e">
        <f>IF('Data Entry - SOF'!M77-AI33&lt;0,0,'Data Entry - SOF'!M77-AI33)</f>
        <v>#DIV/0!</v>
      </c>
      <c r="AJ34" s="1512"/>
      <c r="AK34" s="1511" t="e">
        <f>IF('Data Entry - SOF'!M77-AK33&lt;0,0,'Data Entry - SOF'!M77-AK33)</f>
        <v>#DIV/0!</v>
      </c>
      <c r="AL34" s="1512"/>
      <c r="AM34" s="1511" t="e">
        <f>IF('Data Entry - SOF'!M77-AM33&lt;0,0,'Data Entry - SOF'!M77-AM33)</f>
        <v>#DIV/0!</v>
      </c>
      <c r="AN34" s="1512"/>
      <c r="AO34" s="1511" t="e">
        <f>IF('Data Entry - SOF'!M77-AO33&lt;0,0,'Data Entry - SOF'!M77-AO33)</f>
        <v>#DIV/0!</v>
      </c>
      <c r="AP34" s="1598"/>
      <c r="AQ34" s="1591" t="e">
        <f>IF('Data Entry - SOF'!O77-AQ33&lt;0,0,'Data Entry - SOF'!O77-AQ33)</f>
        <v>#DIV/0!</v>
      </c>
      <c r="AR34" s="1514"/>
      <c r="AS34" s="1513" t="e">
        <f>IF('Data Entry - SOF'!O77-AS33&lt;0,0,'Data Entry - SOF'!O77-AS33)</f>
        <v>#DIV/0!</v>
      </c>
      <c r="AT34" s="1514"/>
      <c r="AU34" s="1513" t="e">
        <f>IF('Data Entry - SOF'!O77-AU33&lt;0,0,'Data Entry - SOF'!O77-AU33)</f>
        <v>#DIV/0!</v>
      </c>
      <c r="AV34" s="1514"/>
      <c r="AW34" s="1513" t="e">
        <f>IF('Data Entry - SOF'!O77-AW33&lt;0,0,'Data Entry - SOF'!O77-AW33)</f>
        <v>#DIV/0!</v>
      </c>
      <c r="AX34" s="1610"/>
      <c r="AY34" s="1602" t="e">
        <f>IF('Data Entry - SOF'!Q77-AY33&lt;0,0,'Data Entry - SOF'!Q77-AY33)</f>
        <v>#DIV/0!</v>
      </c>
      <c r="AZ34" s="1516"/>
      <c r="BA34" s="1515" t="e">
        <f>IF('Data Entry - SOF'!Q77-BA33&lt;0,0,'Data Entry - SOF'!Q77-BA33)</f>
        <v>#DIV/0!</v>
      </c>
      <c r="BB34" s="1516"/>
      <c r="BC34" s="1515" t="e">
        <f>IF('Data Entry - SOF'!Q77-BC33&lt;0,0,'Data Entry - SOF'!Q77-BC33)</f>
        <v>#DIV/0!</v>
      </c>
      <c r="BD34" s="1516"/>
      <c r="BE34" s="1515" t="e">
        <f>IF('Data Entry - SOF'!Q77-BE33&lt;0,0,'Data Entry - SOF'!Q77-BE33)</f>
        <v>#DIV/0!</v>
      </c>
      <c r="BF34" s="1612"/>
      <c r="BG34" s="1777" t="e">
        <f>IF('Data Entry - SOF'!S77-BG33&lt;0,0,'Data Entry - SOF'!S77-BG33)</f>
        <v>#DIV/0!</v>
      </c>
      <c r="BH34" s="1778"/>
      <c r="BI34" s="1779" t="e">
        <f>IF('Data Entry - SOF'!S77-BI33&lt;0,0,'Data Entry - SOF'!S77-BI33)</f>
        <v>#DIV/0!</v>
      </c>
      <c r="BJ34" s="1778"/>
      <c r="BK34" s="1779" t="e">
        <f>IF('Data Entry - SOF'!S77-BK33&lt;0,0,'Data Entry - SOF'!S77-BK33)</f>
        <v>#DIV/0!</v>
      </c>
      <c r="BL34" s="1778"/>
      <c r="BM34" s="1779" t="e">
        <f>IF('Data Entry - SOF'!S77-BM33&lt;0,0,'Data Entry - SOF'!S77-BM33)</f>
        <v>#DIV/0!</v>
      </c>
      <c r="BN34" s="1766"/>
    </row>
    <row r="35" spans="1:66">
      <c r="A35" t="s">
        <v>2093</v>
      </c>
      <c r="C35" s="2362" t="e">
        <f>C34/'Data Entry - SOF'!C77</f>
        <v>#REF!</v>
      </c>
      <c r="D35" s="2363"/>
      <c r="E35" s="2362" t="e">
        <f>E34/'Data Entry - SOF'!C77</f>
        <v>#REF!</v>
      </c>
      <c r="F35" s="2363"/>
      <c r="G35" s="2362" t="e">
        <f>G34/'Data Entry - SOF'!C77</f>
        <v>#REF!</v>
      </c>
      <c r="H35" s="2363"/>
      <c r="I35" s="2364" t="e">
        <f>I34/'Data Entry - SOF'!C77</f>
        <v>#REF!</v>
      </c>
      <c r="K35" s="1452" t="e">
        <f>K34/'Data Entry - SOF'!#REF!</f>
        <v>#REF!</v>
      </c>
      <c r="L35" s="1453"/>
      <c r="M35" s="1452" t="e">
        <f>M34/'Data Entry - SOF'!#REF!</f>
        <v>#REF!</v>
      </c>
      <c r="N35" s="1453"/>
      <c r="O35" s="1452" t="e">
        <f>O34/'Data Entry - SOF'!#REF!</f>
        <v>#REF!</v>
      </c>
      <c r="P35" s="1453"/>
      <c r="Q35" s="1464" t="e">
        <f>Q34/'Data Entry - SOF'!#REF!</f>
        <v>#REF!</v>
      </c>
      <c r="R35" s="1567"/>
      <c r="S35" s="1565" t="e">
        <f>S34/'Data Entry - SOF'!E77</f>
        <v>#DIV/0!</v>
      </c>
      <c r="T35" s="1445"/>
      <c r="U35" s="1444" t="e">
        <f>U34/'Data Entry - SOF'!E77</f>
        <v>#DIV/0!</v>
      </c>
      <c r="V35" s="1445"/>
      <c r="W35" s="1444" t="e">
        <f>W34/'Data Entry - SOF'!E77</f>
        <v>#DIV/0!</v>
      </c>
      <c r="X35" s="1445"/>
      <c r="Y35" s="1444" t="e">
        <f>Y34/'Data Entry - SOF'!E77</f>
        <v>#DIV/0!</v>
      </c>
      <c r="Z35" s="1578"/>
      <c r="AA35" s="1574" t="e">
        <f>AA34/'Data Entry - SOF'!E87</f>
        <v>#DIV/0!</v>
      </c>
      <c r="AB35" s="1522"/>
      <c r="AC35" s="1521" t="e">
        <f>AC34/'Data Entry - SOF'!E87</f>
        <v>#DIV/0!</v>
      </c>
      <c r="AD35" s="1522"/>
      <c r="AE35" s="1521" t="e">
        <f>AE34/'Data Entry - SOF'!E87</f>
        <v>#DIV/0!</v>
      </c>
      <c r="AF35" s="1522"/>
      <c r="AG35" s="1521" t="e">
        <f>AG34/'Data Entry - SOF'!E87</f>
        <v>#DIV/0!</v>
      </c>
      <c r="AH35" s="1588"/>
      <c r="AI35" s="1580" t="e">
        <f>AI34/'Data Entry - SOF'!M77</f>
        <v>#DIV/0!</v>
      </c>
      <c r="AJ35" s="1524"/>
      <c r="AK35" s="1523" t="e">
        <f>AK34/'Data Entry - SOF'!M77</f>
        <v>#DIV/0!</v>
      </c>
      <c r="AL35" s="1524"/>
      <c r="AM35" s="1523" t="e">
        <f>AM34/'Data Entry - SOF'!M77</f>
        <v>#DIV/0!</v>
      </c>
      <c r="AN35" s="1524"/>
      <c r="AO35" s="1523" t="e">
        <f>AO34/'Data Entry - SOF'!M77</f>
        <v>#DIV/0!</v>
      </c>
      <c r="AP35" s="1599"/>
      <c r="AQ35" s="1592" t="e">
        <f>AQ34/'Data Entry - SOF'!O77</f>
        <v>#DIV/0!</v>
      </c>
      <c r="AR35" s="1526"/>
      <c r="AS35" s="1525" t="e">
        <f>AS34/'Data Entry - SOF'!O77</f>
        <v>#DIV/0!</v>
      </c>
      <c r="AT35" s="1526"/>
      <c r="AU35" s="1525" t="e">
        <f>AU34/'Data Entry - SOF'!O77</f>
        <v>#DIV/0!</v>
      </c>
      <c r="AV35" s="1526"/>
      <c r="AW35" s="1525" t="e">
        <f>AW34/'Data Entry - SOF'!O77</f>
        <v>#DIV/0!</v>
      </c>
      <c r="AX35" s="1611"/>
      <c r="AY35" s="1603" t="e">
        <f>AY34/'Data Entry - SOF'!Q77</f>
        <v>#DIV/0!</v>
      </c>
      <c r="AZ35" s="1528"/>
      <c r="BA35" s="1527" t="e">
        <f>BA34/'Data Entry - SOF'!Q77</f>
        <v>#DIV/0!</v>
      </c>
      <c r="BB35" s="1528"/>
      <c r="BC35" s="1527" t="e">
        <f>BC34/'Data Entry - SOF'!Q77</f>
        <v>#DIV/0!</v>
      </c>
      <c r="BD35" s="1528"/>
      <c r="BE35" s="1527" t="e">
        <f>BE34/'Data Entry - SOF'!Q77</f>
        <v>#DIV/0!</v>
      </c>
      <c r="BF35" s="1612"/>
      <c r="BG35" s="1782" t="e">
        <f>BG34/'Data Entry - SOF'!S77</f>
        <v>#DIV/0!</v>
      </c>
      <c r="BH35" s="1783"/>
      <c r="BI35" s="1784" t="e">
        <f>BI34/'Data Entry - SOF'!S77</f>
        <v>#DIV/0!</v>
      </c>
      <c r="BJ35" s="1783"/>
      <c r="BK35" s="1784" t="e">
        <f>BK34/'Data Entry - SOF'!S77</f>
        <v>#DIV/0!</v>
      </c>
      <c r="BL35" s="1783"/>
      <c r="BM35" s="1784" t="e">
        <f>BM34/'Data Entry - SOF'!S77</f>
        <v>#DIV/0!</v>
      </c>
      <c r="BN35" s="1766"/>
    </row>
    <row r="36" spans="1:66">
      <c r="A36" t="s">
        <v>185</v>
      </c>
      <c r="C36" s="2083" t="e">
        <f>C33/'Ch41 Calc Data'!K17</f>
        <v>#REF!</v>
      </c>
      <c r="D36" s="2057"/>
      <c r="E36" s="2083" t="e">
        <f>E33/'Ch41 Calc Data'!K17</f>
        <v>#REF!</v>
      </c>
      <c r="F36" s="2057"/>
      <c r="G36" s="2083" t="e">
        <f>G33/'Ch41 Calc Data'!K17</f>
        <v>#REF!</v>
      </c>
      <c r="H36" s="2057"/>
      <c r="I36" s="2084" t="e">
        <f>I33/'Ch41 Calc Data'!K17</f>
        <v>#REF!</v>
      </c>
      <c r="K36" s="1454" t="e">
        <f>K33/'Ch41 Calc Data'!L17</f>
        <v>#REF!</v>
      </c>
      <c r="L36" s="1455"/>
      <c r="M36" s="1454" t="e">
        <f>M33/'Ch41 Calc Data'!L17</f>
        <v>#REF!</v>
      </c>
      <c r="N36" s="1455"/>
      <c r="O36" s="1454" t="e">
        <f>O33/'Ch41 Calc Data'!L17</f>
        <v>#REF!</v>
      </c>
      <c r="P36" s="1455"/>
      <c r="Q36" s="1463" t="e">
        <f>Q33/'Ch41 Calc Data'!L17</f>
        <v>#REF!</v>
      </c>
      <c r="R36" s="1567"/>
      <c r="S36" s="1564" t="e">
        <f>S33/'Ch41 Calc Data'!M17</f>
        <v>#DIV/0!</v>
      </c>
      <c r="T36" s="1440"/>
      <c r="U36" s="1439" t="e">
        <f>U33/'Ch41 Calc Data'!M17</f>
        <v>#DIV/0!</v>
      </c>
      <c r="V36" s="1440"/>
      <c r="W36" s="1439" t="e">
        <f>W33/'Ch41 Calc Data'!M17</f>
        <v>#DIV/0!</v>
      </c>
      <c r="X36" s="1440"/>
      <c r="Y36" s="1439" t="e">
        <f>Y33/'Ch41 Calc Data'!M17</f>
        <v>#DIV/0!</v>
      </c>
      <c r="Z36" s="1560"/>
      <c r="AA36" s="1573" t="e">
        <f>AA33/'Ch41 Calc Data'!N17</f>
        <v>#DIV/0!</v>
      </c>
      <c r="AB36" s="1510"/>
      <c r="AC36" s="1509" t="e">
        <f>AC33/'Ch41 Calc Data'!N17</f>
        <v>#DIV/0!</v>
      </c>
      <c r="AD36" s="1510"/>
      <c r="AE36" s="1509" t="e">
        <f>AE33/'Ch41 Calc Data'!N17</f>
        <v>#DIV/0!</v>
      </c>
      <c r="AF36" s="1510"/>
      <c r="AG36" s="1509" t="e">
        <f>AG33/'Ch41 Calc Data'!N17</f>
        <v>#DIV/0!</v>
      </c>
      <c r="AH36" s="1582"/>
      <c r="AI36" s="1426" t="e">
        <f>AI33/'Ch41 Calc Data'!O17</f>
        <v>#DIV/0!</v>
      </c>
      <c r="AJ36" s="1512"/>
      <c r="AK36" s="1511" t="e">
        <f>AK33/'Ch41 Calc Data'!O17</f>
        <v>#DIV/0!</v>
      </c>
      <c r="AL36" s="1512"/>
      <c r="AM36" s="1511" t="e">
        <f>AM33/'Ch41 Calc Data'!O17</f>
        <v>#DIV/0!</v>
      </c>
      <c r="AN36" s="1512"/>
      <c r="AO36" s="1511" t="e">
        <f>AO33/'Ch41 Calc Data'!O17</f>
        <v>#DIV/0!</v>
      </c>
      <c r="AP36" s="1594"/>
      <c r="AQ36" s="1591" t="e">
        <f>AQ33/'Ch41 Calc Data'!P17</f>
        <v>#DIV/0!</v>
      </c>
      <c r="AR36" s="1514"/>
      <c r="AS36" s="1513" t="e">
        <f>AS33/'Ch41 Calc Data'!P17</f>
        <v>#DIV/0!</v>
      </c>
      <c r="AT36" s="1514"/>
      <c r="AU36" s="1513" t="e">
        <f>AU33/'Ch41 Calc Data'!P17</f>
        <v>#DIV/0!</v>
      </c>
      <c r="AV36" s="1514"/>
      <c r="AW36" s="1513" t="e">
        <f>AW33/'Ch41 Calc Data'!P17</f>
        <v>#DIV/0!</v>
      </c>
      <c r="AX36" s="1605"/>
      <c r="AY36" s="1602" t="e">
        <f>AY33/'Ch41 Calc Data'!Q17</f>
        <v>#DIV/0!</v>
      </c>
      <c r="AZ36" s="1516"/>
      <c r="BA36" s="1515" t="e">
        <f>BA33/'Ch41 Calc Data'!Q17</f>
        <v>#DIV/0!</v>
      </c>
      <c r="BB36" s="1516"/>
      <c r="BC36" s="1515" t="e">
        <f>BC33/'Ch41 Calc Data'!Q17</f>
        <v>#DIV/0!</v>
      </c>
      <c r="BD36" s="1516"/>
      <c r="BE36" s="1515" t="e">
        <f>BE33/'Ch41 Calc Data'!Q17</f>
        <v>#DIV/0!</v>
      </c>
      <c r="BF36" s="1612"/>
      <c r="BG36" s="1777" t="e">
        <f>BG33/'Ch41 Calc Data'!R17</f>
        <v>#DIV/0!</v>
      </c>
      <c r="BH36" s="1778"/>
      <c r="BI36" s="1779" t="e">
        <f>BI33/'Ch41 Calc Data'!R17</f>
        <v>#DIV/0!</v>
      </c>
      <c r="BJ36" s="1778"/>
      <c r="BK36" s="1779" t="e">
        <f>BK33/'Ch41 Calc Data'!R17</f>
        <v>#DIV/0!</v>
      </c>
      <c r="BL36" s="1778"/>
      <c r="BM36" s="1779" t="e">
        <f>BM33/'Ch41 Calc Data'!R17</f>
        <v>#DIV/0!</v>
      </c>
      <c r="BN36" s="1766"/>
    </row>
    <row r="37" spans="1:66">
      <c r="I37" s="2070"/>
      <c r="R37" s="1567"/>
      <c r="Z37" s="1560"/>
      <c r="AH37" s="1582"/>
      <c r="AP37" s="1594"/>
      <c r="AX37" s="1605"/>
      <c r="BF37" s="1612"/>
      <c r="BN37" s="1766"/>
    </row>
    <row r="38" spans="1:66" ht="15.75">
      <c r="A38" s="30" t="s">
        <v>2094</v>
      </c>
      <c r="I38" s="2070"/>
      <c r="R38" s="1567"/>
      <c r="Z38" s="1560"/>
      <c r="AH38" s="1582"/>
      <c r="AP38" s="1594"/>
      <c r="AX38" s="1605"/>
      <c r="BF38" s="1612"/>
      <c r="BN38" s="1766"/>
    </row>
    <row r="39" spans="1:66">
      <c r="A39" t="s">
        <v>917</v>
      </c>
      <c r="C39" s="2083" t="e">
        <f>'Calc Data-15K'!AD36</f>
        <v>#REF!</v>
      </c>
      <c r="D39" s="2057"/>
      <c r="E39" s="2083" t="e">
        <f>C39</f>
        <v>#REF!</v>
      </c>
      <c r="F39" s="2057"/>
      <c r="G39" s="2083"/>
      <c r="H39" s="2057"/>
      <c r="I39" s="2084"/>
      <c r="K39" s="1454" t="e">
        <f>'Calc Data-15K'!D30</f>
        <v>#REF!</v>
      </c>
      <c r="L39" s="1455"/>
      <c r="M39" s="1454" t="e">
        <f>K39</f>
        <v>#REF!</v>
      </c>
      <c r="N39" s="1455"/>
      <c r="O39" s="1454"/>
      <c r="P39" s="1455"/>
      <c r="Q39" s="1481"/>
      <c r="R39" s="1567"/>
      <c r="S39" s="1564">
        <f>'Calc Data-15K'!E30</f>
        <v>0</v>
      </c>
      <c r="T39" s="1440"/>
      <c r="U39" s="1439">
        <f>S39</f>
        <v>0</v>
      </c>
      <c r="V39" s="1440"/>
      <c r="W39" s="1439"/>
      <c r="X39" s="1440"/>
      <c r="Y39" s="1439"/>
      <c r="Z39" s="1561"/>
      <c r="AA39" s="1573">
        <f>'Calc Data-15K'!F30</f>
        <v>0</v>
      </c>
      <c r="AB39" s="1510"/>
      <c r="AC39" s="1509">
        <f>AA39</f>
        <v>0</v>
      </c>
      <c r="AD39" s="1510"/>
      <c r="AE39" s="1509"/>
      <c r="AF39" s="1510"/>
      <c r="AG39" s="1509"/>
      <c r="AH39" s="1587"/>
      <c r="AI39" s="1426">
        <f>'Calc Data-15K'!G30</f>
        <v>0</v>
      </c>
      <c r="AJ39" s="1512"/>
      <c r="AK39" s="1511">
        <f>AI39</f>
        <v>0</v>
      </c>
      <c r="AL39" s="1512"/>
      <c r="AM39" s="1511"/>
      <c r="AN39" s="1512"/>
      <c r="AO39" s="1511"/>
      <c r="AP39" s="1598"/>
      <c r="AQ39" s="1591">
        <f>'Calc Data-15K'!H30</f>
        <v>0</v>
      </c>
      <c r="AR39" s="1514"/>
      <c r="AS39" s="1513">
        <f>AQ39</f>
        <v>0</v>
      </c>
      <c r="AT39" s="1514"/>
      <c r="AU39" s="1513"/>
      <c r="AV39" s="1514"/>
      <c r="AW39" s="1513"/>
      <c r="AX39" s="1610"/>
      <c r="AY39" s="1602">
        <f>'Calc Data-15K'!I30</f>
        <v>0</v>
      </c>
      <c r="AZ39" s="1516"/>
      <c r="BA39" s="1515">
        <f>AY39</f>
        <v>0</v>
      </c>
      <c r="BB39" s="1516"/>
      <c r="BC39" s="1515"/>
      <c r="BD39" s="1516"/>
      <c r="BE39" s="1515"/>
      <c r="BF39" s="1612"/>
      <c r="BG39" s="1777">
        <f>'Calc Data-15K'!J30</f>
        <v>0</v>
      </c>
      <c r="BH39" s="1778"/>
      <c r="BI39" s="1779">
        <f>BG39</f>
        <v>0</v>
      </c>
      <c r="BJ39" s="1778"/>
      <c r="BK39" s="1779"/>
      <c r="BL39" s="1778"/>
      <c r="BM39" s="1779"/>
      <c r="BN39" s="1766"/>
    </row>
    <row r="40" spans="1:66">
      <c r="A40" t="s">
        <v>729</v>
      </c>
      <c r="C40" s="2083"/>
      <c r="D40" s="2057"/>
      <c r="E40" s="2083"/>
      <c r="F40" s="2057"/>
      <c r="G40" s="2083" t="e">
        <f>'Calc Data-15K'!C37</f>
        <v>#REF!</v>
      </c>
      <c r="H40" s="2057"/>
      <c r="I40" s="2084" t="e">
        <f>G40</f>
        <v>#REF!</v>
      </c>
      <c r="K40" s="1454"/>
      <c r="L40" s="1455"/>
      <c r="M40" s="1454"/>
      <c r="N40" s="1455"/>
      <c r="O40" s="1529" t="e">
        <f>'Calc Data-15K'!D37</f>
        <v>#REF!</v>
      </c>
      <c r="P40" s="1530"/>
      <c r="Q40" s="1466" t="e">
        <f>O40</f>
        <v>#REF!</v>
      </c>
      <c r="R40" s="1569"/>
      <c r="S40" s="1562"/>
      <c r="T40" s="1424"/>
      <c r="U40" s="1493"/>
      <c r="V40" s="1424"/>
      <c r="W40" s="1493">
        <f>'Calc Data-15K'!E37</f>
        <v>0</v>
      </c>
      <c r="X40" s="1424"/>
      <c r="Y40" s="1493">
        <f>W40</f>
        <v>0</v>
      </c>
      <c r="Z40" s="1429"/>
      <c r="AA40" s="1571"/>
      <c r="AB40" s="1495"/>
      <c r="AC40" s="1494"/>
      <c r="AD40" s="1495"/>
      <c r="AE40" s="1494">
        <f>'Calc Data-15K'!F37</f>
        <v>0</v>
      </c>
      <c r="AF40" s="1495"/>
      <c r="AG40" s="1494">
        <f>AE40</f>
        <v>0</v>
      </c>
      <c r="AH40" s="1585"/>
      <c r="AI40" s="1428"/>
      <c r="AJ40" s="1425"/>
      <c r="AK40" s="1496"/>
      <c r="AL40" s="1425"/>
      <c r="AM40" s="1496">
        <f>'Calc Data-15K'!G37</f>
        <v>0</v>
      </c>
      <c r="AN40" s="1425"/>
      <c r="AO40" s="1496">
        <f>AM40</f>
        <v>0</v>
      </c>
      <c r="AP40" s="1430"/>
      <c r="AQ40" s="1589"/>
      <c r="AR40" s="1498"/>
      <c r="AS40" s="1497"/>
      <c r="AT40" s="1498"/>
      <c r="AU40" s="1497">
        <f>'Calc Data-15K'!H37</f>
        <v>0</v>
      </c>
      <c r="AV40" s="1498"/>
      <c r="AW40" s="1497">
        <f>AU40</f>
        <v>0</v>
      </c>
      <c r="AX40" s="1608"/>
      <c r="AY40" s="1600"/>
      <c r="AZ40" s="1500"/>
      <c r="BA40" s="1499"/>
      <c r="BB40" s="1500"/>
      <c r="BC40" s="1499">
        <f>'Calc Data-15K'!I37</f>
        <v>0</v>
      </c>
      <c r="BD40" s="1500"/>
      <c r="BE40" s="1499">
        <f>BC40</f>
        <v>0</v>
      </c>
      <c r="BF40" s="1612"/>
      <c r="BG40" s="1771"/>
      <c r="BH40" s="1772"/>
      <c r="BI40" s="1773"/>
      <c r="BJ40" s="1772"/>
      <c r="BK40" s="1773">
        <f>'Calc Data-15K'!J37</f>
        <v>0</v>
      </c>
      <c r="BL40" s="1772"/>
      <c r="BM40" s="1773">
        <f>BK40</f>
        <v>0</v>
      </c>
      <c r="BN40" s="1766"/>
    </row>
    <row r="41" spans="1:66">
      <c r="A41" t="s">
        <v>1178</v>
      </c>
      <c r="C41" s="2083" t="e">
        <f>C39</f>
        <v>#REF!</v>
      </c>
      <c r="D41" s="2057"/>
      <c r="E41" s="2083" t="e">
        <f>E39</f>
        <v>#REF!</v>
      </c>
      <c r="F41" s="2057"/>
      <c r="G41" s="2083" t="e">
        <f>G40</f>
        <v>#REF!</v>
      </c>
      <c r="H41" s="2057"/>
      <c r="I41" s="2084" t="e">
        <f>I40</f>
        <v>#REF!</v>
      </c>
      <c r="K41" s="1454" t="e">
        <f>K39</f>
        <v>#REF!</v>
      </c>
      <c r="L41" s="1455"/>
      <c r="M41" s="1454" t="e">
        <f>M39</f>
        <v>#REF!</v>
      </c>
      <c r="N41" s="1455"/>
      <c r="O41" s="1529" t="e">
        <f>O40</f>
        <v>#REF!</v>
      </c>
      <c r="P41" s="1530"/>
      <c r="Q41" s="1466" t="e">
        <f>Q40</f>
        <v>#REF!</v>
      </c>
      <c r="R41" s="1569"/>
      <c r="S41" s="1562">
        <f>S39</f>
        <v>0</v>
      </c>
      <c r="T41" s="1424"/>
      <c r="U41" s="1493">
        <f>U39</f>
        <v>0</v>
      </c>
      <c r="V41" s="1424"/>
      <c r="W41" s="1493">
        <f>W40</f>
        <v>0</v>
      </c>
      <c r="X41" s="1424"/>
      <c r="Y41" s="1493">
        <f>Y40</f>
        <v>0</v>
      </c>
      <c r="Z41" s="1429"/>
      <c r="AA41" s="1571">
        <f>AA39</f>
        <v>0</v>
      </c>
      <c r="AB41" s="1495"/>
      <c r="AC41" s="1494">
        <f>AC39</f>
        <v>0</v>
      </c>
      <c r="AD41" s="1495"/>
      <c r="AE41" s="1494">
        <f>AE40</f>
        <v>0</v>
      </c>
      <c r="AF41" s="1495"/>
      <c r="AG41" s="1494">
        <f>AG40</f>
        <v>0</v>
      </c>
      <c r="AH41" s="1585"/>
      <c r="AI41" s="1428">
        <f>AI39</f>
        <v>0</v>
      </c>
      <c r="AJ41" s="1425"/>
      <c r="AK41" s="1496">
        <f>AK39</f>
        <v>0</v>
      </c>
      <c r="AL41" s="1425"/>
      <c r="AM41" s="1496">
        <f>AM40</f>
        <v>0</v>
      </c>
      <c r="AN41" s="1425"/>
      <c r="AO41" s="1496">
        <f>AO40</f>
        <v>0</v>
      </c>
      <c r="AP41" s="1430"/>
      <c r="AQ41" s="1589">
        <f>AQ39</f>
        <v>0</v>
      </c>
      <c r="AR41" s="1498"/>
      <c r="AS41" s="1497">
        <f>AS39</f>
        <v>0</v>
      </c>
      <c r="AT41" s="1498"/>
      <c r="AU41" s="1497">
        <f>AU40</f>
        <v>0</v>
      </c>
      <c r="AV41" s="1498"/>
      <c r="AW41" s="1497">
        <f>AW40</f>
        <v>0</v>
      </c>
      <c r="AX41" s="1608"/>
      <c r="AY41" s="1600">
        <f>AY39</f>
        <v>0</v>
      </c>
      <c r="AZ41" s="1500"/>
      <c r="BA41" s="1499">
        <f>BA39</f>
        <v>0</v>
      </c>
      <c r="BB41" s="1500"/>
      <c r="BC41" s="1499">
        <f>BC40</f>
        <v>0</v>
      </c>
      <c r="BD41" s="1500"/>
      <c r="BE41" s="1499">
        <f>BE40</f>
        <v>0</v>
      </c>
      <c r="BF41" s="1612"/>
      <c r="BG41" s="1771">
        <f>BG39</f>
        <v>0</v>
      </c>
      <c r="BH41" s="1772"/>
      <c r="BI41" s="1773">
        <f>BI39</f>
        <v>0</v>
      </c>
      <c r="BJ41" s="1772"/>
      <c r="BK41" s="1773">
        <f>BK40</f>
        <v>0</v>
      </c>
      <c r="BL41" s="1772"/>
      <c r="BM41" s="1773">
        <f>BM40</f>
        <v>0</v>
      </c>
      <c r="BN41" s="1766"/>
    </row>
    <row r="42" spans="1:66">
      <c r="A42" t="s">
        <v>2095</v>
      </c>
      <c r="C42" s="2081" t="e">
        <f>C35*C41</f>
        <v>#REF!</v>
      </c>
      <c r="D42" s="2085"/>
      <c r="E42" s="2081" t="e">
        <f>E35*E41</f>
        <v>#REF!</v>
      </c>
      <c r="F42" s="2085"/>
      <c r="G42" s="2081" t="e">
        <f>IF(G40&lt;1,0,G35*G41)</f>
        <v>#REF!</v>
      </c>
      <c r="H42" s="2085"/>
      <c r="I42" s="2082" t="e">
        <f>IF(I40&lt;1,0,I35*I41)</f>
        <v>#REF!</v>
      </c>
      <c r="K42" s="1454" t="e">
        <f>K35*K41</f>
        <v>#REF!</v>
      </c>
      <c r="L42" s="1455"/>
      <c r="M42" s="1454" t="e">
        <f>M35*M41</f>
        <v>#REF!</v>
      </c>
      <c r="N42" s="1455"/>
      <c r="O42" s="1529" t="e">
        <f>IF(O40&lt;1,0,O35*O41)</f>
        <v>#REF!</v>
      </c>
      <c r="P42" s="1530"/>
      <c r="Q42" s="1466" t="e">
        <f>IF(Q40&lt;1,0,Q35*Q41)</f>
        <v>#REF!</v>
      </c>
      <c r="R42" s="1569"/>
      <c r="S42" s="1562" t="e">
        <f>S35*S41</f>
        <v>#DIV/0!</v>
      </c>
      <c r="T42" s="1424"/>
      <c r="U42" s="1493" t="e">
        <f>U35*U41</f>
        <v>#DIV/0!</v>
      </c>
      <c r="V42" s="1424"/>
      <c r="W42" s="1493">
        <f>IF(W40&lt;1,0,W35*W41)</f>
        <v>0</v>
      </c>
      <c r="X42" s="1424"/>
      <c r="Y42" s="1493">
        <f>IF(Y40&lt;1,0,Y35*Y41)</f>
        <v>0</v>
      </c>
      <c r="Z42" s="1429"/>
      <c r="AA42" s="1571" t="e">
        <f>AA35*AA41</f>
        <v>#DIV/0!</v>
      </c>
      <c r="AB42" s="1495"/>
      <c r="AC42" s="1494" t="e">
        <f>AC35*AC41</f>
        <v>#DIV/0!</v>
      </c>
      <c r="AD42" s="1495"/>
      <c r="AE42" s="1494">
        <f>IF(AE40&lt;1,0,AE35*AE41)</f>
        <v>0</v>
      </c>
      <c r="AF42" s="1495"/>
      <c r="AG42" s="1494">
        <f>IF(AG40&lt;1,0,AG35*AG41)</f>
        <v>0</v>
      </c>
      <c r="AH42" s="1585"/>
      <c r="AI42" s="1428" t="e">
        <f>AI35*AI41</f>
        <v>#DIV/0!</v>
      </c>
      <c r="AJ42" s="1425"/>
      <c r="AK42" s="1496" t="e">
        <f>AK35*AK41</f>
        <v>#DIV/0!</v>
      </c>
      <c r="AL42" s="1425"/>
      <c r="AM42" s="1496">
        <f>IF(AM40&lt;1,0,AM35*AM41)</f>
        <v>0</v>
      </c>
      <c r="AN42" s="1425"/>
      <c r="AO42" s="1496">
        <f>IF(AO40&lt;1,0,AO35*AO41)</f>
        <v>0</v>
      </c>
      <c r="AP42" s="1430"/>
      <c r="AQ42" s="1589" t="e">
        <f>AQ35*AQ41</f>
        <v>#DIV/0!</v>
      </c>
      <c r="AR42" s="1498"/>
      <c r="AS42" s="1497" t="e">
        <f>AS35*AS41</f>
        <v>#DIV/0!</v>
      </c>
      <c r="AT42" s="1498"/>
      <c r="AU42" s="1497">
        <f>IF(AU40&lt;1,0,AU35*AU41)</f>
        <v>0</v>
      </c>
      <c r="AV42" s="1498"/>
      <c r="AW42" s="1497">
        <f>IF(AW40&lt;1,0,AW35*AW41)</f>
        <v>0</v>
      </c>
      <c r="AX42" s="1608"/>
      <c r="AY42" s="1600" t="e">
        <f>AY35*AY41</f>
        <v>#DIV/0!</v>
      </c>
      <c r="AZ42" s="1500"/>
      <c r="BA42" s="1499" t="e">
        <f>BA35*BA41</f>
        <v>#DIV/0!</v>
      </c>
      <c r="BB42" s="1500"/>
      <c r="BC42" s="1499">
        <f>IF(BC40&lt;1,0,BC35*BC41)</f>
        <v>0</v>
      </c>
      <c r="BD42" s="1500"/>
      <c r="BE42" s="1499">
        <f>IF(BE40&lt;1,0,BE35*BE41)</f>
        <v>0</v>
      </c>
      <c r="BF42" s="1612"/>
      <c r="BG42" s="1771" t="e">
        <f>BG35*BG41</f>
        <v>#DIV/0!</v>
      </c>
      <c r="BH42" s="1772"/>
      <c r="BI42" s="1773" t="e">
        <f>BI35*BI41</f>
        <v>#DIV/0!</v>
      </c>
      <c r="BJ42" s="1772"/>
      <c r="BK42" s="1773">
        <f>IF(BK40&lt;1,0,BK35*BK41)</f>
        <v>0</v>
      </c>
      <c r="BL42" s="1772"/>
      <c r="BM42" s="1773">
        <f>IF(BM40&lt;1,0,BM35*BM41)</f>
        <v>0</v>
      </c>
      <c r="BN42" s="1766"/>
    </row>
    <row r="43" spans="1:66">
      <c r="A43" s="71" t="s">
        <v>1011</v>
      </c>
      <c r="C43" s="2359" t="e">
        <f>C34/IF(C36&lt;Assumptions!G92,Assumptions!G92,C36)</f>
        <v>#REF!</v>
      </c>
      <c r="D43" s="2060"/>
      <c r="E43" s="2359" t="e">
        <f>E34/E36</f>
        <v>#REF!</v>
      </c>
      <c r="F43" s="2060"/>
      <c r="G43" s="2359" t="e">
        <f>IF(G42=0,0,G34/G36)</f>
        <v>#REF!</v>
      </c>
      <c r="H43" s="2060"/>
      <c r="I43" s="2080" t="e">
        <f>IF(I42=0,0,I34/I36)</f>
        <v>#REF!</v>
      </c>
      <c r="K43" s="1457" t="e">
        <f>K34/IF(K36&lt;Assumptions!G103,Assumptions!G103,K36)</f>
        <v>#REF!</v>
      </c>
      <c r="L43" s="1458"/>
      <c r="M43" s="1457" t="e">
        <f>M34/M36</f>
        <v>#REF!</v>
      </c>
      <c r="N43" s="1458"/>
      <c r="O43" s="1452" t="e">
        <f>IF(O42=0,0,O34/O36)</f>
        <v>#REF!</v>
      </c>
      <c r="P43" s="1453"/>
      <c r="Q43" s="1464" t="e">
        <f>IF(Q42=0,0,Q34/Q36)</f>
        <v>#REF!</v>
      </c>
      <c r="R43" s="1568"/>
      <c r="S43" s="1563" t="e">
        <f>S34/IF(S36&lt;Assumptions!G112,Assumptions!G112,S36)</f>
        <v>#DIV/0!</v>
      </c>
      <c r="T43" s="1442"/>
      <c r="U43" s="1441" t="e">
        <f>U34/U36</f>
        <v>#DIV/0!</v>
      </c>
      <c r="V43" s="1442"/>
      <c r="W43" s="1441">
        <f>IF(W42=0,0,W34/W36)</f>
        <v>0</v>
      </c>
      <c r="X43" s="1442"/>
      <c r="Y43" s="1441">
        <f>IF(Y42=0,0,Y34/Y36)</f>
        <v>0</v>
      </c>
      <c r="Z43" s="1577"/>
      <c r="AA43" s="1572" t="e">
        <f>AA34/IF(AA36&lt;Assumptions!G121,Assumptions!G121,AA36)</f>
        <v>#DIV/0!</v>
      </c>
      <c r="AB43" s="1502"/>
      <c r="AC43" s="1501" t="e">
        <f>AC34/AC36</f>
        <v>#DIV/0!</v>
      </c>
      <c r="AD43" s="1502"/>
      <c r="AE43" s="1501">
        <f>IF(AE42=0,0,AE34/AE36)</f>
        <v>0</v>
      </c>
      <c r="AF43" s="1502"/>
      <c r="AG43" s="1501">
        <f>IF(AG42=0,0,AG34/AG36)</f>
        <v>0</v>
      </c>
      <c r="AH43" s="1586"/>
      <c r="AI43" s="1579" t="e">
        <f>AI34/IF(AI36&lt;Assumptions!G130,Assumptions!G130,AI36)</f>
        <v>#DIV/0!</v>
      </c>
      <c r="AJ43" s="1504"/>
      <c r="AK43" s="1503" t="e">
        <f>AK34/AK36</f>
        <v>#DIV/0!</v>
      </c>
      <c r="AL43" s="1504"/>
      <c r="AM43" s="1503">
        <f>IF(AM42=0,0,AM34/AM36)</f>
        <v>0</v>
      </c>
      <c r="AN43" s="1504"/>
      <c r="AO43" s="1503">
        <f>IF(AO42=0,0,AO34/AO36)</f>
        <v>0</v>
      </c>
      <c r="AP43" s="1597"/>
      <c r="AQ43" s="1590" t="e">
        <f>AQ34/IF(AQ36&lt;Assumptions!G139,Assumptions!G139,AQ36)</f>
        <v>#DIV/0!</v>
      </c>
      <c r="AR43" s="1506"/>
      <c r="AS43" s="1505" t="e">
        <f>AS34/AS36</f>
        <v>#DIV/0!</v>
      </c>
      <c r="AT43" s="1506"/>
      <c r="AU43" s="1505">
        <f>IF(AU42=0,0,AU34/AU36)</f>
        <v>0</v>
      </c>
      <c r="AV43" s="1506"/>
      <c r="AW43" s="1505">
        <f>IF(AW42=0,0,AW34/AW36)</f>
        <v>0</v>
      </c>
      <c r="AX43" s="1609"/>
      <c r="AY43" s="1601" t="e">
        <f>AY34/IF(AY36&lt;Assumptions!G148,Assumptions!G148,AY36)</f>
        <v>#DIV/0!</v>
      </c>
      <c r="AZ43" s="1508"/>
      <c r="BA43" s="1507" t="e">
        <f>BA34/BA36</f>
        <v>#DIV/0!</v>
      </c>
      <c r="BB43" s="1508"/>
      <c r="BC43" s="1507">
        <f>IF(BC42=0,0,BC34/BC36)</f>
        <v>0</v>
      </c>
      <c r="BD43" s="1508"/>
      <c r="BE43" s="1507">
        <f>IF(BE42=0,0,BE34/BE36)</f>
        <v>0</v>
      </c>
      <c r="BF43" s="1612"/>
      <c r="BG43" s="1774" t="e">
        <f>BG34/IF(BG36&lt;Assumptions!G157,Assumptions!G157,BG36)</f>
        <v>#DIV/0!</v>
      </c>
      <c r="BH43" s="1775"/>
      <c r="BI43" s="1776" t="e">
        <f>BI34/BI36</f>
        <v>#DIV/0!</v>
      </c>
      <c r="BJ43" s="1775"/>
      <c r="BK43" s="1776">
        <f>IF(BK42=0,0,BK34/BK36)</f>
        <v>0</v>
      </c>
      <c r="BL43" s="1775"/>
      <c r="BM43" s="1776">
        <f>IF(BM42=0,0,BM34/BM36)</f>
        <v>0</v>
      </c>
      <c r="BN43" s="1766"/>
    </row>
    <row r="44" spans="1:66">
      <c r="A44" s="67" t="s">
        <v>1555</v>
      </c>
      <c r="C44" s="2365" t="e">
        <f>IF(C43=0,0,IF(C42/C43&lt;3147,3147,C42/C43))</f>
        <v>#REF!</v>
      </c>
      <c r="D44" s="2366"/>
      <c r="E44" s="2365" t="e">
        <f>IF(E43=0,0,IF(E42/E43&lt;3147,3147,E42/E43))</f>
        <v>#REF!</v>
      </c>
      <c r="F44" s="2366"/>
      <c r="G44" s="2365" t="e">
        <f>IF(G43=0,0,IF(G42/G43&lt;71.62,71.62,G42/G43))</f>
        <v>#REF!</v>
      </c>
      <c r="H44" s="2366"/>
      <c r="I44" s="2367" t="e">
        <f>IF(I43=0,0,IF(I42/I43&lt;71.62,71.62,I42/I43))</f>
        <v>#REF!</v>
      </c>
      <c r="K44" s="1459" t="e">
        <f>IF(K43=0,0,IF(K42/K43&lt;3392,3392,K42/K43))</f>
        <v>#REF!</v>
      </c>
      <c r="L44" s="1431"/>
      <c r="M44" s="1459" t="e">
        <f>IF(M43=0,0,IF(M42/M43&lt;3392,3392,M42/M43))</f>
        <v>#REF!</v>
      </c>
      <c r="N44" s="1431"/>
      <c r="O44" s="1452" t="e">
        <f>IF(O43=0,0,IF(O42/O43&lt;84.777,84.777,O42/O43))</f>
        <v>#REF!</v>
      </c>
      <c r="P44" s="1531"/>
      <c r="Q44" s="1464" t="e">
        <f>IF(Q43=0,0,IF(Q42/Q43&lt;84.777,84.777,Q42/Q43))</f>
        <v>#REF!</v>
      </c>
      <c r="R44" s="1568"/>
      <c r="S44" s="1563" t="e">
        <f>IF(S43=0,0,IF(S42/S43&lt;3618,3618,S42/S43))</f>
        <v>#DIV/0!</v>
      </c>
      <c r="T44" s="1442"/>
      <c r="U44" s="1441" t="e">
        <f>IF(U43=0,0,IF(U42/U43&lt;3618,3618,U42/U43))</f>
        <v>#DIV/0!</v>
      </c>
      <c r="V44" s="1442"/>
      <c r="W44" s="1441">
        <f>IF(W43=0,0,IF(W42/W43&lt;84.777,84.777,W42/W43))</f>
        <v>0</v>
      </c>
      <c r="X44" s="1442"/>
      <c r="Y44" s="1441">
        <f>IF(Y43=0,0,IF(Y42/Y43&lt;84.777,84.777,Y42/Y43))</f>
        <v>0</v>
      </c>
      <c r="Z44" s="1577"/>
      <c r="AA44" s="1572" t="e">
        <f>IF(AA43=0,0,IF(AA42/AA43&lt;3618,3618,AA42/AA43))</f>
        <v>#DIV/0!</v>
      </c>
      <c r="AB44" s="1502"/>
      <c r="AC44" s="1501" t="e">
        <f>IF(AC43=0,0,IF(AC42/AC43&lt;3618,3618,AC42/AC43))</f>
        <v>#DIV/0!</v>
      </c>
      <c r="AD44" s="1502"/>
      <c r="AE44" s="1501">
        <f>IF(AE43=0,0,IF(AE42/AE43&lt;84.777,84.777,AE42/AE43))</f>
        <v>0</v>
      </c>
      <c r="AF44" s="1502"/>
      <c r="AG44" s="1501">
        <f>IF(AG43=0,0,IF(AG42/AG43&lt;84.777,84.777,AG42/AG43))</f>
        <v>0</v>
      </c>
      <c r="AH44" s="1586"/>
      <c r="AI44" s="1579" t="e">
        <f>IF(AI43=0,0,IF(AI42/AI43&lt;3618,3618,AI42/AI43))</f>
        <v>#DIV/0!</v>
      </c>
      <c r="AJ44" s="1504"/>
      <c r="AK44" s="1503" t="e">
        <f>IF(AK43=0,0,IF(AK42/AK43&lt;3618,3618,AK42/AK43))</f>
        <v>#DIV/0!</v>
      </c>
      <c r="AL44" s="1504"/>
      <c r="AM44" s="1503">
        <f>IF(AM43=0,0,IF(AM42/AM43&lt;84.777,84.777,AM42/AM43))</f>
        <v>0</v>
      </c>
      <c r="AN44" s="1504"/>
      <c r="AO44" s="1503">
        <f>IF(AO43=0,0,IF(AO42/AO43&lt;84.777,84.777,AO42/AO43))</f>
        <v>0</v>
      </c>
      <c r="AP44" s="1597"/>
      <c r="AQ44" s="1590" t="e">
        <f>IF(AQ43=0,0,IF(AQ42/AQ43&lt;3618,3618,AQ42/AQ43))</f>
        <v>#DIV/0!</v>
      </c>
      <c r="AR44" s="1506"/>
      <c r="AS44" s="1505" t="e">
        <f>IF(AS43=0,0,IF(AS42/AS43&lt;3618,3618,AS42/AS43))</f>
        <v>#DIV/0!</v>
      </c>
      <c r="AT44" s="1506"/>
      <c r="AU44" s="1505">
        <f>IF(AU43=0,0,IF(AU42/AU43&lt;84.777,84.777,AU42/AU43))</f>
        <v>0</v>
      </c>
      <c r="AV44" s="1506"/>
      <c r="AW44" s="1505">
        <f>IF(AW43=0,0,IF(AW42/AW43&lt;84.777,84.777,AW42/AW43))</f>
        <v>0</v>
      </c>
      <c r="AX44" s="1609"/>
      <c r="AY44" s="1601" t="e">
        <f>IF(AY43=0,0,IF(AY42/AY43&lt;3618,3618,AY42/AY43))</f>
        <v>#DIV/0!</v>
      </c>
      <c r="AZ44" s="1508"/>
      <c r="BA44" s="1507" t="e">
        <f>IF(BA43=0,0,IF(BA42/BA43&lt;3618,3618,BA42/BA43))</f>
        <v>#DIV/0!</v>
      </c>
      <c r="BB44" s="1508"/>
      <c r="BC44" s="1507">
        <f>IF(BC43=0,0,IF(BC42/BC43&lt;84.777,84.777,BC42/BC43))</f>
        <v>0</v>
      </c>
      <c r="BD44" s="1508"/>
      <c r="BE44" s="1507">
        <f>IF(BE43=0,0,IF(BE42/BE43&lt;84.777,84.777,BE42/BE43))</f>
        <v>0</v>
      </c>
      <c r="BF44" s="1612"/>
      <c r="BG44" s="1774" t="e">
        <f>IF(BG43=0,0,IF(BG42/BG43&lt;3618,3618,BG42/BG43))</f>
        <v>#DIV/0!</v>
      </c>
      <c r="BH44" s="1775"/>
      <c r="BI44" s="1776" t="e">
        <f>IF(BI43=0,0,IF(BI42/BI43&lt;3618,3618,BI42/BI43))</f>
        <v>#DIV/0!</v>
      </c>
      <c r="BJ44" s="1775"/>
      <c r="BK44" s="1776">
        <f>IF(BK43=0,0,IF(BK42/BK43&lt;84.777,84.777,BK42/BK43))</f>
        <v>0</v>
      </c>
      <c r="BL44" s="1775"/>
      <c r="BM44" s="1776">
        <f>IF(BM43=0,0,IF(BM42/BM43&lt;84.777,84.777,BM42/BM43))</f>
        <v>0</v>
      </c>
      <c r="BN44" s="1766"/>
    </row>
    <row r="45" spans="1:66">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080" t="e">
        <f>G45</f>
        <v>#REF!</v>
      </c>
      <c r="K45" s="1452" t="e">
        <f>IF(OR('Data Entry - SOF'!#REF!=0,K44=0),0,IF('Data Entry - SOF'!#REF!&gt;K44,(K44*'Data Entry - SOF'!#REF!)/K44,('Data Entry - SOF'!#REF!*'Data Entry - SOF'!#REF!)/K44))</f>
        <v>#REF!</v>
      </c>
      <c r="L45" s="1453"/>
      <c r="M45" s="1452" t="e">
        <f>K45</f>
        <v>#REF!</v>
      </c>
      <c r="N45" s="1453"/>
      <c r="O45" s="1452" t="e">
        <f>IF(OR('Data Entry - SOF'!#REF!=0,O44=0),0,IF('Data Entry - SOF'!#REF!&gt;O44,(O44*'Data Entry - SOF'!#REF!)/O44,('Data Entry - SOF'!#REF!*'Data Entry - SOF'!#REF!)/O44))</f>
        <v>#REF!</v>
      </c>
      <c r="P45" s="1453"/>
      <c r="Q45" s="1464" t="e">
        <f>O45</f>
        <v>#REF!</v>
      </c>
      <c r="R45" s="1568"/>
      <c r="S45" s="1563" t="e">
        <f>IF(OR('Data Entry - SOF'!E140=0,S44=0),0,IF('Data Entry - SOF'!E140&gt;S44,(S44*'Data Entry - SOF'!E139)/S44,('Data Entry - SOF'!E140*'Data Entry - SOF'!E139)/S44))</f>
        <v>#DIV/0!</v>
      </c>
      <c r="T45" s="1442"/>
      <c r="U45" s="1441" t="e">
        <f>S45</f>
        <v>#DIV/0!</v>
      </c>
      <c r="V45" s="1442"/>
      <c r="W45" s="1441">
        <f>IF(OR('Data Entry - SOF'!E140=0,W44=0),0,IF('Data Entry - SOF'!E140&gt;W44,(W44*'Data Entry - SOF'!E139)/W44,('Data Entry - SOF'!E140*'Data Entry - SOF'!E139)/W44))</f>
        <v>0</v>
      </c>
      <c r="X45" s="1442"/>
      <c r="Y45" s="1441">
        <f>W45</f>
        <v>0</v>
      </c>
      <c r="Z45" s="1577"/>
      <c r="AA45" s="1572" t="e">
        <f>IF(OR('Data Entry - SOF'!G140=0,AA44=0),0,IF('Data Entry - SOF'!G140&gt;AA44,(AA44*'Data Entry - SOF'!G139)/AA44,('Data Entry - SOF'!G140*'Data Entry - SOF'!G139)/AA44))</f>
        <v>#DIV/0!</v>
      </c>
      <c r="AB45" s="1502"/>
      <c r="AC45" s="1501" t="e">
        <f>AA45</f>
        <v>#DIV/0!</v>
      </c>
      <c r="AD45" s="1502"/>
      <c r="AE45" s="1501">
        <f>IF(OR('Data Entry - SOF'!G140=0,AE44=0),0,IF('Data Entry - SOF'!G140&gt;AE44,(AE44*'Data Entry - SOF'!G139)/AE44,('Data Entry - SOF'!G140*'Data Entry - SOF'!G139)/AE44))</f>
        <v>0</v>
      </c>
      <c r="AF45" s="1502"/>
      <c r="AG45" s="1501">
        <f>AE45</f>
        <v>0</v>
      </c>
      <c r="AH45" s="1586"/>
      <c r="AI45" s="1579" t="e">
        <f>IF(OR('Data Entry - SOF'!M140=0,AI44=0),0,IF('Data Entry - SOF'!M140&gt;AI44,(AI44*'Data Entry - SOF'!M139)/AI44,('Data Entry - SOF'!M140*'Data Entry - SOF'!M139)/AI44))</f>
        <v>#DIV/0!</v>
      </c>
      <c r="AJ45" s="1504"/>
      <c r="AK45" s="1503" t="e">
        <f>AI45</f>
        <v>#DIV/0!</v>
      </c>
      <c r="AL45" s="1504"/>
      <c r="AM45" s="1503">
        <f>IF(OR('Data Entry - SOF'!M140=0,AM44=0),0,IF('Data Entry - SOF'!M140&gt;AM44,(AM44*'Data Entry - SOF'!M139)/AM44,('Data Entry - SOF'!M140*'Data Entry - SOF'!M139)/AM44))</f>
        <v>0</v>
      </c>
      <c r="AN45" s="1504"/>
      <c r="AO45" s="1503">
        <f>AM45</f>
        <v>0</v>
      </c>
      <c r="AP45" s="1597"/>
      <c r="AQ45" s="1590" t="e">
        <f>IF(OR('Data Entry - SOF'!O140=0,AQ44=0),0,IF('Data Entry - SOF'!O140&gt;AQ44,(AQ44*'Data Entry - SOF'!O139)/AQ44,('Data Entry - SOF'!O140*'Data Entry - SOF'!O139)/AQ44))</f>
        <v>#DIV/0!</v>
      </c>
      <c r="AR45" s="1506"/>
      <c r="AS45" s="1505" t="e">
        <f>AQ45</f>
        <v>#DIV/0!</v>
      </c>
      <c r="AT45" s="1506"/>
      <c r="AU45" s="1505">
        <f>IF(OR('Data Entry - SOF'!O140=0,AU44=0),0,IF('Data Entry - SOF'!O140&gt;AU44,(AU44*'Data Entry - SOF'!O139)/AU44,('Data Entry - SOF'!O140*'Data Entry - SOF'!O139)/AU44))</f>
        <v>0</v>
      </c>
      <c r="AV45" s="1506"/>
      <c r="AW45" s="1505">
        <f>AU45</f>
        <v>0</v>
      </c>
      <c r="AX45" s="1609"/>
      <c r="AY45" s="1601" t="e">
        <f>IF(OR('Data Entry - SOF'!Q140=0,AY44=0),0,IF('Data Entry - SOF'!Q140&gt;AY44,(AY44*'Data Entry - SOF'!Q139)/AY44,('Data Entry - SOF'!Q140*'Data Entry - SOF'!Q139)/AY44))</f>
        <v>#DIV/0!</v>
      </c>
      <c r="AZ45" s="1508"/>
      <c r="BA45" s="1507" t="e">
        <f>AY45</f>
        <v>#DIV/0!</v>
      </c>
      <c r="BB45" s="1508"/>
      <c r="BC45" s="1507">
        <f>IF(OR('Data Entry - SOF'!Q140=0,BC44=0),0,IF('Data Entry - SOF'!Q140&gt;BC44,(BC44*'Data Entry - SOF'!Q139)/BC44,('Data Entry - SOF'!Q140*'Data Entry - SOF'!Q139)/BC44))</f>
        <v>0</v>
      </c>
      <c r="BD45" s="1508"/>
      <c r="BE45" s="1507">
        <f>BC45</f>
        <v>0</v>
      </c>
      <c r="BF45" s="1612"/>
      <c r="BG45" s="1774" t="e">
        <f>IF(OR('Data Entry - SOF'!S140=0,BG44=0),0,IF('Data Entry - SOF'!S140&gt;BG44,(BG44*'Data Entry - SOF'!S139)/BG44,('Data Entry - SOF'!S140*'Data Entry - SOF'!S139)/BG44))</f>
        <v>#DIV/0!</v>
      </c>
      <c r="BH45" s="1775"/>
      <c r="BI45" s="1776" t="e">
        <f>BG45</f>
        <v>#DIV/0!</v>
      </c>
      <c r="BJ45" s="1775"/>
      <c r="BK45" s="1776">
        <f>IF(OR('Data Entry - SOF'!S140=0,BK44=0),0,IF('Data Entry - SOF'!S140&gt;BK44,(BK44*'Data Entry - SOF'!S139)/BK44,('Data Entry - SOF'!S140*'Data Entry - SOF'!S139)/BK44))</f>
        <v>0</v>
      </c>
      <c r="BL45" s="1775"/>
      <c r="BM45" s="1776">
        <f>BK45</f>
        <v>0</v>
      </c>
      <c r="BN45" s="1766"/>
    </row>
    <row r="46" spans="1:66">
      <c r="A46" s="67" t="s">
        <v>1301</v>
      </c>
      <c r="C46" s="2359">
        <v>0</v>
      </c>
      <c r="D46" s="2060"/>
      <c r="E46" s="2359">
        <v>0</v>
      </c>
      <c r="F46" s="2060"/>
      <c r="G46" s="2359">
        <v>0</v>
      </c>
      <c r="H46" s="2060"/>
      <c r="I46" s="2080">
        <v>0</v>
      </c>
      <c r="K46" s="1452">
        <v>0</v>
      </c>
      <c r="L46" s="1453"/>
      <c r="M46" s="1452">
        <v>0</v>
      </c>
      <c r="N46" s="1453"/>
      <c r="O46" s="1452">
        <v>0</v>
      </c>
      <c r="P46" s="1453"/>
      <c r="Q46" s="1464">
        <v>0</v>
      </c>
      <c r="R46" s="1568"/>
      <c r="S46" s="1563">
        <v>0</v>
      </c>
      <c r="T46" s="1442"/>
      <c r="U46" s="1441">
        <v>0</v>
      </c>
      <c r="V46" s="1442"/>
      <c r="W46" s="1441">
        <v>0</v>
      </c>
      <c r="X46" s="1442"/>
      <c r="Y46" s="1441">
        <v>0</v>
      </c>
      <c r="Z46" s="1577"/>
      <c r="AA46" s="1572">
        <v>0</v>
      </c>
      <c r="AB46" s="1502"/>
      <c r="AC46" s="1501">
        <v>0</v>
      </c>
      <c r="AD46" s="1502"/>
      <c r="AE46" s="1501">
        <v>0</v>
      </c>
      <c r="AF46" s="1502"/>
      <c r="AG46" s="1501">
        <v>0</v>
      </c>
      <c r="AH46" s="1586"/>
      <c r="AI46" s="1579">
        <v>0</v>
      </c>
      <c r="AJ46" s="1504"/>
      <c r="AK46" s="1503">
        <v>0</v>
      </c>
      <c r="AL46" s="1504"/>
      <c r="AM46" s="1503">
        <v>0</v>
      </c>
      <c r="AN46" s="1504"/>
      <c r="AO46" s="1503">
        <v>0</v>
      </c>
      <c r="AP46" s="1597"/>
      <c r="AQ46" s="1590">
        <v>0</v>
      </c>
      <c r="AR46" s="1506"/>
      <c r="AS46" s="1505">
        <v>0</v>
      </c>
      <c r="AT46" s="1506"/>
      <c r="AU46" s="1505">
        <v>0</v>
      </c>
      <c r="AV46" s="1506"/>
      <c r="AW46" s="1505">
        <v>0</v>
      </c>
      <c r="AX46" s="1609"/>
      <c r="AY46" s="1601">
        <v>0</v>
      </c>
      <c r="AZ46" s="1508"/>
      <c r="BA46" s="1507">
        <v>0</v>
      </c>
      <c r="BB46" s="1508"/>
      <c r="BC46" s="1507">
        <v>0</v>
      </c>
      <c r="BD46" s="1508"/>
      <c r="BE46" s="1507">
        <v>0</v>
      </c>
      <c r="BF46" s="1612"/>
      <c r="BG46" s="1774">
        <v>0</v>
      </c>
      <c r="BH46" s="1775"/>
      <c r="BI46" s="1776">
        <v>0</v>
      </c>
      <c r="BJ46" s="1775"/>
      <c r="BK46" s="1776">
        <v>0</v>
      </c>
      <c r="BL46" s="1775"/>
      <c r="BM46" s="1776">
        <v>0</v>
      </c>
      <c r="BN46" s="1766"/>
    </row>
    <row r="47" spans="1:66">
      <c r="A47" s="35" t="s">
        <v>1737</v>
      </c>
      <c r="C47" s="2359" t="e">
        <f>IF(C43-C45-C46&lt;0,0,C43-C45-C46)</f>
        <v>#REF!</v>
      </c>
      <c r="D47" s="2060"/>
      <c r="E47" s="2359" t="e">
        <f>IF(E43-E45-E46&lt;0,0,E43-E45-E46)</f>
        <v>#REF!</v>
      </c>
      <c r="F47" s="2060"/>
      <c r="G47" s="2359" t="e">
        <f>IF(G43-G45-G46&lt;0,0,G43-G45-G46)</f>
        <v>#REF!</v>
      </c>
      <c r="H47" s="2060"/>
      <c r="I47" s="2080" t="e">
        <f>IF(I43-I45-I46&lt;0,0,I43-I45-I46)</f>
        <v>#REF!</v>
      </c>
      <c r="K47" s="1452" t="e">
        <f>IF(K43-K45-K46&lt;0,0,K43-K45-K46)</f>
        <v>#REF!</v>
      </c>
      <c r="L47" s="1453"/>
      <c r="M47" s="1452" t="e">
        <f>IF(M43-M45-M46&lt;0,0,M43-M45-M46)</f>
        <v>#REF!</v>
      </c>
      <c r="N47" s="1453"/>
      <c r="O47" s="1452" t="e">
        <f>IF(O43-O45-O46&lt;0,0,O43-O45-O46)</f>
        <v>#REF!</v>
      </c>
      <c r="P47" s="1453"/>
      <c r="Q47" s="1464" t="e">
        <f>IF(Q43-Q45-Q46&lt;0,0,Q43-Q45-Q46)</f>
        <v>#REF!</v>
      </c>
      <c r="R47" s="1568"/>
      <c r="S47" s="1563" t="e">
        <f>IF(S43-S45-S46&lt;0,0,S43-S45-S46)</f>
        <v>#DIV/0!</v>
      </c>
      <c r="T47" s="1442"/>
      <c r="U47" s="1441" t="e">
        <f>IF(U43-U45-U46&lt;0,0,U43-U45-U46)</f>
        <v>#DIV/0!</v>
      </c>
      <c r="V47" s="1442"/>
      <c r="W47" s="1441">
        <f>IF(W43-W45-W46&lt;0,0,W43-W45-W46)</f>
        <v>0</v>
      </c>
      <c r="X47" s="1442"/>
      <c r="Y47" s="1441">
        <f>IF(Y43-Y45-Y46&lt;0,0,Y43-Y45-Y46)</f>
        <v>0</v>
      </c>
      <c r="Z47" s="1577"/>
      <c r="AA47" s="1572" t="e">
        <f>IF(AA43-AA45-AA46&lt;0,0,AA43-AA45-AA46)</f>
        <v>#DIV/0!</v>
      </c>
      <c r="AB47" s="1502"/>
      <c r="AC47" s="1501" t="e">
        <f>IF(AC43-AC45-AC46&lt;0,0,AC43-AC45-AC46)</f>
        <v>#DIV/0!</v>
      </c>
      <c r="AD47" s="1502"/>
      <c r="AE47" s="1501">
        <f>IF(AE43-AE45-AE46&lt;0,0,AE43-AE45-AE46)</f>
        <v>0</v>
      </c>
      <c r="AF47" s="1502"/>
      <c r="AG47" s="1501">
        <f>IF(AG43-AG45-AG46&lt;0,0,AG43-AG45-AG46)</f>
        <v>0</v>
      </c>
      <c r="AH47" s="1586"/>
      <c r="AI47" s="1579" t="e">
        <f>IF(AI43-AI45-AI46&lt;0,0,AI43-AI45-AI46)</f>
        <v>#DIV/0!</v>
      </c>
      <c r="AJ47" s="1504"/>
      <c r="AK47" s="1503" t="e">
        <f>IF(AK43-AK45-AK46&lt;0,0,AK43-AK45-AK46)</f>
        <v>#DIV/0!</v>
      </c>
      <c r="AL47" s="1504"/>
      <c r="AM47" s="1503">
        <f>IF(AM43-AM45-AM46&lt;0,0,AM43-AM45-AM46)</f>
        <v>0</v>
      </c>
      <c r="AN47" s="1504"/>
      <c r="AO47" s="1503">
        <f>IF(AO43-AO45-AO46&lt;0,0,AO43-AO45-AO46)</f>
        <v>0</v>
      </c>
      <c r="AP47" s="1597"/>
      <c r="AQ47" s="1590" t="e">
        <f>IF(AQ43-AQ45-AQ46&lt;0,0,AQ43-AQ45-AQ46)</f>
        <v>#DIV/0!</v>
      </c>
      <c r="AR47" s="1506"/>
      <c r="AS47" s="1505" t="e">
        <f>IF(AS43-AS45-AS46&lt;0,0,AS43-AS45-AS46)</f>
        <v>#DIV/0!</v>
      </c>
      <c r="AT47" s="1506"/>
      <c r="AU47" s="1505">
        <f>IF(AU43-AU45-AU46&lt;0,0,AU43-AU45-AU46)</f>
        <v>0</v>
      </c>
      <c r="AV47" s="1506"/>
      <c r="AW47" s="1505">
        <f>IF(AW43-AW45-AW46&lt;0,0,AW43-AW45-AW46)</f>
        <v>0</v>
      </c>
      <c r="AX47" s="1609"/>
      <c r="AY47" s="1601" t="e">
        <f>IF(AY43-AY45-AY46&lt;0,0,AY43-AY45-AY46)</f>
        <v>#DIV/0!</v>
      </c>
      <c r="AZ47" s="1508"/>
      <c r="BA47" s="1507" t="e">
        <f>IF(BA43-BA45-BA46&lt;0,0,BA43-BA45-BA46)</f>
        <v>#DIV/0!</v>
      </c>
      <c r="BB47" s="1508"/>
      <c r="BC47" s="1507">
        <f>IF(BC43-BC45-BC46&lt;0,0,BC43-BC45-BC46)</f>
        <v>0</v>
      </c>
      <c r="BD47" s="1508"/>
      <c r="BE47" s="1507">
        <f>IF(BE43-BE45-BE46&lt;0,0,BE43-BE45-BE46)</f>
        <v>0</v>
      </c>
      <c r="BF47" s="1612"/>
      <c r="BG47" s="1774" t="e">
        <f>IF(BG43-BG45-BG46&lt;0,0,BG43-BG45-BG46)</f>
        <v>#DIV/0!</v>
      </c>
      <c r="BH47" s="1775"/>
      <c r="BI47" s="1776" t="e">
        <f>IF(BI43-BI45-BI46&lt;0,0,BI43-BI45-BI46)</f>
        <v>#DIV/0!</v>
      </c>
      <c r="BJ47" s="1775"/>
      <c r="BK47" s="1776">
        <f>IF(BK43-BK45-BK46&lt;0,0,BK43-BK45-BK46)</f>
        <v>0</v>
      </c>
      <c r="BL47" s="1775"/>
      <c r="BM47" s="1776">
        <f>IF(BM43-BM45-BM46&lt;0,0,BM43-BM45-BM46)</f>
        <v>0</v>
      </c>
      <c r="BN47" s="1766"/>
    </row>
    <row r="48" spans="1:66">
      <c r="A48" s="67" t="s">
        <v>2591</v>
      </c>
      <c r="C48" s="2083" t="e">
        <f>IF(C47=0,0,C47*C44)</f>
        <v>#REF!</v>
      </c>
      <c r="D48" s="2057"/>
      <c r="E48" s="2083" t="e">
        <f>IF(E47=0,0,E47*E44)</f>
        <v>#REF!</v>
      </c>
      <c r="F48" s="2057"/>
      <c r="G48" s="2083" t="e">
        <f>IF(G47=0,0,G47*G44)</f>
        <v>#REF!</v>
      </c>
      <c r="H48" s="2057"/>
      <c r="I48" s="2084" t="e">
        <f>IF(I47=0,0,I47*I44)</f>
        <v>#REF!</v>
      </c>
      <c r="K48" s="1454" t="e">
        <f>IF(K47=0,0,K47*K44)</f>
        <v>#REF!</v>
      </c>
      <c r="L48" s="1455"/>
      <c r="M48" s="1454" t="e">
        <f>IF(M47=0,0,M47*M44)</f>
        <v>#REF!</v>
      </c>
      <c r="N48" s="1455"/>
      <c r="O48" s="1454" t="e">
        <f>IF(O47=0,0,O47*O44)</f>
        <v>#REF!</v>
      </c>
      <c r="P48" s="1455"/>
      <c r="Q48" s="1466" t="e">
        <f>IF(Q47=0,0,Q47*Q44)</f>
        <v>#REF!</v>
      </c>
      <c r="R48" s="1569"/>
      <c r="S48" s="1562" t="e">
        <f>IF(S47=0,0,S47*S44)</f>
        <v>#DIV/0!</v>
      </c>
      <c r="T48" s="1424"/>
      <c r="U48" s="1493" t="e">
        <f>IF(U47=0,0,U47*U44)</f>
        <v>#DIV/0!</v>
      </c>
      <c r="V48" s="1424"/>
      <c r="W48" s="1493">
        <f>IF(W47=0,0,W47*W44)</f>
        <v>0</v>
      </c>
      <c r="X48" s="1424"/>
      <c r="Y48" s="1493">
        <f>IF(Y47=0,0,Y47*Y44)</f>
        <v>0</v>
      </c>
      <c r="Z48" s="1429"/>
      <c r="AA48" s="1571" t="e">
        <f>IF(AA47=0,0,AA47*AA44)</f>
        <v>#DIV/0!</v>
      </c>
      <c r="AB48" s="1495"/>
      <c r="AC48" s="1494" t="e">
        <f>IF(AC47=0,0,AC47*AC44)</f>
        <v>#DIV/0!</v>
      </c>
      <c r="AD48" s="1495"/>
      <c r="AE48" s="1494">
        <f>IF(AE47=0,0,AE47*AE44)</f>
        <v>0</v>
      </c>
      <c r="AF48" s="1495"/>
      <c r="AG48" s="1494">
        <f>IF(AG47=0,0,AG47*AG44)</f>
        <v>0</v>
      </c>
      <c r="AH48" s="1585"/>
      <c r="AI48" s="1428" t="e">
        <f>IF(AI47=0,0,AI47*AI44)</f>
        <v>#DIV/0!</v>
      </c>
      <c r="AJ48" s="1425"/>
      <c r="AK48" s="1496" t="e">
        <f>IF(AK47=0,0,AK47*AK44)</f>
        <v>#DIV/0!</v>
      </c>
      <c r="AL48" s="1425"/>
      <c r="AM48" s="1496">
        <f>IF(AM47=0,0,AM47*AM44)</f>
        <v>0</v>
      </c>
      <c r="AN48" s="1425"/>
      <c r="AO48" s="1496">
        <f>IF(AO47=0,0,AO47*AO44)</f>
        <v>0</v>
      </c>
      <c r="AP48" s="1430"/>
      <c r="AQ48" s="1589" t="e">
        <f>IF(AQ47=0,0,AQ47*AQ44)</f>
        <v>#DIV/0!</v>
      </c>
      <c r="AR48" s="1498"/>
      <c r="AS48" s="1497" t="e">
        <f>IF(AS47=0,0,AS47*AS44)</f>
        <v>#DIV/0!</v>
      </c>
      <c r="AT48" s="1498"/>
      <c r="AU48" s="1497">
        <f>IF(AU47=0,0,AU47*AU44)</f>
        <v>0</v>
      </c>
      <c r="AV48" s="1498"/>
      <c r="AW48" s="1497">
        <f>IF(AW47=0,0,AW47*AW44)</f>
        <v>0</v>
      </c>
      <c r="AX48" s="1608"/>
      <c r="AY48" s="1600" t="e">
        <f>IF(AY47=0,0,AY47*AY44)</f>
        <v>#DIV/0!</v>
      </c>
      <c r="AZ48" s="1500"/>
      <c r="BA48" s="1499" t="e">
        <f>IF(BA47=0,0,BA47*BA44)</f>
        <v>#DIV/0!</v>
      </c>
      <c r="BB48" s="1500"/>
      <c r="BC48" s="1499">
        <f>IF(BC47=0,0,BC47*BC44)</f>
        <v>0</v>
      </c>
      <c r="BD48" s="1500"/>
      <c r="BE48" s="1499">
        <f>IF(BE47=0,0,BE47*BE44)</f>
        <v>0</v>
      </c>
      <c r="BF48" s="1612"/>
      <c r="BG48" s="1771" t="e">
        <f>IF(BG47=0,0,BG47*BG44)</f>
        <v>#DIV/0!</v>
      </c>
      <c r="BH48" s="1772"/>
      <c r="BI48" s="1773" t="e">
        <f>IF(BI47=0,0,BI47*BI44)</f>
        <v>#DIV/0!</v>
      </c>
      <c r="BJ48" s="1772"/>
      <c r="BK48" s="1773">
        <f>IF(BK47=0,0,BK47*BK44)</f>
        <v>0</v>
      </c>
      <c r="BL48" s="1772"/>
      <c r="BM48" s="1773">
        <f>IF(BM47=0,0,BM47*BM44)</f>
        <v>0</v>
      </c>
      <c r="BN48" s="1766"/>
    </row>
    <row r="49" spans="1:66">
      <c r="A49" s="67"/>
      <c r="I49" s="2070"/>
      <c r="Q49" s="1532"/>
      <c r="R49" s="1569"/>
      <c r="S49" s="1424"/>
      <c r="T49" s="1424"/>
      <c r="U49" s="1424"/>
      <c r="V49" s="1424"/>
      <c r="W49" s="1424"/>
      <c r="X49" s="1424"/>
      <c r="Y49" s="1424"/>
      <c r="Z49" s="1429"/>
      <c r="AA49" s="1495"/>
      <c r="AB49" s="1495"/>
      <c r="AC49" s="1495"/>
      <c r="AD49" s="1495"/>
      <c r="AE49" s="1495"/>
      <c r="AF49" s="1495"/>
      <c r="AG49" s="1495"/>
      <c r="AH49" s="1585"/>
      <c r="AI49" s="1425"/>
      <c r="AJ49" s="1425"/>
      <c r="AK49" s="1425"/>
      <c r="AL49" s="1425"/>
      <c r="AM49" s="1425"/>
      <c r="AN49" s="1425"/>
      <c r="AO49" s="1425"/>
      <c r="AP49" s="1430"/>
      <c r="AQ49" s="1498"/>
      <c r="AR49" s="1498"/>
      <c r="AS49" s="1498"/>
      <c r="AT49" s="1498"/>
      <c r="AU49" s="1498"/>
      <c r="AV49" s="1498"/>
      <c r="AW49" s="1498"/>
      <c r="AX49" s="1608"/>
      <c r="AY49" s="1500"/>
      <c r="AZ49" s="1500"/>
      <c r="BA49" s="1500"/>
      <c r="BB49" s="1500"/>
      <c r="BC49" s="1500"/>
      <c r="BD49" s="1500"/>
      <c r="BE49" s="1500"/>
      <c r="BF49" s="1612"/>
      <c r="BG49" s="1772"/>
      <c r="BH49" s="1772"/>
      <c r="BI49" s="1772"/>
      <c r="BJ49" s="1772"/>
      <c r="BK49" s="1772"/>
      <c r="BL49" s="1772"/>
      <c r="BM49" s="1772"/>
      <c r="BN49" s="1766"/>
    </row>
    <row r="50" spans="1:66">
      <c r="A50" s="20" t="s">
        <v>294</v>
      </c>
      <c r="I50" s="2070"/>
      <c r="Q50" s="1532"/>
      <c r="R50" s="1569"/>
      <c r="S50" s="1424"/>
      <c r="T50" s="1424"/>
      <c r="U50" s="1424"/>
      <c r="V50" s="1424"/>
      <c r="W50" s="1424"/>
      <c r="X50" s="1424"/>
      <c r="Y50" s="1424"/>
      <c r="Z50" s="1429"/>
      <c r="AA50" s="1495"/>
      <c r="AB50" s="1495"/>
      <c r="AC50" s="1495"/>
      <c r="AD50" s="1495"/>
      <c r="AE50" s="1495"/>
      <c r="AF50" s="1495"/>
      <c r="AG50" s="1495"/>
      <c r="AH50" s="1585"/>
      <c r="AI50" s="1425"/>
      <c r="AJ50" s="1425"/>
      <c r="AK50" s="1425"/>
      <c r="AL50" s="1425"/>
      <c r="AM50" s="1425"/>
      <c r="AN50" s="1425"/>
      <c r="AO50" s="1425"/>
      <c r="AP50" s="1430"/>
      <c r="AQ50" s="1498"/>
      <c r="AR50" s="1498"/>
      <c r="AS50" s="1498"/>
      <c r="AT50" s="1498"/>
      <c r="AU50" s="1498"/>
      <c r="AV50" s="1498"/>
      <c r="AW50" s="1498"/>
      <c r="AX50" s="1608"/>
      <c r="AY50" s="1500"/>
      <c r="AZ50" s="1500"/>
      <c r="BA50" s="1500"/>
      <c r="BB50" s="1500"/>
      <c r="BC50" s="1500"/>
      <c r="BD50" s="1500"/>
      <c r="BE50" s="1500"/>
      <c r="BF50" s="1612"/>
      <c r="BG50" s="1772"/>
      <c r="BH50" s="1772"/>
      <c r="BI50" s="1772"/>
      <c r="BJ50" s="1772"/>
      <c r="BK50" s="1772"/>
      <c r="BL50" s="1772"/>
      <c r="BM50" s="1772"/>
      <c r="BN50" s="1766"/>
    </row>
    <row r="51" spans="1:66">
      <c r="A51" s="67" t="s">
        <v>186</v>
      </c>
      <c r="C51" s="2368" t="e">
        <f>IF(C127&gt;C128,C128,C127)</f>
        <v>#REF!</v>
      </c>
      <c r="D51" s="2057"/>
      <c r="E51" s="2368">
        <v>0</v>
      </c>
      <c r="F51" s="2057"/>
      <c r="G51" s="2368" t="e">
        <f>IF(G127&gt;G128,G128,G127)</f>
        <v>#REF!</v>
      </c>
      <c r="H51" s="2057"/>
      <c r="I51" s="2369">
        <v>0</v>
      </c>
      <c r="K51" s="1454" t="e">
        <f>IF(K127&gt;K128,K128,K127)</f>
        <v>#REF!</v>
      </c>
      <c r="L51" s="1455"/>
      <c r="M51" s="1454">
        <v>0</v>
      </c>
      <c r="N51" s="1455"/>
      <c r="O51" s="1454" t="e">
        <f>IF(O127&gt;O128,O128,O127)</f>
        <v>#REF!</v>
      </c>
      <c r="P51" s="1455"/>
      <c r="Q51" s="1466">
        <v>0</v>
      </c>
      <c r="R51" s="1569"/>
      <c r="S51" s="1562" t="e">
        <f>IF(S127&gt;S128,S128,S127)</f>
        <v>#DIV/0!</v>
      </c>
      <c r="T51" s="1424"/>
      <c r="U51" s="1493">
        <v>0</v>
      </c>
      <c r="V51" s="1424"/>
      <c r="W51" s="1493">
        <f>IF(W127&gt;W128,W128,W127)</f>
        <v>0</v>
      </c>
      <c r="X51" s="1424"/>
      <c r="Y51" s="1493">
        <v>0</v>
      </c>
      <c r="Z51" s="1429"/>
      <c r="AA51" s="1571" t="e">
        <f>IF(AA127&gt;AA128,AA128,AA127)</f>
        <v>#DIV/0!</v>
      </c>
      <c r="AB51" s="1495"/>
      <c r="AC51" s="1494">
        <v>0</v>
      </c>
      <c r="AD51" s="1495"/>
      <c r="AE51" s="1494">
        <f>IF(AE127&gt;AE128,AE128,AE127)</f>
        <v>0</v>
      </c>
      <c r="AF51" s="1495"/>
      <c r="AG51" s="1494">
        <v>0</v>
      </c>
      <c r="AH51" s="1585"/>
      <c r="AI51" s="1428" t="e">
        <f>IF(AI127&gt;AI128,AI128,AI127)</f>
        <v>#DIV/0!</v>
      </c>
      <c r="AJ51" s="1425"/>
      <c r="AK51" s="1496">
        <v>0</v>
      </c>
      <c r="AL51" s="1425"/>
      <c r="AM51" s="1496">
        <f>IF(AM127&gt;AM128,AM128,AM127)</f>
        <v>0</v>
      </c>
      <c r="AN51" s="1425"/>
      <c r="AO51" s="1496">
        <v>0</v>
      </c>
      <c r="AP51" s="1430"/>
      <c r="AQ51" s="1589" t="e">
        <f>IF(AQ127&gt;AQ128,AQ128,AQ127)</f>
        <v>#DIV/0!</v>
      </c>
      <c r="AR51" s="1498"/>
      <c r="AS51" s="1497">
        <v>0</v>
      </c>
      <c r="AT51" s="1498"/>
      <c r="AU51" s="1497">
        <f>IF(AU127&gt;AU128,AU128,AU127)</f>
        <v>0</v>
      </c>
      <c r="AV51" s="1498"/>
      <c r="AW51" s="1497">
        <v>0</v>
      </c>
      <c r="AX51" s="1608"/>
      <c r="AY51" s="1600" t="e">
        <f>IF(AY127&gt;AY128,AY128,AY127)</f>
        <v>#DIV/0!</v>
      </c>
      <c r="AZ51" s="1500"/>
      <c r="BA51" s="1499">
        <v>0</v>
      </c>
      <c r="BB51" s="1500"/>
      <c r="BC51" s="1499">
        <f>IF(BC127&gt;BC128,BC128,BC127)</f>
        <v>0</v>
      </c>
      <c r="BD51" s="1500"/>
      <c r="BE51" s="1499">
        <v>0</v>
      </c>
      <c r="BF51" s="1612"/>
      <c r="BG51" s="1771" t="e">
        <f>IF(BG127&gt;BG128,BG128,BG127)</f>
        <v>#DIV/0!</v>
      </c>
      <c r="BH51" s="1772"/>
      <c r="BI51" s="1773">
        <v>0</v>
      </c>
      <c r="BJ51" s="1772"/>
      <c r="BK51" s="1773">
        <f>IF(BK127&gt;BK128,BK128,BK127)</f>
        <v>0</v>
      </c>
      <c r="BL51" s="1772"/>
      <c r="BM51" s="1773">
        <v>0</v>
      </c>
      <c r="BN51" s="1766"/>
    </row>
    <row r="52" spans="1:66">
      <c r="A52" s="67" t="s">
        <v>1453</v>
      </c>
      <c r="C52" s="2368" t="e">
        <f>'Data Entry - SOF'!C136*(C48/'Data Entry - SOF'!C93)</f>
        <v>#REF!</v>
      </c>
      <c r="D52" s="2057"/>
      <c r="E52" s="2368">
        <f>IF('Data Entry - SOF'!C137&gt;E130,E130,'Data Entry - SOF'!C137)</f>
        <v>0</v>
      </c>
      <c r="F52" s="2057"/>
      <c r="G52" s="2368" t="e">
        <f>'Data Entry - SOF'!C136*(G48/'Data Entry - SOF'!C93)</f>
        <v>#REF!</v>
      </c>
      <c r="H52" s="2057"/>
      <c r="I52" s="2369">
        <f>IF('Data Entry - SOF'!C137&gt;I130,I130,'Data Entry - SOF'!C137)</f>
        <v>0</v>
      </c>
      <c r="K52" s="1454" t="e">
        <f>'Data Entry - SOF'!#REF!*(K48/'Data Entry - SOF'!#REF!)</f>
        <v>#REF!</v>
      </c>
      <c r="L52" s="1455"/>
      <c r="M52" s="1454" t="e">
        <f>IF('Data Entry - SOF'!#REF!&gt;M130,M130,'Data Entry - SOF'!#REF!)</f>
        <v>#REF!</v>
      </c>
      <c r="N52" s="1455"/>
      <c r="O52" s="1454" t="e">
        <f>'Data Entry - SOF'!#REF!*(O48/'Data Entry - SOF'!#REF!)</f>
        <v>#REF!</v>
      </c>
      <c r="P52" s="1455"/>
      <c r="Q52" s="1466" t="e">
        <f>IF('Data Entry - SOF'!#REF!&gt;Q130,Q130,'Data Entry - SOF'!#REF!)</f>
        <v>#REF!</v>
      </c>
      <c r="R52" s="1569"/>
      <c r="S52" s="1562" t="e">
        <f>'Data Entry - SOF'!E136*(S48/'Data Entry - SOF'!E93)</f>
        <v>#DIV/0!</v>
      </c>
      <c r="T52" s="1424"/>
      <c r="U52" s="1493">
        <f>IF('Data Entry - SOF'!E137&gt;U130,U130,'Data Entry - SOF'!E137)</f>
        <v>0</v>
      </c>
      <c r="V52" s="1424"/>
      <c r="W52" s="1493" t="e">
        <f>'Data Entry - SOF'!E136*(W48/'Data Entry - SOF'!E93)</f>
        <v>#DIV/0!</v>
      </c>
      <c r="X52" s="1424"/>
      <c r="Y52" s="1493">
        <f>IF('Data Entry - SOF'!E137&gt;Y130,Y130,'Data Entry - SOF'!E137)</f>
        <v>0</v>
      </c>
      <c r="Z52" s="1429"/>
      <c r="AA52" s="1571" t="e">
        <f>'Data Entry - SOF'!G136*(AA48/'Data Entry - SOF'!G93)</f>
        <v>#DIV/0!</v>
      </c>
      <c r="AB52" s="1495"/>
      <c r="AC52" s="1494">
        <f>IF('Data Entry - SOF'!G137&gt;AC130,AC130,'Data Entry - SOF'!G137)</f>
        <v>0</v>
      </c>
      <c r="AD52" s="1495"/>
      <c r="AE52" s="1494">
        <f>'Data Entry - SOF'!G136*(AE48/'Data Entry - SOF'!G93)</f>
        <v>0</v>
      </c>
      <c r="AF52" s="1495"/>
      <c r="AG52" s="1494">
        <f>IF('Data Entry - SOF'!G137&gt;AG130,AG130,'Data Entry - SOF'!G137)</f>
        <v>0</v>
      </c>
      <c r="AH52" s="1585"/>
      <c r="AI52" s="1428" t="e">
        <f>'Data Entry - SOF'!M136*(AI48/'Data Entry - SOF'!M93)</f>
        <v>#DIV/0!</v>
      </c>
      <c r="AJ52" s="1425"/>
      <c r="AK52" s="1496">
        <f>IF('Data Entry - SOF'!M137&gt;AK130,AK130,'Data Entry - SOF'!M137)</f>
        <v>0</v>
      </c>
      <c r="AL52" s="1425"/>
      <c r="AM52" s="1496" t="e">
        <f>'Data Entry - SOF'!M136*(AM48/'Data Entry - SOF'!M93)</f>
        <v>#DIV/0!</v>
      </c>
      <c r="AN52" s="1425"/>
      <c r="AO52" s="1496">
        <f>IF('Data Entry - SOF'!M137&gt;AO130,AO130,'Data Entry - SOF'!M137)</f>
        <v>0</v>
      </c>
      <c r="AP52" s="1430"/>
      <c r="AQ52" s="1589" t="e">
        <f>'Data Entry - SOF'!O136*(AQ48/'Data Entry - SOF'!O93)</f>
        <v>#DIV/0!</v>
      </c>
      <c r="AR52" s="1498"/>
      <c r="AS52" s="1497">
        <f>IF('Data Entry - SOF'!O137&gt;AS130,AS130,'Data Entry - SOF'!O137)</f>
        <v>0</v>
      </c>
      <c r="AT52" s="1498"/>
      <c r="AU52" s="1497" t="e">
        <f>'Data Entry - SOF'!O136*(AU48/'Data Entry - SOF'!O93)</f>
        <v>#DIV/0!</v>
      </c>
      <c r="AV52" s="1498"/>
      <c r="AW52" s="1497">
        <f>IF('Data Entry - SOF'!O137&gt;AW130,AW130,'Data Entry - SOF'!O137)</f>
        <v>0</v>
      </c>
      <c r="AX52" s="1608"/>
      <c r="AY52" s="1600" t="e">
        <f>'Data Entry - SOF'!Q136*(AY48/'Data Entry - SOF'!Q93)</f>
        <v>#DIV/0!</v>
      </c>
      <c r="AZ52" s="1500"/>
      <c r="BA52" s="1499">
        <f>IF('Data Entry - SOF'!Q137&gt;BA130,BA130,'Data Entry - SOF'!Q137)</f>
        <v>0</v>
      </c>
      <c r="BB52" s="1500"/>
      <c r="BC52" s="1499" t="e">
        <f>'Data Entry - SOF'!Q136*(BC48/'Data Entry - SOF'!Q93)</f>
        <v>#DIV/0!</v>
      </c>
      <c r="BD52" s="1500"/>
      <c r="BE52" s="1499">
        <f>IF('Data Entry - SOF'!Q137&gt;BE130,BE130,'Data Entry - SOF'!Q137)</f>
        <v>0</v>
      </c>
      <c r="BF52" s="1612"/>
      <c r="BG52" s="1771" t="e">
        <f>'Data Entry - SOF'!S136*(BG48/'Data Entry - SOF'!S93)</f>
        <v>#DIV/0!</v>
      </c>
      <c r="BH52" s="1772"/>
      <c r="BI52" s="1773">
        <f>IF('Data Entry - SOF'!S137&gt;BI130,BI130,'Data Entry - SOF'!S137)</f>
        <v>0</v>
      </c>
      <c r="BJ52" s="1772"/>
      <c r="BK52" s="1773" t="e">
        <f>'Data Entry - SOF'!S136*(BK48/'Data Entry - SOF'!S93)</f>
        <v>#DIV/0!</v>
      </c>
      <c r="BL52" s="1772"/>
      <c r="BM52" s="1773">
        <f>IF('Data Entry - SOF'!S137&gt;BM130,BM130,'Data Entry - SOF'!S137)</f>
        <v>0</v>
      </c>
      <c r="BN52" s="1766"/>
    </row>
    <row r="53" spans="1:66">
      <c r="A53" s="67"/>
      <c r="C53" s="2057"/>
      <c r="D53" s="2057"/>
      <c r="E53" s="2057"/>
      <c r="F53" s="2057"/>
      <c r="G53" s="2057"/>
      <c r="H53" s="2057"/>
      <c r="I53" s="2370"/>
      <c r="Q53" s="1532"/>
      <c r="R53" s="1569"/>
      <c r="S53" s="1424"/>
      <c r="T53" s="1424"/>
      <c r="U53" s="1424"/>
      <c r="V53" s="1424"/>
      <c r="W53" s="1424"/>
      <c r="X53" s="1424"/>
      <c r="Y53" s="1424"/>
      <c r="Z53" s="1429"/>
      <c r="AA53" s="1495"/>
      <c r="AB53" s="1495"/>
      <c r="AC53" s="1495"/>
      <c r="AD53" s="1495"/>
      <c r="AE53" s="1495"/>
      <c r="AF53" s="1495"/>
      <c r="AG53" s="1495"/>
      <c r="AH53" s="1585"/>
      <c r="AI53" s="1425"/>
      <c r="AJ53" s="1425"/>
      <c r="AK53" s="1425"/>
      <c r="AL53" s="1425"/>
      <c r="AM53" s="1425"/>
      <c r="AN53" s="1425"/>
      <c r="AO53" s="1425"/>
      <c r="AP53" s="1430"/>
      <c r="AQ53" s="1498"/>
      <c r="AR53" s="1498"/>
      <c r="AS53" s="1498"/>
      <c r="AT53" s="1498"/>
      <c r="AU53" s="1498"/>
      <c r="AV53" s="1498"/>
      <c r="AW53" s="1498"/>
      <c r="AX53" s="1608"/>
      <c r="AY53" s="1500"/>
      <c r="AZ53" s="1500"/>
      <c r="BA53" s="1500"/>
      <c r="BB53" s="1500"/>
      <c r="BC53" s="1500"/>
      <c r="BD53" s="1500"/>
      <c r="BE53" s="1500"/>
      <c r="BF53" s="1612"/>
      <c r="BG53" s="1772"/>
      <c r="BH53" s="1772"/>
      <c r="BI53" s="1772"/>
      <c r="BJ53" s="1772"/>
      <c r="BK53" s="1772"/>
      <c r="BL53" s="1772"/>
      <c r="BM53" s="1772"/>
      <c r="BN53" s="1766"/>
    </row>
    <row r="54" spans="1:66"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39" t="e">
        <f>IF(K48-K51-K52&lt;0,0,K48-K51-K52)</f>
        <v>#REF!</v>
      </c>
      <c r="L54" s="1455"/>
      <c r="M54" s="1539" t="e">
        <f>IF(M48-M51-M52&lt;0,0,M48-M51-M52)</f>
        <v>#REF!</v>
      </c>
      <c r="N54" s="1455"/>
      <c r="O54" s="1539" t="e">
        <f>IF(O48-O51-O52&lt;0,0,O48-O51-O52)</f>
        <v>#REF!</v>
      </c>
      <c r="P54" s="1455"/>
      <c r="Q54" s="1533" t="e">
        <f>IF(Q48-Q51-Q52&lt;0,0,Q48-Q51-Q52)</f>
        <v>#REF!</v>
      </c>
      <c r="R54" s="1569"/>
      <c r="S54" s="1534" t="e">
        <f>IF(S48-S51-S52&lt;0,0,S48-S51-S52)</f>
        <v>#DIV/0!</v>
      </c>
      <c r="T54" s="1424"/>
      <c r="U54" s="1534" t="e">
        <f>IF(U48-U51-U52&lt;0,0,U48-U51-U52)</f>
        <v>#DIV/0!</v>
      </c>
      <c r="V54" s="1424"/>
      <c r="W54" s="1534" t="e">
        <f>IF(W48-W51-W52&lt;0,0,W48-W51-W52)</f>
        <v>#DIV/0!</v>
      </c>
      <c r="X54" s="1424"/>
      <c r="Y54" s="1534">
        <f>IF(Y48-Y51-Y52&lt;0,0,Y48-Y51-Y52)</f>
        <v>0</v>
      </c>
      <c r="Z54" s="1429"/>
      <c r="AA54" s="1535" t="e">
        <f>IF(AA48-AA51-AA52&lt;0,0,AA48-AA51-AA52)</f>
        <v>#DIV/0!</v>
      </c>
      <c r="AB54" s="1495"/>
      <c r="AC54" s="1535" t="e">
        <f>IF(AC48-AC51-AC52&lt;0,0,AC48-AC51-AC52)</f>
        <v>#DIV/0!</v>
      </c>
      <c r="AD54" s="1495"/>
      <c r="AE54" s="1535">
        <f>IF(AE48-AE51-AE52&lt;0,0,AE48-AE51-AE52)</f>
        <v>0</v>
      </c>
      <c r="AF54" s="1495"/>
      <c r="AG54" s="1535">
        <f>IF(AG48-AG51-AG52&lt;0,0,AG48-AG51-AG52)</f>
        <v>0</v>
      </c>
      <c r="AH54" s="1585"/>
      <c r="AI54" s="1536" t="e">
        <f>IF(AI48-AI51-AI52&lt;0,0,AI48-AI51-AI52)</f>
        <v>#DIV/0!</v>
      </c>
      <c r="AJ54" s="1425"/>
      <c r="AK54" s="1536" t="e">
        <f>IF(AK48-AK51-AK52&lt;0,0,AK48-AK51-AK52)</f>
        <v>#DIV/0!</v>
      </c>
      <c r="AL54" s="1425"/>
      <c r="AM54" s="1536" t="e">
        <f>IF(AM48-AM51-AM52&lt;0,0,AM48-AM51-AM52)</f>
        <v>#DIV/0!</v>
      </c>
      <c r="AN54" s="1425"/>
      <c r="AO54" s="1536">
        <f>IF(AO48-AO51-AO52&lt;0,0,AO48-AO51-AO52)</f>
        <v>0</v>
      </c>
      <c r="AP54" s="1430"/>
      <c r="AQ54" s="1537" t="e">
        <f>IF(AQ48-AQ51-AQ52&lt;0,0,AQ48-AQ51-AQ52)</f>
        <v>#DIV/0!</v>
      </c>
      <c r="AR54" s="1498"/>
      <c r="AS54" s="1537" t="e">
        <f>IF(AS48-AS51-AS52&lt;0,0,AS48-AS51-AS52)</f>
        <v>#DIV/0!</v>
      </c>
      <c r="AT54" s="1498"/>
      <c r="AU54" s="1537" t="e">
        <f>IF(AU48-AU51-AU52&lt;0,0,AU48-AU51-AU52)</f>
        <v>#DIV/0!</v>
      </c>
      <c r="AV54" s="1498"/>
      <c r="AW54" s="1537">
        <f>IF(AW48-AW51-AW52&lt;0,0,AW48-AW51-AW52)</f>
        <v>0</v>
      </c>
      <c r="AX54" s="1608"/>
      <c r="AY54" s="1538" t="e">
        <f>IF(AY48-AY51-AY52&lt;0,0,AY48-AY51-AY52)</f>
        <v>#DIV/0!</v>
      </c>
      <c r="AZ54" s="1500"/>
      <c r="BA54" s="1538" t="e">
        <f>IF(BA48-BA51-BA52&lt;0,0,BA48-BA51-BA52)</f>
        <v>#DIV/0!</v>
      </c>
      <c r="BB54" s="1500"/>
      <c r="BC54" s="1538" t="e">
        <f>IF(BC48-BC51-BC52&lt;0,0,BC48-BC51-BC52)</f>
        <v>#DIV/0!</v>
      </c>
      <c r="BD54" s="1500"/>
      <c r="BE54" s="1538">
        <f>IF(BE48-BE51-BE52&lt;0,0,BE48-BE51-BE52)</f>
        <v>0</v>
      </c>
      <c r="BF54" s="1612"/>
      <c r="BG54" s="1785" t="e">
        <f>IF(BG48-BG51-BG52&lt;0,0,BG48-BG51-BG52)</f>
        <v>#DIV/0!</v>
      </c>
      <c r="BH54" s="1772"/>
      <c r="BI54" s="1785" t="e">
        <f>IF(BI48-BI51-BI52&lt;0,0,BI48-BI51-BI52)</f>
        <v>#DIV/0!</v>
      </c>
      <c r="BJ54" s="1772"/>
      <c r="BK54" s="1785" t="e">
        <f>IF(BK48-BK51-BK52&lt;0,0,BK48-BK51-BK52)</f>
        <v>#DIV/0!</v>
      </c>
      <c r="BL54" s="1772"/>
      <c r="BM54" s="1785">
        <f>IF(BM48-BM51-BM52&lt;0,0,BM48-BM51-BM52)</f>
        <v>0</v>
      </c>
      <c r="BN54" s="1766"/>
    </row>
    <row r="55" spans="1:66" ht="13.5" thickTop="1">
      <c r="A55" s="20" t="s">
        <v>542</v>
      </c>
      <c r="C55" s="2057" t="e">
        <f>IF(C47=0,0,C54/C47)</f>
        <v>#REF!</v>
      </c>
      <c r="D55" s="2057"/>
      <c r="E55" s="2057" t="e">
        <f>IF(E47=0,0,E54/E47)</f>
        <v>#REF!</v>
      </c>
      <c r="F55" s="2057"/>
      <c r="G55" s="2057" t="e">
        <f>IF(G47=0,0,G54/G47)</f>
        <v>#REF!</v>
      </c>
      <c r="H55" s="2057"/>
      <c r="I55" s="2370" t="e">
        <f>IF(I47=0,0,I54/I47)</f>
        <v>#REF!</v>
      </c>
      <c r="K55" s="1455" t="e">
        <f>IF(K47=0,0,K54/K47)</f>
        <v>#REF!</v>
      </c>
      <c r="L55" s="1455"/>
      <c r="M55" s="1455" t="e">
        <f>IF(M47=0,0,M54/M47)</f>
        <v>#REF!</v>
      </c>
      <c r="N55" s="1455"/>
      <c r="O55" s="1455" t="e">
        <f>IF(O47=0,0,O54/O47)</f>
        <v>#REF!</v>
      </c>
      <c r="P55" s="1455"/>
      <c r="Q55" s="1532" t="e">
        <f>IF(Q47=0,0,Q54/Q47)</f>
        <v>#REF!</v>
      </c>
      <c r="R55" s="1569"/>
      <c r="S55" s="1424" t="e">
        <f>IF(S47=0,0,S54/S47)</f>
        <v>#DIV/0!</v>
      </c>
      <c r="T55" s="1424"/>
      <c r="U55" s="1424" t="e">
        <f>IF(U47=0,0,U54/U47)</f>
        <v>#DIV/0!</v>
      </c>
      <c r="V55" s="1424"/>
      <c r="W55" s="1424">
        <f>IF(W47=0,0,W54/W47)</f>
        <v>0</v>
      </c>
      <c r="X55" s="1424"/>
      <c r="Y55" s="1424">
        <f>IF(Y47=0,0,Y54/Y47)</f>
        <v>0</v>
      </c>
      <c r="Z55" s="1429"/>
      <c r="AA55" s="1495" t="e">
        <f>IF(AA47=0,0,AA54/AA47)</f>
        <v>#DIV/0!</v>
      </c>
      <c r="AB55" s="1495"/>
      <c r="AC55" s="1495" t="e">
        <f>IF(AC47=0,0,AC54/AC47)</f>
        <v>#DIV/0!</v>
      </c>
      <c r="AD55" s="1495"/>
      <c r="AE55" s="1495">
        <f>IF(AE47=0,0,AE54/AE47)</f>
        <v>0</v>
      </c>
      <c r="AF55" s="1495"/>
      <c r="AG55" s="1495">
        <f>IF(AG47=0,0,AG54/AG47)</f>
        <v>0</v>
      </c>
      <c r="AH55" s="1585"/>
      <c r="AI55" s="1425" t="e">
        <f>IF(AI47=0,0,AI54/AI47)</f>
        <v>#DIV/0!</v>
      </c>
      <c r="AJ55" s="1425"/>
      <c r="AK55" s="1425" t="e">
        <f>IF(AK47=0,0,AK54/AK47)</f>
        <v>#DIV/0!</v>
      </c>
      <c r="AL55" s="1425"/>
      <c r="AM55" s="1425">
        <f>IF(AM47=0,0,AM54/AM47)</f>
        <v>0</v>
      </c>
      <c r="AN55" s="1425"/>
      <c r="AO55" s="1425">
        <f>IF(AO47=0,0,AO54/AO47)</f>
        <v>0</v>
      </c>
      <c r="AP55" s="1430"/>
      <c r="AQ55" s="1498" t="e">
        <f>IF(AQ47=0,0,AQ54/AQ47)</f>
        <v>#DIV/0!</v>
      </c>
      <c r="AR55" s="1498"/>
      <c r="AS55" s="1498" t="e">
        <f>IF(AS47=0,0,AS54/AS47)</f>
        <v>#DIV/0!</v>
      </c>
      <c r="AT55" s="1498"/>
      <c r="AU55" s="1498">
        <f>IF(AU47=0,0,AU54/AU47)</f>
        <v>0</v>
      </c>
      <c r="AV55" s="1498"/>
      <c r="AW55" s="1498">
        <f>IF(AW47=0,0,AW54/AW47)</f>
        <v>0</v>
      </c>
      <c r="AX55" s="1608"/>
      <c r="AY55" s="1500" t="e">
        <f>IF(AY47=0,0,AY54/AY47)</f>
        <v>#DIV/0!</v>
      </c>
      <c r="AZ55" s="1500"/>
      <c r="BA55" s="1500" t="e">
        <f>IF(BA47=0,0,BA54/BA47)</f>
        <v>#DIV/0!</v>
      </c>
      <c r="BB55" s="1500"/>
      <c r="BC55" s="1500">
        <f>IF(BC47=0,0,BC54/BC47)</f>
        <v>0</v>
      </c>
      <c r="BD55" s="1500"/>
      <c r="BE55" s="1500">
        <f>IF(BE47=0,0,BE54/BE47)</f>
        <v>0</v>
      </c>
      <c r="BF55" s="1612"/>
      <c r="BG55" s="1772" t="e">
        <f>IF(BG47=0,0,BG54/BG47)</f>
        <v>#DIV/0!</v>
      </c>
      <c r="BH55" s="1772"/>
      <c r="BI55" s="1772" t="e">
        <f>IF(BI47=0,0,BI54/BI47)</f>
        <v>#DIV/0!</v>
      </c>
      <c r="BJ55" s="1772"/>
      <c r="BK55" s="1772">
        <f>IF(BK47=0,0,BK54/BK47)</f>
        <v>0</v>
      </c>
      <c r="BL55" s="1772"/>
      <c r="BM55" s="1772">
        <f>IF(BM47=0,0,BM54/BM47)</f>
        <v>0</v>
      </c>
      <c r="BN55" s="1766"/>
    </row>
    <row r="56" spans="1:66">
      <c r="I56" s="2070"/>
      <c r="R56" s="1567"/>
      <c r="Z56" s="1560"/>
      <c r="AH56" s="1582"/>
      <c r="AP56" s="1594"/>
      <c r="AX56" s="1605"/>
      <c r="BF56" s="1612"/>
      <c r="BN56" s="1766"/>
    </row>
    <row r="57" spans="1:66">
      <c r="A57" s="64" t="s">
        <v>1139</v>
      </c>
      <c r="C57" s="2373" t="e">
        <f>#REF!</f>
        <v>#REF!</v>
      </c>
      <c r="E57" s="2057" t="e">
        <f>C54+G54</f>
        <v>#REF!</v>
      </c>
      <c r="G57" s="2374" t="e">
        <f>#REF!</f>
        <v>#REF!</v>
      </c>
      <c r="I57" s="2370" t="e">
        <f>E54+I54</f>
        <v>#REF!</v>
      </c>
      <c r="K57" s="1482" t="e">
        <f>'Report-Recapture1718'!G65</f>
        <v>#REF!</v>
      </c>
      <c r="O57" s="1482" t="e">
        <f>'Report-Recapture1718'!G141</f>
        <v>#REF!</v>
      </c>
      <c r="R57" s="1567"/>
      <c r="S57" s="1566" t="str">
        <f>'Report-Recapture1819'!G65</f>
        <v>Y</v>
      </c>
      <c r="W57" s="1447" t="str">
        <f>'Report-Recapture1819'!G141</f>
        <v>Y</v>
      </c>
      <c r="Z57" s="1560"/>
      <c r="AA57" s="1575" t="str">
        <f>'Report-Recapture1920'!G65</f>
        <v>Y</v>
      </c>
      <c r="AE57" s="1488" t="str">
        <f>'Report-Recapture1920'!G141</f>
        <v>Y</v>
      </c>
      <c r="AH57" s="1582"/>
      <c r="AI57" s="1581" t="str">
        <f>'Report-Recapture2021'!G65</f>
        <v>Y</v>
      </c>
      <c r="AM57" s="1489" t="str">
        <f>'Report-Recapture2021'!G141</f>
        <v>Y</v>
      </c>
      <c r="AP57" s="1594"/>
      <c r="AQ57" s="1593" t="str">
        <f>'Report-Recapture2122'!G65</f>
        <v>Y</v>
      </c>
      <c r="AU57" s="1491" t="str">
        <f>'Report-Recapture2122'!G141</f>
        <v>Y</v>
      </c>
      <c r="AX57" s="1605"/>
      <c r="AY57" s="1604" t="str">
        <f>'Report-Recapture2223'!G65</f>
        <v>Y</v>
      </c>
      <c r="BB57" s="1470"/>
      <c r="BC57" s="1492" t="str">
        <f>'Report-Recapture2223'!G141</f>
        <v>Y</v>
      </c>
      <c r="BF57" s="1612"/>
      <c r="BG57" s="1787" t="str">
        <f>'Report-Recapture2324'!G65</f>
        <v>Y</v>
      </c>
      <c r="BJ57" s="1767"/>
      <c r="BK57" s="1781" t="str">
        <f>'Report-Recapture2324'!G141</f>
        <v>Y</v>
      </c>
      <c r="BN57" s="1766"/>
    </row>
    <row r="58" spans="1:66">
      <c r="A58" s="35" t="s">
        <v>1140</v>
      </c>
      <c r="I58" s="2070"/>
      <c r="R58" s="1567"/>
      <c r="Z58" s="1560"/>
      <c r="AH58" s="1582"/>
      <c r="AP58" s="1594"/>
      <c r="AX58" s="1605"/>
      <c r="BF58" s="1612"/>
      <c r="BN58" s="1766"/>
    </row>
    <row r="59" spans="1:66">
      <c r="A59" s="82"/>
      <c r="C59" s="2375" t="s">
        <v>1086</v>
      </c>
      <c r="I59" s="2070"/>
      <c r="K59" s="1448" t="s">
        <v>1086</v>
      </c>
      <c r="R59" s="1567"/>
      <c r="S59" s="1438" t="s">
        <v>1086</v>
      </c>
      <c r="Z59" s="1560"/>
      <c r="AA59" s="1471" t="s">
        <v>1086</v>
      </c>
      <c r="AH59" s="1582"/>
      <c r="AI59" s="1472" t="s">
        <v>1086</v>
      </c>
      <c r="AP59" s="1594"/>
      <c r="AQ59" s="1473" t="s">
        <v>1086</v>
      </c>
      <c r="AX59" s="1605"/>
      <c r="AY59" s="1474" t="s">
        <v>1086</v>
      </c>
      <c r="BF59" s="1612"/>
      <c r="BG59" s="1765" t="s">
        <v>1086</v>
      </c>
      <c r="BN59" s="1766"/>
    </row>
    <row r="60" spans="1:66">
      <c r="A60" s="82"/>
      <c r="C60" s="2375" t="s">
        <v>1087</v>
      </c>
      <c r="I60" s="2070"/>
      <c r="K60" s="1448" t="s">
        <v>1087</v>
      </c>
      <c r="R60" s="1567"/>
      <c r="S60" s="1438" t="s">
        <v>1087</v>
      </c>
      <c r="Z60" s="1560"/>
      <c r="AA60" s="1471" t="s">
        <v>1087</v>
      </c>
      <c r="AH60" s="1582"/>
      <c r="AI60" s="1472" t="s">
        <v>1087</v>
      </c>
      <c r="AP60" s="1594"/>
      <c r="AQ60" s="1473" t="s">
        <v>1087</v>
      </c>
      <c r="AX60" s="1605"/>
      <c r="AY60" s="1474" t="s">
        <v>1087</v>
      </c>
      <c r="BF60" s="1612"/>
      <c r="BG60" s="1765" t="s">
        <v>1087</v>
      </c>
      <c r="BN60" s="1766"/>
    </row>
    <row r="61" spans="1:66">
      <c r="A61" s="82"/>
      <c r="I61" s="2070"/>
      <c r="R61" s="1567"/>
      <c r="Z61" s="1560"/>
      <c r="AH61" s="1582"/>
      <c r="AP61" s="1594"/>
      <c r="AX61" s="1605"/>
      <c r="BF61" s="1612"/>
      <c r="BN61" s="1766"/>
    </row>
    <row r="62" spans="1:66">
      <c r="A62" s="71"/>
      <c r="I62" s="2070"/>
      <c r="K62" s="1981" t="s">
        <v>6969</v>
      </c>
      <c r="R62" s="1567"/>
      <c r="Z62" s="1560"/>
      <c r="AH62" s="1582"/>
      <c r="AP62" s="1594"/>
      <c r="AX62" s="1605"/>
      <c r="BF62" s="1612"/>
      <c r="BN62" s="1766"/>
    </row>
    <row r="63" spans="1:66">
      <c r="A63" s="71"/>
      <c r="C63" s="2058" t="s">
        <v>3830</v>
      </c>
      <c r="I63" s="2070"/>
      <c r="K63" s="1448" t="s">
        <v>3830</v>
      </c>
      <c r="R63" s="1567"/>
      <c r="S63" s="1438" t="s">
        <v>3830</v>
      </c>
      <c r="Z63" s="1560"/>
      <c r="AA63" s="1471" t="s">
        <v>3830</v>
      </c>
      <c r="AH63" s="1582"/>
      <c r="AI63" s="1472" t="s">
        <v>3830</v>
      </c>
      <c r="AP63" s="1594"/>
      <c r="AQ63" s="1473" t="s">
        <v>3830</v>
      </c>
      <c r="AX63" s="1605"/>
      <c r="AY63" s="1474" t="s">
        <v>3830</v>
      </c>
      <c r="BF63" s="1612"/>
      <c r="BG63" s="1765" t="s">
        <v>3830</v>
      </c>
      <c r="BN63" s="1766"/>
    </row>
    <row r="64" spans="1:66">
      <c r="A64" s="71"/>
      <c r="C64" s="2081" t="e">
        <f>IF(C30&gt;C24,C30,C24)</f>
        <v>#REF!</v>
      </c>
      <c r="E64" s="2081" t="e">
        <f>E24</f>
        <v>#REF!</v>
      </c>
      <c r="G64" s="2081" t="e">
        <f>IF(G30&gt;G24,G30,G24)</f>
        <v>#REF!</v>
      </c>
      <c r="I64" s="2082" t="e">
        <f>I24</f>
        <v>#REF!</v>
      </c>
      <c r="K64" s="1454" t="e">
        <f>IF(K30&gt;K24,K30,K24)</f>
        <v>#REF!</v>
      </c>
      <c r="L64" s="1455"/>
      <c r="M64" s="1454" t="e">
        <f>M24</f>
        <v>#REF!</v>
      </c>
      <c r="N64" s="1455"/>
      <c r="O64" s="1454" t="e">
        <f>IF(O30&gt;O24,O30,O24)</f>
        <v>#REF!</v>
      </c>
      <c r="P64" s="1455"/>
      <c r="Q64" s="1463" t="e">
        <f>Q24</f>
        <v>#REF!</v>
      </c>
      <c r="R64" s="1570"/>
      <c r="S64" s="1564" t="e">
        <f>IF(S30&gt;S24,S30,S24)</f>
        <v>#DIV/0!</v>
      </c>
      <c r="T64" s="1440"/>
      <c r="U64" s="1439">
        <f>U24</f>
        <v>0</v>
      </c>
      <c r="V64" s="1440"/>
      <c r="W64" s="1439" t="e">
        <f>IF(W30&gt;W24,W30,W24)</f>
        <v>#DIV/0!</v>
      </c>
      <c r="X64" s="1440"/>
      <c r="Y64" s="1439">
        <f>Y24</f>
        <v>0</v>
      </c>
      <c r="Z64" s="1561"/>
      <c r="AA64" s="1573" t="e">
        <f>IF(AA30&gt;AA24,AA30,AA24)</f>
        <v>#DIV/0!</v>
      </c>
      <c r="AB64" s="1510"/>
      <c r="AC64" s="1509">
        <f>AC24</f>
        <v>0</v>
      </c>
      <c r="AD64" s="1510"/>
      <c r="AE64" s="1509" t="e">
        <f>IF(AE30&gt;AE24,AE30,AE24)</f>
        <v>#DIV/0!</v>
      </c>
      <c r="AF64" s="1510"/>
      <c r="AG64" s="1509">
        <f>AG24</f>
        <v>0</v>
      </c>
      <c r="AH64" s="1587"/>
      <c r="AI64" s="1426" t="e">
        <f>IF(AI30&gt;AI24,AI30,AI24)</f>
        <v>#DIV/0!</v>
      </c>
      <c r="AJ64" s="1512"/>
      <c r="AK64" s="1511" t="e">
        <f>AK24</f>
        <v>#DIV/0!</v>
      </c>
      <c r="AL64" s="1512"/>
      <c r="AM64" s="1511" t="e">
        <f>IF(AM30&gt;AM24,AM30,AM24)</f>
        <v>#DIV/0!</v>
      </c>
      <c r="AN64" s="1512"/>
      <c r="AO64" s="1511" t="e">
        <f>AO24</f>
        <v>#DIV/0!</v>
      </c>
      <c r="AP64" s="1598"/>
      <c r="AQ64" s="1591" t="e">
        <f>IF(AQ30&gt;AQ24,AQ30,AQ24)</f>
        <v>#DIV/0!</v>
      </c>
      <c r="AR64" s="1514"/>
      <c r="AS64" s="1513" t="e">
        <f>AS24</f>
        <v>#DIV/0!</v>
      </c>
      <c r="AT64" s="1514"/>
      <c r="AU64" s="1513" t="e">
        <f>IF(AU30&gt;AU24,AU30,AU24)</f>
        <v>#DIV/0!</v>
      </c>
      <c r="AV64" s="1514"/>
      <c r="AW64" s="1513" t="e">
        <f>AW24</f>
        <v>#DIV/0!</v>
      </c>
      <c r="AX64" s="1610"/>
      <c r="AY64" s="1602" t="e">
        <f>IF(AY30&gt;AY24,AY30,AY24)</f>
        <v>#DIV/0!</v>
      </c>
      <c r="AZ64" s="1516"/>
      <c r="BA64" s="1515" t="e">
        <f>BA24</f>
        <v>#DIV/0!</v>
      </c>
      <c r="BB64" s="1516"/>
      <c r="BC64" s="1515" t="e">
        <f>IF(BC30&gt;BC24,BC30,BC24)</f>
        <v>#DIV/0!</v>
      </c>
      <c r="BD64" s="1516"/>
      <c r="BE64" s="1515" t="e">
        <f>BE24</f>
        <v>#DIV/0!</v>
      </c>
      <c r="BF64" s="1612"/>
      <c r="BG64" s="1777" t="e">
        <f>IF(BG30&gt;BG24,BG30,BG24)</f>
        <v>#DIV/0!</v>
      </c>
      <c r="BH64" s="1778"/>
      <c r="BI64" s="1779" t="e">
        <f>BI24</f>
        <v>#DIV/0!</v>
      </c>
      <c r="BJ64" s="1778"/>
      <c r="BK64" s="1779" t="e">
        <f>IF(BK30&gt;BK24,BK30,BK24)</f>
        <v>#DIV/0!</v>
      </c>
      <c r="BL64" s="1778"/>
      <c r="BM64" s="1779" t="e">
        <f>BM24</f>
        <v>#DIV/0!</v>
      </c>
      <c r="BN64" s="1766"/>
    </row>
    <row r="65" spans="1:66">
      <c r="A65" s="71"/>
      <c r="C65" s="2081" t="e">
        <f>IF('Data Entry - SOF'!C77-C64&lt;0,0,'Data Entry - SOF'!C77-C64)</f>
        <v>#REF!</v>
      </c>
      <c r="E65" s="2081" t="e">
        <f>IF('Data Entry - SOF'!C77-E64&lt;0,0,'Data Entry - SOF'!C77-E64)</f>
        <v>#REF!</v>
      </c>
      <c r="G65" s="2081" t="e">
        <f>IF('Data Entry - SOF'!C77-G64&lt;0,0,'Data Entry - SOF'!C77-G64)</f>
        <v>#REF!</v>
      </c>
      <c r="I65" s="2082" t="e">
        <f>IF('Data Entry - SOF'!C77-I64&lt;0,0,'Data Entry - SOF'!C77-I64)</f>
        <v>#REF!</v>
      </c>
      <c r="K65" s="1454" t="e">
        <f>IF('Data Entry - SOF'!#REF!-K64&lt;0,0,'Data Entry - SOF'!#REF!-K64)</f>
        <v>#REF!</v>
      </c>
      <c r="L65" s="1455"/>
      <c r="M65" s="1454" t="e">
        <f>IF('Data Entry - SOF'!#REF!-M64&lt;0,0,'Data Entry - SOF'!#REF!-M64)</f>
        <v>#REF!</v>
      </c>
      <c r="N65" s="1455"/>
      <c r="O65" s="1454" t="e">
        <f>IF('Data Entry - SOF'!#REF!-O64&lt;0,0,'Data Entry - SOF'!#REF!-O64)</f>
        <v>#REF!</v>
      </c>
      <c r="P65" s="1455"/>
      <c r="Q65" s="1463" t="e">
        <f>IF('Data Entry - SOF'!#REF!-Q64&lt;0,0,'Data Entry - SOF'!#REF!-Q64)</f>
        <v>#REF!</v>
      </c>
      <c r="R65" s="1570"/>
      <c r="S65" s="1564" t="e">
        <f>IF('Data Entry - SOF'!E77-S64&lt;0,0,'Data Entry - SOF'!E77-S64)</f>
        <v>#DIV/0!</v>
      </c>
      <c r="T65" s="1440"/>
      <c r="U65" s="1439">
        <f>IF('Data Entry - SOF'!E77-U64&lt;0,0,'Data Entry - SOF'!E77-U64)</f>
        <v>0</v>
      </c>
      <c r="V65" s="1440"/>
      <c r="W65" s="1439" t="e">
        <f>IF('Data Entry - SOF'!E77-W64&lt;0,0,'Data Entry - SOF'!E77-W64)</f>
        <v>#DIV/0!</v>
      </c>
      <c r="X65" s="1440"/>
      <c r="Y65" s="1439">
        <f>IF('Data Entry - SOF'!E77-Y64&lt;0,0,'Data Entry - SOF'!E77-Y64)</f>
        <v>0</v>
      </c>
      <c r="Z65" s="1561"/>
      <c r="AA65" s="1573" t="e">
        <f>IF('Data Entry - SOF'!E87-AA64&lt;0,0,'Data Entry - SOF'!E87-AA64)</f>
        <v>#DIV/0!</v>
      </c>
      <c r="AB65" s="1510"/>
      <c r="AC65" s="1509">
        <f>IF('Data Entry - SOF'!E87-AC64&lt;0,0,'Data Entry - SOF'!E87-AC64)</f>
        <v>0</v>
      </c>
      <c r="AD65" s="1510"/>
      <c r="AE65" s="1509" t="e">
        <f>IF('Data Entry - SOF'!E87-AE64&lt;0,0,'Data Entry - SOF'!E87-AE64)</f>
        <v>#DIV/0!</v>
      </c>
      <c r="AF65" s="1510"/>
      <c r="AG65" s="1509">
        <f>IF('Data Entry - SOF'!E87-AG64&lt;0,0,'Data Entry - SOF'!E87-AG64)</f>
        <v>0</v>
      </c>
      <c r="AH65" s="1587"/>
      <c r="AI65" s="1426" t="e">
        <f>IF('Data Entry - SOF'!M77-AI64&lt;0,0,'Data Entry - SOF'!M77-AI64)</f>
        <v>#DIV/0!</v>
      </c>
      <c r="AJ65" s="1512"/>
      <c r="AK65" s="1511" t="e">
        <f>IF('Data Entry - SOF'!M77-AK64&lt;0,0,'Data Entry - SOF'!M77-AK64)</f>
        <v>#DIV/0!</v>
      </c>
      <c r="AL65" s="1512"/>
      <c r="AM65" s="1511" t="e">
        <f>IF('Data Entry - SOF'!M77-AM64&lt;0,0,'Data Entry - SOF'!M77-AM64)</f>
        <v>#DIV/0!</v>
      </c>
      <c r="AN65" s="1512"/>
      <c r="AO65" s="1511" t="e">
        <f>IF('Data Entry - SOF'!M77-AO64&lt;0,0,'Data Entry - SOF'!M77-AO64)</f>
        <v>#DIV/0!</v>
      </c>
      <c r="AP65" s="1598"/>
      <c r="AQ65" s="1591" t="e">
        <f>IF('Data Entry - SOF'!O77-AQ64&lt;0,0,'Data Entry - SOF'!O77-AQ64)</f>
        <v>#DIV/0!</v>
      </c>
      <c r="AR65" s="1514"/>
      <c r="AS65" s="1513" t="e">
        <f>IF('Data Entry - SOF'!O77-AS64&lt;0,0,'Data Entry - SOF'!O77-AS64)</f>
        <v>#DIV/0!</v>
      </c>
      <c r="AT65" s="1514"/>
      <c r="AU65" s="1513" t="e">
        <f>IF('Data Entry - SOF'!O77-AU64&lt;0,0,'Data Entry - SOF'!O77-AU64)</f>
        <v>#DIV/0!</v>
      </c>
      <c r="AV65" s="1514"/>
      <c r="AW65" s="1513" t="e">
        <f>IF('Data Entry - SOF'!O77-AW64&lt;0,0,'Data Entry - SOF'!O77-AW64)</f>
        <v>#DIV/0!</v>
      </c>
      <c r="AX65" s="1610"/>
      <c r="AY65" s="1602" t="e">
        <f>IF('Data Entry - SOF'!Q77-AY64&lt;0,0,'Data Entry - SOF'!Q77-AY64)</f>
        <v>#DIV/0!</v>
      </c>
      <c r="AZ65" s="1516"/>
      <c r="BA65" s="1515" t="e">
        <f>IF('Data Entry - SOF'!Q77-BA64&lt;0,0,'Data Entry - SOF'!Q77-BA64)</f>
        <v>#DIV/0!</v>
      </c>
      <c r="BB65" s="1516"/>
      <c r="BC65" s="1515" t="e">
        <f>IF('Data Entry - SOF'!Q77-BC64&lt;0,0,'Data Entry - SOF'!Q77-BC64)</f>
        <v>#DIV/0!</v>
      </c>
      <c r="BD65" s="1516"/>
      <c r="BE65" s="1515" t="e">
        <f>IF('Data Entry - SOF'!Q77-BE64&lt;0,0,'Data Entry - SOF'!Q77-BE64)</f>
        <v>#DIV/0!</v>
      </c>
      <c r="BF65" s="1612"/>
      <c r="BG65" s="1777" t="e">
        <f>IF('Data Entry - SOF'!S77-BG64&lt;0,0,'Data Entry - SOF'!S77-BG64)</f>
        <v>#DIV/0!</v>
      </c>
      <c r="BH65" s="1778"/>
      <c r="BI65" s="1779" t="e">
        <f>IF('Data Entry - SOF'!S77-BI64&lt;0,0,'Data Entry - SOF'!S77-BI64)</f>
        <v>#DIV/0!</v>
      </c>
      <c r="BJ65" s="1778"/>
      <c r="BK65" s="1779" t="e">
        <f>IF('Data Entry - SOF'!S77-BK64&lt;0,0,'Data Entry - SOF'!S77-BK64)</f>
        <v>#DIV/0!</v>
      </c>
      <c r="BL65" s="1778"/>
      <c r="BM65" s="1779" t="e">
        <f>IF('Data Entry - SOF'!S77-BM64&lt;0,0,'Data Entry - SOF'!S77-BM64)</f>
        <v>#DIV/0!</v>
      </c>
      <c r="BN65" s="1766"/>
    </row>
    <row r="66" spans="1:66">
      <c r="A66" s="71"/>
      <c r="C66" s="2362" t="e">
        <f>C65/'Data Entry - SOF'!C77</f>
        <v>#REF!</v>
      </c>
      <c r="E66" s="2362" t="e">
        <f>E65/'Data Entry - SOF'!C77</f>
        <v>#REF!</v>
      </c>
      <c r="G66" s="2362" t="e">
        <f>G65/'Data Entry - SOF'!C77</f>
        <v>#REF!</v>
      </c>
      <c r="I66" s="2364" t="e">
        <f>I65/'Data Entry - SOF'!C77</f>
        <v>#REF!</v>
      </c>
      <c r="K66" s="1452" t="e">
        <f>K65/'Data Entry - SOF'!#REF!</f>
        <v>#REF!</v>
      </c>
      <c r="L66" s="1455"/>
      <c r="M66" s="1452" t="e">
        <f>M65/'Data Entry - SOF'!#REF!</f>
        <v>#REF!</v>
      </c>
      <c r="N66" s="1453"/>
      <c r="O66" s="1452" t="e">
        <f>O65/'Data Entry - SOF'!#REF!</f>
        <v>#REF!</v>
      </c>
      <c r="P66" s="1455"/>
      <c r="Q66" s="1464" t="e">
        <f>Q65/'Data Entry - SOF'!#REF!</f>
        <v>#REF!</v>
      </c>
      <c r="R66" s="1568"/>
      <c r="S66" s="1563" t="e">
        <f>S65/'Data Entry - SOF'!E77</f>
        <v>#DIV/0!</v>
      </c>
      <c r="T66" s="1442"/>
      <c r="U66" s="1441" t="e">
        <f>U65/'Data Entry - SOF'!E77</f>
        <v>#DIV/0!</v>
      </c>
      <c r="V66" s="1442"/>
      <c r="W66" s="1441" t="e">
        <f>W65/'Data Entry - SOF'!E77</f>
        <v>#DIV/0!</v>
      </c>
      <c r="X66" s="1442"/>
      <c r="Y66" s="1441" t="e">
        <f>Y65/'Data Entry - SOF'!E77</f>
        <v>#DIV/0!</v>
      </c>
      <c r="Z66" s="1577"/>
      <c r="AA66" s="1572" t="e">
        <f>AA65/'Data Entry - SOF'!E87</f>
        <v>#DIV/0!</v>
      </c>
      <c r="AB66" s="1502"/>
      <c r="AC66" s="1501" t="e">
        <f>AC65/'Data Entry - SOF'!E87</f>
        <v>#DIV/0!</v>
      </c>
      <c r="AD66" s="1502"/>
      <c r="AE66" s="1501" t="e">
        <f>AE65/'Data Entry - SOF'!E87</f>
        <v>#DIV/0!</v>
      </c>
      <c r="AF66" s="1502"/>
      <c r="AG66" s="1501" t="e">
        <f>AG65/'Data Entry - SOF'!E87</f>
        <v>#DIV/0!</v>
      </c>
      <c r="AH66" s="1586"/>
      <c r="AI66" s="1579" t="e">
        <f>AI65/'Data Entry - SOF'!M77</f>
        <v>#DIV/0!</v>
      </c>
      <c r="AJ66" s="1504"/>
      <c r="AK66" s="1503" t="e">
        <f>AK65/'Data Entry - SOF'!M77</f>
        <v>#DIV/0!</v>
      </c>
      <c r="AL66" s="1504"/>
      <c r="AM66" s="1503" t="e">
        <f>AM65/'Data Entry - SOF'!M77</f>
        <v>#DIV/0!</v>
      </c>
      <c r="AN66" s="1504"/>
      <c r="AO66" s="1503" t="e">
        <f>AO65/'Data Entry - SOF'!M77</f>
        <v>#DIV/0!</v>
      </c>
      <c r="AP66" s="1597"/>
      <c r="AQ66" s="1590" t="e">
        <f>AQ65/'Data Entry - SOF'!O77</f>
        <v>#DIV/0!</v>
      </c>
      <c r="AR66" s="1506"/>
      <c r="AS66" s="1505" t="e">
        <f>AS65/'Data Entry - SOF'!O77</f>
        <v>#DIV/0!</v>
      </c>
      <c r="AT66" s="1506"/>
      <c r="AU66" s="1505" t="e">
        <f>AU65/'Data Entry - SOF'!O77</f>
        <v>#DIV/0!</v>
      </c>
      <c r="AV66" s="1506"/>
      <c r="AW66" s="1505" t="e">
        <f>AW65/'Data Entry - SOF'!O77</f>
        <v>#DIV/0!</v>
      </c>
      <c r="AX66" s="1609"/>
      <c r="AY66" s="1601" t="e">
        <f>AY65/'Data Entry - SOF'!Q77</f>
        <v>#DIV/0!</v>
      </c>
      <c r="AZ66" s="1508"/>
      <c r="BA66" s="1507" t="e">
        <f>BA65/'Data Entry - SOF'!Q77</f>
        <v>#DIV/0!</v>
      </c>
      <c r="BB66" s="1508"/>
      <c r="BC66" s="1507" t="e">
        <f>BC65/'Data Entry - SOF'!Q77</f>
        <v>#DIV/0!</v>
      </c>
      <c r="BD66" s="1508"/>
      <c r="BE66" s="1507" t="e">
        <f>BE65/'Data Entry - SOF'!Q77</f>
        <v>#DIV/0!</v>
      </c>
      <c r="BF66" s="1612"/>
      <c r="BG66" s="1774" t="e">
        <f>BG65/'Data Entry - SOF'!S77</f>
        <v>#DIV/0!</v>
      </c>
      <c r="BH66" s="1775"/>
      <c r="BI66" s="1776" t="e">
        <f>BI65/'Data Entry - SOF'!S77</f>
        <v>#DIV/0!</v>
      </c>
      <c r="BJ66" s="1775"/>
      <c r="BK66" s="1776" t="e">
        <f>BK65/'Data Entry - SOF'!S77</f>
        <v>#DIV/0!</v>
      </c>
      <c r="BL66" s="1775"/>
      <c r="BM66" s="1776" t="e">
        <f>BM65/'Data Entry - SOF'!S77</f>
        <v>#DIV/0!</v>
      </c>
      <c r="BN66" s="1766"/>
    </row>
    <row r="67" spans="1:66">
      <c r="A67" s="71"/>
      <c r="C67" s="2083" t="e">
        <f>C64/'Ch41 Calc Data'!K17</f>
        <v>#REF!</v>
      </c>
      <c r="E67" s="2083" t="e">
        <f>E64/'Ch41 Calc Data'!K17</f>
        <v>#REF!</v>
      </c>
      <c r="G67" s="2083" t="e">
        <f>G64/'Ch41 Calc Data'!K17</f>
        <v>#REF!</v>
      </c>
      <c r="I67" s="2084" t="e">
        <f>I64/'Ch41 Calc Data'!K17</f>
        <v>#REF!</v>
      </c>
      <c r="K67" s="1454" t="e">
        <f>K64/'Ch41 Calc Data'!L17</f>
        <v>#REF!</v>
      </c>
      <c r="L67" s="1455"/>
      <c r="M67" s="1454" t="e">
        <f>M64/'Ch41 Calc Data'!L17</f>
        <v>#REF!</v>
      </c>
      <c r="N67" s="1455"/>
      <c r="O67" s="1454" t="e">
        <f>O64/'Ch41 Calc Data'!L17</f>
        <v>#REF!</v>
      </c>
      <c r="P67" s="1455"/>
      <c r="Q67" s="1463" t="e">
        <f>Q64/'Ch41 Calc Data'!L17</f>
        <v>#REF!</v>
      </c>
      <c r="R67" s="1570"/>
      <c r="S67" s="1564" t="e">
        <f>S64/'Ch41 Calc Data'!M17</f>
        <v>#DIV/0!</v>
      </c>
      <c r="T67" s="1440"/>
      <c r="U67" s="1439" t="e">
        <f>U64/'Ch41 Calc Data'!M17</f>
        <v>#DIV/0!</v>
      </c>
      <c r="V67" s="1440"/>
      <c r="W67" s="1439" t="e">
        <f>W64/'Ch41 Calc Data'!M17</f>
        <v>#DIV/0!</v>
      </c>
      <c r="X67" s="1440"/>
      <c r="Y67" s="1439" t="e">
        <f>Y64/'Ch41 Calc Data'!M17</f>
        <v>#DIV/0!</v>
      </c>
      <c r="Z67" s="1561"/>
      <c r="AA67" s="1573" t="e">
        <f>AA64/'Ch41 Calc Data'!N17</f>
        <v>#DIV/0!</v>
      </c>
      <c r="AB67" s="1510"/>
      <c r="AC67" s="1509" t="e">
        <f>AC64/'Ch41 Calc Data'!N17</f>
        <v>#DIV/0!</v>
      </c>
      <c r="AD67" s="1510"/>
      <c r="AE67" s="1509" t="e">
        <f>AE64/'Ch41 Calc Data'!N17</f>
        <v>#DIV/0!</v>
      </c>
      <c r="AF67" s="1510"/>
      <c r="AG67" s="1509" t="e">
        <f>AG64/'Ch41 Calc Data'!N17</f>
        <v>#DIV/0!</v>
      </c>
      <c r="AH67" s="1587"/>
      <c r="AI67" s="1426" t="e">
        <f>AI64/'Ch41 Calc Data'!O17</f>
        <v>#DIV/0!</v>
      </c>
      <c r="AJ67" s="1512"/>
      <c r="AK67" s="1511" t="e">
        <f>AK64/'Ch41 Calc Data'!O17</f>
        <v>#DIV/0!</v>
      </c>
      <c r="AL67" s="1512"/>
      <c r="AM67" s="1511" t="e">
        <f>AM64/'Ch41 Calc Data'!O17</f>
        <v>#DIV/0!</v>
      </c>
      <c r="AN67" s="1512"/>
      <c r="AO67" s="1511" t="e">
        <f>AO64/'Ch41 Calc Data'!O17</f>
        <v>#DIV/0!</v>
      </c>
      <c r="AP67" s="1598"/>
      <c r="AQ67" s="1591" t="e">
        <f>AQ64/'Ch41 Calc Data'!P17</f>
        <v>#DIV/0!</v>
      </c>
      <c r="AR67" s="1514"/>
      <c r="AS67" s="1513" t="e">
        <f>AS64/'Ch41 Calc Data'!P17</f>
        <v>#DIV/0!</v>
      </c>
      <c r="AT67" s="1514"/>
      <c r="AU67" s="1513" t="e">
        <f>AU64/'Ch41 Calc Data'!P17</f>
        <v>#DIV/0!</v>
      </c>
      <c r="AV67" s="1514"/>
      <c r="AW67" s="1513" t="e">
        <f>AW64/'Ch41 Calc Data'!P17</f>
        <v>#DIV/0!</v>
      </c>
      <c r="AX67" s="1610"/>
      <c r="AY67" s="1602" t="e">
        <f>AY64/'Ch41 Calc Data'!Q17</f>
        <v>#DIV/0!</v>
      </c>
      <c r="AZ67" s="1516"/>
      <c r="BA67" s="1515" t="e">
        <f>BA64/'Ch41 Calc Data'!Q17</f>
        <v>#DIV/0!</v>
      </c>
      <c r="BB67" s="1516"/>
      <c r="BC67" s="1515" t="e">
        <f>BC64/'Ch41 Calc Data'!Q17</f>
        <v>#DIV/0!</v>
      </c>
      <c r="BD67" s="1516"/>
      <c r="BE67" s="1515" t="e">
        <f>BE64/'Ch41 Calc Data'!Q17</f>
        <v>#DIV/0!</v>
      </c>
      <c r="BF67" s="1612"/>
      <c r="BG67" s="1777" t="e">
        <f>BG64/'Ch41 Calc Data'!R17</f>
        <v>#DIV/0!</v>
      </c>
      <c r="BH67" s="1778"/>
      <c r="BI67" s="1779" t="e">
        <f>BI64/'Ch41 Calc Data'!R17</f>
        <v>#DIV/0!</v>
      </c>
      <c r="BJ67" s="1778"/>
      <c r="BK67" s="1779" t="e">
        <f>BK64/'Ch41 Calc Data'!R17</f>
        <v>#DIV/0!</v>
      </c>
      <c r="BL67" s="1778"/>
      <c r="BM67" s="1779" t="e">
        <f>BM64/'Ch41 Calc Data'!R17</f>
        <v>#DIV/0!</v>
      </c>
      <c r="BN67" s="1766"/>
    </row>
    <row r="68" spans="1:66">
      <c r="A68" s="71"/>
      <c r="D68" s="2353"/>
      <c r="F68" s="2353"/>
      <c r="H68" s="2353"/>
      <c r="I68" s="2070"/>
      <c r="Q68" s="1540"/>
      <c r="R68" s="1570"/>
      <c r="S68" s="1440"/>
      <c r="T68" s="1440"/>
      <c r="U68" s="1440"/>
      <c r="V68" s="1440"/>
      <c r="W68" s="1440"/>
      <c r="X68" s="1440"/>
      <c r="Y68" s="1440"/>
      <c r="Z68" s="1561"/>
      <c r="AA68" s="1510"/>
      <c r="AB68" s="1510"/>
      <c r="AC68" s="1510"/>
      <c r="AD68" s="1510"/>
      <c r="AE68" s="1510"/>
      <c r="AF68" s="1510"/>
      <c r="AG68" s="1510"/>
      <c r="AH68" s="1587"/>
      <c r="AI68" s="1512"/>
      <c r="AJ68" s="1512"/>
      <c r="AK68" s="1512"/>
      <c r="AL68" s="1512"/>
      <c r="AM68" s="1512"/>
      <c r="AN68" s="1512"/>
      <c r="AO68" s="1512"/>
      <c r="AP68" s="1598"/>
      <c r="AQ68" s="1514"/>
      <c r="AR68" s="1514"/>
      <c r="AS68" s="1514"/>
      <c r="AT68" s="1514"/>
      <c r="AU68" s="1514"/>
      <c r="AV68" s="1514"/>
      <c r="AW68" s="1514"/>
      <c r="AX68" s="1610"/>
      <c r="AY68" s="1516"/>
      <c r="AZ68" s="1516"/>
      <c r="BA68" s="1516"/>
      <c r="BB68" s="1516"/>
      <c r="BC68" s="1516"/>
      <c r="BD68" s="1516"/>
      <c r="BE68" s="1516"/>
      <c r="BF68" s="1612"/>
      <c r="BG68" s="1778"/>
      <c r="BH68" s="1778"/>
      <c r="BI68" s="1778"/>
      <c r="BJ68" s="1778"/>
      <c r="BK68" s="1778"/>
      <c r="BL68" s="1778"/>
      <c r="BM68" s="1778"/>
      <c r="BN68" s="1766"/>
    </row>
    <row r="69" spans="1:66">
      <c r="A69" s="71"/>
      <c r="D69" s="2057"/>
      <c r="F69" s="2057"/>
      <c r="H69" s="2057"/>
      <c r="I69" s="2070"/>
      <c r="Q69" s="1540"/>
      <c r="R69" s="1570"/>
      <c r="S69" s="1440"/>
      <c r="T69" s="1440"/>
      <c r="U69" s="1440"/>
      <c r="V69" s="1440"/>
      <c r="W69" s="1440"/>
      <c r="X69" s="1440"/>
      <c r="Y69" s="1440"/>
      <c r="Z69" s="1561"/>
      <c r="AA69" s="1510"/>
      <c r="AB69" s="1510"/>
      <c r="AC69" s="1510"/>
      <c r="AD69" s="1510"/>
      <c r="AE69" s="1510"/>
      <c r="AF69" s="1510"/>
      <c r="AG69" s="1510"/>
      <c r="AH69" s="1587"/>
      <c r="AI69" s="1512"/>
      <c r="AJ69" s="1512"/>
      <c r="AK69" s="1512"/>
      <c r="AL69" s="1512"/>
      <c r="AM69" s="1512"/>
      <c r="AN69" s="1512"/>
      <c r="AO69" s="1512"/>
      <c r="AP69" s="1598"/>
      <c r="AQ69" s="1514"/>
      <c r="AR69" s="1514"/>
      <c r="AS69" s="1514"/>
      <c r="AT69" s="1514"/>
      <c r="AU69" s="1514"/>
      <c r="AV69" s="1514"/>
      <c r="AW69" s="1514"/>
      <c r="AX69" s="1610"/>
      <c r="AY69" s="1516"/>
      <c r="AZ69" s="1516"/>
      <c r="BA69" s="1516"/>
      <c r="BB69" s="1516"/>
      <c r="BC69" s="1516"/>
      <c r="BD69" s="1516"/>
      <c r="BE69" s="1516"/>
      <c r="BF69" s="1612"/>
      <c r="BG69" s="1778"/>
      <c r="BH69" s="1778"/>
      <c r="BI69" s="1778"/>
      <c r="BJ69" s="1778"/>
      <c r="BK69" s="1778"/>
      <c r="BL69" s="1778"/>
      <c r="BM69" s="1778"/>
      <c r="BN69" s="1766"/>
    </row>
    <row r="70" spans="1:66">
      <c r="A70" s="71"/>
      <c r="C70" s="2083" t="e">
        <f>'Calc Data-15K'!AE36</f>
        <v>#REF!</v>
      </c>
      <c r="D70" s="2057"/>
      <c r="E70" s="2083" t="e">
        <f>C70</f>
        <v>#REF!</v>
      </c>
      <c r="F70" s="2057"/>
      <c r="G70" s="2083"/>
      <c r="H70" s="2057"/>
      <c r="I70" s="2084"/>
      <c r="K70" s="1454" t="e">
        <f>'Calc Data-15K'!AI36</f>
        <v>#REF!</v>
      </c>
      <c r="L70" s="1455"/>
      <c r="M70" s="1454" t="e">
        <f>K70</f>
        <v>#REF!</v>
      </c>
      <c r="N70" s="1455"/>
      <c r="O70" s="1454"/>
      <c r="P70" s="1455"/>
      <c r="Q70" s="1463"/>
      <c r="R70" s="1570"/>
      <c r="S70" s="1564">
        <f>'Calc Data-15K'!AM36</f>
        <v>0</v>
      </c>
      <c r="T70" s="1440"/>
      <c r="U70" s="1439">
        <f>S70</f>
        <v>0</v>
      </c>
      <c r="V70" s="1440"/>
      <c r="W70" s="1439"/>
      <c r="X70" s="1440"/>
      <c r="Y70" s="1439"/>
      <c r="Z70" s="1561"/>
      <c r="AA70" s="1573">
        <f>'Calc Data-15K'!AQ36</f>
        <v>0</v>
      </c>
      <c r="AB70" s="1510"/>
      <c r="AC70" s="1509">
        <f>AA70</f>
        <v>0</v>
      </c>
      <c r="AD70" s="1510"/>
      <c r="AE70" s="1509"/>
      <c r="AF70" s="1510"/>
      <c r="AG70" s="1509"/>
      <c r="AH70" s="1587"/>
      <c r="AI70" s="1426">
        <f>'Calc Data-15K'!AU36</f>
        <v>0</v>
      </c>
      <c r="AJ70" s="1512"/>
      <c r="AK70" s="1511">
        <f>AI70</f>
        <v>0</v>
      </c>
      <c r="AL70" s="1512"/>
      <c r="AM70" s="1511"/>
      <c r="AN70" s="1512"/>
      <c r="AO70" s="1511"/>
      <c r="AP70" s="1598"/>
      <c r="AQ70" s="1591">
        <f>'Calc Data-15K'!AZ36</f>
        <v>0</v>
      </c>
      <c r="AR70" s="1514"/>
      <c r="AS70" s="1513">
        <f>AQ70</f>
        <v>0</v>
      </c>
      <c r="AT70" s="1514"/>
      <c r="AU70" s="1513"/>
      <c r="AV70" s="1514"/>
      <c r="AW70" s="1513"/>
      <c r="AX70" s="1610"/>
      <c r="AY70" s="1602">
        <f>'Calc Data-15K'!BE36</f>
        <v>0</v>
      </c>
      <c r="AZ70" s="1516"/>
      <c r="BA70" s="1515">
        <f>AY70</f>
        <v>0</v>
      </c>
      <c r="BB70" s="1516"/>
      <c r="BC70" s="1515"/>
      <c r="BD70" s="1516"/>
      <c r="BE70" s="1515"/>
      <c r="BF70" s="1612"/>
      <c r="BG70" s="1777">
        <f>'Calc Data-15K'!BJ36</f>
        <v>0</v>
      </c>
      <c r="BH70" s="1778"/>
      <c r="BI70" s="1779">
        <f>BG70</f>
        <v>0</v>
      </c>
      <c r="BJ70" s="1778"/>
      <c r="BK70" s="1779"/>
      <c r="BL70" s="1778"/>
      <c r="BM70" s="1779"/>
      <c r="BN70" s="1766"/>
    </row>
    <row r="71" spans="1:66">
      <c r="A71" s="71"/>
      <c r="C71" s="2083"/>
      <c r="D71" s="2057"/>
      <c r="E71" s="2083"/>
      <c r="F71" s="2057"/>
      <c r="G71" s="2083" t="e">
        <f>'Calc Data-15K'!AC31</f>
        <v>#REF!</v>
      </c>
      <c r="H71" s="2057"/>
      <c r="I71" s="2084" t="e">
        <f>G71</f>
        <v>#REF!</v>
      </c>
      <c r="K71" s="1454"/>
      <c r="L71" s="1455"/>
      <c r="M71" s="1454"/>
      <c r="N71" s="1455"/>
      <c r="O71" s="1454" t="e">
        <f>'Calc Data-15K'!AG31</f>
        <v>#REF!</v>
      </c>
      <c r="P71" s="1455"/>
      <c r="Q71" s="1463" t="e">
        <f>O71</f>
        <v>#REF!</v>
      </c>
      <c r="R71" s="1570"/>
      <c r="S71" s="1564"/>
      <c r="T71" s="1440"/>
      <c r="U71" s="1439"/>
      <c r="V71" s="1440"/>
      <c r="W71" s="1439">
        <f>'Calc Data-15K'!AK31</f>
        <v>0</v>
      </c>
      <c r="X71" s="1440"/>
      <c r="Y71" s="1439">
        <f>W71</f>
        <v>0</v>
      </c>
      <c r="Z71" s="1561"/>
      <c r="AA71" s="1573"/>
      <c r="AB71" s="1510"/>
      <c r="AC71" s="1509"/>
      <c r="AD71" s="1510"/>
      <c r="AE71" s="1509">
        <f>'Calc Data-15K'!AO31</f>
        <v>0</v>
      </c>
      <c r="AF71" s="1510"/>
      <c r="AG71" s="1509">
        <f>AE71</f>
        <v>0</v>
      </c>
      <c r="AH71" s="1587"/>
      <c r="AI71" s="1426"/>
      <c r="AJ71" s="1512"/>
      <c r="AK71" s="1511"/>
      <c r="AL71" s="1512"/>
      <c r="AM71" s="1511">
        <f>'Calc Data-15K'!AS31</f>
        <v>0</v>
      </c>
      <c r="AN71" s="1512"/>
      <c r="AO71" s="1511">
        <f>AM71</f>
        <v>0</v>
      </c>
      <c r="AP71" s="1598"/>
      <c r="AQ71" s="1591"/>
      <c r="AR71" s="1514"/>
      <c r="AS71" s="1513"/>
      <c r="AT71" s="1514"/>
      <c r="AU71" s="1513">
        <f>'Calc Data-15K'!AX31</f>
        <v>0</v>
      </c>
      <c r="AV71" s="1514"/>
      <c r="AW71" s="1513">
        <f>AU71</f>
        <v>0</v>
      </c>
      <c r="AX71" s="1610"/>
      <c r="AY71" s="1602"/>
      <c r="AZ71" s="1516"/>
      <c r="BA71" s="1515"/>
      <c r="BB71" s="1516"/>
      <c r="BC71" s="1515">
        <f>'Calc Data-15K'!BC31</f>
        <v>0</v>
      </c>
      <c r="BD71" s="1516"/>
      <c r="BE71" s="1515">
        <f>BC71</f>
        <v>0</v>
      </c>
      <c r="BF71" s="1612"/>
      <c r="BG71" s="1777"/>
      <c r="BH71" s="1778"/>
      <c r="BI71" s="1779"/>
      <c r="BJ71" s="1778"/>
      <c r="BK71" s="1779">
        <f>'Calc Data-15K'!BH31</f>
        <v>0</v>
      </c>
      <c r="BL71" s="1778"/>
      <c r="BM71" s="1779">
        <f>BK71</f>
        <v>0</v>
      </c>
      <c r="BN71" s="1766"/>
    </row>
    <row r="72" spans="1:66">
      <c r="A72" s="71"/>
      <c r="C72" s="2083" t="e">
        <f>C70</f>
        <v>#REF!</v>
      </c>
      <c r="D72" s="2057"/>
      <c r="E72" s="2083" t="e">
        <f>E70</f>
        <v>#REF!</v>
      </c>
      <c r="F72" s="2057"/>
      <c r="G72" s="2083" t="e">
        <f>G71</f>
        <v>#REF!</v>
      </c>
      <c r="H72" s="2057"/>
      <c r="I72" s="2084" t="e">
        <f>I71</f>
        <v>#REF!</v>
      </c>
      <c r="K72" s="1454" t="e">
        <f>K70</f>
        <v>#REF!</v>
      </c>
      <c r="L72" s="1455"/>
      <c r="M72" s="1454" t="e">
        <f>M70</f>
        <v>#REF!</v>
      </c>
      <c r="N72" s="1455"/>
      <c r="O72" s="1454" t="e">
        <f>O71</f>
        <v>#REF!</v>
      </c>
      <c r="P72" s="1455"/>
      <c r="Q72" s="1463" t="e">
        <f>Q71</f>
        <v>#REF!</v>
      </c>
      <c r="R72" s="1570"/>
      <c r="S72" s="1564">
        <f>S70</f>
        <v>0</v>
      </c>
      <c r="T72" s="1440"/>
      <c r="U72" s="1439">
        <f>U70</f>
        <v>0</v>
      </c>
      <c r="V72" s="1440"/>
      <c r="W72" s="1439">
        <f>W71</f>
        <v>0</v>
      </c>
      <c r="X72" s="1440"/>
      <c r="Y72" s="1439">
        <f>Y71</f>
        <v>0</v>
      </c>
      <c r="Z72" s="1561"/>
      <c r="AA72" s="1573">
        <f>AA70</f>
        <v>0</v>
      </c>
      <c r="AB72" s="1510"/>
      <c r="AC72" s="1509">
        <f>AC70</f>
        <v>0</v>
      </c>
      <c r="AD72" s="1510"/>
      <c r="AE72" s="1509">
        <f>AE71</f>
        <v>0</v>
      </c>
      <c r="AF72" s="1510"/>
      <c r="AG72" s="1509">
        <f>AG71</f>
        <v>0</v>
      </c>
      <c r="AH72" s="1587"/>
      <c r="AI72" s="1426">
        <f>AI70</f>
        <v>0</v>
      </c>
      <c r="AJ72" s="1512"/>
      <c r="AK72" s="1511">
        <f>AK70</f>
        <v>0</v>
      </c>
      <c r="AL72" s="1512"/>
      <c r="AM72" s="1511">
        <f>AM71</f>
        <v>0</v>
      </c>
      <c r="AN72" s="1512"/>
      <c r="AO72" s="1511">
        <f>AO71</f>
        <v>0</v>
      </c>
      <c r="AP72" s="1598"/>
      <c r="AQ72" s="1591">
        <f>AQ70</f>
        <v>0</v>
      </c>
      <c r="AR72" s="1514"/>
      <c r="AS72" s="1513">
        <f>AS70</f>
        <v>0</v>
      </c>
      <c r="AT72" s="1514"/>
      <c r="AU72" s="1513">
        <f>AU71</f>
        <v>0</v>
      </c>
      <c r="AV72" s="1514"/>
      <c r="AW72" s="1513">
        <f>AW71</f>
        <v>0</v>
      </c>
      <c r="AX72" s="1610"/>
      <c r="AY72" s="1602">
        <f>AY70</f>
        <v>0</v>
      </c>
      <c r="AZ72" s="1516"/>
      <c r="BA72" s="1515">
        <f>BA70</f>
        <v>0</v>
      </c>
      <c r="BB72" s="1516"/>
      <c r="BC72" s="1515">
        <f>BC71</f>
        <v>0</v>
      </c>
      <c r="BD72" s="1516"/>
      <c r="BE72" s="1515">
        <f>BE71</f>
        <v>0</v>
      </c>
      <c r="BF72" s="1612"/>
      <c r="BG72" s="1777">
        <f>BG70</f>
        <v>0</v>
      </c>
      <c r="BH72" s="1778"/>
      <c r="BI72" s="1779">
        <f>BI70</f>
        <v>0</v>
      </c>
      <c r="BJ72" s="1778"/>
      <c r="BK72" s="1779">
        <f>BK71</f>
        <v>0</v>
      </c>
      <c r="BL72" s="1778"/>
      <c r="BM72" s="1779">
        <f>BM71</f>
        <v>0</v>
      </c>
      <c r="BN72" s="1766"/>
    </row>
    <row r="73" spans="1:66">
      <c r="A73" s="71"/>
      <c r="C73" s="2081" t="e">
        <f>C66*C72</f>
        <v>#REF!</v>
      </c>
      <c r="D73" s="2057"/>
      <c r="E73" s="2081" t="e">
        <f>E66*E72</f>
        <v>#REF!</v>
      </c>
      <c r="F73" s="2057"/>
      <c r="G73" s="2081" t="e">
        <f>IF(G71&lt;1,0,G66*G72)</f>
        <v>#REF!</v>
      </c>
      <c r="H73" s="2057"/>
      <c r="I73" s="2082" t="e">
        <f>IF(I71&lt;1,0,I66*I72)</f>
        <v>#REF!</v>
      </c>
      <c r="K73" s="1454" t="e">
        <f>K66*K72</f>
        <v>#REF!</v>
      </c>
      <c r="L73" s="1455"/>
      <c r="M73" s="1454" t="e">
        <f>M66*M72</f>
        <v>#REF!</v>
      </c>
      <c r="N73" s="1455"/>
      <c r="O73" s="1454" t="e">
        <f>IF(O71&lt;1,0,O66*O72)</f>
        <v>#REF!</v>
      </c>
      <c r="P73" s="1455"/>
      <c r="Q73" s="1463" t="e">
        <f>IF(Q71&lt;1,0,Q66*Q72)</f>
        <v>#REF!</v>
      </c>
      <c r="R73" s="1570"/>
      <c r="S73" s="1564" t="e">
        <f>S66*S72</f>
        <v>#DIV/0!</v>
      </c>
      <c r="T73" s="1440"/>
      <c r="U73" s="1439" t="e">
        <f>U66*U72</f>
        <v>#DIV/0!</v>
      </c>
      <c r="V73" s="1440"/>
      <c r="W73" s="1439">
        <f>IF(W71&lt;1,0,W66*W72)</f>
        <v>0</v>
      </c>
      <c r="X73" s="1440"/>
      <c r="Y73" s="1439">
        <f>IF(Y71&lt;1,0,Y66*Y72)</f>
        <v>0</v>
      </c>
      <c r="Z73" s="1561"/>
      <c r="AA73" s="1573" t="e">
        <f>AA66*AA72</f>
        <v>#DIV/0!</v>
      </c>
      <c r="AB73" s="1510"/>
      <c r="AC73" s="1509" t="e">
        <f>AC66*AC72</f>
        <v>#DIV/0!</v>
      </c>
      <c r="AD73" s="1510"/>
      <c r="AE73" s="1509">
        <f>IF(AE71&lt;1,0,AE66*AE72)</f>
        <v>0</v>
      </c>
      <c r="AF73" s="1510"/>
      <c r="AG73" s="1509">
        <f>IF(AG71&lt;1,0,AG66*AG72)</f>
        <v>0</v>
      </c>
      <c r="AH73" s="1587"/>
      <c r="AI73" s="1426" t="e">
        <f>AI66*AI72</f>
        <v>#DIV/0!</v>
      </c>
      <c r="AJ73" s="1512"/>
      <c r="AK73" s="1511" t="e">
        <f>AK66*AK72</f>
        <v>#DIV/0!</v>
      </c>
      <c r="AL73" s="1512"/>
      <c r="AM73" s="1511">
        <f>IF(AM71&lt;1,0,AM66*AM72)</f>
        <v>0</v>
      </c>
      <c r="AN73" s="1512"/>
      <c r="AO73" s="1511">
        <f>IF(AO71&lt;1,0,AO66*AO72)</f>
        <v>0</v>
      </c>
      <c r="AP73" s="1598"/>
      <c r="AQ73" s="1591" t="e">
        <f>AQ66*AQ72</f>
        <v>#DIV/0!</v>
      </c>
      <c r="AR73" s="1514"/>
      <c r="AS73" s="1513" t="e">
        <f>AS66*AS72</f>
        <v>#DIV/0!</v>
      </c>
      <c r="AT73" s="1514"/>
      <c r="AU73" s="1513">
        <f>IF(AU71&lt;1,0,AU66*AU72)</f>
        <v>0</v>
      </c>
      <c r="AV73" s="1514"/>
      <c r="AW73" s="1513">
        <f>IF(AW71&lt;1,0,AW66*AW72)</f>
        <v>0</v>
      </c>
      <c r="AX73" s="1610"/>
      <c r="AY73" s="1602" t="e">
        <f>AY66*AY72</f>
        <v>#DIV/0!</v>
      </c>
      <c r="AZ73" s="1516"/>
      <c r="BA73" s="1515" t="e">
        <f>BA66*BA72</f>
        <v>#DIV/0!</v>
      </c>
      <c r="BB73" s="1516"/>
      <c r="BC73" s="1515">
        <f>IF(BC71&lt;1,0,BC66*BC72)</f>
        <v>0</v>
      </c>
      <c r="BD73" s="1516"/>
      <c r="BE73" s="1515">
        <f>IF(BE71&lt;1,0,BE66*BE72)</f>
        <v>0</v>
      </c>
      <c r="BF73" s="1612"/>
      <c r="BG73" s="1777" t="e">
        <f>BG66*BG72</f>
        <v>#DIV/0!</v>
      </c>
      <c r="BH73" s="1778"/>
      <c r="BI73" s="1779" t="e">
        <f>BI66*BI72</f>
        <v>#DIV/0!</v>
      </c>
      <c r="BJ73" s="1778"/>
      <c r="BK73" s="1779">
        <f>IF(BK71&lt;1,0,BK66*BK72)</f>
        <v>0</v>
      </c>
      <c r="BL73" s="1778"/>
      <c r="BM73" s="1779">
        <f>IF(BM71&lt;1,0,BM66*BM72)</f>
        <v>0</v>
      </c>
      <c r="BN73" s="1766"/>
    </row>
    <row r="74" spans="1:66">
      <c r="A74" s="71"/>
      <c r="C74" s="2359" t="e">
        <f>C65/IF(C67&lt;Assumptions!G92,Assumptions!G92,C67)</f>
        <v>#REF!</v>
      </c>
      <c r="D74" s="2057"/>
      <c r="E74" s="2359" t="e">
        <f>E65/E67</f>
        <v>#REF!</v>
      </c>
      <c r="F74" s="2057"/>
      <c r="G74" s="2359" t="e">
        <f>IF(G73=0,0,G65/G67)</f>
        <v>#REF!</v>
      </c>
      <c r="H74" s="2057"/>
      <c r="I74" s="2080" t="e">
        <f>IF(I73=0,0,I65/I67)</f>
        <v>#REF!</v>
      </c>
      <c r="K74" s="1483" t="e">
        <f>K65/IF(K67&lt;Assumptions!G103,Assumptions!G103,K67)</f>
        <v>#REF!</v>
      </c>
      <c r="L74" s="1485"/>
      <c r="M74" s="1483" t="e">
        <f>M65/M67</f>
        <v>#REF!</v>
      </c>
      <c r="N74" s="1485"/>
      <c r="O74" s="1541" t="e">
        <f>IF(O73=0,0,O65/O67)</f>
        <v>#REF!</v>
      </c>
      <c r="P74" s="1531"/>
      <c r="Q74" s="1464" t="e">
        <f>IF(Q73=0,0,Q65/Q67)</f>
        <v>#REF!</v>
      </c>
      <c r="R74" s="1568"/>
      <c r="S74" s="1563" t="e">
        <f>S65/IF(S67&lt;Assumptions!G112,Assumptions!G112,S67)</f>
        <v>#DIV/0!</v>
      </c>
      <c r="T74" s="1442"/>
      <c r="U74" s="1441" t="e">
        <f>U65/U67</f>
        <v>#DIV/0!</v>
      </c>
      <c r="V74" s="1442"/>
      <c r="W74" s="1441">
        <f>IF(W73=0,0,W65/W67)</f>
        <v>0</v>
      </c>
      <c r="X74" s="1442"/>
      <c r="Y74" s="1441">
        <f>IF(Y73=0,0,Y65/Y67)</f>
        <v>0</v>
      </c>
      <c r="Z74" s="1577"/>
      <c r="AA74" s="1572" t="e">
        <f>AA65/IF(AA67&lt;Assumptions!G121,Assumptions!G121,AA67)</f>
        <v>#DIV/0!</v>
      </c>
      <c r="AB74" s="1502"/>
      <c r="AC74" s="1501" t="e">
        <f>AC65/AC67</f>
        <v>#DIV/0!</v>
      </c>
      <c r="AD74" s="1502"/>
      <c r="AE74" s="1501">
        <f>IF(AE73=0,0,AE65/AE67)</f>
        <v>0</v>
      </c>
      <c r="AF74" s="1502"/>
      <c r="AG74" s="1501">
        <f>IF(AG73=0,0,AG65/AG67)</f>
        <v>0</v>
      </c>
      <c r="AH74" s="1586"/>
      <c r="AI74" s="1579" t="e">
        <f>AI65/IF(AI67&lt;Assumptions!G130,Assumptions!G130,AI67)</f>
        <v>#DIV/0!</v>
      </c>
      <c r="AJ74" s="1504"/>
      <c r="AK74" s="1503" t="e">
        <f>AK65/AK67</f>
        <v>#DIV/0!</v>
      </c>
      <c r="AL74" s="1504"/>
      <c r="AM74" s="1503">
        <f>IF(AM73=0,0,AM65/AM67)</f>
        <v>0</v>
      </c>
      <c r="AN74" s="1504"/>
      <c r="AO74" s="1503">
        <f>IF(AO73=0,0,AO65/AO67)</f>
        <v>0</v>
      </c>
      <c r="AP74" s="1597"/>
      <c r="AQ74" s="1590" t="e">
        <f>AQ65/IF(AQ67&lt;Assumptions!G139,Assumptions!G139,AQ67)</f>
        <v>#DIV/0!</v>
      </c>
      <c r="AR74" s="1506"/>
      <c r="AS74" s="1505" t="e">
        <f>AS65/AS67</f>
        <v>#DIV/0!</v>
      </c>
      <c r="AT74" s="1506"/>
      <c r="AU74" s="1505">
        <f>IF(AU73=0,0,AU65/AU67)</f>
        <v>0</v>
      </c>
      <c r="AV74" s="1506"/>
      <c r="AW74" s="1505">
        <f>IF(AW73=0,0,AW65/AW67)</f>
        <v>0</v>
      </c>
      <c r="AX74" s="1609"/>
      <c r="AY74" s="1601" t="e">
        <f>AY65/IF(AY67&lt;Assumptions!G148,Assumptions!G148,AY67)</f>
        <v>#DIV/0!</v>
      </c>
      <c r="AZ74" s="1508"/>
      <c r="BA74" s="1507" t="e">
        <f>BA65/BA67</f>
        <v>#DIV/0!</v>
      </c>
      <c r="BB74" s="1508"/>
      <c r="BC74" s="1507">
        <f>IF(BC73=0,0,BC65/BC67)</f>
        <v>0</v>
      </c>
      <c r="BD74" s="1508"/>
      <c r="BE74" s="1507">
        <f>IF(BE73=0,0,BE65/BE67)</f>
        <v>0</v>
      </c>
      <c r="BF74" s="1612"/>
      <c r="BG74" s="1774" t="e">
        <f>BG65/IF(BG67&lt;Assumptions!G157,Assumptions!G157,BG67)</f>
        <v>#DIV/0!</v>
      </c>
      <c r="BH74" s="1775"/>
      <c r="BI74" s="1776" t="e">
        <f>BI65/BI67</f>
        <v>#DIV/0!</v>
      </c>
      <c r="BJ74" s="1775"/>
      <c r="BK74" s="1776">
        <f>IF(BK73=0,0,BK65/BK67)</f>
        <v>0</v>
      </c>
      <c r="BL74" s="1775"/>
      <c r="BM74" s="1776">
        <f>IF(BM73=0,0,BM65/BM67)</f>
        <v>0</v>
      </c>
      <c r="BN74" s="1766"/>
    </row>
    <row r="75" spans="1:66">
      <c r="A75" s="71"/>
      <c r="C75" s="2365" t="e">
        <f>IF(C74=0,0,IF(C73/C74&lt;3147,3147,C73/C74))</f>
        <v>#REF!</v>
      </c>
      <c r="D75" s="2057"/>
      <c r="E75" s="2365" t="e">
        <f>IF(E74=0,0,IF(E73/E74&lt;3147,3147,E73/E74))</f>
        <v>#REF!</v>
      </c>
      <c r="F75" s="2057"/>
      <c r="G75" s="2365" t="e">
        <f>IF(G74=0,0,IF(G73/G74&lt;71.62,71.62,G73/G74))</f>
        <v>#REF!</v>
      </c>
      <c r="H75" s="2057"/>
      <c r="I75" s="2367" t="e">
        <f>IF(I74=0,0,IF(I73/I74&lt;71.62,71.62,I73/I74))</f>
        <v>#REF!</v>
      </c>
      <c r="K75" s="1483" t="e">
        <f>IF(K74=0,0,IF(K73/K74&lt;3392,3392,K73/K74))</f>
        <v>#REF!</v>
      </c>
      <c r="L75" s="1485"/>
      <c r="M75" s="1483" t="e">
        <f>IF(M74=0,0,IF(M73/M74&lt;3392,3392,M73/M74))</f>
        <v>#REF!</v>
      </c>
      <c r="N75" s="1485"/>
      <c r="O75" s="1541" t="e">
        <f>IF(O74=0,0,IF(O73/O74&lt;84.777,84.777,O73/O74))</f>
        <v>#REF!</v>
      </c>
      <c r="P75" s="1531"/>
      <c r="Q75" s="1464" t="e">
        <f>IF(Q74=0,0,IF(Q73/Q74&lt;84.777,84.777,Q73/Q74))</f>
        <v>#REF!</v>
      </c>
      <c r="R75" s="1568"/>
      <c r="S75" s="1563" t="e">
        <f>IF(S74=0,0,IF(S73/S74&lt;3618,3618,S73/S74))</f>
        <v>#DIV/0!</v>
      </c>
      <c r="T75" s="1442"/>
      <c r="U75" s="1441" t="e">
        <f>IF(U74=0,0,IF(U73/U74&lt;3618,3618,U73/U74))</f>
        <v>#DIV/0!</v>
      </c>
      <c r="V75" s="1442"/>
      <c r="W75" s="1441">
        <f>IF(W74=0,0,IF(W73/W74&lt;84.777,84.777,W73/W74))</f>
        <v>0</v>
      </c>
      <c r="X75" s="1442"/>
      <c r="Y75" s="1441">
        <f>IF(Y74=0,0,IF(Y73/Y74&lt;84.777,84.777,Y73/Y74))</f>
        <v>0</v>
      </c>
      <c r="Z75" s="1577"/>
      <c r="AA75" s="1572" t="e">
        <f>IF(AA74=0,0,IF(AA73/AA74&lt;3618,3618,AA73/AA74))</f>
        <v>#DIV/0!</v>
      </c>
      <c r="AB75" s="1502"/>
      <c r="AC75" s="1501" t="e">
        <f>IF(AC74=0,0,IF(AC73/AC74&lt;3618,3618,AC73/AC74))</f>
        <v>#DIV/0!</v>
      </c>
      <c r="AD75" s="1502"/>
      <c r="AE75" s="1501">
        <f>IF(AE74=0,0,IF(AE73/AE74&lt;84.777,84.777,AE73/AE74))</f>
        <v>0</v>
      </c>
      <c r="AF75" s="1502"/>
      <c r="AG75" s="1501">
        <f>IF(AG74=0,0,IF(AG73/AG74&lt;84.777,84.777,AG73/AG74))</f>
        <v>0</v>
      </c>
      <c r="AH75" s="1586"/>
      <c r="AI75" s="1579" t="e">
        <f>IF(AI74=0,0,IF(AI73/AI74&lt;3618,3618,AI73/AI74))</f>
        <v>#DIV/0!</v>
      </c>
      <c r="AJ75" s="1504"/>
      <c r="AK75" s="1503" t="e">
        <f>IF(AK74=0,0,IF(AK73/AK74&lt;3618,3618,AK73/AK74))</f>
        <v>#DIV/0!</v>
      </c>
      <c r="AL75" s="1504"/>
      <c r="AM75" s="1503">
        <f>IF(AM74=0,0,IF(AM73/AM74&lt;84.777,84.777,AM73/AM74))</f>
        <v>0</v>
      </c>
      <c r="AN75" s="1504"/>
      <c r="AO75" s="1503">
        <f>IF(AO74=0,0,IF(AO73/AO74&lt;84.777,84.777,AO73/AO74))</f>
        <v>0</v>
      </c>
      <c r="AP75" s="1597"/>
      <c r="AQ75" s="1590" t="e">
        <f>IF(AQ74=0,0,IF(AQ73/AQ74&lt;3618,3618,AQ73/AQ74))</f>
        <v>#DIV/0!</v>
      </c>
      <c r="AR75" s="1506"/>
      <c r="AS75" s="1505" t="e">
        <f>IF(AS74=0,0,IF(AS73/AS74&lt;3618,3618,AS73/AS74))</f>
        <v>#DIV/0!</v>
      </c>
      <c r="AT75" s="1506"/>
      <c r="AU75" s="1505">
        <f>IF(AU74=0,0,IF(AU73/AU74&lt;84.777,84.777,AU73/AU74))</f>
        <v>0</v>
      </c>
      <c r="AV75" s="1506"/>
      <c r="AW75" s="1505">
        <f>IF(AW74=0,0,IF(AW73/AW74&lt;84.777,84.777,AW73/AW74))</f>
        <v>0</v>
      </c>
      <c r="AX75" s="1609"/>
      <c r="AY75" s="1601" t="e">
        <f>IF(AY74=0,0,IF(AY73/AY74&lt;3618,3618,AY73/AY74))</f>
        <v>#DIV/0!</v>
      </c>
      <c r="AZ75" s="1508"/>
      <c r="BA75" s="1507" t="e">
        <f>IF(BA74=0,0,IF(BA73/BA74&lt;3618,3618,BA73/BA74))</f>
        <v>#DIV/0!</v>
      </c>
      <c r="BB75" s="1508"/>
      <c r="BC75" s="1507">
        <f>IF(BC74=0,0,IF(BC73/BC74&lt;84.777,84.777,BC73/BC74))</f>
        <v>0</v>
      </c>
      <c r="BD75" s="1508"/>
      <c r="BE75" s="1507">
        <f>IF(BE74=0,0,IF(BE73/BE74&lt;84.777,84.777,BE73/BE74))</f>
        <v>0</v>
      </c>
      <c r="BF75" s="1612"/>
      <c r="BG75" s="1774" t="e">
        <f>IF(BG74=0,0,IF(BG73/BG74&lt;3618,3618,BG73/BG74))</f>
        <v>#DIV/0!</v>
      </c>
      <c r="BH75" s="1775"/>
      <c r="BI75" s="1776" t="e">
        <f>IF(BI74=0,0,IF(BI73/BI74&lt;3618,3618,BI73/BI74))</f>
        <v>#DIV/0!</v>
      </c>
      <c r="BJ75" s="1775"/>
      <c r="BK75" s="1776">
        <f>IF(BK74=0,0,IF(BK73/BK74&lt;84.777,84.777,BK73/BK74))</f>
        <v>0</v>
      </c>
      <c r="BL75" s="1775"/>
      <c r="BM75" s="1776">
        <f>IF(BM74=0,0,IF(BM73/BM74&lt;84.777,84.777,BM73/BM74))</f>
        <v>0</v>
      </c>
      <c r="BN75" s="1766"/>
    </row>
    <row r="76" spans="1:66">
      <c r="A76" s="71"/>
      <c r="C76" s="2359" t="e">
        <f>IF(OR('Data Entry - SOF'!C140=0,C75=0),0,IF('Data Entry - SOF'!C140&gt;C75,(C75*'Data Entry - SOF'!C139)/C75,('Data Entry - SOF'!C140*'Data Entry - SOF'!C139)/C75))</f>
        <v>#REF!</v>
      </c>
      <c r="D76" s="2057"/>
      <c r="E76" s="2359" t="e">
        <f>C76</f>
        <v>#REF!</v>
      </c>
      <c r="F76" s="2057"/>
      <c r="G76" s="2359" t="e">
        <f>IF(OR('Data Entry - SOF'!C140=0,G75=0),0,IF('Data Entry - SOF'!C140&gt;G75,(G75*'Data Entry - SOF'!C139)/G75,('Data Entry - SOF'!C140*'Data Entry - SOF'!C139)/G75))</f>
        <v>#REF!</v>
      </c>
      <c r="H76" s="2057"/>
      <c r="I76" s="2080" t="e">
        <f>G76</f>
        <v>#REF!</v>
      </c>
      <c r="K76" s="1452" t="e">
        <f>IF(OR('Data Entry - SOF'!#REF!=0,K75=0),0,IF('Data Entry - SOF'!#REF!&gt;K75,(K75*'Data Entry - SOF'!#REF!)/K75,('Data Entry - SOF'!#REF!*'Data Entry - SOF'!#REF!)/K75))</f>
        <v>#REF!</v>
      </c>
      <c r="L76" s="1453"/>
      <c r="M76" s="1452" t="e">
        <f>K76</f>
        <v>#REF!</v>
      </c>
      <c r="N76" s="1453"/>
      <c r="O76" s="1452" t="e">
        <f>IF(OR('Data Entry - SOF'!#REF!=0,O75=0),0,IF('Data Entry - SOF'!#REF!&gt;O75,(O75*'Data Entry - SOF'!#REF!)/O75,('Data Entry - SOF'!#REF!*'Data Entry - SOF'!#REF!)/O75))</f>
        <v>#REF!</v>
      </c>
      <c r="P76" s="1453"/>
      <c r="Q76" s="1464" t="e">
        <f>O76</f>
        <v>#REF!</v>
      </c>
      <c r="R76" s="1568"/>
      <c r="S76" s="1563" t="e">
        <f>IF(OR('Data Entry - SOF'!E140=0,S75=0),0,IF('Data Entry - SOF'!E140&gt;S75,(S75*'Data Entry - SOF'!E139)/S75,('Data Entry - SOF'!E140*'Data Entry - SOF'!E139)/S75))</f>
        <v>#DIV/0!</v>
      </c>
      <c r="T76" s="1442"/>
      <c r="U76" s="1441" t="e">
        <f>S76</f>
        <v>#DIV/0!</v>
      </c>
      <c r="V76" s="1442"/>
      <c r="W76" s="1441">
        <f>IF(OR('Data Entry - SOF'!E140=0,W75=0),0,IF('Data Entry - SOF'!E140&gt;W75,(W75*'Data Entry - SOF'!E139)/W75,('Data Entry - SOF'!E140*'Data Entry - SOF'!E139)/W75))</f>
        <v>0</v>
      </c>
      <c r="X76" s="1442"/>
      <c r="Y76" s="1441">
        <f>W76</f>
        <v>0</v>
      </c>
      <c r="Z76" s="1577"/>
      <c r="AA76" s="1572" t="e">
        <f>IF(OR('Data Entry - SOF'!G140=0,AA75=0),0,IF('Data Entry - SOF'!G140&gt;AA75,(AA75*'Data Entry - SOF'!G139)/AA75,('Data Entry - SOF'!G140*'Data Entry - SOF'!G139)/AA75))</f>
        <v>#DIV/0!</v>
      </c>
      <c r="AB76" s="1502"/>
      <c r="AC76" s="1501" t="e">
        <f>AA76</f>
        <v>#DIV/0!</v>
      </c>
      <c r="AD76" s="1502"/>
      <c r="AE76" s="1501">
        <f>IF(OR('Data Entry - SOF'!G140=0,AE75=0),0,IF('Data Entry - SOF'!G140&gt;AE75,(AE75*'Data Entry - SOF'!G139)/AE75,('Data Entry - SOF'!G140*'Data Entry - SOF'!G139)/AE75))</f>
        <v>0</v>
      </c>
      <c r="AF76" s="1502"/>
      <c r="AG76" s="1501">
        <f>AE76</f>
        <v>0</v>
      </c>
      <c r="AH76" s="1586"/>
      <c r="AI76" s="1579" t="e">
        <f>IF(OR('Data Entry - SOF'!M140=0,AI75=0),0,IF('Data Entry - SOF'!M140&gt;AI75,(AI75*'Data Entry - SOF'!M139)/AI75,('Data Entry - SOF'!M140*'Data Entry - SOF'!M139)/AI75))</f>
        <v>#DIV/0!</v>
      </c>
      <c r="AJ76" s="1504"/>
      <c r="AK76" s="1503" t="e">
        <f>AI76</f>
        <v>#DIV/0!</v>
      </c>
      <c r="AL76" s="1504"/>
      <c r="AM76" s="1503">
        <f>IF(OR('Data Entry - SOF'!M140=0,AM75=0),0,IF('Data Entry - SOF'!M140&gt;AM75,(AM75*'Data Entry - SOF'!M139)/AM75,('Data Entry - SOF'!M140*'Data Entry - SOF'!M139)/AM75))</f>
        <v>0</v>
      </c>
      <c r="AN76" s="1504"/>
      <c r="AO76" s="1503">
        <f>AM76</f>
        <v>0</v>
      </c>
      <c r="AP76" s="1597"/>
      <c r="AQ76" s="1590" t="e">
        <f>IF(OR('Data Entry - SOF'!O140=0,AQ75=0),0,IF('Data Entry - SOF'!O140&gt;AQ75,(AQ75*'Data Entry - SOF'!O139)/AQ75,('Data Entry - SOF'!O140*'Data Entry - SOF'!O139)/AQ75))</f>
        <v>#DIV/0!</v>
      </c>
      <c r="AR76" s="1506"/>
      <c r="AS76" s="1505" t="e">
        <f>AQ76</f>
        <v>#DIV/0!</v>
      </c>
      <c r="AT76" s="1506"/>
      <c r="AU76" s="1505">
        <f>IF(OR('Data Entry - SOF'!O140=0,AU75=0),0,IF('Data Entry - SOF'!O140&gt;AU75,(AU75*'Data Entry - SOF'!O139)/AU75,('Data Entry - SOF'!O140*'Data Entry - SOF'!O139)/AU75))</f>
        <v>0</v>
      </c>
      <c r="AV76" s="1506"/>
      <c r="AW76" s="1505">
        <f>AU76</f>
        <v>0</v>
      </c>
      <c r="AX76" s="1609"/>
      <c r="AY76" s="1601" t="e">
        <f>IF(OR('Data Entry - SOF'!Q140=0,AY75=0),0,IF('Data Entry - SOF'!Q140&gt;AY75,(AY75*'Data Entry - SOF'!Q139)/AY75,('Data Entry - SOF'!Q140*'Data Entry - SOF'!Q139)/AY75))</f>
        <v>#DIV/0!</v>
      </c>
      <c r="AZ76" s="1508"/>
      <c r="BA76" s="1507" t="e">
        <f>AY76</f>
        <v>#DIV/0!</v>
      </c>
      <c r="BB76" s="1508"/>
      <c r="BC76" s="1507">
        <f>IF(OR('Data Entry - SOF'!Q140=0,BC75=0),0,IF('Data Entry - SOF'!Q140&gt;BC75,(BC75*'Data Entry - SOF'!Q139)/BC75,('Data Entry - SOF'!Q140*'Data Entry - SOF'!Q139)/BC75))</f>
        <v>0</v>
      </c>
      <c r="BD76" s="1508"/>
      <c r="BE76" s="1507">
        <f>BC76</f>
        <v>0</v>
      </c>
      <c r="BF76" s="1612"/>
      <c r="BG76" s="1774" t="e">
        <f>IF(OR('Data Entry - SOF'!S140=0,BG75=0),0,IF('Data Entry - SOF'!S140&gt;BG75,(BG75*'Data Entry - SOF'!S139)/BG75,('Data Entry - SOF'!S140*'Data Entry - SOF'!S139)/BG75))</f>
        <v>#DIV/0!</v>
      </c>
      <c r="BH76" s="1775"/>
      <c r="BI76" s="1776" t="e">
        <f>BG76</f>
        <v>#DIV/0!</v>
      </c>
      <c r="BJ76" s="1775"/>
      <c r="BK76" s="1776">
        <f>IF(OR('Data Entry - SOF'!S140=0,BK75=0),0,IF('Data Entry - SOF'!S140&gt;BK75,(BK75*'Data Entry - SOF'!S139)/BK75,('Data Entry - SOF'!S140*'Data Entry - SOF'!S139)/BK75))</f>
        <v>0</v>
      </c>
      <c r="BL76" s="1775"/>
      <c r="BM76" s="1776">
        <f>BK76</f>
        <v>0</v>
      </c>
      <c r="BN76" s="1766"/>
    </row>
    <row r="77" spans="1:66">
      <c r="A77" s="71"/>
      <c r="C77" s="2359">
        <v>0</v>
      </c>
      <c r="D77" s="2011"/>
      <c r="E77" s="2359">
        <v>0</v>
      </c>
      <c r="F77" s="2011"/>
      <c r="G77" s="2359">
        <v>0</v>
      </c>
      <c r="H77" s="2011"/>
      <c r="I77" s="2011">
        <v>0</v>
      </c>
      <c r="K77" s="1452">
        <v>0</v>
      </c>
      <c r="L77" s="1453"/>
      <c r="M77" s="1452">
        <v>0</v>
      </c>
      <c r="N77" s="1453"/>
      <c r="O77" s="1452">
        <v>0</v>
      </c>
      <c r="P77" s="1453"/>
      <c r="Q77" s="1464">
        <v>0</v>
      </c>
      <c r="R77" s="1568"/>
      <c r="S77" s="1563">
        <v>0</v>
      </c>
      <c r="T77" s="1442"/>
      <c r="U77" s="1441">
        <v>0</v>
      </c>
      <c r="V77" s="1442"/>
      <c r="W77" s="1441">
        <v>0</v>
      </c>
      <c r="X77" s="1442"/>
      <c r="Y77" s="1441">
        <v>0</v>
      </c>
      <c r="Z77" s="1577"/>
      <c r="AA77" s="1572">
        <v>0</v>
      </c>
      <c r="AB77" s="1502"/>
      <c r="AC77" s="1501">
        <v>0</v>
      </c>
      <c r="AD77" s="1502"/>
      <c r="AE77" s="1501">
        <v>0</v>
      </c>
      <c r="AF77" s="1502"/>
      <c r="AG77" s="1501">
        <v>0</v>
      </c>
      <c r="AH77" s="1586"/>
      <c r="AI77" s="1579">
        <v>0</v>
      </c>
      <c r="AJ77" s="1504"/>
      <c r="AK77" s="1503">
        <v>0</v>
      </c>
      <c r="AL77" s="1504"/>
      <c r="AM77" s="1503">
        <v>0</v>
      </c>
      <c r="AN77" s="1504"/>
      <c r="AO77" s="1503">
        <v>0</v>
      </c>
      <c r="AP77" s="1597"/>
      <c r="AQ77" s="1590">
        <v>0</v>
      </c>
      <c r="AR77" s="1506"/>
      <c r="AS77" s="1505">
        <v>0</v>
      </c>
      <c r="AT77" s="1506"/>
      <c r="AU77" s="1505">
        <v>0</v>
      </c>
      <c r="AV77" s="1506"/>
      <c r="AW77" s="1505">
        <v>0</v>
      </c>
      <c r="AX77" s="1609"/>
      <c r="AY77" s="1601">
        <v>0</v>
      </c>
      <c r="AZ77" s="1508"/>
      <c r="BA77" s="1507">
        <v>0</v>
      </c>
      <c r="BB77" s="1508"/>
      <c r="BC77" s="1507">
        <v>0</v>
      </c>
      <c r="BD77" s="1508"/>
      <c r="BE77" s="1507">
        <v>0</v>
      </c>
      <c r="BF77" s="1612"/>
      <c r="BG77" s="1774">
        <v>0</v>
      </c>
      <c r="BH77" s="1775"/>
      <c r="BI77" s="1776">
        <v>0</v>
      </c>
      <c r="BJ77" s="1775"/>
      <c r="BK77" s="1776">
        <v>0</v>
      </c>
      <c r="BL77" s="1775"/>
      <c r="BM77" s="1776">
        <v>0</v>
      </c>
      <c r="BN77" s="1766"/>
    </row>
    <row r="78" spans="1:66">
      <c r="A78" s="71"/>
      <c r="C78" s="2359" t="e">
        <f>IF(C74-C76-C77&lt;0,0,C74-C76-C77)</f>
        <v>#REF!</v>
      </c>
      <c r="D78" s="2057"/>
      <c r="E78" s="2359" t="e">
        <f>IF(E74-E76-E77&lt;0,0,E74-E76-E77)</f>
        <v>#REF!</v>
      </c>
      <c r="F78" s="2057"/>
      <c r="G78" s="2359" t="e">
        <f>IF(G74-G76-G77&lt;0,0,G74-G76-G77)</f>
        <v>#REF!</v>
      </c>
      <c r="H78" s="2057"/>
      <c r="I78" s="2080" t="e">
        <f>IF(I74-I76-I77&lt;0,0,I74-I76-I77)</f>
        <v>#REF!</v>
      </c>
      <c r="K78" s="1452" t="e">
        <f>IF(K74-K76-K77&lt;0,0,K74-K76-K77)</f>
        <v>#REF!</v>
      </c>
      <c r="L78" s="1453"/>
      <c r="M78" s="1452" t="e">
        <f>IF(M74-M76-M77&lt;0,0,M74-M76-M77)</f>
        <v>#REF!</v>
      </c>
      <c r="N78" s="1453"/>
      <c r="O78" s="1452" t="e">
        <f>IF(O74-O76-O77&lt;0,0,O74-O76-O77)</f>
        <v>#REF!</v>
      </c>
      <c r="P78" s="1453"/>
      <c r="Q78" s="1464" t="e">
        <f>IF(Q74-Q76-Q77&lt;0,0,Q74-Q76-Q77)</f>
        <v>#REF!</v>
      </c>
      <c r="R78" s="1568"/>
      <c r="S78" s="1563" t="e">
        <f>IF(S74-S76-S77&lt;0,0,S74-S76-S77)</f>
        <v>#DIV/0!</v>
      </c>
      <c r="T78" s="1442"/>
      <c r="U78" s="1441" t="e">
        <f>IF(U74-U76-U77&lt;0,0,U74-U76-U77)</f>
        <v>#DIV/0!</v>
      </c>
      <c r="V78" s="1442"/>
      <c r="W78" s="1441">
        <f>IF(W74-W76-W77&lt;0,0,W74-W76-W77)</f>
        <v>0</v>
      </c>
      <c r="X78" s="1442"/>
      <c r="Y78" s="1441">
        <f>IF(Y74-Y76-Y77&lt;0,0,Y74-Y76-Y77)</f>
        <v>0</v>
      </c>
      <c r="Z78" s="1577"/>
      <c r="AA78" s="1572" t="e">
        <f>IF(AA74-AA76-AA77&lt;0,0,AA74-AA76-AA77)</f>
        <v>#DIV/0!</v>
      </c>
      <c r="AB78" s="1502"/>
      <c r="AC78" s="1501" t="e">
        <f>IF(AC74-AC76-AC77&lt;0,0,AC74-AC76-AC77)</f>
        <v>#DIV/0!</v>
      </c>
      <c r="AD78" s="1502"/>
      <c r="AE78" s="1501">
        <f>IF(AE74-AE76-AE77&lt;0,0,AE74-AE76-AE77)</f>
        <v>0</v>
      </c>
      <c r="AF78" s="1502"/>
      <c r="AG78" s="1501">
        <f>IF(AG74-AG76-AG77&lt;0,0,AG74-AG76-AG77)</f>
        <v>0</v>
      </c>
      <c r="AH78" s="1586"/>
      <c r="AI78" s="1579" t="e">
        <f>IF(AI74-AI76-AI77&lt;0,0,AI74-AI76-AI77)</f>
        <v>#DIV/0!</v>
      </c>
      <c r="AJ78" s="1504"/>
      <c r="AK78" s="1503" t="e">
        <f>IF(AK74-AK76-AK77&lt;0,0,AK74-AK76-AK77)</f>
        <v>#DIV/0!</v>
      </c>
      <c r="AL78" s="1504"/>
      <c r="AM78" s="1503">
        <f>IF(AM74-AM76-AM77&lt;0,0,AM74-AM76-AM77)</f>
        <v>0</v>
      </c>
      <c r="AN78" s="1504"/>
      <c r="AO78" s="1503">
        <f>IF(AO74-AO76-AO77&lt;0,0,AO74-AO76-AO77)</f>
        <v>0</v>
      </c>
      <c r="AP78" s="1597"/>
      <c r="AQ78" s="1590" t="e">
        <f>IF(AQ74-AQ76-AQ77&lt;0,0,AQ74-AQ76-AQ77)</f>
        <v>#DIV/0!</v>
      </c>
      <c r="AR78" s="1506"/>
      <c r="AS78" s="1505" t="e">
        <f>IF(AS74-AS76-AS77&lt;0,0,AS74-AS76-AS77)</f>
        <v>#DIV/0!</v>
      </c>
      <c r="AT78" s="1506"/>
      <c r="AU78" s="1505">
        <f>IF(AU74-AU76-AU77&lt;0,0,AU74-AU76-AU77)</f>
        <v>0</v>
      </c>
      <c r="AV78" s="1506"/>
      <c r="AW78" s="1505">
        <f>IF(AW74-AW76-AW77&lt;0,0,AW74-AW76-AW77)</f>
        <v>0</v>
      </c>
      <c r="AX78" s="1609"/>
      <c r="AY78" s="1601" t="e">
        <f>IF(AY74-AY76-AY77&lt;0,0,AY74-AY76-AY77)</f>
        <v>#DIV/0!</v>
      </c>
      <c r="AZ78" s="1508"/>
      <c r="BA78" s="1507" t="e">
        <f>IF(BA74-BA76-BA77&lt;0,0,BA74-BA76-BA77)</f>
        <v>#DIV/0!</v>
      </c>
      <c r="BB78" s="1508"/>
      <c r="BC78" s="1507">
        <f>IF(BC74-BC76-BC77&lt;0,0,BC74-BC76-BC77)</f>
        <v>0</v>
      </c>
      <c r="BD78" s="1508"/>
      <c r="BE78" s="1507">
        <f>IF(BE74-BE76-BE77&lt;0,0,BE74-BE76-BE77)</f>
        <v>0</v>
      </c>
      <c r="BF78" s="1612"/>
      <c r="BG78" s="1774" t="e">
        <f>IF(BG74-BG76-BG77&lt;0,0,BG74-BG76-BG77)</f>
        <v>#DIV/0!</v>
      </c>
      <c r="BH78" s="1775"/>
      <c r="BI78" s="1776" t="e">
        <f>IF(BI74-BI76-BI77&lt;0,0,BI74-BI76-BI77)</f>
        <v>#DIV/0!</v>
      </c>
      <c r="BJ78" s="1775"/>
      <c r="BK78" s="1776">
        <f>IF(BK74-BK76-BK77&lt;0,0,BK74-BK76-BK77)</f>
        <v>0</v>
      </c>
      <c r="BL78" s="1775"/>
      <c r="BM78" s="1776">
        <f>IF(BM74-BM76-BM77&lt;0,0,BM74-BM76-BM77)</f>
        <v>0</v>
      </c>
      <c r="BN78" s="1766"/>
    </row>
    <row r="79" spans="1:66">
      <c r="A79" s="71"/>
      <c r="C79" s="2083" t="e">
        <f>IF(C78=0,0,C78*C75)</f>
        <v>#REF!</v>
      </c>
      <c r="D79" s="2057"/>
      <c r="E79" s="2083" t="e">
        <f>IF(E78=0,0,E78*E75)</f>
        <v>#REF!</v>
      </c>
      <c r="F79" s="2057"/>
      <c r="G79" s="2083" t="e">
        <f>IF(G78=0,0,G78*G75)</f>
        <v>#REF!</v>
      </c>
      <c r="H79" s="2057"/>
      <c r="I79" s="2084" t="e">
        <f>IF(I78=0,0,I78*I75)</f>
        <v>#REF!</v>
      </c>
      <c r="K79" s="1454" t="e">
        <f>IF(K78=0,0,K78*K75)</f>
        <v>#REF!</v>
      </c>
      <c r="L79" s="1455"/>
      <c r="M79" s="1454" t="e">
        <f>IF(M78=0,0,M78*M75)</f>
        <v>#REF!</v>
      </c>
      <c r="N79" s="1455"/>
      <c r="O79" s="1454" t="e">
        <f>IF(O78=0,0,O78*O75)</f>
        <v>#REF!</v>
      </c>
      <c r="P79" s="1455"/>
      <c r="Q79" s="1463" t="e">
        <f>IF(Q78=0,0,Q78*Q75)</f>
        <v>#REF!</v>
      </c>
      <c r="R79" s="1570"/>
      <c r="S79" s="1564" t="e">
        <f>IF(S78=0,0,S78*S75)</f>
        <v>#DIV/0!</v>
      </c>
      <c r="T79" s="1440"/>
      <c r="U79" s="1439" t="e">
        <f>IF(U78=0,0,U78*U75)</f>
        <v>#DIV/0!</v>
      </c>
      <c r="V79" s="1440"/>
      <c r="W79" s="1439">
        <f>IF(W78=0,0,W78*W75)</f>
        <v>0</v>
      </c>
      <c r="X79" s="1440"/>
      <c r="Y79" s="1439">
        <f>IF(Y78=0,0,Y78*Y75)</f>
        <v>0</v>
      </c>
      <c r="Z79" s="1561"/>
      <c r="AA79" s="1573" t="e">
        <f>IF(AA78=0,0,AA78*AA75)</f>
        <v>#DIV/0!</v>
      </c>
      <c r="AB79" s="1510"/>
      <c r="AC79" s="1509" t="e">
        <f>IF(AC78=0,0,AC78*AC75)</f>
        <v>#DIV/0!</v>
      </c>
      <c r="AD79" s="1510"/>
      <c r="AE79" s="1509">
        <f>IF(AE78=0,0,AE78*AE75)</f>
        <v>0</v>
      </c>
      <c r="AF79" s="1510"/>
      <c r="AG79" s="1509">
        <f>IF(AG78=0,0,AG78*AG75)</f>
        <v>0</v>
      </c>
      <c r="AH79" s="1587"/>
      <c r="AI79" s="1426" t="e">
        <f>IF(AI78=0,0,AI78*AI75)</f>
        <v>#DIV/0!</v>
      </c>
      <c r="AJ79" s="1512"/>
      <c r="AK79" s="1511" t="e">
        <f>IF(AK78=0,0,AK78*AK75)</f>
        <v>#DIV/0!</v>
      </c>
      <c r="AL79" s="1512"/>
      <c r="AM79" s="1511">
        <f>IF(AM78=0,0,AM78*AM75)</f>
        <v>0</v>
      </c>
      <c r="AN79" s="1512"/>
      <c r="AO79" s="1511">
        <f>IF(AO78=0,0,AO78*AO75)</f>
        <v>0</v>
      </c>
      <c r="AP79" s="1598"/>
      <c r="AQ79" s="1591" t="e">
        <f>IF(AQ78=0,0,AQ78*AQ75)</f>
        <v>#DIV/0!</v>
      </c>
      <c r="AR79" s="1514"/>
      <c r="AS79" s="1513" t="e">
        <f>IF(AS78=0,0,AS78*AS75)</f>
        <v>#DIV/0!</v>
      </c>
      <c r="AT79" s="1514"/>
      <c r="AU79" s="1513">
        <f>IF(AU78=0,0,AU78*AU75)</f>
        <v>0</v>
      </c>
      <c r="AV79" s="1514"/>
      <c r="AW79" s="1513">
        <f>IF(AW78=0,0,AW78*AW75)</f>
        <v>0</v>
      </c>
      <c r="AX79" s="1610"/>
      <c r="AY79" s="1602" t="e">
        <f>IF(AY78=0,0,AY78*AY75)</f>
        <v>#DIV/0!</v>
      </c>
      <c r="AZ79" s="1516"/>
      <c r="BA79" s="1515" t="e">
        <f>IF(BA78=0,0,BA78*BA75)</f>
        <v>#DIV/0!</v>
      </c>
      <c r="BB79" s="1516"/>
      <c r="BC79" s="1515">
        <f>IF(BC78=0,0,BC78*BC75)</f>
        <v>0</v>
      </c>
      <c r="BD79" s="1516"/>
      <c r="BE79" s="1515">
        <f>IF(BE78=0,0,BE78*BE75)</f>
        <v>0</v>
      </c>
      <c r="BF79" s="1612"/>
      <c r="BG79" s="1777" t="e">
        <f>IF(BG78=0,0,BG78*BG75)</f>
        <v>#DIV/0!</v>
      </c>
      <c r="BH79" s="1778"/>
      <c r="BI79" s="1779" t="e">
        <f>IF(BI78=0,0,BI78*BI75)</f>
        <v>#DIV/0!</v>
      </c>
      <c r="BJ79" s="1778"/>
      <c r="BK79" s="1779">
        <f>IF(BK78=0,0,BK78*BK75)</f>
        <v>0</v>
      </c>
      <c r="BL79" s="1778"/>
      <c r="BM79" s="1779">
        <f>IF(BM78=0,0,BM78*BM75)</f>
        <v>0</v>
      </c>
      <c r="BN79" s="1766"/>
    </row>
    <row r="80" spans="1:66">
      <c r="A80" s="71"/>
      <c r="D80" s="2057"/>
      <c r="F80" s="2057"/>
      <c r="H80" s="2057"/>
      <c r="I80" s="2070"/>
      <c r="Q80" s="1540"/>
      <c r="R80" s="1570"/>
      <c r="S80" s="1440"/>
      <c r="T80" s="1440"/>
      <c r="U80" s="1440"/>
      <c r="V80" s="1440"/>
      <c r="W80" s="1440"/>
      <c r="X80" s="1440"/>
      <c r="Y80" s="1440"/>
      <c r="Z80" s="1561"/>
      <c r="AA80" s="1510"/>
      <c r="AB80" s="1510"/>
      <c r="AC80" s="1510"/>
      <c r="AD80" s="1510"/>
      <c r="AE80" s="1510"/>
      <c r="AF80" s="1510"/>
      <c r="AG80" s="1510"/>
      <c r="AH80" s="1587"/>
      <c r="AI80" s="1512"/>
      <c r="AJ80" s="1512"/>
      <c r="AK80" s="1512"/>
      <c r="AL80" s="1512"/>
      <c r="AM80" s="1512"/>
      <c r="AN80" s="1512"/>
      <c r="AO80" s="1512"/>
      <c r="AP80" s="1598"/>
      <c r="AQ80" s="1514"/>
      <c r="AR80" s="1514"/>
      <c r="AS80" s="1514"/>
      <c r="AT80" s="1514"/>
      <c r="AU80" s="1514"/>
      <c r="AV80" s="1514"/>
      <c r="AW80" s="1514"/>
      <c r="AX80" s="1610"/>
      <c r="AY80" s="1516"/>
      <c r="AZ80" s="1516"/>
      <c r="BA80" s="1516"/>
      <c r="BB80" s="1516"/>
      <c r="BC80" s="1516"/>
      <c r="BD80" s="1516"/>
      <c r="BE80" s="1516"/>
      <c r="BF80" s="1612"/>
      <c r="BG80" s="1778"/>
      <c r="BH80" s="1778"/>
      <c r="BI80" s="1778"/>
      <c r="BJ80" s="1778"/>
      <c r="BK80" s="1778"/>
      <c r="BL80" s="1778"/>
      <c r="BM80" s="1778"/>
      <c r="BN80" s="1766"/>
    </row>
    <row r="81" spans="1:66">
      <c r="A81" s="71"/>
      <c r="D81" s="2057"/>
      <c r="F81" s="2057"/>
      <c r="H81" s="2057"/>
      <c r="I81" s="2070"/>
      <c r="Q81" s="1540"/>
      <c r="R81" s="1570"/>
      <c r="S81" s="1440"/>
      <c r="T81" s="1440"/>
      <c r="U81" s="1440"/>
      <c r="V81" s="1440"/>
      <c r="W81" s="1440"/>
      <c r="X81" s="1440"/>
      <c r="Y81" s="1440"/>
      <c r="Z81" s="1561"/>
      <c r="AA81" s="1510"/>
      <c r="AB81" s="1510"/>
      <c r="AC81" s="1510"/>
      <c r="AD81" s="1510"/>
      <c r="AE81" s="1510"/>
      <c r="AF81" s="1510"/>
      <c r="AG81" s="1510"/>
      <c r="AH81" s="1587"/>
      <c r="AI81" s="1512"/>
      <c r="AJ81" s="1512"/>
      <c r="AK81" s="1512"/>
      <c r="AL81" s="1512"/>
      <c r="AM81" s="1512"/>
      <c r="AN81" s="1512"/>
      <c r="AO81" s="1512"/>
      <c r="AP81" s="1598"/>
      <c r="AQ81" s="1514"/>
      <c r="AR81" s="1514"/>
      <c r="AS81" s="1514"/>
      <c r="AT81" s="1514"/>
      <c r="AU81" s="1514"/>
      <c r="AV81" s="1514"/>
      <c r="AW81" s="1514"/>
      <c r="AX81" s="1610"/>
      <c r="AY81" s="1516"/>
      <c r="AZ81" s="1516"/>
      <c r="BA81" s="1516"/>
      <c r="BB81" s="1516"/>
      <c r="BC81" s="1516"/>
      <c r="BD81" s="1516"/>
      <c r="BE81" s="1516"/>
      <c r="BF81" s="1612"/>
      <c r="BG81" s="1778"/>
      <c r="BH81" s="1778"/>
      <c r="BI81" s="1778"/>
      <c r="BJ81" s="1778"/>
      <c r="BK81" s="1778"/>
      <c r="BL81" s="1778"/>
      <c r="BM81" s="1778"/>
      <c r="BN81" s="1766"/>
    </row>
    <row r="82" spans="1:66">
      <c r="A82" s="71"/>
      <c r="C82" s="2368" t="e">
        <f>IF(C134&gt;C135,C135,C134)</f>
        <v>#REF!</v>
      </c>
      <c r="D82" s="2057"/>
      <c r="E82" s="2368">
        <v>0</v>
      </c>
      <c r="F82" s="2057"/>
      <c r="G82" s="2368" t="e">
        <f>IF(G134&gt;G135,G135,G134)</f>
        <v>#REF!</v>
      </c>
      <c r="H82" s="2057"/>
      <c r="I82" s="2369">
        <v>0</v>
      </c>
      <c r="K82" s="1547" t="e">
        <f>IF(K134&gt;K135,K135,K134)</f>
        <v>#REF!</v>
      </c>
      <c r="L82" s="1484"/>
      <c r="M82" s="1547">
        <v>0</v>
      </c>
      <c r="N82" s="1484"/>
      <c r="O82" s="1547" t="e">
        <f>IF(O134&gt;O135,O135,O134)</f>
        <v>#REF!</v>
      </c>
      <c r="P82" s="1484"/>
      <c r="Q82" s="1463">
        <v>0</v>
      </c>
      <c r="R82" s="1570"/>
      <c r="S82" s="1564" t="e">
        <f>IF(S134&gt;S135,S135,S134)</f>
        <v>#DIV/0!</v>
      </c>
      <c r="T82" s="1440"/>
      <c r="U82" s="1439">
        <v>0</v>
      </c>
      <c r="V82" s="1440"/>
      <c r="W82" s="1439">
        <f>IF(W134&gt;W135,W135,W134)</f>
        <v>0</v>
      </c>
      <c r="X82" s="1440"/>
      <c r="Y82" s="1439">
        <v>0</v>
      </c>
      <c r="Z82" s="1561"/>
      <c r="AA82" s="1573" t="e">
        <f>IF(AA134&gt;AA135,AA135,AA134)</f>
        <v>#DIV/0!</v>
      </c>
      <c r="AB82" s="1510"/>
      <c r="AC82" s="1509">
        <v>0</v>
      </c>
      <c r="AD82" s="1510"/>
      <c r="AE82" s="1509">
        <f>IF(AE134&gt;AE135,AE135,AE134)</f>
        <v>0</v>
      </c>
      <c r="AF82" s="1510"/>
      <c r="AG82" s="1509">
        <v>0</v>
      </c>
      <c r="AH82" s="1587"/>
      <c r="AI82" s="1426" t="e">
        <f>IF(AI134&gt;AI135,AI135,AI134)</f>
        <v>#DIV/0!</v>
      </c>
      <c r="AJ82" s="1512"/>
      <c r="AK82" s="1511">
        <v>0</v>
      </c>
      <c r="AL82" s="1512"/>
      <c r="AM82" s="1511">
        <f>IF(AM134&gt;AM135,AM135,AM134)</f>
        <v>0</v>
      </c>
      <c r="AN82" s="1512"/>
      <c r="AO82" s="1511">
        <v>0</v>
      </c>
      <c r="AP82" s="1598"/>
      <c r="AQ82" s="1591" t="e">
        <f>IF(AQ134&gt;AQ135,AQ135,AQ134)</f>
        <v>#DIV/0!</v>
      </c>
      <c r="AR82" s="1514"/>
      <c r="AS82" s="1513">
        <v>0</v>
      </c>
      <c r="AT82" s="1514"/>
      <c r="AU82" s="1513">
        <f>IF(AU134&gt;AU135,AU135,AU134)</f>
        <v>0</v>
      </c>
      <c r="AV82" s="1514"/>
      <c r="AW82" s="1513">
        <v>0</v>
      </c>
      <c r="AX82" s="1610"/>
      <c r="AY82" s="1602" t="e">
        <f>IF(AY134&gt;AY135,AY135,AY134)</f>
        <v>#DIV/0!</v>
      </c>
      <c r="AZ82" s="1516"/>
      <c r="BA82" s="1515">
        <v>0</v>
      </c>
      <c r="BB82" s="1516"/>
      <c r="BC82" s="1515">
        <f>IF(BC134&gt;BC135,BC135,BC134)</f>
        <v>0</v>
      </c>
      <c r="BD82" s="1516"/>
      <c r="BE82" s="1515">
        <v>0</v>
      </c>
      <c r="BF82" s="1612"/>
      <c r="BG82" s="1777" t="e">
        <f>IF(BG134&gt;BG135,BG135,BG134)</f>
        <v>#DIV/0!</v>
      </c>
      <c r="BH82" s="1778"/>
      <c r="BI82" s="1779">
        <v>0</v>
      </c>
      <c r="BJ82" s="1778"/>
      <c r="BK82" s="1779">
        <f>IF(BK134&gt;BK135,BK135,BK134)</f>
        <v>0</v>
      </c>
      <c r="BL82" s="1778"/>
      <c r="BM82" s="1779">
        <v>0</v>
      </c>
      <c r="BN82" s="1766"/>
    </row>
    <row r="83" spans="1:66">
      <c r="A83" s="71"/>
      <c r="C83" s="2368" t="e">
        <f>'Data Entry - SOF'!C136*(C79/'Data Entry - SOF'!C93)</f>
        <v>#REF!</v>
      </c>
      <c r="D83" s="2057"/>
      <c r="E83" s="2368">
        <f>IF('Data Entry - SOF'!C137&gt;E137,E137,'Data Entry - SOF'!C137)</f>
        <v>0</v>
      </c>
      <c r="F83" s="2057"/>
      <c r="G83" s="2368" t="e">
        <f>'Data Entry - SOF'!C136*(G79/'Data Entry - SOF'!C93)</f>
        <v>#REF!</v>
      </c>
      <c r="H83" s="2057"/>
      <c r="I83" s="2369">
        <f>IF('Data Entry - SOF'!C137&gt;I137,I137,'Data Entry - SOF'!C137)</f>
        <v>0</v>
      </c>
      <c r="K83" s="1547" t="e">
        <f>'Data Entry - SOF'!#REF!*(K79/'Data Entry - SOF'!#REF!)</f>
        <v>#REF!</v>
      </c>
      <c r="L83" s="1484"/>
      <c r="M83" s="1547" t="e">
        <f>IF('Data Entry - SOF'!#REF!&gt;M137,M137,'Data Entry - SOF'!#REF!)</f>
        <v>#REF!</v>
      </c>
      <c r="N83" s="1484"/>
      <c r="O83" s="1547" t="e">
        <f>'Data Entry - SOF'!#REF!*(O79/'Data Entry - SOF'!#REF!)</f>
        <v>#REF!</v>
      </c>
      <c r="P83" s="1484"/>
      <c r="Q83" s="1463" t="e">
        <f>IF('Data Entry - SOF'!#REF!&gt;Q137,Q137,'Data Entry - SOF'!#REF!)</f>
        <v>#REF!</v>
      </c>
      <c r="R83" s="1570"/>
      <c r="S83" s="1564" t="e">
        <f>'Data Entry - SOF'!E136*(S79/'Data Entry - SOF'!E93)</f>
        <v>#DIV/0!</v>
      </c>
      <c r="T83" s="1440"/>
      <c r="U83" s="1439">
        <f>IF('Data Entry - SOF'!E137&gt;U137,U137,'Data Entry - SOF'!E137)</f>
        <v>0</v>
      </c>
      <c r="V83" s="1440"/>
      <c r="W83" s="1439" t="e">
        <f>'Data Entry - SOF'!E136*(W79/'Data Entry - SOF'!E93)</f>
        <v>#DIV/0!</v>
      </c>
      <c r="X83" s="1440"/>
      <c r="Y83" s="1439">
        <f>IF('Data Entry - SOF'!E137&gt;Y137,Y137,'Data Entry - SOF'!E137)</f>
        <v>0</v>
      </c>
      <c r="Z83" s="1561"/>
      <c r="AA83" s="1573" t="e">
        <f>'Data Entry - SOF'!G136*(AA79/'Data Entry - SOF'!G93)</f>
        <v>#DIV/0!</v>
      </c>
      <c r="AB83" s="1510"/>
      <c r="AC83" s="1509">
        <f>IF('Data Entry - SOF'!G137&gt;AC137,AC137,'Data Entry - SOF'!G137)</f>
        <v>0</v>
      </c>
      <c r="AD83" s="1510"/>
      <c r="AE83" s="1509">
        <f>'Data Entry - SOF'!G136*(AE79/'Data Entry - SOF'!G93)</f>
        <v>0</v>
      </c>
      <c r="AF83" s="1510"/>
      <c r="AG83" s="1509">
        <f>IF('Data Entry - SOF'!G137&gt;AG137,AG137,'Data Entry - SOF'!G137)</f>
        <v>0</v>
      </c>
      <c r="AH83" s="1587"/>
      <c r="AI83" s="1426" t="e">
        <f>'Data Entry - SOF'!M136*(AI79/'Data Entry - SOF'!M93)</f>
        <v>#DIV/0!</v>
      </c>
      <c r="AJ83" s="1512"/>
      <c r="AK83" s="1511">
        <f>IF('Data Entry - SOF'!M137&gt;AK137,AK137,'Data Entry - SOF'!M137)</f>
        <v>0</v>
      </c>
      <c r="AL83" s="1512"/>
      <c r="AM83" s="1511" t="e">
        <f>'Data Entry - SOF'!M136*(AM79/'Data Entry - SOF'!M93)</f>
        <v>#DIV/0!</v>
      </c>
      <c r="AN83" s="1512"/>
      <c r="AO83" s="1511">
        <f>IF('Data Entry - SOF'!M137&gt;AO137,AO137,'Data Entry - SOF'!M137)</f>
        <v>0</v>
      </c>
      <c r="AP83" s="1598"/>
      <c r="AQ83" s="1591" t="e">
        <f>'Data Entry - SOF'!O136*(AQ79/'Data Entry - SOF'!O93)</f>
        <v>#DIV/0!</v>
      </c>
      <c r="AR83" s="1514"/>
      <c r="AS83" s="1513">
        <f>IF('Data Entry - SOF'!O137&gt;AS137,AS137,'Data Entry - SOF'!O137)</f>
        <v>0</v>
      </c>
      <c r="AT83" s="1514"/>
      <c r="AU83" s="1513" t="e">
        <f>'Data Entry - SOF'!O136*(AU79/'Data Entry - SOF'!O93)</f>
        <v>#DIV/0!</v>
      </c>
      <c r="AV83" s="1514"/>
      <c r="AW83" s="1513">
        <f>IF('Data Entry - SOF'!O137&gt;AW137,AW137,'Data Entry - SOF'!O137)</f>
        <v>0</v>
      </c>
      <c r="AX83" s="1610"/>
      <c r="AY83" s="1602" t="e">
        <f>'Data Entry - SOF'!Q136*(AY79/'Data Entry - SOF'!Q93)</f>
        <v>#DIV/0!</v>
      </c>
      <c r="AZ83" s="1516"/>
      <c r="BA83" s="1515">
        <f>IF('Data Entry - SOF'!Q137&gt;BA137,BA137,'Data Entry - SOF'!Q137)</f>
        <v>0</v>
      </c>
      <c r="BB83" s="1516"/>
      <c r="BC83" s="1515" t="e">
        <f>'Data Entry - SOF'!Q136*(BC79/'Data Entry - SOF'!Q93)</f>
        <v>#DIV/0!</v>
      </c>
      <c r="BD83" s="1516"/>
      <c r="BE83" s="1515">
        <f>IF('Data Entry - SOF'!Q137&gt;BE137,BE137,'Data Entry - SOF'!Q137)</f>
        <v>0</v>
      </c>
      <c r="BF83" s="1612"/>
      <c r="BG83" s="1777" t="e">
        <f>'Data Entry - SOF'!S136*(BG79/'Data Entry - SOF'!S93)</f>
        <v>#DIV/0!</v>
      </c>
      <c r="BH83" s="1778"/>
      <c r="BI83" s="1779">
        <f>IF('Data Entry - SOF'!S137&gt;BI137,BI137,'Data Entry - SOF'!S137)</f>
        <v>0</v>
      </c>
      <c r="BJ83" s="1778"/>
      <c r="BK83" s="1779" t="e">
        <f>'Data Entry - SOF'!S136*(BK79/'Data Entry - SOF'!S93)</f>
        <v>#DIV/0!</v>
      </c>
      <c r="BL83" s="1778"/>
      <c r="BM83" s="1779">
        <f>IF('Data Entry - SOF'!S137&gt;BM137,BM137,'Data Entry - SOF'!S137)</f>
        <v>0</v>
      </c>
      <c r="BN83" s="1766"/>
    </row>
    <row r="84" spans="1:66">
      <c r="A84" s="71"/>
      <c r="C84" s="2057"/>
      <c r="D84" s="2057"/>
      <c r="E84" s="2057"/>
      <c r="F84" s="2057"/>
      <c r="G84" s="2057"/>
      <c r="H84" s="2057"/>
      <c r="I84" s="2370"/>
      <c r="K84" s="1484"/>
      <c r="L84" s="1484"/>
      <c r="M84" s="1484"/>
      <c r="N84" s="1484"/>
      <c r="O84" s="1484"/>
      <c r="P84" s="1484"/>
      <c r="Q84" s="1540"/>
      <c r="R84" s="1570"/>
      <c r="S84" s="1440"/>
      <c r="T84" s="1440"/>
      <c r="U84" s="1440"/>
      <c r="V84" s="1440"/>
      <c r="W84" s="1440"/>
      <c r="X84" s="1440"/>
      <c r="Y84" s="1440"/>
      <c r="Z84" s="1561"/>
      <c r="AA84" s="1510"/>
      <c r="AB84" s="1510"/>
      <c r="AC84" s="1510"/>
      <c r="AD84" s="1510"/>
      <c r="AE84" s="1510"/>
      <c r="AF84" s="1510"/>
      <c r="AG84" s="1510"/>
      <c r="AH84" s="1587"/>
      <c r="AI84" s="1512"/>
      <c r="AJ84" s="1512"/>
      <c r="AK84" s="1512"/>
      <c r="AL84" s="1512"/>
      <c r="AM84" s="1512"/>
      <c r="AN84" s="1512"/>
      <c r="AO84" s="1512"/>
      <c r="AP84" s="1598"/>
      <c r="AQ84" s="1514"/>
      <c r="AR84" s="1514"/>
      <c r="AS84" s="1514"/>
      <c r="AT84" s="1514"/>
      <c r="AU84" s="1514"/>
      <c r="AV84" s="1514"/>
      <c r="AW84" s="1514"/>
      <c r="AX84" s="1610"/>
      <c r="AY84" s="1516"/>
      <c r="AZ84" s="1516"/>
      <c r="BA84" s="1516"/>
      <c r="BB84" s="1516"/>
      <c r="BC84" s="1516"/>
      <c r="BD84" s="1516"/>
      <c r="BE84" s="1516"/>
      <c r="BF84" s="1612"/>
      <c r="BG84" s="1778"/>
      <c r="BH84" s="1778"/>
      <c r="BI84" s="1778"/>
      <c r="BJ84" s="1778"/>
      <c r="BK84" s="1778"/>
      <c r="BL84" s="1778"/>
      <c r="BM84" s="1778"/>
      <c r="BN84" s="1766"/>
    </row>
    <row r="85" spans="1:66" ht="13.5" thickBot="1">
      <c r="A85" s="71"/>
      <c r="C85" s="2371" t="e">
        <f>IF(C79-C82-C83&lt;0,0,C79-C82-C83)</f>
        <v>#REF!</v>
      </c>
      <c r="D85" s="2057"/>
      <c r="E85" s="2371" t="e">
        <f>IF(E79-E82-E83&lt;0,0,E79-E82-E83)</f>
        <v>#REF!</v>
      </c>
      <c r="F85" s="2057"/>
      <c r="G85" s="2371" t="e">
        <f>IF(G79-G82-G83&lt;0,0,G79-G82-G83)</f>
        <v>#REF!</v>
      </c>
      <c r="H85" s="2057"/>
      <c r="I85" s="2372" t="e">
        <f>IF(I79-I82-I83&lt;0,0,I79-I82-I83)</f>
        <v>#REF!</v>
      </c>
      <c r="K85" s="1549" t="e">
        <f>IF(K79-K82-K83&lt;0,0,K79-K82-K83)</f>
        <v>#REF!</v>
      </c>
      <c r="L85" s="1484"/>
      <c r="M85" s="1549" t="e">
        <f>IF(M79-M82-M83&lt;0,0,M79-M82-M83)</f>
        <v>#REF!</v>
      </c>
      <c r="N85" s="1484"/>
      <c r="O85" s="1549" t="e">
        <f>IF(O79-O82-O83&lt;0,0,O79-O82-O83)</f>
        <v>#REF!</v>
      </c>
      <c r="P85" s="1484"/>
      <c r="Q85" s="1542" t="e">
        <f>IF(Q79-Q82-Q83&lt;0,0,Q79-Q82-Q83)</f>
        <v>#REF!</v>
      </c>
      <c r="R85" s="1570"/>
      <c r="S85" s="1446" t="e">
        <f>IF(S79-S82-S83&lt;0,0,S79-S82-S83)</f>
        <v>#DIV/0!</v>
      </c>
      <c r="T85" s="1440"/>
      <c r="U85" s="1446" t="e">
        <f>IF(U79-U82-U83&lt;0,0,U79-U82-U83)</f>
        <v>#DIV/0!</v>
      </c>
      <c r="V85" s="1440"/>
      <c r="W85" s="1446" t="e">
        <f>IF(W79-W82-W83&lt;0,0,W79-W82-W83)</f>
        <v>#DIV/0!</v>
      </c>
      <c r="X85" s="1440"/>
      <c r="Y85" s="1446">
        <f>IF(Y79-Y82-Y83&lt;0,0,Y79-Y82-Y83)</f>
        <v>0</v>
      </c>
      <c r="Z85" s="1561"/>
      <c r="AA85" s="1543" t="e">
        <f>IF(AA79-AA82-AA83&lt;0,0,AA79-AA82-AA83)</f>
        <v>#DIV/0!</v>
      </c>
      <c r="AB85" s="1510"/>
      <c r="AC85" s="1543" t="e">
        <f>IF(AC79-AC82-AC83&lt;0,0,AC79-AC82-AC83)</f>
        <v>#DIV/0!</v>
      </c>
      <c r="AD85" s="1510"/>
      <c r="AE85" s="1543">
        <f>IF(AE79-AE82-AE83&lt;0,0,AE79-AE82-AE83)</f>
        <v>0</v>
      </c>
      <c r="AF85" s="1510"/>
      <c r="AG85" s="1543">
        <f>IF(AG79-AG82-AG83&lt;0,0,AG79-AG82-AG83)</f>
        <v>0</v>
      </c>
      <c r="AH85" s="1587"/>
      <c r="AI85" s="1544" t="e">
        <f>IF(AI79-AI82-AI83&lt;0,0,AI79-AI82-AI83)</f>
        <v>#DIV/0!</v>
      </c>
      <c r="AJ85" s="1512"/>
      <c r="AK85" s="1544" t="e">
        <f>IF(AK79-AK82-AK83&lt;0,0,AK79-AK82-AK83)</f>
        <v>#DIV/0!</v>
      </c>
      <c r="AL85" s="1512"/>
      <c r="AM85" s="1544" t="e">
        <f>IF(AM79-AM82-AM83&lt;0,0,AM79-AM82-AM83)</f>
        <v>#DIV/0!</v>
      </c>
      <c r="AN85" s="1512"/>
      <c r="AO85" s="1544">
        <f>IF(AO79-AO82-AO83&lt;0,0,AO79-AO82-AO83)</f>
        <v>0</v>
      </c>
      <c r="AP85" s="1598"/>
      <c r="AQ85" s="1545" t="e">
        <f>IF(AQ79-AQ82-AQ83&lt;0,0,AQ79-AQ82-AQ83)</f>
        <v>#DIV/0!</v>
      </c>
      <c r="AR85" s="1514"/>
      <c r="AS85" s="1545" t="e">
        <f>IF(AS79-AS82-AS83&lt;0,0,AS79-AS82-AS83)</f>
        <v>#DIV/0!</v>
      </c>
      <c r="AT85" s="1514"/>
      <c r="AU85" s="1545" t="e">
        <f>IF(AU79-AU82-AU83&lt;0,0,AU79-AU82-AU83)</f>
        <v>#DIV/0!</v>
      </c>
      <c r="AV85" s="1514"/>
      <c r="AW85" s="1545">
        <f>IF(AW79-AW82-AW83&lt;0,0,AW79-AW82-AW83)</f>
        <v>0</v>
      </c>
      <c r="AX85" s="1610"/>
      <c r="AY85" s="1546" t="e">
        <f>IF(AY79-AY82-AY83&lt;0,0,AY79-AY82-AY83)</f>
        <v>#DIV/0!</v>
      </c>
      <c r="AZ85" s="1516"/>
      <c r="BA85" s="1546" t="e">
        <f>IF(BA79-BA82-BA83&lt;0,0,BA79-BA82-BA83)</f>
        <v>#DIV/0!</v>
      </c>
      <c r="BB85" s="1516"/>
      <c r="BC85" s="1546" t="e">
        <f>IF(BC79-BC82-BC83&lt;0,0,BC79-BC82-BC83)</f>
        <v>#DIV/0!</v>
      </c>
      <c r="BD85" s="1516"/>
      <c r="BE85" s="1546">
        <f>IF(BE79-BE82-BE83&lt;0,0,BE79-BE82-BE83)</f>
        <v>0</v>
      </c>
      <c r="BF85" s="1612"/>
      <c r="BG85" s="1786" t="e">
        <f>IF(BG79-BG82-BG83&lt;0,0,BG79-BG82-BG83)</f>
        <v>#DIV/0!</v>
      </c>
      <c r="BH85" s="1778"/>
      <c r="BI85" s="1786" t="e">
        <f>IF(BI79-BI82-BI83&lt;0,0,BI79-BI82-BI83)</f>
        <v>#DIV/0!</v>
      </c>
      <c r="BJ85" s="1778"/>
      <c r="BK85" s="1786" t="e">
        <f>IF(BK79-BK82-BK83&lt;0,0,BK79-BK82-BK83)</f>
        <v>#DIV/0!</v>
      </c>
      <c r="BL85" s="1778"/>
      <c r="BM85" s="1786">
        <f>IF(BM79-BM82-BM83&lt;0,0,BM79-BM82-BM83)</f>
        <v>0</v>
      </c>
      <c r="BN85" s="1766"/>
    </row>
    <row r="86" spans="1:66" ht="13.5" thickTop="1">
      <c r="A86" s="71"/>
      <c r="C86" s="2057" t="e">
        <f>IF(C78=0,0,C85/C78)</f>
        <v>#REF!</v>
      </c>
      <c r="D86" s="2057"/>
      <c r="E86" s="2057" t="e">
        <f>IF(E78=0,0,E85/E78)</f>
        <v>#REF!</v>
      </c>
      <c r="F86" s="2057"/>
      <c r="G86" s="2057" t="e">
        <f>IF(G78=0,0,G85/G78)</f>
        <v>#REF!</v>
      </c>
      <c r="H86" s="2057"/>
      <c r="I86" s="2370" t="e">
        <f>IF(I78=0,0,I85/I78)</f>
        <v>#REF!</v>
      </c>
      <c r="K86" s="1484" t="e">
        <f>IF(K78=0,0,K85/K78)</f>
        <v>#REF!</v>
      </c>
      <c r="L86" s="1484"/>
      <c r="M86" s="1484" t="e">
        <f>IF(M78=0,0,M85/M78)</f>
        <v>#REF!</v>
      </c>
      <c r="N86" s="1484"/>
      <c r="O86" s="1484" t="e">
        <f>IF(O78=0,0,O85/O78)</f>
        <v>#REF!</v>
      </c>
      <c r="P86" s="1484"/>
      <c r="Q86" s="1540" t="e">
        <f>IF(Q78=0,0,Q85/Q78)</f>
        <v>#REF!</v>
      </c>
      <c r="R86" s="1570"/>
      <c r="S86" s="1440" t="e">
        <f>IF(S78=0,0,S85/S78)</f>
        <v>#DIV/0!</v>
      </c>
      <c r="T86" s="1440"/>
      <c r="U86" s="1440" t="e">
        <f>IF(U78=0,0,U85/U78)</f>
        <v>#DIV/0!</v>
      </c>
      <c r="V86" s="1440"/>
      <c r="W86" s="1440">
        <f>IF(W78=0,0,W85/W78)</f>
        <v>0</v>
      </c>
      <c r="X86" s="1440"/>
      <c r="Y86" s="1440">
        <f>IF(Y78=0,0,Y85/Y78)</f>
        <v>0</v>
      </c>
      <c r="Z86" s="1561"/>
      <c r="AA86" s="1510" t="e">
        <f>IF(AA78=0,0,AA85/AA78)</f>
        <v>#DIV/0!</v>
      </c>
      <c r="AB86" s="1510"/>
      <c r="AC86" s="1510" t="e">
        <f>IF(AC78=0,0,AC85/AC78)</f>
        <v>#DIV/0!</v>
      </c>
      <c r="AD86" s="1510"/>
      <c r="AE86" s="1510">
        <f>IF(AE78=0,0,AE85/AE78)</f>
        <v>0</v>
      </c>
      <c r="AF86" s="1510"/>
      <c r="AG86" s="1510">
        <f>IF(AG78=0,0,AG85/AG78)</f>
        <v>0</v>
      </c>
      <c r="AH86" s="1587"/>
      <c r="AI86" s="1512" t="e">
        <f>IF(AI78=0,0,AI85/AI78)</f>
        <v>#DIV/0!</v>
      </c>
      <c r="AJ86" s="1512"/>
      <c r="AK86" s="1512" t="e">
        <f>IF(AK78=0,0,AK85/AK78)</f>
        <v>#DIV/0!</v>
      </c>
      <c r="AL86" s="1512"/>
      <c r="AM86" s="1512">
        <f>IF(AM78=0,0,AM85/AM78)</f>
        <v>0</v>
      </c>
      <c r="AN86" s="1512"/>
      <c r="AO86" s="1512">
        <f>IF(AO78=0,0,AO85/AO78)</f>
        <v>0</v>
      </c>
      <c r="AP86" s="1598"/>
      <c r="AQ86" s="1514" t="e">
        <f>IF(AQ78=0,0,AQ85/AQ78)</f>
        <v>#DIV/0!</v>
      </c>
      <c r="AR86" s="1514"/>
      <c r="AS86" s="1514" t="e">
        <f>IF(AS78=0,0,AS85/AS78)</f>
        <v>#DIV/0!</v>
      </c>
      <c r="AT86" s="1514"/>
      <c r="AU86" s="1514">
        <f>IF(AU78=0,0,AU85/AU78)</f>
        <v>0</v>
      </c>
      <c r="AV86" s="1514"/>
      <c r="AW86" s="1514">
        <f>IF(AW78=0,0,AW85/AW78)</f>
        <v>0</v>
      </c>
      <c r="AX86" s="1610"/>
      <c r="AY86" s="1516" t="e">
        <f>IF(AY78=0,0,AY85/AY78)</f>
        <v>#DIV/0!</v>
      </c>
      <c r="AZ86" s="1516"/>
      <c r="BA86" s="1516" t="e">
        <f>IF(BA78=0,0,BA85/BA78)</f>
        <v>#DIV/0!</v>
      </c>
      <c r="BB86" s="1516"/>
      <c r="BC86" s="1516">
        <f>IF(BC78=0,0,BC85/BC78)</f>
        <v>0</v>
      </c>
      <c r="BD86" s="1516"/>
      <c r="BE86" s="1516">
        <f>IF(BE78=0,0,BE85/BE78)</f>
        <v>0</v>
      </c>
      <c r="BF86" s="1612"/>
      <c r="BG86" s="1778" t="e">
        <f>IF(BG78=0,0,BG85/BG78)</f>
        <v>#DIV/0!</v>
      </c>
      <c r="BH86" s="1778"/>
      <c r="BI86" s="1778" t="e">
        <f>IF(BI78=0,0,BI85/BI78)</f>
        <v>#DIV/0!</v>
      </c>
      <c r="BJ86" s="1778"/>
      <c r="BK86" s="1778">
        <f>IF(BK78=0,0,BK85/BK78)</f>
        <v>0</v>
      </c>
      <c r="BL86" s="1778"/>
      <c r="BM86" s="1778">
        <f>IF(BM78=0,0,BM85/BM78)</f>
        <v>0</v>
      </c>
      <c r="BN86" s="1766"/>
    </row>
    <row r="87" spans="1:66">
      <c r="A87" s="71"/>
      <c r="C87" s="2057"/>
      <c r="D87" s="2057"/>
      <c r="E87" s="2057"/>
      <c r="F87" s="2057"/>
      <c r="G87" s="2057"/>
      <c r="H87" s="2057"/>
      <c r="I87" s="2370"/>
      <c r="K87" s="1484"/>
      <c r="L87" s="1484"/>
      <c r="M87" s="1484"/>
      <c r="N87" s="1484"/>
      <c r="O87" s="1484"/>
      <c r="P87" s="1484"/>
      <c r="Q87" s="1540"/>
      <c r="R87" s="1570"/>
      <c r="S87" s="1440"/>
      <c r="T87" s="1440"/>
      <c r="U87" s="1440"/>
      <c r="V87" s="1440"/>
      <c r="W87" s="1440"/>
      <c r="X87" s="1440"/>
      <c r="Y87" s="1440"/>
      <c r="Z87" s="1561"/>
      <c r="AA87" s="1510"/>
      <c r="AB87" s="1510"/>
      <c r="AC87" s="1510"/>
      <c r="AD87" s="1510"/>
      <c r="AE87" s="1510"/>
      <c r="AF87" s="1510"/>
      <c r="AG87" s="1510"/>
      <c r="AH87" s="1587"/>
      <c r="AI87" s="1512"/>
      <c r="AJ87" s="1512"/>
      <c r="AK87" s="1512"/>
      <c r="AL87" s="1512"/>
      <c r="AM87" s="1512"/>
      <c r="AN87" s="1512"/>
      <c r="AO87" s="1512"/>
      <c r="AP87" s="1598"/>
      <c r="AQ87" s="1514"/>
      <c r="AR87" s="1514"/>
      <c r="AS87" s="1514"/>
      <c r="AT87" s="1514"/>
      <c r="AU87" s="1514"/>
      <c r="AV87" s="1514"/>
      <c r="AW87" s="1514"/>
      <c r="AX87" s="1610"/>
      <c r="AY87" s="1516"/>
      <c r="AZ87" s="1516"/>
      <c r="BA87" s="1516"/>
      <c r="BB87" s="1516"/>
      <c r="BC87" s="1516"/>
      <c r="BD87" s="1516"/>
      <c r="BE87" s="1516"/>
      <c r="BF87" s="1612"/>
      <c r="BG87" s="1778"/>
      <c r="BH87" s="1778"/>
      <c r="BI87" s="1778"/>
      <c r="BJ87" s="1778"/>
      <c r="BK87" s="1778"/>
      <c r="BL87" s="1778"/>
      <c r="BM87" s="1778"/>
      <c r="BN87" s="1766"/>
    </row>
    <row r="88" spans="1:66">
      <c r="A88" s="71"/>
      <c r="C88" s="2057"/>
      <c r="D88" s="2057"/>
      <c r="E88" s="2057"/>
      <c r="F88" s="2057"/>
      <c r="G88" s="2057"/>
      <c r="H88" s="2057"/>
      <c r="I88" s="2370"/>
      <c r="K88" s="1484"/>
      <c r="L88" s="1484"/>
      <c r="M88" s="1484"/>
      <c r="N88" s="1484"/>
      <c r="O88" s="1484"/>
      <c r="P88" s="1484"/>
      <c r="Q88" s="1540"/>
      <c r="R88" s="1570"/>
      <c r="S88" s="1440"/>
      <c r="T88" s="1440"/>
      <c r="U88" s="1440"/>
      <c r="V88" s="1440"/>
      <c r="W88" s="1440"/>
      <c r="X88" s="1440"/>
      <c r="Y88" s="1440"/>
      <c r="Z88" s="1561"/>
      <c r="AA88" s="1510"/>
      <c r="AB88" s="1510"/>
      <c r="AC88" s="1510"/>
      <c r="AD88" s="1510"/>
      <c r="AE88" s="1510"/>
      <c r="AF88" s="1510"/>
      <c r="AG88" s="1510"/>
      <c r="AH88" s="1587"/>
      <c r="AI88" s="1512"/>
      <c r="AJ88" s="1512"/>
      <c r="AK88" s="1512"/>
      <c r="AL88" s="1512"/>
      <c r="AM88" s="1512"/>
      <c r="AN88" s="1512"/>
      <c r="AO88" s="1512"/>
      <c r="AP88" s="1598"/>
      <c r="AQ88" s="1514"/>
      <c r="AR88" s="1514"/>
      <c r="AS88" s="1514"/>
      <c r="AT88" s="1514"/>
      <c r="AU88" s="1514"/>
      <c r="AV88" s="1514"/>
      <c r="AW88" s="1514"/>
      <c r="AX88" s="1610"/>
      <c r="AY88" s="1516"/>
      <c r="AZ88" s="1516"/>
      <c r="BA88" s="1516"/>
      <c r="BB88" s="1516"/>
      <c r="BC88" s="1516"/>
      <c r="BD88" s="1516"/>
      <c r="BE88" s="1516"/>
      <c r="BF88" s="1612"/>
      <c r="BG88" s="1778"/>
      <c r="BH88" s="1778"/>
      <c r="BI88" s="1778"/>
      <c r="BJ88" s="1778"/>
      <c r="BK88" s="1778"/>
      <c r="BL88" s="1778"/>
      <c r="BM88" s="1778"/>
      <c r="BN88" s="1766"/>
    </row>
    <row r="89" spans="1:66">
      <c r="A89" s="71"/>
      <c r="B89" s="37"/>
      <c r="C89" s="2376" t="s">
        <v>3900</v>
      </c>
      <c r="D89" s="2377"/>
      <c r="E89" s="2377"/>
      <c r="F89" s="2377"/>
      <c r="G89" s="2378"/>
      <c r="H89" s="2185"/>
      <c r="I89" s="2379"/>
      <c r="K89" s="1798" t="s">
        <v>3901</v>
      </c>
      <c r="L89" s="1934"/>
      <c r="M89" s="1934"/>
      <c r="N89" s="1934"/>
      <c r="O89" s="1935"/>
      <c r="P89" s="1484"/>
      <c r="Q89" s="1540"/>
      <c r="R89" s="1570"/>
      <c r="S89" s="1938" t="s">
        <v>3902</v>
      </c>
      <c r="T89" s="1815"/>
      <c r="U89" s="1815"/>
      <c r="V89" s="1815"/>
      <c r="W89" s="1816"/>
      <c r="X89" s="1440"/>
      <c r="Y89" s="1440"/>
      <c r="Z89" s="1561"/>
      <c r="AA89" s="1938" t="s">
        <v>3903</v>
      </c>
      <c r="AB89" s="1815"/>
      <c r="AC89" s="1815"/>
      <c r="AD89" s="1815"/>
      <c r="AE89" s="1816"/>
      <c r="AF89" s="1510"/>
      <c r="AG89" s="1510"/>
      <c r="AH89" s="1587"/>
      <c r="AI89" s="1938" t="s">
        <v>3968</v>
      </c>
      <c r="AJ89" s="1815"/>
      <c r="AK89" s="1815"/>
      <c r="AL89" s="1815"/>
      <c r="AM89" s="1815"/>
      <c r="AN89" s="1816"/>
      <c r="AO89" s="1512"/>
      <c r="AP89" s="1598"/>
      <c r="AQ89" s="1938" t="s">
        <v>6930</v>
      </c>
      <c r="AR89" s="1815"/>
      <c r="AS89" s="1815"/>
      <c r="AT89" s="1815"/>
      <c r="AU89" s="1816"/>
      <c r="AV89" s="1514"/>
      <c r="AW89" s="1514"/>
      <c r="AX89" s="1610"/>
      <c r="AY89" s="1938" t="s">
        <v>7052</v>
      </c>
      <c r="AZ89" s="1815"/>
      <c r="BA89" s="1815"/>
      <c r="BB89" s="1815"/>
      <c r="BC89" s="1816"/>
      <c r="BD89" s="1516"/>
      <c r="BE89" s="1516"/>
      <c r="BF89" s="1612"/>
      <c r="BG89" s="1938" t="s">
        <v>7052</v>
      </c>
      <c r="BH89" s="1815"/>
      <c r="BI89" s="1815"/>
      <c r="BJ89" s="1815"/>
      <c r="BK89" s="1816"/>
      <c r="BL89" s="1778"/>
      <c r="BM89" s="1778"/>
      <c r="BN89" s="1766"/>
    </row>
    <row r="90" spans="1:66">
      <c r="A90" s="71"/>
      <c r="B90" s="72" t="s">
        <v>8256</v>
      </c>
      <c r="C90" s="2380" t="e">
        <f>'Calc Data-15K'!AD91</f>
        <v>#REF!</v>
      </c>
      <c r="D90" s="2057"/>
      <c r="E90" s="2380" t="e">
        <f>C90</f>
        <v>#REF!</v>
      </c>
      <c r="F90" s="2057"/>
      <c r="G90" s="2380"/>
      <c r="H90" s="2057"/>
      <c r="I90" s="2084"/>
      <c r="K90" s="1982" t="e">
        <f>'Calc Data-15K'!AG87</f>
        <v>#REF!</v>
      </c>
      <c r="L90" s="1983"/>
      <c r="M90" s="1982" t="e">
        <f>K90</f>
        <v>#REF!</v>
      </c>
      <c r="N90" s="1983"/>
      <c r="O90" s="1982"/>
      <c r="P90" s="1983"/>
      <c r="Q90" s="1466"/>
      <c r="R90" s="1570"/>
      <c r="S90" s="1936" t="e">
        <f>'Calc Data-15K'!AK87</f>
        <v>#DIV/0!</v>
      </c>
      <c r="T90" s="1440"/>
      <c r="U90" s="1937" t="e">
        <f>S90</f>
        <v>#DIV/0!</v>
      </c>
      <c r="V90" s="1440"/>
      <c r="W90" s="1937"/>
      <c r="X90" s="1440"/>
      <c r="Y90" s="1439"/>
      <c r="Z90" s="1561"/>
      <c r="AA90" s="1939" t="e">
        <f>'Calc Data-15K'!AO87</f>
        <v>#DIV/0!</v>
      </c>
      <c r="AB90" s="1510"/>
      <c r="AC90" s="1940" t="e">
        <f>AA90</f>
        <v>#DIV/0!</v>
      </c>
      <c r="AD90" s="1510"/>
      <c r="AE90" s="1940"/>
      <c r="AF90" s="1510"/>
      <c r="AG90" s="1509"/>
      <c r="AH90" s="1587"/>
      <c r="AI90" s="1941" t="e">
        <f>'Calc Data-15K'!AS87</f>
        <v>#DIV/0!</v>
      </c>
      <c r="AJ90" s="1512"/>
      <c r="AK90" s="1942" t="e">
        <f>AI90</f>
        <v>#DIV/0!</v>
      </c>
      <c r="AL90" s="1512"/>
      <c r="AM90" s="1942"/>
      <c r="AN90" s="1512"/>
      <c r="AO90" s="1511"/>
      <c r="AP90" s="1598"/>
      <c r="AQ90" s="1943" t="e">
        <f>'Calc Data-15K'!AX87</f>
        <v>#DIV/0!</v>
      </c>
      <c r="AR90" s="1514"/>
      <c r="AS90" s="1944" t="e">
        <f>AQ90</f>
        <v>#DIV/0!</v>
      </c>
      <c r="AT90" s="1514"/>
      <c r="AU90" s="1944"/>
      <c r="AV90" s="1514"/>
      <c r="AW90" s="1513"/>
      <c r="AX90" s="1610"/>
      <c r="AY90" s="1945" t="e">
        <f>'Calc Data-15K'!BC87</f>
        <v>#DIV/0!</v>
      </c>
      <c r="AZ90" s="1516"/>
      <c r="BA90" s="1946" t="e">
        <f>AY90</f>
        <v>#DIV/0!</v>
      </c>
      <c r="BB90" s="1516"/>
      <c r="BC90" s="1946"/>
      <c r="BD90" s="1516"/>
      <c r="BE90" s="1515"/>
      <c r="BF90" s="1612"/>
      <c r="BG90" s="1947" t="e">
        <f>'Calc Data-15K'!BH87</f>
        <v>#DIV/0!</v>
      </c>
      <c r="BH90" s="1778"/>
      <c r="BI90" s="1948" t="e">
        <f>BG90</f>
        <v>#DIV/0!</v>
      </c>
      <c r="BJ90" s="1778"/>
      <c r="BK90" s="1948"/>
      <c r="BL90" s="1778"/>
      <c r="BM90" s="1779"/>
      <c r="BN90" s="1766"/>
    </row>
    <row r="91" spans="1:66">
      <c r="A91" s="71"/>
      <c r="C91" s="2083"/>
      <c r="D91" s="2057"/>
      <c r="E91" s="2083"/>
      <c r="F91" s="2057"/>
      <c r="G91" s="2083" t="e">
        <f>'Calc Data-15K'!C83</f>
        <v>#REF!</v>
      </c>
      <c r="H91" s="2057"/>
      <c r="I91" s="2084" t="e">
        <f>G91</f>
        <v>#REF!</v>
      </c>
      <c r="K91" s="1984"/>
      <c r="L91" s="1983"/>
      <c r="M91" s="1984"/>
      <c r="N91" s="1983"/>
      <c r="O91" s="1984" t="e">
        <f>'Calc Data-15K'!AG86</f>
        <v>#REF!</v>
      </c>
      <c r="P91" s="1983"/>
      <c r="Q91" s="1466" t="e">
        <f>O91</f>
        <v>#REF!</v>
      </c>
      <c r="R91" s="1570"/>
      <c r="S91" s="1564"/>
      <c r="T91" s="1440"/>
      <c r="U91" s="1439"/>
      <c r="V91" s="1440"/>
      <c r="W91" s="1439" t="e">
        <f>'Calc Data-15K'!AK86</f>
        <v>#DIV/0!</v>
      </c>
      <c r="X91" s="1440"/>
      <c r="Y91" s="1439" t="e">
        <f>W91</f>
        <v>#DIV/0!</v>
      </c>
      <c r="Z91" s="1561"/>
      <c r="AA91" s="1573"/>
      <c r="AB91" s="1510"/>
      <c r="AC91" s="1509"/>
      <c r="AD91" s="1510"/>
      <c r="AE91" s="1509" t="e">
        <f>'Calc Data-15K'!AO86</f>
        <v>#DIV/0!</v>
      </c>
      <c r="AF91" s="1510"/>
      <c r="AG91" s="1509" t="e">
        <f>AE91</f>
        <v>#DIV/0!</v>
      </c>
      <c r="AH91" s="1587"/>
      <c r="AI91" s="1426"/>
      <c r="AJ91" s="1512"/>
      <c r="AK91" s="1511"/>
      <c r="AL91" s="1512"/>
      <c r="AM91" s="1511" t="e">
        <f>'Calc Data-15K'!AS86</f>
        <v>#DIV/0!</v>
      </c>
      <c r="AN91" s="1512"/>
      <c r="AO91" s="1511" t="e">
        <f>AM91</f>
        <v>#DIV/0!</v>
      </c>
      <c r="AP91" s="1598"/>
      <c r="AQ91" s="1591"/>
      <c r="AR91" s="1514"/>
      <c r="AS91" s="1513"/>
      <c r="AT91" s="1514"/>
      <c r="AU91" s="1513" t="e">
        <f>'Calc Data-15K'!AX86</f>
        <v>#DIV/0!</v>
      </c>
      <c r="AV91" s="1514"/>
      <c r="AW91" s="1513" t="e">
        <f>AU91</f>
        <v>#DIV/0!</v>
      </c>
      <c r="AX91" s="1610"/>
      <c r="AY91" s="1602"/>
      <c r="AZ91" s="1516"/>
      <c r="BA91" s="1515"/>
      <c r="BB91" s="1516"/>
      <c r="BC91" s="1515" t="e">
        <f>'Calc Data-15K'!BC86</f>
        <v>#DIV/0!</v>
      </c>
      <c r="BD91" s="1516"/>
      <c r="BE91" s="1515" t="e">
        <f>BC91</f>
        <v>#DIV/0!</v>
      </c>
      <c r="BF91" s="1612"/>
      <c r="BG91" s="1777"/>
      <c r="BH91" s="1778"/>
      <c r="BI91" s="1779"/>
      <c r="BJ91" s="1778"/>
      <c r="BK91" s="1779" t="e">
        <f>'Calc Data-15K'!BH86</f>
        <v>#DIV/0!</v>
      </c>
      <c r="BL91" s="1778"/>
      <c r="BM91" s="1779" t="e">
        <f>BK91</f>
        <v>#DIV/0!</v>
      </c>
      <c r="BN91" s="1766"/>
    </row>
    <row r="92" spans="1:66">
      <c r="A92" s="71"/>
      <c r="C92" s="2083" t="e">
        <f>C90</f>
        <v>#REF!</v>
      </c>
      <c r="D92" s="2057"/>
      <c r="E92" s="2083" t="e">
        <f>E90</f>
        <v>#REF!</v>
      </c>
      <c r="F92" s="2057"/>
      <c r="G92" s="2083" t="e">
        <f>G91</f>
        <v>#REF!</v>
      </c>
      <c r="H92" s="2057"/>
      <c r="I92" s="2084" t="e">
        <f>I91</f>
        <v>#REF!</v>
      </c>
      <c r="K92" s="1984" t="e">
        <f>K90</f>
        <v>#REF!</v>
      </c>
      <c r="L92" s="1983"/>
      <c r="M92" s="1984" t="e">
        <f>M90</f>
        <v>#REF!</v>
      </c>
      <c r="N92" s="1983"/>
      <c r="O92" s="1984" t="e">
        <f>O91</f>
        <v>#REF!</v>
      </c>
      <c r="P92" s="1983"/>
      <c r="Q92" s="1466" t="e">
        <f>Q91</f>
        <v>#REF!</v>
      </c>
      <c r="R92" s="1570"/>
      <c r="S92" s="1564" t="e">
        <f>S90</f>
        <v>#DIV/0!</v>
      </c>
      <c r="T92" s="1440"/>
      <c r="U92" s="1439" t="e">
        <f>U90</f>
        <v>#DIV/0!</v>
      </c>
      <c r="V92" s="1440"/>
      <c r="W92" s="1439" t="e">
        <f>W91</f>
        <v>#DIV/0!</v>
      </c>
      <c r="X92" s="1440"/>
      <c r="Y92" s="1439" t="e">
        <f>Y91</f>
        <v>#DIV/0!</v>
      </c>
      <c r="Z92" s="1561"/>
      <c r="AA92" s="1573" t="e">
        <f>AA90</f>
        <v>#DIV/0!</v>
      </c>
      <c r="AB92" s="1510"/>
      <c r="AC92" s="1509" t="e">
        <f>AC90</f>
        <v>#DIV/0!</v>
      </c>
      <c r="AD92" s="1510"/>
      <c r="AE92" s="1509" t="e">
        <f>AE91</f>
        <v>#DIV/0!</v>
      </c>
      <c r="AF92" s="1510"/>
      <c r="AG92" s="1509" t="e">
        <f>AG91</f>
        <v>#DIV/0!</v>
      </c>
      <c r="AH92" s="1587"/>
      <c r="AI92" s="1426" t="e">
        <f>AI90</f>
        <v>#DIV/0!</v>
      </c>
      <c r="AJ92" s="1512"/>
      <c r="AK92" s="1511" t="e">
        <f>AK90</f>
        <v>#DIV/0!</v>
      </c>
      <c r="AL92" s="1512"/>
      <c r="AM92" s="1511" t="e">
        <f>AM91</f>
        <v>#DIV/0!</v>
      </c>
      <c r="AN92" s="1512"/>
      <c r="AO92" s="1511" t="e">
        <f>AO91</f>
        <v>#DIV/0!</v>
      </c>
      <c r="AP92" s="1598"/>
      <c r="AQ92" s="1591" t="e">
        <f>AQ90</f>
        <v>#DIV/0!</v>
      </c>
      <c r="AR92" s="1514"/>
      <c r="AS92" s="1513" t="e">
        <f>AS90</f>
        <v>#DIV/0!</v>
      </c>
      <c r="AT92" s="1514"/>
      <c r="AU92" s="1513" t="e">
        <f>AU91</f>
        <v>#DIV/0!</v>
      </c>
      <c r="AV92" s="1514"/>
      <c r="AW92" s="1513" t="e">
        <f>AW91</f>
        <v>#DIV/0!</v>
      </c>
      <c r="AX92" s="1610"/>
      <c r="AY92" s="1602" t="e">
        <f>AY90</f>
        <v>#DIV/0!</v>
      </c>
      <c r="AZ92" s="1516"/>
      <c r="BA92" s="1515" t="e">
        <f>BA90</f>
        <v>#DIV/0!</v>
      </c>
      <c r="BB92" s="1516"/>
      <c r="BC92" s="1515" t="e">
        <f>BC91</f>
        <v>#DIV/0!</v>
      </c>
      <c r="BD92" s="1516"/>
      <c r="BE92" s="1515" t="e">
        <f>BE91</f>
        <v>#DIV/0!</v>
      </c>
      <c r="BF92" s="1612"/>
      <c r="BG92" s="1777" t="e">
        <f>BG90</f>
        <v>#DIV/0!</v>
      </c>
      <c r="BH92" s="1778"/>
      <c r="BI92" s="1779" t="e">
        <f>BI90</f>
        <v>#DIV/0!</v>
      </c>
      <c r="BJ92" s="1778"/>
      <c r="BK92" s="1779" t="e">
        <f>BK91</f>
        <v>#DIV/0!</v>
      </c>
      <c r="BL92" s="1778"/>
      <c r="BM92" s="1779" t="e">
        <f>BM91</f>
        <v>#DIV/0!</v>
      </c>
      <c r="BN92" s="1766"/>
    </row>
    <row r="93" spans="1:66">
      <c r="A93" s="71"/>
      <c r="C93" s="2081" t="e">
        <f>C35*C92</f>
        <v>#REF!</v>
      </c>
      <c r="D93" s="2085"/>
      <c r="E93" s="2081" t="e">
        <f>E35*E92</f>
        <v>#REF!</v>
      </c>
      <c r="F93" s="2085"/>
      <c r="G93" s="2081" t="e">
        <f>IF(G91&lt;1,0,G35*G92)</f>
        <v>#REF!</v>
      </c>
      <c r="H93" s="2085"/>
      <c r="I93" s="2082" t="e">
        <f>IF(I91&lt;1,0,I35*I92)</f>
        <v>#REF!</v>
      </c>
      <c r="K93" s="1547" t="e">
        <f>K35*K92</f>
        <v>#REF!</v>
      </c>
      <c r="L93" s="1484"/>
      <c r="M93" s="1547" t="e">
        <f>M35*M92</f>
        <v>#REF!</v>
      </c>
      <c r="N93" s="1484"/>
      <c r="O93" s="1547" t="e">
        <f>IF(O91&lt;1,0,O35*O92)</f>
        <v>#REF!</v>
      </c>
      <c r="P93" s="1484"/>
      <c r="Q93" s="1463" t="e">
        <f>IF(Q91&lt;1,0,Q35*Q92)</f>
        <v>#REF!</v>
      </c>
      <c r="R93" s="1570"/>
      <c r="S93" s="1564" t="e">
        <f>S35*S92</f>
        <v>#DIV/0!</v>
      </c>
      <c r="T93" s="1440"/>
      <c r="U93" s="1439" t="e">
        <f>U35*U92</f>
        <v>#DIV/0!</v>
      </c>
      <c r="V93" s="1440"/>
      <c r="W93" s="1439" t="e">
        <f>IF(W91&lt;1,0,W35*W92)</f>
        <v>#DIV/0!</v>
      </c>
      <c r="X93" s="1440"/>
      <c r="Y93" s="1439" t="e">
        <f>IF(Y91&lt;1,0,Y35*Y92)</f>
        <v>#DIV/0!</v>
      </c>
      <c r="Z93" s="1561"/>
      <c r="AA93" s="1573" t="e">
        <f>AA35*AA92</f>
        <v>#DIV/0!</v>
      </c>
      <c r="AB93" s="1510"/>
      <c r="AC93" s="1509" t="e">
        <f>AC35*AC92</f>
        <v>#DIV/0!</v>
      </c>
      <c r="AD93" s="1510"/>
      <c r="AE93" s="1509" t="e">
        <f>IF(AE91&lt;1,0,AE35*AE92)</f>
        <v>#DIV/0!</v>
      </c>
      <c r="AF93" s="1510"/>
      <c r="AG93" s="1509" t="e">
        <f>IF(AG91&lt;1,0,AG35*AG92)</f>
        <v>#DIV/0!</v>
      </c>
      <c r="AH93" s="1587"/>
      <c r="AI93" s="1426" t="e">
        <f>AI35*AI92</f>
        <v>#DIV/0!</v>
      </c>
      <c r="AJ93" s="1512"/>
      <c r="AK93" s="1511" t="e">
        <f>AK35*AK92</f>
        <v>#DIV/0!</v>
      </c>
      <c r="AL93" s="1512"/>
      <c r="AM93" s="1511" t="e">
        <f>IF(AM91&lt;1,0,AM35*AM92)</f>
        <v>#DIV/0!</v>
      </c>
      <c r="AN93" s="1512"/>
      <c r="AO93" s="1511" t="e">
        <f>IF(AO91&lt;1,0,AO35*AO92)</f>
        <v>#DIV/0!</v>
      </c>
      <c r="AP93" s="1598"/>
      <c r="AQ93" s="1591" t="e">
        <f>AQ35*AQ92</f>
        <v>#DIV/0!</v>
      </c>
      <c r="AR93" s="1514"/>
      <c r="AS93" s="1513" t="e">
        <f>AS35*AS92</f>
        <v>#DIV/0!</v>
      </c>
      <c r="AT93" s="1514"/>
      <c r="AU93" s="1513" t="e">
        <f>IF(AU91&lt;1,0,AU35*AU92)</f>
        <v>#DIV/0!</v>
      </c>
      <c r="AV93" s="1514"/>
      <c r="AW93" s="1513" t="e">
        <f>IF(AW91&lt;1,0,AW35*AW92)</f>
        <v>#DIV/0!</v>
      </c>
      <c r="AX93" s="1610"/>
      <c r="AY93" s="1602" t="e">
        <f>AY35*AY92</f>
        <v>#DIV/0!</v>
      </c>
      <c r="AZ93" s="1516"/>
      <c r="BA93" s="1515" t="e">
        <f>BA35*BA92</f>
        <v>#DIV/0!</v>
      </c>
      <c r="BB93" s="1516"/>
      <c r="BC93" s="1515" t="e">
        <f>IF(BC91&lt;1,0,BC35*BC92)</f>
        <v>#DIV/0!</v>
      </c>
      <c r="BD93" s="1516"/>
      <c r="BE93" s="1515" t="e">
        <f>IF(BE91&lt;1,0,BE35*BE92)</f>
        <v>#DIV/0!</v>
      </c>
      <c r="BF93" s="1612"/>
      <c r="BG93" s="1777" t="e">
        <f>BG35*BG92</f>
        <v>#DIV/0!</v>
      </c>
      <c r="BH93" s="1778"/>
      <c r="BI93" s="1779" t="e">
        <f>BI35*BI92</f>
        <v>#DIV/0!</v>
      </c>
      <c r="BJ93" s="1778"/>
      <c r="BK93" s="1779" t="e">
        <f>IF(BK91&lt;1,0,BK35*BK92)</f>
        <v>#DIV/0!</v>
      </c>
      <c r="BL93" s="1778"/>
      <c r="BM93" s="1779" t="e">
        <f>IF(BM91&lt;1,0,BM35*BM92)</f>
        <v>#DIV/0!</v>
      </c>
      <c r="BN93" s="1766"/>
    </row>
    <row r="94" spans="1:66">
      <c r="A94" s="71"/>
      <c r="C94" s="2359" t="e">
        <f>C34/IF(C36&lt;Assumptions!G92,Assumptions!G92,C36)</f>
        <v>#REF!</v>
      </c>
      <c r="D94" s="2060"/>
      <c r="E94" s="2359" t="e">
        <f>E34/E36</f>
        <v>#REF!</v>
      </c>
      <c r="F94" s="2060"/>
      <c r="G94" s="2359" t="e">
        <f>IF(G93=0,0,G34/G36)</f>
        <v>#REF!</v>
      </c>
      <c r="H94" s="2060"/>
      <c r="I94" s="2080" t="e">
        <f>IF(I93=0,0,I34/I36)</f>
        <v>#REF!</v>
      </c>
      <c r="K94" s="1541" t="e">
        <f>K34/IF(K36&lt;Assumptions!G103,Assumptions!G103,K36)</f>
        <v>#REF!</v>
      </c>
      <c r="L94" s="1486"/>
      <c r="M94" s="1541" t="e">
        <f>M34/M36</f>
        <v>#REF!</v>
      </c>
      <c r="N94" s="1486"/>
      <c r="O94" s="1541" t="e">
        <f>IF(O93=0,0,O34/O36)</f>
        <v>#REF!</v>
      </c>
      <c r="P94" s="1486"/>
      <c r="Q94" s="1464" t="e">
        <f>IF(Q93=0,0,Q34/Q36)</f>
        <v>#REF!</v>
      </c>
      <c r="R94" s="1568"/>
      <c r="S94" s="1563" t="e">
        <f>S34/IF(S36&lt;Assumptions!G112,Assumptions!G112,S36)</f>
        <v>#DIV/0!</v>
      </c>
      <c r="T94" s="1442"/>
      <c r="U94" s="1441" t="e">
        <f>U34/U36</f>
        <v>#DIV/0!</v>
      </c>
      <c r="V94" s="1442"/>
      <c r="W94" s="1441" t="e">
        <f>IF(W93=0,0,W34/W36)</f>
        <v>#DIV/0!</v>
      </c>
      <c r="X94" s="1442"/>
      <c r="Y94" s="1441" t="e">
        <f>IF(Y93=0,0,Y34/Y36)</f>
        <v>#DIV/0!</v>
      </c>
      <c r="Z94" s="1577"/>
      <c r="AA94" s="1572" t="e">
        <f>AA34/IF(AA36&lt;Assumptions!G121,Assumptions!G121,AA36)</f>
        <v>#DIV/0!</v>
      </c>
      <c r="AB94" s="1502"/>
      <c r="AC94" s="1501" t="e">
        <f>AC34/AC36</f>
        <v>#DIV/0!</v>
      </c>
      <c r="AD94" s="1502"/>
      <c r="AE94" s="1501" t="e">
        <f>IF(AE93=0,0,AE34/AE36)</f>
        <v>#DIV/0!</v>
      </c>
      <c r="AF94" s="1502"/>
      <c r="AG94" s="1501" t="e">
        <f>IF(AG93=0,0,AG34/AG36)</f>
        <v>#DIV/0!</v>
      </c>
      <c r="AH94" s="1586"/>
      <c r="AI94" s="1579" t="e">
        <f>AI34/IF(AI36&lt;Assumptions!G130,Assumptions!G130,AI36)</f>
        <v>#DIV/0!</v>
      </c>
      <c r="AJ94" s="1504"/>
      <c r="AK94" s="1503" t="e">
        <f>AK34/AK36</f>
        <v>#DIV/0!</v>
      </c>
      <c r="AL94" s="1504"/>
      <c r="AM94" s="1503" t="e">
        <f>IF(AM93=0,0,AM34/AM36)</f>
        <v>#DIV/0!</v>
      </c>
      <c r="AN94" s="1504"/>
      <c r="AO94" s="1503" t="e">
        <f>IF(AO93=0,0,AO34/AO36)</f>
        <v>#DIV/0!</v>
      </c>
      <c r="AP94" s="1597"/>
      <c r="AQ94" s="1590" t="e">
        <f>AQ34/IF(AQ36&lt;Assumptions!G139,Assumptions!G139,AQ36)</f>
        <v>#DIV/0!</v>
      </c>
      <c r="AR94" s="1506"/>
      <c r="AS94" s="1505" t="e">
        <f>AS34/AS36</f>
        <v>#DIV/0!</v>
      </c>
      <c r="AT94" s="1506"/>
      <c r="AU94" s="1505" t="e">
        <f>IF(AU93=0,0,AU34/AU36)</f>
        <v>#DIV/0!</v>
      </c>
      <c r="AV94" s="1506"/>
      <c r="AW94" s="1505" t="e">
        <f>IF(AW93=0,0,AW34/AW36)</f>
        <v>#DIV/0!</v>
      </c>
      <c r="AX94" s="1609"/>
      <c r="AY94" s="1601" t="e">
        <f>AY34/IF(AY36&lt;Assumptions!G148,Assumptions!G148,AY36)</f>
        <v>#DIV/0!</v>
      </c>
      <c r="AZ94" s="1508"/>
      <c r="BA94" s="1507" t="e">
        <f>BA34/BA36</f>
        <v>#DIV/0!</v>
      </c>
      <c r="BB94" s="1508"/>
      <c r="BC94" s="1507" t="e">
        <f>IF(BC93=0,0,BC34/BC36)</f>
        <v>#DIV/0!</v>
      </c>
      <c r="BD94" s="1508"/>
      <c r="BE94" s="1507" t="e">
        <f>IF(BE93=0,0,BE34/BE36)</f>
        <v>#DIV/0!</v>
      </c>
      <c r="BF94" s="1612"/>
      <c r="BG94" s="1774" t="e">
        <f>BG34/IF(BG36&lt;Assumptions!G157,Assumptions!G157,BG36)</f>
        <v>#DIV/0!</v>
      </c>
      <c r="BH94" s="1775"/>
      <c r="BI94" s="1776" t="e">
        <f>BI34/BI36</f>
        <v>#DIV/0!</v>
      </c>
      <c r="BJ94" s="1775"/>
      <c r="BK94" s="1776" t="e">
        <f>IF(BK93=0,0,BK34/BK36)</f>
        <v>#DIV/0!</v>
      </c>
      <c r="BL94" s="1775"/>
      <c r="BM94" s="1776" t="e">
        <f>IF(BM93=0,0,BM34/BM36)</f>
        <v>#DIV/0!</v>
      </c>
      <c r="BN94" s="1766"/>
    </row>
    <row r="95" spans="1:66">
      <c r="A95" s="71"/>
      <c r="C95" s="2365" t="e">
        <f>IF(C94=0,0,IF(C93/C94&lt;3147,3147,C93/C94))</f>
        <v>#REF!</v>
      </c>
      <c r="D95" s="2366"/>
      <c r="E95" s="2365" t="e">
        <f>IF(E94=0,0,IF(E93/E94&lt;3147,3147,E93/E94))</f>
        <v>#REF!</v>
      </c>
      <c r="F95" s="2366"/>
      <c r="G95" s="2365" t="e">
        <f>IF(G94=0,0,IF(G93/G94&lt;72,72,G93/G94))</f>
        <v>#REF!</v>
      </c>
      <c r="H95" s="2366"/>
      <c r="I95" s="2367" t="e">
        <f>IF(I94=0,0,IF(I93/I94&lt;72,72,I93/I94))</f>
        <v>#REF!</v>
      </c>
      <c r="K95" s="1541" t="e">
        <f>IF(K94=0,0,IF(K93/K94&lt;3392,3392,K93/K94))</f>
        <v>#REF!</v>
      </c>
      <c r="L95" s="1548"/>
      <c r="M95" s="1541" t="e">
        <f>IF(M94=0,0,IF(M93/M94&lt;3392,3392,M93/M94))</f>
        <v>#REF!</v>
      </c>
      <c r="N95" s="1548"/>
      <c r="O95" s="1541" t="e">
        <f>IF(O94=0,0,IF(O93/O94&lt;84.777,84.777,O93/O94))</f>
        <v>#REF!</v>
      </c>
      <c r="P95" s="1548"/>
      <c r="Q95" s="1464" t="e">
        <f>IF(Q94=0,0,IF(Q93/Q94&lt;84.777,84.777,Q93/Q94))</f>
        <v>#REF!</v>
      </c>
      <c r="R95" s="1568"/>
      <c r="S95" s="1563" t="e">
        <f>IF(S94=0,0,IF(S93/S94&lt;3618,3618,S93/S94))</f>
        <v>#DIV/0!</v>
      </c>
      <c r="T95" s="1442"/>
      <c r="U95" s="1441" t="e">
        <f>IF(U94=0,0,IF(U93/U94&lt;3618,3618,U93/U94))</f>
        <v>#DIV/0!</v>
      </c>
      <c r="V95" s="1442"/>
      <c r="W95" s="1441" t="e">
        <f>IF(W94=0,0,IF(W93/W94&lt;84.777,84.777,W93/W94))</f>
        <v>#DIV/0!</v>
      </c>
      <c r="X95" s="1442"/>
      <c r="Y95" s="1441" t="e">
        <f>IF(Y94=0,0,IF(Y93/Y94&lt;84.777,84.777,Y93/Y94))</f>
        <v>#DIV/0!</v>
      </c>
      <c r="Z95" s="1577"/>
      <c r="AA95" s="1572" t="e">
        <f>IF(AA94=0,0,IF(AA93/AA94&lt;3618,3618,AA93/AA94))</f>
        <v>#DIV/0!</v>
      </c>
      <c r="AB95" s="1502"/>
      <c r="AC95" s="1501" t="e">
        <f>IF(AC94=0,0,IF(AC93/AC94&lt;3618,3618,AC93/AC94))</f>
        <v>#DIV/0!</v>
      </c>
      <c r="AD95" s="1502"/>
      <c r="AE95" s="1501" t="e">
        <f>IF(AE94=0,0,IF(AE93/AE94&lt;84.777,84.777,AE93/AE94))</f>
        <v>#DIV/0!</v>
      </c>
      <c r="AF95" s="1502"/>
      <c r="AG95" s="1501" t="e">
        <f>IF(AG94=0,0,IF(AG93/AG94&lt;84.777,84.777,AG93/AG94))</f>
        <v>#DIV/0!</v>
      </c>
      <c r="AH95" s="1586"/>
      <c r="AI95" s="1579" t="e">
        <f>IF(AI94=0,0,IF(AI93/AI94&lt;3618,3618,AI93/AI94))</f>
        <v>#DIV/0!</v>
      </c>
      <c r="AJ95" s="1504"/>
      <c r="AK95" s="1503" t="e">
        <f>IF(AK94=0,0,IF(AK93/AK94&lt;3618,3618,AK93/AK94))</f>
        <v>#DIV/0!</v>
      </c>
      <c r="AL95" s="1504"/>
      <c r="AM95" s="1503" t="e">
        <f>IF(AM94=0,0,IF(AM93/AM94&lt;84.777,84.777,AM93/AM94))</f>
        <v>#DIV/0!</v>
      </c>
      <c r="AN95" s="1504"/>
      <c r="AO95" s="1503" t="e">
        <f>IF(AO94=0,0,IF(AO93/AO94&lt;84.777,84.777,AO93/AO94))</f>
        <v>#DIV/0!</v>
      </c>
      <c r="AP95" s="1597"/>
      <c r="AQ95" s="1590" t="e">
        <f>IF(AQ94=0,0,IF(AQ93/AQ94&lt;3618,3618,AQ93/AQ94))</f>
        <v>#DIV/0!</v>
      </c>
      <c r="AR95" s="1506"/>
      <c r="AS95" s="1505" t="e">
        <f>IF(AS94=0,0,IF(AS93/AS94&lt;3618,3618,AS93/AS94))</f>
        <v>#DIV/0!</v>
      </c>
      <c r="AT95" s="1506"/>
      <c r="AU95" s="1505" t="e">
        <f>IF(AU94=0,0,IF(AU93/AU94&lt;84.777,84.777,AU93/AU94))</f>
        <v>#DIV/0!</v>
      </c>
      <c r="AV95" s="1506"/>
      <c r="AW95" s="1505" t="e">
        <f>IF(AW94=0,0,IF(AW93/AW94&lt;84.777,84.777,AW93/AW94))</f>
        <v>#DIV/0!</v>
      </c>
      <c r="AX95" s="1609"/>
      <c r="AY95" s="1601" t="e">
        <f>IF(AY94=0,0,IF(AY93/AY94&lt;3618,3618,AY93/AY94))</f>
        <v>#DIV/0!</v>
      </c>
      <c r="AZ95" s="1508"/>
      <c r="BA95" s="1507" t="e">
        <f>IF(BA94=0,0,IF(BA93/BA94&lt;3618,3618,BA93/BA94))</f>
        <v>#DIV/0!</v>
      </c>
      <c r="BB95" s="1508"/>
      <c r="BC95" s="1507" t="e">
        <f>IF(BC94=0,0,IF(BC93/BC94&lt;84.777,84.777,BC93/BC94))</f>
        <v>#DIV/0!</v>
      </c>
      <c r="BD95" s="1508"/>
      <c r="BE95" s="1507" t="e">
        <f>IF(BE94=0,0,IF(BE93/BE94&lt;84.777,84.777,BE93/BE94))</f>
        <v>#DIV/0!</v>
      </c>
      <c r="BF95" s="1612"/>
      <c r="BG95" s="1774" t="e">
        <f>IF(BG94=0,0,IF(BG93/BG94&lt;3618,3618,BG93/BG94))</f>
        <v>#DIV/0!</v>
      </c>
      <c r="BH95" s="1775"/>
      <c r="BI95" s="1776" t="e">
        <f>IF(BI94=0,0,IF(BI93/BI94&lt;3618,3618,BI93/BI94))</f>
        <v>#DIV/0!</v>
      </c>
      <c r="BJ95" s="1775"/>
      <c r="BK95" s="1776" t="e">
        <f>IF(BK94=0,0,IF(BK93/BK94&lt;84.777,84.777,BK93/BK94))</f>
        <v>#DIV/0!</v>
      </c>
      <c r="BL95" s="1775"/>
      <c r="BM95" s="1776" t="e">
        <f>IF(BM94=0,0,IF(BM93/BM94&lt;84.777,84.777,BM93/BM94))</f>
        <v>#DIV/0!</v>
      </c>
      <c r="BN95" s="1766"/>
    </row>
    <row r="96" spans="1:66">
      <c r="A96" s="71"/>
      <c r="C96" s="2359" t="e">
        <f>IF(OR('Data Entry - SOF'!C140=0,C95=0),0,IF('Data Entry - SOF'!C140&gt;C95,(C95*'Data Entry - SOF'!C139)/C95,('Data Entry - SOF'!C140*'Data Entry - SOF'!C139)/C95))</f>
        <v>#REF!</v>
      </c>
      <c r="D96" s="2060"/>
      <c r="E96" s="2359" t="e">
        <f>C96</f>
        <v>#REF!</v>
      </c>
      <c r="F96" s="2060"/>
      <c r="G96" s="2359" t="e">
        <f>IF(OR('Data Entry - SOF'!C181=0,G95=0),0,IF('Data Entry - SOF'!C181&gt;G95,(G95*'Data Entry - SOF'!C180)/G95,('Data Entry - SOF'!C181*'Data Entry - SOF'!C180)/G95))</f>
        <v>#REF!</v>
      </c>
      <c r="H96" s="2060"/>
      <c r="I96" s="2080" t="e">
        <f>G96</f>
        <v>#REF!</v>
      </c>
      <c r="K96" s="1541" t="e">
        <f>IF(OR('Data Entry - SOF'!#REF!=0,K95=0),0,IF('Data Entry - SOF'!#REF!&gt;K95,(K95*'Data Entry - SOF'!#REF!)/K95,('Data Entry - SOF'!#REF!*'Data Entry - SOF'!#REF!)/K95))</f>
        <v>#REF!</v>
      </c>
      <c r="L96" s="1486"/>
      <c r="M96" s="1541" t="e">
        <f>K96</f>
        <v>#REF!</v>
      </c>
      <c r="N96" s="1486"/>
      <c r="O96" s="1541" t="e">
        <f>IF(OR('Data Entry - SOF'!#REF!=0,O95=0),0,IF('Data Entry - SOF'!#REF!&gt;O95,(O95*'Data Entry - SOF'!#REF!)/O95,('Data Entry - SOF'!#REF!*'Data Entry - SOF'!#REF!)/O95))</f>
        <v>#REF!</v>
      </c>
      <c r="P96" s="1486"/>
      <c r="Q96" s="1464" t="e">
        <f>O96</f>
        <v>#REF!</v>
      </c>
      <c r="R96" s="1568"/>
      <c r="S96" s="1563" t="e">
        <f>IF(OR('Data Entry - SOF'!E140=0,S95=0),0,IF('Data Entry - SOF'!E140&gt;S95,(S95*'Data Entry - SOF'!E139)/S95,('Data Entry - SOF'!E140*'Data Entry - SOF'!E139)/S95))</f>
        <v>#DIV/0!</v>
      </c>
      <c r="T96" s="1442"/>
      <c r="U96" s="1441" t="e">
        <f>S96</f>
        <v>#DIV/0!</v>
      </c>
      <c r="V96" s="1442"/>
      <c r="W96" s="1441" t="e">
        <f>IF(OR('Data Entry - SOF'!E181=0,W95=0),0,IF('Data Entry - SOF'!E181&gt;W95,(W95*'Data Entry - SOF'!E180)/W95,('Data Entry - SOF'!E181*'Data Entry - SOF'!E180)/W95))</f>
        <v>#DIV/0!</v>
      </c>
      <c r="X96" s="1442"/>
      <c r="Y96" s="1441" t="e">
        <f>W96</f>
        <v>#DIV/0!</v>
      </c>
      <c r="Z96" s="1577"/>
      <c r="AA96" s="1572" t="e">
        <f>IF(OR('Data Entry - SOF'!G140=0,AA95=0),0,IF('Data Entry - SOF'!G140&gt;AA95,(AA95*'Data Entry - SOF'!G139)/AA95,('Data Entry - SOF'!G140*'Data Entry - SOF'!G139)/AA95))</f>
        <v>#DIV/0!</v>
      </c>
      <c r="AB96" s="1502"/>
      <c r="AC96" s="1501" t="e">
        <f>AA96</f>
        <v>#DIV/0!</v>
      </c>
      <c r="AD96" s="1502"/>
      <c r="AE96" s="1501" t="e">
        <f>IF(OR('Data Entry - SOF'!G181=0,AE95=0),0,IF('Data Entry - SOF'!G181&gt;AE95,(AE95*'Data Entry - SOF'!G180)/AE95,('Data Entry - SOF'!G181*'Data Entry - SOF'!G180)/AE95))</f>
        <v>#DIV/0!</v>
      </c>
      <c r="AF96" s="1502"/>
      <c r="AG96" s="1501" t="e">
        <f>AE96</f>
        <v>#DIV/0!</v>
      </c>
      <c r="AH96" s="1586"/>
      <c r="AI96" s="1579" t="e">
        <f>IF(OR('Data Entry - SOF'!M140=0,AI95=0),0,IF('Data Entry - SOF'!M140&gt;AI95,(AI95*'Data Entry - SOF'!M139)/AI95,('Data Entry - SOF'!M140*'Data Entry - SOF'!M139)/AI95))</f>
        <v>#DIV/0!</v>
      </c>
      <c r="AJ96" s="1504"/>
      <c r="AK96" s="1503" t="e">
        <f>AI96</f>
        <v>#DIV/0!</v>
      </c>
      <c r="AL96" s="1504"/>
      <c r="AM96" s="1503" t="e">
        <f>IF(OR('Data Entry - SOF'!M181=0,AM95=0),0,IF('Data Entry - SOF'!M181&gt;AM95,(AM95*'Data Entry - SOF'!M180)/AM95,('Data Entry - SOF'!M181*'Data Entry - SOF'!M180)/AM95))</f>
        <v>#DIV/0!</v>
      </c>
      <c r="AN96" s="1504"/>
      <c r="AO96" s="1503" t="e">
        <f>AM96</f>
        <v>#DIV/0!</v>
      </c>
      <c r="AP96" s="1597"/>
      <c r="AQ96" s="1590" t="e">
        <f>IF(OR('Data Entry - SOF'!O140=0,AQ95=0),0,IF('Data Entry - SOF'!O140&gt;AQ95,(AQ95*'Data Entry - SOF'!O139)/AQ95,('Data Entry - SOF'!O140*'Data Entry - SOF'!O139)/AQ95))</f>
        <v>#DIV/0!</v>
      </c>
      <c r="AR96" s="1506"/>
      <c r="AS96" s="1505" t="e">
        <f>AQ96</f>
        <v>#DIV/0!</v>
      </c>
      <c r="AT96" s="1506"/>
      <c r="AU96" s="1505" t="e">
        <f>IF(OR('Data Entry - SOF'!O181=0,AU95=0),0,IF('Data Entry - SOF'!O181&gt;AU95,(AU95*'Data Entry - SOF'!O180)/AU95,('Data Entry - SOF'!O181*'Data Entry - SOF'!O180)/AU95))</f>
        <v>#DIV/0!</v>
      </c>
      <c r="AV96" s="1506"/>
      <c r="AW96" s="1505" t="e">
        <f>AU96</f>
        <v>#DIV/0!</v>
      </c>
      <c r="AX96" s="1609"/>
      <c r="AY96" s="1601" t="e">
        <f>IF(OR('Data Entry - SOF'!Q140=0,AY95=0),0,IF('Data Entry - SOF'!Q140&gt;AY95,(AY95*'Data Entry - SOF'!Q139)/AY95,('Data Entry - SOF'!Q140*'Data Entry - SOF'!Q139)/AY95))</f>
        <v>#DIV/0!</v>
      </c>
      <c r="AZ96" s="1508"/>
      <c r="BA96" s="1507" t="e">
        <f>AY96</f>
        <v>#DIV/0!</v>
      </c>
      <c r="BB96" s="1508"/>
      <c r="BC96" s="1507" t="e">
        <f>IF(OR('Data Entry - SOF'!Q181=0,BC95=0),0,IF('Data Entry - SOF'!Q181&gt;BC95,(BC95*'Data Entry - SOF'!Q180)/BC95,('Data Entry - SOF'!Q181*'Data Entry - SOF'!Q180)/BC95))</f>
        <v>#DIV/0!</v>
      </c>
      <c r="BD96" s="1508"/>
      <c r="BE96" s="1507" t="e">
        <f>BC96</f>
        <v>#DIV/0!</v>
      </c>
      <c r="BF96" s="1612"/>
      <c r="BG96" s="1774" t="e">
        <f>IF(OR('Data Entry - SOF'!S140=0,BG95=0),0,IF('Data Entry - SOF'!S140&gt;BG95,(BG95*'Data Entry - SOF'!S139)/BG95,('Data Entry - SOF'!S140*'Data Entry - SOF'!S139)/BG95))</f>
        <v>#DIV/0!</v>
      </c>
      <c r="BH96" s="1775"/>
      <c r="BI96" s="1776" t="e">
        <f>BG96</f>
        <v>#DIV/0!</v>
      </c>
      <c r="BJ96" s="1775"/>
      <c r="BK96" s="1776" t="e">
        <f>IF(OR('Data Entry - SOF'!S181=0,BK95=0),0,IF('Data Entry - SOF'!S181&gt;BK95,(BK95*'Data Entry - SOF'!S180)/BK95,('Data Entry - SOF'!S181*'Data Entry - SOF'!S180)/BK95))</f>
        <v>#DIV/0!</v>
      </c>
      <c r="BL96" s="1775"/>
      <c r="BM96" s="1776" t="e">
        <f>BK96</f>
        <v>#DIV/0!</v>
      </c>
      <c r="BN96" s="1766"/>
    </row>
    <row r="97" spans="1:66">
      <c r="A97" s="71"/>
      <c r="C97" s="2359">
        <v>0</v>
      </c>
      <c r="D97" s="2060"/>
      <c r="E97" s="2359">
        <v>0</v>
      </c>
      <c r="F97" s="2060"/>
      <c r="G97" s="2359">
        <v>0</v>
      </c>
      <c r="H97" s="2060"/>
      <c r="I97" s="2080">
        <v>0</v>
      </c>
      <c r="K97" s="1541">
        <v>0</v>
      </c>
      <c r="L97" s="1486"/>
      <c r="M97" s="1541">
        <v>0</v>
      </c>
      <c r="N97" s="1486"/>
      <c r="O97" s="1541">
        <v>0</v>
      </c>
      <c r="P97" s="1486"/>
      <c r="Q97" s="1464">
        <v>0</v>
      </c>
      <c r="R97" s="1568"/>
      <c r="S97" s="1563">
        <v>0</v>
      </c>
      <c r="T97" s="1442"/>
      <c r="U97" s="1441">
        <v>0</v>
      </c>
      <c r="V97" s="1442"/>
      <c r="W97" s="1441">
        <v>0</v>
      </c>
      <c r="X97" s="1442"/>
      <c r="Y97" s="1441">
        <v>0</v>
      </c>
      <c r="Z97" s="1577"/>
      <c r="AA97" s="1572">
        <v>0</v>
      </c>
      <c r="AB97" s="1502"/>
      <c r="AC97" s="1501">
        <v>0</v>
      </c>
      <c r="AD97" s="1502"/>
      <c r="AE97" s="1501">
        <v>0</v>
      </c>
      <c r="AF97" s="1502"/>
      <c r="AG97" s="1501">
        <v>0</v>
      </c>
      <c r="AH97" s="1586"/>
      <c r="AI97" s="1579">
        <v>0</v>
      </c>
      <c r="AJ97" s="1504"/>
      <c r="AK97" s="1503">
        <v>0</v>
      </c>
      <c r="AL97" s="1504"/>
      <c r="AM97" s="1503">
        <v>0</v>
      </c>
      <c r="AN97" s="1504"/>
      <c r="AO97" s="1503">
        <v>0</v>
      </c>
      <c r="AP97" s="1597"/>
      <c r="AQ97" s="1590">
        <v>0</v>
      </c>
      <c r="AR97" s="1506"/>
      <c r="AS97" s="1505">
        <v>0</v>
      </c>
      <c r="AT97" s="1506"/>
      <c r="AU97" s="1505">
        <v>0</v>
      </c>
      <c r="AV97" s="1506"/>
      <c r="AW97" s="1505">
        <v>0</v>
      </c>
      <c r="AX97" s="1609"/>
      <c r="AY97" s="1601">
        <v>0</v>
      </c>
      <c r="AZ97" s="1508"/>
      <c r="BA97" s="1507">
        <v>0</v>
      </c>
      <c r="BB97" s="1508"/>
      <c r="BC97" s="1507">
        <v>0</v>
      </c>
      <c r="BD97" s="1508"/>
      <c r="BE97" s="1507">
        <v>0</v>
      </c>
      <c r="BF97" s="1612"/>
      <c r="BG97" s="1774">
        <v>0</v>
      </c>
      <c r="BH97" s="1775"/>
      <c r="BI97" s="1776">
        <v>0</v>
      </c>
      <c r="BJ97" s="1775"/>
      <c r="BK97" s="1776">
        <v>0</v>
      </c>
      <c r="BL97" s="1775"/>
      <c r="BM97" s="1776">
        <v>0</v>
      </c>
      <c r="BN97" s="1766"/>
    </row>
    <row r="98" spans="1:66">
      <c r="A98" s="71"/>
      <c r="C98" s="2359" t="e">
        <f>IF(C94-C96-C97&lt;0,0,C94-C96-C97)</f>
        <v>#REF!</v>
      </c>
      <c r="D98" s="2060"/>
      <c r="E98" s="2359" t="e">
        <f>IF(E94-E96-E97&lt;0,0,E94-E96-E97)</f>
        <v>#REF!</v>
      </c>
      <c r="F98" s="2060"/>
      <c r="G98" s="2359" t="e">
        <f>IF(G94-G96-G97&lt;0,0,G94-G96-G97)</f>
        <v>#REF!</v>
      </c>
      <c r="H98" s="2060"/>
      <c r="I98" s="2080" t="e">
        <f>IF(I94-I96-I97&lt;0,0,I94-I96-I97)</f>
        <v>#REF!</v>
      </c>
      <c r="K98" s="1541" t="e">
        <f>IF(K94-K96-K97&lt;0,0,K94-K96-K97)</f>
        <v>#REF!</v>
      </c>
      <c r="L98" s="1486"/>
      <c r="M98" s="1541" t="e">
        <f>IF(M94-M96-M97&lt;0,0,M94-M96-M97)</f>
        <v>#REF!</v>
      </c>
      <c r="N98" s="1486"/>
      <c r="O98" s="1541" t="e">
        <f>IF(O94-O96-O97&lt;0,0,O94-O96-O97)</f>
        <v>#REF!</v>
      </c>
      <c r="P98" s="1486"/>
      <c r="Q98" s="1464" t="e">
        <f>IF(Q94-Q96-Q97&lt;0,0,Q94-Q96-Q97)</f>
        <v>#REF!</v>
      </c>
      <c r="R98" s="1568"/>
      <c r="S98" s="1563" t="e">
        <f>IF(S94-S96-S97&lt;0,0,S94-S96-S97)</f>
        <v>#DIV/0!</v>
      </c>
      <c r="T98" s="1442"/>
      <c r="U98" s="1441" t="e">
        <f>IF(U94-U96-U97&lt;0,0,U94-U96-U97)</f>
        <v>#DIV/0!</v>
      </c>
      <c r="V98" s="1442"/>
      <c r="W98" s="1441" t="e">
        <f>IF(W94-W96-W97&lt;0,0,W94-W96-W97)</f>
        <v>#DIV/0!</v>
      </c>
      <c r="X98" s="1442"/>
      <c r="Y98" s="1441" t="e">
        <f>IF(Y94-Y96-Y97&lt;0,0,Y94-Y96-Y97)</f>
        <v>#DIV/0!</v>
      </c>
      <c r="Z98" s="1577"/>
      <c r="AA98" s="1572" t="e">
        <f>IF(AA94-AA96-AA97&lt;0,0,AA94-AA96-AA97)</f>
        <v>#DIV/0!</v>
      </c>
      <c r="AB98" s="1502"/>
      <c r="AC98" s="1501" t="e">
        <f>IF(AC94-AC96-AC97&lt;0,0,AC94-AC96-AC97)</f>
        <v>#DIV/0!</v>
      </c>
      <c r="AD98" s="1502"/>
      <c r="AE98" s="1501" t="e">
        <f>IF(AE94-AE96-AE97&lt;0,0,AE94-AE96-AE97)</f>
        <v>#DIV/0!</v>
      </c>
      <c r="AF98" s="1502"/>
      <c r="AG98" s="1501" t="e">
        <f>IF(AG94-AG96-AG97&lt;0,0,AG94-AG96-AG97)</f>
        <v>#DIV/0!</v>
      </c>
      <c r="AH98" s="1586"/>
      <c r="AI98" s="1579" t="e">
        <f>IF(AI94-AI96-AI97&lt;0,0,AI94-AI96-AI97)</f>
        <v>#DIV/0!</v>
      </c>
      <c r="AJ98" s="1504"/>
      <c r="AK98" s="1503" t="e">
        <f>IF(AK94-AK96-AK97&lt;0,0,AK94-AK96-AK97)</f>
        <v>#DIV/0!</v>
      </c>
      <c r="AL98" s="1504"/>
      <c r="AM98" s="1503" t="e">
        <f>IF(AM94-AM96-AM97&lt;0,0,AM94-AM96-AM97)</f>
        <v>#DIV/0!</v>
      </c>
      <c r="AN98" s="1504"/>
      <c r="AO98" s="1503" t="e">
        <f>IF(AO94-AO96-AO97&lt;0,0,AO94-AO96-AO97)</f>
        <v>#DIV/0!</v>
      </c>
      <c r="AP98" s="1597"/>
      <c r="AQ98" s="1590" t="e">
        <f>IF(AQ94-AQ96-AQ97&lt;0,0,AQ94-AQ96-AQ97)</f>
        <v>#DIV/0!</v>
      </c>
      <c r="AR98" s="1506"/>
      <c r="AS98" s="1505" t="e">
        <f>IF(AS94-AS96-AS97&lt;0,0,AS94-AS96-AS97)</f>
        <v>#DIV/0!</v>
      </c>
      <c r="AT98" s="1506"/>
      <c r="AU98" s="1505" t="e">
        <f>IF(AU94-AU96-AU97&lt;0,0,AU94-AU96-AU97)</f>
        <v>#DIV/0!</v>
      </c>
      <c r="AV98" s="1506"/>
      <c r="AW98" s="1505" t="e">
        <f>IF(AW94-AW96-AW97&lt;0,0,AW94-AW96-AW97)</f>
        <v>#DIV/0!</v>
      </c>
      <c r="AX98" s="1609"/>
      <c r="AY98" s="1601" t="e">
        <f>IF(AY94-AY96-AY97&lt;0,0,AY94-AY96-AY97)</f>
        <v>#DIV/0!</v>
      </c>
      <c r="AZ98" s="1508"/>
      <c r="BA98" s="1507" t="e">
        <f>IF(BA94-BA96-BA97&lt;0,0,BA94-BA96-BA97)</f>
        <v>#DIV/0!</v>
      </c>
      <c r="BB98" s="1508"/>
      <c r="BC98" s="1507" t="e">
        <f>IF(BC94-BC96-BC97&lt;0,0,BC94-BC96-BC97)</f>
        <v>#DIV/0!</v>
      </c>
      <c r="BD98" s="1508"/>
      <c r="BE98" s="1507" t="e">
        <f>IF(BE94-BE96-BE97&lt;0,0,BE94-BE96-BE97)</f>
        <v>#DIV/0!</v>
      </c>
      <c r="BF98" s="1612"/>
      <c r="BG98" s="1774" t="e">
        <f>IF(BG94-BG96-BG97&lt;0,0,BG94-BG96-BG97)</f>
        <v>#DIV/0!</v>
      </c>
      <c r="BH98" s="1775"/>
      <c r="BI98" s="1776" t="e">
        <f>IF(BI94-BI96-BI97&lt;0,0,BI94-BI96-BI97)</f>
        <v>#DIV/0!</v>
      </c>
      <c r="BJ98" s="1775"/>
      <c r="BK98" s="1776" t="e">
        <f>IF(BK94-BK96-BK97&lt;0,0,BK94-BK96-BK97)</f>
        <v>#DIV/0!</v>
      </c>
      <c r="BL98" s="1775"/>
      <c r="BM98" s="1776" t="e">
        <f>IF(BM94-BM96-BM97&lt;0,0,BM94-BM96-BM97)</f>
        <v>#DIV/0!</v>
      </c>
      <c r="BN98" s="1766"/>
    </row>
    <row r="99" spans="1:66">
      <c r="A99" s="71"/>
      <c r="C99" s="2083" t="e">
        <f>IF(C98=0,0,C98*C95)</f>
        <v>#REF!</v>
      </c>
      <c r="D99" s="2057"/>
      <c r="E99" s="2083" t="e">
        <f>IF(E98=0,0,E98*E95)</f>
        <v>#REF!</v>
      </c>
      <c r="F99" s="2057"/>
      <c r="G99" s="2083" t="e">
        <f>IF(G98=0,0,G98*G95)</f>
        <v>#REF!</v>
      </c>
      <c r="H99" s="2057"/>
      <c r="I99" s="2084" t="e">
        <f>IF(I98=0,0,I98*I95)</f>
        <v>#REF!</v>
      </c>
      <c r="K99" s="1547" t="e">
        <f>IF(K98=0,0,K98*K95)</f>
        <v>#REF!</v>
      </c>
      <c r="L99" s="1484"/>
      <c r="M99" s="1547" t="e">
        <f>IF(M98=0,0,M98*M95)</f>
        <v>#REF!</v>
      </c>
      <c r="N99" s="1484"/>
      <c r="O99" s="1547" t="e">
        <f>IF(O98=0,0,O98*O95)</f>
        <v>#REF!</v>
      </c>
      <c r="P99" s="1484"/>
      <c r="Q99" s="1463" t="e">
        <f>IF(Q98=0,0,Q98*Q95)</f>
        <v>#REF!</v>
      </c>
      <c r="R99" s="1570"/>
      <c r="S99" s="1564" t="e">
        <f>IF(S98=0,0,S98*S95)</f>
        <v>#DIV/0!</v>
      </c>
      <c r="T99" s="1440"/>
      <c r="U99" s="1439" t="e">
        <f>IF(U98=0,0,U98*U95)</f>
        <v>#DIV/0!</v>
      </c>
      <c r="V99" s="1440"/>
      <c r="W99" s="1439" t="e">
        <f>IF(W98=0,0,W98*W95)</f>
        <v>#DIV/0!</v>
      </c>
      <c r="X99" s="1440"/>
      <c r="Y99" s="1439" t="e">
        <f>IF(Y98=0,0,Y98*Y95)</f>
        <v>#DIV/0!</v>
      </c>
      <c r="Z99" s="1561"/>
      <c r="AA99" s="1573" t="e">
        <f>IF(AA98=0,0,AA98*AA95)</f>
        <v>#DIV/0!</v>
      </c>
      <c r="AB99" s="1510"/>
      <c r="AC99" s="1509" t="e">
        <f>IF(AC98=0,0,AC98*AC95)</f>
        <v>#DIV/0!</v>
      </c>
      <c r="AD99" s="1510"/>
      <c r="AE99" s="1509" t="e">
        <f>IF(AE98=0,0,AE98*AE95)</f>
        <v>#DIV/0!</v>
      </c>
      <c r="AF99" s="1510"/>
      <c r="AG99" s="1509" t="e">
        <f>IF(AG98=0,0,AG98*AG95)</f>
        <v>#DIV/0!</v>
      </c>
      <c r="AH99" s="1587"/>
      <c r="AI99" s="1426" t="e">
        <f>IF(AI98=0,0,AI98*AI95)</f>
        <v>#DIV/0!</v>
      </c>
      <c r="AJ99" s="1512"/>
      <c r="AK99" s="1511" t="e">
        <f>IF(AK98=0,0,AK98*AK95)</f>
        <v>#DIV/0!</v>
      </c>
      <c r="AL99" s="1512"/>
      <c r="AM99" s="1511" t="e">
        <f>IF(AM98=0,0,AM98*AM95)</f>
        <v>#DIV/0!</v>
      </c>
      <c r="AN99" s="1512"/>
      <c r="AO99" s="1511" t="e">
        <f>IF(AO98=0,0,AO98*AO95)</f>
        <v>#DIV/0!</v>
      </c>
      <c r="AP99" s="1598"/>
      <c r="AQ99" s="1591" t="e">
        <f>IF(AQ98=0,0,AQ98*AQ95)</f>
        <v>#DIV/0!</v>
      </c>
      <c r="AR99" s="1514"/>
      <c r="AS99" s="1513" t="e">
        <f>IF(AS98=0,0,AS98*AS95)</f>
        <v>#DIV/0!</v>
      </c>
      <c r="AT99" s="1514"/>
      <c r="AU99" s="1513" t="e">
        <f>IF(AU98=0,0,AU98*AU95)</f>
        <v>#DIV/0!</v>
      </c>
      <c r="AV99" s="1514"/>
      <c r="AW99" s="1513" t="e">
        <f>IF(AW98=0,0,AW98*AW95)</f>
        <v>#DIV/0!</v>
      </c>
      <c r="AX99" s="1610"/>
      <c r="AY99" s="1602" t="e">
        <f>IF(AY98=0,0,AY98*AY95)</f>
        <v>#DIV/0!</v>
      </c>
      <c r="AZ99" s="1516"/>
      <c r="BA99" s="1515" t="e">
        <f>IF(BA98=0,0,BA98*BA95)</f>
        <v>#DIV/0!</v>
      </c>
      <c r="BB99" s="1516"/>
      <c r="BC99" s="1515" t="e">
        <f>IF(BC98=0,0,BC98*BC95)</f>
        <v>#DIV/0!</v>
      </c>
      <c r="BD99" s="1516"/>
      <c r="BE99" s="1515" t="e">
        <f>IF(BE98=0,0,BE98*BE95)</f>
        <v>#DIV/0!</v>
      </c>
      <c r="BF99" s="1612"/>
      <c r="BG99" s="1777" t="e">
        <f>IF(BG98=0,0,BG98*BG95)</f>
        <v>#DIV/0!</v>
      </c>
      <c r="BH99" s="1778"/>
      <c r="BI99" s="1779" t="e">
        <f>IF(BI98=0,0,BI98*BI95)</f>
        <v>#DIV/0!</v>
      </c>
      <c r="BJ99" s="1778"/>
      <c r="BK99" s="1779" t="e">
        <f>IF(BK98=0,0,BK98*BK95)</f>
        <v>#DIV/0!</v>
      </c>
      <c r="BL99" s="1778"/>
      <c r="BM99" s="1779" t="e">
        <f>IF(BM98=0,0,BM98*BM95)</f>
        <v>#DIV/0!</v>
      </c>
      <c r="BN99" s="1766"/>
    </row>
    <row r="100" spans="1:66">
      <c r="A100" s="71"/>
      <c r="I100" s="2070"/>
      <c r="K100" s="1484"/>
      <c r="L100" s="1484"/>
      <c r="M100" s="1484"/>
      <c r="N100" s="1484"/>
      <c r="O100" s="1484"/>
      <c r="P100" s="1484"/>
      <c r="Q100" s="1540"/>
      <c r="R100" s="1570"/>
      <c r="S100" s="1440"/>
      <c r="T100" s="1440"/>
      <c r="U100" s="1440"/>
      <c r="V100" s="1440"/>
      <c r="W100" s="1440"/>
      <c r="X100" s="1440"/>
      <c r="Y100" s="1440"/>
      <c r="Z100" s="1561"/>
      <c r="AA100" s="1510"/>
      <c r="AB100" s="1510"/>
      <c r="AC100" s="1510"/>
      <c r="AD100" s="1510"/>
      <c r="AE100" s="1510"/>
      <c r="AF100" s="1510"/>
      <c r="AG100" s="1510"/>
      <c r="AH100" s="1587"/>
      <c r="AI100" s="1512"/>
      <c r="AJ100" s="1512"/>
      <c r="AK100" s="1512"/>
      <c r="AL100" s="1512"/>
      <c r="AM100" s="1512"/>
      <c r="AN100" s="1512"/>
      <c r="AO100" s="1512"/>
      <c r="AP100" s="1598"/>
      <c r="AQ100" s="1514"/>
      <c r="AR100" s="1514"/>
      <c r="AS100" s="1514"/>
      <c r="AT100" s="1514"/>
      <c r="AU100" s="1514"/>
      <c r="AV100" s="1514"/>
      <c r="AW100" s="1514"/>
      <c r="AX100" s="1610"/>
      <c r="AY100" s="1516"/>
      <c r="AZ100" s="1516"/>
      <c r="BA100" s="1516"/>
      <c r="BB100" s="1516"/>
      <c r="BC100" s="1516"/>
      <c r="BD100" s="1516"/>
      <c r="BE100" s="1516"/>
      <c r="BF100" s="1612"/>
      <c r="BG100" s="1778"/>
      <c r="BH100" s="1778"/>
      <c r="BI100" s="1778"/>
      <c r="BJ100" s="1778"/>
      <c r="BK100" s="1778"/>
      <c r="BL100" s="1778"/>
      <c r="BM100" s="1778"/>
      <c r="BN100" s="1766"/>
    </row>
    <row r="101" spans="1:66">
      <c r="A101" s="71"/>
      <c r="I101" s="2070"/>
      <c r="K101" s="1484"/>
      <c r="L101" s="1484"/>
      <c r="M101" s="1484"/>
      <c r="N101" s="1484"/>
      <c r="O101" s="1484"/>
      <c r="P101" s="1484"/>
      <c r="Q101" s="1540"/>
      <c r="R101" s="1570"/>
      <c r="S101" s="1440"/>
      <c r="T101" s="1440"/>
      <c r="U101" s="1440"/>
      <c r="V101" s="1440"/>
      <c r="W101" s="1440"/>
      <c r="X101" s="1440"/>
      <c r="Y101" s="1440"/>
      <c r="Z101" s="1561"/>
      <c r="AA101" s="1510"/>
      <c r="AB101" s="1510"/>
      <c r="AC101" s="1510"/>
      <c r="AD101" s="1510"/>
      <c r="AE101" s="1510"/>
      <c r="AF101" s="1510"/>
      <c r="AG101" s="1510"/>
      <c r="AH101" s="1587"/>
      <c r="AI101" s="1512"/>
      <c r="AJ101" s="1512"/>
      <c r="AK101" s="1512"/>
      <c r="AL101" s="1512"/>
      <c r="AM101" s="1512"/>
      <c r="AN101" s="1512"/>
      <c r="AO101" s="1512"/>
      <c r="AP101" s="1598"/>
      <c r="AQ101" s="1514"/>
      <c r="AR101" s="1514"/>
      <c r="AS101" s="1514"/>
      <c r="AT101" s="1514"/>
      <c r="AU101" s="1514"/>
      <c r="AV101" s="1514"/>
      <c r="AW101" s="1514"/>
      <c r="AX101" s="1610"/>
      <c r="AY101" s="1516"/>
      <c r="AZ101" s="1516"/>
      <c r="BA101" s="1516"/>
      <c r="BB101" s="1516"/>
      <c r="BC101" s="1516"/>
      <c r="BD101" s="1516"/>
      <c r="BE101" s="1516"/>
      <c r="BF101" s="1612"/>
      <c r="BG101" s="1778"/>
      <c r="BH101" s="1778"/>
      <c r="BI101" s="1778"/>
      <c r="BJ101" s="1778"/>
      <c r="BK101" s="1778"/>
      <c r="BL101" s="1778"/>
      <c r="BM101" s="1778"/>
      <c r="BN101" s="1766"/>
    </row>
    <row r="102" spans="1:66">
      <c r="A102" s="71"/>
      <c r="C102" s="2368" t="e">
        <f>IF(C141&gt;C142,C142,C141)</f>
        <v>#REF!</v>
      </c>
      <c r="D102" s="2057"/>
      <c r="E102" s="2368">
        <v>0</v>
      </c>
      <c r="F102" s="2057"/>
      <c r="G102" s="2368" t="e">
        <f>IF(G141&gt;G142,G142,G141)</f>
        <v>#REF!</v>
      </c>
      <c r="H102" s="2057"/>
      <c r="I102" s="2369">
        <v>0</v>
      </c>
      <c r="K102" s="1547" t="e">
        <f>IF(K141&gt;K142,K142,K141)</f>
        <v>#REF!</v>
      </c>
      <c r="L102" s="1484"/>
      <c r="M102" s="1547">
        <v>0</v>
      </c>
      <c r="N102" s="1484"/>
      <c r="O102" s="1547" t="e">
        <f>IF(O141&gt;O142,O142,O141)</f>
        <v>#REF!</v>
      </c>
      <c r="P102" s="1484"/>
      <c r="Q102" s="1463">
        <v>0</v>
      </c>
      <c r="R102" s="1570"/>
      <c r="S102" s="1564" t="e">
        <f>IF(S141&gt;S142,S142,S141)</f>
        <v>#DIV/0!</v>
      </c>
      <c r="T102" s="1440"/>
      <c r="U102" s="1439">
        <v>0</v>
      </c>
      <c r="V102" s="1440"/>
      <c r="W102" s="1439" t="e">
        <f>IF(W141&gt;W142,W142,W141)</f>
        <v>#DIV/0!</v>
      </c>
      <c r="X102" s="1440"/>
      <c r="Y102" s="1439">
        <v>0</v>
      </c>
      <c r="Z102" s="1561"/>
      <c r="AA102" s="1573" t="e">
        <f>IF(AA141&gt;AA142,AA142,AA141)</f>
        <v>#DIV/0!</v>
      </c>
      <c r="AB102" s="1510"/>
      <c r="AC102" s="1509">
        <v>0</v>
      </c>
      <c r="AD102" s="1510"/>
      <c r="AE102" s="1509" t="e">
        <f>IF(AE141&gt;AE142,AE142,AE141)</f>
        <v>#DIV/0!</v>
      </c>
      <c r="AF102" s="1510"/>
      <c r="AG102" s="1509">
        <v>0</v>
      </c>
      <c r="AH102" s="1587"/>
      <c r="AI102" s="1426" t="e">
        <f>IF(AI141&gt;AI142,AI142,AI141)</f>
        <v>#DIV/0!</v>
      </c>
      <c r="AJ102" s="1512"/>
      <c r="AK102" s="1511">
        <v>0</v>
      </c>
      <c r="AL102" s="1512"/>
      <c r="AM102" s="1511" t="e">
        <f>IF(AM141&gt;AM142,AM142,AM141)</f>
        <v>#DIV/0!</v>
      </c>
      <c r="AN102" s="1512"/>
      <c r="AO102" s="1511">
        <v>0</v>
      </c>
      <c r="AP102" s="1598"/>
      <c r="AQ102" s="1591" t="e">
        <f>IF(AQ141&gt;AQ142,AQ142,AQ141)</f>
        <v>#DIV/0!</v>
      </c>
      <c r="AR102" s="1514"/>
      <c r="AS102" s="1513">
        <v>0</v>
      </c>
      <c r="AT102" s="1514"/>
      <c r="AU102" s="1513" t="e">
        <f>IF(AU141&gt;AU142,AU142,AU141)</f>
        <v>#DIV/0!</v>
      </c>
      <c r="AV102" s="1514"/>
      <c r="AW102" s="1513">
        <v>0</v>
      </c>
      <c r="AX102" s="1610"/>
      <c r="AY102" s="1602" t="e">
        <f>IF(AY141&gt;AY142,AY142,AY141)</f>
        <v>#DIV/0!</v>
      </c>
      <c r="AZ102" s="1516"/>
      <c r="BA102" s="1515">
        <v>0</v>
      </c>
      <c r="BB102" s="1516"/>
      <c r="BC102" s="1515" t="e">
        <f>IF(BC141&gt;BC142,BC142,BC141)</f>
        <v>#DIV/0!</v>
      </c>
      <c r="BD102" s="1516"/>
      <c r="BE102" s="1515">
        <v>0</v>
      </c>
      <c r="BF102" s="1612"/>
      <c r="BG102" s="1777" t="e">
        <f>IF(BG141&gt;BG142,BG142,BG141)</f>
        <v>#DIV/0!</v>
      </c>
      <c r="BH102" s="1778"/>
      <c r="BI102" s="1779">
        <v>0</v>
      </c>
      <c r="BJ102" s="1778"/>
      <c r="BK102" s="1779" t="e">
        <f>IF(BK141&gt;BK142,BK142,BK141)</f>
        <v>#DIV/0!</v>
      </c>
      <c r="BL102" s="1778"/>
      <c r="BM102" s="1779">
        <v>0</v>
      </c>
      <c r="BN102" s="1766"/>
    </row>
    <row r="103" spans="1:66">
      <c r="A103" s="71"/>
      <c r="C103" s="2381" t="e">
        <f>'Data Entry - SOF'!C136*(C99/#REF!)</f>
        <v>#REF!</v>
      </c>
      <c r="D103" s="2057"/>
      <c r="E103" s="2368">
        <f>IF('Data Entry - SOF'!C137&gt;E144,E144,'Data Entry - SOF'!C137)</f>
        <v>0</v>
      </c>
      <c r="F103" s="2057"/>
      <c r="G103" s="2381" t="e">
        <f>'Data Entry - SOF'!C136*(G99/#REF!)</f>
        <v>#REF!</v>
      </c>
      <c r="H103" s="2057"/>
      <c r="I103" s="2369">
        <f>IF('Data Entry - SOF'!C137&gt;I144,I144,'Data Entry - SOF'!C137)</f>
        <v>0</v>
      </c>
      <c r="K103" s="1483" t="e">
        <f>'Data Entry - SOF'!#REF!*(K99/'HH1718-Calcs'!D11)</f>
        <v>#REF!</v>
      </c>
      <c r="L103" s="1484"/>
      <c r="M103" s="1547" t="e">
        <f>IF('Data Entry - SOF'!#REF!&gt;M144,M144,'Data Entry - SOF'!#REF!)</f>
        <v>#REF!</v>
      </c>
      <c r="N103" s="1484"/>
      <c r="O103" s="1483" t="e">
        <f>'Data Entry - SOF'!#REF!*(O99/'HH1718-Calcs'!D11)</f>
        <v>#REF!</v>
      </c>
      <c r="P103" s="1484"/>
      <c r="Q103" s="1463" t="e">
        <f>IF('Data Entry - SOF'!#REF!&gt;Q144,Q144,'Data Entry - SOF'!#REF!)</f>
        <v>#REF!</v>
      </c>
      <c r="R103" s="1570"/>
      <c r="S103" s="2983" t="e">
        <f>'Data Entry - SOF'!E136*(S99/'HH1819-Calcs'!D11)</f>
        <v>#DIV/0!</v>
      </c>
      <c r="T103" s="1440"/>
      <c r="U103" s="1439">
        <f>IF('Data Entry - SOF'!E137&gt;U144,U144,'Data Entry - SOF'!E137)</f>
        <v>0</v>
      </c>
      <c r="V103" s="1440"/>
      <c r="W103" s="1439" t="e">
        <f>'Data Entry - SOF'!E136*(W99/'HH1819-Calcs'!D11)</f>
        <v>#DIV/0!</v>
      </c>
      <c r="X103" s="1440"/>
      <c r="Y103" s="1439">
        <f>IF('Data Entry - SOF'!E137&gt;Y144,Y144,'Data Entry - SOF'!E137)</f>
        <v>0</v>
      </c>
      <c r="Z103" s="1561"/>
      <c r="AA103" s="1573" t="e">
        <f>'Data Entry - SOF'!G136*(AA99/'HH1920-Calcs'!D11)</f>
        <v>#DIV/0!</v>
      </c>
      <c r="AB103" s="1510"/>
      <c r="AC103" s="1509">
        <f>IF('Data Entry - SOF'!G137&gt;AC144,AC144,'Data Entry - SOF'!G137)</f>
        <v>0</v>
      </c>
      <c r="AD103" s="1510"/>
      <c r="AE103" s="2984" t="e">
        <f>'Data Entry - SOF'!G136*(AE99/'HH1920-Calcs'!D11)</f>
        <v>#DIV/0!</v>
      </c>
      <c r="AF103" s="1510"/>
      <c r="AG103" s="1509">
        <f>IF('Data Entry - SOF'!G137&gt;AG144,AG144,'Data Entry - SOF'!G137)</f>
        <v>0</v>
      </c>
      <c r="AH103" s="1587"/>
      <c r="AI103" s="1426" t="e">
        <f>'Data Entry - SOF'!M136*(AI99/'HH2021-Calcs'!D11)</f>
        <v>#DIV/0!</v>
      </c>
      <c r="AJ103" s="1512"/>
      <c r="AK103" s="1511">
        <f>IF('Data Entry - SOF'!M137&gt;AK144,AK144,'Data Entry - SOF'!M137)</f>
        <v>0</v>
      </c>
      <c r="AL103" s="1512"/>
      <c r="AM103" s="1511" t="e">
        <f>'Data Entry - SOF'!M136*(AM99/'HH2021-Calcs'!D11)</f>
        <v>#DIV/0!</v>
      </c>
      <c r="AN103" s="1512"/>
      <c r="AO103" s="1511">
        <f>IF('Data Entry - SOF'!M137&gt;AO144,AO144,'Data Entry - SOF'!M137)</f>
        <v>0</v>
      </c>
      <c r="AP103" s="1598"/>
      <c r="AQ103" s="1591" t="e">
        <f>'Data Entry - SOF'!O136*(AQ99/'HH2122-Calcs'!D11)</f>
        <v>#DIV/0!</v>
      </c>
      <c r="AR103" s="1514"/>
      <c r="AS103" s="1513">
        <f>IF('Data Entry - SOF'!O137&gt;AS144,AS144,'Data Entry - SOF'!O137)</f>
        <v>0</v>
      </c>
      <c r="AT103" s="1514"/>
      <c r="AU103" s="1513" t="e">
        <f>'Data Entry - SOF'!O136*(AU99/'HH2122-Calcs'!D11)</f>
        <v>#DIV/0!</v>
      </c>
      <c r="AV103" s="1514"/>
      <c r="AW103" s="1513">
        <f>IF('Data Entry - SOF'!O137&gt;AW144,AW144,'Data Entry - SOF'!O137)</f>
        <v>0</v>
      </c>
      <c r="AX103" s="1610"/>
      <c r="AY103" s="1602" t="e">
        <f>'Data Entry - SOF'!Q136*(AY99/'HH2223-Calcs'!D11)</f>
        <v>#DIV/0!</v>
      </c>
      <c r="AZ103" s="1516"/>
      <c r="BA103" s="1515">
        <f>IF('Data Entry - SOF'!Q137&gt;BA144,BA144,'Data Entry - SOF'!Q137)</f>
        <v>0</v>
      </c>
      <c r="BB103" s="1516"/>
      <c r="BC103" s="1515" t="e">
        <f>'Data Entry - SOF'!Q136*(BC99/'HH2223-Calcs'!D11)</f>
        <v>#DIV/0!</v>
      </c>
      <c r="BD103" s="1516"/>
      <c r="BE103" s="1515">
        <f>IF('Data Entry - SOF'!Q137&gt;BE144,BE144,'Data Entry - SOF'!Q137)</f>
        <v>0</v>
      </c>
      <c r="BF103" s="1612"/>
      <c r="BG103" s="1777" t="e">
        <f>'Data Entry - SOF'!S136*(BG99/'HH2324-Calcs'!D11)</f>
        <v>#DIV/0!</v>
      </c>
      <c r="BH103" s="1778"/>
      <c r="BI103" s="1779">
        <f>IF('Data Entry - SOF'!S137&gt;BI144,BI144,'Data Entry - SOF'!S137)</f>
        <v>0</v>
      </c>
      <c r="BJ103" s="1778"/>
      <c r="BK103" s="1779" t="e">
        <f>'Data Entry - SOF'!S136*(BK99/'HH2324-Calcs'!D11)</f>
        <v>#DIV/0!</v>
      </c>
      <c r="BL103" s="1778"/>
      <c r="BM103" s="1779">
        <f>IF('Data Entry - SOF'!S137&gt;BM144,BM144,'Data Entry - SOF'!S137)</f>
        <v>0</v>
      </c>
      <c r="BN103" s="1766"/>
    </row>
    <row r="104" spans="1:66">
      <c r="A104" s="71"/>
      <c r="C104" s="2057"/>
      <c r="D104" s="2057"/>
      <c r="E104" s="2057"/>
      <c r="F104" s="2057"/>
      <c r="G104" s="2057"/>
      <c r="H104" s="2057"/>
      <c r="I104" s="2370"/>
      <c r="K104" s="1484"/>
      <c r="L104" s="1484"/>
      <c r="M104" s="1484"/>
      <c r="N104" s="1484"/>
      <c r="O104" s="1484"/>
      <c r="P104" s="1484"/>
      <c r="Q104" s="1540"/>
      <c r="R104" s="1570"/>
      <c r="S104" s="1440"/>
      <c r="T104" s="1440"/>
      <c r="U104" s="1440"/>
      <c r="V104" s="1440"/>
      <c r="W104" s="1440"/>
      <c r="X104" s="1440"/>
      <c r="Y104" s="1440"/>
      <c r="Z104" s="1561"/>
      <c r="AA104" s="1510"/>
      <c r="AB104" s="1510"/>
      <c r="AC104" s="1510"/>
      <c r="AD104" s="1510"/>
      <c r="AE104" s="1510"/>
      <c r="AF104" s="1510"/>
      <c r="AG104" s="1510"/>
      <c r="AH104" s="1587"/>
      <c r="AI104" s="1512"/>
      <c r="AJ104" s="1512"/>
      <c r="AK104" s="1512"/>
      <c r="AL104" s="1512"/>
      <c r="AM104" s="1512"/>
      <c r="AN104" s="1512"/>
      <c r="AO104" s="1512"/>
      <c r="AP104" s="1598"/>
      <c r="AQ104" s="1514"/>
      <c r="AR104" s="1514"/>
      <c r="AS104" s="1514"/>
      <c r="AT104" s="1514"/>
      <c r="AU104" s="1514"/>
      <c r="AV104" s="1514"/>
      <c r="AW104" s="1514"/>
      <c r="AX104" s="1610"/>
      <c r="AY104" s="1516"/>
      <c r="AZ104" s="1516"/>
      <c r="BA104" s="1516"/>
      <c r="BB104" s="1516"/>
      <c r="BC104" s="1516"/>
      <c r="BD104" s="1516"/>
      <c r="BE104" s="1516"/>
      <c r="BF104" s="1612"/>
      <c r="BG104" s="1778"/>
      <c r="BH104" s="1778"/>
      <c r="BI104" s="1778"/>
      <c r="BJ104" s="1778"/>
      <c r="BK104" s="1778"/>
      <c r="BL104" s="1778"/>
      <c r="BM104" s="1778"/>
      <c r="BN104" s="1766"/>
    </row>
    <row r="105" spans="1:66" ht="13.5" thickBot="1">
      <c r="A105" s="71"/>
      <c r="C105" s="2371" t="e">
        <f>IF(C99-C102-C103&lt;0,0,C99-C102-C103)</f>
        <v>#REF!</v>
      </c>
      <c r="D105" s="2057"/>
      <c r="E105" s="2371" t="e">
        <f>IF(E99-E102-E103&lt;0,0,E99-E102-E103)</f>
        <v>#REF!</v>
      </c>
      <c r="F105" s="2057"/>
      <c r="G105" s="2371" t="e">
        <f>IF(G99-G102-G103&lt;0,0,G99-G102-G103)</f>
        <v>#REF!</v>
      </c>
      <c r="H105" s="2057"/>
      <c r="I105" s="2372" t="e">
        <f>IF(I99-I102-I103&lt;0,0,I99-I102-I103)</f>
        <v>#REF!</v>
      </c>
      <c r="K105" s="1549" t="e">
        <f>IF(K99-K102-K103&lt;0,0,K99-K102-K103)</f>
        <v>#REF!</v>
      </c>
      <c r="L105" s="1484"/>
      <c r="M105" s="1549" t="e">
        <f>IF(M99-M102-M103&lt;0,0,M99-M102-M103)</f>
        <v>#REF!</v>
      </c>
      <c r="N105" s="1484"/>
      <c r="O105" s="1549" t="e">
        <f>IF(O99-O102-O103&lt;0,0,O99-O102-O103)</f>
        <v>#REF!</v>
      </c>
      <c r="P105" s="1484"/>
      <c r="Q105" s="1542" t="e">
        <f>IF(Q99-Q102-Q103&lt;0,0,Q99-Q102-Q103)</f>
        <v>#REF!</v>
      </c>
      <c r="R105" s="1570"/>
      <c r="S105" s="1446" t="e">
        <f>IF(S99-S102-S103&lt;0,0,S99-S102-S103)</f>
        <v>#DIV/0!</v>
      </c>
      <c r="T105" s="1440"/>
      <c r="U105" s="1446" t="e">
        <f>IF(U99-U102-U103&lt;0,0,U99-U102-U103)</f>
        <v>#DIV/0!</v>
      </c>
      <c r="V105" s="1440"/>
      <c r="W105" s="1446" t="e">
        <f>IF(W99-W102-W103&lt;0,0,W99-W102-W103)</f>
        <v>#DIV/0!</v>
      </c>
      <c r="X105" s="1440"/>
      <c r="Y105" s="1446" t="e">
        <f>IF(Y99-Y102-Y103&lt;0,0,Y99-Y102-Y103)</f>
        <v>#DIV/0!</v>
      </c>
      <c r="Z105" s="1561"/>
      <c r="AA105" s="1543" t="e">
        <f>IF(AA99-AA102-AA103&lt;0,0,AA99-AA102-AA103)</f>
        <v>#DIV/0!</v>
      </c>
      <c r="AB105" s="1510"/>
      <c r="AC105" s="1543" t="e">
        <f>IF(AC99-AC102-AC103&lt;0,0,AC99-AC102-AC103)</f>
        <v>#DIV/0!</v>
      </c>
      <c r="AD105" s="1510"/>
      <c r="AE105" s="1543" t="e">
        <f>IF(AE99-AE102-AE103&lt;0,0,AE99-AE102-AE103)</f>
        <v>#DIV/0!</v>
      </c>
      <c r="AF105" s="1510"/>
      <c r="AG105" s="1543" t="e">
        <f>IF(AG99-AG102-AG103&lt;0,0,AG99-AG102-AG103)</f>
        <v>#DIV/0!</v>
      </c>
      <c r="AH105" s="1587"/>
      <c r="AI105" s="1544" t="e">
        <f>IF(AI99-AI102-AI103&lt;0,0,AI99-AI102-AI103)</f>
        <v>#DIV/0!</v>
      </c>
      <c r="AJ105" s="1512"/>
      <c r="AK105" s="1544" t="e">
        <f>IF(AK99-AK102-AK103&lt;0,0,AK99-AK102-AK103)</f>
        <v>#DIV/0!</v>
      </c>
      <c r="AL105" s="1512"/>
      <c r="AM105" s="1544" t="e">
        <f>IF(AM99-AM102-AM103&lt;0,0,AM99-AM102-AM103)</f>
        <v>#DIV/0!</v>
      </c>
      <c r="AN105" s="1512"/>
      <c r="AO105" s="1544" t="e">
        <f>IF(AO99-AO102-AO103&lt;0,0,AO99-AO102-AO103)</f>
        <v>#DIV/0!</v>
      </c>
      <c r="AP105" s="1598"/>
      <c r="AQ105" s="1545" t="e">
        <f>IF(AQ99-AQ102-AQ103&lt;0,0,AQ99-AQ102-AQ103)</f>
        <v>#DIV/0!</v>
      </c>
      <c r="AR105" s="1514"/>
      <c r="AS105" s="1545" t="e">
        <f>IF(AS99-AS102-AS103&lt;0,0,AS99-AS102-AS103)</f>
        <v>#DIV/0!</v>
      </c>
      <c r="AT105" s="1514"/>
      <c r="AU105" s="1545" t="e">
        <f>IF(AU99-AU102-AU103&lt;0,0,AU99-AU102-AU103)</f>
        <v>#DIV/0!</v>
      </c>
      <c r="AV105" s="1514"/>
      <c r="AW105" s="1545" t="e">
        <f>IF(AW99-AW102-AW103&lt;0,0,AW99-AW102-AW103)</f>
        <v>#DIV/0!</v>
      </c>
      <c r="AX105" s="1610"/>
      <c r="AY105" s="1546" t="e">
        <f>IF(AY99-AY102-AY103&lt;0,0,AY99-AY102-AY103)</f>
        <v>#DIV/0!</v>
      </c>
      <c r="AZ105" s="1516"/>
      <c r="BA105" s="1546" t="e">
        <f>IF(BA99-BA102-BA103&lt;0,0,BA99-BA102-BA103)</f>
        <v>#DIV/0!</v>
      </c>
      <c r="BB105" s="1516"/>
      <c r="BC105" s="1546" t="e">
        <f>IF(BC99-BC102-BC103&lt;0,0,BC99-BC102-BC103)</f>
        <v>#DIV/0!</v>
      </c>
      <c r="BD105" s="1516"/>
      <c r="BE105" s="1546" t="e">
        <f>IF(BE99-BE102-BE103&lt;0,0,BE99-BE102-BE103)</f>
        <v>#DIV/0!</v>
      </c>
      <c r="BF105" s="1612"/>
      <c r="BG105" s="1786" t="e">
        <f>IF(BG99-BG102-BG103&lt;0,0,BG99-BG102-BG103)</f>
        <v>#DIV/0!</v>
      </c>
      <c r="BH105" s="1778"/>
      <c r="BI105" s="1786" t="e">
        <f>IF(BI99-BI102-BI103&lt;0,0,BI99-BI102-BI103)</f>
        <v>#DIV/0!</v>
      </c>
      <c r="BJ105" s="1778"/>
      <c r="BK105" s="1786" t="e">
        <f>IF(BK99-BK102-BK103&lt;0,0,BK99-BK102-BK103)</f>
        <v>#DIV/0!</v>
      </c>
      <c r="BL105" s="1778"/>
      <c r="BM105" s="1786" t="e">
        <f>IF(BM99-BM102-BM103&lt;0,0,BM99-BM102-BM103)</f>
        <v>#DIV/0!</v>
      </c>
      <c r="BN105" s="1766"/>
    </row>
    <row r="106" spans="1:66" ht="14.25" thickTop="1" thickBot="1">
      <c r="A106" s="71"/>
      <c r="C106" s="2057"/>
      <c r="D106" s="2057"/>
      <c r="E106" s="2057" t="e">
        <f>C105+G105</f>
        <v>#REF!</v>
      </c>
      <c r="F106" s="2057"/>
      <c r="G106" s="2057"/>
      <c r="H106" s="2057"/>
      <c r="I106" s="2370" t="e">
        <f>E105+I105</f>
        <v>#REF!</v>
      </c>
      <c r="K106" s="1484"/>
      <c r="L106" s="1484"/>
      <c r="M106" s="1971" t="e">
        <f>K105+O105</f>
        <v>#REF!</v>
      </c>
      <c r="N106" s="1484"/>
      <c r="O106" s="1484"/>
      <c r="P106" s="1484"/>
      <c r="Q106" s="1972" t="e">
        <f>M105+Q105</f>
        <v>#REF!</v>
      </c>
      <c r="R106" s="1570"/>
      <c r="S106" s="1440"/>
      <c r="T106" s="1440"/>
      <c r="U106" s="1973" t="e">
        <f>S105+W105</f>
        <v>#DIV/0!</v>
      </c>
      <c r="V106" s="1440"/>
      <c r="W106" s="1440"/>
      <c r="X106" s="1440"/>
      <c r="Y106" s="1973" t="e">
        <f>U105+Y105</f>
        <v>#DIV/0!</v>
      </c>
      <c r="Z106" s="1561"/>
      <c r="AA106" s="1510"/>
      <c r="AB106" s="1510"/>
      <c r="AC106" s="1974" t="e">
        <f>AA105+AE105</f>
        <v>#DIV/0!</v>
      </c>
      <c r="AD106" s="1510"/>
      <c r="AE106" s="1510"/>
      <c r="AF106" s="1510"/>
      <c r="AG106" s="1974" t="e">
        <f>AC105+AG105</f>
        <v>#DIV/0!</v>
      </c>
      <c r="AH106" s="1587"/>
      <c r="AI106" s="1512"/>
      <c r="AJ106" s="1512"/>
      <c r="AK106" s="1975" t="e">
        <f>AI105+AM105</f>
        <v>#DIV/0!</v>
      </c>
      <c r="AL106" s="1512"/>
      <c r="AM106" s="1512"/>
      <c r="AN106" s="1512"/>
      <c r="AO106" s="1975" t="e">
        <f>AK105+AO105</f>
        <v>#DIV/0!</v>
      </c>
      <c r="AP106" s="1598"/>
      <c r="AQ106" s="1514"/>
      <c r="AR106" s="1514"/>
      <c r="AS106" s="1976" t="e">
        <f>AQ105+AU105</f>
        <v>#DIV/0!</v>
      </c>
      <c r="AT106" s="1514"/>
      <c r="AU106" s="1514"/>
      <c r="AV106" s="1514"/>
      <c r="AW106" s="1976" t="e">
        <f>AS105+AW105</f>
        <v>#DIV/0!</v>
      </c>
      <c r="AX106" s="1610"/>
      <c r="AY106" s="1516"/>
      <c r="AZ106" s="1516"/>
      <c r="BA106" s="1977" t="e">
        <f>AY105+BC105</f>
        <v>#DIV/0!</v>
      </c>
      <c r="BB106" s="1516"/>
      <c r="BC106" s="1516"/>
      <c r="BD106" s="1516"/>
      <c r="BE106" s="1977" t="e">
        <f>BA105+BE105</f>
        <v>#DIV/0!</v>
      </c>
      <c r="BF106" s="1612"/>
      <c r="BG106" s="1778"/>
      <c r="BH106" s="1778"/>
      <c r="BI106" s="1978" t="e">
        <f>BG105+BK105</f>
        <v>#DIV/0!</v>
      </c>
      <c r="BJ106" s="1778"/>
      <c r="BK106" s="1778"/>
      <c r="BL106" s="1778"/>
      <c r="BM106" s="1978" t="e">
        <f>BI105+BM105</f>
        <v>#DIV/0!</v>
      </c>
      <c r="BN106" s="1766"/>
    </row>
    <row r="107" spans="1:66" ht="13.5" thickTop="1">
      <c r="A107" s="71"/>
      <c r="C107" s="2057"/>
      <c r="D107" s="2057"/>
      <c r="E107" s="2057"/>
      <c r="F107" s="2057"/>
      <c r="G107" s="2057"/>
      <c r="H107" s="2057"/>
      <c r="I107" s="2370"/>
      <c r="M107" s="1979" t="s">
        <v>8260</v>
      </c>
      <c r="Q107" s="1979" t="s">
        <v>8260</v>
      </c>
      <c r="R107" s="1567"/>
      <c r="U107" s="1419" t="s">
        <v>8260</v>
      </c>
      <c r="Y107" s="1419" t="s">
        <v>8260</v>
      </c>
      <c r="Z107" s="1560"/>
      <c r="AC107" s="1467" t="s">
        <v>8260</v>
      </c>
      <c r="AG107" s="1467" t="s">
        <v>8260</v>
      </c>
      <c r="AH107" s="1582"/>
      <c r="AK107" s="1468" t="s">
        <v>8260</v>
      </c>
      <c r="AO107" s="1468" t="s">
        <v>8260</v>
      </c>
      <c r="AP107" s="1594"/>
      <c r="AS107" s="1469" t="s">
        <v>8260</v>
      </c>
      <c r="AW107" s="1469" t="s">
        <v>8260</v>
      </c>
      <c r="AX107" s="1605"/>
      <c r="BA107" s="1470" t="s">
        <v>8260</v>
      </c>
      <c r="BE107" s="1470" t="s">
        <v>8260</v>
      </c>
      <c r="BF107" s="1612"/>
      <c r="BI107" s="1767" t="s">
        <v>8260</v>
      </c>
      <c r="BM107" s="1767" t="s">
        <v>8260</v>
      </c>
      <c r="BN107" s="1766"/>
    </row>
    <row r="108" spans="1:66">
      <c r="A108" s="71"/>
      <c r="B108" s="72" t="s">
        <v>8257</v>
      </c>
      <c r="C108" s="2058" t="s">
        <v>3830</v>
      </c>
      <c r="D108" s="2057"/>
      <c r="E108" s="2057"/>
      <c r="F108" s="2057"/>
      <c r="G108" s="2057"/>
      <c r="H108" s="2057"/>
      <c r="I108" s="2370"/>
      <c r="R108" s="1567"/>
      <c r="Z108" s="1560"/>
      <c r="AH108" s="1582"/>
      <c r="AP108" s="1594"/>
      <c r="AX108" s="1605"/>
      <c r="BF108" s="1612"/>
      <c r="BN108" s="1766"/>
    </row>
    <row r="109" spans="1:66">
      <c r="A109" s="71"/>
      <c r="C109" s="2083" t="e">
        <f>'Calc Data-15K'!AE91</f>
        <v>#REF!</v>
      </c>
      <c r="D109" s="2057"/>
      <c r="E109" s="2083" t="e">
        <f>C109</f>
        <v>#REF!</v>
      </c>
      <c r="F109" s="2057"/>
      <c r="G109" s="2083"/>
      <c r="H109" s="2057"/>
      <c r="I109" s="2084"/>
      <c r="R109" s="1567"/>
      <c r="Z109" s="1560"/>
      <c r="AH109" s="1582"/>
      <c r="AP109" s="1594"/>
      <c r="AX109" s="1605"/>
      <c r="BF109" s="1612"/>
      <c r="BN109" s="1766"/>
    </row>
    <row r="110" spans="1:66">
      <c r="A110" s="71"/>
      <c r="C110" s="2083"/>
      <c r="D110" s="2057"/>
      <c r="E110" s="2083"/>
      <c r="F110" s="2057"/>
      <c r="G110" s="2083" t="e">
        <f>'Calc Data-15K'!AC86</f>
        <v>#REF!</v>
      </c>
      <c r="H110" s="2057"/>
      <c r="I110" s="2084" t="e">
        <f>G110</f>
        <v>#REF!</v>
      </c>
      <c r="R110" s="1567"/>
      <c r="Z110" s="1560"/>
      <c r="AH110" s="1582"/>
      <c r="AP110" s="1594"/>
      <c r="AX110" s="1605"/>
      <c r="BF110" s="1612"/>
      <c r="BN110" s="1766"/>
    </row>
    <row r="111" spans="1:66">
      <c r="A111" s="71"/>
      <c r="C111" s="2083" t="e">
        <f>C109</f>
        <v>#REF!</v>
      </c>
      <c r="D111" s="2057"/>
      <c r="E111" s="2083" t="e">
        <f>E109</f>
        <v>#REF!</v>
      </c>
      <c r="F111" s="2057"/>
      <c r="G111" s="2083" t="e">
        <f>G110</f>
        <v>#REF!</v>
      </c>
      <c r="H111" s="2057"/>
      <c r="I111" s="2084" t="e">
        <f>I110</f>
        <v>#REF!</v>
      </c>
      <c r="R111" s="1567"/>
      <c r="Z111" s="1560"/>
      <c r="AH111" s="1582"/>
      <c r="AP111" s="1594"/>
      <c r="AX111" s="1605"/>
      <c r="BF111" s="1612"/>
      <c r="BN111" s="1766"/>
    </row>
    <row r="112" spans="1:66">
      <c r="A112" s="71"/>
      <c r="C112" s="2081" t="e">
        <f>C35*C111</f>
        <v>#REF!</v>
      </c>
      <c r="D112" s="2057"/>
      <c r="E112" s="2081" t="e">
        <f>E35*E111</f>
        <v>#REF!</v>
      </c>
      <c r="F112" s="2057"/>
      <c r="G112" s="2081" t="e">
        <f>IF(G110&lt;1,0,G35*G111)</f>
        <v>#REF!</v>
      </c>
      <c r="H112" s="2057"/>
      <c r="I112" s="2082" t="e">
        <f>IF(I110&lt;1,0,I35*I111)</f>
        <v>#REF!</v>
      </c>
      <c r="R112" s="1567"/>
      <c r="Z112" s="1560"/>
      <c r="AH112" s="1582"/>
      <c r="AP112" s="1594"/>
      <c r="AX112" s="1605"/>
      <c r="BF112" s="1612"/>
      <c r="BN112" s="1766"/>
    </row>
    <row r="113" spans="1:66">
      <c r="A113" s="71"/>
      <c r="C113" s="2359" t="e">
        <f>C34/IF(C36&lt;Assumptions!G92,Assumptions!G92,C36)</f>
        <v>#REF!</v>
      </c>
      <c r="D113" s="2057"/>
      <c r="E113" s="2359" t="e">
        <f>E34/E36</f>
        <v>#REF!</v>
      </c>
      <c r="F113" s="2057"/>
      <c r="G113" s="2359" t="e">
        <f>IF(G112=0,0,G34/G36)</f>
        <v>#REF!</v>
      </c>
      <c r="H113" s="2057"/>
      <c r="I113" s="2080" t="e">
        <f>IF(I112=0,0,I34/I36)</f>
        <v>#REF!</v>
      </c>
      <c r="R113" s="1567"/>
      <c r="Z113" s="1560"/>
      <c r="AH113" s="1582"/>
      <c r="AP113" s="1594"/>
      <c r="AX113" s="1605"/>
      <c r="BF113" s="1612"/>
      <c r="BN113" s="1766"/>
    </row>
    <row r="114" spans="1:66">
      <c r="A114" s="71"/>
      <c r="C114" s="2365" t="e">
        <f>IF(C113=0,0,IF(C112/C113&lt;3147,3147,C112/C113))</f>
        <v>#REF!</v>
      </c>
      <c r="D114" s="2057"/>
      <c r="E114" s="2365" t="e">
        <f>IF(E113=0,0,IF(E112/E113&lt;3147,3147,E112/E113))</f>
        <v>#REF!</v>
      </c>
      <c r="F114" s="2057"/>
      <c r="G114" s="2365" t="e">
        <f>IF(G113=0,0,IF(G112/G113&lt;71.62,71.62,G112/G113))</f>
        <v>#REF!</v>
      </c>
      <c r="H114" s="2057"/>
      <c r="I114" s="2367" t="e">
        <f>IF(I113=0,0,IF(I112/I113&lt;71.62,71.62,I112/I113))</f>
        <v>#REF!</v>
      </c>
      <c r="R114" s="1567"/>
      <c r="Z114" s="1560"/>
      <c r="AH114" s="1582"/>
      <c r="AP114" s="1594"/>
      <c r="AX114" s="1605"/>
      <c r="BF114" s="1612"/>
      <c r="BN114" s="1766"/>
    </row>
    <row r="115" spans="1:66">
      <c r="A115" s="71"/>
      <c r="C115" s="2359" t="e">
        <f>IF(OR('Data Entry - SOF'!C140=0,C114=0),0,IF('Data Entry - SOF'!C140&gt;C114,(C114*'Data Entry - SOF'!C139)/C114,('Data Entry - SOF'!C140*'Data Entry - SOF'!C139)/C114))</f>
        <v>#REF!</v>
      </c>
      <c r="D115" s="2057"/>
      <c r="E115" s="2359" t="e">
        <f>C115</f>
        <v>#REF!</v>
      </c>
      <c r="F115" s="2057"/>
      <c r="G115" s="2359" t="e">
        <f>IF(OR('Data Entry - SOF'!C181=0,G114=0),0,IF('Data Entry - SOF'!C181&gt;G114,(G114*'Data Entry - SOF'!C180)/G114,('Data Entry - SOF'!C181*'Data Entry - SOF'!C180)/G114))</f>
        <v>#REF!</v>
      </c>
      <c r="H115" s="2057"/>
      <c r="I115" s="2080" t="e">
        <f>G115</f>
        <v>#REF!</v>
      </c>
      <c r="R115" s="1567"/>
      <c r="Z115" s="1560"/>
      <c r="AH115" s="1582"/>
      <c r="AP115" s="1594"/>
      <c r="AX115" s="1605"/>
      <c r="BF115" s="1612"/>
      <c r="BN115" s="1766"/>
    </row>
    <row r="116" spans="1:66">
      <c r="A116" s="71"/>
      <c r="C116" s="2359">
        <v>0</v>
      </c>
      <c r="D116" s="2057"/>
      <c r="E116" s="2359">
        <v>0</v>
      </c>
      <c r="F116" s="2057"/>
      <c r="G116" s="2359">
        <v>0</v>
      </c>
      <c r="H116" s="2057"/>
      <c r="I116" s="2080">
        <v>0</v>
      </c>
      <c r="R116" s="1567"/>
      <c r="Z116" s="1560"/>
      <c r="AH116" s="1582"/>
      <c r="AP116" s="1594"/>
      <c r="AX116" s="1605"/>
      <c r="BF116" s="1612"/>
      <c r="BN116" s="1766"/>
    </row>
    <row r="117" spans="1:66">
      <c r="A117" s="71"/>
      <c r="C117" s="2359" t="e">
        <f>IF(C113-C115-C116&lt;0,0,C113-C115-C116)</f>
        <v>#REF!</v>
      </c>
      <c r="D117" s="2057"/>
      <c r="E117" s="2359" t="e">
        <f>IF(E113-E115-E116&lt;0,0,E113-E115-E116)</f>
        <v>#REF!</v>
      </c>
      <c r="F117" s="2057"/>
      <c r="G117" s="2359" t="e">
        <f>IF(G113-G115-G116&lt;0,0,G113-G115-G116)</f>
        <v>#REF!</v>
      </c>
      <c r="H117" s="2057"/>
      <c r="I117" s="2080" t="e">
        <f>IF(I113-I115-I116&lt;0,0,I113-I115-I116)</f>
        <v>#REF!</v>
      </c>
      <c r="R117" s="1567"/>
      <c r="Z117" s="1560"/>
      <c r="AH117" s="1582"/>
      <c r="AP117" s="1594"/>
      <c r="AX117" s="1605"/>
      <c r="BF117" s="1612"/>
      <c r="BN117" s="1766"/>
    </row>
    <row r="118" spans="1:66">
      <c r="A118" s="71"/>
      <c r="C118" s="2083" t="e">
        <f>IF(C117=0,0,C117*C114)</f>
        <v>#REF!</v>
      </c>
      <c r="D118" s="2057"/>
      <c r="E118" s="2083" t="e">
        <f>IF(E117=0,0,E117*E114)</f>
        <v>#REF!</v>
      </c>
      <c r="F118" s="2057"/>
      <c r="G118" s="2083" t="e">
        <f>IF(G117=0,0,G117*G114)</f>
        <v>#REF!</v>
      </c>
      <c r="H118" s="2057"/>
      <c r="I118" s="2084" t="e">
        <f>IF(I117=0,0,I117*I114)</f>
        <v>#REF!</v>
      </c>
      <c r="R118" s="1567"/>
      <c r="Z118" s="1560"/>
      <c r="AH118" s="1582"/>
      <c r="AP118" s="1594"/>
      <c r="AX118" s="1605"/>
      <c r="BF118" s="1612"/>
      <c r="BN118" s="1766"/>
    </row>
    <row r="119" spans="1:66">
      <c r="A119" s="71"/>
      <c r="D119" s="2057"/>
      <c r="F119" s="2057"/>
      <c r="H119" s="2057"/>
      <c r="I119" s="2070"/>
      <c r="R119" s="1567"/>
      <c r="Z119" s="1560"/>
      <c r="AH119" s="1582"/>
      <c r="AP119" s="1594"/>
      <c r="AX119" s="1605"/>
      <c r="BF119" s="1612"/>
      <c r="BN119" s="1766"/>
    </row>
    <row r="120" spans="1:66">
      <c r="A120" s="71"/>
      <c r="D120" s="2057"/>
      <c r="F120" s="2057"/>
      <c r="H120" s="2057"/>
      <c r="I120" s="2070"/>
      <c r="R120" s="1567"/>
      <c r="Z120" s="1560"/>
      <c r="AH120" s="1582"/>
      <c r="AP120" s="1594"/>
      <c r="AX120" s="1605"/>
      <c r="BF120" s="1612"/>
      <c r="BN120" s="1766"/>
    </row>
    <row r="121" spans="1:66">
      <c r="A121" s="71"/>
      <c r="C121" s="2368" t="e">
        <f>IF(C148&gt;C149,C149,C148)</f>
        <v>#REF!</v>
      </c>
      <c r="D121" s="2057"/>
      <c r="E121" s="2368">
        <v>0</v>
      </c>
      <c r="F121" s="2057"/>
      <c r="G121" s="2368">
        <f>IF(G160&gt;G161,G161,G160)</f>
        <v>0</v>
      </c>
      <c r="H121" s="2057"/>
      <c r="I121" s="2369">
        <v>0</v>
      </c>
      <c r="R121" s="1567"/>
      <c r="Z121" s="1560"/>
      <c r="AH121" s="1582"/>
      <c r="AP121" s="1594"/>
      <c r="AX121" s="1605"/>
      <c r="BF121" s="1612"/>
      <c r="BN121" s="1766"/>
    </row>
    <row r="122" spans="1:66">
      <c r="C122" s="2381" t="e">
        <f>'Data Entry - SOF'!C136*(C118/#REF!)</f>
        <v>#REF!</v>
      </c>
      <c r="E122" s="2368">
        <f>IF('Data Entry - SOF'!C137&gt;E151,E151,'Data Entry - SOF'!C137)</f>
        <v>0</v>
      </c>
      <c r="G122" s="2381" t="e">
        <f>'Data Entry - SOF'!C136*(G118/#REF!)</f>
        <v>#REF!</v>
      </c>
      <c r="I122" s="2369">
        <f>IF('Data Entry - SOF'!C137&gt;I151,I151,'Data Entry - SOF'!C137)</f>
        <v>0</v>
      </c>
      <c r="R122" s="1567"/>
      <c r="Z122" s="1560"/>
      <c r="AH122" s="1582"/>
      <c r="AP122" s="1594"/>
      <c r="AX122" s="1605"/>
      <c r="BF122" s="1612"/>
      <c r="BN122" s="1766"/>
    </row>
    <row r="123" spans="1:66">
      <c r="C123" s="2057"/>
      <c r="E123" s="2057"/>
      <c r="G123" s="2057"/>
      <c r="I123" s="2370"/>
      <c r="R123" s="1567"/>
      <c r="Z123" s="1560"/>
      <c r="AH123" s="1582"/>
      <c r="AP123" s="1594"/>
      <c r="AX123" s="1605"/>
      <c r="BF123" s="1612"/>
      <c r="BN123" s="1766"/>
    </row>
    <row r="124" spans="1:66" ht="13.5" thickBot="1">
      <c r="C124" s="2371" t="e">
        <f>IF(C118-C121-C122&lt;0,0,C118-C121-C122)</f>
        <v>#REF!</v>
      </c>
      <c r="E124" s="2371" t="e">
        <f>IF(E118-E121-E122&lt;0,0,E118-E121-E122)</f>
        <v>#REF!</v>
      </c>
      <c r="G124" s="2371" t="e">
        <f>IF(G118-G121-G122&lt;0,0,G118-G121-G122)</f>
        <v>#REF!</v>
      </c>
      <c r="I124" s="2372" t="e">
        <f>IF(I118-I121-I122&lt;0,0,I118-I121-I122)</f>
        <v>#REF!</v>
      </c>
      <c r="R124" s="1567"/>
      <c r="Z124" s="1560"/>
      <c r="AH124" s="1582"/>
      <c r="AP124" s="1594"/>
      <c r="AX124" s="1605"/>
      <c r="BF124" s="1612"/>
      <c r="BN124" s="1766"/>
    </row>
    <row r="125" spans="1:66" ht="13.5" thickTop="1">
      <c r="C125" s="2057"/>
      <c r="D125" s="2057"/>
      <c r="E125" s="2057" t="e">
        <f>C124+G124</f>
        <v>#REF!</v>
      </c>
      <c r="F125" s="2057"/>
      <c r="G125" s="2057"/>
      <c r="H125" s="2057"/>
      <c r="I125" s="2370" t="e">
        <f>E124+I124</f>
        <v>#REF!</v>
      </c>
      <c r="R125" s="1567"/>
      <c r="Z125" s="1560"/>
      <c r="AH125" s="1582"/>
      <c r="AP125" s="1594"/>
      <c r="AX125" s="1605"/>
      <c r="BF125" s="1612"/>
      <c r="BN125" s="1766"/>
    </row>
    <row r="126" spans="1:66">
      <c r="C126" s="2057"/>
      <c r="D126" s="2057"/>
      <c r="E126" s="2382" t="e">
        <f>IF(#REF!&lt;=0,'Option Costs-HH'!E106,'Option Costs-HH'!E125)</f>
        <v>#REF!</v>
      </c>
      <c r="F126" s="2011"/>
      <c r="G126" s="2011"/>
      <c r="H126" s="2011"/>
      <c r="I126" s="2383" t="e">
        <f>IF(#REF!&lt;=0,'Option Costs-HH'!I106,'Option Costs-HH'!I125)</f>
        <v>#REF!</v>
      </c>
      <c r="R126" s="1567"/>
      <c r="Z126" s="1560"/>
      <c r="AH126" s="1582"/>
      <c r="AP126" s="1594"/>
      <c r="AX126" s="1605"/>
      <c r="BF126" s="1612"/>
      <c r="BN126" s="1766"/>
    </row>
    <row r="127" spans="1:66">
      <c r="C127" s="2057" t="e">
        <f>C48*0.04</f>
        <v>#REF!</v>
      </c>
      <c r="D127" s="2057"/>
      <c r="E127" s="2057" t="e">
        <f>E48*0.05</f>
        <v>#REF!</v>
      </c>
      <c r="F127" s="2057"/>
      <c r="G127" s="2057" t="e">
        <f>G48*0.04</f>
        <v>#REF!</v>
      </c>
      <c r="H127" s="2057"/>
      <c r="I127" s="2370" t="e">
        <f>I48*0.05</f>
        <v>#REF!</v>
      </c>
      <c r="K127" s="1455" t="e">
        <f>K48*0.04</f>
        <v>#REF!</v>
      </c>
      <c r="L127" s="1455"/>
      <c r="M127" s="1455" t="e">
        <f>M48*0.05</f>
        <v>#REF!</v>
      </c>
      <c r="N127" s="1455"/>
      <c r="O127" s="1455" t="e">
        <f>O48*0.04</f>
        <v>#REF!</v>
      </c>
      <c r="P127" s="1455"/>
      <c r="Q127" s="1460" t="e">
        <f>Q48*0.05</f>
        <v>#REF!</v>
      </c>
      <c r="R127" s="1567"/>
      <c r="S127" s="1438" t="e">
        <f>S48*0.04</f>
        <v>#DIV/0!</v>
      </c>
      <c r="U127" s="1438" t="e">
        <f>U48*0.05</f>
        <v>#DIV/0!</v>
      </c>
      <c r="W127" s="1438">
        <f>W48*0.04</f>
        <v>0</v>
      </c>
      <c r="Y127" s="1438">
        <f>Y48*0.05</f>
        <v>0</v>
      </c>
      <c r="Z127" s="1560"/>
      <c r="AA127" s="1471" t="e">
        <f>AA48*0.04</f>
        <v>#DIV/0!</v>
      </c>
      <c r="AC127" s="1471" t="e">
        <f>AC48*0.05</f>
        <v>#DIV/0!</v>
      </c>
      <c r="AE127" s="1471">
        <f>AE48*0.04</f>
        <v>0</v>
      </c>
      <c r="AG127" s="1471">
        <f>AG48*0.05</f>
        <v>0</v>
      </c>
      <c r="AH127" s="1582"/>
      <c r="AI127" s="1472" t="e">
        <f>AI48*0.04</f>
        <v>#DIV/0!</v>
      </c>
      <c r="AK127" s="1472" t="e">
        <f>AK48*0.05</f>
        <v>#DIV/0!</v>
      </c>
      <c r="AM127" s="1472">
        <f>AM48*0.04</f>
        <v>0</v>
      </c>
      <c r="AO127" s="1472">
        <f>AO48*0.05</f>
        <v>0</v>
      </c>
      <c r="AP127" s="1594"/>
      <c r="AQ127" s="1473" t="e">
        <f>AQ48*0.04</f>
        <v>#DIV/0!</v>
      </c>
      <c r="AS127" s="1473" t="e">
        <f>AS48*0.05</f>
        <v>#DIV/0!</v>
      </c>
      <c r="AU127" s="1473">
        <f>AU48*0.04</f>
        <v>0</v>
      </c>
      <c r="AW127" s="1473">
        <f>AW48*0.05</f>
        <v>0</v>
      </c>
      <c r="AX127" s="1605"/>
      <c r="AY127" s="1474" t="e">
        <f>AY48*0.04</f>
        <v>#DIV/0!</v>
      </c>
      <c r="BA127" s="1474" t="e">
        <f>BA48*0.05</f>
        <v>#DIV/0!</v>
      </c>
      <c r="BC127" s="1474">
        <f>BC48*0.04</f>
        <v>0</v>
      </c>
      <c r="BE127" s="1474">
        <f>BE48*0.05</f>
        <v>0</v>
      </c>
      <c r="BF127" s="1612"/>
      <c r="BG127" s="1765" t="e">
        <f>BG48*0.04</f>
        <v>#DIV/0!</v>
      </c>
      <c r="BI127" s="1765" t="e">
        <f>BI48*0.05</f>
        <v>#DIV/0!</v>
      </c>
      <c r="BK127" s="1765">
        <f>BK48*0.04</f>
        <v>0</v>
      </c>
      <c r="BM127" s="1765">
        <f>BM48*0.05</f>
        <v>0</v>
      </c>
      <c r="BN127" s="1766"/>
    </row>
    <row r="128" spans="1:66">
      <c r="C128" s="2057" t="e">
        <f>C43*80</f>
        <v>#REF!</v>
      </c>
      <c r="D128" s="2057"/>
      <c r="E128" s="2057" t="e">
        <f>'Ch41 Calc Data'!K17*100</f>
        <v>#REF!</v>
      </c>
      <c r="F128" s="2057"/>
      <c r="G128" s="2057" t="e">
        <f>G43*80</f>
        <v>#REF!</v>
      </c>
      <c r="H128" s="2057"/>
      <c r="I128" s="2370" t="e">
        <f>'Ch41 Calc Data'!K17*100</f>
        <v>#REF!</v>
      </c>
      <c r="K128" s="1455" t="e">
        <f>K43*80</f>
        <v>#REF!</v>
      </c>
      <c r="L128" s="1455"/>
      <c r="M128" s="1455" t="e">
        <f>'Ch41 Calc Data'!L17*100</f>
        <v>#REF!</v>
      </c>
      <c r="N128" s="1455"/>
      <c r="O128" s="1455" t="e">
        <f>O43*80</f>
        <v>#REF!</v>
      </c>
      <c r="P128" s="1455"/>
      <c r="Q128" s="1460" t="e">
        <f>'Ch41 Calc Data'!L17*100</f>
        <v>#REF!</v>
      </c>
      <c r="R128" s="1567"/>
      <c r="S128" s="1438" t="e">
        <f>S43*80</f>
        <v>#DIV/0!</v>
      </c>
      <c r="U128" s="1438">
        <f>'Ch41 Calc Data'!M17*100</f>
        <v>0</v>
      </c>
      <c r="W128" s="1438">
        <f>W43*80</f>
        <v>0</v>
      </c>
      <c r="Y128" s="1438">
        <f>'Ch41 Calc Data'!M17*100</f>
        <v>0</v>
      </c>
      <c r="Z128" s="1560"/>
      <c r="AA128" s="1471" t="e">
        <f>AA43*80</f>
        <v>#DIV/0!</v>
      </c>
      <c r="AC128" s="1471">
        <f>'Ch41 Calc Data'!N17*100</f>
        <v>0</v>
      </c>
      <c r="AE128" s="1471">
        <f>AE43*80</f>
        <v>0</v>
      </c>
      <c r="AG128" s="1471">
        <f>'Ch41 Calc Data'!N17*100</f>
        <v>0</v>
      </c>
      <c r="AH128" s="1582"/>
      <c r="AI128" s="1472" t="e">
        <f>AI43*80</f>
        <v>#DIV/0!</v>
      </c>
      <c r="AK128" s="1472" t="e">
        <f>'Ch41 Calc Data'!O17*100</f>
        <v>#DIV/0!</v>
      </c>
      <c r="AM128" s="1472">
        <f>AM43*80</f>
        <v>0</v>
      </c>
      <c r="AO128" s="1472" t="e">
        <f>'Ch41 Calc Data'!O17*100</f>
        <v>#DIV/0!</v>
      </c>
      <c r="AP128" s="1594"/>
      <c r="AQ128" s="1473" t="e">
        <f>AQ43*80</f>
        <v>#DIV/0!</v>
      </c>
      <c r="AS128" s="1473" t="e">
        <f>'Ch41 Calc Data'!P17*100</f>
        <v>#DIV/0!</v>
      </c>
      <c r="AU128" s="1473">
        <f>AU43*80</f>
        <v>0</v>
      </c>
      <c r="AW128" s="1473" t="e">
        <f>'Ch41 Calc Data'!P17*100</f>
        <v>#DIV/0!</v>
      </c>
      <c r="AX128" s="1605"/>
      <c r="AY128" s="1474" t="e">
        <f>AY43*80</f>
        <v>#DIV/0!</v>
      </c>
      <c r="BA128" s="1474" t="e">
        <f>'Ch41 Calc Data'!Q17*100</f>
        <v>#DIV/0!</v>
      </c>
      <c r="BC128" s="1474">
        <f>BC43*80</f>
        <v>0</v>
      </c>
      <c r="BE128" s="1474" t="e">
        <f>'Ch41 Calc Data'!Q17*100</f>
        <v>#DIV/0!</v>
      </c>
      <c r="BF128" s="1612"/>
      <c r="BG128" s="1765" t="e">
        <f>BG43*80</f>
        <v>#DIV/0!</v>
      </c>
      <c r="BI128" s="1765" t="e">
        <f>'Ch41 Calc Data'!R17*100</f>
        <v>#DIV/0!</v>
      </c>
      <c r="BK128" s="1765">
        <f>BK43*80</f>
        <v>0</v>
      </c>
      <c r="BM128" s="1765" t="e">
        <f>'Ch41 Calc Data'!R17*100</f>
        <v>#DIV/0!</v>
      </c>
      <c r="BN128" s="1766"/>
    </row>
    <row r="129" spans="3:66">
      <c r="C129" s="2057"/>
      <c r="D129" s="2057"/>
      <c r="E129" s="2057"/>
      <c r="F129" s="2057"/>
      <c r="G129" s="2057"/>
      <c r="H129" s="2057"/>
      <c r="I129" s="2370"/>
      <c r="K129" s="1455"/>
      <c r="L129" s="1455"/>
      <c r="M129" s="1455"/>
      <c r="N129" s="1455"/>
      <c r="O129" s="1455"/>
      <c r="P129" s="1455"/>
      <c r="R129" s="1567"/>
      <c r="Z129" s="1560"/>
      <c r="AH129" s="1582"/>
      <c r="AP129" s="1594"/>
      <c r="AX129" s="1605"/>
      <c r="BF129" s="1612"/>
      <c r="BN129" s="1766"/>
    </row>
    <row r="130" spans="3:66">
      <c r="C130" s="2057"/>
      <c r="D130" s="2057"/>
      <c r="E130" s="2057">
        <f>IF('Data Entry - SOF'!C137=0,0,'Data Entry - SOF'!C136*(E48/'Data Entry - SOF'!C93))</f>
        <v>0</v>
      </c>
      <c r="F130" s="2057"/>
      <c r="G130" s="2057"/>
      <c r="H130" s="2057"/>
      <c r="I130" s="2370">
        <f>IF('Data Entry - SOF'!C137=0,0,IF(I41=0,0,'Data Entry - SOF'!C136*('Option Costs-HH'!I48/'Data Entry - SOF'!C93)))</f>
        <v>0</v>
      </c>
      <c r="K130" s="1455"/>
      <c r="L130" s="1455"/>
      <c r="M130" s="1455" t="e">
        <f>IF('Data Entry - SOF'!#REF!=0,0,'Data Entry - SOF'!#REF!*(M48/'Data Entry - SOF'!#REF!))</f>
        <v>#REF!</v>
      </c>
      <c r="N130" s="1455"/>
      <c r="O130" s="1455"/>
      <c r="P130" s="1455"/>
      <c r="Q130" s="1460" t="e">
        <f>IF('Data Entry - SOF'!#REF!=0,0,IF(Q41=0,0,'Data Entry - SOF'!#REF!*(Q48/'Data Entry - SOF'!#REF!)))</f>
        <v>#REF!</v>
      </c>
      <c r="R130" s="1567"/>
      <c r="U130" s="1438">
        <f>IF('Data Entry - SOF'!E137=0,0,'Data Entry - SOF'!E136*(U48/'Data Entry - SOF'!E93))</f>
        <v>0</v>
      </c>
      <c r="Y130" s="1438">
        <f>IF('Data Entry - SOF'!E137=0,0,IF(Y41=0,0,'Data Entry - SOF'!E136*(Y48/'Data Entry - SOF'!E93)))</f>
        <v>0</v>
      </c>
      <c r="Z130" s="1560"/>
      <c r="AC130" s="1471">
        <f>IF('Data Entry - SOF'!G137=0,0,'Data Entry - SOF'!G136*(AC48/'Data Entry - SOF'!G93))</f>
        <v>0</v>
      </c>
      <c r="AG130" s="1471">
        <f>IF('Data Entry - SOF'!G137=0,0,IF(AG41=0,0,'Data Entry - SOF'!G136*(AG48/'Data Entry - SOF'!G93)))</f>
        <v>0</v>
      </c>
      <c r="AH130" s="1582"/>
      <c r="AK130" s="1472">
        <f>IF('Data Entry - SOF'!M137=0,0,'Data Entry - SOF'!M136*(AK48/'Data Entry - SOF'!M93))</f>
        <v>0</v>
      </c>
      <c r="AO130" s="1472">
        <f>IF('Data Entry - SOF'!M137=0,0,IF(AO41=0,0,'Data Entry - SOF'!M136*(AO48/'Data Entry - SOF'!M93)))</f>
        <v>0</v>
      </c>
      <c r="AP130" s="1594"/>
      <c r="AS130" s="1473">
        <f>IF('Data Entry - SOF'!O137=0,0,'Data Entry - SOF'!O136*(AS48/'Data Entry - SOF'!O93))</f>
        <v>0</v>
      </c>
      <c r="AW130" s="1473">
        <f>IF('Data Entry - SOF'!O137=0,0,IF(AW41=0,0,'Data Entry - SOF'!O136*(AW48/'Data Entry - SOF'!O93)))</f>
        <v>0</v>
      </c>
      <c r="AX130" s="1605"/>
      <c r="BA130" s="1474">
        <f>IF('Data Entry - SOF'!Q137=0,0,'Data Entry - SOF'!Q136*(BA48/'Data Entry - SOF'!Q93))</f>
        <v>0</v>
      </c>
      <c r="BE130" s="1474">
        <f>IF('Data Entry - SOF'!Q137=0,0,IF(BE41=0,0,'Data Entry - SOF'!Q136*(BE48/'Data Entry - SOF'!Q93)))</f>
        <v>0</v>
      </c>
      <c r="BF130" s="1612"/>
      <c r="BI130" s="1765">
        <f>IF('Data Entry - SOF'!S137=0,0,'Data Entry - SOF'!S136*(BI48/'Data Entry - SOF'!S93))</f>
        <v>0</v>
      </c>
      <c r="BM130" s="1765">
        <f>IF('Data Entry - SOF'!S137=0,0,IF(BM41=0,0,'Data Entry - SOF'!S136*(BM48/'Data Entry - SOF'!S93)))</f>
        <v>0</v>
      </c>
      <c r="BN130" s="1766"/>
    </row>
    <row r="131" spans="3:66">
      <c r="C131" s="2057"/>
      <c r="D131" s="2057"/>
      <c r="E131" s="2057"/>
      <c r="F131" s="2057"/>
      <c r="G131" s="2057"/>
      <c r="H131" s="2057"/>
      <c r="I131" s="2370"/>
      <c r="K131" s="1455"/>
      <c r="L131" s="1455"/>
      <c r="M131" s="1455"/>
      <c r="N131" s="1455"/>
      <c r="O131" s="1455"/>
      <c r="P131" s="1455"/>
      <c r="R131" s="1567"/>
      <c r="Z131" s="1560"/>
      <c r="AH131" s="1582"/>
      <c r="AP131" s="1594"/>
      <c r="AX131" s="1605"/>
      <c r="BF131" s="1612"/>
      <c r="BN131" s="1766"/>
    </row>
    <row r="132" spans="3:66">
      <c r="C132" s="2057"/>
      <c r="D132" s="2057"/>
      <c r="E132" s="2057"/>
      <c r="F132" s="2057"/>
      <c r="G132" s="2057"/>
      <c r="H132" s="2057"/>
      <c r="I132" s="2370"/>
      <c r="K132" s="1455"/>
      <c r="L132" s="1455"/>
      <c r="M132" s="1455"/>
      <c r="N132" s="1455"/>
      <c r="O132" s="1455"/>
      <c r="P132" s="1455"/>
      <c r="R132" s="1567"/>
      <c r="Z132" s="1560"/>
      <c r="AH132" s="1582"/>
      <c r="AP132" s="1594"/>
      <c r="AX132" s="1605"/>
      <c r="BF132" s="1612"/>
      <c r="BN132" s="1766"/>
    </row>
    <row r="133" spans="3:66">
      <c r="C133" s="2057" t="s">
        <v>3830</v>
      </c>
      <c r="D133" s="2057"/>
      <c r="E133" s="2057"/>
      <c r="F133" s="2057"/>
      <c r="G133" s="2057"/>
      <c r="H133" s="2057"/>
      <c r="I133" s="2370"/>
      <c r="K133" s="1455" t="s">
        <v>3830</v>
      </c>
      <c r="L133" s="1455"/>
      <c r="M133" s="1455"/>
      <c r="N133" s="1455"/>
      <c r="O133" s="1455"/>
      <c r="P133" s="1455"/>
      <c r="R133" s="1567"/>
      <c r="S133" s="1438" t="s">
        <v>3830</v>
      </c>
      <c r="Z133" s="1560"/>
      <c r="AA133" s="1471" t="s">
        <v>3830</v>
      </c>
      <c r="AH133" s="1582"/>
      <c r="AI133" s="1472" t="s">
        <v>3830</v>
      </c>
      <c r="AP133" s="1594"/>
      <c r="AQ133" s="1473" t="s">
        <v>3830</v>
      </c>
      <c r="AX133" s="1605"/>
      <c r="AY133" s="1474" t="s">
        <v>3830</v>
      </c>
      <c r="BF133" s="1612"/>
      <c r="BG133" s="1765" t="s">
        <v>3830</v>
      </c>
      <c r="BN133" s="1766"/>
    </row>
    <row r="134" spans="3:66">
      <c r="C134" s="2057" t="e">
        <f>C79*0.04</f>
        <v>#REF!</v>
      </c>
      <c r="D134" s="2057"/>
      <c r="E134" s="2057" t="e">
        <f>E79*0.05</f>
        <v>#REF!</v>
      </c>
      <c r="F134" s="2057"/>
      <c r="G134" s="2057" t="e">
        <f>G79*0.04</f>
        <v>#REF!</v>
      </c>
      <c r="H134" s="2057"/>
      <c r="I134" s="2370" t="e">
        <f>I79*0.05</f>
        <v>#REF!</v>
      </c>
      <c r="K134" s="1455" t="e">
        <f>K79*0.04</f>
        <v>#REF!</v>
      </c>
      <c r="L134" s="1455"/>
      <c r="M134" s="1455" t="e">
        <f>M79*0.05</f>
        <v>#REF!</v>
      </c>
      <c r="N134" s="1455"/>
      <c r="O134" s="1455" t="e">
        <f>O79*0.04</f>
        <v>#REF!</v>
      </c>
      <c r="P134" s="1455"/>
      <c r="Q134" s="1460" t="e">
        <f>Q79*0.05</f>
        <v>#REF!</v>
      </c>
      <c r="R134" s="1567"/>
      <c r="S134" s="1438" t="e">
        <f>S79*0.04</f>
        <v>#DIV/0!</v>
      </c>
      <c r="U134" s="1438" t="e">
        <f>U79*0.05</f>
        <v>#DIV/0!</v>
      </c>
      <c r="W134" s="1438">
        <f>W79*0.04</f>
        <v>0</v>
      </c>
      <c r="Y134" s="1438">
        <f>Y79*0.05</f>
        <v>0</v>
      </c>
      <c r="Z134" s="1560"/>
      <c r="AA134" s="1471" t="e">
        <f>AA79*0.04</f>
        <v>#DIV/0!</v>
      </c>
      <c r="AC134" s="1471" t="e">
        <f>AC79*0.05</f>
        <v>#DIV/0!</v>
      </c>
      <c r="AE134" s="1471">
        <f>AE79*0.04</f>
        <v>0</v>
      </c>
      <c r="AG134" s="1471">
        <f>AG79*0.05</f>
        <v>0</v>
      </c>
      <c r="AH134" s="1582"/>
      <c r="AI134" s="1472" t="e">
        <f>AI79*0.04</f>
        <v>#DIV/0!</v>
      </c>
      <c r="AK134" s="1472" t="e">
        <f>AK79*0.05</f>
        <v>#DIV/0!</v>
      </c>
      <c r="AM134" s="1472">
        <f>AM79*0.04</f>
        <v>0</v>
      </c>
      <c r="AO134" s="1472">
        <f>AO79*0.05</f>
        <v>0</v>
      </c>
      <c r="AP134" s="1594"/>
      <c r="AQ134" s="1473" t="e">
        <f>AQ79*0.04</f>
        <v>#DIV/0!</v>
      </c>
      <c r="AS134" s="1473" t="e">
        <f>AS79*0.05</f>
        <v>#DIV/0!</v>
      </c>
      <c r="AU134" s="1473">
        <f>AU79*0.04</f>
        <v>0</v>
      </c>
      <c r="AW134" s="1473">
        <f>AW79*0.05</f>
        <v>0</v>
      </c>
      <c r="AX134" s="1605"/>
      <c r="AY134" s="1474" t="e">
        <f>AY79*0.04</f>
        <v>#DIV/0!</v>
      </c>
      <c r="BA134" s="1474" t="e">
        <f>BA79*0.05</f>
        <v>#DIV/0!</v>
      </c>
      <c r="BC134" s="1474">
        <f>BC79*0.04</f>
        <v>0</v>
      </c>
      <c r="BE134" s="1474">
        <f>BE79*0.05</f>
        <v>0</v>
      </c>
      <c r="BF134" s="1612"/>
      <c r="BG134" s="1765" t="e">
        <f>BG79*0.04</f>
        <v>#DIV/0!</v>
      </c>
      <c r="BI134" s="1765" t="e">
        <f>BI79*0.05</f>
        <v>#DIV/0!</v>
      </c>
      <c r="BK134" s="1765">
        <f>BK79*0.04</f>
        <v>0</v>
      </c>
      <c r="BM134" s="1765">
        <f>BM79*0.05</f>
        <v>0</v>
      </c>
      <c r="BN134" s="1766"/>
    </row>
    <row r="135" spans="3:66">
      <c r="C135" s="2057" t="e">
        <f>C74*80</f>
        <v>#REF!</v>
      </c>
      <c r="D135" s="2057"/>
      <c r="E135" s="2057" t="e">
        <f>'Ch41 Calc Data'!K17*100</f>
        <v>#REF!</v>
      </c>
      <c r="F135" s="2057"/>
      <c r="G135" s="2057" t="e">
        <f>G74*80</f>
        <v>#REF!</v>
      </c>
      <c r="H135" s="2057"/>
      <c r="I135" s="2370" t="e">
        <f>'Ch41 Calc Data'!K17*100</f>
        <v>#REF!</v>
      </c>
      <c r="K135" s="1455" t="e">
        <f>K74*80</f>
        <v>#REF!</v>
      </c>
      <c r="L135" s="1455"/>
      <c r="M135" s="1455" t="e">
        <f>'Ch41 Calc Data'!L17*100</f>
        <v>#REF!</v>
      </c>
      <c r="N135" s="1455"/>
      <c r="O135" s="1455" t="e">
        <f>O74*80</f>
        <v>#REF!</v>
      </c>
      <c r="P135" s="1455"/>
      <c r="Q135" s="1460" t="e">
        <f>'Ch41 Calc Data'!L17*100</f>
        <v>#REF!</v>
      </c>
      <c r="R135" s="1567"/>
      <c r="S135" s="1438" t="e">
        <f>S74*80</f>
        <v>#DIV/0!</v>
      </c>
      <c r="U135" s="1438">
        <f>'Ch41 Calc Data'!M17*100</f>
        <v>0</v>
      </c>
      <c r="W135" s="1438">
        <f>W74*80</f>
        <v>0</v>
      </c>
      <c r="Y135" s="1438">
        <f>'Ch41 Calc Data'!M17*100</f>
        <v>0</v>
      </c>
      <c r="Z135" s="1560"/>
      <c r="AA135" s="1471" t="e">
        <f>AA74*80</f>
        <v>#DIV/0!</v>
      </c>
      <c r="AC135" s="1471">
        <f>'Ch41 Calc Data'!N17*100</f>
        <v>0</v>
      </c>
      <c r="AE135" s="1471">
        <f>AE74*80</f>
        <v>0</v>
      </c>
      <c r="AG135" s="1471">
        <f>'Ch41 Calc Data'!N17*100</f>
        <v>0</v>
      </c>
      <c r="AH135" s="1582"/>
      <c r="AI135" s="1472" t="e">
        <f>AI74*80</f>
        <v>#DIV/0!</v>
      </c>
      <c r="AK135" s="1472" t="e">
        <f>'Ch41 Calc Data'!O17*100</f>
        <v>#DIV/0!</v>
      </c>
      <c r="AM135" s="1472">
        <f>AM74*80</f>
        <v>0</v>
      </c>
      <c r="AO135" s="1472" t="e">
        <f>'Ch41 Calc Data'!O17*100</f>
        <v>#DIV/0!</v>
      </c>
      <c r="AP135" s="1594"/>
      <c r="AQ135" s="1473" t="e">
        <f>AQ74*80</f>
        <v>#DIV/0!</v>
      </c>
      <c r="AS135" s="1473" t="e">
        <f>'Ch41 Calc Data'!P17*100</f>
        <v>#DIV/0!</v>
      </c>
      <c r="AU135" s="1473">
        <f>AU74*80</f>
        <v>0</v>
      </c>
      <c r="AW135" s="1473" t="e">
        <f>'Ch41 Calc Data'!P17*100</f>
        <v>#DIV/0!</v>
      </c>
      <c r="AX135" s="1605"/>
      <c r="AY135" s="1474" t="e">
        <f>AY74*80</f>
        <v>#DIV/0!</v>
      </c>
      <c r="BA135" s="1474" t="e">
        <f>'Ch41 Calc Data'!Q17*100</f>
        <v>#DIV/0!</v>
      </c>
      <c r="BC135" s="1474">
        <f>BC74*80</f>
        <v>0</v>
      </c>
      <c r="BE135" s="1474" t="e">
        <f>'Ch41 Calc Data'!Q17*100</f>
        <v>#DIV/0!</v>
      </c>
      <c r="BF135" s="1612"/>
      <c r="BG135" s="1765" t="e">
        <f>BG74*80</f>
        <v>#DIV/0!</v>
      </c>
      <c r="BI135" s="1765" t="e">
        <f>'Ch41 Calc Data'!R17*100</f>
        <v>#DIV/0!</v>
      </c>
      <c r="BK135" s="1765">
        <f>BK74*80</f>
        <v>0</v>
      </c>
      <c r="BM135" s="1765" t="e">
        <f>'Ch41 Calc Data'!R17*100</f>
        <v>#DIV/0!</v>
      </c>
      <c r="BN135" s="1766"/>
    </row>
    <row r="136" spans="3:66">
      <c r="C136" s="2057"/>
      <c r="D136" s="2057"/>
      <c r="E136" s="2057"/>
      <c r="F136" s="2057"/>
      <c r="G136" s="2057"/>
      <c r="H136" s="2057"/>
      <c r="I136" s="2370"/>
      <c r="K136" s="1455"/>
      <c r="L136" s="1455"/>
      <c r="M136" s="1455"/>
      <c r="N136" s="1455"/>
      <c r="O136" s="1455"/>
      <c r="P136" s="1455"/>
      <c r="R136" s="1567"/>
      <c r="Z136" s="1560"/>
      <c r="AH136" s="1582"/>
      <c r="AP136" s="1594"/>
      <c r="AX136" s="1605"/>
      <c r="BF136" s="1612"/>
      <c r="BN136" s="1766"/>
    </row>
    <row r="137" spans="3:66">
      <c r="C137" s="2057"/>
      <c r="D137" s="2057"/>
      <c r="E137" s="2057">
        <f>IF('Data Entry - SOF'!C137=0,0,'Data Entry - SOF'!C136*(E79/'Data Entry - SOF'!C93))</f>
        <v>0</v>
      </c>
      <c r="F137" s="2057"/>
      <c r="G137" s="2057"/>
      <c r="H137" s="2057"/>
      <c r="I137" s="2370">
        <f>IF('Data Entry - SOF'!C137=0,0,IF(I72=0,0,'Data Entry - SOF'!C136*(I79/'Data Entry - SOF'!C93)))</f>
        <v>0</v>
      </c>
      <c r="K137" s="1455"/>
      <c r="L137" s="1455"/>
      <c r="M137" s="1455" t="e">
        <f>IF('Data Entry - SOF'!#REF!=0,0,'Data Entry - SOF'!#REF!*(M79/'Data Entry - SOF'!#REF!))</f>
        <v>#REF!</v>
      </c>
      <c r="N137" s="1455"/>
      <c r="O137" s="1455"/>
      <c r="P137" s="1455"/>
      <c r="Q137" s="1460" t="e">
        <f>IF('Data Entry - SOF'!#REF!=0,0,IF(Q72=0,0,'Data Entry - SOF'!#REF!*(Q79/'Data Entry - SOF'!#REF!)))</f>
        <v>#REF!</v>
      </c>
      <c r="R137" s="1567"/>
      <c r="U137" s="1438">
        <f>IF('Data Entry - SOF'!E137=0,0,'Data Entry - SOF'!E136*(U79/'Data Entry - SOF'!E93))</f>
        <v>0</v>
      </c>
      <c r="Y137" s="1438">
        <f>IF('Data Entry - SOF'!E137=0,0,IF(Y72=0,0,'Data Entry - SOF'!E136*(Y79/'Data Entry - SOF'!E93)))</f>
        <v>0</v>
      </c>
      <c r="Z137" s="1560"/>
      <c r="AC137" s="1471">
        <f>IF('Data Entry - SOF'!G137=0,0,'Data Entry - SOF'!G136*(AC79/'Data Entry - SOF'!G93))</f>
        <v>0</v>
      </c>
      <c r="AG137" s="1471">
        <f>IF('Data Entry - SOF'!G137=0,0,IF(AG72=0,0,'Data Entry - SOF'!G136*(AG79/'Data Entry - SOF'!G93)))</f>
        <v>0</v>
      </c>
      <c r="AH137" s="1582"/>
      <c r="AK137" s="1472">
        <f>IF('Data Entry - SOF'!M137=0,0,'Data Entry - SOF'!M136*(AK79/'Data Entry - SOF'!M93))</f>
        <v>0</v>
      </c>
      <c r="AO137" s="1472">
        <f>IF('Data Entry - SOF'!M137=0,0,IF(AO72=0,0,'Data Entry - SOF'!M136*(AO79/'Data Entry - SOF'!M93)))</f>
        <v>0</v>
      </c>
      <c r="AP137" s="1594"/>
      <c r="AS137" s="1473">
        <f>IF('Data Entry - SOF'!O137=0,0,'Data Entry - SOF'!O136*(AS79/'Data Entry - SOF'!O93))</f>
        <v>0</v>
      </c>
      <c r="AW137" s="1473">
        <f>IF('Data Entry - SOF'!O137=0,0,IF(AW72=0,0,'Data Entry - SOF'!O136*(AW79/'Data Entry - SOF'!O93)))</f>
        <v>0</v>
      </c>
      <c r="AX137" s="1605"/>
      <c r="BA137" s="1474">
        <f>IF('Data Entry - SOF'!Q137=0,0,'Data Entry - SOF'!Q136*(BA79/'Data Entry - SOF'!Q93))</f>
        <v>0</v>
      </c>
      <c r="BE137" s="1474">
        <f>IF('Data Entry - SOF'!Q137=0,0,IF(BE72=0,0,'Data Entry - SOF'!Q136*(BE79/'Data Entry - SOF'!Q93)))</f>
        <v>0</v>
      </c>
      <c r="BF137" s="1612"/>
      <c r="BI137" s="1765">
        <f>IF('Data Entry - SOF'!S137=0,0,'Data Entry - SOF'!S136*(BI79/'Data Entry - SOF'!S93))</f>
        <v>0</v>
      </c>
      <c r="BM137" s="1765">
        <f>IF('Data Entry - SOF'!S137=0,0,IF(BM72=0,0,'Data Entry - SOF'!S136*(BM79/'Data Entry - SOF'!S93)))</f>
        <v>0</v>
      </c>
      <c r="BN137" s="1766"/>
    </row>
    <row r="138" spans="3:66">
      <c r="C138" s="2057"/>
      <c r="D138" s="2057"/>
      <c r="E138" s="2057"/>
      <c r="F138" s="2057"/>
      <c r="G138" s="2057"/>
      <c r="H138" s="2057"/>
      <c r="I138" s="2370"/>
      <c r="K138" s="1455"/>
      <c r="L138" s="1455"/>
      <c r="M138" s="1455"/>
      <c r="N138" s="1455"/>
      <c r="O138" s="1455"/>
      <c r="P138" s="1455"/>
      <c r="R138" s="1567"/>
      <c r="Z138" s="1560"/>
      <c r="AH138" s="1582"/>
      <c r="AP138" s="1594"/>
      <c r="AX138" s="1605"/>
      <c r="BF138" s="1612"/>
      <c r="BN138" s="1766"/>
    </row>
    <row r="139" spans="3:66">
      <c r="C139" s="2057"/>
      <c r="D139" s="2057"/>
      <c r="E139" s="2057"/>
      <c r="F139" s="2057"/>
      <c r="G139" s="2057"/>
      <c r="H139" s="2057"/>
      <c r="I139" s="2370"/>
      <c r="K139" s="1455"/>
      <c r="L139" s="1455"/>
      <c r="M139" s="1455"/>
      <c r="N139" s="1455"/>
      <c r="O139" s="1455"/>
      <c r="P139" s="1455"/>
      <c r="R139" s="1567"/>
      <c r="Z139" s="1560"/>
      <c r="AH139" s="1582"/>
      <c r="AP139" s="1594"/>
      <c r="AX139" s="1605"/>
      <c r="BF139" s="1612"/>
      <c r="BN139" s="1766"/>
    </row>
    <row r="140" spans="3:66">
      <c r="C140" s="2057" t="s">
        <v>3868</v>
      </c>
      <c r="D140" s="2057"/>
      <c r="E140" s="2057"/>
      <c r="F140" s="2057"/>
      <c r="G140" s="2057"/>
      <c r="H140" s="2057"/>
      <c r="I140" s="2370"/>
      <c r="K140" s="1455" t="s">
        <v>3868</v>
      </c>
      <c r="L140" s="1455"/>
      <c r="M140" s="1455"/>
      <c r="N140" s="1455"/>
      <c r="O140" s="1455"/>
      <c r="P140" s="1455"/>
      <c r="R140" s="1567"/>
      <c r="S140" s="1438" t="s">
        <v>3868</v>
      </c>
      <c r="Z140" s="1560"/>
      <c r="AA140" s="1471" t="s">
        <v>3868</v>
      </c>
      <c r="AH140" s="1582"/>
      <c r="AI140" s="1472" t="s">
        <v>3868</v>
      </c>
      <c r="AP140" s="1594"/>
      <c r="AQ140" s="1473" t="s">
        <v>3868</v>
      </c>
      <c r="AX140" s="1605"/>
      <c r="AY140" s="1474" t="s">
        <v>3868</v>
      </c>
      <c r="BF140" s="1612"/>
      <c r="BG140" s="1765" t="s">
        <v>3868</v>
      </c>
      <c r="BN140" s="1766"/>
    </row>
    <row r="141" spans="3:66">
      <c r="C141" s="2057" t="e">
        <f>C99*0.04</f>
        <v>#REF!</v>
      </c>
      <c r="D141" s="2057"/>
      <c r="E141" s="2057" t="e">
        <f>E99*0.05</f>
        <v>#REF!</v>
      </c>
      <c r="F141" s="2057"/>
      <c r="G141" s="2057" t="e">
        <f>G99*0.04</f>
        <v>#REF!</v>
      </c>
      <c r="H141" s="2057"/>
      <c r="I141" s="2370" t="e">
        <f>I99*0.05</f>
        <v>#REF!</v>
      </c>
      <c r="K141" s="1455" t="e">
        <f>K99*0.04</f>
        <v>#REF!</v>
      </c>
      <c r="L141" s="1455"/>
      <c r="M141" s="1455" t="e">
        <f>M99*0.05</f>
        <v>#REF!</v>
      </c>
      <c r="N141" s="1455"/>
      <c r="O141" s="1455" t="e">
        <f>O99*0.04</f>
        <v>#REF!</v>
      </c>
      <c r="P141" s="1455"/>
      <c r="Q141" s="1460" t="e">
        <f>Q99*0.05</f>
        <v>#REF!</v>
      </c>
      <c r="R141" s="1567"/>
      <c r="S141" s="1438" t="e">
        <f>S99*0.04</f>
        <v>#DIV/0!</v>
      </c>
      <c r="U141" s="1438" t="e">
        <f>U99*0.05</f>
        <v>#DIV/0!</v>
      </c>
      <c r="W141" s="1438" t="e">
        <f>W99*0.04</f>
        <v>#DIV/0!</v>
      </c>
      <c r="Y141" s="1438" t="e">
        <f>Y99*0.05</f>
        <v>#DIV/0!</v>
      </c>
      <c r="Z141" s="1560"/>
      <c r="AA141" s="1471" t="e">
        <f>AA99*0.04</f>
        <v>#DIV/0!</v>
      </c>
      <c r="AC141" s="1471" t="e">
        <f>AC99*0.05</f>
        <v>#DIV/0!</v>
      </c>
      <c r="AE141" s="1471" t="e">
        <f>AE99*0.04</f>
        <v>#DIV/0!</v>
      </c>
      <c r="AG141" s="1471" t="e">
        <f>AG99*0.05</f>
        <v>#DIV/0!</v>
      </c>
      <c r="AH141" s="1582"/>
      <c r="AI141" s="1472" t="e">
        <f>AI99*0.04</f>
        <v>#DIV/0!</v>
      </c>
      <c r="AK141" s="1472" t="e">
        <f>AK99*0.05</f>
        <v>#DIV/0!</v>
      </c>
      <c r="AM141" s="1472" t="e">
        <f>AM99*0.04</f>
        <v>#DIV/0!</v>
      </c>
      <c r="AO141" s="1472" t="e">
        <f>AO99*0.05</f>
        <v>#DIV/0!</v>
      </c>
      <c r="AP141" s="1594"/>
      <c r="AQ141" s="1473" t="e">
        <f>AQ99*0.04</f>
        <v>#DIV/0!</v>
      </c>
      <c r="AS141" s="1473" t="e">
        <f>AS99*0.05</f>
        <v>#DIV/0!</v>
      </c>
      <c r="AU141" s="1473" t="e">
        <f>AU99*0.04</f>
        <v>#DIV/0!</v>
      </c>
      <c r="AW141" s="1473" t="e">
        <f>AW99*0.05</f>
        <v>#DIV/0!</v>
      </c>
      <c r="AX141" s="1605"/>
      <c r="AY141" s="1474" t="e">
        <f>AY99*0.04</f>
        <v>#DIV/0!</v>
      </c>
      <c r="BA141" s="1474" t="e">
        <f>BA99*0.05</f>
        <v>#DIV/0!</v>
      </c>
      <c r="BC141" s="1474" t="e">
        <f>BC99*0.04</f>
        <v>#DIV/0!</v>
      </c>
      <c r="BE141" s="1474" t="e">
        <f>BE99*0.05</f>
        <v>#DIV/0!</v>
      </c>
      <c r="BF141" s="1612"/>
      <c r="BG141" s="1765" t="e">
        <f>BG99*0.04</f>
        <v>#DIV/0!</v>
      </c>
      <c r="BI141" s="1765" t="e">
        <f>BI99*0.05</f>
        <v>#DIV/0!</v>
      </c>
      <c r="BK141" s="1765" t="e">
        <f>BK99*0.04</f>
        <v>#DIV/0!</v>
      </c>
      <c r="BM141" s="1765" t="e">
        <f>BM99*0.05</f>
        <v>#DIV/0!</v>
      </c>
      <c r="BN141" s="1766"/>
    </row>
    <row r="142" spans="3:66">
      <c r="C142" s="2057" t="e">
        <f>C94*80</f>
        <v>#REF!</v>
      </c>
      <c r="D142" s="2057"/>
      <c r="E142" s="2057" t="e">
        <f>'Ch41 Calc Data'!K17*100</f>
        <v>#REF!</v>
      </c>
      <c r="F142" s="2057"/>
      <c r="G142" s="2057" t="e">
        <f>G94*80</f>
        <v>#REF!</v>
      </c>
      <c r="H142" s="2057"/>
      <c r="I142" s="2370" t="e">
        <f>'Ch41 Calc Data'!K17*100</f>
        <v>#REF!</v>
      </c>
      <c r="K142" s="1455" t="e">
        <f>K94*80</f>
        <v>#REF!</v>
      </c>
      <c r="L142" s="1455"/>
      <c r="M142" s="1455" t="e">
        <f>'Ch41 Calc Data'!L17*100</f>
        <v>#REF!</v>
      </c>
      <c r="N142" s="1455"/>
      <c r="O142" s="1455" t="e">
        <f>O94*80</f>
        <v>#REF!</v>
      </c>
      <c r="P142" s="1455"/>
      <c r="Q142" s="1460" t="e">
        <f>'Ch41 Calc Data'!L17*100</f>
        <v>#REF!</v>
      </c>
      <c r="R142" s="1567"/>
      <c r="S142" s="1438" t="e">
        <f>S94*80</f>
        <v>#DIV/0!</v>
      </c>
      <c r="U142" s="1438">
        <f>'Ch41 Calc Data'!M17*100</f>
        <v>0</v>
      </c>
      <c r="W142" s="1438" t="e">
        <f>W94*80</f>
        <v>#DIV/0!</v>
      </c>
      <c r="Y142" s="1438">
        <f>'Ch41 Calc Data'!M17*100</f>
        <v>0</v>
      </c>
      <c r="Z142" s="1560"/>
      <c r="AA142" s="1471" t="e">
        <f>AA94*80</f>
        <v>#DIV/0!</v>
      </c>
      <c r="AC142" s="1471">
        <f>'Ch41 Calc Data'!N17*100</f>
        <v>0</v>
      </c>
      <c r="AE142" s="1471" t="e">
        <f>AE94*80</f>
        <v>#DIV/0!</v>
      </c>
      <c r="AG142" s="1471">
        <f>'Ch41 Calc Data'!N17*100</f>
        <v>0</v>
      </c>
      <c r="AH142" s="1582"/>
      <c r="AI142" s="1472" t="e">
        <f>AI94*80</f>
        <v>#DIV/0!</v>
      </c>
      <c r="AK142" s="1472" t="e">
        <f>'Ch41 Calc Data'!O17*100</f>
        <v>#DIV/0!</v>
      </c>
      <c r="AM142" s="1472" t="e">
        <f>AM94*80</f>
        <v>#DIV/0!</v>
      </c>
      <c r="AO142" s="1472" t="e">
        <f>'Ch41 Calc Data'!O17*100</f>
        <v>#DIV/0!</v>
      </c>
      <c r="AP142" s="1594"/>
      <c r="AQ142" s="1473" t="e">
        <f>AQ94*80</f>
        <v>#DIV/0!</v>
      </c>
      <c r="AS142" s="1473" t="e">
        <f>'Ch41 Calc Data'!P17*100</f>
        <v>#DIV/0!</v>
      </c>
      <c r="AU142" s="1473" t="e">
        <f>AU94*80</f>
        <v>#DIV/0!</v>
      </c>
      <c r="AW142" s="1473" t="e">
        <f>'Ch41 Calc Data'!P17*100</f>
        <v>#DIV/0!</v>
      </c>
      <c r="AX142" s="1605"/>
      <c r="AY142" s="1474" t="e">
        <f>AY94*80</f>
        <v>#DIV/0!</v>
      </c>
      <c r="BA142" s="1474" t="e">
        <f>'Ch41 Calc Data'!Q17*100</f>
        <v>#DIV/0!</v>
      </c>
      <c r="BC142" s="1474" t="e">
        <f>BC94*80</f>
        <v>#DIV/0!</v>
      </c>
      <c r="BE142" s="1474" t="e">
        <f>'Ch41 Calc Data'!Q17*100</f>
        <v>#DIV/0!</v>
      </c>
      <c r="BF142" s="1612"/>
      <c r="BG142" s="1765" t="e">
        <f>BG94*80</f>
        <v>#DIV/0!</v>
      </c>
      <c r="BI142" s="1765" t="e">
        <f>'Ch41 Calc Data'!R17*100</f>
        <v>#DIV/0!</v>
      </c>
      <c r="BK142" s="1765" t="e">
        <f>BK94*80</f>
        <v>#DIV/0!</v>
      </c>
      <c r="BM142" s="1765" t="e">
        <f>'Ch41 Calc Data'!R17*100</f>
        <v>#DIV/0!</v>
      </c>
      <c r="BN142" s="1766"/>
    </row>
    <row r="143" spans="3:66">
      <c r="C143" s="2057"/>
      <c r="D143" s="2057"/>
      <c r="E143" s="2057"/>
      <c r="F143" s="2057"/>
      <c r="G143" s="2057"/>
      <c r="H143" s="2057"/>
      <c r="I143" s="2370"/>
      <c r="K143" s="1455"/>
      <c r="L143" s="1455"/>
      <c r="M143" s="1455"/>
      <c r="N143" s="1455"/>
      <c r="O143" s="1455"/>
      <c r="P143" s="1455"/>
      <c r="R143" s="1567"/>
      <c r="Z143" s="1560"/>
      <c r="AH143" s="1582"/>
      <c r="AP143" s="1594"/>
      <c r="AX143" s="1605"/>
      <c r="BF143" s="1612"/>
      <c r="BN143" s="1766"/>
    </row>
    <row r="144" spans="3:66">
      <c r="C144" s="2057"/>
      <c r="D144" s="2057"/>
      <c r="E144" s="2057">
        <f>IF('Data Entry - SOF'!C137=0,0,'Data Entry - SOF'!C136*(E99/#REF!))</f>
        <v>0</v>
      </c>
      <c r="F144" s="2057"/>
      <c r="G144" s="2057"/>
      <c r="H144" s="2057"/>
      <c r="I144" s="2370">
        <f>IF('Data Entry - SOF'!C137=0,0,'Data Entry - SOF'!C136*(I99/#REF!))</f>
        <v>0</v>
      </c>
      <c r="K144" s="1455"/>
      <c r="L144" s="1455"/>
      <c r="M144" s="1455" t="e">
        <f>IF('Data Entry - SOF'!#REF!=0,0,'Data Entry - SOF'!#REF!*(M99/'HH1718-Calcs'!D11))</f>
        <v>#REF!</v>
      </c>
      <c r="N144" s="1455"/>
      <c r="O144" s="1455"/>
      <c r="P144" s="1455"/>
      <c r="Q144" s="1460" t="e">
        <f>IF('Data Entry - SOF'!#REF!=0,0,'Data Entry - SOF'!#REF!*(Q99/'HH1718-Calcs'!D11))</f>
        <v>#REF!</v>
      </c>
      <c r="R144" s="1567"/>
      <c r="U144" s="1438">
        <f>IF('Data Entry - SOF'!E137=0,0,'Data Entry - SOF'!E136*(U99/'HH1819-Calcs'!D11))</f>
        <v>0</v>
      </c>
      <c r="Y144" s="1438">
        <f>IF('Data Entry - SOF'!E137=0,0,'Data Entry - SOF'!E136*(Y99/'HH1819-Calcs'!D11))</f>
        <v>0</v>
      </c>
      <c r="Z144" s="1560"/>
      <c r="AC144" s="1471">
        <f>IF('Data Entry - SOF'!G137=0,0,'Data Entry - SOF'!G136*(AC99/'HH1920-Calcs'!D11))</f>
        <v>0</v>
      </c>
      <c r="AG144" s="1471">
        <f>IF('Data Entry - SOF'!G137=0,0,'Data Entry - SOF'!G136*(AG99/'HH1920-Calcs'!D11))</f>
        <v>0</v>
      </c>
      <c r="AH144" s="1582"/>
      <c r="AK144" s="1472">
        <f>IF('Data Entry - SOF'!M137=0,0,'Data Entry - SOF'!M136*(AK99/'HH2021-Calcs'!D11))</f>
        <v>0</v>
      </c>
      <c r="AO144" s="1472">
        <f>IF('Data Entry - SOF'!M137=0,0,'Data Entry - SOF'!M136*(AO99/'HH2021-Calcs'!D11))</f>
        <v>0</v>
      </c>
      <c r="AP144" s="1594"/>
      <c r="AS144" s="1473">
        <f>IF('Data Entry - SOF'!O137=0,0,'Data Entry - SOF'!O136*(AS99/'HH2122-Calcs'!D11))</f>
        <v>0</v>
      </c>
      <c r="AW144" s="1473">
        <f>IF('Data Entry - SOF'!O137=0,0,'Data Entry - SOF'!O136*(AW99/'HH2122-Calcs'!D11))</f>
        <v>0</v>
      </c>
      <c r="AX144" s="1605"/>
      <c r="BA144" s="1474">
        <f>IF('Data Entry - SOF'!Q137=0,0,'Data Entry - SOF'!Q136*(BA99/'HH2223-Calcs'!D11))</f>
        <v>0</v>
      </c>
      <c r="BE144" s="1474">
        <f>IF('Data Entry - SOF'!Q137=0,0,'Data Entry - SOF'!Q136*(BE99/'HH2223-Calcs'!D11))</f>
        <v>0</v>
      </c>
      <c r="BF144" s="1612"/>
      <c r="BI144" s="1765">
        <f>IF('Data Entry - SOF'!S137=0,0,'Data Entry - SOF'!S136*(BI99/'HH2324-Calcs'!D11))</f>
        <v>0</v>
      </c>
      <c r="BM144" s="1765">
        <f>IF('Data Entry - SOF'!S137=0,0,'Data Entry - SOF'!S136*(BM99/'HH2324-Calcs'!D11))</f>
        <v>0</v>
      </c>
      <c r="BN144" s="1766"/>
    </row>
    <row r="145" spans="3:66">
      <c r="C145" s="2057"/>
      <c r="D145" s="2057"/>
      <c r="E145" s="2057"/>
      <c r="F145" s="2057"/>
      <c r="G145" s="2057"/>
      <c r="H145" s="2057"/>
      <c r="I145" s="2370"/>
      <c r="K145" s="1455"/>
      <c r="L145" s="1455"/>
      <c r="M145" s="1455"/>
      <c r="N145" s="1455"/>
      <c r="O145" s="1455"/>
      <c r="P145" s="1455"/>
      <c r="R145" s="1567"/>
      <c r="Z145" s="1560"/>
      <c r="AH145" s="1582"/>
      <c r="AP145" s="1594"/>
      <c r="AX145" s="1605"/>
      <c r="BF145" s="1612"/>
      <c r="BN145" s="1766"/>
    </row>
    <row r="146" spans="3:66">
      <c r="C146" s="2057"/>
      <c r="D146" s="2057"/>
      <c r="E146" s="2057"/>
      <c r="F146" s="2057"/>
      <c r="G146" s="2057"/>
      <c r="H146" s="2057"/>
      <c r="I146" s="2370"/>
      <c r="K146" s="1455"/>
      <c r="L146" s="1455"/>
      <c r="M146" s="1455"/>
      <c r="N146" s="1455"/>
      <c r="O146" s="1455"/>
      <c r="P146" s="1455"/>
      <c r="R146" s="1567"/>
      <c r="Z146" s="1560"/>
      <c r="AH146" s="1582"/>
      <c r="AP146" s="1594"/>
      <c r="AX146" s="1605"/>
      <c r="BF146" s="1612"/>
      <c r="BN146" s="1766"/>
    </row>
    <row r="147" spans="3:66">
      <c r="C147" s="2057" t="s">
        <v>6175</v>
      </c>
      <c r="D147" s="2057"/>
      <c r="E147" s="2057"/>
      <c r="F147" s="2057"/>
      <c r="G147" s="2057"/>
      <c r="H147" s="2057"/>
      <c r="I147" s="2370"/>
      <c r="K147" s="1455" t="s">
        <v>6175</v>
      </c>
      <c r="L147" s="1455"/>
      <c r="M147" s="1455"/>
      <c r="N147" s="1455"/>
      <c r="O147" s="1455"/>
      <c r="P147" s="1455"/>
      <c r="R147" s="1567"/>
      <c r="Z147" s="1560"/>
      <c r="AH147" s="1582"/>
      <c r="AP147" s="1594"/>
      <c r="AX147" s="1605"/>
      <c r="BF147" s="1612"/>
      <c r="BN147" s="1766"/>
    </row>
    <row r="148" spans="3:66">
      <c r="C148" s="2057" t="e">
        <f>C118*0.04</f>
        <v>#REF!</v>
      </c>
      <c r="D148" s="2057"/>
      <c r="E148" s="2057" t="e">
        <f>E118*0.05</f>
        <v>#REF!</v>
      </c>
      <c r="F148" s="2057"/>
      <c r="G148" s="2057" t="e">
        <f>G118*0.04</f>
        <v>#REF!</v>
      </c>
      <c r="H148" s="2057"/>
      <c r="I148" s="2370" t="e">
        <f>I118*0.05</f>
        <v>#REF!</v>
      </c>
      <c r="K148" s="1455" t="e">
        <f>K99*0.04</f>
        <v>#REF!</v>
      </c>
      <c r="L148" s="1455"/>
      <c r="M148" s="1455" t="e">
        <f>M99*0.05</f>
        <v>#REF!</v>
      </c>
      <c r="N148" s="1455"/>
      <c r="O148" s="1455" t="e">
        <f>O99*0.04</f>
        <v>#REF!</v>
      </c>
      <c r="P148" s="1455"/>
      <c r="Q148" s="1460" t="e">
        <f>Q99*0.05</f>
        <v>#REF!</v>
      </c>
      <c r="R148" s="1567"/>
      <c r="Z148" s="1560"/>
      <c r="AH148" s="1582"/>
      <c r="AP148" s="1594"/>
      <c r="AX148" s="1605"/>
      <c r="BF148" s="1612"/>
      <c r="BN148" s="1766"/>
    </row>
    <row r="149" spans="3:66">
      <c r="C149" s="2057" t="e">
        <f>C113*80</f>
        <v>#REF!</v>
      </c>
      <c r="D149" s="2057"/>
      <c r="E149" s="2057" t="e">
        <f>'Ch41 Calc Data'!K17*100</f>
        <v>#REF!</v>
      </c>
      <c r="F149" s="2057"/>
      <c r="G149" s="2057" t="e">
        <f>G113*80</f>
        <v>#REF!</v>
      </c>
      <c r="H149" s="2057"/>
      <c r="I149" s="2370" t="e">
        <f>'Ch41 Calc Data'!K17*100</f>
        <v>#REF!</v>
      </c>
      <c r="K149" s="1455" t="e">
        <f>K94*80</f>
        <v>#REF!</v>
      </c>
      <c r="L149" s="1455"/>
      <c r="M149" s="1455" t="e">
        <f>'Ch41 Calc Data'!L17*100</f>
        <v>#REF!</v>
      </c>
      <c r="N149" s="1455"/>
      <c r="O149" s="1455" t="e">
        <f>O94*80</f>
        <v>#REF!</v>
      </c>
      <c r="P149" s="1455"/>
      <c r="Q149" s="1460" t="e">
        <f>'Ch41 Calc Data'!L17*100</f>
        <v>#REF!</v>
      </c>
      <c r="R149" s="1567"/>
      <c r="Z149" s="1560"/>
      <c r="AH149" s="1582"/>
      <c r="AP149" s="1594"/>
      <c r="AX149" s="1605"/>
      <c r="BF149" s="1612"/>
      <c r="BN149" s="1766"/>
    </row>
    <row r="150" spans="3:66">
      <c r="C150" s="2057"/>
      <c r="D150" s="2057"/>
      <c r="E150" s="2057"/>
      <c r="F150" s="2057"/>
      <c r="G150" s="2057"/>
      <c r="H150" s="2057"/>
      <c r="I150" s="2370"/>
      <c r="K150" s="1455"/>
      <c r="L150" s="1455"/>
      <c r="M150" s="1455"/>
      <c r="N150" s="1455"/>
      <c r="O150" s="1455"/>
      <c r="P150" s="1455"/>
      <c r="R150" s="1567"/>
      <c r="Z150" s="1560"/>
      <c r="AH150" s="1582"/>
      <c r="AP150" s="1594"/>
      <c r="AX150" s="1605"/>
      <c r="BF150" s="1612"/>
      <c r="BN150" s="1766"/>
    </row>
    <row r="151" spans="3:66">
      <c r="C151" s="2057"/>
      <c r="D151" s="2057"/>
      <c r="E151" s="2057">
        <f>IF('Data Entry - SOF'!C137=0,0,'Data Entry - SOF'!C136*(E99/#REF!))</f>
        <v>0</v>
      </c>
      <c r="F151" s="2057"/>
      <c r="G151" s="2057"/>
      <c r="H151" s="2057"/>
      <c r="I151" s="2370">
        <f>IF('Data Entry - SOF'!C137=0,0,'Data Entry - SOF'!C136*(I99/#REF!))</f>
        <v>0</v>
      </c>
      <c r="K151" s="1455"/>
      <c r="L151" s="1455"/>
      <c r="M151" s="1455" t="e">
        <f>IF('Data Entry - SOF'!#REF!=0,0,'Data Entry - SOF'!#REF!*(M99/'HH1718-Calcs'!D11))</f>
        <v>#REF!</v>
      </c>
      <c r="N151" s="1455"/>
      <c r="O151" s="1455"/>
      <c r="P151" s="1455"/>
      <c r="Q151" s="1460" t="e">
        <f>IF('Data Entry - SOF'!#REF!=0,0,'Data Entry - SOF'!#REF!*(Q99/'HH1718-Calcs'!D11))</f>
        <v>#REF!</v>
      </c>
      <c r="R151" s="1567"/>
      <c r="Z151" s="1560"/>
      <c r="AH151" s="1582"/>
      <c r="AP151" s="1594"/>
      <c r="AX151" s="1605"/>
      <c r="BF151" s="1612"/>
      <c r="BN151" s="1766"/>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A16" zoomScale="90" zoomScaleNormal="90" workbookViewId="0">
      <selection activeCell="AA34" sqref="AA34"/>
    </sheetView>
  </sheetViews>
  <sheetFormatPr defaultRowHeight="12.75"/>
  <cols>
    <col min="2" max="2" width="49.5703125" customWidth="1"/>
    <col min="3" max="3" width="20.5703125" style="2058" hidden="1" customWidth="1"/>
    <col min="4" max="4" width="2.5703125" style="2058" hidden="1" customWidth="1"/>
    <col min="5" max="5" width="20.5703125" style="2058" hidden="1" customWidth="1"/>
    <col min="6" max="6" width="2.5703125" style="2058" hidden="1" customWidth="1"/>
    <col min="7" max="7" width="20.5703125" style="2058" hidden="1" customWidth="1"/>
    <col min="8" max="8" width="2.5703125" style="2058" hidden="1" customWidth="1"/>
    <col min="9" max="9" width="20.5703125" style="2058" hidden="1" customWidth="1"/>
    <col min="10" max="10" width="5.5703125" style="1431" customWidth="1"/>
    <col min="11" max="11" width="20.5703125" style="1448" hidden="1" customWidth="1"/>
    <col min="12" max="12" width="2.5703125" style="1448" hidden="1" customWidth="1"/>
    <col min="13" max="13" width="20.5703125" style="1448" hidden="1" customWidth="1"/>
    <col min="14" max="14" width="2.5703125" style="1448" hidden="1" customWidth="1"/>
    <col min="15" max="15" width="20.5703125" style="1448" hidden="1" customWidth="1"/>
    <col min="16" max="16" width="2.5703125" style="1448" hidden="1" customWidth="1"/>
    <col min="17" max="17" width="20.5703125" style="1460" hidden="1" customWidth="1"/>
    <col min="18" max="18" width="5.5703125" style="1432" hidden="1" customWidth="1"/>
    <col min="19" max="19" width="20.5703125" style="1438" customWidth="1"/>
    <col min="20" max="20" width="2.5703125" style="1438" customWidth="1"/>
    <col min="21" max="21" width="20.5703125" style="1438" customWidth="1"/>
    <col min="22" max="22" width="2.5703125" style="1438" customWidth="1"/>
    <col min="23" max="23" width="20.5703125" style="1438" customWidth="1"/>
    <col min="24" max="24" width="2.5703125" style="1438" customWidth="1"/>
    <col min="25" max="25" width="20.5703125" style="1438" customWidth="1"/>
    <col min="26" max="26" width="5.5703125" style="1438" customWidth="1"/>
    <col min="27" max="27" width="20.5703125" style="1471" customWidth="1"/>
    <col min="28" max="28" width="2.5703125" style="1471" customWidth="1"/>
    <col min="29" max="29" width="20.5703125" style="1471" customWidth="1"/>
    <col min="30" max="30" width="2.5703125" style="1471" customWidth="1"/>
    <col min="31" max="31" width="20.5703125" style="1471" customWidth="1"/>
    <col min="32" max="32" width="2.5703125" style="1471" customWidth="1"/>
    <col min="33" max="33" width="20.5703125" style="1471" customWidth="1"/>
    <col min="34" max="34" width="5.5703125" style="1471" customWidth="1"/>
    <col min="35" max="35" width="20.5703125" style="1472" customWidth="1"/>
    <col min="36" max="36" width="2.5703125" style="1472" customWidth="1"/>
    <col min="37" max="37" width="20.5703125" style="1472" customWidth="1"/>
    <col min="38" max="38" width="2.5703125" style="1472" customWidth="1"/>
    <col min="39" max="39" width="20.5703125" style="1472" customWidth="1"/>
    <col min="40" max="40" width="2.5703125" style="1472" customWidth="1"/>
    <col min="41" max="41" width="20.5703125" style="1472" customWidth="1"/>
    <col min="42" max="42" width="5.5703125" style="1472" customWidth="1"/>
    <col min="43" max="43" width="20.5703125" style="1473" customWidth="1"/>
    <col min="44" max="44" width="2.5703125" style="1473" customWidth="1"/>
    <col min="45" max="45" width="20.5703125" style="1473" customWidth="1"/>
    <col min="46" max="46" width="2.5703125" style="1473" customWidth="1"/>
    <col min="47" max="47" width="20.5703125" style="1473" customWidth="1"/>
    <col min="48" max="48" width="2.5703125" style="1473" customWidth="1"/>
    <col min="49" max="49" width="20.5703125" style="1473" customWidth="1"/>
    <col min="50" max="50" width="9.140625" style="1473"/>
    <col min="51" max="51" width="20.5703125" style="1474" customWidth="1"/>
    <col min="52" max="52" width="2.5703125" style="1474" customWidth="1"/>
    <col min="53" max="53" width="20.5703125" style="1474" customWidth="1"/>
    <col min="54" max="54" width="2.5703125" style="1474" customWidth="1"/>
    <col min="55" max="55" width="20.5703125" style="1474" customWidth="1"/>
    <col min="56" max="56" width="2.5703125" style="1474" customWidth="1"/>
    <col min="57" max="57" width="20.5703125" style="1474" customWidth="1"/>
    <col min="58" max="58" width="9.140625" style="1474"/>
    <col min="59" max="59" width="20.5703125" style="1765" customWidth="1"/>
    <col min="60" max="60" width="2.5703125" style="1765" customWidth="1"/>
    <col min="61" max="61" width="20.5703125" style="1765" customWidth="1"/>
    <col min="62" max="62" width="2.5703125" style="1765" customWidth="1"/>
    <col min="63" max="63" width="20.5703125" style="1765" customWidth="1"/>
    <col min="64" max="64" width="2.5703125" style="1765" customWidth="1"/>
    <col min="65" max="65" width="20.5703125" style="1765" customWidth="1"/>
    <col min="66" max="66" width="9.140625" style="1765"/>
  </cols>
  <sheetData>
    <row r="1" spans="1:66">
      <c r="I1" s="2070"/>
      <c r="R1" s="1567"/>
      <c r="Z1" s="1560"/>
      <c r="AH1" s="1582"/>
      <c r="AP1" s="1594"/>
      <c r="AX1" s="1605"/>
      <c r="BF1" s="1612"/>
      <c r="BN1" s="1766"/>
    </row>
    <row r="2" spans="1:66">
      <c r="I2" s="2070"/>
      <c r="R2" s="1567"/>
      <c r="Z2" s="1560"/>
      <c r="AH2" s="1582"/>
      <c r="AP2" s="1594"/>
      <c r="AX2" s="1605"/>
      <c r="BF2" s="1612"/>
      <c r="BN2" s="1766"/>
    </row>
    <row r="3" spans="1:66">
      <c r="I3" s="2070"/>
      <c r="R3" s="1567"/>
      <c r="Z3" s="1560"/>
      <c r="AH3" s="1582"/>
      <c r="AP3" s="1594"/>
      <c r="AX3" s="1605"/>
      <c r="BF3" s="1612"/>
      <c r="BN3" s="1766"/>
    </row>
    <row r="4" spans="1:66">
      <c r="I4" s="2070"/>
      <c r="R4" s="1567"/>
      <c r="Z4" s="1560"/>
      <c r="AH4" s="1582"/>
      <c r="AP4" s="1594"/>
      <c r="AX4" s="1605"/>
      <c r="BF4" s="1612"/>
      <c r="BN4" s="1766"/>
    </row>
    <row r="5" spans="1:66">
      <c r="I5" s="2070"/>
      <c r="R5" s="1567"/>
      <c r="Z5" s="1560"/>
      <c r="AH5" s="1582"/>
      <c r="AP5" s="1594"/>
      <c r="AX5" s="1605"/>
      <c r="BF5" s="1612"/>
      <c r="BN5" s="1766"/>
    </row>
    <row r="6" spans="1:66">
      <c r="I6" s="2070"/>
      <c r="R6" s="1567"/>
      <c r="Z6" s="1560"/>
      <c r="AH6" s="1582"/>
      <c r="AP6" s="1594"/>
      <c r="AX6" s="1605"/>
      <c r="BF6" s="1612"/>
      <c r="BN6" s="1766"/>
    </row>
    <row r="7" spans="1:66">
      <c r="C7" s="2353" t="s">
        <v>3138</v>
      </c>
      <c r="D7" s="2353"/>
      <c r="E7" s="2353" t="s">
        <v>3138</v>
      </c>
      <c r="F7" s="2353"/>
      <c r="G7" s="2353" t="s">
        <v>3138</v>
      </c>
      <c r="H7" s="2353"/>
      <c r="I7" s="2354" t="s">
        <v>3138</v>
      </c>
      <c r="K7" s="1449" t="s">
        <v>3144</v>
      </c>
      <c r="L7" s="1449"/>
      <c r="M7" s="1449" t="s">
        <v>3144</v>
      </c>
      <c r="N7" s="1449"/>
      <c r="O7" s="1449" t="s">
        <v>3144</v>
      </c>
      <c r="P7" s="1449"/>
      <c r="Q7" s="1461" t="s">
        <v>3144</v>
      </c>
      <c r="R7" s="1567"/>
      <c r="S7" s="1419" t="s">
        <v>3225</v>
      </c>
      <c r="T7" s="1419"/>
      <c r="U7" s="1419" t="s">
        <v>3225</v>
      </c>
      <c r="V7" s="1419"/>
      <c r="W7" s="1419" t="s">
        <v>3225</v>
      </c>
      <c r="X7" s="1419"/>
      <c r="Y7" s="1419" t="s">
        <v>3225</v>
      </c>
      <c r="Z7" s="1559"/>
      <c r="AA7" s="1467" t="s">
        <v>3284</v>
      </c>
      <c r="AB7" s="1467"/>
      <c r="AC7" s="1467" t="s">
        <v>3284</v>
      </c>
      <c r="AD7" s="1467"/>
      <c r="AE7" s="1467" t="s">
        <v>3284</v>
      </c>
      <c r="AF7" s="1467"/>
      <c r="AG7" s="1467" t="s">
        <v>3284</v>
      </c>
      <c r="AH7" s="1583"/>
      <c r="AI7" s="1468" t="s">
        <v>3922</v>
      </c>
      <c r="AJ7" s="1468"/>
      <c r="AK7" s="1468" t="s">
        <v>3922</v>
      </c>
      <c r="AL7" s="1468"/>
      <c r="AM7" s="1468" t="s">
        <v>3922</v>
      </c>
      <c r="AN7" s="1468"/>
      <c r="AO7" s="1468" t="s">
        <v>3922</v>
      </c>
      <c r="AP7" s="1595"/>
      <c r="AQ7" s="1469" t="s">
        <v>6374</v>
      </c>
      <c r="AR7" s="1469"/>
      <c r="AS7" s="1469" t="str">
        <f>AQ7</f>
        <v>2021-22</v>
      </c>
      <c r="AT7" s="1469"/>
      <c r="AU7" s="1469" t="str">
        <f>AS7</f>
        <v>2021-22</v>
      </c>
      <c r="AV7" s="1469"/>
      <c r="AW7" s="1469" t="str">
        <f>AU7</f>
        <v>2021-22</v>
      </c>
      <c r="AX7" s="1606"/>
      <c r="AY7" s="1470" t="s">
        <v>6939</v>
      </c>
      <c r="AZ7" s="1470"/>
      <c r="BA7" s="1470" t="str">
        <f>AY7</f>
        <v>2022-23</v>
      </c>
      <c r="BB7" s="1470"/>
      <c r="BC7" s="1470" t="str">
        <f>BA7</f>
        <v>2022-23</v>
      </c>
      <c r="BD7" s="1470"/>
      <c r="BE7" s="1470" t="str">
        <f>BC7</f>
        <v>2022-23</v>
      </c>
      <c r="BF7" s="1613"/>
      <c r="BG7" s="1767" t="s">
        <v>8157</v>
      </c>
      <c r="BH7" s="1767"/>
      <c r="BI7" s="1767" t="str">
        <f>BG7</f>
        <v>2023-24</v>
      </c>
      <c r="BJ7" s="1767"/>
      <c r="BK7" s="1767" t="str">
        <f>BI7</f>
        <v>2023-24</v>
      </c>
      <c r="BL7" s="1767"/>
      <c r="BM7" s="1767" t="str">
        <f>BK7</f>
        <v>2023-24</v>
      </c>
      <c r="BN7" s="1768"/>
    </row>
    <row r="8" spans="1:66">
      <c r="C8" s="2353" t="s">
        <v>2570</v>
      </c>
      <c r="D8" s="2353"/>
      <c r="E8" s="2353" t="s">
        <v>187</v>
      </c>
      <c r="F8" s="2353"/>
      <c r="G8" s="2353" t="s">
        <v>2570</v>
      </c>
      <c r="H8" s="2353"/>
      <c r="I8" s="2354" t="s">
        <v>187</v>
      </c>
      <c r="K8" s="1449" t="s">
        <v>2570</v>
      </c>
      <c r="L8" s="1449"/>
      <c r="M8" s="1449" t="s">
        <v>187</v>
      </c>
      <c r="N8" s="1449"/>
      <c r="O8" s="1449" t="s">
        <v>2570</v>
      </c>
      <c r="P8" s="1449"/>
      <c r="Q8" s="1461" t="s">
        <v>187</v>
      </c>
      <c r="R8" s="1567"/>
      <c r="S8" s="1419" t="s">
        <v>2570</v>
      </c>
      <c r="T8" s="1419"/>
      <c r="U8" s="1419" t="s">
        <v>187</v>
      </c>
      <c r="V8" s="1419"/>
      <c r="W8" s="1419" t="s">
        <v>2570</v>
      </c>
      <c r="X8" s="1419"/>
      <c r="Y8" s="1419" t="s">
        <v>187</v>
      </c>
      <c r="Z8" s="1559"/>
      <c r="AA8" s="1467" t="s">
        <v>2570</v>
      </c>
      <c r="AB8" s="1467"/>
      <c r="AC8" s="1467" t="s">
        <v>187</v>
      </c>
      <c r="AD8" s="1467"/>
      <c r="AE8" s="1467" t="s">
        <v>2570</v>
      </c>
      <c r="AF8" s="1467"/>
      <c r="AG8" s="1467" t="s">
        <v>187</v>
      </c>
      <c r="AH8" s="1583"/>
      <c r="AI8" s="1468" t="s">
        <v>2570</v>
      </c>
      <c r="AJ8" s="1468"/>
      <c r="AK8" s="1468" t="s">
        <v>187</v>
      </c>
      <c r="AL8" s="1468"/>
      <c r="AM8" s="1468" t="s">
        <v>2570</v>
      </c>
      <c r="AN8" s="1468"/>
      <c r="AO8" s="1468" t="s">
        <v>187</v>
      </c>
      <c r="AP8" s="1595"/>
      <c r="AQ8" s="1469" t="s">
        <v>2570</v>
      </c>
      <c r="AR8" s="1469"/>
      <c r="AS8" s="1469" t="s">
        <v>187</v>
      </c>
      <c r="AT8" s="1469"/>
      <c r="AU8" s="1469" t="s">
        <v>2570</v>
      </c>
      <c r="AV8" s="1469"/>
      <c r="AW8" s="1469" t="s">
        <v>187</v>
      </c>
      <c r="AX8" s="1606"/>
      <c r="AY8" s="1470" t="s">
        <v>2570</v>
      </c>
      <c r="AZ8" s="1470"/>
      <c r="BA8" s="1470" t="s">
        <v>187</v>
      </c>
      <c r="BB8" s="1470"/>
      <c r="BC8" s="1470" t="s">
        <v>2570</v>
      </c>
      <c r="BD8" s="1470"/>
      <c r="BE8" s="1470" t="s">
        <v>187</v>
      </c>
      <c r="BF8" s="1613"/>
      <c r="BG8" s="1767" t="s">
        <v>2570</v>
      </c>
      <c r="BH8" s="1767"/>
      <c r="BI8" s="1767" t="s">
        <v>187</v>
      </c>
      <c r="BJ8" s="1767"/>
      <c r="BK8" s="1767" t="s">
        <v>2570</v>
      </c>
      <c r="BL8" s="1767"/>
      <c r="BM8" s="1767" t="s">
        <v>187</v>
      </c>
      <c r="BN8" s="1768"/>
    </row>
    <row r="9" spans="1:66">
      <c r="C9" s="2355">
        <f>Assumptions!G92</f>
        <v>514000</v>
      </c>
      <c r="D9" s="2356"/>
      <c r="E9" s="2355">
        <f>C9</f>
        <v>514000</v>
      </c>
      <c r="F9" s="2356"/>
      <c r="G9" s="2355">
        <f>Assumptions!G93</f>
        <v>319500</v>
      </c>
      <c r="H9" s="2356"/>
      <c r="I9" s="2357">
        <f>G9</f>
        <v>319500</v>
      </c>
      <c r="K9" s="1450">
        <f>Assumptions!G103</f>
        <v>514000</v>
      </c>
      <c r="L9" s="1450"/>
      <c r="M9" s="1450">
        <f>K9</f>
        <v>514000</v>
      </c>
      <c r="N9" s="1450"/>
      <c r="O9" s="1450">
        <f>Assumptions!G104</f>
        <v>319500</v>
      </c>
      <c r="P9" s="1450"/>
      <c r="Q9" s="1462">
        <f>O9</f>
        <v>319500</v>
      </c>
      <c r="R9" s="1567"/>
      <c r="S9" s="1475">
        <f>Assumptions!G112</f>
        <v>514000</v>
      </c>
      <c r="T9" s="1475"/>
      <c r="U9" s="1475">
        <f>S9</f>
        <v>514000</v>
      </c>
      <c r="V9" s="1475"/>
      <c r="W9" s="1475">
        <f>Assumptions!G113</f>
        <v>319500</v>
      </c>
      <c r="X9" s="1475"/>
      <c r="Y9" s="1475">
        <f>W9</f>
        <v>319500</v>
      </c>
      <c r="Z9" s="1576"/>
      <c r="AA9" s="1476">
        <f>Assumptions!G121</f>
        <v>514000</v>
      </c>
      <c r="AB9" s="1476"/>
      <c r="AC9" s="1476">
        <f>AA9</f>
        <v>514000</v>
      </c>
      <c r="AD9" s="1476"/>
      <c r="AE9" s="1476">
        <f>Assumptions!G122</f>
        <v>319500</v>
      </c>
      <c r="AF9" s="1476"/>
      <c r="AG9" s="1476">
        <f>AE9</f>
        <v>319500</v>
      </c>
      <c r="AH9" s="1584"/>
      <c r="AI9" s="1477">
        <f>Assumptions!G130</f>
        <v>514000</v>
      </c>
      <c r="AJ9" s="1477"/>
      <c r="AK9" s="1477">
        <f>AI9</f>
        <v>514000</v>
      </c>
      <c r="AL9" s="1477"/>
      <c r="AM9" s="1477">
        <f>Assumptions!G131</f>
        <v>319500</v>
      </c>
      <c r="AN9" s="1477"/>
      <c r="AO9" s="1477">
        <f>AM9</f>
        <v>319500</v>
      </c>
      <c r="AP9" s="1596"/>
      <c r="AQ9" s="1478">
        <f>Assumptions!G139</f>
        <v>514000</v>
      </c>
      <c r="AR9" s="1478"/>
      <c r="AS9" s="1478">
        <f>AQ9</f>
        <v>514000</v>
      </c>
      <c r="AT9" s="1478"/>
      <c r="AU9" s="1478">
        <f>Assumptions!G140</f>
        <v>319500</v>
      </c>
      <c r="AV9" s="1478"/>
      <c r="AW9" s="1478">
        <f>AU9</f>
        <v>319500</v>
      </c>
      <c r="AX9" s="1607"/>
      <c r="AY9" s="1479">
        <f>Assumptions!G148</f>
        <v>514000</v>
      </c>
      <c r="AZ9" s="1479"/>
      <c r="BA9" s="1479">
        <f>AY9</f>
        <v>514000</v>
      </c>
      <c r="BB9" s="1479"/>
      <c r="BC9" s="1479">
        <f>Assumptions!G149</f>
        <v>319500</v>
      </c>
      <c r="BD9" s="1479"/>
      <c r="BE9" s="1479">
        <f>BC9</f>
        <v>319500</v>
      </c>
      <c r="BF9" s="1614"/>
      <c r="BG9" s="1769">
        <f>Assumptions!G157</f>
        <v>514000</v>
      </c>
      <c r="BH9" s="1769"/>
      <c r="BI9" s="1769">
        <f>BG9</f>
        <v>514000</v>
      </c>
      <c r="BJ9" s="1769"/>
      <c r="BK9" s="1769">
        <f>Assumptions!G158</f>
        <v>319500</v>
      </c>
      <c r="BL9" s="1769"/>
      <c r="BM9" s="1769">
        <f>BK9</f>
        <v>319500</v>
      </c>
      <c r="BN9" s="1770"/>
    </row>
    <row r="10" spans="1:66">
      <c r="I10" s="2070"/>
      <c r="R10" s="1567"/>
      <c r="Z10" s="1560"/>
      <c r="AH10" s="1582"/>
      <c r="AP10" s="1594"/>
      <c r="AX10" s="1605"/>
      <c r="BF10" s="1612"/>
      <c r="BN10" s="1766"/>
    </row>
    <row r="11" spans="1:66">
      <c r="C11" s="2356"/>
      <c r="D11" s="2356"/>
      <c r="E11" s="2356"/>
      <c r="F11" s="2356"/>
      <c r="G11" s="2356"/>
      <c r="H11" s="2356"/>
      <c r="I11" s="2358"/>
      <c r="R11" s="1567"/>
      <c r="Z11" s="1560"/>
      <c r="AH11" s="1582"/>
      <c r="AP11" s="1594"/>
      <c r="AX11" s="1605"/>
      <c r="BF11" s="1612"/>
      <c r="BN11" s="1766"/>
    </row>
    <row r="12" spans="1:66" ht="15.75">
      <c r="A12" s="30" t="s">
        <v>1475</v>
      </c>
      <c r="C12" s="2353" t="s">
        <v>2077</v>
      </c>
      <c r="E12" s="2353" t="s">
        <v>2077</v>
      </c>
      <c r="G12" s="2353" t="s">
        <v>2077</v>
      </c>
      <c r="I12" s="2354" t="s">
        <v>2077</v>
      </c>
      <c r="K12" s="1449" t="s">
        <v>2077</v>
      </c>
      <c r="L12" s="1449"/>
      <c r="M12" s="1449" t="s">
        <v>2077</v>
      </c>
      <c r="N12" s="1449"/>
      <c r="O12" s="1449" t="s">
        <v>2077</v>
      </c>
      <c r="P12" s="1449"/>
      <c r="Q12" s="1461" t="s">
        <v>2077</v>
      </c>
      <c r="R12" s="1567"/>
      <c r="S12" s="1419" t="s">
        <v>2077</v>
      </c>
      <c r="T12" s="1419"/>
      <c r="U12" s="1419" t="s">
        <v>2077</v>
      </c>
      <c r="V12" s="1419"/>
      <c r="W12" s="1419" t="s">
        <v>2077</v>
      </c>
      <c r="X12" s="1419"/>
      <c r="Y12" s="1419" t="s">
        <v>2077</v>
      </c>
      <c r="Z12" s="1559"/>
      <c r="AA12" s="1467" t="s">
        <v>2077</v>
      </c>
      <c r="AB12" s="1467"/>
      <c r="AC12" s="1467" t="s">
        <v>2077</v>
      </c>
      <c r="AD12" s="1467"/>
      <c r="AE12" s="1467" t="s">
        <v>2077</v>
      </c>
      <c r="AF12" s="1467"/>
      <c r="AG12" s="1467" t="s">
        <v>2077</v>
      </c>
      <c r="AH12" s="1583"/>
      <c r="AI12" s="1468" t="s">
        <v>2077</v>
      </c>
      <c r="AJ12" s="1468"/>
      <c r="AK12" s="1468" t="s">
        <v>2077</v>
      </c>
      <c r="AL12" s="1468"/>
      <c r="AM12" s="1468" t="s">
        <v>2077</v>
      </c>
      <c r="AN12" s="1468"/>
      <c r="AO12" s="1468" t="s">
        <v>2077</v>
      </c>
      <c r="AP12" s="1595"/>
      <c r="AQ12" s="1469" t="s">
        <v>2077</v>
      </c>
      <c r="AR12" s="1469"/>
      <c r="AS12" s="1469" t="s">
        <v>2077</v>
      </c>
      <c r="AT12" s="1469"/>
      <c r="AU12" s="1469" t="s">
        <v>2077</v>
      </c>
      <c r="AV12" s="1469"/>
      <c r="AW12" s="1469" t="s">
        <v>2077</v>
      </c>
      <c r="AX12" s="1606"/>
      <c r="AY12" s="1470" t="s">
        <v>2077</v>
      </c>
      <c r="AZ12" s="1470"/>
      <c r="BA12" s="1470" t="s">
        <v>2077</v>
      </c>
      <c r="BB12" s="1470"/>
      <c r="BC12" s="1470" t="s">
        <v>2077</v>
      </c>
      <c r="BD12" s="1470"/>
      <c r="BE12" s="1470" t="s">
        <v>2077</v>
      </c>
      <c r="BF12" s="1613"/>
      <c r="BG12" s="1767" t="s">
        <v>2077</v>
      </c>
      <c r="BH12" s="1767"/>
      <c r="BI12" s="1767" t="s">
        <v>2077</v>
      </c>
      <c r="BJ12" s="1767"/>
      <c r="BK12" s="1767" t="s">
        <v>2077</v>
      </c>
      <c r="BL12" s="1767"/>
      <c r="BM12" s="1767" t="s">
        <v>2077</v>
      </c>
      <c r="BN12" s="1768"/>
    </row>
    <row r="13" spans="1:66">
      <c r="A13" t="s">
        <v>458</v>
      </c>
      <c r="C13" s="2081">
        <f>'Data Entry - SOF'!C174+'Data Entry - SOF'!C175</f>
        <v>0</v>
      </c>
      <c r="D13" s="2085"/>
      <c r="E13" s="2081">
        <f>C13</f>
        <v>0</v>
      </c>
      <c r="F13" s="2085"/>
      <c r="G13" s="2081">
        <f>E13</f>
        <v>0</v>
      </c>
      <c r="H13" s="2085"/>
      <c r="I13" s="2082">
        <f>G13</f>
        <v>0</v>
      </c>
      <c r="K13" s="1454">
        <f>'Data Entry - SOF'!E174+'Data Entry - SOF'!E175</f>
        <v>0</v>
      </c>
      <c r="M13" s="1454">
        <f>K13</f>
        <v>0</v>
      </c>
      <c r="O13" s="1454">
        <f>M13</f>
        <v>0</v>
      </c>
      <c r="Q13" s="1463">
        <f>O13</f>
        <v>0</v>
      </c>
      <c r="R13" s="1567"/>
      <c r="S13" s="1562">
        <f>Q13</f>
        <v>0</v>
      </c>
      <c r="T13" s="1424"/>
      <c r="U13" s="1493">
        <f>S13</f>
        <v>0</v>
      </c>
      <c r="V13" s="1424"/>
      <c r="W13" s="1493">
        <f>U13</f>
        <v>0</v>
      </c>
      <c r="X13" s="1424"/>
      <c r="Y13" s="1493">
        <f>W13</f>
        <v>0</v>
      </c>
      <c r="Z13" s="1429"/>
      <c r="AA13" s="1571">
        <f>Y13</f>
        <v>0</v>
      </c>
      <c r="AB13" s="1495"/>
      <c r="AC13" s="1494">
        <f>AA13</f>
        <v>0</v>
      </c>
      <c r="AD13" s="1495"/>
      <c r="AE13" s="1494">
        <f>AC13</f>
        <v>0</v>
      </c>
      <c r="AF13" s="1495"/>
      <c r="AG13" s="1494">
        <f>AE13</f>
        <v>0</v>
      </c>
      <c r="AH13" s="1585"/>
      <c r="AI13" s="1428">
        <f>AG13</f>
        <v>0</v>
      </c>
      <c r="AJ13" s="1425"/>
      <c r="AK13" s="1496">
        <f>AI13</f>
        <v>0</v>
      </c>
      <c r="AL13" s="1425"/>
      <c r="AM13" s="1496">
        <f>AK13</f>
        <v>0</v>
      </c>
      <c r="AN13" s="1425"/>
      <c r="AO13" s="1496">
        <f>AM13</f>
        <v>0</v>
      </c>
      <c r="AP13" s="1430"/>
      <c r="AQ13" s="1589">
        <f>AO13</f>
        <v>0</v>
      </c>
      <c r="AR13" s="1498"/>
      <c r="AS13" s="1497">
        <f>AQ13</f>
        <v>0</v>
      </c>
      <c r="AT13" s="1498"/>
      <c r="AU13" s="1497">
        <f>AS13</f>
        <v>0</v>
      </c>
      <c r="AV13" s="1498"/>
      <c r="AW13" s="1497">
        <f>AU13</f>
        <v>0</v>
      </c>
      <c r="AX13" s="1608"/>
      <c r="AY13" s="1600">
        <f>AW13</f>
        <v>0</v>
      </c>
      <c r="AZ13" s="1500"/>
      <c r="BA13" s="1499">
        <f>AY13</f>
        <v>0</v>
      </c>
      <c r="BB13" s="1500"/>
      <c r="BC13" s="1499">
        <f>BA13</f>
        <v>0</v>
      </c>
      <c r="BD13" s="1500"/>
      <c r="BE13" s="1499">
        <f>BC13</f>
        <v>0</v>
      </c>
      <c r="BF13" s="1612"/>
      <c r="BG13" s="1771">
        <f>BE13</f>
        <v>0</v>
      </c>
      <c r="BH13" s="1772"/>
      <c r="BI13" s="1773">
        <f>BG13</f>
        <v>0</v>
      </c>
      <c r="BJ13" s="1772"/>
      <c r="BK13" s="1773">
        <f>BI13</f>
        <v>0</v>
      </c>
      <c r="BL13" s="1772"/>
      <c r="BM13" s="1773">
        <f>BK13</f>
        <v>0</v>
      </c>
      <c r="BN13" s="1766"/>
    </row>
    <row r="14" spans="1:66">
      <c r="A14" t="s">
        <v>459</v>
      </c>
      <c r="C14" s="2359">
        <f>'Data Entry - SOF'!C176</f>
        <v>0</v>
      </c>
      <c r="D14" s="2060"/>
      <c r="E14" s="2359">
        <f>C14</f>
        <v>0</v>
      </c>
      <c r="F14" s="2060"/>
      <c r="G14" s="2359">
        <f>E14</f>
        <v>0</v>
      </c>
      <c r="H14" s="2060"/>
      <c r="I14" s="2080">
        <f>G14</f>
        <v>0</v>
      </c>
      <c r="K14" s="1452">
        <f>'Data Entry - SOF'!E176</f>
        <v>0</v>
      </c>
      <c r="L14" s="1453"/>
      <c r="M14" s="1452">
        <f>K14</f>
        <v>0</v>
      </c>
      <c r="N14" s="1453"/>
      <c r="O14" s="1452">
        <f>M14</f>
        <v>0</v>
      </c>
      <c r="P14" s="1453"/>
      <c r="Q14" s="1464">
        <f>O14</f>
        <v>0</v>
      </c>
      <c r="R14" s="1567"/>
      <c r="S14" s="1563">
        <f>Q14</f>
        <v>0</v>
      </c>
      <c r="T14" s="1442"/>
      <c r="U14" s="1441">
        <f>S14</f>
        <v>0</v>
      </c>
      <c r="V14" s="1442"/>
      <c r="W14" s="1441">
        <f>U14</f>
        <v>0</v>
      </c>
      <c r="X14" s="1442"/>
      <c r="Y14" s="1441">
        <f>W14</f>
        <v>0</v>
      </c>
      <c r="Z14" s="1577"/>
      <c r="AA14" s="1572">
        <f>Y14</f>
        <v>0</v>
      </c>
      <c r="AB14" s="1502"/>
      <c r="AC14" s="1501">
        <f>AA14</f>
        <v>0</v>
      </c>
      <c r="AD14" s="1502"/>
      <c r="AE14" s="1501">
        <f>AC14</f>
        <v>0</v>
      </c>
      <c r="AF14" s="1502"/>
      <c r="AG14" s="1501">
        <f>AE14</f>
        <v>0</v>
      </c>
      <c r="AH14" s="1586"/>
      <c r="AI14" s="1579">
        <f>AG14</f>
        <v>0</v>
      </c>
      <c r="AJ14" s="1504"/>
      <c r="AK14" s="1503">
        <f>AI14</f>
        <v>0</v>
      </c>
      <c r="AL14" s="1504"/>
      <c r="AM14" s="1503">
        <f>AK14</f>
        <v>0</v>
      </c>
      <c r="AN14" s="1504"/>
      <c r="AO14" s="1503">
        <f>AM14</f>
        <v>0</v>
      </c>
      <c r="AP14" s="1597"/>
      <c r="AQ14" s="1590">
        <f>AO14</f>
        <v>0</v>
      </c>
      <c r="AR14" s="1506"/>
      <c r="AS14" s="1505">
        <f>AQ14</f>
        <v>0</v>
      </c>
      <c r="AT14" s="1506"/>
      <c r="AU14" s="1505">
        <f>AS14</f>
        <v>0</v>
      </c>
      <c r="AV14" s="1506"/>
      <c r="AW14" s="1505">
        <f>AU14</f>
        <v>0</v>
      </c>
      <c r="AX14" s="1609"/>
      <c r="AY14" s="1601">
        <f>AW14</f>
        <v>0</v>
      </c>
      <c r="AZ14" s="1508"/>
      <c r="BA14" s="1507">
        <f>AY14</f>
        <v>0</v>
      </c>
      <c r="BB14" s="1508"/>
      <c r="BC14" s="1507">
        <f>BA14</f>
        <v>0</v>
      </c>
      <c r="BD14" s="1508"/>
      <c r="BE14" s="1507">
        <f>BC14</f>
        <v>0</v>
      </c>
      <c r="BF14" s="1612"/>
      <c r="BG14" s="1774">
        <f>BE14</f>
        <v>0</v>
      </c>
      <c r="BH14" s="1775"/>
      <c r="BI14" s="1776">
        <f>BG14</f>
        <v>0</v>
      </c>
      <c r="BJ14" s="1775"/>
      <c r="BK14" s="1776">
        <f>BI14</f>
        <v>0</v>
      </c>
      <c r="BL14" s="1775"/>
      <c r="BM14" s="1776">
        <f>BK14</f>
        <v>0</v>
      </c>
      <c r="BN14" s="1766"/>
    </row>
    <row r="15" spans="1:66">
      <c r="A15" t="s">
        <v>516</v>
      </c>
      <c r="C15" s="2359" t="e">
        <f>'Ch41 Calc Data'!K17</f>
        <v>#REF!</v>
      </c>
      <c r="D15" s="2060"/>
      <c r="E15" s="2359" t="e">
        <f>C15</f>
        <v>#REF!</v>
      </c>
      <c r="F15" s="2060"/>
      <c r="G15" s="2359" t="e">
        <f>E15</f>
        <v>#REF!</v>
      </c>
      <c r="H15" s="2060"/>
      <c r="I15" s="2080" t="e">
        <f>G15</f>
        <v>#REF!</v>
      </c>
      <c r="K15" s="1452" t="e">
        <f>'Ch41 Calc Data'!L17</f>
        <v>#REF!</v>
      </c>
      <c r="L15" s="1453"/>
      <c r="M15" s="1452" t="e">
        <f>K15</f>
        <v>#REF!</v>
      </c>
      <c r="N15" s="1453"/>
      <c r="O15" s="1452" t="e">
        <f>M15</f>
        <v>#REF!</v>
      </c>
      <c r="P15" s="1453"/>
      <c r="Q15" s="1464" t="e">
        <f>O15</f>
        <v>#REF!</v>
      </c>
      <c r="R15" s="1567"/>
      <c r="S15" s="1563">
        <f>'Ch41 Calc Data'!M17</f>
        <v>0</v>
      </c>
      <c r="T15" s="1442"/>
      <c r="U15" s="1441">
        <f>S15</f>
        <v>0</v>
      </c>
      <c r="V15" s="1442"/>
      <c r="W15" s="1441">
        <f>U15</f>
        <v>0</v>
      </c>
      <c r="X15" s="1442"/>
      <c r="Y15" s="1441">
        <f>W15</f>
        <v>0</v>
      </c>
      <c r="Z15" s="1577"/>
      <c r="AA15" s="1572">
        <f>'Ch41 Calc Data'!N17</f>
        <v>0</v>
      </c>
      <c r="AB15" s="1502"/>
      <c r="AC15" s="1501">
        <f>AA15</f>
        <v>0</v>
      </c>
      <c r="AD15" s="1502"/>
      <c r="AE15" s="1501">
        <f>AC15</f>
        <v>0</v>
      </c>
      <c r="AF15" s="1502"/>
      <c r="AG15" s="1501">
        <f>AE15</f>
        <v>0</v>
      </c>
      <c r="AH15" s="1586"/>
      <c r="AI15" s="1579" t="e">
        <f>'Ch41 Calc Data'!O17</f>
        <v>#DIV/0!</v>
      </c>
      <c r="AJ15" s="1504"/>
      <c r="AK15" s="1503" t="e">
        <f>AI15</f>
        <v>#DIV/0!</v>
      </c>
      <c r="AL15" s="1504"/>
      <c r="AM15" s="1503" t="e">
        <f>AK15</f>
        <v>#DIV/0!</v>
      </c>
      <c r="AN15" s="1504"/>
      <c r="AO15" s="1503" t="e">
        <f>AM15</f>
        <v>#DIV/0!</v>
      </c>
      <c r="AP15" s="1597"/>
      <c r="AQ15" s="1590" t="e">
        <f>'Ch41 Calc Data'!P17</f>
        <v>#DIV/0!</v>
      </c>
      <c r="AR15" s="1506"/>
      <c r="AS15" s="1505" t="e">
        <f>AQ15</f>
        <v>#DIV/0!</v>
      </c>
      <c r="AT15" s="1506"/>
      <c r="AU15" s="1505" t="e">
        <f>AS15</f>
        <v>#DIV/0!</v>
      </c>
      <c r="AV15" s="1506"/>
      <c r="AW15" s="1505" t="e">
        <f>AU15</f>
        <v>#DIV/0!</v>
      </c>
      <c r="AX15" s="1609"/>
      <c r="AY15" s="1601" t="e">
        <f>'Ch41 Calc Data'!Q17</f>
        <v>#DIV/0!</v>
      </c>
      <c r="AZ15" s="1508"/>
      <c r="BA15" s="1507" t="e">
        <f>AY15</f>
        <v>#DIV/0!</v>
      </c>
      <c r="BB15" s="1508"/>
      <c r="BC15" s="1507" t="e">
        <f>BA15</f>
        <v>#DIV/0!</v>
      </c>
      <c r="BD15" s="1508"/>
      <c r="BE15" s="1507" t="e">
        <f>BC15</f>
        <v>#DIV/0!</v>
      </c>
      <c r="BF15" s="1612"/>
      <c r="BG15" s="1774" t="e">
        <f>'Ch41 Calc Data'!R17</f>
        <v>#DIV/0!</v>
      </c>
      <c r="BH15" s="1775"/>
      <c r="BI15" s="1776" t="e">
        <f>BG15</f>
        <v>#DIV/0!</v>
      </c>
      <c r="BJ15" s="1775"/>
      <c r="BK15" s="1776" t="e">
        <f>BI15</f>
        <v>#DIV/0!</v>
      </c>
      <c r="BL15" s="1775"/>
      <c r="BM15" s="1776" t="e">
        <f>BK15</f>
        <v>#DIV/0!</v>
      </c>
      <c r="BN15" s="1766"/>
    </row>
    <row r="16" spans="1:66">
      <c r="A16" t="s">
        <v>517</v>
      </c>
      <c r="C16" s="2359">
        <f>IF(C14=0,0,C15/C14)</f>
        <v>0</v>
      </c>
      <c r="D16" s="2060"/>
      <c r="E16" s="2359">
        <f>IF(E14=0,0,E15/E14)</f>
        <v>0</v>
      </c>
      <c r="F16" s="2060"/>
      <c r="G16" s="2359">
        <f>IF(G14=0,0,G15/G14)</f>
        <v>0</v>
      </c>
      <c r="H16" s="2060"/>
      <c r="I16" s="2080">
        <f>IF(I14=0,0,I15/I14)</f>
        <v>0</v>
      </c>
      <c r="K16" s="1452">
        <f>IF(K14=0,0,K15/K14)</f>
        <v>0</v>
      </c>
      <c r="L16" s="1453"/>
      <c r="M16" s="1452">
        <f>IF(M14=0,0,M15/M14)</f>
        <v>0</v>
      </c>
      <c r="N16" s="1453"/>
      <c r="O16" s="1452">
        <f>IF(O14=0,0,O15/O14)</f>
        <v>0</v>
      </c>
      <c r="P16" s="1453"/>
      <c r="Q16" s="1464">
        <f>IF(Q14=0,0,Q15/Q14)</f>
        <v>0</v>
      </c>
      <c r="R16" s="1567"/>
      <c r="S16" s="1563">
        <f>IF(S14=0,0,S15/S14)</f>
        <v>0</v>
      </c>
      <c r="T16" s="1442"/>
      <c r="U16" s="1441">
        <f>IF(U14=0,0,U15/U14)</f>
        <v>0</v>
      </c>
      <c r="V16" s="1442"/>
      <c r="W16" s="1441">
        <f>IF(W14=0,0,W15/W14)</f>
        <v>0</v>
      </c>
      <c r="X16" s="1442"/>
      <c r="Y16" s="1441">
        <f>IF(Y14=0,0,Y15/Y14)</f>
        <v>0</v>
      </c>
      <c r="Z16" s="1577"/>
      <c r="AA16" s="1572">
        <f>IF(AA14=0,0,AA15/AA14)</f>
        <v>0</v>
      </c>
      <c r="AB16" s="1502"/>
      <c r="AC16" s="1501">
        <f>IF(AC14=0,0,AC15/AC14)</f>
        <v>0</v>
      </c>
      <c r="AD16" s="1502"/>
      <c r="AE16" s="1501">
        <f>IF(AE14=0,0,AE15/AE14)</f>
        <v>0</v>
      </c>
      <c r="AF16" s="1502"/>
      <c r="AG16" s="1501">
        <f>IF(AG14=0,0,AG15/AG14)</f>
        <v>0</v>
      </c>
      <c r="AH16" s="1586"/>
      <c r="AI16" s="1579">
        <f>IF(AI14=0,0,AI15/AI14)</f>
        <v>0</v>
      </c>
      <c r="AJ16" s="1504"/>
      <c r="AK16" s="1503">
        <f>IF(AK14=0,0,AK15/AK14)</f>
        <v>0</v>
      </c>
      <c r="AL16" s="1504"/>
      <c r="AM16" s="1503">
        <f>IF(AM14=0,0,AM15/AM14)</f>
        <v>0</v>
      </c>
      <c r="AN16" s="1504"/>
      <c r="AO16" s="1503">
        <f>IF(AO14=0,0,AO15/AO14)</f>
        <v>0</v>
      </c>
      <c r="AP16" s="1597"/>
      <c r="AQ16" s="1590">
        <f>IF(AQ14=0,0,AQ15/AQ14)</f>
        <v>0</v>
      </c>
      <c r="AR16" s="1506"/>
      <c r="AS16" s="1505">
        <f>IF(AS14=0,0,AS15/AS14)</f>
        <v>0</v>
      </c>
      <c r="AT16" s="1506"/>
      <c r="AU16" s="1505">
        <f>IF(AU14=0,0,AU15/AU14)</f>
        <v>0</v>
      </c>
      <c r="AV16" s="1506"/>
      <c r="AW16" s="1505">
        <f>IF(AW14=0,0,AW15/AW14)</f>
        <v>0</v>
      </c>
      <c r="AX16" s="1609"/>
      <c r="AY16" s="1601">
        <f>IF(AY14=0,0,AY15/AY14)</f>
        <v>0</v>
      </c>
      <c r="AZ16" s="1508"/>
      <c r="BA16" s="1507">
        <f>IF(BA14=0,0,BA15/BA14)</f>
        <v>0</v>
      </c>
      <c r="BB16" s="1508"/>
      <c r="BC16" s="1507">
        <f>IF(BC14=0,0,BC15/BC14)</f>
        <v>0</v>
      </c>
      <c r="BD16" s="1508"/>
      <c r="BE16" s="1507">
        <f>IF(BE14=0,0,BE15/BE14)</f>
        <v>0</v>
      </c>
      <c r="BF16" s="1612"/>
      <c r="BG16" s="1774">
        <f>IF(BG14=0,0,BG15/BG14)</f>
        <v>0</v>
      </c>
      <c r="BH16" s="1775"/>
      <c r="BI16" s="1776">
        <f>IF(BI14=0,0,BI15/BI14)</f>
        <v>0</v>
      </c>
      <c r="BJ16" s="1775"/>
      <c r="BK16" s="1776">
        <f>IF(BK14=0,0,BK15/BK14)</f>
        <v>0</v>
      </c>
      <c r="BL16" s="1775"/>
      <c r="BM16" s="1776">
        <f>IF(BM14=0,0,BM15/BM14)</f>
        <v>0</v>
      </c>
      <c r="BN16" s="1766"/>
    </row>
    <row r="17" spans="1:66">
      <c r="A17" t="s">
        <v>2163</v>
      </c>
      <c r="C17" s="2081">
        <f>C13*C16</f>
        <v>0</v>
      </c>
      <c r="D17" s="2085"/>
      <c r="E17" s="2081">
        <f>E13*E16</f>
        <v>0</v>
      </c>
      <c r="F17" s="2085"/>
      <c r="G17" s="2081">
        <f>G13*G16</f>
        <v>0</v>
      </c>
      <c r="H17" s="2085"/>
      <c r="I17" s="2082">
        <f>I13*I16</f>
        <v>0</v>
      </c>
      <c r="K17" s="1454">
        <f>K13*K16</f>
        <v>0</v>
      </c>
      <c r="M17" s="1454">
        <f>M13*M16</f>
        <v>0</v>
      </c>
      <c r="O17" s="1454">
        <f>O13*O16</f>
        <v>0</v>
      </c>
      <c r="Q17" s="1463">
        <f>Q13*Q16</f>
        <v>0</v>
      </c>
      <c r="R17" s="1567"/>
      <c r="S17" s="1564">
        <f>S13*S16</f>
        <v>0</v>
      </c>
      <c r="T17" s="1440"/>
      <c r="U17" s="1439">
        <f>U13*U16</f>
        <v>0</v>
      </c>
      <c r="V17" s="1440"/>
      <c r="W17" s="1439">
        <f>W13*W16</f>
        <v>0</v>
      </c>
      <c r="X17" s="1440"/>
      <c r="Y17" s="1439">
        <f>Y13*Y16</f>
        <v>0</v>
      </c>
      <c r="Z17" s="1561"/>
      <c r="AA17" s="1573">
        <f>AA13*AA16</f>
        <v>0</v>
      </c>
      <c r="AB17" s="1510"/>
      <c r="AC17" s="1509">
        <f>AC13*AC16</f>
        <v>0</v>
      </c>
      <c r="AD17" s="1510"/>
      <c r="AE17" s="1509">
        <f>AE13*AE16</f>
        <v>0</v>
      </c>
      <c r="AF17" s="1510"/>
      <c r="AG17" s="1509">
        <f>AG13*AG16</f>
        <v>0</v>
      </c>
      <c r="AH17" s="1587"/>
      <c r="AI17" s="1426">
        <f>AI13*AI16</f>
        <v>0</v>
      </c>
      <c r="AJ17" s="1512"/>
      <c r="AK17" s="1511">
        <f>AK13*AK16</f>
        <v>0</v>
      </c>
      <c r="AL17" s="1512"/>
      <c r="AM17" s="1511">
        <f>AM13*AM16</f>
        <v>0</v>
      </c>
      <c r="AN17" s="1512"/>
      <c r="AO17" s="1511">
        <f>AO13*AO16</f>
        <v>0</v>
      </c>
      <c r="AP17" s="1598"/>
      <c r="AQ17" s="1591">
        <f>AQ13*AQ16</f>
        <v>0</v>
      </c>
      <c r="AR17" s="1514"/>
      <c r="AS17" s="1513">
        <f>AS13*AS16</f>
        <v>0</v>
      </c>
      <c r="AT17" s="1514"/>
      <c r="AU17" s="1513">
        <f>AU13*AU16</f>
        <v>0</v>
      </c>
      <c r="AV17" s="1514"/>
      <c r="AW17" s="1513">
        <f>AW13*AW16</f>
        <v>0</v>
      </c>
      <c r="AX17" s="1610"/>
      <c r="AY17" s="1602">
        <f>AY13*AY16</f>
        <v>0</v>
      </c>
      <c r="AZ17" s="1516"/>
      <c r="BA17" s="1515">
        <f>BA13*BA16</f>
        <v>0</v>
      </c>
      <c r="BB17" s="1516"/>
      <c r="BC17" s="1515">
        <f>BC13*BC16</f>
        <v>0</v>
      </c>
      <c r="BD17" s="1516"/>
      <c r="BE17" s="1515">
        <f>BE13*BE16</f>
        <v>0</v>
      </c>
      <c r="BF17" s="1612"/>
      <c r="BG17" s="1777">
        <f>BG13*BG16</f>
        <v>0</v>
      </c>
      <c r="BH17" s="1778"/>
      <c r="BI17" s="1779">
        <f>BI13*BI16</f>
        <v>0</v>
      </c>
      <c r="BJ17" s="1778"/>
      <c r="BK17" s="1779">
        <f>BK13*BK16</f>
        <v>0</v>
      </c>
      <c r="BL17" s="1778"/>
      <c r="BM17" s="1779">
        <f>BM13*BM16</f>
        <v>0</v>
      </c>
      <c r="BN17" s="1766"/>
    </row>
    <row r="18" spans="1:66">
      <c r="A18" t="s">
        <v>515</v>
      </c>
      <c r="C18" s="2081" t="e">
        <f>#REF!</f>
        <v>#REF!</v>
      </c>
      <c r="D18" s="2085"/>
      <c r="E18" s="2081" t="e">
        <f>C18</f>
        <v>#REF!</v>
      </c>
      <c r="F18" s="2085"/>
      <c r="G18" s="2081" t="e">
        <f>E18</f>
        <v>#REF!</v>
      </c>
      <c r="H18" s="2085"/>
      <c r="I18" s="2082" t="e">
        <f>G18</f>
        <v>#REF!</v>
      </c>
      <c r="K18" s="1454">
        <f>'SOF1718-SB1'!F75</f>
        <v>0</v>
      </c>
      <c r="L18" s="1455"/>
      <c r="M18" s="1454">
        <f>K18</f>
        <v>0</v>
      </c>
      <c r="N18" s="1455"/>
      <c r="O18" s="1454">
        <f>M18</f>
        <v>0</v>
      </c>
      <c r="P18" s="1455"/>
      <c r="Q18" s="1463">
        <f>O18</f>
        <v>0</v>
      </c>
      <c r="R18" s="1567"/>
      <c r="S18" s="1564">
        <f>'SOF1819-SB1'!F75</f>
        <v>0</v>
      </c>
      <c r="T18" s="1440"/>
      <c r="U18" s="1439">
        <f>S18</f>
        <v>0</v>
      </c>
      <c r="V18" s="1440"/>
      <c r="W18" s="1439">
        <f>U18</f>
        <v>0</v>
      </c>
      <c r="X18" s="1440"/>
      <c r="Y18" s="1439">
        <f>W18</f>
        <v>0</v>
      </c>
      <c r="Z18" s="1561"/>
      <c r="AA18" s="1573">
        <f>'SOF1920-HB3'!F110</f>
        <v>0</v>
      </c>
      <c r="AB18" s="1510"/>
      <c r="AC18" s="1509">
        <f>AA18</f>
        <v>0</v>
      </c>
      <c r="AD18" s="1510"/>
      <c r="AE18" s="1509">
        <f>AC18</f>
        <v>0</v>
      </c>
      <c r="AF18" s="1510"/>
      <c r="AG18" s="1509">
        <f>AE18</f>
        <v>0</v>
      </c>
      <c r="AH18" s="1587"/>
      <c r="AI18" s="1426">
        <f>'SOF2021-SB1'!F75</f>
        <v>0</v>
      </c>
      <c r="AJ18" s="1512"/>
      <c r="AK18" s="1511">
        <f>AI18</f>
        <v>0</v>
      </c>
      <c r="AL18" s="1512"/>
      <c r="AM18" s="1511">
        <f>AK18</f>
        <v>0</v>
      </c>
      <c r="AN18" s="1512"/>
      <c r="AO18" s="1511">
        <f>AM18</f>
        <v>0</v>
      </c>
      <c r="AP18" s="1598"/>
      <c r="AQ18" s="1591">
        <f>'SOF2122-SB1'!F75</f>
        <v>0</v>
      </c>
      <c r="AR18" s="1514"/>
      <c r="AS18" s="1513">
        <f>AQ18</f>
        <v>0</v>
      </c>
      <c r="AT18" s="1514"/>
      <c r="AU18" s="1513">
        <f>AS18</f>
        <v>0</v>
      </c>
      <c r="AV18" s="1514"/>
      <c r="AW18" s="1513">
        <f>AU18</f>
        <v>0</v>
      </c>
      <c r="AX18" s="1610"/>
      <c r="AY18" s="1602">
        <f>'SOF2223-SB1'!F75</f>
        <v>0</v>
      </c>
      <c r="AZ18" s="1516"/>
      <c r="BA18" s="1515">
        <f>AY18</f>
        <v>0</v>
      </c>
      <c r="BB18" s="1516"/>
      <c r="BC18" s="1515">
        <f>BA18</f>
        <v>0</v>
      </c>
      <c r="BD18" s="1516"/>
      <c r="BE18" s="1515">
        <f>BC18</f>
        <v>0</v>
      </c>
      <c r="BF18" s="1612"/>
      <c r="BG18" s="1777">
        <f>'SOF2324-SB1'!F75</f>
        <v>0</v>
      </c>
      <c r="BH18" s="1778"/>
      <c r="BI18" s="1779">
        <f>BG18</f>
        <v>0</v>
      </c>
      <c r="BJ18" s="1778"/>
      <c r="BK18" s="1779">
        <f>BI18</f>
        <v>0</v>
      </c>
      <c r="BL18" s="1778"/>
      <c r="BM18" s="1779">
        <f>BK18</f>
        <v>0</v>
      </c>
      <c r="BN18" s="1766"/>
    </row>
    <row r="19" spans="1:66">
      <c r="A19" t="s">
        <v>2164</v>
      </c>
      <c r="C19" s="2081" t="e">
        <f>C17-C18</f>
        <v>#REF!</v>
      </c>
      <c r="D19" s="2085"/>
      <c r="E19" s="2081" t="e">
        <f>E17-E18</f>
        <v>#REF!</v>
      </c>
      <c r="F19" s="2085"/>
      <c r="G19" s="2081" t="e">
        <f>G17-G18</f>
        <v>#REF!</v>
      </c>
      <c r="H19" s="2085"/>
      <c r="I19" s="2082" t="e">
        <f>I17-I18</f>
        <v>#REF!</v>
      </c>
      <c r="K19" s="1454">
        <f>K17-K18</f>
        <v>0</v>
      </c>
      <c r="L19" s="1455"/>
      <c r="M19" s="1454">
        <f>M17-M18</f>
        <v>0</v>
      </c>
      <c r="N19" s="1455"/>
      <c r="O19" s="1454">
        <f>O17-O18</f>
        <v>0</v>
      </c>
      <c r="P19" s="1455"/>
      <c r="Q19" s="1463">
        <f>Q17-Q18</f>
        <v>0</v>
      </c>
      <c r="R19" s="1567"/>
      <c r="S19" s="1564">
        <f>S17-S18</f>
        <v>0</v>
      </c>
      <c r="T19" s="1440"/>
      <c r="U19" s="1439">
        <f>U17-U18</f>
        <v>0</v>
      </c>
      <c r="V19" s="1440"/>
      <c r="W19" s="1439">
        <f>W17-W18</f>
        <v>0</v>
      </c>
      <c r="X19" s="1440"/>
      <c r="Y19" s="1439">
        <f>Y17-Y18</f>
        <v>0</v>
      </c>
      <c r="Z19" s="1561"/>
      <c r="AA19" s="1573">
        <f>AA17-AA18</f>
        <v>0</v>
      </c>
      <c r="AB19" s="1510"/>
      <c r="AC19" s="1509">
        <f>AC17-AC18</f>
        <v>0</v>
      </c>
      <c r="AD19" s="1510"/>
      <c r="AE19" s="1509">
        <f>AE17-AE18</f>
        <v>0</v>
      </c>
      <c r="AF19" s="1510"/>
      <c r="AG19" s="1509">
        <f>AG17-AG18</f>
        <v>0</v>
      </c>
      <c r="AH19" s="1587"/>
      <c r="AI19" s="1426">
        <f>AI17-AI18</f>
        <v>0</v>
      </c>
      <c r="AJ19" s="1512"/>
      <c r="AK19" s="1511">
        <f>AK17-AK18</f>
        <v>0</v>
      </c>
      <c r="AL19" s="1512"/>
      <c r="AM19" s="1511">
        <f>AM17-AM18</f>
        <v>0</v>
      </c>
      <c r="AN19" s="1512"/>
      <c r="AO19" s="1511">
        <f>AO17-AO18</f>
        <v>0</v>
      </c>
      <c r="AP19" s="1598"/>
      <c r="AQ19" s="1591">
        <f>AQ17-AQ18</f>
        <v>0</v>
      </c>
      <c r="AR19" s="1514"/>
      <c r="AS19" s="1513">
        <f>AS17-AS18</f>
        <v>0</v>
      </c>
      <c r="AT19" s="1514"/>
      <c r="AU19" s="1513">
        <f>AU17-AU18</f>
        <v>0</v>
      </c>
      <c r="AV19" s="1514"/>
      <c r="AW19" s="1513">
        <f>AW17-AW18</f>
        <v>0</v>
      </c>
      <c r="AX19" s="1610"/>
      <c r="AY19" s="1602">
        <f>AY17-AY18</f>
        <v>0</v>
      </c>
      <c r="AZ19" s="1516"/>
      <c r="BA19" s="1515">
        <f>BA17-BA18</f>
        <v>0</v>
      </c>
      <c r="BB19" s="1516"/>
      <c r="BC19" s="1515">
        <f>BC17-BC18</f>
        <v>0</v>
      </c>
      <c r="BD19" s="1516"/>
      <c r="BE19" s="1515">
        <f>BE17-BE18</f>
        <v>0</v>
      </c>
      <c r="BF19" s="1612"/>
      <c r="BG19" s="1777">
        <f>BG17-BG18</f>
        <v>0</v>
      </c>
      <c r="BH19" s="1778"/>
      <c r="BI19" s="1779">
        <f>BI17-BI18</f>
        <v>0</v>
      </c>
      <c r="BJ19" s="1778"/>
      <c r="BK19" s="1779">
        <f>BK17-BK18</f>
        <v>0</v>
      </c>
      <c r="BL19" s="1778"/>
      <c r="BM19" s="1779">
        <f>BM17-BM18</f>
        <v>0</v>
      </c>
      <c r="BN19" s="1766"/>
    </row>
    <row r="20" spans="1:66">
      <c r="A20" t="s">
        <v>1122</v>
      </c>
      <c r="C20" s="2359">
        <f>IF('Data Entry - SOF'!C174=0,0,('Data Entry - SOF'!C174/'Data Entry - SOF'!C177)+0.0082)</f>
        <v>0</v>
      </c>
      <c r="D20" s="2060"/>
      <c r="E20" s="2359">
        <f>C20</f>
        <v>0</v>
      </c>
      <c r="F20" s="2060"/>
      <c r="G20" s="2359">
        <f>E20</f>
        <v>0</v>
      </c>
      <c r="H20" s="2060"/>
      <c r="I20" s="2080">
        <f>G20</f>
        <v>0</v>
      </c>
      <c r="K20" s="1452">
        <f>IF('Data Entry - SOF'!E174=0,0,('Data Entry - SOF'!E174/'Data Entry - SOF'!E177)+0.0082)</f>
        <v>0</v>
      </c>
      <c r="L20" s="1453"/>
      <c r="M20" s="1452">
        <f>K20</f>
        <v>0</v>
      </c>
      <c r="N20" s="1453"/>
      <c r="O20" s="1452">
        <f>M20</f>
        <v>0</v>
      </c>
      <c r="P20" s="1453"/>
      <c r="Q20" s="1464">
        <f>O20</f>
        <v>0</v>
      </c>
      <c r="R20" s="1568"/>
      <c r="S20" s="1563">
        <f>IF('Data Entry - SOF'!E174=0,0,('Data Entry - SOF'!E174/'Data Entry - SOF'!E177)+0.0082)</f>
        <v>0</v>
      </c>
      <c r="T20" s="1442"/>
      <c r="U20" s="1441">
        <f>S20</f>
        <v>0</v>
      </c>
      <c r="V20" s="1442"/>
      <c r="W20" s="1441">
        <f>U20</f>
        <v>0</v>
      </c>
      <c r="X20" s="1442"/>
      <c r="Y20" s="1441">
        <f>W20</f>
        <v>0</v>
      </c>
      <c r="Z20" s="1577"/>
      <c r="AA20" s="1572">
        <f>IF('Data Entry - SOF'!E174=0,0,('Data Entry - SOF'!E174/'Data Entry - SOF'!E177)+0.0082)</f>
        <v>0</v>
      </c>
      <c r="AB20" s="1502"/>
      <c r="AC20" s="1501">
        <f>AA20</f>
        <v>0</v>
      </c>
      <c r="AD20" s="1502"/>
      <c r="AE20" s="1501">
        <f>AC20</f>
        <v>0</v>
      </c>
      <c r="AF20" s="1502"/>
      <c r="AG20" s="1501">
        <f>AE20</f>
        <v>0</v>
      </c>
      <c r="AH20" s="1586"/>
      <c r="AI20" s="1579">
        <f>IF('Data Entry - SOF'!E174=0,0,('Data Entry - SOF'!E174/'Data Entry - SOF'!E177)+0.0082)</f>
        <v>0</v>
      </c>
      <c r="AJ20" s="1504"/>
      <c r="AK20" s="1503">
        <f>AI20</f>
        <v>0</v>
      </c>
      <c r="AL20" s="1504"/>
      <c r="AM20" s="1503">
        <f>AK20</f>
        <v>0</v>
      </c>
      <c r="AN20" s="1504"/>
      <c r="AO20" s="1503">
        <f>AM20</f>
        <v>0</v>
      </c>
      <c r="AP20" s="1597"/>
      <c r="AQ20" s="1590">
        <f>IF('Data Entry - SOF'!E174=0,0,('Data Entry - SOF'!E174/'Data Entry - SOF'!E177)+0.0082)</f>
        <v>0</v>
      </c>
      <c r="AR20" s="1506"/>
      <c r="AS20" s="1505">
        <f>AQ20</f>
        <v>0</v>
      </c>
      <c r="AT20" s="1506"/>
      <c r="AU20" s="1505">
        <f>AS20</f>
        <v>0</v>
      </c>
      <c r="AV20" s="1506"/>
      <c r="AW20" s="1505">
        <f>AU20</f>
        <v>0</v>
      </c>
      <c r="AX20" s="1609"/>
      <c r="AY20" s="1601">
        <f>IF('Data Entry - SOF'!E174=0,0,('Data Entry - SOF'!E174/'Data Entry - SOF'!E177)+0.0082)</f>
        <v>0</v>
      </c>
      <c r="AZ20" s="1508"/>
      <c r="BA20" s="1507">
        <f>AY20</f>
        <v>0</v>
      </c>
      <c r="BB20" s="1508"/>
      <c r="BC20" s="1507">
        <f>BA20</f>
        <v>0</v>
      </c>
      <c r="BE20" s="1490">
        <f>BC20</f>
        <v>0</v>
      </c>
      <c r="BF20" s="1612"/>
      <c r="BG20" s="1774">
        <f>IF('Data Entry - SOF'!E174=0,0,('Data Entry - SOF'!E174/'Data Entry - SOF'!E177)+0.0082)</f>
        <v>0</v>
      </c>
      <c r="BH20" s="1775"/>
      <c r="BI20" s="1776">
        <f>BG20</f>
        <v>0</v>
      </c>
      <c r="BJ20" s="1775"/>
      <c r="BK20" s="1776">
        <f>BI20</f>
        <v>0</v>
      </c>
      <c r="BM20" s="1780">
        <f>BK20</f>
        <v>0</v>
      </c>
      <c r="BN20" s="1766"/>
    </row>
    <row r="21" spans="1:66">
      <c r="A21" t="s">
        <v>985</v>
      </c>
      <c r="C21" s="2359">
        <f>IF(C20&gt;0.015,C20,0.015)</f>
        <v>1.4999999999999999E-2</v>
      </c>
      <c r="D21" s="2060"/>
      <c r="E21" s="2359">
        <f>IF(E20&gt;0.015,E20,0.015)</f>
        <v>1.4999999999999999E-2</v>
      </c>
      <c r="F21" s="2060"/>
      <c r="G21" s="2359">
        <f>IF(G20&gt;0.015,G20,0.015)</f>
        <v>1.4999999999999999E-2</v>
      </c>
      <c r="H21" s="2060"/>
      <c r="I21" s="2080">
        <f>IF(I20&gt;0.015,I20,0.015)</f>
        <v>1.4999999999999999E-2</v>
      </c>
      <c r="K21" s="1452">
        <f>IF(K20&gt;0.015,K20,0.015)</f>
        <v>1.4999999999999999E-2</v>
      </c>
      <c r="L21" s="1453"/>
      <c r="M21" s="1452">
        <f>IF(M20&gt;0.015,M20,0.015)</f>
        <v>1.4999999999999999E-2</v>
      </c>
      <c r="N21" s="1453"/>
      <c r="O21" s="1452">
        <f>IF(O20&gt;0.015,O20,0.015)</f>
        <v>1.4999999999999999E-2</v>
      </c>
      <c r="P21" s="1453"/>
      <c r="Q21" s="1464">
        <f>IF(Q20&gt;0.015,Q20,0.015)</f>
        <v>1.4999999999999999E-2</v>
      </c>
      <c r="R21" s="1568"/>
      <c r="S21" s="1563">
        <f>IF(S20&gt;0.015,S20,0.015)</f>
        <v>1.4999999999999999E-2</v>
      </c>
      <c r="T21" s="1442"/>
      <c r="U21" s="1441">
        <f>IF(U20&gt;0.015,U20,0.015)</f>
        <v>1.4999999999999999E-2</v>
      </c>
      <c r="V21" s="1442"/>
      <c r="W21" s="1441">
        <f>IF(W20&gt;0.015,W20,0.015)</f>
        <v>1.4999999999999999E-2</v>
      </c>
      <c r="X21" s="1442"/>
      <c r="Y21" s="1441">
        <f>IF(Y20&gt;0.015,Y20,0.015)</f>
        <v>1.4999999999999999E-2</v>
      </c>
      <c r="Z21" s="1577"/>
      <c r="AA21" s="1572">
        <f>IF(AA20&gt;0.015,AA20,0.015)</f>
        <v>1.4999999999999999E-2</v>
      </c>
      <c r="AB21" s="1502"/>
      <c r="AC21" s="1501">
        <f>IF(AC20&gt;0.015,AC20,0.015)</f>
        <v>1.4999999999999999E-2</v>
      </c>
      <c r="AD21" s="1502"/>
      <c r="AE21" s="1501">
        <f>IF(AE20&gt;0.015,AE20,0.015)</f>
        <v>1.4999999999999999E-2</v>
      </c>
      <c r="AF21" s="1502"/>
      <c r="AG21" s="1501">
        <f>IF(AG20&gt;0.015,AG20,0.015)</f>
        <v>1.4999999999999999E-2</v>
      </c>
      <c r="AH21" s="1586"/>
      <c r="AI21" s="1579">
        <f>IF(AI20&gt;0.015,AI20,0.015)</f>
        <v>1.4999999999999999E-2</v>
      </c>
      <c r="AJ21" s="1504"/>
      <c r="AK21" s="1503">
        <f>IF(AK20&gt;0.015,AK20,0.015)</f>
        <v>1.4999999999999999E-2</v>
      </c>
      <c r="AL21" s="1504"/>
      <c r="AM21" s="1503">
        <f>IF(AM20&gt;0.015,AM20,0.015)</f>
        <v>1.4999999999999999E-2</v>
      </c>
      <c r="AN21" s="1504"/>
      <c r="AO21" s="1503">
        <f>IF(AO20&gt;0.015,AO20,0.015)</f>
        <v>1.4999999999999999E-2</v>
      </c>
      <c r="AP21" s="1597"/>
      <c r="AQ21" s="1590">
        <f>IF(AQ20&gt;0.015,AQ20,0.015)</f>
        <v>1.4999999999999999E-2</v>
      </c>
      <c r="AR21" s="1506"/>
      <c r="AS21" s="1505">
        <f>IF(AS20&gt;0.015,AS20,0.015)</f>
        <v>1.4999999999999999E-2</v>
      </c>
      <c r="AT21" s="1506"/>
      <c r="AU21" s="1505">
        <f>IF(AU20&gt;0.015,AU20,0.015)</f>
        <v>1.4999999999999999E-2</v>
      </c>
      <c r="AV21" s="1506"/>
      <c r="AW21" s="1505">
        <f>IF(AW20&gt;0.015,AW20,0.015)</f>
        <v>1.4999999999999999E-2</v>
      </c>
      <c r="AX21" s="1609"/>
      <c r="AY21" s="1601">
        <f>IF(AY20&gt;0.015,AY20,0.015)</f>
        <v>1.4999999999999999E-2</v>
      </c>
      <c r="AZ21" s="1508"/>
      <c r="BA21" s="1507">
        <f>IF(BA20&gt;0.015,BA20,0.015)</f>
        <v>1.4999999999999999E-2</v>
      </c>
      <c r="BB21" s="1508"/>
      <c r="BC21" s="1507">
        <f>IF(BC20&gt;0.015,BC20,0.015)</f>
        <v>1.4999999999999999E-2</v>
      </c>
      <c r="BE21" s="1490">
        <f>IF(BE20&gt;0.015,BE20,0.015)</f>
        <v>1.4999999999999999E-2</v>
      </c>
      <c r="BF21" s="1612"/>
      <c r="BG21" s="1774">
        <f>IF(BG20&gt;0.015,BG20,0.015)</f>
        <v>1.4999999999999999E-2</v>
      </c>
      <c r="BH21" s="1775"/>
      <c r="BI21" s="1776">
        <f>IF(BI20&gt;0.015,BI20,0.015)</f>
        <v>1.4999999999999999E-2</v>
      </c>
      <c r="BJ21" s="1775"/>
      <c r="BK21" s="1776">
        <f>IF(BK20&gt;0.015,BK20,0.015)</f>
        <v>1.4999999999999999E-2</v>
      </c>
      <c r="BM21" s="1780">
        <f>IF(BM20&gt;0.015,BM20,0.015)</f>
        <v>1.4999999999999999E-2</v>
      </c>
      <c r="BN21" s="1766"/>
    </row>
    <row r="22" spans="1:66">
      <c r="I22" s="2070"/>
      <c r="R22" s="1567"/>
      <c r="Z22" s="1560"/>
      <c r="AH22" s="1582"/>
      <c r="AP22" s="1594"/>
      <c r="AX22" s="1605"/>
      <c r="BF22" s="1612"/>
      <c r="BN22" s="1766"/>
    </row>
    <row r="23" spans="1:66" ht="15.75">
      <c r="A23" s="30" t="s">
        <v>1123</v>
      </c>
      <c r="I23" s="2070"/>
      <c r="R23" s="1567"/>
      <c r="Z23" s="1560"/>
      <c r="AH23" s="1582"/>
      <c r="AP23" s="1594"/>
      <c r="AX23" s="1605"/>
      <c r="BF23" s="1612"/>
      <c r="BN23" s="1766"/>
    </row>
    <row r="24" spans="1:66">
      <c r="A24" t="s">
        <v>1883</v>
      </c>
      <c r="C24" s="2081" t="e">
        <f>'Ch41 Calc Data'!K17*Assumptions!G92</f>
        <v>#REF!</v>
      </c>
      <c r="D24" s="2085"/>
      <c r="E24" s="2081" t="e">
        <f>C24</f>
        <v>#REF!</v>
      </c>
      <c r="F24" s="2085"/>
      <c r="G24" s="2081" t="e">
        <f>'Ch41 Calc Data'!K17*Assumptions!G93</f>
        <v>#REF!</v>
      </c>
      <c r="H24" s="2085"/>
      <c r="I24" s="2082" t="e">
        <f>G24</f>
        <v>#REF!</v>
      </c>
      <c r="K24" s="1454" t="e">
        <f>'Ch41 Calc Data'!L17*Assumptions!G103</f>
        <v>#REF!</v>
      </c>
      <c r="L24" s="1455"/>
      <c r="M24" s="1454" t="e">
        <f>K24</f>
        <v>#REF!</v>
      </c>
      <c r="N24" s="1455"/>
      <c r="O24" s="1454" t="e">
        <f>'Ch41 Calc Data'!L17*Assumptions!G104</f>
        <v>#REF!</v>
      </c>
      <c r="P24" s="1455"/>
      <c r="Q24" s="1463" t="e">
        <f>O24</f>
        <v>#REF!</v>
      </c>
      <c r="R24" s="1567"/>
      <c r="S24" s="1564">
        <f>'Ch41 Calc Data'!M17*Assumptions!G112</f>
        <v>0</v>
      </c>
      <c r="T24" s="1440"/>
      <c r="U24" s="1439">
        <f>S24</f>
        <v>0</v>
      </c>
      <c r="V24" s="1440"/>
      <c r="W24" s="1439">
        <f>'Ch41 Calc Data'!M17*Assumptions!G113</f>
        <v>0</v>
      </c>
      <c r="X24" s="1440"/>
      <c r="Y24" s="1439">
        <f>W24</f>
        <v>0</v>
      </c>
      <c r="Z24" s="1561"/>
      <c r="AA24" s="1573">
        <f>'Ch41 Calc Data'!N17*Assumptions!G121</f>
        <v>0</v>
      </c>
      <c r="AB24" s="1510"/>
      <c r="AC24" s="1509">
        <f>AA24</f>
        <v>0</v>
      </c>
      <c r="AD24" s="1510"/>
      <c r="AE24" s="1509">
        <f>'Ch41 Calc Data'!N17*Assumptions!G122</f>
        <v>0</v>
      </c>
      <c r="AF24" s="1510"/>
      <c r="AG24" s="1509">
        <f>AE24</f>
        <v>0</v>
      </c>
      <c r="AH24" s="1587"/>
      <c r="AI24" s="1426" t="e">
        <f>'Ch41 Calc Data'!O17*Assumptions!G130</f>
        <v>#DIV/0!</v>
      </c>
      <c r="AJ24" s="1512"/>
      <c r="AK24" s="1511" t="e">
        <f>AI24</f>
        <v>#DIV/0!</v>
      </c>
      <c r="AL24" s="1512"/>
      <c r="AM24" s="1511" t="e">
        <f>'Ch41 Calc Data'!O17*Assumptions!G131</f>
        <v>#DIV/0!</v>
      </c>
      <c r="AN24" s="1512"/>
      <c r="AO24" s="1511" t="e">
        <f>AM24</f>
        <v>#DIV/0!</v>
      </c>
      <c r="AP24" s="1598"/>
      <c r="AQ24" s="1591" t="e">
        <f>'Ch41 Calc Data'!P17*Assumptions!G139</f>
        <v>#DIV/0!</v>
      </c>
      <c r="AR24" s="1514"/>
      <c r="AS24" s="1513" t="e">
        <f>AQ24</f>
        <v>#DIV/0!</v>
      </c>
      <c r="AT24" s="1514"/>
      <c r="AU24" s="1513" t="e">
        <f>'Ch41 Calc Data'!P17*Assumptions!G140</f>
        <v>#DIV/0!</v>
      </c>
      <c r="AV24" s="1514"/>
      <c r="AW24" s="1513" t="e">
        <f>AU24</f>
        <v>#DIV/0!</v>
      </c>
      <c r="AX24" s="1610"/>
      <c r="AY24" s="1602" t="e">
        <f>'Ch41 Calc Data'!Q17*Assumptions!G148</f>
        <v>#DIV/0!</v>
      </c>
      <c r="AZ24" s="1516"/>
      <c r="BA24" s="1515" t="e">
        <f>AY24</f>
        <v>#DIV/0!</v>
      </c>
      <c r="BB24" s="1516"/>
      <c r="BC24" s="1515" t="e">
        <f>'Ch41 Calc Data'!Q17*Assumptions!G149</f>
        <v>#DIV/0!</v>
      </c>
      <c r="BD24" s="1516"/>
      <c r="BE24" s="1515" t="e">
        <f>BC24</f>
        <v>#DIV/0!</v>
      </c>
      <c r="BF24" s="1612"/>
      <c r="BG24" s="1777" t="e">
        <f>'Ch41 Calc Data'!R17*Assumptions!G157</f>
        <v>#DIV/0!</v>
      </c>
      <c r="BH24" s="1778"/>
      <c r="BI24" s="1779" t="e">
        <f>BG24</f>
        <v>#DIV/0!</v>
      </c>
      <c r="BJ24" s="1778"/>
      <c r="BK24" s="1779" t="e">
        <f>'Ch41 Calc Data'!R17*Assumptions!G158</f>
        <v>#DIV/0!</v>
      </c>
      <c r="BL24" s="1778"/>
      <c r="BM24" s="1779" t="e">
        <f>BK24</f>
        <v>#DIV/0!</v>
      </c>
      <c r="BN24" s="1766"/>
    </row>
    <row r="25" spans="1:66">
      <c r="I25" s="2070"/>
      <c r="K25" s="1455"/>
      <c r="L25" s="1455"/>
      <c r="M25" s="1455"/>
      <c r="N25" s="1455"/>
      <c r="O25" s="1455"/>
      <c r="P25" s="1455"/>
      <c r="R25" s="1567"/>
      <c r="S25" s="1440"/>
      <c r="T25" s="1440"/>
      <c r="U25" s="1440"/>
      <c r="V25" s="1440"/>
      <c r="W25" s="1440"/>
      <c r="X25" s="1440"/>
      <c r="Y25" s="1440"/>
      <c r="Z25" s="1561"/>
      <c r="AA25" s="1510"/>
      <c r="AB25" s="1510"/>
      <c r="AC25" s="1510"/>
      <c r="AD25" s="1510"/>
      <c r="AE25" s="1510"/>
      <c r="AF25" s="1510"/>
      <c r="AG25" s="1510"/>
      <c r="AH25" s="1587"/>
      <c r="AI25" s="1512"/>
      <c r="AJ25" s="1512"/>
      <c r="AK25" s="1512"/>
      <c r="AL25" s="1512"/>
      <c r="AM25" s="1512"/>
      <c r="AN25" s="1512"/>
      <c r="AO25" s="1512"/>
      <c r="AP25" s="1598"/>
      <c r="AQ25" s="1514"/>
      <c r="AR25" s="1514"/>
      <c r="AS25" s="1514"/>
      <c r="AT25" s="1514"/>
      <c r="AU25" s="1514"/>
      <c r="AV25" s="1514"/>
      <c r="AW25" s="1514"/>
      <c r="AX25" s="1610"/>
      <c r="AY25" s="1516"/>
      <c r="AZ25" s="1516"/>
      <c r="BA25" s="1516"/>
      <c r="BB25" s="1516"/>
      <c r="BC25" s="1516"/>
      <c r="BD25" s="1516"/>
      <c r="BE25" s="1516"/>
      <c r="BF25" s="1612"/>
      <c r="BG25" s="1778"/>
      <c r="BH25" s="1778"/>
      <c r="BI25" s="1778"/>
      <c r="BJ25" s="1778"/>
      <c r="BK25" s="1778"/>
      <c r="BL25" s="1778"/>
      <c r="BM25" s="1778"/>
      <c r="BN25" s="1766"/>
    </row>
    <row r="26" spans="1:66" ht="15.75">
      <c r="A26" s="30" t="s">
        <v>2092</v>
      </c>
      <c r="I26" s="2070"/>
      <c r="K26" s="1455"/>
      <c r="L26" s="1455"/>
      <c r="M26" s="1455"/>
      <c r="N26" s="1455"/>
      <c r="O26" s="1455"/>
      <c r="P26" s="1455"/>
      <c r="R26" s="1567"/>
      <c r="S26" s="1440"/>
      <c r="T26" s="1440"/>
      <c r="U26" s="1440"/>
      <c r="V26" s="1440"/>
      <c r="W26" s="1440"/>
      <c r="X26" s="1440"/>
      <c r="Y26" s="1440"/>
      <c r="Z26" s="1561"/>
      <c r="AA26" s="1510"/>
      <c r="AB26" s="1510"/>
      <c r="AC26" s="1510"/>
      <c r="AD26" s="1510"/>
      <c r="AE26" s="1510"/>
      <c r="AF26" s="1510"/>
      <c r="AG26" s="1510"/>
      <c r="AH26" s="1587"/>
      <c r="AI26" s="1512"/>
      <c r="AJ26" s="1512"/>
      <c r="AK26" s="1512"/>
      <c r="AL26" s="1512"/>
      <c r="AM26" s="1512"/>
      <c r="AN26" s="1512"/>
      <c r="AO26" s="1512"/>
      <c r="AP26" s="1598"/>
      <c r="AQ26" s="1514"/>
      <c r="AR26" s="1514"/>
      <c r="AS26" s="1514"/>
      <c r="AT26" s="1514"/>
      <c r="AU26" s="1514"/>
      <c r="AV26" s="1514"/>
      <c r="AW26" s="1514"/>
      <c r="AX26" s="1610"/>
      <c r="AY26" s="1516"/>
      <c r="AZ26" s="1516"/>
      <c r="BA26" s="1516"/>
      <c r="BB26" s="1516"/>
      <c r="BC26" s="1516"/>
      <c r="BD26" s="1516"/>
      <c r="BE26" s="1516"/>
      <c r="BF26" s="1612"/>
      <c r="BG26" s="1778"/>
      <c r="BH26" s="1778"/>
      <c r="BI26" s="1778"/>
      <c r="BJ26" s="1778"/>
      <c r="BK26" s="1778"/>
      <c r="BL26" s="1778"/>
      <c r="BM26" s="1778"/>
      <c r="BN26" s="1766"/>
    </row>
    <row r="27" spans="1:66">
      <c r="A27" t="s">
        <v>2390</v>
      </c>
      <c r="C27" s="2081" t="e">
        <f>C19/C21</f>
        <v>#REF!</v>
      </c>
      <c r="D27" s="2090"/>
      <c r="E27" s="2360" t="s">
        <v>1775</v>
      </c>
      <c r="F27" s="2090"/>
      <c r="G27" s="2081" t="e">
        <f>G19/G21</f>
        <v>#REF!</v>
      </c>
      <c r="H27" s="2090"/>
      <c r="I27" s="2361" t="s">
        <v>1775</v>
      </c>
      <c r="K27" s="1454">
        <f>K19/K21</f>
        <v>0</v>
      </c>
      <c r="L27" s="1455"/>
      <c r="M27" s="1456" t="s">
        <v>1775</v>
      </c>
      <c r="N27" s="1455"/>
      <c r="O27" s="1454">
        <f>O19/O21</f>
        <v>0</v>
      </c>
      <c r="P27" s="1455"/>
      <c r="Q27" s="1465" t="s">
        <v>1775</v>
      </c>
      <c r="R27" s="1567"/>
      <c r="S27" s="1564">
        <f>S19/S21</f>
        <v>0</v>
      </c>
      <c r="T27" s="1440"/>
      <c r="U27" s="1443" t="s">
        <v>1775</v>
      </c>
      <c r="V27" s="1440"/>
      <c r="W27" s="1439">
        <f>W19/W21</f>
        <v>0</v>
      </c>
      <c r="X27" s="1440"/>
      <c r="Y27" s="1443" t="s">
        <v>1775</v>
      </c>
      <c r="Z27" s="1561"/>
      <c r="AA27" s="1573">
        <f>AA19/AA21</f>
        <v>0</v>
      </c>
      <c r="AB27" s="1510"/>
      <c r="AC27" s="1517" t="s">
        <v>1775</v>
      </c>
      <c r="AD27" s="1510"/>
      <c r="AE27" s="1509">
        <f>AE19/AE21</f>
        <v>0</v>
      </c>
      <c r="AF27" s="1510"/>
      <c r="AG27" s="1517" t="s">
        <v>1775</v>
      </c>
      <c r="AH27" s="1587"/>
      <c r="AI27" s="1426">
        <f>AI19/AI21</f>
        <v>0</v>
      </c>
      <c r="AJ27" s="1512"/>
      <c r="AK27" s="1518" t="s">
        <v>1775</v>
      </c>
      <c r="AL27" s="1512"/>
      <c r="AM27" s="1511">
        <f>AM19/AM21</f>
        <v>0</v>
      </c>
      <c r="AN27" s="1512"/>
      <c r="AO27" s="1518" t="s">
        <v>1775</v>
      </c>
      <c r="AP27" s="1598"/>
      <c r="AQ27" s="1591">
        <f>AQ19/AQ21</f>
        <v>0</v>
      </c>
      <c r="AR27" s="1514"/>
      <c r="AS27" s="1519" t="s">
        <v>1775</v>
      </c>
      <c r="AT27" s="1514"/>
      <c r="AU27" s="1513">
        <f>AU19/AU21</f>
        <v>0</v>
      </c>
      <c r="AV27" s="1514"/>
      <c r="AW27" s="1519" t="s">
        <v>1775</v>
      </c>
      <c r="AX27" s="1610"/>
      <c r="AY27" s="1602">
        <f>AY19/AY21</f>
        <v>0</v>
      </c>
      <c r="AZ27" s="1516"/>
      <c r="BA27" s="1520" t="s">
        <v>1775</v>
      </c>
      <c r="BB27" s="1516"/>
      <c r="BC27" s="1515">
        <f>BC19/BC21</f>
        <v>0</v>
      </c>
      <c r="BD27" s="1516"/>
      <c r="BE27" s="1520" t="s">
        <v>1775</v>
      </c>
      <c r="BF27" s="1612"/>
      <c r="BG27" s="1777">
        <f>BG19/BG21</f>
        <v>0</v>
      </c>
      <c r="BH27" s="1778"/>
      <c r="BI27" s="1781" t="s">
        <v>1775</v>
      </c>
      <c r="BJ27" s="1778"/>
      <c r="BK27" s="1779">
        <f>BK19/BK21</f>
        <v>0</v>
      </c>
      <c r="BL27" s="1778"/>
      <c r="BM27" s="1781" t="s">
        <v>1775</v>
      </c>
      <c r="BN27" s="1766"/>
    </row>
    <row r="28" spans="1:66">
      <c r="A28" t="s">
        <v>2391</v>
      </c>
      <c r="C28" s="2081" t="e">
        <f>C27/'Ch41 Calc Data'!K17</f>
        <v>#REF!</v>
      </c>
      <c r="D28" s="2090"/>
      <c r="E28" s="2360" t="s">
        <v>1775</v>
      </c>
      <c r="F28" s="2090"/>
      <c r="G28" s="2081" t="e">
        <f>G27/'Ch41 Calc Data'!K17</f>
        <v>#REF!</v>
      </c>
      <c r="H28" s="2090"/>
      <c r="I28" s="2361" t="s">
        <v>1775</v>
      </c>
      <c r="K28" s="1454" t="e">
        <f>K27/'Ch41 Calc Data'!L17</f>
        <v>#REF!</v>
      </c>
      <c r="L28" s="1455"/>
      <c r="M28" s="1456" t="s">
        <v>1775</v>
      </c>
      <c r="N28" s="1455"/>
      <c r="O28" s="1454" t="e">
        <f>O27/'Ch41 Calc Data'!L17</f>
        <v>#REF!</v>
      </c>
      <c r="P28" s="1455"/>
      <c r="Q28" s="1465" t="s">
        <v>1775</v>
      </c>
      <c r="R28" s="1567"/>
      <c r="S28" s="1564" t="e">
        <f>S27/'Ch41 Calc Data'!M17</f>
        <v>#DIV/0!</v>
      </c>
      <c r="T28" s="1440"/>
      <c r="U28" s="1443" t="s">
        <v>1775</v>
      </c>
      <c r="V28" s="1440"/>
      <c r="W28" s="1439" t="e">
        <f>W27/'Ch41 Calc Data'!M17</f>
        <v>#DIV/0!</v>
      </c>
      <c r="X28" s="1440"/>
      <c r="Y28" s="1443" t="s">
        <v>1775</v>
      </c>
      <c r="Z28" s="1561"/>
      <c r="AA28" s="1573" t="e">
        <f>AA27/'Ch41 Calc Data'!N17</f>
        <v>#DIV/0!</v>
      </c>
      <c r="AB28" s="1510"/>
      <c r="AC28" s="1517" t="s">
        <v>1775</v>
      </c>
      <c r="AD28" s="1510"/>
      <c r="AE28" s="1509" t="e">
        <f>AE27/'Ch41 Calc Data'!N17</f>
        <v>#DIV/0!</v>
      </c>
      <c r="AF28" s="1510"/>
      <c r="AG28" s="1517" t="s">
        <v>1775</v>
      </c>
      <c r="AH28" s="1587"/>
      <c r="AI28" s="1426" t="e">
        <f>AI27/'Ch41 Calc Data'!O17</f>
        <v>#DIV/0!</v>
      </c>
      <c r="AJ28" s="1512"/>
      <c r="AK28" s="1518" t="s">
        <v>1775</v>
      </c>
      <c r="AL28" s="1512"/>
      <c r="AM28" s="1511" t="e">
        <f>AM27/'Ch41 Calc Data'!O17</f>
        <v>#DIV/0!</v>
      </c>
      <c r="AN28" s="1512"/>
      <c r="AO28" s="1518" t="s">
        <v>1775</v>
      </c>
      <c r="AP28" s="1598"/>
      <c r="AQ28" s="1591" t="e">
        <f>AQ27/'Ch41 Calc Data'!P17</f>
        <v>#DIV/0!</v>
      </c>
      <c r="AR28" s="1514"/>
      <c r="AS28" s="1519" t="s">
        <v>1775</v>
      </c>
      <c r="AT28" s="1514"/>
      <c r="AU28" s="1513" t="e">
        <f>AU27/'Ch41 Calc Data'!P17</f>
        <v>#DIV/0!</v>
      </c>
      <c r="AV28" s="1514"/>
      <c r="AW28" s="1519" t="s">
        <v>1775</v>
      </c>
      <c r="AX28" s="1610"/>
      <c r="AY28" s="1602" t="e">
        <f>AY27/'Ch41 Calc Data'!Q17</f>
        <v>#DIV/0!</v>
      </c>
      <c r="AZ28" s="1516"/>
      <c r="BA28" s="1520" t="s">
        <v>1775</v>
      </c>
      <c r="BB28" s="1516"/>
      <c r="BC28" s="1515" t="e">
        <f>BC27/'Ch41 Calc Data'!Q17</f>
        <v>#DIV/0!</v>
      </c>
      <c r="BD28" s="1516"/>
      <c r="BE28" s="1520" t="s">
        <v>1775</v>
      </c>
      <c r="BF28" s="1612"/>
      <c r="BG28" s="1777" t="e">
        <f>BG27/'Ch41 Calc Data'!R17</f>
        <v>#DIV/0!</v>
      </c>
      <c r="BH28" s="1778"/>
      <c r="BI28" s="1781" t="s">
        <v>1775</v>
      </c>
      <c r="BJ28" s="1778"/>
      <c r="BK28" s="1779" t="e">
        <f>BK27/'Ch41 Calc Data'!R17</f>
        <v>#DIV/0!</v>
      </c>
      <c r="BL28" s="1778"/>
      <c r="BM28" s="1781" t="s">
        <v>1775</v>
      </c>
      <c r="BN28" s="1766"/>
    </row>
    <row r="29" spans="1:66">
      <c r="A29" t="s">
        <v>1800</v>
      </c>
      <c r="C29" s="2081" t="e">
        <f>C28*((((Assumptions!G92/280000)-1)*('Data Entry - SOF'!C92/1.17))+1)</f>
        <v>#REF!</v>
      </c>
      <c r="D29" s="2090"/>
      <c r="E29" s="2360" t="s">
        <v>1775</v>
      </c>
      <c r="F29" s="2090"/>
      <c r="G29" s="2081" t="e">
        <f>G28*((((Assumptions!G93/280000)-1)*('Data Entry - SOF'!C92/1.17))+1)</f>
        <v>#REF!</v>
      </c>
      <c r="H29" s="2090"/>
      <c r="I29" s="2361" t="s">
        <v>1775</v>
      </c>
      <c r="K29" s="1454" t="e">
        <f>K28*((((Assumptions!G103/280000)-1)*('Data Entry - SOF'!#REF!/1.17))+1)</f>
        <v>#REF!</v>
      </c>
      <c r="L29" s="1455"/>
      <c r="M29" s="1456" t="s">
        <v>1775</v>
      </c>
      <c r="N29" s="1455"/>
      <c r="O29" s="1454" t="e">
        <f>O28*((((Assumptions!G104/280000)-1)*('Data Entry - SOF'!#REF!/1.17))+1)</f>
        <v>#REF!</v>
      </c>
      <c r="P29" s="1455"/>
      <c r="Q29" s="1465" t="s">
        <v>1775</v>
      </c>
      <c r="R29" s="1567"/>
      <c r="S29" s="1564" t="e">
        <f>S28*((((Assumptions!G112/280000)-1)*('Data Entry - SOF'!E92/1.17))+1)</f>
        <v>#DIV/0!</v>
      </c>
      <c r="T29" s="1440"/>
      <c r="U29" s="1443" t="s">
        <v>1775</v>
      </c>
      <c r="V29" s="1440"/>
      <c r="W29" s="1439" t="e">
        <f>W28*((((Assumptions!G113/280000)-1)*('Data Entry - SOF'!E92/1.17))+1)</f>
        <v>#DIV/0!</v>
      </c>
      <c r="X29" s="1440"/>
      <c r="Y29" s="1443" t="s">
        <v>1775</v>
      </c>
      <c r="Z29" s="1561"/>
      <c r="AA29" s="1573" t="e">
        <f>AA28*((((Assumptions!G121/280000)-1)*('Data Entry - SOF'!G92/1.17))+1)</f>
        <v>#DIV/0!</v>
      </c>
      <c r="AB29" s="1510"/>
      <c r="AC29" s="1517" t="s">
        <v>1775</v>
      </c>
      <c r="AD29" s="1510"/>
      <c r="AE29" s="1509" t="e">
        <f>AE28*((((Assumptions!G122/280000)-1)*('Data Entry - SOF'!G92/1.17))+1)</f>
        <v>#DIV/0!</v>
      </c>
      <c r="AF29" s="1510"/>
      <c r="AG29" s="1517" t="s">
        <v>1775</v>
      </c>
      <c r="AH29" s="1587"/>
      <c r="AI29" s="1426" t="e">
        <f>AI28*((((Assumptions!G130/280000)-1)*('Data Entry - SOF'!M92/1.17))+1)</f>
        <v>#DIV/0!</v>
      </c>
      <c r="AJ29" s="1512"/>
      <c r="AK29" s="1518" t="s">
        <v>1775</v>
      </c>
      <c r="AL29" s="1512"/>
      <c r="AM29" s="1511" t="e">
        <f>AM28*((((Assumptions!G131/280000)-1)*('Data Entry - SOF'!M92/1.17))+1)</f>
        <v>#DIV/0!</v>
      </c>
      <c r="AN29" s="1512"/>
      <c r="AO29" s="1518" t="s">
        <v>1775</v>
      </c>
      <c r="AP29" s="1598"/>
      <c r="AQ29" s="1591" t="e">
        <f>AQ28*((((Assumptions!G139/280000)-1)*('Data Entry - SOF'!O92/1.17))+1)</f>
        <v>#DIV/0!</v>
      </c>
      <c r="AR29" s="1514"/>
      <c r="AS29" s="1519" t="s">
        <v>1775</v>
      </c>
      <c r="AT29" s="1514"/>
      <c r="AU29" s="1513" t="e">
        <f>AU28*((((Assumptions!G140/280000)-1)*('Data Entry - SOF'!O92/1.17))+1)</f>
        <v>#DIV/0!</v>
      </c>
      <c r="AV29" s="1514"/>
      <c r="AW29" s="1519" t="s">
        <v>1775</v>
      </c>
      <c r="AX29" s="1610"/>
      <c r="AY29" s="1602" t="e">
        <f>AY28*((((Assumptions!G148/280000)-1)*('Data Entry - SOF'!Q92/1.17))+1)</f>
        <v>#DIV/0!</v>
      </c>
      <c r="AZ29" s="1516"/>
      <c r="BA29" s="1520" t="s">
        <v>1775</v>
      </c>
      <c r="BB29" s="1516"/>
      <c r="BC29" s="1515" t="e">
        <f>BC28*((((Assumptions!G149/280000)-1)*('Data Entry - SOF'!Q92/1.17))+1)</f>
        <v>#DIV/0!</v>
      </c>
      <c r="BD29" s="1516"/>
      <c r="BE29" s="1520" t="s">
        <v>1775</v>
      </c>
      <c r="BF29" s="1612"/>
      <c r="BG29" s="1777" t="e">
        <f>BG28*((((Assumptions!G157/280000)-1)*('Data Entry - SOF'!S92/1.17))+1)</f>
        <v>#DIV/0!</v>
      </c>
      <c r="BH29" s="1778"/>
      <c r="BI29" s="1781" t="s">
        <v>1775</v>
      </c>
      <c r="BJ29" s="1778"/>
      <c r="BK29" s="1779" t="e">
        <f>BK28*((((Assumptions!G158/280000)-1)*('Data Entry - SOF'!S92/1.17))+1)</f>
        <v>#DIV/0!</v>
      </c>
      <c r="BL29" s="1778"/>
      <c r="BM29" s="1781" t="s">
        <v>1775</v>
      </c>
      <c r="BN29" s="1766"/>
    </row>
    <row r="30" spans="1:66">
      <c r="A30" t="s">
        <v>801</v>
      </c>
      <c r="C30" s="2081" t="e">
        <f>C29*'Ch41 Calc Data'!K17</f>
        <v>#REF!</v>
      </c>
      <c r="D30" s="2090"/>
      <c r="E30" s="2360" t="s">
        <v>1775</v>
      </c>
      <c r="F30" s="2090"/>
      <c r="G30" s="2081" t="e">
        <f>G29*'Ch41 Calc Data'!K17</f>
        <v>#REF!</v>
      </c>
      <c r="H30" s="2090"/>
      <c r="I30" s="2361" t="s">
        <v>1775</v>
      </c>
      <c r="K30" s="1454" t="e">
        <f>K29*'Ch41 Calc Data'!L17</f>
        <v>#REF!</v>
      </c>
      <c r="L30" s="1455"/>
      <c r="M30" s="1456" t="s">
        <v>1775</v>
      </c>
      <c r="N30" s="1455"/>
      <c r="O30" s="1454" t="e">
        <f>O29*'Ch41 Calc Data'!L17</f>
        <v>#REF!</v>
      </c>
      <c r="P30" s="1455"/>
      <c r="Q30" s="1465" t="s">
        <v>1775</v>
      </c>
      <c r="R30" s="1567"/>
      <c r="S30" s="1564" t="e">
        <f>S29*'Ch41 Calc Data'!M17</f>
        <v>#DIV/0!</v>
      </c>
      <c r="T30" s="1440"/>
      <c r="U30" s="1443" t="s">
        <v>1775</v>
      </c>
      <c r="V30" s="1440"/>
      <c r="W30" s="1439" t="e">
        <f>W29*'Ch41 Calc Data'!M17</f>
        <v>#DIV/0!</v>
      </c>
      <c r="X30" s="1440"/>
      <c r="Y30" s="1443" t="s">
        <v>1775</v>
      </c>
      <c r="Z30" s="1561"/>
      <c r="AA30" s="1573" t="e">
        <f>AA29*'Ch41 Calc Data'!N17</f>
        <v>#DIV/0!</v>
      </c>
      <c r="AB30" s="1510"/>
      <c r="AC30" s="1517" t="s">
        <v>1775</v>
      </c>
      <c r="AD30" s="1510"/>
      <c r="AE30" s="1509" t="e">
        <f>AE29*'Ch41 Calc Data'!N17</f>
        <v>#DIV/0!</v>
      </c>
      <c r="AF30" s="1510"/>
      <c r="AG30" s="1517" t="s">
        <v>1775</v>
      </c>
      <c r="AH30" s="1587"/>
      <c r="AI30" s="1426" t="e">
        <f>AI29*'Ch41 Calc Data'!O17</f>
        <v>#DIV/0!</v>
      </c>
      <c r="AJ30" s="1512"/>
      <c r="AK30" s="1518" t="s">
        <v>1775</v>
      </c>
      <c r="AL30" s="1512"/>
      <c r="AM30" s="1511" t="e">
        <f>AM29*'Ch41 Calc Data'!O17</f>
        <v>#DIV/0!</v>
      </c>
      <c r="AN30" s="1512"/>
      <c r="AO30" s="1518" t="s">
        <v>1775</v>
      </c>
      <c r="AP30" s="1598"/>
      <c r="AQ30" s="1591" t="e">
        <f>AQ29*'Ch41 Calc Data'!P17</f>
        <v>#DIV/0!</v>
      </c>
      <c r="AR30" s="1514"/>
      <c r="AS30" s="1519" t="s">
        <v>1775</v>
      </c>
      <c r="AT30" s="1514"/>
      <c r="AU30" s="1513" t="e">
        <f>AU29*'Ch41 Calc Data'!P17</f>
        <v>#DIV/0!</v>
      </c>
      <c r="AV30" s="1514"/>
      <c r="AW30" s="1519" t="s">
        <v>1775</v>
      </c>
      <c r="AX30" s="1610"/>
      <c r="AY30" s="1602" t="e">
        <f>AY29*'Ch41 Calc Data'!Q17</f>
        <v>#DIV/0!</v>
      </c>
      <c r="AZ30" s="1516"/>
      <c r="BA30" s="1520" t="s">
        <v>1775</v>
      </c>
      <c r="BB30" s="1516"/>
      <c r="BC30" s="1515" t="e">
        <f>BC29*'Ch41 Calc Data'!Q17</f>
        <v>#DIV/0!</v>
      </c>
      <c r="BD30" s="1516"/>
      <c r="BE30" s="1520" t="s">
        <v>1775</v>
      </c>
      <c r="BF30" s="1612"/>
      <c r="BG30" s="1777" t="e">
        <f>BG29*'Ch41 Calc Data'!R17</f>
        <v>#DIV/0!</v>
      </c>
      <c r="BH30" s="1778"/>
      <c r="BI30" s="1781" t="s">
        <v>1775</v>
      </c>
      <c r="BJ30" s="1778"/>
      <c r="BK30" s="1779" t="e">
        <f>BK29*'Ch41 Calc Data'!R17</f>
        <v>#DIV/0!</v>
      </c>
      <c r="BL30" s="1778"/>
      <c r="BM30" s="1781" t="s">
        <v>1775</v>
      </c>
      <c r="BN30" s="1766"/>
    </row>
    <row r="31" spans="1:66">
      <c r="I31" s="2070"/>
      <c r="K31" s="1455"/>
      <c r="L31" s="1455"/>
      <c r="M31" s="1455"/>
      <c r="N31" s="1455"/>
      <c r="O31" s="1455"/>
      <c r="P31" s="1455"/>
      <c r="R31" s="1567"/>
      <c r="S31" s="1440"/>
      <c r="T31" s="1440"/>
      <c r="U31" s="1440"/>
      <c r="V31" s="1440"/>
      <c r="W31" s="1440"/>
      <c r="X31" s="1440"/>
      <c r="Y31" s="1440"/>
      <c r="Z31" s="1561"/>
      <c r="AA31" s="1510"/>
      <c r="AB31" s="1510"/>
      <c r="AC31" s="1510"/>
      <c r="AD31" s="1510"/>
      <c r="AE31" s="1510"/>
      <c r="AF31" s="1510"/>
      <c r="AG31" s="1510"/>
      <c r="AH31" s="1587"/>
      <c r="AI31" s="1512"/>
      <c r="AJ31" s="1512"/>
      <c r="AK31" s="1512"/>
      <c r="AL31" s="1512"/>
      <c r="AM31" s="1512"/>
      <c r="AN31" s="1512"/>
      <c r="AO31" s="1512"/>
      <c r="AP31" s="1598"/>
      <c r="AQ31" s="1514"/>
      <c r="AR31" s="1514"/>
      <c r="AS31" s="1514"/>
      <c r="AT31" s="1514"/>
      <c r="AU31" s="1514"/>
      <c r="AV31" s="1514"/>
      <c r="AW31" s="1514"/>
      <c r="AX31" s="1610"/>
      <c r="AY31" s="1516"/>
      <c r="AZ31" s="1516"/>
      <c r="BA31" s="1516"/>
      <c r="BB31" s="1516"/>
      <c r="BC31" s="1516"/>
      <c r="BD31" s="1516"/>
      <c r="BE31" s="1516"/>
      <c r="BF31" s="1612"/>
      <c r="BG31" s="1778"/>
      <c r="BH31" s="1778"/>
      <c r="BI31" s="1778"/>
      <c r="BJ31" s="1778"/>
      <c r="BK31" s="1778"/>
      <c r="BL31" s="1778"/>
      <c r="BM31" s="1778"/>
      <c r="BN31" s="1766"/>
    </row>
    <row r="32" spans="1:66" ht="15.75">
      <c r="A32" s="30" t="s">
        <v>1251</v>
      </c>
      <c r="I32" s="2070"/>
      <c r="K32" s="1455"/>
      <c r="L32" s="1455"/>
      <c r="M32" s="1455"/>
      <c r="N32" s="1455"/>
      <c r="O32" s="1455"/>
      <c r="P32" s="1455"/>
      <c r="R32" s="1567"/>
      <c r="S32" s="1440"/>
      <c r="T32" s="1440"/>
      <c r="U32" s="1440"/>
      <c r="V32" s="1440"/>
      <c r="W32" s="1440"/>
      <c r="X32" s="1440"/>
      <c r="Y32" s="1440"/>
      <c r="Z32" s="1561"/>
      <c r="AA32" s="1510"/>
      <c r="AB32" s="1510"/>
      <c r="AC32" s="1510"/>
      <c r="AD32" s="1510"/>
      <c r="AE32" s="1510"/>
      <c r="AF32" s="1510"/>
      <c r="AG32" s="1510"/>
      <c r="AH32" s="1587"/>
      <c r="AI32" s="1512"/>
      <c r="AJ32" s="1512"/>
      <c r="AK32" s="1512"/>
      <c r="AL32" s="1512"/>
      <c r="AM32" s="1512"/>
      <c r="AN32" s="1512"/>
      <c r="AO32" s="1512"/>
      <c r="AP32" s="1598"/>
      <c r="AQ32" s="1514"/>
      <c r="AR32" s="1514"/>
      <c r="AS32" s="1514"/>
      <c r="AT32" s="1514"/>
      <c r="AU32" s="1514"/>
      <c r="AV32" s="1514"/>
      <c r="AW32" s="1514"/>
      <c r="AX32" s="1610"/>
      <c r="AY32" s="1516"/>
      <c r="AZ32" s="1516"/>
      <c r="BA32" s="1516"/>
      <c r="BB32" s="1516"/>
      <c r="BC32" s="1516"/>
      <c r="BD32" s="1516"/>
      <c r="BE32" s="1516"/>
      <c r="BF32" s="1612"/>
      <c r="BG32" s="1778"/>
      <c r="BH32" s="1778"/>
      <c r="BI32" s="1778"/>
      <c r="BJ32" s="1778"/>
      <c r="BK32" s="1778"/>
      <c r="BL32" s="1778"/>
      <c r="BM32" s="1778"/>
      <c r="BN32" s="1766"/>
    </row>
    <row r="33" spans="1:66">
      <c r="A33" t="s">
        <v>1252</v>
      </c>
      <c r="C33" s="2081" t="e">
        <f>IF(C30&gt;C24,C30,C24)</f>
        <v>#REF!</v>
      </c>
      <c r="D33" s="2085"/>
      <c r="E33" s="2081" t="e">
        <f>E24</f>
        <v>#REF!</v>
      </c>
      <c r="F33" s="2085"/>
      <c r="G33" s="2081" t="e">
        <f>IF(G30&gt;G24,G30,G24)</f>
        <v>#REF!</v>
      </c>
      <c r="H33" s="2085"/>
      <c r="I33" s="2082" t="e">
        <f>I24</f>
        <v>#REF!</v>
      </c>
      <c r="K33" s="1454" t="e">
        <f>IF(K30&gt;K24,K30,K24)</f>
        <v>#REF!</v>
      </c>
      <c r="L33" s="1455"/>
      <c r="M33" s="1454" t="e">
        <f>M24</f>
        <v>#REF!</v>
      </c>
      <c r="N33" s="1455"/>
      <c r="O33" s="1454" t="e">
        <f>IF(O30&gt;O24,O30,O24)</f>
        <v>#REF!</v>
      </c>
      <c r="P33" s="1455"/>
      <c r="Q33" s="1466" t="e">
        <f>Q24</f>
        <v>#REF!</v>
      </c>
      <c r="R33" s="1567"/>
      <c r="S33" s="1564" t="e">
        <f>IF(S30&gt;S24,S30,S24)</f>
        <v>#DIV/0!</v>
      </c>
      <c r="T33" s="1440"/>
      <c r="U33" s="1439">
        <f>U24</f>
        <v>0</v>
      </c>
      <c r="V33" s="1440"/>
      <c r="W33" s="1439" t="e">
        <f>IF(W30&gt;W24,W30,W24)</f>
        <v>#DIV/0!</v>
      </c>
      <c r="X33" s="1440"/>
      <c r="Y33" s="1439">
        <f>Y24</f>
        <v>0</v>
      </c>
      <c r="Z33" s="1561"/>
      <c r="AA33" s="1573" t="e">
        <f>IF(AA30&gt;AA24,AA30,AA24)</f>
        <v>#DIV/0!</v>
      </c>
      <c r="AB33" s="1510"/>
      <c r="AC33" s="1509">
        <f>AC24</f>
        <v>0</v>
      </c>
      <c r="AD33" s="1510"/>
      <c r="AE33" s="1509" t="e">
        <f>IF(AE30&gt;AE24,AE30,AE24)</f>
        <v>#DIV/0!</v>
      </c>
      <c r="AF33" s="1510"/>
      <c r="AG33" s="1509">
        <f>AG24</f>
        <v>0</v>
      </c>
      <c r="AH33" s="1587"/>
      <c r="AI33" s="1426" t="e">
        <f>IF(AI30&gt;AI24,AI30,AI24)</f>
        <v>#DIV/0!</v>
      </c>
      <c r="AJ33" s="1512"/>
      <c r="AK33" s="1511" t="e">
        <f>AK24</f>
        <v>#DIV/0!</v>
      </c>
      <c r="AL33" s="1512"/>
      <c r="AM33" s="1511" t="e">
        <f>IF(AM30&gt;AM24,AM30,AM24)</f>
        <v>#DIV/0!</v>
      </c>
      <c r="AN33" s="1512"/>
      <c r="AO33" s="1511" t="e">
        <f>AO24</f>
        <v>#DIV/0!</v>
      </c>
      <c r="AP33" s="1598"/>
      <c r="AQ33" s="1591" t="e">
        <f>IF(AQ30&gt;AQ24,AQ30,AQ24)</f>
        <v>#DIV/0!</v>
      </c>
      <c r="AR33" s="1514"/>
      <c r="AS33" s="1513" t="e">
        <f>AS24</f>
        <v>#DIV/0!</v>
      </c>
      <c r="AT33" s="1514"/>
      <c r="AU33" s="1513" t="e">
        <f>IF(AU30&gt;AU24,AU30,AU24)</f>
        <v>#DIV/0!</v>
      </c>
      <c r="AV33" s="1514"/>
      <c r="AW33" s="1513" t="e">
        <f>AW24</f>
        <v>#DIV/0!</v>
      </c>
      <c r="AX33" s="1610"/>
      <c r="AY33" s="1602" t="e">
        <f>IF(AY30&gt;AY24,AY30,AY24)</f>
        <v>#DIV/0!</v>
      </c>
      <c r="AZ33" s="1516"/>
      <c r="BA33" s="1515" t="e">
        <f>BA24</f>
        <v>#DIV/0!</v>
      </c>
      <c r="BB33" s="1516"/>
      <c r="BC33" s="1515" t="e">
        <f>IF(BC30&gt;BC24,BC30,BC24)</f>
        <v>#DIV/0!</v>
      </c>
      <c r="BD33" s="1516"/>
      <c r="BE33" s="1515" t="e">
        <f>BE24</f>
        <v>#DIV/0!</v>
      </c>
      <c r="BF33" s="1612"/>
      <c r="BG33" s="1777" t="e">
        <f>IF(BG30&gt;BG24,BG30,BG24)</f>
        <v>#DIV/0!</v>
      </c>
      <c r="BH33" s="1778"/>
      <c r="BI33" s="1779" t="e">
        <f>BI24</f>
        <v>#DIV/0!</v>
      </c>
      <c r="BJ33" s="1778"/>
      <c r="BK33" s="1779" t="e">
        <f>IF(BK30&gt;BK24,BK30,BK24)</f>
        <v>#DIV/0!</v>
      </c>
      <c r="BL33" s="1778"/>
      <c r="BM33" s="1779" t="e">
        <f>BM24</f>
        <v>#DIV/0!</v>
      </c>
      <c r="BN33" s="1766"/>
    </row>
    <row r="34" spans="1:66">
      <c r="A34" t="s">
        <v>503</v>
      </c>
      <c r="C34" s="2081" t="e">
        <f>IF('Data Entry - SOF'!C75-C33&lt;0,0,'Data Entry - SOF'!C75-C33)</f>
        <v>#REF!</v>
      </c>
      <c r="D34" s="2085"/>
      <c r="E34" s="2081" t="e">
        <f>IF('Data Entry - SOF'!C75-E33&lt;0,0,'Data Entry - SOF'!C75-E33)</f>
        <v>#REF!</v>
      </c>
      <c r="F34" s="2085"/>
      <c r="G34" s="2081" t="e">
        <f>IF('Data Entry - SOF'!C75-G33&lt;0,0,'Data Entry - SOF'!C75-G33)</f>
        <v>#REF!</v>
      </c>
      <c r="H34" s="2085"/>
      <c r="I34" s="2082" t="e">
        <f>IF('Data Entry - SOF'!C75-I33&lt;0,0,'Data Entry - SOF'!C75-I33)</f>
        <v>#REF!</v>
      </c>
      <c r="K34" s="1454" t="e">
        <f>IF('Data Entry - SOF'!#REF!-K33&lt;0,0,'Data Entry - SOF'!#REF!-K33)</f>
        <v>#REF!</v>
      </c>
      <c r="L34" s="1455"/>
      <c r="M34" s="1454" t="e">
        <f>IF('Data Entry - SOF'!#REF!-M33&lt;0,0,'Data Entry - SOF'!#REF!-M33)</f>
        <v>#REF!</v>
      </c>
      <c r="N34" s="1455"/>
      <c r="O34" s="1454" t="e">
        <f>IF('Data Entry - SOF'!#REF!-O33&lt;0,0,'Data Entry - SOF'!#REF!-O33)</f>
        <v>#REF!</v>
      </c>
      <c r="P34" s="1455"/>
      <c r="Q34" s="1466" t="e">
        <f>IF('Data Entry - SOF'!#REF!-Q33&lt;0,0,'Data Entry - SOF'!#REF!-Q33)</f>
        <v>#REF!</v>
      </c>
      <c r="R34" s="1567"/>
      <c r="S34" s="1564" t="e">
        <f>IF('Data Entry - SOF'!E75-S33&lt;0,0,'Data Entry - SOF'!E75-S33)</f>
        <v>#DIV/0!</v>
      </c>
      <c r="T34" s="1440"/>
      <c r="U34" s="1439">
        <f>IF('Data Entry - SOF'!E75-U33&lt;0,0,'Data Entry - SOF'!E75-U33)</f>
        <v>0</v>
      </c>
      <c r="V34" s="1440"/>
      <c r="W34" s="1439" t="e">
        <f>IF('Data Entry - SOF'!E75-W33&lt;0,0,'Data Entry - SOF'!E75-W33)</f>
        <v>#DIV/0!</v>
      </c>
      <c r="X34" s="1440"/>
      <c r="Y34" s="1439">
        <f>IF('Data Entry - SOF'!E75-Y33&lt;0,0,'Data Entry - SOF'!E75-Y33)</f>
        <v>0</v>
      </c>
      <c r="Z34" s="1561"/>
      <c r="AA34" s="1573" t="e">
        <f>IF('Data Entry - SOF'!E85-AA33&lt;0,0,'Data Entry - SOF'!E85-AA33)</f>
        <v>#DIV/0!</v>
      </c>
      <c r="AB34" s="1510"/>
      <c r="AC34" s="1509">
        <f>IF('Data Entry - SOF'!E85-AC33&lt;0,0,'Data Entry - SOF'!E85-AC33)</f>
        <v>0</v>
      </c>
      <c r="AD34" s="1510"/>
      <c r="AE34" s="1509" t="e">
        <f>IF('Data Entry - SOF'!E85-AE33&lt;0,0,'Data Entry - SOF'!E85-AE33)</f>
        <v>#DIV/0!</v>
      </c>
      <c r="AF34" s="1510"/>
      <c r="AG34" s="1509">
        <f>IF('Data Entry - SOF'!E85-AG33&lt;0,0,'Data Entry - SOF'!E85-AG33)</f>
        <v>0</v>
      </c>
      <c r="AH34" s="1587"/>
      <c r="AI34" s="1426" t="e">
        <f>IF('Data Entry - SOF'!M75-AI33&lt;0,0,'Data Entry - SOF'!M75-AI33)</f>
        <v>#DIV/0!</v>
      </c>
      <c r="AJ34" s="1512"/>
      <c r="AK34" s="1511" t="e">
        <f>IF('Data Entry - SOF'!M75-AK33&lt;0,0,'Data Entry - SOF'!M75-AK33)</f>
        <v>#DIV/0!</v>
      </c>
      <c r="AL34" s="1512"/>
      <c r="AM34" s="1511" t="e">
        <f>IF('Data Entry - SOF'!M75-AM33&lt;0,0,'Data Entry - SOF'!M75-AM33)</f>
        <v>#DIV/0!</v>
      </c>
      <c r="AN34" s="1512"/>
      <c r="AO34" s="1511" t="e">
        <f>IF('Data Entry - SOF'!M75-AO33&lt;0,0,'Data Entry - SOF'!M75-AO33)</f>
        <v>#DIV/0!</v>
      </c>
      <c r="AP34" s="1598"/>
      <c r="AQ34" s="1591" t="e">
        <f>IF('Data Entry - SOF'!O75-AQ33&lt;0,0,'Data Entry - SOF'!O75-AQ33)</f>
        <v>#DIV/0!</v>
      </c>
      <c r="AR34" s="1514"/>
      <c r="AS34" s="1513" t="e">
        <f>IF('Data Entry - SOF'!O75-AS33&lt;0,0,'Data Entry - SOF'!O75-AS33)</f>
        <v>#DIV/0!</v>
      </c>
      <c r="AT34" s="1514"/>
      <c r="AU34" s="1513" t="e">
        <f>IF('Data Entry - SOF'!O75-AU33&lt;0,0,'Data Entry - SOF'!O75-AU33)</f>
        <v>#DIV/0!</v>
      </c>
      <c r="AV34" s="1514"/>
      <c r="AW34" s="1513" t="e">
        <f>IF('Data Entry - SOF'!O75-AW33&lt;0,0,'Data Entry - SOF'!O75-AW33)</f>
        <v>#DIV/0!</v>
      </c>
      <c r="AX34" s="1610"/>
      <c r="AY34" s="1602" t="e">
        <f>IF('Data Entry - SOF'!Q75-AY33&lt;0,0,'Data Entry - SOF'!Q75-AY33)</f>
        <v>#DIV/0!</v>
      </c>
      <c r="AZ34" s="1516"/>
      <c r="BA34" s="1515" t="e">
        <f>IF('Data Entry - SOF'!Q75-BA33&lt;0,0,'Data Entry - SOF'!Q75-BA33)</f>
        <v>#DIV/0!</v>
      </c>
      <c r="BB34" s="1516"/>
      <c r="BC34" s="1515" t="e">
        <f>IF('Data Entry - SOF'!Q75-BC33&lt;0,0,'Data Entry - SOF'!Q75-BC33)</f>
        <v>#DIV/0!</v>
      </c>
      <c r="BD34" s="1516"/>
      <c r="BE34" s="1515" t="e">
        <f>IF('Data Entry - SOF'!Q75-BE33&lt;0,0,'Data Entry - SOF'!Q75-BE33)</f>
        <v>#DIV/0!</v>
      </c>
      <c r="BF34" s="1612"/>
      <c r="BG34" s="1777" t="e">
        <f>IF('Data Entry - SOF'!S75-BG33&lt;0,0,'Data Entry - SOF'!S75-BG33)</f>
        <v>#DIV/0!</v>
      </c>
      <c r="BH34" s="1778"/>
      <c r="BI34" s="1779" t="e">
        <f>IF('Data Entry - SOF'!S75-BI33&lt;0,0,'Data Entry - SOF'!S75-BI33)</f>
        <v>#DIV/0!</v>
      </c>
      <c r="BJ34" s="1778"/>
      <c r="BK34" s="1779" t="e">
        <f>IF('Data Entry - SOF'!S75-BK33&lt;0,0,'Data Entry - SOF'!S75-BK33)</f>
        <v>#DIV/0!</v>
      </c>
      <c r="BL34" s="1778"/>
      <c r="BM34" s="1779" t="e">
        <f>IF('Data Entry - SOF'!S75-BM33&lt;0,0,'Data Entry - SOF'!S75-BM33)</f>
        <v>#DIV/0!</v>
      </c>
      <c r="BN34" s="1766"/>
    </row>
    <row r="35" spans="1:66">
      <c r="A35" t="s">
        <v>2093</v>
      </c>
      <c r="C35" s="2362" t="e">
        <f>C34/'Data Entry - SOF'!C75</f>
        <v>#REF!</v>
      </c>
      <c r="D35" s="2363"/>
      <c r="E35" s="2362" t="e">
        <f>E34/'Data Entry - SOF'!C75</f>
        <v>#REF!</v>
      </c>
      <c r="F35" s="2363"/>
      <c r="G35" s="2362" t="e">
        <f>G34/'Data Entry - SOF'!C75</f>
        <v>#REF!</v>
      </c>
      <c r="H35" s="2363"/>
      <c r="I35" s="2364" t="e">
        <f>I34/'Data Entry - SOF'!C75</f>
        <v>#REF!</v>
      </c>
      <c r="K35" s="1452" t="e">
        <f>K34/'Data Entry - SOF'!#REF!</f>
        <v>#REF!</v>
      </c>
      <c r="L35" s="1453"/>
      <c r="M35" s="1452" t="e">
        <f>M34/'Data Entry - SOF'!#REF!</f>
        <v>#REF!</v>
      </c>
      <c r="N35" s="1453"/>
      <c r="O35" s="1452" t="e">
        <f>O34/'Data Entry - SOF'!#REF!</f>
        <v>#REF!</v>
      </c>
      <c r="P35" s="1453"/>
      <c r="Q35" s="1464" t="e">
        <f>Q34/'Data Entry - SOF'!#REF!</f>
        <v>#REF!</v>
      </c>
      <c r="R35" s="1567"/>
      <c r="S35" s="1565" t="e">
        <f>S34/'Data Entry - SOF'!E75</f>
        <v>#DIV/0!</v>
      </c>
      <c r="T35" s="1445"/>
      <c r="U35" s="1444" t="e">
        <f>U34/'Data Entry - SOF'!E75</f>
        <v>#DIV/0!</v>
      </c>
      <c r="V35" s="1445"/>
      <c r="W35" s="1444" t="e">
        <f>W34/'Data Entry - SOF'!E75</f>
        <v>#DIV/0!</v>
      </c>
      <c r="X35" s="1445"/>
      <c r="Y35" s="1444" t="e">
        <f>Y34/'Data Entry - SOF'!E75</f>
        <v>#DIV/0!</v>
      </c>
      <c r="Z35" s="1578"/>
      <c r="AA35" s="1574" t="e">
        <f>AA34/'Data Entry - SOF'!E85</f>
        <v>#DIV/0!</v>
      </c>
      <c r="AB35" s="1522"/>
      <c r="AC35" s="1521" t="e">
        <f>AC34/'Data Entry - SOF'!E85</f>
        <v>#DIV/0!</v>
      </c>
      <c r="AD35" s="1522"/>
      <c r="AE35" s="1521" t="e">
        <f>AE34/'Data Entry - SOF'!E85</f>
        <v>#DIV/0!</v>
      </c>
      <c r="AF35" s="1522"/>
      <c r="AG35" s="1521" t="e">
        <f>AG34/'Data Entry - SOF'!E85</f>
        <v>#DIV/0!</v>
      </c>
      <c r="AH35" s="1588"/>
      <c r="AI35" s="1580" t="e">
        <f>AI34/'Data Entry - SOF'!M75</f>
        <v>#DIV/0!</v>
      </c>
      <c r="AJ35" s="1524"/>
      <c r="AK35" s="1523" t="e">
        <f>AK34/'Data Entry - SOF'!M75</f>
        <v>#DIV/0!</v>
      </c>
      <c r="AL35" s="1524"/>
      <c r="AM35" s="1523" t="e">
        <f>AM34/'Data Entry - SOF'!M75</f>
        <v>#DIV/0!</v>
      </c>
      <c r="AN35" s="1524"/>
      <c r="AO35" s="1523" t="e">
        <f>AO34/'Data Entry - SOF'!M75</f>
        <v>#DIV/0!</v>
      </c>
      <c r="AP35" s="1599"/>
      <c r="AQ35" s="1592" t="e">
        <f>AQ34/'Data Entry - SOF'!O75</f>
        <v>#DIV/0!</v>
      </c>
      <c r="AR35" s="1526"/>
      <c r="AS35" s="1525" t="e">
        <f>AS34/'Data Entry - SOF'!O75</f>
        <v>#DIV/0!</v>
      </c>
      <c r="AT35" s="1526"/>
      <c r="AU35" s="1525" t="e">
        <f>AU34/'Data Entry - SOF'!O75</f>
        <v>#DIV/0!</v>
      </c>
      <c r="AV35" s="1526"/>
      <c r="AW35" s="1525" t="e">
        <f>AW34/'Data Entry - SOF'!O75</f>
        <v>#DIV/0!</v>
      </c>
      <c r="AX35" s="1611"/>
      <c r="AY35" s="1603" t="e">
        <f>AY34/'Data Entry - SOF'!Q75</f>
        <v>#DIV/0!</v>
      </c>
      <c r="AZ35" s="1528"/>
      <c r="BA35" s="1527" t="e">
        <f>BA34/'Data Entry - SOF'!Q75</f>
        <v>#DIV/0!</v>
      </c>
      <c r="BB35" s="1528"/>
      <c r="BC35" s="1527" t="e">
        <f>BC34/'Data Entry - SOF'!Q75</f>
        <v>#DIV/0!</v>
      </c>
      <c r="BD35" s="1528"/>
      <c r="BE35" s="1527" t="e">
        <f>BE34/'Data Entry - SOF'!Q75</f>
        <v>#DIV/0!</v>
      </c>
      <c r="BF35" s="1612"/>
      <c r="BG35" s="1782" t="e">
        <f>BG34/'Data Entry - SOF'!S75</f>
        <v>#DIV/0!</v>
      </c>
      <c r="BH35" s="1783"/>
      <c r="BI35" s="1784" t="e">
        <f>BI34/'Data Entry - SOF'!S75</f>
        <v>#DIV/0!</v>
      </c>
      <c r="BJ35" s="1783"/>
      <c r="BK35" s="1784" t="e">
        <f>BK34/'Data Entry - SOF'!S75</f>
        <v>#DIV/0!</v>
      </c>
      <c r="BL35" s="1783"/>
      <c r="BM35" s="1784" t="e">
        <f>BM34/'Data Entry - SOF'!S75</f>
        <v>#DIV/0!</v>
      </c>
      <c r="BN35" s="1766"/>
    </row>
    <row r="36" spans="1:66">
      <c r="A36" t="s">
        <v>185</v>
      </c>
      <c r="C36" s="2083" t="e">
        <f>C33/'Ch41 Calc Data'!K17</f>
        <v>#REF!</v>
      </c>
      <c r="D36" s="2057"/>
      <c r="E36" s="2083" t="e">
        <f>E33/'Ch41 Calc Data'!K17</f>
        <v>#REF!</v>
      </c>
      <c r="F36" s="2057"/>
      <c r="G36" s="2083" t="e">
        <f>G33/'Ch41 Calc Data'!K17</f>
        <v>#REF!</v>
      </c>
      <c r="H36" s="2057"/>
      <c r="I36" s="2084" t="e">
        <f>I33/'Ch41 Calc Data'!K17</f>
        <v>#REF!</v>
      </c>
      <c r="K36" s="1454" t="e">
        <f>K33/'Ch41 Calc Data'!L17</f>
        <v>#REF!</v>
      </c>
      <c r="L36" s="1455"/>
      <c r="M36" s="1454" t="e">
        <f>M33/'Ch41 Calc Data'!L17</f>
        <v>#REF!</v>
      </c>
      <c r="N36" s="1455"/>
      <c r="O36" s="1454" t="e">
        <f>O33/'Ch41 Calc Data'!L17</f>
        <v>#REF!</v>
      </c>
      <c r="P36" s="1455"/>
      <c r="Q36" s="1463" t="e">
        <f>Q33/'Ch41 Calc Data'!L17</f>
        <v>#REF!</v>
      </c>
      <c r="R36" s="1567"/>
      <c r="S36" s="1564" t="e">
        <f>S33/'Ch41 Calc Data'!M17</f>
        <v>#DIV/0!</v>
      </c>
      <c r="T36" s="1440"/>
      <c r="U36" s="1439" t="e">
        <f>U33/'Ch41 Calc Data'!M17</f>
        <v>#DIV/0!</v>
      </c>
      <c r="V36" s="1440"/>
      <c r="W36" s="1439" t="e">
        <f>W33/'Ch41 Calc Data'!M17</f>
        <v>#DIV/0!</v>
      </c>
      <c r="X36" s="1440"/>
      <c r="Y36" s="1439" t="e">
        <f>Y33/'Ch41 Calc Data'!M17</f>
        <v>#DIV/0!</v>
      </c>
      <c r="Z36" s="1560"/>
      <c r="AA36" s="1573" t="e">
        <f>AA33/'Ch41 Calc Data'!N17</f>
        <v>#DIV/0!</v>
      </c>
      <c r="AB36" s="1510"/>
      <c r="AC36" s="1509" t="e">
        <f>AC33/'Ch41 Calc Data'!N17</f>
        <v>#DIV/0!</v>
      </c>
      <c r="AD36" s="1510"/>
      <c r="AE36" s="1509" t="e">
        <f>AE33/'Ch41 Calc Data'!N17</f>
        <v>#DIV/0!</v>
      </c>
      <c r="AF36" s="1510"/>
      <c r="AG36" s="1509" t="e">
        <f>AG33/'Ch41 Calc Data'!N17</f>
        <v>#DIV/0!</v>
      </c>
      <c r="AH36" s="1582"/>
      <c r="AI36" s="1426" t="e">
        <f>AI33/'Ch41 Calc Data'!O17</f>
        <v>#DIV/0!</v>
      </c>
      <c r="AJ36" s="1512"/>
      <c r="AK36" s="1511" t="e">
        <f>AK33/'Ch41 Calc Data'!O17</f>
        <v>#DIV/0!</v>
      </c>
      <c r="AL36" s="1512"/>
      <c r="AM36" s="1511" t="e">
        <f>AM33/'Ch41 Calc Data'!O17</f>
        <v>#DIV/0!</v>
      </c>
      <c r="AN36" s="1512"/>
      <c r="AO36" s="1511" t="e">
        <f>AO33/'Ch41 Calc Data'!O17</f>
        <v>#DIV/0!</v>
      </c>
      <c r="AP36" s="1594"/>
      <c r="AQ36" s="1591" t="e">
        <f>AQ33/'Ch41 Calc Data'!P17</f>
        <v>#DIV/0!</v>
      </c>
      <c r="AR36" s="1514"/>
      <c r="AS36" s="1513" t="e">
        <f>AS33/'Ch41 Calc Data'!P17</f>
        <v>#DIV/0!</v>
      </c>
      <c r="AT36" s="1514"/>
      <c r="AU36" s="1513" t="e">
        <f>AU33/'Ch41 Calc Data'!P17</f>
        <v>#DIV/0!</v>
      </c>
      <c r="AV36" s="1514"/>
      <c r="AW36" s="1513" t="e">
        <f>AW33/'Ch41 Calc Data'!P17</f>
        <v>#DIV/0!</v>
      </c>
      <c r="AX36" s="1605"/>
      <c r="AY36" s="1602" t="e">
        <f>AY33/'Ch41 Calc Data'!Q17</f>
        <v>#DIV/0!</v>
      </c>
      <c r="AZ36" s="1516"/>
      <c r="BA36" s="1515" t="e">
        <f>BA33/'Ch41 Calc Data'!Q17</f>
        <v>#DIV/0!</v>
      </c>
      <c r="BB36" s="1516"/>
      <c r="BC36" s="1515" t="e">
        <f>BC33/'Ch41 Calc Data'!Q17</f>
        <v>#DIV/0!</v>
      </c>
      <c r="BD36" s="1516"/>
      <c r="BE36" s="1515" t="e">
        <f>BE33/'Ch41 Calc Data'!Q17</f>
        <v>#DIV/0!</v>
      </c>
      <c r="BF36" s="1612"/>
      <c r="BG36" s="1777" t="e">
        <f>BG33/'Ch41 Calc Data'!R17</f>
        <v>#DIV/0!</v>
      </c>
      <c r="BH36" s="1778"/>
      <c r="BI36" s="1779" t="e">
        <f>BI33/'Ch41 Calc Data'!R17</f>
        <v>#DIV/0!</v>
      </c>
      <c r="BJ36" s="1778"/>
      <c r="BK36" s="1779" t="e">
        <f>BK33/'Ch41 Calc Data'!R17</f>
        <v>#DIV/0!</v>
      </c>
      <c r="BL36" s="1778"/>
      <c r="BM36" s="1779" t="e">
        <f>BM33/'Ch41 Calc Data'!R17</f>
        <v>#DIV/0!</v>
      </c>
      <c r="BN36" s="1766"/>
    </row>
    <row r="37" spans="1:66">
      <c r="I37" s="2070"/>
      <c r="R37" s="1567"/>
      <c r="Z37" s="1560"/>
      <c r="AH37" s="1582"/>
      <c r="AP37" s="1594"/>
      <c r="AX37" s="1605"/>
      <c r="BF37" s="1612"/>
      <c r="BN37" s="1766"/>
    </row>
    <row r="38" spans="1:66" ht="15.75">
      <c r="A38" s="30" t="s">
        <v>2094</v>
      </c>
      <c r="I38" s="2070"/>
      <c r="R38" s="1567"/>
      <c r="Z38" s="1560"/>
      <c r="AH38" s="1582"/>
      <c r="AP38" s="1594"/>
      <c r="AX38" s="1605"/>
      <c r="BF38" s="1612"/>
      <c r="BN38" s="1766"/>
    </row>
    <row r="39" spans="1:66">
      <c r="A39" t="s">
        <v>917</v>
      </c>
      <c r="C39" s="2083" t="e">
        <f>'Calc Data'!AD36</f>
        <v>#REF!</v>
      </c>
      <c r="D39" s="2057"/>
      <c r="E39" s="2083" t="e">
        <f>C39</f>
        <v>#REF!</v>
      </c>
      <c r="F39" s="2057"/>
      <c r="G39" s="2083"/>
      <c r="H39" s="2057"/>
      <c r="I39" s="2084"/>
      <c r="K39" s="1454" t="e">
        <f>'Calc Data'!D30</f>
        <v>#REF!</v>
      </c>
      <c r="L39" s="1455"/>
      <c r="M39" s="1454" t="e">
        <f>K39</f>
        <v>#REF!</v>
      </c>
      <c r="N39" s="1455"/>
      <c r="O39" s="1454"/>
      <c r="P39" s="1455"/>
      <c r="Q39" s="1481"/>
      <c r="R39" s="1567"/>
      <c r="S39" s="1564">
        <f>'Calc Data'!E30</f>
        <v>0</v>
      </c>
      <c r="T39" s="1440"/>
      <c r="U39" s="1439">
        <f>S39</f>
        <v>0</v>
      </c>
      <c r="V39" s="1440"/>
      <c r="W39" s="1439"/>
      <c r="X39" s="1440"/>
      <c r="Y39" s="1439"/>
      <c r="Z39" s="1561"/>
      <c r="AA39" s="1573">
        <f>'Calc Data'!F30</f>
        <v>0</v>
      </c>
      <c r="AB39" s="1510"/>
      <c r="AC39" s="1509">
        <f>AA39</f>
        <v>0</v>
      </c>
      <c r="AD39" s="1510"/>
      <c r="AE39" s="1509"/>
      <c r="AF39" s="1510"/>
      <c r="AG39" s="1509"/>
      <c r="AH39" s="1587"/>
      <c r="AI39" s="1426">
        <f>'Calc Data'!G30</f>
        <v>0</v>
      </c>
      <c r="AJ39" s="1512"/>
      <c r="AK39" s="1511">
        <f>AI39</f>
        <v>0</v>
      </c>
      <c r="AL39" s="1512"/>
      <c r="AM39" s="1511"/>
      <c r="AN39" s="1512"/>
      <c r="AO39" s="1511"/>
      <c r="AP39" s="1598"/>
      <c r="AQ39" s="1591">
        <f>'Calc Data'!H30</f>
        <v>0</v>
      </c>
      <c r="AR39" s="1514"/>
      <c r="AS39" s="1513">
        <f>AQ39</f>
        <v>0</v>
      </c>
      <c r="AT39" s="1514"/>
      <c r="AU39" s="1513"/>
      <c r="AV39" s="1514"/>
      <c r="AW39" s="1513"/>
      <c r="AX39" s="1610"/>
      <c r="AY39" s="1602">
        <f>'Calc Data'!I30</f>
        <v>0</v>
      </c>
      <c r="AZ39" s="1516"/>
      <c r="BA39" s="1515">
        <f>AY39</f>
        <v>0</v>
      </c>
      <c r="BB39" s="1516"/>
      <c r="BC39" s="1515"/>
      <c r="BD39" s="1516"/>
      <c r="BE39" s="1515"/>
      <c r="BF39" s="1612"/>
      <c r="BG39" s="1777">
        <f>'Calc Data'!J30</f>
        <v>0</v>
      </c>
      <c r="BH39" s="1778"/>
      <c r="BI39" s="1779">
        <f>BG39</f>
        <v>0</v>
      </c>
      <c r="BJ39" s="1778"/>
      <c r="BK39" s="1779"/>
      <c r="BL39" s="1778"/>
      <c r="BM39" s="1779"/>
      <c r="BN39" s="1766"/>
    </row>
    <row r="40" spans="1:66">
      <c r="A40" t="s">
        <v>729</v>
      </c>
      <c r="C40" s="2083"/>
      <c r="D40" s="2057"/>
      <c r="E40" s="2083"/>
      <c r="F40" s="2057"/>
      <c r="G40" s="2083" t="e">
        <f>'Calc Data'!C37</f>
        <v>#REF!</v>
      </c>
      <c r="H40" s="2057"/>
      <c r="I40" s="2084" t="e">
        <f>G40</f>
        <v>#REF!</v>
      </c>
      <c r="K40" s="1454"/>
      <c r="L40" s="1455"/>
      <c r="M40" s="1454"/>
      <c r="N40" s="1455"/>
      <c r="O40" s="1529" t="e">
        <f>'Calc Data'!D37</f>
        <v>#REF!</v>
      </c>
      <c r="P40" s="1530"/>
      <c r="Q40" s="1466" t="e">
        <f>O40</f>
        <v>#REF!</v>
      </c>
      <c r="R40" s="1569"/>
      <c r="S40" s="1562"/>
      <c r="T40" s="1424"/>
      <c r="U40" s="1493"/>
      <c r="V40" s="1424"/>
      <c r="W40" s="1493">
        <f>'Calc Data'!E37</f>
        <v>0</v>
      </c>
      <c r="X40" s="1424"/>
      <c r="Y40" s="1493">
        <f>W40</f>
        <v>0</v>
      </c>
      <c r="Z40" s="1429"/>
      <c r="AA40" s="1571"/>
      <c r="AB40" s="1495"/>
      <c r="AC40" s="1494"/>
      <c r="AD40" s="1495"/>
      <c r="AE40" s="1494">
        <f>'Calc Data'!F37</f>
        <v>0</v>
      </c>
      <c r="AF40" s="1495"/>
      <c r="AG40" s="1494">
        <f>AE40</f>
        <v>0</v>
      </c>
      <c r="AH40" s="1585"/>
      <c r="AI40" s="1428"/>
      <c r="AJ40" s="1425"/>
      <c r="AK40" s="1496"/>
      <c r="AL40" s="1425"/>
      <c r="AM40" s="1496">
        <f>'Calc Data'!G37</f>
        <v>0</v>
      </c>
      <c r="AN40" s="1425"/>
      <c r="AO40" s="1496">
        <f>AM40</f>
        <v>0</v>
      </c>
      <c r="AP40" s="1430"/>
      <c r="AQ40" s="1589"/>
      <c r="AR40" s="1498"/>
      <c r="AS40" s="1497"/>
      <c r="AT40" s="1498"/>
      <c r="AU40" s="1497">
        <f>'Calc Data'!H37</f>
        <v>0</v>
      </c>
      <c r="AV40" s="1498"/>
      <c r="AW40" s="1497">
        <f>AU40</f>
        <v>0</v>
      </c>
      <c r="AX40" s="1608"/>
      <c r="AY40" s="1600"/>
      <c r="AZ40" s="1500"/>
      <c r="BA40" s="1499"/>
      <c r="BB40" s="1500"/>
      <c r="BC40" s="1499">
        <f>'Calc Data'!I37</f>
        <v>0</v>
      </c>
      <c r="BD40" s="1500"/>
      <c r="BE40" s="1499">
        <f>BC40</f>
        <v>0</v>
      </c>
      <c r="BF40" s="1612"/>
      <c r="BG40" s="1771"/>
      <c r="BH40" s="1772"/>
      <c r="BI40" s="1773"/>
      <c r="BJ40" s="1772"/>
      <c r="BK40" s="1773">
        <f>'Calc Data'!J37</f>
        <v>0</v>
      </c>
      <c r="BL40" s="1772"/>
      <c r="BM40" s="1773">
        <f>BK40</f>
        <v>0</v>
      </c>
      <c r="BN40" s="1766"/>
    </row>
    <row r="41" spans="1:66">
      <c r="A41" t="s">
        <v>1178</v>
      </c>
      <c r="C41" s="2083" t="e">
        <f>C39</f>
        <v>#REF!</v>
      </c>
      <c r="D41" s="2057"/>
      <c r="E41" s="2083" t="e">
        <f>E39</f>
        <v>#REF!</v>
      </c>
      <c r="F41" s="2057"/>
      <c r="G41" s="2083" t="e">
        <f>G40</f>
        <v>#REF!</v>
      </c>
      <c r="H41" s="2057"/>
      <c r="I41" s="2084" t="e">
        <f>I40</f>
        <v>#REF!</v>
      </c>
      <c r="K41" s="1454" t="e">
        <f>K39</f>
        <v>#REF!</v>
      </c>
      <c r="L41" s="1455"/>
      <c r="M41" s="1454" t="e">
        <f>M39</f>
        <v>#REF!</v>
      </c>
      <c r="N41" s="1455"/>
      <c r="O41" s="1529" t="e">
        <f>O40</f>
        <v>#REF!</v>
      </c>
      <c r="P41" s="1530"/>
      <c r="Q41" s="1466" t="e">
        <f>Q40</f>
        <v>#REF!</v>
      </c>
      <c r="R41" s="1569"/>
      <c r="S41" s="1562">
        <f>S39</f>
        <v>0</v>
      </c>
      <c r="T41" s="1424"/>
      <c r="U41" s="1493">
        <f>U39</f>
        <v>0</v>
      </c>
      <c r="V41" s="1424"/>
      <c r="W41" s="1493">
        <f>W40</f>
        <v>0</v>
      </c>
      <c r="X41" s="1424"/>
      <c r="Y41" s="1493">
        <f>Y40</f>
        <v>0</v>
      </c>
      <c r="Z41" s="1429"/>
      <c r="AA41" s="1571">
        <f>AA39</f>
        <v>0</v>
      </c>
      <c r="AB41" s="1495"/>
      <c r="AC41" s="1494">
        <f>AC39</f>
        <v>0</v>
      </c>
      <c r="AD41" s="1495"/>
      <c r="AE41" s="1494">
        <f>AE40</f>
        <v>0</v>
      </c>
      <c r="AF41" s="1495"/>
      <c r="AG41" s="1494">
        <f>AG40</f>
        <v>0</v>
      </c>
      <c r="AH41" s="1585"/>
      <c r="AI41" s="1428">
        <f>AI39</f>
        <v>0</v>
      </c>
      <c r="AJ41" s="1425"/>
      <c r="AK41" s="1496">
        <f>AK39</f>
        <v>0</v>
      </c>
      <c r="AL41" s="1425"/>
      <c r="AM41" s="1496">
        <f>AM40</f>
        <v>0</v>
      </c>
      <c r="AN41" s="1425"/>
      <c r="AO41" s="1496">
        <f>AO40</f>
        <v>0</v>
      </c>
      <c r="AP41" s="1430"/>
      <c r="AQ41" s="1589">
        <f>AQ39</f>
        <v>0</v>
      </c>
      <c r="AR41" s="1498"/>
      <c r="AS41" s="1497">
        <f>AS39</f>
        <v>0</v>
      </c>
      <c r="AT41" s="1498"/>
      <c r="AU41" s="1497">
        <f>AU40</f>
        <v>0</v>
      </c>
      <c r="AV41" s="1498"/>
      <c r="AW41" s="1497">
        <f>AW40</f>
        <v>0</v>
      </c>
      <c r="AX41" s="1608"/>
      <c r="AY41" s="1600">
        <f>AY39</f>
        <v>0</v>
      </c>
      <c r="AZ41" s="1500"/>
      <c r="BA41" s="1499">
        <f>BA39</f>
        <v>0</v>
      </c>
      <c r="BB41" s="1500"/>
      <c r="BC41" s="1499">
        <f>BC40</f>
        <v>0</v>
      </c>
      <c r="BD41" s="1500"/>
      <c r="BE41" s="1499">
        <f>BE40</f>
        <v>0</v>
      </c>
      <c r="BF41" s="1612"/>
      <c r="BG41" s="1771">
        <f>BG39</f>
        <v>0</v>
      </c>
      <c r="BH41" s="1772"/>
      <c r="BI41" s="1773">
        <f>BI39</f>
        <v>0</v>
      </c>
      <c r="BJ41" s="1772"/>
      <c r="BK41" s="1773">
        <f>BK40</f>
        <v>0</v>
      </c>
      <c r="BL41" s="1772"/>
      <c r="BM41" s="1773">
        <f>BM40</f>
        <v>0</v>
      </c>
      <c r="BN41" s="1766"/>
    </row>
    <row r="42" spans="1:66">
      <c r="A42" t="s">
        <v>2095</v>
      </c>
      <c r="C42" s="2081" t="e">
        <f>C35*C41</f>
        <v>#REF!</v>
      </c>
      <c r="D42" s="2085"/>
      <c r="E42" s="2081" t="e">
        <f>E35*E41</f>
        <v>#REF!</v>
      </c>
      <c r="F42" s="2085"/>
      <c r="G42" s="2081" t="e">
        <f>IF(G40&lt;1,0,G35*G41)</f>
        <v>#REF!</v>
      </c>
      <c r="H42" s="2085"/>
      <c r="I42" s="2082" t="e">
        <f>IF(I40&lt;1,0,I35*I41)</f>
        <v>#REF!</v>
      </c>
      <c r="K42" s="1454" t="e">
        <f>K35*K41</f>
        <v>#REF!</v>
      </c>
      <c r="L42" s="1455"/>
      <c r="M42" s="1454" t="e">
        <f>M35*M41</f>
        <v>#REF!</v>
      </c>
      <c r="N42" s="1455"/>
      <c r="O42" s="1529" t="e">
        <f>IF(O40&lt;1,0,O35*O41)</f>
        <v>#REF!</v>
      </c>
      <c r="P42" s="1530"/>
      <c r="Q42" s="1466" t="e">
        <f>IF(Q40&lt;1,0,Q35*Q41)</f>
        <v>#REF!</v>
      </c>
      <c r="R42" s="1569"/>
      <c r="S42" s="1562" t="e">
        <f>S35*S41</f>
        <v>#DIV/0!</v>
      </c>
      <c r="T42" s="1424"/>
      <c r="U42" s="1493" t="e">
        <f>U35*U41</f>
        <v>#DIV/0!</v>
      </c>
      <c r="V42" s="1424"/>
      <c r="W42" s="1493">
        <f>IF(W40&lt;1,0,W35*W41)</f>
        <v>0</v>
      </c>
      <c r="X42" s="1424"/>
      <c r="Y42" s="1493">
        <f>IF(Y40&lt;1,0,Y35*Y41)</f>
        <v>0</v>
      </c>
      <c r="Z42" s="1429"/>
      <c r="AA42" s="1571" t="e">
        <f>AA35*AA41</f>
        <v>#DIV/0!</v>
      </c>
      <c r="AB42" s="1495"/>
      <c r="AC42" s="1494" t="e">
        <f>AC35*AC41</f>
        <v>#DIV/0!</v>
      </c>
      <c r="AD42" s="1495"/>
      <c r="AE42" s="1494">
        <f>IF(AE40&lt;1,0,AE35*AE41)</f>
        <v>0</v>
      </c>
      <c r="AF42" s="1495"/>
      <c r="AG42" s="1494">
        <f>IF(AG40&lt;1,0,AG35*AG41)</f>
        <v>0</v>
      </c>
      <c r="AH42" s="1585"/>
      <c r="AI42" s="1428" t="e">
        <f>AI35*AI41</f>
        <v>#DIV/0!</v>
      </c>
      <c r="AJ42" s="1425"/>
      <c r="AK42" s="1496" t="e">
        <f>AK35*AK41</f>
        <v>#DIV/0!</v>
      </c>
      <c r="AL42" s="1425"/>
      <c r="AM42" s="1496">
        <f>IF(AM40&lt;1,0,AM35*AM41)</f>
        <v>0</v>
      </c>
      <c r="AN42" s="1425"/>
      <c r="AO42" s="1496">
        <f>IF(AO40&lt;1,0,AO35*AO41)</f>
        <v>0</v>
      </c>
      <c r="AP42" s="1430"/>
      <c r="AQ42" s="1589" t="e">
        <f>AQ35*AQ41</f>
        <v>#DIV/0!</v>
      </c>
      <c r="AR42" s="1498"/>
      <c r="AS42" s="1497" t="e">
        <f>AS35*AS41</f>
        <v>#DIV/0!</v>
      </c>
      <c r="AT42" s="1498"/>
      <c r="AU42" s="1497">
        <f>IF(AU40&lt;1,0,AU35*AU41)</f>
        <v>0</v>
      </c>
      <c r="AV42" s="1498"/>
      <c r="AW42" s="1497">
        <f>IF(AW40&lt;1,0,AW35*AW41)</f>
        <v>0</v>
      </c>
      <c r="AX42" s="1608"/>
      <c r="AY42" s="1600" t="e">
        <f>AY35*AY41</f>
        <v>#DIV/0!</v>
      </c>
      <c r="AZ42" s="1500"/>
      <c r="BA42" s="1499" t="e">
        <f>BA35*BA41</f>
        <v>#DIV/0!</v>
      </c>
      <c r="BB42" s="1500"/>
      <c r="BC42" s="1499">
        <f>IF(BC40&lt;1,0,BC35*BC41)</f>
        <v>0</v>
      </c>
      <c r="BD42" s="1500"/>
      <c r="BE42" s="1499">
        <f>IF(BE40&lt;1,0,BE35*BE41)</f>
        <v>0</v>
      </c>
      <c r="BF42" s="1612"/>
      <c r="BG42" s="1771" t="e">
        <f>BG35*BG41</f>
        <v>#DIV/0!</v>
      </c>
      <c r="BH42" s="1772"/>
      <c r="BI42" s="1773" t="e">
        <f>BI35*BI41</f>
        <v>#DIV/0!</v>
      </c>
      <c r="BJ42" s="1772"/>
      <c r="BK42" s="1773">
        <f>IF(BK40&lt;1,0,BK35*BK41)</f>
        <v>0</v>
      </c>
      <c r="BL42" s="1772"/>
      <c r="BM42" s="1773">
        <f>IF(BM40&lt;1,0,BM35*BM41)</f>
        <v>0</v>
      </c>
      <c r="BN42" s="1766"/>
    </row>
    <row r="43" spans="1:66">
      <c r="A43" s="71" t="s">
        <v>1011</v>
      </c>
      <c r="C43" s="2359" t="e">
        <f>C34/IF(C36&lt;Assumptions!G92,Assumptions!G92,C36)</f>
        <v>#REF!</v>
      </c>
      <c r="D43" s="2060"/>
      <c r="E43" s="2359" t="e">
        <f>E34/E36</f>
        <v>#REF!</v>
      </c>
      <c r="F43" s="2060"/>
      <c r="G43" s="2359" t="e">
        <f>IF(G42=0,0,G34/G36)</f>
        <v>#REF!</v>
      </c>
      <c r="H43" s="2060"/>
      <c r="I43" s="2080" t="e">
        <f>IF(I42=0,0,I34/I36)</f>
        <v>#REF!</v>
      </c>
      <c r="K43" s="1457" t="e">
        <f>K34/IF(K36&lt;Assumptions!G103,Assumptions!G103,K36)</f>
        <v>#REF!</v>
      </c>
      <c r="L43" s="1458"/>
      <c r="M43" s="1457" t="e">
        <f>M34/M36</f>
        <v>#REF!</v>
      </c>
      <c r="N43" s="1458"/>
      <c r="O43" s="1452" t="e">
        <f>IF(O42=0,0,O34/O36)</f>
        <v>#REF!</v>
      </c>
      <c r="P43" s="1453"/>
      <c r="Q43" s="1464" t="e">
        <f>IF(Q42=0,0,Q34/Q36)</f>
        <v>#REF!</v>
      </c>
      <c r="R43" s="1568"/>
      <c r="S43" s="1563" t="e">
        <f>S34/IF(S36&lt;Assumptions!G112,Assumptions!G112,S36)</f>
        <v>#DIV/0!</v>
      </c>
      <c r="T43" s="1442"/>
      <c r="U43" s="1441" t="e">
        <f>U34/U36</f>
        <v>#DIV/0!</v>
      </c>
      <c r="V43" s="1442"/>
      <c r="W43" s="1441">
        <f>IF(W42=0,0,W34/W36)</f>
        <v>0</v>
      </c>
      <c r="X43" s="1442"/>
      <c r="Y43" s="1441">
        <f>IF(Y42=0,0,Y34/Y36)</f>
        <v>0</v>
      </c>
      <c r="Z43" s="1577"/>
      <c r="AA43" s="1572" t="e">
        <f>AA34/IF(AA36&lt;Assumptions!G121,Assumptions!G121,AA36)</f>
        <v>#DIV/0!</v>
      </c>
      <c r="AB43" s="1502"/>
      <c r="AC43" s="1501" t="e">
        <f>AC34/AC36</f>
        <v>#DIV/0!</v>
      </c>
      <c r="AD43" s="1502"/>
      <c r="AE43" s="1501">
        <f>IF(AE42=0,0,AE34/AE36)</f>
        <v>0</v>
      </c>
      <c r="AF43" s="1502"/>
      <c r="AG43" s="1501">
        <f>IF(AG42=0,0,AG34/AG36)</f>
        <v>0</v>
      </c>
      <c r="AH43" s="1586"/>
      <c r="AI43" s="1579" t="e">
        <f>AI34/IF(AI36&lt;Assumptions!G130,Assumptions!G130,AI36)</f>
        <v>#DIV/0!</v>
      </c>
      <c r="AJ43" s="1504"/>
      <c r="AK43" s="1503" t="e">
        <f>AK34/AK36</f>
        <v>#DIV/0!</v>
      </c>
      <c r="AL43" s="1504"/>
      <c r="AM43" s="1503">
        <f>IF(AM42=0,0,AM34/AM36)</f>
        <v>0</v>
      </c>
      <c r="AN43" s="1504"/>
      <c r="AO43" s="1503">
        <f>IF(AO42=0,0,AO34/AO36)</f>
        <v>0</v>
      </c>
      <c r="AP43" s="1597"/>
      <c r="AQ43" s="1590" t="e">
        <f>AQ34/IF(AQ36&lt;Assumptions!G139,Assumptions!G139,AQ36)</f>
        <v>#DIV/0!</v>
      </c>
      <c r="AR43" s="1506"/>
      <c r="AS43" s="1505" t="e">
        <f>AS34/AS36</f>
        <v>#DIV/0!</v>
      </c>
      <c r="AT43" s="1506"/>
      <c r="AU43" s="1505">
        <f>IF(AU42=0,0,AU34/AU36)</f>
        <v>0</v>
      </c>
      <c r="AV43" s="1506"/>
      <c r="AW43" s="1505">
        <f>IF(AW42=0,0,AW34/AW36)</f>
        <v>0</v>
      </c>
      <c r="AX43" s="1609"/>
      <c r="AY43" s="1601" t="e">
        <f>AY34/IF(AY36&lt;Assumptions!G148,Assumptions!G148,AY36)</f>
        <v>#DIV/0!</v>
      </c>
      <c r="AZ43" s="1508"/>
      <c r="BA43" s="1507" t="e">
        <f>BA34/BA36</f>
        <v>#DIV/0!</v>
      </c>
      <c r="BB43" s="1508"/>
      <c r="BC43" s="1507">
        <f>IF(BC42=0,0,BC34/BC36)</f>
        <v>0</v>
      </c>
      <c r="BD43" s="1508"/>
      <c r="BE43" s="1507">
        <f>IF(BE42=0,0,BE34/BE36)</f>
        <v>0</v>
      </c>
      <c r="BF43" s="1612"/>
      <c r="BG43" s="1774" t="e">
        <f>BG34/IF(BG36&lt;Assumptions!G157,Assumptions!G157,BG36)</f>
        <v>#DIV/0!</v>
      </c>
      <c r="BH43" s="1775"/>
      <c r="BI43" s="1776" t="e">
        <f>BI34/BI36</f>
        <v>#DIV/0!</v>
      </c>
      <c r="BJ43" s="1775"/>
      <c r="BK43" s="1776">
        <f>IF(BK42=0,0,BK34/BK36)</f>
        <v>0</v>
      </c>
      <c r="BL43" s="1775"/>
      <c r="BM43" s="1776">
        <f>IF(BM42=0,0,BM34/BM36)</f>
        <v>0</v>
      </c>
      <c r="BN43" s="1766"/>
    </row>
    <row r="44" spans="1:66">
      <c r="A44" s="67" t="s">
        <v>1555</v>
      </c>
      <c r="C44" s="2365" t="e">
        <f>IF(C43=0,0,IF(C42/C43&lt;3147,3147,C42/C43))</f>
        <v>#REF!</v>
      </c>
      <c r="D44" s="2366"/>
      <c r="E44" s="2365" t="e">
        <f>IF(E43=0,0,IF(E42/E43&lt;3147,3147,E42/E43))</f>
        <v>#REF!</v>
      </c>
      <c r="F44" s="2366"/>
      <c r="G44" s="2365" t="e">
        <f>IF(G43=0,0,IF(G42/G43&lt;71.62,71.62,G42/G43))</f>
        <v>#REF!</v>
      </c>
      <c r="H44" s="2366"/>
      <c r="I44" s="2367" t="e">
        <f>IF(I43=0,0,IF(I42/I43&lt;71.62,71.62,I42/I43))</f>
        <v>#REF!</v>
      </c>
      <c r="K44" s="1459" t="e">
        <f>IF(K43=0,0,IF(K42/K43&lt;3392,3392,K42/K43))</f>
        <v>#REF!</v>
      </c>
      <c r="L44" s="1431"/>
      <c r="M44" s="1459" t="e">
        <f>IF(M43=0,0,IF(M42/M43&lt;3392,3392,M42/M43))</f>
        <v>#REF!</v>
      </c>
      <c r="N44" s="1431"/>
      <c r="O44" s="1452" t="e">
        <f>IF(O43=0,0,IF(O42/O43&lt;84.777,84.777,O42/O43))</f>
        <v>#REF!</v>
      </c>
      <c r="P44" s="1531"/>
      <c r="Q44" s="1464" t="e">
        <f>IF(Q43=0,0,IF(Q42/Q43&lt;84.777,84.777,Q42/Q43))</f>
        <v>#REF!</v>
      </c>
      <c r="R44" s="1568"/>
      <c r="S44" s="1563" t="e">
        <f>IF(S43=0,0,IF(S42/S43&lt;3618,3618,S42/S43))</f>
        <v>#DIV/0!</v>
      </c>
      <c r="T44" s="1442"/>
      <c r="U44" s="1441" t="e">
        <f>IF(U43=0,0,IF(U42/U43&lt;3618,3618,U42/U43))</f>
        <v>#DIV/0!</v>
      </c>
      <c r="V44" s="1442"/>
      <c r="W44" s="1441">
        <f>IF(W43=0,0,IF(W42/W43&lt;84.777,84.777,W42/W43))</f>
        <v>0</v>
      </c>
      <c r="X44" s="1442"/>
      <c r="Y44" s="1441">
        <f>IF(Y43=0,0,IF(Y42/Y43&lt;84.777,84.777,Y42/Y43))</f>
        <v>0</v>
      </c>
      <c r="Z44" s="1577"/>
      <c r="AA44" s="1572" t="e">
        <f>IF(AA43=0,0,IF(AA42/AA43&lt;3618,3618,AA42/AA43))</f>
        <v>#DIV/0!</v>
      </c>
      <c r="AB44" s="1502"/>
      <c r="AC44" s="1501" t="e">
        <f>IF(AC43=0,0,IF(AC42/AC43&lt;3618,3618,AC42/AC43))</f>
        <v>#DIV/0!</v>
      </c>
      <c r="AD44" s="1502"/>
      <c r="AE44" s="1501">
        <f>IF(AE43=0,0,IF(AE42/AE43&lt;84.777,84.777,AE42/AE43))</f>
        <v>0</v>
      </c>
      <c r="AF44" s="1502"/>
      <c r="AG44" s="1501">
        <f>IF(AG43=0,0,IF(AG42/AG43&lt;84.777,84.777,AG42/AG43))</f>
        <v>0</v>
      </c>
      <c r="AH44" s="1586"/>
      <c r="AI44" s="1579" t="e">
        <f>IF(AI43=0,0,IF(AI42/AI43&lt;3618,3618,AI42/AI43))</f>
        <v>#DIV/0!</v>
      </c>
      <c r="AJ44" s="1504"/>
      <c r="AK44" s="1503" t="e">
        <f>IF(AK43=0,0,IF(AK42/AK43&lt;3618,3618,AK42/AK43))</f>
        <v>#DIV/0!</v>
      </c>
      <c r="AL44" s="1504"/>
      <c r="AM44" s="1503">
        <f>IF(AM43=0,0,IF(AM42/AM43&lt;84.777,84.777,AM42/AM43))</f>
        <v>0</v>
      </c>
      <c r="AN44" s="1504"/>
      <c r="AO44" s="1503">
        <f>IF(AO43=0,0,IF(AO42/AO43&lt;84.777,84.777,AO42/AO43))</f>
        <v>0</v>
      </c>
      <c r="AP44" s="1597"/>
      <c r="AQ44" s="1590" t="e">
        <f>IF(AQ43=0,0,IF(AQ42/AQ43&lt;3618,3618,AQ42/AQ43))</f>
        <v>#DIV/0!</v>
      </c>
      <c r="AR44" s="1506"/>
      <c r="AS44" s="1505" t="e">
        <f>IF(AS43=0,0,IF(AS42/AS43&lt;3618,3618,AS42/AS43))</f>
        <v>#DIV/0!</v>
      </c>
      <c r="AT44" s="1506"/>
      <c r="AU44" s="1505">
        <f>IF(AU43=0,0,IF(AU42/AU43&lt;84.777,84.777,AU42/AU43))</f>
        <v>0</v>
      </c>
      <c r="AV44" s="1506"/>
      <c r="AW44" s="1505">
        <f>IF(AW43=0,0,IF(AW42/AW43&lt;84.777,84.777,AW42/AW43))</f>
        <v>0</v>
      </c>
      <c r="AX44" s="1609"/>
      <c r="AY44" s="1601" t="e">
        <f>IF(AY43=0,0,IF(AY42/AY43&lt;3618,3618,AY42/AY43))</f>
        <v>#DIV/0!</v>
      </c>
      <c r="AZ44" s="1508"/>
      <c r="BA44" s="1507" t="e">
        <f>IF(BA43=0,0,IF(BA42/BA43&lt;3618,3618,BA42/BA43))</f>
        <v>#DIV/0!</v>
      </c>
      <c r="BB44" s="1508"/>
      <c r="BC44" s="1507">
        <f>IF(BC43=0,0,IF(BC42/BC43&lt;84.777,84.777,BC42/BC43))</f>
        <v>0</v>
      </c>
      <c r="BD44" s="1508"/>
      <c r="BE44" s="1507">
        <f>IF(BE43=0,0,IF(BE42/BE43&lt;84.777,84.777,BE42/BE43))</f>
        <v>0</v>
      </c>
      <c r="BF44" s="1612"/>
      <c r="BG44" s="1774" t="e">
        <f>IF(BG43=0,0,IF(BG42/BG43&lt;3618,3618,BG42/BG43))</f>
        <v>#DIV/0!</v>
      </c>
      <c r="BH44" s="1775"/>
      <c r="BI44" s="1776" t="e">
        <f>IF(BI43=0,0,IF(BI42/BI43&lt;3618,3618,BI42/BI43))</f>
        <v>#DIV/0!</v>
      </c>
      <c r="BJ44" s="1775"/>
      <c r="BK44" s="1776">
        <f>IF(BK43=0,0,IF(BK42/BK43&lt;84.777,84.777,BK42/BK43))</f>
        <v>0</v>
      </c>
      <c r="BL44" s="1775"/>
      <c r="BM44" s="1776">
        <f>IF(BM43=0,0,IF(BM42/BM43&lt;84.777,84.777,BM42/BM43))</f>
        <v>0</v>
      </c>
      <c r="BN44" s="1766"/>
    </row>
    <row r="45" spans="1:66">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080" t="e">
        <f>G45</f>
        <v>#REF!</v>
      </c>
      <c r="K45" s="1452" t="e">
        <f>IF(OR('Data Entry - SOF'!#REF!=0,K44=0),0,IF('Data Entry - SOF'!#REF!&gt;K44,(K44*'Data Entry - SOF'!#REF!)/K44,('Data Entry - SOF'!#REF!*'Data Entry - SOF'!#REF!)/K44))</f>
        <v>#REF!</v>
      </c>
      <c r="L45" s="1453"/>
      <c r="M45" s="1452" t="e">
        <f>K45</f>
        <v>#REF!</v>
      </c>
      <c r="N45" s="1453"/>
      <c r="O45" s="1452" t="e">
        <f>IF(OR('Data Entry - SOF'!#REF!=0,O44=0),0,IF('Data Entry - SOF'!#REF!&gt;O44,(O44*'Data Entry - SOF'!#REF!)/O44,('Data Entry - SOF'!#REF!*'Data Entry - SOF'!#REF!)/O44))</f>
        <v>#REF!</v>
      </c>
      <c r="P45" s="1453"/>
      <c r="Q45" s="1464" t="e">
        <f>O45</f>
        <v>#REF!</v>
      </c>
      <c r="R45" s="1568"/>
      <c r="S45" s="1563" t="e">
        <f>IF(OR('Data Entry - SOF'!E140=0,S44=0),0,IF('Data Entry - SOF'!E140&gt;S44,(S44*'Data Entry - SOF'!E139)/S44,('Data Entry - SOF'!E140*'Data Entry - SOF'!E139)/S44))</f>
        <v>#DIV/0!</v>
      </c>
      <c r="T45" s="1442"/>
      <c r="U45" s="1441" t="e">
        <f>S45</f>
        <v>#DIV/0!</v>
      </c>
      <c r="V45" s="1442"/>
      <c r="W45" s="1441">
        <f>IF(OR('Data Entry - SOF'!E140=0,W44=0),0,IF('Data Entry - SOF'!E140&gt;W44,(W44*'Data Entry - SOF'!E139)/W44,('Data Entry - SOF'!E140*'Data Entry - SOF'!E139)/W44))</f>
        <v>0</v>
      </c>
      <c r="X45" s="1442"/>
      <c r="Y45" s="1441">
        <f>W45</f>
        <v>0</v>
      </c>
      <c r="Z45" s="1577"/>
      <c r="AA45" s="1572" t="e">
        <f>IF(OR('Data Entry - SOF'!G140=0,AA44=0),0,IF('Data Entry - SOF'!G140&gt;AA44,(AA44*'Data Entry - SOF'!G139)/AA44,('Data Entry - SOF'!G140*'Data Entry - SOF'!G139)/AA44))</f>
        <v>#DIV/0!</v>
      </c>
      <c r="AB45" s="1502"/>
      <c r="AC45" s="1501" t="e">
        <f>AA45</f>
        <v>#DIV/0!</v>
      </c>
      <c r="AD45" s="1502"/>
      <c r="AE45" s="1501">
        <f>IF(OR('Data Entry - SOF'!G140=0,AE44=0),0,IF('Data Entry - SOF'!G140&gt;AE44,(AE44*'Data Entry - SOF'!G139)/AE44,('Data Entry - SOF'!G140*'Data Entry - SOF'!G139)/AE44))</f>
        <v>0</v>
      </c>
      <c r="AF45" s="1502"/>
      <c r="AG45" s="1501">
        <f>AE45</f>
        <v>0</v>
      </c>
      <c r="AH45" s="1586"/>
      <c r="AI45" s="1579" t="e">
        <f>IF(OR('Data Entry - SOF'!M140=0,AI44=0),0,IF('Data Entry - SOF'!M140&gt;AI44,(AI44*'Data Entry - SOF'!M139)/AI44,('Data Entry - SOF'!M140*'Data Entry - SOF'!M139)/AI44))</f>
        <v>#DIV/0!</v>
      </c>
      <c r="AJ45" s="1504"/>
      <c r="AK45" s="1503" t="e">
        <f>AI45</f>
        <v>#DIV/0!</v>
      </c>
      <c r="AL45" s="1504"/>
      <c r="AM45" s="1503">
        <f>IF(OR('Data Entry - SOF'!M140=0,AM44=0),0,IF('Data Entry - SOF'!M140&gt;AM44,(AM44*'Data Entry - SOF'!M139)/AM44,('Data Entry - SOF'!M140*'Data Entry - SOF'!M139)/AM44))</f>
        <v>0</v>
      </c>
      <c r="AN45" s="1504"/>
      <c r="AO45" s="1503">
        <f>AM45</f>
        <v>0</v>
      </c>
      <c r="AP45" s="1597"/>
      <c r="AQ45" s="1590" t="e">
        <f>IF(OR('Data Entry - SOF'!O140=0,AQ44=0),0,IF('Data Entry - SOF'!O140&gt;AQ44,(AQ44*'Data Entry - SOF'!O139)/AQ44,('Data Entry - SOF'!O140*'Data Entry - SOF'!O139)/AQ44))</f>
        <v>#DIV/0!</v>
      </c>
      <c r="AR45" s="1506"/>
      <c r="AS45" s="1505" t="e">
        <f>AQ45</f>
        <v>#DIV/0!</v>
      </c>
      <c r="AT45" s="1506"/>
      <c r="AU45" s="1505">
        <f>IF(OR('Data Entry - SOF'!O140=0,AU44=0),0,IF('Data Entry - SOF'!O140&gt;AU44,(AU44*'Data Entry - SOF'!O139)/AU44,('Data Entry - SOF'!O140*'Data Entry - SOF'!O139)/AU44))</f>
        <v>0</v>
      </c>
      <c r="AV45" s="1506"/>
      <c r="AW45" s="1505">
        <f>AU45</f>
        <v>0</v>
      </c>
      <c r="AX45" s="1609"/>
      <c r="AY45" s="1601" t="e">
        <f>IF(OR('Data Entry - SOF'!Q140=0,AY44=0),0,IF('Data Entry - SOF'!Q140&gt;AY44,(AY44*'Data Entry - SOF'!Q139)/AY44,('Data Entry - SOF'!Q140*'Data Entry - SOF'!Q139)/AY44))</f>
        <v>#DIV/0!</v>
      </c>
      <c r="AZ45" s="1508"/>
      <c r="BA45" s="1507" t="e">
        <f>AY45</f>
        <v>#DIV/0!</v>
      </c>
      <c r="BB45" s="1508"/>
      <c r="BC45" s="1507">
        <f>IF(OR('Data Entry - SOF'!Q140=0,BC44=0),0,IF('Data Entry - SOF'!Q140&gt;BC44,(BC44*'Data Entry - SOF'!Q139)/BC44,('Data Entry - SOF'!Q140*'Data Entry - SOF'!Q139)/BC44))</f>
        <v>0</v>
      </c>
      <c r="BD45" s="1508"/>
      <c r="BE45" s="1507">
        <f>BC45</f>
        <v>0</v>
      </c>
      <c r="BF45" s="1612"/>
      <c r="BG45" s="1774" t="e">
        <f>IF(OR('Data Entry - SOF'!S140=0,BG44=0),0,IF('Data Entry - SOF'!S140&gt;BG44,(BG44*'Data Entry - SOF'!S139)/BG44,('Data Entry - SOF'!S140*'Data Entry - SOF'!S139)/BG44))</f>
        <v>#DIV/0!</v>
      </c>
      <c r="BH45" s="1775"/>
      <c r="BI45" s="1776" t="e">
        <f>BG45</f>
        <v>#DIV/0!</v>
      </c>
      <c r="BJ45" s="1775"/>
      <c r="BK45" s="1776">
        <f>IF(OR('Data Entry - SOF'!S140=0,BK44=0),0,IF('Data Entry - SOF'!S140&gt;BK44,(BK44*'Data Entry - SOF'!S139)/BK44,('Data Entry - SOF'!S140*'Data Entry - SOF'!S139)/BK44))</f>
        <v>0</v>
      </c>
      <c r="BL45" s="1775"/>
      <c r="BM45" s="1776">
        <f>BK45</f>
        <v>0</v>
      </c>
      <c r="BN45" s="1766"/>
    </row>
    <row r="46" spans="1:66">
      <c r="A46" s="67" t="s">
        <v>1301</v>
      </c>
      <c r="C46" s="2359">
        <v>0</v>
      </c>
      <c r="D46" s="2060"/>
      <c r="E46" s="2359">
        <v>0</v>
      </c>
      <c r="F46" s="2060"/>
      <c r="G46" s="2359">
        <v>0</v>
      </c>
      <c r="H46" s="2060"/>
      <c r="I46" s="2080">
        <v>0</v>
      </c>
      <c r="K46" s="1452">
        <v>0</v>
      </c>
      <c r="L46" s="1453"/>
      <c r="M46" s="1452">
        <v>0</v>
      </c>
      <c r="N46" s="1453"/>
      <c r="O46" s="1452">
        <v>0</v>
      </c>
      <c r="P46" s="1453"/>
      <c r="Q46" s="1464">
        <v>0</v>
      </c>
      <c r="R46" s="1568"/>
      <c r="S46" s="1563">
        <v>0</v>
      </c>
      <c r="T46" s="1442"/>
      <c r="U46" s="1441">
        <v>0</v>
      </c>
      <c r="V46" s="1442"/>
      <c r="W46" s="1441">
        <v>0</v>
      </c>
      <c r="X46" s="1442"/>
      <c r="Y46" s="1441">
        <v>0</v>
      </c>
      <c r="Z46" s="1577"/>
      <c r="AA46" s="1572">
        <v>0</v>
      </c>
      <c r="AB46" s="1502"/>
      <c r="AC46" s="1501">
        <v>0</v>
      </c>
      <c r="AD46" s="1502"/>
      <c r="AE46" s="1501">
        <v>0</v>
      </c>
      <c r="AF46" s="1502"/>
      <c r="AG46" s="1501">
        <v>0</v>
      </c>
      <c r="AH46" s="1586"/>
      <c r="AI46" s="1579">
        <v>0</v>
      </c>
      <c r="AJ46" s="1504"/>
      <c r="AK46" s="1503">
        <v>0</v>
      </c>
      <c r="AL46" s="1504"/>
      <c r="AM46" s="1503">
        <v>0</v>
      </c>
      <c r="AN46" s="1504"/>
      <c r="AO46" s="1503">
        <v>0</v>
      </c>
      <c r="AP46" s="1597"/>
      <c r="AQ46" s="1590">
        <v>0</v>
      </c>
      <c r="AR46" s="1506"/>
      <c r="AS46" s="1505">
        <v>0</v>
      </c>
      <c r="AT46" s="1506"/>
      <c r="AU46" s="1505">
        <v>0</v>
      </c>
      <c r="AV46" s="1506"/>
      <c r="AW46" s="1505">
        <v>0</v>
      </c>
      <c r="AX46" s="1609"/>
      <c r="AY46" s="1601">
        <v>0</v>
      </c>
      <c r="AZ46" s="1508"/>
      <c r="BA46" s="1507">
        <v>0</v>
      </c>
      <c r="BB46" s="1508"/>
      <c r="BC46" s="1507">
        <v>0</v>
      </c>
      <c r="BD46" s="1508"/>
      <c r="BE46" s="1507">
        <v>0</v>
      </c>
      <c r="BF46" s="1612"/>
      <c r="BG46" s="1774">
        <v>0</v>
      </c>
      <c r="BH46" s="1775"/>
      <c r="BI46" s="1776">
        <v>0</v>
      </c>
      <c r="BJ46" s="1775"/>
      <c r="BK46" s="1776">
        <v>0</v>
      </c>
      <c r="BL46" s="1775"/>
      <c r="BM46" s="1776">
        <v>0</v>
      </c>
      <c r="BN46" s="1766"/>
    </row>
    <row r="47" spans="1:66">
      <c r="A47" s="35" t="s">
        <v>1737</v>
      </c>
      <c r="C47" s="2359" t="e">
        <f>IF(C43-C45-C46&lt;0,0,C43-C45-C46)</f>
        <v>#REF!</v>
      </c>
      <c r="D47" s="2060"/>
      <c r="E47" s="2359" t="e">
        <f>IF(E43-E45-E46&lt;0,0,E43-E45-E46)</f>
        <v>#REF!</v>
      </c>
      <c r="F47" s="2060"/>
      <c r="G47" s="2359" t="e">
        <f>IF(G43-G45-G46&lt;0,0,G43-G45-G46)</f>
        <v>#REF!</v>
      </c>
      <c r="H47" s="2060"/>
      <c r="I47" s="2080" t="e">
        <f>IF(I43-I45-I46&lt;0,0,I43-I45-I46)</f>
        <v>#REF!</v>
      </c>
      <c r="K47" s="1452" t="e">
        <f>IF(K43-K45-K46&lt;0,0,K43-K45-K46)</f>
        <v>#REF!</v>
      </c>
      <c r="L47" s="1453"/>
      <c r="M47" s="1452" t="e">
        <f>IF(M43-M45-M46&lt;0,0,M43-M45-M46)</f>
        <v>#REF!</v>
      </c>
      <c r="N47" s="1453"/>
      <c r="O47" s="1452" t="e">
        <f>IF(O43-O45-O46&lt;0,0,O43-O45-O46)</f>
        <v>#REF!</v>
      </c>
      <c r="P47" s="1453"/>
      <c r="Q47" s="1464" t="e">
        <f>IF(Q43-Q45-Q46&lt;0,0,Q43-Q45-Q46)</f>
        <v>#REF!</v>
      </c>
      <c r="R47" s="1568"/>
      <c r="S47" s="1563" t="e">
        <f>IF(S43-S45-S46&lt;0,0,S43-S45-S46)</f>
        <v>#DIV/0!</v>
      </c>
      <c r="T47" s="1442"/>
      <c r="U47" s="1441" t="e">
        <f>IF(U43-U45-U46&lt;0,0,U43-U45-U46)</f>
        <v>#DIV/0!</v>
      </c>
      <c r="V47" s="1442"/>
      <c r="W47" s="1441">
        <f>IF(W43-W45-W46&lt;0,0,W43-W45-W46)</f>
        <v>0</v>
      </c>
      <c r="X47" s="1442"/>
      <c r="Y47" s="1441">
        <f>IF(Y43-Y45-Y46&lt;0,0,Y43-Y45-Y46)</f>
        <v>0</v>
      </c>
      <c r="Z47" s="1577"/>
      <c r="AA47" s="1572" t="e">
        <f>IF(AA43-AA45-AA46&lt;0,0,AA43-AA45-AA46)</f>
        <v>#DIV/0!</v>
      </c>
      <c r="AB47" s="1502"/>
      <c r="AC47" s="1501" t="e">
        <f>IF(AC43-AC45-AC46&lt;0,0,AC43-AC45-AC46)</f>
        <v>#DIV/0!</v>
      </c>
      <c r="AD47" s="1502"/>
      <c r="AE47" s="1501">
        <f>IF(AE43-AE45-AE46&lt;0,0,AE43-AE45-AE46)</f>
        <v>0</v>
      </c>
      <c r="AF47" s="1502"/>
      <c r="AG47" s="1501">
        <f>IF(AG43-AG45-AG46&lt;0,0,AG43-AG45-AG46)</f>
        <v>0</v>
      </c>
      <c r="AH47" s="1586"/>
      <c r="AI47" s="1579" t="e">
        <f>IF(AI43-AI45-AI46&lt;0,0,AI43-AI45-AI46)</f>
        <v>#DIV/0!</v>
      </c>
      <c r="AJ47" s="1504"/>
      <c r="AK47" s="1503" t="e">
        <f>IF(AK43-AK45-AK46&lt;0,0,AK43-AK45-AK46)</f>
        <v>#DIV/0!</v>
      </c>
      <c r="AL47" s="1504"/>
      <c r="AM47" s="1503">
        <f>IF(AM43-AM45-AM46&lt;0,0,AM43-AM45-AM46)</f>
        <v>0</v>
      </c>
      <c r="AN47" s="1504"/>
      <c r="AO47" s="1503">
        <f>IF(AO43-AO45-AO46&lt;0,0,AO43-AO45-AO46)</f>
        <v>0</v>
      </c>
      <c r="AP47" s="1597"/>
      <c r="AQ47" s="1590" t="e">
        <f>IF(AQ43-AQ45-AQ46&lt;0,0,AQ43-AQ45-AQ46)</f>
        <v>#DIV/0!</v>
      </c>
      <c r="AR47" s="1506"/>
      <c r="AS47" s="1505" t="e">
        <f>IF(AS43-AS45-AS46&lt;0,0,AS43-AS45-AS46)</f>
        <v>#DIV/0!</v>
      </c>
      <c r="AT47" s="1506"/>
      <c r="AU47" s="1505">
        <f>IF(AU43-AU45-AU46&lt;0,0,AU43-AU45-AU46)</f>
        <v>0</v>
      </c>
      <c r="AV47" s="1506"/>
      <c r="AW47" s="1505">
        <f>IF(AW43-AW45-AW46&lt;0,0,AW43-AW45-AW46)</f>
        <v>0</v>
      </c>
      <c r="AX47" s="1609"/>
      <c r="AY47" s="1601" t="e">
        <f>IF(AY43-AY45-AY46&lt;0,0,AY43-AY45-AY46)</f>
        <v>#DIV/0!</v>
      </c>
      <c r="AZ47" s="1508"/>
      <c r="BA47" s="1507" t="e">
        <f>IF(BA43-BA45-BA46&lt;0,0,BA43-BA45-BA46)</f>
        <v>#DIV/0!</v>
      </c>
      <c r="BB47" s="1508"/>
      <c r="BC47" s="1507">
        <f>IF(BC43-BC45-BC46&lt;0,0,BC43-BC45-BC46)</f>
        <v>0</v>
      </c>
      <c r="BD47" s="1508"/>
      <c r="BE47" s="1507">
        <f>IF(BE43-BE45-BE46&lt;0,0,BE43-BE45-BE46)</f>
        <v>0</v>
      </c>
      <c r="BF47" s="1612"/>
      <c r="BG47" s="1774" t="e">
        <f>IF(BG43-BG45-BG46&lt;0,0,BG43-BG45-BG46)</f>
        <v>#DIV/0!</v>
      </c>
      <c r="BH47" s="1775"/>
      <c r="BI47" s="1776" t="e">
        <f>IF(BI43-BI45-BI46&lt;0,0,BI43-BI45-BI46)</f>
        <v>#DIV/0!</v>
      </c>
      <c r="BJ47" s="1775"/>
      <c r="BK47" s="1776">
        <f>IF(BK43-BK45-BK46&lt;0,0,BK43-BK45-BK46)</f>
        <v>0</v>
      </c>
      <c r="BL47" s="1775"/>
      <c r="BM47" s="1776">
        <f>IF(BM43-BM45-BM46&lt;0,0,BM43-BM45-BM46)</f>
        <v>0</v>
      </c>
      <c r="BN47" s="1766"/>
    </row>
    <row r="48" spans="1:66">
      <c r="A48" s="67" t="s">
        <v>2591</v>
      </c>
      <c r="C48" s="2083" t="e">
        <f>IF(C47=0,0,C47*C44)</f>
        <v>#REF!</v>
      </c>
      <c r="D48" s="2057"/>
      <c r="E48" s="2083" t="e">
        <f>IF(E47=0,0,E47*E44)</f>
        <v>#REF!</v>
      </c>
      <c r="F48" s="2057"/>
      <c r="G48" s="2083" t="e">
        <f>IF(G47=0,0,G47*G44)</f>
        <v>#REF!</v>
      </c>
      <c r="H48" s="2057"/>
      <c r="I48" s="2084" t="e">
        <f>IF(I47=0,0,I47*I44)</f>
        <v>#REF!</v>
      </c>
      <c r="K48" s="1454" t="e">
        <f>IF(K47=0,0,K47*K44)</f>
        <v>#REF!</v>
      </c>
      <c r="L48" s="1455"/>
      <c r="M48" s="1454" t="e">
        <f>IF(M47=0,0,M47*M44)</f>
        <v>#REF!</v>
      </c>
      <c r="N48" s="1455"/>
      <c r="O48" s="1454" t="e">
        <f>IF(O47=0,0,O47*O44)</f>
        <v>#REF!</v>
      </c>
      <c r="P48" s="1455"/>
      <c r="Q48" s="1466" t="e">
        <f>IF(Q47=0,0,Q47*Q44)</f>
        <v>#REF!</v>
      </c>
      <c r="R48" s="1569"/>
      <c r="S48" s="1562" t="e">
        <f>IF(S47=0,0,S47*S44)</f>
        <v>#DIV/0!</v>
      </c>
      <c r="T48" s="1424"/>
      <c r="U48" s="1493" t="e">
        <f>IF(U47=0,0,U47*U44)</f>
        <v>#DIV/0!</v>
      </c>
      <c r="V48" s="1424"/>
      <c r="W48" s="1493">
        <f>IF(W47=0,0,W47*W44)</f>
        <v>0</v>
      </c>
      <c r="X48" s="1424"/>
      <c r="Y48" s="1493">
        <f>IF(Y47=0,0,Y47*Y44)</f>
        <v>0</v>
      </c>
      <c r="Z48" s="1429"/>
      <c r="AA48" s="1571" t="e">
        <f>IF(AA47=0,0,AA47*AA44)</f>
        <v>#DIV/0!</v>
      </c>
      <c r="AB48" s="1495"/>
      <c r="AC48" s="1494" t="e">
        <f>IF(AC47=0,0,AC47*AC44)</f>
        <v>#DIV/0!</v>
      </c>
      <c r="AD48" s="1495"/>
      <c r="AE48" s="1494">
        <f>IF(AE47=0,0,AE47*AE44)</f>
        <v>0</v>
      </c>
      <c r="AF48" s="1495"/>
      <c r="AG48" s="1494">
        <f>IF(AG47=0,0,AG47*AG44)</f>
        <v>0</v>
      </c>
      <c r="AH48" s="1585"/>
      <c r="AI48" s="1428" t="e">
        <f>IF(AI47=0,0,AI47*AI44)</f>
        <v>#DIV/0!</v>
      </c>
      <c r="AJ48" s="1425"/>
      <c r="AK48" s="1496" t="e">
        <f>IF(AK47=0,0,AK47*AK44)</f>
        <v>#DIV/0!</v>
      </c>
      <c r="AL48" s="1425"/>
      <c r="AM48" s="1496">
        <f>IF(AM47=0,0,AM47*AM44)</f>
        <v>0</v>
      </c>
      <c r="AN48" s="1425"/>
      <c r="AO48" s="1496">
        <f>IF(AO47=0,0,AO47*AO44)</f>
        <v>0</v>
      </c>
      <c r="AP48" s="1430"/>
      <c r="AQ48" s="1589" t="e">
        <f>IF(AQ47=0,0,AQ47*AQ44)</f>
        <v>#DIV/0!</v>
      </c>
      <c r="AR48" s="1498"/>
      <c r="AS48" s="1497" t="e">
        <f>IF(AS47=0,0,AS47*AS44)</f>
        <v>#DIV/0!</v>
      </c>
      <c r="AT48" s="1498"/>
      <c r="AU48" s="1497">
        <f>IF(AU47=0,0,AU47*AU44)</f>
        <v>0</v>
      </c>
      <c r="AV48" s="1498"/>
      <c r="AW48" s="1497">
        <f>IF(AW47=0,0,AW47*AW44)</f>
        <v>0</v>
      </c>
      <c r="AX48" s="1608"/>
      <c r="AY48" s="1600" t="e">
        <f>IF(AY47=0,0,AY47*AY44)</f>
        <v>#DIV/0!</v>
      </c>
      <c r="AZ48" s="1500"/>
      <c r="BA48" s="1499" t="e">
        <f>IF(BA47=0,0,BA47*BA44)</f>
        <v>#DIV/0!</v>
      </c>
      <c r="BB48" s="1500"/>
      <c r="BC48" s="1499">
        <f>IF(BC47=0,0,BC47*BC44)</f>
        <v>0</v>
      </c>
      <c r="BD48" s="1500"/>
      <c r="BE48" s="1499">
        <f>IF(BE47=0,0,BE47*BE44)</f>
        <v>0</v>
      </c>
      <c r="BF48" s="1612"/>
      <c r="BG48" s="1771" t="e">
        <f>IF(BG47=0,0,BG47*BG44)</f>
        <v>#DIV/0!</v>
      </c>
      <c r="BH48" s="1772"/>
      <c r="BI48" s="1773" t="e">
        <f>IF(BI47=0,0,BI47*BI44)</f>
        <v>#DIV/0!</v>
      </c>
      <c r="BJ48" s="1772"/>
      <c r="BK48" s="1773">
        <f>IF(BK47=0,0,BK47*BK44)</f>
        <v>0</v>
      </c>
      <c r="BL48" s="1772"/>
      <c r="BM48" s="1773">
        <f>IF(BM47=0,0,BM47*BM44)</f>
        <v>0</v>
      </c>
      <c r="BN48" s="1766"/>
    </row>
    <row r="49" spans="1:66">
      <c r="A49" s="67"/>
      <c r="I49" s="2070"/>
      <c r="Q49" s="1532"/>
      <c r="R49" s="1569"/>
      <c r="S49" s="1424"/>
      <c r="T49" s="1424"/>
      <c r="U49" s="1424"/>
      <c r="V49" s="1424"/>
      <c r="W49" s="1424"/>
      <c r="X49" s="1424"/>
      <c r="Y49" s="1424"/>
      <c r="Z49" s="1429"/>
      <c r="AA49" s="1495"/>
      <c r="AB49" s="1495"/>
      <c r="AC49" s="1495"/>
      <c r="AD49" s="1495"/>
      <c r="AE49" s="1495"/>
      <c r="AF49" s="1495"/>
      <c r="AG49" s="1495"/>
      <c r="AH49" s="1585"/>
      <c r="AI49" s="1425"/>
      <c r="AJ49" s="1425"/>
      <c r="AK49" s="1425"/>
      <c r="AL49" s="1425"/>
      <c r="AM49" s="1425"/>
      <c r="AN49" s="1425"/>
      <c r="AO49" s="1425"/>
      <c r="AP49" s="1430"/>
      <c r="AQ49" s="1498"/>
      <c r="AR49" s="1498"/>
      <c r="AS49" s="1498"/>
      <c r="AT49" s="1498"/>
      <c r="AU49" s="1498"/>
      <c r="AV49" s="1498"/>
      <c r="AW49" s="1498"/>
      <c r="AX49" s="1608"/>
      <c r="AY49" s="1500"/>
      <c r="AZ49" s="1500"/>
      <c r="BA49" s="1500"/>
      <c r="BB49" s="1500"/>
      <c r="BC49" s="1500"/>
      <c r="BD49" s="1500"/>
      <c r="BE49" s="1500"/>
      <c r="BF49" s="1612"/>
      <c r="BG49" s="1772"/>
      <c r="BH49" s="1772"/>
      <c r="BI49" s="1772"/>
      <c r="BJ49" s="1772"/>
      <c r="BK49" s="1772"/>
      <c r="BL49" s="1772"/>
      <c r="BM49" s="1772"/>
      <c r="BN49" s="1766"/>
    </row>
    <row r="50" spans="1:66">
      <c r="A50" s="20" t="s">
        <v>294</v>
      </c>
      <c r="I50" s="2070"/>
      <c r="Q50" s="1532"/>
      <c r="R50" s="1569"/>
      <c r="S50" s="1424"/>
      <c r="T50" s="1424"/>
      <c r="U50" s="1424"/>
      <c r="V50" s="1424"/>
      <c r="W50" s="1424"/>
      <c r="X50" s="1424"/>
      <c r="Y50" s="1424"/>
      <c r="Z50" s="1429"/>
      <c r="AA50" s="1495"/>
      <c r="AB50" s="1495"/>
      <c r="AC50" s="1495"/>
      <c r="AD50" s="1495"/>
      <c r="AE50" s="1495"/>
      <c r="AF50" s="1495"/>
      <c r="AG50" s="1495"/>
      <c r="AH50" s="1585"/>
      <c r="AI50" s="1425"/>
      <c r="AJ50" s="1425"/>
      <c r="AK50" s="1425"/>
      <c r="AL50" s="1425"/>
      <c r="AM50" s="1425"/>
      <c r="AN50" s="1425"/>
      <c r="AO50" s="1425"/>
      <c r="AP50" s="1430"/>
      <c r="AQ50" s="1498"/>
      <c r="AR50" s="1498"/>
      <c r="AS50" s="1498"/>
      <c r="AT50" s="1498"/>
      <c r="AU50" s="1498"/>
      <c r="AV50" s="1498"/>
      <c r="AW50" s="1498"/>
      <c r="AX50" s="1608"/>
      <c r="AY50" s="1500"/>
      <c r="AZ50" s="1500"/>
      <c r="BA50" s="1500"/>
      <c r="BB50" s="1500"/>
      <c r="BC50" s="1500"/>
      <c r="BD50" s="1500"/>
      <c r="BE50" s="1500"/>
      <c r="BF50" s="1612"/>
      <c r="BG50" s="1772"/>
      <c r="BH50" s="1772"/>
      <c r="BI50" s="1772"/>
      <c r="BJ50" s="1772"/>
      <c r="BK50" s="1772"/>
      <c r="BL50" s="1772"/>
      <c r="BM50" s="1772"/>
      <c r="BN50" s="1766"/>
    </row>
    <row r="51" spans="1:66">
      <c r="A51" s="67" t="s">
        <v>186</v>
      </c>
      <c r="C51" s="2368" t="e">
        <f>IF(C127&gt;C128,C128,C127)</f>
        <v>#REF!</v>
      </c>
      <c r="D51" s="2057"/>
      <c r="E51" s="2368">
        <v>0</v>
      </c>
      <c r="F51" s="2057"/>
      <c r="G51" s="2368" t="e">
        <f>IF(G127&gt;G128,G128,G127)</f>
        <v>#REF!</v>
      </c>
      <c r="H51" s="2057"/>
      <c r="I51" s="2369">
        <v>0</v>
      </c>
      <c r="K51" s="1454" t="e">
        <f>IF(K127&gt;K128,K128,K127)</f>
        <v>#REF!</v>
      </c>
      <c r="L51" s="1455"/>
      <c r="M51" s="1454">
        <v>0</v>
      </c>
      <c r="N51" s="1455"/>
      <c r="O51" s="1454" t="e">
        <f>IF(O127&gt;O128,O128,O127)</f>
        <v>#REF!</v>
      </c>
      <c r="P51" s="1455"/>
      <c r="Q51" s="1466">
        <v>0</v>
      </c>
      <c r="R51" s="1569"/>
      <c r="S51" s="1562" t="e">
        <f>IF(S127&gt;S128,S128,S127)</f>
        <v>#DIV/0!</v>
      </c>
      <c r="T51" s="1424"/>
      <c r="U51" s="1493">
        <v>0</v>
      </c>
      <c r="V51" s="1424"/>
      <c r="W51" s="1493">
        <f>IF(W127&gt;W128,W128,W127)</f>
        <v>0</v>
      </c>
      <c r="X51" s="1424"/>
      <c r="Y51" s="1493">
        <v>0</v>
      </c>
      <c r="Z51" s="1429"/>
      <c r="AA51" s="1571" t="e">
        <f>IF(AA127&gt;AA128,AA128,AA127)</f>
        <v>#DIV/0!</v>
      </c>
      <c r="AB51" s="1495"/>
      <c r="AC51" s="1494">
        <v>0</v>
      </c>
      <c r="AD51" s="1495"/>
      <c r="AE51" s="1494">
        <f>IF(AE127&gt;AE128,AE128,AE127)</f>
        <v>0</v>
      </c>
      <c r="AF51" s="1495"/>
      <c r="AG51" s="1494">
        <v>0</v>
      </c>
      <c r="AH51" s="1585"/>
      <c r="AI51" s="1428" t="e">
        <f>IF(AI127&gt;AI128,AI128,AI127)</f>
        <v>#DIV/0!</v>
      </c>
      <c r="AJ51" s="1425"/>
      <c r="AK51" s="1496">
        <v>0</v>
      </c>
      <c r="AL51" s="1425"/>
      <c r="AM51" s="1496">
        <f>IF(AM127&gt;AM128,AM128,AM127)</f>
        <v>0</v>
      </c>
      <c r="AN51" s="1425"/>
      <c r="AO51" s="1496">
        <v>0</v>
      </c>
      <c r="AP51" s="1430"/>
      <c r="AQ51" s="1589" t="e">
        <f>IF(AQ127&gt;AQ128,AQ128,AQ127)</f>
        <v>#DIV/0!</v>
      </c>
      <c r="AR51" s="1498"/>
      <c r="AS51" s="1497">
        <v>0</v>
      </c>
      <c r="AT51" s="1498"/>
      <c r="AU51" s="1497">
        <f>IF(AU127&gt;AU128,AU128,AU127)</f>
        <v>0</v>
      </c>
      <c r="AV51" s="1498"/>
      <c r="AW51" s="1497">
        <v>0</v>
      </c>
      <c r="AX51" s="1608"/>
      <c r="AY51" s="1600" t="e">
        <f>IF(AY127&gt;AY128,AY128,AY127)</f>
        <v>#DIV/0!</v>
      </c>
      <c r="AZ51" s="1500"/>
      <c r="BA51" s="1499">
        <v>0</v>
      </c>
      <c r="BB51" s="1500"/>
      <c r="BC51" s="1499">
        <f>IF(BC127&gt;BC128,BC128,BC127)</f>
        <v>0</v>
      </c>
      <c r="BD51" s="1500"/>
      <c r="BE51" s="1499">
        <v>0</v>
      </c>
      <c r="BF51" s="1612"/>
      <c r="BG51" s="1771" t="e">
        <f>IF(BG127&gt;BG128,BG128,BG127)</f>
        <v>#DIV/0!</v>
      </c>
      <c r="BH51" s="1772"/>
      <c r="BI51" s="1773">
        <v>0</v>
      </c>
      <c r="BJ51" s="1772"/>
      <c r="BK51" s="1773">
        <f>IF(BK127&gt;BK128,BK128,BK127)</f>
        <v>0</v>
      </c>
      <c r="BL51" s="1772"/>
      <c r="BM51" s="1773">
        <v>0</v>
      </c>
      <c r="BN51" s="1766"/>
    </row>
    <row r="52" spans="1:66">
      <c r="A52" s="67" t="s">
        <v>1453</v>
      </c>
      <c r="C52" s="2368" t="e">
        <f>'Data Entry - SOF'!C136*(C48/'Data Entry - SOF'!C93)</f>
        <v>#REF!</v>
      </c>
      <c r="D52" s="2057"/>
      <c r="E52" s="2368">
        <f>IF('Data Entry - SOF'!C137&gt;E130,E130,'Data Entry - SOF'!C137)</f>
        <v>0</v>
      </c>
      <c r="F52" s="2057"/>
      <c r="G52" s="2368" t="e">
        <f>'Data Entry - SOF'!C136*(G48/'Data Entry - SOF'!C93)</f>
        <v>#REF!</v>
      </c>
      <c r="H52" s="2057"/>
      <c r="I52" s="2369">
        <f>IF('Data Entry - SOF'!C137&gt;I130,I130,'Data Entry - SOF'!C137)</f>
        <v>0</v>
      </c>
      <c r="K52" s="1454" t="e">
        <f>'Data Entry - SOF'!#REF!*(K48/'Data Entry - SOF'!#REF!)</f>
        <v>#REF!</v>
      </c>
      <c r="L52" s="1455"/>
      <c r="M52" s="1454" t="e">
        <f>IF('Data Entry - SOF'!#REF!&gt;M130,M130,'Data Entry - SOF'!#REF!)</f>
        <v>#REF!</v>
      </c>
      <c r="N52" s="1455"/>
      <c r="O52" s="1454" t="e">
        <f>'Data Entry - SOF'!#REF!*(O48/'Data Entry - SOF'!#REF!)</f>
        <v>#REF!</v>
      </c>
      <c r="P52" s="1455"/>
      <c r="Q52" s="1466" t="e">
        <f>IF('Data Entry - SOF'!#REF!&gt;Q130,Q130,'Data Entry - SOF'!#REF!)</f>
        <v>#REF!</v>
      </c>
      <c r="R52" s="1569"/>
      <c r="S52" s="1562" t="e">
        <f>'Data Entry - SOF'!E136*(S48/'Data Entry - SOF'!E93)</f>
        <v>#DIV/0!</v>
      </c>
      <c r="T52" s="1424"/>
      <c r="U52" s="1493">
        <f>IF('Data Entry - SOF'!E137&gt;U130,U130,'Data Entry - SOF'!E137)</f>
        <v>0</v>
      </c>
      <c r="V52" s="1424"/>
      <c r="W52" s="1493" t="e">
        <f>'Data Entry - SOF'!E136*(W48/'Data Entry - SOF'!E93)</f>
        <v>#DIV/0!</v>
      </c>
      <c r="X52" s="1424"/>
      <c r="Y52" s="1493">
        <f>IF('Data Entry - SOF'!E137&gt;Y130,Y130,'Data Entry - SOF'!E137)</f>
        <v>0</v>
      </c>
      <c r="Z52" s="1429"/>
      <c r="AA52" s="1571" t="e">
        <f>'Data Entry - SOF'!G136*(AA48/'Data Entry - SOF'!G93)</f>
        <v>#DIV/0!</v>
      </c>
      <c r="AB52" s="1495"/>
      <c r="AC52" s="1494">
        <f>IF('Data Entry - SOF'!G137&gt;AC130,AC130,'Data Entry - SOF'!G137)</f>
        <v>0</v>
      </c>
      <c r="AD52" s="1495"/>
      <c r="AE52" s="1494">
        <f>'Data Entry - SOF'!G136*(AE48/'Data Entry - SOF'!G93)</f>
        <v>0</v>
      </c>
      <c r="AF52" s="1495"/>
      <c r="AG52" s="1494">
        <f>IF('Data Entry - SOF'!G137&gt;AG130,AG130,'Data Entry - SOF'!G137)</f>
        <v>0</v>
      </c>
      <c r="AH52" s="1585"/>
      <c r="AI52" s="1428" t="e">
        <f>'Data Entry - SOF'!M136*(AI48/'Data Entry - SOF'!M93)</f>
        <v>#DIV/0!</v>
      </c>
      <c r="AJ52" s="1425"/>
      <c r="AK52" s="1496">
        <f>IF('Data Entry - SOF'!M137&gt;AK130,AK130,'Data Entry - SOF'!M137)</f>
        <v>0</v>
      </c>
      <c r="AL52" s="1425"/>
      <c r="AM52" s="1496" t="e">
        <f>'Data Entry - SOF'!M136*(AM48/'Data Entry - SOF'!M93)</f>
        <v>#DIV/0!</v>
      </c>
      <c r="AN52" s="1425"/>
      <c r="AO52" s="1496">
        <f>IF('Data Entry - SOF'!M137&gt;AO130,AO130,'Data Entry - SOF'!M137)</f>
        <v>0</v>
      </c>
      <c r="AP52" s="1430"/>
      <c r="AQ52" s="1589" t="e">
        <f>'Data Entry - SOF'!O136*(AQ48/'Data Entry - SOF'!O93)</f>
        <v>#DIV/0!</v>
      </c>
      <c r="AR52" s="1498"/>
      <c r="AS52" s="1497">
        <f>IF('Data Entry - SOF'!O137&gt;AS130,AS130,'Data Entry - SOF'!O137)</f>
        <v>0</v>
      </c>
      <c r="AT52" s="1498"/>
      <c r="AU52" s="1497" t="e">
        <f>'Data Entry - SOF'!O136*(AU48/'Data Entry - SOF'!O93)</f>
        <v>#DIV/0!</v>
      </c>
      <c r="AV52" s="1498"/>
      <c r="AW52" s="1497">
        <f>IF('Data Entry - SOF'!O137&gt;AW130,AW130,'Data Entry - SOF'!O137)</f>
        <v>0</v>
      </c>
      <c r="AX52" s="1608"/>
      <c r="AY52" s="1600" t="e">
        <f>'Data Entry - SOF'!Q136*(AY48/'Data Entry - SOF'!Q93)</f>
        <v>#DIV/0!</v>
      </c>
      <c r="AZ52" s="1500"/>
      <c r="BA52" s="1499">
        <f>IF('Data Entry - SOF'!Q137&gt;BA130,BA130,'Data Entry - SOF'!Q137)</f>
        <v>0</v>
      </c>
      <c r="BB52" s="1500"/>
      <c r="BC52" s="1499" t="e">
        <f>'Data Entry - SOF'!Q136*(BC48/'Data Entry - SOF'!Q93)</f>
        <v>#DIV/0!</v>
      </c>
      <c r="BD52" s="1500"/>
      <c r="BE52" s="1499">
        <f>IF('Data Entry - SOF'!Q137&gt;BE130,BE130,'Data Entry - SOF'!Q137)</f>
        <v>0</v>
      </c>
      <c r="BF52" s="1612"/>
      <c r="BG52" s="1771" t="e">
        <f>'Data Entry - SOF'!S136*(BG48/'Data Entry - SOF'!S93)</f>
        <v>#DIV/0!</v>
      </c>
      <c r="BH52" s="1772"/>
      <c r="BI52" s="1773">
        <f>IF('Data Entry - SOF'!S137&gt;BI130,BI130,'Data Entry - SOF'!S137)</f>
        <v>0</v>
      </c>
      <c r="BJ52" s="1772"/>
      <c r="BK52" s="1773" t="e">
        <f>'Data Entry - SOF'!S136*(BK48/'Data Entry - SOF'!S93)</f>
        <v>#DIV/0!</v>
      </c>
      <c r="BL52" s="1772"/>
      <c r="BM52" s="1773">
        <f>IF('Data Entry - SOF'!S137&gt;BM130,BM130,'Data Entry - SOF'!S137)</f>
        <v>0</v>
      </c>
      <c r="BN52" s="1766"/>
    </row>
    <row r="53" spans="1:66">
      <c r="A53" s="67"/>
      <c r="C53" s="2057"/>
      <c r="D53" s="2057"/>
      <c r="E53" s="2057"/>
      <c r="F53" s="2057"/>
      <c r="G53" s="2057"/>
      <c r="H53" s="2057"/>
      <c r="I53" s="2370"/>
      <c r="Q53" s="1532"/>
      <c r="R53" s="1569"/>
      <c r="S53" s="1424"/>
      <c r="T53" s="1424"/>
      <c r="U53" s="1424"/>
      <c r="V53" s="1424"/>
      <c r="W53" s="1424"/>
      <c r="X53" s="1424"/>
      <c r="Y53" s="1424"/>
      <c r="Z53" s="1429"/>
      <c r="AA53" s="1495"/>
      <c r="AB53" s="1495"/>
      <c r="AC53" s="1495"/>
      <c r="AD53" s="1495"/>
      <c r="AE53" s="1495"/>
      <c r="AF53" s="1495"/>
      <c r="AG53" s="1495"/>
      <c r="AH53" s="1585"/>
      <c r="AI53" s="1425"/>
      <c r="AJ53" s="1425"/>
      <c r="AK53" s="1425"/>
      <c r="AL53" s="1425"/>
      <c r="AM53" s="1425"/>
      <c r="AN53" s="1425"/>
      <c r="AO53" s="1425"/>
      <c r="AP53" s="1430"/>
      <c r="AQ53" s="1498"/>
      <c r="AR53" s="1498"/>
      <c r="AS53" s="1498"/>
      <c r="AT53" s="1498"/>
      <c r="AU53" s="1498"/>
      <c r="AV53" s="1498"/>
      <c r="AW53" s="1498"/>
      <c r="AX53" s="1608"/>
      <c r="AY53" s="1500"/>
      <c r="AZ53" s="1500"/>
      <c r="BA53" s="1500"/>
      <c r="BB53" s="1500"/>
      <c r="BC53" s="1500"/>
      <c r="BD53" s="1500"/>
      <c r="BE53" s="1500"/>
      <c r="BF53" s="1612"/>
      <c r="BG53" s="1772"/>
      <c r="BH53" s="1772"/>
      <c r="BI53" s="1772"/>
      <c r="BJ53" s="1772"/>
      <c r="BK53" s="1772"/>
      <c r="BL53" s="1772"/>
      <c r="BM53" s="1772"/>
      <c r="BN53" s="1766"/>
    </row>
    <row r="54" spans="1:66"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39" t="e">
        <f>IF(K48-K51-K52&lt;0,0,K48-K51-K52)</f>
        <v>#REF!</v>
      </c>
      <c r="L54" s="1455"/>
      <c r="M54" s="1539" t="e">
        <f>IF(M48-M51-M52&lt;0,0,M48-M51-M52)</f>
        <v>#REF!</v>
      </c>
      <c r="N54" s="1455"/>
      <c r="O54" s="1539" t="e">
        <f>IF(O48-O51-O52&lt;0,0,O48-O51-O52)</f>
        <v>#REF!</v>
      </c>
      <c r="P54" s="1455"/>
      <c r="Q54" s="1533" t="e">
        <f>IF(Q48-Q51-Q52&lt;0,0,Q48-Q51-Q52)</f>
        <v>#REF!</v>
      </c>
      <c r="R54" s="1569"/>
      <c r="S54" s="1534" t="e">
        <f>IF(S48-S51-S52&lt;0,0,S48-S51-S52)</f>
        <v>#DIV/0!</v>
      </c>
      <c r="T54" s="1424"/>
      <c r="U54" s="1534" t="e">
        <f>IF(U48-U51-U52&lt;0,0,U48-U51-U52)</f>
        <v>#DIV/0!</v>
      </c>
      <c r="V54" s="1424"/>
      <c r="W54" s="1534" t="e">
        <f>IF(W48-W51-W52&lt;0,0,W48-W51-W52)</f>
        <v>#DIV/0!</v>
      </c>
      <c r="X54" s="1424"/>
      <c r="Y54" s="1534">
        <f>IF(Y48-Y51-Y52&lt;0,0,Y48-Y51-Y52)</f>
        <v>0</v>
      </c>
      <c r="Z54" s="1429"/>
      <c r="AA54" s="1535" t="e">
        <f>IF(AA48-AA51-AA52&lt;0,0,AA48-AA51-AA52)</f>
        <v>#DIV/0!</v>
      </c>
      <c r="AB54" s="1495"/>
      <c r="AC54" s="1535" t="e">
        <f>IF(AC48-AC51-AC52&lt;0,0,AC48-AC51-AC52)</f>
        <v>#DIV/0!</v>
      </c>
      <c r="AD54" s="1495"/>
      <c r="AE54" s="1535">
        <f>IF(AE48-AE51-AE52&lt;0,0,AE48-AE51-AE52)</f>
        <v>0</v>
      </c>
      <c r="AF54" s="1495"/>
      <c r="AG54" s="1535">
        <f>IF(AG48-AG51-AG52&lt;0,0,AG48-AG51-AG52)</f>
        <v>0</v>
      </c>
      <c r="AH54" s="1585"/>
      <c r="AI54" s="1536" t="e">
        <f>IF(AI48-AI51-AI52&lt;0,0,AI48-AI51-AI52)</f>
        <v>#DIV/0!</v>
      </c>
      <c r="AJ54" s="1425"/>
      <c r="AK54" s="1536" t="e">
        <f>IF(AK48-AK51-AK52&lt;0,0,AK48-AK51-AK52)</f>
        <v>#DIV/0!</v>
      </c>
      <c r="AL54" s="1425"/>
      <c r="AM54" s="1536" t="e">
        <f>IF(AM48-AM51-AM52&lt;0,0,AM48-AM51-AM52)</f>
        <v>#DIV/0!</v>
      </c>
      <c r="AN54" s="1425"/>
      <c r="AO54" s="1536">
        <f>IF(AO48-AO51-AO52&lt;0,0,AO48-AO51-AO52)</f>
        <v>0</v>
      </c>
      <c r="AP54" s="1430"/>
      <c r="AQ54" s="1537" t="e">
        <f>IF(AQ48-AQ51-AQ52&lt;0,0,AQ48-AQ51-AQ52)</f>
        <v>#DIV/0!</v>
      </c>
      <c r="AR54" s="1498"/>
      <c r="AS54" s="1537" t="e">
        <f>IF(AS48-AS51-AS52&lt;0,0,AS48-AS51-AS52)</f>
        <v>#DIV/0!</v>
      </c>
      <c r="AT54" s="1498"/>
      <c r="AU54" s="1537" t="e">
        <f>IF(AU48-AU51-AU52&lt;0,0,AU48-AU51-AU52)</f>
        <v>#DIV/0!</v>
      </c>
      <c r="AV54" s="1498"/>
      <c r="AW54" s="1537">
        <f>IF(AW48-AW51-AW52&lt;0,0,AW48-AW51-AW52)</f>
        <v>0</v>
      </c>
      <c r="AX54" s="1608"/>
      <c r="AY54" s="1538" t="e">
        <f>IF(AY48-AY51-AY52&lt;0,0,AY48-AY51-AY52)</f>
        <v>#DIV/0!</v>
      </c>
      <c r="AZ54" s="1500"/>
      <c r="BA54" s="1538" t="e">
        <f>IF(BA48-BA51-BA52&lt;0,0,BA48-BA51-BA52)</f>
        <v>#DIV/0!</v>
      </c>
      <c r="BB54" s="1500"/>
      <c r="BC54" s="1538" t="e">
        <f>IF(BC48-BC51-BC52&lt;0,0,BC48-BC51-BC52)</f>
        <v>#DIV/0!</v>
      </c>
      <c r="BD54" s="1500"/>
      <c r="BE54" s="1538">
        <f>IF(BE48-BE51-BE52&lt;0,0,BE48-BE51-BE52)</f>
        <v>0</v>
      </c>
      <c r="BF54" s="1612"/>
      <c r="BG54" s="1785" t="e">
        <f>IF(BG48-BG51-BG52&lt;0,0,BG48-BG51-BG52)</f>
        <v>#DIV/0!</v>
      </c>
      <c r="BH54" s="1772"/>
      <c r="BI54" s="1785" t="e">
        <f>IF(BI48-BI51-BI52&lt;0,0,BI48-BI51-BI52)</f>
        <v>#DIV/0!</v>
      </c>
      <c r="BJ54" s="1772"/>
      <c r="BK54" s="1785" t="e">
        <f>IF(BK48-BK51-BK52&lt;0,0,BK48-BK51-BK52)</f>
        <v>#DIV/0!</v>
      </c>
      <c r="BL54" s="1772"/>
      <c r="BM54" s="1785">
        <f>IF(BM48-BM51-BM52&lt;0,0,BM48-BM51-BM52)</f>
        <v>0</v>
      </c>
      <c r="BN54" s="1766"/>
    </row>
    <row r="55" spans="1:66" ht="13.5" thickTop="1">
      <c r="A55" s="20" t="s">
        <v>542</v>
      </c>
      <c r="C55" s="2057" t="e">
        <f>IF(C47=0,0,C54/C47)</f>
        <v>#REF!</v>
      </c>
      <c r="D55" s="2057"/>
      <c r="E55" s="2057" t="e">
        <f>IF(E47=0,0,E54/E47)</f>
        <v>#REF!</v>
      </c>
      <c r="F55" s="2057"/>
      <c r="G55" s="2057" t="e">
        <f>IF(G47=0,0,G54/G47)</f>
        <v>#REF!</v>
      </c>
      <c r="H55" s="2057"/>
      <c r="I55" s="2370" t="e">
        <f>IF(I47=0,0,I54/I47)</f>
        <v>#REF!</v>
      </c>
      <c r="K55" s="1455" t="e">
        <f>IF(K47=0,0,K54/K47)</f>
        <v>#REF!</v>
      </c>
      <c r="L55" s="1455"/>
      <c r="M55" s="1455" t="e">
        <f>IF(M47=0,0,M54/M47)</f>
        <v>#REF!</v>
      </c>
      <c r="N55" s="1455"/>
      <c r="O55" s="1455" t="e">
        <f>IF(O47=0,0,O54/O47)</f>
        <v>#REF!</v>
      </c>
      <c r="P55" s="1455"/>
      <c r="Q55" s="1532" t="e">
        <f>IF(Q47=0,0,Q54/Q47)</f>
        <v>#REF!</v>
      </c>
      <c r="R55" s="1569"/>
      <c r="S55" s="1424" t="e">
        <f>IF(S47=0,0,S54/S47)</f>
        <v>#DIV/0!</v>
      </c>
      <c r="T55" s="1424"/>
      <c r="U55" s="1424" t="e">
        <f>IF(U47=0,0,U54/U47)</f>
        <v>#DIV/0!</v>
      </c>
      <c r="V55" s="1424"/>
      <c r="W55" s="1424">
        <f>IF(W47=0,0,W54/W47)</f>
        <v>0</v>
      </c>
      <c r="X55" s="1424"/>
      <c r="Y55" s="1424">
        <f>IF(Y47=0,0,Y54/Y47)</f>
        <v>0</v>
      </c>
      <c r="Z55" s="1429"/>
      <c r="AA55" s="1495" t="e">
        <f>IF(AA47=0,0,AA54/AA47)</f>
        <v>#DIV/0!</v>
      </c>
      <c r="AB55" s="1495"/>
      <c r="AC55" s="1495" t="e">
        <f>IF(AC47=0,0,AC54/AC47)</f>
        <v>#DIV/0!</v>
      </c>
      <c r="AD55" s="1495"/>
      <c r="AE55" s="1495">
        <f>IF(AE47=0,0,AE54/AE47)</f>
        <v>0</v>
      </c>
      <c r="AF55" s="1495"/>
      <c r="AG55" s="1495">
        <f>IF(AG47=0,0,AG54/AG47)</f>
        <v>0</v>
      </c>
      <c r="AH55" s="1585"/>
      <c r="AI55" s="1425" t="e">
        <f>IF(AI47=0,0,AI54/AI47)</f>
        <v>#DIV/0!</v>
      </c>
      <c r="AJ55" s="1425"/>
      <c r="AK55" s="1425" t="e">
        <f>IF(AK47=0,0,AK54/AK47)</f>
        <v>#DIV/0!</v>
      </c>
      <c r="AL55" s="1425"/>
      <c r="AM55" s="1425">
        <f>IF(AM47=0,0,AM54/AM47)</f>
        <v>0</v>
      </c>
      <c r="AN55" s="1425"/>
      <c r="AO55" s="1425">
        <f>IF(AO47=0,0,AO54/AO47)</f>
        <v>0</v>
      </c>
      <c r="AP55" s="1430"/>
      <c r="AQ55" s="1498" t="e">
        <f>IF(AQ47=0,0,AQ54/AQ47)</f>
        <v>#DIV/0!</v>
      </c>
      <c r="AR55" s="1498"/>
      <c r="AS55" s="1498" t="e">
        <f>IF(AS47=0,0,AS54/AS47)</f>
        <v>#DIV/0!</v>
      </c>
      <c r="AT55" s="1498"/>
      <c r="AU55" s="1498">
        <f>IF(AU47=0,0,AU54/AU47)</f>
        <v>0</v>
      </c>
      <c r="AV55" s="1498"/>
      <c r="AW55" s="1498">
        <f>IF(AW47=0,0,AW54/AW47)</f>
        <v>0</v>
      </c>
      <c r="AX55" s="1608"/>
      <c r="AY55" s="1500" t="e">
        <f>IF(AY47=0,0,AY54/AY47)</f>
        <v>#DIV/0!</v>
      </c>
      <c r="AZ55" s="1500"/>
      <c r="BA55" s="1500" t="e">
        <f>IF(BA47=0,0,BA54/BA47)</f>
        <v>#DIV/0!</v>
      </c>
      <c r="BB55" s="1500"/>
      <c r="BC55" s="1500">
        <f>IF(BC47=0,0,BC54/BC47)</f>
        <v>0</v>
      </c>
      <c r="BD55" s="1500"/>
      <c r="BE55" s="1500">
        <f>IF(BE47=0,0,BE54/BE47)</f>
        <v>0</v>
      </c>
      <c r="BF55" s="1612"/>
      <c r="BG55" s="1772" t="e">
        <f>IF(BG47=0,0,BG54/BG47)</f>
        <v>#DIV/0!</v>
      </c>
      <c r="BH55" s="1772"/>
      <c r="BI55" s="1772" t="e">
        <f>IF(BI47=0,0,BI54/BI47)</f>
        <v>#DIV/0!</v>
      </c>
      <c r="BJ55" s="1772"/>
      <c r="BK55" s="1772">
        <f>IF(BK47=0,0,BK54/BK47)</f>
        <v>0</v>
      </c>
      <c r="BL55" s="1772"/>
      <c r="BM55" s="1772">
        <f>IF(BM47=0,0,BM54/BM47)</f>
        <v>0</v>
      </c>
      <c r="BN55" s="1766"/>
    </row>
    <row r="56" spans="1:66">
      <c r="I56" s="2070"/>
      <c r="R56" s="1567"/>
      <c r="Z56" s="1560"/>
      <c r="AH56" s="1582"/>
      <c r="AP56" s="1594"/>
      <c r="AX56" s="1605"/>
      <c r="BF56" s="1612"/>
      <c r="BN56" s="1766"/>
    </row>
    <row r="57" spans="1:66">
      <c r="A57" s="64" t="s">
        <v>1139</v>
      </c>
      <c r="C57" s="2373" t="e">
        <f>#REF!</f>
        <v>#REF!</v>
      </c>
      <c r="E57" s="2057" t="e">
        <f>C54+G54</f>
        <v>#REF!</v>
      </c>
      <c r="G57" s="2374" t="e">
        <f>#REF!</f>
        <v>#REF!</v>
      </c>
      <c r="I57" s="2370" t="e">
        <f>E54+I54</f>
        <v>#REF!</v>
      </c>
      <c r="K57" s="1482" t="e">
        <f>'Report-Recapture1718'!G65</f>
        <v>#REF!</v>
      </c>
      <c r="O57" s="1482" t="e">
        <f>'Report-Recapture1718'!G141</f>
        <v>#REF!</v>
      </c>
      <c r="R57" s="1567"/>
      <c r="S57" s="1566" t="str">
        <f>'Report-Recapture1819'!G65</f>
        <v>Y</v>
      </c>
      <c r="W57" s="1447" t="str">
        <f>'Report-Recapture1819'!G141</f>
        <v>Y</v>
      </c>
      <c r="Z57" s="1560"/>
      <c r="AA57" s="1575" t="str">
        <f>'Report-Recapture1920'!G65</f>
        <v>Y</v>
      </c>
      <c r="AE57" s="1488" t="str">
        <f>'Report-Recapture1920'!G141</f>
        <v>Y</v>
      </c>
      <c r="AH57" s="1582"/>
      <c r="AI57" s="1581" t="str">
        <f>'Report-Recapture2021'!G65</f>
        <v>Y</v>
      </c>
      <c r="AM57" s="1489" t="str">
        <f>'Report-Recapture2021'!G141</f>
        <v>Y</v>
      </c>
      <c r="AP57" s="1594"/>
      <c r="AQ57" s="1593" t="str">
        <f>'Report-Recapture2122'!G65</f>
        <v>Y</v>
      </c>
      <c r="AU57" s="1491" t="str">
        <f>'Report-Recapture2122'!G141</f>
        <v>Y</v>
      </c>
      <c r="AX57" s="1605"/>
      <c r="AY57" s="1604" t="str">
        <f>'Report-Recapture2223'!G65</f>
        <v>Y</v>
      </c>
      <c r="BB57" s="1470"/>
      <c r="BC57" s="1492" t="str">
        <f>'Report-Recapture2223'!G141</f>
        <v>Y</v>
      </c>
      <c r="BF57" s="1612"/>
      <c r="BG57" s="1787" t="str">
        <f>'Report-Recapture2324'!G65</f>
        <v>Y</v>
      </c>
      <c r="BJ57" s="1767"/>
      <c r="BK57" s="1781" t="str">
        <f>'Report-Recapture2324'!G141</f>
        <v>Y</v>
      </c>
      <c r="BN57" s="1766"/>
    </row>
    <row r="58" spans="1:66">
      <c r="A58" s="35" t="s">
        <v>1140</v>
      </c>
      <c r="I58" s="2070"/>
      <c r="R58" s="1567"/>
      <c r="Z58" s="1560"/>
      <c r="AH58" s="1582"/>
      <c r="AP58" s="1594"/>
      <c r="AX58" s="1605"/>
      <c r="BF58" s="1612"/>
      <c r="BN58" s="1766"/>
    </row>
    <row r="59" spans="1:66">
      <c r="A59" s="82"/>
      <c r="C59" s="2375" t="s">
        <v>1086</v>
      </c>
      <c r="I59" s="2070"/>
      <c r="K59" s="1448" t="s">
        <v>1086</v>
      </c>
      <c r="R59" s="1567"/>
      <c r="S59" s="1438" t="s">
        <v>1086</v>
      </c>
      <c r="Z59" s="1560"/>
      <c r="AA59" s="1471" t="s">
        <v>1086</v>
      </c>
      <c r="AH59" s="1582"/>
      <c r="AI59" s="1472" t="s">
        <v>1086</v>
      </c>
      <c r="AP59" s="1594"/>
      <c r="AQ59" s="1473" t="s">
        <v>1086</v>
      </c>
      <c r="AX59" s="1605"/>
      <c r="AY59" s="1474" t="s">
        <v>1086</v>
      </c>
      <c r="BF59" s="1612"/>
      <c r="BG59" s="1765" t="s">
        <v>1086</v>
      </c>
      <c r="BN59" s="1766"/>
    </row>
    <row r="60" spans="1:66">
      <c r="A60" s="82"/>
      <c r="C60" s="2375" t="s">
        <v>1087</v>
      </c>
      <c r="I60" s="2070"/>
      <c r="K60" s="1448" t="s">
        <v>1087</v>
      </c>
      <c r="R60" s="1567"/>
      <c r="S60" s="1438" t="s">
        <v>1087</v>
      </c>
      <c r="Z60" s="1560"/>
      <c r="AA60" s="1471" t="s">
        <v>1087</v>
      </c>
      <c r="AH60" s="1582"/>
      <c r="AI60" s="1472" t="s">
        <v>1087</v>
      </c>
      <c r="AP60" s="1594"/>
      <c r="AQ60" s="1473" t="s">
        <v>1087</v>
      </c>
      <c r="AX60" s="1605"/>
      <c r="AY60" s="1474" t="s">
        <v>1087</v>
      </c>
      <c r="BF60" s="1612"/>
      <c r="BG60" s="1765" t="s">
        <v>1087</v>
      </c>
      <c r="BN60" s="1766"/>
    </row>
    <row r="61" spans="1:66">
      <c r="A61" s="82"/>
      <c r="I61" s="2070"/>
      <c r="R61" s="1567"/>
      <c r="Z61" s="1560"/>
      <c r="AH61" s="1582"/>
      <c r="AP61" s="1594"/>
      <c r="AX61" s="1605"/>
      <c r="BF61" s="1612"/>
      <c r="BN61" s="1766"/>
    </row>
    <row r="62" spans="1:66">
      <c r="A62" s="71"/>
      <c r="I62" s="2070"/>
      <c r="K62" s="1980" t="s">
        <v>6969</v>
      </c>
      <c r="R62" s="1567"/>
      <c r="Z62" s="1560"/>
      <c r="AH62" s="1582"/>
      <c r="AP62" s="1594"/>
      <c r="AX62" s="1605"/>
      <c r="BF62" s="1612"/>
      <c r="BN62" s="1766"/>
    </row>
    <row r="63" spans="1:66">
      <c r="A63" s="71"/>
      <c r="C63" s="2058" t="s">
        <v>3830</v>
      </c>
      <c r="I63" s="2070"/>
      <c r="K63" s="1448" t="s">
        <v>3830</v>
      </c>
      <c r="R63" s="1567"/>
      <c r="S63" s="1438" t="s">
        <v>3830</v>
      </c>
      <c r="Z63" s="1560"/>
      <c r="AA63" s="1471" t="s">
        <v>3830</v>
      </c>
      <c r="AH63" s="1582"/>
      <c r="AI63" s="1472" t="s">
        <v>3830</v>
      </c>
      <c r="AP63" s="1594"/>
      <c r="AQ63" s="1473" t="s">
        <v>3830</v>
      </c>
      <c r="AX63" s="1605"/>
      <c r="AY63" s="1474" t="s">
        <v>3830</v>
      </c>
      <c r="BF63" s="1612"/>
      <c r="BG63" s="1765" t="s">
        <v>3830</v>
      </c>
      <c r="BN63" s="1766"/>
    </row>
    <row r="64" spans="1:66">
      <c r="A64" s="71"/>
      <c r="C64" s="2081" t="e">
        <f>IF(C30&gt;C24,C30,C24)</f>
        <v>#REF!</v>
      </c>
      <c r="E64" s="2081" t="e">
        <f>E24</f>
        <v>#REF!</v>
      </c>
      <c r="G64" s="2081" t="e">
        <f>IF(G30&gt;G24,G30,G24)</f>
        <v>#REF!</v>
      </c>
      <c r="I64" s="2082" t="e">
        <f>I24</f>
        <v>#REF!</v>
      </c>
      <c r="K64" s="1454" t="e">
        <f>IF(K30&gt;K24,K30,K24)</f>
        <v>#REF!</v>
      </c>
      <c r="L64" s="1455"/>
      <c r="M64" s="1454" t="e">
        <f>M24</f>
        <v>#REF!</v>
      </c>
      <c r="N64" s="1455"/>
      <c r="O64" s="1454" t="e">
        <f>IF(O30&gt;O24,O30,O24)</f>
        <v>#REF!</v>
      </c>
      <c r="P64" s="1455"/>
      <c r="Q64" s="1463" t="e">
        <f>Q24</f>
        <v>#REF!</v>
      </c>
      <c r="R64" s="1570"/>
      <c r="S64" s="1564" t="e">
        <f>IF(S30&gt;S24,S30,S24)</f>
        <v>#DIV/0!</v>
      </c>
      <c r="T64" s="1440"/>
      <c r="U64" s="1439">
        <f>U24</f>
        <v>0</v>
      </c>
      <c r="V64" s="1440"/>
      <c r="W64" s="1439" t="e">
        <f>IF(W30&gt;W24,W30,W24)</f>
        <v>#DIV/0!</v>
      </c>
      <c r="X64" s="1440"/>
      <c r="Y64" s="1439">
        <f>Y24</f>
        <v>0</v>
      </c>
      <c r="Z64" s="1561"/>
      <c r="AA64" s="1573" t="e">
        <f>IF(AA30&gt;AA24,AA30,AA24)</f>
        <v>#DIV/0!</v>
      </c>
      <c r="AB64" s="1510"/>
      <c r="AC64" s="1509">
        <f>AC24</f>
        <v>0</v>
      </c>
      <c r="AD64" s="1510"/>
      <c r="AE64" s="1509" t="e">
        <f>IF(AE30&gt;AE24,AE30,AE24)</f>
        <v>#DIV/0!</v>
      </c>
      <c r="AF64" s="1510"/>
      <c r="AG64" s="1509">
        <f>AG24</f>
        <v>0</v>
      </c>
      <c r="AH64" s="1587"/>
      <c r="AI64" s="1426" t="e">
        <f>IF(AI30&gt;AI24,AI30,AI24)</f>
        <v>#DIV/0!</v>
      </c>
      <c r="AJ64" s="1512"/>
      <c r="AK64" s="1511" t="e">
        <f>AK24</f>
        <v>#DIV/0!</v>
      </c>
      <c r="AL64" s="1512"/>
      <c r="AM64" s="1511" t="e">
        <f>IF(AM30&gt;AM24,AM30,AM24)</f>
        <v>#DIV/0!</v>
      </c>
      <c r="AN64" s="1512"/>
      <c r="AO64" s="1511" t="e">
        <f>AO24</f>
        <v>#DIV/0!</v>
      </c>
      <c r="AP64" s="1598"/>
      <c r="AQ64" s="1591" t="e">
        <f>IF(AQ30&gt;AQ24,AQ30,AQ24)</f>
        <v>#DIV/0!</v>
      </c>
      <c r="AR64" s="1514"/>
      <c r="AS64" s="1513" t="e">
        <f>AS24</f>
        <v>#DIV/0!</v>
      </c>
      <c r="AT64" s="1514"/>
      <c r="AU64" s="1513" t="e">
        <f>IF(AU30&gt;AU24,AU30,AU24)</f>
        <v>#DIV/0!</v>
      </c>
      <c r="AV64" s="1514"/>
      <c r="AW64" s="1513" t="e">
        <f>AW24</f>
        <v>#DIV/0!</v>
      </c>
      <c r="AX64" s="1610"/>
      <c r="AY64" s="1602" t="e">
        <f>IF(AY30&gt;AY24,AY30,AY24)</f>
        <v>#DIV/0!</v>
      </c>
      <c r="AZ64" s="1516"/>
      <c r="BA64" s="1515" t="e">
        <f>BA24</f>
        <v>#DIV/0!</v>
      </c>
      <c r="BB64" s="1516"/>
      <c r="BC64" s="1515" t="e">
        <f>IF(BC30&gt;BC24,BC30,BC24)</f>
        <v>#DIV/0!</v>
      </c>
      <c r="BD64" s="1516"/>
      <c r="BE64" s="1515" t="e">
        <f>BE24</f>
        <v>#DIV/0!</v>
      </c>
      <c r="BF64" s="1612"/>
      <c r="BG64" s="1777" t="e">
        <f>IF(BG30&gt;BG24,BG30,BG24)</f>
        <v>#DIV/0!</v>
      </c>
      <c r="BH64" s="1778"/>
      <c r="BI64" s="1779" t="e">
        <f>BI24</f>
        <v>#DIV/0!</v>
      </c>
      <c r="BJ64" s="1778"/>
      <c r="BK64" s="1779" t="e">
        <f>IF(BK30&gt;BK24,BK30,BK24)</f>
        <v>#DIV/0!</v>
      </c>
      <c r="BL64" s="1778"/>
      <c r="BM64" s="1779" t="e">
        <f>BM24</f>
        <v>#DIV/0!</v>
      </c>
      <c r="BN64" s="1766"/>
    </row>
    <row r="65" spans="1:66">
      <c r="A65" s="71"/>
      <c r="C65" s="2081" t="e">
        <f>IF('Data Entry - SOF'!C75-C64&lt;0,0,'Data Entry - SOF'!C75-C64)</f>
        <v>#REF!</v>
      </c>
      <c r="E65" s="2081" t="e">
        <f>IF('Data Entry - SOF'!C75-E64&lt;0,0,'Data Entry - SOF'!C75-E64)</f>
        <v>#REF!</v>
      </c>
      <c r="G65" s="2081" t="e">
        <f>IF('Data Entry - SOF'!C75-G64&lt;0,0,'Data Entry - SOF'!C75-G64)</f>
        <v>#REF!</v>
      </c>
      <c r="I65" s="2082" t="e">
        <f>IF('Data Entry - SOF'!C75-I64&lt;0,0,'Data Entry - SOF'!C75-I64)</f>
        <v>#REF!</v>
      </c>
      <c r="K65" s="1454" t="e">
        <f>IF('Data Entry - SOF'!#REF!-K64&lt;0,0,'Data Entry - SOF'!#REF!-K64)</f>
        <v>#REF!</v>
      </c>
      <c r="L65" s="1455"/>
      <c r="M65" s="1454" t="e">
        <f>IF('Data Entry - SOF'!#REF!-M64&lt;0,0,'Data Entry - SOF'!#REF!-M64)</f>
        <v>#REF!</v>
      </c>
      <c r="N65" s="1455"/>
      <c r="O65" s="1454" t="e">
        <f>IF('Data Entry - SOF'!#REF!-O64&lt;0,0,'Data Entry - SOF'!#REF!-O64)</f>
        <v>#REF!</v>
      </c>
      <c r="P65" s="1455"/>
      <c r="Q65" s="1463" t="e">
        <f>IF('Data Entry - SOF'!#REF!-Q64&lt;0,0,'Data Entry - SOF'!#REF!-Q64)</f>
        <v>#REF!</v>
      </c>
      <c r="R65" s="1570"/>
      <c r="S65" s="1564" t="e">
        <f>IF('Data Entry - SOF'!E75-S64&lt;0,0,'Data Entry - SOF'!E75-S64)</f>
        <v>#DIV/0!</v>
      </c>
      <c r="T65" s="1440"/>
      <c r="U65" s="1439">
        <f>IF('Data Entry - SOF'!E75-U64&lt;0,0,'Data Entry - SOF'!E75-U64)</f>
        <v>0</v>
      </c>
      <c r="V65" s="1440"/>
      <c r="W65" s="1439" t="e">
        <f>IF('Data Entry - SOF'!E75-W64&lt;0,0,'Data Entry - SOF'!E75-W64)</f>
        <v>#DIV/0!</v>
      </c>
      <c r="X65" s="1440"/>
      <c r="Y65" s="1439">
        <f>IF('Data Entry - SOF'!E75-Y64&lt;0,0,'Data Entry - SOF'!E75-Y64)</f>
        <v>0</v>
      </c>
      <c r="Z65" s="1561"/>
      <c r="AA65" s="1573" t="e">
        <f>IF('Data Entry - SOF'!E85-AA64&lt;0,0,'Data Entry - SOF'!E85-AA64)</f>
        <v>#DIV/0!</v>
      </c>
      <c r="AB65" s="1510"/>
      <c r="AC65" s="1509">
        <f>IF('Data Entry - SOF'!E85-AC64&lt;0,0,'Data Entry - SOF'!E85-AC64)</f>
        <v>0</v>
      </c>
      <c r="AD65" s="1510"/>
      <c r="AE65" s="1509" t="e">
        <f>IF('Data Entry - SOF'!E85-AE64&lt;0,0,'Data Entry - SOF'!E85-AE64)</f>
        <v>#DIV/0!</v>
      </c>
      <c r="AF65" s="1510"/>
      <c r="AG65" s="1509">
        <f>IF('Data Entry - SOF'!E85-AG64&lt;0,0,'Data Entry - SOF'!E85-AG64)</f>
        <v>0</v>
      </c>
      <c r="AH65" s="1587"/>
      <c r="AI65" s="1426" t="e">
        <f>IF('Data Entry - SOF'!M75-AI64&lt;0,0,'Data Entry - SOF'!M75-AI64)</f>
        <v>#DIV/0!</v>
      </c>
      <c r="AJ65" s="1512"/>
      <c r="AK65" s="1511" t="e">
        <f>IF('Data Entry - SOF'!M75-AK64&lt;0,0,'Data Entry - SOF'!M75-AK64)</f>
        <v>#DIV/0!</v>
      </c>
      <c r="AL65" s="1512"/>
      <c r="AM65" s="1511" t="e">
        <f>IF('Data Entry - SOF'!M75-AM64&lt;0,0,'Data Entry - SOF'!M75-AM64)</f>
        <v>#DIV/0!</v>
      </c>
      <c r="AN65" s="1512"/>
      <c r="AO65" s="1511" t="e">
        <f>IF('Data Entry - SOF'!M75-AO64&lt;0,0,'Data Entry - SOF'!M75-AO64)</f>
        <v>#DIV/0!</v>
      </c>
      <c r="AP65" s="1598"/>
      <c r="AQ65" s="1591" t="e">
        <f>IF('Data Entry - SOF'!O75-AQ64&lt;0,0,'Data Entry - SOF'!O75-AQ64)</f>
        <v>#DIV/0!</v>
      </c>
      <c r="AR65" s="1514"/>
      <c r="AS65" s="1513" t="e">
        <f>IF('Data Entry - SOF'!O75-AS64&lt;0,0,'Data Entry - SOF'!O75-AS64)</f>
        <v>#DIV/0!</v>
      </c>
      <c r="AT65" s="1514"/>
      <c r="AU65" s="1513" t="e">
        <f>IF('Data Entry - SOF'!O75-AU64&lt;0,0,'Data Entry - SOF'!O75-AU64)</f>
        <v>#DIV/0!</v>
      </c>
      <c r="AV65" s="1514"/>
      <c r="AW65" s="1513" t="e">
        <f>IF('Data Entry - SOF'!O75-AW64&lt;0,0,'Data Entry - SOF'!O75-AW64)</f>
        <v>#DIV/0!</v>
      </c>
      <c r="AX65" s="1610"/>
      <c r="AY65" s="1602" t="e">
        <f>IF('Data Entry - SOF'!Q75-AY64&lt;0,0,'Data Entry - SOF'!Q75-AY64)</f>
        <v>#DIV/0!</v>
      </c>
      <c r="AZ65" s="1516"/>
      <c r="BA65" s="1515" t="e">
        <f>IF('Data Entry - SOF'!Q75-BA64&lt;0,0,'Data Entry - SOF'!Q75-BA64)</f>
        <v>#DIV/0!</v>
      </c>
      <c r="BB65" s="1516"/>
      <c r="BC65" s="1515" t="e">
        <f>IF('Data Entry - SOF'!Q75-BC64&lt;0,0,'Data Entry - SOF'!Q75-BC64)</f>
        <v>#DIV/0!</v>
      </c>
      <c r="BD65" s="1516"/>
      <c r="BE65" s="1515" t="e">
        <f>IF('Data Entry - SOF'!Q75-BE64&lt;0,0,'Data Entry - SOF'!Q75-BE64)</f>
        <v>#DIV/0!</v>
      </c>
      <c r="BF65" s="1612"/>
      <c r="BG65" s="1777" t="e">
        <f>IF('Data Entry - SOF'!S75-BG64&lt;0,0,'Data Entry - SOF'!S75-BG64)</f>
        <v>#DIV/0!</v>
      </c>
      <c r="BH65" s="1778"/>
      <c r="BI65" s="1779" t="e">
        <f>IF('Data Entry - SOF'!S75-BI64&lt;0,0,'Data Entry - SOF'!S75-BI64)</f>
        <v>#DIV/0!</v>
      </c>
      <c r="BJ65" s="1778"/>
      <c r="BK65" s="1779" t="e">
        <f>IF('Data Entry - SOF'!S75-BK64&lt;0,0,'Data Entry - SOF'!S75-BK64)</f>
        <v>#DIV/0!</v>
      </c>
      <c r="BL65" s="1778"/>
      <c r="BM65" s="1779" t="e">
        <f>IF('Data Entry - SOF'!S75-BM64&lt;0,0,'Data Entry - SOF'!S75-BM64)</f>
        <v>#DIV/0!</v>
      </c>
      <c r="BN65" s="1766"/>
    </row>
    <row r="66" spans="1:66">
      <c r="A66" s="71"/>
      <c r="C66" s="2362" t="e">
        <f>C65/'Data Entry - SOF'!C75</f>
        <v>#REF!</v>
      </c>
      <c r="E66" s="2362" t="e">
        <f>E65/'Data Entry - SOF'!C75</f>
        <v>#REF!</v>
      </c>
      <c r="G66" s="2362" t="e">
        <f>G65/'Data Entry - SOF'!C75</f>
        <v>#REF!</v>
      </c>
      <c r="I66" s="2364" t="e">
        <f>I65/'Data Entry - SOF'!C75</f>
        <v>#REF!</v>
      </c>
      <c r="K66" s="1454" t="e">
        <f>K65/'Data Entry - SOF'!#REF!</f>
        <v>#REF!</v>
      </c>
      <c r="L66" s="1455"/>
      <c r="M66" s="1454" t="e">
        <f>M65/'Data Entry - SOF'!#REF!</f>
        <v>#REF!</v>
      </c>
      <c r="N66" s="1455"/>
      <c r="O66" s="1454" t="e">
        <f>O65/'Data Entry - SOF'!#REF!</f>
        <v>#REF!</v>
      </c>
      <c r="P66" s="1455"/>
      <c r="Q66" s="1464" t="e">
        <f>Q65/'Data Entry - SOF'!#REF!</f>
        <v>#REF!</v>
      </c>
      <c r="R66" s="1568"/>
      <c r="S66" s="1563" t="e">
        <f>S65/'Data Entry - SOF'!E75</f>
        <v>#DIV/0!</v>
      </c>
      <c r="T66" s="1442"/>
      <c r="U66" s="1441" t="e">
        <f>U65/'Data Entry - SOF'!E75</f>
        <v>#DIV/0!</v>
      </c>
      <c r="V66" s="1442"/>
      <c r="W66" s="1441" t="e">
        <f>W65/'Data Entry - SOF'!E75</f>
        <v>#DIV/0!</v>
      </c>
      <c r="X66" s="1442"/>
      <c r="Y66" s="1441" t="e">
        <f>Y65/'Data Entry - SOF'!E75</f>
        <v>#DIV/0!</v>
      </c>
      <c r="Z66" s="1577"/>
      <c r="AA66" s="1572" t="e">
        <f>AA65/'Data Entry - SOF'!E85</f>
        <v>#DIV/0!</v>
      </c>
      <c r="AB66" s="1502"/>
      <c r="AC66" s="1501" t="e">
        <f>AC65/'Data Entry - SOF'!E85</f>
        <v>#DIV/0!</v>
      </c>
      <c r="AD66" s="1502"/>
      <c r="AE66" s="1501" t="e">
        <f>AE65/'Data Entry - SOF'!E85</f>
        <v>#DIV/0!</v>
      </c>
      <c r="AF66" s="1502"/>
      <c r="AG66" s="1501" t="e">
        <f>AG65/'Data Entry - SOF'!E85</f>
        <v>#DIV/0!</v>
      </c>
      <c r="AH66" s="1586"/>
      <c r="AI66" s="1579" t="e">
        <f>AI65/'Data Entry - SOF'!M75</f>
        <v>#DIV/0!</v>
      </c>
      <c r="AJ66" s="1504"/>
      <c r="AK66" s="1503" t="e">
        <f>AK65/'Data Entry - SOF'!M75</f>
        <v>#DIV/0!</v>
      </c>
      <c r="AL66" s="1504"/>
      <c r="AM66" s="1503" t="e">
        <f>AM65/'Data Entry - SOF'!M75</f>
        <v>#DIV/0!</v>
      </c>
      <c r="AN66" s="1504"/>
      <c r="AO66" s="1503" t="e">
        <f>AO65/'Data Entry - SOF'!M75</f>
        <v>#DIV/0!</v>
      </c>
      <c r="AP66" s="1597"/>
      <c r="AQ66" s="1590" t="e">
        <f>AQ65/'Data Entry - SOF'!O75</f>
        <v>#DIV/0!</v>
      </c>
      <c r="AR66" s="1506"/>
      <c r="AS66" s="1505" t="e">
        <f>AS65/'Data Entry - SOF'!O75</f>
        <v>#DIV/0!</v>
      </c>
      <c r="AT66" s="1506"/>
      <c r="AU66" s="1505" t="e">
        <f>AU65/'Data Entry - SOF'!O75</f>
        <v>#DIV/0!</v>
      </c>
      <c r="AV66" s="1506"/>
      <c r="AW66" s="1505" t="e">
        <f>AW65/'Data Entry - SOF'!O75</f>
        <v>#DIV/0!</v>
      </c>
      <c r="AX66" s="1609"/>
      <c r="AY66" s="1601" t="e">
        <f>AY65/'Data Entry - SOF'!Q75</f>
        <v>#DIV/0!</v>
      </c>
      <c r="AZ66" s="1508"/>
      <c r="BA66" s="1507" t="e">
        <f>BA65/'Data Entry - SOF'!Q75</f>
        <v>#DIV/0!</v>
      </c>
      <c r="BB66" s="1508"/>
      <c r="BC66" s="1507" t="e">
        <f>BC65/'Data Entry - SOF'!Q75</f>
        <v>#DIV/0!</v>
      </c>
      <c r="BD66" s="1508"/>
      <c r="BE66" s="1507" t="e">
        <f>BE65/'Data Entry - SOF'!Q75</f>
        <v>#DIV/0!</v>
      </c>
      <c r="BF66" s="1612"/>
      <c r="BG66" s="1774" t="e">
        <f>BG65/'Data Entry - SOF'!S75</f>
        <v>#DIV/0!</v>
      </c>
      <c r="BH66" s="1775"/>
      <c r="BI66" s="1776" t="e">
        <f>BI65/'Data Entry - SOF'!S75</f>
        <v>#DIV/0!</v>
      </c>
      <c r="BJ66" s="1775"/>
      <c r="BK66" s="1776" t="e">
        <f>BK65/'Data Entry - SOF'!S75</f>
        <v>#DIV/0!</v>
      </c>
      <c r="BL66" s="1775"/>
      <c r="BM66" s="1776" t="e">
        <f>BM65/'Data Entry - SOF'!S75</f>
        <v>#DIV/0!</v>
      </c>
      <c r="BN66" s="1766"/>
    </row>
    <row r="67" spans="1:66">
      <c r="A67" s="71"/>
      <c r="C67" s="2083" t="e">
        <f>C64/'Ch41 Calc Data'!K17</f>
        <v>#REF!</v>
      </c>
      <c r="E67" s="2083" t="e">
        <f>E64/'Ch41 Calc Data'!K17</f>
        <v>#REF!</v>
      </c>
      <c r="G67" s="2083" t="e">
        <f>G64/'Ch41 Calc Data'!K17</f>
        <v>#REF!</v>
      </c>
      <c r="I67" s="2084" t="e">
        <f>I64/'Ch41 Calc Data'!K17</f>
        <v>#REF!</v>
      </c>
      <c r="K67" s="1454" t="e">
        <f>K64/'Ch41 Calc Data'!L17</f>
        <v>#REF!</v>
      </c>
      <c r="L67" s="1455"/>
      <c r="M67" s="1454" t="e">
        <f>M64/'Ch41 Calc Data'!L17</f>
        <v>#REF!</v>
      </c>
      <c r="N67" s="1455"/>
      <c r="O67" s="1454" t="e">
        <f>O64/'Ch41 Calc Data'!L17</f>
        <v>#REF!</v>
      </c>
      <c r="P67" s="1455"/>
      <c r="Q67" s="1463" t="e">
        <f>Q64/'Ch41 Calc Data'!L17</f>
        <v>#REF!</v>
      </c>
      <c r="R67" s="1570"/>
      <c r="S67" s="1564" t="e">
        <f>S64/'Ch41 Calc Data'!M17</f>
        <v>#DIV/0!</v>
      </c>
      <c r="T67" s="1440"/>
      <c r="U67" s="1439" t="e">
        <f>U64/'Ch41 Calc Data'!M17</f>
        <v>#DIV/0!</v>
      </c>
      <c r="V67" s="1440"/>
      <c r="W67" s="1439" t="e">
        <f>W64/'Ch41 Calc Data'!M17</f>
        <v>#DIV/0!</v>
      </c>
      <c r="X67" s="1440"/>
      <c r="Y67" s="1439" t="e">
        <f>Y64/'Ch41 Calc Data'!M17</f>
        <v>#DIV/0!</v>
      </c>
      <c r="Z67" s="1561"/>
      <c r="AA67" s="1573" t="e">
        <f>AA64/'Ch41 Calc Data'!N17</f>
        <v>#DIV/0!</v>
      </c>
      <c r="AB67" s="1510"/>
      <c r="AC67" s="1509" t="e">
        <f>AC64/'Ch41 Calc Data'!N17</f>
        <v>#DIV/0!</v>
      </c>
      <c r="AD67" s="1510"/>
      <c r="AE67" s="1509" t="e">
        <f>AE64/'Ch41 Calc Data'!N17</f>
        <v>#DIV/0!</v>
      </c>
      <c r="AF67" s="1510"/>
      <c r="AG67" s="1509" t="e">
        <f>AG64/'Ch41 Calc Data'!N17</f>
        <v>#DIV/0!</v>
      </c>
      <c r="AH67" s="1587"/>
      <c r="AI67" s="1426" t="e">
        <f>AI64/'Ch41 Calc Data'!O17</f>
        <v>#DIV/0!</v>
      </c>
      <c r="AJ67" s="1512"/>
      <c r="AK67" s="1511" t="e">
        <f>AK64/'Ch41 Calc Data'!O17</f>
        <v>#DIV/0!</v>
      </c>
      <c r="AL67" s="1512"/>
      <c r="AM67" s="1511" t="e">
        <f>AM64/'Ch41 Calc Data'!O17</f>
        <v>#DIV/0!</v>
      </c>
      <c r="AN67" s="1512"/>
      <c r="AO67" s="1511" t="e">
        <f>AO64/'Ch41 Calc Data'!O17</f>
        <v>#DIV/0!</v>
      </c>
      <c r="AP67" s="1598"/>
      <c r="AQ67" s="1591" t="e">
        <f>AQ64/'Ch41 Calc Data'!P17</f>
        <v>#DIV/0!</v>
      </c>
      <c r="AR67" s="1514"/>
      <c r="AS67" s="1513" t="e">
        <f>AS64/'Ch41 Calc Data'!P17</f>
        <v>#DIV/0!</v>
      </c>
      <c r="AT67" s="1514"/>
      <c r="AU67" s="1513" t="e">
        <f>AU64/'Ch41 Calc Data'!P17</f>
        <v>#DIV/0!</v>
      </c>
      <c r="AV67" s="1514"/>
      <c r="AW67" s="1513" t="e">
        <f>AW64/'Ch41 Calc Data'!P17</f>
        <v>#DIV/0!</v>
      </c>
      <c r="AX67" s="1610"/>
      <c r="AY67" s="1602" t="e">
        <f>AY64/'Ch41 Calc Data'!Q17</f>
        <v>#DIV/0!</v>
      </c>
      <c r="AZ67" s="1516"/>
      <c r="BA67" s="1515" t="e">
        <f>BA64/'Ch41 Calc Data'!Q17</f>
        <v>#DIV/0!</v>
      </c>
      <c r="BB67" s="1516"/>
      <c r="BC67" s="1515" t="e">
        <f>BC64/'Ch41 Calc Data'!Q17</f>
        <v>#DIV/0!</v>
      </c>
      <c r="BD67" s="1516"/>
      <c r="BE67" s="1515" t="e">
        <f>BE64/'Ch41 Calc Data'!Q17</f>
        <v>#DIV/0!</v>
      </c>
      <c r="BF67" s="1612"/>
      <c r="BG67" s="1777" t="e">
        <f>BG64/'Ch41 Calc Data'!R17</f>
        <v>#DIV/0!</v>
      </c>
      <c r="BH67" s="1778"/>
      <c r="BI67" s="1779" t="e">
        <f>BI64/'Ch41 Calc Data'!R17</f>
        <v>#DIV/0!</v>
      </c>
      <c r="BJ67" s="1778"/>
      <c r="BK67" s="1779" t="e">
        <f>BK64/'Ch41 Calc Data'!R17</f>
        <v>#DIV/0!</v>
      </c>
      <c r="BL67" s="1778"/>
      <c r="BM67" s="1779" t="e">
        <f>BM64/'Ch41 Calc Data'!R17</f>
        <v>#DIV/0!</v>
      </c>
      <c r="BN67" s="1766"/>
    </row>
    <row r="68" spans="1:66">
      <c r="A68" s="71"/>
      <c r="D68" s="2353"/>
      <c r="F68" s="2353"/>
      <c r="H68" s="2353"/>
      <c r="I68" s="2070"/>
      <c r="Q68" s="1540"/>
      <c r="R68" s="1570"/>
      <c r="S68" s="1440"/>
      <c r="T68" s="1440"/>
      <c r="U68" s="1440"/>
      <c r="V68" s="1440"/>
      <c r="W68" s="1440"/>
      <c r="X68" s="1440"/>
      <c r="Y68" s="1440"/>
      <c r="Z68" s="1561"/>
      <c r="AA68" s="1510"/>
      <c r="AB68" s="1510"/>
      <c r="AC68" s="1510"/>
      <c r="AD68" s="1510"/>
      <c r="AE68" s="1510"/>
      <c r="AF68" s="1510"/>
      <c r="AG68" s="1510"/>
      <c r="AH68" s="1587"/>
      <c r="AI68" s="1512"/>
      <c r="AJ68" s="1512"/>
      <c r="AK68" s="1512"/>
      <c r="AL68" s="1512"/>
      <c r="AM68" s="1512"/>
      <c r="AN68" s="1512"/>
      <c r="AO68" s="1512"/>
      <c r="AP68" s="1598"/>
      <c r="AQ68" s="1514"/>
      <c r="AR68" s="1514"/>
      <c r="AS68" s="1514"/>
      <c r="AT68" s="1514"/>
      <c r="AU68" s="1514"/>
      <c r="AV68" s="1514"/>
      <c r="AW68" s="1514"/>
      <c r="AX68" s="1610"/>
      <c r="AY68" s="1516"/>
      <c r="AZ68" s="1516"/>
      <c r="BA68" s="1516"/>
      <c r="BB68" s="1516"/>
      <c r="BC68" s="1516"/>
      <c r="BD68" s="1516"/>
      <c r="BE68" s="1516"/>
      <c r="BF68" s="1612"/>
      <c r="BG68" s="1778"/>
      <c r="BH68" s="1778"/>
      <c r="BI68" s="1778"/>
      <c r="BJ68" s="1778"/>
      <c r="BK68" s="1778"/>
      <c r="BL68" s="1778"/>
      <c r="BM68" s="1778"/>
      <c r="BN68" s="1766"/>
    </row>
    <row r="69" spans="1:66">
      <c r="A69" s="71"/>
      <c r="D69" s="2057"/>
      <c r="F69" s="2057"/>
      <c r="H69" s="2057"/>
      <c r="I69" s="2070"/>
      <c r="Q69" s="1540"/>
      <c r="R69" s="1570"/>
      <c r="S69" s="1440"/>
      <c r="T69" s="1440"/>
      <c r="U69" s="1440"/>
      <c r="V69" s="1440"/>
      <c r="W69" s="1440"/>
      <c r="X69" s="1440"/>
      <c r="Y69" s="1440"/>
      <c r="Z69" s="1561"/>
      <c r="AA69" s="1510"/>
      <c r="AB69" s="1510"/>
      <c r="AC69" s="1510"/>
      <c r="AD69" s="1510"/>
      <c r="AE69" s="1510"/>
      <c r="AF69" s="1510"/>
      <c r="AG69" s="1510"/>
      <c r="AH69" s="1587"/>
      <c r="AI69" s="1512"/>
      <c r="AJ69" s="1512"/>
      <c r="AK69" s="1512"/>
      <c r="AL69" s="1512"/>
      <c r="AM69" s="1512"/>
      <c r="AN69" s="1512"/>
      <c r="AO69" s="1512"/>
      <c r="AP69" s="1598"/>
      <c r="AQ69" s="1514"/>
      <c r="AR69" s="1514"/>
      <c r="AS69" s="1514"/>
      <c r="AT69" s="1514"/>
      <c r="AU69" s="1514"/>
      <c r="AV69" s="1514"/>
      <c r="AW69" s="1514"/>
      <c r="AX69" s="1610"/>
      <c r="AY69" s="1516"/>
      <c r="AZ69" s="1516"/>
      <c r="BA69" s="1516"/>
      <c r="BB69" s="1516"/>
      <c r="BC69" s="1516"/>
      <c r="BD69" s="1516"/>
      <c r="BE69" s="1516"/>
      <c r="BF69" s="1612"/>
      <c r="BG69" s="1778"/>
      <c r="BH69" s="1778"/>
      <c r="BI69" s="1778"/>
      <c r="BJ69" s="1778"/>
      <c r="BK69" s="1778"/>
      <c r="BL69" s="1778"/>
      <c r="BM69" s="1778"/>
      <c r="BN69" s="1766"/>
    </row>
    <row r="70" spans="1:66">
      <c r="A70" s="71"/>
      <c r="C70" s="2083" t="e">
        <f>'Calc Data'!AE36</f>
        <v>#REF!</v>
      </c>
      <c r="D70" s="2057"/>
      <c r="E70" s="2083" t="e">
        <f>C70</f>
        <v>#REF!</v>
      </c>
      <c r="F70" s="2057"/>
      <c r="G70" s="2083"/>
      <c r="H70" s="2057"/>
      <c r="I70" s="2084"/>
      <c r="K70" s="1454" t="e">
        <f>'Calc Data'!#REF!</f>
        <v>#REF!</v>
      </c>
      <c r="L70" s="1455"/>
      <c r="M70" s="1454" t="e">
        <f>K70</f>
        <v>#REF!</v>
      </c>
      <c r="N70" s="1455"/>
      <c r="O70" s="1454"/>
      <c r="P70" s="1455"/>
      <c r="Q70" s="1463"/>
      <c r="R70" s="1570"/>
      <c r="S70" s="1564">
        <f>'Calc Data'!AI36</f>
        <v>0</v>
      </c>
      <c r="T70" s="1440"/>
      <c r="U70" s="1439">
        <f>S70</f>
        <v>0</v>
      </c>
      <c r="V70" s="1440"/>
      <c r="W70" s="1439"/>
      <c r="X70" s="1440"/>
      <c r="Y70" s="1439"/>
      <c r="Z70" s="1561"/>
      <c r="AA70" s="1573">
        <f>'Calc Data'!AM36</f>
        <v>0</v>
      </c>
      <c r="AB70" s="1510"/>
      <c r="AC70" s="1509">
        <f>AA70</f>
        <v>0</v>
      </c>
      <c r="AD70" s="1510"/>
      <c r="AE70" s="1509"/>
      <c r="AF70" s="1510"/>
      <c r="AG70" s="1509"/>
      <c r="AH70" s="1587"/>
      <c r="AI70" s="1426">
        <f>'Calc Data'!AQ36</f>
        <v>0</v>
      </c>
      <c r="AJ70" s="1512"/>
      <c r="AK70" s="1511">
        <f>AI70</f>
        <v>0</v>
      </c>
      <c r="AL70" s="1512"/>
      <c r="AM70" s="1511"/>
      <c r="AN70" s="1512"/>
      <c r="AO70" s="1511"/>
      <c r="AP70" s="1598"/>
      <c r="AQ70" s="1591">
        <f>'Calc Data'!AV36</f>
        <v>0</v>
      </c>
      <c r="AR70" s="1514"/>
      <c r="AS70" s="1513">
        <f>AQ70</f>
        <v>0</v>
      </c>
      <c r="AT70" s="1514"/>
      <c r="AU70" s="1513"/>
      <c r="AV70" s="1514"/>
      <c r="AW70" s="1513"/>
      <c r="AX70" s="1610"/>
      <c r="AY70" s="1602">
        <f>'Calc Data'!BA36</f>
        <v>0</v>
      </c>
      <c r="AZ70" s="1516"/>
      <c r="BA70" s="1515">
        <f>AY70</f>
        <v>0</v>
      </c>
      <c r="BB70" s="1516"/>
      <c r="BC70" s="1515"/>
      <c r="BD70" s="1516"/>
      <c r="BE70" s="1515"/>
      <c r="BF70" s="1612"/>
      <c r="BG70" s="1777">
        <f>'Calc Data'!BF36</f>
        <v>0</v>
      </c>
      <c r="BH70" s="1778"/>
      <c r="BI70" s="1779">
        <f>BG70</f>
        <v>0</v>
      </c>
      <c r="BJ70" s="1778"/>
      <c r="BK70" s="1779"/>
      <c r="BL70" s="1778"/>
      <c r="BM70" s="1779"/>
      <c r="BN70" s="1766"/>
    </row>
    <row r="71" spans="1:66">
      <c r="A71" s="71"/>
      <c r="C71" s="2083"/>
      <c r="D71" s="2057"/>
      <c r="E71" s="2083"/>
      <c r="F71" s="2057"/>
      <c r="G71" s="2083" t="e">
        <f>'Calc Data'!AC31</f>
        <v>#REF!</v>
      </c>
      <c r="H71" s="2057"/>
      <c r="I71" s="2084" t="e">
        <f>G71</f>
        <v>#REF!</v>
      </c>
      <c r="K71" s="1454"/>
      <c r="L71" s="1455"/>
      <c r="M71" s="1454"/>
      <c r="N71" s="1455"/>
      <c r="O71" s="1454" t="e">
        <f>'Calc Data'!#REF!</f>
        <v>#REF!</v>
      </c>
      <c r="P71" s="1455"/>
      <c r="Q71" s="1463" t="e">
        <f>O71</f>
        <v>#REF!</v>
      </c>
      <c r="R71" s="1570"/>
      <c r="S71" s="1564"/>
      <c r="T71" s="1440"/>
      <c r="U71" s="1439"/>
      <c r="V71" s="1440"/>
      <c r="W71" s="1439">
        <f>'Calc Data'!AG31</f>
        <v>0</v>
      </c>
      <c r="X71" s="1440"/>
      <c r="Y71" s="1439">
        <f>W71</f>
        <v>0</v>
      </c>
      <c r="Z71" s="1561"/>
      <c r="AA71" s="1573"/>
      <c r="AB71" s="1510"/>
      <c r="AC71" s="1509"/>
      <c r="AD71" s="1510"/>
      <c r="AE71" s="1509">
        <f>'Calc Data'!AK31</f>
        <v>0</v>
      </c>
      <c r="AF71" s="1510"/>
      <c r="AG71" s="1509">
        <f>AE71</f>
        <v>0</v>
      </c>
      <c r="AH71" s="1587"/>
      <c r="AI71" s="1426"/>
      <c r="AJ71" s="1512"/>
      <c r="AK71" s="1511"/>
      <c r="AL71" s="1512"/>
      <c r="AM71" s="1511">
        <f>'Calc Data'!AO31</f>
        <v>0</v>
      </c>
      <c r="AN71" s="1512"/>
      <c r="AO71" s="1511">
        <f>AM71</f>
        <v>0</v>
      </c>
      <c r="AP71" s="1598"/>
      <c r="AQ71" s="1591"/>
      <c r="AR71" s="1514"/>
      <c r="AS71" s="1513"/>
      <c r="AT71" s="1514"/>
      <c r="AU71" s="1513">
        <f>'Calc Data'!AT31</f>
        <v>0</v>
      </c>
      <c r="AV71" s="1514"/>
      <c r="AW71" s="1513">
        <f>AU71</f>
        <v>0</v>
      </c>
      <c r="AX71" s="1610"/>
      <c r="AY71" s="1602"/>
      <c r="AZ71" s="1516"/>
      <c r="BA71" s="1515"/>
      <c r="BB71" s="1516"/>
      <c r="BC71" s="1515">
        <f>'Calc Data'!AY31</f>
        <v>0</v>
      </c>
      <c r="BD71" s="1516"/>
      <c r="BE71" s="1515">
        <f>BC71</f>
        <v>0</v>
      </c>
      <c r="BF71" s="1612"/>
      <c r="BG71" s="1777"/>
      <c r="BH71" s="1778"/>
      <c r="BI71" s="1779"/>
      <c r="BJ71" s="1778"/>
      <c r="BK71" s="1779">
        <f>'Calc Data'!BD31</f>
        <v>0</v>
      </c>
      <c r="BL71" s="1778"/>
      <c r="BM71" s="1779">
        <f>BK71</f>
        <v>0</v>
      </c>
      <c r="BN71" s="1766"/>
    </row>
    <row r="72" spans="1:66">
      <c r="A72" s="71"/>
      <c r="C72" s="2083" t="e">
        <f>C70</f>
        <v>#REF!</v>
      </c>
      <c r="D72" s="2057"/>
      <c r="E72" s="2083" t="e">
        <f>E70</f>
        <v>#REF!</v>
      </c>
      <c r="F72" s="2057"/>
      <c r="G72" s="2083" t="e">
        <f>G71</f>
        <v>#REF!</v>
      </c>
      <c r="H72" s="2057"/>
      <c r="I72" s="2084" t="e">
        <f>I71</f>
        <v>#REF!</v>
      </c>
      <c r="K72" s="1454" t="e">
        <f>K70</f>
        <v>#REF!</v>
      </c>
      <c r="L72" s="1455"/>
      <c r="M72" s="1454" t="e">
        <f>M70</f>
        <v>#REF!</v>
      </c>
      <c r="N72" s="1455"/>
      <c r="O72" s="1454" t="e">
        <f>O71</f>
        <v>#REF!</v>
      </c>
      <c r="P72" s="1455"/>
      <c r="Q72" s="1463" t="e">
        <f>Q71</f>
        <v>#REF!</v>
      </c>
      <c r="R72" s="1570"/>
      <c r="S72" s="1564">
        <f>S70</f>
        <v>0</v>
      </c>
      <c r="T72" s="1440"/>
      <c r="U72" s="1439">
        <f>U70</f>
        <v>0</v>
      </c>
      <c r="V72" s="1440"/>
      <c r="W72" s="1439">
        <f>W71</f>
        <v>0</v>
      </c>
      <c r="X72" s="1440"/>
      <c r="Y72" s="1439">
        <f>Y71</f>
        <v>0</v>
      </c>
      <c r="Z72" s="1561"/>
      <c r="AA72" s="1573">
        <f>AA70</f>
        <v>0</v>
      </c>
      <c r="AB72" s="1510"/>
      <c r="AC72" s="1509">
        <f>AC70</f>
        <v>0</v>
      </c>
      <c r="AD72" s="1510"/>
      <c r="AE72" s="1509">
        <f>AE71</f>
        <v>0</v>
      </c>
      <c r="AF72" s="1510"/>
      <c r="AG72" s="1509">
        <f>AG71</f>
        <v>0</v>
      </c>
      <c r="AH72" s="1587"/>
      <c r="AI72" s="1426">
        <f>AI70</f>
        <v>0</v>
      </c>
      <c r="AJ72" s="1512"/>
      <c r="AK72" s="1511">
        <f>AK70</f>
        <v>0</v>
      </c>
      <c r="AL72" s="1512"/>
      <c r="AM72" s="1511">
        <f>AM71</f>
        <v>0</v>
      </c>
      <c r="AN72" s="1512"/>
      <c r="AO72" s="1511">
        <f>AO71</f>
        <v>0</v>
      </c>
      <c r="AP72" s="1598"/>
      <c r="AQ72" s="1591">
        <f>AQ70</f>
        <v>0</v>
      </c>
      <c r="AR72" s="1514"/>
      <c r="AS72" s="1513">
        <f>AS70</f>
        <v>0</v>
      </c>
      <c r="AT72" s="1514"/>
      <c r="AU72" s="1513">
        <f>AU71</f>
        <v>0</v>
      </c>
      <c r="AV72" s="1514"/>
      <c r="AW72" s="1513">
        <f>AW71</f>
        <v>0</v>
      </c>
      <c r="AX72" s="1610"/>
      <c r="AY72" s="1602">
        <f>AY70</f>
        <v>0</v>
      </c>
      <c r="AZ72" s="1516"/>
      <c r="BA72" s="1515">
        <f>BA70</f>
        <v>0</v>
      </c>
      <c r="BB72" s="1516"/>
      <c r="BC72" s="1515">
        <f>BC71</f>
        <v>0</v>
      </c>
      <c r="BD72" s="1516"/>
      <c r="BE72" s="1515">
        <f>BE71</f>
        <v>0</v>
      </c>
      <c r="BF72" s="1612"/>
      <c r="BG72" s="1777">
        <f>BG70</f>
        <v>0</v>
      </c>
      <c r="BH72" s="1778"/>
      <c r="BI72" s="1779">
        <f>BI70</f>
        <v>0</v>
      </c>
      <c r="BJ72" s="1778"/>
      <c r="BK72" s="1779">
        <f>BK71</f>
        <v>0</v>
      </c>
      <c r="BL72" s="1778"/>
      <c r="BM72" s="1779">
        <f>BM71</f>
        <v>0</v>
      </c>
      <c r="BN72" s="1766"/>
    </row>
    <row r="73" spans="1:66">
      <c r="A73" s="71"/>
      <c r="C73" s="2081" t="e">
        <f>C66*C72</f>
        <v>#REF!</v>
      </c>
      <c r="D73" s="2057"/>
      <c r="E73" s="2081" t="e">
        <f>E66*E72</f>
        <v>#REF!</v>
      </c>
      <c r="F73" s="2057"/>
      <c r="G73" s="2081" t="e">
        <f>IF(G71&lt;1,0,G66*G72)</f>
        <v>#REF!</v>
      </c>
      <c r="H73" s="2057"/>
      <c r="I73" s="2082" t="e">
        <f>IF(I71&lt;1,0,I66*I72)</f>
        <v>#REF!</v>
      </c>
      <c r="K73" s="1454" t="e">
        <f>K66*K72</f>
        <v>#REF!</v>
      </c>
      <c r="L73" s="1455"/>
      <c r="M73" s="1454" t="e">
        <f>M66*M72</f>
        <v>#REF!</v>
      </c>
      <c r="N73" s="1455"/>
      <c r="O73" s="1454" t="e">
        <f>IF(O71&lt;1,0,O66*O72)</f>
        <v>#REF!</v>
      </c>
      <c r="P73" s="1455"/>
      <c r="Q73" s="1463" t="e">
        <f>IF(Q71&lt;1,0,Q66*Q72)</f>
        <v>#REF!</v>
      </c>
      <c r="R73" s="1570"/>
      <c r="S73" s="1564" t="e">
        <f>S66*S72</f>
        <v>#DIV/0!</v>
      </c>
      <c r="T73" s="1440"/>
      <c r="U73" s="1439" t="e">
        <f>U66*U72</f>
        <v>#DIV/0!</v>
      </c>
      <c r="V73" s="1440"/>
      <c r="W73" s="1439">
        <f>IF(W71&lt;1,0,W66*W72)</f>
        <v>0</v>
      </c>
      <c r="X73" s="1440"/>
      <c r="Y73" s="1439">
        <f>IF(Y71&lt;1,0,Y66*Y72)</f>
        <v>0</v>
      </c>
      <c r="Z73" s="1561"/>
      <c r="AA73" s="1573" t="e">
        <f>AA66*AA72</f>
        <v>#DIV/0!</v>
      </c>
      <c r="AB73" s="1510"/>
      <c r="AC73" s="1509" t="e">
        <f>AC66*AC72</f>
        <v>#DIV/0!</v>
      </c>
      <c r="AD73" s="1510"/>
      <c r="AE73" s="1509">
        <f>IF(AE71&lt;1,0,AE66*AE72)</f>
        <v>0</v>
      </c>
      <c r="AF73" s="1510"/>
      <c r="AG73" s="1509">
        <f>IF(AG71&lt;1,0,AG66*AG72)</f>
        <v>0</v>
      </c>
      <c r="AH73" s="1587"/>
      <c r="AI73" s="1426" t="e">
        <f>AI66*AI72</f>
        <v>#DIV/0!</v>
      </c>
      <c r="AJ73" s="1512"/>
      <c r="AK73" s="1511" t="e">
        <f>AK66*AK72</f>
        <v>#DIV/0!</v>
      </c>
      <c r="AL73" s="1512"/>
      <c r="AM73" s="1511">
        <f>IF(AM71&lt;1,0,AM66*AM72)</f>
        <v>0</v>
      </c>
      <c r="AN73" s="1512"/>
      <c r="AO73" s="1511">
        <f>IF(AO71&lt;1,0,AO66*AO72)</f>
        <v>0</v>
      </c>
      <c r="AP73" s="1598"/>
      <c r="AQ73" s="1591" t="e">
        <f>AQ66*AQ72</f>
        <v>#DIV/0!</v>
      </c>
      <c r="AR73" s="1514"/>
      <c r="AS73" s="1513" t="e">
        <f>AS66*AS72</f>
        <v>#DIV/0!</v>
      </c>
      <c r="AT73" s="1514"/>
      <c r="AU73" s="1513">
        <f>IF(AU71&lt;1,0,AU66*AU72)</f>
        <v>0</v>
      </c>
      <c r="AV73" s="1514"/>
      <c r="AW73" s="1513">
        <f>IF(AW71&lt;1,0,AW66*AW72)</f>
        <v>0</v>
      </c>
      <c r="AX73" s="1610"/>
      <c r="AY73" s="1602" t="e">
        <f>AY66*AY72</f>
        <v>#DIV/0!</v>
      </c>
      <c r="AZ73" s="1516"/>
      <c r="BA73" s="1515" t="e">
        <f>BA66*BA72</f>
        <v>#DIV/0!</v>
      </c>
      <c r="BB73" s="1516"/>
      <c r="BC73" s="1515">
        <f>IF(BC71&lt;1,0,BC66*BC72)</f>
        <v>0</v>
      </c>
      <c r="BD73" s="1516"/>
      <c r="BE73" s="1515">
        <f>IF(BE71&lt;1,0,BE66*BE72)</f>
        <v>0</v>
      </c>
      <c r="BF73" s="1612"/>
      <c r="BG73" s="1777" t="e">
        <f>BG66*BG72</f>
        <v>#DIV/0!</v>
      </c>
      <c r="BH73" s="1778"/>
      <c r="BI73" s="1779" t="e">
        <f>BI66*BI72</f>
        <v>#DIV/0!</v>
      </c>
      <c r="BJ73" s="1778"/>
      <c r="BK73" s="1779">
        <f>IF(BK71&lt;1,0,BK66*BK72)</f>
        <v>0</v>
      </c>
      <c r="BL73" s="1778"/>
      <c r="BM73" s="1779">
        <f>IF(BM71&lt;1,0,BM66*BM72)</f>
        <v>0</v>
      </c>
      <c r="BN73" s="1766"/>
    </row>
    <row r="74" spans="1:66">
      <c r="A74" s="71"/>
      <c r="C74" s="2359" t="e">
        <f>C65/IF(C67&lt;Assumptions!G92,Assumptions!G92,C67)</f>
        <v>#REF!</v>
      </c>
      <c r="D74" s="2057"/>
      <c r="E74" s="2359" t="e">
        <f>E65/E67</f>
        <v>#REF!</v>
      </c>
      <c r="F74" s="2057"/>
      <c r="G74" s="2359" t="e">
        <f>IF(G73=0,0,G65/G67)</f>
        <v>#REF!</v>
      </c>
      <c r="H74" s="2057"/>
      <c r="I74" s="2080" t="e">
        <f>IF(I73=0,0,I65/I67)</f>
        <v>#REF!</v>
      </c>
      <c r="K74" s="1541" t="e">
        <f>K65/IF(K67&lt;Assumptions!G103,Assumptions!G103,K67)</f>
        <v>#REF!</v>
      </c>
      <c r="L74" s="1485"/>
      <c r="M74" s="1541" t="e">
        <f>M65/M67</f>
        <v>#REF!</v>
      </c>
      <c r="N74" s="1485"/>
      <c r="O74" s="1541" t="e">
        <f>IF(O73=0,0,O65/O67)</f>
        <v>#REF!</v>
      </c>
      <c r="P74" s="1531"/>
      <c r="Q74" s="1464" t="e">
        <f>IF(Q73=0,0,Q65/Q67)</f>
        <v>#REF!</v>
      </c>
      <c r="R74" s="1568"/>
      <c r="S74" s="1563" t="e">
        <f>S65/IF(S67&lt;Assumptions!G112,Assumptions!G112,S67)</f>
        <v>#DIV/0!</v>
      </c>
      <c r="T74" s="1442"/>
      <c r="U74" s="1441" t="e">
        <f>U65/U67</f>
        <v>#DIV/0!</v>
      </c>
      <c r="V74" s="1442"/>
      <c r="W74" s="1441">
        <f>IF(W73=0,0,W65/W67)</f>
        <v>0</v>
      </c>
      <c r="X74" s="1442"/>
      <c r="Y74" s="1441">
        <f>IF(Y73=0,0,Y65/Y67)</f>
        <v>0</v>
      </c>
      <c r="Z74" s="1577"/>
      <c r="AA74" s="1572" t="e">
        <f>AA65/IF(AA67&lt;Assumptions!G121,Assumptions!G121,AA67)</f>
        <v>#DIV/0!</v>
      </c>
      <c r="AB74" s="1502"/>
      <c r="AC74" s="1501" t="e">
        <f>AC65/AC67</f>
        <v>#DIV/0!</v>
      </c>
      <c r="AD74" s="1502"/>
      <c r="AE74" s="1501">
        <f>IF(AE73=0,0,AE65/AE67)</f>
        <v>0</v>
      </c>
      <c r="AF74" s="1502"/>
      <c r="AG74" s="1501">
        <f>IF(AG73=0,0,AG65/AG67)</f>
        <v>0</v>
      </c>
      <c r="AH74" s="1586"/>
      <c r="AI74" s="1579" t="e">
        <f>AI65/IF(AI67&lt;Assumptions!G130,Assumptions!G130,AI67)</f>
        <v>#DIV/0!</v>
      </c>
      <c r="AJ74" s="1504"/>
      <c r="AK74" s="1503" t="e">
        <f>AK65/AK67</f>
        <v>#DIV/0!</v>
      </c>
      <c r="AL74" s="1504"/>
      <c r="AM74" s="1503">
        <f>IF(AM73=0,0,AM65/AM67)</f>
        <v>0</v>
      </c>
      <c r="AN74" s="1504"/>
      <c r="AO74" s="1503">
        <f>IF(AO73=0,0,AO65/AO67)</f>
        <v>0</v>
      </c>
      <c r="AP74" s="1597"/>
      <c r="AQ74" s="1590" t="e">
        <f>AQ65/IF(AQ67&lt;Assumptions!G139,Assumptions!G139,AQ67)</f>
        <v>#DIV/0!</v>
      </c>
      <c r="AR74" s="1506"/>
      <c r="AS74" s="1505" t="e">
        <f>AS65/AS67</f>
        <v>#DIV/0!</v>
      </c>
      <c r="AT74" s="1506"/>
      <c r="AU74" s="1505">
        <f>IF(AU73=0,0,AU65/AU67)</f>
        <v>0</v>
      </c>
      <c r="AV74" s="1506"/>
      <c r="AW74" s="1505">
        <f>IF(AW73=0,0,AW65/AW67)</f>
        <v>0</v>
      </c>
      <c r="AX74" s="1609"/>
      <c r="AY74" s="1601" t="e">
        <f>AY65/IF(AY67&lt;Assumptions!G148,Assumptions!G148,AY67)</f>
        <v>#DIV/0!</v>
      </c>
      <c r="AZ74" s="1508"/>
      <c r="BA74" s="1507" t="e">
        <f>BA65/BA67</f>
        <v>#DIV/0!</v>
      </c>
      <c r="BB74" s="1508"/>
      <c r="BC74" s="1507">
        <f>IF(BC73=0,0,BC65/BC67)</f>
        <v>0</v>
      </c>
      <c r="BD74" s="1508"/>
      <c r="BE74" s="1507">
        <f>IF(BE73=0,0,BE65/BE67)</f>
        <v>0</v>
      </c>
      <c r="BF74" s="1612"/>
      <c r="BG74" s="1774" t="e">
        <f>BG65/IF(BG67&lt;Assumptions!G157,Assumptions!G157,BG67)</f>
        <v>#DIV/0!</v>
      </c>
      <c r="BH74" s="1775"/>
      <c r="BI74" s="1776" t="e">
        <f>BI65/BI67</f>
        <v>#DIV/0!</v>
      </c>
      <c r="BJ74" s="1775"/>
      <c r="BK74" s="1776">
        <f>IF(BK73=0,0,BK65/BK67)</f>
        <v>0</v>
      </c>
      <c r="BL74" s="1775"/>
      <c r="BM74" s="1776">
        <f>IF(BM73=0,0,BM65/BM67)</f>
        <v>0</v>
      </c>
      <c r="BN74" s="1766"/>
    </row>
    <row r="75" spans="1:66">
      <c r="A75" s="71"/>
      <c r="C75" s="2365" t="e">
        <f>IF(C74=0,0,IF(C73/C74&lt;3147,3147,C73/C74))</f>
        <v>#REF!</v>
      </c>
      <c r="D75" s="2057"/>
      <c r="E75" s="2365" t="e">
        <f>IF(E74=0,0,IF(E73/E74&lt;3147,3147,E73/E74))</f>
        <v>#REF!</v>
      </c>
      <c r="F75" s="2057"/>
      <c r="G75" s="2365" t="e">
        <f>IF(G74=0,0,IF(G73/G74&lt;71.62,71.62,G73/G74))</f>
        <v>#REF!</v>
      </c>
      <c r="H75" s="2057"/>
      <c r="I75" s="2367" t="e">
        <f>IF(I74=0,0,IF(I73/I74&lt;71.62,71.62,I73/I74))</f>
        <v>#REF!</v>
      </c>
      <c r="K75" s="1541" t="e">
        <f>IF(K74=0,0,IF(K73/K74&lt;3392,3392,K73/K74))</f>
        <v>#REF!</v>
      </c>
      <c r="L75" s="1485"/>
      <c r="M75" s="1541" t="e">
        <f>IF(M74=0,0,IF(M73/M74&lt;3392,3392,M73/M74))</f>
        <v>#REF!</v>
      </c>
      <c r="N75" s="1485"/>
      <c r="O75" s="1541" t="e">
        <f>IF(O74=0,0,IF(O73/O74&lt;84.777,84.777,O73/O74))</f>
        <v>#REF!</v>
      </c>
      <c r="P75" s="1531"/>
      <c r="Q75" s="1464" t="e">
        <f>IF(Q74=0,0,IF(Q73/Q74&lt;84.777,84.777,Q73/Q74))</f>
        <v>#REF!</v>
      </c>
      <c r="R75" s="1568"/>
      <c r="S75" s="1563" t="e">
        <f>IF(S74=0,0,IF(S73/S74&lt;3618,3618,S73/S74))</f>
        <v>#DIV/0!</v>
      </c>
      <c r="T75" s="1442"/>
      <c r="U75" s="1441" t="e">
        <f>IF(U74=0,0,IF(U73/U74&lt;3618,3618,U73/U74))</f>
        <v>#DIV/0!</v>
      </c>
      <c r="V75" s="1442"/>
      <c r="W75" s="1441">
        <f>IF(W74=0,0,IF(W73/W74&lt;84.777,84.777,W73/W74))</f>
        <v>0</v>
      </c>
      <c r="X75" s="1442"/>
      <c r="Y75" s="1441">
        <f>IF(Y74=0,0,IF(Y73/Y74&lt;84.777,84.777,Y73/Y74))</f>
        <v>0</v>
      </c>
      <c r="Z75" s="1577"/>
      <c r="AA75" s="1572" t="e">
        <f>IF(AA74=0,0,IF(AA73/AA74&lt;3618,3618,AA73/AA74))</f>
        <v>#DIV/0!</v>
      </c>
      <c r="AB75" s="1502"/>
      <c r="AC75" s="1501" t="e">
        <f>IF(AC74=0,0,IF(AC73/AC74&lt;3618,3618,AC73/AC74))</f>
        <v>#DIV/0!</v>
      </c>
      <c r="AD75" s="1502"/>
      <c r="AE75" s="1501">
        <f>IF(AE74=0,0,IF(AE73/AE74&lt;84.777,84.777,AE73/AE74))</f>
        <v>0</v>
      </c>
      <c r="AF75" s="1502"/>
      <c r="AG75" s="1501">
        <f>IF(AG74=0,0,IF(AG73/AG74&lt;84.777,84.777,AG73/AG74))</f>
        <v>0</v>
      </c>
      <c r="AH75" s="1586"/>
      <c r="AI75" s="1579" t="e">
        <f>IF(AI74=0,0,IF(AI73/AI74&lt;3618,3618,AI73/AI74))</f>
        <v>#DIV/0!</v>
      </c>
      <c r="AJ75" s="1504"/>
      <c r="AK75" s="1503" t="e">
        <f>IF(AK74=0,0,IF(AK73/AK74&lt;3618,3618,AK73/AK74))</f>
        <v>#DIV/0!</v>
      </c>
      <c r="AL75" s="1504"/>
      <c r="AM75" s="1503">
        <f>IF(AM74=0,0,IF(AM73/AM74&lt;84.777,84.777,AM73/AM74))</f>
        <v>0</v>
      </c>
      <c r="AN75" s="1504"/>
      <c r="AO75" s="1503">
        <f>IF(AO74=0,0,IF(AO73/AO74&lt;84.777,84.777,AO73/AO74))</f>
        <v>0</v>
      </c>
      <c r="AP75" s="1597"/>
      <c r="AQ75" s="1590" t="e">
        <f>IF(AQ74=0,0,IF(AQ73/AQ74&lt;3618,3618,AQ73/AQ74))</f>
        <v>#DIV/0!</v>
      </c>
      <c r="AR75" s="1506"/>
      <c r="AS75" s="1505" t="e">
        <f>IF(AS74=0,0,IF(AS73/AS74&lt;3618,3618,AS73/AS74))</f>
        <v>#DIV/0!</v>
      </c>
      <c r="AT75" s="1506"/>
      <c r="AU75" s="1505">
        <f>IF(AU74=0,0,IF(AU73/AU74&lt;84.777,84.777,AU73/AU74))</f>
        <v>0</v>
      </c>
      <c r="AV75" s="1506"/>
      <c r="AW75" s="1505">
        <f>IF(AW74=0,0,IF(AW73/AW74&lt;84.777,84.777,AW73/AW74))</f>
        <v>0</v>
      </c>
      <c r="AX75" s="1609"/>
      <c r="AY75" s="1601" t="e">
        <f>IF(AY74=0,0,IF(AY73/AY74&lt;3618,3618,AY73/AY74))</f>
        <v>#DIV/0!</v>
      </c>
      <c r="AZ75" s="1508"/>
      <c r="BA75" s="1507" t="e">
        <f>IF(BA74=0,0,IF(BA73/BA74&lt;3618,3618,BA73/BA74))</f>
        <v>#DIV/0!</v>
      </c>
      <c r="BB75" s="1508"/>
      <c r="BC75" s="1507">
        <f>IF(BC74=0,0,IF(BC73/BC74&lt;84.777,84.777,BC73/BC74))</f>
        <v>0</v>
      </c>
      <c r="BD75" s="1508"/>
      <c r="BE75" s="1507">
        <f>IF(BE74=0,0,IF(BE73/BE74&lt;84.777,84.777,BE73/BE74))</f>
        <v>0</v>
      </c>
      <c r="BF75" s="1612"/>
      <c r="BG75" s="1774" t="e">
        <f>IF(BG74=0,0,IF(BG73/BG74&lt;3618,3618,BG73/BG74))</f>
        <v>#DIV/0!</v>
      </c>
      <c r="BH75" s="1775"/>
      <c r="BI75" s="1776" t="e">
        <f>IF(BI74=0,0,IF(BI73/BI74&lt;3618,3618,BI73/BI74))</f>
        <v>#DIV/0!</v>
      </c>
      <c r="BJ75" s="1775"/>
      <c r="BK75" s="1776">
        <f>IF(BK74=0,0,IF(BK73/BK74&lt;84.777,84.777,BK73/BK74))</f>
        <v>0</v>
      </c>
      <c r="BL75" s="1775"/>
      <c r="BM75" s="1776">
        <f>IF(BM74=0,0,IF(BM73/BM74&lt;84.777,84.777,BM73/BM74))</f>
        <v>0</v>
      </c>
      <c r="BN75" s="1766"/>
    </row>
    <row r="76" spans="1:66">
      <c r="A76" s="71"/>
      <c r="C76" s="2359" t="e">
        <f>IF(OR('Data Entry - SOF'!C140=0,C75=0),0,IF('Data Entry - SOF'!C140&gt;C75,(C75*'Data Entry - SOF'!C139)/C75,('Data Entry - SOF'!C140*'Data Entry - SOF'!C139)/C75))</f>
        <v>#REF!</v>
      </c>
      <c r="D76" s="2057"/>
      <c r="E76" s="2359" t="e">
        <f>C76</f>
        <v>#REF!</v>
      </c>
      <c r="F76" s="2057"/>
      <c r="G76" s="2359" t="e">
        <f>IF(OR('Data Entry - SOF'!C140=0,G75=0),0,IF('Data Entry - SOF'!C140&gt;G75,(G75*'Data Entry - SOF'!C139)/G75,('Data Entry - SOF'!C140*'Data Entry - SOF'!C139)/G75))</f>
        <v>#REF!</v>
      </c>
      <c r="H76" s="2057"/>
      <c r="I76" s="2080" t="e">
        <f>G76</f>
        <v>#REF!</v>
      </c>
      <c r="K76" s="1452" t="e">
        <f>IF(OR('Data Entry - SOF'!#REF!=0,K75=0),0,IF('Data Entry - SOF'!#REF!&gt;K75,(K75*'Data Entry - SOF'!#REF!)/K75,('Data Entry - SOF'!#REF!*'Data Entry - SOF'!#REF!)/K75))</f>
        <v>#REF!</v>
      </c>
      <c r="L76" s="1453"/>
      <c r="M76" s="1452" t="e">
        <f>K76</f>
        <v>#REF!</v>
      </c>
      <c r="N76" s="1453"/>
      <c r="O76" s="1452" t="e">
        <f>IF(OR('Data Entry - SOF'!#REF!=0,O75=0),0,IF('Data Entry - SOF'!#REF!&gt;O75,(O75*'Data Entry - SOF'!#REF!)/O75,('Data Entry - SOF'!#REF!*'Data Entry - SOF'!#REF!)/O75))</f>
        <v>#REF!</v>
      </c>
      <c r="P76" s="1453"/>
      <c r="Q76" s="1464" t="e">
        <f>O76</f>
        <v>#REF!</v>
      </c>
      <c r="R76" s="1568"/>
      <c r="S76" s="1563" t="e">
        <f>IF(OR('Data Entry - SOF'!E140=0,S75=0),0,IF('Data Entry - SOF'!E140&gt;S75,(S75*'Data Entry - SOF'!E139)/S75,('Data Entry - SOF'!E140*'Data Entry - SOF'!E139)/S75))</f>
        <v>#DIV/0!</v>
      </c>
      <c r="T76" s="1442"/>
      <c r="U76" s="1441" t="e">
        <f>S76</f>
        <v>#DIV/0!</v>
      </c>
      <c r="V76" s="1442"/>
      <c r="W76" s="1441">
        <f>IF(OR('Data Entry - SOF'!E140=0,W75=0),0,IF('Data Entry - SOF'!E140&gt;W75,(W75*'Data Entry - SOF'!E139)/W75,('Data Entry - SOF'!E140*'Data Entry - SOF'!E139)/W75))</f>
        <v>0</v>
      </c>
      <c r="X76" s="1442"/>
      <c r="Y76" s="1441">
        <f>W76</f>
        <v>0</v>
      </c>
      <c r="Z76" s="1577"/>
      <c r="AA76" s="1572" t="e">
        <f>IF(OR('Data Entry - SOF'!G140=0,AA75=0),0,IF('Data Entry - SOF'!G140&gt;AA75,(AA75*'Data Entry - SOF'!G139)/AA75,('Data Entry - SOF'!G140*'Data Entry - SOF'!G139)/AA75))</f>
        <v>#DIV/0!</v>
      </c>
      <c r="AB76" s="1502"/>
      <c r="AC76" s="1501" t="e">
        <f>AA76</f>
        <v>#DIV/0!</v>
      </c>
      <c r="AD76" s="1502"/>
      <c r="AE76" s="1501">
        <f>IF(OR('Data Entry - SOF'!G140=0,AE75=0),0,IF('Data Entry - SOF'!G140&gt;AE75,(AE75*'Data Entry - SOF'!G139)/AE75,('Data Entry - SOF'!G140*'Data Entry - SOF'!G139)/AE75))</f>
        <v>0</v>
      </c>
      <c r="AF76" s="1502"/>
      <c r="AG76" s="1501">
        <f>AE76</f>
        <v>0</v>
      </c>
      <c r="AH76" s="1586"/>
      <c r="AI76" s="1579" t="e">
        <f>IF(OR('Data Entry - SOF'!M140=0,AI75=0),0,IF('Data Entry - SOF'!M140&gt;AI75,(AI75*'Data Entry - SOF'!M139)/AI75,('Data Entry - SOF'!M140*'Data Entry - SOF'!M139)/AI75))</f>
        <v>#DIV/0!</v>
      </c>
      <c r="AJ76" s="1504"/>
      <c r="AK76" s="1503" t="e">
        <f>AI76</f>
        <v>#DIV/0!</v>
      </c>
      <c r="AL76" s="1504"/>
      <c r="AM76" s="1503">
        <f>IF(OR('Data Entry - SOF'!M140=0,AM75=0),0,IF('Data Entry - SOF'!M140&gt;AM75,(AM75*'Data Entry - SOF'!M139)/AM75,('Data Entry - SOF'!M140*'Data Entry - SOF'!M139)/AM75))</f>
        <v>0</v>
      </c>
      <c r="AN76" s="1504"/>
      <c r="AO76" s="1503">
        <f>AM76</f>
        <v>0</v>
      </c>
      <c r="AP76" s="1597"/>
      <c r="AQ76" s="1590" t="e">
        <f>IF(OR('Data Entry - SOF'!O140=0,AQ75=0),0,IF('Data Entry - SOF'!O140&gt;AQ75,(AQ75*'Data Entry - SOF'!O139)/AQ75,('Data Entry - SOF'!O140*'Data Entry - SOF'!O139)/AQ75))</f>
        <v>#DIV/0!</v>
      </c>
      <c r="AR76" s="1506"/>
      <c r="AS76" s="1505" t="e">
        <f>AQ76</f>
        <v>#DIV/0!</v>
      </c>
      <c r="AT76" s="1506"/>
      <c r="AU76" s="1505">
        <f>IF(OR('Data Entry - SOF'!O140=0,AU75=0),0,IF('Data Entry - SOF'!O140&gt;AU75,(AU75*'Data Entry - SOF'!O139)/AU75,('Data Entry - SOF'!O140*'Data Entry - SOF'!O139)/AU75))</f>
        <v>0</v>
      </c>
      <c r="AV76" s="1506"/>
      <c r="AW76" s="1505">
        <f>AU76</f>
        <v>0</v>
      </c>
      <c r="AX76" s="1609"/>
      <c r="AY76" s="1601" t="e">
        <f>IF(OR('Data Entry - SOF'!Q140=0,AY75=0),0,IF('Data Entry - SOF'!Q140&gt;AY75,(AY75*'Data Entry - SOF'!Q139)/AY75,('Data Entry - SOF'!Q140*'Data Entry - SOF'!Q139)/AY75))</f>
        <v>#DIV/0!</v>
      </c>
      <c r="AZ76" s="1508"/>
      <c r="BA76" s="1507" t="e">
        <f>AY76</f>
        <v>#DIV/0!</v>
      </c>
      <c r="BB76" s="1508"/>
      <c r="BC76" s="1507">
        <f>IF(OR('Data Entry - SOF'!Q140=0,BC75=0),0,IF('Data Entry - SOF'!Q140&gt;BC75,(BC75*'Data Entry - SOF'!Q139)/BC75,('Data Entry - SOF'!Q140*'Data Entry - SOF'!Q139)/BC75))</f>
        <v>0</v>
      </c>
      <c r="BD76" s="1508"/>
      <c r="BE76" s="1507">
        <f>BC76</f>
        <v>0</v>
      </c>
      <c r="BF76" s="1612"/>
      <c r="BG76" s="1774" t="e">
        <f>IF(OR('Data Entry - SOF'!S140=0,BG75=0),0,IF('Data Entry - SOF'!S140&gt;BG75,(BG75*'Data Entry - SOF'!S139)/BG75,('Data Entry - SOF'!S140*'Data Entry - SOF'!S139)/BG75))</f>
        <v>#DIV/0!</v>
      </c>
      <c r="BH76" s="1775"/>
      <c r="BI76" s="1776" t="e">
        <f>BG76</f>
        <v>#DIV/0!</v>
      </c>
      <c r="BJ76" s="1775"/>
      <c r="BK76" s="1776">
        <f>IF(OR('Data Entry - SOF'!S140=0,BK75=0),0,IF('Data Entry - SOF'!S140&gt;BK75,(BK75*'Data Entry - SOF'!S139)/BK75,('Data Entry - SOF'!S140*'Data Entry - SOF'!S139)/BK75))</f>
        <v>0</v>
      </c>
      <c r="BL76" s="1775"/>
      <c r="BM76" s="1776">
        <f>BK76</f>
        <v>0</v>
      </c>
      <c r="BN76" s="1766"/>
    </row>
    <row r="77" spans="1:66">
      <c r="A77" s="71"/>
      <c r="C77" s="2359">
        <v>0</v>
      </c>
      <c r="D77" s="2011"/>
      <c r="E77" s="2359">
        <v>0</v>
      </c>
      <c r="F77" s="2011"/>
      <c r="G77" s="2359">
        <v>0</v>
      </c>
      <c r="H77" s="2011"/>
      <c r="I77" s="2011">
        <v>0</v>
      </c>
      <c r="K77" s="1452">
        <v>0</v>
      </c>
      <c r="L77" s="1453"/>
      <c r="M77" s="1452">
        <v>0</v>
      </c>
      <c r="N77" s="1453"/>
      <c r="O77" s="1452">
        <v>0</v>
      </c>
      <c r="P77" s="1453"/>
      <c r="Q77" s="1464">
        <v>0</v>
      </c>
      <c r="R77" s="1568"/>
      <c r="S77" s="1563">
        <v>0</v>
      </c>
      <c r="T77" s="1442"/>
      <c r="U77" s="1441">
        <v>0</v>
      </c>
      <c r="V77" s="1442"/>
      <c r="W77" s="1441">
        <v>0</v>
      </c>
      <c r="X77" s="1442"/>
      <c r="Y77" s="1441">
        <v>0</v>
      </c>
      <c r="Z77" s="1577"/>
      <c r="AA77" s="1572">
        <v>0</v>
      </c>
      <c r="AB77" s="1502"/>
      <c r="AC77" s="1501">
        <v>0</v>
      </c>
      <c r="AD77" s="1502"/>
      <c r="AE77" s="1501">
        <v>0</v>
      </c>
      <c r="AF77" s="1502"/>
      <c r="AG77" s="1501">
        <v>0</v>
      </c>
      <c r="AH77" s="1586"/>
      <c r="AI77" s="1579">
        <v>0</v>
      </c>
      <c r="AJ77" s="1504"/>
      <c r="AK77" s="1503">
        <v>0</v>
      </c>
      <c r="AL77" s="1504"/>
      <c r="AM77" s="1503">
        <v>0</v>
      </c>
      <c r="AN77" s="1504"/>
      <c r="AO77" s="1503">
        <v>0</v>
      </c>
      <c r="AP77" s="1597"/>
      <c r="AQ77" s="1590">
        <v>0</v>
      </c>
      <c r="AR77" s="1506"/>
      <c r="AS77" s="1505">
        <v>0</v>
      </c>
      <c r="AT77" s="1506"/>
      <c r="AU77" s="1505">
        <v>0</v>
      </c>
      <c r="AV77" s="1506"/>
      <c r="AW77" s="1505">
        <v>0</v>
      </c>
      <c r="AX77" s="1609"/>
      <c r="AY77" s="1601">
        <v>0</v>
      </c>
      <c r="AZ77" s="1508"/>
      <c r="BA77" s="1507">
        <v>0</v>
      </c>
      <c r="BB77" s="1508"/>
      <c r="BC77" s="1507">
        <v>0</v>
      </c>
      <c r="BD77" s="1508"/>
      <c r="BE77" s="1507">
        <v>0</v>
      </c>
      <c r="BF77" s="1612"/>
      <c r="BG77" s="1774">
        <v>0</v>
      </c>
      <c r="BH77" s="1775"/>
      <c r="BI77" s="1776">
        <v>0</v>
      </c>
      <c r="BJ77" s="1775"/>
      <c r="BK77" s="1776">
        <v>0</v>
      </c>
      <c r="BL77" s="1775"/>
      <c r="BM77" s="1776">
        <v>0</v>
      </c>
      <c r="BN77" s="1766"/>
    </row>
    <row r="78" spans="1:66">
      <c r="A78" s="71"/>
      <c r="C78" s="2359" t="e">
        <f>IF(C74-C76-C77&lt;0,0,C74-C76-C77)</f>
        <v>#REF!</v>
      </c>
      <c r="D78" s="2057"/>
      <c r="E78" s="2359" t="e">
        <f>IF(E74-E76-E77&lt;0,0,E74-E76-E77)</f>
        <v>#REF!</v>
      </c>
      <c r="F78" s="2057"/>
      <c r="G78" s="2359" t="e">
        <f>IF(G74-G76-G77&lt;0,0,G74-G76-G77)</f>
        <v>#REF!</v>
      </c>
      <c r="H78" s="2057"/>
      <c r="I78" s="2080" t="e">
        <f>IF(I74-I76-I77&lt;0,0,I74-I76-I77)</f>
        <v>#REF!</v>
      </c>
      <c r="K78" s="1452" t="e">
        <f>IF(K74-K76-K77&lt;0,0,K74-K76-K77)</f>
        <v>#REF!</v>
      </c>
      <c r="L78" s="1453"/>
      <c r="M78" s="1452" t="e">
        <f>IF(M74-M76-M77&lt;0,0,M74-M76-M77)</f>
        <v>#REF!</v>
      </c>
      <c r="N78" s="1453"/>
      <c r="O78" s="1452" t="e">
        <f>IF(O74-O76-O77&lt;0,0,O74-O76-O77)</f>
        <v>#REF!</v>
      </c>
      <c r="P78" s="1453"/>
      <c r="Q78" s="1464" t="e">
        <f>IF(Q74-Q76-Q77&lt;0,0,Q74-Q76-Q77)</f>
        <v>#REF!</v>
      </c>
      <c r="R78" s="1568"/>
      <c r="S78" s="1563" t="e">
        <f>IF(S74-S76-S77&lt;0,0,S74-S76-S77)</f>
        <v>#DIV/0!</v>
      </c>
      <c r="T78" s="1442"/>
      <c r="U78" s="1441" t="e">
        <f>IF(U74-U76-U77&lt;0,0,U74-U76-U77)</f>
        <v>#DIV/0!</v>
      </c>
      <c r="V78" s="1442"/>
      <c r="W78" s="1441">
        <f>IF(W74-W76-W77&lt;0,0,W74-W76-W77)</f>
        <v>0</v>
      </c>
      <c r="X78" s="1442"/>
      <c r="Y78" s="1441">
        <f>IF(Y74-Y76-Y77&lt;0,0,Y74-Y76-Y77)</f>
        <v>0</v>
      </c>
      <c r="Z78" s="1577"/>
      <c r="AA78" s="1572" t="e">
        <f>IF(AA74-AA76-AA77&lt;0,0,AA74-AA76-AA77)</f>
        <v>#DIV/0!</v>
      </c>
      <c r="AB78" s="1502"/>
      <c r="AC78" s="1501" t="e">
        <f>IF(AC74-AC76-AC77&lt;0,0,AC74-AC76-AC77)</f>
        <v>#DIV/0!</v>
      </c>
      <c r="AD78" s="1502"/>
      <c r="AE78" s="1501">
        <f>IF(AE74-AE76-AE77&lt;0,0,AE74-AE76-AE77)</f>
        <v>0</v>
      </c>
      <c r="AF78" s="1502"/>
      <c r="AG78" s="1501">
        <f>IF(AG74-AG76-AG77&lt;0,0,AG74-AG76-AG77)</f>
        <v>0</v>
      </c>
      <c r="AH78" s="1586"/>
      <c r="AI78" s="1579" t="e">
        <f>IF(AI74-AI76-AI77&lt;0,0,AI74-AI76-AI77)</f>
        <v>#DIV/0!</v>
      </c>
      <c r="AJ78" s="1504"/>
      <c r="AK78" s="1503" t="e">
        <f>IF(AK74-AK76-AK77&lt;0,0,AK74-AK76-AK77)</f>
        <v>#DIV/0!</v>
      </c>
      <c r="AL78" s="1504"/>
      <c r="AM78" s="1503">
        <f>IF(AM74-AM76-AM77&lt;0,0,AM74-AM76-AM77)</f>
        <v>0</v>
      </c>
      <c r="AN78" s="1504"/>
      <c r="AO78" s="1503">
        <f>IF(AO74-AO76-AO77&lt;0,0,AO74-AO76-AO77)</f>
        <v>0</v>
      </c>
      <c r="AP78" s="1597"/>
      <c r="AQ78" s="1590" t="e">
        <f>IF(AQ74-AQ76-AQ77&lt;0,0,AQ74-AQ76-AQ77)</f>
        <v>#DIV/0!</v>
      </c>
      <c r="AR78" s="1506"/>
      <c r="AS78" s="1505" t="e">
        <f>IF(AS74-AS76-AS77&lt;0,0,AS74-AS76-AS77)</f>
        <v>#DIV/0!</v>
      </c>
      <c r="AT78" s="1506"/>
      <c r="AU78" s="1505">
        <f>IF(AU74-AU76-AU77&lt;0,0,AU74-AU76-AU77)</f>
        <v>0</v>
      </c>
      <c r="AV78" s="1506"/>
      <c r="AW78" s="1505">
        <f>IF(AW74-AW76-AW77&lt;0,0,AW74-AW76-AW77)</f>
        <v>0</v>
      </c>
      <c r="AX78" s="1609"/>
      <c r="AY78" s="1601" t="e">
        <f>IF(AY74-AY76-AY77&lt;0,0,AY74-AY76-AY77)</f>
        <v>#DIV/0!</v>
      </c>
      <c r="AZ78" s="1508"/>
      <c r="BA78" s="1507" t="e">
        <f>IF(BA74-BA76-BA77&lt;0,0,BA74-BA76-BA77)</f>
        <v>#DIV/0!</v>
      </c>
      <c r="BB78" s="1508"/>
      <c r="BC78" s="1507">
        <f>IF(BC74-BC76-BC77&lt;0,0,BC74-BC76-BC77)</f>
        <v>0</v>
      </c>
      <c r="BD78" s="1508"/>
      <c r="BE78" s="1507">
        <f>IF(BE74-BE76-BE77&lt;0,0,BE74-BE76-BE77)</f>
        <v>0</v>
      </c>
      <c r="BF78" s="1612"/>
      <c r="BG78" s="1774" t="e">
        <f>IF(BG74-BG76-BG77&lt;0,0,BG74-BG76-BG77)</f>
        <v>#DIV/0!</v>
      </c>
      <c r="BH78" s="1775"/>
      <c r="BI78" s="1776" t="e">
        <f>IF(BI74-BI76-BI77&lt;0,0,BI74-BI76-BI77)</f>
        <v>#DIV/0!</v>
      </c>
      <c r="BJ78" s="1775"/>
      <c r="BK78" s="1776">
        <f>IF(BK74-BK76-BK77&lt;0,0,BK74-BK76-BK77)</f>
        <v>0</v>
      </c>
      <c r="BL78" s="1775"/>
      <c r="BM78" s="1776">
        <f>IF(BM74-BM76-BM77&lt;0,0,BM74-BM76-BM77)</f>
        <v>0</v>
      </c>
      <c r="BN78" s="1766"/>
    </row>
    <row r="79" spans="1:66">
      <c r="A79" s="71"/>
      <c r="C79" s="2083" t="e">
        <f>IF(C78=0,0,C78*C75)</f>
        <v>#REF!</v>
      </c>
      <c r="D79" s="2057"/>
      <c r="E79" s="2083" t="e">
        <f>IF(E78=0,0,E78*E75)</f>
        <v>#REF!</v>
      </c>
      <c r="F79" s="2057"/>
      <c r="G79" s="2083" t="e">
        <f>IF(G78=0,0,G78*G75)</f>
        <v>#REF!</v>
      </c>
      <c r="H79" s="2057"/>
      <c r="I79" s="2084" t="e">
        <f>IF(I78=0,0,I78*I75)</f>
        <v>#REF!</v>
      </c>
      <c r="K79" s="1454" t="e">
        <f>IF(K78=0,0,K78*K75)</f>
        <v>#REF!</v>
      </c>
      <c r="L79" s="1455"/>
      <c r="M79" s="1454" t="e">
        <f>IF(M78=0,0,M78*M75)</f>
        <v>#REF!</v>
      </c>
      <c r="N79" s="1455"/>
      <c r="O79" s="1454" t="e">
        <f>IF(O78=0,0,O78*O75)</f>
        <v>#REF!</v>
      </c>
      <c r="P79" s="1455"/>
      <c r="Q79" s="1463" t="e">
        <f>IF(Q78=0,0,Q78*Q75)</f>
        <v>#REF!</v>
      </c>
      <c r="R79" s="1570"/>
      <c r="S79" s="1564" t="e">
        <f>IF(S78=0,0,S78*S75)</f>
        <v>#DIV/0!</v>
      </c>
      <c r="T79" s="1440"/>
      <c r="U79" s="1439" t="e">
        <f>IF(U78=0,0,U78*U75)</f>
        <v>#DIV/0!</v>
      </c>
      <c r="V79" s="1440"/>
      <c r="W79" s="1439">
        <f>IF(W78=0,0,W78*W75)</f>
        <v>0</v>
      </c>
      <c r="X79" s="1440"/>
      <c r="Y79" s="1439">
        <f>IF(Y78=0,0,Y78*Y75)</f>
        <v>0</v>
      </c>
      <c r="Z79" s="1561"/>
      <c r="AA79" s="1573" t="e">
        <f>IF(AA78=0,0,AA78*AA75)</f>
        <v>#DIV/0!</v>
      </c>
      <c r="AB79" s="1510"/>
      <c r="AC79" s="1509" t="e">
        <f>IF(AC78=0,0,AC78*AC75)</f>
        <v>#DIV/0!</v>
      </c>
      <c r="AD79" s="1510"/>
      <c r="AE79" s="1509">
        <f>IF(AE78=0,0,AE78*AE75)</f>
        <v>0</v>
      </c>
      <c r="AF79" s="1510"/>
      <c r="AG79" s="1509">
        <f>IF(AG78=0,0,AG78*AG75)</f>
        <v>0</v>
      </c>
      <c r="AH79" s="1587"/>
      <c r="AI79" s="1426" t="e">
        <f>IF(AI78=0,0,AI78*AI75)</f>
        <v>#DIV/0!</v>
      </c>
      <c r="AJ79" s="1512"/>
      <c r="AK79" s="1511" t="e">
        <f>IF(AK78=0,0,AK78*AK75)</f>
        <v>#DIV/0!</v>
      </c>
      <c r="AL79" s="1512"/>
      <c r="AM79" s="1511">
        <f>IF(AM78=0,0,AM78*AM75)</f>
        <v>0</v>
      </c>
      <c r="AN79" s="1512"/>
      <c r="AO79" s="1511">
        <f>IF(AO78=0,0,AO78*AO75)</f>
        <v>0</v>
      </c>
      <c r="AP79" s="1598"/>
      <c r="AQ79" s="1591" t="e">
        <f>IF(AQ78=0,0,AQ78*AQ75)</f>
        <v>#DIV/0!</v>
      </c>
      <c r="AR79" s="1514"/>
      <c r="AS79" s="1513" t="e">
        <f>IF(AS78=0,0,AS78*AS75)</f>
        <v>#DIV/0!</v>
      </c>
      <c r="AT79" s="1514"/>
      <c r="AU79" s="1513">
        <f>IF(AU78=0,0,AU78*AU75)</f>
        <v>0</v>
      </c>
      <c r="AV79" s="1514"/>
      <c r="AW79" s="1513">
        <f>IF(AW78=0,0,AW78*AW75)</f>
        <v>0</v>
      </c>
      <c r="AX79" s="1610"/>
      <c r="AY79" s="1602" t="e">
        <f>IF(AY78=0,0,AY78*AY75)</f>
        <v>#DIV/0!</v>
      </c>
      <c r="AZ79" s="1516"/>
      <c r="BA79" s="1515" t="e">
        <f>IF(BA78=0,0,BA78*BA75)</f>
        <v>#DIV/0!</v>
      </c>
      <c r="BB79" s="1516"/>
      <c r="BC79" s="1515">
        <f>IF(BC78=0,0,BC78*BC75)</f>
        <v>0</v>
      </c>
      <c r="BD79" s="1516"/>
      <c r="BE79" s="1515">
        <f>IF(BE78=0,0,BE78*BE75)</f>
        <v>0</v>
      </c>
      <c r="BF79" s="1612"/>
      <c r="BG79" s="1777" t="e">
        <f>IF(BG78=0,0,BG78*BG75)</f>
        <v>#DIV/0!</v>
      </c>
      <c r="BH79" s="1778"/>
      <c r="BI79" s="1779" t="e">
        <f>IF(BI78=0,0,BI78*BI75)</f>
        <v>#DIV/0!</v>
      </c>
      <c r="BJ79" s="1778"/>
      <c r="BK79" s="1779">
        <f>IF(BK78=0,0,BK78*BK75)</f>
        <v>0</v>
      </c>
      <c r="BL79" s="1778"/>
      <c r="BM79" s="1779">
        <f>IF(BM78=0,0,BM78*BM75)</f>
        <v>0</v>
      </c>
      <c r="BN79" s="1766"/>
    </row>
    <row r="80" spans="1:66">
      <c r="A80" s="71"/>
      <c r="D80" s="2057"/>
      <c r="F80" s="2057"/>
      <c r="H80" s="2057"/>
      <c r="I80" s="2070"/>
      <c r="Q80" s="1540"/>
      <c r="R80" s="1570"/>
      <c r="S80" s="1440"/>
      <c r="T80" s="1440"/>
      <c r="U80" s="1440"/>
      <c r="V80" s="1440"/>
      <c r="W80" s="1440"/>
      <c r="X80" s="1440"/>
      <c r="Y80" s="1440"/>
      <c r="Z80" s="1561"/>
      <c r="AA80" s="1510"/>
      <c r="AB80" s="1510"/>
      <c r="AC80" s="1510"/>
      <c r="AD80" s="1510"/>
      <c r="AE80" s="1510"/>
      <c r="AF80" s="1510"/>
      <c r="AG80" s="1510"/>
      <c r="AH80" s="1587"/>
      <c r="AI80" s="1512"/>
      <c r="AJ80" s="1512"/>
      <c r="AK80" s="1512"/>
      <c r="AL80" s="1512"/>
      <c r="AM80" s="1512"/>
      <c r="AN80" s="1512"/>
      <c r="AO80" s="1512"/>
      <c r="AP80" s="1598"/>
      <c r="AQ80" s="1514"/>
      <c r="AR80" s="1514"/>
      <c r="AS80" s="1514"/>
      <c r="AT80" s="1514"/>
      <c r="AU80" s="1514"/>
      <c r="AV80" s="1514"/>
      <c r="AW80" s="1514"/>
      <c r="AX80" s="1610"/>
      <c r="AY80" s="1516"/>
      <c r="AZ80" s="1516"/>
      <c r="BA80" s="1516"/>
      <c r="BB80" s="1516"/>
      <c r="BC80" s="1516"/>
      <c r="BD80" s="1516"/>
      <c r="BE80" s="1516"/>
      <c r="BF80" s="1612"/>
      <c r="BG80" s="1778"/>
      <c r="BH80" s="1778"/>
      <c r="BI80" s="1778"/>
      <c r="BJ80" s="1778"/>
      <c r="BK80" s="1778"/>
      <c r="BL80" s="1778"/>
      <c r="BM80" s="1778"/>
      <c r="BN80" s="1766"/>
    </row>
    <row r="81" spans="1:66">
      <c r="A81" s="71"/>
      <c r="D81" s="2057"/>
      <c r="F81" s="2057"/>
      <c r="H81" s="2057"/>
      <c r="I81" s="2070"/>
      <c r="Q81" s="1540"/>
      <c r="R81" s="1570"/>
      <c r="S81" s="1440"/>
      <c r="T81" s="1440"/>
      <c r="U81" s="1440"/>
      <c r="V81" s="1440"/>
      <c r="W81" s="1440"/>
      <c r="X81" s="1440"/>
      <c r="Y81" s="1440"/>
      <c r="Z81" s="1561"/>
      <c r="AA81" s="1510"/>
      <c r="AB81" s="1510"/>
      <c r="AC81" s="1510"/>
      <c r="AD81" s="1510"/>
      <c r="AE81" s="1510"/>
      <c r="AF81" s="1510"/>
      <c r="AG81" s="1510"/>
      <c r="AH81" s="1587"/>
      <c r="AI81" s="1512"/>
      <c r="AJ81" s="1512"/>
      <c r="AK81" s="1512"/>
      <c r="AL81" s="1512"/>
      <c r="AM81" s="1512"/>
      <c r="AN81" s="1512"/>
      <c r="AO81" s="1512"/>
      <c r="AP81" s="1598"/>
      <c r="AQ81" s="1514"/>
      <c r="AR81" s="1514"/>
      <c r="AS81" s="1514"/>
      <c r="AT81" s="1514"/>
      <c r="AU81" s="1514"/>
      <c r="AV81" s="1514"/>
      <c r="AW81" s="1514"/>
      <c r="AX81" s="1610"/>
      <c r="AY81" s="1516"/>
      <c r="AZ81" s="1516"/>
      <c r="BA81" s="1516"/>
      <c r="BB81" s="1516"/>
      <c r="BC81" s="1516"/>
      <c r="BD81" s="1516"/>
      <c r="BE81" s="1516"/>
      <c r="BF81" s="1612"/>
      <c r="BG81" s="1778"/>
      <c r="BH81" s="1778"/>
      <c r="BI81" s="1778"/>
      <c r="BJ81" s="1778"/>
      <c r="BK81" s="1778"/>
      <c r="BL81" s="1778"/>
      <c r="BM81" s="1778"/>
      <c r="BN81" s="1766"/>
    </row>
    <row r="82" spans="1:66">
      <c r="A82" s="71"/>
      <c r="C82" s="2368" t="e">
        <f>IF(C134&gt;C135,C135,C134)</f>
        <v>#REF!</v>
      </c>
      <c r="D82" s="2057"/>
      <c r="E82" s="2368">
        <v>0</v>
      </c>
      <c r="F82" s="2057"/>
      <c r="G82" s="2368" t="e">
        <f>IF(G134&gt;G135,G135,G134)</f>
        <v>#REF!</v>
      </c>
      <c r="H82" s="2057"/>
      <c r="I82" s="2369">
        <v>0</v>
      </c>
      <c r="K82" s="1547" t="e">
        <f>IF(K134&gt;K135,K135,K134)</f>
        <v>#REF!</v>
      </c>
      <c r="L82" s="1484"/>
      <c r="M82" s="1483">
        <v>0</v>
      </c>
      <c r="N82" s="1484"/>
      <c r="O82" s="1547" t="e">
        <f>IF(O134&gt;O135,O135,O134)</f>
        <v>#REF!</v>
      </c>
      <c r="P82" s="1484"/>
      <c r="Q82" s="1463">
        <v>0</v>
      </c>
      <c r="R82" s="1570"/>
      <c r="S82" s="1564" t="e">
        <f>IF(S134&gt;S135,S135,S134)</f>
        <v>#DIV/0!</v>
      </c>
      <c r="T82" s="1440"/>
      <c r="U82" s="1439">
        <v>0</v>
      </c>
      <c r="V82" s="1440"/>
      <c r="W82" s="1439">
        <f>IF(W134&gt;W135,W135,W134)</f>
        <v>0</v>
      </c>
      <c r="X82" s="1440"/>
      <c r="Y82" s="1439">
        <v>0</v>
      </c>
      <c r="Z82" s="1561"/>
      <c r="AA82" s="1573" t="e">
        <f>IF(AA134&gt;AA135,AA135,AA134)</f>
        <v>#DIV/0!</v>
      </c>
      <c r="AB82" s="1510"/>
      <c r="AC82" s="1509">
        <v>0</v>
      </c>
      <c r="AD82" s="1510"/>
      <c r="AE82" s="1509">
        <f>IF(AE134&gt;AE135,AE135,AE134)</f>
        <v>0</v>
      </c>
      <c r="AF82" s="1510"/>
      <c r="AG82" s="1509">
        <v>0</v>
      </c>
      <c r="AH82" s="1587"/>
      <c r="AI82" s="1426" t="e">
        <f>IF(AI134&gt;AI135,AI135,AI134)</f>
        <v>#DIV/0!</v>
      </c>
      <c r="AJ82" s="1512"/>
      <c r="AK82" s="1511">
        <v>0</v>
      </c>
      <c r="AL82" s="1512"/>
      <c r="AM82" s="1511">
        <f>IF(AM134&gt;AM135,AM135,AM134)</f>
        <v>0</v>
      </c>
      <c r="AN82" s="1512"/>
      <c r="AO82" s="1511">
        <v>0</v>
      </c>
      <c r="AP82" s="1598"/>
      <c r="AQ82" s="1591" t="e">
        <f>IF(AQ134&gt;AQ135,AQ135,AQ134)</f>
        <v>#DIV/0!</v>
      </c>
      <c r="AR82" s="1514"/>
      <c r="AS82" s="1513">
        <v>0</v>
      </c>
      <c r="AT82" s="1514"/>
      <c r="AU82" s="1513">
        <f>IF(AU134&gt;AU135,AU135,AU134)</f>
        <v>0</v>
      </c>
      <c r="AV82" s="1514"/>
      <c r="AW82" s="1513">
        <v>0</v>
      </c>
      <c r="AX82" s="1610"/>
      <c r="AY82" s="1602" t="e">
        <f>IF(AY134&gt;AY135,AY135,AY134)</f>
        <v>#DIV/0!</v>
      </c>
      <c r="AZ82" s="1516"/>
      <c r="BA82" s="1515">
        <v>0</v>
      </c>
      <c r="BB82" s="1516"/>
      <c r="BC82" s="1515">
        <f>IF(BC134&gt;BC135,BC135,BC134)</f>
        <v>0</v>
      </c>
      <c r="BD82" s="1516"/>
      <c r="BE82" s="1515">
        <v>0</v>
      </c>
      <c r="BF82" s="1612"/>
      <c r="BG82" s="1777" t="e">
        <f>IF(BG134&gt;BG135,BG135,BG134)</f>
        <v>#DIV/0!</v>
      </c>
      <c r="BH82" s="1778"/>
      <c r="BI82" s="1779">
        <v>0</v>
      </c>
      <c r="BJ82" s="1778"/>
      <c r="BK82" s="1779">
        <f>IF(BK134&gt;BK135,BK135,BK134)</f>
        <v>0</v>
      </c>
      <c r="BL82" s="1778"/>
      <c r="BM82" s="1779">
        <v>0</v>
      </c>
      <c r="BN82" s="1766"/>
    </row>
    <row r="83" spans="1:66">
      <c r="A83" s="71"/>
      <c r="C83" s="2368" t="e">
        <f>'Data Entry - SOF'!C136*(C79/'Data Entry - SOF'!C93)</f>
        <v>#REF!</v>
      </c>
      <c r="D83" s="2057"/>
      <c r="E83" s="2368">
        <f>IF('Data Entry - SOF'!C137&gt;E137,E137,'Data Entry - SOF'!C137)</f>
        <v>0</v>
      </c>
      <c r="F83" s="2057"/>
      <c r="G83" s="2368" t="e">
        <f>'Data Entry - SOF'!C136*(G79/'Data Entry - SOF'!C93)</f>
        <v>#REF!</v>
      </c>
      <c r="H83" s="2057"/>
      <c r="I83" s="2369">
        <f>IF('Data Entry - SOF'!C137&gt;I137,I137,'Data Entry - SOF'!C137)</f>
        <v>0</v>
      </c>
      <c r="K83" s="1547" t="e">
        <f>'Data Entry - SOF'!#REF!*(K79/'Data Entry - SOF'!#REF!)</f>
        <v>#REF!</v>
      </c>
      <c r="L83" s="1484"/>
      <c r="M83" s="1483" t="e">
        <f>IF('Data Entry - SOF'!#REF!&gt;M137,M137,'Data Entry - SOF'!#REF!)</f>
        <v>#REF!</v>
      </c>
      <c r="N83" s="1484"/>
      <c r="O83" s="1547" t="e">
        <f>'Data Entry - SOF'!#REF!*(O79/'Data Entry - SOF'!#REF!)</f>
        <v>#REF!</v>
      </c>
      <c r="P83" s="1484"/>
      <c r="Q83" s="1463" t="e">
        <f>IF('Data Entry - SOF'!#REF!&gt;Q137,Q137,'Data Entry - SOF'!#REF!)</f>
        <v>#REF!</v>
      </c>
      <c r="R83" s="1570"/>
      <c r="S83" s="1564" t="e">
        <f>'Data Entry - SOF'!E136*(S79/'Data Entry - SOF'!E93)</f>
        <v>#DIV/0!</v>
      </c>
      <c r="T83" s="1440"/>
      <c r="U83" s="1439">
        <f>IF('Data Entry - SOF'!E137&gt;U137,U137,'Data Entry - SOF'!E137)</f>
        <v>0</v>
      </c>
      <c r="V83" s="1440"/>
      <c r="W83" s="1439" t="e">
        <f>'Data Entry - SOF'!E136*(W79/'Data Entry - SOF'!E93)</f>
        <v>#DIV/0!</v>
      </c>
      <c r="X83" s="1440"/>
      <c r="Y83" s="1439">
        <f>IF('Data Entry - SOF'!E137&gt;Y137,Y137,'Data Entry - SOF'!E137)</f>
        <v>0</v>
      </c>
      <c r="Z83" s="1561"/>
      <c r="AA83" s="1573" t="e">
        <f>'Data Entry - SOF'!G136*(AA79/'Data Entry - SOF'!G93)</f>
        <v>#DIV/0!</v>
      </c>
      <c r="AB83" s="1510"/>
      <c r="AC83" s="1509">
        <f>IF('Data Entry - SOF'!G137&gt;AC137,AC137,'Data Entry - SOF'!G137)</f>
        <v>0</v>
      </c>
      <c r="AD83" s="1510"/>
      <c r="AE83" s="1509">
        <f>'Data Entry - SOF'!G136*(AE79/'Data Entry - SOF'!G93)</f>
        <v>0</v>
      </c>
      <c r="AF83" s="1510"/>
      <c r="AG83" s="1509">
        <f>IF('Data Entry - SOF'!G137&gt;AG137,AG137,'Data Entry - SOF'!G137)</f>
        <v>0</v>
      </c>
      <c r="AH83" s="1587"/>
      <c r="AI83" s="1426" t="e">
        <f>'Data Entry - SOF'!M136*(AI79/'Data Entry - SOF'!M93)</f>
        <v>#DIV/0!</v>
      </c>
      <c r="AJ83" s="1512"/>
      <c r="AK83" s="1511">
        <f>IF('Data Entry - SOF'!M137&gt;AK137,AK137,'Data Entry - SOF'!M137)</f>
        <v>0</v>
      </c>
      <c r="AL83" s="1512"/>
      <c r="AM83" s="1511" t="e">
        <f>'Data Entry - SOF'!M136*(AM79/'Data Entry - SOF'!M93)</f>
        <v>#DIV/0!</v>
      </c>
      <c r="AN83" s="1512"/>
      <c r="AO83" s="1511">
        <f>IF('Data Entry - SOF'!M137&gt;AO137,AO137,'Data Entry - SOF'!M137)</f>
        <v>0</v>
      </c>
      <c r="AP83" s="1598"/>
      <c r="AQ83" s="1591" t="e">
        <f>'Data Entry - SOF'!O136*(AQ79/'Data Entry - SOF'!O93)</f>
        <v>#DIV/0!</v>
      </c>
      <c r="AR83" s="1514"/>
      <c r="AS83" s="1513">
        <f>IF('Data Entry - SOF'!O137&gt;AS137,AS137,'Data Entry - SOF'!O137)</f>
        <v>0</v>
      </c>
      <c r="AT83" s="1514"/>
      <c r="AU83" s="1513" t="e">
        <f>'Data Entry - SOF'!O136*(AU79/'Data Entry - SOF'!O93)</f>
        <v>#DIV/0!</v>
      </c>
      <c r="AV83" s="1514"/>
      <c r="AW83" s="1513">
        <f>IF('Data Entry - SOF'!O137&gt;AW137,AW137,'Data Entry - SOF'!O137)</f>
        <v>0</v>
      </c>
      <c r="AX83" s="1610"/>
      <c r="AY83" s="1602" t="e">
        <f>'Data Entry - SOF'!Q136*(AY79/'Data Entry - SOF'!Q93)</f>
        <v>#DIV/0!</v>
      </c>
      <c r="AZ83" s="1516"/>
      <c r="BA83" s="1515">
        <f>IF('Data Entry - SOF'!Q137&gt;BA137,BA137,'Data Entry - SOF'!Q137)</f>
        <v>0</v>
      </c>
      <c r="BB83" s="1516"/>
      <c r="BC83" s="1515" t="e">
        <f>'Data Entry - SOF'!Q136*(BC79/'Data Entry - SOF'!Q93)</f>
        <v>#DIV/0!</v>
      </c>
      <c r="BD83" s="1516"/>
      <c r="BE83" s="1515">
        <f>IF('Data Entry - SOF'!Q137&gt;BE137,BE137,'Data Entry - SOF'!Q137)</f>
        <v>0</v>
      </c>
      <c r="BF83" s="1612"/>
      <c r="BG83" s="1777" t="e">
        <f>'Data Entry - SOF'!S136*(BG79/'Data Entry - SOF'!S93)</f>
        <v>#DIV/0!</v>
      </c>
      <c r="BH83" s="1778"/>
      <c r="BI83" s="1779">
        <f>IF('Data Entry - SOF'!S137&gt;BI137,BI137,'Data Entry - SOF'!S137)</f>
        <v>0</v>
      </c>
      <c r="BJ83" s="1778"/>
      <c r="BK83" s="1779" t="e">
        <f>'Data Entry - SOF'!S136*(BK79/'Data Entry - SOF'!S93)</f>
        <v>#DIV/0!</v>
      </c>
      <c r="BL83" s="1778"/>
      <c r="BM83" s="1779">
        <f>IF('Data Entry - SOF'!S137&gt;BM137,BM137,'Data Entry - SOF'!S137)</f>
        <v>0</v>
      </c>
      <c r="BN83" s="1766"/>
    </row>
    <row r="84" spans="1:66">
      <c r="A84" s="71"/>
      <c r="C84" s="2057"/>
      <c r="D84" s="2057"/>
      <c r="E84" s="2057"/>
      <c r="F84" s="2057"/>
      <c r="G84" s="2057"/>
      <c r="H84" s="2057"/>
      <c r="I84" s="2370"/>
      <c r="K84" s="1484"/>
      <c r="L84" s="1484"/>
      <c r="M84" s="1484"/>
      <c r="N84" s="1484"/>
      <c r="O84" s="1484"/>
      <c r="P84" s="1484"/>
      <c r="Q84" s="1540"/>
      <c r="R84" s="1570"/>
      <c r="S84" s="1440"/>
      <c r="T84" s="1440"/>
      <c r="U84" s="1440"/>
      <c r="V84" s="1440"/>
      <c r="W84" s="1440"/>
      <c r="X84" s="1440"/>
      <c r="Y84" s="1440"/>
      <c r="Z84" s="1561"/>
      <c r="AA84" s="1510"/>
      <c r="AB84" s="1510"/>
      <c r="AC84" s="1510"/>
      <c r="AD84" s="1510"/>
      <c r="AE84" s="1510"/>
      <c r="AF84" s="1510"/>
      <c r="AG84" s="1510"/>
      <c r="AH84" s="1587"/>
      <c r="AI84" s="1512"/>
      <c r="AJ84" s="1512"/>
      <c r="AK84" s="1512"/>
      <c r="AL84" s="1512"/>
      <c r="AM84" s="1512"/>
      <c r="AN84" s="1512"/>
      <c r="AO84" s="1512"/>
      <c r="AP84" s="1598"/>
      <c r="AQ84" s="1514"/>
      <c r="AR84" s="1514"/>
      <c r="AS84" s="1514"/>
      <c r="AT84" s="1514"/>
      <c r="AU84" s="1514"/>
      <c r="AV84" s="1514"/>
      <c r="AW84" s="1514"/>
      <c r="AX84" s="1610"/>
      <c r="AY84" s="1516"/>
      <c r="AZ84" s="1516"/>
      <c r="BA84" s="1516"/>
      <c r="BB84" s="1516"/>
      <c r="BC84" s="1516"/>
      <c r="BD84" s="1516"/>
      <c r="BE84" s="1516"/>
      <c r="BF84" s="1612"/>
      <c r="BG84" s="1778"/>
      <c r="BH84" s="1778"/>
      <c r="BI84" s="1778"/>
      <c r="BJ84" s="1778"/>
      <c r="BK84" s="1778"/>
      <c r="BL84" s="1778"/>
      <c r="BM84" s="1778"/>
      <c r="BN84" s="1766"/>
    </row>
    <row r="85" spans="1:66" ht="13.5" thickBot="1">
      <c r="A85" s="71"/>
      <c r="C85" s="2371" t="e">
        <f>IF(C79-C82-C83&lt;0,0,C79-C82-C83)</f>
        <v>#REF!</v>
      </c>
      <c r="D85" s="2057"/>
      <c r="E85" s="2371" t="e">
        <f>IF(E79-E82-E83&lt;0,0,E79-E82-E83)</f>
        <v>#REF!</v>
      </c>
      <c r="F85" s="2057"/>
      <c r="G85" s="2371" t="e">
        <f>IF(G79-G82-G83&lt;0,0,G79-G82-G83)</f>
        <v>#REF!</v>
      </c>
      <c r="H85" s="2057"/>
      <c r="I85" s="2372" t="e">
        <f>IF(I79-I82-I83&lt;0,0,I79-I82-I83)</f>
        <v>#REF!</v>
      </c>
      <c r="K85" s="1549" t="e">
        <f>IF(K79-K82-K83&lt;0,0,K79-K82-K83)</f>
        <v>#REF!</v>
      </c>
      <c r="L85" s="1484"/>
      <c r="M85" s="1549" t="e">
        <f>IF(M79-M82-M83&lt;0,0,M79-M82-M83)</f>
        <v>#REF!</v>
      </c>
      <c r="N85" s="1484"/>
      <c r="O85" s="1549" t="e">
        <f>IF(O79-O82-O83&lt;0,0,O79-O82-O83)</f>
        <v>#REF!</v>
      </c>
      <c r="P85" s="1484"/>
      <c r="Q85" s="1542" t="e">
        <f>IF(Q79-Q82-Q83&lt;0,0,Q79-Q82-Q83)</f>
        <v>#REF!</v>
      </c>
      <c r="R85" s="1570"/>
      <c r="S85" s="1446" t="e">
        <f>IF(S79-S82-S83&lt;0,0,S79-S82-S83)</f>
        <v>#DIV/0!</v>
      </c>
      <c r="T85" s="1440"/>
      <c r="U85" s="1446" t="e">
        <f>IF(U79-U82-U83&lt;0,0,U79-U82-U83)</f>
        <v>#DIV/0!</v>
      </c>
      <c r="V85" s="1440"/>
      <c r="W85" s="1446" t="e">
        <f>IF(W79-W82-W83&lt;0,0,W79-W82-W83)</f>
        <v>#DIV/0!</v>
      </c>
      <c r="X85" s="1440"/>
      <c r="Y85" s="1446">
        <f>IF(Y79-Y82-Y83&lt;0,0,Y79-Y82-Y83)</f>
        <v>0</v>
      </c>
      <c r="Z85" s="1561"/>
      <c r="AA85" s="1543" t="e">
        <f>IF(AA79-AA82-AA83&lt;0,0,AA79-AA82-AA83)</f>
        <v>#DIV/0!</v>
      </c>
      <c r="AB85" s="1510"/>
      <c r="AC85" s="1543" t="e">
        <f>IF(AC79-AC82-AC83&lt;0,0,AC79-AC82-AC83)</f>
        <v>#DIV/0!</v>
      </c>
      <c r="AD85" s="1510"/>
      <c r="AE85" s="1543">
        <f>IF(AE79-AE82-AE83&lt;0,0,AE79-AE82-AE83)</f>
        <v>0</v>
      </c>
      <c r="AF85" s="1510"/>
      <c r="AG85" s="1543">
        <f>IF(AG79-AG82-AG83&lt;0,0,AG79-AG82-AG83)</f>
        <v>0</v>
      </c>
      <c r="AH85" s="1587"/>
      <c r="AI85" s="1544" t="e">
        <f>IF(AI79-AI82-AI83&lt;0,0,AI79-AI82-AI83)</f>
        <v>#DIV/0!</v>
      </c>
      <c r="AJ85" s="1512"/>
      <c r="AK85" s="1544" t="e">
        <f>IF(AK79-AK82-AK83&lt;0,0,AK79-AK82-AK83)</f>
        <v>#DIV/0!</v>
      </c>
      <c r="AL85" s="1512"/>
      <c r="AM85" s="1544" t="e">
        <f>IF(AM79-AM82-AM83&lt;0,0,AM79-AM82-AM83)</f>
        <v>#DIV/0!</v>
      </c>
      <c r="AN85" s="1512"/>
      <c r="AO85" s="1544">
        <f>IF(AO79-AO82-AO83&lt;0,0,AO79-AO82-AO83)</f>
        <v>0</v>
      </c>
      <c r="AP85" s="1598"/>
      <c r="AQ85" s="1545" t="e">
        <f>IF(AQ79-AQ82-AQ83&lt;0,0,AQ79-AQ82-AQ83)</f>
        <v>#DIV/0!</v>
      </c>
      <c r="AR85" s="1514"/>
      <c r="AS85" s="1545" t="e">
        <f>IF(AS79-AS82-AS83&lt;0,0,AS79-AS82-AS83)</f>
        <v>#DIV/0!</v>
      </c>
      <c r="AT85" s="1514"/>
      <c r="AU85" s="1545" t="e">
        <f>IF(AU79-AU82-AU83&lt;0,0,AU79-AU82-AU83)</f>
        <v>#DIV/0!</v>
      </c>
      <c r="AV85" s="1514"/>
      <c r="AW85" s="1545">
        <f>IF(AW79-AW82-AW83&lt;0,0,AW79-AW82-AW83)</f>
        <v>0</v>
      </c>
      <c r="AX85" s="1610"/>
      <c r="AY85" s="1546" t="e">
        <f>IF(AY79-AY82-AY83&lt;0,0,AY79-AY82-AY83)</f>
        <v>#DIV/0!</v>
      </c>
      <c r="AZ85" s="1516"/>
      <c r="BA85" s="1546" t="e">
        <f>IF(BA79-BA82-BA83&lt;0,0,BA79-BA82-BA83)</f>
        <v>#DIV/0!</v>
      </c>
      <c r="BB85" s="1516"/>
      <c r="BC85" s="1546" t="e">
        <f>IF(BC79-BC82-BC83&lt;0,0,BC79-BC82-BC83)</f>
        <v>#DIV/0!</v>
      </c>
      <c r="BD85" s="1516"/>
      <c r="BE85" s="1546">
        <f>IF(BE79-BE82-BE83&lt;0,0,BE79-BE82-BE83)</f>
        <v>0</v>
      </c>
      <c r="BF85" s="1612"/>
      <c r="BG85" s="1786" t="e">
        <f>IF(BG79-BG82-BG83&lt;0,0,BG79-BG82-BG83)</f>
        <v>#DIV/0!</v>
      </c>
      <c r="BH85" s="1778"/>
      <c r="BI85" s="1786" t="e">
        <f>IF(BI79-BI82-BI83&lt;0,0,BI79-BI82-BI83)</f>
        <v>#DIV/0!</v>
      </c>
      <c r="BJ85" s="1778"/>
      <c r="BK85" s="1786" t="e">
        <f>IF(BK79-BK82-BK83&lt;0,0,BK79-BK82-BK83)</f>
        <v>#DIV/0!</v>
      </c>
      <c r="BL85" s="1778"/>
      <c r="BM85" s="1786">
        <f>IF(BM79-BM82-BM83&lt;0,0,BM79-BM82-BM83)</f>
        <v>0</v>
      </c>
      <c r="BN85" s="1766"/>
    </row>
    <row r="86" spans="1:66" ht="13.5" thickTop="1">
      <c r="A86" s="71"/>
      <c r="C86" s="2057" t="e">
        <f>IF(C78=0,0,C85/C78)</f>
        <v>#REF!</v>
      </c>
      <c r="D86" s="2057"/>
      <c r="E86" s="2057" t="e">
        <f>IF(E78=0,0,E85/E78)</f>
        <v>#REF!</v>
      </c>
      <c r="F86" s="2057"/>
      <c r="G86" s="2057" t="e">
        <f>IF(G78=0,0,G85/G78)</f>
        <v>#REF!</v>
      </c>
      <c r="H86" s="2057"/>
      <c r="I86" s="2370" t="e">
        <f>IF(I78=0,0,I85/I78)</f>
        <v>#REF!</v>
      </c>
      <c r="K86" s="1484" t="e">
        <f>IF(K78=0,0,K85/K78)</f>
        <v>#REF!</v>
      </c>
      <c r="L86" s="1484"/>
      <c r="M86" s="1484" t="e">
        <f>IF(M78=0,0,M85/M78)</f>
        <v>#REF!</v>
      </c>
      <c r="N86" s="1484"/>
      <c r="O86" s="1484" t="e">
        <f>IF(O78=0,0,O85/O78)</f>
        <v>#REF!</v>
      </c>
      <c r="P86" s="1484"/>
      <c r="Q86" s="1540" t="e">
        <f>IF(Q78=0,0,Q85/Q78)</f>
        <v>#REF!</v>
      </c>
      <c r="R86" s="1570"/>
      <c r="S86" s="1440" t="e">
        <f>IF(S78=0,0,S85/S78)</f>
        <v>#DIV/0!</v>
      </c>
      <c r="T86" s="1440"/>
      <c r="U86" s="1440" t="e">
        <f>IF(U78=0,0,U85/U78)</f>
        <v>#DIV/0!</v>
      </c>
      <c r="V86" s="1440"/>
      <c r="W86" s="1440">
        <f>IF(W78=0,0,W85/W78)</f>
        <v>0</v>
      </c>
      <c r="X86" s="1440"/>
      <c r="Y86" s="1440">
        <f>IF(Y78=0,0,Y85/Y78)</f>
        <v>0</v>
      </c>
      <c r="Z86" s="1561"/>
      <c r="AA86" s="1510" t="e">
        <f>IF(AA78=0,0,AA85/AA78)</f>
        <v>#DIV/0!</v>
      </c>
      <c r="AB86" s="1510"/>
      <c r="AC86" s="1510" t="e">
        <f>IF(AC78=0,0,AC85/AC78)</f>
        <v>#DIV/0!</v>
      </c>
      <c r="AD86" s="1510"/>
      <c r="AE86" s="1510">
        <f>IF(AE78=0,0,AE85/AE78)</f>
        <v>0</v>
      </c>
      <c r="AF86" s="1510"/>
      <c r="AG86" s="1510">
        <f>IF(AG78=0,0,AG85/AG78)</f>
        <v>0</v>
      </c>
      <c r="AH86" s="1587"/>
      <c r="AI86" s="1512" t="e">
        <f>IF(AI78=0,0,AI85/AI78)</f>
        <v>#DIV/0!</v>
      </c>
      <c r="AJ86" s="1512"/>
      <c r="AK86" s="1512" t="e">
        <f>IF(AK78=0,0,AK85/AK78)</f>
        <v>#DIV/0!</v>
      </c>
      <c r="AL86" s="1512"/>
      <c r="AM86" s="1512">
        <f>IF(AM78=0,0,AM85/AM78)</f>
        <v>0</v>
      </c>
      <c r="AN86" s="1512"/>
      <c r="AO86" s="1512">
        <f>IF(AO78=0,0,AO85/AO78)</f>
        <v>0</v>
      </c>
      <c r="AP86" s="1598"/>
      <c r="AQ86" s="1514" t="e">
        <f>IF(AQ78=0,0,AQ85/AQ78)</f>
        <v>#DIV/0!</v>
      </c>
      <c r="AR86" s="1514"/>
      <c r="AS86" s="1514" t="e">
        <f>IF(AS78=0,0,AS85/AS78)</f>
        <v>#DIV/0!</v>
      </c>
      <c r="AT86" s="1514"/>
      <c r="AU86" s="1514">
        <f>IF(AU78=0,0,AU85/AU78)</f>
        <v>0</v>
      </c>
      <c r="AV86" s="1514"/>
      <c r="AW86" s="1514">
        <f>IF(AW78=0,0,AW85/AW78)</f>
        <v>0</v>
      </c>
      <c r="AX86" s="1610"/>
      <c r="AY86" s="1516" t="e">
        <f>IF(AY78=0,0,AY85/AY78)</f>
        <v>#DIV/0!</v>
      </c>
      <c r="AZ86" s="1516"/>
      <c r="BA86" s="1516" t="e">
        <f>IF(BA78=0,0,BA85/BA78)</f>
        <v>#DIV/0!</v>
      </c>
      <c r="BB86" s="1516"/>
      <c r="BC86" s="1516">
        <f>IF(BC78=0,0,BC85/BC78)</f>
        <v>0</v>
      </c>
      <c r="BD86" s="1516"/>
      <c r="BE86" s="1516">
        <f>IF(BE78=0,0,BE85/BE78)</f>
        <v>0</v>
      </c>
      <c r="BF86" s="1612"/>
      <c r="BG86" s="1778" t="e">
        <f>IF(BG78=0,0,BG85/BG78)</f>
        <v>#DIV/0!</v>
      </c>
      <c r="BH86" s="1778"/>
      <c r="BI86" s="1778" t="e">
        <f>IF(BI78=0,0,BI85/BI78)</f>
        <v>#DIV/0!</v>
      </c>
      <c r="BJ86" s="1778"/>
      <c r="BK86" s="1778">
        <f>IF(BK78=0,0,BK85/BK78)</f>
        <v>0</v>
      </c>
      <c r="BL86" s="1778"/>
      <c r="BM86" s="1778">
        <f>IF(BM78=0,0,BM85/BM78)</f>
        <v>0</v>
      </c>
      <c r="BN86" s="1766"/>
    </row>
    <row r="87" spans="1:66">
      <c r="A87" s="71"/>
      <c r="C87" s="2057"/>
      <c r="D87" s="2057"/>
      <c r="E87" s="2057"/>
      <c r="F87" s="2057"/>
      <c r="G87" s="2057"/>
      <c r="H87" s="2057"/>
      <c r="I87" s="2370"/>
      <c r="K87" s="1484"/>
      <c r="L87" s="1484"/>
      <c r="M87" s="1484"/>
      <c r="N87" s="1484"/>
      <c r="O87" s="1484"/>
      <c r="P87" s="1484"/>
      <c r="Q87" s="1540"/>
      <c r="R87" s="1570"/>
      <c r="S87" s="1440"/>
      <c r="T87" s="1440"/>
      <c r="U87" s="1440"/>
      <c r="V87" s="1440"/>
      <c r="W87" s="1440"/>
      <c r="X87" s="1440"/>
      <c r="Y87" s="1440"/>
      <c r="Z87" s="1561"/>
      <c r="AA87" s="1510"/>
      <c r="AB87" s="1510"/>
      <c r="AC87" s="1510"/>
      <c r="AD87" s="1510"/>
      <c r="AE87" s="1510"/>
      <c r="AF87" s="1510"/>
      <c r="AG87" s="1510"/>
      <c r="AH87" s="1587"/>
      <c r="AI87" s="1512"/>
      <c r="AJ87" s="1512"/>
      <c r="AK87" s="1512"/>
      <c r="AL87" s="1512"/>
      <c r="AM87" s="1512"/>
      <c r="AN87" s="1512"/>
      <c r="AO87" s="1512"/>
      <c r="AP87" s="1598"/>
      <c r="AQ87" s="1514"/>
      <c r="AR87" s="1514"/>
      <c r="AS87" s="1514"/>
      <c r="AT87" s="1514"/>
      <c r="AU87" s="1514"/>
      <c r="AV87" s="1514"/>
      <c r="AW87" s="1514"/>
      <c r="AX87" s="1610"/>
      <c r="AY87" s="1516"/>
      <c r="AZ87" s="1516"/>
      <c r="BA87" s="1516"/>
      <c r="BB87" s="1516"/>
      <c r="BC87" s="1516"/>
      <c r="BD87" s="1516"/>
      <c r="BE87" s="1516"/>
      <c r="BF87" s="1612"/>
      <c r="BG87" s="1778"/>
      <c r="BH87" s="1778"/>
      <c r="BI87" s="1778"/>
      <c r="BJ87" s="1778"/>
      <c r="BK87" s="1778"/>
      <c r="BL87" s="1778"/>
      <c r="BM87" s="1778"/>
      <c r="BN87" s="1766"/>
    </row>
    <row r="88" spans="1:66">
      <c r="A88" s="71"/>
      <c r="C88" s="2057"/>
      <c r="D88" s="2057"/>
      <c r="E88" s="2057"/>
      <c r="F88" s="2057"/>
      <c r="G88" s="2057"/>
      <c r="H88" s="2057"/>
      <c r="I88" s="2370"/>
      <c r="K88" s="1484"/>
      <c r="L88" s="1484"/>
      <c r="M88" s="1484"/>
      <c r="N88" s="1484"/>
      <c r="O88" s="1484"/>
      <c r="P88" s="1484"/>
      <c r="Q88" s="1540"/>
      <c r="R88" s="1570"/>
      <c r="S88" s="1440"/>
      <c r="T88" s="1440"/>
      <c r="U88" s="1440"/>
      <c r="V88" s="1440"/>
      <c r="W88" s="1440"/>
      <c r="X88" s="1440"/>
      <c r="Y88" s="1440"/>
      <c r="Z88" s="1561"/>
      <c r="AA88" s="1510"/>
      <c r="AB88" s="1510"/>
      <c r="AC88" s="1510"/>
      <c r="AD88" s="1510"/>
      <c r="AE88" s="1510"/>
      <c r="AF88" s="1510"/>
      <c r="AG88" s="1510"/>
      <c r="AH88" s="1587"/>
      <c r="AI88" s="1512"/>
      <c r="AJ88" s="1512"/>
      <c r="AK88" s="1512"/>
      <c r="AL88" s="1512"/>
      <c r="AM88" s="1512"/>
      <c r="AN88" s="1512"/>
      <c r="AO88" s="1512"/>
      <c r="AP88" s="1598"/>
      <c r="AQ88" s="1514"/>
      <c r="AR88" s="1514"/>
      <c r="AS88" s="1514"/>
      <c r="AT88" s="1514"/>
      <c r="AU88" s="1514"/>
      <c r="AV88" s="1514"/>
      <c r="AW88" s="1514"/>
      <c r="AX88" s="1610"/>
      <c r="AY88" s="1516"/>
      <c r="AZ88" s="1516"/>
      <c r="BA88" s="1516"/>
      <c r="BB88" s="1516"/>
      <c r="BC88" s="1516"/>
      <c r="BD88" s="1516"/>
      <c r="BE88" s="1516"/>
      <c r="BF88" s="1612"/>
      <c r="BG88" s="1778"/>
      <c r="BH88" s="1778"/>
      <c r="BI88" s="1778"/>
      <c r="BJ88" s="1778"/>
      <c r="BK88" s="1778"/>
      <c r="BL88" s="1778"/>
      <c r="BM88" s="1778"/>
      <c r="BN88" s="1766"/>
    </row>
    <row r="89" spans="1:66">
      <c r="A89" s="71"/>
      <c r="B89" s="37"/>
      <c r="C89" s="2376" t="s">
        <v>3900</v>
      </c>
      <c r="D89" s="2377"/>
      <c r="E89" s="2377"/>
      <c r="F89" s="2377"/>
      <c r="G89" s="2378"/>
      <c r="H89" s="2185"/>
      <c r="I89" s="2379"/>
      <c r="K89" s="1798" t="s">
        <v>3901</v>
      </c>
      <c r="L89" s="1934"/>
      <c r="M89" s="1934"/>
      <c r="N89" s="1934"/>
      <c r="O89" s="1935"/>
      <c r="P89" s="1484"/>
      <c r="Q89" s="1540"/>
      <c r="R89" s="1570"/>
      <c r="S89" s="1938" t="s">
        <v>3902</v>
      </c>
      <c r="T89" s="1815"/>
      <c r="U89" s="1815"/>
      <c r="V89" s="1815"/>
      <c r="W89" s="1816"/>
      <c r="X89" s="1440"/>
      <c r="Y89" s="1440"/>
      <c r="Z89" s="1561"/>
      <c r="AA89" s="1938" t="s">
        <v>3903</v>
      </c>
      <c r="AB89" s="1815"/>
      <c r="AC89" s="1815"/>
      <c r="AD89" s="1815"/>
      <c r="AE89" s="1816"/>
      <c r="AF89" s="1510"/>
      <c r="AG89" s="1510"/>
      <c r="AH89" s="1587"/>
      <c r="AI89" s="1938" t="s">
        <v>3968</v>
      </c>
      <c r="AJ89" s="1815"/>
      <c r="AK89" s="1815"/>
      <c r="AL89" s="1815"/>
      <c r="AM89" s="1815"/>
      <c r="AN89" s="1816"/>
      <c r="AO89" s="1512"/>
      <c r="AP89" s="1598"/>
      <c r="AQ89" s="1938" t="s">
        <v>6930</v>
      </c>
      <c r="AR89" s="1815"/>
      <c r="AS89" s="1815"/>
      <c r="AT89" s="1815"/>
      <c r="AU89" s="1816"/>
      <c r="AV89" s="1514"/>
      <c r="AW89" s="1514"/>
      <c r="AX89" s="1610"/>
      <c r="AY89" s="1938" t="s">
        <v>7052</v>
      </c>
      <c r="AZ89" s="1815"/>
      <c r="BA89" s="1815"/>
      <c r="BB89" s="1815"/>
      <c r="BC89" s="1816"/>
      <c r="BD89" s="1516"/>
      <c r="BE89" s="1516"/>
      <c r="BF89" s="1612"/>
      <c r="BG89" s="1938" t="s">
        <v>7052</v>
      </c>
      <c r="BH89" s="1815"/>
      <c r="BI89" s="1815"/>
      <c r="BJ89" s="1815"/>
      <c r="BK89" s="1816"/>
      <c r="BL89" s="1778"/>
      <c r="BM89" s="1778"/>
      <c r="BN89" s="1766"/>
    </row>
    <row r="90" spans="1:66">
      <c r="A90" s="71"/>
      <c r="B90" s="72" t="s">
        <v>8256</v>
      </c>
      <c r="C90" s="2380" t="e">
        <f>'Calc Data'!AD91</f>
        <v>#REF!</v>
      </c>
      <c r="D90" s="2057"/>
      <c r="E90" s="2380" t="e">
        <f>C90</f>
        <v>#REF!</v>
      </c>
      <c r="F90" s="2057"/>
      <c r="G90" s="2380"/>
      <c r="H90" s="2057"/>
      <c r="I90" s="2084"/>
      <c r="K90" s="1985" t="e">
        <f>'Calc Data'!#REF!</f>
        <v>#REF!</v>
      </c>
      <c r="L90" s="1484"/>
      <c r="M90" s="1985" t="e">
        <f>K90</f>
        <v>#REF!</v>
      </c>
      <c r="N90" s="1484"/>
      <c r="O90" s="1985"/>
      <c r="P90" s="1484"/>
      <c r="Q90" s="1463"/>
      <c r="R90" s="1570"/>
      <c r="S90" s="1936" t="e">
        <f>'Calc Data'!AG87</f>
        <v>#DIV/0!</v>
      </c>
      <c r="T90" s="1440"/>
      <c r="U90" s="1937" t="e">
        <f>S90</f>
        <v>#DIV/0!</v>
      </c>
      <c r="V90" s="1440"/>
      <c r="W90" s="1937"/>
      <c r="X90" s="1440"/>
      <c r="Y90" s="1439"/>
      <c r="Z90" s="1561"/>
      <c r="AA90" s="1939">
        <f>'Calc Data'!AK87</f>
        <v>0</v>
      </c>
      <c r="AB90" s="1510"/>
      <c r="AC90" s="1940">
        <f>AA90</f>
        <v>0</v>
      </c>
      <c r="AD90" s="1510"/>
      <c r="AE90" s="1940"/>
      <c r="AF90" s="1510"/>
      <c r="AG90" s="1509"/>
      <c r="AH90" s="1587"/>
      <c r="AI90" s="1941">
        <f>'Calc Data'!AO87</f>
        <v>0</v>
      </c>
      <c r="AJ90" s="1512"/>
      <c r="AK90" s="1942">
        <f>AI90</f>
        <v>0</v>
      </c>
      <c r="AL90" s="1512"/>
      <c r="AM90" s="1942"/>
      <c r="AN90" s="1512"/>
      <c r="AO90" s="1511"/>
      <c r="AP90" s="1598"/>
      <c r="AQ90" s="1943">
        <f>'Calc Data'!AT87</f>
        <v>0</v>
      </c>
      <c r="AR90" s="1514"/>
      <c r="AS90" s="1944">
        <f>AQ90</f>
        <v>0</v>
      </c>
      <c r="AT90" s="1514"/>
      <c r="AU90" s="1944"/>
      <c r="AV90" s="1514"/>
      <c r="AW90" s="1513"/>
      <c r="AX90" s="1610"/>
      <c r="AY90" s="1945">
        <f>'Calc Data'!AY87</f>
        <v>0</v>
      </c>
      <c r="AZ90" s="1516"/>
      <c r="BA90" s="1946">
        <f>AY90</f>
        <v>0</v>
      </c>
      <c r="BB90" s="1516"/>
      <c r="BC90" s="1946"/>
      <c r="BD90" s="1516"/>
      <c r="BE90" s="1515"/>
      <c r="BF90" s="1612"/>
      <c r="BG90" s="1947">
        <f>'Calc Data'!BD87</f>
        <v>0</v>
      </c>
      <c r="BH90" s="1778"/>
      <c r="BI90" s="1948">
        <f>BG90</f>
        <v>0</v>
      </c>
      <c r="BJ90" s="1778"/>
      <c r="BK90" s="1948"/>
      <c r="BL90" s="1778"/>
      <c r="BM90" s="1779"/>
      <c r="BN90" s="1766"/>
    </row>
    <row r="91" spans="1:66">
      <c r="A91" s="71"/>
      <c r="C91" s="2083"/>
      <c r="D91" s="2057"/>
      <c r="E91" s="2083"/>
      <c r="F91" s="2057"/>
      <c r="G91" s="2083" t="e">
        <f>'Calc Data'!C83</f>
        <v>#REF!</v>
      </c>
      <c r="H91" s="2057"/>
      <c r="I91" s="2084" t="e">
        <f>G91</f>
        <v>#REF!</v>
      </c>
      <c r="K91" s="1547"/>
      <c r="L91" s="1484"/>
      <c r="M91" s="1547"/>
      <c r="N91" s="1484"/>
      <c r="O91" s="1547" t="e">
        <f>'Calc Data'!#REF!</f>
        <v>#REF!</v>
      </c>
      <c r="P91" s="1484"/>
      <c r="Q91" s="1463" t="e">
        <f>O91</f>
        <v>#REF!</v>
      </c>
      <c r="R91" s="1570"/>
      <c r="S91" s="1564"/>
      <c r="T91" s="1440"/>
      <c r="U91" s="1439"/>
      <c r="V91" s="1440"/>
      <c r="W91" s="1439" t="e">
        <f>'Calc Data'!AG86</f>
        <v>#DIV/0!</v>
      </c>
      <c r="X91" s="1440"/>
      <c r="Y91" s="1439" t="e">
        <f>W91</f>
        <v>#DIV/0!</v>
      </c>
      <c r="Z91" s="1561"/>
      <c r="AA91" s="1573"/>
      <c r="AB91" s="1510"/>
      <c r="AC91" s="1509"/>
      <c r="AD91" s="1510"/>
      <c r="AE91" s="1509">
        <f>'Calc Data'!AK86</f>
        <v>0</v>
      </c>
      <c r="AF91" s="1510"/>
      <c r="AG91" s="1509">
        <f>AE91</f>
        <v>0</v>
      </c>
      <c r="AH91" s="1587"/>
      <c r="AI91" s="1426"/>
      <c r="AJ91" s="1512"/>
      <c r="AK91" s="1511"/>
      <c r="AL91" s="1512"/>
      <c r="AM91" s="1511">
        <f>'Calc Data'!AO86</f>
        <v>0</v>
      </c>
      <c r="AN91" s="1512"/>
      <c r="AO91" s="1511">
        <f>AM91</f>
        <v>0</v>
      </c>
      <c r="AP91" s="1598"/>
      <c r="AQ91" s="1591"/>
      <c r="AR91" s="1514"/>
      <c r="AS91" s="1513"/>
      <c r="AT91" s="1514"/>
      <c r="AU91" s="1513">
        <f>'Calc Data'!AT86</f>
        <v>0</v>
      </c>
      <c r="AV91" s="1514"/>
      <c r="AW91" s="1513">
        <f>AU91</f>
        <v>0</v>
      </c>
      <c r="AX91" s="1610"/>
      <c r="AY91" s="1602"/>
      <c r="AZ91" s="1516"/>
      <c r="BA91" s="1515"/>
      <c r="BB91" s="1516"/>
      <c r="BC91" s="1515">
        <f>'Calc Data'!AY86</f>
        <v>0</v>
      </c>
      <c r="BD91" s="1516"/>
      <c r="BE91" s="1515">
        <f>BC91</f>
        <v>0</v>
      </c>
      <c r="BF91" s="1612"/>
      <c r="BG91" s="1777"/>
      <c r="BH91" s="1778"/>
      <c r="BI91" s="1779"/>
      <c r="BJ91" s="1778"/>
      <c r="BK91" s="1779">
        <f>'Calc Data'!BD86</f>
        <v>0</v>
      </c>
      <c r="BL91" s="1778"/>
      <c r="BM91" s="1779">
        <f>BK91</f>
        <v>0</v>
      </c>
      <c r="BN91" s="1766"/>
    </row>
    <row r="92" spans="1:66">
      <c r="A92" s="71"/>
      <c r="C92" s="2083" t="e">
        <f>C90</f>
        <v>#REF!</v>
      </c>
      <c r="D92" s="2057"/>
      <c r="E92" s="2083" t="e">
        <f>E90</f>
        <v>#REF!</v>
      </c>
      <c r="F92" s="2057"/>
      <c r="G92" s="2083" t="e">
        <f>G91</f>
        <v>#REF!</v>
      </c>
      <c r="H92" s="2057"/>
      <c r="I92" s="2084" t="e">
        <f>I91</f>
        <v>#REF!</v>
      </c>
      <c r="K92" s="1547" t="e">
        <f>K90</f>
        <v>#REF!</v>
      </c>
      <c r="L92" s="1484"/>
      <c r="M92" s="1547" t="e">
        <f>M90</f>
        <v>#REF!</v>
      </c>
      <c r="N92" s="1484"/>
      <c r="O92" s="1547" t="e">
        <f>O91</f>
        <v>#REF!</v>
      </c>
      <c r="P92" s="1484"/>
      <c r="Q92" s="1463" t="e">
        <f>Q91</f>
        <v>#REF!</v>
      </c>
      <c r="R92" s="1570"/>
      <c r="S92" s="1564" t="e">
        <f>S90</f>
        <v>#DIV/0!</v>
      </c>
      <c r="T92" s="1440"/>
      <c r="U92" s="1439" t="e">
        <f>U90</f>
        <v>#DIV/0!</v>
      </c>
      <c r="V92" s="1440"/>
      <c r="W92" s="1439" t="e">
        <f>W91</f>
        <v>#DIV/0!</v>
      </c>
      <c r="X92" s="1440"/>
      <c r="Y92" s="1439" t="e">
        <f>Y91</f>
        <v>#DIV/0!</v>
      </c>
      <c r="Z92" s="1561"/>
      <c r="AA92" s="1573">
        <f>AA90</f>
        <v>0</v>
      </c>
      <c r="AB92" s="1510"/>
      <c r="AC92" s="1509">
        <f>AC90</f>
        <v>0</v>
      </c>
      <c r="AD92" s="1510"/>
      <c r="AE92" s="1509">
        <f>AE91</f>
        <v>0</v>
      </c>
      <c r="AF92" s="1510"/>
      <c r="AG92" s="1509">
        <f>AG91</f>
        <v>0</v>
      </c>
      <c r="AH92" s="1587"/>
      <c r="AI92" s="1426">
        <f>AI90</f>
        <v>0</v>
      </c>
      <c r="AJ92" s="1512"/>
      <c r="AK92" s="1511">
        <f>AK90</f>
        <v>0</v>
      </c>
      <c r="AL92" s="1512"/>
      <c r="AM92" s="1511">
        <f>AM91</f>
        <v>0</v>
      </c>
      <c r="AN92" s="1512"/>
      <c r="AO92" s="1511">
        <f>AO91</f>
        <v>0</v>
      </c>
      <c r="AP92" s="1598"/>
      <c r="AQ92" s="1591">
        <f>AQ90</f>
        <v>0</v>
      </c>
      <c r="AR92" s="1514"/>
      <c r="AS92" s="1513">
        <f>AS90</f>
        <v>0</v>
      </c>
      <c r="AT92" s="1514"/>
      <c r="AU92" s="1513">
        <f>AU91</f>
        <v>0</v>
      </c>
      <c r="AV92" s="1514"/>
      <c r="AW92" s="1513">
        <f>AW91</f>
        <v>0</v>
      </c>
      <c r="AX92" s="1610"/>
      <c r="AY92" s="1602">
        <f>AY90</f>
        <v>0</v>
      </c>
      <c r="AZ92" s="1516"/>
      <c r="BA92" s="1515">
        <f>BA90</f>
        <v>0</v>
      </c>
      <c r="BB92" s="1516"/>
      <c r="BC92" s="1515">
        <f>BC91</f>
        <v>0</v>
      </c>
      <c r="BD92" s="1516"/>
      <c r="BE92" s="1515">
        <f>BE91</f>
        <v>0</v>
      </c>
      <c r="BF92" s="1612"/>
      <c r="BG92" s="1777">
        <f>BG90</f>
        <v>0</v>
      </c>
      <c r="BH92" s="1778"/>
      <c r="BI92" s="1779">
        <f>BI90</f>
        <v>0</v>
      </c>
      <c r="BJ92" s="1778"/>
      <c r="BK92" s="1779">
        <f>BK91</f>
        <v>0</v>
      </c>
      <c r="BL92" s="1778"/>
      <c r="BM92" s="1779">
        <f>BM91</f>
        <v>0</v>
      </c>
      <c r="BN92" s="1766"/>
    </row>
    <row r="93" spans="1:66">
      <c r="A93" s="71"/>
      <c r="C93" s="2081" t="e">
        <f>C35*C92</f>
        <v>#REF!</v>
      </c>
      <c r="D93" s="2085"/>
      <c r="E93" s="2081" t="e">
        <f>E35*E92</f>
        <v>#REF!</v>
      </c>
      <c r="F93" s="2085"/>
      <c r="G93" s="2081" t="e">
        <f>IF(G91&lt;1,0,G35*G92)</f>
        <v>#REF!</v>
      </c>
      <c r="H93" s="2085"/>
      <c r="I93" s="2082" t="e">
        <f>IF(I91&lt;1,0,I35*I92)</f>
        <v>#REF!</v>
      </c>
      <c r="K93" s="1547" t="e">
        <f>K35*K92</f>
        <v>#REF!</v>
      </c>
      <c r="L93" s="1484"/>
      <c r="M93" s="1547" t="e">
        <f>M35*M92</f>
        <v>#REF!</v>
      </c>
      <c r="N93" s="1484"/>
      <c r="O93" s="1547" t="e">
        <f>IF(O91&lt;1,0,O35*O92)</f>
        <v>#REF!</v>
      </c>
      <c r="P93" s="1484"/>
      <c r="Q93" s="1463" t="e">
        <f>IF(Q91&lt;1,0,Q35*Q92)</f>
        <v>#REF!</v>
      </c>
      <c r="R93" s="1570"/>
      <c r="S93" s="1564" t="e">
        <f>S35*S92</f>
        <v>#DIV/0!</v>
      </c>
      <c r="T93" s="1440"/>
      <c r="U93" s="1439" t="e">
        <f>U35*U92</f>
        <v>#DIV/0!</v>
      </c>
      <c r="V93" s="1440"/>
      <c r="W93" s="1439" t="e">
        <f>IF(W91&lt;1,0,W35*W92)</f>
        <v>#DIV/0!</v>
      </c>
      <c r="X93" s="1440"/>
      <c r="Y93" s="1439" t="e">
        <f>IF(Y91&lt;1,0,Y35*Y92)</f>
        <v>#DIV/0!</v>
      </c>
      <c r="Z93" s="1561"/>
      <c r="AA93" s="1573" t="e">
        <f>AA35*AA92</f>
        <v>#DIV/0!</v>
      </c>
      <c r="AB93" s="1510"/>
      <c r="AC93" s="1509" t="e">
        <f>AC35*AC92</f>
        <v>#DIV/0!</v>
      </c>
      <c r="AD93" s="1510"/>
      <c r="AE93" s="1509">
        <f>IF(AE91&lt;1,0,AE35*AE92)</f>
        <v>0</v>
      </c>
      <c r="AF93" s="1510"/>
      <c r="AG93" s="1509">
        <f>IF(AG91&lt;1,0,AG35*AG92)</f>
        <v>0</v>
      </c>
      <c r="AH93" s="1587"/>
      <c r="AI93" s="1426" t="e">
        <f>AI35*AI92</f>
        <v>#DIV/0!</v>
      </c>
      <c r="AJ93" s="1512"/>
      <c r="AK93" s="1511" t="e">
        <f>AK35*AK92</f>
        <v>#DIV/0!</v>
      </c>
      <c r="AL93" s="1512"/>
      <c r="AM93" s="1511">
        <f>IF(AM91&lt;1,0,AM35*AM92)</f>
        <v>0</v>
      </c>
      <c r="AN93" s="1512"/>
      <c r="AO93" s="1511">
        <f>IF(AO91&lt;1,0,AO35*AO92)</f>
        <v>0</v>
      </c>
      <c r="AP93" s="1598"/>
      <c r="AQ93" s="1591" t="e">
        <f>AQ35*AQ92</f>
        <v>#DIV/0!</v>
      </c>
      <c r="AR93" s="1514"/>
      <c r="AS93" s="1513" t="e">
        <f>AS35*AS92</f>
        <v>#DIV/0!</v>
      </c>
      <c r="AT93" s="1514"/>
      <c r="AU93" s="1513">
        <f>IF(AU91&lt;1,0,AU35*AU92)</f>
        <v>0</v>
      </c>
      <c r="AV93" s="1514"/>
      <c r="AW93" s="1513">
        <f>IF(AW91&lt;1,0,AW35*AW92)</f>
        <v>0</v>
      </c>
      <c r="AX93" s="1610"/>
      <c r="AY93" s="1602" t="e">
        <f>AY35*AY92</f>
        <v>#DIV/0!</v>
      </c>
      <c r="AZ93" s="1516"/>
      <c r="BA93" s="1515" t="e">
        <f>BA35*BA92</f>
        <v>#DIV/0!</v>
      </c>
      <c r="BB93" s="1516"/>
      <c r="BC93" s="1515">
        <f>IF(BC91&lt;1,0,BC35*BC92)</f>
        <v>0</v>
      </c>
      <c r="BD93" s="1516"/>
      <c r="BE93" s="1515">
        <f>IF(BE91&lt;1,0,BE35*BE92)</f>
        <v>0</v>
      </c>
      <c r="BF93" s="1612"/>
      <c r="BG93" s="1777" t="e">
        <f>BG35*BG92</f>
        <v>#DIV/0!</v>
      </c>
      <c r="BH93" s="1778"/>
      <c r="BI93" s="1779" t="e">
        <f>BI35*BI92</f>
        <v>#DIV/0!</v>
      </c>
      <c r="BJ93" s="1778"/>
      <c r="BK93" s="1779">
        <f>IF(BK91&lt;1,0,BK35*BK92)</f>
        <v>0</v>
      </c>
      <c r="BL93" s="1778"/>
      <c r="BM93" s="1779">
        <f>IF(BM91&lt;1,0,BM35*BM92)</f>
        <v>0</v>
      </c>
      <c r="BN93" s="1766"/>
    </row>
    <row r="94" spans="1:66">
      <c r="A94" s="71"/>
      <c r="C94" s="2359" t="e">
        <f>C34/IF(C36&lt;Assumptions!G92,Assumptions!G92,C36)</f>
        <v>#REF!</v>
      </c>
      <c r="D94" s="2060"/>
      <c r="E94" s="2359" t="e">
        <f>E34/E36</f>
        <v>#REF!</v>
      </c>
      <c r="F94" s="2060"/>
      <c r="G94" s="2359" t="e">
        <f>IF(G93=0,0,G34/G36)</f>
        <v>#REF!</v>
      </c>
      <c r="H94" s="2060"/>
      <c r="I94" s="2080" t="e">
        <f>IF(I93=0,0,I34/I36)</f>
        <v>#REF!</v>
      </c>
      <c r="K94" s="1541" t="e">
        <f>K34/IF(K36&lt;Assumptions!G103,Assumptions!G103,K36)</f>
        <v>#REF!</v>
      </c>
      <c r="L94" s="1486"/>
      <c r="M94" s="1541" t="e">
        <f>M34/M36</f>
        <v>#REF!</v>
      </c>
      <c r="N94" s="1486"/>
      <c r="O94" s="1541" t="e">
        <f>IF(O93=0,0,O34/O36)</f>
        <v>#REF!</v>
      </c>
      <c r="P94" s="1486"/>
      <c r="Q94" s="1464" t="e">
        <f>IF(Q93=0,0,Q34/Q36)</f>
        <v>#REF!</v>
      </c>
      <c r="R94" s="1568"/>
      <c r="S94" s="1563" t="e">
        <f>S34/IF(S36&lt;Assumptions!G112,Assumptions!G112,S36)</f>
        <v>#DIV/0!</v>
      </c>
      <c r="T94" s="1442"/>
      <c r="U94" s="1441" t="e">
        <f>U34/U36</f>
        <v>#DIV/0!</v>
      </c>
      <c r="V94" s="1442"/>
      <c r="W94" s="1441" t="e">
        <f>IF(W93=0,0,W34/W36)</f>
        <v>#DIV/0!</v>
      </c>
      <c r="X94" s="1442"/>
      <c r="Y94" s="1441" t="e">
        <f>IF(Y93=0,0,Y34/Y36)</f>
        <v>#DIV/0!</v>
      </c>
      <c r="Z94" s="1577"/>
      <c r="AA94" s="1572" t="e">
        <f>AA34/IF(AA36&lt;Assumptions!G121,Assumptions!G121,AA36)</f>
        <v>#DIV/0!</v>
      </c>
      <c r="AB94" s="1502"/>
      <c r="AC94" s="1501" t="e">
        <f>AC34/AC36</f>
        <v>#DIV/0!</v>
      </c>
      <c r="AD94" s="1502"/>
      <c r="AE94" s="1501">
        <f>IF(AE93=0,0,AE34/AE36)</f>
        <v>0</v>
      </c>
      <c r="AF94" s="1502"/>
      <c r="AG94" s="1501">
        <f>IF(AG93=0,0,AG34/AG36)</f>
        <v>0</v>
      </c>
      <c r="AH94" s="1586"/>
      <c r="AI94" s="1579" t="e">
        <f>AI34/IF(AI36&lt;Assumptions!G130,Assumptions!G130,AI36)</f>
        <v>#DIV/0!</v>
      </c>
      <c r="AJ94" s="1504"/>
      <c r="AK94" s="1503" t="e">
        <f>AK34/AK36</f>
        <v>#DIV/0!</v>
      </c>
      <c r="AL94" s="1504"/>
      <c r="AM94" s="1503">
        <f>IF(AM93=0,0,AM34/AM36)</f>
        <v>0</v>
      </c>
      <c r="AN94" s="1504"/>
      <c r="AO94" s="1503">
        <f>IF(AO93=0,0,AO34/AO36)</f>
        <v>0</v>
      </c>
      <c r="AP94" s="1597"/>
      <c r="AQ94" s="1590" t="e">
        <f>AQ34/IF(AQ36&lt;Assumptions!G139,Assumptions!G139,AQ36)</f>
        <v>#DIV/0!</v>
      </c>
      <c r="AR94" s="1506"/>
      <c r="AS94" s="1505" t="e">
        <f>AS34/AS36</f>
        <v>#DIV/0!</v>
      </c>
      <c r="AT94" s="1506"/>
      <c r="AU94" s="1505">
        <f>IF(AU93=0,0,AU34/AU36)</f>
        <v>0</v>
      </c>
      <c r="AV94" s="1506"/>
      <c r="AW94" s="1505">
        <f>IF(AW93=0,0,AW34/AW36)</f>
        <v>0</v>
      </c>
      <c r="AX94" s="1609"/>
      <c r="AY94" s="1601" t="e">
        <f>AY34/IF(AY36&lt;Assumptions!G148,Assumptions!G148,AY36)</f>
        <v>#DIV/0!</v>
      </c>
      <c r="AZ94" s="1508"/>
      <c r="BA94" s="1507" t="e">
        <f>BA34/BA36</f>
        <v>#DIV/0!</v>
      </c>
      <c r="BB94" s="1508"/>
      <c r="BC94" s="1507">
        <f>IF(BC93=0,0,BC34/BC36)</f>
        <v>0</v>
      </c>
      <c r="BD94" s="1508"/>
      <c r="BE94" s="1507">
        <f>IF(BE93=0,0,BE34/BE36)</f>
        <v>0</v>
      </c>
      <c r="BF94" s="1612"/>
      <c r="BG94" s="1774" t="e">
        <f>BG34/IF(BG36&lt;Assumptions!G157,Assumptions!G157,BG36)</f>
        <v>#DIV/0!</v>
      </c>
      <c r="BH94" s="1775"/>
      <c r="BI94" s="1776" t="e">
        <f>BI34/BI36</f>
        <v>#DIV/0!</v>
      </c>
      <c r="BJ94" s="1775"/>
      <c r="BK94" s="1776">
        <f>IF(BK93=0,0,BK34/BK36)</f>
        <v>0</v>
      </c>
      <c r="BL94" s="1775"/>
      <c r="BM94" s="1776">
        <f>IF(BM93=0,0,BM34/BM36)</f>
        <v>0</v>
      </c>
      <c r="BN94" s="1766"/>
    </row>
    <row r="95" spans="1:66">
      <c r="A95" s="71"/>
      <c r="C95" s="2365" t="e">
        <f>IF(C94=0,0,IF(C93/C94&lt;3147,3147,C93/C94))</f>
        <v>#REF!</v>
      </c>
      <c r="D95" s="2366"/>
      <c r="E95" s="2365" t="e">
        <f>IF(E94=0,0,IF(E93/E94&lt;3147,3147,E93/E94))</f>
        <v>#REF!</v>
      </c>
      <c r="F95" s="2366"/>
      <c r="G95" s="2365" t="e">
        <f>IF(G94=0,0,IF(G93/G94&lt;72,72,G93/G94))</f>
        <v>#REF!</v>
      </c>
      <c r="H95" s="2366"/>
      <c r="I95" s="2367" t="e">
        <f>IF(I94=0,0,IF(I93/I94&lt;72,72,I93/I94))</f>
        <v>#REF!</v>
      </c>
      <c r="K95" s="1541" t="e">
        <f>IF(K94=0,0,IF(K93/K94&lt;3392,3392,K93/K94))</f>
        <v>#REF!</v>
      </c>
      <c r="L95" s="1548"/>
      <c r="M95" s="1541" t="e">
        <f>IF(M94=0,0,IF(M93/M94&lt;3392,3392,M93/M94))</f>
        <v>#REF!</v>
      </c>
      <c r="N95" s="1548"/>
      <c r="O95" s="1541" t="e">
        <f>IF(O94=0,0,IF(O93/O94&lt;84.777,84.777,O93/O94))</f>
        <v>#REF!</v>
      </c>
      <c r="P95" s="1548"/>
      <c r="Q95" s="1464" t="e">
        <f>IF(Q94=0,0,IF(Q93/Q94&lt;84.777,84.777,Q93/Q94))</f>
        <v>#REF!</v>
      </c>
      <c r="R95" s="1568"/>
      <c r="S95" s="1563" t="e">
        <f>IF(S94=0,0,IF(S93/S94&lt;3618,3618,S93/S94))</f>
        <v>#DIV/0!</v>
      </c>
      <c r="T95" s="1442"/>
      <c r="U95" s="1441" t="e">
        <f>IF(U94=0,0,IF(U93/U94&lt;3618,3618,U93/U94))</f>
        <v>#DIV/0!</v>
      </c>
      <c r="V95" s="1442"/>
      <c r="W95" s="1441" t="e">
        <f>IF(W94=0,0,IF(W93/W94&lt;84.777,84.777,W93/W94))</f>
        <v>#DIV/0!</v>
      </c>
      <c r="X95" s="1442"/>
      <c r="Y95" s="1441" t="e">
        <f>IF(Y94=0,0,IF(Y93/Y94&lt;84.777,84.777,Y93/Y94))</f>
        <v>#DIV/0!</v>
      </c>
      <c r="Z95" s="1577"/>
      <c r="AA95" s="1572" t="e">
        <f>IF(AA94=0,0,IF(AA93/AA94&lt;3618,3618,AA93/AA94))</f>
        <v>#DIV/0!</v>
      </c>
      <c r="AB95" s="1502"/>
      <c r="AC95" s="1501" t="e">
        <f>IF(AC94=0,0,IF(AC93/AC94&lt;3618,3618,AC93/AC94))</f>
        <v>#DIV/0!</v>
      </c>
      <c r="AD95" s="1502"/>
      <c r="AE95" s="1501">
        <f>IF(AE94=0,0,IF(AE93/AE94&lt;84.777,84.777,AE93/AE94))</f>
        <v>0</v>
      </c>
      <c r="AF95" s="1502"/>
      <c r="AG95" s="1501">
        <f>IF(AG94=0,0,IF(AG93/AG94&lt;84.777,84.777,AG93/AG94))</f>
        <v>0</v>
      </c>
      <c r="AH95" s="1586"/>
      <c r="AI95" s="1579" t="e">
        <f>IF(AI94=0,0,IF(AI93/AI94&lt;3618,3618,AI93/AI94))</f>
        <v>#DIV/0!</v>
      </c>
      <c r="AJ95" s="1504"/>
      <c r="AK95" s="1503" t="e">
        <f>IF(AK94=0,0,IF(AK93/AK94&lt;3618,3618,AK93/AK94))</f>
        <v>#DIV/0!</v>
      </c>
      <c r="AL95" s="1504"/>
      <c r="AM95" s="1503">
        <f>IF(AM94=0,0,IF(AM93/AM94&lt;84.777,84.777,AM93/AM94))</f>
        <v>0</v>
      </c>
      <c r="AN95" s="1504"/>
      <c r="AO95" s="1503">
        <f>IF(AO94=0,0,IF(AO93/AO94&lt;84.777,84.777,AO93/AO94))</f>
        <v>0</v>
      </c>
      <c r="AP95" s="1597"/>
      <c r="AQ95" s="1590" t="e">
        <f>IF(AQ94=0,0,IF(AQ93/AQ94&lt;3618,3618,AQ93/AQ94))</f>
        <v>#DIV/0!</v>
      </c>
      <c r="AR95" s="1506"/>
      <c r="AS95" s="1505" t="e">
        <f>IF(AS94=0,0,IF(AS93/AS94&lt;3618,3618,AS93/AS94))</f>
        <v>#DIV/0!</v>
      </c>
      <c r="AT95" s="1506"/>
      <c r="AU95" s="1505">
        <f>IF(AU94=0,0,IF(AU93/AU94&lt;84.777,84.777,AU93/AU94))</f>
        <v>0</v>
      </c>
      <c r="AV95" s="1506"/>
      <c r="AW95" s="1505">
        <f>IF(AW94=0,0,IF(AW93/AW94&lt;84.777,84.777,AW93/AW94))</f>
        <v>0</v>
      </c>
      <c r="AX95" s="1609"/>
      <c r="AY95" s="1601" t="e">
        <f>IF(AY94=0,0,IF(AY93/AY94&lt;3618,3618,AY93/AY94))</f>
        <v>#DIV/0!</v>
      </c>
      <c r="AZ95" s="1508"/>
      <c r="BA95" s="1507" t="e">
        <f>IF(BA94=0,0,IF(BA93/BA94&lt;3618,3618,BA93/BA94))</f>
        <v>#DIV/0!</v>
      </c>
      <c r="BB95" s="1508"/>
      <c r="BC95" s="1507">
        <f>IF(BC94=0,0,IF(BC93/BC94&lt;84.777,84.777,BC93/BC94))</f>
        <v>0</v>
      </c>
      <c r="BD95" s="1508"/>
      <c r="BE95" s="1507">
        <f>IF(BE94=0,0,IF(BE93/BE94&lt;84.777,84.777,BE93/BE94))</f>
        <v>0</v>
      </c>
      <c r="BF95" s="1612"/>
      <c r="BG95" s="1774" t="e">
        <f>IF(BG94=0,0,IF(BG93/BG94&lt;3618,3618,BG93/BG94))</f>
        <v>#DIV/0!</v>
      </c>
      <c r="BH95" s="1775"/>
      <c r="BI95" s="1776" t="e">
        <f>IF(BI94=0,0,IF(BI93/BI94&lt;3618,3618,BI93/BI94))</f>
        <v>#DIV/0!</v>
      </c>
      <c r="BJ95" s="1775"/>
      <c r="BK95" s="1776">
        <f>IF(BK94=0,0,IF(BK93/BK94&lt;84.777,84.777,BK93/BK94))</f>
        <v>0</v>
      </c>
      <c r="BL95" s="1775"/>
      <c r="BM95" s="1776">
        <f>IF(BM94=0,0,IF(BM93/BM94&lt;84.777,84.777,BM93/BM94))</f>
        <v>0</v>
      </c>
      <c r="BN95" s="1766"/>
    </row>
    <row r="96" spans="1:66">
      <c r="A96" s="71"/>
      <c r="C96" s="2359" t="e">
        <f>IF(OR('Data Entry - SOF'!C140=0,C95=0),0,IF('Data Entry - SOF'!C140&gt;C95,(C95*'Data Entry - SOF'!C139)/C95,('Data Entry - SOF'!C140*'Data Entry - SOF'!C139)/C95))</f>
        <v>#REF!</v>
      </c>
      <c r="D96" s="2060"/>
      <c r="E96" s="2359" t="e">
        <f>C96</f>
        <v>#REF!</v>
      </c>
      <c r="F96" s="2060"/>
      <c r="G96" s="2359" t="e">
        <f>IF(OR('Data Entry - SOF'!C181=0,G95=0),0,IF('Data Entry - SOF'!C181&gt;G95,(G95*'Data Entry - SOF'!C180)/G95,('Data Entry - SOF'!C181*'Data Entry - SOF'!C180)/G95))</f>
        <v>#REF!</v>
      </c>
      <c r="H96" s="2060"/>
      <c r="I96" s="2080" t="e">
        <f>G96</f>
        <v>#REF!</v>
      </c>
      <c r="K96" s="1541" t="e">
        <f>IF(OR('Data Entry - SOF'!#REF!=0,K95=0),0,IF('Data Entry - SOF'!#REF!&gt;K95,(K95*'Data Entry - SOF'!#REF!)/K95,('Data Entry - SOF'!#REF!*'Data Entry - SOF'!#REF!)/K95))</f>
        <v>#REF!</v>
      </c>
      <c r="L96" s="1486"/>
      <c r="M96" s="1541" t="e">
        <f>K96</f>
        <v>#REF!</v>
      </c>
      <c r="N96" s="1486"/>
      <c r="O96" s="1541" t="e">
        <f>IF(OR('Data Entry - SOF'!#REF!=0,O95=0),0,IF('Data Entry - SOF'!#REF!&gt;O95,(O95*'Data Entry - SOF'!#REF!)/O95,('Data Entry - SOF'!#REF!*'Data Entry - SOF'!#REF!)/O95))</f>
        <v>#REF!</v>
      </c>
      <c r="P96" s="1486"/>
      <c r="Q96" s="1464" t="e">
        <f>O96</f>
        <v>#REF!</v>
      </c>
      <c r="R96" s="1568"/>
      <c r="S96" s="1563" t="e">
        <f>IF(OR('Data Entry - SOF'!E140=0,S95=0),0,IF('Data Entry - SOF'!E140&gt;S95,(S95*'Data Entry - SOF'!E139)/S95,('Data Entry - SOF'!E140*'Data Entry - SOF'!E139)/S95))</f>
        <v>#DIV/0!</v>
      </c>
      <c r="T96" s="1442"/>
      <c r="U96" s="1441" t="e">
        <f>S96</f>
        <v>#DIV/0!</v>
      </c>
      <c r="V96" s="1442"/>
      <c r="W96" s="1441" t="e">
        <f>IF(OR('Data Entry - SOF'!E181=0,W95=0),0,IF('Data Entry - SOF'!E181&gt;W95,(W95*'Data Entry - SOF'!E180)/W95,('Data Entry - SOF'!E181*'Data Entry - SOF'!E180)/W95))</f>
        <v>#DIV/0!</v>
      </c>
      <c r="X96" s="1442"/>
      <c r="Y96" s="1441" t="e">
        <f>W96</f>
        <v>#DIV/0!</v>
      </c>
      <c r="Z96" s="1577"/>
      <c r="AA96" s="1572" t="e">
        <f>IF(OR('Data Entry - SOF'!G140=0,AA95=0),0,IF('Data Entry - SOF'!G140&gt;AA95,(AA95*'Data Entry - SOF'!G139)/AA95,('Data Entry - SOF'!G140*'Data Entry - SOF'!G139)/AA95))</f>
        <v>#DIV/0!</v>
      </c>
      <c r="AB96" s="1502"/>
      <c r="AC96" s="1501" t="e">
        <f>AA96</f>
        <v>#DIV/0!</v>
      </c>
      <c r="AD96" s="1502"/>
      <c r="AE96" s="1501">
        <f>IF(OR('Data Entry - SOF'!G181=0,AE95=0),0,IF('Data Entry - SOF'!G181&gt;AE95,(AE95*'Data Entry - SOF'!G180)/AE95,('Data Entry - SOF'!G181*'Data Entry - SOF'!G180)/AE95))</f>
        <v>0</v>
      </c>
      <c r="AF96" s="1502"/>
      <c r="AG96" s="1501">
        <f>AE96</f>
        <v>0</v>
      </c>
      <c r="AH96" s="1586"/>
      <c r="AI96" s="1579" t="e">
        <f>IF(OR('Data Entry - SOF'!M140=0,AI95=0),0,IF('Data Entry - SOF'!M140&gt;AI95,(AI95*'Data Entry - SOF'!M139)/AI95,('Data Entry - SOF'!M140*'Data Entry - SOF'!M139)/AI95))</f>
        <v>#DIV/0!</v>
      </c>
      <c r="AJ96" s="1504"/>
      <c r="AK96" s="1503" t="e">
        <f>AI96</f>
        <v>#DIV/0!</v>
      </c>
      <c r="AL96" s="1504"/>
      <c r="AM96" s="1503">
        <f>IF(OR('Data Entry - SOF'!M181=0,AM95=0),0,IF('Data Entry - SOF'!M181&gt;AM95,(AM95*'Data Entry - SOF'!M180)/AM95,('Data Entry - SOF'!M181*'Data Entry - SOF'!M180)/AM95))</f>
        <v>0</v>
      </c>
      <c r="AN96" s="1504"/>
      <c r="AO96" s="1503">
        <f>AM96</f>
        <v>0</v>
      </c>
      <c r="AP96" s="1597"/>
      <c r="AQ96" s="1590" t="e">
        <f>IF(OR('Data Entry - SOF'!O140=0,AQ95=0),0,IF('Data Entry - SOF'!O140&gt;AQ95,(AQ95*'Data Entry - SOF'!O139)/AQ95,('Data Entry - SOF'!O140*'Data Entry - SOF'!O139)/AQ95))</f>
        <v>#DIV/0!</v>
      </c>
      <c r="AR96" s="1506"/>
      <c r="AS96" s="1505" t="e">
        <f>AQ96</f>
        <v>#DIV/0!</v>
      </c>
      <c r="AT96" s="1506"/>
      <c r="AU96" s="1505">
        <f>IF(OR('Data Entry - SOF'!O181=0,AU95=0),0,IF('Data Entry - SOF'!O181&gt;AU95,(AU95*'Data Entry - SOF'!O180)/AU95,('Data Entry - SOF'!O181*'Data Entry - SOF'!O180)/AU95))</f>
        <v>0</v>
      </c>
      <c r="AV96" s="1506"/>
      <c r="AW96" s="1505">
        <f>AU96</f>
        <v>0</v>
      </c>
      <c r="AX96" s="1609"/>
      <c r="AY96" s="1601" t="e">
        <f>IF(OR('Data Entry - SOF'!Q140=0,AY95=0),0,IF('Data Entry - SOF'!Q140&gt;AY95,(AY95*'Data Entry - SOF'!Q139)/AY95,('Data Entry - SOF'!Q140*'Data Entry - SOF'!Q139)/AY95))</f>
        <v>#DIV/0!</v>
      </c>
      <c r="AZ96" s="1508"/>
      <c r="BA96" s="1507" t="e">
        <f>AY96</f>
        <v>#DIV/0!</v>
      </c>
      <c r="BB96" s="1508"/>
      <c r="BC96" s="1507">
        <f>IF(OR('Data Entry - SOF'!Q181=0,BC95=0),0,IF('Data Entry - SOF'!Q181&gt;BC95,(BC95*'Data Entry - SOF'!Q180)/BC95,('Data Entry - SOF'!Q181*'Data Entry - SOF'!Q180)/BC95))</f>
        <v>0</v>
      </c>
      <c r="BD96" s="1508"/>
      <c r="BE96" s="1507">
        <f>BC96</f>
        <v>0</v>
      </c>
      <c r="BF96" s="1612"/>
      <c r="BG96" s="1774" t="e">
        <f>IF(OR('Data Entry - SOF'!S140=0,BG95=0),0,IF('Data Entry - SOF'!S140&gt;BG95,(BG95*'Data Entry - SOF'!S139)/BG95,('Data Entry - SOF'!S140*'Data Entry - SOF'!S139)/BG95))</f>
        <v>#DIV/0!</v>
      </c>
      <c r="BH96" s="1775"/>
      <c r="BI96" s="1776" t="e">
        <f>BG96</f>
        <v>#DIV/0!</v>
      </c>
      <c r="BJ96" s="1775"/>
      <c r="BK96" s="1776">
        <f>IF(OR('Data Entry - SOF'!S181=0,BK95=0),0,IF('Data Entry - SOF'!S181&gt;BK95,(BK95*'Data Entry - SOF'!S180)/BK95,('Data Entry - SOF'!S181*'Data Entry - SOF'!S180)/BK95))</f>
        <v>0</v>
      </c>
      <c r="BL96" s="1775"/>
      <c r="BM96" s="1776">
        <f>BK96</f>
        <v>0</v>
      </c>
      <c r="BN96" s="1766"/>
    </row>
    <row r="97" spans="1:66">
      <c r="A97" s="71"/>
      <c r="C97" s="2359">
        <v>0</v>
      </c>
      <c r="D97" s="2060"/>
      <c r="E97" s="2359">
        <v>0</v>
      </c>
      <c r="F97" s="2060"/>
      <c r="G97" s="2359">
        <v>0</v>
      </c>
      <c r="H97" s="2060"/>
      <c r="I97" s="2080">
        <v>0</v>
      </c>
      <c r="K97" s="1541">
        <v>0</v>
      </c>
      <c r="L97" s="1486"/>
      <c r="M97" s="1541">
        <v>0</v>
      </c>
      <c r="N97" s="1486"/>
      <c r="O97" s="1541">
        <v>0</v>
      </c>
      <c r="P97" s="1486"/>
      <c r="Q97" s="1464">
        <v>0</v>
      </c>
      <c r="R97" s="1568"/>
      <c r="S97" s="1563">
        <v>0</v>
      </c>
      <c r="T97" s="1442"/>
      <c r="U97" s="1441">
        <v>0</v>
      </c>
      <c r="V97" s="1442"/>
      <c r="W97" s="1441">
        <v>0</v>
      </c>
      <c r="X97" s="1442"/>
      <c r="Y97" s="1441">
        <v>0</v>
      </c>
      <c r="Z97" s="1577"/>
      <c r="AA97" s="1572">
        <v>0</v>
      </c>
      <c r="AB97" s="1502"/>
      <c r="AC97" s="1501">
        <v>0</v>
      </c>
      <c r="AD97" s="1502"/>
      <c r="AE97" s="1501">
        <v>0</v>
      </c>
      <c r="AF97" s="1502"/>
      <c r="AG97" s="1501">
        <v>0</v>
      </c>
      <c r="AH97" s="1586"/>
      <c r="AI97" s="1579">
        <v>0</v>
      </c>
      <c r="AJ97" s="1504"/>
      <c r="AK97" s="1503">
        <v>0</v>
      </c>
      <c r="AL97" s="1504"/>
      <c r="AM97" s="1503">
        <v>0</v>
      </c>
      <c r="AN97" s="1504"/>
      <c r="AO97" s="1503">
        <v>0</v>
      </c>
      <c r="AP97" s="1597"/>
      <c r="AQ97" s="1590">
        <v>0</v>
      </c>
      <c r="AR97" s="1506"/>
      <c r="AS97" s="1505">
        <v>0</v>
      </c>
      <c r="AT97" s="1506"/>
      <c r="AU97" s="1505">
        <v>0</v>
      </c>
      <c r="AV97" s="1506"/>
      <c r="AW97" s="1505">
        <v>0</v>
      </c>
      <c r="AX97" s="1609"/>
      <c r="AY97" s="1601">
        <v>0</v>
      </c>
      <c r="AZ97" s="1508"/>
      <c r="BA97" s="1507">
        <v>0</v>
      </c>
      <c r="BB97" s="1508"/>
      <c r="BC97" s="1507">
        <v>0</v>
      </c>
      <c r="BD97" s="1508"/>
      <c r="BE97" s="1507">
        <v>0</v>
      </c>
      <c r="BF97" s="1612"/>
      <c r="BG97" s="1774">
        <v>0</v>
      </c>
      <c r="BH97" s="1775"/>
      <c r="BI97" s="1776">
        <v>0</v>
      </c>
      <c r="BJ97" s="1775"/>
      <c r="BK97" s="1776">
        <v>0</v>
      </c>
      <c r="BL97" s="1775"/>
      <c r="BM97" s="1776">
        <v>0</v>
      </c>
      <c r="BN97" s="1766"/>
    </row>
    <row r="98" spans="1:66">
      <c r="A98" s="71"/>
      <c r="C98" s="2359" t="e">
        <f>IF(C94-C96-C97&lt;0,0,C94-C96-C97)</f>
        <v>#REF!</v>
      </c>
      <c r="D98" s="2060"/>
      <c r="E98" s="2359" t="e">
        <f>IF(E94-E96-E97&lt;0,0,E94-E96-E97)</f>
        <v>#REF!</v>
      </c>
      <c r="F98" s="2060"/>
      <c r="G98" s="2359" t="e">
        <f>IF(G94-G96-G97&lt;0,0,G94-G96-G97)</f>
        <v>#REF!</v>
      </c>
      <c r="H98" s="2060"/>
      <c r="I98" s="2080" t="e">
        <f>IF(I94-I96-I97&lt;0,0,I94-I96-I97)</f>
        <v>#REF!</v>
      </c>
      <c r="K98" s="1541" t="e">
        <f>IF(K94-K96-K97&lt;0,0,K94-K96-K97)</f>
        <v>#REF!</v>
      </c>
      <c r="L98" s="1486"/>
      <c r="M98" s="1541" t="e">
        <f>IF(M94-M96-M97&lt;0,0,M94-M96-M97)</f>
        <v>#REF!</v>
      </c>
      <c r="N98" s="1486"/>
      <c r="O98" s="1541" t="e">
        <f>IF(O94-O96-O97&lt;0,0,O94-O96-O97)</f>
        <v>#REF!</v>
      </c>
      <c r="P98" s="1486"/>
      <c r="Q98" s="1464" t="e">
        <f>IF(Q94-Q96-Q97&lt;0,0,Q94-Q96-Q97)</f>
        <v>#REF!</v>
      </c>
      <c r="R98" s="1568"/>
      <c r="S98" s="1563" t="e">
        <f>IF(S94-S96-S97&lt;0,0,S94-S96-S97)</f>
        <v>#DIV/0!</v>
      </c>
      <c r="T98" s="1442"/>
      <c r="U98" s="1441" t="e">
        <f>IF(U94-U96-U97&lt;0,0,U94-U96-U97)</f>
        <v>#DIV/0!</v>
      </c>
      <c r="V98" s="1442"/>
      <c r="W98" s="1441" t="e">
        <f>IF(W94-W96-W97&lt;0,0,W94-W96-W97)</f>
        <v>#DIV/0!</v>
      </c>
      <c r="X98" s="1442"/>
      <c r="Y98" s="1441" t="e">
        <f>IF(Y94-Y96-Y97&lt;0,0,Y94-Y96-Y97)</f>
        <v>#DIV/0!</v>
      </c>
      <c r="Z98" s="1577"/>
      <c r="AA98" s="1572" t="e">
        <f>IF(AA94-AA96-AA97&lt;0,0,AA94-AA96-AA97)</f>
        <v>#DIV/0!</v>
      </c>
      <c r="AB98" s="1502"/>
      <c r="AC98" s="1501" t="e">
        <f>IF(AC94-AC96-AC97&lt;0,0,AC94-AC96-AC97)</f>
        <v>#DIV/0!</v>
      </c>
      <c r="AD98" s="1502"/>
      <c r="AE98" s="1501">
        <f>IF(AE94-AE96-AE97&lt;0,0,AE94-AE96-AE97)</f>
        <v>0</v>
      </c>
      <c r="AF98" s="1502"/>
      <c r="AG98" s="1501">
        <f>IF(AG94-AG96-AG97&lt;0,0,AG94-AG96-AG97)</f>
        <v>0</v>
      </c>
      <c r="AH98" s="1586"/>
      <c r="AI98" s="1579" t="e">
        <f>IF(AI94-AI96-AI97&lt;0,0,AI94-AI96-AI97)</f>
        <v>#DIV/0!</v>
      </c>
      <c r="AJ98" s="1504"/>
      <c r="AK98" s="1503" t="e">
        <f>IF(AK94-AK96-AK97&lt;0,0,AK94-AK96-AK97)</f>
        <v>#DIV/0!</v>
      </c>
      <c r="AL98" s="1504"/>
      <c r="AM98" s="1503">
        <f>IF(AM94-AM96-AM97&lt;0,0,AM94-AM96-AM97)</f>
        <v>0</v>
      </c>
      <c r="AN98" s="1504"/>
      <c r="AO98" s="1503">
        <f>IF(AO94-AO96-AO97&lt;0,0,AO94-AO96-AO97)</f>
        <v>0</v>
      </c>
      <c r="AP98" s="1597"/>
      <c r="AQ98" s="1590" t="e">
        <f>IF(AQ94-AQ96-AQ97&lt;0,0,AQ94-AQ96-AQ97)</f>
        <v>#DIV/0!</v>
      </c>
      <c r="AR98" s="1506"/>
      <c r="AS98" s="1505" t="e">
        <f>IF(AS94-AS96-AS97&lt;0,0,AS94-AS96-AS97)</f>
        <v>#DIV/0!</v>
      </c>
      <c r="AT98" s="1506"/>
      <c r="AU98" s="1505">
        <f>IF(AU94-AU96-AU97&lt;0,0,AU94-AU96-AU97)</f>
        <v>0</v>
      </c>
      <c r="AV98" s="1506"/>
      <c r="AW98" s="1505">
        <f>IF(AW94-AW96-AW97&lt;0,0,AW94-AW96-AW97)</f>
        <v>0</v>
      </c>
      <c r="AX98" s="1609"/>
      <c r="AY98" s="1601" t="e">
        <f>IF(AY94-AY96-AY97&lt;0,0,AY94-AY96-AY97)</f>
        <v>#DIV/0!</v>
      </c>
      <c r="AZ98" s="1508"/>
      <c r="BA98" s="1507" t="e">
        <f>IF(BA94-BA96-BA97&lt;0,0,BA94-BA96-BA97)</f>
        <v>#DIV/0!</v>
      </c>
      <c r="BB98" s="1508"/>
      <c r="BC98" s="1507">
        <f>IF(BC94-BC96-BC97&lt;0,0,BC94-BC96-BC97)</f>
        <v>0</v>
      </c>
      <c r="BD98" s="1508"/>
      <c r="BE98" s="1507">
        <f>IF(BE94-BE96-BE97&lt;0,0,BE94-BE96-BE97)</f>
        <v>0</v>
      </c>
      <c r="BF98" s="1612"/>
      <c r="BG98" s="1774" t="e">
        <f>IF(BG94-BG96-BG97&lt;0,0,BG94-BG96-BG97)</f>
        <v>#DIV/0!</v>
      </c>
      <c r="BH98" s="1775"/>
      <c r="BI98" s="1776" t="e">
        <f>IF(BI94-BI96-BI97&lt;0,0,BI94-BI96-BI97)</f>
        <v>#DIV/0!</v>
      </c>
      <c r="BJ98" s="1775"/>
      <c r="BK98" s="1776">
        <f>IF(BK94-BK96-BK97&lt;0,0,BK94-BK96-BK97)</f>
        <v>0</v>
      </c>
      <c r="BL98" s="1775"/>
      <c r="BM98" s="1776">
        <f>IF(BM94-BM96-BM97&lt;0,0,BM94-BM96-BM97)</f>
        <v>0</v>
      </c>
      <c r="BN98" s="1766"/>
    </row>
    <row r="99" spans="1:66">
      <c r="A99" s="71"/>
      <c r="C99" s="2083" t="e">
        <f>IF(C98=0,0,C98*C95)</f>
        <v>#REF!</v>
      </c>
      <c r="D99" s="2057"/>
      <c r="E99" s="2083" t="e">
        <f>IF(E98=0,0,E98*E95)</f>
        <v>#REF!</v>
      </c>
      <c r="F99" s="2057"/>
      <c r="G99" s="2083" t="e">
        <f>IF(G98=0,0,G98*G95)</f>
        <v>#REF!</v>
      </c>
      <c r="H99" s="2057"/>
      <c r="I99" s="2084" t="e">
        <f>IF(I98=0,0,I98*I95)</f>
        <v>#REF!</v>
      </c>
      <c r="K99" s="1547" t="e">
        <f>IF(K98=0,0,K98*K95)</f>
        <v>#REF!</v>
      </c>
      <c r="L99" s="1484"/>
      <c r="M99" s="1547" t="e">
        <f>IF(M98=0,0,M98*M95)</f>
        <v>#REF!</v>
      </c>
      <c r="N99" s="1484"/>
      <c r="O99" s="1547" t="e">
        <f>IF(O98=0,0,O98*O95)</f>
        <v>#REF!</v>
      </c>
      <c r="P99" s="1484"/>
      <c r="Q99" s="1463" t="e">
        <f>IF(Q98=0,0,Q98*Q95)</f>
        <v>#REF!</v>
      </c>
      <c r="R99" s="1570"/>
      <c r="S99" s="1564" t="e">
        <f>IF(S98=0,0,S98*S95)</f>
        <v>#DIV/0!</v>
      </c>
      <c r="T99" s="1440"/>
      <c r="U99" s="1439" t="e">
        <f>IF(U98=0,0,U98*U95)</f>
        <v>#DIV/0!</v>
      </c>
      <c r="V99" s="1440"/>
      <c r="W99" s="1439" t="e">
        <f>IF(W98=0,0,W98*W95)</f>
        <v>#DIV/0!</v>
      </c>
      <c r="X99" s="1440"/>
      <c r="Y99" s="1439" t="e">
        <f>IF(Y98=0,0,Y98*Y95)</f>
        <v>#DIV/0!</v>
      </c>
      <c r="Z99" s="1561"/>
      <c r="AA99" s="1573" t="e">
        <f>IF(AA98=0,0,AA98*AA95)</f>
        <v>#DIV/0!</v>
      </c>
      <c r="AB99" s="1510"/>
      <c r="AC99" s="1509" t="e">
        <f>IF(AC98=0,0,AC98*AC95)</f>
        <v>#DIV/0!</v>
      </c>
      <c r="AD99" s="1510"/>
      <c r="AE99" s="1509">
        <f>IF(AE98=0,0,AE98*AE95)</f>
        <v>0</v>
      </c>
      <c r="AF99" s="1510"/>
      <c r="AG99" s="1509">
        <f>IF(AG98=0,0,AG98*AG95)</f>
        <v>0</v>
      </c>
      <c r="AH99" s="1587"/>
      <c r="AI99" s="1426" t="e">
        <f>IF(AI98=0,0,AI98*AI95)</f>
        <v>#DIV/0!</v>
      </c>
      <c r="AJ99" s="1512"/>
      <c r="AK99" s="1511" t="e">
        <f>IF(AK98=0,0,AK98*AK95)</f>
        <v>#DIV/0!</v>
      </c>
      <c r="AL99" s="1512"/>
      <c r="AM99" s="1511">
        <f>IF(AM98=0,0,AM98*AM95)</f>
        <v>0</v>
      </c>
      <c r="AN99" s="1512"/>
      <c r="AO99" s="1511">
        <f>IF(AO98=0,0,AO98*AO95)</f>
        <v>0</v>
      </c>
      <c r="AP99" s="1598"/>
      <c r="AQ99" s="1591" t="e">
        <f>IF(AQ98=0,0,AQ98*AQ95)</f>
        <v>#DIV/0!</v>
      </c>
      <c r="AR99" s="1514"/>
      <c r="AS99" s="1513" t="e">
        <f>IF(AS98=0,0,AS98*AS95)</f>
        <v>#DIV/0!</v>
      </c>
      <c r="AT99" s="1514"/>
      <c r="AU99" s="1513">
        <f>IF(AU98=0,0,AU98*AU95)</f>
        <v>0</v>
      </c>
      <c r="AV99" s="1514"/>
      <c r="AW99" s="1513">
        <f>IF(AW98=0,0,AW98*AW95)</f>
        <v>0</v>
      </c>
      <c r="AX99" s="1610"/>
      <c r="AY99" s="1602" t="e">
        <f>IF(AY98=0,0,AY98*AY95)</f>
        <v>#DIV/0!</v>
      </c>
      <c r="AZ99" s="1516"/>
      <c r="BA99" s="1515" t="e">
        <f>IF(BA98=0,0,BA98*BA95)</f>
        <v>#DIV/0!</v>
      </c>
      <c r="BB99" s="1516"/>
      <c r="BC99" s="1515">
        <f>IF(BC98=0,0,BC98*BC95)</f>
        <v>0</v>
      </c>
      <c r="BD99" s="1516"/>
      <c r="BE99" s="1515">
        <f>IF(BE98=0,0,BE98*BE95)</f>
        <v>0</v>
      </c>
      <c r="BF99" s="1612"/>
      <c r="BG99" s="1777" t="e">
        <f>IF(BG98=0,0,BG98*BG95)</f>
        <v>#DIV/0!</v>
      </c>
      <c r="BH99" s="1778"/>
      <c r="BI99" s="1779" t="e">
        <f>IF(BI98=0,0,BI98*BI95)</f>
        <v>#DIV/0!</v>
      </c>
      <c r="BJ99" s="1778"/>
      <c r="BK99" s="1779">
        <f>IF(BK98=0,0,BK98*BK95)</f>
        <v>0</v>
      </c>
      <c r="BL99" s="1778"/>
      <c r="BM99" s="1779">
        <f>IF(BM98=0,0,BM98*BM95)</f>
        <v>0</v>
      </c>
      <c r="BN99" s="1766"/>
    </row>
    <row r="100" spans="1:66">
      <c r="A100" s="71"/>
      <c r="I100" s="2070"/>
      <c r="K100" s="1484"/>
      <c r="L100" s="1484"/>
      <c r="M100" s="1484"/>
      <c r="N100" s="1484"/>
      <c r="O100" s="1484"/>
      <c r="P100" s="1484"/>
      <c r="Q100" s="1540"/>
      <c r="R100" s="1570"/>
      <c r="S100" s="1440"/>
      <c r="T100" s="1440"/>
      <c r="U100" s="1440"/>
      <c r="V100" s="1440"/>
      <c r="W100" s="1440"/>
      <c r="X100" s="1440"/>
      <c r="Y100" s="1440"/>
      <c r="Z100" s="1561"/>
      <c r="AA100" s="1510"/>
      <c r="AB100" s="1510"/>
      <c r="AC100" s="1510"/>
      <c r="AD100" s="1510"/>
      <c r="AE100" s="1510"/>
      <c r="AF100" s="1510"/>
      <c r="AG100" s="1510"/>
      <c r="AH100" s="1587"/>
      <c r="AI100" s="1512"/>
      <c r="AJ100" s="1512"/>
      <c r="AK100" s="1512"/>
      <c r="AL100" s="1512"/>
      <c r="AM100" s="1512"/>
      <c r="AN100" s="1512"/>
      <c r="AO100" s="1512"/>
      <c r="AP100" s="1598"/>
      <c r="AQ100" s="1514"/>
      <c r="AR100" s="1514"/>
      <c r="AS100" s="1514"/>
      <c r="AT100" s="1514"/>
      <c r="AU100" s="1514"/>
      <c r="AV100" s="1514"/>
      <c r="AW100" s="1514"/>
      <c r="AX100" s="1610"/>
      <c r="AY100" s="1516"/>
      <c r="AZ100" s="1516"/>
      <c r="BA100" s="1516"/>
      <c r="BB100" s="1516"/>
      <c r="BC100" s="1516"/>
      <c r="BD100" s="1516"/>
      <c r="BE100" s="1516"/>
      <c r="BF100" s="1612"/>
      <c r="BG100" s="1778"/>
      <c r="BH100" s="1778"/>
      <c r="BI100" s="1778"/>
      <c r="BJ100" s="1778"/>
      <c r="BK100" s="1778"/>
      <c r="BL100" s="1778"/>
      <c r="BM100" s="1778"/>
      <c r="BN100" s="1766"/>
    </row>
    <row r="101" spans="1:66">
      <c r="A101" s="71"/>
      <c r="I101" s="2070"/>
      <c r="K101" s="1484"/>
      <c r="L101" s="1484"/>
      <c r="M101" s="1484"/>
      <c r="N101" s="1484"/>
      <c r="O101" s="1484"/>
      <c r="P101" s="1484"/>
      <c r="Q101" s="1540"/>
      <c r="R101" s="1570"/>
      <c r="S101" s="1440"/>
      <c r="T101" s="1440"/>
      <c r="U101" s="1440"/>
      <c r="V101" s="1440"/>
      <c r="W101" s="1440"/>
      <c r="X101" s="1440"/>
      <c r="Y101" s="1440"/>
      <c r="Z101" s="1561"/>
      <c r="AA101" s="1510"/>
      <c r="AB101" s="1510"/>
      <c r="AC101" s="1510"/>
      <c r="AD101" s="1510"/>
      <c r="AE101" s="1510"/>
      <c r="AF101" s="1510"/>
      <c r="AG101" s="1510"/>
      <c r="AH101" s="1587"/>
      <c r="AI101" s="1512"/>
      <c r="AJ101" s="1512"/>
      <c r="AK101" s="1512"/>
      <c r="AL101" s="1512"/>
      <c r="AM101" s="1512"/>
      <c r="AN101" s="1512"/>
      <c r="AO101" s="1512"/>
      <c r="AP101" s="1598"/>
      <c r="AQ101" s="1514"/>
      <c r="AR101" s="1514"/>
      <c r="AS101" s="1514"/>
      <c r="AT101" s="1514"/>
      <c r="AU101" s="1514"/>
      <c r="AV101" s="1514"/>
      <c r="AW101" s="1514"/>
      <c r="AX101" s="1610"/>
      <c r="AY101" s="1516"/>
      <c r="AZ101" s="1516"/>
      <c r="BA101" s="1516"/>
      <c r="BB101" s="1516"/>
      <c r="BC101" s="1516"/>
      <c r="BD101" s="1516"/>
      <c r="BE101" s="1516"/>
      <c r="BF101" s="1612"/>
      <c r="BG101" s="1778"/>
      <c r="BH101" s="1778"/>
      <c r="BI101" s="1778"/>
      <c r="BJ101" s="1778"/>
      <c r="BK101" s="1778"/>
      <c r="BL101" s="1778"/>
      <c r="BM101" s="1778"/>
      <c r="BN101" s="1766"/>
    </row>
    <row r="102" spans="1:66">
      <c r="A102" s="71"/>
      <c r="C102" s="2368" t="e">
        <f>IF(C141&gt;C142,C142,C141)</f>
        <v>#REF!</v>
      </c>
      <c r="D102" s="2057"/>
      <c r="E102" s="2368">
        <v>0</v>
      </c>
      <c r="F102" s="2057"/>
      <c r="G102" s="2368" t="e">
        <f>IF(G141&gt;G142,G142,G141)</f>
        <v>#REF!</v>
      </c>
      <c r="H102" s="2057"/>
      <c r="I102" s="2369">
        <v>0</v>
      </c>
      <c r="K102" s="1547" t="e">
        <f>IF(K141&gt;K142,K142,K141)</f>
        <v>#REF!</v>
      </c>
      <c r="L102" s="1484"/>
      <c r="M102" s="1547">
        <v>0</v>
      </c>
      <c r="N102" s="1484"/>
      <c r="O102" s="1547" t="e">
        <f>IF(O141&gt;O142,O142,O141)</f>
        <v>#REF!</v>
      </c>
      <c r="P102" s="1484"/>
      <c r="Q102" s="1463">
        <v>0</v>
      </c>
      <c r="R102" s="1570"/>
      <c r="S102" s="1564" t="e">
        <f>IF(S141&gt;S142,S142,S141)</f>
        <v>#DIV/0!</v>
      </c>
      <c r="T102" s="1440"/>
      <c r="U102" s="1439">
        <v>0</v>
      </c>
      <c r="V102" s="1440"/>
      <c r="W102" s="1439" t="e">
        <f>IF(W141&gt;W142,W142,W141)</f>
        <v>#DIV/0!</v>
      </c>
      <c r="X102" s="1440"/>
      <c r="Y102" s="1439">
        <v>0</v>
      </c>
      <c r="Z102" s="1561"/>
      <c r="AA102" s="1573" t="e">
        <f>IF(AA141&gt;AA142,AA142,AA141)</f>
        <v>#DIV/0!</v>
      </c>
      <c r="AB102" s="1510"/>
      <c r="AC102" s="1509">
        <v>0</v>
      </c>
      <c r="AD102" s="1510"/>
      <c r="AE102" s="1509">
        <f>IF(AE141&gt;AE142,AE142,AE141)</f>
        <v>0</v>
      </c>
      <c r="AF102" s="1510"/>
      <c r="AG102" s="1509">
        <v>0</v>
      </c>
      <c r="AH102" s="1587"/>
      <c r="AI102" s="1426" t="e">
        <f>IF(AI141&gt;AI142,AI142,AI141)</f>
        <v>#DIV/0!</v>
      </c>
      <c r="AJ102" s="1512"/>
      <c r="AK102" s="1511">
        <v>0</v>
      </c>
      <c r="AL102" s="1512"/>
      <c r="AM102" s="1511">
        <f>IF(AM141&gt;AM142,AM142,AM141)</f>
        <v>0</v>
      </c>
      <c r="AN102" s="1512"/>
      <c r="AO102" s="1511">
        <v>0</v>
      </c>
      <c r="AP102" s="1598"/>
      <c r="AQ102" s="1591" t="e">
        <f>IF(AQ141&gt;AQ142,AQ142,AQ141)</f>
        <v>#DIV/0!</v>
      </c>
      <c r="AR102" s="1514"/>
      <c r="AS102" s="1513">
        <v>0</v>
      </c>
      <c r="AT102" s="1514"/>
      <c r="AU102" s="1513">
        <f>IF(AU141&gt;AU142,AU142,AU141)</f>
        <v>0</v>
      </c>
      <c r="AV102" s="1514"/>
      <c r="AW102" s="1513">
        <v>0</v>
      </c>
      <c r="AX102" s="1610"/>
      <c r="AY102" s="1602" t="e">
        <f>IF(AY141&gt;AY142,AY142,AY141)</f>
        <v>#DIV/0!</v>
      </c>
      <c r="AZ102" s="1516"/>
      <c r="BA102" s="1515">
        <v>0</v>
      </c>
      <c r="BB102" s="1516"/>
      <c r="BC102" s="1515">
        <f>IF(BC141&gt;BC142,BC142,BC141)</f>
        <v>0</v>
      </c>
      <c r="BD102" s="1516"/>
      <c r="BE102" s="1515">
        <v>0</v>
      </c>
      <c r="BF102" s="1612"/>
      <c r="BG102" s="1777" t="e">
        <f>IF(BG141&gt;BG142,BG142,BG141)</f>
        <v>#DIV/0!</v>
      </c>
      <c r="BH102" s="1778"/>
      <c r="BI102" s="1779">
        <v>0</v>
      </c>
      <c r="BJ102" s="1778"/>
      <c r="BK102" s="1779">
        <f>IF(BK141&gt;BK142,BK142,BK141)</f>
        <v>0</v>
      </c>
      <c r="BL102" s="1778"/>
      <c r="BM102" s="1779">
        <v>0</v>
      </c>
      <c r="BN102" s="1766"/>
    </row>
    <row r="103" spans="1:66">
      <c r="A103" s="71"/>
      <c r="C103" s="2381" t="e">
        <f>'Data Entry - SOF'!C136*(C99/#REF!)</f>
        <v>#REF!</v>
      </c>
      <c r="D103" s="2057"/>
      <c r="E103" s="2368">
        <f>IF('Data Entry - SOF'!C137&gt;E144,E144,'Data Entry - SOF'!C137)</f>
        <v>0</v>
      </c>
      <c r="F103" s="2057"/>
      <c r="G103" s="2381" t="e">
        <f>'Data Entry - SOF'!C136*(G99/#REF!)</f>
        <v>#REF!</v>
      </c>
      <c r="H103" s="2057"/>
      <c r="I103" s="2369">
        <f>IF('Data Entry - SOF'!C137&gt;I144,I144,'Data Entry - SOF'!C137)</f>
        <v>0</v>
      </c>
      <c r="K103" s="1547" t="e">
        <f>'Data Entry - SOF'!#REF!*(K99/'HH1718-Calcs'!C11)</f>
        <v>#REF!</v>
      </c>
      <c r="L103" s="1484"/>
      <c r="M103" s="1547" t="e">
        <f>IF('Data Entry - SOF'!#REF!&gt;M144,M144,'Data Entry - SOF'!#REF!)</f>
        <v>#REF!</v>
      </c>
      <c r="N103" s="1484"/>
      <c r="O103" s="1547" t="e">
        <f>'Data Entry - SOF'!#REF!*(O99/'HH1718-Calcs'!C11)</f>
        <v>#REF!</v>
      </c>
      <c r="P103" s="1484"/>
      <c r="Q103" s="1463" t="e">
        <f>IF('Data Entry - SOF'!#REF!&gt;Q144,Q144,'Data Entry - SOF'!#REF!)</f>
        <v>#REF!</v>
      </c>
      <c r="R103" s="1570"/>
      <c r="S103" s="1564" t="e">
        <f>'Data Entry - SOF'!E136*(S99/'HH1819-Calcs'!C11)</f>
        <v>#DIV/0!</v>
      </c>
      <c r="T103" s="1440"/>
      <c r="U103" s="1439">
        <f>IF('Data Entry - SOF'!E137&gt;U144,U144,'Data Entry - SOF'!E137)</f>
        <v>0</v>
      </c>
      <c r="V103" s="1440"/>
      <c r="W103" s="1439" t="e">
        <f>'Data Entry - SOF'!E136*(W99/'HH1819-Calcs'!C11)</f>
        <v>#DIV/0!</v>
      </c>
      <c r="X103" s="1440"/>
      <c r="Y103" s="1439">
        <f>IF('Data Entry - SOF'!E137&gt;Y144,Y144,'Data Entry - SOF'!E137)</f>
        <v>0</v>
      </c>
      <c r="Z103" s="1561"/>
      <c r="AA103" s="1573" t="e">
        <f>'Data Entry - SOF'!G136*(AA99/'HH1920-Calcs'!C11)</f>
        <v>#DIV/0!</v>
      </c>
      <c r="AB103" s="1510"/>
      <c r="AC103" s="1509">
        <f>IF('Data Entry - SOF'!G137&gt;AC144,AC144,'Data Entry - SOF'!G137)</f>
        <v>0</v>
      </c>
      <c r="AD103" s="1510"/>
      <c r="AE103" s="1509" t="e">
        <f>'Data Entry - SOF'!G136*(AE99/'HH1920-Calcs'!C11)</f>
        <v>#DIV/0!</v>
      </c>
      <c r="AF103" s="1510"/>
      <c r="AG103" s="1509">
        <f>IF('Data Entry - SOF'!G137&gt;AG144,AG144,'Data Entry - SOF'!G137)</f>
        <v>0</v>
      </c>
      <c r="AH103" s="1587"/>
      <c r="AI103" s="1426" t="e">
        <f>'Data Entry - SOF'!M136*(AI99/'HH2021-Calcs'!C11)</f>
        <v>#DIV/0!</v>
      </c>
      <c r="AJ103" s="1512"/>
      <c r="AK103" s="1511">
        <f>IF('Data Entry - SOF'!M137&gt;AK144,AK144,'Data Entry - SOF'!M137)</f>
        <v>0</v>
      </c>
      <c r="AL103" s="1512"/>
      <c r="AM103" s="1511" t="e">
        <f>'Data Entry - SOF'!M136*(AM99/'HH2021-Calcs'!C11)</f>
        <v>#DIV/0!</v>
      </c>
      <c r="AN103" s="1512"/>
      <c r="AO103" s="1511">
        <f>IF('Data Entry - SOF'!M137&gt;AO144,AO144,'Data Entry - SOF'!M137)</f>
        <v>0</v>
      </c>
      <c r="AP103" s="1598"/>
      <c r="AQ103" s="1591" t="e">
        <f>'Data Entry - SOF'!O136*(AQ99/'HH2122-Calcs'!C11)</f>
        <v>#DIV/0!</v>
      </c>
      <c r="AR103" s="1514"/>
      <c r="AS103" s="1513">
        <f>IF('Data Entry - SOF'!O137&gt;AS144,AS144,'Data Entry - SOF'!O137)</f>
        <v>0</v>
      </c>
      <c r="AT103" s="1514"/>
      <c r="AU103" s="1513" t="e">
        <f>'Data Entry - SOF'!O136*(AU99/'HH2122-Calcs'!C11)</f>
        <v>#DIV/0!</v>
      </c>
      <c r="AV103" s="1514"/>
      <c r="AW103" s="1513">
        <f>IF('Data Entry - SOF'!O137&gt;AW144,AW144,'Data Entry - SOF'!O137)</f>
        <v>0</v>
      </c>
      <c r="AX103" s="1610"/>
      <c r="AY103" s="1602" t="e">
        <f>'Data Entry - SOF'!Q136*(AY99/'HH2223-Calcs'!C11)</f>
        <v>#DIV/0!</v>
      </c>
      <c r="AZ103" s="1516"/>
      <c r="BA103" s="1515">
        <f>IF('Data Entry - SOF'!Q137&gt;BA144,BA144,'Data Entry - SOF'!Q137)</f>
        <v>0</v>
      </c>
      <c r="BB103" s="1516"/>
      <c r="BC103" s="1515" t="e">
        <f>'Data Entry - SOF'!Q136*(BC99/'HH2223-Calcs'!C11)</f>
        <v>#DIV/0!</v>
      </c>
      <c r="BD103" s="1516"/>
      <c r="BE103" s="1515">
        <f>IF('Data Entry - SOF'!Q137&gt;BE144,BE144,'Data Entry - SOF'!Q137)</f>
        <v>0</v>
      </c>
      <c r="BF103" s="1612"/>
      <c r="BG103" s="1777" t="e">
        <f>'Data Entry - SOF'!S136*(BG99/'HH2324-Calcs'!C11)</f>
        <v>#DIV/0!</v>
      </c>
      <c r="BH103" s="1778"/>
      <c r="BI103" s="1779">
        <f>IF('Data Entry - SOF'!S137&gt;BI144,BI144,'Data Entry - SOF'!S137)</f>
        <v>0</v>
      </c>
      <c r="BJ103" s="1778"/>
      <c r="BK103" s="1779" t="e">
        <f>'Data Entry - SOF'!S136*(BK99/'HH2324-Calcs'!C11)</f>
        <v>#DIV/0!</v>
      </c>
      <c r="BL103" s="1778"/>
      <c r="BM103" s="1779">
        <f>IF('Data Entry - SOF'!S137&gt;BM144,BM144,'Data Entry - SOF'!S137)</f>
        <v>0</v>
      </c>
      <c r="BN103" s="1766"/>
    </row>
    <row r="104" spans="1:66">
      <c r="A104" s="71"/>
      <c r="C104" s="2057"/>
      <c r="D104" s="2057"/>
      <c r="E104" s="2057"/>
      <c r="F104" s="2057"/>
      <c r="G104" s="2057"/>
      <c r="H104" s="2057"/>
      <c r="I104" s="2370"/>
      <c r="K104" s="1484"/>
      <c r="L104" s="1484"/>
      <c r="M104" s="1484"/>
      <c r="N104" s="1484"/>
      <c r="O104" s="1484"/>
      <c r="P104" s="1484"/>
      <c r="Q104" s="1540"/>
      <c r="R104" s="1570"/>
      <c r="S104" s="1440"/>
      <c r="T104" s="1440"/>
      <c r="U104" s="1440"/>
      <c r="V104" s="1440"/>
      <c r="W104" s="1440"/>
      <c r="X104" s="1440"/>
      <c r="Y104" s="1440"/>
      <c r="Z104" s="1561"/>
      <c r="AA104" s="1510"/>
      <c r="AB104" s="1510"/>
      <c r="AC104" s="1510"/>
      <c r="AD104" s="1510"/>
      <c r="AE104" s="1510"/>
      <c r="AF104" s="1510"/>
      <c r="AG104" s="1510"/>
      <c r="AH104" s="1587"/>
      <c r="AI104" s="1512"/>
      <c r="AJ104" s="1512"/>
      <c r="AK104" s="1512"/>
      <c r="AL104" s="1512"/>
      <c r="AM104" s="1512"/>
      <c r="AN104" s="1512"/>
      <c r="AO104" s="1512"/>
      <c r="AP104" s="1598"/>
      <c r="AQ104" s="1514"/>
      <c r="AR104" s="1514"/>
      <c r="AS104" s="1514"/>
      <c r="AT104" s="1514"/>
      <c r="AU104" s="1514"/>
      <c r="AV104" s="1514"/>
      <c r="AW104" s="1514"/>
      <c r="AX104" s="1610"/>
      <c r="AY104" s="1516"/>
      <c r="AZ104" s="1516"/>
      <c r="BA104" s="1516"/>
      <c r="BB104" s="1516"/>
      <c r="BC104" s="1516"/>
      <c r="BD104" s="1516"/>
      <c r="BE104" s="1516"/>
      <c r="BF104" s="1612"/>
      <c r="BG104" s="1778"/>
      <c r="BH104" s="1778"/>
      <c r="BI104" s="1778"/>
      <c r="BJ104" s="1778"/>
      <c r="BK104" s="1778"/>
      <c r="BL104" s="1778"/>
      <c r="BM104" s="1778"/>
      <c r="BN104" s="1766"/>
    </row>
    <row r="105" spans="1:66" ht="13.5" thickBot="1">
      <c r="A105" s="71"/>
      <c r="C105" s="2371" t="e">
        <f>IF(C99-C102-C103&lt;0,0,C99-C102-C103)</f>
        <v>#REF!</v>
      </c>
      <c r="D105" s="2057"/>
      <c r="E105" s="2371" t="e">
        <f>IF(E99-E102-E103&lt;0,0,E99-E102-E103)</f>
        <v>#REF!</v>
      </c>
      <c r="F105" s="2057"/>
      <c r="G105" s="2371" t="e">
        <f>IF(G99-G102-G103&lt;0,0,G99-G102-G103)</f>
        <v>#REF!</v>
      </c>
      <c r="H105" s="2057"/>
      <c r="I105" s="2372" t="e">
        <f>IF(I99-I102-I103&lt;0,0,I99-I102-I103)</f>
        <v>#REF!</v>
      </c>
      <c r="K105" s="1549" t="e">
        <f>IF(K99-K102-K103&lt;0,0,K99-K102-K103)</f>
        <v>#REF!</v>
      </c>
      <c r="L105" s="1484"/>
      <c r="M105" s="1549" t="e">
        <f>IF(M99-M102-M103&lt;0,0,M99-M102-M103)</f>
        <v>#REF!</v>
      </c>
      <c r="N105" s="1484"/>
      <c r="O105" s="1549" t="e">
        <f>IF(O99-O102-O103&lt;0,0,O99-O102-O103)</f>
        <v>#REF!</v>
      </c>
      <c r="P105" s="1484"/>
      <c r="Q105" s="1542" t="e">
        <f>IF(Q99-Q102-Q103&lt;0,0,Q99-Q102-Q103)</f>
        <v>#REF!</v>
      </c>
      <c r="R105" s="1570"/>
      <c r="S105" s="1446" t="e">
        <f>IF(S99-S102-S103&lt;0,0,S99-S102-S103)</f>
        <v>#DIV/0!</v>
      </c>
      <c r="T105" s="1440"/>
      <c r="U105" s="1446" t="e">
        <f>IF(U99-U102-U103&lt;0,0,U99-U102-U103)</f>
        <v>#DIV/0!</v>
      </c>
      <c r="V105" s="1440"/>
      <c r="W105" s="1446" t="e">
        <f>IF(W99-W102-W103&lt;0,0,W99-W102-W103)</f>
        <v>#DIV/0!</v>
      </c>
      <c r="X105" s="1440"/>
      <c r="Y105" s="1446" t="e">
        <f>IF(Y99-Y102-Y103&lt;0,0,Y99-Y102-Y103)</f>
        <v>#DIV/0!</v>
      </c>
      <c r="Z105" s="1561"/>
      <c r="AA105" s="1543" t="e">
        <f>IF(AA99-AA102-AA103&lt;0,0,AA99-AA102-AA103)</f>
        <v>#DIV/0!</v>
      </c>
      <c r="AB105" s="1510"/>
      <c r="AC105" s="1543" t="e">
        <f>IF(AC99-AC102-AC103&lt;0,0,AC99-AC102-AC103)</f>
        <v>#DIV/0!</v>
      </c>
      <c r="AD105" s="1510"/>
      <c r="AE105" s="1543" t="e">
        <f>IF(AE99-AE102-AE103&lt;0,0,AE99-AE102-AE103)</f>
        <v>#DIV/0!</v>
      </c>
      <c r="AF105" s="1510"/>
      <c r="AG105" s="1543">
        <f>IF(AG99-AG102-AG103&lt;0,0,AG99-AG102-AG103)</f>
        <v>0</v>
      </c>
      <c r="AH105" s="1587"/>
      <c r="AI105" s="1544" t="e">
        <f>IF(AI99-AI102-AI103&lt;0,0,AI99-AI102-AI103)</f>
        <v>#DIV/0!</v>
      </c>
      <c r="AJ105" s="1512"/>
      <c r="AK105" s="1544" t="e">
        <f>IF(AK99-AK102-AK103&lt;0,0,AK99-AK102-AK103)</f>
        <v>#DIV/0!</v>
      </c>
      <c r="AL105" s="1512"/>
      <c r="AM105" s="1544" t="e">
        <f>IF(AM99-AM102-AM103&lt;0,0,AM99-AM102-AM103)</f>
        <v>#DIV/0!</v>
      </c>
      <c r="AN105" s="1512"/>
      <c r="AO105" s="1544">
        <f>IF(AO99-AO102-AO103&lt;0,0,AO99-AO102-AO103)</f>
        <v>0</v>
      </c>
      <c r="AP105" s="1598"/>
      <c r="AQ105" s="1545" t="e">
        <f>IF(AQ99-AQ102-AQ103&lt;0,0,AQ99-AQ102-AQ103)</f>
        <v>#DIV/0!</v>
      </c>
      <c r="AR105" s="1514"/>
      <c r="AS105" s="1545" t="e">
        <f>IF(AS99-AS102-AS103&lt;0,0,AS99-AS102-AS103)</f>
        <v>#DIV/0!</v>
      </c>
      <c r="AT105" s="1514"/>
      <c r="AU105" s="1545" t="e">
        <f>IF(AU99-AU102-AU103&lt;0,0,AU99-AU102-AU103)</f>
        <v>#DIV/0!</v>
      </c>
      <c r="AV105" s="1514"/>
      <c r="AW105" s="1545">
        <f>IF(AW99-AW102-AW103&lt;0,0,AW99-AW102-AW103)</f>
        <v>0</v>
      </c>
      <c r="AX105" s="1610"/>
      <c r="AY105" s="1546" t="e">
        <f>IF(AY99-AY102-AY103&lt;0,0,AY99-AY102-AY103)</f>
        <v>#DIV/0!</v>
      </c>
      <c r="AZ105" s="1516"/>
      <c r="BA105" s="1546" t="e">
        <f>IF(BA99-BA102-BA103&lt;0,0,BA99-BA102-BA103)</f>
        <v>#DIV/0!</v>
      </c>
      <c r="BB105" s="1516"/>
      <c r="BC105" s="1546" t="e">
        <f>IF(BC99-BC102-BC103&lt;0,0,BC99-BC102-BC103)</f>
        <v>#DIV/0!</v>
      </c>
      <c r="BD105" s="1516"/>
      <c r="BE105" s="1546">
        <f>IF(BE99-BE102-BE103&lt;0,0,BE99-BE102-BE103)</f>
        <v>0</v>
      </c>
      <c r="BF105" s="1612"/>
      <c r="BG105" s="1786" t="e">
        <f>IF(BG99-BG102-BG103&lt;0,0,BG99-BG102-BG103)</f>
        <v>#DIV/0!</v>
      </c>
      <c r="BH105" s="1778"/>
      <c r="BI105" s="1786" t="e">
        <f>IF(BI99-BI102-BI103&lt;0,0,BI99-BI102-BI103)</f>
        <v>#DIV/0!</v>
      </c>
      <c r="BJ105" s="1778"/>
      <c r="BK105" s="1786" t="e">
        <f>IF(BK99-BK102-BK103&lt;0,0,BK99-BK102-BK103)</f>
        <v>#DIV/0!</v>
      </c>
      <c r="BL105" s="1778"/>
      <c r="BM105" s="1786">
        <f>IF(BM99-BM102-BM103&lt;0,0,BM99-BM102-BM103)</f>
        <v>0</v>
      </c>
      <c r="BN105" s="1766"/>
    </row>
    <row r="106" spans="1:66" ht="14.25" thickTop="1" thickBot="1">
      <c r="A106" s="71"/>
      <c r="C106" s="2057"/>
      <c r="D106" s="2057"/>
      <c r="E106" s="2057" t="e">
        <f>C105+G105</f>
        <v>#REF!</v>
      </c>
      <c r="F106" s="2057"/>
      <c r="G106" s="2057"/>
      <c r="H106" s="2057"/>
      <c r="I106" s="2370" t="e">
        <f>E105+I105</f>
        <v>#REF!</v>
      </c>
      <c r="K106" s="1484"/>
      <c r="L106" s="1484"/>
      <c r="M106" s="1971" t="e">
        <f>K105+O105</f>
        <v>#REF!</v>
      </c>
      <c r="N106" s="1484"/>
      <c r="O106" s="1484"/>
      <c r="P106" s="1484"/>
      <c r="Q106" s="1972" t="e">
        <f>M105+Q105</f>
        <v>#REF!</v>
      </c>
      <c r="R106" s="1570"/>
      <c r="S106" s="1440"/>
      <c r="T106" s="1440"/>
      <c r="U106" s="1973" t="e">
        <f>S105+W105</f>
        <v>#DIV/0!</v>
      </c>
      <c r="V106" s="1440"/>
      <c r="W106" s="1440"/>
      <c r="X106" s="1440"/>
      <c r="Y106" s="1973" t="e">
        <f>U105+Y105</f>
        <v>#DIV/0!</v>
      </c>
      <c r="Z106" s="1561"/>
      <c r="AA106" s="1510"/>
      <c r="AB106" s="1510"/>
      <c r="AC106" s="1974" t="e">
        <f>AA105+AE105</f>
        <v>#DIV/0!</v>
      </c>
      <c r="AD106" s="1510"/>
      <c r="AE106" s="1510"/>
      <c r="AF106" s="1510"/>
      <c r="AG106" s="1974" t="e">
        <f>AC105+AG105</f>
        <v>#DIV/0!</v>
      </c>
      <c r="AH106" s="1587"/>
      <c r="AI106" s="1512"/>
      <c r="AJ106" s="1512"/>
      <c r="AK106" s="1975" t="e">
        <f>AI105+AM105</f>
        <v>#DIV/0!</v>
      </c>
      <c r="AL106" s="1512"/>
      <c r="AM106" s="1512"/>
      <c r="AN106" s="1512"/>
      <c r="AO106" s="1975" t="e">
        <f>AK105+AO105</f>
        <v>#DIV/0!</v>
      </c>
      <c r="AP106" s="1598"/>
      <c r="AQ106" s="1514"/>
      <c r="AR106" s="1514"/>
      <c r="AS106" s="1976" t="e">
        <f>AQ105+AU105</f>
        <v>#DIV/0!</v>
      </c>
      <c r="AT106" s="1514"/>
      <c r="AU106" s="1514"/>
      <c r="AV106" s="1514"/>
      <c r="AW106" s="1976" t="e">
        <f>AS105+AW105</f>
        <v>#DIV/0!</v>
      </c>
      <c r="AX106" s="1610"/>
      <c r="AY106" s="1516"/>
      <c r="AZ106" s="1516"/>
      <c r="BA106" s="1977" t="e">
        <f>AY105+BC105</f>
        <v>#DIV/0!</v>
      </c>
      <c r="BB106" s="1516"/>
      <c r="BC106" s="1516"/>
      <c r="BD106" s="1516"/>
      <c r="BE106" s="1977" t="e">
        <f>BA105+BE105</f>
        <v>#DIV/0!</v>
      </c>
      <c r="BF106" s="1612"/>
      <c r="BG106" s="1778"/>
      <c r="BH106" s="1778"/>
      <c r="BI106" s="1978" t="e">
        <f>BG105+BK105</f>
        <v>#DIV/0!</v>
      </c>
      <c r="BJ106" s="1778"/>
      <c r="BK106" s="1778"/>
      <c r="BL106" s="1778"/>
      <c r="BM106" s="1978" t="e">
        <f>BI105+BM105</f>
        <v>#DIV/0!</v>
      </c>
      <c r="BN106" s="1766"/>
    </row>
    <row r="107" spans="1:66" ht="13.5" thickTop="1">
      <c r="A107" s="71"/>
      <c r="C107" s="2057"/>
      <c r="D107" s="2057"/>
      <c r="E107" s="2057"/>
      <c r="F107" s="2057"/>
      <c r="G107" s="2057"/>
      <c r="H107" s="2057"/>
      <c r="I107" s="2370"/>
      <c r="M107" s="1979" t="s">
        <v>8260</v>
      </c>
      <c r="Q107" s="1979" t="s">
        <v>8260</v>
      </c>
      <c r="R107" s="1567"/>
      <c r="U107" s="1419" t="s">
        <v>8260</v>
      </c>
      <c r="Y107" s="1419" t="s">
        <v>8260</v>
      </c>
      <c r="Z107" s="1560"/>
      <c r="AC107" s="1467" t="s">
        <v>8260</v>
      </c>
      <c r="AG107" s="1467" t="s">
        <v>8260</v>
      </c>
      <c r="AH107" s="1582"/>
      <c r="AK107" s="1468" t="s">
        <v>8260</v>
      </c>
      <c r="AO107" s="1468" t="s">
        <v>8260</v>
      </c>
      <c r="AP107" s="1594"/>
      <c r="AS107" s="1469" t="s">
        <v>8260</v>
      </c>
      <c r="AW107" s="1469" t="s">
        <v>8260</v>
      </c>
      <c r="AX107" s="1605"/>
      <c r="BA107" s="1470" t="s">
        <v>8260</v>
      </c>
      <c r="BE107" s="1470" t="s">
        <v>8260</v>
      </c>
      <c r="BF107" s="1612"/>
      <c r="BI107" s="1767" t="s">
        <v>8260</v>
      </c>
      <c r="BM107" s="1767" t="s">
        <v>8260</v>
      </c>
      <c r="BN107" s="1766"/>
    </row>
    <row r="108" spans="1:66">
      <c r="A108" s="71"/>
      <c r="B108" s="72" t="s">
        <v>8257</v>
      </c>
      <c r="C108" s="2058" t="s">
        <v>3830</v>
      </c>
      <c r="D108" s="2057"/>
      <c r="E108" s="2057"/>
      <c r="F108" s="2057"/>
      <c r="G108" s="2057"/>
      <c r="H108" s="2057"/>
      <c r="I108" s="2370"/>
      <c r="R108" s="1567"/>
      <c r="Z108" s="1560"/>
      <c r="AH108" s="1582"/>
      <c r="AP108" s="1594"/>
      <c r="AX108" s="1605"/>
      <c r="BF108" s="1612"/>
      <c r="BN108" s="1766"/>
    </row>
    <row r="109" spans="1:66">
      <c r="A109" s="71"/>
      <c r="C109" s="2083" t="e">
        <f>'Calc Data'!AE91</f>
        <v>#REF!</v>
      </c>
      <c r="D109" s="2057"/>
      <c r="E109" s="2083" t="e">
        <f>C109</f>
        <v>#REF!</v>
      </c>
      <c r="F109" s="2057"/>
      <c r="G109" s="2083"/>
      <c r="H109" s="2057"/>
      <c r="I109" s="2084"/>
      <c r="R109" s="1567"/>
      <c r="Z109" s="1560"/>
      <c r="AH109" s="1582"/>
      <c r="AP109" s="1594"/>
      <c r="AX109" s="1605"/>
      <c r="BF109" s="1612"/>
      <c r="BN109" s="1766"/>
    </row>
    <row r="110" spans="1:66">
      <c r="A110" s="71"/>
      <c r="C110" s="2083"/>
      <c r="D110" s="2057"/>
      <c r="E110" s="2083"/>
      <c r="F110" s="2057"/>
      <c r="G110" s="2083" t="e">
        <f>'Calc Data'!AC86</f>
        <v>#REF!</v>
      </c>
      <c r="H110" s="2057"/>
      <c r="I110" s="2084" t="e">
        <f>G110</f>
        <v>#REF!</v>
      </c>
      <c r="R110" s="1567"/>
      <c r="Z110" s="1560"/>
      <c r="AH110" s="1582"/>
      <c r="AP110" s="1594"/>
      <c r="AX110" s="1605"/>
      <c r="BF110" s="1612"/>
      <c r="BN110" s="1766"/>
    </row>
    <row r="111" spans="1:66">
      <c r="A111" s="71"/>
      <c r="C111" s="2083" t="e">
        <f>C109</f>
        <v>#REF!</v>
      </c>
      <c r="D111" s="2057"/>
      <c r="E111" s="2083" t="e">
        <f>E109</f>
        <v>#REF!</v>
      </c>
      <c r="F111" s="2057"/>
      <c r="G111" s="2083" t="e">
        <f>G110</f>
        <v>#REF!</v>
      </c>
      <c r="H111" s="2057"/>
      <c r="I111" s="2084" t="e">
        <f>I110</f>
        <v>#REF!</v>
      </c>
      <c r="R111" s="1567"/>
      <c r="Z111" s="1560"/>
      <c r="AH111" s="1582"/>
      <c r="AP111" s="1594"/>
      <c r="AX111" s="1605"/>
      <c r="BF111" s="1612"/>
      <c r="BN111" s="1766"/>
    </row>
    <row r="112" spans="1:66">
      <c r="A112" s="71"/>
      <c r="C112" s="2081" t="e">
        <f>C35*C111</f>
        <v>#REF!</v>
      </c>
      <c r="D112" s="2057"/>
      <c r="E112" s="2081" t="e">
        <f>E35*E111</f>
        <v>#REF!</v>
      </c>
      <c r="F112" s="2057"/>
      <c r="G112" s="2081" t="e">
        <f>IF(G110&lt;1,0,G35*G111)</f>
        <v>#REF!</v>
      </c>
      <c r="H112" s="2057"/>
      <c r="I112" s="2082" t="e">
        <f>IF(I110&lt;1,0,I35*I111)</f>
        <v>#REF!</v>
      </c>
      <c r="R112" s="1567"/>
      <c r="Z112" s="1560"/>
      <c r="AH112" s="1582"/>
      <c r="AP112" s="1594"/>
      <c r="AX112" s="1605"/>
      <c r="BF112" s="1612"/>
      <c r="BN112" s="1766"/>
    </row>
    <row r="113" spans="1:66">
      <c r="A113" s="71"/>
      <c r="C113" s="2359" t="e">
        <f>C34/IF(C36&lt;Assumptions!G92,Assumptions!G92,C36)</f>
        <v>#REF!</v>
      </c>
      <c r="D113" s="2057"/>
      <c r="E113" s="2359" t="e">
        <f>E34/E36</f>
        <v>#REF!</v>
      </c>
      <c r="F113" s="2057"/>
      <c r="G113" s="2359" t="e">
        <f>IF(G112=0,0,G34/G36)</f>
        <v>#REF!</v>
      </c>
      <c r="H113" s="2057"/>
      <c r="I113" s="2080" t="e">
        <f>IF(I112=0,0,I34/I36)</f>
        <v>#REF!</v>
      </c>
      <c r="R113" s="1567"/>
      <c r="Z113" s="1560"/>
      <c r="AH113" s="1582"/>
      <c r="AP113" s="1594"/>
      <c r="AX113" s="1605"/>
      <c r="BF113" s="1612"/>
      <c r="BN113" s="1766"/>
    </row>
    <row r="114" spans="1:66">
      <c r="A114" s="71"/>
      <c r="C114" s="2365" t="e">
        <f>IF(C113=0,0,IF(C112/C113&lt;3147,3147,C112/C113))</f>
        <v>#REF!</v>
      </c>
      <c r="D114" s="2057"/>
      <c r="E114" s="2365" t="e">
        <f>IF(E113=0,0,IF(E112/E113&lt;3147,3147,E112/E113))</f>
        <v>#REF!</v>
      </c>
      <c r="F114" s="2057"/>
      <c r="G114" s="2365" t="e">
        <f>IF(G113=0,0,IF(G112/G113&lt;71.62,71.62,G112/G113))</f>
        <v>#REF!</v>
      </c>
      <c r="H114" s="2057"/>
      <c r="I114" s="2367" t="e">
        <f>IF(I113=0,0,IF(I112/I113&lt;71.62,71.62,I112/I113))</f>
        <v>#REF!</v>
      </c>
      <c r="R114" s="1567"/>
      <c r="Z114" s="1560"/>
      <c r="AH114" s="1582"/>
      <c r="AP114" s="1594"/>
      <c r="AX114" s="1605"/>
      <c r="BF114" s="1612"/>
      <c r="BN114" s="1766"/>
    </row>
    <row r="115" spans="1:66">
      <c r="A115" s="71"/>
      <c r="C115" s="2359" t="e">
        <f>IF(OR('Data Entry - SOF'!C140=0,C114=0),0,IF('Data Entry - SOF'!C140&gt;C114,(C114*'Data Entry - SOF'!C139)/C114,('Data Entry - SOF'!C140*'Data Entry - SOF'!C139)/C114))</f>
        <v>#REF!</v>
      </c>
      <c r="D115" s="2057"/>
      <c r="E115" s="2359" t="e">
        <f>C115</f>
        <v>#REF!</v>
      </c>
      <c r="F115" s="2057"/>
      <c r="G115" s="2359" t="e">
        <f>IF(OR('Data Entry - SOF'!C181=0,G114=0),0,IF('Data Entry - SOF'!C181&gt;G114,(G114*'Data Entry - SOF'!C180)/G114,('Data Entry - SOF'!C181*'Data Entry - SOF'!C180)/G114))</f>
        <v>#REF!</v>
      </c>
      <c r="H115" s="2057"/>
      <c r="I115" s="2080" t="e">
        <f>G115</f>
        <v>#REF!</v>
      </c>
      <c r="R115" s="1567"/>
      <c r="Z115" s="1560"/>
      <c r="AH115" s="1582"/>
      <c r="AP115" s="1594"/>
      <c r="AX115" s="1605"/>
      <c r="BF115" s="1612"/>
      <c r="BN115" s="1766"/>
    </row>
    <row r="116" spans="1:66">
      <c r="A116" s="71"/>
      <c r="C116" s="2359">
        <v>0</v>
      </c>
      <c r="D116" s="2057"/>
      <c r="E116" s="2359">
        <v>0</v>
      </c>
      <c r="F116" s="2057"/>
      <c r="G116" s="2359">
        <v>0</v>
      </c>
      <c r="H116" s="2057"/>
      <c r="I116" s="2080">
        <v>0</v>
      </c>
      <c r="R116" s="1567"/>
      <c r="Z116" s="1560"/>
      <c r="AH116" s="1582"/>
      <c r="AP116" s="1594"/>
      <c r="AX116" s="1605"/>
      <c r="BF116" s="1612"/>
      <c r="BN116" s="1766"/>
    </row>
    <row r="117" spans="1:66">
      <c r="A117" s="71"/>
      <c r="C117" s="2359" t="e">
        <f>IF(C113-C115-C116&lt;0,0,C113-C115-C116)</f>
        <v>#REF!</v>
      </c>
      <c r="D117" s="2057"/>
      <c r="E117" s="2359" t="e">
        <f>IF(E113-E115-E116&lt;0,0,E113-E115-E116)</f>
        <v>#REF!</v>
      </c>
      <c r="F117" s="2057"/>
      <c r="G117" s="2359" t="e">
        <f>IF(G113-G115-G116&lt;0,0,G113-G115-G116)</f>
        <v>#REF!</v>
      </c>
      <c r="H117" s="2057"/>
      <c r="I117" s="2080" t="e">
        <f>IF(I113-I115-I116&lt;0,0,I113-I115-I116)</f>
        <v>#REF!</v>
      </c>
      <c r="R117" s="1567"/>
      <c r="Z117" s="1560"/>
      <c r="AH117" s="1582"/>
      <c r="AP117" s="1594"/>
      <c r="AX117" s="1605"/>
      <c r="BF117" s="1612"/>
      <c r="BN117" s="1766"/>
    </row>
    <row r="118" spans="1:66">
      <c r="A118" s="71"/>
      <c r="C118" s="2083" t="e">
        <f>IF(C117=0,0,C117*C114)</f>
        <v>#REF!</v>
      </c>
      <c r="D118" s="2057"/>
      <c r="E118" s="2083" t="e">
        <f>IF(E117=0,0,E117*E114)</f>
        <v>#REF!</v>
      </c>
      <c r="F118" s="2057"/>
      <c r="G118" s="2083" t="e">
        <f>IF(G117=0,0,G117*G114)</f>
        <v>#REF!</v>
      </c>
      <c r="H118" s="2057"/>
      <c r="I118" s="2084" t="e">
        <f>IF(I117=0,0,I117*I114)</f>
        <v>#REF!</v>
      </c>
      <c r="R118" s="1567"/>
      <c r="Z118" s="1560"/>
      <c r="AH118" s="1582"/>
      <c r="AP118" s="1594"/>
      <c r="AX118" s="1605"/>
      <c r="BF118" s="1612"/>
      <c r="BN118" s="1766"/>
    </row>
    <row r="119" spans="1:66">
      <c r="A119" s="71"/>
      <c r="D119" s="2057"/>
      <c r="F119" s="2057"/>
      <c r="H119" s="2057"/>
      <c r="I119" s="2070"/>
      <c r="R119" s="1567"/>
      <c r="Z119" s="1560"/>
      <c r="AH119" s="1582"/>
      <c r="AP119" s="1594"/>
      <c r="AX119" s="1605"/>
      <c r="BF119" s="1612"/>
      <c r="BN119" s="1766"/>
    </row>
    <row r="120" spans="1:66">
      <c r="A120" s="71"/>
      <c r="D120" s="2057"/>
      <c r="F120" s="2057"/>
      <c r="H120" s="2057"/>
      <c r="I120" s="2070"/>
      <c r="R120" s="1567"/>
      <c r="Z120" s="1560"/>
      <c r="AH120" s="1582"/>
      <c r="AP120" s="1594"/>
      <c r="AX120" s="1605"/>
      <c r="BF120" s="1612"/>
      <c r="BN120" s="1766"/>
    </row>
    <row r="121" spans="1:66">
      <c r="A121" s="71"/>
      <c r="C121" s="2368" t="e">
        <f>IF(C148&gt;C149,C149,C148)</f>
        <v>#REF!</v>
      </c>
      <c r="D121" s="2057"/>
      <c r="E121" s="2368">
        <v>0</v>
      </c>
      <c r="F121" s="2057"/>
      <c r="G121" s="2368">
        <f>IF(G160&gt;G161,G161,G160)</f>
        <v>0</v>
      </c>
      <c r="H121" s="2057"/>
      <c r="I121" s="2369">
        <v>0</v>
      </c>
      <c r="R121" s="1567"/>
      <c r="Z121" s="1560"/>
      <c r="AH121" s="1582"/>
      <c r="AP121" s="1594"/>
      <c r="AX121" s="1605"/>
      <c r="BF121" s="1612"/>
      <c r="BN121" s="1766"/>
    </row>
    <row r="122" spans="1:66">
      <c r="C122" s="2381" t="e">
        <f>'Data Entry - SOF'!C136*(C118/#REF!)</f>
        <v>#REF!</v>
      </c>
      <c r="E122" s="2368">
        <f>IF('Data Entry - SOF'!C137&gt;E151,E151,'Data Entry - SOF'!C137)</f>
        <v>0</v>
      </c>
      <c r="G122" s="2381" t="e">
        <f>'Data Entry - SOF'!C136*(G118/#REF!)</f>
        <v>#REF!</v>
      </c>
      <c r="I122" s="2369">
        <f>IF('Data Entry - SOF'!C137&gt;I151,I151,'Data Entry - SOF'!C137)</f>
        <v>0</v>
      </c>
      <c r="R122" s="1567"/>
      <c r="Z122" s="1560"/>
      <c r="AH122" s="1582"/>
      <c r="AP122" s="1594"/>
      <c r="AX122" s="1605"/>
      <c r="BF122" s="1612"/>
      <c r="BN122" s="1766"/>
    </row>
    <row r="123" spans="1:66">
      <c r="C123" s="2057"/>
      <c r="E123" s="2057"/>
      <c r="G123" s="2057"/>
      <c r="I123" s="2370"/>
      <c r="R123" s="1567"/>
      <c r="Z123" s="1560"/>
      <c r="AH123" s="1582"/>
      <c r="AP123" s="1594"/>
      <c r="AX123" s="1605"/>
      <c r="BF123" s="1612"/>
      <c r="BN123" s="1766"/>
    </row>
    <row r="124" spans="1:66" ht="13.5" thickBot="1">
      <c r="C124" s="2371" t="e">
        <f>IF(C118-C121-C122&lt;0,0,C118-C121-C122)</f>
        <v>#REF!</v>
      </c>
      <c r="E124" s="2371" t="e">
        <f>IF(E118-E121-E122&lt;0,0,E118-E121-E122)</f>
        <v>#REF!</v>
      </c>
      <c r="G124" s="2371" t="e">
        <f>IF(G118-G121-G122&lt;0,0,G118-G121-G122)</f>
        <v>#REF!</v>
      </c>
      <c r="I124" s="2372" t="e">
        <f>IF(I118-I121-I122&lt;0,0,I118-I121-I122)</f>
        <v>#REF!</v>
      </c>
      <c r="R124" s="1567"/>
      <c r="Z124" s="1560"/>
      <c r="AH124" s="1582"/>
      <c r="AP124" s="1594"/>
      <c r="AX124" s="1605"/>
      <c r="BF124" s="1612"/>
      <c r="BN124" s="1766"/>
    </row>
    <row r="125" spans="1:66" ht="13.5" thickTop="1">
      <c r="C125" s="2057"/>
      <c r="D125" s="2057"/>
      <c r="E125" s="2057" t="e">
        <f>C124+G124</f>
        <v>#REF!</v>
      </c>
      <c r="F125" s="2057"/>
      <c r="G125" s="2057"/>
      <c r="H125" s="2057"/>
      <c r="I125" s="2370" t="e">
        <f>E124+I124</f>
        <v>#REF!</v>
      </c>
      <c r="R125" s="1567"/>
      <c r="Z125" s="1560"/>
      <c r="AH125" s="1582"/>
      <c r="AP125" s="1594"/>
      <c r="AX125" s="1605"/>
      <c r="BF125" s="1612"/>
      <c r="BN125" s="1766"/>
    </row>
    <row r="126" spans="1:66">
      <c r="C126" s="2057"/>
      <c r="D126" s="2057"/>
      <c r="E126" s="2382" t="e">
        <f>IF(#REF!&lt;=0,'Option Costs-HH'!E106,'Option Costs-HH'!E125)</f>
        <v>#REF!</v>
      </c>
      <c r="F126" s="2011"/>
      <c r="G126" s="2011"/>
      <c r="H126" s="2011"/>
      <c r="I126" s="2383" t="e">
        <f>IF(#REF!&lt;=0,'Option Costs-HH'!I106,'Option Costs-HH'!I125)</f>
        <v>#REF!</v>
      </c>
      <c r="R126" s="1567"/>
      <c r="Z126" s="1560"/>
      <c r="AH126" s="1582"/>
      <c r="AP126" s="1594"/>
      <c r="AX126" s="1605"/>
      <c r="BF126" s="1612"/>
      <c r="BN126" s="1766"/>
    </row>
    <row r="127" spans="1:66">
      <c r="C127" s="2057" t="e">
        <f>C48*0.04</f>
        <v>#REF!</v>
      </c>
      <c r="D127" s="2057"/>
      <c r="E127" s="2057" t="e">
        <f>E48*0.05</f>
        <v>#REF!</v>
      </c>
      <c r="F127" s="2057"/>
      <c r="G127" s="2057" t="e">
        <f>G48*0.04</f>
        <v>#REF!</v>
      </c>
      <c r="H127" s="2057"/>
      <c r="I127" s="2370" t="e">
        <f>I48*0.05</f>
        <v>#REF!</v>
      </c>
      <c r="K127" s="1455" t="e">
        <f>K48*0.04</f>
        <v>#REF!</v>
      </c>
      <c r="L127" s="1455"/>
      <c r="M127" s="1455" t="e">
        <f>M48*0.05</f>
        <v>#REF!</v>
      </c>
      <c r="N127" s="1455"/>
      <c r="O127" s="1455" t="e">
        <f>O48*0.04</f>
        <v>#REF!</v>
      </c>
      <c r="P127" s="1455"/>
      <c r="Q127" s="1460" t="e">
        <f>Q48*0.05</f>
        <v>#REF!</v>
      </c>
      <c r="R127" s="1567"/>
      <c r="S127" s="1438" t="e">
        <f>S48*0.04</f>
        <v>#DIV/0!</v>
      </c>
      <c r="U127" s="1438" t="e">
        <f>U48*0.05</f>
        <v>#DIV/0!</v>
      </c>
      <c r="W127" s="1438">
        <f>W48*0.04</f>
        <v>0</v>
      </c>
      <c r="Y127" s="1438">
        <f>Y48*0.05</f>
        <v>0</v>
      </c>
      <c r="Z127" s="1560"/>
      <c r="AA127" s="1471" t="e">
        <f>AA48*0.04</f>
        <v>#DIV/0!</v>
      </c>
      <c r="AC127" s="1471" t="e">
        <f>AC48*0.05</f>
        <v>#DIV/0!</v>
      </c>
      <c r="AE127" s="1471">
        <f>AE48*0.04</f>
        <v>0</v>
      </c>
      <c r="AG127" s="1471">
        <f>AG48*0.05</f>
        <v>0</v>
      </c>
      <c r="AH127" s="1582"/>
      <c r="AI127" s="1472" t="e">
        <f>AI48*0.04</f>
        <v>#DIV/0!</v>
      </c>
      <c r="AK127" s="1472" t="e">
        <f>AK48*0.05</f>
        <v>#DIV/0!</v>
      </c>
      <c r="AM127" s="1472">
        <f>AM48*0.04</f>
        <v>0</v>
      </c>
      <c r="AO127" s="1472">
        <f>AO48*0.05</f>
        <v>0</v>
      </c>
      <c r="AP127" s="1594"/>
      <c r="AQ127" s="1473" t="e">
        <f>AQ48*0.04</f>
        <v>#DIV/0!</v>
      </c>
      <c r="AS127" s="1473" t="e">
        <f>AS48*0.05</f>
        <v>#DIV/0!</v>
      </c>
      <c r="AU127" s="1473">
        <f>AU48*0.04</f>
        <v>0</v>
      </c>
      <c r="AW127" s="1473">
        <f>AW48*0.05</f>
        <v>0</v>
      </c>
      <c r="AX127" s="1605"/>
      <c r="AY127" s="1474" t="e">
        <f>AY48*0.04</f>
        <v>#DIV/0!</v>
      </c>
      <c r="BA127" s="1474" t="e">
        <f>BA48*0.05</f>
        <v>#DIV/0!</v>
      </c>
      <c r="BC127" s="1474">
        <f>BC48*0.04</f>
        <v>0</v>
      </c>
      <c r="BE127" s="1474">
        <f>BE48*0.05</f>
        <v>0</v>
      </c>
      <c r="BF127" s="1612"/>
      <c r="BG127" s="1765" t="e">
        <f>BG48*0.04</f>
        <v>#DIV/0!</v>
      </c>
      <c r="BI127" s="1765" t="e">
        <f>BI48*0.05</f>
        <v>#DIV/0!</v>
      </c>
      <c r="BK127" s="1765">
        <f>BK48*0.04</f>
        <v>0</v>
      </c>
      <c r="BM127" s="1765">
        <f>BM48*0.05</f>
        <v>0</v>
      </c>
      <c r="BN127" s="1766"/>
    </row>
    <row r="128" spans="1:66">
      <c r="C128" s="2057" t="e">
        <f>C43*80</f>
        <v>#REF!</v>
      </c>
      <c r="D128" s="2057"/>
      <c r="E128" s="2057" t="e">
        <f>'Ch41 Calc Data'!K17*100</f>
        <v>#REF!</v>
      </c>
      <c r="F128" s="2057"/>
      <c r="G128" s="2057" t="e">
        <f>G43*80</f>
        <v>#REF!</v>
      </c>
      <c r="H128" s="2057"/>
      <c r="I128" s="2370" t="e">
        <f>'Ch41 Calc Data'!K17*100</f>
        <v>#REF!</v>
      </c>
      <c r="K128" s="1455" t="e">
        <f>K43*80</f>
        <v>#REF!</v>
      </c>
      <c r="L128" s="1455"/>
      <c r="M128" s="1455" t="e">
        <f>'Ch41 Calc Data'!L17*100</f>
        <v>#REF!</v>
      </c>
      <c r="N128" s="1455"/>
      <c r="O128" s="1455" t="e">
        <f>O43*80</f>
        <v>#REF!</v>
      </c>
      <c r="P128" s="1455"/>
      <c r="Q128" s="1460" t="e">
        <f>'Ch41 Calc Data'!L17*100</f>
        <v>#REF!</v>
      </c>
      <c r="R128" s="1567"/>
      <c r="S128" s="1438" t="e">
        <f>S43*80</f>
        <v>#DIV/0!</v>
      </c>
      <c r="U128" s="1438">
        <f>'Ch41 Calc Data'!M17*100</f>
        <v>0</v>
      </c>
      <c r="W128" s="1438">
        <f>W43*80</f>
        <v>0</v>
      </c>
      <c r="Y128" s="1438">
        <f>'Ch41 Calc Data'!M17*100</f>
        <v>0</v>
      </c>
      <c r="Z128" s="1560"/>
      <c r="AA128" s="1471" t="e">
        <f>AA43*80</f>
        <v>#DIV/0!</v>
      </c>
      <c r="AC128" s="1471">
        <f>'Ch41 Calc Data'!N17*100</f>
        <v>0</v>
      </c>
      <c r="AE128" s="1471">
        <f>AE43*80</f>
        <v>0</v>
      </c>
      <c r="AG128" s="1471">
        <f>'Ch41 Calc Data'!N17*100</f>
        <v>0</v>
      </c>
      <c r="AH128" s="1582"/>
      <c r="AI128" s="1472" t="e">
        <f>AI43*80</f>
        <v>#DIV/0!</v>
      </c>
      <c r="AK128" s="1472" t="e">
        <f>'Ch41 Calc Data'!O17*100</f>
        <v>#DIV/0!</v>
      </c>
      <c r="AM128" s="1472">
        <f>AM43*80</f>
        <v>0</v>
      </c>
      <c r="AO128" s="1472" t="e">
        <f>'Ch41 Calc Data'!O17*100</f>
        <v>#DIV/0!</v>
      </c>
      <c r="AP128" s="1594"/>
      <c r="AQ128" s="1473" t="e">
        <f>AQ43*80</f>
        <v>#DIV/0!</v>
      </c>
      <c r="AS128" s="1473" t="e">
        <f>'Ch41 Calc Data'!P17*100</f>
        <v>#DIV/0!</v>
      </c>
      <c r="AU128" s="1473">
        <f>AU43*80</f>
        <v>0</v>
      </c>
      <c r="AW128" s="1473" t="e">
        <f>'Ch41 Calc Data'!P17*100</f>
        <v>#DIV/0!</v>
      </c>
      <c r="AX128" s="1605"/>
      <c r="AY128" s="1474" t="e">
        <f>AY43*80</f>
        <v>#DIV/0!</v>
      </c>
      <c r="BA128" s="1474" t="e">
        <f>'Ch41 Calc Data'!Q17*100</f>
        <v>#DIV/0!</v>
      </c>
      <c r="BC128" s="1474">
        <f>BC43*80</f>
        <v>0</v>
      </c>
      <c r="BE128" s="1474" t="e">
        <f>'Ch41 Calc Data'!Q17*100</f>
        <v>#DIV/0!</v>
      </c>
      <c r="BF128" s="1612"/>
      <c r="BG128" s="1765" t="e">
        <f>BG43*80</f>
        <v>#DIV/0!</v>
      </c>
      <c r="BI128" s="1765" t="e">
        <f>'Ch41 Calc Data'!R17*100</f>
        <v>#DIV/0!</v>
      </c>
      <c r="BK128" s="1765">
        <f>BK43*80</f>
        <v>0</v>
      </c>
      <c r="BM128" s="1765" t="e">
        <f>'Ch41 Calc Data'!R17*100</f>
        <v>#DIV/0!</v>
      </c>
      <c r="BN128" s="1766"/>
    </row>
    <row r="129" spans="3:66">
      <c r="C129" s="2057"/>
      <c r="D129" s="2057"/>
      <c r="E129" s="2057"/>
      <c r="F129" s="2057"/>
      <c r="G129" s="2057"/>
      <c r="H129" s="2057"/>
      <c r="I129" s="2370"/>
      <c r="K129" s="1455"/>
      <c r="L129" s="1455"/>
      <c r="M129" s="1455"/>
      <c r="N129" s="1455"/>
      <c r="O129" s="1455"/>
      <c r="P129" s="1455"/>
      <c r="R129" s="1567"/>
      <c r="Z129" s="1560"/>
      <c r="AH129" s="1582"/>
      <c r="AP129" s="1594"/>
      <c r="AX129" s="1605"/>
      <c r="BF129" s="1612"/>
      <c r="BN129" s="1766"/>
    </row>
    <row r="130" spans="3:66">
      <c r="C130" s="2057"/>
      <c r="D130" s="2057"/>
      <c r="E130" s="2057">
        <f>IF('Data Entry - SOF'!C137=0,0,'Data Entry - SOF'!C136*(E48/'Data Entry - SOF'!C93))</f>
        <v>0</v>
      </c>
      <c r="F130" s="2057"/>
      <c r="G130" s="2057"/>
      <c r="H130" s="2057"/>
      <c r="I130" s="2370">
        <f>IF('Data Entry - SOF'!C137=0,0,IF(I41=0,0,'Data Entry - SOF'!C136*('Option Costs-HH'!I48/'Data Entry - SOF'!C93)))</f>
        <v>0</v>
      </c>
      <c r="K130" s="1455"/>
      <c r="L130" s="1455"/>
      <c r="M130" s="1455" t="e">
        <f>IF('Data Entry - SOF'!#REF!=0,0,'Data Entry - SOF'!#REF!*(M48/'Data Entry - SOF'!#REF!))</f>
        <v>#REF!</v>
      </c>
      <c r="N130" s="1455"/>
      <c r="O130" s="1455"/>
      <c r="P130" s="1455"/>
      <c r="Q130" s="1460" t="e">
        <f>IF('Data Entry - SOF'!#REF!=0,0,IF(Q41=0,0,'Data Entry - SOF'!#REF!*(Q48/'Data Entry - SOF'!#REF!)))</f>
        <v>#REF!</v>
      </c>
      <c r="R130" s="1567"/>
      <c r="U130" s="1438">
        <f>IF('Data Entry - SOF'!E137=0,0,'Data Entry - SOF'!E136*(U48/'Data Entry - SOF'!E93))</f>
        <v>0</v>
      </c>
      <c r="Y130" s="1438">
        <f>IF('Data Entry - SOF'!E137=0,0,IF(Y41=0,0,'Data Entry - SOF'!E136*(Y48/'Data Entry - SOF'!E93)))</f>
        <v>0</v>
      </c>
      <c r="Z130" s="1560"/>
      <c r="AC130" s="1471">
        <f>IF('Data Entry - SOF'!G137=0,0,'Data Entry - SOF'!G136*(AC48/'Data Entry - SOF'!G93))</f>
        <v>0</v>
      </c>
      <c r="AG130" s="1471">
        <f>IF('Data Entry - SOF'!G137=0,0,IF(AG41=0,0,'Data Entry - SOF'!G136*(AG48/'Data Entry - SOF'!G93)))</f>
        <v>0</v>
      </c>
      <c r="AH130" s="1582"/>
      <c r="AK130" s="1472">
        <f>IF('Data Entry - SOF'!M137=0,0,'Data Entry - SOF'!M136*(AK48/'Data Entry - SOF'!M93))</f>
        <v>0</v>
      </c>
      <c r="AO130" s="1472">
        <f>IF('Data Entry - SOF'!M137=0,0,IF(AO41=0,0,'Data Entry - SOF'!M136*(AO48/'Data Entry - SOF'!M93)))</f>
        <v>0</v>
      </c>
      <c r="AP130" s="1594"/>
      <c r="AS130" s="1473">
        <f>IF('Data Entry - SOF'!O137=0,0,'Data Entry - SOF'!O136*(AS48/'Data Entry - SOF'!O93))</f>
        <v>0</v>
      </c>
      <c r="AW130" s="1473">
        <f>IF('Data Entry - SOF'!O137=0,0,IF(AW41=0,0,'Data Entry - SOF'!O136*(AW48/'Data Entry - SOF'!O93)))</f>
        <v>0</v>
      </c>
      <c r="AX130" s="1605"/>
      <c r="BA130" s="1474">
        <f>IF('Data Entry - SOF'!Q137=0,0,'Data Entry - SOF'!Q136*(BA48/'Data Entry - SOF'!Q93))</f>
        <v>0</v>
      </c>
      <c r="BE130" s="1474">
        <f>IF('Data Entry - SOF'!Q137=0,0,IF(BE41=0,0,'Data Entry - SOF'!Q136*(BE48/'Data Entry - SOF'!Q93)))</f>
        <v>0</v>
      </c>
      <c r="BF130" s="1612"/>
      <c r="BI130" s="1765">
        <f>IF('Data Entry - SOF'!S137=0,0,'Data Entry - SOF'!S136*(BI48/'Data Entry - SOF'!S93))</f>
        <v>0</v>
      </c>
      <c r="BM130" s="1765">
        <f>IF('Data Entry - SOF'!S137=0,0,IF(BM41=0,0,'Data Entry - SOF'!S136*(BM48/'Data Entry - SOF'!S93)))</f>
        <v>0</v>
      </c>
      <c r="BN130" s="1766"/>
    </row>
    <row r="131" spans="3:66">
      <c r="C131" s="2057"/>
      <c r="D131" s="2057"/>
      <c r="E131" s="2057"/>
      <c r="F131" s="2057"/>
      <c r="G131" s="2057"/>
      <c r="H131" s="2057"/>
      <c r="I131" s="2370"/>
      <c r="K131" s="1455"/>
      <c r="L131" s="1455"/>
      <c r="M131" s="1455"/>
      <c r="N131" s="1455"/>
      <c r="O131" s="1455"/>
      <c r="P131" s="1455"/>
      <c r="R131" s="1567"/>
      <c r="Z131" s="1560"/>
      <c r="AH131" s="1582"/>
      <c r="AP131" s="1594"/>
      <c r="AX131" s="1605"/>
      <c r="BF131" s="1612"/>
      <c r="BN131" s="1766"/>
    </row>
    <row r="132" spans="3:66">
      <c r="C132" s="2057"/>
      <c r="D132" s="2057"/>
      <c r="E132" s="2057"/>
      <c r="F132" s="2057"/>
      <c r="G132" s="2057"/>
      <c r="H132" s="2057"/>
      <c r="I132" s="2370"/>
      <c r="K132" s="1455"/>
      <c r="L132" s="1455"/>
      <c r="M132" s="1455"/>
      <c r="N132" s="1455"/>
      <c r="O132" s="1455"/>
      <c r="P132" s="1455"/>
      <c r="R132" s="1567"/>
      <c r="Z132" s="1560"/>
      <c r="AH132" s="1582"/>
      <c r="AP132" s="1594"/>
      <c r="AX132" s="1605"/>
      <c r="BF132" s="1612"/>
      <c r="BN132" s="1766"/>
    </row>
    <row r="133" spans="3:66">
      <c r="C133" s="2057" t="s">
        <v>3830</v>
      </c>
      <c r="D133" s="2057"/>
      <c r="E133" s="2057"/>
      <c r="F133" s="2057"/>
      <c r="G133" s="2057"/>
      <c r="H133" s="2057"/>
      <c r="I133" s="2370"/>
      <c r="K133" s="1455" t="s">
        <v>3830</v>
      </c>
      <c r="L133" s="1455"/>
      <c r="M133" s="1455"/>
      <c r="N133" s="1455"/>
      <c r="O133" s="1455"/>
      <c r="P133" s="1455"/>
      <c r="R133" s="1567"/>
      <c r="S133" s="1438" t="s">
        <v>3830</v>
      </c>
      <c r="Z133" s="1560"/>
      <c r="AA133" s="1471" t="s">
        <v>3830</v>
      </c>
      <c r="AH133" s="1582"/>
      <c r="AI133" s="1472" t="s">
        <v>3830</v>
      </c>
      <c r="AP133" s="1594"/>
      <c r="AQ133" s="1473" t="s">
        <v>3830</v>
      </c>
      <c r="AX133" s="1605"/>
      <c r="AY133" s="1474" t="s">
        <v>3830</v>
      </c>
      <c r="BF133" s="1612"/>
      <c r="BG133" s="1765" t="s">
        <v>3830</v>
      </c>
      <c r="BN133" s="1766"/>
    </row>
    <row r="134" spans="3:66">
      <c r="C134" s="2057" t="e">
        <f>C79*0.04</f>
        <v>#REF!</v>
      </c>
      <c r="D134" s="2057"/>
      <c r="E134" s="2057" t="e">
        <f>E79*0.05</f>
        <v>#REF!</v>
      </c>
      <c r="F134" s="2057"/>
      <c r="G134" s="2057" t="e">
        <f>G79*0.04</f>
        <v>#REF!</v>
      </c>
      <c r="H134" s="2057"/>
      <c r="I134" s="2370" t="e">
        <f>I79*0.05</f>
        <v>#REF!</v>
      </c>
      <c r="K134" s="1455" t="e">
        <f>K79*0.04</f>
        <v>#REF!</v>
      </c>
      <c r="L134" s="1455"/>
      <c r="M134" s="1455" t="e">
        <f>M79*0.05</f>
        <v>#REF!</v>
      </c>
      <c r="N134" s="1455"/>
      <c r="O134" s="1455" t="e">
        <f>O79*0.04</f>
        <v>#REF!</v>
      </c>
      <c r="P134" s="1455"/>
      <c r="Q134" s="1460" t="e">
        <f>Q79*0.05</f>
        <v>#REF!</v>
      </c>
      <c r="R134" s="1567"/>
      <c r="S134" s="1438" t="e">
        <f>S79*0.04</f>
        <v>#DIV/0!</v>
      </c>
      <c r="U134" s="1438" t="e">
        <f>U79*0.05</f>
        <v>#DIV/0!</v>
      </c>
      <c r="W134" s="1438">
        <f>W79*0.04</f>
        <v>0</v>
      </c>
      <c r="Y134" s="1438">
        <f>Y79*0.05</f>
        <v>0</v>
      </c>
      <c r="Z134" s="1560"/>
      <c r="AA134" s="1471" t="e">
        <f>AA79*0.04</f>
        <v>#DIV/0!</v>
      </c>
      <c r="AC134" s="1471" t="e">
        <f>AC79*0.05</f>
        <v>#DIV/0!</v>
      </c>
      <c r="AE134" s="1471">
        <f>AE79*0.04</f>
        <v>0</v>
      </c>
      <c r="AG134" s="1471">
        <f>AG79*0.05</f>
        <v>0</v>
      </c>
      <c r="AH134" s="1582"/>
      <c r="AI134" s="1472" t="e">
        <f>AI79*0.04</f>
        <v>#DIV/0!</v>
      </c>
      <c r="AK134" s="1472" t="e">
        <f>AK79*0.05</f>
        <v>#DIV/0!</v>
      </c>
      <c r="AM134" s="1472">
        <f>AM79*0.04</f>
        <v>0</v>
      </c>
      <c r="AO134" s="1472">
        <f>AO79*0.05</f>
        <v>0</v>
      </c>
      <c r="AP134" s="1594"/>
      <c r="AQ134" s="1473" t="e">
        <f>AQ79*0.04</f>
        <v>#DIV/0!</v>
      </c>
      <c r="AS134" s="1473" t="e">
        <f>AS79*0.05</f>
        <v>#DIV/0!</v>
      </c>
      <c r="AU134" s="1473">
        <f>AU79*0.04</f>
        <v>0</v>
      </c>
      <c r="AW134" s="1473">
        <f>AW79*0.05</f>
        <v>0</v>
      </c>
      <c r="AX134" s="1605"/>
      <c r="AY134" s="1474" t="e">
        <f>AY79*0.04</f>
        <v>#DIV/0!</v>
      </c>
      <c r="BA134" s="1474" t="e">
        <f>BA79*0.05</f>
        <v>#DIV/0!</v>
      </c>
      <c r="BC134" s="1474">
        <f>BC79*0.04</f>
        <v>0</v>
      </c>
      <c r="BE134" s="1474">
        <f>BE79*0.05</f>
        <v>0</v>
      </c>
      <c r="BF134" s="1612"/>
      <c r="BG134" s="1765" t="e">
        <f>BG79*0.04</f>
        <v>#DIV/0!</v>
      </c>
      <c r="BI134" s="1765" t="e">
        <f>BI79*0.05</f>
        <v>#DIV/0!</v>
      </c>
      <c r="BK134" s="1765">
        <f>BK79*0.04</f>
        <v>0</v>
      </c>
      <c r="BM134" s="1765">
        <f>BM79*0.05</f>
        <v>0</v>
      </c>
      <c r="BN134" s="1766"/>
    </row>
    <row r="135" spans="3:66">
      <c r="C135" s="2057" t="e">
        <f>C74*80</f>
        <v>#REF!</v>
      </c>
      <c r="D135" s="2057"/>
      <c r="E135" s="2057" t="e">
        <f>'Ch41 Calc Data'!K17*100</f>
        <v>#REF!</v>
      </c>
      <c r="F135" s="2057"/>
      <c r="G135" s="2057" t="e">
        <f>G74*80</f>
        <v>#REF!</v>
      </c>
      <c r="H135" s="2057"/>
      <c r="I135" s="2370" t="e">
        <f>'Ch41 Calc Data'!K17*100</f>
        <v>#REF!</v>
      </c>
      <c r="K135" s="1455" t="e">
        <f>K74*80</f>
        <v>#REF!</v>
      </c>
      <c r="L135" s="1455"/>
      <c r="M135" s="1455" t="e">
        <f>'Ch41 Calc Data'!L17*100</f>
        <v>#REF!</v>
      </c>
      <c r="N135" s="1455"/>
      <c r="O135" s="1455" t="e">
        <f>O74*80</f>
        <v>#REF!</v>
      </c>
      <c r="P135" s="1455"/>
      <c r="Q135" s="1460" t="e">
        <f>'Ch41 Calc Data'!L17*100</f>
        <v>#REF!</v>
      </c>
      <c r="R135" s="1567"/>
      <c r="S135" s="1438" t="e">
        <f>S74*80</f>
        <v>#DIV/0!</v>
      </c>
      <c r="U135" s="1438">
        <f>'Ch41 Calc Data'!M17*100</f>
        <v>0</v>
      </c>
      <c r="W135" s="1438">
        <f>W74*80</f>
        <v>0</v>
      </c>
      <c r="Y135" s="1438">
        <f>'Ch41 Calc Data'!M17*100</f>
        <v>0</v>
      </c>
      <c r="Z135" s="1560"/>
      <c r="AA135" s="1471" t="e">
        <f>AA74*80</f>
        <v>#DIV/0!</v>
      </c>
      <c r="AC135" s="1471">
        <f>'Ch41 Calc Data'!N17*100</f>
        <v>0</v>
      </c>
      <c r="AE135" s="1471">
        <f>AE74*80</f>
        <v>0</v>
      </c>
      <c r="AG135" s="1471">
        <f>'Ch41 Calc Data'!N17*100</f>
        <v>0</v>
      </c>
      <c r="AH135" s="1582"/>
      <c r="AI135" s="1472" t="e">
        <f>AI74*80</f>
        <v>#DIV/0!</v>
      </c>
      <c r="AK135" s="1472" t="e">
        <f>'Ch41 Calc Data'!O17*100</f>
        <v>#DIV/0!</v>
      </c>
      <c r="AM135" s="1472">
        <f>AM74*80</f>
        <v>0</v>
      </c>
      <c r="AO135" s="1472" t="e">
        <f>'Ch41 Calc Data'!O17*100</f>
        <v>#DIV/0!</v>
      </c>
      <c r="AP135" s="1594"/>
      <c r="AQ135" s="1473" t="e">
        <f>AQ74*80</f>
        <v>#DIV/0!</v>
      </c>
      <c r="AS135" s="1473" t="e">
        <f>'Ch41 Calc Data'!P17*100</f>
        <v>#DIV/0!</v>
      </c>
      <c r="AU135" s="1473">
        <f>AU74*80</f>
        <v>0</v>
      </c>
      <c r="AW135" s="1473" t="e">
        <f>'Ch41 Calc Data'!P17*100</f>
        <v>#DIV/0!</v>
      </c>
      <c r="AX135" s="1605"/>
      <c r="AY135" s="1474" t="e">
        <f>AY74*80</f>
        <v>#DIV/0!</v>
      </c>
      <c r="BA135" s="1474" t="e">
        <f>'Ch41 Calc Data'!Q17*100</f>
        <v>#DIV/0!</v>
      </c>
      <c r="BC135" s="1474">
        <f>BC74*80</f>
        <v>0</v>
      </c>
      <c r="BE135" s="1474" t="e">
        <f>'Ch41 Calc Data'!Q17*100</f>
        <v>#DIV/0!</v>
      </c>
      <c r="BF135" s="1612"/>
      <c r="BG135" s="1765" t="e">
        <f>BG74*80</f>
        <v>#DIV/0!</v>
      </c>
      <c r="BI135" s="1765" t="e">
        <f>'Ch41 Calc Data'!R17*100</f>
        <v>#DIV/0!</v>
      </c>
      <c r="BK135" s="1765">
        <f>BK74*80</f>
        <v>0</v>
      </c>
      <c r="BM135" s="1765" t="e">
        <f>'Ch41 Calc Data'!R17*100</f>
        <v>#DIV/0!</v>
      </c>
      <c r="BN135" s="1766"/>
    </row>
    <row r="136" spans="3:66">
      <c r="C136" s="2057"/>
      <c r="D136" s="2057"/>
      <c r="E136" s="2057"/>
      <c r="F136" s="2057"/>
      <c r="G136" s="2057"/>
      <c r="H136" s="2057"/>
      <c r="I136" s="2370"/>
      <c r="K136" s="1455"/>
      <c r="L136" s="1455"/>
      <c r="M136" s="1455"/>
      <c r="N136" s="1455"/>
      <c r="O136" s="1455"/>
      <c r="P136" s="1455"/>
      <c r="R136" s="1567"/>
      <c r="Z136" s="1560"/>
      <c r="AH136" s="1582"/>
      <c r="AP136" s="1594"/>
      <c r="AX136" s="1605"/>
      <c r="BF136" s="1612"/>
      <c r="BN136" s="1766"/>
    </row>
    <row r="137" spans="3:66">
      <c r="C137" s="2057"/>
      <c r="D137" s="2057"/>
      <c r="E137" s="2057">
        <f>IF('Data Entry - SOF'!C137=0,0,'Data Entry - SOF'!C136*(E79/'Data Entry - SOF'!C93))</f>
        <v>0</v>
      </c>
      <c r="F137" s="2057"/>
      <c r="G137" s="2057"/>
      <c r="H137" s="2057"/>
      <c r="I137" s="2370">
        <f>IF('Data Entry - SOF'!C137=0,0,IF(I72=0,0,'Data Entry - SOF'!C136*(I79/'Data Entry - SOF'!C93)))</f>
        <v>0</v>
      </c>
      <c r="K137" s="1455"/>
      <c r="L137" s="1455"/>
      <c r="M137" s="1455" t="e">
        <f>IF('Data Entry - SOF'!#REF!=0,0,'Data Entry - SOF'!#REF!*(M79/'Data Entry - SOF'!#REF!))</f>
        <v>#REF!</v>
      </c>
      <c r="N137" s="1455"/>
      <c r="O137" s="1455"/>
      <c r="P137" s="1455"/>
      <c r="Q137" s="1460" t="e">
        <f>IF('Data Entry - SOF'!#REF!=0,0,IF(Q72=0,0,'Data Entry - SOF'!#REF!*(Q79/'Data Entry - SOF'!#REF!)))</f>
        <v>#REF!</v>
      </c>
      <c r="R137" s="1567"/>
      <c r="U137" s="1438">
        <f>IF('Data Entry - SOF'!E137=0,0,'Data Entry - SOF'!E136*(U79/'Data Entry - SOF'!E93))</f>
        <v>0</v>
      </c>
      <c r="Y137" s="1438">
        <f>IF('Data Entry - SOF'!E137=0,0,IF(Y72=0,0,'Data Entry - SOF'!E136*(Y79/'Data Entry - SOF'!E93)))</f>
        <v>0</v>
      </c>
      <c r="Z137" s="1560"/>
      <c r="AC137" s="1471">
        <f>IF('Data Entry - SOF'!G137=0,0,'Data Entry - SOF'!G136*(AC79/'Data Entry - SOF'!G93))</f>
        <v>0</v>
      </c>
      <c r="AG137" s="1471">
        <f>IF('Data Entry - SOF'!G137=0,0,IF(AG72=0,0,'Data Entry - SOF'!G136*(AG79/'Data Entry - SOF'!G93)))</f>
        <v>0</v>
      </c>
      <c r="AH137" s="1582"/>
      <c r="AK137" s="1472">
        <f>IF('Data Entry - SOF'!M137=0,0,'Data Entry - SOF'!M136*(AK79/'Data Entry - SOF'!M93))</f>
        <v>0</v>
      </c>
      <c r="AO137" s="1472">
        <f>IF('Data Entry - SOF'!M137=0,0,IF(AO72=0,0,'Data Entry - SOF'!M136*(AO79/'Data Entry - SOF'!M93)))</f>
        <v>0</v>
      </c>
      <c r="AP137" s="1594"/>
      <c r="AS137" s="1473">
        <f>IF('Data Entry - SOF'!O137=0,0,'Data Entry - SOF'!O136*(AS79/'Data Entry - SOF'!O93))</f>
        <v>0</v>
      </c>
      <c r="AW137" s="1473">
        <f>IF('Data Entry - SOF'!O137=0,0,IF(AW72=0,0,'Data Entry - SOF'!O136*(AW79/'Data Entry - SOF'!O93)))</f>
        <v>0</v>
      </c>
      <c r="AX137" s="1605"/>
      <c r="BA137" s="1474">
        <f>IF('Data Entry - SOF'!Q137=0,0,'Data Entry - SOF'!Q136*(BA79/'Data Entry - SOF'!Q93))</f>
        <v>0</v>
      </c>
      <c r="BE137" s="1474">
        <f>IF('Data Entry - SOF'!Q137=0,0,IF(BE72=0,0,'Data Entry - SOF'!Q136*(BE79/'Data Entry - SOF'!Q93)))</f>
        <v>0</v>
      </c>
      <c r="BF137" s="1612"/>
      <c r="BI137" s="1765">
        <f>IF('Data Entry - SOF'!S137=0,0,'Data Entry - SOF'!S136*(BI79/'Data Entry - SOF'!S93))</f>
        <v>0</v>
      </c>
      <c r="BM137" s="1765">
        <f>IF('Data Entry - SOF'!S137=0,0,IF(BM72=0,0,'Data Entry - SOF'!S136*(BM79/'Data Entry - SOF'!S93)))</f>
        <v>0</v>
      </c>
      <c r="BN137" s="1766"/>
    </row>
    <row r="138" spans="3:66">
      <c r="C138" s="2057"/>
      <c r="D138" s="2057"/>
      <c r="E138" s="2057"/>
      <c r="F138" s="2057"/>
      <c r="G138" s="2057"/>
      <c r="H138" s="2057"/>
      <c r="I138" s="2370"/>
      <c r="K138" s="1455"/>
      <c r="L138" s="1455"/>
      <c r="M138" s="1455"/>
      <c r="N138" s="1455"/>
      <c r="O138" s="1455"/>
      <c r="P138" s="1455"/>
      <c r="R138" s="1567"/>
      <c r="Z138" s="1560"/>
      <c r="AH138" s="1582"/>
      <c r="AP138" s="1594"/>
      <c r="AX138" s="1605"/>
      <c r="BF138" s="1612"/>
      <c r="BN138" s="1766"/>
    </row>
    <row r="139" spans="3:66">
      <c r="C139" s="2057"/>
      <c r="D139" s="2057"/>
      <c r="E139" s="2057"/>
      <c r="F139" s="2057"/>
      <c r="G139" s="2057"/>
      <c r="H139" s="2057"/>
      <c r="I139" s="2370"/>
      <c r="K139" s="1455"/>
      <c r="L139" s="1455"/>
      <c r="M139" s="1455"/>
      <c r="N139" s="1455"/>
      <c r="O139" s="1455"/>
      <c r="P139" s="1455"/>
      <c r="R139" s="1567"/>
      <c r="Z139" s="1560"/>
      <c r="AH139" s="1582"/>
      <c r="AP139" s="1594"/>
      <c r="AX139" s="1605"/>
      <c r="BF139" s="1612"/>
      <c r="BN139" s="1766"/>
    </row>
    <row r="140" spans="3:66">
      <c r="C140" s="2057" t="s">
        <v>3868</v>
      </c>
      <c r="D140" s="2057"/>
      <c r="E140" s="2057"/>
      <c r="F140" s="2057"/>
      <c r="G140" s="2057"/>
      <c r="H140" s="2057"/>
      <c r="I140" s="2370"/>
      <c r="K140" s="1455" t="s">
        <v>3868</v>
      </c>
      <c r="L140" s="1455"/>
      <c r="M140" s="1455"/>
      <c r="N140" s="1455"/>
      <c r="O140" s="1455"/>
      <c r="P140" s="1455"/>
      <c r="R140" s="1567"/>
      <c r="S140" s="1438" t="s">
        <v>3868</v>
      </c>
      <c r="Z140" s="1560"/>
      <c r="AA140" s="1471" t="s">
        <v>3868</v>
      </c>
      <c r="AH140" s="1582"/>
      <c r="AI140" s="1472" t="s">
        <v>3868</v>
      </c>
      <c r="AP140" s="1594"/>
      <c r="AQ140" s="1473" t="s">
        <v>3868</v>
      </c>
      <c r="AX140" s="1605"/>
      <c r="AY140" s="1474" t="s">
        <v>3868</v>
      </c>
      <c r="BF140" s="1612"/>
      <c r="BG140" s="1765" t="s">
        <v>3868</v>
      </c>
      <c r="BN140" s="1766"/>
    </row>
    <row r="141" spans="3:66">
      <c r="C141" s="2057" t="e">
        <f>C99*0.04</f>
        <v>#REF!</v>
      </c>
      <c r="D141" s="2057"/>
      <c r="E141" s="2057" t="e">
        <f>E99*0.05</f>
        <v>#REF!</v>
      </c>
      <c r="F141" s="2057"/>
      <c r="G141" s="2057" t="e">
        <f>G99*0.04</f>
        <v>#REF!</v>
      </c>
      <c r="H141" s="2057"/>
      <c r="I141" s="2370" t="e">
        <f>I99*0.05</f>
        <v>#REF!</v>
      </c>
      <c r="K141" s="1455" t="e">
        <f>K99*0.04</f>
        <v>#REF!</v>
      </c>
      <c r="L141" s="1455"/>
      <c r="M141" s="1455" t="e">
        <f>M99*0.05</f>
        <v>#REF!</v>
      </c>
      <c r="N141" s="1455"/>
      <c r="O141" s="1455" t="e">
        <f>O99*0.04</f>
        <v>#REF!</v>
      </c>
      <c r="P141" s="1455"/>
      <c r="Q141" s="1460" t="e">
        <f>Q99*0.05</f>
        <v>#REF!</v>
      </c>
      <c r="R141" s="1567"/>
      <c r="S141" s="1438" t="e">
        <f>S99*0.04</f>
        <v>#DIV/0!</v>
      </c>
      <c r="U141" s="1438" t="e">
        <f>U99*0.05</f>
        <v>#DIV/0!</v>
      </c>
      <c r="W141" s="1438" t="e">
        <f>W99*0.04</f>
        <v>#DIV/0!</v>
      </c>
      <c r="Y141" s="1438" t="e">
        <f>Y99*0.05</f>
        <v>#DIV/0!</v>
      </c>
      <c r="Z141" s="1560"/>
      <c r="AA141" s="1471" t="e">
        <f>AA99*0.04</f>
        <v>#DIV/0!</v>
      </c>
      <c r="AC141" s="1471" t="e">
        <f>AC99*0.05</f>
        <v>#DIV/0!</v>
      </c>
      <c r="AE141" s="1471">
        <f>AE99*0.04</f>
        <v>0</v>
      </c>
      <c r="AG141" s="1471">
        <f>AG99*0.05</f>
        <v>0</v>
      </c>
      <c r="AH141" s="1582"/>
      <c r="AI141" s="1472" t="e">
        <f>AI99*0.04</f>
        <v>#DIV/0!</v>
      </c>
      <c r="AK141" s="1472" t="e">
        <f>AK99*0.05</f>
        <v>#DIV/0!</v>
      </c>
      <c r="AM141" s="1472">
        <f>AM99*0.04</f>
        <v>0</v>
      </c>
      <c r="AO141" s="1472">
        <f>AO99*0.05</f>
        <v>0</v>
      </c>
      <c r="AP141" s="1594"/>
      <c r="AQ141" s="1473" t="e">
        <f>AQ99*0.04</f>
        <v>#DIV/0!</v>
      </c>
      <c r="AS141" s="1473" t="e">
        <f>AS99*0.05</f>
        <v>#DIV/0!</v>
      </c>
      <c r="AU141" s="1473">
        <f>AU99*0.04</f>
        <v>0</v>
      </c>
      <c r="AW141" s="1473">
        <f>AW99*0.05</f>
        <v>0</v>
      </c>
      <c r="AX141" s="1605"/>
      <c r="AY141" s="1474" t="e">
        <f>AY99*0.04</f>
        <v>#DIV/0!</v>
      </c>
      <c r="BA141" s="1474" t="e">
        <f>BA99*0.05</f>
        <v>#DIV/0!</v>
      </c>
      <c r="BC141" s="1474">
        <f>BC99*0.04</f>
        <v>0</v>
      </c>
      <c r="BE141" s="1474">
        <f>BE99*0.05</f>
        <v>0</v>
      </c>
      <c r="BF141" s="1612"/>
      <c r="BG141" s="1765" t="e">
        <f>BG99*0.04</f>
        <v>#DIV/0!</v>
      </c>
      <c r="BI141" s="1765" t="e">
        <f>BI99*0.05</f>
        <v>#DIV/0!</v>
      </c>
      <c r="BK141" s="1765">
        <f>BK99*0.04</f>
        <v>0</v>
      </c>
      <c r="BM141" s="1765">
        <f>BM99*0.05</f>
        <v>0</v>
      </c>
      <c r="BN141" s="1766"/>
    </row>
    <row r="142" spans="3:66">
      <c r="C142" s="2057" t="e">
        <f>C94*80</f>
        <v>#REF!</v>
      </c>
      <c r="D142" s="2057"/>
      <c r="E142" s="2057" t="e">
        <f>'Ch41 Calc Data'!K17*100</f>
        <v>#REF!</v>
      </c>
      <c r="F142" s="2057"/>
      <c r="G142" s="2057" t="e">
        <f>G94*80</f>
        <v>#REF!</v>
      </c>
      <c r="H142" s="2057"/>
      <c r="I142" s="2370" t="e">
        <f>'Ch41 Calc Data'!K17*100</f>
        <v>#REF!</v>
      </c>
      <c r="K142" s="1455" t="e">
        <f>K94*80</f>
        <v>#REF!</v>
      </c>
      <c r="L142" s="1455"/>
      <c r="M142" s="1455" t="e">
        <f>'Ch41 Calc Data'!L17*100</f>
        <v>#REF!</v>
      </c>
      <c r="N142" s="1455"/>
      <c r="O142" s="1455" t="e">
        <f>O94*80</f>
        <v>#REF!</v>
      </c>
      <c r="P142" s="1455"/>
      <c r="Q142" s="1460" t="e">
        <f>'Ch41 Calc Data'!L17*100</f>
        <v>#REF!</v>
      </c>
      <c r="R142" s="1567"/>
      <c r="S142" s="1438" t="e">
        <f>S94*80</f>
        <v>#DIV/0!</v>
      </c>
      <c r="U142" s="1438">
        <f>'Ch41 Calc Data'!M17*100</f>
        <v>0</v>
      </c>
      <c r="W142" s="1438" t="e">
        <f>W94*80</f>
        <v>#DIV/0!</v>
      </c>
      <c r="Y142" s="1438">
        <f>'Ch41 Calc Data'!M17*100</f>
        <v>0</v>
      </c>
      <c r="Z142" s="1560"/>
      <c r="AA142" s="1471" t="e">
        <f>AA94*80</f>
        <v>#DIV/0!</v>
      </c>
      <c r="AC142" s="1471">
        <f>'Ch41 Calc Data'!N17*100</f>
        <v>0</v>
      </c>
      <c r="AE142" s="1471">
        <f>AE94*80</f>
        <v>0</v>
      </c>
      <c r="AG142" s="1471">
        <f>'Ch41 Calc Data'!N17*100</f>
        <v>0</v>
      </c>
      <c r="AH142" s="1582"/>
      <c r="AI142" s="1472" t="e">
        <f>AI94*80</f>
        <v>#DIV/0!</v>
      </c>
      <c r="AK142" s="1472" t="e">
        <f>'Ch41 Calc Data'!O17*100</f>
        <v>#DIV/0!</v>
      </c>
      <c r="AM142" s="1472">
        <f>AM94*80</f>
        <v>0</v>
      </c>
      <c r="AO142" s="1472" t="e">
        <f>'Ch41 Calc Data'!O17*100</f>
        <v>#DIV/0!</v>
      </c>
      <c r="AP142" s="1594"/>
      <c r="AQ142" s="1473" t="e">
        <f>AQ94*80</f>
        <v>#DIV/0!</v>
      </c>
      <c r="AS142" s="1473" t="e">
        <f>'Ch41 Calc Data'!P17*100</f>
        <v>#DIV/0!</v>
      </c>
      <c r="AU142" s="1473">
        <f>AU94*80</f>
        <v>0</v>
      </c>
      <c r="AW142" s="1473" t="e">
        <f>'Ch41 Calc Data'!P17*100</f>
        <v>#DIV/0!</v>
      </c>
      <c r="AX142" s="1605"/>
      <c r="AY142" s="1474" t="e">
        <f>AY94*80</f>
        <v>#DIV/0!</v>
      </c>
      <c r="BA142" s="1474" t="e">
        <f>'Ch41 Calc Data'!Q17*100</f>
        <v>#DIV/0!</v>
      </c>
      <c r="BC142" s="1474">
        <f>BC94*80</f>
        <v>0</v>
      </c>
      <c r="BE142" s="1474" t="e">
        <f>'Ch41 Calc Data'!Q17*100</f>
        <v>#DIV/0!</v>
      </c>
      <c r="BF142" s="1612"/>
      <c r="BG142" s="1765" t="e">
        <f>BG94*80</f>
        <v>#DIV/0!</v>
      </c>
      <c r="BI142" s="1765" t="e">
        <f>'Ch41 Calc Data'!R17*100</f>
        <v>#DIV/0!</v>
      </c>
      <c r="BK142" s="1765">
        <f>BK94*80</f>
        <v>0</v>
      </c>
      <c r="BM142" s="1765" t="e">
        <f>'Ch41 Calc Data'!R17*100</f>
        <v>#DIV/0!</v>
      </c>
      <c r="BN142" s="1766"/>
    </row>
    <row r="143" spans="3:66">
      <c r="C143" s="2057"/>
      <c r="D143" s="2057"/>
      <c r="E143" s="2057"/>
      <c r="F143" s="2057"/>
      <c r="G143" s="2057"/>
      <c r="H143" s="2057"/>
      <c r="I143" s="2370"/>
      <c r="K143" s="1455"/>
      <c r="L143" s="1455"/>
      <c r="M143" s="1455"/>
      <c r="N143" s="1455"/>
      <c r="O143" s="1455"/>
      <c r="P143" s="1455"/>
      <c r="R143" s="1567"/>
      <c r="Z143" s="1560"/>
      <c r="AH143" s="1582"/>
      <c r="AP143" s="1594"/>
      <c r="AX143" s="1605"/>
      <c r="BF143" s="1612"/>
      <c r="BN143" s="1766"/>
    </row>
    <row r="144" spans="3:66">
      <c r="C144" s="2057"/>
      <c r="D144" s="2057"/>
      <c r="E144" s="2057">
        <f>IF('Data Entry - SOF'!C137=0,0,'Data Entry - SOF'!C136*(E99/#REF!))</f>
        <v>0</v>
      </c>
      <c r="F144" s="2057"/>
      <c r="G144" s="2057"/>
      <c r="H144" s="2057"/>
      <c r="I144" s="2370">
        <f>IF('Data Entry - SOF'!C137=0,0,'Data Entry - SOF'!C136*(I99/#REF!))</f>
        <v>0</v>
      </c>
      <c r="K144" s="1455"/>
      <c r="L144" s="1455"/>
      <c r="M144" s="1455" t="e">
        <f>IF('Data Entry - SOF'!#REF!=0,0,'Data Entry - SOF'!#REF!*(M99/'HH1718-Calcs'!C11))</f>
        <v>#REF!</v>
      </c>
      <c r="N144" s="1455"/>
      <c r="O144" s="1455"/>
      <c r="P144" s="1455"/>
      <c r="Q144" s="1460" t="e">
        <f>IF('Data Entry - SOF'!#REF!=0,0,'Data Entry - SOF'!#REF!*(Q99/'HH1718-Calcs'!C11))</f>
        <v>#REF!</v>
      </c>
      <c r="R144" s="1567"/>
      <c r="U144" s="1438">
        <f>IF('Data Entry - SOF'!E137=0,0,'Data Entry - SOF'!E136*(U99/'HH1819-Calcs'!C11))</f>
        <v>0</v>
      </c>
      <c r="Y144" s="1438">
        <f>IF('Data Entry - SOF'!E137=0,0,'Data Entry - SOF'!E136*(Y99/'HH1819-Calcs'!C11))</f>
        <v>0</v>
      </c>
      <c r="Z144" s="1560"/>
      <c r="AC144" s="1471">
        <f>IF('Data Entry - SOF'!G137=0,0,'Data Entry - SOF'!G136*(AC99/'HH1920-Calcs'!C11))</f>
        <v>0</v>
      </c>
      <c r="AG144" s="1471">
        <f>IF('Data Entry - SOF'!G137=0,0,'Data Entry - SOF'!G136*(AG99/'HH1920-Calcs'!C11))</f>
        <v>0</v>
      </c>
      <c r="AH144" s="1582"/>
      <c r="AK144" s="1472">
        <f>IF('Data Entry - SOF'!M137=0,0,'Data Entry - SOF'!M136*(AK99/'HH2021-Calcs'!C11))</f>
        <v>0</v>
      </c>
      <c r="AO144" s="1472">
        <f>IF('Data Entry - SOF'!M137=0,0,'Data Entry - SOF'!M136*(AO99/'HH2021-Calcs'!C11))</f>
        <v>0</v>
      </c>
      <c r="AP144" s="1594"/>
      <c r="AS144" s="1473">
        <f>IF('Data Entry - SOF'!O137=0,0,'Data Entry - SOF'!O136*(AS99/'HH2122-Calcs'!C11))</f>
        <v>0</v>
      </c>
      <c r="AW144" s="1473">
        <f>IF('Data Entry - SOF'!O137=0,0,'Data Entry - SOF'!O136*(AW99/'HH2122-Calcs'!C11))</f>
        <v>0</v>
      </c>
      <c r="AX144" s="1605"/>
      <c r="BA144" s="1474">
        <f>IF('Data Entry - SOF'!Q137=0,0,'Data Entry - SOF'!Q136*(BA99/'HH2223-Calcs'!C11))</f>
        <v>0</v>
      </c>
      <c r="BE144" s="1474">
        <f>IF('Data Entry - SOF'!Q137=0,0,'Data Entry - SOF'!Q136*(BE99/'HH2223-Calcs'!C11))</f>
        <v>0</v>
      </c>
      <c r="BF144" s="1612"/>
      <c r="BI144" s="1765">
        <f>IF('Data Entry - SOF'!S137=0,0,'Data Entry - SOF'!S136*(BI99/'HH2324-Calcs'!C11))</f>
        <v>0</v>
      </c>
      <c r="BM144" s="1765">
        <f>IF('Data Entry - SOF'!S137=0,0,'Data Entry - SOF'!S136*(BM99/'HH2324-Calcs'!C11))</f>
        <v>0</v>
      </c>
      <c r="BN144" s="1766"/>
    </row>
    <row r="145" spans="3:66">
      <c r="C145" s="2057"/>
      <c r="D145" s="2057"/>
      <c r="E145" s="2057"/>
      <c r="F145" s="2057"/>
      <c r="G145" s="2057"/>
      <c r="H145" s="2057"/>
      <c r="I145" s="2370"/>
      <c r="K145" s="1455"/>
      <c r="L145" s="1455"/>
      <c r="M145" s="1455"/>
      <c r="N145" s="1455"/>
      <c r="O145" s="1455"/>
      <c r="P145" s="1455"/>
      <c r="R145" s="1567"/>
      <c r="Z145" s="1560"/>
      <c r="AH145" s="1582"/>
      <c r="AP145" s="1594"/>
      <c r="AX145" s="1605"/>
      <c r="BF145" s="1612"/>
      <c r="BN145" s="1766"/>
    </row>
    <row r="146" spans="3:66">
      <c r="C146" s="2057"/>
      <c r="D146" s="2057"/>
      <c r="E146" s="2057"/>
      <c r="F146" s="2057"/>
      <c r="G146" s="2057"/>
      <c r="H146" s="2057"/>
      <c r="I146" s="2370"/>
      <c r="K146" s="1455"/>
      <c r="L146" s="1455"/>
      <c r="M146" s="1455"/>
      <c r="N146" s="1455"/>
      <c r="O146" s="1455"/>
      <c r="P146" s="1455"/>
      <c r="R146" s="1567"/>
      <c r="Z146" s="1560"/>
      <c r="AH146" s="1582"/>
      <c r="AP146" s="1594"/>
      <c r="AX146" s="1605"/>
      <c r="BF146" s="1612"/>
      <c r="BN146" s="1766"/>
    </row>
    <row r="147" spans="3:66">
      <c r="C147" s="2057" t="s">
        <v>6175</v>
      </c>
      <c r="D147" s="2057"/>
      <c r="E147" s="2057"/>
      <c r="F147" s="2057"/>
      <c r="G147" s="2057"/>
      <c r="H147" s="2057"/>
      <c r="I147" s="2370"/>
      <c r="K147" s="1455" t="s">
        <v>6175</v>
      </c>
      <c r="L147" s="1455"/>
      <c r="M147" s="1455"/>
      <c r="N147" s="1455"/>
      <c r="O147" s="1455"/>
      <c r="P147" s="1455"/>
      <c r="R147" s="1567"/>
      <c r="Z147" s="1560"/>
      <c r="AH147" s="1582"/>
      <c r="AP147" s="1594"/>
      <c r="AX147" s="1605"/>
      <c r="BF147" s="1612"/>
      <c r="BN147" s="1766"/>
    </row>
    <row r="148" spans="3:66">
      <c r="C148" s="2057" t="e">
        <f>C118*0.04</f>
        <v>#REF!</v>
      </c>
      <c r="D148" s="2057"/>
      <c r="E148" s="2057" t="e">
        <f>E118*0.05</f>
        <v>#REF!</v>
      </c>
      <c r="F148" s="2057"/>
      <c r="G148" s="2057" t="e">
        <f>G118*0.04</f>
        <v>#REF!</v>
      </c>
      <c r="H148" s="2057"/>
      <c r="I148" s="2370" t="e">
        <f>I118*0.05</f>
        <v>#REF!</v>
      </c>
      <c r="K148" s="1455" t="e">
        <f>K99*0.04</f>
        <v>#REF!</v>
      </c>
      <c r="L148" s="1455"/>
      <c r="M148" s="1455" t="e">
        <f>M99*0.05</f>
        <v>#REF!</v>
      </c>
      <c r="N148" s="1455"/>
      <c r="O148" s="1455" t="e">
        <f>O99*0.04</f>
        <v>#REF!</v>
      </c>
      <c r="P148" s="1455"/>
      <c r="Q148" s="1460" t="e">
        <f>Q99*0.05</f>
        <v>#REF!</v>
      </c>
      <c r="R148" s="1567"/>
      <c r="Z148" s="1560"/>
      <c r="AH148" s="1582"/>
      <c r="AP148" s="1594"/>
      <c r="AX148" s="1605"/>
      <c r="BF148" s="1612"/>
      <c r="BN148" s="1766"/>
    </row>
    <row r="149" spans="3:66">
      <c r="C149" s="2057" t="e">
        <f>C113*80</f>
        <v>#REF!</v>
      </c>
      <c r="D149" s="2057"/>
      <c r="E149" s="2057" t="e">
        <f>'Ch41 Calc Data'!K17*100</f>
        <v>#REF!</v>
      </c>
      <c r="F149" s="2057"/>
      <c r="G149" s="2057" t="e">
        <f>G113*80</f>
        <v>#REF!</v>
      </c>
      <c r="H149" s="2057"/>
      <c r="I149" s="2370" t="e">
        <f>'Ch41 Calc Data'!K17*100</f>
        <v>#REF!</v>
      </c>
      <c r="K149" s="1455" t="e">
        <f>K94*80</f>
        <v>#REF!</v>
      </c>
      <c r="L149" s="1455"/>
      <c r="M149" s="1455" t="e">
        <f>'Ch41 Calc Data'!L17*100</f>
        <v>#REF!</v>
      </c>
      <c r="N149" s="1455"/>
      <c r="O149" s="1455" t="e">
        <f>O94*80</f>
        <v>#REF!</v>
      </c>
      <c r="P149" s="1455"/>
      <c r="Q149" s="1460" t="e">
        <f>'Ch41 Calc Data'!L17*100</f>
        <v>#REF!</v>
      </c>
      <c r="R149" s="1567"/>
      <c r="Z149" s="1560"/>
      <c r="AH149" s="1582"/>
      <c r="AP149" s="1594"/>
      <c r="AX149" s="1605"/>
      <c r="BF149" s="1612"/>
      <c r="BN149" s="1766"/>
    </row>
    <row r="150" spans="3:66">
      <c r="C150" s="2057"/>
      <c r="D150" s="2057"/>
      <c r="E150" s="2057"/>
      <c r="F150" s="2057"/>
      <c r="G150" s="2057"/>
      <c r="H150" s="2057"/>
      <c r="I150" s="2370"/>
      <c r="K150" s="1455"/>
      <c r="L150" s="1455"/>
      <c r="M150" s="1455"/>
      <c r="N150" s="1455"/>
      <c r="O150" s="1455"/>
      <c r="P150" s="1455"/>
      <c r="R150" s="1567"/>
      <c r="Z150" s="1560"/>
      <c r="AH150" s="1582"/>
      <c r="AP150" s="1594"/>
      <c r="AX150" s="1605"/>
      <c r="BF150" s="1612"/>
      <c r="BN150" s="1766"/>
    </row>
    <row r="151" spans="3:66">
      <c r="C151" s="2057"/>
      <c r="D151" s="2057"/>
      <c r="E151" s="2057">
        <f>IF('Data Entry - SOF'!C137=0,0,'Data Entry - SOF'!C136*(E99/#REF!))</f>
        <v>0</v>
      </c>
      <c r="F151" s="2057"/>
      <c r="G151" s="2057"/>
      <c r="H151" s="2057"/>
      <c r="I151" s="2370">
        <f>IF('Data Entry - SOF'!C137=0,0,'Data Entry - SOF'!C136*(I99/#REF!))</f>
        <v>0</v>
      </c>
      <c r="K151" s="1455"/>
      <c r="L151" s="1455"/>
      <c r="M151" s="1455" t="e">
        <f>IF('Data Entry - SOF'!#REF!=0,0,'Data Entry - SOF'!#REF!*(M99/'HH1718-Calcs'!C11))</f>
        <v>#REF!</v>
      </c>
      <c r="N151" s="1455"/>
      <c r="O151" s="1455"/>
      <c r="P151" s="1455"/>
      <c r="Q151" s="1460" t="e">
        <f>IF('Data Entry - SOF'!#REF!=0,0,'Data Entry - SOF'!#REF!*(Q99/'HH1718-Calcs'!C11))</f>
        <v>#REF!</v>
      </c>
      <c r="R151" s="1567"/>
      <c r="Z151" s="1560"/>
      <c r="AH151" s="1582"/>
      <c r="AP151" s="1594"/>
      <c r="AX151" s="1605"/>
      <c r="BF151" s="1612"/>
      <c r="BN151" s="1766"/>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31" workbookViewId="0">
      <selection activeCell="K35" sqref="K35"/>
    </sheetView>
  </sheetViews>
  <sheetFormatPr defaultRowHeight="12.75"/>
  <cols>
    <col min="1" max="1" width="27.140625" customWidth="1"/>
    <col min="2" max="2" width="2.5703125" customWidth="1"/>
    <col min="3" max="6" width="12.5703125" hidden="1" customWidth="1"/>
    <col min="7" max="15" width="12.5703125" customWidth="1"/>
    <col min="16" max="16" width="34.140625" customWidth="1"/>
  </cols>
  <sheetData>
    <row r="1" spans="1:16">
      <c r="A1" s="35" t="s">
        <v>3096</v>
      </c>
    </row>
    <row r="2" spans="1:16">
      <c r="C2" s="72" t="s">
        <v>167</v>
      </c>
      <c r="D2" s="72" t="s">
        <v>168</v>
      </c>
      <c r="E2" s="72" t="s">
        <v>169</v>
      </c>
      <c r="F2" s="72" t="s">
        <v>781</v>
      </c>
      <c r="G2" s="72" t="s">
        <v>3100</v>
      </c>
      <c r="H2" s="72" t="s">
        <v>3138</v>
      </c>
      <c r="I2" s="369" t="s">
        <v>3144</v>
      </c>
      <c r="J2" s="369" t="s">
        <v>3225</v>
      </c>
      <c r="K2" s="72" t="s">
        <v>3284</v>
      </c>
      <c r="L2" s="72" t="s">
        <v>3922</v>
      </c>
      <c r="M2" s="72" t="s">
        <v>6374</v>
      </c>
      <c r="N2" s="72" t="s">
        <v>6939</v>
      </c>
      <c r="O2" s="72" t="s">
        <v>8157</v>
      </c>
      <c r="P2" s="516" t="s">
        <v>3097</v>
      </c>
    </row>
    <row r="3" spans="1:16">
      <c r="I3" s="367"/>
      <c r="J3" s="367"/>
      <c r="P3" s="517" t="s">
        <v>3089</v>
      </c>
    </row>
    <row r="4" spans="1:16">
      <c r="A4" t="s">
        <v>3080</v>
      </c>
      <c r="C4" s="125">
        <v>0.92390000000000005</v>
      </c>
      <c r="D4" s="125">
        <v>0.98</v>
      </c>
      <c r="E4" s="767">
        <v>1</v>
      </c>
      <c r="F4" s="767">
        <v>1</v>
      </c>
      <c r="G4" s="767">
        <v>1</v>
      </c>
      <c r="H4" s="767">
        <v>1</v>
      </c>
      <c r="I4" s="615">
        <f t="shared" ref="I4:O4" si="0">H4</f>
        <v>1</v>
      </c>
      <c r="J4" s="615">
        <f t="shared" si="0"/>
        <v>1</v>
      </c>
      <c r="K4" s="512">
        <f t="shared" si="0"/>
        <v>1</v>
      </c>
      <c r="L4" s="512">
        <f t="shared" si="0"/>
        <v>1</v>
      </c>
      <c r="M4" s="512">
        <f t="shared" si="0"/>
        <v>1</v>
      </c>
      <c r="N4" s="512">
        <f t="shared" si="0"/>
        <v>1</v>
      </c>
      <c r="O4" s="512">
        <f t="shared" si="0"/>
        <v>1</v>
      </c>
      <c r="P4" s="517" t="s">
        <v>3094</v>
      </c>
    </row>
    <row r="5" spans="1:16">
      <c r="A5" t="s">
        <v>3079</v>
      </c>
      <c r="C5" s="512">
        <v>0.95194999999999996</v>
      </c>
      <c r="D5" s="512">
        <v>0.95194999999999996</v>
      </c>
      <c r="E5" s="768"/>
      <c r="F5" s="768"/>
      <c r="G5" s="768"/>
      <c r="H5" s="768"/>
      <c r="I5" s="615"/>
      <c r="J5" s="615"/>
      <c r="K5" s="512"/>
      <c r="L5" s="512"/>
      <c r="M5" s="512"/>
      <c r="N5" s="512"/>
      <c r="O5" s="512"/>
      <c r="P5" s="517" t="s">
        <v>3090</v>
      </c>
    </row>
    <row r="6" spans="1:16">
      <c r="C6" s="512"/>
      <c r="D6" s="512"/>
      <c r="E6" s="768"/>
      <c r="F6" s="768"/>
      <c r="G6" s="768"/>
      <c r="H6" s="768"/>
      <c r="I6" s="615"/>
      <c r="J6" s="615"/>
      <c r="K6" s="512"/>
      <c r="L6" s="512"/>
      <c r="M6" s="512"/>
      <c r="N6" s="512"/>
      <c r="O6" s="512"/>
      <c r="P6" s="518" t="s">
        <v>3091</v>
      </c>
    </row>
    <row r="7" spans="1:16">
      <c r="A7" t="s">
        <v>3077</v>
      </c>
      <c r="C7">
        <v>1</v>
      </c>
      <c r="D7">
        <v>0.92349999999999999</v>
      </c>
      <c r="E7" s="119">
        <v>0.92630000000000001</v>
      </c>
      <c r="F7" s="119">
        <v>0.92630000000000001</v>
      </c>
      <c r="G7" s="119">
        <v>0.92630000000000001</v>
      </c>
      <c r="H7" s="119">
        <v>0.92630000000000001</v>
      </c>
      <c r="I7" s="615">
        <f t="shared" ref="I7:O7" si="1">H7</f>
        <v>0.92630000000000001</v>
      </c>
      <c r="J7" s="615">
        <f t="shared" si="1"/>
        <v>0.92630000000000001</v>
      </c>
      <c r="K7" s="512">
        <f t="shared" si="1"/>
        <v>0.92630000000000001</v>
      </c>
      <c r="L7" s="512">
        <f t="shared" si="1"/>
        <v>0.92630000000000001</v>
      </c>
      <c r="M7" s="512">
        <f t="shared" si="1"/>
        <v>0.92630000000000001</v>
      </c>
      <c r="N7" s="512">
        <f t="shared" si="1"/>
        <v>0.92630000000000001</v>
      </c>
      <c r="O7" s="512">
        <f t="shared" si="1"/>
        <v>0.92630000000000001</v>
      </c>
    </row>
    <row r="8" spans="1:16">
      <c r="C8" s="125"/>
      <c r="D8" s="125"/>
      <c r="E8" s="125"/>
      <c r="F8" s="125"/>
      <c r="G8" s="125"/>
      <c r="H8" s="125"/>
      <c r="I8" s="614"/>
      <c r="J8" s="614"/>
      <c r="K8" s="125"/>
      <c r="L8" s="125"/>
      <c r="M8" s="125"/>
      <c r="N8" s="125"/>
      <c r="O8" s="125"/>
    </row>
    <row r="9" spans="1:16">
      <c r="A9" t="s">
        <v>3065</v>
      </c>
      <c r="C9" s="125"/>
      <c r="D9" s="125"/>
      <c r="E9" s="125"/>
      <c r="F9" s="125"/>
      <c r="G9" s="125"/>
      <c r="H9" s="125"/>
      <c r="I9" s="614"/>
      <c r="J9" s="614"/>
      <c r="K9" s="125"/>
      <c r="L9" s="125"/>
      <c r="M9" s="125"/>
      <c r="N9" s="125"/>
      <c r="O9" s="125"/>
      <c r="P9" s="35"/>
    </row>
    <row r="10" spans="1:16">
      <c r="A10" t="s">
        <v>2784</v>
      </c>
      <c r="C10" s="93">
        <v>5</v>
      </c>
      <c r="D10" s="93">
        <v>5</v>
      </c>
      <c r="E10" s="93">
        <v>5</v>
      </c>
      <c r="F10" s="93">
        <v>5</v>
      </c>
      <c r="G10" s="93">
        <v>5</v>
      </c>
      <c r="H10" s="93">
        <v>5</v>
      </c>
      <c r="I10" s="1055">
        <v>5</v>
      </c>
      <c r="J10" s="1055">
        <v>5</v>
      </c>
      <c r="K10" s="93">
        <v>5</v>
      </c>
      <c r="L10" s="93">
        <v>5</v>
      </c>
      <c r="M10" s="93">
        <v>5</v>
      </c>
      <c r="N10" s="93">
        <v>5</v>
      </c>
      <c r="O10" s="93">
        <v>5</v>
      </c>
      <c r="P10" s="35"/>
    </row>
    <row r="11" spans="1:16">
      <c r="A11" t="s">
        <v>2785</v>
      </c>
      <c r="C11" s="93">
        <v>3</v>
      </c>
      <c r="D11" s="93">
        <v>3</v>
      </c>
      <c r="E11" s="93">
        <v>3</v>
      </c>
      <c r="F11" s="93">
        <v>3</v>
      </c>
      <c r="G11" s="93">
        <v>3</v>
      </c>
      <c r="H11" s="93">
        <v>3</v>
      </c>
      <c r="I11" s="1055">
        <v>3</v>
      </c>
      <c r="J11" s="1055">
        <v>3</v>
      </c>
      <c r="K11" s="93">
        <v>3</v>
      </c>
      <c r="L11" s="93">
        <v>3</v>
      </c>
      <c r="M11" s="93">
        <v>3</v>
      </c>
      <c r="N11" s="93">
        <v>3</v>
      </c>
      <c r="O11" s="93">
        <v>3</v>
      </c>
    </row>
    <row r="12" spans="1:16">
      <c r="A12" t="s">
        <v>2786</v>
      </c>
      <c r="C12" s="93">
        <v>5</v>
      </c>
      <c r="D12" s="93">
        <v>5</v>
      </c>
      <c r="E12" s="93">
        <v>5</v>
      </c>
      <c r="F12" s="93">
        <v>5</v>
      </c>
      <c r="G12" s="93">
        <v>5</v>
      </c>
      <c r="H12" s="93">
        <v>5</v>
      </c>
      <c r="I12" s="1055">
        <v>5</v>
      </c>
      <c r="J12" s="1055">
        <v>5</v>
      </c>
      <c r="K12" s="93">
        <v>5</v>
      </c>
      <c r="L12" s="93">
        <v>5</v>
      </c>
      <c r="M12" s="93">
        <v>5</v>
      </c>
      <c r="N12" s="93">
        <v>5</v>
      </c>
      <c r="O12" s="93">
        <v>5</v>
      </c>
    </row>
    <row r="13" spans="1:16">
      <c r="A13" t="s">
        <v>2787</v>
      </c>
      <c r="C13" s="93">
        <v>3</v>
      </c>
      <c r="D13" s="93">
        <v>3</v>
      </c>
      <c r="E13" s="93">
        <v>3</v>
      </c>
      <c r="F13" s="93">
        <v>3</v>
      </c>
      <c r="G13" s="93">
        <v>3</v>
      </c>
      <c r="H13" s="93">
        <v>3</v>
      </c>
      <c r="I13" s="1055">
        <v>3</v>
      </c>
      <c r="J13" s="1055">
        <v>3</v>
      </c>
      <c r="K13" s="93">
        <v>3</v>
      </c>
      <c r="L13" s="93">
        <v>3</v>
      </c>
      <c r="M13" s="93">
        <v>3</v>
      </c>
      <c r="N13" s="93">
        <v>3</v>
      </c>
      <c r="O13" s="93">
        <v>3</v>
      </c>
    </row>
    <row r="14" spans="1:16">
      <c r="A14" t="s">
        <v>3061</v>
      </c>
      <c r="C14" s="93">
        <v>3</v>
      </c>
      <c r="D14" s="93">
        <v>3</v>
      </c>
      <c r="E14" s="93">
        <v>3</v>
      </c>
      <c r="F14" s="93">
        <v>3</v>
      </c>
      <c r="G14" s="93">
        <v>3</v>
      </c>
      <c r="H14" s="93">
        <v>3</v>
      </c>
      <c r="I14" s="1055">
        <v>3</v>
      </c>
      <c r="J14" s="1055">
        <v>3</v>
      </c>
      <c r="K14" s="93">
        <v>3</v>
      </c>
      <c r="L14" s="93">
        <v>3</v>
      </c>
      <c r="M14" s="93">
        <v>3</v>
      </c>
      <c r="N14" s="93">
        <v>3</v>
      </c>
      <c r="O14" s="93">
        <v>3</v>
      </c>
    </row>
    <row r="15" spans="1:16">
      <c r="A15" t="s">
        <v>2790</v>
      </c>
      <c r="C15" s="93">
        <v>2.7</v>
      </c>
      <c r="D15" s="93">
        <v>2.7</v>
      </c>
      <c r="E15" s="93">
        <v>2.7</v>
      </c>
      <c r="F15" s="93">
        <v>2.7</v>
      </c>
      <c r="G15" s="93">
        <v>2.7</v>
      </c>
      <c r="H15" s="93">
        <v>2.7</v>
      </c>
      <c r="I15" s="1055">
        <v>2.7</v>
      </c>
      <c r="J15" s="1055">
        <v>2.7</v>
      </c>
      <c r="K15" s="93">
        <v>2.7</v>
      </c>
      <c r="L15" s="93">
        <v>2.7</v>
      </c>
      <c r="M15" s="93">
        <v>2.7</v>
      </c>
      <c r="N15" s="93">
        <v>2.7</v>
      </c>
      <c r="O15" s="93">
        <v>2.7</v>
      </c>
    </row>
    <row r="16" spans="1:16">
      <c r="A16" t="s">
        <v>3062</v>
      </c>
      <c r="C16" s="93">
        <v>2.2999999999999998</v>
      </c>
      <c r="D16" s="93">
        <v>2.2999999999999998</v>
      </c>
      <c r="E16" s="93">
        <v>2.2999999999999998</v>
      </c>
      <c r="F16" s="93">
        <v>2.2999999999999998</v>
      </c>
      <c r="G16" s="93">
        <v>2.2999999999999998</v>
      </c>
      <c r="H16" s="93">
        <v>2.2999999999999998</v>
      </c>
      <c r="I16" s="1055">
        <v>2.2999999999999998</v>
      </c>
      <c r="J16" s="1055">
        <v>2.2999999999999998</v>
      </c>
      <c r="K16" s="93">
        <v>2.2999999999999998</v>
      </c>
      <c r="L16" s="93">
        <v>2.2999999999999998</v>
      </c>
      <c r="M16" s="93">
        <v>2.2999999999999998</v>
      </c>
      <c r="N16" s="93">
        <v>2.2999999999999998</v>
      </c>
      <c r="O16" s="93">
        <v>2.2999999999999998</v>
      </c>
    </row>
    <row r="17" spans="1:15">
      <c r="A17" t="s">
        <v>2792</v>
      </c>
      <c r="C17" s="93">
        <v>2.8</v>
      </c>
      <c r="D17" s="93">
        <v>2.8</v>
      </c>
      <c r="E17" s="93">
        <v>2.8</v>
      </c>
      <c r="F17" s="93">
        <v>2.8</v>
      </c>
      <c r="G17" s="93">
        <v>2.8</v>
      </c>
      <c r="H17" s="93">
        <v>2.8</v>
      </c>
      <c r="I17" s="1055">
        <v>2.8</v>
      </c>
      <c r="J17" s="1055">
        <v>2.8</v>
      </c>
      <c r="K17" s="93">
        <v>2.8</v>
      </c>
      <c r="L17" s="93">
        <v>2.8</v>
      </c>
      <c r="M17" s="93">
        <v>2.8</v>
      </c>
      <c r="N17" s="93">
        <v>2.8</v>
      </c>
      <c r="O17" s="93">
        <v>2.8</v>
      </c>
    </row>
    <row r="18" spans="1:15">
      <c r="A18" t="s">
        <v>3063</v>
      </c>
      <c r="C18" s="93">
        <v>1.7</v>
      </c>
      <c r="D18" s="93">
        <v>1.7</v>
      </c>
      <c r="E18" s="93">
        <v>1.7</v>
      </c>
      <c r="F18" s="93">
        <v>1.7</v>
      </c>
      <c r="G18" s="93">
        <v>1.7</v>
      </c>
      <c r="H18" s="93">
        <v>1.7</v>
      </c>
      <c r="I18" s="1055">
        <v>1.7</v>
      </c>
      <c r="J18" s="1055">
        <v>1.7</v>
      </c>
      <c r="K18" s="93">
        <v>1.7</v>
      </c>
      <c r="L18" s="93">
        <v>1.7</v>
      </c>
      <c r="M18" s="93">
        <v>1.7</v>
      </c>
      <c r="N18" s="93">
        <v>1.7</v>
      </c>
      <c r="O18" s="93">
        <v>1.7</v>
      </c>
    </row>
    <row r="19" spans="1:15">
      <c r="A19" t="s">
        <v>3064</v>
      </c>
      <c r="C19" s="93">
        <v>4</v>
      </c>
      <c r="D19" s="93">
        <v>4</v>
      </c>
      <c r="E19" s="93">
        <v>4</v>
      </c>
      <c r="F19" s="93">
        <v>4</v>
      </c>
      <c r="G19" s="93">
        <v>4</v>
      </c>
      <c r="H19" s="93">
        <v>4</v>
      </c>
      <c r="I19" s="1055">
        <v>4</v>
      </c>
      <c r="J19" s="1055">
        <v>4</v>
      </c>
      <c r="K19" s="93">
        <v>4</v>
      </c>
      <c r="L19" s="93">
        <v>4</v>
      </c>
      <c r="M19" s="93">
        <v>4</v>
      </c>
      <c r="N19" s="93">
        <v>4</v>
      </c>
      <c r="O19" s="93">
        <v>4</v>
      </c>
    </row>
    <row r="20" spans="1:15">
      <c r="C20" s="93"/>
      <c r="D20" s="93"/>
      <c r="E20" s="93"/>
      <c r="F20" s="93"/>
      <c r="G20" s="93"/>
      <c r="H20" s="93"/>
      <c r="I20" s="1055"/>
      <c r="J20" s="1055"/>
      <c r="K20" s="93"/>
      <c r="L20" s="93"/>
      <c r="M20" s="93"/>
      <c r="N20" s="93"/>
      <c r="O20" s="93"/>
    </row>
    <row r="21" spans="1:15">
      <c r="A21" t="s">
        <v>2824</v>
      </c>
      <c r="C21" s="93">
        <v>1.1000000000000001</v>
      </c>
      <c r="D21" s="93">
        <v>1.1000000000000001</v>
      </c>
      <c r="E21" s="93">
        <v>1.1000000000000001</v>
      </c>
      <c r="F21" s="93">
        <v>1.1000000000000001</v>
      </c>
      <c r="G21" s="93">
        <v>1.1000000000000001</v>
      </c>
      <c r="H21" s="93">
        <v>1.1000000000000001</v>
      </c>
      <c r="I21" s="1055">
        <v>1.1000000000000001</v>
      </c>
      <c r="J21" s="1055">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055"/>
      <c r="J22" s="1055"/>
      <c r="K22" s="93"/>
      <c r="L22" s="93"/>
      <c r="M22" s="93"/>
      <c r="N22" s="93"/>
      <c r="O22" s="93"/>
    </row>
    <row r="23" spans="1:15">
      <c r="A23" t="s">
        <v>3066</v>
      </c>
      <c r="C23" s="93">
        <v>1.35</v>
      </c>
      <c r="D23" s="93">
        <v>1.35</v>
      </c>
      <c r="E23" s="93">
        <v>1.35</v>
      </c>
      <c r="F23" s="93">
        <v>1.35</v>
      </c>
      <c r="G23" s="93">
        <v>1.35</v>
      </c>
      <c r="H23" s="93">
        <v>1.35</v>
      </c>
      <c r="I23" s="1055">
        <v>1.35</v>
      </c>
      <c r="J23" s="1055">
        <v>1.35</v>
      </c>
      <c r="K23" s="93">
        <v>1.35</v>
      </c>
      <c r="L23" s="93">
        <v>1.35</v>
      </c>
      <c r="M23" s="93">
        <v>1.35</v>
      </c>
      <c r="N23" s="93">
        <v>1.35</v>
      </c>
      <c r="O23" s="93">
        <v>1.35</v>
      </c>
    </row>
    <row r="24" spans="1:15">
      <c r="A24" t="s">
        <v>3071</v>
      </c>
      <c r="C24" s="91">
        <v>50</v>
      </c>
      <c r="D24" s="91">
        <v>50</v>
      </c>
      <c r="E24" s="91">
        <v>50</v>
      </c>
      <c r="F24" s="91">
        <v>50</v>
      </c>
      <c r="G24" s="91">
        <v>50</v>
      </c>
      <c r="H24" s="91">
        <v>50</v>
      </c>
      <c r="I24" s="980">
        <v>50</v>
      </c>
      <c r="J24" s="980">
        <v>50</v>
      </c>
      <c r="K24" s="91">
        <v>50</v>
      </c>
      <c r="L24" s="91">
        <v>50</v>
      </c>
      <c r="M24" s="91">
        <v>50</v>
      </c>
      <c r="N24" s="91">
        <v>50</v>
      </c>
      <c r="O24" s="91">
        <v>50</v>
      </c>
    </row>
    <row r="25" spans="1:15">
      <c r="C25" s="125"/>
      <c r="D25" s="125"/>
      <c r="E25" s="125"/>
      <c r="F25" s="125"/>
      <c r="G25" s="125"/>
      <c r="H25" s="125"/>
      <c r="I25" s="614"/>
      <c r="J25" s="614"/>
      <c r="K25" s="125"/>
      <c r="L25" s="125"/>
      <c r="M25" s="125"/>
      <c r="N25" s="125"/>
      <c r="O25" s="125"/>
    </row>
    <row r="26" spans="1:15">
      <c r="A26" t="s">
        <v>3067</v>
      </c>
      <c r="C26" s="93">
        <v>0.1</v>
      </c>
      <c r="D26" s="93">
        <v>0.1</v>
      </c>
      <c r="E26" s="93">
        <v>0.1</v>
      </c>
      <c r="F26" s="93">
        <v>0.1</v>
      </c>
      <c r="G26" s="93">
        <v>0.1</v>
      </c>
      <c r="H26" s="93">
        <v>0.1</v>
      </c>
      <c r="I26" s="1055">
        <v>0.1</v>
      </c>
      <c r="J26" s="1055">
        <v>0.1</v>
      </c>
      <c r="K26" s="93">
        <v>0.1</v>
      </c>
      <c r="L26" s="93">
        <v>0.1</v>
      </c>
      <c r="M26" s="93">
        <v>0.1</v>
      </c>
      <c r="N26" s="93">
        <v>0.1</v>
      </c>
      <c r="O26" s="93">
        <v>0.1</v>
      </c>
    </row>
    <row r="27" spans="1:15">
      <c r="C27" s="93"/>
      <c r="D27" s="93"/>
      <c r="E27" s="93"/>
      <c r="F27" s="93"/>
      <c r="G27" s="93"/>
      <c r="H27" s="93"/>
      <c r="I27" s="1055"/>
      <c r="J27" s="1055"/>
      <c r="K27" s="93"/>
      <c r="L27" s="93"/>
      <c r="M27" s="93"/>
      <c r="N27" s="93"/>
      <c r="O27" s="93"/>
    </row>
    <row r="28" spans="1:15">
      <c r="A28" t="s">
        <v>3068</v>
      </c>
      <c r="C28" s="93">
        <v>0.12</v>
      </c>
      <c r="D28" s="93">
        <v>0.12</v>
      </c>
      <c r="E28" s="93">
        <v>0.12</v>
      </c>
      <c r="F28" s="93">
        <v>0.12</v>
      </c>
      <c r="G28" s="93">
        <v>0.12</v>
      </c>
      <c r="H28" s="93">
        <v>0.12</v>
      </c>
      <c r="I28" s="1055">
        <v>0.12</v>
      </c>
      <c r="J28" s="1055">
        <v>0.12</v>
      </c>
      <c r="K28" s="93">
        <v>0.12</v>
      </c>
      <c r="L28" s="93">
        <v>0.12</v>
      </c>
      <c r="M28" s="93">
        <v>0.12</v>
      </c>
      <c r="N28" s="93">
        <v>0.12</v>
      </c>
      <c r="O28" s="93">
        <v>0.12</v>
      </c>
    </row>
    <row r="29" spans="1:15">
      <c r="C29" s="93"/>
      <c r="D29" s="93"/>
      <c r="E29" s="93"/>
      <c r="F29" s="93"/>
      <c r="G29" s="93"/>
      <c r="H29" s="93"/>
      <c r="I29" s="1055"/>
      <c r="J29" s="1055"/>
      <c r="K29" s="93"/>
      <c r="L29" s="93"/>
      <c r="M29" s="93"/>
      <c r="N29" s="93"/>
      <c r="O29" s="93"/>
    </row>
    <row r="30" spans="1:15">
      <c r="A30" t="s">
        <v>3069</v>
      </c>
      <c r="C30" s="93">
        <v>0.2</v>
      </c>
      <c r="D30" s="93">
        <v>0.2</v>
      </c>
      <c r="E30" s="93">
        <v>0.2</v>
      </c>
      <c r="F30" s="93">
        <v>0.2</v>
      </c>
      <c r="G30" s="93">
        <v>0.2</v>
      </c>
      <c r="H30" s="93">
        <v>0.2</v>
      </c>
      <c r="I30" s="1055">
        <v>0.2</v>
      </c>
      <c r="J30" s="1055">
        <v>0.2</v>
      </c>
      <c r="K30" s="93">
        <v>0.2</v>
      </c>
      <c r="L30" s="93">
        <v>0.2</v>
      </c>
      <c r="M30" s="93">
        <v>0.2</v>
      </c>
      <c r="N30" s="93">
        <v>0.2</v>
      </c>
      <c r="O30" s="93">
        <v>0.2</v>
      </c>
    </row>
    <row r="31" spans="1:15">
      <c r="A31" t="s">
        <v>3070</v>
      </c>
      <c r="C31" s="93">
        <v>2.41</v>
      </c>
      <c r="D31" s="93">
        <v>2.41</v>
      </c>
      <c r="E31" s="93">
        <v>2.41</v>
      </c>
      <c r="F31" s="93">
        <v>2.41</v>
      </c>
      <c r="G31" s="93">
        <v>2.41</v>
      </c>
      <c r="H31" s="93">
        <v>2.41</v>
      </c>
      <c r="I31" s="1055">
        <v>2.41</v>
      </c>
      <c r="J31" s="1055">
        <v>2.41</v>
      </c>
      <c r="K31" s="93">
        <v>2.41</v>
      </c>
      <c r="L31" s="93">
        <v>2.41</v>
      </c>
      <c r="M31" s="93">
        <v>2.41</v>
      </c>
      <c r="N31" s="93">
        <v>2.41</v>
      </c>
      <c r="O31" s="93">
        <v>2.41</v>
      </c>
    </row>
    <row r="32" spans="1:15">
      <c r="C32" s="125"/>
      <c r="D32" s="125"/>
      <c r="E32" s="125"/>
      <c r="F32" s="125"/>
      <c r="G32" s="125"/>
      <c r="H32" s="125"/>
      <c r="I32" s="614"/>
      <c r="J32" s="614"/>
      <c r="K32" s="125"/>
      <c r="L32" s="125"/>
      <c r="M32" s="125"/>
      <c r="N32" s="125"/>
      <c r="O32" s="125"/>
    </row>
    <row r="33" spans="1:16">
      <c r="A33" t="s">
        <v>3072</v>
      </c>
      <c r="C33" s="91">
        <v>275</v>
      </c>
      <c r="D33" s="91">
        <v>275</v>
      </c>
      <c r="E33" s="91">
        <v>275</v>
      </c>
      <c r="F33" s="91">
        <v>275</v>
      </c>
      <c r="G33" s="91">
        <v>275</v>
      </c>
      <c r="H33" s="91">
        <v>275</v>
      </c>
      <c r="I33" s="980">
        <v>275</v>
      </c>
      <c r="J33" s="980">
        <v>275</v>
      </c>
      <c r="K33" s="91">
        <v>275</v>
      </c>
      <c r="L33" s="91">
        <v>275</v>
      </c>
      <c r="M33" s="91">
        <v>275</v>
      </c>
      <c r="N33" s="91">
        <v>275</v>
      </c>
      <c r="O33" s="91">
        <v>275</v>
      </c>
    </row>
    <row r="34" spans="1:16">
      <c r="C34" s="91"/>
      <c r="D34" s="91"/>
      <c r="E34" s="91"/>
      <c r="F34" s="91"/>
      <c r="G34" s="91"/>
      <c r="H34" s="91"/>
      <c r="I34" s="980"/>
      <c r="J34" s="980"/>
      <c r="K34" s="91"/>
      <c r="L34" s="91"/>
      <c r="M34" s="91"/>
      <c r="N34" s="91"/>
      <c r="O34" s="91"/>
    </row>
    <row r="35" spans="1:16">
      <c r="A35" t="s">
        <v>1082</v>
      </c>
      <c r="C35" s="125"/>
      <c r="D35" s="125"/>
      <c r="E35" s="125"/>
      <c r="F35" s="125"/>
      <c r="G35" s="91">
        <v>250</v>
      </c>
      <c r="H35" s="91">
        <v>250</v>
      </c>
      <c r="I35" s="1069">
        <v>235.43600000000001</v>
      </c>
      <c r="J35" s="1070">
        <f t="shared" ref="J35:O35" si="2">I35</f>
        <v>235.43600000000001</v>
      </c>
      <c r="K35" s="1057">
        <v>250</v>
      </c>
      <c r="L35" s="1071">
        <f t="shared" si="2"/>
        <v>250</v>
      </c>
      <c r="M35" s="1071">
        <f t="shared" si="2"/>
        <v>250</v>
      </c>
      <c r="N35" s="1071">
        <f t="shared" si="2"/>
        <v>250</v>
      </c>
      <c r="O35" s="1071">
        <f t="shared" si="2"/>
        <v>250</v>
      </c>
      <c r="P35" s="1065" t="s">
        <v>6653</v>
      </c>
    </row>
    <row r="36" spans="1:16">
      <c r="C36" s="125"/>
      <c r="D36" s="125"/>
      <c r="E36" s="125"/>
      <c r="F36" s="125"/>
      <c r="G36" s="125"/>
      <c r="H36" s="125"/>
      <c r="I36" s="614"/>
      <c r="J36" s="614"/>
      <c r="K36" s="125"/>
      <c r="L36" s="125"/>
      <c r="M36" s="125"/>
      <c r="N36" s="125"/>
      <c r="O36" s="125"/>
      <c r="P36" s="1066" t="s">
        <v>6654</v>
      </c>
    </row>
    <row r="37" spans="1:16">
      <c r="A37" t="s">
        <v>3073</v>
      </c>
      <c r="C37" s="93">
        <v>0.1</v>
      </c>
      <c r="D37" s="93">
        <v>0.1</v>
      </c>
      <c r="E37" s="93">
        <v>0.1</v>
      </c>
      <c r="F37" s="93">
        <v>0.1</v>
      </c>
      <c r="G37" s="93">
        <v>0.1</v>
      </c>
      <c r="H37" s="93">
        <v>0.1</v>
      </c>
      <c r="I37" s="1055">
        <v>0.1</v>
      </c>
      <c r="J37" s="1055">
        <v>0.1</v>
      </c>
      <c r="K37" s="93">
        <v>0.1</v>
      </c>
      <c r="L37" s="93">
        <v>0.1</v>
      </c>
      <c r="M37" s="93">
        <v>0.1</v>
      </c>
      <c r="N37" s="93">
        <v>0.1</v>
      </c>
      <c r="O37" s="93">
        <v>0.1</v>
      </c>
      <c r="P37" s="1067" t="s">
        <v>8124</v>
      </c>
    </row>
    <row r="38" spans="1:16">
      <c r="C38" s="125"/>
      <c r="D38" s="125"/>
      <c r="E38" s="125"/>
      <c r="F38" s="125"/>
      <c r="G38" s="125"/>
      <c r="H38" s="125"/>
      <c r="I38" s="614"/>
      <c r="J38" s="614"/>
      <c r="K38" s="125"/>
      <c r="L38" s="125"/>
      <c r="M38" s="125"/>
      <c r="N38" s="125"/>
      <c r="O38" s="125"/>
    </row>
    <row r="39" spans="1:16">
      <c r="A39" t="s">
        <v>3074</v>
      </c>
      <c r="C39" s="512">
        <v>2.5000000000000001E-4</v>
      </c>
      <c r="D39" s="512">
        <v>2.5000000000000001E-4</v>
      </c>
      <c r="E39" s="512">
        <v>2.5000000000000001E-4</v>
      </c>
      <c r="F39" s="512">
        <v>2.5000000000000001E-4</v>
      </c>
      <c r="G39" s="512">
        <v>2.5000000000000001E-4</v>
      </c>
      <c r="H39" s="512">
        <v>2.5000000000000001E-4</v>
      </c>
      <c r="I39" s="615">
        <v>2.5000000000000001E-4</v>
      </c>
      <c r="J39" s="1068">
        <v>2.7500000000000002E-4</v>
      </c>
      <c r="K39" s="1699">
        <v>2.9999999999999997E-4</v>
      </c>
      <c r="L39" s="1700">
        <v>3.2499999999999999E-4</v>
      </c>
      <c r="M39" s="1700">
        <v>3.5E-4</v>
      </c>
      <c r="N39" s="1700">
        <v>3.7500000000000001E-4</v>
      </c>
      <c r="O39" s="1700">
        <v>4.0000000000000002E-4</v>
      </c>
    </row>
    <row r="40" spans="1:16">
      <c r="A40" t="s">
        <v>3081</v>
      </c>
      <c r="C40" s="125">
        <v>4.0000000000000002E-4</v>
      </c>
      <c r="D40" s="125">
        <v>4.0000000000000002E-4</v>
      </c>
      <c r="E40" s="125">
        <v>4.0000000000000002E-4</v>
      </c>
      <c r="F40" s="125">
        <v>4.0000000000000002E-4</v>
      </c>
      <c r="G40" s="125">
        <v>4.0000000000000002E-4</v>
      </c>
      <c r="H40" s="125">
        <v>4.0000000000000002E-4</v>
      </c>
      <c r="I40" s="614">
        <v>4.0000000000000002E-4</v>
      </c>
      <c r="J40" s="614">
        <v>4.0000000000000002E-4</v>
      </c>
      <c r="K40" s="125">
        <v>4.0000000000000002E-4</v>
      </c>
      <c r="L40" s="125">
        <v>4.0000000000000002E-4</v>
      </c>
      <c r="M40" s="125">
        <v>4.0000000000000002E-4</v>
      </c>
      <c r="N40" s="125">
        <v>4.0000000000000002E-4</v>
      </c>
      <c r="O40" s="125">
        <v>4.0000000000000002E-4</v>
      </c>
    </row>
    <row r="41" spans="1:16">
      <c r="I41" s="367"/>
      <c r="J41" s="367"/>
    </row>
    <row r="42" spans="1:16">
      <c r="A42" t="s">
        <v>3075</v>
      </c>
      <c r="C42" s="126">
        <v>2.5000000000000001E-5</v>
      </c>
      <c r="D42" s="126">
        <v>2.5000000000000001E-5</v>
      </c>
      <c r="E42" s="126">
        <v>2.5000000000000001E-5</v>
      </c>
      <c r="F42" s="126">
        <v>2.5000000000000001E-5</v>
      </c>
      <c r="G42" s="126">
        <v>2.5000000000000001E-5</v>
      </c>
      <c r="H42" s="126">
        <v>2.5000000000000001E-5</v>
      </c>
      <c r="I42" s="1056">
        <v>2.5000000000000001E-5</v>
      </c>
      <c r="J42" s="1056">
        <v>2.5000000000000001E-5</v>
      </c>
      <c r="K42" s="126">
        <v>2.5000000000000001E-5</v>
      </c>
      <c r="L42" s="126">
        <v>2.5000000000000001E-5</v>
      </c>
      <c r="M42" s="126">
        <v>2.5000000000000001E-5</v>
      </c>
      <c r="N42" s="126">
        <v>2.5000000000000001E-5</v>
      </c>
      <c r="O42" s="126">
        <v>2.5000000000000001E-5</v>
      </c>
    </row>
    <row r="43" spans="1:16">
      <c r="I43" s="367"/>
      <c r="J43" s="367"/>
    </row>
    <row r="44" spans="1:16">
      <c r="A44" t="s">
        <v>3076</v>
      </c>
      <c r="C44">
        <v>0.71</v>
      </c>
      <c r="D44">
        <v>0.71</v>
      </c>
      <c r="E44">
        <v>0.71</v>
      </c>
      <c r="F44">
        <v>0.71</v>
      </c>
      <c r="G44">
        <v>0.71</v>
      </c>
      <c r="H44">
        <v>0.71</v>
      </c>
      <c r="I44" s="367">
        <v>0.71</v>
      </c>
      <c r="J44" s="367">
        <v>0.71</v>
      </c>
      <c r="K44">
        <v>0.71</v>
      </c>
      <c r="L44">
        <v>0.71</v>
      </c>
      <c r="M44">
        <v>0.71</v>
      </c>
      <c r="N44">
        <v>0.71</v>
      </c>
      <c r="O44">
        <v>0.71</v>
      </c>
    </row>
    <row r="45" spans="1:16">
      <c r="A45" t="s">
        <v>3082</v>
      </c>
      <c r="C45">
        <v>1.3999999999999999E-4</v>
      </c>
      <c r="D45">
        <v>1.3999999999999999E-4</v>
      </c>
      <c r="E45">
        <v>1.3999999999999999E-4</v>
      </c>
      <c r="F45">
        <v>1.3999999999999999E-4</v>
      </c>
      <c r="G45">
        <v>1.3999999999999999E-4</v>
      </c>
      <c r="H45">
        <v>1.3999999999999999E-4</v>
      </c>
      <c r="I45" s="367">
        <v>1.3999999999999999E-4</v>
      </c>
      <c r="J45" s="367">
        <v>1.3999999999999999E-4</v>
      </c>
      <c r="K45">
        <v>1.3999999999999999E-4</v>
      </c>
      <c r="L45">
        <v>1.3999999999999999E-4</v>
      </c>
      <c r="M45">
        <v>1.3999999999999999E-4</v>
      </c>
      <c r="N45">
        <v>1.3999999999999999E-4</v>
      </c>
      <c r="O45">
        <v>1.3999999999999999E-4</v>
      </c>
    </row>
    <row r="46" spans="1:16">
      <c r="I46" s="367"/>
      <c r="J46" s="367"/>
    </row>
    <row r="47" spans="1:16">
      <c r="A47" t="s">
        <v>3078</v>
      </c>
      <c r="C47">
        <v>0.66669999999999996</v>
      </c>
      <c r="D47">
        <v>0.66669999999999996</v>
      </c>
      <c r="E47">
        <v>0.66669999999999996</v>
      </c>
      <c r="F47">
        <v>0.66669999999999996</v>
      </c>
      <c r="G47">
        <v>0.66669999999999996</v>
      </c>
      <c r="H47">
        <v>0.66669999999999996</v>
      </c>
      <c r="I47" s="367">
        <v>0.66669999999999996</v>
      </c>
      <c r="J47" s="367">
        <v>0.66669999999999996</v>
      </c>
      <c r="K47">
        <v>0.66669999999999996</v>
      </c>
      <c r="L47">
        <v>0.66669999999999996</v>
      </c>
      <c r="M47">
        <v>0.66669999999999996</v>
      </c>
      <c r="N47">
        <v>0.66669999999999996</v>
      </c>
      <c r="O47">
        <v>0.66669999999999996</v>
      </c>
    </row>
    <row r="48" spans="1:16">
      <c r="I48" s="367"/>
      <c r="J48" s="367"/>
    </row>
    <row r="49" spans="1:16">
      <c r="A49" t="s">
        <v>3083</v>
      </c>
      <c r="C49">
        <v>35</v>
      </c>
      <c r="D49">
        <v>35</v>
      </c>
      <c r="E49">
        <v>35</v>
      </c>
      <c r="F49">
        <v>35</v>
      </c>
      <c r="G49">
        <v>35</v>
      </c>
      <c r="H49">
        <v>35</v>
      </c>
      <c r="I49" s="367">
        <v>35</v>
      </c>
      <c r="J49" s="367">
        <v>35</v>
      </c>
      <c r="K49">
        <v>35</v>
      </c>
      <c r="L49">
        <v>35</v>
      </c>
      <c r="M49">
        <v>35</v>
      </c>
      <c r="N49">
        <v>35</v>
      </c>
      <c r="O49">
        <v>35</v>
      </c>
    </row>
    <row r="50" spans="1:16">
      <c r="A50" t="s">
        <v>3084</v>
      </c>
      <c r="C50">
        <v>35</v>
      </c>
      <c r="D50">
        <v>35</v>
      </c>
      <c r="E50">
        <v>35</v>
      </c>
      <c r="F50">
        <v>35</v>
      </c>
      <c r="G50">
        <v>35</v>
      </c>
      <c r="H50">
        <v>35</v>
      </c>
      <c r="I50" s="367">
        <v>35</v>
      </c>
      <c r="J50" s="2939">
        <v>36.65</v>
      </c>
      <c r="K50">
        <v>37</v>
      </c>
      <c r="L50">
        <f>K50</f>
        <v>37</v>
      </c>
      <c r="M50">
        <f>L50</f>
        <v>37</v>
      </c>
      <c r="N50">
        <f>M50</f>
        <v>37</v>
      </c>
      <c r="O50">
        <f>N50</f>
        <v>37</v>
      </c>
    </row>
    <row r="51" spans="1:16">
      <c r="J51" s="1058" t="s">
        <v>6651</v>
      </c>
      <c r="K51" s="1059"/>
      <c r="L51" s="1059"/>
      <c r="M51" s="1059"/>
      <c r="N51" s="1059"/>
      <c r="O51" s="1059"/>
      <c r="P51" s="1060"/>
    </row>
    <row r="52" spans="1:16">
      <c r="J52" s="1061" t="s">
        <v>6652</v>
      </c>
      <c r="K52" s="1062"/>
      <c r="L52" s="1062"/>
      <c r="M52" s="1062"/>
      <c r="N52" s="1062"/>
      <c r="O52" s="1062"/>
      <c r="P52" s="1063"/>
    </row>
    <row r="54" spans="1:16">
      <c r="A54" t="s">
        <v>8767</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3144</v>
      </c>
      <c r="D3" s="55" t="s">
        <v>3144</v>
      </c>
      <c r="E3" s="55" t="s">
        <v>3144</v>
      </c>
    </row>
    <row r="4" spans="1:5">
      <c r="C4" s="88" t="s">
        <v>3833</v>
      </c>
      <c r="D4" s="88" t="s">
        <v>3834</v>
      </c>
      <c r="E4" s="54" t="s">
        <v>3824</v>
      </c>
    </row>
    <row r="5" spans="1:5">
      <c r="A5" t="s">
        <v>3823</v>
      </c>
      <c r="C5" s="656" t="e">
        <f>'Data Entry - SOF'!#REF!</f>
        <v>#REF!</v>
      </c>
      <c r="D5" s="656" t="e">
        <f>'Calc Data'!#REF!</f>
        <v>#REF!</v>
      </c>
      <c r="E5" s="656" t="e">
        <f>D5-C5</f>
        <v>#REF!</v>
      </c>
    </row>
    <row r="6" spans="1:5">
      <c r="A6" t="s">
        <v>1013</v>
      </c>
      <c r="C6" s="223" t="e">
        <f>'Calc Data'!D19</f>
        <v>#REF!</v>
      </c>
      <c r="D6" s="223" t="e">
        <f>'Calc Data'!#REF!</f>
        <v>#REF!</v>
      </c>
      <c r="E6" s="223"/>
    </row>
    <row r="8" spans="1:5">
      <c r="A8" t="s">
        <v>530</v>
      </c>
      <c r="C8" s="745" t="e">
        <f>'SOF1718-SB1'!F43</f>
        <v>#REF!</v>
      </c>
      <c r="D8" s="745" t="e">
        <f>'SOF1718-SB1'!H43</f>
        <v>#REF!</v>
      </c>
      <c r="E8" s="745" t="e">
        <f>D8-C8</f>
        <v>#REF!</v>
      </c>
    </row>
    <row r="9" spans="1:5">
      <c r="A9" t="s">
        <v>3825</v>
      </c>
      <c r="C9" s="745" t="e">
        <f>'SOF1718-SB1'!F44</f>
        <v>#REF!</v>
      </c>
      <c r="D9" s="745" t="e">
        <f>'SOF1718-SB1'!H44</f>
        <v>#REF!</v>
      </c>
      <c r="E9" s="745" t="e">
        <f>D9-C9</f>
        <v>#REF!</v>
      </c>
    </row>
    <row r="10" spans="1:5">
      <c r="A10" t="s">
        <v>2469</v>
      </c>
      <c r="C10" s="746" t="e">
        <f>'SOF1718-SB1'!F45</f>
        <v>#REF!</v>
      </c>
      <c r="D10" s="746" t="e">
        <f>'SOF1718-SB1'!H45</f>
        <v>#REF!</v>
      </c>
      <c r="E10" s="746" t="e">
        <f>IF(D10-C10&lt;0,0,D10-C10)</f>
        <v>#REF!</v>
      </c>
    </row>
    <row r="11" spans="1:5">
      <c r="C11" s="745"/>
      <c r="D11" s="745"/>
      <c r="E11" s="745"/>
    </row>
    <row r="12" spans="1:5">
      <c r="A12" t="s">
        <v>1985</v>
      </c>
      <c r="C12" s="745" t="e">
        <f>IF('Option Costs'!K57="Y",MIN('Option Costs'!K54,'Option Costs'!M54),MAX('Option Costs'!K54,'Option Costs'!M54))</f>
        <v>#REF!</v>
      </c>
      <c r="D12" s="745" t="e">
        <f>IF('Option Costs'!K57="Y",MIN('Option Costs'!K85,'Option Costs'!M85),MAX('Option Costs'!K85,'Option Costs'!M85))</f>
        <v>#REF!</v>
      </c>
      <c r="E12" s="749" t="e">
        <f>C12-D12</f>
        <v>#REF!</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#REF!</v>
      </c>
    </row>
    <row r="18" spans="1:5">
      <c r="A18" s="45" t="s">
        <v>3826</v>
      </c>
      <c r="C18" s="225" t="e">
        <f>'Calc Data'!D36</f>
        <v>#REF!</v>
      </c>
      <c r="D18" s="225" t="e">
        <f>'Calc Data'!#REF!</f>
        <v>#REF!</v>
      </c>
      <c r="E18" s="656" t="e">
        <f>D18-C18</f>
        <v>#REF!</v>
      </c>
    </row>
    <row r="19" spans="1:5">
      <c r="A19" s="172" t="s">
        <v>3827</v>
      </c>
      <c r="B19" s="43"/>
      <c r="C19" s="750" t="e">
        <f>'SOF1718-SB1'!F52</f>
        <v>#REF!</v>
      </c>
      <c r="D19" s="751" t="e">
        <f>'SOF1718-SB1'!H52</f>
        <v>#REF!</v>
      </c>
      <c r="E19" s="748" t="e">
        <f>D19-C19</f>
        <v>#REF!</v>
      </c>
    </row>
    <row r="21" spans="1:5">
      <c r="A21" s="172" t="s">
        <v>3831</v>
      </c>
      <c r="B21" s="43"/>
      <c r="C21" s="752" t="e">
        <f>'Option Costs'!O54</f>
        <v>#REF!</v>
      </c>
      <c r="D21" s="753" t="e">
        <f>'Option Costs'!O85</f>
        <v>#REF!</v>
      </c>
      <c r="E21" s="748" t="e">
        <f>C21-D21</f>
        <v>#REF!</v>
      </c>
    </row>
    <row r="24" spans="1:5">
      <c r="A24" s="35" t="s">
        <v>3829</v>
      </c>
      <c r="E24" s="747" t="e">
        <f>E16+E19+E21</f>
        <v>#REF!</v>
      </c>
    </row>
    <row r="27" spans="1:5">
      <c r="A27" s="380" t="s">
        <v>6381</v>
      </c>
    </row>
    <row r="28" spans="1:5">
      <c r="A28" s="380" t="s">
        <v>3835</v>
      </c>
    </row>
    <row r="29" spans="1:5">
      <c r="A29" s="380" t="s">
        <v>3836</v>
      </c>
    </row>
    <row r="30" spans="1:5">
      <c r="A30" s="380" t="s">
        <v>6382</v>
      </c>
    </row>
    <row r="32" spans="1:5">
      <c r="C32" s="766"/>
    </row>
    <row r="33" spans="1:1">
      <c r="A33" s="771" t="s">
        <v>6380</v>
      </c>
    </row>
    <row r="34" spans="1:1">
      <c r="A34" s="771"/>
    </row>
    <row r="35" spans="1:1" ht="15" customHeight="1">
      <c r="A35" s="166" t="s">
        <v>6378</v>
      </c>
    </row>
    <row r="36" spans="1:1" ht="15" customHeight="1">
      <c r="A36" s="166" t="s">
        <v>7073</v>
      </c>
    </row>
    <row r="37" spans="1:1" ht="15" customHeight="1">
      <c r="A37" s="166" t="s">
        <v>6379</v>
      </c>
    </row>
  </sheetData>
  <sheetProtection sheet="1" objects="1" scenarios="1"/>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42578125" style="35" customWidth="1"/>
    <col min="3" max="3" width="4.140625" style="35" customWidth="1"/>
    <col min="4" max="4" width="20.5703125" style="35" customWidth="1"/>
    <col min="5" max="5" width="19.5703125" style="35" customWidth="1"/>
    <col min="6" max="12" width="9.140625" style="35" customWidth="1"/>
  </cols>
  <sheetData>
    <row r="1" spans="1:12">
      <c r="A1" s="380" t="s">
        <v>2864</v>
      </c>
      <c r="C1" s="755"/>
      <c r="D1" s="141" t="e">
        <f>'Data Entry - SOF'!#REF!</f>
        <v>#REF!</v>
      </c>
    </row>
    <row r="2" spans="1:12">
      <c r="A2" s="380" t="s">
        <v>2863</v>
      </c>
      <c r="D2" s="141" t="e">
        <f>'Data Entry - SOF'!#REF!</f>
        <v>#REF!</v>
      </c>
    </row>
    <row r="3" spans="1:12">
      <c r="D3" s="141">
        <f>'Data Entry - SOF'!S3</f>
        <v>0</v>
      </c>
    </row>
    <row r="4" spans="1:12" s="382" customFormat="1" ht="15.75">
      <c r="A4" s="381" t="s">
        <v>3152</v>
      </c>
      <c r="B4" s="325"/>
      <c r="C4" s="325"/>
      <c r="D4" s="325"/>
      <c r="E4" s="325"/>
      <c r="F4" s="325"/>
      <c r="G4" s="325"/>
      <c r="H4" s="325"/>
      <c r="I4" s="325"/>
      <c r="J4" s="325"/>
      <c r="K4" s="325"/>
      <c r="L4" s="325"/>
    </row>
    <row r="5" spans="1:12" s="382" customFormat="1" ht="15.75">
      <c r="A5" s="383">
        <f>'Data Entry - SOF'!B1</f>
        <v>0</v>
      </c>
      <c r="B5" s="325"/>
      <c r="C5" s="325"/>
      <c r="D5" s="325"/>
      <c r="E5" s="325"/>
      <c r="F5" s="325"/>
      <c r="G5" s="325"/>
      <c r="H5" s="325"/>
      <c r="I5" s="325"/>
      <c r="J5" s="325"/>
      <c r="K5" s="325"/>
      <c r="L5" s="325"/>
    </row>
    <row r="6" spans="1:12" s="382" customFormat="1" ht="15.75">
      <c r="A6" s="381">
        <f>'Data Entry - SOF'!B2</f>
        <v>0</v>
      </c>
      <c r="B6" s="325"/>
      <c r="C6" s="325"/>
      <c r="D6" s="325"/>
      <c r="E6" s="325"/>
      <c r="F6" s="325"/>
      <c r="G6" s="325"/>
      <c r="H6" s="325"/>
      <c r="I6" s="325"/>
      <c r="J6" s="325"/>
      <c r="K6" s="325"/>
      <c r="L6" s="325"/>
    </row>
    <row r="7" spans="1:12" s="382" customFormat="1" ht="15.75">
      <c r="A7" s="381"/>
      <c r="B7" s="325"/>
      <c r="C7" s="325"/>
      <c r="D7" s="325"/>
      <c r="E7" s="473" t="s">
        <v>6836</v>
      </c>
      <c r="F7" s="325"/>
      <c r="G7" s="325"/>
      <c r="H7" s="325"/>
      <c r="I7" s="325"/>
      <c r="J7" s="325"/>
      <c r="K7" s="325"/>
      <c r="L7" s="325"/>
    </row>
    <row r="8" spans="1:12" s="382" customFormat="1" ht="15.75">
      <c r="A8" s="381"/>
      <c r="B8" s="1290" t="s">
        <v>3174</v>
      </c>
      <c r="C8" s="1291"/>
      <c r="D8" s="610" t="e">
        <f>ASATR!G42</f>
        <v>#REF!</v>
      </c>
      <c r="E8" s="1088">
        <f>IF(ISNA('DE1'!C22),0,'DE1'!C22)</f>
        <v>0</v>
      </c>
      <c r="F8" s="473" t="s">
        <v>6835</v>
      </c>
      <c r="G8" s="325"/>
      <c r="H8" s="325"/>
      <c r="I8" s="325"/>
      <c r="J8" s="325"/>
      <c r="K8" s="325"/>
      <c r="L8" s="325"/>
    </row>
    <row r="9" spans="1:12" s="382" customFormat="1" ht="18">
      <c r="A9" s="564" t="s">
        <v>2707</v>
      </c>
      <c r="B9" s="1288"/>
      <c r="C9" s="1289"/>
      <c r="D9" s="1298" t="s">
        <v>2715</v>
      </c>
      <c r="E9" s="325"/>
      <c r="F9" s="473" t="s">
        <v>6852</v>
      </c>
      <c r="G9" s="325"/>
      <c r="H9" s="325"/>
      <c r="I9" s="325"/>
      <c r="J9" s="325"/>
      <c r="K9" s="325"/>
      <c r="L9" s="325"/>
    </row>
    <row r="10" spans="1:12" s="382" customFormat="1" ht="18">
      <c r="A10" s="1372" t="s">
        <v>2708</v>
      </c>
      <c r="B10" s="1387"/>
      <c r="C10" s="1373"/>
      <c r="D10" s="1298" t="s">
        <v>2805</v>
      </c>
      <c r="E10" s="325"/>
      <c r="F10" s="473" t="s">
        <v>6853</v>
      </c>
      <c r="G10" s="325"/>
      <c r="H10" s="325"/>
      <c r="I10" s="325"/>
      <c r="J10" s="325"/>
      <c r="K10" s="325"/>
      <c r="L10" s="325"/>
    </row>
    <row r="11" spans="1:12" s="382" customFormat="1" ht="15.75">
      <c r="A11" s="385" t="s">
        <v>2186</v>
      </c>
      <c r="B11" s="386" t="s">
        <v>2709</v>
      </c>
      <c r="C11" s="386"/>
      <c r="D11" s="387">
        <f>'SOF1718-SB1'!F8</f>
        <v>0</v>
      </c>
      <c r="E11" s="325"/>
      <c r="G11" s="325"/>
      <c r="H11" s="325"/>
      <c r="I11" s="325"/>
      <c r="J11" s="325"/>
      <c r="K11" s="325"/>
      <c r="L11" s="325"/>
    </row>
    <row r="12" spans="1:12" s="382" customFormat="1" ht="15.75">
      <c r="A12" s="385" t="s">
        <v>2187</v>
      </c>
      <c r="B12" s="640" t="s">
        <v>3196</v>
      </c>
      <c r="C12" s="386"/>
      <c r="D12" s="387" t="e">
        <f>'Calc Data'!D10</f>
        <v>#REF!</v>
      </c>
      <c r="E12" s="325"/>
      <c r="F12" s="325"/>
      <c r="G12" s="325"/>
      <c r="H12" s="325"/>
      <c r="I12" s="325"/>
      <c r="J12" s="325"/>
      <c r="K12" s="325"/>
      <c r="L12" s="325"/>
    </row>
    <row r="13" spans="1:12" s="382" customFormat="1" ht="15.75">
      <c r="A13" s="385" t="s">
        <v>2188</v>
      </c>
      <c r="B13" s="638" t="s">
        <v>3197</v>
      </c>
      <c r="C13" s="386"/>
      <c r="D13" s="387" t="e">
        <f>'SOF1718-SB1'!F9</f>
        <v>#REF!</v>
      </c>
      <c r="E13" s="325"/>
      <c r="F13" s="325"/>
      <c r="G13" s="325"/>
      <c r="H13" s="325"/>
      <c r="I13" s="325"/>
      <c r="J13" s="325"/>
      <c r="K13" s="325"/>
      <c r="L13" s="325"/>
    </row>
    <row r="14" spans="1:12" s="382" customFormat="1" ht="15.75">
      <c r="A14" s="385" t="s">
        <v>909</v>
      </c>
      <c r="B14" s="386" t="s">
        <v>824</v>
      </c>
      <c r="C14" s="386"/>
      <c r="D14" s="387" t="e">
        <f>'SOF1718-SB1'!F10</f>
        <v>#REF!</v>
      </c>
      <c r="E14" s="325"/>
      <c r="F14" s="325"/>
      <c r="G14" s="325"/>
      <c r="H14" s="325"/>
      <c r="I14" s="325"/>
      <c r="J14" s="325"/>
      <c r="K14" s="325"/>
      <c r="L14" s="325"/>
    </row>
    <row r="15" spans="1:12" s="382" customFormat="1" ht="15.75">
      <c r="A15" s="385" t="s">
        <v>910</v>
      </c>
      <c r="B15" s="386" t="s">
        <v>643</v>
      </c>
      <c r="C15" s="386"/>
      <c r="D15" s="387" t="e">
        <f>'Data Entry - SOF'!#REF!</f>
        <v>#REF!</v>
      </c>
      <c r="E15" s="325"/>
      <c r="F15" s="325"/>
      <c r="G15" s="325"/>
      <c r="H15" s="325"/>
      <c r="I15" s="325"/>
      <c r="J15" s="325"/>
      <c r="K15" s="325"/>
      <c r="L15" s="325"/>
    </row>
    <row r="16" spans="1:12" s="382" customFormat="1" ht="15.75">
      <c r="A16" s="385" t="s">
        <v>912</v>
      </c>
      <c r="B16" s="386" t="s">
        <v>2711</v>
      </c>
      <c r="C16" s="386"/>
      <c r="D16" s="387" t="e">
        <f>'Data Entry - SOF'!#REF!</f>
        <v>#REF!</v>
      </c>
      <c r="E16" s="325"/>
      <c r="F16" s="325"/>
      <c r="G16" s="325"/>
      <c r="H16" s="325"/>
      <c r="I16" s="325"/>
      <c r="J16" s="325"/>
      <c r="K16" s="325"/>
      <c r="L16" s="325"/>
    </row>
    <row r="17" spans="1:12" s="382" customFormat="1" ht="15.75">
      <c r="A17" s="385" t="s">
        <v>913</v>
      </c>
      <c r="B17" s="638" t="s">
        <v>3198</v>
      </c>
      <c r="C17" s="386"/>
      <c r="D17" s="387" t="e">
        <f>'Calc Data'!D25</f>
        <v>#REF!</v>
      </c>
      <c r="E17" s="325"/>
      <c r="F17" s="325"/>
      <c r="G17" s="325"/>
      <c r="H17" s="325"/>
      <c r="I17" s="325"/>
      <c r="J17" s="325"/>
      <c r="K17" s="325"/>
      <c r="L17" s="325"/>
    </row>
    <row r="18" spans="1:12" s="382" customFormat="1" ht="15.75">
      <c r="A18" s="385" t="s">
        <v>914</v>
      </c>
      <c r="B18" s="386" t="s">
        <v>2712</v>
      </c>
      <c r="C18" s="386"/>
      <c r="D18" s="387">
        <f>'Data Entry - SOF'!E167</f>
        <v>0</v>
      </c>
      <c r="E18" s="325"/>
      <c r="F18" s="325"/>
      <c r="G18" s="325"/>
      <c r="H18" s="325"/>
      <c r="I18" s="325"/>
      <c r="J18" s="325"/>
      <c r="K18" s="325"/>
      <c r="L18" s="325"/>
    </row>
    <row r="19" spans="1:12" s="382" customFormat="1" ht="15.75">
      <c r="A19" s="385" t="s">
        <v>118</v>
      </c>
      <c r="B19" s="386" t="s">
        <v>2713</v>
      </c>
      <c r="C19" s="386"/>
      <c r="D19" s="387" t="e">
        <f>'Data Entry - SOF'!#REF!</f>
        <v>#REF!</v>
      </c>
      <c r="E19" s="325"/>
      <c r="F19" s="325"/>
      <c r="G19" s="325"/>
      <c r="H19" s="325"/>
      <c r="I19" s="325"/>
      <c r="J19" s="325"/>
      <c r="K19" s="325"/>
      <c r="L19" s="325"/>
    </row>
    <row r="20" spans="1:12" s="382" customFormat="1" ht="15.75">
      <c r="A20" s="385" t="s">
        <v>119</v>
      </c>
      <c r="B20" s="386" t="s">
        <v>2714</v>
      </c>
      <c r="C20" s="386"/>
      <c r="D20" s="387" t="e">
        <f>'Data Entry - SOF'!#REF!</f>
        <v>#REF!</v>
      </c>
      <c r="E20" s="325"/>
      <c r="F20" s="325"/>
      <c r="G20" s="325"/>
      <c r="H20" s="325"/>
      <c r="I20" s="325"/>
      <c r="J20" s="325"/>
      <c r="K20" s="325"/>
      <c r="L20" s="325"/>
    </row>
    <row r="21" spans="1:12" s="382" customFormat="1" ht="18">
      <c r="A21" s="1389" t="s">
        <v>2717</v>
      </c>
      <c r="B21" s="1378"/>
      <c r="C21" s="1378"/>
      <c r="D21" s="1395"/>
      <c r="E21" s="325"/>
      <c r="F21" s="325"/>
      <c r="G21" s="325"/>
      <c r="H21" s="325"/>
      <c r="I21" s="325"/>
      <c r="J21" s="325"/>
      <c r="K21" s="325"/>
      <c r="L21" s="325"/>
    </row>
    <row r="22" spans="1:12" s="382" customFormat="1" ht="15.75">
      <c r="A22" s="385" t="s">
        <v>120</v>
      </c>
      <c r="B22" s="386" t="s">
        <v>2718</v>
      </c>
      <c r="C22" s="386"/>
      <c r="D22" s="387" t="e">
        <f>'Data Entry - SOF'!#REF!</f>
        <v>#REF!</v>
      </c>
      <c r="E22" s="325"/>
      <c r="F22" s="325"/>
      <c r="G22" s="325"/>
      <c r="H22" s="325"/>
      <c r="I22" s="325"/>
      <c r="J22" s="325"/>
      <c r="K22" s="325"/>
      <c r="L22" s="325"/>
    </row>
    <row r="23" spans="1:12" s="382" customFormat="1" ht="15.75">
      <c r="A23" s="385" t="s">
        <v>121</v>
      </c>
      <c r="B23" s="386" t="s">
        <v>2719</v>
      </c>
      <c r="C23" s="386"/>
      <c r="D23" s="387" t="e">
        <f>'Data Entry - SOF'!#REF!</f>
        <v>#REF!</v>
      </c>
      <c r="E23" s="325"/>
      <c r="F23" s="325"/>
      <c r="G23" s="325"/>
      <c r="H23" s="325"/>
      <c r="I23" s="325"/>
      <c r="J23" s="325"/>
      <c r="K23" s="325"/>
      <c r="L23" s="325"/>
    </row>
    <row r="24" spans="1:12" s="382" customFormat="1" ht="18">
      <c r="A24" s="1372" t="s">
        <v>2720</v>
      </c>
      <c r="B24" s="1387"/>
      <c r="C24" s="1387"/>
      <c r="D24" s="1373"/>
      <c r="E24" s="325"/>
      <c r="F24" s="325"/>
      <c r="G24" s="325"/>
      <c r="H24" s="325"/>
      <c r="I24" s="325"/>
      <c r="J24" s="325"/>
      <c r="K24" s="325"/>
      <c r="L24" s="325"/>
    </row>
    <row r="25" spans="1:12" s="382" customFormat="1" ht="15.75">
      <c r="A25" s="385" t="s">
        <v>1513</v>
      </c>
      <c r="B25" s="386" t="s">
        <v>3153</v>
      </c>
      <c r="C25" s="386"/>
      <c r="D25" s="491" t="s">
        <v>3028</v>
      </c>
      <c r="E25" s="325"/>
      <c r="F25" s="325"/>
      <c r="G25" s="325"/>
      <c r="H25" s="325"/>
      <c r="I25" s="325"/>
      <c r="J25" s="325"/>
      <c r="K25" s="325"/>
      <c r="L25" s="325"/>
    </row>
    <row r="26" spans="1:12" s="382" customFormat="1" ht="15.75">
      <c r="A26" s="385" t="s">
        <v>6</v>
      </c>
      <c r="B26" s="386" t="s">
        <v>3154</v>
      </c>
      <c r="C26" s="386"/>
      <c r="D26" s="388" t="e">
        <f>'Data Entry - SOF'!#REF!</f>
        <v>#REF!</v>
      </c>
      <c r="E26" s="325"/>
      <c r="F26" s="325"/>
      <c r="G26" s="325"/>
      <c r="H26" s="325"/>
      <c r="I26" s="325"/>
      <c r="J26" s="325"/>
      <c r="K26" s="325"/>
      <c r="L26" s="325"/>
    </row>
    <row r="27" spans="1:12" s="382" customFormat="1" ht="18">
      <c r="A27" s="1372" t="s">
        <v>2721</v>
      </c>
      <c r="B27" s="1387"/>
      <c r="C27" s="1387"/>
      <c r="D27" s="1373"/>
      <c r="E27" s="325"/>
      <c r="F27" s="325"/>
      <c r="G27" s="325"/>
      <c r="H27" s="325"/>
      <c r="I27" s="325"/>
      <c r="J27" s="325"/>
      <c r="K27" s="325"/>
      <c r="L27" s="325"/>
    </row>
    <row r="28" spans="1:12" s="382" customFormat="1" ht="15.75">
      <c r="A28" s="385" t="s">
        <v>2232</v>
      </c>
      <c r="B28" s="386" t="s">
        <v>2724</v>
      </c>
      <c r="C28" s="384"/>
      <c r="D28" s="389">
        <f>'Data Entry - SOF'!E161</f>
        <v>0</v>
      </c>
      <c r="E28" s="325"/>
      <c r="F28" s="325"/>
      <c r="G28" s="325"/>
      <c r="H28" s="325"/>
      <c r="I28" s="325"/>
      <c r="J28" s="325"/>
      <c r="K28" s="325"/>
      <c r="L28" s="325"/>
    </row>
    <row r="29" spans="1:12" s="382" customFormat="1" ht="15.75">
      <c r="A29" s="385" t="s">
        <v>2233</v>
      </c>
      <c r="B29" s="386" t="s">
        <v>4000</v>
      </c>
      <c r="C29" s="384"/>
      <c r="D29" s="389" t="e">
        <f>'Data Entry - SOF'!#REF!</f>
        <v>#REF!</v>
      </c>
      <c r="E29" s="325"/>
      <c r="F29" s="325"/>
      <c r="G29" s="325"/>
      <c r="H29" s="325"/>
      <c r="I29" s="325"/>
      <c r="J29" s="325"/>
      <c r="K29" s="325"/>
      <c r="L29" s="325"/>
    </row>
    <row r="30" spans="1:12" s="382" customFormat="1" ht="15.75">
      <c r="A30" s="385" t="s">
        <v>2722</v>
      </c>
      <c r="B30" s="386" t="s">
        <v>2725</v>
      </c>
      <c r="C30" s="384"/>
      <c r="D30" s="491" t="s">
        <v>3028</v>
      </c>
      <c r="E30" s="325"/>
      <c r="F30" s="325"/>
      <c r="G30" s="325"/>
      <c r="H30" s="325"/>
      <c r="I30" s="325"/>
      <c r="J30" s="325"/>
      <c r="K30" s="325"/>
      <c r="L30" s="325"/>
    </row>
    <row r="31" spans="1:12" s="382" customFormat="1" ht="15.75">
      <c r="A31" s="385" t="s">
        <v>2723</v>
      </c>
      <c r="B31" s="386" t="s">
        <v>4001</v>
      </c>
      <c r="C31" s="384"/>
      <c r="D31" s="389" t="e">
        <f>'Data Entry - SOF'!#REF!</f>
        <v>#REF!</v>
      </c>
      <c r="E31" s="325"/>
      <c r="F31" s="325"/>
      <c r="G31" s="325"/>
      <c r="H31" s="325"/>
      <c r="I31" s="325"/>
      <c r="J31" s="325"/>
      <c r="K31" s="325"/>
      <c r="L31" s="325"/>
    </row>
    <row r="32" spans="1:12" s="382" customFormat="1" ht="15.75">
      <c r="A32" s="385" t="s">
        <v>2726</v>
      </c>
      <c r="B32" s="638" t="s">
        <v>4004</v>
      </c>
      <c r="C32" s="386"/>
      <c r="D32" s="390" t="e">
        <f>'Data Entry - SOF'!#REF!</f>
        <v>#REF!</v>
      </c>
      <c r="E32" s="325"/>
      <c r="F32" s="325"/>
      <c r="G32" s="325"/>
      <c r="H32" s="325"/>
      <c r="I32" s="325"/>
      <c r="J32" s="325"/>
      <c r="K32" s="325"/>
      <c r="L32" s="325"/>
    </row>
    <row r="33" spans="1:12" s="382" customFormat="1" ht="15.75">
      <c r="A33" s="385" t="s">
        <v>2727</v>
      </c>
      <c r="B33" s="386" t="s">
        <v>4002</v>
      </c>
      <c r="C33" s="386"/>
      <c r="D33" s="390" t="e">
        <f>'Data Entry - SOF'!#REF!</f>
        <v>#REF!</v>
      </c>
      <c r="E33" s="325"/>
      <c r="F33" s="325"/>
      <c r="G33" s="325"/>
      <c r="H33" s="325"/>
      <c r="I33" s="325"/>
      <c r="J33" s="325"/>
      <c r="K33" s="325"/>
      <c r="L33" s="325"/>
    </row>
    <row r="34" spans="1:12" s="382" customFormat="1" ht="15.75">
      <c r="A34" s="385" t="s">
        <v>2728</v>
      </c>
      <c r="B34" s="386" t="s">
        <v>3155</v>
      </c>
      <c r="C34" s="386"/>
      <c r="D34" s="390" t="e">
        <f>'Data Entry - SOF'!#REF!</f>
        <v>#REF!</v>
      </c>
      <c r="E34" s="325"/>
      <c r="F34" s="325"/>
      <c r="G34" s="325"/>
      <c r="H34" s="325"/>
      <c r="I34" s="325"/>
      <c r="J34" s="325"/>
      <c r="K34" s="325"/>
      <c r="L34" s="325"/>
    </row>
    <row r="35" spans="1:12" s="382" customFormat="1" ht="15.75">
      <c r="A35" s="385" t="s">
        <v>2729</v>
      </c>
      <c r="B35" s="386" t="s">
        <v>4003</v>
      </c>
      <c r="C35" s="386"/>
      <c r="D35" s="390" t="e">
        <f>'Data Entry - SOF'!#REF!</f>
        <v>#REF!</v>
      </c>
      <c r="E35" s="325"/>
      <c r="F35" s="325"/>
      <c r="G35" s="325"/>
      <c r="H35" s="325"/>
      <c r="I35" s="325"/>
      <c r="J35" s="325"/>
      <c r="K35" s="325"/>
      <c r="L35" s="325"/>
    </row>
    <row r="36" spans="1:12" s="382" customFormat="1" ht="18">
      <c r="A36" s="1372" t="s">
        <v>2730</v>
      </c>
      <c r="B36" s="1388"/>
      <c r="C36" s="1388"/>
      <c r="D36" s="1389"/>
      <c r="E36" s="325"/>
      <c r="F36" s="325"/>
      <c r="G36" s="325"/>
      <c r="H36" s="325"/>
      <c r="I36" s="325"/>
      <c r="J36" s="325"/>
      <c r="K36" s="325"/>
      <c r="L36" s="325"/>
    </row>
    <row r="37" spans="1:12" s="382" customFormat="1" ht="15.75">
      <c r="A37" s="551" t="s">
        <v>2731</v>
      </c>
      <c r="B37" s="638" t="s">
        <v>3203</v>
      </c>
      <c r="C37" s="404"/>
      <c r="D37" s="772" t="e">
        <f>'Calc Data'!#REF!</f>
        <v>#REF!</v>
      </c>
      <c r="E37" s="325"/>
      <c r="F37" s="325"/>
      <c r="G37" s="325"/>
      <c r="H37" s="325"/>
      <c r="I37" s="325"/>
      <c r="J37" s="325"/>
      <c r="K37" s="325"/>
      <c r="L37" s="325"/>
    </row>
    <row r="38" spans="1:12" s="382" customFormat="1" ht="15.75">
      <c r="A38" s="385" t="s">
        <v>2732</v>
      </c>
      <c r="B38" s="386" t="s">
        <v>2736</v>
      </c>
      <c r="C38" s="386"/>
      <c r="D38" s="478" t="e">
        <f>ASATR!G46</f>
        <v>#REF!</v>
      </c>
      <c r="E38" s="325"/>
      <c r="F38" s="325"/>
      <c r="G38" s="325"/>
      <c r="H38" s="325"/>
      <c r="I38" s="325"/>
      <c r="J38" s="325"/>
      <c r="K38" s="325"/>
      <c r="L38" s="325"/>
    </row>
    <row r="39" spans="1:12" s="382" customFormat="1" ht="15.75">
      <c r="A39" s="385" t="s">
        <v>2733</v>
      </c>
      <c r="B39" s="386" t="s">
        <v>2781</v>
      </c>
      <c r="C39" s="386"/>
      <c r="D39" s="391" t="e">
        <f>'Data Entry - SOF'!#REF!</f>
        <v>#REF!</v>
      </c>
      <c r="E39" s="325"/>
      <c r="F39" s="325"/>
      <c r="G39" s="325"/>
      <c r="H39" s="325"/>
      <c r="I39" s="325"/>
      <c r="J39" s="325"/>
      <c r="K39" s="325"/>
      <c r="L39" s="325"/>
    </row>
    <row r="40" spans="1:12" s="382" customFormat="1" ht="15.75">
      <c r="A40" s="385" t="s">
        <v>2734</v>
      </c>
      <c r="B40" s="386" t="s">
        <v>2737</v>
      </c>
      <c r="C40" s="386"/>
      <c r="D40" s="391" t="e">
        <f>'Calc Data'!D59</f>
        <v>#REF!</v>
      </c>
      <c r="E40" s="325"/>
      <c r="F40" s="325"/>
      <c r="G40" s="325"/>
      <c r="H40" s="325"/>
      <c r="I40" s="325"/>
      <c r="J40" s="325"/>
      <c r="K40" s="325"/>
      <c r="L40" s="325"/>
    </row>
    <row r="41" spans="1:12" s="382" customFormat="1" ht="15.75">
      <c r="A41" s="385" t="s">
        <v>2735</v>
      </c>
      <c r="B41" s="386" t="s">
        <v>2738</v>
      </c>
      <c r="C41" s="386"/>
      <c r="D41" s="392">
        <f>Assumptions!G105</f>
        <v>206.566</v>
      </c>
      <c r="E41" s="325"/>
      <c r="F41" s="325"/>
      <c r="G41" s="325"/>
      <c r="H41" s="325"/>
      <c r="I41" s="325"/>
      <c r="J41" s="325"/>
      <c r="K41" s="325"/>
      <c r="L41" s="325"/>
    </row>
    <row r="42" spans="1:12" s="382" customFormat="1" ht="18">
      <c r="A42" s="1372" t="s">
        <v>2739</v>
      </c>
      <c r="B42" s="1388"/>
      <c r="C42" s="1388"/>
      <c r="D42" s="1389"/>
      <c r="E42" s="325"/>
      <c r="F42" s="325"/>
      <c r="G42" s="325"/>
      <c r="H42" s="325"/>
      <c r="I42" s="325"/>
      <c r="J42" s="325"/>
      <c r="K42" s="325"/>
      <c r="L42" s="325"/>
    </row>
    <row r="43" spans="1:12" s="382" customFormat="1" ht="18">
      <c r="A43" s="1378"/>
      <c r="B43" s="1388" t="s">
        <v>2759</v>
      </c>
      <c r="C43" s="1387"/>
      <c r="D43" s="1373"/>
      <c r="E43" s="325"/>
      <c r="F43" s="325"/>
      <c r="G43" s="325"/>
      <c r="H43" s="325"/>
      <c r="I43" s="325"/>
      <c r="J43" s="325"/>
      <c r="K43" s="325"/>
      <c r="L43" s="325"/>
    </row>
    <row r="44" spans="1:12" s="382" customFormat="1" ht="15.75">
      <c r="A44" s="385" t="s">
        <v>2740</v>
      </c>
      <c r="B44" s="386" t="s">
        <v>2760</v>
      </c>
      <c r="C44" s="386"/>
      <c r="D44" s="390" t="e">
        <f>'SOF1718-SB1'!H20</f>
        <v>#REF!</v>
      </c>
      <c r="E44" s="325"/>
      <c r="F44" s="325"/>
      <c r="G44" s="325"/>
      <c r="H44" s="325"/>
      <c r="I44" s="325"/>
      <c r="J44" s="325"/>
      <c r="K44" s="325"/>
      <c r="L44" s="325"/>
    </row>
    <row r="45" spans="1:12" s="382" customFormat="1" ht="15.75">
      <c r="A45" s="385" t="s">
        <v>2741</v>
      </c>
      <c r="B45" s="386" t="s">
        <v>3187</v>
      </c>
      <c r="C45" s="386"/>
      <c r="D45" s="390" t="e">
        <f>'SOF1718-SB1'!H131</f>
        <v>#REF!</v>
      </c>
      <c r="E45" s="325"/>
      <c r="F45" s="325"/>
      <c r="G45" s="325"/>
      <c r="H45" s="325"/>
      <c r="I45" s="325"/>
      <c r="J45" s="325"/>
      <c r="K45" s="325"/>
      <c r="L45" s="325"/>
    </row>
    <row r="46" spans="1:12" s="382" customFormat="1" ht="15.75">
      <c r="A46" s="385" t="s">
        <v>2742</v>
      </c>
      <c r="B46" s="386" t="s">
        <v>3188</v>
      </c>
      <c r="C46" s="386"/>
      <c r="D46" s="390" t="e">
        <f>'SOF1718-SB1'!H132</f>
        <v>#REF!</v>
      </c>
      <c r="E46" s="325"/>
      <c r="F46" s="325"/>
      <c r="G46" s="325"/>
      <c r="H46" s="325"/>
      <c r="I46" s="325"/>
      <c r="J46" s="325"/>
      <c r="K46" s="325"/>
      <c r="L46" s="325"/>
    </row>
    <row r="47" spans="1:12" s="382" customFormat="1" ht="15.75">
      <c r="A47" s="385" t="s">
        <v>2743</v>
      </c>
      <c r="B47" s="386" t="s">
        <v>3189</v>
      </c>
      <c r="C47" s="386"/>
      <c r="D47" s="390" t="e">
        <f>'SOF1718-SB1'!H133</f>
        <v>#REF!</v>
      </c>
      <c r="E47" s="325"/>
      <c r="F47" s="325"/>
      <c r="G47" s="325"/>
      <c r="H47" s="325"/>
      <c r="I47" s="325"/>
      <c r="J47" s="325"/>
      <c r="K47" s="325"/>
      <c r="L47" s="325"/>
    </row>
    <row r="48" spans="1:12" s="382" customFormat="1" ht="15.75">
      <c r="A48" s="385" t="s">
        <v>2744</v>
      </c>
      <c r="B48" s="386" t="s">
        <v>3191</v>
      </c>
      <c r="C48" s="386"/>
      <c r="D48" s="390" t="e">
        <f>'SOF1718-SB1'!H134</f>
        <v>#REF!</v>
      </c>
      <c r="E48" s="325"/>
      <c r="F48" s="325"/>
      <c r="G48" s="325"/>
      <c r="H48" s="325"/>
      <c r="I48" s="325"/>
      <c r="J48" s="325"/>
      <c r="K48" s="325"/>
      <c r="L48" s="325"/>
    </row>
    <row r="49" spans="1:12" s="382" customFormat="1" ht="15.75">
      <c r="A49" s="385" t="s">
        <v>2745</v>
      </c>
      <c r="B49" s="386" t="s">
        <v>3190</v>
      </c>
      <c r="C49" s="386"/>
      <c r="D49" s="390" t="e">
        <f>'SOF1718-SB1'!H38</f>
        <v>#REF!</v>
      </c>
      <c r="E49" s="325"/>
      <c r="F49" s="325"/>
      <c r="G49" s="325"/>
      <c r="H49" s="325"/>
      <c r="I49" s="325"/>
      <c r="J49" s="325"/>
      <c r="K49" s="325"/>
      <c r="L49" s="325"/>
    </row>
    <row r="50" spans="1:12" s="382" customFormat="1" ht="15.75">
      <c r="A50" s="385" t="s">
        <v>2746</v>
      </c>
      <c r="B50" s="386" t="s">
        <v>2761</v>
      </c>
      <c r="C50" s="386"/>
      <c r="D50" s="390" t="e">
        <f>'SOF1718-SB1'!H40</f>
        <v>#REF!</v>
      </c>
      <c r="E50" s="325"/>
      <c r="F50" s="325"/>
      <c r="G50" s="325"/>
      <c r="H50" s="325"/>
      <c r="I50" s="325"/>
      <c r="J50" s="325"/>
      <c r="K50" s="325"/>
      <c r="L50" s="325"/>
    </row>
    <row r="51" spans="1:12" s="382" customFormat="1" ht="15.75">
      <c r="A51" s="385" t="s">
        <v>2747</v>
      </c>
      <c r="B51" s="386" t="s">
        <v>2771</v>
      </c>
      <c r="C51" s="386"/>
      <c r="D51" s="390" t="e">
        <f>'SOF1718-SB1'!H41</f>
        <v>#REF!</v>
      </c>
      <c r="E51" s="325"/>
      <c r="F51" s="325"/>
      <c r="G51" s="325"/>
      <c r="H51" s="325"/>
      <c r="I51" s="325"/>
      <c r="J51" s="325"/>
      <c r="K51" s="325"/>
      <c r="L51" s="325"/>
    </row>
    <row r="52" spans="1:12" s="382" customFormat="1" ht="15.75">
      <c r="A52" s="385" t="s">
        <v>2748</v>
      </c>
      <c r="B52" s="386" t="s">
        <v>3192</v>
      </c>
      <c r="C52" s="386"/>
      <c r="D52" s="390" t="e">
        <f>'SOF1718-SB1'!H42</f>
        <v>#REF!</v>
      </c>
      <c r="E52" s="325"/>
      <c r="F52" s="325"/>
      <c r="G52" s="325"/>
      <c r="H52" s="325"/>
      <c r="I52" s="325"/>
      <c r="J52" s="325"/>
      <c r="K52" s="325"/>
      <c r="L52" s="325"/>
    </row>
    <row r="53" spans="1:12" s="382" customFormat="1" ht="15.75">
      <c r="A53" s="385" t="s">
        <v>2749</v>
      </c>
      <c r="B53" s="386" t="s">
        <v>2762</v>
      </c>
      <c r="C53" s="386"/>
      <c r="D53" s="390" t="e">
        <f>'SOF1718-SB1'!H39</f>
        <v>#REF!</v>
      </c>
      <c r="E53" s="325"/>
      <c r="F53" s="325"/>
      <c r="G53" s="325"/>
      <c r="H53" s="325"/>
      <c r="I53" s="325"/>
      <c r="J53" s="325"/>
      <c r="K53" s="325"/>
      <c r="L53" s="325"/>
    </row>
    <row r="54" spans="1:12" s="382" customFormat="1" ht="15.75">
      <c r="A54" s="385" t="s">
        <v>2750</v>
      </c>
      <c r="B54" s="638" t="s">
        <v>3199</v>
      </c>
      <c r="C54" s="386"/>
      <c r="D54" s="390" t="e">
        <f>'SOF1718-SB1'!H43</f>
        <v>#REF!</v>
      </c>
      <c r="E54" s="325"/>
      <c r="F54" s="325"/>
      <c r="G54" s="325"/>
      <c r="H54" s="325"/>
      <c r="I54" s="325"/>
      <c r="J54" s="325"/>
      <c r="K54" s="325"/>
      <c r="L54" s="325"/>
    </row>
    <row r="55" spans="1:12" s="382" customFormat="1" ht="15.75">
      <c r="A55" s="385" t="s">
        <v>2751</v>
      </c>
      <c r="B55" s="386" t="s">
        <v>2763</v>
      </c>
      <c r="C55" s="386"/>
      <c r="D55" s="390" t="e">
        <f>'SOF1718-SB1'!H44</f>
        <v>#REF!</v>
      </c>
      <c r="E55" s="325"/>
      <c r="F55" s="325"/>
      <c r="G55" s="325"/>
      <c r="H55" s="325"/>
      <c r="I55" s="325"/>
      <c r="J55" s="325"/>
      <c r="K55" s="325"/>
      <c r="L55" s="325"/>
    </row>
    <row r="56" spans="1:12" s="382" customFormat="1" ht="15.75">
      <c r="A56" s="385" t="s">
        <v>2752</v>
      </c>
      <c r="B56" s="386" t="s">
        <v>785</v>
      </c>
      <c r="C56" s="386"/>
      <c r="D56" s="390" t="e">
        <f>'SOF1718-SB1'!H45</f>
        <v>#REF!</v>
      </c>
      <c r="E56" s="325"/>
      <c r="F56" s="325"/>
      <c r="G56" s="325"/>
      <c r="H56" s="325"/>
      <c r="I56" s="325"/>
      <c r="J56" s="325"/>
      <c r="K56" s="325"/>
      <c r="L56" s="325"/>
    </row>
    <row r="57" spans="1:12" s="382" customFormat="1" ht="15.75">
      <c r="A57" s="385" t="s">
        <v>2753</v>
      </c>
      <c r="B57" s="386" t="s">
        <v>2764</v>
      </c>
      <c r="C57" s="386"/>
      <c r="D57" s="390">
        <f>'SOF1718-SB1'!H75</f>
        <v>0</v>
      </c>
      <c r="E57" s="325"/>
      <c r="F57" s="325"/>
      <c r="G57" s="325"/>
      <c r="H57" s="325"/>
      <c r="I57" s="325"/>
      <c r="J57" s="325"/>
      <c r="K57" s="325"/>
      <c r="L57" s="325"/>
    </row>
    <row r="58" spans="1:12" s="382" customFormat="1" ht="18">
      <c r="A58" s="1390" t="s">
        <v>3101</v>
      </c>
      <c r="B58" s="1391"/>
      <c r="C58" s="1391"/>
      <c r="D58" s="1381"/>
      <c r="E58" s="325"/>
      <c r="F58" s="325"/>
      <c r="G58" s="325"/>
      <c r="H58" s="325"/>
      <c r="I58" s="325"/>
      <c r="J58" s="325"/>
      <c r="K58" s="325"/>
      <c r="L58" s="325"/>
    </row>
    <row r="59" spans="1:12" s="382" customFormat="1" ht="18">
      <c r="A59" s="1382" t="s">
        <v>3102</v>
      </c>
      <c r="B59" s="1386"/>
      <c r="C59" s="1386"/>
      <c r="D59" s="1383"/>
      <c r="E59" s="325"/>
      <c r="F59" s="325"/>
      <c r="G59" s="325"/>
      <c r="H59" s="325"/>
      <c r="I59" s="325"/>
      <c r="J59" s="325"/>
      <c r="K59" s="325"/>
      <c r="L59" s="325"/>
    </row>
    <row r="60" spans="1:12" s="382" customFormat="1" ht="15.75">
      <c r="A60" s="385" t="s">
        <v>2754</v>
      </c>
      <c r="B60" s="386" t="s">
        <v>2765</v>
      </c>
      <c r="C60" s="386"/>
      <c r="D60" s="390" t="e">
        <f>'SOF1718-SB1'!H48</f>
        <v>#REF!</v>
      </c>
      <c r="E60" s="325"/>
      <c r="F60" s="325"/>
      <c r="G60" s="325"/>
      <c r="H60" s="325"/>
      <c r="I60" s="325"/>
      <c r="J60" s="325"/>
      <c r="K60" s="325"/>
      <c r="L60" s="325"/>
    </row>
    <row r="61" spans="1:12" s="382" customFormat="1" ht="15.75">
      <c r="A61" s="385" t="s">
        <v>2755</v>
      </c>
      <c r="B61" s="640" t="s">
        <v>3204</v>
      </c>
      <c r="C61" s="386"/>
      <c r="D61" s="390" t="e">
        <f>'SOF1718-SB1'!H53</f>
        <v>#REF!</v>
      </c>
      <c r="E61" s="325"/>
      <c r="F61" s="325"/>
      <c r="G61" s="325"/>
      <c r="H61" s="325"/>
      <c r="I61" s="325"/>
      <c r="J61" s="325"/>
      <c r="K61" s="325"/>
      <c r="L61" s="325"/>
    </row>
    <row r="62" spans="1:12" s="382" customFormat="1" ht="15.75">
      <c r="A62" s="385" t="s">
        <v>2756</v>
      </c>
      <c r="B62" s="638" t="s">
        <v>3200</v>
      </c>
      <c r="C62" s="386"/>
      <c r="D62" s="390" t="e">
        <f>#REF!</f>
        <v>#REF!</v>
      </c>
      <c r="E62" s="325" t="s">
        <v>4016</v>
      </c>
      <c r="F62" s="325"/>
      <c r="G62" s="325"/>
      <c r="H62" s="325"/>
      <c r="I62" s="325"/>
      <c r="J62" s="325"/>
      <c r="K62" s="325"/>
      <c r="L62" s="325"/>
    </row>
    <row r="63" spans="1:12" s="382" customFormat="1" ht="15.75">
      <c r="A63" s="385" t="s">
        <v>2757</v>
      </c>
      <c r="B63" s="386" t="str">
        <f>CONCATENATE("Less: Total Available School Fund ($",Assumptions!G105," * Prior Year ADA)")</f>
        <v>Less: Total Available School Fund ($206.566 * Prior Year ADA)</v>
      </c>
      <c r="C63" s="386"/>
      <c r="D63" s="390">
        <f>'SOF1718-SB1'!H70</f>
        <v>0</v>
      </c>
      <c r="E63" s="325"/>
      <c r="F63" s="325"/>
      <c r="G63" s="325"/>
      <c r="H63" s="325"/>
      <c r="I63" s="325"/>
      <c r="J63" s="325"/>
      <c r="K63" s="325"/>
      <c r="L63" s="325"/>
    </row>
    <row r="64" spans="1:12" s="382" customFormat="1" ht="15.75">
      <c r="A64" s="385" t="s">
        <v>2758</v>
      </c>
      <c r="B64" s="386" t="s">
        <v>2766</v>
      </c>
      <c r="C64" s="386"/>
      <c r="D64" s="390" t="e">
        <f>'SOF1718-SB1'!H74+'HH1718-Calcs'!D26</f>
        <v>#REF!</v>
      </c>
      <c r="E64" s="325"/>
      <c r="F64" s="325"/>
      <c r="G64" s="325"/>
      <c r="H64" s="325"/>
      <c r="I64" s="325"/>
      <c r="J64" s="325"/>
      <c r="K64" s="325"/>
      <c r="L64" s="325"/>
    </row>
    <row r="65" spans="1:12" s="382" customFormat="1" ht="18">
      <c r="A65" s="1372" t="s">
        <v>2772</v>
      </c>
      <c r="B65" s="1388"/>
      <c r="C65" s="1388"/>
      <c r="D65" s="1389"/>
      <c r="E65" s="325"/>
      <c r="F65" s="325"/>
      <c r="G65" s="325"/>
      <c r="H65" s="325"/>
      <c r="I65" s="325"/>
      <c r="J65" s="325"/>
      <c r="K65" s="325"/>
      <c r="L65" s="325"/>
    </row>
    <row r="66" spans="1:12" s="382" customFormat="1" ht="18">
      <c r="A66" s="1396"/>
      <c r="B66" s="1388" t="s">
        <v>2780</v>
      </c>
      <c r="C66" s="1388"/>
      <c r="D66" s="1389"/>
      <c r="E66" s="325"/>
      <c r="F66" s="325"/>
      <c r="G66" s="325"/>
      <c r="H66" s="325"/>
      <c r="I66" s="325"/>
      <c r="J66" s="325"/>
      <c r="K66" s="325"/>
      <c r="L66" s="325"/>
    </row>
    <row r="67" spans="1:12" s="382" customFormat="1" ht="15.75">
      <c r="A67" s="385" t="s">
        <v>2773</v>
      </c>
      <c r="B67" s="386" t="s">
        <v>2779</v>
      </c>
      <c r="C67" s="386"/>
      <c r="D67" s="390" t="e">
        <f>'SOF1718-SB1'!H74+'HH1718-Calcs'!D26</f>
        <v>#REF!</v>
      </c>
      <c r="E67" s="325"/>
      <c r="F67" s="325"/>
      <c r="G67" s="325"/>
      <c r="H67" s="325"/>
      <c r="I67" s="325"/>
      <c r="J67" s="325"/>
      <c r="K67" s="325"/>
      <c r="L67" s="325"/>
    </row>
    <row r="68" spans="1:12" s="382" customFormat="1" ht="15.75">
      <c r="A68" s="385" t="s">
        <v>2774</v>
      </c>
      <c r="B68" s="386" t="s">
        <v>3047</v>
      </c>
      <c r="C68" s="386"/>
      <c r="D68" s="390">
        <f>'SOF1718-SB1'!H75</f>
        <v>0</v>
      </c>
      <c r="E68" s="325"/>
      <c r="F68" s="325"/>
      <c r="G68" s="325"/>
      <c r="H68" s="325"/>
      <c r="I68" s="325"/>
      <c r="J68" s="325"/>
      <c r="K68" s="325"/>
      <c r="L68" s="325"/>
    </row>
    <row r="69" spans="1:12" s="382" customFormat="1" ht="15.75">
      <c r="A69" s="385" t="s">
        <v>2775</v>
      </c>
      <c r="B69" s="640" t="s">
        <v>3201</v>
      </c>
      <c r="C69" s="386"/>
      <c r="D69" s="390" t="e">
        <f>'Existing Debt-OldLaw'!#REF!</f>
        <v>#REF!</v>
      </c>
      <c r="E69" s="325"/>
      <c r="F69" s="325"/>
      <c r="G69" s="325"/>
      <c r="H69" s="325"/>
      <c r="I69" s="325"/>
      <c r="J69" s="325"/>
      <c r="K69" s="325"/>
      <c r="L69" s="325"/>
    </row>
    <row r="70" spans="1:12" s="382" customFormat="1" ht="15.75">
      <c r="A70" s="385" t="s">
        <v>2776</v>
      </c>
      <c r="B70" s="638" t="s">
        <v>3202</v>
      </c>
      <c r="C70" s="386"/>
      <c r="D70" s="390" t="e">
        <f>'IFA-OldLaw'!#REF!</f>
        <v>#REF!</v>
      </c>
      <c r="E70" s="325"/>
      <c r="F70" s="325"/>
      <c r="G70" s="325"/>
      <c r="H70" s="325"/>
      <c r="I70" s="325"/>
      <c r="J70" s="325"/>
      <c r="K70" s="325"/>
      <c r="L70" s="325"/>
    </row>
    <row r="71" spans="1:12" s="382" customFormat="1" ht="15.75">
      <c r="A71" s="385" t="s">
        <v>2777</v>
      </c>
      <c r="B71" s="386" t="s">
        <v>3194</v>
      </c>
      <c r="C71" s="386"/>
      <c r="D71" s="390" t="e">
        <f>'IFA-OldLaw'!#REF!</f>
        <v>#REF!</v>
      </c>
      <c r="E71" s="325"/>
      <c r="F71" s="325"/>
      <c r="G71" s="325"/>
      <c r="H71" s="325"/>
      <c r="I71" s="325"/>
      <c r="J71" s="325"/>
      <c r="K71" s="325"/>
      <c r="L71" s="325"/>
    </row>
    <row r="72" spans="1:12" s="382" customFormat="1" ht="15.75">
      <c r="A72" s="418" t="s">
        <v>2778</v>
      </c>
      <c r="B72" s="402" t="s">
        <v>4033</v>
      </c>
      <c r="C72" s="402"/>
      <c r="D72" s="1295" t="e">
        <f>'HH1718-Calcs'!C51</f>
        <v>#REF!</v>
      </c>
      <c r="E72" s="325"/>
      <c r="F72" s="325"/>
      <c r="G72" s="325"/>
      <c r="H72" s="325"/>
      <c r="I72" s="325"/>
      <c r="J72" s="325"/>
      <c r="K72" s="325"/>
      <c r="L72" s="325"/>
    </row>
    <row r="73" spans="1:12" s="382" customFormat="1" ht="18">
      <c r="A73" s="491" t="s">
        <v>2917</v>
      </c>
      <c r="B73" s="1303" t="s">
        <v>3156</v>
      </c>
      <c r="C73" s="1397"/>
      <c r="D73" s="1398" t="e">
        <f>'SOF1718-SB1'!H80+'HH1718-Calcs'!D26+D72</f>
        <v>#REF!</v>
      </c>
      <c r="E73" s="325" t="s">
        <v>4015</v>
      </c>
      <c r="F73" s="325"/>
      <c r="G73" s="325"/>
      <c r="H73" s="325"/>
      <c r="I73" s="325"/>
      <c r="J73" s="325"/>
      <c r="K73" s="325"/>
      <c r="L73" s="325"/>
    </row>
    <row r="74" spans="1:12" s="382" customFormat="1" ht="18">
      <c r="A74" s="1293"/>
      <c r="B74" s="1294"/>
      <c r="C74" s="435"/>
      <c r="D74" s="1296"/>
      <c r="E74" s="325"/>
      <c r="F74" s="325"/>
      <c r="G74" s="325"/>
      <c r="H74" s="325"/>
      <c r="I74" s="325"/>
      <c r="J74" s="325"/>
      <c r="K74" s="325"/>
      <c r="L74" s="325"/>
    </row>
    <row r="75" spans="1:12" s="382" customFormat="1" ht="15.75">
      <c r="A75" s="1399"/>
      <c r="B75" s="1292" t="s">
        <v>3193</v>
      </c>
      <c r="C75" s="1378"/>
      <c r="D75" s="1378"/>
      <c r="E75" s="325"/>
      <c r="F75" s="325"/>
      <c r="G75" s="325"/>
      <c r="H75" s="325"/>
      <c r="I75" s="325"/>
      <c r="J75" s="325"/>
      <c r="K75" s="325"/>
      <c r="L75" s="325"/>
    </row>
    <row r="76" spans="1:12" s="382" customFormat="1" ht="15.75">
      <c r="A76" s="394"/>
      <c r="E76" s="325"/>
      <c r="F76" s="325"/>
      <c r="G76" s="325"/>
      <c r="H76" s="325"/>
      <c r="I76" s="325"/>
      <c r="J76" s="325"/>
      <c r="K76" s="325"/>
      <c r="L76" s="325"/>
    </row>
    <row r="77" spans="1:12" s="382" customFormat="1" ht="15.75">
      <c r="A77" s="381"/>
      <c r="E77" s="325"/>
      <c r="F77" s="325"/>
      <c r="G77" s="325"/>
      <c r="H77" s="325"/>
      <c r="I77" s="325"/>
      <c r="J77" s="325"/>
      <c r="K77" s="325"/>
      <c r="L77" s="325"/>
    </row>
    <row r="78" spans="1:12" ht="16.5" thickBot="1">
      <c r="A78" s="381" t="s">
        <v>3103</v>
      </c>
      <c r="B78" s="382"/>
      <c r="C78" s="382"/>
      <c r="D78" s="382"/>
    </row>
    <row r="79" spans="1:12" ht="16.5" thickTop="1">
      <c r="A79" s="498" t="s">
        <v>2457</v>
      </c>
      <c r="B79" s="421"/>
      <c r="C79" s="642"/>
      <c r="D79" s="420"/>
    </row>
    <row r="80" spans="1:12" ht="15.75">
      <c r="A80" s="645" t="s">
        <v>3206</v>
      </c>
      <c r="B80" s="650" t="s">
        <v>3219</v>
      </c>
      <c r="C80" s="384"/>
      <c r="D80" s="422" t="e">
        <f>'SOF1718-SB1'!H88+'HH1718-Calcs'!D26</f>
        <v>#REF!</v>
      </c>
    </row>
    <row r="81" spans="1:5" ht="15.75">
      <c r="A81" s="645" t="s">
        <v>3207</v>
      </c>
      <c r="B81" s="644" t="s">
        <v>2861</v>
      </c>
      <c r="C81" s="651"/>
      <c r="D81" s="422" t="e">
        <f>'SOF1718-SB1'!H89</f>
        <v>#REF!</v>
      </c>
    </row>
    <row r="82" spans="1:5" ht="15.75">
      <c r="A82" s="645" t="s">
        <v>3208</v>
      </c>
      <c r="B82" s="644" t="s">
        <v>3220</v>
      </c>
      <c r="C82" s="384"/>
      <c r="D82" s="422" t="e">
        <f>'SOF1718-SB1'!H90</f>
        <v>#REF!</v>
      </c>
    </row>
    <row r="83" spans="1:5" ht="15.75">
      <c r="A83" s="645" t="s">
        <v>3209</v>
      </c>
      <c r="B83" s="644" t="s">
        <v>3221</v>
      </c>
      <c r="C83" s="384"/>
      <c r="D83" s="422" t="e">
        <f>'SOF1718-SB1'!H91</f>
        <v>#REF!</v>
      </c>
    </row>
    <row r="84" spans="1:5" ht="15.75">
      <c r="A84" s="645" t="s">
        <v>3210</v>
      </c>
      <c r="B84" s="644" t="s">
        <v>8146</v>
      </c>
      <c r="C84" s="384"/>
      <c r="D84" s="1079" t="e">
        <f>'SOF1718-SB1'!H67*-1</f>
        <v>#REF!</v>
      </c>
    </row>
    <row r="85" spans="1:5" ht="15.75">
      <c r="A85" s="645" t="s">
        <v>3211</v>
      </c>
      <c r="B85" s="652" t="s">
        <v>3157</v>
      </c>
      <c r="C85" s="384"/>
      <c r="D85" s="422" t="e">
        <f>'SOF1718-SB1'!H92+'HH1718-Calcs'!D26+D84</f>
        <v>#REF!</v>
      </c>
    </row>
    <row r="86" spans="1:5" ht="15.75">
      <c r="A86" s="645" t="s">
        <v>3212</v>
      </c>
      <c r="B86" s="653" t="s">
        <v>2862</v>
      </c>
      <c r="C86" s="384"/>
      <c r="D86" s="422" t="e">
        <f>'SOF1718-SB1'!H93</f>
        <v>#REF!</v>
      </c>
    </row>
    <row r="87" spans="1:5" ht="16.5" thickBot="1">
      <c r="A87" s="646" t="s">
        <v>3213</v>
      </c>
      <c r="B87" s="654" t="s">
        <v>3158</v>
      </c>
      <c r="C87" s="643"/>
      <c r="D87" s="471" t="e">
        <f>D85+D86</f>
        <v>#REF!</v>
      </c>
    </row>
    <row r="88" spans="1:5" ht="13.5" customHeight="1" thickTop="1">
      <c r="B88" s="450"/>
      <c r="C88" s="325"/>
      <c r="D88" s="325"/>
      <c r="E88" s="590"/>
    </row>
    <row r="89" spans="1:5" ht="13.5" thickBot="1">
      <c r="B89" s="64"/>
    </row>
    <row r="90" spans="1:5" ht="16.5" thickTop="1">
      <c r="A90" s="498" t="s">
        <v>3050</v>
      </c>
      <c r="B90" s="500"/>
      <c r="C90" s="500"/>
      <c r="D90" s="497"/>
    </row>
    <row r="91" spans="1:5" ht="15">
      <c r="A91" s="645" t="s">
        <v>3214</v>
      </c>
      <c r="B91" s="649" t="str">
        <f>CONCATENATE("Recapture at the $",Assumptions!G103," Level")</f>
        <v>Recapture at the $514000 Level</v>
      </c>
      <c r="C91" s="647"/>
      <c r="D91" s="422" t="e">
        <f>ASATR!G39</f>
        <v>#REF!</v>
      </c>
    </row>
    <row r="92" spans="1:5" ht="15">
      <c r="A92" s="645" t="s">
        <v>3215</v>
      </c>
      <c r="B92" s="649" t="str">
        <f>CONCATENATE("Recapture at the $",Assumptions!G71," Level")</f>
        <v>Recapture at the $319500 Level</v>
      </c>
      <c r="C92" s="647"/>
      <c r="D92" s="422" t="e">
        <f>IF('Report-Recapture1718'!G141="Y",MIN('Report-Recapture1718'!C141,'Report-Recapture1718'!E141),MAX('Report-Recapture1718'!C141,'Report-Recapture1718'!E141))</f>
        <v>#REF!</v>
      </c>
    </row>
    <row r="93" spans="1:5" ht="15.75">
      <c r="A93" s="645" t="s">
        <v>3216</v>
      </c>
      <c r="B93" t="s">
        <v>6955</v>
      </c>
      <c r="C93" s="647"/>
      <c r="D93" s="501" t="e">
        <f>D91+D92</f>
        <v>#REF!</v>
      </c>
    </row>
    <row r="94" spans="1:5" ht="15">
      <c r="A94" s="645" t="s">
        <v>3217</v>
      </c>
      <c r="B94" s="649" t="s">
        <v>3049</v>
      </c>
      <c r="C94" s="647"/>
      <c r="D94" s="1080" t="e">
        <f>'Data Entry - SOF'!#REF!</f>
        <v>#REF!</v>
      </c>
    </row>
    <row r="95" spans="1:5" ht="16.5" thickBot="1">
      <c r="A95" s="646" t="s">
        <v>3218</v>
      </c>
      <c r="B95" s="1297" t="s">
        <v>6972</v>
      </c>
      <c r="C95" s="648"/>
      <c r="D95" s="471" t="e">
        <f>D93+D94</f>
        <v>#REF!</v>
      </c>
    </row>
    <row r="96" spans="1:5" ht="13.5" thickTop="1"/>
    <row r="100" spans="2:4" hidden="1">
      <c r="B100" s="72" t="s">
        <v>8278</v>
      </c>
      <c r="D100" s="1990" t="e">
        <f>#REF!</f>
        <v>#REF!</v>
      </c>
    </row>
    <row r="101" spans="2:4" hidden="1">
      <c r="B101" s="72" t="s">
        <v>8279</v>
      </c>
      <c r="D101" s="1990" t="e">
        <f>D55</f>
        <v>#REF!</v>
      </c>
    </row>
    <row r="102" spans="2:4" hidden="1">
      <c r="B102" s="72" t="s">
        <v>8280</v>
      </c>
      <c r="D102" s="35" t="e">
        <f>IF(D100-D101&lt;=0,0,D100-D101)</f>
        <v>#REF!</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1394" t="s">
        <v>3885</v>
      </c>
    </row>
    <row r="6" spans="1:5" ht="15.75">
      <c r="A6" s="781"/>
      <c r="B6" s="775" t="s">
        <v>2866</v>
      </c>
      <c r="C6" s="785" t="s">
        <v>3864</v>
      </c>
      <c r="D6" s="785" t="s">
        <v>3865</v>
      </c>
      <c r="E6" s="785" t="s">
        <v>3824</v>
      </c>
    </row>
    <row r="7" spans="1:5" ht="15">
      <c r="A7" s="514">
        <v>1</v>
      </c>
      <c r="B7" s="386" t="s">
        <v>3887</v>
      </c>
      <c r="C7" s="390" t="e">
        <f>'Data Entry - SOF'!#REF!</f>
        <v>#REF!</v>
      </c>
      <c r="D7" s="390" t="e">
        <f>'Data Entry - SOF'!#REF!</f>
        <v>#REF!</v>
      </c>
      <c r="E7" s="390" t="e">
        <f t="shared" ref="E7:E14" si="0">C7-D7</f>
        <v>#REF!</v>
      </c>
    </row>
    <row r="8" spans="1:5" ht="15">
      <c r="A8" s="514">
        <v>2</v>
      </c>
      <c r="B8" s="386" t="s">
        <v>3888</v>
      </c>
      <c r="C8" s="408" t="e">
        <f>'Data Entry - SOF'!#REF!</f>
        <v>#REF!</v>
      </c>
      <c r="D8" s="408" t="e">
        <f>C8</f>
        <v>#REF!</v>
      </c>
      <c r="E8" s="408" t="e">
        <f t="shared" si="0"/>
        <v>#REF!</v>
      </c>
    </row>
    <row r="9" spans="1:5" ht="15">
      <c r="A9" s="514">
        <v>3</v>
      </c>
      <c r="B9" s="386" t="s">
        <v>3883</v>
      </c>
      <c r="C9" s="408">
        <f>'Data Entry - SOF'!E172</f>
        <v>0</v>
      </c>
      <c r="D9" s="408">
        <f>C9</f>
        <v>0</v>
      </c>
      <c r="E9" s="408">
        <f t="shared" si="0"/>
        <v>0</v>
      </c>
    </row>
    <row r="10" spans="1:5" s="382" customFormat="1" ht="15">
      <c r="A10" s="514">
        <v>4</v>
      </c>
      <c r="B10" s="386" t="s">
        <v>3889</v>
      </c>
      <c r="C10" s="478" t="e">
        <f>'Data Entry - SOF'!#REF!+'Data Entry - SOF'!#REF!</f>
        <v>#REF!</v>
      </c>
      <c r="D10" s="478" t="e">
        <f>(('Data Entry - SOF'!#REF!-'IFA-OldLaw'!#REF!)*(D7/C7))+'IFA-OldLaw'!#REF!+'Data Entry - SOF'!#REF!</f>
        <v>#REF!</v>
      </c>
      <c r="E10" s="390" t="e">
        <f t="shared" si="0"/>
        <v>#REF!</v>
      </c>
    </row>
    <row r="11" spans="1:5" s="382" customFormat="1" ht="15">
      <c r="A11" s="514">
        <v>5</v>
      </c>
      <c r="B11" s="386" t="s">
        <v>3890</v>
      </c>
      <c r="C11" s="478" t="e">
        <f>C10*IF(C8&lt;C9,1,C9/C8)</f>
        <v>#REF!</v>
      </c>
      <c r="D11" s="478" t="e">
        <f>D10*IF(D8&lt;D9,1,D9/D8)</f>
        <v>#REF!</v>
      </c>
      <c r="E11" s="390" t="e">
        <f t="shared" si="0"/>
        <v>#REF!</v>
      </c>
    </row>
    <row r="12" spans="1:5" s="382" customFormat="1" ht="15">
      <c r="A12" s="514">
        <v>6</v>
      </c>
      <c r="B12" s="386" t="s">
        <v>530</v>
      </c>
      <c r="C12" s="390" t="e">
        <f>'SOF1718-SB1'!J43</f>
        <v>#REF!</v>
      </c>
      <c r="D12" s="390" t="e">
        <f>'SOF1718-SB1'!K43</f>
        <v>#REF!</v>
      </c>
      <c r="E12" s="390" t="e">
        <f t="shared" si="0"/>
        <v>#REF!</v>
      </c>
    </row>
    <row r="13" spans="1:5" s="382" customFormat="1" ht="15">
      <c r="A13" s="514">
        <v>7</v>
      </c>
      <c r="B13" s="386" t="s">
        <v>3874</v>
      </c>
      <c r="C13" s="390" t="e">
        <f>'SOF1718-SB1'!J44</f>
        <v>#REF!</v>
      </c>
      <c r="D13" s="390" t="e">
        <f>'SOF1718-SB1'!K44</f>
        <v>#REF!</v>
      </c>
      <c r="E13" s="390" t="e">
        <f t="shared" si="0"/>
        <v>#REF!</v>
      </c>
    </row>
    <row r="14" spans="1:5" s="382" customFormat="1" ht="15">
      <c r="A14" s="514">
        <v>8</v>
      </c>
      <c r="B14" s="386" t="s">
        <v>3870</v>
      </c>
      <c r="C14" s="390" t="e">
        <f>'SOF1718-SB1'!J48</f>
        <v>#REF!</v>
      </c>
      <c r="D14" s="390" t="e">
        <f>'SOF1718-SB1'!K48</f>
        <v>#REF!</v>
      </c>
      <c r="E14" s="390" t="e">
        <f t="shared" si="0"/>
        <v>#REF!</v>
      </c>
    </row>
    <row r="15" spans="1:5" s="382" customFormat="1" ht="15.75">
      <c r="A15" s="780"/>
      <c r="B15" s="782" t="s">
        <v>3872</v>
      </c>
      <c r="C15" s="783"/>
      <c r="D15" s="783"/>
      <c r="E15" s="817"/>
    </row>
    <row r="16" spans="1:5" s="382" customFormat="1" ht="15">
      <c r="A16" s="514">
        <v>9</v>
      </c>
      <c r="B16" s="784" t="s">
        <v>3877</v>
      </c>
      <c r="C16" s="390" t="e">
        <f>MAX((C12-C13),C14)</f>
        <v>#REF!</v>
      </c>
      <c r="D16" s="390" t="e">
        <f>MAX((D12-D13),D14)</f>
        <v>#REF!</v>
      </c>
      <c r="E16" s="390" t="e">
        <f>C16-D16</f>
        <v>#REF!</v>
      </c>
    </row>
    <row r="17" spans="1:5" s="382" customFormat="1" ht="15">
      <c r="A17" s="514">
        <v>10</v>
      </c>
      <c r="B17" s="386" t="s">
        <v>3875</v>
      </c>
      <c r="C17" s="390" t="e">
        <f>'SOF1718-SB1'!J51</f>
        <v>#REF!</v>
      </c>
      <c r="D17" s="390" t="e">
        <f>'SOF1718-SB1'!K51</f>
        <v>#REF!</v>
      </c>
      <c r="E17" s="390" t="e">
        <f>C17-D17</f>
        <v>#REF!</v>
      </c>
    </row>
    <row r="18" spans="1:5" s="382" customFormat="1" ht="15">
      <c r="A18" s="514">
        <v>11</v>
      </c>
      <c r="B18" s="386" t="s">
        <v>3876</v>
      </c>
      <c r="C18" s="390" t="e">
        <f>'SOF1718-SB1'!J52</f>
        <v>#REF!</v>
      </c>
      <c r="D18" s="390" t="e">
        <f>'SOF1718-SB1'!K52</f>
        <v>#REF!</v>
      </c>
      <c r="E18" s="390" t="e">
        <f>C18-D18</f>
        <v>#REF!</v>
      </c>
    </row>
    <row r="19" spans="1:5" s="382" customFormat="1" ht="15">
      <c r="A19" s="514">
        <v>12</v>
      </c>
      <c r="B19" s="386" t="s">
        <v>6383</v>
      </c>
      <c r="C19" s="390" t="e">
        <f>'IFA-OldLaw'!#REF!</f>
        <v>#REF!</v>
      </c>
      <c r="D19" s="390" t="e">
        <f>'IFA-OldLaw'!#REF!</f>
        <v>#REF!</v>
      </c>
      <c r="E19" s="390" t="e">
        <f>C19-D19</f>
        <v>#REF!</v>
      </c>
    </row>
    <row r="20" spans="1:5" s="382" customFormat="1" ht="15.75">
      <c r="A20" s="514">
        <v>13</v>
      </c>
      <c r="B20" s="384" t="s">
        <v>6167</v>
      </c>
      <c r="C20" s="390">
        <v>0</v>
      </c>
      <c r="D20" s="390">
        <v>0</v>
      </c>
      <c r="E20" s="390">
        <f>C20-D20</f>
        <v>0</v>
      </c>
    </row>
    <row r="21" spans="1:5" s="382" customFormat="1" ht="15">
      <c r="A21" s="514">
        <v>14</v>
      </c>
      <c r="B21" s="386" t="s">
        <v>3878</v>
      </c>
      <c r="C21" s="390" t="e">
        <f>IF('Option Costs-HH'!K57="Y",'Option Costs-HH'!M106,'Option Costs-HH'!Q106)</f>
        <v>#REF!</v>
      </c>
      <c r="D21" s="390" t="e">
        <f>IF('Option Costs-HH-15K'!K57="Y",'Option Costs-HH-15K'!M106,'Option Costs-HH-15K'!Q106)</f>
        <v>#REF!</v>
      </c>
      <c r="E21" s="390" t="e">
        <f>D21-C21</f>
        <v>#REF!</v>
      </c>
    </row>
    <row r="22" spans="1:5" s="382" customFormat="1" ht="15.75">
      <c r="A22" s="780"/>
      <c r="B22" s="782" t="s">
        <v>3867</v>
      </c>
      <c r="C22" s="783"/>
      <c r="D22" s="783"/>
      <c r="E22" s="817"/>
    </row>
    <row r="23" spans="1:5" s="382" customFormat="1" ht="15">
      <c r="A23" s="514">
        <v>15</v>
      </c>
      <c r="B23" s="386" t="s">
        <v>6384</v>
      </c>
      <c r="C23" s="390" t="e">
        <f>C11-C21</f>
        <v>#REF!</v>
      </c>
      <c r="D23" s="390" t="e">
        <f>D11-D21</f>
        <v>#REF!</v>
      </c>
      <c r="E23" s="390" t="e">
        <f>C23-D23</f>
        <v>#REF!</v>
      </c>
    </row>
    <row r="24" spans="1:5" s="382" customFormat="1" ht="15">
      <c r="A24" s="514">
        <v>16</v>
      </c>
      <c r="B24" s="386" t="s">
        <v>6385</v>
      </c>
      <c r="C24" s="390" t="e">
        <f>C16+C17+C18+C19+C20</f>
        <v>#REF!</v>
      </c>
      <c r="D24" s="390" t="e">
        <f>D16+D17+D18+D19+D20</f>
        <v>#REF!</v>
      </c>
      <c r="E24" s="390" t="e">
        <f>C24-D24</f>
        <v>#REF!</v>
      </c>
    </row>
    <row r="25" spans="1:5" s="382" customFormat="1" ht="15">
      <c r="A25" s="514">
        <f>A24+1</f>
        <v>17</v>
      </c>
      <c r="B25" s="793" t="s">
        <v>6386</v>
      </c>
      <c r="C25" s="390" t="e">
        <f>C23+C24</f>
        <v>#REF!</v>
      </c>
      <c r="D25" s="390" t="e">
        <f>D23+D24</f>
        <v>#REF!</v>
      </c>
      <c r="E25" s="390" t="e">
        <f>C25-D25</f>
        <v>#REF!</v>
      </c>
    </row>
    <row r="26" spans="1:5" ht="15.75">
      <c r="A26" s="794">
        <f>A25+1</f>
        <v>18</v>
      </c>
      <c r="B26" s="795" t="s">
        <v>6387</v>
      </c>
      <c r="C26" s="796"/>
      <c r="D26" s="786" t="e">
        <f>IF(D25-C25&lt;=0,0,D25-C25)</f>
        <v>#REF!</v>
      </c>
    </row>
    <row r="27" spans="1:5">
      <c r="D27" s="787"/>
    </row>
    <row r="30" spans="1:5">
      <c r="C30" s="91"/>
    </row>
    <row r="31" spans="1:5" ht="15.75">
      <c r="B31" s="1394" t="s">
        <v>3886</v>
      </c>
    </row>
    <row r="33" spans="1:3" ht="15.75">
      <c r="A33" s="780"/>
      <c r="B33" s="775" t="s">
        <v>2866</v>
      </c>
      <c r="C33" s="783"/>
    </row>
    <row r="34" spans="1:3" ht="15">
      <c r="A34" s="514">
        <v>1</v>
      </c>
      <c r="B34" s="655" t="s">
        <v>6608</v>
      </c>
      <c r="C34" s="390" t="e">
        <f>'Data Entry - SOF'!#REF!</f>
        <v>#REF!</v>
      </c>
    </row>
    <row r="35" spans="1:3" ht="15">
      <c r="A35" s="514">
        <v>2</v>
      </c>
      <c r="B35" s="655" t="s">
        <v>6609</v>
      </c>
      <c r="C35" s="390" t="e">
        <f>'Data Entry - SOF'!#REF!</f>
        <v>#REF!</v>
      </c>
    </row>
    <row r="36" spans="1:3" ht="15">
      <c r="A36" s="514">
        <v>3</v>
      </c>
      <c r="B36" s="655" t="s">
        <v>3911</v>
      </c>
      <c r="C36" s="390" t="e">
        <f>'Data Entry - SOF'!#REF!</f>
        <v>#REF!</v>
      </c>
    </row>
    <row r="37" spans="1:3" ht="15.75">
      <c r="A37" s="780"/>
      <c r="B37" s="777" t="s">
        <v>4024</v>
      </c>
      <c r="C37" s="783"/>
    </row>
    <row r="38" spans="1:3" ht="15">
      <c r="A38" s="514">
        <v>4</v>
      </c>
      <c r="B38" s="954" t="s">
        <v>3859</v>
      </c>
      <c r="C38" s="390" t="e">
        <f>'IFA-OldLaw'!#REF!</f>
        <v>#REF!</v>
      </c>
    </row>
    <row r="39" spans="1:3" ht="15">
      <c r="A39" s="514">
        <v>5</v>
      </c>
      <c r="B39" s="954" t="s">
        <v>3860</v>
      </c>
      <c r="C39" s="390" t="e">
        <f>'Existing Debt-OldLaw'!#REF!</f>
        <v>#REF!</v>
      </c>
    </row>
    <row r="40" spans="1:3" ht="15">
      <c r="A40" s="514">
        <v>6</v>
      </c>
      <c r="B40" s="954" t="s">
        <v>4025</v>
      </c>
      <c r="C40" s="390" t="e">
        <f>C36-C38-C39</f>
        <v>#REF!</v>
      </c>
    </row>
    <row r="41" spans="1:3" ht="15">
      <c r="A41" s="514">
        <v>7</v>
      </c>
      <c r="B41" s="435" t="s">
        <v>4026</v>
      </c>
      <c r="C41" s="957" t="e">
        <f>1-(C34/C35)</f>
        <v>#REF!</v>
      </c>
    </row>
    <row r="42" spans="1:3" ht="15">
      <c r="A42" s="514">
        <v>8</v>
      </c>
      <c r="B42" s="460" t="s">
        <v>4027</v>
      </c>
      <c r="C42" s="390" t="e">
        <f>C40*C41</f>
        <v>#REF!</v>
      </c>
    </row>
    <row r="43" spans="1:3" ht="15.75">
      <c r="A43" s="780"/>
      <c r="B43" s="777" t="s">
        <v>3863</v>
      </c>
      <c r="C43" s="783"/>
    </row>
    <row r="44" spans="1:3" ht="15">
      <c r="A44" s="514">
        <v>9</v>
      </c>
      <c r="B44" s="954" t="s">
        <v>3861</v>
      </c>
      <c r="C44" s="390" t="e">
        <f>'IFA-OldLaw'!#REF!</f>
        <v>#REF!</v>
      </c>
    </row>
    <row r="45" spans="1:3" ht="15">
      <c r="A45" s="514">
        <v>10</v>
      </c>
      <c r="B45" s="954" t="s">
        <v>3862</v>
      </c>
      <c r="C45" s="390" t="e">
        <f>'Existing Debt-OldLaw'!#REF!</f>
        <v>#REF!</v>
      </c>
    </row>
    <row r="46" spans="1:3" ht="15">
      <c r="A46" s="514">
        <v>11</v>
      </c>
      <c r="B46" s="954" t="s">
        <v>4028</v>
      </c>
      <c r="C46" s="390" t="e">
        <f>(C38+C39)-(C44+C45)</f>
        <v>#REF!</v>
      </c>
    </row>
    <row r="47" spans="1:3" ht="15.75">
      <c r="A47" s="780"/>
      <c r="B47" s="776" t="s">
        <v>3909</v>
      </c>
      <c r="C47" s="783"/>
    </row>
    <row r="48" spans="1:3" ht="15">
      <c r="A48" s="514">
        <v>12</v>
      </c>
      <c r="B48" s="954" t="s">
        <v>4029</v>
      </c>
      <c r="C48" s="390" t="e">
        <f>IF(C42-C46&lt;0,0,C42-C46)</f>
        <v>#REF!</v>
      </c>
    </row>
    <row r="49" spans="1:3" ht="15">
      <c r="A49" s="514">
        <v>13</v>
      </c>
      <c r="B49" s="954" t="s">
        <v>3086</v>
      </c>
      <c r="C49" s="390" t="e">
        <f>'Data Entry - SOF'!#REF!</f>
        <v>#REF!</v>
      </c>
    </row>
    <row r="50" spans="1:3" ht="15">
      <c r="A50" s="514">
        <v>14</v>
      </c>
      <c r="B50" s="955" t="s">
        <v>4030</v>
      </c>
      <c r="C50" s="390" t="e">
        <f>C40-C48</f>
        <v>#REF!</v>
      </c>
    </row>
    <row r="51" spans="1:3" ht="15.75">
      <c r="A51" s="792">
        <v>15</v>
      </c>
      <c r="B51" s="956" t="s">
        <v>4031</v>
      </c>
      <c r="C51" s="786" t="e">
        <f>IF(C49&gt;=C50,C48,C48*(C49/C50))</f>
        <v>#REF!</v>
      </c>
    </row>
    <row r="54" spans="1:3" hidden="1">
      <c r="B54" s="37" t="s">
        <v>3918</v>
      </c>
      <c r="C54" s="91" t="e">
        <f>IF(C49=0,0,C49*(C35/C34))</f>
        <v>#REF!</v>
      </c>
    </row>
  </sheetData>
  <sheetProtection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3225</v>
      </c>
      <c r="D3" s="55" t="s">
        <v>3225</v>
      </c>
      <c r="E3" s="55" t="s">
        <v>3225</v>
      </c>
    </row>
    <row r="4" spans="1:5">
      <c r="C4" s="88" t="s">
        <v>3833</v>
      </c>
      <c r="D4" s="88" t="s">
        <v>3834</v>
      </c>
      <c r="E4" s="54" t="s">
        <v>3824</v>
      </c>
    </row>
    <row r="5" spans="1:5">
      <c r="A5" t="s">
        <v>3823</v>
      </c>
      <c r="C5" s="656">
        <f>'Data Entry - SOF'!E154</f>
        <v>0</v>
      </c>
      <c r="D5" s="656">
        <f>'Calc Data'!AG30</f>
        <v>1</v>
      </c>
      <c r="E5" s="656">
        <f>D5-C5</f>
        <v>1</v>
      </c>
    </row>
    <row r="6" spans="1:5">
      <c r="A6" t="s">
        <v>1013</v>
      </c>
      <c r="C6" s="223">
        <f>'Calc Data'!E19</f>
        <v>0</v>
      </c>
      <c r="D6" s="223">
        <f>'Calc Data'!AG19</f>
        <v>5140</v>
      </c>
      <c r="E6" s="223"/>
    </row>
    <row r="8" spans="1:5">
      <c r="A8" t="s">
        <v>530</v>
      </c>
      <c r="C8" s="745">
        <f>'SOF1819-SB1'!F43</f>
        <v>0</v>
      </c>
      <c r="D8" s="745">
        <f>'SOF1819-SB1'!H43</f>
        <v>0</v>
      </c>
      <c r="E8" s="745">
        <f>D8-C8</f>
        <v>0</v>
      </c>
    </row>
    <row r="9" spans="1:5">
      <c r="A9" t="s">
        <v>3825</v>
      </c>
      <c r="C9" s="745">
        <f>'SOF1819-SB1'!F44</f>
        <v>0</v>
      </c>
      <c r="D9" s="745">
        <f>'SOF1819-SB1'!H44</f>
        <v>0</v>
      </c>
      <c r="E9" s="745">
        <f>D9-C9</f>
        <v>0</v>
      </c>
    </row>
    <row r="10" spans="1:5">
      <c r="A10" t="s">
        <v>2469</v>
      </c>
      <c r="C10" s="746">
        <f>'SOF1819-SB1'!F45</f>
        <v>0</v>
      </c>
      <c r="D10" s="746">
        <f>'SOF1819-SB1'!H45</f>
        <v>0</v>
      </c>
      <c r="E10" s="746">
        <f>IF(D10-C10&lt;0,0,D10-C10)</f>
        <v>0</v>
      </c>
    </row>
    <row r="11" spans="1:5">
      <c r="C11" s="745"/>
      <c r="D11" s="745"/>
      <c r="E11" s="745"/>
    </row>
    <row r="12" spans="1:5">
      <c r="A12" t="s">
        <v>1985</v>
      </c>
      <c r="C12" s="745" t="e">
        <f>IF('Option Costs'!S57="Y",MIN('Option Costs'!S54,'Option Costs'!U54),MAX('Option Costs'!S54,'Option Costs'!U54))</f>
        <v>#DIV/0!</v>
      </c>
      <c r="D12" s="745" t="e">
        <f>IF('Option Costs'!S57="Y",MIN('Option Costs'!S85,'Option Costs'!U85),MAX('Option Costs'!S85,'Option Costs'!U85))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#DIV/0!</v>
      </c>
    </row>
    <row r="18" spans="1:5">
      <c r="A18" s="45" t="s">
        <v>3826</v>
      </c>
      <c r="C18" s="225">
        <f>'Calc Data'!E36</f>
        <v>110.99999999999999</v>
      </c>
      <c r="D18" s="225">
        <f>'Calc Data'!AG28</f>
        <v>10.999999999999986</v>
      </c>
      <c r="E18" s="656">
        <f>D18-C18</f>
        <v>-100</v>
      </c>
    </row>
    <row r="19" spans="1:5">
      <c r="A19" s="172" t="s">
        <v>3827</v>
      </c>
      <c r="B19" s="43"/>
      <c r="C19" s="750" t="e">
        <f>'SOF1819-SB1'!F52</f>
        <v>#DIV/0!</v>
      </c>
      <c r="D19" s="751" t="e">
        <f>'SOF1819-SB1'!H52</f>
        <v>#DIV/0!</v>
      </c>
      <c r="E19" s="748" t="e">
        <f>D19-C19</f>
        <v>#DIV/0!</v>
      </c>
    </row>
    <row r="21" spans="1:5">
      <c r="A21" s="172" t="s">
        <v>3831</v>
      </c>
      <c r="B21" s="43"/>
      <c r="C21" s="752" t="e">
        <f>'Option Costs'!W54</f>
        <v>#DIV/0!</v>
      </c>
      <c r="D21" s="753" t="e">
        <f>'Option Costs'!W85</f>
        <v>#DIV/0!</v>
      </c>
      <c r="E21" s="748" t="e">
        <f>C21-D21</f>
        <v>#DIV/0!</v>
      </c>
    </row>
    <row r="24" spans="1:5">
      <c r="A24" s="35" t="s">
        <v>3829</v>
      </c>
      <c r="E24" s="747" t="e">
        <f>E16+E19+E21</f>
        <v>#DIV/0!</v>
      </c>
    </row>
    <row r="27" spans="1:5">
      <c r="A27" s="380" t="s">
        <v>6381</v>
      </c>
    </row>
    <row r="28" spans="1:5">
      <c r="A28" s="380" t="s">
        <v>3835</v>
      </c>
    </row>
    <row r="29" spans="1:5">
      <c r="A29" s="380" t="s">
        <v>3836</v>
      </c>
    </row>
    <row r="30" spans="1:5">
      <c r="A30" s="380" t="s">
        <v>6382</v>
      </c>
    </row>
    <row r="33" spans="1:1">
      <c r="A33" s="771" t="s">
        <v>6380</v>
      </c>
    </row>
    <row r="34" spans="1:1">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2.75"/>
  <cols>
    <col min="1" max="1" width="10.5703125" bestFit="1" customWidth="1"/>
    <col min="3" max="3" width="13.5703125" customWidth="1"/>
    <col min="4" max="4" width="44.5703125" customWidth="1"/>
    <col min="5" max="6" width="19.140625" customWidth="1"/>
    <col min="7" max="7" width="3.5703125" customWidth="1"/>
    <col min="8" max="8" width="19.140625" customWidth="1"/>
    <col min="9" max="9" width="28.42578125" style="35" customWidth="1"/>
    <col min="10" max="10" width="28.42578125" customWidth="1"/>
    <col min="11" max="11" width="27.5703125" style="91" customWidth="1"/>
    <col min="12" max="12" width="13.5703125" customWidth="1"/>
    <col min="13" max="13" width="13.5703125" style="119" customWidth="1"/>
    <col min="14" max="14" width="25.140625" customWidth="1"/>
    <col min="15" max="15" width="29.42578125" style="37" customWidth="1"/>
    <col min="16" max="16" width="15" customWidth="1"/>
    <col min="17" max="19" width="12.5703125" customWidth="1"/>
    <col min="38" max="38" width="15.5703125" customWidth="1"/>
    <col min="39" max="39" width="16" customWidth="1"/>
  </cols>
  <sheetData>
    <row r="1" spans="1:11" hidden="1">
      <c r="A1" s="20" t="s">
        <v>66</v>
      </c>
      <c r="C1" s="264">
        <f>'Data Entry - SOF'!B1</f>
        <v>0</v>
      </c>
      <c r="E1" s="119"/>
      <c r="F1" t="e">
        <f>'Report-SOF1718'!D1</f>
        <v>#REF!</v>
      </c>
      <c r="G1" s="59"/>
      <c r="H1" s="59"/>
      <c r="J1" s="59"/>
      <c r="K1" s="285"/>
    </row>
    <row r="2" spans="1:11" hidden="1">
      <c r="A2" s="20" t="s">
        <v>67</v>
      </c>
      <c r="C2" s="12">
        <f>'Data Entry - SOF'!B2</f>
        <v>0</v>
      </c>
      <c r="F2" s="59" t="e">
        <f>'Report-SOF1718'!D2</f>
        <v>#REF!</v>
      </c>
      <c r="G2" s="59"/>
      <c r="H2" s="59"/>
      <c r="J2" s="59"/>
      <c r="K2" s="285"/>
    </row>
    <row r="3" spans="1:11" hidden="1">
      <c r="A3" s="20" t="s">
        <v>143</v>
      </c>
      <c r="C3" s="62">
        <f ca="1">'Data Entry - SOF'!B3</f>
        <v>43726.623322453706</v>
      </c>
      <c r="F3" s="58">
        <f>'Report-SOF1718'!D3</f>
        <v>0</v>
      </c>
    </row>
    <row r="4" spans="1:11" hidden="1">
      <c r="D4" s="295" t="s">
        <v>3183</v>
      </c>
    </row>
    <row r="5" spans="1:11" hidden="1">
      <c r="D5" s="296" t="s">
        <v>3184</v>
      </c>
    </row>
    <row r="6" spans="1:11" hidden="1"/>
    <row r="7" spans="1:11" hidden="1">
      <c r="D7" s="20" t="s">
        <v>1393</v>
      </c>
    </row>
    <row r="8" spans="1:11" hidden="1">
      <c r="B8" s="4"/>
      <c r="D8" s="20" t="s">
        <v>832</v>
      </c>
      <c r="F8" s="19">
        <f>'Calc Data'!D7</f>
        <v>0</v>
      </c>
      <c r="G8" s="18"/>
      <c r="H8" s="18"/>
      <c r="J8" s="18"/>
      <c r="K8" s="2420"/>
    </row>
    <row r="9" spans="1:11" hidden="1">
      <c r="D9" s="20" t="s">
        <v>1394</v>
      </c>
      <c r="F9" s="19" t="e">
        <f>'Calc Data'!D8</f>
        <v>#REF!</v>
      </c>
      <c r="G9" s="18"/>
      <c r="H9" s="18"/>
      <c r="J9" s="18"/>
      <c r="K9" s="2420"/>
    </row>
    <row r="10" spans="1:11" hidden="1">
      <c r="D10" s="20" t="s">
        <v>426</v>
      </c>
      <c r="F10" s="19" t="e">
        <f>'Data Entry - SOF'!#REF!</f>
        <v>#REF!</v>
      </c>
      <c r="G10" s="18"/>
      <c r="H10" s="18"/>
      <c r="J10" s="18"/>
      <c r="K10" s="2420"/>
    </row>
    <row r="11" spans="1:11" hidden="1">
      <c r="B11" s="20"/>
      <c r="D11" s="20" t="s">
        <v>427</v>
      </c>
      <c r="F11" s="19" t="e">
        <f>'Calc Data'!D10</f>
        <v>#REF!</v>
      </c>
      <c r="G11" s="18"/>
      <c r="H11" s="18"/>
      <c r="J11" s="18"/>
      <c r="K11" s="2420"/>
    </row>
    <row r="12" spans="1:11" hidden="1">
      <c r="D12" s="20" t="s">
        <v>428</v>
      </c>
      <c r="F12" s="16" t="e">
        <f>'Data Entry - SOF'!#REF!</f>
        <v>#REF!</v>
      </c>
      <c r="G12" s="16"/>
      <c r="H12" s="16"/>
      <c r="J12" s="16"/>
      <c r="K12" s="2420"/>
    </row>
    <row r="13" spans="1:11" hidden="1">
      <c r="D13" s="20" t="s">
        <v>429</v>
      </c>
      <c r="F13" s="16" t="e">
        <f>F12</f>
        <v>#REF!</v>
      </c>
      <c r="G13" s="16"/>
      <c r="H13" s="16"/>
      <c r="J13" s="16"/>
      <c r="K13" s="2420"/>
    </row>
    <row r="14" spans="1:11" hidden="1">
      <c r="D14" s="20" t="s">
        <v>1811</v>
      </c>
      <c r="F14" s="19" t="e">
        <f>'Data Entry - SOF'!#REF!</f>
        <v>#REF!</v>
      </c>
      <c r="G14" s="16"/>
      <c r="H14" s="16"/>
      <c r="J14" s="16"/>
      <c r="K14" s="2420"/>
    </row>
    <row r="15" spans="1:11" hidden="1">
      <c r="D15" s="20" t="s">
        <v>1155</v>
      </c>
      <c r="F15" s="19" t="e">
        <f>'Calc Data'!D59</f>
        <v>#REF!</v>
      </c>
      <c r="G15" s="17"/>
      <c r="H15" s="17"/>
      <c r="J15" s="17"/>
      <c r="K15" s="2420"/>
    </row>
    <row r="16" spans="1:11" hidden="1">
      <c r="D16" s="20" t="s">
        <v>1956</v>
      </c>
      <c r="F16" s="16" t="e">
        <f>'Data Entry - SOF'!#REF!</f>
        <v>#REF!</v>
      </c>
      <c r="G16" s="16"/>
      <c r="H16" s="16"/>
      <c r="J16" s="16"/>
      <c r="K16" s="2420"/>
    </row>
    <row r="17" spans="2:38" ht="13.5" hidden="1" thickBot="1">
      <c r="D17" s="27"/>
      <c r="E17" s="10"/>
      <c r="F17" s="10"/>
      <c r="G17" s="16"/>
      <c r="H17" s="16"/>
      <c r="J17" s="16"/>
      <c r="K17" s="2420"/>
    </row>
    <row r="18" spans="2:38">
      <c r="D18" s="20"/>
      <c r="G18" s="16"/>
      <c r="H18" s="2509" t="s">
        <v>3853</v>
      </c>
      <c r="I18" s="2970"/>
      <c r="J18" s="2968" t="s">
        <v>6968</v>
      </c>
      <c r="K18" s="2501" t="s">
        <v>6967</v>
      </c>
    </row>
    <row r="19" spans="2:38" ht="15.75">
      <c r="B19" s="24" t="s">
        <v>430</v>
      </c>
      <c r="D19" s="20"/>
      <c r="F19" s="324" t="s">
        <v>3898</v>
      </c>
      <c r="G19" s="20"/>
      <c r="H19" s="2510" t="s">
        <v>3840</v>
      </c>
      <c r="I19" s="2971"/>
      <c r="J19" s="2969" t="s">
        <v>8554</v>
      </c>
      <c r="K19" s="2958" t="s">
        <v>8553</v>
      </c>
    </row>
    <row r="20" spans="2:38" ht="15.75">
      <c r="B20" s="24">
        <v>11</v>
      </c>
      <c r="D20" s="100" t="s">
        <v>3140</v>
      </c>
      <c r="F20" s="311" t="e">
        <f>ROUND(ROUND('Calc Data'!D23,0)*IF('Calc Data'!D11&gt;'Calc Data'!D10,'Calc Data'!D11,'Calc Data'!D10),0)</f>
        <v>#REF!</v>
      </c>
      <c r="G20" s="16"/>
      <c r="H20" s="2513" t="e">
        <f>ROUND(ROUND('Calc Data'!#REF!,0)*IF('Calc Data'!D11&gt;'Calc Data'!D10,'Calc Data'!D11,'Calc Data'!D10),0)*Weights!I4</f>
        <v>#REF!</v>
      </c>
      <c r="I20" s="2511"/>
      <c r="J20" s="2951" t="e">
        <f>ROUND(ROUND('Calc Data'!#REF!,0)*IF('Calc Data'!D11&gt;'Calc Data'!D10,'Calc Data'!D11,'Calc Data'!D10),0)</f>
        <v>#REF!</v>
      </c>
      <c r="K20" s="2508"/>
      <c r="AL20" s="16" t="e">
        <f>ROUND(ROUND('Calc Data'!#REF!,0)*IF('Calc Data'!#REF!&gt;'Calc Data'!#REF!,'Calc Data'!#REF!,'Calc Data'!#REF!),0)</f>
        <v>#REF!</v>
      </c>
    </row>
    <row r="21" spans="2:38">
      <c r="B21" s="24">
        <v>23</v>
      </c>
      <c r="D21" s="20" t="s">
        <v>89</v>
      </c>
      <c r="F21" s="16" t="e">
        <f>ROUND('Calc Data'!D9*ROUND('Calc Data'!D23,0),0)</f>
        <v>#REF!</v>
      </c>
      <c r="G21" s="16"/>
      <c r="H21" s="2514" t="e">
        <f>ROUND('Calc Data'!D9*ROUND('Calc Data'!#REF!,0),0)</f>
        <v>#REF!</v>
      </c>
      <c r="I21" s="1438"/>
      <c r="J21" s="2952" t="e">
        <f>ROUND('Calc Data'!D9*ROUND('Calc Data'!#REF!,0),0)</f>
        <v>#REF!</v>
      </c>
      <c r="K21" s="2959"/>
      <c r="AL21" s="16" t="e">
        <f>ROUND('Calc Data'!#REF!*ROUND('Calc Data'!#REF!,0),0)</f>
        <v>#REF!</v>
      </c>
    </row>
    <row r="22" spans="2:38">
      <c r="B22" s="24"/>
      <c r="D22" s="20" t="s">
        <v>90</v>
      </c>
      <c r="F22" s="35"/>
      <c r="H22" s="2515"/>
      <c r="I22" s="1438"/>
      <c r="J22" s="2953"/>
      <c r="K22" s="2959"/>
    </row>
    <row r="23" spans="2:38">
      <c r="B23" s="24">
        <v>23</v>
      </c>
      <c r="D23" s="20" t="s">
        <v>91</v>
      </c>
      <c r="F23" s="26" t="e">
        <f>ROUND('Data Entry - SOF'!#REF!*Weights!J21*ROUND('Calc Data'!D23,0),0)</f>
        <v>#REF!</v>
      </c>
      <c r="G23" s="26"/>
      <c r="H23" s="2516" t="e">
        <f>ROUND('Data Entry - SOF'!#REF!*Weights!I21*ROUND('Calc Data'!#REF!,0),0)</f>
        <v>#REF!</v>
      </c>
      <c r="I23" s="1438"/>
      <c r="J23" s="2954" t="e">
        <f>ROUND('Data Entry - SOF'!#REF!*Weights!I21*ROUND('Calc Data'!AG78,0),0)</f>
        <v>#REF!</v>
      </c>
      <c r="K23" s="2959"/>
      <c r="AL23" s="26" t="e">
        <f>ROUND('Data Entry - SOF'!#REF!*1.1*ROUND('Calc Data'!#REF!,0),0)</f>
        <v>#REF!</v>
      </c>
    </row>
    <row r="24" spans="2:38">
      <c r="B24" s="24">
        <v>23</v>
      </c>
      <c r="D24" s="20" t="s">
        <v>92</v>
      </c>
      <c r="F24" s="16" t="e">
        <f>ROUND((+'Data Entry - SOF'!#REF!*Weights!J19)*ROUND('Calc Data'!D23,0),0)</f>
        <v>#REF!</v>
      </c>
      <c r="G24" s="16"/>
      <c r="H24" s="2514" t="e">
        <f>ROUND((+'Data Entry - SOF'!#REF!*Weights!I19)*ROUND('Calc Data'!#REF!,0),0)</f>
        <v>#REF!</v>
      </c>
      <c r="I24" s="1438"/>
      <c r="J24" s="2952" t="e">
        <f>ROUND((+'Data Entry - SOF'!#REF!*Weights!I19)*ROUND('Calc Data'!#REF!,0),0)</f>
        <v>#REF!</v>
      </c>
      <c r="K24" s="2959"/>
      <c r="AL24" s="16" t="e">
        <f>ROUND((+'Data Entry - SOF'!#REF!*4)*ROUND('Calc Data'!#REF!,0),0)</f>
        <v>#REF!</v>
      </c>
    </row>
    <row r="25" spans="2:38">
      <c r="B25" s="24">
        <v>23</v>
      </c>
      <c r="D25" s="22" t="s">
        <v>812</v>
      </c>
      <c r="F25" s="16" t="e">
        <f>ROUND((+'Data Entry - SOF'!#REF!*Weights!J17)*ROUND('Calc Data'!D23,0),0)</f>
        <v>#REF!</v>
      </c>
      <c r="G25" s="16"/>
      <c r="H25" s="2514" t="e">
        <f>ROUND((+'Data Entry - SOF'!#REF!*Weights!I17)*ROUND('Calc Data'!#REF!,0),0)</f>
        <v>#REF!</v>
      </c>
      <c r="I25" s="1438"/>
      <c r="J25" s="2952" t="e">
        <f>ROUND((+'Data Entry - SOF'!#REF!*Weights!I17)*ROUND('Calc Data'!#REF!,0),0)</f>
        <v>#REF!</v>
      </c>
      <c r="K25" s="2959"/>
      <c r="AL25" s="16" t="e">
        <f>ROUND((+'Data Entry - SOF'!#REF!*2.8)*ROUND('Calc Data'!#REF!,0),0)</f>
        <v>#REF!</v>
      </c>
    </row>
    <row r="26" spans="2:38">
      <c r="B26" s="24">
        <v>23</v>
      </c>
      <c r="D26" s="22" t="s">
        <v>813</v>
      </c>
      <c r="F26" s="16" t="e">
        <f>ROUND(('Data Entry - SOF'!#REF!*Weights!J18)*ROUND('Calc Data'!D23,0),0)</f>
        <v>#REF!</v>
      </c>
      <c r="G26" s="16"/>
      <c r="H26" s="2514" t="e">
        <f>ROUND(('Data Entry - SOF'!#REF!*Weights!I18)*ROUND('Calc Data'!#REF!,0),0)</f>
        <v>#REF!</v>
      </c>
      <c r="I26" s="1438"/>
      <c r="J26" s="2952" t="e">
        <f>ROUND(('Data Entry - SOF'!#REF!*Weights!I18)*ROUND('Calc Data'!#REF!,0),0)</f>
        <v>#REF!</v>
      </c>
      <c r="K26" s="2959"/>
      <c r="AL26" s="16" t="e">
        <f>ROUND(('Data Entry - SOF'!#REF!*1.7)*ROUND('Calc Data'!#REF!,0),0)</f>
        <v>#REF!</v>
      </c>
    </row>
    <row r="27" spans="2:38">
      <c r="B27" s="24"/>
      <c r="D27" s="20" t="s">
        <v>1145</v>
      </c>
      <c r="F27" s="16" t="e">
        <f>IF('Data Entry - SOF'!#REF!&lt;0,'Data Entry - SOF'!#REF!,'Data Entry - SOF'!#REF!*-1)</f>
        <v>#REF!</v>
      </c>
      <c r="G27" s="16"/>
      <c r="H27" s="2514" t="e">
        <f>IF('Data Entry - SOF'!#REF!&lt;0,'Data Entry - SOF'!#REF!,'Data Entry - SOF'!#REF!*-1)</f>
        <v>#REF!</v>
      </c>
      <c r="I27" s="1438"/>
      <c r="J27" s="2955" t="e">
        <f>H27</f>
        <v>#REF!</v>
      </c>
      <c r="K27" s="2959"/>
      <c r="AL27" s="16">
        <v>0</v>
      </c>
    </row>
    <row r="28" spans="2:38">
      <c r="B28" s="24">
        <v>22</v>
      </c>
      <c r="C28" s="14"/>
      <c r="D28" s="20" t="s">
        <v>102</v>
      </c>
      <c r="F28" s="16" t="e">
        <f>ROUND(ROUND('Calc Data'!D23,0)*'Data Entry - SOF'!#REF!*Weights!J23,0)</f>
        <v>#REF!</v>
      </c>
      <c r="G28" s="16"/>
      <c r="H28" s="2514" t="e">
        <f>ROUND(ROUND('Calc Data'!#REF!,0)*'Data Entry - SOF'!#REF!*Weights!I23,0)</f>
        <v>#REF!</v>
      </c>
      <c r="I28" s="1438"/>
      <c r="J28" s="2952" t="e">
        <f>ROUND(ROUND('Calc Data'!#REF!,0)*'Data Entry - SOF'!#REF!*Weights!I23,0)</f>
        <v>#REF!</v>
      </c>
      <c r="K28" s="2959"/>
      <c r="AL28" s="16" t="e">
        <f>ROUND(ROUND('Calc Data'!#REF!,0)*'Data Entry - SOF'!#REF!*1.35,0)</f>
        <v>#REF!</v>
      </c>
    </row>
    <row r="29" spans="2:38">
      <c r="B29" s="24"/>
      <c r="C29" s="14"/>
      <c r="D29" s="35" t="s">
        <v>644</v>
      </c>
      <c r="F29" s="16" t="e">
        <f>Weights!J24*'Data Entry - SOF'!#REF!</f>
        <v>#REF!</v>
      </c>
      <c r="G29" s="16"/>
      <c r="H29" s="2514" t="e">
        <f>Weights!I24*'Data Entry - SOF'!#REF!</f>
        <v>#REF!</v>
      </c>
      <c r="I29" s="1438"/>
      <c r="J29" s="2955" t="e">
        <f>H29</f>
        <v>#REF!</v>
      </c>
      <c r="K29" s="2959"/>
      <c r="AL29" s="16"/>
    </row>
    <row r="30" spans="2:38">
      <c r="B30" s="24"/>
      <c r="C30" s="14"/>
      <c r="D30" s="35" t="s">
        <v>645</v>
      </c>
      <c r="F30" s="16" t="e">
        <f>400*'Data Entry - SOF'!#REF!</f>
        <v>#REF!</v>
      </c>
      <c r="G30" s="16"/>
      <c r="H30" s="2514" t="e">
        <f>400*'Data Entry - SOF'!#REF!</f>
        <v>#REF!</v>
      </c>
      <c r="I30" s="1438"/>
      <c r="J30" s="2953"/>
      <c r="K30" s="2959"/>
      <c r="AL30" s="16"/>
    </row>
    <row r="31" spans="2:38">
      <c r="B31" s="24"/>
      <c r="C31" s="14"/>
      <c r="D31" s="35" t="s">
        <v>646</v>
      </c>
      <c r="F31" s="16" t="e">
        <f>80*'Data Entry - SOF'!#REF!</f>
        <v>#REF!</v>
      </c>
      <c r="G31" s="16"/>
      <c r="H31" s="2514" t="e">
        <f>80*'Data Entry - SOF'!#REF!</f>
        <v>#REF!</v>
      </c>
      <c r="I31" s="1438"/>
      <c r="J31" s="2953"/>
      <c r="K31" s="2959"/>
      <c r="AL31" s="16"/>
    </row>
    <row r="32" spans="2:38">
      <c r="B32" s="24">
        <v>21</v>
      </c>
      <c r="D32" s="20" t="s">
        <v>2634</v>
      </c>
      <c r="F32" s="16" t="e">
        <f>ROUND(ROUND('Calc Data'!D23,0)*'Data Entry - SOF'!#REF!*Weights!J28,0)</f>
        <v>#REF!</v>
      </c>
      <c r="G32" s="16"/>
      <c r="H32" s="2514" t="e">
        <f>ROUND(ROUND('Calc Data'!#REF!,0)*'Data Entry - SOF'!#REF!*Weights!I28,0)</f>
        <v>#REF!</v>
      </c>
      <c r="I32" s="1438"/>
      <c r="J32" s="2952" t="e">
        <f>ROUND(ROUND('Calc Data'!#REF!,0)*'Data Entry - SOF'!#REF!*Weights!I28,0)</f>
        <v>#REF!</v>
      </c>
      <c r="K32" s="2959"/>
      <c r="AL32" s="16" t="e">
        <f>ROUND(ROUND('Calc Data'!#REF!,0)*'Data Entry - SOF'!#REF!*0.12,0)</f>
        <v>#REF!</v>
      </c>
    </row>
    <row r="33" spans="2:38">
      <c r="B33" s="24"/>
      <c r="D33" s="20" t="s">
        <v>397</v>
      </c>
      <c r="F33" s="16" t="e">
        <f>IF('Data Entry - SOF'!#REF!&lt;0,'Data Entry - SOF'!#REF!,'Data Entry - SOF'!#REF!*-1)</f>
        <v>#REF!</v>
      </c>
      <c r="G33" s="16"/>
      <c r="H33" s="2514" t="e">
        <f>IF('Data Entry - SOF'!#REF!&lt;0,'Data Entry - SOF'!#REF!,'Data Entry - SOF'!#REF!*-1)</f>
        <v>#REF!</v>
      </c>
      <c r="I33" s="1438"/>
      <c r="J33" s="2955" t="e">
        <f>H33</f>
        <v>#REF!</v>
      </c>
      <c r="K33" s="2959"/>
      <c r="AL33" s="16">
        <v>0</v>
      </c>
    </row>
    <row r="34" spans="2:38">
      <c r="B34" s="24" t="s">
        <v>2497</v>
      </c>
      <c r="D34" s="20" t="s">
        <v>398</v>
      </c>
      <c r="F34" s="16" t="e">
        <f>ROUND(ROUND('Calc Data'!D23,0)*'Data Entry - SOF'!#REF!*Weights!J30,0)</f>
        <v>#REF!</v>
      </c>
      <c r="G34" s="16"/>
      <c r="H34" s="2514" t="e">
        <f>ROUND(ROUND('Calc Data'!#REF!,0)*'Data Entry - SOF'!#REF!*Weights!I30,0)</f>
        <v>#REF!</v>
      </c>
      <c r="I34" s="1438"/>
      <c r="J34" s="2952" t="e">
        <f>ROUND(ROUND('Calc Data'!#REF!,0)*'Data Entry - SOF'!#REF!*Weights!I30,0)</f>
        <v>#REF!</v>
      </c>
      <c r="K34" s="2959"/>
      <c r="AL34" s="16" t="e">
        <f>ROUND(ROUND('Calc Data'!#REF!,0)*'Data Entry - SOF'!#REF!*0.2,0)</f>
        <v>#REF!</v>
      </c>
    </row>
    <row r="35" spans="2:38">
      <c r="B35" s="24" t="s">
        <v>2497</v>
      </c>
      <c r="D35" s="20" t="s">
        <v>399</v>
      </c>
      <c r="F35" s="16" t="e">
        <f>ROUND(ROUND('Calc Data'!D23,0)*'Data Entry - SOF'!#REF!*Weights!J31,0)</f>
        <v>#REF!</v>
      </c>
      <c r="G35" s="16"/>
      <c r="H35" s="2514" t="e">
        <f>ROUND(ROUND('Calc Data'!#REF!,0)*'Data Entry - SOF'!#REF!*Weights!I31,0)</f>
        <v>#REF!</v>
      </c>
      <c r="I35" s="1438"/>
      <c r="J35" s="2952" t="e">
        <f>ROUND(ROUND('Calc Data'!#REF!,0)*'Data Entry - SOF'!#REF!*Weights!I31,0)</f>
        <v>#REF!</v>
      </c>
      <c r="K35" s="2959"/>
      <c r="AL35" s="16" t="e">
        <f>ROUND(ROUND('Calc Data'!#REF!,0)*'Data Entry - SOF'!#REF!*2.41,0)</f>
        <v>#REF!</v>
      </c>
    </row>
    <row r="36" spans="2:38">
      <c r="B36" s="24" t="s">
        <v>2497</v>
      </c>
      <c r="D36" s="71" t="s">
        <v>451</v>
      </c>
      <c r="E36" s="310"/>
      <c r="F36" s="16" t="e">
        <f>650*'Data Entry - SOF'!#REF!</f>
        <v>#REF!</v>
      </c>
      <c r="G36" s="16"/>
      <c r="H36" s="2514" t="e">
        <f>650*'Data Entry - SOF'!#REF!</f>
        <v>#REF!</v>
      </c>
      <c r="I36" s="1438"/>
      <c r="J36" s="2953"/>
      <c r="K36" s="2959"/>
      <c r="AL36" s="16"/>
    </row>
    <row r="37" spans="2:38">
      <c r="B37" s="24"/>
      <c r="D37" s="20" t="s">
        <v>1229</v>
      </c>
      <c r="F37" s="65">
        <v>0</v>
      </c>
      <c r="G37" s="16"/>
      <c r="H37" s="2517">
        <v>0</v>
      </c>
      <c r="I37" s="1438"/>
      <c r="J37" s="2953"/>
      <c r="K37" s="2959"/>
      <c r="AL37" s="16">
        <v>0</v>
      </c>
    </row>
    <row r="38" spans="2:38">
      <c r="B38" s="24">
        <v>25</v>
      </c>
      <c r="D38" s="20" t="s">
        <v>1135</v>
      </c>
      <c r="F38" s="16" t="e">
        <f>ROUND(ROUND('Calc Data'!D23,0)*('Data Entry - SOF'!#REF!*Weights!J26),0)</f>
        <v>#REF!</v>
      </c>
      <c r="G38" s="16"/>
      <c r="H38" s="2514" t="e">
        <f>ROUND(ROUND('Calc Data'!#REF!,0)*('Data Entry - SOF'!#REF!*Weights!I26),0)</f>
        <v>#REF!</v>
      </c>
      <c r="I38" s="1438"/>
      <c r="J38" s="2952" t="e">
        <f>ROUND(ROUND('Calc Data'!#REF!,0)*('Data Entry - SOF'!#REF!*Weights!I26),0)</f>
        <v>#REF!</v>
      </c>
      <c r="K38" s="2959"/>
      <c r="AL38" s="16" t="e">
        <f>ROUND(ROUND('Calc Data'!#REF!,0)*('Data Entry - SOF'!#REF!*0.1),0)</f>
        <v>#REF!</v>
      </c>
    </row>
    <row r="39" spans="2:38">
      <c r="B39" s="24">
        <v>31</v>
      </c>
      <c r="D39" s="35" t="s">
        <v>2435</v>
      </c>
      <c r="F39" s="16" t="e">
        <f>Weights!J33*'Data Entry - SOF'!#REF!</f>
        <v>#REF!</v>
      </c>
      <c r="G39" s="16"/>
      <c r="H39" s="2514" t="e">
        <f>Weights!I33*'Data Entry - SOF'!#REF!</f>
        <v>#REF!</v>
      </c>
      <c r="I39" s="1438"/>
      <c r="J39" s="2955" t="e">
        <f>H39</f>
        <v>#REF!</v>
      </c>
      <c r="K39" s="2959"/>
      <c r="AL39" s="16" t="e">
        <f>#REF!</f>
        <v>#REF!</v>
      </c>
    </row>
    <row r="40" spans="2:38">
      <c r="B40" s="24"/>
      <c r="D40" s="20" t="s">
        <v>872</v>
      </c>
      <c r="F40" s="16" t="e">
        <f>ROUND(ROUND('Calc Data'!D23,0)*'Data Entry - SOF'!#REF!*Weights!J37,0)</f>
        <v>#REF!</v>
      </c>
      <c r="G40" s="16"/>
      <c r="H40" s="2514" t="e">
        <f>ROUND(ROUND('Calc Data'!#REF!,0)*'Data Entry - SOF'!#REF!*Weights!I37,0)</f>
        <v>#REF!</v>
      </c>
      <c r="I40" s="1438"/>
      <c r="J40" s="2952" t="e">
        <f>ROUND(ROUND('Calc Data'!#REF!,0)*'Data Entry - SOF'!#REF!*Weights!I37,0)</f>
        <v>#REF!</v>
      </c>
      <c r="K40" s="2959"/>
      <c r="AL40" s="16" t="e">
        <f>ROUND(ROUND('Calc Data'!#REF!,0)*'Data Entry - SOF'!#REF!*0.1,0)</f>
        <v>#REF!</v>
      </c>
    </row>
    <row r="41" spans="2:38" ht="15.75">
      <c r="B41" s="24"/>
      <c r="D41" s="318" t="s">
        <v>3850</v>
      </c>
      <c r="F41" s="87" t="e">
        <f>'Data Entry - SOF'!#REF!*Weights!J35</f>
        <v>#REF!</v>
      </c>
      <c r="G41" s="16"/>
      <c r="H41" s="2514" t="e">
        <f>F41</f>
        <v>#REF!</v>
      </c>
      <c r="I41" s="1438"/>
      <c r="J41" s="2955" t="e">
        <f>H41</f>
        <v>#REF!</v>
      </c>
      <c r="K41" s="2959"/>
      <c r="AL41" s="16" t="e">
        <f>'Data Entry - SOF'!#REF!*250</f>
        <v>#REF!</v>
      </c>
    </row>
    <row r="42" spans="2:38">
      <c r="B42" s="24">
        <v>99</v>
      </c>
      <c r="D42" s="20" t="s">
        <v>2087</v>
      </c>
      <c r="F42" s="25" t="e">
        <f>'Data Entry - SOF'!#REF!</f>
        <v>#REF!</v>
      </c>
      <c r="G42" s="16"/>
      <c r="H42" s="2518" t="e">
        <f>'Data Entry - SOF'!#REF!</f>
        <v>#REF!</v>
      </c>
      <c r="I42" s="1438"/>
      <c r="J42" s="2957" t="e">
        <f>H42</f>
        <v>#REF!</v>
      </c>
      <c r="K42" s="2960"/>
      <c r="AL42" s="25" t="e">
        <f>'Data Entry - SOF'!#REF!</f>
        <v>#REF!</v>
      </c>
    </row>
    <row r="43" spans="2:38">
      <c r="D43" s="20" t="s">
        <v>530</v>
      </c>
      <c r="F43" s="16" t="e">
        <f>SUM(F20:F42)</f>
        <v>#REF!</v>
      </c>
      <c r="G43" s="16"/>
      <c r="H43" s="2514" t="e">
        <f>SUM(H20:H42)</f>
        <v>#REF!</v>
      </c>
      <c r="I43" s="1438"/>
      <c r="J43" s="2514" t="e">
        <f>SUM(J20:J42)</f>
        <v>#REF!</v>
      </c>
      <c r="K43" s="2966" t="e">
        <f>J43</f>
        <v>#REF!</v>
      </c>
      <c r="AL43" s="16" t="e">
        <f>SUM(AL20:AL42)</f>
        <v>#REF!</v>
      </c>
    </row>
    <row r="44" spans="2:38">
      <c r="D44" s="20" t="s">
        <v>786</v>
      </c>
      <c r="F44" s="28" t="e">
        <f>IF(C2="084-906",30604936,IF('Data Entry - SOF'!#REF!&gt;1,1*('Data Entry - SOF'!#REF!/100),'Data Entry - SOF'!#REF!*('Data Entry - SOF'!#REF!/100)))</f>
        <v>#REF!</v>
      </c>
      <c r="G44" s="29"/>
      <c r="H44" s="2519" t="e">
        <f>IF(C2="084-906",30604936,IF('Calc Data'!#REF!&gt;1,1*('Data Entry - SOF'!#REF!/100),'Calc Data'!#REF!*('Data Entry - SOF'!#REF!/100)))</f>
        <v>#REF!</v>
      </c>
      <c r="I44" s="1438"/>
      <c r="J44" s="2584" t="e">
        <f>IF('Calc Data'!#REF!&gt;1,1*('Data Entry - SOF'!#REF!/100),'Calc Data'!#REF!*('Data Entry - SOF'!#REF!/100))</f>
        <v>#REF!</v>
      </c>
      <c r="K44" s="2962" t="e">
        <f>IF('Calc Data-15K'!AG85&gt;1,1*('Data Entry - SOF'!#REF!/100),'Calc Data-15K'!AG85*('Data Entry - SOF'!#REF!/100))</f>
        <v>#REF!</v>
      </c>
      <c r="AL44" s="28" t="e">
        <f>#REF!</f>
        <v>#REF!</v>
      </c>
    </row>
    <row r="45" spans="2:38">
      <c r="D45" s="20" t="s">
        <v>785</v>
      </c>
      <c r="F45" s="29" t="e">
        <f>F43-F44</f>
        <v>#REF!</v>
      </c>
      <c r="G45" s="29"/>
      <c r="H45" s="2520" t="e">
        <f>H43-H44</f>
        <v>#REF!</v>
      </c>
      <c r="I45" s="1438"/>
      <c r="J45" s="2946" t="e">
        <f>J43-J44</f>
        <v>#REF!</v>
      </c>
      <c r="K45" s="2961" t="e">
        <f>K43-K44</f>
        <v>#REF!</v>
      </c>
      <c r="AL45" s="29" t="e">
        <f>AL43-AL44</f>
        <v>#REF!</v>
      </c>
    </row>
    <row r="46" spans="2:38">
      <c r="D46" s="20"/>
      <c r="G46" s="29"/>
      <c r="H46" s="2521"/>
      <c r="I46" s="1438"/>
      <c r="J46" s="2942"/>
      <c r="K46" s="2961"/>
      <c r="N46" s="46"/>
      <c r="AL46" s="29"/>
    </row>
    <row r="47" spans="2:38">
      <c r="D47" s="315" t="s">
        <v>736</v>
      </c>
      <c r="G47" s="29"/>
      <c r="H47" s="2521"/>
      <c r="I47" s="1438"/>
      <c r="J47" s="2942"/>
      <c r="K47" s="2961"/>
      <c r="N47" s="46"/>
      <c r="AL47" s="29"/>
    </row>
    <row r="48" spans="2:38">
      <c r="D48" s="20" t="s">
        <v>1523</v>
      </c>
      <c r="F48" s="65" t="e">
        <f>IF(F45&lt;F75+F39+F41+F30+F31,F75+F39+F41+F30+F31,F45)</f>
        <v>#REF!</v>
      </c>
      <c r="G48" s="29"/>
      <c r="H48" s="2517" t="e">
        <f>IF(H45&lt;H75+H39+H41+H30+H31,H75+H39+H41+H30+H31,H45)</f>
        <v>#REF!</v>
      </c>
      <c r="I48" s="1438"/>
      <c r="J48" s="2947" t="e">
        <f>IF(J45&lt;H75+J39+J41+J30+J31,H75+J39+J41+J30+J31,J45)</f>
        <v>#REF!</v>
      </c>
      <c r="K48" s="2961" t="e">
        <f>IF(K45&lt;H75+J39+J41+J30+J31,H75+J39+J41+J30+J31,K45)</f>
        <v>#REF!</v>
      </c>
    </row>
    <row r="49" spans="4:17" hidden="1">
      <c r="D49" s="20" t="s">
        <v>2273</v>
      </c>
      <c r="G49" s="29"/>
      <c r="H49" s="2531"/>
      <c r="I49" s="1438"/>
      <c r="J49" s="2945"/>
      <c r="K49" s="2961"/>
    </row>
    <row r="50" spans="4:17">
      <c r="D50" s="20"/>
      <c r="G50" s="29"/>
      <c r="H50" s="2522"/>
      <c r="I50" s="1438"/>
      <c r="J50" s="2942"/>
      <c r="K50" s="2961"/>
    </row>
    <row r="51" spans="4:17">
      <c r="D51" s="20" t="s">
        <v>8737</v>
      </c>
      <c r="F51" s="29" t="e">
        <f>ROUND(IF((Assumptions!G101*'Calc Data'!D25*'Calc Data'!D35*100)&lt;'Calc Data'!D42,0,(Assumptions!G101*'Calc Data'!D25*'Calc Data'!D35*100)-'Calc Data'!D42),0)</f>
        <v>#REF!</v>
      </c>
      <c r="G51" s="29"/>
      <c r="H51" s="2522" t="e">
        <f>ROUND(IF((Assumptions!G101*'Calc Data'!D25*'Calc Data'!D35*100)&lt;'Calc Data'!D42,0,(Assumptions!G101*'Calc Data'!D25*'Calc Data'!D35*100)-'Calc Data'!D42),0)</f>
        <v>#REF!</v>
      </c>
      <c r="I51" s="1438"/>
      <c r="J51" s="2964" t="e">
        <f>ROUND(IF((Assumptions!G101*'Calc Data'!D25*'Calc Data'!D81*100)&lt;'Calc Data'!D88,0,(Assumptions!G101*'Calc Data'!D25*'Calc Data'!D81*100)-'Calc Data'!D88),0)</f>
        <v>#REF!</v>
      </c>
      <c r="K51" s="2963" t="e">
        <f>ROUND(IF((Assumptions!G79*'Calc Data-15K'!D25*'Calc Data-15K'!D81*100)&lt;'Calc Data-15K'!D88,0,(Assumptions!G79*'Calc Data-15K'!D25*'Calc Data-15K'!D81*100)-'Calc Data-15K'!D88),0)</f>
        <v>#REF!</v>
      </c>
    </row>
    <row r="52" spans="4:17">
      <c r="D52" s="20" t="s">
        <v>473</v>
      </c>
      <c r="F52" s="48" t="e">
        <f>ROUND(IF((Assumptions!G102*'Calc Data'!D25*'Calc Data'!D38*100)&lt;'Calc Data'!D43,0,(Assumptions!G102*'Calc Data'!D25*'Calc Data'!D38*100)-'Calc Data'!D43),0)</f>
        <v>#REF!</v>
      </c>
      <c r="G52" s="29"/>
      <c r="H52" s="2523" t="e">
        <f>ROUND(IF((Assumptions!G102*'Calc Data'!D25*'Calc Data'!#REF!*100)&lt;'Calc Data'!#REF!,0,(Assumptions!G102*'Calc Data'!D25*'Calc Data'!#REF!*100)-'Calc Data'!#REF!),0)</f>
        <v>#REF!</v>
      </c>
      <c r="I52" s="2512"/>
      <c r="J52" s="2965" t="e">
        <f>ROUND(IF((Assumptions!G102*'Calc Data'!D25*'Calc Data'!#REF!*100)&lt;'Calc Data'!#REF!,0,(Assumptions!G102*'Calc Data'!D25*'Calc Data'!#REF!*100)-'Calc Data'!#REF!),0)</f>
        <v>#REF!</v>
      </c>
      <c r="K52" s="2962" t="e">
        <f>ROUND(IF((Assumptions!G80*'Calc Data-15K'!D25*'Calc Data-15K'!AG84*100)&lt;'Calc Data-15K'!AG88,0,(Assumptions!G80*'Calc Data-15K'!D25*'Calc Data-15K'!AG84*100)-'Calc Data-15K'!AG88),0)</f>
        <v>#REF!</v>
      </c>
    </row>
    <row r="53" spans="4:17">
      <c r="D53" s="20" t="s">
        <v>284</v>
      </c>
      <c r="F53" s="29" t="e">
        <f>SUM(F49:F52)</f>
        <v>#REF!</v>
      </c>
      <c r="G53" s="29"/>
      <c r="H53" s="2522" t="e">
        <f>SUM(H49:H52)</f>
        <v>#REF!</v>
      </c>
    </row>
    <row r="54" spans="4:17">
      <c r="D54" s="20"/>
      <c r="G54" s="29"/>
      <c r="H54" s="2522"/>
      <c r="L54" s="91"/>
      <c r="M54" s="140"/>
    </row>
    <row r="55" spans="4:17">
      <c r="D55" s="20" t="s">
        <v>733</v>
      </c>
      <c r="G55" s="29"/>
      <c r="H55" s="2522"/>
      <c r="L55" s="91"/>
      <c r="M55" s="140"/>
    </row>
    <row r="56" spans="4:17">
      <c r="D56" s="20" t="s">
        <v>758</v>
      </c>
      <c r="F56" s="29" t="e">
        <f>'Data Entry - SOF'!#REF!</f>
        <v>#REF!</v>
      </c>
      <c r="G56" s="29"/>
      <c r="H56" s="2522" t="e">
        <f>F56</f>
        <v>#REF!</v>
      </c>
      <c r="K56"/>
      <c r="L56" s="91"/>
      <c r="M56" s="140"/>
    </row>
    <row r="57" spans="4:17">
      <c r="D57" s="20" t="s">
        <v>3051</v>
      </c>
      <c r="F57" s="29" t="e">
        <f>'Data Entry - SOF'!#REF!</f>
        <v>#REF!</v>
      </c>
      <c r="G57" s="29"/>
      <c r="H57" s="2522" t="e">
        <f>F57</f>
        <v>#REF!</v>
      </c>
      <c r="K57"/>
      <c r="L57" s="91"/>
      <c r="M57" s="140"/>
      <c r="O57"/>
      <c r="Q57" s="37"/>
    </row>
    <row r="58" spans="4:17">
      <c r="D58" s="20" t="s">
        <v>8723</v>
      </c>
      <c r="F58" s="29">
        <v>0</v>
      </c>
      <c r="G58" s="29"/>
      <c r="H58" s="2522">
        <f t="shared" ref="H58:H67" si="0">F58</f>
        <v>0</v>
      </c>
      <c r="K58"/>
      <c r="L58" s="91"/>
      <c r="M58" s="140"/>
      <c r="O58"/>
      <c r="Q58" s="37"/>
    </row>
    <row r="59" spans="4:17">
      <c r="D59" s="20" t="s">
        <v>3053</v>
      </c>
      <c r="F59" s="29" t="e">
        <f>'Data Entry - SOF'!#REF!</f>
        <v>#REF!</v>
      </c>
      <c r="G59" s="29"/>
      <c r="H59" s="2522" t="e">
        <f t="shared" si="0"/>
        <v>#REF!</v>
      </c>
      <c r="K59"/>
      <c r="L59" s="91"/>
      <c r="M59" s="140"/>
      <c r="O59"/>
      <c r="Q59" s="37"/>
    </row>
    <row r="60" spans="4:17">
      <c r="D60" s="20" t="s">
        <v>3054</v>
      </c>
      <c r="F60" s="29" t="e">
        <f>'Data Entry - SOF'!#REF!</f>
        <v>#REF!</v>
      </c>
      <c r="G60" s="29"/>
      <c r="H60" s="2522" t="e">
        <f t="shared" si="0"/>
        <v>#REF!</v>
      </c>
      <c r="K60"/>
      <c r="L60" s="91"/>
      <c r="M60" s="140"/>
      <c r="O60"/>
      <c r="Q60" s="37"/>
    </row>
    <row r="61" spans="4:17">
      <c r="D61" s="20" t="s">
        <v>3055</v>
      </c>
      <c r="F61" s="29">
        <v>0</v>
      </c>
      <c r="G61" s="29"/>
      <c r="H61" s="2522">
        <f t="shared" si="0"/>
        <v>0</v>
      </c>
      <c r="K61"/>
      <c r="L61" s="91"/>
      <c r="M61" s="140"/>
      <c r="O61"/>
      <c r="Q61" s="37"/>
    </row>
    <row r="62" spans="4:17">
      <c r="D62" s="20" t="s">
        <v>3056</v>
      </c>
      <c r="F62" s="29" t="e">
        <f>'Data Entry - SOF'!#REF!</f>
        <v>#REF!</v>
      </c>
      <c r="G62" s="29"/>
      <c r="H62" s="2522" t="e">
        <f t="shared" si="0"/>
        <v>#REF!</v>
      </c>
      <c r="K62"/>
      <c r="L62" s="91"/>
      <c r="M62" s="140"/>
      <c r="O62"/>
      <c r="Q62" s="37"/>
    </row>
    <row r="63" spans="4:17">
      <c r="D63" s="20" t="s">
        <v>6655</v>
      </c>
      <c r="F63" s="29" t="e">
        <f>'Data Entry - SOF'!#REF!</f>
        <v>#REF!</v>
      </c>
      <c r="G63" s="29"/>
      <c r="H63" s="2522" t="e">
        <f t="shared" si="0"/>
        <v>#REF!</v>
      </c>
      <c r="K63"/>
      <c r="L63" s="91"/>
      <c r="M63" s="140"/>
      <c r="O63"/>
      <c r="Q63" s="37"/>
    </row>
    <row r="64" spans="4:17">
      <c r="D64" s="20" t="s">
        <v>2436</v>
      </c>
      <c r="F64" s="29" t="e">
        <f>(500*'Data Entry - SOF'!#REF!)+(250*'Data Entry - SOF'!#REF!)</f>
        <v>#REF!</v>
      </c>
      <c r="G64" s="29"/>
      <c r="H64" s="2522" t="e">
        <f t="shared" si="0"/>
        <v>#REF!</v>
      </c>
      <c r="K64"/>
      <c r="L64" s="91"/>
      <c r="M64" s="140"/>
      <c r="O64"/>
      <c r="Q64" s="37"/>
    </row>
    <row r="65" spans="1:17">
      <c r="D65" s="20" t="s">
        <v>734</v>
      </c>
      <c r="F65" s="285" t="e">
        <f>(('Data Entry - SOF'!#REF!/'Data Entry - SOF'!E167)*'Data Entry - SOF'!#REF!)*-1</f>
        <v>#REF!</v>
      </c>
      <c r="G65" s="29"/>
      <c r="H65" s="2522" t="e">
        <f t="shared" si="0"/>
        <v>#REF!</v>
      </c>
      <c r="K65"/>
      <c r="L65" s="91"/>
      <c r="M65" s="140"/>
      <c r="O65"/>
      <c r="Q65" s="37"/>
    </row>
    <row r="66" spans="1:17">
      <c r="D66" s="20" t="s">
        <v>735</v>
      </c>
      <c r="F66" s="285" t="e">
        <f>(('Data Entry - SOF'!#REF!/'Data Entry - SOF'!E167)*'Data Entry - SOF'!#REF!)*-1</f>
        <v>#REF!</v>
      </c>
      <c r="G66" s="29"/>
      <c r="H66" s="2522" t="e">
        <f t="shared" si="0"/>
        <v>#REF!</v>
      </c>
      <c r="K66"/>
      <c r="L66" s="91"/>
      <c r="M66" s="140"/>
      <c r="O66"/>
      <c r="Q66" s="37"/>
    </row>
    <row r="67" spans="1:17">
      <c r="D67" s="20" t="s">
        <v>2985</v>
      </c>
      <c r="F67" s="502" t="e">
        <f>'Data Entry - SOF'!#REF!</f>
        <v>#REF!</v>
      </c>
      <c r="G67" s="29"/>
      <c r="H67" s="2523" t="e">
        <f t="shared" si="0"/>
        <v>#REF!</v>
      </c>
      <c r="K67"/>
      <c r="L67" s="91"/>
      <c r="M67" s="140"/>
      <c r="O67"/>
      <c r="Q67" s="37"/>
    </row>
    <row r="68" spans="1:17">
      <c r="D68" s="286" t="s">
        <v>172</v>
      </c>
      <c r="F68" s="29" t="e">
        <f>SUM(F56:F67)</f>
        <v>#REF!</v>
      </c>
      <c r="G68" s="29"/>
      <c r="H68" s="2522" t="e">
        <f>SUM(H56:H67)</f>
        <v>#REF!</v>
      </c>
      <c r="K68"/>
      <c r="L68" s="91"/>
      <c r="M68" s="140"/>
      <c r="O68"/>
      <c r="Q68" s="37"/>
    </row>
    <row r="69" spans="1:17">
      <c r="D69" s="286"/>
      <c r="F69" s="35"/>
      <c r="G69" s="29"/>
      <c r="H69" s="2522"/>
      <c r="K69"/>
      <c r="L69" s="91"/>
      <c r="M69" s="140"/>
      <c r="O69"/>
      <c r="Q69" s="37"/>
    </row>
    <row r="70" spans="1:17">
      <c r="D70" s="20" t="s">
        <v>2396</v>
      </c>
      <c r="F70" s="29">
        <f>F75*-1</f>
        <v>0</v>
      </c>
      <c r="G70" s="29"/>
      <c r="H70" s="2522">
        <f>H75*-1</f>
        <v>0</v>
      </c>
      <c r="K70"/>
      <c r="L70" s="91"/>
      <c r="M70" s="140"/>
      <c r="O70"/>
      <c r="Q70" s="37"/>
    </row>
    <row r="71" spans="1:17" ht="13.5" thickBot="1">
      <c r="D71" s="20"/>
      <c r="G71" s="29"/>
      <c r="H71" s="2522"/>
      <c r="K71"/>
      <c r="L71" s="91"/>
      <c r="M71" s="140"/>
      <c r="O71"/>
      <c r="Q71" s="37"/>
    </row>
    <row r="72" spans="1:17" ht="13.5" thickTop="1">
      <c r="A72" s="288"/>
      <c r="B72" s="289"/>
      <c r="C72" s="289"/>
      <c r="D72" s="290"/>
      <c r="E72" s="289"/>
      <c r="F72" s="320"/>
      <c r="G72" s="29"/>
      <c r="H72" s="2529"/>
      <c r="K72"/>
      <c r="L72" s="91"/>
      <c r="M72" s="140"/>
      <c r="O72"/>
      <c r="Q72" s="37"/>
    </row>
    <row r="73" spans="1:17">
      <c r="A73" s="291"/>
      <c r="B73" s="24" t="s">
        <v>174</v>
      </c>
      <c r="D73" s="286"/>
      <c r="F73" s="321"/>
      <c r="G73" s="29"/>
      <c r="H73" s="2529"/>
      <c r="K73"/>
      <c r="L73" s="91"/>
      <c r="M73" s="140"/>
      <c r="O73"/>
      <c r="Q73" s="37"/>
    </row>
    <row r="74" spans="1:17">
      <c r="A74" s="291"/>
      <c r="B74" s="24" t="s">
        <v>1491</v>
      </c>
      <c r="D74" s="71" t="s">
        <v>737</v>
      </c>
      <c r="E74" s="71"/>
      <c r="F74" s="136" t="e">
        <f>F48+F53+F68+F70</f>
        <v>#REF!</v>
      </c>
      <c r="G74" s="29"/>
      <c r="H74" s="2524" t="e">
        <f>H48+H53+H68+H70</f>
        <v>#REF!</v>
      </c>
      <c r="K74"/>
      <c r="L74" s="91"/>
      <c r="M74" s="140"/>
      <c r="O74"/>
      <c r="Q74" s="37"/>
    </row>
    <row r="75" spans="1:17">
      <c r="A75" s="291"/>
      <c r="B75" s="24" t="s">
        <v>1489</v>
      </c>
      <c r="D75" s="71" t="s">
        <v>2609</v>
      </c>
      <c r="E75" s="71"/>
      <c r="F75" s="136">
        <f>'Data Entry - SOF'!E167*Assumptions!G105</f>
        <v>0</v>
      </c>
      <c r="G75" s="29"/>
      <c r="H75" s="2524">
        <f>F75</f>
        <v>0</v>
      </c>
      <c r="K75"/>
      <c r="L75" s="91"/>
      <c r="M75" s="140"/>
      <c r="O75"/>
      <c r="Q75" s="37"/>
    </row>
    <row r="76" spans="1:17" ht="15.75">
      <c r="A76" s="291"/>
      <c r="B76" s="24" t="s">
        <v>1490</v>
      </c>
      <c r="D76" s="318" t="s">
        <v>757</v>
      </c>
      <c r="E76" s="73"/>
      <c r="F76" s="323">
        <v>0</v>
      </c>
      <c r="G76" s="29"/>
      <c r="H76" s="2525">
        <v>0</v>
      </c>
      <c r="K76"/>
      <c r="L76" s="91"/>
      <c r="M76" s="140"/>
      <c r="O76" s="91">
        <f>'Calc Data'!C6*Assumptions!G114</f>
        <v>0</v>
      </c>
      <c r="Q76" s="37"/>
    </row>
    <row r="77" spans="1:17">
      <c r="A77" s="291"/>
      <c r="B77" s="24" t="s">
        <v>740</v>
      </c>
      <c r="D77" s="71" t="s">
        <v>738</v>
      </c>
      <c r="E77" s="71"/>
      <c r="F77" s="136" t="e">
        <f>'Existing Debt-OldLaw'!#REF!</f>
        <v>#REF!</v>
      </c>
      <c r="G77" s="29"/>
      <c r="H77" s="2524" t="e">
        <f>'Existing Debt-OldLaw'!#REF!</f>
        <v>#REF!</v>
      </c>
      <c r="K77"/>
      <c r="L77" s="91"/>
      <c r="M77" s="140"/>
    </row>
    <row r="78" spans="1:17" ht="13.5" thickBot="1">
      <c r="A78" s="291"/>
      <c r="B78" s="24" t="s">
        <v>1095</v>
      </c>
      <c r="D78" s="71" t="s">
        <v>739</v>
      </c>
      <c r="E78" s="71"/>
      <c r="F78" s="316" t="e">
        <f>'IFA-OldLaw'!#REF!+'IFA-OldLaw'!#REF!</f>
        <v>#REF!</v>
      </c>
      <c r="G78" s="29"/>
      <c r="H78" s="2526" t="e">
        <f>'IFA-OldLaw'!#REF!+'IFA-OldLaw'!#REF!</f>
        <v>#REF!</v>
      </c>
      <c r="K78"/>
      <c r="L78" s="91"/>
      <c r="M78" s="140"/>
    </row>
    <row r="79" spans="1:17">
      <c r="A79" s="291"/>
      <c r="F79" s="321"/>
      <c r="G79" s="29"/>
      <c r="H79" s="2527"/>
      <c r="K79"/>
      <c r="L79" s="125"/>
      <c r="M79" s="767"/>
    </row>
    <row r="80" spans="1:17" ht="12.75" customHeight="1" thickBot="1">
      <c r="A80" s="291"/>
      <c r="D80" s="71" t="s">
        <v>1019</v>
      </c>
      <c r="F80" s="317" t="e">
        <f>SUM(F74:F78)</f>
        <v>#REF!</v>
      </c>
      <c r="G80" s="29"/>
      <c r="H80" s="2528" t="e">
        <f>SUM(H74:H78)</f>
        <v>#REF!</v>
      </c>
      <c r="K80"/>
      <c r="L80" s="125"/>
      <c r="M80" s="767"/>
    </row>
    <row r="81" spans="1:16" ht="14.25" thickTop="1" thickBot="1">
      <c r="A81" s="291"/>
      <c r="D81" s="20" t="s">
        <v>472</v>
      </c>
      <c r="G81" s="29"/>
      <c r="H81" s="2528" t="e">
        <f>SUM(H74:H78)</f>
        <v>#REF!</v>
      </c>
      <c r="K81"/>
      <c r="L81" s="125"/>
      <c r="M81" s="767"/>
    </row>
    <row r="82" spans="1:16" ht="14.25" thickTop="1" thickBot="1">
      <c r="A82" s="292"/>
      <c r="B82" s="293"/>
      <c r="C82" s="293"/>
      <c r="D82" s="294"/>
      <c r="E82" s="293"/>
      <c r="F82" s="330"/>
      <c r="G82" s="16"/>
      <c r="H82" s="2523"/>
      <c r="K82"/>
    </row>
    <row r="83" spans="1:16" ht="13.5" thickTop="1">
      <c r="B83" s="20"/>
      <c r="G83" s="29"/>
      <c r="H83" s="2530"/>
      <c r="K83"/>
      <c r="N83" s="91"/>
      <c r="O83" s="221"/>
      <c r="P83" s="5"/>
    </row>
    <row r="84" spans="1:16">
      <c r="H84" s="2531"/>
      <c r="K84"/>
      <c r="N84" s="5"/>
    </row>
    <row r="85" spans="1:16" ht="13.5" thickBot="1">
      <c r="H85" s="2529"/>
      <c r="K85"/>
    </row>
    <row r="86" spans="1:16" ht="13.5" thickTop="1">
      <c r="A86" s="297" t="s">
        <v>2457</v>
      </c>
      <c r="B86" s="66"/>
      <c r="C86" s="66"/>
      <c r="D86" s="66"/>
      <c r="E86" s="66"/>
      <c r="F86" s="130"/>
      <c r="H86" s="2529"/>
      <c r="K86"/>
    </row>
    <row r="87" spans="1:16">
      <c r="A87" s="133"/>
      <c r="F87" s="131"/>
      <c r="H87" s="2529"/>
      <c r="K87"/>
    </row>
    <row r="88" spans="1:16">
      <c r="A88" s="132" t="s">
        <v>2162</v>
      </c>
      <c r="F88" s="277" t="e">
        <f>IF(F74&lt;0,F75,F74+F75)</f>
        <v>#REF!</v>
      </c>
      <c r="H88" s="2532" t="e">
        <f>IF(H74&lt;0,H75,H74+H75)</f>
        <v>#REF!</v>
      </c>
      <c r="K88"/>
    </row>
    <row r="89" spans="1:16">
      <c r="A89" s="156" t="s">
        <v>1696</v>
      </c>
      <c r="F89" s="278" t="e">
        <f>'Calc Data'!D30-ASATR!G24</f>
        <v>#REF!</v>
      </c>
      <c r="H89" s="2533" t="e">
        <f>'Calc Data'!#REF!-ASATR!G39</f>
        <v>#REF!</v>
      </c>
      <c r="K89"/>
      <c r="N89" s="91"/>
    </row>
    <row r="90" spans="1:16">
      <c r="A90" s="156" t="s">
        <v>941</v>
      </c>
      <c r="F90" s="278" t="e">
        <f>'Calc Data'!D34</f>
        <v>#REF!</v>
      </c>
      <c r="H90" s="2533" t="e">
        <f>'Calc Data'!#REF!</f>
        <v>#REF!</v>
      </c>
      <c r="K90"/>
      <c r="N90" s="91"/>
    </row>
    <row r="91" spans="1:16">
      <c r="A91" s="156" t="s">
        <v>942</v>
      </c>
      <c r="F91" s="287" t="e">
        <f>'Calc Data'!D37-IF('Option Costs'!O57="N",MAX('Option Costs'!O54,'Option Costs'!Q54),MIN('Option Costs'!O54,'Option Costs'!Q54))</f>
        <v>#REF!</v>
      </c>
      <c r="H91" s="2534" t="e">
        <f>'Calc Data'!#REF!-IF('Option Costs'!O57="N",MAX('Option Costs'!O85,'Option Costs'!Q85),MIN('Option Costs'!O85,'Option Costs'!Q85))</f>
        <v>#REF!</v>
      </c>
      <c r="K91"/>
    </row>
    <row r="92" spans="1:16">
      <c r="A92" s="156" t="s">
        <v>3157</v>
      </c>
      <c r="F92" s="322" t="e">
        <f>SUM(F88:F91)</f>
        <v>#REF!</v>
      </c>
      <c r="H92" s="2535" t="e">
        <f>SUM(H88:H91)</f>
        <v>#REF!</v>
      </c>
      <c r="K92"/>
    </row>
    <row r="93" spans="1:16">
      <c r="A93" s="132" t="s">
        <v>1695</v>
      </c>
      <c r="F93" s="287" t="e">
        <f>IF(F74&gt;0,0,F74)</f>
        <v>#REF!</v>
      </c>
      <c r="H93" s="2534" t="e">
        <f>IF(H74&gt;0,0,H74)</f>
        <v>#REF!</v>
      </c>
      <c r="K93"/>
    </row>
    <row r="94" spans="1:16">
      <c r="A94" s="222" t="s">
        <v>3158</v>
      </c>
      <c r="F94" s="322" t="e">
        <f>F92+F93</f>
        <v>#REF!</v>
      </c>
      <c r="H94" s="2535" t="e">
        <f>H92+H93</f>
        <v>#REF!</v>
      </c>
      <c r="K94"/>
    </row>
    <row r="95" spans="1:16" ht="13.5" thickBot="1">
      <c r="A95" s="134"/>
      <c r="B95" s="38"/>
      <c r="C95" s="38"/>
      <c r="D95" s="38"/>
      <c r="E95" s="38"/>
      <c r="F95" s="135"/>
      <c r="H95" s="2557"/>
      <c r="I95"/>
      <c r="K95"/>
    </row>
    <row r="96" spans="1:16" ht="13.5" hidden="1" thickTop="1">
      <c r="D96" s="35" t="s">
        <v>1231</v>
      </c>
      <c r="E96" s="35"/>
      <c r="F96" s="35"/>
      <c r="H96" s="2536" t="e">
        <f>H93+H94</f>
        <v>#REF!</v>
      </c>
    </row>
    <row r="97" spans="1:11" hidden="1">
      <c r="D97" s="35" t="s">
        <v>470</v>
      </c>
      <c r="E97" s="35"/>
      <c r="F97" s="35"/>
    </row>
    <row r="98" spans="1:11" hidden="1">
      <c r="D98" s="35" t="s">
        <v>471</v>
      </c>
    </row>
    <row r="99" spans="1:11" hidden="1">
      <c r="D99" s="35" t="s">
        <v>1012</v>
      </c>
    </row>
    <row r="100" spans="1:11" hidden="1">
      <c r="D100" s="35" t="s">
        <v>647</v>
      </c>
    </row>
    <row r="101" spans="1:11" hidden="1">
      <c r="D101" s="35" t="s">
        <v>648</v>
      </c>
    </row>
    <row r="102" spans="1:11" hidden="1">
      <c r="D102" s="35"/>
    </row>
    <row r="103" spans="1:11" hidden="1"/>
    <row r="104" spans="1:11" hidden="1"/>
    <row r="105" spans="1:11" hidden="1"/>
    <row r="106" spans="1:11" hidden="1">
      <c r="A106" s="20" t="s">
        <v>1667</v>
      </c>
      <c r="G106" s="16"/>
    </row>
    <row r="107" spans="1:11" hidden="1">
      <c r="G107" s="16"/>
    </row>
    <row r="108" spans="1:11" hidden="1">
      <c r="A108" s="20" t="s">
        <v>1492</v>
      </c>
      <c r="G108" s="16"/>
      <c r="H108" s="16"/>
      <c r="J108" s="16"/>
      <c r="K108" s="2420"/>
    </row>
    <row r="109" spans="1:11" hidden="1">
      <c r="A109" s="20" t="s">
        <v>1493</v>
      </c>
      <c r="H109" s="16"/>
      <c r="J109" s="16"/>
      <c r="K109" s="2420"/>
    </row>
    <row r="110" spans="1:11" hidden="1">
      <c r="A110" s="20" t="s">
        <v>518</v>
      </c>
      <c r="H110" s="16"/>
      <c r="J110" s="16"/>
      <c r="K110" s="2420"/>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0" hidden="1"/>
    <row r="130" spans="5:10" hidden="1"/>
    <row r="131" spans="5:10" ht="13.5" thickTop="1">
      <c r="E131" t="s">
        <v>2767</v>
      </c>
      <c r="F131" s="5" t="e">
        <f>SUM(F21:F27)</f>
        <v>#REF!</v>
      </c>
      <c r="H131" s="5" t="e">
        <f>SUM(H21:H27)</f>
        <v>#REF!</v>
      </c>
    </row>
    <row r="132" spans="5:10">
      <c r="E132" t="s">
        <v>2768</v>
      </c>
      <c r="F132" s="5" t="e">
        <f>F28+F29</f>
        <v>#REF!</v>
      </c>
      <c r="H132" s="5" t="e">
        <f>H28+H29</f>
        <v>#REF!</v>
      </c>
    </row>
    <row r="133" spans="5:10">
      <c r="E133" t="s">
        <v>2769</v>
      </c>
      <c r="F133" s="5" t="e">
        <f>F32+F33</f>
        <v>#REF!</v>
      </c>
      <c r="H133" s="5" t="e">
        <f>H32+H33</f>
        <v>#REF!</v>
      </c>
      <c r="J133" s="5"/>
    </row>
    <row r="134" spans="5:10">
      <c r="E134" t="s">
        <v>2770</v>
      </c>
      <c r="F134" s="5" t="e">
        <f>F34+F35</f>
        <v>#REF!</v>
      </c>
      <c r="H134" s="5" t="e">
        <f>H34+H35</f>
        <v>#REF!</v>
      </c>
      <c r="J134" s="5"/>
    </row>
    <row r="135" spans="5:10">
      <c r="E135" t="s">
        <v>2849</v>
      </c>
      <c r="F135" s="91" t="e">
        <f>Assumptions!G101*'Calc Data'!D25*'Calc Data'!D35*100</f>
        <v>#REF!</v>
      </c>
      <c r="H135" s="91" t="e">
        <f>Assumptions!G101*'Calc Data'!D25*'Calc Data'!D35*100</f>
        <v>#REF!</v>
      </c>
      <c r="J135" s="5"/>
    </row>
    <row r="136" spans="5:10">
      <c r="E136" t="s">
        <v>2851</v>
      </c>
      <c r="F136" s="91" t="e">
        <f>Assumptions!G102*'Calc Data'!D25*'Calc Data'!D38*100</f>
        <v>#REF!</v>
      </c>
      <c r="H136" s="91" t="e">
        <f>Assumptions!G102*'Calc Data'!D25*'Calc Data'!#REF!*100</f>
        <v>#REF!</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K52" sqref="K52"/>
    </sheetView>
  </sheetViews>
  <sheetFormatPr defaultRowHeight="12.75"/>
  <cols>
    <col min="1" max="1" width="10.5703125" bestFit="1" customWidth="1"/>
    <col min="3" max="3" width="13.5703125" customWidth="1"/>
    <col min="4" max="4" width="44.5703125" customWidth="1"/>
    <col min="5" max="6" width="19.140625" customWidth="1"/>
    <col min="7" max="7" width="3.5703125" customWidth="1"/>
    <col min="8" max="8" width="15.42578125" customWidth="1"/>
    <col min="9" max="11" width="28.42578125" customWidth="1"/>
    <col min="12" max="12" width="13.5703125" customWidth="1"/>
    <col min="13" max="13" width="13.5703125" style="119" customWidth="1"/>
    <col min="14" max="14" width="13.5703125" customWidth="1"/>
    <col min="15" max="15" width="13.5703125" style="37" customWidth="1"/>
    <col min="16" max="16" width="13.5703125" customWidth="1"/>
    <col min="38" max="38" width="15.5703125" customWidth="1"/>
    <col min="39" max="39" width="16" customWidth="1"/>
  </cols>
  <sheetData>
    <row r="1" spans="1:11" hidden="1">
      <c r="A1" s="20" t="s">
        <v>66</v>
      </c>
      <c r="C1" s="264">
        <f>'Data Entry - SOF'!B1</f>
        <v>0</v>
      </c>
      <c r="E1" s="362"/>
      <c r="F1" s="304" t="e">
        <f>#REF!</f>
        <v>#REF!</v>
      </c>
      <c r="G1" s="59"/>
      <c r="J1" s="59"/>
      <c r="K1" s="59"/>
    </row>
    <row r="2" spans="1:11" hidden="1">
      <c r="A2" s="20" t="s">
        <v>67</v>
      </c>
      <c r="C2" s="12">
        <f>'Data Entry - SOF'!B2</f>
        <v>0</v>
      </c>
      <c r="F2" s="59" t="e">
        <f>#REF!</f>
        <v>#REF!</v>
      </c>
      <c r="G2" s="59"/>
      <c r="J2" s="59"/>
      <c r="K2" s="59"/>
    </row>
    <row r="3" spans="1:11" hidden="1">
      <c r="A3" s="20" t="s">
        <v>143</v>
      </c>
      <c r="C3" s="62">
        <f ca="1">'Data Entry - SOF'!B3</f>
        <v>43726.623322453706</v>
      </c>
      <c r="F3" s="58" t="e">
        <f>#REF!</f>
        <v>#REF!</v>
      </c>
    </row>
    <row r="4" spans="1:11" hidden="1">
      <c r="D4" s="295" t="s">
        <v>3183</v>
      </c>
    </row>
    <row r="5" spans="1:11" hidden="1">
      <c r="D5" s="296" t="s">
        <v>3938</v>
      </c>
    </row>
    <row r="6" spans="1:11" hidden="1"/>
    <row r="7" spans="1:11" hidden="1">
      <c r="D7" s="20" t="s">
        <v>1393</v>
      </c>
    </row>
    <row r="8" spans="1:11" hidden="1">
      <c r="B8" s="4"/>
      <c r="D8" s="20" t="s">
        <v>832</v>
      </c>
      <c r="F8" s="19">
        <f>'Calc Data'!G7</f>
        <v>0</v>
      </c>
      <c r="G8" s="18"/>
      <c r="J8" s="18"/>
      <c r="K8" s="18"/>
    </row>
    <row r="9" spans="1:11" hidden="1">
      <c r="D9" s="20" t="s">
        <v>1394</v>
      </c>
      <c r="F9" s="19">
        <f>'Calc Data'!G8</f>
        <v>0</v>
      </c>
      <c r="G9" s="18"/>
      <c r="J9" s="18"/>
      <c r="K9" s="18"/>
    </row>
    <row r="10" spans="1:11" hidden="1">
      <c r="D10" s="20" t="s">
        <v>426</v>
      </c>
      <c r="F10" s="19">
        <f>'Data Entry - SOF'!M35</f>
        <v>0</v>
      </c>
      <c r="G10" s="18"/>
      <c r="J10" s="18"/>
      <c r="K10" s="18"/>
    </row>
    <row r="11" spans="1:11" hidden="1">
      <c r="B11" s="20"/>
      <c r="D11" s="20" t="s">
        <v>427</v>
      </c>
      <c r="F11" s="19">
        <f>'Calc Data'!G10</f>
        <v>0</v>
      </c>
      <c r="G11" s="18"/>
      <c r="J11" s="18"/>
      <c r="K11" s="18"/>
    </row>
    <row r="12" spans="1:11" hidden="1">
      <c r="D12" s="20" t="s">
        <v>428</v>
      </c>
      <c r="F12" s="16">
        <f>'Data Entry - SOF'!M73</f>
        <v>0</v>
      </c>
      <c r="G12" s="16"/>
      <c r="J12" s="16"/>
      <c r="K12" s="16"/>
    </row>
    <row r="13" spans="1:11" hidden="1">
      <c r="D13" s="20" t="s">
        <v>429</v>
      </c>
      <c r="F13" s="16" t="e">
        <f>'Data Entry - SOF'!#REF!</f>
        <v>#REF!</v>
      </c>
      <c r="G13" s="16"/>
      <c r="J13" s="16"/>
      <c r="K13" s="16"/>
    </row>
    <row r="14" spans="1:11" hidden="1">
      <c r="D14" s="20" t="s">
        <v>1811</v>
      </c>
      <c r="F14" s="19">
        <f>'Data Entry - SOF'!M159</f>
        <v>0</v>
      </c>
      <c r="G14" s="16"/>
      <c r="J14" s="16"/>
      <c r="K14" s="16"/>
    </row>
    <row r="15" spans="1:11" hidden="1">
      <c r="D15" s="20" t="s">
        <v>1155</v>
      </c>
      <c r="F15" s="19">
        <f>'Calc Data'!G59</f>
        <v>0</v>
      </c>
      <c r="G15" s="17"/>
      <c r="J15" s="17"/>
      <c r="K15" s="17"/>
    </row>
    <row r="16" spans="1:11" hidden="1">
      <c r="D16" s="20" t="s">
        <v>1956</v>
      </c>
      <c r="F16" s="16">
        <f>'Data Entry - SOF'!M93</f>
        <v>0</v>
      </c>
      <c r="G16" s="16"/>
      <c r="J16" s="16"/>
      <c r="K16" s="16"/>
    </row>
    <row r="17" spans="2:38" ht="13.5" hidden="1" thickBot="1">
      <c r="D17" s="27"/>
      <c r="E17" s="10"/>
      <c r="F17" s="10"/>
      <c r="G17" s="16"/>
      <c r="J17" s="16"/>
      <c r="K17" s="16"/>
    </row>
    <row r="18" spans="2:38">
      <c r="D18" s="20"/>
      <c r="G18" s="16"/>
      <c r="H18" s="2558" t="s">
        <v>3853</v>
      </c>
      <c r="I18" s="2500"/>
      <c r="J18" s="2968" t="s">
        <v>6968</v>
      </c>
      <c r="K18" s="2501" t="s">
        <v>6967</v>
      </c>
    </row>
    <row r="19" spans="2:38" ht="15.75">
      <c r="B19" s="24" t="s">
        <v>430</v>
      </c>
      <c r="D19" s="20"/>
      <c r="F19" s="324"/>
      <c r="G19" s="20"/>
      <c r="H19" s="2564" t="s">
        <v>3840</v>
      </c>
      <c r="I19" s="2504"/>
      <c r="J19" s="2969" t="s">
        <v>8554</v>
      </c>
      <c r="K19" s="2505" t="s">
        <v>8553</v>
      </c>
    </row>
    <row r="20" spans="2:38" ht="15.75">
      <c r="B20" s="24">
        <v>11</v>
      </c>
      <c r="D20" s="100" t="s">
        <v>3140</v>
      </c>
      <c r="F20" s="311">
        <f>ROUND(ROUND('Calc Data'!G23,0)*IF('Calc Data'!G11&gt;'Calc Data'!G10,'Calc Data'!G11,'Calc Data'!G10),0)</f>
        <v>0</v>
      </c>
      <c r="G20" s="16"/>
      <c r="H20" s="2559">
        <f>ROUND(ROUND('Calc Data'!AO23,0)*IF('Calc Data'!G11&gt;'Calc Data'!G10,'Calc Data'!G11,'Calc Data'!G10),0)</f>
        <v>0</v>
      </c>
      <c r="I20" s="1377"/>
      <c r="J20" s="2537">
        <f>ROUND(ROUND('Calc Data'!AO78,0)*IF('Calc Data'!G11&gt;'Calc Data'!G10,'Calc Data'!G11,'Calc Data'!G10),0)</f>
        <v>0</v>
      </c>
      <c r="K20" s="2574"/>
      <c r="AL20" s="16" t="e">
        <f>ROUND(ROUND('Calc Data'!AC23,0)*IF('Calc Data'!#REF!&gt;'Calc Data'!#REF!,'Calc Data'!#REF!,'Calc Data'!#REF!),0)</f>
        <v>#REF!</v>
      </c>
    </row>
    <row r="21" spans="2:38">
      <c r="B21" s="24">
        <v>23</v>
      </c>
      <c r="D21" s="20" t="s">
        <v>89</v>
      </c>
      <c r="F21" s="16">
        <f>ROUND('Calc Data'!G9*ROUND('Calc Data'!G23,0),0)</f>
        <v>0</v>
      </c>
      <c r="G21" s="16"/>
      <c r="H21" s="2538">
        <f>ROUND('Calc Data'!G9*ROUND('Calc Data'!AO23,0),0)</f>
        <v>0</v>
      </c>
      <c r="I21" s="1377"/>
      <c r="J21" s="2941">
        <f>ROUND('Calc Data'!G9*ROUND('Calc Data'!AO78,0),0)</f>
        <v>0</v>
      </c>
      <c r="K21" s="2507"/>
      <c r="AL21" s="16" t="e">
        <f>ROUND('Calc Data'!#REF!*ROUND('Calc Data'!AC23,0),0)</f>
        <v>#REF!</v>
      </c>
    </row>
    <row r="22" spans="2:38">
      <c r="B22" s="24"/>
      <c r="D22" s="20" t="s">
        <v>90</v>
      </c>
      <c r="F22" s="35"/>
      <c r="H22" s="2539"/>
      <c r="I22" s="1377"/>
      <c r="J22" s="2942"/>
      <c r="K22" s="2507"/>
    </row>
    <row r="23" spans="2:38">
      <c r="B23" s="24">
        <v>23</v>
      </c>
      <c r="D23" s="20" t="s">
        <v>91</v>
      </c>
      <c r="F23" s="26">
        <f>ROUND('Data Entry - SOF'!M34*Weights!L21*ROUND('Calc Data'!G23,0),0)</f>
        <v>0</v>
      </c>
      <c r="G23" s="26"/>
      <c r="H23" s="2540">
        <f>ROUND('Data Entry - SOF'!M34*Weights!L21*ROUND('Calc Data'!AO23,0),0)</f>
        <v>0</v>
      </c>
      <c r="I23" s="1377"/>
      <c r="J23" s="2943">
        <f>ROUND('Data Entry - SOF'!M34*Weights!L21*ROUND('Calc Data'!AO78,0),0)</f>
        <v>0</v>
      </c>
      <c r="K23" s="2507"/>
      <c r="AL23" s="26" t="e">
        <f>ROUND('Data Entry - SOF'!#REF!*1.1*ROUND('Calc Data'!AC23,0),0)</f>
        <v>#REF!</v>
      </c>
    </row>
    <row r="24" spans="2:38">
      <c r="B24" s="24">
        <v>23</v>
      </c>
      <c r="D24" s="20" t="s">
        <v>92</v>
      </c>
      <c r="F24" s="16">
        <f>ROUND((+'Data Entry - SOF'!M32*Weights!L19)*ROUND('Calc Data'!G23,0),0)</f>
        <v>0</v>
      </c>
      <c r="G24" s="16"/>
      <c r="H24" s="2538">
        <f>ROUND((+'Data Entry - SOF'!M32*Weights!L19)*ROUND('Calc Data'!AO23,0),0)</f>
        <v>0</v>
      </c>
      <c r="I24" s="1377"/>
      <c r="J24" s="2941">
        <f>ROUND((+'Data Entry - SOF'!M32*Weights!L19)*ROUND('Calc Data'!AO78,0),0)</f>
        <v>0</v>
      </c>
      <c r="K24" s="2507"/>
      <c r="AL24" s="16" t="e">
        <f>ROUND((+'Data Entry - SOF'!#REF!*4)*ROUND('Calc Data'!AC23,0),0)</f>
        <v>#REF!</v>
      </c>
    </row>
    <row r="25" spans="2:38">
      <c r="B25" s="24">
        <v>23</v>
      </c>
      <c r="D25" s="22" t="s">
        <v>812</v>
      </c>
      <c r="F25" s="16">
        <f>ROUND((+'Data Entry - SOF'!M30*Weights!L17)*ROUND('Calc Data'!G23,0),0)</f>
        <v>0</v>
      </c>
      <c r="G25" s="16"/>
      <c r="H25" s="2538">
        <f>ROUND((+'Data Entry - SOF'!M30*Weights!L17)*ROUND('Calc Data'!AO23,0),0)</f>
        <v>0</v>
      </c>
      <c r="I25" s="1377"/>
      <c r="J25" s="2941">
        <f>ROUND((+'Data Entry - SOF'!M30*Weights!L17)*ROUND('Calc Data'!AO78,0),0)</f>
        <v>0</v>
      </c>
      <c r="K25" s="2507"/>
      <c r="AL25" s="16" t="e">
        <f>ROUND((+'Data Entry - SOF'!#REF!*2.8)*ROUND('Calc Data'!AC23,0),0)</f>
        <v>#REF!</v>
      </c>
    </row>
    <row r="26" spans="2:38">
      <c r="B26" s="24">
        <v>23</v>
      </c>
      <c r="D26" s="22" t="s">
        <v>813</v>
      </c>
      <c r="F26" s="16">
        <f>ROUND(('Data Entry - SOF'!M31*Weights!L18)*ROUND('Calc Data'!G23,0),0)</f>
        <v>0</v>
      </c>
      <c r="G26" s="16"/>
      <c r="H26" s="2538">
        <f>ROUND(('Data Entry - SOF'!M31*Weights!L18)*ROUND('Calc Data'!AO23,0),0)</f>
        <v>0</v>
      </c>
      <c r="I26" s="1377"/>
      <c r="J26" s="2941">
        <f>ROUND(('Data Entry - SOF'!M31*Weights!L18)*ROUND('Calc Data'!AO78,0),0)</f>
        <v>0</v>
      </c>
      <c r="K26" s="2507"/>
      <c r="AL26" s="16" t="e">
        <f>ROUND(('Data Entry - SOF'!#REF!*1.7)*ROUND('Calc Data'!AC23,0),0)</f>
        <v>#REF!</v>
      </c>
    </row>
    <row r="27" spans="2:38">
      <c r="B27" s="24"/>
      <c r="D27" s="20" t="s">
        <v>1145</v>
      </c>
      <c r="F27" s="16">
        <f>IF('Data Entry - SOF'!M114&lt;0,'Data Entry - SOF'!M114,'Data Entry - SOF'!M114*-1)</f>
        <v>0</v>
      </c>
      <c r="G27" s="16"/>
      <c r="H27" s="2538">
        <f>IF('Data Entry - SOF'!M114&lt;0,'Data Entry - SOF'!M114,'Data Entry - SOF'!M114*-1)</f>
        <v>0</v>
      </c>
      <c r="I27" s="1377"/>
      <c r="J27" s="2944">
        <f>H27</f>
        <v>0</v>
      </c>
      <c r="K27" s="2507"/>
      <c r="AL27" s="16">
        <v>0</v>
      </c>
    </row>
    <row r="28" spans="2:38">
      <c r="B28" s="24">
        <v>22</v>
      </c>
      <c r="C28" s="14"/>
      <c r="D28" s="20" t="s">
        <v>102</v>
      </c>
      <c r="F28" s="16">
        <f>ROUND(ROUND('Calc Data'!G23,0)*'Data Entry - SOF'!M35*Weights!L23,0)</f>
        <v>0</v>
      </c>
      <c r="G28" s="16"/>
      <c r="H28" s="2538">
        <f>ROUND(ROUND('Calc Data'!AO23,0)*'Data Entry - SOF'!M35*Weights!L23,0)</f>
        <v>0</v>
      </c>
      <c r="I28" s="1377"/>
      <c r="J28" s="2941">
        <f>ROUND(ROUND('Calc Data'!AO78,0)*'Data Entry - SOF'!M35*Weights!L23,0)</f>
        <v>0</v>
      </c>
      <c r="K28" s="2507"/>
      <c r="AL28" s="16" t="e">
        <f>ROUND(ROUND('Calc Data'!AC23,0)*'Data Entry - SOF'!#REF!*1.35,0)</f>
        <v>#REF!</v>
      </c>
    </row>
    <row r="29" spans="2:38">
      <c r="B29" s="24"/>
      <c r="C29" s="14"/>
      <c r="D29" s="35" t="s">
        <v>644</v>
      </c>
      <c r="F29" s="16">
        <f>Weights!L24*'Data Entry - SOF'!M37</f>
        <v>0</v>
      </c>
      <c r="G29" s="16"/>
      <c r="H29" s="2538">
        <f>Weights!L24*'Data Entry - SOF'!M37</f>
        <v>0</v>
      </c>
      <c r="I29" s="1377"/>
      <c r="J29" s="2944">
        <f>H29</f>
        <v>0</v>
      </c>
      <c r="K29" s="2507"/>
      <c r="AL29" s="16"/>
    </row>
    <row r="30" spans="2:38" hidden="1">
      <c r="B30" s="24"/>
      <c r="C30" s="14"/>
      <c r="D30" s="35" t="s">
        <v>645</v>
      </c>
      <c r="F30" s="16" t="e">
        <f>400*'Data Entry - SOF'!M39</f>
        <v>#DIV/0!</v>
      </c>
      <c r="G30" s="16"/>
      <c r="H30" s="2538" t="e">
        <f>400*'Data Entry - SOF'!M39</f>
        <v>#DIV/0!</v>
      </c>
      <c r="I30" s="1377"/>
      <c r="J30" s="2945"/>
      <c r="K30" s="2507"/>
      <c r="AL30" s="16"/>
    </row>
    <row r="31" spans="2:38" hidden="1">
      <c r="B31" s="24"/>
      <c r="C31" s="14"/>
      <c r="D31" s="35" t="s">
        <v>646</v>
      </c>
      <c r="F31" s="16" t="e">
        <f>80*'Data Entry - SOF'!M40</f>
        <v>#DIV/0!</v>
      </c>
      <c r="G31" s="16"/>
      <c r="H31" s="2538" t="e">
        <f>80*'Data Entry - SOF'!M40</f>
        <v>#DIV/0!</v>
      </c>
      <c r="I31" s="1377"/>
      <c r="J31" s="2945"/>
      <c r="K31" s="2507"/>
      <c r="AL31" s="16"/>
    </row>
    <row r="32" spans="2:38">
      <c r="B32" s="24">
        <v>21</v>
      </c>
      <c r="D32" s="20" t="s">
        <v>2634</v>
      </c>
      <c r="F32" s="16">
        <f>ROUND(ROUND('Calc Data'!G23,0)*'Data Entry - SOF'!M211*Weights!L28,0)</f>
        <v>0</v>
      </c>
      <c r="G32" s="16"/>
      <c r="H32" s="2538">
        <f>ROUND(ROUND('Calc Data'!AO23,0)*'Data Entry - SOF'!M211*Weights!L28,0)</f>
        <v>0</v>
      </c>
      <c r="I32" s="1377"/>
      <c r="J32" s="2941">
        <f>ROUND(ROUND('Calc Data'!AO78,0)*'Data Entry - SOF'!M211*Weights!L28,0)</f>
        <v>0</v>
      </c>
      <c r="K32" s="2507"/>
      <c r="AL32" s="16" t="e">
        <f>ROUND(ROUND('Calc Data'!AC23,0)*'Data Entry - SOF'!#REF!*0.12,0)</f>
        <v>#REF!</v>
      </c>
    </row>
    <row r="33" spans="2:38">
      <c r="B33" s="24"/>
      <c r="D33" s="20" t="s">
        <v>397</v>
      </c>
      <c r="F33" s="16">
        <f>IF('Data Entry - SOF'!M113&lt;0,'Data Entry - SOF'!M113,'Data Entry - SOF'!M113*-1)</f>
        <v>0</v>
      </c>
      <c r="G33" s="16"/>
      <c r="H33" s="2538">
        <f>IF('Data Entry - SOF'!M113&lt;0,'Data Entry - SOF'!M113,'Data Entry - SOF'!M113*-1)</f>
        <v>0</v>
      </c>
      <c r="I33" s="1377"/>
      <c r="J33" s="2944">
        <f>H33</f>
        <v>0</v>
      </c>
      <c r="K33" s="2507"/>
      <c r="AL33" s="16">
        <v>0</v>
      </c>
    </row>
    <row r="34" spans="2:38">
      <c r="B34" s="24" t="s">
        <v>2497</v>
      </c>
      <c r="D34" s="20" t="s">
        <v>398</v>
      </c>
      <c r="F34" s="16">
        <f>ROUND(ROUND('Calc Data'!G23,0)*'Data Entry - SOF'!M41*Weights!L30,0)</f>
        <v>0</v>
      </c>
      <c r="G34" s="16"/>
      <c r="H34" s="2538">
        <f>ROUND(ROUND('Calc Data'!AO23,0)*'Data Entry - SOF'!M41*Weights!L30,0)</f>
        <v>0</v>
      </c>
      <c r="I34" s="1377"/>
      <c r="J34" s="2941">
        <f>ROUND(ROUND('Calc Data'!AO78,0)*'Data Entry - SOF'!M41*Weights!L30,0)</f>
        <v>0</v>
      </c>
      <c r="K34" s="2507"/>
      <c r="AL34" s="16" t="e">
        <f>ROUND(ROUND('Calc Data'!AC23,0)*'Data Entry - SOF'!#REF!*0.2,0)</f>
        <v>#REF!</v>
      </c>
    </row>
    <row r="35" spans="2:38">
      <c r="B35" s="24" t="s">
        <v>2497</v>
      </c>
      <c r="D35" s="20" t="s">
        <v>399</v>
      </c>
      <c r="F35" s="16">
        <f>ROUND(ROUND('Calc Data'!G23,0)*'Data Entry - SOF'!M49*Weights!L31,0)</f>
        <v>0</v>
      </c>
      <c r="G35" s="16"/>
      <c r="H35" s="2538">
        <f>ROUND(ROUND('Calc Data'!AO23,0)*'Data Entry - SOF'!M49*Weights!L31,0)</f>
        <v>0</v>
      </c>
      <c r="I35" s="1377"/>
      <c r="J35" s="2941">
        <f>ROUND(ROUND('Calc Data'!AO78,0)*'Data Entry - SOF'!M49*Weights!L31,0)</f>
        <v>0</v>
      </c>
      <c r="K35" s="2507"/>
      <c r="AL35" s="16" t="e">
        <f>ROUND(ROUND('Calc Data'!AC23,0)*'Data Entry - SOF'!#REF!*2.41,0)</f>
        <v>#REF!</v>
      </c>
    </row>
    <row r="36" spans="2:38" hidden="1">
      <c r="B36" s="24" t="s">
        <v>2497</v>
      </c>
      <c r="D36" s="71" t="s">
        <v>451</v>
      </c>
      <c r="E36" s="310"/>
      <c r="F36" s="16">
        <f>650*'Data Entry - SOF'!M50</f>
        <v>0</v>
      </c>
      <c r="G36" s="16"/>
      <c r="H36" s="2538">
        <f>650*'Data Entry - SOF'!M50</f>
        <v>0</v>
      </c>
      <c r="I36" s="1377"/>
      <c r="J36" s="2945"/>
      <c r="K36" s="2507"/>
      <c r="AL36" s="16"/>
    </row>
    <row r="37" spans="2:38" hidden="1">
      <c r="B37" s="24"/>
      <c r="D37" s="20" t="s">
        <v>1229</v>
      </c>
      <c r="F37" s="65">
        <v>0</v>
      </c>
      <c r="G37" s="16"/>
      <c r="H37" s="2541">
        <v>0</v>
      </c>
      <c r="I37" s="1377"/>
      <c r="J37" s="2945"/>
      <c r="K37" s="2507"/>
      <c r="AL37" s="16">
        <v>0</v>
      </c>
    </row>
    <row r="38" spans="2:38">
      <c r="B38" s="24">
        <v>25</v>
      </c>
      <c r="D38" s="20" t="s">
        <v>1135</v>
      </c>
      <c r="F38" s="16">
        <f>ROUND(ROUND('Calc Data'!G23,0)*('Data Entry - SOF'!M51*Weights!L26),0)</f>
        <v>0</v>
      </c>
      <c r="G38" s="16"/>
      <c r="H38" s="2538">
        <f>ROUND(ROUND('Calc Data'!AO23,0)*('Data Entry - SOF'!M51*Weights!L26),0)</f>
        <v>0</v>
      </c>
      <c r="I38" s="1377"/>
      <c r="J38" s="2941">
        <f>ROUND(ROUND('Calc Data'!AO78,0)*('Data Entry - SOF'!M51*Weights!L26),0)</f>
        <v>0</v>
      </c>
      <c r="K38" s="2507"/>
      <c r="AL38" s="16" t="e">
        <f>ROUND(ROUND('Calc Data'!AC23,0)*('Data Entry - SOF'!#REF!*0.1),0)</f>
        <v>#REF!</v>
      </c>
    </row>
    <row r="39" spans="2:38">
      <c r="B39" s="24">
        <v>31</v>
      </c>
      <c r="D39" s="35" t="s">
        <v>2435</v>
      </c>
      <c r="F39" s="16">
        <f>Weights!L33*'Data Entry - SOF'!M21</f>
        <v>0</v>
      </c>
      <c r="G39" s="16"/>
      <c r="H39" s="2538">
        <f>Weights!L33*'Data Entry - SOF'!M21</f>
        <v>0</v>
      </c>
      <c r="I39" s="1377"/>
      <c r="J39" s="2944">
        <f>H39</f>
        <v>0</v>
      </c>
      <c r="K39" s="2507"/>
      <c r="AL39" s="16" t="e">
        <f>#REF!</f>
        <v>#REF!</v>
      </c>
    </row>
    <row r="40" spans="2:38">
      <c r="B40" s="24"/>
      <c r="D40" s="20" t="s">
        <v>872</v>
      </c>
      <c r="F40" s="16">
        <f>ROUND(ROUND('Calc Data'!G23,0)*'Data Entry - SOF'!M61*Weights!L37,0)</f>
        <v>0</v>
      </c>
      <c r="G40" s="16"/>
      <c r="H40" s="2538">
        <f>ROUND(ROUND('Calc Data'!AO23,0)*'Data Entry - SOF'!M61*Weights!L37,0)</f>
        <v>0</v>
      </c>
      <c r="I40" s="1377"/>
      <c r="J40" s="2941">
        <f>ROUND(ROUND('Calc Data'!AO78,0)*'Data Entry - SOF'!M61*Weights!L37,0)</f>
        <v>0</v>
      </c>
      <c r="K40" s="2507"/>
      <c r="AL40" s="16" t="e">
        <f>ROUND(ROUND('Calc Data'!AC23,0)*'Data Entry - SOF'!#REF!*0.1,0)</f>
        <v>#REF!</v>
      </c>
    </row>
    <row r="41" spans="2:38" ht="15.75">
      <c r="B41" s="24"/>
      <c r="D41" s="318" t="s">
        <v>3839</v>
      </c>
      <c r="F41" s="87">
        <f>'Data Entry - SOF'!M62*Weights!L35</f>
        <v>0</v>
      </c>
      <c r="G41" s="16"/>
      <c r="H41" s="2538">
        <f>F41</f>
        <v>0</v>
      </c>
      <c r="I41" s="1377"/>
      <c r="J41" s="2944">
        <f>H41</f>
        <v>0</v>
      </c>
      <c r="K41" s="2507"/>
      <c r="AL41" s="16" t="e">
        <f>'Data Entry - SOF'!#REF!*250</f>
        <v>#REF!</v>
      </c>
    </row>
    <row r="42" spans="2:38">
      <c r="B42" s="24">
        <v>99</v>
      </c>
      <c r="D42" s="20" t="s">
        <v>2087</v>
      </c>
      <c r="F42" s="25">
        <f>'Data Entry - SOF'!M104</f>
        <v>0</v>
      </c>
      <c r="G42" s="16"/>
      <c r="H42" s="2565">
        <f>'Data Entry - SOF'!M104</f>
        <v>0</v>
      </c>
      <c r="I42" s="1377"/>
      <c r="J42" s="2948">
        <f>H42</f>
        <v>0</v>
      </c>
      <c r="K42" s="2972"/>
      <c r="AL42" s="25" t="e">
        <f>'Data Entry - SOF'!#REF!</f>
        <v>#REF!</v>
      </c>
    </row>
    <row r="43" spans="2:38">
      <c r="D43" s="20" t="s">
        <v>530</v>
      </c>
      <c r="F43" s="16" t="e">
        <f>SUM(F20:F42)</f>
        <v>#DIV/0!</v>
      </c>
      <c r="G43" s="16"/>
      <c r="H43" s="2538" t="e">
        <f>SUM(H20:H42)</f>
        <v>#DIV/0!</v>
      </c>
      <c r="I43" s="1377"/>
      <c r="J43" s="2941">
        <f>SUM(J20:J42)</f>
        <v>0</v>
      </c>
      <c r="K43" s="2570" t="e">
        <f t="shared" ref="K43" si="0">H43</f>
        <v>#DIV/0!</v>
      </c>
      <c r="AL43" s="16" t="e">
        <f>SUM(AL20:AL42)</f>
        <v>#REF!</v>
      </c>
    </row>
    <row r="44" spans="2:38">
      <c r="D44" s="20" t="s">
        <v>786</v>
      </c>
      <c r="F44" s="28">
        <f>IF('Data Entry - SOF'!M154&gt;1,1*('Data Entry - SOF'!M73/100),'Data Entry - SOF'!M154*('Data Entry - SOF'!M73/100))</f>
        <v>0</v>
      </c>
      <c r="G44" s="29"/>
      <c r="H44" s="2566">
        <f>IF('Calc Data'!AO30&gt;1,1*('Data Entry - SOF'!M73/100),'Calc Data'!AO30*('Data Entry - SOF'!M73/100))</f>
        <v>0</v>
      </c>
      <c r="I44" s="1377"/>
      <c r="J44" s="2584">
        <f>IF('Calc Data'!AO85&gt;1,1*('Data Entry - SOF'!M73/100),'Calc Data'!AO85*('Data Entry - SOF'!M73/100))</f>
        <v>0</v>
      </c>
      <c r="K44" s="2973">
        <f>IF('Calc Data-15K'!AS30&gt;1,1*('Data Entry - SOF'!M74/100),'Calc Data-15K'!AS30*('Data Entry - SOF'!M74/100))</f>
        <v>0</v>
      </c>
      <c r="AL44" s="28" t="e">
        <f>#REF!</f>
        <v>#REF!</v>
      </c>
    </row>
    <row r="45" spans="2:38">
      <c r="D45" s="20" t="s">
        <v>785</v>
      </c>
      <c r="F45" s="29" t="e">
        <f>F43-F44</f>
        <v>#DIV/0!</v>
      </c>
      <c r="G45" s="29"/>
      <c r="H45" s="2544" t="e">
        <f>H43-H44</f>
        <v>#DIV/0!</v>
      </c>
      <c r="I45" s="1377"/>
      <c r="J45" s="2946">
        <f>J43-J44</f>
        <v>0</v>
      </c>
      <c r="K45" s="2570" t="e">
        <f>K43-K44</f>
        <v>#DIV/0!</v>
      </c>
      <c r="AL45" s="29" t="e">
        <f>AL43-AL44</f>
        <v>#REF!</v>
      </c>
    </row>
    <row r="46" spans="2:38">
      <c r="D46" s="20"/>
      <c r="G46" s="29"/>
      <c r="H46" s="2545"/>
      <c r="I46" s="1377"/>
      <c r="J46" s="2942"/>
      <c r="K46" s="1668"/>
      <c r="N46" s="46"/>
      <c r="AL46" s="29"/>
    </row>
    <row r="47" spans="2:38">
      <c r="D47" s="315" t="s">
        <v>736</v>
      </c>
      <c r="G47" s="29"/>
      <c r="H47" s="2545"/>
      <c r="I47" s="1377"/>
      <c r="J47" s="2942"/>
      <c r="K47" s="1668"/>
      <c r="N47" s="46"/>
      <c r="AL47" s="29"/>
    </row>
    <row r="48" spans="2:38">
      <c r="D48" s="20" t="s">
        <v>1523</v>
      </c>
      <c r="F48" s="65" t="e">
        <f>IF(F45&lt;F75+F39+F41+F30+F31,F75+F39+F41+F30+F31,F45)</f>
        <v>#DIV/0!</v>
      </c>
      <c r="G48" s="29"/>
      <c r="H48" s="2541" t="e">
        <f>IF(H45&lt;H75+H39+H41+H30+H31,H75+H39+H41+H30+H31,H45)</f>
        <v>#DIV/0!</v>
      </c>
      <c r="I48" s="1377"/>
      <c r="J48" s="2947">
        <f>IF(J45&lt;H75+J39+J41+J30+J31,H75+J39+J41+J30+J31,J45)</f>
        <v>0</v>
      </c>
      <c r="K48" s="2974" t="e">
        <f>IF(K45&lt;H75+J39+J41+J30+J31,H75+J39+J41+J30+J31,K45)</f>
        <v>#DIV/0!</v>
      </c>
    </row>
    <row r="49" spans="4:13" hidden="1">
      <c r="D49" s="20" t="s">
        <v>2273</v>
      </c>
      <c r="G49" s="29" t="e">
        <f>ROUND(IF((24.7*'Calc Data'!#REF!*IF('Calc Data'!#REF!&gt;=0.64,0.64,'Calc Data'!#REF!)*100)&lt;'Calc Data'!#REF!,0,(24.7*'Calc Data'!#REF!*IF('Calc Data'!#REF!&gt;=0.64,0.64,'Calc Data'!#REF!)*100)-'Calc Data'!#REF!),0)</f>
        <v>#REF!</v>
      </c>
      <c r="H49" s="2544"/>
      <c r="I49" s="1438"/>
      <c r="J49" s="2945"/>
      <c r="K49" s="2571"/>
    </row>
    <row r="50" spans="4:13">
      <c r="D50" s="20"/>
      <c r="G50" s="29"/>
      <c r="H50" s="2531"/>
      <c r="I50" s="1438"/>
      <c r="J50" s="2942"/>
      <c r="K50" s="2975"/>
    </row>
    <row r="51" spans="4:13">
      <c r="D51" s="20" t="s">
        <v>8737</v>
      </c>
      <c r="F51" s="29" t="e">
        <f>ROUND(IF((Assumptions!G128*'Calc Data'!G25*'Calc Data'!G35*100)&lt;'Calc Data'!G42,0,(Assumptions!G128*'Calc Data'!G25*'Calc Data'!G35*100)-'Calc Data'!G42),0)</f>
        <v>#DIV/0!</v>
      </c>
      <c r="G51" s="29"/>
      <c r="H51" s="2531" t="e">
        <f>ROUND(IF((Assumptions!G128*'Calc Data'!G25*'Calc Data'!G35*100)&lt;'Calc Data'!G42,0,(Assumptions!G128*'Calc Data'!G25*'Calc Data'!G35*100)-'Calc Data'!G42),0)</f>
        <v>#DIV/0!</v>
      </c>
      <c r="I51" s="1377"/>
      <c r="J51" s="2964" t="e">
        <f>ROUND(IF((Assumptions!G128*'Calc Data'!G25*'Calc Data'!G81*100)&lt;'Calc Data'!G88,0,(Assumptions!G128*'Calc Data'!G25*'Calc Data'!G81*100)-'Calc Data'!G88),0)</f>
        <v>#DIV/0!</v>
      </c>
      <c r="K51" s="2572" t="e">
        <f>ROUND(IF((Assumptions!G79*'Calc Data-15K'!G25*'Calc Data-15K'!G81*100)&lt;'Calc Data-15K'!G88,0,(Assumptions!G79*'Calc Data-15K'!G25*'Calc Data-15K'!G81*100)-'Calc Data-15K'!G88),0)</f>
        <v>#DIV/0!</v>
      </c>
    </row>
    <row r="52" spans="4:13">
      <c r="D52" s="20" t="s">
        <v>473</v>
      </c>
      <c r="F52" s="48" t="e">
        <f>ROUND(IF((Assumptions!G129*'Calc Data'!G25*'Calc Data'!G38*100)&lt;'Calc Data'!G43,0,(Assumptions!G129*'Calc Data'!G25*'Calc Data'!G38*100)-'Calc Data'!G43),0)</f>
        <v>#DIV/0!</v>
      </c>
      <c r="G52" s="29"/>
      <c r="H52" s="2546" t="e">
        <f>ROUND(IF((Assumptions!G129*'Calc Data'!G25*'Calc Data'!AO29*100)&lt;'Calc Data'!AO33,0,(Assumptions!G129*'Calc Data'!G25*'Calc Data'!AO29*100)-'Calc Data'!AO33),0)</f>
        <v>#DIV/0!</v>
      </c>
      <c r="I52" s="2556"/>
      <c r="J52" s="2965" t="e">
        <f>ROUND(IF((Assumptions!G129*'Calc Data'!G25*'Calc Data'!AO84*100)&lt;'Calc Data'!AO88,0,(Assumptions!G129*'Calc Data'!G25*'Calc Data'!AO84*100)-'Calc Data'!AO88),0)</f>
        <v>#DIV/0!</v>
      </c>
      <c r="K52" s="2573" t="e">
        <f>ROUND(IF((Assumptions!G80*'Calc Data-15K'!G25*'Calc Data-15K'!AS84*100)&lt;'Calc Data-15K'!AS88,0,(Assumptions!G80*'Calc Data-15K'!G25*'Calc Data-15K'!AS84*100)-'Calc Data-15K'!AS88),0)</f>
        <v>#DIV/0!</v>
      </c>
    </row>
    <row r="53" spans="4:13">
      <c r="D53" s="20" t="s">
        <v>284</v>
      </c>
      <c r="F53" s="29" t="e">
        <f>SUM(F49:F52)</f>
        <v>#DIV/0!</v>
      </c>
      <c r="G53" s="29"/>
      <c r="H53" s="2531" t="e">
        <f>SUM(H49:H52)</f>
        <v>#DIV/0!</v>
      </c>
      <c r="I53" s="1797"/>
      <c r="J53" s="2499"/>
      <c r="K53" s="2499"/>
    </row>
    <row r="54" spans="4:13">
      <c r="D54" s="20"/>
      <c r="G54" s="29"/>
      <c r="H54" s="2531"/>
      <c r="I54" s="1797"/>
      <c r="J54" s="2498"/>
      <c r="K54" s="2498"/>
      <c r="L54" s="91"/>
      <c r="M54" s="140"/>
    </row>
    <row r="55" spans="4:13">
      <c r="D55" s="20" t="s">
        <v>733</v>
      </c>
      <c r="G55" s="29"/>
      <c r="H55" s="2531"/>
      <c r="I55" s="1797"/>
      <c r="J55" s="2498"/>
      <c r="K55" s="2498"/>
      <c r="L55" s="91"/>
      <c r="M55" s="140"/>
    </row>
    <row r="56" spans="4:13">
      <c r="D56" s="20" t="s">
        <v>758</v>
      </c>
      <c r="F56" s="29">
        <f>'Data Entry - SOF'!M121</f>
        <v>0</v>
      </c>
      <c r="G56" s="29"/>
      <c r="H56" s="2531">
        <f>F56</f>
        <v>0</v>
      </c>
      <c r="I56" s="1797"/>
      <c r="J56" s="2498"/>
      <c r="K56" s="2498"/>
      <c r="L56" s="91"/>
      <c r="M56" s="140"/>
    </row>
    <row r="57" spans="4:13">
      <c r="D57" s="20" t="s">
        <v>3051</v>
      </c>
      <c r="F57" s="29">
        <f>'Data Entry - SOF'!M120</f>
        <v>0</v>
      </c>
      <c r="G57" s="29"/>
      <c r="H57" s="2531">
        <f>F57</f>
        <v>0</v>
      </c>
      <c r="I57" s="1797"/>
      <c r="J57" s="2498"/>
      <c r="K57" s="2498"/>
      <c r="L57" s="91"/>
      <c r="M57" s="140"/>
    </row>
    <row r="58" spans="4:13">
      <c r="D58" s="20" t="s">
        <v>3052</v>
      </c>
      <c r="F58" s="29">
        <f>'Data Entry - SOF'!M122</f>
        <v>0</v>
      </c>
      <c r="G58" s="29"/>
      <c r="H58" s="2531">
        <f t="shared" ref="H58:H67" si="1">F58</f>
        <v>0</v>
      </c>
      <c r="I58" s="1797"/>
      <c r="J58" s="2498"/>
      <c r="K58" s="2498"/>
      <c r="L58" s="91"/>
      <c r="M58" s="140"/>
    </row>
    <row r="59" spans="4:13">
      <c r="D59" s="20" t="s">
        <v>3053</v>
      </c>
      <c r="F59" s="29">
        <f>'Data Entry - SOF'!M123</f>
        <v>0</v>
      </c>
      <c r="G59" s="29"/>
      <c r="H59" s="2531">
        <f t="shared" si="1"/>
        <v>0</v>
      </c>
      <c r="I59" s="1797"/>
      <c r="J59" s="2498"/>
      <c r="K59" s="2498"/>
      <c r="L59" s="91"/>
      <c r="M59" s="140"/>
    </row>
    <row r="60" spans="4:13">
      <c r="D60" s="20" t="s">
        <v>3054</v>
      </c>
      <c r="F60" s="29">
        <f>'Data Entry - SOF'!M124</f>
        <v>0</v>
      </c>
      <c r="G60" s="29"/>
      <c r="H60" s="2531">
        <f t="shared" si="1"/>
        <v>0</v>
      </c>
      <c r="I60" s="1797"/>
      <c r="J60" s="2498"/>
      <c r="K60" s="2498"/>
      <c r="L60" s="91"/>
      <c r="M60" s="140"/>
    </row>
    <row r="61" spans="4:13">
      <c r="D61" s="20" t="s">
        <v>3055</v>
      </c>
      <c r="F61" s="29">
        <v>0</v>
      </c>
      <c r="G61" s="29"/>
      <c r="H61" s="2531">
        <f t="shared" si="1"/>
        <v>0</v>
      </c>
      <c r="I61" s="1797"/>
      <c r="J61" s="2498"/>
      <c r="K61" s="2498"/>
      <c r="L61" s="91"/>
      <c r="M61" s="140"/>
    </row>
    <row r="62" spans="4:13">
      <c r="D62" s="20" t="s">
        <v>3056</v>
      </c>
      <c r="F62" s="29">
        <f>'Data Entry - SOF'!M125</f>
        <v>0</v>
      </c>
      <c r="G62" s="29"/>
      <c r="H62" s="2531">
        <f t="shared" si="1"/>
        <v>0</v>
      </c>
      <c r="I62" s="1797"/>
      <c r="J62" s="2498"/>
      <c r="K62" s="2498"/>
      <c r="L62" s="91"/>
      <c r="M62" s="140"/>
    </row>
    <row r="63" spans="4:13">
      <c r="D63" s="20" t="s">
        <v>2444</v>
      </c>
      <c r="F63" s="29">
        <v>0</v>
      </c>
      <c r="G63" s="29"/>
      <c r="H63" s="2531">
        <f t="shared" si="1"/>
        <v>0</v>
      </c>
      <c r="I63" s="1797"/>
      <c r="J63" s="2498"/>
      <c r="K63" s="2498"/>
      <c r="L63" s="91"/>
      <c r="M63" s="140"/>
    </row>
    <row r="64" spans="4:13">
      <c r="D64" s="20" t="s">
        <v>2436</v>
      </c>
      <c r="F64" s="29">
        <f>(500*'Data Entry - SOF'!M69)+(250*'Data Entry - SOF'!M70)</f>
        <v>0</v>
      </c>
      <c r="G64" s="29"/>
      <c r="H64" s="2531">
        <f t="shared" si="1"/>
        <v>0</v>
      </c>
      <c r="I64" s="1797"/>
      <c r="J64" s="2498"/>
      <c r="K64" s="2498"/>
      <c r="L64" s="91"/>
      <c r="M64" s="140"/>
    </row>
    <row r="65" spans="1:13">
      <c r="D65" s="20" t="s">
        <v>734</v>
      </c>
      <c r="F65" s="285" t="e">
        <f>(('Data Entry - SOF'!M112/'Calc Data'!F7)*'Data Entry - SOF'!M110)*-1</f>
        <v>#DIV/0!</v>
      </c>
      <c r="G65" s="29"/>
      <c r="H65" s="2531" t="e">
        <f t="shared" si="1"/>
        <v>#DIV/0!</v>
      </c>
      <c r="I65" s="1797"/>
      <c r="J65" s="2498"/>
      <c r="K65" s="2498"/>
      <c r="L65" s="91"/>
      <c r="M65" s="140"/>
    </row>
    <row r="66" spans="1:13">
      <c r="D66" s="20" t="s">
        <v>735</v>
      </c>
      <c r="F66" s="285" t="e">
        <f>(('Data Entry - SOF'!M112/'Calc Data'!F7)*'Data Entry - SOF'!M111)*-1</f>
        <v>#DIV/0!</v>
      </c>
      <c r="G66" s="29"/>
      <c r="H66" s="2531" t="e">
        <f t="shared" si="1"/>
        <v>#DIV/0!</v>
      </c>
      <c r="I66" s="1797"/>
      <c r="J66" s="2498"/>
      <c r="K66" s="2498"/>
      <c r="L66" s="91"/>
      <c r="M66" s="140"/>
    </row>
    <row r="67" spans="1:13">
      <c r="D67" s="20" t="s">
        <v>2985</v>
      </c>
      <c r="F67" s="502">
        <f>'Data Entry - SOF'!M142</f>
        <v>0</v>
      </c>
      <c r="G67" s="29"/>
      <c r="H67" s="2546">
        <f t="shared" si="1"/>
        <v>0</v>
      </c>
      <c r="I67" s="1797"/>
      <c r="J67" s="2498"/>
      <c r="K67" s="2498"/>
      <c r="L67" s="91"/>
      <c r="M67" s="140"/>
    </row>
    <row r="68" spans="1:13">
      <c r="D68" s="286" t="s">
        <v>172</v>
      </c>
      <c r="F68" s="29" t="e">
        <f>SUM(F56:F67)</f>
        <v>#DIV/0!</v>
      </c>
      <c r="G68" s="29"/>
      <c r="H68" s="2531" t="e">
        <f>SUM(H56:H67)</f>
        <v>#DIV/0!</v>
      </c>
      <c r="I68" s="1797"/>
      <c r="J68" s="2498"/>
      <c r="K68" s="2498"/>
      <c r="L68" s="91"/>
      <c r="M68" s="140"/>
    </row>
    <row r="69" spans="1:13">
      <c r="D69" s="286"/>
      <c r="F69" s="35"/>
      <c r="G69" s="29"/>
      <c r="H69" s="2531"/>
      <c r="I69" s="1797"/>
      <c r="J69" s="2498"/>
      <c r="K69" s="2498"/>
      <c r="L69" s="91"/>
      <c r="M69" s="140"/>
    </row>
    <row r="70" spans="1:13">
      <c r="D70" s="20" t="s">
        <v>2396</v>
      </c>
      <c r="F70" s="29">
        <f>F75*-1</f>
        <v>0</v>
      </c>
      <c r="G70" s="29"/>
      <c r="H70" s="2531">
        <f>H75*-1</f>
        <v>0</v>
      </c>
      <c r="I70" s="1797"/>
      <c r="J70" s="2498"/>
      <c r="K70" s="2498"/>
      <c r="L70" s="91"/>
      <c r="M70" s="140"/>
    </row>
    <row r="71" spans="1:13" ht="13.5" thickBot="1">
      <c r="D71" s="20"/>
      <c r="G71" s="29"/>
      <c r="H71" s="2531"/>
      <c r="I71" s="1797"/>
      <c r="J71" s="2498"/>
      <c r="K71" s="2498"/>
      <c r="L71" s="91"/>
      <c r="M71" s="140"/>
    </row>
    <row r="72" spans="1:13" ht="13.5" thickTop="1">
      <c r="A72" s="288"/>
      <c r="B72" s="289"/>
      <c r="C72" s="289"/>
      <c r="D72" s="290"/>
      <c r="E72" s="289"/>
      <c r="F72" s="320"/>
      <c r="G72" s="29"/>
      <c r="H72" s="2531"/>
      <c r="I72" s="1797"/>
      <c r="J72" s="2498"/>
      <c r="K72" s="2498"/>
      <c r="L72" s="91"/>
      <c r="M72" s="140"/>
    </row>
    <row r="73" spans="1:13">
      <c r="A73" s="291"/>
      <c r="B73" s="24" t="s">
        <v>174</v>
      </c>
      <c r="D73" s="286"/>
      <c r="F73" s="321"/>
      <c r="G73" s="29"/>
      <c r="H73" s="2531"/>
      <c r="I73" s="1797"/>
      <c r="J73" s="2498"/>
      <c r="K73" s="2498"/>
      <c r="L73" s="91"/>
      <c r="M73" s="140"/>
    </row>
    <row r="74" spans="1:13">
      <c r="A74" s="291"/>
      <c r="B74" s="24" t="s">
        <v>1491</v>
      </c>
      <c r="D74" s="71" t="s">
        <v>737</v>
      </c>
      <c r="E74" s="71"/>
      <c r="F74" s="136" t="e">
        <f>F48+F53+F68+F70</f>
        <v>#DIV/0!</v>
      </c>
      <c r="G74" s="29"/>
      <c r="H74" s="2547" t="e">
        <f>H48+H53+H68+H70</f>
        <v>#DIV/0!</v>
      </c>
      <c r="I74" s="1797"/>
      <c r="J74" s="2498"/>
      <c r="K74" s="2498"/>
      <c r="L74" s="91"/>
      <c r="M74" s="140"/>
    </row>
    <row r="75" spans="1:13">
      <c r="A75" s="291"/>
      <c r="B75" s="24" t="s">
        <v>1489</v>
      </c>
      <c r="D75" s="71" t="s">
        <v>2609</v>
      </c>
      <c r="E75" s="71"/>
      <c r="F75" s="136">
        <f>'Calc Data'!F7*Assumptions!G132</f>
        <v>0</v>
      </c>
      <c r="G75" s="29"/>
      <c r="H75" s="2547">
        <f>'Calc Data'!F7*Assumptions!G132</f>
        <v>0</v>
      </c>
      <c r="I75" s="1797"/>
      <c r="J75" s="2568"/>
      <c r="K75" s="2568"/>
      <c r="L75" s="91"/>
      <c r="M75" s="140"/>
    </row>
    <row r="76" spans="1:13" ht="15.75">
      <c r="A76" s="291"/>
      <c r="B76" s="24" t="s">
        <v>1490</v>
      </c>
      <c r="D76" s="318" t="s">
        <v>757</v>
      </c>
      <c r="E76" s="73"/>
      <c r="F76" s="323">
        <v>0</v>
      </c>
      <c r="G76" s="29"/>
      <c r="H76" s="2548">
        <v>0</v>
      </c>
      <c r="I76" s="1797"/>
      <c r="J76" s="2568"/>
      <c r="K76" s="2568"/>
      <c r="L76" s="91"/>
      <c r="M76" s="140"/>
    </row>
    <row r="77" spans="1:13">
      <c r="A77" s="291"/>
      <c r="B77" s="24" t="s">
        <v>740</v>
      </c>
      <c r="D77" s="71" t="s">
        <v>738</v>
      </c>
      <c r="E77" s="71"/>
      <c r="F77" s="136">
        <f>'Existing Debt-OldLaw'!M74</f>
        <v>0</v>
      </c>
      <c r="G77" s="29"/>
      <c r="H77" s="2547">
        <f>'Existing Debt-OldLaw'!M74</f>
        <v>0</v>
      </c>
      <c r="I77" s="1797"/>
      <c r="J77" s="2499"/>
      <c r="K77" s="2499"/>
      <c r="L77" s="91"/>
      <c r="M77" s="140"/>
    </row>
    <row r="78" spans="1:13" ht="13.5" thickBot="1">
      <c r="A78" s="291"/>
      <c r="B78" s="24" t="s">
        <v>1095</v>
      </c>
      <c r="D78" s="71" t="s">
        <v>739</v>
      </c>
      <c r="E78" s="71"/>
      <c r="F78" s="316">
        <f>'IFA-OldLaw'!T86+'IFA-OldLaw'!U75</f>
        <v>0</v>
      </c>
      <c r="G78" s="29"/>
      <c r="H78" s="2549">
        <f>'IFA-OldLaw'!T86+'IFA-OldLaw'!U75</f>
        <v>0</v>
      </c>
      <c r="I78" s="1797"/>
      <c r="J78" s="2499"/>
      <c r="K78" s="2499"/>
      <c r="L78" s="91"/>
      <c r="M78" s="140"/>
    </row>
    <row r="79" spans="1:13">
      <c r="A79" s="291"/>
      <c r="F79" s="321"/>
      <c r="G79" s="29"/>
      <c r="H79" s="2529"/>
      <c r="I79" s="1797"/>
      <c r="J79" s="2499"/>
      <c r="K79" s="2499"/>
      <c r="L79" s="125"/>
      <c r="M79" s="767"/>
    </row>
    <row r="80" spans="1:13" ht="12.75" customHeight="1" thickBot="1">
      <c r="A80" s="291"/>
      <c r="D80" s="71" t="s">
        <v>1019</v>
      </c>
      <c r="F80" s="317" t="e">
        <f>SUM(F74:F78)</f>
        <v>#DIV/0!</v>
      </c>
      <c r="G80" s="29"/>
      <c r="H80" s="2560" t="e">
        <f>SUM(H74:H78)</f>
        <v>#DIV/0!</v>
      </c>
      <c r="I80" s="1797"/>
      <c r="J80" s="2499"/>
      <c r="K80" s="2499"/>
      <c r="L80" s="125"/>
      <c r="M80" s="767"/>
    </row>
    <row r="81" spans="1:16" ht="14.25" hidden="1" thickTop="1" thickBot="1">
      <c r="A81" s="291"/>
      <c r="D81" s="20" t="s">
        <v>472</v>
      </c>
      <c r="G81" s="29"/>
      <c r="H81" s="2550" t="e">
        <f>SUM(H74:H78)</f>
        <v>#DIV/0!</v>
      </c>
      <c r="I81" s="1797"/>
      <c r="J81" s="2568"/>
      <c r="K81" s="2568"/>
      <c r="L81" s="125"/>
      <c r="M81" s="767"/>
    </row>
    <row r="82" spans="1:16" ht="14.25" thickTop="1" thickBot="1">
      <c r="A82" s="292"/>
      <c r="B82" s="293"/>
      <c r="C82" s="293"/>
      <c r="D82" s="294"/>
      <c r="E82" s="293"/>
      <c r="F82" s="330"/>
      <c r="G82" s="16"/>
      <c r="H82" s="2544"/>
      <c r="I82" s="1797"/>
      <c r="J82" s="2498"/>
      <c r="K82" s="2498"/>
    </row>
    <row r="83" spans="1:16" ht="13.5" thickTop="1">
      <c r="B83" s="20"/>
      <c r="G83" s="29"/>
      <c r="H83" s="2538"/>
      <c r="I83" s="1797"/>
      <c r="J83" s="2497"/>
      <c r="K83" s="2497"/>
      <c r="N83" s="91"/>
      <c r="O83" s="221"/>
      <c r="P83" s="5"/>
    </row>
    <row r="84" spans="1:16">
      <c r="H84" s="2544"/>
      <c r="I84" s="1797"/>
      <c r="J84" s="2498"/>
      <c r="K84" s="2498"/>
      <c r="N84" s="5"/>
    </row>
    <row r="85" spans="1:16" ht="13.5" thickBot="1">
      <c r="H85" s="2545"/>
      <c r="I85" s="1797"/>
      <c r="J85" s="1797"/>
      <c r="K85" s="1797"/>
    </row>
    <row r="86" spans="1:16" ht="13.5" thickTop="1">
      <c r="A86" s="297" t="s">
        <v>2457</v>
      </c>
      <c r="B86" s="66"/>
      <c r="C86" s="66"/>
      <c r="D86" s="66"/>
      <c r="E86" s="66"/>
      <c r="F86" s="130"/>
      <c r="H86" s="2545"/>
      <c r="I86" s="1797"/>
      <c r="J86" s="1797"/>
      <c r="K86" s="1797"/>
    </row>
    <row r="87" spans="1:16">
      <c r="A87" s="133"/>
      <c r="F87" s="131"/>
      <c r="H87" s="2545"/>
      <c r="I87" s="1797"/>
      <c r="J87" s="1797"/>
      <c r="K87" s="1797"/>
    </row>
    <row r="88" spans="1:16">
      <c r="A88" s="132" t="s">
        <v>2162</v>
      </c>
      <c r="F88" s="277" t="e">
        <f>IF(F74&lt;0,F75,F74+F75)</f>
        <v>#DIV/0!</v>
      </c>
      <c r="H88" s="2541" t="e">
        <f>IF(H74&lt;0,H75,H74+H75)</f>
        <v>#DIV/0!</v>
      </c>
      <c r="I88" s="1797"/>
      <c r="J88" s="1797"/>
      <c r="K88" s="1797"/>
    </row>
    <row r="89" spans="1:16">
      <c r="A89" s="156" t="s">
        <v>1696</v>
      </c>
      <c r="F89" s="278">
        <f>'Calc Data'!G30-ASATR!J24</f>
        <v>0</v>
      </c>
      <c r="H89" s="2561" t="e">
        <f>'Calc Data'!AO32-ASATR!J39</f>
        <v>#DIV/0!</v>
      </c>
      <c r="I89" s="1797"/>
      <c r="J89" s="2499"/>
      <c r="K89" s="2499"/>
      <c r="N89" s="91"/>
    </row>
    <row r="90" spans="1:16">
      <c r="A90" s="156" t="s">
        <v>941</v>
      </c>
      <c r="F90" s="278">
        <f>'Calc Data'!G34</f>
        <v>0</v>
      </c>
      <c r="H90" s="2561">
        <f>'Calc Data'!G34</f>
        <v>0</v>
      </c>
      <c r="I90" s="1797"/>
      <c r="J90" s="2466"/>
      <c r="K90" s="2466"/>
      <c r="N90" s="91"/>
    </row>
    <row r="91" spans="1:16">
      <c r="A91" s="156" t="s">
        <v>942</v>
      </c>
      <c r="F91" s="287" t="e">
        <f>'Calc Data'!G37-IF('Option Costs'!AM57="N",MAX('Option Costs'!AM54,'Option Costs'!AO54),MIN('Option Costs'!AM54,'Option Costs'!AO54))</f>
        <v>#DIV/0!</v>
      </c>
      <c r="H91" s="2562" t="e">
        <f>'Calc Data'!AO31-IF('Option Costs'!AM57="N",MAX('Option Costs'!AM85,'Option Costs'!AO85),MIN('Option Costs'!AM85,'Option Costs'!AO85))</f>
        <v>#DIV/0!</v>
      </c>
      <c r="I91" s="1797"/>
      <c r="J91" s="2499"/>
      <c r="K91" s="2499"/>
    </row>
    <row r="92" spans="1:16">
      <c r="A92" s="156" t="s">
        <v>3157</v>
      </c>
      <c r="F92" s="322" t="e">
        <f>SUM(F88:F91)</f>
        <v>#DIV/0!</v>
      </c>
      <c r="H92" s="2563" t="e">
        <f>SUM(H88:H91)</f>
        <v>#DIV/0!</v>
      </c>
      <c r="I92" s="1797"/>
      <c r="J92" s="2466"/>
      <c r="K92" s="2466"/>
    </row>
    <row r="93" spans="1:16">
      <c r="A93" s="132" t="s">
        <v>1695</v>
      </c>
      <c r="F93" s="287" t="e">
        <f>IF(F74&gt;0,0,F74)</f>
        <v>#DIV/0!</v>
      </c>
      <c r="H93" s="2562" t="e">
        <f>IF(H74&gt;0,0,H74)</f>
        <v>#DIV/0!</v>
      </c>
      <c r="I93" s="1797"/>
      <c r="J93" s="2466"/>
      <c r="K93" s="2466"/>
    </row>
    <row r="94" spans="1:16">
      <c r="A94" s="222" t="s">
        <v>3158</v>
      </c>
      <c r="F94" s="322" t="e">
        <f>F92+F93</f>
        <v>#DIV/0!</v>
      </c>
      <c r="H94" s="2563" t="e">
        <f>H92+H93</f>
        <v>#DIV/0!</v>
      </c>
      <c r="I94" s="1797"/>
      <c r="J94" s="2499"/>
      <c r="K94" s="2499"/>
    </row>
    <row r="95" spans="1:16" ht="13.5" thickBot="1">
      <c r="A95" s="134"/>
      <c r="B95" s="38"/>
      <c r="C95" s="38"/>
      <c r="D95" s="38"/>
      <c r="E95" s="38"/>
      <c r="F95" s="135"/>
      <c r="H95" s="2553"/>
      <c r="I95" s="1797"/>
      <c r="J95" s="2466"/>
      <c r="K95" s="2466"/>
    </row>
    <row r="96" spans="1:16" ht="13.5" hidden="1" thickTop="1">
      <c r="D96" s="35" t="s">
        <v>1231</v>
      </c>
      <c r="E96" s="35"/>
      <c r="F96" s="35"/>
      <c r="H96" s="322" t="e">
        <f>H93+H94</f>
        <v>#DIV/0!</v>
      </c>
      <c r="I96" s="1797"/>
      <c r="J96" s="2499"/>
      <c r="K96" s="2499"/>
    </row>
    <row r="97" spans="1:11" ht="13.5" hidden="1" thickTop="1">
      <c r="D97" s="35" t="s">
        <v>470</v>
      </c>
      <c r="E97" s="35"/>
      <c r="F97" s="35"/>
      <c r="I97" s="1797"/>
      <c r="J97" s="1797"/>
      <c r="K97" s="1797"/>
    </row>
    <row r="98" spans="1:11" ht="13.5" hidden="1" thickTop="1">
      <c r="D98" s="35" t="s">
        <v>471</v>
      </c>
      <c r="I98" s="1797"/>
      <c r="J98" s="1797"/>
      <c r="K98" s="1797"/>
    </row>
    <row r="99" spans="1:11" ht="13.5" hidden="1" thickTop="1">
      <c r="D99" s="35" t="s">
        <v>1012</v>
      </c>
      <c r="I99" s="1797"/>
      <c r="J99" s="1797"/>
      <c r="K99" s="1797"/>
    </row>
    <row r="100" spans="1:11" ht="13.5" hidden="1" thickTop="1">
      <c r="D100" s="35" t="s">
        <v>647</v>
      </c>
      <c r="I100" s="1797"/>
      <c r="J100" s="1797"/>
      <c r="K100" s="1797"/>
    </row>
    <row r="101" spans="1:11" ht="13.5" hidden="1" thickTop="1">
      <c r="D101" s="35" t="s">
        <v>648</v>
      </c>
      <c r="I101" s="1797"/>
      <c r="J101" s="1797"/>
      <c r="K101" s="1797"/>
    </row>
    <row r="102" spans="1:11" ht="13.5" hidden="1" thickTop="1">
      <c r="D102" s="35"/>
      <c r="I102" s="1797"/>
      <c r="J102" s="1797"/>
      <c r="K102" s="1797"/>
    </row>
    <row r="103" spans="1:11" hidden="1"/>
    <row r="104" spans="1:11" hidden="1"/>
    <row r="105" spans="1:11" hidden="1"/>
    <row r="106" spans="1:11" hidden="1">
      <c r="A106" s="20" t="s">
        <v>1667</v>
      </c>
      <c r="G106" s="16"/>
    </row>
    <row r="107" spans="1:11" hidden="1">
      <c r="G107" s="16"/>
    </row>
    <row r="108" spans="1:11" hidden="1">
      <c r="A108" s="20" t="s">
        <v>1492</v>
      </c>
      <c r="G108" s="16"/>
      <c r="H108" s="16"/>
      <c r="J108" s="16"/>
      <c r="K108" s="16"/>
    </row>
    <row r="109" spans="1:11" hidden="1">
      <c r="A109" s="20" t="s">
        <v>1493</v>
      </c>
      <c r="H109" s="16"/>
      <c r="J109" s="16"/>
      <c r="K109" s="16"/>
    </row>
    <row r="110" spans="1:11" hidden="1">
      <c r="A110" s="20" t="s">
        <v>518</v>
      </c>
      <c r="H110" s="16"/>
      <c r="J110" s="16"/>
      <c r="K110" s="16"/>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1" hidden="1"/>
    <row r="130" spans="5:11" hidden="1"/>
    <row r="131" spans="5:11" ht="13.5" thickTop="1">
      <c r="E131" t="s">
        <v>2767</v>
      </c>
      <c r="F131" s="5">
        <f>SUM(F21:F27)</f>
        <v>0</v>
      </c>
      <c r="H131" s="5">
        <f>SUM(H21:H27)</f>
        <v>0</v>
      </c>
    </row>
    <row r="132" spans="5:11">
      <c r="E132" t="s">
        <v>2768</v>
      </c>
      <c r="F132" s="5">
        <f>F28+F29</f>
        <v>0</v>
      </c>
      <c r="H132" s="5">
        <f>H28+H29</f>
        <v>0</v>
      </c>
    </row>
    <row r="133" spans="5:11">
      <c r="E133" t="s">
        <v>2769</v>
      </c>
      <c r="F133" s="5">
        <f>F32+F33</f>
        <v>0</v>
      </c>
      <c r="H133" s="5">
        <f>H32+H33</f>
        <v>0</v>
      </c>
      <c r="J133" s="5"/>
      <c r="K133" s="5"/>
    </row>
    <row r="134" spans="5:11">
      <c r="E134" t="s">
        <v>2770</v>
      </c>
      <c r="F134" s="5">
        <f>F34+F35</f>
        <v>0</v>
      </c>
      <c r="H134" s="5">
        <f>H34+H35</f>
        <v>0</v>
      </c>
      <c r="J134" s="5"/>
      <c r="K134" s="5"/>
    </row>
    <row r="135" spans="5:11">
      <c r="E135" t="s">
        <v>2849</v>
      </c>
      <c r="F135" s="91" t="e">
        <f>Assumptions!G119*'Calc Data'!G25*'Calc Data'!G35*100</f>
        <v>#DIV/0!</v>
      </c>
      <c r="H135" s="91" t="e">
        <f>Assumptions!G119*'Calc Data'!D25*'Calc Data'!D35*100</f>
        <v>#REF!</v>
      </c>
      <c r="J135" s="5"/>
      <c r="K135" s="5"/>
    </row>
    <row r="136" spans="5:11">
      <c r="E136" t="s">
        <v>2851</v>
      </c>
      <c r="F136" s="91" t="e">
        <f>Assumptions!G120*'Calc Data'!G25*'Calc Data'!G38*100</f>
        <v>#DIV/0!</v>
      </c>
      <c r="H136" s="91" t="e">
        <f>Assumptions!G120*'Calc Data'!D25*'Calc Data'!AO29*100</f>
        <v>#REF!</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D174"/>
  <sheetViews>
    <sheetView topLeftCell="A38" workbookViewId="0">
      <selection activeCell="A51" sqref="A51"/>
    </sheetView>
  </sheetViews>
  <sheetFormatPr defaultRowHeight="12.75"/>
  <cols>
    <col min="1" max="1" width="4.5703125" customWidth="1"/>
    <col min="2" max="2" width="9.5703125" customWidth="1"/>
    <col min="4" max="4" width="11.140625" customWidth="1"/>
    <col min="5" max="5" width="15.85546875" customWidth="1"/>
    <col min="6" max="6" width="24.140625" customWidth="1"/>
    <col min="7" max="8" width="20.5703125" style="2091" hidden="1" customWidth="1"/>
    <col min="9" max="10" width="20.5703125" style="874" customWidth="1"/>
    <col min="11" max="12" width="20.5703125" style="1114" customWidth="1"/>
    <col min="13" max="14" width="20.5703125" style="1120" customWidth="1"/>
    <col min="15" max="16" width="20.5703125" style="1420" customWidth="1"/>
    <col min="17" max="18" width="20.5703125" style="1674" customWidth="1"/>
    <col min="19" max="20" width="20.5703125" style="1761" customWidth="1"/>
  </cols>
  <sheetData>
    <row r="1" spans="1:20" ht="13.5" thickTop="1">
      <c r="A1" s="20" t="s">
        <v>66</v>
      </c>
      <c r="D1" s="60">
        <f>'Data Entry - SOF'!B1</f>
        <v>0</v>
      </c>
      <c r="H1" s="3324"/>
      <c r="I1" s="3734"/>
      <c r="J1" s="3735"/>
      <c r="K1" s="3371"/>
      <c r="L1" s="3372"/>
      <c r="M1" s="3807"/>
      <c r="N1" s="3808"/>
      <c r="O1" s="3844"/>
      <c r="P1" s="3845"/>
      <c r="Q1" s="3882"/>
      <c r="R1" s="3883"/>
      <c r="S1" s="3916"/>
      <c r="T1" s="3917"/>
    </row>
    <row r="2" spans="1:20">
      <c r="A2" s="20" t="s">
        <v>1439</v>
      </c>
      <c r="D2" s="61">
        <f>'Data Entry - SOF'!B2</f>
        <v>0</v>
      </c>
      <c r="H2" s="3324"/>
      <c r="I2" s="3736"/>
      <c r="J2" s="1090"/>
      <c r="K2" s="3373"/>
      <c r="L2" s="1116"/>
      <c r="M2" s="3809"/>
      <c r="N2" s="1121"/>
      <c r="O2" s="1685"/>
      <c r="P2" s="1669"/>
      <c r="Q2" s="3884"/>
      <c r="R2" s="1675"/>
      <c r="S2" s="3918"/>
      <c r="T2" s="3723"/>
    </row>
    <row r="3" spans="1:20">
      <c r="A3" s="20" t="s">
        <v>143</v>
      </c>
      <c r="D3" s="63">
        <f ca="1">'Data Entry - SOF'!B3</f>
        <v>43726.623322453706</v>
      </c>
      <c r="H3" s="3324"/>
      <c r="I3" s="3736"/>
      <c r="J3" s="1090"/>
      <c r="K3" s="3373"/>
      <c r="L3" s="1116"/>
      <c r="M3" s="3809"/>
      <c r="N3" s="1122"/>
      <c r="O3" s="1685"/>
      <c r="P3" s="1670"/>
      <c r="Q3" s="3884"/>
      <c r="R3" s="1676"/>
      <c r="S3" s="3918"/>
      <c r="T3" s="3724"/>
    </row>
    <row r="4" spans="1:20">
      <c r="H4" s="3324"/>
      <c r="I4" s="3736"/>
      <c r="J4" s="1090"/>
      <c r="K4" s="3373"/>
      <c r="L4" s="1116"/>
      <c r="M4" s="3809"/>
      <c r="N4" s="1123"/>
      <c r="O4" s="1685"/>
      <c r="P4" s="1671"/>
      <c r="Q4" s="3884"/>
      <c r="R4" s="1677"/>
      <c r="S4" s="3918"/>
      <c r="T4" s="3725"/>
    </row>
    <row r="5" spans="1:20" ht="15.75">
      <c r="A5" s="30" t="s">
        <v>6932</v>
      </c>
      <c r="H5" s="3324"/>
      <c r="I5" s="3736"/>
      <c r="J5" s="1090"/>
      <c r="K5" s="3373"/>
      <c r="L5" s="1116"/>
      <c r="M5" s="3809"/>
      <c r="N5" s="1123"/>
      <c r="O5" s="1685"/>
      <c r="P5" s="1671"/>
      <c r="Q5" s="3884"/>
      <c r="R5" s="1677"/>
      <c r="S5" s="3918"/>
      <c r="T5" s="3725"/>
    </row>
    <row r="6" spans="1:20" ht="15.75">
      <c r="D6" s="100"/>
      <c r="H6" s="3324"/>
      <c r="I6" s="3736"/>
      <c r="J6" s="1090"/>
      <c r="K6" s="3373"/>
      <c r="L6" s="1116"/>
      <c r="M6" s="3809"/>
      <c r="N6" s="1123"/>
      <c r="O6" s="1685"/>
      <c r="P6" s="1671"/>
      <c r="Q6" s="3884"/>
      <c r="R6" s="1677"/>
      <c r="S6" s="3918"/>
      <c r="T6" s="3725"/>
    </row>
    <row r="7" spans="1:20" ht="15.75">
      <c r="C7" s="30"/>
      <c r="D7" s="71" t="s">
        <v>965</v>
      </c>
      <c r="H7" s="3324"/>
      <c r="I7" s="3736"/>
      <c r="J7" s="1090"/>
      <c r="K7" s="3373"/>
      <c r="L7" s="1116"/>
      <c r="M7" s="3809"/>
      <c r="N7" s="1123"/>
      <c r="O7" s="1685"/>
      <c r="P7" s="1671"/>
      <c r="Q7" s="3884"/>
      <c r="R7" s="1677"/>
      <c r="S7" s="3918"/>
      <c r="T7" s="3725"/>
    </row>
    <row r="8" spans="1:20" ht="15.75">
      <c r="A8" s="35" t="s">
        <v>256</v>
      </c>
      <c r="C8" s="30"/>
      <c r="H8" s="3324"/>
      <c r="I8" s="3736"/>
      <c r="J8" s="1090"/>
      <c r="K8" s="3373"/>
      <c r="L8" s="1116"/>
      <c r="M8" s="3809"/>
      <c r="N8" s="1123"/>
      <c r="O8" s="1685"/>
      <c r="P8" s="1671"/>
      <c r="Q8" s="3884"/>
      <c r="R8" s="1677"/>
      <c r="S8" s="3918"/>
      <c r="T8" s="3725"/>
    </row>
    <row r="9" spans="1:20" ht="15.75">
      <c r="C9" s="30"/>
      <c r="H9" s="3324"/>
      <c r="I9" s="3736"/>
      <c r="J9" s="1090"/>
      <c r="K9" s="3373"/>
      <c r="L9" s="1116"/>
      <c r="M9" s="3809"/>
      <c r="N9" s="1123"/>
      <c r="O9" s="1685"/>
      <c r="P9" s="1671"/>
      <c r="Q9" s="3884"/>
      <c r="R9" s="1677"/>
      <c r="S9" s="3918"/>
      <c r="T9" s="3725"/>
    </row>
    <row r="10" spans="1:20" ht="15">
      <c r="B10" t="s">
        <v>106</v>
      </c>
      <c r="C10" s="36" t="s">
        <v>970</v>
      </c>
      <c r="H10" s="3324"/>
      <c r="I10" s="3736"/>
      <c r="J10" s="1090"/>
      <c r="K10" s="3373"/>
      <c r="L10" s="1116"/>
      <c r="M10" s="3809"/>
      <c r="N10" s="1123"/>
      <c r="O10" s="1685"/>
      <c r="P10" s="1671"/>
      <c r="Q10" s="3884"/>
      <c r="R10" s="1677"/>
      <c r="S10" s="3918"/>
      <c r="T10" s="3725"/>
    </row>
    <row r="11" spans="1:20" ht="15">
      <c r="B11" s="37" t="s">
        <v>915</v>
      </c>
      <c r="C11" s="36" t="s">
        <v>1177</v>
      </c>
      <c r="H11" s="3324"/>
      <c r="I11" s="3736"/>
      <c r="J11" s="1090"/>
      <c r="K11" s="3373"/>
      <c r="L11" s="1116"/>
      <c r="M11" s="3809"/>
      <c r="N11" s="1123"/>
      <c r="O11" s="1685"/>
      <c r="P11" s="1671"/>
      <c r="Q11" s="3884"/>
      <c r="R11" s="1677"/>
      <c r="S11" s="3918"/>
      <c r="T11" s="3725"/>
    </row>
    <row r="12" spans="1:20" ht="15">
      <c r="B12" s="37" t="s">
        <v>257</v>
      </c>
      <c r="C12" s="36" t="s">
        <v>2598</v>
      </c>
      <c r="H12" s="3324"/>
      <c r="I12" s="3736"/>
      <c r="J12" s="1090"/>
      <c r="K12" s="3373"/>
      <c r="L12" s="1116"/>
      <c r="M12" s="3809"/>
      <c r="N12" s="1123"/>
      <c r="O12" s="1685"/>
      <c r="P12" s="1671"/>
      <c r="Q12" s="3884"/>
      <c r="R12" s="1677"/>
      <c r="S12" s="3918"/>
      <c r="T12" s="3725"/>
    </row>
    <row r="13" spans="1:20" ht="15">
      <c r="B13" s="37" t="s">
        <v>916</v>
      </c>
      <c r="C13" s="36" t="s">
        <v>1546</v>
      </c>
      <c r="H13" s="3324"/>
      <c r="I13" s="3736"/>
      <c r="J13" s="1090"/>
      <c r="K13" s="3373"/>
      <c r="L13" s="1116"/>
      <c r="M13" s="3809"/>
      <c r="N13" s="1123"/>
      <c r="O13" s="1685"/>
      <c r="P13" s="1671"/>
      <c r="Q13" s="3884"/>
      <c r="R13" s="1677"/>
      <c r="S13" s="3918"/>
      <c r="T13" s="3725"/>
    </row>
    <row r="14" spans="1:20" ht="15" hidden="1">
      <c r="B14" s="37"/>
      <c r="C14" s="36"/>
      <c r="H14" s="3324"/>
      <c r="I14" s="3736"/>
      <c r="J14" s="1090"/>
      <c r="K14" s="3373"/>
      <c r="L14" s="1116"/>
      <c r="M14" s="3809"/>
      <c r="N14" s="1123"/>
      <c r="O14" s="1685"/>
      <c r="P14" s="1671"/>
      <c r="Q14" s="3884"/>
      <c r="R14" s="1677"/>
      <c r="S14" s="3918"/>
      <c r="T14" s="3725"/>
    </row>
    <row r="15" spans="1:20" s="102" customFormat="1" ht="25.35" hidden="1" customHeight="1" thickTop="1">
      <c r="A15" s="107" t="s">
        <v>145</v>
      </c>
      <c r="B15" s="112"/>
      <c r="C15" s="113"/>
      <c r="D15" s="114"/>
      <c r="E15" s="114"/>
      <c r="F15" s="114"/>
      <c r="G15" s="2092"/>
      <c r="H15" s="3733"/>
      <c r="I15" s="3737"/>
      <c r="J15" s="1127"/>
      <c r="K15" s="3779"/>
      <c r="L15" s="1118"/>
      <c r="M15" s="3810"/>
      <c r="N15" s="1125"/>
      <c r="O15" s="3846"/>
      <c r="P15" s="1673"/>
      <c r="Q15" s="3885"/>
      <c r="R15" s="1679"/>
      <c r="S15" s="3919"/>
      <c r="T15" s="3726"/>
    </row>
    <row r="16" spans="1:20" s="102" customFormat="1" ht="25.35" hidden="1" customHeight="1">
      <c r="A16" s="109" t="s">
        <v>1876</v>
      </c>
      <c r="B16" s="103"/>
      <c r="C16" s="104"/>
      <c r="D16" s="105"/>
      <c r="E16" s="105"/>
      <c r="F16" s="105"/>
      <c r="G16" s="2092"/>
      <c r="H16" s="3733"/>
      <c r="I16" s="3737"/>
      <c r="J16" s="1127"/>
      <c r="K16" s="3779"/>
      <c r="L16" s="1118"/>
      <c r="M16" s="3810"/>
      <c r="N16" s="1125"/>
      <c r="O16" s="3846"/>
      <c r="P16" s="1673"/>
      <c r="Q16" s="3885"/>
      <c r="R16" s="1679"/>
      <c r="S16" s="3919"/>
      <c r="T16" s="3726"/>
    </row>
    <row r="17" spans="1:30" s="102" customFormat="1" ht="25.35" hidden="1" customHeight="1">
      <c r="A17" s="109" t="s">
        <v>18</v>
      </c>
      <c r="B17" s="103"/>
      <c r="C17" s="104"/>
      <c r="D17" s="105"/>
      <c r="E17" s="105"/>
      <c r="F17" s="105"/>
      <c r="G17" s="2092"/>
      <c r="H17" s="3733"/>
      <c r="I17" s="3737"/>
      <c r="J17" s="1127"/>
      <c r="K17" s="3779"/>
      <c r="L17" s="1118"/>
      <c r="M17" s="3810"/>
      <c r="N17" s="1125"/>
      <c r="O17" s="3846"/>
      <c r="P17" s="1673"/>
      <c r="Q17" s="3885"/>
      <c r="R17" s="1679"/>
      <c r="S17" s="3919"/>
      <c r="T17" s="3726"/>
    </row>
    <row r="18" spans="1:30" s="102" customFormat="1" ht="25.35" hidden="1" customHeight="1">
      <c r="A18" s="109" t="s">
        <v>2088</v>
      </c>
      <c r="B18" s="103"/>
      <c r="C18" s="104"/>
      <c r="D18" s="105"/>
      <c r="E18" s="105"/>
      <c r="F18" s="105"/>
      <c r="G18" s="2092"/>
      <c r="H18" s="3733"/>
      <c r="I18" s="3737"/>
      <c r="J18" s="1127"/>
      <c r="K18" s="3779"/>
      <c r="L18" s="1118"/>
      <c r="M18" s="3810"/>
      <c r="N18" s="1125"/>
      <c r="O18" s="3846"/>
      <c r="P18" s="1673"/>
      <c r="Q18" s="3885"/>
      <c r="R18" s="1679"/>
      <c r="S18" s="3919"/>
      <c r="T18" s="3726"/>
    </row>
    <row r="19" spans="1:30" s="102" customFormat="1" ht="25.35" hidden="1" customHeight="1" thickBot="1">
      <c r="A19" s="115"/>
      <c r="B19" s="116"/>
      <c r="C19" s="117"/>
      <c r="D19" s="118"/>
      <c r="E19" s="118"/>
      <c r="F19" s="118"/>
      <c r="G19" s="2092"/>
      <c r="H19" s="3733"/>
      <c r="I19" s="3737"/>
      <c r="J19" s="1127"/>
      <c r="K19" s="3779"/>
      <c r="L19" s="1118"/>
      <c r="M19" s="3810"/>
      <c r="N19" s="1125"/>
      <c r="O19" s="3846"/>
      <c r="P19" s="1673"/>
      <c r="Q19" s="3885"/>
      <c r="R19" s="1679"/>
      <c r="S19" s="3919"/>
      <c r="T19" s="3726"/>
    </row>
    <row r="20" spans="1:30" ht="15.75" thickBot="1">
      <c r="A20" s="38"/>
      <c r="B20" s="39"/>
      <c r="C20" s="40"/>
      <c r="D20" s="38"/>
      <c r="E20" s="38"/>
      <c r="F20" s="38"/>
      <c r="G20" s="2093" t="s">
        <v>3892</v>
      </c>
      <c r="H20" s="3324"/>
      <c r="I20" s="3758" t="s">
        <v>3892</v>
      </c>
      <c r="J20" s="1090"/>
      <c r="K20" s="3373"/>
      <c r="L20" s="3780"/>
      <c r="M20" s="3811" t="s">
        <v>3892</v>
      </c>
      <c r="N20" s="1123"/>
      <c r="O20" s="3847"/>
      <c r="P20" s="1671"/>
      <c r="Q20" s="3886" t="s">
        <v>3892</v>
      </c>
      <c r="R20" s="1677"/>
      <c r="S20" s="3920"/>
      <c r="T20" s="3725"/>
    </row>
    <row r="21" spans="1:30" ht="13.5" thickTop="1">
      <c r="G21" s="2071" t="s">
        <v>3853</v>
      </c>
      <c r="H21" s="3751" t="s">
        <v>3854</v>
      </c>
      <c r="I21" s="3759" t="s">
        <v>3853</v>
      </c>
      <c r="J21" s="3760" t="s">
        <v>3854</v>
      </c>
      <c r="K21" s="3781" t="s">
        <v>3853</v>
      </c>
      <c r="L21" s="3782" t="s">
        <v>3854</v>
      </c>
      <c r="M21" s="3812" t="s">
        <v>3853</v>
      </c>
      <c r="N21" s="3813" t="s">
        <v>3854</v>
      </c>
      <c r="O21" s="3848" t="s">
        <v>3853</v>
      </c>
      <c r="P21" s="3849" t="s">
        <v>3854</v>
      </c>
      <c r="Q21" s="3887" t="s">
        <v>3853</v>
      </c>
      <c r="R21" s="3888" t="s">
        <v>3854</v>
      </c>
      <c r="S21" s="3921" t="s">
        <v>3853</v>
      </c>
      <c r="T21" s="3922" t="s">
        <v>3854</v>
      </c>
      <c r="U21" s="204"/>
      <c r="V21" s="204"/>
      <c r="W21" s="204"/>
      <c r="X21" s="204"/>
      <c r="Y21" s="204"/>
      <c r="Z21" s="204"/>
      <c r="AA21" s="204"/>
      <c r="AB21" s="204"/>
      <c r="AC21" s="204"/>
      <c r="AD21" s="204"/>
    </row>
    <row r="22" spans="1:30" ht="15.75">
      <c r="A22" s="34" t="s">
        <v>814</v>
      </c>
      <c r="B22" s="23"/>
      <c r="C22" s="9"/>
      <c r="D22" s="23"/>
      <c r="E22" s="23"/>
      <c r="F22" s="9"/>
      <c r="G22" s="2094" t="s">
        <v>3138</v>
      </c>
      <c r="H22" s="3325" t="s">
        <v>3138</v>
      </c>
      <c r="I22" s="3738" t="s">
        <v>3225</v>
      </c>
      <c r="J22" s="3739" t="s">
        <v>3225</v>
      </c>
      <c r="K22" s="3783" t="s">
        <v>3284</v>
      </c>
      <c r="L22" s="3629" t="s">
        <v>3284</v>
      </c>
      <c r="M22" s="3814" t="s">
        <v>3922</v>
      </c>
      <c r="N22" s="3815" t="s">
        <v>3922</v>
      </c>
      <c r="O22" s="3850" t="s">
        <v>6374</v>
      </c>
      <c r="P22" s="3851" t="s">
        <v>6374</v>
      </c>
      <c r="Q22" s="3889" t="s">
        <v>6939</v>
      </c>
      <c r="R22" s="3330" t="str">
        <f>Q22</f>
        <v>2022-23</v>
      </c>
      <c r="S22" s="3923" t="s">
        <v>8157</v>
      </c>
      <c r="T22" s="3727" t="str">
        <f>S22</f>
        <v>2023-24</v>
      </c>
    </row>
    <row r="23" spans="1:30">
      <c r="A23" s="31"/>
      <c r="G23" s="2094" t="s">
        <v>2077</v>
      </c>
      <c r="H23" s="3325" t="s">
        <v>2077</v>
      </c>
      <c r="I23" s="3740" t="s">
        <v>2077</v>
      </c>
      <c r="J23" s="3741" t="s">
        <v>2077</v>
      </c>
      <c r="K23" s="1792" t="s">
        <v>2077</v>
      </c>
      <c r="L23" s="3630" t="s">
        <v>2077</v>
      </c>
      <c r="M23" s="3816" t="s">
        <v>2077</v>
      </c>
      <c r="N23" s="3817" t="s">
        <v>2077</v>
      </c>
      <c r="O23" s="3852" t="s">
        <v>2077</v>
      </c>
      <c r="P23" s="3853" t="s">
        <v>2077</v>
      </c>
      <c r="Q23" s="3890" t="s">
        <v>2077</v>
      </c>
      <c r="R23" s="1680" t="s">
        <v>2077</v>
      </c>
      <c r="S23" s="3924" t="s">
        <v>2077</v>
      </c>
      <c r="T23" s="3728" t="s">
        <v>2077</v>
      </c>
    </row>
    <row r="24" spans="1:30">
      <c r="A24" s="41" t="s">
        <v>2186</v>
      </c>
      <c r="B24" t="s">
        <v>8648</v>
      </c>
      <c r="G24" s="2095">
        <f>'Data Entry - SOF'!C169</f>
        <v>0</v>
      </c>
      <c r="H24" s="3752">
        <f>G24</f>
        <v>0</v>
      </c>
      <c r="I24" s="3761">
        <f>'Data Entry - SOF'!E169</f>
        <v>0</v>
      </c>
      <c r="J24" s="3762">
        <f>I24</f>
        <v>0</v>
      </c>
      <c r="K24" s="3784">
        <f>'Data Entry - SOF'!E101</f>
        <v>0</v>
      </c>
      <c r="L24" s="3785">
        <f>K24</f>
        <v>0</v>
      </c>
      <c r="M24" s="3818">
        <f>K24</f>
        <v>0</v>
      </c>
      <c r="N24" s="3819">
        <f>M24</f>
        <v>0</v>
      </c>
      <c r="O24" s="3854">
        <f>'Data Entry - SOF'!M101</f>
        <v>0</v>
      </c>
      <c r="P24" s="3855">
        <f>O24</f>
        <v>0</v>
      </c>
      <c r="Q24" s="3891">
        <f>O24</f>
        <v>0</v>
      </c>
      <c r="R24" s="3892">
        <f>Q24</f>
        <v>0</v>
      </c>
      <c r="S24" s="3925">
        <f>'Data Entry - SOF'!Q101</f>
        <v>0</v>
      </c>
      <c r="T24" s="3926">
        <f>S24</f>
        <v>0</v>
      </c>
    </row>
    <row r="25" spans="1:30">
      <c r="A25" s="41"/>
      <c r="B25" s="71"/>
      <c r="G25" s="2096"/>
      <c r="H25" s="3326"/>
      <c r="I25" s="3742"/>
      <c r="J25" s="3743"/>
      <c r="K25" s="3786"/>
      <c r="L25" s="3787"/>
      <c r="M25" s="3820"/>
      <c r="N25" s="3821"/>
      <c r="O25" s="3856"/>
      <c r="P25" s="3857"/>
      <c r="Q25" s="3893"/>
      <c r="R25" s="1681"/>
      <c r="S25" s="3927"/>
      <c r="T25" s="3729"/>
    </row>
    <row r="26" spans="1:30">
      <c r="A26" s="41" t="s">
        <v>2187</v>
      </c>
      <c r="B26" t="s">
        <v>3345</v>
      </c>
      <c r="G26" s="2097">
        <f>'Data Entry - SOF'!C170</f>
        <v>0</v>
      </c>
      <c r="H26" s="3753">
        <f>G26</f>
        <v>0</v>
      </c>
      <c r="I26" s="3763">
        <f>'Data Entry - SOF'!E170</f>
        <v>0</v>
      </c>
      <c r="J26" s="3764">
        <f>I26</f>
        <v>0</v>
      </c>
      <c r="K26" s="3788">
        <f>I61</f>
        <v>0</v>
      </c>
      <c r="L26" s="3789">
        <f>K26</f>
        <v>0</v>
      </c>
      <c r="M26" s="3822">
        <f>K26</f>
        <v>0</v>
      </c>
      <c r="N26" s="3823">
        <f>M26</f>
        <v>0</v>
      </c>
      <c r="O26" s="3858">
        <f>M61</f>
        <v>0</v>
      </c>
      <c r="P26" s="3859">
        <f>O26</f>
        <v>0</v>
      </c>
      <c r="Q26" s="3894">
        <f>O26</f>
        <v>0</v>
      </c>
      <c r="R26" s="3895">
        <f>Q26</f>
        <v>0</v>
      </c>
      <c r="S26" s="3928">
        <f>Q61</f>
        <v>0</v>
      </c>
      <c r="T26" s="3929">
        <f>S26</f>
        <v>0</v>
      </c>
    </row>
    <row r="27" spans="1:30">
      <c r="A27" s="31"/>
      <c r="B27" s="71"/>
      <c r="G27" s="2096"/>
      <c r="H27" s="3326"/>
      <c r="I27" s="3742"/>
      <c r="J27" s="3743"/>
      <c r="K27" s="3786"/>
      <c r="L27" s="3787"/>
      <c r="M27" s="3820"/>
      <c r="N27" s="3821"/>
      <c r="O27" s="3856"/>
      <c r="P27" s="3857"/>
      <c r="Q27" s="3893"/>
      <c r="R27" s="1681"/>
      <c r="S27" s="3927"/>
      <c r="T27" s="3729"/>
    </row>
    <row r="28" spans="1:30">
      <c r="A28" s="41" t="s">
        <v>2188</v>
      </c>
      <c r="B28" t="s">
        <v>3346</v>
      </c>
      <c r="G28" s="2097">
        <f>'Data Entry - SOF'!C171</f>
        <v>0</v>
      </c>
      <c r="H28" s="3753">
        <f>G28</f>
        <v>0</v>
      </c>
      <c r="I28" s="3763">
        <f>'Data Entry - SOF'!E171</f>
        <v>0</v>
      </c>
      <c r="J28" s="3764">
        <f>I28</f>
        <v>0</v>
      </c>
      <c r="K28" s="3788">
        <f>'IFA-OldLaw'!L79</f>
        <v>0</v>
      </c>
      <c r="L28" s="3789">
        <f>K28</f>
        <v>0</v>
      </c>
      <c r="M28" s="3822">
        <f>K28</f>
        <v>0</v>
      </c>
      <c r="N28" s="3823">
        <f>M28</f>
        <v>0</v>
      </c>
      <c r="O28" s="3860">
        <f>'IFA-OldLaw'!T79</f>
        <v>0</v>
      </c>
      <c r="P28" s="3859">
        <f>O28</f>
        <v>0</v>
      </c>
      <c r="Q28" s="3896">
        <f>O28</f>
        <v>0</v>
      </c>
      <c r="R28" s="3895">
        <f>Q28</f>
        <v>0</v>
      </c>
      <c r="S28" s="3930">
        <f>'IFA-OldLaw'!AB79</f>
        <v>0</v>
      </c>
      <c r="T28" s="3929">
        <f>S28</f>
        <v>0</v>
      </c>
    </row>
    <row r="29" spans="1:30">
      <c r="A29" s="41"/>
      <c r="B29" s="71"/>
      <c r="G29" s="2096"/>
      <c r="H29" s="3326"/>
      <c r="I29" s="3742"/>
      <c r="J29" s="3743"/>
      <c r="K29" s="3786"/>
      <c r="L29" s="3787"/>
      <c r="M29" s="3820"/>
      <c r="N29" s="3821"/>
      <c r="O29" s="3856"/>
      <c r="P29" s="3857"/>
      <c r="Q29" s="3893"/>
      <c r="R29" s="1681"/>
      <c r="S29" s="3927"/>
      <c r="T29" s="3729"/>
    </row>
    <row r="30" spans="1:30">
      <c r="A30" s="41" t="s">
        <v>909</v>
      </c>
      <c r="B30" t="s">
        <v>298</v>
      </c>
      <c r="G30" s="2098">
        <f t="shared" ref="G30:L30" si="0">IF(G24-G26-G28&lt;0,0,G24-G26-G28)</f>
        <v>0</v>
      </c>
      <c r="H30" s="3754">
        <f t="shared" si="0"/>
        <v>0</v>
      </c>
      <c r="I30" s="3765">
        <f t="shared" si="0"/>
        <v>0</v>
      </c>
      <c r="J30" s="3766">
        <f t="shared" si="0"/>
        <v>0</v>
      </c>
      <c r="K30" s="3790">
        <f t="shared" si="0"/>
        <v>0</v>
      </c>
      <c r="L30" s="3791">
        <f t="shared" si="0"/>
        <v>0</v>
      </c>
      <c r="M30" s="3824">
        <f t="shared" ref="M30:R30" si="1">IF(M24-M26-M28&lt;0,0,M24-M26-M28)</f>
        <v>0</v>
      </c>
      <c r="N30" s="3825">
        <f t="shared" si="1"/>
        <v>0</v>
      </c>
      <c r="O30" s="3861">
        <f t="shared" si="1"/>
        <v>0</v>
      </c>
      <c r="P30" s="3862">
        <f t="shared" si="1"/>
        <v>0</v>
      </c>
      <c r="Q30" s="3897">
        <f t="shared" si="1"/>
        <v>0</v>
      </c>
      <c r="R30" s="3898">
        <f t="shared" si="1"/>
        <v>0</v>
      </c>
      <c r="S30" s="3931">
        <f t="shared" ref="S30:T30" si="2">IF(S24-S26-S28&lt;0,0,S24-S26-S28)</f>
        <v>0</v>
      </c>
      <c r="T30" s="3932">
        <f t="shared" si="2"/>
        <v>0</v>
      </c>
    </row>
    <row r="31" spans="1:30">
      <c r="A31" s="41"/>
      <c r="B31" t="s">
        <v>901</v>
      </c>
      <c r="G31" s="2096"/>
      <c r="H31" s="3326"/>
      <c r="I31" s="3742"/>
      <c r="J31" s="3743"/>
      <c r="K31" s="3786"/>
      <c r="L31" s="3787"/>
      <c r="M31" s="3820"/>
      <c r="N31" s="3821"/>
      <c r="O31" s="3856"/>
      <c r="P31" s="3857"/>
      <c r="Q31" s="3893"/>
      <c r="R31" s="1681"/>
      <c r="S31" s="3927"/>
      <c r="T31" s="3729"/>
    </row>
    <row r="32" spans="1:30">
      <c r="A32" s="41"/>
      <c r="G32" s="2096"/>
      <c r="H32" s="3326"/>
      <c r="I32" s="3742"/>
      <c r="J32" s="3743"/>
      <c r="K32" s="3786"/>
      <c r="L32" s="3787"/>
      <c r="M32" s="3820"/>
      <c r="N32" s="3821"/>
      <c r="O32" s="3856"/>
      <c r="P32" s="3857"/>
      <c r="Q32" s="3893"/>
      <c r="R32" s="1681"/>
      <c r="S32" s="3927"/>
      <c r="T32" s="3729"/>
    </row>
    <row r="33" spans="1:20">
      <c r="A33" s="41" t="s">
        <v>910</v>
      </c>
      <c r="B33" s="83" t="s">
        <v>17</v>
      </c>
      <c r="G33" s="2097">
        <f>'Data Entry - SOF'!C118</f>
        <v>0</v>
      </c>
      <c r="H33" s="3753">
        <f>G33</f>
        <v>0</v>
      </c>
      <c r="I33" s="3767">
        <f>'Data Entry - SOF'!E118</f>
        <v>0</v>
      </c>
      <c r="J33" s="3768">
        <f>'Data Entry - SOF'!E118</f>
        <v>0</v>
      </c>
      <c r="K33" s="3792">
        <f>'Data Entry - SOF'!K118</f>
        <v>0</v>
      </c>
      <c r="L33" s="3793">
        <f>K33</f>
        <v>0</v>
      </c>
      <c r="M33" s="3826">
        <f>'Data Entry - SOF'!M118</f>
        <v>0</v>
      </c>
      <c r="N33" s="3827">
        <f>M33</f>
        <v>0</v>
      </c>
      <c r="O33" s="3863">
        <f>'Data Entry - SOF'!O118</f>
        <v>0</v>
      </c>
      <c r="P33" s="3864">
        <f>O33</f>
        <v>0</v>
      </c>
      <c r="Q33" s="3899">
        <f>'Data Entry - SOF'!Q118</f>
        <v>0</v>
      </c>
      <c r="R33" s="3900">
        <f>Q33</f>
        <v>0</v>
      </c>
      <c r="S33" s="3933">
        <f>'Data Entry - SOF'!S118</f>
        <v>0</v>
      </c>
      <c r="T33" s="3934">
        <f>S33</f>
        <v>0</v>
      </c>
    </row>
    <row r="34" spans="1:20">
      <c r="A34" s="31"/>
      <c r="B34" s="83" t="s">
        <v>1890</v>
      </c>
      <c r="G34" s="2096"/>
      <c r="H34" s="3326"/>
      <c r="I34" s="3742"/>
      <c r="J34" s="3743"/>
      <c r="K34" s="3786"/>
      <c r="L34" s="3787"/>
      <c r="M34" s="3820"/>
      <c r="N34" s="3821"/>
      <c r="O34" s="3856"/>
      <c r="P34" s="3857"/>
      <c r="Q34" s="3893"/>
      <c r="R34" s="1681"/>
      <c r="S34" s="3927"/>
      <c r="T34" s="3729"/>
    </row>
    <row r="35" spans="1:20">
      <c r="A35" s="41" t="s">
        <v>912</v>
      </c>
      <c r="B35" t="s">
        <v>6937</v>
      </c>
      <c r="G35" s="2097" t="e">
        <f>#REF!</f>
        <v>#REF!</v>
      </c>
      <c r="H35" s="3753" t="e">
        <f>G35</f>
        <v>#REF!</v>
      </c>
      <c r="I35" s="3767">
        <f>IFA_Limits!F55</f>
        <v>0</v>
      </c>
      <c r="J35" s="3768">
        <f>I35</f>
        <v>0</v>
      </c>
      <c r="K35" s="3792">
        <f>IFA_Limits!H55</f>
        <v>0</v>
      </c>
      <c r="L35" s="3793">
        <f>K35</f>
        <v>0</v>
      </c>
      <c r="M35" s="3826">
        <f>IFA_Limits!J55</f>
        <v>0</v>
      </c>
      <c r="N35" s="3827">
        <f>M35</f>
        <v>0</v>
      </c>
      <c r="O35" s="3863">
        <f>IFA_Limits!L55</f>
        <v>0</v>
      </c>
      <c r="P35" s="3864">
        <f>O35</f>
        <v>0</v>
      </c>
      <c r="Q35" s="3899">
        <f>IFA_Limits!N55</f>
        <v>0</v>
      </c>
      <c r="R35" s="3900">
        <f>Q35</f>
        <v>0</v>
      </c>
      <c r="S35" s="3933">
        <f>IFA_Limits!P55</f>
        <v>0</v>
      </c>
      <c r="T35" s="3934">
        <f>S35</f>
        <v>0</v>
      </c>
    </row>
    <row r="36" spans="1:20">
      <c r="A36" s="41"/>
      <c r="G36" s="2096"/>
      <c r="H36" s="3326"/>
      <c r="I36" s="3742"/>
      <c r="J36" s="3743"/>
      <c r="K36" s="3786"/>
      <c r="L36" s="3787"/>
      <c r="M36" s="3820"/>
      <c r="N36" s="3821"/>
      <c r="O36" s="3856"/>
      <c r="P36" s="3857"/>
      <c r="Q36" s="3893"/>
      <c r="R36" s="1681"/>
      <c r="S36" s="3927"/>
      <c r="T36" s="3729"/>
    </row>
    <row r="37" spans="1:20">
      <c r="A37" s="41" t="s">
        <v>913</v>
      </c>
      <c r="B37" t="s">
        <v>2008</v>
      </c>
      <c r="G37" s="2099">
        <f>'Data Entry - SOF'!C19</f>
        <v>0</v>
      </c>
      <c r="H37" s="3755">
        <f>G37</f>
        <v>0</v>
      </c>
      <c r="I37" s="3769">
        <f>'Data Entry - SOF'!E19</f>
        <v>0</v>
      </c>
      <c r="J37" s="3770">
        <f>'Data Entry - SOF'!E19</f>
        <v>0</v>
      </c>
      <c r="K37" s="3794">
        <f>'Data Entry - SOF'!K19</f>
        <v>0</v>
      </c>
      <c r="L37" s="3795">
        <f>K37</f>
        <v>0</v>
      </c>
      <c r="M37" s="3828">
        <f>'Data Entry - SOF'!M19</f>
        <v>0</v>
      </c>
      <c r="N37" s="3829">
        <f>M37</f>
        <v>0</v>
      </c>
      <c r="O37" s="3865">
        <f>'Data Entry - SOF'!O19</f>
        <v>0</v>
      </c>
      <c r="P37" s="3866">
        <f>O37</f>
        <v>0</v>
      </c>
      <c r="Q37" s="3901">
        <f>'Data Entry - SOF'!Q19</f>
        <v>0</v>
      </c>
      <c r="R37" s="3902">
        <f>Q37</f>
        <v>0</v>
      </c>
      <c r="S37" s="3935">
        <f>'Data Entry - SOF'!S19</f>
        <v>0</v>
      </c>
      <c r="T37" s="3936">
        <f>S37</f>
        <v>0</v>
      </c>
    </row>
    <row r="38" spans="1:20">
      <c r="A38" s="31"/>
      <c r="H38" s="3324"/>
      <c r="I38" s="3744"/>
      <c r="J38" s="1090"/>
      <c r="K38" s="3652"/>
      <c r="L38" s="1116"/>
      <c r="M38" s="3830"/>
      <c r="N38" s="1123"/>
      <c r="O38" s="3867"/>
      <c r="P38" s="1671"/>
      <c r="Q38" s="3903"/>
      <c r="R38" s="1677"/>
      <c r="S38" s="3937"/>
      <c r="T38" s="3725"/>
    </row>
    <row r="39" spans="1:20">
      <c r="A39" s="41" t="s">
        <v>914</v>
      </c>
      <c r="B39" t="s">
        <v>6603</v>
      </c>
      <c r="G39" s="2097">
        <f>'Data Entry - SOF'!C168</f>
        <v>0</v>
      </c>
      <c r="H39" s="3753">
        <f>G39</f>
        <v>0</v>
      </c>
      <c r="I39" s="3767">
        <f>'Data Entry - SOF'!E168</f>
        <v>0</v>
      </c>
      <c r="J39" s="3768" t="e">
        <f>'DE1'!D55</f>
        <v>#N/A</v>
      </c>
      <c r="K39" s="3792">
        <f>'Data Entry - SOF'!E76</f>
        <v>0</v>
      </c>
      <c r="L39" s="3793">
        <f>'Data Entry - SOF'!E78</f>
        <v>0</v>
      </c>
      <c r="M39" s="3826">
        <f>K39</f>
        <v>0</v>
      </c>
      <c r="N39" s="3827">
        <f>L39</f>
        <v>0</v>
      </c>
      <c r="O39" s="3868">
        <f>'Data Entry - SOF'!M76</f>
        <v>0</v>
      </c>
      <c r="P39" s="3868">
        <f>'Data Entry - SOF'!M78</f>
        <v>0</v>
      </c>
      <c r="Q39" s="3904">
        <f>O39</f>
        <v>0</v>
      </c>
      <c r="R39" s="3900">
        <f>P39</f>
        <v>0</v>
      </c>
      <c r="S39" s="3938">
        <f>'Data Entry - SOF'!Q76</f>
        <v>0</v>
      </c>
      <c r="T39" s="3938">
        <f>'Data Entry - SOF'!Q78</f>
        <v>0</v>
      </c>
    </row>
    <row r="40" spans="1:20">
      <c r="A40" s="41"/>
      <c r="G40" s="2096"/>
      <c r="H40" s="3326"/>
      <c r="I40" s="3742"/>
      <c r="J40" s="3743"/>
      <c r="K40" s="3786"/>
      <c r="L40" s="3787"/>
      <c r="M40" s="3820"/>
      <c r="N40" s="3821"/>
      <c r="O40" s="3856"/>
      <c r="P40" s="3857"/>
      <c r="Q40" s="3893"/>
      <c r="R40" s="1681"/>
      <c r="S40" s="3927"/>
      <c r="T40" s="3729"/>
    </row>
    <row r="41" spans="1:20">
      <c r="A41" s="41" t="s">
        <v>118</v>
      </c>
      <c r="B41" t="s">
        <v>9205</v>
      </c>
      <c r="G41" s="2097">
        <f>'Data Entry - SOF'!C76</f>
        <v>0</v>
      </c>
      <c r="H41" s="3753">
        <f>'Data Entry - SOF'!C78</f>
        <v>0</v>
      </c>
      <c r="I41" s="3767">
        <f>'Data Entry - SOF'!E76</f>
        <v>0</v>
      </c>
      <c r="J41" s="3768">
        <f>'Data Entry - SOF'!E78</f>
        <v>0</v>
      </c>
      <c r="K41" s="3792">
        <f>'Data Entry - SOF'!E86</f>
        <v>0</v>
      </c>
      <c r="L41" s="3793">
        <f>'Data Entry - SOF'!E88</f>
        <v>0</v>
      </c>
      <c r="M41" s="3826">
        <f>'Data Entry - SOF'!K76</f>
        <v>0</v>
      </c>
      <c r="N41" s="3827">
        <f>'Data Entry - SOF'!K78</f>
        <v>0</v>
      </c>
      <c r="O41" s="3863">
        <f>'Data Entry - SOF'!M76</f>
        <v>0</v>
      </c>
      <c r="P41" s="3864">
        <f>'Data Entry - SOF'!M78</f>
        <v>0</v>
      </c>
      <c r="Q41" s="3899">
        <f>'Data Entry - SOF'!O76</f>
        <v>0</v>
      </c>
      <c r="R41" s="3900">
        <f>'Data Entry - SOF'!O78</f>
        <v>0</v>
      </c>
      <c r="S41" s="3933">
        <f>'Data Entry - SOF'!Q76</f>
        <v>0</v>
      </c>
      <c r="T41" s="3934">
        <f>'Data Entry - SOF'!Q78</f>
        <v>0</v>
      </c>
    </row>
    <row r="42" spans="1:20">
      <c r="A42" s="31"/>
      <c r="H42" s="3324"/>
      <c r="I42" s="3744"/>
      <c r="J42" s="1090"/>
      <c r="K42" s="3652"/>
      <c r="L42" s="1116"/>
      <c r="M42" s="3830"/>
      <c r="N42" s="1123"/>
      <c r="O42" s="3867"/>
      <c r="P42" s="1671"/>
      <c r="Q42" s="3903"/>
      <c r="R42" s="1677"/>
      <c r="S42" s="3937"/>
      <c r="T42" s="3725"/>
    </row>
    <row r="43" spans="1:20" ht="15.75">
      <c r="A43" s="32" t="s">
        <v>908</v>
      </c>
      <c r="H43" s="3324"/>
      <c r="I43" s="3744"/>
      <c r="J43" s="1090"/>
      <c r="K43" s="3652"/>
      <c r="L43" s="1116"/>
      <c r="M43" s="3830"/>
      <c r="N43" s="1123"/>
      <c r="O43" s="3867"/>
      <c r="P43" s="1671"/>
      <c r="Q43" s="3903"/>
      <c r="R43" s="1677"/>
      <c r="S43" s="3937"/>
      <c r="T43" s="3725"/>
    </row>
    <row r="44" spans="1:20">
      <c r="A44" s="31"/>
      <c r="H44" s="3324"/>
      <c r="I44" s="3744"/>
      <c r="J44" s="1090"/>
      <c r="K44" s="3652"/>
      <c r="L44" s="1116"/>
      <c r="M44" s="3830"/>
      <c r="N44" s="1123"/>
      <c r="O44" s="3867"/>
      <c r="P44" s="1671"/>
      <c r="Q44" s="3903"/>
      <c r="R44" s="1677"/>
      <c r="S44" s="3937"/>
      <c r="T44" s="3725"/>
    </row>
    <row r="45" spans="1:20" ht="15.75">
      <c r="A45" s="33" t="s">
        <v>105</v>
      </c>
      <c r="B45" s="23"/>
      <c r="C45" s="23"/>
      <c r="D45" s="9"/>
      <c r="H45" s="3324"/>
      <c r="I45" s="3744"/>
      <c r="J45" s="1090"/>
      <c r="K45" s="3652"/>
      <c r="L45" s="1116"/>
      <c r="M45" s="3830"/>
      <c r="N45" s="1123"/>
      <c r="O45" s="3867"/>
      <c r="P45" s="1671"/>
      <c r="Q45" s="3903"/>
      <c r="R45" s="1677"/>
      <c r="S45" s="3937"/>
      <c r="T45" s="3725"/>
    </row>
    <row r="46" spans="1:20" ht="15.75">
      <c r="A46" s="32"/>
      <c r="H46" s="3324"/>
      <c r="I46" s="3744"/>
      <c r="J46" s="1090"/>
      <c r="K46" s="3652"/>
      <c r="L46" s="1116"/>
      <c r="M46" s="3830"/>
      <c r="N46" s="1123"/>
      <c r="O46" s="3867"/>
      <c r="P46" s="1671"/>
      <c r="Q46" s="3903"/>
      <c r="R46" s="1677"/>
      <c r="S46" s="3937"/>
      <c r="T46" s="3725"/>
    </row>
    <row r="47" spans="1:20">
      <c r="A47" s="51" t="s">
        <v>119</v>
      </c>
      <c r="B47" t="s">
        <v>2061</v>
      </c>
      <c r="G47" s="2100" t="e">
        <f>IF('Data Entry - SOF'!C118&lt;='IFA-OldLaw'!H65,0,IF(G24&lt;G26,(G24*100)/G39,((G26+G30)/(G39/100))))</f>
        <v>#REF!</v>
      </c>
      <c r="H47" s="3756" t="e">
        <f>IF('Data Entry - SOF'!C118&lt;='IFA-OldLaw'!I65,0,IF(H24&lt;H26,(H24*100)/H39,((H26+H30)/(H39/100))))</f>
        <v>#REF!</v>
      </c>
      <c r="I47" s="3771">
        <f>IF('Data Entry - SOF'!E118&lt;='IFA-OldLaw'!L65,0,IF(I24&lt;I26,(I24*100)/I39,((I26+I30)/(I39/100))))</f>
        <v>0</v>
      </c>
      <c r="J47" s="3772">
        <f>IF('Data Entry - SOF'!E118&lt;='IFA-OldLaw'!N65,0,IF(J24&lt;J26,(J24*100)/J39,((J26+J30)/(J39/100))))</f>
        <v>0</v>
      </c>
      <c r="K47" s="3796">
        <f>IF('Data Entry - SOF'!K118&lt;='IFA-OldLaw'!P65,0,IF(K24&lt;K26,(K24*100)/K39,((K26+K30)/(K39/100))))</f>
        <v>0</v>
      </c>
      <c r="L47" s="3797">
        <f>IF('Data Entry - SOF'!K118&lt;='IFA-OldLaw'!R65,0,IF(L24&lt;L26,(L24*100)/L39,((L26+L30)/(L39/100))))</f>
        <v>0</v>
      </c>
      <c r="M47" s="3831">
        <f>IF('Data Entry - SOF'!M118&lt;='IFA-OldLaw'!T65,0,IF(M24&lt;M26,(M24*100)/M39,((M26+M30)/(M39/100))))</f>
        <v>0</v>
      </c>
      <c r="N47" s="3832">
        <f>IF('Data Entry - SOF'!M118&lt;='IFA-OldLaw'!V65,0,IF(N24&lt;N26,(N24*100)/N39,((N26+N30)/(N39/100))))</f>
        <v>0</v>
      </c>
      <c r="O47" s="3869">
        <f>IF('Data Entry - SOF'!O118&lt;='IFA-OldLaw'!X65,0,IF(O24&lt;O26,(O24*100)/O39,((O26+O30)/(O39/100))))</f>
        <v>0</v>
      </c>
      <c r="P47" s="3870">
        <f>IF('Data Entry - SOF'!O118&lt;='IFA-OldLaw'!Z65,0,IF(P24&lt;P26,(P24*100)/P39,((P26+P30)/(P39/100))))</f>
        <v>0</v>
      </c>
      <c r="Q47" s="3905">
        <f>IF('Data Entry - SOF'!Q118&lt;='IFA-OldLaw'!AB65,0,IF(Q24&lt;Q26,(Q24*100)/Q39,((Q26+Q30)/(Q39/100))))</f>
        <v>0</v>
      </c>
      <c r="R47" s="3906">
        <f>IF('Data Entry - SOF'!Q118&lt;='IFA-OldLaw'!AD65,0,IF(R24&lt;R26,(R24*100)/R39,((R26+R30)/(R39/100))))</f>
        <v>0</v>
      </c>
      <c r="S47" s="3939">
        <f>IF('Data Entry - SOF'!S118&lt;='IFA-OldLaw'!AF65,0,IF(S24&lt;S26,(S24*100)/S39,((S26+S30)/(S39/100))))</f>
        <v>0</v>
      </c>
      <c r="T47" s="3940">
        <f>IF('Data Entry - SOF'!S118&lt;='IFA-OldLaw'!AH65,0,IF(T24&lt;T26,(T24*100)/T39,((T26+T30)/(T39/100))))</f>
        <v>0</v>
      </c>
    </row>
    <row r="48" spans="1:20">
      <c r="A48" s="51"/>
      <c r="B48" t="s">
        <v>2308</v>
      </c>
      <c r="G48" s="2101"/>
      <c r="H48" s="3327"/>
      <c r="I48" s="3745"/>
      <c r="J48" s="3746"/>
      <c r="K48" s="3798"/>
      <c r="L48" s="3799"/>
      <c r="M48" s="3833"/>
      <c r="N48" s="3834"/>
      <c r="O48" s="3871"/>
      <c r="P48" s="3872"/>
      <c r="Q48" s="3907"/>
      <c r="R48" s="1682"/>
      <c r="S48" s="3941"/>
      <c r="T48" s="3730"/>
    </row>
    <row r="49" spans="1:20">
      <c r="A49" s="51"/>
      <c r="B49" t="s">
        <v>3347</v>
      </c>
      <c r="G49" s="2101"/>
      <c r="H49" s="3327"/>
      <c r="I49" s="3745"/>
      <c r="J49" s="3746"/>
      <c r="K49" s="3798"/>
      <c r="L49" s="3799"/>
      <c r="M49" s="3833"/>
      <c r="N49" s="3834"/>
      <c r="O49" s="3871"/>
      <c r="P49" s="3872"/>
      <c r="Q49" s="3907"/>
      <c r="R49" s="1682"/>
      <c r="S49" s="3941"/>
      <c r="T49" s="3730"/>
    </row>
    <row r="50" spans="1:20" ht="15.75">
      <c r="A50" s="32"/>
      <c r="G50" s="2101"/>
      <c r="H50" s="3327"/>
      <c r="I50" s="3745"/>
      <c r="J50" s="3746"/>
      <c r="K50" s="3798"/>
      <c r="L50" s="3799"/>
      <c r="M50" s="3833"/>
      <c r="N50" s="3834"/>
      <c r="O50" s="3871"/>
      <c r="P50" s="3872"/>
      <c r="Q50" s="3907"/>
      <c r="R50" s="1682"/>
      <c r="S50" s="3941"/>
      <c r="T50" s="3730"/>
    </row>
    <row r="51" spans="1:20">
      <c r="A51" s="41" t="s">
        <v>120</v>
      </c>
      <c r="B51" t="s">
        <v>2547</v>
      </c>
      <c r="G51" s="2102" t="e">
        <f>IF(G33&lt;=G35,0,((G33-G35)/Weights!H50/G37/100))</f>
        <v>#REF!</v>
      </c>
      <c r="H51" s="3757" t="e">
        <f>IF(H33&lt;=H35,0,((H33-H35)/Weights!H50/H37/100))</f>
        <v>#REF!</v>
      </c>
      <c r="I51" s="3773">
        <f>IF(I33&lt;=I35,0,((I33-I35)/Weights!J50/I37/100))</f>
        <v>0</v>
      </c>
      <c r="J51" s="3774">
        <f>IF(J33&lt;=J35,0,((J33-J35)/Weights!J50/J37/100))</f>
        <v>0</v>
      </c>
      <c r="K51" s="3800">
        <f>IF(K33&lt;=K35,0,((K33-K35)/Weights!K50/K37/100))</f>
        <v>0</v>
      </c>
      <c r="L51" s="3801">
        <f>IF(L33&lt;=L35,0,((L33-L35)/Weights!K50/L37/100))</f>
        <v>0</v>
      </c>
      <c r="M51" s="3835">
        <f>IF(M33&lt;=M35,0,((M33-M35)/Weights!L50/M37/100))</f>
        <v>0</v>
      </c>
      <c r="N51" s="3836">
        <f>IF(N33&lt;=N35,0,((N33-N35)/Weights!L50/N37/100))</f>
        <v>0</v>
      </c>
      <c r="O51" s="3873">
        <f>IF(O33&lt;=O35,0,((O33-O35)/Weights!M50/O37/100))</f>
        <v>0</v>
      </c>
      <c r="P51" s="3874">
        <f>IF(P33&lt;=P35,0,((P33-P35)/Weights!M50/P37/100))</f>
        <v>0</v>
      </c>
      <c r="Q51" s="3908">
        <f>IF(Q33&lt;=Q35,0,((Q33-Q35)/Weights!N50/Q37/100))</f>
        <v>0</v>
      </c>
      <c r="R51" s="3909">
        <f>IF(R33&lt;=R35,0,((R33-R35)/Weights!N50/R37/100))</f>
        <v>0</v>
      </c>
      <c r="S51" s="3942">
        <f>IF(S33&lt;=S35,0,((S33-S35)/Weights!O50/S37/100))</f>
        <v>0</v>
      </c>
      <c r="T51" s="3943">
        <f>IF(T33&lt;=T35,0,((T33-T35)/Weights!O50/T37/100))</f>
        <v>0</v>
      </c>
    </row>
    <row r="52" spans="1:20">
      <c r="A52" s="41"/>
      <c r="B52" t="s">
        <v>747</v>
      </c>
      <c r="G52" s="2101"/>
      <c r="H52" s="3327"/>
      <c r="I52" s="3745"/>
      <c r="J52" s="3746"/>
      <c r="K52" s="3798"/>
      <c r="L52" s="3799"/>
      <c r="M52" s="3833"/>
      <c r="N52" s="3834"/>
      <c r="O52" s="3871"/>
      <c r="P52" s="3872"/>
      <c r="Q52" s="3907"/>
      <c r="R52" s="1682"/>
      <c r="S52" s="3941"/>
      <c r="T52" s="3730"/>
    </row>
    <row r="53" spans="1:20">
      <c r="A53" s="41"/>
      <c r="B53" t="s">
        <v>6936</v>
      </c>
      <c r="G53" s="2101"/>
      <c r="H53" s="3327"/>
      <c r="I53" s="3745"/>
      <c r="J53" s="3746"/>
      <c r="K53" s="3798"/>
      <c r="L53" s="3799"/>
      <c r="M53" s="3833"/>
      <c r="N53" s="3834"/>
      <c r="O53" s="3871"/>
      <c r="P53" s="3872"/>
      <c r="Q53" s="3907"/>
      <c r="R53" s="1682"/>
      <c r="S53" s="3941"/>
      <c r="T53" s="3730"/>
    </row>
    <row r="54" spans="1:20">
      <c r="A54" s="31"/>
      <c r="B54" s="1128" t="s">
        <v>6934</v>
      </c>
      <c r="G54" s="2101"/>
      <c r="H54" s="3327"/>
      <c r="I54" s="3745"/>
      <c r="J54" s="3746"/>
      <c r="K54" s="3798"/>
      <c r="L54" s="3799"/>
      <c r="M54" s="3833"/>
      <c r="N54" s="3834"/>
      <c r="O54" s="3871"/>
      <c r="P54" s="3872"/>
      <c r="Q54" s="3907"/>
      <c r="R54" s="1682"/>
      <c r="S54" s="3941"/>
      <c r="T54" s="3730"/>
    </row>
    <row r="55" spans="1:20">
      <c r="A55" s="41" t="s">
        <v>121</v>
      </c>
      <c r="B55" s="49" t="s">
        <v>727</v>
      </c>
      <c r="G55" s="2102" t="e">
        <f t="shared" ref="G55:L55" si="3">IF(MIN(G47,G51)&gt;0.29,0.29,MIN(G47,G51))</f>
        <v>#REF!</v>
      </c>
      <c r="H55" s="3757" t="e">
        <f t="shared" si="3"/>
        <v>#REF!</v>
      </c>
      <c r="I55" s="3773">
        <f t="shared" si="3"/>
        <v>0</v>
      </c>
      <c r="J55" s="3774">
        <f t="shared" si="3"/>
        <v>0</v>
      </c>
      <c r="K55" s="3800">
        <f t="shared" si="3"/>
        <v>0</v>
      </c>
      <c r="L55" s="3801">
        <f t="shared" si="3"/>
        <v>0</v>
      </c>
      <c r="M55" s="3835">
        <f t="shared" ref="M55:R55" si="4">IF(MIN(M47,M51)&gt;0.29,0.29,MIN(M47,M51))</f>
        <v>0</v>
      </c>
      <c r="N55" s="3836">
        <f t="shared" si="4"/>
        <v>0</v>
      </c>
      <c r="O55" s="3873">
        <f t="shared" si="4"/>
        <v>0</v>
      </c>
      <c r="P55" s="3874">
        <f t="shared" si="4"/>
        <v>0</v>
      </c>
      <c r="Q55" s="3908">
        <f t="shared" si="4"/>
        <v>0</v>
      </c>
      <c r="R55" s="3909">
        <f t="shared" si="4"/>
        <v>0</v>
      </c>
      <c r="S55" s="3942">
        <f t="shared" ref="S55:T55" si="5">IF(MIN(S47,S51)&gt;0.29,0.29,MIN(S47,S51))</f>
        <v>0</v>
      </c>
      <c r="T55" s="3943">
        <f t="shared" si="5"/>
        <v>0</v>
      </c>
    </row>
    <row r="56" spans="1:20">
      <c r="A56" s="31"/>
      <c r="G56" s="2103"/>
      <c r="H56" s="3328"/>
      <c r="I56" s="3747"/>
      <c r="J56" s="3748"/>
      <c r="K56" s="3659"/>
      <c r="L56" s="1119"/>
      <c r="M56" s="3837"/>
      <c r="N56" s="3838"/>
      <c r="O56" s="3875"/>
      <c r="P56" s="3876"/>
      <c r="Q56" s="3910"/>
      <c r="R56" s="1683"/>
      <c r="S56" s="3944"/>
      <c r="T56" s="3731"/>
    </row>
    <row r="57" spans="1:20" ht="15.75">
      <c r="A57" s="33" t="s">
        <v>911</v>
      </c>
      <c r="B57" s="23"/>
      <c r="C57" s="9"/>
      <c r="D57" s="9"/>
      <c r="G57" s="2103"/>
      <c r="H57" s="3328"/>
      <c r="I57" s="3747"/>
      <c r="J57" s="3748"/>
      <c r="K57" s="3659"/>
      <c r="L57" s="1119"/>
      <c r="M57" s="3837"/>
      <c r="N57" s="3838"/>
      <c r="O57" s="3875"/>
      <c r="P57" s="3876"/>
      <c r="Q57" s="3910"/>
      <c r="R57" s="1683"/>
      <c r="S57" s="3944"/>
      <c r="T57" s="3731"/>
    </row>
    <row r="58" spans="1:20">
      <c r="A58" s="31"/>
      <c r="G58" s="2103"/>
      <c r="H58" s="3328"/>
      <c r="I58" s="3747"/>
      <c r="J58" s="3748"/>
      <c r="K58" s="3659"/>
      <c r="L58" s="1119"/>
      <c r="M58" s="3837"/>
      <c r="N58" s="3838"/>
      <c r="O58" s="3875"/>
      <c r="P58" s="3876"/>
      <c r="Q58" s="3910"/>
      <c r="R58" s="1683"/>
      <c r="S58" s="3944"/>
      <c r="T58" s="3731"/>
    </row>
    <row r="59" spans="1:20">
      <c r="A59" s="41" t="s">
        <v>1513</v>
      </c>
      <c r="B59" s="73" t="s">
        <v>6933</v>
      </c>
      <c r="G59" s="2097" t="e">
        <f>G37*G55*Weights!H50*100</f>
        <v>#REF!</v>
      </c>
      <c r="H59" s="3753" t="e">
        <f>H37*H55*Weights!H50*100</f>
        <v>#REF!</v>
      </c>
      <c r="I59" s="3775">
        <f>I37*I55*Weights!J50*100</f>
        <v>0</v>
      </c>
      <c r="J59" s="3776">
        <f>J37*J55*Weights!J50*100</f>
        <v>0</v>
      </c>
      <c r="K59" s="3802">
        <f>K37*K55*Weights!K50*100</f>
        <v>0</v>
      </c>
      <c r="L59" s="3803">
        <f>L37*L55*Weights!K50*100</f>
        <v>0</v>
      </c>
      <c r="M59" s="3839">
        <f>M37*M55*Weights!L50*100</f>
        <v>0</v>
      </c>
      <c r="N59" s="3840">
        <f>N37*N55*Weights!L50*100</f>
        <v>0</v>
      </c>
      <c r="O59" s="3877">
        <f>O37*O55*Weights!M50*100</f>
        <v>0</v>
      </c>
      <c r="P59" s="3878">
        <f>P37*P55*Weights!M50*100</f>
        <v>0</v>
      </c>
      <c r="Q59" s="3911">
        <f>Q37*Q55*Weights!N50*100</f>
        <v>0</v>
      </c>
      <c r="R59" s="3912">
        <f>R37*R55*Weights!N50*100</f>
        <v>0</v>
      </c>
      <c r="S59" s="3945">
        <f>S37*S55*Weights!O50*100</f>
        <v>0</v>
      </c>
      <c r="T59" s="3946">
        <f>T37*T55*Weights!O50*100</f>
        <v>0</v>
      </c>
    </row>
    <row r="60" spans="1:20">
      <c r="A60" s="41"/>
      <c r="B60" s="1128" t="s">
        <v>6934</v>
      </c>
      <c r="G60" s="2103"/>
      <c r="H60" s="2103"/>
      <c r="I60" s="3747"/>
      <c r="J60" s="3748"/>
      <c r="K60" s="3659"/>
      <c r="L60" s="1119"/>
      <c r="M60" s="3837"/>
      <c r="N60" s="3838"/>
      <c r="O60" s="3875"/>
      <c r="P60" s="3876"/>
      <c r="Q60" s="3910"/>
      <c r="R60" s="1683"/>
      <c r="S60" s="3944"/>
      <c r="T60" s="3731"/>
    </row>
    <row r="61" spans="1:20">
      <c r="A61" s="41" t="s">
        <v>6</v>
      </c>
      <c r="B61" s="73" t="s">
        <v>1893</v>
      </c>
      <c r="G61" s="2097" t="e">
        <f t="shared" ref="G61:L61" si="6">G55*(G41/100)</f>
        <v>#REF!</v>
      </c>
      <c r="H61" s="3753" t="e">
        <f t="shared" si="6"/>
        <v>#REF!</v>
      </c>
      <c r="I61" s="3775">
        <f t="shared" si="6"/>
        <v>0</v>
      </c>
      <c r="J61" s="3776">
        <f t="shared" si="6"/>
        <v>0</v>
      </c>
      <c r="K61" s="3802">
        <f t="shared" si="6"/>
        <v>0</v>
      </c>
      <c r="L61" s="3803">
        <f t="shared" si="6"/>
        <v>0</v>
      </c>
      <c r="M61" s="3839">
        <f t="shared" ref="M61:R61" si="7">M55*(M41/100)</f>
        <v>0</v>
      </c>
      <c r="N61" s="3840">
        <f t="shared" si="7"/>
        <v>0</v>
      </c>
      <c r="O61" s="3877">
        <f t="shared" si="7"/>
        <v>0</v>
      </c>
      <c r="P61" s="3878">
        <f t="shared" si="7"/>
        <v>0</v>
      </c>
      <c r="Q61" s="3911">
        <f t="shared" si="7"/>
        <v>0</v>
      </c>
      <c r="R61" s="3912">
        <f t="shared" si="7"/>
        <v>0</v>
      </c>
      <c r="S61" s="3945">
        <f t="shared" ref="S61:T61" si="8">S55*(S41/100)</f>
        <v>0</v>
      </c>
      <c r="T61" s="3946">
        <f t="shared" si="8"/>
        <v>0</v>
      </c>
    </row>
    <row r="62" spans="1:20">
      <c r="A62" s="41"/>
      <c r="B62" s="71" t="s">
        <v>1892</v>
      </c>
      <c r="H62" s="3324"/>
      <c r="I62" s="3744"/>
      <c r="J62" s="1090"/>
      <c r="K62" s="3652"/>
      <c r="L62" s="1116"/>
      <c r="M62" s="3830"/>
      <c r="N62" s="1123"/>
      <c r="O62" s="3867"/>
      <c r="P62" s="1671"/>
      <c r="Q62" s="3903"/>
      <c r="R62" s="1677"/>
      <c r="S62" s="3937"/>
      <c r="T62" s="3725"/>
    </row>
    <row r="63" spans="1:20">
      <c r="A63" s="41"/>
      <c r="B63" s="71" t="s">
        <v>1891</v>
      </c>
      <c r="H63" s="3324"/>
      <c r="I63" s="3744"/>
      <c r="J63" s="1090"/>
      <c r="K63" s="3652"/>
      <c r="L63" s="1116"/>
      <c r="M63" s="3830"/>
      <c r="N63" s="1123"/>
      <c r="O63" s="3867"/>
      <c r="P63" s="1671"/>
      <c r="Q63" s="3903"/>
      <c r="R63" s="1677"/>
      <c r="S63" s="3937"/>
      <c r="T63" s="3725"/>
    </row>
    <row r="64" spans="1:20">
      <c r="A64" s="41"/>
      <c r="B64" s="71"/>
      <c r="H64" s="3324"/>
      <c r="I64" s="3744"/>
      <c r="J64" s="1090"/>
      <c r="K64" s="3652"/>
      <c r="L64" s="1116"/>
      <c r="M64" s="3830"/>
      <c r="N64" s="1123"/>
      <c r="O64" s="3867"/>
      <c r="P64" s="1671"/>
      <c r="Q64" s="3903"/>
      <c r="R64" s="1677"/>
      <c r="S64" s="3937"/>
      <c r="T64" s="3725"/>
    </row>
    <row r="65" spans="1:20" ht="16.5" hidden="1" thickBot="1">
      <c r="A65" s="41"/>
      <c r="B65" s="79" t="s">
        <v>1795</v>
      </c>
      <c r="C65" s="80"/>
      <c r="D65" s="80"/>
      <c r="E65" s="80"/>
      <c r="F65" s="81"/>
      <c r="H65" s="3324"/>
      <c r="I65" s="3744"/>
      <c r="J65" s="1090"/>
      <c r="K65" s="3652"/>
      <c r="L65" s="1116"/>
      <c r="M65" s="3830"/>
      <c r="N65" s="1123"/>
      <c r="O65" s="3867"/>
      <c r="P65" s="1671"/>
      <c r="Q65" s="3903"/>
      <c r="R65" s="1677"/>
      <c r="S65" s="3937"/>
      <c r="T65" s="3725"/>
    </row>
    <row r="66" spans="1:20" hidden="1">
      <c r="A66" s="41"/>
      <c r="B66" s="71"/>
      <c r="H66" s="3324"/>
      <c r="I66" s="3744"/>
      <c r="J66" s="1090"/>
      <c r="K66" s="3652"/>
      <c r="L66" s="1116"/>
      <c r="M66" s="3830"/>
      <c r="N66" s="1123"/>
      <c r="O66" s="3867"/>
      <c r="P66" s="1671"/>
      <c r="Q66" s="3903"/>
      <c r="R66" s="1677"/>
      <c r="S66" s="3937"/>
      <c r="T66" s="3725"/>
    </row>
    <row r="67" spans="1:20" hidden="1">
      <c r="A67" s="41"/>
      <c r="B67" s="68"/>
      <c r="H67" s="3324"/>
      <c r="I67" s="3744"/>
      <c r="J67" s="1090"/>
      <c r="K67" s="3652"/>
      <c r="L67" s="1116"/>
      <c r="M67" s="3830"/>
      <c r="N67" s="1123"/>
      <c r="O67" s="3867"/>
      <c r="P67" s="1671"/>
      <c r="Q67" s="3903"/>
      <c r="R67" s="1677"/>
      <c r="S67" s="3937"/>
      <c r="T67" s="3725"/>
    </row>
    <row r="68" spans="1:20" hidden="1">
      <c r="A68" s="41"/>
      <c r="B68" s="68"/>
      <c r="H68" s="3324"/>
      <c r="I68" s="3744"/>
      <c r="J68" s="1090"/>
      <c r="K68" s="3652"/>
      <c r="L68" s="1116"/>
      <c r="M68" s="3830"/>
      <c r="N68" s="1123"/>
      <c r="O68" s="3867"/>
      <c r="P68" s="1671"/>
      <c r="Q68" s="3903"/>
      <c r="R68" s="1677"/>
      <c r="S68" s="3937"/>
      <c r="T68" s="3725"/>
    </row>
    <row r="69" spans="1:20">
      <c r="A69" s="31"/>
      <c r="H69" s="3324"/>
      <c r="I69" s="3744"/>
      <c r="J69" s="1090"/>
      <c r="K69" s="3652"/>
      <c r="L69" s="1116"/>
      <c r="M69" s="3830"/>
      <c r="N69" s="1123"/>
      <c r="O69" s="3867"/>
      <c r="P69" s="1671"/>
      <c r="Q69" s="3903"/>
      <c r="R69" s="1677"/>
      <c r="S69" s="3937"/>
      <c r="T69" s="3725"/>
    </row>
    <row r="70" spans="1:20">
      <c r="A70" s="41" t="s">
        <v>2232</v>
      </c>
      <c r="B70" s="73" t="s">
        <v>2276</v>
      </c>
      <c r="G70" s="2097" t="e">
        <f t="shared" ref="G70:L70" si="9">IF(G61&gt;=G59,0,G59-G61)</f>
        <v>#REF!</v>
      </c>
      <c r="H70" s="3753" t="e">
        <f t="shared" si="9"/>
        <v>#REF!</v>
      </c>
      <c r="I70" s="3775">
        <f t="shared" si="9"/>
        <v>0</v>
      </c>
      <c r="J70" s="3776">
        <f t="shared" si="9"/>
        <v>0</v>
      </c>
      <c r="K70" s="3802">
        <f t="shared" si="9"/>
        <v>0</v>
      </c>
      <c r="L70" s="3803">
        <f t="shared" si="9"/>
        <v>0</v>
      </c>
      <c r="M70" s="3839">
        <f t="shared" ref="M70:R70" si="10">IF(M61&gt;=M59,0,M59-M61)</f>
        <v>0</v>
      </c>
      <c r="N70" s="3840">
        <f t="shared" si="10"/>
        <v>0</v>
      </c>
      <c r="O70" s="3877">
        <f t="shared" si="10"/>
        <v>0</v>
      </c>
      <c r="P70" s="3878">
        <f t="shared" si="10"/>
        <v>0</v>
      </c>
      <c r="Q70" s="3911">
        <f t="shared" si="10"/>
        <v>0</v>
      </c>
      <c r="R70" s="3912">
        <f t="shared" si="10"/>
        <v>0</v>
      </c>
      <c r="S70" s="3945">
        <f t="shared" ref="S70:T70" si="11">IF(S61&gt;=S59,0,S59-S61)</f>
        <v>0</v>
      </c>
      <c r="T70" s="3946">
        <f t="shared" si="11"/>
        <v>0</v>
      </c>
    </row>
    <row r="71" spans="1:20">
      <c r="A71" s="41"/>
      <c r="B71" s="73"/>
      <c r="G71" s="2103"/>
      <c r="H71" s="3328"/>
      <c r="I71" s="3747"/>
      <c r="J71" s="3748"/>
      <c r="K71" s="3659"/>
      <c r="L71" s="1119"/>
      <c r="M71" s="3837"/>
      <c r="N71" s="3838"/>
      <c r="O71" s="3875"/>
      <c r="P71" s="3876"/>
      <c r="Q71" s="3910"/>
      <c r="R71" s="1683"/>
      <c r="S71" s="3944"/>
      <c r="T71" s="3731"/>
    </row>
    <row r="72" spans="1:20">
      <c r="A72" s="41"/>
      <c r="B72" s="73"/>
      <c r="G72" s="2103"/>
      <c r="H72" s="3328"/>
      <c r="I72" s="3747"/>
      <c r="J72" s="3748"/>
      <c r="K72" s="3659"/>
      <c r="L72" s="1119"/>
      <c r="M72" s="3837"/>
      <c r="N72" s="3838"/>
      <c r="O72" s="3875"/>
      <c r="P72" s="3876"/>
      <c r="Q72" s="3910"/>
      <c r="R72" s="1683"/>
      <c r="S72" s="3944"/>
      <c r="T72" s="3731"/>
    </row>
    <row r="73" spans="1:20">
      <c r="A73" s="31"/>
      <c r="G73" s="2104" t="e">
        <f>IF(G74&lt;G70,"See Line 16 Note"," ")</f>
        <v>#REF!</v>
      </c>
      <c r="H73" s="3329"/>
      <c r="I73" s="3749" t="str">
        <f t="shared" ref="I73:L73" si="12">IF(I74&lt;I70,"See Line 16 Note"," ")</f>
        <v xml:space="preserve"> </v>
      </c>
      <c r="J73" s="3750" t="str">
        <f t="shared" si="12"/>
        <v xml:space="preserve"> </v>
      </c>
      <c r="K73" s="3804" t="str">
        <f t="shared" si="12"/>
        <v xml:space="preserve"> </v>
      </c>
      <c r="L73" s="3805" t="str">
        <f t="shared" si="12"/>
        <v xml:space="preserve"> </v>
      </c>
      <c r="M73" s="3841" t="str">
        <f t="shared" ref="M73:R73" si="13">IF(M74&lt;M70,"See Line 16 Note"," ")</f>
        <v xml:space="preserve"> </v>
      </c>
      <c r="N73" s="3842" t="str">
        <f t="shared" si="13"/>
        <v xml:space="preserve"> </v>
      </c>
      <c r="O73" s="3879" t="str">
        <f t="shared" si="13"/>
        <v xml:space="preserve"> </v>
      </c>
      <c r="P73" s="3880" t="str">
        <f t="shared" si="13"/>
        <v xml:space="preserve"> </v>
      </c>
      <c r="Q73" s="3913" t="str">
        <f t="shared" si="13"/>
        <v xml:space="preserve"> </v>
      </c>
      <c r="R73" s="1684" t="str">
        <f t="shared" si="13"/>
        <v xml:space="preserve"> </v>
      </c>
      <c r="S73" s="3947" t="str">
        <f t="shared" ref="S73:T73" si="14">IF(S74&lt;S70,"See Line 16 Note"," ")</f>
        <v xml:space="preserve"> </v>
      </c>
      <c r="T73" s="3732" t="str">
        <f t="shared" si="14"/>
        <v xml:space="preserve"> </v>
      </c>
    </row>
    <row r="74" spans="1:20" ht="13.5" thickBot="1">
      <c r="A74" s="41" t="s">
        <v>2233</v>
      </c>
      <c r="B74" s="73" t="s">
        <v>1889</v>
      </c>
      <c r="G74" s="2098" t="e">
        <f>IF(G70=0,0,IF('Data Entry - SOF'!C101+'Data Entry - SOF'!C102&gt;G61,G70,IF('Data Entry - SOF'!C101+'Data Entry - SOF'!C102&lt;0,0,('Data Entry - SOF'!C101+'Data Entry - SOF'!C102)/G61*G70)))</f>
        <v>#REF!</v>
      </c>
      <c r="H74" s="3754" t="e">
        <f>IF(H70=0,0,IF(#REF!+'Data Entry - SOF'!C102&gt;H61,H70,IF(#REF!+'Data Entry - SOF'!C102&lt;0,0,(#REF!+'Data Entry - SOF'!C102)/H61*H70)))</f>
        <v>#REF!</v>
      </c>
      <c r="I74" s="3777">
        <f>IF(I70=0,0,IF('Data Entry - SOF'!E101+'Data Entry - SOF'!E102&gt;I61,I70,IF('Data Entry - SOF'!E101+'Data Entry - SOF'!E102&lt;0,0,('Data Entry - SOF'!E101+'Data Entry - SOF'!E102)/I61*I70)))</f>
        <v>0</v>
      </c>
      <c r="J74" s="3778">
        <f>IF(J70=0,0,IF('Data Entry - SOF'!E101+'Data Entry - SOF'!E102&gt;J61,J70,IF('Data Entry - SOF'!E101+'Data Entry - SOF'!E102&lt;0,0,('Data Entry - SOF'!E101+'Data Entry - SOF'!E102)/J61*J70)))</f>
        <v>0</v>
      </c>
      <c r="K74" s="3806">
        <f>IF(K70=0,0,IF('Data Entry - SOF'!K101+'Data Entry - SOF'!K102&gt;K61,K70,IF('Data Entry - SOF'!K101+'Data Entry - SOF'!K102&lt;0,0,('Data Entry - SOF'!K101+'Data Entry - SOF'!K102)/K61*K70)))</f>
        <v>0</v>
      </c>
      <c r="L74" s="3806">
        <f>IF(L70=0,0,IF('Data Entry - SOF'!K101+'Data Entry - SOF'!K102&gt;L61,L70,IF('Data Entry - SOF'!K101+'Data Entry - SOF'!K102&lt;0,0,('Data Entry - SOF'!K101+'Data Entry - SOF'!K102)/L61*L70)))</f>
        <v>0</v>
      </c>
      <c r="M74" s="3843">
        <f>IF(M70=0,0,IF('Data Entry - SOF'!M101+'Data Entry - SOF'!M102&gt;M61,M70,IF('Data Entry - SOF'!M101+'Data Entry - SOF'!M102&lt;0,0,('Data Entry - SOF'!M101+'Data Entry - SOF'!M102)/M61*M70)))</f>
        <v>0</v>
      </c>
      <c r="N74" s="3843">
        <f>IF(N70=0,0,IF('Data Entry - SOF'!M101+'Data Entry - SOF'!M102&gt;N61,N70,IF('Data Entry - SOF'!M101+'Data Entry - SOF'!M102&lt;0,0,('Data Entry - SOF'!M101+'Data Entry - SOF'!M102)/N61*N70)))</f>
        <v>0</v>
      </c>
      <c r="O74" s="3881">
        <f>IF(O70=0,0,IF('Data Entry - SOF'!O101+'Data Entry - SOF'!O102&gt;O61,O70,IF('Data Entry - SOF'!O101+'Data Entry - SOF'!O102&lt;0,0,('Data Entry - SOF'!O101+'Data Entry - SOF'!O102)/O61*O70)))</f>
        <v>0</v>
      </c>
      <c r="P74" s="3881">
        <f>IF(P70=0,0,IF('Data Entry - SOF'!O101+'Data Entry - SOF'!O102&gt;P61,P70,IF('Data Entry - SOF'!O101+'Data Entry - SOF'!O102&lt;0,0,('Data Entry - SOF'!O101+'Data Entry - SOF'!O102)/P61*P70)))</f>
        <v>0</v>
      </c>
      <c r="Q74" s="3914">
        <f>IF(Q70=0,0,IF('Data Entry - SOF'!Q101+'Data Entry - SOF'!Q102&gt;Q61,Q70,IF('Data Entry - SOF'!Q101+'Data Entry - SOF'!Q102&lt;0,0,('Data Entry - SOF'!Q101+'Data Entry - SOF'!Q102)/Q61*Q70)))</f>
        <v>0</v>
      </c>
      <c r="R74" s="3915">
        <f>IF(R70=0,0,IF('HH2223-Calcs'!C49+'Data Entry - SOF'!Q102&gt;R61,R70,IF('HH2223-Calcs'!C49+'Data Entry - SOF'!Q102&lt;0,0,('HH2223-Calcs'!C49+'Data Entry - SOF'!Q102)/R61*R70)))</f>
        <v>0</v>
      </c>
      <c r="S74" s="3948">
        <f>IF(S70=0,0,IF('Data Entry - SOF'!S101+'Data Entry - SOF'!S102&gt;S61,S70,IF('Data Entry - SOF'!S101+'Data Entry - SOF'!S102&lt;0,0,('Data Entry - SOF'!S101+'Data Entry - SOF'!S102)/S61*S70)))</f>
        <v>0</v>
      </c>
      <c r="T74" s="3949">
        <f>IF(T70=0,0,IF('HH2223-Calcs'!E49+'Data Entry - SOF'!S102&gt;T61,T70,IF('HH2223-Calcs'!E49+'Data Entry - SOF'!S102&lt;0,0,('HH2223-Calcs'!E49+'Data Entry - SOF'!S102)/T61*T70)))</f>
        <v>0</v>
      </c>
    </row>
    <row r="75" spans="1:20" ht="13.5" thickTop="1">
      <c r="A75" s="31"/>
      <c r="B75" s="71" t="s">
        <v>8651</v>
      </c>
    </row>
    <row r="76" spans="1:20">
      <c r="A76" s="31"/>
      <c r="B76" s="69" t="s">
        <v>8652</v>
      </c>
    </row>
    <row r="77" spans="1:20">
      <c r="A77" s="31"/>
      <c r="B77" s="69" t="s">
        <v>6935</v>
      </c>
    </row>
    <row r="78" spans="1:20">
      <c r="A78" s="31"/>
      <c r="B78" s="35"/>
    </row>
    <row r="80" spans="1:20">
      <c r="B80" s="83" t="s">
        <v>2354</v>
      </c>
    </row>
    <row r="81" spans="2:6">
      <c r="B81" s="83" t="s">
        <v>8650</v>
      </c>
    </row>
    <row r="82" spans="2:6">
      <c r="B82" s="83" t="s">
        <v>3348</v>
      </c>
    </row>
    <row r="83" spans="2:6">
      <c r="B83" s="83" t="s">
        <v>3349</v>
      </c>
    </row>
    <row r="84" spans="2:6" hidden="1">
      <c r="B84" s="83" t="s">
        <v>922</v>
      </c>
    </row>
    <row r="85" spans="2:6" hidden="1">
      <c r="B85" s="83" t="s">
        <v>841</v>
      </c>
    </row>
    <row r="86" spans="2:6" hidden="1">
      <c r="B86" s="83" t="s">
        <v>1561</v>
      </c>
    </row>
    <row r="87" spans="2:6" hidden="1">
      <c r="B87" s="83" t="s">
        <v>1950</v>
      </c>
    </row>
    <row r="88" spans="2:6">
      <c r="B88" s="83" t="s">
        <v>3350</v>
      </c>
    </row>
    <row r="89" spans="2:6">
      <c r="B89" s="83"/>
    </row>
    <row r="90" spans="2:6" hidden="1">
      <c r="C90" s="74" t="s">
        <v>2109</v>
      </c>
      <c r="D90" s="71"/>
      <c r="E90" s="71"/>
      <c r="F90" s="71"/>
    </row>
    <row r="91" spans="2:6" hidden="1">
      <c r="C91" s="74" t="s">
        <v>1524</v>
      </c>
      <c r="D91" s="71"/>
      <c r="E91" s="71"/>
      <c r="F91" s="71"/>
    </row>
    <row r="92" spans="2:6" hidden="1">
      <c r="C92" s="74" t="s">
        <v>1137</v>
      </c>
      <c r="D92" s="71"/>
      <c r="E92" s="71"/>
      <c r="F92" s="71"/>
    </row>
    <row r="93" spans="2:6" hidden="1">
      <c r="C93" s="74" t="s">
        <v>1007</v>
      </c>
      <c r="D93" s="71"/>
      <c r="E93" s="71"/>
      <c r="F93" s="71"/>
    </row>
    <row r="94" spans="2:6" hidden="1">
      <c r="C94" s="74" t="s">
        <v>1008</v>
      </c>
      <c r="D94" s="71"/>
      <c r="E94" s="71"/>
      <c r="F94" s="71"/>
    </row>
    <row r="95" spans="2:6" hidden="1">
      <c r="C95" s="75" t="s">
        <v>1774</v>
      </c>
      <c r="D95" s="76"/>
      <c r="E95" s="76"/>
      <c r="F95" s="76"/>
    </row>
    <row r="96" spans="2:6" hidden="1"/>
    <row r="97" spans="1:20" hidden="1"/>
    <row r="98" spans="1:20" s="102" customFormat="1" ht="25.35" hidden="1" customHeight="1" thickTop="1">
      <c r="A98" s="107" t="s">
        <v>1803</v>
      </c>
      <c r="B98" s="108"/>
      <c r="C98" s="108"/>
      <c r="D98" s="108"/>
      <c r="E98" s="108"/>
      <c r="F98" s="108"/>
      <c r="G98" s="2092"/>
      <c r="H98" s="2092"/>
      <c r="I98" s="1126"/>
      <c r="J98" s="1126"/>
      <c r="K98" s="1117"/>
      <c r="L98" s="1117"/>
      <c r="M98" s="1124"/>
      <c r="N98" s="1124"/>
      <c r="O98" s="1672"/>
      <c r="P98" s="1672"/>
      <c r="Q98" s="1678"/>
      <c r="R98" s="1678"/>
      <c r="S98" s="1762"/>
      <c r="T98" s="1762"/>
    </row>
    <row r="99" spans="1:20" s="102" customFormat="1" ht="25.35" hidden="1" customHeight="1">
      <c r="A99" s="109" t="s">
        <v>2397</v>
      </c>
      <c r="B99" s="106"/>
      <c r="C99" s="106"/>
      <c r="D99" s="106"/>
      <c r="E99" s="106"/>
      <c r="F99" s="106"/>
      <c r="G99" s="2092"/>
      <c r="H99" s="2092"/>
      <c r="I99" s="1126"/>
      <c r="J99" s="1126"/>
      <c r="K99" s="1117"/>
      <c r="L99" s="1117"/>
      <c r="M99" s="1124"/>
      <c r="N99" s="1124"/>
      <c r="O99" s="1672"/>
      <c r="P99" s="1672"/>
      <c r="Q99" s="1678"/>
      <c r="R99" s="1678"/>
      <c r="S99" s="1762"/>
      <c r="T99" s="1762"/>
    </row>
    <row r="100" spans="1:20" ht="13.5" hidden="1" thickBot="1">
      <c r="A100" s="110"/>
      <c r="B100" s="111"/>
      <c r="C100" s="111"/>
      <c r="D100" s="111"/>
      <c r="E100" s="111"/>
      <c r="F100" s="111"/>
    </row>
    <row r="101" spans="1:20" hidden="1"/>
    <row r="102" spans="1:20" hidden="1">
      <c r="A102" s="73" t="s">
        <v>1794</v>
      </c>
    </row>
    <row r="103" spans="1:20" hidden="1">
      <c r="A103" s="73" t="s">
        <v>345</v>
      </c>
    </row>
    <row r="104" spans="1:20" hidden="1"/>
    <row r="105" spans="1:20" hidden="1">
      <c r="A105" s="71" t="s">
        <v>1487</v>
      </c>
    </row>
    <row r="106" spans="1:20" hidden="1">
      <c r="A106" s="41" t="s">
        <v>2186</v>
      </c>
      <c r="B106" t="s">
        <v>871</v>
      </c>
    </row>
    <row r="107" spans="1:20" hidden="1">
      <c r="A107" s="41"/>
    </row>
    <row r="108" spans="1:20" hidden="1">
      <c r="A108" s="41" t="s">
        <v>2187</v>
      </c>
      <c r="B108" t="s">
        <v>1304</v>
      </c>
    </row>
    <row r="109" spans="1:20" hidden="1">
      <c r="A109" s="31"/>
    </row>
    <row r="110" spans="1:20" hidden="1">
      <c r="A110" s="41" t="s">
        <v>2188</v>
      </c>
      <c r="B110" t="s">
        <v>1305</v>
      </c>
    </row>
    <row r="111" spans="1:20" hidden="1">
      <c r="A111" s="41"/>
    </row>
    <row r="112" spans="1:20" hidden="1">
      <c r="A112" s="41" t="s">
        <v>909</v>
      </c>
      <c r="B112" t="s">
        <v>869</v>
      </c>
    </row>
    <row r="113" spans="1:4" hidden="1">
      <c r="A113" s="41"/>
      <c r="B113" t="s">
        <v>901</v>
      </c>
    </row>
    <row r="114" spans="1:4" hidden="1">
      <c r="A114" s="41"/>
    </row>
    <row r="115" spans="1:4" hidden="1">
      <c r="A115" s="41" t="s">
        <v>910</v>
      </c>
      <c r="B115" s="83" t="s">
        <v>1073</v>
      </c>
    </row>
    <row r="116" spans="1:4" hidden="1">
      <c r="A116" s="31"/>
      <c r="B116" s="83" t="s">
        <v>765</v>
      </c>
    </row>
    <row r="117" spans="1:4" hidden="1">
      <c r="A117" s="41" t="s">
        <v>912</v>
      </c>
      <c r="B117" t="s">
        <v>1074</v>
      </c>
    </row>
    <row r="118" spans="1:4" hidden="1">
      <c r="A118" s="41"/>
    </row>
    <row r="119" spans="1:4" hidden="1">
      <c r="A119" s="41" t="s">
        <v>913</v>
      </c>
      <c r="B119" t="s">
        <v>1075</v>
      </c>
    </row>
    <row r="120" spans="1:4" hidden="1">
      <c r="A120" s="31"/>
    </row>
    <row r="121" spans="1:4" hidden="1">
      <c r="A121" s="41" t="s">
        <v>914</v>
      </c>
      <c r="B121" t="s">
        <v>1076</v>
      </c>
    </row>
    <row r="122" spans="1:4" hidden="1">
      <c r="A122" s="41"/>
    </row>
    <row r="123" spans="1:4" hidden="1">
      <c r="A123" s="41" t="s">
        <v>118</v>
      </c>
      <c r="B123" t="s">
        <v>2290</v>
      </c>
    </row>
    <row r="124" spans="1:4" hidden="1">
      <c r="A124" s="31"/>
    </row>
    <row r="125" spans="1:4" ht="15.75" hidden="1">
      <c r="A125" s="32" t="s">
        <v>908</v>
      </c>
    </row>
    <row r="126" spans="1:4" hidden="1">
      <c r="A126" s="31"/>
    </row>
    <row r="127" spans="1:4" ht="15.75" hidden="1">
      <c r="A127" s="33" t="s">
        <v>105</v>
      </c>
      <c r="B127" s="23"/>
      <c r="C127" s="23"/>
      <c r="D127" s="9"/>
    </row>
    <row r="128" spans="1:4" ht="15.75" hidden="1">
      <c r="A128" s="32"/>
    </row>
    <row r="129" spans="1:4" hidden="1">
      <c r="A129" s="51" t="s">
        <v>119</v>
      </c>
      <c r="B129" t="s">
        <v>870</v>
      </c>
    </row>
    <row r="130" spans="1:4" hidden="1">
      <c r="A130" s="51"/>
      <c r="B130" t="s">
        <v>2308</v>
      </c>
    </row>
    <row r="131" spans="1:4" hidden="1">
      <c r="A131" s="51"/>
      <c r="B131" t="s">
        <v>1214</v>
      </c>
    </row>
    <row r="132" spans="1:4" ht="15.75" hidden="1">
      <c r="A132" s="32"/>
    </row>
    <row r="133" spans="1:4" hidden="1">
      <c r="A133" s="41" t="s">
        <v>120</v>
      </c>
      <c r="B133" t="s">
        <v>2661</v>
      </c>
    </row>
    <row r="134" spans="1:4" hidden="1">
      <c r="A134" s="41"/>
      <c r="B134" t="s">
        <v>747</v>
      </c>
    </row>
    <row r="135" spans="1:4" hidden="1">
      <c r="A135" s="41"/>
      <c r="B135" t="s">
        <v>29</v>
      </c>
    </row>
    <row r="136" spans="1:4" hidden="1">
      <c r="A136" s="31"/>
    </row>
    <row r="137" spans="1:4" hidden="1">
      <c r="A137" s="41" t="s">
        <v>121</v>
      </c>
      <c r="B137" s="49" t="s">
        <v>541</v>
      </c>
    </row>
    <row r="138" spans="1:4" hidden="1">
      <c r="A138" s="31"/>
    </row>
    <row r="139" spans="1:4" ht="15.75" hidden="1">
      <c r="A139" s="33" t="s">
        <v>911</v>
      </c>
      <c r="B139" s="23"/>
      <c r="C139" s="9"/>
      <c r="D139" s="9"/>
    </row>
    <row r="140" spans="1:4" hidden="1">
      <c r="A140" s="31"/>
    </row>
    <row r="141" spans="1:4" hidden="1">
      <c r="A141" s="41" t="s">
        <v>1513</v>
      </c>
      <c r="B141" s="73" t="s">
        <v>1537</v>
      </c>
    </row>
    <row r="142" spans="1:4" hidden="1">
      <c r="A142" s="41"/>
      <c r="B142" s="71"/>
    </row>
    <row r="143" spans="1:4" hidden="1">
      <c r="A143" s="41" t="s">
        <v>6</v>
      </c>
      <c r="B143" s="73" t="s">
        <v>2294</v>
      </c>
    </row>
    <row r="144" spans="1:4" hidden="1">
      <c r="A144" s="41"/>
      <c r="B144" s="71" t="s">
        <v>142</v>
      </c>
    </row>
    <row r="145" spans="1:6" hidden="1">
      <c r="A145" s="41"/>
      <c r="B145" s="71" t="s">
        <v>2632</v>
      </c>
    </row>
    <row r="146" spans="1:6" hidden="1">
      <c r="A146" s="41"/>
      <c r="B146" s="71"/>
    </row>
    <row r="147" spans="1:6" ht="16.5" hidden="1" thickBot="1">
      <c r="A147" s="41"/>
      <c r="B147" s="79" t="s">
        <v>1795</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2232</v>
      </c>
      <c r="B152" s="73" t="s">
        <v>2276</v>
      </c>
    </row>
    <row r="153" spans="1:6" hidden="1">
      <c r="A153" s="31"/>
    </row>
    <row r="154" spans="1:6" hidden="1">
      <c r="A154" s="41" t="s">
        <v>2233</v>
      </c>
      <c r="B154" s="73" t="s">
        <v>2304</v>
      </c>
    </row>
    <row r="155" spans="1:6" hidden="1">
      <c r="A155" s="31"/>
      <c r="B155" s="73" t="s">
        <v>504</v>
      </c>
    </row>
    <row r="156" spans="1:6" hidden="1">
      <c r="A156" s="31"/>
      <c r="B156" s="71" t="s">
        <v>98</v>
      </c>
    </row>
    <row r="157" spans="1:6" hidden="1">
      <c r="A157" s="31"/>
      <c r="B157" s="71" t="s">
        <v>1176</v>
      </c>
    </row>
    <row r="158" spans="1:6" hidden="1"/>
    <row r="159" spans="1:6" hidden="1"/>
    <row r="160" spans="1:6" hidden="1">
      <c r="B160" s="83" t="s">
        <v>7</v>
      </c>
    </row>
    <row r="161" spans="2:2" hidden="1">
      <c r="B161" s="83" t="s">
        <v>1240</v>
      </c>
    </row>
    <row r="162" spans="2:2" hidden="1">
      <c r="B162" s="83" t="s">
        <v>8</v>
      </c>
    </row>
    <row r="163" spans="2:2" hidden="1">
      <c r="B163" s="83" t="s">
        <v>1380</v>
      </c>
    </row>
    <row r="164" spans="2:2" hidden="1">
      <c r="B164" s="83" t="s">
        <v>922</v>
      </c>
    </row>
    <row r="165" spans="2:2" hidden="1">
      <c r="B165" s="83" t="s">
        <v>841</v>
      </c>
    </row>
    <row r="166" spans="2:2" hidden="1">
      <c r="B166" s="83" t="s">
        <v>1561</v>
      </c>
    </row>
    <row r="167" spans="2:2" hidden="1">
      <c r="B167" s="83" t="s">
        <v>1950</v>
      </c>
    </row>
    <row r="168" spans="2:2" hidden="1">
      <c r="B168" s="83"/>
    </row>
    <row r="169" spans="2:2" hidden="1">
      <c r="B169" s="35" t="s">
        <v>1802</v>
      </c>
    </row>
    <row r="170" spans="2:2" hidden="1">
      <c r="B170" s="35" t="s">
        <v>1872</v>
      </c>
    </row>
    <row r="171" spans="2:2" hidden="1">
      <c r="B171" s="35" t="s">
        <v>117</v>
      </c>
    </row>
    <row r="172" spans="2:2" hidden="1">
      <c r="B172" s="35" t="s">
        <v>1857</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30" workbookViewId="0">
      <selection activeCell="B31" sqref="B31"/>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1394" t="s">
        <v>3935</v>
      </c>
    </row>
    <row r="6" spans="1:5" ht="15.75">
      <c r="A6" s="781"/>
      <c r="B6" s="775" t="s">
        <v>2866</v>
      </c>
      <c r="C6" s="785" t="s">
        <v>3864</v>
      </c>
      <c r="D6" s="785" t="s">
        <v>3865</v>
      </c>
      <c r="E6" s="785" t="s">
        <v>3824</v>
      </c>
    </row>
    <row r="7" spans="1:5" ht="15">
      <c r="A7" s="514">
        <v>1</v>
      </c>
      <c r="B7" s="386" t="s">
        <v>3931</v>
      </c>
      <c r="C7" s="390">
        <f>'Data Entry - SOF'!M73</f>
        <v>0</v>
      </c>
      <c r="D7" s="390">
        <f>'Data Entry - SOF'!M74</f>
        <v>0</v>
      </c>
      <c r="E7" s="390">
        <f t="shared" ref="E7:E14" si="0">C7-D7</f>
        <v>0</v>
      </c>
    </row>
    <row r="8" spans="1:5" ht="15">
      <c r="A8" s="514">
        <v>2</v>
      </c>
      <c r="B8" s="386" t="s">
        <v>3932</v>
      </c>
      <c r="C8" s="408">
        <f>'Data Entry - SOF'!M92</f>
        <v>1.17</v>
      </c>
      <c r="D8" s="408">
        <f>C8</f>
        <v>1.17</v>
      </c>
      <c r="E8" s="408">
        <f t="shared" si="0"/>
        <v>0</v>
      </c>
    </row>
    <row r="9" spans="1:5" ht="15">
      <c r="A9" s="514">
        <v>3</v>
      </c>
      <c r="B9" s="386" t="s">
        <v>3883</v>
      </c>
      <c r="C9" s="408">
        <f>'Data Entry - SOF'!E172</f>
        <v>0</v>
      </c>
      <c r="D9" s="408">
        <f>C9</f>
        <v>0</v>
      </c>
      <c r="E9" s="408">
        <f t="shared" si="0"/>
        <v>0</v>
      </c>
    </row>
    <row r="10" spans="1:5" s="382" customFormat="1" ht="15">
      <c r="A10" s="514">
        <v>4</v>
      </c>
      <c r="B10" s="386" t="s">
        <v>3933</v>
      </c>
      <c r="C10" s="478">
        <f>'Data Entry - SOF'!M93+'Data Entry - SOF'!M98</f>
        <v>0</v>
      </c>
      <c r="D10" s="478" t="e">
        <f>(('Data Entry - SOF'!M93-'IFA-OldLaw'!W79)*(D7/C7))+'IFA-OldLaw'!W79+'Data Entry - SOF'!M98</f>
        <v>#DIV/0!</v>
      </c>
      <c r="E10" s="390" t="e">
        <f t="shared" si="0"/>
        <v>#DIV/0!</v>
      </c>
    </row>
    <row r="11" spans="1:5" s="382" customFormat="1" ht="15">
      <c r="A11" s="514">
        <v>5</v>
      </c>
      <c r="B11" s="386" t="s">
        <v>3934</v>
      </c>
      <c r="C11" s="478">
        <f>C10*IF(C8&lt;C9,1,C9/C8)</f>
        <v>0</v>
      </c>
      <c r="D11" s="478" t="e">
        <f>D10*IF(D8&lt;D9,1,D9/D8)</f>
        <v>#DIV/0!</v>
      </c>
      <c r="E11" s="390" t="e">
        <f t="shared" si="0"/>
        <v>#DIV/0!</v>
      </c>
    </row>
    <row r="12" spans="1:5" s="382" customFormat="1" ht="15">
      <c r="A12" s="514">
        <v>6</v>
      </c>
      <c r="B12" s="386" t="s">
        <v>530</v>
      </c>
      <c r="C12" s="390">
        <f>'SOF2021-SB1'!J43</f>
        <v>0</v>
      </c>
      <c r="D12" s="390" t="e">
        <f>'SOF2021-SB1'!K43</f>
        <v>#DIV/0!</v>
      </c>
      <c r="E12" s="390" t="e">
        <f t="shared" si="0"/>
        <v>#DIV/0!</v>
      </c>
    </row>
    <row r="13" spans="1:5" s="382" customFormat="1" ht="15">
      <c r="A13" s="514">
        <v>7</v>
      </c>
      <c r="B13" s="386" t="s">
        <v>3874</v>
      </c>
      <c r="C13" s="390">
        <f>'SOF2021-SB1'!J44</f>
        <v>0</v>
      </c>
      <c r="D13" s="390">
        <f>'SOF2021-SB1'!K44</f>
        <v>0</v>
      </c>
      <c r="E13" s="390">
        <f t="shared" si="0"/>
        <v>0</v>
      </c>
    </row>
    <row r="14" spans="1:5" s="382" customFormat="1" ht="15">
      <c r="A14" s="514">
        <v>8</v>
      </c>
      <c r="B14" s="386" t="s">
        <v>3870</v>
      </c>
      <c r="C14" s="390">
        <f>'SOF2021-SB1'!J48</f>
        <v>0</v>
      </c>
      <c r="D14" s="390" t="e">
        <f>'SOF2021-SB1'!K48</f>
        <v>#DIV/0!</v>
      </c>
      <c r="E14" s="390" t="e">
        <f t="shared" si="0"/>
        <v>#DIV/0!</v>
      </c>
    </row>
    <row r="15" spans="1:5" s="382" customFormat="1" ht="15.75">
      <c r="A15" s="780"/>
      <c r="B15" s="782" t="s">
        <v>3872</v>
      </c>
      <c r="C15" s="783"/>
      <c r="D15" s="783"/>
      <c r="E15" s="817"/>
    </row>
    <row r="16" spans="1:5" s="382" customFormat="1" ht="15">
      <c r="A16" s="514">
        <v>9</v>
      </c>
      <c r="B16" s="784" t="s">
        <v>3877</v>
      </c>
      <c r="C16" s="390">
        <f>MAX((C12-C13),C14)</f>
        <v>0</v>
      </c>
      <c r="D16" s="390" t="e">
        <f>MAX((D12-D13),D14)</f>
        <v>#DIV/0!</v>
      </c>
      <c r="E16" s="390" t="e">
        <f>C16-D16</f>
        <v>#DIV/0!</v>
      </c>
    </row>
    <row r="17" spans="1:5" s="382" customFormat="1" ht="15">
      <c r="A17" s="514">
        <v>10</v>
      </c>
      <c r="B17" s="386" t="s">
        <v>3875</v>
      </c>
      <c r="C17" s="390" t="e">
        <f>'SOF2021-SB1'!J51</f>
        <v>#DIV/0!</v>
      </c>
      <c r="D17" s="390" t="e">
        <f>'SOF2021-SB1'!K51</f>
        <v>#DIV/0!</v>
      </c>
      <c r="E17" s="390" t="e">
        <f>C17-D17</f>
        <v>#DIV/0!</v>
      </c>
    </row>
    <row r="18" spans="1:5" s="382" customFormat="1" ht="15">
      <c r="A18" s="514">
        <v>11</v>
      </c>
      <c r="B18" s="386" t="s">
        <v>3876</v>
      </c>
      <c r="C18" s="390" t="e">
        <f>'SOF2021-SB1'!J52</f>
        <v>#DIV/0!</v>
      </c>
      <c r="D18" s="390">
        <f>'SOF2021-HB3'!K53</f>
        <v>0</v>
      </c>
      <c r="E18" s="390" t="e">
        <f>C18-D18</f>
        <v>#DIV/0!</v>
      </c>
    </row>
    <row r="19" spans="1:5" s="382" customFormat="1" ht="15">
      <c r="A19" s="514">
        <v>12</v>
      </c>
      <c r="B19" s="386" t="s">
        <v>6383</v>
      </c>
      <c r="C19" s="390">
        <f>'IFA-OldLaw'!U86</f>
        <v>0</v>
      </c>
      <c r="D19" s="390">
        <f>'IFA-OldLaw'!W86</f>
        <v>0</v>
      </c>
      <c r="E19" s="390">
        <f>C19-D19</f>
        <v>0</v>
      </c>
    </row>
    <row r="20" spans="1:5" s="382" customFormat="1" ht="15.75">
      <c r="A20" s="514">
        <v>13</v>
      </c>
      <c r="B20" s="384" t="s">
        <v>6167</v>
      </c>
      <c r="C20" s="390">
        <v>0</v>
      </c>
      <c r="D20" s="390">
        <v>0</v>
      </c>
      <c r="E20" s="390">
        <f>C20-D20</f>
        <v>0</v>
      </c>
    </row>
    <row r="21" spans="1:5" s="382" customFormat="1" ht="15">
      <c r="A21" s="514">
        <v>14</v>
      </c>
      <c r="B21" s="386" t="s">
        <v>3878</v>
      </c>
      <c r="C21" s="390" t="e">
        <f>IF('Option Costs-HH'!AI57="Y",'Option Costs-HH'!AK106,'Option Costs-HH'!AO106)</f>
        <v>#DIV/0!</v>
      </c>
      <c r="D21" s="390" t="e">
        <f>IF('Option Costs-HH-15K'!AI57="Y",'Option Costs-HH-15K'!AK106,'Option Costs-HH-15K'!AO106)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75">
      <c r="A26" s="794">
        <f>A25+1</f>
        <v>18</v>
      </c>
      <c r="B26" s="795" t="s">
        <v>6387</v>
      </c>
      <c r="C26" s="796"/>
      <c r="D26" s="786">
        <v>0</v>
      </c>
    </row>
    <row r="27" spans="1:5">
      <c r="D27" s="787"/>
    </row>
    <row r="30" spans="1:5">
      <c r="C30" s="91"/>
    </row>
    <row r="31" spans="1:5" ht="15.75">
      <c r="B31" s="1394" t="s">
        <v>3936</v>
      </c>
    </row>
    <row r="33" spans="1:3" ht="15.75">
      <c r="A33" s="780"/>
      <c r="B33" s="775" t="s">
        <v>2866</v>
      </c>
      <c r="C33" s="783"/>
    </row>
    <row r="34" spans="1:3" ht="15">
      <c r="A34" s="514">
        <v>1</v>
      </c>
      <c r="B34" s="655" t="s">
        <v>9480</v>
      </c>
      <c r="C34" s="390">
        <f>'Data Entry - SOF'!M79</f>
        <v>0</v>
      </c>
    </row>
    <row r="35" spans="1:3" ht="15">
      <c r="A35" s="514">
        <v>2</v>
      </c>
      <c r="B35" s="655" t="s">
        <v>9481</v>
      </c>
      <c r="C35" s="390">
        <f>'Data Entry - SOF'!M80</f>
        <v>0</v>
      </c>
    </row>
    <row r="36" spans="1:3" ht="15">
      <c r="A36" s="514">
        <v>3</v>
      </c>
      <c r="B36" s="655" t="s">
        <v>3911</v>
      </c>
      <c r="C36" s="390">
        <f>'Data Entry - SOF'!M119</f>
        <v>0</v>
      </c>
    </row>
    <row r="37" spans="1:3" ht="15.75">
      <c r="A37" s="780"/>
      <c r="B37" s="777" t="s">
        <v>4024</v>
      </c>
      <c r="C37" s="783"/>
    </row>
    <row r="38" spans="1:3" ht="15">
      <c r="A38" s="514">
        <v>4</v>
      </c>
      <c r="B38" s="954" t="s">
        <v>3859</v>
      </c>
      <c r="C38" s="390">
        <f>'IFA-HB3'!Q86</f>
        <v>0</v>
      </c>
    </row>
    <row r="39" spans="1:3" ht="15">
      <c r="A39" s="514">
        <v>5</v>
      </c>
      <c r="B39" s="954" t="s">
        <v>3860</v>
      </c>
      <c r="C39" s="390">
        <f>'Existing Debt-HB3'!M74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'IFA-HB3'!R86</f>
        <v>0</v>
      </c>
    </row>
    <row r="45" spans="1:3" ht="15">
      <c r="A45" s="514">
        <v>10</v>
      </c>
      <c r="B45" s="954" t="s">
        <v>3862</v>
      </c>
      <c r="C45" s="390">
        <f>'Existing Debt-HB3'!N74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SOF'!M101</f>
        <v>0</v>
      </c>
    </row>
    <row r="50" spans="1:3" ht="15">
      <c r="A50" s="514">
        <v>14</v>
      </c>
      <c r="B50" s="955" t="s">
        <v>4030</v>
      </c>
      <c r="C50" s="390" t="e">
        <f>C40-C48</f>
        <v>#DIV/0!</v>
      </c>
    </row>
    <row r="51" spans="1:3" ht="15.7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30" workbookViewId="0">
      <selection activeCell="B31" sqref="B31"/>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1394" t="s">
        <v>6924</v>
      </c>
    </row>
    <row r="6" spans="1:5" ht="15.75">
      <c r="A6" s="781"/>
      <c r="B6" s="775" t="s">
        <v>2866</v>
      </c>
      <c r="C6" s="785" t="s">
        <v>3864</v>
      </c>
      <c r="D6" s="785" t="s">
        <v>3865</v>
      </c>
      <c r="E6" s="785" t="s">
        <v>3824</v>
      </c>
    </row>
    <row r="7" spans="1:5" ht="15">
      <c r="A7" s="514">
        <v>1</v>
      </c>
      <c r="B7" s="386" t="s">
        <v>6925</v>
      </c>
      <c r="C7" s="390">
        <f>'Data Entry - SOF'!O73</f>
        <v>0</v>
      </c>
      <c r="D7" s="390">
        <f>'Data Entry - SOF'!O74</f>
        <v>0</v>
      </c>
      <c r="E7" s="390">
        <f t="shared" ref="E7:E14" si="0">C7-D7</f>
        <v>0</v>
      </c>
    </row>
    <row r="8" spans="1:5" ht="15">
      <c r="A8" s="514">
        <v>2</v>
      </c>
      <c r="B8" s="386" t="s">
        <v>6926</v>
      </c>
      <c r="C8" s="408">
        <f>'Data Entry - SOF'!O92</f>
        <v>1.17</v>
      </c>
      <c r="D8" s="408">
        <f>C8</f>
        <v>1.17</v>
      </c>
      <c r="E8" s="408">
        <f t="shared" si="0"/>
        <v>0</v>
      </c>
    </row>
    <row r="9" spans="1:5" ht="15">
      <c r="A9" s="514">
        <v>3</v>
      </c>
      <c r="B9" s="386" t="s">
        <v>3883</v>
      </c>
      <c r="C9" s="408">
        <f>'Data Entry - SOF'!E172</f>
        <v>0</v>
      </c>
      <c r="D9" s="408">
        <f>C9</f>
        <v>0</v>
      </c>
      <c r="E9" s="408">
        <f t="shared" si="0"/>
        <v>0</v>
      </c>
    </row>
    <row r="10" spans="1:5" s="382" customFormat="1" ht="15">
      <c r="A10" s="514">
        <v>4</v>
      </c>
      <c r="B10" s="386" t="s">
        <v>6927</v>
      </c>
      <c r="C10" s="478">
        <f>'Data Entry - SOF'!O93+'Data Entry - SOF'!O98</f>
        <v>0</v>
      </c>
      <c r="D10" s="478" t="e">
        <f>(('Data Entry - SOF'!O93-'IFA-OldLaw'!AA79)*(D7/C7))+'IFA-OldLaw'!AA79+'Data Entry - SOF'!O98</f>
        <v>#DIV/0!</v>
      </c>
      <c r="E10" s="390" t="e">
        <f t="shared" si="0"/>
        <v>#DIV/0!</v>
      </c>
    </row>
    <row r="11" spans="1:5" s="382" customFormat="1" ht="15">
      <c r="A11" s="514">
        <v>5</v>
      </c>
      <c r="B11" s="386" t="s">
        <v>6928</v>
      </c>
      <c r="C11" s="478">
        <f>C10*IF(C8&lt;C9,1,C9/C8)</f>
        <v>0</v>
      </c>
      <c r="D11" s="478" t="e">
        <f>D10*IF(D8&lt;D9,1,D9/D8)</f>
        <v>#DIV/0!</v>
      </c>
      <c r="E11" s="390" t="e">
        <f t="shared" si="0"/>
        <v>#DIV/0!</v>
      </c>
    </row>
    <row r="12" spans="1:5" s="382" customFormat="1" ht="15">
      <c r="A12" s="514">
        <v>6</v>
      </c>
      <c r="B12" s="386" t="s">
        <v>530</v>
      </c>
      <c r="C12" s="390">
        <f>'SOF2122-SB1'!J43</f>
        <v>0</v>
      </c>
      <c r="D12" s="390">
        <f>'SOF2122-SB1'!K43</f>
        <v>0</v>
      </c>
      <c r="E12" s="390">
        <f t="shared" si="0"/>
        <v>0</v>
      </c>
    </row>
    <row r="13" spans="1:5" s="382" customFormat="1" ht="15">
      <c r="A13" s="514">
        <v>7</v>
      </c>
      <c r="B13" s="386" t="s">
        <v>3874</v>
      </c>
      <c r="C13" s="390">
        <f>'SOF2122-SB1'!J44</f>
        <v>0</v>
      </c>
      <c r="D13" s="390">
        <f>'SOF2122-SB1'!K44</f>
        <v>0</v>
      </c>
      <c r="E13" s="390">
        <f t="shared" si="0"/>
        <v>0</v>
      </c>
    </row>
    <row r="14" spans="1:5" s="382" customFormat="1" ht="15">
      <c r="A14" s="514">
        <v>8</v>
      </c>
      <c r="B14" s="386" t="s">
        <v>3870</v>
      </c>
      <c r="C14" s="390">
        <f>'SOF2122-SB1'!J48</f>
        <v>0</v>
      </c>
      <c r="D14" s="390">
        <f>'SOF2122-SB1'!K48</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'SOF2122-SB1'!J51</f>
        <v>#DIV/0!</v>
      </c>
      <c r="D17" s="390" t="e">
        <f>'SOF2122-SB1'!K51</f>
        <v>#DIV/0!</v>
      </c>
      <c r="E17" s="390" t="e">
        <f>C17-D17</f>
        <v>#DIV/0!</v>
      </c>
    </row>
    <row r="18" spans="1:5" s="382" customFormat="1" ht="15">
      <c r="A18" s="514">
        <v>11</v>
      </c>
      <c r="B18" s="386" t="s">
        <v>3876</v>
      </c>
      <c r="C18" s="390" t="e">
        <f>'SOF2122-SB1'!J52</f>
        <v>#DIV/0!</v>
      </c>
      <c r="D18" s="390" t="e">
        <f>'SOF2122-SB1'!K52</f>
        <v>#DIV/0!</v>
      </c>
      <c r="E18" s="390" t="e">
        <f>C18-D18</f>
        <v>#DIV/0!</v>
      </c>
    </row>
    <row r="19" spans="1:5" s="382" customFormat="1" ht="15">
      <c r="A19" s="514">
        <v>12</v>
      </c>
      <c r="B19" s="386" t="s">
        <v>6383</v>
      </c>
      <c r="C19" s="390">
        <f>'IFA-OldLaw'!Y86</f>
        <v>0</v>
      </c>
      <c r="D19" s="390">
        <f>'IFA-OldLaw'!AA86</f>
        <v>0</v>
      </c>
      <c r="E19" s="390">
        <f>C19-D19</f>
        <v>0</v>
      </c>
    </row>
    <row r="20" spans="1:5" s="382" customFormat="1" ht="15.75">
      <c r="A20" s="514">
        <v>13</v>
      </c>
      <c r="B20" s="384" t="s">
        <v>6167</v>
      </c>
      <c r="C20" s="390">
        <v>0</v>
      </c>
      <c r="D20" s="390">
        <v>0</v>
      </c>
      <c r="E20" s="390">
        <f>C20-D20</f>
        <v>0</v>
      </c>
    </row>
    <row r="21" spans="1:5" s="382" customFormat="1" ht="15">
      <c r="A21" s="514">
        <v>14</v>
      </c>
      <c r="B21" s="386" t="s">
        <v>3878</v>
      </c>
      <c r="C21" s="390" t="e">
        <f>IF('Option Costs-HH'!AQ57="Y",'Option Costs-HH'!AS106,'Option Costs-HH'!AW106)</f>
        <v>#DIV/0!</v>
      </c>
      <c r="D21" s="390" t="e">
        <f>IF('Option Costs-HH-15K'!AQ57="Y",'Option Costs-HH-15K'!AS106,'Option Costs-HH-15K'!AW106)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75">
      <c r="A26" s="794">
        <f>A25+1</f>
        <v>18</v>
      </c>
      <c r="B26" s="795" t="s">
        <v>6387</v>
      </c>
      <c r="C26" s="796"/>
      <c r="D26" s="786">
        <v>0</v>
      </c>
    </row>
    <row r="27" spans="1:5">
      <c r="D27" s="787"/>
    </row>
    <row r="30" spans="1:5">
      <c r="C30" s="91"/>
    </row>
    <row r="31" spans="1:5" ht="15.75">
      <c r="B31" s="1394" t="s">
        <v>6929</v>
      </c>
    </row>
    <row r="33" spans="1:3" ht="15.75">
      <c r="A33" s="780"/>
      <c r="B33" s="775" t="s">
        <v>2866</v>
      </c>
      <c r="C33" s="783"/>
    </row>
    <row r="34" spans="1:3" ht="15">
      <c r="A34" s="514">
        <v>1</v>
      </c>
      <c r="B34" s="655" t="s">
        <v>9478</v>
      </c>
      <c r="C34" s="390">
        <f>'Data Entry - SOF'!O79</f>
        <v>0</v>
      </c>
    </row>
    <row r="35" spans="1:3" ht="15">
      <c r="A35" s="514">
        <v>2</v>
      </c>
      <c r="B35" s="655" t="s">
        <v>9479</v>
      </c>
      <c r="C35" s="390">
        <f>'Data Entry - SOF'!O80</f>
        <v>0</v>
      </c>
    </row>
    <row r="36" spans="1:3" ht="15">
      <c r="A36" s="514">
        <v>3</v>
      </c>
      <c r="B36" s="655" t="s">
        <v>3911</v>
      </c>
      <c r="C36" s="390">
        <f>'Data Entry - SOF'!O119</f>
        <v>0</v>
      </c>
    </row>
    <row r="37" spans="1:3" ht="15.75">
      <c r="A37" s="780"/>
      <c r="B37" s="777" t="s">
        <v>4024</v>
      </c>
      <c r="C37" s="783"/>
    </row>
    <row r="38" spans="1:3" ht="15">
      <c r="A38" s="514">
        <v>4</v>
      </c>
      <c r="B38" s="954" t="s">
        <v>3859</v>
      </c>
      <c r="C38" s="390">
        <f>'IFA-HB3'!T86</f>
        <v>0</v>
      </c>
    </row>
    <row r="39" spans="1:3" ht="15">
      <c r="A39" s="514">
        <v>5</v>
      </c>
      <c r="B39" s="954" t="s">
        <v>3860</v>
      </c>
      <c r="C39" s="390">
        <f>'Existing Debt-HB3'!O74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'IFA-HB3'!U86</f>
        <v>0</v>
      </c>
    </row>
    <row r="45" spans="1:3" ht="15">
      <c r="A45" s="514">
        <v>10</v>
      </c>
      <c r="B45" s="954" t="s">
        <v>3862</v>
      </c>
      <c r="C45" s="390">
        <f>'Existing Debt-HB3'!P74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SOF'!O101</f>
        <v>0</v>
      </c>
    </row>
    <row r="50" spans="1:3" ht="15">
      <c r="A50" s="514">
        <v>14</v>
      </c>
      <c r="B50" s="955" t="s">
        <v>4030</v>
      </c>
      <c r="C50" s="390" t="e">
        <f>C40-C48</f>
        <v>#DIV/0!</v>
      </c>
    </row>
    <row r="51" spans="1:3" ht="15.7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30" workbookViewId="0">
      <selection activeCell="B31" sqref="B31"/>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834" t="s">
        <v>7042</v>
      </c>
    </row>
    <row r="6" spans="1:5" ht="15.75">
      <c r="A6" s="781"/>
      <c r="B6" s="775" t="s">
        <v>2866</v>
      </c>
      <c r="C6" s="785" t="s">
        <v>3864</v>
      </c>
      <c r="D6" s="785" t="s">
        <v>3865</v>
      </c>
      <c r="E6" s="785" t="s">
        <v>3824</v>
      </c>
    </row>
    <row r="7" spans="1:5" ht="15">
      <c r="A7" s="514">
        <v>1</v>
      </c>
      <c r="B7" s="386" t="s">
        <v>7043</v>
      </c>
      <c r="C7" s="390">
        <f>'Data Entry - SOF'!Q73</f>
        <v>0</v>
      </c>
      <c r="D7" s="390">
        <f>'Data Entry - SOF'!Q74</f>
        <v>0</v>
      </c>
      <c r="E7" s="390">
        <f t="shared" ref="E7:E14" si="0">C7-D7</f>
        <v>0</v>
      </c>
    </row>
    <row r="8" spans="1:5" ht="15">
      <c r="A8" s="514">
        <v>2</v>
      </c>
      <c r="B8" s="386" t="s">
        <v>7044</v>
      </c>
      <c r="C8" s="408">
        <f>'Data Entry - SOF'!Q92</f>
        <v>1.17</v>
      </c>
      <c r="D8" s="408">
        <f>C8</f>
        <v>1.17</v>
      </c>
      <c r="E8" s="408">
        <f t="shared" si="0"/>
        <v>0</v>
      </c>
    </row>
    <row r="9" spans="1:5" ht="15">
      <c r="A9" s="514">
        <v>3</v>
      </c>
      <c r="B9" s="386" t="s">
        <v>3883</v>
      </c>
      <c r="C9" s="408">
        <f>'Data Entry - SOF'!E172</f>
        <v>0</v>
      </c>
      <c r="D9" s="408">
        <f>C9</f>
        <v>0</v>
      </c>
      <c r="E9" s="408">
        <f t="shared" si="0"/>
        <v>0</v>
      </c>
    </row>
    <row r="10" spans="1:5" s="382" customFormat="1" ht="15">
      <c r="A10" s="514">
        <v>4</v>
      </c>
      <c r="B10" s="386" t="s">
        <v>7045</v>
      </c>
      <c r="C10" s="478">
        <f>'Data Entry - SOF'!Q93+'Data Entry - SOF'!Q98</f>
        <v>0</v>
      </c>
      <c r="D10" s="478" t="e">
        <f>(('Data Entry - SOF'!Q93-'IFA-OldLaw'!AE79)*(D7/C7))+'IFA-OldLaw'!AE79+'Data Entry - SOF'!Q98</f>
        <v>#DIV/0!</v>
      </c>
      <c r="E10" s="390" t="e">
        <f t="shared" si="0"/>
        <v>#DIV/0!</v>
      </c>
    </row>
    <row r="11" spans="1:5" s="382" customFormat="1" ht="15">
      <c r="A11" s="514">
        <v>5</v>
      </c>
      <c r="B11" s="386" t="s">
        <v>7046</v>
      </c>
      <c r="C11" s="478">
        <f>C10*IF(C8&lt;C9,1,C9/C8)</f>
        <v>0</v>
      </c>
      <c r="D11" s="478" t="e">
        <f>D10*IF(D8&lt;D9,1,D9/D8)</f>
        <v>#DIV/0!</v>
      </c>
      <c r="E11" s="390" t="e">
        <f t="shared" si="0"/>
        <v>#DIV/0!</v>
      </c>
    </row>
    <row r="12" spans="1:5" s="382" customFormat="1" ht="15">
      <c r="A12" s="514">
        <v>6</v>
      </c>
      <c r="B12" s="386" t="s">
        <v>530</v>
      </c>
      <c r="C12" s="390">
        <f>'SOF2223-SB1'!J43</f>
        <v>0</v>
      </c>
      <c r="D12" s="390" t="e">
        <f>'SOF2223-SB1'!K43</f>
        <v>#DIV/0!</v>
      </c>
      <c r="E12" s="390" t="e">
        <f t="shared" si="0"/>
        <v>#DIV/0!</v>
      </c>
    </row>
    <row r="13" spans="1:5" s="382" customFormat="1" ht="15">
      <c r="A13" s="514">
        <v>7</v>
      </c>
      <c r="B13" s="386" t="s">
        <v>3874</v>
      </c>
      <c r="C13" s="390">
        <f>'SOF2223-SB1'!J44</f>
        <v>0</v>
      </c>
      <c r="D13" s="390">
        <f>'SOF2223-SB1'!K44</f>
        <v>0</v>
      </c>
      <c r="E13" s="390">
        <f t="shared" si="0"/>
        <v>0</v>
      </c>
    </row>
    <row r="14" spans="1:5" s="382" customFormat="1" ht="15">
      <c r="A14" s="514">
        <v>8</v>
      </c>
      <c r="B14" s="386" t="s">
        <v>3870</v>
      </c>
      <c r="C14" s="390">
        <f>'SOF2223-SB1'!J48</f>
        <v>0</v>
      </c>
      <c r="D14" s="390" t="e">
        <f>'SOF2223-SB1'!K48</f>
        <v>#DIV/0!</v>
      </c>
      <c r="E14" s="390" t="e">
        <f t="shared" si="0"/>
        <v>#DIV/0!</v>
      </c>
    </row>
    <row r="15" spans="1:5" s="382" customFormat="1" ht="15.75">
      <c r="A15" s="780"/>
      <c r="B15" s="782" t="s">
        <v>3872</v>
      </c>
      <c r="C15" s="783"/>
      <c r="D15" s="783"/>
      <c r="E15" s="817"/>
    </row>
    <row r="16" spans="1:5" s="382" customFormat="1" ht="15">
      <c r="A16" s="514">
        <v>9</v>
      </c>
      <c r="B16" s="784" t="s">
        <v>3877</v>
      </c>
      <c r="C16" s="390">
        <f>MAX((C12-C13),C14)</f>
        <v>0</v>
      </c>
      <c r="D16" s="390" t="e">
        <f>MAX((D12-D13),D14)</f>
        <v>#DIV/0!</v>
      </c>
      <c r="E16" s="390" t="e">
        <f>C16-D16</f>
        <v>#DIV/0!</v>
      </c>
    </row>
    <row r="17" spans="1:5" s="382" customFormat="1" ht="15">
      <c r="A17" s="514">
        <v>10</v>
      </c>
      <c r="B17" s="386" t="s">
        <v>3875</v>
      </c>
      <c r="C17" s="390" t="e">
        <f>'SOF2223-SB1'!J51</f>
        <v>#DIV/0!</v>
      </c>
      <c r="D17" s="390" t="e">
        <f>'SOF2223-SB1'!K51</f>
        <v>#DIV/0!</v>
      </c>
      <c r="E17" s="390" t="e">
        <f>C17-D17</f>
        <v>#DIV/0!</v>
      </c>
    </row>
    <row r="18" spans="1:5" s="382" customFormat="1" ht="15">
      <c r="A18" s="514">
        <v>11</v>
      </c>
      <c r="B18" s="386" t="s">
        <v>3876</v>
      </c>
      <c r="C18" s="390" t="e">
        <f>'SOF2223-SB1'!J52</f>
        <v>#DIV/0!</v>
      </c>
      <c r="D18" s="390" t="e">
        <f>'SOF2223-SB1'!K52</f>
        <v>#DIV/0!</v>
      </c>
      <c r="E18" s="390" t="e">
        <f>C18-D18</f>
        <v>#DIV/0!</v>
      </c>
    </row>
    <row r="19" spans="1:5" s="382" customFormat="1" ht="15">
      <c r="A19" s="514">
        <v>12</v>
      </c>
      <c r="B19" s="386" t="s">
        <v>6383</v>
      </c>
      <c r="C19" s="390">
        <f>'IFA-OldLaw'!AC86</f>
        <v>0</v>
      </c>
      <c r="D19" s="390">
        <f>'IFA-OldLaw'!AE86</f>
        <v>0</v>
      </c>
      <c r="E19" s="390">
        <f>C19-D19</f>
        <v>0</v>
      </c>
    </row>
    <row r="20" spans="1:5" s="382" customFormat="1" ht="15.75">
      <c r="A20" s="514">
        <v>13</v>
      </c>
      <c r="B20" s="384" t="s">
        <v>6167</v>
      </c>
      <c r="C20" s="390">
        <v>0</v>
      </c>
      <c r="D20" s="390">
        <v>0</v>
      </c>
      <c r="E20" s="390">
        <f>C20-D20</f>
        <v>0</v>
      </c>
    </row>
    <row r="21" spans="1:5" s="382" customFormat="1" ht="15">
      <c r="A21" s="514">
        <v>14</v>
      </c>
      <c r="B21" s="386" t="s">
        <v>3878</v>
      </c>
      <c r="C21" s="390" t="e">
        <f>IF('Option Costs-HH'!AY57="Y",'Option Costs-HH'!BA106,'Option Costs-HH'!BE106)</f>
        <v>#DIV/0!</v>
      </c>
      <c r="D21" s="390" t="e">
        <f>IF('Option Costs-HH-15K'!AY57="Y",'Option Costs-HH-15K'!BA106,'Option Costs-HH-15K'!BE106)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75">
      <c r="A26" s="794">
        <f>A25+1</f>
        <v>18</v>
      </c>
      <c r="B26" s="795" t="s">
        <v>6387</v>
      </c>
      <c r="C26" s="796"/>
      <c r="D26" s="786">
        <v>0</v>
      </c>
    </row>
    <row r="27" spans="1:5">
      <c r="D27" s="787"/>
    </row>
    <row r="30" spans="1:5">
      <c r="C30" s="91"/>
    </row>
    <row r="31" spans="1:5" ht="15.75">
      <c r="B31" s="834" t="s">
        <v>7047</v>
      </c>
    </row>
    <row r="33" spans="1:3" ht="15.75">
      <c r="A33" s="780"/>
      <c r="B33" s="775" t="s">
        <v>2866</v>
      </c>
      <c r="C33" s="783"/>
    </row>
    <row r="34" spans="1:3" ht="15">
      <c r="A34" s="514">
        <v>1</v>
      </c>
      <c r="B34" s="655" t="s">
        <v>9476</v>
      </c>
      <c r="C34" s="390">
        <f>'Data Entry - SOF'!Q79</f>
        <v>0</v>
      </c>
    </row>
    <row r="35" spans="1:3" ht="15">
      <c r="A35" s="514">
        <v>2</v>
      </c>
      <c r="B35" s="655" t="s">
        <v>9477</v>
      </c>
      <c r="C35" s="390">
        <f>'Data Entry - SOF'!Q80</f>
        <v>0</v>
      </c>
    </row>
    <row r="36" spans="1:3" ht="15">
      <c r="A36" s="514">
        <v>3</v>
      </c>
      <c r="B36" s="655" t="s">
        <v>3911</v>
      </c>
      <c r="C36" s="390">
        <f>'Data Entry - SOF'!Q119</f>
        <v>0</v>
      </c>
    </row>
    <row r="37" spans="1:3" ht="15.75">
      <c r="A37" s="780"/>
      <c r="B37" s="777" t="s">
        <v>4024</v>
      </c>
      <c r="C37" s="783"/>
    </row>
    <row r="38" spans="1:3" ht="15">
      <c r="A38" s="514">
        <v>4</v>
      </c>
      <c r="B38" s="954" t="s">
        <v>3859</v>
      </c>
      <c r="C38" s="390">
        <f>'IFA-HB3'!W86</f>
        <v>0</v>
      </c>
    </row>
    <row r="39" spans="1:3" ht="15">
      <c r="A39" s="514">
        <v>5</v>
      </c>
      <c r="B39" s="954" t="s">
        <v>3860</v>
      </c>
      <c r="C39" s="390">
        <f>'Existing Debt-HB3'!Q74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'IFA-HB3'!X86</f>
        <v>0</v>
      </c>
    </row>
    <row r="45" spans="1:3" ht="15">
      <c r="A45" s="514">
        <v>10</v>
      </c>
      <c r="B45" s="954" t="s">
        <v>3862</v>
      </c>
      <c r="C45" s="390">
        <f>'Existing Debt-HB3'!R74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SOF'!Q101</f>
        <v>0</v>
      </c>
    </row>
    <row r="50" spans="1:3" ht="15">
      <c r="A50" s="514">
        <v>14</v>
      </c>
      <c r="B50" s="955" t="s">
        <v>4030</v>
      </c>
      <c r="C50" s="390" t="e">
        <f>C40-C48</f>
        <v>#DIV/0!</v>
      </c>
    </row>
    <row r="51" spans="1:3" ht="15.75">
      <c r="A51" s="792">
        <v>15</v>
      </c>
      <c r="B51" s="956" t="s">
        <v>4031</v>
      </c>
      <c r="C51" s="786" t="e">
        <f>IF(C49&gt;=C50,C48,C48*(C49/C50))</f>
        <v>#DIV/0!</v>
      </c>
    </row>
    <row r="54" spans="1:3">
      <c r="B54" s="37"/>
      <c r="C54" s="9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2.75"/>
  <cols>
    <col min="1" max="1" width="47.85546875" customWidth="1"/>
    <col min="2" max="4" width="0" hidden="1" customWidth="1"/>
    <col min="5" max="5" width="3.5703125" customWidth="1"/>
    <col min="6" max="9" width="16" hidden="1" customWidth="1"/>
    <col min="10" max="10" width="17.140625" customWidth="1"/>
    <col min="11" max="11" width="17.140625" hidden="1" customWidth="1"/>
    <col min="12" max="12" width="17.140625" customWidth="1"/>
    <col min="13" max="13" width="17.140625" style="609" customWidth="1"/>
    <col min="14" max="16" width="17.140625" style="658" customWidth="1"/>
    <col min="17" max="17" width="16.5703125" customWidth="1"/>
    <col min="18" max="18" width="16" customWidth="1"/>
    <col min="25" max="30" width="15.5703125" hidden="1" customWidth="1"/>
    <col min="31" max="32" width="15.5703125" customWidth="1"/>
    <col min="33" max="33" width="14.5703125" customWidth="1"/>
    <col min="34" max="34" width="16.42578125" customWidth="1"/>
  </cols>
  <sheetData>
    <row r="1" spans="1:34" ht="15.75">
      <c r="A1" s="95" t="s">
        <v>2394</v>
      </c>
      <c r="B1" s="23"/>
      <c r="C1" s="23"/>
      <c r="D1" s="23"/>
      <c r="E1" s="96"/>
      <c r="F1" s="58"/>
      <c r="G1" s="58"/>
      <c r="L1" s="2716"/>
      <c r="M1" s="2717" t="e">
        <f>'Data Entry - SOF'!#REF!</f>
        <v>#REF!</v>
      </c>
    </row>
    <row r="2" spans="1:34" ht="15.75">
      <c r="A2" s="30"/>
      <c r="E2" s="5"/>
      <c r="F2" s="72"/>
      <c r="G2" s="72"/>
      <c r="M2" s="72" t="e">
        <f>'Data Entry - SOF'!#REF!</f>
        <v>#REF!</v>
      </c>
    </row>
    <row r="3" spans="1:34" ht="15.75">
      <c r="A3" s="30"/>
      <c r="E3" s="5"/>
      <c r="F3" s="58"/>
      <c r="G3" s="58"/>
      <c r="M3" s="58">
        <f>'Data Entry - SOF'!S3</f>
        <v>0</v>
      </c>
    </row>
    <row r="4" spans="1:34" ht="15.75">
      <c r="A4" s="30"/>
      <c r="E4" s="5"/>
    </row>
    <row r="5" spans="1:34" ht="15.75">
      <c r="A5" s="30"/>
      <c r="E5" s="5"/>
    </row>
    <row r="6" spans="1:34">
      <c r="H6" s="88" t="s">
        <v>178</v>
      </c>
    </row>
    <row r="7" spans="1:34">
      <c r="F7" s="236"/>
      <c r="G7" s="236"/>
      <c r="H7" s="240" t="s">
        <v>167</v>
      </c>
      <c r="I7" s="248" t="s">
        <v>169</v>
      </c>
    </row>
    <row r="8" spans="1:34">
      <c r="F8" s="241" t="e">
        <f>IF('Data Entry - SOF'!#REF!=0,0,'Calc Data'!#REF!/'Data Entry - SOF'!#REF!)</f>
        <v>#REF!</v>
      </c>
      <c r="G8" s="241" t="e">
        <f>IF('Data Entry - SOF'!#REF!=0,0,'Calc Data'!#REF!/'Data Entry - SOF'!#REF!)</f>
        <v>#REF!</v>
      </c>
      <c r="H8" s="241" t="e">
        <f>IF('Data Entry - SOF'!#REF!=0,0,'Calc Data'!#REF!/'Data Entry - SOF'!#REF!)</f>
        <v>#REF!</v>
      </c>
      <c r="I8" s="249" t="e">
        <f>IF('Data Entry - SOF'!#REF!=0,0,#REF!/'Data Entry - SOF'!#REF!)</f>
        <v>#REF!</v>
      </c>
    </row>
    <row r="9" spans="1:34">
      <c r="F9" s="241" t="e">
        <f>IF('Data Entry - SOF'!#REF!=0,0,'Data Entry - SOF'!#REF!*F8)</f>
        <v>#REF!</v>
      </c>
      <c r="G9" s="241" t="e">
        <f>IF('Data Entry - SOF'!#REF!=0,0,'Data Entry - SOF'!#REF!*G8)</f>
        <v>#REF!</v>
      </c>
      <c r="H9" s="241" t="e">
        <f>IF('Data Entry - SOF'!#REF!=0,0,'Data Entry - SOF'!#REF!*H8)</f>
        <v>#REF!</v>
      </c>
      <c r="I9" s="249" t="e">
        <f>IF('Data Entry - SOF'!#REF!=0,0,'Data Entry - SOF'!#REF!*I8)</f>
        <v>#REF!</v>
      </c>
    </row>
    <row r="12" spans="1:34">
      <c r="H12" s="88"/>
    </row>
    <row r="13" spans="1:34">
      <c r="F13" s="86" t="s">
        <v>469</v>
      </c>
      <c r="G13" s="243" t="s">
        <v>469</v>
      </c>
      <c r="H13" s="240" t="s">
        <v>1277</v>
      </c>
      <c r="M13"/>
      <c r="N13"/>
      <c r="O13"/>
      <c r="P13"/>
      <c r="Y13" s="137" t="s">
        <v>3175</v>
      </c>
      <c r="Z13" s="137" t="s">
        <v>3182</v>
      </c>
      <c r="AA13" s="137" t="s">
        <v>3175</v>
      </c>
      <c r="AB13" s="137" t="s">
        <v>3182</v>
      </c>
      <c r="AC13" s="137" t="s">
        <v>3175</v>
      </c>
      <c r="AD13" s="137" t="s">
        <v>3182</v>
      </c>
      <c r="AE13" s="137" t="s">
        <v>3175</v>
      </c>
      <c r="AF13" s="137" t="s">
        <v>3182</v>
      </c>
      <c r="AG13" s="137" t="s">
        <v>3175</v>
      </c>
      <c r="AH13" s="137" t="s">
        <v>3175</v>
      </c>
    </row>
    <row r="14" spans="1:34" ht="15.75">
      <c r="A14" s="30" t="s">
        <v>2427</v>
      </c>
      <c r="F14" s="86" t="s">
        <v>167</v>
      </c>
      <c r="G14" s="243" t="s">
        <v>168</v>
      </c>
      <c r="H14" s="240" t="s">
        <v>167</v>
      </c>
      <c r="I14" s="236" t="s">
        <v>2198</v>
      </c>
      <c r="K14" s="519" t="s">
        <v>3138</v>
      </c>
      <c r="L14" s="52" t="s">
        <v>3144</v>
      </c>
      <c r="M14" s="663" t="s">
        <v>3225</v>
      </c>
      <c r="N14" s="663" t="s">
        <v>3284</v>
      </c>
      <c r="O14" s="847" t="s">
        <v>3922</v>
      </c>
      <c r="P14" s="847" t="s">
        <v>6374</v>
      </c>
      <c r="Q14" s="243" t="s">
        <v>6939</v>
      </c>
      <c r="R14" s="243" t="s">
        <v>8157</v>
      </c>
      <c r="Y14" s="137" t="s">
        <v>169</v>
      </c>
      <c r="Z14" s="137" t="s">
        <v>169</v>
      </c>
      <c r="AA14" s="137" t="s">
        <v>781</v>
      </c>
      <c r="AB14" s="137" t="s">
        <v>781</v>
      </c>
      <c r="AC14" s="137" t="s">
        <v>3100</v>
      </c>
      <c r="AD14" s="137" t="s">
        <v>3100</v>
      </c>
      <c r="AE14" s="137" t="s">
        <v>3138</v>
      </c>
      <c r="AF14" s="137" t="s">
        <v>3138</v>
      </c>
      <c r="AG14" s="137" t="s">
        <v>3144</v>
      </c>
      <c r="AH14" s="137" t="s">
        <v>3225</v>
      </c>
    </row>
    <row r="15" spans="1:34">
      <c r="A15" t="s">
        <v>749</v>
      </c>
      <c r="F15" s="319" t="e">
        <f>IF('Data Entry - SOF'!#REF!=0,0,'Calc Data'!#REF!/'Data Entry - SOF'!#REF!)</f>
        <v>#REF!</v>
      </c>
      <c r="G15" s="244" t="e">
        <f>IF('Data Entry - SOF'!#REF!=0,0,'Calc Data'!#REF!/'Data Entry - SOF'!#REF!)</f>
        <v>#REF!</v>
      </c>
      <c r="H15" s="241" t="e">
        <f>IF('Data Entry - SOF'!#REF!=0,0,'Calc Data'!#REF!/'Data Entry - SOF'!#REF!)</f>
        <v>#REF!</v>
      </c>
      <c r="I15" s="230" t="e">
        <f>IF('Data Entry - SOF'!#REF!=0,0,'Calc Data'!#REF!/'Data Entry - SOF'!#REF!)</f>
        <v>#REF!</v>
      </c>
      <c r="K15" s="520">
        <f>IF('Data Entry - SOF'!C134=0,0,'Calc Data'!C25/'Data Entry - SOF'!C134)</f>
        <v>0</v>
      </c>
      <c r="L15" s="2703" t="e">
        <f>IF('Data Entry - SOF'!#REF!=0,0,'Calc Data'!D25/'Data Entry - SOF'!#REF!)</f>
        <v>#REF!</v>
      </c>
      <c r="M15" s="668">
        <f>IF('Data Entry - SOF'!E134=0,0,'Calc Data'!E25/'Data Entry - SOF'!E134)</f>
        <v>0</v>
      </c>
      <c r="N15" s="668">
        <f>IF('Data Entry - SOF'!G134=0,0,'Calc Data'!F25/'Data Entry - SOF'!G134)</f>
        <v>0</v>
      </c>
      <c r="O15" s="872">
        <f>IF('Data Entry - SOF'!M134=0,0,'Calc Data'!G25/'Data Entry - SOF'!M134)</f>
        <v>0</v>
      </c>
      <c r="P15" s="872">
        <f>IF('Data Entry - SOF'!O134=0,0,'Calc Data'!H25/'Data Entry - SOF'!O134)</f>
        <v>0</v>
      </c>
      <c r="Q15" s="872">
        <f>IF('Data Entry - SOF'!Q134=0,0,'Calc Data'!I25/'Data Entry - SOF'!Q134)</f>
        <v>0</v>
      </c>
      <c r="R15" s="872">
        <f>IF('Data Entry - SOF'!S134=0,0,'Calc Data'!J25/'Data Entry - SOF'!S134)</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SOF'!C134=0,0,'Calc Data'!U11/'Data Entry - SOF'!C134)</f>
        <v>0</v>
      </c>
      <c r="AF15" s="155">
        <f>IF('Data Entry - SOF'!C134=0,0,'Calc Data'!V11/'Data Entry - SOF'!C134)</f>
        <v>0</v>
      </c>
      <c r="AG15" s="155" t="e">
        <f>IF('Data Entry - SOF'!#REF!=0,0,'Calc Data'!W11/'Data Entry - SOF'!#REF!)</f>
        <v>#REF!</v>
      </c>
      <c r="AH15" s="155">
        <f>IF('Data Entry - SOF'!E134=0,0,'Calc Data'!X11/'Data Entry - SOF'!E134)</f>
        <v>0</v>
      </c>
    </row>
    <row r="16" spans="1:34">
      <c r="A16" t="s">
        <v>1474</v>
      </c>
      <c r="F16" s="319" t="e">
        <f>IF('Data Entry - SOF'!#REF!=0,0,'Data Entry - SOF'!#REF!*F15)</f>
        <v>#REF!</v>
      </c>
      <c r="G16" s="244" t="e">
        <f>IF('Data Entry - SOF'!#REF!=0,0,'Data Entry - SOF'!#REF!*G15)</f>
        <v>#REF!</v>
      </c>
      <c r="H16" s="241" t="e">
        <f>IF('Data Entry - SOF'!#REF!=0,0,'Data Entry - SOF'!#REF!*H15)</f>
        <v>#REF!</v>
      </c>
      <c r="I16" s="230" t="e">
        <f>IF('Data Entry - SOF'!#REF!=0,0,'Data Entry - SOF'!#REF!*I8)</f>
        <v>#REF!</v>
      </c>
      <c r="K16" s="520">
        <f>IF('Data Entry - SOF'!C135=0,0,'Data Entry - SOF'!C135*K15)</f>
        <v>0</v>
      </c>
      <c r="L16" s="2703" t="e">
        <f>IF('Data Entry - SOF'!#REF!=0,0,'Data Entry - SOF'!#REF!*L15)</f>
        <v>#REF!</v>
      </c>
      <c r="M16" s="668">
        <f>IF('Data Entry - SOF'!E135=0,0,'Data Entry - SOF'!E135*M15)</f>
        <v>0</v>
      </c>
      <c r="N16" s="668">
        <f>IF('Data Entry - SOF'!G135=0,0,'Data Entry - SOF'!G135*N15)</f>
        <v>0</v>
      </c>
      <c r="O16" s="872">
        <f>IF('Data Entry - SOF'!M135=0,0,'Data Entry - SOF'!M135*O15)</f>
        <v>0</v>
      </c>
      <c r="P16" s="872">
        <f>IF('Data Entry - SOF'!O135=0,0,'Data Entry - SOF'!O135*P15)</f>
        <v>0</v>
      </c>
      <c r="Q16" s="872">
        <f>IF('Data Entry - SOF'!Q135=0,0,'Data Entry - SOF'!Q135*Q15)</f>
        <v>0</v>
      </c>
      <c r="R16" s="872">
        <f>IF('Data Entry - SOF'!S135=0,0,'Data Entry - SOF'!S135*R15)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SOF'!C135=0,0,'Data Entry - SOF'!C135*AE15)</f>
        <v>0</v>
      </c>
      <c r="AF16" s="155">
        <f>IF('Data Entry - SOF'!C135=0,0,'Data Entry - SOF'!C135*AF15)</f>
        <v>0</v>
      </c>
      <c r="AG16" s="155" t="e">
        <f>IF('Data Entry - SOF'!#REF!=0,0,'Data Entry - SOF'!#REF!*AG15)</f>
        <v>#REF!</v>
      </c>
      <c r="AH16" s="155">
        <f>IF('Data Entry - SOF'!E135=0,0,'Data Entry - SOF'!E135*AH15)</f>
        <v>0</v>
      </c>
    </row>
    <row r="17" spans="1:34" ht="15.75">
      <c r="A17" s="30" t="s">
        <v>23</v>
      </c>
      <c r="F17" s="319" t="e">
        <f>'Calc Data'!#REF!-F9</f>
        <v>#REF!</v>
      </c>
      <c r="G17" s="244" t="e">
        <f>'Calc Data'!#REF!-G9</f>
        <v>#REF!</v>
      </c>
      <c r="H17" s="241" t="e">
        <f>'Calc Data'!#REF!-H9</f>
        <v>#REF!</v>
      </c>
      <c r="I17" s="230" t="e">
        <f>'Calc Data'!#REF!-I9</f>
        <v>#REF!</v>
      </c>
      <c r="K17" s="520" t="e">
        <f>'Calc Data'!C25-K16</f>
        <v>#REF!</v>
      </c>
      <c r="L17" s="2703" t="e">
        <f>'Calc Data'!D25-L16</f>
        <v>#REF!</v>
      </c>
      <c r="M17" s="668">
        <f>'Calc Data'!E25-M16</f>
        <v>0</v>
      </c>
      <c r="N17" s="668">
        <f>'Calc Data'!F25-N16</f>
        <v>0</v>
      </c>
      <c r="O17" s="872" t="e">
        <f>'Calc Data'!G25-O16</f>
        <v>#DIV/0!</v>
      </c>
      <c r="P17" s="872" t="e">
        <f>'Calc Data'!H25-P16</f>
        <v>#DIV/0!</v>
      </c>
      <c r="Q17" s="872" t="e">
        <f>'Calc Data'!I25-Q16</f>
        <v>#DIV/0!</v>
      </c>
      <c r="R17" s="872" t="e">
        <f>'Calc Data'!J25-R16</f>
        <v>#DIV/0!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#REF!</v>
      </c>
      <c r="AG17" s="155" t="e">
        <f>'Calc Data'!W11-AG16</f>
        <v>#REF!</v>
      </c>
      <c r="AH17" s="155" t="e">
        <f>'Calc Data'!W11-AH16</f>
        <v>#REF!</v>
      </c>
    </row>
    <row r="19" spans="1:34">
      <c r="H19" s="305" t="e">
        <f>#REF!</f>
        <v>#REF!</v>
      </c>
      <c r="L19" s="2674" t="s">
        <v>2702</v>
      </c>
      <c r="M19" s="2701" t="e">
        <f>'SOF1819-SB1'!P43</f>
        <v>#REF!</v>
      </c>
    </row>
    <row r="20" spans="1:34">
      <c r="H20" s="333" t="e">
        <f>H19-H16</f>
        <v>#REF!</v>
      </c>
      <c r="L20" s="2675"/>
      <c r="M20" s="2702" t="e">
        <f>M19-K16</f>
        <v>#REF!</v>
      </c>
    </row>
  </sheetData>
  <phoneticPr fontId="0" type="noConversion"/>
  <pageMargins left="0.25" right="0.25" top="0.5" bottom="0.5" header="0.5" footer="0.5"/>
  <pageSetup orientation="landscape" r:id="rId1"/>
  <headerFooter alignWithMargins="0"/>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30" workbookViewId="0">
      <selection activeCell="B31" sqref="B31"/>
    </sheetView>
  </sheetViews>
  <sheetFormatPr defaultRowHeight="12.75"/>
  <cols>
    <col min="1" max="1" width="4.85546875" style="52" customWidth="1"/>
    <col min="2" max="2" width="114.140625" customWidth="1"/>
    <col min="3" max="5" width="20.5703125" customWidth="1"/>
  </cols>
  <sheetData>
    <row r="1" spans="1:5" ht="15.75">
      <c r="B1" s="473" t="s">
        <v>3884</v>
      </c>
    </row>
    <row r="2" spans="1:5" ht="15.75">
      <c r="B2" s="325"/>
    </row>
    <row r="3" spans="1:5" ht="15.75">
      <c r="A3" s="381"/>
    </row>
    <row r="4" spans="1:5" ht="15.75">
      <c r="B4" s="834" t="s">
        <v>8231</v>
      </c>
    </row>
    <row r="6" spans="1:5" ht="15.75">
      <c r="A6" s="781"/>
      <c r="B6" s="775" t="s">
        <v>2866</v>
      </c>
      <c r="C6" s="785" t="s">
        <v>3864</v>
      </c>
      <c r="D6" s="785" t="s">
        <v>3865</v>
      </c>
      <c r="E6" s="785" t="s">
        <v>3824</v>
      </c>
    </row>
    <row r="7" spans="1:5" ht="15">
      <c r="A7" s="514">
        <v>1</v>
      </c>
      <c r="B7" s="386" t="s">
        <v>8232</v>
      </c>
      <c r="C7" s="390">
        <f>'Data Entry - SOF'!S73</f>
        <v>0</v>
      </c>
      <c r="D7" s="390">
        <f>'Data Entry - SOF'!S74</f>
        <v>0</v>
      </c>
      <c r="E7" s="390">
        <f t="shared" ref="E7:E14" si="0">C7-D7</f>
        <v>0</v>
      </c>
    </row>
    <row r="8" spans="1:5" ht="15">
      <c r="A8" s="514">
        <v>2</v>
      </c>
      <c r="B8" s="386" t="s">
        <v>8233</v>
      </c>
      <c r="C8" s="408">
        <f>'Data Entry - SOF'!S92</f>
        <v>1.17</v>
      </c>
      <c r="D8" s="408">
        <f>C8</f>
        <v>1.17</v>
      </c>
      <c r="E8" s="408">
        <f t="shared" si="0"/>
        <v>0</v>
      </c>
    </row>
    <row r="9" spans="1:5" ht="15">
      <c r="A9" s="514">
        <v>3</v>
      </c>
      <c r="B9" s="386" t="s">
        <v>3883</v>
      </c>
      <c r="C9" s="408">
        <f>'Data Entry - SOF'!E172</f>
        <v>0</v>
      </c>
      <c r="D9" s="408">
        <f>C9</f>
        <v>0</v>
      </c>
      <c r="E9" s="408">
        <f t="shared" si="0"/>
        <v>0</v>
      </c>
    </row>
    <row r="10" spans="1:5" s="382" customFormat="1" ht="15">
      <c r="A10" s="514">
        <v>4</v>
      </c>
      <c r="B10" s="386" t="s">
        <v>8234</v>
      </c>
      <c r="C10" s="478">
        <f>'Data Entry - SOF'!S93+'Data Entry - SOF'!S98</f>
        <v>0</v>
      </c>
      <c r="D10" s="478" t="e">
        <f>(('Data Entry - SOF'!S93-'IFA-OldLaw'!AI79)*(D7/C7))+'IFA-OldLaw'!AI79+'Data Entry - SOF'!S98</f>
        <v>#DIV/0!</v>
      </c>
      <c r="E10" s="390" t="e">
        <f t="shared" si="0"/>
        <v>#DIV/0!</v>
      </c>
    </row>
    <row r="11" spans="1:5" s="382" customFormat="1" ht="15">
      <c r="A11" s="514">
        <v>5</v>
      </c>
      <c r="B11" s="386" t="s">
        <v>8235</v>
      </c>
      <c r="C11" s="478">
        <f>C10*IF(C8&lt;C9,1,C9/C8)</f>
        <v>0</v>
      </c>
      <c r="D11" s="478" t="e">
        <f>D10*IF(D8&lt;D9,1,D9/D8)</f>
        <v>#DIV/0!</v>
      </c>
      <c r="E11" s="390" t="e">
        <f t="shared" si="0"/>
        <v>#DIV/0!</v>
      </c>
    </row>
    <row r="12" spans="1:5" s="382" customFormat="1" ht="15">
      <c r="A12" s="514">
        <v>6</v>
      </c>
      <c r="B12" s="386" t="s">
        <v>530</v>
      </c>
      <c r="C12" s="390">
        <f>'SOF2324-SB1'!J43</f>
        <v>0</v>
      </c>
      <c r="D12" s="390">
        <f>'SOF2324-SB1'!K43</f>
        <v>0</v>
      </c>
      <c r="E12" s="390">
        <f t="shared" si="0"/>
        <v>0</v>
      </c>
    </row>
    <row r="13" spans="1:5" s="382" customFormat="1" ht="15">
      <c r="A13" s="514">
        <v>7</v>
      </c>
      <c r="B13" s="386" t="s">
        <v>3874</v>
      </c>
      <c r="C13" s="390">
        <f>'SOF2324-SB1'!J44</f>
        <v>0</v>
      </c>
      <c r="D13" s="390">
        <f>'SOF2324-SB1'!K44</f>
        <v>0</v>
      </c>
      <c r="E13" s="390">
        <f t="shared" si="0"/>
        <v>0</v>
      </c>
    </row>
    <row r="14" spans="1:5" s="382" customFormat="1" ht="15">
      <c r="A14" s="514">
        <v>8</v>
      </c>
      <c r="B14" s="386" t="s">
        <v>3870</v>
      </c>
      <c r="C14" s="390">
        <f>'SOF2324-SB1'!J48</f>
        <v>0</v>
      </c>
      <c r="D14" s="390">
        <f>'SOF2324-SB1'!K48</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'SOF2324-SB1'!J51</f>
        <v>#DIV/0!</v>
      </c>
      <c r="D17" s="390" t="e">
        <f>'SOF2324-SB1'!K51</f>
        <v>#DIV/0!</v>
      </c>
      <c r="E17" s="390" t="e">
        <f>C17-D17</f>
        <v>#DIV/0!</v>
      </c>
    </row>
    <row r="18" spans="1:5" s="382" customFormat="1" ht="15">
      <c r="A18" s="514">
        <v>11</v>
      </c>
      <c r="B18" s="386" t="s">
        <v>3876</v>
      </c>
      <c r="C18" s="390" t="e">
        <f>'SOF2324-SB1'!J52</f>
        <v>#DIV/0!</v>
      </c>
      <c r="D18" s="390" t="e">
        <f>'SOF2324-SB1'!K52</f>
        <v>#DIV/0!</v>
      </c>
      <c r="E18" s="390" t="e">
        <f>C18-D18</f>
        <v>#DIV/0!</v>
      </c>
    </row>
    <row r="19" spans="1:5" s="382" customFormat="1" ht="15">
      <c r="A19" s="514">
        <v>12</v>
      </c>
      <c r="B19" s="386" t="s">
        <v>6383</v>
      </c>
      <c r="C19" s="390">
        <f>'IFA-OldLaw'!AG86</f>
        <v>0</v>
      </c>
      <c r="D19" s="390">
        <f>'IFA-OldLaw'!AI86</f>
        <v>0</v>
      </c>
      <c r="E19" s="390">
        <f>C19-D19</f>
        <v>0</v>
      </c>
    </row>
    <row r="20" spans="1:5" s="382" customFormat="1" ht="15.75">
      <c r="A20" s="514">
        <v>13</v>
      </c>
      <c r="B20" s="384" t="s">
        <v>6167</v>
      </c>
      <c r="C20" s="390">
        <v>0</v>
      </c>
      <c r="D20" s="390">
        <v>0</v>
      </c>
      <c r="E20" s="390">
        <f>C20-D20</f>
        <v>0</v>
      </c>
    </row>
    <row r="21" spans="1:5" s="382" customFormat="1" ht="15">
      <c r="A21" s="514">
        <v>14</v>
      </c>
      <c r="B21" s="386" t="s">
        <v>3878</v>
      </c>
      <c r="C21" s="390" t="e">
        <f>IF('Option Costs-HH'!BG57="Y",'Option Costs-HH'!BI106,'Option Costs-HH'!BM106)</f>
        <v>#DIV/0!</v>
      </c>
      <c r="D21" s="390" t="e">
        <f>IF('Option Costs-HH-15K'!BG57="Y",'Option Costs-HH-15K'!BI106,'Option Costs-HH-15K'!BM106)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75">
      <c r="A26" s="794">
        <f>A25+1</f>
        <v>18</v>
      </c>
      <c r="B26" s="795" t="s">
        <v>6387</v>
      </c>
      <c r="C26" s="796"/>
      <c r="D26" s="786">
        <v>0</v>
      </c>
    </row>
    <row r="27" spans="1:5">
      <c r="D27" s="787"/>
    </row>
    <row r="30" spans="1:5">
      <c r="C30" s="91"/>
    </row>
    <row r="31" spans="1:5" ht="15.75">
      <c r="B31" s="834" t="s">
        <v>8236</v>
      </c>
    </row>
    <row r="33" spans="1:3" ht="15.75">
      <c r="A33" s="780"/>
      <c r="B33" s="775" t="s">
        <v>2866</v>
      </c>
      <c r="C33" s="783"/>
    </row>
    <row r="34" spans="1:3" ht="15">
      <c r="A34" s="514">
        <v>1</v>
      </c>
      <c r="B34" s="655" t="s">
        <v>9474</v>
      </c>
      <c r="C34" s="390">
        <f>'Data Entry - SOF'!S79</f>
        <v>0</v>
      </c>
    </row>
    <row r="35" spans="1:3" ht="15">
      <c r="A35" s="514">
        <v>2</v>
      </c>
      <c r="B35" s="655" t="s">
        <v>9475</v>
      </c>
      <c r="C35" s="390">
        <f>'Data Entry - SOF'!S80</f>
        <v>0</v>
      </c>
    </row>
    <row r="36" spans="1:3" ht="15">
      <c r="A36" s="514">
        <v>3</v>
      </c>
      <c r="B36" s="655" t="s">
        <v>3911</v>
      </c>
      <c r="C36" s="390">
        <f>'Data Entry - SOF'!S119</f>
        <v>0</v>
      </c>
    </row>
    <row r="37" spans="1:3" ht="15.75">
      <c r="A37" s="780"/>
      <c r="B37" s="777" t="s">
        <v>4024</v>
      </c>
      <c r="C37" s="783"/>
    </row>
    <row r="38" spans="1:3" ht="15">
      <c r="A38" s="514">
        <v>4</v>
      </c>
      <c r="B38" s="954" t="s">
        <v>3859</v>
      </c>
      <c r="C38" s="390">
        <f>'IFA-HB3'!Z86</f>
        <v>0</v>
      </c>
    </row>
    <row r="39" spans="1:3" ht="15">
      <c r="A39" s="514">
        <v>5</v>
      </c>
      <c r="B39" s="954" t="s">
        <v>3860</v>
      </c>
      <c r="C39" s="390">
        <f>'Existing Debt-HB3'!S74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'IFA-HB3'!AA86</f>
        <v>0</v>
      </c>
    </row>
    <row r="45" spans="1:3" ht="15">
      <c r="A45" s="514">
        <v>10</v>
      </c>
      <c r="B45" s="954" t="s">
        <v>3862</v>
      </c>
      <c r="C45" s="390">
        <f>'Existing Debt-HB3'!T74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SOF'!S101</f>
        <v>0</v>
      </c>
    </row>
    <row r="50" spans="1:3" ht="15">
      <c r="A50" s="514">
        <v>14</v>
      </c>
      <c r="B50" s="955" t="s">
        <v>4030</v>
      </c>
      <c r="C50" s="390" t="e">
        <f>C40-C48</f>
        <v>#DIV/0!</v>
      </c>
    </row>
    <row r="51" spans="1:3" ht="15.7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K52" sqref="K52"/>
    </sheetView>
  </sheetViews>
  <sheetFormatPr defaultRowHeight="12.75"/>
  <cols>
    <col min="1" max="1" width="10.5703125" bestFit="1" customWidth="1"/>
    <col min="3" max="3" width="13.5703125" customWidth="1"/>
    <col min="4" max="4" width="44.5703125" customWidth="1"/>
    <col min="5" max="6" width="19.140625" customWidth="1"/>
    <col min="7" max="7" width="3.5703125" customWidth="1"/>
    <col min="8" max="8" width="15.42578125" customWidth="1"/>
    <col min="9" max="9" width="28.42578125" style="2585" customWidth="1"/>
    <col min="10" max="11" width="28.42578125" customWidth="1"/>
    <col min="12" max="12" width="13.5703125" customWidth="1"/>
    <col min="13" max="13" width="13.5703125" style="119" customWidth="1"/>
    <col min="14" max="14" width="13.5703125" customWidth="1"/>
    <col min="15" max="15" width="13.5703125" style="37" customWidth="1"/>
    <col min="16" max="16" width="13.5703125" customWidth="1"/>
    <col min="38" max="38" width="15.5703125" customWidth="1"/>
    <col min="39" max="39" width="16" customWidth="1"/>
  </cols>
  <sheetData>
    <row r="1" spans="1:11" hidden="1">
      <c r="A1" s="20" t="s">
        <v>66</v>
      </c>
      <c r="C1" s="264">
        <f>'Data Entry - SOF'!B1</f>
        <v>0</v>
      </c>
      <c r="E1" s="362"/>
      <c r="F1" s="304" t="e">
        <f>#REF!</f>
        <v>#REF!</v>
      </c>
      <c r="G1" s="59"/>
      <c r="J1" s="59"/>
      <c r="K1" s="59"/>
    </row>
    <row r="2" spans="1:11" hidden="1">
      <c r="A2" s="20" t="s">
        <v>67</v>
      </c>
      <c r="C2" s="12">
        <f>'Data Entry - SOF'!B2</f>
        <v>0</v>
      </c>
      <c r="F2" s="59" t="e">
        <f>#REF!</f>
        <v>#REF!</v>
      </c>
      <c r="G2" s="59"/>
      <c r="J2" s="59"/>
      <c r="K2" s="59"/>
    </row>
    <row r="3" spans="1:11" hidden="1">
      <c r="A3" s="20" t="s">
        <v>143</v>
      </c>
      <c r="C3" s="62">
        <f ca="1">'Data Entry - SOF'!B3</f>
        <v>43726.623322453706</v>
      </c>
      <c r="F3" s="58" t="e">
        <f>#REF!</f>
        <v>#REF!</v>
      </c>
    </row>
    <row r="4" spans="1:11" hidden="1">
      <c r="D4" s="295" t="s">
        <v>3183</v>
      </c>
    </row>
    <row r="5" spans="1:11" hidden="1">
      <c r="D5" s="296" t="s">
        <v>3938</v>
      </c>
    </row>
    <row r="6" spans="1:11" hidden="1"/>
    <row r="7" spans="1:11" hidden="1">
      <c r="D7" s="20" t="s">
        <v>1393</v>
      </c>
    </row>
    <row r="8" spans="1:11" hidden="1">
      <c r="B8" s="4"/>
      <c r="D8" s="20" t="s">
        <v>832</v>
      </c>
      <c r="F8" s="19">
        <f>'Calc Data'!H7</f>
        <v>0</v>
      </c>
      <c r="G8" s="18"/>
      <c r="J8" s="18"/>
      <c r="K8" s="18"/>
    </row>
    <row r="9" spans="1:11" hidden="1">
      <c r="D9" s="20" t="s">
        <v>1394</v>
      </c>
      <c r="F9" s="19">
        <f>'Calc Data'!H8</f>
        <v>0</v>
      </c>
      <c r="G9" s="18"/>
      <c r="J9" s="18"/>
      <c r="K9" s="18"/>
    </row>
    <row r="10" spans="1:11" hidden="1">
      <c r="D10" s="20" t="s">
        <v>426</v>
      </c>
      <c r="F10" s="19">
        <f>'Data Entry - SOF'!O35</f>
        <v>0</v>
      </c>
      <c r="G10" s="18"/>
      <c r="J10" s="18"/>
      <c r="K10" s="18"/>
    </row>
    <row r="11" spans="1:11" hidden="1">
      <c r="B11" s="20"/>
      <c r="D11" s="20" t="s">
        <v>427</v>
      </c>
      <c r="F11" s="19">
        <f>'Calc Data'!H10</f>
        <v>0</v>
      </c>
      <c r="G11" s="18"/>
      <c r="J11" s="18"/>
      <c r="K11" s="18"/>
    </row>
    <row r="12" spans="1:11" hidden="1">
      <c r="D12" s="20" t="s">
        <v>428</v>
      </c>
      <c r="F12" s="16">
        <f>'Data Entry - SOF'!O73</f>
        <v>0</v>
      </c>
      <c r="G12" s="16"/>
      <c r="J12" s="16"/>
      <c r="K12" s="16"/>
    </row>
    <row r="13" spans="1:11" hidden="1">
      <c r="D13" s="20" t="s">
        <v>429</v>
      </c>
      <c r="F13" s="16" t="e">
        <f>'Data Entry - SOF'!#REF!</f>
        <v>#REF!</v>
      </c>
      <c r="G13" s="16"/>
      <c r="J13" s="16"/>
      <c r="K13" s="16"/>
    </row>
    <row r="14" spans="1:11" hidden="1">
      <c r="D14" s="20" t="s">
        <v>1811</v>
      </c>
      <c r="F14" s="19">
        <f>'Data Entry - SOF'!O159</f>
        <v>0</v>
      </c>
      <c r="G14" s="16"/>
      <c r="J14" s="16"/>
      <c r="K14" s="16"/>
    </row>
    <row r="15" spans="1:11" hidden="1">
      <c r="D15" s="20" t="s">
        <v>1155</v>
      </c>
      <c r="F15" s="19">
        <f>'Calc Data'!H59</f>
        <v>0</v>
      </c>
      <c r="G15" s="17"/>
      <c r="J15" s="17"/>
      <c r="K15" s="17"/>
    </row>
    <row r="16" spans="1:11" hidden="1">
      <c r="D16" s="20" t="s">
        <v>1956</v>
      </c>
      <c r="F16" s="16">
        <f>'Data Entry - SOF'!O93</f>
        <v>0</v>
      </c>
      <c r="G16" s="16"/>
      <c r="J16" s="16"/>
      <c r="K16" s="16"/>
    </row>
    <row r="17" spans="2:38" ht="13.5" hidden="1" thickBot="1">
      <c r="D17" s="27"/>
      <c r="E17" s="10"/>
      <c r="F17" s="10"/>
      <c r="G17" s="16"/>
      <c r="J17" s="16"/>
      <c r="K17" s="16"/>
    </row>
    <row r="18" spans="2:38">
      <c r="D18" s="20"/>
      <c r="G18" s="16"/>
      <c r="H18" s="2558" t="s">
        <v>3853</v>
      </c>
      <c r="I18" s="2976"/>
      <c r="J18" s="2968" t="s">
        <v>6968</v>
      </c>
      <c r="K18" s="2501" t="s">
        <v>6967</v>
      </c>
    </row>
    <row r="19" spans="2:38" ht="15.75">
      <c r="B19" s="24" t="s">
        <v>430</v>
      </c>
      <c r="D19" s="20"/>
      <c r="F19" s="324"/>
      <c r="G19" s="20"/>
      <c r="H19" s="2564" t="s">
        <v>3840</v>
      </c>
      <c r="I19" s="2977"/>
      <c r="J19" s="2969" t="s">
        <v>8554</v>
      </c>
      <c r="K19" s="2505" t="s">
        <v>8553</v>
      </c>
    </row>
    <row r="20" spans="2:38" ht="15.75">
      <c r="B20" s="24">
        <v>11</v>
      </c>
      <c r="D20" s="100" t="s">
        <v>3140</v>
      </c>
      <c r="F20" s="311">
        <f>ROUND(ROUND('Calc Data'!H23,0)*IF('Calc Data'!H11&gt;'Calc Data'!H10,'Calc Data'!H11,'Calc Data'!H10),0)</f>
        <v>0</v>
      </c>
      <c r="G20" s="16"/>
      <c r="H20" s="2559">
        <f>ROUND(ROUND('Calc Data'!AT23,0)*IF('Calc Data'!H11&gt;'Calc Data'!H10,'Calc Data'!H11,'Calc Data'!H10),0)</f>
        <v>0</v>
      </c>
      <c r="I20" s="2596"/>
      <c r="J20" s="2537">
        <f>ROUND(ROUND('Calc Data'!AT78,0)*IF('Calc Data'!H11&gt;'Calc Data'!H10,'Calc Data'!H11,'Calc Data'!H10),0)</f>
        <v>0</v>
      </c>
      <c r="K20" s="2569"/>
      <c r="AL20" s="16" t="e">
        <f>ROUND(ROUND('Calc Data'!AC23,0)*IF('Calc Data'!#REF!&gt;'Calc Data'!#REF!,'Calc Data'!#REF!,'Calc Data'!#REF!),0)</f>
        <v>#REF!</v>
      </c>
    </row>
    <row r="21" spans="2:38">
      <c r="B21" s="24">
        <v>23</v>
      </c>
      <c r="D21" s="20" t="s">
        <v>89</v>
      </c>
      <c r="F21" s="16">
        <f>ROUND('Calc Data'!H9*ROUND('Calc Data'!H23,0),0)</f>
        <v>0</v>
      </c>
      <c r="G21" s="16"/>
      <c r="H21" s="2538">
        <f>ROUND('Calc Data'!H9*ROUND('Calc Data'!AT23,0),0)</f>
        <v>0</v>
      </c>
      <c r="I21" s="2597"/>
      <c r="J21" s="2941">
        <f>ROUND('Calc Data'!H9*ROUND('Calc Data'!AT78,0),0)</f>
        <v>0</v>
      </c>
      <c r="K21" s="1668"/>
      <c r="AL21" s="16" t="e">
        <f>ROUND('Calc Data'!#REF!*ROUND('Calc Data'!AC23,0),0)</f>
        <v>#REF!</v>
      </c>
    </row>
    <row r="22" spans="2:38">
      <c r="B22" s="24"/>
      <c r="D22" s="20" t="s">
        <v>90</v>
      </c>
      <c r="F22" s="35"/>
      <c r="H22" s="2539"/>
      <c r="I22" s="2598"/>
      <c r="J22" s="2942"/>
      <c r="K22" s="1668"/>
    </row>
    <row r="23" spans="2:38">
      <c r="B23" s="24">
        <v>23</v>
      </c>
      <c r="D23" s="20" t="s">
        <v>91</v>
      </c>
      <c r="F23" s="26">
        <f>ROUND('Data Entry - SOF'!O34*Weights!M21*ROUND('Calc Data'!H23,0),0)</f>
        <v>0</v>
      </c>
      <c r="G23" s="26"/>
      <c r="H23" s="2540">
        <f>ROUND('Data Entry - SOF'!O34*Weights!M21*ROUND('Calc Data'!AT23,0),0)</f>
        <v>0</v>
      </c>
      <c r="I23" s="2599"/>
      <c r="J23" s="2943">
        <f>ROUND('Data Entry - SOF'!O34*Weights!M21*ROUND('Calc Data'!AT78,0),0)</f>
        <v>0</v>
      </c>
      <c r="K23" s="1668"/>
      <c r="AL23" s="26" t="e">
        <f>ROUND('Data Entry - SOF'!#REF!*1.1*ROUND('Calc Data'!AC23,0),0)</f>
        <v>#REF!</v>
      </c>
    </row>
    <row r="24" spans="2:38">
      <c r="B24" s="24">
        <v>23</v>
      </c>
      <c r="D24" s="20" t="s">
        <v>92</v>
      </c>
      <c r="F24" s="16">
        <f>ROUND((+'Data Entry - SOF'!O32*Weights!M19)*ROUND('Calc Data'!H23,0),0)</f>
        <v>0</v>
      </c>
      <c r="G24" s="16"/>
      <c r="H24" s="2538">
        <f>ROUND((+'Data Entry - SOF'!O32*Weights!M19)*ROUND('Calc Data'!AT23,0),0)</f>
        <v>0</v>
      </c>
      <c r="I24" s="2597"/>
      <c r="J24" s="2941">
        <f>ROUND((+'Data Entry - SOF'!O32*Weights!M19)*ROUND('Calc Data'!AT78,0),0)</f>
        <v>0</v>
      </c>
      <c r="K24" s="1668"/>
      <c r="AL24" s="16" t="e">
        <f>ROUND((+'Data Entry - SOF'!#REF!*4)*ROUND('Calc Data'!AC23,0),0)</f>
        <v>#REF!</v>
      </c>
    </row>
    <row r="25" spans="2:38">
      <c r="B25" s="24">
        <v>23</v>
      </c>
      <c r="D25" s="22" t="s">
        <v>812</v>
      </c>
      <c r="F25" s="16">
        <f>ROUND((+'Data Entry - SOF'!O30*Weights!M17)*ROUND('Calc Data'!H23,0),0)</f>
        <v>0</v>
      </c>
      <c r="G25" s="16"/>
      <c r="H25" s="2538">
        <f>ROUND((+'Data Entry - SOF'!O30*Weights!M17)*ROUND('Calc Data'!AT23,0),0)</f>
        <v>0</v>
      </c>
      <c r="I25" s="2597"/>
      <c r="J25" s="2941">
        <f>ROUND((+'Data Entry - SOF'!O30*Weights!M17)*ROUND('Calc Data'!AT78,0),0)</f>
        <v>0</v>
      </c>
      <c r="K25" s="1668"/>
      <c r="AL25" s="16" t="e">
        <f>ROUND((+'Data Entry - SOF'!#REF!*2.8)*ROUND('Calc Data'!AC23,0),0)</f>
        <v>#REF!</v>
      </c>
    </row>
    <row r="26" spans="2:38">
      <c r="B26" s="24">
        <v>23</v>
      </c>
      <c r="D26" s="22" t="s">
        <v>813</v>
      </c>
      <c r="F26" s="16">
        <f>ROUND(('Data Entry - SOF'!O31*Weights!M18)*ROUND('Calc Data'!H23,0),0)</f>
        <v>0</v>
      </c>
      <c r="G26" s="16"/>
      <c r="H26" s="2538">
        <f>ROUND(('Data Entry - SOF'!O31*Weights!M18)*ROUND('Calc Data'!AT23,0),0)</f>
        <v>0</v>
      </c>
      <c r="I26" s="2597"/>
      <c r="J26" s="2941">
        <f>ROUND(('Data Entry - SOF'!O31*Weights!M18)*ROUND('Calc Data'!AT78,0),0)</f>
        <v>0</v>
      </c>
      <c r="K26" s="1668"/>
      <c r="AL26" s="16" t="e">
        <f>ROUND(('Data Entry - SOF'!#REF!*1.7)*ROUND('Calc Data'!AC23,0),0)</f>
        <v>#REF!</v>
      </c>
    </row>
    <row r="27" spans="2:38">
      <c r="B27" s="24"/>
      <c r="D27" s="20" t="s">
        <v>1145</v>
      </c>
      <c r="F27" s="16">
        <f>IF('Data Entry - SOF'!O114&lt;0,'Data Entry - SOF'!O114,'Data Entry - SOF'!O114*-1)</f>
        <v>0</v>
      </c>
      <c r="G27" s="16"/>
      <c r="H27" s="2538">
        <f>IF('Data Entry - SOF'!O114&lt;0,'Data Entry - SOF'!O114,'Data Entry - SOF'!O114*-1)</f>
        <v>0</v>
      </c>
      <c r="I27" s="2597"/>
      <c r="J27" s="2944">
        <f>H27</f>
        <v>0</v>
      </c>
      <c r="K27" s="1668"/>
      <c r="AL27" s="16">
        <v>0</v>
      </c>
    </row>
    <row r="28" spans="2:38">
      <c r="B28" s="24">
        <v>22</v>
      </c>
      <c r="C28" s="14"/>
      <c r="D28" s="20" t="s">
        <v>102</v>
      </c>
      <c r="F28" s="16">
        <f>ROUND(ROUND('Calc Data'!H23,0)*'Data Entry - SOF'!O35*Weights!M23,0)</f>
        <v>0</v>
      </c>
      <c r="G28" s="16"/>
      <c r="H28" s="2538">
        <f>ROUND(ROUND('Calc Data'!AT23,0)*'Data Entry - SOF'!O35*Weights!M23,0)</f>
        <v>0</v>
      </c>
      <c r="I28" s="2597"/>
      <c r="J28" s="2941">
        <f>ROUND(ROUND('Calc Data'!AT78,0)*'Data Entry - SOF'!O35*Weights!M23,0)</f>
        <v>0</v>
      </c>
      <c r="K28" s="1668"/>
      <c r="AL28" s="16" t="e">
        <f>ROUND(ROUND('Calc Data'!AC23,0)*'Data Entry - SOF'!#REF!*1.35,0)</f>
        <v>#REF!</v>
      </c>
    </row>
    <row r="29" spans="2:38">
      <c r="B29" s="24"/>
      <c r="C29" s="14"/>
      <c r="D29" s="35" t="s">
        <v>644</v>
      </c>
      <c r="F29" s="16">
        <f>Weights!M24*'Data Entry - SOF'!O37</f>
        <v>0</v>
      </c>
      <c r="G29" s="16"/>
      <c r="H29" s="2538">
        <f>Weights!M24*'Data Entry - SOF'!O37</f>
        <v>0</v>
      </c>
      <c r="I29" s="2597"/>
      <c r="J29" s="2944">
        <f>H29</f>
        <v>0</v>
      </c>
      <c r="K29" s="1668"/>
      <c r="AL29" s="16"/>
    </row>
    <row r="30" spans="2:38" hidden="1">
      <c r="B30" s="24"/>
      <c r="C30" s="14"/>
      <c r="D30" s="35" t="s">
        <v>645</v>
      </c>
      <c r="F30" s="16" t="e">
        <f>400*'Data Entry - SOF'!O39</f>
        <v>#DIV/0!</v>
      </c>
      <c r="G30" s="16"/>
      <c r="H30" s="2538" t="e">
        <f>400*'Data Entry - SOF'!O39</f>
        <v>#DIV/0!</v>
      </c>
      <c r="I30" s="2597"/>
      <c r="J30" s="2945"/>
      <c r="K30" s="1668"/>
      <c r="AL30" s="16"/>
    </row>
    <row r="31" spans="2:38" hidden="1">
      <c r="B31" s="24"/>
      <c r="C31" s="14"/>
      <c r="D31" s="35" t="s">
        <v>646</v>
      </c>
      <c r="F31" s="16" t="e">
        <f>80*'Data Entry - SOF'!O40</f>
        <v>#DIV/0!</v>
      </c>
      <c r="G31" s="16"/>
      <c r="H31" s="2538" t="e">
        <f>80*'Data Entry - SOF'!O40</f>
        <v>#DIV/0!</v>
      </c>
      <c r="I31" s="2597"/>
      <c r="J31" s="2945"/>
      <c r="K31" s="1668"/>
      <c r="AL31" s="16"/>
    </row>
    <row r="32" spans="2:38">
      <c r="B32" s="24">
        <v>21</v>
      </c>
      <c r="D32" s="20" t="s">
        <v>2634</v>
      </c>
      <c r="F32" s="16">
        <f>ROUND(ROUND('Calc Data'!H23,0)*'Data Entry - SOF'!O211*Weights!M28,0)</f>
        <v>0</v>
      </c>
      <c r="G32" s="16"/>
      <c r="H32" s="2538">
        <f>ROUND(ROUND('Calc Data'!AT23,0)*'Data Entry - SOF'!O211*Weights!M28,0)</f>
        <v>0</v>
      </c>
      <c r="I32" s="2597"/>
      <c r="J32" s="2941">
        <f>ROUND(ROUND('Calc Data'!AT78,0)*'Data Entry - SOF'!O211*Weights!M28,0)</f>
        <v>0</v>
      </c>
      <c r="K32" s="1668"/>
      <c r="AL32" s="16" t="e">
        <f>ROUND(ROUND('Calc Data'!AC23,0)*'Data Entry - SOF'!#REF!*0.12,0)</f>
        <v>#REF!</v>
      </c>
    </row>
    <row r="33" spans="2:38">
      <c r="B33" s="24"/>
      <c r="D33" s="20" t="s">
        <v>397</v>
      </c>
      <c r="F33" s="16">
        <f>IF('Data Entry - SOF'!O113&lt;0,'Data Entry - SOF'!O113,'Data Entry - SOF'!O113*-1)</f>
        <v>0</v>
      </c>
      <c r="G33" s="16"/>
      <c r="H33" s="2538">
        <f>IF('Data Entry - SOF'!O113&lt;0,'Data Entry - SOF'!O113,'Data Entry - SOF'!O113*-1)</f>
        <v>0</v>
      </c>
      <c r="I33" s="2597"/>
      <c r="J33" s="2944">
        <f>H33</f>
        <v>0</v>
      </c>
      <c r="K33" s="1668"/>
      <c r="AL33" s="16">
        <v>0</v>
      </c>
    </row>
    <row r="34" spans="2:38">
      <c r="B34" s="24" t="s">
        <v>2497</v>
      </c>
      <c r="D34" s="20" t="s">
        <v>398</v>
      </c>
      <c r="F34" s="16">
        <f>ROUND(ROUND('Calc Data'!H23,0)*'Data Entry - SOF'!O41*Weights!M30,0)</f>
        <v>0</v>
      </c>
      <c r="G34" s="16"/>
      <c r="H34" s="2538">
        <f>ROUND(ROUND('Calc Data'!AT23,0)*'Data Entry - SOF'!O41*Weights!M30,0)</f>
        <v>0</v>
      </c>
      <c r="I34" s="2597"/>
      <c r="J34" s="2941">
        <f>ROUND(ROUND('Calc Data'!AT78,0)*'Data Entry - SOF'!O41*Weights!M30,0)</f>
        <v>0</v>
      </c>
      <c r="K34" s="1668"/>
      <c r="AL34" s="16" t="e">
        <f>ROUND(ROUND('Calc Data'!AC23,0)*'Data Entry - SOF'!#REF!*0.2,0)</f>
        <v>#REF!</v>
      </c>
    </row>
    <row r="35" spans="2:38">
      <c r="B35" s="24" t="s">
        <v>2497</v>
      </c>
      <c r="D35" s="20" t="s">
        <v>399</v>
      </c>
      <c r="F35" s="16">
        <f>ROUND(ROUND('Calc Data'!H23,0)*'Data Entry - SOF'!O49*Weights!M31,0)</f>
        <v>0</v>
      </c>
      <c r="G35" s="16"/>
      <c r="H35" s="2538">
        <f>ROUND(ROUND('Calc Data'!AT23,0)*'Data Entry - SOF'!O49*Weights!M31,0)</f>
        <v>0</v>
      </c>
      <c r="I35" s="2597"/>
      <c r="J35" s="2941">
        <f>ROUND(ROUND('Calc Data'!AT78,0)*'Data Entry - SOF'!O49*Weights!M31,0)</f>
        <v>0</v>
      </c>
      <c r="K35" s="1668"/>
      <c r="AL35" s="16" t="e">
        <f>ROUND(ROUND('Calc Data'!AC23,0)*'Data Entry - SOF'!#REF!*2.41,0)</f>
        <v>#REF!</v>
      </c>
    </row>
    <row r="36" spans="2:38" hidden="1">
      <c r="B36" s="24" t="s">
        <v>2497</v>
      </c>
      <c r="D36" s="71" t="s">
        <v>451</v>
      </c>
      <c r="E36" s="310"/>
      <c r="F36" s="16">
        <f>650*'Data Entry - SOF'!O50</f>
        <v>0</v>
      </c>
      <c r="G36" s="16"/>
      <c r="H36" s="2538">
        <f>650*'Data Entry - SOF'!O50</f>
        <v>0</v>
      </c>
      <c r="I36" s="2597"/>
      <c r="J36" s="2945"/>
      <c r="K36" s="1668"/>
      <c r="AL36" s="16"/>
    </row>
    <row r="37" spans="2:38" hidden="1">
      <c r="B37" s="24"/>
      <c r="D37" s="20" t="s">
        <v>1229</v>
      </c>
      <c r="F37" s="65">
        <v>0</v>
      </c>
      <c r="G37" s="16"/>
      <c r="H37" s="2541">
        <v>0</v>
      </c>
      <c r="I37" s="2600"/>
      <c r="J37" s="2945"/>
      <c r="K37" s="1668"/>
      <c r="AL37" s="16">
        <v>0</v>
      </c>
    </row>
    <row r="38" spans="2:38">
      <c r="B38" s="24">
        <v>25</v>
      </c>
      <c r="D38" s="20" t="s">
        <v>1135</v>
      </c>
      <c r="F38" s="16">
        <f>ROUND(ROUND('Calc Data'!H23,0)*('Data Entry - SOF'!O51*Weights!M26),0)</f>
        <v>0</v>
      </c>
      <c r="G38" s="16"/>
      <c r="H38" s="2538">
        <f>ROUND(ROUND('Calc Data'!AT23,0)*('Data Entry - SOF'!O51*Weights!M26),0)</f>
        <v>0</v>
      </c>
      <c r="I38" s="2597"/>
      <c r="J38" s="2941">
        <f>ROUND(ROUND('Calc Data'!AT78,0)*('Data Entry - SOF'!O51*Weights!M26),0)</f>
        <v>0</v>
      </c>
      <c r="K38" s="1668"/>
      <c r="AL38" s="16" t="e">
        <f>ROUND(ROUND('Calc Data'!AC23,0)*('Data Entry - SOF'!#REF!*0.1),0)</f>
        <v>#REF!</v>
      </c>
    </row>
    <row r="39" spans="2:38">
      <c r="B39" s="24">
        <v>31</v>
      </c>
      <c r="D39" s="35" t="s">
        <v>2435</v>
      </c>
      <c r="F39" s="16">
        <f>Weights!M33*'Data Entry - SOF'!O21</f>
        <v>0</v>
      </c>
      <c r="G39" s="16"/>
      <c r="H39" s="2538">
        <f>Weights!M33*'Data Entry - SOF'!O21</f>
        <v>0</v>
      </c>
      <c r="I39" s="2597"/>
      <c r="J39" s="2944">
        <f>H39</f>
        <v>0</v>
      </c>
      <c r="K39" s="1668"/>
      <c r="AL39" s="16" t="e">
        <f>#REF!</f>
        <v>#REF!</v>
      </c>
    </row>
    <row r="40" spans="2:38">
      <c r="B40" s="24"/>
      <c r="D40" s="20" t="s">
        <v>872</v>
      </c>
      <c r="F40" s="16">
        <f>ROUND(ROUND('Calc Data'!H23,0)*'Data Entry - SOF'!O61*Weights!M37,0)</f>
        <v>0</v>
      </c>
      <c r="G40" s="16"/>
      <c r="H40" s="2538">
        <f>ROUND(ROUND('Calc Data'!AT23,0)*'Data Entry - SOF'!O61*Weights!M37,0)</f>
        <v>0</v>
      </c>
      <c r="I40" s="2597"/>
      <c r="J40" s="2941">
        <f>ROUND(ROUND('Calc Data'!AT78,0)*'Data Entry - SOF'!O61*Weights!M37,0)</f>
        <v>0</v>
      </c>
      <c r="K40" s="1668"/>
      <c r="AL40" s="16" t="e">
        <f>ROUND(ROUND('Calc Data'!AC23,0)*'Data Entry - SOF'!#REF!*0.1,0)</f>
        <v>#REF!</v>
      </c>
    </row>
    <row r="41" spans="2:38" ht="15.75">
      <c r="B41" s="24"/>
      <c r="D41" s="318" t="s">
        <v>3839</v>
      </c>
      <c r="F41" s="87">
        <f>'Data Entry - SOF'!O62*Weights!M35</f>
        <v>0</v>
      </c>
      <c r="G41" s="16"/>
      <c r="H41" s="2538">
        <f>F41</f>
        <v>0</v>
      </c>
      <c r="I41" s="2597"/>
      <c r="J41" s="2944">
        <f>H41</f>
        <v>0</v>
      </c>
      <c r="K41" s="1668"/>
      <c r="AL41" s="16" t="e">
        <f>'Data Entry - SOF'!#REF!*250</f>
        <v>#REF!</v>
      </c>
    </row>
    <row r="42" spans="2:38">
      <c r="B42" s="24">
        <v>99</v>
      </c>
      <c r="D42" s="20" t="s">
        <v>2087</v>
      </c>
      <c r="F42" s="25">
        <f>'Data Entry - SOF'!O104</f>
        <v>0</v>
      </c>
      <c r="G42" s="16"/>
      <c r="H42" s="2577">
        <f>'Data Entry - SOF'!O104</f>
        <v>0</v>
      </c>
      <c r="I42" s="2597"/>
      <c r="J42" s="2948">
        <f>H42</f>
        <v>0</v>
      </c>
      <c r="K42" s="2580"/>
      <c r="AL42" s="25" t="e">
        <f>'Data Entry - SOF'!#REF!</f>
        <v>#REF!</v>
      </c>
    </row>
    <row r="43" spans="2:38">
      <c r="D43" s="20" t="s">
        <v>530</v>
      </c>
      <c r="F43" s="16" t="e">
        <f>SUM(F20:F42)</f>
        <v>#DIV/0!</v>
      </c>
      <c r="G43" s="16"/>
      <c r="H43" s="2538" t="e">
        <f>SUM(H20:H42)</f>
        <v>#DIV/0!</v>
      </c>
      <c r="I43" s="2597"/>
      <c r="J43" s="2941">
        <f>SUM(J20:J42)</f>
        <v>0</v>
      </c>
      <c r="K43" s="2570">
        <f>J43</f>
        <v>0</v>
      </c>
      <c r="AL43" s="16" t="e">
        <f>SUM(AL20:AL42)</f>
        <v>#REF!</v>
      </c>
    </row>
    <row r="44" spans="2:38">
      <c r="D44" s="20" t="s">
        <v>786</v>
      </c>
      <c r="F44" s="28">
        <f>IF('Data Entry - SOF'!O154&gt;1,1*('Data Entry - SOF'!O73/100),'Data Entry - SOF'!O154*('Data Entry - SOF'!O73/100))</f>
        <v>0</v>
      </c>
      <c r="G44" s="29"/>
      <c r="H44" s="2578">
        <f>IF('Calc Data'!AT30&gt;1,1*('Data Entry - SOF'!O73/100),'Calc Data'!AT30*('Data Entry - SOF'!O73/100))</f>
        <v>0</v>
      </c>
      <c r="I44" s="2601"/>
      <c r="J44" s="2584">
        <f>IF('Calc Data'!AT85&gt;1,1*('Data Entry - SOF'!O73/100),'Calc Data'!AT85*('Data Entry - SOF'!O73/100))</f>
        <v>0</v>
      </c>
      <c r="K44" s="2581">
        <f>IF('Calc Data-15K'!AX30&gt;1,1*('Data Entry - SOF'!O74/100),'Calc Data-15K'!AX30*('Data Entry - SOF'!O74/100))</f>
        <v>0</v>
      </c>
      <c r="AL44" s="28" t="e">
        <f>#REF!</f>
        <v>#REF!</v>
      </c>
    </row>
    <row r="45" spans="2:38">
      <c r="D45" s="20" t="s">
        <v>785</v>
      </c>
      <c r="F45" s="29" t="e">
        <f>F43-F44</f>
        <v>#DIV/0!</v>
      </c>
      <c r="G45" s="29"/>
      <c r="H45" s="2544" t="e">
        <f>H43-H44</f>
        <v>#DIV/0!</v>
      </c>
      <c r="I45" s="2601"/>
      <c r="J45" s="2946">
        <f>J43-J44</f>
        <v>0</v>
      </c>
      <c r="K45" s="2570">
        <f>K43-K44</f>
        <v>0</v>
      </c>
      <c r="AL45" s="29" t="e">
        <f>AL43-AL44</f>
        <v>#REF!</v>
      </c>
    </row>
    <row r="46" spans="2:38">
      <c r="D46" s="20"/>
      <c r="G46" s="29"/>
      <c r="H46" s="2545"/>
      <c r="I46" s="2602"/>
      <c r="J46" s="2942"/>
      <c r="K46" s="1668"/>
      <c r="N46" s="46"/>
      <c r="AL46" s="29"/>
    </row>
    <row r="47" spans="2:38">
      <c r="D47" s="315" t="s">
        <v>736</v>
      </c>
      <c r="G47" s="29"/>
      <c r="H47" s="2545"/>
      <c r="I47" s="2602"/>
      <c r="J47" s="2942"/>
      <c r="K47" s="1668"/>
      <c r="N47" s="46"/>
      <c r="AL47" s="29"/>
    </row>
    <row r="48" spans="2:38">
      <c r="D48" s="20" t="s">
        <v>1523</v>
      </c>
      <c r="F48" s="65" t="e">
        <f>IF(F45&lt;F75+F39+F41+F30+F31,F75+F39+F41+F30+F31,F45)</f>
        <v>#DIV/0!</v>
      </c>
      <c r="G48" s="29"/>
      <c r="H48" s="2541" t="e">
        <f>IF(H45&lt;H75+H39+H41+H30+H31,H75+H39+H41+H30+H31,H45)</f>
        <v>#DIV/0!</v>
      </c>
      <c r="I48" s="2600"/>
      <c r="J48" s="2947">
        <f>IF(J45&lt;H75+J39+J41+J30+J31,H75+J39+J41+J30+J31,J45)</f>
        <v>0</v>
      </c>
      <c r="K48" s="2570">
        <f>IF(K45&lt;H75+J39+J41+J30+J31,H75+J39+J41+J30+J31,K45)</f>
        <v>0</v>
      </c>
    </row>
    <row r="49" spans="4:13" hidden="1">
      <c r="D49" s="20" t="s">
        <v>2273</v>
      </c>
      <c r="G49" s="29" t="e">
        <f>ROUND(IF((24.7*'Calc Data'!#REF!*IF('Calc Data'!#REF!&gt;=0.64,0.64,'Calc Data'!#REF!)*100)&lt;'Calc Data'!#REF!,0,(24.7*'Calc Data'!#REF!*IF('Calc Data'!#REF!&gt;=0.64,0.64,'Calc Data'!#REF!)*100)-'Calc Data'!#REF!),0)</f>
        <v>#REF!</v>
      </c>
      <c r="H49" s="2544"/>
      <c r="I49" s="2601"/>
      <c r="J49" s="2945"/>
      <c r="K49" s="2571"/>
    </row>
    <row r="50" spans="4:13">
      <c r="D50" s="20"/>
      <c r="G50" s="29"/>
      <c r="H50" s="2531"/>
      <c r="I50" s="2567"/>
      <c r="J50" s="2942"/>
      <c r="K50" s="2571"/>
    </row>
    <row r="51" spans="4:13">
      <c r="D51" s="20" t="s">
        <v>8737</v>
      </c>
      <c r="F51" s="29" t="e">
        <f>ROUND(IF((Assumptions!G137*'Calc Data'!H25*'Calc Data'!H35*100)&lt;'Calc Data'!H42,0,(Assumptions!G137*'Calc Data'!H25*'Calc Data'!H35*100)-'Calc Data'!H42),0)</f>
        <v>#DIV/0!</v>
      </c>
      <c r="G51" s="29"/>
      <c r="H51" s="2531" t="e">
        <f>ROUND(IF((Assumptions!G137*'Calc Data'!H25*'Calc Data'!H35*100)&lt;'Calc Data'!H42,0,(Assumptions!G137*'Calc Data'!H25*'Calc Data'!H35*100)-'Calc Data'!H42),0)</f>
        <v>#DIV/0!</v>
      </c>
      <c r="I51" s="2575"/>
      <c r="J51" s="2964" t="e">
        <f>ROUND(IF((Assumptions!G137*'Calc Data'!H25*'Calc Data'!H81*100)&lt;'Calc Data'!H88,0,(Assumptions!G137*'Calc Data'!H25*'Calc Data'!H81*100)-'Calc Data'!H88),0)</f>
        <v>#DIV/0!</v>
      </c>
      <c r="K51" s="2582" t="e">
        <f>ROUND(IF((Assumptions!G79*'Calc Data-15K'!H25*'Calc Data-15K'!G81*100)&lt;'Calc Data-15K'!G88,0,(Assumptions!G79*'Calc Data-15K'!H25*'Calc Data-15K'!G81*100)-'Calc Data-15K'!G88),0)</f>
        <v>#DIV/0!</v>
      </c>
    </row>
    <row r="52" spans="4:13">
      <c r="D52" s="20" t="s">
        <v>473</v>
      </c>
      <c r="F52" s="48" t="e">
        <f>ROUND(IF((Assumptions!G138*'Calc Data'!H25*'Calc Data'!H38*100)&lt;'Calc Data'!H43,0,(Assumptions!G138*'Calc Data'!H25*'Calc Data'!H38*100)-'Calc Data'!H43),0)</f>
        <v>#DIV/0!</v>
      </c>
      <c r="G52" s="29"/>
      <c r="H52" s="2546" t="e">
        <f>ROUND(IF((Assumptions!G138*'Calc Data'!H25*'Calc Data'!AT29*100)&lt;'Calc Data'!AT33,0,(Assumptions!G138*'Calc Data'!H25*'Calc Data'!AT29*100)-'Calc Data'!AT33),0)</f>
        <v>#DIV/0!</v>
      </c>
      <c r="I52" s="2576"/>
      <c r="J52" s="2965" t="e">
        <f>ROUND(IF((Assumptions!G138*'Calc Data'!H25*'Calc Data'!AT84*100)&lt;'Calc Data'!AT88,0,(Assumptions!G138*'Calc Data'!H25*'Calc Data'!AT84*100)-'Calc Data'!AT88),0)</f>
        <v>#DIV/0!</v>
      </c>
      <c r="K52" s="2573" t="e">
        <f>ROUND(IF((Assumptions!G80*'Calc Data-15K'!H25*'Calc Data-15K'!AX84*100)&lt;'Calc Data-15K'!AX88,0,(Assumptions!G80*'Calc Data-15K'!H25*'Calc Data-15K'!AX84*100)-'Calc Data-15K'!AX88),0)</f>
        <v>#DIV/0!</v>
      </c>
    </row>
    <row r="53" spans="4:13">
      <c r="D53" s="20" t="s">
        <v>284</v>
      </c>
      <c r="F53" s="29" t="e">
        <f>SUM(F49:F52)</f>
        <v>#DIV/0!</v>
      </c>
      <c r="G53" s="29"/>
      <c r="H53" s="2531" t="e">
        <f>SUM(H49:H52)</f>
        <v>#DIV/0!</v>
      </c>
      <c r="I53" s="2498"/>
      <c r="J53" s="2499"/>
      <c r="K53" s="2499"/>
    </row>
    <row r="54" spans="4:13">
      <c r="D54" s="20"/>
      <c r="G54" s="29"/>
      <c r="H54" s="2531"/>
      <c r="I54" s="2498"/>
      <c r="J54" s="2498"/>
      <c r="K54" s="2498"/>
      <c r="L54" s="91"/>
      <c r="M54" s="140"/>
    </row>
    <row r="55" spans="4:13">
      <c r="D55" s="20" t="s">
        <v>733</v>
      </c>
      <c r="G55" s="29"/>
      <c r="H55" s="2531"/>
      <c r="I55" s="2498"/>
      <c r="J55" s="2498"/>
      <c r="K55" s="2498"/>
      <c r="L55" s="91"/>
      <c r="M55" s="140"/>
    </row>
    <row r="56" spans="4:13">
      <c r="D56" s="20" t="s">
        <v>758</v>
      </c>
      <c r="F56" s="29">
        <f>'Data Entry - SOF'!O121</f>
        <v>0</v>
      </c>
      <c r="G56" s="29"/>
      <c r="H56" s="2531">
        <f>F56</f>
        <v>0</v>
      </c>
      <c r="I56" s="2498"/>
      <c r="J56" s="2498"/>
      <c r="K56" s="2498"/>
      <c r="L56" s="91"/>
      <c r="M56" s="140"/>
    </row>
    <row r="57" spans="4:13">
      <c r="D57" s="20" t="s">
        <v>3051</v>
      </c>
      <c r="F57" s="29">
        <f>'Data Entry - SOF'!O120</f>
        <v>0</v>
      </c>
      <c r="G57" s="29"/>
      <c r="H57" s="2531">
        <f>F57</f>
        <v>0</v>
      </c>
      <c r="I57" s="2498"/>
      <c r="J57" s="2498"/>
      <c r="K57" s="2498"/>
      <c r="L57" s="91"/>
      <c r="M57" s="140"/>
    </row>
    <row r="58" spans="4:13">
      <c r="D58" s="20" t="s">
        <v>3052</v>
      </c>
      <c r="F58" s="29">
        <f>'Data Entry - SOF'!O122</f>
        <v>0</v>
      </c>
      <c r="G58" s="29"/>
      <c r="H58" s="2531">
        <f t="shared" ref="H58:H67" si="0">F58</f>
        <v>0</v>
      </c>
      <c r="I58" s="2498"/>
      <c r="J58" s="2498"/>
      <c r="K58" s="2498"/>
      <c r="L58" s="91"/>
      <c r="M58" s="140"/>
    </row>
    <row r="59" spans="4:13">
      <c r="D59" s="20" t="s">
        <v>3053</v>
      </c>
      <c r="F59" s="29">
        <f>'Data Entry - SOF'!O123</f>
        <v>0</v>
      </c>
      <c r="G59" s="29"/>
      <c r="H59" s="2531">
        <f t="shared" si="0"/>
        <v>0</v>
      </c>
      <c r="I59" s="2498"/>
      <c r="J59" s="2498"/>
      <c r="K59" s="2498"/>
      <c r="L59" s="91"/>
      <c r="M59" s="140"/>
    </row>
    <row r="60" spans="4:13">
      <c r="D60" s="20" t="s">
        <v>3054</v>
      </c>
      <c r="F60" s="29">
        <f>'Data Entry - SOF'!O124</f>
        <v>0</v>
      </c>
      <c r="G60" s="29"/>
      <c r="H60" s="2531">
        <f t="shared" si="0"/>
        <v>0</v>
      </c>
      <c r="I60" s="2498"/>
      <c r="J60" s="2498"/>
      <c r="K60" s="2498"/>
      <c r="L60" s="91"/>
      <c r="M60" s="140"/>
    </row>
    <row r="61" spans="4:13">
      <c r="D61" s="20" t="s">
        <v>3055</v>
      </c>
      <c r="F61" s="29">
        <v>0</v>
      </c>
      <c r="G61" s="29"/>
      <c r="H61" s="2531">
        <f t="shared" si="0"/>
        <v>0</v>
      </c>
      <c r="I61" s="2498"/>
      <c r="J61" s="2498"/>
      <c r="K61" s="2498"/>
      <c r="L61" s="91"/>
      <c r="M61" s="140"/>
    </row>
    <row r="62" spans="4:13">
      <c r="D62" s="20" t="s">
        <v>3056</v>
      </c>
      <c r="F62" s="29">
        <f>'Data Entry - SOF'!O125</f>
        <v>0</v>
      </c>
      <c r="G62" s="29"/>
      <c r="H62" s="2531">
        <f t="shared" si="0"/>
        <v>0</v>
      </c>
      <c r="I62" s="2498"/>
      <c r="J62" s="2498"/>
      <c r="K62" s="2498"/>
      <c r="L62" s="91"/>
      <c r="M62" s="140"/>
    </row>
    <row r="63" spans="4:13">
      <c r="D63" s="20" t="s">
        <v>2444</v>
      </c>
      <c r="F63" s="29">
        <v>0</v>
      </c>
      <c r="G63" s="29"/>
      <c r="H63" s="2531">
        <f t="shared" si="0"/>
        <v>0</v>
      </c>
      <c r="I63" s="2498"/>
      <c r="J63" s="2498"/>
      <c r="K63" s="2498"/>
      <c r="L63" s="91"/>
      <c r="M63" s="140"/>
    </row>
    <row r="64" spans="4:13">
      <c r="D64" s="20" t="s">
        <v>2436</v>
      </c>
      <c r="F64" s="29">
        <f>(500*'Data Entry - SOF'!O69)+(250*'Data Entry - SOF'!O70)</f>
        <v>0</v>
      </c>
      <c r="G64" s="29"/>
      <c r="H64" s="2531">
        <f t="shared" si="0"/>
        <v>0</v>
      </c>
      <c r="I64" s="2498"/>
      <c r="J64" s="2498"/>
      <c r="K64" s="2498"/>
      <c r="L64" s="91"/>
      <c r="M64" s="140"/>
    </row>
    <row r="65" spans="1:13">
      <c r="D65" s="20" t="s">
        <v>734</v>
      </c>
      <c r="F65" s="285" t="e">
        <f>(('Data Entry - SOF'!O112/'Calc Data'!G7)*'Data Entry - SOF'!O110)*-1</f>
        <v>#DIV/0!</v>
      </c>
      <c r="G65" s="29"/>
      <c r="H65" s="2531" t="e">
        <f t="shared" si="0"/>
        <v>#DIV/0!</v>
      </c>
      <c r="I65" s="2498"/>
      <c r="J65" s="2498"/>
      <c r="K65" s="2498"/>
      <c r="L65" s="91"/>
      <c r="M65" s="140"/>
    </row>
    <row r="66" spans="1:13">
      <c r="D66" s="20" t="s">
        <v>735</v>
      </c>
      <c r="F66" s="285" t="e">
        <f>(('Data Entry - SOF'!O112/'Calc Data'!G7)*'Data Entry - SOF'!O111)*-1</f>
        <v>#DIV/0!</v>
      </c>
      <c r="G66" s="29"/>
      <c r="H66" s="2531" t="e">
        <f t="shared" si="0"/>
        <v>#DIV/0!</v>
      </c>
      <c r="I66" s="2498"/>
      <c r="J66" s="2498"/>
      <c r="K66" s="2498"/>
      <c r="L66" s="91"/>
      <c r="M66" s="140"/>
    </row>
    <row r="67" spans="1:13">
      <c r="D67" s="20" t="s">
        <v>2985</v>
      </c>
      <c r="F67" s="502">
        <f>'Data Entry - SOF'!O142</f>
        <v>0</v>
      </c>
      <c r="G67" s="29"/>
      <c r="H67" s="2546">
        <f t="shared" si="0"/>
        <v>0</v>
      </c>
      <c r="I67" s="2498"/>
      <c r="J67" s="2498"/>
      <c r="K67" s="2498"/>
      <c r="L67" s="91"/>
      <c r="M67" s="140"/>
    </row>
    <row r="68" spans="1:13">
      <c r="D68" s="286" t="s">
        <v>172</v>
      </c>
      <c r="F68" s="29" t="e">
        <f>SUM(F56:F67)</f>
        <v>#DIV/0!</v>
      </c>
      <c r="G68" s="29"/>
      <c r="H68" s="2531" t="e">
        <f>SUM(H56:H67)</f>
        <v>#DIV/0!</v>
      </c>
      <c r="I68" s="2498"/>
      <c r="J68" s="2498"/>
      <c r="K68" s="2498"/>
      <c r="L68" s="91"/>
      <c r="M68" s="140"/>
    </row>
    <row r="69" spans="1:13">
      <c r="D69" s="286"/>
      <c r="F69" s="35"/>
      <c r="G69" s="29"/>
      <c r="H69" s="2531"/>
      <c r="I69" s="2498"/>
      <c r="J69" s="2498"/>
      <c r="K69" s="2498"/>
      <c r="L69" s="91"/>
      <c r="M69" s="140"/>
    </row>
    <row r="70" spans="1:13">
      <c r="D70" s="20" t="s">
        <v>2396</v>
      </c>
      <c r="F70" s="29">
        <f>F75*-1</f>
        <v>0</v>
      </c>
      <c r="G70" s="29"/>
      <c r="H70" s="2531">
        <f>H75*-1</f>
        <v>0</v>
      </c>
      <c r="I70" s="2498"/>
      <c r="J70" s="2498"/>
      <c r="K70" s="2498"/>
      <c r="L70" s="91"/>
      <c r="M70" s="140"/>
    </row>
    <row r="71" spans="1:13" ht="13.5" thickBot="1">
      <c r="D71" s="20"/>
      <c r="G71" s="29"/>
      <c r="H71" s="2531"/>
      <c r="I71" s="2498"/>
      <c r="J71" s="2498"/>
      <c r="K71" s="2498"/>
      <c r="L71" s="91"/>
      <c r="M71" s="140"/>
    </row>
    <row r="72" spans="1:13" ht="13.5" thickTop="1">
      <c r="A72" s="288"/>
      <c r="B72" s="289"/>
      <c r="C72" s="289"/>
      <c r="D72" s="290"/>
      <c r="E72" s="289"/>
      <c r="F72" s="320"/>
      <c r="G72" s="29"/>
      <c r="H72" s="2531"/>
      <c r="I72" s="2498"/>
      <c r="J72" s="2498"/>
      <c r="K72" s="2498"/>
      <c r="L72" s="91"/>
      <c r="M72" s="140"/>
    </row>
    <row r="73" spans="1:13">
      <c r="A73" s="291"/>
      <c r="B73" s="24" t="s">
        <v>174</v>
      </c>
      <c r="D73" s="286"/>
      <c r="F73" s="321"/>
      <c r="G73" s="29"/>
      <c r="H73" s="2531"/>
      <c r="I73" s="2498"/>
      <c r="J73" s="2498"/>
      <c r="K73" s="2498"/>
      <c r="L73" s="91"/>
      <c r="M73" s="140"/>
    </row>
    <row r="74" spans="1:13">
      <c r="A74" s="291"/>
      <c r="B74" s="24" t="s">
        <v>1491</v>
      </c>
      <c r="D74" s="71" t="s">
        <v>737</v>
      </c>
      <c r="E74" s="71"/>
      <c r="F74" s="136" t="e">
        <f>F48+F53+F68+F70</f>
        <v>#DIV/0!</v>
      </c>
      <c r="G74" s="29"/>
      <c r="H74" s="2547" t="e">
        <f>H48+H53+H68+H70</f>
        <v>#DIV/0!</v>
      </c>
      <c r="I74" s="2590"/>
      <c r="J74" s="2498"/>
      <c r="K74" s="2498"/>
      <c r="L74" s="91"/>
      <c r="M74" s="140"/>
    </row>
    <row r="75" spans="1:13">
      <c r="A75" s="291"/>
      <c r="B75" s="24" t="s">
        <v>1489</v>
      </c>
      <c r="D75" s="71" t="s">
        <v>2609</v>
      </c>
      <c r="E75" s="71"/>
      <c r="F75" s="136">
        <f>'Calc Data'!G7*Assumptions!G141</f>
        <v>0</v>
      </c>
      <c r="G75" s="29"/>
      <c r="H75" s="2547">
        <f>'Calc Data'!G7*Assumptions!G141</f>
        <v>0</v>
      </c>
      <c r="I75" s="2590"/>
      <c r="J75" s="2568"/>
      <c r="K75" s="2568"/>
      <c r="L75" s="91"/>
      <c r="M75" s="140"/>
    </row>
    <row r="76" spans="1:13" ht="15.75">
      <c r="A76" s="291"/>
      <c r="B76" s="24" t="s">
        <v>1490</v>
      </c>
      <c r="D76" s="318" t="s">
        <v>757</v>
      </c>
      <c r="E76" s="73"/>
      <c r="F76" s="323">
        <v>0</v>
      </c>
      <c r="G76" s="29"/>
      <c r="H76" s="2548">
        <v>0</v>
      </c>
      <c r="I76" s="2591"/>
      <c r="J76" s="2568"/>
      <c r="K76" s="2568"/>
      <c r="L76" s="91"/>
      <c r="M76" s="140"/>
    </row>
    <row r="77" spans="1:13">
      <c r="A77" s="291"/>
      <c r="B77" s="24" t="s">
        <v>740</v>
      </c>
      <c r="D77" s="71" t="s">
        <v>738</v>
      </c>
      <c r="E77" s="71"/>
      <c r="F77" s="136">
        <f>'Existing Debt-OldLaw'!O74</f>
        <v>0</v>
      </c>
      <c r="G77" s="29"/>
      <c r="H77" s="2547">
        <f>F77</f>
        <v>0</v>
      </c>
      <c r="I77" s="2590"/>
      <c r="J77" s="2499"/>
      <c r="K77" s="2499"/>
      <c r="L77" s="91"/>
      <c r="M77" s="140"/>
    </row>
    <row r="78" spans="1:13" ht="13.5" thickBot="1">
      <c r="A78" s="291"/>
      <c r="B78" s="24" t="s">
        <v>1095</v>
      </c>
      <c r="D78" s="71" t="s">
        <v>739</v>
      </c>
      <c r="E78" s="71"/>
      <c r="F78" s="316">
        <f>'IFA-OldLaw'!X86+'IFA-OldLaw'!Y75</f>
        <v>0</v>
      </c>
      <c r="G78" s="29"/>
      <c r="H78" s="2549">
        <f>F78</f>
        <v>0</v>
      </c>
      <c r="I78" s="2590"/>
      <c r="J78" s="2499"/>
      <c r="K78" s="2499"/>
      <c r="L78" s="91"/>
      <c r="M78" s="140"/>
    </row>
    <row r="79" spans="1:13">
      <c r="A79" s="291"/>
      <c r="F79" s="321"/>
      <c r="G79" s="29"/>
      <c r="H79" s="2529"/>
      <c r="I79" s="1797"/>
      <c r="J79" s="2499"/>
      <c r="K79" s="2499"/>
      <c r="L79" s="125"/>
      <c r="M79" s="767"/>
    </row>
    <row r="80" spans="1:13" ht="12.75" customHeight="1" thickBot="1">
      <c r="A80" s="291"/>
      <c r="D80" s="71" t="s">
        <v>1019</v>
      </c>
      <c r="F80" s="317" t="e">
        <f>SUM(F74:F78)</f>
        <v>#DIV/0!</v>
      </c>
      <c r="G80" s="29"/>
      <c r="H80" s="2560" t="e">
        <f>SUM(H74:H78)</f>
        <v>#DIV/0!</v>
      </c>
      <c r="I80" s="2592"/>
      <c r="J80" s="2499"/>
      <c r="K80" s="2499"/>
      <c r="L80" s="125"/>
      <c r="M80" s="767"/>
    </row>
    <row r="81" spans="1:16" ht="14.25" hidden="1" thickTop="1" thickBot="1">
      <c r="A81" s="291"/>
      <c r="D81" s="20" t="s">
        <v>472</v>
      </c>
      <c r="G81" s="29"/>
      <c r="H81" s="2550" t="e">
        <f>SUM(H74:H78)</f>
        <v>#DIV/0!</v>
      </c>
      <c r="I81" s="2590"/>
      <c r="J81" s="2568"/>
      <c r="K81" s="2568"/>
      <c r="L81" s="125"/>
      <c r="M81" s="767"/>
    </row>
    <row r="82" spans="1:16" ht="14.25" thickTop="1" thickBot="1">
      <c r="A82" s="292"/>
      <c r="B82" s="293"/>
      <c r="C82" s="293"/>
      <c r="D82" s="294"/>
      <c r="E82" s="293"/>
      <c r="F82" s="330"/>
      <c r="G82" s="16"/>
      <c r="H82" s="2544"/>
      <c r="I82" s="2589"/>
      <c r="J82" s="2498"/>
      <c r="K82" s="2498"/>
    </row>
    <row r="83" spans="1:16" ht="13.5" thickTop="1">
      <c r="B83" s="20"/>
      <c r="G83" s="29"/>
      <c r="H83" s="2538"/>
      <c r="I83" s="2586"/>
      <c r="J83" s="2497"/>
      <c r="K83" s="2497"/>
      <c r="N83" s="91"/>
      <c r="O83" s="221"/>
      <c r="P83" s="5"/>
    </row>
    <row r="84" spans="1:16">
      <c r="H84" s="2544"/>
      <c r="I84" s="2589"/>
      <c r="J84" s="2498"/>
      <c r="K84" s="2498"/>
      <c r="N84" s="5"/>
    </row>
    <row r="85" spans="1:16" ht="13.5" thickBot="1">
      <c r="H85" s="2545"/>
      <c r="J85" s="1797"/>
      <c r="K85" s="1797"/>
    </row>
    <row r="86" spans="1:16" ht="13.5" thickTop="1">
      <c r="A86" s="297" t="s">
        <v>2457</v>
      </c>
      <c r="B86" s="66"/>
      <c r="C86" s="66"/>
      <c r="D86" s="66"/>
      <c r="E86" s="66"/>
      <c r="F86" s="130"/>
      <c r="H86" s="2545"/>
      <c r="J86" s="1797"/>
      <c r="K86" s="1797"/>
    </row>
    <row r="87" spans="1:16">
      <c r="A87" s="133"/>
      <c r="F87" s="131"/>
      <c r="H87" s="2545"/>
      <c r="J87" s="1797"/>
      <c r="K87" s="1797"/>
    </row>
    <row r="88" spans="1:16">
      <c r="A88" s="132" t="s">
        <v>2162</v>
      </c>
      <c r="F88" s="277" t="e">
        <f>IF(F74&lt;0,F75,F74+F75)</f>
        <v>#DIV/0!</v>
      </c>
      <c r="H88" s="2541" t="e">
        <f>IF(H74&lt;0,H75,H74+H75)</f>
        <v>#DIV/0!</v>
      </c>
      <c r="I88" s="2588"/>
      <c r="J88" s="1797"/>
      <c r="K88" s="1797"/>
    </row>
    <row r="89" spans="1:16">
      <c r="A89" s="156" t="s">
        <v>1696</v>
      </c>
      <c r="F89" s="278">
        <f>'Calc Data'!H30-ASATR!K24</f>
        <v>0</v>
      </c>
      <c r="H89" s="2561" t="e">
        <f>'Calc Data'!AT32-ASATR!K39</f>
        <v>#DIV/0!</v>
      </c>
      <c r="I89" s="2593"/>
      <c r="J89" s="2499"/>
      <c r="K89" s="2499"/>
      <c r="N89" s="91"/>
    </row>
    <row r="90" spans="1:16">
      <c r="A90" s="156" t="s">
        <v>941</v>
      </c>
      <c r="F90" s="278">
        <f>'Calc Data'!H34</f>
        <v>0</v>
      </c>
      <c r="H90" s="2561">
        <f>'Calc Data'!H34</f>
        <v>0</v>
      </c>
      <c r="I90" s="2593"/>
      <c r="J90" s="2466"/>
      <c r="K90" s="2466"/>
      <c r="N90" s="91"/>
    </row>
    <row r="91" spans="1:16">
      <c r="A91" s="156" t="s">
        <v>942</v>
      </c>
      <c r="F91" s="1089" t="e">
        <f>'Calc Data'!H37-IF('Option Costs'!AS57="N",MAX('Option Costs'!AS54,'Option Costs'!AW54),MIN('Option Costs'!AS54,'Option Costs'!AW54))</f>
        <v>#DIV/0!</v>
      </c>
      <c r="H91" s="2579" t="e">
        <f>'Calc Data'!AT31-IF('Option Costs'!AU57="N",MAX('Option Costs'!AU85,'Option Costs'!AW85),MIN('Option Costs'!AU85,'Option Costs'!AW85))</f>
        <v>#DIV/0!</v>
      </c>
      <c r="I91" s="2587"/>
      <c r="J91" s="2499"/>
      <c r="K91" s="2499"/>
    </row>
    <row r="92" spans="1:16">
      <c r="A92" s="156" t="s">
        <v>3157</v>
      </c>
      <c r="F92" s="322" t="e">
        <f>SUM(F88:F91)</f>
        <v>#DIV/0!</v>
      </c>
      <c r="H92" s="2563" t="e">
        <f>SUM(H88:H91)</f>
        <v>#DIV/0!</v>
      </c>
      <c r="I92" s="2588"/>
      <c r="J92" s="2466"/>
      <c r="K92" s="2466"/>
    </row>
    <row r="93" spans="1:16">
      <c r="A93" s="132" t="s">
        <v>1695</v>
      </c>
      <c r="F93" s="287" t="e">
        <f>IF(F74&gt;0,0,F74)</f>
        <v>#DIV/0!</v>
      </c>
      <c r="H93" s="2562" t="e">
        <f>IF(H74&gt;0,0,H74)</f>
        <v>#DIV/0!</v>
      </c>
      <c r="I93" s="2593"/>
      <c r="J93" s="2466"/>
      <c r="K93" s="2466"/>
    </row>
    <row r="94" spans="1:16">
      <c r="A94" s="222" t="s">
        <v>3158</v>
      </c>
      <c r="F94" s="322" t="e">
        <f>F92+F93</f>
        <v>#DIV/0!</v>
      </c>
      <c r="H94" s="2563" t="e">
        <f>H92+H93</f>
        <v>#DIV/0!</v>
      </c>
      <c r="I94" s="2588"/>
      <c r="J94" s="2499"/>
      <c r="K94" s="2499"/>
    </row>
    <row r="95" spans="1:16" ht="13.5" thickBot="1">
      <c r="A95" s="134"/>
      <c r="B95" s="38"/>
      <c r="C95" s="38"/>
      <c r="D95" s="38"/>
      <c r="E95" s="38"/>
      <c r="F95" s="135"/>
      <c r="H95" s="2553"/>
      <c r="J95" s="2466"/>
      <c r="K95" s="2466"/>
    </row>
    <row r="96" spans="1:16" ht="13.5" hidden="1" thickTop="1">
      <c r="D96" s="35" t="s">
        <v>1231</v>
      </c>
      <c r="E96" s="35"/>
      <c r="F96" s="35"/>
      <c r="H96" s="322" t="e">
        <f>H93+H94</f>
        <v>#DIV/0!</v>
      </c>
      <c r="I96" s="2588"/>
      <c r="J96" s="773"/>
      <c r="K96" s="773"/>
    </row>
    <row r="97" spans="1:11" ht="13.5" hidden="1" thickTop="1">
      <c r="D97" s="35" t="s">
        <v>470</v>
      </c>
      <c r="E97" s="35"/>
      <c r="F97" s="35"/>
      <c r="J97" s="367"/>
      <c r="K97" s="367"/>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idden="1">
      <c r="A106" s="20" t="s">
        <v>1667</v>
      </c>
      <c r="G106" s="16"/>
    </row>
    <row r="107" spans="1:11" hidden="1">
      <c r="G107" s="16"/>
    </row>
    <row r="108" spans="1:11" hidden="1">
      <c r="A108" s="20" t="s">
        <v>1492</v>
      </c>
      <c r="G108" s="16"/>
      <c r="H108" s="16"/>
      <c r="I108" s="2586"/>
      <c r="J108" s="16"/>
      <c r="K108" s="16"/>
    </row>
    <row r="109" spans="1:11" hidden="1">
      <c r="A109" s="20" t="s">
        <v>1493</v>
      </c>
      <c r="H109" s="16"/>
      <c r="I109" s="2586"/>
      <c r="J109" s="16"/>
      <c r="K109" s="16"/>
    </row>
    <row r="110" spans="1:11" hidden="1">
      <c r="A110" s="20" t="s">
        <v>518</v>
      </c>
      <c r="H110" s="16"/>
      <c r="I110" s="2586"/>
      <c r="J110" s="16"/>
      <c r="K110" s="16"/>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1" hidden="1"/>
    <row r="130" spans="5:11" hidden="1"/>
    <row r="131" spans="5:11" ht="13.5" thickTop="1">
      <c r="E131" t="s">
        <v>2767</v>
      </c>
      <c r="F131" s="5">
        <f>SUM(F21:F27)</f>
        <v>0</v>
      </c>
      <c r="H131" s="5">
        <f>SUM(H21:H27)</f>
        <v>0</v>
      </c>
      <c r="I131" s="2594"/>
    </row>
    <row r="132" spans="5:11">
      <c r="E132" t="s">
        <v>2768</v>
      </c>
      <c r="F132" s="5">
        <f>F28+F29</f>
        <v>0</v>
      </c>
      <c r="H132" s="5">
        <f>H28+H29</f>
        <v>0</v>
      </c>
      <c r="I132" s="2594"/>
    </row>
    <row r="133" spans="5:11">
      <c r="E133" t="s">
        <v>2769</v>
      </c>
      <c r="F133" s="5">
        <f>F32+F33</f>
        <v>0</v>
      </c>
      <c r="H133" s="5">
        <f>H32+H33</f>
        <v>0</v>
      </c>
      <c r="I133" s="2594"/>
      <c r="J133" s="5"/>
      <c r="K133" s="5"/>
    </row>
    <row r="134" spans="5:11">
      <c r="E134" t="s">
        <v>2770</v>
      </c>
      <c r="F134" s="5">
        <f>F34+F35</f>
        <v>0</v>
      </c>
      <c r="H134" s="5">
        <f>H34+H35</f>
        <v>0</v>
      </c>
      <c r="I134" s="2594"/>
      <c r="J134" s="5"/>
      <c r="K134" s="5"/>
    </row>
    <row r="135" spans="5:11">
      <c r="E135" t="s">
        <v>2849</v>
      </c>
      <c r="F135" s="91" t="e">
        <f>Assumptions!G137*'Calc Data'!H25*'Calc Data'!H35*100</f>
        <v>#DIV/0!</v>
      </c>
      <c r="H135" s="91" t="e">
        <f>Assumptions!G137*'Calc Data'!H25*'Calc Data'!H35*100</f>
        <v>#DIV/0!</v>
      </c>
      <c r="I135" s="2595"/>
      <c r="J135" s="5"/>
      <c r="K135" s="5"/>
    </row>
    <row r="136" spans="5:11">
      <c r="E136" t="s">
        <v>2851</v>
      </c>
      <c r="F136" s="91" t="e">
        <f>Assumptions!G138*'Calc Data'!H25*'Calc Data'!H38*100</f>
        <v>#DIV/0!</v>
      </c>
      <c r="H136" s="91" t="e">
        <f>Assumptions!G138*'Calc Data'!H25*'Calc Data'!AT29*100</f>
        <v>#DIV/0!</v>
      </c>
      <c r="I136" s="2595"/>
      <c r="J136" s="5"/>
      <c r="K136" s="5"/>
    </row>
    <row r="137" spans="5:11">
      <c r="J137" s="91"/>
      <c r="K137" s="91"/>
    </row>
    <row r="138" spans="5:11">
      <c r="J138" s="91"/>
      <c r="K138" s="91"/>
    </row>
  </sheetData>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703125" bestFit="1" customWidth="1"/>
    <col min="3" max="3" width="13.5703125" customWidth="1"/>
    <col min="4" max="4" width="44.5703125" customWidth="1"/>
    <col min="5" max="6" width="19.140625" customWidth="1"/>
    <col min="7" max="7" width="3.5703125" customWidth="1"/>
    <col min="8" max="8" width="15.42578125" customWidth="1"/>
    <col min="9" max="11" width="28.42578125" customWidth="1"/>
    <col min="12" max="12" width="13.5703125" style="119" customWidth="1"/>
    <col min="13" max="13" width="13.5703125" customWidth="1"/>
    <col min="14" max="14" width="13.5703125" style="37" customWidth="1"/>
    <col min="15" max="15" width="13.5703125" customWidth="1"/>
    <col min="37" max="37" width="15.5703125" customWidth="1"/>
    <col min="38" max="38" width="16" customWidth="1"/>
  </cols>
  <sheetData>
    <row r="1" spans="1:11" hidden="1">
      <c r="A1" s="20" t="s">
        <v>66</v>
      </c>
      <c r="C1" s="264">
        <f>'Data Entry - SOF'!B1</f>
        <v>0</v>
      </c>
      <c r="E1" s="362"/>
      <c r="F1" s="304" t="e">
        <f>#REF!</f>
        <v>#REF!</v>
      </c>
      <c r="G1" s="59"/>
      <c r="I1" s="59"/>
      <c r="J1" s="59"/>
      <c r="K1" s="59"/>
    </row>
    <row r="2" spans="1:11" hidden="1">
      <c r="A2" s="20" t="s">
        <v>67</v>
      </c>
      <c r="C2" s="12">
        <f>'Data Entry - SOF'!B2</f>
        <v>0</v>
      </c>
      <c r="F2" s="59" t="e">
        <f>#REF!</f>
        <v>#REF!</v>
      </c>
      <c r="G2" s="59"/>
      <c r="I2" s="59"/>
      <c r="J2" s="59"/>
      <c r="K2" s="59"/>
    </row>
    <row r="3" spans="1:11" hidden="1">
      <c r="A3" s="20" t="s">
        <v>143</v>
      </c>
      <c r="C3" s="62">
        <f ca="1">'Data Entry - SOF'!B3</f>
        <v>43726.623322453706</v>
      </c>
      <c r="F3" s="58" t="e">
        <f>#REF!</f>
        <v>#REF!</v>
      </c>
    </row>
    <row r="4" spans="1:11" hidden="1">
      <c r="D4" s="295" t="s">
        <v>3183</v>
      </c>
    </row>
    <row r="5" spans="1:11" hidden="1">
      <c r="D5" s="296" t="s">
        <v>7048</v>
      </c>
    </row>
    <row r="6" spans="1:11" hidden="1"/>
    <row r="7" spans="1:11" hidden="1">
      <c r="D7" s="20" t="s">
        <v>1393</v>
      </c>
    </row>
    <row r="8" spans="1:11" hidden="1">
      <c r="B8" s="4"/>
      <c r="D8" s="20" t="s">
        <v>832</v>
      </c>
      <c r="F8" s="19">
        <f>'Calc Data'!I7</f>
        <v>0</v>
      </c>
      <c r="G8" s="18"/>
      <c r="I8" s="18"/>
      <c r="J8" s="18"/>
      <c r="K8" s="18"/>
    </row>
    <row r="9" spans="1:11" hidden="1">
      <c r="D9" s="20" t="s">
        <v>1394</v>
      </c>
      <c r="F9" s="19">
        <f>'Calc Data'!I8</f>
        <v>0</v>
      </c>
      <c r="G9" s="18"/>
      <c r="I9" s="18"/>
      <c r="J9" s="18"/>
      <c r="K9" s="18"/>
    </row>
    <row r="10" spans="1:11" hidden="1">
      <c r="D10" s="20" t="s">
        <v>426</v>
      </c>
      <c r="F10" s="19">
        <f>'Data Entry - SOF'!Q35</f>
        <v>0</v>
      </c>
      <c r="G10" s="18"/>
      <c r="I10" s="18"/>
      <c r="J10" s="18"/>
      <c r="K10" s="18"/>
    </row>
    <row r="11" spans="1:11" hidden="1">
      <c r="B11" s="20"/>
      <c r="D11" s="20" t="s">
        <v>427</v>
      </c>
      <c r="F11" s="19">
        <f>'Calc Data'!I10</f>
        <v>0</v>
      </c>
      <c r="G11" s="18"/>
      <c r="I11" s="18"/>
      <c r="J11" s="18"/>
      <c r="K11" s="18"/>
    </row>
    <row r="12" spans="1:11" hidden="1">
      <c r="D12" s="20" t="s">
        <v>428</v>
      </c>
      <c r="F12" s="16">
        <f>'Data Entry - SOF'!Q73</f>
        <v>0</v>
      </c>
      <c r="G12" s="16"/>
      <c r="I12" s="16"/>
      <c r="J12" s="16"/>
      <c r="K12" s="16"/>
    </row>
    <row r="13" spans="1:11" hidden="1">
      <c r="D13" s="20" t="s">
        <v>429</v>
      </c>
      <c r="F13" s="16" t="e">
        <f>'Data Entry - SOF'!#REF!</f>
        <v>#REF!</v>
      </c>
      <c r="G13" s="16"/>
      <c r="I13" s="16"/>
      <c r="J13" s="16"/>
      <c r="K13" s="16"/>
    </row>
    <row r="14" spans="1:11" hidden="1">
      <c r="D14" s="20" t="s">
        <v>1811</v>
      </c>
      <c r="F14" s="19">
        <f>'Data Entry - SOF'!Q159</f>
        <v>0</v>
      </c>
      <c r="G14" s="16"/>
      <c r="I14" s="16"/>
      <c r="J14" s="16"/>
      <c r="K14" s="16"/>
    </row>
    <row r="15" spans="1:11" hidden="1">
      <c r="D15" s="20" t="s">
        <v>1155</v>
      </c>
      <c r="F15" s="19">
        <f>'Calc Data'!I59</f>
        <v>0</v>
      </c>
      <c r="G15" s="17"/>
      <c r="I15" s="17"/>
      <c r="J15" s="17"/>
      <c r="K15" s="17"/>
    </row>
    <row r="16" spans="1:11" hidden="1">
      <c r="D16" s="20" t="s">
        <v>1956</v>
      </c>
      <c r="F16" s="16">
        <f>'Data Entry - SOF'!Q93</f>
        <v>0</v>
      </c>
      <c r="G16" s="16"/>
      <c r="I16" s="16"/>
      <c r="J16" s="16"/>
      <c r="K16" s="16"/>
    </row>
    <row r="17" spans="2:37" ht="13.5" hidden="1" thickBot="1">
      <c r="D17" s="27"/>
      <c r="E17" s="10"/>
      <c r="F17" s="10"/>
      <c r="G17" s="16"/>
      <c r="I17" s="16"/>
      <c r="J17" s="16"/>
      <c r="K17" s="16"/>
    </row>
    <row r="18" spans="2:37">
      <c r="D18" s="20"/>
      <c r="G18" s="16"/>
      <c r="H18" s="2558" t="s">
        <v>3853</v>
      </c>
      <c r="I18" s="2976"/>
      <c r="J18" s="2968" t="s">
        <v>6968</v>
      </c>
      <c r="K18" s="2501" t="s">
        <v>6967</v>
      </c>
    </row>
    <row r="19" spans="2:37" ht="15.75">
      <c r="B19" s="24" t="s">
        <v>430</v>
      </c>
      <c r="D19" s="20"/>
      <c r="F19" s="324"/>
      <c r="G19" s="20"/>
      <c r="H19" s="2564" t="s">
        <v>3840</v>
      </c>
      <c r="I19" s="2977"/>
      <c r="J19" s="2969" t="s">
        <v>8554</v>
      </c>
      <c r="K19" s="2505" t="s">
        <v>8553</v>
      </c>
    </row>
    <row r="20" spans="2:37" ht="15.75">
      <c r="B20" s="24">
        <v>11</v>
      </c>
      <c r="D20" s="100" t="s">
        <v>3140</v>
      </c>
      <c r="F20" s="311">
        <f>ROUND(ROUND('Calc Data'!I23,0)*IF('Calc Data'!I11&gt;'Calc Data'!I10,'Calc Data'!I11,'Calc Data'!I10),0)</f>
        <v>0</v>
      </c>
      <c r="G20" s="16"/>
      <c r="H20" s="2559">
        <f>ROUND(ROUND('Calc Data'!AY23,0)*IF('Calc Data'!I11&gt;'Calc Data'!I10,'Calc Data'!I11,'Calc Data'!I10),0)</f>
        <v>0</v>
      </c>
      <c r="I20" s="2554"/>
      <c r="J20" s="2537">
        <f>ROUND(ROUND('Calc Data'!AY78,0)*IF('Calc Data'!I11&gt;'Calc Data'!I10,'Calc Data'!I11,'Calc Data'!I10),0)</f>
        <v>0</v>
      </c>
      <c r="K20" s="2506"/>
      <c r="AK20" s="16" t="e">
        <f>ROUND(ROUND('Calc Data'!AC23,0)*IF('Calc Data'!#REF!&gt;'Calc Data'!#REF!,'Calc Data'!#REF!,'Calc Data'!#REF!),0)</f>
        <v>#REF!</v>
      </c>
    </row>
    <row r="21" spans="2:37">
      <c r="B21" s="24">
        <v>23</v>
      </c>
      <c r="D21" s="20" t="s">
        <v>89</v>
      </c>
      <c r="F21" s="16">
        <f>ROUND('Calc Data'!I9*ROUND('Calc Data'!I23,0),0)</f>
        <v>0</v>
      </c>
      <c r="G21" s="16"/>
      <c r="H21" s="2538">
        <f>ROUND('Calc Data'!I9*ROUND('Calc Data'!AY23,0),0)</f>
        <v>0</v>
      </c>
      <c r="I21" s="2555"/>
      <c r="J21" s="2941">
        <f>ROUND('Calc Data'!I9*ROUND('Calc Data'!AY78,0),0)</f>
        <v>0</v>
      </c>
      <c r="K21" s="2503"/>
      <c r="AK21" s="16" t="e">
        <f>ROUND('Calc Data'!#REF!*ROUND('Calc Data'!AC23,0),0)</f>
        <v>#REF!</v>
      </c>
    </row>
    <row r="22" spans="2:37">
      <c r="B22" s="24"/>
      <c r="D22" s="20" t="s">
        <v>90</v>
      </c>
      <c r="F22" s="35"/>
      <c r="H22" s="2539"/>
      <c r="I22" s="2555"/>
      <c r="J22" s="2942"/>
      <c r="K22" s="2503"/>
    </row>
    <row r="23" spans="2:37">
      <c r="B23" s="24">
        <v>23</v>
      </c>
      <c r="D23" s="20" t="s">
        <v>91</v>
      </c>
      <c r="F23" s="26">
        <f>ROUND('Data Entry - SOF'!Q34*Weights!N21*ROUND('Calc Data'!I23,0),0)</f>
        <v>0</v>
      </c>
      <c r="G23" s="26"/>
      <c r="H23" s="2540">
        <f>ROUND('Data Entry - SOF'!Q34*Weights!N21*ROUND('Calc Data'!AY23,0),0)</f>
        <v>0</v>
      </c>
      <c r="I23" s="2555"/>
      <c r="J23" s="2943">
        <f>ROUND('Data Entry - SOF'!Q34*Weights!N21*ROUND('Calc Data'!AY78,0),0)</f>
        <v>0</v>
      </c>
      <c r="K23" s="2503"/>
      <c r="AK23" s="26" t="e">
        <f>ROUND('Data Entry - SOF'!#REF!*1.1*ROUND('Calc Data'!AC23,0),0)</f>
        <v>#REF!</v>
      </c>
    </row>
    <row r="24" spans="2:37">
      <c r="B24" s="24">
        <v>23</v>
      </c>
      <c r="D24" s="20" t="s">
        <v>92</v>
      </c>
      <c r="F24" s="16">
        <f>ROUND((+'Data Entry - SOF'!Q32*Weights!N19)*ROUND('Calc Data'!I23,0),0)</f>
        <v>0</v>
      </c>
      <c r="G24" s="16"/>
      <c r="H24" s="2538">
        <f>ROUND((+'Data Entry - SOF'!Q32*Weights!N19)*ROUND('Calc Data'!AY23,0),0)</f>
        <v>0</v>
      </c>
      <c r="I24" s="2555"/>
      <c r="J24" s="2941">
        <f>ROUND((+'Data Entry - SOF'!Q32*Weights!N19)*ROUND('Calc Data'!AY78,0),0)</f>
        <v>0</v>
      </c>
      <c r="K24" s="2503"/>
      <c r="AK24" s="16" t="e">
        <f>ROUND((+'Data Entry - SOF'!#REF!*4)*ROUND('Calc Data'!AC23,0),0)</f>
        <v>#REF!</v>
      </c>
    </row>
    <row r="25" spans="2:37">
      <c r="B25" s="24">
        <v>23</v>
      </c>
      <c r="D25" s="22" t="s">
        <v>812</v>
      </c>
      <c r="F25" s="16">
        <f>ROUND((+'Data Entry - SOF'!Q30*Weights!N17)*ROUND('Calc Data'!I23,0),0)</f>
        <v>0</v>
      </c>
      <c r="G25" s="16"/>
      <c r="H25" s="2538">
        <f>ROUND((+'Data Entry - SOF'!Q30*Weights!N17)*ROUND('Calc Data'!AY23,0),0)</f>
        <v>0</v>
      </c>
      <c r="I25" s="2555"/>
      <c r="J25" s="2941">
        <f>ROUND((+'Data Entry - SOF'!Q30*Weights!N17)*ROUND('Calc Data'!AY78,0),0)</f>
        <v>0</v>
      </c>
      <c r="K25" s="2503"/>
      <c r="AK25" s="16" t="e">
        <f>ROUND((+'Data Entry - SOF'!#REF!*2.8)*ROUND('Calc Data'!AC23,0),0)</f>
        <v>#REF!</v>
      </c>
    </row>
    <row r="26" spans="2:37">
      <c r="B26" s="24">
        <v>23</v>
      </c>
      <c r="D26" s="22" t="s">
        <v>813</v>
      </c>
      <c r="F26" s="16">
        <f>ROUND(('Data Entry - SOF'!Q31*Weights!N18)*ROUND('Calc Data'!I23,0),0)</f>
        <v>0</v>
      </c>
      <c r="G26" s="16"/>
      <c r="H26" s="2538">
        <f>ROUND(('Data Entry - SOF'!Q31*Weights!N18)*ROUND('Calc Data'!AY23,0),0)</f>
        <v>0</v>
      </c>
      <c r="I26" s="2555"/>
      <c r="J26" s="2941">
        <f>ROUND(('Data Entry - SOF'!Q31*Weights!N18)*ROUND('Calc Data'!AY78,0),0)</f>
        <v>0</v>
      </c>
      <c r="K26" s="2503"/>
      <c r="AK26" s="16" t="e">
        <f>ROUND(('Data Entry - SOF'!#REF!*1.7)*ROUND('Calc Data'!AC23,0),0)</f>
        <v>#REF!</v>
      </c>
    </row>
    <row r="27" spans="2:37">
      <c r="B27" s="24"/>
      <c r="D27" s="20" t="s">
        <v>1145</v>
      </c>
      <c r="F27" s="16">
        <f>IF('Data Entry - SOF'!Q114&lt;0,'Data Entry - SOF'!Q114,'Data Entry - SOF'!Q114*-1)</f>
        <v>0</v>
      </c>
      <c r="G27" s="16"/>
      <c r="H27" s="2538">
        <f>IF('Data Entry - SOF'!Q114&lt;0,'Data Entry - SOF'!Q114,'Data Entry - SOF'!Q114*-1)</f>
        <v>0</v>
      </c>
      <c r="I27" s="2555"/>
      <c r="J27" s="2944">
        <f>H27</f>
        <v>0</v>
      </c>
      <c r="K27" s="2503"/>
      <c r="AK27" s="16">
        <v>0</v>
      </c>
    </row>
    <row r="28" spans="2:37">
      <c r="B28" s="24">
        <v>22</v>
      </c>
      <c r="C28" s="14"/>
      <c r="D28" s="20" t="s">
        <v>102</v>
      </c>
      <c r="F28" s="16">
        <f>ROUND(ROUND('Calc Data'!I23,0)*'Data Entry - SOF'!Q35*Weights!N23,0)</f>
        <v>0</v>
      </c>
      <c r="G28" s="16"/>
      <c r="H28" s="2538">
        <f>ROUND(ROUND('Calc Data'!AY23,0)*'Data Entry - SOF'!Q35*Weights!N23,0)</f>
        <v>0</v>
      </c>
      <c r="I28" s="2555"/>
      <c r="J28" s="2941">
        <f>ROUND(ROUND('Calc Data'!AY78,0)*'Data Entry - SOF'!Q35*Weights!N23,0)</f>
        <v>0</v>
      </c>
      <c r="K28" s="2503"/>
      <c r="AK28" s="16" t="e">
        <f>ROUND(ROUND('Calc Data'!AC23,0)*'Data Entry - SOF'!#REF!*1.35,0)</f>
        <v>#REF!</v>
      </c>
    </row>
    <row r="29" spans="2:37">
      <c r="B29" s="24"/>
      <c r="C29" s="14"/>
      <c r="D29" s="35" t="s">
        <v>644</v>
      </c>
      <c r="F29" s="16">
        <f>Weights!N24*'Data Entry - SOF'!Q37</f>
        <v>0</v>
      </c>
      <c r="G29" s="16"/>
      <c r="H29" s="2538">
        <f>Weights!N24*'Data Entry - SOF'!Q37</f>
        <v>0</v>
      </c>
      <c r="I29" s="2555"/>
      <c r="J29" s="2944">
        <f>H29</f>
        <v>0</v>
      </c>
      <c r="K29" s="2503"/>
      <c r="AK29" s="16"/>
    </row>
    <row r="30" spans="2:37" hidden="1">
      <c r="B30" s="24"/>
      <c r="C30" s="14"/>
      <c r="D30" s="35" t="s">
        <v>645</v>
      </c>
      <c r="F30" s="16" t="e">
        <f>400*'Data Entry - SOF'!Q39</f>
        <v>#DIV/0!</v>
      </c>
      <c r="G30" s="16"/>
      <c r="H30" s="2538" t="e">
        <f>400*'Data Entry - SOF'!Q39</f>
        <v>#DIV/0!</v>
      </c>
      <c r="I30" s="2555"/>
      <c r="J30" s="2945"/>
      <c r="K30" s="2503"/>
      <c r="AK30" s="16"/>
    </row>
    <row r="31" spans="2:37" hidden="1">
      <c r="B31" s="24"/>
      <c r="C31" s="14"/>
      <c r="D31" s="35" t="s">
        <v>646</v>
      </c>
      <c r="F31" s="16" t="e">
        <f>80*'Data Entry - SOF'!Q40</f>
        <v>#DIV/0!</v>
      </c>
      <c r="G31" s="16"/>
      <c r="H31" s="2538" t="e">
        <f>80*'Data Entry - SOF'!Q40</f>
        <v>#DIV/0!</v>
      </c>
      <c r="I31" s="2555"/>
      <c r="J31" s="2945"/>
      <c r="K31" s="2503"/>
      <c r="AK31" s="16"/>
    </row>
    <row r="32" spans="2:37">
      <c r="B32" s="24">
        <v>21</v>
      </c>
      <c r="D32" s="20" t="s">
        <v>2634</v>
      </c>
      <c r="F32" s="16">
        <f>ROUND(ROUND('Calc Data'!I23,0)*'Data Entry - SOF'!Q211*Weights!N28,0)</f>
        <v>0</v>
      </c>
      <c r="G32" s="16"/>
      <c r="H32" s="2538">
        <f>ROUND(ROUND('Calc Data'!AY23,0)*'Data Entry - SOF'!Q211*Weights!N28,0)</f>
        <v>0</v>
      </c>
      <c r="I32" s="2555"/>
      <c r="J32" s="2941">
        <f>ROUND(ROUND('Calc Data'!AY78,0)*'Data Entry - SOF'!Q211*Weights!N28,0)</f>
        <v>0</v>
      </c>
      <c r="K32" s="2503"/>
      <c r="AK32" s="16" t="e">
        <f>ROUND(ROUND('Calc Data'!AC23,0)*'Data Entry - SOF'!#REF!*0.12,0)</f>
        <v>#REF!</v>
      </c>
    </row>
    <row r="33" spans="2:37">
      <c r="B33" s="24"/>
      <c r="D33" s="20" t="s">
        <v>397</v>
      </c>
      <c r="F33" s="16">
        <f>IF('Data Entry - SOF'!Q113&lt;0,'Data Entry - SOF'!Q113,'Data Entry - SOF'!Q113*-1)</f>
        <v>0</v>
      </c>
      <c r="G33" s="16"/>
      <c r="H33" s="2538">
        <f>IF('Data Entry - SOF'!Q113&lt;0,'Data Entry - SOF'!Q113,'Data Entry - SOF'!Q113*-1)</f>
        <v>0</v>
      </c>
      <c r="I33" s="2555"/>
      <c r="J33" s="2944">
        <f>H33</f>
        <v>0</v>
      </c>
      <c r="K33" s="2503"/>
      <c r="AK33" s="16">
        <v>0</v>
      </c>
    </row>
    <row r="34" spans="2:37">
      <c r="B34" s="24" t="s">
        <v>2497</v>
      </c>
      <c r="D34" s="20" t="s">
        <v>398</v>
      </c>
      <c r="F34" s="16">
        <f>ROUND(ROUND('Calc Data'!I23,0)*'Data Entry - SOF'!Q41*Weights!N30,0)</f>
        <v>0</v>
      </c>
      <c r="G34" s="16"/>
      <c r="H34" s="2538">
        <f>ROUND(ROUND('Calc Data'!AY23,0)*'Data Entry - SOF'!Q41*Weights!N30,0)</f>
        <v>0</v>
      </c>
      <c r="I34" s="2555"/>
      <c r="J34" s="2941">
        <f>ROUND(ROUND('Calc Data'!AY78,0)*'Data Entry - SOF'!Q41*Weights!N30,0)</f>
        <v>0</v>
      </c>
      <c r="K34" s="2503"/>
      <c r="AK34" s="16" t="e">
        <f>ROUND(ROUND('Calc Data'!AC23,0)*'Data Entry - SOF'!#REF!*0.2,0)</f>
        <v>#REF!</v>
      </c>
    </row>
    <row r="35" spans="2:37">
      <c r="B35" s="24" t="s">
        <v>2497</v>
      </c>
      <c r="D35" s="20" t="s">
        <v>399</v>
      </c>
      <c r="F35" s="16">
        <f>ROUND(ROUND('Calc Data'!I23,0)*'Data Entry - SOF'!Q49*Weights!N31,0)</f>
        <v>0</v>
      </c>
      <c r="G35" s="16"/>
      <c r="H35" s="2538">
        <f>ROUND(ROUND('Calc Data'!AY23,0)*'Data Entry - SOF'!Q49*Weights!N31,0)</f>
        <v>0</v>
      </c>
      <c r="I35" s="2555"/>
      <c r="J35" s="2941">
        <f>ROUND(ROUND('Calc Data'!AY78,0)*'Data Entry - SOF'!Q49*Weights!N31,0)</f>
        <v>0</v>
      </c>
      <c r="K35" s="2503"/>
      <c r="AK35" s="16" t="e">
        <f>ROUND(ROUND('Calc Data'!AC23,0)*'Data Entry - SOF'!#REF!*2.41,0)</f>
        <v>#REF!</v>
      </c>
    </row>
    <row r="36" spans="2:37" hidden="1">
      <c r="B36" s="24" t="s">
        <v>2497</v>
      </c>
      <c r="D36" s="71" t="s">
        <v>451</v>
      </c>
      <c r="E36" s="310"/>
      <c r="F36" s="16">
        <f>650*'Data Entry - SOF'!Q50</f>
        <v>0</v>
      </c>
      <c r="G36" s="16"/>
      <c r="H36" s="2538">
        <f>650*'Data Entry - SOF'!Q50</f>
        <v>0</v>
      </c>
      <c r="I36" s="2555"/>
      <c r="J36" s="2945"/>
      <c r="K36" s="2503"/>
      <c r="AK36" s="16"/>
    </row>
    <row r="37" spans="2:37" hidden="1">
      <c r="B37" s="24"/>
      <c r="D37" s="20" t="s">
        <v>1229</v>
      </c>
      <c r="F37" s="65">
        <v>0</v>
      </c>
      <c r="G37" s="16"/>
      <c r="H37" s="2541">
        <v>0</v>
      </c>
      <c r="I37" s="2555"/>
      <c r="J37" s="2945"/>
      <c r="K37" s="2503"/>
      <c r="AK37" s="16">
        <v>0</v>
      </c>
    </row>
    <row r="38" spans="2:37">
      <c r="B38" s="24">
        <v>25</v>
      </c>
      <c r="D38" s="20" t="s">
        <v>1135</v>
      </c>
      <c r="F38" s="16">
        <f>ROUND(ROUND('Calc Data'!I23,0)*('Data Entry - SOF'!Q51*Weights!N26),0)</f>
        <v>0</v>
      </c>
      <c r="G38" s="16"/>
      <c r="H38" s="2538">
        <f>ROUND(ROUND('Calc Data'!AY23,0)*('Data Entry - SOF'!Q51*Weights!N26),0)</f>
        <v>0</v>
      </c>
      <c r="I38" s="2555"/>
      <c r="J38" s="2941">
        <f>ROUND(ROUND('Calc Data'!AY78,0)*('Data Entry - SOF'!Q51*Weights!N26),0)</f>
        <v>0</v>
      </c>
      <c r="K38" s="2503"/>
      <c r="AK38" s="16" t="e">
        <f>ROUND(ROUND('Calc Data'!AC23,0)*('Data Entry - SOF'!#REF!*0.1),0)</f>
        <v>#REF!</v>
      </c>
    </row>
    <row r="39" spans="2:37">
      <c r="B39" s="24">
        <v>31</v>
      </c>
      <c r="D39" s="35" t="s">
        <v>2435</v>
      </c>
      <c r="F39" s="16">
        <f>Weights!N33*'Data Entry - SOF'!Q21</f>
        <v>0</v>
      </c>
      <c r="G39" s="16"/>
      <c r="H39" s="2538">
        <f>Weights!N33*'Data Entry - SOF'!Q21</f>
        <v>0</v>
      </c>
      <c r="I39" s="2555"/>
      <c r="J39" s="2944">
        <f>H39</f>
        <v>0</v>
      </c>
      <c r="K39" s="2503"/>
      <c r="AK39" s="16" t="e">
        <f>#REF!</f>
        <v>#REF!</v>
      </c>
    </row>
    <row r="40" spans="2:37">
      <c r="B40" s="24"/>
      <c r="D40" s="20" t="s">
        <v>872</v>
      </c>
      <c r="F40" s="16">
        <f>ROUND(ROUND('Calc Data'!I23,0)*'Data Entry - SOF'!Q61*Weights!N37,0)</f>
        <v>0</v>
      </c>
      <c r="G40" s="16"/>
      <c r="H40" s="2538">
        <f>ROUND(ROUND('Calc Data'!AY23,0)*'Data Entry - SOF'!Q61*Weights!N37,0)</f>
        <v>0</v>
      </c>
      <c r="I40" s="2555"/>
      <c r="J40" s="2941">
        <f>ROUND(ROUND('Calc Data'!AY78,0)*'Data Entry - SOF'!Q61*Weights!N37,0)</f>
        <v>0</v>
      </c>
      <c r="K40" s="2503"/>
      <c r="AK40" s="16" t="e">
        <f>ROUND(ROUND('Calc Data'!AC23,0)*'Data Entry - SOF'!#REF!*0.1,0)</f>
        <v>#REF!</v>
      </c>
    </row>
    <row r="41" spans="2:37" ht="15.75">
      <c r="B41" s="24"/>
      <c r="D41" s="318" t="s">
        <v>3839</v>
      </c>
      <c r="F41" s="87">
        <f>'Data Entry - SOF'!Q62*Weights!N35</f>
        <v>0</v>
      </c>
      <c r="G41" s="16"/>
      <c r="H41" s="2538">
        <f>F41</f>
        <v>0</v>
      </c>
      <c r="I41" s="2555"/>
      <c r="J41" s="2944">
        <f>H41</f>
        <v>0</v>
      </c>
      <c r="K41" s="2503"/>
      <c r="AK41" s="16" t="e">
        <f>'Data Entry - SOF'!#REF!*250</f>
        <v>#REF!</v>
      </c>
    </row>
    <row r="42" spans="2:37">
      <c r="B42" s="24">
        <v>99</v>
      </c>
      <c r="D42" s="20" t="s">
        <v>2087</v>
      </c>
      <c r="F42" s="25">
        <f>'Data Entry - SOF'!Q104</f>
        <v>0</v>
      </c>
      <c r="G42" s="16"/>
      <c r="H42" s="2583">
        <f>'Data Entry - SOF'!Q104</f>
        <v>0</v>
      </c>
      <c r="I42" s="2555"/>
      <c r="J42" s="2948">
        <f>H42</f>
        <v>0</v>
      </c>
      <c r="K42" s="2960"/>
      <c r="AK42" s="25" t="e">
        <f>'Data Entry - SOF'!#REF!</f>
        <v>#REF!</v>
      </c>
    </row>
    <row r="43" spans="2:37">
      <c r="D43" s="20" t="s">
        <v>530</v>
      </c>
      <c r="F43" s="16" t="e">
        <f>SUM(F20:F42)</f>
        <v>#DIV/0!</v>
      </c>
      <c r="G43" s="16"/>
      <c r="H43" s="2538" t="e">
        <f>SUM(H20:H42)</f>
        <v>#DIV/0!</v>
      </c>
      <c r="I43" s="2555"/>
      <c r="J43" s="2941">
        <f>SUM(J20:J42)</f>
        <v>0</v>
      </c>
      <c r="K43" s="2966" t="e">
        <f t="shared" ref="K43" si="0">H43</f>
        <v>#DIV/0!</v>
      </c>
      <c r="AK43" s="16" t="e">
        <f>SUM(AK20:AK42)</f>
        <v>#REF!</v>
      </c>
    </row>
    <row r="44" spans="2:37">
      <c r="D44" s="20" t="s">
        <v>786</v>
      </c>
      <c r="F44" s="28">
        <f>IF('Data Entry - SOF'!Q154&gt;1,1*('Data Entry - SOF'!Q73/100),'Data Entry - SOF'!Q154*('Data Entry - SOF'!Q73/100))</f>
        <v>0</v>
      </c>
      <c r="G44" s="29"/>
      <c r="H44" s="2584">
        <f>IF('Calc Data'!AY30&gt;1,1*('Data Entry - SOF'!Q73/100),'Calc Data'!AY30*('Data Entry - SOF'!Q73/100))</f>
        <v>0</v>
      </c>
      <c r="I44" s="2555"/>
      <c r="J44" s="2584">
        <f>IF('Calc Data'!AY85&gt;1,1*('Data Entry - SOF'!Q73/100),'Calc Data'!AY85*('Data Entry - SOF'!Q73/100))</f>
        <v>0</v>
      </c>
      <c r="K44" s="2978">
        <f>IF('Calc Data-15K'!AX30&gt;1,1*('Data Entry - SOF'!Q74/100),'Calc Data-15K'!AX30*('Data Entry - SOF'!Q74/100))</f>
        <v>0</v>
      </c>
      <c r="AK44" s="28" t="e">
        <f>#REF!</f>
        <v>#REF!</v>
      </c>
    </row>
    <row r="45" spans="2:37">
      <c r="D45" s="20" t="s">
        <v>785</v>
      </c>
      <c r="F45" s="29" t="e">
        <f>F43-F44</f>
        <v>#DIV/0!</v>
      </c>
      <c r="G45" s="29"/>
      <c r="H45" s="2544" t="e">
        <f>H43-H44</f>
        <v>#DIV/0!</v>
      </c>
      <c r="I45" s="2555"/>
      <c r="J45" s="2946">
        <f>J43-J44</f>
        <v>0</v>
      </c>
      <c r="K45" s="2966" t="e">
        <f>K43-K44</f>
        <v>#DIV/0!</v>
      </c>
      <c r="AK45" s="29" t="e">
        <f>AK43-AK44</f>
        <v>#REF!</v>
      </c>
    </row>
    <row r="46" spans="2:37">
      <c r="D46" s="20"/>
      <c r="G46" s="29"/>
      <c r="H46" s="2545"/>
      <c r="I46" s="2555"/>
      <c r="J46" s="2942"/>
      <c r="K46" s="2966"/>
      <c r="M46" s="46"/>
      <c r="AK46" s="29"/>
    </row>
    <row r="47" spans="2:37">
      <c r="D47" s="315" t="s">
        <v>736</v>
      </c>
      <c r="G47" s="29"/>
      <c r="H47" s="2545"/>
      <c r="I47" s="2555"/>
      <c r="J47" s="2942"/>
      <c r="K47" s="2966"/>
      <c r="M47" s="46"/>
      <c r="AK47" s="29"/>
    </row>
    <row r="48" spans="2:37">
      <c r="D48" s="20" t="s">
        <v>1523</v>
      </c>
      <c r="F48" s="65" t="e">
        <f>IF(F45&lt;F75+F39+F41+F30+F31,F75+F39+F41+F30+F31,F45)</f>
        <v>#DIV/0!</v>
      </c>
      <c r="G48" s="29"/>
      <c r="H48" s="2541" t="e">
        <f>IF(H45&lt;H75+H39+H41+H30+H31,H75+H39+H41+H30+H31,H45)</f>
        <v>#DIV/0!</v>
      </c>
      <c r="I48" s="2555"/>
      <c r="J48" s="2947">
        <f>IF(J45&lt;H75+J39+J41+J30+J31,H75+J39+J41+J30+J31,J45)</f>
        <v>0</v>
      </c>
      <c r="K48" s="2966" t="e">
        <f>IF(K45&lt;H75+J39+J41+J30+J31,H75+J39+J41+J30+J31,K45)</f>
        <v>#DIV/0!</v>
      </c>
    </row>
    <row r="49" spans="4:12" hidden="1">
      <c r="D49" s="20" t="s">
        <v>2273</v>
      </c>
      <c r="G49" s="29" t="e">
        <f>ROUND(IF((24.7*'Calc Data'!#REF!*IF('Calc Data'!#REF!&gt;=0.64,0.64,'Calc Data'!#REF!)*100)&lt;'Calc Data'!#REF!,0,(24.7*'Calc Data'!#REF!*IF('Calc Data'!#REF!&gt;=0.64,0.64,'Calc Data'!#REF!)*100)-'Calc Data'!#REF!),0)</f>
        <v>#REF!</v>
      </c>
      <c r="H49" s="2544"/>
      <c r="I49" s="2555"/>
      <c r="J49" s="2945"/>
      <c r="K49" s="2966"/>
    </row>
    <row r="50" spans="4:12">
      <c r="D50" s="20"/>
      <c r="G50" s="29"/>
      <c r="H50" s="2531"/>
      <c r="I50" s="2555"/>
      <c r="J50" s="2942"/>
      <c r="K50" s="2966"/>
    </row>
    <row r="51" spans="4:12">
      <c r="D51" s="20" t="s">
        <v>8737</v>
      </c>
      <c r="F51" s="29" t="e">
        <f>ROUND(IF((Assumptions!G146*'Calc Data'!I25*'Calc Data'!I35*100)&lt;'Calc Data'!I42,0,(Assumptions!G146*'Calc Data'!I25*'Calc Data'!I35*100)-'Calc Data'!I42),0)</f>
        <v>#DIV/0!</v>
      </c>
      <c r="G51" s="29"/>
      <c r="H51" s="2531" t="e">
        <f>ROUND(IF((Assumptions!G146*'Calc Data'!I25*'Calc Data'!I35*100)&lt;'Calc Data'!I42,0,(Assumptions!G146*'Calc Data'!I25*'Calc Data'!I35*100)-'Calc Data'!I42),0)</f>
        <v>#DIV/0!</v>
      </c>
      <c r="I51" s="2555"/>
      <c r="J51" s="2964" t="e">
        <f>ROUND(IF((Assumptions!G146*'Calc Data'!I25*'Calc Data'!I81*100)&lt;'Calc Data'!I88,0,(Assumptions!G146*'Calc Data'!I25*'Calc Data'!I81*100)-'Calc Data'!I88),0)</f>
        <v>#DIV/0!</v>
      </c>
      <c r="K51" s="2967" t="e">
        <f>ROUND(IF((Assumptions!G79*'Calc Data-15K'!I25*'Calc Data-15K'!G81*100)&lt;'Calc Data-15K'!G88,0,(Assumptions!G79*'Calc Data-15K'!I25*'Calc Data-15K'!G81*100)-'Calc Data-15K'!G88),0)</f>
        <v>#DIV/0!</v>
      </c>
    </row>
    <row r="52" spans="4:12">
      <c r="D52" s="20" t="s">
        <v>473</v>
      </c>
      <c r="F52" s="48" t="e">
        <f>ROUND(IF((Assumptions!G147*'Calc Data'!I25*'Calc Data'!I38*100)&lt;'Calc Data'!I43,0,(Assumptions!G147*'Calc Data'!I25*'Calc Data'!I38*100)-'Calc Data'!I43),0)</f>
        <v>#DIV/0!</v>
      </c>
      <c r="G52" s="29"/>
      <c r="H52" s="2546" t="e">
        <f>ROUND(IF((Assumptions!G147*'Calc Data'!I25*'Calc Data'!AY29*100)&lt;'Calc Data'!AY33,0,(Assumptions!G147*'Calc Data'!I25*'Calc Data'!AY29*100)-'Calc Data'!AY33),0)</f>
        <v>#DIV/0!</v>
      </c>
      <c r="I52" s="2603"/>
      <c r="J52" s="2965" t="e">
        <f>ROUND(IF((Assumptions!G147*'Calc Data'!I25*'Calc Data'!AY84*100)&lt;'Calc Data'!AY88,0,(Assumptions!G147*'Calc Data'!I25*'Calc Data'!AY84*100)-'Calc Data'!AY88),0)</f>
        <v>#DIV/0!</v>
      </c>
      <c r="K52" s="1936" t="e">
        <f>ROUND(IF((Assumptions!G80*'Calc Data-15K'!I25*'Calc Data-15K'!BC84*100)&lt;'Calc Data-15K'!BC88,0,(Assumptions!G80*'Calc Data-15K'!I25*'Calc Data-15K'!BC84*100)-'Calc Data-15K'!BC88),0)</f>
        <v>#DIV/0!</v>
      </c>
    </row>
    <row r="53" spans="4:12">
      <c r="D53" s="20" t="s">
        <v>284</v>
      </c>
      <c r="F53" s="29" t="e">
        <f>SUM(F49:F52)</f>
        <v>#DIV/0!</v>
      </c>
      <c r="G53" s="29"/>
      <c r="H53" s="2531" t="e">
        <f>SUM(H49:H52)</f>
        <v>#DIV/0!</v>
      </c>
    </row>
    <row r="54" spans="4:12">
      <c r="D54" s="20"/>
      <c r="G54" s="29"/>
      <c r="H54" s="2531"/>
      <c r="L54" s="140"/>
    </row>
    <row r="55" spans="4:12">
      <c r="D55" s="20" t="s">
        <v>733</v>
      </c>
      <c r="G55" s="29"/>
      <c r="H55" s="2531"/>
      <c r="L55" s="140"/>
    </row>
    <row r="56" spans="4:12">
      <c r="D56" s="20" t="s">
        <v>758</v>
      </c>
      <c r="F56" s="29">
        <f>'Data Entry - SOF'!Q121</f>
        <v>0</v>
      </c>
      <c r="G56" s="29"/>
      <c r="H56" s="2531">
        <f>F56</f>
        <v>0</v>
      </c>
      <c r="L56" s="140"/>
    </row>
    <row r="57" spans="4:12">
      <c r="D57" s="20" t="s">
        <v>3051</v>
      </c>
      <c r="F57" s="29">
        <f>'Data Entry - SOF'!Q120</f>
        <v>0</v>
      </c>
      <c r="G57" s="29"/>
      <c r="H57" s="2531">
        <f>F57</f>
        <v>0</v>
      </c>
      <c r="L57" s="140"/>
    </row>
    <row r="58" spans="4:12">
      <c r="D58" s="20" t="s">
        <v>3052</v>
      </c>
      <c r="F58" s="29">
        <f>'Data Entry - SOF'!Q122</f>
        <v>0</v>
      </c>
      <c r="G58" s="29"/>
      <c r="H58" s="2531">
        <f t="shared" ref="H58:H67" si="1">F58</f>
        <v>0</v>
      </c>
      <c r="L58" s="140"/>
    </row>
    <row r="59" spans="4:12">
      <c r="D59" s="20" t="s">
        <v>3053</v>
      </c>
      <c r="F59" s="29">
        <f>'Data Entry - SOF'!Q123</f>
        <v>0</v>
      </c>
      <c r="G59" s="29"/>
      <c r="H59" s="2531">
        <f t="shared" si="1"/>
        <v>0</v>
      </c>
      <c r="L59" s="140"/>
    </row>
    <row r="60" spans="4:12">
      <c r="D60" s="20" t="s">
        <v>3054</v>
      </c>
      <c r="F60" s="29">
        <f>'Data Entry - SOF'!Q124</f>
        <v>0</v>
      </c>
      <c r="G60" s="29"/>
      <c r="H60" s="2531">
        <f t="shared" si="1"/>
        <v>0</v>
      </c>
      <c r="L60" s="140"/>
    </row>
    <row r="61" spans="4:12">
      <c r="D61" s="20" t="s">
        <v>3055</v>
      </c>
      <c r="F61" s="29">
        <v>0</v>
      </c>
      <c r="G61" s="29"/>
      <c r="H61" s="2531">
        <f t="shared" si="1"/>
        <v>0</v>
      </c>
      <c r="L61" s="140"/>
    </row>
    <row r="62" spans="4:12">
      <c r="D62" s="20" t="s">
        <v>3056</v>
      </c>
      <c r="F62" s="29">
        <f>'Data Entry - SOF'!Q125</f>
        <v>0</v>
      </c>
      <c r="G62" s="29"/>
      <c r="H62" s="2531">
        <f t="shared" si="1"/>
        <v>0</v>
      </c>
      <c r="L62" s="140"/>
    </row>
    <row r="63" spans="4:12">
      <c r="D63" s="20" t="s">
        <v>2444</v>
      </c>
      <c r="F63" s="29">
        <v>0</v>
      </c>
      <c r="G63" s="29"/>
      <c r="H63" s="2531">
        <f t="shared" si="1"/>
        <v>0</v>
      </c>
      <c r="L63" s="140"/>
    </row>
    <row r="64" spans="4:12">
      <c r="D64" s="20" t="s">
        <v>2436</v>
      </c>
      <c r="F64" s="29">
        <f>(500*'Data Entry - SOF'!Q69)+(250*'Data Entry - SOF'!Q70)</f>
        <v>0</v>
      </c>
      <c r="G64" s="29"/>
      <c r="H64" s="2531">
        <f t="shared" si="1"/>
        <v>0</v>
      </c>
      <c r="L64" s="140"/>
    </row>
    <row r="65" spans="1:12">
      <c r="D65" s="20" t="s">
        <v>734</v>
      </c>
      <c r="F65" s="285" t="e">
        <f>(('Data Entry - SOF'!Q112/'Calc Data'!H7)*'Data Entry - SOF'!Q110)*-1</f>
        <v>#DIV/0!</v>
      </c>
      <c r="G65" s="29"/>
      <c r="H65" s="2531" t="e">
        <f t="shared" si="1"/>
        <v>#DIV/0!</v>
      </c>
      <c r="L65" s="140"/>
    </row>
    <row r="66" spans="1:12">
      <c r="D66" s="20" t="s">
        <v>735</v>
      </c>
      <c r="F66" s="285" t="e">
        <f>(('Data Entry - SOF'!Q112/'Calc Data'!H7)*'Data Entry - SOF'!Q111)*-1</f>
        <v>#DIV/0!</v>
      </c>
      <c r="G66" s="29"/>
      <c r="H66" s="2531" t="e">
        <f t="shared" si="1"/>
        <v>#DIV/0!</v>
      </c>
      <c r="L66" s="140"/>
    </row>
    <row r="67" spans="1:12">
      <c r="D67" s="20" t="s">
        <v>2985</v>
      </c>
      <c r="F67" s="502">
        <f>'Data Entry - SOF'!Q142</f>
        <v>0</v>
      </c>
      <c r="G67" s="29"/>
      <c r="H67" s="2546">
        <f t="shared" si="1"/>
        <v>0</v>
      </c>
      <c r="L67" s="140"/>
    </row>
    <row r="68" spans="1:12">
      <c r="D68" s="286" t="s">
        <v>172</v>
      </c>
      <c r="F68" s="29" t="e">
        <f>SUM(F56:F67)</f>
        <v>#DIV/0!</v>
      </c>
      <c r="G68" s="29"/>
      <c r="H68" s="2531" t="e">
        <f>SUM(H56:H67)</f>
        <v>#DIV/0!</v>
      </c>
      <c r="L68" s="140"/>
    </row>
    <row r="69" spans="1:12">
      <c r="D69" s="286"/>
      <c r="F69" s="35"/>
      <c r="G69" s="29"/>
      <c r="H69" s="2531"/>
      <c r="L69" s="140"/>
    </row>
    <row r="70" spans="1:12">
      <c r="D70" s="20" t="s">
        <v>2396</v>
      </c>
      <c r="F70" s="29">
        <f>F75*-1</f>
        <v>0</v>
      </c>
      <c r="G70" s="29"/>
      <c r="H70" s="2531">
        <f>H75*-1</f>
        <v>0</v>
      </c>
      <c r="L70" s="140"/>
    </row>
    <row r="71" spans="1:12" ht="13.5" thickBot="1">
      <c r="D71" s="20"/>
      <c r="G71" s="29"/>
      <c r="H71" s="2531"/>
      <c r="L71" s="140"/>
    </row>
    <row r="72" spans="1:12" ht="13.5" thickTop="1">
      <c r="A72" s="288"/>
      <c r="B72" s="289"/>
      <c r="C72" s="289"/>
      <c r="D72" s="290"/>
      <c r="E72" s="289"/>
      <c r="F72" s="320"/>
      <c r="G72" s="29"/>
      <c r="H72" s="2531"/>
      <c r="L72" s="140"/>
    </row>
    <row r="73" spans="1:12">
      <c r="A73" s="291"/>
      <c r="B73" s="24" t="s">
        <v>174</v>
      </c>
      <c r="D73" s="286"/>
      <c r="F73" s="321"/>
      <c r="G73" s="29"/>
      <c r="H73" s="2531"/>
      <c r="L73" s="140"/>
    </row>
    <row r="74" spans="1:12">
      <c r="A74" s="291"/>
      <c r="B74" s="24" t="s">
        <v>1491</v>
      </c>
      <c r="D74" s="71" t="s">
        <v>737</v>
      </c>
      <c r="E74" s="71"/>
      <c r="F74" s="136" t="e">
        <f>F48+F53+F68+F70</f>
        <v>#DIV/0!</v>
      </c>
      <c r="G74" s="29"/>
      <c r="H74" s="2547" t="e">
        <f>H48+H53+H68+H70</f>
        <v>#DIV/0!</v>
      </c>
      <c r="L74" s="140"/>
    </row>
    <row r="75" spans="1:12">
      <c r="A75" s="291"/>
      <c r="B75" s="24" t="s">
        <v>1489</v>
      </c>
      <c r="D75" s="71" t="s">
        <v>2609</v>
      </c>
      <c r="E75" s="71"/>
      <c r="F75" s="136">
        <f>'Calc Data'!H7*Assumptions!G150</f>
        <v>0</v>
      </c>
      <c r="G75" s="29"/>
      <c r="H75" s="2547">
        <f>'Calc Data'!H7*Assumptions!G150</f>
        <v>0</v>
      </c>
      <c r="L75" s="140"/>
    </row>
    <row r="76" spans="1:12" ht="15.75">
      <c r="A76" s="291"/>
      <c r="B76" s="24" t="s">
        <v>1490</v>
      </c>
      <c r="D76" s="318" t="s">
        <v>757</v>
      </c>
      <c r="E76" s="73"/>
      <c r="F76" s="323">
        <v>0</v>
      </c>
      <c r="G76" s="29"/>
      <c r="H76" s="2548">
        <v>0</v>
      </c>
      <c r="L76" s="140"/>
    </row>
    <row r="77" spans="1:12">
      <c r="A77" s="291"/>
      <c r="B77" s="24" t="s">
        <v>740</v>
      </c>
      <c r="D77" s="71" t="s">
        <v>738</v>
      </c>
      <c r="E77" s="71"/>
      <c r="F77" s="136">
        <f>'Existing Debt-OldLaw'!Q74</f>
        <v>0</v>
      </c>
      <c r="G77" s="29"/>
      <c r="H77" s="2547">
        <f>F77</f>
        <v>0</v>
      </c>
      <c r="L77" s="140"/>
    </row>
    <row r="78" spans="1:12" ht="13.5" thickBot="1">
      <c r="A78" s="291"/>
      <c r="B78" s="24" t="s">
        <v>1095</v>
      </c>
      <c r="D78" s="71" t="s">
        <v>739</v>
      </c>
      <c r="E78" s="71"/>
      <c r="F78" s="316">
        <f>'IFA-OldLaw'!AB86+'IFA-OldLaw'!AC75</f>
        <v>0</v>
      </c>
      <c r="G78" s="29"/>
      <c r="H78" s="2549">
        <f>F78</f>
        <v>0</v>
      </c>
      <c r="L78" s="140"/>
    </row>
    <row r="79" spans="1:12">
      <c r="A79" s="291"/>
      <c r="F79" s="321"/>
      <c r="G79" s="29"/>
      <c r="H79" s="2529"/>
      <c r="L79" s="767"/>
    </row>
    <row r="80" spans="1:12" ht="12.75" customHeight="1" thickBot="1">
      <c r="A80" s="291"/>
      <c r="D80" s="71" t="s">
        <v>1019</v>
      </c>
      <c r="F80" s="317" t="e">
        <f>SUM(F74:F78)</f>
        <v>#DIV/0!</v>
      </c>
      <c r="G80" s="29"/>
      <c r="H80" s="2560" t="e">
        <f>SUM(H74:H78)</f>
        <v>#DIV/0!</v>
      </c>
      <c r="L80" s="767"/>
    </row>
    <row r="81" spans="1:15" ht="14.25" hidden="1" thickTop="1" thickBot="1">
      <c r="A81" s="291"/>
      <c r="D81" s="20" t="s">
        <v>472</v>
      </c>
      <c r="G81" s="29"/>
      <c r="H81" s="2550" t="e">
        <f>SUM(H74:H78)</f>
        <v>#DIV/0!</v>
      </c>
      <c r="L81" s="767"/>
    </row>
    <row r="82" spans="1:15" ht="14.25" thickTop="1" thickBot="1">
      <c r="A82" s="292"/>
      <c r="B82" s="293"/>
      <c r="C82" s="293"/>
      <c r="D82" s="294"/>
      <c r="E82" s="293"/>
      <c r="F82" s="330"/>
      <c r="G82" s="16"/>
      <c r="H82" s="2544"/>
    </row>
    <row r="83" spans="1:15" ht="13.5" thickTop="1">
      <c r="B83" s="20"/>
      <c r="G83" s="29"/>
      <c r="H83" s="2538"/>
      <c r="M83" s="91"/>
      <c r="N83" s="221"/>
      <c r="O83" s="5"/>
    </row>
    <row r="84" spans="1:15">
      <c r="H84" s="2544"/>
      <c r="M84" s="5"/>
    </row>
    <row r="85" spans="1:15" ht="13.5" thickBot="1">
      <c r="H85" s="2545"/>
    </row>
    <row r="86" spans="1:15" ht="13.5" thickTop="1">
      <c r="A86" s="297" t="s">
        <v>2457</v>
      </c>
      <c r="B86" s="66"/>
      <c r="C86" s="66"/>
      <c r="D86" s="66"/>
      <c r="E86" s="66"/>
      <c r="F86" s="130"/>
      <c r="H86" s="2545"/>
    </row>
    <row r="87" spans="1:15">
      <c r="A87" s="133"/>
      <c r="F87" s="131"/>
      <c r="H87" s="2545"/>
    </row>
    <row r="88" spans="1:15">
      <c r="A88" s="132" t="s">
        <v>2162</v>
      </c>
      <c r="F88" s="277" t="e">
        <f>IF(F74&lt;0,F75,F74+F75)</f>
        <v>#DIV/0!</v>
      </c>
      <c r="H88" s="2541" t="e">
        <f>IF(H74&lt;0,H75,H74+H75)</f>
        <v>#DIV/0!</v>
      </c>
    </row>
    <row r="89" spans="1:15">
      <c r="A89" s="156" t="s">
        <v>1696</v>
      </c>
      <c r="F89" s="278">
        <f>'Calc Data'!I30-ASATR!L24</f>
        <v>0</v>
      </c>
      <c r="H89" s="2561" t="e">
        <f>'Calc Data'!AY32-ASATR!L39</f>
        <v>#DIV/0!</v>
      </c>
      <c r="M89" s="91"/>
    </row>
    <row r="90" spans="1:15">
      <c r="A90" s="156" t="s">
        <v>941</v>
      </c>
      <c r="F90" s="278">
        <f>'Calc Data'!I34</f>
        <v>0</v>
      </c>
      <c r="H90" s="2561">
        <f>'Calc Data'!I34</f>
        <v>0</v>
      </c>
      <c r="M90" s="91"/>
    </row>
    <row r="91" spans="1:15">
      <c r="A91" s="156" t="s">
        <v>942</v>
      </c>
      <c r="F91" t="e">
        <f>'Calc Data'!I37-IF('Option Costs'!AY57="N",MAX('Option Costs'!BC54,'Option Costs'!BE54),MIN('Option Costs'!BC54,'Option Costs'!BE54))</f>
        <v>#DIV/0!</v>
      </c>
      <c r="H91" s="2562" t="e">
        <f>'Calc Data'!AY31-IF('Option Costs'!BC57="N",MAX('Option Costs'!BC85,'Option Costs'!BE85),MIN('Option Costs'!BC85,'Option Costs'!BE85))</f>
        <v>#DIV/0!</v>
      </c>
    </row>
    <row r="92" spans="1:15">
      <c r="A92" s="156" t="s">
        <v>3157</v>
      </c>
      <c r="F92" s="322" t="e">
        <f>SUM(F88:F91)</f>
        <v>#DIV/0!</v>
      </c>
      <c r="H92" s="2563" t="e">
        <f>SUM(H88:H91)</f>
        <v>#DIV/0!</v>
      </c>
    </row>
    <row r="93" spans="1:15">
      <c r="A93" s="132" t="s">
        <v>1695</v>
      </c>
      <c r="F93" s="287" t="e">
        <f>IF(F74&gt;0,0,F74)</f>
        <v>#DIV/0!</v>
      </c>
      <c r="H93" s="2562" t="e">
        <f>IF(H74&gt;0,0,H74)</f>
        <v>#DIV/0!</v>
      </c>
    </row>
    <row r="94" spans="1:15">
      <c r="A94" s="222" t="s">
        <v>3158</v>
      </c>
      <c r="F94" s="322" t="e">
        <f>F92+F93</f>
        <v>#DIV/0!</v>
      </c>
      <c r="H94" s="2563" t="e">
        <f>H92+H93</f>
        <v>#DIV/0!</v>
      </c>
    </row>
    <row r="95" spans="1:15" ht="13.5" thickBot="1">
      <c r="A95" s="134"/>
      <c r="B95" s="38"/>
      <c r="C95" s="38"/>
      <c r="D95" s="38"/>
      <c r="E95" s="38"/>
      <c r="F95" s="135"/>
      <c r="H95" s="2553"/>
    </row>
    <row r="96" spans="1:15" ht="13.5" hidden="1" thickTop="1">
      <c r="D96" s="35" t="s">
        <v>1231</v>
      </c>
      <c r="E96" s="35"/>
      <c r="F96" s="35"/>
      <c r="H96" s="322" t="e">
        <f>H93+H94</f>
        <v>#DIV/0!</v>
      </c>
      <c r="I96" s="773"/>
      <c r="J96" s="773"/>
      <c r="K96" s="774"/>
    </row>
    <row r="97" spans="1:11" ht="13.5" hidden="1" thickTop="1">
      <c r="D97" s="35" t="s">
        <v>470</v>
      </c>
      <c r="E97" s="35"/>
      <c r="F97" s="35"/>
      <c r="I97" s="367"/>
      <c r="J97" s="367"/>
      <c r="K97" s="606"/>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idden="1">
      <c r="A106" s="20" t="s">
        <v>1667</v>
      </c>
      <c r="G106" s="16"/>
    </row>
    <row r="107" spans="1:11" hidden="1">
      <c r="G107" s="16"/>
    </row>
    <row r="108" spans="1:11" hidden="1">
      <c r="A108" s="20" t="s">
        <v>1492</v>
      </c>
      <c r="G108" s="16"/>
      <c r="H108" s="16"/>
      <c r="I108" s="16"/>
      <c r="J108" s="16"/>
      <c r="K108" s="16"/>
    </row>
    <row r="109" spans="1:11" hidden="1">
      <c r="A109" s="20" t="s">
        <v>1493</v>
      </c>
      <c r="H109" s="16"/>
      <c r="I109" s="16"/>
      <c r="J109" s="16"/>
      <c r="K109" s="16"/>
    </row>
    <row r="110" spans="1:11" hidden="1">
      <c r="A110" s="20" t="s">
        <v>518</v>
      </c>
      <c r="H110" s="16"/>
      <c r="I110" s="16"/>
      <c r="J110" s="16"/>
      <c r="K110" s="16"/>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0" hidden="1"/>
    <row r="130" spans="5:10" hidden="1"/>
    <row r="131" spans="5:10" ht="13.5" thickTop="1">
      <c r="E131" t="s">
        <v>2767</v>
      </c>
      <c r="F131" s="5">
        <f>SUM(F21:F27)</f>
        <v>0</v>
      </c>
      <c r="H131" s="5">
        <f>SUM(H21:H27)</f>
        <v>0</v>
      </c>
    </row>
    <row r="132" spans="5:10">
      <c r="E132" t="s">
        <v>2768</v>
      </c>
      <c r="F132" s="5">
        <f>F28+F29</f>
        <v>0</v>
      </c>
      <c r="H132" s="5">
        <f>H28+H29</f>
        <v>0</v>
      </c>
    </row>
    <row r="133" spans="5:10">
      <c r="E133" t="s">
        <v>2769</v>
      </c>
      <c r="F133" s="5">
        <f>F32+F33</f>
        <v>0</v>
      </c>
      <c r="H133" s="5">
        <f>H32+H33</f>
        <v>0</v>
      </c>
      <c r="I133" s="5"/>
      <c r="J133" s="5"/>
    </row>
    <row r="134" spans="5:10">
      <c r="E134" t="s">
        <v>2770</v>
      </c>
      <c r="F134" s="5">
        <f>F34+F35</f>
        <v>0</v>
      </c>
      <c r="H134" s="5">
        <f>H34+H35</f>
        <v>0</v>
      </c>
      <c r="I134" s="5"/>
      <c r="J134" s="5"/>
    </row>
    <row r="135" spans="5:10">
      <c r="E135" t="s">
        <v>2849</v>
      </c>
      <c r="F135" s="91" t="e">
        <f>Assumptions!G146*'Calc Data'!I25*'Calc Data'!I35*100</f>
        <v>#DIV/0!</v>
      </c>
      <c r="H135" s="91" t="e">
        <f>Assumptions!G146*'Calc Data'!I25*'Calc Data'!I35*100</f>
        <v>#DIV/0!</v>
      </c>
      <c r="I135" s="5"/>
      <c r="J135" s="5"/>
    </row>
    <row r="136" spans="5:10">
      <c r="E136" t="s">
        <v>2851</v>
      </c>
      <c r="F136" s="91" t="e">
        <f>Assumptions!G147*'Calc Data'!I25*'Calc Data'!I38*100</f>
        <v>#DIV/0!</v>
      </c>
      <c r="H136" s="91" t="e">
        <f>Assumptions!G147*'Calc Data'!I25*'Calc Data'!AY29*100</f>
        <v>#DIV/0!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703125" bestFit="1" customWidth="1"/>
    <col min="3" max="3" width="13.5703125" customWidth="1"/>
    <col min="4" max="4" width="44.5703125" customWidth="1"/>
    <col min="5" max="6" width="19.140625" customWidth="1"/>
    <col min="7" max="7" width="3.5703125" customWidth="1"/>
    <col min="8" max="8" width="15.42578125" customWidth="1"/>
    <col min="9" max="11" width="28.42578125" customWidth="1"/>
    <col min="12" max="12" width="13.5703125" style="119" customWidth="1"/>
    <col min="13" max="13" width="13.5703125" customWidth="1"/>
    <col min="14" max="14" width="13.5703125" style="37" customWidth="1"/>
    <col min="15" max="15" width="13.5703125" customWidth="1"/>
    <col min="37" max="37" width="15.5703125" customWidth="1"/>
    <col min="38" max="38" width="16" customWidth="1"/>
  </cols>
  <sheetData>
    <row r="1" spans="1:11" hidden="1">
      <c r="A1" s="20" t="s">
        <v>66</v>
      </c>
      <c r="C1" s="264">
        <f>'Data Entry - SOF'!B1</f>
        <v>0</v>
      </c>
      <c r="E1" s="362"/>
      <c r="F1" s="304" t="e">
        <f>#REF!</f>
        <v>#REF!</v>
      </c>
      <c r="G1" s="59"/>
      <c r="I1" s="59"/>
      <c r="J1" s="59"/>
      <c r="K1" s="59"/>
    </row>
    <row r="2" spans="1:11" hidden="1">
      <c r="A2" s="20" t="s">
        <v>67</v>
      </c>
      <c r="C2" s="12">
        <f>'Data Entry - SOF'!B2</f>
        <v>0</v>
      </c>
      <c r="F2" s="59" t="e">
        <f>#REF!</f>
        <v>#REF!</v>
      </c>
      <c r="G2" s="59"/>
      <c r="I2" s="59"/>
      <c r="J2" s="59"/>
      <c r="K2" s="59"/>
    </row>
    <row r="3" spans="1:11" hidden="1">
      <c r="A3" s="20" t="s">
        <v>143</v>
      </c>
      <c r="C3" s="62">
        <f ca="1">'Data Entry - SOF'!B3</f>
        <v>43726.623322453706</v>
      </c>
      <c r="F3" s="58" t="e">
        <f>#REF!</f>
        <v>#REF!</v>
      </c>
    </row>
    <row r="4" spans="1:11" hidden="1">
      <c r="D4" s="295" t="s">
        <v>3183</v>
      </c>
    </row>
    <row r="5" spans="1:11" hidden="1">
      <c r="D5" s="296" t="s">
        <v>7048</v>
      </c>
    </row>
    <row r="6" spans="1:11" hidden="1"/>
    <row r="7" spans="1:11" hidden="1">
      <c r="D7" s="20" t="s">
        <v>1393</v>
      </c>
    </row>
    <row r="8" spans="1:11" hidden="1">
      <c r="B8" s="4"/>
      <c r="D8" s="20" t="s">
        <v>832</v>
      </c>
      <c r="F8" s="19">
        <f>'Calc Data'!J7</f>
        <v>0</v>
      </c>
      <c r="G8" s="18"/>
      <c r="I8" s="18"/>
      <c r="J8" s="18"/>
      <c r="K8" s="18"/>
    </row>
    <row r="9" spans="1:11" hidden="1">
      <c r="D9" s="20" t="s">
        <v>1394</v>
      </c>
      <c r="F9" s="19">
        <f>'Calc Data'!J8</f>
        <v>0</v>
      </c>
      <c r="G9" s="18"/>
      <c r="I9" s="18"/>
      <c r="J9" s="18"/>
      <c r="K9" s="18"/>
    </row>
    <row r="10" spans="1:11" hidden="1">
      <c r="D10" s="20" t="s">
        <v>426</v>
      </c>
      <c r="F10" s="19">
        <f>'Data Entry - SOF'!S35</f>
        <v>0</v>
      </c>
      <c r="G10" s="18"/>
      <c r="I10" s="18"/>
      <c r="J10" s="18"/>
      <c r="K10" s="18"/>
    </row>
    <row r="11" spans="1:11" hidden="1">
      <c r="B11" s="20"/>
      <c r="D11" s="20" t="s">
        <v>427</v>
      </c>
      <c r="F11" s="19">
        <f>'Calc Data'!J10</f>
        <v>0</v>
      </c>
      <c r="G11" s="18"/>
      <c r="I11" s="18"/>
      <c r="J11" s="18"/>
      <c r="K11" s="18"/>
    </row>
    <row r="12" spans="1:11" hidden="1">
      <c r="D12" s="20" t="s">
        <v>428</v>
      </c>
      <c r="F12" s="16">
        <f>'Data Entry - SOF'!S73</f>
        <v>0</v>
      </c>
      <c r="G12" s="16"/>
      <c r="I12" s="16"/>
      <c r="J12" s="16"/>
      <c r="K12" s="16"/>
    </row>
    <row r="13" spans="1:11" hidden="1">
      <c r="D13" s="20" t="s">
        <v>429</v>
      </c>
      <c r="F13" s="16" t="e">
        <f>'Data Entry - SOF'!#REF!</f>
        <v>#REF!</v>
      </c>
      <c r="G13" s="16"/>
      <c r="I13" s="16"/>
      <c r="J13" s="16"/>
      <c r="K13" s="16"/>
    </row>
    <row r="14" spans="1:11" hidden="1">
      <c r="D14" s="20" t="s">
        <v>1811</v>
      </c>
      <c r="F14" s="19">
        <f>'Data Entry - SOF'!S159</f>
        <v>0</v>
      </c>
      <c r="G14" s="16"/>
      <c r="I14" s="16"/>
      <c r="J14" s="16"/>
      <c r="K14" s="16"/>
    </row>
    <row r="15" spans="1:11" hidden="1">
      <c r="D15" s="20" t="s">
        <v>1155</v>
      </c>
      <c r="F15" s="19">
        <f>'Calc Data'!J59</f>
        <v>0</v>
      </c>
      <c r="G15" s="17"/>
      <c r="I15" s="17"/>
      <c r="J15" s="17"/>
      <c r="K15" s="17"/>
    </row>
    <row r="16" spans="1:11" hidden="1">
      <c r="D16" s="20" t="s">
        <v>1956</v>
      </c>
      <c r="F16" s="16">
        <f>'Data Entry - SOF'!S93</f>
        <v>0</v>
      </c>
      <c r="G16" s="16"/>
      <c r="I16" s="16"/>
      <c r="J16" s="16"/>
      <c r="K16" s="16"/>
    </row>
    <row r="17" spans="2:37" ht="13.5" hidden="1" thickBot="1">
      <c r="D17" s="27"/>
      <c r="E17" s="10"/>
      <c r="F17" s="10"/>
      <c r="G17" s="16"/>
      <c r="I17" s="16"/>
      <c r="J17" s="16"/>
      <c r="K17" s="16"/>
    </row>
    <row r="18" spans="2:37">
      <c r="D18" s="20"/>
      <c r="G18" s="16"/>
      <c r="H18" s="2558" t="s">
        <v>3853</v>
      </c>
      <c r="I18" s="2976"/>
      <c r="J18" s="2968" t="s">
        <v>6968</v>
      </c>
      <c r="K18" s="2501" t="s">
        <v>6967</v>
      </c>
    </row>
    <row r="19" spans="2:37" ht="15.75">
      <c r="B19" s="24" t="s">
        <v>430</v>
      </c>
      <c r="D19" s="20"/>
      <c r="F19" s="324"/>
      <c r="G19" s="20"/>
      <c r="H19" s="2564" t="s">
        <v>3840</v>
      </c>
      <c r="I19" s="2977"/>
      <c r="J19" s="2969" t="s">
        <v>8554</v>
      </c>
      <c r="K19" s="2505" t="s">
        <v>8553</v>
      </c>
    </row>
    <row r="20" spans="2:37" ht="15.75">
      <c r="B20" s="24">
        <v>11</v>
      </c>
      <c r="D20" s="100" t="s">
        <v>3140</v>
      </c>
      <c r="F20" s="311">
        <f>ROUND(ROUND('Calc Data'!J23,0)*IF('Calc Data'!J11&gt;'Calc Data'!J10,'Calc Data'!J11,'Calc Data'!J10),0)</f>
        <v>0</v>
      </c>
      <c r="G20" s="16"/>
      <c r="H20" s="2559">
        <f>ROUND(ROUND('Calc Data'!BD23,0)*IF('Calc Data'!J11&gt;'Calc Data'!J10,'Calc Data'!J11,'Calc Data'!J10),0)</f>
        <v>0</v>
      </c>
      <c r="I20" s="2554"/>
      <c r="J20" s="2537">
        <f>ROUND(ROUND('Calc Data'!BD78,0)*IF('Calc Data'!J11&gt;'Calc Data'!J10,'Calc Data'!J11,'Calc Data'!J10),0)</f>
        <v>0</v>
      </c>
      <c r="K20" s="2506"/>
      <c r="AK20" s="16" t="e">
        <f>ROUND(ROUND('Calc Data'!AC23,0)*IF('Calc Data'!#REF!&gt;'Calc Data'!#REF!,'Calc Data'!#REF!,'Calc Data'!#REF!),0)</f>
        <v>#REF!</v>
      </c>
    </row>
    <row r="21" spans="2:37">
      <c r="B21" s="24">
        <v>23</v>
      </c>
      <c r="D21" s="20" t="s">
        <v>89</v>
      </c>
      <c r="F21" s="16">
        <f>ROUND('Calc Data'!J9*ROUND('Calc Data'!J23,0),0)</f>
        <v>0</v>
      </c>
      <c r="G21" s="16"/>
      <c r="H21" s="2538">
        <f>ROUND('Calc Data'!J9*ROUND('Calc Data'!BD23,0),0)</f>
        <v>0</v>
      </c>
      <c r="I21" s="2555"/>
      <c r="J21" s="2941">
        <f>ROUND('Calc Data'!J9*ROUND('Calc Data'!BD78,0),0)</f>
        <v>0</v>
      </c>
      <c r="K21" s="2503"/>
      <c r="AK21" s="16" t="e">
        <f>ROUND('Calc Data'!#REF!*ROUND('Calc Data'!AC23,0),0)</f>
        <v>#REF!</v>
      </c>
    </row>
    <row r="22" spans="2:37">
      <c r="B22" s="24"/>
      <c r="D22" s="20" t="s">
        <v>90</v>
      </c>
      <c r="F22" s="35"/>
      <c r="H22" s="2539"/>
      <c r="I22" s="2555"/>
      <c r="J22" s="2942"/>
      <c r="K22" s="2503"/>
    </row>
    <row r="23" spans="2:37">
      <c r="B23" s="24">
        <v>23</v>
      </c>
      <c r="D23" s="20" t="s">
        <v>91</v>
      </c>
      <c r="F23" s="26">
        <f>ROUND('Data Entry - SOF'!S34*Weights!O21*ROUND('Calc Data'!J23,0),0)</f>
        <v>0</v>
      </c>
      <c r="G23" s="26"/>
      <c r="H23" s="2540">
        <f>ROUND('Data Entry - SOF'!S34*Weights!O21*ROUND('Calc Data'!BD23,0),0)</f>
        <v>0</v>
      </c>
      <c r="I23" s="2555"/>
      <c r="J23" s="2943">
        <f>ROUND('Data Entry - SOF'!S34*Weights!O21*ROUND('Calc Data'!BD78,0),0)</f>
        <v>0</v>
      </c>
      <c r="K23" s="2503"/>
      <c r="AK23" s="26" t="e">
        <f>ROUND('Data Entry - SOF'!#REF!*1.1*ROUND('Calc Data'!AC23,0),0)</f>
        <v>#REF!</v>
      </c>
    </row>
    <row r="24" spans="2:37">
      <c r="B24" s="24">
        <v>23</v>
      </c>
      <c r="D24" s="20" t="s">
        <v>92</v>
      </c>
      <c r="F24" s="16">
        <f>ROUND((+'Data Entry - SOF'!S32*Weights!O19)*ROUND('Calc Data'!J23,0),0)</f>
        <v>0</v>
      </c>
      <c r="G24" s="16"/>
      <c r="H24" s="2538">
        <f>ROUND((+'Data Entry - SOF'!S32*Weights!O19)*ROUND('Calc Data'!BD23,0),0)</f>
        <v>0</v>
      </c>
      <c r="I24" s="2555"/>
      <c r="J24" s="2941">
        <f>ROUND((+'Data Entry - SOF'!S32*Weights!O19)*ROUND('Calc Data'!BD78,0),0)</f>
        <v>0</v>
      </c>
      <c r="K24" s="2503"/>
      <c r="AK24" s="16" t="e">
        <f>ROUND((+'Data Entry - SOF'!#REF!*4)*ROUND('Calc Data'!AC23,0),0)</f>
        <v>#REF!</v>
      </c>
    </row>
    <row r="25" spans="2:37">
      <c r="B25" s="24">
        <v>23</v>
      </c>
      <c r="D25" s="22" t="s">
        <v>812</v>
      </c>
      <c r="F25" s="16">
        <f>ROUND((+'Data Entry - SOF'!S30*Weights!O17)*ROUND('Calc Data'!J23,0),0)</f>
        <v>0</v>
      </c>
      <c r="G25" s="16"/>
      <c r="H25" s="2538">
        <f>ROUND((+'Data Entry - SOF'!S30*Weights!O17)*ROUND('Calc Data'!BD23,0),0)</f>
        <v>0</v>
      </c>
      <c r="I25" s="2555"/>
      <c r="J25" s="2941">
        <f>ROUND((+'Data Entry - SOF'!S30*Weights!O17)*ROUND('Calc Data'!BD78,0),0)</f>
        <v>0</v>
      </c>
      <c r="K25" s="2503"/>
      <c r="AK25" s="16" t="e">
        <f>ROUND((+'Data Entry - SOF'!#REF!*2.8)*ROUND('Calc Data'!AC23,0),0)</f>
        <v>#REF!</v>
      </c>
    </row>
    <row r="26" spans="2:37">
      <c r="B26" s="24">
        <v>23</v>
      </c>
      <c r="D26" s="22" t="s">
        <v>813</v>
      </c>
      <c r="F26" s="16">
        <f>ROUND(('Data Entry - SOF'!S31*Weights!O18)*ROUND('Calc Data'!J23,0),0)</f>
        <v>0</v>
      </c>
      <c r="G26" s="16"/>
      <c r="H26" s="2538">
        <f>ROUND(('Data Entry - SOF'!S31*Weights!O18)*ROUND('Calc Data'!BD23,0),0)</f>
        <v>0</v>
      </c>
      <c r="I26" s="2555"/>
      <c r="J26" s="2941">
        <f>ROUND(('Data Entry - SOF'!S31*Weights!O18)*ROUND('Calc Data'!BD78,0),0)</f>
        <v>0</v>
      </c>
      <c r="K26" s="2503"/>
      <c r="AK26" s="16" t="e">
        <f>ROUND(('Data Entry - SOF'!#REF!*1.7)*ROUND('Calc Data'!AC23,0),0)</f>
        <v>#REF!</v>
      </c>
    </row>
    <row r="27" spans="2:37">
      <c r="B27" s="24"/>
      <c r="D27" s="20" t="s">
        <v>1145</v>
      </c>
      <c r="F27" s="16">
        <f>IF('Data Entry - SOF'!S114&lt;0,'Data Entry - SOF'!S114,'Data Entry - SOF'!S114*-1)</f>
        <v>0</v>
      </c>
      <c r="G27" s="16"/>
      <c r="H27" s="2538">
        <f>IF('Data Entry - SOF'!S114&lt;0,'Data Entry - SOF'!S114,'Data Entry - SOF'!S114*-1)</f>
        <v>0</v>
      </c>
      <c r="I27" s="2555"/>
      <c r="J27" s="2944">
        <f>H27</f>
        <v>0</v>
      </c>
      <c r="K27" s="2503"/>
      <c r="AK27" s="16">
        <v>0</v>
      </c>
    </row>
    <row r="28" spans="2:37">
      <c r="B28" s="24">
        <v>22</v>
      </c>
      <c r="C28" s="14"/>
      <c r="D28" s="20" t="s">
        <v>102</v>
      </c>
      <c r="F28" s="16">
        <f>ROUND(ROUND('Calc Data'!J23,0)*'Data Entry - SOF'!S35*Weights!O23,0)</f>
        <v>0</v>
      </c>
      <c r="G28" s="16"/>
      <c r="H28" s="2538">
        <f>ROUND(ROUND('Calc Data'!BD23,0)*'Data Entry - SOF'!S35*Weights!O23,0)</f>
        <v>0</v>
      </c>
      <c r="I28" s="2555"/>
      <c r="J28" s="2941">
        <f>ROUND(ROUND('Calc Data'!BD78,0)*'Data Entry - SOF'!S35*Weights!O23,0)</f>
        <v>0</v>
      </c>
      <c r="K28" s="2503"/>
      <c r="AK28" s="16" t="e">
        <f>ROUND(ROUND('Calc Data'!AC23,0)*'Data Entry - SOF'!#REF!*1.35,0)</f>
        <v>#REF!</v>
      </c>
    </row>
    <row r="29" spans="2:37">
      <c r="B29" s="24"/>
      <c r="C29" s="14"/>
      <c r="D29" s="35" t="s">
        <v>644</v>
      </c>
      <c r="F29" s="16">
        <f>Weights!O24*'Data Entry - SOF'!S37</f>
        <v>0</v>
      </c>
      <c r="G29" s="16"/>
      <c r="H29" s="2538">
        <f>Weights!O24*'Data Entry - SOF'!S37</f>
        <v>0</v>
      </c>
      <c r="I29" s="2555"/>
      <c r="J29" s="2944">
        <f>H29</f>
        <v>0</v>
      </c>
      <c r="K29" s="2503"/>
      <c r="AK29" s="16"/>
    </row>
    <row r="30" spans="2:37" hidden="1">
      <c r="B30" s="24"/>
      <c r="C30" s="14"/>
      <c r="D30" s="35" t="s">
        <v>645</v>
      </c>
      <c r="F30" s="16" t="e">
        <f>400*'Data Entry - SOF'!S39</f>
        <v>#DIV/0!</v>
      </c>
      <c r="G30" s="16"/>
      <c r="H30" s="2538" t="e">
        <f>400*'Data Entry - SOF'!S39</f>
        <v>#DIV/0!</v>
      </c>
      <c r="I30" s="2555"/>
      <c r="J30" s="2945"/>
      <c r="K30" s="2503"/>
      <c r="AK30" s="16"/>
    </row>
    <row r="31" spans="2:37" hidden="1">
      <c r="B31" s="24"/>
      <c r="C31" s="14"/>
      <c r="D31" s="35" t="s">
        <v>646</v>
      </c>
      <c r="F31" s="16" t="e">
        <f>80*'Data Entry - SOF'!S40</f>
        <v>#DIV/0!</v>
      </c>
      <c r="G31" s="16"/>
      <c r="H31" s="2538" t="e">
        <f>80*'Data Entry - SOF'!S40</f>
        <v>#DIV/0!</v>
      </c>
      <c r="I31" s="2555"/>
      <c r="J31" s="2945"/>
      <c r="K31" s="2503"/>
      <c r="AK31" s="16"/>
    </row>
    <row r="32" spans="2:37">
      <c r="B32" s="24">
        <v>21</v>
      </c>
      <c r="D32" s="20" t="s">
        <v>2634</v>
      </c>
      <c r="F32" s="16">
        <f>ROUND(ROUND('Calc Data'!J23,0)*'Data Entry - SOF'!S211*Weights!O28,0)</f>
        <v>0</v>
      </c>
      <c r="G32" s="16"/>
      <c r="H32" s="2538">
        <f>ROUND(ROUND('Calc Data'!BD23,0)*'Data Entry - SOF'!S211*Weights!O28,0)</f>
        <v>0</v>
      </c>
      <c r="I32" s="2555"/>
      <c r="J32" s="2941">
        <f>ROUND(ROUND('Calc Data'!BD78,0)*'Data Entry - SOF'!S211*Weights!O28,0)</f>
        <v>0</v>
      </c>
      <c r="K32" s="2503"/>
      <c r="AK32" s="16" t="e">
        <f>ROUND(ROUND('Calc Data'!AC23,0)*'Data Entry - SOF'!#REF!*0.12,0)</f>
        <v>#REF!</v>
      </c>
    </row>
    <row r="33" spans="2:37">
      <c r="B33" s="24"/>
      <c r="D33" s="20" t="s">
        <v>397</v>
      </c>
      <c r="F33" s="16">
        <f>IF('Data Entry - SOF'!S113&lt;0,'Data Entry - SOF'!S113,'Data Entry - SOF'!S113*-1)</f>
        <v>0</v>
      </c>
      <c r="G33" s="16"/>
      <c r="H33" s="2538">
        <f>IF('Data Entry - SOF'!S113&lt;0,'Data Entry - SOF'!S113,'Data Entry - SOF'!S113*-1)</f>
        <v>0</v>
      </c>
      <c r="I33" s="2555"/>
      <c r="J33" s="2944">
        <f>H33</f>
        <v>0</v>
      </c>
      <c r="K33" s="2503"/>
      <c r="AK33" s="16">
        <v>0</v>
      </c>
    </row>
    <row r="34" spans="2:37">
      <c r="B34" s="24" t="s">
        <v>2497</v>
      </c>
      <c r="D34" s="20" t="s">
        <v>398</v>
      </c>
      <c r="F34" s="16">
        <f>ROUND(ROUND('Calc Data'!J23,0)*'Data Entry - SOF'!S41*Weights!O30,0)</f>
        <v>0</v>
      </c>
      <c r="G34" s="16"/>
      <c r="H34" s="2538">
        <f>ROUND(ROUND('Calc Data'!BD23,0)*'Data Entry - SOF'!S41*Weights!O30,0)</f>
        <v>0</v>
      </c>
      <c r="I34" s="2555"/>
      <c r="J34" s="2941">
        <f>ROUND(ROUND('Calc Data'!BD78,0)*'Data Entry - SOF'!S41*Weights!O30,0)</f>
        <v>0</v>
      </c>
      <c r="K34" s="2503"/>
      <c r="AK34" s="16" t="e">
        <f>ROUND(ROUND('Calc Data'!AC23,0)*'Data Entry - SOF'!#REF!*0.2,0)</f>
        <v>#REF!</v>
      </c>
    </row>
    <row r="35" spans="2:37">
      <c r="B35" s="24" t="s">
        <v>2497</v>
      </c>
      <c r="D35" s="20" t="s">
        <v>399</v>
      </c>
      <c r="F35" s="16">
        <f>ROUND(ROUND('Calc Data'!J23,0)*'Data Entry - SOF'!S49*Weights!O31,0)</f>
        <v>0</v>
      </c>
      <c r="G35" s="16"/>
      <c r="H35" s="2538">
        <f>ROUND(ROUND('Calc Data'!BD23,0)*'Data Entry - SOF'!S49*Weights!O31,0)</f>
        <v>0</v>
      </c>
      <c r="I35" s="2555"/>
      <c r="J35" s="2941">
        <f>ROUND(ROUND('Calc Data'!BD78,0)*'Data Entry - SOF'!S49*Weights!O31,0)</f>
        <v>0</v>
      </c>
      <c r="K35" s="2503"/>
      <c r="AK35" s="16" t="e">
        <f>ROUND(ROUND('Calc Data'!AC23,0)*'Data Entry - SOF'!#REF!*2.41,0)</f>
        <v>#REF!</v>
      </c>
    </row>
    <row r="36" spans="2:37" hidden="1">
      <c r="B36" s="24" t="s">
        <v>2497</v>
      </c>
      <c r="D36" s="71" t="s">
        <v>451</v>
      </c>
      <c r="E36" s="310"/>
      <c r="F36" s="16">
        <f>650*'Data Entry - SOF'!S50</f>
        <v>0</v>
      </c>
      <c r="G36" s="16"/>
      <c r="H36" s="2538">
        <f>650*'Data Entry - SOF'!S50</f>
        <v>0</v>
      </c>
      <c r="I36" s="2555"/>
      <c r="J36" s="2945"/>
      <c r="K36" s="2503"/>
      <c r="AK36" s="16"/>
    </row>
    <row r="37" spans="2:37" hidden="1">
      <c r="B37" s="24"/>
      <c r="D37" s="20" t="s">
        <v>1229</v>
      </c>
      <c r="F37" s="65">
        <v>0</v>
      </c>
      <c r="G37" s="16"/>
      <c r="H37" s="2541">
        <v>0</v>
      </c>
      <c r="I37" s="2555"/>
      <c r="J37" s="2945"/>
      <c r="K37" s="2503"/>
      <c r="AK37" s="16">
        <v>0</v>
      </c>
    </row>
    <row r="38" spans="2:37">
      <c r="B38" s="24">
        <v>25</v>
      </c>
      <c r="D38" s="20" t="s">
        <v>1135</v>
      </c>
      <c r="F38" s="16">
        <f>ROUND(ROUND('Calc Data'!J23,0)*('Data Entry - SOF'!S51*Weights!O26),0)</f>
        <v>0</v>
      </c>
      <c r="G38" s="16"/>
      <c r="H38" s="2538">
        <f>ROUND(ROUND('Calc Data'!BD23,0)*('Data Entry - SOF'!S51*Weights!O26),0)</f>
        <v>0</v>
      </c>
      <c r="I38" s="2555"/>
      <c r="J38" s="2941">
        <f>ROUND(ROUND('Calc Data'!BD78,0)*('Data Entry - SOF'!S51*Weights!O26),0)</f>
        <v>0</v>
      </c>
      <c r="K38" s="2503"/>
      <c r="AK38" s="16" t="e">
        <f>ROUND(ROUND('Calc Data'!AC23,0)*('Data Entry - SOF'!#REF!*0.1),0)</f>
        <v>#REF!</v>
      </c>
    </row>
    <row r="39" spans="2:37">
      <c r="B39" s="24">
        <v>31</v>
      </c>
      <c r="D39" s="35" t="s">
        <v>2435</v>
      </c>
      <c r="F39" s="16">
        <f>Weights!O33*'Data Entry - SOF'!S21</f>
        <v>0</v>
      </c>
      <c r="G39" s="16"/>
      <c r="H39" s="2538">
        <f>Weights!O33*'Data Entry - SOF'!S21</f>
        <v>0</v>
      </c>
      <c r="I39" s="2555"/>
      <c r="J39" s="2944">
        <f>H39</f>
        <v>0</v>
      </c>
      <c r="K39" s="2503"/>
      <c r="AK39" s="16" t="e">
        <f>#REF!</f>
        <v>#REF!</v>
      </c>
    </row>
    <row r="40" spans="2:37">
      <c r="B40" s="24"/>
      <c r="D40" s="20" t="s">
        <v>872</v>
      </c>
      <c r="F40" s="16">
        <f>ROUND(ROUND('Calc Data'!J23,0)*'Data Entry - SOF'!S61*Weights!O37,0)</f>
        <v>0</v>
      </c>
      <c r="G40" s="16"/>
      <c r="H40" s="2538">
        <f>ROUND(ROUND('Calc Data'!BD23,0)*'Data Entry - SOF'!S61*Weights!O37,0)</f>
        <v>0</v>
      </c>
      <c r="I40" s="2555"/>
      <c r="J40" s="2941">
        <f>ROUND(ROUND('Calc Data'!BD78,0)*'Data Entry - SOF'!S61*Weights!O37,0)</f>
        <v>0</v>
      </c>
      <c r="K40" s="2503"/>
      <c r="AK40" s="16" t="e">
        <f>ROUND(ROUND('Calc Data'!AC23,0)*'Data Entry - SOF'!#REF!*0.1,0)</f>
        <v>#REF!</v>
      </c>
    </row>
    <row r="41" spans="2:37" ht="15.75">
      <c r="B41" s="24"/>
      <c r="D41" s="318" t="s">
        <v>3839</v>
      </c>
      <c r="F41" s="87">
        <f>'Data Entry - SOF'!S62*Weights!O35</f>
        <v>0</v>
      </c>
      <c r="G41" s="16"/>
      <c r="H41" s="2538">
        <f>F41</f>
        <v>0</v>
      </c>
      <c r="I41" s="2555"/>
      <c r="J41" s="2944">
        <f>H41</f>
        <v>0</v>
      </c>
      <c r="K41" s="2503"/>
      <c r="AK41" s="16" t="e">
        <f>'Data Entry - SOF'!#REF!*250</f>
        <v>#REF!</v>
      </c>
    </row>
    <row r="42" spans="2:37">
      <c r="B42" s="24">
        <v>99</v>
      </c>
      <c r="D42" s="20" t="s">
        <v>2087</v>
      </c>
      <c r="F42" s="25">
        <f>'Data Entry - SOF'!S104</f>
        <v>0</v>
      </c>
      <c r="G42" s="16"/>
      <c r="H42" s="2577">
        <f>F42</f>
        <v>0</v>
      </c>
      <c r="I42" s="2555"/>
      <c r="J42" s="2948">
        <f>H42</f>
        <v>0</v>
      </c>
      <c r="K42" s="2604"/>
      <c r="AK42" s="25" t="e">
        <f>'Data Entry - SOF'!#REF!</f>
        <v>#REF!</v>
      </c>
    </row>
    <row r="43" spans="2:37">
      <c r="D43" s="20" t="s">
        <v>530</v>
      </c>
      <c r="F43" s="16" t="e">
        <f>SUM(F20:F42)</f>
        <v>#DIV/0!</v>
      </c>
      <c r="G43" s="16"/>
      <c r="H43" s="2538" t="e">
        <f>SUM(H20:H42)</f>
        <v>#DIV/0!</v>
      </c>
      <c r="I43" s="2555"/>
      <c r="J43" s="2941">
        <f>SUM(J20:J42)</f>
        <v>0</v>
      </c>
      <c r="K43" s="2966">
        <f>J43</f>
        <v>0</v>
      </c>
      <c r="AK43" s="16" t="e">
        <f>SUM(AK20:AK42)</f>
        <v>#REF!</v>
      </c>
    </row>
    <row r="44" spans="2:37">
      <c r="D44" s="20" t="s">
        <v>786</v>
      </c>
      <c r="F44" s="28">
        <f>IF('Data Entry - SOF'!S154&gt;1,1*('Data Entry - SOF'!S73/100),'Data Entry - SOF'!S154*('Data Entry - SOF'!S73/100))</f>
        <v>0</v>
      </c>
      <c r="G44" s="29"/>
      <c r="H44" s="2578">
        <f>IF('Calc Data'!BD30&gt;1,1*('Data Entry - SOF'!S73/100),'Calc Data'!BD30*('Data Entry - SOF'!S73/100))</f>
        <v>0</v>
      </c>
      <c r="I44" s="2555"/>
      <c r="J44" s="2584">
        <f>IF('Calc Data'!BD85&gt;1,1*('Data Entry - SOF'!S73/100),'Calc Data'!BD85*('Data Entry - SOF'!S73/100))</f>
        <v>0</v>
      </c>
      <c r="K44" s="2979">
        <f>IF('Calc Data-15K'!AX30&gt;1,1*('Data Entry - SOF'!S74/100),'Calc Data-15K'!AX30*('Data Entry - SOF'!S74/100))</f>
        <v>0</v>
      </c>
      <c r="AK44" s="28" t="e">
        <f>#REF!</f>
        <v>#REF!</v>
      </c>
    </row>
    <row r="45" spans="2:37">
      <c r="D45" s="20" t="s">
        <v>785</v>
      </c>
      <c r="F45" s="29" t="e">
        <f>F43-F44</f>
        <v>#DIV/0!</v>
      </c>
      <c r="G45" s="29"/>
      <c r="H45" s="2544" t="e">
        <f>H43-H44</f>
        <v>#DIV/0!</v>
      </c>
      <c r="I45" s="2555"/>
      <c r="J45" s="2946">
        <f>J43-J44</f>
        <v>0</v>
      </c>
      <c r="K45" s="2966">
        <f>K43-K44</f>
        <v>0</v>
      </c>
      <c r="AK45" s="29" t="e">
        <f>AK43-AK44</f>
        <v>#REF!</v>
      </c>
    </row>
    <row r="46" spans="2:37">
      <c r="D46" s="20"/>
      <c r="G46" s="29"/>
      <c r="H46" s="2545"/>
      <c r="I46" s="2555"/>
      <c r="J46" s="2942"/>
      <c r="K46" s="2966"/>
      <c r="M46" s="46"/>
      <c r="AK46" s="29"/>
    </row>
    <row r="47" spans="2:37">
      <c r="D47" s="315" t="s">
        <v>736</v>
      </c>
      <c r="G47" s="29"/>
      <c r="H47" s="2545"/>
      <c r="I47" s="2555"/>
      <c r="J47" s="2942"/>
      <c r="K47" s="2966"/>
      <c r="M47" s="46"/>
      <c r="AK47" s="29"/>
    </row>
    <row r="48" spans="2:37">
      <c r="D48" s="20" t="s">
        <v>1523</v>
      </c>
      <c r="F48" s="65" t="e">
        <f>IF(F45&lt;F75+F39+F41+F30+F31,F75+F39+F41+F30+F31,F45)</f>
        <v>#DIV/0!</v>
      </c>
      <c r="G48" s="29"/>
      <c r="H48" s="2541" t="e">
        <f>IF(H45&lt;H75+H39+H41+H30+H31,H75+H39+H41+H30+H31,H45)</f>
        <v>#DIV/0!</v>
      </c>
      <c r="I48" s="2555"/>
      <c r="J48" s="2947">
        <f>IF(J45&lt;H75+J39+J41+J30+J31,H75+J39+J41+J30+J31,J45)</f>
        <v>0</v>
      </c>
      <c r="K48" s="2966">
        <f>IF(K45&lt;H75+J39+J41+J30+J31,H75+J39+J41+J30+K31,K45)</f>
        <v>0</v>
      </c>
    </row>
    <row r="49" spans="4:12" hidden="1">
      <c r="D49" s="20" t="s">
        <v>2273</v>
      </c>
      <c r="G49" s="29" t="e">
        <f>ROUND(IF((24.7*'Calc Data'!#REF!*IF('Calc Data'!#REF!&gt;=0.64,0.64,'Calc Data'!#REF!)*100)&lt;'Calc Data'!#REF!,0,(24.7*'Calc Data'!#REF!*IF('Calc Data'!#REF!&gt;=0.64,0.64,'Calc Data'!#REF!)*100)-'Calc Data'!#REF!),0)</f>
        <v>#REF!</v>
      </c>
      <c r="H49" s="2544"/>
      <c r="I49" s="2555"/>
      <c r="J49" s="2945"/>
      <c r="K49" s="2966"/>
    </row>
    <row r="50" spans="4:12">
      <c r="D50" s="20"/>
      <c r="G50" s="29"/>
      <c r="H50" s="2531"/>
      <c r="I50" s="2555"/>
      <c r="J50" s="2942"/>
      <c r="K50" s="2966"/>
    </row>
    <row r="51" spans="4:12">
      <c r="D51" s="20" t="s">
        <v>8737</v>
      </c>
      <c r="F51" s="29" t="e">
        <f>ROUND(IF((Assumptions!G155*'Calc Data'!J25*'Calc Data'!J35*100)&lt;'Calc Data'!J42,0,(Assumptions!G155*'Calc Data'!J25*'Calc Data'!J35*100)-'Calc Data'!J42),0)</f>
        <v>#DIV/0!</v>
      </c>
      <c r="G51" s="29"/>
      <c r="H51" s="2531" t="e">
        <f>ROUND(IF((Assumptions!G155*'Calc Data'!J25*'Calc Data'!J35*100)&lt;'Calc Data'!J42,0,(Assumptions!G155*'Calc Data'!J25*'Calc Data'!J35*100)-'Calc Data'!J42),0)</f>
        <v>#DIV/0!</v>
      </c>
      <c r="I51" s="2555"/>
      <c r="J51" s="2964" t="e">
        <f>ROUND(IF((Assumptions!G155*'Calc Data'!J25*'Calc Data'!J81*100)&lt;'Calc Data'!J88,0,(Assumptions!G155*'Calc Data'!J25*'Calc Data'!J81*100)-'Calc Data'!J88),0)</f>
        <v>#DIV/0!</v>
      </c>
      <c r="K51" s="2967" t="e">
        <f>ROUND(IF((Assumptions!G79*'Calc Data-15K'!J25*'Calc Data-15K'!G81*100)&lt;'Calc Data-15K'!G88,0,(Assumptions!G79*'Calc Data-15K'!J25*'Calc Data-15K'!G81*100)-'Calc Data-15K'!G88),0)</f>
        <v>#DIV/0!</v>
      </c>
    </row>
    <row r="52" spans="4:12">
      <c r="D52" s="20" t="s">
        <v>473</v>
      </c>
      <c r="F52" s="48" t="e">
        <f>ROUND(IF((Assumptions!G156*'Calc Data'!J25*'Calc Data'!J38*100)&lt;'Calc Data'!J43,0,(Assumptions!G156*'Calc Data'!J25*'Calc Data'!J38*100)-'Calc Data'!J43),0)</f>
        <v>#DIV/0!</v>
      </c>
      <c r="G52" s="29"/>
      <c r="H52" s="2546" t="e">
        <f>ROUND(IF((Assumptions!G156*'Calc Data'!J25*'Calc Data'!BD29*100)&lt;'Calc Data'!BD33,0,(Assumptions!G156*'Calc Data'!J25*'Calc Data'!BD29*100)-'Calc Data'!BD33),0)</f>
        <v>#DIV/0!</v>
      </c>
      <c r="I52" s="2605"/>
      <c r="J52" s="2965" t="e">
        <f>ROUND(IF((Assumptions!G156*'Calc Data'!J25*'Calc Data'!BD84*100)&lt;'Calc Data'!BD88,0,(Assumptions!G156*'Calc Data'!J25*'Calc Data'!BD84*100)-'Calc Data'!BD88),0)</f>
        <v>#DIV/0!</v>
      </c>
      <c r="K52" s="2979" t="e">
        <f>ROUND(IF((Assumptions!G80*'Calc Data-15K'!J25*'Calc Data-15K'!BH84*100)&lt;'Calc Data-15K'!BH88,0,(Assumptions!G80*'Calc Data-15K'!J25*'Calc Data-15K'!BH84*100)-'Calc Data-15K'!BH88),0)</f>
        <v>#DIV/0!</v>
      </c>
    </row>
    <row r="53" spans="4:12">
      <c r="D53" s="20" t="s">
        <v>284</v>
      </c>
      <c r="F53" s="29" t="e">
        <f>SUM(F49:F52)</f>
        <v>#DIV/0!</v>
      </c>
      <c r="G53" s="29"/>
      <c r="H53" s="2531" t="e">
        <f>SUM(H49:H52)</f>
        <v>#DIV/0!</v>
      </c>
    </row>
    <row r="54" spans="4:12">
      <c r="D54" s="20"/>
      <c r="G54" s="29"/>
      <c r="H54" s="2531"/>
      <c r="L54" s="140"/>
    </row>
    <row r="55" spans="4:12">
      <c r="D55" s="20" t="s">
        <v>733</v>
      </c>
      <c r="G55" s="29"/>
      <c r="H55" s="2531"/>
      <c r="L55" s="140"/>
    </row>
    <row r="56" spans="4:12">
      <c r="D56" s="20" t="s">
        <v>758</v>
      </c>
      <c r="F56" s="29">
        <f>'Data Entry - SOF'!S121</f>
        <v>0</v>
      </c>
      <c r="G56" s="29"/>
      <c r="H56" s="2531">
        <f>F56</f>
        <v>0</v>
      </c>
      <c r="L56" s="140"/>
    </row>
    <row r="57" spans="4:12">
      <c r="D57" s="20" t="s">
        <v>3051</v>
      </c>
      <c r="F57" s="29">
        <f>'Data Entry - SOF'!S120</f>
        <v>0</v>
      </c>
      <c r="G57" s="29"/>
      <c r="H57" s="2531">
        <f>F57</f>
        <v>0</v>
      </c>
      <c r="L57" s="140"/>
    </row>
    <row r="58" spans="4:12">
      <c r="D58" s="20" t="s">
        <v>3052</v>
      </c>
      <c r="F58" s="29">
        <f>'Data Entry - SOF'!S122</f>
        <v>0</v>
      </c>
      <c r="G58" s="29"/>
      <c r="H58" s="2531">
        <f t="shared" ref="H58:H67" si="0">F58</f>
        <v>0</v>
      </c>
      <c r="L58" s="140"/>
    </row>
    <row r="59" spans="4:12">
      <c r="D59" s="20" t="s">
        <v>3053</v>
      </c>
      <c r="F59" s="29">
        <f>'Data Entry - SOF'!S123</f>
        <v>0</v>
      </c>
      <c r="G59" s="29"/>
      <c r="H59" s="2531">
        <f t="shared" si="0"/>
        <v>0</v>
      </c>
      <c r="L59" s="140"/>
    </row>
    <row r="60" spans="4:12">
      <c r="D60" s="20" t="s">
        <v>3054</v>
      </c>
      <c r="F60" s="29">
        <f>'Data Entry - SOF'!S124</f>
        <v>0</v>
      </c>
      <c r="G60" s="29"/>
      <c r="H60" s="2531">
        <f t="shared" si="0"/>
        <v>0</v>
      </c>
      <c r="L60" s="140"/>
    </row>
    <row r="61" spans="4:12">
      <c r="D61" s="20" t="s">
        <v>3055</v>
      </c>
      <c r="F61" s="29">
        <v>0</v>
      </c>
      <c r="G61" s="29"/>
      <c r="H61" s="2531">
        <f t="shared" si="0"/>
        <v>0</v>
      </c>
      <c r="L61" s="140"/>
    </row>
    <row r="62" spans="4:12">
      <c r="D62" s="20" t="s">
        <v>3056</v>
      </c>
      <c r="F62" s="29">
        <f>'Data Entry - SOF'!S125</f>
        <v>0</v>
      </c>
      <c r="G62" s="29"/>
      <c r="H62" s="2531">
        <f t="shared" si="0"/>
        <v>0</v>
      </c>
      <c r="L62" s="140"/>
    </row>
    <row r="63" spans="4:12">
      <c r="D63" s="20" t="s">
        <v>2444</v>
      </c>
      <c r="F63" s="29">
        <v>0</v>
      </c>
      <c r="G63" s="29"/>
      <c r="H63" s="2531">
        <f t="shared" si="0"/>
        <v>0</v>
      </c>
      <c r="L63" s="140"/>
    </row>
    <row r="64" spans="4:12">
      <c r="D64" s="20" t="s">
        <v>2436</v>
      </c>
      <c r="F64" s="29">
        <f>(500*'Data Entry - SOF'!S69)+(250*'Data Entry - SOF'!S70)</f>
        <v>0</v>
      </c>
      <c r="G64" s="29"/>
      <c r="H64" s="2531">
        <f t="shared" si="0"/>
        <v>0</v>
      </c>
      <c r="L64" s="140"/>
    </row>
    <row r="65" spans="1:12">
      <c r="D65" s="20" t="s">
        <v>734</v>
      </c>
      <c r="F65" s="285" t="e">
        <f>(('Data Entry - SOF'!S112/'Calc Data'!I7)*'Data Entry - SOF'!S110)*-1</f>
        <v>#DIV/0!</v>
      </c>
      <c r="G65" s="29"/>
      <c r="H65" s="2531" t="e">
        <f t="shared" si="0"/>
        <v>#DIV/0!</v>
      </c>
      <c r="L65" s="140"/>
    </row>
    <row r="66" spans="1:12">
      <c r="D66" s="20" t="s">
        <v>735</v>
      </c>
      <c r="F66" s="285" t="e">
        <f>(('Data Entry - SOF'!S112/'Calc Data'!I7)*'Data Entry - SOF'!S111)*-1</f>
        <v>#DIV/0!</v>
      </c>
      <c r="G66" s="29"/>
      <c r="H66" s="2531" t="e">
        <f t="shared" si="0"/>
        <v>#DIV/0!</v>
      </c>
      <c r="L66" s="140"/>
    </row>
    <row r="67" spans="1:12">
      <c r="D67" s="20" t="s">
        <v>2985</v>
      </c>
      <c r="F67" s="502">
        <f>'Data Entry - SOF'!S142</f>
        <v>0</v>
      </c>
      <c r="G67" s="29"/>
      <c r="H67" s="2546">
        <f t="shared" si="0"/>
        <v>0</v>
      </c>
      <c r="L67" s="140"/>
    </row>
    <row r="68" spans="1:12">
      <c r="D68" s="286" t="s">
        <v>172</v>
      </c>
      <c r="F68" s="29" t="e">
        <f>SUM(F56:F67)</f>
        <v>#DIV/0!</v>
      </c>
      <c r="G68" s="29"/>
      <c r="H68" s="2531" t="e">
        <f>SUM(H56:H67)</f>
        <v>#DIV/0!</v>
      </c>
      <c r="L68" s="140"/>
    </row>
    <row r="69" spans="1:12">
      <c r="D69" s="286"/>
      <c r="F69" s="35"/>
      <c r="G69" s="29"/>
      <c r="H69" s="2531"/>
      <c r="L69" s="140"/>
    </row>
    <row r="70" spans="1:12">
      <c r="D70" s="20" t="s">
        <v>2396</v>
      </c>
      <c r="F70" s="29">
        <f>F75*-1</f>
        <v>0</v>
      </c>
      <c r="G70" s="29"/>
      <c r="H70" s="2531">
        <f>H75*-1</f>
        <v>0</v>
      </c>
      <c r="L70" s="140"/>
    </row>
    <row r="71" spans="1:12" ht="13.5" thickBot="1">
      <c r="D71" s="20"/>
      <c r="G71" s="29"/>
      <c r="H71" s="2531"/>
      <c r="L71" s="140"/>
    </row>
    <row r="72" spans="1:12" ht="13.5" thickTop="1">
      <c r="A72" s="288"/>
      <c r="B72" s="289"/>
      <c r="C72" s="289"/>
      <c r="D72" s="290"/>
      <c r="E72" s="289"/>
      <c r="F72" s="320"/>
      <c r="G72" s="29"/>
      <c r="H72" s="2531"/>
      <c r="L72" s="140"/>
    </row>
    <row r="73" spans="1:12">
      <c r="A73" s="291"/>
      <c r="B73" s="24" t="s">
        <v>174</v>
      </c>
      <c r="D73" s="286"/>
      <c r="F73" s="321"/>
      <c r="G73" s="29"/>
      <c r="H73" s="2531"/>
      <c r="L73" s="140"/>
    </row>
    <row r="74" spans="1:12">
      <c r="A74" s="291"/>
      <c r="B74" s="24" t="s">
        <v>1491</v>
      </c>
      <c r="D74" s="71" t="s">
        <v>737</v>
      </c>
      <c r="E74" s="71"/>
      <c r="F74" s="136" t="e">
        <f>F48+F53+F68+F70</f>
        <v>#DIV/0!</v>
      </c>
      <c r="G74" s="29"/>
      <c r="H74" s="2547" t="e">
        <f>H48+H53+H68+H70</f>
        <v>#DIV/0!</v>
      </c>
      <c r="L74" s="140"/>
    </row>
    <row r="75" spans="1:12">
      <c r="A75" s="291"/>
      <c r="B75" s="24" t="s">
        <v>1489</v>
      </c>
      <c r="D75" s="71" t="s">
        <v>2609</v>
      </c>
      <c r="E75" s="71"/>
      <c r="F75" s="136">
        <f>'Calc Data'!I7*Assumptions!G159</f>
        <v>0</v>
      </c>
      <c r="G75" s="29"/>
      <c r="H75" s="2547">
        <f>'Calc Data'!I7*Assumptions!G159</f>
        <v>0</v>
      </c>
      <c r="L75" s="140"/>
    </row>
    <row r="76" spans="1:12" ht="15.75">
      <c r="A76" s="291"/>
      <c r="B76" s="24" t="s">
        <v>1490</v>
      </c>
      <c r="D76" s="318" t="s">
        <v>757</v>
      </c>
      <c r="E76" s="73"/>
      <c r="F76" s="323">
        <v>0</v>
      </c>
      <c r="G76" s="29"/>
      <c r="H76" s="2548">
        <v>0</v>
      </c>
      <c r="L76" s="140"/>
    </row>
    <row r="77" spans="1:12">
      <c r="A77" s="291"/>
      <c r="B77" s="24" t="s">
        <v>740</v>
      </c>
      <c r="D77" s="71" t="s">
        <v>738</v>
      </c>
      <c r="E77" s="71"/>
      <c r="F77" s="136">
        <f>'Existing Debt-OldLaw'!S74</f>
        <v>0</v>
      </c>
      <c r="G77" s="29"/>
      <c r="H77" s="2547">
        <f>F77</f>
        <v>0</v>
      </c>
      <c r="L77" s="140"/>
    </row>
    <row r="78" spans="1:12" ht="13.5" thickBot="1">
      <c r="A78" s="291"/>
      <c r="B78" s="24" t="s">
        <v>1095</v>
      </c>
      <c r="D78" s="71" t="s">
        <v>739</v>
      </c>
      <c r="E78" s="71"/>
      <c r="F78" s="316">
        <f>'IFA-OldLaw'!AF86+'IFA-OldLaw'!AG75</f>
        <v>0</v>
      </c>
      <c r="G78" s="29"/>
      <c r="H78" s="2549">
        <f>F78</f>
        <v>0</v>
      </c>
      <c r="L78" s="140"/>
    </row>
    <row r="79" spans="1:12">
      <c r="A79" s="291"/>
      <c r="F79" s="321"/>
      <c r="G79" s="29"/>
      <c r="H79" s="2529"/>
      <c r="L79" s="767"/>
    </row>
    <row r="80" spans="1:12" ht="12.75" customHeight="1" thickBot="1">
      <c r="A80" s="291"/>
      <c r="D80" s="71" t="s">
        <v>1019</v>
      </c>
      <c r="F80" s="317" t="e">
        <f>SUM(F74:F78)</f>
        <v>#DIV/0!</v>
      </c>
      <c r="G80" s="29"/>
      <c r="H80" s="2560" t="e">
        <f>SUM(H74:H78)</f>
        <v>#DIV/0!</v>
      </c>
      <c r="L80" s="767"/>
    </row>
    <row r="81" spans="1:15" ht="14.25" hidden="1" thickTop="1" thickBot="1">
      <c r="A81" s="291"/>
      <c r="D81" s="20" t="s">
        <v>472</v>
      </c>
      <c r="G81" s="29"/>
      <c r="H81" s="2550" t="e">
        <f>SUM(H74:H78)</f>
        <v>#DIV/0!</v>
      </c>
      <c r="L81" s="767"/>
    </row>
    <row r="82" spans="1:15" ht="14.25" thickTop="1" thickBot="1">
      <c r="A82" s="292"/>
      <c r="B82" s="293"/>
      <c r="C82" s="293"/>
      <c r="D82" s="294"/>
      <c r="E82" s="293"/>
      <c r="F82" s="330"/>
      <c r="G82" s="16"/>
      <c r="H82" s="2606"/>
    </row>
    <row r="83" spans="1:15" ht="13.5" thickTop="1">
      <c r="B83" s="20"/>
      <c r="G83" s="29"/>
      <c r="H83" s="2551"/>
      <c r="M83" s="91"/>
      <c r="N83" s="221"/>
      <c r="O83" s="5"/>
    </row>
    <row r="84" spans="1:15">
      <c r="H84" s="2531"/>
      <c r="M84" s="5"/>
    </row>
    <row r="85" spans="1:15" ht="13.5" thickBot="1">
      <c r="H85" s="2529"/>
    </row>
    <row r="86" spans="1:15" ht="13.5" thickTop="1">
      <c r="A86" s="297" t="s">
        <v>2457</v>
      </c>
      <c r="B86" s="66"/>
      <c r="C86" s="66"/>
      <c r="D86" s="66"/>
      <c r="E86" s="66"/>
      <c r="F86" s="130"/>
      <c r="H86" s="2529"/>
    </row>
    <row r="87" spans="1:15">
      <c r="A87" s="133"/>
      <c r="F87" s="131"/>
      <c r="H87" s="2529"/>
    </row>
    <row r="88" spans="1:15">
      <c r="A88" s="132" t="s">
        <v>2162</v>
      </c>
      <c r="F88" s="277" t="e">
        <f>IF(F74&lt;0,F75,F74+F75)</f>
        <v>#DIV/0!</v>
      </c>
      <c r="H88" s="2532" t="e">
        <f>IF(H74&lt;0,H75,H74+H75)</f>
        <v>#DIV/0!</v>
      </c>
    </row>
    <row r="89" spans="1:15">
      <c r="A89" s="156" t="s">
        <v>1696</v>
      </c>
      <c r="F89" s="278">
        <f>'Calc Data'!J30-ASATR!L24</f>
        <v>0</v>
      </c>
      <c r="H89" s="2533" t="e">
        <f>'Calc Data'!BD32-ASATR!L39</f>
        <v>#DIV/0!</v>
      </c>
      <c r="M89" s="91"/>
    </row>
    <row r="90" spans="1:15">
      <c r="A90" s="156" t="s">
        <v>941</v>
      </c>
      <c r="F90" s="278">
        <f>'Calc Data'!J34</f>
        <v>0</v>
      </c>
      <c r="H90" s="2533">
        <f>'Calc Data'!J34</f>
        <v>0</v>
      </c>
      <c r="M90" s="91"/>
    </row>
    <row r="91" spans="1:15">
      <c r="A91" s="156" t="s">
        <v>942</v>
      </c>
      <c r="F91" s="91" t="e">
        <f>'Calc Data'!J37-IF('Option Costs'!AY57="N",MAX('Option Costs'!BC54,'Option Costs'!BE54),MIN('Option Costs'!BC54,'Option Costs'!BE54))</f>
        <v>#DIV/0!</v>
      </c>
      <c r="H91" s="2607" t="e">
        <f>'Calc Data'!BD31-IF('Option Costs'!BC57="N",MAX('Option Costs'!BC85,'Option Costs'!BE85),MIN('Option Costs'!BC85,'Option Costs'!BE85))</f>
        <v>#DIV/0!</v>
      </c>
    </row>
    <row r="92" spans="1:15">
      <c r="A92" s="156" t="s">
        <v>3157</v>
      </c>
      <c r="F92" s="322" t="e">
        <f>SUM(F88:F91)</f>
        <v>#DIV/0!</v>
      </c>
      <c r="H92" s="2535" t="e">
        <f>SUM(H88:H91)</f>
        <v>#DIV/0!</v>
      </c>
    </row>
    <row r="93" spans="1:15">
      <c r="A93" s="132" t="s">
        <v>1695</v>
      </c>
      <c r="F93" s="287" t="e">
        <f>IF(F74&gt;0,0,F74)</f>
        <v>#DIV/0!</v>
      </c>
      <c r="H93" s="2607" t="e">
        <f>IF(H74&gt;0,0,H74)</f>
        <v>#DIV/0!</v>
      </c>
    </row>
    <row r="94" spans="1:15">
      <c r="A94" s="222" t="s">
        <v>3158</v>
      </c>
      <c r="F94" s="322" t="e">
        <f>F92+F93</f>
        <v>#DIV/0!</v>
      </c>
      <c r="H94" s="2535" t="e">
        <f>H92+H93</f>
        <v>#DIV/0!</v>
      </c>
    </row>
    <row r="95" spans="1:15" ht="13.5" thickBot="1">
      <c r="A95" s="134"/>
      <c r="B95" s="38"/>
      <c r="C95" s="38"/>
      <c r="D95" s="38"/>
      <c r="E95" s="38"/>
      <c r="F95" s="135"/>
      <c r="H95" s="2608"/>
    </row>
    <row r="96" spans="1:15" ht="13.5" hidden="1" thickTop="1">
      <c r="D96" s="35" t="s">
        <v>1231</v>
      </c>
      <c r="E96" s="35"/>
      <c r="F96" s="35"/>
      <c r="H96" s="322" t="e">
        <f>H93+H94</f>
        <v>#DIV/0!</v>
      </c>
      <c r="I96" s="773"/>
      <c r="J96" s="773"/>
      <c r="K96" s="774"/>
    </row>
    <row r="97" spans="1:11" ht="13.5" hidden="1" thickTop="1">
      <c r="D97" s="35" t="s">
        <v>470</v>
      </c>
      <c r="E97" s="35"/>
      <c r="F97" s="35"/>
      <c r="I97" s="367"/>
      <c r="J97" s="367"/>
      <c r="K97" s="606"/>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idden="1">
      <c r="A106" s="20" t="s">
        <v>1667</v>
      </c>
      <c r="G106" s="16"/>
    </row>
    <row r="107" spans="1:11" hidden="1">
      <c r="G107" s="16"/>
    </row>
    <row r="108" spans="1:11" hidden="1">
      <c r="A108" s="20" t="s">
        <v>1492</v>
      </c>
      <c r="G108" s="16"/>
      <c r="H108" s="16"/>
      <c r="I108" s="16"/>
      <c r="J108" s="16"/>
      <c r="K108" s="16"/>
    </row>
    <row r="109" spans="1:11" hidden="1">
      <c r="A109" s="20" t="s">
        <v>1493</v>
      </c>
      <c r="H109" s="16"/>
      <c r="I109" s="16"/>
      <c r="J109" s="16"/>
      <c r="K109" s="16"/>
    </row>
    <row r="110" spans="1:11" hidden="1">
      <c r="A110" s="20" t="s">
        <v>518</v>
      </c>
      <c r="H110" s="16"/>
      <c r="I110" s="16"/>
      <c r="J110" s="16"/>
      <c r="K110" s="16"/>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0" hidden="1"/>
    <row r="130" spans="5:10" hidden="1"/>
    <row r="131" spans="5:10" ht="13.5" thickTop="1">
      <c r="E131" t="s">
        <v>2767</v>
      </c>
      <c r="F131" s="5">
        <f>SUM(F21:F27)</f>
        <v>0</v>
      </c>
      <c r="H131" s="5">
        <f>SUM(H21:H27)</f>
        <v>0</v>
      </c>
    </row>
    <row r="132" spans="5:10">
      <c r="E132" t="s">
        <v>2768</v>
      </c>
      <c r="F132" s="5">
        <f>F28+F29</f>
        <v>0</v>
      </c>
      <c r="H132" s="5">
        <f>H28+H29</f>
        <v>0</v>
      </c>
    </row>
    <row r="133" spans="5:10">
      <c r="E133" t="s">
        <v>2769</v>
      </c>
      <c r="F133" s="5">
        <f>F32+F33</f>
        <v>0</v>
      </c>
      <c r="H133" s="5">
        <f>H32+H33</f>
        <v>0</v>
      </c>
      <c r="I133" s="5"/>
      <c r="J133" s="5"/>
    </row>
    <row r="134" spans="5:10">
      <c r="E134" t="s">
        <v>2770</v>
      </c>
      <c r="F134" s="5">
        <f>F34+F35</f>
        <v>0</v>
      </c>
      <c r="H134" s="5">
        <f>H34+H35</f>
        <v>0</v>
      </c>
      <c r="I134" s="5"/>
      <c r="J134" s="5"/>
    </row>
    <row r="135" spans="5:10">
      <c r="E135" t="s">
        <v>2849</v>
      </c>
      <c r="F135" s="91" t="e">
        <f>Assumptions!G146*'Calc Data'!J25*'Calc Data'!J35*100</f>
        <v>#DIV/0!</v>
      </c>
      <c r="H135" s="91" t="e">
        <f>Assumptions!G146*'Calc Data'!J25*'Calc Data'!J35*100</f>
        <v>#DIV/0!</v>
      </c>
      <c r="I135" s="5"/>
      <c r="J135" s="5"/>
    </row>
    <row r="136" spans="5:10">
      <c r="E136" t="s">
        <v>2851</v>
      </c>
      <c r="F136" s="91" t="e">
        <f>Assumptions!G147*'Calc Data'!J25*'Calc Data'!J38*100</f>
        <v>#DIV/0!</v>
      </c>
      <c r="H136" s="91" t="e">
        <f>Assumptions!G147*'Calc Data'!J25*'Calc Data'!BD29*100</f>
        <v>#DIV/0!</v>
      </c>
      <c r="I136" s="5"/>
      <c r="J136" s="5"/>
    </row>
    <row r="137" spans="5:10">
      <c r="I137" s="91"/>
      <c r="J137" s="91"/>
    </row>
    <row r="138" spans="5:10">
      <c r="I138" s="91"/>
      <c r="J138" s="91"/>
    </row>
  </sheetData>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3284</v>
      </c>
      <c r="D3" s="55" t="s">
        <v>3284</v>
      </c>
      <c r="E3" s="55" t="s">
        <v>3284</v>
      </c>
    </row>
    <row r="4" spans="1:5">
      <c r="C4" s="88" t="s">
        <v>3833</v>
      </c>
      <c r="D4" s="88" t="s">
        <v>3834</v>
      </c>
      <c r="E4" s="54" t="s">
        <v>3824</v>
      </c>
    </row>
    <row r="5" spans="1:5">
      <c r="A5" t="s">
        <v>3823</v>
      </c>
      <c r="C5" s="656">
        <f>'Data Entry - SOF'!G154</f>
        <v>0</v>
      </c>
      <c r="D5" s="656">
        <f>'Calc Data'!AK30</f>
        <v>1</v>
      </c>
      <c r="E5" s="656">
        <f>D5-C5</f>
        <v>1</v>
      </c>
    </row>
    <row r="6" spans="1:5">
      <c r="A6" t="s">
        <v>1013</v>
      </c>
      <c r="C6" s="223">
        <f>'Calc Data'!F19</f>
        <v>0</v>
      </c>
      <c r="D6" s="223">
        <f>'Calc Data'!AK19</f>
        <v>5140</v>
      </c>
      <c r="E6" s="223"/>
    </row>
    <row r="8" spans="1:5">
      <c r="A8" t="s">
        <v>530</v>
      </c>
      <c r="C8" s="745">
        <f>'SOF1920-HB3'!F66</f>
        <v>0</v>
      </c>
      <c r="D8" s="745">
        <f>'SOF1920-HB3'!H66</f>
        <v>0</v>
      </c>
      <c r="E8" s="745">
        <f>D8-C8</f>
        <v>0</v>
      </c>
    </row>
    <row r="9" spans="1:5">
      <c r="A9" t="s">
        <v>3825</v>
      </c>
      <c r="C9" s="745">
        <f>'SOF1920-HB3'!F67</f>
        <v>0</v>
      </c>
      <c r="D9" s="745">
        <f>'SOF1920-HB3'!H67</f>
        <v>0</v>
      </c>
      <c r="E9" s="745">
        <f>D9-C9</f>
        <v>0</v>
      </c>
    </row>
    <row r="10" spans="1:5">
      <c r="A10" t="s">
        <v>2469</v>
      </c>
      <c r="C10" s="746">
        <f>'SOF1920-HB3'!F68</f>
        <v>0</v>
      </c>
      <c r="D10" s="746">
        <f>'SOF1920-HB3'!H68</f>
        <v>0</v>
      </c>
      <c r="E10" s="746">
        <f>IF(D10-C10&lt;0,0,D10-C10)</f>
        <v>0</v>
      </c>
    </row>
    <row r="11" spans="1:5">
      <c r="C11" s="745"/>
      <c r="D11" s="745"/>
      <c r="E11" s="745"/>
    </row>
    <row r="12" spans="1:5">
      <c r="A12" t="s">
        <v>1985</v>
      </c>
      <c r="C12" s="745" t="e">
        <f>IF('Option Costs'!AA57="Y",MIN('Option Costs'!AA54,'Option Costs'!AC54),MAX('Option Costs'!AA54,'Option Costs'!AC54))</f>
        <v>#DIV/0!</v>
      </c>
      <c r="D12" s="745" t="e">
        <f>IF('Option Costs'!AA57="Y",MIN('Option Costs'!AA85,'Option Costs'!AC85),MAX('Option Costs'!AA85,'Option Costs'!AC85))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#DIV/0!</v>
      </c>
    </row>
    <row r="18" spans="1:5">
      <c r="A18" s="45" t="s">
        <v>3826</v>
      </c>
      <c r="C18" s="225">
        <f>'Calc Data'!F36</f>
        <v>110.99999999999999</v>
      </c>
      <c r="D18" s="225">
        <f>'Calc Data'!AK28</f>
        <v>10.999999999999986</v>
      </c>
      <c r="E18" s="656">
        <f>D18-C18</f>
        <v>-100</v>
      </c>
    </row>
    <row r="19" spans="1:5">
      <c r="A19" s="172" t="s">
        <v>3827</v>
      </c>
      <c r="B19" s="43"/>
      <c r="C19" s="750" t="e">
        <f>'SOF1920-HB3'!F82</f>
        <v>#DIV/0!</v>
      </c>
      <c r="D19" s="751" t="e">
        <f>'SOF1920-HB3'!H82</f>
        <v>#DIV/0!</v>
      </c>
      <c r="E19" s="748" t="e">
        <f>D19-C19</f>
        <v>#DIV/0!</v>
      </c>
    </row>
    <row r="21" spans="1:5">
      <c r="A21" s="172" t="s">
        <v>3831</v>
      </c>
      <c r="B21" s="43"/>
      <c r="C21" s="752" t="e">
        <f>'Option Costs'!AE54</f>
        <v>#DIV/0!</v>
      </c>
      <c r="D21" s="753" t="e">
        <f>'Option Costs'!AE85</f>
        <v>#DIV/0!</v>
      </c>
      <c r="E21" s="748" t="e">
        <f>C21-D21</f>
        <v>#DIV/0!</v>
      </c>
    </row>
    <row r="24" spans="1:5">
      <c r="A24" s="35" t="s">
        <v>3829</v>
      </c>
      <c r="E24" s="747" t="e">
        <f>E16+E19+E21</f>
        <v>#DIV/0!</v>
      </c>
    </row>
    <row r="27" spans="1:5">
      <c r="A27" s="380" t="s">
        <v>6381</v>
      </c>
    </row>
    <row r="28" spans="1:5">
      <c r="A28" s="380" t="s">
        <v>3835</v>
      </c>
    </row>
    <row r="29" spans="1:5">
      <c r="A29" s="380" t="s">
        <v>3836</v>
      </c>
    </row>
    <row r="30" spans="1:5">
      <c r="A30" s="380" t="s">
        <v>6382</v>
      </c>
    </row>
    <row r="33" spans="1:1">
      <c r="A33" s="771" t="s">
        <v>6380</v>
      </c>
    </row>
    <row r="34" spans="1:1">
      <c r="A34" s="771"/>
    </row>
    <row r="35" spans="1:1" ht="15" customHeight="1">
      <c r="A35" s="166" t="s">
        <v>6378</v>
      </c>
    </row>
    <row r="36" spans="1:1" ht="15" customHeight="1">
      <c r="A36" s="166" t="s">
        <v>7072</v>
      </c>
    </row>
    <row r="37" spans="1:1" ht="15" customHeight="1">
      <c r="A37" s="166" t="s">
        <v>6379</v>
      </c>
    </row>
  </sheetData>
  <sheetProtection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3922</v>
      </c>
      <c r="D3" s="55" t="s">
        <v>3922</v>
      </c>
      <c r="E3" s="55" t="s">
        <v>3922</v>
      </c>
    </row>
    <row r="4" spans="1:5">
      <c r="C4" s="88" t="s">
        <v>3833</v>
      </c>
      <c r="D4" s="88" t="s">
        <v>3834</v>
      </c>
      <c r="E4" s="54" t="s">
        <v>3824</v>
      </c>
    </row>
    <row r="5" spans="1:5">
      <c r="A5" t="s">
        <v>3823</v>
      </c>
      <c r="C5" s="656">
        <f>'Data Entry - SOF'!M154</f>
        <v>0</v>
      </c>
      <c r="D5" s="656">
        <f>'Calc Data'!AO30</f>
        <v>1</v>
      </c>
      <c r="E5" s="656">
        <f>D5-C5</f>
        <v>1</v>
      </c>
    </row>
    <row r="6" spans="1:5">
      <c r="A6" t="s">
        <v>1013</v>
      </c>
      <c r="C6" s="223">
        <f>'Calc Data'!G19</f>
        <v>0</v>
      </c>
      <c r="D6" s="223">
        <f>'Calc Data'!AO19</f>
        <v>5140</v>
      </c>
      <c r="E6" s="223"/>
    </row>
    <row r="8" spans="1:5">
      <c r="A8" t="s">
        <v>530</v>
      </c>
      <c r="C8" s="745" t="e">
        <f>'SOF2021-SB1'!F43</f>
        <v>#DIV/0!</v>
      </c>
      <c r="D8" s="745" t="e">
        <f>'SOF2021-SB1'!H43</f>
        <v>#DIV/0!</v>
      </c>
      <c r="E8" s="745" t="e">
        <f>D8-C8</f>
        <v>#DIV/0!</v>
      </c>
    </row>
    <row r="9" spans="1:5">
      <c r="A9" t="s">
        <v>3825</v>
      </c>
      <c r="C9" s="745">
        <f>'SOF2021-SB1'!F44</f>
        <v>0</v>
      </c>
      <c r="D9" s="745">
        <f>'SOF2021-SB1'!H44</f>
        <v>0</v>
      </c>
      <c r="E9" s="745">
        <f>D9-C9</f>
        <v>0</v>
      </c>
    </row>
    <row r="10" spans="1:5">
      <c r="A10" t="s">
        <v>2469</v>
      </c>
      <c r="C10" s="746" t="e">
        <f>'SOF2021-SB1'!F45</f>
        <v>#DIV/0!</v>
      </c>
      <c r="D10" s="746" t="e">
        <f>'SOF2021-SB1'!H45</f>
        <v>#DIV/0!</v>
      </c>
      <c r="E10" s="746" t="e">
        <f>IF(D10-C10&lt;0,0,D10-C10)</f>
        <v>#DIV/0!</v>
      </c>
    </row>
    <row r="11" spans="1:5">
      <c r="C11" s="745"/>
      <c r="D11" s="745"/>
      <c r="E11" s="745"/>
    </row>
    <row r="12" spans="1:5">
      <c r="A12" t="s">
        <v>1985</v>
      </c>
      <c r="C12" s="745" t="e">
        <f>IF('Option Costs'!AI57="Y",MIN('Option Costs'!AI54,'Option Costs'!AK54),MAX('Option Costs'!AI54,'Option Costs'!AK54))</f>
        <v>#DIV/0!</v>
      </c>
      <c r="D12" s="745" t="e">
        <f>IF('Option Costs'!AI57="Y",MIN('Option Costs'!AI85,'Option Costs'!AK85),MAX('Option Costs'!AI85,'Option Costs'!AK85))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#DIV/0!</v>
      </c>
    </row>
    <row r="18" spans="1:5">
      <c r="A18" s="45" t="s">
        <v>3826</v>
      </c>
      <c r="C18" s="225">
        <f>'Calc Data'!G36</f>
        <v>110.99999999999999</v>
      </c>
      <c r="D18" s="225">
        <f>'Calc Data'!AO28</f>
        <v>10.999999999999986</v>
      </c>
      <c r="E18" s="656">
        <f>D18-C18</f>
        <v>-100</v>
      </c>
    </row>
    <row r="19" spans="1:5">
      <c r="A19" s="172" t="s">
        <v>3827</v>
      </c>
      <c r="B19" s="43"/>
      <c r="C19" s="750" t="e">
        <f>'SOF2021-SB1'!F52</f>
        <v>#DIV/0!</v>
      </c>
      <c r="D19" s="751" t="e">
        <f>'SOF2021-SB1'!H52</f>
        <v>#DIV/0!</v>
      </c>
      <c r="E19" s="748" t="e">
        <f>D19-C19</f>
        <v>#DIV/0!</v>
      </c>
    </row>
    <row r="21" spans="1:5">
      <c r="A21" s="172" t="s">
        <v>3831</v>
      </c>
      <c r="B21" s="43"/>
      <c r="C21" s="752" t="e">
        <f>'Option Costs'!AM54</f>
        <v>#DIV/0!</v>
      </c>
      <c r="D21" s="753" t="e">
        <f>'Option Costs'!AM85</f>
        <v>#DIV/0!</v>
      </c>
      <c r="E21" s="748" t="e">
        <f>C21-D21</f>
        <v>#DIV/0!</v>
      </c>
    </row>
    <row r="24" spans="1:5">
      <c r="A24" s="35" t="s">
        <v>3829</v>
      </c>
      <c r="E24" s="747" t="e">
        <f>E16+E19+E21</f>
        <v>#DIV/0!</v>
      </c>
    </row>
    <row r="27" spans="1:5">
      <c r="A27" s="380" t="s">
        <v>6381</v>
      </c>
    </row>
    <row r="28" spans="1:5">
      <c r="A28" s="380" t="s">
        <v>3835</v>
      </c>
    </row>
    <row r="29" spans="1:5">
      <c r="A29" s="380" t="s">
        <v>3836</v>
      </c>
    </row>
    <row r="30" spans="1:5">
      <c r="A30" s="380" t="s">
        <v>6382</v>
      </c>
    </row>
    <row r="33" spans="1:1">
      <c r="A33" s="771" t="s">
        <v>6380</v>
      </c>
    </row>
    <row r="34" spans="1:1">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6374</v>
      </c>
      <c r="D3" s="55" t="str">
        <f>C3</f>
        <v>2021-22</v>
      </c>
      <c r="E3" s="55" t="str">
        <f>D3</f>
        <v>2021-22</v>
      </c>
    </row>
    <row r="4" spans="1:5">
      <c r="C4" s="88" t="s">
        <v>3833</v>
      </c>
      <c r="D4" s="88" t="s">
        <v>3834</v>
      </c>
      <c r="E4" s="54" t="s">
        <v>3824</v>
      </c>
    </row>
    <row r="5" spans="1:5">
      <c r="A5" t="s">
        <v>3823</v>
      </c>
      <c r="C5" s="656">
        <f>'Data Entry - SOF'!O154</f>
        <v>0</v>
      </c>
      <c r="D5" s="656">
        <f>'Calc Data'!AT30</f>
        <v>1</v>
      </c>
      <c r="E5" s="656">
        <f>D5-C5</f>
        <v>1</v>
      </c>
    </row>
    <row r="6" spans="1:5">
      <c r="A6" t="s">
        <v>1013</v>
      </c>
      <c r="C6" s="223">
        <f>'Calc Data'!H19</f>
        <v>0</v>
      </c>
      <c r="D6" s="223">
        <f>'Calc Data'!AT19</f>
        <v>5140</v>
      </c>
      <c r="E6" s="223"/>
    </row>
    <row r="8" spans="1:5">
      <c r="A8" t="s">
        <v>530</v>
      </c>
      <c r="C8" s="745" t="e">
        <f>'SOF2122-SB1'!F43</f>
        <v>#DIV/0!</v>
      </c>
      <c r="D8" s="745" t="e">
        <f>'SOF2122-SB1'!H43</f>
        <v>#DIV/0!</v>
      </c>
      <c r="E8" s="745" t="e">
        <f>D8-C8</f>
        <v>#DIV/0!</v>
      </c>
    </row>
    <row r="9" spans="1:5">
      <c r="A9" t="s">
        <v>3825</v>
      </c>
      <c r="C9" s="745">
        <f>'SOF2122-SB1'!F44</f>
        <v>0</v>
      </c>
      <c r="D9" s="745">
        <f>'SOF2122-SB1'!H44</f>
        <v>0</v>
      </c>
      <c r="E9" s="745">
        <f>D9-C9</f>
        <v>0</v>
      </c>
    </row>
    <row r="10" spans="1:5">
      <c r="A10" t="s">
        <v>2469</v>
      </c>
      <c r="C10" s="746" t="e">
        <f>'SOF2122-SB1'!F45</f>
        <v>#DIV/0!</v>
      </c>
      <c r="D10" s="746" t="e">
        <f>'SOF2122-SB1'!H45</f>
        <v>#DIV/0!</v>
      </c>
      <c r="E10" s="746" t="e">
        <f>IF(D10-C10&lt;0,0,D10-C10)</f>
        <v>#DIV/0!</v>
      </c>
    </row>
    <row r="11" spans="1:5">
      <c r="C11" s="745"/>
      <c r="D11" s="745"/>
      <c r="E11" s="745"/>
    </row>
    <row r="12" spans="1:5">
      <c r="A12" t="s">
        <v>1985</v>
      </c>
      <c r="C12" s="745" t="e">
        <f>IF('Option Costs'!AQ57="Y",MIN('Option Costs'!AQ54,'Option Costs'!AS54),MAX('Option Costs'!AQ54,'Option Costs'!AS54))</f>
        <v>#DIV/0!</v>
      </c>
      <c r="D12" s="745" t="e">
        <f>IF('Option Costs'!AQ57="Y",MIN('Option Costs'!AQ85,'Option Costs'!AS85),MAX('Option Costs'!AQ85,'Option Costs'!AS85))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#DIV/0!</v>
      </c>
    </row>
    <row r="18" spans="1:5">
      <c r="A18" s="45" t="s">
        <v>3826</v>
      </c>
      <c r="C18" s="225">
        <f>'Calc Data'!H36</f>
        <v>110.99999999999999</v>
      </c>
      <c r="D18" s="225">
        <f>'Calc Data'!AT28</f>
        <v>10.999999999999986</v>
      </c>
      <c r="E18" s="656">
        <f>D18-C18</f>
        <v>-100</v>
      </c>
    </row>
    <row r="19" spans="1:5">
      <c r="A19" s="172" t="s">
        <v>3827</v>
      </c>
      <c r="B19" s="43"/>
      <c r="C19" s="750" t="e">
        <f>'SOF2122-SB1'!F52</f>
        <v>#DIV/0!</v>
      </c>
      <c r="D19" s="751" t="e">
        <f>'SOF2122-SB1'!H52</f>
        <v>#DIV/0!</v>
      </c>
      <c r="E19" s="748" t="e">
        <f>D19-C19</f>
        <v>#DIV/0!</v>
      </c>
    </row>
    <row r="21" spans="1:5">
      <c r="A21" s="172" t="s">
        <v>3831</v>
      </c>
      <c r="B21" s="43"/>
      <c r="C21" s="752" t="e">
        <f>'Option Costs'!AU54</f>
        <v>#DIV/0!</v>
      </c>
      <c r="D21" s="753" t="e">
        <f>'Option Costs'!AU85</f>
        <v>#DIV/0!</v>
      </c>
      <c r="E21" s="748" t="e">
        <f>C21-D21</f>
        <v>#DIV/0!</v>
      </c>
    </row>
    <row r="24" spans="1:5">
      <c r="A24" s="35" t="s">
        <v>3829</v>
      </c>
      <c r="E24" s="747" t="e">
        <f>E16+E19+E21</f>
        <v>#DIV/0!</v>
      </c>
    </row>
    <row r="27" spans="1:5">
      <c r="A27" s="380" t="s">
        <v>6381</v>
      </c>
    </row>
    <row r="28" spans="1:5">
      <c r="A28" s="380" t="s">
        <v>3835</v>
      </c>
    </row>
    <row r="29" spans="1:5">
      <c r="A29" s="380" t="s">
        <v>3836</v>
      </c>
    </row>
    <row r="30" spans="1:5">
      <c r="A30" s="380" t="s">
        <v>6382</v>
      </c>
    </row>
    <row r="33" spans="1:1">
      <c r="A33" s="771" t="s">
        <v>6380</v>
      </c>
    </row>
    <row r="34" spans="1:1">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6939</v>
      </c>
      <c r="D3" s="55" t="str">
        <f>C3</f>
        <v>2022-23</v>
      </c>
      <c r="E3" s="55" t="str">
        <f>D3</f>
        <v>2022-23</v>
      </c>
    </row>
    <row r="4" spans="1:5">
      <c r="C4" s="88" t="s">
        <v>3833</v>
      </c>
      <c r="D4" s="88" t="s">
        <v>3834</v>
      </c>
      <c r="E4" s="54" t="s">
        <v>3824</v>
      </c>
    </row>
    <row r="5" spans="1:5">
      <c r="A5" t="s">
        <v>3823</v>
      </c>
      <c r="C5" s="656">
        <f>'Data Entry - SOF'!Q154</f>
        <v>0</v>
      </c>
      <c r="D5" s="656">
        <f>'Calc Data'!AY30</f>
        <v>1</v>
      </c>
      <c r="E5" s="656">
        <f>D5-C5</f>
        <v>1</v>
      </c>
    </row>
    <row r="6" spans="1:5">
      <c r="A6" t="s">
        <v>1013</v>
      </c>
      <c r="C6" s="223">
        <f>'Calc Data'!I19</f>
        <v>0</v>
      </c>
      <c r="D6" s="223">
        <f>'Calc Data'!AY19</f>
        <v>5140</v>
      </c>
      <c r="E6" s="223"/>
    </row>
    <row r="8" spans="1:5">
      <c r="A8" t="s">
        <v>530</v>
      </c>
      <c r="C8" s="745" t="e">
        <f>'SOF2223-SB1'!F43</f>
        <v>#DIV/0!</v>
      </c>
      <c r="D8" s="745" t="e">
        <f>'SOF2223-SB1'!H43</f>
        <v>#DIV/0!</v>
      </c>
      <c r="E8" s="745" t="e">
        <f>D8-C8</f>
        <v>#DIV/0!</v>
      </c>
    </row>
    <row r="9" spans="1:5">
      <c r="A9" t="s">
        <v>3825</v>
      </c>
      <c r="C9" s="745">
        <f>'SOF2223-SB1'!F44</f>
        <v>0</v>
      </c>
      <c r="D9" s="745">
        <f>'SOF2223-SB1'!H44</f>
        <v>0</v>
      </c>
      <c r="E9" s="745">
        <f>D9-C9</f>
        <v>0</v>
      </c>
    </row>
    <row r="10" spans="1:5">
      <c r="A10" t="s">
        <v>2469</v>
      </c>
      <c r="C10" s="746" t="e">
        <f>'SOF2223-SB1'!F45</f>
        <v>#DIV/0!</v>
      </c>
      <c r="D10" s="746" t="e">
        <f>'SOF2223-SB1'!H45</f>
        <v>#DIV/0!</v>
      </c>
      <c r="E10" s="746" t="e">
        <f>IF(D10-C10&lt;0,0,D10-C10)</f>
        <v>#DIV/0!</v>
      </c>
    </row>
    <row r="11" spans="1:5">
      <c r="C11" s="745"/>
      <c r="D11" s="745"/>
      <c r="E11" s="745"/>
    </row>
    <row r="12" spans="1:5">
      <c r="A12" t="s">
        <v>1985</v>
      </c>
      <c r="C12" s="745" t="e">
        <f>IF('Option Costs'!AY57="Y",MIN('Option Costs'!AY54,'Option Costs'!BA54),MAX('Option Costs'!AY54,'Option Costs'!BA54))</f>
        <v>#DIV/0!</v>
      </c>
      <c r="D12" s="745" t="e">
        <f>IF('Option Costs'!AY57="Y",MIN('Option Costs'!AY85,'Option Costs'!BA85),MAX('Option Costs'!AY85,'Option Costs'!BA85))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#DIV/0!</v>
      </c>
    </row>
    <row r="18" spans="1:5">
      <c r="A18" s="45" t="s">
        <v>3826</v>
      </c>
      <c r="C18" s="225">
        <f>'Calc Data'!I36</f>
        <v>110.99999999999999</v>
      </c>
      <c r="D18" s="225">
        <f>'Calc Data'!AY28</f>
        <v>10.999999999999986</v>
      </c>
      <c r="E18" s="656">
        <f>D18-C18</f>
        <v>-100</v>
      </c>
    </row>
    <row r="19" spans="1:5">
      <c r="A19" s="172" t="s">
        <v>3827</v>
      </c>
      <c r="B19" s="43"/>
      <c r="C19" s="750" t="e">
        <f>'SOF2223-SB1'!F52</f>
        <v>#DIV/0!</v>
      </c>
      <c r="D19" s="751" t="e">
        <f>'SOF2223-SB1'!H52</f>
        <v>#DIV/0!</v>
      </c>
      <c r="E19" s="748" t="e">
        <f>D19-C19</f>
        <v>#DIV/0!</v>
      </c>
    </row>
    <row r="21" spans="1:5">
      <c r="A21" s="172" t="s">
        <v>3831</v>
      </c>
      <c r="B21" s="43"/>
      <c r="C21" s="752" t="e">
        <f>'Option Costs'!BC54</f>
        <v>#DIV/0!</v>
      </c>
      <c r="D21" s="753" t="e">
        <f>'Option Costs'!BC85</f>
        <v>#DIV/0!</v>
      </c>
      <c r="E21" s="748" t="e">
        <f>C21-D21</f>
        <v>#DIV/0!</v>
      </c>
    </row>
    <row r="24" spans="1:5">
      <c r="A24" s="35" t="s">
        <v>3829</v>
      </c>
      <c r="E24" s="747" t="e">
        <f>E16+E19+E21</f>
        <v>#DIV/0!</v>
      </c>
    </row>
    <row r="27" spans="1:5">
      <c r="A27" s="380" t="s">
        <v>6381</v>
      </c>
    </row>
    <row r="28" spans="1:5">
      <c r="A28" s="380" t="s">
        <v>3835</v>
      </c>
    </row>
    <row r="29" spans="1:5">
      <c r="A29" s="380" t="s">
        <v>3836</v>
      </c>
    </row>
    <row r="30" spans="1:5">
      <c r="A30" s="380" t="s">
        <v>6382</v>
      </c>
    </row>
    <row r="33" spans="1:1">
      <c r="A33" s="771" t="s">
        <v>6380</v>
      </c>
    </row>
    <row r="34" spans="1:1">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5703125" customWidth="1"/>
    <col min="3" max="3" width="28.42578125" style="52" customWidth="1"/>
    <col min="4" max="4" width="29.42578125" style="52" customWidth="1"/>
    <col min="5" max="5" width="25.5703125" style="52" customWidth="1"/>
  </cols>
  <sheetData>
    <row r="1" spans="1:5">
      <c r="A1" s="35" t="s">
        <v>3848</v>
      </c>
    </row>
    <row r="2" spans="1:5">
      <c r="A2" s="35"/>
    </row>
    <row r="3" spans="1:5">
      <c r="C3" s="55" t="s">
        <v>8157</v>
      </c>
      <c r="D3" s="55" t="str">
        <f>C3</f>
        <v>2023-24</v>
      </c>
      <c r="E3" s="55" t="str">
        <f>D3</f>
        <v>2023-24</v>
      </c>
    </row>
    <row r="4" spans="1:5">
      <c r="C4" s="88" t="s">
        <v>3833</v>
      </c>
      <c r="D4" s="88" t="s">
        <v>3834</v>
      </c>
      <c r="E4" s="54" t="s">
        <v>3824</v>
      </c>
    </row>
    <row r="5" spans="1:5">
      <c r="A5" t="s">
        <v>3823</v>
      </c>
      <c r="C5" s="656">
        <f>'Data Entry - SOF'!S154</f>
        <v>0</v>
      </c>
      <c r="D5" s="656">
        <f>'Calc Data'!BD30</f>
        <v>1</v>
      </c>
      <c r="E5" s="656">
        <f>D5-C5</f>
        <v>1</v>
      </c>
    </row>
    <row r="6" spans="1:5">
      <c r="A6" t="s">
        <v>1013</v>
      </c>
      <c r="C6" s="223">
        <f>'Calc Data'!J19</f>
        <v>0</v>
      </c>
      <c r="D6" s="223">
        <f>'Calc Data'!BD19</f>
        <v>5140</v>
      </c>
      <c r="E6" s="223"/>
    </row>
    <row r="8" spans="1:5">
      <c r="A8" t="s">
        <v>530</v>
      </c>
      <c r="C8" s="745" t="e">
        <f>'SOF2324-SB1'!F43</f>
        <v>#DIV/0!</v>
      </c>
      <c r="D8" s="745" t="e">
        <f>'SOF2324-SB1'!H43</f>
        <v>#DIV/0!</v>
      </c>
      <c r="E8" s="745" t="e">
        <f>D8-C8</f>
        <v>#DIV/0!</v>
      </c>
    </row>
    <row r="9" spans="1:5">
      <c r="A9" t="s">
        <v>3825</v>
      </c>
      <c r="C9" s="745">
        <f>'SOF2324-SB1'!F44</f>
        <v>0</v>
      </c>
      <c r="D9" s="745">
        <f>'SOF2324-SB1'!H44</f>
        <v>0</v>
      </c>
      <c r="E9" s="745">
        <f>D9-C9</f>
        <v>0</v>
      </c>
    </row>
    <row r="10" spans="1:5">
      <c r="A10" t="s">
        <v>2469</v>
      </c>
      <c r="C10" s="746" t="e">
        <f>'SOF2324-SB1'!F45</f>
        <v>#DIV/0!</v>
      </c>
      <c r="D10" s="746" t="e">
        <f>'SOF2324-SB1'!H45</f>
        <v>#DIV/0!</v>
      </c>
      <c r="E10" s="746" t="e">
        <f>IF(D10-C10&lt;0,0,D10-C10)</f>
        <v>#DIV/0!</v>
      </c>
    </row>
    <row r="11" spans="1:5">
      <c r="C11" s="745"/>
      <c r="D11" s="745"/>
      <c r="E11" s="745"/>
    </row>
    <row r="12" spans="1:5">
      <c r="A12" t="s">
        <v>1985</v>
      </c>
      <c r="C12" s="745" t="e">
        <f>IF('Option Costs'!BG57="Y",MIN('Option Costs'!BG54,'Option Costs'!BI54),MAX('Option Costs'!BG54,'Option Costs'!BI54))</f>
        <v>#DIV/0!</v>
      </c>
      <c r="D12" s="745" t="e">
        <f>IF('Option Costs'!BG57="Y",MIN('Option Costs'!BG85,'Option Costs'!BI85),MAX('Option Costs'!BG85,'Option Costs'!BI85))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c r="A16" s="172" t="s">
        <v>3828</v>
      </c>
      <c r="B16" s="43"/>
      <c r="C16" s="750"/>
      <c r="D16" s="751"/>
      <c r="E16" s="747" t="e">
        <f>E10+E12+E14</f>
        <v>#DIV/0!</v>
      </c>
    </row>
    <row r="18" spans="1:5">
      <c r="A18" s="45" t="s">
        <v>3826</v>
      </c>
      <c r="C18" s="225">
        <f>'Calc Data'!J36</f>
        <v>110.99999999999999</v>
      </c>
      <c r="D18" s="225">
        <f>'Calc Data'!BD28</f>
        <v>10.999999999999986</v>
      </c>
      <c r="E18" s="656">
        <f>D18-C18</f>
        <v>-100</v>
      </c>
    </row>
    <row r="19" spans="1:5">
      <c r="A19" s="172" t="s">
        <v>3827</v>
      </c>
      <c r="B19" s="43"/>
      <c r="C19" s="750" t="e">
        <f>'SOF2324-SB1'!F52</f>
        <v>#DIV/0!</v>
      </c>
      <c r="D19" s="751" t="e">
        <f>'SOF2324-SB1'!H52</f>
        <v>#DIV/0!</v>
      </c>
      <c r="E19" s="748" t="e">
        <f>D19-C19</f>
        <v>#DIV/0!</v>
      </c>
    </row>
    <row r="21" spans="1:5">
      <c r="A21" s="172" t="s">
        <v>3831</v>
      </c>
      <c r="B21" s="43"/>
      <c r="C21" s="752" t="e">
        <f>'Option Costs'!BK54</f>
        <v>#DIV/0!</v>
      </c>
      <c r="D21" s="753" t="e">
        <f>'Option Costs'!BK85</f>
        <v>#DIV/0!</v>
      </c>
      <c r="E21" s="748" t="e">
        <f>C21-D21</f>
        <v>#DIV/0!</v>
      </c>
    </row>
    <row r="24" spans="1:5">
      <c r="A24" s="35" t="s">
        <v>3829</v>
      </c>
      <c r="E24" s="747" t="e">
        <f>E16+E19+E21</f>
        <v>#DIV/0!</v>
      </c>
    </row>
    <row r="27" spans="1:5">
      <c r="A27" s="380" t="s">
        <v>6381</v>
      </c>
    </row>
    <row r="28" spans="1:5">
      <c r="A28" s="380" t="s">
        <v>3835</v>
      </c>
    </row>
    <row r="29" spans="1:5">
      <c r="A29" s="380" t="s">
        <v>3836</v>
      </c>
    </row>
    <row r="30" spans="1:5">
      <c r="A30" s="380" t="s">
        <v>6382</v>
      </c>
    </row>
    <row r="33" spans="1:1">
      <c r="A33" s="771" t="s">
        <v>6380</v>
      </c>
    </row>
    <row r="34" spans="1:1">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85546875" customWidth="1"/>
    <col min="2" max="2" width="12.42578125" customWidth="1"/>
    <col min="3" max="3" width="19" customWidth="1"/>
    <col min="4" max="4" width="5.140625" customWidth="1"/>
    <col min="5" max="5" width="10.5703125" hidden="1" customWidth="1"/>
  </cols>
  <sheetData>
    <row r="1" spans="1:113">
      <c r="A1" s="35" t="s">
        <v>2521</v>
      </c>
      <c r="B1" s="119"/>
      <c r="C1" s="756" t="e">
        <f>'Data Entry - SOF'!#REF!</f>
        <v>#REF!</v>
      </c>
    </row>
    <row r="2" spans="1:113">
      <c r="A2" s="35" t="s">
        <v>8577</v>
      </c>
      <c r="C2" s="756" t="e">
        <f>'Data Entry - SOF'!#REF!</f>
        <v>#REF!</v>
      </c>
    </row>
    <row r="3" spans="1:113">
      <c r="A3" s="71"/>
      <c r="C3" s="756">
        <f>'Data Entry - SOF'!S3</f>
        <v>0</v>
      </c>
    </row>
    <row r="5" spans="1:113" ht="13.5" thickBot="1">
      <c r="A5" s="484" t="s">
        <v>3034</v>
      </c>
    </row>
    <row r="6" spans="1:113">
      <c r="A6" s="283" t="s">
        <v>8598</v>
      </c>
      <c r="B6" s="282"/>
      <c r="C6" s="488">
        <f>'Data Entry - SOF'!E100</f>
        <v>0</v>
      </c>
    </row>
    <row r="7" spans="1:113" s="367" customFormat="1">
      <c r="A7" s="281" t="s">
        <v>6855</v>
      </c>
      <c r="B7" s="119"/>
      <c r="C7" s="487">
        <f>'Data Entry - SOF'!K151</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281" t="s">
        <v>6964</v>
      </c>
      <c r="C8" s="1023">
        <f>'Data Entry - SOF'!E98</f>
        <v>0</v>
      </c>
    </row>
    <row r="9" spans="1:113" s="119" customFormat="1">
      <c r="A9" s="281" t="s">
        <v>8599</v>
      </c>
      <c r="C9" s="489">
        <f>'Data Entry - SOF'!E92</f>
        <v>1.17</v>
      </c>
      <c r="F9" s="209"/>
    </row>
    <row r="10" spans="1:113" s="119" customFormat="1">
      <c r="A10" s="281" t="s">
        <v>8600</v>
      </c>
      <c r="C10" s="487">
        <f>'Data Entry - SOF'!E93</f>
        <v>0</v>
      </c>
      <c r="F10" s="209"/>
    </row>
    <row r="11" spans="1:113" s="119" customFormat="1">
      <c r="A11" s="281" t="s">
        <v>8601</v>
      </c>
      <c r="C11" s="1039">
        <f>'Calc Data'!AG32</f>
        <v>0</v>
      </c>
      <c r="F11" s="209"/>
    </row>
    <row r="12" spans="1:113" s="119" customFormat="1">
      <c r="A12" s="281" t="s">
        <v>8602</v>
      </c>
      <c r="C12" s="487">
        <f>'Data Entry - SOF'!E101</f>
        <v>0</v>
      </c>
      <c r="F12" s="209"/>
    </row>
    <row r="13" spans="1:113" s="119" customFormat="1">
      <c r="A13" s="1024" t="s">
        <v>8603</v>
      </c>
      <c r="C13" s="1039" t="e">
        <f>ASATR!H45</f>
        <v>#DIV/0!</v>
      </c>
      <c r="F13" s="209"/>
    </row>
    <row r="14" spans="1:113" s="119" customFormat="1" hidden="1">
      <c r="A14" s="281" t="s">
        <v>8604</v>
      </c>
      <c r="C14" s="487">
        <v>0</v>
      </c>
      <c r="F14" s="209"/>
    </row>
    <row r="15" spans="1:113" s="119" customFormat="1">
      <c r="A15" s="281" t="s">
        <v>8605</v>
      </c>
      <c r="C15" s="487" t="e">
        <f>'Report-T2Detail1819'!D16</f>
        <v>#DIV/0!</v>
      </c>
      <c r="F15" s="209"/>
    </row>
    <row r="16" spans="1:113" s="119" customFormat="1">
      <c r="A16" s="281" t="s">
        <v>6961</v>
      </c>
      <c r="C16" s="487" t="e">
        <f>'Report-T2Detail1819'!D22</f>
        <v>#DIV/0!</v>
      </c>
      <c r="F16" s="209"/>
    </row>
    <row r="17" spans="1:6" s="119" customFormat="1">
      <c r="A17" s="281" t="s">
        <v>8606</v>
      </c>
      <c r="C17" s="486">
        <f>'Calc Data'!E7</f>
        <v>0</v>
      </c>
      <c r="F17" s="209"/>
    </row>
    <row r="18" spans="1:6" s="119" customFormat="1">
      <c r="A18" s="281" t="s">
        <v>8607</v>
      </c>
      <c r="C18" s="487">
        <f>'IFA-OldLaw'!L86+'IFA-OldLaw'!M86</f>
        <v>0</v>
      </c>
      <c r="F18" s="209"/>
    </row>
    <row r="19" spans="1:6" s="119" customFormat="1">
      <c r="A19" s="281" t="s">
        <v>6966</v>
      </c>
      <c r="C19" s="487">
        <f>'Existing Debt-OldLaw'!I74</f>
        <v>0</v>
      </c>
      <c r="F19" s="209"/>
    </row>
    <row r="20" spans="1:6" s="119" customFormat="1">
      <c r="A20" s="281" t="s">
        <v>8608</v>
      </c>
      <c r="C20" s="487" t="e">
        <f>ASATR!H39</f>
        <v>#DIV/0!</v>
      </c>
      <c r="F20" s="209"/>
    </row>
    <row r="21" spans="1:6" s="119" customFormat="1">
      <c r="A21" s="281" t="s">
        <v>8578</v>
      </c>
      <c r="C21" s="489">
        <f>'Data Entry - SOF'!G100</f>
        <v>0</v>
      </c>
      <c r="D21" s="485"/>
      <c r="E21" s="280"/>
      <c r="F21" s="280"/>
    </row>
    <row r="22" spans="1:6" s="119" customFormat="1">
      <c r="A22" s="281" t="s">
        <v>8579</v>
      </c>
      <c r="C22" s="1029">
        <f>'Data Entry - SOF'!K148</f>
        <v>0</v>
      </c>
      <c r="D22"/>
      <c r="E22" s="280"/>
      <c r="F22" s="280"/>
    </row>
    <row r="23" spans="1:6" s="119" customFormat="1">
      <c r="A23" s="281" t="s">
        <v>8580</v>
      </c>
      <c r="C23" s="1025">
        <f>'Data Entry - SOF'!G101</f>
        <v>0</v>
      </c>
      <c r="E23" s="119" t="s">
        <v>8609</v>
      </c>
    </row>
    <row r="24" spans="1:6" s="119" customFormat="1">
      <c r="A24" s="281" t="s">
        <v>8581</v>
      </c>
      <c r="C24" s="1025">
        <f>'Data Entry - SOF'!G98</f>
        <v>0</v>
      </c>
      <c r="E24" s="119" t="s">
        <v>8610</v>
      </c>
    </row>
    <row r="25" spans="1:6" s="119" customFormat="1" ht="13.5" thickBot="1">
      <c r="A25" s="1026" t="s">
        <v>8582</v>
      </c>
      <c r="B25" s="1027"/>
      <c r="C25" s="1028">
        <f>'Data Entry - SOF'!G118</f>
        <v>0</v>
      </c>
    </row>
    <row r="26" spans="1:6" s="367" customFormat="1" hidden="1"/>
    <row r="27" spans="1:6" s="367" customFormat="1" hidden="1">
      <c r="A27" s="371" t="s">
        <v>1815</v>
      </c>
      <c r="C27" s="372"/>
    </row>
    <row r="28" spans="1:6" s="367" customFormat="1" hidden="1">
      <c r="A28" s="373" t="s">
        <v>362</v>
      </c>
      <c r="C28" s="372"/>
    </row>
    <row r="29" spans="1:6" s="367" customFormat="1" hidden="1">
      <c r="A29" s="373" t="s">
        <v>363</v>
      </c>
      <c r="C29" s="372"/>
    </row>
    <row r="30" spans="1:6" s="367" customFormat="1" hidden="1">
      <c r="A30" s="367" t="s">
        <v>8583</v>
      </c>
      <c r="C30" s="374">
        <v>2153.6520999999998</v>
      </c>
      <c r="E30" s="367" t="s">
        <v>8611</v>
      </c>
    </row>
    <row r="31" spans="1:6" s="367" customFormat="1" hidden="1">
      <c r="C31" s="372"/>
    </row>
    <row r="32" spans="1:6" s="367" customFormat="1" hidden="1">
      <c r="A32" s="373" t="s">
        <v>1814</v>
      </c>
      <c r="C32" s="372"/>
    </row>
    <row r="33" spans="1:5" s="367" customFormat="1" hidden="1">
      <c r="A33" s="367" t="s">
        <v>8584</v>
      </c>
      <c r="C33" s="375" t="e">
        <f>#REF!</f>
        <v>#REF!</v>
      </c>
    </row>
    <row r="34" spans="1:5" s="367" customFormat="1" hidden="1">
      <c r="A34" s="367" t="s">
        <v>8585</v>
      </c>
      <c r="C34" s="375" t="e">
        <f>#REF!</f>
        <v>#REF!</v>
      </c>
    </row>
    <row r="35" spans="1:5" s="367" customFormat="1" hidden="1">
      <c r="A35" s="367" t="s">
        <v>8586</v>
      </c>
      <c r="C35" s="378">
        <v>0</v>
      </c>
      <c r="E35" s="367" t="s">
        <v>2569</v>
      </c>
    </row>
    <row r="36" spans="1:5" s="367" customFormat="1" hidden="1">
      <c r="A36" s="367" t="s">
        <v>3185</v>
      </c>
      <c r="C36" s="375" t="e">
        <f>RateToMaintain1920!#REF!</f>
        <v>#REF!</v>
      </c>
    </row>
    <row r="37" spans="1:5" s="367" customFormat="1" hidden="1">
      <c r="A37" s="367" t="s">
        <v>8587</v>
      </c>
      <c r="C37" s="376" t="e">
        <f>'Data Entry - SOF'!#REF!</f>
        <v>#REF!</v>
      </c>
    </row>
    <row r="38" spans="1:5" s="367" customFormat="1" hidden="1">
      <c r="A38" s="367" t="s">
        <v>8588</v>
      </c>
      <c r="C38" s="376" t="e">
        <f>'Calc Data'!#REF!</f>
        <v>#REF!</v>
      </c>
      <c r="E38" s="367" t="s">
        <v>8612</v>
      </c>
    </row>
    <row r="39" spans="1:5" s="367" customFormat="1" hidden="1">
      <c r="A39" s="367" t="s">
        <v>8589</v>
      </c>
      <c r="C39" s="377" t="e">
        <f>'Calc Data'!#REF!</f>
        <v>#REF!</v>
      </c>
      <c r="E39" s="367" t="s">
        <v>8613</v>
      </c>
    </row>
    <row r="40" spans="1:5" s="367" customFormat="1" hidden="1">
      <c r="A40" s="367" t="s">
        <v>8590</v>
      </c>
      <c r="C40" s="375" t="e">
        <f>'Data Entry - SOF'!#REF!</f>
        <v>#REF!</v>
      </c>
      <c r="E40" s="367" t="s">
        <v>8614</v>
      </c>
    </row>
    <row r="41" spans="1:5" s="367" customFormat="1" hidden="1">
      <c r="A41" s="367" t="s">
        <v>8591</v>
      </c>
      <c r="C41" s="375" t="e">
        <f>'IFA-OldLaw'!#REF!</f>
        <v>#REF!</v>
      </c>
      <c r="E41" s="367" t="s">
        <v>8615</v>
      </c>
    </row>
    <row r="42" spans="1:5" s="367" customFormat="1" hidden="1">
      <c r="A42" s="367" t="s">
        <v>8592</v>
      </c>
      <c r="C42" s="375" t="e">
        <f>'IFA-OldLaw'!#REF!</f>
        <v>#REF!</v>
      </c>
      <c r="E42" s="367" t="s">
        <v>8616</v>
      </c>
    </row>
    <row r="43" spans="1:5" s="367" customFormat="1" hidden="1">
      <c r="A43" s="367" t="s">
        <v>8593</v>
      </c>
      <c r="C43" s="375" t="e">
        <f>'Existing Debt-OldLaw'!#REF!</f>
        <v>#REF!</v>
      </c>
      <c r="E43" s="367" t="s">
        <v>8617</v>
      </c>
    </row>
    <row r="44" spans="1:5" s="367" customFormat="1" hidden="1">
      <c r="A44" s="367" t="s">
        <v>8594</v>
      </c>
      <c r="C44" s="375" t="e">
        <f>'Calc Data'!#REF!</f>
        <v>#REF!</v>
      </c>
      <c r="E44" s="367" t="s">
        <v>8618</v>
      </c>
    </row>
    <row r="45" spans="1:5" s="367" customFormat="1" hidden="1">
      <c r="A45" s="367" t="s">
        <v>8595</v>
      </c>
      <c r="C45" s="375" t="e">
        <f>'Data Entry - SOF'!#REF!</f>
        <v>#REF!</v>
      </c>
      <c r="E45" s="367" t="s">
        <v>2650</v>
      </c>
    </row>
    <row r="46" spans="1:5" s="367" customFormat="1" hidden="1">
      <c r="A46" s="367" t="s">
        <v>8596</v>
      </c>
      <c r="C46" s="379" t="e">
        <f>#REF!</f>
        <v>#REF!</v>
      </c>
      <c r="E46" s="367" t="s">
        <v>8619</v>
      </c>
    </row>
    <row r="47" spans="1:5" s="367" customFormat="1" hidden="1">
      <c r="A47" s="367" t="s">
        <v>8597</v>
      </c>
      <c r="C47" s="375"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703125" bestFit="1" customWidth="1"/>
    <col min="3" max="3" width="13.5703125" customWidth="1"/>
    <col min="4" max="4" width="44.5703125" customWidth="1"/>
    <col min="5" max="6" width="19.140625" customWidth="1"/>
    <col min="7" max="7" width="19.140625" hidden="1" customWidth="1"/>
    <col min="8" max="8" width="3.5703125" customWidth="1"/>
    <col min="9" max="9" width="13.85546875" customWidth="1"/>
    <col min="10" max="13" width="13.5703125" customWidth="1"/>
    <col min="14" max="14" width="13.5703125" style="37" customWidth="1"/>
    <col min="15" max="15" width="13.5703125" customWidth="1"/>
    <col min="37" max="37" width="15.5703125" customWidth="1"/>
    <col min="38" max="38" width="16" customWidth="1"/>
  </cols>
  <sheetData>
    <row r="1" spans="1:8">
      <c r="A1" s="20" t="s">
        <v>66</v>
      </c>
      <c r="C1" s="264">
        <f>'Data Entry - SOF'!B1</f>
        <v>0</v>
      </c>
      <c r="E1" s="362"/>
      <c r="G1" s="631"/>
      <c r="H1" s="59"/>
    </row>
    <row r="2" spans="1:8">
      <c r="A2" s="20" t="s">
        <v>67</v>
      </c>
      <c r="C2" s="12">
        <f>'Data Entry - SOF'!B2</f>
        <v>0</v>
      </c>
      <c r="G2" s="59"/>
      <c r="H2" s="59"/>
    </row>
    <row r="3" spans="1:8">
      <c r="A3" s="20" t="s">
        <v>143</v>
      </c>
      <c r="C3" s="62">
        <f ca="1">'Data Entry - SOF'!B3</f>
        <v>43726.623322453706</v>
      </c>
      <c r="G3" s="58"/>
    </row>
    <row r="4" spans="1:8">
      <c r="D4" s="295" t="s">
        <v>3178</v>
      </c>
    </row>
    <row r="5" spans="1:8">
      <c r="D5" s="296" t="s">
        <v>3184</v>
      </c>
    </row>
    <row r="7" spans="1:8">
      <c r="D7" s="20" t="s">
        <v>1393</v>
      </c>
    </row>
    <row r="8" spans="1:8">
      <c r="B8" s="4"/>
      <c r="D8" s="20" t="s">
        <v>832</v>
      </c>
      <c r="F8" s="19">
        <f>'Calc Data'!D7</f>
        <v>0</v>
      </c>
      <c r="G8" s="19"/>
      <c r="H8" s="18"/>
    </row>
    <row r="9" spans="1:8">
      <c r="D9" s="20" t="s">
        <v>1394</v>
      </c>
      <c r="F9" s="19" t="e">
        <f>'Calc Data'!D8</f>
        <v>#REF!</v>
      </c>
      <c r="G9" s="19"/>
      <c r="H9" s="18"/>
    </row>
    <row r="10" spans="1:8">
      <c r="D10" s="20" t="s">
        <v>426</v>
      </c>
      <c r="F10" s="19" t="e">
        <f>'Data Entry - SOF'!#REF!</f>
        <v>#REF!</v>
      </c>
      <c r="G10" s="19"/>
      <c r="H10" s="18"/>
    </row>
    <row r="11" spans="1:8">
      <c r="B11" s="20"/>
      <c r="D11" s="20" t="s">
        <v>427</v>
      </c>
      <c r="F11" s="19" t="e">
        <f>'Calc Data'!D10</f>
        <v>#REF!</v>
      </c>
      <c r="G11" s="19"/>
      <c r="H11" s="18"/>
    </row>
    <row r="12" spans="1:8">
      <c r="D12" s="20" t="s">
        <v>428</v>
      </c>
      <c r="F12" s="16" t="e">
        <f>'Data Entry - SOF'!#REF!</f>
        <v>#REF!</v>
      </c>
      <c r="G12" s="16"/>
      <c r="H12" s="16"/>
    </row>
    <row r="13" spans="1:8">
      <c r="D13" s="20" t="s">
        <v>429</v>
      </c>
      <c r="F13" s="725" t="s">
        <v>3796</v>
      </c>
      <c r="G13" s="16"/>
      <c r="H13" s="16"/>
    </row>
    <row r="14" spans="1:8">
      <c r="D14" s="20" t="s">
        <v>1811</v>
      </c>
      <c r="F14" s="19" t="e">
        <f>'Data Entry - SOF'!#REF!</f>
        <v>#REF!</v>
      </c>
      <c r="G14" s="19"/>
      <c r="H14" s="16"/>
    </row>
    <row r="15" spans="1:8">
      <c r="D15" s="20" t="s">
        <v>1155</v>
      </c>
      <c r="F15" s="19" t="e">
        <f>'Calc Data'!D59</f>
        <v>#REF!</v>
      </c>
      <c r="G15" s="19"/>
      <c r="H15" s="17"/>
    </row>
    <row r="16" spans="1:8">
      <c r="D16" s="20" t="s">
        <v>1956</v>
      </c>
      <c r="F16" s="16" t="e">
        <f>'Data Entry - SOF'!#REF!</f>
        <v>#REF!</v>
      </c>
      <c r="G16" s="16"/>
      <c r="H16" s="16"/>
    </row>
    <row r="17" spans="2:37" ht="13.5" thickBot="1">
      <c r="D17" s="27"/>
      <c r="E17" s="10"/>
      <c r="F17" s="10"/>
      <c r="H17" s="16"/>
    </row>
    <row r="18" spans="2:37" ht="13.5" thickTop="1">
      <c r="D18" s="20"/>
      <c r="H18" s="16"/>
    </row>
    <row r="19" spans="2:37" ht="15.75" hidden="1">
      <c r="D19" s="20"/>
      <c r="E19" s="332" t="s">
        <v>95</v>
      </c>
      <c r="F19" s="331" t="e">
        <f>IF(#REF!="y","ASATR DIST","FORMULA DIST")</f>
        <v>#REF!</v>
      </c>
      <c r="G19" s="632"/>
      <c r="H19" s="20"/>
      <c r="AK19" t="s">
        <v>2305</v>
      </c>
    </row>
    <row r="20" spans="2:37" ht="15.75">
      <c r="B20" s="24" t="s">
        <v>430</v>
      </c>
      <c r="D20" s="20"/>
      <c r="F20" s="633" t="s">
        <v>469</v>
      </c>
      <c r="G20" s="633" t="s">
        <v>3177</v>
      </c>
      <c r="H20" s="20"/>
    </row>
    <row r="21" spans="2:37" ht="15.75">
      <c r="B21" s="24">
        <v>11</v>
      </c>
      <c r="D21" s="100" t="s">
        <v>3181</v>
      </c>
      <c r="F21" s="311" t="e">
        <f>ROUND(ROUND('Calc Data'!V9,0)*IF('Calc Data'!D11&gt;'Calc Data'!D10,'Calc Data'!D11,'Calc Data'!D10),0)</f>
        <v>#REF!</v>
      </c>
      <c r="G21" s="311" t="e">
        <f>ROUND(ROUND('Calc Data'!V9,0)*IF('Calc Data'!D11&gt;'Calc Data'!D10,'Calc Data'!D11,'Calc Data'!D10),0)*Weights!I4</f>
        <v>#REF!</v>
      </c>
      <c r="H21" s="16"/>
      <c r="I21" s="82" t="s">
        <v>859</v>
      </c>
      <c r="AK21" s="16" t="e">
        <f>ROUND(ROUND('Calc Data'!AC23,0)*IF('Calc Data'!#REF!&gt;'Calc Data'!#REF!,'Calc Data'!#REF!,'Calc Data'!#REF!),0)</f>
        <v>#REF!</v>
      </c>
    </row>
    <row r="22" spans="2:37">
      <c r="B22" s="24">
        <v>23</v>
      </c>
      <c r="D22" s="20" t="s">
        <v>89</v>
      </c>
      <c r="F22" s="16" t="e">
        <f>ROUND('Calc Data'!D9*ROUND('Calc Data'!V9,0),0)</f>
        <v>#REF!</v>
      </c>
      <c r="G22" s="16" t="e">
        <f>ROUND('Calc Data'!D9*ROUND('Calc Data'!V9,0),0)</f>
        <v>#REF!</v>
      </c>
      <c r="H22" s="16"/>
      <c r="AK22" s="16" t="e">
        <f>ROUND('Calc Data'!#REF!*ROUND('Calc Data'!AC23,0),0)</f>
        <v>#REF!</v>
      </c>
    </row>
    <row r="23" spans="2:37">
      <c r="B23" s="24"/>
      <c r="D23" s="20" t="s">
        <v>90</v>
      </c>
    </row>
    <row r="24" spans="2:37">
      <c r="B24" s="24">
        <v>23</v>
      </c>
      <c r="D24" s="20" t="s">
        <v>91</v>
      </c>
      <c r="F24" s="26" t="e">
        <f>ROUND('Data Entry - SOF'!#REF!*Weights!I21*ROUND('Calc Data'!V9,0),0)</f>
        <v>#REF!</v>
      </c>
      <c r="G24" s="26" t="e">
        <f>ROUND('Data Entry - SOF'!#REF!*Weights!I21*ROUND('Calc Data'!V9,0),0)</f>
        <v>#REF!</v>
      </c>
      <c r="H24" s="26"/>
      <c r="AK24" s="26" t="e">
        <f>ROUND('Data Entry - SOF'!#REF!*1.1*ROUND('Calc Data'!AC23,0),0)</f>
        <v>#REF!</v>
      </c>
    </row>
    <row r="25" spans="2:37">
      <c r="B25" s="24">
        <v>23</v>
      </c>
      <c r="D25" s="20" t="s">
        <v>92</v>
      </c>
      <c r="F25" s="16" t="e">
        <f>ROUND((+'Data Entry - SOF'!#REF!*Weights!I19)*ROUND('Calc Data'!V9,0),0)</f>
        <v>#REF!</v>
      </c>
      <c r="G25" s="16" t="e">
        <f>ROUND((+'Data Entry - SOF'!#REF!*Weights!I19)*ROUND('Calc Data'!V9,0),0)</f>
        <v>#REF!</v>
      </c>
      <c r="H25" s="16"/>
      <c r="AK25" s="16" t="e">
        <f>ROUND((+'Data Entry - SOF'!#REF!*4)*ROUND('Calc Data'!AC23,0),0)</f>
        <v>#REF!</v>
      </c>
    </row>
    <row r="26" spans="2:37">
      <c r="B26" s="24">
        <v>23</v>
      </c>
      <c r="D26" s="22" t="s">
        <v>812</v>
      </c>
      <c r="F26" s="16" t="e">
        <f>ROUND((+'Data Entry - SOF'!#REF!*Weights!I17)*ROUND('Calc Data'!V9,0),0)</f>
        <v>#REF!</v>
      </c>
      <c r="G26" s="16" t="e">
        <f>ROUND((+'Data Entry - SOF'!#REF!*Weights!I17)*ROUND('Calc Data'!V9,0),0)</f>
        <v>#REF!</v>
      </c>
      <c r="H26" s="16"/>
      <c r="AK26" s="16" t="e">
        <f>ROUND((+'Data Entry - SOF'!#REF!*2.8)*ROUND('Calc Data'!AC23,0),0)</f>
        <v>#REF!</v>
      </c>
    </row>
    <row r="27" spans="2:37">
      <c r="B27" s="24">
        <v>23</v>
      </c>
      <c r="D27" s="22" t="s">
        <v>813</v>
      </c>
      <c r="F27" s="16" t="e">
        <f>ROUND(('Data Entry - SOF'!#REF!*Weights!I18)*ROUND('Calc Data'!V9,0),0)</f>
        <v>#REF!</v>
      </c>
      <c r="G27" s="16" t="e">
        <f>ROUND(('Data Entry - SOF'!#REF!*Weights!I18)*ROUND('Calc Data'!V9,0),0)</f>
        <v>#REF!</v>
      </c>
      <c r="H27" s="16"/>
      <c r="AK27" s="16" t="e">
        <f>ROUND(('Data Entry - SOF'!#REF!*1.7)*ROUND('Calc Data'!AC23,0),0)</f>
        <v>#REF!</v>
      </c>
    </row>
    <row r="28" spans="2:37">
      <c r="B28" s="24"/>
      <c r="D28" s="20" t="s">
        <v>1145</v>
      </c>
      <c r="F28" s="16" t="e">
        <f>IF('Data Entry - SOF'!#REF!&lt;0,'Data Entry - SOF'!#REF!,'Data Entry - SOF'!#REF!*-1)</f>
        <v>#REF!</v>
      </c>
      <c r="G28" s="16" t="e">
        <f>IF('Data Entry - SOF'!#REF!&lt;0,'Data Entry - SOF'!#REF!,'Data Entry - SOF'!#REF!*-1)</f>
        <v>#REF!</v>
      </c>
      <c r="H28" s="16"/>
      <c r="AK28" s="16">
        <v>0</v>
      </c>
    </row>
    <row r="29" spans="2:37">
      <c r="B29" s="24">
        <v>22</v>
      </c>
      <c r="C29" s="14"/>
      <c r="D29" s="20" t="s">
        <v>102</v>
      </c>
      <c r="F29" s="16" t="e">
        <f>ROUND(ROUND('Calc Data'!V9,0)*'Data Entry - SOF'!#REF!*Weights!I23,0)</f>
        <v>#REF!</v>
      </c>
      <c r="G29" s="16" t="e">
        <f>ROUND(ROUND('Calc Data'!V9,0)*'Data Entry - SOF'!#REF!*Weights!I23,0)</f>
        <v>#REF!</v>
      </c>
      <c r="H29" s="16"/>
      <c r="AK29" s="16" t="e">
        <f>ROUND(ROUND('Calc Data'!AC23,0)*'Data Entry - SOF'!#REF!*1.35,0)</f>
        <v>#REF!</v>
      </c>
    </row>
    <row r="30" spans="2:37">
      <c r="B30" s="24"/>
      <c r="C30" s="14"/>
      <c r="D30" s="35" t="s">
        <v>644</v>
      </c>
      <c r="F30" s="16" t="e">
        <f>Weights!I24*'Data Entry - SOF'!#REF!</f>
        <v>#REF!</v>
      </c>
      <c r="G30" s="16" t="e">
        <f>Weights!I24*'Data Entry - SOF'!#REF!</f>
        <v>#REF!</v>
      </c>
      <c r="H30" s="16"/>
      <c r="AK30" s="16"/>
    </row>
    <row r="31" spans="2:37" hidden="1">
      <c r="B31" s="24"/>
      <c r="C31" s="14"/>
      <c r="D31" s="35" t="s">
        <v>645</v>
      </c>
      <c r="F31" s="16" t="e">
        <f>400*'Data Entry - SOF'!#REF!</f>
        <v>#REF!</v>
      </c>
      <c r="G31" s="16" t="e">
        <f t="shared" ref="G31:G43" si="0">F31</f>
        <v>#REF!</v>
      </c>
      <c r="H31" s="16"/>
      <c r="AK31" s="16"/>
    </row>
    <row r="32" spans="2:37" hidden="1">
      <c r="B32" s="24"/>
      <c r="C32" s="14"/>
      <c r="D32" s="35" t="s">
        <v>646</v>
      </c>
      <c r="F32" s="16" t="e">
        <f>80*'Data Entry - SOF'!#REF!</f>
        <v>#REF!</v>
      </c>
      <c r="G32" s="16" t="e">
        <f t="shared" si="0"/>
        <v>#REF!</v>
      </c>
      <c r="H32" s="16"/>
      <c r="AK32" s="16"/>
    </row>
    <row r="33" spans="2:37">
      <c r="B33" s="24">
        <v>21</v>
      </c>
      <c r="D33" s="20" t="s">
        <v>2634</v>
      </c>
      <c r="F33" s="16" t="e">
        <f>ROUND(ROUND('Calc Data'!V9,0)*'Data Entry - SOF'!#REF!*Weights!I28,0)</f>
        <v>#REF!</v>
      </c>
      <c r="G33" s="16" t="e">
        <f>ROUND(ROUND('Calc Data'!V9,0)*'Data Entry - SOF'!#REF!*Weights!I28,0)</f>
        <v>#REF!</v>
      </c>
      <c r="H33" s="16"/>
      <c r="AK33" s="16" t="e">
        <f>ROUND(ROUND('Calc Data'!AC23,0)*'Data Entry - SOF'!#REF!*0.12,0)</f>
        <v>#REF!</v>
      </c>
    </row>
    <row r="34" spans="2:37">
      <c r="B34" s="24"/>
      <c r="D34" s="20" t="s">
        <v>397</v>
      </c>
      <c r="F34" s="16" t="e">
        <f>IF('Data Entry - SOF'!#REF!&lt;0,'Data Entry - SOF'!#REF!,'Data Entry - SOF'!#REF!*-1)</f>
        <v>#REF!</v>
      </c>
      <c r="G34" s="16" t="e">
        <f>IF('Data Entry - SOF'!#REF!&lt;0,'Data Entry - SOF'!#REF!,'Data Entry - SOF'!#REF!*-1)</f>
        <v>#REF!</v>
      </c>
      <c r="H34" s="16"/>
      <c r="AK34" s="16">
        <v>0</v>
      </c>
    </row>
    <row r="35" spans="2:37">
      <c r="B35" s="24" t="s">
        <v>2497</v>
      </c>
      <c r="D35" s="20" t="s">
        <v>398</v>
      </c>
      <c r="F35" s="16" t="e">
        <f>ROUND(ROUND('Calc Data'!V9,0)*'Data Entry - SOF'!#REF!*Weights!I30,0)</f>
        <v>#REF!</v>
      </c>
      <c r="G35" s="16" t="e">
        <f>ROUND(ROUND('Calc Data'!V9,0)*'Data Entry - SOF'!#REF!*Weights!I30,0)</f>
        <v>#REF!</v>
      </c>
      <c r="H35" s="16"/>
      <c r="AK35" s="16" t="e">
        <f>ROUND(ROUND('Calc Data'!AC23,0)*'Data Entry - SOF'!#REF!*0.2,0)</f>
        <v>#REF!</v>
      </c>
    </row>
    <row r="36" spans="2:37">
      <c r="B36" s="24" t="s">
        <v>2497</v>
      </c>
      <c r="D36" s="20" t="s">
        <v>399</v>
      </c>
      <c r="F36" s="16" t="e">
        <f>ROUND(ROUND('Calc Data'!V9,0)*'Data Entry - SOF'!#REF!*Weights!I31,0)</f>
        <v>#REF!</v>
      </c>
      <c r="G36" s="16" t="e">
        <f>ROUND(ROUND('Calc Data'!V9,0)*'Data Entry - SOF'!#REF!*Weights!I31,0)</f>
        <v>#REF!</v>
      </c>
      <c r="H36" s="16"/>
      <c r="AK36" s="16" t="e">
        <f>ROUND(ROUND('Calc Data'!AC23,0)*'Data Entry - SOF'!#REF!*2.41,0)</f>
        <v>#REF!</v>
      </c>
    </row>
    <row r="37" spans="2:37" hidden="1">
      <c r="B37" s="24" t="s">
        <v>2497</v>
      </c>
      <c r="D37" s="71" t="s">
        <v>451</v>
      </c>
      <c r="E37" s="310"/>
      <c r="F37" s="16" t="e">
        <f>650*'Data Entry - SOF'!#REF!</f>
        <v>#REF!</v>
      </c>
      <c r="G37" s="16" t="e">
        <f t="shared" si="0"/>
        <v>#REF!</v>
      </c>
      <c r="H37" s="16"/>
      <c r="AK37" s="16"/>
    </row>
    <row r="38" spans="2:37" hidden="1">
      <c r="B38" s="24"/>
      <c r="D38" s="20" t="s">
        <v>1229</v>
      </c>
      <c r="F38" s="16">
        <v>0</v>
      </c>
      <c r="G38" s="16">
        <f t="shared" si="0"/>
        <v>0</v>
      </c>
      <c r="H38" s="16"/>
      <c r="AK38" s="16">
        <v>0</v>
      </c>
    </row>
    <row r="39" spans="2:37">
      <c r="B39" s="24">
        <v>25</v>
      </c>
      <c r="D39" s="20" t="s">
        <v>1135</v>
      </c>
      <c r="F39" s="16" t="e">
        <f>ROUND(ROUND('Calc Data'!V9,0)*('Data Entry - SOF'!#REF!*Weights!I26),0)</f>
        <v>#REF!</v>
      </c>
      <c r="G39" s="16" t="e">
        <f>ROUND(ROUND('Calc Data'!V9,0)*('Data Entry - SOF'!#REF!*Weights!I26),0)</f>
        <v>#REF!</v>
      </c>
      <c r="H39" s="16"/>
      <c r="AK39" s="16" t="e">
        <f>ROUND(ROUND('Calc Data'!AC23,0)*('Data Entry - SOF'!#REF!*0.1),0)</f>
        <v>#REF!</v>
      </c>
    </row>
    <row r="40" spans="2:37">
      <c r="B40" s="24">
        <v>31</v>
      </c>
      <c r="D40" s="35" t="s">
        <v>2435</v>
      </c>
      <c r="F40" s="16" t="e">
        <f>Weights!I33*'Data Entry - SOF'!#REF!</f>
        <v>#REF!</v>
      </c>
      <c r="G40" s="16" t="e">
        <f>Weights!I33*'Data Entry - SOF'!#REF!</f>
        <v>#REF!</v>
      </c>
      <c r="H40" s="16"/>
      <c r="AK40" s="16" t="e">
        <f>#REF!</f>
        <v>#REF!</v>
      </c>
    </row>
    <row r="41" spans="2:37">
      <c r="B41" s="24"/>
      <c r="D41" s="20" t="s">
        <v>872</v>
      </c>
      <c r="F41" s="16" t="e">
        <f>ROUND(ROUND('Calc Data'!V9,0)*'Data Entry - SOF'!#REF!*Weights!I37,0)</f>
        <v>#REF!</v>
      </c>
      <c r="G41" s="16" t="e">
        <f>ROUND(ROUND('Calc Data'!V9,0)*'Data Entry - SOF'!#REF!*Weights!I37,0)</f>
        <v>#REF!</v>
      </c>
      <c r="H41" s="16"/>
      <c r="AK41" s="16" t="e">
        <f>ROUND(ROUND('Calc Data'!AC23,0)*'Data Entry - SOF'!#REF!*0.1,0)</f>
        <v>#REF!</v>
      </c>
    </row>
    <row r="42" spans="2:37" ht="15.75">
      <c r="B42" s="24"/>
      <c r="D42" s="318" t="s">
        <v>391</v>
      </c>
      <c r="F42" s="87">
        <v>0</v>
      </c>
      <c r="G42" s="16">
        <f t="shared" si="0"/>
        <v>0</v>
      </c>
      <c r="H42" s="16"/>
      <c r="AK42" s="16" t="e">
        <f>'Data Entry - SOF'!#REF!*250</f>
        <v>#REF!</v>
      </c>
    </row>
    <row r="43" spans="2:37">
      <c r="B43" s="24">
        <v>99</v>
      </c>
      <c r="D43" s="20" t="s">
        <v>2087</v>
      </c>
      <c r="F43" s="25" t="e">
        <f>'Data Entry - SOF'!#REF!</f>
        <v>#REF!</v>
      </c>
      <c r="G43" s="634" t="e">
        <f t="shared" si="0"/>
        <v>#REF!</v>
      </c>
      <c r="H43" s="16"/>
      <c r="AK43" s="25" t="e">
        <f>'Data Entry - SOF'!#REF!</f>
        <v>#REF!</v>
      </c>
    </row>
    <row r="44" spans="2:37">
      <c r="D44" s="20" t="s">
        <v>530</v>
      </c>
      <c r="F44" s="16" t="e">
        <f>SUM(F21:F43)</f>
        <v>#REF!</v>
      </c>
      <c r="G44" s="16" t="e">
        <f>SUM(G21:G43)</f>
        <v>#REF!</v>
      </c>
      <c r="H44" s="16"/>
      <c r="AK44" s="16" t="e">
        <f>SUM(AK21:AK43)</f>
        <v>#REF!</v>
      </c>
    </row>
    <row r="45" spans="2:37">
      <c r="D45" s="20" t="s">
        <v>786</v>
      </c>
      <c r="F45" s="28" t="e">
        <f>IF('Data Entry - SOF'!#REF!&gt;1.00005,1.00005*('Data Entry - SOF'!#REF!/100),'Data Entry - SOF'!#REF!*('Data Entry - SOF'!#REF!/100))</f>
        <v>#REF!</v>
      </c>
      <c r="G45" s="48" t="e">
        <f>F45</f>
        <v>#REF!</v>
      </c>
      <c r="H45" s="29"/>
      <c r="AK45" s="28" t="e">
        <f>#REF!</f>
        <v>#REF!</v>
      </c>
    </row>
    <row r="46" spans="2:37">
      <c r="D46" s="20" t="s">
        <v>785</v>
      </c>
      <c r="F46" s="29" t="e">
        <f>F44-F45</f>
        <v>#REF!</v>
      </c>
      <c r="G46" s="29" t="e">
        <f>G44-G45</f>
        <v>#REF!</v>
      </c>
      <c r="H46" s="29"/>
      <c r="AK46" s="29" t="e">
        <f>AK44-AK45</f>
        <v>#REF!</v>
      </c>
    </row>
    <row r="47" spans="2:37">
      <c r="D47" s="20"/>
      <c r="H47" s="29"/>
      <c r="M47" s="46"/>
      <c r="AK47" s="29"/>
    </row>
    <row r="48" spans="2:37">
      <c r="D48" s="315" t="s">
        <v>736</v>
      </c>
      <c r="H48" s="29"/>
      <c r="M48" s="46"/>
      <c r="AK48" s="29"/>
    </row>
    <row r="49" spans="4:9">
      <c r="D49" s="20" t="s">
        <v>1523</v>
      </c>
      <c r="F49" s="65" t="e">
        <f>IF(F46&lt;F77+F40+F31+F32,F77+F40+F31+F32,F46)</f>
        <v>#REF!</v>
      </c>
      <c r="G49" s="65" t="e">
        <f>IF(G46&lt;G77+G40+G31+G32,G77+G40+G31+G32,G46)</f>
        <v>#REF!</v>
      </c>
      <c r="H49" s="29"/>
      <c r="I49" s="46" t="s">
        <v>2660</v>
      </c>
    </row>
    <row r="50" spans="4:9" hidden="1">
      <c r="D50" s="20" t="s">
        <v>2273</v>
      </c>
      <c r="H50" s="29" t="e">
        <f>ROUND(IF((24.7*'Calc Data'!#REF!*IF('Calc Data'!#REF!&gt;=0.64,0.64,'Calc Data'!#REF!)*100)&lt;'Calc Data'!#REF!,0,(24.7*'Calc Data'!#REF!*IF('Calc Data'!#REF!&gt;=0.64,0.64,'Calc Data'!#REF!)*100)-'Calc Data'!#REF!),0)</f>
        <v>#REF!</v>
      </c>
    </row>
    <row r="51" spans="4:9">
      <c r="D51" s="20"/>
      <c r="H51" s="29"/>
    </row>
    <row r="52" spans="4:9">
      <c r="D52" s="20" t="s">
        <v>2395</v>
      </c>
      <c r="F52" s="29" t="e">
        <f>ROUND(IF((Assumptions!G48*'Calc Data'!W11*'Calc Data'!D35*100)&lt;'Calc Data'!D42,0,(Assumptions!G48*'Calc Data'!W11*'Calc Data'!D35*100)-'Calc Data'!D42),0)</f>
        <v>#REF!</v>
      </c>
      <c r="G52" s="29" t="e">
        <f>ROUND(IF((Assumptions!G48*'Calc Data'!V11*'Calc Data'!D35*100)&lt;'Calc Data'!D42,0,(Assumptions!G48*'Calc Data'!V11*'Calc Data'!D35*100)-'Calc Data'!D42),0)</f>
        <v>#REF!</v>
      </c>
      <c r="H52" s="29"/>
    </row>
    <row r="53" spans="4:9">
      <c r="D53" s="20" t="s">
        <v>473</v>
      </c>
      <c r="F53" s="48" t="e">
        <f>ROUND(IF((Assumptions!G49*'Calc Data'!W11*'Calc Data'!D38*100)&lt;'Calc Data'!D43,0,(Assumptions!G49*'Calc Data'!W11*'Calc Data'!D38*100)-'Calc Data'!D43),0)</f>
        <v>#REF!</v>
      </c>
      <c r="G53" s="48" t="e">
        <f>ROUND(IF((Assumptions!G49*'Calc Data'!V11*'Calc Data'!D38*100)&lt;'Calc Data'!D43,0,(Assumptions!G49*'Calc Data'!V11*'Calc Data'!D38*100)-'Calc Data'!D43),0)</f>
        <v>#REF!</v>
      </c>
      <c r="H53" s="29"/>
    </row>
    <row r="54" spans="4:9">
      <c r="D54" s="20" t="s">
        <v>284</v>
      </c>
      <c r="F54" s="29" t="e">
        <f>SUM(F50:F53)</f>
        <v>#REF!</v>
      </c>
      <c r="G54" s="29" t="e">
        <f>SUM(G50:G53)</f>
        <v>#REF!</v>
      </c>
      <c r="H54" s="29"/>
    </row>
    <row r="55" spans="4:9">
      <c r="D55" s="20"/>
      <c r="H55" s="29"/>
    </row>
    <row r="56" spans="4:9">
      <c r="D56" s="20" t="s">
        <v>733</v>
      </c>
      <c r="H56" s="29"/>
    </row>
    <row r="57" spans="4:9" ht="15.75">
      <c r="D57" s="100" t="s">
        <v>1804</v>
      </c>
      <c r="F57" s="139" t="e">
        <f>ASATR!T27</f>
        <v>#REF!</v>
      </c>
      <c r="G57" s="139" t="e">
        <f>ASATR!#REF!</f>
        <v>#REF!</v>
      </c>
      <c r="H57" s="29"/>
    </row>
    <row r="58" spans="4:9">
      <c r="D58" s="20" t="s">
        <v>758</v>
      </c>
      <c r="F58" s="29" t="e">
        <f>'Data Entry - SOF'!#REF!</f>
        <v>#REF!</v>
      </c>
      <c r="G58" s="29" t="e">
        <f>F58</f>
        <v>#REF!</v>
      </c>
      <c r="H58" s="29"/>
    </row>
    <row r="59" spans="4:9">
      <c r="D59" s="20" t="s">
        <v>3051</v>
      </c>
      <c r="F59" s="29" t="e">
        <f>'Data Entry - SOF'!#REF!</f>
        <v>#REF!</v>
      </c>
      <c r="G59" s="29" t="e">
        <f t="shared" ref="G59:G69" si="1">F59</f>
        <v>#REF!</v>
      </c>
      <c r="H59" s="29"/>
    </row>
    <row r="60" spans="4:9">
      <c r="D60" s="20" t="s">
        <v>3052</v>
      </c>
      <c r="F60" s="29" t="e">
        <f>'Data Entry - SOF'!#REF!</f>
        <v>#REF!</v>
      </c>
      <c r="G60" s="29" t="e">
        <f t="shared" si="1"/>
        <v>#REF!</v>
      </c>
      <c r="H60" s="29"/>
    </row>
    <row r="61" spans="4:9">
      <c r="D61" s="20" t="s">
        <v>3053</v>
      </c>
      <c r="F61" s="29" t="e">
        <f>'Data Entry - SOF'!#REF!</f>
        <v>#REF!</v>
      </c>
      <c r="G61" s="29" t="e">
        <f t="shared" si="1"/>
        <v>#REF!</v>
      </c>
      <c r="H61" s="29"/>
    </row>
    <row r="62" spans="4:9">
      <c r="D62" s="20" t="s">
        <v>3054</v>
      </c>
      <c r="F62" s="29" t="e">
        <f>'Data Entry - SOF'!#REF!</f>
        <v>#REF!</v>
      </c>
      <c r="G62" s="29" t="e">
        <f t="shared" si="1"/>
        <v>#REF!</v>
      </c>
      <c r="H62" s="29"/>
    </row>
    <row r="63" spans="4:9">
      <c r="D63" s="20" t="s">
        <v>3055</v>
      </c>
      <c r="F63" s="29">
        <v>0</v>
      </c>
      <c r="G63" s="29">
        <f t="shared" si="1"/>
        <v>0</v>
      </c>
      <c r="H63" s="29"/>
    </row>
    <row r="64" spans="4:9">
      <c r="D64" s="20" t="s">
        <v>3056</v>
      </c>
      <c r="F64" s="29" t="e">
        <f>'Data Entry - SOF'!#REF!</f>
        <v>#REF!</v>
      </c>
      <c r="G64" s="29" t="e">
        <f t="shared" si="1"/>
        <v>#REF!</v>
      </c>
      <c r="H64" s="29"/>
    </row>
    <row r="65" spans="1:8">
      <c r="D65" s="20" t="s">
        <v>2444</v>
      </c>
      <c r="F65" s="29">
        <v>0</v>
      </c>
      <c r="G65" s="29">
        <f t="shared" si="1"/>
        <v>0</v>
      </c>
      <c r="H65" s="29"/>
    </row>
    <row r="66" spans="1:8">
      <c r="D66" s="20" t="s">
        <v>2436</v>
      </c>
      <c r="F66" s="29" t="e">
        <f>(500*'Data Entry - SOF'!#REF!)+(250*'Data Entry - SOF'!#REF!)</f>
        <v>#REF!</v>
      </c>
      <c r="G66" s="29" t="e">
        <f t="shared" si="1"/>
        <v>#REF!</v>
      </c>
      <c r="H66" s="29"/>
    </row>
    <row r="67" spans="1:8">
      <c r="D67" s="20" t="s">
        <v>734</v>
      </c>
      <c r="F67" s="285" t="e">
        <f>(('Data Entry - SOF'!#REF!/'Data Entry - SOF'!C19)*'Data Entry - SOF'!#REF!)*-1</f>
        <v>#REF!</v>
      </c>
      <c r="G67" s="29" t="e">
        <f t="shared" si="1"/>
        <v>#REF!</v>
      </c>
      <c r="H67" s="29"/>
    </row>
    <row r="68" spans="1:8">
      <c r="D68" s="20" t="s">
        <v>735</v>
      </c>
      <c r="F68" s="285" t="e">
        <f>(('Data Entry - SOF'!#REF!/'Data Entry - SOF'!C19)*'Data Entry - SOF'!#REF!)*-1</f>
        <v>#REF!</v>
      </c>
      <c r="G68" s="29" t="e">
        <f t="shared" si="1"/>
        <v>#REF!</v>
      </c>
      <c r="H68" s="29"/>
    </row>
    <row r="69" spans="1:8">
      <c r="D69" s="20" t="s">
        <v>2985</v>
      </c>
      <c r="F69" s="502">
        <v>0</v>
      </c>
      <c r="G69" s="48">
        <f t="shared" si="1"/>
        <v>0</v>
      </c>
      <c r="H69" s="29"/>
    </row>
    <row r="70" spans="1:8">
      <c r="D70" s="286" t="s">
        <v>172</v>
      </c>
      <c r="F70" s="29" t="e">
        <f>SUM(F57:F69)</f>
        <v>#REF!</v>
      </c>
      <c r="G70" s="29" t="e">
        <f>SUM(G57:G69)</f>
        <v>#REF!</v>
      </c>
      <c r="H70" s="29"/>
    </row>
    <row r="71" spans="1:8">
      <c r="D71" s="286"/>
      <c r="F71" s="35"/>
      <c r="G71" s="35"/>
      <c r="H71" s="29"/>
    </row>
    <row r="72" spans="1:8">
      <c r="D72" s="20" t="s">
        <v>2396</v>
      </c>
      <c r="F72" s="29">
        <f>F77*-1</f>
        <v>0</v>
      </c>
      <c r="G72" s="29" t="e">
        <f>G77*-1</f>
        <v>#REF!</v>
      </c>
      <c r="H72" s="29"/>
    </row>
    <row r="73" spans="1:8" ht="13.5" thickBot="1">
      <c r="D73" s="20"/>
      <c r="H73" s="29"/>
    </row>
    <row r="74" spans="1:8" ht="13.5" thickTop="1">
      <c r="A74" s="288"/>
      <c r="B74" s="289"/>
      <c r="C74" s="289"/>
      <c r="D74" s="290"/>
      <c r="E74" s="289"/>
      <c r="F74" s="320"/>
      <c r="H74" s="29"/>
    </row>
    <row r="75" spans="1:8">
      <c r="A75" s="291"/>
      <c r="B75" s="24" t="s">
        <v>174</v>
      </c>
      <c r="D75" s="286"/>
      <c r="F75" s="321"/>
      <c r="H75" s="29"/>
    </row>
    <row r="76" spans="1:8">
      <c r="A76" s="291"/>
      <c r="B76" s="24" t="s">
        <v>1491</v>
      </c>
      <c r="D76" s="71" t="s">
        <v>737</v>
      </c>
      <c r="E76" s="71"/>
      <c r="F76" s="136" t="e">
        <f>F49+F54+F70+F72</f>
        <v>#REF!</v>
      </c>
      <c r="G76" s="136" t="e">
        <f>G49+G54+G70+G72</f>
        <v>#REF!</v>
      </c>
      <c r="H76" s="29"/>
    </row>
    <row r="77" spans="1:8">
      <c r="A77" s="291"/>
      <c r="B77" s="24" t="s">
        <v>1489</v>
      </c>
      <c r="D77" s="71" t="s">
        <v>2609</v>
      </c>
      <c r="E77" s="71"/>
      <c r="F77" s="136">
        <f>'Data Entry - SOF'!C19*Assumptions!G96</f>
        <v>0</v>
      </c>
      <c r="G77" s="136" t="e">
        <f>'Calc Data'!#REF!*Assumptions!G96</f>
        <v>#REF!</v>
      </c>
      <c r="H77" s="29"/>
    </row>
    <row r="78" spans="1:8" ht="15.75">
      <c r="A78" s="291"/>
      <c r="B78" s="24" t="s">
        <v>1490</v>
      </c>
      <c r="D78" s="318" t="s">
        <v>757</v>
      </c>
      <c r="E78" s="73"/>
      <c r="F78" s="323">
        <v>0</v>
      </c>
      <c r="G78" s="323">
        <v>0</v>
      </c>
      <c r="H78" s="29"/>
    </row>
    <row r="79" spans="1:8">
      <c r="A79" s="291"/>
      <c r="B79" s="24" t="s">
        <v>740</v>
      </c>
      <c r="D79" s="71" t="s">
        <v>738</v>
      </c>
      <c r="E79" s="71"/>
      <c r="F79" s="136" t="e">
        <f>'Existing Debt-OldLaw'!G74</f>
        <v>#REF!</v>
      </c>
      <c r="G79" s="136" t="e">
        <f>'Existing Debt-OldLaw'!G74</f>
        <v>#REF!</v>
      </c>
      <c r="H79" s="29"/>
    </row>
    <row r="80" spans="1:8" ht="13.5" thickBot="1">
      <c r="A80" s="291"/>
      <c r="B80" s="24" t="s">
        <v>1095</v>
      </c>
      <c r="D80" s="71" t="s">
        <v>739</v>
      </c>
      <c r="E80" s="71"/>
      <c r="F80" s="316" t="e">
        <f>'IFA-OldLaw'!H86+'IFA-OldLaw'!J75</f>
        <v>#REF!</v>
      </c>
      <c r="G80" s="316" t="e">
        <f>'IFA-OldLaw'!H86+'IFA-OldLaw'!J75</f>
        <v>#REF!</v>
      </c>
      <c r="H80" s="29"/>
    </row>
    <row r="81" spans="1:15">
      <c r="A81" s="291"/>
      <c r="F81" s="321"/>
      <c r="G81" s="321"/>
      <c r="H81" s="29"/>
    </row>
    <row r="82" spans="1:15" ht="12.75" customHeight="1" thickBot="1">
      <c r="A82" s="291"/>
      <c r="D82" s="71" t="s">
        <v>1019</v>
      </c>
      <c r="F82" s="317" t="e">
        <f>SUM(F76:F80)</f>
        <v>#REF!</v>
      </c>
      <c r="G82" s="317" t="e">
        <f>SUM(G76:G80)</f>
        <v>#REF!</v>
      </c>
      <c r="H82" s="29"/>
    </row>
    <row r="83" spans="1:15" ht="13.5" hidden="1" thickTop="1">
      <c r="A83" s="291"/>
      <c r="D83" s="20" t="s">
        <v>472</v>
      </c>
      <c r="H83" s="29"/>
      <c r="K83" s="125"/>
      <c r="L83" s="153"/>
    </row>
    <row r="84" spans="1:15" ht="14.25" thickTop="1" thickBot="1">
      <c r="A84" s="292"/>
      <c r="B84" s="293"/>
      <c r="C84" s="293"/>
      <c r="D84" s="294"/>
      <c r="E84" s="293"/>
      <c r="F84" s="330"/>
      <c r="H84" s="16"/>
    </row>
    <row r="85" spans="1:15" ht="13.5" thickTop="1">
      <c r="B85" s="20"/>
      <c r="H85" s="29"/>
      <c r="M85" s="91"/>
      <c r="N85" s="221"/>
      <c r="O85" s="5"/>
    </row>
    <row r="86" spans="1:15">
      <c r="M86" s="5"/>
    </row>
    <row r="87" spans="1:15" ht="13.5" thickBot="1"/>
    <row r="88" spans="1:15" ht="13.5" thickTop="1">
      <c r="A88" s="297" t="s">
        <v>2457</v>
      </c>
      <c r="B88" s="66"/>
      <c r="C88" s="66"/>
      <c r="D88" s="66"/>
      <c r="E88" s="66"/>
      <c r="F88" s="130"/>
    </row>
    <row r="89" spans="1:15">
      <c r="A89" s="133"/>
      <c r="F89" s="131"/>
    </row>
    <row r="90" spans="1:15">
      <c r="A90" s="132" t="s">
        <v>2162</v>
      </c>
      <c r="F90" s="277" t="e">
        <f>IF(F76&lt;0,F77,F76+F77)</f>
        <v>#REF!</v>
      </c>
      <c r="G90" s="277" t="e">
        <f>IF(G76&lt;0,G77,G76+G77)</f>
        <v>#REF!</v>
      </c>
    </row>
    <row r="91" spans="1:15">
      <c r="A91" s="156" t="s">
        <v>1696</v>
      </c>
      <c r="F91" s="278" t="e">
        <f>'Calc Data'!D30-ASATR!T24</f>
        <v>#REF!</v>
      </c>
      <c r="G91" s="278" t="e">
        <f>'Calc Data'!D30-ASATR!#REF!</f>
        <v>#REF!</v>
      </c>
      <c r="M91" s="91"/>
    </row>
    <row r="92" spans="1:15">
      <c r="A92" s="156" t="s">
        <v>941</v>
      </c>
      <c r="F92" s="278" t="e">
        <f>'Calc Data'!D34</f>
        <v>#REF!</v>
      </c>
      <c r="G92" s="278" t="e">
        <f>'Calc Data'!D34</f>
        <v>#REF!</v>
      </c>
      <c r="M92" s="91"/>
    </row>
    <row r="93" spans="1:15">
      <c r="A93" s="156" t="s">
        <v>942</v>
      </c>
      <c r="F93" s="637" t="e">
        <f>'Calc Data'!D37-IF('Option Costs'!EC57="N",MAX('Option Costs'!EC54,'Option Costs'!EE54),MIN('Option Costs'!EC54,'Option Costs'!EE54))</f>
        <v>#REF!</v>
      </c>
      <c r="G93" s="637" t="e">
        <f>'Calc Data'!D37-IF('Option Costs'!DU57="N",MAX('Option Costs'!DU54,'Option Costs'!DW54),MIN('Option Costs'!DU54,'Option Costs'!DW54))</f>
        <v>#REF!</v>
      </c>
    </row>
    <row r="94" spans="1:15">
      <c r="A94" s="156" t="s">
        <v>3060</v>
      </c>
      <c r="F94" s="278">
        <f>F69*-1</f>
        <v>0</v>
      </c>
      <c r="G94" s="278">
        <f>G69*-1</f>
        <v>0</v>
      </c>
    </row>
    <row r="95" spans="1:15">
      <c r="A95" s="156" t="s">
        <v>3157</v>
      </c>
      <c r="F95" s="322" t="e">
        <f>SUM(F90:F94)</f>
        <v>#REF!</v>
      </c>
      <c r="G95" s="322" t="e">
        <f>SUM(G90:G94)</f>
        <v>#REF!</v>
      </c>
    </row>
    <row r="96" spans="1:15">
      <c r="A96" s="132" t="s">
        <v>1695</v>
      </c>
      <c r="F96" s="287" t="e">
        <f>IF(F76&gt;0,0,F76)</f>
        <v>#REF!</v>
      </c>
      <c r="G96" s="287" t="e">
        <f>IF(G76&gt;0,0,G76)</f>
        <v>#REF!</v>
      </c>
    </row>
    <row r="97" spans="1:8">
      <c r="A97" s="222" t="s">
        <v>3158</v>
      </c>
      <c r="F97" s="322" t="e">
        <f>F95+F96</f>
        <v>#REF!</v>
      </c>
      <c r="G97" s="322" t="e">
        <f>G95+G96</f>
        <v>#REF!</v>
      </c>
    </row>
    <row r="98" spans="1:8" ht="13.5" thickBot="1">
      <c r="A98" s="134"/>
      <c r="B98" s="38"/>
      <c r="C98" s="38"/>
      <c r="D98" s="38"/>
      <c r="E98" s="38"/>
      <c r="F98" s="135"/>
    </row>
    <row r="99" spans="1:8" ht="13.5" hidden="1" thickTop="1">
      <c r="D99" s="35" t="s">
        <v>1231</v>
      </c>
      <c r="E99" s="35"/>
      <c r="F99" s="35"/>
      <c r="G99" s="35"/>
    </row>
    <row r="100" spans="1:8" ht="13.5" hidden="1" thickTop="1">
      <c r="D100" s="35" t="s">
        <v>470</v>
      </c>
      <c r="E100" s="35"/>
      <c r="F100" s="35"/>
      <c r="G100" s="35"/>
    </row>
    <row r="101" spans="1:8" ht="13.5" hidden="1" thickTop="1">
      <c r="D101" s="35" t="s">
        <v>471</v>
      </c>
    </row>
    <row r="102" spans="1:8" ht="13.5" hidden="1" thickTop="1">
      <c r="D102" s="35" t="s">
        <v>1012</v>
      </c>
    </row>
    <row r="103" spans="1:8" ht="13.5" hidden="1" thickTop="1">
      <c r="D103" s="35" t="s">
        <v>647</v>
      </c>
    </row>
    <row r="104" spans="1:8" ht="13.5" hidden="1" thickTop="1">
      <c r="D104" s="35" t="s">
        <v>648</v>
      </c>
    </row>
    <row r="105" spans="1:8" ht="13.5" thickTop="1">
      <c r="D105" s="35"/>
    </row>
    <row r="109" spans="1:8" hidden="1">
      <c r="A109" s="20" t="s">
        <v>1667</v>
      </c>
      <c r="H109" s="16"/>
    </row>
    <row r="110" spans="1:8" hidden="1">
      <c r="H110" s="16"/>
    </row>
    <row r="111" spans="1:8" hidden="1">
      <c r="A111" s="20" t="s">
        <v>1492</v>
      </c>
      <c r="H111" s="16"/>
    </row>
    <row r="112" spans="1:8" hidden="1">
      <c r="A112" s="20" t="s">
        <v>1493</v>
      </c>
    </row>
    <row r="113" spans="1:1" hidden="1">
      <c r="A113" s="20" t="s">
        <v>518</v>
      </c>
    </row>
    <row r="114" spans="1:1" hidden="1">
      <c r="A114" s="20" t="s">
        <v>519</v>
      </c>
    </row>
    <row r="115" spans="1:1" hidden="1">
      <c r="A115" s="20" t="s">
        <v>1009</v>
      </c>
    </row>
    <row r="116" spans="1:1" hidden="1">
      <c r="A116" s="20" t="s">
        <v>1010</v>
      </c>
    </row>
    <row r="117" spans="1:1" hidden="1">
      <c r="A117" s="71" t="s">
        <v>1789</v>
      </c>
    </row>
    <row r="118" spans="1:1" hidden="1"/>
    <row r="119" spans="1:1" hidden="1">
      <c r="A119" s="20" t="s">
        <v>62</v>
      </c>
    </row>
    <row r="120" spans="1:1" hidden="1">
      <c r="A120" s="20" t="s">
        <v>1693</v>
      </c>
    </row>
    <row r="121" spans="1:1" hidden="1">
      <c r="A121" s="20" t="s">
        <v>1694</v>
      </c>
    </row>
    <row r="122" spans="1:1" hidden="1">
      <c r="A122" s="20" t="s">
        <v>1820</v>
      </c>
    </row>
    <row r="123" spans="1:1" hidden="1"/>
    <row r="124" spans="1:1" hidden="1">
      <c r="A124" s="20" t="s">
        <v>1821</v>
      </c>
    </row>
    <row r="125" spans="1:1" hidden="1">
      <c r="A125" s="20" t="s">
        <v>1822</v>
      </c>
    </row>
    <row r="126" spans="1:1" hidden="1">
      <c r="A126" s="20" t="s">
        <v>336</v>
      </c>
    </row>
    <row r="127" spans="1:1" hidden="1">
      <c r="A127" s="20" t="s">
        <v>1823</v>
      </c>
    </row>
    <row r="128" spans="1:1" hidden="1">
      <c r="A128" s="20" t="s">
        <v>334</v>
      </c>
    </row>
    <row r="129" spans="1:7" hidden="1"/>
    <row r="130" spans="1:7" hidden="1">
      <c r="A130" s="71" t="s">
        <v>335</v>
      </c>
    </row>
    <row r="131" spans="1:7" hidden="1"/>
    <row r="134" spans="1:7">
      <c r="E134" t="s">
        <v>2767</v>
      </c>
      <c r="F134" s="5" t="e">
        <f>SUM(F22:F28)</f>
        <v>#REF!</v>
      </c>
      <c r="G134" s="5" t="e">
        <f>SUM(G22:G28)</f>
        <v>#REF!</v>
      </c>
    </row>
    <row r="135" spans="1:7">
      <c r="E135" t="s">
        <v>2768</v>
      </c>
      <c r="F135" s="5" t="e">
        <f>F29+F30</f>
        <v>#REF!</v>
      </c>
      <c r="G135" s="5" t="e">
        <f>G29+G30</f>
        <v>#REF!</v>
      </c>
    </row>
    <row r="136" spans="1:7">
      <c r="E136" t="s">
        <v>2769</v>
      </c>
      <c r="F136" s="5" t="e">
        <f>F33+F34</f>
        <v>#REF!</v>
      </c>
      <c r="G136" s="5" t="e">
        <f>G33+G34</f>
        <v>#REF!</v>
      </c>
    </row>
    <row r="137" spans="1:7">
      <c r="E137" t="s">
        <v>2770</v>
      </c>
      <c r="F137" s="5" t="e">
        <f>F35+F36</f>
        <v>#REF!</v>
      </c>
      <c r="G137" s="5" t="e">
        <f>G35+G36</f>
        <v>#REF!</v>
      </c>
    </row>
    <row r="138" spans="1:7">
      <c r="E138" t="s">
        <v>2849</v>
      </c>
      <c r="F138" s="91" t="e">
        <f>Assumptions!G57*'Calc Data'!W11*'Calc Data'!D35*100</f>
        <v>#REF!</v>
      </c>
      <c r="G138" s="91" t="e">
        <f>Assumptions!G57*'Calc Data'!T25*'Calc Data'!D35*100</f>
        <v>#REF!</v>
      </c>
    </row>
    <row r="139" spans="1:7">
      <c r="E139" t="s">
        <v>2851</v>
      </c>
      <c r="F139" s="91" t="e">
        <f>Assumptions!G58*'Calc Data'!W11*'Calc Data'!D38*100</f>
        <v>#REF!</v>
      </c>
      <c r="G139" s="91" t="e">
        <f>Assumptions!G58*'Calc Data'!T25*'Calc Data'!D38*100</f>
        <v>#REF!</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40625" customWidth="1"/>
    <col min="2" max="2" width="3.5703125" customWidth="1"/>
    <col min="3" max="6" width="2.5703125" style="52" customWidth="1"/>
    <col min="7" max="7" width="18.5703125" style="52" customWidth="1"/>
    <col min="8" max="8" width="2.5703125" style="52" customWidth="1"/>
    <col min="9" max="9" width="18.5703125" style="52" customWidth="1"/>
  </cols>
  <sheetData>
    <row r="1" spans="1:9" ht="18">
      <c r="A1" s="1046" t="s">
        <v>6568</v>
      </c>
      <c r="B1" s="830"/>
      <c r="C1" s="830"/>
      <c r="D1" s="830"/>
      <c r="E1" s="830"/>
      <c r="F1" s="830"/>
      <c r="G1" s="830"/>
      <c r="H1" s="830"/>
      <c r="I1" s="1045"/>
    </row>
    <row r="4" spans="1:9">
      <c r="A4" s="54"/>
      <c r="G4" s="611" t="s">
        <v>3144</v>
      </c>
      <c r="I4" s="611" t="s">
        <v>3225</v>
      </c>
    </row>
    <row r="5" spans="1:9">
      <c r="A5" s="920" t="s">
        <v>3803</v>
      </c>
      <c r="G5" s="628" t="e">
        <f>'SOF1718-HB3646'!F97</f>
        <v>#REF!</v>
      </c>
      <c r="I5" s="628" t="e">
        <f>'SOF1819-HB3646'!F97</f>
        <v>#REF!</v>
      </c>
    </row>
    <row r="6" spans="1:9">
      <c r="A6" s="35" t="s">
        <v>3801</v>
      </c>
      <c r="G6" s="628"/>
      <c r="I6" s="628"/>
    </row>
    <row r="7" spans="1:9">
      <c r="A7" s="35"/>
      <c r="G7" s="628"/>
      <c r="I7" s="628"/>
    </row>
    <row r="8" spans="1:9" hidden="1">
      <c r="A8" s="920" t="s">
        <v>3804</v>
      </c>
      <c r="G8" s="759" t="s">
        <v>3842</v>
      </c>
      <c r="I8" s="759" t="s">
        <v>3842</v>
      </c>
    </row>
    <row r="9" spans="1:9" hidden="1">
      <c r="A9" s="35" t="s">
        <v>3800</v>
      </c>
      <c r="G9" s="628"/>
      <c r="I9" s="628"/>
    </row>
    <row r="10" spans="1:9" hidden="1">
      <c r="A10" s="35"/>
      <c r="G10" s="628"/>
      <c r="I10" s="628"/>
    </row>
    <row r="11" spans="1:9" hidden="1">
      <c r="A11" s="760" t="s">
        <v>3802</v>
      </c>
      <c r="G11" s="759" t="s">
        <v>3842</v>
      </c>
      <c r="I11" s="759" t="s">
        <v>3842</v>
      </c>
    </row>
    <row r="12" spans="1:9" hidden="1">
      <c r="A12" s="35"/>
      <c r="G12" s="197"/>
      <c r="I12" s="197"/>
    </row>
    <row r="13" spans="1:9" hidden="1">
      <c r="A13" s="35"/>
      <c r="G13" s="197"/>
      <c r="I13" s="197"/>
    </row>
    <row r="14" spans="1:9" hidden="1">
      <c r="A14" s="35"/>
      <c r="G14" s="54"/>
      <c r="I14" s="54"/>
    </row>
    <row r="15" spans="1:9" hidden="1">
      <c r="A15" s="920" t="s">
        <v>3843</v>
      </c>
      <c r="G15" s="759" t="s">
        <v>3842</v>
      </c>
      <c r="I15" s="759" t="s">
        <v>3842</v>
      </c>
    </row>
    <row r="16" spans="1:9" hidden="1">
      <c r="A16" s="35" t="s">
        <v>3798</v>
      </c>
      <c r="G16" s="630"/>
      <c r="I16" s="630"/>
    </row>
    <row r="17" spans="1:9" hidden="1">
      <c r="A17" s="35"/>
      <c r="G17" s="54"/>
      <c r="I17" s="54"/>
    </row>
    <row r="18" spans="1:9" hidden="1">
      <c r="A18" s="920" t="s">
        <v>3799</v>
      </c>
      <c r="G18" s="759" t="s">
        <v>3842</v>
      </c>
      <c r="I18" s="759" t="s">
        <v>3842</v>
      </c>
    </row>
    <row r="19" spans="1:9" hidden="1">
      <c r="A19" s="35"/>
      <c r="G19" s="630"/>
      <c r="I19" s="630"/>
    </row>
    <row r="20" spans="1:9" hidden="1">
      <c r="A20" s="760" t="s">
        <v>3844</v>
      </c>
      <c r="G20" s="759" t="s">
        <v>3842</v>
      </c>
      <c r="I20" s="759" t="s">
        <v>3842</v>
      </c>
    </row>
    <row r="21" spans="1:9" hidden="1">
      <c r="A21" s="35" t="s">
        <v>3845</v>
      </c>
    </row>
    <row r="22" spans="1:9" hidden="1">
      <c r="A22" s="35"/>
    </row>
    <row r="23" spans="1:9">
      <c r="A23" s="35"/>
    </row>
    <row r="24" spans="1:9">
      <c r="A24" s="920" t="s">
        <v>6569</v>
      </c>
      <c r="G24" s="724" t="e">
        <f>'Report-SOF1718'!D87</f>
        <v>#REF!</v>
      </c>
      <c r="I24" s="724" t="e">
        <f>'Report-SOF1819'!D87</f>
        <v>#DIV/0!</v>
      </c>
    </row>
    <row r="25" spans="1:9">
      <c r="A25" s="35"/>
    </row>
    <row r="26" spans="1:9">
      <c r="A26" s="760" t="s">
        <v>6570</v>
      </c>
      <c r="G26" s="761" t="e">
        <f>G24-G5</f>
        <v>#REF!</v>
      </c>
      <c r="I26" s="761" t="e">
        <f>I24-I5</f>
        <v>#DIV/0!</v>
      </c>
    </row>
    <row r="27" spans="1:9">
      <c r="A27" s="35" t="s">
        <v>3846</v>
      </c>
    </row>
  </sheetData>
  <phoneticPr fontId="25" type="noConversion"/>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85546875" customWidth="1"/>
    <col min="3" max="3" width="17.5703125" customWidth="1"/>
    <col min="4" max="4" width="16" customWidth="1"/>
    <col min="5" max="5" width="15.85546875" customWidth="1"/>
    <col min="6" max="7" width="16.42578125" customWidth="1"/>
    <col min="8" max="11" width="16.5703125" customWidth="1"/>
    <col min="12" max="12" width="15.85546875" customWidth="1"/>
  </cols>
  <sheetData>
    <row r="3" spans="1:9">
      <c r="A3" s="1417" t="s">
        <v>8111</v>
      </c>
      <c r="B3" s="1417"/>
      <c r="C3" s="1417"/>
      <c r="D3" s="1417"/>
      <c r="E3" s="1417"/>
      <c r="F3" s="1417"/>
      <c r="G3" s="1417"/>
      <c r="H3" s="1417"/>
      <c r="I3" s="1417"/>
    </row>
    <row r="4" spans="1:9">
      <c r="A4" s="1417"/>
      <c r="B4" s="1417"/>
      <c r="C4" s="1993" t="s">
        <v>3144</v>
      </c>
      <c r="D4" s="1993" t="s">
        <v>3225</v>
      </c>
      <c r="E4" s="1993" t="s">
        <v>3284</v>
      </c>
      <c r="F4" s="1993" t="s">
        <v>3922</v>
      </c>
      <c r="G4" s="1993" t="s">
        <v>6374</v>
      </c>
      <c r="H4" s="1993" t="s">
        <v>6939</v>
      </c>
      <c r="I4" s="1993" t="s">
        <v>8157</v>
      </c>
    </row>
    <row r="5" spans="1:9" s="93" customFormat="1">
      <c r="A5" s="1994"/>
      <c r="B5" s="1994" t="s">
        <v>8110</v>
      </c>
      <c r="C5" s="1994" t="e">
        <f>'Data Entry - SOF'!#REF!</f>
        <v>#REF!</v>
      </c>
      <c r="D5" s="1994">
        <f>'Data Entry - SOF'!E19</f>
        <v>0</v>
      </c>
      <c r="E5" s="1994">
        <f>'Data Entry - SOF'!G19</f>
        <v>0</v>
      </c>
      <c r="F5" s="1994">
        <f>'Data Entry - SOF'!M19</f>
        <v>0</v>
      </c>
      <c r="G5" s="1994">
        <f>'Data Entry - SOF'!O19</f>
        <v>0</v>
      </c>
      <c r="H5" s="1994">
        <f>'Data Entry - SOF'!Q19</f>
        <v>0</v>
      </c>
      <c r="I5" s="1994">
        <f>'Data Entry - SOF'!S19</f>
        <v>0</v>
      </c>
    </row>
    <row r="6" spans="1:9" s="93" customFormat="1">
      <c r="A6" s="1994"/>
      <c r="B6" s="1994" t="s">
        <v>2572</v>
      </c>
      <c r="C6" s="1994" t="e">
        <f>'Report-SOF1718'!D17</f>
        <v>#REF!</v>
      </c>
      <c r="D6" s="1994">
        <f>'Report-SOF1819'!D17</f>
        <v>0</v>
      </c>
      <c r="E6" s="1994" t="e">
        <f>'Report-SOF1920-HB3'!D14</f>
        <v>#DIV/0!</v>
      </c>
      <c r="F6" s="1994" t="e">
        <f>'Report-SOF2021'!D15</f>
        <v>#DIV/0!</v>
      </c>
      <c r="G6" s="1994" t="e">
        <f>'Report-SOF2122'!D15</f>
        <v>#DIV/0!</v>
      </c>
      <c r="H6" s="1994" t="e">
        <f>'Report-SOF2223'!D15</f>
        <v>#DIV/0!</v>
      </c>
      <c r="I6" s="1994" t="e">
        <f>'Report-SOF2324'!D15</f>
        <v>#DIV/0!</v>
      </c>
    </row>
    <row r="7" spans="1:9">
      <c r="A7" s="1377" t="s">
        <v>8112</v>
      </c>
      <c r="B7" s="1377"/>
      <c r="C7" s="1377"/>
      <c r="D7" s="1377"/>
      <c r="E7" s="1377"/>
      <c r="F7" s="1377"/>
      <c r="G7" s="1377"/>
      <c r="H7" s="1377"/>
      <c r="I7" s="1377"/>
    </row>
    <row r="8" spans="1:9">
      <c r="A8" s="1377"/>
      <c r="B8" s="1377"/>
      <c r="C8" s="1995" t="s">
        <v>3144</v>
      </c>
      <c r="D8" s="1995" t="s">
        <v>3225</v>
      </c>
      <c r="E8" s="1995" t="s">
        <v>3284</v>
      </c>
      <c r="F8" s="1995" t="s">
        <v>3922</v>
      </c>
      <c r="G8" s="1995" t="s">
        <v>6374</v>
      </c>
      <c r="H8" s="1995" t="s">
        <v>6939</v>
      </c>
      <c r="I8" s="1995" t="s">
        <v>8157</v>
      </c>
    </row>
    <row r="9" spans="1:9">
      <c r="A9" s="1377"/>
      <c r="B9" s="1377" t="s">
        <v>8113</v>
      </c>
      <c r="C9" s="1996" t="e">
        <f>'Data Entry - SOF'!#REF!</f>
        <v>#REF!</v>
      </c>
      <c r="D9" s="1996">
        <f>'Data Entry - SOF'!E73</f>
        <v>0</v>
      </c>
      <c r="E9" s="1996">
        <f>'Data Entry - SOF'!G73</f>
        <v>0</v>
      </c>
      <c r="F9" s="1996">
        <f>'Data Entry - SOF'!M73</f>
        <v>0</v>
      </c>
      <c r="G9" s="1996">
        <f>'Data Entry - SOF'!O73</f>
        <v>0</v>
      </c>
      <c r="H9" s="1996">
        <f>'Data Entry - SOF'!Q73</f>
        <v>0</v>
      </c>
      <c r="I9" s="1996">
        <f>'Data Entry - SOF'!S73</f>
        <v>0</v>
      </c>
    </row>
    <row r="10" spans="1:9">
      <c r="A10" s="1788"/>
      <c r="B10" s="1788"/>
      <c r="C10" s="1788"/>
      <c r="D10" s="1788"/>
      <c r="E10" s="1788"/>
      <c r="F10" s="1788"/>
      <c r="G10" s="1788"/>
      <c r="H10" s="1788"/>
      <c r="I10" s="1788"/>
    </row>
    <row r="11" spans="1:9">
      <c r="A11" s="1788"/>
      <c r="B11" s="1788"/>
      <c r="C11" s="1788"/>
      <c r="D11" s="1788"/>
      <c r="E11" s="1788"/>
      <c r="F11" s="1788"/>
      <c r="G11" s="1788"/>
      <c r="H11" s="1788"/>
      <c r="I11" s="1788"/>
    </row>
    <row r="12" spans="1:9">
      <c r="A12" s="1788"/>
      <c r="B12" s="1788"/>
      <c r="C12" s="1788"/>
      <c r="D12" s="1788"/>
      <c r="E12" s="1788"/>
      <c r="F12" s="1788"/>
      <c r="G12" s="1788"/>
      <c r="H12" s="1788"/>
      <c r="I12" s="1788"/>
    </row>
    <row r="13" spans="1:9">
      <c r="A13" s="1788" t="s">
        <v>8114</v>
      </c>
      <c r="B13" s="1788"/>
      <c r="C13" s="1788"/>
      <c r="D13" s="1788"/>
      <c r="E13" s="1788"/>
      <c r="F13" s="1788"/>
      <c r="G13" s="1788"/>
      <c r="H13" s="1788"/>
      <c r="I13" s="1788"/>
    </row>
    <row r="14" spans="1:9">
      <c r="A14" s="1788"/>
      <c r="B14" s="1788"/>
      <c r="C14" s="1997" t="s">
        <v>3144</v>
      </c>
      <c r="D14" s="1997" t="s">
        <v>3225</v>
      </c>
      <c r="E14" s="1997" t="s">
        <v>3284</v>
      </c>
      <c r="F14" s="1997" t="s">
        <v>3922</v>
      </c>
      <c r="G14" s="1997" t="s">
        <v>6374</v>
      </c>
      <c r="H14" s="1997" t="s">
        <v>6939</v>
      </c>
      <c r="I14" s="1997" t="s">
        <v>8157</v>
      </c>
    </row>
    <row r="15" spans="1:9">
      <c r="A15" s="1788"/>
      <c r="B15" s="1788" t="s">
        <v>2448</v>
      </c>
      <c r="C15" s="1998" t="e">
        <f>'Report-SOF1718'!D60+'Report-SOF1718'!D61+'Report-SOF1718'!D62</f>
        <v>#REF!</v>
      </c>
      <c r="D15" s="1998" t="e">
        <f>'Report-SOF1819'!D60+'Report-SOF1819'!D61+'Report-SOF1819'!D62</f>
        <v>#DIV/0!</v>
      </c>
      <c r="E15" s="1998" t="e">
        <f>'Report-SOF1920-HB3'!#REF!+'Report-SOF1920-HB3'!D62+'Report-SOF1920-HB3'!D63</f>
        <v>#REF!</v>
      </c>
      <c r="F15" s="1998" t="e">
        <f>'Report-SOF2021'!D58+'Report-SOF2021'!D59+'Report-SOF2021'!D60</f>
        <v>#DIV/0!</v>
      </c>
      <c r="G15" s="1998" t="e">
        <f>'Report-SOF2122'!D49+'Report-SOF2122'!D50+'Report-SOF2122'!D51</f>
        <v>#DIV/0!</v>
      </c>
      <c r="H15" s="1998" t="e">
        <f>'Report-SOF2223'!D49+'Report-SOF2223'!D50+'Report-SOF2223'!D51</f>
        <v>#DIV/0!</v>
      </c>
      <c r="I15" s="1998" t="e">
        <f>'Report-SOF2324'!D49+'Report-SOF2324'!D50+'Report-SOF2324'!D51</f>
        <v>#DIV/0!</v>
      </c>
    </row>
    <row r="16" spans="1:9">
      <c r="A16" s="1788"/>
      <c r="B16" s="1788" t="s">
        <v>8115</v>
      </c>
      <c r="C16" s="1788" t="e">
        <f>'Data Entry - SOF'!#REF!-'Report-SOF1718'!D93</f>
        <v>#REF!</v>
      </c>
      <c r="D16" s="1788" t="e">
        <f>'Data Entry - SOF'!E93-'Report-SOF1819'!D93</f>
        <v>#DIV/0!</v>
      </c>
      <c r="E16" s="1788" t="e">
        <f>'Data Entry - SOF'!G93-'Report-SOF1920-HB3'!D96</f>
        <v>#DIV/0!</v>
      </c>
      <c r="F16" s="1788" t="e">
        <f>'Data Entry - SOF'!M93-'Report-SOF2021'!D90</f>
        <v>#DIV/0!</v>
      </c>
      <c r="G16" s="1788" t="e">
        <f>'Data Entry - SOF'!O93-'Report-SOF2122'!D82</f>
        <v>#DIV/0!</v>
      </c>
      <c r="H16" s="1788" t="e">
        <f>'Data Entry - SOF'!Q93-'Report-SOF2223'!D82</f>
        <v>#DIV/0!</v>
      </c>
      <c r="I16" s="1788" t="e">
        <f>'Data Entry - SOF'!S93-'Report-SOF2324'!D82</f>
        <v>#DIV/0!</v>
      </c>
    </row>
    <row r="17" spans="1:9">
      <c r="A17" s="1788"/>
      <c r="B17" s="1788" t="s">
        <v>8116</v>
      </c>
      <c r="C17" s="1998" t="e">
        <f t="shared" ref="C17:H17" si="0">C15+C16</f>
        <v>#REF!</v>
      </c>
      <c r="D17" s="1998" t="e">
        <f t="shared" si="0"/>
        <v>#DIV/0!</v>
      </c>
      <c r="E17" s="1998" t="e">
        <f t="shared" si="0"/>
        <v>#REF!</v>
      </c>
      <c r="F17" s="1998" t="e">
        <f t="shared" si="0"/>
        <v>#DIV/0!</v>
      </c>
      <c r="G17" s="1998" t="e">
        <f t="shared" si="0"/>
        <v>#DIV/0!</v>
      </c>
      <c r="H17" s="1998" t="e">
        <f t="shared" si="0"/>
        <v>#DIV/0!</v>
      </c>
      <c r="I17" s="1998" t="e">
        <f t="shared" ref="I17" si="1">I15+I16</f>
        <v>#DIV/0!</v>
      </c>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t="s">
        <v>8117</v>
      </c>
      <c r="B22" s="1999"/>
      <c r="C22" s="1999"/>
      <c r="D22" s="1999"/>
      <c r="E22" s="1999"/>
      <c r="F22" s="1999"/>
      <c r="G22" s="1999"/>
      <c r="H22" s="1999"/>
      <c r="I22" s="1999"/>
    </row>
    <row r="23" spans="1:9">
      <c r="A23" s="1999"/>
      <c r="B23" s="1999"/>
      <c r="C23" s="2000" t="s">
        <v>3144</v>
      </c>
      <c r="D23" s="2000" t="s">
        <v>3225</v>
      </c>
      <c r="E23" s="2000" t="s">
        <v>3284</v>
      </c>
      <c r="F23" s="2000" t="s">
        <v>3922</v>
      </c>
      <c r="G23" s="2000" t="s">
        <v>6374</v>
      </c>
      <c r="H23" s="2000" t="s">
        <v>6939</v>
      </c>
      <c r="I23" s="2000" t="s">
        <v>8157</v>
      </c>
    </row>
    <row r="24" spans="1:9" s="91" customFormat="1">
      <c r="A24" s="2001"/>
      <c r="B24" s="2001" t="s">
        <v>2469</v>
      </c>
      <c r="C24" s="2001" t="e">
        <f>'Report-SOF1718'!D60</f>
        <v>#REF!</v>
      </c>
      <c r="D24" s="2001">
        <f>'Report-SOF1819'!D60</f>
        <v>0</v>
      </c>
      <c r="E24" s="2001" t="e">
        <f>'Report-SOF1920-HB3'!#REF!</f>
        <v>#REF!</v>
      </c>
      <c r="F24" s="2001" t="e">
        <f>'Report-SOF2021'!D58</f>
        <v>#DIV/0!</v>
      </c>
      <c r="G24" s="2001" t="e">
        <f>'Report-SOF2122'!D49</f>
        <v>#DIV/0!</v>
      </c>
      <c r="H24" s="2001" t="e">
        <f>'Report-SOF2223'!D49</f>
        <v>#DIV/0!</v>
      </c>
      <c r="I24" s="2001" t="e">
        <f>'Report-SOF2324'!D49</f>
        <v>#DIV/0!</v>
      </c>
    </row>
    <row r="25" spans="1:9" s="91" customFormat="1">
      <c r="A25" s="2001"/>
      <c r="B25" s="2001" t="s">
        <v>8287</v>
      </c>
      <c r="C25" s="2001" t="e">
        <f>#REF!</f>
        <v>#REF!</v>
      </c>
      <c r="D25" s="2001" t="e">
        <f>'Report-T2Detail1819'!D16</f>
        <v>#DIV/0!</v>
      </c>
      <c r="E25" s="2001" t="e">
        <f>'Report-T2Detail1920'!D16</f>
        <v>#DIV/0!</v>
      </c>
      <c r="F25" s="2001" t="e">
        <f>'Report-T2Detail2021'!D16</f>
        <v>#DIV/0!</v>
      </c>
      <c r="G25" s="2001" t="e">
        <f>'Report-T2Detail2122'!D16</f>
        <v>#DIV/0!</v>
      </c>
      <c r="H25" s="2001" t="e">
        <f>'Report-T2Detail2223'!D16</f>
        <v>#DIV/0!</v>
      </c>
      <c r="I25" s="2001" t="e">
        <f>'Report-T2Detail2324'!D16</f>
        <v>#DIV/0!</v>
      </c>
    </row>
    <row r="26" spans="1:9" s="91" customFormat="1">
      <c r="A26" s="2001"/>
      <c r="B26" s="2001" t="s">
        <v>8288</v>
      </c>
      <c r="C26" s="2001" t="e">
        <f>#REF!</f>
        <v>#REF!</v>
      </c>
      <c r="D26" s="2001" t="e">
        <f>'Report-T2Detail1819'!D22</f>
        <v>#DIV/0!</v>
      </c>
      <c r="E26" s="2001" t="e">
        <f>'Report-T2Detail1920'!D22</f>
        <v>#DIV/0!</v>
      </c>
      <c r="F26" s="2001" t="e">
        <f>'Report-T2Detail2021'!D22</f>
        <v>#DIV/0!</v>
      </c>
      <c r="G26" s="2001" t="e">
        <f>'Report-T2Detail2122'!D22</f>
        <v>#DIV/0!</v>
      </c>
      <c r="H26" s="2001" t="e">
        <f>'Report-T2Detail2223'!D22</f>
        <v>#DIV/0!</v>
      </c>
      <c r="I26" s="2001" t="e">
        <f>'Report-T2Detail2324'!D22</f>
        <v>#DIV/0!</v>
      </c>
    </row>
    <row r="27" spans="1:9" s="91" customFormat="1">
      <c r="A27" s="2001"/>
      <c r="B27" s="2001" t="s">
        <v>8289</v>
      </c>
      <c r="C27" s="2001" t="e">
        <f>'Report-SOF1718'!D62</f>
        <v>#REF!</v>
      </c>
      <c r="D27" s="2001" t="e">
        <f>'Report-SOF1819'!D62</f>
        <v>#DIV/0!</v>
      </c>
      <c r="E27" s="2001" t="e">
        <f>'Report-SOF1920-HB3'!D63</f>
        <v>#DIV/0!</v>
      </c>
      <c r="F27" s="2001" t="e">
        <f>'Report-SOF2021'!D60</f>
        <v>#DIV/0!</v>
      </c>
      <c r="G27" s="2001" t="e">
        <f>'Report-SOF2122'!D51</f>
        <v>#DIV/0!</v>
      </c>
      <c r="H27" s="2001" t="e">
        <f>'Report-SOF2223'!D51</f>
        <v>#DIV/0!</v>
      </c>
      <c r="I27" s="2001" t="e">
        <f>'Report-SOF2324'!D51</f>
        <v>#DIV/0!</v>
      </c>
    </row>
    <row r="30" spans="1:9" hidden="1">
      <c r="C30" s="52" t="s">
        <v>3144</v>
      </c>
    </row>
    <row r="31" spans="1:9" hidden="1">
      <c r="B31" s="91" t="s">
        <v>22</v>
      </c>
      <c r="C31" s="91" t="e">
        <f>ASATR!G40</f>
        <v>#REF!</v>
      </c>
    </row>
    <row r="32" spans="1:9" hidden="1">
      <c r="B32" s="91" t="s">
        <v>1505</v>
      </c>
      <c r="C32" s="91" t="e">
        <f>#REF!</f>
        <v>#REF!</v>
      </c>
    </row>
    <row r="33" spans="2:3" hidden="1">
      <c r="B33" s="91" t="s">
        <v>8118</v>
      </c>
      <c r="C33" s="91" t="e">
        <f>#REF!</f>
        <v>#REF!</v>
      </c>
    </row>
    <row r="34" spans="2:3" hidden="1">
      <c r="B34" s="91" t="s">
        <v>2436</v>
      </c>
      <c r="C34" s="91" t="e">
        <f>#REF!</f>
        <v>#REF!</v>
      </c>
    </row>
    <row r="36" spans="2:3">
      <c r="B36" s="1999"/>
      <c r="C36" s="2000" t="s">
        <v>3225</v>
      </c>
    </row>
    <row r="37" spans="2:3">
      <c r="B37" s="2001" t="s">
        <v>2469</v>
      </c>
      <c r="C37" s="2001">
        <f>D24</f>
        <v>0</v>
      </c>
    </row>
    <row r="38" spans="2:3">
      <c r="B38" s="2001" t="s">
        <v>8287</v>
      </c>
      <c r="C38" s="2001" t="e">
        <f>D25</f>
        <v>#DIV/0!</v>
      </c>
    </row>
    <row r="39" spans="2:3">
      <c r="B39" s="2001" t="s">
        <v>8288</v>
      </c>
      <c r="C39" s="2001" t="e">
        <f>D26</f>
        <v>#DIV/0!</v>
      </c>
    </row>
    <row r="40" spans="2:3">
      <c r="B40" s="2001" t="s">
        <v>8289</v>
      </c>
      <c r="C40" s="2001" t="e">
        <f>D27</f>
        <v>#DIV/0!</v>
      </c>
    </row>
  </sheetData>
  <phoneticPr fontId="25" type="noConversion"/>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c r="A1" s="35" t="s">
        <v>1652</v>
      </c>
    </row>
    <row r="27" spans="1:1">
      <c r="A27" s="35" t="s">
        <v>1653</v>
      </c>
    </row>
    <row r="54" spans="1:1">
      <c r="A54" s="35" t="s">
        <v>8114</v>
      </c>
    </row>
    <row r="85" spans="1:1">
      <c r="A85" s="35" t="s">
        <v>8117</v>
      </c>
    </row>
  </sheetData>
  <phoneticPr fontId="25" type="noConversion"/>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5"/>
  <sheetViews>
    <sheetView topLeftCell="A19" workbookViewId="0">
      <selection activeCell="H38" sqref="H38"/>
    </sheetView>
  </sheetViews>
  <sheetFormatPr defaultRowHeight="12.75"/>
  <cols>
    <col min="1" max="1" width="6.85546875" customWidth="1"/>
    <col min="2" max="2" width="39.140625" customWidth="1"/>
    <col min="3" max="5" width="21.5703125" hidden="1" customWidth="1"/>
    <col min="6" max="6" width="21.5703125" customWidth="1"/>
    <col min="7" max="11" width="25.5703125" customWidth="1"/>
  </cols>
  <sheetData>
    <row r="1" spans="1:11">
      <c r="A1" s="480" t="s">
        <v>2950</v>
      </c>
      <c r="C1" s="72"/>
      <c r="I1" s="1435"/>
      <c r="J1" s="1435"/>
      <c r="K1" s="1435">
        <f>'Report-SOF2223'!E1</f>
        <v>0</v>
      </c>
    </row>
    <row r="2" spans="1:11">
      <c r="A2" s="480" t="s">
        <v>2960</v>
      </c>
      <c r="C2" s="72"/>
      <c r="I2" s="72"/>
      <c r="J2" s="1437"/>
      <c r="K2" s="1437">
        <f>'Report-SOF2223'!E2</f>
        <v>0</v>
      </c>
    </row>
    <row r="3" spans="1:11">
      <c r="C3" s="58"/>
      <c r="I3" s="58"/>
      <c r="J3" s="1690"/>
      <c r="K3" s="1690">
        <f>'Report-SOF-AllYears'!J3</f>
        <v>0</v>
      </c>
    </row>
    <row r="5" spans="1:11" ht="15.75">
      <c r="A5" s="585" t="s">
        <v>2935</v>
      </c>
      <c r="B5" s="584"/>
      <c r="C5" s="586" t="s">
        <v>167</v>
      </c>
      <c r="D5" s="587" t="s">
        <v>3138</v>
      </c>
      <c r="E5" s="587" t="s">
        <v>3144</v>
      </c>
      <c r="F5" s="587" t="s">
        <v>3225</v>
      </c>
      <c r="G5" s="587" t="s">
        <v>3284</v>
      </c>
      <c r="H5" s="587" t="s">
        <v>3922</v>
      </c>
      <c r="I5" s="587" t="s">
        <v>6374</v>
      </c>
      <c r="J5" s="587" t="s">
        <v>6939</v>
      </c>
      <c r="K5" s="587" t="s">
        <v>8157</v>
      </c>
    </row>
    <row r="6" spans="1:11" ht="15">
      <c r="A6" s="385" t="s">
        <v>2186</v>
      </c>
      <c r="B6" s="404" t="s">
        <v>2938</v>
      </c>
      <c r="C6" s="464" t="e">
        <f>'Data Entry - SOF'!#REF!</f>
        <v>#REF!</v>
      </c>
      <c r="D6" s="391">
        <f>'Data Entry - SOF'!C19</f>
        <v>0</v>
      </c>
      <c r="E6" s="391" t="e">
        <f>'Data Entry - SOF'!#REF!</f>
        <v>#REF!</v>
      </c>
      <c r="F6" s="391">
        <f>'Data Entry - SOF'!E19</f>
        <v>0</v>
      </c>
      <c r="G6" s="391">
        <f>'Data Entry - SOF'!K19</f>
        <v>0</v>
      </c>
      <c r="H6" s="391">
        <f>'Data Entry - SOF'!M19</f>
        <v>0</v>
      </c>
      <c r="I6" s="391">
        <f>'Data Entry - SOF'!O19</f>
        <v>0</v>
      </c>
      <c r="J6" s="391">
        <f>'Data Entry - SOF'!Q19</f>
        <v>0</v>
      </c>
      <c r="K6" s="391">
        <f>'Data Entry - SOF'!S19</f>
        <v>0</v>
      </c>
    </row>
    <row r="7" spans="1:11" ht="15">
      <c r="A7" s="385" t="s">
        <v>2187</v>
      </c>
      <c r="B7" s="386" t="s">
        <v>2936</v>
      </c>
      <c r="C7" s="465" t="e">
        <f>#REF!</f>
        <v>#REF!</v>
      </c>
      <c r="D7" s="391">
        <f>'Calc Data'!C8</f>
        <v>0</v>
      </c>
      <c r="E7" s="391" t="e">
        <f>'Calc Data'!D8</f>
        <v>#REF!</v>
      </c>
      <c r="F7" s="391">
        <f>'Calc Data'!E8</f>
        <v>0</v>
      </c>
      <c r="G7" s="391">
        <f>'Calc Data'!F8</f>
        <v>0</v>
      </c>
      <c r="H7" s="391">
        <f>'Calc Data'!G8</f>
        <v>0</v>
      </c>
      <c r="I7" s="391">
        <f>'Calc Data'!H8</f>
        <v>0</v>
      </c>
      <c r="J7" s="391">
        <f>'Calc Data'!I8</f>
        <v>0</v>
      </c>
      <c r="K7" s="391">
        <f>'Calc Data'!J8</f>
        <v>0</v>
      </c>
    </row>
    <row r="8" spans="1:11" ht="15">
      <c r="A8" s="385" t="s">
        <v>2188</v>
      </c>
      <c r="B8" s="386" t="s">
        <v>2937</v>
      </c>
      <c r="C8" s="466" t="e">
        <f>'Data Entry - SOF'!#REF!</f>
        <v>#REF!</v>
      </c>
      <c r="D8" s="391">
        <f>'Data Entry - SOF'!C35</f>
        <v>0</v>
      </c>
      <c r="E8" s="391" t="e">
        <f>'Data Entry - SOF'!#REF!</f>
        <v>#REF!</v>
      </c>
      <c r="F8" s="391">
        <f>'Data Entry - SOF'!E35</f>
        <v>0</v>
      </c>
      <c r="G8" s="391">
        <f>'Data Entry - SOF'!K36</f>
        <v>0</v>
      </c>
      <c r="H8" s="391">
        <f>'Data Entry - SOF'!M36</f>
        <v>0</v>
      </c>
      <c r="I8" s="391">
        <f>'Data Entry - SOF'!O36</f>
        <v>0</v>
      </c>
      <c r="J8" s="391">
        <f>'Data Entry - SOF'!Q36</f>
        <v>0</v>
      </c>
      <c r="K8" s="391">
        <f>'Data Entry - SOF'!S36</f>
        <v>0</v>
      </c>
    </row>
    <row r="9" spans="1:11" ht="15.75">
      <c r="A9" s="385" t="s">
        <v>909</v>
      </c>
      <c r="B9" s="384" t="s">
        <v>6942</v>
      </c>
      <c r="C9" s="466" t="e">
        <f t="shared" ref="C9:H9" si="0">C6-C7-C8</f>
        <v>#REF!</v>
      </c>
      <c r="D9" s="467">
        <f t="shared" si="0"/>
        <v>0</v>
      </c>
      <c r="E9" s="467" t="e">
        <f t="shared" si="0"/>
        <v>#REF!</v>
      </c>
      <c r="F9" s="467">
        <f t="shared" si="0"/>
        <v>0</v>
      </c>
      <c r="G9" s="467">
        <f t="shared" si="0"/>
        <v>0</v>
      </c>
      <c r="H9" s="467">
        <f t="shared" si="0"/>
        <v>0</v>
      </c>
      <c r="I9" s="467">
        <f>I6-I7-I8</f>
        <v>0</v>
      </c>
      <c r="J9" s="467">
        <f>J6-J7-J8</f>
        <v>0</v>
      </c>
      <c r="K9" s="467">
        <f>K6-K7-K8</f>
        <v>0</v>
      </c>
    </row>
    <row r="10" spans="1:11" s="382" customFormat="1" ht="15">
      <c r="A10" s="385" t="s">
        <v>910</v>
      </c>
      <c r="B10" s="386" t="s">
        <v>2012</v>
      </c>
      <c r="C10" s="391" t="e">
        <f>'Calc Data'!#REF!</f>
        <v>#REF!</v>
      </c>
      <c r="D10" s="391">
        <f>'Calc Data'!C11</f>
        <v>0</v>
      </c>
      <c r="E10" s="391" t="e">
        <f>'Calc Data'!D11</f>
        <v>#REF!</v>
      </c>
      <c r="F10" s="391">
        <f>'Calc Data'!E11</f>
        <v>0</v>
      </c>
      <c r="G10" s="391">
        <f>'Calc Data'!F11</f>
        <v>0</v>
      </c>
      <c r="H10" s="391">
        <f>'Calc Data'!G11</f>
        <v>0</v>
      </c>
      <c r="I10" s="391">
        <f>'Calc Data'!H11</f>
        <v>0</v>
      </c>
      <c r="J10" s="391">
        <f>'Calc Data'!I11</f>
        <v>0</v>
      </c>
      <c r="K10" s="391">
        <f>'Calc Data'!J11</f>
        <v>0</v>
      </c>
    </row>
    <row r="11" spans="1:11" s="382" customFormat="1" ht="15.75">
      <c r="A11" s="423"/>
      <c r="B11" s="473" t="s">
        <v>2976</v>
      </c>
      <c r="C11" s="474" t="s">
        <v>2977</v>
      </c>
      <c r="D11" s="607" t="s">
        <v>3142</v>
      </c>
      <c r="E11" s="607" t="s">
        <v>3151</v>
      </c>
      <c r="F11" s="476" t="s">
        <v>3263</v>
      </c>
      <c r="G11" s="1433" t="s">
        <v>10291</v>
      </c>
      <c r="H11" s="1433" t="s">
        <v>10292</v>
      </c>
      <c r="I11" s="1433" t="s">
        <v>10293</v>
      </c>
      <c r="J11" s="1433" t="s">
        <v>10294</v>
      </c>
      <c r="K11" s="1433" t="s">
        <v>10295</v>
      </c>
    </row>
    <row r="12" spans="1:11" s="382" customFormat="1" ht="15.75">
      <c r="A12" s="423"/>
      <c r="B12" s="473"/>
      <c r="C12" s="474"/>
      <c r="F12"/>
      <c r="G12"/>
      <c r="H12"/>
      <c r="I12"/>
      <c r="J12"/>
      <c r="K12"/>
    </row>
    <row r="13" spans="1:11" ht="15">
      <c r="A13" s="423"/>
      <c r="B13" s="382" t="s">
        <v>2939</v>
      </c>
      <c r="C13" s="382"/>
    </row>
    <row r="14" spans="1:11" ht="15">
      <c r="A14" s="423"/>
      <c r="B14" s="382" t="s">
        <v>4020</v>
      </c>
      <c r="C14" s="382"/>
    </row>
    <row r="15" spans="1:11" ht="15">
      <c r="A15" s="423"/>
      <c r="B15" s="382" t="s">
        <v>4021</v>
      </c>
      <c r="C15" s="382"/>
      <c r="J15" s="382"/>
      <c r="K15" s="382"/>
    </row>
    <row r="16" spans="1:11" ht="15">
      <c r="A16" s="423"/>
      <c r="B16" s="382" t="s">
        <v>4022</v>
      </c>
      <c r="C16" s="382"/>
      <c r="G16" s="382"/>
      <c r="H16" s="382"/>
      <c r="I16" s="382"/>
    </row>
    <row r="17" spans="1:11" ht="15">
      <c r="A17" s="423"/>
      <c r="B17" s="382" t="s">
        <v>2941</v>
      </c>
      <c r="C17" s="382"/>
      <c r="F17" s="382"/>
    </row>
    <row r="18" spans="1:11" s="382" customFormat="1" ht="15">
      <c r="F18"/>
      <c r="G18"/>
      <c r="H18"/>
      <c r="I18"/>
      <c r="K18"/>
    </row>
    <row r="20" spans="1:11" s="382" customFormat="1" ht="15.75">
      <c r="A20" s="585" t="s">
        <v>2951</v>
      </c>
      <c r="B20" s="588"/>
      <c r="C20" s="586" t="s">
        <v>167</v>
      </c>
      <c r="D20" s="587" t="s">
        <v>3138</v>
      </c>
      <c r="E20" s="587" t="s">
        <v>3144</v>
      </c>
      <c r="F20" s="587" t="s">
        <v>3225</v>
      </c>
      <c r="G20" s="587" t="s">
        <v>3284</v>
      </c>
      <c r="H20" s="587" t="s">
        <v>3922</v>
      </c>
      <c r="I20" s="587" t="str">
        <f>I5</f>
        <v>2021-22</v>
      </c>
      <c r="J20" s="587" t="str">
        <f>J5</f>
        <v>2022-23</v>
      </c>
      <c r="K20" s="587" t="str">
        <f>K5</f>
        <v>2023-24</v>
      </c>
    </row>
    <row r="21" spans="1:11" s="382" customFormat="1" ht="15">
      <c r="A21" s="385" t="s">
        <v>2186</v>
      </c>
      <c r="B21" s="386" t="s">
        <v>530</v>
      </c>
      <c r="C21" s="390" t="e">
        <f>#REF!</f>
        <v>#REF!</v>
      </c>
      <c r="D21" s="390" t="e">
        <f>#REF!</f>
        <v>#REF!</v>
      </c>
      <c r="E21" s="390" t="e">
        <f>'Report-SOF1718'!D54</f>
        <v>#REF!</v>
      </c>
      <c r="F21" s="390">
        <f>'Report-SOF1819'!D54</f>
        <v>0</v>
      </c>
      <c r="G21" s="390">
        <f>'Report-SOF1920-HB3'!D57</f>
        <v>0</v>
      </c>
      <c r="H21" s="390" t="e">
        <f>'Report-SOF2021-HB3'!D57</f>
        <v>#DIV/0!</v>
      </c>
      <c r="I21" s="390" t="e">
        <f>'Report-SOF2122-HB3'!D57</f>
        <v>#DIV/0!</v>
      </c>
      <c r="J21" s="390" t="e">
        <f>'Report-SOF2223-HB3'!D57</f>
        <v>#DIV/0!</v>
      </c>
      <c r="K21" s="390" t="e">
        <f>'Report-SOF2324-HB3'!D57</f>
        <v>#DIV/0!</v>
      </c>
    </row>
    <row r="22" spans="1:11" s="382" customFormat="1" ht="15">
      <c r="A22" s="385" t="s">
        <v>2187</v>
      </c>
      <c r="B22" s="386" t="s">
        <v>2953</v>
      </c>
      <c r="C22" s="390" t="e">
        <f>#REF!*-1</f>
        <v>#REF!</v>
      </c>
      <c r="D22" s="390" t="e">
        <f>#REF!*-1</f>
        <v>#REF!</v>
      </c>
      <c r="E22" s="390" t="e">
        <f>'Report-SOF1718'!D52*-1</f>
        <v>#REF!</v>
      </c>
      <c r="F22" s="390">
        <f>'Report-SOF1819'!D52*-1</f>
        <v>0</v>
      </c>
      <c r="G22" s="390">
        <f>'Report-SOF1920-HB3'!D50*-1</f>
        <v>0</v>
      </c>
      <c r="H22" s="390">
        <f>'Report-SOF2021-HB3'!D50*-1</f>
        <v>0</v>
      </c>
      <c r="I22" s="390">
        <f>'Report-SOF2122-HB3'!D50*-1</f>
        <v>0</v>
      </c>
      <c r="J22" s="390">
        <f>'Report-SOF2223-HB3'!D50*-1</f>
        <v>0</v>
      </c>
      <c r="K22" s="390">
        <f>'Report-SOF2324-HB3'!D50*-1</f>
        <v>0</v>
      </c>
    </row>
    <row r="23" spans="1:11" s="382" customFormat="1" ht="15">
      <c r="A23" s="385" t="s">
        <v>2188</v>
      </c>
      <c r="B23" s="386" t="s">
        <v>2958</v>
      </c>
      <c r="C23" s="390" t="e">
        <f>#REF!*-1</f>
        <v>#REF!</v>
      </c>
      <c r="D23" s="390" t="e">
        <f>#REF!*-1</f>
        <v>#REF!</v>
      </c>
      <c r="E23" s="390" t="e">
        <f>'Report-SOF1718'!D53*-1</f>
        <v>#REF!</v>
      </c>
      <c r="F23" s="390">
        <f>'Report-SOF1819'!D53*-1</f>
        <v>0</v>
      </c>
      <c r="G23" s="431" t="s">
        <v>1775</v>
      </c>
      <c r="H23" s="431" t="s">
        <v>1775</v>
      </c>
      <c r="I23" s="431" t="s">
        <v>1775</v>
      </c>
      <c r="J23" s="431" t="s">
        <v>1775</v>
      </c>
      <c r="K23" s="431" t="s">
        <v>1775</v>
      </c>
    </row>
    <row r="24" spans="1:11" s="382" customFormat="1" ht="15">
      <c r="A24" s="385" t="s">
        <v>909</v>
      </c>
      <c r="B24" s="386" t="s">
        <v>4017</v>
      </c>
      <c r="C24" s="390"/>
      <c r="D24" s="390" t="e">
        <f>#REF!*-1</f>
        <v>#REF!</v>
      </c>
      <c r="E24" s="390" t="e">
        <f>'Report-SOF1718'!D51*-1</f>
        <v>#REF!</v>
      </c>
      <c r="F24" s="390">
        <f>'Report-SOF1819'!D51*-1</f>
        <v>0</v>
      </c>
      <c r="G24" s="390">
        <f>'Report-SOF1920-HB3'!D51*-1</f>
        <v>0</v>
      </c>
      <c r="H24" s="390">
        <f>'Report-SOF2021-HB3'!D51*-1</f>
        <v>0</v>
      </c>
      <c r="I24" s="390">
        <f>'Report-SOF2122-HB3'!D51*-1</f>
        <v>0</v>
      </c>
      <c r="J24" s="390">
        <f>'Report-SOF2223-HB3'!D51*-1</f>
        <v>0</v>
      </c>
      <c r="K24" s="390">
        <f>'Report-SOF2324-HB3'!D51*-1</f>
        <v>0</v>
      </c>
    </row>
    <row r="25" spans="1:11" s="382" customFormat="1" ht="15">
      <c r="A25" s="385" t="s">
        <v>910</v>
      </c>
      <c r="B25" s="4636" t="s">
        <v>9484</v>
      </c>
      <c r="C25" s="4637"/>
      <c r="D25" s="4637"/>
      <c r="E25" s="4637"/>
      <c r="F25" s="431" t="s">
        <v>1775</v>
      </c>
      <c r="G25" s="4637">
        <f>'Report-SOF1920-HB3'!D52</f>
        <v>0</v>
      </c>
      <c r="H25" s="4637">
        <f>'Report-SOF2021-HB3'!D52</f>
        <v>0</v>
      </c>
      <c r="I25" s="4637">
        <f>'Report-SOF2122-HB3'!D52</f>
        <v>0</v>
      </c>
      <c r="J25" s="4637">
        <f>'Report-SOF2223-HB3'!D52</f>
        <v>0</v>
      </c>
      <c r="K25" s="4637">
        <f>'Report-SOF2324-HB3'!D52</f>
        <v>0</v>
      </c>
    </row>
    <row r="26" spans="1:11" s="382" customFormat="1" ht="15">
      <c r="A26" s="385" t="s">
        <v>912</v>
      </c>
      <c r="B26" s="4636" t="s">
        <v>9485</v>
      </c>
      <c r="C26" s="4637"/>
      <c r="D26" s="4637"/>
      <c r="E26" s="4637"/>
      <c r="F26" s="431" t="s">
        <v>1775</v>
      </c>
      <c r="G26" s="4637">
        <f>'Report-SOF1920-HB3'!D54</f>
        <v>0</v>
      </c>
      <c r="H26" s="4637">
        <f>'Report-SOF2021-HB3'!D54</f>
        <v>0</v>
      </c>
      <c r="I26" s="4637">
        <f>'Report-SOF2122-HB3'!D54</f>
        <v>0</v>
      </c>
      <c r="J26" s="4637">
        <f>'Report-SOF2223-HB3'!D54</f>
        <v>0</v>
      </c>
      <c r="K26" s="4637">
        <f>'Report-SOF2324-HB3'!D54</f>
        <v>0</v>
      </c>
    </row>
    <row r="27" spans="1:11" s="382" customFormat="1" ht="15">
      <c r="A27" s="385" t="s">
        <v>913</v>
      </c>
      <c r="B27" s="4636" t="s">
        <v>9486</v>
      </c>
      <c r="C27" s="4637"/>
      <c r="D27" s="4637"/>
      <c r="E27" s="4637"/>
      <c r="F27" s="431" t="s">
        <v>1775</v>
      </c>
      <c r="G27" s="4637">
        <f>'Report-SOF1920-HB3'!D55</f>
        <v>0</v>
      </c>
      <c r="H27" s="4637">
        <f>'Report-SOF2021-HB3'!D55</f>
        <v>0</v>
      </c>
      <c r="I27" s="4637">
        <f>'Report-SOF2122-HB3'!D55</f>
        <v>0</v>
      </c>
      <c r="J27" s="4637">
        <f>'Report-SOF2223-HB3'!D55</f>
        <v>0</v>
      </c>
      <c r="K27" s="4637">
        <f>'Report-SOF2324-HB3'!D55</f>
        <v>0</v>
      </c>
    </row>
    <row r="28" spans="1:11" s="382" customFormat="1" ht="15">
      <c r="A28" s="385" t="s">
        <v>914</v>
      </c>
      <c r="B28" s="4636" t="s">
        <v>10296</v>
      </c>
      <c r="C28" s="4745"/>
      <c r="D28" s="4745"/>
      <c r="E28" s="4745"/>
      <c r="F28" s="431" t="s">
        <v>1775</v>
      </c>
      <c r="G28" s="4745">
        <f>'Report-SOF1920-HB3'!D53</f>
        <v>0</v>
      </c>
      <c r="H28" s="4745">
        <f>'Report-SOF2021-HB3'!D53</f>
        <v>0</v>
      </c>
      <c r="I28" s="4745">
        <f>'Report-SOF2122-HB3'!D53</f>
        <v>0</v>
      </c>
      <c r="J28" s="4745">
        <f>'Report-SOF2223-HB3'!D53</f>
        <v>0</v>
      </c>
      <c r="K28" s="4745">
        <f>'Report-SOF2324-HB3'!D53</f>
        <v>0</v>
      </c>
    </row>
    <row r="29" spans="1:11" s="382" customFormat="1" ht="15">
      <c r="A29" s="385" t="s">
        <v>118</v>
      </c>
      <c r="B29" s="386" t="s">
        <v>2952</v>
      </c>
      <c r="C29" s="390" t="e">
        <f>#REF!*-1</f>
        <v>#REF!</v>
      </c>
      <c r="D29" s="390" t="e">
        <f>#REF!*-1</f>
        <v>#REF!</v>
      </c>
      <c r="E29" s="390" t="e">
        <f>#REF!*-1</f>
        <v>#REF!</v>
      </c>
      <c r="F29" s="390">
        <f>'Report-T1Detail1819'!D19*-1</f>
        <v>0</v>
      </c>
      <c r="G29" s="390">
        <f>'SOF1920-HB3'!I28*-1</f>
        <v>0</v>
      </c>
      <c r="H29" s="390">
        <f>'SOF2021-HB3'!I28*-1</f>
        <v>0</v>
      </c>
      <c r="I29" s="390">
        <f>'SOF2122-HB3'!I28*-1</f>
        <v>0</v>
      </c>
      <c r="J29" s="390">
        <f>'SOF2223-HB3'!I28*-1</f>
        <v>0</v>
      </c>
      <c r="K29" s="390">
        <f>'SOF2324-HB3'!I28*-1</f>
        <v>0</v>
      </c>
    </row>
    <row r="30" spans="1:11" s="382" customFormat="1" ht="15">
      <c r="A30" s="385" t="s">
        <v>119</v>
      </c>
      <c r="B30" s="386" t="s">
        <v>2954</v>
      </c>
      <c r="C30" s="390" t="e">
        <f t="shared" ref="C30:K30" si="1">SUM(C21:C29)</f>
        <v>#REF!</v>
      </c>
      <c r="D30" s="390" t="e">
        <f t="shared" si="1"/>
        <v>#REF!</v>
      </c>
      <c r="E30" s="390" t="e">
        <f t="shared" si="1"/>
        <v>#REF!</v>
      </c>
      <c r="F30" s="390">
        <f t="shared" si="1"/>
        <v>0</v>
      </c>
      <c r="G30" s="390">
        <f t="shared" si="1"/>
        <v>0</v>
      </c>
      <c r="H30" s="390" t="e">
        <f t="shared" si="1"/>
        <v>#DIV/0!</v>
      </c>
      <c r="I30" s="390" t="e">
        <f t="shared" si="1"/>
        <v>#DIV/0!</v>
      </c>
      <c r="J30" s="390" t="e">
        <f t="shared" si="1"/>
        <v>#DIV/0!</v>
      </c>
      <c r="K30" s="390" t="e">
        <f t="shared" si="1"/>
        <v>#DIV/0!</v>
      </c>
    </row>
    <row r="31" spans="1:11" s="382" customFormat="1" ht="15">
      <c r="A31" s="385" t="s">
        <v>120</v>
      </c>
      <c r="B31" s="386" t="s">
        <v>2955</v>
      </c>
      <c r="C31" s="468" t="e">
        <f t="shared" ref="C31:F31" si="2">C50-C49</f>
        <v>#REF!</v>
      </c>
      <c r="D31" s="468" t="e">
        <f t="shared" si="2"/>
        <v>#REF!</v>
      </c>
      <c r="E31" s="468" t="e">
        <f t="shared" si="2"/>
        <v>#REF!</v>
      </c>
      <c r="F31" s="468">
        <f t="shared" si="2"/>
        <v>-3649</v>
      </c>
      <c r="G31" s="431" t="s">
        <v>1775</v>
      </c>
      <c r="H31" s="431" t="s">
        <v>1775</v>
      </c>
      <c r="I31" s="431" t="s">
        <v>1775</v>
      </c>
      <c r="J31" s="431" t="s">
        <v>1775</v>
      </c>
      <c r="K31" s="431" t="s">
        <v>1775</v>
      </c>
    </row>
    <row r="32" spans="1:11" s="382" customFormat="1" ht="15">
      <c r="A32" s="385" t="s">
        <v>121</v>
      </c>
      <c r="B32" s="386" t="s">
        <v>2956</v>
      </c>
      <c r="C32" s="468" t="e">
        <f t="shared" ref="C32:F32" si="3">C50*2</f>
        <v>#REF!</v>
      </c>
      <c r="D32" s="468" t="e">
        <f t="shared" si="3"/>
        <v>#REF!</v>
      </c>
      <c r="E32" s="468" t="e">
        <f t="shared" si="3"/>
        <v>#REF!</v>
      </c>
      <c r="F32" s="468">
        <f t="shared" si="3"/>
        <v>2982</v>
      </c>
      <c r="G32" s="431" t="s">
        <v>1775</v>
      </c>
      <c r="H32" s="431" t="s">
        <v>1775</v>
      </c>
      <c r="I32" s="431" t="s">
        <v>1775</v>
      </c>
      <c r="J32" s="431" t="s">
        <v>1775</v>
      </c>
      <c r="K32" s="431" t="s">
        <v>1775</v>
      </c>
    </row>
    <row r="33" spans="1:11" s="382" customFormat="1" ht="15">
      <c r="A33" s="385" t="s">
        <v>1513</v>
      </c>
      <c r="B33" s="386" t="s">
        <v>9501</v>
      </c>
      <c r="C33" s="389" t="e">
        <f t="shared" ref="C33:F33" si="4">C31/C32</f>
        <v>#REF!</v>
      </c>
      <c r="D33" s="389" t="e">
        <f t="shared" si="4"/>
        <v>#REF!</v>
      </c>
      <c r="E33" s="389" t="e">
        <f t="shared" si="4"/>
        <v>#REF!</v>
      </c>
      <c r="F33" s="389">
        <f t="shared" si="4"/>
        <v>-1.2236753856472167</v>
      </c>
      <c r="G33" s="431" t="s">
        <v>1775</v>
      </c>
      <c r="H33" s="431" t="s">
        <v>1775</v>
      </c>
      <c r="I33" s="431" t="s">
        <v>1775</v>
      </c>
      <c r="J33" s="431" t="s">
        <v>1775</v>
      </c>
      <c r="K33" s="431" t="s">
        <v>1775</v>
      </c>
    </row>
    <row r="34" spans="1:11" s="382" customFormat="1" ht="15">
      <c r="A34" s="385" t="s">
        <v>6</v>
      </c>
      <c r="B34" s="386" t="s">
        <v>9502</v>
      </c>
      <c r="C34" s="389" t="e">
        <f>1 - C33</f>
        <v>#REF!</v>
      </c>
      <c r="D34" s="389" t="e">
        <f t="shared" ref="D34:F34" si="5">1-D33</f>
        <v>#REF!</v>
      </c>
      <c r="E34" s="389" t="e">
        <f t="shared" si="5"/>
        <v>#REF!</v>
      </c>
      <c r="F34" s="389">
        <f t="shared" si="5"/>
        <v>2.2236753856472165</v>
      </c>
      <c r="G34" s="431" t="s">
        <v>1775</v>
      </c>
      <c r="H34" s="431" t="s">
        <v>1775</v>
      </c>
      <c r="I34" s="431" t="s">
        <v>1775</v>
      </c>
      <c r="J34" s="431" t="s">
        <v>1775</v>
      </c>
      <c r="K34" s="431" t="s">
        <v>1775</v>
      </c>
    </row>
    <row r="35" spans="1:11" s="382" customFormat="1" ht="15">
      <c r="A35" s="385" t="s">
        <v>2232</v>
      </c>
      <c r="B35" s="386" t="s">
        <v>9503</v>
      </c>
      <c r="C35" s="390" t="e">
        <f t="shared" ref="C35:F35" si="6">C30*C34</f>
        <v>#REF!</v>
      </c>
      <c r="D35" s="390" t="e">
        <f t="shared" si="6"/>
        <v>#REF!</v>
      </c>
      <c r="E35" s="390" t="e">
        <f t="shared" si="6"/>
        <v>#REF!</v>
      </c>
      <c r="F35" s="390">
        <f t="shared" si="6"/>
        <v>0</v>
      </c>
      <c r="G35" s="431" t="s">
        <v>1775</v>
      </c>
      <c r="H35" s="431" t="s">
        <v>1775</v>
      </c>
      <c r="I35" s="431" t="s">
        <v>1775</v>
      </c>
      <c r="J35" s="431" t="s">
        <v>1775</v>
      </c>
      <c r="K35" s="431" t="s">
        <v>1775</v>
      </c>
    </row>
    <row r="36" spans="1:11" s="382" customFormat="1" ht="15">
      <c r="A36" s="385" t="s">
        <v>2233</v>
      </c>
      <c r="B36" s="386" t="s">
        <v>2957</v>
      </c>
      <c r="C36" s="390" t="e">
        <f t="shared" ref="C36:F36" si="7">C49</f>
        <v>#REF!</v>
      </c>
      <c r="D36" s="390" t="e">
        <f t="shared" si="7"/>
        <v>#REF!</v>
      </c>
      <c r="E36" s="390" t="e">
        <f t="shared" si="7"/>
        <v>#REF!</v>
      </c>
      <c r="F36" s="390">
        <f t="shared" si="7"/>
        <v>5140</v>
      </c>
      <c r="G36" s="431" t="str">
        <f>G49</f>
        <v>N/A</v>
      </c>
      <c r="H36" s="431" t="str">
        <f>H49</f>
        <v>N/A</v>
      </c>
      <c r="I36" s="431" t="str">
        <f>I49</f>
        <v>N/A</v>
      </c>
      <c r="J36" s="431" t="str">
        <f>J49</f>
        <v>N/A</v>
      </c>
      <c r="K36" s="431" t="str">
        <f>K49</f>
        <v>N/A</v>
      </c>
    </row>
    <row r="37" spans="1:11" s="382" customFormat="1" ht="15.75">
      <c r="A37" s="385" t="s">
        <v>2722</v>
      </c>
      <c r="B37" s="384" t="s">
        <v>2572</v>
      </c>
      <c r="C37" s="389" t="e">
        <f t="shared" ref="C37:F37" si="8">C35/C36</f>
        <v>#REF!</v>
      </c>
      <c r="D37" s="389" t="e">
        <f t="shared" si="8"/>
        <v>#REF!</v>
      </c>
      <c r="E37" s="389" t="e">
        <f t="shared" si="8"/>
        <v>#REF!</v>
      </c>
      <c r="F37" s="389">
        <f t="shared" si="8"/>
        <v>0</v>
      </c>
      <c r="G37" s="389" t="e">
        <f>G30/Assumptions!H118</f>
        <v>#DIV/0!</v>
      </c>
      <c r="H37" s="389" t="e">
        <f>H30/Assumptions!H127</f>
        <v>#DIV/0!</v>
      </c>
      <c r="I37" s="389" t="e">
        <f>I30/Assumptions!H136</f>
        <v>#DIV/0!</v>
      </c>
      <c r="J37" s="389" t="e">
        <f>J30/Assumptions!H145</f>
        <v>#DIV/0!</v>
      </c>
      <c r="K37" s="389" t="e">
        <f>K30/Assumptions!H154</f>
        <v>#DIV/0!</v>
      </c>
    </row>
    <row r="38" spans="1:11" s="382" customFormat="1" ht="15.75">
      <c r="B38" s="473" t="s">
        <v>2976</v>
      </c>
      <c r="C38" s="474" t="s">
        <v>2977</v>
      </c>
      <c r="D38" s="607" t="s">
        <v>3142</v>
      </c>
      <c r="E38" s="607" t="s">
        <v>3151</v>
      </c>
      <c r="F38" s="476" t="s">
        <v>3263</v>
      </c>
      <c r="G38" s="1433" t="s">
        <v>10291</v>
      </c>
      <c r="H38" s="1433" t="s">
        <v>10292</v>
      </c>
      <c r="I38" s="1433" t="s">
        <v>10293</v>
      </c>
      <c r="J38" s="1433" t="s">
        <v>10294</v>
      </c>
      <c r="K38" s="1433" t="s">
        <v>10297</v>
      </c>
    </row>
    <row r="39" spans="1:11" s="382" customFormat="1" ht="15"/>
    <row r="40" spans="1:11" s="382" customFormat="1" ht="15">
      <c r="B40" s="382" t="s">
        <v>2939</v>
      </c>
    </row>
    <row r="41" spans="1:11" s="382" customFormat="1" ht="15">
      <c r="B41" s="382" t="s">
        <v>10298</v>
      </c>
    </row>
    <row r="42" spans="1:11" s="382" customFormat="1" ht="15">
      <c r="B42" s="382" t="s">
        <v>2975</v>
      </c>
    </row>
    <row r="43" spans="1:11" s="382" customFormat="1" ht="15">
      <c r="B43" s="382" t="s">
        <v>10299</v>
      </c>
    </row>
    <row r="44" spans="1:11" s="382" customFormat="1" ht="15">
      <c r="B44" s="382" t="s">
        <v>10300</v>
      </c>
    </row>
    <row r="45" spans="1:11" s="382" customFormat="1" ht="15">
      <c r="B45" s="382" t="s">
        <v>2959</v>
      </c>
    </row>
    <row r="46" spans="1:11" s="382" customFormat="1" ht="15"/>
    <row r="47" spans="1:11" s="382" customFormat="1" ht="15"/>
    <row r="48" spans="1:11" s="382" customFormat="1" ht="15.75">
      <c r="A48" s="585" t="s">
        <v>2940</v>
      </c>
      <c r="B48" s="588"/>
      <c r="C48" s="586" t="s">
        <v>167</v>
      </c>
      <c r="D48" s="587" t="s">
        <v>3138</v>
      </c>
      <c r="E48" s="587" t="s">
        <v>3144</v>
      </c>
      <c r="F48" s="587" t="s">
        <v>3225</v>
      </c>
      <c r="G48" s="587" t="s">
        <v>3284</v>
      </c>
      <c r="H48" s="587" t="s">
        <v>3922</v>
      </c>
      <c r="I48" s="587" t="str">
        <f>I20</f>
        <v>2021-22</v>
      </c>
      <c r="J48" s="587" t="str">
        <f>J20</f>
        <v>2022-23</v>
      </c>
      <c r="K48" s="587" t="str">
        <f>K20</f>
        <v>2023-24</v>
      </c>
    </row>
    <row r="49" spans="1:11" s="382" customFormat="1" ht="15">
      <c r="A49" s="385" t="s">
        <v>912</v>
      </c>
      <c r="B49" s="386" t="s">
        <v>2422</v>
      </c>
      <c r="C49" s="390" t="e">
        <f>'Calc Data'!#REF!</f>
        <v>#REF!</v>
      </c>
      <c r="D49" s="390" t="e">
        <f>IF(#REF!&lt;=0,'Calc Data'!C19,#REF!)</f>
        <v>#REF!</v>
      </c>
      <c r="E49" s="390" t="e">
        <f>FracFunding1718!D6</f>
        <v>#REF!</v>
      </c>
      <c r="F49" s="390">
        <f>FracFunding1819!D6</f>
        <v>5140</v>
      </c>
      <c r="G49" s="4651" t="s">
        <v>1775</v>
      </c>
      <c r="H49" s="4651" t="s">
        <v>1775</v>
      </c>
      <c r="I49" s="4651" t="s">
        <v>1775</v>
      </c>
      <c r="J49" s="4651" t="s">
        <v>1775</v>
      </c>
      <c r="K49" s="4651" t="s">
        <v>1775</v>
      </c>
    </row>
    <row r="50" spans="1:11" s="382" customFormat="1" ht="15">
      <c r="A50" s="385" t="s">
        <v>913</v>
      </c>
      <c r="B50" s="386" t="s">
        <v>1701</v>
      </c>
      <c r="C50" s="468" t="e">
        <f>'Calc Data'!#REF!</f>
        <v>#REF!</v>
      </c>
      <c r="D50" s="468" t="e">
        <f>IF(#REF!&lt;=0,'Calc Data'!C20,'Calc Data'!AC20)</f>
        <v>#REF!</v>
      </c>
      <c r="E50" s="468" t="e">
        <f>'Calc Data'!#REF!</f>
        <v>#REF!</v>
      </c>
      <c r="F50" s="468">
        <f>'Calc Data'!AG20</f>
        <v>1491</v>
      </c>
      <c r="G50" s="4651" t="s">
        <v>1775</v>
      </c>
      <c r="H50" s="4651" t="s">
        <v>1775</v>
      </c>
      <c r="I50" s="4651" t="s">
        <v>1775</v>
      </c>
      <c r="J50" s="4651" t="s">
        <v>1775</v>
      </c>
      <c r="K50" s="4651" t="s">
        <v>1775</v>
      </c>
    </row>
    <row r="51" spans="1:11" s="382" customFormat="1" ht="15">
      <c r="A51" s="385" t="s">
        <v>914</v>
      </c>
      <c r="B51" s="386" t="s">
        <v>2942</v>
      </c>
      <c r="C51" s="386" t="e">
        <f>'Calc Data'!#REF!</f>
        <v>#REF!</v>
      </c>
      <c r="D51" s="386">
        <f>'Calc Data'!C18</f>
        <v>2.5000000000000001E-4</v>
      </c>
      <c r="E51" s="386" t="e">
        <f>'Calc Data'!D18</f>
        <v>#REF!</v>
      </c>
      <c r="F51" s="386">
        <f>'Calc Data'!E18</f>
        <v>2.7500000000000002E-4</v>
      </c>
      <c r="G51" s="4651" t="s">
        <v>1775</v>
      </c>
      <c r="H51" s="4651" t="s">
        <v>1775</v>
      </c>
      <c r="I51" s="4651" t="s">
        <v>1775</v>
      </c>
      <c r="J51" s="4651" t="s">
        <v>1775</v>
      </c>
      <c r="K51" s="4651" t="s">
        <v>1775</v>
      </c>
    </row>
    <row r="52" spans="1:11" s="382" customFormat="1" ht="15">
      <c r="A52" s="385" t="s">
        <v>118</v>
      </c>
      <c r="B52" s="386" t="s">
        <v>2943</v>
      </c>
      <c r="C52" s="468" t="e">
        <f>'Calc Data'!#REF!</f>
        <v>#REF!</v>
      </c>
      <c r="D52" s="468" t="e">
        <f>IF(#REF!&lt;=0,'Calc Data'!C21,'Calc Data'!AC21)</f>
        <v>#REF!</v>
      </c>
      <c r="E52" s="468" t="e">
        <f>'Calc Data'!#REF!</f>
        <v>#REF!</v>
      </c>
      <c r="F52" s="468">
        <f>'Calc Data'!AG21</f>
        <v>2147</v>
      </c>
      <c r="G52" s="4651" t="s">
        <v>1775</v>
      </c>
      <c r="H52" s="4651" t="s">
        <v>1775</v>
      </c>
      <c r="I52" s="4651" t="s">
        <v>1775</v>
      </c>
      <c r="J52" s="4651" t="s">
        <v>1775</v>
      </c>
      <c r="K52" s="4651" t="s">
        <v>1775</v>
      </c>
    </row>
    <row r="53" spans="1:11" s="382" customFormat="1" ht="15">
      <c r="A53" s="385" t="s">
        <v>119</v>
      </c>
      <c r="B53" s="386" t="s">
        <v>2944</v>
      </c>
      <c r="C53" s="468" t="e">
        <f>'Calc Data'!#REF!</f>
        <v>#REF!</v>
      </c>
      <c r="D53" s="468" t="e">
        <f>IF(#REF!&lt;=0,'Calc Data'!C22,'Calc Data'!AC22)</f>
        <v>#REF!</v>
      </c>
      <c r="E53" s="468" t="e">
        <f>'Calc Data'!#REF!</f>
        <v>#REF!</v>
      </c>
      <c r="F53" s="468">
        <f>'Calc Data'!AG22</f>
        <v>0</v>
      </c>
      <c r="G53" s="4651" t="s">
        <v>1775</v>
      </c>
      <c r="H53" s="4651" t="s">
        <v>1775</v>
      </c>
      <c r="I53" s="4651" t="s">
        <v>1775</v>
      </c>
      <c r="J53" s="4651" t="s">
        <v>1775</v>
      </c>
      <c r="K53" s="4651" t="s">
        <v>1775</v>
      </c>
    </row>
    <row r="54" spans="1:11" s="382" customFormat="1" ht="15.75">
      <c r="A54" s="385" t="s">
        <v>120</v>
      </c>
      <c r="B54" s="384" t="s">
        <v>1702</v>
      </c>
      <c r="C54" s="468" t="e">
        <f>'Calc Data'!#REF!</f>
        <v>#REF!</v>
      </c>
      <c r="D54" s="468" t="e">
        <f>IF(#REF!&lt;=0,'Calc Data'!C23,'Calc Data'!AC23)</f>
        <v>#REF!</v>
      </c>
      <c r="E54" s="468" t="e">
        <f>'Calc Data'!#REF!</f>
        <v>#REF!</v>
      </c>
      <c r="F54" s="468">
        <f>'Calc Data'!AG23</f>
        <v>2147</v>
      </c>
      <c r="G54" s="4651" t="s">
        <v>1775</v>
      </c>
      <c r="H54" s="4651" t="s">
        <v>1775</v>
      </c>
      <c r="I54" s="4651" t="s">
        <v>1775</v>
      </c>
      <c r="J54" s="4651" t="s">
        <v>1775</v>
      </c>
      <c r="K54" s="4651" t="s">
        <v>1775</v>
      </c>
    </row>
    <row r="55" spans="1:11" s="382" customFormat="1" ht="15.75">
      <c r="A55" s="394"/>
      <c r="B55" s="473" t="s">
        <v>2976</v>
      </c>
      <c r="C55" s="474" t="s">
        <v>2977</v>
      </c>
      <c r="D55" s="607" t="s">
        <v>3142</v>
      </c>
      <c r="E55" s="607" t="s">
        <v>3151</v>
      </c>
      <c r="F55" s="476" t="s">
        <v>3263</v>
      </c>
    </row>
    <row r="56" spans="1:11" s="382" customFormat="1" ht="15">
      <c r="A56" s="394"/>
    </row>
    <row r="57" spans="1:11" s="382" customFormat="1" ht="15">
      <c r="A57" s="394"/>
      <c r="B57" s="382" t="s">
        <v>10301</v>
      </c>
    </row>
    <row r="58" spans="1:11" s="382" customFormat="1" ht="15">
      <c r="A58" s="394"/>
      <c r="B58" s="382" t="s">
        <v>8227</v>
      </c>
    </row>
    <row r="59" spans="1:11" s="382" customFormat="1" ht="15">
      <c r="B59" s="382" t="s">
        <v>4018</v>
      </c>
    </row>
    <row r="60" spans="1:11" s="382" customFormat="1" ht="15">
      <c r="B60" s="382" t="s">
        <v>8229</v>
      </c>
      <c r="K60"/>
    </row>
    <row r="61" spans="1:11" s="382" customFormat="1" ht="15">
      <c r="B61" s="382" t="s">
        <v>8228</v>
      </c>
      <c r="G61"/>
      <c r="J61"/>
      <c r="K61"/>
    </row>
    <row r="62" spans="1:11" s="382" customFormat="1" ht="15">
      <c r="B62" s="382" t="s">
        <v>4019</v>
      </c>
      <c r="G62"/>
      <c r="H62"/>
      <c r="I62"/>
      <c r="J62"/>
      <c r="K62"/>
    </row>
    <row r="63" spans="1:11" s="382" customFormat="1" ht="15">
      <c r="B63" s="382" t="s">
        <v>2948</v>
      </c>
      <c r="F63"/>
      <c r="G63"/>
      <c r="H63"/>
      <c r="I63"/>
      <c r="J63"/>
      <c r="K63"/>
    </row>
    <row r="64" spans="1:11" s="382" customFormat="1" ht="15">
      <c r="B64" s="382" t="s">
        <v>2946</v>
      </c>
      <c r="F64"/>
      <c r="G64"/>
      <c r="H64"/>
      <c r="I64"/>
      <c r="J64"/>
      <c r="K64"/>
    </row>
    <row r="65" spans="2:11" s="382" customFormat="1" ht="15">
      <c r="B65" s="382" t="s">
        <v>2947</v>
      </c>
      <c r="F65"/>
      <c r="G65"/>
      <c r="H65"/>
      <c r="I65"/>
      <c r="J65"/>
      <c r="K65"/>
    </row>
  </sheetData>
  <hyperlinks>
    <hyperlink ref="C11" location="'Report-SOF1112'!A1" display="Report-SOF1112"/>
    <hyperlink ref="C38" location="'Report-SOF1112'!A1" display="Report-SOF1112"/>
    <hyperlink ref="C55" location="'Report-SOF1112'!A1" display="Report-SOF1112"/>
    <hyperlink ref="D11" location="'Report-SOF1617'!A1" display="'Report-SOF1617'!A1"/>
    <hyperlink ref="D38" location="'Report-SOF1617'!A1" display="'Report-SOF1617'!A1"/>
    <hyperlink ref="D55" location="'Report-SOF1617'!A1" display="'Report-SOF1617'!A1"/>
    <hyperlink ref="E11" location="'Report-SOF1718'!A1" display="'Report-SOF1718'!A1"/>
    <hyperlink ref="E38" location="'Report-SOF1718'!A1" display="'Report-SOF1718'!A1"/>
    <hyperlink ref="E55" location="'Report-SOF1718'!A1" display="'Report-SOF1718'!A1"/>
    <hyperlink ref="F11" location="'Report-SOF1819'!A1" display="'Report-SOF1819'!A1"/>
    <hyperlink ref="F38" location="'Report-SOF1819'!A1" display="'Report-SOF1819'!A1"/>
    <hyperlink ref="F55" location="'Report-SOF1819'!A1" display="'Report-SOF1819'!A1"/>
    <hyperlink ref="G11" location="'Report-SOF1920-HB3'!A1" display="'Report-SOF1920-HB3'!A1"/>
    <hyperlink ref="H11" location="'Report-SOF2021-HB3'!A1" display="'Report-SOF2021-HB3'!A1"/>
    <hyperlink ref="I11" location="'Report-SOF2122-HB3'!A1" display="'Report-SOF2122-HB3'!A1"/>
    <hyperlink ref="J11" location="'Report-SOF2223-HB3'!A1" display="'Report-SOF2223-HB3'!A1"/>
    <hyperlink ref="K11" location="'Report-SOF2324-HB3'!A1" display="'Report-SOF2324-HB3'!A1"/>
    <hyperlink ref="G38" location="'Report-SOF1920-HB3'!A1" display="'Report-SOF1920-HB3'!A1"/>
    <hyperlink ref="H38" location="'Report-SOF2021-HB3'!A1" display="'Report-SOF2021-HB3'!A1"/>
    <hyperlink ref="I38" location="'Report-SOF2122-HB3'!A1" display="'Report-SOF2122-HB3'!A1"/>
    <hyperlink ref="J38" location="'Report-SOF2223-HB3'!A1" display="'Report-SOF2223-HB3'!A1"/>
    <hyperlink ref="K38" location="'SOF2324-HB3'!A1" display="'SOF2324-HB3'!A1"/>
  </hyperlinks>
  <pageMargins left="0.45" right="0.45" top="0.5" bottom="0.5" header="0.3" footer="0.3"/>
  <pageSetup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'Report-SOF2324'!D1</f>
        <v>Release 10</v>
      </c>
    </row>
    <row r="2" spans="1:5">
      <c r="A2" s="64" t="s">
        <v>3811</v>
      </c>
      <c r="E2" s="754">
        <f>'Report-SOF2324'!D2</f>
        <v>43724</v>
      </c>
    </row>
    <row r="3" spans="1:5">
      <c r="A3" s="64"/>
      <c r="E3" s="754">
        <f>'Report-SOF2324'!D3</f>
        <v>0</v>
      </c>
    </row>
    <row r="4" spans="1:5" ht="15.75">
      <c r="A4" s="381" t="s">
        <v>3159</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3160</v>
      </c>
      <c r="C15" s="428" t="e">
        <f>'Option Costs'!K70</f>
        <v>#REF!</v>
      </c>
      <c r="D15" s="428"/>
      <c r="E15" s="428" t="e">
        <f>C15</f>
        <v>#REF!</v>
      </c>
    </row>
    <row r="16" spans="1:5" s="382" customFormat="1" ht="15">
      <c r="A16" s="385" t="s">
        <v>912</v>
      </c>
      <c r="B16" s="386" t="s">
        <v>3161</v>
      </c>
      <c r="C16" s="429" t="e">
        <f>'Data Entry - SOF'!#REF!</f>
        <v>#REF!</v>
      </c>
      <c r="D16" s="429"/>
      <c r="E16" s="429" t="e">
        <f t="shared" ref="E16:E23" si="0">C16</f>
        <v>#REF!</v>
      </c>
    </row>
    <row r="17" spans="1:5" s="382" customFormat="1" ht="15">
      <c r="A17" s="385" t="s">
        <v>2875</v>
      </c>
      <c r="B17" s="386" t="s">
        <v>3162</v>
      </c>
      <c r="C17" s="429" t="e">
        <f>FracFunding1718!D5</f>
        <v>#REF!</v>
      </c>
      <c r="D17" s="429"/>
      <c r="E17" s="429" t="e">
        <f t="shared" si="0"/>
        <v>#REF!</v>
      </c>
    </row>
    <row r="18" spans="1:5" s="382" customFormat="1" ht="15">
      <c r="A18" s="385" t="s">
        <v>913</v>
      </c>
      <c r="B18" s="386" t="s">
        <v>3163</v>
      </c>
      <c r="C18" s="389" t="e">
        <f>'Ch41 Calc Data'!L17</f>
        <v>#REF!</v>
      </c>
      <c r="D18" s="389"/>
      <c r="E18" s="389" t="e">
        <f t="shared" si="0"/>
        <v>#REF!</v>
      </c>
    </row>
    <row r="19" spans="1:5" s="382" customFormat="1" ht="15">
      <c r="A19" s="385" t="s">
        <v>914</v>
      </c>
      <c r="B19" s="386" t="s">
        <v>6620</v>
      </c>
      <c r="C19" s="390" t="e">
        <f>'Data Entry - SOF'!#REF!</f>
        <v>#REF!</v>
      </c>
      <c r="D19" s="386"/>
      <c r="E19" s="428" t="e">
        <f t="shared" si="0"/>
        <v>#REF!</v>
      </c>
    </row>
    <row r="20" spans="1:5" s="382" customFormat="1" ht="15">
      <c r="A20" s="385" t="s">
        <v>118</v>
      </c>
      <c r="B20" s="386" t="s">
        <v>3164</v>
      </c>
      <c r="C20" s="390">
        <f>'Report-SOF1718'!D68</f>
        <v>0</v>
      </c>
      <c r="D20" s="386"/>
      <c r="E20" s="428">
        <f t="shared" si="0"/>
        <v>0</v>
      </c>
    </row>
    <row r="21" spans="1:5" s="382" customFormat="1" ht="15">
      <c r="A21" s="385" t="s">
        <v>119</v>
      </c>
      <c r="B21" s="386" t="s">
        <v>2876</v>
      </c>
      <c r="C21" s="388" t="e">
        <f>'Data Entry - SOF'!#REF!</f>
        <v>#REF!</v>
      </c>
      <c r="D21" s="388"/>
      <c r="E21" s="388" t="e">
        <f t="shared" si="0"/>
        <v>#REF!</v>
      </c>
    </row>
    <row r="22" spans="1:5" s="382" customFormat="1" ht="15">
      <c r="A22" s="385" t="s">
        <v>120</v>
      </c>
      <c r="B22" s="386" t="s">
        <v>2877</v>
      </c>
      <c r="C22" s="428" t="e">
        <f>'Data Entry - SOF'!#REF!</f>
        <v>#REF!</v>
      </c>
      <c r="D22" s="386"/>
      <c r="E22" s="428" t="e">
        <f t="shared" si="0"/>
        <v>#REF!</v>
      </c>
    </row>
    <row r="23" spans="1:5" s="382" customFormat="1" ht="15">
      <c r="A23" s="385" t="s">
        <v>121</v>
      </c>
      <c r="B23" s="386" t="s">
        <v>1796</v>
      </c>
      <c r="C23" s="430" t="e">
        <f>'Report-SOF1718'!D51</f>
        <v>#REF!</v>
      </c>
      <c r="D23" s="402"/>
      <c r="E23" s="430" t="e">
        <f t="shared" si="0"/>
        <v>#REF!</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Costs'!K13</f>
        <v>0</v>
      </c>
      <c r="D26" s="390"/>
      <c r="E26" s="390">
        <f t="shared" ref="E26:E31" si="1">C26</f>
        <v>0</v>
      </c>
    </row>
    <row r="27" spans="1:5" s="382" customFormat="1" ht="15">
      <c r="A27" s="385" t="s">
        <v>6</v>
      </c>
      <c r="B27" s="386" t="s">
        <v>2918</v>
      </c>
      <c r="C27" s="389">
        <f>'Option Costs'!K16</f>
        <v>0</v>
      </c>
      <c r="D27" s="389"/>
      <c r="E27" s="389">
        <f t="shared" si="1"/>
        <v>0</v>
      </c>
    </row>
    <row r="28" spans="1:5" s="382" customFormat="1" ht="15">
      <c r="A28" s="385" t="s">
        <v>2232</v>
      </c>
      <c r="B28" s="386" t="s">
        <v>2884</v>
      </c>
      <c r="C28" s="390">
        <f>'Option Costs'!K17</f>
        <v>0</v>
      </c>
      <c r="D28" s="390"/>
      <c r="E28" s="390">
        <f t="shared" si="1"/>
        <v>0</v>
      </c>
    </row>
    <row r="29" spans="1:5" s="382" customFormat="1" ht="15">
      <c r="A29" s="385" t="s">
        <v>2233</v>
      </c>
      <c r="B29" s="386" t="s">
        <v>2885</v>
      </c>
      <c r="C29" s="390">
        <f>'Option Costs'!K19</f>
        <v>0</v>
      </c>
      <c r="D29" s="390"/>
      <c r="E29" s="390">
        <f t="shared" si="1"/>
        <v>0</v>
      </c>
    </row>
    <row r="30" spans="1:5" s="382" customFormat="1" ht="15">
      <c r="A30" s="385" t="s">
        <v>2722</v>
      </c>
      <c r="B30" s="386" t="s">
        <v>2886</v>
      </c>
      <c r="C30" s="389">
        <f>'Option Costs'!K20</f>
        <v>0</v>
      </c>
      <c r="D30" s="389"/>
      <c r="E30" s="389">
        <f t="shared" si="1"/>
        <v>0</v>
      </c>
    </row>
    <row r="31" spans="1:5" s="382" customFormat="1" ht="15">
      <c r="A31" s="385" t="s">
        <v>2723</v>
      </c>
      <c r="B31" s="386" t="s">
        <v>3165</v>
      </c>
      <c r="C31" s="389">
        <f>'Option Costs'!K21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t="e">
        <f>'Option Costs'!K24</f>
        <v>#REF!</v>
      </c>
      <c r="D33" s="390"/>
      <c r="E33" s="390" t="e">
        <f>C33</f>
        <v>#REF!</v>
      </c>
    </row>
    <row r="34" spans="1:5" s="382" customFormat="1" ht="15.75">
      <c r="A34" s="596" t="s">
        <v>2888</v>
      </c>
      <c r="B34" s="543"/>
      <c r="C34" s="543"/>
      <c r="D34" s="543"/>
      <c r="E34" s="544"/>
    </row>
    <row r="35" spans="1:5" s="382" customFormat="1" ht="15">
      <c r="A35" s="400" t="s">
        <v>2727</v>
      </c>
      <c r="B35" s="386" t="s">
        <v>2889</v>
      </c>
      <c r="C35" s="390">
        <f>'Option Costs'!K27</f>
        <v>0</v>
      </c>
      <c r="D35" s="390"/>
      <c r="E35" s="431" t="s">
        <v>1775</v>
      </c>
    </row>
    <row r="36" spans="1:5" s="382" customFormat="1" ht="15">
      <c r="A36" s="400" t="s">
        <v>2728</v>
      </c>
      <c r="B36" s="386" t="s">
        <v>2890</v>
      </c>
      <c r="C36" s="390" t="e">
        <f>'Option Costs'!K28</f>
        <v>#REF!</v>
      </c>
      <c r="D36" s="390"/>
      <c r="E36" s="431" t="s">
        <v>1775</v>
      </c>
    </row>
    <row r="37" spans="1:5" s="382" customFormat="1" ht="15">
      <c r="A37" s="400" t="s">
        <v>2729</v>
      </c>
      <c r="B37" s="386" t="s">
        <v>2891</v>
      </c>
      <c r="C37" s="390" t="e">
        <f>'Option Costs'!K29</f>
        <v>#REF!</v>
      </c>
      <c r="D37" s="390"/>
      <c r="E37" s="431" t="s">
        <v>1775</v>
      </c>
    </row>
    <row r="38" spans="1:5" s="382" customFormat="1" ht="15">
      <c r="A38" s="400" t="s">
        <v>2731</v>
      </c>
      <c r="B38" s="386" t="s">
        <v>2892</v>
      </c>
      <c r="C38" s="390" t="e">
        <f>'Option Costs'!K30</f>
        <v>#REF!</v>
      </c>
      <c r="D38" s="390"/>
      <c r="E38" s="431" t="s">
        <v>1775</v>
      </c>
    </row>
    <row r="39" spans="1:5" s="382" customFormat="1" ht="15">
      <c r="A39" s="400" t="s">
        <v>2732</v>
      </c>
      <c r="B39" s="386" t="s">
        <v>2893</v>
      </c>
      <c r="C39" s="390" t="e">
        <f>'Option Costs'!K64</f>
        <v>#REF!</v>
      </c>
      <c r="D39" s="390"/>
      <c r="E39" s="390" t="e">
        <f>'Option Costs'!M64</f>
        <v>#REF!</v>
      </c>
    </row>
    <row r="40" spans="1:5" s="382" customFormat="1" ht="15">
      <c r="A40" s="400" t="s">
        <v>2733</v>
      </c>
      <c r="B40" s="386" t="s">
        <v>2894</v>
      </c>
      <c r="C40" s="390" t="e">
        <f>'Option Costs'!K65</f>
        <v>#REF!</v>
      </c>
      <c r="D40" s="390"/>
      <c r="E40" s="390" t="e">
        <f>'Option Costs'!M65</f>
        <v>#REF!</v>
      </c>
    </row>
    <row r="41" spans="1:5" s="382" customFormat="1" ht="15">
      <c r="A41" s="400" t="s">
        <v>2734</v>
      </c>
      <c r="B41" s="386" t="s">
        <v>2895</v>
      </c>
      <c r="C41" s="389" t="e">
        <f>'Option Costs'!K66</f>
        <v>#REF!</v>
      </c>
      <c r="D41" s="389"/>
      <c r="E41" s="389" t="e">
        <f>'Option Costs'!M66</f>
        <v>#REF!</v>
      </c>
    </row>
    <row r="42" spans="1:5" s="382" customFormat="1" ht="15.75">
      <c r="A42" s="596" t="s">
        <v>2896</v>
      </c>
      <c r="B42" s="543"/>
      <c r="C42" s="543"/>
      <c r="D42" s="543"/>
      <c r="E42" s="544"/>
    </row>
    <row r="43" spans="1:5" s="382" customFormat="1" ht="15">
      <c r="A43" s="385" t="s">
        <v>2735</v>
      </c>
      <c r="B43" s="386" t="s">
        <v>2897</v>
      </c>
      <c r="C43" s="390" t="e">
        <f>'Option Costs'!K73</f>
        <v>#REF!</v>
      </c>
      <c r="D43" s="386"/>
      <c r="E43" s="390" t="e">
        <f>'Option Costs'!M73</f>
        <v>#REF!</v>
      </c>
    </row>
    <row r="44" spans="1:5" s="382" customFormat="1" ht="15">
      <c r="A44" s="385" t="s">
        <v>2740</v>
      </c>
      <c r="B44" s="386" t="s">
        <v>2898</v>
      </c>
      <c r="C44" s="389" t="e">
        <f>'Option Costs'!K74</f>
        <v>#REF!</v>
      </c>
      <c r="D44" s="389"/>
      <c r="E44" s="389" t="e">
        <f>'Option Costs'!M74</f>
        <v>#REF!</v>
      </c>
    </row>
    <row r="45" spans="1:5" s="382" customFormat="1" ht="15">
      <c r="A45" s="385" t="s">
        <v>2741</v>
      </c>
      <c r="B45" s="386" t="s">
        <v>6970</v>
      </c>
      <c r="C45" s="390" t="e">
        <f>'Option Costs'!K75</f>
        <v>#REF!</v>
      </c>
      <c r="D45" s="390"/>
      <c r="E45" s="390" t="e">
        <f>'Option Costs'!M75</f>
        <v>#REF!</v>
      </c>
    </row>
    <row r="46" spans="1:5" s="382" customFormat="1" ht="15">
      <c r="A46" s="385" t="s">
        <v>2742</v>
      </c>
      <c r="B46" s="386" t="s">
        <v>2899</v>
      </c>
      <c r="C46" s="389" t="e">
        <f>'Option Costs'!K76</f>
        <v>#REF!</v>
      </c>
      <c r="D46" s="389"/>
      <c r="E46" s="389" t="e">
        <f>'Option Costs'!M76</f>
        <v>#REF!</v>
      </c>
    </row>
    <row r="47" spans="1:5" s="382" customFormat="1" ht="15">
      <c r="A47" s="385" t="s">
        <v>2743</v>
      </c>
      <c r="B47" s="386" t="s">
        <v>2900</v>
      </c>
      <c r="C47" s="389">
        <f>'Option Costs'!K77</f>
        <v>0</v>
      </c>
      <c r="D47" s="389"/>
      <c r="E47" s="389">
        <f>'Option Costs'!M77</f>
        <v>0</v>
      </c>
    </row>
    <row r="48" spans="1:5" s="382" customFormat="1" ht="15">
      <c r="A48" s="385" t="s">
        <v>2744</v>
      </c>
      <c r="B48" s="386" t="s">
        <v>2901</v>
      </c>
      <c r="C48" s="389" t="e">
        <f>'Option Costs'!K78</f>
        <v>#REF!</v>
      </c>
      <c r="D48" s="389"/>
      <c r="E48" s="389" t="e">
        <f>'Option Costs'!M78</f>
        <v>#REF!</v>
      </c>
    </row>
    <row r="49" spans="1:5" s="382" customFormat="1" ht="15">
      <c r="A49" s="385" t="s">
        <v>2745</v>
      </c>
      <c r="B49" s="386" t="s">
        <v>2902</v>
      </c>
      <c r="C49" s="390" t="e">
        <f>'Option Costs'!K79</f>
        <v>#REF!</v>
      </c>
      <c r="D49" s="390"/>
      <c r="E49" s="390" t="e">
        <f>'Option Costs'!M79</f>
        <v>#REF!</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Costs'!K98</f>
        <v>#REF!</v>
      </c>
      <c r="D52" s="386"/>
      <c r="E52" s="431" t="s">
        <v>1775</v>
      </c>
    </row>
    <row r="53" spans="1:5" s="382" customFormat="1" ht="15">
      <c r="A53" s="385" t="s">
        <v>2747</v>
      </c>
      <c r="B53" s="386" t="s">
        <v>2961</v>
      </c>
      <c r="C53" s="390" t="e">
        <f>'Option Costs'!K99</f>
        <v>#REF!</v>
      </c>
      <c r="D53" s="386"/>
      <c r="E53" s="431" t="s">
        <v>1775</v>
      </c>
    </row>
    <row r="54" spans="1:5" s="382" customFormat="1" ht="15">
      <c r="A54" s="385" t="s">
        <v>2748</v>
      </c>
      <c r="B54" s="386" t="s">
        <v>2904</v>
      </c>
      <c r="C54" s="390" t="e">
        <f>'Option Costs'!K82</f>
        <v>#REF!</v>
      </c>
      <c r="D54" s="386"/>
      <c r="E54" s="431" t="s">
        <v>1775</v>
      </c>
    </row>
    <row r="55" spans="1:5" s="382" customFormat="1" ht="15.75">
      <c r="A55" s="596" t="s">
        <v>2905</v>
      </c>
      <c r="B55" s="543"/>
      <c r="C55" s="543"/>
      <c r="D55" s="543"/>
      <c r="E55" s="544"/>
    </row>
    <row r="56" spans="1:5" s="382" customFormat="1" ht="15">
      <c r="A56" s="385" t="s">
        <v>2749</v>
      </c>
      <c r="B56" s="386" t="s">
        <v>3166</v>
      </c>
      <c r="C56" s="390" t="e">
        <f>'Data Entry - SOF'!#REF!</f>
        <v>#REF!</v>
      </c>
      <c r="D56" s="390"/>
      <c r="E56" s="390" t="e">
        <f>'Data Entry - SOF'!#REF!</f>
        <v>#REF!</v>
      </c>
    </row>
    <row r="57" spans="1:5" s="382" customFormat="1" ht="15">
      <c r="A57" s="385" t="s">
        <v>2750</v>
      </c>
      <c r="B57" s="386" t="s">
        <v>3167</v>
      </c>
      <c r="C57" s="390" t="e">
        <f>'Option Costs'!K73</f>
        <v>#REF!</v>
      </c>
      <c r="D57" s="390"/>
      <c r="E57" s="390" t="e">
        <f>'Option Costs'!M73</f>
        <v>#REF!</v>
      </c>
    </row>
    <row r="58" spans="1:5" s="382" customFormat="1" ht="15">
      <c r="A58" s="385" t="s">
        <v>2751</v>
      </c>
      <c r="B58" s="386" t="s">
        <v>3160</v>
      </c>
      <c r="C58" s="390" t="e">
        <f>'Option Costs'!K70</f>
        <v>#REF!</v>
      </c>
      <c r="D58" s="390"/>
      <c r="E58" s="390" t="e">
        <f>'Option Costs'!M70</f>
        <v>#REF!</v>
      </c>
    </row>
    <row r="59" spans="1:5" s="382" customFormat="1" ht="15">
      <c r="A59" s="385" t="s">
        <v>2752</v>
      </c>
      <c r="B59" s="386" t="s">
        <v>3168</v>
      </c>
      <c r="C59" s="390" t="e">
        <f>'Option Costs'!K83</f>
        <v>#REF!</v>
      </c>
      <c r="D59" s="390"/>
      <c r="E59" s="390" t="e">
        <f>'Option Costs'!M83</f>
        <v>#REF!</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Costs'!K83</f>
        <v>#REF!</v>
      </c>
      <c r="D62" s="390"/>
      <c r="E62" s="390" t="e">
        <f>'Option Costs'!M83</f>
        <v>#REF!</v>
      </c>
    </row>
    <row r="63" spans="1:5" s="382" customFormat="1" ht="15.75">
      <c r="A63" s="550" t="s">
        <v>2908</v>
      </c>
      <c r="B63" s="543"/>
      <c r="C63" s="543"/>
      <c r="D63" s="543"/>
      <c r="E63" s="544"/>
    </row>
    <row r="64" spans="1:5" s="382" customFormat="1" ht="15">
      <c r="A64" s="385" t="s">
        <v>2756</v>
      </c>
      <c r="B64" s="386" t="s">
        <v>2909</v>
      </c>
      <c r="C64" s="390" t="e">
        <f>'Option Costs'!K79</f>
        <v>#REF!</v>
      </c>
      <c r="D64" s="390"/>
      <c r="E64" s="390" t="e">
        <f>'Option Costs'!M79</f>
        <v>#REF!</v>
      </c>
    </row>
    <row r="65" spans="1:7" s="382" customFormat="1" ht="15.75">
      <c r="A65" s="385" t="s">
        <v>2757</v>
      </c>
      <c r="B65" s="384" t="s">
        <v>2910</v>
      </c>
      <c r="C65" s="395" t="e">
        <f>'Option Costs'!K85</f>
        <v>#REF!</v>
      </c>
      <c r="D65" s="390"/>
      <c r="E65" s="395" t="e">
        <f>'Option Costs'!M85</f>
        <v>#REF!</v>
      </c>
      <c r="F65" s="567" t="s">
        <v>3024</v>
      </c>
      <c r="G65" s="568" t="e">
        <f>'Data Entry - SOF'!#REF!</f>
        <v>#REF!</v>
      </c>
    </row>
    <row r="66" spans="1:7" s="382" customFormat="1" ht="15.75">
      <c r="A66" s="385" t="s">
        <v>2758</v>
      </c>
      <c r="B66" s="384" t="s">
        <v>2911</v>
      </c>
      <c r="C66" s="395" t="e">
        <f>'Option Costs'!K86</f>
        <v>#REF!</v>
      </c>
      <c r="D66" s="390"/>
      <c r="E66" s="395" t="e">
        <f>'Option Costs'!M86</f>
        <v>#REF!</v>
      </c>
      <c r="F66" s="325" t="s">
        <v>3038</v>
      </c>
    </row>
    <row r="67" spans="1:7" s="382" customFormat="1" ht="15.75">
      <c r="A67" s="596" t="s">
        <v>2912</v>
      </c>
      <c r="B67" s="543"/>
      <c r="C67" s="543"/>
      <c r="D67" s="543"/>
      <c r="E67" s="544"/>
      <c r="F67" s="325" t="s">
        <v>3039</v>
      </c>
    </row>
    <row r="68" spans="1:7" s="382" customFormat="1" ht="15">
      <c r="A68" s="385" t="s">
        <v>2773</v>
      </c>
      <c r="B68" s="386" t="s">
        <v>3169</v>
      </c>
      <c r="C68" s="389" t="e">
        <f>'Calc Data'!D25</f>
        <v>#REF!</v>
      </c>
      <c r="D68" s="389"/>
      <c r="E68" s="389" t="e">
        <f>'Calc Data'!D25</f>
        <v>#REF!</v>
      </c>
    </row>
    <row r="69" spans="1:7" s="382" customFormat="1" ht="15">
      <c r="A69" s="385" t="s">
        <v>2774</v>
      </c>
      <c r="B69" s="386" t="s">
        <v>3170</v>
      </c>
      <c r="C69" s="388" t="e">
        <f>'Data Entry - SOF'!#REF!</f>
        <v>#REF!</v>
      </c>
      <c r="D69" s="388"/>
      <c r="E69" s="388" t="e">
        <f>'Data Entry - SOF'!#REF!</f>
        <v>#REF!</v>
      </c>
    </row>
    <row r="70" spans="1:7" s="382" customFormat="1" ht="15">
      <c r="A70" s="385" t="s">
        <v>2775</v>
      </c>
      <c r="B70" s="386" t="s">
        <v>3171</v>
      </c>
      <c r="C70" s="388" t="e">
        <f>'Data Entry - SOF'!#REF!</f>
        <v>#REF!</v>
      </c>
      <c r="D70" s="388"/>
      <c r="E70" s="388" t="e">
        <f>'Data Entry - SOF'!#REF!</f>
        <v>#REF!</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3170</v>
      </c>
      <c r="C73" s="388" t="e">
        <f>'Data Entry - SOF'!#REF!</f>
        <v>#REF!</v>
      </c>
      <c r="D73" s="386"/>
      <c r="E73" s="388" t="e">
        <f>'Data Entry - SOF'!#REF!</f>
        <v>#REF!</v>
      </c>
    </row>
    <row r="74" spans="1:7" s="382" customFormat="1" ht="15">
      <c r="A74" s="385" t="s">
        <v>2777</v>
      </c>
      <c r="B74" s="386" t="s">
        <v>2914</v>
      </c>
      <c r="C74" s="389" t="e">
        <f>'Ch41 Calc Data'!L15</f>
        <v>#REF!</v>
      </c>
      <c r="D74" s="389"/>
      <c r="E74" s="389" t="e">
        <f>'Ch41 Calc Data'!L15</f>
        <v>#REF!</v>
      </c>
    </row>
    <row r="75" spans="1:7" s="382" customFormat="1" ht="15">
      <c r="A75" s="385" t="s">
        <v>2778</v>
      </c>
      <c r="B75" s="386" t="s">
        <v>2915</v>
      </c>
      <c r="C75" s="389" t="e">
        <f>'Ch41 Calc Data'!L16</f>
        <v>#REF!</v>
      </c>
      <c r="D75" s="389"/>
      <c r="E75" s="389" t="e">
        <f>'Ch41 Calc Data'!L16</f>
        <v>#REF!</v>
      </c>
    </row>
    <row r="76" spans="1:7" s="382" customFormat="1" ht="15.75">
      <c r="A76" s="596" t="s">
        <v>2916</v>
      </c>
      <c r="B76" s="543"/>
      <c r="C76" s="543"/>
      <c r="D76" s="543"/>
      <c r="E76" s="544"/>
    </row>
    <row r="77" spans="1:7" s="382" customFormat="1" ht="15">
      <c r="A77" s="385" t="s">
        <v>2917</v>
      </c>
      <c r="B77" s="386" t="s">
        <v>3172</v>
      </c>
      <c r="C77" s="389" t="e">
        <f>'Ch41 Calc Data'!L17</f>
        <v>#REF!</v>
      </c>
      <c r="D77" s="389"/>
      <c r="E77" s="389" t="e">
        <f>'Ch41 Calc Data'!L17</f>
        <v>#REF!</v>
      </c>
    </row>
    <row r="78" spans="1:7" s="382" customFormat="1" ht="15">
      <c r="B78" s="741" t="s">
        <v>3812</v>
      </c>
      <c r="C78" s="476" t="s">
        <v>3270</v>
      </c>
    </row>
    <row r="79" spans="1:7" s="382" customFormat="1" ht="15">
      <c r="B79" s="741" t="s">
        <v>3813</v>
      </c>
      <c r="C79" s="476" t="s">
        <v>3151</v>
      </c>
    </row>
    <row r="80" spans="1:7" s="382" customFormat="1" ht="15.75">
      <c r="A80" s="325" t="s">
        <v>3173</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3160</v>
      </c>
      <c r="C91" s="428" t="e">
        <f>'Option Costs'!O71</f>
        <v>#REF!</v>
      </c>
      <c r="D91" s="428"/>
      <c r="E91" s="428" t="e">
        <f t="shared" si="2"/>
        <v>#REF!</v>
      </c>
    </row>
    <row r="92" spans="1:5" s="382" customFormat="1" ht="15">
      <c r="A92" s="385" t="s">
        <v>912</v>
      </c>
      <c r="B92" s="386" t="s">
        <v>3161</v>
      </c>
      <c r="C92" s="429" t="e">
        <f>'Data Entry - SOF'!#REF!</f>
        <v>#REF!</v>
      </c>
      <c r="D92" s="429"/>
      <c r="E92" s="429" t="e">
        <f t="shared" si="2"/>
        <v>#REF!</v>
      </c>
    </row>
    <row r="93" spans="1:5" s="382" customFormat="1" ht="15">
      <c r="A93" s="385" t="s">
        <v>2875</v>
      </c>
      <c r="B93" s="386" t="s">
        <v>3162</v>
      </c>
      <c r="C93" s="429" t="e">
        <f>C17</f>
        <v>#REF!</v>
      </c>
      <c r="D93" s="429"/>
      <c r="E93" s="429" t="e">
        <f t="shared" si="2"/>
        <v>#REF!</v>
      </c>
    </row>
    <row r="94" spans="1:5" s="382" customFormat="1" ht="15">
      <c r="A94" s="385" t="s">
        <v>913</v>
      </c>
      <c r="B94" s="386" t="s">
        <v>3163</v>
      </c>
      <c r="C94" s="389" t="e">
        <f>'Ch41 Calc Data'!L17</f>
        <v>#REF!</v>
      </c>
      <c r="D94" s="389"/>
      <c r="E94" s="389" t="e">
        <f t="shared" si="2"/>
        <v>#REF!</v>
      </c>
    </row>
    <row r="95" spans="1:5" s="382" customFormat="1" ht="15">
      <c r="A95" s="385" t="s">
        <v>914</v>
      </c>
      <c r="B95" s="386" t="s">
        <v>6620</v>
      </c>
      <c r="C95" s="390" t="e">
        <f>C19</f>
        <v>#REF!</v>
      </c>
      <c r="D95" s="386"/>
      <c r="E95" s="428" t="e">
        <f t="shared" si="2"/>
        <v>#REF!</v>
      </c>
    </row>
    <row r="96" spans="1:5" s="382" customFormat="1" ht="15">
      <c r="A96" s="385" t="s">
        <v>118</v>
      </c>
      <c r="B96" s="386" t="s">
        <v>3164</v>
      </c>
      <c r="C96" s="390">
        <f>'Report-SOF1718'!D68</f>
        <v>0</v>
      </c>
      <c r="D96" s="386"/>
      <c r="E96" s="428">
        <f t="shared" si="2"/>
        <v>0</v>
      </c>
    </row>
    <row r="97" spans="1:5" s="382" customFormat="1" ht="15">
      <c r="A97" s="385" t="s">
        <v>119</v>
      </c>
      <c r="B97" s="386" t="s">
        <v>2876</v>
      </c>
      <c r="C97" s="388" t="e">
        <f>'Data Entry - SOF'!#REF!</f>
        <v>#REF!</v>
      </c>
      <c r="D97" s="388"/>
      <c r="E97" s="388" t="e">
        <f t="shared" si="2"/>
        <v>#REF!</v>
      </c>
    </row>
    <row r="98" spans="1:5" s="382" customFormat="1" ht="15">
      <c r="A98" s="385" t="s">
        <v>120</v>
      </c>
      <c r="B98" s="386" t="s">
        <v>2877</v>
      </c>
      <c r="C98" s="428" t="e">
        <f>'Data Entry - SOF'!#REF!</f>
        <v>#REF!</v>
      </c>
      <c r="D98" s="386"/>
      <c r="E98" s="428" t="e">
        <f t="shared" si="2"/>
        <v>#REF!</v>
      </c>
    </row>
    <row r="99" spans="1:5" s="382" customFormat="1" ht="15">
      <c r="A99" s="385" t="s">
        <v>121</v>
      </c>
      <c r="B99" s="386" t="s">
        <v>1796</v>
      </c>
      <c r="C99" s="430" t="e">
        <f>C23</f>
        <v>#REF!</v>
      </c>
      <c r="D99" s="402"/>
      <c r="E99" s="430" t="e">
        <f t="shared" si="2"/>
        <v>#REF!</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Costs'!O13</f>
        <v>0</v>
      </c>
      <c r="D102" s="390"/>
      <c r="E102" s="390">
        <f t="shared" ref="E102:E107" si="3">C102</f>
        <v>0</v>
      </c>
    </row>
    <row r="103" spans="1:5" s="382" customFormat="1" ht="15">
      <c r="A103" s="385" t="s">
        <v>6</v>
      </c>
      <c r="B103" s="386" t="s">
        <v>2918</v>
      </c>
      <c r="C103" s="389">
        <f>'Option Costs'!O16</f>
        <v>0</v>
      </c>
      <c r="D103" s="389"/>
      <c r="E103" s="389">
        <f t="shared" si="3"/>
        <v>0</v>
      </c>
    </row>
    <row r="104" spans="1:5" s="382" customFormat="1" ht="15">
      <c r="A104" s="385" t="s">
        <v>2232</v>
      </c>
      <c r="B104" s="386" t="s">
        <v>2884</v>
      </c>
      <c r="C104" s="390">
        <f>'Option Costs'!O17</f>
        <v>0</v>
      </c>
      <c r="D104" s="390"/>
      <c r="E104" s="390">
        <f t="shared" si="3"/>
        <v>0</v>
      </c>
    </row>
    <row r="105" spans="1:5" s="382" customFormat="1" ht="15">
      <c r="A105" s="385" t="s">
        <v>2233</v>
      </c>
      <c r="B105" s="386" t="s">
        <v>2885</v>
      </c>
      <c r="C105" s="390">
        <f>'Option Costs'!O19</f>
        <v>0</v>
      </c>
      <c r="D105" s="390"/>
      <c r="E105" s="390">
        <f t="shared" si="3"/>
        <v>0</v>
      </c>
    </row>
    <row r="106" spans="1:5" s="382" customFormat="1" ht="15">
      <c r="A106" s="385" t="s">
        <v>2722</v>
      </c>
      <c r="B106" s="386" t="s">
        <v>2886</v>
      </c>
      <c r="C106" s="389">
        <f>'Option Costs'!O20</f>
        <v>0</v>
      </c>
      <c r="D106" s="389"/>
      <c r="E106" s="389">
        <f t="shared" si="3"/>
        <v>0</v>
      </c>
    </row>
    <row r="107" spans="1:5" s="382" customFormat="1" ht="15">
      <c r="A107" s="385" t="s">
        <v>2723</v>
      </c>
      <c r="B107" s="386" t="s">
        <v>3165</v>
      </c>
      <c r="C107" s="389">
        <f>'Option Costs'!O21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t="e">
        <f>'Option Costs'!O24</f>
        <v>#REF!</v>
      </c>
      <c r="D109" s="390"/>
      <c r="E109" s="390" t="e">
        <f>C109</f>
        <v>#REF!</v>
      </c>
    </row>
    <row r="110" spans="1:5" ht="15.75">
      <c r="A110" s="596" t="s">
        <v>2888</v>
      </c>
      <c r="B110" s="543"/>
      <c r="C110" s="543"/>
      <c r="D110" s="543"/>
      <c r="E110" s="544"/>
    </row>
    <row r="111" spans="1:5" ht="15">
      <c r="A111" s="400" t="s">
        <v>2727</v>
      </c>
      <c r="B111" s="386" t="s">
        <v>2889</v>
      </c>
      <c r="C111" s="390">
        <f>'Option Costs'!O27</f>
        <v>0</v>
      </c>
      <c r="D111" s="390"/>
      <c r="E111" s="431" t="s">
        <v>1775</v>
      </c>
    </row>
    <row r="112" spans="1:5" ht="15">
      <c r="A112" s="400" t="s">
        <v>2728</v>
      </c>
      <c r="B112" s="386" t="s">
        <v>2890</v>
      </c>
      <c r="C112" s="390" t="e">
        <f>'Option Costs'!O28</f>
        <v>#REF!</v>
      </c>
      <c r="D112" s="390"/>
      <c r="E112" s="431" t="s">
        <v>1775</v>
      </c>
    </row>
    <row r="113" spans="1:5" ht="15">
      <c r="A113" s="400" t="s">
        <v>2729</v>
      </c>
      <c r="B113" s="386" t="s">
        <v>2891</v>
      </c>
      <c r="C113" s="390" t="e">
        <f>'Option Costs'!O29</f>
        <v>#REF!</v>
      </c>
      <c r="D113" s="390"/>
      <c r="E113" s="431" t="s">
        <v>1775</v>
      </c>
    </row>
    <row r="114" spans="1:5" ht="15">
      <c r="A114" s="400" t="s">
        <v>2731</v>
      </c>
      <c r="B114" s="386" t="s">
        <v>2892</v>
      </c>
      <c r="C114" s="390" t="e">
        <f>'Option Costs'!O30</f>
        <v>#REF!</v>
      </c>
      <c r="D114" s="390"/>
      <c r="E114" s="431" t="s">
        <v>1775</v>
      </c>
    </row>
    <row r="115" spans="1:5" ht="15">
      <c r="A115" s="400" t="s">
        <v>2732</v>
      </c>
      <c r="B115" s="386" t="s">
        <v>2893</v>
      </c>
      <c r="C115" s="390" t="e">
        <f>'Option Costs'!O64</f>
        <v>#REF!</v>
      </c>
      <c r="D115" s="390"/>
      <c r="E115" s="390" t="e">
        <f>'Option Costs'!Q64</f>
        <v>#REF!</v>
      </c>
    </row>
    <row r="116" spans="1:5" ht="15">
      <c r="A116" s="400" t="s">
        <v>2733</v>
      </c>
      <c r="B116" s="386" t="s">
        <v>2894</v>
      </c>
      <c r="C116" s="390" t="e">
        <f>'Option Costs'!O65</f>
        <v>#REF!</v>
      </c>
      <c r="D116" s="390"/>
      <c r="E116" s="390" t="e">
        <f>'Option Costs'!Q65</f>
        <v>#REF!</v>
      </c>
    </row>
    <row r="117" spans="1:5" ht="15">
      <c r="A117" s="400" t="s">
        <v>2734</v>
      </c>
      <c r="B117" s="386" t="s">
        <v>2895</v>
      </c>
      <c r="C117" s="389" t="e">
        <f>'Option Costs'!O66</f>
        <v>#REF!</v>
      </c>
      <c r="D117" s="389"/>
      <c r="E117" s="389" t="e">
        <f>'Option Costs'!Q66</f>
        <v>#REF!</v>
      </c>
    </row>
    <row r="118" spans="1:5" ht="15.75">
      <c r="A118" s="596" t="s">
        <v>2896</v>
      </c>
      <c r="B118" s="543"/>
      <c r="C118" s="543"/>
      <c r="D118" s="543"/>
      <c r="E118" s="544"/>
    </row>
    <row r="119" spans="1:5" ht="15">
      <c r="A119" s="385" t="s">
        <v>2735</v>
      </c>
      <c r="B119" s="386" t="s">
        <v>2897</v>
      </c>
      <c r="C119" s="390" t="e">
        <f>'Option Costs'!O73</f>
        <v>#REF!</v>
      </c>
      <c r="D119" s="386"/>
      <c r="E119" s="390" t="e">
        <f>'Option Costs'!Q73</f>
        <v>#REF!</v>
      </c>
    </row>
    <row r="120" spans="1:5" ht="15">
      <c r="A120" s="385" t="s">
        <v>2740</v>
      </c>
      <c r="B120" s="386" t="s">
        <v>2898</v>
      </c>
      <c r="C120" s="389" t="e">
        <f>'Option Costs'!O74</f>
        <v>#REF!</v>
      </c>
      <c r="D120" s="389"/>
      <c r="E120" s="389" t="e">
        <f>'Option Costs'!Q74</f>
        <v>#REF!</v>
      </c>
    </row>
    <row r="121" spans="1:5" ht="15">
      <c r="A121" s="385" t="s">
        <v>2741</v>
      </c>
      <c r="B121" s="386" t="s">
        <v>6970</v>
      </c>
      <c r="C121" s="390" t="e">
        <f>'Option Costs'!O75</f>
        <v>#REF!</v>
      </c>
      <c r="D121" s="390"/>
      <c r="E121" s="390" t="e">
        <f>'Option Costs'!Q75</f>
        <v>#REF!</v>
      </c>
    </row>
    <row r="122" spans="1:5" ht="15">
      <c r="A122" s="385" t="s">
        <v>2742</v>
      </c>
      <c r="B122" s="386" t="s">
        <v>2899</v>
      </c>
      <c r="C122" s="389" t="e">
        <f>'Option Costs'!O76</f>
        <v>#REF!</v>
      </c>
      <c r="D122" s="389"/>
      <c r="E122" s="389" t="e">
        <f>'Option Costs'!Q76</f>
        <v>#REF!</v>
      </c>
    </row>
    <row r="123" spans="1:5" ht="15">
      <c r="A123" s="385" t="s">
        <v>2743</v>
      </c>
      <c r="B123" s="386" t="s">
        <v>2900</v>
      </c>
      <c r="C123" s="389">
        <f>'Option Costs'!O77</f>
        <v>0</v>
      </c>
      <c r="D123" s="389"/>
      <c r="E123" s="389">
        <f>'Option Costs'!Q77</f>
        <v>0</v>
      </c>
    </row>
    <row r="124" spans="1:5" ht="15">
      <c r="A124" s="385" t="s">
        <v>2744</v>
      </c>
      <c r="B124" s="386" t="s">
        <v>2901</v>
      </c>
      <c r="C124" s="389" t="e">
        <f>'Option Costs'!O78</f>
        <v>#REF!</v>
      </c>
      <c r="D124" s="389"/>
      <c r="E124" s="389" t="e">
        <f>'Option Costs'!Q78</f>
        <v>#REF!</v>
      </c>
    </row>
    <row r="125" spans="1:5" ht="15">
      <c r="A125" s="385" t="s">
        <v>2745</v>
      </c>
      <c r="B125" s="386" t="s">
        <v>2902</v>
      </c>
      <c r="C125" s="390" t="e">
        <f>'Option Costs'!O79</f>
        <v>#REF!</v>
      </c>
      <c r="D125" s="390"/>
      <c r="E125" s="390" t="e">
        <f>'Option Costs'!Q79</f>
        <v>#REF!</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t="e">
        <f>'Option Costs'!O98</f>
        <v>#REF!</v>
      </c>
      <c r="D128" s="386"/>
      <c r="E128" s="431" t="s">
        <v>1775</v>
      </c>
    </row>
    <row r="129" spans="1:7" ht="15">
      <c r="A129" s="385" t="s">
        <v>2747</v>
      </c>
      <c r="B129" s="386" t="s">
        <v>2961</v>
      </c>
      <c r="C129" s="390" t="e">
        <f>'Option Costs'!O99</f>
        <v>#REF!</v>
      </c>
      <c r="D129" s="386"/>
      <c r="E129" s="431" t="s">
        <v>1775</v>
      </c>
    </row>
    <row r="130" spans="1:7" ht="15">
      <c r="A130" s="385" t="s">
        <v>2748</v>
      </c>
      <c r="B130" s="386" t="s">
        <v>2904</v>
      </c>
      <c r="C130" s="390" t="e">
        <f>'Option Costs'!O82</f>
        <v>#REF!</v>
      </c>
      <c r="D130" s="386"/>
      <c r="E130" s="431" t="s">
        <v>1775</v>
      </c>
    </row>
    <row r="131" spans="1:7" ht="15.75">
      <c r="A131" s="596" t="s">
        <v>2905</v>
      </c>
      <c r="B131" s="543"/>
      <c r="C131" s="543"/>
      <c r="D131" s="543"/>
      <c r="E131" s="544"/>
    </row>
    <row r="132" spans="1:7" ht="15">
      <c r="A132" s="385" t="s">
        <v>2749</v>
      </c>
      <c r="B132" s="386" t="s">
        <v>3166</v>
      </c>
      <c r="C132" s="390" t="e">
        <f>'Data Entry - SOF'!#REF!</f>
        <v>#REF!</v>
      </c>
      <c r="D132" s="390"/>
      <c r="E132" s="390" t="e">
        <f>'Data Entry - SOF'!#REF!</f>
        <v>#REF!</v>
      </c>
    </row>
    <row r="133" spans="1:7" ht="15">
      <c r="A133" s="385" t="s">
        <v>2750</v>
      </c>
      <c r="B133" s="386" t="s">
        <v>3167</v>
      </c>
      <c r="C133" s="390" t="e">
        <f>'Option Costs'!O73</f>
        <v>#REF!</v>
      </c>
      <c r="D133" s="390"/>
      <c r="E133" s="390" t="e">
        <f>'Option Costs'!Q73</f>
        <v>#REF!</v>
      </c>
    </row>
    <row r="134" spans="1:7" ht="15">
      <c r="A134" s="385" t="s">
        <v>2751</v>
      </c>
      <c r="B134" s="386" t="s">
        <v>3160</v>
      </c>
      <c r="C134" s="390" t="e">
        <f>'Option Costs'!O72</f>
        <v>#REF!</v>
      </c>
      <c r="D134" s="390"/>
      <c r="E134" s="390" t="e">
        <f>'Option Costs'!Q72</f>
        <v>#REF!</v>
      </c>
    </row>
    <row r="135" spans="1:7" ht="15">
      <c r="A135" s="385" t="s">
        <v>2752</v>
      </c>
      <c r="B135" s="386" t="s">
        <v>3168</v>
      </c>
      <c r="C135" s="390" t="e">
        <f>'Option Costs'!O83</f>
        <v>#REF!</v>
      </c>
      <c r="D135" s="390"/>
      <c r="E135" s="390" t="e">
        <f>'Option Costs'!Q83</f>
        <v>#REF!</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Costs'!O83</f>
        <v>#REF!</v>
      </c>
      <c r="D138" s="390"/>
      <c r="E138" s="390" t="e">
        <f>'Option Costs'!Q83</f>
        <v>#REF!</v>
      </c>
    </row>
    <row r="139" spans="1:7" ht="15.75">
      <c r="A139" s="550" t="s">
        <v>2908</v>
      </c>
      <c r="B139" s="543"/>
      <c r="C139" s="543"/>
      <c r="D139" s="543"/>
      <c r="E139" s="544"/>
    </row>
    <row r="140" spans="1:7" ht="15">
      <c r="A140" s="385" t="s">
        <v>2756</v>
      </c>
      <c r="B140" s="386" t="s">
        <v>2909</v>
      </c>
      <c r="C140" s="390" t="e">
        <f>'Option Costs'!O79</f>
        <v>#REF!</v>
      </c>
      <c r="D140" s="390"/>
      <c r="E140" s="390" t="e">
        <f>'Option Costs'!Q79</f>
        <v>#REF!</v>
      </c>
    </row>
    <row r="141" spans="1:7" ht="15.75">
      <c r="A141" s="385" t="s">
        <v>2757</v>
      </c>
      <c r="B141" s="384" t="s">
        <v>2910</v>
      </c>
      <c r="C141" s="395" t="e">
        <f>'Option Costs'!O85</f>
        <v>#REF!</v>
      </c>
      <c r="D141" s="395"/>
      <c r="E141" s="395" t="e">
        <f>'Option Costs'!Q85</f>
        <v>#REF!</v>
      </c>
      <c r="F141" s="567" t="s">
        <v>3024</v>
      </c>
      <c r="G141" s="568" t="e">
        <f>'Data Entry - SOF'!#REF!</f>
        <v>#REF!</v>
      </c>
    </row>
    <row r="142" spans="1:7" ht="15.75">
      <c r="A142" s="385" t="s">
        <v>2758</v>
      </c>
      <c r="B142" s="384" t="s">
        <v>2911</v>
      </c>
      <c r="C142" s="395" t="e">
        <f>'Option Costs'!O86</f>
        <v>#REF!</v>
      </c>
      <c r="D142" s="395"/>
      <c r="E142" s="395" t="e">
        <f>'Option Costs'!Q86</f>
        <v>#REF!</v>
      </c>
    </row>
    <row r="143" spans="1:7" ht="15.75">
      <c r="A143" s="596" t="s">
        <v>2912</v>
      </c>
      <c r="B143" s="543"/>
      <c r="C143" s="543"/>
      <c r="D143" s="543"/>
      <c r="E143" s="544"/>
    </row>
    <row r="144" spans="1:7" ht="15">
      <c r="A144" s="385" t="s">
        <v>2773</v>
      </c>
      <c r="B144" s="386" t="s">
        <v>3169</v>
      </c>
      <c r="C144" s="389" t="e">
        <f>'Calc Data'!D25</f>
        <v>#REF!</v>
      </c>
      <c r="D144" s="389"/>
      <c r="E144" s="389" t="e">
        <f>'Calc Data'!D25</f>
        <v>#REF!</v>
      </c>
    </row>
    <row r="145" spans="1:5" ht="15">
      <c r="A145" s="385" t="s">
        <v>2774</v>
      </c>
      <c r="B145" s="386" t="s">
        <v>3170</v>
      </c>
      <c r="C145" s="388" t="e">
        <f>'Data Entry - SOF'!#REF!</f>
        <v>#REF!</v>
      </c>
      <c r="D145" s="388"/>
      <c r="E145" s="388" t="e">
        <f>'Data Entry - SOF'!#REF!</f>
        <v>#REF!</v>
      </c>
    </row>
    <row r="146" spans="1:5" ht="15">
      <c r="A146" s="385" t="s">
        <v>2775</v>
      </c>
      <c r="B146" s="386" t="s">
        <v>3171</v>
      </c>
      <c r="C146" s="388" t="e">
        <f>'Data Entry - SOF'!#REF!</f>
        <v>#REF!</v>
      </c>
      <c r="D146" s="388"/>
      <c r="E146" s="388" t="e">
        <f>'Data Entry - SOF'!#REF!</f>
        <v>#REF!</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3170</v>
      </c>
      <c r="C149" s="388" t="e">
        <f>'Data Entry - SOF'!#REF!</f>
        <v>#REF!</v>
      </c>
      <c r="D149" s="386"/>
      <c r="E149" s="388" t="e">
        <f>'Data Entry - SOF'!#REF!</f>
        <v>#REF!</v>
      </c>
    </row>
    <row r="150" spans="1:5" ht="15">
      <c r="A150" s="385" t="s">
        <v>2777</v>
      </c>
      <c r="B150" s="386" t="s">
        <v>2914</v>
      </c>
      <c r="C150" s="389" t="e">
        <f>'Ch41 Calc Data'!L15</f>
        <v>#REF!</v>
      </c>
      <c r="D150" s="389"/>
      <c r="E150" s="389" t="e">
        <f>'Ch41 Calc Data'!L15</f>
        <v>#REF!</v>
      </c>
    </row>
    <row r="151" spans="1:5" ht="15">
      <c r="A151" s="385" t="s">
        <v>2778</v>
      </c>
      <c r="B151" s="386" t="s">
        <v>2915</v>
      </c>
      <c r="C151" s="389" t="e">
        <f>'Ch41 Calc Data'!L16</f>
        <v>#REF!</v>
      </c>
      <c r="D151" s="389"/>
      <c r="E151" s="389" t="e">
        <f>'Ch41 Calc Data'!L16</f>
        <v>#REF!</v>
      </c>
    </row>
    <row r="152" spans="1:5" ht="15.75">
      <c r="A152" s="577" t="s">
        <v>2916</v>
      </c>
      <c r="B152" s="543"/>
      <c r="C152" s="543"/>
      <c r="D152" s="543"/>
      <c r="E152" s="544"/>
    </row>
    <row r="153" spans="1:5" ht="15">
      <c r="A153" s="385" t="s">
        <v>2917</v>
      </c>
      <c r="B153" s="386" t="s">
        <v>3172</v>
      </c>
      <c r="C153" s="389" t="e">
        <f>'Ch41 Calc Data'!L17</f>
        <v>#REF!</v>
      </c>
      <c r="D153" s="389"/>
      <c r="E153" s="389" t="e">
        <f>'Ch41 Calc Data'!L17</f>
        <v>#REF!</v>
      </c>
    </row>
    <row r="154" spans="1:5" s="382" customFormat="1" ht="15">
      <c r="B154" s="741" t="s">
        <v>3812</v>
      </c>
      <c r="C154" s="476" t="s">
        <v>3270</v>
      </c>
    </row>
    <row r="155" spans="1:5" s="382" customFormat="1" ht="15">
      <c r="B155" s="741" t="s">
        <v>3813</v>
      </c>
      <c r="C155" s="476" t="s">
        <v>3151</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'Report-Recapture1718'!E1</f>
        <v>Release 10</v>
      </c>
    </row>
    <row r="2" spans="1:5">
      <c r="A2" s="64" t="s">
        <v>3811</v>
      </c>
      <c r="E2" s="72">
        <f>'Report-Recapture1718'!E2</f>
        <v>43724</v>
      </c>
    </row>
    <row r="3" spans="1:5">
      <c r="A3" s="64"/>
      <c r="E3" s="58">
        <f>'Report-Recapture1718'!E3</f>
        <v>0</v>
      </c>
    </row>
    <row r="4" spans="1:5" ht="15.75">
      <c r="A4" s="381" t="s">
        <v>3234</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3235</v>
      </c>
      <c r="C15" s="428">
        <f>'Option Costs'!S70</f>
        <v>0</v>
      </c>
      <c r="D15" s="428"/>
      <c r="E15" s="428">
        <f>C15</f>
        <v>0</v>
      </c>
    </row>
    <row r="16" spans="1:5" s="382" customFormat="1" ht="15">
      <c r="A16" s="385" t="s">
        <v>912</v>
      </c>
      <c r="B16" s="386" t="s">
        <v>3236</v>
      </c>
      <c r="C16" s="429">
        <f>'Data Entry - SOF'!E92</f>
        <v>1.17</v>
      </c>
      <c r="D16" s="429"/>
      <c r="E16" s="429">
        <f t="shared" ref="E16:E23" si="0">C16</f>
        <v>1.17</v>
      </c>
    </row>
    <row r="17" spans="1:5" s="382" customFormat="1" ht="15">
      <c r="A17" s="385" t="s">
        <v>2875</v>
      </c>
      <c r="B17" s="386" t="s">
        <v>3237</v>
      </c>
      <c r="C17" s="429">
        <f>FracFunding1819!D5</f>
        <v>1</v>
      </c>
      <c r="D17" s="429"/>
      <c r="E17" s="429">
        <f t="shared" si="0"/>
        <v>1</v>
      </c>
    </row>
    <row r="18" spans="1:5" s="382" customFormat="1" ht="15">
      <c r="A18" s="385" t="s">
        <v>913</v>
      </c>
      <c r="B18" s="386" t="s">
        <v>3238</v>
      </c>
      <c r="C18" s="389">
        <f>'Ch41 Calc Data'!M17</f>
        <v>0</v>
      </c>
      <c r="D18" s="389"/>
      <c r="E18" s="389">
        <f t="shared" si="0"/>
        <v>0</v>
      </c>
    </row>
    <row r="19" spans="1:5" s="382" customFormat="1" ht="15">
      <c r="A19" s="385" t="s">
        <v>914</v>
      </c>
      <c r="B19" s="386" t="s">
        <v>6621</v>
      </c>
      <c r="C19" s="390">
        <f>'Data Entry - SOF'!E75</f>
        <v>0</v>
      </c>
      <c r="D19" s="386"/>
      <c r="E19" s="428">
        <f t="shared" si="0"/>
        <v>0</v>
      </c>
    </row>
    <row r="20" spans="1:5" s="382" customFormat="1" ht="15">
      <c r="A20" s="385" t="s">
        <v>118</v>
      </c>
      <c r="B20" s="386" t="s">
        <v>3239</v>
      </c>
      <c r="C20" s="390">
        <f>'Report-SOF1819'!D68</f>
        <v>0</v>
      </c>
      <c r="D20" s="386"/>
      <c r="E20" s="428">
        <f t="shared" si="0"/>
        <v>0</v>
      </c>
    </row>
    <row r="21" spans="1:5" s="382" customFormat="1" ht="15">
      <c r="A21" s="385" t="s">
        <v>119</v>
      </c>
      <c r="B21" s="386" t="s">
        <v>2876</v>
      </c>
      <c r="C21" s="388">
        <f>'Data Entry - SOF'!E139</f>
        <v>0</v>
      </c>
      <c r="D21" s="388"/>
      <c r="E21" s="388">
        <f t="shared" si="0"/>
        <v>0</v>
      </c>
    </row>
    <row r="22" spans="1:5" s="382" customFormat="1" ht="15">
      <c r="A22" s="385" t="s">
        <v>120</v>
      </c>
      <c r="B22" s="386" t="s">
        <v>2877</v>
      </c>
      <c r="C22" s="428">
        <f>'Data Entry - SOF'!E140</f>
        <v>0</v>
      </c>
      <c r="D22" s="386"/>
      <c r="E22" s="428">
        <f t="shared" si="0"/>
        <v>0</v>
      </c>
    </row>
    <row r="23" spans="1:5" s="382" customFormat="1" ht="15">
      <c r="A23" s="385" t="s">
        <v>121</v>
      </c>
      <c r="B23" s="386" t="s">
        <v>1796</v>
      </c>
      <c r="C23" s="430">
        <f>'Report-SOF1819'!D51</f>
        <v>0</v>
      </c>
      <c r="D23" s="402"/>
      <c r="E23" s="430">
        <f t="shared" si="0"/>
        <v>0</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Costs'!S13</f>
        <v>0</v>
      </c>
      <c r="D26" s="390"/>
      <c r="E26" s="390">
        <f t="shared" ref="E26:E31" si="1">C26</f>
        <v>0</v>
      </c>
    </row>
    <row r="27" spans="1:5" s="382" customFormat="1" ht="15">
      <c r="A27" s="385" t="s">
        <v>6</v>
      </c>
      <c r="B27" s="386" t="s">
        <v>2918</v>
      </c>
      <c r="C27" s="389">
        <f>'Option Costs'!S16</f>
        <v>0</v>
      </c>
      <c r="D27" s="389"/>
      <c r="E27" s="389">
        <f t="shared" si="1"/>
        <v>0</v>
      </c>
    </row>
    <row r="28" spans="1:5" s="382" customFormat="1" ht="15">
      <c r="A28" s="385" t="s">
        <v>2232</v>
      </c>
      <c r="B28" s="386" t="s">
        <v>2884</v>
      </c>
      <c r="C28" s="390">
        <f>'Option Costs'!S17</f>
        <v>0</v>
      </c>
      <c r="D28" s="390"/>
      <c r="E28" s="390">
        <f t="shared" si="1"/>
        <v>0</v>
      </c>
    </row>
    <row r="29" spans="1:5" s="382" customFormat="1" ht="15">
      <c r="A29" s="385" t="s">
        <v>2233</v>
      </c>
      <c r="B29" s="386" t="s">
        <v>2885</v>
      </c>
      <c r="C29" s="390">
        <f>'Option Costs'!S19</f>
        <v>0</v>
      </c>
      <c r="D29" s="390"/>
      <c r="E29" s="390">
        <f t="shared" si="1"/>
        <v>0</v>
      </c>
    </row>
    <row r="30" spans="1:5" s="382" customFormat="1" ht="15">
      <c r="A30" s="385" t="s">
        <v>2722</v>
      </c>
      <c r="B30" s="386" t="s">
        <v>2886</v>
      </c>
      <c r="C30" s="389">
        <f>'Option Costs'!S20</f>
        <v>0</v>
      </c>
      <c r="D30" s="389"/>
      <c r="E30" s="389">
        <f t="shared" si="1"/>
        <v>0</v>
      </c>
    </row>
    <row r="31" spans="1:5" s="382" customFormat="1" ht="15">
      <c r="A31" s="385" t="s">
        <v>2723</v>
      </c>
      <c r="B31" s="386" t="s">
        <v>3240</v>
      </c>
      <c r="C31" s="389">
        <f>'Option Costs'!S21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f>'Option Costs'!S24</f>
        <v>0</v>
      </c>
      <c r="D33" s="390"/>
      <c r="E33" s="390">
        <f>C33</f>
        <v>0</v>
      </c>
    </row>
    <row r="34" spans="1:5" s="382" customFormat="1" ht="15.75">
      <c r="A34" s="596" t="s">
        <v>2888</v>
      </c>
      <c r="B34" s="543"/>
      <c r="C34" s="543"/>
      <c r="D34" s="543"/>
      <c r="E34" s="544"/>
    </row>
    <row r="35" spans="1:5" s="382" customFormat="1" ht="15">
      <c r="A35" s="400" t="s">
        <v>2727</v>
      </c>
      <c r="B35" s="386" t="s">
        <v>2889</v>
      </c>
      <c r="C35" s="390">
        <f>'Option Costs'!S27</f>
        <v>0</v>
      </c>
      <c r="D35" s="390"/>
      <c r="E35" s="431" t="s">
        <v>1775</v>
      </c>
    </row>
    <row r="36" spans="1:5" s="382" customFormat="1" ht="15">
      <c r="A36" s="400" t="s">
        <v>2728</v>
      </c>
      <c r="B36" s="386" t="s">
        <v>2890</v>
      </c>
      <c r="C36" s="390" t="e">
        <f>'Option Costs'!S28</f>
        <v>#DIV/0!</v>
      </c>
      <c r="D36" s="390"/>
      <c r="E36" s="431" t="s">
        <v>1775</v>
      </c>
    </row>
    <row r="37" spans="1:5" s="382" customFormat="1" ht="15">
      <c r="A37" s="400" t="s">
        <v>2729</v>
      </c>
      <c r="B37" s="386" t="s">
        <v>2891</v>
      </c>
      <c r="C37" s="390" t="e">
        <f>'Option Costs'!S29</f>
        <v>#DIV/0!</v>
      </c>
      <c r="D37" s="390"/>
      <c r="E37" s="431" t="s">
        <v>1775</v>
      </c>
    </row>
    <row r="38" spans="1:5" s="382" customFormat="1" ht="15">
      <c r="A38" s="400" t="s">
        <v>2731</v>
      </c>
      <c r="B38" s="386" t="s">
        <v>2892</v>
      </c>
      <c r="C38" s="390" t="e">
        <f>'Option Costs'!S30</f>
        <v>#DIV/0!</v>
      </c>
      <c r="D38" s="390"/>
      <c r="E38" s="431" t="s">
        <v>1775</v>
      </c>
    </row>
    <row r="39" spans="1:5" s="382" customFormat="1" ht="15">
      <c r="A39" s="400" t="s">
        <v>2732</v>
      </c>
      <c r="B39" s="386" t="s">
        <v>2893</v>
      </c>
      <c r="C39" s="390" t="e">
        <f>'Option Costs'!S64</f>
        <v>#DIV/0!</v>
      </c>
      <c r="D39" s="390"/>
      <c r="E39" s="390">
        <f>'Option Costs'!U64</f>
        <v>0</v>
      </c>
    </row>
    <row r="40" spans="1:5" s="382" customFormat="1" ht="15">
      <c r="A40" s="400" t="s">
        <v>2733</v>
      </c>
      <c r="B40" s="386" t="s">
        <v>2894</v>
      </c>
      <c r="C40" s="390" t="e">
        <f>'Option Costs'!S65</f>
        <v>#DIV/0!</v>
      </c>
      <c r="D40" s="390"/>
      <c r="E40" s="390">
        <f>'Option Costs'!U65</f>
        <v>0</v>
      </c>
    </row>
    <row r="41" spans="1:5" s="382" customFormat="1" ht="15">
      <c r="A41" s="400" t="s">
        <v>2734</v>
      </c>
      <c r="B41" s="386" t="s">
        <v>2895</v>
      </c>
      <c r="C41" s="389" t="e">
        <f>'Option Costs'!S66</f>
        <v>#DIV/0!</v>
      </c>
      <c r="D41" s="389"/>
      <c r="E41" s="389" t="e">
        <f>'Option Costs'!U66</f>
        <v>#DIV/0!</v>
      </c>
    </row>
    <row r="42" spans="1:5" s="382" customFormat="1" ht="15.75">
      <c r="A42" s="596" t="s">
        <v>2896</v>
      </c>
      <c r="B42" s="543"/>
      <c r="C42" s="543"/>
      <c r="D42" s="543"/>
      <c r="E42" s="544"/>
    </row>
    <row r="43" spans="1:5" s="382" customFormat="1" ht="15">
      <c r="A43" s="385" t="s">
        <v>2735</v>
      </c>
      <c r="B43" s="386" t="s">
        <v>2897</v>
      </c>
      <c r="C43" s="390" t="e">
        <f>'Option Costs'!S73</f>
        <v>#DIV/0!</v>
      </c>
      <c r="D43" s="386"/>
      <c r="E43" s="390" t="e">
        <f>'Option Costs'!U73</f>
        <v>#DIV/0!</v>
      </c>
    </row>
    <row r="44" spans="1:5" s="382" customFormat="1" ht="15">
      <c r="A44" s="385" t="s">
        <v>2740</v>
      </c>
      <c r="B44" s="386" t="s">
        <v>2898</v>
      </c>
      <c r="C44" s="389" t="e">
        <f>'Option Costs'!S74</f>
        <v>#DIV/0!</v>
      </c>
      <c r="D44" s="389"/>
      <c r="E44" s="389" t="e">
        <f>'Option Costs'!U74</f>
        <v>#DIV/0!</v>
      </c>
    </row>
    <row r="45" spans="1:5" s="382" customFormat="1" ht="15">
      <c r="A45" s="385" t="s">
        <v>2741</v>
      </c>
      <c r="B45" s="386" t="s">
        <v>6970</v>
      </c>
      <c r="C45" s="390" t="e">
        <f>'Option Costs'!S75</f>
        <v>#DIV/0!</v>
      </c>
      <c r="D45" s="390"/>
      <c r="E45" s="390" t="e">
        <f>'Option Costs'!U75</f>
        <v>#DIV/0!</v>
      </c>
    </row>
    <row r="46" spans="1:5" s="382" customFormat="1" ht="15">
      <c r="A46" s="385" t="s">
        <v>2742</v>
      </c>
      <c r="B46" s="386" t="s">
        <v>2899</v>
      </c>
      <c r="C46" s="389" t="e">
        <f>'Option Costs'!S76</f>
        <v>#DIV/0!</v>
      </c>
      <c r="D46" s="389"/>
      <c r="E46" s="389" t="e">
        <f>'Option Costs'!U76</f>
        <v>#DIV/0!</v>
      </c>
    </row>
    <row r="47" spans="1:5" s="382" customFormat="1" ht="15">
      <c r="A47" s="385" t="s">
        <v>2743</v>
      </c>
      <c r="B47" s="386" t="s">
        <v>2900</v>
      </c>
      <c r="C47" s="389">
        <f>'Option Costs'!S77</f>
        <v>0</v>
      </c>
      <c r="D47" s="389"/>
      <c r="E47" s="389">
        <f>'Option Costs'!U77</f>
        <v>0</v>
      </c>
    </row>
    <row r="48" spans="1:5" s="382" customFormat="1" ht="15">
      <c r="A48" s="385" t="s">
        <v>2744</v>
      </c>
      <c r="B48" s="386" t="s">
        <v>2901</v>
      </c>
      <c r="C48" s="389" t="e">
        <f>'Option Costs'!S78</f>
        <v>#DIV/0!</v>
      </c>
      <c r="D48" s="389"/>
      <c r="E48" s="389" t="e">
        <f>'Option Costs'!U78</f>
        <v>#DIV/0!</v>
      </c>
    </row>
    <row r="49" spans="1:5" s="382" customFormat="1" ht="15">
      <c r="A49" s="385" t="s">
        <v>2745</v>
      </c>
      <c r="B49" s="386" t="s">
        <v>2902</v>
      </c>
      <c r="C49" s="390" t="e">
        <f>'Option Costs'!S79</f>
        <v>#DIV/0!</v>
      </c>
      <c r="D49" s="390"/>
      <c r="E49" s="390" t="e">
        <f>'Option Costs'!U79</f>
        <v>#DIV/0!</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Costs'!S98</f>
        <v>#DIV/0!</v>
      </c>
      <c r="D52" s="386"/>
      <c r="E52" s="431" t="s">
        <v>1775</v>
      </c>
    </row>
    <row r="53" spans="1:5" s="382" customFormat="1" ht="15">
      <c r="A53" s="385" t="s">
        <v>2747</v>
      </c>
      <c r="B53" s="386" t="s">
        <v>2961</v>
      </c>
      <c r="C53" s="390" t="e">
        <f>'Option Costs'!S99</f>
        <v>#DIV/0!</v>
      </c>
      <c r="D53" s="386"/>
      <c r="E53" s="431" t="s">
        <v>1775</v>
      </c>
    </row>
    <row r="54" spans="1:5" s="382" customFormat="1" ht="15">
      <c r="A54" s="385" t="s">
        <v>2748</v>
      </c>
      <c r="B54" s="386" t="s">
        <v>2904</v>
      </c>
      <c r="C54" s="390" t="e">
        <f>'Option Costs'!S82</f>
        <v>#DIV/0!</v>
      </c>
      <c r="D54" s="386"/>
      <c r="E54" s="431" t="s">
        <v>1775</v>
      </c>
    </row>
    <row r="55" spans="1:5" s="382" customFormat="1" ht="15.75">
      <c r="A55" s="596" t="s">
        <v>2905</v>
      </c>
      <c r="B55" s="543"/>
      <c r="C55" s="543"/>
      <c r="D55" s="543"/>
      <c r="E55" s="544"/>
    </row>
    <row r="56" spans="1:5" s="382" customFormat="1" ht="15">
      <c r="A56" s="385" t="s">
        <v>2749</v>
      </c>
      <c r="B56" s="386" t="s">
        <v>3241</v>
      </c>
      <c r="C56" s="390">
        <f>'Data Entry - SOF'!E136</f>
        <v>0</v>
      </c>
      <c r="D56" s="390"/>
      <c r="E56" s="390">
        <f>'Data Entry - SOF'!E136</f>
        <v>0</v>
      </c>
    </row>
    <row r="57" spans="1:5" s="382" customFormat="1" ht="15">
      <c r="A57" s="385" t="s">
        <v>2750</v>
      </c>
      <c r="B57" s="386" t="s">
        <v>3242</v>
      </c>
      <c r="C57" s="390" t="e">
        <f>'Option Costs'!S73</f>
        <v>#DIV/0!</v>
      </c>
      <c r="D57" s="390"/>
      <c r="E57" s="390" t="e">
        <f>'Option Costs'!U73</f>
        <v>#DIV/0!</v>
      </c>
    </row>
    <row r="58" spans="1:5" s="382" customFormat="1" ht="15">
      <c r="A58" s="385" t="s">
        <v>2751</v>
      </c>
      <c r="B58" s="386" t="s">
        <v>3235</v>
      </c>
      <c r="C58" s="390">
        <f>'Option Costs'!S70</f>
        <v>0</v>
      </c>
      <c r="D58" s="390"/>
      <c r="E58" s="390">
        <f>'Option Costs'!U70</f>
        <v>0</v>
      </c>
    </row>
    <row r="59" spans="1:5" s="382" customFormat="1" ht="15">
      <c r="A59" s="385" t="s">
        <v>2752</v>
      </c>
      <c r="B59" s="386" t="s">
        <v>3243</v>
      </c>
      <c r="C59" s="390" t="e">
        <f>'Option Costs'!S83</f>
        <v>#DIV/0!</v>
      </c>
      <c r="D59" s="390"/>
      <c r="E59" s="390">
        <f>'Option Costs'!U83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Costs'!S83</f>
        <v>#DIV/0!</v>
      </c>
      <c r="D62" s="390"/>
      <c r="E62" s="390">
        <f>'Option Costs'!U83</f>
        <v>0</v>
      </c>
    </row>
    <row r="63" spans="1:5" s="382" customFormat="1" ht="15.75">
      <c r="A63" s="550" t="s">
        <v>2908</v>
      </c>
      <c r="B63" s="543"/>
      <c r="C63" s="543"/>
      <c r="D63" s="543"/>
      <c r="E63" s="544"/>
    </row>
    <row r="64" spans="1:5" s="382" customFormat="1" ht="15">
      <c r="A64" s="385" t="s">
        <v>2756</v>
      </c>
      <c r="B64" s="386" t="s">
        <v>2909</v>
      </c>
      <c r="C64" s="390" t="e">
        <f>'Option Costs'!S79</f>
        <v>#DIV/0!</v>
      </c>
      <c r="D64" s="390"/>
      <c r="E64" s="390" t="e">
        <f>'Option Costs'!U79</f>
        <v>#DIV/0!</v>
      </c>
    </row>
    <row r="65" spans="1:7" s="382" customFormat="1" ht="15.75">
      <c r="A65" s="385" t="s">
        <v>2757</v>
      </c>
      <c r="B65" s="384" t="s">
        <v>2910</v>
      </c>
      <c r="C65" s="395" t="e">
        <f>'Option Costs'!S85</f>
        <v>#DIV/0!</v>
      </c>
      <c r="D65" s="390"/>
      <c r="E65" s="395" t="e">
        <f>'Option Costs'!U85</f>
        <v>#DIV/0!</v>
      </c>
      <c r="F65" s="567" t="s">
        <v>3024</v>
      </c>
      <c r="G65" s="568" t="str">
        <f>'Data Entry - SOF'!E143</f>
        <v>Y</v>
      </c>
    </row>
    <row r="66" spans="1:7" s="382" customFormat="1" ht="15.75">
      <c r="A66" s="385" t="s">
        <v>2758</v>
      </c>
      <c r="B66" s="384" t="s">
        <v>2911</v>
      </c>
      <c r="C66" s="395" t="e">
        <f>'Option Costs'!S86</f>
        <v>#DIV/0!</v>
      </c>
      <c r="D66" s="390"/>
      <c r="E66" s="395" t="e">
        <f>'Option Costs'!U86</f>
        <v>#DIV/0!</v>
      </c>
      <c r="F66" s="325" t="s">
        <v>3038</v>
      </c>
    </row>
    <row r="67" spans="1:7" s="382" customFormat="1" ht="15.75">
      <c r="A67" s="596" t="s">
        <v>2912</v>
      </c>
      <c r="B67" s="543"/>
      <c r="C67" s="543"/>
      <c r="D67" s="543"/>
      <c r="E67" s="544"/>
      <c r="F67" s="325" t="s">
        <v>3039</v>
      </c>
    </row>
    <row r="68" spans="1:7" s="382" customFormat="1" ht="15">
      <c r="A68" s="385" t="s">
        <v>2773</v>
      </c>
      <c r="B68" s="386" t="s">
        <v>3244</v>
      </c>
      <c r="C68" s="389">
        <f>'Calc Data'!E25</f>
        <v>0</v>
      </c>
      <c r="D68" s="389"/>
      <c r="E68" s="389">
        <f>'Calc Data'!E25</f>
        <v>0</v>
      </c>
    </row>
    <row r="69" spans="1:7" s="382" customFormat="1" ht="15">
      <c r="A69" s="385" t="s">
        <v>2774</v>
      </c>
      <c r="B69" s="386" t="s">
        <v>3245</v>
      </c>
      <c r="C69" s="388">
        <f>'Data Entry - SOF'!E135</f>
        <v>0</v>
      </c>
      <c r="D69" s="388"/>
      <c r="E69" s="388">
        <f>'Data Entry - SOF'!E135</f>
        <v>0</v>
      </c>
    </row>
    <row r="70" spans="1:7" s="382" customFormat="1" ht="15">
      <c r="A70" s="385" t="s">
        <v>2775</v>
      </c>
      <c r="B70" s="386" t="s">
        <v>3246</v>
      </c>
      <c r="C70" s="388">
        <f>'Data Entry - SOF'!E134</f>
        <v>0</v>
      </c>
      <c r="D70" s="388"/>
      <c r="E70" s="388">
        <f>'Data Entry - SOF'!E134</f>
        <v>0</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3245</v>
      </c>
      <c r="C73" s="388">
        <f>'Data Entry - SOF'!E135</f>
        <v>0</v>
      </c>
      <c r="D73" s="386"/>
      <c r="E73" s="388">
        <f>'Data Entry - SOF'!E135</f>
        <v>0</v>
      </c>
    </row>
    <row r="74" spans="1:7" s="382" customFormat="1" ht="15">
      <c r="A74" s="385" t="s">
        <v>2777</v>
      </c>
      <c r="B74" s="386" t="s">
        <v>2914</v>
      </c>
      <c r="C74" s="389">
        <f>'Ch41 Calc Data'!M15</f>
        <v>0</v>
      </c>
      <c r="D74" s="389"/>
      <c r="E74" s="389">
        <f>'Ch41 Calc Data'!M15</f>
        <v>0</v>
      </c>
    </row>
    <row r="75" spans="1:7" s="382" customFormat="1" ht="15">
      <c r="A75" s="385" t="s">
        <v>2778</v>
      </c>
      <c r="B75" s="386" t="s">
        <v>2915</v>
      </c>
      <c r="C75" s="389">
        <f>'Ch41 Calc Data'!M16</f>
        <v>0</v>
      </c>
      <c r="D75" s="389"/>
      <c r="E75" s="389">
        <f>'Ch41 Calc Data'!M16</f>
        <v>0</v>
      </c>
    </row>
    <row r="76" spans="1:7" s="382" customFormat="1" ht="15.75">
      <c r="A76" s="596" t="s">
        <v>2916</v>
      </c>
      <c r="B76" s="543"/>
      <c r="C76" s="543"/>
      <c r="D76" s="543"/>
      <c r="E76" s="544"/>
    </row>
    <row r="77" spans="1:7" s="382" customFormat="1" ht="15">
      <c r="A77" s="385" t="s">
        <v>2917</v>
      </c>
      <c r="B77" s="386" t="s">
        <v>3247</v>
      </c>
      <c r="C77" s="389">
        <f>'Ch41 Calc Data'!M17</f>
        <v>0</v>
      </c>
      <c r="D77" s="389"/>
      <c r="E77" s="389">
        <f>'Ch41 Calc Data'!M17</f>
        <v>0</v>
      </c>
    </row>
    <row r="78" spans="1:7" s="382" customFormat="1" ht="15">
      <c r="B78" s="741" t="s">
        <v>3812</v>
      </c>
      <c r="C78" s="476" t="s">
        <v>3283</v>
      </c>
    </row>
    <row r="79" spans="1:7" s="382" customFormat="1" ht="15">
      <c r="B79" s="741" t="s">
        <v>3814</v>
      </c>
      <c r="C79" s="476" t="s">
        <v>3263</v>
      </c>
    </row>
    <row r="80" spans="1:7" s="382" customFormat="1" ht="15.75">
      <c r="A80" s="325" t="s">
        <v>3248</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3235</v>
      </c>
      <c r="C91" s="428">
        <f>'Option Costs'!W71</f>
        <v>0</v>
      </c>
      <c r="D91" s="428"/>
      <c r="E91" s="428">
        <f t="shared" si="2"/>
        <v>0</v>
      </c>
    </row>
    <row r="92" spans="1:5" s="382" customFormat="1" ht="15">
      <c r="A92" s="385" t="s">
        <v>912</v>
      </c>
      <c r="B92" s="386" t="s">
        <v>3236</v>
      </c>
      <c r="C92" s="429">
        <f>'Data Entry - SOF'!E92</f>
        <v>1.17</v>
      </c>
      <c r="D92" s="429"/>
      <c r="E92" s="429">
        <f t="shared" si="2"/>
        <v>1.17</v>
      </c>
    </row>
    <row r="93" spans="1:5" s="382" customFormat="1" ht="15">
      <c r="A93" s="385" t="s">
        <v>2875</v>
      </c>
      <c r="B93" s="386" t="s">
        <v>3237</v>
      </c>
      <c r="C93" s="429">
        <f>C17</f>
        <v>1</v>
      </c>
      <c r="D93" s="429"/>
      <c r="E93" s="429">
        <f t="shared" si="2"/>
        <v>1</v>
      </c>
    </row>
    <row r="94" spans="1:5" s="382" customFormat="1" ht="15">
      <c r="A94" s="385" t="s">
        <v>913</v>
      </c>
      <c r="B94" s="386" t="s">
        <v>3238</v>
      </c>
      <c r="C94" s="389">
        <f>'Ch41 Calc Data'!M17</f>
        <v>0</v>
      </c>
      <c r="D94" s="389"/>
      <c r="E94" s="389">
        <f t="shared" si="2"/>
        <v>0</v>
      </c>
    </row>
    <row r="95" spans="1:5" s="382" customFormat="1" ht="15">
      <c r="A95" s="385" t="s">
        <v>914</v>
      </c>
      <c r="B95" s="386" t="s">
        <v>6621</v>
      </c>
      <c r="C95" s="390">
        <f>C19</f>
        <v>0</v>
      </c>
      <c r="D95" s="386"/>
      <c r="E95" s="428">
        <f t="shared" si="2"/>
        <v>0</v>
      </c>
    </row>
    <row r="96" spans="1:5" s="382" customFormat="1" ht="15">
      <c r="A96" s="385" t="s">
        <v>118</v>
      </c>
      <c r="B96" s="386" t="s">
        <v>3239</v>
      </c>
      <c r="C96" s="390">
        <f>'Report-SOF1819'!D68</f>
        <v>0</v>
      </c>
      <c r="D96" s="386"/>
      <c r="E96" s="428">
        <f t="shared" si="2"/>
        <v>0</v>
      </c>
    </row>
    <row r="97" spans="1:5" s="382" customFormat="1" ht="15">
      <c r="A97" s="385" t="s">
        <v>119</v>
      </c>
      <c r="B97" s="386" t="s">
        <v>2876</v>
      </c>
      <c r="C97" s="388">
        <f>'Data Entry - SOF'!E139</f>
        <v>0</v>
      </c>
      <c r="D97" s="388"/>
      <c r="E97" s="388">
        <f t="shared" si="2"/>
        <v>0</v>
      </c>
    </row>
    <row r="98" spans="1:5" s="382" customFormat="1" ht="15">
      <c r="A98" s="385" t="s">
        <v>120</v>
      </c>
      <c r="B98" s="386" t="s">
        <v>2877</v>
      </c>
      <c r="C98" s="428">
        <f>'Data Entry - SOF'!E140</f>
        <v>0</v>
      </c>
      <c r="D98" s="386"/>
      <c r="E98" s="428">
        <f t="shared" si="2"/>
        <v>0</v>
      </c>
    </row>
    <row r="99" spans="1:5" s="382" customFormat="1" ht="15">
      <c r="A99" s="385" t="s">
        <v>121</v>
      </c>
      <c r="B99" s="386" t="s">
        <v>1796</v>
      </c>
      <c r="C99" s="430">
        <f>C23</f>
        <v>0</v>
      </c>
      <c r="D99" s="402"/>
      <c r="E99" s="430">
        <f t="shared" si="2"/>
        <v>0</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Costs'!W13</f>
        <v>0</v>
      </c>
      <c r="D102" s="390"/>
      <c r="E102" s="390">
        <f t="shared" ref="E102:E107" si="3">C102</f>
        <v>0</v>
      </c>
    </row>
    <row r="103" spans="1:5" s="382" customFormat="1" ht="15">
      <c r="A103" s="385" t="s">
        <v>6</v>
      </c>
      <c r="B103" s="386" t="s">
        <v>2918</v>
      </c>
      <c r="C103" s="389">
        <f>'Option Costs'!W16</f>
        <v>0</v>
      </c>
      <c r="D103" s="389"/>
      <c r="E103" s="389">
        <f t="shared" si="3"/>
        <v>0</v>
      </c>
    </row>
    <row r="104" spans="1:5" s="382" customFormat="1" ht="15">
      <c r="A104" s="385" t="s">
        <v>2232</v>
      </c>
      <c r="B104" s="386" t="s">
        <v>2884</v>
      </c>
      <c r="C104" s="390">
        <f>'Option Costs'!W17</f>
        <v>0</v>
      </c>
      <c r="D104" s="390"/>
      <c r="E104" s="390">
        <f t="shared" si="3"/>
        <v>0</v>
      </c>
    </row>
    <row r="105" spans="1:5" s="382" customFormat="1" ht="15">
      <c r="A105" s="385" t="s">
        <v>2233</v>
      </c>
      <c r="B105" s="386" t="s">
        <v>2885</v>
      </c>
      <c r="C105" s="390">
        <f>'Option Costs'!W19</f>
        <v>0</v>
      </c>
      <c r="D105" s="390"/>
      <c r="E105" s="390">
        <f t="shared" si="3"/>
        <v>0</v>
      </c>
    </row>
    <row r="106" spans="1:5" s="382" customFormat="1" ht="15">
      <c r="A106" s="385" t="s">
        <v>2722</v>
      </c>
      <c r="B106" s="386" t="s">
        <v>2886</v>
      </c>
      <c r="C106" s="389">
        <f>'Option Costs'!W20</f>
        <v>0</v>
      </c>
      <c r="D106" s="389"/>
      <c r="E106" s="389">
        <f t="shared" si="3"/>
        <v>0</v>
      </c>
    </row>
    <row r="107" spans="1:5" s="382" customFormat="1" ht="15">
      <c r="A107" s="385" t="s">
        <v>2723</v>
      </c>
      <c r="B107" s="386" t="s">
        <v>3240</v>
      </c>
      <c r="C107" s="389">
        <f>'Option Costs'!W21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f>'Option Costs'!W24</f>
        <v>0</v>
      </c>
      <c r="D109" s="390"/>
      <c r="E109" s="390">
        <f>C109</f>
        <v>0</v>
      </c>
    </row>
    <row r="110" spans="1:5" ht="15.75">
      <c r="A110" s="596" t="s">
        <v>2888</v>
      </c>
      <c r="B110" s="543"/>
      <c r="C110" s="543"/>
      <c r="D110" s="543"/>
      <c r="E110" s="544"/>
    </row>
    <row r="111" spans="1:5" ht="15">
      <c r="A111" s="400" t="s">
        <v>2727</v>
      </c>
      <c r="B111" s="386" t="s">
        <v>2889</v>
      </c>
      <c r="C111" s="390">
        <f>'Option Costs'!W27</f>
        <v>0</v>
      </c>
      <c r="D111" s="390"/>
      <c r="E111" s="431" t="s">
        <v>1775</v>
      </c>
    </row>
    <row r="112" spans="1:5" ht="15">
      <c r="A112" s="400" t="s">
        <v>2728</v>
      </c>
      <c r="B112" s="386" t="s">
        <v>2890</v>
      </c>
      <c r="C112" s="390" t="e">
        <f>'Option Costs'!W28</f>
        <v>#DIV/0!</v>
      </c>
      <c r="D112" s="390"/>
      <c r="E112" s="431" t="s">
        <v>1775</v>
      </c>
    </row>
    <row r="113" spans="1:5" ht="15">
      <c r="A113" s="400" t="s">
        <v>2729</v>
      </c>
      <c r="B113" s="386" t="s">
        <v>2891</v>
      </c>
      <c r="C113" s="390" t="e">
        <f>'Option Costs'!W29</f>
        <v>#DIV/0!</v>
      </c>
      <c r="D113" s="390"/>
      <c r="E113" s="431" t="s">
        <v>1775</v>
      </c>
    </row>
    <row r="114" spans="1:5" ht="15">
      <c r="A114" s="400" t="s">
        <v>2731</v>
      </c>
      <c r="B114" s="386" t="s">
        <v>2892</v>
      </c>
      <c r="C114" s="390" t="e">
        <f>'Option Costs'!W30</f>
        <v>#DIV/0!</v>
      </c>
      <c r="D114" s="390"/>
      <c r="E114" s="431" t="s">
        <v>1775</v>
      </c>
    </row>
    <row r="115" spans="1:5" ht="15">
      <c r="A115" s="400" t="s">
        <v>2732</v>
      </c>
      <c r="B115" s="386" t="s">
        <v>2893</v>
      </c>
      <c r="C115" s="390" t="e">
        <f>'Option Costs'!W64</f>
        <v>#DIV/0!</v>
      </c>
      <c r="D115" s="390"/>
      <c r="E115" s="390">
        <f>'Option Costs'!Y64</f>
        <v>0</v>
      </c>
    </row>
    <row r="116" spans="1:5" ht="15">
      <c r="A116" s="400" t="s">
        <v>2733</v>
      </c>
      <c r="B116" s="386" t="s">
        <v>2894</v>
      </c>
      <c r="C116" s="390" t="e">
        <f>'Option Costs'!W65</f>
        <v>#DIV/0!</v>
      </c>
      <c r="D116" s="390"/>
      <c r="E116" s="390">
        <f>'Option Costs'!Y65</f>
        <v>0</v>
      </c>
    </row>
    <row r="117" spans="1:5" ht="15">
      <c r="A117" s="400" t="s">
        <v>2734</v>
      </c>
      <c r="B117" s="386" t="s">
        <v>2895</v>
      </c>
      <c r="C117" s="389" t="e">
        <f>'Option Costs'!W66</f>
        <v>#DIV/0!</v>
      </c>
      <c r="D117" s="389"/>
      <c r="E117" s="389" t="e">
        <f>'Option Costs'!Y66</f>
        <v>#DIV/0!</v>
      </c>
    </row>
    <row r="118" spans="1:5" ht="15.75">
      <c r="A118" s="596" t="s">
        <v>2896</v>
      </c>
      <c r="B118" s="543"/>
      <c r="C118" s="543"/>
      <c r="D118" s="543"/>
      <c r="E118" s="544"/>
    </row>
    <row r="119" spans="1:5" ht="15">
      <c r="A119" s="385" t="s">
        <v>2735</v>
      </c>
      <c r="B119" s="386" t="s">
        <v>2897</v>
      </c>
      <c r="C119" s="390">
        <f>'Option Costs'!W73</f>
        <v>0</v>
      </c>
      <c r="D119" s="386"/>
      <c r="E119" s="390">
        <f>'Option Costs'!Y73</f>
        <v>0</v>
      </c>
    </row>
    <row r="120" spans="1:5" ht="15">
      <c r="A120" s="385" t="s">
        <v>2740</v>
      </c>
      <c r="B120" s="386" t="s">
        <v>2898</v>
      </c>
      <c r="C120" s="389">
        <f>'Option Costs'!W74</f>
        <v>0</v>
      </c>
      <c r="D120" s="389"/>
      <c r="E120" s="389">
        <f>'Option Costs'!Y74</f>
        <v>0</v>
      </c>
    </row>
    <row r="121" spans="1:5" ht="15">
      <c r="A121" s="385" t="s">
        <v>2741</v>
      </c>
      <c r="B121" s="386" t="s">
        <v>6970</v>
      </c>
      <c r="C121" s="390">
        <f>'Option Costs'!W75</f>
        <v>0</v>
      </c>
      <c r="D121" s="390"/>
      <c r="E121" s="390">
        <f>'Option Costs'!Y75</f>
        <v>0</v>
      </c>
    </row>
    <row r="122" spans="1:5" ht="15">
      <c r="A122" s="385" t="s">
        <v>2742</v>
      </c>
      <c r="B122" s="386" t="s">
        <v>2899</v>
      </c>
      <c r="C122" s="389">
        <f>'Option Costs'!W76</f>
        <v>0</v>
      </c>
      <c r="D122" s="389"/>
      <c r="E122" s="389">
        <f>'Option Costs'!Y76</f>
        <v>0</v>
      </c>
    </row>
    <row r="123" spans="1:5" ht="15">
      <c r="A123" s="385" t="s">
        <v>2743</v>
      </c>
      <c r="B123" s="386" t="s">
        <v>2900</v>
      </c>
      <c r="C123" s="389">
        <f>'Option Costs'!W77</f>
        <v>0</v>
      </c>
      <c r="D123" s="389"/>
      <c r="E123" s="389">
        <f>'Option Costs'!Y77</f>
        <v>0</v>
      </c>
    </row>
    <row r="124" spans="1:5" ht="15">
      <c r="A124" s="385" t="s">
        <v>2744</v>
      </c>
      <c r="B124" s="386" t="s">
        <v>2901</v>
      </c>
      <c r="C124" s="389">
        <f>'Option Costs'!W78</f>
        <v>0</v>
      </c>
      <c r="D124" s="389"/>
      <c r="E124" s="389">
        <f>'Option Costs'!Y78</f>
        <v>0</v>
      </c>
    </row>
    <row r="125" spans="1:5" ht="15">
      <c r="A125" s="385" t="s">
        <v>2745</v>
      </c>
      <c r="B125" s="386" t="s">
        <v>2902</v>
      </c>
      <c r="C125" s="390">
        <f>'Option Costs'!W79</f>
        <v>0</v>
      </c>
      <c r="D125" s="390"/>
      <c r="E125" s="390">
        <f>'Option Costs'!Y79</f>
        <v>0</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f>'Option Costs'!W98</f>
        <v>0</v>
      </c>
      <c r="D128" s="386"/>
      <c r="E128" s="431" t="s">
        <v>1775</v>
      </c>
    </row>
    <row r="129" spans="1:7" ht="15">
      <c r="A129" s="385" t="s">
        <v>2747</v>
      </c>
      <c r="B129" s="386" t="s">
        <v>2961</v>
      </c>
      <c r="C129" s="390">
        <f>'Option Costs'!W99</f>
        <v>0</v>
      </c>
      <c r="D129" s="386"/>
      <c r="E129" s="431" t="s">
        <v>1775</v>
      </c>
    </row>
    <row r="130" spans="1:7" ht="15">
      <c r="A130" s="385" t="s">
        <v>2748</v>
      </c>
      <c r="B130" s="386" t="s">
        <v>2904</v>
      </c>
      <c r="C130" s="390">
        <f>'Option Costs'!W82</f>
        <v>0</v>
      </c>
      <c r="D130" s="386"/>
      <c r="E130" s="431" t="s">
        <v>1775</v>
      </c>
    </row>
    <row r="131" spans="1:7" ht="15.75">
      <c r="A131" s="596" t="s">
        <v>2905</v>
      </c>
      <c r="B131" s="543"/>
      <c r="C131" s="543"/>
      <c r="D131" s="543"/>
      <c r="E131" s="544"/>
    </row>
    <row r="132" spans="1:7" ht="15">
      <c r="A132" s="385" t="s">
        <v>2749</v>
      </c>
      <c r="B132" s="386" t="s">
        <v>3241</v>
      </c>
      <c r="C132" s="390">
        <f>'Data Entry - SOF'!E136</f>
        <v>0</v>
      </c>
      <c r="D132" s="390"/>
      <c r="E132" s="390">
        <f>'Data Entry - SOF'!E136</f>
        <v>0</v>
      </c>
    </row>
    <row r="133" spans="1:7" ht="15">
      <c r="A133" s="385" t="s">
        <v>2750</v>
      </c>
      <c r="B133" s="386" t="s">
        <v>3242</v>
      </c>
      <c r="C133" s="390">
        <f>'Option Costs'!W73</f>
        <v>0</v>
      </c>
      <c r="D133" s="390"/>
      <c r="E133" s="390">
        <f>'Option Costs'!Y73</f>
        <v>0</v>
      </c>
    </row>
    <row r="134" spans="1:7" ht="15">
      <c r="A134" s="385" t="s">
        <v>2751</v>
      </c>
      <c r="B134" s="386" t="s">
        <v>3235</v>
      </c>
      <c r="C134" s="390">
        <f>'Option Costs'!W72</f>
        <v>0</v>
      </c>
      <c r="D134" s="390"/>
      <c r="E134" s="390">
        <f>'Option Costs'!Y72</f>
        <v>0</v>
      </c>
    </row>
    <row r="135" spans="1:7" ht="15">
      <c r="A135" s="385" t="s">
        <v>2752</v>
      </c>
      <c r="B135" s="386" t="s">
        <v>3243</v>
      </c>
      <c r="C135" s="390" t="e">
        <f>'Option Costs'!W83</f>
        <v>#DIV/0!</v>
      </c>
      <c r="D135" s="390"/>
      <c r="E135" s="390">
        <f>'Option Costs'!Y83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Costs'!W83</f>
        <v>#DIV/0!</v>
      </c>
      <c r="D138" s="390"/>
      <c r="E138" s="390">
        <f>'Option Costs'!Y83</f>
        <v>0</v>
      </c>
    </row>
    <row r="139" spans="1:7" ht="15.75">
      <c r="A139" s="550" t="s">
        <v>2908</v>
      </c>
      <c r="B139" s="543"/>
      <c r="C139" s="543"/>
      <c r="D139" s="543"/>
      <c r="E139" s="544"/>
    </row>
    <row r="140" spans="1:7" ht="15">
      <c r="A140" s="385" t="s">
        <v>2756</v>
      </c>
      <c r="B140" s="386" t="s">
        <v>2909</v>
      </c>
      <c r="C140" s="390">
        <f>'Option Costs'!W79</f>
        <v>0</v>
      </c>
      <c r="D140" s="390"/>
      <c r="E140" s="390">
        <f>'Option Costs'!Y79</f>
        <v>0</v>
      </c>
    </row>
    <row r="141" spans="1:7" ht="15.75">
      <c r="A141" s="385" t="s">
        <v>2757</v>
      </c>
      <c r="B141" s="384" t="s">
        <v>2910</v>
      </c>
      <c r="C141" s="395" t="e">
        <f>'Option Costs'!W85</f>
        <v>#DIV/0!</v>
      </c>
      <c r="D141" s="395"/>
      <c r="E141" s="395">
        <f>'Option Costs'!Y85</f>
        <v>0</v>
      </c>
      <c r="F141" s="567" t="s">
        <v>3024</v>
      </c>
      <c r="G141" s="568" t="str">
        <f>'Data Entry - SOF'!E144</f>
        <v>Y</v>
      </c>
    </row>
    <row r="142" spans="1:7" ht="15.75">
      <c r="A142" s="385" t="s">
        <v>2758</v>
      </c>
      <c r="B142" s="384" t="s">
        <v>2911</v>
      </c>
      <c r="C142" s="395">
        <f>'Option Costs'!W86</f>
        <v>0</v>
      </c>
      <c r="D142" s="395"/>
      <c r="E142" s="395">
        <f>'Option Costs'!Y86</f>
        <v>0</v>
      </c>
    </row>
    <row r="143" spans="1:7" ht="15.75">
      <c r="A143" s="596" t="s">
        <v>2912</v>
      </c>
      <c r="B143" s="543"/>
      <c r="C143" s="543"/>
      <c r="D143" s="543"/>
      <c r="E143" s="544"/>
    </row>
    <row r="144" spans="1:7" ht="15">
      <c r="A144" s="385" t="s">
        <v>2773</v>
      </c>
      <c r="B144" s="386" t="s">
        <v>3244</v>
      </c>
      <c r="C144" s="389">
        <f>'Calc Data'!E25</f>
        <v>0</v>
      </c>
      <c r="D144" s="389"/>
      <c r="E144" s="389">
        <f>'Calc Data'!E25</f>
        <v>0</v>
      </c>
    </row>
    <row r="145" spans="1:5" ht="15">
      <c r="A145" s="385" t="s">
        <v>2774</v>
      </c>
      <c r="B145" s="386" t="s">
        <v>3245</v>
      </c>
      <c r="C145" s="388">
        <f>'Data Entry - SOF'!E135</f>
        <v>0</v>
      </c>
      <c r="D145" s="388"/>
      <c r="E145" s="388">
        <f>'Data Entry - SOF'!E135</f>
        <v>0</v>
      </c>
    </row>
    <row r="146" spans="1:5" ht="15">
      <c r="A146" s="385" t="s">
        <v>2775</v>
      </c>
      <c r="B146" s="386" t="s">
        <v>3246</v>
      </c>
      <c r="C146" s="388">
        <f>'Data Entry - SOF'!E134</f>
        <v>0</v>
      </c>
      <c r="D146" s="388"/>
      <c r="E146" s="388">
        <f>'Data Entry - SOF'!E134</f>
        <v>0</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3245</v>
      </c>
      <c r="C149" s="388">
        <f>'Data Entry - SOF'!E135</f>
        <v>0</v>
      </c>
      <c r="D149" s="386"/>
      <c r="E149" s="388">
        <f>'Data Entry - SOF'!E135</f>
        <v>0</v>
      </c>
    </row>
    <row r="150" spans="1:5" ht="15">
      <c r="A150" s="385" t="s">
        <v>2777</v>
      </c>
      <c r="B150" s="386" t="s">
        <v>2914</v>
      </c>
      <c r="C150" s="389">
        <f>'Ch41 Calc Data'!M15</f>
        <v>0</v>
      </c>
      <c r="D150" s="389"/>
      <c r="E150" s="389">
        <f>'Ch41 Calc Data'!M15</f>
        <v>0</v>
      </c>
    </row>
    <row r="151" spans="1:5" ht="15">
      <c r="A151" s="385" t="s">
        <v>2778</v>
      </c>
      <c r="B151" s="386" t="s">
        <v>2915</v>
      </c>
      <c r="C151" s="389">
        <f>'Ch41 Calc Data'!M16</f>
        <v>0</v>
      </c>
      <c r="D151" s="389"/>
      <c r="E151" s="389">
        <f>'Ch41 Calc Data'!M16</f>
        <v>0</v>
      </c>
    </row>
    <row r="152" spans="1:5" ht="15.75">
      <c r="A152" s="577" t="s">
        <v>2916</v>
      </c>
      <c r="B152" s="543"/>
      <c r="C152" s="543"/>
      <c r="D152" s="543"/>
      <c r="E152" s="544"/>
    </row>
    <row r="153" spans="1:5" ht="15">
      <c r="A153" s="385" t="s">
        <v>2917</v>
      </c>
      <c r="B153" s="386" t="s">
        <v>3247</v>
      </c>
      <c r="C153" s="389">
        <f>'Ch41 Calc Data'!M17</f>
        <v>0</v>
      </c>
      <c r="D153" s="389"/>
      <c r="E153" s="389">
        <f>'Ch41 Calc Data'!M17</f>
        <v>0</v>
      </c>
    </row>
    <row r="154" spans="1:5" s="382" customFormat="1" ht="15">
      <c r="B154" s="741" t="s">
        <v>3812</v>
      </c>
      <c r="C154" s="476" t="s">
        <v>3283</v>
      </c>
    </row>
    <row r="155" spans="1:5" s="382" customFormat="1" ht="15">
      <c r="B155" s="741" t="s">
        <v>3814</v>
      </c>
      <c r="C155" s="476" t="s">
        <v>3263</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'Report-Recapture1819'!E1</f>
        <v>Release 10</v>
      </c>
    </row>
    <row r="2" spans="1:5">
      <c r="A2" s="64" t="s">
        <v>3811</v>
      </c>
      <c r="E2" s="72">
        <f>'Report-Recapture1819'!E2</f>
        <v>43724</v>
      </c>
    </row>
    <row r="3" spans="1:5">
      <c r="A3" s="64"/>
      <c r="E3" s="58">
        <f>'Report-Recapture1819'!E3</f>
        <v>0</v>
      </c>
    </row>
    <row r="4" spans="1:5" ht="15.75">
      <c r="A4" s="381" t="s">
        <v>3330</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3331</v>
      </c>
      <c r="C15" s="428">
        <f>'Option Costs'!AA70</f>
        <v>0</v>
      </c>
      <c r="D15" s="428"/>
      <c r="E15" s="428">
        <f>C15</f>
        <v>0</v>
      </c>
    </row>
    <row r="16" spans="1:5" s="382" customFormat="1" ht="15">
      <c r="A16" s="385" t="s">
        <v>912</v>
      </c>
      <c r="B16" s="386" t="s">
        <v>3332</v>
      </c>
      <c r="C16" s="429">
        <f>'Data Entry - SOF'!G92</f>
        <v>1.079</v>
      </c>
      <c r="D16" s="429"/>
      <c r="E16" s="429">
        <f t="shared" ref="E16:E23" si="0">C16</f>
        <v>1.079</v>
      </c>
    </row>
    <row r="17" spans="1:5" s="382" customFormat="1" ht="15">
      <c r="A17" s="385" t="s">
        <v>2875</v>
      </c>
      <c r="B17" s="386" t="s">
        <v>3333</v>
      </c>
      <c r="C17" s="429">
        <f>FracFunding1920!D5</f>
        <v>1</v>
      </c>
      <c r="D17" s="429"/>
      <c r="E17" s="429">
        <f t="shared" si="0"/>
        <v>1</v>
      </c>
    </row>
    <row r="18" spans="1:5" s="382" customFormat="1" ht="15">
      <c r="A18" s="385" t="s">
        <v>913</v>
      </c>
      <c r="B18" s="386" t="s">
        <v>3334</v>
      </c>
      <c r="C18" s="389">
        <f>'Ch41 Calc Data'!N17</f>
        <v>0</v>
      </c>
      <c r="D18" s="389"/>
      <c r="E18" s="389">
        <f t="shared" si="0"/>
        <v>0</v>
      </c>
    </row>
    <row r="19" spans="1:5" s="382" customFormat="1" ht="15">
      <c r="A19" s="385" t="s">
        <v>914</v>
      </c>
      <c r="B19" s="386" t="s">
        <v>6622</v>
      </c>
      <c r="C19" s="390">
        <f>'Data Entry - SOF'!G75</f>
        <v>0</v>
      </c>
      <c r="D19" s="386"/>
      <c r="E19" s="428">
        <f t="shared" si="0"/>
        <v>0</v>
      </c>
    </row>
    <row r="20" spans="1:5" s="382" customFormat="1" ht="15">
      <c r="A20" s="385" t="s">
        <v>118</v>
      </c>
      <c r="B20" s="386" t="s">
        <v>3335</v>
      </c>
      <c r="C20" s="390">
        <f>'Report-SOF1920-HB3'!D68</f>
        <v>0</v>
      </c>
      <c r="D20" s="386"/>
      <c r="E20" s="428">
        <f t="shared" si="0"/>
        <v>0</v>
      </c>
    </row>
    <row r="21" spans="1:5" s="382" customFormat="1" ht="15">
      <c r="A21" s="385" t="s">
        <v>119</v>
      </c>
      <c r="B21" s="386" t="s">
        <v>2876</v>
      </c>
      <c r="C21" s="388">
        <f>'Data Entry - SOF'!G139</f>
        <v>0</v>
      </c>
      <c r="D21" s="388"/>
      <c r="E21" s="388">
        <f t="shared" si="0"/>
        <v>0</v>
      </c>
    </row>
    <row r="22" spans="1:5" s="382" customFormat="1" ht="15">
      <c r="A22" s="385" t="s">
        <v>120</v>
      </c>
      <c r="B22" s="386" t="s">
        <v>2877</v>
      </c>
      <c r="C22" s="428">
        <f>'Data Entry - SOF'!G140</f>
        <v>0</v>
      </c>
      <c r="D22" s="386"/>
      <c r="E22" s="428">
        <f t="shared" si="0"/>
        <v>0</v>
      </c>
    </row>
    <row r="23" spans="1:5" s="382" customFormat="1" ht="15">
      <c r="A23" s="385" t="s">
        <v>121</v>
      </c>
      <c r="B23" s="386" t="s">
        <v>1796</v>
      </c>
      <c r="C23" s="430">
        <f>'Report-SOF1920-HB3'!D51</f>
        <v>0</v>
      </c>
      <c r="D23" s="402"/>
      <c r="E23" s="430">
        <f t="shared" si="0"/>
        <v>0</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Costs'!AA13</f>
        <v>0</v>
      </c>
      <c r="D26" s="390"/>
      <c r="E26" s="390">
        <f t="shared" ref="E26:E31" si="1">C26</f>
        <v>0</v>
      </c>
    </row>
    <row r="27" spans="1:5" s="382" customFormat="1" ht="15">
      <c r="A27" s="385" t="s">
        <v>6</v>
      </c>
      <c r="B27" s="386" t="s">
        <v>2918</v>
      </c>
      <c r="C27" s="389">
        <f>'Option Costs'!AA16</f>
        <v>0</v>
      </c>
      <c r="D27" s="389"/>
      <c r="E27" s="389">
        <f t="shared" si="1"/>
        <v>0</v>
      </c>
    </row>
    <row r="28" spans="1:5" s="382" customFormat="1" ht="15">
      <c r="A28" s="385" t="s">
        <v>2232</v>
      </c>
      <c r="B28" s="386" t="s">
        <v>2884</v>
      </c>
      <c r="C28" s="390">
        <f>'Option Costs'!AA17</f>
        <v>0</v>
      </c>
      <c r="D28" s="390"/>
      <c r="E28" s="390">
        <f t="shared" si="1"/>
        <v>0</v>
      </c>
    </row>
    <row r="29" spans="1:5" s="382" customFormat="1" ht="15">
      <c r="A29" s="385" t="s">
        <v>2233</v>
      </c>
      <c r="B29" s="386" t="s">
        <v>2885</v>
      </c>
      <c r="C29" s="390">
        <f>'Option Costs'!AA19</f>
        <v>0</v>
      </c>
      <c r="D29" s="390"/>
      <c r="E29" s="390">
        <f t="shared" si="1"/>
        <v>0</v>
      </c>
    </row>
    <row r="30" spans="1:5" s="382" customFormat="1" ht="15">
      <c r="A30" s="385" t="s">
        <v>2722</v>
      </c>
      <c r="B30" s="386" t="s">
        <v>2886</v>
      </c>
      <c r="C30" s="389">
        <f>'Option Costs'!AA20</f>
        <v>0</v>
      </c>
      <c r="D30" s="389"/>
      <c r="E30" s="389">
        <f t="shared" si="1"/>
        <v>0</v>
      </c>
    </row>
    <row r="31" spans="1:5" s="382" customFormat="1" ht="15">
      <c r="A31" s="385" t="s">
        <v>2723</v>
      </c>
      <c r="B31" s="386" t="s">
        <v>3336</v>
      </c>
      <c r="C31" s="389">
        <f>'Option Costs'!AA21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f>'Option Costs'!AA24</f>
        <v>0</v>
      </c>
      <c r="D33" s="390"/>
      <c r="E33" s="390">
        <f>C33</f>
        <v>0</v>
      </c>
    </row>
    <row r="34" spans="1:5" s="382" customFormat="1" ht="15.75">
      <c r="A34" s="596" t="s">
        <v>2888</v>
      </c>
      <c r="B34" s="543"/>
      <c r="C34" s="543"/>
      <c r="D34" s="543"/>
      <c r="E34" s="544"/>
    </row>
    <row r="35" spans="1:5" s="382" customFormat="1" ht="15">
      <c r="A35" s="400" t="s">
        <v>2727</v>
      </c>
      <c r="B35" s="386" t="s">
        <v>2889</v>
      </c>
      <c r="C35" s="390">
        <f>'Option Costs'!AA27</f>
        <v>0</v>
      </c>
      <c r="D35" s="390"/>
      <c r="E35" s="431" t="s">
        <v>1775</v>
      </c>
    </row>
    <row r="36" spans="1:5" s="382" customFormat="1" ht="15">
      <c r="A36" s="400" t="s">
        <v>2728</v>
      </c>
      <c r="B36" s="386" t="s">
        <v>2890</v>
      </c>
      <c r="C36" s="390" t="e">
        <f>'Option Costs'!AA28</f>
        <v>#DIV/0!</v>
      </c>
      <c r="D36" s="390"/>
      <c r="E36" s="431" t="s">
        <v>1775</v>
      </c>
    </row>
    <row r="37" spans="1:5" s="382" customFormat="1" ht="15">
      <c r="A37" s="400" t="s">
        <v>2729</v>
      </c>
      <c r="B37" s="386" t="s">
        <v>2891</v>
      </c>
      <c r="C37" s="390" t="e">
        <f>'Option Costs'!AA29</f>
        <v>#DIV/0!</v>
      </c>
      <c r="D37" s="390"/>
      <c r="E37" s="431" t="s">
        <v>1775</v>
      </c>
    </row>
    <row r="38" spans="1:5" s="382" customFormat="1" ht="15">
      <c r="A38" s="400" t="s">
        <v>2731</v>
      </c>
      <c r="B38" s="386" t="s">
        <v>2892</v>
      </c>
      <c r="C38" s="390" t="e">
        <f>'Option Costs'!AA30</f>
        <v>#DIV/0!</v>
      </c>
      <c r="D38" s="390"/>
      <c r="E38" s="431" t="s">
        <v>1775</v>
      </c>
    </row>
    <row r="39" spans="1:5" s="382" customFormat="1" ht="15">
      <c r="A39" s="400" t="s">
        <v>2732</v>
      </c>
      <c r="B39" s="386" t="s">
        <v>2893</v>
      </c>
      <c r="C39" s="390" t="e">
        <f>'Option Costs'!AA64</f>
        <v>#DIV/0!</v>
      </c>
      <c r="D39" s="390"/>
      <c r="E39" s="390">
        <f>'Option Costs'!AC64</f>
        <v>0</v>
      </c>
    </row>
    <row r="40" spans="1:5" s="382" customFormat="1" ht="15">
      <c r="A40" s="400" t="s">
        <v>2733</v>
      </c>
      <c r="B40" s="386" t="s">
        <v>2894</v>
      </c>
      <c r="C40" s="390" t="e">
        <f>'Option Costs'!AA65</f>
        <v>#DIV/0!</v>
      </c>
      <c r="D40" s="390"/>
      <c r="E40" s="390">
        <f>'Option Costs'!AC65</f>
        <v>0</v>
      </c>
    </row>
    <row r="41" spans="1:5" s="382" customFormat="1" ht="15">
      <c r="A41" s="400" t="s">
        <v>2734</v>
      </c>
      <c r="B41" s="386" t="s">
        <v>2895</v>
      </c>
      <c r="C41" s="389" t="e">
        <f>'Option Costs'!AA66</f>
        <v>#DIV/0!</v>
      </c>
      <c r="D41" s="389"/>
      <c r="E41" s="389" t="e">
        <f>'Option Costs'!AC66</f>
        <v>#DIV/0!</v>
      </c>
    </row>
    <row r="42" spans="1:5" s="382" customFormat="1" ht="15.75">
      <c r="A42" s="596" t="s">
        <v>2896</v>
      </c>
      <c r="B42" s="543"/>
      <c r="C42" s="543"/>
      <c r="D42" s="543"/>
      <c r="E42" s="544"/>
    </row>
    <row r="43" spans="1:5" s="382" customFormat="1" ht="15">
      <c r="A43" s="385" t="s">
        <v>2735</v>
      </c>
      <c r="B43" s="386" t="s">
        <v>2897</v>
      </c>
      <c r="C43" s="390" t="e">
        <f>'Option Costs'!AA73</f>
        <v>#DIV/0!</v>
      </c>
      <c r="D43" s="386"/>
      <c r="E43" s="390" t="e">
        <f>'Option Costs'!AC73</f>
        <v>#DIV/0!</v>
      </c>
    </row>
    <row r="44" spans="1:5" s="382" customFormat="1" ht="15">
      <c r="A44" s="385" t="s">
        <v>2740</v>
      </c>
      <c r="B44" s="386" t="s">
        <v>2898</v>
      </c>
      <c r="C44" s="389" t="e">
        <f>'Option Costs'!AA74</f>
        <v>#DIV/0!</v>
      </c>
      <c r="D44" s="389"/>
      <c r="E44" s="389" t="e">
        <f>'Option Costs'!AC74</f>
        <v>#DIV/0!</v>
      </c>
    </row>
    <row r="45" spans="1:5" s="382" customFormat="1" ht="15">
      <c r="A45" s="385" t="s">
        <v>2741</v>
      </c>
      <c r="B45" s="386" t="s">
        <v>6970</v>
      </c>
      <c r="C45" s="390" t="e">
        <f>'Option Costs'!AA75</f>
        <v>#DIV/0!</v>
      </c>
      <c r="D45" s="390"/>
      <c r="E45" s="390" t="e">
        <f>'Option Costs'!AC75</f>
        <v>#DIV/0!</v>
      </c>
    </row>
    <row r="46" spans="1:5" s="382" customFormat="1" ht="15">
      <c r="A46" s="385" t="s">
        <v>2742</v>
      </c>
      <c r="B46" s="386" t="s">
        <v>2899</v>
      </c>
      <c r="C46" s="389" t="e">
        <f>'Option Costs'!AA76</f>
        <v>#DIV/0!</v>
      </c>
      <c r="D46" s="389"/>
      <c r="E46" s="389" t="e">
        <f>'Option Costs'!AC76</f>
        <v>#DIV/0!</v>
      </c>
    </row>
    <row r="47" spans="1:5" s="382" customFormat="1" ht="15">
      <c r="A47" s="385" t="s">
        <v>2743</v>
      </c>
      <c r="B47" s="386" t="s">
        <v>2900</v>
      </c>
      <c r="C47" s="389">
        <f>'Option Costs'!AA77</f>
        <v>0</v>
      </c>
      <c r="D47" s="389"/>
      <c r="E47" s="389">
        <f>'Option Costs'!AC77</f>
        <v>0</v>
      </c>
    </row>
    <row r="48" spans="1:5" s="382" customFormat="1" ht="15">
      <c r="A48" s="385" t="s">
        <v>2744</v>
      </c>
      <c r="B48" s="386" t="s">
        <v>2901</v>
      </c>
      <c r="C48" s="389" t="e">
        <f>'Option Costs'!AA78</f>
        <v>#DIV/0!</v>
      </c>
      <c r="D48" s="389"/>
      <c r="E48" s="389" t="e">
        <f>'Option Costs'!AC78</f>
        <v>#DIV/0!</v>
      </c>
    </row>
    <row r="49" spans="1:5" s="382" customFormat="1" ht="15">
      <c r="A49" s="385" t="s">
        <v>2745</v>
      </c>
      <c r="B49" s="386" t="s">
        <v>2902</v>
      </c>
      <c r="C49" s="390" t="e">
        <f>'Option Costs'!AA79</f>
        <v>#DIV/0!</v>
      </c>
      <c r="D49" s="390"/>
      <c r="E49" s="390" t="e">
        <f>'Option Costs'!AC79</f>
        <v>#DIV/0!</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Costs'!AA98</f>
        <v>#DIV/0!</v>
      </c>
      <c r="D52" s="386"/>
      <c r="E52" s="431" t="s">
        <v>1775</v>
      </c>
    </row>
    <row r="53" spans="1:5" s="382" customFormat="1" ht="15">
      <c r="A53" s="385" t="s">
        <v>2747</v>
      </c>
      <c r="B53" s="386" t="s">
        <v>2961</v>
      </c>
      <c r="C53" s="390" t="e">
        <f>'Option Costs'!AA99</f>
        <v>#DIV/0!</v>
      </c>
      <c r="D53" s="386"/>
      <c r="E53" s="431" t="s">
        <v>1775</v>
      </c>
    </row>
    <row r="54" spans="1:5" s="382" customFormat="1" ht="15">
      <c r="A54" s="385" t="s">
        <v>2748</v>
      </c>
      <c r="B54" s="386" t="s">
        <v>2904</v>
      </c>
      <c r="C54" s="390" t="e">
        <f>'Option Costs'!AA82</f>
        <v>#DIV/0!</v>
      </c>
      <c r="D54" s="386"/>
      <c r="E54" s="431" t="s">
        <v>1775</v>
      </c>
    </row>
    <row r="55" spans="1:5" s="382" customFormat="1" ht="15.75">
      <c r="A55" s="596" t="s">
        <v>2905</v>
      </c>
      <c r="B55" s="543"/>
      <c r="C55" s="543"/>
      <c r="D55" s="543"/>
      <c r="E55" s="544"/>
    </row>
    <row r="56" spans="1:5" s="382" customFormat="1" ht="15">
      <c r="A56" s="385" t="s">
        <v>2749</v>
      </c>
      <c r="B56" s="386" t="s">
        <v>3337</v>
      </c>
      <c r="C56" s="390">
        <f>'Data Entry - SOF'!G136</f>
        <v>0</v>
      </c>
      <c r="D56" s="390"/>
      <c r="E56" s="390">
        <f>'Data Entry - SOF'!G136</f>
        <v>0</v>
      </c>
    </row>
    <row r="57" spans="1:5" s="382" customFormat="1" ht="15">
      <c r="A57" s="385" t="s">
        <v>2750</v>
      </c>
      <c r="B57" s="386" t="s">
        <v>3338</v>
      </c>
      <c r="C57" s="390" t="e">
        <f>'Option Costs'!AA73</f>
        <v>#DIV/0!</v>
      </c>
      <c r="D57" s="390"/>
      <c r="E57" s="390" t="e">
        <f>'Option Costs'!AC73</f>
        <v>#DIV/0!</v>
      </c>
    </row>
    <row r="58" spans="1:5" s="382" customFormat="1" ht="15">
      <c r="A58" s="385" t="s">
        <v>2751</v>
      </c>
      <c r="B58" s="386" t="s">
        <v>3331</v>
      </c>
      <c r="C58" s="390">
        <f>'Option Costs'!AA70</f>
        <v>0</v>
      </c>
      <c r="D58" s="390"/>
      <c r="E58" s="390">
        <f>'Option Costs'!AC70</f>
        <v>0</v>
      </c>
    </row>
    <row r="59" spans="1:5" s="382" customFormat="1" ht="15">
      <c r="A59" s="385" t="s">
        <v>2752</v>
      </c>
      <c r="B59" s="386" t="s">
        <v>3339</v>
      </c>
      <c r="C59" s="390" t="e">
        <f>'Option Costs'!AA83</f>
        <v>#DIV/0!</v>
      </c>
      <c r="D59" s="390"/>
      <c r="E59" s="390">
        <f>'Option Costs'!AC83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Costs'!AA83</f>
        <v>#DIV/0!</v>
      </c>
      <c r="D62" s="390"/>
      <c r="E62" s="390">
        <f>'Option Costs'!AC83</f>
        <v>0</v>
      </c>
    </row>
    <row r="63" spans="1:5" s="382" customFormat="1" ht="15.75">
      <c r="A63" s="550" t="s">
        <v>2908</v>
      </c>
      <c r="B63" s="543"/>
      <c r="C63" s="543"/>
      <c r="D63" s="543"/>
      <c r="E63" s="544"/>
    </row>
    <row r="64" spans="1:5" s="382" customFormat="1" ht="15">
      <c r="A64" s="385" t="s">
        <v>2756</v>
      </c>
      <c r="B64" s="386" t="s">
        <v>2909</v>
      </c>
      <c r="C64" s="390" t="e">
        <f>'Option Costs'!AA79</f>
        <v>#DIV/0!</v>
      </c>
      <c r="D64" s="390"/>
      <c r="E64" s="390" t="e">
        <f>'Option Costs'!AC79</f>
        <v>#DIV/0!</v>
      </c>
    </row>
    <row r="65" spans="1:7" s="382" customFormat="1" ht="15.75">
      <c r="A65" s="385" t="s">
        <v>2757</v>
      </c>
      <c r="B65" s="384" t="s">
        <v>2910</v>
      </c>
      <c r="C65" s="395" t="e">
        <f>'Option Costs'!AA85</f>
        <v>#DIV/0!</v>
      </c>
      <c r="D65" s="390"/>
      <c r="E65" s="395" t="e">
        <f>'Option Costs'!AC85</f>
        <v>#DIV/0!</v>
      </c>
      <c r="F65" s="567" t="s">
        <v>3024</v>
      </c>
      <c r="G65" s="568" t="str">
        <f>'Data Entry - SOF'!G143</f>
        <v>Y</v>
      </c>
    </row>
    <row r="66" spans="1:7" s="382" customFormat="1" ht="15.75">
      <c r="A66" s="385" t="s">
        <v>2758</v>
      </c>
      <c r="B66" s="384" t="s">
        <v>2911</v>
      </c>
      <c r="C66" s="395" t="e">
        <f>'Option Costs'!AA86</f>
        <v>#DIV/0!</v>
      </c>
      <c r="D66" s="390"/>
      <c r="E66" s="395" t="e">
        <f>'Option Costs'!AC86</f>
        <v>#DIV/0!</v>
      </c>
      <c r="F66" s="325" t="s">
        <v>3038</v>
      </c>
    </row>
    <row r="67" spans="1:7" s="382" customFormat="1" ht="15.75">
      <c r="A67" s="596" t="s">
        <v>2912</v>
      </c>
      <c r="B67" s="543"/>
      <c r="C67" s="543"/>
      <c r="D67" s="543"/>
      <c r="E67" s="544"/>
      <c r="F67" s="325" t="s">
        <v>3039</v>
      </c>
    </row>
    <row r="68" spans="1:7" s="382" customFormat="1" ht="15">
      <c r="A68" s="385" t="s">
        <v>2773</v>
      </c>
      <c r="B68" s="386" t="s">
        <v>3340</v>
      </c>
      <c r="C68" s="389">
        <f>'Calc Data'!F25</f>
        <v>0</v>
      </c>
      <c r="D68" s="389"/>
      <c r="E68" s="389">
        <f>'Calc Data'!F25</f>
        <v>0</v>
      </c>
    </row>
    <row r="69" spans="1:7" s="382" customFormat="1" ht="15">
      <c r="A69" s="385" t="s">
        <v>2774</v>
      </c>
      <c r="B69" s="386" t="s">
        <v>3341</v>
      </c>
      <c r="C69" s="388">
        <f>'Data Entry - SOF'!G135</f>
        <v>0</v>
      </c>
      <c r="D69" s="388"/>
      <c r="E69" s="388">
        <f>'Data Entry - SOF'!G135</f>
        <v>0</v>
      </c>
    </row>
    <row r="70" spans="1:7" s="382" customFormat="1" ht="15">
      <c r="A70" s="385" t="s">
        <v>2775</v>
      </c>
      <c r="B70" s="386" t="s">
        <v>3342</v>
      </c>
      <c r="C70" s="388">
        <f>'Data Entry - SOF'!G134</f>
        <v>0</v>
      </c>
      <c r="D70" s="388"/>
      <c r="E70" s="388">
        <f>'Data Entry - SOF'!G134</f>
        <v>0</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3341</v>
      </c>
      <c r="C73" s="388">
        <f>'Data Entry - SOF'!G135</f>
        <v>0</v>
      </c>
      <c r="D73" s="386"/>
      <c r="E73" s="388">
        <f>'Data Entry - SOF'!G135</f>
        <v>0</v>
      </c>
    </row>
    <row r="74" spans="1:7" s="382" customFormat="1" ht="15">
      <c r="A74" s="385" t="s">
        <v>2777</v>
      </c>
      <c r="B74" s="386" t="s">
        <v>2914</v>
      </c>
      <c r="C74" s="389">
        <f>'Ch41 Calc Data'!N15</f>
        <v>0</v>
      </c>
      <c r="D74" s="389"/>
      <c r="E74" s="389">
        <f>'Ch41 Calc Data'!N15</f>
        <v>0</v>
      </c>
    </row>
    <row r="75" spans="1:7" s="382" customFormat="1" ht="15">
      <c r="A75" s="385" t="s">
        <v>2778</v>
      </c>
      <c r="B75" s="386" t="s">
        <v>2915</v>
      </c>
      <c r="C75" s="389">
        <f>'Ch41 Calc Data'!N16</f>
        <v>0</v>
      </c>
      <c r="D75" s="389"/>
      <c r="E75" s="389">
        <f>'Ch41 Calc Data'!N16</f>
        <v>0</v>
      </c>
    </row>
    <row r="76" spans="1:7" s="382" customFormat="1" ht="15.75">
      <c r="A76" s="596" t="s">
        <v>2916</v>
      </c>
      <c r="B76" s="543"/>
      <c r="C76" s="543"/>
      <c r="D76" s="543"/>
      <c r="E76" s="544"/>
    </row>
    <row r="77" spans="1:7" s="382" customFormat="1" ht="15">
      <c r="A77" s="385" t="s">
        <v>2917</v>
      </c>
      <c r="B77" s="386" t="s">
        <v>3343</v>
      </c>
      <c r="C77" s="389">
        <f>'Ch41 Calc Data'!N17</f>
        <v>0</v>
      </c>
      <c r="D77" s="389"/>
      <c r="E77" s="389">
        <f>'Ch41 Calc Data'!N17</f>
        <v>0</v>
      </c>
    </row>
    <row r="78" spans="1:7" s="382" customFormat="1" ht="15">
      <c r="B78" s="741" t="s">
        <v>3812</v>
      </c>
      <c r="C78" s="476" t="s">
        <v>3364</v>
      </c>
    </row>
    <row r="79" spans="1:7" s="382" customFormat="1" ht="15">
      <c r="B79" s="741" t="s">
        <v>3815</v>
      </c>
      <c r="C79" s="476" t="s">
        <v>3352</v>
      </c>
    </row>
    <row r="80" spans="1:7" s="382" customFormat="1" ht="15.75">
      <c r="A80" s="325" t="s">
        <v>3344</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3331</v>
      </c>
      <c r="C91" s="428">
        <f>'Option Costs'!AE71</f>
        <v>0</v>
      </c>
      <c r="D91" s="428"/>
      <c r="E91" s="428">
        <f t="shared" si="2"/>
        <v>0</v>
      </c>
    </row>
    <row r="92" spans="1:5" s="382" customFormat="1" ht="15">
      <c r="A92" s="385" t="s">
        <v>912</v>
      </c>
      <c r="B92" s="386" t="s">
        <v>3332</v>
      </c>
      <c r="C92" s="429">
        <f>'Data Entry - SOF'!G92</f>
        <v>1.079</v>
      </c>
      <c r="D92" s="429"/>
      <c r="E92" s="429">
        <f t="shared" si="2"/>
        <v>1.079</v>
      </c>
    </row>
    <row r="93" spans="1:5" s="382" customFormat="1" ht="15">
      <c r="A93" s="385" t="s">
        <v>2875</v>
      </c>
      <c r="B93" s="386" t="s">
        <v>3333</v>
      </c>
      <c r="C93" s="429">
        <f>C17</f>
        <v>1</v>
      </c>
      <c r="D93" s="429"/>
      <c r="E93" s="429">
        <f t="shared" si="2"/>
        <v>1</v>
      </c>
    </row>
    <row r="94" spans="1:5" s="382" customFormat="1" ht="15">
      <c r="A94" s="385" t="s">
        <v>913</v>
      </c>
      <c r="B94" s="386" t="s">
        <v>3334</v>
      </c>
      <c r="C94" s="389">
        <f>'Ch41 Calc Data'!N17</f>
        <v>0</v>
      </c>
      <c r="D94" s="389"/>
      <c r="E94" s="389">
        <f t="shared" si="2"/>
        <v>0</v>
      </c>
    </row>
    <row r="95" spans="1:5" s="382" customFormat="1" ht="15">
      <c r="A95" s="385" t="s">
        <v>914</v>
      </c>
      <c r="B95" s="386" t="s">
        <v>6622</v>
      </c>
      <c r="C95" s="390">
        <f>C19</f>
        <v>0</v>
      </c>
      <c r="D95" s="386"/>
      <c r="E95" s="428">
        <f t="shared" si="2"/>
        <v>0</v>
      </c>
    </row>
    <row r="96" spans="1:5" s="382" customFormat="1" ht="15">
      <c r="A96" s="385" t="s">
        <v>118</v>
      </c>
      <c r="B96" s="386" t="s">
        <v>3335</v>
      </c>
      <c r="C96" s="390">
        <f>'Report-SOF1920-HB3'!D68</f>
        <v>0</v>
      </c>
      <c r="D96" s="386"/>
      <c r="E96" s="428">
        <f t="shared" si="2"/>
        <v>0</v>
      </c>
    </row>
    <row r="97" spans="1:5" s="382" customFormat="1" ht="15">
      <c r="A97" s="385" t="s">
        <v>119</v>
      </c>
      <c r="B97" s="386" t="s">
        <v>2876</v>
      </c>
      <c r="C97" s="388">
        <f>'Data Entry - SOF'!G139</f>
        <v>0</v>
      </c>
      <c r="D97" s="388"/>
      <c r="E97" s="388">
        <f t="shared" si="2"/>
        <v>0</v>
      </c>
    </row>
    <row r="98" spans="1:5" s="382" customFormat="1" ht="15">
      <c r="A98" s="385" t="s">
        <v>120</v>
      </c>
      <c r="B98" s="386" t="s">
        <v>2877</v>
      </c>
      <c r="C98" s="428">
        <f>'Data Entry - SOF'!G140</f>
        <v>0</v>
      </c>
      <c r="D98" s="386"/>
      <c r="E98" s="428">
        <f t="shared" si="2"/>
        <v>0</v>
      </c>
    </row>
    <row r="99" spans="1:5" s="382" customFormat="1" ht="15">
      <c r="A99" s="385" t="s">
        <v>121</v>
      </c>
      <c r="B99" s="386" t="s">
        <v>1796</v>
      </c>
      <c r="C99" s="430">
        <f>C23</f>
        <v>0</v>
      </c>
      <c r="D99" s="402"/>
      <c r="E99" s="430">
        <f t="shared" si="2"/>
        <v>0</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Costs'!AE13</f>
        <v>0</v>
      </c>
      <c r="D102" s="390"/>
      <c r="E102" s="390">
        <f t="shared" ref="E102:E107" si="3">C102</f>
        <v>0</v>
      </c>
    </row>
    <row r="103" spans="1:5" s="382" customFormat="1" ht="15">
      <c r="A103" s="385" t="s">
        <v>6</v>
      </c>
      <c r="B103" s="386" t="s">
        <v>2918</v>
      </c>
      <c r="C103" s="389">
        <f>'Option Costs'!AE16</f>
        <v>0</v>
      </c>
      <c r="D103" s="389"/>
      <c r="E103" s="389">
        <f t="shared" si="3"/>
        <v>0</v>
      </c>
    </row>
    <row r="104" spans="1:5" s="382" customFormat="1" ht="15">
      <c r="A104" s="385" t="s">
        <v>2232</v>
      </c>
      <c r="B104" s="386" t="s">
        <v>2884</v>
      </c>
      <c r="C104" s="390">
        <f>'Option Costs'!AE17</f>
        <v>0</v>
      </c>
      <c r="D104" s="390"/>
      <c r="E104" s="390">
        <f t="shared" si="3"/>
        <v>0</v>
      </c>
    </row>
    <row r="105" spans="1:5" s="382" customFormat="1" ht="15">
      <c r="A105" s="385" t="s">
        <v>2233</v>
      </c>
      <c r="B105" s="386" t="s">
        <v>2885</v>
      </c>
      <c r="C105" s="390">
        <f>'Option Costs'!AE19</f>
        <v>0</v>
      </c>
      <c r="D105" s="390"/>
      <c r="E105" s="390">
        <f t="shared" si="3"/>
        <v>0</v>
      </c>
    </row>
    <row r="106" spans="1:5" s="382" customFormat="1" ht="15">
      <c r="A106" s="385" t="s">
        <v>2722</v>
      </c>
      <c r="B106" s="386" t="s">
        <v>2886</v>
      </c>
      <c r="C106" s="389">
        <f>'Option Costs'!AE20</f>
        <v>0</v>
      </c>
      <c r="D106" s="389"/>
      <c r="E106" s="389">
        <f t="shared" si="3"/>
        <v>0</v>
      </c>
    </row>
    <row r="107" spans="1:5" s="382" customFormat="1" ht="15">
      <c r="A107" s="385" t="s">
        <v>2723</v>
      </c>
      <c r="B107" s="386" t="s">
        <v>3336</v>
      </c>
      <c r="C107" s="389">
        <f>'Option Costs'!AE21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f>'Option Costs'!AE24</f>
        <v>0</v>
      </c>
      <c r="D109" s="390"/>
      <c r="E109" s="390">
        <f>C109</f>
        <v>0</v>
      </c>
    </row>
    <row r="110" spans="1:5" ht="15.75">
      <c r="A110" s="596" t="s">
        <v>2888</v>
      </c>
      <c r="B110" s="543"/>
      <c r="C110" s="543"/>
      <c r="D110" s="543"/>
      <c r="E110" s="544"/>
    </row>
    <row r="111" spans="1:5" ht="15">
      <c r="A111" s="400" t="s">
        <v>2727</v>
      </c>
      <c r="B111" s="386" t="s">
        <v>2889</v>
      </c>
      <c r="C111" s="390">
        <f>'Option Costs'!AE27</f>
        <v>0</v>
      </c>
      <c r="D111" s="390"/>
      <c r="E111" s="431" t="s">
        <v>1775</v>
      </c>
    </row>
    <row r="112" spans="1:5" ht="15">
      <c r="A112" s="400" t="s">
        <v>2728</v>
      </c>
      <c r="B112" s="386" t="s">
        <v>2890</v>
      </c>
      <c r="C112" s="390" t="e">
        <f>'Option Costs'!AE28</f>
        <v>#DIV/0!</v>
      </c>
      <c r="D112" s="390"/>
      <c r="E112" s="431" t="s">
        <v>1775</v>
      </c>
    </row>
    <row r="113" spans="1:5" ht="15">
      <c r="A113" s="400" t="s">
        <v>2729</v>
      </c>
      <c r="B113" s="386" t="s">
        <v>2891</v>
      </c>
      <c r="C113" s="390" t="e">
        <f>'Option Costs'!AE29</f>
        <v>#DIV/0!</v>
      </c>
      <c r="D113" s="390"/>
      <c r="E113" s="431" t="s">
        <v>1775</v>
      </c>
    </row>
    <row r="114" spans="1:5" ht="15">
      <c r="A114" s="400" t="s">
        <v>2731</v>
      </c>
      <c r="B114" s="386" t="s">
        <v>2892</v>
      </c>
      <c r="C114" s="390" t="e">
        <f>'Option Costs'!AE30</f>
        <v>#DIV/0!</v>
      </c>
      <c r="D114" s="390"/>
      <c r="E114" s="431" t="s">
        <v>1775</v>
      </c>
    </row>
    <row r="115" spans="1:5" ht="15">
      <c r="A115" s="400" t="s">
        <v>2732</v>
      </c>
      <c r="B115" s="386" t="s">
        <v>2893</v>
      </c>
      <c r="C115" s="390" t="e">
        <f>'Option Costs'!AE64</f>
        <v>#DIV/0!</v>
      </c>
      <c r="D115" s="390"/>
      <c r="E115" s="390">
        <f>'Option Costs'!AG64</f>
        <v>0</v>
      </c>
    </row>
    <row r="116" spans="1:5" ht="15">
      <c r="A116" s="400" t="s">
        <v>2733</v>
      </c>
      <c r="B116" s="386" t="s">
        <v>2894</v>
      </c>
      <c r="C116" s="390" t="e">
        <f>'Option Costs'!AE65</f>
        <v>#DIV/0!</v>
      </c>
      <c r="D116" s="390"/>
      <c r="E116" s="390">
        <f>'Option Costs'!AG65</f>
        <v>0</v>
      </c>
    </row>
    <row r="117" spans="1:5" ht="15">
      <c r="A117" s="400" t="s">
        <v>2734</v>
      </c>
      <c r="B117" s="386" t="s">
        <v>2895</v>
      </c>
      <c r="C117" s="389" t="e">
        <f>'Option Costs'!AE66</f>
        <v>#DIV/0!</v>
      </c>
      <c r="D117" s="389"/>
      <c r="E117" s="389" t="e">
        <f>'Option Costs'!AG66</f>
        <v>#DIV/0!</v>
      </c>
    </row>
    <row r="118" spans="1:5" ht="15.75">
      <c r="A118" s="596" t="s">
        <v>2896</v>
      </c>
      <c r="B118" s="543"/>
      <c r="C118" s="543"/>
      <c r="D118" s="543"/>
      <c r="E118" s="544"/>
    </row>
    <row r="119" spans="1:5" ht="15">
      <c r="A119" s="385" t="s">
        <v>2735</v>
      </c>
      <c r="B119" s="386" t="s">
        <v>2897</v>
      </c>
      <c r="C119" s="390">
        <f>'Option Costs'!AE73</f>
        <v>0</v>
      </c>
      <c r="D119" s="386"/>
      <c r="E119" s="390">
        <f>'Option Costs'!AG73</f>
        <v>0</v>
      </c>
    </row>
    <row r="120" spans="1:5" ht="15">
      <c r="A120" s="385" t="s">
        <v>2740</v>
      </c>
      <c r="B120" s="386" t="s">
        <v>2898</v>
      </c>
      <c r="C120" s="389">
        <f>'Option Costs'!AE74</f>
        <v>0</v>
      </c>
      <c r="D120" s="389"/>
      <c r="E120" s="389">
        <f>'Option Costs'!AG74</f>
        <v>0</v>
      </c>
    </row>
    <row r="121" spans="1:5" ht="15">
      <c r="A121" s="385" t="s">
        <v>2741</v>
      </c>
      <c r="B121" s="386" t="s">
        <v>6970</v>
      </c>
      <c r="C121" s="390">
        <f>'Option Costs'!AE75</f>
        <v>0</v>
      </c>
      <c r="D121" s="390"/>
      <c r="E121" s="390">
        <f>'Option Costs'!AG75</f>
        <v>0</v>
      </c>
    </row>
    <row r="122" spans="1:5" ht="15">
      <c r="A122" s="385" t="s">
        <v>2742</v>
      </c>
      <c r="B122" s="386" t="s">
        <v>2899</v>
      </c>
      <c r="C122" s="389">
        <f>'Option Costs'!AE76</f>
        <v>0</v>
      </c>
      <c r="D122" s="389"/>
      <c r="E122" s="389">
        <f>'Option Costs'!AG76</f>
        <v>0</v>
      </c>
    </row>
    <row r="123" spans="1:5" ht="15">
      <c r="A123" s="385" t="s">
        <v>2743</v>
      </c>
      <c r="B123" s="386" t="s">
        <v>2900</v>
      </c>
      <c r="C123" s="389">
        <f>'Option Costs'!AE77</f>
        <v>0</v>
      </c>
      <c r="D123" s="389"/>
      <c r="E123" s="389">
        <f>'Option Costs'!AG77</f>
        <v>0</v>
      </c>
    </row>
    <row r="124" spans="1:5" ht="15">
      <c r="A124" s="385" t="s">
        <v>2744</v>
      </c>
      <c r="B124" s="386" t="s">
        <v>2901</v>
      </c>
      <c r="C124" s="389">
        <f>'Option Costs'!AE78</f>
        <v>0</v>
      </c>
      <c r="D124" s="389"/>
      <c r="E124" s="389">
        <f>'Option Costs'!AG78</f>
        <v>0</v>
      </c>
    </row>
    <row r="125" spans="1:5" ht="15">
      <c r="A125" s="385" t="s">
        <v>2745</v>
      </c>
      <c r="B125" s="386" t="s">
        <v>2902</v>
      </c>
      <c r="C125" s="390">
        <f>'Option Costs'!AE79</f>
        <v>0</v>
      </c>
      <c r="D125" s="390"/>
      <c r="E125" s="390">
        <f>'Option Costs'!AG79</f>
        <v>0</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f>'Option Costs'!AE98</f>
        <v>0</v>
      </c>
      <c r="D128" s="386"/>
      <c r="E128" s="431" t="s">
        <v>1775</v>
      </c>
    </row>
    <row r="129" spans="1:7" ht="15">
      <c r="A129" s="385" t="s">
        <v>2747</v>
      </c>
      <c r="B129" s="386" t="s">
        <v>2961</v>
      </c>
      <c r="C129" s="390">
        <f>'Option Costs'!AE99</f>
        <v>0</v>
      </c>
      <c r="D129" s="386"/>
      <c r="E129" s="431" t="s">
        <v>1775</v>
      </c>
    </row>
    <row r="130" spans="1:7" ht="15">
      <c r="A130" s="385" t="s">
        <v>2748</v>
      </c>
      <c r="B130" s="386" t="s">
        <v>2904</v>
      </c>
      <c r="C130" s="390">
        <f>'Option Costs'!AE82</f>
        <v>0</v>
      </c>
      <c r="D130" s="386"/>
      <c r="E130" s="431" t="s">
        <v>1775</v>
      </c>
    </row>
    <row r="131" spans="1:7" ht="15.75">
      <c r="A131" s="596" t="s">
        <v>2905</v>
      </c>
      <c r="B131" s="543"/>
      <c r="C131" s="543"/>
      <c r="D131" s="543"/>
      <c r="E131" s="544"/>
    </row>
    <row r="132" spans="1:7" ht="15">
      <c r="A132" s="385" t="s">
        <v>2749</v>
      </c>
      <c r="B132" s="386" t="s">
        <v>3337</v>
      </c>
      <c r="C132" s="390">
        <f>'Data Entry - SOF'!G136</f>
        <v>0</v>
      </c>
      <c r="D132" s="390"/>
      <c r="E132" s="390">
        <f>'Data Entry - SOF'!G136</f>
        <v>0</v>
      </c>
    </row>
    <row r="133" spans="1:7" ht="15">
      <c r="A133" s="385" t="s">
        <v>2750</v>
      </c>
      <c r="B133" s="386" t="s">
        <v>3338</v>
      </c>
      <c r="C133" s="390">
        <f>'Option Costs'!AE73</f>
        <v>0</v>
      </c>
      <c r="D133" s="390"/>
      <c r="E133" s="390">
        <f>'Option Costs'!AG73</f>
        <v>0</v>
      </c>
    </row>
    <row r="134" spans="1:7" ht="15">
      <c r="A134" s="385" t="s">
        <v>2751</v>
      </c>
      <c r="B134" s="386" t="s">
        <v>3331</v>
      </c>
      <c r="C134" s="390">
        <f>'Option Costs'!AE72</f>
        <v>0</v>
      </c>
      <c r="D134" s="390"/>
      <c r="E134" s="390">
        <f>'Option Costs'!AG72</f>
        <v>0</v>
      </c>
    </row>
    <row r="135" spans="1:7" ht="15">
      <c r="A135" s="385" t="s">
        <v>2752</v>
      </c>
      <c r="B135" s="386" t="s">
        <v>3339</v>
      </c>
      <c r="C135" s="390" t="e">
        <f>'Option Costs'!AE83</f>
        <v>#DIV/0!</v>
      </c>
      <c r="D135" s="390"/>
      <c r="E135" s="390">
        <f>'Option Costs'!AG83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Costs'!AE83</f>
        <v>#DIV/0!</v>
      </c>
      <c r="D138" s="390"/>
      <c r="E138" s="390">
        <f>'Option Costs'!AG83</f>
        <v>0</v>
      </c>
    </row>
    <row r="139" spans="1:7" ht="15.75">
      <c r="A139" s="550" t="s">
        <v>2908</v>
      </c>
      <c r="B139" s="543"/>
      <c r="C139" s="543"/>
      <c r="D139" s="543"/>
      <c r="E139" s="544"/>
    </row>
    <row r="140" spans="1:7" ht="15">
      <c r="A140" s="385" t="s">
        <v>2756</v>
      </c>
      <c r="B140" s="386" t="s">
        <v>2909</v>
      </c>
      <c r="C140" s="390">
        <f>'Option Costs'!AE79</f>
        <v>0</v>
      </c>
      <c r="D140" s="390"/>
      <c r="E140" s="390">
        <f>'Option Costs'!AG79</f>
        <v>0</v>
      </c>
    </row>
    <row r="141" spans="1:7" ht="15.75">
      <c r="A141" s="385" t="s">
        <v>2757</v>
      </c>
      <c r="B141" s="384" t="s">
        <v>2910</v>
      </c>
      <c r="C141" s="395" t="e">
        <f>'Option Costs'!AE85</f>
        <v>#DIV/0!</v>
      </c>
      <c r="D141" s="395"/>
      <c r="E141" s="395">
        <f>'Option Costs'!AG85</f>
        <v>0</v>
      </c>
      <c r="F141" s="567" t="s">
        <v>3024</v>
      </c>
      <c r="G141" s="568" t="str">
        <f>'Data Entry - SOF'!G144</f>
        <v>Y</v>
      </c>
    </row>
    <row r="142" spans="1:7" ht="15.75">
      <c r="A142" s="385" t="s">
        <v>2758</v>
      </c>
      <c r="B142" s="384" t="s">
        <v>2911</v>
      </c>
      <c r="C142" s="395">
        <f>'Option Costs'!AE86</f>
        <v>0</v>
      </c>
      <c r="D142" s="395"/>
      <c r="E142" s="395">
        <f>'Option Costs'!AG86</f>
        <v>0</v>
      </c>
    </row>
    <row r="143" spans="1:7" ht="15.75">
      <c r="A143" s="596" t="s">
        <v>2912</v>
      </c>
      <c r="B143" s="543"/>
      <c r="C143" s="543"/>
      <c r="D143" s="543"/>
      <c r="E143" s="544"/>
    </row>
    <row r="144" spans="1:7" ht="15">
      <c r="A144" s="385" t="s">
        <v>2773</v>
      </c>
      <c r="B144" s="386" t="s">
        <v>3340</v>
      </c>
      <c r="C144" s="389">
        <f>'Calc Data'!F25</f>
        <v>0</v>
      </c>
      <c r="D144" s="389"/>
      <c r="E144" s="389">
        <f>'Calc Data'!F25</f>
        <v>0</v>
      </c>
    </row>
    <row r="145" spans="1:5" ht="15">
      <c r="A145" s="385" t="s">
        <v>2774</v>
      </c>
      <c r="B145" s="386" t="s">
        <v>3341</v>
      </c>
      <c r="C145" s="388">
        <f>'Data Entry - SOF'!G135</f>
        <v>0</v>
      </c>
      <c r="D145" s="388"/>
      <c r="E145" s="388">
        <f>'Data Entry - SOF'!K135</f>
        <v>0</v>
      </c>
    </row>
    <row r="146" spans="1:5" ht="15">
      <c r="A146" s="385" t="s">
        <v>2775</v>
      </c>
      <c r="B146" s="386" t="s">
        <v>3342</v>
      </c>
      <c r="C146" s="388">
        <f>'Data Entry - SOF'!G134</f>
        <v>0</v>
      </c>
      <c r="D146" s="388"/>
      <c r="E146" s="388">
        <f>'Data Entry - SOF'!K134</f>
        <v>0</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3341</v>
      </c>
      <c r="C149" s="388">
        <f>'Data Entry - SOF'!G135</f>
        <v>0</v>
      </c>
      <c r="D149" s="386"/>
      <c r="E149" s="388">
        <f>'Data Entry - SOF'!K135</f>
        <v>0</v>
      </c>
    </row>
    <row r="150" spans="1:5" ht="15">
      <c r="A150" s="385" t="s">
        <v>2777</v>
      </c>
      <c r="B150" s="386" t="s">
        <v>2914</v>
      </c>
      <c r="C150" s="389">
        <f>'Ch41 Calc Data'!N15</f>
        <v>0</v>
      </c>
      <c r="D150" s="389"/>
      <c r="E150" s="389">
        <f>'Ch41 Calc Data'!N15</f>
        <v>0</v>
      </c>
    </row>
    <row r="151" spans="1:5" ht="15">
      <c r="A151" s="385" t="s">
        <v>2778</v>
      </c>
      <c r="B151" s="386" t="s">
        <v>2915</v>
      </c>
      <c r="C151" s="389">
        <f>'Ch41 Calc Data'!N16</f>
        <v>0</v>
      </c>
      <c r="D151" s="389"/>
      <c r="E151" s="389">
        <f>'Ch41 Calc Data'!N16</f>
        <v>0</v>
      </c>
    </row>
    <row r="152" spans="1:5" ht="15.75">
      <c r="A152" s="577" t="s">
        <v>2916</v>
      </c>
      <c r="B152" s="543"/>
      <c r="C152" s="543"/>
      <c r="D152" s="543"/>
      <c r="E152" s="544"/>
    </row>
    <row r="153" spans="1:5" ht="15">
      <c r="A153" s="385" t="s">
        <v>2917</v>
      </c>
      <c r="B153" s="386" t="s">
        <v>3343</v>
      </c>
      <c r="C153" s="389">
        <f>'Ch41 Calc Data'!N17</f>
        <v>0</v>
      </c>
      <c r="D153" s="389"/>
      <c r="E153" s="389">
        <f>'Ch41 Calc Data'!N17</f>
        <v>0</v>
      </c>
    </row>
    <row r="154" spans="1:5" s="382" customFormat="1" ht="15">
      <c r="B154" s="741" t="s">
        <v>3812</v>
      </c>
      <c r="C154" s="476" t="s">
        <v>3364</v>
      </c>
    </row>
    <row r="155" spans="1:5" s="382" customFormat="1" ht="15">
      <c r="B155" s="741" t="s">
        <v>3815</v>
      </c>
      <c r="C155" s="476" t="s">
        <v>3352</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'Report-Recapture1819'!E1</f>
        <v>Release 10</v>
      </c>
    </row>
    <row r="2" spans="1:5">
      <c r="A2" s="64" t="s">
        <v>3811</v>
      </c>
      <c r="E2" s="72">
        <f>'Report-Recapture1920'!E2</f>
        <v>43724</v>
      </c>
    </row>
    <row r="3" spans="1:5">
      <c r="A3" s="64"/>
      <c r="E3" s="58">
        <f>'Report-Recapture1920'!E3</f>
        <v>0</v>
      </c>
    </row>
    <row r="4" spans="1:5" ht="15.75">
      <c r="A4" s="381" t="s">
        <v>3969</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3970</v>
      </c>
      <c r="C15" s="428">
        <f>'Option Costs'!AI70</f>
        <v>0</v>
      </c>
      <c r="D15" s="428"/>
      <c r="E15" s="428">
        <f>C15</f>
        <v>0</v>
      </c>
    </row>
    <row r="16" spans="1:5" s="382" customFormat="1" ht="15">
      <c r="A16" s="385" t="s">
        <v>912</v>
      </c>
      <c r="B16" s="386" t="s">
        <v>3971</v>
      </c>
      <c r="C16" s="429">
        <f>'Data Entry - SOF'!M92</f>
        <v>1.17</v>
      </c>
      <c r="D16" s="429"/>
      <c r="E16" s="429">
        <f t="shared" ref="E16:E23" si="0">C16</f>
        <v>1.17</v>
      </c>
    </row>
    <row r="17" spans="1:5" s="382" customFormat="1" ht="15">
      <c r="A17" s="385" t="s">
        <v>2875</v>
      </c>
      <c r="B17" s="386" t="s">
        <v>3972</v>
      </c>
      <c r="C17" s="429">
        <f>FracFunding2021!D5</f>
        <v>1</v>
      </c>
      <c r="D17" s="429"/>
      <c r="E17" s="429">
        <f t="shared" si="0"/>
        <v>1</v>
      </c>
    </row>
    <row r="18" spans="1:5" s="382" customFormat="1" ht="15">
      <c r="A18" s="385" t="s">
        <v>913</v>
      </c>
      <c r="B18" s="386" t="s">
        <v>3973</v>
      </c>
      <c r="C18" s="389" t="e">
        <f>'Ch41 Calc Data'!O17</f>
        <v>#DIV/0!</v>
      </c>
      <c r="D18" s="389"/>
      <c r="E18" s="389" t="e">
        <f t="shared" si="0"/>
        <v>#DIV/0!</v>
      </c>
    </row>
    <row r="19" spans="1:5" s="382" customFormat="1" ht="15">
      <c r="A19" s="385" t="s">
        <v>914</v>
      </c>
      <c r="B19" s="386" t="s">
        <v>6623</v>
      </c>
      <c r="C19" s="390">
        <f>'Data Entry - SOF'!M75</f>
        <v>0</v>
      </c>
      <c r="D19" s="386"/>
      <c r="E19" s="428">
        <f t="shared" si="0"/>
        <v>0</v>
      </c>
    </row>
    <row r="20" spans="1:5" s="382" customFormat="1" ht="15">
      <c r="A20" s="385" t="s">
        <v>118</v>
      </c>
      <c r="B20" s="386" t="s">
        <v>3974</v>
      </c>
      <c r="C20" s="390">
        <f>'Report-SOF2021'!D66</f>
        <v>0</v>
      </c>
      <c r="D20" s="386"/>
      <c r="E20" s="428">
        <f t="shared" si="0"/>
        <v>0</v>
      </c>
    </row>
    <row r="21" spans="1:5" s="382" customFormat="1" ht="15">
      <c r="A21" s="385" t="s">
        <v>119</v>
      </c>
      <c r="B21" s="386" t="s">
        <v>2876</v>
      </c>
      <c r="C21" s="388">
        <f>'Data Entry - SOF'!M139</f>
        <v>0</v>
      </c>
      <c r="D21" s="388"/>
      <c r="E21" s="388">
        <f t="shared" si="0"/>
        <v>0</v>
      </c>
    </row>
    <row r="22" spans="1:5" s="382" customFormat="1" ht="15">
      <c r="A22" s="385" t="s">
        <v>120</v>
      </c>
      <c r="B22" s="386" t="s">
        <v>2877</v>
      </c>
      <c r="C22" s="428">
        <f>'Data Entry - SOF'!M140</f>
        <v>0</v>
      </c>
      <c r="D22" s="386"/>
      <c r="E22" s="428">
        <f t="shared" si="0"/>
        <v>0</v>
      </c>
    </row>
    <row r="23" spans="1:5" s="382" customFormat="1" ht="15">
      <c r="A23" s="385" t="s">
        <v>121</v>
      </c>
      <c r="B23" s="386" t="s">
        <v>1796</v>
      </c>
      <c r="C23" s="430">
        <f>'Report-SOF2021'!D39</f>
        <v>0</v>
      </c>
      <c r="D23" s="402"/>
      <c r="E23" s="430">
        <f t="shared" si="0"/>
        <v>0</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Costs'!AI13</f>
        <v>0</v>
      </c>
      <c r="D26" s="390"/>
      <c r="E26" s="390">
        <f t="shared" ref="E26:E31" si="1">C26</f>
        <v>0</v>
      </c>
    </row>
    <row r="27" spans="1:5" s="382" customFormat="1" ht="15">
      <c r="A27" s="385" t="s">
        <v>6</v>
      </c>
      <c r="B27" s="386" t="s">
        <v>2918</v>
      </c>
      <c r="C27" s="389">
        <f>'Option Costs'!AI16</f>
        <v>0</v>
      </c>
      <c r="D27" s="389"/>
      <c r="E27" s="389">
        <f t="shared" si="1"/>
        <v>0</v>
      </c>
    </row>
    <row r="28" spans="1:5" s="382" customFormat="1" ht="15">
      <c r="A28" s="385" t="s">
        <v>2232</v>
      </c>
      <c r="B28" s="386" t="s">
        <v>2884</v>
      </c>
      <c r="C28" s="390">
        <f>'Option Costs'!AI17</f>
        <v>0</v>
      </c>
      <c r="D28" s="390"/>
      <c r="E28" s="390">
        <f t="shared" si="1"/>
        <v>0</v>
      </c>
    </row>
    <row r="29" spans="1:5" s="382" customFormat="1" ht="15">
      <c r="A29" s="385" t="s">
        <v>2233</v>
      </c>
      <c r="B29" s="386" t="s">
        <v>2885</v>
      </c>
      <c r="C29" s="390">
        <f>'Option Costs'!AI19</f>
        <v>0</v>
      </c>
      <c r="D29" s="390"/>
      <c r="E29" s="390">
        <f t="shared" si="1"/>
        <v>0</v>
      </c>
    </row>
    <row r="30" spans="1:5" s="382" customFormat="1" ht="15">
      <c r="A30" s="385" t="s">
        <v>2722</v>
      </c>
      <c r="B30" s="386" t="s">
        <v>2886</v>
      </c>
      <c r="C30" s="389">
        <f>'Option Costs'!AI20</f>
        <v>0</v>
      </c>
      <c r="D30" s="389"/>
      <c r="E30" s="389">
        <f t="shared" si="1"/>
        <v>0</v>
      </c>
    </row>
    <row r="31" spans="1:5" s="382" customFormat="1" ht="15">
      <c r="A31" s="385" t="s">
        <v>2723</v>
      </c>
      <c r="B31" s="386" t="s">
        <v>3975</v>
      </c>
      <c r="C31" s="389">
        <f>'Option Costs'!AI21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t="e">
        <f>'Option Costs'!AI24</f>
        <v>#DIV/0!</v>
      </c>
      <c r="D33" s="390"/>
      <c r="E33" s="390" t="e">
        <f>C33</f>
        <v>#DIV/0!</v>
      </c>
    </row>
    <row r="34" spans="1:5" s="382" customFormat="1" ht="15.75">
      <c r="A34" s="596" t="s">
        <v>2888</v>
      </c>
      <c r="B34" s="543"/>
      <c r="C34" s="543"/>
      <c r="D34" s="543"/>
      <c r="E34" s="544"/>
    </row>
    <row r="35" spans="1:5" s="382" customFormat="1" ht="15">
      <c r="A35" s="400" t="s">
        <v>2727</v>
      </c>
      <c r="B35" s="386" t="s">
        <v>2889</v>
      </c>
      <c r="C35" s="390">
        <f>'Option Costs'!AI27</f>
        <v>0</v>
      </c>
      <c r="D35" s="390"/>
      <c r="E35" s="431" t="s">
        <v>1775</v>
      </c>
    </row>
    <row r="36" spans="1:5" s="382" customFormat="1" ht="15">
      <c r="A36" s="400" t="s">
        <v>2728</v>
      </c>
      <c r="B36" s="386" t="s">
        <v>2890</v>
      </c>
      <c r="C36" s="390" t="e">
        <f>'Option Costs'!AI28</f>
        <v>#DIV/0!</v>
      </c>
      <c r="D36" s="390"/>
      <c r="E36" s="431" t="s">
        <v>1775</v>
      </c>
    </row>
    <row r="37" spans="1:5" s="382" customFormat="1" ht="15">
      <c r="A37" s="400" t="s">
        <v>2729</v>
      </c>
      <c r="B37" s="386" t="s">
        <v>2891</v>
      </c>
      <c r="C37" s="390" t="e">
        <f>'Option Costs'!AI29</f>
        <v>#DIV/0!</v>
      </c>
      <c r="D37" s="390"/>
      <c r="E37" s="431" t="s">
        <v>1775</v>
      </c>
    </row>
    <row r="38" spans="1:5" s="382" customFormat="1" ht="15">
      <c r="A38" s="400" t="s">
        <v>2731</v>
      </c>
      <c r="B38" s="386" t="s">
        <v>2892</v>
      </c>
      <c r="C38" s="390" t="e">
        <f>'Option Costs'!AI30</f>
        <v>#DIV/0!</v>
      </c>
      <c r="D38" s="390"/>
      <c r="E38" s="431" t="s">
        <v>1775</v>
      </c>
    </row>
    <row r="39" spans="1:5" s="382" customFormat="1" ht="15">
      <c r="A39" s="400" t="s">
        <v>2732</v>
      </c>
      <c r="B39" s="386" t="s">
        <v>2893</v>
      </c>
      <c r="C39" s="390" t="e">
        <f>'Option Costs'!AI64</f>
        <v>#DIV/0!</v>
      </c>
      <c r="D39" s="390"/>
      <c r="E39" s="390" t="e">
        <f>'Option Costs'!AK64</f>
        <v>#DIV/0!</v>
      </c>
    </row>
    <row r="40" spans="1:5" s="382" customFormat="1" ht="15">
      <c r="A40" s="400" t="s">
        <v>2733</v>
      </c>
      <c r="B40" s="386" t="s">
        <v>2894</v>
      </c>
      <c r="C40" s="390" t="e">
        <f>'Option Costs'!AI65</f>
        <v>#DIV/0!</v>
      </c>
      <c r="D40" s="390"/>
      <c r="E40" s="390" t="e">
        <f>'Option Costs'!AK65</f>
        <v>#DIV/0!</v>
      </c>
    </row>
    <row r="41" spans="1:5" s="382" customFormat="1" ht="15">
      <c r="A41" s="400" t="s">
        <v>2734</v>
      </c>
      <c r="B41" s="386" t="s">
        <v>2895</v>
      </c>
      <c r="C41" s="389" t="e">
        <f>'Option Costs'!AI66</f>
        <v>#DIV/0!</v>
      </c>
      <c r="D41" s="389"/>
      <c r="E41" s="389" t="e">
        <f>'Option Costs'!AK66</f>
        <v>#DIV/0!</v>
      </c>
    </row>
    <row r="42" spans="1:5" s="382" customFormat="1" ht="15.75">
      <c r="A42" s="596" t="s">
        <v>2896</v>
      </c>
      <c r="B42" s="543"/>
      <c r="C42" s="543"/>
      <c r="D42" s="543"/>
      <c r="E42" s="544"/>
    </row>
    <row r="43" spans="1:5" s="382" customFormat="1" ht="15">
      <c r="A43" s="385" t="s">
        <v>2735</v>
      </c>
      <c r="B43" s="386" t="s">
        <v>2897</v>
      </c>
      <c r="C43" s="390" t="e">
        <f>'Option Costs'!AI73</f>
        <v>#DIV/0!</v>
      </c>
      <c r="D43" s="386"/>
      <c r="E43" s="390" t="e">
        <f>'Option Costs'!AK73</f>
        <v>#DIV/0!</v>
      </c>
    </row>
    <row r="44" spans="1:5" s="382" customFormat="1" ht="15">
      <c r="A44" s="385" t="s">
        <v>2740</v>
      </c>
      <c r="B44" s="386" t="s">
        <v>2898</v>
      </c>
      <c r="C44" s="389" t="e">
        <f>'Option Costs'!AI74</f>
        <v>#DIV/0!</v>
      </c>
      <c r="D44" s="389"/>
      <c r="E44" s="389" t="e">
        <f>'Option Costs'!AK74</f>
        <v>#DIV/0!</v>
      </c>
    </row>
    <row r="45" spans="1:5" s="382" customFormat="1" ht="15">
      <c r="A45" s="385" t="s">
        <v>2741</v>
      </c>
      <c r="B45" s="386" t="s">
        <v>6970</v>
      </c>
      <c r="C45" s="390" t="e">
        <f>'Option Costs'!AI75</f>
        <v>#DIV/0!</v>
      </c>
      <c r="D45" s="390"/>
      <c r="E45" s="390" t="e">
        <f>'Option Costs'!AK75</f>
        <v>#DIV/0!</v>
      </c>
    </row>
    <row r="46" spans="1:5" s="382" customFormat="1" ht="15">
      <c r="A46" s="385" t="s">
        <v>2742</v>
      </c>
      <c r="B46" s="386" t="s">
        <v>2899</v>
      </c>
      <c r="C46" s="389" t="e">
        <f>'Option Costs'!AI76</f>
        <v>#DIV/0!</v>
      </c>
      <c r="D46" s="389"/>
      <c r="E46" s="389" t="e">
        <f>'Option Costs'!AK76</f>
        <v>#DIV/0!</v>
      </c>
    </row>
    <row r="47" spans="1:5" s="382" customFormat="1" ht="15">
      <c r="A47" s="385" t="s">
        <v>2743</v>
      </c>
      <c r="B47" s="386" t="s">
        <v>2900</v>
      </c>
      <c r="C47" s="389">
        <f>'Option Costs'!AI77</f>
        <v>0</v>
      </c>
      <c r="D47" s="389"/>
      <c r="E47" s="389">
        <f>'Option Costs'!AK77</f>
        <v>0</v>
      </c>
    </row>
    <row r="48" spans="1:5" s="382" customFormat="1" ht="15">
      <c r="A48" s="385" t="s">
        <v>2744</v>
      </c>
      <c r="B48" s="386" t="s">
        <v>2901</v>
      </c>
      <c r="C48" s="389" t="e">
        <f>'Option Costs'!AI78</f>
        <v>#DIV/0!</v>
      </c>
      <c r="D48" s="389"/>
      <c r="E48" s="389" t="e">
        <f>'Option Costs'!AK78</f>
        <v>#DIV/0!</v>
      </c>
    </row>
    <row r="49" spans="1:5" s="382" customFormat="1" ht="15">
      <c r="A49" s="385" t="s">
        <v>2745</v>
      </c>
      <c r="B49" s="386" t="s">
        <v>2902</v>
      </c>
      <c r="C49" s="390" t="e">
        <f>'Option Costs'!AI79</f>
        <v>#DIV/0!</v>
      </c>
      <c r="D49" s="390"/>
      <c r="E49" s="390" t="e">
        <f>'Option Costs'!AK79</f>
        <v>#DIV/0!</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Costs'!AI98</f>
        <v>#DIV/0!</v>
      </c>
      <c r="D52" s="386"/>
      <c r="E52" s="431" t="s">
        <v>1775</v>
      </c>
    </row>
    <row r="53" spans="1:5" s="382" customFormat="1" ht="15">
      <c r="A53" s="385" t="s">
        <v>2747</v>
      </c>
      <c r="B53" s="386" t="s">
        <v>2961</v>
      </c>
      <c r="C53" s="390" t="e">
        <f>'Option Costs'!AI99</f>
        <v>#DIV/0!</v>
      </c>
      <c r="D53" s="386"/>
      <c r="E53" s="431" t="s">
        <v>1775</v>
      </c>
    </row>
    <row r="54" spans="1:5" s="382" customFormat="1" ht="15">
      <c r="A54" s="385" t="s">
        <v>2748</v>
      </c>
      <c r="B54" s="386" t="s">
        <v>2904</v>
      </c>
      <c r="C54" s="390" t="e">
        <f>'Option Costs'!AI82</f>
        <v>#DIV/0!</v>
      </c>
      <c r="D54" s="386"/>
      <c r="E54" s="431" t="s">
        <v>1775</v>
      </c>
    </row>
    <row r="55" spans="1:5" s="382" customFormat="1" ht="15.75">
      <c r="A55" s="596" t="s">
        <v>2905</v>
      </c>
      <c r="B55" s="543"/>
      <c r="C55" s="543"/>
      <c r="D55" s="543"/>
      <c r="E55" s="544"/>
    </row>
    <row r="56" spans="1:5" s="382" customFormat="1" ht="15">
      <c r="A56" s="385" t="s">
        <v>2749</v>
      </c>
      <c r="B56" s="386" t="s">
        <v>3976</v>
      </c>
      <c r="C56" s="390">
        <f>'Data Entry - SOF'!M136</f>
        <v>0</v>
      </c>
      <c r="D56" s="390"/>
      <c r="E56" s="390">
        <f>'Data Entry - SOF'!M136</f>
        <v>0</v>
      </c>
    </row>
    <row r="57" spans="1:5" s="382" customFormat="1" ht="15">
      <c r="A57" s="385" t="s">
        <v>2750</v>
      </c>
      <c r="B57" s="386" t="s">
        <v>3977</v>
      </c>
      <c r="C57" s="390" t="e">
        <f>'Option Costs'!AI73</f>
        <v>#DIV/0!</v>
      </c>
      <c r="D57" s="390"/>
      <c r="E57" s="390" t="e">
        <f>'Option Costs'!AK73</f>
        <v>#DIV/0!</v>
      </c>
    </row>
    <row r="58" spans="1:5" s="382" customFormat="1" ht="15">
      <c r="A58" s="385" t="s">
        <v>2751</v>
      </c>
      <c r="B58" s="386" t="s">
        <v>3970</v>
      </c>
      <c r="C58" s="390">
        <f>'Option Costs'!AI70</f>
        <v>0</v>
      </c>
      <c r="D58" s="390"/>
      <c r="E58" s="390">
        <f>'Option Costs'!AK70</f>
        <v>0</v>
      </c>
    </row>
    <row r="59" spans="1:5" s="382" customFormat="1" ht="15">
      <c r="A59" s="385" t="s">
        <v>2752</v>
      </c>
      <c r="B59" s="386" t="s">
        <v>3978</v>
      </c>
      <c r="C59" s="390" t="e">
        <f>'Option Costs'!AI83</f>
        <v>#DIV/0!</v>
      </c>
      <c r="D59" s="390"/>
      <c r="E59" s="390">
        <f>'Option Costs'!AK83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Costs'!AI83</f>
        <v>#DIV/0!</v>
      </c>
      <c r="D62" s="390"/>
      <c r="E62" s="390">
        <f>'Option Costs'!AK83</f>
        <v>0</v>
      </c>
    </row>
    <row r="63" spans="1:5" s="382" customFormat="1" ht="15.75">
      <c r="A63" s="550" t="s">
        <v>2908</v>
      </c>
      <c r="B63" s="543"/>
      <c r="C63" s="543"/>
      <c r="D63" s="543"/>
      <c r="E63" s="544"/>
    </row>
    <row r="64" spans="1:5" s="382" customFormat="1" ht="15">
      <c r="A64" s="385" t="s">
        <v>2756</v>
      </c>
      <c r="B64" s="386" t="s">
        <v>2909</v>
      </c>
      <c r="C64" s="390" t="e">
        <f>'Option Costs'!AI79</f>
        <v>#DIV/0!</v>
      </c>
      <c r="D64" s="390"/>
      <c r="E64" s="390" t="e">
        <f>'Option Costs'!AK79</f>
        <v>#DIV/0!</v>
      </c>
    </row>
    <row r="65" spans="1:7" s="382" customFormat="1" ht="15.75">
      <c r="A65" s="385" t="s">
        <v>2757</v>
      </c>
      <c r="B65" s="384" t="s">
        <v>2910</v>
      </c>
      <c r="C65" s="395" t="e">
        <f>'Option Costs'!AI85</f>
        <v>#DIV/0!</v>
      </c>
      <c r="D65" s="390"/>
      <c r="E65" s="395" t="e">
        <f>'Option Costs'!AK85</f>
        <v>#DIV/0!</v>
      </c>
      <c r="F65" s="567" t="s">
        <v>3024</v>
      </c>
      <c r="G65" s="568" t="str">
        <f>'Data Entry - SOF'!M143</f>
        <v>Y</v>
      </c>
    </row>
    <row r="66" spans="1:7" s="382" customFormat="1" ht="15.75">
      <c r="A66" s="385" t="s">
        <v>2758</v>
      </c>
      <c r="B66" s="384" t="s">
        <v>2911</v>
      </c>
      <c r="C66" s="395" t="e">
        <f>'Option Costs'!AI86</f>
        <v>#DIV/0!</v>
      </c>
      <c r="D66" s="390"/>
      <c r="E66" s="395" t="e">
        <f>'Option Costs'!AK86</f>
        <v>#DIV/0!</v>
      </c>
      <c r="F66" s="325" t="s">
        <v>3038</v>
      </c>
    </row>
    <row r="67" spans="1:7" s="382" customFormat="1" ht="15.75">
      <c r="A67" s="596" t="s">
        <v>2912</v>
      </c>
      <c r="B67" s="543"/>
      <c r="C67" s="543"/>
      <c r="D67" s="543"/>
      <c r="E67" s="544"/>
      <c r="F67" s="325" t="s">
        <v>3039</v>
      </c>
    </row>
    <row r="68" spans="1:7" s="382" customFormat="1" ht="15">
      <c r="A68" s="385" t="s">
        <v>2773</v>
      </c>
      <c r="B68" s="386" t="s">
        <v>3979</v>
      </c>
      <c r="C68" s="389" t="e">
        <f>'Calc Data'!G25</f>
        <v>#DIV/0!</v>
      </c>
      <c r="D68" s="389"/>
      <c r="E68" s="389" t="e">
        <f>'Calc Data'!G25</f>
        <v>#DIV/0!</v>
      </c>
    </row>
    <row r="69" spans="1:7" s="382" customFormat="1" ht="15">
      <c r="A69" s="385" t="s">
        <v>2774</v>
      </c>
      <c r="B69" s="386" t="s">
        <v>3980</v>
      </c>
      <c r="C69" s="388">
        <f>'Data Entry - SOF'!M135</f>
        <v>0</v>
      </c>
      <c r="D69" s="388"/>
      <c r="E69" s="388">
        <f>'Data Entry - SOF'!M135</f>
        <v>0</v>
      </c>
    </row>
    <row r="70" spans="1:7" s="382" customFormat="1" ht="15">
      <c r="A70" s="385" t="s">
        <v>2775</v>
      </c>
      <c r="B70" s="386" t="s">
        <v>3981</v>
      </c>
      <c r="C70" s="388">
        <f>'Data Entry - SOF'!M134</f>
        <v>0</v>
      </c>
      <c r="D70" s="388"/>
      <c r="E70" s="388">
        <f>'Data Entry - SOF'!M134</f>
        <v>0</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3980</v>
      </c>
      <c r="C73" s="388">
        <f>'Data Entry - SOF'!M135</f>
        <v>0</v>
      </c>
      <c r="D73" s="386"/>
      <c r="E73" s="388">
        <f>'Data Entry - SOF'!M135</f>
        <v>0</v>
      </c>
    </row>
    <row r="74" spans="1:7" s="382" customFormat="1" ht="15">
      <c r="A74" s="385" t="s">
        <v>2777</v>
      </c>
      <c r="B74" s="386" t="s">
        <v>2914</v>
      </c>
      <c r="C74" s="389">
        <f>'Ch41 Calc Data'!O15</f>
        <v>0</v>
      </c>
      <c r="D74" s="389"/>
      <c r="E74" s="389">
        <f>'Ch41 Calc Data'!O15</f>
        <v>0</v>
      </c>
    </row>
    <row r="75" spans="1:7" s="382" customFormat="1" ht="15">
      <c r="A75" s="385" t="s">
        <v>2778</v>
      </c>
      <c r="B75" s="386" t="s">
        <v>2915</v>
      </c>
      <c r="C75" s="389">
        <f>'Ch41 Calc Data'!N16</f>
        <v>0</v>
      </c>
      <c r="D75" s="389"/>
      <c r="E75" s="389">
        <f>'Ch41 Calc Data'!O16</f>
        <v>0</v>
      </c>
    </row>
    <row r="76" spans="1:7" s="382" customFormat="1" ht="15.75">
      <c r="A76" s="596" t="s">
        <v>2916</v>
      </c>
      <c r="B76" s="543"/>
      <c r="C76" s="543"/>
      <c r="D76" s="543"/>
      <c r="E76" s="544"/>
    </row>
    <row r="77" spans="1:7" s="382" customFormat="1" ht="15">
      <c r="A77" s="385" t="s">
        <v>2917</v>
      </c>
      <c r="B77" s="386" t="s">
        <v>3982</v>
      </c>
      <c r="C77" s="389" t="e">
        <f>'Ch41 Calc Data'!O17</f>
        <v>#DIV/0!</v>
      </c>
      <c r="D77" s="389"/>
      <c r="E77" s="389" t="e">
        <f>'Ch41 Calc Data'!O17</f>
        <v>#DIV/0!</v>
      </c>
    </row>
    <row r="78" spans="1:7" s="382" customFormat="1" ht="15">
      <c r="B78" s="1304" t="s">
        <v>3812</v>
      </c>
      <c r="C78" s="1306" t="s">
        <v>6953</v>
      </c>
    </row>
    <row r="79" spans="1:7" s="382" customFormat="1" ht="15">
      <c r="B79" s="1304" t="s">
        <v>6957</v>
      </c>
      <c r="C79" s="1306" t="s">
        <v>3984</v>
      </c>
    </row>
    <row r="80" spans="1:7" s="382" customFormat="1" ht="15.75">
      <c r="A80" s="325" t="s">
        <v>3983</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3970</v>
      </c>
      <c r="C91" s="428">
        <f>'Option Costs'!AM71</f>
        <v>0</v>
      </c>
      <c r="D91" s="428"/>
      <c r="E91" s="428">
        <f t="shared" si="2"/>
        <v>0</v>
      </c>
    </row>
    <row r="92" spans="1:5" s="382" customFormat="1" ht="15">
      <c r="A92" s="385" t="s">
        <v>912</v>
      </c>
      <c r="B92" s="386" t="s">
        <v>3971</v>
      </c>
      <c r="C92" s="429">
        <f>'Data Entry - SOF'!M92</f>
        <v>1.17</v>
      </c>
      <c r="D92" s="429"/>
      <c r="E92" s="429">
        <f t="shared" si="2"/>
        <v>1.17</v>
      </c>
    </row>
    <row r="93" spans="1:5" s="382" customFormat="1" ht="15">
      <c r="A93" s="385" t="s">
        <v>2875</v>
      </c>
      <c r="B93" s="386" t="s">
        <v>3972</v>
      </c>
      <c r="C93" s="429">
        <f>C17</f>
        <v>1</v>
      </c>
      <c r="D93" s="429"/>
      <c r="E93" s="429">
        <f t="shared" si="2"/>
        <v>1</v>
      </c>
    </row>
    <row r="94" spans="1:5" s="382" customFormat="1" ht="15">
      <c r="A94" s="385" t="s">
        <v>913</v>
      </c>
      <c r="B94" s="386" t="s">
        <v>3973</v>
      </c>
      <c r="C94" s="389" t="e">
        <f>'Ch41 Calc Data'!O17</f>
        <v>#DIV/0!</v>
      </c>
      <c r="D94" s="389"/>
      <c r="E94" s="389" t="e">
        <f t="shared" si="2"/>
        <v>#DIV/0!</v>
      </c>
    </row>
    <row r="95" spans="1:5" s="382" customFormat="1" ht="15">
      <c r="A95" s="385" t="s">
        <v>914</v>
      </c>
      <c r="B95" s="386" t="s">
        <v>6623</v>
      </c>
      <c r="C95" s="390">
        <f>C19</f>
        <v>0</v>
      </c>
      <c r="D95" s="386"/>
      <c r="E95" s="428">
        <f t="shared" si="2"/>
        <v>0</v>
      </c>
    </row>
    <row r="96" spans="1:5" s="382" customFormat="1" ht="15">
      <c r="A96" s="385" t="s">
        <v>118</v>
      </c>
      <c r="B96" s="386" t="s">
        <v>3974</v>
      </c>
      <c r="C96" s="390">
        <f>'Report-SOF2021'!D66</f>
        <v>0</v>
      </c>
      <c r="D96" s="386"/>
      <c r="E96" s="428">
        <f t="shared" si="2"/>
        <v>0</v>
      </c>
    </row>
    <row r="97" spans="1:5" s="382" customFormat="1" ht="15">
      <c r="A97" s="385" t="s">
        <v>119</v>
      </c>
      <c r="B97" s="386" t="s">
        <v>2876</v>
      </c>
      <c r="C97" s="388">
        <f>'Data Entry - SOF'!M139</f>
        <v>0</v>
      </c>
      <c r="D97" s="388"/>
      <c r="E97" s="388">
        <f t="shared" si="2"/>
        <v>0</v>
      </c>
    </row>
    <row r="98" spans="1:5" s="382" customFormat="1" ht="15">
      <c r="A98" s="385" t="s">
        <v>120</v>
      </c>
      <c r="B98" s="386" t="s">
        <v>2877</v>
      </c>
      <c r="C98" s="428">
        <f>'Data Entry - SOF'!M140</f>
        <v>0</v>
      </c>
      <c r="D98" s="386"/>
      <c r="E98" s="428">
        <f t="shared" si="2"/>
        <v>0</v>
      </c>
    </row>
    <row r="99" spans="1:5" s="382" customFormat="1" ht="15">
      <c r="A99" s="385" t="s">
        <v>121</v>
      </c>
      <c r="B99" s="386" t="s">
        <v>1796</v>
      </c>
      <c r="C99" s="430">
        <f>C23</f>
        <v>0</v>
      </c>
      <c r="D99" s="402"/>
      <c r="E99" s="430">
        <f t="shared" si="2"/>
        <v>0</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Costs'!AM13</f>
        <v>0</v>
      </c>
      <c r="D102" s="390"/>
      <c r="E102" s="390">
        <f t="shared" ref="E102:E107" si="3">C102</f>
        <v>0</v>
      </c>
    </row>
    <row r="103" spans="1:5" s="382" customFormat="1" ht="15">
      <c r="A103" s="385" t="s">
        <v>6</v>
      </c>
      <c r="B103" s="386" t="s">
        <v>2918</v>
      </c>
      <c r="C103" s="389">
        <f>'Option Costs'!AM16</f>
        <v>0</v>
      </c>
      <c r="D103" s="389"/>
      <c r="E103" s="389">
        <f t="shared" si="3"/>
        <v>0</v>
      </c>
    </row>
    <row r="104" spans="1:5" s="382" customFormat="1" ht="15">
      <c r="A104" s="385" t="s">
        <v>2232</v>
      </c>
      <c r="B104" s="386" t="s">
        <v>2884</v>
      </c>
      <c r="C104" s="390">
        <f>'Option Costs'!AM17</f>
        <v>0</v>
      </c>
      <c r="D104" s="390"/>
      <c r="E104" s="390">
        <f t="shared" si="3"/>
        <v>0</v>
      </c>
    </row>
    <row r="105" spans="1:5" s="382" customFormat="1" ht="15">
      <c r="A105" s="385" t="s">
        <v>2233</v>
      </c>
      <c r="B105" s="386" t="s">
        <v>2885</v>
      </c>
      <c r="C105" s="390">
        <f>'Option Costs'!AM19</f>
        <v>0</v>
      </c>
      <c r="D105" s="390"/>
      <c r="E105" s="390">
        <f t="shared" si="3"/>
        <v>0</v>
      </c>
    </row>
    <row r="106" spans="1:5" s="382" customFormat="1" ht="15">
      <c r="A106" s="385" t="s">
        <v>2722</v>
      </c>
      <c r="B106" s="386" t="s">
        <v>2886</v>
      </c>
      <c r="C106" s="389">
        <f>'Option Costs'!AM20</f>
        <v>0</v>
      </c>
      <c r="D106" s="389"/>
      <c r="E106" s="389">
        <f t="shared" si="3"/>
        <v>0</v>
      </c>
    </row>
    <row r="107" spans="1:5" s="382" customFormat="1" ht="15">
      <c r="A107" s="385" t="s">
        <v>2723</v>
      </c>
      <c r="B107" s="386" t="s">
        <v>3975</v>
      </c>
      <c r="C107" s="389">
        <f>'Option Costs'!AM21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t="e">
        <f>'Option Costs'!AM24</f>
        <v>#DIV/0!</v>
      </c>
      <c r="D109" s="390"/>
      <c r="E109" s="390" t="e">
        <f>C109</f>
        <v>#DIV/0!</v>
      </c>
    </row>
    <row r="110" spans="1:5" ht="15.75">
      <c r="A110" s="596" t="s">
        <v>2888</v>
      </c>
      <c r="B110" s="543"/>
      <c r="C110" s="543"/>
      <c r="D110" s="543"/>
      <c r="E110" s="544"/>
    </row>
    <row r="111" spans="1:5" ht="15">
      <c r="A111" s="400" t="s">
        <v>2727</v>
      </c>
      <c r="B111" s="386" t="s">
        <v>2889</v>
      </c>
      <c r="C111" s="390">
        <f>'Option Costs'!AM27</f>
        <v>0</v>
      </c>
      <c r="D111" s="390"/>
      <c r="E111" s="431" t="s">
        <v>1775</v>
      </c>
    </row>
    <row r="112" spans="1:5" ht="15">
      <c r="A112" s="400" t="s">
        <v>2728</v>
      </c>
      <c r="B112" s="386" t="s">
        <v>2890</v>
      </c>
      <c r="C112" s="390" t="e">
        <f>'Option Costs'!AM28</f>
        <v>#DIV/0!</v>
      </c>
      <c r="D112" s="390"/>
      <c r="E112" s="431" t="s">
        <v>1775</v>
      </c>
    </row>
    <row r="113" spans="1:5" ht="15">
      <c r="A113" s="400" t="s">
        <v>2729</v>
      </c>
      <c r="B113" s="386" t="s">
        <v>2891</v>
      </c>
      <c r="C113" s="390" t="e">
        <f>'Option Costs'!AM29</f>
        <v>#DIV/0!</v>
      </c>
      <c r="D113" s="390"/>
      <c r="E113" s="431" t="s">
        <v>1775</v>
      </c>
    </row>
    <row r="114" spans="1:5" ht="15">
      <c r="A114" s="400" t="s">
        <v>2731</v>
      </c>
      <c r="B114" s="386" t="s">
        <v>2892</v>
      </c>
      <c r="C114" s="390" t="e">
        <f>'Option Costs'!AM30</f>
        <v>#DIV/0!</v>
      </c>
      <c r="D114" s="390"/>
      <c r="E114" s="431" t="s">
        <v>1775</v>
      </c>
    </row>
    <row r="115" spans="1:5" ht="15">
      <c r="A115" s="400" t="s">
        <v>2732</v>
      </c>
      <c r="B115" s="386" t="s">
        <v>2893</v>
      </c>
      <c r="C115" s="390" t="e">
        <f>'Option Costs'!AM64</f>
        <v>#DIV/0!</v>
      </c>
      <c r="D115" s="390"/>
      <c r="E115" s="390" t="e">
        <f>'Option Costs'!AO64</f>
        <v>#DIV/0!</v>
      </c>
    </row>
    <row r="116" spans="1:5" ht="15">
      <c r="A116" s="400" t="s">
        <v>2733</v>
      </c>
      <c r="B116" s="386" t="s">
        <v>2894</v>
      </c>
      <c r="C116" s="390" t="e">
        <f>'Option Costs'!AM65</f>
        <v>#DIV/0!</v>
      </c>
      <c r="D116" s="390"/>
      <c r="E116" s="390" t="e">
        <f>'Option Costs'!AO65</f>
        <v>#DIV/0!</v>
      </c>
    </row>
    <row r="117" spans="1:5" ht="15">
      <c r="A117" s="400" t="s">
        <v>2734</v>
      </c>
      <c r="B117" s="386" t="s">
        <v>2895</v>
      </c>
      <c r="C117" s="389" t="e">
        <f>'Option Costs'!AM66</f>
        <v>#DIV/0!</v>
      </c>
      <c r="D117" s="389"/>
      <c r="E117" s="389" t="e">
        <f>'Option Costs'!AO66</f>
        <v>#DIV/0!</v>
      </c>
    </row>
    <row r="118" spans="1:5" ht="15.75">
      <c r="A118" s="596" t="s">
        <v>2896</v>
      </c>
      <c r="B118" s="543"/>
      <c r="C118" s="543"/>
      <c r="D118" s="543"/>
      <c r="E118" s="544"/>
    </row>
    <row r="119" spans="1:5" ht="15">
      <c r="A119" s="385" t="s">
        <v>2735</v>
      </c>
      <c r="B119" s="386" t="s">
        <v>2897</v>
      </c>
      <c r="C119" s="390">
        <f>'Option Costs'!AM73</f>
        <v>0</v>
      </c>
      <c r="D119" s="386"/>
      <c r="E119" s="390">
        <f>'Option Costs'!AO73</f>
        <v>0</v>
      </c>
    </row>
    <row r="120" spans="1:5" ht="15">
      <c r="A120" s="385" t="s">
        <v>2740</v>
      </c>
      <c r="B120" s="386" t="s">
        <v>2898</v>
      </c>
      <c r="C120" s="389">
        <f>'Option Costs'!AM74</f>
        <v>0</v>
      </c>
      <c r="D120" s="389"/>
      <c r="E120" s="389">
        <f>'Option Costs'!AO74</f>
        <v>0</v>
      </c>
    </row>
    <row r="121" spans="1:5" ht="15">
      <c r="A121" s="385" t="s">
        <v>2741</v>
      </c>
      <c r="B121" s="386" t="s">
        <v>6970</v>
      </c>
      <c r="C121" s="390">
        <f>'Option Costs'!AM75</f>
        <v>0</v>
      </c>
      <c r="D121" s="390"/>
      <c r="E121" s="390">
        <f>'Option Costs'!AO75</f>
        <v>0</v>
      </c>
    </row>
    <row r="122" spans="1:5" ht="15">
      <c r="A122" s="385" t="s">
        <v>2742</v>
      </c>
      <c r="B122" s="386" t="s">
        <v>2899</v>
      </c>
      <c r="C122" s="389">
        <f>'Option Costs'!AM76</f>
        <v>0</v>
      </c>
      <c r="D122" s="389"/>
      <c r="E122" s="389">
        <f>'Option Costs'!AO76</f>
        <v>0</v>
      </c>
    </row>
    <row r="123" spans="1:5" ht="15">
      <c r="A123" s="385" t="s">
        <v>2743</v>
      </c>
      <c r="B123" s="386" t="s">
        <v>2900</v>
      </c>
      <c r="C123" s="389">
        <f>'Option Costs'!AM77</f>
        <v>0</v>
      </c>
      <c r="D123" s="389"/>
      <c r="E123" s="389">
        <f>'Option Costs'!AO77</f>
        <v>0</v>
      </c>
    </row>
    <row r="124" spans="1:5" ht="15">
      <c r="A124" s="385" t="s">
        <v>2744</v>
      </c>
      <c r="B124" s="386" t="s">
        <v>2901</v>
      </c>
      <c r="C124" s="389">
        <f>'Option Costs'!AM78</f>
        <v>0</v>
      </c>
      <c r="D124" s="389"/>
      <c r="E124" s="389">
        <f>'Option Costs'!AO78</f>
        <v>0</v>
      </c>
    </row>
    <row r="125" spans="1:5" ht="15">
      <c r="A125" s="385" t="s">
        <v>2745</v>
      </c>
      <c r="B125" s="386" t="s">
        <v>2902</v>
      </c>
      <c r="C125" s="390">
        <f>'Option Costs'!AM79</f>
        <v>0</v>
      </c>
      <c r="D125" s="390"/>
      <c r="E125" s="390">
        <f>'Option Costs'!AO79</f>
        <v>0</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f>'Option Costs'!AM98</f>
        <v>0</v>
      </c>
      <c r="D128" s="386"/>
      <c r="E128" s="431" t="s">
        <v>1775</v>
      </c>
    </row>
    <row r="129" spans="1:7" ht="15">
      <c r="A129" s="385" t="s">
        <v>2747</v>
      </c>
      <c r="B129" s="386" t="s">
        <v>2961</v>
      </c>
      <c r="C129" s="390">
        <f>'Option Costs'!AM99</f>
        <v>0</v>
      </c>
      <c r="D129" s="386"/>
      <c r="E129" s="431" t="s">
        <v>1775</v>
      </c>
    </row>
    <row r="130" spans="1:7" ht="15">
      <c r="A130" s="385" t="s">
        <v>2748</v>
      </c>
      <c r="B130" s="386" t="s">
        <v>2904</v>
      </c>
      <c r="C130" s="390">
        <f>'Option Costs'!AM82</f>
        <v>0</v>
      </c>
      <c r="D130" s="386"/>
      <c r="E130" s="431" t="s">
        <v>1775</v>
      </c>
    </row>
    <row r="131" spans="1:7" ht="15.75">
      <c r="A131" s="596" t="s">
        <v>2905</v>
      </c>
      <c r="B131" s="543"/>
      <c r="C131" s="543"/>
      <c r="D131" s="543"/>
      <c r="E131" s="544"/>
    </row>
    <row r="132" spans="1:7" ht="15">
      <c r="A132" s="385" t="s">
        <v>2749</v>
      </c>
      <c r="B132" s="386" t="s">
        <v>3976</v>
      </c>
      <c r="C132" s="390">
        <f>'Data Entry - SOF'!M136</f>
        <v>0</v>
      </c>
      <c r="D132" s="390"/>
      <c r="E132" s="390">
        <f>'Data Entry - SOF'!M136</f>
        <v>0</v>
      </c>
    </row>
    <row r="133" spans="1:7" ht="15">
      <c r="A133" s="385" t="s">
        <v>2750</v>
      </c>
      <c r="B133" s="386" t="s">
        <v>3977</v>
      </c>
      <c r="C133" s="390">
        <f>'Option Costs'!AM73</f>
        <v>0</v>
      </c>
      <c r="D133" s="390"/>
      <c r="E133" s="390">
        <f>'Option Costs'!AO73</f>
        <v>0</v>
      </c>
    </row>
    <row r="134" spans="1:7" ht="15">
      <c r="A134" s="385" t="s">
        <v>2751</v>
      </c>
      <c r="B134" s="386" t="s">
        <v>3970</v>
      </c>
      <c r="C134" s="390">
        <f>'Option Costs'!AM72</f>
        <v>0</v>
      </c>
      <c r="D134" s="390"/>
      <c r="E134" s="390">
        <f>'Option Costs'!AO72</f>
        <v>0</v>
      </c>
    </row>
    <row r="135" spans="1:7" ht="15">
      <c r="A135" s="385" t="s">
        <v>2752</v>
      </c>
      <c r="B135" s="386" t="s">
        <v>3978</v>
      </c>
      <c r="C135" s="390" t="e">
        <f>'Option Costs'!AM83</f>
        <v>#DIV/0!</v>
      </c>
      <c r="D135" s="390"/>
      <c r="E135" s="390">
        <f>'Option Costs'!AO83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Costs'!AM83</f>
        <v>#DIV/0!</v>
      </c>
      <c r="D138" s="390"/>
      <c r="E138" s="390">
        <f>'Option Costs'!AO83</f>
        <v>0</v>
      </c>
    </row>
    <row r="139" spans="1:7" ht="15.75">
      <c r="A139" s="550" t="s">
        <v>2908</v>
      </c>
      <c r="B139" s="543"/>
      <c r="C139" s="543"/>
      <c r="D139" s="543"/>
      <c r="E139" s="544"/>
    </row>
    <row r="140" spans="1:7" ht="15">
      <c r="A140" s="385" t="s">
        <v>2756</v>
      </c>
      <c r="B140" s="386" t="s">
        <v>2909</v>
      </c>
      <c r="C140" s="390">
        <f>'Option Costs'!AM79</f>
        <v>0</v>
      </c>
      <c r="D140" s="390"/>
      <c r="E140" s="390">
        <f>'Option Costs'!AO79</f>
        <v>0</v>
      </c>
    </row>
    <row r="141" spans="1:7" ht="15.75">
      <c r="A141" s="385" t="s">
        <v>2757</v>
      </c>
      <c r="B141" s="384" t="s">
        <v>2910</v>
      </c>
      <c r="C141" s="395" t="e">
        <f>'Option Costs'!AM85</f>
        <v>#DIV/0!</v>
      </c>
      <c r="D141" s="395"/>
      <c r="E141" s="395">
        <f>'Option Costs'!AO85</f>
        <v>0</v>
      </c>
      <c r="F141" s="567" t="s">
        <v>3024</v>
      </c>
      <c r="G141" s="568" t="str">
        <f>'Data Entry - SOF'!M144</f>
        <v>Y</v>
      </c>
    </row>
    <row r="142" spans="1:7" ht="15.75">
      <c r="A142" s="385" t="s">
        <v>2758</v>
      </c>
      <c r="B142" s="384" t="s">
        <v>2911</v>
      </c>
      <c r="C142" s="395">
        <f>'Option Costs'!AM86</f>
        <v>0</v>
      </c>
      <c r="D142" s="395"/>
      <c r="E142" s="395">
        <f>'Option Costs'!AO86</f>
        <v>0</v>
      </c>
    </row>
    <row r="143" spans="1:7" ht="15.75">
      <c r="A143" s="596" t="s">
        <v>2912</v>
      </c>
      <c r="B143" s="543"/>
      <c r="C143" s="543"/>
      <c r="D143" s="543"/>
      <c r="E143" s="544"/>
    </row>
    <row r="144" spans="1:7" ht="15">
      <c r="A144" s="385" t="s">
        <v>2773</v>
      </c>
      <c r="B144" s="386" t="s">
        <v>3979</v>
      </c>
      <c r="C144" s="389" t="e">
        <f>'Calc Data'!G25</f>
        <v>#DIV/0!</v>
      </c>
      <c r="D144" s="389"/>
      <c r="E144" s="389" t="e">
        <f>'Calc Data'!G25</f>
        <v>#DIV/0!</v>
      </c>
    </row>
    <row r="145" spans="1:5" ht="15">
      <c r="A145" s="385" t="s">
        <v>2774</v>
      </c>
      <c r="B145" s="386" t="s">
        <v>3980</v>
      </c>
      <c r="C145" s="388">
        <f>'Data Entry - SOF'!M135</f>
        <v>0</v>
      </c>
      <c r="D145" s="388"/>
      <c r="E145" s="388">
        <f>'Data Entry - SOF'!M135</f>
        <v>0</v>
      </c>
    </row>
    <row r="146" spans="1:5" ht="15">
      <c r="A146" s="385" t="s">
        <v>2775</v>
      </c>
      <c r="B146" s="386" t="s">
        <v>3981</v>
      </c>
      <c r="C146" s="388">
        <f>'Data Entry - SOF'!M134</f>
        <v>0</v>
      </c>
      <c r="D146" s="388"/>
      <c r="E146" s="388">
        <f>'Data Entry - SOF'!M134</f>
        <v>0</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3980</v>
      </c>
      <c r="C149" s="388">
        <f>'Data Entry - SOF'!M135</f>
        <v>0</v>
      </c>
      <c r="D149" s="386"/>
      <c r="E149" s="388">
        <f>'Data Entry - SOF'!M135</f>
        <v>0</v>
      </c>
    </row>
    <row r="150" spans="1:5" ht="15">
      <c r="A150" s="385" t="s">
        <v>2777</v>
      </c>
      <c r="B150" s="386" t="s">
        <v>2914</v>
      </c>
      <c r="C150" s="389">
        <f>'Ch41 Calc Data'!O15</f>
        <v>0</v>
      </c>
      <c r="D150" s="389"/>
      <c r="E150" s="389">
        <f>'Ch41 Calc Data'!O15</f>
        <v>0</v>
      </c>
    </row>
    <row r="151" spans="1:5" ht="15">
      <c r="A151" s="385" t="s">
        <v>2778</v>
      </c>
      <c r="B151" s="386" t="s">
        <v>2915</v>
      </c>
      <c r="C151" s="389">
        <f>'Ch41 Calc Data'!O16</f>
        <v>0</v>
      </c>
      <c r="D151" s="389"/>
      <c r="E151" s="389">
        <f>'Ch41 Calc Data'!O16</f>
        <v>0</v>
      </c>
    </row>
    <row r="152" spans="1:5" ht="15.75">
      <c r="A152" s="577" t="s">
        <v>2916</v>
      </c>
      <c r="B152" s="543"/>
      <c r="C152" s="543"/>
      <c r="D152" s="543"/>
      <c r="E152" s="544"/>
    </row>
    <row r="153" spans="1:5" ht="15">
      <c r="A153" s="385" t="s">
        <v>2917</v>
      </c>
      <c r="B153" s="386" t="s">
        <v>3982</v>
      </c>
      <c r="C153" s="389" t="e">
        <f>'Ch41 Calc Data'!O17</f>
        <v>#DIV/0!</v>
      </c>
      <c r="D153" s="389"/>
      <c r="E153" s="389" t="e">
        <f>'Ch41 Calc Data'!O17</f>
        <v>#DIV/0!</v>
      </c>
    </row>
    <row r="154" spans="1:5" s="382" customFormat="1" ht="15">
      <c r="B154" s="741" t="s">
        <v>3812</v>
      </c>
      <c r="C154" s="1306" t="s">
        <v>6953</v>
      </c>
    </row>
    <row r="155" spans="1:5" s="382" customFormat="1" ht="15">
      <c r="B155" s="1304" t="s">
        <v>6957</v>
      </c>
      <c r="C155" s="1306" t="s">
        <v>3984</v>
      </c>
    </row>
    <row r="156" spans="1:5">
      <c r="C156" s="1305"/>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'Report-Recapture1819'!E1</f>
        <v>Release 10</v>
      </c>
    </row>
    <row r="2" spans="1:5">
      <c r="A2" s="64" t="s">
        <v>3811</v>
      </c>
      <c r="E2" s="72">
        <f>'Report-Recapture2021'!E2</f>
        <v>43724</v>
      </c>
    </row>
    <row r="3" spans="1:5">
      <c r="A3" s="64"/>
      <c r="E3" s="58">
        <f>'Report-Recapture2021'!E3</f>
        <v>0</v>
      </c>
    </row>
    <row r="4" spans="1:5" ht="15.75">
      <c r="A4" s="381" t="s">
        <v>6856</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6857</v>
      </c>
      <c r="C15" s="428">
        <f>'Option Costs'!AQ70</f>
        <v>0</v>
      </c>
      <c r="D15" s="428"/>
      <c r="E15" s="428">
        <f>C15</f>
        <v>0</v>
      </c>
    </row>
    <row r="16" spans="1:5" s="382" customFormat="1" ht="15">
      <c r="A16" s="385" t="s">
        <v>912</v>
      </c>
      <c r="B16" s="386" t="s">
        <v>6858</v>
      </c>
      <c r="C16" s="429">
        <f>'Data Entry - SOF'!O92</f>
        <v>1.17</v>
      </c>
      <c r="D16" s="429"/>
      <c r="E16" s="429">
        <f t="shared" ref="E16:E23" si="0">C16</f>
        <v>1.17</v>
      </c>
    </row>
    <row r="17" spans="1:5" s="382" customFormat="1" ht="15">
      <c r="A17" s="385" t="s">
        <v>2875</v>
      </c>
      <c r="B17" s="386" t="s">
        <v>6859</v>
      </c>
      <c r="C17" s="429">
        <f>FracFunding2122!D5</f>
        <v>1</v>
      </c>
      <c r="D17" s="429"/>
      <c r="E17" s="429">
        <f t="shared" si="0"/>
        <v>1</v>
      </c>
    </row>
    <row r="18" spans="1:5" s="382" customFormat="1" ht="15">
      <c r="A18" s="385" t="s">
        <v>913</v>
      </c>
      <c r="B18" s="386" t="s">
        <v>6860</v>
      </c>
      <c r="C18" s="389" t="e">
        <f>'Ch41 Calc Data'!P17</f>
        <v>#DIV/0!</v>
      </c>
      <c r="D18" s="389"/>
      <c r="E18" s="389" t="e">
        <f t="shared" si="0"/>
        <v>#DIV/0!</v>
      </c>
    </row>
    <row r="19" spans="1:5" s="382" customFormat="1" ht="15">
      <c r="A19" s="385" t="s">
        <v>914</v>
      </c>
      <c r="B19" s="386" t="s">
        <v>6871</v>
      </c>
      <c r="C19" s="390">
        <f>'Data Entry - SOF'!O75</f>
        <v>0</v>
      </c>
      <c r="D19" s="386"/>
      <c r="E19" s="428">
        <f t="shared" si="0"/>
        <v>0</v>
      </c>
    </row>
    <row r="20" spans="1:5" s="382" customFormat="1" ht="15">
      <c r="A20" s="385" t="s">
        <v>118</v>
      </c>
      <c r="B20" s="386" t="s">
        <v>6861</v>
      </c>
      <c r="C20" s="390">
        <f>'Report-SOF2122'!D57</f>
        <v>0</v>
      </c>
      <c r="D20" s="386"/>
      <c r="E20" s="428">
        <f t="shared" si="0"/>
        <v>0</v>
      </c>
    </row>
    <row r="21" spans="1:5" s="382" customFormat="1" ht="15">
      <c r="A21" s="385" t="s">
        <v>119</v>
      </c>
      <c r="B21" s="386" t="s">
        <v>2876</v>
      </c>
      <c r="C21" s="388">
        <f>'Data Entry - SOF'!O139</f>
        <v>0</v>
      </c>
      <c r="D21" s="388"/>
      <c r="E21" s="388">
        <f t="shared" si="0"/>
        <v>0</v>
      </c>
    </row>
    <row r="22" spans="1:5" s="382" customFormat="1" ht="15">
      <c r="A22" s="385" t="s">
        <v>120</v>
      </c>
      <c r="B22" s="386" t="s">
        <v>2877</v>
      </c>
      <c r="C22" s="428">
        <f>'Data Entry - SOF'!O140</f>
        <v>0</v>
      </c>
      <c r="D22" s="386"/>
      <c r="E22" s="428">
        <f t="shared" si="0"/>
        <v>0</v>
      </c>
    </row>
    <row r="23" spans="1:5" s="382" customFormat="1" ht="15">
      <c r="A23" s="385" t="s">
        <v>121</v>
      </c>
      <c r="B23" s="386" t="s">
        <v>1796</v>
      </c>
      <c r="C23" s="430">
        <f>'Report-SOF2122'!D40</f>
        <v>0</v>
      </c>
      <c r="D23" s="402"/>
      <c r="E23" s="430">
        <f t="shared" si="0"/>
        <v>0</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Costs'!AQ13</f>
        <v>0</v>
      </c>
      <c r="D26" s="390"/>
      <c r="E26" s="390">
        <f t="shared" ref="E26:E31" si="1">C26</f>
        <v>0</v>
      </c>
    </row>
    <row r="27" spans="1:5" s="382" customFormat="1" ht="15">
      <c r="A27" s="385" t="s">
        <v>6</v>
      </c>
      <c r="B27" s="386" t="s">
        <v>2918</v>
      </c>
      <c r="C27" s="389">
        <f>'Option Costs'!AQ16</f>
        <v>0</v>
      </c>
      <c r="D27" s="389"/>
      <c r="E27" s="389">
        <f t="shared" si="1"/>
        <v>0</v>
      </c>
    </row>
    <row r="28" spans="1:5" s="382" customFormat="1" ht="15">
      <c r="A28" s="385" t="s">
        <v>2232</v>
      </c>
      <c r="B28" s="386" t="s">
        <v>2884</v>
      </c>
      <c r="C28" s="390">
        <f>'Option Costs'!AQ17</f>
        <v>0</v>
      </c>
      <c r="D28" s="390"/>
      <c r="E28" s="390">
        <f t="shared" si="1"/>
        <v>0</v>
      </c>
    </row>
    <row r="29" spans="1:5" s="382" customFormat="1" ht="15">
      <c r="A29" s="385" t="s">
        <v>2233</v>
      </c>
      <c r="B29" s="386" t="s">
        <v>2885</v>
      </c>
      <c r="C29" s="390">
        <f>'Option Costs'!AQ19</f>
        <v>0</v>
      </c>
      <c r="D29" s="390"/>
      <c r="E29" s="390">
        <f t="shared" si="1"/>
        <v>0</v>
      </c>
    </row>
    <row r="30" spans="1:5" s="382" customFormat="1" ht="15">
      <c r="A30" s="385" t="s">
        <v>2722</v>
      </c>
      <c r="B30" s="386" t="s">
        <v>2886</v>
      </c>
      <c r="C30" s="389">
        <f>'Option Costs'!AQ20</f>
        <v>0</v>
      </c>
      <c r="D30" s="389"/>
      <c r="E30" s="389">
        <f t="shared" si="1"/>
        <v>0</v>
      </c>
    </row>
    <row r="31" spans="1:5" s="382" customFormat="1" ht="15">
      <c r="A31" s="385" t="s">
        <v>2723</v>
      </c>
      <c r="B31" s="386" t="s">
        <v>6862</v>
      </c>
      <c r="C31" s="389">
        <f>'Option Costs'!AQ21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t="e">
        <f>'Option Costs'!AQ24</f>
        <v>#DIV/0!</v>
      </c>
      <c r="D33" s="390"/>
      <c r="E33" s="390" t="e">
        <f>C33</f>
        <v>#DIV/0!</v>
      </c>
    </row>
    <row r="34" spans="1:5" s="382" customFormat="1" ht="15.75">
      <c r="A34" s="596" t="s">
        <v>2888</v>
      </c>
      <c r="B34" s="543"/>
      <c r="C34" s="543"/>
      <c r="D34" s="543"/>
      <c r="E34" s="544"/>
    </row>
    <row r="35" spans="1:5" s="382" customFormat="1" ht="15">
      <c r="A35" s="400" t="s">
        <v>2727</v>
      </c>
      <c r="B35" s="386" t="s">
        <v>2889</v>
      </c>
      <c r="C35" s="390">
        <f>'Option Costs'!AQ27</f>
        <v>0</v>
      </c>
      <c r="D35" s="390"/>
      <c r="E35" s="431" t="s">
        <v>1775</v>
      </c>
    </row>
    <row r="36" spans="1:5" s="382" customFormat="1" ht="15">
      <c r="A36" s="400" t="s">
        <v>2728</v>
      </c>
      <c r="B36" s="386" t="s">
        <v>2890</v>
      </c>
      <c r="C36" s="390" t="e">
        <f>'Option Costs'!AQ28</f>
        <v>#DIV/0!</v>
      </c>
      <c r="D36" s="390"/>
      <c r="E36" s="431" t="s">
        <v>1775</v>
      </c>
    </row>
    <row r="37" spans="1:5" s="382" customFormat="1" ht="15">
      <c r="A37" s="400" t="s">
        <v>2729</v>
      </c>
      <c r="B37" s="386" t="s">
        <v>2891</v>
      </c>
      <c r="C37" s="390" t="e">
        <f>'Option Costs'!AQ29</f>
        <v>#DIV/0!</v>
      </c>
      <c r="D37" s="390"/>
      <c r="E37" s="431" t="s">
        <v>1775</v>
      </c>
    </row>
    <row r="38" spans="1:5" s="382" customFormat="1" ht="15">
      <c r="A38" s="400" t="s">
        <v>2731</v>
      </c>
      <c r="B38" s="386" t="s">
        <v>2892</v>
      </c>
      <c r="C38" s="390" t="e">
        <f>'Option Costs'!AQ30</f>
        <v>#DIV/0!</v>
      </c>
      <c r="D38" s="390"/>
      <c r="E38" s="431" t="s">
        <v>1775</v>
      </c>
    </row>
    <row r="39" spans="1:5" s="382" customFormat="1" ht="15">
      <c r="A39" s="400" t="s">
        <v>2732</v>
      </c>
      <c r="B39" s="386" t="s">
        <v>2893</v>
      </c>
      <c r="C39" s="390" t="e">
        <f>'Option Costs'!AQ64</f>
        <v>#DIV/0!</v>
      </c>
      <c r="D39" s="390"/>
      <c r="E39" s="390" t="e">
        <f>'Option Costs'!AS64</f>
        <v>#DIV/0!</v>
      </c>
    </row>
    <row r="40" spans="1:5" s="382" customFormat="1" ht="15">
      <c r="A40" s="400" t="s">
        <v>2733</v>
      </c>
      <c r="B40" s="386" t="s">
        <v>2894</v>
      </c>
      <c r="C40" s="390" t="e">
        <f>'Option Costs'!AQ65</f>
        <v>#DIV/0!</v>
      </c>
      <c r="D40" s="390"/>
      <c r="E40" s="390" t="e">
        <f>'Option Costs'!AS65</f>
        <v>#DIV/0!</v>
      </c>
    </row>
    <row r="41" spans="1:5" s="382" customFormat="1" ht="15">
      <c r="A41" s="400" t="s">
        <v>2734</v>
      </c>
      <c r="B41" s="386" t="s">
        <v>2895</v>
      </c>
      <c r="C41" s="389" t="e">
        <f>'Option Costs'!AQ66</f>
        <v>#DIV/0!</v>
      </c>
      <c r="D41" s="389"/>
      <c r="E41" s="389" t="e">
        <f>'Option Costs'!AS66</f>
        <v>#DIV/0!</v>
      </c>
    </row>
    <row r="42" spans="1:5" s="382" customFormat="1" ht="15.75">
      <c r="A42" s="596" t="s">
        <v>2896</v>
      </c>
      <c r="B42" s="543"/>
      <c r="C42" s="543"/>
      <c r="D42" s="543"/>
      <c r="E42" s="544"/>
    </row>
    <row r="43" spans="1:5" s="382" customFormat="1" ht="15">
      <c r="A43" s="385" t="s">
        <v>2735</v>
      </c>
      <c r="B43" s="386" t="s">
        <v>2897</v>
      </c>
      <c r="C43" s="390" t="e">
        <f>'Option Costs'!AQ73</f>
        <v>#DIV/0!</v>
      </c>
      <c r="D43" s="386"/>
      <c r="E43" s="390" t="e">
        <f>'Option Costs'!AS73</f>
        <v>#DIV/0!</v>
      </c>
    </row>
    <row r="44" spans="1:5" s="382" customFormat="1" ht="15">
      <c r="A44" s="385" t="s">
        <v>2740</v>
      </c>
      <c r="B44" s="386" t="s">
        <v>2898</v>
      </c>
      <c r="C44" s="389" t="e">
        <f>'Option Costs'!AQ74</f>
        <v>#DIV/0!</v>
      </c>
      <c r="D44" s="389"/>
      <c r="E44" s="389" t="e">
        <f>'Option Costs'!AS74</f>
        <v>#DIV/0!</v>
      </c>
    </row>
    <row r="45" spans="1:5" s="382" customFormat="1" ht="15">
      <c r="A45" s="385" t="s">
        <v>2741</v>
      </c>
      <c r="B45" s="386" t="s">
        <v>6970</v>
      </c>
      <c r="C45" s="390" t="e">
        <f>'Option Costs'!AQ75</f>
        <v>#DIV/0!</v>
      </c>
      <c r="D45" s="390"/>
      <c r="E45" s="390" t="e">
        <f>'Option Costs'!AS75</f>
        <v>#DIV/0!</v>
      </c>
    </row>
    <row r="46" spans="1:5" s="382" customFormat="1" ht="15">
      <c r="A46" s="385" t="s">
        <v>2742</v>
      </c>
      <c r="B46" s="386" t="s">
        <v>2899</v>
      </c>
      <c r="C46" s="389" t="e">
        <f>'Option Costs'!AQ76</f>
        <v>#DIV/0!</v>
      </c>
      <c r="D46" s="389"/>
      <c r="E46" s="389" t="e">
        <f>'Option Costs'!AS76</f>
        <v>#DIV/0!</v>
      </c>
    </row>
    <row r="47" spans="1:5" s="382" customFormat="1" ht="15">
      <c r="A47" s="385" t="s">
        <v>2743</v>
      </c>
      <c r="B47" s="386" t="s">
        <v>2900</v>
      </c>
      <c r="C47" s="389">
        <f>'Option Costs'!AQ77</f>
        <v>0</v>
      </c>
      <c r="D47" s="389"/>
      <c r="E47" s="389">
        <f>'Option Costs'!AS77</f>
        <v>0</v>
      </c>
    </row>
    <row r="48" spans="1:5" s="382" customFormat="1" ht="15">
      <c r="A48" s="385" t="s">
        <v>2744</v>
      </c>
      <c r="B48" s="386" t="s">
        <v>2901</v>
      </c>
      <c r="C48" s="389" t="e">
        <f>'Option Costs'!AQ78</f>
        <v>#DIV/0!</v>
      </c>
      <c r="D48" s="389"/>
      <c r="E48" s="389" t="e">
        <f>'Option Costs'!AS78</f>
        <v>#DIV/0!</v>
      </c>
    </row>
    <row r="49" spans="1:5" s="382" customFormat="1" ht="15">
      <c r="A49" s="385" t="s">
        <v>2745</v>
      </c>
      <c r="B49" s="386" t="s">
        <v>2902</v>
      </c>
      <c r="C49" s="390" t="e">
        <f>'Option Costs'!AQ79</f>
        <v>#DIV/0!</v>
      </c>
      <c r="D49" s="390"/>
      <c r="E49" s="390" t="e">
        <f>'Option Costs'!AS79</f>
        <v>#DIV/0!</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Costs'!AQ98</f>
        <v>#DIV/0!</v>
      </c>
      <c r="D52" s="386"/>
      <c r="E52" s="431" t="s">
        <v>1775</v>
      </c>
    </row>
    <row r="53" spans="1:5" s="382" customFormat="1" ht="15">
      <c r="A53" s="385" t="s">
        <v>2747</v>
      </c>
      <c r="B53" s="386" t="s">
        <v>2961</v>
      </c>
      <c r="C53" s="390" t="e">
        <f>'Option Costs'!AQ99</f>
        <v>#DIV/0!</v>
      </c>
      <c r="D53" s="386"/>
      <c r="E53" s="431" t="s">
        <v>1775</v>
      </c>
    </row>
    <row r="54" spans="1:5" s="382" customFormat="1" ht="15">
      <c r="A54" s="385" t="s">
        <v>2748</v>
      </c>
      <c r="B54" s="386" t="s">
        <v>2904</v>
      </c>
      <c r="C54" s="390" t="e">
        <f>'Option Costs'!AQ82</f>
        <v>#DIV/0!</v>
      </c>
      <c r="D54" s="386"/>
      <c r="E54" s="431" t="s">
        <v>1775</v>
      </c>
    </row>
    <row r="55" spans="1:5" s="382" customFormat="1" ht="15.75">
      <c r="A55" s="596" t="s">
        <v>2905</v>
      </c>
      <c r="B55" s="543"/>
      <c r="C55" s="543"/>
      <c r="D55" s="543"/>
      <c r="E55" s="544"/>
    </row>
    <row r="56" spans="1:5" s="382" customFormat="1" ht="15">
      <c r="A56" s="385" t="s">
        <v>2749</v>
      </c>
      <c r="B56" s="386" t="s">
        <v>6863</v>
      </c>
      <c r="C56" s="390">
        <f>'Data Entry - SOF'!O136</f>
        <v>0</v>
      </c>
      <c r="D56" s="390"/>
      <c r="E56" s="390">
        <f>'Data Entry - SOF'!O136</f>
        <v>0</v>
      </c>
    </row>
    <row r="57" spans="1:5" s="382" customFormat="1" ht="15">
      <c r="A57" s="385" t="s">
        <v>2750</v>
      </c>
      <c r="B57" s="386" t="s">
        <v>6864</v>
      </c>
      <c r="C57" s="390" t="e">
        <f>'Option Costs'!AQ73</f>
        <v>#DIV/0!</v>
      </c>
      <c r="D57" s="390"/>
      <c r="E57" s="390" t="e">
        <f>'Option Costs'!AS73</f>
        <v>#DIV/0!</v>
      </c>
    </row>
    <row r="58" spans="1:5" s="382" customFormat="1" ht="15">
      <c r="A58" s="385" t="s">
        <v>2751</v>
      </c>
      <c r="B58" s="386" t="s">
        <v>6857</v>
      </c>
      <c r="C58" s="390">
        <f>'Option Costs'!AQ70</f>
        <v>0</v>
      </c>
      <c r="D58" s="390"/>
      <c r="E58" s="390">
        <f>'Option Costs'!AS70</f>
        <v>0</v>
      </c>
    </row>
    <row r="59" spans="1:5" s="382" customFormat="1" ht="15">
      <c r="A59" s="385" t="s">
        <v>2752</v>
      </c>
      <c r="B59" s="386" t="s">
        <v>6865</v>
      </c>
      <c r="C59" s="390" t="e">
        <f>'Option Costs'!AQ83</f>
        <v>#DIV/0!</v>
      </c>
      <c r="D59" s="390"/>
      <c r="E59" s="390">
        <f>'Option Costs'!AS83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Costs'!AQ83</f>
        <v>#DIV/0!</v>
      </c>
      <c r="D62" s="390"/>
      <c r="E62" s="390">
        <f>'Option Costs'!AS83</f>
        <v>0</v>
      </c>
    </row>
    <row r="63" spans="1:5" s="382" customFormat="1" ht="15.75">
      <c r="A63" s="550" t="s">
        <v>2908</v>
      </c>
      <c r="B63" s="543"/>
      <c r="C63" s="543"/>
      <c r="D63" s="543"/>
      <c r="E63" s="544"/>
    </row>
    <row r="64" spans="1:5" s="382" customFormat="1" ht="15">
      <c r="A64" s="385" t="s">
        <v>2756</v>
      </c>
      <c r="B64" s="386" t="s">
        <v>2909</v>
      </c>
      <c r="C64" s="390" t="e">
        <f>'Option Costs'!AQ79</f>
        <v>#DIV/0!</v>
      </c>
      <c r="D64" s="390"/>
      <c r="E64" s="390" t="e">
        <f>'Option Costs'!AS79</f>
        <v>#DIV/0!</v>
      </c>
    </row>
    <row r="65" spans="1:7" s="382" customFormat="1" ht="15.75">
      <c r="A65" s="385" t="s">
        <v>2757</v>
      </c>
      <c r="B65" s="384" t="s">
        <v>2910</v>
      </c>
      <c r="C65" s="395" t="e">
        <f>'Option Costs'!AQ85</f>
        <v>#DIV/0!</v>
      </c>
      <c r="D65" s="390"/>
      <c r="E65" s="395" t="e">
        <f>'Option Costs'!AS85</f>
        <v>#DIV/0!</v>
      </c>
      <c r="F65" s="567" t="s">
        <v>3024</v>
      </c>
      <c r="G65" s="568" t="str">
        <f>'Data Entry - SOF'!O143</f>
        <v>Y</v>
      </c>
    </row>
    <row r="66" spans="1:7" s="382" customFormat="1" ht="15.75">
      <c r="A66" s="385" t="s">
        <v>2758</v>
      </c>
      <c r="B66" s="384" t="s">
        <v>2911</v>
      </c>
      <c r="C66" s="395" t="e">
        <f>'Option Costs'!AQ86</f>
        <v>#DIV/0!</v>
      </c>
      <c r="D66" s="390"/>
      <c r="E66" s="395" t="e">
        <f>'Option Costs'!AS86</f>
        <v>#DIV/0!</v>
      </c>
      <c r="F66" s="325" t="s">
        <v>3038</v>
      </c>
    </row>
    <row r="67" spans="1:7" s="382" customFormat="1" ht="15.75">
      <c r="A67" s="596" t="s">
        <v>2912</v>
      </c>
      <c r="B67" s="543"/>
      <c r="C67" s="543"/>
      <c r="D67" s="543"/>
      <c r="E67" s="544"/>
      <c r="F67" s="325" t="s">
        <v>3039</v>
      </c>
    </row>
    <row r="68" spans="1:7" s="382" customFormat="1" ht="15">
      <c r="A68" s="385" t="s">
        <v>2773</v>
      </c>
      <c r="B68" s="386" t="s">
        <v>6866</v>
      </c>
      <c r="C68" s="389" t="e">
        <f>'Calc Data'!H25</f>
        <v>#DIV/0!</v>
      </c>
      <c r="D68" s="389"/>
      <c r="E68" s="389" t="e">
        <f>'Calc Data'!H25</f>
        <v>#DIV/0!</v>
      </c>
    </row>
    <row r="69" spans="1:7" s="382" customFormat="1" ht="15">
      <c r="A69" s="385" t="s">
        <v>2774</v>
      </c>
      <c r="B69" s="386" t="s">
        <v>6867</v>
      </c>
      <c r="C69" s="388">
        <f>'Data Entry - SOF'!O135</f>
        <v>0</v>
      </c>
      <c r="D69" s="388"/>
      <c r="E69" s="388">
        <f>'Data Entry - SOF'!O135</f>
        <v>0</v>
      </c>
    </row>
    <row r="70" spans="1:7" s="382" customFormat="1" ht="15">
      <c r="A70" s="385" t="s">
        <v>2775</v>
      </c>
      <c r="B70" s="386" t="s">
        <v>6868</v>
      </c>
      <c r="C70" s="388">
        <f>'Data Entry - SOF'!O134</f>
        <v>0</v>
      </c>
      <c r="D70" s="388"/>
      <c r="E70" s="388">
        <f>'Data Entry - SOF'!O134</f>
        <v>0</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6867</v>
      </c>
      <c r="C73" s="388">
        <f>'Data Entry - SOF'!O135</f>
        <v>0</v>
      </c>
      <c r="D73" s="386"/>
      <c r="E73" s="388">
        <f>'Data Entry - SOF'!O135</f>
        <v>0</v>
      </c>
    </row>
    <row r="74" spans="1:7" s="382" customFormat="1" ht="15">
      <c r="A74" s="385" t="s">
        <v>2777</v>
      </c>
      <c r="B74" s="386" t="s">
        <v>2914</v>
      </c>
      <c r="C74" s="389">
        <f>'Ch41 Calc Data'!P15</f>
        <v>0</v>
      </c>
      <c r="D74" s="389"/>
      <c r="E74" s="389">
        <f>'Ch41 Calc Data'!P15</f>
        <v>0</v>
      </c>
    </row>
    <row r="75" spans="1:7" s="382" customFormat="1" ht="15">
      <c r="A75" s="385" t="s">
        <v>2778</v>
      </c>
      <c r="B75" s="386" t="s">
        <v>2915</v>
      </c>
      <c r="C75" s="389">
        <f>'Ch41 Calc Data'!P16</f>
        <v>0</v>
      </c>
      <c r="D75" s="389"/>
      <c r="E75" s="389">
        <f>'Ch41 Calc Data'!P16</f>
        <v>0</v>
      </c>
    </row>
    <row r="76" spans="1:7" s="382" customFormat="1" ht="15.75">
      <c r="A76" s="596" t="s">
        <v>2916</v>
      </c>
      <c r="B76" s="543"/>
      <c r="C76" s="543"/>
      <c r="D76" s="543"/>
      <c r="E76" s="544"/>
    </row>
    <row r="77" spans="1:7" s="382" customFormat="1" ht="15">
      <c r="A77" s="385" t="s">
        <v>2917</v>
      </c>
      <c r="B77" s="386" t="s">
        <v>6869</v>
      </c>
      <c r="C77" s="389" t="e">
        <f>'Ch41 Calc Data'!P17</f>
        <v>#DIV/0!</v>
      </c>
      <c r="D77" s="389"/>
      <c r="E77" s="389" t="e">
        <f>'Ch41 Calc Data'!P17</f>
        <v>#DIV/0!</v>
      </c>
    </row>
    <row r="78" spans="1:7" s="382" customFormat="1" ht="15">
      <c r="B78" s="741" t="s">
        <v>3812</v>
      </c>
      <c r="C78" s="1306" t="s">
        <v>6872</v>
      </c>
    </row>
    <row r="79" spans="1:7" s="382" customFormat="1" ht="15">
      <c r="B79" s="1304" t="s">
        <v>6950</v>
      </c>
      <c r="C79" s="1306" t="s">
        <v>6873</v>
      </c>
    </row>
    <row r="80" spans="1:7" s="382" customFormat="1" ht="15.75">
      <c r="A80" s="325" t="s">
        <v>6870</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6857</v>
      </c>
      <c r="C91" s="428">
        <f>'Option Costs'!AU71</f>
        <v>0</v>
      </c>
      <c r="D91" s="428"/>
      <c r="E91" s="428">
        <f t="shared" si="2"/>
        <v>0</v>
      </c>
    </row>
    <row r="92" spans="1:5" s="382" customFormat="1" ht="15">
      <c r="A92" s="385" t="s">
        <v>912</v>
      </c>
      <c r="B92" s="386" t="s">
        <v>6858</v>
      </c>
      <c r="C92" s="429">
        <f>'Data Entry - SOF'!O92</f>
        <v>1.17</v>
      </c>
      <c r="D92" s="429"/>
      <c r="E92" s="429">
        <f t="shared" si="2"/>
        <v>1.17</v>
      </c>
    </row>
    <row r="93" spans="1:5" s="382" customFormat="1" ht="15">
      <c r="A93" s="385" t="s">
        <v>2875</v>
      </c>
      <c r="B93" s="386" t="s">
        <v>6859</v>
      </c>
      <c r="C93" s="429">
        <f>C17</f>
        <v>1</v>
      </c>
      <c r="D93" s="429"/>
      <c r="E93" s="429">
        <f t="shared" si="2"/>
        <v>1</v>
      </c>
    </row>
    <row r="94" spans="1:5" s="382" customFormat="1" ht="15">
      <c r="A94" s="385" t="s">
        <v>913</v>
      </c>
      <c r="B94" s="386" t="s">
        <v>6860</v>
      </c>
      <c r="C94" s="389" t="e">
        <f>'Ch41 Calc Data'!P17</f>
        <v>#DIV/0!</v>
      </c>
      <c r="D94" s="389"/>
      <c r="E94" s="389" t="e">
        <f t="shared" si="2"/>
        <v>#DIV/0!</v>
      </c>
    </row>
    <row r="95" spans="1:5" s="382" customFormat="1" ht="15">
      <c r="A95" s="385" t="s">
        <v>914</v>
      </c>
      <c r="B95" s="386" t="s">
        <v>6871</v>
      </c>
      <c r="C95" s="390">
        <f>C19</f>
        <v>0</v>
      </c>
      <c r="D95" s="386"/>
      <c r="E95" s="428">
        <f t="shared" si="2"/>
        <v>0</v>
      </c>
    </row>
    <row r="96" spans="1:5" s="382" customFormat="1" ht="15">
      <c r="A96" s="385" t="s">
        <v>118</v>
      </c>
      <c r="B96" s="386" t="s">
        <v>6861</v>
      </c>
      <c r="C96" s="390">
        <f>'Report-SOF2122'!D57</f>
        <v>0</v>
      </c>
      <c r="D96" s="386"/>
      <c r="E96" s="428">
        <f t="shared" si="2"/>
        <v>0</v>
      </c>
    </row>
    <row r="97" spans="1:5" s="382" customFormat="1" ht="15">
      <c r="A97" s="385" t="s">
        <v>119</v>
      </c>
      <c r="B97" s="386" t="s">
        <v>2876</v>
      </c>
      <c r="C97" s="388">
        <f>'Data Entry - SOF'!O139</f>
        <v>0</v>
      </c>
      <c r="D97" s="388"/>
      <c r="E97" s="388">
        <f t="shared" si="2"/>
        <v>0</v>
      </c>
    </row>
    <row r="98" spans="1:5" s="382" customFormat="1" ht="15">
      <c r="A98" s="385" t="s">
        <v>120</v>
      </c>
      <c r="B98" s="386" t="s">
        <v>2877</v>
      </c>
      <c r="C98" s="428">
        <f>'Data Entry - SOF'!O140</f>
        <v>0</v>
      </c>
      <c r="D98" s="386"/>
      <c r="E98" s="428">
        <f t="shared" si="2"/>
        <v>0</v>
      </c>
    </row>
    <row r="99" spans="1:5" s="382" customFormat="1" ht="15">
      <c r="A99" s="385" t="s">
        <v>121</v>
      </c>
      <c r="B99" s="386" t="s">
        <v>1796</v>
      </c>
      <c r="C99" s="430">
        <f>C23</f>
        <v>0</v>
      </c>
      <c r="D99" s="402"/>
      <c r="E99" s="430">
        <f t="shared" si="2"/>
        <v>0</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Costs'!AU13</f>
        <v>0</v>
      </c>
      <c r="D102" s="390"/>
      <c r="E102" s="390">
        <f t="shared" ref="E102:E107" si="3">C102</f>
        <v>0</v>
      </c>
    </row>
    <row r="103" spans="1:5" s="382" customFormat="1" ht="15">
      <c r="A103" s="385" t="s">
        <v>6</v>
      </c>
      <c r="B103" s="386" t="s">
        <v>2918</v>
      </c>
      <c r="C103" s="389">
        <f>'Option Costs'!AU16</f>
        <v>0</v>
      </c>
      <c r="D103" s="389"/>
      <c r="E103" s="389">
        <f t="shared" si="3"/>
        <v>0</v>
      </c>
    </row>
    <row r="104" spans="1:5" s="382" customFormat="1" ht="15">
      <c r="A104" s="385" t="s">
        <v>2232</v>
      </c>
      <c r="B104" s="386" t="s">
        <v>2884</v>
      </c>
      <c r="C104" s="390">
        <f>'Option Costs'!AU17</f>
        <v>0</v>
      </c>
      <c r="D104" s="390"/>
      <c r="E104" s="390">
        <f t="shared" si="3"/>
        <v>0</v>
      </c>
    </row>
    <row r="105" spans="1:5" s="382" customFormat="1" ht="15">
      <c r="A105" s="385" t="s">
        <v>2233</v>
      </c>
      <c r="B105" s="386" t="s">
        <v>2885</v>
      </c>
      <c r="C105" s="390">
        <f>'Option Costs'!AU19</f>
        <v>0</v>
      </c>
      <c r="D105" s="390"/>
      <c r="E105" s="390">
        <f t="shared" si="3"/>
        <v>0</v>
      </c>
    </row>
    <row r="106" spans="1:5" s="382" customFormat="1" ht="15">
      <c r="A106" s="385" t="s">
        <v>2722</v>
      </c>
      <c r="B106" s="386" t="s">
        <v>2886</v>
      </c>
      <c r="C106" s="389">
        <f>'Option Costs'!AU20</f>
        <v>0</v>
      </c>
      <c r="D106" s="389"/>
      <c r="E106" s="389">
        <f t="shared" si="3"/>
        <v>0</v>
      </c>
    </row>
    <row r="107" spans="1:5" s="382" customFormat="1" ht="15">
      <c r="A107" s="385" t="s">
        <v>2723</v>
      </c>
      <c r="B107" s="386" t="s">
        <v>6862</v>
      </c>
      <c r="C107" s="389">
        <f>'Option Costs'!AU21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t="e">
        <f>'Option Costs'!AU24</f>
        <v>#DIV/0!</v>
      </c>
      <c r="D109" s="390"/>
      <c r="E109" s="390" t="e">
        <f>C109</f>
        <v>#DIV/0!</v>
      </c>
    </row>
    <row r="110" spans="1:5" ht="15.75">
      <c r="A110" s="596" t="s">
        <v>2888</v>
      </c>
      <c r="B110" s="543"/>
      <c r="C110" s="543"/>
      <c r="D110" s="543"/>
      <c r="E110" s="544"/>
    </row>
    <row r="111" spans="1:5" ht="15">
      <c r="A111" s="400" t="s">
        <v>2727</v>
      </c>
      <c r="B111" s="386" t="s">
        <v>2889</v>
      </c>
      <c r="C111" s="390">
        <f>'Option Costs'!AU27</f>
        <v>0</v>
      </c>
      <c r="D111" s="390"/>
      <c r="E111" s="431" t="s">
        <v>1775</v>
      </c>
    </row>
    <row r="112" spans="1:5" ht="15">
      <c r="A112" s="400" t="s">
        <v>2728</v>
      </c>
      <c r="B112" s="386" t="s">
        <v>2890</v>
      </c>
      <c r="C112" s="390" t="e">
        <f>'Option Costs'!AU28</f>
        <v>#DIV/0!</v>
      </c>
      <c r="D112" s="390"/>
      <c r="E112" s="431" t="s">
        <v>1775</v>
      </c>
    </row>
    <row r="113" spans="1:5" ht="15">
      <c r="A113" s="400" t="s">
        <v>2729</v>
      </c>
      <c r="B113" s="386" t="s">
        <v>2891</v>
      </c>
      <c r="C113" s="390" t="e">
        <f>'Option Costs'!AU29</f>
        <v>#DIV/0!</v>
      </c>
      <c r="D113" s="390"/>
      <c r="E113" s="431" t="s">
        <v>1775</v>
      </c>
    </row>
    <row r="114" spans="1:5" ht="15">
      <c r="A114" s="400" t="s">
        <v>2731</v>
      </c>
      <c r="B114" s="386" t="s">
        <v>2892</v>
      </c>
      <c r="C114" s="390" t="e">
        <f>'Option Costs'!AU30</f>
        <v>#DIV/0!</v>
      </c>
      <c r="D114" s="390"/>
      <c r="E114" s="431" t="s">
        <v>1775</v>
      </c>
    </row>
    <row r="115" spans="1:5" ht="15">
      <c r="A115" s="400" t="s">
        <v>2732</v>
      </c>
      <c r="B115" s="386" t="s">
        <v>2893</v>
      </c>
      <c r="C115" s="390" t="e">
        <f>'Option Costs'!AU64</f>
        <v>#DIV/0!</v>
      </c>
      <c r="D115" s="390"/>
      <c r="E115" s="390" t="e">
        <f>'Option Costs'!AW64</f>
        <v>#DIV/0!</v>
      </c>
    </row>
    <row r="116" spans="1:5" ht="15">
      <c r="A116" s="400" t="s">
        <v>2733</v>
      </c>
      <c r="B116" s="386" t="s">
        <v>2894</v>
      </c>
      <c r="C116" s="390" t="e">
        <f>'Option Costs'!AU65</f>
        <v>#DIV/0!</v>
      </c>
      <c r="D116" s="390"/>
      <c r="E116" s="390" t="e">
        <f>'Option Costs'!AW65</f>
        <v>#DIV/0!</v>
      </c>
    </row>
    <row r="117" spans="1:5" ht="15">
      <c r="A117" s="400" t="s">
        <v>2734</v>
      </c>
      <c r="B117" s="386" t="s">
        <v>2895</v>
      </c>
      <c r="C117" s="389" t="e">
        <f>'Option Costs'!AU66</f>
        <v>#DIV/0!</v>
      </c>
      <c r="D117" s="389"/>
      <c r="E117" s="389" t="e">
        <f>'Option Costs'!AW66</f>
        <v>#DIV/0!</v>
      </c>
    </row>
    <row r="118" spans="1:5" ht="15.75">
      <c r="A118" s="596" t="s">
        <v>2896</v>
      </c>
      <c r="B118" s="543"/>
      <c r="C118" s="543"/>
      <c r="D118" s="543"/>
      <c r="E118" s="544"/>
    </row>
    <row r="119" spans="1:5" ht="15">
      <c r="A119" s="385" t="s">
        <v>2735</v>
      </c>
      <c r="B119" s="386" t="s">
        <v>2897</v>
      </c>
      <c r="C119" s="390">
        <f>'Option Costs'!AU73</f>
        <v>0</v>
      </c>
      <c r="D119" s="386"/>
      <c r="E119" s="390">
        <f>'Option Costs'!AW73</f>
        <v>0</v>
      </c>
    </row>
    <row r="120" spans="1:5" ht="15">
      <c r="A120" s="385" t="s">
        <v>2740</v>
      </c>
      <c r="B120" s="386" t="s">
        <v>2898</v>
      </c>
      <c r="C120" s="389">
        <f>'Option Costs'!AU74</f>
        <v>0</v>
      </c>
      <c r="D120" s="389"/>
      <c r="E120" s="389">
        <f>'Option Costs'!AW74</f>
        <v>0</v>
      </c>
    </row>
    <row r="121" spans="1:5" ht="15">
      <c r="A121" s="385" t="s">
        <v>2741</v>
      </c>
      <c r="B121" s="386" t="s">
        <v>6970</v>
      </c>
      <c r="C121" s="390">
        <f>'Option Costs'!AU75</f>
        <v>0</v>
      </c>
      <c r="D121" s="390"/>
      <c r="E121" s="390">
        <f>'Option Costs'!AW75</f>
        <v>0</v>
      </c>
    </row>
    <row r="122" spans="1:5" ht="15">
      <c r="A122" s="385" t="s">
        <v>2742</v>
      </c>
      <c r="B122" s="386" t="s">
        <v>2899</v>
      </c>
      <c r="C122" s="389">
        <f>'Option Costs'!AU76</f>
        <v>0</v>
      </c>
      <c r="D122" s="389"/>
      <c r="E122" s="389">
        <f>'Option Costs'!AW76</f>
        <v>0</v>
      </c>
    </row>
    <row r="123" spans="1:5" ht="15">
      <c r="A123" s="385" t="s">
        <v>2743</v>
      </c>
      <c r="B123" s="386" t="s">
        <v>2900</v>
      </c>
      <c r="C123" s="389">
        <f>'Option Costs'!AU77</f>
        <v>0</v>
      </c>
      <c r="D123" s="389"/>
      <c r="E123" s="389">
        <f>'Option Costs'!AW77</f>
        <v>0</v>
      </c>
    </row>
    <row r="124" spans="1:5" ht="15">
      <c r="A124" s="385" t="s">
        <v>2744</v>
      </c>
      <c r="B124" s="386" t="s">
        <v>2901</v>
      </c>
      <c r="C124" s="389">
        <f>'Option Costs'!AU78</f>
        <v>0</v>
      </c>
      <c r="D124" s="389"/>
      <c r="E124" s="389">
        <f>'Option Costs'!AW78</f>
        <v>0</v>
      </c>
    </row>
    <row r="125" spans="1:5" ht="15">
      <c r="A125" s="385" t="s">
        <v>2745</v>
      </c>
      <c r="B125" s="386" t="s">
        <v>2902</v>
      </c>
      <c r="C125" s="390">
        <f>'Option Costs'!AU79</f>
        <v>0</v>
      </c>
      <c r="D125" s="390"/>
      <c r="E125" s="390">
        <f>'Option Costs'!AW79</f>
        <v>0</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f>'Option Costs'!AU98</f>
        <v>0</v>
      </c>
      <c r="D128" s="386"/>
      <c r="E128" s="431" t="s">
        <v>1775</v>
      </c>
    </row>
    <row r="129" spans="1:7" ht="15">
      <c r="A129" s="385" t="s">
        <v>2747</v>
      </c>
      <c r="B129" s="386" t="s">
        <v>2961</v>
      </c>
      <c r="C129" s="390">
        <f>'Option Costs'!AU99</f>
        <v>0</v>
      </c>
      <c r="D129" s="386"/>
      <c r="E129" s="431" t="s">
        <v>1775</v>
      </c>
    </row>
    <row r="130" spans="1:7" ht="15">
      <c r="A130" s="385" t="s">
        <v>2748</v>
      </c>
      <c r="B130" s="386" t="s">
        <v>2904</v>
      </c>
      <c r="C130" s="390">
        <f>'Option Costs'!AU82</f>
        <v>0</v>
      </c>
      <c r="D130" s="386"/>
      <c r="E130" s="431" t="s">
        <v>1775</v>
      </c>
    </row>
    <row r="131" spans="1:7" ht="15.75">
      <c r="A131" s="596" t="s">
        <v>2905</v>
      </c>
      <c r="B131" s="543"/>
      <c r="C131" s="543"/>
      <c r="D131" s="543"/>
      <c r="E131" s="544"/>
    </row>
    <row r="132" spans="1:7" ht="15">
      <c r="A132" s="385" t="s">
        <v>2749</v>
      </c>
      <c r="B132" s="386" t="s">
        <v>6863</v>
      </c>
      <c r="C132" s="390">
        <f>'Data Entry - SOF'!O136</f>
        <v>0</v>
      </c>
      <c r="D132" s="390"/>
      <c r="E132" s="390">
        <f>'Data Entry - SOF'!O136</f>
        <v>0</v>
      </c>
    </row>
    <row r="133" spans="1:7" ht="15">
      <c r="A133" s="385" t="s">
        <v>2750</v>
      </c>
      <c r="B133" s="386" t="s">
        <v>6864</v>
      </c>
      <c r="C133" s="390">
        <f>'Option Costs'!AU73</f>
        <v>0</v>
      </c>
      <c r="D133" s="390"/>
      <c r="E133" s="390">
        <f>'Option Costs'!AW73</f>
        <v>0</v>
      </c>
    </row>
    <row r="134" spans="1:7" ht="15">
      <c r="A134" s="385" t="s">
        <v>2751</v>
      </c>
      <c r="B134" s="386" t="s">
        <v>6857</v>
      </c>
      <c r="C134" s="390">
        <f>'Option Costs'!AU72</f>
        <v>0</v>
      </c>
      <c r="D134" s="390"/>
      <c r="E134" s="390">
        <f>'Option Costs'!AW72</f>
        <v>0</v>
      </c>
    </row>
    <row r="135" spans="1:7" ht="15">
      <c r="A135" s="385" t="s">
        <v>2752</v>
      </c>
      <c r="B135" s="386" t="s">
        <v>6865</v>
      </c>
      <c r="C135" s="390" t="e">
        <f>'Option Costs'!AU83</f>
        <v>#DIV/0!</v>
      </c>
      <c r="D135" s="390"/>
      <c r="E135" s="390">
        <f>'Option Costs'!AW83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Costs'!AU83</f>
        <v>#DIV/0!</v>
      </c>
      <c r="D138" s="390"/>
      <c r="E138" s="390">
        <f>'Option Costs'!AW83</f>
        <v>0</v>
      </c>
    </row>
    <row r="139" spans="1:7" ht="15.75">
      <c r="A139" s="550" t="s">
        <v>2908</v>
      </c>
      <c r="B139" s="543"/>
      <c r="C139" s="543"/>
      <c r="D139" s="543"/>
      <c r="E139" s="544"/>
    </row>
    <row r="140" spans="1:7" ht="15">
      <c r="A140" s="385" t="s">
        <v>2756</v>
      </c>
      <c r="B140" s="386" t="s">
        <v>2909</v>
      </c>
      <c r="C140" s="390">
        <f>'Option Costs'!AU79</f>
        <v>0</v>
      </c>
      <c r="D140" s="390"/>
      <c r="E140" s="390">
        <f>'Option Costs'!AW79</f>
        <v>0</v>
      </c>
    </row>
    <row r="141" spans="1:7" ht="15.75">
      <c r="A141" s="385" t="s">
        <v>2757</v>
      </c>
      <c r="B141" s="384" t="s">
        <v>2910</v>
      </c>
      <c r="C141" s="395" t="e">
        <f>'Option Costs'!AU85</f>
        <v>#DIV/0!</v>
      </c>
      <c r="D141" s="395"/>
      <c r="E141" s="395">
        <f>'Option Costs'!AW85</f>
        <v>0</v>
      </c>
      <c r="F141" s="567" t="s">
        <v>3024</v>
      </c>
      <c r="G141" s="568" t="str">
        <f>'Data Entry - SOF'!O144</f>
        <v>Y</v>
      </c>
    </row>
    <row r="142" spans="1:7" ht="15.75">
      <c r="A142" s="385" t="s">
        <v>2758</v>
      </c>
      <c r="B142" s="384" t="s">
        <v>2911</v>
      </c>
      <c r="C142" s="395">
        <f>'Option Costs'!AU86</f>
        <v>0</v>
      </c>
      <c r="D142" s="395"/>
      <c r="E142" s="395">
        <f>'Option Costs'!AW86</f>
        <v>0</v>
      </c>
    </row>
    <row r="143" spans="1:7" ht="15.75">
      <c r="A143" s="596" t="s">
        <v>2912</v>
      </c>
      <c r="B143" s="543"/>
      <c r="C143" s="543"/>
      <c r="D143" s="543"/>
      <c r="E143" s="544"/>
    </row>
    <row r="144" spans="1:7" ht="15">
      <c r="A144" s="385" t="s">
        <v>2773</v>
      </c>
      <c r="B144" s="386" t="s">
        <v>6866</v>
      </c>
      <c r="C144" s="389" t="e">
        <f>'Calc Data'!H25</f>
        <v>#DIV/0!</v>
      </c>
      <c r="D144" s="389"/>
      <c r="E144" s="389" t="e">
        <f>'Calc Data'!H25</f>
        <v>#DIV/0!</v>
      </c>
    </row>
    <row r="145" spans="1:5" ht="15">
      <c r="A145" s="385" t="s">
        <v>2774</v>
      </c>
      <c r="B145" s="386" t="s">
        <v>6867</v>
      </c>
      <c r="C145" s="388">
        <f>'Data Entry - SOF'!O135</f>
        <v>0</v>
      </c>
      <c r="D145" s="388"/>
      <c r="E145" s="388">
        <f>'Data Entry - SOF'!O135</f>
        <v>0</v>
      </c>
    </row>
    <row r="146" spans="1:5" ht="15">
      <c r="A146" s="385" t="s">
        <v>2775</v>
      </c>
      <c r="B146" s="386" t="s">
        <v>6868</v>
      </c>
      <c r="C146" s="388">
        <f>'Data Entry - SOF'!O134</f>
        <v>0</v>
      </c>
      <c r="D146" s="388"/>
      <c r="E146" s="388">
        <f>'Data Entry - SOF'!O134</f>
        <v>0</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6867</v>
      </c>
      <c r="C149" s="388">
        <f>'Data Entry - SOF'!O135</f>
        <v>0</v>
      </c>
      <c r="D149" s="386"/>
      <c r="E149" s="388">
        <f>'Data Entry - SOF'!O135</f>
        <v>0</v>
      </c>
    </row>
    <row r="150" spans="1:5" ht="15">
      <c r="A150" s="385" t="s">
        <v>2777</v>
      </c>
      <c r="B150" s="386" t="s">
        <v>2914</v>
      </c>
      <c r="C150" s="389">
        <f>'Ch41 Calc Data'!P15</f>
        <v>0</v>
      </c>
      <c r="D150" s="389"/>
      <c r="E150" s="389">
        <f>'Ch41 Calc Data'!P15</f>
        <v>0</v>
      </c>
    </row>
    <row r="151" spans="1:5" ht="15">
      <c r="A151" s="385" t="s">
        <v>2778</v>
      </c>
      <c r="B151" s="386" t="s">
        <v>2915</v>
      </c>
      <c r="C151" s="389">
        <f>'Ch41 Calc Data'!P16</f>
        <v>0</v>
      </c>
      <c r="D151" s="389"/>
      <c r="E151" s="389">
        <f>'Ch41 Calc Data'!P16</f>
        <v>0</v>
      </c>
    </row>
    <row r="152" spans="1:5" ht="15.75">
      <c r="A152" s="577" t="s">
        <v>2916</v>
      </c>
      <c r="B152" s="543"/>
      <c r="C152" s="543"/>
      <c r="D152" s="543"/>
      <c r="E152" s="544"/>
    </row>
    <row r="153" spans="1:5" ht="15">
      <c r="A153" s="385" t="s">
        <v>2917</v>
      </c>
      <c r="B153" s="386" t="s">
        <v>6869</v>
      </c>
      <c r="C153" s="389" t="e">
        <f>'Ch41 Calc Data'!P17</f>
        <v>#DIV/0!</v>
      </c>
      <c r="D153" s="389"/>
      <c r="E153" s="389" t="e">
        <f>'Ch41 Calc Data'!P17</f>
        <v>#DIV/0!</v>
      </c>
    </row>
    <row r="154" spans="1:5" s="382" customFormat="1" ht="15">
      <c r="B154" s="741" t="s">
        <v>3812</v>
      </c>
      <c r="C154" s="1306" t="s">
        <v>6872</v>
      </c>
    </row>
    <row r="155" spans="1:5" s="382" customFormat="1" ht="15">
      <c r="B155" s="1304" t="s">
        <v>6950</v>
      </c>
      <c r="C155" s="1306" t="s">
        <v>6873</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'Report-Recapture1819'!E1</f>
        <v>Release 10</v>
      </c>
    </row>
    <row r="2" spans="1:5">
      <c r="A2" s="64" t="s">
        <v>3811</v>
      </c>
      <c r="E2" s="72">
        <f>'Data Entry - SOF'!Q2</f>
        <v>0</v>
      </c>
    </row>
    <row r="3" spans="1:5">
      <c r="A3" s="64"/>
      <c r="E3" s="58">
        <f>'Data Entry - SOF'!Q3</f>
        <v>0</v>
      </c>
    </row>
    <row r="4" spans="1:5" ht="15.75">
      <c r="A4" s="381" t="s">
        <v>6989</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6990</v>
      </c>
      <c r="C15" s="428">
        <f>'Option Costs'!AY70</f>
        <v>0</v>
      </c>
      <c r="D15" s="428"/>
      <c r="E15" s="428">
        <f>C15</f>
        <v>0</v>
      </c>
    </row>
    <row r="16" spans="1:5" s="382" customFormat="1" ht="15">
      <c r="A16" s="385" t="s">
        <v>912</v>
      </c>
      <c r="B16" s="386" t="s">
        <v>6991</v>
      </c>
      <c r="C16" s="429">
        <f>'Data Entry - SOF'!Q92</f>
        <v>1.17</v>
      </c>
      <c r="D16" s="429"/>
      <c r="E16" s="429">
        <f t="shared" ref="E16:E23" si="0">C16</f>
        <v>1.17</v>
      </c>
    </row>
    <row r="17" spans="1:5" s="382" customFormat="1" ht="15">
      <c r="A17" s="385" t="s">
        <v>2875</v>
      </c>
      <c r="B17" s="386" t="s">
        <v>6992</v>
      </c>
      <c r="C17" s="429">
        <f>FracFunding2223!D5</f>
        <v>1</v>
      </c>
      <c r="D17" s="429"/>
      <c r="E17" s="429">
        <f t="shared" si="0"/>
        <v>1</v>
      </c>
    </row>
    <row r="18" spans="1:5" s="382" customFormat="1" ht="15">
      <c r="A18" s="385" t="s">
        <v>913</v>
      </c>
      <c r="B18" s="386" t="s">
        <v>6993</v>
      </c>
      <c r="C18" s="389" t="e">
        <f>'Ch41 Calc Data'!Q17</f>
        <v>#DIV/0!</v>
      </c>
      <c r="D18" s="389"/>
      <c r="E18" s="389" t="e">
        <f t="shared" si="0"/>
        <v>#DIV/0!</v>
      </c>
    </row>
    <row r="19" spans="1:5" s="382" customFormat="1" ht="15">
      <c r="A19" s="385" t="s">
        <v>914</v>
      </c>
      <c r="B19" s="386" t="s">
        <v>6871</v>
      </c>
      <c r="C19" s="390">
        <f>'Data Entry - SOF'!Q75</f>
        <v>0</v>
      </c>
      <c r="D19" s="386"/>
      <c r="E19" s="428">
        <f t="shared" si="0"/>
        <v>0</v>
      </c>
    </row>
    <row r="20" spans="1:5" s="382" customFormat="1" ht="15">
      <c r="A20" s="385" t="s">
        <v>118</v>
      </c>
      <c r="B20" s="386" t="s">
        <v>6994</v>
      </c>
      <c r="C20" s="390">
        <f>'Report-SOF2223'!D57</f>
        <v>0</v>
      </c>
      <c r="D20" s="386"/>
      <c r="E20" s="428">
        <f t="shared" si="0"/>
        <v>0</v>
      </c>
    </row>
    <row r="21" spans="1:5" s="382" customFormat="1" ht="15">
      <c r="A21" s="385" t="s">
        <v>119</v>
      </c>
      <c r="B21" s="386" t="s">
        <v>2876</v>
      </c>
      <c r="C21" s="388">
        <f>'Data Entry - SOF'!Q139</f>
        <v>0</v>
      </c>
      <c r="D21" s="388"/>
      <c r="E21" s="388">
        <f t="shared" si="0"/>
        <v>0</v>
      </c>
    </row>
    <row r="22" spans="1:5" s="382" customFormat="1" ht="15">
      <c r="A22" s="385" t="s">
        <v>120</v>
      </c>
      <c r="B22" s="386" t="s">
        <v>2877</v>
      </c>
      <c r="C22" s="428">
        <f>'Data Entry - SOF'!Q140</f>
        <v>0</v>
      </c>
      <c r="D22" s="386"/>
      <c r="E22" s="428">
        <f t="shared" si="0"/>
        <v>0</v>
      </c>
    </row>
    <row r="23" spans="1:5" s="382" customFormat="1" ht="15">
      <c r="A23" s="385" t="s">
        <v>121</v>
      </c>
      <c r="B23" s="386" t="s">
        <v>1796</v>
      </c>
      <c r="C23" s="430">
        <f>'Report-SOF2223'!D40</f>
        <v>0</v>
      </c>
      <c r="D23" s="402"/>
      <c r="E23" s="430">
        <f t="shared" si="0"/>
        <v>0</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Costs'!AY13</f>
        <v>0</v>
      </c>
      <c r="D26" s="390"/>
      <c r="E26" s="390">
        <f t="shared" ref="E26:E31" si="1">C26</f>
        <v>0</v>
      </c>
    </row>
    <row r="27" spans="1:5" s="382" customFormat="1" ht="15">
      <c r="A27" s="385" t="s">
        <v>6</v>
      </c>
      <c r="B27" s="386" t="s">
        <v>2918</v>
      </c>
      <c r="C27" s="389">
        <f>'Option Costs'!AY16</f>
        <v>0</v>
      </c>
      <c r="D27" s="389"/>
      <c r="E27" s="389">
        <f t="shared" si="1"/>
        <v>0</v>
      </c>
    </row>
    <row r="28" spans="1:5" s="382" customFormat="1" ht="15">
      <c r="A28" s="385" t="s">
        <v>2232</v>
      </c>
      <c r="B28" s="386" t="s">
        <v>2884</v>
      </c>
      <c r="C28" s="390">
        <f>'Option Costs'!AY17</f>
        <v>0</v>
      </c>
      <c r="D28" s="390"/>
      <c r="E28" s="390">
        <f t="shared" si="1"/>
        <v>0</v>
      </c>
    </row>
    <row r="29" spans="1:5" s="382" customFormat="1" ht="15">
      <c r="A29" s="385" t="s">
        <v>2233</v>
      </c>
      <c r="B29" s="386" t="s">
        <v>2885</v>
      </c>
      <c r="C29" s="390">
        <f>'Option Costs'!AY19</f>
        <v>0</v>
      </c>
      <c r="D29" s="390"/>
      <c r="E29" s="390">
        <f t="shared" si="1"/>
        <v>0</v>
      </c>
    </row>
    <row r="30" spans="1:5" s="382" customFormat="1" ht="15">
      <c r="A30" s="385" t="s">
        <v>2722</v>
      </c>
      <c r="B30" s="386" t="s">
        <v>2886</v>
      </c>
      <c r="C30" s="389">
        <f>'Option Costs'!AY20</f>
        <v>0</v>
      </c>
      <c r="D30" s="389"/>
      <c r="E30" s="389">
        <f t="shared" si="1"/>
        <v>0</v>
      </c>
    </row>
    <row r="31" spans="1:5" s="382" customFormat="1" ht="15">
      <c r="A31" s="385" t="s">
        <v>2723</v>
      </c>
      <c r="B31" s="386" t="s">
        <v>6995</v>
      </c>
      <c r="C31" s="389">
        <f>'Option Costs'!AY21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t="e">
        <f>'Option Costs'!AY24</f>
        <v>#DIV/0!</v>
      </c>
      <c r="D33" s="390"/>
      <c r="E33" s="390" t="e">
        <f>C33</f>
        <v>#DIV/0!</v>
      </c>
    </row>
    <row r="34" spans="1:5" s="382" customFormat="1" ht="15.75">
      <c r="A34" s="596" t="s">
        <v>2888</v>
      </c>
      <c r="B34" s="543"/>
      <c r="C34" s="543"/>
      <c r="D34" s="543"/>
      <c r="E34" s="544"/>
    </row>
    <row r="35" spans="1:5" s="382" customFormat="1" ht="15">
      <c r="A35" s="400" t="s">
        <v>2727</v>
      </c>
      <c r="B35" s="386" t="s">
        <v>2889</v>
      </c>
      <c r="C35" s="390">
        <f>'Option Costs'!AY27</f>
        <v>0</v>
      </c>
      <c r="D35" s="390"/>
      <c r="E35" s="431" t="s">
        <v>1775</v>
      </c>
    </row>
    <row r="36" spans="1:5" s="382" customFormat="1" ht="15">
      <c r="A36" s="400" t="s">
        <v>2728</v>
      </c>
      <c r="B36" s="386" t="s">
        <v>2890</v>
      </c>
      <c r="C36" s="390" t="e">
        <f>'Option Costs'!AY28</f>
        <v>#DIV/0!</v>
      </c>
      <c r="D36" s="390"/>
      <c r="E36" s="431" t="s">
        <v>1775</v>
      </c>
    </row>
    <row r="37" spans="1:5" s="382" customFormat="1" ht="15">
      <c r="A37" s="400" t="s">
        <v>2729</v>
      </c>
      <c r="B37" s="386" t="s">
        <v>2891</v>
      </c>
      <c r="C37" s="390" t="e">
        <f>'Option Costs'!AY29</f>
        <v>#DIV/0!</v>
      </c>
      <c r="D37" s="390"/>
      <c r="E37" s="431" t="s">
        <v>1775</v>
      </c>
    </row>
    <row r="38" spans="1:5" s="382" customFormat="1" ht="15">
      <c r="A38" s="400" t="s">
        <v>2731</v>
      </c>
      <c r="B38" s="386" t="s">
        <v>2892</v>
      </c>
      <c r="C38" s="390" t="e">
        <f>'Option Costs'!AY30</f>
        <v>#DIV/0!</v>
      </c>
      <c r="D38" s="390"/>
      <c r="E38" s="431" t="s">
        <v>1775</v>
      </c>
    </row>
    <row r="39" spans="1:5" s="382" customFormat="1" ht="15">
      <c r="A39" s="400" t="s">
        <v>2732</v>
      </c>
      <c r="B39" s="386" t="s">
        <v>2893</v>
      </c>
      <c r="C39" s="390" t="e">
        <f>'Option Costs'!AY64</f>
        <v>#DIV/0!</v>
      </c>
      <c r="D39" s="390"/>
      <c r="E39" s="390" t="e">
        <f>'Option Costs'!BA64</f>
        <v>#DIV/0!</v>
      </c>
    </row>
    <row r="40" spans="1:5" s="382" customFormat="1" ht="15">
      <c r="A40" s="400" t="s">
        <v>2733</v>
      </c>
      <c r="B40" s="386" t="s">
        <v>2894</v>
      </c>
      <c r="C40" s="390" t="e">
        <f>'Option Costs'!AY65</f>
        <v>#DIV/0!</v>
      </c>
      <c r="D40" s="390"/>
      <c r="E40" s="390" t="e">
        <f>'Option Costs'!BA65</f>
        <v>#DIV/0!</v>
      </c>
    </row>
    <row r="41" spans="1:5" s="382" customFormat="1" ht="15">
      <c r="A41" s="400" t="s">
        <v>2734</v>
      </c>
      <c r="B41" s="386" t="s">
        <v>2895</v>
      </c>
      <c r="C41" s="389" t="e">
        <f>'Option Costs'!AY66</f>
        <v>#DIV/0!</v>
      </c>
      <c r="D41" s="389"/>
      <c r="E41" s="389" t="e">
        <f>'Option Costs'!BA66</f>
        <v>#DIV/0!</v>
      </c>
    </row>
    <row r="42" spans="1:5" s="382" customFormat="1" ht="15.75">
      <c r="A42" s="596" t="s">
        <v>2896</v>
      </c>
      <c r="B42" s="543"/>
      <c r="C42" s="543"/>
      <c r="D42" s="543"/>
      <c r="E42" s="544"/>
    </row>
    <row r="43" spans="1:5" s="382" customFormat="1" ht="15">
      <c r="A43" s="385" t="s">
        <v>2735</v>
      </c>
      <c r="B43" s="386" t="s">
        <v>2897</v>
      </c>
      <c r="C43" s="390" t="e">
        <f>'Option Costs'!AY73</f>
        <v>#DIV/0!</v>
      </c>
      <c r="D43" s="386"/>
      <c r="E43" s="390" t="e">
        <f>'Option Costs'!BA73</f>
        <v>#DIV/0!</v>
      </c>
    </row>
    <row r="44" spans="1:5" s="382" customFormat="1" ht="15">
      <c r="A44" s="385" t="s">
        <v>2740</v>
      </c>
      <c r="B44" s="386" t="s">
        <v>2898</v>
      </c>
      <c r="C44" s="389" t="e">
        <f>'Option Costs'!AY74</f>
        <v>#DIV/0!</v>
      </c>
      <c r="D44" s="389"/>
      <c r="E44" s="389" t="e">
        <f>'Option Costs'!BA74</f>
        <v>#DIV/0!</v>
      </c>
    </row>
    <row r="45" spans="1:5" s="382" customFormat="1" ht="15">
      <c r="A45" s="385" t="s">
        <v>2741</v>
      </c>
      <c r="B45" s="386" t="s">
        <v>6970</v>
      </c>
      <c r="C45" s="390" t="e">
        <f>'Option Costs'!AY75</f>
        <v>#DIV/0!</v>
      </c>
      <c r="D45" s="390"/>
      <c r="E45" s="390" t="e">
        <f>'Option Costs'!BA75</f>
        <v>#DIV/0!</v>
      </c>
    </row>
    <row r="46" spans="1:5" s="382" customFormat="1" ht="15">
      <c r="A46" s="385" t="s">
        <v>2742</v>
      </c>
      <c r="B46" s="386" t="s">
        <v>2899</v>
      </c>
      <c r="C46" s="389" t="e">
        <f>'Option Costs'!AY76</f>
        <v>#DIV/0!</v>
      </c>
      <c r="D46" s="389"/>
      <c r="E46" s="389" t="e">
        <f>'Option Costs'!BA76</f>
        <v>#DIV/0!</v>
      </c>
    </row>
    <row r="47" spans="1:5" s="382" customFormat="1" ht="15">
      <c r="A47" s="385" t="s">
        <v>2743</v>
      </c>
      <c r="B47" s="386" t="s">
        <v>2900</v>
      </c>
      <c r="C47" s="389">
        <f>'Option Costs'!AY77</f>
        <v>0</v>
      </c>
      <c r="D47" s="389"/>
      <c r="E47" s="389">
        <f>'Option Costs'!BA77</f>
        <v>0</v>
      </c>
    </row>
    <row r="48" spans="1:5" s="382" customFormat="1" ht="15">
      <c r="A48" s="385" t="s">
        <v>2744</v>
      </c>
      <c r="B48" s="386" t="s">
        <v>2901</v>
      </c>
      <c r="C48" s="389" t="e">
        <f>'Option Costs'!AY78</f>
        <v>#DIV/0!</v>
      </c>
      <c r="D48" s="389"/>
      <c r="E48" s="389" t="e">
        <f>'Option Costs'!BA78</f>
        <v>#DIV/0!</v>
      </c>
    </row>
    <row r="49" spans="1:5" s="382" customFormat="1" ht="15">
      <c r="A49" s="385" t="s">
        <v>2745</v>
      </c>
      <c r="B49" s="386" t="s">
        <v>2902</v>
      </c>
      <c r="C49" s="390" t="e">
        <f>'Option Costs'!AY79</f>
        <v>#DIV/0!</v>
      </c>
      <c r="D49" s="390"/>
      <c r="E49" s="390" t="e">
        <f>'Option Costs'!BA79</f>
        <v>#DIV/0!</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Costs'!AY98</f>
        <v>#DIV/0!</v>
      </c>
      <c r="D52" s="386"/>
      <c r="E52" s="431" t="s">
        <v>1775</v>
      </c>
    </row>
    <row r="53" spans="1:5" s="382" customFormat="1" ht="15">
      <c r="A53" s="385" t="s">
        <v>2747</v>
      </c>
      <c r="B53" s="386" t="s">
        <v>2961</v>
      </c>
      <c r="C53" s="390" t="e">
        <f>'Option Costs'!AY99</f>
        <v>#DIV/0!</v>
      </c>
      <c r="D53" s="386"/>
      <c r="E53" s="431" t="s">
        <v>1775</v>
      </c>
    </row>
    <row r="54" spans="1:5" s="382" customFormat="1" ht="15">
      <c r="A54" s="385" t="s">
        <v>2748</v>
      </c>
      <c r="B54" s="386" t="s">
        <v>2904</v>
      </c>
      <c r="C54" s="390" t="e">
        <f>'Option Costs'!AY82</f>
        <v>#DIV/0!</v>
      </c>
      <c r="D54" s="386"/>
      <c r="E54" s="431" t="s">
        <v>1775</v>
      </c>
    </row>
    <row r="55" spans="1:5" s="382" customFormat="1" ht="15.75">
      <c r="A55" s="596" t="s">
        <v>2905</v>
      </c>
      <c r="B55" s="543"/>
      <c r="C55" s="543"/>
      <c r="D55" s="543"/>
      <c r="E55" s="544"/>
    </row>
    <row r="56" spans="1:5" s="382" customFormat="1" ht="15">
      <c r="A56" s="385" t="s">
        <v>2749</v>
      </c>
      <c r="B56" s="386" t="s">
        <v>6996</v>
      </c>
      <c r="C56" s="390">
        <f>'Data Entry - SOF'!Q136</f>
        <v>0</v>
      </c>
      <c r="D56" s="390"/>
      <c r="E56" s="390">
        <f>'Data Entry - SOF'!Q136</f>
        <v>0</v>
      </c>
    </row>
    <row r="57" spans="1:5" s="382" customFormat="1" ht="15">
      <c r="A57" s="385" t="s">
        <v>2750</v>
      </c>
      <c r="B57" s="386" t="s">
        <v>6997</v>
      </c>
      <c r="C57" s="390" t="e">
        <f>'Option Costs'!AY73</f>
        <v>#DIV/0!</v>
      </c>
      <c r="D57" s="390"/>
      <c r="E57" s="390" t="e">
        <f>'Option Costs'!BA73</f>
        <v>#DIV/0!</v>
      </c>
    </row>
    <row r="58" spans="1:5" s="382" customFormat="1" ht="15">
      <c r="A58" s="385" t="s">
        <v>2751</v>
      </c>
      <c r="B58" s="386" t="s">
        <v>6990</v>
      </c>
      <c r="C58" s="390">
        <f>'Option Costs'!AY70</f>
        <v>0</v>
      </c>
      <c r="D58" s="390"/>
      <c r="E58" s="390">
        <f>'Option Costs'!BA70</f>
        <v>0</v>
      </c>
    </row>
    <row r="59" spans="1:5" s="382" customFormat="1" ht="15">
      <c r="A59" s="385" t="s">
        <v>2752</v>
      </c>
      <c r="B59" s="386" t="s">
        <v>6998</v>
      </c>
      <c r="C59" s="390" t="e">
        <f>'Option Costs'!AY83</f>
        <v>#DIV/0!</v>
      </c>
      <c r="D59" s="390"/>
      <c r="E59" s="390">
        <f>'Option Costs'!BA83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Costs'!AY83</f>
        <v>#DIV/0!</v>
      </c>
      <c r="D62" s="390"/>
      <c r="E62" s="390">
        <f>'Option Costs'!BA83</f>
        <v>0</v>
      </c>
    </row>
    <row r="63" spans="1:5" s="382" customFormat="1" ht="15.75">
      <c r="A63" s="550" t="s">
        <v>2908</v>
      </c>
      <c r="B63" s="543"/>
      <c r="C63" s="543"/>
      <c r="D63" s="543"/>
      <c r="E63" s="544"/>
    </row>
    <row r="64" spans="1:5" s="382" customFormat="1" ht="15">
      <c r="A64" s="385" t="s">
        <v>2756</v>
      </c>
      <c r="B64" s="386" t="s">
        <v>2909</v>
      </c>
      <c r="C64" s="390" t="e">
        <f>'Option Costs'!AY79</f>
        <v>#DIV/0!</v>
      </c>
      <c r="D64" s="390"/>
      <c r="E64" s="390" t="e">
        <f>'Option Costs'!BA79</f>
        <v>#DIV/0!</v>
      </c>
    </row>
    <row r="65" spans="1:7" s="382" customFormat="1" ht="15.75">
      <c r="A65" s="385" t="s">
        <v>2757</v>
      </c>
      <c r="B65" s="384" t="s">
        <v>2910</v>
      </c>
      <c r="C65" s="395" t="e">
        <f>'Option Costs'!AY85</f>
        <v>#DIV/0!</v>
      </c>
      <c r="D65" s="390"/>
      <c r="E65" s="395" t="e">
        <f>'Option Costs'!BA85</f>
        <v>#DIV/0!</v>
      </c>
      <c r="F65" s="567" t="s">
        <v>3024</v>
      </c>
      <c r="G65" s="568" t="str">
        <f>'Data Entry - SOF'!Q143</f>
        <v>Y</v>
      </c>
    </row>
    <row r="66" spans="1:7" s="382" customFormat="1" ht="15.75">
      <c r="A66" s="385" t="s">
        <v>2758</v>
      </c>
      <c r="B66" s="384" t="s">
        <v>2911</v>
      </c>
      <c r="C66" s="395" t="e">
        <f>'Option Costs'!AY86</f>
        <v>#DIV/0!</v>
      </c>
      <c r="D66" s="390"/>
      <c r="E66" s="395" t="e">
        <f>'Option Costs'!BA86</f>
        <v>#DIV/0!</v>
      </c>
      <c r="F66" s="325" t="s">
        <v>3038</v>
      </c>
    </row>
    <row r="67" spans="1:7" s="382" customFormat="1" ht="15.75">
      <c r="A67" s="596" t="s">
        <v>2912</v>
      </c>
      <c r="B67" s="543"/>
      <c r="C67" s="543"/>
      <c r="D67" s="543"/>
      <c r="E67" s="544"/>
      <c r="F67" s="325" t="s">
        <v>3039</v>
      </c>
    </row>
    <row r="68" spans="1:7" s="382" customFormat="1" ht="15">
      <c r="A68" s="385" t="s">
        <v>2773</v>
      </c>
      <c r="B68" s="386" t="s">
        <v>6999</v>
      </c>
      <c r="C68" s="389" t="e">
        <f>'Calc Data'!I25</f>
        <v>#DIV/0!</v>
      </c>
      <c r="D68" s="389"/>
      <c r="E68" s="389" t="e">
        <f>'Calc Data'!I25</f>
        <v>#DIV/0!</v>
      </c>
    </row>
    <row r="69" spans="1:7" s="382" customFormat="1" ht="15">
      <c r="A69" s="385" t="s">
        <v>2774</v>
      </c>
      <c r="B69" s="386" t="s">
        <v>7000</v>
      </c>
      <c r="C69" s="388">
        <f>'Data Entry - SOF'!Q135</f>
        <v>0</v>
      </c>
      <c r="D69" s="388"/>
      <c r="E69" s="388">
        <f>'Data Entry - SOF'!Q135</f>
        <v>0</v>
      </c>
    </row>
    <row r="70" spans="1:7" s="382" customFormat="1" ht="15">
      <c r="A70" s="385" t="s">
        <v>2775</v>
      </c>
      <c r="B70" s="386" t="s">
        <v>7001</v>
      </c>
      <c r="C70" s="388">
        <f>'Data Entry - SOF'!Q134</f>
        <v>0</v>
      </c>
      <c r="D70" s="388"/>
      <c r="E70" s="388">
        <f>'Data Entry - SOF'!Q134</f>
        <v>0</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7000</v>
      </c>
      <c r="C73" s="388">
        <f>'Data Entry - SOF'!Q135</f>
        <v>0</v>
      </c>
      <c r="D73" s="386"/>
      <c r="E73" s="388">
        <f>'Data Entry - SOF'!Q135</f>
        <v>0</v>
      </c>
    </row>
    <row r="74" spans="1:7" s="382" customFormat="1" ht="15">
      <c r="A74" s="385" t="s">
        <v>2777</v>
      </c>
      <c r="B74" s="386" t="s">
        <v>2914</v>
      </c>
      <c r="C74" s="389">
        <f>'Ch41 Calc Data'!Q15</f>
        <v>0</v>
      </c>
      <c r="D74" s="389"/>
      <c r="E74" s="389">
        <f>'Ch41 Calc Data'!Q15</f>
        <v>0</v>
      </c>
    </row>
    <row r="75" spans="1:7" s="382" customFormat="1" ht="15">
      <c r="A75" s="385" t="s">
        <v>2778</v>
      </c>
      <c r="B75" s="386" t="s">
        <v>2915</v>
      </c>
      <c r="C75" s="389">
        <f>'Ch41 Calc Data'!Q16</f>
        <v>0</v>
      </c>
      <c r="D75" s="389"/>
      <c r="E75" s="389">
        <f>'Ch41 Calc Data'!Q16</f>
        <v>0</v>
      </c>
    </row>
    <row r="76" spans="1:7" s="382" customFormat="1" ht="15.75">
      <c r="A76" s="596" t="s">
        <v>2916</v>
      </c>
      <c r="B76" s="543"/>
      <c r="C76" s="543"/>
      <c r="D76" s="543"/>
      <c r="E76" s="544"/>
    </row>
    <row r="77" spans="1:7" s="382" customFormat="1" ht="15">
      <c r="A77" s="385" t="s">
        <v>2917</v>
      </c>
      <c r="B77" s="386" t="s">
        <v>7002</v>
      </c>
      <c r="C77" s="389" t="e">
        <f>'Ch41 Calc Data'!Q17</f>
        <v>#DIV/0!</v>
      </c>
      <c r="D77" s="389"/>
      <c r="E77" s="389" t="e">
        <f>'Ch41 Calc Data'!Q17</f>
        <v>#DIV/0!</v>
      </c>
    </row>
    <row r="78" spans="1:7" s="382" customFormat="1" ht="15">
      <c r="B78" s="741" t="s">
        <v>3812</v>
      </c>
      <c r="C78" s="1433" t="s">
        <v>7066</v>
      </c>
    </row>
    <row r="79" spans="1:7" s="382" customFormat="1" ht="15">
      <c r="B79" s="1436" t="s">
        <v>7065</v>
      </c>
      <c r="C79" s="1433" t="s">
        <v>7053</v>
      </c>
    </row>
    <row r="80" spans="1:7" s="382" customFormat="1" ht="15.75">
      <c r="A80" s="325" t="s">
        <v>7003</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6990</v>
      </c>
      <c r="C91" s="428">
        <f>'Option Costs'!BC71</f>
        <v>0</v>
      </c>
      <c r="D91" s="428"/>
      <c r="E91" s="428">
        <f t="shared" si="2"/>
        <v>0</v>
      </c>
    </row>
    <row r="92" spans="1:5" s="382" customFormat="1" ht="15">
      <c r="A92" s="385" t="s">
        <v>912</v>
      </c>
      <c r="B92" s="386" t="s">
        <v>6991</v>
      </c>
      <c r="C92" s="429">
        <f>'Data Entry - SOF'!Q92</f>
        <v>1.17</v>
      </c>
      <c r="D92" s="429"/>
      <c r="E92" s="429">
        <f t="shared" si="2"/>
        <v>1.17</v>
      </c>
    </row>
    <row r="93" spans="1:5" s="382" customFormat="1" ht="15">
      <c r="A93" s="385" t="s">
        <v>2875</v>
      </c>
      <c r="B93" s="386" t="s">
        <v>6992</v>
      </c>
      <c r="C93" s="429">
        <f>C17</f>
        <v>1</v>
      </c>
      <c r="D93" s="429"/>
      <c r="E93" s="429">
        <f t="shared" si="2"/>
        <v>1</v>
      </c>
    </row>
    <row r="94" spans="1:5" s="382" customFormat="1" ht="15">
      <c r="A94" s="385" t="s">
        <v>913</v>
      </c>
      <c r="B94" s="386" t="s">
        <v>6993</v>
      </c>
      <c r="C94" s="389" t="e">
        <f>'Ch41 Calc Data'!Q17</f>
        <v>#DIV/0!</v>
      </c>
      <c r="D94" s="389"/>
      <c r="E94" s="389" t="e">
        <f t="shared" si="2"/>
        <v>#DIV/0!</v>
      </c>
    </row>
    <row r="95" spans="1:5" s="382" customFormat="1" ht="15">
      <c r="A95" s="385" t="s">
        <v>914</v>
      </c>
      <c r="B95" s="386" t="s">
        <v>6871</v>
      </c>
      <c r="C95" s="390">
        <f>C19</f>
        <v>0</v>
      </c>
      <c r="D95" s="386"/>
      <c r="E95" s="428">
        <f t="shared" si="2"/>
        <v>0</v>
      </c>
    </row>
    <row r="96" spans="1:5" s="382" customFormat="1" ht="15">
      <c r="A96" s="385" t="s">
        <v>118</v>
      </c>
      <c r="B96" s="386" t="s">
        <v>6994</v>
      </c>
      <c r="C96" s="390">
        <f>'Report-SOF2223'!D57</f>
        <v>0</v>
      </c>
      <c r="D96" s="386"/>
      <c r="E96" s="428">
        <f t="shared" si="2"/>
        <v>0</v>
      </c>
    </row>
    <row r="97" spans="1:5" s="382" customFormat="1" ht="15">
      <c r="A97" s="385" t="s">
        <v>119</v>
      </c>
      <c r="B97" s="386" t="s">
        <v>2876</v>
      </c>
      <c r="C97" s="388">
        <f>'Data Entry - SOF'!Q139</f>
        <v>0</v>
      </c>
      <c r="D97" s="388"/>
      <c r="E97" s="388">
        <f t="shared" si="2"/>
        <v>0</v>
      </c>
    </row>
    <row r="98" spans="1:5" s="382" customFormat="1" ht="15">
      <c r="A98" s="385" t="s">
        <v>120</v>
      </c>
      <c r="B98" s="386" t="s">
        <v>2877</v>
      </c>
      <c r="C98" s="428">
        <f>'Data Entry - SOF'!Q140</f>
        <v>0</v>
      </c>
      <c r="D98" s="386"/>
      <c r="E98" s="428">
        <f t="shared" si="2"/>
        <v>0</v>
      </c>
    </row>
    <row r="99" spans="1:5" s="382" customFormat="1" ht="15">
      <c r="A99" s="385" t="s">
        <v>121</v>
      </c>
      <c r="B99" s="386" t="s">
        <v>1796</v>
      </c>
      <c r="C99" s="430">
        <f>C23</f>
        <v>0</v>
      </c>
      <c r="D99" s="402"/>
      <c r="E99" s="430">
        <f t="shared" si="2"/>
        <v>0</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Costs'!BC13</f>
        <v>0</v>
      </c>
      <c r="D102" s="390"/>
      <c r="E102" s="390">
        <f t="shared" ref="E102:E107" si="3">C102</f>
        <v>0</v>
      </c>
    </row>
    <row r="103" spans="1:5" s="382" customFormat="1" ht="15">
      <c r="A103" s="385" t="s">
        <v>6</v>
      </c>
      <c r="B103" s="386" t="s">
        <v>2918</v>
      </c>
      <c r="C103" s="389">
        <f>'Option Costs'!BC16</f>
        <v>0</v>
      </c>
      <c r="D103" s="389"/>
      <c r="E103" s="389">
        <f t="shared" si="3"/>
        <v>0</v>
      </c>
    </row>
    <row r="104" spans="1:5" s="382" customFormat="1" ht="15">
      <c r="A104" s="385" t="s">
        <v>2232</v>
      </c>
      <c r="B104" s="386" t="s">
        <v>2884</v>
      </c>
      <c r="C104" s="390">
        <f>'Option Costs'!BC17</f>
        <v>0</v>
      </c>
      <c r="D104" s="390"/>
      <c r="E104" s="390">
        <f t="shared" si="3"/>
        <v>0</v>
      </c>
    </row>
    <row r="105" spans="1:5" s="382" customFormat="1" ht="15">
      <c r="A105" s="385" t="s">
        <v>2233</v>
      </c>
      <c r="B105" s="386" t="s">
        <v>2885</v>
      </c>
      <c r="C105" s="390">
        <f>'Option Costs'!BC19</f>
        <v>0</v>
      </c>
      <c r="D105" s="390"/>
      <c r="E105" s="390">
        <f t="shared" si="3"/>
        <v>0</v>
      </c>
    </row>
    <row r="106" spans="1:5" s="382" customFormat="1" ht="15">
      <c r="A106" s="385" t="s">
        <v>2722</v>
      </c>
      <c r="B106" s="386" t="s">
        <v>2886</v>
      </c>
      <c r="C106" s="389">
        <f>'Option Costs'!BC20</f>
        <v>0</v>
      </c>
      <c r="D106" s="389"/>
      <c r="E106" s="389">
        <f t="shared" si="3"/>
        <v>0</v>
      </c>
    </row>
    <row r="107" spans="1:5" s="382" customFormat="1" ht="15">
      <c r="A107" s="385" t="s">
        <v>2723</v>
      </c>
      <c r="B107" s="386" t="s">
        <v>6995</v>
      </c>
      <c r="C107" s="389">
        <f>'Option Costs'!BC21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t="e">
        <f>'Option Costs'!BC24</f>
        <v>#DIV/0!</v>
      </c>
      <c r="D109" s="390"/>
      <c r="E109" s="390" t="e">
        <f>C109</f>
        <v>#DIV/0!</v>
      </c>
    </row>
    <row r="110" spans="1:5" ht="15.75">
      <c r="A110" s="596" t="s">
        <v>2888</v>
      </c>
      <c r="B110" s="543"/>
      <c r="C110" s="543"/>
      <c r="D110" s="543"/>
      <c r="E110" s="544"/>
    </row>
    <row r="111" spans="1:5" ht="15">
      <c r="A111" s="400" t="s">
        <v>2727</v>
      </c>
      <c r="B111" s="386" t="s">
        <v>2889</v>
      </c>
      <c r="C111" s="390">
        <f>'Option Costs'!BC27</f>
        <v>0</v>
      </c>
      <c r="D111" s="390"/>
      <c r="E111" s="431" t="s">
        <v>1775</v>
      </c>
    </row>
    <row r="112" spans="1:5" ht="15">
      <c r="A112" s="400" t="s">
        <v>2728</v>
      </c>
      <c r="B112" s="386" t="s">
        <v>2890</v>
      </c>
      <c r="C112" s="390" t="e">
        <f>'Option Costs'!BC28</f>
        <v>#DIV/0!</v>
      </c>
      <c r="D112" s="390"/>
      <c r="E112" s="431" t="s">
        <v>1775</v>
      </c>
    </row>
    <row r="113" spans="1:5" ht="15">
      <c r="A113" s="400" t="s">
        <v>2729</v>
      </c>
      <c r="B113" s="386" t="s">
        <v>2891</v>
      </c>
      <c r="C113" s="390" t="e">
        <f>'Option Costs'!BC29</f>
        <v>#DIV/0!</v>
      </c>
      <c r="D113" s="390"/>
      <c r="E113" s="431" t="s">
        <v>1775</v>
      </c>
    </row>
    <row r="114" spans="1:5" ht="15">
      <c r="A114" s="400" t="s">
        <v>2731</v>
      </c>
      <c r="B114" s="386" t="s">
        <v>2892</v>
      </c>
      <c r="C114" s="390" t="e">
        <f>'Option Costs'!BC30</f>
        <v>#DIV/0!</v>
      </c>
      <c r="D114" s="390"/>
      <c r="E114" s="431" t="s">
        <v>1775</v>
      </c>
    </row>
    <row r="115" spans="1:5" ht="15">
      <c r="A115" s="400" t="s">
        <v>2732</v>
      </c>
      <c r="B115" s="386" t="s">
        <v>2893</v>
      </c>
      <c r="C115" s="390" t="e">
        <f>'Option Costs'!BC64</f>
        <v>#DIV/0!</v>
      </c>
      <c r="D115" s="390"/>
      <c r="E115" s="390" t="e">
        <f>'Option Costs'!BE64</f>
        <v>#DIV/0!</v>
      </c>
    </row>
    <row r="116" spans="1:5" ht="15">
      <c r="A116" s="400" t="s">
        <v>2733</v>
      </c>
      <c r="B116" s="386" t="s">
        <v>2894</v>
      </c>
      <c r="C116" s="390" t="e">
        <f>'Option Costs'!BC65</f>
        <v>#DIV/0!</v>
      </c>
      <c r="D116" s="390"/>
      <c r="E116" s="390" t="e">
        <f>'Option Costs'!BE65</f>
        <v>#DIV/0!</v>
      </c>
    </row>
    <row r="117" spans="1:5" ht="15">
      <c r="A117" s="400" t="s">
        <v>2734</v>
      </c>
      <c r="B117" s="386" t="s">
        <v>2895</v>
      </c>
      <c r="C117" s="389" t="e">
        <f>'Option Costs'!BC66</f>
        <v>#DIV/0!</v>
      </c>
      <c r="D117" s="389"/>
      <c r="E117" s="389" t="e">
        <f>'Option Costs'!BE66</f>
        <v>#DIV/0!</v>
      </c>
    </row>
    <row r="118" spans="1:5" ht="15.75">
      <c r="A118" s="596" t="s">
        <v>2896</v>
      </c>
      <c r="B118" s="543"/>
      <c r="C118" s="543"/>
      <c r="D118" s="543"/>
      <c r="E118" s="544"/>
    </row>
    <row r="119" spans="1:5" ht="15">
      <c r="A119" s="385" t="s">
        <v>2735</v>
      </c>
      <c r="B119" s="386" t="s">
        <v>2897</v>
      </c>
      <c r="C119" s="390">
        <f>'Option Costs'!BC73</f>
        <v>0</v>
      </c>
      <c r="D119" s="386"/>
      <c r="E119" s="390">
        <f>'Option Costs'!BE73</f>
        <v>0</v>
      </c>
    </row>
    <row r="120" spans="1:5" ht="15">
      <c r="A120" s="385" t="s">
        <v>2740</v>
      </c>
      <c r="B120" s="386" t="s">
        <v>2898</v>
      </c>
      <c r="C120" s="389">
        <f>'Option Costs'!BC74</f>
        <v>0</v>
      </c>
      <c r="D120" s="389"/>
      <c r="E120" s="389">
        <f>'Option Costs'!BE74</f>
        <v>0</v>
      </c>
    </row>
    <row r="121" spans="1:5" ht="15">
      <c r="A121" s="385" t="s">
        <v>2741</v>
      </c>
      <c r="B121" s="386" t="s">
        <v>6970</v>
      </c>
      <c r="C121" s="390">
        <f>'Option Costs'!BC75</f>
        <v>0</v>
      </c>
      <c r="D121" s="390"/>
      <c r="E121" s="390">
        <f>'Option Costs'!BE75</f>
        <v>0</v>
      </c>
    </row>
    <row r="122" spans="1:5" ht="15">
      <c r="A122" s="385" t="s">
        <v>2742</v>
      </c>
      <c r="B122" s="386" t="s">
        <v>2899</v>
      </c>
      <c r="C122" s="389">
        <f>'Option Costs'!BC76</f>
        <v>0</v>
      </c>
      <c r="D122" s="389"/>
      <c r="E122" s="389">
        <f>'Option Costs'!BE76</f>
        <v>0</v>
      </c>
    </row>
    <row r="123" spans="1:5" ht="15">
      <c r="A123" s="385" t="s">
        <v>2743</v>
      </c>
      <c r="B123" s="386" t="s">
        <v>2900</v>
      </c>
      <c r="C123" s="389">
        <f>'Option Costs'!BC77</f>
        <v>0</v>
      </c>
      <c r="D123" s="389"/>
      <c r="E123" s="389">
        <f>'Option Costs'!BE77</f>
        <v>0</v>
      </c>
    </row>
    <row r="124" spans="1:5" ht="15">
      <c r="A124" s="385" t="s">
        <v>2744</v>
      </c>
      <c r="B124" s="386" t="s">
        <v>2901</v>
      </c>
      <c r="C124" s="389">
        <f>'Option Costs'!BC78</f>
        <v>0</v>
      </c>
      <c r="D124" s="389"/>
      <c r="E124" s="389">
        <f>'Option Costs'!BE78</f>
        <v>0</v>
      </c>
    </row>
    <row r="125" spans="1:5" ht="15">
      <c r="A125" s="385" t="s">
        <v>2745</v>
      </c>
      <c r="B125" s="386" t="s">
        <v>2902</v>
      </c>
      <c r="C125" s="390">
        <f>'Option Costs'!BC79</f>
        <v>0</v>
      </c>
      <c r="D125" s="390"/>
      <c r="E125" s="390">
        <f>'Option Costs'!BE79</f>
        <v>0</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f>'Option Costs'!BC98</f>
        <v>0</v>
      </c>
      <c r="D128" s="386"/>
      <c r="E128" s="431" t="s">
        <v>1775</v>
      </c>
    </row>
    <row r="129" spans="1:7" ht="15">
      <c r="A129" s="385" t="s">
        <v>2747</v>
      </c>
      <c r="B129" s="386" t="s">
        <v>2961</v>
      </c>
      <c r="C129" s="390">
        <f>'Option Costs'!BC99</f>
        <v>0</v>
      </c>
      <c r="D129" s="386"/>
      <c r="E129" s="431" t="s">
        <v>1775</v>
      </c>
    </row>
    <row r="130" spans="1:7" ht="15">
      <c r="A130" s="385" t="s">
        <v>2748</v>
      </c>
      <c r="B130" s="386" t="s">
        <v>2904</v>
      </c>
      <c r="C130" s="390">
        <f>'Option Costs'!BC82</f>
        <v>0</v>
      </c>
      <c r="D130" s="386"/>
      <c r="E130" s="431" t="s">
        <v>1775</v>
      </c>
    </row>
    <row r="131" spans="1:7" ht="15.75">
      <c r="A131" s="596" t="s">
        <v>2905</v>
      </c>
      <c r="B131" s="543"/>
      <c r="C131" s="543"/>
      <c r="D131" s="543"/>
      <c r="E131" s="544"/>
    </row>
    <row r="132" spans="1:7" ht="15">
      <c r="A132" s="385" t="s">
        <v>2749</v>
      </c>
      <c r="B132" s="386" t="s">
        <v>6996</v>
      </c>
      <c r="C132" s="390">
        <f>'Data Entry - SOF'!Q136</f>
        <v>0</v>
      </c>
      <c r="D132" s="390"/>
      <c r="E132" s="390">
        <f>'Data Entry - SOF'!Q136</f>
        <v>0</v>
      </c>
    </row>
    <row r="133" spans="1:7" ht="15">
      <c r="A133" s="385" t="s">
        <v>2750</v>
      </c>
      <c r="B133" s="386" t="s">
        <v>6997</v>
      </c>
      <c r="C133" s="390">
        <f>'Option Costs'!BC73</f>
        <v>0</v>
      </c>
      <c r="D133" s="390"/>
      <c r="E133" s="390">
        <f>'Option Costs'!BE73</f>
        <v>0</v>
      </c>
    </row>
    <row r="134" spans="1:7" ht="15">
      <c r="A134" s="385" t="s">
        <v>2751</v>
      </c>
      <c r="B134" s="386" t="s">
        <v>6990</v>
      </c>
      <c r="C134" s="390">
        <f>'Option Costs'!BC72</f>
        <v>0</v>
      </c>
      <c r="D134" s="390"/>
      <c r="E134" s="390">
        <f>'Option Costs'!BE72</f>
        <v>0</v>
      </c>
    </row>
    <row r="135" spans="1:7" ht="15">
      <c r="A135" s="385" t="s">
        <v>2752</v>
      </c>
      <c r="B135" s="386" t="s">
        <v>6998</v>
      </c>
      <c r="C135" s="390" t="e">
        <f>'Option Costs'!BC83</f>
        <v>#DIV/0!</v>
      </c>
      <c r="D135" s="390"/>
      <c r="E135" s="390">
        <f>'Option Costs'!BE83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Costs'!BC83</f>
        <v>#DIV/0!</v>
      </c>
      <c r="D138" s="390"/>
      <c r="E138" s="390">
        <f>'Option Costs'!BE83</f>
        <v>0</v>
      </c>
    </row>
    <row r="139" spans="1:7" ht="15.75">
      <c r="A139" s="550" t="s">
        <v>2908</v>
      </c>
      <c r="B139" s="543"/>
      <c r="C139" s="543"/>
      <c r="D139" s="543"/>
      <c r="E139" s="544"/>
    </row>
    <row r="140" spans="1:7" ht="15">
      <c r="A140" s="385" t="s">
        <v>2756</v>
      </c>
      <c r="B140" s="386" t="s">
        <v>2909</v>
      </c>
      <c r="C140" s="390">
        <f>'Option Costs'!BC79</f>
        <v>0</v>
      </c>
      <c r="D140" s="390"/>
      <c r="E140" s="390">
        <f>'Option Costs'!BE79</f>
        <v>0</v>
      </c>
    </row>
    <row r="141" spans="1:7" ht="15.75">
      <c r="A141" s="385" t="s">
        <v>2757</v>
      </c>
      <c r="B141" s="384" t="s">
        <v>2910</v>
      </c>
      <c r="C141" s="395" t="e">
        <f>'Option Costs'!BC85</f>
        <v>#DIV/0!</v>
      </c>
      <c r="D141" s="395"/>
      <c r="E141" s="395">
        <f>'Option Costs'!BE85</f>
        <v>0</v>
      </c>
      <c r="F141" s="567" t="s">
        <v>3024</v>
      </c>
      <c r="G141" s="568" t="str">
        <f>'Data Entry - SOF'!Q144</f>
        <v>Y</v>
      </c>
    </row>
    <row r="142" spans="1:7" ht="15.75">
      <c r="A142" s="385" t="s">
        <v>2758</v>
      </c>
      <c r="B142" s="384" t="s">
        <v>2911</v>
      </c>
      <c r="C142" s="395">
        <f>'Option Costs'!BC86</f>
        <v>0</v>
      </c>
      <c r="D142" s="395"/>
      <c r="E142" s="395">
        <f>'Option Costs'!BE86</f>
        <v>0</v>
      </c>
    </row>
    <row r="143" spans="1:7" ht="15.75">
      <c r="A143" s="596" t="s">
        <v>2912</v>
      </c>
      <c r="B143" s="543"/>
      <c r="C143" s="543"/>
      <c r="D143" s="543"/>
      <c r="E143" s="544"/>
    </row>
    <row r="144" spans="1:7" ht="15">
      <c r="A144" s="385" t="s">
        <v>2773</v>
      </c>
      <c r="B144" s="386" t="s">
        <v>6999</v>
      </c>
      <c r="C144" s="389" t="e">
        <f>'Calc Data'!I25</f>
        <v>#DIV/0!</v>
      </c>
      <c r="D144" s="389"/>
      <c r="E144" s="389" t="e">
        <f>'Calc Data'!I25</f>
        <v>#DIV/0!</v>
      </c>
    </row>
    <row r="145" spans="1:5" ht="15">
      <c r="A145" s="385" t="s">
        <v>2774</v>
      </c>
      <c r="B145" s="386" t="s">
        <v>7000</v>
      </c>
      <c r="C145" s="388">
        <f>'Data Entry - SOF'!Q135</f>
        <v>0</v>
      </c>
      <c r="D145" s="388"/>
      <c r="E145" s="388">
        <f>'Data Entry - SOF'!Q135</f>
        <v>0</v>
      </c>
    </row>
    <row r="146" spans="1:5" ht="15">
      <c r="A146" s="385" t="s">
        <v>2775</v>
      </c>
      <c r="B146" s="386" t="s">
        <v>7001</v>
      </c>
      <c r="C146" s="388">
        <f>'Data Entry - SOF'!Q134</f>
        <v>0</v>
      </c>
      <c r="D146" s="388"/>
      <c r="E146" s="388">
        <f>'Data Entry - SOF'!Q134</f>
        <v>0</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7000</v>
      </c>
      <c r="C149" s="388">
        <f>'Data Entry - SOF'!Q135</f>
        <v>0</v>
      </c>
      <c r="D149" s="386"/>
      <c r="E149" s="388">
        <f>'Data Entry - SOF'!Q135</f>
        <v>0</v>
      </c>
    </row>
    <row r="150" spans="1:5" ht="15">
      <c r="A150" s="385" t="s">
        <v>2777</v>
      </c>
      <c r="B150" s="386" t="s">
        <v>2914</v>
      </c>
      <c r="C150" s="389">
        <f>'Ch41 Calc Data'!Q15</f>
        <v>0</v>
      </c>
      <c r="D150" s="389"/>
      <c r="E150" s="389">
        <f>'Ch41 Calc Data'!Q15</f>
        <v>0</v>
      </c>
    </row>
    <row r="151" spans="1:5" ht="15">
      <c r="A151" s="385" t="s">
        <v>2778</v>
      </c>
      <c r="B151" s="386" t="s">
        <v>2915</v>
      </c>
      <c r="C151" s="389">
        <f>'Ch41 Calc Data'!Q16</f>
        <v>0</v>
      </c>
      <c r="D151" s="389"/>
      <c r="E151" s="389">
        <f>'Ch41 Calc Data'!Q16</f>
        <v>0</v>
      </c>
    </row>
    <row r="152" spans="1:5" ht="15.75">
      <c r="A152" s="577" t="s">
        <v>2916</v>
      </c>
      <c r="B152" s="543"/>
      <c r="C152" s="543"/>
      <c r="D152" s="543"/>
      <c r="E152" s="544"/>
    </row>
    <row r="153" spans="1:5" ht="15">
      <c r="A153" s="385" t="s">
        <v>2917</v>
      </c>
      <c r="B153" s="386" t="s">
        <v>7002</v>
      </c>
      <c r="C153" s="389" t="e">
        <f>'Ch41 Calc Data'!Q17</f>
        <v>#DIV/0!</v>
      </c>
      <c r="D153" s="389"/>
      <c r="E153" s="389" t="e">
        <f>'Ch41 Calc Data'!Q17</f>
        <v>#DIV/0!</v>
      </c>
    </row>
    <row r="154" spans="1:5" s="382" customFormat="1" ht="15">
      <c r="B154" s="741" t="s">
        <v>3812</v>
      </c>
      <c r="C154" s="1433" t="s">
        <v>7066</v>
      </c>
    </row>
    <row r="155" spans="1:5" s="382" customFormat="1" ht="15">
      <c r="B155" s="1436" t="s">
        <v>7065</v>
      </c>
      <c r="C155" s="1433" t="s">
        <v>7053</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703125" bestFit="1" customWidth="1"/>
    <col min="3" max="3" width="13.5703125" customWidth="1"/>
    <col min="4" max="4" width="44.5703125" customWidth="1"/>
    <col min="5" max="6" width="19.140625" customWidth="1"/>
    <col min="7" max="7" width="19.140625" hidden="1" customWidth="1"/>
    <col min="8" max="8" width="3.5703125" customWidth="1"/>
    <col min="9" max="9" width="13.85546875" customWidth="1"/>
    <col min="10" max="13" width="13.5703125" customWidth="1"/>
    <col min="14" max="14" width="13.5703125" style="37" customWidth="1"/>
    <col min="15" max="15" width="13.5703125" customWidth="1"/>
    <col min="37" max="37" width="15.5703125" customWidth="1"/>
    <col min="38" max="38" width="16" customWidth="1"/>
  </cols>
  <sheetData>
    <row r="1" spans="1:8">
      <c r="A1" s="20" t="s">
        <v>66</v>
      </c>
      <c r="C1" s="264">
        <f>'Data Entry - SOF'!B1</f>
        <v>0</v>
      </c>
      <c r="E1" s="362"/>
      <c r="G1" s="631"/>
      <c r="H1" s="59"/>
    </row>
    <row r="2" spans="1:8">
      <c r="A2" s="20" t="s">
        <v>67</v>
      </c>
      <c r="C2" s="12">
        <f>'Data Entry - SOF'!B2</f>
        <v>0</v>
      </c>
      <c r="G2" s="59"/>
      <c r="H2" s="59"/>
    </row>
    <row r="3" spans="1:8">
      <c r="A3" s="20" t="s">
        <v>143</v>
      </c>
      <c r="C3" s="62">
        <f ca="1">'Data Entry - SOF'!B3</f>
        <v>43726.623322453706</v>
      </c>
      <c r="G3" s="58"/>
    </row>
    <row r="4" spans="1:8">
      <c r="D4" s="295" t="s">
        <v>3178</v>
      </c>
    </row>
    <row r="5" spans="1:8">
      <c r="D5" s="296" t="s">
        <v>3849</v>
      </c>
    </row>
    <row r="7" spans="1:8">
      <c r="D7" s="20" t="s">
        <v>1393</v>
      </c>
    </row>
    <row r="8" spans="1:8">
      <c r="B8" s="4"/>
      <c r="D8" s="20" t="s">
        <v>832</v>
      </c>
      <c r="F8" s="19">
        <f>'Calc Data'!E7</f>
        <v>0</v>
      </c>
      <c r="G8" s="19"/>
      <c r="H8" s="18"/>
    </row>
    <row r="9" spans="1:8">
      <c r="D9" s="20" t="s">
        <v>1394</v>
      </c>
      <c r="F9" s="19">
        <f>'Calc Data'!E8</f>
        <v>0</v>
      </c>
      <c r="G9" s="19"/>
      <c r="H9" s="18"/>
    </row>
    <row r="10" spans="1:8">
      <c r="D10" s="20" t="s">
        <v>426</v>
      </c>
      <c r="F10" s="19">
        <f>'Data Entry - SOF'!E35</f>
        <v>0</v>
      </c>
      <c r="G10" s="19"/>
      <c r="H10" s="18"/>
    </row>
    <row r="11" spans="1:8">
      <c r="B11" s="20"/>
      <c r="D11" s="20" t="s">
        <v>427</v>
      </c>
      <c r="F11" s="19">
        <f>'Calc Data'!E10</f>
        <v>0</v>
      </c>
      <c r="G11" s="19"/>
      <c r="H11" s="18"/>
    </row>
    <row r="12" spans="1:8">
      <c r="D12" s="20" t="s">
        <v>428</v>
      </c>
      <c r="F12" s="16">
        <f>'Data Entry - SOF'!E73</f>
        <v>0</v>
      </c>
      <c r="G12" s="16"/>
      <c r="H12" s="16"/>
    </row>
    <row r="13" spans="1:8">
      <c r="D13" s="20" t="s">
        <v>429</v>
      </c>
      <c r="F13" s="725" t="s">
        <v>3796</v>
      </c>
      <c r="G13" s="16"/>
      <c r="H13" s="16"/>
    </row>
    <row r="14" spans="1:8">
      <c r="D14" s="20" t="s">
        <v>1811</v>
      </c>
      <c r="F14" s="19">
        <f>'Data Entry - SOF'!E159</f>
        <v>0</v>
      </c>
      <c r="G14" s="19"/>
      <c r="H14" s="16"/>
    </row>
    <row r="15" spans="1:8">
      <c r="D15" s="20" t="s">
        <v>1155</v>
      </c>
      <c r="F15" s="19">
        <f>'Calc Data'!E59</f>
        <v>0</v>
      </c>
      <c r="G15" s="19"/>
      <c r="H15" s="17"/>
    </row>
    <row r="16" spans="1:8">
      <c r="D16" s="20" t="s">
        <v>1956</v>
      </c>
      <c r="F16" s="16">
        <f>'Data Entry - SOF'!E93</f>
        <v>0</v>
      </c>
      <c r="G16" s="16"/>
      <c r="H16" s="16"/>
    </row>
    <row r="17" spans="2:37" ht="13.5" thickBot="1">
      <c r="D17" s="27"/>
      <c r="E17" s="10"/>
      <c r="F17" s="10"/>
      <c r="H17" s="16"/>
    </row>
    <row r="18" spans="2:37" ht="13.5" thickTop="1">
      <c r="D18" s="20"/>
      <c r="H18" s="16"/>
    </row>
    <row r="19" spans="2:37" ht="15.75" hidden="1">
      <c r="D19" s="20"/>
      <c r="E19" s="332" t="s">
        <v>95</v>
      </c>
      <c r="F19" s="331" t="e">
        <f>IF(#REF!="y","ASATR DIST","FORMULA DIST")</f>
        <v>#REF!</v>
      </c>
      <c r="G19" s="632"/>
      <c r="H19" s="20"/>
      <c r="AK19" t="s">
        <v>2305</v>
      </c>
    </row>
    <row r="20" spans="2:37" ht="15.75">
      <c r="B20" s="24" t="s">
        <v>430</v>
      </c>
      <c r="D20" s="20"/>
      <c r="F20" s="633" t="s">
        <v>469</v>
      </c>
      <c r="G20" s="633" t="s">
        <v>3177</v>
      </c>
      <c r="H20" s="20"/>
    </row>
    <row r="21" spans="2:37" ht="15.75">
      <c r="B21" s="24">
        <v>11</v>
      </c>
      <c r="D21" s="100" t="s">
        <v>3181</v>
      </c>
      <c r="F21" s="311" t="e">
        <f>ROUND(ROUND('Calc Data'!W9,0)*IF('Calc Data'!E11&gt;'Calc Data'!E10,'Calc Data'!E11,'Calc Data'!E10),0)</f>
        <v>#REF!</v>
      </c>
      <c r="G21" s="311" t="e">
        <f>ROUND(ROUND('Calc Data'!V9,0)*IF('Calc Data'!E11&gt;'Calc Data'!E10,'Calc Data'!E11,'Calc Data'!E10),0)*Weights!J4</f>
        <v>#REF!</v>
      </c>
      <c r="H21" s="16"/>
      <c r="I21" s="82" t="s">
        <v>859</v>
      </c>
      <c r="AK21" s="16" t="e">
        <f>ROUND(ROUND('Calc Data'!AC23,0)*IF('Calc Data'!#REF!&gt;'Calc Data'!#REF!,'Calc Data'!#REF!,'Calc Data'!#REF!),0)</f>
        <v>#REF!</v>
      </c>
    </row>
    <row r="22" spans="2:37">
      <c r="B22" s="24">
        <v>23</v>
      </c>
      <c r="D22" s="20" t="s">
        <v>89</v>
      </c>
      <c r="F22" s="16" t="e">
        <f>ROUND('Calc Data'!E9*ROUND('Calc Data'!W9,0),0)</f>
        <v>#REF!</v>
      </c>
      <c r="G22" s="16" t="e">
        <f>ROUND('Calc Data'!E9*ROUND('Calc Data'!V9,0),0)</f>
        <v>#REF!</v>
      </c>
      <c r="H22" s="16"/>
      <c r="AK22" s="16" t="e">
        <f>ROUND('Calc Data'!#REF!*ROUND('Calc Data'!AC23,0),0)</f>
        <v>#REF!</v>
      </c>
    </row>
    <row r="23" spans="2:37">
      <c r="B23" s="24"/>
      <c r="D23" s="20" t="s">
        <v>90</v>
      </c>
    </row>
    <row r="24" spans="2:37">
      <c r="B24" s="24">
        <v>23</v>
      </c>
      <c r="D24" s="20" t="s">
        <v>91</v>
      </c>
      <c r="F24" s="26" t="e">
        <f>ROUND('Data Entry - SOF'!E34*Weights!J21*ROUND('Calc Data'!W9,0),0)</f>
        <v>#REF!</v>
      </c>
      <c r="G24" s="26" t="e">
        <f>ROUND('Data Entry - SOF'!E34*Weights!J21*ROUND('Calc Data'!V9,0),0)</f>
        <v>#REF!</v>
      </c>
      <c r="H24" s="26"/>
      <c r="AK24" s="26">
        <f>ROUND('Data Entry - SOF'!E34*1.1*ROUND('Calc Data'!AC23,0),0)</f>
        <v>0</v>
      </c>
    </row>
    <row r="25" spans="2:37">
      <c r="B25" s="24">
        <v>23</v>
      </c>
      <c r="D25" s="20" t="s">
        <v>92</v>
      </c>
      <c r="F25" s="16" t="e">
        <f>ROUND((+'Data Entry - SOF'!E32*Weights!J19)*ROUND('Calc Data'!W9,0),0)</f>
        <v>#REF!</v>
      </c>
      <c r="G25" s="16" t="e">
        <f>ROUND((+'Data Entry - SOF'!E32*Weights!J19)*ROUND('Calc Data'!V9,0),0)</f>
        <v>#REF!</v>
      </c>
      <c r="H25" s="16"/>
      <c r="AK25" s="16">
        <f>ROUND((+'Data Entry - SOF'!E32*4)*ROUND('Calc Data'!AC23,0),0)</f>
        <v>0</v>
      </c>
    </row>
    <row r="26" spans="2:37">
      <c r="B26" s="24">
        <v>23</v>
      </c>
      <c r="D26" s="22" t="s">
        <v>812</v>
      </c>
      <c r="F26" s="16" t="e">
        <f>ROUND((+'Data Entry - SOF'!E30*Weights!J17)*ROUND('Calc Data'!W9,0),0)</f>
        <v>#REF!</v>
      </c>
      <c r="G26" s="16" t="e">
        <f>ROUND((+'Data Entry - SOF'!E30*Weights!J17)*ROUND('Calc Data'!V9,0),0)</f>
        <v>#REF!</v>
      </c>
      <c r="H26" s="16"/>
      <c r="AK26" s="16">
        <f>ROUND((+'Data Entry - SOF'!E30*2.8)*ROUND('Calc Data'!AC23,0),0)</f>
        <v>0</v>
      </c>
    </row>
    <row r="27" spans="2:37">
      <c r="B27" s="24">
        <v>23</v>
      </c>
      <c r="D27" s="22" t="s">
        <v>813</v>
      </c>
      <c r="F27" s="16" t="e">
        <f>ROUND(('Data Entry - SOF'!E31*Weights!J18)*ROUND('Calc Data'!W9,0),0)</f>
        <v>#REF!</v>
      </c>
      <c r="G27" s="16" t="e">
        <f>ROUND(('Data Entry - SOF'!E31*Weights!J18)*ROUND('Calc Data'!V9,0),0)</f>
        <v>#REF!</v>
      </c>
      <c r="H27" s="16"/>
      <c r="AK27" s="16">
        <f>ROUND(('Data Entry - SOF'!E31*1.7)*ROUND('Calc Data'!AC23,0),0)</f>
        <v>0</v>
      </c>
    </row>
    <row r="28" spans="2:37">
      <c r="B28" s="24"/>
      <c r="D28" s="20" t="s">
        <v>1145</v>
      </c>
      <c r="F28" s="16">
        <f>IF('Data Entry - SOF'!E114&lt;0,'Data Entry - SOF'!E114,'Data Entry - SOF'!E114*-1)</f>
        <v>0</v>
      </c>
      <c r="G28" s="16">
        <f>IF('Data Entry - SOF'!E114&lt;0,'Data Entry - SOF'!E114,'Data Entry - SOF'!E114*-1)</f>
        <v>0</v>
      </c>
      <c r="H28" s="16"/>
      <c r="AK28" s="16">
        <v>0</v>
      </c>
    </row>
    <row r="29" spans="2:37">
      <c r="B29" s="24">
        <v>22</v>
      </c>
      <c r="C29" s="14"/>
      <c r="D29" s="20" t="s">
        <v>102</v>
      </c>
      <c r="F29" s="16" t="e">
        <f>ROUND(ROUND('Calc Data'!W9,0)*'Data Entry - SOF'!E35*Weights!J23,0)</f>
        <v>#REF!</v>
      </c>
      <c r="G29" s="16" t="e">
        <f>ROUND(ROUND('Calc Data'!V9,0)*'Data Entry - SOF'!E35*Weights!J23,0)</f>
        <v>#REF!</v>
      </c>
      <c r="H29" s="16"/>
      <c r="AK29" s="16">
        <f>ROUND(ROUND('Calc Data'!AC23,0)*'Data Entry - SOF'!E35*1.35,0)</f>
        <v>0</v>
      </c>
    </row>
    <row r="30" spans="2:37">
      <c r="B30" s="24"/>
      <c r="C30" s="14"/>
      <c r="D30" s="35" t="s">
        <v>644</v>
      </c>
      <c r="F30" s="16">
        <f>Weights!J24*'Data Entry - SOF'!E37</f>
        <v>0</v>
      </c>
      <c r="G30" s="16">
        <f>Weights!J24*'Data Entry - SOF'!E37</f>
        <v>0</v>
      </c>
      <c r="H30" s="16"/>
      <c r="AK30" s="16"/>
    </row>
    <row r="31" spans="2:37" hidden="1">
      <c r="B31" s="24"/>
      <c r="C31" s="14"/>
      <c r="D31" s="35" t="s">
        <v>645</v>
      </c>
      <c r="F31" s="16">
        <f>400*'Data Entry - SOF'!E39</f>
        <v>0</v>
      </c>
      <c r="G31" s="16">
        <f t="shared" ref="G31:G43" si="0">F31</f>
        <v>0</v>
      </c>
      <c r="H31" s="16"/>
      <c r="AK31" s="16"/>
    </row>
    <row r="32" spans="2:37" hidden="1">
      <c r="B32" s="24"/>
      <c r="C32" s="14"/>
      <c r="D32" s="35" t="s">
        <v>646</v>
      </c>
      <c r="F32" s="16">
        <f>80*'Data Entry - SOF'!E40</f>
        <v>0</v>
      </c>
      <c r="G32" s="16">
        <f t="shared" si="0"/>
        <v>0</v>
      </c>
      <c r="H32" s="16"/>
      <c r="AK32" s="16"/>
    </row>
    <row r="33" spans="2:37">
      <c r="B33" s="24">
        <v>21</v>
      </c>
      <c r="D33" s="20" t="s">
        <v>2634</v>
      </c>
      <c r="F33" s="16" t="e">
        <f>ROUND(ROUND('Calc Data'!W9,0)*'Data Entry - SOF'!E211*Weights!J28,0)</f>
        <v>#REF!</v>
      </c>
      <c r="G33" s="16" t="e">
        <f>ROUND(ROUND('Calc Data'!V9,0)*'Data Entry - SOF'!E211*Weights!J28,0)</f>
        <v>#REF!</v>
      </c>
      <c r="H33" s="16"/>
      <c r="AK33" s="16" t="e">
        <f>ROUND(ROUND('Calc Data'!AC23,0)*'Data Entry - SOF'!#REF!*0.12,0)</f>
        <v>#REF!</v>
      </c>
    </row>
    <row r="34" spans="2:37">
      <c r="B34" s="24"/>
      <c r="D34" s="20" t="s">
        <v>397</v>
      </c>
      <c r="F34" s="16">
        <f>IF('Data Entry - SOF'!E113&lt;0,'Data Entry - SOF'!E113,'Data Entry - SOF'!E113*-1)</f>
        <v>0</v>
      </c>
      <c r="G34" s="16">
        <f>IF('Data Entry - SOF'!E113&lt;0,'Data Entry - SOF'!E113,'Data Entry - SOF'!E113*-1)</f>
        <v>0</v>
      </c>
      <c r="H34" s="16"/>
      <c r="AK34" s="16">
        <v>0</v>
      </c>
    </row>
    <row r="35" spans="2:37">
      <c r="B35" s="24" t="s">
        <v>2497</v>
      </c>
      <c r="D35" s="20" t="s">
        <v>398</v>
      </c>
      <c r="F35" s="16" t="e">
        <f>ROUND(ROUND('Calc Data'!W9,0)*'Data Entry - SOF'!E41*Weights!J30,0)</f>
        <v>#REF!</v>
      </c>
      <c r="G35" s="16" t="e">
        <f>ROUND(ROUND('Calc Data'!V9,0)*'Data Entry - SOF'!E41*Weights!J30,0)</f>
        <v>#REF!</v>
      </c>
      <c r="H35" s="16"/>
      <c r="AK35" s="16">
        <f>ROUND(ROUND('Calc Data'!AC23,0)*'Data Entry - SOF'!E41*0.2,0)</f>
        <v>0</v>
      </c>
    </row>
    <row r="36" spans="2:37">
      <c r="B36" s="24" t="s">
        <v>2497</v>
      </c>
      <c r="D36" s="20" t="s">
        <v>399</v>
      </c>
      <c r="F36" s="16" t="e">
        <f>ROUND(ROUND('Calc Data'!W9,0)*'Data Entry - SOF'!E49*Weights!J31,0)</f>
        <v>#REF!</v>
      </c>
      <c r="G36" s="16" t="e">
        <f>ROUND(ROUND('Calc Data'!V9,0)*'Data Entry - SOF'!E49*Weights!J31,0)</f>
        <v>#REF!</v>
      </c>
      <c r="H36" s="16"/>
      <c r="AK36" s="16">
        <f>ROUND(ROUND('Calc Data'!AC23,0)*'Data Entry - SOF'!E49*2.41,0)</f>
        <v>0</v>
      </c>
    </row>
    <row r="37" spans="2:37" hidden="1">
      <c r="B37" s="24" t="s">
        <v>2497</v>
      </c>
      <c r="D37" s="71" t="s">
        <v>451</v>
      </c>
      <c r="E37" s="310"/>
      <c r="F37" s="16">
        <f>650*'Data Entry - SOF'!E50</f>
        <v>0</v>
      </c>
      <c r="G37" s="16">
        <f t="shared" si="0"/>
        <v>0</v>
      </c>
      <c r="H37" s="16"/>
      <c r="AK37" s="16"/>
    </row>
    <row r="38" spans="2:37" hidden="1">
      <c r="B38" s="24"/>
      <c r="D38" s="20" t="s">
        <v>1229</v>
      </c>
      <c r="F38" s="16">
        <v>0</v>
      </c>
      <c r="G38" s="16">
        <f t="shared" si="0"/>
        <v>0</v>
      </c>
      <c r="H38" s="16"/>
      <c r="AK38" s="16">
        <v>0</v>
      </c>
    </row>
    <row r="39" spans="2:37">
      <c r="B39" s="24">
        <v>25</v>
      </c>
      <c r="D39" s="20" t="s">
        <v>1135</v>
      </c>
      <c r="F39" s="16" t="e">
        <f>ROUND(ROUND('Calc Data'!W9,0)*('Data Entry - SOF'!E51*Weights!J26),0)</f>
        <v>#REF!</v>
      </c>
      <c r="G39" s="16" t="e">
        <f>ROUND(ROUND('Calc Data'!V9,0)*('Data Entry - SOF'!E51*Weights!J26),0)</f>
        <v>#REF!</v>
      </c>
      <c r="H39" s="16"/>
      <c r="AK39" s="16">
        <f>ROUND(ROUND('Calc Data'!AC23,0)*('Data Entry - SOF'!E51*0.1),0)</f>
        <v>0</v>
      </c>
    </row>
    <row r="40" spans="2:37">
      <c r="B40" s="24">
        <v>31</v>
      </c>
      <c r="D40" s="35" t="s">
        <v>2435</v>
      </c>
      <c r="F40" s="16">
        <f>Weights!J33*'Data Entry - SOF'!E21</f>
        <v>0</v>
      </c>
      <c r="G40" s="16">
        <f>Weights!J33*'Data Entry - SOF'!E21</f>
        <v>0</v>
      </c>
      <c r="H40" s="16"/>
      <c r="AK40" s="16" t="e">
        <f>#REF!</f>
        <v>#REF!</v>
      </c>
    </row>
    <row r="41" spans="2:37">
      <c r="B41" s="24"/>
      <c r="D41" s="20" t="s">
        <v>872</v>
      </c>
      <c r="F41" s="16" t="e">
        <f>ROUND(ROUND('Calc Data'!W9,0)*'Data Entry - SOF'!E61*Weights!J37,0)</f>
        <v>#REF!</v>
      </c>
      <c r="G41" s="16" t="e">
        <f>ROUND(ROUND('Calc Data'!V9,0)*'Data Entry - SOF'!E61*Weights!J37,0)</f>
        <v>#REF!</v>
      </c>
      <c r="H41" s="16"/>
      <c r="AK41" s="16">
        <f>ROUND(ROUND('Calc Data'!AC23,0)*'Data Entry - SOF'!E61*0.1,0)</f>
        <v>0</v>
      </c>
    </row>
    <row r="42" spans="2:37" ht="15.75">
      <c r="B42" s="24"/>
      <c r="D42" s="318" t="s">
        <v>391</v>
      </c>
      <c r="F42" s="87">
        <v>0</v>
      </c>
      <c r="G42" s="16">
        <f t="shared" si="0"/>
        <v>0</v>
      </c>
      <c r="H42" s="16"/>
      <c r="AK42" s="16">
        <f>'Data Entry - SOF'!E62*250</f>
        <v>0</v>
      </c>
    </row>
    <row r="43" spans="2:37">
      <c r="B43" s="24">
        <v>99</v>
      </c>
      <c r="D43" s="20" t="s">
        <v>2087</v>
      </c>
      <c r="F43" s="25">
        <f>'Data Entry - SOF'!E104</f>
        <v>0</v>
      </c>
      <c r="G43" s="634">
        <f t="shared" si="0"/>
        <v>0</v>
      </c>
      <c r="H43" s="16"/>
      <c r="AK43" s="25">
        <f>'Data Entry - SOF'!E104</f>
        <v>0</v>
      </c>
    </row>
    <row r="44" spans="2:37">
      <c r="D44" s="20" t="s">
        <v>530</v>
      </c>
      <c r="F44" s="16" t="e">
        <f>SUM(F21:F43)</f>
        <v>#REF!</v>
      </c>
      <c r="G44" s="16" t="e">
        <f>SUM(G21:G43)</f>
        <v>#REF!</v>
      </c>
      <c r="H44" s="16"/>
      <c r="AK44" s="16" t="e">
        <f>SUM(AK21:AK43)</f>
        <v>#REF!</v>
      </c>
    </row>
    <row r="45" spans="2:37">
      <c r="D45" s="20" t="s">
        <v>786</v>
      </c>
      <c r="F45" s="28">
        <f>IF('Data Entry - SOF'!E154&gt;1.00005,1.00005*('Data Entry - SOF'!E73/100),'Data Entry - SOF'!E154*('Data Entry - SOF'!E73/100))</f>
        <v>0</v>
      </c>
      <c r="G45" s="48">
        <f>F45</f>
        <v>0</v>
      </c>
      <c r="H45" s="29"/>
      <c r="AK45" s="28" t="e">
        <f>#REF!</f>
        <v>#REF!</v>
      </c>
    </row>
    <row r="46" spans="2:37">
      <c r="D46" s="20" t="s">
        <v>785</v>
      </c>
      <c r="F46" s="29" t="e">
        <f>F44-F45</f>
        <v>#REF!</v>
      </c>
      <c r="G46" s="29" t="e">
        <f>G44-G45</f>
        <v>#REF!</v>
      </c>
      <c r="H46" s="29"/>
      <c r="AK46" s="29" t="e">
        <f>AK44-AK45</f>
        <v>#REF!</v>
      </c>
    </row>
    <row r="47" spans="2:37">
      <c r="D47" s="20"/>
      <c r="H47" s="29"/>
      <c r="M47" s="46"/>
      <c r="AK47" s="29"/>
    </row>
    <row r="48" spans="2:37">
      <c r="D48" s="315" t="s">
        <v>736</v>
      </c>
      <c r="H48" s="29"/>
      <c r="M48" s="46"/>
      <c r="AK48" s="29"/>
    </row>
    <row r="49" spans="4:9">
      <c r="D49" s="20" t="s">
        <v>1523</v>
      </c>
      <c r="F49" s="65" t="e">
        <f>IF(F46&lt;F77+F40+F31+F32,F77+F40+F31+F32,F46)</f>
        <v>#REF!</v>
      </c>
      <c r="G49" s="65" t="e">
        <f>IF(G46&lt;G77+G40+G31+G32,G77+G40+G31+G32,G46)</f>
        <v>#REF!</v>
      </c>
      <c r="H49" s="29"/>
      <c r="I49" s="46" t="s">
        <v>2660</v>
      </c>
    </row>
    <row r="50" spans="4:9" hidden="1">
      <c r="D50" s="20" t="s">
        <v>2273</v>
      </c>
      <c r="H50" s="29" t="e">
        <f>ROUND(IF((24.7*'Calc Data'!#REF!*IF('Calc Data'!#REF!&gt;=0.64,0.64,'Calc Data'!#REF!)*100)&lt;'Calc Data'!#REF!,0,(24.7*'Calc Data'!#REF!*IF('Calc Data'!#REF!&gt;=0.64,0.64,'Calc Data'!#REF!)*100)-'Calc Data'!#REF!),0)</f>
        <v>#REF!</v>
      </c>
    </row>
    <row r="51" spans="4:9">
      <c r="D51" s="20"/>
      <c r="H51" s="29"/>
    </row>
    <row r="52" spans="4:9">
      <c r="D52" s="20" t="s">
        <v>2395</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#REF!</v>
      </c>
      <c r="H52" s="29"/>
    </row>
    <row r="53" spans="4:9">
      <c r="D53" s="20" t="s">
        <v>473</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#REF!</v>
      </c>
      <c r="H53" s="29"/>
    </row>
    <row r="54" spans="4:9">
      <c r="D54" s="20" t="s">
        <v>284</v>
      </c>
      <c r="F54" s="29" t="e">
        <f>SUM(F50:F53)</f>
        <v>#DIV/0!</v>
      </c>
      <c r="G54" s="29" t="e">
        <f>SUM(G50:G53)</f>
        <v>#REF!</v>
      </c>
      <c r="H54" s="29"/>
    </row>
    <row r="55" spans="4:9">
      <c r="D55" s="20"/>
      <c r="H55" s="29"/>
    </row>
    <row r="56" spans="4:9">
      <c r="D56" s="20" t="s">
        <v>733</v>
      </c>
      <c r="H56" s="29"/>
    </row>
    <row r="57" spans="4:9" ht="15.75">
      <c r="D57" s="100" t="s">
        <v>1804</v>
      </c>
      <c r="F57" s="139" t="e">
        <f>ASATR!U27</f>
        <v>#REF!</v>
      </c>
      <c r="G57" s="139" t="e">
        <f>ASATR!#REF!</f>
        <v>#REF!</v>
      </c>
      <c r="H57" s="29"/>
    </row>
    <row r="58" spans="4:9">
      <c r="D58" s="20" t="s">
        <v>758</v>
      </c>
      <c r="F58" s="29">
        <f>'Data Entry - SOF'!E121</f>
        <v>0</v>
      </c>
      <c r="G58" s="29">
        <f>F58</f>
        <v>0</v>
      </c>
      <c r="H58" s="29"/>
    </row>
    <row r="59" spans="4:9">
      <c r="D59" s="20" t="s">
        <v>3051</v>
      </c>
      <c r="F59" s="29">
        <f>'Data Entry - SOF'!E120</f>
        <v>0</v>
      </c>
      <c r="G59" s="29">
        <f t="shared" ref="G59:G69" si="1">F59</f>
        <v>0</v>
      </c>
      <c r="H59" s="29"/>
    </row>
    <row r="60" spans="4:9">
      <c r="D60" s="20" t="s">
        <v>3052</v>
      </c>
      <c r="F60" s="29">
        <f>'Data Entry - SOF'!E122</f>
        <v>0</v>
      </c>
      <c r="G60" s="29">
        <f t="shared" si="1"/>
        <v>0</v>
      </c>
      <c r="H60" s="29"/>
    </row>
    <row r="61" spans="4:9">
      <c r="D61" s="20" t="s">
        <v>3053</v>
      </c>
      <c r="F61" s="29">
        <f>'Data Entry - SOF'!E123</f>
        <v>0</v>
      </c>
      <c r="G61" s="29">
        <f t="shared" si="1"/>
        <v>0</v>
      </c>
      <c r="H61" s="29"/>
    </row>
    <row r="62" spans="4:9">
      <c r="D62" s="20" t="s">
        <v>3054</v>
      </c>
      <c r="F62" s="29">
        <f>'Data Entry - SOF'!E124</f>
        <v>0</v>
      </c>
      <c r="G62" s="29">
        <f t="shared" si="1"/>
        <v>0</v>
      </c>
      <c r="H62" s="29"/>
    </row>
    <row r="63" spans="4:9">
      <c r="D63" s="20" t="s">
        <v>3055</v>
      </c>
      <c r="F63" s="29">
        <v>0</v>
      </c>
      <c r="G63" s="29">
        <f t="shared" si="1"/>
        <v>0</v>
      </c>
      <c r="H63" s="29"/>
    </row>
    <row r="64" spans="4:9">
      <c r="D64" s="20" t="s">
        <v>3056</v>
      </c>
      <c r="F64" s="29">
        <f>'Data Entry - SOF'!E125</f>
        <v>0</v>
      </c>
      <c r="G64" s="29">
        <f t="shared" si="1"/>
        <v>0</v>
      </c>
      <c r="H64" s="29"/>
    </row>
    <row r="65" spans="1:8">
      <c r="D65" s="20" t="s">
        <v>2444</v>
      </c>
      <c r="F65" s="29">
        <v>0</v>
      </c>
      <c r="G65" s="29">
        <f t="shared" si="1"/>
        <v>0</v>
      </c>
      <c r="H65" s="29"/>
    </row>
    <row r="66" spans="1:8">
      <c r="D66" s="20" t="s">
        <v>2436</v>
      </c>
      <c r="F66" s="29">
        <f>(500*'Data Entry - SOF'!E69)+(250*'Data Entry - SOF'!E70)</f>
        <v>0</v>
      </c>
      <c r="G66" s="29">
        <f t="shared" si="1"/>
        <v>0</v>
      </c>
      <c r="H66" s="29"/>
    </row>
    <row r="67" spans="1:8">
      <c r="D67" s="20" t="s">
        <v>734</v>
      </c>
      <c r="F67" s="285" t="e">
        <f>(('Data Entry - SOF'!E112/'Data Entry - SOF'!#REF!)*'Data Entry - SOF'!E110)*-1</f>
        <v>#REF!</v>
      </c>
      <c r="G67" s="29" t="e">
        <f t="shared" si="1"/>
        <v>#REF!</v>
      </c>
      <c r="H67" s="29"/>
    </row>
    <row r="68" spans="1:8">
      <c r="D68" s="20" t="s">
        <v>735</v>
      </c>
      <c r="F68" s="285" t="e">
        <f>(('Data Entry - SOF'!E112/'Data Entry - SOF'!#REF!)*'Data Entry - SOF'!E111)*-1</f>
        <v>#REF!</v>
      </c>
      <c r="G68" s="29" t="e">
        <f t="shared" si="1"/>
        <v>#REF!</v>
      </c>
      <c r="H68" s="29"/>
    </row>
    <row r="69" spans="1:8">
      <c r="D69" s="20" t="s">
        <v>2985</v>
      </c>
      <c r="F69" s="502">
        <v>0</v>
      </c>
      <c r="G69" s="48">
        <f t="shared" si="1"/>
        <v>0</v>
      </c>
      <c r="H69" s="29"/>
    </row>
    <row r="70" spans="1:8">
      <c r="D70" s="286" t="s">
        <v>172</v>
      </c>
      <c r="F70" s="29" t="e">
        <f>SUM(F57:F69)</f>
        <v>#REF!</v>
      </c>
      <c r="G70" s="29" t="e">
        <f>SUM(G57:G69)</f>
        <v>#REF!</v>
      </c>
      <c r="H70" s="29"/>
    </row>
    <row r="71" spans="1:8">
      <c r="D71" s="286"/>
      <c r="F71" s="35"/>
      <c r="G71" s="35"/>
      <c r="H71" s="29"/>
    </row>
    <row r="72" spans="1:8">
      <c r="D72" s="20" t="s">
        <v>2396</v>
      </c>
      <c r="F72" s="29" t="e">
        <f>F77*-1</f>
        <v>#REF!</v>
      </c>
      <c r="G72" s="29" t="e">
        <f>G77*-1</f>
        <v>#REF!</v>
      </c>
      <c r="H72" s="29"/>
    </row>
    <row r="73" spans="1:8" ht="13.5" thickBot="1">
      <c r="D73" s="20"/>
      <c r="H73" s="29"/>
    </row>
    <row r="74" spans="1:8" ht="13.5" thickTop="1">
      <c r="A74" s="288"/>
      <c r="B74" s="289"/>
      <c r="C74" s="289"/>
      <c r="D74" s="290"/>
      <c r="E74" s="289"/>
      <c r="F74" s="320"/>
      <c r="H74" s="29"/>
    </row>
    <row r="75" spans="1:8">
      <c r="A75" s="291"/>
      <c r="B75" s="24" t="s">
        <v>174</v>
      </c>
      <c r="D75" s="286"/>
      <c r="F75" s="321"/>
      <c r="H75" s="29"/>
    </row>
    <row r="76" spans="1:8">
      <c r="A76" s="291"/>
      <c r="B76" s="24" t="s">
        <v>1491</v>
      </c>
      <c r="D76" s="71" t="s">
        <v>737</v>
      </c>
      <c r="E76" s="71"/>
      <c r="F76" s="136" t="e">
        <f>F49+F54+F70+F72</f>
        <v>#REF!</v>
      </c>
      <c r="G76" s="136" t="e">
        <f>G49+G54+G70+G72</f>
        <v>#REF!</v>
      </c>
      <c r="H76" s="29"/>
    </row>
    <row r="77" spans="1:8">
      <c r="A77" s="291"/>
      <c r="B77" s="24" t="s">
        <v>1489</v>
      </c>
      <c r="D77" s="71" t="s">
        <v>2609</v>
      </c>
      <c r="E77" s="71"/>
      <c r="F77" s="136" t="e">
        <f>'Data Entry - SOF'!#REF!*Assumptions!G96</f>
        <v>#REF!</v>
      </c>
      <c r="G77" s="136" t="e">
        <f>'Calc Data'!#REF!*Assumptions!G96</f>
        <v>#REF!</v>
      </c>
      <c r="H77" s="29"/>
    </row>
    <row r="78" spans="1:8" ht="15.75">
      <c r="A78" s="291"/>
      <c r="B78" s="24" t="s">
        <v>1490</v>
      </c>
      <c r="D78" s="318" t="s">
        <v>757</v>
      </c>
      <c r="E78" s="73"/>
      <c r="F78" s="323">
        <v>0</v>
      </c>
      <c r="G78" s="323">
        <v>0</v>
      </c>
      <c r="H78" s="29"/>
    </row>
    <row r="79" spans="1:8">
      <c r="A79" s="291"/>
      <c r="B79" s="24" t="s">
        <v>740</v>
      </c>
      <c r="D79" s="71" t="s">
        <v>738</v>
      </c>
      <c r="E79" s="71"/>
      <c r="F79" s="136" t="e">
        <f>'Existing Debt-OldLaw'!G74</f>
        <v>#REF!</v>
      </c>
      <c r="G79" s="136" t="e">
        <f>'Existing Debt-OldLaw'!G74</f>
        <v>#REF!</v>
      </c>
      <c r="H79" s="29"/>
    </row>
    <row r="80" spans="1:8" ht="13.5" thickBot="1">
      <c r="A80" s="291"/>
      <c r="B80" s="24" t="s">
        <v>1095</v>
      </c>
      <c r="D80" s="71" t="s">
        <v>739</v>
      </c>
      <c r="E80" s="71"/>
      <c r="F80" s="316" t="e">
        <f>'IFA-OldLaw'!H86+'IFA-OldLaw'!J75</f>
        <v>#REF!</v>
      </c>
      <c r="G80" s="316" t="e">
        <f>'IFA-OldLaw'!H86+'IFA-OldLaw'!J75</f>
        <v>#REF!</v>
      </c>
      <c r="H80" s="29"/>
    </row>
    <row r="81" spans="1:15">
      <c r="A81" s="291"/>
      <c r="F81" s="321"/>
      <c r="G81" s="321"/>
      <c r="H81" s="29"/>
    </row>
    <row r="82" spans="1:15" ht="12.75" customHeight="1" thickBot="1">
      <c r="A82" s="291"/>
      <c r="D82" s="71" t="s">
        <v>1019</v>
      </c>
      <c r="F82" s="317" t="e">
        <f>SUM(F76:F80)</f>
        <v>#REF!</v>
      </c>
      <c r="G82" s="317" t="e">
        <f>SUM(G76:G80)</f>
        <v>#REF!</v>
      </c>
      <c r="H82" s="29"/>
    </row>
    <row r="83" spans="1:15" ht="13.5" hidden="1" thickTop="1">
      <c r="A83" s="291"/>
      <c r="D83" s="20" t="s">
        <v>472</v>
      </c>
      <c r="H83" s="29"/>
      <c r="K83" s="125"/>
      <c r="L83" s="153"/>
    </row>
    <row r="84" spans="1:15" ht="14.25" thickTop="1" thickBot="1">
      <c r="A84" s="292"/>
      <c r="B84" s="293"/>
      <c r="C84" s="293"/>
      <c r="D84" s="294"/>
      <c r="E84" s="293"/>
      <c r="F84" s="330"/>
      <c r="H84" s="16"/>
    </row>
    <row r="85" spans="1:15" ht="13.5" thickTop="1">
      <c r="B85" s="20"/>
      <c r="H85" s="29"/>
      <c r="M85" s="91"/>
      <c r="N85" s="221"/>
      <c r="O85" s="5"/>
    </row>
    <row r="86" spans="1:15">
      <c r="M86" s="5"/>
    </row>
    <row r="87" spans="1:15" ht="13.5" thickBot="1"/>
    <row r="88" spans="1:15" ht="13.5" thickTop="1">
      <c r="A88" s="297" t="s">
        <v>2457</v>
      </c>
      <c r="B88" s="66"/>
      <c r="C88" s="66"/>
      <c r="D88" s="66"/>
      <c r="E88" s="66"/>
      <c r="F88" s="130"/>
    </row>
    <row r="89" spans="1:15">
      <c r="A89" s="133"/>
      <c r="F89" s="131"/>
    </row>
    <row r="90" spans="1:15">
      <c r="A90" s="132" t="s">
        <v>2162</v>
      </c>
      <c r="F90" s="277" t="e">
        <f>IF(F76&lt;0,F77,F76+F77)</f>
        <v>#REF!</v>
      </c>
      <c r="G90" s="277" t="e">
        <f>IF(G76&lt;0,G77,G76+G77)</f>
        <v>#REF!</v>
      </c>
    </row>
    <row r="91" spans="1:15">
      <c r="A91" s="156" t="s">
        <v>1696</v>
      </c>
      <c r="F91" s="278" t="e">
        <f>'Calc Data'!E30-ASATR!U24</f>
        <v>#REF!</v>
      </c>
      <c r="G91" s="278" t="e">
        <f>'Calc Data'!E30-ASATR!#REF!</f>
        <v>#REF!</v>
      </c>
      <c r="M91" s="91"/>
    </row>
    <row r="92" spans="1:15">
      <c r="A92" s="156" t="s">
        <v>941</v>
      </c>
      <c r="F92" s="278">
        <f>'Calc Data'!E34</f>
        <v>0</v>
      </c>
      <c r="G92" s="278">
        <f>'Calc Data'!E34</f>
        <v>0</v>
      </c>
      <c r="M92" s="91"/>
    </row>
    <row r="93" spans="1:15">
      <c r="A93" s="156" t="s">
        <v>942</v>
      </c>
      <c r="F93" s="637" t="e">
        <f>'Calc Data'!E37-IF('Option Costs'!EK57="N",MAX('Option Costs'!EK54,'Option Costs'!EM54),MIN('Option Costs'!EK54,'Option Costs'!EM54))</f>
        <v>#DIV/0!</v>
      </c>
      <c r="G93" s="637" t="e">
        <f>'Calc Data'!E37-IF('Option Costs'!DU57="N",MAX('Option Costs'!DU54,'Option Costs'!DW54),MIN('Option Costs'!DU54,'Option Costs'!DW54))</f>
        <v>#REF!</v>
      </c>
    </row>
    <row r="94" spans="1:15">
      <c r="A94" s="156" t="s">
        <v>3060</v>
      </c>
      <c r="F94" s="278">
        <f>F69*-1</f>
        <v>0</v>
      </c>
      <c r="G94" s="278">
        <f>G69*-1</f>
        <v>0</v>
      </c>
    </row>
    <row r="95" spans="1:15">
      <c r="A95" s="156" t="s">
        <v>3232</v>
      </c>
      <c r="F95" s="322" t="e">
        <f>SUM(F90:F94)</f>
        <v>#REF!</v>
      </c>
      <c r="G95" s="322" t="e">
        <f>SUM(G90:G94)</f>
        <v>#REF!</v>
      </c>
    </row>
    <row r="96" spans="1:15">
      <c r="A96" s="132" t="s">
        <v>1695</v>
      </c>
      <c r="F96" s="287" t="e">
        <f>IF(F76&gt;0,0,F76)</f>
        <v>#REF!</v>
      </c>
      <c r="G96" s="287" t="e">
        <f>IF(G76&gt;0,0,G76)</f>
        <v>#REF!</v>
      </c>
    </row>
    <row r="97" spans="1:8">
      <c r="A97" s="222" t="s">
        <v>3233</v>
      </c>
      <c r="F97" s="322" t="e">
        <f>F95+F96</f>
        <v>#REF!</v>
      </c>
      <c r="G97" s="322" t="e">
        <f>G95+G96</f>
        <v>#REF!</v>
      </c>
    </row>
    <row r="98" spans="1:8" ht="13.5" thickBot="1">
      <c r="A98" s="134"/>
      <c r="B98" s="38"/>
      <c r="C98" s="38"/>
      <c r="D98" s="38"/>
      <c r="E98" s="38"/>
      <c r="F98" s="135"/>
    </row>
    <row r="99" spans="1:8" ht="13.5" hidden="1" thickTop="1">
      <c r="D99" s="35" t="s">
        <v>1231</v>
      </c>
      <c r="E99" s="35"/>
      <c r="F99" s="35"/>
      <c r="G99" s="35"/>
    </row>
    <row r="100" spans="1:8" ht="13.5" hidden="1" thickTop="1">
      <c r="D100" s="35" t="s">
        <v>470</v>
      </c>
      <c r="E100" s="35"/>
      <c r="F100" s="35"/>
      <c r="G100" s="35"/>
    </row>
    <row r="101" spans="1:8" ht="13.5" hidden="1" thickTop="1">
      <c r="D101" s="35" t="s">
        <v>471</v>
      </c>
    </row>
    <row r="102" spans="1:8" ht="13.5" hidden="1" thickTop="1">
      <c r="D102" s="35" t="s">
        <v>1012</v>
      </c>
    </row>
    <row r="103" spans="1:8" ht="13.5" hidden="1" thickTop="1">
      <c r="D103" s="35" t="s">
        <v>647</v>
      </c>
    </row>
    <row r="104" spans="1:8" ht="13.5" hidden="1" thickTop="1">
      <c r="D104" s="35" t="s">
        <v>648</v>
      </c>
    </row>
    <row r="105" spans="1:8" ht="13.5" thickTop="1">
      <c r="D105" s="35"/>
    </row>
    <row r="109" spans="1:8" hidden="1">
      <c r="A109" s="20" t="s">
        <v>1667</v>
      </c>
      <c r="H109" s="16"/>
    </row>
    <row r="110" spans="1:8" hidden="1">
      <c r="H110" s="16"/>
    </row>
    <row r="111" spans="1:8" hidden="1">
      <c r="A111" s="20" t="s">
        <v>1492</v>
      </c>
      <c r="H111" s="16"/>
    </row>
    <row r="112" spans="1:8" hidden="1">
      <c r="A112" s="20" t="s">
        <v>1493</v>
      </c>
    </row>
    <row r="113" spans="1:1" hidden="1">
      <c r="A113" s="20" t="s">
        <v>518</v>
      </c>
    </row>
    <row r="114" spans="1:1" hidden="1">
      <c r="A114" s="20" t="s">
        <v>519</v>
      </c>
    </row>
    <row r="115" spans="1:1" hidden="1">
      <c r="A115" s="20" t="s">
        <v>1009</v>
      </c>
    </row>
    <row r="116" spans="1:1" hidden="1">
      <c r="A116" s="20" t="s">
        <v>1010</v>
      </c>
    </row>
    <row r="117" spans="1:1" hidden="1">
      <c r="A117" s="71" t="s">
        <v>1789</v>
      </c>
    </row>
    <row r="118" spans="1:1" hidden="1"/>
    <row r="119" spans="1:1" hidden="1">
      <c r="A119" s="20" t="s">
        <v>62</v>
      </c>
    </row>
    <row r="120" spans="1:1" hidden="1">
      <c r="A120" s="20" t="s">
        <v>1693</v>
      </c>
    </row>
    <row r="121" spans="1:1" hidden="1">
      <c r="A121" s="20" t="s">
        <v>1694</v>
      </c>
    </row>
    <row r="122" spans="1:1" hidden="1">
      <c r="A122" s="20" t="s">
        <v>1820</v>
      </c>
    </row>
    <row r="123" spans="1:1" hidden="1"/>
    <row r="124" spans="1:1" hidden="1">
      <c r="A124" s="20" t="s">
        <v>1821</v>
      </c>
    </row>
    <row r="125" spans="1:1" hidden="1">
      <c r="A125" s="20" t="s">
        <v>1822</v>
      </c>
    </row>
    <row r="126" spans="1:1" hidden="1">
      <c r="A126" s="20" t="s">
        <v>336</v>
      </c>
    </row>
    <row r="127" spans="1:1" hidden="1">
      <c r="A127" s="20" t="s">
        <v>1823</v>
      </c>
    </row>
    <row r="128" spans="1:1" hidden="1">
      <c r="A128" s="20" t="s">
        <v>334</v>
      </c>
    </row>
    <row r="129" spans="1:7" hidden="1"/>
    <row r="130" spans="1:7" hidden="1">
      <c r="A130" s="71" t="s">
        <v>335</v>
      </c>
    </row>
    <row r="131" spans="1:7" hidden="1"/>
    <row r="134" spans="1:7">
      <c r="E134" t="s">
        <v>2767</v>
      </c>
      <c r="F134" s="5" t="e">
        <f>SUM(F22:F28)</f>
        <v>#REF!</v>
      </c>
      <c r="G134" s="5" t="e">
        <f>SUM(G22:G28)</f>
        <v>#REF!</v>
      </c>
    </row>
    <row r="135" spans="1:7">
      <c r="E135" t="s">
        <v>2768</v>
      </c>
      <c r="F135" s="5" t="e">
        <f>F29+F30</f>
        <v>#REF!</v>
      </c>
      <c r="G135" s="5" t="e">
        <f>G29+G30</f>
        <v>#REF!</v>
      </c>
    </row>
    <row r="136" spans="1:7">
      <c r="E136" t="s">
        <v>2769</v>
      </c>
      <c r="F136" s="5" t="e">
        <f>F33+F34</f>
        <v>#REF!</v>
      </c>
      <c r="G136" s="5" t="e">
        <f>G33+G34</f>
        <v>#REF!</v>
      </c>
    </row>
    <row r="137" spans="1:7">
      <c r="E137" t="s">
        <v>2770</v>
      </c>
      <c r="F137" s="5" t="e">
        <f>F35+F36</f>
        <v>#REF!</v>
      </c>
      <c r="G137" s="5" t="e">
        <f>G35+G36</f>
        <v>#REF!</v>
      </c>
    </row>
    <row r="138" spans="1:7">
      <c r="E138" t="s">
        <v>2849</v>
      </c>
      <c r="F138" s="91" t="e">
        <f>Assumptions!G57*'Calc Data'!X11*'Calc Data'!E35*100</f>
        <v>#DIV/0!</v>
      </c>
      <c r="G138" s="91" t="e">
        <f>Assumptions!G57*'Calc Data'!T25*'Calc Data'!E35*100</f>
        <v>#DIV/0!</v>
      </c>
    </row>
    <row r="139" spans="1:7">
      <c r="E139" t="s">
        <v>2851</v>
      </c>
      <c r="F139" s="91" t="e">
        <f>Assumptions!G58*'Calc Data'!X11*'Calc Data'!E38*100</f>
        <v>#DIV/0!</v>
      </c>
      <c r="G139" s="91" t="e">
        <f>Assumptions!G58*'Calc Data'!T25*'Calc Data'!E38*100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5703125" customWidth="1"/>
    <col min="4" max="4" width="3" customWidth="1"/>
    <col min="5" max="5" width="22.5703125" customWidth="1"/>
    <col min="6" max="6" width="47" customWidth="1"/>
  </cols>
  <sheetData>
    <row r="1" spans="1:5">
      <c r="A1" s="64" t="s">
        <v>3810</v>
      </c>
      <c r="E1" s="754" t="str">
        <f>'Report-Recapture1819'!E1</f>
        <v>Release 10</v>
      </c>
    </row>
    <row r="2" spans="1:5">
      <c r="A2" s="64" t="s">
        <v>3811</v>
      </c>
      <c r="E2" s="72" t="e">
        <f>'Data Entry - SOF'!#REF!</f>
        <v>#REF!</v>
      </c>
    </row>
    <row r="3" spans="1:5">
      <c r="A3" s="64"/>
      <c r="E3" s="58">
        <f>'Data Entry - SOF'!S3</f>
        <v>0</v>
      </c>
    </row>
    <row r="4" spans="1:5" ht="15.75">
      <c r="A4" s="381" t="s">
        <v>8161</v>
      </c>
    </row>
    <row r="5" spans="1:5" ht="15.75">
      <c r="A5" s="383">
        <f>'Data Entry - SOF'!B1</f>
        <v>0</v>
      </c>
    </row>
    <row r="6" spans="1:5" ht="15.75">
      <c r="A6" s="381">
        <f>'Data Entry - SOF'!B2</f>
        <v>0</v>
      </c>
    </row>
    <row r="9" spans="1:5" s="266" customFormat="1" ht="18">
      <c r="A9" s="570" t="s">
        <v>2873</v>
      </c>
      <c r="B9" s="523"/>
      <c r="C9" s="571"/>
      <c r="D9" s="572" t="s">
        <v>2880</v>
      </c>
      <c r="E9" s="573"/>
    </row>
    <row r="10" spans="1:5" s="266" customFormat="1" ht="18">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8162</v>
      </c>
      <c r="C15" s="428">
        <f>'Option Costs'!BG70</f>
        <v>0</v>
      </c>
      <c r="D15" s="428"/>
      <c r="E15" s="428">
        <f>C15</f>
        <v>0</v>
      </c>
    </row>
    <row r="16" spans="1:5" s="382" customFormat="1" ht="15">
      <c r="A16" s="385" t="s">
        <v>912</v>
      </c>
      <c r="B16" s="386" t="s">
        <v>8163</v>
      </c>
      <c r="C16" s="429">
        <f>'Data Entry - SOF'!S92</f>
        <v>1.17</v>
      </c>
      <c r="D16" s="429"/>
      <c r="E16" s="429">
        <f t="shared" ref="E16:E23" si="0">C16</f>
        <v>1.17</v>
      </c>
    </row>
    <row r="17" spans="1:5" s="382" customFormat="1" ht="15">
      <c r="A17" s="385" t="s">
        <v>2875</v>
      </c>
      <c r="B17" s="386" t="s">
        <v>8164</v>
      </c>
      <c r="C17" s="429">
        <f>FracFunding2324!D5</f>
        <v>1</v>
      </c>
      <c r="D17" s="429"/>
      <c r="E17" s="429">
        <f t="shared" si="0"/>
        <v>1</v>
      </c>
    </row>
    <row r="18" spans="1:5" s="382" customFormat="1" ht="15">
      <c r="A18" s="385" t="s">
        <v>913</v>
      </c>
      <c r="B18" s="386" t="s">
        <v>8165</v>
      </c>
      <c r="C18" s="389" t="e">
        <f>'Ch41 Calc Data'!R17</f>
        <v>#DIV/0!</v>
      </c>
      <c r="D18" s="389"/>
      <c r="E18" s="389" t="e">
        <f t="shared" si="0"/>
        <v>#DIV/0!</v>
      </c>
    </row>
    <row r="19" spans="1:5" s="382" customFormat="1" ht="15">
      <c r="A19" s="385" t="s">
        <v>914</v>
      </c>
      <c r="B19" s="386" t="s">
        <v>6871</v>
      </c>
      <c r="C19" s="390">
        <f>'Data Entry - SOF'!S75</f>
        <v>0</v>
      </c>
      <c r="D19" s="386"/>
      <c r="E19" s="428">
        <f t="shared" si="0"/>
        <v>0</v>
      </c>
    </row>
    <row r="20" spans="1:5" s="382" customFormat="1" ht="15">
      <c r="A20" s="385" t="s">
        <v>118</v>
      </c>
      <c r="B20" s="386" t="s">
        <v>8166</v>
      </c>
      <c r="C20" s="390">
        <f>'Report-SOF2324'!D57</f>
        <v>0</v>
      </c>
      <c r="D20" s="386"/>
      <c r="E20" s="428">
        <f t="shared" si="0"/>
        <v>0</v>
      </c>
    </row>
    <row r="21" spans="1:5" s="382" customFormat="1" ht="15">
      <c r="A21" s="385" t="s">
        <v>119</v>
      </c>
      <c r="B21" s="386" t="s">
        <v>2876</v>
      </c>
      <c r="C21" s="388">
        <f>'Data Entry - SOF'!S139</f>
        <v>0</v>
      </c>
      <c r="D21" s="388"/>
      <c r="E21" s="388">
        <f t="shared" si="0"/>
        <v>0</v>
      </c>
    </row>
    <row r="22" spans="1:5" s="382" customFormat="1" ht="15">
      <c r="A22" s="385" t="s">
        <v>120</v>
      </c>
      <c r="B22" s="386" t="s">
        <v>2877</v>
      </c>
      <c r="C22" s="428">
        <f>'Data Entry - SOF'!S140</f>
        <v>0</v>
      </c>
      <c r="D22" s="386"/>
      <c r="E22" s="428">
        <f t="shared" si="0"/>
        <v>0</v>
      </c>
    </row>
    <row r="23" spans="1:5" s="382" customFormat="1" ht="15">
      <c r="A23" s="385" t="s">
        <v>121</v>
      </c>
      <c r="B23" s="386" t="s">
        <v>1796</v>
      </c>
      <c r="C23" s="430">
        <f>'Report-SOF2324'!D40</f>
        <v>0</v>
      </c>
      <c r="D23" s="402"/>
      <c r="E23" s="430">
        <f t="shared" si="0"/>
        <v>0</v>
      </c>
    </row>
    <row r="24" spans="1:5" s="382" customFormat="1" ht="15.75">
      <c r="A24" s="576" t="s">
        <v>2881</v>
      </c>
      <c r="B24" s="574"/>
      <c r="C24" s="574"/>
      <c r="D24" s="574"/>
      <c r="E24" s="575"/>
    </row>
    <row r="25" spans="1:5" s="382" customFormat="1" ht="15.75">
      <c r="A25" s="562" t="s">
        <v>2882</v>
      </c>
      <c r="B25" s="560"/>
      <c r="C25" s="560"/>
      <c r="D25" s="560"/>
      <c r="E25" s="561"/>
    </row>
    <row r="26" spans="1:5" s="382" customFormat="1" ht="15">
      <c r="A26" s="385" t="s">
        <v>1513</v>
      </c>
      <c r="B26" s="386" t="s">
        <v>2883</v>
      </c>
      <c r="C26" s="390">
        <f>'Option Costs'!BG13</f>
        <v>0</v>
      </c>
      <c r="D26" s="390"/>
      <c r="E26" s="390">
        <f t="shared" ref="E26:E31" si="1">C26</f>
        <v>0</v>
      </c>
    </row>
    <row r="27" spans="1:5" s="382" customFormat="1" ht="15">
      <c r="A27" s="385" t="s">
        <v>6</v>
      </c>
      <c r="B27" s="386" t="s">
        <v>2918</v>
      </c>
      <c r="C27" s="389">
        <f>'Option Costs'!BG16</f>
        <v>0</v>
      </c>
      <c r="D27" s="389"/>
      <c r="E27" s="389">
        <f t="shared" si="1"/>
        <v>0</v>
      </c>
    </row>
    <row r="28" spans="1:5" s="382" customFormat="1" ht="15">
      <c r="A28" s="385" t="s">
        <v>2232</v>
      </c>
      <c r="B28" s="386" t="s">
        <v>2884</v>
      </c>
      <c r="C28" s="390">
        <f>'Option Costs'!BG17</f>
        <v>0</v>
      </c>
      <c r="D28" s="390"/>
      <c r="E28" s="390">
        <f t="shared" si="1"/>
        <v>0</v>
      </c>
    </row>
    <row r="29" spans="1:5" s="382" customFormat="1" ht="15">
      <c r="A29" s="385" t="s">
        <v>2233</v>
      </c>
      <c r="B29" s="386" t="s">
        <v>2885</v>
      </c>
      <c r="C29" s="390">
        <f>'Option Costs'!BG19</f>
        <v>0</v>
      </c>
      <c r="D29" s="390"/>
      <c r="E29" s="390">
        <f t="shared" si="1"/>
        <v>0</v>
      </c>
    </row>
    <row r="30" spans="1:5" s="382" customFormat="1" ht="15">
      <c r="A30" s="385" t="s">
        <v>2722</v>
      </c>
      <c r="B30" s="386" t="s">
        <v>2886</v>
      </c>
      <c r="C30" s="389">
        <f>'Option Costs'!BG20</f>
        <v>0</v>
      </c>
      <c r="D30" s="389"/>
      <c r="E30" s="389">
        <f t="shared" si="1"/>
        <v>0</v>
      </c>
    </row>
    <row r="31" spans="1:5" s="382" customFormat="1" ht="15">
      <c r="A31" s="385" t="s">
        <v>2723</v>
      </c>
      <c r="B31" s="386" t="s">
        <v>8167</v>
      </c>
      <c r="C31" s="389">
        <f>'Option Costs'!BG21</f>
        <v>1.4999999999999999E-2</v>
      </c>
      <c r="D31" s="389"/>
      <c r="E31" s="389">
        <f t="shared" si="1"/>
        <v>1.4999999999999999E-2</v>
      </c>
    </row>
    <row r="32" spans="1:5" s="382" customFormat="1" ht="15.75">
      <c r="A32" s="596" t="s">
        <v>2887</v>
      </c>
      <c r="B32" s="543"/>
      <c r="C32" s="543"/>
      <c r="D32" s="543"/>
      <c r="E32" s="544"/>
    </row>
    <row r="33" spans="1:5" s="382" customFormat="1" ht="15">
      <c r="A33" s="400" t="s">
        <v>2726</v>
      </c>
      <c r="B33" s="386" t="s">
        <v>2887</v>
      </c>
      <c r="C33" s="390" t="e">
        <f>'Option Costs'!BG24</f>
        <v>#DIV/0!</v>
      </c>
      <c r="D33" s="390"/>
      <c r="E33" s="390" t="e">
        <f>C33</f>
        <v>#DIV/0!</v>
      </c>
    </row>
    <row r="34" spans="1:5" s="382" customFormat="1" ht="15.75">
      <c r="A34" s="596" t="s">
        <v>2888</v>
      </c>
      <c r="B34" s="543"/>
      <c r="C34" s="543"/>
      <c r="D34" s="543"/>
      <c r="E34" s="544"/>
    </row>
    <row r="35" spans="1:5" s="382" customFormat="1" ht="15">
      <c r="A35" s="400" t="s">
        <v>2727</v>
      </c>
      <c r="B35" s="386" t="s">
        <v>2889</v>
      </c>
      <c r="C35" s="390">
        <f>'Option Costs'!BG27</f>
        <v>0</v>
      </c>
      <c r="D35" s="390"/>
      <c r="E35" s="431" t="s">
        <v>1775</v>
      </c>
    </row>
    <row r="36" spans="1:5" s="382" customFormat="1" ht="15">
      <c r="A36" s="400" t="s">
        <v>2728</v>
      </c>
      <c r="B36" s="386" t="s">
        <v>2890</v>
      </c>
      <c r="C36" s="390" t="e">
        <f>'Option Costs'!BG28</f>
        <v>#DIV/0!</v>
      </c>
      <c r="D36" s="390"/>
      <c r="E36" s="431" t="s">
        <v>1775</v>
      </c>
    </row>
    <row r="37" spans="1:5" s="382" customFormat="1" ht="15">
      <c r="A37" s="400" t="s">
        <v>2729</v>
      </c>
      <c r="B37" s="386" t="s">
        <v>2891</v>
      </c>
      <c r="C37" s="390" t="e">
        <f>'Option Costs'!BG29</f>
        <v>#DIV/0!</v>
      </c>
      <c r="D37" s="390"/>
      <c r="E37" s="431" t="s">
        <v>1775</v>
      </c>
    </row>
    <row r="38" spans="1:5" s="382" customFormat="1" ht="15">
      <c r="A38" s="400" t="s">
        <v>2731</v>
      </c>
      <c r="B38" s="386" t="s">
        <v>2892</v>
      </c>
      <c r="C38" s="390" t="e">
        <f>'Option Costs'!BG30</f>
        <v>#DIV/0!</v>
      </c>
      <c r="D38" s="390"/>
      <c r="E38" s="431" t="s">
        <v>1775</v>
      </c>
    </row>
    <row r="39" spans="1:5" s="382" customFormat="1" ht="15">
      <c r="A39" s="400" t="s">
        <v>2732</v>
      </c>
      <c r="B39" s="386" t="s">
        <v>2893</v>
      </c>
      <c r="C39" s="390" t="e">
        <f>'Option Costs'!BG64</f>
        <v>#DIV/0!</v>
      </c>
      <c r="D39" s="390"/>
      <c r="E39" s="390" t="e">
        <f>'Option Costs'!BI64</f>
        <v>#DIV/0!</v>
      </c>
    </row>
    <row r="40" spans="1:5" s="382" customFormat="1" ht="15">
      <c r="A40" s="400" t="s">
        <v>2733</v>
      </c>
      <c r="B40" s="386" t="s">
        <v>2894</v>
      </c>
      <c r="C40" s="390" t="e">
        <f>'Option Costs'!BG65</f>
        <v>#DIV/0!</v>
      </c>
      <c r="D40" s="390"/>
      <c r="E40" s="390" t="e">
        <f>'Option Costs'!BI65</f>
        <v>#DIV/0!</v>
      </c>
    </row>
    <row r="41" spans="1:5" s="382" customFormat="1" ht="15">
      <c r="A41" s="400" t="s">
        <v>2734</v>
      </c>
      <c r="B41" s="386" t="s">
        <v>2895</v>
      </c>
      <c r="C41" s="389" t="e">
        <f>'Option Costs'!BG66</f>
        <v>#DIV/0!</v>
      </c>
      <c r="D41" s="389"/>
      <c r="E41" s="389" t="e">
        <f>'Option Costs'!BI66</f>
        <v>#DIV/0!</v>
      </c>
    </row>
    <row r="42" spans="1:5" s="382" customFormat="1" ht="15.75">
      <c r="A42" s="596" t="s">
        <v>2896</v>
      </c>
      <c r="B42" s="543"/>
      <c r="C42" s="543"/>
      <c r="D42" s="543"/>
      <c r="E42" s="544"/>
    </row>
    <row r="43" spans="1:5" s="382" customFormat="1" ht="15">
      <c r="A43" s="385" t="s">
        <v>2735</v>
      </c>
      <c r="B43" s="386" t="s">
        <v>2897</v>
      </c>
      <c r="C43" s="390" t="e">
        <f>'Option Costs'!BG73</f>
        <v>#DIV/0!</v>
      </c>
      <c r="D43" s="386"/>
      <c r="E43" s="390" t="e">
        <f>'Option Costs'!BI73</f>
        <v>#DIV/0!</v>
      </c>
    </row>
    <row r="44" spans="1:5" s="382" customFormat="1" ht="15">
      <c r="A44" s="385" t="s">
        <v>2740</v>
      </c>
      <c r="B44" s="386" t="s">
        <v>2898</v>
      </c>
      <c r="C44" s="389" t="e">
        <f>'Option Costs'!BG74</f>
        <v>#DIV/0!</v>
      </c>
      <c r="D44" s="389"/>
      <c r="E44" s="389" t="e">
        <f>'Option Costs'!BI74</f>
        <v>#DIV/0!</v>
      </c>
    </row>
    <row r="45" spans="1:5" s="382" customFormat="1" ht="15">
      <c r="A45" s="385" t="s">
        <v>2741</v>
      </c>
      <c r="B45" s="386" t="s">
        <v>6970</v>
      </c>
      <c r="C45" s="390" t="e">
        <f>'Option Costs'!BG75</f>
        <v>#DIV/0!</v>
      </c>
      <c r="D45" s="390"/>
      <c r="E45" s="390" t="e">
        <f>'Option Costs'!BI75</f>
        <v>#DIV/0!</v>
      </c>
    </row>
    <row r="46" spans="1:5" s="382" customFormat="1" ht="15">
      <c r="A46" s="385" t="s">
        <v>2742</v>
      </c>
      <c r="B46" s="386" t="s">
        <v>2899</v>
      </c>
      <c r="C46" s="389" t="e">
        <f>'Option Costs'!BG76</f>
        <v>#DIV/0!</v>
      </c>
      <c r="D46" s="389"/>
      <c r="E46" s="389" t="e">
        <f>'Option Costs'!BI76</f>
        <v>#DIV/0!</v>
      </c>
    </row>
    <row r="47" spans="1:5" s="382" customFormat="1" ht="15">
      <c r="A47" s="385" t="s">
        <v>2743</v>
      </c>
      <c r="B47" s="386" t="s">
        <v>2900</v>
      </c>
      <c r="C47" s="389">
        <f>'Option Costs'!BG77</f>
        <v>0</v>
      </c>
      <c r="D47" s="389"/>
      <c r="E47" s="389">
        <f>'Option Costs'!BI77</f>
        <v>0</v>
      </c>
    </row>
    <row r="48" spans="1:5" s="382" customFormat="1" ht="15">
      <c r="A48" s="385" t="s">
        <v>2744</v>
      </c>
      <c r="B48" s="386" t="s">
        <v>2901</v>
      </c>
      <c r="C48" s="389" t="e">
        <f>'Option Costs'!BG78</f>
        <v>#DIV/0!</v>
      </c>
      <c r="D48" s="389"/>
      <c r="E48" s="389" t="e">
        <f>'Option Costs'!BI78</f>
        <v>#DIV/0!</v>
      </c>
    </row>
    <row r="49" spans="1:5" s="382" customFormat="1" ht="15">
      <c r="A49" s="385" t="s">
        <v>2745</v>
      </c>
      <c r="B49" s="386" t="s">
        <v>2902</v>
      </c>
      <c r="C49" s="390" t="e">
        <f>'Option Costs'!BG79</f>
        <v>#DIV/0!</v>
      </c>
      <c r="D49" s="390"/>
      <c r="E49" s="390" t="e">
        <f>'Option Costs'!BI79</f>
        <v>#DIV/0!</v>
      </c>
    </row>
    <row r="50" spans="1:5" s="382" customFormat="1" ht="15.75">
      <c r="A50" s="576" t="s">
        <v>2903</v>
      </c>
      <c r="B50" s="574"/>
      <c r="C50" s="574"/>
      <c r="D50" s="574"/>
      <c r="E50" s="575"/>
    </row>
    <row r="51" spans="1:5" s="382" customFormat="1" ht="15.75">
      <c r="A51" s="562" t="s">
        <v>2963</v>
      </c>
      <c r="B51" s="560"/>
      <c r="C51" s="560"/>
      <c r="D51" s="560"/>
      <c r="E51" s="561"/>
    </row>
    <row r="52" spans="1:5" s="382" customFormat="1" ht="15">
      <c r="A52" s="385" t="s">
        <v>2746</v>
      </c>
      <c r="B52" s="386" t="s">
        <v>2962</v>
      </c>
      <c r="C52" s="390" t="e">
        <f>'Option Costs'!BG98</f>
        <v>#DIV/0!</v>
      </c>
      <c r="D52" s="386"/>
      <c r="E52" s="431" t="s">
        <v>1775</v>
      </c>
    </row>
    <row r="53" spans="1:5" s="382" customFormat="1" ht="15">
      <c r="A53" s="385" t="s">
        <v>2747</v>
      </c>
      <c r="B53" s="386" t="s">
        <v>2961</v>
      </c>
      <c r="C53" s="390" t="e">
        <f>'Option Costs'!BG99</f>
        <v>#DIV/0!</v>
      </c>
      <c r="D53" s="386"/>
      <c r="E53" s="431" t="s">
        <v>1775</v>
      </c>
    </row>
    <row r="54" spans="1:5" s="382" customFormat="1" ht="15">
      <c r="A54" s="385" t="s">
        <v>2748</v>
      </c>
      <c r="B54" s="386" t="s">
        <v>2904</v>
      </c>
      <c r="C54" s="390" t="e">
        <f>'Option Costs'!BG82</f>
        <v>#DIV/0!</v>
      </c>
      <c r="D54" s="386"/>
      <c r="E54" s="431" t="s">
        <v>1775</v>
      </c>
    </row>
    <row r="55" spans="1:5" s="382" customFormat="1" ht="15.75">
      <c r="A55" s="596" t="s">
        <v>2905</v>
      </c>
      <c r="B55" s="543"/>
      <c r="C55" s="543"/>
      <c r="D55" s="543"/>
      <c r="E55" s="544"/>
    </row>
    <row r="56" spans="1:5" s="382" customFormat="1" ht="15">
      <c r="A56" s="385" t="s">
        <v>2749</v>
      </c>
      <c r="B56" s="386" t="s">
        <v>8168</v>
      </c>
      <c r="C56" s="390">
        <f>'Data Entry - SOF'!S136</f>
        <v>0</v>
      </c>
      <c r="D56" s="390"/>
      <c r="E56" s="390">
        <f>'Data Entry - SOF'!S136</f>
        <v>0</v>
      </c>
    </row>
    <row r="57" spans="1:5" s="382" customFormat="1" ht="15">
      <c r="A57" s="385" t="s">
        <v>2750</v>
      </c>
      <c r="B57" s="386" t="s">
        <v>8169</v>
      </c>
      <c r="C57" s="390" t="e">
        <f>'Option Costs'!BG73</f>
        <v>#DIV/0!</v>
      </c>
      <c r="D57" s="390"/>
      <c r="E57" s="390" t="e">
        <f>'Option Costs'!BI73</f>
        <v>#DIV/0!</v>
      </c>
    </row>
    <row r="58" spans="1:5" s="382" customFormat="1" ht="15">
      <c r="A58" s="385" t="s">
        <v>2751</v>
      </c>
      <c r="B58" s="386" t="s">
        <v>8162</v>
      </c>
      <c r="C58" s="390">
        <f>'Option Costs'!BG70</f>
        <v>0</v>
      </c>
      <c r="D58" s="390"/>
      <c r="E58" s="390">
        <f>'Option Costs'!BI70</f>
        <v>0</v>
      </c>
    </row>
    <row r="59" spans="1:5" s="382" customFormat="1" ht="15">
      <c r="A59" s="385" t="s">
        <v>2752</v>
      </c>
      <c r="B59" s="386" t="s">
        <v>8170</v>
      </c>
      <c r="C59" s="390" t="e">
        <f>'Option Costs'!BG83</f>
        <v>#DIV/0!</v>
      </c>
      <c r="D59" s="390"/>
      <c r="E59" s="390">
        <f>'Option Costs'!BI83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Costs'!BG83</f>
        <v>#DIV/0!</v>
      </c>
      <c r="D62" s="390"/>
      <c r="E62" s="390">
        <f>'Option Costs'!BI83</f>
        <v>0</v>
      </c>
    </row>
    <row r="63" spans="1:5" s="382" customFormat="1" ht="15.75">
      <c r="A63" s="550" t="s">
        <v>2908</v>
      </c>
      <c r="B63" s="543"/>
      <c r="C63" s="543"/>
      <c r="D63" s="543"/>
      <c r="E63" s="544"/>
    </row>
    <row r="64" spans="1:5" s="382" customFormat="1" ht="15">
      <c r="A64" s="385" t="s">
        <v>2756</v>
      </c>
      <c r="B64" s="386" t="s">
        <v>2909</v>
      </c>
      <c r="C64" s="390" t="e">
        <f>'Option Costs'!BG79</f>
        <v>#DIV/0!</v>
      </c>
      <c r="D64" s="390"/>
      <c r="E64" s="390" t="e">
        <f>'Option Costs'!BI79</f>
        <v>#DIV/0!</v>
      </c>
    </row>
    <row r="65" spans="1:7" s="382" customFormat="1" ht="15.75">
      <c r="A65" s="385" t="s">
        <v>2757</v>
      </c>
      <c r="B65" s="384" t="s">
        <v>2910</v>
      </c>
      <c r="C65" s="395" t="e">
        <f>'Option Costs'!BG85</f>
        <v>#DIV/0!</v>
      </c>
      <c r="D65" s="390"/>
      <c r="E65" s="395" t="e">
        <f>'Option Costs'!BI85</f>
        <v>#DIV/0!</v>
      </c>
      <c r="F65" s="567" t="s">
        <v>3024</v>
      </c>
      <c r="G65" s="568" t="str">
        <f>'Data Entry - SOF'!S143</f>
        <v>Y</v>
      </c>
    </row>
    <row r="66" spans="1:7" s="382" customFormat="1" ht="15.75">
      <c r="A66" s="385" t="s">
        <v>2758</v>
      </c>
      <c r="B66" s="384" t="s">
        <v>2911</v>
      </c>
      <c r="C66" s="395" t="e">
        <f>'Option Costs'!BG86</f>
        <v>#DIV/0!</v>
      </c>
      <c r="D66" s="390"/>
      <c r="E66" s="395" t="e">
        <f>'Option Costs'!BI86</f>
        <v>#DIV/0!</v>
      </c>
      <c r="F66" s="325" t="s">
        <v>3038</v>
      </c>
    </row>
    <row r="67" spans="1:7" s="382" customFormat="1" ht="15.75">
      <c r="A67" s="596" t="s">
        <v>2912</v>
      </c>
      <c r="B67" s="543"/>
      <c r="C67" s="543"/>
      <c r="D67" s="543"/>
      <c r="E67" s="544"/>
      <c r="F67" s="325" t="s">
        <v>3039</v>
      </c>
    </row>
    <row r="68" spans="1:7" s="382" customFormat="1" ht="15">
      <c r="A68" s="385" t="s">
        <v>2773</v>
      </c>
      <c r="B68" s="386" t="s">
        <v>8171</v>
      </c>
      <c r="C68" s="389" t="e">
        <f>'Calc Data'!J25</f>
        <v>#DIV/0!</v>
      </c>
      <c r="D68" s="389"/>
      <c r="E68" s="389" t="e">
        <f>'Calc Data'!I25</f>
        <v>#DIV/0!</v>
      </c>
    </row>
    <row r="69" spans="1:7" s="382" customFormat="1" ht="15">
      <c r="A69" s="385" t="s">
        <v>2774</v>
      </c>
      <c r="B69" s="386" t="s">
        <v>8172</v>
      </c>
      <c r="C69" s="388">
        <f>'Data Entry - SOF'!S135</f>
        <v>0</v>
      </c>
      <c r="D69" s="388"/>
      <c r="E69" s="388">
        <f>'Data Entry - SOF'!S135</f>
        <v>0</v>
      </c>
    </row>
    <row r="70" spans="1:7" s="382" customFormat="1" ht="15">
      <c r="A70" s="385" t="s">
        <v>2775</v>
      </c>
      <c r="B70" s="386" t="s">
        <v>8173</v>
      </c>
      <c r="C70" s="388">
        <f>'Data Entry - SOF'!S134</f>
        <v>0</v>
      </c>
      <c r="D70" s="388"/>
      <c r="E70" s="388">
        <f>'Data Entry - SOF'!S134</f>
        <v>0</v>
      </c>
    </row>
    <row r="71" spans="1:7" s="382" customFormat="1" ht="15.75">
      <c r="A71" s="576" t="s">
        <v>2881</v>
      </c>
      <c r="B71" s="574"/>
      <c r="C71" s="574"/>
      <c r="D71" s="574"/>
      <c r="E71" s="575"/>
    </row>
    <row r="72" spans="1:7" s="382" customFormat="1" ht="15.75">
      <c r="A72" s="562" t="s">
        <v>2913</v>
      </c>
      <c r="B72" s="560"/>
      <c r="C72" s="560"/>
      <c r="D72" s="560"/>
      <c r="E72" s="561"/>
    </row>
    <row r="73" spans="1:7" s="382" customFormat="1" ht="15">
      <c r="A73" s="385" t="s">
        <v>2776</v>
      </c>
      <c r="B73" s="386" t="s">
        <v>8172</v>
      </c>
      <c r="C73" s="388">
        <f>'Data Entry - SOF'!S135</f>
        <v>0</v>
      </c>
      <c r="D73" s="386"/>
      <c r="E73" s="388">
        <f>'Data Entry - SOF'!S135</f>
        <v>0</v>
      </c>
    </row>
    <row r="74" spans="1:7" s="382" customFormat="1" ht="15">
      <c r="A74" s="385" t="s">
        <v>2777</v>
      </c>
      <c r="B74" s="386" t="s">
        <v>2914</v>
      </c>
      <c r="C74" s="389">
        <f>'Ch41 Calc Data'!R15</f>
        <v>0</v>
      </c>
      <c r="D74" s="389"/>
      <c r="E74" s="389">
        <f>'Ch41 Calc Data'!R15</f>
        <v>0</v>
      </c>
    </row>
    <row r="75" spans="1:7" s="382" customFormat="1" ht="15">
      <c r="A75" s="385" t="s">
        <v>2778</v>
      </c>
      <c r="B75" s="386" t="s">
        <v>2915</v>
      </c>
      <c r="C75" s="389">
        <f>'Ch41 Calc Data'!R16</f>
        <v>0</v>
      </c>
      <c r="D75" s="389"/>
      <c r="E75" s="389">
        <f>'Ch41 Calc Data'!R16</f>
        <v>0</v>
      </c>
    </row>
    <row r="76" spans="1:7" s="382" customFormat="1" ht="15.75">
      <c r="A76" s="596" t="s">
        <v>2916</v>
      </c>
      <c r="B76" s="543"/>
      <c r="C76" s="543"/>
      <c r="D76" s="543"/>
      <c r="E76" s="544"/>
    </row>
    <row r="77" spans="1:7" s="382" customFormat="1" ht="15">
      <c r="A77" s="385" t="s">
        <v>2917</v>
      </c>
      <c r="B77" s="386" t="s">
        <v>8174</v>
      </c>
      <c r="C77" s="389" t="e">
        <f>'Ch41 Calc Data'!R17</f>
        <v>#DIV/0!</v>
      </c>
      <c r="D77" s="389"/>
      <c r="E77" s="389" t="e">
        <f>'Ch41 Calc Data'!R17</f>
        <v>#DIV/0!</v>
      </c>
    </row>
    <row r="78" spans="1:7" s="382" customFormat="1" ht="15">
      <c r="B78" s="741" t="s">
        <v>3812</v>
      </c>
      <c r="C78" s="1433" t="s">
        <v>8754</v>
      </c>
    </row>
    <row r="79" spans="1:7" s="382" customFormat="1" ht="15">
      <c r="B79" s="1436" t="s">
        <v>7065</v>
      </c>
      <c r="C79" s="1433" t="s">
        <v>8223</v>
      </c>
    </row>
    <row r="80" spans="1:7" s="382" customFormat="1" ht="15.75">
      <c r="A80" s="325" t="s">
        <v>8175</v>
      </c>
    </row>
    <row r="81" spans="1:5" s="382" customFormat="1" ht="15.75">
      <c r="A81" s="434">
        <f>A5</f>
        <v>0</v>
      </c>
    </row>
    <row r="82" spans="1:5" s="382" customFormat="1" ht="15.75">
      <c r="A82" s="325">
        <f>A6</f>
        <v>0</v>
      </c>
    </row>
    <row r="83" spans="1:5" s="382" customFormat="1" ht="15"/>
    <row r="84" spans="1:5" s="382" customFormat="1" ht="15"/>
    <row r="85" spans="1:5" s="382" customFormat="1" ht="18">
      <c r="A85" s="570" t="s">
        <v>2873</v>
      </c>
      <c r="B85" s="523"/>
      <c r="C85" s="525"/>
      <c r="D85" s="572" t="s">
        <v>2880</v>
      </c>
      <c r="E85" s="524"/>
    </row>
    <row r="86" spans="1:5" s="382" customFormat="1" ht="18">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8162</v>
      </c>
      <c r="C91" s="428">
        <f>'Option Costs'!BK71</f>
        <v>0</v>
      </c>
      <c r="D91" s="428"/>
      <c r="E91" s="428">
        <f t="shared" si="2"/>
        <v>0</v>
      </c>
    </row>
    <row r="92" spans="1:5" s="382" customFormat="1" ht="15">
      <c r="A92" s="385" t="s">
        <v>912</v>
      </c>
      <c r="B92" s="386" t="s">
        <v>8163</v>
      </c>
      <c r="C92" s="429">
        <f>'Data Entry - SOF'!S92</f>
        <v>1.17</v>
      </c>
      <c r="D92" s="429"/>
      <c r="E92" s="429">
        <f t="shared" si="2"/>
        <v>1.17</v>
      </c>
    </row>
    <row r="93" spans="1:5" s="382" customFormat="1" ht="15">
      <c r="A93" s="385" t="s">
        <v>2875</v>
      </c>
      <c r="B93" s="386" t="s">
        <v>8164</v>
      </c>
      <c r="C93" s="429">
        <f>C17</f>
        <v>1</v>
      </c>
      <c r="D93" s="429"/>
      <c r="E93" s="429">
        <f t="shared" si="2"/>
        <v>1</v>
      </c>
    </row>
    <row r="94" spans="1:5" s="382" customFormat="1" ht="15">
      <c r="A94" s="385" t="s">
        <v>913</v>
      </c>
      <c r="B94" s="386" t="s">
        <v>8165</v>
      </c>
      <c r="C94" s="389" t="e">
        <f>'Ch41 Calc Data'!R17</f>
        <v>#DIV/0!</v>
      </c>
      <c r="D94" s="389"/>
      <c r="E94" s="389" t="e">
        <f t="shared" si="2"/>
        <v>#DIV/0!</v>
      </c>
    </row>
    <row r="95" spans="1:5" s="382" customFormat="1" ht="15">
      <c r="A95" s="385" t="s">
        <v>914</v>
      </c>
      <c r="B95" s="386" t="s">
        <v>6871</v>
      </c>
      <c r="C95" s="390">
        <f>C19</f>
        <v>0</v>
      </c>
      <c r="D95" s="386"/>
      <c r="E95" s="428">
        <f t="shared" si="2"/>
        <v>0</v>
      </c>
    </row>
    <row r="96" spans="1:5" s="382" customFormat="1" ht="15">
      <c r="A96" s="385" t="s">
        <v>118</v>
      </c>
      <c r="B96" s="386" t="s">
        <v>8166</v>
      </c>
      <c r="C96" s="390">
        <f>'Report-SOF2324'!D57</f>
        <v>0</v>
      </c>
      <c r="D96" s="386"/>
      <c r="E96" s="428">
        <f t="shared" si="2"/>
        <v>0</v>
      </c>
    </row>
    <row r="97" spans="1:5" s="382" customFormat="1" ht="15">
      <c r="A97" s="385" t="s">
        <v>119</v>
      </c>
      <c r="B97" s="386" t="s">
        <v>2876</v>
      </c>
      <c r="C97" s="388">
        <f>'Data Entry - SOF'!S139</f>
        <v>0</v>
      </c>
      <c r="D97" s="388"/>
      <c r="E97" s="388">
        <f t="shared" si="2"/>
        <v>0</v>
      </c>
    </row>
    <row r="98" spans="1:5" s="382" customFormat="1" ht="15">
      <c r="A98" s="385" t="s">
        <v>120</v>
      </c>
      <c r="B98" s="386" t="s">
        <v>2877</v>
      </c>
      <c r="C98" s="428">
        <f>'Data Entry - SOF'!S140</f>
        <v>0</v>
      </c>
      <c r="D98" s="386"/>
      <c r="E98" s="428">
        <f t="shared" si="2"/>
        <v>0</v>
      </c>
    </row>
    <row r="99" spans="1:5" s="382" customFormat="1" ht="15">
      <c r="A99" s="385" t="s">
        <v>121</v>
      </c>
      <c r="B99" s="386" t="s">
        <v>1796</v>
      </c>
      <c r="C99" s="430">
        <f>C23</f>
        <v>0</v>
      </c>
      <c r="D99" s="402"/>
      <c r="E99" s="430">
        <f t="shared" si="2"/>
        <v>0</v>
      </c>
    </row>
    <row r="100" spans="1:5" s="382" customFormat="1" ht="15.75">
      <c r="A100" s="576" t="s">
        <v>2881</v>
      </c>
      <c r="B100" s="574"/>
      <c r="C100" s="574"/>
      <c r="D100" s="574"/>
      <c r="E100" s="575"/>
    </row>
    <row r="101" spans="1:5" s="382" customFormat="1" ht="15.75">
      <c r="A101" s="562" t="s">
        <v>2882</v>
      </c>
      <c r="B101" s="560"/>
      <c r="C101" s="560"/>
      <c r="D101" s="560"/>
      <c r="E101" s="561"/>
    </row>
    <row r="102" spans="1:5" s="382" customFormat="1" ht="15">
      <c r="A102" s="385" t="s">
        <v>1513</v>
      </c>
      <c r="B102" s="386" t="s">
        <v>2883</v>
      </c>
      <c r="C102" s="390">
        <f>'Option Costs'!BK13</f>
        <v>0</v>
      </c>
      <c r="D102" s="390"/>
      <c r="E102" s="390">
        <f t="shared" ref="E102:E107" si="3">C102</f>
        <v>0</v>
      </c>
    </row>
    <row r="103" spans="1:5" s="382" customFormat="1" ht="15">
      <c r="A103" s="385" t="s">
        <v>6</v>
      </c>
      <c r="B103" s="386" t="s">
        <v>2918</v>
      </c>
      <c r="C103" s="389">
        <f>'Option Costs'!BK16</f>
        <v>0</v>
      </c>
      <c r="D103" s="389"/>
      <c r="E103" s="389">
        <f t="shared" si="3"/>
        <v>0</v>
      </c>
    </row>
    <row r="104" spans="1:5" s="382" customFormat="1" ht="15">
      <c r="A104" s="385" t="s">
        <v>2232</v>
      </c>
      <c r="B104" s="386" t="s">
        <v>2884</v>
      </c>
      <c r="C104" s="390">
        <f>'Option Costs'!BK17</f>
        <v>0</v>
      </c>
      <c r="D104" s="390"/>
      <c r="E104" s="390">
        <f t="shared" si="3"/>
        <v>0</v>
      </c>
    </row>
    <row r="105" spans="1:5" s="382" customFormat="1" ht="15">
      <c r="A105" s="385" t="s">
        <v>2233</v>
      </c>
      <c r="B105" s="386" t="s">
        <v>2885</v>
      </c>
      <c r="C105" s="390">
        <f>'Option Costs'!BK19</f>
        <v>0</v>
      </c>
      <c r="D105" s="390"/>
      <c r="E105" s="390">
        <f t="shared" si="3"/>
        <v>0</v>
      </c>
    </row>
    <row r="106" spans="1:5" s="382" customFormat="1" ht="15">
      <c r="A106" s="385" t="s">
        <v>2722</v>
      </c>
      <c r="B106" s="386" t="s">
        <v>2886</v>
      </c>
      <c r="C106" s="389">
        <f>'Option Costs'!BK20</f>
        <v>0</v>
      </c>
      <c r="D106" s="389"/>
      <c r="E106" s="389">
        <f t="shared" si="3"/>
        <v>0</v>
      </c>
    </row>
    <row r="107" spans="1:5" s="382" customFormat="1" ht="15">
      <c r="A107" s="385" t="s">
        <v>2723</v>
      </c>
      <c r="B107" s="386" t="s">
        <v>8167</v>
      </c>
      <c r="C107" s="389">
        <f>'Option Costs'!BK21</f>
        <v>1.4999999999999999E-2</v>
      </c>
      <c r="D107" s="389"/>
      <c r="E107" s="389">
        <f t="shared" si="3"/>
        <v>1.4999999999999999E-2</v>
      </c>
    </row>
    <row r="108" spans="1:5" s="382" customFormat="1" ht="15.75">
      <c r="A108" s="596" t="s">
        <v>2887</v>
      </c>
      <c r="B108" s="543"/>
      <c r="C108" s="543"/>
      <c r="D108" s="543"/>
      <c r="E108" s="544"/>
    </row>
    <row r="109" spans="1:5" ht="15">
      <c r="A109" s="400" t="s">
        <v>2726</v>
      </c>
      <c r="B109" s="386" t="s">
        <v>2887</v>
      </c>
      <c r="C109" s="390" t="e">
        <f>'Option Costs'!BK24</f>
        <v>#DIV/0!</v>
      </c>
      <c r="D109" s="390"/>
      <c r="E109" s="390" t="e">
        <f>C109</f>
        <v>#DIV/0!</v>
      </c>
    </row>
    <row r="110" spans="1:5" ht="15.75">
      <c r="A110" s="596" t="s">
        <v>2888</v>
      </c>
      <c r="B110" s="543"/>
      <c r="C110" s="543"/>
      <c r="D110" s="543"/>
      <c r="E110" s="544"/>
    </row>
    <row r="111" spans="1:5" ht="15">
      <c r="A111" s="400" t="s">
        <v>2727</v>
      </c>
      <c r="B111" s="386" t="s">
        <v>2889</v>
      </c>
      <c r="C111" s="390">
        <f>'Option Costs'!BK27</f>
        <v>0</v>
      </c>
      <c r="D111" s="390"/>
      <c r="E111" s="431" t="s">
        <v>1775</v>
      </c>
    </row>
    <row r="112" spans="1:5" ht="15">
      <c r="A112" s="400" t="s">
        <v>2728</v>
      </c>
      <c r="B112" s="386" t="s">
        <v>2890</v>
      </c>
      <c r="C112" s="390" t="e">
        <f>'Option Costs'!BK28</f>
        <v>#DIV/0!</v>
      </c>
      <c r="D112" s="390"/>
      <c r="E112" s="431" t="s">
        <v>1775</v>
      </c>
    </row>
    <row r="113" spans="1:5" ht="15">
      <c r="A113" s="400" t="s">
        <v>2729</v>
      </c>
      <c r="B113" s="386" t="s">
        <v>2891</v>
      </c>
      <c r="C113" s="390" t="e">
        <f>'Option Costs'!BK29</f>
        <v>#DIV/0!</v>
      </c>
      <c r="D113" s="390"/>
      <c r="E113" s="431" t="s">
        <v>1775</v>
      </c>
    </row>
    <row r="114" spans="1:5" ht="15">
      <c r="A114" s="400" t="s">
        <v>2731</v>
      </c>
      <c r="B114" s="386" t="s">
        <v>2892</v>
      </c>
      <c r="C114" s="390" t="e">
        <f>'Option Costs'!BK30</f>
        <v>#DIV/0!</v>
      </c>
      <c r="D114" s="390"/>
      <c r="E114" s="431" t="s">
        <v>1775</v>
      </c>
    </row>
    <row r="115" spans="1:5" ht="15">
      <c r="A115" s="400" t="s">
        <v>2732</v>
      </c>
      <c r="B115" s="386" t="s">
        <v>2893</v>
      </c>
      <c r="C115" s="390" t="e">
        <f>'Option Costs'!BK64</f>
        <v>#DIV/0!</v>
      </c>
      <c r="D115" s="390"/>
      <c r="E115" s="390" t="e">
        <f>'Option Costs'!BM64</f>
        <v>#DIV/0!</v>
      </c>
    </row>
    <row r="116" spans="1:5" ht="15">
      <c r="A116" s="400" t="s">
        <v>2733</v>
      </c>
      <c r="B116" s="386" t="s">
        <v>2894</v>
      </c>
      <c r="C116" s="390" t="e">
        <f>'Option Costs'!BK65</f>
        <v>#DIV/0!</v>
      </c>
      <c r="D116" s="390"/>
      <c r="E116" s="390" t="e">
        <f>'Option Costs'!BM65</f>
        <v>#DIV/0!</v>
      </c>
    </row>
    <row r="117" spans="1:5" ht="15">
      <c r="A117" s="400" t="s">
        <v>2734</v>
      </c>
      <c r="B117" s="386" t="s">
        <v>2895</v>
      </c>
      <c r="C117" s="389" t="e">
        <f>'Option Costs'!BK66</f>
        <v>#DIV/0!</v>
      </c>
      <c r="D117" s="389"/>
      <c r="E117" s="389" t="e">
        <f>'Option Costs'!BM66</f>
        <v>#DIV/0!</v>
      </c>
    </row>
    <row r="118" spans="1:5" ht="15.75">
      <c r="A118" s="596" t="s">
        <v>2896</v>
      </c>
      <c r="B118" s="543"/>
      <c r="C118" s="543"/>
      <c r="D118" s="543"/>
      <c r="E118" s="544"/>
    </row>
    <row r="119" spans="1:5" ht="15">
      <c r="A119" s="385" t="s">
        <v>2735</v>
      </c>
      <c r="B119" s="386" t="s">
        <v>2897</v>
      </c>
      <c r="C119" s="390">
        <f>'Option Costs'!BK73</f>
        <v>0</v>
      </c>
      <c r="D119" s="386"/>
      <c r="E119" s="390">
        <f>'Option Costs'!BM73</f>
        <v>0</v>
      </c>
    </row>
    <row r="120" spans="1:5" ht="15">
      <c r="A120" s="385" t="s">
        <v>2740</v>
      </c>
      <c r="B120" s="386" t="s">
        <v>2898</v>
      </c>
      <c r="C120" s="389">
        <f>'Option Costs'!BK74</f>
        <v>0</v>
      </c>
      <c r="D120" s="389"/>
      <c r="E120" s="389">
        <f>'Option Costs'!BM74</f>
        <v>0</v>
      </c>
    </row>
    <row r="121" spans="1:5" ht="15">
      <c r="A121" s="385" t="s">
        <v>2741</v>
      </c>
      <c r="B121" s="386" t="s">
        <v>6970</v>
      </c>
      <c r="C121" s="390">
        <f>'Option Costs'!BK75</f>
        <v>0</v>
      </c>
      <c r="D121" s="390"/>
      <c r="E121" s="390">
        <f>'Option Costs'!BM75</f>
        <v>0</v>
      </c>
    </row>
    <row r="122" spans="1:5" ht="15">
      <c r="A122" s="385" t="s">
        <v>2742</v>
      </c>
      <c r="B122" s="386" t="s">
        <v>2899</v>
      </c>
      <c r="C122" s="389">
        <f>'Option Costs'!BK76</f>
        <v>0</v>
      </c>
      <c r="D122" s="389"/>
      <c r="E122" s="389">
        <f>'Option Costs'!BM76</f>
        <v>0</v>
      </c>
    </row>
    <row r="123" spans="1:5" ht="15">
      <c r="A123" s="385" t="s">
        <v>2743</v>
      </c>
      <c r="B123" s="386" t="s">
        <v>2900</v>
      </c>
      <c r="C123" s="389">
        <f>'Option Costs'!BK77</f>
        <v>0</v>
      </c>
      <c r="D123" s="389"/>
      <c r="E123" s="389">
        <f>'Option Costs'!BM77</f>
        <v>0</v>
      </c>
    </row>
    <row r="124" spans="1:5" ht="15">
      <c r="A124" s="385" t="s">
        <v>2744</v>
      </c>
      <c r="B124" s="386" t="s">
        <v>2901</v>
      </c>
      <c r="C124" s="389">
        <f>'Option Costs'!BK78</f>
        <v>0</v>
      </c>
      <c r="D124" s="389"/>
      <c r="E124" s="389">
        <f>'Option Costs'!BM78</f>
        <v>0</v>
      </c>
    </row>
    <row r="125" spans="1:5" ht="15">
      <c r="A125" s="385" t="s">
        <v>2745</v>
      </c>
      <c r="B125" s="386" t="s">
        <v>2902</v>
      </c>
      <c r="C125" s="390">
        <f>'Option Costs'!BK79</f>
        <v>0</v>
      </c>
      <c r="D125" s="390"/>
      <c r="E125" s="390">
        <f>'Option Costs'!BM79</f>
        <v>0</v>
      </c>
    </row>
    <row r="126" spans="1:5" ht="15.75">
      <c r="A126" s="576" t="s">
        <v>2903</v>
      </c>
      <c r="B126" s="574"/>
      <c r="C126" s="574"/>
      <c r="D126" s="574"/>
      <c r="E126" s="575"/>
    </row>
    <row r="127" spans="1:5" ht="15.75">
      <c r="A127" s="562" t="s">
        <v>2963</v>
      </c>
      <c r="B127" s="560"/>
      <c r="C127" s="560"/>
      <c r="D127" s="560"/>
      <c r="E127" s="561"/>
    </row>
    <row r="128" spans="1:5" ht="15">
      <c r="A128" s="385" t="s">
        <v>2746</v>
      </c>
      <c r="B128" s="386" t="s">
        <v>2962</v>
      </c>
      <c r="C128" s="390">
        <f>'Option Costs'!BK98</f>
        <v>0</v>
      </c>
      <c r="D128" s="386"/>
      <c r="E128" s="431" t="s">
        <v>1775</v>
      </c>
    </row>
    <row r="129" spans="1:7" ht="15">
      <c r="A129" s="385" t="s">
        <v>2747</v>
      </c>
      <c r="B129" s="386" t="s">
        <v>2961</v>
      </c>
      <c r="C129" s="390">
        <f>'Option Costs'!BK99</f>
        <v>0</v>
      </c>
      <c r="D129" s="386"/>
      <c r="E129" s="431" t="s">
        <v>1775</v>
      </c>
    </row>
    <row r="130" spans="1:7" ht="15">
      <c r="A130" s="385" t="s">
        <v>2748</v>
      </c>
      <c r="B130" s="386" t="s">
        <v>2904</v>
      </c>
      <c r="C130" s="390">
        <f>'Option Costs'!BK82</f>
        <v>0</v>
      </c>
      <c r="D130" s="386"/>
      <c r="E130" s="431" t="s">
        <v>1775</v>
      </c>
    </row>
    <row r="131" spans="1:7" ht="15.75">
      <c r="A131" s="596" t="s">
        <v>2905</v>
      </c>
      <c r="B131" s="543"/>
      <c r="C131" s="543"/>
      <c r="D131" s="543"/>
      <c r="E131" s="544"/>
    </row>
    <row r="132" spans="1:7" ht="15">
      <c r="A132" s="385" t="s">
        <v>2749</v>
      </c>
      <c r="B132" s="386" t="s">
        <v>8168</v>
      </c>
      <c r="C132" s="390">
        <f>'Data Entry - SOF'!S136</f>
        <v>0</v>
      </c>
      <c r="D132" s="390"/>
      <c r="E132" s="390">
        <f>'Data Entry - SOF'!S136</f>
        <v>0</v>
      </c>
    </row>
    <row r="133" spans="1:7" ht="15">
      <c r="A133" s="385" t="s">
        <v>2750</v>
      </c>
      <c r="B133" s="386" t="s">
        <v>8169</v>
      </c>
      <c r="C133" s="390">
        <f>'Option Costs'!BK73</f>
        <v>0</v>
      </c>
      <c r="D133" s="390"/>
      <c r="E133" s="390">
        <f>'Option Costs'!BM73</f>
        <v>0</v>
      </c>
    </row>
    <row r="134" spans="1:7" ht="15">
      <c r="A134" s="385" t="s">
        <v>2751</v>
      </c>
      <c r="B134" s="386" t="s">
        <v>8162</v>
      </c>
      <c r="C134" s="390">
        <f>'Option Costs'!BK72</f>
        <v>0</v>
      </c>
      <c r="D134" s="390"/>
      <c r="E134" s="390">
        <f>'Option Costs'!BM72</f>
        <v>0</v>
      </c>
    </row>
    <row r="135" spans="1:7" ht="15">
      <c r="A135" s="385" t="s">
        <v>2752</v>
      </c>
      <c r="B135" s="386" t="s">
        <v>8170</v>
      </c>
      <c r="C135" s="390" t="e">
        <f>'Option Costs'!BK83</f>
        <v>#DIV/0!</v>
      </c>
      <c r="D135" s="390"/>
      <c r="E135" s="390">
        <f>'Option Costs'!BM83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Costs'!BK83</f>
        <v>#DIV/0!</v>
      </c>
      <c r="D138" s="390"/>
      <c r="E138" s="390">
        <f>'Option Costs'!BM83</f>
        <v>0</v>
      </c>
    </row>
    <row r="139" spans="1:7" ht="15.75">
      <c r="A139" s="550" t="s">
        <v>2908</v>
      </c>
      <c r="B139" s="543"/>
      <c r="C139" s="543"/>
      <c r="D139" s="543"/>
      <c r="E139" s="544"/>
    </row>
    <row r="140" spans="1:7" ht="15">
      <c r="A140" s="385" t="s">
        <v>2756</v>
      </c>
      <c r="B140" s="386" t="s">
        <v>2909</v>
      </c>
      <c r="C140" s="390">
        <f>'Option Costs'!BK79</f>
        <v>0</v>
      </c>
      <c r="D140" s="390"/>
      <c r="E140" s="390">
        <f>'Option Costs'!BM79</f>
        <v>0</v>
      </c>
    </row>
    <row r="141" spans="1:7" ht="15.75">
      <c r="A141" s="385" t="s">
        <v>2757</v>
      </c>
      <c r="B141" s="384" t="s">
        <v>2910</v>
      </c>
      <c r="C141" s="395" t="e">
        <f>'Option Costs'!BK85</f>
        <v>#DIV/0!</v>
      </c>
      <c r="D141" s="395"/>
      <c r="E141" s="395">
        <f>'Option Costs'!BM85</f>
        <v>0</v>
      </c>
      <c r="F141" s="567" t="s">
        <v>3024</v>
      </c>
      <c r="G141" s="568" t="str">
        <f>'Data Entry - SOF'!S144</f>
        <v>Y</v>
      </c>
    </row>
    <row r="142" spans="1:7" ht="15.75">
      <c r="A142" s="385" t="s">
        <v>2758</v>
      </c>
      <c r="B142" s="384" t="s">
        <v>2911</v>
      </c>
      <c r="C142" s="395">
        <f>'Option Costs'!BK86</f>
        <v>0</v>
      </c>
      <c r="D142" s="395"/>
      <c r="E142" s="395">
        <f>'Option Costs'!BM86</f>
        <v>0</v>
      </c>
    </row>
    <row r="143" spans="1:7" ht="15.75">
      <c r="A143" s="596" t="s">
        <v>2912</v>
      </c>
      <c r="B143" s="543"/>
      <c r="C143" s="543"/>
      <c r="D143" s="543"/>
      <c r="E143" s="544"/>
    </row>
    <row r="144" spans="1:7" ht="15">
      <c r="A144" s="385" t="s">
        <v>2773</v>
      </c>
      <c r="B144" s="386" t="s">
        <v>8171</v>
      </c>
      <c r="C144" s="389" t="e">
        <f>'Calc Data'!J25</f>
        <v>#DIV/0!</v>
      </c>
      <c r="D144" s="389"/>
      <c r="E144" s="389" t="e">
        <f>'Calc Data'!J25</f>
        <v>#DIV/0!</v>
      </c>
    </row>
    <row r="145" spans="1:5" ht="15">
      <c r="A145" s="385" t="s">
        <v>2774</v>
      </c>
      <c r="B145" s="386" t="s">
        <v>8172</v>
      </c>
      <c r="C145" s="388">
        <f>'Data Entry - SOF'!S135</f>
        <v>0</v>
      </c>
      <c r="D145" s="388"/>
      <c r="E145" s="388">
        <f>'Data Entry - SOF'!S135</f>
        <v>0</v>
      </c>
    </row>
    <row r="146" spans="1:5" ht="15">
      <c r="A146" s="385" t="s">
        <v>2775</v>
      </c>
      <c r="B146" s="386" t="s">
        <v>8173</v>
      </c>
      <c r="C146" s="388">
        <f>'Data Entry - SOF'!S134</f>
        <v>0</v>
      </c>
      <c r="D146" s="388"/>
      <c r="E146" s="388">
        <f>'Data Entry - SOF'!S134</f>
        <v>0</v>
      </c>
    </row>
    <row r="147" spans="1:5" ht="15.75">
      <c r="A147" s="576" t="s">
        <v>2881</v>
      </c>
      <c r="B147" s="574"/>
      <c r="C147" s="574"/>
      <c r="D147" s="574"/>
      <c r="E147" s="575"/>
    </row>
    <row r="148" spans="1:5" ht="15.75">
      <c r="A148" s="562" t="s">
        <v>2913</v>
      </c>
      <c r="B148" s="560"/>
      <c r="C148" s="560"/>
      <c r="D148" s="560"/>
      <c r="E148" s="561"/>
    </row>
    <row r="149" spans="1:5" ht="15">
      <c r="A149" s="385" t="s">
        <v>2776</v>
      </c>
      <c r="B149" s="386" t="s">
        <v>8172</v>
      </c>
      <c r="C149" s="388">
        <f>'Data Entry - SOF'!S135</f>
        <v>0</v>
      </c>
      <c r="D149" s="386"/>
      <c r="E149" s="388">
        <f>'Data Entry - SOF'!S135</f>
        <v>0</v>
      </c>
    </row>
    <row r="150" spans="1:5" ht="15">
      <c r="A150" s="385" t="s">
        <v>2777</v>
      </c>
      <c r="B150" s="386" t="s">
        <v>2914</v>
      </c>
      <c r="C150" s="389">
        <f>'Ch41 Calc Data'!R15</f>
        <v>0</v>
      </c>
      <c r="D150" s="389"/>
      <c r="E150" s="389">
        <f>'Ch41 Calc Data'!R15</f>
        <v>0</v>
      </c>
    </row>
    <row r="151" spans="1:5" ht="15">
      <c r="A151" s="385" t="s">
        <v>2778</v>
      </c>
      <c r="B151" s="386" t="s">
        <v>2915</v>
      </c>
      <c r="C151" s="389">
        <f>'Ch41 Calc Data'!R16</f>
        <v>0</v>
      </c>
      <c r="D151" s="389"/>
      <c r="E151" s="389">
        <f>'Ch41 Calc Data'!R16</f>
        <v>0</v>
      </c>
    </row>
    <row r="152" spans="1:5" ht="15.75">
      <c r="A152" s="577" t="s">
        <v>2916</v>
      </c>
      <c r="B152" s="543"/>
      <c r="C152" s="543"/>
      <c r="D152" s="543"/>
      <c r="E152" s="544"/>
    </row>
    <row r="153" spans="1:5" ht="15">
      <c r="A153" s="385" t="s">
        <v>2917</v>
      </c>
      <c r="B153" s="386" t="s">
        <v>8174</v>
      </c>
      <c r="C153" s="389" t="e">
        <f>'Ch41 Calc Data'!R17</f>
        <v>#DIV/0!</v>
      </c>
      <c r="D153" s="389"/>
      <c r="E153" s="389" t="e">
        <f>'Ch41 Calc Data'!R17</f>
        <v>#DIV/0!</v>
      </c>
    </row>
    <row r="154" spans="1:5" s="382" customFormat="1" ht="15">
      <c r="B154" s="741" t="s">
        <v>3812</v>
      </c>
      <c r="C154" s="1433" t="s">
        <v>8754</v>
      </c>
    </row>
    <row r="155" spans="1:5" s="382" customFormat="1" ht="15">
      <c r="B155" s="1436" t="s">
        <v>7065</v>
      </c>
      <c r="C155" s="1433" t="s">
        <v>8223</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42578125" customWidth="1"/>
    <col min="3" max="3" width="12.85546875" style="399" customWidth="1"/>
    <col min="4" max="4" width="29.5703125" customWidth="1"/>
    <col min="5" max="5" width="23.140625" bestFit="1" customWidth="1"/>
  </cols>
  <sheetData>
    <row r="1" spans="1:5">
      <c r="A1" s="380" t="s">
        <v>2993</v>
      </c>
      <c r="B1" s="380"/>
      <c r="E1" s="754" t="e">
        <f>#REF!</f>
        <v>#REF!</v>
      </c>
    </row>
    <row r="2" spans="1:5">
      <c r="A2" s="380" t="s">
        <v>2994</v>
      </c>
      <c r="B2" s="380"/>
      <c r="E2" s="72" t="e">
        <f>#REF!</f>
        <v>#REF!</v>
      </c>
    </row>
    <row r="3" spans="1:5">
      <c r="A3" s="64"/>
      <c r="B3" s="64"/>
      <c r="E3" s="58" t="e">
        <f>#REF!</f>
        <v>#REF!</v>
      </c>
    </row>
    <row r="4" spans="1:5" ht="15.75">
      <c r="A4" s="381" t="s">
        <v>3250</v>
      </c>
      <c r="B4" s="381"/>
    </row>
    <row r="5" spans="1:5" ht="15.75">
      <c r="A5" s="383">
        <f>'Data Entry - SOF'!B1</f>
        <v>0</v>
      </c>
      <c r="B5" s="383"/>
    </row>
    <row r="6" spans="1:5" ht="15.75">
      <c r="A6" s="381">
        <f>'Data Entry - SOF'!B2</f>
        <v>0</v>
      </c>
      <c r="B6" s="381"/>
    </row>
    <row r="8" spans="1:5" ht="18">
      <c r="A8" s="529"/>
      <c r="B8" s="530"/>
      <c r="C8" s="531"/>
      <c r="D8" s="532" t="s">
        <v>2797</v>
      </c>
      <c r="E8" s="532" t="s">
        <v>2798</v>
      </c>
    </row>
    <row r="9" spans="1:5" ht="18">
      <c r="A9" s="526"/>
      <c r="B9" s="537" t="s">
        <v>2796</v>
      </c>
      <c r="C9" s="566" t="s">
        <v>2782</v>
      </c>
      <c r="D9" s="533" t="s">
        <v>2783</v>
      </c>
      <c r="E9" s="533" t="s">
        <v>2797</v>
      </c>
    </row>
    <row r="10" spans="1:5" ht="15">
      <c r="A10" s="385" t="s">
        <v>2186</v>
      </c>
      <c r="B10" s="386" t="s">
        <v>2784</v>
      </c>
      <c r="C10" s="401">
        <f>Weights!J10</f>
        <v>5</v>
      </c>
      <c r="D10" s="387">
        <f>'Data Entry - SOF'!E23</f>
        <v>0</v>
      </c>
      <c r="E10" s="391">
        <f>D10*C10</f>
        <v>0</v>
      </c>
    </row>
    <row r="11" spans="1:5" ht="15">
      <c r="A11" s="385" t="s">
        <v>2187</v>
      </c>
      <c r="B11" s="386" t="s">
        <v>2785</v>
      </c>
      <c r="C11" s="401">
        <f>Weights!J11</f>
        <v>3</v>
      </c>
      <c r="D11" s="387">
        <f>'Data Entry - SOF'!E24</f>
        <v>0</v>
      </c>
      <c r="E11" s="391">
        <f t="shared" ref="E11:E19" si="0">D11*C11</f>
        <v>0</v>
      </c>
    </row>
    <row r="12" spans="1:5" ht="15">
      <c r="A12" s="385" t="s">
        <v>2188</v>
      </c>
      <c r="B12" s="386" t="s">
        <v>2786</v>
      </c>
      <c r="C12" s="401">
        <f>Weights!J12</f>
        <v>5</v>
      </c>
      <c r="D12" s="387">
        <f>'Data Entry - SOF'!E25</f>
        <v>0</v>
      </c>
      <c r="E12" s="391">
        <f t="shared" si="0"/>
        <v>0</v>
      </c>
    </row>
    <row r="13" spans="1:5" ht="15">
      <c r="A13" s="385" t="s">
        <v>909</v>
      </c>
      <c r="B13" s="386" t="s">
        <v>2787</v>
      </c>
      <c r="C13" s="401">
        <f>Weights!J13</f>
        <v>3</v>
      </c>
      <c r="D13" s="387">
        <f>'Data Entry - SOF'!E26</f>
        <v>0</v>
      </c>
      <c r="E13" s="391">
        <f t="shared" si="0"/>
        <v>0</v>
      </c>
    </row>
    <row r="14" spans="1:5" ht="15">
      <c r="A14" s="418"/>
      <c r="B14" s="402" t="s">
        <v>2788</v>
      </c>
      <c r="C14" s="397"/>
      <c r="D14" s="403"/>
      <c r="E14" s="406"/>
    </row>
    <row r="15" spans="1:5" ht="15">
      <c r="A15" s="551" t="s">
        <v>910</v>
      </c>
      <c r="B15" s="404" t="s">
        <v>2789</v>
      </c>
      <c r="C15" s="398">
        <f>Weights!J14</f>
        <v>3</v>
      </c>
      <c r="D15" s="405">
        <f>'Data Entry - SOF'!E27</f>
        <v>0</v>
      </c>
      <c r="E15" s="405">
        <f t="shared" si="0"/>
        <v>0</v>
      </c>
    </row>
    <row r="16" spans="1:5" ht="15">
      <c r="A16" s="385" t="s">
        <v>912</v>
      </c>
      <c r="B16" s="386" t="s">
        <v>2790</v>
      </c>
      <c r="C16" s="401">
        <f>Weights!J15</f>
        <v>2.7</v>
      </c>
      <c r="D16" s="391">
        <f>'Data Entry - SOF'!E28</f>
        <v>0</v>
      </c>
      <c r="E16" s="391">
        <f t="shared" si="0"/>
        <v>0</v>
      </c>
    </row>
    <row r="17" spans="1:5" ht="15">
      <c r="A17" s="385" t="s">
        <v>913</v>
      </c>
      <c r="B17" s="386" t="s">
        <v>2791</v>
      </c>
      <c r="C17" s="401">
        <f>Weights!J16</f>
        <v>2.2999999999999998</v>
      </c>
      <c r="D17" s="391">
        <f>'Data Entry - SOF'!E29</f>
        <v>0</v>
      </c>
      <c r="E17" s="391">
        <f t="shared" si="0"/>
        <v>0</v>
      </c>
    </row>
    <row r="18" spans="1:5" ht="15">
      <c r="A18" s="385" t="s">
        <v>914</v>
      </c>
      <c r="B18" s="386" t="s">
        <v>2792</v>
      </c>
      <c r="C18" s="401">
        <f>Weights!J17</f>
        <v>2.8</v>
      </c>
      <c r="D18" s="391">
        <f>'Data Entry - SOF'!E30</f>
        <v>0</v>
      </c>
      <c r="E18" s="391">
        <f t="shared" si="0"/>
        <v>0</v>
      </c>
    </row>
    <row r="19" spans="1:5" ht="15">
      <c r="A19" s="385" t="s">
        <v>118</v>
      </c>
      <c r="B19" s="386" t="s">
        <v>2793</v>
      </c>
      <c r="C19" s="401">
        <f>Weights!J19</f>
        <v>4</v>
      </c>
      <c r="D19" s="391">
        <f>'Data Entry - SOF'!E32</f>
        <v>0</v>
      </c>
      <c r="E19" s="391">
        <f t="shared" si="0"/>
        <v>0</v>
      </c>
    </row>
    <row r="20" spans="1:5" ht="15.75">
      <c r="A20" s="385" t="s">
        <v>119</v>
      </c>
      <c r="B20" s="386" t="s">
        <v>2799</v>
      </c>
      <c r="C20" s="401" t="s">
        <v>1775</v>
      </c>
      <c r="D20" s="391">
        <f>'Calc Data'!E8</f>
        <v>0</v>
      </c>
      <c r="E20" s="401" t="s">
        <v>1775</v>
      </c>
    </row>
    <row r="21" spans="1:5" ht="15">
      <c r="A21" s="385" t="s">
        <v>120</v>
      </c>
      <c r="B21" s="386" t="s">
        <v>2794</v>
      </c>
      <c r="C21" s="401" t="s">
        <v>1775</v>
      </c>
      <c r="D21" s="401" t="s">
        <v>1775</v>
      </c>
      <c r="E21" s="391">
        <f>SUM(E10:E19)</f>
        <v>0</v>
      </c>
    </row>
    <row r="22" spans="1:5" ht="15">
      <c r="A22" s="385" t="s">
        <v>121</v>
      </c>
      <c r="B22" s="386" t="s">
        <v>2795</v>
      </c>
      <c r="C22" s="401">
        <f>Weights!J18</f>
        <v>1.7</v>
      </c>
      <c r="D22" s="391">
        <f>'Data Entry - SOF'!E31</f>
        <v>0</v>
      </c>
      <c r="E22" s="401" t="s">
        <v>1775</v>
      </c>
    </row>
    <row r="23" spans="1:5" ht="15">
      <c r="A23" s="385" t="s">
        <v>1513</v>
      </c>
      <c r="B23" s="386" t="s">
        <v>538</v>
      </c>
      <c r="C23" s="401">
        <f>Weights!J21</f>
        <v>1.1000000000000001</v>
      </c>
      <c r="D23" s="391">
        <f>'Data Entry - SOF'!E34</f>
        <v>0</v>
      </c>
      <c r="E23" s="401" t="s">
        <v>1775</v>
      </c>
    </row>
    <row r="24" spans="1:5" s="382" customFormat="1" ht="15.75">
      <c r="C24" s="477" t="s">
        <v>2978</v>
      </c>
      <c r="D24" s="476" t="s">
        <v>3263</v>
      </c>
    </row>
    <row r="25" spans="1:5" s="382" customFormat="1" ht="15">
      <c r="C25" s="475"/>
      <c r="D25"/>
    </row>
    <row r="27" spans="1:5" ht="15">
      <c r="A27" s="407" t="s">
        <v>3113</v>
      </c>
    </row>
  </sheetData>
  <hyperlinks>
    <hyperlink ref="D24" location="'Report-SOF1819'!A1" display="'Report-SOF1819'!A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74"/>
  <sheetViews>
    <sheetView topLeftCell="A40" workbookViewId="0">
      <selection activeCell="F55" sqref="F55"/>
    </sheetView>
  </sheetViews>
  <sheetFormatPr defaultRowHeight="12.75"/>
  <cols>
    <col min="1" max="1" width="3.5703125" customWidth="1"/>
    <col min="2" max="2" width="41.42578125" customWidth="1"/>
    <col min="3" max="3" width="23.5703125" customWidth="1"/>
    <col min="4" max="4" width="25.42578125" customWidth="1"/>
    <col min="5" max="5" width="23.85546875" style="37" customWidth="1"/>
    <col min="6" max="6" width="29.85546875" style="52" customWidth="1"/>
    <col min="7" max="7" width="18.85546875" customWidth="1"/>
    <col min="8" max="8" width="19.5703125" customWidth="1"/>
    <col min="9" max="9" width="19.140625" customWidth="1"/>
    <col min="10" max="10" width="18.42578125" customWidth="1"/>
    <col min="11" max="11" width="13.5703125" customWidth="1"/>
    <col min="12" max="12" width="20.140625" customWidth="1"/>
    <col min="13" max="13" width="17.42578125" customWidth="1"/>
    <col min="14" max="14" width="14.140625" customWidth="1"/>
    <col min="15" max="15" width="11.5703125" bestFit="1" customWidth="1"/>
    <col min="17" max="17" width="11.5703125" bestFit="1" customWidth="1"/>
    <col min="19" max="19" width="11.5703125" bestFit="1" customWidth="1"/>
  </cols>
  <sheetData>
    <row r="1" spans="1:7" hidden="1">
      <c r="A1" s="20" t="s">
        <v>66</v>
      </c>
      <c r="C1" s="217" t="e">
        <f>VLOOKUP(C2,'0506Data'!A1:C1027,2,FALSE)</f>
        <v>#N/A</v>
      </c>
      <c r="D1" s="11"/>
      <c r="G1" s="59" t="s">
        <v>764</v>
      </c>
    </row>
    <row r="2" spans="1:7" hidden="1">
      <c r="A2" s="20" t="s">
        <v>67</v>
      </c>
      <c r="C2" s="11">
        <f>'Data Entry - SOF'!B2</f>
        <v>0</v>
      </c>
      <c r="D2" s="70" t="s">
        <v>286</v>
      </c>
      <c r="G2" s="59" t="e">
        <f>'Data Entry - SOF'!#REF!</f>
        <v>#REF!</v>
      </c>
    </row>
    <row r="3" spans="1:7" hidden="1">
      <c r="A3" s="20" t="s">
        <v>143</v>
      </c>
      <c r="C3" s="53">
        <f ca="1">NOW()</f>
        <v>43726.623322685184</v>
      </c>
      <c r="G3" s="58">
        <f>'Data Entry - SOF'!E3</f>
        <v>0</v>
      </c>
    </row>
    <row r="4" spans="1:7" hidden="1">
      <c r="D4" s="49" t="s">
        <v>88</v>
      </c>
    </row>
    <row r="5" spans="1:7" hidden="1">
      <c r="D5" s="49" t="s">
        <v>763</v>
      </c>
    </row>
    <row r="6" spans="1:7" hidden="1">
      <c r="A6" t="s">
        <v>2496</v>
      </c>
    </row>
    <row r="7" spans="1:7" hidden="1">
      <c r="A7" t="s">
        <v>1306</v>
      </c>
    </row>
    <row r="8" spans="1:7" hidden="1">
      <c r="A8" s="84" t="s">
        <v>1136</v>
      </c>
      <c r="B8" s="43"/>
      <c r="C8" s="85"/>
      <c r="D8" s="43"/>
      <c r="E8" s="1048"/>
      <c r="F8" s="830"/>
      <c r="G8" s="44"/>
    </row>
    <row r="9" spans="1:7" hidden="1">
      <c r="A9" t="s">
        <v>2131</v>
      </c>
    </row>
    <row r="10" spans="1:7" ht="13.5" hidden="1" thickBot="1">
      <c r="A10" s="10" t="s">
        <v>1654</v>
      </c>
      <c r="B10" s="10"/>
      <c r="C10" s="10"/>
      <c r="D10" s="10"/>
      <c r="E10" s="1049"/>
      <c r="F10" s="831"/>
      <c r="G10" s="10"/>
    </row>
    <row r="11" spans="1:7" ht="13.5" hidden="1" thickTop="1">
      <c r="A11" s="20" t="s">
        <v>68</v>
      </c>
      <c r="C11" s="20"/>
      <c r="D11" s="20"/>
      <c r="E11" s="59"/>
      <c r="F11" s="24"/>
      <c r="G11" s="20"/>
    </row>
    <row r="12" spans="1:7" hidden="1">
      <c r="A12" s="21" t="s">
        <v>1057</v>
      </c>
      <c r="B12" s="9"/>
      <c r="C12" s="20" t="s">
        <v>380</v>
      </c>
    </row>
    <row r="13" spans="1:7" hidden="1">
      <c r="C13" s="13"/>
    </row>
    <row r="14" spans="1:7" hidden="1">
      <c r="B14" s="42"/>
      <c r="C14" s="50" t="s">
        <v>1717</v>
      </c>
      <c r="D14" s="43"/>
      <c r="E14" s="1048"/>
      <c r="F14" s="832"/>
    </row>
    <row r="15" spans="1:7">
      <c r="F15" s="24"/>
    </row>
    <row r="16" spans="1:7">
      <c r="F16"/>
    </row>
    <row r="17" spans="2:10">
      <c r="F17"/>
      <c r="J17" s="52" t="s">
        <v>9188</v>
      </c>
    </row>
    <row r="18" spans="2:10">
      <c r="D18" t="s">
        <v>10155</v>
      </c>
      <c r="E18" s="4663" t="e">
        <f>VLOOKUP(C2,CH49_Flag!B1:D1346,3,FALSE)</f>
        <v>#N/A</v>
      </c>
      <c r="F18"/>
      <c r="J18" s="3273" t="e">
        <f>VLOOKUP(C2,FastGrowth!B1:D318,3,FALSE)</f>
        <v>#N/A</v>
      </c>
    </row>
    <row r="19" spans="2:10">
      <c r="F19" s="52" t="s">
        <v>753</v>
      </c>
    </row>
    <row r="21" spans="2:10">
      <c r="C21" s="52" t="s">
        <v>3144</v>
      </c>
      <c r="D21" s="52" t="s">
        <v>3225</v>
      </c>
      <c r="G21" s="52"/>
    </row>
    <row r="22" spans="2:10">
      <c r="B22" s="37" t="s">
        <v>8659</v>
      </c>
      <c r="C22" s="218" t="e">
        <f>VLOOKUP(C2,HardshipGrant!A1:B130,2,FALSE)</f>
        <v>#N/A</v>
      </c>
      <c r="D22" s="218" t="e">
        <f>VLOOKUP(C2,'Hardship-DPVAdj1819'!B1:D165,3,FALSE)</f>
        <v>#N/A</v>
      </c>
      <c r="G22" s="52"/>
    </row>
    <row r="23" spans="2:10">
      <c r="C23" s="2933"/>
      <c r="G23" s="52"/>
    </row>
    <row r="24" spans="2:10">
      <c r="B24" s="37" t="s">
        <v>8722</v>
      </c>
      <c r="C24" s="218" t="e">
        <f>VLOOKUP(C2,'Hardship-DPVAdj1819'!B1:D165,2,FALSE)</f>
        <v>#N/A</v>
      </c>
      <c r="F24"/>
    </row>
    <row r="25" spans="2:10">
      <c r="G25" s="52"/>
    </row>
    <row r="26" spans="2:10">
      <c r="G26" s="52"/>
    </row>
    <row r="27" spans="2:10">
      <c r="G27" s="52"/>
    </row>
    <row r="28" spans="2:10">
      <c r="G28" s="52"/>
    </row>
    <row r="35" spans="2:7">
      <c r="F35"/>
    </row>
    <row r="36" spans="2:7">
      <c r="F36"/>
    </row>
    <row r="37" spans="2:7">
      <c r="F37"/>
    </row>
    <row r="41" spans="2:7">
      <c r="F41"/>
    </row>
    <row r="42" spans="2:7">
      <c r="F42"/>
    </row>
    <row r="43" spans="2:7">
      <c r="F43"/>
    </row>
    <row r="44" spans="2:7">
      <c r="F44"/>
    </row>
    <row r="45" spans="2:7">
      <c r="F45"/>
    </row>
    <row r="47" spans="2:7">
      <c r="C47" s="52" t="s">
        <v>8668</v>
      </c>
      <c r="D47" s="52" t="s">
        <v>8667</v>
      </c>
      <c r="E47" s="52" t="s">
        <v>8666</v>
      </c>
      <c r="F47" s="52" t="s">
        <v>9516</v>
      </c>
    </row>
    <row r="48" spans="2:7">
      <c r="B48" s="37" t="s">
        <v>6390</v>
      </c>
      <c r="C48" s="123" t="e">
        <f>VLOOKUP(C2,TaxYr2015Values!A2:E1019,2,FALSE)</f>
        <v>#N/A</v>
      </c>
      <c r="D48" s="123" t="e">
        <f>VLOOKUP(C2,TaxYr2016ValuesFinal!A2:L1019,4,FALSE)</f>
        <v>#N/A</v>
      </c>
      <c r="E48" s="1692" t="e">
        <f>VLOOKUP(C2,Final_2017_Values!A2:H1019,3,FALSE)</f>
        <v>#N/A</v>
      </c>
      <c r="F48" s="1692" t="e">
        <f>VLOOKUP($C$2,Final_2018_Values!$B$2:$K$1018,4,FALSE)</f>
        <v>#N/A</v>
      </c>
      <c r="G48" s="1417" t="s">
        <v>3917</v>
      </c>
    </row>
    <row r="49" spans="2:8">
      <c r="B49" s="2884" t="s">
        <v>8657</v>
      </c>
      <c r="C49" s="2821" t="e">
        <f>VLOOKUP(C2,TaxYr2015Values!A2:E1019,3,FALSE)</f>
        <v>#N/A</v>
      </c>
      <c r="D49" s="123" t="e">
        <f>VLOOKUP(C2,TaxYr2016ValuesFinal!A2:L1019,10,FALSE)</f>
        <v>#N/A</v>
      </c>
      <c r="E49" s="1692" t="e">
        <f>VLOOKUP(C2,Final_2017_Values!A2:H1019,4,FALSE)</f>
        <v>#N/A</v>
      </c>
      <c r="F49" s="1692" t="e">
        <f>VLOOKUP($C$2,Final_2018_Values!$B$2:$K$1018,3,FALSE)</f>
        <v>#N/A</v>
      </c>
      <c r="G49" s="1417" t="s">
        <v>6393</v>
      </c>
    </row>
    <row r="50" spans="2:8">
      <c r="B50" s="37" t="s">
        <v>6391</v>
      </c>
      <c r="C50" s="123" t="e">
        <f>VLOOKUP(C2,TaxYr2015Values!A2:E1019,4,FALSE)</f>
        <v>#N/A</v>
      </c>
      <c r="D50" s="123" t="e">
        <f>VLOOKUP(C2,TaxYr2016ValuesFinal!A2:L1019,3,FALSE)</f>
        <v>#N/A</v>
      </c>
      <c r="E50" s="1692" t="e">
        <f>VLOOKUP(C2,Final_2017_Values!A2:H1019,6,FALSE)</f>
        <v>#N/A</v>
      </c>
      <c r="F50" s="1692" t="e">
        <f>VLOOKUP($C$2,Final_2018_Values!$B$2:$K$1018,6,FALSE)</f>
        <v>#N/A</v>
      </c>
      <c r="G50" s="1417" t="s">
        <v>6599</v>
      </c>
    </row>
    <row r="51" spans="2:8">
      <c r="B51" s="2884" t="s">
        <v>8658</v>
      </c>
      <c r="C51" s="2821" t="e">
        <f>VLOOKUP(C2,TaxYr2015Values!A2:E1019,5,FALSE)</f>
        <v>#N/A</v>
      </c>
      <c r="D51" s="123" t="e">
        <f>VLOOKUP(C2,TaxYr2016ValuesFinal!A2:L1019,9,FALSE)</f>
        <v>#N/A</v>
      </c>
      <c r="E51" s="1692" t="e">
        <f>VLOOKUP(C2,Final_2017_Values!A2:H1019,8,FALSE)</f>
        <v>#N/A</v>
      </c>
      <c r="F51" s="1692" t="e">
        <f>VLOOKUP($C$2,Final_2018_Values!$B$2:$K$1018,10,FALSE)</f>
        <v>#N/A</v>
      </c>
      <c r="G51" s="1417" t="s">
        <v>6600</v>
      </c>
    </row>
    <row r="52" spans="2:8">
      <c r="B52" s="37" t="s">
        <v>8653</v>
      </c>
      <c r="C52" s="123" t="e">
        <f>VLOOKUP(C2,TaxYr2015Values!A2:I1019,7,FALSE)</f>
        <v>#N/A</v>
      </c>
      <c r="D52" s="123" t="e">
        <f>VLOOKUP(C2,TaxYr2016ValuesFinal!A2:L1019,6,FALSE)</f>
        <v>#N/A</v>
      </c>
      <c r="E52" s="1692" t="e">
        <f>VLOOKUP(C2,Final_2017_Values!A2:H1019,5,FALSE)</f>
        <v>#N/A</v>
      </c>
      <c r="F52" s="1692" t="e">
        <f>VLOOKUP($C$2,Final_2018_Values!$B$2:$K$1018,5,FALSE)</f>
        <v>#N/A</v>
      </c>
      <c r="G52" s="1417" t="s">
        <v>6601</v>
      </c>
    </row>
    <row r="53" spans="2:8">
      <c r="B53" s="37" t="s">
        <v>8654</v>
      </c>
      <c r="C53" s="123" t="e">
        <f>VLOOKUP(C2,TaxYr2015Values!A2:I1019,9,FALSE)</f>
        <v>#N/A</v>
      </c>
      <c r="D53" s="123" t="e">
        <f>VLOOKUP(C2,TaxYr2016ValuesFinal!A2:L1019,12,FALSE)</f>
        <v>#N/A</v>
      </c>
      <c r="E53" s="1692" t="e">
        <f>VLOOKUP(C2,Final_2017_Values!A2:H1019,7,FALSE)</f>
        <v>#N/A</v>
      </c>
      <c r="F53" s="1692" t="e">
        <f>VLOOKUP($C$2,Final_2018_Values!$B$2:$K$1018,9,FALSE)</f>
        <v>#N/A</v>
      </c>
      <c r="G53" s="1417" t="s">
        <v>6602</v>
      </c>
    </row>
    <row r="54" spans="2:8">
      <c r="B54" s="37" t="s">
        <v>8655</v>
      </c>
      <c r="C54" s="123" t="e">
        <f>VLOOKUP(C2,TaxYr2015Values!A2:I1019,6,FALSE)</f>
        <v>#N/A</v>
      </c>
      <c r="D54" s="123" t="e">
        <f>VLOOKUP(C2,TaxYr2016ValuesFinal!A2:L1019,5,FALSE)</f>
        <v>#N/A</v>
      </c>
      <c r="E54"/>
      <c r="F54" s="1692" t="e">
        <f>VLOOKUP($C$2,Final_2018_Values!$B$2:$K$1018,7,FALSE)</f>
        <v>#N/A</v>
      </c>
      <c r="G54" s="1417" t="s">
        <v>9448</v>
      </c>
    </row>
    <row r="55" spans="2:8">
      <c r="B55" s="37" t="s">
        <v>8656</v>
      </c>
      <c r="C55" s="123" t="e">
        <f>VLOOKUP(C2,TaxYr2015Values!A2:I1019,8,FALSE)</f>
        <v>#N/A</v>
      </c>
      <c r="D55" s="123" t="e">
        <f>VLOOKUP(C2,TaxYr2016ValuesFinal!A2:L1019,11,FALSE)</f>
        <v>#N/A</v>
      </c>
      <c r="E55"/>
      <c r="F55" s="1692" t="e">
        <f>VLOOKUP($C$2,Final_2018_Values!$B$2:$K$1018,8,FALSE)</f>
        <v>#N/A</v>
      </c>
      <c r="G55" s="1417" t="s">
        <v>9450</v>
      </c>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6160</v>
      </c>
      <c r="C64" s="52" t="s">
        <v>6161</v>
      </c>
      <c r="D64" s="52" t="s">
        <v>6162</v>
      </c>
      <c r="E64" s="52" t="s">
        <v>6163</v>
      </c>
      <c r="F64" s="52" t="s">
        <v>6922</v>
      </c>
      <c r="G64" s="52" t="s">
        <v>6978</v>
      </c>
      <c r="H64" s="52" t="s">
        <v>8160</v>
      </c>
    </row>
    <row r="65" spans="2:8">
      <c r="B65" s="223" t="e">
        <f>VLOOKUP(C2,UnequalizedTaxes!A4:AA1021,2,FALSE)</f>
        <v>#N/A</v>
      </c>
      <c r="C65" s="223" t="e">
        <f>VLOOKUP(C2,UnequalizedTaxes!A4:AA1021,5,FALSE)</f>
        <v>#N/A</v>
      </c>
      <c r="D65" s="223" t="e">
        <f>VLOOKUP(C2,UnequalizedTaxes!A4:AA1021,8,FALSE)</f>
        <v>#N/A</v>
      </c>
      <c r="E65" s="223" t="e">
        <f>VLOOKUP(C2,UnequalizedTaxes!A4:AA1021,11,FALSE)</f>
        <v>#N/A</v>
      </c>
      <c r="F65" s="223" t="e">
        <f>VLOOKUP(C2,UnequalizedTaxes!A4:AA1021,14,FALSE)</f>
        <v>#N/A</v>
      </c>
      <c r="G65" s="223" t="e">
        <f>VLOOKUP(C2,UnequalizedTaxes!A4:AA1021,17,FALSE)</f>
        <v>#N/A</v>
      </c>
      <c r="H65" s="223"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8669</v>
      </c>
      <c r="C74" s="1698" t="e">
        <f>VLOOKUP(C2,HH_debt1718!B1:C823,2,FALSE)</f>
        <v>#N/A</v>
      </c>
      <c r="D74" s="52"/>
      <c r="E74" s="52"/>
    </row>
    <row r="75" spans="2:8">
      <c r="B75" s="37" t="s">
        <v>8670</v>
      </c>
      <c r="C75" s="1698" t="e">
        <f>VLOOKUP(C2,HH_debt1819!B1:C803,2,FALSE)</f>
        <v>#N/A</v>
      </c>
      <c r="D75" s="52"/>
      <c r="E75" s="52"/>
    </row>
    <row r="76" spans="2:8">
      <c r="D76" s="52"/>
      <c r="E76" s="52"/>
    </row>
    <row r="77" spans="2:8">
      <c r="D77" s="52"/>
      <c r="E77" s="52"/>
    </row>
    <row r="78" spans="2:8">
      <c r="D78" s="52"/>
      <c r="E78" s="52"/>
    </row>
    <row r="79" spans="2:8">
      <c r="D79" s="52"/>
      <c r="E79" s="52"/>
    </row>
    <row r="82" spans="2:6">
      <c r="C82" s="52" t="s">
        <v>6160</v>
      </c>
    </row>
    <row r="83" spans="2:6">
      <c r="B83" s="37" t="s">
        <v>8660</v>
      </c>
      <c r="C83" s="2871"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939</v>
      </c>
      <c r="C108" s="2866" t="e">
        <f>VLOOKUP(C2,Data0809!A3:G1030,6,FALSE)</f>
        <v>#N/A</v>
      </c>
      <c r="D108" s="52"/>
      <c r="E108" s="52"/>
    </row>
    <row r="109" spans="2:5">
      <c r="B109" s="37" t="s">
        <v>1271</v>
      </c>
      <c r="C109" s="2867" t="e">
        <f>VLOOKUP(C2,SqMiles!A1:B1031,2,FALSE)</f>
        <v>#N/A</v>
      </c>
      <c r="D109" s="52"/>
      <c r="E109" s="52"/>
    </row>
    <row r="110" spans="2:5">
      <c r="B110" s="37" t="s">
        <v>2083</v>
      </c>
      <c r="C110" s="2866" t="e">
        <f>VLOOKUP(C2,Data0809!A3:G1030,7,FALSE)</f>
        <v>#N/A</v>
      </c>
      <c r="D110" s="52"/>
      <c r="E110" s="52"/>
    </row>
    <row r="111" spans="2:5">
      <c r="B111" s="37" t="s">
        <v>2932</v>
      </c>
      <c r="C111" s="2868" t="e">
        <f>VLOOKUP(C2,'staff-ada'!A1:B1039,2,FALSE)</f>
        <v>#N/A</v>
      </c>
      <c r="D111" s="52"/>
      <c r="E111" s="52"/>
    </row>
    <row r="112" spans="2:5">
      <c r="B112" s="37" t="s">
        <v>2062</v>
      </c>
      <c r="C112" s="2869" t="e">
        <f>VLOOKUP(C2,'0506Data'!A1:C1027,3,FALSE)</f>
        <v>#N/A</v>
      </c>
      <c r="D112" s="52"/>
      <c r="E112" s="52"/>
    </row>
    <row r="113" spans="2:5">
      <c r="B113" s="1961" t="s">
        <v>1833</v>
      </c>
      <c r="C113" s="2870" t="e">
        <f>VLOOKUP(C2,final0809!A3:C1027,3,FALSE)</f>
        <v>#N/A</v>
      </c>
      <c r="D113" s="52"/>
      <c r="E113" s="52"/>
    </row>
    <row r="114" spans="2:5">
      <c r="D114" s="52"/>
      <c r="E114" s="52"/>
    </row>
    <row r="115" spans="2:5">
      <c r="B115" s="2446" t="s">
        <v>2358</v>
      </c>
      <c r="C115" s="2826" t="e">
        <f>VLOOKUP(C2,Data0910!A4:D1031,3,FALSE)</f>
        <v>#N/A</v>
      </c>
      <c r="D115" s="52"/>
      <c r="E115" s="52"/>
    </row>
    <row r="116" spans="2:5">
      <c r="B116" s="2446" t="s">
        <v>2359</v>
      </c>
      <c r="C116" s="2826" t="e">
        <f>VLOOKUP(C2,Data0910!A4:D1031,2,FALSE)</f>
        <v>#N/A</v>
      </c>
      <c r="D116" s="52"/>
      <c r="E116" s="52"/>
    </row>
    <row r="117" spans="2:5">
      <c r="B117" s="2446" t="s">
        <v>2356</v>
      </c>
      <c r="C117" s="2879" t="e">
        <f>VLOOKUP(C2,Data0910!A4:D1031,4,FALSE)</f>
        <v>#N/A</v>
      </c>
      <c r="D117" s="37" t="s">
        <v>9196</v>
      </c>
      <c r="E117" s="52"/>
    </row>
    <row r="118" spans="2:5">
      <c r="B118" s="2651" t="s">
        <v>8661</v>
      </c>
      <c r="C118" s="2872" t="e">
        <f>VLOOKUP(C2,Data1617!B2:G1024,3,FALSE)</f>
        <v>#N/A</v>
      </c>
      <c r="D118" s="2872" t="e">
        <f>VLOOKUP(C2,Data1718!B1:D1023,3,FALSE)</f>
        <v>#N/A</v>
      </c>
      <c r="E118" s="52"/>
    </row>
    <row r="119" spans="2:5">
      <c r="B119" s="1422"/>
    </row>
    <row r="120" spans="2:5">
      <c r="B120" s="2651" t="s">
        <v>8662</v>
      </c>
      <c r="C120" s="2873" t="e">
        <f>VLOOKUP(C2,Data1617!B2:G1024,4,FALSE)</f>
        <v>#N/A</v>
      </c>
      <c r="E120" s="52"/>
    </row>
    <row r="121" spans="2:5">
      <c r="B121" s="2651" t="s">
        <v>8663</v>
      </c>
      <c r="C121" s="2873" t="e">
        <f>VLOOKUP(C2,Data1617!B2:G1024,6,FALSE)</f>
        <v>#N/A</v>
      </c>
      <c r="E121" s="52"/>
    </row>
    <row r="122" spans="2:5">
      <c r="B122" s="2651" t="s">
        <v>8664</v>
      </c>
      <c r="C122" s="2873" t="e">
        <f>VLOOKUP(C2,Data1617!B2:G1024,5,FALSE)</f>
        <v>#N/A</v>
      </c>
      <c r="E122" s="52"/>
    </row>
    <row r="123" spans="2:5">
      <c r="B123" s="2651" t="s">
        <v>8681</v>
      </c>
      <c r="C123" s="2872" t="e">
        <f>VLOOKUP(C2,Data1415!A2:B1020,2,FALSE)</f>
        <v>#N/A</v>
      </c>
      <c r="E123" s="52"/>
    </row>
    <row r="124" spans="2:5" hidden="1">
      <c r="B124" s="37" t="s">
        <v>8665</v>
      </c>
      <c r="C124" s="2872" t="e">
        <f>VLOOKUP(C2,#REF!,3,FALSE)</f>
        <v>#REF!</v>
      </c>
      <c r="E124" s="52"/>
    </row>
    <row r="125" spans="2:5">
      <c r="E125" s="52"/>
    </row>
    <row r="126" spans="2:5">
      <c r="B126" s="1961" t="s">
        <v>959</v>
      </c>
      <c r="C126" s="2874" t="e">
        <f>VLOOKUP(C2,Data0809!A3:K1030,8,FALSE)</f>
        <v>#N/A</v>
      </c>
      <c r="E126" s="52"/>
    </row>
    <row r="127" spans="2:5">
      <c r="B127" s="1961" t="s">
        <v>960</v>
      </c>
      <c r="C127" s="2874" t="e">
        <f>VLOOKUP(C2,Data0809!A3:K1030,9,FALSE)</f>
        <v>#N/A</v>
      </c>
      <c r="E127" s="52"/>
    </row>
    <row r="128" spans="2:5">
      <c r="B128" s="1961" t="s">
        <v>617</v>
      </c>
      <c r="C128" s="2875" t="e">
        <f>VLOOKUP(C2,Data0809!A3:K1030,10,FALSE)</f>
        <v>#N/A</v>
      </c>
      <c r="D128" s="52"/>
      <c r="E128" s="52"/>
    </row>
    <row r="129" spans="2:7">
      <c r="B129" s="1961" t="s">
        <v>618</v>
      </c>
      <c r="C129" s="2874"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85546875" customWidth="1"/>
    <col min="2" max="2" width="83.140625" customWidth="1"/>
    <col min="3" max="3" width="23.140625" customWidth="1"/>
    <col min="4" max="4" width="11.5703125" bestFit="1" customWidth="1"/>
  </cols>
  <sheetData>
    <row r="1" spans="1:3">
      <c r="A1" s="380" t="s">
        <v>2993</v>
      </c>
      <c r="C1" s="754" t="e">
        <f>'Report-SpEd1819'!E1</f>
        <v>#REF!</v>
      </c>
    </row>
    <row r="2" spans="1:3">
      <c r="A2" s="380" t="s">
        <v>2994</v>
      </c>
      <c r="C2" s="72" t="e">
        <f>'Report-SpEd1819'!E2</f>
        <v>#REF!</v>
      </c>
    </row>
    <row r="3" spans="1:3">
      <c r="A3" s="64"/>
      <c r="C3" s="58" t="e">
        <f>'Report-SpEd1819'!E3</f>
        <v>#REF!</v>
      </c>
    </row>
    <row r="4" spans="1:3" ht="15.75">
      <c r="A4" s="381" t="s">
        <v>3251</v>
      </c>
    </row>
    <row r="5" spans="1:3" ht="15.75">
      <c r="A5" s="383">
        <f>'Data Entry - SOF'!B1</f>
        <v>0</v>
      </c>
    </row>
    <row r="6" spans="1:3" ht="15.75">
      <c r="A6" s="381">
        <f>'Data Entry - SOF'!B2</f>
        <v>0</v>
      </c>
    </row>
    <row r="7" spans="1:3" ht="15.75">
      <c r="A7" s="381"/>
    </row>
    <row r="9" spans="1:3" ht="18">
      <c r="A9" s="534"/>
      <c r="B9" s="535"/>
      <c r="C9" s="532" t="s">
        <v>2715</v>
      </c>
    </row>
    <row r="10" spans="1:3" ht="18">
      <c r="A10" s="557" t="s">
        <v>2800</v>
      </c>
      <c r="B10" s="537"/>
      <c r="C10" s="533" t="s">
        <v>2805</v>
      </c>
    </row>
    <row r="11" spans="1:3" ht="15">
      <c r="A11" s="400" t="s">
        <v>2186</v>
      </c>
      <c r="B11" s="386" t="s">
        <v>3289</v>
      </c>
      <c r="C11" s="390">
        <f>'Data Entry - SOF'!E93</f>
        <v>0</v>
      </c>
    </row>
    <row r="12" spans="1:3" ht="15">
      <c r="A12" s="400" t="s">
        <v>2187</v>
      </c>
      <c r="B12" s="386" t="s">
        <v>3294</v>
      </c>
      <c r="C12" s="390">
        <f>'IFA-OldLaw'!M79</f>
        <v>0</v>
      </c>
    </row>
    <row r="13" spans="1:3" ht="15">
      <c r="A13" s="400" t="s">
        <v>2188</v>
      </c>
      <c r="B13" s="386" t="s">
        <v>3295</v>
      </c>
      <c r="C13" s="496" t="s">
        <v>3028</v>
      </c>
    </row>
    <row r="14" spans="1:3" ht="15.75">
      <c r="A14" s="400" t="s">
        <v>909</v>
      </c>
      <c r="B14" s="384" t="s">
        <v>3296</v>
      </c>
      <c r="C14" s="395">
        <f>'Calc Data'!E47</f>
        <v>0</v>
      </c>
    </row>
    <row r="15" spans="1:3" ht="15">
      <c r="A15" s="400" t="s">
        <v>910</v>
      </c>
      <c r="B15" s="386" t="s">
        <v>3293</v>
      </c>
      <c r="C15" s="408">
        <f>'Data Entry - SOF'!E92</f>
        <v>1.17</v>
      </c>
    </row>
    <row r="16" spans="1:3" ht="15">
      <c r="A16" s="400" t="s">
        <v>912</v>
      </c>
      <c r="B16" s="386" t="s">
        <v>2801</v>
      </c>
      <c r="C16" s="390">
        <f>'Calc Data'!E29</f>
        <v>0</v>
      </c>
    </row>
    <row r="17" spans="1:4" ht="15">
      <c r="A17" s="400" t="s">
        <v>913</v>
      </c>
      <c r="B17" s="386" t="s">
        <v>2724</v>
      </c>
      <c r="C17" s="408">
        <f>'Data Entry - SOF'!C161</f>
        <v>0</v>
      </c>
    </row>
    <row r="18" spans="1:4" ht="15">
      <c r="A18" s="400" t="s">
        <v>914</v>
      </c>
      <c r="B18" s="386" t="s">
        <v>2809</v>
      </c>
      <c r="C18" s="390">
        <f>'Calc Data'!AG32</f>
        <v>0</v>
      </c>
    </row>
    <row r="19" spans="1:4" ht="15">
      <c r="A19" s="400" t="s">
        <v>118</v>
      </c>
      <c r="B19" s="386" t="s">
        <v>2802</v>
      </c>
      <c r="C19" s="408" t="e">
        <f>'Calc Data'!E35</f>
        <v>#DIV/0!</v>
      </c>
    </row>
    <row r="20" spans="1:4" ht="15">
      <c r="A20" s="400" t="s">
        <v>119</v>
      </c>
      <c r="B20" s="386" t="s">
        <v>2803</v>
      </c>
      <c r="C20" s="390">
        <f>'Calc Data'!E34</f>
        <v>0</v>
      </c>
      <c r="D20" s="490"/>
    </row>
    <row r="21" spans="1:4" ht="15">
      <c r="A21" s="400" t="s">
        <v>120</v>
      </c>
      <c r="B21" s="386" t="s">
        <v>2804</v>
      </c>
      <c r="C21" s="390">
        <f>'Calc Data'!AG31</f>
        <v>0</v>
      </c>
    </row>
    <row r="22" spans="1:4" ht="15">
      <c r="A22" s="400" t="s">
        <v>121</v>
      </c>
      <c r="B22" s="386" t="s">
        <v>2808</v>
      </c>
      <c r="C22" s="408" t="e">
        <f>'Calc Data'!AG33</f>
        <v>#DIV/0!</v>
      </c>
    </row>
    <row r="23" spans="1:4" s="382" customFormat="1" ht="15.75">
      <c r="B23" s="477" t="s">
        <v>2978</v>
      </c>
      <c r="C23" s="476" t="s">
        <v>3263</v>
      </c>
    </row>
    <row r="26" spans="1:4" ht="15.75">
      <c r="B26" s="325" t="s">
        <v>3030</v>
      </c>
    </row>
    <row r="27" spans="1:4" ht="15.75">
      <c r="B27" s="325" t="s">
        <v>3029</v>
      </c>
    </row>
  </sheetData>
  <hyperlinks>
    <hyperlink ref="C23" location="'Report-SOF1819'!A1" display="'Report-SOF1819'!A1"/>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5703125" customWidth="1"/>
    <col min="4" max="4" width="23.5703125" customWidth="1"/>
  </cols>
  <sheetData>
    <row r="1" spans="1:4">
      <c r="A1" s="380" t="s">
        <v>2993</v>
      </c>
      <c r="D1" s="754" t="e">
        <f>'Report-M&amp;O1819'!C1</f>
        <v>#REF!</v>
      </c>
    </row>
    <row r="2" spans="1:4">
      <c r="A2" s="380" t="s">
        <v>2994</v>
      </c>
      <c r="D2" s="72" t="e">
        <f>'Report-M&amp;O1819'!C2</f>
        <v>#REF!</v>
      </c>
    </row>
    <row r="3" spans="1:4">
      <c r="A3" s="64"/>
      <c r="D3" s="58" t="e">
        <f>'Report-M&amp;O1819'!C3</f>
        <v>#REF!</v>
      </c>
    </row>
    <row r="4" spans="1:4" ht="15.75">
      <c r="A4" s="381" t="s">
        <v>3252</v>
      </c>
    </row>
    <row r="5" spans="1:4" ht="15.75">
      <c r="A5" s="383">
        <f>'Data Entry - SOF'!B1</f>
        <v>0</v>
      </c>
    </row>
    <row r="6" spans="1:4" ht="15.75">
      <c r="A6" s="381">
        <f>'Data Entry - SOF'!B2</f>
        <v>0</v>
      </c>
    </row>
    <row r="9" spans="1:4" ht="18">
      <c r="A9" s="266"/>
      <c r="B9" s="409" t="s">
        <v>939</v>
      </c>
      <c r="C9" s="410">
        <f>'Data Entry - SOF'!E156</f>
        <v>0</v>
      </c>
      <c r="D9" s="266"/>
    </row>
    <row r="10" spans="1:4" ht="18">
      <c r="A10" s="266"/>
      <c r="B10" s="409" t="s">
        <v>2810</v>
      </c>
      <c r="C10" s="409" t="str">
        <f>'Data Entry - SOF'!E221</f>
        <v>No</v>
      </c>
      <c r="D10" s="266"/>
    </row>
    <row r="11" spans="1:4" ht="18">
      <c r="A11" s="266"/>
      <c r="B11" s="409" t="s">
        <v>2811</v>
      </c>
      <c r="C11" s="409" t="str">
        <f>'Data Entry - SOF'!E222</f>
        <v>No</v>
      </c>
      <c r="D11" s="266"/>
    </row>
    <row r="12" spans="1:4" ht="18">
      <c r="A12" s="266"/>
      <c r="B12" s="409"/>
      <c r="C12" s="409"/>
      <c r="D12" s="266"/>
    </row>
    <row r="13" spans="1:4" ht="18">
      <c r="A13" s="529"/>
      <c r="B13" s="524"/>
      <c r="C13" s="525"/>
      <c r="D13" s="532" t="s">
        <v>2818</v>
      </c>
    </row>
    <row r="14" spans="1:4" ht="18">
      <c r="A14" s="552" t="s">
        <v>2812</v>
      </c>
      <c r="B14" s="537"/>
      <c r="C14" s="528"/>
      <c r="D14" s="533" t="s">
        <v>2805</v>
      </c>
    </row>
    <row r="15" spans="1:4" ht="15">
      <c r="A15" s="385" t="s">
        <v>2186</v>
      </c>
      <c r="B15" s="386" t="s">
        <v>2813</v>
      </c>
      <c r="C15" s="386"/>
      <c r="D15" s="390">
        <f>'Calc Data'!AG19</f>
        <v>5140</v>
      </c>
    </row>
    <row r="16" spans="1:4" ht="15">
      <c r="A16" s="385" t="s">
        <v>2187</v>
      </c>
      <c r="B16" s="386" t="s">
        <v>2814</v>
      </c>
      <c r="C16" s="386"/>
      <c r="D16" s="390">
        <f>'Calc Data'!AG20</f>
        <v>1491</v>
      </c>
    </row>
    <row r="17" spans="1:4" ht="15">
      <c r="A17" s="385" t="s">
        <v>2188</v>
      </c>
      <c r="B17" s="386" t="s">
        <v>2815</v>
      </c>
      <c r="C17" s="386"/>
      <c r="D17" s="411" t="str">
        <f>'Calc Data'!E49</f>
        <v>N/A</v>
      </c>
    </row>
    <row r="18" spans="1:4" ht="15">
      <c r="A18" s="385" t="s">
        <v>909</v>
      </c>
      <c r="B18" s="386" t="s">
        <v>2816</v>
      </c>
      <c r="C18" s="386"/>
      <c r="D18" s="483" t="str">
        <f>'Calc Data'!E50</f>
        <v>N/A</v>
      </c>
    </row>
    <row r="19" spans="1:4" ht="15">
      <c r="A19" s="385" t="s">
        <v>910</v>
      </c>
      <c r="B19" s="386" t="s">
        <v>2817</v>
      </c>
      <c r="C19" s="386"/>
      <c r="D19" s="390">
        <f>'Calc Data'!AG23</f>
        <v>2147</v>
      </c>
    </row>
    <row r="20" spans="1:4" s="382" customFormat="1" ht="15.75">
      <c r="B20" s="477" t="s">
        <v>2978</v>
      </c>
      <c r="D20" s="476" t="s">
        <v>3263</v>
      </c>
    </row>
  </sheetData>
  <hyperlinks>
    <hyperlink ref="D20" location="'Report-SOF1819'!A1" display="'Report-SOF1819'!A1"/>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topLeftCell="A31" workbookViewId="0">
      <selection activeCell="D39" sqref="D39"/>
    </sheetView>
  </sheetViews>
  <sheetFormatPr defaultRowHeight="12.75"/>
  <cols>
    <col min="1" max="1" width="36.42578125" customWidth="1"/>
    <col min="2" max="2" width="19.85546875" customWidth="1"/>
    <col min="3" max="3" width="24.42578125" customWidth="1"/>
    <col min="4" max="4" width="26.5703125" customWidth="1"/>
  </cols>
  <sheetData>
    <row r="1" spans="1:4">
      <c r="A1" s="380" t="s">
        <v>2993</v>
      </c>
      <c r="D1" s="754" t="e">
        <f>'Report-AA1819'!D1</f>
        <v>#REF!</v>
      </c>
    </row>
    <row r="2" spans="1:4">
      <c r="A2" s="380" t="s">
        <v>2994</v>
      </c>
      <c r="D2" s="72" t="e">
        <f>'Report-AA1819'!D2</f>
        <v>#REF!</v>
      </c>
    </row>
    <row r="3" spans="1:4">
      <c r="A3" s="64"/>
      <c r="D3" s="58" t="e">
        <f>'Report-AA1819'!D3</f>
        <v>#REF!</v>
      </c>
    </row>
    <row r="4" spans="1:4" ht="15.75">
      <c r="A4" s="381" t="s">
        <v>3253</v>
      </c>
    </row>
    <row r="5" spans="1:4" ht="15.75">
      <c r="A5" s="383">
        <f>'Data Entry - SOF'!B1</f>
        <v>0</v>
      </c>
    </row>
    <row r="6" spans="1:4" ht="15.75">
      <c r="A6" s="381">
        <f>'Data Entry - SOF'!B2</f>
        <v>0</v>
      </c>
    </row>
    <row r="8" spans="1:4" ht="18">
      <c r="A8" s="539"/>
      <c r="B8" s="540"/>
      <c r="C8" s="532" t="s">
        <v>2829</v>
      </c>
      <c r="D8" s="541"/>
    </row>
    <row r="9" spans="1:4" ht="18">
      <c r="A9" s="533" t="s">
        <v>2819</v>
      </c>
      <c r="B9" s="542" t="s">
        <v>2782</v>
      </c>
      <c r="C9" s="533" t="s">
        <v>2830</v>
      </c>
      <c r="D9" s="537" t="s">
        <v>2820</v>
      </c>
    </row>
    <row r="10" spans="1:4" s="382" customFormat="1" ht="15.75">
      <c r="A10" s="596" t="s">
        <v>2821</v>
      </c>
      <c r="B10" s="543"/>
      <c r="C10" s="543"/>
      <c r="D10" s="544"/>
    </row>
    <row r="11" spans="1:4" s="382" customFormat="1" ht="15">
      <c r="A11" s="386" t="s">
        <v>2823</v>
      </c>
      <c r="B11" s="389">
        <f>Weights!J4</f>
        <v>1</v>
      </c>
      <c r="C11" s="391">
        <f>'Calc Data'!E10</f>
        <v>0</v>
      </c>
      <c r="D11" s="390">
        <f>'SOF1819-SB1'!H20</f>
        <v>0</v>
      </c>
    </row>
    <row r="12" spans="1:4" s="382" customFormat="1" ht="15.75">
      <c r="A12" s="596" t="s">
        <v>2822</v>
      </c>
      <c r="B12" s="543"/>
      <c r="C12" s="543"/>
      <c r="D12" s="544"/>
    </row>
    <row r="13" spans="1:4" s="382" customFormat="1" ht="15">
      <c r="A13" s="386" t="s">
        <v>2710</v>
      </c>
      <c r="B13" s="411" t="s">
        <v>1775</v>
      </c>
      <c r="C13" s="391">
        <f>'Calc Data'!E8</f>
        <v>0</v>
      </c>
      <c r="D13" s="390">
        <f>'SOF1819-SB1'!H21</f>
        <v>0</v>
      </c>
    </row>
    <row r="14" spans="1:4" s="382" customFormat="1" ht="15">
      <c r="A14" s="386" t="s">
        <v>2824</v>
      </c>
      <c r="B14" s="414">
        <f>Weights!J21</f>
        <v>1.1000000000000001</v>
      </c>
      <c r="C14" s="391">
        <f>'Data Entry - SOF'!E34</f>
        <v>0</v>
      </c>
      <c r="D14" s="390">
        <f>'SOF1819-SB1'!H23</f>
        <v>0</v>
      </c>
    </row>
    <row r="15" spans="1:4" s="382" customFormat="1" ht="15">
      <c r="A15" s="386" t="s">
        <v>2825</v>
      </c>
      <c r="B15" s="414">
        <f>Weights!J19</f>
        <v>4</v>
      </c>
      <c r="C15" s="391">
        <f>'Data Entry - SOF'!E32</f>
        <v>0</v>
      </c>
      <c r="D15" s="390">
        <f>'SOF1819-SB1'!H24</f>
        <v>0</v>
      </c>
    </row>
    <row r="16" spans="1:4" s="382" customFormat="1" ht="15">
      <c r="A16" s="386" t="s">
        <v>2792</v>
      </c>
      <c r="B16" s="414">
        <f>Weights!J17</f>
        <v>2.8</v>
      </c>
      <c r="C16" s="391">
        <f>'Data Entry - SOF'!E30</f>
        <v>0</v>
      </c>
      <c r="D16" s="390">
        <f>'SOF1819-SB1'!H25</f>
        <v>0</v>
      </c>
    </row>
    <row r="17" spans="1:4" s="382" customFormat="1" ht="15">
      <c r="A17" s="386" t="s">
        <v>2795</v>
      </c>
      <c r="B17" s="414">
        <f>Weights!J18</f>
        <v>1.7</v>
      </c>
      <c r="C17" s="391">
        <f>'Data Entry - SOF'!E31</f>
        <v>0</v>
      </c>
      <c r="D17" s="390">
        <f>'SOF1819-SB1'!H26</f>
        <v>0</v>
      </c>
    </row>
    <row r="18" spans="1:4" s="382" customFormat="1" ht="15">
      <c r="A18" s="402" t="s">
        <v>2826</v>
      </c>
      <c r="B18" s="402"/>
      <c r="C18" s="402"/>
      <c r="D18" s="413"/>
    </row>
    <row r="19" spans="1:4" s="382" customFormat="1" ht="15">
      <c r="A19" s="404" t="s">
        <v>2827</v>
      </c>
      <c r="B19" s="416" t="s">
        <v>1775</v>
      </c>
      <c r="C19" s="416" t="s">
        <v>1775</v>
      </c>
      <c r="D19" s="415">
        <f>'SOF1819-SB1'!H27</f>
        <v>0</v>
      </c>
    </row>
    <row r="20" spans="1:4" s="382" customFormat="1" ht="15">
      <c r="A20" s="386" t="s">
        <v>2828</v>
      </c>
      <c r="B20" s="411" t="s">
        <v>1775</v>
      </c>
      <c r="C20" s="411" t="s">
        <v>1775</v>
      </c>
      <c r="D20" s="390">
        <f>'SOF1819-SB1'!H131</f>
        <v>0</v>
      </c>
    </row>
    <row r="21" spans="1:4" s="382" customFormat="1" ht="15.75">
      <c r="A21" s="596" t="s">
        <v>2831</v>
      </c>
      <c r="B21" s="543"/>
      <c r="C21" s="543"/>
      <c r="D21" s="544"/>
    </row>
    <row r="22" spans="1:4" ht="15">
      <c r="A22" s="386" t="s">
        <v>2832</v>
      </c>
      <c r="B22" s="417">
        <f>Weights!J23</f>
        <v>1.35</v>
      </c>
      <c r="C22" s="391">
        <f>'Data Entry - SOF'!E35</f>
        <v>0</v>
      </c>
      <c r="D22" s="390">
        <f>'SOF1819-SB1'!H28</f>
        <v>0</v>
      </c>
    </row>
    <row r="23" spans="1:4" ht="15">
      <c r="A23" s="386" t="s">
        <v>2833</v>
      </c>
      <c r="B23" s="390">
        <f>Weights!J24</f>
        <v>50</v>
      </c>
      <c r="C23" s="391">
        <f>'Data Entry - SOF'!E37</f>
        <v>0</v>
      </c>
      <c r="D23" s="390">
        <f>'SOF1819-SB1'!H29</f>
        <v>0</v>
      </c>
    </row>
    <row r="24" spans="1:4" ht="15">
      <c r="A24" s="386" t="s">
        <v>2834</v>
      </c>
      <c r="B24" s="411" t="s">
        <v>1775</v>
      </c>
      <c r="C24" s="411" t="s">
        <v>1775</v>
      </c>
      <c r="D24" s="390">
        <f>'SOF1819-SB1'!H132</f>
        <v>0</v>
      </c>
    </row>
    <row r="25" spans="1:4" s="382" customFormat="1" ht="15.75">
      <c r="A25" s="596" t="s">
        <v>2835</v>
      </c>
      <c r="B25" s="543"/>
      <c r="C25" s="543"/>
      <c r="D25" s="544"/>
    </row>
    <row r="26" spans="1:4" ht="15">
      <c r="A26" s="386" t="s">
        <v>2836</v>
      </c>
      <c r="B26" s="417">
        <f>Weights!J28</f>
        <v>0.12</v>
      </c>
      <c r="C26" s="391">
        <f>'Data Entry - SOF'!E60</f>
        <v>0</v>
      </c>
      <c r="D26" s="390">
        <f>'SOF1819-SB1'!H32</f>
        <v>0</v>
      </c>
    </row>
    <row r="27" spans="1:4" ht="15">
      <c r="A27" s="386" t="s">
        <v>2837</v>
      </c>
      <c r="B27" s="411" t="s">
        <v>1775</v>
      </c>
      <c r="C27" s="411" t="s">
        <v>1775</v>
      </c>
      <c r="D27" s="390">
        <f>'SOF1819-SB1'!H33</f>
        <v>0</v>
      </c>
    </row>
    <row r="28" spans="1:4" ht="15">
      <c r="A28" s="386" t="s">
        <v>2838</v>
      </c>
      <c r="B28" s="411" t="s">
        <v>1775</v>
      </c>
      <c r="C28" s="411" t="s">
        <v>1775</v>
      </c>
      <c r="D28" s="390">
        <f>'SOF1819-SB1'!H133</f>
        <v>0</v>
      </c>
    </row>
    <row r="29" spans="1:4" s="382" customFormat="1" ht="15.75">
      <c r="A29" s="596" t="s">
        <v>2839</v>
      </c>
      <c r="B29" s="543"/>
      <c r="C29" s="543"/>
      <c r="D29" s="544"/>
    </row>
    <row r="30" spans="1:4" ht="15">
      <c r="A30" s="386" t="s">
        <v>2840</v>
      </c>
      <c r="B30" s="417">
        <f>Weights!J30</f>
        <v>0.2</v>
      </c>
      <c r="C30" s="391">
        <f>'Data Entry - SOF'!E41</f>
        <v>0</v>
      </c>
      <c r="D30" s="390">
        <f>'SOF1819-SB1'!H34</f>
        <v>0</v>
      </c>
    </row>
    <row r="31" spans="1:4" ht="15">
      <c r="A31" s="386" t="s">
        <v>3040</v>
      </c>
      <c r="B31" s="417">
        <f>Weights!J31</f>
        <v>2.41</v>
      </c>
      <c r="C31" s="391">
        <f>'Data Entry - SOF'!E49</f>
        <v>0</v>
      </c>
      <c r="D31" s="390">
        <f>'SOF1819-SB1'!H35</f>
        <v>0</v>
      </c>
    </row>
    <row r="32" spans="1:4" ht="15">
      <c r="A32" s="386" t="s">
        <v>3041</v>
      </c>
      <c r="B32" s="411" t="s">
        <v>1775</v>
      </c>
      <c r="C32" s="411" t="s">
        <v>1775</v>
      </c>
      <c r="D32" s="390">
        <f>'SOF1819-SB1'!H134</f>
        <v>0</v>
      </c>
    </row>
    <row r="33" spans="1:4" s="382" customFormat="1" ht="15.75">
      <c r="A33" s="596" t="s">
        <v>2841</v>
      </c>
      <c r="B33" s="543"/>
      <c r="C33" s="543"/>
      <c r="D33" s="544"/>
    </row>
    <row r="34" spans="1:4" s="382" customFormat="1" ht="15">
      <c r="A34" s="386" t="s">
        <v>2435</v>
      </c>
      <c r="B34" s="390">
        <f>Weights!J33</f>
        <v>275</v>
      </c>
      <c r="C34" s="391">
        <f>'Data Entry - SOF'!E21</f>
        <v>0</v>
      </c>
      <c r="D34" s="390">
        <f>'SOF1819-SB1'!H39</f>
        <v>0</v>
      </c>
    </row>
    <row r="35" spans="1:4" s="382" customFormat="1" ht="15.75">
      <c r="A35" s="596" t="s">
        <v>2844</v>
      </c>
      <c r="B35" s="543"/>
      <c r="C35" s="543"/>
      <c r="D35" s="544"/>
    </row>
    <row r="36" spans="1:4" s="382" customFormat="1" ht="15">
      <c r="A36" s="386" t="s">
        <v>2842</v>
      </c>
      <c r="B36" s="417">
        <f>Weights!J26</f>
        <v>0.1</v>
      </c>
      <c r="C36" s="391">
        <f>'Data Entry - SOF'!E51</f>
        <v>0</v>
      </c>
      <c r="D36" s="390">
        <f>'SOF1819-SB1'!H38</f>
        <v>0</v>
      </c>
    </row>
    <row r="37" spans="1:4" s="382" customFormat="1" ht="15.75">
      <c r="A37" s="596" t="s">
        <v>2843</v>
      </c>
      <c r="B37" s="543"/>
      <c r="C37" s="543"/>
      <c r="D37" s="544"/>
    </row>
    <row r="38" spans="1:4" s="382" customFormat="1" ht="15">
      <c r="A38" s="386" t="s">
        <v>2845</v>
      </c>
      <c r="B38" s="417">
        <f>Weights!J37</f>
        <v>0.1</v>
      </c>
      <c r="C38" s="391">
        <f>'Data Entry - SOF'!E61</f>
        <v>0</v>
      </c>
      <c r="D38" s="390">
        <f>'SOF1819-SB1'!H40</f>
        <v>0</v>
      </c>
    </row>
    <row r="39" spans="1:4" s="382" customFormat="1" ht="15.75">
      <c r="C39" s="477" t="s">
        <v>2979</v>
      </c>
      <c r="D39" s="476" t="s">
        <v>3263</v>
      </c>
    </row>
    <row r="41" spans="1:4" ht="15">
      <c r="D41" s="382"/>
    </row>
    <row r="42" spans="1:4" s="382" customFormat="1" ht="15.75">
      <c r="A42" s="325" t="s">
        <v>3116</v>
      </c>
    </row>
    <row r="43" spans="1:4" s="382" customFormat="1" ht="15.75">
      <c r="A43" s="325" t="s">
        <v>4032</v>
      </c>
    </row>
    <row r="44" spans="1:4" s="382" customFormat="1" ht="15.75">
      <c r="A44" s="325"/>
    </row>
    <row r="45" spans="1:4" s="382" customFormat="1" ht="15"/>
    <row r="46" spans="1:4" s="382" customFormat="1" ht="15">
      <c r="D46"/>
    </row>
  </sheetData>
  <hyperlinks>
    <hyperlink ref="D39" location="'Report-SOF1819'!A1" display="'Report-SOF1819'!A1"/>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5703125" customWidth="1"/>
    <col min="5" max="5" width="15.140625" customWidth="1"/>
    <col min="6" max="6" width="15.5703125" bestFit="1" customWidth="1"/>
  </cols>
  <sheetData>
    <row r="1" spans="1:5">
      <c r="A1" s="380" t="s">
        <v>2993</v>
      </c>
      <c r="C1" s="380"/>
      <c r="D1" s="754" t="e">
        <f>'Report-T1Detail1819'!D1</f>
        <v>#REF!</v>
      </c>
    </row>
    <row r="2" spans="1:5">
      <c r="A2" s="380" t="s">
        <v>2994</v>
      </c>
      <c r="C2" s="380"/>
      <c r="D2" s="72" t="e">
        <f>'Report-T1Detail1819'!D2</f>
        <v>#REF!</v>
      </c>
    </row>
    <row r="3" spans="1:5">
      <c r="A3" s="64"/>
      <c r="C3" s="64"/>
      <c r="D3" s="58" t="e">
        <f>'Report-T1Detail1819'!D3</f>
        <v>#REF!</v>
      </c>
    </row>
    <row r="4" spans="1:5" ht="15.75">
      <c r="A4" s="381" t="s">
        <v>3254</v>
      </c>
      <c r="C4" s="381"/>
    </row>
    <row r="5" spans="1:5" ht="15.75">
      <c r="A5" s="383">
        <f>'Data Entry - SOF'!B1</f>
        <v>0</v>
      </c>
      <c r="C5" s="383"/>
    </row>
    <row r="6" spans="1:5" ht="15.75">
      <c r="A6" s="381">
        <f>'Data Entry - SOF'!B2</f>
        <v>0</v>
      </c>
      <c r="C6" s="381"/>
    </row>
    <row r="9" spans="1:5" ht="18">
      <c r="A9" s="545" t="s">
        <v>2846</v>
      </c>
      <c r="B9" s="548"/>
      <c r="C9" s="545"/>
      <c r="D9" s="546" t="s">
        <v>2847</v>
      </c>
    </row>
    <row r="10" spans="1:5" s="382" customFormat="1" ht="15">
      <c r="A10" s="385" t="s">
        <v>2186</v>
      </c>
      <c r="B10" s="386" t="s">
        <v>3114</v>
      </c>
      <c r="C10" s="386"/>
      <c r="D10" s="391">
        <f>'Calc Data'!E25</f>
        <v>0</v>
      </c>
    </row>
    <row r="11" spans="1:5" s="382" customFormat="1" ht="18">
      <c r="A11" s="596" t="s">
        <v>2848</v>
      </c>
      <c r="B11" s="583"/>
      <c r="C11" s="547"/>
      <c r="D11" s="544"/>
    </row>
    <row r="12" spans="1:5" s="382" customFormat="1" ht="15">
      <c r="A12" s="385" t="s">
        <v>2187</v>
      </c>
      <c r="B12" s="386" t="s">
        <v>3107</v>
      </c>
      <c r="C12" s="386"/>
      <c r="D12" s="390">
        <f>'Calc Data'!E34</f>
        <v>0</v>
      </c>
    </row>
    <row r="13" spans="1:5" s="382" customFormat="1" ht="15">
      <c r="A13" s="385" t="s">
        <v>2188</v>
      </c>
      <c r="B13" s="386" t="s">
        <v>3301</v>
      </c>
      <c r="C13" s="386"/>
      <c r="D13" s="2950" t="e">
        <f>'Calc Data'!E35</f>
        <v>#DIV/0!</v>
      </c>
    </row>
    <row r="14" spans="1:5" s="382" customFormat="1" ht="15">
      <c r="A14" s="385" t="s">
        <v>3117</v>
      </c>
      <c r="B14" s="386" t="str">
        <f>CONCATENATE("Level 1 Entitlement @ $",Assumptions!G110,"")</f>
        <v>Level 1 Entitlement @ $106.28</v>
      </c>
      <c r="C14" s="386"/>
      <c r="D14" s="390" t="e">
        <f>'SOF1819-SB1'!H135</f>
        <v>#DIV/0!</v>
      </c>
    </row>
    <row r="15" spans="1:5" s="382" customFormat="1" ht="15">
      <c r="A15" s="385" t="s">
        <v>910</v>
      </c>
      <c r="B15" s="386" t="s">
        <v>3302</v>
      </c>
      <c r="C15" s="386"/>
      <c r="D15" s="390" t="e">
        <f>'Calc Data'!E42*-1</f>
        <v>#DIV/0!</v>
      </c>
    </row>
    <row r="16" spans="1:5" s="382" customFormat="1" ht="15">
      <c r="A16" s="385" t="s">
        <v>912</v>
      </c>
      <c r="B16" s="386" t="str">
        <f>CONCATENATE("GYA ($",Assumptions!G110," * WADA * DTR_1 * 100) - LR")</f>
        <v>GYA ($106.28 * WADA * DTR_1 * 100) - LR</v>
      </c>
      <c r="C16" s="386"/>
      <c r="D16" s="390" t="e">
        <f>'SOF1819-SB1'!H51</f>
        <v>#DIV/0!</v>
      </c>
      <c r="E16" s="601"/>
    </row>
    <row r="17" spans="1:4" s="382" customFormat="1" ht="18">
      <c r="A17" s="596" t="s">
        <v>2850</v>
      </c>
      <c r="B17" s="583"/>
      <c r="C17" s="547"/>
      <c r="D17" s="544"/>
    </row>
    <row r="18" spans="1:4" s="382" customFormat="1" ht="15">
      <c r="A18" s="385" t="s">
        <v>913</v>
      </c>
      <c r="B18" s="386" t="s">
        <v>3108</v>
      </c>
      <c r="C18" s="386"/>
      <c r="D18" s="390">
        <f>'Calc Data'!AG31</f>
        <v>0</v>
      </c>
    </row>
    <row r="19" spans="1:4" s="382" customFormat="1" ht="15">
      <c r="A19" s="385" t="s">
        <v>914</v>
      </c>
      <c r="B19" s="386" t="s">
        <v>3303</v>
      </c>
      <c r="C19" s="386"/>
      <c r="D19" s="389" t="e">
        <f>'Calc Data'!AG29</f>
        <v>#DIV/0!</v>
      </c>
    </row>
    <row r="20" spans="1:4" s="382" customFormat="1" ht="15">
      <c r="A20" s="385" t="s">
        <v>118</v>
      </c>
      <c r="B20" s="386" t="str">
        <f>CONCATENATE("Level 2 Entitlement @ $",Assumptions!G111,"")</f>
        <v>Level 2 Entitlement @ $31.95</v>
      </c>
      <c r="C20" s="386"/>
      <c r="D20" s="390" t="e">
        <f>'SOF1819-SB1'!H136</f>
        <v>#DIV/0!</v>
      </c>
    </row>
    <row r="21" spans="1:4" s="382" customFormat="1" ht="15">
      <c r="A21" s="385" t="s">
        <v>119</v>
      </c>
      <c r="B21" s="386" t="s">
        <v>3304</v>
      </c>
      <c r="C21" s="386"/>
      <c r="D21" s="390" t="e">
        <f>'Calc Data'!AG33*-1</f>
        <v>#DIV/0!</v>
      </c>
    </row>
    <row r="22" spans="1:4" s="382" customFormat="1" ht="15">
      <c r="A22" s="385" t="s">
        <v>120</v>
      </c>
      <c r="B22" s="386" t="str">
        <f>CONCATENATE("GYA ($",Assumptions!G111," * WADA * DTR_1 * 100) - LR")</f>
        <v>GYA ($31.95 * WADA * DTR_1 * 100) - LR</v>
      </c>
      <c r="C22" s="386"/>
      <c r="D22" s="390" t="e">
        <f>'SOF1819-SB1'!H52</f>
        <v>#DIV/0!</v>
      </c>
    </row>
    <row r="23" spans="1:4" s="382" customFormat="1" ht="15.75">
      <c r="A23" s="385" t="s">
        <v>121</v>
      </c>
      <c r="B23" s="384" t="s">
        <v>3109</v>
      </c>
      <c r="C23" s="384"/>
      <c r="D23" s="395" t="e">
        <f>'SOF1819-SB1'!H53</f>
        <v>#DIV/0!</v>
      </c>
    </row>
    <row r="24" spans="1:4" s="382" customFormat="1" ht="15.75">
      <c r="B24" s="477" t="s">
        <v>2978</v>
      </c>
      <c r="D24" s="476" t="s">
        <v>3263</v>
      </c>
    </row>
    <row r="25" spans="1:4" s="382" customFormat="1" ht="15"/>
    <row r="26" spans="1:4" s="382" customFormat="1" ht="15">
      <c r="D26" s="717"/>
    </row>
    <row r="27" spans="1:4" s="382" customFormat="1" ht="15"/>
    <row r="28" spans="1:4" s="382" customFormat="1" ht="15"/>
    <row r="29" spans="1:4" s="382" customFormat="1" ht="15"/>
    <row r="30" spans="1:4" s="382" customFormat="1" ht="15"/>
    <row r="31" spans="1:4" s="382" customFormat="1" ht="15">
      <c r="D31"/>
    </row>
  </sheetData>
  <hyperlinks>
    <hyperlink ref="D24" location="'Report-SOF1819'!A1" display="'Report-SOF1819'!A1"/>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topLeftCell="A25" workbookViewId="0">
      <selection activeCell="C33" sqref="C33"/>
    </sheetView>
  </sheetViews>
  <sheetFormatPr defaultRowHeight="12.75"/>
  <cols>
    <col min="1" max="1" width="4.42578125" customWidth="1"/>
    <col min="2" max="2" width="74" customWidth="1"/>
    <col min="3" max="3" width="25.5703125" customWidth="1"/>
  </cols>
  <sheetData>
    <row r="1" spans="1:3">
      <c r="A1" s="380" t="s">
        <v>2993</v>
      </c>
      <c r="C1" s="754" t="e">
        <f>'Report-T2Detail1819'!D1</f>
        <v>#REF!</v>
      </c>
    </row>
    <row r="2" spans="1:3">
      <c r="A2" s="380" t="s">
        <v>2994</v>
      </c>
      <c r="C2" s="72" t="e">
        <f>'Report-T2Detail1819'!D2</f>
        <v>#REF!</v>
      </c>
    </row>
    <row r="3" spans="1:3">
      <c r="A3" s="64"/>
      <c r="C3" s="58" t="e">
        <f>'Report-T2Detail1819'!D3</f>
        <v>#REF!</v>
      </c>
    </row>
    <row r="4" spans="1:3" ht="15.75">
      <c r="A4" s="381" t="s">
        <v>3271</v>
      </c>
    </row>
    <row r="5" spans="1:3" ht="15.75">
      <c r="A5" s="383">
        <f>'Data Entry - SOF'!B1</f>
        <v>0</v>
      </c>
    </row>
    <row r="6" spans="1:3" ht="15.75">
      <c r="A6" s="381">
        <f>'Data Entry - SOF'!B2</f>
        <v>0</v>
      </c>
    </row>
    <row r="9" spans="1:3" s="266" customFormat="1" ht="18">
      <c r="A9" s="556" t="s">
        <v>1982</v>
      </c>
      <c r="B9" s="553"/>
      <c r="C9" s="546" t="s">
        <v>1273</v>
      </c>
    </row>
    <row r="10" spans="1:3" s="382" customFormat="1" ht="15.75">
      <c r="A10" s="596" t="s">
        <v>2852</v>
      </c>
      <c r="B10" s="543"/>
      <c r="C10" s="544"/>
    </row>
    <row r="11" spans="1:3" s="382" customFormat="1" ht="15">
      <c r="A11" s="385" t="s">
        <v>2186</v>
      </c>
      <c r="B11" s="386" t="s">
        <v>2356</v>
      </c>
      <c r="C11" s="392" t="e">
        <f>ASATR!H8</f>
        <v>#N/A</v>
      </c>
    </row>
    <row r="12" spans="1:3" s="382" customFormat="1" ht="15">
      <c r="A12" s="385" t="s">
        <v>2187</v>
      </c>
      <c r="B12" s="386" t="s">
        <v>3272</v>
      </c>
      <c r="C12" s="391">
        <f>'Calc Data'!E25</f>
        <v>0</v>
      </c>
    </row>
    <row r="13" spans="1:3" s="382" customFormat="1" ht="15">
      <c r="A13" s="385" t="s">
        <v>2188</v>
      </c>
      <c r="B13" s="386" t="s">
        <v>3273</v>
      </c>
      <c r="C13" s="390" t="e">
        <f>ASATR!H50</f>
        <v>#N/A</v>
      </c>
    </row>
    <row r="14" spans="1:3" s="382" customFormat="1" ht="15">
      <c r="A14" s="385" t="s">
        <v>909</v>
      </c>
      <c r="B14" s="386" t="str">
        <f>CONCATENATE("2018-19 Minimum Increase (Line 2 * $120 * ",Weights!G7,")")</f>
        <v>2018-19 Minimum Increase (Line 2 * $120 * 0.9263)</v>
      </c>
      <c r="C14" s="390">
        <f>ASATR!H51</f>
        <v>0</v>
      </c>
    </row>
    <row r="15" spans="1:3" s="382" customFormat="1" ht="15">
      <c r="A15" s="385" t="s">
        <v>910</v>
      </c>
      <c r="B15" s="386" t="s">
        <v>2853</v>
      </c>
      <c r="C15" s="390">
        <f>ASATR!H13</f>
        <v>0</v>
      </c>
    </row>
    <row r="16" spans="1:3" s="382" customFormat="1" ht="15">
      <c r="A16" s="385" t="s">
        <v>912</v>
      </c>
      <c r="B16" s="386" t="s">
        <v>3274</v>
      </c>
      <c r="C16" s="390" t="e">
        <f>ASATR!H14</f>
        <v>#N/A</v>
      </c>
    </row>
    <row r="17" spans="1:4" s="382" customFormat="1" ht="15">
      <c r="A17" s="549"/>
      <c r="B17" s="543"/>
      <c r="C17" s="544"/>
    </row>
    <row r="18" spans="1:4" s="382" customFormat="1" ht="15">
      <c r="A18" s="385" t="s">
        <v>913</v>
      </c>
      <c r="B18" s="386" t="s">
        <v>2856</v>
      </c>
      <c r="C18" s="390">
        <f>ASATR!H15</f>
        <v>0</v>
      </c>
    </row>
    <row r="19" spans="1:4" s="382" customFormat="1" ht="15">
      <c r="A19" s="385" t="s">
        <v>914</v>
      </c>
      <c r="B19" s="386" t="s">
        <v>2857</v>
      </c>
      <c r="C19" s="390">
        <f>ASATR!H16</f>
        <v>0</v>
      </c>
    </row>
    <row r="20" spans="1:4" s="382" customFormat="1" ht="15">
      <c r="A20" s="385" t="s">
        <v>118</v>
      </c>
      <c r="B20" s="386" t="str">
        <f>CONCATENATE("2008-09 Educator Salary Increase ($23.63 * 2008-09 WADA * ",Weights!G7,")")</f>
        <v>2008-09 Educator Salary Increase ($23.63 * 2008-09 WADA * 0.9263)</v>
      </c>
      <c r="C20" s="390">
        <f>ASATR!H18</f>
        <v>0</v>
      </c>
    </row>
    <row r="21" spans="1:4" s="382" customFormat="1" ht="15.75">
      <c r="A21" s="385" t="s">
        <v>119</v>
      </c>
      <c r="B21" s="384" t="s">
        <v>3275</v>
      </c>
      <c r="C21" s="390" t="e">
        <f>ASATR!H20</f>
        <v>#N/A</v>
      </c>
    </row>
    <row r="22" spans="1:4" s="382" customFormat="1" ht="15">
      <c r="A22" s="549"/>
      <c r="B22" s="543"/>
      <c r="C22" s="544"/>
    </row>
    <row r="23" spans="1:4" s="382" customFormat="1" ht="15">
      <c r="A23" s="385" t="s">
        <v>120</v>
      </c>
      <c r="B23" s="386" t="s">
        <v>3276</v>
      </c>
      <c r="C23" s="390">
        <f>ASATR!H37</f>
        <v>0</v>
      </c>
    </row>
    <row r="24" spans="1:4" s="382" customFormat="1" ht="15">
      <c r="A24" s="385" t="s">
        <v>121</v>
      </c>
      <c r="B24" s="386" t="s">
        <v>3277</v>
      </c>
      <c r="C24" s="390">
        <f>ASATR!H38</f>
        <v>0</v>
      </c>
    </row>
    <row r="25" spans="1:4" s="382" customFormat="1" ht="15">
      <c r="A25" s="385" t="s">
        <v>1513</v>
      </c>
      <c r="B25" s="703" t="s">
        <v>3282</v>
      </c>
      <c r="C25" s="390" t="e">
        <f>ASATR!H39</f>
        <v>#DIV/0!</v>
      </c>
    </row>
    <row r="26" spans="1:4" s="382" customFormat="1" ht="15">
      <c r="A26" s="385" t="s">
        <v>6</v>
      </c>
      <c r="B26" s="386" t="s">
        <v>3278</v>
      </c>
      <c r="C26" s="390" t="e">
        <f>ASATR!H40</f>
        <v>#DIV/0!</v>
      </c>
    </row>
    <row r="27" spans="1:4" s="382" customFormat="1" ht="15">
      <c r="A27" s="549"/>
      <c r="B27" s="543"/>
      <c r="C27" s="555"/>
    </row>
    <row r="28" spans="1:4" s="382" customFormat="1" ht="15.75">
      <c r="A28" s="418" t="s">
        <v>2232</v>
      </c>
      <c r="B28" s="402" t="s">
        <v>3026</v>
      </c>
      <c r="C28" s="419" t="e">
        <f>ASATR!H42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3279</v>
      </c>
      <c r="C31" s="390" t="e">
        <f>ASATR!H45</f>
        <v>#DIV/0!</v>
      </c>
    </row>
    <row r="32" spans="1:4" s="382" customFormat="1" ht="15">
      <c r="A32" s="400" t="s">
        <v>2722</v>
      </c>
      <c r="B32" s="386" t="s">
        <v>3280</v>
      </c>
      <c r="C32" s="390" t="e">
        <f>ASATR!H46</f>
        <v>#DIV/0!</v>
      </c>
    </row>
    <row r="33" spans="2:3" s="382" customFormat="1" ht="15.75">
      <c r="B33" s="477" t="s">
        <v>2991</v>
      </c>
      <c r="C33" s="476" t="s">
        <v>3249</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8"/>
  <sheetViews>
    <sheetView topLeftCell="A13" workbookViewId="0">
      <selection activeCell="D18" sqref="D18"/>
    </sheetView>
  </sheetViews>
  <sheetFormatPr defaultRowHeight="12.75"/>
  <cols>
    <col min="1" max="1" width="5.85546875" customWidth="1"/>
    <col min="2" max="2" width="78.140625" customWidth="1"/>
    <col min="3" max="3" width="4.5703125" customWidth="1"/>
    <col min="4" max="4" width="23" customWidth="1"/>
    <col min="5" max="5" width="15.140625" customWidth="1"/>
  </cols>
  <sheetData>
    <row r="1" spans="1:4" s="382" customFormat="1" ht="15">
      <c r="A1" s="380" t="s">
        <v>2993</v>
      </c>
      <c r="D1" s="754" t="e">
        <f>'Report-ASATR1819'!C1</f>
        <v>#REF!</v>
      </c>
    </row>
    <row r="2" spans="1:4" s="382" customFormat="1" ht="15">
      <c r="A2" s="380" t="s">
        <v>2994</v>
      </c>
      <c r="D2" s="72" t="e">
        <f>'Report-ASATR1819'!C2</f>
        <v>#REF!</v>
      </c>
    </row>
    <row r="3" spans="1:4" s="382" customFormat="1" ht="15.75">
      <c r="A3" s="381"/>
      <c r="D3" s="58" t="e">
        <f>'Report-ASATR1819'!C3</f>
        <v>#REF!</v>
      </c>
    </row>
    <row r="4" spans="1:4" s="382" customFormat="1" ht="15.75">
      <c r="A4" s="381" t="s">
        <v>3255</v>
      </c>
    </row>
    <row r="5" spans="1:4" s="382" customFormat="1" ht="15.75">
      <c r="A5" s="383">
        <f>'Data Entry - SOF'!B1</f>
        <v>0</v>
      </c>
    </row>
    <row r="6" spans="1:4" s="382" customFormat="1" ht="15.75">
      <c r="A6" s="381">
        <f>'Data Entry - SOF'!B2</f>
        <v>0</v>
      </c>
    </row>
    <row r="7" spans="1:4" s="382" customFormat="1" ht="15.75">
      <c r="A7" s="381"/>
    </row>
    <row r="8" spans="1:4" s="382" customFormat="1" ht="15"/>
    <row r="9" spans="1:4" s="266" customFormat="1" ht="18">
      <c r="A9" s="523"/>
      <c r="B9" s="524"/>
      <c r="C9" s="525"/>
      <c r="D9" s="532" t="s">
        <v>2818</v>
      </c>
    </row>
    <row r="10" spans="1:4" s="479" customFormat="1" ht="18">
      <c r="A10" s="557" t="s">
        <v>2990</v>
      </c>
      <c r="B10" s="527"/>
      <c r="C10" s="528"/>
      <c r="D10" s="537" t="s">
        <v>2805</v>
      </c>
    </row>
    <row r="11" spans="1:4" s="382" customFormat="1" ht="15">
      <c r="A11" s="385" t="s">
        <v>2186</v>
      </c>
      <c r="B11" s="386" t="s">
        <v>2981</v>
      </c>
      <c r="C11" s="386"/>
      <c r="D11" s="495">
        <f>'Data Entry - SOF'!E120</f>
        <v>0</v>
      </c>
    </row>
    <row r="12" spans="1:4" s="382" customFormat="1" ht="15.75">
      <c r="A12" s="385" t="s">
        <v>2187</v>
      </c>
      <c r="B12" s="386" t="s">
        <v>4034</v>
      </c>
      <c r="C12" s="386"/>
      <c r="D12" s="495" t="e">
        <f>'HH1819-Calcs'!D26</f>
        <v>#DIV/0!</v>
      </c>
    </row>
    <row r="13" spans="1:4" s="382" customFormat="1" ht="15">
      <c r="A13" s="385" t="s">
        <v>2188</v>
      </c>
      <c r="B13" s="386" t="s">
        <v>3104</v>
      </c>
      <c r="C13" s="386"/>
      <c r="D13" s="495">
        <v>0</v>
      </c>
    </row>
    <row r="14" spans="1:4" s="382" customFormat="1" ht="15.75" hidden="1">
      <c r="B14" s="703" t="s">
        <v>3281</v>
      </c>
      <c r="C14" s="386"/>
      <c r="D14" s="395">
        <v>0</v>
      </c>
    </row>
    <row r="15" spans="1:4" s="382" customFormat="1" ht="15">
      <c r="A15" s="385" t="s">
        <v>909</v>
      </c>
      <c r="B15" s="386" t="s">
        <v>758</v>
      </c>
      <c r="C15" s="386"/>
      <c r="D15" s="390">
        <f>'Data Entry - SOF'!E121</f>
        <v>0</v>
      </c>
    </row>
    <row r="16" spans="1:4" s="382" customFormat="1" ht="15">
      <c r="A16" s="385" t="s">
        <v>910</v>
      </c>
      <c r="B16" s="386" t="s">
        <v>2983</v>
      </c>
      <c r="C16" s="386"/>
      <c r="D16" s="495">
        <f>'Data Entry - SOF'!E123</f>
        <v>0</v>
      </c>
    </row>
    <row r="17" spans="1:5" s="382" customFormat="1" ht="15">
      <c r="A17" s="385" t="s">
        <v>912</v>
      </c>
      <c r="B17" s="386" t="s">
        <v>3205</v>
      </c>
      <c r="C17" s="386"/>
      <c r="D17" s="495">
        <f>'Data Entry - SOF'!E141</f>
        <v>0</v>
      </c>
    </row>
    <row r="18" spans="1:5" s="382" customFormat="1" ht="15">
      <c r="A18" s="385" t="s">
        <v>913</v>
      </c>
      <c r="B18" s="386" t="s">
        <v>2436</v>
      </c>
      <c r="C18" s="386"/>
      <c r="D18" s="390">
        <f>'SOF1819-SB1'!H64</f>
        <v>0</v>
      </c>
    </row>
    <row r="19" spans="1:5" s="382" customFormat="1" ht="15">
      <c r="A19" s="385" t="s">
        <v>914</v>
      </c>
      <c r="B19" s="386" t="s">
        <v>2986</v>
      </c>
      <c r="C19" s="386"/>
      <c r="D19" s="495">
        <v>0</v>
      </c>
    </row>
    <row r="20" spans="1:5" s="382" customFormat="1" ht="15">
      <c r="A20" s="385" t="s">
        <v>118</v>
      </c>
      <c r="B20" s="386" t="s">
        <v>2987</v>
      </c>
      <c r="C20" s="386"/>
      <c r="D20" s="495">
        <f>'Data Entry - SOF'!E125</f>
        <v>0</v>
      </c>
    </row>
    <row r="21" spans="1:5" s="382" customFormat="1" ht="15">
      <c r="A21" s="385" t="s">
        <v>119</v>
      </c>
      <c r="B21" s="386" t="s">
        <v>2988</v>
      </c>
      <c r="C21" s="386"/>
      <c r="D21" s="390" t="e">
        <f>'SOF1819-SB1'!H66</f>
        <v>#DIV/0!</v>
      </c>
    </row>
    <row r="22" spans="1:5" s="382" customFormat="1" ht="15">
      <c r="A22" s="385" t="s">
        <v>120</v>
      </c>
      <c r="B22" s="386" t="s">
        <v>2989</v>
      </c>
      <c r="C22" s="386"/>
      <c r="D22" s="390" t="e">
        <f>'SOF1819-SB1'!H65</f>
        <v>#DIV/0!</v>
      </c>
    </row>
    <row r="23" spans="1:5" s="382" customFormat="1" ht="15">
      <c r="A23" s="385" t="s">
        <v>121</v>
      </c>
      <c r="B23" s="386" t="s">
        <v>3105</v>
      </c>
      <c r="C23" s="386"/>
      <c r="D23" s="390">
        <v>0</v>
      </c>
    </row>
    <row r="24" spans="1:5" s="382" customFormat="1" ht="15">
      <c r="A24" s="385" t="s">
        <v>1513</v>
      </c>
      <c r="B24" s="386" t="s">
        <v>3106</v>
      </c>
      <c r="C24" s="386"/>
      <c r="D24" s="390">
        <v>0</v>
      </c>
    </row>
    <row r="25" spans="1:5" s="382" customFormat="1" ht="15">
      <c r="A25" s="385" t="s">
        <v>6</v>
      </c>
      <c r="B25" s="386" t="s">
        <v>6655</v>
      </c>
      <c r="C25" s="386"/>
      <c r="D25" s="390">
        <v>0</v>
      </c>
    </row>
    <row r="26" spans="1:5" s="382" customFormat="1" ht="15">
      <c r="A26" s="385" t="s">
        <v>2232</v>
      </c>
      <c r="B26" s="386" t="s">
        <v>8725</v>
      </c>
      <c r="C26" s="386"/>
      <c r="D26" s="390">
        <v>0</v>
      </c>
    </row>
    <row r="27" spans="1:5" s="382" customFormat="1" ht="15">
      <c r="A27" s="385" t="s">
        <v>2233</v>
      </c>
      <c r="B27" s="2931" t="s">
        <v>8726</v>
      </c>
      <c r="C27" s="2931"/>
      <c r="D27" s="4026" t="e">
        <f>'DistCharter-Funding1819'!F51</f>
        <v>#DIV/0!</v>
      </c>
    </row>
    <row r="28" spans="1:5" s="382" customFormat="1" ht="15.75">
      <c r="A28" s="385" t="s">
        <v>2722</v>
      </c>
      <c r="B28" s="384" t="s">
        <v>3027</v>
      </c>
      <c r="C28" s="386"/>
      <c r="D28" s="395" t="e">
        <f>SUM(D14:D27)</f>
        <v>#DIV/0!</v>
      </c>
      <c r="E28" s="4026" t="e">
        <f>D12+D15+D16+D18+D20+D25+D27</f>
        <v>#DIV/0!</v>
      </c>
    </row>
    <row r="29" spans="1:5" s="382" customFormat="1" ht="15">
      <c r="A29" s="394"/>
    </row>
    <row r="30" spans="1:5" s="382" customFormat="1" ht="15">
      <c r="A30" s="394"/>
    </row>
    <row r="31" spans="1:5" s="382" customFormat="1" ht="15.75">
      <c r="A31" s="565" t="s">
        <v>8727</v>
      </c>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c r="A40" s="394"/>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row r="48" spans="1:4" s="382"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2578125" customWidth="1"/>
    <col min="2" max="2" width="78.42578125" customWidth="1"/>
    <col min="3" max="3" width="4.5703125" customWidth="1"/>
    <col min="4" max="4" width="22.5703125" customWidth="1"/>
  </cols>
  <sheetData>
    <row r="1" spans="1:4">
      <c r="A1" s="380" t="s">
        <v>2993</v>
      </c>
      <c r="D1" s="754" t="e">
        <f>'Report-Other1819'!D1</f>
        <v>#REF!</v>
      </c>
    </row>
    <row r="2" spans="1:4">
      <c r="A2" s="380" t="s">
        <v>2994</v>
      </c>
      <c r="D2" s="72" t="e">
        <f>'Report-Other1819'!D2</f>
        <v>#REF!</v>
      </c>
    </row>
    <row r="3" spans="1:4">
      <c r="A3" s="64"/>
      <c r="D3" s="58" t="e">
        <f>'Report-Other1819'!D3</f>
        <v>#REF!</v>
      </c>
    </row>
    <row r="4" spans="1:4" ht="15.75">
      <c r="A4" s="381" t="s">
        <v>3256</v>
      </c>
    </row>
    <row r="5" spans="1:4" ht="15.75">
      <c r="A5" s="383">
        <f>'Data Entry - SOF'!B1</f>
        <v>0</v>
      </c>
    </row>
    <row r="6" spans="1:4" ht="15.75">
      <c r="A6" s="381">
        <f>'Data Entry - SOF'!B2</f>
        <v>0</v>
      </c>
    </row>
    <row r="9" spans="1:4" s="266" customFormat="1" ht="18">
      <c r="A9" s="564" t="s">
        <v>3110</v>
      </c>
      <c r="B9" s="558"/>
      <c r="C9" s="559"/>
      <c r="D9" s="524"/>
    </row>
    <row r="10" spans="1:4" s="382" customFormat="1" ht="18">
      <c r="A10" s="562" t="s">
        <v>2866</v>
      </c>
      <c r="B10" s="560"/>
      <c r="C10" s="561"/>
      <c r="D10" s="537" t="s">
        <v>2867</v>
      </c>
    </row>
    <row r="11" spans="1:4" s="382" customFormat="1" ht="15">
      <c r="A11" s="385" t="s">
        <v>2186</v>
      </c>
      <c r="B11" s="386" t="s">
        <v>3146</v>
      </c>
      <c r="C11" s="386"/>
      <c r="D11" s="390">
        <f>'Data Entry - SOF'!E169</f>
        <v>0</v>
      </c>
    </row>
    <row r="12" spans="1:4" s="382" customFormat="1" ht="15">
      <c r="A12" s="385" t="s">
        <v>2187</v>
      </c>
      <c r="B12" s="386" t="s">
        <v>3147</v>
      </c>
      <c r="C12" s="386"/>
      <c r="D12" s="390">
        <f>'Data Entry - SOF'!E170</f>
        <v>0</v>
      </c>
    </row>
    <row r="13" spans="1:4" s="382" customFormat="1" ht="15">
      <c r="A13" s="385" t="s">
        <v>2188</v>
      </c>
      <c r="B13" s="386" t="s">
        <v>3148</v>
      </c>
      <c r="C13" s="386"/>
      <c r="D13" s="390">
        <f>'Data Entry - SOF'!E171</f>
        <v>0</v>
      </c>
    </row>
    <row r="14" spans="1:4" s="382" customFormat="1" ht="15">
      <c r="A14" s="385" t="s">
        <v>909</v>
      </c>
      <c r="B14" s="386" t="s">
        <v>3149</v>
      </c>
      <c r="C14" s="386"/>
      <c r="D14" s="390">
        <f>IF(D11-D12-D13&lt;0,0,D11-D12-D13)</f>
        <v>0</v>
      </c>
    </row>
    <row r="15" spans="1:4" s="382" customFormat="1" ht="15">
      <c r="A15" s="385" t="s">
        <v>910</v>
      </c>
      <c r="B15" s="386" t="s">
        <v>3257</v>
      </c>
      <c r="C15" s="386"/>
      <c r="D15" s="390">
        <f>'Data Entry - SOF'!E118</f>
        <v>0</v>
      </c>
    </row>
    <row r="16" spans="1:4" s="382" customFormat="1" ht="15">
      <c r="A16" s="385" t="s">
        <v>912</v>
      </c>
      <c r="B16" s="386" t="s">
        <v>3258</v>
      </c>
      <c r="C16" s="386"/>
      <c r="D16" s="390">
        <f>'Report-IFA1819'!D37</f>
        <v>0</v>
      </c>
    </row>
    <row r="17" spans="1:4" s="382" customFormat="1" ht="15">
      <c r="A17" s="385" t="s">
        <v>913</v>
      </c>
      <c r="B17" s="386" t="s">
        <v>3259</v>
      </c>
      <c r="C17" s="386"/>
      <c r="D17" s="391">
        <f>'Data Entry - SOF'!E19</f>
        <v>0</v>
      </c>
    </row>
    <row r="18" spans="1:4" s="382" customFormat="1" ht="15">
      <c r="A18" s="385" t="s">
        <v>914</v>
      </c>
      <c r="B18" s="386" t="s">
        <v>6618</v>
      </c>
      <c r="C18" s="386"/>
      <c r="D18" s="390">
        <f>'Data Entry - SOF'!E76</f>
        <v>0</v>
      </c>
    </row>
    <row r="19" spans="1:4" s="382" customFormat="1" ht="15">
      <c r="A19" s="385" t="s">
        <v>118</v>
      </c>
      <c r="B19" s="386" t="s">
        <v>6617</v>
      </c>
      <c r="C19" s="386"/>
      <c r="D19" s="390">
        <f>'Data Entry - SOF'!C76</f>
        <v>0</v>
      </c>
    </row>
    <row r="20" spans="1:4" s="382" customFormat="1" ht="15.75">
      <c r="A20" s="596" t="s">
        <v>2868</v>
      </c>
      <c r="B20" s="543"/>
      <c r="C20" s="544"/>
      <c r="D20" s="563"/>
    </row>
    <row r="21" spans="1:4" s="382" customFormat="1" ht="15">
      <c r="A21" s="418" t="s">
        <v>119</v>
      </c>
      <c r="B21" s="402" t="s">
        <v>3150</v>
      </c>
      <c r="C21" s="402"/>
      <c r="D21" s="425">
        <f>'Existing Debt-OldLaw'!I47</f>
        <v>0</v>
      </c>
    </row>
    <row r="22" spans="1:4" s="382" customFormat="1" ht="15">
      <c r="A22" s="396"/>
      <c r="B22" s="404" t="s">
        <v>2869</v>
      </c>
      <c r="C22" s="404"/>
      <c r="D22" s="426"/>
    </row>
    <row r="23" spans="1:4" s="382" customFormat="1" ht="15">
      <c r="A23" s="385" t="s">
        <v>120</v>
      </c>
      <c r="B23" s="386" t="str">
        <f>CONCATENATE("2018-19 Rate Needed for All Eligible Debt ((Line 5 - Line 6) / ",Weights!I50," / Line 7 / 100)")</f>
        <v>2018-19 Rate Needed for All Eligible Debt ((Line 5 - Line 6) / 35 / Line 7 / 100)</v>
      </c>
      <c r="C23" s="386"/>
      <c r="D23" s="427">
        <f>'Existing Debt-OldLaw'!I51</f>
        <v>0</v>
      </c>
    </row>
    <row r="24" spans="1:4" s="382" customFormat="1" ht="15">
      <c r="A24" s="385" t="s">
        <v>121</v>
      </c>
      <c r="B24" s="386" t="s">
        <v>3260</v>
      </c>
      <c r="C24" s="386"/>
      <c r="D24" s="427">
        <f>'Existing Debt-OldLaw'!I55</f>
        <v>0</v>
      </c>
    </row>
    <row r="25" spans="1:4" s="382" customFormat="1" ht="15">
      <c r="A25" s="385" t="s">
        <v>1513</v>
      </c>
      <c r="B25" s="386" t="str">
        <f>CONCATENATE("State/Local Share of EDA ($",Weights!J50," * Line 7 * Line 12 * 100)")</f>
        <v>State/Local Share of EDA ($36.65 * Line 7 * Line 12 * 100)</v>
      </c>
      <c r="C25" s="386"/>
      <c r="D25" s="390">
        <f>'Existing Debt-OldLaw'!I59</f>
        <v>0</v>
      </c>
    </row>
    <row r="26" spans="1:4" s="382" customFormat="1" ht="15">
      <c r="A26" s="385" t="s">
        <v>6</v>
      </c>
      <c r="B26" s="386" t="s">
        <v>2870</v>
      </c>
      <c r="C26" s="386"/>
      <c r="D26" s="390">
        <f>'Existing Debt-OldLaw'!I61</f>
        <v>0</v>
      </c>
    </row>
    <row r="27" spans="1:4" s="382" customFormat="1" ht="15">
      <c r="A27" s="385" t="s">
        <v>2232</v>
      </c>
      <c r="B27" s="386" t="s">
        <v>2871</v>
      </c>
      <c r="C27" s="386"/>
      <c r="D27" s="390">
        <f>'Existing Debt-OldLaw'!I70</f>
        <v>0</v>
      </c>
    </row>
    <row r="28" spans="1:4" s="382" customFormat="1" ht="15.75">
      <c r="A28" s="385" t="s">
        <v>2233</v>
      </c>
      <c r="B28" s="384" t="s">
        <v>2872</v>
      </c>
      <c r="C28" s="386"/>
      <c r="D28" s="395">
        <f>'Existing Debt-OldLaw'!I74</f>
        <v>0</v>
      </c>
    </row>
    <row r="29" spans="1:4" s="382" customFormat="1" ht="15.75">
      <c r="B29" s="477" t="s">
        <v>2978</v>
      </c>
      <c r="D29" s="476" t="s">
        <v>3263</v>
      </c>
    </row>
    <row r="30" spans="1:4" s="382" customFormat="1" ht="15"/>
    <row r="31" spans="1:4" s="382" customFormat="1" ht="15"/>
    <row r="32" spans="1:4" s="382" customFormat="1" ht="15.75">
      <c r="B32" s="325" t="s">
        <v>2939</v>
      </c>
    </row>
    <row r="33" spans="2:4" s="382" customFormat="1" ht="15.75">
      <c r="B33" s="325" t="s">
        <v>3115</v>
      </c>
    </row>
    <row r="34" spans="2:4" s="382" customFormat="1" ht="15.75">
      <c r="B34" s="565" t="s">
        <v>3112</v>
      </c>
    </row>
    <row r="35" spans="2:4" s="382" customFormat="1" ht="15.75">
      <c r="B35" s="565"/>
    </row>
    <row r="36" spans="2:4" s="382" customFormat="1" ht="15.75">
      <c r="B36" s="325" t="s">
        <v>8266</v>
      </c>
    </row>
    <row r="37" spans="2:4" s="382" customFormat="1" ht="15.75">
      <c r="B37" s="565" t="s">
        <v>8267</v>
      </c>
    </row>
    <row r="38" spans="2:4" s="382" customFormat="1" ht="15.75">
      <c r="B38" s="565" t="s">
        <v>8268</v>
      </c>
    </row>
    <row r="39" spans="2:4" s="382" customFormat="1" ht="15.75">
      <c r="B39" s="325" t="s">
        <v>8269</v>
      </c>
    </row>
    <row r="40" spans="2:4" s="382" customFormat="1" ht="15.75">
      <c r="B40" s="325"/>
    </row>
    <row r="41" spans="2:4" s="382" customFormat="1" ht="15.75">
      <c r="B41" s="473" t="s">
        <v>6375</v>
      </c>
      <c r="D41" s="833">
        <f>IF(ISNA('DE1'!C65),0,'DE1'!C65)</f>
        <v>0</v>
      </c>
    </row>
    <row r="42" spans="2:4" ht="15.75">
      <c r="B42" s="325"/>
      <c r="C42" s="382"/>
      <c r="D42" s="382"/>
    </row>
    <row r="43" spans="2:4" ht="15.75">
      <c r="B43" s="325" t="s">
        <v>6367</v>
      </c>
      <c r="C43" s="382"/>
      <c r="D43" s="382"/>
    </row>
    <row r="44" spans="2:4" ht="15.75">
      <c r="B44" s="565" t="s">
        <v>6565</v>
      </c>
      <c r="C44" s="382"/>
      <c r="D44" s="382"/>
    </row>
    <row r="45" spans="2:4" ht="15.75">
      <c r="B45" s="325" t="s">
        <v>6564</v>
      </c>
    </row>
  </sheetData>
  <hyperlinks>
    <hyperlink ref="D29"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3" workbookViewId="0">
      <selection activeCell="D22" sqref="D22"/>
    </sheetView>
  </sheetViews>
  <sheetFormatPr defaultRowHeight="12.75"/>
  <cols>
    <col min="1" max="1" width="5.42578125" customWidth="1"/>
    <col min="2" max="2" width="61.85546875" customWidth="1"/>
    <col min="3" max="3" width="5.5703125" customWidth="1"/>
    <col min="4" max="5" width="22.5703125" customWidth="1"/>
  </cols>
  <sheetData>
    <row r="1" spans="1:5">
      <c r="A1" s="380" t="s">
        <v>2992</v>
      </c>
      <c r="E1" s="754" t="e">
        <f>'Report-EDA1819'!D1</f>
        <v>#REF!</v>
      </c>
    </row>
    <row r="2" spans="1:5">
      <c r="A2" s="380" t="s">
        <v>2865</v>
      </c>
      <c r="E2" s="72" t="e">
        <f>'Report-EDA1819'!D2</f>
        <v>#REF!</v>
      </c>
    </row>
    <row r="3" spans="1:5">
      <c r="A3" s="64"/>
      <c r="E3" s="58" t="e">
        <f>'Report-EDA1819'!D3</f>
        <v>#REF!</v>
      </c>
    </row>
    <row r="4" spans="1:5" ht="15.75">
      <c r="A4" s="381" t="s">
        <v>3261</v>
      </c>
    </row>
    <row r="5" spans="1:5" ht="15.75">
      <c r="A5" s="383">
        <f>'Data Entry - SOF'!B1</f>
        <v>0</v>
      </c>
    </row>
    <row r="6" spans="1:5" ht="15.75">
      <c r="A6" s="381">
        <f>'Data Entry - SOF'!B2</f>
        <v>0</v>
      </c>
    </row>
    <row r="9" spans="1:5" s="266" customFormat="1" ht="18">
      <c r="A9" s="564" t="s">
        <v>3111</v>
      </c>
      <c r="B9" s="558"/>
      <c r="C9" s="558"/>
      <c r="D9" s="532" t="s">
        <v>2964</v>
      </c>
      <c r="E9" s="593" t="s">
        <v>2964</v>
      </c>
    </row>
    <row r="10" spans="1:5" s="382" customFormat="1" ht="18">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'IFA-OldLaw'!L58</f>
        <v>400</v>
      </c>
      <c r="E12" s="391">
        <f>D12</f>
        <v>400</v>
      </c>
    </row>
    <row r="13" spans="1:5" s="382" customFormat="1" ht="15">
      <c r="A13" s="385" t="s">
        <v>2188</v>
      </c>
      <c r="B13" s="386" t="s">
        <v>6618</v>
      </c>
      <c r="C13" s="386"/>
      <c r="D13" s="390">
        <f>'Report-EDA1819'!D18</f>
        <v>0</v>
      </c>
      <c r="E13" s="390">
        <f>D13</f>
        <v>0</v>
      </c>
    </row>
    <row r="14" spans="1:5" s="382" customFormat="1" ht="15">
      <c r="A14" s="385" t="s">
        <v>909</v>
      </c>
      <c r="B14" s="386" t="s">
        <v>2967</v>
      </c>
      <c r="C14" s="386"/>
      <c r="D14" s="390">
        <f>'IFA-OldLaw'!L65</f>
        <v>0</v>
      </c>
      <c r="E14" s="390">
        <f>'IFA-OldLaw'!M65</f>
        <v>0</v>
      </c>
    </row>
    <row r="15" spans="1:5" s="382" customFormat="1" ht="15">
      <c r="A15" s="385" t="s">
        <v>910</v>
      </c>
      <c r="B15" s="386" t="s">
        <v>2968</v>
      </c>
      <c r="C15" s="386"/>
      <c r="D15" s="469">
        <f>'IFA-OldLaw'!L67</f>
        <v>0</v>
      </c>
      <c r="E15" s="469">
        <f>'IFA-OldLaw'!M67</f>
        <v>0</v>
      </c>
    </row>
    <row r="16" spans="1:5" s="382" customFormat="1" ht="15">
      <c r="A16" s="385" t="s">
        <v>912</v>
      </c>
      <c r="B16" s="386" t="s">
        <v>2969</v>
      </c>
      <c r="C16" s="386"/>
      <c r="D16" s="469">
        <f>'IFA-OldLaw'!L69</f>
        <v>0</v>
      </c>
      <c r="E16" s="469">
        <f>'IFA-OldLaw'!M69</f>
        <v>0</v>
      </c>
    </row>
    <row r="17" spans="1:5" s="382" customFormat="1" ht="15">
      <c r="A17" s="385" t="s">
        <v>913</v>
      </c>
      <c r="B17" s="386" t="str">
        <f>CONCATENATE("State's Share of $",Weights!J49," per ADA Yield")</f>
        <v>State's Share of $35 per ADA Yield</v>
      </c>
      <c r="C17" s="386"/>
      <c r="D17" s="390">
        <f>'IFA-OldLaw'!L71</f>
        <v>35</v>
      </c>
      <c r="E17" s="390">
        <f>'IFA-OldLaw'!M71</f>
        <v>35</v>
      </c>
    </row>
    <row r="18" spans="1:5" s="382" customFormat="1" ht="15">
      <c r="A18" s="385" t="s">
        <v>914</v>
      </c>
      <c r="B18" s="386" t="s">
        <v>2970</v>
      </c>
      <c r="C18" s="386"/>
      <c r="D18" s="470">
        <f>'IFA-OldLaw'!L73</f>
        <v>1</v>
      </c>
      <c r="E18" s="470">
        <f>'IFA-OldLaw'!M73</f>
        <v>1</v>
      </c>
    </row>
    <row r="19" spans="1:5" s="382" customFormat="1" ht="15">
      <c r="A19" s="385" t="s">
        <v>118</v>
      </c>
      <c r="B19" s="386" t="s">
        <v>2971</v>
      </c>
      <c r="C19" s="386"/>
      <c r="D19" s="390">
        <f>'IFA-OldLaw'!L75</f>
        <v>0</v>
      </c>
      <c r="E19" s="390">
        <f>'IFA-OldLaw'!M75</f>
        <v>0</v>
      </c>
    </row>
    <row r="20" spans="1:5" s="382" customFormat="1" ht="15">
      <c r="A20" s="385" t="s">
        <v>119</v>
      </c>
      <c r="B20" s="386" t="s">
        <v>2972</v>
      </c>
      <c r="C20" s="386"/>
      <c r="D20" s="390">
        <f>'IFA-OldLaw'!L79</f>
        <v>0</v>
      </c>
      <c r="E20" s="390">
        <f>'IFA-OldLaw'!M79</f>
        <v>0</v>
      </c>
    </row>
    <row r="21" spans="1:5" s="382" customFormat="1" ht="15.75">
      <c r="A21" s="385" t="s">
        <v>120</v>
      </c>
      <c r="B21" s="384" t="s">
        <v>2973</v>
      </c>
      <c r="C21" s="386"/>
      <c r="D21" s="390">
        <f>'IFA-OldLaw'!L86</f>
        <v>0</v>
      </c>
      <c r="E21" s="390">
        <f>'IFA-OldLaw'!M86</f>
        <v>0</v>
      </c>
    </row>
    <row r="22" spans="1:5" s="382" customFormat="1" ht="15.75">
      <c r="B22" s="477" t="s">
        <v>2978</v>
      </c>
      <c r="D22" s="476" t="s">
        <v>3263</v>
      </c>
    </row>
    <row r="23" spans="1:5" s="382" customFormat="1" ht="15"/>
    <row r="24" spans="1:5" s="382" customFormat="1" ht="15.75">
      <c r="B24" s="325" t="s">
        <v>2939</v>
      </c>
    </row>
    <row r="25" spans="1:5" s="382" customFormat="1" ht="15.75">
      <c r="B25" s="325" t="s">
        <v>8270</v>
      </c>
    </row>
    <row r="26" spans="1:5" s="382" customFormat="1" ht="15.75">
      <c r="B26" s="325" t="s">
        <v>8271</v>
      </c>
    </row>
    <row r="27" spans="1:5" s="382" customFormat="1" ht="15.75">
      <c r="B27" s="565" t="s">
        <v>8272</v>
      </c>
    </row>
    <row r="28" spans="1:5" s="382" customFormat="1" ht="15"/>
    <row r="29" spans="1:5" s="382" customFormat="1" ht="15.75">
      <c r="B29" s="325" t="s">
        <v>8273</v>
      </c>
    </row>
    <row r="30" spans="1:5" s="382" customFormat="1" ht="15.75">
      <c r="B30" s="565" t="s">
        <v>8274</v>
      </c>
    </row>
    <row r="31" spans="1:5" s="382" customFormat="1" ht="15.75">
      <c r="B31" s="325" t="s">
        <v>8275</v>
      </c>
    </row>
    <row r="32" spans="1:5" s="382" customFormat="1" ht="15.75">
      <c r="B32" s="473" t="s">
        <v>6375</v>
      </c>
      <c r="E32" s="833">
        <f>IF(ISNA('DE1'!C65),0,'DE1'!C65)</f>
        <v>0</v>
      </c>
    </row>
    <row r="33" spans="2:5" s="382" customFormat="1" ht="15.75">
      <c r="B33" s="325"/>
    </row>
    <row r="34" spans="2:5" s="382" customFormat="1" ht="15"/>
    <row r="35" spans="2:5" s="382" customFormat="1" ht="15.75">
      <c r="D35" s="482" t="s">
        <v>1718</v>
      </c>
      <c r="E35" s="482" t="s">
        <v>1719</v>
      </c>
    </row>
    <row r="36" spans="2:5" s="382" customFormat="1" ht="15.75">
      <c r="D36" s="482" t="s">
        <v>3044</v>
      </c>
      <c r="E36" s="482" t="s">
        <v>3044</v>
      </c>
    </row>
    <row r="37" spans="2:5" s="382" customFormat="1" ht="15.75">
      <c r="B37" s="1955" t="s">
        <v>2451</v>
      </c>
      <c r="C37" s="325"/>
      <c r="D37" s="1989">
        <f>IFA_Limits!F55</f>
        <v>0</v>
      </c>
      <c r="E37" s="1989">
        <f>IFA_Limits!F56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2.85546875" customWidth="1"/>
  </cols>
  <sheetData>
    <row r="1" spans="1:5">
      <c r="A1" s="380" t="s">
        <v>3118</v>
      </c>
      <c r="E1" s="754" t="e">
        <f>'Report-IFA1819'!E1</f>
        <v>#REF!</v>
      </c>
    </row>
    <row r="2" spans="1:5">
      <c r="A2" s="380" t="s">
        <v>3119</v>
      </c>
      <c r="E2" s="72" t="e">
        <f>'Report-IFA1819'!E2</f>
        <v>#REF!</v>
      </c>
    </row>
    <row r="3" spans="1:5">
      <c r="A3" s="64"/>
      <c r="E3" s="58" t="e">
        <f>'Report-IFA1819'!E3</f>
        <v>#REF!</v>
      </c>
    </row>
    <row r="4" spans="1:5" ht="15.75">
      <c r="A4" s="381" t="s">
        <v>3262</v>
      </c>
    </row>
    <row r="5" spans="1:5" ht="15.75">
      <c r="A5" s="383">
        <f>'Data Entry - SOF'!B1</f>
        <v>0</v>
      </c>
    </row>
    <row r="6" spans="1:5" ht="15.75">
      <c r="A6" s="381">
        <f>'Data Entry - SOF'!B2</f>
        <v>0</v>
      </c>
    </row>
    <row r="8" spans="1:5" ht="18">
      <c r="A8" s="591" t="s">
        <v>3121</v>
      </c>
      <c r="B8" s="535"/>
      <c r="C8" s="532" t="s">
        <v>2080</v>
      </c>
      <c r="D8" s="592"/>
      <c r="E8" s="593" t="s">
        <v>3123</v>
      </c>
    </row>
    <row r="9" spans="1:5" ht="18">
      <c r="A9" s="552" t="s">
        <v>3120</v>
      </c>
      <c r="B9" s="594"/>
      <c r="C9" s="533" t="s">
        <v>3122</v>
      </c>
      <c r="D9" s="595"/>
      <c r="E9" s="537" t="s">
        <v>3124</v>
      </c>
    </row>
    <row r="10" spans="1:5" ht="15.75">
      <c r="A10" s="596" t="s">
        <v>3129</v>
      </c>
      <c r="B10" s="597"/>
      <c r="C10" s="597"/>
      <c r="D10" s="597"/>
      <c r="E10" s="598"/>
    </row>
    <row r="11" spans="1:5" ht="15">
      <c r="A11" s="385" t="s">
        <v>2186</v>
      </c>
      <c r="B11" s="386" t="s">
        <v>3125</v>
      </c>
      <c r="C11" s="388">
        <f>'Data Entry - SOF'!E129</f>
        <v>0</v>
      </c>
      <c r="D11" s="386"/>
      <c r="E11" s="388" t="e">
        <f>'Report-SOF1819'!D67</f>
        <v>#DIV/0!</v>
      </c>
    </row>
    <row r="12" spans="1:5" ht="15">
      <c r="A12" s="385" t="s">
        <v>2187</v>
      </c>
      <c r="B12" s="386" t="s">
        <v>3126</v>
      </c>
      <c r="C12" s="388">
        <f>'Data Entry - SOF'!E130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8">
      <c r="A15" s="382"/>
      <c r="B15" s="599" t="s">
        <v>3130</v>
      </c>
      <c r="C15" s="492"/>
      <c r="D15" s="492"/>
      <c r="E15" s="602" t="e">
        <f>E13-C13</f>
        <v>#DIV/0!</v>
      </c>
    </row>
    <row r="16" spans="1:5" ht="15.75">
      <c r="A16" s="382"/>
      <c r="C16" s="477" t="s">
        <v>2978</v>
      </c>
      <c r="D16" s="382"/>
      <c r="E16" s="476" t="s">
        <v>3263</v>
      </c>
    </row>
    <row r="17" spans="1:5" ht="15.75">
      <c r="A17" s="382"/>
      <c r="C17" s="477"/>
      <c r="D17" s="382"/>
      <c r="E17" s="382"/>
    </row>
    <row r="18" spans="1:5" ht="15">
      <c r="A18" s="382"/>
      <c r="B18" s="382"/>
      <c r="C18" s="382"/>
      <c r="D18" s="382"/>
      <c r="E18" s="382"/>
    </row>
    <row r="19" spans="1:5" ht="15.75">
      <c r="A19" s="382"/>
      <c r="B19" s="325" t="s">
        <v>3128</v>
      </c>
      <c r="C19" s="382"/>
      <c r="D19" s="382"/>
      <c r="E19" s="382"/>
    </row>
    <row r="20" spans="1:5" ht="15.75">
      <c r="A20" s="382"/>
      <c r="B20" s="325" t="s">
        <v>3133</v>
      </c>
      <c r="C20" s="382"/>
      <c r="D20" s="382"/>
      <c r="E20" s="382"/>
    </row>
    <row r="21" spans="1:5" ht="15.75">
      <c r="A21" s="382"/>
      <c r="B21" s="325" t="s">
        <v>3134</v>
      </c>
      <c r="C21" s="382"/>
      <c r="D21" s="382"/>
    </row>
    <row r="22" spans="1:5" ht="15.75">
      <c r="A22" s="382"/>
      <c r="B22" s="325" t="s">
        <v>3135</v>
      </c>
    </row>
    <row r="23" spans="1:5" ht="15.75">
      <c r="A23" s="382"/>
      <c r="B23" s="325"/>
    </row>
    <row r="24" spans="1:5" ht="15.75">
      <c r="A24" s="382"/>
      <c r="B24" s="325" t="s">
        <v>3131</v>
      </c>
    </row>
    <row r="25" spans="1:5" ht="15.7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topLeftCell="A10" workbookViewId="0">
      <selection activeCell="D24" sqref="D24"/>
    </sheetView>
  </sheetViews>
  <sheetFormatPr defaultRowHeight="12.75"/>
  <cols>
    <col min="1" max="1" width="4.5703125" customWidth="1"/>
    <col min="2" max="2" width="36.42578125" customWidth="1"/>
    <col min="3" max="3" width="12.85546875" style="399" customWidth="1"/>
    <col min="4" max="4" width="29.5703125" customWidth="1"/>
    <col min="5" max="5" width="23.42578125" customWidth="1"/>
  </cols>
  <sheetData>
    <row r="1" spans="1:5">
      <c r="A1" s="380" t="s">
        <v>2993</v>
      </c>
      <c r="B1" s="380"/>
      <c r="E1" s="754" t="str">
        <f>'Data Entry - SOF'!S1</f>
        <v>Release 10</v>
      </c>
    </row>
    <row r="2" spans="1:5">
      <c r="A2" s="380" t="s">
        <v>2994</v>
      </c>
      <c r="B2" s="380"/>
      <c r="E2" s="754">
        <f>'Data Entry - SOF'!S2</f>
        <v>43724</v>
      </c>
    </row>
    <row r="3" spans="1:5">
      <c r="A3" s="64"/>
      <c r="B3" s="64"/>
      <c r="E3" s="58"/>
    </row>
    <row r="4" spans="1:5" ht="15.75">
      <c r="A4" s="381" t="s">
        <v>3287</v>
      </c>
      <c r="B4" s="381"/>
    </row>
    <row r="5" spans="1:5" ht="15.75">
      <c r="A5" s="383">
        <f>'Data Entry - SOF'!B1</f>
        <v>0</v>
      </c>
      <c r="B5" s="383"/>
    </row>
    <row r="6" spans="1:5" ht="15.75">
      <c r="A6" s="381">
        <f>'Data Entry - SOF'!B2</f>
        <v>0</v>
      </c>
      <c r="B6" s="381"/>
    </row>
    <row r="8" spans="1:5" ht="18">
      <c r="A8" s="529"/>
      <c r="B8" s="530"/>
      <c r="C8" s="531"/>
      <c r="D8" s="532" t="s">
        <v>2797</v>
      </c>
      <c r="E8" s="532" t="s">
        <v>2798</v>
      </c>
    </row>
    <row r="9" spans="1:5" ht="18">
      <c r="A9" s="526"/>
      <c r="B9" s="537" t="s">
        <v>2796</v>
      </c>
      <c r="C9" s="566" t="s">
        <v>2782</v>
      </c>
      <c r="D9" s="533" t="s">
        <v>2783</v>
      </c>
      <c r="E9" s="533" t="s">
        <v>2797</v>
      </c>
    </row>
    <row r="10" spans="1:5" ht="15">
      <c r="A10" s="385" t="s">
        <v>2186</v>
      </c>
      <c r="B10" s="386" t="s">
        <v>2784</v>
      </c>
      <c r="C10" s="401">
        <f>Weights!K10</f>
        <v>5</v>
      </c>
      <c r="D10" s="387">
        <f>'Data Entry - SOF'!K23</f>
        <v>0</v>
      </c>
      <c r="E10" s="391">
        <f>D10*C10</f>
        <v>0</v>
      </c>
    </row>
    <row r="11" spans="1:5" ht="15">
      <c r="A11" s="385" t="s">
        <v>2187</v>
      </c>
      <c r="B11" s="386" t="s">
        <v>2785</v>
      </c>
      <c r="C11" s="401">
        <f>Weights!K11</f>
        <v>3</v>
      </c>
      <c r="D11" s="387">
        <f>'Data Entry - SOF'!K24</f>
        <v>0</v>
      </c>
      <c r="E11" s="391">
        <f t="shared" ref="E11:E19" si="0">D11*C11</f>
        <v>0</v>
      </c>
    </row>
    <row r="12" spans="1:5" ht="15">
      <c r="A12" s="385" t="s">
        <v>2188</v>
      </c>
      <c r="B12" s="386" t="s">
        <v>2786</v>
      </c>
      <c r="C12" s="401">
        <f>Weights!K12</f>
        <v>5</v>
      </c>
      <c r="D12" s="387">
        <f>'Data Entry - SOF'!K25</f>
        <v>0</v>
      </c>
      <c r="E12" s="391">
        <f t="shared" si="0"/>
        <v>0</v>
      </c>
    </row>
    <row r="13" spans="1:5" ht="15">
      <c r="A13" s="385" t="s">
        <v>909</v>
      </c>
      <c r="B13" s="386" t="s">
        <v>2787</v>
      </c>
      <c r="C13" s="401">
        <f>Weights!K13</f>
        <v>3</v>
      </c>
      <c r="D13" s="387">
        <f>'Data Entry - SOF'!K26</f>
        <v>0</v>
      </c>
      <c r="E13" s="391">
        <f t="shared" si="0"/>
        <v>0</v>
      </c>
    </row>
    <row r="14" spans="1:5" ht="15">
      <c r="A14" s="418"/>
      <c r="B14" s="402" t="s">
        <v>2788</v>
      </c>
      <c r="C14" s="397"/>
      <c r="D14" s="403"/>
      <c r="E14" s="406"/>
    </row>
    <row r="15" spans="1:5" ht="15">
      <c r="A15" s="551" t="s">
        <v>910</v>
      </c>
      <c r="B15" s="404" t="s">
        <v>2789</v>
      </c>
      <c r="C15" s="398">
        <f>Weights!K14</f>
        <v>3</v>
      </c>
      <c r="D15" s="405">
        <f>'Data Entry - SOF'!K27</f>
        <v>0</v>
      </c>
      <c r="E15" s="405">
        <f t="shared" si="0"/>
        <v>0</v>
      </c>
    </row>
    <row r="16" spans="1:5" ht="15">
      <c r="A16" s="385" t="s">
        <v>912</v>
      </c>
      <c r="B16" s="386" t="s">
        <v>2790</v>
      </c>
      <c r="C16" s="401">
        <f>Weights!K15</f>
        <v>2.7</v>
      </c>
      <c r="D16" s="391">
        <f>'Data Entry - SOF'!K28</f>
        <v>0</v>
      </c>
      <c r="E16" s="391">
        <f t="shared" si="0"/>
        <v>0</v>
      </c>
    </row>
    <row r="17" spans="1:5" ht="15">
      <c r="A17" s="385" t="s">
        <v>913</v>
      </c>
      <c r="B17" s="386" t="s">
        <v>2791</v>
      </c>
      <c r="C17" s="401">
        <f>Weights!K16</f>
        <v>2.2999999999999998</v>
      </c>
      <c r="D17" s="391">
        <f>'Data Entry - SOF'!K29</f>
        <v>0</v>
      </c>
      <c r="E17" s="391">
        <f t="shared" si="0"/>
        <v>0</v>
      </c>
    </row>
    <row r="18" spans="1:5" ht="15">
      <c r="A18" s="385" t="s">
        <v>914</v>
      </c>
      <c r="B18" s="386" t="s">
        <v>2792</v>
      </c>
      <c r="C18" s="401">
        <f>Weights!K17</f>
        <v>2.8</v>
      </c>
      <c r="D18" s="391">
        <f>'Data Entry - SOF'!K30</f>
        <v>0</v>
      </c>
      <c r="E18" s="391">
        <f t="shared" si="0"/>
        <v>0</v>
      </c>
    </row>
    <row r="19" spans="1:5" ht="15">
      <c r="A19" s="385" t="s">
        <v>118</v>
      </c>
      <c r="B19" s="386" t="s">
        <v>2793</v>
      </c>
      <c r="C19" s="401">
        <f>Weights!K19</f>
        <v>4</v>
      </c>
      <c r="D19" s="391">
        <f>'Data Entry - SOF'!K32</f>
        <v>0</v>
      </c>
      <c r="E19" s="391">
        <f t="shared" si="0"/>
        <v>0</v>
      </c>
    </row>
    <row r="20" spans="1:5" ht="15.75">
      <c r="A20" s="385" t="s">
        <v>119</v>
      </c>
      <c r="B20" s="386" t="s">
        <v>2799</v>
      </c>
      <c r="C20" s="401" t="s">
        <v>1775</v>
      </c>
      <c r="D20" s="391">
        <f>'Calc Data'!F8</f>
        <v>0</v>
      </c>
      <c r="E20" s="401" t="s">
        <v>1775</v>
      </c>
    </row>
    <row r="21" spans="1:5" ht="15">
      <c r="A21" s="385" t="s">
        <v>120</v>
      </c>
      <c r="B21" s="386" t="s">
        <v>2794</v>
      </c>
      <c r="C21" s="401" t="s">
        <v>1775</v>
      </c>
      <c r="D21" s="401" t="s">
        <v>1775</v>
      </c>
      <c r="E21" s="391">
        <f>SUM(E10:E19)</f>
        <v>0</v>
      </c>
    </row>
    <row r="22" spans="1:5" ht="15">
      <c r="A22" s="385" t="s">
        <v>121</v>
      </c>
      <c r="B22" s="386" t="s">
        <v>2795</v>
      </c>
      <c r="C22" s="401">
        <f>Weights!K18</f>
        <v>1.7</v>
      </c>
      <c r="D22" s="391">
        <f>'Data Entry - SOF'!K31</f>
        <v>0</v>
      </c>
      <c r="E22" s="401" t="s">
        <v>1775</v>
      </c>
    </row>
    <row r="23" spans="1:5" ht="15">
      <c r="A23" s="385" t="s">
        <v>1513</v>
      </c>
      <c r="B23" s="386" t="s">
        <v>538</v>
      </c>
      <c r="C23" s="4640">
        <f>'Weights-HB3'!G18</f>
        <v>1.1499999999999999</v>
      </c>
      <c r="D23" s="391">
        <f>'Data Entry - SOF'!K34</f>
        <v>0</v>
      </c>
      <c r="E23" s="401" t="s">
        <v>1775</v>
      </c>
    </row>
    <row r="24" spans="1:5" s="382" customFormat="1" ht="15.75">
      <c r="C24" s="477" t="s">
        <v>2978</v>
      </c>
      <c r="D24" s="1433" t="s">
        <v>10291</v>
      </c>
    </row>
    <row r="25" spans="1:5" s="382" customFormat="1" ht="15">
      <c r="C25" s="475"/>
      <c r="D25"/>
    </row>
    <row r="27" spans="1:5" ht="15">
      <c r="A27" s="407" t="s">
        <v>3113</v>
      </c>
    </row>
  </sheetData>
  <hyperlinks>
    <hyperlink ref="D24" location="'Report-SOF1920-HB3'!A1" display="'Report-SOF1920-HB3'!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177</vt:i4>
      </vt:variant>
      <vt:variant>
        <vt:lpstr>Named Ranges</vt:lpstr>
      </vt:variant>
      <vt:variant>
        <vt:i4>33</vt:i4>
      </vt:variant>
    </vt:vector>
  </HeadingPairs>
  <TitlesOfParts>
    <vt:vector size="210" baseType="lpstr">
      <vt:lpstr>Copyright</vt:lpstr>
      <vt:lpstr>Notes</vt:lpstr>
      <vt:lpstr>SqMiles</vt:lpstr>
      <vt:lpstr>Assumptions</vt:lpstr>
      <vt:lpstr>Weights</vt:lpstr>
      <vt:lpstr>Ch41 Calc Data</vt:lpstr>
      <vt:lpstr>SOF1718-HB3646</vt:lpstr>
      <vt:lpstr>SOF1819-HB3646</vt:lpstr>
      <vt:lpstr>DE1</vt:lpstr>
      <vt:lpstr>Weights-HB3</vt:lpstr>
      <vt:lpstr>Data Entry - SOF</vt:lpstr>
      <vt:lpstr>Option Costs</vt:lpstr>
      <vt:lpstr>Option Costs-Transition</vt:lpstr>
      <vt:lpstr>Existing Debt-HB3</vt:lpstr>
      <vt:lpstr>IFA_Limits</vt:lpstr>
      <vt:lpstr>Report-SOF1819</vt:lpstr>
      <vt:lpstr>Report-SOF1920-HB3</vt:lpstr>
      <vt:lpstr>Report-SOF2021-HB3</vt:lpstr>
      <vt:lpstr>Report-SOF2122-HB3</vt:lpstr>
      <vt:lpstr>Report-SOF2223-HB3</vt:lpstr>
      <vt:lpstr>Report-SOF2324-HB3</vt:lpstr>
      <vt:lpstr>Report-SOF-AllYears</vt:lpstr>
      <vt:lpstr>The30%</vt:lpstr>
      <vt:lpstr>HB3-RollbackRates</vt:lpstr>
      <vt:lpstr>SOF1920-HB3</vt:lpstr>
      <vt:lpstr>SOF2021-HB3</vt:lpstr>
      <vt:lpstr>SOF2122-HB3</vt:lpstr>
      <vt:lpstr>SOF2223-HB3</vt:lpstr>
      <vt:lpstr>SOF2324-HB3</vt:lpstr>
      <vt:lpstr>Report-SOF2021</vt:lpstr>
      <vt:lpstr>Report-SOF2122</vt:lpstr>
      <vt:lpstr>Report-SOF2223</vt:lpstr>
      <vt:lpstr>Report-SOF2324</vt:lpstr>
      <vt:lpstr>RateToMaintain1920</vt:lpstr>
      <vt:lpstr>Notice1920</vt:lpstr>
      <vt:lpstr>Calc Data</vt:lpstr>
      <vt:lpstr>DistCharter-Data1819</vt:lpstr>
      <vt:lpstr>DistCharter-Funding1819</vt:lpstr>
      <vt:lpstr>DistCharter-Data1920</vt:lpstr>
      <vt:lpstr>DistCharter-Funding1920</vt:lpstr>
      <vt:lpstr>SOF1819-SB1</vt:lpstr>
      <vt:lpstr>HH1819-Calcs</vt:lpstr>
      <vt:lpstr>Calc Data-15K</vt:lpstr>
      <vt:lpstr>Notice Calc1920</vt:lpstr>
      <vt:lpstr>HH1920-Calcs</vt:lpstr>
      <vt:lpstr>IFA-OldLaw</vt:lpstr>
      <vt:lpstr>ASATR</vt:lpstr>
      <vt:lpstr>Option Costs-HH-15K</vt:lpstr>
      <vt:lpstr>Option Costs-HH</vt:lpstr>
      <vt:lpstr>FracFunding1718</vt:lpstr>
      <vt:lpstr>Report-SOF1718</vt:lpstr>
      <vt:lpstr>HH1718-Calcs</vt:lpstr>
      <vt:lpstr>FracFunding1819</vt:lpstr>
      <vt:lpstr>SOF1718-SB1</vt:lpstr>
      <vt:lpstr>SOF2021-SB1</vt:lpstr>
      <vt:lpstr>Existing Debt-OldLaw</vt:lpstr>
      <vt:lpstr>HH2021-Calcs</vt:lpstr>
      <vt:lpstr>HH2122-Calcs</vt:lpstr>
      <vt:lpstr>HH2223-Calcs</vt:lpstr>
      <vt:lpstr>HH2324-Calcs</vt:lpstr>
      <vt:lpstr>SOF2122-SB1</vt:lpstr>
      <vt:lpstr>SOF2223-SB1</vt:lpstr>
      <vt:lpstr>SOF2324-SB1</vt:lpstr>
      <vt:lpstr>FracFunding1920</vt:lpstr>
      <vt:lpstr>FracFunding2021</vt:lpstr>
      <vt:lpstr>FracFunding2122</vt:lpstr>
      <vt:lpstr>FracFunding2223</vt:lpstr>
      <vt:lpstr>FracFunding2324</vt:lpstr>
      <vt:lpstr>Data - Notice1920</vt:lpstr>
      <vt:lpstr>Comparisons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Report-Other1920</vt:lpstr>
      <vt:lpstr>Report-ASATR1920</vt:lpstr>
      <vt:lpstr>Report-EDA1920</vt:lpstr>
      <vt:lpstr>IFA-HB3</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Final_2018_Values</vt:lpstr>
      <vt:lpstr>CH49_Flag</vt:lpstr>
      <vt:lpstr>Concatenate</vt:lpstr>
      <vt:lpstr>Data1617</vt:lpstr>
      <vt:lpstr>Data1718</vt:lpstr>
      <vt:lpstr>FastGrowth</vt:lpstr>
      <vt:lpstr>'Data Entry - SOF'!_MailAutoSig</vt:lpstr>
      <vt:lpstr>ASATR!Print_Area</vt:lpstr>
      <vt:lpstr>Assumptions!Print_Area</vt:lpstr>
      <vt:lpstr>'Ch41 Calc Data'!Print_Area</vt:lpstr>
      <vt:lpstr>'Data - Notice1920'!Print_Area</vt:lpstr>
      <vt:lpstr>'Data Entry - SOF'!Print_Area</vt:lpstr>
      <vt:lpstr>'Existing Debt-HB3'!Print_Area</vt:lpstr>
      <vt:lpstr>'Existing Debt-OldLaw'!Print_Area</vt:lpstr>
      <vt:lpstr>'IFA-HB3'!Print_Area</vt:lpstr>
      <vt:lpstr>'IFA-OldLaw'!Print_Area</vt:lpstr>
      <vt:lpstr>Notes!Print_Area</vt:lpstr>
      <vt:lpstr>Notice1920!Print_Area</vt:lpstr>
      <vt:lpstr>'Option Costs'!Print_Area</vt:lpstr>
      <vt:lpstr>'Option Costs-HH'!Print_Area</vt:lpstr>
      <vt:lpstr>'Option Costs-HH-15K'!Print_Area</vt:lpstr>
      <vt:lpstr>'Option Costs-Transition'!Print_Area</vt:lpstr>
      <vt:lpstr>RateToMaintain1920!Print_Area</vt:lpstr>
      <vt:lpstr>'Report-Calculations'!Print_Area</vt:lpstr>
      <vt:lpstr>'Report-Recapture1718'!Print_Area</vt:lpstr>
      <vt:lpstr>'Report-SOF1718'!Print_Area</vt:lpstr>
      <vt:lpstr>'Report-SOF-AllYears'!Print_Area</vt:lpstr>
      <vt:lpstr>'SOF1718-SB1'!Print_Area</vt:lpstr>
      <vt:lpstr>Weights!Print_Area</vt:lpstr>
      <vt:lpstr>'Weights-HB3'!Print_Area</vt:lpstr>
      <vt:lpstr>'Existing Debt-HB3'!Print_Titles</vt:lpstr>
      <vt:lpstr>'Existing Debt-OldLaw'!Print_Titles</vt:lpstr>
      <vt:lpstr>'IFA-HB3'!Print_Titles</vt:lpstr>
      <vt:lpstr>'IFA-OldLaw'!Print_Titles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2019-09-18T19:57:36Z</dcterms:modified>
</cp:coreProperties>
</file>